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Fay Lab DropBox/David Fay/EMBO_Fay_2025/Final Revision Documents/Supplemental Files/"/>
    </mc:Choice>
  </mc:AlternateContent>
  <xr:revisionPtr revIDLastSave="0" documentId="13_ncr:1_{1C913E76-DB42-2641-AF01-75C26861327C}" xr6:coauthVersionLast="47" xr6:coauthVersionMax="47" xr10:uidLastSave="{00000000-0000-0000-0000-000000000000}"/>
  <bookViews>
    <workbookView xWindow="500" yWindow="680" windowWidth="28200" windowHeight="17260" xr2:uid="{A88A2EED-EEBA-964C-9675-16A6DDFF5E98}"/>
  </bookViews>
  <sheets>
    <sheet name="Contents" sheetId="16" r:id="rId1"/>
    <sheet name="(1) NEKL-2 Raw" sheetId="1" r:id="rId2"/>
    <sheet name="(2) NEKL-2 Up Down" sheetId="6" r:id="rId3"/>
    <sheet name="(3) NEKL-2 Filter-1" sheetId="13" r:id="rId4"/>
    <sheet name="(4) NEKL-2 Filter-2" sheetId="14" r:id="rId5"/>
    <sheet name="(5) NEKL-3 Raw" sheetId="2" r:id="rId6"/>
    <sheet name="(6) NEKL-3 Up Down" sheetId="7" r:id="rId7"/>
    <sheet name="(7) NEKL-3 Filter-1" sheetId="8" r:id="rId8"/>
    <sheet name="(8) NEKL-3 Filter-2" sheetId="9" r:id="rId9"/>
    <sheet name="(9) MLT-3 Raw" sheetId="5" r:id="rId10"/>
    <sheet name="(10) MLT-3 Up Down" sheetId="10" r:id="rId11"/>
    <sheet name="(11) MLT-3 Filter-1" sheetId="11" r:id="rId12"/>
    <sheet name="(12) MLT-3 Filter-2" sheetId="12" r:id="rId13"/>
    <sheet name="Overlaps Filter-2" sheetId="15" r:id="rId14"/>
  </sheets>
  <definedNames>
    <definedName name="_xlnm._FilterDatabase" localSheetId="11" hidden="1">'(11) MLT-3 Filter-1'!$A$1:$A$1216</definedName>
    <definedName name="_xlnm._FilterDatabase" localSheetId="12" hidden="1">'(12) MLT-3 Filter-2'!$A$1:$A$993</definedName>
    <definedName name="_xlnm._FilterDatabase" localSheetId="3" hidden="1">'(3) NEKL-2 Filter-1'!$A$1:$A$107</definedName>
    <definedName name="_xlnm._FilterDatabase" localSheetId="4" hidden="1">'(4) NEKL-2 Filter-2'!$A$1:$A$103</definedName>
    <definedName name="_xlnm._FilterDatabase" localSheetId="7" hidden="1">'(7) NEKL-3 Filter-1'!$A$1:$A$154</definedName>
    <definedName name="_xlnm._FilterDatabase" localSheetId="8" hidden="1">'(8) NEKL-3 Filter-2'!$A$1:$A$138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1" i="15" l="1"/>
  <c r="A90" i="15"/>
  <c r="A89" i="15"/>
  <c r="A88" i="15"/>
  <c r="A87" i="15"/>
  <c r="A86" i="15"/>
  <c r="A85" i="15"/>
  <c r="A84" i="15"/>
  <c r="A83" i="15"/>
  <c r="A82" i="15"/>
  <c r="A81" i="15"/>
  <c r="A80" i="15"/>
  <c r="A79" i="15"/>
  <c r="A78" i="15"/>
  <c r="A77" i="15"/>
  <c r="A76" i="15"/>
  <c r="B75" i="15"/>
  <c r="A75" i="15"/>
  <c r="B74" i="15"/>
  <c r="A74" i="15"/>
  <c r="B73" i="15"/>
  <c r="A73" i="15"/>
  <c r="B72" i="15"/>
  <c r="A72" i="15"/>
  <c r="B71" i="15"/>
  <c r="A71" i="15"/>
  <c r="B70" i="15"/>
  <c r="A70" i="15"/>
  <c r="B69" i="15"/>
  <c r="A69" i="15"/>
  <c r="B68" i="15"/>
  <c r="A68" i="15"/>
  <c r="B67" i="15"/>
  <c r="A67" i="15"/>
  <c r="B66" i="15"/>
  <c r="A66" i="15"/>
  <c r="B65" i="15"/>
  <c r="A65" i="15"/>
  <c r="B64" i="15"/>
  <c r="A64" i="15"/>
  <c r="B63" i="15"/>
  <c r="A63" i="15"/>
  <c r="B62" i="15"/>
  <c r="A62" i="15"/>
  <c r="B61" i="15"/>
  <c r="A61" i="15"/>
  <c r="B60" i="15"/>
  <c r="A60" i="15"/>
  <c r="B59" i="15"/>
  <c r="A59" i="15"/>
  <c r="B58" i="15"/>
  <c r="A58" i="15"/>
  <c r="B57" i="15"/>
  <c r="A57" i="15"/>
  <c r="B56" i="15"/>
  <c r="A56" i="15"/>
  <c r="B55" i="15"/>
  <c r="A55" i="15"/>
  <c r="B54" i="15"/>
  <c r="A54" i="15"/>
  <c r="B53" i="15"/>
  <c r="A53" i="15"/>
  <c r="B52" i="15"/>
  <c r="A52" i="15"/>
  <c r="B51" i="15"/>
  <c r="A51" i="15"/>
  <c r="B50" i="15"/>
  <c r="A50" i="15"/>
  <c r="B49" i="15"/>
  <c r="A49" i="15"/>
  <c r="B48" i="15"/>
  <c r="A48" i="15"/>
  <c r="B47" i="15"/>
  <c r="A47" i="15"/>
  <c r="B46" i="15"/>
  <c r="A46" i="15"/>
  <c r="B45" i="15"/>
  <c r="A45" i="15"/>
  <c r="B44" i="15"/>
  <c r="A44" i="15"/>
  <c r="B43" i="15"/>
  <c r="A43" i="15"/>
  <c r="B42" i="15"/>
  <c r="A42" i="15"/>
  <c r="B41" i="15"/>
  <c r="A41" i="15"/>
  <c r="B40" i="15"/>
  <c r="A40" i="15"/>
  <c r="B39" i="15"/>
  <c r="A39" i="15"/>
  <c r="B38" i="15"/>
  <c r="A38" i="15"/>
  <c r="B37" i="15"/>
  <c r="A37" i="15"/>
  <c r="B36" i="15"/>
  <c r="A36" i="15"/>
  <c r="B35" i="15"/>
  <c r="A35" i="15"/>
  <c r="B34" i="15"/>
  <c r="A34" i="15"/>
  <c r="B33" i="15"/>
  <c r="A33" i="15"/>
  <c r="B32" i="15"/>
  <c r="A32" i="15"/>
  <c r="B31" i="15"/>
  <c r="A31" i="15"/>
  <c r="B30" i="15"/>
  <c r="A30" i="15"/>
  <c r="B29" i="15"/>
  <c r="A29" i="15"/>
  <c r="B28" i="15"/>
  <c r="A28" i="15"/>
  <c r="B27" i="15"/>
  <c r="A27" i="15"/>
  <c r="B26" i="15"/>
  <c r="A26" i="15"/>
  <c r="B25" i="15"/>
  <c r="A25" i="15"/>
  <c r="B24" i="15"/>
  <c r="A24" i="15"/>
  <c r="B23" i="15"/>
  <c r="A23" i="15"/>
  <c r="B22" i="15"/>
  <c r="A22" i="15"/>
  <c r="B21" i="15"/>
  <c r="A21" i="15"/>
  <c r="B20" i="15"/>
  <c r="A20" i="15"/>
  <c r="B19" i="15"/>
  <c r="A19" i="15"/>
  <c r="B18" i="15"/>
  <c r="A18" i="15"/>
  <c r="B17" i="15"/>
  <c r="A17" i="15"/>
  <c r="B16" i="15"/>
  <c r="A16" i="15"/>
  <c r="B15" i="15"/>
  <c r="A15" i="15"/>
  <c r="B14" i="15"/>
  <c r="A14" i="15"/>
  <c r="B13" i="15"/>
  <c r="A13" i="15"/>
  <c r="B12" i="15"/>
  <c r="A12" i="15"/>
  <c r="B11" i="15"/>
  <c r="A11" i="15"/>
  <c r="B10" i="15"/>
  <c r="A10" i="15"/>
  <c r="B9" i="15"/>
  <c r="A9" i="15"/>
  <c r="B8" i="15"/>
  <c r="A8" i="15"/>
  <c r="B7" i="15"/>
  <c r="A7" i="15"/>
  <c r="B6" i="15"/>
  <c r="A6" i="15"/>
  <c r="B5" i="15"/>
  <c r="A5" i="15"/>
  <c r="B4" i="15"/>
  <c r="A4" i="15"/>
  <c r="B3" i="15"/>
  <c r="A3" i="15"/>
  <c r="B2" i="15"/>
  <c r="A2" i="15"/>
  <c r="N143" i="12"/>
  <c r="J143" i="12"/>
  <c r="E143" i="12"/>
  <c r="A143" i="12"/>
  <c r="O143" i="12" s="1"/>
  <c r="N142" i="12"/>
  <c r="J142" i="12"/>
  <c r="E142" i="12"/>
  <c r="A142" i="12"/>
  <c r="O142" i="12" s="1"/>
  <c r="N141" i="12"/>
  <c r="J141" i="12"/>
  <c r="E141" i="12"/>
  <c r="A141" i="12"/>
  <c r="O141" i="12" s="1"/>
  <c r="P141" i="12" s="1"/>
  <c r="N140" i="12"/>
  <c r="J140" i="12"/>
  <c r="E140" i="12"/>
  <c r="A140" i="12"/>
  <c r="O140" i="12" s="1"/>
  <c r="N139" i="12"/>
  <c r="J139" i="12"/>
  <c r="E139" i="12"/>
  <c r="A139" i="12"/>
  <c r="O139" i="12" s="1"/>
  <c r="N138" i="12"/>
  <c r="J138" i="12"/>
  <c r="E138" i="12"/>
  <c r="A138" i="12"/>
  <c r="O138" i="12" s="1"/>
  <c r="N137" i="12"/>
  <c r="J137" i="12"/>
  <c r="E137" i="12"/>
  <c r="A137" i="12"/>
  <c r="O137" i="12" s="1"/>
  <c r="N136" i="12"/>
  <c r="J136" i="12"/>
  <c r="E136" i="12"/>
  <c r="A136" i="12"/>
  <c r="O136" i="12" s="1"/>
  <c r="N135" i="12"/>
  <c r="J135" i="12"/>
  <c r="E135" i="12"/>
  <c r="A135" i="12"/>
  <c r="O135" i="12" s="1"/>
  <c r="N134" i="12"/>
  <c r="J134" i="12"/>
  <c r="E134" i="12"/>
  <c r="A134" i="12"/>
  <c r="O134" i="12" s="1"/>
  <c r="N133" i="12"/>
  <c r="J133" i="12"/>
  <c r="E133" i="12"/>
  <c r="A133" i="12"/>
  <c r="O133" i="12" s="1"/>
  <c r="N132" i="12"/>
  <c r="J132" i="12"/>
  <c r="E132" i="12"/>
  <c r="A132" i="12"/>
  <c r="O132" i="12" s="1"/>
  <c r="N131" i="12"/>
  <c r="J131" i="12"/>
  <c r="E131" i="12"/>
  <c r="A131" i="12"/>
  <c r="O131" i="12" s="1"/>
  <c r="P131" i="12" s="1"/>
  <c r="N130" i="12"/>
  <c r="J130" i="12"/>
  <c r="E130" i="12"/>
  <c r="A130" i="12"/>
  <c r="O130" i="12" s="1"/>
  <c r="N129" i="12"/>
  <c r="J129" i="12"/>
  <c r="E129" i="12"/>
  <c r="A129" i="12"/>
  <c r="O129" i="12" s="1"/>
  <c r="N128" i="12"/>
  <c r="J128" i="12"/>
  <c r="E128" i="12"/>
  <c r="A128" i="12"/>
  <c r="O128" i="12" s="1"/>
  <c r="N127" i="12"/>
  <c r="J127" i="12"/>
  <c r="E127" i="12"/>
  <c r="A127" i="12"/>
  <c r="O127" i="12" s="1"/>
  <c r="N126" i="12"/>
  <c r="J126" i="12"/>
  <c r="E126" i="12"/>
  <c r="A126" i="12"/>
  <c r="O126" i="12" s="1"/>
  <c r="N125" i="12"/>
  <c r="J125" i="12"/>
  <c r="E125" i="12"/>
  <c r="A125" i="12"/>
  <c r="O125" i="12" s="1"/>
  <c r="N124" i="12"/>
  <c r="J124" i="12"/>
  <c r="E124" i="12"/>
  <c r="A124" i="12"/>
  <c r="O124" i="12" s="1"/>
  <c r="N123" i="12"/>
  <c r="J123" i="12"/>
  <c r="E123" i="12"/>
  <c r="A123" i="12"/>
  <c r="O123" i="12" s="1"/>
  <c r="N122" i="12"/>
  <c r="J122" i="12"/>
  <c r="E122" i="12"/>
  <c r="A122" i="12"/>
  <c r="O122" i="12" s="1"/>
  <c r="N121" i="12"/>
  <c r="J121" i="12"/>
  <c r="E121" i="12"/>
  <c r="A121" i="12"/>
  <c r="O121" i="12" s="1"/>
  <c r="N120" i="12"/>
  <c r="J120" i="12"/>
  <c r="E120" i="12"/>
  <c r="A120" i="12"/>
  <c r="O120" i="12" s="1"/>
  <c r="N119" i="12"/>
  <c r="J119" i="12"/>
  <c r="E119" i="12"/>
  <c r="A119" i="12"/>
  <c r="O119" i="12" s="1"/>
  <c r="N118" i="12"/>
  <c r="J118" i="12"/>
  <c r="E118" i="12"/>
  <c r="A118" i="12"/>
  <c r="O118" i="12" s="1"/>
  <c r="N117" i="12"/>
  <c r="J117" i="12"/>
  <c r="E117" i="12"/>
  <c r="A117" i="12"/>
  <c r="O117" i="12" s="1"/>
  <c r="N116" i="12"/>
  <c r="J116" i="12"/>
  <c r="E116" i="12"/>
  <c r="A116" i="12"/>
  <c r="O116" i="12" s="1"/>
  <c r="N115" i="12"/>
  <c r="J115" i="12"/>
  <c r="E115" i="12"/>
  <c r="A115" i="12"/>
  <c r="O115" i="12" s="1"/>
  <c r="N114" i="12"/>
  <c r="J114" i="12"/>
  <c r="E114" i="12"/>
  <c r="A114" i="12"/>
  <c r="O114" i="12" s="1"/>
  <c r="N113" i="12"/>
  <c r="J113" i="12"/>
  <c r="E113" i="12"/>
  <c r="A113" i="12"/>
  <c r="O113" i="12" s="1"/>
  <c r="N112" i="12"/>
  <c r="J112" i="12"/>
  <c r="E112" i="12"/>
  <c r="A112" i="12"/>
  <c r="O112" i="12" s="1"/>
  <c r="N111" i="12"/>
  <c r="J111" i="12"/>
  <c r="E111" i="12"/>
  <c r="A111" i="12"/>
  <c r="O111" i="12" s="1"/>
  <c r="N110" i="12"/>
  <c r="J110" i="12"/>
  <c r="E110" i="12"/>
  <c r="A110" i="12"/>
  <c r="O110" i="12" s="1"/>
  <c r="N109" i="12"/>
  <c r="J109" i="12"/>
  <c r="E109" i="12"/>
  <c r="A109" i="12"/>
  <c r="O109" i="12" s="1"/>
  <c r="N108" i="12"/>
  <c r="J108" i="12"/>
  <c r="E108" i="12"/>
  <c r="A108" i="12"/>
  <c r="O108" i="12" s="1"/>
  <c r="N107" i="12"/>
  <c r="J107" i="12"/>
  <c r="E107" i="12"/>
  <c r="A107" i="12"/>
  <c r="O107" i="12" s="1"/>
  <c r="N106" i="12"/>
  <c r="J106" i="12"/>
  <c r="E106" i="12"/>
  <c r="A106" i="12"/>
  <c r="O106" i="12" s="1"/>
  <c r="N105" i="12"/>
  <c r="J105" i="12"/>
  <c r="E105" i="12"/>
  <c r="A105" i="12"/>
  <c r="O105" i="12" s="1"/>
  <c r="N104" i="12"/>
  <c r="J104" i="12"/>
  <c r="E104" i="12"/>
  <c r="A104" i="12"/>
  <c r="O104" i="12" s="1"/>
  <c r="N103" i="12"/>
  <c r="J103" i="12"/>
  <c r="E103" i="12"/>
  <c r="A103" i="12"/>
  <c r="O103" i="12" s="1"/>
  <c r="N102" i="12"/>
  <c r="J102" i="12"/>
  <c r="E102" i="12"/>
  <c r="A102" i="12"/>
  <c r="O102" i="12" s="1"/>
  <c r="N101" i="12"/>
  <c r="J101" i="12"/>
  <c r="E101" i="12"/>
  <c r="A101" i="12"/>
  <c r="O101" i="12" s="1"/>
  <c r="N100" i="12"/>
  <c r="J100" i="12"/>
  <c r="E100" i="12"/>
  <c r="A100" i="12"/>
  <c r="O100" i="12" s="1"/>
  <c r="N99" i="12"/>
  <c r="J99" i="12"/>
  <c r="E99" i="12"/>
  <c r="A99" i="12"/>
  <c r="O99" i="12" s="1"/>
  <c r="N98" i="12"/>
  <c r="J98" i="12"/>
  <c r="E98" i="12"/>
  <c r="A98" i="12"/>
  <c r="O98" i="12" s="1"/>
  <c r="N97" i="12"/>
  <c r="J97" i="12"/>
  <c r="E97" i="12"/>
  <c r="A97" i="12"/>
  <c r="O97" i="12" s="1"/>
  <c r="N96" i="12"/>
  <c r="J96" i="12"/>
  <c r="E96" i="12"/>
  <c r="A96" i="12"/>
  <c r="O96" i="12" s="1"/>
  <c r="N95" i="12"/>
  <c r="J95" i="12"/>
  <c r="E95" i="12"/>
  <c r="A95" i="12"/>
  <c r="O95" i="12" s="1"/>
  <c r="N94" i="12"/>
  <c r="J94" i="12"/>
  <c r="E94" i="12"/>
  <c r="A94" i="12"/>
  <c r="O94" i="12" s="1"/>
  <c r="N93" i="12"/>
  <c r="J93" i="12"/>
  <c r="E93" i="12"/>
  <c r="A93" i="12"/>
  <c r="O93" i="12" s="1"/>
  <c r="N92" i="12"/>
  <c r="J92" i="12"/>
  <c r="E92" i="12"/>
  <c r="A92" i="12"/>
  <c r="O92" i="12" s="1"/>
  <c r="N91" i="12"/>
  <c r="J91" i="12"/>
  <c r="E91" i="12"/>
  <c r="A91" i="12"/>
  <c r="O91" i="12" s="1"/>
  <c r="N90" i="12"/>
  <c r="J90" i="12"/>
  <c r="E90" i="12"/>
  <c r="A90" i="12"/>
  <c r="O90" i="12" s="1"/>
  <c r="N89" i="12"/>
  <c r="J89" i="12"/>
  <c r="E89" i="12"/>
  <c r="A89" i="12"/>
  <c r="O89" i="12" s="1"/>
  <c r="N88" i="12"/>
  <c r="J88" i="12"/>
  <c r="E88" i="12"/>
  <c r="A88" i="12"/>
  <c r="O88" i="12" s="1"/>
  <c r="N87" i="12"/>
  <c r="J87" i="12"/>
  <c r="E87" i="12"/>
  <c r="A87" i="12"/>
  <c r="O87" i="12" s="1"/>
  <c r="N86" i="12"/>
  <c r="J86" i="12"/>
  <c r="E86" i="12"/>
  <c r="A86" i="12"/>
  <c r="O86" i="12" s="1"/>
  <c r="N85" i="12"/>
  <c r="J85" i="12"/>
  <c r="E85" i="12"/>
  <c r="A85" i="12"/>
  <c r="O85" i="12" s="1"/>
  <c r="N84" i="12"/>
  <c r="J84" i="12"/>
  <c r="E84" i="12"/>
  <c r="A84" i="12"/>
  <c r="O84" i="12" s="1"/>
  <c r="N83" i="12"/>
  <c r="J83" i="12"/>
  <c r="E83" i="12"/>
  <c r="A83" i="12"/>
  <c r="O83" i="12" s="1"/>
  <c r="N82" i="12"/>
  <c r="J82" i="12"/>
  <c r="E82" i="12"/>
  <c r="A82" i="12"/>
  <c r="O82" i="12" s="1"/>
  <c r="N81" i="12"/>
  <c r="J81" i="12"/>
  <c r="E81" i="12"/>
  <c r="A81" i="12"/>
  <c r="O81" i="12" s="1"/>
  <c r="N80" i="12"/>
  <c r="J80" i="12"/>
  <c r="E80" i="12"/>
  <c r="A80" i="12"/>
  <c r="O80" i="12" s="1"/>
  <c r="N79" i="12"/>
  <c r="J79" i="12"/>
  <c r="E79" i="12"/>
  <c r="A79" i="12"/>
  <c r="O79" i="12" s="1"/>
  <c r="N78" i="12"/>
  <c r="J78" i="12"/>
  <c r="E78" i="12"/>
  <c r="A78" i="12"/>
  <c r="O78" i="12" s="1"/>
  <c r="N77" i="12"/>
  <c r="J77" i="12"/>
  <c r="E77" i="12"/>
  <c r="A77" i="12"/>
  <c r="O77" i="12" s="1"/>
  <c r="N76" i="12"/>
  <c r="J76" i="12"/>
  <c r="E76" i="12"/>
  <c r="A76" i="12"/>
  <c r="O76" i="12" s="1"/>
  <c r="N75" i="12"/>
  <c r="J75" i="12"/>
  <c r="E75" i="12"/>
  <c r="A75" i="12"/>
  <c r="O75" i="12" s="1"/>
  <c r="N74" i="12"/>
  <c r="J74" i="12"/>
  <c r="E74" i="12"/>
  <c r="A74" i="12"/>
  <c r="O74" i="12" s="1"/>
  <c r="N73" i="12"/>
  <c r="J73" i="12"/>
  <c r="E73" i="12"/>
  <c r="A73" i="12"/>
  <c r="O73" i="12" s="1"/>
  <c r="N72" i="12"/>
  <c r="J72" i="12"/>
  <c r="E72" i="12"/>
  <c r="A72" i="12"/>
  <c r="O72" i="12" s="1"/>
  <c r="N71" i="12"/>
  <c r="J71" i="12"/>
  <c r="E71" i="12"/>
  <c r="A71" i="12"/>
  <c r="O71" i="12" s="1"/>
  <c r="N70" i="12"/>
  <c r="J70" i="12"/>
  <c r="E70" i="12"/>
  <c r="A70" i="12"/>
  <c r="O70" i="12" s="1"/>
  <c r="N69" i="12"/>
  <c r="J69" i="12"/>
  <c r="E69" i="12"/>
  <c r="A69" i="12"/>
  <c r="O69" i="12" s="1"/>
  <c r="N68" i="12"/>
  <c r="J68" i="12"/>
  <c r="E68" i="12"/>
  <c r="A68" i="12"/>
  <c r="O68" i="12" s="1"/>
  <c r="N67" i="12"/>
  <c r="J67" i="12"/>
  <c r="E67" i="12"/>
  <c r="A67" i="12"/>
  <c r="O67" i="12" s="1"/>
  <c r="N66" i="12"/>
  <c r="J66" i="12"/>
  <c r="E66" i="12"/>
  <c r="A66" i="12"/>
  <c r="O66" i="12" s="1"/>
  <c r="N65" i="12"/>
  <c r="J65" i="12"/>
  <c r="E65" i="12"/>
  <c r="A65" i="12"/>
  <c r="O65" i="12" s="1"/>
  <c r="N64" i="12"/>
  <c r="J64" i="12"/>
  <c r="E64" i="12"/>
  <c r="A64" i="12"/>
  <c r="O64" i="12" s="1"/>
  <c r="N63" i="12"/>
  <c r="J63" i="12"/>
  <c r="E63" i="12"/>
  <c r="A63" i="12"/>
  <c r="O63" i="12" s="1"/>
  <c r="N62" i="12"/>
  <c r="J62" i="12"/>
  <c r="E62" i="12"/>
  <c r="A62" i="12"/>
  <c r="O62" i="12" s="1"/>
  <c r="N61" i="12"/>
  <c r="J61" i="12"/>
  <c r="E61" i="12"/>
  <c r="A61" i="12"/>
  <c r="O61" i="12" s="1"/>
  <c r="N60" i="12"/>
  <c r="J60" i="12"/>
  <c r="E60" i="12"/>
  <c r="A60" i="12"/>
  <c r="O60" i="12" s="1"/>
  <c r="N59" i="12"/>
  <c r="J59" i="12"/>
  <c r="E59" i="12"/>
  <c r="A59" i="12"/>
  <c r="O59" i="12" s="1"/>
  <c r="N58" i="12"/>
  <c r="J58" i="12"/>
  <c r="E58" i="12"/>
  <c r="A58" i="12"/>
  <c r="O58" i="12" s="1"/>
  <c r="N57" i="12"/>
  <c r="J57" i="12"/>
  <c r="E57" i="12"/>
  <c r="A57" i="12"/>
  <c r="O57" i="12" s="1"/>
  <c r="N56" i="12"/>
  <c r="J56" i="12"/>
  <c r="E56" i="12"/>
  <c r="A56" i="12"/>
  <c r="O56" i="12" s="1"/>
  <c r="N55" i="12"/>
  <c r="J55" i="12"/>
  <c r="E55" i="12"/>
  <c r="A55" i="12"/>
  <c r="O55" i="12" s="1"/>
  <c r="N54" i="12"/>
  <c r="J54" i="12"/>
  <c r="E54" i="12"/>
  <c r="A54" i="12"/>
  <c r="O54" i="12" s="1"/>
  <c r="N53" i="12"/>
  <c r="J53" i="12"/>
  <c r="E53" i="12"/>
  <c r="A53" i="12"/>
  <c r="O53" i="12" s="1"/>
  <c r="N52" i="12"/>
  <c r="J52" i="12"/>
  <c r="E52" i="12"/>
  <c r="A52" i="12"/>
  <c r="O52" i="12" s="1"/>
  <c r="N51" i="12"/>
  <c r="J51" i="12"/>
  <c r="E51" i="12"/>
  <c r="A51" i="12"/>
  <c r="O51" i="12" s="1"/>
  <c r="N50" i="12"/>
  <c r="J50" i="12"/>
  <c r="E50" i="12"/>
  <c r="A50" i="12"/>
  <c r="O50" i="12" s="1"/>
  <c r="N49" i="12"/>
  <c r="J49" i="12"/>
  <c r="E49" i="12"/>
  <c r="A49" i="12"/>
  <c r="O49" i="12" s="1"/>
  <c r="N48" i="12"/>
  <c r="J48" i="12"/>
  <c r="E48" i="12"/>
  <c r="A48" i="12"/>
  <c r="O48" i="12" s="1"/>
  <c r="N47" i="12"/>
  <c r="J47" i="12"/>
  <c r="E47" i="12"/>
  <c r="A47" i="12"/>
  <c r="O47" i="12" s="1"/>
  <c r="N46" i="12"/>
  <c r="J46" i="12"/>
  <c r="E46" i="12"/>
  <c r="A46" i="12"/>
  <c r="O46" i="12" s="1"/>
  <c r="N45" i="12"/>
  <c r="A45" i="12"/>
  <c r="O45" i="12" s="1"/>
  <c r="P45" i="12" s="1"/>
  <c r="N44" i="12"/>
  <c r="A44" i="12"/>
  <c r="O44" i="12" s="1"/>
  <c r="P44" i="12" s="1"/>
  <c r="N43" i="12"/>
  <c r="A43" i="12"/>
  <c r="O43" i="12" s="1"/>
  <c r="P43" i="12" s="1"/>
  <c r="N42" i="12"/>
  <c r="A42" i="12"/>
  <c r="O42" i="12" s="1"/>
  <c r="P42" i="12" s="1"/>
  <c r="N41" i="12"/>
  <c r="A41" i="12"/>
  <c r="O41" i="12" s="1"/>
  <c r="P41" i="12" s="1"/>
  <c r="N40" i="12"/>
  <c r="A40" i="12"/>
  <c r="O40" i="12" s="1"/>
  <c r="P40" i="12" s="1"/>
  <c r="N39" i="12"/>
  <c r="A39" i="12"/>
  <c r="O39" i="12" s="1"/>
  <c r="P39" i="12" s="1"/>
  <c r="N38" i="12"/>
  <c r="A38" i="12"/>
  <c r="O38" i="12" s="1"/>
  <c r="P38" i="12" s="1"/>
  <c r="N37" i="12"/>
  <c r="A37" i="12"/>
  <c r="O37" i="12" s="1"/>
  <c r="P37" i="12" s="1"/>
  <c r="N36" i="12"/>
  <c r="A36" i="12"/>
  <c r="O36" i="12" s="1"/>
  <c r="P36" i="12" s="1"/>
  <c r="N35" i="12"/>
  <c r="A35" i="12"/>
  <c r="O35" i="12" s="1"/>
  <c r="P35" i="12" s="1"/>
  <c r="N34" i="12"/>
  <c r="A34" i="12"/>
  <c r="O34" i="12" s="1"/>
  <c r="P34" i="12" s="1"/>
  <c r="N33" i="12"/>
  <c r="A33" i="12"/>
  <c r="O33" i="12" s="1"/>
  <c r="P33" i="12" s="1"/>
  <c r="N32" i="12"/>
  <c r="A32" i="12"/>
  <c r="O32" i="12" s="1"/>
  <c r="P32" i="12" s="1"/>
  <c r="N31" i="12"/>
  <c r="A31" i="12"/>
  <c r="O31" i="12" s="1"/>
  <c r="P31" i="12" s="1"/>
  <c r="N30" i="12"/>
  <c r="A30" i="12"/>
  <c r="O30" i="12" s="1"/>
  <c r="P30" i="12" s="1"/>
  <c r="N29" i="12"/>
  <c r="A29" i="12"/>
  <c r="O29" i="12" s="1"/>
  <c r="P29" i="12" s="1"/>
  <c r="N28" i="12"/>
  <c r="A28" i="12"/>
  <c r="O28" i="12" s="1"/>
  <c r="P28" i="12" s="1"/>
  <c r="N27" i="12"/>
  <c r="A27" i="12"/>
  <c r="O27" i="12" s="1"/>
  <c r="P27" i="12" s="1"/>
  <c r="N26" i="12"/>
  <c r="A26" i="12"/>
  <c r="O26" i="12" s="1"/>
  <c r="P26" i="12" s="1"/>
  <c r="N25" i="12"/>
  <c r="A25" i="12"/>
  <c r="O25" i="12" s="1"/>
  <c r="P25" i="12" s="1"/>
  <c r="N24" i="12"/>
  <c r="A24" i="12"/>
  <c r="O24" i="12" s="1"/>
  <c r="P24" i="12" s="1"/>
  <c r="N23" i="12"/>
  <c r="A23" i="12"/>
  <c r="O23" i="12" s="1"/>
  <c r="P23" i="12" s="1"/>
  <c r="N22" i="12"/>
  <c r="A22" i="12"/>
  <c r="O22" i="12" s="1"/>
  <c r="P22" i="12" s="1"/>
  <c r="N21" i="12"/>
  <c r="A21" i="12"/>
  <c r="O21" i="12" s="1"/>
  <c r="P21" i="12" s="1"/>
  <c r="N20" i="12"/>
  <c r="A20" i="12"/>
  <c r="O20" i="12" s="1"/>
  <c r="P20" i="12" s="1"/>
  <c r="N19" i="12"/>
  <c r="A19" i="12"/>
  <c r="O19" i="12" s="1"/>
  <c r="P19" i="12" s="1"/>
  <c r="N18" i="12"/>
  <c r="A18" i="12"/>
  <c r="O18" i="12" s="1"/>
  <c r="P18" i="12" s="1"/>
  <c r="N17" i="12"/>
  <c r="A17" i="12"/>
  <c r="O17" i="12" s="1"/>
  <c r="P17" i="12" s="1"/>
  <c r="N16" i="12"/>
  <c r="A16" i="12"/>
  <c r="O16" i="12" s="1"/>
  <c r="P16" i="12" s="1"/>
  <c r="N15" i="12"/>
  <c r="A15" i="12"/>
  <c r="O15" i="12" s="1"/>
  <c r="P15" i="12" s="1"/>
  <c r="N14" i="12"/>
  <c r="A14" i="12"/>
  <c r="O14" i="12" s="1"/>
  <c r="P14" i="12" s="1"/>
  <c r="N13" i="12"/>
  <c r="A13" i="12"/>
  <c r="O13" i="12" s="1"/>
  <c r="P13" i="12" s="1"/>
  <c r="N12" i="12"/>
  <c r="A12" i="12"/>
  <c r="O12" i="12" s="1"/>
  <c r="P12" i="12" s="1"/>
  <c r="N11" i="12"/>
  <c r="A11" i="12"/>
  <c r="O11" i="12" s="1"/>
  <c r="P11" i="12" s="1"/>
  <c r="N10" i="12"/>
  <c r="A10" i="12"/>
  <c r="O10" i="12" s="1"/>
  <c r="P10" i="12" s="1"/>
  <c r="N9" i="12"/>
  <c r="A9" i="12"/>
  <c r="O9" i="12" s="1"/>
  <c r="P9" i="12" s="1"/>
  <c r="N8" i="12"/>
  <c r="A8" i="12"/>
  <c r="O8" i="12" s="1"/>
  <c r="P8" i="12" s="1"/>
  <c r="N7" i="12"/>
  <c r="A7" i="12"/>
  <c r="O7" i="12" s="1"/>
  <c r="P7" i="12" s="1"/>
  <c r="N6" i="12"/>
  <c r="A6" i="12"/>
  <c r="O6" i="12" s="1"/>
  <c r="P6" i="12" s="1"/>
  <c r="N5" i="12"/>
  <c r="A5" i="12"/>
  <c r="O5" i="12" s="1"/>
  <c r="P5" i="12" s="1"/>
  <c r="N4" i="12"/>
  <c r="A4" i="12"/>
  <c r="O4" i="12" s="1"/>
  <c r="P4" i="12" s="1"/>
  <c r="N3" i="12"/>
  <c r="A3" i="12"/>
  <c r="O3" i="12" s="1"/>
  <c r="P3" i="12" s="1"/>
  <c r="N2" i="12"/>
  <c r="A2" i="12"/>
  <c r="O2" i="12" s="1"/>
  <c r="P2" i="12" s="1"/>
  <c r="O230" i="11"/>
  <c r="N73" i="11"/>
  <c r="N111" i="11"/>
  <c r="N222" i="11"/>
  <c r="N60" i="11"/>
  <c r="N162" i="11"/>
  <c r="N104" i="11"/>
  <c r="N87" i="11"/>
  <c r="N159" i="11"/>
  <c r="N92" i="11"/>
  <c r="N171" i="11"/>
  <c r="N220" i="11"/>
  <c r="N217" i="11"/>
  <c r="N193" i="11"/>
  <c r="N160" i="11"/>
  <c r="N71" i="11"/>
  <c r="N38" i="11"/>
  <c r="N41" i="11"/>
  <c r="N101" i="11"/>
  <c r="N223" i="11"/>
  <c r="N66" i="11"/>
  <c r="N183" i="11"/>
  <c r="N64" i="11"/>
  <c r="N172" i="11"/>
  <c r="N227" i="11"/>
  <c r="N17" i="11"/>
  <c r="N213" i="11"/>
  <c r="N86" i="11"/>
  <c r="N143" i="11"/>
  <c r="N36" i="11"/>
  <c r="N182" i="11"/>
  <c r="N28" i="11"/>
  <c r="N201" i="11"/>
  <c r="N174" i="11"/>
  <c r="N205" i="11"/>
  <c r="N134" i="11"/>
  <c r="N166" i="11"/>
  <c r="N99" i="11"/>
  <c r="N81" i="11"/>
  <c r="N5" i="11"/>
  <c r="N152" i="11"/>
  <c r="N148" i="11"/>
  <c r="N44" i="11"/>
  <c r="N122" i="11"/>
  <c r="N57" i="11"/>
  <c r="N156" i="11"/>
  <c r="N27" i="11"/>
  <c r="N76" i="11"/>
  <c r="N198" i="11"/>
  <c r="N219" i="11"/>
  <c r="N113" i="11"/>
  <c r="N178" i="11"/>
  <c r="N189" i="11"/>
  <c r="N127" i="11"/>
  <c r="N2" i="11"/>
  <c r="N185" i="11"/>
  <c r="N117" i="11"/>
  <c r="N43" i="11"/>
  <c r="N50" i="11"/>
  <c r="N130" i="11"/>
  <c r="N212" i="11"/>
  <c r="N236" i="11"/>
  <c r="N191" i="11"/>
  <c r="N83" i="11"/>
  <c r="N100" i="11"/>
  <c r="N82" i="11"/>
  <c r="N75" i="11"/>
  <c r="N35" i="11"/>
  <c r="N225" i="11"/>
  <c r="N97" i="11"/>
  <c r="N126" i="11"/>
  <c r="N181" i="11"/>
  <c r="N140" i="11"/>
  <c r="N114" i="11"/>
  <c r="N147" i="11"/>
  <c r="N32" i="11"/>
  <c r="N70" i="11"/>
  <c r="N136" i="11"/>
  <c r="N207" i="11"/>
  <c r="N161" i="11"/>
  <c r="N110" i="11"/>
  <c r="N129" i="11"/>
  <c r="N232" i="11"/>
  <c r="N176" i="11"/>
  <c r="N72" i="11"/>
  <c r="N157" i="11"/>
  <c r="N216" i="11"/>
  <c r="N177" i="11"/>
  <c r="N22" i="11"/>
  <c r="N218" i="11"/>
  <c r="N175" i="11"/>
  <c r="N34" i="11"/>
  <c r="N80" i="11"/>
  <c r="N133" i="11"/>
  <c r="N88" i="11"/>
  <c r="N180" i="11"/>
  <c r="N173" i="11"/>
  <c r="N19" i="11"/>
  <c r="N215" i="11"/>
  <c r="N199" i="11"/>
  <c r="N228" i="11"/>
  <c r="N231" i="11"/>
  <c r="N155" i="11"/>
  <c r="N121" i="11"/>
  <c r="N135" i="11"/>
  <c r="N141" i="11"/>
  <c r="N120" i="11"/>
  <c r="N59" i="11"/>
  <c r="N24" i="11"/>
  <c r="N89" i="11"/>
  <c r="N8" i="11"/>
  <c r="N119" i="11"/>
  <c r="N9" i="11"/>
  <c r="N154" i="11"/>
  <c r="N202" i="11"/>
  <c r="N125" i="11"/>
  <c r="N200" i="11"/>
  <c r="N195" i="11"/>
  <c r="N31" i="11"/>
  <c r="N186" i="11"/>
  <c r="N95" i="11"/>
  <c r="N79" i="11"/>
  <c r="N187" i="11"/>
  <c r="N42" i="11"/>
  <c r="N53" i="11"/>
  <c r="N167" i="11"/>
  <c r="N235" i="11"/>
  <c r="N224" i="11"/>
  <c r="N21" i="11"/>
  <c r="N78" i="11"/>
  <c r="N49" i="11"/>
  <c r="N230" i="11"/>
  <c r="N190" i="11"/>
  <c r="N204" i="11"/>
  <c r="N165" i="11"/>
  <c r="N206" i="11"/>
  <c r="N103" i="11"/>
  <c r="N124" i="11"/>
  <c r="N61" i="11"/>
  <c r="N163" i="11"/>
  <c r="N52" i="11"/>
  <c r="N65" i="11"/>
  <c r="N11" i="11"/>
  <c r="N137" i="11"/>
  <c r="N67" i="11"/>
  <c r="N142" i="11"/>
  <c r="N170" i="11"/>
  <c r="N138" i="11"/>
  <c r="N16" i="11"/>
  <c r="N51" i="11"/>
  <c r="N37" i="11"/>
  <c r="N74" i="11"/>
  <c r="N234" i="11"/>
  <c r="N169" i="11"/>
  <c r="N158" i="11"/>
  <c r="N145" i="11"/>
  <c r="N4" i="11"/>
  <c r="N98" i="11"/>
  <c r="N192" i="11"/>
  <c r="N237" i="11"/>
  <c r="N221" i="11"/>
  <c r="N139" i="11"/>
  <c r="N91" i="11"/>
  <c r="N233" i="11"/>
  <c r="N58" i="11"/>
  <c r="N25" i="11"/>
  <c r="N84" i="11"/>
  <c r="N168" i="11"/>
  <c r="N55" i="11"/>
  <c r="N144" i="11"/>
  <c r="N45" i="11"/>
  <c r="N23" i="11"/>
  <c r="N105" i="11"/>
  <c r="N229" i="11"/>
  <c r="N107" i="11"/>
  <c r="N30" i="11"/>
  <c r="N48" i="11"/>
  <c r="N102" i="11"/>
  <c r="N33" i="11"/>
  <c r="N15" i="11"/>
  <c r="N146" i="11"/>
  <c r="N132" i="11"/>
  <c r="N128" i="11"/>
  <c r="N115" i="11"/>
  <c r="N226" i="11"/>
  <c r="N179" i="11"/>
  <c r="N3" i="11"/>
  <c r="N203" i="11"/>
  <c r="N123" i="11"/>
  <c r="N12" i="11"/>
  <c r="N197" i="11"/>
  <c r="N85" i="11"/>
  <c r="N40" i="11"/>
  <c r="N47" i="11"/>
  <c r="N108" i="11"/>
  <c r="N90" i="11"/>
  <c r="N69" i="11"/>
  <c r="N39" i="11"/>
  <c r="N62" i="11"/>
  <c r="N14" i="11"/>
  <c r="N188" i="11"/>
  <c r="N46" i="11"/>
  <c r="N93" i="11"/>
  <c r="N54" i="11"/>
  <c r="N194" i="11"/>
  <c r="N13" i="11"/>
  <c r="N6" i="11"/>
  <c r="N63" i="11"/>
  <c r="N184" i="11"/>
  <c r="N214" i="11"/>
  <c r="N211" i="11"/>
  <c r="N116" i="11"/>
  <c r="N109" i="11"/>
  <c r="N210" i="11"/>
  <c r="N151" i="11"/>
  <c r="N10" i="11"/>
  <c r="N112" i="11"/>
  <c r="N131" i="11"/>
  <c r="N106" i="11"/>
  <c r="N196" i="11"/>
  <c r="N29" i="11"/>
  <c r="N118" i="11"/>
  <c r="N208" i="11"/>
  <c r="N150" i="11"/>
  <c r="N56" i="11"/>
  <c r="N68" i="11"/>
  <c r="N77" i="11"/>
  <c r="N7" i="11"/>
  <c r="N164" i="11"/>
  <c r="N26" i="11"/>
  <c r="N96" i="11"/>
  <c r="N153" i="11"/>
  <c r="N209" i="11"/>
  <c r="N20" i="11"/>
  <c r="N149" i="11"/>
  <c r="N94" i="11"/>
  <c r="N18" i="11"/>
  <c r="J73" i="11"/>
  <c r="J111" i="11"/>
  <c r="J222" i="11"/>
  <c r="J60" i="11"/>
  <c r="J162" i="11"/>
  <c r="J104" i="11"/>
  <c r="J87" i="11"/>
  <c r="J159" i="11"/>
  <c r="J92" i="11"/>
  <c r="J171" i="11"/>
  <c r="J220" i="11"/>
  <c r="J217" i="11"/>
  <c r="J193" i="11"/>
  <c r="J160" i="11"/>
  <c r="J71" i="11"/>
  <c r="J101" i="11"/>
  <c r="J223" i="11"/>
  <c r="J66" i="11"/>
  <c r="J183" i="11"/>
  <c r="J64" i="11"/>
  <c r="J172" i="11"/>
  <c r="J227" i="11"/>
  <c r="J213" i="11"/>
  <c r="J86" i="11"/>
  <c r="J143" i="11"/>
  <c r="J182" i="11"/>
  <c r="J201" i="11"/>
  <c r="J174" i="11"/>
  <c r="J205" i="11"/>
  <c r="J134" i="11"/>
  <c r="J166" i="11"/>
  <c r="J99" i="11"/>
  <c r="J81" i="11"/>
  <c r="J152" i="11"/>
  <c r="J148" i="11"/>
  <c r="J122" i="11"/>
  <c r="J57" i="11"/>
  <c r="J156" i="11"/>
  <c r="J76" i="11"/>
  <c r="J198" i="11"/>
  <c r="J219" i="11"/>
  <c r="J113" i="11"/>
  <c r="J178" i="11"/>
  <c r="J189" i="11"/>
  <c r="J127" i="11"/>
  <c r="J185" i="11"/>
  <c r="J117" i="11"/>
  <c r="J130" i="11"/>
  <c r="J212" i="11"/>
  <c r="J236" i="11"/>
  <c r="J191" i="11"/>
  <c r="J83" i="11"/>
  <c r="J100" i="11"/>
  <c r="J82" i="11"/>
  <c r="J75" i="11"/>
  <c r="J225" i="11"/>
  <c r="J97" i="11"/>
  <c r="J126" i="11"/>
  <c r="J181" i="11"/>
  <c r="J140" i="11"/>
  <c r="J114" i="11"/>
  <c r="J147" i="11"/>
  <c r="J70" i="11"/>
  <c r="J136" i="11"/>
  <c r="J207" i="11"/>
  <c r="J161" i="11"/>
  <c r="J110" i="11"/>
  <c r="J129" i="11"/>
  <c r="J232" i="11"/>
  <c r="J176" i="11"/>
  <c r="J72" i="11"/>
  <c r="J157" i="11"/>
  <c r="J216" i="11"/>
  <c r="J177" i="11"/>
  <c r="J218" i="11"/>
  <c r="J175" i="11"/>
  <c r="J80" i="11"/>
  <c r="J133" i="11"/>
  <c r="J88" i="11"/>
  <c r="J180" i="11"/>
  <c r="J173" i="11"/>
  <c r="J215" i="11"/>
  <c r="J199" i="11"/>
  <c r="J228" i="11"/>
  <c r="J231" i="11"/>
  <c r="J155" i="11"/>
  <c r="J121" i="11"/>
  <c r="J135" i="11"/>
  <c r="J141" i="11"/>
  <c r="J120" i="11"/>
  <c r="J59" i="11"/>
  <c r="J89" i="11"/>
  <c r="J119" i="11"/>
  <c r="J154" i="11"/>
  <c r="J202" i="11"/>
  <c r="J125" i="11"/>
  <c r="J200" i="11"/>
  <c r="J195" i="11"/>
  <c r="J186" i="11"/>
  <c r="J95" i="11"/>
  <c r="J79" i="11"/>
  <c r="J187" i="11"/>
  <c r="J167" i="11"/>
  <c r="J235" i="11"/>
  <c r="J224" i="11"/>
  <c r="J78" i="11"/>
  <c r="J230" i="11"/>
  <c r="J190" i="11"/>
  <c r="J204" i="11"/>
  <c r="J165" i="11"/>
  <c r="J206" i="11"/>
  <c r="J103" i="11"/>
  <c r="J124" i="11"/>
  <c r="J61" i="11"/>
  <c r="J163" i="11"/>
  <c r="J65" i="11"/>
  <c r="J137" i="11"/>
  <c r="J67" i="11"/>
  <c r="J142" i="11"/>
  <c r="J170" i="11"/>
  <c r="J138" i="11"/>
  <c r="J74" i="11"/>
  <c r="J234" i="11"/>
  <c r="J169" i="11"/>
  <c r="J158" i="11"/>
  <c r="J145" i="11"/>
  <c r="J98" i="11"/>
  <c r="J192" i="11"/>
  <c r="J237" i="11"/>
  <c r="J221" i="11"/>
  <c r="J139" i="11"/>
  <c r="J91" i="11"/>
  <c r="J233" i="11"/>
  <c r="J58" i="11"/>
  <c r="J84" i="11"/>
  <c r="J168" i="11"/>
  <c r="J144" i="11"/>
  <c r="J105" i="11"/>
  <c r="J229" i="11"/>
  <c r="J107" i="11"/>
  <c r="J102" i="11"/>
  <c r="J146" i="11"/>
  <c r="J132" i="11"/>
  <c r="J128" i="11"/>
  <c r="J115" i="11"/>
  <c r="J226" i="11"/>
  <c r="J179" i="11"/>
  <c r="J203" i="11"/>
  <c r="J123" i="11"/>
  <c r="J197" i="11"/>
  <c r="J85" i="11"/>
  <c r="J108" i="11"/>
  <c r="J90" i="11"/>
  <c r="J69" i="11"/>
  <c r="J62" i="11"/>
  <c r="J188" i="11"/>
  <c r="J93" i="11"/>
  <c r="J194" i="11"/>
  <c r="J63" i="11"/>
  <c r="J184" i="11"/>
  <c r="J214" i="11"/>
  <c r="J211" i="11"/>
  <c r="J116" i="11"/>
  <c r="J109" i="11"/>
  <c r="J210" i="11"/>
  <c r="J151" i="11"/>
  <c r="J112" i="11"/>
  <c r="J131" i="11"/>
  <c r="J106" i="11"/>
  <c r="J196" i="11"/>
  <c r="J118" i="11"/>
  <c r="J208" i="11"/>
  <c r="J150" i="11"/>
  <c r="J56" i="11"/>
  <c r="J68" i="11"/>
  <c r="J77" i="11"/>
  <c r="J164" i="11"/>
  <c r="J96" i="11"/>
  <c r="J153" i="11"/>
  <c r="J209" i="11"/>
  <c r="J149" i="11"/>
  <c r="J94" i="11"/>
  <c r="E73" i="11"/>
  <c r="E111" i="11"/>
  <c r="E222" i="11"/>
  <c r="E60" i="11"/>
  <c r="E162" i="11"/>
  <c r="E104" i="11"/>
  <c r="E87" i="11"/>
  <c r="E159" i="11"/>
  <c r="E92" i="11"/>
  <c r="E171" i="11"/>
  <c r="E220" i="11"/>
  <c r="E217" i="11"/>
  <c r="E193" i="11"/>
  <c r="E160" i="11"/>
  <c r="E71" i="11"/>
  <c r="E101" i="11"/>
  <c r="E223" i="11"/>
  <c r="E66" i="11"/>
  <c r="E183" i="11"/>
  <c r="E64" i="11"/>
  <c r="E172" i="11"/>
  <c r="E227" i="11"/>
  <c r="E213" i="11"/>
  <c r="E86" i="11"/>
  <c r="E143" i="11"/>
  <c r="E182" i="11"/>
  <c r="E201" i="11"/>
  <c r="E174" i="11"/>
  <c r="E205" i="11"/>
  <c r="E134" i="11"/>
  <c r="E166" i="11"/>
  <c r="E99" i="11"/>
  <c r="E81" i="11"/>
  <c r="E152" i="11"/>
  <c r="E148" i="11"/>
  <c r="E122" i="11"/>
  <c r="E57" i="11"/>
  <c r="E156" i="11"/>
  <c r="E76" i="11"/>
  <c r="E198" i="11"/>
  <c r="E219" i="11"/>
  <c r="E113" i="11"/>
  <c r="E178" i="11"/>
  <c r="E189" i="11"/>
  <c r="E127" i="11"/>
  <c r="E185" i="11"/>
  <c r="E117" i="11"/>
  <c r="E130" i="11"/>
  <c r="E212" i="11"/>
  <c r="E236" i="11"/>
  <c r="E191" i="11"/>
  <c r="E83" i="11"/>
  <c r="E100" i="11"/>
  <c r="E82" i="11"/>
  <c r="E75" i="11"/>
  <c r="E225" i="11"/>
  <c r="E97" i="11"/>
  <c r="E126" i="11"/>
  <c r="E181" i="11"/>
  <c r="E140" i="11"/>
  <c r="E114" i="11"/>
  <c r="E147" i="11"/>
  <c r="E70" i="11"/>
  <c r="E136" i="11"/>
  <c r="E207" i="11"/>
  <c r="E161" i="11"/>
  <c r="E110" i="11"/>
  <c r="E129" i="11"/>
  <c r="E232" i="11"/>
  <c r="E176" i="11"/>
  <c r="E72" i="11"/>
  <c r="E157" i="11"/>
  <c r="E216" i="11"/>
  <c r="E177" i="11"/>
  <c r="E218" i="11"/>
  <c r="E175" i="11"/>
  <c r="E80" i="11"/>
  <c r="E133" i="11"/>
  <c r="E88" i="11"/>
  <c r="E180" i="11"/>
  <c r="E173" i="11"/>
  <c r="E215" i="11"/>
  <c r="E199" i="11"/>
  <c r="E228" i="11"/>
  <c r="E231" i="11"/>
  <c r="E155" i="11"/>
  <c r="E121" i="11"/>
  <c r="E135" i="11"/>
  <c r="E141" i="11"/>
  <c r="E120" i="11"/>
  <c r="E59" i="11"/>
  <c r="E89" i="11"/>
  <c r="E119" i="11"/>
  <c r="E154" i="11"/>
  <c r="E202" i="11"/>
  <c r="E125" i="11"/>
  <c r="E200" i="11"/>
  <c r="E195" i="11"/>
  <c r="E186" i="11"/>
  <c r="E95" i="11"/>
  <c r="E79" i="11"/>
  <c r="E187" i="11"/>
  <c r="E167" i="11"/>
  <c r="E235" i="11"/>
  <c r="E224" i="11"/>
  <c r="E78" i="11"/>
  <c r="E230" i="11"/>
  <c r="E190" i="11"/>
  <c r="E204" i="11"/>
  <c r="E165" i="11"/>
  <c r="E206" i="11"/>
  <c r="E103" i="11"/>
  <c r="E124" i="11"/>
  <c r="E61" i="11"/>
  <c r="E163" i="11"/>
  <c r="E65" i="11"/>
  <c r="E137" i="11"/>
  <c r="E67" i="11"/>
  <c r="E142" i="11"/>
  <c r="E170" i="11"/>
  <c r="E138" i="11"/>
  <c r="E74" i="11"/>
  <c r="E234" i="11"/>
  <c r="E169" i="11"/>
  <c r="E158" i="11"/>
  <c r="E145" i="11"/>
  <c r="E98" i="11"/>
  <c r="E192" i="11"/>
  <c r="E237" i="11"/>
  <c r="E221" i="11"/>
  <c r="E139" i="11"/>
  <c r="E91" i="11"/>
  <c r="E233" i="11"/>
  <c r="E58" i="11"/>
  <c r="E84" i="11"/>
  <c r="E168" i="11"/>
  <c r="E144" i="11"/>
  <c r="E105" i="11"/>
  <c r="E229" i="11"/>
  <c r="E107" i="11"/>
  <c r="E102" i="11"/>
  <c r="E146" i="11"/>
  <c r="E132" i="11"/>
  <c r="E128" i="11"/>
  <c r="E115" i="11"/>
  <c r="E226" i="11"/>
  <c r="E179" i="11"/>
  <c r="E203" i="11"/>
  <c r="E123" i="11"/>
  <c r="E197" i="11"/>
  <c r="E85" i="11"/>
  <c r="E108" i="11"/>
  <c r="E90" i="11"/>
  <c r="E69" i="11"/>
  <c r="E62" i="11"/>
  <c r="E188" i="11"/>
  <c r="E93" i="11"/>
  <c r="E194" i="11"/>
  <c r="E63" i="11"/>
  <c r="E184" i="11"/>
  <c r="E214" i="11"/>
  <c r="E211" i="11"/>
  <c r="E116" i="11"/>
  <c r="E109" i="11"/>
  <c r="E210" i="11"/>
  <c r="E151" i="11"/>
  <c r="E112" i="11"/>
  <c r="E131" i="11"/>
  <c r="E106" i="11"/>
  <c r="E196" i="11"/>
  <c r="E118" i="11"/>
  <c r="E208" i="11"/>
  <c r="E150" i="11"/>
  <c r="E56" i="11"/>
  <c r="E68" i="11"/>
  <c r="E77" i="11"/>
  <c r="E164" i="11"/>
  <c r="E96" i="11"/>
  <c r="E153" i="11"/>
  <c r="E209" i="11"/>
  <c r="E149" i="11"/>
  <c r="E94" i="11"/>
  <c r="A94" i="11"/>
  <c r="O94" i="11" s="1"/>
  <c r="A149" i="11"/>
  <c r="O149" i="11" s="1"/>
  <c r="A20" i="11"/>
  <c r="O20" i="11" s="1"/>
  <c r="P20" i="11" s="1"/>
  <c r="A209" i="11"/>
  <c r="O209" i="11" s="1"/>
  <c r="A153" i="11"/>
  <c r="O153" i="11" s="1"/>
  <c r="A96" i="11"/>
  <c r="O96" i="11" s="1"/>
  <c r="A26" i="11"/>
  <c r="O26" i="11" s="1"/>
  <c r="P26" i="11" s="1"/>
  <c r="A164" i="11"/>
  <c r="O164" i="11" s="1"/>
  <c r="A7" i="11"/>
  <c r="O7" i="11" s="1"/>
  <c r="P7" i="11" s="1"/>
  <c r="A77" i="11"/>
  <c r="O77" i="11" s="1"/>
  <c r="P77" i="11" s="1"/>
  <c r="A68" i="11"/>
  <c r="O68" i="11" s="1"/>
  <c r="A56" i="11"/>
  <c r="O56" i="11" s="1"/>
  <c r="A150" i="11"/>
  <c r="O150" i="11" s="1"/>
  <c r="A208" i="11"/>
  <c r="O208" i="11" s="1"/>
  <c r="A118" i="11"/>
  <c r="O118" i="11" s="1"/>
  <c r="A29" i="11"/>
  <c r="O29" i="11" s="1"/>
  <c r="P29" i="11" s="1"/>
  <c r="A196" i="11"/>
  <c r="O196" i="11" s="1"/>
  <c r="A106" i="11"/>
  <c r="O106" i="11" s="1"/>
  <c r="A131" i="11"/>
  <c r="O131" i="11" s="1"/>
  <c r="A112" i="11"/>
  <c r="O112" i="11" s="1"/>
  <c r="A10" i="11"/>
  <c r="O10" i="11" s="1"/>
  <c r="P10" i="11" s="1"/>
  <c r="A151" i="11"/>
  <c r="O151" i="11" s="1"/>
  <c r="A210" i="11"/>
  <c r="O210" i="11" s="1"/>
  <c r="A109" i="11"/>
  <c r="O109" i="11" s="1"/>
  <c r="A116" i="11"/>
  <c r="O116" i="11" s="1"/>
  <c r="A211" i="11"/>
  <c r="O211" i="11" s="1"/>
  <c r="A214" i="11"/>
  <c r="O214" i="11" s="1"/>
  <c r="A184" i="11"/>
  <c r="O184" i="11" s="1"/>
  <c r="A63" i="11"/>
  <c r="O63" i="11" s="1"/>
  <c r="A6" i="11"/>
  <c r="O6" i="11" s="1"/>
  <c r="P6" i="11" s="1"/>
  <c r="A13" i="11"/>
  <c r="O13" i="11" s="1"/>
  <c r="P13" i="11" s="1"/>
  <c r="A194" i="11"/>
  <c r="O194" i="11" s="1"/>
  <c r="A54" i="11"/>
  <c r="O54" i="11" s="1"/>
  <c r="P54" i="11" s="1"/>
  <c r="A93" i="11"/>
  <c r="O93" i="11" s="1"/>
  <c r="A46" i="11"/>
  <c r="O46" i="11" s="1"/>
  <c r="P46" i="11" s="1"/>
  <c r="A188" i="11"/>
  <c r="O188" i="11" s="1"/>
  <c r="A14" i="11"/>
  <c r="O14" i="11" s="1"/>
  <c r="P14" i="11" s="1"/>
  <c r="A62" i="11"/>
  <c r="O62" i="11" s="1"/>
  <c r="A39" i="11"/>
  <c r="O39" i="11" s="1"/>
  <c r="P39" i="11" s="1"/>
  <c r="A69" i="11"/>
  <c r="O69" i="11" s="1"/>
  <c r="A90" i="11"/>
  <c r="O90" i="11" s="1"/>
  <c r="A108" i="11"/>
  <c r="O108" i="11" s="1"/>
  <c r="A47" i="11"/>
  <c r="O47" i="11" s="1"/>
  <c r="P47" i="11" s="1"/>
  <c r="A40" i="11"/>
  <c r="O40" i="11" s="1"/>
  <c r="P40" i="11" s="1"/>
  <c r="A85" i="11"/>
  <c r="O85" i="11" s="1"/>
  <c r="A197" i="11"/>
  <c r="O197" i="11" s="1"/>
  <c r="A12" i="11"/>
  <c r="O12" i="11" s="1"/>
  <c r="P12" i="11" s="1"/>
  <c r="A123" i="11"/>
  <c r="O123" i="11" s="1"/>
  <c r="A203" i="11"/>
  <c r="O203" i="11" s="1"/>
  <c r="A3" i="11"/>
  <c r="O3" i="11" s="1"/>
  <c r="P3" i="11" s="1"/>
  <c r="A179" i="11"/>
  <c r="O179" i="11" s="1"/>
  <c r="A226" i="11"/>
  <c r="O226" i="11" s="1"/>
  <c r="A115" i="11"/>
  <c r="O115" i="11" s="1"/>
  <c r="A128" i="11"/>
  <c r="O128" i="11" s="1"/>
  <c r="A132" i="11"/>
  <c r="O132" i="11" s="1"/>
  <c r="A146" i="11"/>
  <c r="O146" i="11" s="1"/>
  <c r="A15" i="11"/>
  <c r="O15" i="11" s="1"/>
  <c r="P15" i="11" s="1"/>
  <c r="A33" i="11"/>
  <c r="O33" i="11" s="1"/>
  <c r="P33" i="11" s="1"/>
  <c r="A102" i="11"/>
  <c r="O102" i="11" s="1"/>
  <c r="A48" i="11"/>
  <c r="O48" i="11" s="1"/>
  <c r="P48" i="11" s="1"/>
  <c r="A30" i="11"/>
  <c r="O30" i="11" s="1"/>
  <c r="P30" i="11" s="1"/>
  <c r="A107" i="11"/>
  <c r="O107" i="11" s="1"/>
  <c r="A229" i="11"/>
  <c r="O229" i="11" s="1"/>
  <c r="A105" i="11"/>
  <c r="O105" i="11" s="1"/>
  <c r="A23" i="11"/>
  <c r="O23" i="11" s="1"/>
  <c r="P23" i="11" s="1"/>
  <c r="A45" i="11"/>
  <c r="O45" i="11" s="1"/>
  <c r="P45" i="11" s="1"/>
  <c r="A144" i="11"/>
  <c r="O144" i="11" s="1"/>
  <c r="P144" i="11" s="1"/>
  <c r="A55" i="11"/>
  <c r="O55" i="11" s="1"/>
  <c r="P55" i="11" s="1"/>
  <c r="A168" i="11"/>
  <c r="O168" i="11" s="1"/>
  <c r="A84" i="11"/>
  <c r="O84" i="11" s="1"/>
  <c r="A25" i="11"/>
  <c r="O25" i="11" s="1"/>
  <c r="P25" i="11" s="1"/>
  <c r="A58" i="11"/>
  <c r="O58" i="11" s="1"/>
  <c r="A233" i="11"/>
  <c r="O233" i="11" s="1"/>
  <c r="A91" i="11"/>
  <c r="O91" i="11" s="1"/>
  <c r="A139" i="11"/>
  <c r="O139" i="11" s="1"/>
  <c r="A221" i="11"/>
  <c r="O221" i="11" s="1"/>
  <c r="A237" i="11"/>
  <c r="O237" i="11" s="1"/>
  <c r="A192" i="11"/>
  <c r="O192" i="11" s="1"/>
  <c r="A98" i="11"/>
  <c r="O98" i="11" s="1"/>
  <c r="A4" i="11"/>
  <c r="O4" i="11" s="1"/>
  <c r="P4" i="11" s="1"/>
  <c r="A145" i="11"/>
  <c r="O145" i="11" s="1"/>
  <c r="A158" i="11"/>
  <c r="O158" i="11" s="1"/>
  <c r="A169" i="11"/>
  <c r="O169" i="11" s="1"/>
  <c r="A234" i="11"/>
  <c r="O234" i="11" s="1"/>
  <c r="A74" i="11"/>
  <c r="O74" i="11" s="1"/>
  <c r="P74" i="11" s="1"/>
  <c r="A37" i="11"/>
  <c r="O37" i="11" s="1"/>
  <c r="P37" i="11" s="1"/>
  <c r="A51" i="11"/>
  <c r="O51" i="11" s="1"/>
  <c r="P51" i="11" s="1"/>
  <c r="A16" i="11"/>
  <c r="O16" i="11" s="1"/>
  <c r="P16" i="11" s="1"/>
  <c r="A138" i="11"/>
  <c r="O138" i="11" s="1"/>
  <c r="A170" i="11"/>
  <c r="O170" i="11" s="1"/>
  <c r="A142" i="11"/>
  <c r="O142" i="11" s="1"/>
  <c r="A67" i="11"/>
  <c r="O67" i="11" s="1"/>
  <c r="A137" i="11"/>
  <c r="O137" i="11" s="1"/>
  <c r="A11" i="11"/>
  <c r="O11" i="11" s="1"/>
  <c r="P11" i="11" s="1"/>
  <c r="A65" i="11"/>
  <c r="O65" i="11" s="1"/>
  <c r="A52" i="11"/>
  <c r="O52" i="11" s="1"/>
  <c r="P52" i="11" s="1"/>
  <c r="A163" i="11"/>
  <c r="O163" i="11" s="1"/>
  <c r="A61" i="11"/>
  <c r="O61" i="11" s="1"/>
  <c r="A124" i="11"/>
  <c r="O124" i="11" s="1"/>
  <c r="A103" i="11"/>
  <c r="O103" i="11" s="1"/>
  <c r="A206" i="11"/>
  <c r="O206" i="11" s="1"/>
  <c r="A165" i="11"/>
  <c r="O165" i="11" s="1"/>
  <c r="A204" i="11"/>
  <c r="O204" i="11" s="1"/>
  <c r="A190" i="11"/>
  <c r="O190" i="11" s="1"/>
  <c r="A230" i="11"/>
  <c r="A49" i="11"/>
  <c r="O49" i="11" s="1"/>
  <c r="P49" i="11" s="1"/>
  <c r="A78" i="11"/>
  <c r="O78" i="11" s="1"/>
  <c r="A21" i="11"/>
  <c r="O21" i="11" s="1"/>
  <c r="P21" i="11" s="1"/>
  <c r="A224" i="11"/>
  <c r="O224" i="11" s="1"/>
  <c r="A235" i="11"/>
  <c r="O235" i="11" s="1"/>
  <c r="A167" i="11"/>
  <c r="O167" i="11" s="1"/>
  <c r="A53" i="11"/>
  <c r="O53" i="11" s="1"/>
  <c r="P53" i="11" s="1"/>
  <c r="A42" i="11"/>
  <c r="O42" i="11" s="1"/>
  <c r="P42" i="11" s="1"/>
  <c r="A187" i="11"/>
  <c r="O187" i="11" s="1"/>
  <c r="A79" i="11"/>
  <c r="O79" i="11" s="1"/>
  <c r="A95" i="11"/>
  <c r="O95" i="11" s="1"/>
  <c r="A186" i="11"/>
  <c r="O186" i="11" s="1"/>
  <c r="A31" i="11"/>
  <c r="O31" i="11" s="1"/>
  <c r="P31" i="11" s="1"/>
  <c r="A195" i="11"/>
  <c r="O195" i="11" s="1"/>
  <c r="A200" i="11"/>
  <c r="O200" i="11" s="1"/>
  <c r="A125" i="11"/>
  <c r="O125" i="11" s="1"/>
  <c r="A202" i="11"/>
  <c r="O202" i="11" s="1"/>
  <c r="A154" i="11"/>
  <c r="O154" i="11" s="1"/>
  <c r="A9" i="11"/>
  <c r="O9" i="11" s="1"/>
  <c r="P9" i="11" s="1"/>
  <c r="A119" i="11"/>
  <c r="O119" i="11" s="1"/>
  <c r="A8" i="11"/>
  <c r="O8" i="11" s="1"/>
  <c r="P8" i="11" s="1"/>
  <c r="A89" i="11"/>
  <c r="O89" i="11" s="1"/>
  <c r="A24" i="11"/>
  <c r="O24" i="11" s="1"/>
  <c r="P24" i="11" s="1"/>
  <c r="A59" i="11"/>
  <c r="O59" i="11" s="1"/>
  <c r="A120" i="11"/>
  <c r="O120" i="11" s="1"/>
  <c r="A141" i="11"/>
  <c r="O141" i="11" s="1"/>
  <c r="P141" i="11" s="1"/>
  <c r="A135" i="11"/>
  <c r="O135" i="11" s="1"/>
  <c r="A121" i="11"/>
  <c r="O121" i="11" s="1"/>
  <c r="A155" i="11"/>
  <c r="O155" i="11" s="1"/>
  <c r="A231" i="11"/>
  <c r="O231" i="11" s="1"/>
  <c r="A228" i="11"/>
  <c r="O228" i="11" s="1"/>
  <c r="A199" i="11"/>
  <c r="O199" i="11" s="1"/>
  <c r="A215" i="11"/>
  <c r="O215" i="11" s="1"/>
  <c r="A19" i="11"/>
  <c r="O19" i="11" s="1"/>
  <c r="P19" i="11" s="1"/>
  <c r="A173" i="11"/>
  <c r="O173" i="11" s="1"/>
  <c r="A180" i="11"/>
  <c r="O180" i="11" s="1"/>
  <c r="A88" i="11"/>
  <c r="O88" i="11" s="1"/>
  <c r="A133" i="11"/>
  <c r="O133" i="11" s="1"/>
  <c r="A80" i="11"/>
  <c r="O80" i="11" s="1"/>
  <c r="A34" i="11"/>
  <c r="O34" i="11" s="1"/>
  <c r="P34" i="11" s="1"/>
  <c r="A175" i="11"/>
  <c r="O175" i="11" s="1"/>
  <c r="A218" i="11"/>
  <c r="O218" i="11" s="1"/>
  <c r="A22" i="11"/>
  <c r="O22" i="11" s="1"/>
  <c r="P22" i="11" s="1"/>
  <c r="A177" i="11"/>
  <c r="O177" i="11" s="1"/>
  <c r="A216" i="11"/>
  <c r="O216" i="11" s="1"/>
  <c r="A157" i="11"/>
  <c r="O157" i="11" s="1"/>
  <c r="A72" i="11"/>
  <c r="O72" i="11" s="1"/>
  <c r="A176" i="11"/>
  <c r="O176" i="11" s="1"/>
  <c r="A232" i="11"/>
  <c r="O232" i="11" s="1"/>
  <c r="A129" i="11"/>
  <c r="O129" i="11" s="1"/>
  <c r="A110" i="11"/>
  <c r="O110" i="11" s="1"/>
  <c r="A161" i="11"/>
  <c r="O161" i="11" s="1"/>
  <c r="A207" i="11"/>
  <c r="O207" i="11" s="1"/>
  <c r="A136" i="11"/>
  <c r="O136" i="11" s="1"/>
  <c r="A70" i="11"/>
  <c r="O70" i="11" s="1"/>
  <c r="A32" i="11"/>
  <c r="O32" i="11" s="1"/>
  <c r="P32" i="11" s="1"/>
  <c r="A147" i="11"/>
  <c r="O147" i="11" s="1"/>
  <c r="A114" i="11"/>
  <c r="O114" i="11" s="1"/>
  <c r="A140" i="11"/>
  <c r="O140" i="11" s="1"/>
  <c r="A181" i="11"/>
  <c r="O181" i="11" s="1"/>
  <c r="A126" i="11"/>
  <c r="O126" i="11" s="1"/>
  <c r="A97" i="11"/>
  <c r="O97" i="11" s="1"/>
  <c r="A225" i="11"/>
  <c r="O225" i="11" s="1"/>
  <c r="A35" i="11"/>
  <c r="O35" i="11" s="1"/>
  <c r="P35" i="11" s="1"/>
  <c r="A75" i="11"/>
  <c r="O75" i="11" s="1"/>
  <c r="A82" i="11"/>
  <c r="O82" i="11" s="1"/>
  <c r="A100" i="11"/>
  <c r="O100" i="11" s="1"/>
  <c r="A83" i="11"/>
  <c r="O83" i="11" s="1"/>
  <c r="A191" i="11"/>
  <c r="O191" i="11" s="1"/>
  <c r="A236" i="11"/>
  <c r="O236" i="11" s="1"/>
  <c r="A212" i="11"/>
  <c r="O212" i="11" s="1"/>
  <c r="A130" i="11"/>
  <c r="O130" i="11" s="1"/>
  <c r="A50" i="11"/>
  <c r="O50" i="11" s="1"/>
  <c r="P50" i="11" s="1"/>
  <c r="A43" i="11"/>
  <c r="O43" i="11" s="1"/>
  <c r="P43" i="11" s="1"/>
  <c r="A117" i="11"/>
  <c r="O117" i="11" s="1"/>
  <c r="A185" i="11"/>
  <c r="O185" i="11" s="1"/>
  <c r="A2" i="11"/>
  <c r="O2" i="11" s="1"/>
  <c r="P2" i="11" s="1"/>
  <c r="A127" i="11"/>
  <c r="O127" i="11" s="1"/>
  <c r="A189" i="11"/>
  <c r="O189" i="11" s="1"/>
  <c r="A178" i="11"/>
  <c r="O178" i="11" s="1"/>
  <c r="A113" i="11"/>
  <c r="O113" i="11" s="1"/>
  <c r="A219" i="11"/>
  <c r="O219" i="11" s="1"/>
  <c r="A198" i="11"/>
  <c r="O198" i="11" s="1"/>
  <c r="A76" i="11"/>
  <c r="O76" i="11" s="1"/>
  <c r="A27" i="11"/>
  <c r="O27" i="11" s="1"/>
  <c r="P27" i="11" s="1"/>
  <c r="A156" i="11"/>
  <c r="O156" i="11" s="1"/>
  <c r="A57" i="11"/>
  <c r="O57" i="11" s="1"/>
  <c r="A122" i="11"/>
  <c r="O122" i="11" s="1"/>
  <c r="A44" i="11"/>
  <c r="O44" i="11" s="1"/>
  <c r="P44" i="11" s="1"/>
  <c r="A148" i="11"/>
  <c r="O148" i="11" s="1"/>
  <c r="A152" i="11"/>
  <c r="O152" i="11" s="1"/>
  <c r="A5" i="11"/>
  <c r="O5" i="11" s="1"/>
  <c r="P5" i="11" s="1"/>
  <c r="A81" i="11"/>
  <c r="O81" i="11" s="1"/>
  <c r="A99" i="11"/>
  <c r="O99" i="11" s="1"/>
  <c r="A166" i="11"/>
  <c r="O166" i="11" s="1"/>
  <c r="A134" i="11"/>
  <c r="O134" i="11" s="1"/>
  <c r="A205" i="11"/>
  <c r="O205" i="11" s="1"/>
  <c r="A174" i="11"/>
  <c r="O174" i="11" s="1"/>
  <c r="A201" i="11"/>
  <c r="O201" i="11" s="1"/>
  <c r="A28" i="11"/>
  <c r="O28" i="11" s="1"/>
  <c r="P28" i="11" s="1"/>
  <c r="A182" i="11"/>
  <c r="O182" i="11" s="1"/>
  <c r="A36" i="11"/>
  <c r="O36" i="11" s="1"/>
  <c r="P36" i="11" s="1"/>
  <c r="A143" i="11"/>
  <c r="O143" i="11" s="1"/>
  <c r="A86" i="11"/>
  <c r="O86" i="11" s="1"/>
  <c r="A213" i="11"/>
  <c r="O213" i="11" s="1"/>
  <c r="A17" i="11"/>
  <c r="O17" i="11" s="1"/>
  <c r="P17" i="11" s="1"/>
  <c r="A227" i="11"/>
  <c r="O227" i="11" s="1"/>
  <c r="A172" i="11"/>
  <c r="O172" i="11" s="1"/>
  <c r="A64" i="11"/>
  <c r="O64" i="11" s="1"/>
  <c r="A183" i="11"/>
  <c r="O183" i="11" s="1"/>
  <c r="A66" i="11"/>
  <c r="O66" i="11" s="1"/>
  <c r="A223" i="11"/>
  <c r="O223" i="11" s="1"/>
  <c r="A101" i="11"/>
  <c r="O101" i="11" s="1"/>
  <c r="A41" i="11"/>
  <c r="O41" i="11" s="1"/>
  <c r="P41" i="11" s="1"/>
  <c r="A38" i="11"/>
  <c r="O38" i="11" s="1"/>
  <c r="P38" i="11" s="1"/>
  <c r="A71" i="11"/>
  <c r="O71" i="11" s="1"/>
  <c r="A160" i="11"/>
  <c r="O160" i="11" s="1"/>
  <c r="A193" i="11"/>
  <c r="O193" i="11" s="1"/>
  <c r="A217" i="11"/>
  <c r="O217" i="11" s="1"/>
  <c r="A220" i="11"/>
  <c r="O220" i="11" s="1"/>
  <c r="A171" i="11"/>
  <c r="O171" i="11" s="1"/>
  <c r="P171" i="11" s="1"/>
  <c r="A92" i="11"/>
  <c r="O92" i="11" s="1"/>
  <c r="A159" i="11"/>
  <c r="O159" i="11" s="1"/>
  <c r="A87" i="11"/>
  <c r="O87" i="11" s="1"/>
  <c r="A104" i="11"/>
  <c r="O104" i="11" s="1"/>
  <c r="A162" i="11"/>
  <c r="O162" i="11" s="1"/>
  <c r="A60" i="11"/>
  <c r="O60" i="11" s="1"/>
  <c r="A222" i="11"/>
  <c r="O222" i="11" s="1"/>
  <c r="A111" i="11"/>
  <c r="O111" i="11" s="1"/>
  <c r="A73" i="11"/>
  <c r="O73" i="11" s="1"/>
  <c r="A18" i="11"/>
  <c r="O18" i="11" s="1"/>
  <c r="P18" i="11" s="1"/>
  <c r="P60" i="12" l="1"/>
  <c r="P74" i="12"/>
  <c r="P107" i="12"/>
  <c r="P63" i="12"/>
  <c r="P78" i="12"/>
  <c r="P135" i="12"/>
  <c r="P139" i="12"/>
  <c r="P99" i="12"/>
  <c r="P82" i="12"/>
  <c r="P97" i="12"/>
  <c r="P46" i="12"/>
  <c r="P88" i="12"/>
  <c r="P47" i="12"/>
  <c r="P70" i="12"/>
  <c r="P89" i="12"/>
  <c r="P55" i="12"/>
  <c r="P138" i="12"/>
  <c r="P83" i="12"/>
  <c r="P77" i="12"/>
  <c r="P119" i="12"/>
  <c r="P69" i="12"/>
  <c r="P123" i="12"/>
  <c r="P122" i="12"/>
  <c r="P80" i="12"/>
  <c r="P65" i="12"/>
  <c r="P66" i="12"/>
  <c r="P129" i="12"/>
  <c r="P50" i="12"/>
  <c r="P86" i="12"/>
  <c r="P54" i="12"/>
  <c r="P91" i="12"/>
  <c r="P62" i="12"/>
  <c r="P106" i="12"/>
  <c r="P126" i="12"/>
  <c r="P59" i="12"/>
  <c r="P75" i="12"/>
  <c r="P112" i="12"/>
  <c r="P115" i="12"/>
  <c r="P52" i="12"/>
  <c r="P71" i="12"/>
  <c r="P101" i="12"/>
  <c r="P116" i="12"/>
  <c r="P120" i="12"/>
  <c r="P94" i="12"/>
  <c r="P113" i="12"/>
  <c r="P56" i="12"/>
  <c r="P58" i="12"/>
  <c r="P67" i="12"/>
  <c r="P85" i="12"/>
  <c r="P108" i="12"/>
  <c r="P48" i="12"/>
  <c r="P53" i="12"/>
  <c r="P73" i="12"/>
  <c r="P90" i="12"/>
  <c r="P96" i="12"/>
  <c r="P114" i="12"/>
  <c r="P118" i="12"/>
  <c r="P134" i="12"/>
  <c r="P109" i="12"/>
  <c r="P103" i="12"/>
  <c r="P121" i="12"/>
  <c r="P130" i="12"/>
  <c r="P84" i="12"/>
  <c r="P125" i="12"/>
  <c r="P137" i="12"/>
  <c r="P51" i="12"/>
  <c r="P72" i="12"/>
  <c r="P92" i="12"/>
  <c r="P68" i="12"/>
  <c r="P93" i="12"/>
  <c r="P128" i="12"/>
  <c r="P57" i="12"/>
  <c r="P98" i="12"/>
  <c r="P105" i="12"/>
  <c r="P76" i="12"/>
  <c r="P104" i="12"/>
  <c r="P142" i="12"/>
  <c r="P124" i="12"/>
  <c r="P132" i="12"/>
  <c r="P136" i="12"/>
  <c r="P110" i="12"/>
  <c r="P79" i="12"/>
  <c r="P95" i="12"/>
  <c r="P102" i="12"/>
  <c r="P133" i="12"/>
  <c r="P140" i="12"/>
  <c r="P64" i="12"/>
  <c r="P81" i="12"/>
  <c r="P49" i="12"/>
  <c r="P100" i="12"/>
  <c r="P111" i="12"/>
  <c r="P117" i="12"/>
  <c r="P143" i="12"/>
  <c r="P61" i="12"/>
  <c r="P127" i="12"/>
  <c r="P87" i="12"/>
  <c r="P219" i="11"/>
  <c r="P113" i="11"/>
  <c r="P178" i="11"/>
  <c r="P81" i="11"/>
  <c r="P227" i="11"/>
  <c r="P114" i="11"/>
  <c r="P175" i="11"/>
  <c r="P198" i="11"/>
  <c r="P159" i="11"/>
  <c r="P130" i="11"/>
  <c r="P85" i="11"/>
  <c r="P84" i="11"/>
  <c r="P197" i="11"/>
  <c r="P225" i="11"/>
  <c r="P82" i="11"/>
  <c r="P129" i="11"/>
  <c r="P75" i="11"/>
  <c r="P157" i="11"/>
  <c r="P127" i="11"/>
  <c r="P162" i="11"/>
  <c r="P95" i="11"/>
  <c r="P83" i="11"/>
  <c r="P206" i="11"/>
  <c r="P190" i="11"/>
  <c r="P174" i="11"/>
  <c r="P207" i="11"/>
  <c r="P63" i="11"/>
  <c r="P121" i="11"/>
  <c r="P62" i="11"/>
  <c r="P223" i="11"/>
  <c r="P78" i="11"/>
  <c r="P177" i="11"/>
  <c r="P126" i="11"/>
  <c r="P224" i="11"/>
  <c r="P97" i="11"/>
  <c r="P160" i="11"/>
  <c r="P146" i="11"/>
  <c r="P125" i="11"/>
  <c r="P106" i="11"/>
  <c r="P216" i="11"/>
  <c r="P143" i="11"/>
  <c r="P158" i="11"/>
  <c r="P59" i="11"/>
  <c r="P145" i="11"/>
  <c r="P142" i="11"/>
  <c r="P80" i="11"/>
  <c r="P105" i="11"/>
  <c r="P194" i="11"/>
  <c r="P67" i="11"/>
  <c r="P193" i="11"/>
  <c r="P98" i="11"/>
  <c r="P210" i="11"/>
  <c r="P100" i="11"/>
  <c r="P235" i="11"/>
  <c r="P192" i="11"/>
  <c r="P208" i="11"/>
  <c r="P209" i="11"/>
  <c r="P128" i="11"/>
  <c r="P234" i="11"/>
  <c r="P218" i="11"/>
  <c r="P201" i="11"/>
  <c r="P170" i="11"/>
  <c r="P112" i="11"/>
  <c r="P90" i="11"/>
  <c r="P138" i="11"/>
  <c r="P168" i="11"/>
  <c r="P213" i="11"/>
  <c r="P151" i="11"/>
  <c r="P187" i="11"/>
  <c r="P104" i="11"/>
  <c r="P233" i="11"/>
  <c r="P91" i="11"/>
  <c r="P60" i="11"/>
  <c r="P139" i="11"/>
  <c r="P199" i="11"/>
  <c r="P148" i="11"/>
  <c r="P164" i="11"/>
  <c r="P214" i="11"/>
  <c r="P115" i="11"/>
  <c r="P237" i="11"/>
  <c r="P124" i="11"/>
  <c r="P200" i="11"/>
  <c r="P173" i="11"/>
  <c r="P212" i="11"/>
  <c r="P73" i="11"/>
  <c r="P167" i="11"/>
  <c r="P123" i="11"/>
  <c r="P232" i="11"/>
  <c r="P65" i="11"/>
  <c r="P191" i="11"/>
  <c r="P61" i="11"/>
  <c r="P152" i="11"/>
  <c r="P70" i="11"/>
  <c r="P56" i="11"/>
  <c r="P165" i="11"/>
  <c r="P154" i="11"/>
  <c r="P133" i="11"/>
  <c r="P147" i="11"/>
  <c r="P185" i="11"/>
  <c r="P134" i="11"/>
  <c r="P72" i="11"/>
  <c r="P87" i="11"/>
  <c r="P94" i="11"/>
  <c r="P58" i="11"/>
  <c r="P155" i="11"/>
  <c r="P156" i="11"/>
  <c r="P149" i="11"/>
  <c r="P231" i="11"/>
  <c r="P172" i="11"/>
  <c r="P116" i="11"/>
  <c r="P110" i="11"/>
  <c r="P222" i="11"/>
  <c r="P221" i="11"/>
  <c r="P150" i="11"/>
  <c r="P93" i="11"/>
  <c r="P102" i="11"/>
  <c r="P204" i="11"/>
  <c r="P119" i="11"/>
  <c r="P205" i="11"/>
  <c r="P92" i="11"/>
  <c r="P131" i="11"/>
  <c r="P135" i="11"/>
  <c r="P86" i="11"/>
  <c r="P203" i="11"/>
  <c r="P228" i="11"/>
  <c r="P64" i="11"/>
  <c r="P179" i="11"/>
  <c r="P226" i="11"/>
  <c r="P161" i="11"/>
  <c r="P111" i="11"/>
  <c r="P136" i="11"/>
  <c r="P99" i="11"/>
  <c r="P166" i="11"/>
  <c r="P188" i="11"/>
  <c r="P107" i="11"/>
  <c r="P169" i="11"/>
  <c r="P89" i="11"/>
  <c r="P140" i="11"/>
  <c r="P189" i="11"/>
  <c r="P217" i="11"/>
  <c r="P76" i="11"/>
  <c r="P79" i="11"/>
  <c r="P109" i="11"/>
  <c r="P122" i="11"/>
  <c r="P153" i="11"/>
  <c r="P186" i="11"/>
  <c r="P183" i="11"/>
  <c r="P96" i="11"/>
  <c r="P195" i="11"/>
  <c r="P236" i="11"/>
  <c r="P184" i="11"/>
  <c r="P88" i="11"/>
  <c r="P118" i="11"/>
  <c r="P229" i="11"/>
  <c r="P230" i="11"/>
  <c r="P181" i="11"/>
  <c r="P220" i="11"/>
  <c r="P108" i="11"/>
  <c r="P176" i="11"/>
  <c r="P137" i="11"/>
  <c r="P57" i="11"/>
  <c r="P163" i="11"/>
  <c r="P211" i="11"/>
  <c r="P215" i="11"/>
  <c r="P66" i="11"/>
  <c r="P103" i="11"/>
  <c r="P180" i="11"/>
  <c r="P101" i="11"/>
  <c r="P68" i="11"/>
  <c r="P132" i="11"/>
  <c r="P202" i="11"/>
  <c r="P117" i="11"/>
  <c r="P71" i="11"/>
  <c r="P196" i="11"/>
  <c r="P69" i="11"/>
  <c r="P120" i="11"/>
  <c r="P182" i="11"/>
  <c r="N75" i="9"/>
  <c r="J75" i="9"/>
  <c r="E75" i="9"/>
  <c r="A75" i="9"/>
  <c r="O75" i="9" s="1"/>
  <c r="N74" i="9"/>
  <c r="J74" i="9"/>
  <c r="E74" i="9"/>
  <c r="A74" i="9"/>
  <c r="O74" i="9" s="1"/>
  <c r="N73" i="9"/>
  <c r="J73" i="9"/>
  <c r="E73" i="9"/>
  <c r="A73" i="9"/>
  <c r="O73" i="9" s="1"/>
  <c r="N72" i="9"/>
  <c r="J72" i="9"/>
  <c r="E72" i="9"/>
  <c r="A72" i="9"/>
  <c r="O72" i="9" s="1"/>
  <c r="N71" i="9"/>
  <c r="J71" i="9"/>
  <c r="E71" i="9"/>
  <c r="A71" i="9"/>
  <c r="O71" i="9" s="1"/>
  <c r="P71" i="9" s="1"/>
  <c r="N70" i="9"/>
  <c r="J70" i="9"/>
  <c r="E70" i="9"/>
  <c r="A70" i="9"/>
  <c r="O70" i="9" s="1"/>
  <c r="N69" i="9"/>
  <c r="J69" i="9"/>
  <c r="E69" i="9"/>
  <c r="A69" i="9"/>
  <c r="O69" i="9" s="1"/>
  <c r="N68" i="9"/>
  <c r="J68" i="9"/>
  <c r="E68" i="9"/>
  <c r="A68" i="9"/>
  <c r="O68" i="9" s="1"/>
  <c r="N67" i="9"/>
  <c r="J67" i="9"/>
  <c r="E67" i="9"/>
  <c r="A67" i="9"/>
  <c r="O67" i="9" s="1"/>
  <c r="N66" i="9"/>
  <c r="J66" i="9"/>
  <c r="E66" i="9"/>
  <c r="A66" i="9"/>
  <c r="O66" i="9" s="1"/>
  <c r="N65" i="9"/>
  <c r="J65" i="9"/>
  <c r="E65" i="9"/>
  <c r="A65" i="9"/>
  <c r="O65" i="9" s="1"/>
  <c r="N64" i="9"/>
  <c r="J64" i="9"/>
  <c r="E64" i="9"/>
  <c r="A64" i="9"/>
  <c r="O64" i="9" s="1"/>
  <c r="N63" i="9"/>
  <c r="J63" i="9"/>
  <c r="E63" i="9"/>
  <c r="A63" i="9"/>
  <c r="O63" i="9" s="1"/>
  <c r="N62" i="9"/>
  <c r="J62" i="9"/>
  <c r="E62" i="9"/>
  <c r="A62" i="9"/>
  <c r="O62" i="9" s="1"/>
  <c r="N61" i="9"/>
  <c r="J61" i="9"/>
  <c r="E61" i="9"/>
  <c r="A61" i="9"/>
  <c r="O61" i="9" s="1"/>
  <c r="N60" i="9"/>
  <c r="J60" i="9"/>
  <c r="E60" i="9"/>
  <c r="A60" i="9"/>
  <c r="O60" i="9" s="1"/>
  <c r="N59" i="9"/>
  <c r="J59" i="9"/>
  <c r="E59" i="9"/>
  <c r="A59" i="9"/>
  <c r="O59" i="9" s="1"/>
  <c r="N58" i="9"/>
  <c r="J58" i="9"/>
  <c r="E58" i="9"/>
  <c r="A58" i="9"/>
  <c r="O58" i="9" s="1"/>
  <c r="N57" i="9"/>
  <c r="J57" i="9"/>
  <c r="E57" i="9"/>
  <c r="A57" i="9"/>
  <c r="O57" i="9" s="1"/>
  <c r="N56" i="9"/>
  <c r="J56" i="9"/>
  <c r="E56" i="9"/>
  <c r="A56" i="9"/>
  <c r="O56" i="9" s="1"/>
  <c r="N55" i="9"/>
  <c r="J55" i="9"/>
  <c r="E55" i="9"/>
  <c r="A55" i="9"/>
  <c r="O55" i="9" s="1"/>
  <c r="N54" i="9"/>
  <c r="J54" i="9"/>
  <c r="E54" i="9"/>
  <c r="A54" i="9"/>
  <c r="O54" i="9" s="1"/>
  <c r="N53" i="9"/>
  <c r="J53" i="9"/>
  <c r="E53" i="9"/>
  <c r="A53" i="9"/>
  <c r="O53" i="9" s="1"/>
  <c r="N52" i="9"/>
  <c r="J52" i="9"/>
  <c r="E52" i="9"/>
  <c r="A52" i="9"/>
  <c r="O52" i="9" s="1"/>
  <c r="N51" i="9"/>
  <c r="J51" i="9"/>
  <c r="E51" i="9"/>
  <c r="A51" i="9"/>
  <c r="O51" i="9" s="1"/>
  <c r="N50" i="9"/>
  <c r="J50" i="9"/>
  <c r="E50" i="9"/>
  <c r="A50" i="9"/>
  <c r="O50" i="9" s="1"/>
  <c r="N49" i="9"/>
  <c r="J49" i="9"/>
  <c r="E49" i="9"/>
  <c r="A49" i="9"/>
  <c r="O49" i="9" s="1"/>
  <c r="N48" i="9"/>
  <c r="J48" i="9"/>
  <c r="E48" i="9"/>
  <c r="A48" i="9"/>
  <c r="O48" i="9" s="1"/>
  <c r="N47" i="9"/>
  <c r="J47" i="9"/>
  <c r="E47" i="9"/>
  <c r="A47" i="9"/>
  <c r="O47" i="9" s="1"/>
  <c r="N46" i="9"/>
  <c r="J46" i="9"/>
  <c r="E46" i="9"/>
  <c r="A46" i="9"/>
  <c r="O46" i="9" s="1"/>
  <c r="N45" i="9"/>
  <c r="J45" i="9"/>
  <c r="E45" i="9"/>
  <c r="A45" i="9"/>
  <c r="O45" i="9" s="1"/>
  <c r="N44" i="9"/>
  <c r="J44" i="9"/>
  <c r="E44" i="9"/>
  <c r="A44" i="9"/>
  <c r="O44" i="9" s="1"/>
  <c r="N43" i="9"/>
  <c r="J43" i="9"/>
  <c r="E43" i="9"/>
  <c r="A43" i="9"/>
  <c r="O43" i="9" s="1"/>
  <c r="N42" i="9"/>
  <c r="J42" i="9"/>
  <c r="E42" i="9"/>
  <c r="A42" i="9"/>
  <c r="O42" i="9" s="1"/>
  <c r="N41" i="9"/>
  <c r="J41" i="9"/>
  <c r="E41" i="9"/>
  <c r="A41" i="9"/>
  <c r="O41" i="9" s="1"/>
  <c r="P41" i="9" s="1"/>
  <c r="N40" i="9"/>
  <c r="J40" i="9"/>
  <c r="E40" i="9"/>
  <c r="A40" i="9"/>
  <c r="O40" i="9" s="1"/>
  <c r="N39" i="9"/>
  <c r="J39" i="9"/>
  <c r="E39" i="9"/>
  <c r="A39" i="9"/>
  <c r="O39" i="9" s="1"/>
  <c r="P39" i="9" s="1"/>
  <c r="N38" i="9"/>
  <c r="J38" i="9"/>
  <c r="E38" i="9"/>
  <c r="A38" i="9"/>
  <c r="O38" i="9" s="1"/>
  <c r="N37" i="9"/>
  <c r="J37" i="9"/>
  <c r="E37" i="9"/>
  <c r="A37" i="9"/>
  <c r="O37" i="9" s="1"/>
  <c r="N36" i="9"/>
  <c r="J36" i="9"/>
  <c r="E36" i="9"/>
  <c r="A36" i="9"/>
  <c r="O36" i="9" s="1"/>
  <c r="N35" i="9"/>
  <c r="J35" i="9"/>
  <c r="E35" i="9"/>
  <c r="A35" i="9"/>
  <c r="O35" i="9" s="1"/>
  <c r="N34" i="9"/>
  <c r="J34" i="9"/>
  <c r="E34" i="9"/>
  <c r="A34" i="9"/>
  <c r="O34" i="9" s="1"/>
  <c r="N33" i="9"/>
  <c r="J33" i="9"/>
  <c r="E33" i="9"/>
  <c r="A33" i="9"/>
  <c r="O33" i="9" s="1"/>
  <c r="N32" i="9"/>
  <c r="J32" i="9"/>
  <c r="E32" i="9"/>
  <c r="A32" i="9"/>
  <c r="O32" i="9" s="1"/>
  <c r="N31" i="9"/>
  <c r="J31" i="9"/>
  <c r="E31" i="9"/>
  <c r="A31" i="9"/>
  <c r="O31" i="9" s="1"/>
  <c r="N30" i="9"/>
  <c r="J30" i="9"/>
  <c r="E30" i="9"/>
  <c r="A30" i="9"/>
  <c r="O30" i="9" s="1"/>
  <c r="N29" i="9"/>
  <c r="J29" i="9"/>
  <c r="E29" i="9"/>
  <c r="A29" i="9"/>
  <c r="O29" i="9" s="1"/>
  <c r="P29" i="9" s="1"/>
  <c r="N28" i="9"/>
  <c r="J28" i="9"/>
  <c r="E28" i="9"/>
  <c r="A28" i="9"/>
  <c r="O28" i="9" s="1"/>
  <c r="N27" i="9"/>
  <c r="J27" i="9"/>
  <c r="E27" i="9"/>
  <c r="A27" i="9"/>
  <c r="O27" i="9" s="1"/>
  <c r="N26" i="9"/>
  <c r="J26" i="9"/>
  <c r="E26" i="9"/>
  <c r="A26" i="9"/>
  <c r="O26" i="9" s="1"/>
  <c r="N25" i="9"/>
  <c r="J25" i="9"/>
  <c r="E25" i="9"/>
  <c r="A25" i="9"/>
  <c r="O25" i="9" s="1"/>
  <c r="N24" i="9"/>
  <c r="J24" i="9"/>
  <c r="E24" i="9"/>
  <c r="A24" i="9"/>
  <c r="O24" i="9" s="1"/>
  <c r="N23" i="9"/>
  <c r="J23" i="9"/>
  <c r="E23" i="9"/>
  <c r="A23" i="9"/>
  <c r="O23" i="9" s="1"/>
  <c r="N22" i="9"/>
  <c r="J22" i="9"/>
  <c r="E22" i="9"/>
  <c r="A22" i="9"/>
  <c r="O22" i="9" s="1"/>
  <c r="N21" i="9"/>
  <c r="J21" i="9"/>
  <c r="E21" i="9"/>
  <c r="A21" i="9"/>
  <c r="O21" i="9" s="1"/>
  <c r="N20" i="9"/>
  <c r="J20" i="9"/>
  <c r="E20" i="9"/>
  <c r="A20" i="9"/>
  <c r="O20" i="9" s="1"/>
  <c r="N19" i="9"/>
  <c r="J19" i="9"/>
  <c r="E19" i="9"/>
  <c r="A19" i="9"/>
  <c r="O19" i="9" s="1"/>
  <c r="N18" i="9"/>
  <c r="J18" i="9"/>
  <c r="E18" i="9"/>
  <c r="A18" i="9"/>
  <c r="O18" i="9" s="1"/>
  <c r="N17" i="9"/>
  <c r="J17" i="9"/>
  <c r="E17" i="9"/>
  <c r="A17" i="9"/>
  <c r="O17" i="9" s="1"/>
  <c r="N16" i="9"/>
  <c r="J16" i="9"/>
  <c r="E16" i="9"/>
  <c r="A16" i="9"/>
  <c r="O16" i="9" s="1"/>
  <c r="N15" i="9"/>
  <c r="J15" i="9"/>
  <c r="E15" i="9"/>
  <c r="A15" i="9"/>
  <c r="O15" i="9" s="1"/>
  <c r="N14" i="9"/>
  <c r="J14" i="9"/>
  <c r="E14" i="9"/>
  <c r="A14" i="9"/>
  <c r="O14" i="9" s="1"/>
  <c r="N13" i="9"/>
  <c r="E13" i="9"/>
  <c r="A13" i="9"/>
  <c r="O13" i="9" s="1"/>
  <c r="N12" i="9"/>
  <c r="E12" i="9"/>
  <c r="A12" i="9"/>
  <c r="O12" i="9" s="1"/>
  <c r="N11" i="9"/>
  <c r="E11" i="9"/>
  <c r="A11" i="9"/>
  <c r="O11" i="9" s="1"/>
  <c r="N10" i="9"/>
  <c r="E10" i="9"/>
  <c r="A10" i="9"/>
  <c r="O10" i="9" s="1"/>
  <c r="N9" i="9"/>
  <c r="E9" i="9"/>
  <c r="A9" i="9"/>
  <c r="O9" i="9" s="1"/>
  <c r="P9" i="9" s="1"/>
  <c r="N8" i="9"/>
  <c r="E8" i="9"/>
  <c r="A8" i="9"/>
  <c r="O8" i="9" s="1"/>
  <c r="N7" i="9"/>
  <c r="E7" i="9"/>
  <c r="A7" i="9"/>
  <c r="O7" i="9" s="1"/>
  <c r="N6" i="9"/>
  <c r="E6" i="9"/>
  <c r="A6" i="9"/>
  <c r="O6" i="9" s="1"/>
  <c r="N5" i="9"/>
  <c r="E5" i="9"/>
  <c r="A5" i="9"/>
  <c r="O5" i="9" s="1"/>
  <c r="N4" i="9"/>
  <c r="E4" i="9"/>
  <c r="A4" i="9"/>
  <c r="O4" i="9" s="1"/>
  <c r="N3" i="9"/>
  <c r="E3" i="9"/>
  <c r="A3" i="9"/>
  <c r="O3" i="9" s="1"/>
  <c r="N2" i="9"/>
  <c r="E2" i="9"/>
  <c r="A2" i="9"/>
  <c r="O2" i="9" s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2" i="8"/>
  <c r="N80" i="14"/>
  <c r="J80" i="14"/>
  <c r="A80" i="14"/>
  <c r="O80" i="14" s="1"/>
  <c r="N79" i="14"/>
  <c r="J79" i="14"/>
  <c r="A79" i="14"/>
  <c r="O79" i="14" s="1"/>
  <c r="P79" i="14" s="1"/>
  <c r="N91" i="14"/>
  <c r="J91" i="14"/>
  <c r="A91" i="14"/>
  <c r="O91" i="14" s="1"/>
  <c r="N78" i="14"/>
  <c r="J78" i="14"/>
  <c r="A78" i="14"/>
  <c r="O78" i="14" s="1"/>
  <c r="N77" i="14"/>
  <c r="J77" i="14"/>
  <c r="A77" i="14"/>
  <c r="O77" i="14" s="1"/>
  <c r="N76" i="14"/>
  <c r="J76" i="14"/>
  <c r="A76" i="14"/>
  <c r="O76" i="14" s="1"/>
  <c r="N75" i="14"/>
  <c r="J75" i="14"/>
  <c r="A75" i="14"/>
  <c r="O75" i="14" s="1"/>
  <c r="N74" i="14"/>
  <c r="J74" i="14"/>
  <c r="A74" i="14"/>
  <c r="O74" i="14" s="1"/>
  <c r="N73" i="14"/>
  <c r="J73" i="14"/>
  <c r="A73" i="14"/>
  <c r="O73" i="14" s="1"/>
  <c r="N72" i="14"/>
  <c r="J72" i="14"/>
  <c r="A72" i="14"/>
  <c r="O72" i="14" s="1"/>
  <c r="N71" i="14"/>
  <c r="J71" i="14"/>
  <c r="A71" i="14"/>
  <c r="O71" i="14" s="1"/>
  <c r="N70" i="14"/>
  <c r="J70" i="14"/>
  <c r="A70" i="14"/>
  <c r="O70" i="14" s="1"/>
  <c r="N69" i="14"/>
  <c r="J69" i="14"/>
  <c r="A69" i="14"/>
  <c r="O69" i="14" s="1"/>
  <c r="N68" i="14"/>
  <c r="J68" i="14"/>
  <c r="A68" i="14"/>
  <c r="O68" i="14" s="1"/>
  <c r="N90" i="14"/>
  <c r="J90" i="14"/>
  <c r="A90" i="14"/>
  <c r="O90" i="14" s="1"/>
  <c r="N67" i="14"/>
  <c r="J67" i="14"/>
  <c r="A67" i="14"/>
  <c r="O67" i="14" s="1"/>
  <c r="N66" i="14"/>
  <c r="J66" i="14"/>
  <c r="A66" i="14"/>
  <c r="O66" i="14" s="1"/>
  <c r="P66" i="14" s="1"/>
  <c r="N65" i="14"/>
  <c r="J65" i="14"/>
  <c r="A65" i="14"/>
  <c r="O65" i="14" s="1"/>
  <c r="N64" i="14"/>
  <c r="J64" i="14"/>
  <c r="A64" i="14"/>
  <c r="O64" i="14" s="1"/>
  <c r="N63" i="14"/>
  <c r="J63" i="14"/>
  <c r="A63" i="14"/>
  <c r="O63" i="14" s="1"/>
  <c r="N62" i="14"/>
  <c r="J62" i="14"/>
  <c r="A62" i="14"/>
  <c r="O62" i="14" s="1"/>
  <c r="N89" i="14"/>
  <c r="J89" i="14"/>
  <c r="A89" i="14"/>
  <c r="O89" i="14" s="1"/>
  <c r="N61" i="14"/>
  <c r="J61" i="14"/>
  <c r="A61" i="14"/>
  <c r="O61" i="14" s="1"/>
  <c r="N60" i="14"/>
  <c r="J60" i="14"/>
  <c r="A60" i="14"/>
  <c r="O60" i="14" s="1"/>
  <c r="N88" i="14"/>
  <c r="J88" i="14"/>
  <c r="A88" i="14"/>
  <c r="O88" i="14" s="1"/>
  <c r="N59" i="14"/>
  <c r="J59" i="14"/>
  <c r="A59" i="14"/>
  <c r="O59" i="14" s="1"/>
  <c r="N58" i="14"/>
  <c r="J58" i="14"/>
  <c r="A58" i="14"/>
  <c r="O58" i="14" s="1"/>
  <c r="N57" i="14"/>
  <c r="J57" i="14"/>
  <c r="A57" i="14"/>
  <c r="O57" i="14" s="1"/>
  <c r="N56" i="14"/>
  <c r="J56" i="14"/>
  <c r="A56" i="14"/>
  <c r="O56" i="14" s="1"/>
  <c r="P56" i="14" s="1"/>
  <c r="N55" i="14"/>
  <c r="J55" i="14"/>
  <c r="A55" i="14"/>
  <c r="O55" i="14" s="1"/>
  <c r="N54" i="14"/>
  <c r="J54" i="14"/>
  <c r="A54" i="14"/>
  <c r="O54" i="14" s="1"/>
  <c r="N87" i="14"/>
  <c r="J87" i="14"/>
  <c r="A87" i="14"/>
  <c r="O87" i="14" s="1"/>
  <c r="N53" i="14"/>
  <c r="J53" i="14"/>
  <c r="A53" i="14"/>
  <c r="O53" i="14" s="1"/>
  <c r="N52" i="14"/>
  <c r="J52" i="14"/>
  <c r="A52" i="14"/>
  <c r="O52" i="14" s="1"/>
  <c r="N51" i="14"/>
  <c r="J51" i="14"/>
  <c r="A51" i="14"/>
  <c r="O51" i="14" s="1"/>
  <c r="N50" i="14"/>
  <c r="J50" i="14"/>
  <c r="A50" i="14"/>
  <c r="O50" i="14" s="1"/>
  <c r="N49" i="14"/>
  <c r="J49" i="14"/>
  <c r="A49" i="14"/>
  <c r="O49" i="14" s="1"/>
  <c r="N48" i="14"/>
  <c r="J48" i="14"/>
  <c r="A48" i="14"/>
  <c r="O48" i="14" s="1"/>
  <c r="N47" i="14"/>
  <c r="J47" i="14"/>
  <c r="A47" i="14"/>
  <c r="O47" i="14" s="1"/>
  <c r="N46" i="14"/>
  <c r="J46" i="14"/>
  <c r="A46" i="14"/>
  <c r="O46" i="14" s="1"/>
  <c r="N45" i="14"/>
  <c r="J45" i="14"/>
  <c r="A45" i="14"/>
  <c r="O45" i="14" s="1"/>
  <c r="N44" i="14"/>
  <c r="J44" i="14"/>
  <c r="A44" i="14"/>
  <c r="O44" i="14" s="1"/>
  <c r="N43" i="14"/>
  <c r="A43" i="14"/>
  <c r="O43" i="14" s="1"/>
  <c r="P43" i="14" s="1"/>
  <c r="N42" i="14"/>
  <c r="A42" i="14"/>
  <c r="O42" i="14" s="1"/>
  <c r="P42" i="14" s="1"/>
  <c r="N41" i="14"/>
  <c r="A41" i="14"/>
  <c r="O41" i="14" s="1"/>
  <c r="P41" i="14" s="1"/>
  <c r="N40" i="14"/>
  <c r="A40" i="14"/>
  <c r="O40" i="14" s="1"/>
  <c r="P40" i="14" s="1"/>
  <c r="N39" i="14"/>
  <c r="A39" i="14"/>
  <c r="O39" i="14" s="1"/>
  <c r="P39" i="14" s="1"/>
  <c r="N38" i="14"/>
  <c r="A38" i="14"/>
  <c r="O38" i="14" s="1"/>
  <c r="P38" i="14" s="1"/>
  <c r="N37" i="14"/>
  <c r="A37" i="14"/>
  <c r="O37" i="14" s="1"/>
  <c r="P37" i="14" s="1"/>
  <c r="N86" i="14"/>
  <c r="A86" i="14"/>
  <c r="O86" i="14" s="1"/>
  <c r="P86" i="14" s="1"/>
  <c r="N36" i="14"/>
  <c r="A36" i="14"/>
  <c r="O36" i="14" s="1"/>
  <c r="P36" i="14" s="1"/>
  <c r="N35" i="14"/>
  <c r="A35" i="14"/>
  <c r="O35" i="14" s="1"/>
  <c r="P35" i="14" s="1"/>
  <c r="N34" i="14"/>
  <c r="A34" i="14"/>
  <c r="O34" i="14" s="1"/>
  <c r="P34" i="14" s="1"/>
  <c r="N85" i="14"/>
  <c r="A85" i="14"/>
  <c r="O85" i="14" s="1"/>
  <c r="P85" i="14" s="1"/>
  <c r="N33" i="14"/>
  <c r="A33" i="14"/>
  <c r="O33" i="14" s="1"/>
  <c r="P33" i="14" s="1"/>
  <c r="N32" i="14"/>
  <c r="A32" i="14"/>
  <c r="O32" i="14" s="1"/>
  <c r="P32" i="14" s="1"/>
  <c r="N31" i="14"/>
  <c r="A31" i="14"/>
  <c r="O31" i="14" s="1"/>
  <c r="P31" i="14" s="1"/>
  <c r="N30" i="14"/>
  <c r="A30" i="14"/>
  <c r="O30" i="14" s="1"/>
  <c r="P30" i="14" s="1"/>
  <c r="N29" i="14"/>
  <c r="A29" i="14"/>
  <c r="O29" i="14" s="1"/>
  <c r="P29" i="14" s="1"/>
  <c r="N28" i="14"/>
  <c r="A28" i="14"/>
  <c r="O28" i="14" s="1"/>
  <c r="P28" i="14" s="1"/>
  <c r="N27" i="14"/>
  <c r="A27" i="14"/>
  <c r="O27" i="14" s="1"/>
  <c r="P27" i="14" s="1"/>
  <c r="N26" i="14"/>
  <c r="A26" i="14"/>
  <c r="O26" i="14" s="1"/>
  <c r="P26" i="14" s="1"/>
  <c r="N25" i="14"/>
  <c r="A25" i="14"/>
  <c r="O25" i="14" s="1"/>
  <c r="P25" i="14" s="1"/>
  <c r="N24" i="14"/>
  <c r="A24" i="14"/>
  <c r="O24" i="14" s="1"/>
  <c r="P24" i="14" s="1"/>
  <c r="N23" i="14"/>
  <c r="A23" i="14"/>
  <c r="O23" i="14" s="1"/>
  <c r="P23" i="14" s="1"/>
  <c r="N22" i="14"/>
  <c r="A22" i="14"/>
  <c r="O22" i="14" s="1"/>
  <c r="P22" i="14" s="1"/>
  <c r="N21" i="14"/>
  <c r="A21" i="14"/>
  <c r="O21" i="14" s="1"/>
  <c r="P21" i="14" s="1"/>
  <c r="N20" i="14"/>
  <c r="A20" i="14"/>
  <c r="O20" i="14" s="1"/>
  <c r="P20" i="14" s="1"/>
  <c r="N84" i="14"/>
  <c r="A84" i="14"/>
  <c r="O84" i="14" s="1"/>
  <c r="P84" i="14" s="1"/>
  <c r="N19" i="14"/>
  <c r="A19" i="14"/>
  <c r="O19" i="14" s="1"/>
  <c r="P19" i="14" s="1"/>
  <c r="N18" i="14"/>
  <c r="A18" i="14"/>
  <c r="O18" i="14" s="1"/>
  <c r="P18" i="14" s="1"/>
  <c r="N17" i="14"/>
  <c r="A17" i="14"/>
  <c r="O17" i="14" s="1"/>
  <c r="P17" i="14" s="1"/>
  <c r="N16" i="14"/>
  <c r="A16" i="14"/>
  <c r="O16" i="14" s="1"/>
  <c r="P16" i="14" s="1"/>
  <c r="N15" i="14"/>
  <c r="A15" i="14"/>
  <c r="O15" i="14" s="1"/>
  <c r="P15" i="14" s="1"/>
  <c r="N14" i="14"/>
  <c r="A14" i="14"/>
  <c r="O14" i="14" s="1"/>
  <c r="P14" i="14" s="1"/>
  <c r="N13" i="14"/>
  <c r="A13" i="14"/>
  <c r="O13" i="14" s="1"/>
  <c r="P13" i="14" s="1"/>
  <c r="N12" i="14"/>
  <c r="A12" i="14"/>
  <c r="O12" i="14" s="1"/>
  <c r="P12" i="14" s="1"/>
  <c r="N11" i="14"/>
  <c r="A11" i="14"/>
  <c r="O11" i="14" s="1"/>
  <c r="P11" i="14" s="1"/>
  <c r="N10" i="14"/>
  <c r="A10" i="14"/>
  <c r="O10" i="14" s="1"/>
  <c r="P10" i="14" s="1"/>
  <c r="N9" i="14"/>
  <c r="A9" i="14"/>
  <c r="O9" i="14" s="1"/>
  <c r="P9" i="14" s="1"/>
  <c r="N8" i="14"/>
  <c r="A8" i="14"/>
  <c r="O8" i="14" s="1"/>
  <c r="P8" i="14" s="1"/>
  <c r="N7" i="14"/>
  <c r="A7" i="14"/>
  <c r="O7" i="14" s="1"/>
  <c r="P7" i="14" s="1"/>
  <c r="N6" i="14"/>
  <c r="A6" i="14"/>
  <c r="O6" i="14" s="1"/>
  <c r="P6" i="14" s="1"/>
  <c r="N5" i="14"/>
  <c r="A5" i="14"/>
  <c r="O5" i="14" s="1"/>
  <c r="P5" i="14" s="1"/>
  <c r="N83" i="14"/>
  <c r="A83" i="14"/>
  <c r="O83" i="14" s="1"/>
  <c r="P83" i="14" s="1"/>
  <c r="N4" i="14"/>
  <c r="A4" i="14"/>
  <c r="O4" i="14" s="1"/>
  <c r="P4" i="14" s="1"/>
  <c r="N82" i="14"/>
  <c r="A82" i="14"/>
  <c r="O82" i="14" s="1"/>
  <c r="P82" i="14" s="1"/>
  <c r="N3" i="14"/>
  <c r="A3" i="14"/>
  <c r="O3" i="14" s="1"/>
  <c r="P3" i="14" s="1"/>
  <c r="N2" i="14"/>
  <c r="A2" i="14"/>
  <c r="O2" i="14" s="1"/>
  <c r="P2" i="14" s="1"/>
  <c r="N81" i="14"/>
  <c r="A81" i="14"/>
  <c r="O81" i="14" s="1"/>
  <c r="P81" i="14" s="1"/>
  <c r="P64" i="9" l="1"/>
  <c r="P75" i="9"/>
  <c r="P2" i="9"/>
  <c r="P22" i="9"/>
  <c r="P26" i="9"/>
  <c r="P25" i="9"/>
  <c r="P73" i="9"/>
  <c r="P38" i="9"/>
  <c r="P74" i="9"/>
  <c r="P7" i="9"/>
  <c r="P52" i="9"/>
  <c r="P32" i="9"/>
  <c r="P21" i="9"/>
  <c r="P55" i="9"/>
  <c r="P11" i="9"/>
  <c r="P28" i="9"/>
  <c r="P62" i="9"/>
  <c r="P65" i="9"/>
  <c r="P3" i="9"/>
  <c r="P16" i="9"/>
  <c r="P27" i="9"/>
  <c r="P34" i="9"/>
  <c r="P46" i="9"/>
  <c r="P69" i="9"/>
  <c r="P36" i="9"/>
  <c r="P42" i="9"/>
  <c r="P19" i="9"/>
  <c r="P59" i="9"/>
  <c r="P53" i="9"/>
  <c r="P37" i="9"/>
  <c r="P4" i="9"/>
  <c r="P57" i="9"/>
  <c r="P6" i="9"/>
  <c r="P17" i="9"/>
  <c r="P35" i="9"/>
  <c r="P58" i="9"/>
  <c r="P68" i="9"/>
  <c r="P49" i="9"/>
  <c r="P23" i="9"/>
  <c r="P15" i="9"/>
  <c r="P56" i="9"/>
  <c r="P12" i="9"/>
  <c r="P13" i="9"/>
  <c r="P33" i="9"/>
  <c r="P18" i="9"/>
  <c r="P61" i="9"/>
  <c r="P66" i="9"/>
  <c r="P10" i="9"/>
  <c r="P24" i="9"/>
  <c r="P43" i="9"/>
  <c r="P47" i="9"/>
  <c r="P63" i="9"/>
  <c r="P60" i="9"/>
  <c r="P20" i="9"/>
  <c r="P44" i="9"/>
  <c r="P14" i="9"/>
  <c r="P45" i="9"/>
  <c r="P50" i="9"/>
  <c r="P67" i="9"/>
  <c r="P72" i="9"/>
  <c r="P8" i="9"/>
  <c r="P40" i="9"/>
  <c r="P31" i="9"/>
  <c r="P48" i="9"/>
  <c r="P54" i="9"/>
  <c r="P70" i="9"/>
  <c r="P5" i="9"/>
  <c r="P30" i="9"/>
  <c r="P51" i="9"/>
  <c r="P57" i="14"/>
  <c r="P59" i="14"/>
  <c r="P89" i="14"/>
  <c r="P75" i="14"/>
  <c r="P44" i="14"/>
  <c r="P53" i="14"/>
  <c r="P76" i="14"/>
  <c r="P50" i="14"/>
  <c r="P80" i="14"/>
  <c r="P87" i="14"/>
  <c r="P68" i="14"/>
  <c r="P77" i="14"/>
  <c r="P70" i="14"/>
  <c r="P54" i="14"/>
  <c r="P88" i="14"/>
  <c r="P71" i="14"/>
  <c r="P52" i="14"/>
  <c r="P74" i="14"/>
  <c r="P47" i="14"/>
  <c r="P63" i="14"/>
  <c r="P60" i="14"/>
  <c r="P69" i="14"/>
  <c r="P61" i="14"/>
  <c r="P51" i="14"/>
  <c r="P58" i="14"/>
  <c r="P65" i="14"/>
  <c r="P67" i="14"/>
  <c r="P48" i="14"/>
  <c r="P90" i="14"/>
  <c r="P62" i="14"/>
  <c r="P73" i="14"/>
  <c r="P72" i="14"/>
  <c r="P49" i="14"/>
  <c r="P78" i="14"/>
  <c r="P46" i="14"/>
  <c r="P45" i="14"/>
  <c r="P55" i="14"/>
  <c r="P64" i="14"/>
  <c r="P91" i="14"/>
  <c r="Q4" i="10"/>
  <c r="K82" i="10"/>
  <c r="G82" i="10"/>
  <c r="K81" i="10"/>
  <c r="G81" i="10"/>
  <c r="K80" i="10"/>
  <c r="G80" i="10"/>
  <c r="K79" i="10"/>
  <c r="G79" i="10"/>
  <c r="K78" i="10"/>
  <c r="G78" i="10"/>
  <c r="K77" i="10"/>
  <c r="G77" i="10"/>
  <c r="K76" i="10"/>
  <c r="G76" i="10"/>
  <c r="K75" i="10"/>
  <c r="G75" i="10"/>
  <c r="K74" i="10"/>
  <c r="G74" i="10"/>
  <c r="K73" i="10"/>
  <c r="G73" i="10"/>
  <c r="K72" i="10"/>
  <c r="G72" i="10"/>
  <c r="K71" i="10"/>
  <c r="G71" i="10"/>
  <c r="K70" i="10"/>
  <c r="G70" i="10"/>
  <c r="K69" i="10"/>
  <c r="G69" i="10"/>
  <c r="K68" i="10"/>
  <c r="G68" i="10"/>
  <c r="K67" i="10"/>
  <c r="G67" i="10"/>
  <c r="K66" i="10"/>
  <c r="G66" i="10"/>
  <c r="K65" i="10"/>
  <c r="G65" i="10"/>
  <c r="K64" i="10"/>
  <c r="G64" i="10"/>
  <c r="K63" i="10"/>
  <c r="G63" i="10"/>
  <c r="K62" i="10"/>
  <c r="G62" i="10"/>
  <c r="K61" i="10"/>
  <c r="G61" i="10"/>
  <c r="K60" i="10"/>
  <c r="G60" i="10"/>
  <c r="K59" i="10"/>
  <c r="G59" i="10"/>
  <c r="K58" i="10"/>
  <c r="G58" i="10"/>
  <c r="K57" i="10"/>
  <c r="G57" i="10"/>
  <c r="K56" i="10"/>
  <c r="G56" i="10"/>
  <c r="O20" i="10"/>
  <c r="G20" i="10"/>
  <c r="O26" i="10"/>
  <c r="G26" i="10"/>
  <c r="O7" i="10"/>
  <c r="G7" i="10"/>
  <c r="O29" i="10"/>
  <c r="G29" i="10"/>
  <c r="O10" i="10"/>
  <c r="G10" i="10"/>
  <c r="O6" i="10"/>
  <c r="G6" i="10"/>
  <c r="O13" i="10"/>
  <c r="G13" i="10"/>
  <c r="O54" i="10"/>
  <c r="G54" i="10"/>
  <c r="O46" i="10"/>
  <c r="G46" i="10"/>
  <c r="O14" i="10"/>
  <c r="G14" i="10"/>
  <c r="O39" i="10"/>
  <c r="G39" i="10"/>
  <c r="O47" i="10"/>
  <c r="G47" i="10"/>
  <c r="O40" i="10"/>
  <c r="G40" i="10"/>
  <c r="O12" i="10"/>
  <c r="G12" i="10"/>
  <c r="O3" i="10"/>
  <c r="G3" i="10"/>
  <c r="O15" i="10"/>
  <c r="G15" i="10"/>
  <c r="O33" i="10"/>
  <c r="G33" i="10"/>
  <c r="O48" i="10"/>
  <c r="G48" i="10"/>
  <c r="O30" i="10"/>
  <c r="G30" i="10"/>
  <c r="O23" i="10"/>
  <c r="G23" i="10"/>
  <c r="O45" i="10"/>
  <c r="G45" i="10"/>
  <c r="O55" i="10"/>
  <c r="G55" i="10"/>
  <c r="O25" i="10"/>
  <c r="G25" i="10"/>
  <c r="O4" i="10"/>
  <c r="G4" i="10"/>
  <c r="O37" i="10"/>
  <c r="G37" i="10"/>
  <c r="O51" i="10"/>
  <c r="G51" i="10"/>
  <c r="O16" i="10"/>
  <c r="G16" i="10"/>
  <c r="O11" i="10"/>
  <c r="G11" i="10"/>
  <c r="O52" i="10"/>
  <c r="G52" i="10"/>
  <c r="O49" i="10"/>
  <c r="G49" i="10"/>
  <c r="O21" i="10"/>
  <c r="G21" i="10"/>
  <c r="O53" i="10"/>
  <c r="G53" i="10"/>
  <c r="O42" i="10"/>
  <c r="G42" i="10"/>
  <c r="O31" i="10"/>
  <c r="G31" i="10"/>
  <c r="O9" i="10"/>
  <c r="G9" i="10"/>
  <c r="O8" i="10"/>
  <c r="G8" i="10"/>
  <c r="O24" i="10"/>
  <c r="G24" i="10"/>
  <c r="O19" i="10"/>
  <c r="G19" i="10"/>
  <c r="O34" i="10"/>
  <c r="G34" i="10"/>
  <c r="O22" i="10"/>
  <c r="G22" i="10"/>
  <c r="O32" i="10"/>
  <c r="G32" i="10"/>
  <c r="O35" i="10"/>
  <c r="G35" i="10"/>
  <c r="O50" i="10"/>
  <c r="G50" i="10"/>
  <c r="O43" i="10"/>
  <c r="G43" i="10"/>
  <c r="O2" i="10"/>
  <c r="G2" i="10"/>
  <c r="O27" i="10"/>
  <c r="G27" i="10"/>
  <c r="O44" i="10"/>
  <c r="G44" i="10"/>
  <c r="O5" i="10"/>
  <c r="G5" i="10"/>
  <c r="O28" i="10"/>
  <c r="G28" i="10"/>
  <c r="O36" i="10"/>
  <c r="G36" i="10"/>
  <c r="O17" i="10"/>
  <c r="G17" i="10"/>
  <c r="O41" i="10"/>
  <c r="G41" i="10"/>
  <c r="O38" i="10"/>
  <c r="G38" i="10"/>
  <c r="O18" i="10"/>
  <c r="G18" i="10"/>
  <c r="E4" i="10"/>
  <c r="A41" i="10"/>
  <c r="A62" i="10"/>
  <c r="A176" i="10"/>
  <c r="A134" i="10"/>
  <c r="A183" i="10"/>
  <c r="A104" i="10"/>
  <c r="A43" i="10"/>
  <c r="A109" i="10"/>
  <c r="A87" i="10"/>
  <c r="A172" i="10"/>
  <c r="A166" i="10"/>
  <c r="A23" i="10"/>
  <c r="A14" i="10"/>
  <c r="A2" i="10"/>
  <c r="A101" i="10"/>
  <c r="A153" i="10"/>
  <c r="A70" i="10"/>
  <c r="A195" i="10"/>
  <c r="A185" i="10"/>
  <c r="A131" i="10"/>
  <c r="A55" i="10"/>
  <c r="A84" i="10"/>
  <c r="A61" i="10"/>
  <c r="A102" i="10"/>
  <c r="A138" i="10"/>
  <c r="A58" i="10"/>
  <c r="A68" i="10"/>
  <c r="A135" i="10"/>
  <c r="A174" i="10"/>
  <c r="A189" i="10"/>
  <c r="A136" i="10"/>
  <c r="A177" i="10"/>
  <c r="A9" i="10"/>
  <c r="A130" i="10"/>
  <c r="A160" i="10"/>
  <c r="A40" i="10"/>
  <c r="A8" i="10"/>
  <c r="A15" i="10"/>
  <c r="A37" i="10"/>
  <c r="A57" i="10"/>
  <c r="A31" i="10"/>
  <c r="A190" i="10"/>
  <c r="A75" i="10"/>
  <c r="A154" i="10"/>
  <c r="A145" i="10"/>
  <c r="A65" i="10"/>
  <c r="A81" i="10"/>
  <c r="A85" i="10"/>
  <c r="A98" i="10"/>
  <c r="A111" i="10"/>
  <c r="A49" i="10"/>
  <c r="A196" i="10"/>
  <c r="A50" i="10"/>
  <c r="A56" i="10"/>
  <c r="A54" i="10"/>
  <c r="A173" i="10"/>
  <c r="A66" i="10"/>
  <c r="A175" i="10"/>
  <c r="A96" i="10"/>
  <c r="A112" i="10"/>
  <c r="A30" i="10"/>
  <c r="A4" i="10"/>
  <c r="A180" i="10"/>
  <c r="A38" i="10"/>
  <c r="A53" i="10"/>
  <c r="A140" i="10"/>
  <c r="A191" i="10"/>
  <c r="A156" i="10"/>
  <c r="A163" i="10"/>
  <c r="A45" i="10"/>
  <c r="A197" i="10"/>
  <c r="A97" i="10"/>
  <c r="A106" i="10"/>
  <c r="A113" i="10"/>
  <c r="A150" i="10"/>
  <c r="A170" i="10"/>
  <c r="A20" i="10"/>
  <c r="A92" i="10"/>
  <c r="A114" i="10"/>
  <c r="A94" i="10"/>
  <c r="A13" i="10"/>
  <c r="A91" i="10"/>
  <c r="A11" i="10"/>
  <c r="A155" i="10"/>
  <c r="A192" i="10"/>
  <c r="A187" i="10"/>
  <c r="A7" i="10"/>
  <c r="A179" i="10"/>
  <c r="A76" i="10"/>
  <c r="A51" i="10"/>
  <c r="A110" i="10"/>
  <c r="A148" i="10"/>
  <c r="A24" i="10"/>
  <c r="A143" i="10"/>
  <c r="A151" i="10"/>
  <c r="A198" i="10"/>
  <c r="A127" i="10"/>
  <c r="A25" i="10"/>
  <c r="A188" i="10"/>
  <c r="A168" i="10"/>
  <c r="A42" i="10"/>
  <c r="A126" i="10"/>
  <c r="A80" i="10"/>
  <c r="A132" i="10"/>
  <c r="A77" i="10"/>
  <c r="A71" i="10"/>
  <c r="A161" i="10"/>
  <c r="A35" i="10"/>
  <c r="A167" i="10"/>
  <c r="A5" i="10"/>
  <c r="A72" i="10"/>
  <c r="A36" i="10"/>
  <c r="A89" i="10"/>
  <c r="A73" i="10"/>
  <c r="A200" i="10"/>
  <c r="A149" i="10"/>
  <c r="A147" i="10"/>
  <c r="A137" i="10"/>
  <c r="A121" i="10"/>
  <c r="A34" i="10"/>
  <c r="A86" i="10"/>
  <c r="A199" i="10"/>
  <c r="A194" i="10"/>
  <c r="A26" i="10"/>
  <c r="A158" i="10"/>
  <c r="A118" i="10"/>
  <c r="A169" i="10"/>
  <c r="A18" i="10"/>
  <c r="A119" i="10"/>
  <c r="A82" i="10"/>
  <c r="A159" i="10"/>
  <c r="A59" i="10"/>
  <c r="A108" i="10"/>
  <c r="A162" i="10"/>
  <c r="A90" i="10"/>
  <c r="A157" i="10"/>
  <c r="A16" i="10"/>
  <c r="A164" i="10"/>
  <c r="A99" i="10"/>
  <c r="A64" i="10"/>
  <c r="A93" i="10"/>
  <c r="A122" i="10"/>
  <c r="A78" i="10"/>
  <c r="A44" i="10"/>
  <c r="A144" i="10"/>
  <c r="A21" i="10"/>
  <c r="A28" i="10"/>
  <c r="A47" i="10"/>
  <c r="A29" i="10"/>
  <c r="A152" i="10"/>
  <c r="A83" i="10"/>
  <c r="A67" i="10"/>
  <c r="A69" i="10"/>
  <c r="A125" i="10"/>
  <c r="A193" i="10"/>
  <c r="A182" i="10"/>
  <c r="A79" i="10"/>
  <c r="A171" i="10"/>
  <c r="A128" i="10"/>
  <c r="A120" i="10"/>
  <c r="A63" i="10"/>
  <c r="A139" i="10"/>
  <c r="A22" i="10"/>
  <c r="A165" i="10"/>
  <c r="A105" i="10"/>
  <c r="A3" i="10"/>
  <c r="A181" i="10"/>
  <c r="A74" i="10"/>
  <c r="A100" i="10"/>
  <c r="A103" i="10"/>
  <c r="A27" i="10"/>
  <c r="A46" i="10"/>
  <c r="A186" i="10"/>
  <c r="A184" i="10"/>
  <c r="A88" i="10"/>
  <c r="A133" i="10"/>
  <c r="A117" i="10"/>
  <c r="A123" i="10"/>
  <c r="A95" i="10"/>
  <c r="A32" i="10"/>
  <c r="A146" i="10"/>
  <c r="A116" i="10"/>
  <c r="A10" i="10"/>
  <c r="A124" i="10"/>
  <c r="A12" i="10"/>
  <c r="A142" i="10"/>
  <c r="A48" i="10"/>
  <c r="A17" i="10"/>
  <c r="A178" i="10"/>
  <c r="A129" i="10"/>
  <c r="A115" i="10"/>
  <c r="A39" i="10"/>
  <c r="A107" i="10"/>
  <c r="A33" i="10"/>
  <c r="A52" i="10"/>
  <c r="A6" i="10"/>
  <c r="A141" i="10"/>
  <c r="A60" i="10"/>
  <c r="A19" i="10"/>
  <c r="H3864" i="5"/>
  <c r="H3861" i="5"/>
  <c r="H3854" i="5"/>
  <c r="H3850" i="5"/>
  <c r="H3847" i="5"/>
  <c r="H3845" i="5"/>
  <c r="H3838" i="5"/>
  <c r="H3835" i="5"/>
  <c r="H3834" i="5"/>
  <c r="H3833" i="5"/>
  <c r="H3828" i="5"/>
  <c r="H3816" i="5"/>
  <c r="H3812" i="5"/>
  <c r="H3808" i="5"/>
  <c r="H3806" i="5"/>
  <c r="H3801" i="5"/>
  <c r="H3800" i="5"/>
  <c r="H3795" i="5"/>
  <c r="H3787" i="5"/>
  <c r="H3785" i="5"/>
  <c r="H3782" i="5"/>
  <c r="H3776" i="5"/>
  <c r="H3775" i="5"/>
  <c r="H3773" i="5"/>
  <c r="H3771" i="5"/>
  <c r="H3768" i="5"/>
  <c r="H3765" i="5"/>
  <c r="H3759" i="5"/>
  <c r="H3753" i="5"/>
  <c r="H3752" i="5"/>
  <c r="H3751" i="5"/>
  <c r="H3745" i="5"/>
  <c r="H3744" i="5"/>
  <c r="H3743" i="5"/>
  <c r="H3742" i="5"/>
  <c r="H3741" i="5"/>
  <c r="H3739" i="5"/>
  <c r="H3727" i="5"/>
  <c r="H3725" i="5"/>
  <c r="H3723" i="5"/>
  <c r="H3708" i="5"/>
  <c r="H3704" i="5"/>
  <c r="H3703" i="5"/>
  <c r="H3697" i="5"/>
  <c r="H3696" i="5"/>
  <c r="H3694" i="5"/>
  <c r="H3691" i="5"/>
  <c r="H3686" i="5"/>
  <c r="H3680" i="5"/>
  <c r="H3676" i="5"/>
  <c r="H3667" i="5"/>
  <c r="H3666" i="5"/>
  <c r="H3661" i="5"/>
  <c r="H3646" i="5"/>
  <c r="H3644" i="5"/>
  <c r="H3634" i="5"/>
  <c r="H3632" i="5"/>
  <c r="H3620" i="5"/>
  <c r="H3616" i="5"/>
  <c r="H3613" i="5"/>
  <c r="H3611" i="5"/>
  <c r="H3610" i="5"/>
  <c r="H3603" i="5"/>
  <c r="H3601" i="5"/>
  <c r="H3590" i="5"/>
  <c r="H3589" i="5"/>
  <c r="H3583" i="5"/>
  <c r="H3578" i="5"/>
  <c r="H3577" i="5"/>
  <c r="H3576" i="5"/>
  <c r="H3571" i="5"/>
  <c r="H3566" i="5"/>
  <c r="H3556" i="5"/>
  <c r="H3555" i="5"/>
  <c r="H3552" i="5"/>
  <c r="H3549" i="5"/>
  <c r="H3548" i="5"/>
  <c r="H3544" i="5"/>
  <c r="H3532" i="5"/>
  <c r="H3528" i="5"/>
  <c r="H3526" i="5"/>
  <c r="H3525" i="5"/>
  <c r="H3519" i="5"/>
  <c r="H3517" i="5"/>
  <c r="H3514" i="5"/>
  <c r="H3508" i="5"/>
  <c r="H3504" i="5"/>
  <c r="H3500" i="5"/>
  <c r="H3488" i="5"/>
  <c r="H3482" i="5"/>
  <c r="H3481" i="5"/>
  <c r="H3478" i="5"/>
  <c r="H3470" i="5"/>
  <c r="H3466" i="5"/>
  <c r="H3460" i="5"/>
  <c r="H3459" i="5"/>
  <c r="H3454" i="5"/>
  <c r="H3451" i="5"/>
  <c r="H3445" i="5"/>
  <c r="H3444" i="5"/>
  <c r="H3434" i="5"/>
  <c r="H3432" i="5"/>
  <c r="H3424" i="5"/>
  <c r="H3423" i="5"/>
  <c r="H3414" i="5"/>
  <c r="H3412" i="5"/>
  <c r="H3408" i="5"/>
  <c r="H3407" i="5"/>
  <c r="H3406" i="5"/>
  <c r="H3400" i="5"/>
  <c r="H3398" i="5"/>
  <c r="H3395" i="5"/>
  <c r="H3389" i="5"/>
  <c r="H3386" i="5"/>
  <c r="H3384" i="5"/>
  <c r="H3375" i="5"/>
  <c r="H3374" i="5"/>
  <c r="H3371" i="5"/>
  <c r="H3370" i="5"/>
  <c r="H3365" i="5"/>
  <c r="H3363" i="5"/>
  <c r="H3359" i="5"/>
  <c r="H3358" i="5"/>
  <c r="H3354" i="5"/>
  <c r="H3353" i="5"/>
  <c r="H3351" i="5"/>
  <c r="H3346" i="5"/>
  <c r="H3343" i="5"/>
  <c r="H3341" i="5"/>
  <c r="H3337" i="5"/>
  <c r="H3332" i="5"/>
  <c r="H3329" i="5"/>
  <c r="H3328" i="5"/>
  <c r="H3325" i="5"/>
  <c r="H3322" i="5"/>
  <c r="H3320" i="5"/>
  <c r="H3307" i="5"/>
  <c r="H3306" i="5"/>
  <c r="H3303" i="5"/>
  <c r="H3287" i="5"/>
  <c r="H3281" i="5"/>
  <c r="H3276" i="5"/>
  <c r="H3274" i="5"/>
  <c r="H3272" i="5"/>
  <c r="H3267" i="5"/>
  <c r="H3263" i="5"/>
  <c r="H3262" i="5"/>
  <c r="H3261" i="5"/>
  <c r="H3256" i="5"/>
  <c r="H3255" i="5"/>
  <c r="H3243" i="5"/>
  <c r="H3232" i="5"/>
  <c r="H3231" i="5"/>
  <c r="H3227" i="5"/>
  <c r="H3220" i="5"/>
  <c r="H3219" i="5"/>
  <c r="H3218" i="5"/>
  <c r="H3217" i="5"/>
  <c r="H3213" i="5"/>
  <c r="H3210" i="5"/>
  <c r="H3206" i="5"/>
  <c r="H3205" i="5"/>
  <c r="H3204" i="5"/>
  <c r="H3202" i="5"/>
  <c r="H3198" i="5"/>
  <c r="H3170" i="5"/>
  <c r="H3156" i="5"/>
  <c r="H3148" i="5"/>
  <c r="H3145" i="5"/>
  <c r="H3142" i="5"/>
  <c r="H3140" i="5"/>
  <c r="H3139" i="5"/>
  <c r="H3138" i="5"/>
  <c r="H3136" i="5"/>
  <c r="H3132" i="5"/>
  <c r="H3131" i="5"/>
  <c r="H3129" i="5"/>
  <c r="H3109" i="5"/>
  <c r="H3108" i="5"/>
  <c r="H3104" i="5"/>
  <c r="H3103" i="5"/>
  <c r="H3092" i="5"/>
  <c r="H3089" i="5"/>
  <c r="H3088" i="5"/>
  <c r="H3072" i="5"/>
  <c r="H3069" i="5"/>
  <c r="H3060" i="5"/>
  <c r="H3051" i="5"/>
  <c r="H3049" i="5"/>
  <c r="H3036" i="5"/>
  <c r="H3032" i="5"/>
  <c r="H3026" i="5"/>
  <c r="H3023" i="5"/>
  <c r="H3022" i="5"/>
  <c r="H3013" i="5"/>
  <c r="H3012" i="5"/>
  <c r="H3007" i="5"/>
  <c r="H3001" i="5"/>
  <c r="H3000" i="5"/>
  <c r="H2973" i="5"/>
  <c r="H2960" i="5"/>
  <c r="H2957" i="5"/>
  <c r="H2956" i="5"/>
  <c r="H2950" i="5"/>
  <c r="H2944" i="5"/>
  <c r="H2941" i="5"/>
  <c r="H2936" i="5"/>
  <c r="H2933" i="5"/>
  <c r="H2921" i="5"/>
  <c r="H2920" i="5"/>
  <c r="H2919" i="5"/>
  <c r="H2911" i="5"/>
  <c r="H2899" i="5"/>
  <c r="H2894" i="5"/>
  <c r="H2886" i="5"/>
  <c r="H2883" i="5"/>
  <c r="H2881" i="5"/>
  <c r="H2874" i="5"/>
  <c r="H2864" i="5"/>
  <c r="H2860" i="5"/>
  <c r="H2859" i="5"/>
  <c r="H2858" i="5"/>
  <c r="H2855" i="5"/>
  <c r="H2853" i="5"/>
  <c r="H2841" i="5"/>
  <c r="H2833" i="5"/>
  <c r="H2827" i="5"/>
  <c r="H2825" i="5"/>
  <c r="H2824" i="5"/>
  <c r="H2819" i="5"/>
  <c r="H2817" i="5"/>
  <c r="H2815" i="5"/>
  <c r="H2791" i="5"/>
  <c r="H2787" i="5"/>
  <c r="H2785" i="5"/>
  <c r="H2782" i="5"/>
  <c r="H2781" i="5"/>
  <c r="H2780" i="5"/>
  <c r="H2779" i="5"/>
  <c r="H2771" i="5"/>
  <c r="H2761" i="5"/>
  <c r="H2758" i="5"/>
  <c r="H2751" i="5"/>
  <c r="H2734" i="5"/>
  <c r="H2728" i="5"/>
  <c r="H2716" i="5"/>
  <c r="H2712" i="5"/>
  <c r="H2711" i="5"/>
  <c r="H2709" i="5"/>
  <c r="H2705" i="5"/>
  <c r="H2699" i="5"/>
  <c r="H2698" i="5"/>
  <c r="H2694" i="5"/>
  <c r="H2693" i="5"/>
  <c r="H2690" i="5"/>
  <c r="H2686" i="5"/>
  <c r="H2682" i="5"/>
  <c r="H2678" i="5"/>
  <c r="H2677" i="5"/>
  <c r="H2673" i="5"/>
  <c r="H2670" i="5"/>
  <c r="H2669" i="5"/>
  <c r="H2667" i="5"/>
  <c r="H2663" i="5"/>
  <c r="H2659" i="5"/>
  <c r="H2657" i="5"/>
  <c r="H2655" i="5"/>
  <c r="H2654" i="5"/>
  <c r="H2651" i="5"/>
  <c r="H2649" i="5"/>
  <c r="H2644" i="5"/>
  <c r="H2638" i="5"/>
  <c r="H2632" i="5"/>
  <c r="H2607" i="5"/>
  <c r="H2604" i="5"/>
  <c r="H2600" i="5"/>
  <c r="H2597" i="5"/>
  <c r="H2593" i="5"/>
  <c r="H2592" i="5"/>
  <c r="H2590" i="5"/>
  <c r="H2584" i="5"/>
  <c r="H2581" i="5"/>
  <c r="H2580" i="5"/>
  <c r="H2572" i="5"/>
  <c r="H2566" i="5"/>
  <c r="H2565" i="5"/>
  <c r="H2562" i="5"/>
  <c r="H2547" i="5"/>
  <c r="H2546" i="5"/>
  <c r="H2544" i="5"/>
  <c r="H2542" i="5"/>
  <c r="H2537" i="5"/>
  <c r="H2530" i="5"/>
  <c r="H2528" i="5"/>
  <c r="H2521" i="5"/>
  <c r="H2517" i="5"/>
  <c r="H2510" i="5"/>
  <c r="H2501" i="5"/>
  <c r="H2500" i="5"/>
  <c r="H2497" i="5"/>
  <c r="H2490" i="5"/>
  <c r="H2480" i="5"/>
  <c r="H2479" i="5"/>
  <c r="H2471" i="5"/>
  <c r="H2467" i="5"/>
  <c r="H2466" i="5"/>
  <c r="H2463" i="5"/>
  <c r="H2459" i="5"/>
  <c r="H2456" i="5"/>
  <c r="H2447" i="5"/>
  <c r="H2444" i="5"/>
  <c r="H2443" i="5"/>
  <c r="H2434" i="5"/>
  <c r="H2420" i="5"/>
  <c r="H2419" i="5"/>
  <c r="H2418" i="5"/>
  <c r="H2416" i="5"/>
  <c r="H2415" i="5"/>
  <c r="H2406" i="5"/>
  <c r="H2404" i="5"/>
  <c r="H2398" i="5"/>
  <c r="H2386" i="5"/>
  <c r="H2378" i="5"/>
  <c r="H2377" i="5"/>
  <c r="H2376" i="5"/>
  <c r="H2374" i="5"/>
  <c r="H2362" i="5"/>
  <c r="H2361" i="5"/>
  <c r="H2356" i="5"/>
  <c r="H2345" i="5"/>
  <c r="H2340" i="5"/>
  <c r="H2334" i="5"/>
  <c r="H2331" i="5"/>
  <c r="H2329" i="5"/>
  <c r="H2319" i="5"/>
  <c r="H2312" i="5"/>
  <c r="H2298" i="5"/>
  <c r="H2291" i="5"/>
  <c r="H2286" i="5"/>
  <c r="H2285" i="5"/>
  <c r="H2284" i="5"/>
  <c r="H2283" i="5"/>
  <c r="H2282" i="5"/>
  <c r="H2276" i="5"/>
  <c r="H2274" i="5"/>
  <c r="H2259" i="5"/>
  <c r="H2255" i="5"/>
  <c r="H2251" i="5"/>
  <c r="H2247" i="5"/>
  <c r="H2231" i="5"/>
  <c r="H2229" i="5"/>
  <c r="H2228" i="5"/>
  <c r="H2227" i="5"/>
  <c r="H2212" i="5"/>
  <c r="H2204" i="5"/>
  <c r="H2203" i="5"/>
  <c r="H2201" i="5"/>
  <c r="H2199" i="5"/>
  <c r="H2183" i="5"/>
  <c r="H2173" i="5"/>
  <c r="H2172" i="5"/>
  <c r="H2169" i="5"/>
  <c r="H2162" i="5"/>
  <c r="H2156" i="5"/>
  <c r="H2153" i="5"/>
  <c r="H2147" i="5"/>
  <c r="H2136" i="5"/>
  <c r="H2135" i="5"/>
  <c r="H2132" i="5"/>
  <c r="H1881" i="5"/>
  <c r="H1873" i="5"/>
  <c r="H1872" i="5"/>
  <c r="H1871" i="5"/>
  <c r="H1868" i="5"/>
  <c r="H1857" i="5"/>
  <c r="H1844" i="5"/>
  <c r="H1726" i="5"/>
  <c r="H1724" i="5"/>
  <c r="H1723" i="5"/>
  <c r="H1710" i="5"/>
  <c r="H1706" i="5"/>
  <c r="H1705" i="5"/>
  <c r="H1704" i="5"/>
  <c r="H1703" i="5"/>
  <c r="H1692" i="5"/>
  <c r="H1684" i="5"/>
  <c r="H1683" i="5"/>
  <c r="H1677" i="5"/>
  <c r="H1676" i="5"/>
  <c r="H1669" i="5"/>
  <c r="H1666" i="5"/>
  <c r="H1660" i="5"/>
  <c r="H1632" i="5"/>
  <c r="H1628" i="5"/>
  <c r="H1624" i="5"/>
  <c r="H1619" i="5"/>
  <c r="H1618" i="5"/>
  <c r="H1612" i="5"/>
  <c r="H1611" i="5"/>
  <c r="H1610" i="5"/>
  <c r="H1257" i="5"/>
  <c r="H1256" i="5"/>
  <c r="H1255" i="5"/>
  <c r="H1254" i="5"/>
  <c r="H1248" i="5"/>
  <c r="H1244" i="5"/>
  <c r="H1233" i="5"/>
  <c r="H1228" i="5"/>
  <c r="H1226" i="5"/>
  <c r="H1221" i="5"/>
  <c r="H1220" i="5"/>
  <c r="H1216" i="5"/>
  <c r="H1215" i="5"/>
  <c r="H1214" i="5"/>
  <c r="H1207" i="5"/>
  <c r="H1206" i="5"/>
  <c r="H1204" i="5"/>
  <c r="H1203" i="5"/>
  <c r="H1200" i="5"/>
  <c r="H1179" i="5"/>
  <c r="H1160" i="5"/>
  <c r="H1156" i="5"/>
  <c r="H1152" i="5"/>
  <c r="H1150" i="5"/>
  <c r="H1148" i="5"/>
  <c r="H1146" i="5"/>
  <c r="H1144" i="5"/>
  <c r="H1138" i="5"/>
  <c r="H1127" i="5"/>
  <c r="H1123" i="5"/>
  <c r="H1120" i="5"/>
  <c r="H1117" i="5"/>
  <c r="H1115" i="5"/>
  <c r="H1105" i="5"/>
  <c r="H1102" i="5"/>
  <c r="H1101" i="5"/>
  <c r="H1096" i="5"/>
  <c r="H1095" i="5"/>
  <c r="H1093" i="5"/>
  <c r="H1091" i="5"/>
  <c r="H1071" i="5"/>
  <c r="H1070" i="5"/>
  <c r="H1067" i="5"/>
  <c r="H1066" i="5"/>
  <c r="H1054" i="5"/>
  <c r="H1052" i="5"/>
  <c r="H1045" i="5"/>
  <c r="H1030" i="5"/>
  <c r="H996" i="5"/>
  <c r="H993" i="5"/>
  <c r="H992" i="5"/>
  <c r="H989" i="5"/>
  <c r="H984" i="5"/>
  <c r="H983" i="5"/>
  <c r="H965" i="5"/>
  <c r="H948" i="5"/>
  <c r="H907" i="5"/>
  <c r="H899" i="5"/>
  <c r="H891" i="5"/>
  <c r="H888" i="5"/>
  <c r="H884" i="5"/>
  <c r="H875" i="5"/>
  <c r="H855" i="5"/>
  <c r="H853" i="5"/>
  <c r="H852" i="5"/>
  <c r="H825" i="5"/>
  <c r="H822" i="5"/>
  <c r="H821" i="5"/>
  <c r="H812" i="5"/>
  <c r="H796" i="5"/>
  <c r="H795" i="5"/>
  <c r="H794" i="5"/>
  <c r="H787" i="5"/>
  <c r="H780" i="5"/>
  <c r="H769" i="5"/>
  <c r="H731" i="5"/>
  <c r="H729" i="5"/>
  <c r="H728" i="5"/>
  <c r="H726" i="5"/>
  <c r="H724" i="5"/>
  <c r="H723" i="5"/>
  <c r="H719" i="5"/>
  <c r="H717" i="5"/>
  <c r="H715" i="5"/>
  <c r="H714" i="5"/>
  <c r="H707" i="5"/>
  <c r="H706" i="5"/>
  <c r="H705" i="5"/>
  <c r="H690" i="5"/>
  <c r="H689" i="5"/>
  <c r="H688" i="5"/>
  <c r="H685" i="5"/>
  <c r="H683" i="5"/>
  <c r="H681" i="5"/>
  <c r="H680" i="5"/>
  <c r="H674" i="5"/>
  <c r="H673" i="5"/>
  <c r="H671" i="5"/>
  <c r="H669" i="5"/>
  <c r="H667" i="5"/>
  <c r="H666" i="5"/>
  <c r="H661" i="5"/>
  <c r="H659" i="5"/>
  <c r="H657" i="5"/>
  <c r="H656" i="5"/>
  <c r="H655" i="5"/>
  <c r="H651" i="5"/>
  <c r="H649" i="5"/>
  <c r="H648" i="5"/>
  <c r="H643" i="5"/>
  <c r="H640" i="5"/>
  <c r="H636" i="5"/>
  <c r="H635" i="5"/>
  <c r="H634" i="5"/>
  <c r="H632" i="5"/>
  <c r="H626" i="5"/>
  <c r="H621" i="5"/>
  <c r="H600" i="5"/>
  <c r="H597" i="5"/>
  <c r="H596" i="5"/>
  <c r="H592" i="5"/>
  <c r="H590" i="5"/>
  <c r="H588" i="5"/>
  <c r="H583" i="5"/>
  <c r="H582" i="5"/>
  <c r="H566" i="5"/>
  <c r="H561" i="5"/>
  <c r="H557" i="5"/>
  <c r="H553" i="5"/>
  <c r="H545" i="5"/>
  <c r="H538" i="5"/>
  <c r="H522" i="5"/>
  <c r="H516" i="5"/>
  <c r="H515" i="5"/>
  <c r="H507" i="5"/>
  <c r="H499" i="5"/>
  <c r="H494" i="5"/>
  <c r="H472" i="5"/>
  <c r="H470" i="5"/>
  <c r="H467" i="5"/>
  <c r="H452" i="5"/>
  <c r="H431" i="5"/>
  <c r="H427" i="5"/>
  <c r="H425" i="5"/>
  <c r="H420" i="5"/>
  <c r="H416" i="5"/>
  <c r="H405" i="5"/>
  <c r="H399" i="5"/>
  <c r="H392" i="5"/>
  <c r="H388" i="5"/>
  <c r="H386" i="5"/>
  <c r="H385" i="5"/>
  <c r="H382" i="5"/>
  <c r="H360" i="5"/>
  <c r="H355" i="5"/>
  <c r="H353" i="5"/>
  <c r="H334" i="5"/>
  <c r="H329" i="5"/>
  <c r="H302" i="5"/>
  <c r="H295" i="5"/>
  <c r="H269" i="5"/>
  <c r="H246" i="5"/>
  <c r="H245" i="5"/>
  <c r="H241" i="5"/>
  <c r="H239" i="5"/>
  <c r="H237" i="5"/>
  <c r="H236" i="5"/>
  <c r="H234" i="5"/>
  <c r="H233" i="5"/>
  <c r="H222" i="5"/>
  <c r="H219" i="5"/>
  <c r="H215" i="5"/>
  <c r="H213" i="5"/>
  <c r="H210" i="5"/>
  <c r="H205" i="5"/>
  <c r="H200" i="5"/>
  <c r="H199" i="5"/>
  <c r="H196" i="5"/>
  <c r="H194" i="5"/>
  <c r="H193" i="5"/>
  <c r="H187" i="5"/>
  <c r="H181" i="5"/>
  <c r="H176" i="5"/>
  <c r="H175" i="5"/>
  <c r="H161" i="5"/>
  <c r="H154" i="5"/>
  <c r="H151" i="5"/>
  <c r="H150" i="5"/>
  <c r="H148" i="5"/>
  <c r="H147" i="5"/>
  <c r="H144" i="5"/>
  <c r="H143" i="5"/>
  <c r="H139" i="5"/>
  <c r="H138" i="5"/>
  <c r="H137" i="5"/>
  <c r="H133" i="5"/>
  <c r="H129" i="5"/>
  <c r="H112" i="5"/>
  <c r="H110" i="5"/>
  <c r="H108" i="5"/>
  <c r="H105" i="5"/>
  <c r="H100" i="5"/>
  <c r="H98" i="5"/>
  <c r="H94" i="5"/>
  <c r="H93" i="5"/>
  <c r="H92" i="5"/>
  <c r="H91" i="5"/>
  <c r="H88" i="5"/>
  <c r="H86" i="5"/>
  <c r="H82" i="5"/>
  <c r="H79" i="5"/>
  <c r="H74" i="5"/>
  <c r="H72" i="5"/>
  <c r="H64" i="5"/>
  <c r="H63" i="5"/>
  <c r="H53" i="5"/>
  <c r="H51" i="5"/>
  <c r="H50" i="5"/>
  <c r="H48" i="5"/>
  <c r="H44" i="5"/>
  <c r="H32" i="5"/>
  <c r="H29" i="5"/>
  <c r="H23" i="5"/>
  <c r="H20" i="5"/>
  <c r="H13" i="5"/>
  <c r="H12" i="5"/>
  <c r="H9" i="5"/>
  <c r="H8" i="5"/>
  <c r="H2" i="5"/>
  <c r="H3865" i="5"/>
  <c r="H3863" i="5"/>
  <c r="H3862" i="5"/>
  <c r="H3860" i="5"/>
  <c r="H3859" i="5"/>
  <c r="H3858" i="5"/>
  <c r="H3857" i="5"/>
  <c r="H3856" i="5"/>
  <c r="H3855" i="5"/>
  <c r="H3853" i="5"/>
  <c r="H3852" i="5"/>
  <c r="H3851" i="5"/>
  <c r="H3849" i="5"/>
  <c r="H3848" i="5"/>
  <c r="H3846" i="5"/>
  <c r="H3844" i="5"/>
  <c r="H3843" i="5"/>
  <c r="H3842" i="5"/>
  <c r="H3841" i="5"/>
  <c r="H3840" i="5"/>
  <c r="H3839" i="5"/>
  <c r="H3837" i="5"/>
  <c r="H3836" i="5"/>
  <c r="H3832" i="5"/>
  <c r="H3831" i="5"/>
  <c r="H3830" i="5"/>
  <c r="H3829" i="5"/>
  <c r="H3827" i="5"/>
  <c r="H3826" i="5"/>
  <c r="H3825" i="5"/>
  <c r="H3824" i="5"/>
  <c r="H3823" i="5"/>
  <c r="H3822" i="5"/>
  <c r="H3821" i="5"/>
  <c r="H3820" i="5"/>
  <c r="H3819" i="5"/>
  <c r="H3818" i="5"/>
  <c r="H3817" i="5"/>
  <c r="H3815" i="5"/>
  <c r="H3814" i="5"/>
  <c r="H3813" i="5"/>
  <c r="H3811" i="5"/>
  <c r="H3810" i="5"/>
  <c r="H3809" i="5"/>
  <c r="H3807" i="5"/>
  <c r="H3805" i="5"/>
  <c r="H3804" i="5"/>
  <c r="H3803" i="5"/>
  <c r="H3802" i="5"/>
  <c r="H3799" i="5"/>
  <c r="H3798" i="5"/>
  <c r="H3797" i="5"/>
  <c r="H3796" i="5"/>
  <c r="H3794" i="5"/>
  <c r="H3793" i="5"/>
  <c r="H3792" i="5"/>
  <c r="H3791" i="5"/>
  <c r="H3790" i="5"/>
  <c r="H3789" i="5"/>
  <c r="H3788" i="5"/>
  <c r="H3786" i="5"/>
  <c r="H3784" i="5"/>
  <c r="H3783" i="5"/>
  <c r="H3781" i="5"/>
  <c r="H3780" i="5"/>
  <c r="H3779" i="5"/>
  <c r="H3778" i="5"/>
  <c r="H3777" i="5"/>
  <c r="H3774" i="5"/>
  <c r="H3772" i="5"/>
  <c r="H3770" i="5"/>
  <c r="H3769" i="5"/>
  <c r="H3767" i="5"/>
  <c r="H3766" i="5"/>
  <c r="H3764" i="5"/>
  <c r="H3763" i="5"/>
  <c r="H3762" i="5"/>
  <c r="H3761" i="5"/>
  <c r="H3760" i="5"/>
  <c r="H3758" i="5"/>
  <c r="H3757" i="5"/>
  <c r="H3756" i="5"/>
  <c r="H3755" i="5"/>
  <c r="H3754" i="5"/>
  <c r="H3750" i="5"/>
  <c r="H3749" i="5"/>
  <c r="H3748" i="5"/>
  <c r="H3747" i="5"/>
  <c r="H3746" i="5"/>
  <c r="H3740" i="5"/>
  <c r="H3738" i="5"/>
  <c r="H3737" i="5"/>
  <c r="H3736" i="5"/>
  <c r="H3735" i="5"/>
  <c r="H3734" i="5"/>
  <c r="H3733" i="5"/>
  <c r="H3732" i="5"/>
  <c r="H3731" i="5"/>
  <c r="H3730" i="5"/>
  <c r="H3729" i="5"/>
  <c r="H3728" i="5"/>
  <c r="H3726" i="5"/>
  <c r="H3724" i="5"/>
  <c r="H3722" i="5"/>
  <c r="H3721" i="5"/>
  <c r="H3720" i="5"/>
  <c r="H3719" i="5"/>
  <c r="H3718" i="5"/>
  <c r="H3717" i="5"/>
  <c r="H3716" i="5"/>
  <c r="H3715" i="5"/>
  <c r="H3714" i="5"/>
  <c r="H3713" i="5"/>
  <c r="H3712" i="5"/>
  <c r="H3711" i="5"/>
  <c r="H3710" i="5"/>
  <c r="H3709" i="5"/>
  <c r="H3707" i="5"/>
  <c r="H3706" i="5"/>
  <c r="H3705" i="5"/>
  <c r="H3702" i="5"/>
  <c r="H3701" i="5"/>
  <c r="H3700" i="5"/>
  <c r="H3699" i="5"/>
  <c r="H3698" i="5"/>
  <c r="H3695" i="5"/>
  <c r="H3693" i="5"/>
  <c r="H3692" i="5"/>
  <c r="H3690" i="5"/>
  <c r="H3689" i="5"/>
  <c r="H3688" i="5"/>
  <c r="H3687" i="5"/>
  <c r="H3685" i="5"/>
  <c r="H3684" i="5"/>
  <c r="H3683" i="5"/>
  <c r="H3682" i="5"/>
  <c r="H3681" i="5"/>
  <c r="H3679" i="5"/>
  <c r="H3678" i="5"/>
  <c r="H3677" i="5"/>
  <c r="H3675" i="5"/>
  <c r="H3674" i="5"/>
  <c r="H3673" i="5"/>
  <c r="H3672" i="5"/>
  <c r="H3671" i="5"/>
  <c r="H3670" i="5"/>
  <c r="H3669" i="5"/>
  <c r="H3668" i="5"/>
  <c r="H3665" i="5"/>
  <c r="H3664" i="5"/>
  <c r="H3663" i="5"/>
  <c r="H3662" i="5"/>
  <c r="H3660" i="5"/>
  <c r="H3659" i="5"/>
  <c r="H3658" i="5"/>
  <c r="H3657" i="5"/>
  <c r="H3656" i="5"/>
  <c r="H3655" i="5"/>
  <c r="H3654" i="5"/>
  <c r="H3653" i="5"/>
  <c r="H3652" i="5"/>
  <c r="H3651" i="5"/>
  <c r="H3650" i="5"/>
  <c r="H3649" i="5"/>
  <c r="H3648" i="5"/>
  <c r="H3647" i="5"/>
  <c r="H3645" i="5"/>
  <c r="H3643" i="5"/>
  <c r="H3642" i="5"/>
  <c r="H3641" i="5"/>
  <c r="H3640" i="5"/>
  <c r="H3639" i="5"/>
  <c r="H3638" i="5"/>
  <c r="H3637" i="5"/>
  <c r="H3636" i="5"/>
  <c r="H3635" i="5"/>
  <c r="H3633" i="5"/>
  <c r="H3631" i="5"/>
  <c r="H3630" i="5"/>
  <c r="H3629" i="5"/>
  <c r="H3628" i="5"/>
  <c r="H3627" i="5"/>
  <c r="H3626" i="5"/>
  <c r="H3625" i="5"/>
  <c r="H3624" i="5"/>
  <c r="H3623" i="5"/>
  <c r="H3622" i="5"/>
  <c r="H3621" i="5"/>
  <c r="H3619" i="5"/>
  <c r="H3618" i="5"/>
  <c r="H3617" i="5"/>
  <c r="H3615" i="5"/>
  <c r="H3614" i="5"/>
  <c r="H3612" i="5"/>
  <c r="H3609" i="5"/>
  <c r="H3608" i="5"/>
  <c r="H3607" i="5"/>
  <c r="H3606" i="5"/>
  <c r="H3605" i="5"/>
  <c r="H3604" i="5"/>
  <c r="H3602" i="5"/>
  <c r="H3600" i="5"/>
  <c r="H3599" i="5"/>
  <c r="H3598" i="5"/>
  <c r="H3597" i="5"/>
  <c r="H3596" i="5"/>
  <c r="H3595" i="5"/>
  <c r="H3594" i="5"/>
  <c r="H3593" i="5"/>
  <c r="H3592" i="5"/>
  <c r="H3591" i="5"/>
  <c r="H3588" i="5"/>
  <c r="H3587" i="5"/>
  <c r="H3586" i="5"/>
  <c r="H3585" i="5"/>
  <c r="H3584" i="5"/>
  <c r="H3582" i="5"/>
  <c r="H3581" i="5"/>
  <c r="H3580" i="5"/>
  <c r="H3579" i="5"/>
  <c r="H3575" i="5"/>
  <c r="H3574" i="5"/>
  <c r="H3573" i="5"/>
  <c r="H3572" i="5"/>
  <c r="H3570" i="5"/>
  <c r="H3569" i="5"/>
  <c r="H3568" i="5"/>
  <c r="H3567" i="5"/>
  <c r="H3565" i="5"/>
  <c r="H3564" i="5"/>
  <c r="H3563" i="5"/>
  <c r="H3562" i="5"/>
  <c r="H3561" i="5"/>
  <c r="H3560" i="5"/>
  <c r="H3559" i="5"/>
  <c r="H3558" i="5"/>
  <c r="H3557" i="5"/>
  <c r="H3554" i="5"/>
  <c r="H3553" i="5"/>
  <c r="H3551" i="5"/>
  <c r="H3550" i="5"/>
  <c r="H3547" i="5"/>
  <c r="H3546" i="5"/>
  <c r="H3545" i="5"/>
  <c r="H3543" i="5"/>
  <c r="H3542" i="5"/>
  <c r="H3541" i="5"/>
  <c r="H3540" i="5"/>
  <c r="H3539" i="5"/>
  <c r="H3538" i="5"/>
  <c r="H3537" i="5"/>
  <c r="H3536" i="5"/>
  <c r="H3535" i="5"/>
  <c r="H3534" i="5"/>
  <c r="H3533" i="5"/>
  <c r="H3531" i="5"/>
  <c r="H3530" i="5"/>
  <c r="H3529" i="5"/>
  <c r="H3527" i="5"/>
  <c r="H3524" i="5"/>
  <c r="H3523" i="5"/>
  <c r="H3522" i="5"/>
  <c r="H3521" i="5"/>
  <c r="H3520" i="5"/>
  <c r="H3518" i="5"/>
  <c r="H3516" i="5"/>
  <c r="H3515" i="5"/>
  <c r="H3513" i="5"/>
  <c r="H3512" i="5"/>
  <c r="H3511" i="5"/>
  <c r="H3510" i="5"/>
  <c r="H3509" i="5"/>
  <c r="H3507" i="5"/>
  <c r="H3506" i="5"/>
  <c r="H3505" i="5"/>
  <c r="H3503" i="5"/>
  <c r="H3502" i="5"/>
  <c r="H3501" i="5"/>
  <c r="H3499" i="5"/>
  <c r="H3498" i="5"/>
  <c r="H3497" i="5"/>
  <c r="H3496" i="5"/>
  <c r="H3495" i="5"/>
  <c r="H3494" i="5"/>
  <c r="H3493" i="5"/>
  <c r="H3492" i="5"/>
  <c r="H3491" i="5"/>
  <c r="H3490" i="5"/>
  <c r="H3489" i="5"/>
  <c r="H3487" i="5"/>
  <c r="H3486" i="5"/>
  <c r="H3485" i="5"/>
  <c r="H3484" i="5"/>
  <c r="H3483" i="5"/>
  <c r="H3480" i="5"/>
  <c r="H3479" i="5"/>
  <c r="H3477" i="5"/>
  <c r="H3476" i="5"/>
  <c r="H3475" i="5"/>
  <c r="H3474" i="5"/>
  <c r="H3473" i="5"/>
  <c r="H3472" i="5"/>
  <c r="H3471" i="5"/>
  <c r="H3469" i="5"/>
  <c r="H3468" i="5"/>
  <c r="H3467" i="5"/>
  <c r="H3465" i="5"/>
  <c r="H3464" i="5"/>
  <c r="H3463" i="5"/>
  <c r="H3462" i="5"/>
  <c r="H3461" i="5"/>
  <c r="H3458" i="5"/>
  <c r="H3457" i="5"/>
  <c r="H3456" i="5"/>
  <c r="H3455" i="5"/>
  <c r="H3453" i="5"/>
  <c r="H3452" i="5"/>
  <c r="H3450" i="5"/>
  <c r="H3449" i="5"/>
  <c r="H3448" i="5"/>
  <c r="H3447" i="5"/>
  <c r="H3446" i="5"/>
  <c r="H3443" i="5"/>
  <c r="H3442" i="5"/>
  <c r="H3441" i="5"/>
  <c r="H3440" i="5"/>
  <c r="H3439" i="5"/>
  <c r="H3438" i="5"/>
  <c r="H3437" i="5"/>
  <c r="H3436" i="5"/>
  <c r="H3435" i="5"/>
  <c r="H3433" i="5"/>
  <c r="H3431" i="5"/>
  <c r="H3430" i="5"/>
  <c r="H3429" i="5"/>
  <c r="H3428" i="5"/>
  <c r="H3427" i="5"/>
  <c r="H3426" i="5"/>
  <c r="H3425" i="5"/>
  <c r="H3422" i="5"/>
  <c r="H3421" i="5"/>
  <c r="H3420" i="5"/>
  <c r="H3419" i="5"/>
  <c r="H3418" i="5"/>
  <c r="H3417" i="5"/>
  <c r="H3416" i="5"/>
  <c r="H3415" i="5"/>
  <c r="H3413" i="5"/>
  <c r="H3411" i="5"/>
  <c r="H3410" i="5"/>
  <c r="H3409" i="5"/>
  <c r="H3405" i="5"/>
  <c r="H3404" i="5"/>
  <c r="H3403" i="5"/>
  <c r="H3402" i="5"/>
  <c r="H3401" i="5"/>
  <c r="H3399" i="5"/>
  <c r="H3397" i="5"/>
  <c r="H3396" i="5"/>
  <c r="H3394" i="5"/>
  <c r="H3393" i="5"/>
  <c r="H3392" i="5"/>
  <c r="H3391" i="5"/>
  <c r="H3390" i="5"/>
  <c r="H3388" i="5"/>
  <c r="H3387" i="5"/>
  <c r="H3385" i="5"/>
  <c r="H3383" i="5"/>
  <c r="H3382" i="5"/>
  <c r="H3381" i="5"/>
  <c r="H3380" i="5"/>
  <c r="H3379" i="5"/>
  <c r="H3378" i="5"/>
  <c r="H3377" i="5"/>
  <c r="H3376" i="5"/>
  <c r="H3373" i="5"/>
  <c r="H3372" i="5"/>
  <c r="H3369" i="5"/>
  <c r="H3368" i="5"/>
  <c r="H3367" i="5"/>
  <c r="H3366" i="5"/>
  <c r="H3364" i="5"/>
  <c r="H3362" i="5"/>
  <c r="H3361" i="5"/>
  <c r="H3360" i="5"/>
  <c r="H3357" i="5"/>
  <c r="H3356" i="5"/>
  <c r="H3355" i="5"/>
  <c r="H3352" i="5"/>
  <c r="H3350" i="5"/>
  <c r="H3349" i="5"/>
  <c r="H3348" i="5"/>
  <c r="H3347" i="5"/>
  <c r="H3345" i="5"/>
  <c r="H3344" i="5"/>
  <c r="H3342" i="5"/>
  <c r="H3340" i="5"/>
  <c r="H3339" i="5"/>
  <c r="H3338" i="5"/>
  <c r="H3336" i="5"/>
  <c r="H3335" i="5"/>
  <c r="H3334" i="5"/>
  <c r="H3333" i="5"/>
  <c r="H3331" i="5"/>
  <c r="H3330" i="5"/>
  <c r="H3327" i="5"/>
  <c r="H3326" i="5"/>
  <c r="H3324" i="5"/>
  <c r="H3323" i="5"/>
  <c r="H3321" i="5"/>
  <c r="H3319" i="5"/>
  <c r="H3318" i="5"/>
  <c r="H3317" i="5"/>
  <c r="H3316" i="5"/>
  <c r="H3315" i="5"/>
  <c r="H3314" i="5"/>
  <c r="H3313" i="5"/>
  <c r="H3312" i="5"/>
  <c r="H3311" i="5"/>
  <c r="H3310" i="5"/>
  <c r="H3309" i="5"/>
  <c r="H3308" i="5"/>
  <c r="H3305" i="5"/>
  <c r="H3304" i="5"/>
  <c r="H3302" i="5"/>
  <c r="H3301" i="5"/>
  <c r="H3300" i="5"/>
  <c r="H3299" i="5"/>
  <c r="H3298" i="5"/>
  <c r="H3297" i="5"/>
  <c r="H3296" i="5"/>
  <c r="H3295" i="5"/>
  <c r="H3294" i="5"/>
  <c r="H3293" i="5"/>
  <c r="H3292" i="5"/>
  <c r="H3291" i="5"/>
  <c r="H3290" i="5"/>
  <c r="H3289" i="5"/>
  <c r="H3288" i="5"/>
  <c r="H3286" i="5"/>
  <c r="H3285" i="5"/>
  <c r="H3284" i="5"/>
  <c r="H3283" i="5"/>
  <c r="H3282" i="5"/>
  <c r="H3280" i="5"/>
  <c r="H3279" i="5"/>
  <c r="H3278" i="5"/>
  <c r="H3277" i="5"/>
  <c r="H3275" i="5"/>
  <c r="H3273" i="5"/>
  <c r="H3271" i="5"/>
  <c r="H3270" i="5"/>
  <c r="H3269" i="5"/>
  <c r="H3268" i="5"/>
  <c r="H3266" i="5"/>
  <c r="H3265" i="5"/>
  <c r="H3264" i="5"/>
  <c r="H3260" i="5"/>
  <c r="H3259" i="5"/>
  <c r="H3258" i="5"/>
  <c r="H3257" i="5"/>
  <c r="H3254" i="5"/>
  <c r="H3253" i="5"/>
  <c r="H3252" i="5"/>
  <c r="H3251" i="5"/>
  <c r="H3250" i="5"/>
  <c r="H3249" i="5"/>
  <c r="H3248" i="5"/>
  <c r="H3247" i="5"/>
  <c r="H3246" i="5"/>
  <c r="H3245" i="5"/>
  <c r="H3244" i="5"/>
  <c r="H3242" i="5"/>
  <c r="H3241" i="5"/>
  <c r="H3240" i="5"/>
  <c r="H3239" i="5"/>
  <c r="H3238" i="5"/>
  <c r="H3237" i="5"/>
  <c r="H3236" i="5"/>
  <c r="H3235" i="5"/>
  <c r="H3234" i="5"/>
  <c r="H3233" i="5"/>
  <c r="H3230" i="5"/>
  <c r="H3229" i="5"/>
  <c r="H3228" i="5"/>
  <c r="H3226" i="5"/>
  <c r="H3225" i="5"/>
  <c r="H3224" i="5"/>
  <c r="H3223" i="5"/>
  <c r="H3222" i="5"/>
  <c r="H3221" i="5"/>
  <c r="H3216" i="5"/>
  <c r="H3215" i="5"/>
  <c r="H3214" i="5"/>
  <c r="H3212" i="5"/>
  <c r="H3211" i="5"/>
  <c r="H3209" i="5"/>
  <c r="H3208" i="5"/>
  <c r="H3207" i="5"/>
  <c r="H3203" i="5"/>
  <c r="H3201" i="5"/>
  <c r="H3200" i="5"/>
  <c r="H3199" i="5"/>
  <c r="H3197" i="5"/>
  <c r="H3196" i="5"/>
  <c r="H3195" i="5"/>
  <c r="H3194" i="5"/>
  <c r="H3193" i="5"/>
  <c r="H3192" i="5"/>
  <c r="H3191" i="5"/>
  <c r="H3190" i="5"/>
  <c r="H3189" i="5"/>
  <c r="H3188" i="5"/>
  <c r="H3187" i="5"/>
  <c r="H3186" i="5"/>
  <c r="H3185" i="5"/>
  <c r="H3184" i="5"/>
  <c r="H3183" i="5"/>
  <c r="H3182" i="5"/>
  <c r="H3181" i="5"/>
  <c r="H3180" i="5"/>
  <c r="H3179" i="5"/>
  <c r="H3178" i="5"/>
  <c r="H3177" i="5"/>
  <c r="H3176" i="5"/>
  <c r="H3175" i="5"/>
  <c r="H3174" i="5"/>
  <c r="H3173" i="5"/>
  <c r="H3172" i="5"/>
  <c r="H3171" i="5"/>
  <c r="H3169" i="5"/>
  <c r="H3168" i="5"/>
  <c r="H3167" i="5"/>
  <c r="H3166" i="5"/>
  <c r="H3165" i="5"/>
  <c r="H3164" i="5"/>
  <c r="H3163" i="5"/>
  <c r="H3162" i="5"/>
  <c r="H3161" i="5"/>
  <c r="H3160" i="5"/>
  <c r="H3159" i="5"/>
  <c r="H3158" i="5"/>
  <c r="H3157" i="5"/>
  <c r="H3155" i="5"/>
  <c r="H3154" i="5"/>
  <c r="H3153" i="5"/>
  <c r="H3152" i="5"/>
  <c r="H3151" i="5"/>
  <c r="H3150" i="5"/>
  <c r="H3149" i="5"/>
  <c r="H3147" i="5"/>
  <c r="H3146" i="5"/>
  <c r="H3144" i="5"/>
  <c r="H3143" i="5"/>
  <c r="H3141" i="5"/>
  <c r="H3137" i="5"/>
  <c r="H3135" i="5"/>
  <c r="H3134" i="5"/>
  <c r="H3133" i="5"/>
  <c r="H3130" i="5"/>
  <c r="H3128" i="5"/>
  <c r="H3127" i="5"/>
  <c r="H3126" i="5"/>
  <c r="H3125" i="5"/>
  <c r="H3124" i="5"/>
  <c r="H3123" i="5"/>
  <c r="H3122" i="5"/>
  <c r="H3121" i="5"/>
  <c r="H3120" i="5"/>
  <c r="H3119" i="5"/>
  <c r="H3118" i="5"/>
  <c r="H3117" i="5"/>
  <c r="H3116" i="5"/>
  <c r="H3115" i="5"/>
  <c r="H3114" i="5"/>
  <c r="H3113" i="5"/>
  <c r="H3112" i="5"/>
  <c r="H3111" i="5"/>
  <c r="H3110" i="5"/>
  <c r="H3107" i="5"/>
  <c r="H3106" i="5"/>
  <c r="H3105" i="5"/>
  <c r="H3102" i="5"/>
  <c r="H3101" i="5"/>
  <c r="H3100" i="5"/>
  <c r="H3099" i="5"/>
  <c r="H3098" i="5"/>
  <c r="H3097" i="5"/>
  <c r="H3096" i="5"/>
  <c r="H3095" i="5"/>
  <c r="H3094" i="5"/>
  <c r="H3093" i="5"/>
  <c r="H3091" i="5"/>
  <c r="H3090" i="5"/>
  <c r="H3087" i="5"/>
  <c r="H3086" i="5"/>
  <c r="H3085" i="5"/>
  <c r="H3084" i="5"/>
  <c r="H3083" i="5"/>
  <c r="H3082" i="5"/>
  <c r="H3081" i="5"/>
  <c r="H3080" i="5"/>
  <c r="H3079" i="5"/>
  <c r="H3078" i="5"/>
  <c r="H3077" i="5"/>
  <c r="H3076" i="5"/>
  <c r="H3075" i="5"/>
  <c r="H3074" i="5"/>
  <c r="H3073" i="5"/>
  <c r="H3071" i="5"/>
  <c r="H3070" i="5"/>
  <c r="H3068" i="5"/>
  <c r="H3067" i="5"/>
  <c r="H3066" i="5"/>
  <c r="H3065" i="5"/>
  <c r="H3064" i="5"/>
  <c r="H3063" i="5"/>
  <c r="H3062" i="5"/>
  <c r="H3061" i="5"/>
  <c r="H3059" i="5"/>
  <c r="H3058" i="5"/>
  <c r="H3057" i="5"/>
  <c r="H3056" i="5"/>
  <c r="H3055" i="5"/>
  <c r="H3054" i="5"/>
  <c r="H3053" i="5"/>
  <c r="H3052" i="5"/>
  <c r="H3050" i="5"/>
  <c r="H3048" i="5"/>
  <c r="H3047" i="5"/>
  <c r="H3046" i="5"/>
  <c r="H3045" i="5"/>
  <c r="H3044" i="5"/>
  <c r="H3043" i="5"/>
  <c r="H3042" i="5"/>
  <c r="H3041" i="5"/>
  <c r="H3040" i="5"/>
  <c r="H3039" i="5"/>
  <c r="H3038" i="5"/>
  <c r="H3037" i="5"/>
  <c r="H3035" i="5"/>
  <c r="H3034" i="5"/>
  <c r="H3033" i="5"/>
  <c r="H3031" i="5"/>
  <c r="H3030" i="5"/>
  <c r="H3029" i="5"/>
  <c r="H3028" i="5"/>
  <c r="H3027" i="5"/>
  <c r="H3025" i="5"/>
  <c r="H3024" i="5"/>
  <c r="H3021" i="5"/>
  <c r="H3020" i="5"/>
  <c r="H3019" i="5"/>
  <c r="H3018" i="5"/>
  <c r="H3017" i="5"/>
  <c r="H3016" i="5"/>
  <c r="H3015" i="5"/>
  <c r="H3014" i="5"/>
  <c r="H3011" i="5"/>
  <c r="H3010" i="5"/>
  <c r="H3009" i="5"/>
  <c r="H3008" i="5"/>
  <c r="H3006" i="5"/>
  <c r="H3005" i="5"/>
  <c r="H3004" i="5"/>
  <c r="H3003" i="5"/>
  <c r="H3002" i="5"/>
  <c r="H2999" i="5"/>
  <c r="H2998" i="5"/>
  <c r="H2997" i="5"/>
  <c r="H2996" i="5"/>
  <c r="H2995" i="5"/>
  <c r="H2994" i="5"/>
  <c r="H2993" i="5"/>
  <c r="H2992" i="5"/>
  <c r="H2991" i="5"/>
  <c r="H2990" i="5"/>
  <c r="H2989" i="5"/>
  <c r="H2988" i="5"/>
  <c r="H2987" i="5"/>
  <c r="H2986" i="5"/>
  <c r="H2985" i="5"/>
  <c r="H2984" i="5"/>
  <c r="H2983" i="5"/>
  <c r="H2982" i="5"/>
  <c r="H2981" i="5"/>
  <c r="H2980" i="5"/>
  <c r="H2979" i="5"/>
  <c r="H2978" i="5"/>
  <c r="H2977" i="5"/>
  <c r="H2976" i="5"/>
  <c r="H2975" i="5"/>
  <c r="H2974" i="5"/>
  <c r="H2972" i="5"/>
  <c r="H2971" i="5"/>
  <c r="H2970" i="5"/>
  <c r="H2969" i="5"/>
  <c r="H2968" i="5"/>
  <c r="H2967" i="5"/>
  <c r="H2966" i="5"/>
  <c r="H2965" i="5"/>
  <c r="H2964" i="5"/>
  <c r="H2963" i="5"/>
  <c r="H2962" i="5"/>
  <c r="H2961" i="5"/>
  <c r="H2959" i="5"/>
  <c r="H2958" i="5"/>
  <c r="H2955" i="5"/>
  <c r="H2954" i="5"/>
  <c r="H2953" i="5"/>
  <c r="H2952" i="5"/>
  <c r="H2951" i="5"/>
  <c r="H2949" i="5"/>
  <c r="H2948" i="5"/>
  <c r="H2947" i="5"/>
  <c r="H2946" i="5"/>
  <c r="H2945" i="5"/>
  <c r="H2943" i="5"/>
  <c r="H2942" i="5"/>
  <c r="H2940" i="5"/>
  <c r="H2939" i="5"/>
  <c r="H2938" i="5"/>
  <c r="H2937" i="5"/>
  <c r="H2935" i="5"/>
  <c r="H2934" i="5"/>
  <c r="H2932" i="5"/>
  <c r="H2931" i="5"/>
  <c r="H2930" i="5"/>
  <c r="H2929" i="5"/>
  <c r="H2928" i="5"/>
  <c r="H2927" i="5"/>
  <c r="H2926" i="5"/>
  <c r="H2925" i="5"/>
  <c r="H2924" i="5"/>
  <c r="H2923" i="5"/>
  <c r="H2922" i="5"/>
  <c r="H2918" i="5"/>
  <c r="H2917" i="5"/>
  <c r="H2916" i="5"/>
  <c r="H2915" i="5"/>
  <c r="H2914" i="5"/>
  <c r="H2913" i="5"/>
  <c r="H2912" i="5"/>
  <c r="H2910" i="5"/>
  <c r="H2909" i="5"/>
  <c r="H2908" i="5"/>
  <c r="H2907" i="5"/>
  <c r="H2906" i="5"/>
  <c r="H2905" i="5"/>
  <c r="H2904" i="5"/>
  <c r="H2903" i="5"/>
  <c r="H2902" i="5"/>
  <c r="H2901" i="5"/>
  <c r="H2900" i="5"/>
  <c r="H2898" i="5"/>
  <c r="H2897" i="5"/>
  <c r="H2896" i="5"/>
  <c r="H2895" i="5"/>
  <c r="H2893" i="5"/>
  <c r="H2892" i="5"/>
  <c r="H2891" i="5"/>
  <c r="H2890" i="5"/>
  <c r="H2889" i="5"/>
  <c r="H2888" i="5"/>
  <c r="H2887" i="5"/>
  <c r="H2885" i="5"/>
  <c r="H2884" i="5"/>
  <c r="H2882" i="5"/>
  <c r="H2880" i="5"/>
  <c r="H2879" i="5"/>
  <c r="H2878" i="5"/>
  <c r="H2877" i="5"/>
  <c r="H2876" i="5"/>
  <c r="H2875" i="5"/>
  <c r="H2873" i="5"/>
  <c r="H2872" i="5"/>
  <c r="H2871" i="5"/>
  <c r="H2870" i="5"/>
  <c r="H2869" i="5"/>
  <c r="H2868" i="5"/>
  <c r="H2867" i="5"/>
  <c r="H2866" i="5"/>
  <c r="H2865" i="5"/>
  <c r="H2863" i="5"/>
  <c r="H2862" i="5"/>
  <c r="H2861" i="5"/>
  <c r="H2857" i="5"/>
  <c r="H2856" i="5"/>
  <c r="H2854" i="5"/>
  <c r="H2852" i="5"/>
  <c r="H2851" i="5"/>
  <c r="H2850" i="5"/>
  <c r="H2849" i="5"/>
  <c r="H2848" i="5"/>
  <c r="H2847" i="5"/>
  <c r="H2846" i="5"/>
  <c r="H2845" i="5"/>
  <c r="H2844" i="5"/>
  <c r="H2843" i="5"/>
  <c r="H2842" i="5"/>
  <c r="H2840" i="5"/>
  <c r="H2839" i="5"/>
  <c r="H2838" i="5"/>
  <c r="H2837" i="5"/>
  <c r="H2836" i="5"/>
  <c r="H2835" i="5"/>
  <c r="H2834" i="5"/>
  <c r="H2832" i="5"/>
  <c r="H2831" i="5"/>
  <c r="H2830" i="5"/>
  <c r="H2829" i="5"/>
  <c r="H2828" i="5"/>
  <c r="H2826" i="5"/>
  <c r="H2823" i="5"/>
  <c r="H2822" i="5"/>
  <c r="H2821" i="5"/>
  <c r="H2820" i="5"/>
  <c r="H2818" i="5"/>
  <c r="H2816" i="5"/>
  <c r="H2814" i="5"/>
  <c r="H2813" i="5"/>
  <c r="H2812" i="5"/>
  <c r="H2811" i="5"/>
  <c r="H2810" i="5"/>
  <c r="H2809" i="5"/>
  <c r="H2808" i="5"/>
  <c r="H2807" i="5"/>
  <c r="H2806" i="5"/>
  <c r="H2805" i="5"/>
  <c r="H2804" i="5"/>
  <c r="H2803" i="5"/>
  <c r="H2802" i="5"/>
  <c r="H2801" i="5"/>
  <c r="H2800" i="5"/>
  <c r="H2799" i="5"/>
  <c r="H2798" i="5"/>
  <c r="H2797" i="5"/>
  <c r="H2796" i="5"/>
  <c r="H2795" i="5"/>
  <c r="H2794" i="5"/>
  <c r="H2793" i="5"/>
  <c r="H2792" i="5"/>
  <c r="H2790" i="5"/>
  <c r="H2789" i="5"/>
  <c r="H2788" i="5"/>
  <c r="H2786" i="5"/>
  <c r="H2784" i="5"/>
  <c r="H2783" i="5"/>
  <c r="H2778" i="5"/>
  <c r="H2777" i="5"/>
  <c r="H2776" i="5"/>
  <c r="H2775" i="5"/>
  <c r="H2774" i="5"/>
  <c r="H2773" i="5"/>
  <c r="H2772" i="5"/>
  <c r="H2770" i="5"/>
  <c r="H2769" i="5"/>
  <c r="H2768" i="5"/>
  <c r="H2767" i="5"/>
  <c r="H2766" i="5"/>
  <c r="H2765" i="5"/>
  <c r="H2764" i="5"/>
  <c r="H2763" i="5"/>
  <c r="H2762" i="5"/>
  <c r="H2760" i="5"/>
  <c r="H2759" i="5"/>
  <c r="H2757" i="5"/>
  <c r="H2756" i="5"/>
  <c r="H2755" i="5"/>
  <c r="H2754" i="5"/>
  <c r="H2753" i="5"/>
  <c r="H2752" i="5"/>
  <c r="H2750" i="5"/>
  <c r="H2749" i="5"/>
  <c r="H2748" i="5"/>
  <c r="H2747" i="5"/>
  <c r="H2746" i="5"/>
  <c r="H2745" i="5"/>
  <c r="H2744" i="5"/>
  <c r="H2743" i="5"/>
  <c r="H2742" i="5"/>
  <c r="H2741" i="5"/>
  <c r="H2740" i="5"/>
  <c r="H2739" i="5"/>
  <c r="H2738" i="5"/>
  <c r="H2737" i="5"/>
  <c r="H2736" i="5"/>
  <c r="H2735" i="5"/>
  <c r="H2733" i="5"/>
  <c r="H2732" i="5"/>
  <c r="H2731" i="5"/>
  <c r="H2730" i="5"/>
  <c r="H2729" i="5"/>
  <c r="H2727" i="5"/>
  <c r="H2726" i="5"/>
  <c r="H2725" i="5"/>
  <c r="H2724" i="5"/>
  <c r="H2723" i="5"/>
  <c r="H2722" i="5"/>
  <c r="H2721" i="5"/>
  <c r="H2720" i="5"/>
  <c r="H2719" i="5"/>
  <c r="H2718" i="5"/>
  <c r="H2717" i="5"/>
  <c r="H2715" i="5"/>
  <c r="H2714" i="5"/>
  <c r="H2713" i="5"/>
  <c r="H2710" i="5"/>
  <c r="H2708" i="5"/>
  <c r="H2707" i="5"/>
  <c r="H2706" i="5"/>
  <c r="H2704" i="5"/>
  <c r="H2703" i="5"/>
  <c r="H2702" i="5"/>
  <c r="H2701" i="5"/>
  <c r="H2700" i="5"/>
  <c r="H2697" i="5"/>
  <c r="H2696" i="5"/>
  <c r="H2695" i="5"/>
  <c r="H2692" i="5"/>
  <c r="H2691" i="5"/>
  <c r="H2689" i="5"/>
  <c r="H2688" i="5"/>
  <c r="H2687" i="5"/>
  <c r="H2685" i="5"/>
  <c r="H2684" i="5"/>
  <c r="H2683" i="5"/>
  <c r="H2681" i="5"/>
  <c r="H2680" i="5"/>
  <c r="H2679" i="5"/>
  <c r="H2676" i="5"/>
  <c r="H2675" i="5"/>
  <c r="H2674" i="5"/>
  <c r="H2672" i="5"/>
  <c r="H2671" i="5"/>
  <c r="H2668" i="5"/>
  <c r="H2666" i="5"/>
  <c r="H2665" i="5"/>
  <c r="H2664" i="5"/>
  <c r="H2662" i="5"/>
  <c r="H2661" i="5"/>
  <c r="H2660" i="5"/>
  <c r="H2658" i="5"/>
  <c r="H2656" i="5"/>
  <c r="H2653" i="5"/>
  <c r="H2652" i="5"/>
  <c r="H2650" i="5"/>
  <c r="H2648" i="5"/>
  <c r="H2647" i="5"/>
  <c r="H2646" i="5"/>
  <c r="H2645" i="5"/>
  <c r="H2643" i="5"/>
  <c r="H2642" i="5"/>
  <c r="H2641" i="5"/>
  <c r="H2640" i="5"/>
  <c r="H2639" i="5"/>
  <c r="H2637" i="5"/>
  <c r="H2636" i="5"/>
  <c r="H2635" i="5"/>
  <c r="H2634" i="5"/>
  <c r="H2633" i="5"/>
  <c r="H2631" i="5"/>
  <c r="H2630" i="5"/>
  <c r="H2629" i="5"/>
  <c r="H2628" i="5"/>
  <c r="H2627" i="5"/>
  <c r="H2626" i="5"/>
  <c r="H2625" i="5"/>
  <c r="H2624" i="5"/>
  <c r="H2623" i="5"/>
  <c r="H2622" i="5"/>
  <c r="H2621" i="5"/>
  <c r="H2620" i="5"/>
  <c r="H2619" i="5"/>
  <c r="H2618" i="5"/>
  <c r="H2617" i="5"/>
  <c r="H2616" i="5"/>
  <c r="H2615" i="5"/>
  <c r="H2614" i="5"/>
  <c r="H2613" i="5"/>
  <c r="H2612" i="5"/>
  <c r="H2611" i="5"/>
  <c r="H2610" i="5"/>
  <c r="H2609" i="5"/>
  <c r="H2608" i="5"/>
  <c r="H2606" i="5"/>
  <c r="H2605" i="5"/>
  <c r="H2603" i="5"/>
  <c r="H2602" i="5"/>
  <c r="H2601" i="5"/>
  <c r="H2599" i="5"/>
  <c r="H2598" i="5"/>
  <c r="H2596" i="5"/>
  <c r="H2595" i="5"/>
  <c r="H2594" i="5"/>
  <c r="H2591" i="5"/>
  <c r="H2589" i="5"/>
  <c r="H2588" i="5"/>
  <c r="H2587" i="5"/>
  <c r="H2586" i="5"/>
  <c r="H2585" i="5"/>
  <c r="H2583" i="5"/>
  <c r="H2582" i="5"/>
  <c r="H2579" i="5"/>
  <c r="H2578" i="5"/>
  <c r="H2577" i="5"/>
  <c r="H2576" i="5"/>
  <c r="H2575" i="5"/>
  <c r="H2574" i="5"/>
  <c r="H2573" i="5"/>
  <c r="H2571" i="5"/>
  <c r="H2570" i="5"/>
  <c r="H2569" i="5"/>
  <c r="H2568" i="5"/>
  <c r="H2567" i="5"/>
  <c r="H2564" i="5"/>
  <c r="H2563" i="5"/>
  <c r="H2561" i="5"/>
  <c r="H2560" i="5"/>
  <c r="H2559" i="5"/>
  <c r="H2558" i="5"/>
  <c r="H2557" i="5"/>
  <c r="H2556" i="5"/>
  <c r="H2555" i="5"/>
  <c r="H2554" i="5"/>
  <c r="H2553" i="5"/>
  <c r="H2552" i="5"/>
  <c r="H2551" i="5"/>
  <c r="H2550" i="5"/>
  <c r="H2549" i="5"/>
  <c r="H2548" i="5"/>
  <c r="H2545" i="5"/>
  <c r="H2543" i="5"/>
  <c r="H2541" i="5"/>
  <c r="H2540" i="5"/>
  <c r="H2539" i="5"/>
  <c r="H2538" i="5"/>
  <c r="H2536" i="5"/>
  <c r="H2535" i="5"/>
  <c r="H2534" i="5"/>
  <c r="H2533" i="5"/>
  <c r="H2532" i="5"/>
  <c r="H2531" i="5"/>
  <c r="H2529" i="5"/>
  <c r="H2527" i="5"/>
  <c r="H2526" i="5"/>
  <c r="H2525" i="5"/>
  <c r="H2524" i="5"/>
  <c r="H2523" i="5"/>
  <c r="H2522" i="5"/>
  <c r="H2520" i="5"/>
  <c r="H2519" i="5"/>
  <c r="H2518" i="5"/>
  <c r="H2516" i="5"/>
  <c r="H2515" i="5"/>
  <c r="H2514" i="5"/>
  <c r="H2513" i="5"/>
  <c r="H2512" i="5"/>
  <c r="H2511" i="5"/>
  <c r="H2509" i="5"/>
  <c r="H2508" i="5"/>
  <c r="H2507" i="5"/>
  <c r="H2506" i="5"/>
  <c r="H2505" i="5"/>
  <c r="H2504" i="5"/>
  <c r="H2503" i="5"/>
  <c r="H2502" i="5"/>
  <c r="H2499" i="5"/>
  <c r="H2498" i="5"/>
  <c r="H2496" i="5"/>
  <c r="H2495" i="5"/>
  <c r="H2494" i="5"/>
  <c r="H2493" i="5"/>
  <c r="H2492" i="5"/>
  <c r="H2491" i="5"/>
  <c r="H2489" i="5"/>
  <c r="H2488" i="5"/>
  <c r="H2487" i="5"/>
  <c r="H2486" i="5"/>
  <c r="H2485" i="5"/>
  <c r="H2484" i="5"/>
  <c r="H2483" i="5"/>
  <c r="H2482" i="5"/>
  <c r="H2481" i="5"/>
  <c r="H2478" i="5"/>
  <c r="H2477" i="5"/>
  <c r="H2476" i="5"/>
  <c r="H2475" i="5"/>
  <c r="H2474" i="5"/>
  <c r="H2473" i="5"/>
  <c r="H2472" i="5"/>
  <c r="H2470" i="5"/>
  <c r="H2469" i="5"/>
  <c r="H2468" i="5"/>
  <c r="H2465" i="5"/>
  <c r="H2464" i="5"/>
  <c r="H2462" i="5"/>
  <c r="H2461" i="5"/>
  <c r="H2460" i="5"/>
  <c r="H2458" i="5"/>
  <c r="H2457" i="5"/>
  <c r="H2455" i="5"/>
  <c r="H2454" i="5"/>
  <c r="H2453" i="5"/>
  <c r="H2452" i="5"/>
  <c r="H2451" i="5"/>
  <c r="H2450" i="5"/>
  <c r="H2449" i="5"/>
  <c r="H2448" i="5"/>
  <c r="H2446" i="5"/>
  <c r="H2445" i="5"/>
  <c r="H2442" i="5"/>
  <c r="H2441" i="5"/>
  <c r="H2440" i="5"/>
  <c r="H2439" i="5"/>
  <c r="H2438" i="5"/>
  <c r="H2437" i="5"/>
  <c r="H2436" i="5"/>
  <c r="H2435" i="5"/>
  <c r="H2433" i="5"/>
  <c r="H2432" i="5"/>
  <c r="H2431" i="5"/>
  <c r="H2430" i="5"/>
  <c r="H2429" i="5"/>
  <c r="H2428" i="5"/>
  <c r="H2427" i="5"/>
  <c r="H2426" i="5"/>
  <c r="H2425" i="5"/>
  <c r="H2424" i="5"/>
  <c r="H2423" i="5"/>
  <c r="H2422" i="5"/>
  <c r="H2421" i="5"/>
  <c r="H2417" i="5"/>
  <c r="H2414" i="5"/>
  <c r="H2413" i="5"/>
  <c r="H2412" i="5"/>
  <c r="H2411" i="5"/>
  <c r="H2410" i="5"/>
  <c r="H2409" i="5"/>
  <c r="H2408" i="5"/>
  <c r="H2407" i="5"/>
  <c r="H2405" i="5"/>
  <c r="H2403" i="5"/>
  <c r="H2402" i="5"/>
  <c r="H2401" i="5"/>
  <c r="H2400" i="5"/>
  <c r="H2399" i="5"/>
  <c r="H2397" i="5"/>
  <c r="H2396" i="5"/>
  <c r="H2395" i="5"/>
  <c r="H2394" i="5"/>
  <c r="H2393" i="5"/>
  <c r="H2392" i="5"/>
  <c r="H2391" i="5"/>
  <c r="H2390" i="5"/>
  <c r="H2389" i="5"/>
  <c r="H2388" i="5"/>
  <c r="H2387" i="5"/>
  <c r="H2385" i="5"/>
  <c r="H2384" i="5"/>
  <c r="H2383" i="5"/>
  <c r="H2382" i="5"/>
  <c r="H2381" i="5"/>
  <c r="H2380" i="5"/>
  <c r="H2379" i="5"/>
  <c r="H2375" i="5"/>
  <c r="H2373" i="5"/>
  <c r="H2372" i="5"/>
  <c r="H2371" i="5"/>
  <c r="H2370" i="5"/>
  <c r="H2369" i="5"/>
  <c r="H2368" i="5"/>
  <c r="H2367" i="5"/>
  <c r="H2366" i="5"/>
  <c r="H2365" i="5"/>
  <c r="H2364" i="5"/>
  <c r="H2363" i="5"/>
  <c r="H2360" i="5"/>
  <c r="H2359" i="5"/>
  <c r="H2358" i="5"/>
  <c r="H2357" i="5"/>
  <c r="H2355" i="5"/>
  <c r="H2354" i="5"/>
  <c r="H2353" i="5"/>
  <c r="H2352" i="5"/>
  <c r="H2351" i="5"/>
  <c r="H2350" i="5"/>
  <c r="H2349" i="5"/>
  <c r="H2348" i="5"/>
  <c r="H2347" i="5"/>
  <c r="H2346" i="5"/>
  <c r="H2344" i="5"/>
  <c r="H2343" i="5"/>
  <c r="H2342" i="5"/>
  <c r="H2341" i="5"/>
  <c r="H2339" i="5"/>
  <c r="H2338" i="5"/>
  <c r="H2337" i="5"/>
  <c r="H2336" i="5"/>
  <c r="H2335" i="5"/>
  <c r="H2333" i="5"/>
  <c r="H2332" i="5"/>
  <c r="H2330" i="5"/>
  <c r="H2328" i="5"/>
  <c r="H2327" i="5"/>
  <c r="H2326" i="5"/>
  <c r="H2325" i="5"/>
  <c r="H2324" i="5"/>
  <c r="H2323" i="5"/>
  <c r="H2322" i="5"/>
  <c r="H2321" i="5"/>
  <c r="H2320" i="5"/>
  <c r="H2318" i="5"/>
  <c r="H2317" i="5"/>
  <c r="H2316" i="5"/>
  <c r="H2315" i="5"/>
  <c r="H2314" i="5"/>
  <c r="H2313" i="5"/>
  <c r="H2311" i="5"/>
  <c r="H2310" i="5"/>
  <c r="H2309" i="5"/>
  <c r="H2308" i="5"/>
  <c r="H2307" i="5"/>
  <c r="H2306" i="5"/>
  <c r="H2305" i="5"/>
  <c r="H2304" i="5"/>
  <c r="H2303" i="5"/>
  <c r="H2302" i="5"/>
  <c r="H2301" i="5"/>
  <c r="H2300" i="5"/>
  <c r="H2299" i="5"/>
  <c r="H2297" i="5"/>
  <c r="H2296" i="5"/>
  <c r="H2295" i="5"/>
  <c r="H2294" i="5"/>
  <c r="H2293" i="5"/>
  <c r="H2292" i="5"/>
  <c r="H2290" i="5"/>
  <c r="H2289" i="5"/>
  <c r="H2288" i="5"/>
  <c r="H2287" i="5"/>
  <c r="H2281" i="5"/>
  <c r="H2280" i="5"/>
  <c r="H2279" i="5"/>
  <c r="H2278" i="5"/>
  <c r="H2277" i="5"/>
  <c r="H2275" i="5"/>
  <c r="H2273" i="5"/>
  <c r="H2272" i="5"/>
  <c r="H2271" i="5"/>
  <c r="H2270" i="5"/>
  <c r="H2269" i="5"/>
  <c r="H2268" i="5"/>
  <c r="H2267" i="5"/>
  <c r="H2266" i="5"/>
  <c r="H2265" i="5"/>
  <c r="H2264" i="5"/>
  <c r="H2263" i="5"/>
  <c r="H2262" i="5"/>
  <c r="H2261" i="5"/>
  <c r="H2260" i="5"/>
  <c r="H2258" i="5"/>
  <c r="H2257" i="5"/>
  <c r="H2256" i="5"/>
  <c r="H2254" i="5"/>
  <c r="H2253" i="5"/>
  <c r="H2252" i="5"/>
  <c r="H2250" i="5"/>
  <c r="H2249" i="5"/>
  <c r="H2248" i="5"/>
  <c r="H2246" i="5"/>
  <c r="H2245" i="5"/>
  <c r="H2244" i="5"/>
  <c r="H2243" i="5"/>
  <c r="H2242" i="5"/>
  <c r="H2241" i="5"/>
  <c r="H2240" i="5"/>
  <c r="H2239" i="5"/>
  <c r="H2238" i="5"/>
  <c r="H2237" i="5"/>
  <c r="H2236" i="5"/>
  <c r="H2235" i="5"/>
  <c r="H2234" i="5"/>
  <c r="H2233" i="5"/>
  <c r="H2232" i="5"/>
  <c r="H2230" i="5"/>
  <c r="H2226" i="5"/>
  <c r="H2225" i="5"/>
  <c r="H2224" i="5"/>
  <c r="H2223" i="5"/>
  <c r="H2222" i="5"/>
  <c r="H2221" i="5"/>
  <c r="H2220" i="5"/>
  <c r="H2219" i="5"/>
  <c r="H2218" i="5"/>
  <c r="H2217" i="5"/>
  <c r="H2216" i="5"/>
  <c r="H2215" i="5"/>
  <c r="H2214" i="5"/>
  <c r="H2213" i="5"/>
  <c r="H2211" i="5"/>
  <c r="H2210" i="5"/>
  <c r="H2209" i="5"/>
  <c r="H2208" i="5"/>
  <c r="H2207" i="5"/>
  <c r="H2206" i="5"/>
  <c r="H2205" i="5"/>
  <c r="H2202" i="5"/>
  <c r="H2200" i="5"/>
  <c r="H2198" i="5"/>
  <c r="H2197" i="5"/>
  <c r="H2196" i="5"/>
  <c r="H2195" i="5"/>
  <c r="H2194" i="5"/>
  <c r="H2193" i="5"/>
  <c r="H2192" i="5"/>
  <c r="H2191" i="5"/>
  <c r="H2190" i="5"/>
  <c r="H2189" i="5"/>
  <c r="H2188" i="5"/>
  <c r="H2187" i="5"/>
  <c r="H2186" i="5"/>
  <c r="H2185" i="5"/>
  <c r="H2184" i="5"/>
  <c r="H2182" i="5"/>
  <c r="H2181" i="5"/>
  <c r="H2180" i="5"/>
  <c r="H2179" i="5"/>
  <c r="H2178" i="5"/>
  <c r="H2177" i="5"/>
  <c r="H2176" i="5"/>
  <c r="H2175" i="5"/>
  <c r="H2174" i="5"/>
  <c r="H2171" i="5"/>
  <c r="H2170" i="5"/>
  <c r="H2168" i="5"/>
  <c r="H2167" i="5"/>
  <c r="H2166" i="5"/>
  <c r="H2165" i="5"/>
  <c r="H2164" i="5"/>
  <c r="H2163" i="5"/>
  <c r="H2161" i="5"/>
  <c r="H2160" i="5"/>
  <c r="H2159" i="5"/>
  <c r="H2158" i="5"/>
  <c r="H2157" i="5"/>
  <c r="H2155" i="5"/>
  <c r="H2154" i="5"/>
  <c r="H2152" i="5"/>
  <c r="H2151" i="5"/>
  <c r="H2150" i="5"/>
  <c r="H2149" i="5"/>
  <c r="H2148" i="5"/>
  <c r="H2146" i="5"/>
  <c r="H2145" i="5"/>
  <c r="H2144" i="5"/>
  <c r="H2143" i="5"/>
  <c r="H2142" i="5"/>
  <c r="H2141" i="5"/>
  <c r="H2140" i="5"/>
  <c r="H2139" i="5"/>
  <c r="H2138" i="5"/>
  <c r="H2137" i="5"/>
  <c r="H2134" i="5"/>
  <c r="H2133" i="5"/>
  <c r="H2131" i="5"/>
  <c r="H2130" i="5"/>
  <c r="H2129" i="5"/>
  <c r="H2128" i="5"/>
  <c r="H2127" i="5"/>
  <c r="H2126" i="5"/>
  <c r="H2125" i="5"/>
  <c r="H2124" i="5"/>
  <c r="H2123" i="5"/>
  <c r="H2122" i="5"/>
  <c r="H2121" i="5"/>
  <c r="H2120" i="5"/>
  <c r="H2119" i="5"/>
  <c r="H2118" i="5"/>
  <c r="H2117" i="5"/>
  <c r="H2116" i="5"/>
  <c r="H2115" i="5"/>
  <c r="H2114" i="5"/>
  <c r="H2113" i="5"/>
  <c r="H2112" i="5"/>
  <c r="H2111" i="5"/>
  <c r="H2110" i="5"/>
  <c r="H2109" i="5"/>
  <c r="H2108" i="5"/>
  <c r="H2107" i="5"/>
  <c r="H2106" i="5"/>
  <c r="H2105" i="5"/>
  <c r="H2104" i="5"/>
  <c r="H2103" i="5"/>
  <c r="H2102" i="5"/>
  <c r="H2101" i="5"/>
  <c r="H2100" i="5"/>
  <c r="H2099" i="5"/>
  <c r="H2098" i="5"/>
  <c r="H2097" i="5"/>
  <c r="H2096" i="5"/>
  <c r="H2095" i="5"/>
  <c r="H2094" i="5"/>
  <c r="H2093" i="5"/>
  <c r="H2092" i="5"/>
  <c r="H2091" i="5"/>
  <c r="H2090" i="5"/>
  <c r="H2089" i="5"/>
  <c r="H2088" i="5"/>
  <c r="H2087" i="5"/>
  <c r="H2086" i="5"/>
  <c r="H2085" i="5"/>
  <c r="H2084" i="5"/>
  <c r="H2083" i="5"/>
  <c r="H2082" i="5"/>
  <c r="H2081" i="5"/>
  <c r="H2080" i="5"/>
  <c r="H2079" i="5"/>
  <c r="H2078" i="5"/>
  <c r="H2077" i="5"/>
  <c r="H2076" i="5"/>
  <c r="H2075" i="5"/>
  <c r="H2074" i="5"/>
  <c r="H2073" i="5"/>
  <c r="H2072" i="5"/>
  <c r="H2071" i="5"/>
  <c r="H2070" i="5"/>
  <c r="H2069" i="5"/>
  <c r="H2068" i="5"/>
  <c r="H2067" i="5"/>
  <c r="H2066" i="5"/>
  <c r="H2065" i="5"/>
  <c r="H2064" i="5"/>
  <c r="H2063" i="5"/>
  <c r="H2062" i="5"/>
  <c r="H2061" i="5"/>
  <c r="H2060" i="5"/>
  <c r="H2059" i="5"/>
  <c r="H2058" i="5"/>
  <c r="H2057" i="5"/>
  <c r="H2056" i="5"/>
  <c r="H2055" i="5"/>
  <c r="H2054" i="5"/>
  <c r="H2053" i="5"/>
  <c r="H2052" i="5"/>
  <c r="H2051" i="5"/>
  <c r="H2050" i="5"/>
  <c r="H2049" i="5"/>
  <c r="H2048" i="5"/>
  <c r="H2047" i="5"/>
  <c r="H2046" i="5"/>
  <c r="H2045" i="5"/>
  <c r="H2044" i="5"/>
  <c r="H2043" i="5"/>
  <c r="H2042" i="5"/>
  <c r="H2041" i="5"/>
  <c r="H2040" i="5"/>
  <c r="H2039" i="5"/>
  <c r="H2038" i="5"/>
  <c r="H2037" i="5"/>
  <c r="H2036" i="5"/>
  <c r="H2035" i="5"/>
  <c r="H2034" i="5"/>
  <c r="H2033" i="5"/>
  <c r="H2032" i="5"/>
  <c r="H2031" i="5"/>
  <c r="H2030" i="5"/>
  <c r="H2029" i="5"/>
  <c r="H2028" i="5"/>
  <c r="H2027" i="5"/>
  <c r="H2026" i="5"/>
  <c r="H2025" i="5"/>
  <c r="H2024" i="5"/>
  <c r="H2023" i="5"/>
  <c r="H2022" i="5"/>
  <c r="H2021" i="5"/>
  <c r="H2020" i="5"/>
  <c r="H2019" i="5"/>
  <c r="H2018" i="5"/>
  <c r="H2017" i="5"/>
  <c r="H2016" i="5"/>
  <c r="H2015" i="5"/>
  <c r="H2014" i="5"/>
  <c r="H2013" i="5"/>
  <c r="H2012" i="5"/>
  <c r="H2011" i="5"/>
  <c r="H2010" i="5"/>
  <c r="H2009" i="5"/>
  <c r="H2008" i="5"/>
  <c r="H2007" i="5"/>
  <c r="H2006" i="5"/>
  <c r="H2005" i="5"/>
  <c r="H2004" i="5"/>
  <c r="H2003" i="5"/>
  <c r="H2002" i="5"/>
  <c r="H2001" i="5"/>
  <c r="H2000" i="5"/>
  <c r="H1999" i="5"/>
  <c r="H1998" i="5"/>
  <c r="H1997" i="5"/>
  <c r="H1996" i="5"/>
  <c r="H1995" i="5"/>
  <c r="H1994" i="5"/>
  <c r="H1993" i="5"/>
  <c r="H1992" i="5"/>
  <c r="H1991" i="5"/>
  <c r="H1990" i="5"/>
  <c r="H1989" i="5"/>
  <c r="H1988" i="5"/>
  <c r="H1987" i="5"/>
  <c r="H1986" i="5"/>
  <c r="H1985" i="5"/>
  <c r="H1984" i="5"/>
  <c r="H1983" i="5"/>
  <c r="H1982" i="5"/>
  <c r="H1981" i="5"/>
  <c r="H1980" i="5"/>
  <c r="H1979" i="5"/>
  <c r="H1978" i="5"/>
  <c r="H1977" i="5"/>
  <c r="H1976" i="5"/>
  <c r="H1975" i="5"/>
  <c r="H1974" i="5"/>
  <c r="H1973" i="5"/>
  <c r="H1972" i="5"/>
  <c r="H1971" i="5"/>
  <c r="H1970" i="5"/>
  <c r="H1969" i="5"/>
  <c r="H1968" i="5"/>
  <c r="H1967" i="5"/>
  <c r="H1966" i="5"/>
  <c r="H1965" i="5"/>
  <c r="H1964" i="5"/>
  <c r="H1963" i="5"/>
  <c r="H1962" i="5"/>
  <c r="H1961" i="5"/>
  <c r="H1960" i="5"/>
  <c r="H1959" i="5"/>
  <c r="H1958" i="5"/>
  <c r="H1957" i="5"/>
  <c r="H1956" i="5"/>
  <c r="H1955" i="5"/>
  <c r="H1954" i="5"/>
  <c r="H1953" i="5"/>
  <c r="H1952" i="5"/>
  <c r="H1951" i="5"/>
  <c r="H1950" i="5"/>
  <c r="H1949" i="5"/>
  <c r="H1948" i="5"/>
  <c r="H1947" i="5"/>
  <c r="H1946" i="5"/>
  <c r="H1945" i="5"/>
  <c r="H1944" i="5"/>
  <c r="H1943" i="5"/>
  <c r="H1942" i="5"/>
  <c r="H1941" i="5"/>
  <c r="H1940" i="5"/>
  <c r="H1939" i="5"/>
  <c r="H1938" i="5"/>
  <c r="H1937" i="5"/>
  <c r="H1936" i="5"/>
  <c r="H1935" i="5"/>
  <c r="H1934" i="5"/>
  <c r="H1933" i="5"/>
  <c r="H1932" i="5"/>
  <c r="H1931" i="5"/>
  <c r="H1930" i="5"/>
  <c r="H1929" i="5"/>
  <c r="H1928" i="5"/>
  <c r="H1927" i="5"/>
  <c r="H1926" i="5"/>
  <c r="H1925" i="5"/>
  <c r="H1924" i="5"/>
  <c r="H1923" i="5"/>
  <c r="H1922" i="5"/>
  <c r="H1921" i="5"/>
  <c r="H1920" i="5"/>
  <c r="H1919" i="5"/>
  <c r="H1918" i="5"/>
  <c r="H1917" i="5"/>
  <c r="H1916" i="5"/>
  <c r="H1915" i="5"/>
  <c r="H1914" i="5"/>
  <c r="H1913" i="5"/>
  <c r="H1912" i="5"/>
  <c r="H1911" i="5"/>
  <c r="H1910" i="5"/>
  <c r="H1909" i="5"/>
  <c r="H1908" i="5"/>
  <c r="H1907" i="5"/>
  <c r="H1906" i="5"/>
  <c r="H1905" i="5"/>
  <c r="H1904" i="5"/>
  <c r="H1903" i="5"/>
  <c r="H1902" i="5"/>
  <c r="H1901" i="5"/>
  <c r="H1900" i="5"/>
  <c r="H1899" i="5"/>
  <c r="H1898" i="5"/>
  <c r="H1897" i="5"/>
  <c r="H1896" i="5"/>
  <c r="H1895" i="5"/>
  <c r="H1894" i="5"/>
  <c r="H1893" i="5"/>
  <c r="H1892" i="5"/>
  <c r="H1891" i="5"/>
  <c r="H1890" i="5"/>
  <c r="H1889" i="5"/>
  <c r="H1888" i="5"/>
  <c r="H1887" i="5"/>
  <c r="H1886" i="5"/>
  <c r="H1885" i="5"/>
  <c r="H1884" i="5"/>
  <c r="H1883" i="5"/>
  <c r="H1882" i="5"/>
  <c r="H1880" i="5"/>
  <c r="H1879" i="5"/>
  <c r="H1878" i="5"/>
  <c r="H1877" i="5"/>
  <c r="H1876" i="5"/>
  <c r="H1875" i="5"/>
  <c r="H1874" i="5"/>
  <c r="H1870" i="5"/>
  <c r="H1869" i="5"/>
  <c r="H1867" i="5"/>
  <c r="H1866" i="5"/>
  <c r="H1865" i="5"/>
  <c r="H1864" i="5"/>
  <c r="H1863" i="5"/>
  <c r="H1862" i="5"/>
  <c r="H1861" i="5"/>
  <c r="H1860" i="5"/>
  <c r="H1859" i="5"/>
  <c r="H1858" i="5"/>
  <c r="H1856" i="5"/>
  <c r="H1855" i="5"/>
  <c r="H1854" i="5"/>
  <c r="H1853" i="5"/>
  <c r="H1852" i="5"/>
  <c r="H1851" i="5"/>
  <c r="H1850" i="5"/>
  <c r="H1849" i="5"/>
  <c r="H1848" i="5"/>
  <c r="H1847" i="5"/>
  <c r="H1846" i="5"/>
  <c r="H1845" i="5"/>
  <c r="H1843" i="5"/>
  <c r="H1842" i="5"/>
  <c r="H1841" i="5"/>
  <c r="H1840" i="5"/>
  <c r="H1839" i="5"/>
  <c r="H1838" i="5"/>
  <c r="H1837" i="5"/>
  <c r="H1836" i="5"/>
  <c r="H1835" i="5"/>
  <c r="H1834" i="5"/>
  <c r="H1833" i="5"/>
  <c r="H1832" i="5"/>
  <c r="H1831" i="5"/>
  <c r="H1830" i="5"/>
  <c r="H1829" i="5"/>
  <c r="H1828" i="5"/>
  <c r="H1827" i="5"/>
  <c r="H1826" i="5"/>
  <c r="H1825" i="5"/>
  <c r="H1824" i="5"/>
  <c r="H1823" i="5"/>
  <c r="H1822" i="5"/>
  <c r="H1821" i="5"/>
  <c r="H1820" i="5"/>
  <c r="H1819" i="5"/>
  <c r="H1818" i="5"/>
  <c r="H1817" i="5"/>
  <c r="H1816" i="5"/>
  <c r="H1815" i="5"/>
  <c r="H1814" i="5"/>
  <c r="H1813" i="5"/>
  <c r="H1812" i="5"/>
  <c r="H1811" i="5"/>
  <c r="H1810" i="5"/>
  <c r="H1809" i="5"/>
  <c r="H1808" i="5"/>
  <c r="H1807" i="5"/>
  <c r="H1806" i="5"/>
  <c r="H1805" i="5"/>
  <c r="H1804" i="5"/>
  <c r="H1803" i="5"/>
  <c r="H1802" i="5"/>
  <c r="H1801" i="5"/>
  <c r="H1800" i="5"/>
  <c r="H1799" i="5"/>
  <c r="H1798" i="5"/>
  <c r="H1797" i="5"/>
  <c r="H1796" i="5"/>
  <c r="H1795" i="5"/>
  <c r="H1794" i="5"/>
  <c r="H1793" i="5"/>
  <c r="H1792" i="5"/>
  <c r="H1791" i="5"/>
  <c r="H1790" i="5"/>
  <c r="H1789" i="5"/>
  <c r="H1788" i="5"/>
  <c r="H1787" i="5"/>
  <c r="H1786" i="5"/>
  <c r="H1785" i="5"/>
  <c r="H1784" i="5"/>
  <c r="H1783" i="5"/>
  <c r="H1782" i="5"/>
  <c r="H1781" i="5"/>
  <c r="H1780" i="5"/>
  <c r="H1779" i="5"/>
  <c r="H1778" i="5"/>
  <c r="H1777" i="5"/>
  <c r="H1776" i="5"/>
  <c r="H1775" i="5"/>
  <c r="H1774" i="5"/>
  <c r="H1773" i="5"/>
  <c r="H1772" i="5"/>
  <c r="H1771" i="5"/>
  <c r="H1770" i="5"/>
  <c r="H1769" i="5"/>
  <c r="H1768" i="5"/>
  <c r="H1767" i="5"/>
  <c r="H1766" i="5"/>
  <c r="H1765" i="5"/>
  <c r="H1764" i="5"/>
  <c r="H1763" i="5"/>
  <c r="H1762" i="5"/>
  <c r="H1761" i="5"/>
  <c r="H1760" i="5"/>
  <c r="H1759" i="5"/>
  <c r="H1758" i="5"/>
  <c r="H1757" i="5"/>
  <c r="H1756" i="5"/>
  <c r="H1755" i="5"/>
  <c r="H1754" i="5"/>
  <c r="H1753" i="5"/>
  <c r="H1752" i="5"/>
  <c r="H1751" i="5"/>
  <c r="H1750" i="5"/>
  <c r="H1749" i="5"/>
  <c r="H1748" i="5"/>
  <c r="H1747" i="5"/>
  <c r="H1746" i="5"/>
  <c r="H1745" i="5"/>
  <c r="H1744" i="5"/>
  <c r="H1743" i="5"/>
  <c r="H1742" i="5"/>
  <c r="H1741" i="5"/>
  <c r="H1740" i="5"/>
  <c r="H1739" i="5"/>
  <c r="H1738" i="5"/>
  <c r="H1737" i="5"/>
  <c r="H1736" i="5"/>
  <c r="H1735" i="5"/>
  <c r="H1734" i="5"/>
  <c r="H1733" i="5"/>
  <c r="H1732" i="5"/>
  <c r="H1731" i="5"/>
  <c r="H1730" i="5"/>
  <c r="H1729" i="5"/>
  <c r="H1728" i="5"/>
  <c r="H1727" i="5"/>
  <c r="H1725" i="5"/>
  <c r="H1722" i="5"/>
  <c r="H1721" i="5"/>
  <c r="H1720" i="5"/>
  <c r="H1719" i="5"/>
  <c r="H1718" i="5"/>
  <c r="H1717" i="5"/>
  <c r="H1716" i="5"/>
  <c r="H1715" i="5"/>
  <c r="H1714" i="5"/>
  <c r="H1713" i="5"/>
  <c r="H1712" i="5"/>
  <c r="H1711" i="5"/>
  <c r="H1709" i="5"/>
  <c r="H1708" i="5"/>
  <c r="H1707" i="5"/>
  <c r="H1702" i="5"/>
  <c r="H1701" i="5"/>
  <c r="H1700" i="5"/>
  <c r="H1699" i="5"/>
  <c r="H1698" i="5"/>
  <c r="H1697" i="5"/>
  <c r="H1696" i="5"/>
  <c r="H1695" i="5"/>
  <c r="H1694" i="5"/>
  <c r="H1693" i="5"/>
  <c r="H1691" i="5"/>
  <c r="H1690" i="5"/>
  <c r="H1689" i="5"/>
  <c r="H1688" i="5"/>
  <c r="H1687" i="5"/>
  <c r="H1686" i="5"/>
  <c r="H1685" i="5"/>
  <c r="H1682" i="5"/>
  <c r="H1681" i="5"/>
  <c r="H1680" i="5"/>
  <c r="H1679" i="5"/>
  <c r="H1678" i="5"/>
  <c r="H1675" i="5"/>
  <c r="H1674" i="5"/>
  <c r="H1673" i="5"/>
  <c r="H1672" i="5"/>
  <c r="H1671" i="5"/>
  <c r="H1670" i="5"/>
  <c r="H1668" i="5"/>
  <c r="H1667" i="5"/>
  <c r="H1665" i="5"/>
  <c r="H1664" i="5"/>
  <c r="H1663" i="5"/>
  <c r="H1662" i="5"/>
  <c r="H1661" i="5"/>
  <c r="H1659" i="5"/>
  <c r="H1658" i="5"/>
  <c r="H1657" i="5"/>
  <c r="H1656" i="5"/>
  <c r="H1655" i="5"/>
  <c r="H1654" i="5"/>
  <c r="H1653" i="5"/>
  <c r="H1652" i="5"/>
  <c r="H1651" i="5"/>
  <c r="H1650" i="5"/>
  <c r="H1649" i="5"/>
  <c r="H1648" i="5"/>
  <c r="H1647" i="5"/>
  <c r="H1646" i="5"/>
  <c r="H1645" i="5"/>
  <c r="H1644" i="5"/>
  <c r="H1643" i="5"/>
  <c r="H1642" i="5"/>
  <c r="H1641" i="5"/>
  <c r="H1640" i="5"/>
  <c r="H1639" i="5"/>
  <c r="H1638" i="5"/>
  <c r="H1637" i="5"/>
  <c r="H1636" i="5"/>
  <c r="H1635" i="5"/>
  <c r="H1634" i="5"/>
  <c r="H1633" i="5"/>
  <c r="H1631" i="5"/>
  <c r="H1630" i="5"/>
  <c r="H1629" i="5"/>
  <c r="H1627" i="5"/>
  <c r="H1626" i="5"/>
  <c r="H1625" i="5"/>
  <c r="H1623" i="5"/>
  <c r="H1622" i="5"/>
  <c r="H1621" i="5"/>
  <c r="H1620" i="5"/>
  <c r="H1617" i="5"/>
  <c r="H1616" i="5"/>
  <c r="H1615" i="5"/>
  <c r="H1614" i="5"/>
  <c r="H1613" i="5"/>
  <c r="H1609" i="5"/>
  <c r="H1608" i="5"/>
  <c r="H1607" i="5"/>
  <c r="H1606" i="5"/>
  <c r="H1605" i="5"/>
  <c r="H1604" i="5"/>
  <c r="H1603" i="5"/>
  <c r="H1602" i="5"/>
  <c r="H1601" i="5"/>
  <c r="H1600" i="5"/>
  <c r="H1599" i="5"/>
  <c r="H1598" i="5"/>
  <c r="H1597" i="5"/>
  <c r="H1596" i="5"/>
  <c r="H1595" i="5"/>
  <c r="H1594" i="5"/>
  <c r="H1593" i="5"/>
  <c r="H1592" i="5"/>
  <c r="H1591" i="5"/>
  <c r="H1590" i="5"/>
  <c r="H1589" i="5"/>
  <c r="H1588" i="5"/>
  <c r="H1587" i="5"/>
  <c r="H1586" i="5"/>
  <c r="H1585" i="5"/>
  <c r="H1584" i="5"/>
  <c r="H1583" i="5"/>
  <c r="H1582" i="5"/>
  <c r="H1581" i="5"/>
  <c r="H1580" i="5"/>
  <c r="H1579" i="5"/>
  <c r="H1578" i="5"/>
  <c r="H1577" i="5"/>
  <c r="H1576" i="5"/>
  <c r="H1575" i="5"/>
  <c r="H1574" i="5"/>
  <c r="H1573" i="5"/>
  <c r="H1572" i="5"/>
  <c r="H1571" i="5"/>
  <c r="H1570" i="5"/>
  <c r="H1569" i="5"/>
  <c r="H1568" i="5"/>
  <c r="H1567" i="5"/>
  <c r="H1566" i="5"/>
  <c r="H1565" i="5"/>
  <c r="H1564" i="5"/>
  <c r="H1563" i="5"/>
  <c r="H1562" i="5"/>
  <c r="H1561" i="5"/>
  <c r="H1560" i="5"/>
  <c r="H1559" i="5"/>
  <c r="H1558" i="5"/>
  <c r="H1557" i="5"/>
  <c r="H1556" i="5"/>
  <c r="H1555" i="5"/>
  <c r="H1554" i="5"/>
  <c r="H1553" i="5"/>
  <c r="H1552" i="5"/>
  <c r="H1551" i="5"/>
  <c r="H1550" i="5"/>
  <c r="H1549" i="5"/>
  <c r="H1548" i="5"/>
  <c r="H1547" i="5"/>
  <c r="H1546" i="5"/>
  <c r="H1545" i="5"/>
  <c r="H1544" i="5"/>
  <c r="H1543" i="5"/>
  <c r="H1542" i="5"/>
  <c r="H1541" i="5"/>
  <c r="H1540" i="5"/>
  <c r="H1539" i="5"/>
  <c r="H1538" i="5"/>
  <c r="H1537" i="5"/>
  <c r="H1536" i="5"/>
  <c r="H1535" i="5"/>
  <c r="H1534" i="5"/>
  <c r="H1533" i="5"/>
  <c r="H1532" i="5"/>
  <c r="H1531" i="5"/>
  <c r="H1530" i="5"/>
  <c r="H1529" i="5"/>
  <c r="H1528" i="5"/>
  <c r="H1527" i="5"/>
  <c r="H1526" i="5"/>
  <c r="H1525" i="5"/>
  <c r="H1524" i="5"/>
  <c r="H1523" i="5"/>
  <c r="H1522" i="5"/>
  <c r="H1521" i="5"/>
  <c r="H1520" i="5"/>
  <c r="H1519" i="5"/>
  <c r="H1518" i="5"/>
  <c r="H1517" i="5"/>
  <c r="H1516" i="5"/>
  <c r="H1515" i="5"/>
  <c r="H1514" i="5"/>
  <c r="H1513" i="5"/>
  <c r="H1512" i="5"/>
  <c r="H1511" i="5"/>
  <c r="H1510" i="5"/>
  <c r="H1509" i="5"/>
  <c r="H1508" i="5"/>
  <c r="H1507" i="5"/>
  <c r="H1506" i="5"/>
  <c r="H1505" i="5"/>
  <c r="H1504" i="5"/>
  <c r="H1503" i="5"/>
  <c r="H1502" i="5"/>
  <c r="H1501" i="5"/>
  <c r="H1500" i="5"/>
  <c r="H1499" i="5"/>
  <c r="H1498" i="5"/>
  <c r="H1497" i="5"/>
  <c r="H1496" i="5"/>
  <c r="H1495" i="5"/>
  <c r="H1494" i="5"/>
  <c r="H1493" i="5"/>
  <c r="H1492" i="5"/>
  <c r="H1491" i="5"/>
  <c r="H1490" i="5"/>
  <c r="H1489" i="5"/>
  <c r="H1488" i="5"/>
  <c r="H1487" i="5"/>
  <c r="H1486" i="5"/>
  <c r="H1485" i="5"/>
  <c r="H1484" i="5"/>
  <c r="H1483" i="5"/>
  <c r="H1482" i="5"/>
  <c r="H1481" i="5"/>
  <c r="H1480" i="5"/>
  <c r="H1479" i="5"/>
  <c r="H1478" i="5"/>
  <c r="H1477" i="5"/>
  <c r="H1476" i="5"/>
  <c r="H1475" i="5"/>
  <c r="H1474" i="5"/>
  <c r="H1473" i="5"/>
  <c r="H1472" i="5"/>
  <c r="H1471" i="5"/>
  <c r="H1470" i="5"/>
  <c r="H1469" i="5"/>
  <c r="H1468" i="5"/>
  <c r="H1467" i="5"/>
  <c r="H1466" i="5"/>
  <c r="H1465" i="5"/>
  <c r="H1464" i="5"/>
  <c r="H1463" i="5"/>
  <c r="H1462" i="5"/>
  <c r="H1461" i="5"/>
  <c r="H1460" i="5"/>
  <c r="H1459" i="5"/>
  <c r="H1458" i="5"/>
  <c r="H1457" i="5"/>
  <c r="H1456" i="5"/>
  <c r="H1455" i="5"/>
  <c r="H1454" i="5"/>
  <c r="H1453" i="5"/>
  <c r="H1452" i="5"/>
  <c r="H1451" i="5"/>
  <c r="H1450" i="5"/>
  <c r="H1449" i="5"/>
  <c r="H1448" i="5"/>
  <c r="H1447" i="5"/>
  <c r="H1446" i="5"/>
  <c r="H1445" i="5"/>
  <c r="H1444" i="5"/>
  <c r="H1443" i="5"/>
  <c r="H1442" i="5"/>
  <c r="H1441" i="5"/>
  <c r="H1440" i="5"/>
  <c r="H1439" i="5"/>
  <c r="H1438" i="5"/>
  <c r="H1437" i="5"/>
  <c r="H1436" i="5"/>
  <c r="H1435" i="5"/>
  <c r="H1434" i="5"/>
  <c r="H1433" i="5"/>
  <c r="H1432" i="5"/>
  <c r="H1431" i="5"/>
  <c r="H1430" i="5"/>
  <c r="H1429" i="5"/>
  <c r="H1428" i="5"/>
  <c r="H1427" i="5"/>
  <c r="H1426" i="5"/>
  <c r="H1425" i="5"/>
  <c r="H1424" i="5"/>
  <c r="H1423" i="5"/>
  <c r="H1422" i="5"/>
  <c r="H1421" i="5"/>
  <c r="H1420" i="5"/>
  <c r="H1419" i="5"/>
  <c r="H1418" i="5"/>
  <c r="H1417" i="5"/>
  <c r="H1416" i="5"/>
  <c r="H1415" i="5"/>
  <c r="H1414" i="5"/>
  <c r="H1413" i="5"/>
  <c r="H1412" i="5"/>
  <c r="H1411" i="5"/>
  <c r="H1410" i="5"/>
  <c r="H1409" i="5"/>
  <c r="H1408" i="5"/>
  <c r="H1407" i="5"/>
  <c r="H1406" i="5"/>
  <c r="H1405" i="5"/>
  <c r="H1404" i="5"/>
  <c r="H1403" i="5"/>
  <c r="H1402" i="5"/>
  <c r="H1401" i="5"/>
  <c r="H1400" i="5"/>
  <c r="H1399" i="5"/>
  <c r="H1398" i="5"/>
  <c r="H1397" i="5"/>
  <c r="H1396" i="5"/>
  <c r="H1395" i="5"/>
  <c r="H1394" i="5"/>
  <c r="H1393" i="5"/>
  <c r="H1392" i="5"/>
  <c r="H1391" i="5"/>
  <c r="H1390" i="5"/>
  <c r="H1389" i="5"/>
  <c r="H1388" i="5"/>
  <c r="H1387" i="5"/>
  <c r="H1386" i="5"/>
  <c r="H1385" i="5"/>
  <c r="H1384" i="5"/>
  <c r="H1383" i="5"/>
  <c r="H1382" i="5"/>
  <c r="H1381" i="5"/>
  <c r="H1380" i="5"/>
  <c r="H1379" i="5"/>
  <c r="H1378" i="5"/>
  <c r="H1377" i="5"/>
  <c r="H1376" i="5"/>
  <c r="H1375" i="5"/>
  <c r="H1374" i="5"/>
  <c r="H1373" i="5"/>
  <c r="H1372" i="5"/>
  <c r="H1371" i="5"/>
  <c r="H1370" i="5"/>
  <c r="H1369" i="5"/>
  <c r="H1368" i="5"/>
  <c r="H1367" i="5"/>
  <c r="H1366" i="5"/>
  <c r="H1365" i="5"/>
  <c r="H1364" i="5"/>
  <c r="H1363" i="5"/>
  <c r="H1362" i="5"/>
  <c r="H1361" i="5"/>
  <c r="H1360" i="5"/>
  <c r="H1359" i="5"/>
  <c r="H1358" i="5"/>
  <c r="H1357" i="5"/>
  <c r="H1356" i="5"/>
  <c r="H1355" i="5"/>
  <c r="H1354" i="5"/>
  <c r="H1353" i="5"/>
  <c r="H1352" i="5"/>
  <c r="H1351" i="5"/>
  <c r="H1350" i="5"/>
  <c r="H1349" i="5"/>
  <c r="H1348" i="5"/>
  <c r="H1347" i="5"/>
  <c r="H1346" i="5"/>
  <c r="H1345" i="5"/>
  <c r="H1344" i="5"/>
  <c r="H1343" i="5"/>
  <c r="H1342" i="5"/>
  <c r="H1341" i="5"/>
  <c r="H1340" i="5"/>
  <c r="H1339" i="5"/>
  <c r="H1338" i="5"/>
  <c r="H1337" i="5"/>
  <c r="H1336" i="5"/>
  <c r="H1335" i="5"/>
  <c r="H1334" i="5"/>
  <c r="H1333" i="5"/>
  <c r="H1332" i="5"/>
  <c r="H1331" i="5"/>
  <c r="H1330" i="5"/>
  <c r="H1329" i="5"/>
  <c r="H1328" i="5"/>
  <c r="H1327" i="5"/>
  <c r="H1326" i="5"/>
  <c r="H1325" i="5"/>
  <c r="H1324" i="5"/>
  <c r="H1323" i="5"/>
  <c r="H1322" i="5"/>
  <c r="H1321" i="5"/>
  <c r="H1320" i="5"/>
  <c r="H1319" i="5"/>
  <c r="H1318" i="5"/>
  <c r="H1317" i="5"/>
  <c r="H1316" i="5"/>
  <c r="H1315" i="5"/>
  <c r="H1314" i="5"/>
  <c r="H1313" i="5"/>
  <c r="H1312" i="5"/>
  <c r="H1311" i="5"/>
  <c r="H1310" i="5"/>
  <c r="H1309" i="5"/>
  <c r="H1308" i="5"/>
  <c r="H1307" i="5"/>
  <c r="H1306" i="5"/>
  <c r="H1305" i="5"/>
  <c r="H1304" i="5"/>
  <c r="H1303" i="5"/>
  <c r="H1302" i="5"/>
  <c r="H1301" i="5"/>
  <c r="H1300" i="5"/>
  <c r="H1299" i="5"/>
  <c r="H1298" i="5"/>
  <c r="H1297" i="5"/>
  <c r="H1296" i="5"/>
  <c r="H1295" i="5"/>
  <c r="H1294" i="5"/>
  <c r="H1293" i="5"/>
  <c r="H1292" i="5"/>
  <c r="H1291" i="5"/>
  <c r="H1290" i="5"/>
  <c r="H1289" i="5"/>
  <c r="H1288" i="5"/>
  <c r="H1287" i="5"/>
  <c r="H1286" i="5"/>
  <c r="H1285" i="5"/>
  <c r="H1284" i="5"/>
  <c r="H1283" i="5"/>
  <c r="H1282" i="5"/>
  <c r="H1281" i="5"/>
  <c r="H1280" i="5"/>
  <c r="H1279" i="5"/>
  <c r="H1278" i="5"/>
  <c r="H1277" i="5"/>
  <c r="H1276" i="5"/>
  <c r="H1275" i="5"/>
  <c r="H1274" i="5"/>
  <c r="H1273" i="5"/>
  <c r="H1272" i="5"/>
  <c r="H1271" i="5"/>
  <c r="H1270" i="5"/>
  <c r="H1269" i="5"/>
  <c r="H1268" i="5"/>
  <c r="H1267" i="5"/>
  <c r="H1266" i="5"/>
  <c r="H1265" i="5"/>
  <c r="H1264" i="5"/>
  <c r="H1263" i="5"/>
  <c r="H1262" i="5"/>
  <c r="H1261" i="5"/>
  <c r="H1260" i="5"/>
  <c r="H1259" i="5"/>
  <c r="H1258" i="5"/>
  <c r="H1253" i="5"/>
  <c r="H1252" i="5"/>
  <c r="H1251" i="5"/>
  <c r="H1250" i="5"/>
  <c r="H1249" i="5"/>
  <c r="H1247" i="5"/>
  <c r="H1246" i="5"/>
  <c r="H1245" i="5"/>
  <c r="H1243" i="5"/>
  <c r="H1242" i="5"/>
  <c r="H1241" i="5"/>
  <c r="H1240" i="5"/>
  <c r="H1239" i="5"/>
  <c r="H1238" i="5"/>
  <c r="H1237" i="5"/>
  <c r="H1236" i="5"/>
  <c r="H1235" i="5"/>
  <c r="H1234" i="5"/>
  <c r="H1232" i="5"/>
  <c r="H1231" i="5"/>
  <c r="H1230" i="5"/>
  <c r="H1229" i="5"/>
  <c r="H1227" i="5"/>
  <c r="H1225" i="5"/>
  <c r="H1224" i="5"/>
  <c r="H1223" i="5"/>
  <c r="H1222" i="5"/>
  <c r="H1219" i="5"/>
  <c r="H1218" i="5"/>
  <c r="H1217" i="5"/>
  <c r="H1213" i="5"/>
  <c r="H1212" i="5"/>
  <c r="H1211" i="5"/>
  <c r="H1210" i="5"/>
  <c r="H1209" i="5"/>
  <c r="H1208" i="5"/>
  <c r="H1205" i="5"/>
  <c r="H1202" i="5"/>
  <c r="H1201" i="5"/>
  <c r="H1199" i="5"/>
  <c r="H1198" i="5"/>
  <c r="H1197" i="5"/>
  <c r="H1196" i="5"/>
  <c r="H1195" i="5"/>
  <c r="H1194" i="5"/>
  <c r="H1193" i="5"/>
  <c r="H1192" i="5"/>
  <c r="H1191" i="5"/>
  <c r="H1190" i="5"/>
  <c r="H1189" i="5"/>
  <c r="H1188" i="5"/>
  <c r="H1187" i="5"/>
  <c r="H1186" i="5"/>
  <c r="H1185" i="5"/>
  <c r="H1184" i="5"/>
  <c r="H1183" i="5"/>
  <c r="H1182" i="5"/>
  <c r="H1181" i="5"/>
  <c r="H1180" i="5"/>
  <c r="H1178" i="5"/>
  <c r="H1177" i="5"/>
  <c r="H1176" i="5"/>
  <c r="H1175" i="5"/>
  <c r="H1174" i="5"/>
  <c r="H1173" i="5"/>
  <c r="H1172" i="5"/>
  <c r="H1171" i="5"/>
  <c r="H1170" i="5"/>
  <c r="H1169" i="5"/>
  <c r="H1168" i="5"/>
  <c r="H1167" i="5"/>
  <c r="H1166" i="5"/>
  <c r="H1165" i="5"/>
  <c r="H1164" i="5"/>
  <c r="H1163" i="5"/>
  <c r="H1162" i="5"/>
  <c r="H1161" i="5"/>
  <c r="H1159" i="5"/>
  <c r="H1158" i="5"/>
  <c r="H1157" i="5"/>
  <c r="H1155" i="5"/>
  <c r="H1154" i="5"/>
  <c r="H1153" i="5"/>
  <c r="H1151" i="5"/>
  <c r="H1149" i="5"/>
  <c r="H1147" i="5"/>
  <c r="H1145" i="5"/>
  <c r="H1143" i="5"/>
  <c r="H1142" i="5"/>
  <c r="H1141" i="5"/>
  <c r="H1140" i="5"/>
  <c r="H1139" i="5"/>
  <c r="H1137" i="5"/>
  <c r="H1136" i="5"/>
  <c r="H1135" i="5"/>
  <c r="H1134" i="5"/>
  <c r="H1133" i="5"/>
  <c r="H1132" i="5"/>
  <c r="H1131" i="5"/>
  <c r="H1130" i="5"/>
  <c r="H1129" i="5"/>
  <c r="H1128" i="5"/>
  <c r="H1126" i="5"/>
  <c r="H1125" i="5"/>
  <c r="H1124" i="5"/>
  <c r="H1122" i="5"/>
  <c r="H1121" i="5"/>
  <c r="H1119" i="5"/>
  <c r="H1118" i="5"/>
  <c r="H1116" i="5"/>
  <c r="H1114" i="5"/>
  <c r="H1113" i="5"/>
  <c r="H1112" i="5"/>
  <c r="H1111" i="5"/>
  <c r="H1110" i="5"/>
  <c r="H1109" i="5"/>
  <c r="H1108" i="5"/>
  <c r="H1107" i="5"/>
  <c r="H1106" i="5"/>
  <c r="H1104" i="5"/>
  <c r="H1103" i="5"/>
  <c r="H1100" i="5"/>
  <c r="H1099" i="5"/>
  <c r="H1098" i="5"/>
  <c r="H1097" i="5"/>
  <c r="H1094" i="5"/>
  <c r="H1092" i="5"/>
  <c r="H1090" i="5"/>
  <c r="H1089" i="5"/>
  <c r="H1088" i="5"/>
  <c r="H1087" i="5"/>
  <c r="H1086" i="5"/>
  <c r="H1085" i="5"/>
  <c r="H1084" i="5"/>
  <c r="H1083" i="5"/>
  <c r="H1082" i="5"/>
  <c r="H1081" i="5"/>
  <c r="H1080" i="5"/>
  <c r="H1079" i="5"/>
  <c r="H1078" i="5"/>
  <c r="H1077" i="5"/>
  <c r="H1076" i="5"/>
  <c r="H1075" i="5"/>
  <c r="H1074" i="5"/>
  <c r="H1073" i="5"/>
  <c r="H1072" i="5"/>
  <c r="H1069" i="5"/>
  <c r="H1068" i="5"/>
  <c r="H1065" i="5"/>
  <c r="H1064" i="5"/>
  <c r="H1063" i="5"/>
  <c r="H1062" i="5"/>
  <c r="H1061" i="5"/>
  <c r="H1060" i="5"/>
  <c r="H1059" i="5"/>
  <c r="H1058" i="5"/>
  <c r="H1057" i="5"/>
  <c r="H1056" i="5"/>
  <c r="H1055" i="5"/>
  <c r="H1053" i="5"/>
  <c r="H1051" i="5"/>
  <c r="H1050" i="5"/>
  <c r="H1049" i="5"/>
  <c r="H1048" i="5"/>
  <c r="H1047" i="5"/>
  <c r="H1046" i="5"/>
  <c r="H1044" i="5"/>
  <c r="H1043" i="5"/>
  <c r="H1042" i="5"/>
  <c r="H1041" i="5"/>
  <c r="H1040" i="5"/>
  <c r="H1039" i="5"/>
  <c r="H1038" i="5"/>
  <c r="H1037" i="5"/>
  <c r="H1036" i="5"/>
  <c r="H1035" i="5"/>
  <c r="H1034" i="5"/>
  <c r="H1033" i="5"/>
  <c r="H1032" i="5"/>
  <c r="H1031" i="5"/>
  <c r="H1029" i="5"/>
  <c r="H1028" i="5"/>
  <c r="H1027" i="5"/>
  <c r="H1026" i="5"/>
  <c r="H1025" i="5"/>
  <c r="H1024" i="5"/>
  <c r="H1023" i="5"/>
  <c r="H1022" i="5"/>
  <c r="H1021" i="5"/>
  <c r="H1020" i="5"/>
  <c r="H1019" i="5"/>
  <c r="H1018" i="5"/>
  <c r="H1017" i="5"/>
  <c r="H1016" i="5"/>
  <c r="H1015" i="5"/>
  <c r="H1014" i="5"/>
  <c r="H1013" i="5"/>
  <c r="H1012" i="5"/>
  <c r="H1011" i="5"/>
  <c r="H1010" i="5"/>
  <c r="H1009" i="5"/>
  <c r="H1008" i="5"/>
  <c r="H1007" i="5"/>
  <c r="H1006" i="5"/>
  <c r="H1005" i="5"/>
  <c r="H1004" i="5"/>
  <c r="H1003" i="5"/>
  <c r="H1002" i="5"/>
  <c r="H1001" i="5"/>
  <c r="H1000" i="5"/>
  <c r="H999" i="5"/>
  <c r="H998" i="5"/>
  <c r="H997" i="5"/>
  <c r="H995" i="5"/>
  <c r="H994" i="5"/>
  <c r="H991" i="5"/>
  <c r="H990" i="5"/>
  <c r="H988" i="5"/>
  <c r="H987" i="5"/>
  <c r="H986" i="5"/>
  <c r="H985" i="5"/>
  <c r="H982" i="5"/>
  <c r="H981" i="5"/>
  <c r="H980" i="5"/>
  <c r="H979" i="5"/>
  <c r="H978" i="5"/>
  <c r="H977" i="5"/>
  <c r="H976" i="5"/>
  <c r="H975" i="5"/>
  <c r="H974" i="5"/>
  <c r="H973" i="5"/>
  <c r="H972" i="5"/>
  <c r="H971" i="5"/>
  <c r="H970" i="5"/>
  <c r="H969" i="5"/>
  <c r="H968" i="5"/>
  <c r="H967" i="5"/>
  <c r="H966" i="5"/>
  <c r="H964" i="5"/>
  <c r="H963" i="5"/>
  <c r="H962" i="5"/>
  <c r="H961" i="5"/>
  <c r="H960" i="5"/>
  <c r="H959" i="5"/>
  <c r="H958" i="5"/>
  <c r="H957" i="5"/>
  <c r="H956" i="5"/>
  <c r="H955" i="5"/>
  <c r="H954" i="5"/>
  <c r="H953" i="5"/>
  <c r="H952" i="5"/>
  <c r="H951" i="5"/>
  <c r="H950" i="5"/>
  <c r="H949" i="5"/>
  <c r="H947" i="5"/>
  <c r="H946" i="5"/>
  <c r="H945" i="5"/>
  <c r="H944" i="5"/>
  <c r="H943" i="5"/>
  <c r="H942" i="5"/>
  <c r="H941" i="5"/>
  <c r="H940" i="5"/>
  <c r="H939" i="5"/>
  <c r="H938" i="5"/>
  <c r="H937" i="5"/>
  <c r="H936" i="5"/>
  <c r="H935" i="5"/>
  <c r="H934" i="5"/>
  <c r="H933" i="5"/>
  <c r="H932" i="5"/>
  <c r="H931" i="5"/>
  <c r="H930" i="5"/>
  <c r="H929" i="5"/>
  <c r="H928" i="5"/>
  <c r="H927" i="5"/>
  <c r="H926" i="5"/>
  <c r="H925" i="5"/>
  <c r="H924" i="5"/>
  <c r="H923" i="5"/>
  <c r="H922" i="5"/>
  <c r="H921" i="5"/>
  <c r="H920" i="5"/>
  <c r="H919" i="5"/>
  <c r="H918" i="5"/>
  <c r="H917" i="5"/>
  <c r="H916" i="5"/>
  <c r="H915" i="5"/>
  <c r="H914" i="5"/>
  <c r="H913" i="5"/>
  <c r="H912" i="5"/>
  <c r="H911" i="5"/>
  <c r="H910" i="5"/>
  <c r="H909" i="5"/>
  <c r="H908" i="5"/>
  <c r="H906" i="5"/>
  <c r="H905" i="5"/>
  <c r="H904" i="5"/>
  <c r="H903" i="5"/>
  <c r="H902" i="5"/>
  <c r="H901" i="5"/>
  <c r="H900" i="5"/>
  <c r="H898" i="5"/>
  <c r="H897" i="5"/>
  <c r="H896" i="5"/>
  <c r="H895" i="5"/>
  <c r="H894" i="5"/>
  <c r="H893" i="5"/>
  <c r="H892" i="5"/>
  <c r="H890" i="5"/>
  <c r="H889" i="5"/>
  <c r="H887" i="5"/>
  <c r="H886" i="5"/>
  <c r="H885" i="5"/>
  <c r="H883" i="5"/>
  <c r="H882" i="5"/>
  <c r="H881" i="5"/>
  <c r="H880" i="5"/>
  <c r="H879" i="5"/>
  <c r="H878" i="5"/>
  <c r="H877" i="5"/>
  <c r="H876" i="5"/>
  <c r="H874" i="5"/>
  <c r="H873" i="5"/>
  <c r="H872" i="5"/>
  <c r="H871" i="5"/>
  <c r="H870" i="5"/>
  <c r="H869" i="5"/>
  <c r="H868" i="5"/>
  <c r="H867" i="5"/>
  <c r="H866" i="5"/>
  <c r="H865" i="5"/>
  <c r="H864" i="5"/>
  <c r="H863" i="5"/>
  <c r="H862" i="5"/>
  <c r="H861" i="5"/>
  <c r="H860" i="5"/>
  <c r="H859" i="5"/>
  <c r="H858" i="5"/>
  <c r="H857" i="5"/>
  <c r="H856" i="5"/>
  <c r="H854" i="5"/>
  <c r="H851" i="5"/>
  <c r="H850" i="5"/>
  <c r="H849" i="5"/>
  <c r="H848" i="5"/>
  <c r="H847" i="5"/>
  <c r="H846" i="5"/>
  <c r="H845" i="5"/>
  <c r="H844" i="5"/>
  <c r="H843" i="5"/>
  <c r="H842" i="5"/>
  <c r="H841" i="5"/>
  <c r="H840" i="5"/>
  <c r="H839" i="5"/>
  <c r="H838" i="5"/>
  <c r="H837" i="5"/>
  <c r="H836" i="5"/>
  <c r="H835" i="5"/>
  <c r="H834" i="5"/>
  <c r="H833" i="5"/>
  <c r="H832" i="5"/>
  <c r="H831" i="5"/>
  <c r="H830" i="5"/>
  <c r="H829" i="5"/>
  <c r="H828" i="5"/>
  <c r="H827" i="5"/>
  <c r="H826" i="5"/>
  <c r="H824" i="5"/>
  <c r="H823" i="5"/>
  <c r="H820" i="5"/>
  <c r="H819" i="5"/>
  <c r="H818" i="5"/>
  <c r="H817" i="5"/>
  <c r="H816" i="5"/>
  <c r="H815" i="5"/>
  <c r="H814" i="5"/>
  <c r="H813" i="5"/>
  <c r="H811" i="5"/>
  <c r="H810" i="5"/>
  <c r="H809" i="5"/>
  <c r="H808" i="5"/>
  <c r="H807" i="5"/>
  <c r="H806" i="5"/>
  <c r="H805" i="5"/>
  <c r="H804" i="5"/>
  <c r="H803" i="5"/>
  <c r="H802" i="5"/>
  <c r="H801" i="5"/>
  <c r="H800" i="5"/>
  <c r="H799" i="5"/>
  <c r="H798" i="5"/>
  <c r="H797" i="5"/>
  <c r="H793" i="5"/>
  <c r="H792" i="5"/>
  <c r="H791" i="5"/>
  <c r="H790" i="5"/>
  <c r="H789" i="5"/>
  <c r="H788" i="5"/>
  <c r="H786" i="5"/>
  <c r="H785" i="5"/>
  <c r="H784" i="5"/>
  <c r="H783" i="5"/>
  <c r="H782" i="5"/>
  <c r="H781" i="5"/>
  <c r="H779" i="5"/>
  <c r="H778" i="5"/>
  <c r="H777" i="5"/>
  <c r="H776" i="5"/>
  <c r="H775" i="5"/>
  <c r="H774" i="5"/>
  <c r="H773" i="5"/>
  <c r="H772" i="5"/>
  <c r="H771" i="5"/>
  <c r="H770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0" i="5"/>
  <c r="H727" i="5"/>
  <c r="H725" i="5"/>
  <c r="H722" i="5"/>
  <c r="H721" i="5"/>
  <c r="H720" i="5"/>
  <c r="H718" i="5"/>
  <c r="H716" i="5"/>
  <c r="H713" i="5"/>
  <c r="H712" i="5"/>
  <c r="H711" i="5"/>
  <c r="H710" i="5"/>
  <c r="H709" i="5"/>
  <c r="H708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87" i="5"/>
  <c r="H686" i="5"/>
  <c r="H684" i="5"/>
  <c r="H682" i="5"/>
  <c r="H679" i="5"/>
  <c r="H678" i="5"/>
  <c r="H677" i="5"/>
  <c r="H676" i="5"/>
  <c r="H675" i="5"/>
  <c r="H672" i="5"/>
  <c r="H670" i="5"/>
  <c r="H668" i="5"/>
  <c r="H665" i="5"/>
  <c r="H664" i="5"/>
  <c r="H663" i="5"/>
  <c r="H662" i="5"/>
  <c r="H660" i="5"/>
  <c r="H658" i="5"/>
  <c r="H654" i="5"/>
  <c r="H653" i="5"/>
  <c r="H652" i="5"/>
  <c r="H650" i="5"/>
  <c r="H647" i="5"/>
  <c r="H646" i="5"/>
  <c r="H645" i="5"/>
  <c r="H644" i="5"/>
  <c r="H642" i="5"/>
  <c r="H641" i="5"/>
  <c r="H639" i="5"/>
  <c r="H638" i="5"/>
  <c r="H637" i="5"/>
  <c r="H633" i="5"/>
  <c r="H631" i="5"/>
  <c r="H630" i="5"/>
  <c r="H629" i="5"/>
  <c r="H628" i="5"/>
  <c r="H627" i="5"/>
  <c r="H625" i="5"/>
  <c r="H624" i="5"/>
  <c r="H623" i="5"/>
  <c r="H622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599" i="5"/>
  <c r="H598" i="5"/>
  <c r="H595" i="5"/>
  <c r="H594" i="5"/>
  <c r="H593" i="5"/>
  <c r="H591" i="5"/>
  <c r="H589" i="5"/>
  <c r="H587" i="5"/>
  <c r="H586" i="5"/>
  <c r="H585" i="5"/>
  <c r="H584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5" i="5"/>
  <c r="H564" i="5"/>
  <c r="H563" i="5"/>
  <c r="H562" i="5"/>
  <c r="H560" i="5"/>
  <c r="H559" i="5"/>
  <c r="H558" i="5"/>
  <c r="H556" i="5"/>
  <c r="H555" i="5"/>
  <c r="H554" i="5"/>
  <c r="H552" i="5"/>
  <c r="H551" i="5"/>
  <c r="H550" i="5"/>
  <c r="H549" i="5"/>
  <c r="H548" i="5"/>
  <c r="H547" i="5"/>
  <c r="H546" i="5"/>
  <c r="H544" i="5"/>
  <c r="H543" i="5"/>
  <c r="H542" i="5"/>
  <c r="H541" i="5"/>
  <c r="H540" i="5"/>
  <c r="H539" i="5"/>
  <c r="H537" i="5"/>
  <c r="H536" i="5"/>
  <c r="H535" i="5"/>
  <c r="H534" i="5"/>
  <c r="H533" i="5"/>
  <c r="H532" i="5"/>
  <c r="H531" i="5"/>
  <c r="H530" i="5"/>
  <c r="H529" i="5"/>
  <c r="H528" i="5"/>
  <c r="H527" i="5"/>
  <c r="H526" i="5"/>
  <c r="H525" i="5"/>
  <c r="H524" i="5"/>
  <c r="H523" i="5"/>
  <c r="H521" i="5"/>
  <c r="H520" i="5"/>
  <c r="H519" i="5"/>
  <c r="H518" i="5"/>
  <c r="H517" i="5"/>
  <c r="H514" i="5"/>
  <c r="H513" i="5"/>
  <c r="H512" i="5"/>
  <c r="H511" i="5"/>
  <c r="H510" i="5"/>
  <c r="H509" i="5"/>
  <c r="H508" i="5"/>
  <c r="H506" i="5"/>
  <c r="H505" i="5"/>
  <c r="H504" i="5"/>
  <c r="H503" i="5"/>
  <c r="H502" i="5"/>
  <c r="H501" i="5"/>
  <c r="H500" i="5"/>
  <c r="H498" i="5"/>
  <c r="H497" i="5"/>
  <c r="H496" i="5"/>
  <c r="H495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1" i="5"/>
  <c r="H469" i="5"/>
  <c r="H468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0" i="5"/>
  <c r="H429" i="5"/>
  <c r="H428" i="5"/>
  <c r="H426" i="5"/>
  <c r="H424" i="5"/>
  <c r="H423" i="5"/>
  <c r="H422" i="5"/>
  <c r="H421" i="5"/>
  <c r="H419" i="5"/>
  <c r="H418" i="5"/>
  <c r="H417" i="5"/>
  <c r="H415" i="5"/>
  <c r="H414" i="5"/>
  <c r="H413" i="5"/>
  <c r="H412" i="5"/>
  <c r="H411" i="5"/>
  <c r="H410" i="5"/>
  <c r="H409" i="5"/>
  <c r="H408" i="5"/>
  <c r="H407" i="5"/>
  <c r="H406" i="5"/>
  <c r="H404" i="5"/>
  <c r="H403" i="5"/>
  <c r="H402" i="5"/>
  <c r="H401" i="5"/>
  <c r="H400" i="5"/>
  <c r="H398" i="5"/>
  <c r="H397" i="5"/>
  <c r="H396" i="5"/>
  <c r="H395" i="5"/>
  <c r="H394" i="5"/>
  <c r="H393" i="5"/>
  <c r="H391" i="5"/>
  <c r="H390" i="5"/>
  <c r="H389" i="5"/>
  <c r="H387" i="5"/>
  <c r="H384" i="5"/>
  <c r="H383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59" i="5"/>
  <c r="H358" i="5"/>
  <c r="H357" i="5"/>
  <c r="H356" i="5"/>
  <c r="H354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3" i="5"/>
  <c r="H332" i="5"/>
  <c r="H331" i="5"/>
  <c r="H330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1" i="5"/>
  <c r="H300" i="5"/>
  <c r="H299" i="5"/>
  <c r="H298" i="5"/>
  <c r="H297" i="5"/>
  <c r="H296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4" i="5"/>
  <c r="H243" i="5"/>
  <c r="H242" i="5"/>
  <c r="H240" i="5"/>
  <c r="H238" i="5"/>
  <c r="H235" i="5"/>
  <c r="H232" i="5"/>
  <c r="H231" i="5"/>
  <c r="H230" i="5"/>
  <c r="H229" i="5"/>
  <c r="H228" i="5"/>
  <c r="H227" i="5"/>
  <c r="H226" i="5"/>
  <c r="H225" i="5"/>
  <c r="H224" i="5"/>
  <c r="H223" i="5"/>
  <c r="H221" i="5"/>
  <c r="H220" i="5"/>
  <c r="H218" i="5"/>
  <c r="H217" i="5"/>
  <c r="H216" i="5"/>
  <c r="H214" i="5"/>
  <c r="H212" i="5"/>
  <c r="H211" i="5"/>
  <c r="H209" i="5"/>
  <c r="H208" i="5"/>
  <c r="H207" i="5"/>
  <c r="H206" i="5"/>
  <c r="H204" i="5"/>
  <c r="H203" i="5"/>
  <c r="H202" i="5"/>
  <c r="H201" i="5"/>
  <c r="H198" i="5"/>
  <c r="H197" i="5"/>
  <c r="H195" i="5"/>
  <c r="H192" i="5"/>
  <c r="H191" i="5"/>
  <c r="H190" i="5"/>
  <c r="H189" i="5"/>
  <c r="H188" i="5"/>
  <c r="H186" i="5"/>
  <c r="H185" i="5"/>
  <c r="H184" i="5"/>
  <c r="H183" i="5"/>
  <c r="H182" i="5"/>
  <c r="H180" i="5"/>
  <c r="H179" i="5"/>
  <c r="H178" i="5"/>
  <c r="H177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0" i="5"/>
  <c r="H159" i="5"/>
  <c r="H158" i="5"/>
  <c r="H157" i="5"/>
  <c r="H156" i="5"/>
  <c r="H155" i="5"/>
  <c r="H153" i="5"/>
  <c r="H152" i="5"/>
  <c r="H149" i="5"/>
  <c r="H146" i="5"/>
  <c r="H145" i="5"/>
  <c r="H142" i="5"/>
  <c r="H141" i="5"/>
  <c r="H140" i="5"/>
  <c r="H136" i="5"/>
  <c r="H135" i="5"/>
  <c r="H134" i="5"/>
  <c r="H132" i="5"/>
  <c r="H131" i="5"/>
  <c r="H130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1" i="5"/>
  <c r="H109" i="5"/>
  <c r="H107" i="5"/>
  <c r="H106" i="5"/>
  <c r="H104" i="5"/>
  <c r="H103" i="5"/>
  <c r="H102" i="5"/>
  <c r="H101" i="5"/>
  <c r="H99" i="5"/>
  <c r="H97" i="5"/>
  <c r="H96" i="5"/>
  <c r="H95" i="5"/>
  <c r="H90" i="5"/>
  <c r="H89" i="5"/>
  <c r="H87" i="5"/>
  <c r="H85" i="5"/>
  <c r="H84" i="5"/>
  <c r="H83" i="5"/>
  <c r="H81" i="5"/>
  <c r="H80" i="5"/>
  <c r="H78" i="5"/>
  <c r="H77" i="5"/>
  <c r="H76" i="5"/>
  <c r="H75" i="5"/>
  <c r="H73" i="5"/>
  <c r="H71" i="5"/>
  <c r="H70" i="5"/>
  <c r="H69" i="5"/>
  <c r="H68" i="5"/>
  <c r="H67" i="5"/>
  <c r="H66" i="5"/>
  <c r="H65" i="5"/>
  <c r="H62" i="5"/>
  <c r="H61" i="5"/>
  <c r="H60" i="5"/>
  <c r="H59" i="5"/>
  <c r="H58" i="5"/>
  <c r="H57" i="5"/>
  <c r="H56" i="5"/>
  <c r="H55" i="5"/>
  <c r="H54" i="5"/>
  <c r="H52" i="5"/>
  <c r="H49" i="5"/>
  <c r="H47" i="5"/>
  <c r="H46" i="5"/>
  <c r="H45" i="5"/>
  <c r="H43" i="5"/>
  <c r="H42" i="5"/>
  <c r="H41" i="5"/>
  <c r="H40" i="5"/>
  <c r="H39" i="5"/>
  <c r="H38" i="5"/>
  <c r="H37" i="5"/>
  <c r="H36" i="5"/>
  <c r="H35" i="5"/>
  <c r="H34" i="5"/>
  <c r="H33" i="5"/>
  <c r="H31" i="5"/>
  <c r="H30" i="5"/>
  <c r="H28" i="5"/>
  <c r="H27" i="5"/>
  <c r="H26" i="5"/>
  <c r="H25" i="5"/>
  <c r="H24" i="5"/>
  <c r="H22" i="5"/>
  <c r="H21" i="5"/>
  <c r="H19" i="5"/>
  <c r="H18" i="5"/>
  <c r="H17" i="5"/>
  <c r="H16" i="5"/>
  <c r="H15" i="5"/>
  <c r="H14" i="5"/>
  <c r="H11" i="5"/>
  <c r="H10" i="5"/>
  <c r="H7" i="5"/>
  <c r="H6" i="5"/>
  <c r="H5" i="5"/>
  <c r="H4" i="5"/>
  <c r="H3" i="5"/>
  <c r="N49" i="8" l="1"/>
  <c r="N21" i="8"/>
  <c r="N46" i="8"/>
  <c r="N41" i="8"/>
  <c r="N117" i="8"/>
  <c r="N38" i="8"/>
  <c r="N17" i="8"/>
  <c r="N114" i="8"/>
  <c r="N60" i="8"/>
  <c r="N112" i="8"/>
  <c r="N50" i="8"/>
  <c r="N61" i="8"/>
  <c r="N122" i="8"/>
  <c r="N58" i="8"/>
  <c r="N97" i="8"/>
  <c r="N3" i="8"/>
  <c r="N73" i="8"/>
  <c r="N57" i="8"/>
  <c r="N18" i="8"/>
  <c r="N86" i="8"/>
  <c r="N55" i="8"/>
  <c r="N81" i="8"/>
  <c r="N100" i="8"/>
  <c r="N5" i="8"/>
  <c r="N102" i="8"/>
  <c r="N44" i="8"/>
  <c r="N93" i="8"/>
  <c r="N26" i="8"/>
  <c r="N68" i="8"/>
  <c r="N103" i="8"/>
  <c r="N22" i="8"/>
  <c r="N29" i="8"/>
  <c r="N15" i="8"/>
  <c r="N111" i="8"/>
  <c r="N48" i="8"/>
  <c r="N67" i="8"/>
  <c r="N65" i="8"/>
  <c r="N74" i="8"/>
  <c r="N25" i="8"/>
  <c r="N121" i="8"/>
  <c r="N66" i="8"/>
  <c r="N96" i="8"/>
  <c r="N62" i="8"/>
  <c r="N115" i="8"/>
  <c r="N95" i="8"/>
  <c r="N30" i="8"/>
  <c r="N98" i="8"/>
  <c r="N91" i="8"/>
  <c r="N47" i="8"/>
  <c r="N75" i="8"/>
  <c r="N99" i="8"/>
  <c r="N119" i="8"/>
  <c r="N16" i="8"/>
  <c r="N13" i="8"/>
  <c r="N52" i="8"/>
  <c r="N19" i="8"/>
  <c r="N56" i="8"/>
  <c r="N8" i="8"/>
  <c r="N34" i="8"/>
  <c r="N78" i="8"/>
  <c r="N105" i="8"/>
  <c r="N64" i="8"/>
  <c r="N23" i="8"/>
  <c r="N35" i="8"/>
  <c r="N37" i="8"/>
  <c r="N106" i="8"/>
  <c r="N76" i="8"/>
  <c r="N116" i="8"/>
  <c r="N101" i="8"/>
  <c r="N77" i="8"/>
  <c r="N110" i="8"/>
  <c r="N10" i="8"/>
  <c r="N6" i="8"/>
  <c r="N71" i="8"/>
  <c r="N87" i="8"/>
  <c r="N45" i="8"/>
  <c r="N36" i="8"/>
  <c r="N72" i="8"/>
  <c r="N2" i="8"/>
  <c r="N31" i="8"/>
  <c r="N107" i="8"/>
  <c r="N33" i="8"/>
  <c r="N14" i="8"/>
  <c r="N42" i="8"/>
  <c r="N109" i="8"/>
  <c r="N11" i="8"/>
  <c r="N51" i="8"/>
  <c r="N84" i="8"/>
  <c r="N120" i="8"/>
  <c r="N89" i="8"/>
  <c r="N4" i="8"/>
  <c r="N82" i="8"/>
  <c r="N83" i="8"/>
  <c r="N92" i="8"/>
  <c r="N53" i="8"/>
  <c r="N28" i="8"/>
  <c r="N79" i="8"/>
  <c r="N88" i="8"/>
  <c r="N39" i="8"/>
  <c r="N20" i="8"/>
  <c r="N118" i="8"/>
  <c r="N7" i="8"/>
  <c r="N43" i="8"/>
  <c r="N70" i="8"/>
  <c r="N90" i="8"/>
  <c r="N80" i="8"/>
  <c r="N12" i="8"/>
  <c r="N104" i="8"/>
  <c r="N108" i="8"/>
  <c r="N54" i="8"/>
  <c r="N94" i="8"/>
  <c r="N32" i="8"/>
  <c r="N24" i="8"/>
  <c r="N27" i="8"/>
  <c r="N113" i="8"/>
  <c r="N69" i="8"/>
  <c r="N63" i="8"/>
  <c r="N59" i="8"/>
  <c r="N85" i="8"/>
  <c r="N40" i="8"/>
  <c r="N9" i="8"/>
  <c r="J46" i="8"/>
  <c r="J41" i="8"/>
  <c r="J117" i="8"/>
  <c r="J38" i="8"/>
  <c r="J114" i="8"/>
  <c r="J60" i="8"/>
  <c r="J112" i="8"/>
  <c r="J50" i="8"/>
  <c r="J61" i="8"/>
  <c r="J122" i="8"/>
  <c r="J58" i="8"/>
  <c r="J97" i="8"/>
  <c r="J73" i="8"/>
  <c r="J57" i="8"/>
  <c r="J18" i="8"/>
  <c r="J86" i="8"/>
  <c r="J55" i="8"/>
  <c r="J81" i="8"/>
  <c r="J100" i="8"/>
  <c r="J102" i="8"/>
  <c r="J44" i="8"/>
  <c r="J93" i="8"/>
  <c r="J26" i="8"/>
  <c r="J68" i="8"/>
  <c r="J103" i="8"/>
  <c r="J22" i="8"/>
  <c r="J29" i="8"/>
  <c r="J111" i="8"/>
  <c r="J48" i="8"/>
  <c r="J67" i="8"/>
  <c r="J65" i="8"/>
  <c r="J74" i="8"/>
  <c r="J25" i="8"/>
  <c r="J121" i="8"/>
  <c r="J66" i="8"/>
  <c r="J96" i="8"/>
  <c r="J62" i="8"/>
  <c r="J115" i="8"/>
  <c r="J95" i="8"/>
  <c r="J30" i="8"/>
  <c r="J98" i="8"/>
  <c r="J91" i="8"/>
  <c r="J47" i="8"/>
  <c r="J75" i="8"/>
  <c r="J99" i="8"/>
  <c r="J119" i="8"/>
  <c r="J52" i="8"/>
  <c r="J19" i="8"/>
  <c r="J56" i="8"/>
  <c r="J34" i="8"/>
  <c r="J78" i="8"/>
  <c r="J105" i="8"/>
  <c r="J64" i="8"/>
  <c r="J23" i="8"/>
  <c r="J35" i="8"/>
  <c r="J37" i="8"/>
  <c r="J106" i="8"/>
  <c r="J76" i="8"/>
  <c r="J116" i="8"/>
  <c r="J101" i="8"/>
  <c r="J77" i="8"/>
  <c r="J110" i="8"/>
  <c r="J71" i="8"/>
  <c r="J87" i="8"/>
  <c r="J45" i="8"/>
  <c r="J36" i="8"/>
  <c r="J72" i="8"/>
  <c r="J31" i="8"/>
  <c r="J107" i="8"/>
  <c r="J33" i="8"/>
  <c r="J42" i="8"/>
  <c r="J109" i="8"/>
  <c r="J51" i="8"/>
  <c r="J84" i="8"/>
  <c r="J120" i="8"/>
  <c r="J89" i="8"/>
  <c r="J82" i="8"/>
  <c r="J83" i="8"/>
  <c r="J92" i="8"/>
  <c r="J53" i="8"/>
  <c r="J28" i="8"/>
  <c r="J79" i="8"/>
  <c r="J88" i="8"/>
  <c r="J39" i="8"/>
  <c r="J20" i="8"/>
  <c r="J118" i="8"/>
  <c r="J43" i="8"/>
  <c r="J70" i="8"/>
  <c r="J90" i="8"/>
  <c r="J80" i="8"/>
  <c r="J104" i="8"/>
  <c r="J108" i="8"/>
  <c r="J54" i="8"/>
  <c r="J94" i="8"/>
  <c r="J32" i="8"/>
  <c r="J24" i="8"/>
  <c r="J27" i="8"/>
  <c r="J113" i="8"/>
  <c r="J69" i="8"/>
  <c r="J63" i="8"/>
  <c r="J59" i="8"/>
  <c r="J85" i="8"/>
  <c r="J40" i="8"/>
  <c r="J21" i="8"/>
  <c r="J49" i="8"/>
  <c r="P83" i="8"/>
  <c r="A40" i="8"/>
  <c r="O40" i="8" s="1"/>
  <c r="A85" i="8"/>
  <c r="O85" i="8" s="1"/>
  <c r="A59" i="8"/>
  <c r="O59" i="8" s="1"/>
  <c r="A63" i="8"/>
  <c r="O63" i="8" s="1"/>
  <c r="A69" i="8"/>
  <c r="O69" i="8" s="1"/>
  <c r="A113" i="8"/>
  <c r="O113" i="8" s="1"/>
  <c r="A27" i="8"/>
  <c r="O27" i="8" s="1"/>
  <c r="A24" i="8"/>
  <c r="O24" i="8" s="1"/>
  <c r="A32" i="8"/>
  <c r="O32" i="8" s="1"/>
  <c r="P32" i="8" s="1"/>
  <c r="A94" i="8"/>
  <c r="O94" i="8" s="1"/>
  <c r="P94" i="8" s="1"/>
  <c r="A54" i="8"/>
  <c r="O54" i="8" s="1"/>
  <c r="P54" i="8" s="1"/>
  <c r="A108" i="8"/>
  <c r="O108" i="8" s="1"/>
  <c r="P108" i="8" s="1"/>
  <c r="A104" i="8"/>
  <c r="O104" i="8" s="1"/>
  <c r="P104" i="8" s="1"/>
  <c r="A12" i="8"/>
  <c r="O12" i="8" s="1"/>
  <c r="A80" i="8"/>
  <c r="O80" i="8" s="1"/>
  <c r="A90" i="8"/>
  <c r="O90" i="8" s="1"/>
  <c r="A70" i="8"/>
  <c r="O70" i="8" s="1"/>
  <c r="A43" i="8"/>
  <c r="O43" i="8" s="1"/>
  <c r="A7" i="8"/>
  <c r="O7" i="8" s="1"/>
  <c r="A118" i="8"/>
  <c r="O118" i="8" s="1"/>
  <c r="A20" i="8"/>
  <c r="O20" i="8" s="1"/>
  <c r="A39" i="8"/>
  <c r="O39" i="8" s="1"/>
  <c r="A88" i="8"/>
  <c r="O88" i="8" s="1"/>
  <c r="A79" i="8"/>
  <c r="O79" i="8" s="1"/>
  <c r="A28" i="8"/>
  <c r="O28" i="8" s="1"/>
  <c r="P28" i="8" s="1"/>
  <c r="A53" i="8"/>
  <c r="O53" i="8" s="1"/>
  <c r="P53" i="8" s="1"/>
  <c r="A92" i="8"/>
  <c r="O92" i="8" s="1"/>
  <c r="P92" i="8" s="1"/>
  <c r="A83" i="8"/>
  <c r="O83" i="8" s="1"/>
  <c r="A82" i="8"/>
  <c r="O82" i="8" s="1"/>
  <c r="P82" i="8" s="1"/>
  <c r="A4" i="8"/>
  <c r="O4" i="8" s="1"/>
  <c r="A89" i="8"/>
  <c r="O89" i="8" s="1"/>
  <c r="A120" i="8"/>
  <c r="O120" i="8" s="1"/>
  <c r="A84" i="8"/>
  <c r="O84" i="8" s="1"/>
  <c r="A51" i="8"/>
  <c r="O51" i="8" s="1"/>
  <c r="A11" i="8"/>
  <c r="O11" i="8" s="1"/>
  <c r="A109" i="8"/>
  <c r="O109" i="8" s="1"/>
  <c r="A42" i="8"/>
  <c r="O42" i="8" s="1"/>
  <c r="A14" i="8"/>
  <c r="O14" i="8" s="1"/>
  <c r="A33" i="8"/>
  <c r="O33" i="8" s="1"/>
  <c r="A107" i="8"/>
  <c r="O107" i="8" s="1"/>
  <c r="A31" i="8"/>
  <c r="O31" i="8" s="1"/>
  <c r="P31" i="8" s="1"/>
  <c r="A2" i="8"/>
  <c r="O2" i="8" s="1"/>
  <c r="P2" i="8" s="1"/>
  <c r="A72" i="8"/>
  <c r="O72" i="8" s="1"/>
  <c r="P72" i="8" s="1"/>
  <c r="A36" i="8"/>
  <c r="O36" i="8" s="1"/>
  <c r="P36" i="8" s="1"/>
  <c r="A45" i="8"/>
  <c r="O45" i="8" s="1"/>
  <c r="P45" i="8" s="1"/>
  <c r="A87" i="8"/>
  <c r="O87" i="8" s="1"/>
  <c r="A71" i="8"/>
  <c r="O71" i="8" s="1"/>
  <c r="A6" i="8"/>
  <c r="O6" i="8" s="1"/>
  <c r="A10" i="8"/>
  <c r="O10" i="8" s="1"/>
  <c r="A110" i="8"/>
  <c r="O110" i="8" s="1"/>
  <c r="A77" i="8"/>
  <c r="O77" i="8" s="1"/>
  <c r="A101" i="8"/>
  <c r="O101" i="8" s="1"/>
  <c r="A116" i="8"/>
  <c r="O116" i="8" s="1"/>
  <c r="A76" i="8"/>
  <c r="O76" i="8" s="1"/>
  <c r="A106" i="8"/>
  <c r="O106" i="8" s="1"/>
  <c r="A37" i="8"/>
  <c r="O37" i="8" s="1"/>
  <c r="A35" i="8"/>
  <c r="O35" i="8" s="1"/>
  <c r="P35" i="8" s="1"/>
  <c r="A23" i="8"/>
  <c r="O23" i="8" s="1"/>
  <c r="P23" i="8" s="1"/>
  <c r="A64" i="8"/>
  <c r="O64" i="8" s="1"/>
  <c r="P64" i="8" s="1"/>
  <c r="A105" i="8"/>
  <c r="O105" i="8" s="1"/>
  <c r="P105" i="8" s="1"/>
  <c r="A78" i="8"/>
  <c r="O78" i="8" s="1"/>
  <c r="P78" i="8" s="1"/>
  <c r="A34" i="8"/>
  <c r="O34" i="8" s="1"/>
  <c r="A8" i="8"/>
  <c r="O8" i="8" s="1"/>
  <c r="A56" i="8"/>
  <c r="O56" i="8" s="1"/>
  <c r="A19" i="8"/>
  <c r="O19" i="8" s="1"/>
  <c r="A52" i="8"/>
  <c r="O52" i="8" s="1"/>
  <c r="A13" i="8"/>
  <c r="O13" i="8" s="1"/>
  <c r="A16" i="8"/>
  <c r="O16" i="8" s="1"/>
  <c r="A119" i="8"/>
  <c r="O119" i="8" s="1"/>
  <c r="A99" i="8"/>
  <c r="O99" i="8" s="1"/>
  <c r="A75" i="8"/>
  <c r="O75" i="8" s="1"/>
  <c r="A47" i="8"/>
  <c r="O47" i="8" s="1"/>
  <c r="A91" i="8"/>
  <c r="O91" i="8" s="1"/>
  <c r="P91" i="8" s="1"/>
  <c r="A98" i="8"/>
  <c r="O98" i="8" s="1"/>
  <c r="P98" i="8" s="1"/>
  <c r="A30" i="8"/>
  <c r="O30" i="8" s="1"/>
  <c r="P30" i="8" s="1"/>
  <c r="A95" i="8"/>
  <c r="O95" i="8" s="1"/>
  <c r="P95" i="8" s="1"/>
  <c r="A115" i="8"/>
  <c r="O115" i="8" s="1"/>
  <c r="P115" i="8" s="1"/>
  <c r="A62" i="8"/>
  <c r="O62" i="8" s="1"/>
  <c r="A96" i="8"/>
  <c r="O96" i="8" s="1"/>
  <c r="A66" i="8"/>
  <c r="O66" i="8" s="1"/>
  <c r="A121" i="8"/>
  <c r="O121" i="8" s="1"/>
  <c r="A25" i="8"/>
  <c r="O25" i="8" s="1"/>
  <c r="A74" i="8"/>
  <c r="O74" i="8" s="1"/>
  <c r="A65" i="8"/>
  <c r="O65" i="8" s="1"/>
  <c r="A67" i="8"/>
  <c r="O67" i="8" s="1"/>
  <c r="A48" i="8"/>
  <c r="O48" i="8" s="1"/>
  <c r="A111" i="8"/>
  <c r="O111" i="8" s="1"/>
  <c r="A15" i="8"/>
  <c r="O15" i="8" s="1"/>
  <c r="A29" i="8"/>
  <c r="O29" i="8" s="1"/>
  <c r="P29" i="8" s="1"/>
  <c r="A22" i="8"/>
  <c r="O22" i="8" s="1"/>
  <c r="P22" i="8" s="1"/>
  <c r="A103" i="8"/>
  <c r="O103" i="8" s="1"/>
  <c r="P103" i="8" s="1"/>
  <c r="A68" i="8"/>
  <c r="O68" i="8" s="1"/>
  <c r="P68" i="8" s="1"/>
  <c r="A26" i="8"/>
  <c r="O26" i="8" s="1"/>
  <c r="P26" i="8" s="1"/>
  <c r="A93" i="8"/>
  <c r="O93" i="8" s="1"/>
  <c r="A44" i="8"/>
  <c r="O44" i="8" s="1"/>
  <c r="A102" i="8"/>
  <c r="O102" i="8" s="1"/>
  <c r="A5" i="8"/>
  <c r="O5" i="8" s="1"/>
  <c r="A100" i="8"/>
  <c r="O100" i="8" s="1"/>
  <c r="A81" i="8"/>
  <c r="O81" i="8" s="1"/>
  <c r="A55" i="8"/>
  <c r="O55" i="8" s="1"/>
  <c r="A86" i="8"/>
  <c r="O86" i="8" s="1"/>
  <c r="A18" i="8"/>
  <c r="O18" i="8" s="1"/>
  <c r="A57" i="8"/>
  <c r="O57" i="8" s="1"/>
  <c r="A73" i="8"/>
  <c r="O73" i="8" s="1"/>
  <c r="A3" i="8"/>
  <c r="O3" i="8" s="1"/>
  <c r="P3" i="8" s="1"/>
  <c r="A97" i="8"/>
  <c r="O97" i="8" s="1"/>
  <c r="P97" i="8" s="1"/>
  <c r="A58" i="8"/>
  <c r="O58" i="8" s="1"/>
  <c r="P58" i="8" s="1"/>
  <c r="A122" i="8"/>
  <c r="O122" i="8" s="1"/>
  <c r="P122" i="8" s="1"/>
  <c r="A61" i="8"/>
  <c r="O61" i="8" s="1"/>
  <c r="P61" i="8" s="1"/>
  <c r="A50" i="8"/>
  <c r="O50" i="8" s="1"/>
  <c r="A112" i="8"/>
  <c r="O112" i="8" s="1"/>
  <c r="A60" i="8"/>
  <c r="O60" i="8" s="1"/>
  <c r="A114" i="8"/>
  <c r="O114" i="8" s="1"/>
  <c r="A17" i="8"/>
  <c r="O17" i="8" s="1"/>
  <c r="A38" i="8"/>
  <c r="O38" i="8" s="1"/>
  <c r="A117" i="8"/>
  <c r="O117" i="8" s="1"/>
  <c r="A41" i="8"/>
  <c r="O41" i="8" s="1"/>
  <c r="A46" i="8"/>
  <c r="O46" i="8" s="1"/>
  <c r="A21" i="8"/>
  <c r="O21" i="8" s="1"/>
  <c r="A49" i="8"/>
  <c r="O49" i="8" s="1"/>
  <c r="A9" i="8"/>
  <c r="O9" i="8" s="1"/>
  <c r="Q4" i="7"/>
  <c r="K198" i="7"/>
  <c r="G198" i="7"/>
  <c r="K197" i="7"/>
  <c r="G197" i="7"/>
  <c r="K196" i="7"/>
  <c r="G196" i="7"/>
  <c r="K195" i="7"/>
  <c r="G195" i="7"/>
  <c r="K194" i="7"/>
  <c r="G194" i="7"/>
  <c r="K193" i="7"/>
  <c r="G193" i="7"/>
  <c r="K192" i="7"/>
  <c r="G192" i="7"/>
  <c r="K191" i="7"/>
  <c r="G191" i="7"/>
  <c r="K190" i="7"/>
  <c r="G190" i="7"/>
  <c r="K189" i="7"/>
  <c r="G189" i="7"/>
  <c r="K188" i="7"/>
  <c r="G188" i="7"/>
  <c r="K187" i="7"/>
  <c r="G187" i="7"/>
  <c r="K186" i="7"/>
  <c r="G186" i="7"/>
  <c r="K185" i="7"/>
  <c r="G185" i="7"/>
  <c r="K184" i="7"/>
  <c r="G184" i="7"/>
  <c r="K183" i="7"/>
  <c r="G183" i="7"/>
  <c r="K182" i="7"/>
  <c r="G182" i="7"/>
  <c r="K181" i="7"/>
  <c r="G181" i="7"/>
  <c r="K180" i="7"/>
  <c r="G180" i="7"/>
  <c r="K179" i="7"/>
  <c r="G179" i="7"/>
  <c r="K178" i="7"/>
  <c r="G178" i="7"/>
  <c r="K177" i="7"/>
  <c r="G177" i="7"/>
  <c r="K176" i="7"/>
  <c r="G176" i="7"/>
  <c r="K175" i="7"/>
  <c r="G175" i="7"/>
  <c r="K174" i="7"/>
  <c r="G174" i="7"/>
  <c r="K173" i="7"/>
  <c r="G173" i="7"/>
  <c r="K172" i="7"/>
  <c r="G172" i="7"/>
  <c r="K171" i="7"/>
  <c r="G171" i="7"/>
  <c r="K170" i="7"/>
  <c r="G170" i="7"/>
  <c r="K169" i="7"/>
  <c r="G169" i="7"/>
  <c r="K168" i="7"/>
  <c r="G168" i="7"/>
  <c r="K167" i="7"/>
  <c r="G167" i="7"/>
  <c r="K166" i="7"/>
  <c r="G166" i="7"/>
  <c r="K165" i="7"/>
  <c r="G165" i="7"/>
  <c r="K164" i="7"/>
  <c r="G164" i="7"/>
  <c r="K163" i="7"/>
  <c r="G163" i="7"/>
  <c r="K162" i="7"/>
  <c r="G162" i="7"/>
  <c r="K161" i="7"/>
  <c r="G161" i="7"/>
  <c r="K160" i="7"/>
  <c r="G160" i="7"/>
  <c r="K159" i="7"/>
  <c r="G159" i="7"/>
  <c r="K158" i="7"/>
  <c r="G158" i="7"/>
  <c r="K157" i="7"/>
  <c r="G157" i="7"/>
  <c r="K156" i="7"/>
  <c r="G156" i="7"/>
  <c r="K155" i="7"/>
  <c r="G155" i="7"/>
  <c r="K154" i="7"/>
  <c r="G154" i="7"/>
  <c r="K153" i="7"/>
  <c r="G153" i="7"/>
  <c r="K152" i="7"/>
  <c r="G152" i="7"/>
  <c r="K151" i="7"/>
  <c r="G151" i="7"/>
  <c r="K150" i="7"/>
  <c r="G150" i="7"/>
  <c r="K149" i="7"/>
  <c r="G149" i="7"/>
  <c r="K148" i="7"/>
  <c r="G148" i="7"/>
  <c r="K147" i="7"/>
  <c r="G147" i="7"/>
  <c r="K146" i="7"/>
  <c r="G146" i="7"/>
  <c r="K145" i="7"/>
  <c r="G145" i="7"/>
  <c r="K144" i="7"/>
  <c r="G144" i="7"/>
  <c r="K143" i="7"/>
  <c r="G143" i="7"/>
  <c r="K142" i="7"/>
  <c r="G142" i="7"/>
  <c r="K141" i="7"/>
  <c r="G141" i="7"/>
  <c r="K140" i="7"/>
  <c r="G140" i="7"/>
  <c r="K139" i="7"/>
  <c r="G139" i="7"/>
  <c r="K138" i="7"/>
  <c r="G138" i="7"/>
  <c r="K137" i="7"/>
  <c r="G137" i="7"/>
  <c r="K136" i="7"/>
  <c r="G136" i="7"/>
  <c r="K135" i="7"/>
  <c r="G135" i="7"/>
  <c r="K134" i="7"/>
  <c r="G134" i="7"/>
  <c r="K133" i="7"/>
  <c r="G133" i="7"/>
  <c r="K132" i="7"/>
  <c r="G132" i="7"/>
  <c r="K131" i="7"/>
  <c r="G131" i="7"/>
  <c r="K130" i="7"/>
  <c r="G130" i="7"/>
  <c r="K129" i="7"/>
  <c r="G129" i="7"/>
  <c r="K128" i="7"/>
  <c r="G128" i="7"/>
  <c r="K127" i="7"/>
  <c r="G127" i="7"/>
  <c r="K126" i="7"/>
  <c r="G126" i="7"/>
  <c r="K125" i="7"/>
  <c r="G125" i="7"/>
  <c r="K124" i="7"/>
  <c r="G124" i="7"/>
  <c r="K123" i="7"/>
  <c r="G123" i="7"/>
  <c r="K122" i="7"/>
  <c r="G122" i="7"/>
  <c r="K121" i="7"/>
  <c r="G121" i="7"/>
  <c r="K120" i="7"/>
  <c r="G120" i="7"/>
  <c r="K119" i="7"/>
  <c r="G119" i="7"/>
  <c r="K118" i="7"/>
  <c r="G118" i="7"/>
  <c r="K117" i="7"/>
  <c r="G117" i="7"/>
  <c r="K116" i="7"/>
  <c r="G116" i="7"/>
  <c r="K115" i="7"/>
  <c r="G115" i="7"/>
  <c r="K114" i="7"/>
  <c r="G114" i="7"/>
  <c r="K113" i="7"/>
  <c r="G113" i="7"/>
  <c r="K112" i="7"/>
  <c r="G112" i="7"/>
  <c r="K111" i="7"/>
  <c r="G111" i="7"/>
  <c r="K110" i="7"/>
  <c r="G110" i="7"/>
  <c r="K109" i="7"/>
  <c r="G109" i="7"/>
  <c r="K108" i="7"/>
  <c r="G108" i="7"/>
  <c r="K107" i="7"/>
  <c r="G107" i="7"/>
  <c r="K106" i="7"/>
  <c r="G106" i="7"/>
  <c r="K105" i="7"/>
  <c r="G105" i="7"/>
  <c r="K104" i="7"/>
  <c r="G104" i="7"/>
  <c r="K103" i="7"/>
  <c r="G103" i="7"/>
  <c r="K102" i="7"/>
  <c r="G102" i="7"/>
  <c r="K101" i="7"/>
  <c r="G101" i="7"/>
  <c r="K100" i="7"/>
  <c r="G100" i="7"/>
  <c r="K99" i="7"/>
  <c r="G99" i="7"/>
  <c r="K98" i="7"/>
  <c r="G98" i="7"/>
  <c r="K97" i="7"/>
  <c r="G97" i="7"/>
  <c r="K96" i="7"/>
  <c r="G96" i="7"/>
  <c r="K95" i="7"/>
  <c r="G95" i="7"/>
  <c r="K94" i="7"/>
  <c r="G94" i="7"/>
  <c r="K93" i="7"/>
  <c r="G93" i="7"/>
  <c r="K92" i="7"/>
  <c r="G92" i="7"/>
  <c r="K91" i="7"/>
  <c r="G91" i="7"/>
  <c r="K90" i="7"/>
  <c r="G90" i="7"/>
  <c r="K89" i="7"/>
  <c r="G89" i="7"/>
  <c r="K88" i="7"/>
  <c r="G88" i="7"/>
  <c r="K87" i="7"/>
  <c r="G87" i="7"/>
  <c r="K86" i="7"/>
  <c r="G86" i="7"/>
  <c r="K85" i="7"/>
  <c r="G85" i="7"/>
  <c r="K84" i="7"/>
  <c r="G84" i="7"/>
  <c r="K83" i="7"/>
  <c r="G83" i="7"/>
  <c r="K82" i="7"/>
  <c r="G82" i="7"/>
  <c r="K81" i="7"/>
  <c r="G81" i="7"/>
  <c r="K80" i="7"/>
  <c r="G80" i="7"/>
  <c r="K79" i="7"/>
  <c r="G79" i="7"/>
  <c r="K78" i="7"/>
  <c r="G78" i="7"/>
  <c r="K77" i="7"/>
  <c r="G77" i="7"/>
  <c r="K76" i="7"/>
  <c r="G76" i="7"/>
  <c r="K75" i="7"/>
  <c r="G75" i="7"/>
  <c r="K74" i="7"/>
  <c r="G74" i="7"/>
  <c r="K73" i="7"/>
  <c r="G73" i="7"/>
  <c r="K72" i="7"/>
  <c r="G72" i="7"/>
  <c r="K71" i="7"/>
  <c r="G71" i="7"/>
  <c r="K70" i="7"/>
  <c r="G70" i="7"/>
  <c r="K69" i="7"/>
  <c r="G69" i="7"/>
  <c r="K68" i="7"/>
  <c r="G68" i="7"/>
  <c r="K67" i="7"/>
  <c r="G67" i="7"/>
  <c r="K66" i="7"/>
  <c r="G66" i="7"/>
  <c r="K65" i="7"/>
  <c r="G65" i="7"/>
  <c r="K64" i="7"/>
  <c r="G64" i="7"/>
  <c r="K63" i="7"/>
  <c r="G63" i="7"/>
  <c r="K62" i="7"/>
  <c r="G62" i="7"/>
  <c r="K61" i="7"/>
  <c r="G61" i="7"/>
  <c r="K60" i="7"/>
  <c r="G60" i="7"/>
  <c r="K59" i="7"/>
  <c r="G59" i="7"/>
  <c r="K58" i="7"/>
  <c r="G58" i="7"/>
  <c r="K57" i="7"/>
  <c r="G57" i="7"/>
  <c r="K56" i="7"/>
  <c r="G56" i="7"/>
  <c r="K55" i="7"/>
  <c r="G55" i="7"/>
  <c r="K54" i="7"/>
  <c r="G54" i="7"/>
  <c r="K53" i="7"/>
  <c r="G53" i="7"/>
  <c r="K52" i="7"/>
  <c r="G52" i="7"/>
  <c r="K51" i="7"/>
  <c r="G51" i="7"/>
  <c r="K50" i="7"/>
  <c r="G50" i="7"/>
  <c r="K49" i="7"/>
  <c r="G49" i="7"/>
  <c r="K48" i="7"/>
  <c r="G48" i="7"/>
  <c r="K47" i="7"/>
  <c r="G47" i="7"/>
  <c r="K46" i="7"/>
  <c r="G46" i="7"/>
  <c r="K45" i="7"/>
  <c r="G45" i="7"/>
  <c r="K44" i="7"/>
  <c r="G44" i="7"/>
  <c r="K43" i="7"/>
  <c r="G43" i="7"/>
  <c r="K42" i="7"/>
  <c r="G42" i="7"/>
  <c r="K41" i="7"/>
  <c r="G41" i="7"/>
  <c r="K40" i="7"/>
  <c r="G40" i="7"/>
  <c r="K39" i="7"/>
  <c r="G39" i="7"/>
  <c r="K38" i="7"/>
  <c r="G38" i="7"/>
  <c r="K37" i="7"/>
  <c r="G37" i="7"/>
  <c r="K36" i="7"/>
  <c r="G36" i="7"/>
  <c r="K35" i="7"/>
  <c r="G35" i="7"/>
  <c r="K34" i="7"/>
  <c r="G34" i="7"/>
  <c r="K33" i="7"/>
  <c r="G33" i="7"/>
  <c r="K32" i="7"/>
  <c r="G32" i="7"/>
  <c r="K31" i="7"/>
  <c r="G31" i="7"/>
  <c r="K30" i="7"/>
  <c r="G30" i="7"/>
  <c r="K29" i="7"/>
  <c r="G29" i="7"/>
  <c r="K28" i="7"/>
  <c r="G28" i="7"/>
  <c r="K27" i="7"/>
  <c r="G27" i="7"/>
  <c r="K26" i="7"/>
  <c r="G26" i="7"/>
  <c r="K25" i="7"/>
  <c r="G25" i="7"/>
  <c r="K24" i="7"/>
  <c r="G24" i="7"/>
  <c r="K23" i="7"/>
  <c r="G23" i="7"/>
  <c r="K22" i="7"/>
  <c r="G22" i="7"/>
  <c r="K21" i="7"/>
  <c r="G21" i="7"/>
  <c r="K20" i="7"/>
  <c r="G20" i="7"/>
  <c r="K19" i="7"/>
  <c r="G19" i="7"/>
  <c r="K18" i="7"/>
  <c r="G18" i="7"/>
  <c r="O12" i="7"/>
  <c r="G12" i="7"/>
  <c r="O7" i="7"/>
  <c r="G7" i="7"/>
  <c r="O4" i="7"/>
  <c r="G4" i="7"/>
  <c r="O11" i="7"/>
  <c r="G11" i="7"/>
  <c r="O14" i="7"/>
  <c r="G14" i="7"/>
  <c r="O2" i="7"/>
  <c r="G2" i="7"/>
  <c r="O6" i="7"/>
  <c r="G6" i="7"/>
  <c r="O10" i="7"/>
  <c r="G10" i="7"/>
  <c r="O8" i="7"/>
  <c r="G8" i="7"/>
  <c r="O13" i="7"/>
  <c r="G13" i="7"/>
  <c r="O16" i="7"/>
  <c r="G16" i="7"/>
  <c r="O15" i="7"/>
  <c r="G15" i="7"/>
  <c r="O5" i="7"/>
  <c r="G5" i="7"/>
  <c r="O3" i="7"/>
  <c r="G3" i="7"/>
  <c r="O17" i="7"/>
  <c r="G17" i="7"/>
  <c r="O9" i="7"/>
  <c r="G9" i="7"/>
  <c r="E4" i="7"/>
  <c r="A108" i="7"/>
  <c r="A203" i="7"/>
  <c r="A30" i="7"/>
  <c r="A406" i="7"/>
  <c r="A425" i="7"/>
  <c r="A85" i="7"/>
  <c r="A366" i="7"/>
  <c r="A364" i="7"/>
  <c r="A116" i="7"/>
  <c r="A57" i="7"/>
  <c r="A62" i="7"/>
  <c r="A73" i="7"/>
  <c r="A220" i="7"/>
  <c r="A217" i="7"/>
  <c r="A360" i="7"/>
  <c r="A192" i="7"/>
  <c r="A78" i="7"/>
  <c r="A234" i="7"/>
  <c r="A354" i="7"/>
  <c r="A55" i="7"/>
  <c r="A322" i="7"/>
  <c r="A160" i="7"/>
  <c r="A15" i="7"/>
  <c r="A12" i="7"/>
  <c r="A312" i="7"/>
  <c r="A235" i="7"/>
  <c r="A21" i="7"/>
  <c r="A132" i="7"/>
  <c r="A316" i="7"/>
  <c r="A398" i="7"/>
  <c r="A191" i="7"/>
  <c r="A184" i="7"/>
  <c r="A325" i="7"/>
  <c r="A151" i="7"/>
  <c r="A64" i="7"/>
  <c r="A49" i="7"/>
  <c r="A299" i="7"/>
  <c r="A292" i="7"/>
  <c r="A226" i="7"/>
  <c r="A214" i="7"/>
  <c r="A178" i="7"/>
  <c r="A350" i="7"/>
  <c r="A50" i="7"/>
  <c r="A169" i="7"/>
  <c r="A381" i="7"/>
  <c r="A107" i="7"/>
  <c r="A117" i="7"/>
  <c r="A358" i="7"/>
  <c r="A270" i="7"/>
  <c r="A418" i="7"/>
  <c r="A255" i="7"/>
  <c r="A273" i="7"/>
  <c r="A123" i="7"/>
  <c r="A54" i="7"/>
  <c r="A392" i="7"/>
  <c r="A409" i="7"/>
  <c r="A307" i="7"/>
  <c r="A80" i="7"/>
  <c r="A410" i="7"/>
  <c r="A310" i="7"/>
  <c r="A238" i="7"/>
  <c r="A34" i="7"/>
  <c r="A180" i="7"/>
  <c r="A345" i="7"/>
  <c r="A352" i="7"/>
  <c r="A403" i="7"/>
  <c r="A7" i="7"/>
  <c r="A261" i="7"/>
  <c r="A4" i="7"/>
  <c r="A320" i="7"/>
  <c r="A29" i="7"/>
  <c r="A121" i="7"/>
  <c r="A106" i="7"/>
  <c r="A16" i="7"/>
  <c r="A48" i="7"/>
  <c r="A9" i="7"/>
  <c r="A100" i="7"/>
  <c r="A147" i="7"/>
  <c r="A129" i="7"/>
  <c r="A283" i="7"/>
  <c r="A287" i="7"/>
  <c r="A367" i="7"/>
  <c r="A176" i="7"/>
  <c r="A128" i="7"/>
  <c r="A389" i="7"/>
  <c r="A362" i="7"/>
  <c r="A113" i="7"/>
  <c r="A305" i="7"/>
  <c r="A370" i="7"/>
  <c r="A361" i="7"/>
  <c r="A317" i="7"/>
  <c r="A112" i="7"/>
  <c r="A328" i="7"/>
  <c r="A286" i="7"/>
  <c r="A327" i="7"/>
  <c r="A346" i="7"/>
  <c r="A122" i="7"/>
  <c r="A271" i="7"/>
  <c r="A258" i="7"/>
  <c r="A142" i="7"/>
  <c r="A114" i="7"/>
  <c r="A46" i="7"/>
  <c r="A35" i="7"/>
  <c r="A222" i="7"/>
  <c r="A416" i="7"/>
  <c r="A189" i="7"/>
  <c r="A408" i="7"/>
  <c r="A348" i="7"/>
  <c r="A98" i="7"/>
  <c r="A171" i="7"/>
  <c r="A33" i="7"/>
  <c r="A243" i="7"/>
  <c r="A359" i="7"/>
  <c r="A22" i="7"/>
  <c r="A205" i="7"/>
  <c r="A344" i="7"/>
  <c r="A218" i="7"/>
  <c r="A177" i="7"/>
  <c r="A247" i="7"/>
  <c r="A19" i="7"/>
  <c r="A87" i="7"/>
  <c r="A342" i="7"/>
  <c r="A375" i="7"/>
  <c r="A372" i="7"/>
  <c r="A187" i="7"/>
  <c r="A84" i="7"/>
  <c r="A260" i="7"/>
  <c r="A294" i="7"/>
  <c r="A285" i="7"/>
  <c r="A25" i="7"/>
  <c r="A249" i="7"/>
  <c r="A308" i="7"/>
  <c r="A37" i="7"/>
  <c r="A252" i="7"/>
  <c r="A297" i="7"/>
  <c r="A167" i="7"/>
  <c r="A284" i="7"/>
  <c r="A371" i="7"/>
  <c r="A326" i="7"/>
  <c r="A318" i="7"/>
  <c r="A120" i="7"/>
  <c r="A314" i="7"/>
  <c r="A83" i="7"/>
  <c r="A298" i="7"/>
  <c r="A232" i="7"/>
  <c r="A303" i="7"/>
  <c r="A211" i="7"/>
  <c r="A150" i="7"/>
  <c r="A93" i="7"/>
  <c r="A395" i="7"/>
  <c r="A394" i="7"/>
  <c r="A194" i="7"/>
  <c r="A339" i="7"/>
  <c r="A233" i="7"/>
  <c r="A221" i="7"/>
  <c r="A265" i="7"/>
  <c r="A61" i="7"/>
  <c r="A405" i="7"/>
  <c r="A225" i="7"/>
  <c r="A103" i="7"/>
  <c r="A159" i="7"/>
  <c r="A242" i="7"/>
  <c r="A374" i="7"/>
  <c r="A96" i="7"/>
  <c r="A197" i="7"/>
  <c r="A26" i="7"/>
  <c r="A309" i="7"/>
  <c r="A24" i="7"/>
  <c r="A11" i="7"/>
  <c r="A138" i="7"/>
  <c r="A101" i="7"/>
  <c r="A179" i="7"/>
  <c r="A363" i="7"/>
  <c r="A136" i="7"/>
  <c r="A295" i="7"/>
  <c r="A347" i="7"/>
  <c r="A77" i="7"/>
  <c r="A302" i="7"/>
  <c r="A8" i="7"/>
  <c r="A338" i="7"/>
  <c r="A163" i="7"/>
  <c r="A365" i="7"/>
  <c r="A141" i="7"/>
  <c r="A369" i="7"/>
  <c r="A337" i="7"/>
  <c r="A70" i="7"/>
  <c r="A95" i="7"/>
  <c r="A133" i="7"/>
  <c r="A68" i="7"/>
  <c r="A140" i="7"/>
  <c r="A42" i="7"/>
  <c r="A356" i="7"/>
  <c r="A193" i="7"/>
  <c r="A165" i="7"/>
  <c r="A32" i="7"/>
  <c r="A315" i="7"/>
  <c r="A333" i="7"/>
  <c r="A207" i="7"/>
  <c r="A196" i="7"/>
  <c r="A376" i="7"/>
  <c r="A246" i="7"/>
  <c r="A399" i="7"/>
  <c r="A397" i="7"/>
  <c r="A329" i="7"/>
  <c r="A400" i="7"/>
  <c r="A104" i="7"/>
  <c r="A23" i="7"/>
  <c r="A63" i="7"/>
  <c r="A170" i="7"/>
  <c r="A162" i="7"/>
  <c r="A241" i="7"/>
  <c r="A213" i="7"/>
  <c r="A324" i="7"/>
  <c r="A206" i="7"/>
  <c r="A321" i="7"/>
  <c r="A424" i="7"/>
  <c r="A139" i="7"/>
  <c r="A254" i="7"/>
  <c r="A130" i="7"/>
  <c r="A209" i="7"/>
  <c r="A52" i="7"/>
  <c r="A105" i="7"/>
  <c r="A82" i="7"/>
  <c r="A393" i="7"/>
  <c r="A239" i="7"/>
  <c r="A343" i="7"/>
  <c r="A256" i="7"/>
  <c r="A268" i="7"/>
  <c r="A275" i="7"/>
  <c r="A216" i="7"/>
  <c r="A210" i="7"/>
  <c r="A293" i="7"/>
  <c r="A355" i="7"/>
  <c r="A3" i="7"/>
  <c r="A155" i="7"/>
  <c r="A79" i="7"/>
  <c r="A182" i="7"/>
  <c r="A47" i="7"/>
  <c r="A353" i="7"/>
  <c r="A419" i="7"/>
  <c r="A383" i="7"/>
  <c r="A173" i="7"/>
  <c r="A269" i="7"/>
  <c r="A245" i="7"/>
  <c r="A332" i="7"/>
  <c r="A157" i="7"/>
  <c r="A109" i="7"/>
  <c r="A289" i="7"/>
  <c r="A224" i="7"/>
  <c r="A153" i="7"/>
  <c r="A20" i="7"/>
  <c r="A262" i="7"/>
  <c r="A385" i="7"/>
  <c r="A386" i="7"/>
  <c r="A149" i="7"/>
  <c r="A91" i="7"/>
  <c r="A351" i="7"/>
  <c r="A267" i="7"/>
  <c r="A417" i="7"/>
  <c r="A413" i="7"/>
  <c r="A407" i="7"/>
  <c r="A259" i="7"/>
  <c r="A41" i="7"/>
  <c r="A306" i="7"/>
  <c r="A357" i="7"/>
  <c r="A190" i="7"/>
  <c r="A422" i="7"/>
  <c r="A90" i="7"/>
  <c r="A185" i="7"/>
  <c r="A126" i="7"/>
  <c r="A148" i="7"/>
  <c r="A88" i="7"/>
  <c r="A144" i="7"/>
  <c r="A135" i="7"/>
  <c r="A415" i="7"/>
  <c r="A18" i="7"/>
  <c r="A94" i="7"/>
  <c r="A134" i="7"/>
  <c r="A390" i="7"/>
  <c r="A240" i="7"/>
  <c r="A319" i="7"/>
  <c r="A336" i="7"/>
  <c r="A60" i="7"/>
  <c r="A137" i="7"/>
  <c r="A174" i="7"/>
  <c r="A72" i="7"/>
  <c r="A66" i="7"/>
  <c r="A277" i="7"/>
  <c r="A276" i="7"/>
  <c r="A13" i="7"/>
  <c r="A291" i="7"/>
  <c r="A219" i="7"/>
  <c r="A89" i="7"/>
  <c r="A186" i="7"/>
  <c r="A288" i="7"/>
  <c r="A368" i="7"/>
  <c r="A71" i="7"/>
  <c r="A250" i="7"/>
  <c r="A75" i="7"/>
  <c r="A198" i="7"/>
  <c r="A387" i="7"/>
  <c r="A43" i="7"/>
  <c r="A227" i="7"/>
  <c r="A304" i="7"/>
  <c r="A313" i="7"/>
  <c r="A412" i="7"/>
  <c r="A17" i="7"/>
  <c r="A212" i="7"/>
  <c r="A263" i="7"/>
  <c r="A10" i="7"/>
  <c r="A229" i="7"/>
  <c r="A175" i="7"/>
  <c r="A76" i="7"/>
  <c r="A14" i="7"/>
  <c r="A67" i="7"/>
  <c r="A334" i="7"/>
  <c r="A131" i="7"/>
  <c r="A228" i="7"/>
  <c r="A223" i="7"/>
  <c r="A388" i="7"/>
  <c r="A115" i="7"/>
  <c r="A145" i="7"/>
  <c r="A208" i="7"/>
  <c r="A161" i="7"/>
  <c r="A36" i="7"/>
  <c r="A119" i="7"/>
  <c r="A156" i="7"/>
  <c r="A331" i="7"/>
  <c r="A102" i="7"/>
  <c r="A27" i="7"/>
  <c r="A172" i="7"/>
  <c r="A349" i="7"/>
  <c r="A164" i="7"/>
  <c r="A311" i="7"/>
  <c r="A282" i="7"/>
  <c r="A274" i="7"/>
  <c r="A257" i="7"/>
  <c r="A152" i="7"/>
  <c r="A158" i="7"/>
  <c r="A382" i="7"/>
  <c r="A396" i="7"/>
  <c r="A280" i="7"/>
  <c r="A272" i="7"/>
  <c r="A110" i="7"/>
  <c r="A111" i="7"/>
  <c r="A264" i="7"/>
  <c r="A166" i="7"/>
  <c r="A341" i="7"/>
  <c r="A377" i="7"/>
  <c r="A51" i="7"/>
  <c r="A421" i="7"/>
  <c r="A391" i="7"/>
  <c r="A188" i="7"/>
  <c r="A215" i="7"/>
  <c r="A118" i="7"/>
  <c r="A199" i="7"/>
  <c r="A323" i="7"/>
  <c r="A2" i="7"/>
  <c r="A426" i="7"/>
  <c r="A330" i="7"/>
  <c r="A300" i="7"/>
  <c r="A53" i="7"/>
  <c r="A125" i="7"/>
  <c r="A86" i="7"/>
  <c r="A143" i="7"/>
  <c r="A154" i="7"/>
  <c r="A56" i="7"/>
  <c r="A127" i="7"/>
  <c r="A420" i="7"/>
  <c r="A423" i="7"/>
  <c r="A278" i="7"/>
  <c r="A146" i="7"/>
  <c r="A411" i="7"/>
  <c r="A401" i="7"/>
  <c r="A204" i="7"/>
  <c r="A379" i="7"/>
  <c r="A237" i="7"/>
  <c r="A81" i="7"/>
  <c r="A59" i="7"/>
  <c r="A200" i="7"/>
  <c r="A253" i="7"/>
  <c r="A404" i="7"/>
  <c r="A373" i="7"/>
  <c r="A92" i="7"/>
  <c r="A45" i="7"/>
  <c r="A202" i="7"/>
  <c r="A384" i="7"/>
  <c r="A230" i="7"/>
  <c r="A39" i="7"/>
  <c r="A378" i="7"/>
  <c r="A6" i="7"/>
  <c r="A181" i="7"/>
  <c r="A266" i="7"/>
  <c r="A58" i="7"/>
  <c r="A168" i="7"/>
  <c r="A183" i="7"/>
  <c r="A236" i="7"/>
  <c r="A65" i="7"/>
  <c r="A74" i="7"/>
  <c r="A124" i="7"/>
  <c r="A340" i="7"/>
  <c r="A28" i="7"/>
  <c r="A69" i="7"/>
  <c r="A296" i="7"/>
  <c r="A248" i="7"/>
  <c r="A380" i="7"/>
  <c r="A231" i="7"/>
  <c r="A335" i="7"/>
  <c r="A195" i="7"/>
  <c r="A244" i="7"/>
  <c r="A31" i="7"/>
  <c r="A40" i="7"/>
  <c r="A301" i="7"/>
  <c r="A251" i="7"/>
  <c r="A38" i="7"/>
  <c r="A281" i="7"/>
  <c r="A5" i="7"/>
  <c r="A279" i="7"/>
  <c r="A290" i="7"/>
  <c r="A414" i="7"/>
  <c r="A201" i="7"/>
  <c r="A97" i="7"/>
  <c r="A44" i="7"/>
  <c r="A402" i="7"/>
  <c r="A99" i="7"/>
  <c r="H3864" i="2"/>
  <c r="H3861" i="2"/>
  <c r="H3854" i="2"/>
  <c r="H3850" i="2"/>
  <c r="H3847" i="2"/>
  <c r="H3845" i="2"/>
  <c r="H3838" i="2"/>
  <c r="H3835" i="2"/>
  <c r="H3834" i="2"/>
  <c r="H3833" i="2"/>
  <c r="H3828" i="2"/>
  <c r="H3816" i="2"/>
  <c r="H3812" i="2"/>
  <c r="H3808" i="2"/>
  <c r="H3806" i="2"/>
  <c r="H3801" i="2"/>
  <c r="H3800" i="2"/>
  <c r="H3795" i="2"/>
  <c r="H3787" i="2"/>
  <c r="H3785" i="2"/>
  <c r="H3782" i="2"/>
  <c r="H3776" i="2"/>
  <c r="H3775" i="2"/>
  <c r="H3773" i="2"/>
  <c r="H3771" i="2"/>
  <c r="H3768" i="2"/>
  <c r="H3765" i="2"/>
  <c r="H3759" i="2"/>
  <c r="H3753" i="2"/>
  <c r="H3752" i="2"/>
  <c r="H3751" i="2"/>
  <c r="H3745" i="2"/>
  <c r="H3744" i="2"/>
  <c r="H3743" i="2"/>
  <c r="H3742" i="2"/>
  <c r="H3741" i="2"/>
  <c r="H3739" i="2"/>
  <c r="H3727" i="2"/>
  <c r="H3725" i="2"/>
  <c r="H3723" i="2"/>
  <c r="H3708" i="2"/>
  <c r="H3704" i="2"/>
  <c r="H3703" i="2"/>
  <c r="H3697" i="2"/>
  <c r="H3696" i="2"/>
  <c r="H3694" i="2"/>
  <c r="H3691" i="2"/>
  <c r="H3686" i="2"/>
  <c r="H3680" i="2"/>
  <c r="H3676" i="2"/>
  <c r="H3667" i="2"/>
  <c r="H3666" i="2"/>
  <c r="H3661" i="2"/>
  <c r="H3646" i="2"/>
  <c r="H3644" i="2"/>
  <c r="H3634" i="2"/>
  <c r="H3632" i="2"/>
  <c r="H3620" i="2"/>
  <c r="H3616" i="2"/>
  <c r="H3613" i="2"/>
  <c r="H3611" i="2"/>
  <c r="H3610" i="2"/>
  <c r="H3603" i="2"/>
  <c r="H3601" i="2"/>
  <c r="H3590" i="2"/>
  <c r="H3589" i="2"/>
  <c r="H3583" i="2"/>
  <c r="H3578" i="2"/>
  <c r="H3577" i="2"/>
  <c r="H3576" i="2"/>
  <c r="H3571" i="2"/>
  <c r="H3566" i="2"/>
  <c r="H3556" i="2"/>
  <c r="H3555" i="2"/>
  <c r="H3552" i="2"/>
  <c r="H3549" i="2"/>
  <c r="H3548" i="2"/>
  <c r="H3544" i="2"/>
  <c r="H3532" i="2"/>
  <c r="H3528" i="2"/>
  <c r="H3526" i="2"/>
  <c r="H3525" i="2"/>
  <c r="H3519" i="2"/>
  <c r="H3517" i="2"/>
  <c r="H3514" i="2"/>
  <c r="H3508" i="2"/>
  <c r="H3504" i="2"/>
  <c r="H3500" i="2"/>
  <c r="H3488" i="2"/>
  <c r="H3482" i="2"/>
  <c r="H3481" i="2"/>
  <c r="H3478" i="2"/>
  <c r="H3470" i="2"/>
  <c r="H3466" i="2"/>
  <c r="H3460" i="2"/>
  <c r="H3459" i="2"/>
  <c r="H3454" i="2"/>
  <c r="H3451" i="2"/>
  <c r="H3445" i="2"/>
  <c r="H3444" i="2"/>
  <c r="H3434" i="2"/>
  <c r="H3432" i="2"/>
  <c r="H3424" i="2"/>
  <c r="H3423" i="2"/>
  <c r="H3414" i="2"/>
  <c r="H3412" i="2"/>
  <c r="H3408" i="2"/>
  <c r="H3407" i="2"/>
  <c r="H3406" i="2"/>
  <c r="H3400" i="2"/>
  <c r="H3398" i="2"/>
  <c r="H3395" i="2"/>
  <c r="H3389" i="2"/>
  <c r="H3386" i="2"/>
  <c r="H3384" i="2"/>
  <c r="H3375" i="2"/>
  <c r="H3374" i="2"/>
  <c r="H3371" i="2"/>
  <c r="H3370" i="2"/>
  <c r="H3365" i="2"/>
  <c r="H3363" i="2"/>
  <c r="H3359" i="2"/>
  <c r="H3358" i="2"/>
  <c r="H3354" i="2"/>
  <c r="H3353" i="2"/>
  <c r="H3351" i="2"/>
  <c r="H3346" i="2"/>
  <c r="H3343" i="2"/>
  <c r="H3341" i="2"/>
  <c r="H3337" i="2"/>
  <c r="H3332" i="2"/>
  <c r="H3329" i="2"/>
  <c r="H3328" i="2"/>
  <c r="H3325" i="2"/>
  <c r="H3322" i="2"/>
  <c r="H3320" i="2"/>
  <c r="H3307" i="2"/>
  <c r="H3306" i="2"/>
  <c r="H3303" i="2"/>
  <c r="H3287" i="2"/>
  <c r="H3281" i="2"/>
  <c r="H3276" i="2"/>
  <c r="H3274" i="2"/>
  <c r="H3272" i="2"/>
  <c r="H3267" i="2"/>
  <c r="H3263" i="2"/>
  <c r="H3262" i="2"/>
  <c r="H3261" i="2"/>
  <c r="H3256" i="2"/>
  <c r="H3255" i="2"/>
  <c r="H3243" i="2"/>
  <c r="H3232" i="2"/>
  <c r="H3231" i="2"/>
  <c r="H3227" i="2"/>
  <c r="H3220" i="2"/>
  <c r="H3219" i="2"/>
  <c r="H3218" i="2"/>
  <c r="H3217" i="2"/>
  <c r="H3213" i="2"/>
  <c r="H3210" i="2"/>
  <c r="H3206" i="2"/>
  <c r="H3205" i="2"/>
  <c r="H3204" i="2"/>
  <c r="H3202" i="2"/>
  <c r="H3198" i="2"/>
  <c r="H3170" i="2"/>
  <c r="H3156" i="2"/>
  <c r="H3148" i="2"/>
  <c r="H3145" i="2"/>
  <c r="H3142" i="2"/>
  <c r="H3140" i="2"/>
  <c r="H3139" i="2"/>
  <c r="H3138" i="2"/>
  <c r="H3136" i="2"/>
  <c r="H3132" i="2"/>
  <c r="H3131" i="2"/>
  <c r="H3129" i="2"/>
  <c r="H3109" i="2"/>
  <c r="H3108" i="2"/>
  <c r="H3104" i="2"/>
  <c r="H3103" i="2"/>
  <c r="H3092" i="2"/>
  <c r="H3089" i="2"/>
  <c r="H3088" i="2"/>
  <c r="H3072" i="2"/>
  <c r="H3069" i="2"/>
  <c r="H3060" i="2"/>
  <c r="H3051" i="2"/>
  <c r="H3049" i="2"/>
  <c r="H3036" i="2"/>
  <c r="H3032" i="2"/>
  <c r="H3026" i="2"/>
  <c r="H3023" i="2"/>
  <c r="H3022" i="2"/>
  <c r="H3013" i="2"/>
  <c r="H3012" i="2"/>
  <c r="H3007" i="2"/>
  <c r="H3001" i="2"/>
  <c r="H3000" i="2"/>
  <c r="H2973" i="2"/>
  <c r="H2960" i="2"/>
  <c r="H2957" i="2"/>
  <c r="H2956" i="2"/>
  <c r="H2950" i="2"/>
  <c r="H2944" i="2"/>
  <c r="H2941" i="2"/>
  <c r="H2936" i="2"/>
  <c r="H2933" i="2"/>
  <c r="H2921" i="2"/>
  <c r="H2920" i="2"/>
  <c r="H2919" i="2"/>
  <c r="H2911" i="2"/>
  <c r="H2899" i="2"/>
  <c r="H2894" i="2"/>
  <c r="H2886" i="2"/>
  <c r="H2883" i="2"/>
  <c r="H2881" i="2"/>
  <c r="H2874" i="2"/>
  <c r="H2864" i="2"/>
  <c r="H2860" i="2"/>
  <c r="H2859" i="2"/>
  <c r="H2858" i="2"/>
  <c r="H2855" i="2"/>
  <c r="H2853" i="2"/>
  <c r="H2841" i="2"/>
  <c r="H2833" i="2"/>
  <c r="H2827" i="2"/>
  <c r="H2825" i="2"/>
  <c r="H2824" i="2"/>
  <c r="H2819" i="2"/>
  <c r="H2817" i="2"/>
  <c r="H2815" i="2"/>
  <c r="H2791" i="2"/>
  <c r="H2787" i="2"/>
  <c r="H2785" i="2"/>
  <c r="H2782" i="2"/>
  <c r="H2781" i="2"/>
  <c r="H2780" i="2"/>
  <c r="H2779" i="2"/>
  <c r="H2771" i="2"/>
  <c r="H2761" i="2"/>
  <c r="H2758" i="2"/>
  <c r="H2751" i="2"/>
  <c r="H2734" i="2"/>
  <c r="H2728" i="2"/>
  <c r="H2716" i="2"/>
  <c r="H2712" i="2"/>
  <c r="H2711" i="2"/>
  <c r="H2709" i="2"/>
  <c r="H2705" i="2"/>
  <c r="H2699" i="2"/>
  <c r="H2698" i="2"/>
  <c r="H2694" i="2"/>
  <c r="H2693" i="2"/>
  <c r="H2690" i="2"/>
  <c r="H2686" i="2"/>
  <c r="H2682" i="2"/>
  <c r="H2678" i="2"/>
  <c r="H2677" i="2"/>
  <c r="H2673" i="2"/>
  <c r="H2670" i="2"/>
  <c r="H2669" i="2"/>
  <c r="H2667" i="2"/>
  <c r="H2663" i="2"/>
  <c r="H2659" i="2"/>
  <c r="H2657" i="2"/>
  <c r="H2655" i="2"/>
  <c r="H2654" i="2"/>
  <c r="H2651" i="2"/>
  <c r="H2649" i="2"/>
  <c r="H2644" i="2"/>
  <c r="H2638" i="2"/>
  <c r="H2632" i="2"/>
  <c r="H2607" i="2"/>
  <c r="H2604" i="2"/>
  <c r="H2600" i="2"/>
  <c r="H2597" i="2"/>
  <c r="H2593" i="2"/>
  <c r="H2592" i="2"/>
  <c r="H2590" i="2"/>
  <c r="H2584" i="2"/>
  <c r="H2581" i="2"/>
  <c r="H2580" i="2"/>
  <c r="H2572" i="2"/>
  <c r="H2566" i="2"/>
  <c r="H2565" i="2"/>
  <c r="H2562" i="2"/>
  <c r="H2547" i="2"/>
  <c r="H2546" i="2"/>
  <c r="H2544" i="2"/>
  <c r="H2542" i="2"/>
  <c r="H2537" i="2"/>
  <c r="H2530" i="2"/>
  <c r="H2528" i="2"/>
  <c r="H2521" i="2"/>
  <c r="H2517" i="2"/>
  <c r="H2510" i="2"/>
  <c r="H2501" i="2"/>
  <c r="H2500" i="2"/>
  <c r="H2497" i="2"/>
  <c r="H2490" i="2"/>
  <c r="H2480" i="2"/>
  <c r="H2479" i="2"/>
  <c r="H2471" i="2"/>
  <c r="H2467" i="2"/>
  <c r="H2466" i="2"/>
  <c r="H2463" i="2"/>
  <c r="H2459" i="2"/>
  <c r="H2456" i="2"/>
  <c r="H2447" i="2"/>
  <c r="H2444" i="2"/>
  <c r="H2443" i="2"/>
  <c r="H2434" i="2"/>
  <c r="H2420" i="2"/>
  <c r="H2419" i="2"/>
  <c r="H2418" i="2"/>
  <c r="H2416" i="2"/>
  <c r="H2415" i="2"/>
  <c r="H2406" i="2"/>
  <c r="H2404" i="2"/>
  <c r="H2398" i="2"/>
  <c r="H2386" i="2"/>
  <c r="H2378" i="2"/>
  <c r="H2377" i="2"/>
  <c r="H2376" i="2"/>
  <c r="H2374" i="2"/>
  <c r="H2362" i="2"/>
  <c r="H2361" i="2"/>
  <c r="H2356" i="2"/>
  <c r="H2345" i="2"/>
  <c r="H2340" i="2"/>
  <c r="H2334" i="2"/>
  <c r="H2331" i="2"/>
  <c r="H2329" i="2"/>
  <c r="H2319" i="2"/>
  <c r="H2312" i="2"/>
  <c r="H2298" i="2"/>
  <c r="H2291" i="2"/>
  <c r="H2286" i="2"/>
  <c r="H2285" i="2"/>
  <c r="H2284" i="2"/>
  <c r="H2283" i="2"/>
  <c r="H2282" i="2"/>
  <c r="H2276" i="2"/>
  <c r="H2274" i="2"/>
  <c r="H2259" i="2"/>
  <c r="H2255" i="2"/>
  <c r="H2251" i="2"/>
  <c r="H2247" i="2"/>
  <c r="H2231" i="2"/>
  <c r="H2229" i="2"/>
  <c r="H2228" i="2"/>
  <c r="H2227" i="2"/>
  <c r="H2212" i="2"/>
  <c r="H2204" i="2"/>
  <c r="H2203" i="2"/>
  <c r="H2201" i="2"/>
  <c r="H2199" i="2"/>
  <c r="H2183" i="2"/>
  <c r="H2173" i="2"/>
  <c r="H2172" i="2"/>
  <c r="H2169" i="2"/>
  <c r="H2162" i="2"/>
  <c r="H2156" i="2"/>
  <c r="H2153" i="2"/>
  <c r="H2147" i="2"/>
  <c r="H2136" i="2"/>
  <c r="H2135" i="2"/>
  <c r="H2132" i="2"/>
  <c r="H1881" i="2"/>
  <c r="H1873" i="2"/>
  <c r="H1872" i="2"/>
  <c r="H1871" i="2"/>
  <c r="H1868" i="2"/>
  <c r="H1857" i="2"/>
  <c r="H1844" i="2"/>
  <c r="H1726" i="2"/>
  <c r="H1724" i="2"/>
  <c r="H1723" i="2"/>
  <c r="H1710" i="2"/>
  <c r="H1706" i="2"/>
  <c r="H1705" i="2"/>
  <c r="H1704" i="2"/>
  <c r="H1703" i="2"/>
  <c r="H1692" i="2"/>
  <c r="H1684" i="2"/>
  <c r="H1683" i="2"/>
  <c r="H1677" i="2"/>
  <c r="H1676" i="2"/>
  <c r="H1669" i="2"/>
  <c r="H1666" i="2"/>
  <c r="H1660" i="2"/>
  <c r="H1632" i="2"/>
  <c r="H1628" i="2"/>
  <c r="H1624" i="2"/>
  <c r="H1619" i="2"/>
  <c r="H1618" i="2"/>
  <c r="H1612" i="2"/>
  <c r="H1611" i="2"/>
  <c r="H1610" i="2"/>
  <c r="H1257" i="2"/>
  <c r="H1256" i="2"/>
  <c r="H1255" i="2"/>
  <c r="H1254" i="2"/>
  <c r="H1248" i="2"/>
  <c r="H1244" i="2"/>
  <c r="H1233" i="2"/>
  <c r="H1228" i="2"/>
  <c r="H1226" i="2"/>
  <c r="H1221" i="2"/>
  <c r="H1220" i="2"/>
  <c r="H1216" i="2"/>
  <c r="H1215" i="2"/>
  <c r="H1214" i="2"/>
  <c r="H1207" i="2"/>
  <c r="H1206" i="2"/>
  <c r="H1204" i="2"/>
  <c r="H1203" i="2"/>
  <c r="H1200" i="2"/>
  <c r="H1179" i="2"/>
  <c r="H1160" i="2"/>
  <c r="H1156" i="2"/>
  <c r="H1152" i="2"/>
  <c r="H1150" i="2"/>
  <c r="H1148" i="2"/>
  <c r="H1146" i="2"/>
  <c r="H1144" i="2"/>
  <c r="H1138" i="2"/>
  <c r="H1127" i="2"/>
  <c r="H1123" i="2"/>
  <c r="H1120" i="2"/>
  <c r="H1117" i="2"/>
  <c r="H1115" i="2"/>
  <c r="H1105" i="2"/>
  <c r="H1102" i="2"/>
  <c r="H1101" i="2"/>
  <c r="H1096" i="2"/>
  <c r="H1095" i="2"/>
  <c r="H1093" i="2"/>
  <c r="H1091" i="2"/>
  <c r="H1071" i="2"/>
  <c r="H1070" i="2"/>
  <c r="H1067" i="2"/>
  <c r="H1066" i="2"/>
  <c r="H1054" i="2"/>
  <c r="H1052" i="2"/>
  <c r="H1045" i="2"/>
  <c r="H1030" i="2"/>
  <c r="H996" i="2"/>
  <c r="H993" i="2"/>
  <c r="H992" i="2"/>
  <c r="H989" i="2"/>
  <c r="H984" i="2"/>
  <c r="H983" i="2"/>
  <c r="H965" i="2"/>
  <c r="H948" i="2"/>
  <c r="H907" i="2"/>
  <c r="H899" i="2"/>
  <c r="H891" i="2"/>
  <c r="H888" i="2"/>
  <c r="H884" i="2"/>
  <c r="H875" i="2"/>
  <c r="H855" i="2"/>
  <c r="H853" i="2"/>
  <c r="H852" i="2"/>
  <c r="H825" i="2"/>
  <c r="H822" i="2"/>
  <c r="H821" i="2"/>
  <c r="H812" i="2"/>
  <c r="H796" i="2"/>
  <c r="H795" i="2"/>
  <c r="H794" i="2"/>
  <c r="H787" i="2"/>
  <c r="H780" i="2"/>
  <c r="H769" i="2"/>
  <c r="H731" i="2"/>
  <c r="H729" i="2"/>
  <c r="H728" i="2"/>
  <c r="H726" i="2"/>
  <c r="H724" i="2"/>
  <c r="H723" i="2"/>
  <c r="H719" i="2"/>
  <c r="H717" i="2"/>
  <c r="H715" i="2"/>
  <c r="H714" i="2"/>
  <c r="H707" i="2"/>
  <c r="H706" i="2"/>
  <c r="H705" i="2"/>
  <c r="H690" i="2"/>
  <c r="H689" i="2"/>
  <c r="H688" i="2"/>
  <c r="H685" i="2"/>
  <c r="H683" i="2"/>
  <c r="H681" i="2"/>
  <c r="H680" i="2"/>
  <c r="H674" i="2"/>
  <c r="H673" i="2"/>
  <c r="H671" i="2"/>
  <c r="H669" i="2"/>
  <c r="H667" i="2"/>
  <c r="H666" i="2"/>
  <c r="H661" i="2"/>
  <c r="H659" i="2"/>
  <c r="H657" i="2"/>
  <c r="H656" i="2"/>
  <c r="H655" i="2"/>
  <c r="H651" i="2"/>
  <c r="H649" i="2"/>
  <c r="H648" i="2"/>
  <c r="H643" i="2"/>
  <c r="H640" i="2"/>
  <c r="H636" i="2"/>
  <c r="H635" i="2"/>
  <c r="H634" i="2"/>
  <c r="H632" i="2"/>
  <c r="H626" i="2"/>
  <c r="H621" i="2"/>
  <c r="H600" i="2"/>
  <c r="H597" i="2"/>
  <c r="H596" i="2"/>
  <c r="H592" i="2"/>
  <c r="H590" i="2"/>
  <c r="H588" i="2"/>
  <c r="H583" i="2"/>
  <c r="H582" i="2"/>
  <c r="H566" i="2"/>
  <c r="H561" i="2"/>
  <c r="H557" i="2"/>
  <c r="H553" i="2"/>
  <c r="H545" i="2"/>
  <c r="H538" i="2"/>
  <c r="H522" i="2"/>
  <c r="H516" i="2"/>
  <c r="H515" i="2"/>
  <c r="H507" i="2"/>
  <c r="H499" i="2"/>
  <c r="H494" i="2"/>
  <c r="H472" i="2"/>
  <c r="H470" i="2"/>
  <c r="H467" i="2"/>
  <c r="H452" i="2"/>
  <c r="H431" i="2"/>
  <c r="H427" i="2"/>
  <c r="H425" i="2"/>
  <c r="H420" i="2"/>
  <c r="H416" i="2"/>
  <c r="H405" i="2"/>
  <c r="H399" i="2"/>
  <c r="H392" i="2"/>
  <c r="H388" i="2"/>
  <c r="H386" i="2"/>
  <c r="H385" i="2"/>
  <c r="H382" i="2"/>
  <c r="H360" i="2"/>
  <c r="H355" i="2"/>
  <c r="H353" i="2"/>
  <c r="H334" i="2"/>
  <c r="H329" i="2"/>
  <c r="H302" i="2"/>
  <c r="H295" i="2"/>
  <c r="H269" i="2"/>
  <c r="H246" i="2"/>
  <c r="H245" i="2"/>
  <c r="H241" i="2"/>
  <c r="H239" i="2"/>
  <c r="H237" i="2"/>
  <c r="H236" i="2"/>
  <c r="H234" i="2"/>
  <c r="H233" i="2"/>
  <c r="H222" i="2"/>
  <c r="H219" i="2"/>
  <c r="H215" i="2"/>
  <c r="H213" i="2"/>
  <c r="H210" i="2"/>
  <c r="H205" i="2"/>
  <c r="H200" i="2"/>
  <c r="H199" i="2"/>
  <c r="H196" i="2"/>
  <c r="H194" i="2"/>
  <c r="H193" i="2"/>
  <c r="H187" i="2"/>
  <c r="H181" i="2"/>
  <c r="H176" i="2"/>
  <c r="H175" i="2"/>
  <c r="H161" i="2"/>
  <c r="H154" i="2"/>
  <c r="H151" i="2"/>
  <c r="H150" i="2"/>
  <c r="H148" i="2"/>
  <c r="H147" i="2"/>
  <c r="H144" i="2"/>
  <c r="H143" i="2"/>
  <c r="H139" i="2"/>
  <c r="H138" i="2"/>
  <c r="H137" i="2"/>
  <c r="H133" i="2"/>
  <c r="H129" i="2"/>
  <c r="H112" i="2"/>
  <c r="H110" i="2"/>
  <c r="H108" i="2"/>
  <c r="H105" i="2"/>
  <c r="H100" i="2"/>
  <c r="H98" i="2"/>
  <c r="H94" i="2"/>
  <c r="H93" i="2"/>
  <c r="H92" i="2"/>
  <c r="H91" i="2"/>
  <c r="H88" i="2"/>
  <c r="H86" i="2"/>
  <c r="H82" i="2"/>
  <c r="H79" i="2"/>
  <c r="H74" i="2"/>
  <c r="H72" i="2"/>
  <c r="H64" i="2"/>
  <c r="H63" i="2"/>
  <c r="H53" i="2"/>
  <c r="H51" i="2"/>
  <c r="H50" i="2"/>
  <c r="H48" i="2"/>
  <c r="H44" i="2"/>
  <c r="H32" i="2"/>
  <c r="H29" i="2"/>
  <c r="H23" i="2"/>
  <c r="H20" i="2"/>
  <c r="H13" i="2"/>
  <c r="H12" i="2"/>
  <c r="H9" i="2"/>
  <c r="H8" i="2"/>
  <c r="H2" i="2"/>
  <c r="H3865" i="2"/>
  <c r="H3863" i="2"/>
  <c r="H3862" i="2"/>
  <c r="H3860" i="2"/>
  <c r="H3859" i="2"/>
  <c r="H3858" i="2"/>
  <c r="H3857" i="2"/>
  <c r="H3856" i="2"/>
  <c r="H3855" i="2"/>
  <c r="H3853" i="2"/>
  <c r="H3852" i="2"/>
  <c r="H3851" i="2"/>
  <c r="H3849" i="2"/>
  <c r="H3848" i="2"/>
  <c r="H3846" i="2"/>
  <c r="H3844" i="2"/>
  <c r="H3843" i="2"/>
  <c r="H3842" i="2"/>
  <c r="H3841" i="2"/>
  <c r="H3840" i="2"/>
  <c r="H3839" i="2"/>
  <c r="H3837" i="2"/>
  <c r="H3836" i="2"/>
  <c r="H3832" i="2"/>
  <c r="H3831" i="2"/>
  <c r="H3830" i="2"/>
  <c r="H3829" i="2"/>
  <c r="H3827" i="2"/>
  <c r="H3826" i="2"/>
  <c r="H3825" i="2"/>
  <c r="H3824" i="2"/>
  <c r="H3823" i="2"/>
  <c r="H3822" i="2"/>
  <c r="H3821" i="2"/>
  <c r="H3820" i="2"/>
  <c r="H3819" i="2"/>
  <c r="H3818" i="2"/>
  <c r="H3817" i="2"/>
  <c r="H3815" i="2"/>
  <c r="H3814" i="2"/>
  <c r="H3813" i="2"/>
  <c r="H3811" i="2"/>
  <c r="H3810" i="2"/>
  <c r="H3809" i="2"/>
  <c r="H3807" i="2"/>
  <c r="H3805" i="2"/>
  <c r="H3804" i="2"/>
  <c r="H3803" i="2"/>
  <c r="H3802" i="2"/>
  <c r="H3799" i="2"/>
  <c r="H3798" i="2"/>
  <c r="H3797" i="2"/>
  <c r="H3796" i="2"/>
  <c r="H3794" i="2"/>
  <c r="H3793" i="2"/>
  <c r="H3792" i="2"/>
  <c r="H3791" i="2"/>
  <c r="H3790" i="2"/>
  <c r="H3789" i="2"/>
  <c r="H3788" i="2"/>
  <c r="H3786" i="2"/>
  <c r="H3784" i="2"/>
  <c r="H3783" i="2"/>
  <c r="H3781" i="2"/>
  <c r="H3780" i="2"/>
  <c r="H3779" i="2"/>
  <c r="H3778" i="2"/>
  <c r="H3777" i="2"/>
  <c r="H3774" i="2"/>
  <c r="H3772" i="2"/>
  <c r="H3770" i="2"/>
  <c r="H3769" i="2"/>
  <c r="H3767" i="2"/>
  <c r="H3766" i="2"/>
  <c r="H3764" i="2"/>
  <c r="H3763" i="2"/>
  <c r="H3762" i="2"/>
  <c r="H3761" i="2"/>
  <c r="H3760" i="2"/>
  <c r="H3758" i="2"/>
  <c r="H3757" i="2"/>
  <c r="H3756" i="2"/>
  <c r="H3755" i="2"/>
  <c r="H3754" i="2"/>
  <c r="H3750" i="2"/>
  <c r="H3749" i="2"/>
  <c r="H3748" i="2"/>
  <c r="H3747" i="2"/>
  <c r="H3746" i="2"/>
  <c r="H3740" i="2"/>
  <c r="H3738" i="2"/>
  <c r="H3737" i="2"/>
  <c r="H3736" i="2"/>
  <c r="H3735" i="2"/>
  <c r="H3734" i="2"/>
  <c r="H3733" i="2"/>
  <c r="H3732" i="2"/>
  <c r="H3731" i="2"/>
  <c r="H3730" i="2"/>
  <c r="H3729" i="2"/>
  <c r="H3728" i="2"/>
  <c r="H3726" i="2"/>
  <c r="H3724" i="2"/>
  <c r="H3722" i="2"/>
  <c r="H3721" i="2"/>
  <c r="H3720" i="2"/>
  <c r="H3719" i="2"/>
  <c r="H3718" i="2"/>
  <c r="H3717" i="2"/>
  <c r="H3716" i="2"/>
  <c r="H3715" i="2"/>
  <c r="H3714" i="2"/>
  <c r="H3713" i="2"/>
  <c r="H3712" i="2"/>
  <c r="H3711" i="2"/>
  <c r="H3710" i="2"/>
  <c r="H3709" i="2"/>
  <c r="H3707" i="2"/>
  <c r="H3706" i="2"/>
  <c r="H3705" i="2"/>
  <c r="H3702" i="2"/>
  <c r="H3701" i="2"/>
  <c r="H3700" i="2"/>
  <c r="H3699" i="2"/>
  <c r="H3698" i="2"/>
  <c r="H3695" i="2"/>
  <c r="H3693" i="2"/>
  <c r="H3692" i="2"/>
  <c r="H3690" i="2"/>
  <c r="H3689" i="2"/>
  <c r="H3688" i="2"/>
  <c r="H3687" i="2"/>
  <c r="H3685" i="2"/>
  <c r="H3684" i="2"/>
  <c r="H3683" i="2"/>
  <c r="H3682" i="2"/>
  <c r="H3681" i="2"/>
  <c r="H3679" i="2"/>
  <c r="H3678" i="2"/>
  <c r="H3677" i="2"/>
  <c r="H3675" i="2"/>
  <c r="H3674" i="2"/>
  <c r="H3673" i="2"/>
  <c r="H3672" i="2"/>
  <c r="H3671" i="2"/>
  <c r="H3670" i="2"/>
  <c r="H3669" i="2"/>
  <c r="H3668" i="2"/>
  <c r="H3665" i="2"/>
  <c r="H3664" i="2"/>
  <c r="H3663" i="2"/>
  <c r="H3662" i="2"/>
  <c r="H3660" i="2"/>
  <c r="H3659" i="2"/>
  <c r="H3658" i="2"/>
  <c r="H3657" i="2"/>
  <c r="H3656" i="2"/>
  <c r="H3655" i="2"/>
  <c r="H3654" i="2"/>
  <c r="H3653" i="2"/>
  <c r="H3652" i="2"/>
  <c r="H3651" i="2"/>
  <c r="H3650" i="2"/>
  <c r="H3649" i="2"/>
  <c r="H3648" i="2"/>
  <c r="H3647" i="2"/>
  <c r="H3645" i="2"/>
  <c r="H3643" i="2"/>
  <c r="H3642" i="2"/>
  <c r="H3641" i="2"/>
  <c r="H3640" i="2"/>
  <c r="H3639" i="2"/>
  <c r="H3638" i="2"/>
  <c r="H3637" i="2"/>
  <c r="H3636" i="2"/>
  <c r="H3635" i="2"/>
  <c r="H3633" i="2"/>
  <c r="H3631" i="2"/>
  <c r="H3630" i="2"/>
  <c r="H3629" i="2"/>
  <c r="H3628" i="2"/>
  <c r="H3627" i="2"/>
  <c r="H3626" i="2"/>
  <c r="H3625" i="2"/>
  <c r="H3624" i="2"/>
  <c r="H3623" i="2"/>
  <c r="H3622" i="2"/>
  <c r="H3621" i="2"/>
  <c r="H3619" i="2"/>
  <c r="H3618" i="2"/>
  <c r="H3617" i="2"/>
  <c r="H3615" i="2"/>
  <c r="H3614" i="2"/>
  <c r="H3612" i="2"/>
  <c r="H3609" i="2"/>
  <c r="H3608" i="2"/>
  <c r="H3607" i="2"/>
  <c r="H3606" i="2"/>
  <c r="H3605" i="2"/>
  <c r="H3604" i="2"/>
  <c r="H3602" i="2"/>
  <c r="H3600" i="2"/>
  <c r="H3599" i="2"/>
  <c r="H3598" i="2"/>
  <c r="H3597" i="2"/>
  <c r="H3596" i="2"/>
  <c r="H3595" i="2"/>
  <c r="H3594" i="2"/>
  <c r="H3593" i="2"/>
  <c r="H3592" i="2"/>
  <c r="H3591" i="2"/>
  <c r="H3588" i="2"/>
  <c r="H3587" i="2"/>
  <c r="H3586" i="2"/>
  <c r="H3585" i="2"/>
  <c r="H3584" i="2"/>
  <c r="H3582" i="2"/>
  <c r="H3581" i="2"/>
  <c r="H3580" i="2"/>
  <c r="H3579" i="2"/>
  <c r="H3575" i="2"/>
  <c r="H3574" i="2"/>
  <c r="H3573" i="2"/>
  <c r="H3572" i="2"/>
  <c r="H3570" i="2"/>
  <c r="H3569" i="2"/>
  <c r="H3568" i="2"/>
  <c r="H3567" i="2"/>
  <c r="H3565" i="2"/>
  <c r="H3564" i="2"/>
  <c r="H3563" i="2"/>
  <c r="H3562" i="2"/>
  <c r="H3561" i="2"/>
  <c r="H3560" i="2"/>
  <c r="H3559" i="2"/>
  <c r="H3558" i="2"/>
  <c r="H3557" i="2"/>
  <c r="H3554" i="2"/>
  <c r="H3553" i="2"/>
  <c r="H3551" i="2"/>
  <c r="H3550" i="2"/>
  <c r="H3547" i="2"/>
  <c r="H3546" i="2"/>
  <c r="H3545" i="2"/>
  <c r="H3543" i="2"/>
  <c r="H3542" i="2"/>
  <c r="H3541" i="2"/>
  <c r="H3540" i="2"/>
  <c r="H3539" i="2"/>
  <c r="H3538" i="2"/>
  <c r="H3537" i="2"/>
  <c r="H3536" i="2"/>
  <c r="H3535" i="2"/>
  <c r="H3534" i="2"/>
  <c r="H3533" i="2"/>
  <c r="H3531" i="2"/>
  <c r="H3530" i="2"/>
  <c r="H3529" i="2"/>
  <c r="H3527" i="2"/>
  <c r="H3524" i="2"/>
  <c r="H3523" i="2"/>
  <c r="H3522" i="2"/>
  <c r="H3521" i="2"/>
  <c r="H3520" i="2"/>
  <c r="H3518" i="2"/>
  <c r="H3516" i="2"/>
  <c r="H3515" i="2"/>
  <c r="H3513" i="2"/>
  <c r="H3512" i="2"/>
  <c r="H3511" i="2"/>
  <c r="H3510" i="2"/>
  <c r="H3509" i="2"/>
  <c r="H3507" i="2"/>
  <c r="H3506" i="2"/>
  <c r="H3505" i="2"/>
  <c r="H3503" i="2"/>
  <c r="H3502" i="2"/>
  <c r="H3501" i="2"/>
  <c r="H3499" i="2"/>
  <c r="H3498" i="2"/>
  <c r="H3497" i="2"/>
  <c r="H3496" i="2"/>
  <c r="H3495" i="2"/>
  <c r="H3494" i="2"/>
  <c r="H3493" i="2"/>
  <c r="H3492" i="2"/>
  <c r="H3491" i="2"/>
  <c r="H3490" i="2"/>
  <c r="H3489" i="2"/>
  <c r="H3487" i="2"/>
  <c r="H3486" i="2"/>
  <c r="H3485" i="2"/>
  <c r="H3484" i="2"/>
  <c r="H3483" i="2"/>
  <c r="H3480" i="2"/>
  <c r="H3479" i="2"/>
  <c r="H3477" i="2"/>
  <c r="H3476" i="2"/>
  <c r="H3475" i="2"/>
  <c r="H3474" i="2"/>
  <c r="H3473" i="2"/>
  <c r="H3472" i="2"/>
  <c r="H3471" i="2"/>
  <c r="H3469" i="2"/>
  <c r="H3468" i="2"/>
  <c r="H3467" i="2"/>
  <c r="H3465" i="2"/>
  <c r="H3464" i="2"/>
  <c r="H3463" i="2"/>
  <c r="H3462" i="2"/>
  <c r="H3461" i="2"/>
  <c r="H3458" i="2"/>
  <c r="H3457" i="2"/>
  <c r="H3456" i="2"/>
  <c r="H3455" i="2"/>
  <c r="H3453" i="2"/>
  <c r="H3452" i="2"/>
  <c r="H3450" i="2"/>
  <c r="H3449" i="2"/>
  <c r="H3448" i="2"/>
  <c r="H3447" i="2"/>
  <c r="H3446" i="2"/>
  <c r="H3443" i="2"/>
  <c r="H3442" i="2"/>
  <c r="H3441" i="2"/>
  <c r="H3440" i="2"/>
  <c r="H3439" i="2"/>
  <c r="H3438" i="2"/>
  <c r="H3437" i="2"/>
  <c r="H3436" i="2"/>
  <c r="H3435" i="2"/>
  <c r="H3433" i="2"/>
  <c r="H3431" i="2"/>
  <c r="H3430" i="2"/>
  <c r="H3429" i="2"/>
  <c r="H3428" i="2"/>
  <c r="H3427" i="2"/>
  <c r="H3426" i="2"/>
  <c r="H3425" i="2"/>
  <c r="H3422" i="2"/>
  <c r="H3421" i="2"/>
  <c r="H3420" i="2"/>
  <c r="H3419" i="2"/>
  <c r="H3418" i="2"/>
  <c r="H3417" i="2"/>
  <c r="H3416" i="2"/>
  <c r="H3415" i="2"/>
  <c r="H3413" i="2"/>
  <c r="H3411" i="2"/>
  <c r="H3410" i="2"/>
  <c r="H3409" i="2"/>
  <c r="H3405" i="2"/>
  <c r="H3404" i="2"/>
  <c r="H3403" i="2"/>
  <c r="H3402" i="2"/>
  <c r="H3401" i="2"/>
  <c r="H3399" i="2"/>
  <c r="H3397" i="2"/>
  <c r="H3396" i="2"/>
  <c r="H3394" i="2"/>
  <c r="H3393" i="2"/>
  <c r="H3392" i="2"/>
  <c r="H3391" i="2"/>
  <c r="H3390" i="2"/>
  <c r="H3388" i="2"/>
  <c r="H3387" i="2"/>
  <c r="H3385" i="2"/>
  <c r="H3383" i="2"/>
  <c r="H3382" i="2"/>
  <c r="H3381" i="2"/>
  <c r="H3380" i="2"/>
  <c r="H3379" i="2"/>
  <c r="H3378" i="2"/>
  <c r="H3377" i="2"/>
  <c r="H3376" i="2"/>
  <c r="H3373" i="2"/>
  <c r="H3372" i="2"/>
  <c r="H3369" i="2"/>
  <c r="H3368" i="2"/>
  <c r="H3367" i="2"/>
  <c r="H3366" i="2"/>
  <c r="H3364" i="2"/>
  <c r="H3362" i="2"/>
  <c r="H3361" i="2"/>
  <c r="H3360" i="2"/>
  <c r="H3357" i="2"/>
  <c r="H3356" i="2"/>
  <c r="H3355" i="2"/>
  <c r="H3352" i="2"/>
  <c r="H3350" i="2"/>
  <c r="H3349" i="2"/>
  <c r="H3348" i="2"/>
  <c r="H3347" i="2"/>
  <c r="H3345" i="2"/>
  <c r="H3344" i="2"/>
  <c r="H3342" i="2"/>
  <c r="H3340" i="2"/>
  <c r="H3339" i="2"/>
  <c r="H3338" i="2"/>
  <c r="H3336" i="2"/>
  <c r="H3335" i="2"/>
  <c r="H3334" i="2"/>
  <c r="H3333" i="2"/>
  <c r="H3331" i="2"/>
  <c r="H3330" i="2"/>
  <c r="H3327" i="2"/>
  <c r="H3326" i="2"/>
  <c r="H3324" i="2"/>
  <c r="H3323" i="2"/>
  <c r="H3321" i="2"/>
  <c r="H3319" i="2"/>
  <c r="H3318" i="2"/>
  <c r="H3317" i="2"/>
  <c r="H3316" i="2"/>
  <c r="H3315" i="2"/>
  <c r="H3314" i="2"/>
  <c r="H3313" i="2"/>
  <c r="H3312" i="2"/>
  <c r="H3311" i="2"/>
  <c r="H3310" i="2"/>
  <c r="H3309" i="2"/>
  <c r="H3308" i="2"/>
  <c r="H3305" i="2"/>
  <c r="H3304" i="2"/>
  <c r="H3302" i="2"/>
  <c r="H3301" i="2"/>
  <c r="H3300" i="2"/>
  <c r="H3299" i="2"/>
  <c r="H3298" i="2"/>
  <c r="H3297" i="2"/>
  <c r="H3296" i="2"/>
  <c r="H3295" i="2"/>
  <c r="H3294" i="2"/>
  <c r="H3293" i="2"/>
  <c r="H3292" i="2"/>
  <c r="H3291" i="2"/>
  <c r="H3290" i="2"/>
  <c r="H3289" i="2"/>
  <c r="H3288" i="2"/>
  <c r="H3286" i="2"/>
  <c r="H3285" i="2"/>
  <c r="H3284" i="2"/>
  <c r="H3283" i="2"/>
  <c r="H3282" i="2"/>
  <c r="H3280" i="2"/>
  <c r="H3279" i="2"/>
  <c r="H3278" i="2"/>
  <c r="H3277" i="2"/>
  <c r="H3275" i="2"/>
  <c r="H3273" i="2"/>
  <c r="H3271" i="2"/>
  <c r="H3270" i="2"/>
  <c r="H3269" i="2"/>
  <c r="H3268" i="2"/>
  <c r="H3266" i="2"/>
  <c r="H3265" i="2"/>
  <c r="H3264" i="2"/>
  <c r="H3260" i="2"/>
  <c r="H3259" i="2"/>
  <c r="H3258" i="2"/>
  <c r="H3257" i="2"/>
  <c r="H3254" i="2"/>
  <c r="H3253" i="2"/>
  <c r="H3252" i="2"/>
  <c r="H3251" i="2"/>
  <c r="H3250" i="2"/>
  <c r="H3249" i="2"/>
  <c r="H3248" i="2"/>
  <c r="H3247" i="2"/>
  <c r="H3246" i="2"/>
  <c r="H3245" i="2"/>
  <c r="H3244" i="2"/>
  <c r="H3242" i="2"/>
  <c r="H3241" i="2"/>
  <c r="H3240" i="2"/>
  <c r="H3239" i="2"/>
  <c r="H3238" i="2"/>
  <c r="H3237" i="2"/>
  <c r="H3236" i="2"/>
  <c r="H3235" i="2"/>
  <c r="H3234" i="2"/>
  <c r="H3233" i="2"/>
  <c r="H3230" i="2"/>
  <c r="H3229" i="2"/>
  <c r="H3228" i="2"/>
  <c r="H3226" i="2"/>
  <c r="H3225" i="2"/>
  <c r="H3224" i="2"/>
  <c r="H3223" i="2"/>
  <c r="H3222" i="2"/>
  <c r="H3221" i="2"/>
  <c r="H3216" i="2"/>
  <c r="H3215" i="2"/>
  <c r="H3214" i="2"/>
  <c r="H3212" i="2"/>
  <c r="H3211" i="2"/>
  <c r="H3209" i="2"/>
  <c r="H3208" i="2"/>
  <c r="H3207" i="2"/>
  <c r="H3203" i="2"/>
  <c r="H3201" i="2"/>
  <c r="H3200" i="2"/>
  <c r="H3199" i="2"/>
  <c r="H3197" i="2"/>
  <c r="H3196" i="2"/>
  <c r="H3195" i="2"/>
  <c r="H3194" i="2"/>
  <c r="H3193" i="2"/>
  <c r="H3192" i="2"/>
  <c r="H3191" i="2"/>
  <c r="H3190" i="2"/>
  <c r="H3189" i="2"/>
  <c r="H3188" i="2"/>
  <c r="H3187" i="2"/>
  <c r="H3186" i="2"/>
  <c r="H3185" i="2"/>
  <c r="H3184" i="2"/>
  <c r="H3183" i="2"/>
  <c r="H3182" i="2"/>
  <c r="H3181" i="2"/>
  <c r="H3180" i="2"/>
  <c r="H3179" i="2"/>
  <c r="H3178" i="2"/>
  <c r="H3177" i="2"/>
  <c r="H3176" i="2"/>
  <c r="H3175" i="2"/>
  <c r="H3174" i="2"/>
  <c r="H3173" i="2"/>
  <c r="H3172" i="2"/>
  <c r="H3171" i="2"/>
  <c r="H3169" i="2"/>
  <c r="H3168" i="2"/>
  <c r="H3167" i="2"/>
  <c r="H3166" i="2"/>
  <c r="H3165" i="2"/>
  <c r="H3164" i="2"/>
  <c r="H3163" i="2"/>
  <c r="H3162" i="2"/>
  <c r="H3161" i="2"/>
  <c r="H3160" i="2"/>
  <c r="H3159" i="2"/>
  <c r="H3158" i="2"/>
  <c r="H3157" i="2"/>
  <c r="H3155" i="2"/>
  <c r="H3154" i="2"/>
  <c r="H3153" i="2"/>
  <c r="H3152" i="2"/>
  <c r="H3151" i="2"/>
  <c r="H3150" i="2"/>
  <c r="H3149" i="2"/>
  <c r="H3147" i="2"/>
  <c r="H3146" i="2"/>
  <c r="H3144" i="2"/>
  <c r="H3143" i="2"/>
  <c r="H3141" i="2"/>
  <c r="H3137" i="2"/>
  <c r="H3135" i="2"/>
  <c r="H3134" i="2"/>
  <c r="H3133" i="2"/>
  <c r="H3130" i="2"/>
  <c r="H3128" i="2"/>
  <c r="H3127" i="2"/>
  <c r="H3126" i="2"/>
  <c r="H3125" i="2"/>
  <c r="H3124" i="2"/>
  <c r="H3123" i="2"/>
  <c r="H3122" i="2"/>
  <c r="H3121" i="2"/>
  <c r="H3120" i="2"/>
  <c r="H3119" i="2"/>
  <c r="H3118" i="2"/>
  <c r="H3117" i="2"/>
  <c r="H3116" i="2"/>
  <c r="H3115" i="2"/>
  <c r="H3114" i="2"/>
  <c r="H3113" i="2"/>
  <c r="H3112" i="2"/>
  <c r="H3111" i="2"/>
  <c r="H3110" i="2"/>
  <c r="H3107" i="2"/>
  <c r="H3106" i="2"/>
  <c r="H3105" i="2"/>
  <c r="H3102" i="2"/>
  <c r="H3101" i="2"/>
  <c r="H3100" i="2"/>
  <c r="H3099" i="2"/>
  <c r="H3098" i="2"/>
  <c r="H3097" i="2"/>
  <c r="H3096" i="2"/>
  <c r="H3095" i="2"/>
  <c r="H3094" i="2"/>
  <c r="H3093" i="2"/>
  <c r="H3091" i="2"/>
  <c r="H3090" i="2"/>
  <c r="H3087" i="2"/>
  <c r="H3086" i="2"/>
  <c r="H3085" i="2"/>
  <c r="H3084" i="2"/>
  <c r="H3083" i="2"/>
  <c r="H3082" i="2"/>
  <c r="H3081" i="2"/>
  <c r="H3080" i="2"/>
  <c r="H3079" i="2"/>
  <c r="H3078" i="2"/>
  <c r="H3077" i="2"/>
  <c r="H3076" i="2"/>
  <c r="H3075" i="2"/>
  <c r="H3074" i="2"/>
  <c r="H3073" i="2"/>
  <c r="H3071" i="2"/>
  <c r="H3070" i="2"/>
  <c r="H3068" i="2"/>
  <c r="H3067" i="2"/>
  <c r="H3066" i="2"/>
  <c r="H3065" i="2"/>
  <c r="H3064" i="2"/>
  <c r="H3063" i="2"/>
  <c r="H3062" i="2"/>
  <c r="H3061" i="2"/>
  <c r="H3059" i="2"/>
  <c r="H3058" i="2"/>
  <c r="H3057" i="2"/>
  <c r="H3056" i="2"/>
  <c r="H3055" i="2"/>
  <c r="H3054" i="2"/>
  <c r="H3053" i="2"/>
  <c r="H3052" i="2"/>
  <c r="H3050" i="2"/>
  <c r="H3048" i="2"/>
  <c r="H3047" i="2"/>
  <c r="H3046" i="2"/>
  <c r="H3045" i="2"/>
  <c r="H3044" i="2"/>
  <c r="H3043" i="2"/>
  <c r="H3042" i="2"/>
  <c r="H3041" i="2"/>
  <c r="H3040" i="2"/>
  <c r="H3039" i="2"/>
  <c r="H3038" i="2"/>
  <c r="H3037" i="2"/>
  <c r="H3035" i="2"/>
  <c r="H3034" i="2"/>
  <c r="H3033" i="2"/>
  <c r="H3031" i="2"/>
  <c r="H3030" i="2"/>
  <c r="H3029" i="2"/>
  <c r="H3028" i="2"/>
  <c r="H3027" i="2"/>
  <c r="H3025" i="2"/>
  <c r="H3024" i="2"/>
  <c r="H3021" i="2"/>
  <c r="H3020" i="2"/>
  <c r="H3019" i="2"/>
  <c r="H3018" i="2"/>
  <c r="H3017" i="2"/>
  <c r="H3016" i="2"/>
  <c r="H3015" i="2"/>
  <c r="H3014" i="2"/>
  <c r="H3011" i="2"/>
  <c r="H3010" i="2"/>
  <c r="H3009" i="2"/>
  <c r="H3008" i="2"/>
  <c r="H3006" i="2"/>
  <c r="H3005" i="2"/>
  <c r="H3004" i="2"/>
  <c r="H3003" i="2"/>
  <c r="H3002" i="2"/>
  <c r="H2999" i="2"/>
  <c r="H2998" i="2"/>
  <c r="H2997" i="2"/>
  <c r="H2996" i="2"/>
  <c r="H2995" i="2"/>
  <c r="H2994" i="2"/>
  <c r="H2993" i="2"/>
  <c r="H2992" i="2"/>
  <c r="H2991" i="2"/>
  <c r="H2990" i="2"/>
  <c r="H2989" i="2"/>
  <c r="H2988" i="2"/>
  <c r="H2987" i="2"/>
  <c r="H2986" i="2"/>
  <c r="H2985" i="2"/>
  <c r="H2984" i="2"/>
  <c r="H2983" i="2"/>
  <c r="H2982" i="2"/>
  <c r="H2981" i="2"/>
  <c r="H2980" i="2"/>
  <c r="H2979" i="2"/>
  <c r="H2978" i="2"/>
  <c r="H2977" i="2"/>
  <c r="H2976" i="2"/>
  <c r="H2975" i="2"/>
  <c r="H2974" i="2"/>
  <c r="H2972" i="2"/>
  <c r="H2971" i="2"/>
  <c r="H2970" i="2"/>
  <c r="H2969" i="2"/>
  <c r="H2968" i="2"/>
  <c r="H2967" i="2"/>
  <c r="H2966" i="2"/>
  <c r="H2965" i="2"/>
  <c r="H2964" i="2"/>
  <c r="H2963" i="2"/>
  <c r="H2962" i="2"/>
  <c r="H2961" i="2"/>
  <c r="H2959" i="2"/>
  <c r="H2958" i="2"/>
  <c r="H2955" i="2"/>
  <c r="H2954" i="2"/>
  <c r="H2953" i="2"/>
  <c r="H2952" i="2"/>
  <c r="H2951" i="2"/>
  <c r="H2949" i="2"/>
  <c r="H2948" i="2"/>
  <c r="H2947" i="2"/>
  <c r="H2946" i="2"/>
  <c r="H2945" i="2"/>
  <c r="H2943" i="2"/>
  <c r="H2942" i="2"/>
  <c r="H2940" i="2"/>
  <c r="H2939" i="2"/>
  <c r="H2938" i="2"/>
  <c r="H2937" i="2"/>
  <c r="H2935" i="2"/>
  <c r="H2934" i="2"/>
  <c r="H2932" i="2"/>
  <c r="H2931" i="2"/>
  <c r="H2930" i="2"/>
  <c r="H2929" i="2"/>
  <c r="H2928" i="2"/>
  <c r="H2927" i="2"/>
  <c r="H2926" i="2"/>
  <c r="H2925" i="2"/>
  <c r="H2924" i="2"/>
  <c r="H2923" i="2"/>
  <c r="H2922" i="2"/>
  <c r="H2918" i="2"/>
  <c r="H2917" i="2"/>
  <c r="H2916" i="2"/>
  <c r="H2915" i="2"/>
  <c r="H2914" i="2"/>
  <c r="H2913" i="2"/>
  <c r="H2912" i="2"/>
  <c r="H2910" i="2"/>
  <c r="H2909" i="2"/>
  <c r="H2908" i="2"/>
  <c r="H2907" i="2"/>
  <c r="H2906" i="2"/>
  <c r="H2905" i="2"/>
  <c r="H2904" i="2"/>
  <c r="H2903" i="2"/>
  <c r="H2902" i="2"/>
  <c r="H2901" i="2"/>
  <c r="H2900" i="2"/>
  <c r="H2898" i="2"/>
  <c r="H2897" i="2"/>
  <c r="H2896" i="2"/>
  <c r="H2895" i="2"/>
  <c r="H2893" i="2"/>
  <c r="H2892" i="2"/>
  <c r="H2891" i="2"/>
  <c r="H2890" i="2"/>
  <c r="H2889" i="2"/>
  <c r="H2888" i="2"/>
  <c r="H2887" i="2"/>
  <c r="H2885" i="2"/>
  <c r="H2884" i="2"/>
  <c r="H2882" i="2"/>
  <c r="H2880" i="2"/>
  <c r="H2879" i="2"/>
  <c r="H2878" i="2"/>
  <c r="H2877" i="2"/>
  <c r="H2876" i="2"/>
  <c r="H2875" i="2"/>
  <c r="H2873" i="2"/>
  <c r="H2872" i="2"/>
  <c r="H2871" i="2"/>
  <c r="H2870" i="2"/>
  <c r="H2869" i="2"/>
  <c r="H2868" i="2"/>
  <c r="H2867" i="2"/>
  <c r="H2866" i="2"/>
  <c r="H2865" i="2"/>
  <c r="H2863" i="2"/>
  <c r="H2862" i="2"/>
  <c r="H2861" i="2"/>
  <c r="H2857" i="2"/>
  <c r="H2856" i="2"/>
  <c r="H2854" i="2"/>
  <c r="H2852" i="2"/>
  <c r="H2851" i="2"/>
  <c r="H2850" i="2"/>
  <c r="H2849" i="2"/>
  <c r="H2848" i="2"/>
  <c r="H2847" i="2"/>
  <c r="H2846" i="2"/>
  <c r="H2845" i="2"/>
  <c r="H2844" i="2"/>
  <c r="H2843" i="2"/>
  <c r="H2842" i="2"/>
  <c r="H2840" i="2"/>
  <c r="H2839" i="2"/>
  <c r="H2838" i="2"/>
  <c r="H2837" i="2"/>
  <c r="H2836" i="2"/>
  <c r="H2835" i="2"/>
  <c r="H2834" i="2"/>
  <c r="H2832" i="2"/>
  <c r="H2831" i="2"/>
  <c r="H2830" i="2"/>
  <c r="H2829" i="2"/>
  <c r="H2828" i="2"/>
  <c r="H2826" i="2"/>
  <c r="H2823" i="2"/>
  <c r="H2822" i="2"/>
  <c r="H2821" i="2"/>
  <c r="H2820" i="2"/>
  <c r="H2818" i="2"/>
  <c r="H2816" i="2"/>
  <c r="H2814" i="2"/>
  <c r="H2813" i="2"/>
  <c r="H2812" i="2"/>
  <c r="H2811" i="2"/>
  <c r="H2810" i="2"/>
  <c r="H2809" i="2"/>
  <c r="H2808" i="2"/>
  <c r="H2807" i="2"/>
  <c r="H2806" i="2"/>
  <c r="H2805" i="2"/>
  <c r="H2804" i="2"/>
  <c r="H2803" i="2"/>
  <c r="H2802" i="2"/>
  <c r="H2801" i="2"/>
  <c r="H2800" i="2"/>
  <c r="H2799" i="2"/>
  <c r="H2798" i="2"/>
  <c r="H2797" i="2"/>
  <c r="H2796" i="2"/>
  <c r="H2795" i="2"/>
  <c r="H2794" i="2"/>
  <c r="H2793" i="2"/>
  <c r="H2792" i="2"/>
  <c r="H2790" i="2"/>
  <c r="H2789" i="2"/>
  <c r="H2788" i="2"/>
  <c r="H2786" i="2"/>
  <c r="H2784" i="2"/>
  <c r="H2783" i="2"/>
  <c r="H2778" i="2"/>
  <c r="H2777" i="2"/>
  <c r="H2776" i="2"/>
  <c r="H2775" i="2"/>
  <c r="H2774" i="2"/>
  <c r="H2773" i="2"/>
  <c r="H2772" i="2"/>
  <c r="H2770" i="2"/>
  <c r="H2769" i="2"/>
  <c r="H2768" i="2"/>
  <c r="H2767" i="2"/>
  <c r="H2766" i="2"/>
  <c r="H2765" i="2"/>
  <c r="H2764" i="2"/>
  <c r="H2763" i="2"/>
  <c r="H2762" i="2"/>
  <c r="H2760" i="2"/>
  <c r="H2759" i="2"/>
  <c r="H2757" i="2"/>
  <c r="H2756" i="2"/>
  <c r="H2755" i="2"/>
  <c r="H2754" i="2"/>
  <c r="H2753" i="2"/>
  <c r="H2752" i="2"/>
  <c r="H2750" i="2"/>
  <c r="H2749" i="2"/>
  <c r="H2748" i="2"/>
  <c r="H2747" i="2"/>
  <c r="H2746" i="2"/>
  <c r="H2745" i="2"/>
  <c r="H2744" i="2"/>
  <c r="H2743" i="2"/>
  <c r="H2742" i="2"/>
  <c r="H2741" i="2"/>
  <c r="H2740" i="2"/>
  <c r="H2739" i="2"/>
  <c r="H2738" i="2"/>
  <c r="H2737" i="2"/>
  <c r="H2736" i="2"/>
  <c r="H2735" i="2"/>
  <c r="H2733" i="2"/>
  <c r="H2732" i="2"/>
  <c r="H2731" i="2"/>
  <c r="H2730" i="2"/>
  <c r="H2729" i="2"/>
  <c r="H2727" i="2"/>
  <c r="H2726" i="2"/>
  <c r="H2725" i="2"/>
  <c r="H2724" i="2"/>
  <c r="H2723" i="2"/>
  <c r="H2722" i="2"/>
  <c r="H2721" i="2"/>
  <c r="H2720" i="2"/>
  <c r="H2719" i="2"/>
  <c r="H2718" i="2"/>
  <c r="H2717" i="2"/>
  <c r="H2715" i="2"/>
  <c r="H2714" i="2"/>
  <c r="H2713" i="2"/>
  <c r="H2710" i="2"/>
  <c r="H2708" i="2"/>
  <c r="H2707" i="2"/>
  <c r="H2706" i="2"/>
  <c r="H2704" i="2"/>
  <c r="H2703" i="2"/>
  <c r="H2702" i="2"/>
  <c r="H2701" i="2"/>
  <c r="H2700" i="2"/>
  <c r="H2697" i="2"/>
  <c r="H2696" i="2"/>
  <c r="H2695" i="2"/>
  <c r="H2692" i="2"/>
  <c r="H2691" i="2"/>
  <c r="H2689" i="2"/>
  <c r="H2688" i="2"/>
  <c r="H2687" i="2"/>
  <c r="H2685" i="2"/>
  <c r="H2684" i="2"/>
  <c r="H2683" i="2"/>
  <c r="H2681" i="2"/>
  <c r="H2680" i="2"/>
  <c r="H2679" i="2"/>
  <c r="H2676" i="2"/>
  <c r="H2675" i="2"/>
  <c r="H2674" i="2"/>
  <c r="H2672" i="2"/>
  <c r="H2671" i="2"/>
  <c r="H2668" i="2"/>
  <c r="H2666" i="2"/>
  <c r="H2665" i="2"/>
  <c r="H2664" i="2"/>
  <c r="H2662" i="2"/>
  <c r="H2661" i="2"/>
  <c r="H2660" i="2"/>
  <c r="H2658" i="2"/>
  <c r="H2656" i="2"/>
  <c r="H2653" i="2"/>
  <c r="H2652" i="2"/>
  <c r="H2650" i="2"/>
  <c r="H2648" i="2"/>
  <c r="H2647" i="2"/>
  <c r="H2646" i="2"/>
  <c r="H2645" i="2"/>
  <c r="H2643" i="2"/>
  <c r="H2642" i="2"/>
  <c r="H2641" i="2"/>
  <c r="H2640" i="2"/>
  <c r="H2639" i="2"/>
  <c r="H2637" i="2"/>
  <c r="H2636" i="2"/>
  <c r="H2635" i="2"/>
  <c r="H2634" i="2"/>
  <c r="H2633" i="2"/>
  <c r="H2631" i="2"/>
  <c r="H2630" i="2"/>
  <c r="H2629" i="2"/>
  <c r="H2628" i="2"/>
  <c r="H2627" i="2"/>
  <c r="H2626" i="2"/>
  <c r="H2625" i="2"/>
  <c r="H2624" i="2"/>
  <c r="H2623" i="2"/>
  <c r="H2622" i="2"/>
  <c r="H2621" i="2"/>
  <c r="H2620" i="2"/>
  <c r="H2619" i="2"/>
  <c r="H2618" i="2"/>
  <c r="H2617" i="2"/>
  <c r="H2616" i="2"/>
  <c r="H2615" i="2"/>
  <c r="H2614" i="2"/>
  <c r="H2613" i="2"/>
  <c r="H2612" i="2"/>
  <c r="H2611" i="2"/>
  <c r="H2610" i="2"/>
  <c r="H2609" i="2"/>
  <c r="H2608" i="2"/>
  <c r="H2606" i="2"/>
  <c r="H2605" i="2"/>
  <c r="H2603" i="2"/>
  <c r="H2602" i="2"/>
  <c r="H2601" i="2"/>
  <c r="H2599" i="2"/>
  <c r="H2598" i="2"/>
  <c r="H2596" i="2"/>
  <c r="H2595" i="2"/>
  <c r="H2594" i="2"/>
  <c r="H2591" i="2"/>
  <c r="H2589" i="2"/>
  <c r="H2588" i="2"/>
  <c r="H2587" i="2"/>
  <c r="H2586" i="2"/>
  <c r="H2585" i="2"/>
  <c r="H2583" i="2"/>
  <c r="H2582" i="2"/>
  <c r="H2579" i="2"/>
  <c r="H2578" i="2"/>
  <c r="H2577" i="2"/>
  <c r="H2576" i="2"/>
  <c r="H2575" i="2"/>
  <c r="H2574" i="2"/>
  <c r="H2573" i="2"/>
  <c r="H2571" i="2"/>
  <c r="H2570" i="2"/>
  <c r="H2569" i="2"/>
  <c r="H2568" i="2"/>
  <c r="H2567" i="2"/>
  <c r="H2564" i="2"/>
  <c r="H2563" i="2"/>
  <c r="H2561" i="2"/>
  <c r="H2560" i="2"/>
  <c r="H2559" i="2"/>
  <c r="H2558" i="2"/>
  <c r="H2557" i="2"/>
  <c r="H2556" i="2"/>
  <c r="H2555" i="2"/>
  <c r="H2554" i="2"/>
  <c r="H2553" i="2"/>
  <c r="H2552" i="2"/>
  <c r="H2551" i="2"/>
  <c r="H2550" i="2"/>
  <c r="H2549" i="2"/>
  <c r="H2548" i="2"/>
  <c r="H2545" i="2"/>
  <c r="H2543" i="2"/>
  <c r="H2541" i="2"/>
  <c r="H2540" i="2"/>
  <c r="H2539" i="2"/>
  <c r="H2538" i="2"/>
  <c r="H2536" i="2"/>
  <c r="H2535" i="2"/>
  <c r="H2534" i="2"/>
  <c r="H2533" i="2"/>
  <c r="H2532" i="2"/>
  <c r="H2531" i="2"/>
  <c r="H2529" i="2"/>
  <c r="H2527" i="2"/>
  <c r="H2526" i="2"/>
  <c r="H2525" i="2"/>
  <c r="H2524" i="2"/>
  <c r="H2523" i="2"/>
  <c r="H2522" i="2"/>
  <c r="H2520" i="2"/>
  <c r="H2519" i="2"/>
  <c r="H2518" i="2"/>
  <c r="H2516" i="2"/>
  <c r="H2515" i="2"/>
  <c r="H2514" i="2"/>
  <c r="H2513" i="2"/>
  <c r="H2512" i="2"/>
  <c r="H2511" i="2"/>
  <c r="H2509" i="2"/>
  <c r="H2508" i="2"/>
  <c r="H2507" i="2"/>
  <c r="H2506" i="2"/>
  <c r="H2505" i="2"/>
  <c r="H2504" i="2"/>
  <c r="H2503" i="2"/>
  <c r="H2502" i="2"/>
  <c r="H2499" i="2"/>
  <c r="H2498" i="2"/>
  <c r="H2496" i="2"/>
  <c r="H2495" i="2"/>
  <c r="H2494" i="2"/>
  <c r="H2493" i="2"/>
  <c r="H2492" i="2"/>
  <c r="H2491" i="2"/>
  <c r="H2489" i="2"/>
  <c r="H2488" i="2"/>
  <c r="H2487" i="2"/>
  <c r="H2486" i="2"/>
  <c r="H2485" i="2"/>
  <c r="H2484" i="2"/>
  <c r="H2483" i="2"/>
  <c r="H2482" i="2"/>
  <c r="H2481" i="2"/>
  <c r="H2478" i="2"/>
  <c r="H2477" i="2"/>
  <c r="H2476" i="2"/>
  <c r="H2475" i="2"/>
  <c r="H2474" i="2"/>
  <c r="H2473" i="2"/>
  <c r="H2472" i="2"/>
  <c r="H2470" i="2"/>
  <c r="H2469" i="2"/>
  <c r="H2468" i="2"/>
  <c r="H2465" i="2"/>
  <c r="H2464" i="2"/>
  <c r="H2462" i="2"/>
  <c r="H2461" i="2"/>
  <c r="H2460" i="2"/>
  <c r="H2458" i="2"/>
  <c r="H2457" i="2"/>
  <c r="H2455" i="2"/>
  <c r="H2454" i="2"/>
  <c r="H2453" i="2"/>
  <c r="H2452" i="2"/>
  <c r="H2451" i="2"/>
  <c r="H2450" i="2"/>
  <c r="H2449" i="2"/>
  <c r="H2448" i="2"/>
  <c r="H2446" i="2"/>
  <c r="H2445" i="2"/>
  <c r="H2442" i="2"/>
  <c r="H2441" i="2"/>
  <c r="H2440" i="2"/>
  <c r="H2439" i="2"/>
  <c r="H2438" i="2"/>
  <c r="H2437" i="2"/>
  <c r="H2436" i="2"/>
  <c r="H2435" i="2"/>
  <c r="H2433" i="2"/>
  <c r="H2432" i="2"/>
  <c r="H2431" i="2"/>
  <c r="H2430" i="2"/>
  <c r="H2429" i="2"/>
  <c r="H2428" i="2"/>
  <c r="H2427" i="2"/>
  <c r="H2426" i="2"/>
  <c r="H2425" i="2"/>
  <c r="H2424" i="2"/>
  <c r="H2423" i="2"/>
  <c r="H2422" i="2"/>
  <c r="H2421" i="2"/>
  <c r="H2417" i="2"/>
  <c r="H2414" i="2"/>
  <c r="H2413" i="2"/>
  <c r="H2412" i="2"/>
  <c r="H2411" i="2"/>
  <c r="H2410" i="2"/>
  <c r="H2409" i="2"/>
  <c r="H2408" i="2"/>
  <c r="H2407" i="2"/>
  <c r="H2405" i="2"/>
  <c r="H2403" i="2"/>
  <c r="H2402" i="2"/>
  <c r="H2401" i="2"/>
  <c r="H2400" i="2"/>
  <c r="H2399" i="2"/>
  <c r="H2397" i="2"/>
  <c r="H2396" i="2"/>
  <c r="H2395" i="2"/>
  <c r="H2394" i="2"/>
  <c r="H2393" i="2"/>
  <c r="H2392" i="2"/>
  <c r="H2391" i="2"/>
  <c r="H2390" i="2"/>
  <c r="H2389" i="2"/>
  <c r="H2388" i="2"/>
  <c r="H2387" i="2"/>
  <c r="H2385" i="2"/>
  <c r="H2384" i="2"/>
  <c r="H2383" i="2"/>
  <c r="H2382" i="2"/>
  <c r="H2381" i="2"/>
  <c r="H2380" i="2"/>
  <c r="H2379" i="2"/>
  <c r="H2375" i="2"/>
  <c r="H2373" i="2"/>
  <c r="H2372" i="2"/>
  <c r="H2371" i="2"/>
  <c r="H2370" i="2"/>
  <c r="H2369" i="2"/>
  <c r="H2368" i="2"/>
  <c r="H2367" i="2"/>
  <c r="H2366" i="2"/>
  <c r="H2365" i="2"/>
  <c r="H2364" i="2"/>
  <c r="H2363" i="2"/>
  <c r="H2360" i="2"/>
  <c r="H2359" i="2"/>
  <c r="H2358" i="2"/>
  <c r="H2357" i="2"/>
  <c r="H2355" i="2"/>
  <c r="H2354" i="2"/>
  <c r="H2353" i="2"/>
  <c r="H2352" i="2"/>
  <c r="H2351" i="2"/>
  <c r="H2350" i="2"/>
  <c r="H2349" i="2"/>
  <c r="H2348" i="2"/>
  <c r="H2347" i="2"/>
  <c r="H2346" i="2"/>
  <c r="H2344" i="2"/>
  <c r="H2343" i="2"/>
  <c r="H2342" i="2"/>
  <c r="H2341" i="2"/>
  <c r="H2339" i="2"/>
  <c r="H2338" i="2"/>
  <c r="H2337" i="2"/>
  <c r="H2336" i="2"/>
  <c r="H2335" i="2"/>
  <c r="H2333" i="2"/>
  <c r="H2332" i="2"/>
  <c r="H2330" i="2"/>
  <c r="H2328" i="2"/>
  <c r="H2327" i="2"/>
  <c r="H2326" i="2"/>
  <c r="H2325" i="2"/>
  <c r="H2324" i="2"/>
  <c r="H2323" i="2"/>
  <c r="H2322" i="2"/>
  <c r="H2321" i="2"/>
  <c r="H2320" i="2"/>
  <c r="H2318" i="2"/>
  <c r="H2317" i="2"/>
  <c r="H2316" i="2"/>
  <c r="H2315" i="2"/>
  <c r="H2314" i="2"/>
  <c r="H2313" i="2"/>
  <c r="H2311" i="2"/>
  <c r="H2310" i="2"/>
  <c r="H2309" i="2"/>
  <c r="H2308" i="2"/>
  <c r="H2307" i="2"/>
  <c r="H2306" i="2"/>
  <c r="H2305" i="2"/>
  <c r="H2304" i="2"/>
  <c r="H2303" i="2"/>
  <c r="H2302" i="2"/>
  <c r="H2301" i="2"/>
  <c r="H2300" i="2"/>
  <c r="H2299" i="2"/>
  <c r="H2297" i="2"/>
  <c r="H2296" i="2"/>
  <c r="H2295" i="2"/>
  <c r="H2294" i="2"/>
  <c r="H2293" i="2"/>
  <c r="H2292" i="2"/>
  <c r="H2290" i="2"/>
  <c r="H2289" i="2"/>
  <c r="H2288" i="2"/>
  <c r="H2287" i="2"/>
  <c r="H2281" i="2"/>
  <c r="H2280" i="2"/>
  <c r="H2279" i="2"/>
  <c r="H2278" i="2"/>
  <c r="H2277" i="2"/>
  <c r="H2275" i="2"/>
  <c r="H2273" i="2"/>
  <c r="H2272" i="2"/>
  <c r="H2271" i="2"/>
  <c r="H2270" i="2"/>
  <c r="H2269" i="2"/>
  <c r="H2268" i="2"/>
  <c r="H2267" i="2"/>
  <c r="H2266" i="2"/>
  <c r="H2265" i="2"/>
  <c r="H2264" i="2"/>
  <c r="H2263" i="2"/>
  <c r="H2262" i="2"/>
  <c r="H2261" i="2"/>
  <c r="H2260" i="2"/>
  <c r="H2258" i="2"/>
  <c r="H2257" i="2"/>
  <c r="H2256" i="2"/>
  <c r="H2254" i="2"/>
  <c r="H2253" i="2"/>
  <c r="H2252" i="2"/>
  <c r="H2250" i="2"/>
  <c r="H2249" i="2"/>
  <c r="H2248" i="2"/>
  <c r="H2246" i="2"/>
  <c r="H2245" i="2"/>
  <c r="H2244" i="2"/>
  <c r="H2243" i="2"/>
  <c r="H2242" i="2"/>
  <c r="H2241" i="2"/>
  <c r="H2240" i="2"/>
  <c r="H2239" i="2"/>
  <c r="H2238" i="2"/>
  <c r="H2237" i="2"/>
  <c r="H2236" i="2"/>
  <c r="H2235" i="2"/>
  <c r="H2234" i="2"/>
  <c r="H2233" i="2"/>
  <c r="H2232" i="2"/>
  <c r="H2230" i="2"/>
  <c r="H2226" i="2"/>
  <c r="H2225" i="2"/>
  <c r="H2224" i="2"/>
  <c r="H2223" i="2"/>
  <c r="H2222" i="2"/>
  <c r="H2221" i="2"/>
  <c r="H2220" i="2"/>
  <c r="H2219" i="2"/>
  <c r="H2218" i="2"/>
  <c r="H2217" i="2"/>
  <c r="H2216" i="2"/>
  <c r="H2215" i="2"/>
  <c r="H2214" i="2"/>
  <c r="H2213" i="2"/>
  <c r="H2211" i="2"/>
  <c r="H2210" i="2"/>
  <c r="H2209" i="2"/>
  <c r="H2208" i="2"/>
  <c r="H2207" i="2"/>
  <c r="H2206" i="2"/>
  <c r="H2205" i="2"/>
  <c r="H2202" i="2"/>
  <c r="H2200" i="2"/>
  <c r="H2198" i="2"/>
  <c r="H2197" i="2"/>
  <c r="H2196" i="2"/>
  <c r="H2195" i="2"/>
  <c r="H2194" i="2"/>
  <c r="H2193" i="2"/>
  <c r="H2192" i="2"/>
  <c r="H2191" i="2"/>
  <c r="H2190" i="2"/>
  <c r="H2189" i="2"/>
  <c r="H2188" i="2"/>
  <c r="H2187" i="2"/>
  <c r="H2186" i="2"/>
  <c r="H2185" i="2"/>
  <c r="H2184" i="2"/>
  <c r="H2182" i="2"/>
  <c r="H2181" i="2"/>
  <c r="H2180" i="2"/>
  <c r="H2179" i="2"/>
  <c r="H2178" i="2"/>
  <c r="H2177" i="2"/>
  <c r="H2176" i="2"/>
  <c r="H2175" i="2"/>
  <c r="H2174" i="2"/>
  <c r="H2171" i="2"/>
  <c r="H2170" i="2"/>
  <c r="H2168" i="2"/>
  <c r="H2167" i="2"/>
  <c r="H2166" i="2"/>
  <c r="H2165" i="2"/>
  <c r="H2164" i="2"/>
  <c r="H2163" i="2"/>
  <c r="H2161" i="2"/>
  <c r="H2160" i="2"/>
  <c r="H2159" i="2"/>
  <c r="H2158" i="2"/>
  <c r="H2157" i="2"/>
  <c r="H2155" i="2"/>
  <c r="H2154" i="2"/>
  <c r="H2152" i="2"/>
  <c r="H2151" i="2"/>
  <c r="H2150" i="2"/>
  <c r="H2149" i="2"/>
  <c r="H2148" i="2"/>
  <c r="H2146" i="2"/>
  <c r="H2145" i="2"/>
  <c r="H2144" i="2"/>
  <c r="H2143" i="2"/>
  <c r="H2142" i="2"/>
  <c r="H2141" i="2"/>
  <c r="H2140" i="2"/>
  <c r="H2139" i="2"/>
  <c r="H2138" i="2"/>
  <c r="H2137" i="2"/>
  <c r="H2134" i="2"/>
  <c r="H2133" i="2"/>
  <c r="H2131" i="2"/>
  <c r="H2130" i="2"/>
  <c r="H2129" i="2"/>
  <c r="H2128" i="2"/>
  <c r="H2127" i="2"/>
  <c r="H2126" i="2"/>
  <c r="H2125" i="2"/>
  <c r="H2124" i="2"/>
  <c r="H2123" i="2"/>
  <c r="H2122" i="2"/>
  <c r="H2121" i="2"/>
  <c r="H2120" i="2"/>
  <c r="H2119" i="2"/>
  <c r="H2118" i="2"/>
  <c r="H2117" i="2"/>
  <c r="H2116" i="2"/>
  <c r="H2115" i="2"/>
  <c r="H2114" i="2"/>
  <c r="H2113" i="2"/>
  <c r="H2112" i="2"/>
  <c r="H2111" i="2"/>
  <c r="H2110" i="2"/>
  <c r="H2109" i="2"/>
  <c r="H2108" i="2"/>
  <c r="H2107" i="2"/>
  <c r="H2106" i="2"/>
  <c r="H2105" i="2"/>
  <c r="H2104" i="2"/>
  <c r="H2103" i="2"/>
  <c r="H2102" i="2"/>
  <c r="H2101" i="2"/>
  <c r="H2100" i="2"/>
  <c r="H2099" i="2"/>
  <c r="H2098" i="2"/>
  <c r="H2097" i="2"/>
  <c r="H2096" i="2"/>
  <c r="H2095" i="2"/>
  <c r="H2094" i="2"/>
  <c r="H2093" i="2"/>
  <c r="H2092" i="2"/>
  <c r="H2091" i="2"/>
  <c r="H2090" i="2"/>
  <c r="H2089" i="2"/>
  <c r="H2088" i="2"/>
  <c r="H2087" i="2"/>
  <c r="H2086" i="2"/>
  <c r="H2085" i="2"/>
  <c r="H2084" i="2"/>
  <c r="H2083" i="2"/>
  <c r="H2082" i="2"/>
  <c r="H2081" i="2"/>
  <c r="H2080" i="2"/>
  <c r="H2079" i="2"/>
  <c r="H2078" i="2"/>
  <c r="H2077" i="2"/>
  <c r="H2076" i="2"/>
  <c r="H2075" i="2"/>
  <c r="H2074" i="2"/>
  <c r="H2073" i="2"/>
  <c r="H2072" i="2"/>
  <c r="H2071" i="2"/>
  <c r="H2070" i="2"/>
  <c r="H2069" i="2"/>
  <c r="H2068" i="2"/>
  <c r="H2067" i="2"/>
  <c r="H2066" i="2"/>
  <c r="H2065" i="2"/>
  <c r="H2064" i="2"/>
  <c r="H2063" i="2"/>
  <c r="H2062" i="2"/>
  <c r="H2061" i="2"/>
  <c r="H2060" i="2"/>
  <c r="H2059" i="2"/>
  <c r="H2058" i="2"/>
  <c r="H2057" i="2"/>
  <c r="H2056" i="2"/>
  <c r="H2055" i="2"/>
  <c r="H2054" i="2"/>
  <c r="H2053" i="2"/>
  <c r="H2052" i="2"/>
  <c r="H2051" i="2"/>
  <c r="H2050" i="2"/>
  <c r="H2049" i="2"/>
  <c r="H2048" i="2"/>
  <c r="H2047" i="2"/>
  <c r="H2046" i="2"/>
  <c r="H2045" i="2"/>
  <c r="H2044" i="2"/>
  <c r="H2043" i="2"/>
  <c r="H2042" i="2"/>
  <c r="H2041" i="2"/>
  <c r="H2040" i="2"/>
  <c r="H2039" i="2"/>
  <c r="H2038" i="2"/>
  <c r="H2037" i="2"/>
  <c r="H2036" i="2"/>
  <c r="H2035" i="2"/>
  <c r="H2034" i="2"/>
  <c r="H2033" i="2"/>
  <c r="H2032" i="2"/>
  <c r="H2031" i="2"/>
  <c r="H2030" i="2"/>
  <c r="H2029" i="2"/>
  <c r="H2028" i="2"/>
  <c r="H2027" i="2"/>
  <c r="H2026" i="2"/>
  <c r="H2025" i="2"/>
  <c r="H2024" i="2"/>
  <c r="H2023" i="2"/>
  <c r="H2022" i="2"/>
  <c r="H2021" i="2"/>
  <c r="H2020" i="2"/>
  <c r="H2019" i="2"/>
  <c r="H2018" i="2"/>
  <c r="H2017" i="2"/>
  <c r="H2016" i="2"/>
  <c r="H2015" i="2"/>
  <c r="H2014" i="2"/>
  <c r="H2013" i="2"/>
  <c r="H2012" i="2"/>
  <c r="H2011" i="2"/>
  <c r="H2010" i="2"/>
  <c r="H2009" i="2"/>
  <c r="H2008" i="2"/>
  <c r="H2007" i="2"/>
  <c r="H2006" i="2"/>
  <c r="H2005" i="2"/>
  <c r="H2004" i="2"/>
  <c r="H2003" i="2"/>
  <c r="H2002" i="2"/>
  <c r="H2001" i="2"/>
  <c r="H2000" i="2"/>
  <c r="H1999" i="2"/>
  <c r="H1998" i="2"/>
  <c r="H1997" i="2"/>
  <c r="H1996" i="2"/>
  <c r="H1995" i="2"/>
  <c r="H1994" i="2"/>
  <c r="H1993" i="2"/>
  <c r="H1992" i="2"/>
  <c r="H1991" i="2"/>
  <c r="H1990" i="2"/>
  <c r="H1989" i="2"/>
  <c r="H1988" i="2"/>
  <c r="H1987" i="2"/>
  <c r="H1986" i="2"/>
  <c r="H1985" i="2"/>
  <c r="H1984" i="2"/>
  <c r="H1983" i="2"/>
  <c r="H1982" i="2"/>
  <c r="H1981" i="2"/>
  <c r="H1980" i="2"/>
  <c r="H1979" i="2"/>
  <c r="H1978" i="2"/>
  <c r="H1977" i="2"/>
  <c r="H1976" i="2"/>
  <c r="H1975" i="2"/>
  <c r="H1974" i="2"/>
  <c r="H1973" i="2"/>
  <c r="H1972" i="2"/>
  <c r="H1971" i="2"/>
  <c r="H1970" i="2"/>
  <c r="H1969" i="2"/>
  <c r="H1968" i="2"/>
  <c r="H1967" i="2"/>
  <c r="H1966" i="2"/>
  <c r="H1965" i="2"/>
  <c r="H1964" i="2"/>
  <c r="H1963" i="2"/>
  <c r="H1962" i="2"/>
  <c r="H1961" i="2"/>
  <c r="H1960" i="2"/>
  <c r="H1959" i="2"/>
  <c r="H1958" i="2"/>
  <c r="H1957" i="2"/>
  <c r="H1956" i="2"/>
  <c r="H1955" i="2"/>
  <c r="H1954" i="2"/>
  <c r="H1953" i="2"/>
  <c r="H1952" i="2"/>
  <c r="H1951" i="2"/>
  <c r="H1950" i="2"/>
  <c r="H1949" i="2"/>
  <c r="H1948" i="2"/>
  <c r="H1947" i="2"/>
  <c r="H1946" i="2"/>
  <c r="H1945" i="2"/>
  <c r="H1944" i="2"/>
  <c r="H1943" i="2"/>
  <c r="H1942" i="2"/>
  <c r="H1941" i="2"/>
  <c r="H1940" i="2"/>
  <c r="H1939" i="2"/>
  <c r="H1938" i="2"/>
  <c r="H1937" i="2"/>
  <c r="H1936" i="2"/>
  <c r="H1935" i="2"/>
  <c r="H1934" i="2"/>
  <c r="H1933" i="2"/>
  <c r="H1932" i="2"/>
  <c r="H1931" i="2"/>
  <c r="H1930" i="2"/>
  <c r="H1929" i="2"/>
  <c r="H1928" i="2"/>
  <c r="H1927" i="2"/>
  <c r="H1926" i="2"/>
  <c r="H1925" i="2"/>
  <c r="H1924" i="2"/>
  <c r="H1923" i="2"/>
  <c r="H1922" i="2"/>
  <c r="H1921" i="2"/>
  <c r="H1920" i="2"/>
  <c r="H1919" i="2"/>
  <c r="H1918" i="2"/>
  <c r="H1917" i="2"/>
  <c r="H1916" i="2"/>
  <c r="H1915" i="2"/>
  <c r="H1914" i="2"/>
  <c r="H1913" i="2"/>
  <c r="H1912" i="2"/>
  <c r="H1911" i="2"/>
  <c r="H1910" i="2"/>
  <c r="H1909" i="2"/>
  <c r="H1908" i="2"/>
  <c r="H1907" i="2"/>
  <c r="H1906" i="2"/>
  <c r="H1905" i="2"/>
  <c r="H1904" i="2"/>
  <c r="H1903" i="2"/>
  <c r="H1902" i="2"/>
  <c r="H1901" i="2"/>
  <c r="H1900" i="2"/>
  <c r="H1899" i="2"/>
  <c r="H1898" i="2"/>
  <c r="H1897" i="2"/>
  <c r="H1896" i="2"/>
  <c r="H1895" i="2"/>
  <c r="H1894" i="2"/>
  <c r="H1893" i="2"/>
  <c r="H1892" i="2"/>
  <c r="H1891" i="2"/>
  <c r="H1890" i="2"/>
  <c r="H1889" i="2"/>
  <c r="H1888" i="2"/>
  <c r="H1887" i="2"/>
  <c r="H1886" i="2"/>
  <c r="H1885" i="2"/>
  <c r="H1884" i="2"/>
  <c r="H1883" i="2"/>
  <c r="H1882" i="2"/>
  <c r="H1880" i="2"/>
  <c r="H1879" i="2"/>
  <c r="H1878" i="2"/>
  <c r="H1877" i="2"/>
  <c r="H1876" i="2"/>
  <c r="H1875" i="2"/>
  <c r="H1874" i="2"/>
  <c r="H1870" i="2"/>
  <c r="H1869" i="2"/>
  <c r="H1867" i="2"/>
  <c r="H1866" i="2"/>
  <c r="H1865" i="2"/>
  <c r="H1864" i="2"/>
  <c r="H1863" i="2"/>
  <c r="H1862" i="2"/>
  <c r="H1861" i="2"/>
  <c r="H1860" i="2"/>
  <c r="H1859" i="2"/>
  <c r="H1858" i="2"/>
  <c r="H1856" i="2"/>
  <c r="H1855" i="2"/>
  <c r="H1854" i="2"/>
  <c r="H1853" i="2"/>
  <c r="H1852" i="2"/>
  <c r="H1851" i="2"/>
  <c r="H1850" i="2"/>
  <c r="H1849" i="2"/>
  <c r="H1848" i="2"/>
  <c r="H1847" i="2"/>
  <c r="H1846" i="2"/>
  <c r="H1845" i="2"/>
  <c r="H1843" i="2"/>
  <c r="H1842" i="2"/>
  <c r="H1841" i="2"/>
  <c r="H1840" i="2"/>
  <c r="H1839" i="2"/>
  <c r="H1838" i="2"/>
  <c r="H1837" i="2"/>
  <c r="H1836" i="2"/>
  <c r="H1835" i="2"/>
  <c r="H1834" i="2"/>
  <c r="H1833" i="2"/>
  <c r="H1832" i="2"/>
  <c r="H1831" i="2"/>
  <c r="H1830" i="2"/>
  <c r="H1829" i="2"/>
  <c r="H1828" i="2"/>
  <c r="H1827" i="2"/>
  <c r="H1826" i="2"/>
  <c r="H1825" i="2"/>
  <c r="H1824" i="2"/>
  <c r="H1823" i="2"/>
  <c r="H1822" i="2"/>
  <c r="H1821" i="2"/>
  <c r="H1820" i="2"/>
  <c r="H1819" i="2"/>
  <c r="H1818" i="2"/>
  <c r="H1817" i="2"/>
  <c r="H1816" i="2"/>
  <c r="H1815" i="2"/>
  <c r="H1814" i="2"/>
  <c r="H1813" i="2"/>
  <c r="H1812" i="2"/>
  <c r="H1811" i="2"/>
  <c r="H1810" i="2"/>
  <c r="H1809" i="2"/>
  <c r="H1808" i="2"/>
  <c r="H1807" i="2"/>
  <c r="H1806" i="2"/>
  <c r="H1805" i="2"/>
  <c r="H1804" i="2"/>
  <c r="H1803" i="2"/>
  <c r="H1802" i="2"/>
  <c r="H1801" i="2"/>
  <c r="H1800" i="2"/>
  <c r="H1799" i="2"/>
  <c r="H1798" i="2"/>
  <c r="H1797" i="2"/>
  <c r="H1796" i="2"/>
  <c r="H1795" i="2"/>
  <c r="H1794" i="2"/>
  <c r="H1793" i="2"/>
  <c r="H1792" i="2"/>
  <c r="H1791" i="2"/>
  <c r="H1790" i="2"/>
  <c r="H1789" i="2"/>
  <c r="H1788" i="2"/>
  <c r="H1787" i="2"/>
  <c r="H1786" i="2"/>
  <c r="H1785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H1771" i="2"/>
  <c r="H1770" i="2"/>
  <c r="H1769" i="2"/>
  <c r="H1768" i="2"/>
  <c r="H1767" i="2"/>
  <c r="H1766" i="2"/>
  <c r="H1765" i="2"/>
  <c r="H1764" i="2"/>
  <c r="H1763" i="2"/>
  <c r="H1762" i="2"/>
  <c r="H1761" i="2"/>
  <c r="H1760" i="2"/>
  <c r="H1759" i="2"/>
  <c r="H1758" i="2"/>
  <c r="H1757" i="2"/>
  <c r="H1756" i="2"/>
  <c r="H1755" i="2"/>
  <c r="H1754" i="2"/>
  <c r="H1753" i="2"/>
  <c r="H1752" i="2"/>
  <c r="H1751" i="2"/>
  <c r="H1750" i="2"/>
  <c r="H1749" i="2"/>
  <c r="H1748" i="2"/>
  <c r="H1747" i="2"/>
  <c r="H1746" i="2"/>
  <c r="H1745" i="2"/>
  <c r="H1744" i="2"/>
  <c r="H1743" i="2"/>
  <c r="H1742" i="2"/>
  <c r="H1741" i="2"/>
  <c r="H1740" i="2"/>
  <c r="H1739" i="2"/>
  <c r="H1738" i="2"/>
  <c r="H1737" i="2"/>
  <c r="H1736" i="2"/>
  <c r="H1735" i="2"/>
  <c r="H1734" i="2"/>
  <c r="H1733" i="2"/>
  <c r="H1732" i="2"/>
  <c r="H1731" i="2"/>
  <c r="H1730" i="2"/>
  <c r="H1729" i="2"/>
  <c r="H1728" i="2"/>
  <c r="H1727" i="2"/>
  <c r="H1725" i="2"/>
  <c r="H1722" i="2"/>
  <c r="H1721" i="2"/>
  <c r="H1720" i="2"/>
  <c r="H1719" i="2"/>
  <c r="H1718" i="2"/>
  <c r="H1717" i="2"/>
  <c r="H1716" i="2"/>
  <c r="H1715" i="2"/>
  <c r="H1714" i="2"/>
  <c r="H1713" i="2"/>
  <c r="H1712" i="2"/>
  <c r="H1711" i="2"/>
  <c r="H1709" i="2"/>
  <c r="H1708" i="2"/>
  <c r="H1707" i="2"/>
  <c r="H1702" i="2"/>
  <c r="H1701" i="2"/>
  <c r="H1700" i="2"/>
  <c r="H1699" i="2"/>
  <c r="H1698" i="2"/>
  <c r="H1697" i="2"/>
  <c r="H1696" i="2"/>
  <c r="H1695" i="2"/>
  <c r="H1694" i="2"/>
  <c r="H1693" i="2"/>
  <c r="H1691" i="2"/>
  <c r="H1690" i="2"/>
  <c r="H1689" i="2"/>
  <c r="H1688" i="2"/>
  <c r="H1687" i="2"/>
  <c r="H1686" i="2"/>
  <c r="H1685" i="2"/>
  <c r="H1682" i="2"/>
  <c r="H1681" i="2"/>
  <c r="H1680" i="2"/>
  <c r="H1679" i="2"/>
  <c r="H1678" i="2"/>
  <c r="H1675" i="2"/>
  <c r="H1674" i="2"/>
  <c r="H1673" i="2"/>
  <c r="H1672" i="2"/>
  <c r="H1671" i="2"/>
  <c r="H1670" i="2"/>
  <c r="H1668" i="2"/>
  <c r="H1667" i="2"/>
  <c r="H1665" i="2"/>
  <c r="H1664" i="2"/>
  <c r="H1663" i="2"/>
  <c r="H1662" i="2"/>
  <c r="H1661" i="2"/>
  <c r="H1659" i="2"/>
  <c r="H1658" i="2"/>
  <c r="H1657" i="2"/>
  <c r="H1656" i="2"/>
  <c r="H1655" i="2"/>
  <c r="H1654" i="2"/>
  <c r="H1653" i="2"/>
  <c r="H1652" i="2"/>
  <c r="H1651" i="2"/>
  <c r="H1650" i="2"/>
  <c r="H1649" i="2"/>
  <c r="H1648" i="2"/>
  <c r="H1647" i="2"/>
  <c r="H1646" i="2"/>
  <c r="H1645" i="2"/>
  <c r="H1644" i="2"/>
  <c r="H1643" i="2"/>
  <c r="H1642" i="2"/>
  <c r="H1641" i="2"/>
  <c r="H1640" i="2"/>
  <c r="H1639" i="2"/>
  <c r="H1638" i="2"/>
  <c r="H1637" i="2"/>
  <c r="H1636" i="2"/>
  <c r="H1635" i="2"/>
  <c r="H1634" i="2"/>
  <c r="H1633" i="2"/>
  <c r="H1631" i="2"/>
  <c r="H1630" i="2"/>
  <c r="H1629" i="2"/>
  <c r="H1627" i="2"/>
  <c r="H1626" i="2"/>
  <c r="H1625" i="2"/>
  <c r="H1623" i="2"/>
  <c r="H1622" i="2"/>
  <c r="H1621" i="2"/>
  <c r="H1620" i="2"/>
  <c r="H1617" i="2"/>
  <c r="H1616" i="2"/>
  <c r="H1615" i="2"/>
  <c r="H1614" i="2"/>
  <c r="H1613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5" i="2"/>
  <c r="H1544" i="2"/>
  <c r="H1543" i="2"/>
  <c r="H1542" i="2"/>
  <c r="H1541" i="2"/>
  <c r="H1540" i="2"/>
  <c r="H1539" i="2"/>
  <c r="H1538" i="2"/>
  <c r="H1537" i="2"/>
  <c r="H1536" i="2"/>
  <c r="H1535" i="2"/>
  <c r="H1534" i="2"/>
  <c r="H1533" i="2"/>
  <c r="H1532" i="2"/>
  <c r="H1531" i="2"/>
  <c r="H1530" i="2"/>
  <c r="H1529" i="2"/>
  <c r="H1528" i="2"/>
  <c r="H1527" i="2"/>
  <c r="H1526" i="2"/>
  <c r="H1525" i="2"/>
  <c r="H1524" i="2"/>
  <c r="H1523" i="2"/>
  <c r="H1522" i="2"/>
  <c r="H1521" i="2"/>
  <c r="H1520" i="2"/>
  <c r="H1519" i="2"/>
  <c r="H1518" i="2"/>
  <c r="H1517" i="2"/>
  <c r="H1516" i="2"/>
  <c r="H1515" i="2"/>
  <c r="H1514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3" i="2"/>
  <c r="H1252" i="2"/>
  <c r="H1251" i="2"/>
  <c r="H1250" i="2"/>
  <c r="H1249" i="2"/>
  <c r="H1247" i="2"/>
  <c r="H1246" i="2"/>
  <c r="H1245" i="2"/>
  <c r="H1243" i="2"/>
  <c r="H1242" i="2"/>
  <c r="H1241" i="2"/>
  <c r="H1240" i="2"/>
  <c r="H1239" i="2"/>
  <c r="H1238" i="2"/>
  <c r="H1237" i="2"/>
  <c r="H1236" i="2"/>
  <c r="H1235" i="2"/>
  <c r="H1234" i="2"/>
  <c r="H1232" i="2"/>
  <c r="H1231" i="2"/>
  <c r="H1230" i="2"/>
  <c r="H1229" i="2"/>
  <c r="H1227" i="2"/>
  <c r="H1225" i="2"/>
  <c r="H1224" i="2"/>
  <c r="H1223" i="2"/>
  <c r="H1222" i="2"/>
  <c r="H1219" i="2"/>
  <c r="H1218" i="2"/>
  <c r="H1217" i="2"/>
  <c r="H1213" i="2"/>
  <c r="H1212" i="2"/>
  <c r="H1211" i="2"/>
  <c r="H1210" i="2"/>
  <c r="H1209" i="2"/>
  <c r="H1208" i="2"/>
  <c r="H1205" i="2"/>
  <c r="H1202" i="2"/>
  <c r="H1201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59" i="2"/>
  <c r="H1158" i="2"/>
  <c r="H1157" i="2"/>
  <c r="H1155" i="2"/>
  <c r="H1154" i="2"/>
  <c r="H1153" i="2"/>
  <c r="H1151" i="2"/>
  <c r="H1149" i="2"/>
  <c r="H1147" i="2"/>
  <c r="H1145" i="2"/>
  <c r="H1143" i="2"/>
  <c r="H1142" i="2"/>
  <c r="H1141" i="2"/>
  <c r="H1140" i="2"/>
  <c r="H1139" i="2"/>
  <c r="H1137" i="2"/>
  <c r="H1136" i="2"/>
  <c r="H1135" i="2"/>
  <c r="H1134" i="2"/>
  <c r="H1133" i="2"/>
  <c r="H1132" i="2"/>
  <c r="H1131" i="2"/>
  <c r="H1130" i="2"/>
  <c r="H1129" i="2"/>
  <c r="H1128" i="2"/>
  <c r="H1126" i="2"/>
  <c r="H1125" i="2"/>
  <c r="H1124" i="2"/>
  <c r="H1122" i="2"/>
  <c r="H1121" i="2"/>
  <c r="H1119" i="2"/>
  <c r="H1118" i="2"/>
  <c r="H1116" i="2"/>
  <c r="H1114" i="2"/>
  <c r="H1113" i="2"/>
  <c r="H1112" i="2"/>
  <c r="H1111" i="2"/>
  <c r="H1110" i="2"/>
  <c r="H1109" i="2"/>
  <c r="H1108" i="2"/>
  <c r="H1107" i="2"/>
  <c r="H1106" i="2"/>
  <c r="H1104" i="2"/>
  <c r="H1103" i="2"/>
  <c r="H1100" i="2"/>
  <c r="H1099" i="2"/>
  <c r="H1098" i="2"/>
  <c r="H1097" i="2"/>
  <c r="H1094" i="2"/>
  <c r="H1092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69" i="2"/>
  <c r="H1068" i="2"/>
  <c r="H1065" i="2"/>
  <c r="H1064" i="2"/>
  <c r="H1063" i="2"/>
  <c r="H1062" i="2"/>
  <c r="H1061" i="2"/>
  <c r="H1060" i="2"/>
  <c r="H1059" i="2"/>
  <c r="H1058" i="2"/>
  <c r="H1057" i="2"/>
  <c r="H1056" i="2"/>
  <c r="H1055" i="2"/>
  <c r="H1053" i="2"/>
  <c r="H1051" i="2"/>
  <c r="H1050" i="2"/>
  <c r="H1049" i="2"/>
  <c r="H1048" i="2"/>
  <c r="H1047" i="2"/>
  <c r="H1046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5" i="2"/>
  <c r="H994" i="2"/>
  <c r="H991" i="2"/>
  <c r="H990" i="2"/>
  <c r="H988" i="2"/>
  <c r="H987" i="2"/>
  <c r="H986" i="2"/>
  <c r="H985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6" i="2"/>
  <c r="H905" i="2"/>
  <c r="H904" i="2"/>
  <c r="H903" i="2"/>
  <c r="H902" i="2"/>
  <c r="H901" i="2"/>
  <c r="H900" i="2"/>
  <c r="H898" i="2"/>
  <c r="H897" i="2"/>
  <c r="H896" i="2"/>
  <c r="H895" i="2"/>
  <c r="H894" i="2"/>
  <c r="H893" i="2"/>
  <c r="H892" i="2"/>
  <c r="H890" i="2"/>
  <c r="H889" i="2"/>
  <c r="H887" i="2"/>
  <c r="H886" i="2"/>
  <c r="H885" i="2"/>
  <c r="H883" i="2"/>
  <c r="H882" i="2"/>
  <c r="H881" i="2"/>
  <c r="H880" i="2"/>
  <c r="H879" i="2"/>
  <c r="H878" i="2"/>
  <c r="H877" i="2"/>
  <c r="H876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4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4" i="2"/>
  <c r="H823" i="2"/>
  <c r="H820" i="2"/>
  <c r="H819" i="2"/>
  <c r="H818" i="2"/>
  <c r="H817" i="2"/>
  <c r="H816" i="2"/>
  <c r="H815" i="2"/>
  <c r="H814" i="2"/>
  <c r="H813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3" i="2"/>
  <c r="H792" i="2"/>
  <c r="H791" i="2"/>
  <c r="H790" i="2"/>
  <c r="H789" i="2"/>
  <c r="H788" i="2"/>
  <c r="H786" i="2"/>
  <c r="H785" i="2"/>
  <c r="H784" i="2"/>
  <c r="H783" i="2"/>
  <c r="H782" i="2"/>
  <c r="H781" i="2"/>
  <c r="H779" i="2"/>
  <c r="H778" i="2"/>
  <c r="H777" i="2"/>
  <c r="H776" i="2"/>
  <c r="H775" i="2"/>
  <c r="H774" i="2"/>
  <c r="H773" i="2"/>
  <c r="H772" i="2"/>
  <c r="H771" i="2"/>
  <c r="H770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0" i="2"/>
  <c r="H727" i="2"/>
  <c r="H725" i="2"/>
  <c r="H722" i="2"/>
  <c r="H721" i="2"/>
  <c r="H720" i="2"/>
  <c r="H718" i="2"/>
  <c r="H716" i="2"/>
  <c r="H713" i="2"/>
  <c r="H712" i="2"/>
  <c r="H711" i="2"/>
  <c r="H710" i="2"/>
  <c r="H709" i="2"/>
  <c r="H708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87" i="2"/>
  <c r="H686" i="2"/>
  <c r="H684" i="2"/>
  <c r="H682" i="2"/>
  <c r="H679" i="2"/>
  <c r="H678" i="2"/>
  <c r="H677" i="2"/>
  <c r="H676" i="2"/>
  <c r="H675" i="2"/>
  <c r="H672" i="2"/>
  <c r="H670" i="2"/>
  <c r="H668" i="2"/>
  <c r="H665" i="2"/>
  <c r="H664" i="2"/>
  <c r="H663" i="2"/>
  <c r="H662" i="2"/>
  <c r="H660" i="2"/>
  <c r="H658" i="2"/>
  <c r="H654" i="2"/>
  <c r="H653" i="2"/>
  <c r="H652" i="2"/>
  <c r="H650" i="2"/>
  <c r="H647" i="2"/>
  <c r="H646" i="2"/>
  <c r="H645" i="2"/>
  <c r="H644" i="2"/>
  <c r="H642" i="2"/>
  <c r="H641" i="2"/>
  <c r="H639" i="2"/>
  <c r="H638" i="2"/>
  <c r="H637" i="2"/>
  <c r="H633" i="2"/>
  <c r="H631" i="2"/>
  <c r="H630" i="2"/>
  <c r="H629" i="2"/>
  <c r="H628" i="2"/>
  <c r="H627" i="2"/>
  <c r="H625" i="2"/>
  <c r="H624" i="2"/>
  <c r="H623" i="2"/>
  <c r="H622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599" i="2"/>
  <c r="H598" i="2"/>
  <c r="H595" i="2"/>
  <c r="H594" i="2"/>
  <c r="H593" i="2"/>
  <c r="H591" i="2"/>
  <c r="H589" i="2"/>
  <c r="H587" i="2"/>
  <c r="H586" i="2"/>
  <c r="H585" i="2"/>
  <c r="H584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5" i="2"/>
  <c r="H564" i="2"/>
  <c r="H563" i="2"/>
  <c r="H562" i="2"/>
  <c r="H560" i="2"/>
  <c r="H559" i="2"/>
  <c r="H558" i="2"/>
  <c r="H556" i="2"/>
  <c r="H555" i="2"/>
  <c r="H554" i="2"/>
  <c r="H552" i="2"/>
  <c r="H551" i="2"/>
  <c r="H550" i="2"/>
  <c r="H549" i="2"/>
  <c r="H548" i="2"/>
  <c r="H547" i="2"/>
  <c r="H546" i="2"/>
  <c r="H544" i="2"/>
  <c r="H543" i="2"/>
  <c r="H542" i="2"/>
  <c r="H541" i="2"/>
  <c r="H540" i="2"/>
  <c r="H539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1" i="2"/>
  <c r="H520" i="2"/>
  <c r="H519" i="2"/>
  <c r="H518" i="2"/>
  <c r="H517" i="2"/>
  <c r="H514" i="2"/>
  <c r="H513" i="2"/>
  <c r="H512" i="2"/>
  <c r="H511" i="2"/>
  <c r="H510" i="2"/>
  <c r="H509" i="2"/>
  <c r="H508" i="2"/>
  <c r="H506" i="2"/>
  <c r="H505" i="2"/>
  <c r="H504" i="2"/>
  <c r="H503" i="2"/>
  <c r="H502" i="2"/>
  <c r="H501" i="2"/>
  <c r="H500" i="2"/>
  <c r="H498" i="2"/>
  <c r="H497" i="2"/>
  <c r="H496" i="2"/>
  <c r="H495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1" i="2"/>
  <c r="H469" i="2"/>
  <c r="H468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0" i="2"/>
  <c r="H429" i="2"/>
  <c r="H428" i="2"/>
  <c r="H426" i="2"/>
  <c r="H424" i="2"/>
  <c r="H423" i="2"/>
  <c r="H422" i="2"/>
  <c r="H421" i="2"/>
  <c r="H419" i="2"/>
  <c r="H418" i="2"/>
  <c r="H417" i="2"/>
  <c r="H415" i="2"/>
  <c r="H414" i="2"/>
  <c r="H413" i="2"/>
  <c r="H412" i="2"/>
  <c r="H411" i="2"/>
  <c r="H410" i="2"/>
  <c r="H409" i="2"/>
  <c r="H408" i="2"/>
  <c r="H407" i="2"/>
  <c r="H406" i="2"/>
  <c r="H404" i="2"/>
  <c r="H403" i="2"/>
  <c r="H402" i="2"/>
  <c r="H401" i="2"/>
  <c r="H400" i="2"/>
  <c r="H398" i="2"/>
  <c r="H397" i="2"/>
  <c r="H396" i="2"/>
  <c r="H395" i="2"/>
  <c r="H394" i="2"/>
  <c r="H393" i="2"/>
  <c r="H391" i="2"/>
  <c r="H390" i="2"/>
  <c r="H389" i="2"/>
  <c r="H387" i="2"/>
  <c r="H384" i="2"/>
  <c r="H383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59" i="2"/>
  <c r="H358" i="2"/>
  <c r="H357" i="2"/>
  <c r="H356" i="2"/>
  <c r="H354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3" i="2"/>
  <c r="H332" i="2"/>
  <c r="H331" i="2"/>
  <c r="H330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1" i="2"/>
  <c r="H300" i="2"/>
  <c r="H299" i="2"/>
  <c r="H298" i="2"/>
  <c r="H297" i="2"/>
  <c r="H296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4" i="2"/>
  <c r="H243" i="2"/>
  <c r="H242" i="2"/>
  <c r="H240" i="2"/>
  <c r="H238" i="2"/>
  <c r="H235" i="2"/>
  <c r="H232" i="2"/>
  <c r="H231" i="2"/>
  <c r="H230" i="2"/>
  <c r="H229" i="2"/>
  <c r="H228" i="2"/>
  <c r="H227" i="2"/>
  <c r="H226" i="2"/>
  <c r="H225" i="2"/>
  <c r="H224" i="2"/>
  <c r="H223" i="2"/>
  <c r="H221" i="2"/>
  <c r="H220" i="2"/>
  <c r="H218" i="2"/>
  <c r="H217" i="2"/>
  <c r="H216" i="2"/>
  <c r="H214" i="2"/>
  <c r="H212" i="2"/>
  <c r="H211" i="2"/>
  <c r="H209" i="2"/>
  <c r="H208" i="2"/>
  <c r="H207" i="2"/>
  <c r="H206" i="2"/>
  <c r="H204" i="2"/>
  <c r="H203" i="2"/>
  <c r="H202" i="2"/>
  <c r="H201" i="2"/>
  <c r="H198" i="2"/>
  <c r="H197" i="2"/>
  <c r="H195" i="2"/>
  <c r="H192" i="2"/>
  <c r="H191" i="2"/>
  <c r="H190" i="2"/>
  <c r="H189" i="2"/>
  <c r="H188" i="2"/>
  <c r="H186" i="2"/>
  <c r="H185" i="2"/>
  <c r="H184" i="2"/>
  <c r="H183" i="2"/>
  <c r="H182" i="2"/>
  <c r="H180" i="2"/>
  <c r="H179" i="2"/>
  <c r="H178" i="2"/>
  <c r="H177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0" i="2"/>
  <c r="H159" i="2"/>
  <c r="H158" i="2"/>
  <c r="H157" i="2"/>
  <c r="H156" i="2"/>
  <c r="H155" i="2"/>
  <c r="H153" i="2"/>
  <c r="H152" i="2"/>
  <c r="H149" i="2"/>
  <c r="H146" i="2"/>
  <c r="H145" i="2"/>
  <c r="H142" i="2"/>
  <c r="H141" i="2"/>
  <c r="H140" i="2"/>
  <c r="H136" i="2"/>
  <c r="H135" i="2"/>
  <c r="H134" i="2"/>
  <c r="H132" i="2"/>
  <c r="H131" i="2"/>
  <c r="H130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1" i="2"/>
  <c r="H109" i="2"/>
  <c r="H107" i="2"/>
  <c r="H106" i="2"/>
  <c r="H104" i="2"/>
  <c r="H103" i="2"/>
  <c r="H102" i="2"/>
  <c r="H101" i="2"/>
  <c r="H99" i="2"/>
  <c r="H97" i="2"/>
  <c r="H96" i="2"/>
  <c r="H95" i="2"/>
  <c r="H90" i="2"/>
  <c r="H89" i="2"/>
  <c r="H87" i="2"/>
  <c r="H85" i="2"/>
  <c r="H84" i="2"/>
  <c r="H83" i="2"/>
  <c r="H81" i="2"/>
  <c r="H80" i="2"/>
  <c r="H78" i="2"/>
  <c r="H77" i="2"/>
  <c r="H76" i="2"/>
  <c r="H75" i="2"/>
  <c r="H73" i="2"/>
  <c r="H71" i="2"/>
  <c r="H70" i="2"/>
  <c r="H69" i="2"/>
  <c r="H68" i="2"/>
  <c r="H67" i="2"/>
  <c r="H66" i="2"/>
  <c r="H65" i="2"/>
  <c r="H62" i="2"/>
  <c r="H61" i="2"/>
  <c r="H60" i="2"/>
  <c r="H59" i="2"/>
  <c r="H58" i="2"/>
  <c r="H57" i="2"/>
  <c r="H56" i="2"/>
  <c r="H55" i="2"/>
  <c r="H54" i="2"/>
  <c r="H52" i="2"/>
  <c r="H49" i="2"/>
  <c r="H47" i="2"/>
  <c r="H46" i="2"/>
  <c r="H45" i="2"/>
  <c r="H43" i="2"/>
  <c r="H42" i="2"/>
  <c r="H41" i="2"/>
  <c r="H40" i="2"/>
  <c r="H39" i="2"/>
  <c r="H38" i="2"/>
  <c r="H37" i="2"/>
  <c r="H36" i="2"/>
  <c r="H35" i="2"/>
  <c r="H34" i="2"/>
  <c r="H33" i="2"/>
  <c r="H31" i="2"/>
  <c r="H30" i="2"/>
  <c r="H28" i="2"/>
  <c r="H27" i="2"/>
  <c r="H26" i="2"/>
  <c r="H25" i="2"/>
  <c r="H24" i="2"/>
  <c r="H22" i="2"/>
  <c r="H21" i="2"/>
  <c r="H19" i="2"/>
  <c r="H18" i="2"/>
  <c r="H17" i="2"/>
  <c r="H16" i="2"/>
  <c r="H15" i="2"/>
  <c r="H14" i="2"/>
  <c r="H11" i="2"/>
  <c r="H10" i="2"/>
  <c r="H7" i="2"/>
  <c r="H6" i="2"/>
  <c r="H5" i="2"/>
  <c r="H4" i="2"/>
  <c r="H3" i="2"/>
  <c r="P12" i="8" l="1"/>
  <c r="P4" i="8"/>
  <c r="P80" i="8"/>
  <c r="P89" i="8"/>
  <c r="P71" i="8"/>
  <c r="P8" i="8"/>
  <c r="P96" i="8"/>
  <c r="P44" i="8"/>
  <c r="P112" i="8"/>
  <c r="P15" i="8"/>
  <c r="P87" i="8"/>
  <c r="P34" i="8"/>
  <c r="P62" i="8"/>
  <c r="P93" i="8"/>
  <c r="P50" i="8"/>
  <c r="P73" i="8"/>
  <c r="P47" i="8"/>
  <c r="P9" i="8"/>
  <c r="P90" i="8"/>
  <c r="P120" i="8"/>
  <c r="P6" i="8"/>
  <c r="P56" i="8"/>
  <c r="P66" i="8"/>
  <c r="P102" i="8"/>
  <c r="P60" i="8"/>
  <c r="P40" i="8"/>
  <c r="P70" i="8"/>
  <c r="P84" i="8"/>
  <c r="P10" i="8"/>
  <c r="P19" i="8"/>
  <c r="P121" i="8"/>
  <c r="P5" i="8"/>
  <c r="P114" i="8"/>
  <c r="P37" i="8"/>
  <c r="P85" i="8"/>
  <c r="P43" i="8"/>
  <c r="P51" i="8"/>
  <c r="P110" i="8"/>
  <c r="P52" i="8"/>
  <c r="P25" i="8"/>
  <c r="P100" i="8"/>
  <c r="P17" i="8"/>
  <c r="P49" i="8"/>
  <c r="P59" i="8"/>
  <c r="P7" i="8"/>
  <c r="P11" i="8"/>
  <c r="P77" i="8"/>
  <c r="P13" i="8"/>
  <c r="P74" i="8"/>
  <c r="P81" i="8"/>
  <c r="P38" i="8"/>
  <c r="P107" i="8"/>
  <c r="P63" i="8"/>
  <c r="P118" i="8"/>
  <c r="P109" i="8"/>
  <c r="P101" i="8"/>
  <c r="P16" i="8"/>
  <c r="P65" i="8"/>
  <c r="P55" i="8"/>
  <c r="P117" i="8"/>
  <c r="P69" i="8"/>
  <c r="P20" i="8"/>
  <c r="P42" i="8"/>
  <c r="P116" i="8"/>
  <c r="P119" i="8"/>
  <c r="P67" i="8"/>
  <c r="P86" i="8"/>
  <c r="P41" i="8"/>
  <c r="P79" i="8"/>
  <c r="P113" i="8"/>
  <c r="P39" i="8"/>
  <c r="P14" i="8"/>
  <c r="P76" i="8"/>
  <c r="P99" i="8"/>
  <c r="P48" i="8"/>
  <c r="P18" i="8"/>
  <c r="P46" i="8"/>
  <c r="P24" i="8"/>
  <c r="P27" i="8"/>
  <c r="P88" i="8"/>
  <c r="P33" i="8"/>
  <c r="P106" i="8"/>
  <c r="P75" i="8"/>
  <c r="P111" i="8"/>
  <c r="P57" i="8"/>
  <c r="P21" i="8"/>
  <c r="J104" i="13"/>
  <c r="J99" i="13"/>
  <c r="J67" i="13"/>
  <c r="J100" i="13"/>
  <c r="J123" i="13"/>
  <c r="J101" i="13"/>
  <c r="J96" i="13"/>
  <c r="J110" i="13"/>
  <c r="J76" i="13"/>
  <c r="J74" i="13"/>
  <c r="J80" i="13"/>
  <c r="J82" i="13"/>
  <c r="J68" i="13"/>
  <c r="J73" i="13"/>
  <c r="J84" i="13"/>
  <c r="J70" i="13"/>
  <c r="J119" i="13"/>
  <c r="J131" i="13"/>
  <c r="J65" i="13"/>
  <c r="J139" i="13"/>
  <c r="J105" i="13"/>
  <c r="J88" i="13"/>
  <c r="J97" i="13"/>
  <c r="J72" i="13"/>
  <c r="J108" i="13"/>
  <c r="J102" i="13"/>
  <c r="J71" i="13"/>
  <c r="J118" i="13"/>
  <c r="J59" i="13"/>
  <c r="J147" i="13"/>
  <c r="J111" i="13"/>
  <c r="J134" i="13"/>
  <c r="J64" i="13"/>
  <c r="J112" i="13"/>
  <c r="J83" i="13"/>
  <c r="J126" i="13"/>
  <c r="J109" i="13"/>
  <c r="J140" i="13"/>
  <c r="J125" i="13"/>
  <c r="J90" i="13"/>
  <c r="J138" i="13"/>
  <c r="J69" i="13"/>
  <c r="J128" i="13"/>
  <c r="J114" i="13"/>
  <c r="J103" i="13"/>
  <c r="J130" i="13"/>
  <c r="J113" i="13"/>
  <c r="J94" i="13"/>
  <c r="J127" i="13"/>
  <c r="J137" i="13"/>
  <c r="J133" i="13"/>
  <c r="J121" i="13"/>
  <c r="J62" i="13"/>
  <c r="J129" i="13"/>
  <c r="J117" i="13"/>
  <c r="J98" i="13"/>
  <c r="J93" i="13"/>
  <c r="J142" i="13"/>
  <c r="J107" i="13"/>
  <c r="J81" i="13"/>
  <c r="J63" i="13"/>
  <c r="J149" i="13"/>
  <c r="J91" i="13"/>
  <c r="J136" i="13"/>
  <c r="J122" i="13"/>
  <c r="J106" i="13"/>
  <c r="J141" i="13"/>
  <c r="J120" i="13"/>
  <c r="J66" i="13"/>
  <c r="J144" i="13"/>
  <c r="J115" i="13"/>
  <c r="J143" i="13"/>
  <c r="J95" i="13"/>
  <c r="J116" i="13"/>
  <c r="J92" i="13"/>
  <c r="J148" i="13"/>
  <c r="J60" i="13"/>
  <c r="J151" i="13"/>
  <c r="J77" i="13"/>
  <c r="J124" i="13"/>
  <c r="J145" i="13"/>
  <c r="J61" i="13"/>
  <c r="J86" i="13"/>
  <c r="J135" i="13"/>
  <c r="J87" i="13"/>
  <c r="J146" i="13"/>
  <c r="J89" i="13"/>
  <c r="J79" i="13"/>
  <c r="J75" i="13"/>
  <c r="J85" i="13"/>
  <c r="J78" i="13"/>
  <c r="J132" i="13"/>
  <c r="J150" i="13"/>
  <c r="N44" i="13"/>
  <c r="N46" i="13"/>
  <c r="N30" i="13"/>
  <c r="N21" i="13"/>
  <c r="N16" i="13"/>
  <c r="N50" i="13"/>
  <c r="N4" i="13"/>
  <c r="N26" i="13"/>
  <c r="N45" i="13"/>
  <c r="N3" i="13"/>
  <c r="N36" i="13"/>
  <c r="N55" i="13"/>
  <c r="N32" i="13"/>
  <c r="N9" i="13"/>
  <c r="N34" i="13"/>
  <c r="N33" i="13"/>
  <c r="N15" i="13"/>
  <c r="N40" i="13"/>
  <c r="N27" i="13"/>
  <c r="N29" i="13"/>
  <c r="N8" i="13"/>
  <c r="N14" i="13"/>
  <c r="N56" i="13"/>
  <c r="N38" i="13"/>
  <c r="N22" i="13"/>
  <c r="N52" i="13"/>
  <c r="N41" i="13"/>
  <c r="N12" i="13"/>
  <c r="N54" i="13"/>
  <c r="N5" i="13"/>
  <c r="N42" i="13"/>
  <c r="N49" i="13"/>
  <c r="N31" i="13"/>
  <c r="N39" i="13"/>
  <c r="N25" i="13"/>
  <c r="N57" i="13"/>
  <c r="N35" i="13"/>
  <c r="N20" i="13"/>
  <c r="N2" i="13"/>
  <c r="N53" i="13"/>
  <c r="N10" i="13"/>
  <c r="N13" i="13"/>
  <c r="N43" i="13"/>
  <c r="N47" i="13"/>
  <c r="N48" i="13"/>
  <c r="N37" i="13"/>
  <c r="N28" i="13"/>
  <c r="N6" i="13"/>
  <c r="N11" i="13"/>
  <c r="N19" i="13"/>
  <c r="N17" i="13"/>
  <c r="N24" i="13"/>
  <c r="N7" i="13"/>
  <c r="N23" i="13"/>
  <c r="N58" i="13"/>
  <c r="N51" i="13"/>
  <c r="N104" i="13"/>
  <c r="N99" i="13"/>
  <c r="N67" i="13"/>
  <c r="N100" i="13"/>
  <c r="N123" i="13"/>
  <c r="N101" i="13"/>
  <c r="N96" i="13"/>
  <c r="N110" i="13"/>
  <c r="N76" i="13"/>
  <c r="N74" i="13"/>
  <c r="N80" i="13"/>
  <c r="N82" i="13"/>
  <c r="N68" i="13"/>
  <c r="N73" i="13"/>
  <c r="N84" i="13"/>
  <c r="N70" i="13"/>
  <c r="N119" i="13"/>
  <c r="N131" i="13"/>
  <c r="N65" i="13"/>
  <c r="N139" i="13"/>
  <c r="N105" i="13"/>
  <c r="N88" i="13"/>
  <c r="N97" i="13"/>
  <c r="N72" i="13"/>
  <c r="N108" i="13"/>
  <c r="N102" i="13"/>
  <c r="N71" i="13"/>
  <c r="N118" i="13"/>
  <c r="N59" i="13"/>
  <c r="N147" i="13"/>
  <c r="N111" i="13"/>
  <c r="N134" i="13"/>
  <c r="N64" i="13"/>
  <c r="N112" i="13"/>
  <c r="N83" i="13"/>
  <c r="N126" i="13"/>
  <c r="N109" i="13"/>
  <c r="N140" i="13"/>
  <c r="N125" i="13"/>
  <c r="N90" i="13"/>
  <c r="N138" i="13"/>
  <c r="N69" i="13"/>
  <c r="N128" i="13"/>
  <c r="N114" i="13"/>
  <c r="N103" i="13"/>
  <c r="N130" i="13"/>
  <c r="N113" i="13"/>
  <c r="N94" i="13"/>
  <c r="N127" i="13"/>
  <c r="N137" i="13"/>
  <c r="N133" i="13"/>
  <c r="N121" i="13"/>
  <c r="N62" i="13"/>
  <c r="N129" i="13"/>
  <c r="N117" i="13"/>
  <c r="N98" i="13"/>
  <c r="N93" i="13"/>
  <c r="N142" i="13"/>
  <c r="N107" i="13"/>
  <c r="N81" i="13"/>
  <c r="N63" i="13"/>
  <c r="N149" i="13"/>
  <c r="N91" i="13"/>
  <c r="N136" i="13"/>
  <c r="N122" i="13"/>
  <c r="N106" i="13"/>
  <c r="N141" i="13"/>
  <c r="N120" i="13"/>
  <c r="N66" i="13"/>
  <c r="N144" i="13"/>
  <c r="N115" i="13"/>
  <c r="N143" i="13"/>
  <c r="N95" i="13"/>
  <c r="N116" i="13"/>
  <c r="N92" i="13"/>
  <c r="N148" i="13"/>
  <c r="N60" i="13"/>
  <c r="N151" i="13"/>
  <c r="N77" i="13"/>
  <c r="N124" i="13"/>
  <c r="N145" i="13"/>
  <c r="N61" i="13"/>
  <c r="N86" i="13"/>
  <c r="N135" i="13"/>
  <c r="N87" i="13"/>
  <c r="N146" i="13"/>
  <c r="N89" i="13"/>
  <c r="N79" i="13"/>
  <c r="N75" i="13"/>
  <c r="N85" i="13"/>
  <c r="N78" i="13"/>
  <c r="N132" i="13"/>
  <c r="N150" i="13"/>
  <c r="N18" i="13"/>
  <c r="E118" i="13"/>
  <c r="E132" i="13"/>
  <c r="E62" i="13"/>
  <c r="E102" i="13"/>
  <c r="E97" i="13"/>
  <c r="E109" i="13"/>
  <c r="E111" i="13"/>
  <c r="E123" i="13"/>
  <c r="E73" i="13"/>
  <c r="E85" i="13"/>
  <c r="E141" i="13"/>
  <c r="E68" i="13"/>
  <c r="E145" i="13"/>
  <c r="E74" i="13"/>
  <c r="E86" i="13"/>
  <c r="E107" i="13"/>
  <c r="E137" i="13"/>
  <c r="E139" i="13"/>
  <c r="E66" i="13"/>
  <c r="E115" i="13"/>
  <c r="E95" i="13"/>
  <c r="E149" i="13"/>
  <c r="E128" i="13"/>
  <c r="E136" i="13"/>
  <c r="E98" i="13"/>
  <c r="E122" i="13"/>
  <c r="E76" i="13"/>
  <c r="E148" i="13"/>
  <c r="E71" i="13"/>
  <c r="E87" i="13"/>
  <c r="E125" i="13"/>
  <c r="E65" i="13"/>
  <c r="E81" i="13"/>
  <c r="E94" i="13"/>
  <c r="E119" i="13"/>
  <c r="E138" i="13"/>
  <c r="E146" i="13"/>
  <c r="E144" i="13"/>
  <c r="E90" i="13"/>
  <c r="E143" i="13"/>
  <c r="E127" i="13"/>
  <c r="E150" i="13"/>
  <c r="E92" i="13"/>
  <c r="E78" i="13"/>
  <c r="E75" i="13"/>
  <c r="E79" i="13"/>
  <c r="E126" i="13"/>
  <c r="E82" i="13"/>
  <c r="E83" i="13"/>
  <c r="E117" i="13"/>
  <c r="E61" i="13"/>
  <c r="E96" i="13"/>
  <c r="P96" i="13" s="1"/>
  <c r="E135" i="13"/>
  <c r="E131" i="13"/>
  <c r="E105" i="13"/>
  <c r="E108" i="13"/>
  <c r="E120" i="13"/>
  <c r="E59" i="13"/>
  <c r="E151" i="13"/>
  <c r="E101" i="13"/>
  <c r="E67" i="13"/>
  <c r="E114" i="13"/>
  <c r="E63" i="13"/>
  <c r="E129" i="13"/>
  <c r="E70" i="13"/>
  <c r="E147" i="13"/>
  <c r="E116" i="13"/>
  <c r="E112" i="13"/>
  <c r="E106" i="13"/>
  <c r="E104" i="13"/>
  <c r="E113" i="13"/>
  <c r="E121" i="13"/>
  <c r="E77" i="13"/>
  <c r="E84" i="13"/>
  <c r="E100" i="13"/>
  <c r="E89" i="13"/>
  <c r="E99" i="13"/>
  <c r="E72" i="13"/>
  <c r="E64" i="13"/>
  <c r="E60" i="13"/>
  <c r="E124" i="13"/>
  <c r="E88" i="13"/>
  <c r="E110" i="13"/>
  <c r="E103" i="13"/>
  <c r="P103" i="13" s="1"/>
  <c r="E140" i="13"/>
  <c r="E93" i="13"/>
  <c r="E134" i="13"/>
  <c r="E142" i="13"/>
  <c r="E80" i="13"/>
  <c r="E91" i="13"/>
  <c r="E69" i="13"/>
  <c r="E130" i="13"/>
  <c r="E133" i="13"/>
  <c r="A51" i="13"/>
  <c r="A133" i="13"/>
  <c r="O133" i="13" s="1"/>
  <c r="A58" i="13"/>
  <c r="O58" i="13" s="1"/>
  <c r="P58" i="13" s="1"/>
  <c r="A130" i="13"/>
  <c r="O130" i="13" s="1"/>
  <c r="A23" i="13"/>
  <c r="O23" i="13" s="1"/>
  <c r="P23" i="13" s="1"/>
  <c r="A7" i="13"/>
  <c r="A69" i="13"/>
  <c r="O69" i="13" s="1"/>
  <c r="A91" i="13"/>
  <c r="O91" i="13" s="1"/>
  <c r="A80" i="13"/>
  <c r="O80" i="13" s="1"/>
  <c r="A142" i="13"/>
  <c r="O142" i="13" s="1"/>
  <c r="A134" i="13"/>
  <c r="O134" i="13" s="1"/>
  <c r="A93" i="13"/>
  <c r="O93" i="13" s="1"/>
  <c r="A140" i="13"/>
  <c r="O140" i="13" s="1"/>
  <c r="A24" i="13"/>
  <c r="O24" i="13" s="1"/>
  <c r="P24" i="13" s="1"/>
  <c r="A103" i="13"/>
  <c r="O103" i="13" s="1"/>
  <c r="A17" i="13"/>
  <c r="O17" i="13" s="1"/>
  <c r="P17" i="13" s="1"/>
  <c r="A110" i="13"/>
  <c r="O110" i="13" s="1"/>
  <c r="A19" i="13"/>
  <c r="A88" i="13"/>
  <c r="O88" i="13" s="1"/>
  <c r="A124" i="13"/>
  <c r="O124" i="13" s="1"/>
  <c r="A60" i="13"/>
  <c r="O60" i="13" s="1"/>
  <c r="A11" i="13"/>
  <c r="O11" i="13" s="1"/>
  <c r="P11" i="13" s="1"/>
  <c r="A6" i="13"/>
  <c r="O6" i="13" s="1"/>
  <c r="P6" i="13" s="1"/>
  <c r="A28" i="13"/>
  <c r="O28" i="13" s="1"/>
  <c r="P28" i="13" s="1"/>
  <c r="A37" i="13"/>
  <c r="A64" i="13"/>
  <c r="O64" i="13" s="1"/>
  <c r="A72" i="13"/>
  <c r="O72" i="13" s="1"/>
  <c r="A99" i="13"/>
  <c r="O99" i="13" s="1"/>
  <c r="A89" i="13"/>
  <c r="O89" i="13" s="1"/>
  <c r="A100" i="13"/>
  <c r="O100" i="13" s="1"/>
  <c r="A48" i="13"/>
  <c r="O48" i="13" s="1"/>
  <c r="P48" i="13" s="1"/>
  <c r="A84" i="13"/>
  <c r="O84" i="13" s="1"/>
  <c r="A47" i="13"/>
  <c r="O47" i="13" s="1"/>
  <c r="P47" i="13" s="1"/>
  <c r="A43" i="13"/>
  <c r="O43" i="13" s="1"/>
  <c r="P43" i="13" s="1"/>
  <c r="A13" i="13"/>
  <c r="O13" i="13" s="1"/>
  <c r="P13" i="13" s="1"/>
  <c r="A10" i="13"/>
  <c r="O10" i="13" s="1"/>
  <c r="P10" i="13" s="1"/>
  <c r="A53" i="13"/>
  <c r="A2" i="13"/>
  <c r="O2" i="13" s="1"/>
  <c r="P2" i="13" s="1"/>
  <c r="A20" i="13"/>
  <c r="A77" i="13"/>
  <c r="O77" i="13" s="1"/>
  <c r="A35" i="13"/>
  <c r="A121" i="13"/>
  <c r="O121" i="13" s="1"/>
  <c r="A57" i="13"/>
  <c r="O57" i="13" s="1"/>
  <c r="P57" i="13" s="1"/>
  <c r="A113" i="13"/>
  <c r="O113" i="13" s="1"/>
  <c r="A25" i="13"/>
  <c r="O25" i="13" s="1"/>
  <c r="P25" i="13" s="1"/>
  <c r="A104" i="13"/>
  <c r="O104" i="13" s="1"/>
  <c r="A39" i="13"/>
  <c r="A31" i="13"/>
  <c r="O31" i="13" s="1"/>
  <c r="P31" i="13" s="1"/>
  <c r="A106" i="13"/>
  <c r="O106" i="13" s="1"/>
  <c r="A49" i="13"/>
  <c r="O49" i="13" s="1"/>
  <c r="P49" i="13" s="1"/>
  <c r="A42" i="13"/>
  <c r="O42" i="13" s="1"/>
  <c r="P42" i="13" s="1"/>
  <c r="A112" i="13"/>
  <c r="O112" i="13" s="1"/>
  <c r="A116" i="13"/>
  <c r="O116" i="13" s="1"/>
  <c r="A5" i="13"/>
  <c r="A147" i="13"/>
  <c r="O147" i="13" s="1"/>
  <c r="A70" i="13"/>
  <c r="O70" i="13" s="1"/>
  <c r="A54" i="13"/>
  <c r="A12" i="13"/>
  <c r="O12" i="13" s="1"/>
  <c r="P12" i="13" s="1"/>
  <c r="A129" i="13"/>
  <c r="O129" i="13" s="1"/>
  <c r="A63" i="13"/>
  <c r="O63" i="13" s="1"/>
  <c r="A41" i="13"/>
  <c r="O41" i="13" s="1"/>
  <c r="P41" i="13" s="1"/>
  <c r="A114" i="13"/>
  <c r="O114" i="13" s="1"/>
  <c r="A67" i="13"/>
  <c r="O67" i="13" s="1"/>
  <c r="A52" i="13"/>
  <c r="O52" i="13" s="1"/>
  <c r="P52" i="13" s="1"/>
  <c r="A101" i="13"/>
  <c r="O101" i="13" s="1"/>
  <c r="A151" i="13"/>
  <c r="O151" i="13" s="1"/>
  <c r="A59" i="13"/>
  <c r="O59" i="13" s="1"/>
  <c r="A22" i="13"/>
  <c r="A38" i="13"/>
  <c r="A56" i="13"/>
  <c r="A120" i="13"/>
  <c r="O120" i="13" s="1"/>
  <c r="A108" i="13"/>
  <c r="O108" i="13" s="1"/>
  <c r="A105" i="13"/>
  <c r="O105" i="13" s="1"/>
  <c r="A14" i="13"/>
  <c r="O14" i="13" s="1"/>
  <c r="P14" i="13" s="1"/>
  <c r="A131" i="13"/>
  <c r="O131" i="13" s="1"/>
  <c r="A135" i="13"/>
  <c r="O135" i="13" s="1"/>
  <c r="A8" i="13"/>
  <c r="O8" i="13" s="1"/>
  <c r="P8" i="13" s="1"/>
  <c r="A96" i="13"/>
  <c r="O96" i="13" s="1"/>
  <c r="A29" i="13"/>
  <c r="O29" i="13" s="1"/>
  <c r="P29" i="13" s="1"/>
  <c r="A27" i="13"/>
  <c r="O27" i="13" s="1"/>
  <c r="P27" i="13" s="1"/>
  <c r="A61" i="13"/>
  <c r="O61" i="13" s="1"/>
  <c r="A117" i="13"/>
  <c r="O117" i="13" s="1"/>
  <c r="A83" i="13"/>
  <c r="O83" i="13" s="1"/>
  <c r="A40" i="13"/>
  <c r="O40" i="13" s="1"/>
  <c r="P40" i="13" s="1"/>
  <c r="A15" i="13"/>
  <c r="O15" i="13" s="1"/>
  <c r="P15" i="13" s="1"/>
  <c r="A33" i="13"/>
  <c r="O33" i="13" s="1"/>
  <c r="P33" i="13" s="1"/>
  <c r="A82" i="13"/>
  <c r="O82" i="13" s="1"/>
  <c r="A126" i="13"/>
  <c r="O126" i="13" s="1"/>
  <c r="A79" i="13"/>
  <c r="O79" i="13" s="1"/>
  <c r="A34" i="13"/>
  <c r="O34" i="13" s="1"/>
  <c r="P34" i="13" s="1"/>
  <c r="A9" i="13"/>
  <c r="O9" i="13" s="1"/>
  <c r="P9" i="13" s="1"/>
  <c r="A75" i="13"/>
  <c r="O75" i="13" s="1"/>
  <c r="A78" i="13"/>
  <c r="O78" i="13" s="1"/>
  <c r="A92" i="13"/>
  <c r="O92" i="13" s="1"/>
  <c r="A150" i="13"/>
  <c r="A127" i="13"/>
  <c r="O127" i="13" s="1"/>
  <c r="A143" i="13"/>
  <c r="O143" i="13" s="1"/>
  <c r="A90" i="13"/>
  <c r="O90" i="13" s="1"/>
  <c r="A144" i="13"/>
  <c r="O144" i="13" s="1"/>
  <c r="A146" i="13"/>
  <c r="O146" i="13" s="1"/>
  <c r="A138" i="13"/>
  <c r="O138" i="13" s="1"/>
  <c r="A119" i="13"/>
  <c r="A32" i="13"/>
  <c r="O32" i="13" s="1"/>
  <c r="P32" i="13" s="1"/>
  <c r="A55" i="13"/>
  <c r="O55" i="13" s="1"/>
  <c r="P55" i="13" s="1"/>
  <c r="A94" i="13"/>
  <c r="O94" i="13" s="1"/>
  <c r="A81" i="13"/>
  <c r="O81" i="13" s="1"/>
  <c r="A65" i="13"/>
  <c r="O65" i="13" s="1"/>
  <c r="A125" i="13"/>
  <c r="O125" i="13" s="1"/>
  <c r="A87" i="13"/>
  <c r="O87" i="13" s="1"/>
  <c r="A71" i="13"/>
  <c r="O71" i="13" s="1"/>
  <c r="A148" i="13"/>
  <c r="A76" i="13"/>
  <c r="O76" i="13" s="1"/>
  <c r="A122" i="13"/>
  <c r="O122" i="13" s="1"/>
  <c r="A36" i="13"/>
  <c r="A3" i="13"/>
  <c r="A45" i="13"/>
  <c r="O45" i="13" s="1"/>
  <c r="P45" i="13" s="1"/>
  <c r="A26" i="13"/>
  <c r="O26" i="13" s="1"/>
  <c r="P26" i="13" s="1"/>
  <c r="A98" i="13"/>
  <c r="O98" i="13" s="1"/>
  <c r="A136" i="13"/>
  <c r="O136" i="13" s="1"/>
  <c r="A128" i="13"/>
  <c r="O128" i="13" s="1"/>
  <c r="A149" i="13"/>
  <c r="O149" i="13" s="1"/>
  <c r="A4" i="13"/>
  <c r="A95" i="13"/>
  <c r="O95" i="13" s="1"/>
  <c r="A115" i="13"/>
  <c r="O115" i="13" s="1"/>
  <c r="A66" i="13"/>
  <c r="O66" i="13" s="1"/>
  <c r="A139" i="13"/>
  <c r="O139" i="13" s="1"/>
  <c r="A137" i="13"/>
  <c r="O137" i="13" s="1"/>
  <c r="A50" i="13"/>
  <c r="O50" i="13" s="1"/>
  <c r="P50" i="13" s="1"/>
  <c r="A16" i="13"/>
  <c r="O16" i="13" s="1"/>
  <c r="P16" i="13" s="1"/>
  <c r="A107" i="13"/>
  <c r="O107" i="13" s="1"/>
  <c r="A21" i="13"/>
  <c r="A86" i="13"/>
  <c r="A74" i="13"/>
  <c r="O74" i="13" s="1"/>
  <c r="A145" i="13"/>
  <c r="O145" i="13" s="1"/>
  <c r="A68" i="13"/>
  <c r="O68" i="13" s="1"/>
  <c r="A30" i="13"/>
  <c r="O30" i="13" s="1"/>
  <c r="P30" i="13" s="1"/>
  <c r="A141" i="13"/>
  <c r="O141" i="13" s="1"/>
  <c r="A85" i="13"/>
  <c r="O85" i="13" s="1"/>
  <c r="A46" i="13"/>
  <c r="O46" i="13" s="1"/>
  <c r="P46" i="13" s="1"/>
  <c r="A44" i="13"/>
  <c r="O44" i="13" s="1"/>
  <c r="P44" i="13" s="1"/>
  <c r="A73" i="13"/>
  <c r="O73" i="13" s="1"/>
  <c r="A123" i="13"/>
  <c r="O123" i="13" s="1"/>
  <c r="A111" i="13"/>
  <c r="O111" i="13" s="1"/>
  <c r="A109" i="13"/>
  <c r="O109" i="13" s="1"/>
  <c r="A97" i="13"/>
  <c r="O97" i="13" s="1"/>
  <c r="A102" i="13"/>
  <c r="O102" i="13" s="1"/>
  <c r="A62" i="13"/>
  <c r="O62" i="13" s="1"/>
  <c r="A132" i="13"/>
  <c r="O132" i="13" s="1"/>
  <c r="A118" i="13"/>
  <c r="O118" i="13" s="1"/>
  <c r="A18" i="13"/>
  <c r="O18" i="13" s="1"/>
  <c r="P18" i="13" s="1"/>
  <c r="Q4" i="6"/>
  <c r="K65" i="6"/>
  <c r="G65" i="6"/>
  <c r="K64" i="6"/>
  <c r="G64" i="6"/>
  <c r="K63" i="6"/>
  <c r="G63" i="6"/>
  <c r="K62" i="6"/>
  <c r="G62" i="6"/>
  <c r="K61" i="6"/>
  <c r="G61" i="6"/>
  <c r="K60" i="6"/>
  <c r="G60" i="6"/>
  <c r="K59" i="6"/>
  <c r="G59" i="6"/>
  <c r="K58" i="6"/>
  <c r="G58" i="6"/>
  <c r="O51" i="6"/>
  <c r="G51" i="6"/>
  <c r="O23" i="6"/>
  <c r="G23" i="6"/>
  <c r="O7" i="6"/>
  <c r="G7" i="6"/>
  <c r="O24" i="6"/>
  <c r="G24" i="6"/>
  <c r="O17" i="6"/>
  <c r="G17" i="6"/>
  <c r="O19" i="6"/>
  <c r="G19" i="6"/>
  <c r="O11" i="6"/>
  <c r="G11" i="6"/>
  <c r="O6" i="6"/>
  <c r="G6" i="6"/>
  <c r="O28" i="6"/>
  <c r="G28" i="6"/>
  <c r="O37" i="6"/>
  <c r="G37" i="6"/>
  <c r="O48" i="6"/>
  <c r="G48" i="6"/>
  <c r="O47" i="6"/>
  <c r="G47" i="6"/>
  <c r="O43" i="6"/>
  <c r="G43" i="6"/>
  <c r="O13" i="6"/>
  <c r="G13" i="6"/>
  <c r="O10" i="6"/>
  <c r="G10" i="6"/>
  <c r="O53" i="6"/>
  <c r="G53" i="6"/>
  <c r="O2" i="6"/>
  <c r="G2" i="6"/>
  <c r="O20" i="6"/>
  <c r="G20" i="6"/>
  <c r="O35" i="6"/>
  <c r="G35" i="6"/>
  <c r="O57" i="6"/>
  <c r="G57" i="6"/>
  <c r="O25" i="6"/>
  <c r="G25" i="6"/>
  <c r="O39" i="6"/>
  <c r="G39" i="6"/>
  <c r="O31" i="6"/>
  <c r="G31" i="6"/>
  <c r="O49" i="6"/>
  <c r="G49" i="6"/>
  <c r="O42" i="6"/>
  <c r="G42" i="6"/>
  <c r="O5" i="6"/>
  <c r="G5" i="6"/>
  <c r="O54" i="6"/>
  <c r="G54" i="6"/>
  <c r="O12" i="6"/>
  <c r="G12" i="6"/>
  <c r="O41" i="6"/>
  <c r="G41" i="6"/>
  <c r="O52" i="6"/>
  <c r="G52" i="6"/>
  <c r="O22" i="6"/>
  <c r="G22" i="6"/>
  <c r="O38" i="6"/>
  <c r="G38" i="6"/>
  <c r="O56" i="6"/>
  <c r="G56" i="6"/>
  <c r="O14" i="6"/>
  <c r="G14" i="6"/>
  <c r="O8" i="6"/>
  <c r="G8" i="6"/>
  <c r="O29" i="6"/>
  <c r="G29" i="6"/>
  <c r="O27" i="6"/>
  <c r="G27" i="6"/>
  <c r="O40" i="6"/>
  <c r="G40" i="6"/>
  <c r="O15" i="6"/>
  <c r="G15" i="6"/>
  <c r="O33" i="6"/>
  <c r="G33" i="6"/>
  <c r="O34" i="6"/>
  <c r="G34" i="6"/>
  <c r="O9" i="6"/>
  <c r="G9" i="6"/>
  <c r="O32" i="6"/>
  <c r="G32" i="6"/>
  <c r="O55" i="6"/>
  <c r="G55" i="6"/>
  <c r="O36" i="6"/>
  <c r="G36" i="6"/>
  <c r="O3" i="6"/>
  <c r="G3" i="6"/>
  <c r="O45" i="6"/>
  <c r="G45" i="6"/>
  <c r="O26" i="6"/>
  <c r="G26" i="6"/>
  <c r="O4" i="6"/>
  <c r="G4" i="6"/>
  <c r="O50" i="6"/>
  <c r="G50" i="6"/>
  <c r="O16" i="6"/>
  <c r="G16" i="6"/>
  <c r="O21" i="6"/>
  <c r="G21" i="6"/>
  <c r="O30" i="6"/>
  <c r="G30" i="6"/>
  <c r="O46" i="6"/>
  <c r="G46" i="6"/>
  <c r="O44" i="6"/>
  <c r="G44" i="6"/>
  <c r="O18" i="6"/>
  <c r="G18" i="6"/>
  <c r="E4" i="6"/>
  <c r="P115" i="13" l="1"/>
  <c r="P64" i="13"/>
  <c r="P63" i="13"/>
  <c r="P125" i="13"/>
  <c r="P110" i="13"/>
  <c r="P102" i="13"/>
  <c r="P88" i="13"/>
  <c r="P117" i="13"/>
  <c r="P94" i="13"/>
  <c r="P139" i="13"/>
  <c r="P83" i="13"/>
  <c r="P137" i="13"/>
  <c r="P112" i="13"/>
  <c r="P141" i="13"/>
  <c r="P62" i="13"/>
  <c r="P138" i="13"/>
  <c r="P116" i="13"/>
  <c r="P61" i="13"/>
  <c r="P66" i="13"/>
  <c r="P132" i="13"/>
  <c r="P70" i="13"/>
  <c r="P81" i="13"/>
  <c r="P129" i="13"/>
  <c r="P65" i="13"/>
  <c r="P107" i="13"/>
  <c r="P126" i="13"/>
  <c r="P133" i="13"/>
  <c r="P99" i="13"/>
  <c r="P67" i="13"/>
  <c r="P75" i="13"/>
  <c r="P71" i="13"/>
  <c r="P89" i="13"/>
  <c r="P101" i="13"/>
  <c r="P78" i="13"/>
  <c r="P91" i="13"/>
  <c r="P85" i="13"/>
  <c r="P124" i="13"/>
  <c r="P118" i="13"/>
  <c r="P72" i="13"/>
  <c r="P114" i="13"/>
  <c r="P79" i="13"/>
  <c r="P87" i="13"/>
  <c r="P74" i="13"/>
  <c r="P60" i="13"/>
  <c r="P147" i="13"/>
  <c r="P84" i="13"/>
  <c r="P122" i="13"/>
  <c r="P69" i="13"/>
  <c r="P151" i="13"/>
  <c r="P59" i="13"/>
  <c r="P80" i="13"/>
  <c r="P77" i="13"/>
  <c r="P120" i="13"/>
  <c r="P127" i="13"/>
  <c r="P98" i="13"/>
  <c r="P73" i="13"/>
  <c r="P100" i="13"/>
  <c r="P76" i="13"/>
  <c r="P142" i="13"/>
  <c r="P121" i="13"/>
  <c r="P108" i="13"/>
  <c r="P143" i="13"/>
  <c r="P136" i="13"/>
  <c r="P123" i="13"/>
  <c r="P92" i="13"/>
  <c r="P134" i="13"/>
  <c r="P113" i="13"/>
  <c r="P105" i="13"/>
  <c r="P90" i="13"/>
  <c r="P128" i="13"/>
  <c r="P111" i="13"/>
  <c r="P130" i="13"/>
  <c r="P93" i="13"/>
  <c r="P104" i="13"/>
  <c r="P131" i="13"/>
  <c r="P144" i="13"/>
  <c r="P149" i="13"/>
  <c r="P109" i="13"/>
  <c r="P82" i="13"/>
  <c r="P145" i="13"/>
  <c r="P68" i="13"/>
  <c r="P140" i="13"/>
  <c r="P106" i="13"/>
  <c r="P135" i="13"/>
  <c r="P146" i="13"/>
  <c r="P95" i="13"/>
  <c r="P97" i="13"/>
  <c r="O119" i="13"/>
  <c r="P119" i="13" s="1"/>
  <c r="O39" i="13"/>
  <c r="P39" i="13" s="1"/>
  <c r="O7" i="13"/>
  <c r="P7" i="13" s="1"/>
  <c r="O56" i="13"/>
  <c r="P56" i="13" s="1"/>
  <c r="O150" i="13"/>
  <c r="P150" i="13" s="1"/>
  <c r="O86" i="13"/>
  <c r="P86" i="13" s="1"/>
  <c r="O54" i="13"/>
  <c r="P54" i="13" s="1"/>
  <c r="O38" i="13"/>
  <c r="P38" i="13" s="1"/>
  <c r="O22" i="13"/>
  <c r="P22" i="13" s="1"/>
  <c r="O53" i="13"/>
  <c r="P53" i="13" s="1"/>
  <c r="O37" i="13"/>
  <c r="P37" i="13" s="1"/>
  <c r="O21" i="13"/>
  <c r="P21" i="13" s="1"/>
  <c r="O5" i="13"/>
  <c r="P5" i="13" s="1"/>
  <c r="O148" i="13"/>
  <c r="P148" i="13" s="1"/>
  <c r="O36" i="13"/>
  <c r="P36" i="13" s="1"/>
  <c r="O20" i="13"/>
  <c r="P20" i="13" s="1"/>
  <c r="O4" i="13"/>
  <c r="P4" i="13" s="1"/>
  <c r="O51" i="13"/>
  <c r="P51" i="13" s="1"/>
  <c r="O35" i="13"/>
  <c r="P35" i="13" s="1"/>
  <c r="O19" i="13"/>
  <c r="P19" i="13" s="1"/>
  <c r="O3" i="13"/>
  <c r="P3" i="13" s="1"/>
  <c r="A81" i="6" l="1"/>
  <c r="A25" i="6"/>
  <c r="A42" i="6"/>
  <c r="A77" i="6"/>
  <c r="A12" i="6"/>
  <c r="A36" i="6"/>
  <c r="A23" i="6"/>
  <c r="A90" i="6"/>
  <c r="A82" i="6"/>
  <c r="A38" i="6"/>
  <c r="A88" i="6"/>
  <c r="A105" i="6"/>
  <c r="A49" i="6"/>
  <c r="A56" i="6"/>
  <c r="A33" i="6"/>
  <c r="A71" i="6"/>
  <c r="A3" i="6"/>
  <c r="A7" i="6"/>
  <c r="A15" i="6"/>
  <c r="A45" i="6"/>
  <c r="A34" i="6"/>
  <c r="A46" i="6"/>
  <c r="A28" i="6"/>
  <c r="A80" i="6"/>
  <c r="A20" i="6"/>
  <c r="A103" i="6"/>
  <c r="A68" i="6"/>
  <c r="A59" i="6"/>
  <c r="A50" i="6"/>
  <c r="A52" i="6"/>
  <c r="A58" i="6"/>
  <c r="A62" i="6"/>
  <c r="A95" i="6"/>
  <c r="A13" i="6"/>
  <c r="A76" i="6"/>
  <c r="A6" i="6"/>
  <c r="A60" i="6"/>
  <c r="A10" i="6"/>
  <c r="A47" i="6"/>
  <c r="A99" i="6"/>
  <c r="A2" i="6"/>
  <c r="A67" i="6"/>
  <c r="A54" i="6"/>
  <c r="A51" i="6"/>
  <c r="A78" i="6"/>
  <c r="A83" i="6"/>
  <c r="A100" i="6"/>
  <c r="A41" i="6"/>
  <c r="A32" i="6"/>
  <c r="A4" i="6"/>
  <c r="A63" i="6"/>
  <c r="A27" i="6"/>
  <c r="A26" i="6"/>
  <c r="A73" i="6"/>
  <c r="A22" i="6"/>
  <c r="A18" i="6"/>
  <c r="A21" i="6"/>
  <c r="A37" i="6"/>
  <c r="A98" i="6"/>
  <c r="A74" i="6"/>
  <c r="A91" i="6"/>
  <c r="A35" i="6"/>
  <c r="A92" i="6"/>
  <c r="A94" i="6"/>
  <c r="A86" i="6"/>
  <c r="A66" i="6"/>
  <c r="A39" i="6"/>
  <c r="A24" i="6"/>
  <c r="A8" i="6"/>
  <c r="A65" i="6"/>
  <c r="A72" i="6"/>
  <c r="A31" i="6"/>
  <c r="A14" i="6"/>
  <c r="A96" i="6"/>
  <c r="A19" i="6"/>
  <c r="A69" i="6"/>
  <c r="A102" i="6"/>
  <c r="A101" i="6"/>
  <c r="A44" i="6"/>
  <c r="A104" i="6"/>
  <c r="A84" i="6"/>
  <c r="A75" i="6"/>
  <c r="A97" i="6"/>
  <c r="A40" i="6"/>
  <c r="A61" i="6"/>
  <c r="A9" i="6"/>
  <c r="A87" i="6"/>
  <c r="A85" i="6"/>
  <c r="A53" i="6"/>
  <c r="A30" i="6"/>
  <c r="A17" i="6"/>
  <c r="A93" i="6"/>
  <c r="A11" i="6"/>
  <c r="A89" i="6"/>
  <c r="A29" i="6"/>
  <c r="A16" i="6"/>
  <c r="A70" i="6"/>
  <c r="A57" i="6"/>
  <c r="A55" i="6"/>
  <c r="A43" i="6"/>
  <c r="A48" i="6"/>
  <c r="A5" i="6"/>
  <c r="A79" i="6"/>
  <c r="A64" i="6"/>
  <c r="H3864" i="1"/>
  <c r="H3861" i="1"/>
  <c r="H3854" i="1"/>
  <c r="H3850" i="1"/>
  <c r="H3847" i="1"/>
  <c r="H3845" i="1"/>
  <c r="H3838" i="1"/>
  <c r="H3835" i="1"/>
  <c r="H3834" i="1"/>
  <c r="H3833" i="1"/>
  <c r="H3828" i="1"/>
  <c r="H3816" i="1"/>
  <c r="H3812" i="1"/>
  <c r="H3808" i="1"/>
  <c r="H3806" i="1"/>
  <c r="H3801" i="1"/>
  <c r="H3800" i="1"/>
  <c r="H3795" i="1"/>
  <c r="H3787" i="1"/>
  <c r="H3785" i="1"/>
  <c r="H3782" i="1"/>
  <c r="H3776" i="1"/>
  <c r="H3775" i="1"/>
  <c r="H3773" i="1"/>
  <c r="H3771" i="1"/>
  <c r="H3768" i="1"/>
  <c r="H3765" i="1"/>
  <c r="H3759" i="1"/>
  <c r="H3753" i="1"/>
  <c r="H3752" i="1"/>
  <c r="H3751" i="1"/>
  <c r="H3745" i="1"/>
  <c r="H3744" i="1"/>
  <c r="H3743" i="1"/>
  <c r="H3742" i="1"/>
  <c r="H3741" i="1"/>
  <c r="H3739" i="1"/>
  <c r="H3727" i="1"/>
  <c r="H3725" i="1"/>
  <c r="H3723" i="1"/>
  <c r="H3708" i="1"/>
  <c r="H3704" i="1"/>
  <c r="H3703" i="1"/>
  <c r="H3697" i="1"/>
  <c r="H3696" i="1"/>
  <c r="H3694" i="1"/>
  <c r="H3691" i="1"/>
  <c r="H3686" i="1"/>
  <c r="H3680" i="1"/>
  <c r="H3676" i="1"/>
  <c r="H3667" i="1"/>
  <c r="H3666" i="1"/>
  <c r="H3661" i="1"/>
  <c r="H3646" i="1"/>
  <c r="H3644" i="1"/>
  <c r="H3634" i="1"/>
  <c r="H3632" i="1"/>
  <c r="H3620" i="1"/>
  <c r="H3616" i="1"/>
  <c r="H3613" i="1"/>
  <c r="H3611" i="1"/>
  <c r="H3610" i="1"/>
  <c r="H3603" i="1"/>
  <c r="H3601" i="1"/>
  <c r="H3590" i="1"/>
  <c r="H3589" i="1"/>
  <c r="H3583" i="1"/>
  <c r="H3578" i="1"/>
  <c r="H3577" i="1"/>
  <c r="H3576" i="1"/>
  <c r="H3571" i="1"/>
  <c r="H3566" i="1"/>
  <c r="H3556" i="1"/>
  <c r="H3555" i="1"/>
  <c r="H3552" i="1"/>
  <c r="H3549" i="1"/>
  <c r="H3548" i="1"/>
  <c r="H3544" i="1"/>
  <c r="H3532" i="1"/>
  <c r="H3528" i="1"/>
  <c r="H3526" i="1"/>
  <c r="H3525" i="1"/>
  <c r="H3519" i="1"/>
  <c r="H3517" i="1"/>
  <c r="H3514" i="1"/>
  <c r="H3508" i="1"/>
  <c r="H3504" i="1"/>
  <c r="H3500" i="1"/>
  <c r="H3488" i="1"/>
  <c r="H3482" i="1"/>
  <c r="H3481" i="1"/>
  <c r="H3478" i="1"/>
  <c r="H3470" i="1"/>
  <c r="H3466" i="1"/>
  <c r="H3460" i="1"/>
  <c r="H3459" i="1"/>
  <c r="H3454" i="1"/>
  <c r="H3451" i="1"/>
  <c r="H3445" i="1"/>
  <c r="H3444" i="1"/>
  <c r="H3434" i="1"/>
  <c r="H3432" i="1"/>
  <c r="H3424" i="1"/>
  <c r="H3423" i="1"/>
  <c r="H3414" i="1"/>
  <c r="H3412" i="1"/>
  <c r="H3408" i="1"/>
  <c r="H3407" i="1"/>
  <c r="H3406" i="1"/>
  <c r="H3400" i="1"/>
  <c r="H3398" i="1"/>
  <c r="H3395" i="1"/>
  <c r="H3389" i="1"/>
  <c r="H3386" i="1"/>
  <c r="H3384" i="1"/>
  <c r="H3375" i="1"/>
  <c r="H3374" i="1"/>
  <c r="H3371" i="1"/>
  <c r="H3370" i="1"/>
  <c r="H3365" i="1"/>
  <c r="H3363" i="1"/>
  <c r="H3359" i="1"/>
  <c r="H3358" i="1"/>
  <c r="H3354" i="1"/>
  <c r="H3353" i="1"/>
  <c r="H3351" i="1"/>
  <c r="H3346" i="1"/>
  <c r="H3343" i="1"/>
  <c r="H3341" i="1"/>
  <c r="H3337" i="1"/>
  <c r="H3332" i="1"/>
  <c r="H3329" i="1"/>
  <c r="H3328" i="1"/>
  <c r="H3325" i="1"/>
  <c r="H3322" i="1"/>
  <c r="H3320" i="1"/>
  <c r="H3307" i="1"/>
  <c r="H3306" i="1"/>
  <c r="H3303" i="1"/>
  <c r="H3287" i="1"/>
  <c r="H3281" i="1"/>
  <c r="H3276" i="1"/>
  <c r="H3274" i="1"/>
  <c r="H3272" i="1"/>
  <c r="H3267" i="1"/>
  <c r="H3263" i="1"/>
  <c r="H3262" i="1"/>
  <c r="H3261" i="1"/>
  <c r="H3256" i="1"/>
  <c r="H3255" i="1"/>
  <c r="H3243" i="1"/>
  <c r="H3232" i="1"/>
  <c r="H3231" i="1"/>
  <c r="H3227" i="1"/>
  <c r="H3220" i="1"/>
  <c r="H3219" i="1"/>
  <c r="H3218" i="1"/>
  <c r="H3217" i="1"/>
  <c r="H3213" i="1"/>
  <c r="H3210" i="1"/>
  <c r="H3206" i="1"/>
  <c r="H3205" i="1"/>
  <c r="H3204" i="1"/>
  <c r="H3202" i="1"/>
  <c r="H3198" i="1"/>
  <c r="H3170" i="1"/>
  <c r="H3156" i="1"/>
  <c r="H3148" i="1"/>
  <c r="H3145" i="1"/>
  <c r="H3142" i="1"/>
  <c r="H3140" i="1"/>
  <c r="H3139" i="1"/>
  <c r="H3138" i="1"/>
  <c r="H3136" i="1"/>
  <c r="H3132" i="1"/>
  <c r="H3131" i="1"/>
  <c r="H3129" i="1"/>
  <c r="H3109" i="1"/>
  <c r="H3108" i="1"/>
  <c r="H3104" i="1"/>
  <c r="H3103" i="1"/>
  <c r="H3092" i="1"/>
  <c r="H3089" i="1"/>
  <c r="H3088" i="1"/>
  <c r="H3072" i="1"/>
  <c r="H3069" i="1"/>
  <c r="H3060" i="1"/>
  <c r="H3051" i="1"/>
  <c r="H3049" i="1"/>
  <c r="H3036" i="1"/>
  <c r="H3032" i="1"/>
  <c r="H3026" i="1"/>
  <c r="H3023" i="1"/>
  <c r="H3022" i="1"/>
  <c r="H3013" i="1"/>
  <c r="H3012" i="1"/>
  <c r="H3007" i="1"/>
  <c r="H3001" i="1"/>
  <c r="H3000" i="1"/>
  <c r="H2973" i="1"/>
  <c r="H2960" i="1"/>
  <c r="H2957" i="1"/>
  <c r="H2956" i="1"/>
  <c r="H2950" i="1"/>
  <c r="H2944" i="1"/>
  <c r="H2941" i="1"/>
  <c r="H2936" i="1"/>
  <c r="H2933" i="1"/>
  <c r="H2921" i="1"/>
  <c r="H2920" i="1"/>
  <c r="H2919" i="1"/>
  <c r="H2911" i="1"/>
  <c r="H2899" i="1"/>
  <c r="H2894" i="1"/>
  <c r="H2886" i="1"/>
  <c r="H2883" i="1"/>
  <c r="H2881" i="1"/>
  <c r="H2874" i="1"/>
  <c r="H2864" i="1"/>
  <c r="H2860" i="1"/>
  <c r="H2859" i="1"/>
  <c r="H2858" i="1"/>
  <c r="H2855" i="1"/>
  <c r="H2853" i="1"/>
  <c r="H2841" i="1"/>
  <c r="H2833" i="1"/>
  <c r="H2827" i="1"/>
  <c r="H2825" i="1"/>
  <c r="H2824" i="1"/>
  <c r="H2819" i="1"/>
  <c r="H2817" i="1"/>
  <c r="H2815" i="1"/>
  <c r="H2791" i="1"/>
  <c r="H2787" i="1"/>
  <c r="H2785" i="1"/>
  <c r="H2782" i="1"/>
  <c r="H2781" i="1"/>
  <c r="H2780" i="1"/>
  <c r="H2779" i="1"/>
  <c r="H2771" i="1"/>
  <c r="H2761" i="1"/>
  <c r="H2758" i="1"/>
  <c r="H2751" i="1"/>
  <c r="H2734" i="1"/>
  <c r="H2728" i="1"/>
  <c r="H2716" i="1"/>
  <c r="H2712" i="1"/>
  <c r="H2711" i="1"/>
  <c r="H2709" i="1"/>
  <c r="H2705" i="1"/>
  <c r="H2699" i="1"/>
  <c r="H2698" i="1"/>
  <c r="H2694" i="1"/>
  <c r="H2693" i="1"/>
  <c r="H2690" i="1"/>
  <c r="H2686" i="1"/>
  <c r="H2682" i="1"/>
  <c r="H2678" i="1"/>
  <c r="H2677" i="1"/>
  <c r="H2673" i="1"/>
  <c r="H2670" i="1"/>
  <c r="H2669" i="1"/>
  <c r="H2667" i="1"/>
  <c r="H2663" i="1"/>
  <c r="H2659" i="1"/>
  <c r="H2657" i="1"/>
  <c r="H2655" i="1"/>
  <c r="H2654" i="1"/>
  <c r="H2651" i="1"/>
  <c r="H2649" i="1"/>
  <c r="H2644" i="1"/>
  <c r="H2638" i="1"/>
  <c r="H2632" i="1"/>
  <c r="H2607" i="1"/>
  <c r="H2604" i="1"/>
  <c r="H2600" i="1"/>
  <c r="H2597" i="1"/>
  <c r="H2593" i="1"/>
  <c r="H2592" i="1"/>
  <c r="H2590" i="1"/>
  <c r="H2584" i="1"/>
  <c r="H2581" i="1"/>
  <c r="H2580" i="1"/>
  <c r="H2572" i="1"/>
  <c r="H2566" i="1"/>
  <c r="H2565" i="1"/>
  <c r="H2562" i="1"/>
  <c r="H2547" i="1"/>
  <c r="H2546" i="1"/>
  <c r="H2544" i="1"/>
  <c r="H2542" i="1"/>
  <c r="H2537" i="1"/>
  <c r="H2530" i="1"/>
  <c r="H2528" i="1"/>
  <c r="H2521" i="1"/>
  <c r="H2517" i="1"/>
  <c r="H2510" i="1"/>
  <c r="H2501" i="1"/>
  <c r="H2500" i="1"/>
  <c r="H2497" i="1"/>
  <c r="H2490" i="1"/>
  <c r="H2480" i="1"/>
  <c r="H2479" i="1"/>
  <c r="H2471" i="1"/>
  <c r="H2467" i="1"/>
  <c r="H2466" i="1"/>
  <c r="H2463" i="1"/>
  <c r="H2459" i="1"/>
  <c r="H2456" i="1"/>
  <c r="H2447" i="1"/>
  <c r="H2444" i="1"/>
  <c r="H2443" i="1"/>
  <c r="H2434" i="1"/>
  <c r="H2420" i="1"/>
  <c r="H2419" i="1"/>
  <c r="H2418" i="1"/>
  <c r="H2416" i="1"/>
  <c r="H2415" i="1"/>
  <c r="H2406" i="1"/>
  <c r="H2404" i="1"/>
  <c r="H2398" i="1"/>
  <c r="H2386" i="1"/>
  <c r="H2378" i="1"/>
  <c r="H2377" i="1"/>
  <c r="H2376" i="1"/>
  <c r="H2374" i="1"/>
  <c r="H2362" i="1"/>
  <c r="H2361" i="1"/>
  <c r="H2356" i="1"/>
  <c r="H2345" i="1"/>
  <c r="H2340" i="1"/>
  <c r="H2334" i="1"/>
  <c r="H2331" i="1"/>
  <c r="H2329" i="1"/>
  <c r="H2319" i="1"/>
  <c r="H2312" i="1"/>
  <c r="H2298" i="1"/>
  <c r="H2291" i="1"/>
  <c r="H2286" i="1"/>
  <c r="H2285" i="1"/>
  <c r="H2284" i="1"/>
  <c r="H2283" i="1"/>
  <c r="H2282" i="1"/>
  <c r="H2276" i="1"/>
  <c r="H2274" i="1"/>
  <c r="H2259" i="1"/>
  <c r="H2255" i="1"/>
  <c r="H2251" i="1"/>
  <c r="H2247" i="1"/>
  <c r="H2231" i="1"/>
  <c r="H2229" i="1"/>
  <c r="H2228" i="1"/>
  <c r="H2227" i="1"/>
  <c r="H2212" i="1"/>
  <c r="H2204" i="1"/>
  <c r="H2203" i="1"/>
  <c r="H2201" i="1"/>
  <c r="H2199" i="1"/>
  <c r="H2183" i="1"/>
  <c r="H2173" i="1"/>
  <c r="H2172" i="1"/>
  <c r="H2169" i="1"/>
  <c r="H2162" i="1"/>
  <c r="H2156" i="1"/>
  <c r="H2153" i="1"/>
  <c r="H2147" i="1"/>
  <c r="H2136" i="1"/>
  <c r="H2135" i="1"/>
  <c r="H2132" i="1"/>
  <c r="H1881" i="1"/>
  <c r="H1873" i="1"/>
  <c r="H1872" i="1"/>
  <c r="H1871" i="1"/>
  <c r="H1868" i="1"/>
  <c r="H1857" i="1"/>
  <c r="H1844" i="1"/>
  <c r="H1726" i="1"/>
  <c r="H1724" i="1"/>
  <c r="H1723" i="1"/>
  <c r="H1710" i="1"/>
  <c r="H1706" i="1"/>
  <c r="H1705" i="1"/>
  <c r="H1704" i="1"/>
  <c r="H1703" i="1"/>
  <c r="H1692" i="1"/>
  <c r="H1684" i="1"/>
  <c r="H1683" i="1"/>
  <c r="H1677" i="1"/>
  <c r="H1676" i="1"/>
  <c r="H1669" i="1"/>
  <c r="H1666" i="1"/>
  <c r="H1660" i="1"/>
  <c r="H1632" i="1"/>
  <c r="H1628" i="1"/>
  <c r="H1624" i="1"/>
  <c r="H1619" i="1"/>
  <c r="H1618" i="1"/>
  <c r="H1612" i="1"/>
  <c r="H1611" i="1"/>
  <c r="H1610" i="1"/>
  <c r="H1257" i="1"/>
  <c r="H1256" i="1"/>
  <c r="H1255" i="1"/>
  <c r="H1254" i="1"/>
  <c r="H1248" i="1"/>
  <c r="H1244" i="1"/>
  <c r="H1233" i="1"/>
  <c r="H1228" i="1"/>
  <c r="H1226" i="1"/>
  <c r="H1221" i="1"/>
  <c r="H1220" i="1"/>
  <c r="H1216" i="1"/>
  <c r="H1215" i="1"/>
  <c r="H1214" i="1"/>
  <c r="H1207" i="1"/>
  <c r="H1206" i="1"/>
  <c r="H1204" i="1"/>
  <c r="H1203" i="1"/>
  <c r="H1200" i="1"/>
  <c r="H1179" i="1"/>
  <c r="H1160" i="1"/>
  <c r="H1156" i="1"/>
  <c r="H1152" i="1"/>
  <c r="H1150" i="1"/>
  <c r="H1148" i="1"/>
  <c r="H1146" i="1"/>
  <c r="H1144" i="1"/>
  <c r="H1138" i="1"/>
  <c r="H1127" i="1"/>
  <c r="H1123" i="1"/>
  <c r="H1120" i="1"/>
  <c r="H1117" i="1"/>
  <c r="H1115" i="1"/>
  <c r="H1105" i="1"/>
  <c r="H1102" i="1"/>
  <c r="H1101" i="1"/>
  <c r="H1096" i="1"/>
  <c r="H1095" i="1"/>
  <c r="H1093" i="1"/>
  <c r="H1091" i="1"/>
  <c r="H1071" i="1"/>
  <c r="H1070" i="1"/>
  <c r="H1067" i="1"/>
  <c r="H1066" i="1"/>
  <c r="H1054" i="1"/>
  <c r="H1052" i="1"/>
  <c r="H1045" i="1"/>
  <c r="H1030" i="1"/>
  <c r="H996" i="1"/>
  <c r="H993" i="1"/>
  <c r="H992" i="1"/>
  <c r="H989" i="1"/>
  <c r="H984" i="1"/>
  <c r="H983" i="1"/>
  <c r="H965" i="1"/>
  <c r="H948" i="1"/>
  <c r="H907" i="1"/>
  <c r="H899" i="1"/>
  <c r="H891" i="1"/>
  <c r="H888" i="1"/>
  <c r="H884" i="1"/>
  <c r="H875" i="1"/>
  <c r="H855" i="1"/>
  <c r="H853" i="1"/>
  <c r="H852" i="1"/>
  <c r="H825" i="1"/>
  <c r="H822" i="1"/>
  <c r="H821" i="1"/>
  <c r="H812" i="1"/>
  <c r="H796" i="1"/>
  <c r="H795" i="1"/>
  <c r="H794" i="1"/>
  <c r="H787" i="1"/>
  <c r="H780" i="1"/>
  <c r="H769" i="1"/>
  <c r="H731" i="1"/>
  <c r="H729" i="1"/>
  <c r="H728" i="1"/>
  <c r="H726" i="1"/>
  <c r="H724" i="1"/>
  <c r="H723" i="1"/>
  <c r="H719" i="1"/>
  <c r="H717" i="1"/>
  <c r="H715" i="1"/>
  <c r="H714" i="1"/>
  <c r="H707" i="1"/>
  <c r="H706" i="1"/>
  <c r="H705" i="1"/>
  <c r="H690" i="1"/>
  <c r="H689" i="1"/>
  <c r="H688" i="1"/>
  <c r="H685" i="1"/>
  <c r="H683" i="1"/>
  <c r="H681" i="1"/>
  <c r="H680" i="1"/>
  <c r="H674" i="1"/>
  <c r="H673" i="1"/>
  <c r="H671" i="1"/>
  <c r="H669" i="1"/>
  <c r="H667" i="1"/>
  <c r="H666" i="1"/>
  <c r="H661" i="1"/>
  <c r="H659" i="1"/>
  <c r="H657" i="1"/>
  <c r="H656" i="1"/>
  <c r="H655" i="1"/>
  <c r="H651" i="1"/>
  <c r="H649" i="1"/>
  <c r="H648" i="1"/>
  <c r="H643" i="1"/>
  <c r="H640" i="1"/>
  <c r="H636" i="1"/>
  <c r="H635" i="1"/>
  <c r="H634" i="1"/>
  <c r="H632" i="1"/>
  <c r="H626" i="1"/>
  <c r="H621" i="1"/>
  <c r="H600" i="1"/>
  <c r="H597" i="1"/>
  <c r="H596" i="1"/>
  <c r="H592" i="1"/>
  <c r="H590" i="1"/>
  <c r="H588" i="1"/>
  <c r="H583" i="1"/>
  <c r="H582" i="1"/>
  <c r="H566" i="1"/>
  <c r="H561" i="1"/>
  <c r="H557" i="1"/>
  <c r="H553" i="1"/>
  <c r="H545" i="1"/>
  <c r="H538" i="1"/>
  <c r="H522" i="1"/>
  <c r="H516" i="1"/>
  <c r="H515" i="1"/>
  <c r="H507" i="1"/>
  <c r="H499" i="1"/>
  <c r="H494" i="1"/>
  <c r="H472" i="1"/>
  <c r="H470" i="1"/>
  <c r="H467" i="1"/>
  <c r="H452" i="1"/>
  <c r="H431" i="1"/>
  <c r="H427" i="1"/>
  <c r="H425" i="1"/>
  <c r="H420" i="1"/>
  <c r="H416" i="1"/>
  <c r="H405" i="1"/>
  <c r="H399" i="1"/>
  <c r="H392" i="1"/>
  <c r="H388" i="1"/>
  <c r="H386" i="1"/>
  <c r="H385" i="1"/>
  <c r="H382" i="1"/>
  <c r="H360" i="1"/>
  <c r="H355" i="1"/>
  <c r="H353" i="1"/>
  <c r="H334" i="1"/>
  <c r="H329" i="1"/>
  <c r="H302" i="1"/>
  <c r="H295" i="1"/>
  <c r="H269" i="1"/>
  <c r="H246" i="1"/>
  <c r="H245" i="1"/>
  <c r="H241" i="1"/>
  <c r="H239" i="1"/>
  <c r="H237" i="1"/>
  <c r="H236" i="1"/>
  <c r="H234" i="1"/>
  <c r="H233" i="1"/>
  <c r="H222" i="1"/>
  <c r="H219" i="1"/>
  <c r="H215" i="1"/>
  <c r="H213" i="1"/>
  <c r="H210" i="1"/>
  <c r="H205" i="1"/>
  <c r="H200" i="1"/>
  <c r="H199" i="1"/>
  <c r="H196" i="1"/>
  <c r="H194" i="1"/>
  <c r="H193" i="1"/>
  <c r="H187" i="1"/>
  <c r="H181" i="1"/>
  <c r="H176" i="1"/>
  <c r="H175" i="1"/>
  <c r="H161" i="1"/>
  <c r="H154" i="1"/>
  <c r="H151" i="1"/>
  <c r="H150" i="1"/>
  <c r="H148" i="1"/>
  <c r="H147" i="1"/>
  <c r="H144" i="1"/>
  <c r="H143" i="1"/>
  <c r="H139" i="1"/>
  <c r="H138" i="1"/>
  <c r="H137" i="1"/>
  <c r="H133" i="1"/>
  <c r="H129" i="1"/>
  <c r="H112" i="1"/>
  <c r="H110" i="1"/>
  <c r="H108" i="1"/>
  <c r="H105" i="1"/>
  <c r="H100" i="1"/>
  <c r="H98" i="1"/>
  <c r="H94" i="1"/>
  <c r="H93" i="1"/>
  <c r="H92" i="1"/>
  <c r="H91" i="1"/>
  <c r="H88" i="1"/>
  <c r="H86" i="1"/>
  <c r="H82" i="1"/>
  <c r="H79" i="1"/>
  <c r="H74" i="1"/>
  <c r="H72" i="1"/>
  <c r="H64" i="1"/>
  <c r="H63" i="1"/>
  <c r="H53" i="1"/>
  <c r="H51" i="1"/>
  <c r="H50" i="1"/>
  <c r="H48" i="1"/>
  <c r="H44" i="1"/>
  <c r="H32" i="1"/>
  <c r="H29" i="1"/>
  <c r="H23" i="1"/>
  <c r="H20" i="1"/>
  <c r="H13" i="1"/>
  <c r="H12" i="1"/>
  <c r="H9" i="1"/>
  <c r="H8" i="1"/>
  <c r="H2" i="1"/>
  <c r="H3865" i="1"/>
  <c r="H3863" i="1"/>
  <c r="H3862" i="1"/>
  <c r="H3860" i="1"/>
  <c r="H3859" i="1"/>
  <c r="H3858" i="1"/>
  <c r="H3857" i="1"/>
  <c r="H3856" i="1"/>
  <c r="H3855" i="1"/>
  <c r="H3853" i="1"/>
  <c r="H3852" i="1"/>
  <c r="H3851" i="1"/>
  <c r="H3849" i="1"/>
  <c r="H3848" i="1"/>
  <c r="H3846" i="1"/>
  <c r="H3844" i="1"/>
  <c r="H3843" i="1"/>
  <c r="H3842" i="1"/>
  <c r="H3841" i="1"/>
  <c r="H3840" i="1"/>
  <c r="H3839" i="1"/>
  <c r="H3837" i="1"/>
  <c r="H3836" i="1"/>
  <c r="H3832" i="1"/>
  <c r="H3831" i="1"/>
  <c r="H3830" i="1"/>
  <c r="H3829" i="1"/>
  <c r="H3827" i="1"/>
  <c r="H3826" i="1"/>
  <c r="H3825" i="1"/>
  <c r="H3824" i="1"/>
  <c r="H3823" i="1"/>
  <c r="H3822" i="1"/>
  <c r="H3821" i="1"/>
  <c r="H3820" i="1"/>
  <c r="H3819" i="1"/>
  <c r="H3818" i="1"/>
  <c r="H3817" i="1"/>
  <c r="H3815" i="1"/>
  <c r="H3814" i="1"/>
  <c r="H3813" i="1"/>
  <c r="H3811" i="1"/>
  <c r="H3810" i="1"/>
  <c r="H3809" i="1"/>
  <c r="H3807" i="1"/>
  <c r="H3805" i="1"/>
  <c r="H3804" i="1"/>
  <c r="H3803" i="1"/>
  <c r="H3802" i="1"/>
  <c r="H3799" i="1"/>
  <c r="H3798" i="1"/>
  <c r="H3797" i="1"/>
  <c r="H3796" i="1"/>
  <c r="H3794" i="1"/>
  <c r="H3793" i="1"/>
  <c r="H3792" i="1"/>
  <c r="H3791" i="1"/>
  <c r="H3790" i="1"/>
  <c r="H3789" i="1"/>
  <c r="H3788" i="1"/>
  <c r="H3786" i="1"/>
  <c r="H3784" i="1"/>
  <c r="H3783" i="1"/>
  <c r="H3781" i="1"/>
  <c r="H3780" i="1"/>
  <c r="H3779" i="1"/>
  <c r="H3778" i="1"/>
  <c r="H3777" i="1"/>
  <c r="H3774" i="1"/>
  <c r="H3772" i="1"/>
  <c r="H3770" i="1"/>
  <c r="H3769" i="1"/>
  <c r="H3767" i="1"/>
  <c r="H3766" i="1"/>
  <c r="H3764" i="1"/>
  <c r="H3763" i="1"/>
  <c r="H3762" i="1"/>
  <c r="H3761" i="1"/>
  <c r="H3760" i="1"/>
  <c r="H3758" i="1"/>
  <c r="H3757" i="1"/>
  <c r="H3756" i="1"/>
  <c r="H3755" i="1"/>
  <c r="H3754" i="1"/>
  <c r="H3750" i="1"/>
  <c r="H3749" i="1"/>
  <c r="H3748" i="1"/>
  <c r="H3747" i="1"/>
  <c r="H3746" i="1"/>
  <c r="H3740" i="1"/>
  <c r="H3738" i="1"/>
  <c r="H3737" i="1"/>
  <c r="H3736" i="1"/>
  <c r="H3735" i="1"/>
  <c r="H3734" i="1"/>
  <c r="H3733" i="1"/>
  <c r="H3732" i="1"/>
  <c r="H3731" i="1"/>
  <c r="H3730" i="1"/>
  <c r="H3729" i="1"/>
  <c r="H3728" i="1"/>
  <c r="H3726" i="1"/>
  <c r="H3724" i="1"/>
  <c r="H3722" i="1"/>
  <c r="H3721" i="1"/>
  <c r="H3720" i="1"/>
  <c r="H3719" i="1"/>
  <c r="H3718" i="1"/>
  <c r="H3717" i="1"/>
  <c r="H3716" i="1"/>
  <c r="H3715" i="1"/>
  <c r="H3714" i="1"/>
  <c r="H3713" i="1"/>
  <c r="H3712" i="1"/>
  <c r="H3711" i="1"/>
  <c r="H3710" i="1"/>
  <c r="H3709" i="1"/>
  <c r="H3707" i="1"/>
  <c r="H3706" i="1"/>
  <c r="H3705" i="1"/>
  <c r="H3702" i="1"/>
  <c r="H3701" i="1"/>
  <c r="H3700" i="1"/>
  <c r="H3699" i="1"/>
  <c r="H3698" i="1"/>
  <c r="H3695" i="1"/>
  <c r="H3693" i="1"/>
  <c r="H3692" i="1"/>
  <c r="H3690" i="1"/>
  <c r="H3689" i="1"/>
  <c r="H3688" i="1"/>
  <c r="H3687" i="1"/>
  <c r="H3685" i="1"/>
  <c r="H3684" i="1"/>
  <c r="H3683" i="1"/>
  <c r="H3682" i="1"/>
  <c r="H3681" i="1"/>
  <c r="H3679" i="1"/>
  <c r="H3678" i="1"/>
  <c r="H3677" i="1"/>
  <c r="H3675" i="1"/>
  <c r="H3674" i="1"/>
  <c r="H3673" i="1"/>
  <c r="H3672" i="1"/>
  <c r="H3671" i="1"/>
  <c r="H3670" i="1"/>
  <c r="H3669" i="1"/>
  <c r="H3668" i="1"/>
  <c r="H3665" i="1"/>
  <c r="H3664" i="1"/>
  <c r="H3663" i="1"/>
  <c r="H3662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5" i="1"/>
  <c r="H3643" i="1"/>
  <c r="H3642" i="1"/>
  <c r="H3641" i="1"/>
  <c r="H3640" i="1"/>
  <c r="H3639" i="1"/>
  <c r="H3638" i="1"/>
  <c r="H3637" i="1"/>
  <c r="H3636" i="1"/>
  <c r="H3635" i="1"/>
  <c r="H3633" i="1"/>
  <c r="H3631" i="1"/>
  <c r="H3630" i="1"/>
  <c r="H3629" i="1"/>
  <c r="H3628" i="1"/>
  <c r="H3627" i="1"/>
  <c r="H3626" i="1"/>
  <c r="H3625" i="1"/>
  <c r="H3624" i="1"/>
  <c r="H3623" i="1"/>
  <c r="H3622" i="1"/>
  <c r="H3621" i="1"/>
  <c r="H3619" i="1"/>
  <c r="H3618" i="1"/>
  <c r="H3617" i="1"/>
  <c r="H3615" i="1"/>
  <c r="H3614" i="1"/>
  <c r="H3612" i="1"/>
  <c r="H3609" i="1"/>
  <c r="H3608" i="1"/>
  <c r="H3607" i="1"/>
  <c r="H3606" i="1"/>
  <c r="H3605" i="1"/>
  <c r="H3604" i="1"/>
  <c r="H3602" i="1"/>
  <c r="H3600" i="1"/>
  <c r="H3599" i="1"/>
  <c r="H3598" i="1"/>
  <c r="H3597" i="1"/>
  <c r="H3596" i="1"/>
  <c r="H3595" i="1"/>
  <c r="H3594" i="1"/>
  <c r="H3593" i="1"/>
  <c r="H3592" i="1"/>
  <c r="H3591" i="1"/>
  <c r="H3588" i="1"/>
  <c r="H3587" i="1"/>
  <c r="H3586" i="1"/>
  <c r="H3585" i="1"/>
  <c r="H3584" i="1"/>
  <c r="H3582" i="1"/>
  <c r="H3581" i="1"/>
  <c r="H3580" i="1"/>
  <c r="H3579" i="1"/>
  <c r="H3575" i="1"/>
  <c r="H3574" i="1"/>
  <c r="H3573" i="1"/>
  <c r="H3572" i="1"/>
  <c r="H3570" i="1"/>
  <c r="H3569" i="1"/>
  <c r="H3568" i="1"/>
  <c r="H3567" i="1"/>
  <c r="H3565" i="1"/>
  <c r="H3564" i="1"/>
  <c r="H3563" i="1"/>
  <c r="H3562" i="1"/>
  <c r="H3561" i="1"/>
  <c r="H3560" i="1"/>
  <c r="H3559" i="1"/>
  <c r="H3558" i="1"/>
  <c r="H3557" i="1"/>
  <c r="H3554" i="1"/>
  <c r="H3553" i="1"/>
  <c r="H3551" i="1"/>
  <c r="H3550" i="1"/>
  <c r="H3547" i="1"/>
  <c r="H3546" i="1"/>
  <c r="H3545" i="1"/>
  <c r="H3543" i="1"/>
  <c r="H3542" i="1"/>
  <c r="H3541" i="1"/>
  <c r="H3540" i="1"/>
  <c r="H3539" i="1"/>
  <c r="H3538" i="1"/>
  <c r="H3537" i="1"/>
  <c r="H3536" i="1"/>
  <c r="H3535" i="1"/>
  <c r="H3534" i="1"/>
  <c r="H3533" i="1"/>
  <c r="H3531" i="1"/>
  <c r="H3530" i="1"/>
  <c r="H3529" i="1"/>
  <c r="H3527" i="1"/>
  <c r="H3524" i="1"/>
  <c r="H3523" i="1"/>
  <c r="H3522" i="1"/>
  <c r="H3521" i="1"/>
  <c r="H3520" i="1"/>
  <c r="H3518" i="1"/>
  <c r="H3516" i="1"/>
  <c r="H3515" i="1"/>
  <c r="H3513" i="1"/>
  <c r="H3512" i="1"/>
  <c r="H3511" i="1"/>
  <c r="H3510" i="1"/>
  <c r="H3509" i="1"/>
  <c r="H3507" i="1"/>
  <c r="H3506" i="1"/>
  <c r="H3505" i="1"/>
  <c r="H3503" i="1"/>
  <c r="H3502" i="1"/>
  <c r="H3501" i="1"/>
  <c r="H3499" i="1"/>
  <c r="H3498" i="1"/>
  <c r="H3497" i="1"/>
  <c r="H3496" i="1"/>
  <c r="H3495" i="1"/>
  <c r="H3494" i="1"/>
  <c r="H3493" i="1"/>
  <c r="H3492" i="1"/>
  <c r="H3491" i="1"/>
  <c r="H3490" i="1"/>
  <c r="H3489" i="1"/>
  <c r="H3487" i="1"/>
  <c r="H3486" i="1"/>
  <c r="H3485" i="1"/>
  <c r="H3484" i="1"/>
  <c r="H3483" i="1"/>
  <c r="H3480" i="1"/>
  <c r="H3479" i="1"/>
  <c r="H3477" i="1"/>
  <c r="H3476" i="1"/>
  <c r="H3475" i="1"/>
  <c r="H3474" i="1"/>
  <c r="H3473" i="1"/>
  <c r="H3472" i="1"/>
  <c r="H3471" i="1"/>
  <c r="H3469" i="1"/>
  <c r="H3468" i="1"/>
  <c r="H3467" i="1"/>
  <c r="H3465" i="1"/>
  <c r="H3464" i="1"/>
  <c r="H3463" i="1"/>
  <c r="H3462" i="1"/>
  <c r="H3461" i="1"/>
  <c r="H3458" i="1"/>
  <c r="H3457" i="1"/>
  <c r="H3456" i="1"/>
  <c r="H3455" i="1"/>
  <c r="H3453" i="1"/>
  <c r="H3452" i="1"/>
  <c r="H3450" i="1"/>
  <c r="H3449" i="1"/>
  <c r="H3448" i="1"/>
  <c r="H3447" i="1"/>
  <c r="H3446" i="1"/>
  <c r="H3443" i="1"/>
  <c r="H3442" i="1"/>
  <c r="H3441" i="1"/>
  <c r="H3440" i="1"/>
  <c r="H3439" i="1"/>
  <c r="H3438" i="1"/>
  <c r="H3437" i="1"/>
  <c r="H3436" i="1"/>
  <c r="H3435" i="1"/>
  <c r="H3433" i="1"/>
  <c r="H3431" i="1"/>
  <c r="H3430" i="1"/>
  <c r="H3429" i="1"/>
  <c r="H3428" i="1"/>
  <c r="H3427" i="1"/>
  <c r="H3426" i="1"/>
  <c r="H3425" i="1"/>
  <c r="H3422" i="1"/>
  <c r="H3421" i="1"/>
  <c r="H3420" i="1"/>
  <c r="H3419" i="1"/>
  <c r="H3418" i="1"/>
  <c r="H3417" i="1"/>
  <c r="H3416" i="1"/>
  <c r="H3415" i="1"/>
  <c r="H3413" i="1"/>
  <c r="H3411" i="1"/>
  <c r="H3410" i="1"/>
  <c r="H3409" i="1"/>
  <c r="H3405" i="1"/>
  <c r="H3404" i="1"/>
  <c r="H3403" i="1"/>
  <c r="H3402" i="1"/>
  <c r="H3401" i="1"/>
  <c r="H3399" i="1"/>
  <c r="H3397" i="1"/>
  <c r="H3396" i="1"/>
  <c r="H3394" i="1"/>
  <c r="H3393" i="1"/>
  <c r="H3392" i="1"/>
  <c r="H3391" i="1"/>
  <c r="H3390" i="1"/>
  <c r="H3388" i="1"/>
  <c r="H3387" i="1"/>
  <c r="H3385" i="1"/>
  <c r="H3383" i="1"/>
  <c r="H3382" i="1"/>
  <c r="H3381" i="1"/>
  <c r="H3380" i="1"/>
  <c r="H3379" i="1"/>
  <c r="H3378" i="1"/>
  <c r="H3377" i="1"/>
  <c r="H3376" i="1"/>
  <c r="H3373" i="1"/>
  <c r="H3372" i="1"/>
  <c r="H3369" i="1"/>
  <c r="H3368" i="1"/>
  <c r="H3367" i="1"/>
  <c r="H3366" i="1"/>
  <c r="H3364" i="1"/>
  <c r="H3362" i="1"/>
  <c r="H3361" i="1"/>
  <c r="H3360" i="1"/>
  <c r="H3357" i="1"/>
  <c r="H3356" i="1"/>
  <c r="H3355" i="1"/>
  <c r="H3352" i="1"/>
  <c r="H3350" i="1"/>
  <c r="H3349" i="1"/>
  <c r="H3348" i="1"/>
  <c r="H3347" i="1"/>
  <c r="H3345" i="1"/>
  <c r="H3344" i="1"/>
  <c r="H3342" i="1"/>
  <c r="H3340" i="1"/>
  <c r="H3339" i="1"/>
  <c r="H3338" i="1"/>
  <c r="H3336" i="1"/>
  <c r="H3335" i="1"/>
  <c r="H3334" i="1"/>
  <c r="H3333" i="1"/>
  <c r="H3331" i="1"/>
  <c r="H3330" i="1"/>
  <c r="H3327" i="1"/>
  <c r="H3326" i="1"/>
  <c r="H3324" i="1"/>
  <c r="H3323" i="1"/>
  <c r="H3321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5" i="1"/>
  <c r="H3304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6" i="1"/>
  <c r="H3285" i="1"/>
  <c r="H3284" i="1"/>
  <c r="H3283" i="1"/>
  <c r="H3282" i="1"/>
  <c r="H3280" i="1"/>
  <c r="H3279" i="1"/>
  <c r="H3278" i="1"/>
  <c r="H3277" i="1"/>
  <c r="H3275" i="1"/>
  <c r="H3273" i="1"/>
  <c r="H3271" i="1"/>
  <c r="H3270" i="1"/>
  <c r="H3269" i="1"/>
  <c r="H3268" i="1"/>
  <c r="H3266" i="1"/>
  <c r="H3265" i="1"/>
  <c r="H3264" i="1"/>
  <c r="H3260" i="1"/>
  <c r="H3259" i="1"/>
  <c r="H3258" i="1"/>
  <c r="H3257" i="1"/>
  <c r="H3254" i="1"/>
  <c r="H3253" i="1"/>
  <c r="H3252" i="1"/>
  <c r="H3251" i="1"/>
  <c r="H3250" i="1"/>
  <c r="H3249" i="1"/>
  <c r="H3248" i="1"/>
  <c r="H3247" i="1"/>
  <c r="H3246" i="1"/>
  <c r="H3245" i="1"/>
  <c r="H3244" i="1"/>
  <c r="H3242" i="1"/>
  <c r="H3241" i="1"/>
  <c r="H3240" i="1"/>
  <c r="H3239" i="1"/>
  <c r="H3238" i="1"/>
  <c r="H3237" i="1"/>
  <c r="H3236" i="1"/>
  <c r="H3235" i="1"/>
  <c r="H3234" i="1"/>
  <c r="H3233" i="1"/>
  <c r="H3230" i="1"/>
  <c r="H3229" i="1"/>
  <c r="H3228" i="1"/>
  <c r="H3226" i="1"/>
  <c r="H3225" i="1"/>
  <c r="H3224" i="1"/>
  <c r="H3223" i="1"/>
  <c r="H3222" i="1"/>
  <c r="H3221" i="1"/>
  <c r="H3216" i="1"/>
  <c r="H3215" i="1"/>
  <c r="H3214" i="1"/>
  <c r="H3212" i="1"/>
  <c r="H3211" i="1"/>
  <c r="H3209" i="1"/>
  <c r="H3208" i="1"/>
  <c r="H3207" i="1"/>
  <c r="H3203" i="1"/>
  <c r="H3201" i="1"/>
  <c r="H3200" i="1"/>
  <c r="H3199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5" i="1"/>
  <c r="H3154" i="1"/>
  <c r="H3153" i="1"/>
  <c r="H3152" i="1"/>
  <c r="H3151" i="1"/>
  <c r="H3150" i="1"/>
  <c r="H3149" i="1"/>
  <c r="H3147" i="1"/>
  <c r="H3146" i="1"/>
  <c r="H3144" i="1"/>
  <c r="H3143" i="1"/>
  <c r="H3141" i="1"/>
  <c r="H3137" i="1"/>
  <c r="H3135" i="1"/>
  <c r="H3134" i="1"/>
  <c r="H3133" i="1"/>
  <c r="H3130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7" i="1"/>
  <c r="H3106" i="1"/>
  <c r="H3105" i="1"/>
  <c r="H3102" i="1"/>
  <c r="H3101" i="1"/>
  <c r="H3100" i="1"/>
  <c r="H3099" i="1"/>
  <c r="H3098" i="1"/>
  <c r="H3097" i="1"/>
  <c r="H3096" i="1"/>
  <c r="H3095" i="1"/>
  <c r="H3094" i="1"/>
  <c r="H3093" i="1"/>
  <c r="H3091" i="1"/>
  <c r="H3090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1" i="1"/>
  <c r="H3070" i="1"/>
  <c r="H3068" i="1"/>
  <c r="H3067" i="1"/>
  <c r="H3066" i="1"/>
  <c r="H3065" i="1"/>
  <c r="H3064" i="1"/>
  <c r="H3063" i="1"/>
  <c r="H3062" i="1"/>
  <c r="H3061" i="1"/>
  <c r="H3059" i="1"/>
  <c r="H3058" i="1"/>
  <c r="H3057" i="1"/>
  <c r="H3056" i="1"/>
  <c r="H3055" i="1"/>
  <c r="H3054" i="1"/>
  <c r="H3053" i="1"/>
  <c r="H3052" i="1"/>
  <c r="H3050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5" i="1"/>
  <c r="H3034" i="1"/>
  <c r="H3033" i="1"/>
  <c r="H3031" i="1"/>
  <c r="H3030" i="1"/>
  <c r="H3029" i="1"/>
  <c r="H3028" i="1"/>
  <c r="H3027" i="1"/>
  <c r="H3025" i="1"/>
  <c r="H3024" i="1"/>
  <c r="H3021" i="1"/>
  <c r="H3020" i="1"/>
  <c r="H3019" i="1"/>
  <c r="H3018" i="1"/>
  <c r="H3017" i="1"/>
  <c r="H3016" i="1"/>
  <c r="H3015" i="1"/>
  <c r="H3014" i="1"/>
  <c r="H3011" i="1"/>
  <c r="H3010" i="1"/>
  <c r="H3009" i="1"/>
  <c r="H3008" i="1"/>
  <c r="H3006" i="1"/>
  <c r="H3005" i="1"/>
  <c r="H3004" i="1"/>
  <c r="H3003" i="1"/>
  <c r="H3002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59" i="1"/>
  <c r="H2958" i="1"/>
  <c r="H2955" i="1"/>
  <c r="H2954" i="1"/>
  <c r="H2953" i="1"/>
  <c r="H2952" i="1"/>
  <c r="H2951" i="1"/>
  <c r="H2949" i="1"/>
  <c r="H2948" i="1"/>
  <c r="H2947" i="1"/>
  <c r="H2946" i="1"/>
  <c r="H2945" i="1"/>
  <c r="H2943" i="1"/>
  <c r="H2942" i="1"/>
  <c r="H2940" i="1"/>
  <c r="H2939" i="1"/>
  <c r="H2938" i="1"/>
  <c r="H2937" i="1"/>
  <c r="H2935" i="1"/>
  <c r="H2934" i="1"/>
  <c r="H2932" i="1"/>
  <c r="H2931" i="1"/>
  <c r="H2930" i="1"/>
  <c r="H2929" i="1"/>
  <c r="H2928" i="1"/>
  <c r="H2927" i="1"/>
  <c r="H2926" i="1"/>
  <c r="H2925" i="1"/>
  <c r="H2924" i="1"/>
  <c r="H2923" i="1"/>
  <c r="H2922" i="1"/>
  <c r="H2918" i="1"/>
  <c r="H2917" i="1"/>
  <c r="H2916" i="1"/>
  <c r="H2915" i="1"/>
  <c r="H2914" i="1"/>
  <c r="H2913" i="1"/>
  <c r="H2912" i="1"/>
  <c r="H2910" i="1"/>
  <c r="H2909" i="1"/>
  <c r="H2908" i="1"/>
  <c r="H2907" i="1"/>
  <c r="H2906" i="1"/>
  <c r="H2905" i="1"/>
  <c r="H2904" i="1"/>
  <c r="H2903" i="1"/>
  <c r="H2902" i="1"/>
  <c r="H2901" i="1"/>
  <c r="H2900" i="1"/>
  <c r="H2898" i="1"/>
  <c r="H2897" i="1"/>
  <c r="H2896" i="1"/>
  <c r="H2895" i="1"/>
  <c r="H2893" i="1"/>
  <c r="H2892" i="1"/>
  <c r="H2891" i="1"/>
  <c r="H2890" i="1"/>
  <c r="H2889" i="1"/>
  <c r="H2888" i="1"/>
  <c r="H2887" i="1"/>
  <c r="H2885" i="1"/>
  <c r="H2884" i="1"/>
  <c r="H2882" i="1"/>
  <c r="H2880" i="1"/>
  <c r="H2879" i="1"/>
  <c r="H2878" i="1"/>
  <c r="H2877" i="1"/>
  <c r="H2876" i="1"/>
  <c r="H2875" i="1"/>
  <c r="H2873" i="1"/>
  <c r="H2872" i="1"/>
  <c r="H2871" i="1"/>
  <c r="H2870" i="1"/>
  <c r="H2869" i="1"/>
  <c r="H2868" i="1"/>
  <c r="H2867" i="1"/>
  <c r="H2866" i="1"/>
  <c r="H2865" i="1"/>
  <c r="H2863" i="1"/>
  <c r="H2862" i="1"/>
  <c r="H2861" i="1"/>
  <c r="H2857" i="1"/>
  <c r="H2856" i="1"/>
  <c r="H2854" i="1"/>
  <c r="H2852" i="1"/>
  <c r="H2851" i="1"/>
  <c r="H2850" i="1"/>
  <c r="H2849" i="1"/>
  <c r="H2848" i="1"/>
  <c r="H2847" i="1"/>
  <c r="H2846" i="1"/>
  <c r="H2845" i="1"/>
  <c r="H2844" i="1"/>
  <c r="H2843" i="1"/>
  <c r="H2842" i="1"/>
  <c r="H2840" i="1"/>
  <c r="H2839" i="1"/>
  <c r="H2838" i="1"/>
  <c r="H2837" i="1"/>
  <c r="H2836" i="1"/>
  <c r="H2835" i="1"/>
  <c r="H2834" i="1"/>
  <c r="H2832" i="1"/>
  <c r="H2831" i="1"/>
  <c r="H2830" i="1"/>
  <c r="H2829" i="1"/>
  <c r="H2828" i="1"/>
  <c r="H2826" i="1"/>
  <c r="H2823" i="1"/>
  <c r="H2822" i="1"/>
  <c r="H2821" i="1"/>
  <c r="H2820" i="1"/>
  <c r="H2818" i="1"/>
  <c r="H2816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0" i="1"/>
  <c r="H2789" i="1"/>
  <c r="H2788" i="1"/>
  <c r="H2786" i="1"/>
  <c r="H2784" i="1"/>
  <c r="H2783" i="1"/>
  <c r="H2778" i="1"/>
  <c r="H2777" i="1"/>
  <c r="H2776" i="1"/>
  <c r="H2775" i="1"/>
  <c r="H2774" i="1"/>
  <c r="H2773" i="1"/>
  <c r="H2772" i="1"/>
  <c r="H2770" i="1"/>
  <c r="H2769" i="1"/>
  <c r="H2768" i="1"/>
  <c r="H2767" i="1"/>
  <c r="H2766" i="1"/>
  <c r="H2765" i="1"/>
  <c r="H2764" i="1"/>
  <c r="H2763" i="1"/>
  <c r="H2762" i="1"/>
  <c r="H2760" i="1"/>
  <c r="H2759" i="1"/>
  <c r="H2757" i="1"/>
  <c r="H2756" i="1"/>
  <c r="H2755" i="1"/>
  <c r="H2754" i="1"/>
  <c r="H2753" i="1"/>
  <c r="H2752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3" i="1"/>
  <c r="H2732" i="1"/>
  <c r="H2731" i="1"/>
  <c r="H2730" i="1"/>
  <c r="H2729" i="1"/>
  <c r="H2727" i="1"/>
  <c r="H2726" i="1"/>
  <c r="H2725" i="1"/>
  <c r="H2724" i="1"/>
  <c r="H2723" i="1"/>
  <c r="H2722" i="1"/>
  <c r="H2721" i="1"/>
  <c r="H2720" i="1"/>
  <c r="H2719" i="1"/>
  <c r="H2718" i="1"/>
  <c r="H2717" i="1"/>
  <c r="H2715" i="1"/>
  <c r="H2714" i="1"/>
  <c r="H2713" i="1"/>
  <c r="H2710" i="1"/>
  <c r="H2708" i="1"/>
  <c r="H2707" i="1"/>
  <c r="H2706" i="1"/>
  <c r="H2704" i="1"/>
  <c r="H2703" i="1"/>
  <c r="H2702" i="1"/>
  <c r="H2701" i="1"/>
  <c r="H2700" i="1"/>
  <c r="H2697" i="1"/>
  <c r="H2696" i="1"/>
  <c r="H2695" i="1"/>
  <c r="H2692" i="1"/>
  <c r="H2691" i="1"/>
  <c r="H2689" i="1"/>
  <c r="H2688" i="1"/>
  <c r="H2687" i="1"/>
  <c r="H2685" i="1"/>
  <c r="H2684" i="1"/>
  <c r="H2683" i="1"/>
  <c r="H2681" i="1"/>
  <c r="H2680" i="1"/>
  <c r="H2679" i="1"/>
  <c r="H2676" i="1"/>
  <c r="H2675" i="1"/>
  <c r="H2674" i="1"/>
  <c r="H2672" i="1"/>
  <c r="H2671" i="1"/>
  <c r="H2668" i="1"/>
  <c r="H2666" i="1"/>
  <c r="H2665" i="1"/>
  <c r="H2664" i="1"/>
  <c r="H2662" i="1"/>
  <c r="H2661" i="1"/>
  <c r="H2660" i="1"/>
  <c r="H2658" i="1"/>
  <c r="H2656" i="1"/>
  <c r="H2653" i="1"/>
  <c r="H2652" i="1"/>
  <c r="H2650" i="1"/>
  <c r="H2648" i="1"/>
  <c r="H2647" i="1"/>
  <c r="H2646" i="1"/>
  <c r="H2645" i="1"/>
  <c r="H2643" i="1"/>
  <c r="H2642" i="1"/>
  <c r="H2641" i="1"/>
  <c r="H2640" i="1"/>
  <c r="H2639" i="1"/>
  <c r="H2637" i="1"/>
  <c r="H2636" i="1"/>
  <c r="H2635" i="1"/>
  <c r="H2634" i="1"/>
  <c r="H2633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6" i="1"/>
  <c r="H2605" i="1"/>
  <c r="H2603" i="1"/>
  <c r="H2602" i="1"/>
  <c r="H2601" i="1"/>
  <c r="H2599" i="1"/>
  <c r="H2598" i="1"/>
  <c r="H2596" i="1"/>
  <c r="H2595" i="1"/>
  <c r="H2594" i="1"/>
  <c r="H2591" i="1"/>
  <c r="H2589" i="1"/>
  <c r="H2588" i="1"/>
  <c r="H2587" i="1"/>
  <c r="H2586" i="1"/>
  <c r="H2585" i="1"/>
  <c r="H2583" i="1"/>
  <c r="H2582" i="1"/>
  <c r="H2579" i="1"/>
  <c r="H2578" i="1"/>
  <c r="H2577" i="1"/>
  <c r="H2576" i="1"/>
  <c r="H2575" i="1"/>
  <c r="H2574" i="1"/>
  <c r="H2573" i="1"/>
  <c r="H2571" i="1"/>
  <c r="H2570" i="1"/>
  <c r="H2569" i="1"/>
  <c r="H2568" i="1"/>
  <c r="H2567" i="1"/>
  <c r="H2564" i="1"/>
  <c r="H2563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5" i="1"/>
  <c r="H2543" i="1"/>
  <c r="H2541" i="1"/>
  <c r="H2540" i="1"/>
  <c r="H2539" i="1"/>
  <c r="H2538" i="1"/>
  <c r="H2536" i="1"/>
  <c r="H2535" i="1"/>
  <c r="H2534" i="1"/>
  <c r="H2533" i="1"/>
  <c r="H2532" i="1"/>
  <c r="H2531" i="1"/>
  <c r="H2529" i="1"/>
  <c r="H2527" i="1"/>
  <c r="H2526" i="1"/>
  <c r="H2525" i="1"/>
  <c r="H2524" i="1"/>
  <c r="H2523" i="1"/>
  <c r="H2522" i="1"/>
  <c r="H2520" i="1"/>
  <c r="H2519" i="1"/>
  <c r="H2518" i="1"/>
  <c r="H2516" i="1"/>
  <c r="H2515" i="1"/>
  <c r="H2514" i="1"/>
  <c r="H2513" i="1"/>
  <c r="H2512" i="1"/>
  <c r="H2511" i="1"/>
  <c r="H2509" i="1"/>
  <c r="H2508" i="1"/>
  <c r="H2507" i="1"/>
  <c r="H2506" i="1"/>
  <c r="H2505" i="1"/>
  <c r="H2504" i="1"/>
  <c r="H2503" i="1"/>
  <c r="H2502" i="1"/>
  <c r="H2499" i="1"/>
  <c r="H2498" i="1"/>
  <c r="H2496" i="1"/>
  <c r="H2495" i="1"/>
  <c r="H2494" i="1"/>
  <c r="H2493" i="1"/>
  <c r="H2492" i="1"/>
  <c r="H2491" i="1"/>
  <c r="H2489" i="1"/>
  <c r="H2488" i="1"/>
  <c r="H2487" i="1"/>
  <c r="H2486" i="1"/>
  <c r="H2485" i="1"/>
  <c r="H2484" i="1"/>
  <c r="H2483" i="1"/>
  <c r="H2482" i="1"/>
  <c r="H2481" i="1"/>
  <c r="H2478" i="1"/>
  <c r="H2477" i="1"/>
  <c r="H2476" i="1"/>
  <c r="H2475" i="1"/>
  <c r="H2474" i="1"/>
  <c r="H2473" i="1"/>
  <c r="H2472" i="1"/>
  <c r="H2470" i="1"/>
  <c r="H2469" i="1"/>
  <c r="H2468" i="1"/>
  <c r="H2465" i="1"/>
  <c r="H2464" i="1"/>
  <c r="H2462" i="1"/>
  <c r="H2461" i="1"/>
  <c r="H2460" i="1"/>
  <c r="H2458" i="1"/>
  <c r="H2457" i="1"/>
  <c r="H2455" i="1"/>
  <c r="H2454" i="1"/>
  <c r="H2453" i="1"/>
  <c r="H2452" i="1"/>
  <c r="H2451" i="1"/>
  <c r="H2450" i="1"/>
  <c r="H2449" i="1"/>
  <c r="H2448" i="1"/>
  <c r="H2446" i="1"/>
  <c r="H2445" i="1"/>
  <c r="H2442" i="1"/>
  <c r="H2441" i="1"/>
  <c r="H2440" i="1"/>
  <c r="H2439" i="1"/>
  <c r="H2438" i="1"/>
  <c r="H2437" i="1"/>
  <c r="H2436" i="1"/>
  <c r="H2435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17" i="1"/>
  <c r="H2414" i="1"/>
  <c r="H2413" i="1"/>
  <c r="H2412" i="1"/>
  <c r="H2411" i="1"/>
  <c r="H2410" i="1"/>
  <c r="H2409" i="1"/>
  <c r="H2408" i="1"/>
  <c r="H2407" i="1"/>
  <c r="H2405" i="1"/>
  <c r="H2403" i="1"/>
  <c r="H2402" i="1"/>
  <c r="H2401" i="1"/>
  <c r="H2400" i="1"/>
  <c r="H2399" i="1"/>
  <c r="H2397" i="1"/>
  <c r="H2396" i="1"/>
  <c r="H2395" i="1"/>
  <c r="H2394" i="1"/>
  <c r="H2393" i="1"/>
  <c r="H2392" i="1"/>
  <c r="H2391" i="1"/>
  <c r="H2390" i="1"/>
  <c r="H2389" i="1"/>
  <c r="H2388" i="1"/>
  <c r="H2387" i="1"/>
  <c r="H2385" i="1"/>
  <c r="H2384" i="1"/>
  <c r="H2383" i="1"/>
  <c r="H2382" i="1"/>
  <c r="H2381" i="1"/>
  <c r="H2380" i="1"/>
  <c r="H2379" i="1"/>
  <c r="H2375" i="1"/>
  <c r="H2373" i="1"/>
  <c r="H2372" i="1"/>
  <c r="H2371" i="1"/>
  <c r="H2370" i="1"/>
  <c r="H2369" i="1"/>
  <c r="H2368" i="1"/>
  <c r="H2367" i="1"/>
  <c r="H2366" i="1"/>
  <c r="H2365" i="1"/>
  <c r="H2364" i="1"/>
  <c r="H2363" i="1"/>
  <c r="H2360" i="1"/>
  <c r="H2359" i="1"/>
  <c r="H2358" i="1"/>
  <c r="H2357" i="1"/>
  <c r="H2355" i="1"/>
  <c r="H2354" i="1"/>
  <c r="H2353" i="1"/>
  <c r="H2352" i="1"/>
  <c r="H2351" i="1"/>
  <c r="H2350" i="1"/>
  <c r="H2349" i="1"/>
  <c r="H2348" i="1"/>
  <c r="H2347" i="1"/>
  <c r="H2346" i="1"/>
  <c r="H2344" i="1"/>
  <c r="H2343" i="1"/>
  <c r="H2342" i="1"/>
  <c r="H2341" i="1"/>
  <c r="H2339" i="1"/>
  <c r="H2338" i="1"/>
  <c r="H2337" i="1"/>
  <c r="H2336" i="1"/>
  <c r="H2335" i="1"/>
  <c r="H2333" i="1"/>
  <c r="H2332" i="1"/>
  <c r="H2330" i="1"/>
  <c r="H2328" i="1"/>
  <c r="H2327" i="1"/>
  <c r="H2326" i="1"/>
  <c r="H2325" i="1"/>
  <c r="H2324" i="1"/>
  <c r="H2323" i="1"/>
  <c r="H2322" i="1"/>
  <c r="H2321" i="1"/>
  <c r="H2320" i="1"/>
  <c r="H2318" i="1"/>
  <c r="H2317" i="1"/>
  <c r="H2316" i="1"/>
  <c r="H2315" i="1"/>
  <c r="H2314" i="1"/>
  <c r="H2313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7" i="1"/>
  <c r="H2296" i="1"/>
  <c r="H2295" i="1"/>
  <c r="H2294" i="1"/>
  <c r="H2293" i="1"/>
  <c r="H2292" i="1"/>
  <c r="H2290" i="1"/>
  <c r="H2289" i="1"/>
  <c r="H2288" i="1"/>
  <c r="H2287" i="1"/>
  <c r="H2281" i="1"/>
  <c r="H2280" i="1"/>
  <c r="H2279" i="1"/>
  <c r="H2278" i="1"/>
  <c r="H2277" i="1"/>
  <c r="H2275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8" i="1"/>
  <c r="H2257" i="1"/>
  <c r="H2256" i="1"/>
  <c r="H2254" i="1"/>
  <c r="H2253" i="1"/>
  <c r="H2252" i="1"/>
  <c r="H2250" i="1"/>
  <c r="H2249" i="1"/>
  <c r="H2248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0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1" i="1"/>
  <c r="H2210" i="1"/>
  <c r="H2209" i="1"/>
  <c r="H2208" i="1"/>
  <c r="H2207" i="1"/>
  <c r="H2206" i="1"/>
  <c r="H2205" i="1"/>
  <c r="H2202" i="1"/>
  <c r="H2200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2" i="1"/>
  <c r="H2181" i="1"/>
  <c r="H2180" i="1"/>
  <c r="H2179" i="1"/>
  <c r="H2178" i="1"/>
  <c r="H2177" i="1"/>
  <c r="H2176" i="1"/>
  <c r="H2175" i="1"/>
  <c r="H2174" i="1"/>
  <c r="H2171" i="1"/>
  <c r="H2170" i="1"/>
  <c r="H2168" i="1"/>
  <c r="H2167" i="1"/>
  <c r="H2166" i="1"/>
  <c r="H2165" i="1"/>
  <c r="H2164" i="1"/>
  <c r="H2163" i="1"/>
  <c r="H2161" i="1"/>
  <c r="H2160" i="1"/>
  <c r="H2159" i="1"/>
  <c r="H2158" i="1"/>
  <c r="H2157" i="1"/>
  <c r="H2155" i="1"/>
  <c r="H2154" i="1"/>
  <c r="H2152" i="1"/>
  <c r="H2151" i="1"/>
  <c r="H2150" i="1"/>
  <c r="H2149" i="1"/>
  <c r="H2148" i="1"/>
  <c r="H2146" i="1"/>
  <c r="H2145" i="1"/>
  <c r="H2144" i="1"/>
  <c r="H2143" i="1"/>
  <c r="H2142" i="1"/>
  <c r="H2141" i="1"/>
  <c r="H2140" i="1"/>
  <c r="H2139" i="1"/>
  <c r="H2138" i="1"/>
  <c r="H2137" i="1"/>
  <c r="H2134" i="1"/>
  <c r="H2133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0" i="1"/>
  <c r="H1879" i="1"/>
  <c r="H1878" i="1"/>
  <c r="H1877" i="1"/>
  <c r="H1876" i="1"/>
  <c r="H1875" i="1"/>
  <c r="H1874" i="1"/>
  <c r="H1870" i="1"/>
  <c r="H1869" i="1"/>
  <c r="H1867" i="1"/>
  <c r="H1866" i="1"/>
  <c r="H1865" i="1"/>
  <c r="H1864" i="1"/>
  <c r="H1863" i="1"/>
  <c r="H1862" i="1"/>
  <c r="H1861" i="1"/>
  <c r="H1860" i="1"/>
  <c r="H1859" i="1"/>
  <c r="H1858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5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09" i="1"/>
  <c r="H1708" i="1"/>
  <c r="H1707" i="1"/>
  <c r="H1702" i="1"/>
  <c r="H1701" i="1"/>
  <c r="H1700" i="1"/>
  <c r="H1699" i="1"/>
  <c r="H1698" i="1"/>
  <c r="H1697" i="1"/>
  <c r="H1696" i="1"/>
  <c r="H1695" i="1"/>
  <c r="H1694" i="1"/>
  <c r="H1693" i="1"/>
  <c r="H1691" i="1"/>
  <c r="H1690" i="1"/>
  <c r="H1689" i="1"/>
  <c r="H1688" i="1"/>
  <c r="H1687" i="1"/>
  <c r="H1686" i="1"/>
  <c r="H1685" i="1"/>
  <c r="H1682" i="1"/>
  <c r="H1681" i="1"/>
  <c r="H1680" i="1"/>
  <c r="H1679" i="1"/>
  <c r="H1678" i="1"/>
  <c r="H1675" i="1"/>
  <c r="H1674" i="1"/>
  <c r="H1673" i="1"/>
  <c r="H1672" i="1"/>
  <c r="H1671" i="1"/>
  <c r="H1670" i="1"/>
  <c r="H1668" i="1"/>
  <c r="H1667" i="1"/>
  <c r="H1665" i="1"/>
  <c r="H1664" i="1"/>
  <c r="H1663" i="1"/>
  <c r="H1662" i="1"/>
  <c r="H1661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1" i="1"/>
  <c r="H1630" i="1"/>
  <c r="H1629" i="1"/>
  <c r="H1627" i="1"/>
  <c r="H1626" i="1"/>
  <c r="H1625" i="1"/>
  <c r="H1623" i="1"/>
  <c r="H1622" i="1"/>
  <c r="H1621" i="1"/>
  <c r="H1620" i="1"/>
  <c r="H1617" i="1"/>
  <c r="H1616" i="1"/>
  <c r="H1615" i="1"/>
  <c r="H1614" i="1"/>
  <c r="H1613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3" i="1"/>
  <c r="H1252" i="1"/>
  <c r="H1251" i="1"/>
  <c r="H1250" i="1"/>
  <c r="H1249" i="1"/>
  <c r="H1247" i="1"/>
  <c r="H1246" i="1"/>
  <c r="H1245" i="1"/>
  <c r="H1243" i="1"/>
  <c r="H1242" i="1"/>
  <c r="H1241" i="1"/>
  <c r="H1240" i="1"/>
  <c r="H1239" i="1"/>
  <c r="H1238" i="1"/>
  <c r="H1237" i="1"/>
  <c r="H1236" i="1"/>
  <c r="H1235" i="1"/>
  <c r="H1234" i="1"/>
  <c r="H1232" i="1"/>
  <c r="H1231" i="1"/>
  <c r="H1230" i="1"/>
  <c r="H1229" i="1"/>
  <c r="H1227" i="1"/>
  <c r="H1225" i="1"/>
  <c r="H1224" i="1"/>
  <c r="H1223" i="1"/>
  <c r="H1222" i="1"/>
  <c r="H1219" i="1"/>
  <c r="H1218" i="1"/>
  <c r="H1217" i="1"/>
  <c r="H1213" i="1"/>
  <c r="H1212" i="1"/>
  <c r="H1211" i="1"/>
  <c r="H1210" i="1"/>
  <c r="H1209" i="1"/>
  <c r="H1208" i="1"/>
  <c r="H1205" i="1"/>
  <c r="H1202" i="1"/>
  <c r="H1201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59" i="1"/>
  <c r="H1158" i="1"/>
  <c r="H1157" i="1"/>
  <c r="H1155" i="1"/>
  <c r="H1154" i="1"/>
  <c r="H1153" i="1"/>
  <c r="H1151" i="1"/>
  <c r="H1149" i="1"/>
  <c r="H1147" i="1"/>
  <c r="H1145" i="1"/>
  <c r="H1143" i="1"/>
  <c r="H1142" i="1"/>
  <c r="H1141" i="1"/>
  <c r="H1140" i="1"/>
  <c r="H1139" i="1"/>
  <c r="H1137" i="1"/>
  <c r="H1136" i="1"/>
  <c r="H1135" i="1"/>
  <c r="H1134" i="1"/>
  <c r="H1133" i="1"/>
  <c r="H1132" i="1"/>
  <c r="H1131" i="1"/>
  <c r="H1130" i="1"/>
  <c r="H1129" i="1"/>
  <c r="H1128" i="1"/>
  <c r="H1126" i="1"/>
  <c r="H1125" i="1"/>
  <c r="H1124" i="1"/>
  <c r="H1122" i="1"/>
  <c r="H1121" i="1"/>
  <c r="H1119" i="1"/>
  <c r="H1118" i="1"/>
  <c r="H1116" i="1"/>
  <c r="H1114" i="1"/>
  <c r="H1113" i="1"/>
  <c r="H1112" i="1"/>
  <c r="H1111" i="1"/>
  <c r="H1110" i="1"/>
  <c r="H1109" i="1"/>
  <c r="H1108" i="1"/>
  <c r="H1107" i="1"/>
  <c r="H1106" i="1"/>
  <c r="H1104" i="1"/>
  <c r="H1103" i="1"/>
  <c r="H1100" i="1"/>
  <c r="H1099" i="1"/>
  <c r="H1098" i="1"/>
  <c r="H1097" i="1"/>
  <c r="H1094" i="1"/>
  <c r="H1092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69" i="1"/>
  <c r="H1068" i="1"/>
  <c r="H1065" i="1"/>
  <c r="H1064" i="1"/>
  <c r="H1063" i="1"/>
  <c r="H1062" i="1"/>
  <c r="H1061" i="1"/>
  <c r="H1060" i="1"/>
  <c r="H1059" i="1"/>
  <c r="H1058" i="1"/>
  <c r="H1057" i="1"/>
  <c r="H1056" i="1"/>
  <c r="H1055" i="1"/>
  <c r="H1053" i="1"/>
  <c r="H1051" i="1"/>
  <c r="H1050" i="1"/>
  <c r="H1049" i="1"/>
  <c r="H1048" i="1"/>
  <c r="H1047" i="1"/>
  <c r="H1046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5" i="1"/>
  <c r="H994" i="1"/>
  <c r="H991" i="1"/>
  <c r="H990" i="1"/>
  <c r="H988" i="1"/>
  <c r="H987" i="1"/>
  <c r="H986" i="1"/>
  <c r="H985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6" i="1"/>
  <c r="H905" i="1"/>
  <c r="H904" i="1"/>
  <c r="H903" i="1"/>
  <c r="H902" i="1"/>
  <c r="H901" i="1"/>
  <c r="H900" i="1"/>
  <c r="H898" i="1"/>
  <c r="H897" i="1"/>
  <c r="H896" i="1"/>
  <c r="H895" i="1"/>
  <c r="H894" i="1"/>
  <c r="H893" i="1"/>
  <c r="H892" i="1"/>
  <c r="H890" i="1"/>
  <c r="H889" i="1"/>
  <c r="H887" i="1"/>
  <c r="H886" i="1"/>
  <c r="H885" i="1"/>
  <c r="H883" i="1"/>
  <c r="H882" i="1"/>
  <c r="H881" i="1"/>
  <c r="H880" i="1"/>
  <c r="H879" i="1"/>
  <c r="H878" i="1"/>
  <c r="H877" i="1"/>
  <c r="H876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4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4" i="1"/>
  <c r="H823" i="1"/>
  <c r="H820" i="1"/>
  <c r="H819" i="1"/>
  <c r="H818" i="1"/>
  <c r="H817" i="1"/>
  <c r="H816" i="1"/>
  <c r="H815" i="1"/>
  <c r="H814" i="1"/>
  <c r="H813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3" i="1"/>
  <c r="H792" i="1"/>
  <c r="H791" i="1"/>
  <c r="H790" i="1"/>
  <c r="H789" i="1"/>
  <c r="H788" i="1"/>
  <c r="H786" i="1"/>
  <c r="H785" i="1"/>
  <c r="H784" i="1"/>
  <c r="H783" i="1"/>
  <c r="H782" i="1"/>
  <c r="H781" i="1"/>
  <c r="H779" i="1"/>
  <c r="H778" i="1"/>
  <c r="H777" i="1"/>
  <c r="H776" i="1"/>
  <c r="H775" i="1"/>
  <c r="H774" i="1"/>
  <c r="H773" i="1"/>
  <c r="H772" i="1"/>
  <c r="H771" i="1"/>
  <c r="H770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0" i="1"/>
  <c r="H727" i="1"/>
  <c r="H725" i="1"/>
  <c r="H722" i="1"/>
  <c r="H721" i="1"/>
  <c r="H720" i="1"/>
  <c r="H718" i="1"/>
  <c r="H716" i="1"/>
  <c r="H713" i="1"/>
  <c r="H712" i="1"/>
  <c r="H711" i="1"/>
  <c r="H710" i="1"/>
  <c r="H709" i="1"/>
  <c r="H708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87" i="1"/>
  <c r="H686" i="1"/>
  <c r="H684" i="1"/>
  <c r="H682" i="1"/>
  <c r="H679" i="1"/>
  <c r="H678" i="1"/>
  <c r="H677" i="1"/>
  <c r="H676" i="1"/>
  <c r="H675" i="1"/>
  <c r="H672" i="1"/>
  <c r="H670" i="1"/>
  <c r="H668" i="1"/>
  <c r="H665" i="1"/>
  <c r="H664" i="1"/>
  <c r="H663" i="1"/>
  <c r="H662" i="1"/>
  <c r="H660" i="1"/>
  <c r="H658" i="1"/>
  <c r="H654" i="1"/>
  <c r="H653" i="1"/>
  <c r="H652" i="1"/>
  <c r="H650" i="1"/>
  <c r="H647" i="1"/>
  <c r="H646" i="1"/>
  <c r="H645" i="1"/>
  <c r="H644" i="1"/>
  <c r="H642" i="1"/>
  <c r="H641" i="1"/>
  <c r="H639" i="1"/>
  <c r="H638" i="1"/>
  <c r="H637" i="1"/>
  <c r="H633" i="1"/>
  <c r="H631" i="1"/>
  <c r="H630" i="1"/>
  <c r="H629" i="1"/>
  <c r="H628" i="1"/>
  <c r="H627" i="1"/>
  <c r="H625" i="1"/>
  <c r="H624" i="1"/>
  <c r="H623" i="1"/>
  <c r="H622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599" i="1"/>
  <c r="H598" i="1"/>
  <c r="H595" i="1"/>
  <c r="H594" i="1"/>
  <c r="H593" i="1"/>
  <c r="H591" i="1"/>
  <c r="H589" i="1"/>
  <c r="H587" i="1"/>
  <c r="H586" i="1"/>
  <c r="H585" i="1"/>
  <c r="H584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5" i="1"/>
  <c r="H564" i="1"/>
  <c r="H563" i="1"/>
  <c r="H562" i="1"/>
  <c r="H560" i="1"/>
  <c r="H559" i="1"/>
  <c r="H558" i="1"/>
  <c r="H556" i="1"/>
  <c r="H555" i="1"/>
  <c r="H554" i="1"/>
  <c r="H552" i="1"/>
  <c r="H551" i="1"/>
  <c r="H550" i="1"/>
  <c r="H549" i="1"/>
  <c r="H548" i="1"/>
  <c r="H547" i="1"/>
  <c r="H546" i="1"/>
  <c r="H544" i="1"/>
  <c r="H543" i="1"/>
  <c r="H542" i="1"/>
  <c r="H541" i="1"/>
  <c r="H540" i="1"/>
  <c r="H539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1" i="1"/>
  <c r="H520" i="1"/>
  <c r="H519" i="1"/>
  <c r="H518" i="1"/>
  <c r="H517" i="1"/>
  <c r="H514" i="1"/>
  <c r="H513" i="1"/>
  <c r="H512" i="1"/>
  <c r="H511" i="1"/>
  <c r="H510" i="1"/>
  <c r="H509" i="1"/>
  <c r="H508" i="1"/>
  <c r="H506" i="1"/>
  <c r="H505" i="1"/>
  <c r="H504" i="1"/>
  <c r="H503" i="1"/>
  <c r="H502" i="1"/>
  <c r="H501" i="1"/>
  <c r="H500" i="1"/>
  <c r="H498" i="1"/>
  <c r="H497" i="1"/>
  <c r="H496" i="1"/>
  <c r="H495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1" i="1"/>
  <c r="H469" i="1"/>
  <c r="H468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0" i="1"/>
  <c r="H429" i="1"/>
  <c r="H428" i="1"/>
  <c r="H426" i="1"/>
  <c r="H424" i="1"/>
  <c r="H423" i="1"/>
  <c r="H422" i="1"/>
  <c r="H421" i="1"/>
  <c r="H419" i="1"/>
  <c r="H418" i="1"/>
  <c r="H417" i="1"/>
  <c r="H415" i="1"/>
  <c r="H414" i="1"/>
  <c r="H413" i="1"/>
  <c r="H412" i="1"/>
  <c r="H411" i="1"/>
  <c r="H410" i="1"/>
  <c r="H409" i="1"/>
  <c r="H408" i="1"/>
  <c r="H407" i="1"/>
  <c r="H406" i="1"/>
  <c r="H404" i="1"/>
  <c r="H403" i="1"/>
  <c r="H402" i="1"/>
  <c r="H401" i="1"/>
  <c r="H400" i="1"/>
  <c r="H398" i="1"/>
  <c r="H397" i="1"/>
  <c r="H396" i="1"/>
  <c r="H395" i="1"/>
  <c r="H394" i="1"/>
  <c r="H393" i="1"/>
  <c r="H391" i="1"/>
  <c r="H390" i="1"/>
  <c r="H389" i="1"/>
  <c r="H387" i="1"/>
  <c r="H384" i="1"/>
  <c r="H383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59" i="1"/>
  <c r="H358" i="1"/>
  <c r="H357" i="1"/>
  <c r="H356" i="1"/>
  <c r="H354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3" i="1"/>
  <c r="H332" i="1"/>
  <c r="H331" i="1"/>
  <c r="H330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1" i="1"/>
  <c r="H300" i="1"/>
  <c r="H299" i="1"/>
  <c r="H298" i="1"/>
  <c r="H297" i="1"/>
  <c r="H296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4" i="1"/>
  <c r="H243" i="1"/>
  <c r="H242" i="1"/>
  <c r="H240" i="1"/>
  <c r="H238" i="1"/>
  <c r="H235" i="1"/>
  <c r="H232" i="1"/>
  <c r="H231" i="1"/>
  <c r="H230" i="1"/>
  <c r="H229" i="1"/>
  <c r="H228" i="1"/>
  <c r="H227" i="1"/>
  <c r="H226" i="1"/>
  <c r="H225" i="1"/>
  <c r="H224" i="1"/>
  <c r="H223" i="1"/>
  <c r="H221" i="1"/>
  <c r="H220" i="1"/>
  <c r="H218" i="1"/>
  <c r="H217" i="1"/>
  <c r="H216" i="1"/>
  <c r="H214" i="1"/>
  <c r="H212" i="1"/>
  <c r="H211" i="1"/>
  <c r="H209" i="1"/>
  <c r="H208" i="1"/>
  <c r="H207" i="1"/>
  <c r="H206" i="1"/>
  <c r="H204" i="1"/>
  <c r="H203" i="1"/>
  <c r="H202" i="1"/>
  <c r="H201" i="1"/>
  <c r="H198" i="1"/>
  <c r="H197" i="1"/>
  <c r="H195" i="1"/>
  <c r="H192" i="1"/>
  <c r="H191" i="1"/>
  <c r="H190" i="1"/>
  <c r="H189" i="1"/>
  <c r="H188" i="1"/>
  <c r="H186" i="1"/>
  <c r="H185" i="1"/>
  <c r="H184" i="1"/>
  <c r="H183" i="1"/>
  <c r="H182" i="1"/>
  <c r="H180" i="1"/>
  <c r="H179" i="1"/>
  <c r="H178" i="1"/>
  <c r="H177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0" i="1"/>
  <c r="H159" i="1"/>
  <c r="H158" i="1"/>
  <c r="H157" i="1"/>
  <c r="H156" i="1"/>
  <c r="H155" i="1"/>
  <c r="H153" i="1"/>
  <c r="H152" i="1"/>
  <c r="H149" i="1"/>
  <c r="H146" i="1"/>
  <c r="H145" i="1"/>
  <c r="H142" i="1"/>
  <c r="H141" i="1"/>
  <c r="H140" i="1"/>
  <c r="H136" i="1"/>
  <c r="H135" i="1"/>
  <c r="H134" i="1"/>
  <c r="H132" i="1"/>
  <c r="H131" i="1"/>
  <c r="H130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1" i="1"/>
  <c r="H109" i="1"/>
  <c r="H107" i="1"/>
  <c r="H106" i="1"/>
  <c r="H104" i="1"/>
  <c r="H103" i="1"/>
  <c r="H102" i="1"/>
  <c r="H101" i="1"/>
  <c r="H99" i="1"/>
  <c r="H97" i="1"/>
  <c r="H96" i="1"/>
  <c r="H95" i="1"/>
  <c r="H90" i="1"/>
  <c r="H89" i="1"/>
  <c r="H87" i="1"/>
  <c r="H85" i="1"/>
  <c r="H84" i="1"/>
  <c r="H83" i="1"/>
  <c r="H81" i="1"/>
  <c r="H80" i="1"/>
  <c r="H78" i="1"/>
  <c r="H77" i="1"/>
  <c r="H76" i="1"/>
  <c r="H75" i="1"/>
  <c r="H73" i="1"/>
  <c r="H71" i="1"/>
  <c r="H70" i="1"/>
  <c r="H69" i="1"/>
  <c r="H68" i="1"/>
  <c r="H67" i="1"/>
  <c r="H66" i="1"/>
  <c r="H65" i="1"/>
  <c r="H62" i="1"/>
  <c r="H61" i="1"/>
  <c r="H60" i="1"/>
  <c r="H59" i="1"/>
  <c r="H58" i="1"/>
  <c r="H57" i="1"/>
  <c r="H56" i="1"/>
  <c r="H55" i="1"/>
  <c r="H54" i="1"/>
  <c r="H52" i="1"/>
  <c r="H49" i="1"/>
  <c r="H47" i="1"/>
  <c r="H46" i="1"/>
  <c r="H45" i="1"/>
  <c r="H43" i="1"/>
  <c r="H42" i="1"/>
  <c r="H41" i="1"/>
  <c r="H40" i="1"/>
  <c r="H39" i="1"/>
  <c r="H38" i="1"/>
  <c r="H37" i="1"/>
  <c r="H36" i="1"/>
  <c r="H35" i="1"/>
  <c r="H34" i="1"/>
  <c r="H33" i="1"/>
  <c r="H31" i="1"/>
  <c r="H30" i="1"/>
  <c r="H28" i="1"/>
  <c r="H27" i="1"/>
  <c r="H26" i="1"/>
  <c r="H25" i="1"/>
  <c r="H24" i="1"/>
  <c r="H22" i="1"/>
  <c r="H21" i="1"/>
  <c r="H19" i="1"/>
  <c r="H18" i="1"/>
  <c r="H17" i="1"/>
  <c r="H16" i="1"/>
  <c r="H15" i="1"/>
  <c r="H14" i="1"/>
  <c r="H11" i="1"/>
  <c r="H10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<sst xmlns="http://schemas.openxmlformats.org/spreadsheetml/2006/main" count="134752" uniqueCount="14951">
  <si>
    <t>PG.FastaHeaders</t>
  </si>
  <si>
    <t>PG.UniProtIds</t>
  </si>
  <si>
    <t>PG.Genes</t>
  </si>
  <si>
    <t>PG.ProteinDescriptions</t>
  </si>
  <si>
    <t>PG.ProteinGroups</t>
  </si>
  <si>
    <t>PG.Organisms</t>
  </si>
  <si>
    <t>uniprot_id</t>
  </si>
  <si>
    <t>gene_symbol</t>
  </si>
  <si>
    <t>description</t>
  </si>
  <si>
    <t>N2_1</t>
  </si>
  <si>
    <t>N2_2</t>
  </si>
  <si>
    <t>N2_3</t>
  </si>
  <si>
    <t>NEK2_TURB_1</t>
  </si>
  <si>
    <t>NEK2_TURB_2</t>
  </si>
  <si>
    <t>NEK2_TURB_3</t>
  </si>
  <si>
    <t>logFC</t>
  </si>
  <si>
    <t>CI.L</t>
  </si>
  <si>
    <t>CI.R</t>
  </si>
  <si>
    <t>average_intensity</t>
  </si>
  <si>
    <t>t</t>
  </si>
  <si>
    <t>B</t>
  </si>
  <si>
    <t>P.Value</t>
  </si>
  <si>
    <t>adj.P.Val</t>
  </si>
  <si>
    <t>sig.PVal</t>
  </si>
  <si>
    <t>sig.FDR</t>
  </si>
  <si>
    <t>&gt;tr|A0A061ACK7|A0A061ACK7_CAEEL Phosphoserine phosphatase OS=Caenorhabditis elegans OX=6239 GN=CELE_Y62E10A.13 PE=1 SV=1</t>
  </si>
  <si>
    <t>A0A061ACK7</t>
  </si>
  <si>
    <t>Phosphoserine phosphatase</t>
  </si>
  <si>
    <t>Caenorhabditis elegans</t>
  </si>
  <si>
    <t>NA</t>
  </si>
  <si>
    <t>&gt;sp|A0A061ACU2|PIEZ1_CAEEL Piezo-type mechanosensitive ion channel component 1 OS=Caenorhabditis elegans OX=6239 GN=pezo-1 PE=1 SV=1</t>
  </si>
  <si>
    <t>A0A061ACU2</t>
  </si>
  <si>
    <t>pezo-1</t>
  </si>
  <si>
    <t>Piezo-type mechanosensitive ion channel component 1</t>
  </si>
  <si>
    <t>&gt;tr|A0A061ACY0|A0A061ACY0_CAEEL palmitoyl-protein hydrolase OS=Caenorhabditis elegans OX=6239 GN=ath-1 PE=1 SV=1</t>
  </si>
  <si>
    <t>A0A061ACY0</t>
  </si>
  <si>
    <t>ath-1</t>
  </si>
  <si>
    <t>palmitoyl-protein hydrolase</t>
  </si>
  <si>
    <t>&gt;tr|A0A061AD00|A0A061AD00_CAEEL DMAP1-binding domain-containing protein OS=Caenorhabditis elegans OX=6239 GN=dip-2 PE=1 SV=1</t>
  </si>
  <si>
    <t>A0A061AD00</t>
  </si>
  <si>
    <t>dip-2</t>
  </si>
  <si>
    <t>DMAP1-binding domain-containing protein</t>
  </si>
  <si>
    <t>&gt;tr|A0A061AD72|A0A061AD72_CAEEL KAP NTPase domain-containing protein OS=Caenorhabditis elegans OX=6239 GN=kdin-1 PE=1 SV=1</t>
  </si>
  <si>
    <t>A0A061AD72</t>
  </si>
  <si>
    <t>kdin-1</t>
  </si>
  <si>
    <t>KAP NTPase domain-containing protein</t>
  </si>
  <si>
    <t>&gt;tr|A0A061AKV1|A0A061AKV1_CAEEL UDP-glucuronosyltransferase OS=Caenorhabditis elegans OX=6239 GN=ugt-21 PE=1 SV=1</t>
  </si>
  <si>
    <t>A0A061AKV1</t>
  </si>
  <si>
    <t>ugt-21</t>
  </si>
  <si>
    <t>UDP-glucuronosyltransferase</t>
  </si>
  <si>
    <t>&gt;tr|A0A078BPH9|A0A078BPH9_CAEEL Lamin OS=Caenorhabditis elegans OX=6239 GN=CELE_F10C1.9 PE=1 SV=1</t>
  </si>
  <si>
    <t>A0A078BPH9</t>
  </si>
  <si>
    <t>Lamin</t>
  </si>
  <si>
    <t>&gt;tr|A0A0K3AQN0|A0A0K3AQN0_CAEEL DH domain-containing protein OS=Caenorhabditis elegans OX=6239 GN=CELE_Y105E8A.25 PE=1 SV=1</t>
  </si>
  <si>
    <t>A0A0K3AQN0</t>
  </si>
  <si>
    <t>DH domain-containing protein</t>
  </si>
  <si>
    <t>&gt;tr|A0A0K3AQN5|A0A0K3AQN5_CAEEL p-GlycoProtein related OS=Caenorhabditis elegans OX=6239 GN=pgp-2 PE=1 SV=1</t>
  </si>
  <si>
    <t>A0A0K3AQN5</t>
  </si>
  <si>
    <t>pgp-2</t>
  </si>
  <si>
    <t>p-GlycoProtein related</t>
  </si>
  <si>
    <t>&gt;tr|A0A0K3AQW3|A0A0K3AQW3_CAEEL Protein CIP2A OS=Caenorhabditis elegans OX=6239 GN=B0432.7 PE=1 SV=1</t>
  </si>
  <si>
    <t>A0A0K3AQW3</t>
  </si>
  <si>
    <t>B0432.7</t>
  </si>
  <si>
    <t>Protein CIP2A</t>
  </si>
  <si>
    <t>&gt;tr|A0A0K3AR51|A0A0K3AR51_CAEEL PH domain-containing protein OS=Caenorhabditis elegans OX=6239 GN=CELE_F22G12.5 PE=1 SV=1</t>
  </si>
  <si>
    <t>A0A0K3AR51</t>
  </si>
  <si>
    <t>PH domain-containing protein</t>
  </si>
  <si>
    <t>&gt;tr|A0A0K3ARN9|A0A0K3ARN9_CAEEL PB1 domain-containing protein OS=Caenorhabditis elegans OX=6239 GN=CELE_Y50D4B.1 PE=1 SV=1</t>
  </si>
  <si>
    <t>A0A0K3ARN9</t>
  </si>
  <si>
    <t>PB1 domain-containing protein</t>
  </si>
  <si>
    <t>&gt;tr|A0A0K3ARZ7|A0A0K3ARZ7_CAEEL DUF38 domain-containing protein OS=Caenorhabditis elegans OX=6239 GN=fbxa-72 PE=1 SV=1</t>
  </si>
  <si>
    <t>A0A0K3ARZ7</t>
  </si>
  <si>
    <t>fbxa-72</t>
  </si>
  <si>
    <t>DUF38 domain-containing protein</t>
  </si>
  <si>
    <t>&gt;tr|A0A0K3AS36|A0A0K3AS36_CAEEL Intersectin-1 OS=Caenorhabditis elegans OX=6239 GN=itsn-1 PE=1 SV=1</t>
  </si>
  <si>
    <t>A0A0K3AS36</t>
  </si>
  <si>
    <t>itsn-1</t>
  </si>
  <si>
    <t>Intersectin-1</t>
  </si>
  <si>
    <t>&gt;tr|A0A0K3AUD2|A0A0K3AUD2_CAEEL IntraMembrane Protease (IMPAS) family OS=Caenorhabditis elegans OX=6239 GN=imp-3 PE=1 SV=1</t>
  </si>
  <si>
    <t>A0A0K3AUD2</t>
  </si>
  <si>
    <t>imp-3</t>
  </si>
  <si>
    <t>IntraMembrane Protease (IMPAS) family</t>
  </si>
  <si>
    <t>&gt;tr|A0A0K3AUI7|A0A0K3AUI7_CAEEL Pry-1 Interacting and CABIN1 Domain containing OS=Caenorhabditis elegans OX=6239 GN=picd-1 PE=1 SV=1</t>
  </si>
  <si>
    <t>A0A0K3AUI7</t>
  </si>
  <si>
    <t>picd-1</t>
  </si>
  <si>
    <t>Pry-1 Interacting and CABIN1 Domain containing</t>
  </si>
  <si>
    <t>&gt;sp|A0A0K3AUJ9|PRDX_CAEEL Peroxiredoxin prdx-2 OS=Caenorhabditis elegans OX=6239 GN=prdx-2 PE=1 SV=1</t>
  </si>
  <si>
    <t>A0A0K3AUJ9</t>
  </si>
  <si>
    <t>prdx-2</t>
  </si>
  <si>
    <t>Peroxiredoxin prdx-2</t>
  </si>
  <si>
    <t>&gt;tr|A0A0K3AUP0|A0A0K3AUP0_CAEEL RRM domain-containing protein OS=Caenorhabditis elegans OX=6239 GN=etr-1 PE=1 SV=1</t>
  </si>
  <si>
    <t>A0A0K3AUP0</t>
  </si>
  <si>
    <t>etr-1</t>
  </si>
  <si>
    <t>RRM domain-containing protein</t>
  </si>
  <si>
    <t>&gt;tr|A0A0K3AUY4|A0A0K3AUY4_CAEEL Spen family transcriptional repressor OS=Caenorhabditis elegans OX=6239 GN=CELE_Y66D12A.16 PE=1 SV=1</t>
  </si>
  <si>
    <t>A0A0K3AUY4</t>
  </si>
  <si>
    <t>Spen family transcriptional repressor</t>
  </si>
  <si>
    <t>&gt;sp|A0A0K3AV08|MLK1_CAEEL Mitogen-activated protein kinase kinase kinase mlk-1 OS=Caenorhabditis elegans OX=6239 GN=mlk-1 PE=1 SV=1</t>
  </si>
  <si>
    <t>A0A0K3AV08</t>
  </si>
  <si>
    <t>mlk-1</t>
  </si>
  <si>
    <t>Mitogen-activated protein kinase kinase kinase mlk-1</t>
  </si>
  <si>
    <t>&gt;tr|A0A0K3AVL7|A0A0K3AVL7_CAEEL Large neutral amino acids transporter small subunit 1 OS=Caenorhabditis elegans OX=6239 GN=aat-3 PE=1 SV=1</t>
  </si>
  <si>
    <t>A0A0K3AVL7</t>
  </si>
  <si>
    <t>aat-3</t>
  </si>
  <si>
    <t>Large neutral amino acids transporter small subunit 1</t>
  </si>
  <si>
    <t>&gt;tr|A0A0K3AVV4|A0A0K3AVV4_CAEEL Major facilitator superfamily (MFS) profile domain-containing protein OS=Caenorhabditis elegans OX=6239 GN=CELE_T08B1.1 PE=1 SV=1</t>
  </si>
  <si>
    <t>A0A0K3AVV4</t>
  </si>
  <si>
    <t>Major facilitator superfamily (MFS) profile domain-containing protein</t>
  </si>
  <si>
    <t>&gt;tr|A0A0K3AW57|A0A0K3AW57_CAEEL Rho-GAP domain-containing protein OS=Caenorhabditis elegans OX=6239 GN=rga-4 PE=1 SV=1</t>
  </si>
  <si>
    <t>A0A0K3AW57</t>
  </si>
  <si>
    <t>rga-4</t>
  </si>
  <si>
    <t>Rho-GAP domain-containing protein</t>
  </si>
  <si>
    <t>&gt;tr|A0A0K3AWB8|A0A0K3AWB8_CAEEL Bromo domain-containing protein OS=Caenorhabditis elegans OX=6239 GN=bet-2 PE=1 SV=1</t>
  </si>
  <si>
    <t>A0A0K3AWB8</t>
  </si>
  <si>
    <t>bet-2</t>
  </si>
  <si>
    <t>Bromo domain-containing protein</t>
  </si>
  <si>
    <t>&gt;tr|A0A0K3AWP8|A0A0K3AWP8_CAEEL Bridge-like lipid transfer protein family member 1 C-terminal domain-containing protein OS=Caenorhabditis elegans OX=6239 GN=lpd-3 PE=1 SV=1</t>
  </si>
  <si>
    <t>A0A0K3AWP8</t>
  </si>
  <si>
    <t>lpd-3</t>
  </si>
  <si>
    <t>Bridge-like lipid transfer protein family member 1 C-terminal domain-containing protein</t>
  </si>
  <si>
    <t>&gt;tr|A0A0K3AX73|A0A0K3AX73_CAEEL Hpc2-related domain-containing protein OS=Caenorhabditis elegans OX=6239 GN=pqn-80 PE=1 SV=1</t>
  </si>
  <si>
    <t>A0A0K3AX73</t>
  </si>
  <si>
    <t>pqn-80</t>
  </si>
  <si>
    <t>Hpc2-related domain-containing protein</t>
  </si>
  <si>
    <t>&gt;sp|A0A0K3AXH1|ARID1_CAEEL AT-rich interactive domain-containing protein arid-1 OS=Caenorhabditis elegans OX=6239 GN=arid-1 PE=3 SV=1</t>
  </si>
  <si>
    <t>A0A0K3AXH1</t>
  </si>
  <si>
    <t>arid-1</t>
  </si>
  <si>
    <t>AT-rich interactive domain-containing protein arid-1</t>
  </si>
  <si>
    <t>&gt;tr|A0A0M7REP1|A0A0M7REP1_CAEEL C2H2-type domain-containing protein OS=Caenorhabditis elegans OX=6239 GN=CELE_F37B4.10 PE=1 SV=1</t>
  </si>
  <si>
    <t>A0A0M7REP1</t>
  </si>
  <si>
    <t>C2H2-type domain-containing protein</t>
  </si>
  <si>
    <t>&gt;tr|A0A0S4XR36|A0A0S4XR36_CAEEL UBR-type domain-containing protein OS=Caenorhabditis elegans OX=6239 GN=ubr-4 PE=1 SV=1</t>
  </si>
  <si>
    <t>A0A0S4XR36</t>
  </si>
  <si>
    <t>ubr-4</t>
  </si>
  <si>
    <t>UBR-type domain-containing protein</t>
  </si>
  <si>
    <t>&gt;tr|A0A0S4XR43|A0A0S4XR43_CAEEL SAP domain-containing protein OS=Caenorhabditis elegans OX=6239 GN=ccar-1 PE=1 SV=1</t>
  </si>
  <si>
    <t>A0A0S4XR43</t>
  </si>
  <si>
    <t>ccar-1</t>
  </si>
  <si>
    <t>SAP domain-containing protein</t>
  </si>
  <si>
    <t>&gt;tr|A0A0S4XR75|A0A0S4XR75_CAEEL AB hydrolase-1 domain-containing protein OS=Caenorhabditis elegans OX=6239 GN=CELE_K08D9.4 PE=4 SV=1;&gt;tr|Q9N4E0|Q9N4E0_CAEEL AB hydrolase-1 domain-containing protein OS=Caenorhabditis elegans OX=6239 GN=CELE_Y73C8B.1 PE=4 SV=1</t>
  </si>
  <si>
    <t>A0A0S4XR75;Q9N4E0</t>
  </si>
  <si>
    <t>AB hydrolase-1 domain-containing protein</t>
  </si>
  <si>
    <t>A0A0S4XR75</t>
  </si>
  <si>
    <t>&gt;tr|A0A0T7CIX3|A0A0T7CIX3_CAEEL Piwi-like protein OS=Caenorhabditis elegans OX=6239 GN=sago-1 PE=1 SV=1</t>
  </si>
  <si>
    <t>A0A0T7CIX3</t>
  </si>
  <si>
    <t>sago-1</t>
  </si>
  <si>
    <t>Piwi-like protein</t>
  </si>
  <si>
    <t>&gt;tr|A0A0U1RML5|A0A0U1RML5_CAEEL Piwi domain-containing protein OS=Caenorhabditis elegans OX=6239 GN=sago-2 PE=1 SV=1</t>
  </si>
  <si>
    <t>A0A0U1RML5</t>
  </si>
  <si>
    <t>sago-2</t>
  </si>
  <si>
    <t>Piwi domain-containing protein</t>
  </si>
  <si>
    <t>&gt;tr|A0A131MBD0|A0A131MBD0_CAEEL Rad21_Rec8 domain-containing protein OS=Caenorhabditis elegans OX=6239 GN=coh-1 PE=1 SV=1</t>
  </si>
  <si>
    <t>A0A131MBD0</t>
  </si>
  <si>
    <t>coh-1</t>
  </si>
  <si>
    <t>Rad21_Rec8 domain-containing protein</t>
  </si>
  <si>
    <t>&gt;tr|A0A131MBF9|A0A131MBF9_CAEEL Importin N-terminal domain-containing protein OS=Caenorhabditis elegans OX=6239 GN=imb-2 PE=1 SV=1</t>
  </si>
  <si>
    <t>A0A131MBF9</t>
  </si>
  <si>
    <t>imb-2</t>
  </si>
  <si>
    <t>Importin N-terminal domain-containing protein</t>
  </si>
  <si>
    <t>&gt;tr|A0A131MBT2|A0A131MBT2_CAEEL JmjC domain-containing protein OS=Caenorhabditis elegans OX=6239 GN=utx-1 PE=1 SV=1</t>
  </si>
  <si>
    <t>A0A131MBT2</t>
  </si>
  <si>
    <t>utx-1</t>
  </si>
  <si>
    <t>JmjC domain-containing protein</t>
  </si>
  <si>
    <t>&gt;sp|A0A131MBU3|IRG7_CAEEL Protein irg-7 OS=Caenorhabditis elegans OX=6239 GN=irg-7 PE=2 SV=1</t>
  </si>
  <si>
    <t>A0A131MBU3</t>
  </si>
  <si>
    <t>irg-7</t>
  </si>
  <si>
    <t>Protein irg-7</t>
  </si>
  <si>
    <t>&gt;tr|A0A131MCT5|A0A131MCT5_CAEEL B-related factor 1 OS=Caenorhabditis elegans OX=6239 GN=brf-1 PE=1 SV=1</t>
  </si>
  <si>
    <t>A0A131MCT5</t>
  </si>
  <si>
    <t>brf-1</t>
  </si>
  <si>
    <t>B-related factor 1</t>
  </si>
  <si>
    <t>&gt;tr|A0A131MD37|A0A131MD37_CAEEL Trafficking protein particle complex subunit 11 domain-containing protein OS=Caenorhabditis elegans OX=6239 GN=trpp-11 PE=1 SV=1</t>
  </si>
  <si>
    <t>A0A131MD37</t>
  </si>
  <si>
    <t>trpp-11</t>
  </si>
  <si>
    <t>Trafficking protein particle complex subunit 11 domain-containing protein</t>
  </si>
  <si>
    <t>&gt;tr|A0A164D380|A0A164D380_CAEEL Rab-GAP TBC domain-containing protein OS=Caenorhabditis elegans OX=6239 GN=tbc-14 PE=1 SV=1</t>
  </si>
  <si>
    <t>A0A164D380</t>
  </si>
  <si>
    <t>tbc-14</t>
  </si>
  <si>
    <t>Rab-GAP TBC domain-containing protein</t>
  </si>
  <si>
    <t>&gt;tr|A0A164D3G3|A0A164D3G3_CAEEL Pre-mRNA 3'-end-processing factor FIP1 OS=Caenorhabditis elegans OX=6239 GN=fipp-1 PE=1 SV=1</t>
  </si>
  <si>
    <t>A0A164D3G3</t>
  </si>
  <si>
    <t>fipp-1</t>
  </si>
  <si>
    <t>Pre-mRNA 3'-end-processing factor FIP1</t>
  </si>
  <si>
    <t>&gt;sp|A0A1C3NSL9|AJM1_CAEEL Apical junction molecule OS=Caenorhabditis elegans OX=6239 GN=ajm-1 PE=1 SV=1</t>
  </si>
  <si>
    <t>A0A1C3NSL9</t>
  </si>
  <si>
    <t>ajm-1</t>
  </si>
  <si>
    <t>Apical junction molecule</t>
  </si>
  <si>
    <t>&gt;tr|A0A1C3NSQ4|A0A1C3NSQ4_CAEEL SOSS complex subunit A homolog OS=Caenorhabditis elegans OX=6239 GN=CELE_Y56A3A.31 PE=1 SV=1</t>
  </si>
  <si>
    <t>A0A1C3NSQ4</t>
  </si>
  <si>
    <t>SOSS complex subunit A homolog</t>
  </si>
  <si>
    <t>&gt;tr|A0A1D3PCL0|A0A1D3PCL0_CAEEL DUF3402 domain-containing protein OS=Caenorhabditis elegans OX=6239 GN=farl-11 PE=1 SV=1</t>
  </si>
  <si>
    <t>A0A1D3PCL0</t>
  </si>
  <si>
    <t>farl-11</t>
  </si>
  <si>
    <t>DUF3402 domain-containing protein</t>
  </si>
  <si>
    <t>&gt;tr|A0A1I6CM66|A0A1I6CM66_CAEEL Ral GTPase-activating protein subunit alpha/beta N-terminal domain-containing protein OS=Caenorhabditis elegans OX=6239 GN=hgap-2 PE=1 SV=1</t>
  </si>
  <si>
    <t>A0A1I6CM66</t>
  </si>
  <si>
    <t>hgap-2</t>
  </si>
  <si>
    <t>Ral GTPase-activating protein subunit alpha/beta N-terminal domain-containing protein</t>
  </si>
  <si>
    <t>&gt;tr|A0A1I6CM95|A0A1I6CM95_CAEEL Protein lilliputian OS=Caenorhabditis elegans OX=6239 GN=spat-2 PE=1 SV=1</t>
  </si>
  <si>
    <t>A0A1I6CM95</t>
  </si>
  <si>
    <t>spat-2</t>
  </si>
  <si>
    <t>Protein lilliputian</t>
  </si>
  <si>
    <t>&gt;tr|A0A1I6CMC9|A0A1I6CMC9_CAEEL SHSP domain-containing protein OS=Caenorhabditis elegans OX=6239 GN=CELE_Y55F3BR.6 PE=1 SV=1</t>
  </si>
  <si>
    <t>A0A1I6CMC9</t>
  </si>
  <si>
    <t>SHSP domain-containing protein</t>
  </si>
  <si>
    <t>&gt;tr|A0A1N7SYP3|A0A1N7SYP3_CAEEL Microtubule-actin cross-linking factor 1 OS=Caenorhabditis elegans OX=6239 GN=vab-10 PE=1 SV=1</t>
  </si>
  <si>
    <t>A0A1N7SYP3</t>
  </si>
  <si>
    <t>vab-10</t>
  </si>
  <si>
    <t>Microtubule-actin cross-linking factor 1</t>
  </si>
  <si>
    <t>&gt;tr|A0A1N7SYW5|A0A1N7SYW5_CAEEL EF-hand domain-containing protein OS=Caenorhabditis elegans OX=6239 GN=CELE_F43B10.1 PE=1 SV=1</t>
  </si>
  <si>
    <t>A0A1N7SYW5</t>
  </si>
  <si>
    <t>EF-hand domain-containing protein</t>
  </si>
  <si>
    <t>&gt;tr|A0A1T5HUI7|A0A1T5HUI7_CAEEL RING-type domain-containing protein OS=Caenorhabditis elegans OX=6239 GN=CELE_H05L14.2 PE=1 SV=1</t>
  </si>
  <si>
    <t>A0A1T5HUI7</t>
  </si>
  <si>
    <t>RING-type domain-containing protein</t>
  </si>
  <si>
    <t>&gt;tr|A0A1T5HUK0|A0A1T5HUK0_CAEEL E2 ubiquitin-conjugating enzyme OS=Caenorhabditis elegans OX=6239 GN=ubc-15 PE=1 SV=1</t>
  </si>
  <si>
    <t>A0A1T5HUK0</t>
  </si>
  <si>
    <t>ubc-15</t>
  </si>
  <si>
    <t>E2 ubiquitin-conjugating enzyme</t>
  </si>
  <si>
    <t>&gt;tr|A0A1T5HUK2|A0A1T5HUK2_CAEEL FTH domain-containing protein OS=Caenorhabditis elegans OX=6239 GN=CELE_F42G2.2 PE=4 SV=1</t>
  </si>
  <si>
    <t>A0A1T5HUK2</t>
  </si>
  <si>
    <t>FTH domain-containing protein</t>
  </si>
  <si>
    <t>&gt;tr|A0A1T5HUK9|A0A1T5HUK9_CAEEL CBS domain-containing protein OS=Caenorhabditis elegans OX=6239 GN=aakg-1 PE=1 SV=1</t>
  </si>
  <si>
    <t>A0A1T5HUK9</t>
  </si>
  <si>
    <t>aakg-1</t>
  </si>
  <si>
    <t>CBS domain-containing protein</t>
  </si>
  <si>
    <t>&gt;tr|A0A1X7RC97|A0A1X7RC97_CAEEL Arginase OS=Caenorhabditis elegans OX=6239 GN=argn-1 PE=1 SV=1</t>
  </si>
  <si>
    <t>A0A1X7RC97</t>
  </si>
  <si>
    <t>argn-1</t>
  </si>
  <si>
    <t>Arginase</t>
  </si>
  <si>
    <t>&gt;tr|A0A2C9C2Y0|A0A2C9C2Y0_CAEEL Ras-related protein Rab-2 OS=Caenorhabditis elegans OX=6239 GN=unc-108 PE=1 SV=1</t>
  </si>
  <si>
    <t>A0A2C9C2Y0</t>
  </si>
  <si>
    <t>unc-108</t>
  </si>
  <si>
    <t>Ras-related protein Rab-2</t>
  </si>
  <si>
    <t>&gt;tr|A0A2C9C377|A0A2C9C377_CAEEL AMP deaminase OS=Caenorhabditis elegans OX=6239 GN=ampd-1 PE=1 SV=1</t>
  </si>
  <si>
    <t>A0A2C9C377</t>
  </si>
  <si>
    <t>ampd-1</t>
  </si>
  <si>
    <t>AMP deaminase</t>
  </si>
  <si>
    <t>&gt;tr|A0A2C9C3E8|A0A2C9C3E8_CAEEL Ryanodine receptor OS=Caenorhabditis elegans OX=6239 GN=unc-68 PE=1 SV=1</t>
  </si>
  <si>
    <t>A0A2C9C3E8</t>
  </si>
  <si>
    <t>unc-68</t>
  </si>
  <si>
    <t>Ryanodine receptor</t>
  </si>
  <si>
    <t>&gt;tr|A0A2K5ATR5|A0A2K5ATR5_CAEEL Ricin B-type lectin domain-containing protein OS=Caenorhabditis elegans OX=6239 GN=C25H3.11 PE=1 SV=1</t>
  </si>
  <si>
    <t>A0A2K5ATR5</t>
  </si>
  <si>
    <t>C25H3.11</t>
  </si>
  <si>
    <t>Ricin B-type lectin domain-containing protein</t>
  </si>
  <si>
    <t>&gt;tr|A0A2K5ATR7|A0A2K5ATR7_CAEEL E2 ubiquitin-conjugating enzyme OS=Caenorhabditis elegans OX=6239 GN=ubc-26 PE=1 SV=1</t>
  </si>
  <si>
    <t>A0A2K5ATR7</t>
  </si>
  <si>
    <t>ubc-26</t>
  </si>
  <si>
    <t>&gt;tr|A0A2K5ATS7|A0A2K5ATS7_CAEEL C3H1-type domain-containing protein OS=Caenorhabditis elegans OX=6239 GN=rbm-26 PE=1 SV=1</t>
  </si>
  <si>
    <t>A0A2K5ATS7</t>
  </si>
  <si>
    <t>rbm-26</t>
  </si>
  <si>
    <t>C3H1-type domain-containing protein</t>
  </si>
  <si>
    <t>&gt;tr|A0A2K5ATW7|A0A2K5ATW7_CAEEL Protein kish OS=Caenorhabditis elegans OX=6239 GN=popl-7 PE=3 SV=2</t>
  </si>
  <si>
    <t>A0A2K5ATW7</t>
  </si>
  <si>
    <t>popl-7</t>
  </si>
  <si>
    <t>Protein kish</t>
  </si>
  <si>
    <t>&gt;tr|A0A2R8F5A2|A0A2R8F5A2_CAEEL PIG-P domain-containing protein OS=Caenorhabditis elegans OX=6239 GN=CELE_Y48E1B.17 PE=4 SV=1</t>
  </si>
  <si>
    <t>A0A2R8F5A2</t>
  </si>
  <si>
    <t>PIG-P domain-containing protein</t>
  </si>
  <si>
    <t>&gt;tr|A0A2U9ZY79|A0A2U9ZY79_CAEEL Translation initiation factor IF-2 OS=Caenorhabditis elegans OX=6239 GN=CELE_Y55F3C.17 PE=3 SV=1</t>
  </si>
  <si>
    <t>A0A2U9ZY79</t>
  </si>
  <si>
    <t>Translation initiation factor IF-2</t>
  </si>
  <si>
    <t>&gt;tr|A0A3B1E616|A0A3B1E616_CAEEL Bicarbonate transporter-like transmembrane domain-containing protein OS=Caenorhabditis elegans OX=6239 GN=abts-3 PE=3 SV=1</t>
  </si>
  <si>
    <t>A0A3B1E616</t>
  </si>
  <si>
    <t>abts-3</t>
  </si>
  <si>
    <t>Bicarbonate transporter-like transmembrane domain-containing protein</t>
  </si>
  <si>
    <t>&gt;tr|A0A3P6MY87|A0A3P6MY87_CAEEL Ground-like domain-containing protein OS=Caenorhabditis elegans OX=6239 GN=grd-6 PE=1 SV=1</t>
  </si>
  <si>
    <t>A0A3P6MY87</t>
  </si>
  <si>
    <t>grd-6</t>
  </si>
  <si>
    <t>Ground-like domain-containing protein</t>
  </si>
  <si>
    <t>&gt;tr|A0A3P6NNQ0|A0A3P6NNQ0_CAEEL Xpo1 domain-containing protein OS=Caenorhabditis elegans OX=6239 GN=tsr-1 PE=1 SV=1</t>
  </si>
  <si>
    <t>A0A3P6NNQ0</t>
  </si>
  <si>
    <t>tsr-1</t>
  </si>
  <si>
    <t>Xpo1 domain-containing protein</t>
  </si>
  <si>
    <t>&gt;tr|A0A3P6NP42|A0A3P6NP42_CAEEL Glycolipid transfer protein domain-containing protein OS=Caenorhabditis elegans OX=6239 GN=tag-296 PE=1 SV=1</t>
  </si>
  <si>
    <t>A0A3P6NP42</t>
  </si>
  <si>
    <t>tag-296</t>
  </si>
  <si>
    <t>Glycolipid transfer protein domain-containing protein</t>
  </si>
  <si>
    <t>&gt;tr|A0A3P6PCP8|A0A3P6PCP8_CAEEL GRIP domain-containing protein OS=Caenorhabditis elegans OX=6239 GN=golg-4 PE=1 SV=1</t>
  </si>
  <si>
    <t>A0A3P6PCP8</t>
  </si>
  <si>
    <t>golg-4</t>
  </si>
  <si>
    <t>GRIP domain-containing protein</t>
  </si>
  <si>
    <t>&gt;tr|A0A3P6PCS5|A0A3P6PCS5_CAEEL Actin-related protein 2/3 complex subunit OS=Caenorhabditis elegans OX=6239 GN=arx-3 PE=1 SV=1</t>
  </si>
  <si>
    <t>A0A3P6PCS5</t>
  </si>
  <si>
    <t>arx-3</t>
  </si>
  <si>
    <t>Actin-related protein 2/3 complex subunit</t>
  </si>
  <si>
    <t>&gt;tr|A0A3P6PCW4|A0A3P6PCW4_CAEEL Girdin OS=Caenorhabditis elegans OX=6239 GN=tag-241 PE=1 SV=1</t>
  </si>
  <si>
    <t>A0A3P6PCW4</t>
  </si>
  <si>
    <t>tag-241</t>
  </si>
  <si>
    <t>Girdin</t>
  </si>
  <si>
    <t>&gt;tr|A0A486WUL5|A0A486WUL5_CAEEL AD domain-containing protein OS=Caenorhabditis elegans OX=6239 GN=CELE_M142.5 PE=1 SV=1</t>
  </si>
  <si>
    <t>A0A486WUL5</t>
  </si>
  <si>
    <t>AD domain-containing protein</t>
  </si>
  <si>
    <t>&gt;tr|A0A486WVV5|A0A486WVV5_CAEEL Fibronectin type-III domain-containing protein OS=Caenorhabditis elegans OX=6239 GN=C34F6.10 PE=1 SV=1</t>
  </si>
  <si>
    <t>A0A486WVV5</t>
  </si>
  <si>
    <t>C34F6.10</t>
  </si>
  <si>
    <t>Fibronectin type-III domain-containing protein</t>
  </si>
  <si>
    <t>&gt;tr|A0A486WWC6|A0A486WWC6_CAEEL Dimethylglycine dehydrogenase, mitochondrial OS=Caenorhabditis elegans OX=6239 GN=CELE_Y37E3.17 PE=1 SV=1</t>
  </si>
  <si>
    <t>A0A486WWC6</t>
  </si>
  <si>
    <t>Dimethylglycine dehydrogenase, mitochondrial</t>
  </si>
  <si>
    <t>&gt;tr|A0A486WX07|A0A486WX07_CAEEL MIF4G domain-containing protein OS=Caenorhabditis elegans OX=6239 GN=ifg-1 PE=1 SV=1</t>
  </si>
  <si>
    <t>A0A486WX07</t>
  </si>
  <si>
    <t>ifg-1</t>
  </si>
  <si>
    <t>MIF4G domain-containing protein</t>
  </si>
  <si>
    <t>&gt;tr|A0A486WXP9|A0A486WXP9_CAEEL J domain-containing protein OS=Caenorhabditis elegans OX=6239 GN=dnj-25 PE=1 SV=1</t>
  </si>
  <si>
    <t>A0A486WXP9</t>
  </si>
  <si>
    <t>dnj-25</t>
  </si>
  <si>
    <t>J domain-containing protein</t>
  </si>
  <si>
    <t>&gt;tr|A0A486WXW2|A0A486WXW2_CAEEL Phospholipid/glycerol acyltransferase domain-containing protein OS=Caenorhabditis elegans OX=6239 GN=acl-14 PE=1 SV=1</t>
  </si>
  <si>
    <t>A0A486WXW2</t>
  </si>
  <si>
    <t>acl-14</t>
  </si>
  <si>
    <t>Phospholipid/glycerol acyltransferase domain-containing protein</t>
  </si>
  <si>
    <t>&gt;tr|A0A486WY88|A0A486WY88_CAEEL Striatin N-terminal domain-containing protein OS=Caenorhabditis elegans OX=6239 GN=cash-1 PE=1 SV=1</t>
  </si>
  <si>
    <t>A0A486WY88</t>
  </si>
  <si>
    <t>cash-1</t>
  </si>
  <si>
    <t>Striatin N-terminal domain-containing protein</t>
  </si>
  <si>
    <t>&gt;tr|A0A4V0IJT1|A0A4V0IJT1_CAEEL MFS domain-containing protein OS=Caenorhabditis elegans OX=6239 GN=CELE_Y59A8B.21 PE=4 SV=1</t>
  </si>
  <si>
    <t>A0A4V0IJT1</t>
  </si>
  <si>
    <t>MFS domain-containing protein</t>
  </si>
  <si>
    <t>&gt;tr|A0A4V0IKG6|A0A4V0IKG6_CAEEL Protein kinase domain-containing protein OS=Caenorhabditis elegans OX=6239 GN=gck-4 PE=1 SV=1</t>
  </si>
  <si>
    <t>A0A4V0IKG6</t>
  </si>
  <si>
    <t>gck-4</t>
  </si>
  <si>
    <t>Protein kinase domain-containing protein</t>
  </si>
  <si>
    <t>&gt;tr|A0A4V0IKJ4|A0A4V0IKJ4_CAEEL RAVE complex protein Rav1 C-terminal domain-containing protein OS=Caenorhabditis elegans OX=6239 GN=rbc-1 PE=1 SV=1</t>
  </si>
  <si>
    <t>A0A4V0IKJ4</t>
  </si>
  <si>
    <t>rbc-1</t>
  </si>
  <si>
    <t>RAVE complex protein Rav1 C-terminal domain-containing protein</t>
  </si>
  <si>
    <t>&gt;tr|A0A4V0IKJ7|A0A4V0IKJ7_CAEEL Nucleolar protein 16 OS=Caenorhabditis elegans OX=6239 GN=CELE_F49E2.5 PE=1 SV=1</t>
  </si>
  <si>
    <t>A0A4V0IKJ7</t>
  </si>
  <si>
    <t>Nucleolar protein 16</t>
  </si>
  <si>
    <t>&gt;tr|A0A4V0ILM7|A0A4V0ILM7_CAEEL protein kinase C OS=Caenorhabditis elegans OX=6239 GN=pkn-1 PE=1 SV=1</t>
  </si>
  <si>
    <t>A0A4V0ILM7</t>
  </si>
  <si>
    <t>pkn-1</t>
  </si>
  <si>
    <t>protein kinase C</t>
  </si>
  <si>
    <t>&gt;tr|A0A4V6M3U0|A0A4V6M3U0_CAEEL SH3 domain-containing protein OS=Caenorhabditis elegans OX=6239 GN=eps-8 PE=1 SV=1</t>
  </si>
  <si>
    <t>A0A4V6M3U0</t>
  </si>
  <si>
    <t>eps-8</t>
  </si>
  <si>
    <t>SH3 domain-containing protein</t>
  </si>
  <si>
    <t>&gt;tr|A0A4V6M4Y3|A0A4V6M4Y3_CAEEL TropoNin T OS=Caenorhabditis elegans OX=6239 GN=tnt-3 PE=1 SV=1</t>
  </si>
  <si>
    <t>A0A4V6M4Y3</t>
  </si>
  <si>
    <t>tnt-3</t>
  </si>
  <si>
    <t>TropoNin T</t>
  </si>
  <si>
    <t>&gt;tr|A0A5E4LWH3|A0A5E4LWH3_CAEEL Protein tincar OS=Caenorhabditis elegans OX=6239 GN=CELE_K09F5.6 PE=1 SV=1</t>
  </si>
  <si>
    <t>A0A5E4LWH3</t>
  </si>
  <si>
    <t>Protein tincar</t>
  </si>
  <si>
    <t>&gt;tr|A0A5E4LWV7|A0A5E4LWV7_CAEEL Lin-5 (Five) Interacting protein OS=Caenorhabditis elegans OX=6239 GN=lfi-1 PE=1 SV=1</t>
  </si>
  <si>
    <t>A0A5E4LWV7</t>
  </si>
  <si>
    <t>lfi-1</t>
  </si>
  <si>
    <t>Lin-5 (Five) Interacting protein</t>
  </si>
  <si>
    <t>&gt;tr|A0A5E4LZG5|A0A5E4LZG5_CAEEL Serine-rich adhesin for platelets OS=Caenorhabditis elegans OX=6239 GN=CELE_H11E01.3 PE=1 SV=1</t>
  </si>
  <si>
    <t>A0A5E4LZG5</t>
  </si>
  <si>
    <t>Serine-rich adhesin for platelets</t>
  </si>
  <si>
    <t>&gt;tr|A0A5K1IBA7|A0A5K1IBA7_CAEEL BED-type domain-containing protein OS=Caenorhabditis elegans OX=6239 GN=bed-2 PE=1 SV=1</t>
  </si>
  <si>
    <t>A0A5K1IBA7</t>
  </si>
  <si>
    <t>bed-2</t>
  </si>
  <si>
    <t>BED-type domain-containing protein</t>
  </si>
  <si>
    <t>&gt;tr|A0A5K1ICF1|A0A5K1ICF1_CAEEL RING-type E3 ubiquitin transferase OS=Caenorhabditis elegans OX=6239 GN=znf-598 PE=1 SV=1</t>
  </si>
  <si>
    <t>A0A5K1ICF1</t>
  </si>
  <si>
    <t>znf-598</t>
  </si>
  <si>
    <t>RING-type E3 ubiquitin transferase</t>
  </si>
  <si>
    <t>&gt;tr|A0A5S9MML0|A0A5S9MML0_CAEEL E3 ubiquitin-protein ligase OS=Caenorhabditis elegans OX=6239 GN=CELE_F10G7.10 PE=1 SV=1</t>
  </si>
  <si>
    <t>A0A5S9MML0</t>
  </si>
  <si>
    <t>E3 ubiquitin-protein ligase</t>
  </si>
  <si>
    <t>&gt;tr|A0A5S9MQG4|A0A5S9MQG4_CAEEL Rho-GAP domain-containing protein OS=Caenorhabditis elegans OX=6239 GN=CELE_Y92H12BL.7 PE=1 SV=1</t>
  </si>
  <si>
    <t>A0A5S9MQG4</t>
  </si>
  <si>
    <t>&gt;tr|A0A679L8I0|A0A679L8I0_CAEEL Uncharacterized protein OS=Caenorhabditis elegans OX=6239 GN=CELE_W04B5.8 PE=4 SV=1</t>
  </si>
  <si>
    <t>A0A679L8I0</t>
  </si>
  <si>
    <t>Uncharacterized protein</t>
  </si>
  <si>
    <t>&gt;tr|A0A679L8N0|A0A679L8N0_CAEEL NR LBD domain-containing protein OS=Caenorhabditis elegans OX=6239 GN=CELE_Y39E4B.10 PE=1 SV=1</t>
  </si>
  <si>
    <t>A0A679L8N0</t>
  </si>
  <si>
    <t>NR LBD domain-containing protein</t>
  </si>
  <si>
    <t>&gt;tr|A0A679L8R0|A0A679L8R0_CAEEL C2 domain-containing protein OS=Caenorhabditis elegans OX=6239 GN=esyt-2 PE=1 SV=1</t>
  </si>
  <si>
    <t>A0A679L8R0</t>
  </si>
  <si>
    <t>esyt-2</t>
  </si>
  <si>
    <t>C2 domain-containing protein</t>
  </si>
  <si>
    <t>&gt;tr|A0A6V7QYI0|A0A6V7QYI0_CAEEL Aquaporin-9 OS=Caenorhabditis elegans OX=6239 GN=aqp-7 PE=1 SV=1</t>
  </si>
  <si>
    <t>A0A6V7QYI0</t>
  </si>
  <si>
    <t>aqp-7</t>
  </si>
  <si>
    <t>Aquaporin-9</t>
  </si>
  <si>
    <t>&gt;tr|A0A6V7QZA6|A0A6V7QZA6_CAEEL rhomboid protease OS=Caenorhabditis elegans OX=6239 GN=rom-5 PE=4 SV=1</t>
  </si>
  <si>
    <t>A0A6V7QZA6</t>
  </si>
  <si>
    <t>rom-5</t>
  </si>
  <si>
    <t>rhomboid protease</t>
  </si>
  <si>
    <t>&gt;tr|A0A7R9SUJ3|A0A7R9SUJ3_CAEEL cytochrome-b5 reductase OS=Caenorhabditis elegans OX=6239 GN=CELE_Y52B11A.3 PE=1 SV=1</t>
  </si>
  <si>
    <t>A0A7R9SUJ3</t>
  </si>
  <si>
    <t>cytochrome-b5 reductase</t>
  </si>
  <si>
    <t>&gt;tr|A0A7R9SUL6|A0A7R9SUL6_CAEEL Cyclin-H OS=Caenorhabditis elegans OX=6239 GN=cyh-1 PE=1 SV=1</t>
  </si>
  <si>
    <t>A0A7R9SUL6</t>
  </si>
  <si>
    <t>cyh-1</t>
  </si>
  <si>
    <t>Cyclin-H</t>
  </si>
  <si>
    <t>&gt;tr|A0A7R9SVJ0|A0A7R9SVJ0_CAEEL CC domain-containing protein OS=Caenorhabditis elegans OX=6239 GN=CELE_Y51H7C.13 PE=1 SV=1</t>
  </si>
  <si>
    <t>A0A7R9SVJ0</t>
  </si>
  <si>
    <t>CC domain-containing protein</t>
  </si>
  <si>
    <t>&gt;tr|A0A7R9SVK3|A0A7R9SVK3_CAEEL GBD/FH3 domain-containing protein OS=Caenorhabditis elegans OX=6239 GN=frl-1 PE=1 SV=1</t>
  </si>
  <si>
    <t>A0A7R9SVK3</t>
  </si>
  <si>
    <t>frl-1</t>
  </si>
  <si>
    <t>GBD/FH3 domain-containing protein</t>
  </si>
  <si>
    <t>&gt;tr|A0A7R9XMZ3|A0A7R9XMZ3_CAEEL Nanos-type domain-containing protein OS=Caenorhabditis elegans OX=6239 GN=nos-3 PE=1 SV=1</t>
  </si>
  <si>
    <t>A0A7R9XMZ3</t>
  </si>
  <si>
    <t>nos-3</t>
  </si>
  <si>
    <t>Nanos-type domain-containing protein</t>
  </si>
  <si>
    <t>&gt;tr|A0A8D9I604|A0A8D9I604_CAEEL Methyltransferase-like protein 17, mitochondrial OS=Caenorhabditis elegans OX=6239 GN=metl-17 PE=1 SV=1</t>
  </si>
  <si>
    <t>A0A8D9I604</t>
  </si>
  <si>
    <t>metl-17</t>
  </si>
  <si>
    <t>Methyltransferase-like protein 17, mitochondrial</t>
  </si>
  <si>
    <t>&gt;tr|A0A8D9I628|A0A8D9I628_CAEEL 1-phosphatidylinositol-3-phosphate 5-kinase OS=Caenorhabditis elegans OX=6239 GN=ppk-3 PE=1 SV=1</t>
  </si>
  <si>
    <t>A0A8D9I628</t>
  </si>
  <si>
    <t>ppk-3</t>
  </si>
  <si>
    <t>1-phosphatidylinositol-3-phosphate 5-kinase</t>
  </si>
  <si>
    <t>&gt;tr|A0A8D9I648|A0A8D9I648_CAEEL ANK_REP_REGION domain-containing protein OS=Caenorhabditis elegans OX=6239 GN=CELE_T26A5.2 PE=4 SV=1</t>
  </si>
  <si>
    <t>A0A8D9I648</t>
  </si>
  <si>
    <t>ANK_REP_REGION domain-containing protein</t>
  </si>
  <si>
    <t>&gt;tr|A0A8D9I6U5|A0A8D9I6U5_CAEEL Ubiquitin carboxyl-terminal hydrolase OS=Caenorhabditis elegans OX=6239 GN=usp-5 PE=1 SV=1</t>
  </si>
  <si>
    <t>A0A8D9I6U5</t>
  </si>
  <si>
    <t>usp-5</t>
  </si>
  <si>
    <t>Ubiquitin carboxyl-terminal hydrolase</t>
  </si>
  <si>
    <t>&gt;tr|A0A8D9MJW7|A0A8D9MJW7_CAEEL Chloride channel protein OS=Caenorhabditis elegans OX=6239 GN=clh-1 PE=1 SV=1</t>
  </si>
  <si>
    <t>A0A8D9MJW7</t>
  </si>
  <si>
    <t>clh-1</t>
  </si>
  <si>
    <t>Chloride channel protein</t>
  </si>
  <si>
    <t>&gt;tr|A0A8S4QAT5|A0A8S4QAT5_CAEEL Uncharacterized protein OS=Caenorhabditis elegans OX=6239 GN=CELE_W05F2.4 PE=1 SV=1</t>
  </si>
  <si>
    <t>A0A8S4QAT5</t>
  </si>
  <si>
    <t>&gt;tr|A0A8S4QB65|A0A8S4QB65_CAEEL Mevalonate kinase OS=Caenorhabditis elegans OX=6239 GN=mvk-1 PE=1 SV=1</t>
  </si>
  <si>
    <t>A0A8S4QB65</t>
  </si>
  <si>
    <t>mvk-1</t>
  </si>
  <si>
    <t>Mevalonate kinase</t>
  </si>
  <si>
    <t>&gt;tr|A0A8S4QBT6|A0A8S4QBT6_CAEEL ABC1 atypical kinase-like domain-containing protein OS=Caenorhabditis elegans OX=6239 GN=CELE_Y32H12A.7 PE=1 SV=1</t>
  </si>
  <si>
    <t>A0A8S4QBT6</t>
  </si>
  <si>
    <t>ABC1 atypical kinase-like domain-containing protein</t>
  </si>
  <si>
    <t>&gt;tr|A0A8S4QCB9|A0A8S4QCB9_CAEEL FHA domain-containing protein OS=Caenorhabditis elegans OX=6239 GN=edc-4 PE=1 SV=1</t>
  </si>
  <si>
    <t>A0A8S4QCB9</t>
  </si>
  <si>
    <t>edc-4</t>
  </si>
  <si>
    <t>FHA domain-containing protein</t>
  </si>
  <si>
    <t>&gt;tr|A0A8S4QCF9|A0A8S4QCF9_CAEEL TLDc domain-containing protein OS=Caenorhabditis elegans OX=6239 GN=CELE_Y39A3CL.4 PE=1 SV=1</t>
  </si>
  <si>
    <t>A0A8S4QCF9</t>
  </si>
  <si>
    <t>TLDc domain-containing protein</t>
  </si>
  <si>
    <t>&gt;tr|A0A8S4QCL7|A0A8S4QCL7_CAEEL PH domain-containing protein OS=Caenorhabditis elegans OX=6239 GN=pkhm-2 PE=1 SV=1</t>
  </si>
  <si>
    <t>A0A8S4QCL7</t>
  </si>
  <si>
    <t>pkhm-2</t>
  </si>
  <si>
    <t>&gt;tr|A0A8S4QD38|A0A8S4QD38_CAEEL C3H1-type domain-containing protein OS=Caenorhabditis elegans OX=6239 GN=mex-1 PE=1 SV=1</t>
  </si>
  <si>
    <t>A0A8S4QD38</t>
  </si>
  <si>
    <t>mex-1</t>
  </si>
  <si>
    <t>&gt;tr|A0A8S4QD99|A0A8S4QD99_CAEEL CTP synthase OS=Caenorhabditis elegans OX=6239 GN=ctps-1 PE=1 SV=1</t>
  </si>
  <si>
    <t>A0A8S4QD99</t>
  </si>
  <si>
    <t>ctps-1</t>
  </si>
  <si>
    <t>CTP synthase</t>
  </si>
  <si>
    <t>&gt;tr|A0A8S4QDD1|A0A8S4QDD1_CAEEL FERM domain (Protein4.1-ezrin-radixin-moesin) family OS=Caenorhabditis elegans OX=6239 GN=frm-5.1 PE=1 SV=1</t>
  </si>
  <si>
    <t>A0A8S4QDD1</t>
  </si>
  <si>
    <t>frm-5.1</t>
  </si>
  <si>
    <t>FERM domain (Protein4.1-ezrin-radixin-moesin) family</t>
  </si>
  <si>
    <t>&gt;tr|A0A9J5HVW4|A0A9J5HVW4_CAEEL Alternative N-terminal open reading frame of ZYX-1 OS=Caenorhabditis elegans OX=6239 GN=azyx-1 PE=4 SV=1</t>
  </si>
  <si>
    <t>A0A9J5HVW4</t>
  </si>
  <si>
    <t>azyx-1</t>
  </si>
  <si>
    <t>Alternative N-terminal open reading frame of ZYX-1</t>
  </si>
  <si>
    <t>&gt;tr|A2V8C3|A2V8C3_CAEEL Transthyretin-like family protein OS=Caenorhabditis elegans OX=6239 GN=ttr-42 PE=1 SV=1</t>
  </si>
  <si>
    <t>A2V8C3</t>
  </si>
  <si>
    <t>ttr-42</t>
  </si>
  <si>
    <t>Transthyretin-like family protein</t>
  </si>
  <si>
    <t>&gt;tr|A3FPI3|A3FPI3_CAEEL DUF2189 domain-containing protein OS=Caenorhabditis elegans OX=6239 GN=C29E4.15 PE=1 SV=1</t>
  </si>
  <si>
    <t>A3FPI3</t>
  </si>
  <si>
    <t>C29E4.15</t>
  </si>
  <si>
    <t>DUF2189 domain-containing protein</t>
  </si>
  <si>
    <t>&gt;sp|A3QM97|CNNM1_CAEEL Metal transporter cnnm-1 OS=Caenorhabditis elegans OX=6239 GN=cnnm-1 PE=2 SV=1</t>
  </si>
  <si>
    <t>A3QM97</t>
  </si>
  <si>
    <t>cnnm-1</t>
  </si>
  <si>
    <t>Metal transporter cnnm-1</t>
  </si>
  <si>
    <t>&gt;tr|A3QMB6|A3QMB6_CAEEL Acyl_transf_3 domain-containing protein OS=Caenorhabditis elegans OX=6239 GN=oac-59 PE=1 SV=2</t>
  </si>
  <si>
    <t>A3QMB6</t>
  </si>
  <si>
    <t>oac-59</t>
  </si>
  <si>
    <t>Acyl_transf_3 domain-containing protein</t>
  </si>
  <si>
    <t>&gt;tr|A3QMB7|A3QMB7_CAEEL MFS domain-containing protein OS=Caenorhabditis elegans OX=6239 GN=C42C1.8 PE=4 SV=1</t>
  </si>
  <si>
    <t>A3QMB7</t>
  </si>
  <si>
    <t>C42C1.8</t>
  </si>
  <si>
    <t>&gt;tr|A3QMB9|A3QMB9_CAEEL Mitochondrial thiamine pyrophosphate carrier OS=Caenorhabditis elegans OX=6239 GN=hpo-12 PE=1 SV=1</t>
  </si>
  <si>
    <t>A3QMB9</t>
  </si>
  <si>
    <t>hpo-12</t>
  </si>
  <si>
    <t>Mitochondrial thiamine pyrophosphate carrier</t>
  </si>
  <si>
    <t>&gt;tr|A3QMC5|A3QMC5_CAEEL Large ribosomal subunit protein eL34 OS=Caenorhabditis elegans OX=6239 GN=rpl-34 PE=1 SV=1</t>
  </si>
  <si>
    <t>A3QMC5</t>
  </si>
  <si>
    <t>rpl-34</t>
  </si>
  <si>
    <t>Large ribosomal subunit protein eL34</t>
  </si>
  <si>
    <t>&gt;sp|A3QMC6|ERLN_CAEEL Erlin OS=Caenorhabditis elegans OX=6239 GN=erl-1 PE=1 SV=1</t>
  </si>
  <si>
    <t>A3QMC6</t>
  </si>
  <si>
    <t>erl-1</t>
  </si>
  <si>
    <t>Erlin</t>
  </si>
  <si>
    <t>&gt;sp|A3QMC8|GMPPB_CAEEL Mannose-1-phosphate guanyltransferase beta OS=Caenorhabditis elegans OX=6239 GN=tag-335 PE=3 SV=1</t>
  </si>
  <si>
    <t>A3QMC8</t>
  </si>
  <si>
    <t>tag-335</t>
  </si>
  <si>
    <t>Mannose-1-phosphate guanyltransferase beta</t>
  </si>
  <si>
    <t>&gt;sp|A3QMD7|LSY13_CAEEL ING family member lsy-13 OS=Caenorhabditis elegans OX=6239 GN=lsy-13 PE=2 SV=1</t>
  </si>
  <si>
    <t>A3QMD7</t>
  </si>
  <si>
    <t>lsy-13</t>
  </si>
  <si>
    <t>ING family member lsy-13</t>
  </si>
  <si>
    <t>&gt;tr|A4LBC2|A4LBC2_CAEEL Histone-lysine N-methyltransferase OS=Caenorhabditis elegans OX=6239 GN=met-1 PE=1 SV=1</t>
  </si>
  <si>
    <t>A4LBC2</t>
  </si>
  <si>
    <t>met-1</t>
  </si>
  <si>
    <t>Histone-lysine N-methyltransferase</t>
  </si>
  <si>
    <t>&gt;tr|A5HWB2|A5HWB2_CAEEL Iron-sulfur cluster assembly 1 homolog, mitochondrial OS=Caenorhabditis elegans OX=6239 GN=CELE_Y39B6A.3 PE=3 SV=1</t>
  </si>
  <si>
    <t>A5HWB2</t>
  </si>
  <si>
    <t>Iron-sulfur cluster assembly 1 homolog, mitochondrial</t>
  </si>
  <si>
    <t>&gt;tr|A5JYT9|A5JYT9_CAEEL C2H2-type domain-containing protein OS=Caenorhabditis elegans OX=6239 GN=row-1 PE=1 SV=1</t>
  </si>
  <si>
    <t>A5JYT9</t>
  </si>
  <si>
    <t>row-1</t>
  </si>
  <si>
    <t>&gt;sp|A5JYW9|SIN3_CAEEL Paired amphipathic helix protein sin-3 OS=Caenorhabditis elegans OX=6239 GN=sin-3 PE=1 SV=1</t>
  </si>
  <si>
    <t>A5JYW9</t>
  </si>
  <si>
    <t>sin-3</t>
  </si>
  <si>
    <t>Paired amphipathic helix protein sin-3</t>
  </si>
  <si>
    <t>&gt;sp|A5JYX8|NCLN_CAEEL Nicalin OS=Caenorhabditis elegans OX=6239 GN=nra-2 PE=1 SV=1</t>
  </si>
  <si>
    <t>A5JYX8</t>
  </si>
  <si>
    <t>nra-2</t>
  </si>
  <si>
    <t>Nicalin</t>
  </si>
  <si>
    <t>&gt;tr|A5PEX8|A5PEX8_CAEEL Protein YIPF OS=Caenorhabditis elegans OX=6239 GN=CELE_Y60A3A.19 PE=3 SV=1</t>
  </si>
  <si>
    <t>A5PEX8</t>
  </si>
  <si>
    <t>Protein YIPF</t>
  </si>
  <si>
    <t>&gt;tr|A5PEY3|A5PEY3_CAEEL DNA-directed RNA polymerase OS=Caenorhabditis elegans OX=6239 GN=rpom-1 PE=1 SV=1</t>
  </si>
  <si>
    <t>A5PEY3</t>
  </si>
  <si>
    <t>rpom-1</t>
  </si>
  <si>
    <t>DNA-directed RNA polymerase</t>
  </si>
  <si>
    <t>&gt;tr|A5Z2T6|A5Z2T6_CAEEL HTH OST-type domain-containing protein OS=Caenorhabditis elegans OX=6239 GN=lotr-1 PE=1 SV=1</t>
  </si>
  <si>
    <t>A5Z2T6</t>
  </si>
  <si>
    <t>lotr-1</t>
  </si>
  <si>
    <t>HTH OST-type domain-containing protein</t>
  </si>
  <si>
    <t>&gt;tr|A5Z2V1|A5Z2V1_CAEEL CID domain-containing protein OS=Caenorhabditis elegans OX=6239 GN=cids-2 PE=1 SV=1</t>
  </si>
  <si>
    <t>A5Z2V1</t>
  </si>
  <si>
    <t>cids-2</t>
  </si>
  <si>
    <t>CID domain-containing protein</t>
  </si>
  <si>
    <t>&gt;tr|A5Z2W3|A5Z2W3_CAEEL Uncharacterized protein OS=Caenorhabditis elegans OX=6239 GN=CELE_R13H4.2 PE=1 SV=1</t>
  </si>
  <si>
    <t>A5Z2W3</t>
  </si>
  <si>
    <t>&gt;tr|A5Z2W6|A5Z2W6_CAEEL N-acetyltransferase domain-containing protein OS=Caenorhabditis elegans OX=6239 GN=CELE_ZK228.4 PE=1 SV=1</t>
  </si>
  <si>
    <t>A5Z2W6</t>
  </si>
  <si>
    <t>N-acetyltransferase domain-containing protein</t>
  </si>
  <si>
    <t>&gt;tr|A7DT40|A7DT40_CAEEL WD_REPEATS_REGION domain-containing protein OS=Caenorhabditis elegans OX=6239 GN=CELE_F49D11.10 PE=1 SV=2</t>
  </si>
  <si>
    <t>A7DT40</t>
  </si>
  <si>
    <t>WD_REPEATS_REGION domain-containing protein</t>
  </si>
  <si>
    <t>&gt;sp|A7DTF0|MRG1_CAEEL Mortality factor related protein 1 OS=Caenorhabditis elegans OX=6239 GN=mrg-1 PE=1 SV=1</t>
  </si>
  <si>
    <t>A7DTF0</t>
  </si>
  <si>
    <t>mrg-1</t>
  </si>
  <si>
    <t>Mortality factor related protein 1</t>
  </si>
  <si>
    <t>&gt;tr|A7DTF2|A7DTF2_CAEEL Oxysterol-binding protein OS=Caenorhabditis elegans OX=6239 GN=obr-1 PE=1 SV=1</t>
  </si>
  <si>
    <t>A7DTF2</t>
  </si>
  <si>
    <t>obr-1</t>
  </si>
  <si>
    <t>Oxysterol-binding protein</t>
  </si>
  <si>
    <t>&gt;tr|A7LPG5|A7LPG5_CAEEL CDGSH iron-sulfur domain-containing protein 2 homologue OS=Caenorhabditis elegans OX=6239 GN=cisd-1 PE=1 SV=1</t>
  </si>
  <si>
    <t>A7LPG5</t>
  </si>
  <si>
    <t>cisd-1</t>
  </si>
  <si>
    <t>CDGSH iron-sulfur domain-containing protein 2 homologue</t>
  </si>
  <si>
    <t>&gt;tr|A7LPJ5|A7LPJ5_CAEEL DUF38 domain-containing protein OS=Caenorhabditis elegans OX=6239 GN=CELE_F10A3.17 PE=1 SV=1</t>
  </si>
  <si>
    <t>A7LPJ5</t>
  </si>
  <si>
    <t>&gt;tr|A7WK41|A7WK41_CAEEL Low molecular weight phosphotyrosine protein phosphatase OS=Caenorhabditis elegans OX=6239 GN=CELE_Y94H6A.7 PE=1 SV=2</t>
  </si>
  <si>
    <t>A7WK41</t>
  </si>
  <si>
    <t>Low molecular weight phosphotyrosine protein phosphatase</t>
  </si>
  <si>
    <t>&gt;tr|A8WFJ8|A8WFJ8_CAEEL RING-type domain-containing protein OS=Caenorhabditis elegans OX=6239 GN=rcs-1 PE=1 SV=1</t>
  </si>
  <si>
    <t>A8WFJ8</t>
  </si>
  <si>
    <t>rcs-1</t>
  </si>
  <si>
    <t>&gt;sp|A8WHP8|PLIN1_CAEEL Perilipin-1 homolog OS=Caenorhabditis elegans OX=6239 GN=plin-1 PE=1 SV=1</t>
  </si>
  <si>
    <t>A8WHP8</t>
  </si>
  <si>
    <t>plin-1</t>
  </si>
  <si>
    <t>Perilipin-1 homolog</t>
  </si>
  <si>
    <t>&gt;tr|A8WHS3|A8WHS3_CAEEL ShKT domain-containing protein OS=Caenorhabditis elegans OX=6239 GN=CELE_F23B12.4 PE=1 SV=2</t>
  </si>
  <si>
    <t>A8WHS3</t>
  </si>
  <si>
    <t>ShKT domain-containing protein</t>
  </si>
  <si>
    <t>&gt;tr|A8WHT8|A8WHT8_CAEEL Aspartyl/asparaginy/proline hydroxylase domain-containing protein OS=Caenorhabditis elegans OX=6239 GN=CELE_K09A9.6 PE=1 SV=1</t>
  </si>
  <si>
    <t>A8WHT8</t>
  </si>
  <si>
    <t>Aspartyl/asparaginy/proline hydroxylase domain-containing protein</t>
  </si>
  <si>
    <t>&gt;tr|A8XQE0|A8XQE0_CAEEL SANT_DAMP1_like domain-containing protein OS=Caenorhabditis elegans OX=6239 GN=ekl-4 PE=1 SV=1</t>
  </si>
  <si>
    <t>A8XQE0</t>
  </si>
  <si>
    <t>ekl-4</t>
  </si>
  <si>
    <t>SANT_DAMP1_like domain-containing protein</t>
  </si>
  <si>
    <t>&gt;tr|A9CZN9|A9CZN9_CAEEL GCS light chain OS=Caenorhabditis elegans OX=6239 GN=CELE_E01A2.1 PE=1 SV=1</t>
  </si>
  <si>
    <t>A9CZN9</t>
  </si>
  <si>
    <t>GCS light chain</t>
  </si>
  <si>
    <t>&gt;tr|A9D0C6|A9D0C6_CAEEL WD_REPEATS_REGION domain-containing protein OS=Caenorhabditis elegans OX=6239 GN=CELE_T02H6.1 PE=1 SV=1</t>
  </si>
  <si>
    <t>A9D0C6</t>
  </si>
  <si>
    <t>&gt;sp|A9D2P7|SEU1_CAEEL Protein seu-1 OS=Caenorhabditis elegans OX=6239 GN=seu-1 PE=1 SV=1</t>
  </si>
  <si>
    <t>A9D2P7</t>
  </si>
  <si>
    <t>seu-1</t>
  </si>
  <si>
    <t>Protein seu-1</t>
  </si>
  <si>
    <t>&gt;tr|A9D4S6|A9D4S6_CAEEL TPR_REGION domain-containing protein OS=Caenorhabditis elegans OX=6239 GN=syf-3 PE=1 SV=1</t>
  </si>
  <si>
    <t>A9D4S6</t>
  </si>
  <si>
    <t>syf-3</t>
  </si>
  <si>
    <t>TPR_REGION domain-containing protein</t>
  </si>
  <si>
    <t>&gt;tr|A9QY27|A9QY27_CAEEL C2H2-type domain-containing protein OS=Caenorhabditis elegans OX=6239 GN=CELE_F27D4.6 PE=4 SV=1</t>
  </si>
  <si>
    <t>A9QY27</t>
  </si>
  <si>
    <t>&gt;tr|A9QY30|A9QY30_CAEEL Mitochondrial genome maintenance exonuclease 1 OS=Caenorhabditis elegans OX=6239 GN=C27H6.9 PE=1 SV=1</t>
  </si>
  <si>
    <t>A9QY30</t>
  </si>
  <si>
    <t>C27H6.9</t>
  </si>
  <si>
    <t>Mitochondrial genome maintenance exonuclease 1</t>
  </si>
  <si>
    <t>&gt;tr|A9UJN4|A9UJN4_CAEEL Serine/threonine protein phosphatase 2A regulatory subunit OS=Caenorhabditis elegans OX=6239 GN=pptr-2 PE=1 SV=1</t>
  </si>
  <si>
    <t>A9UJN4</t>
  </si>
  <si>
    <t>pptr-2</t>
  </si>
  <si>
    <t>Serine/threonine protein phosphatase 2A regulatory subunit</t>
  </si>
  <si>
    <t>&gt;tr|A9UJN7|A9UJN7_CAEEL Microtubule-associated protein futsch OS=Caenorhabditis elegans OX=6239 GN=maph-1.2 PE=1 SV=1</t>
  </si>
  <si>
    <t>A9UJN7</t>
  </si>
  <si>
    <t>maph-1.2</t>
  </si>
  <si>
    <t>Microtubule-associated protein futsch</t>
  </si>
  <si>
    <t>&gt;tr|A9Z1L1|A9Z1L1_CAEEL Serpin domain-containing protein OS=Caenorhabditis elegans OX=6239 GN=srp-7 PE=1 SV=1</t>
  </si>
  <si>
    <t>A9Z1L1</t>
  </si>
  <si>
    <t>srp-7</t>
  </si>
  <si>
    <t>Serpin domain-containing protein</t>
  </si>
  <si>
    <t>&gt;tr|A9Z1L6|A9Z1L6_CAEEL K Homology domain-containing protein OS=Caenorhabditis elegans OX=6239 GN=ascc-1 PE=1 SV=1</t>
  </si>
  <si>
    <t>A9Z1L6</t>
  </si>
  <si>
    <t>ascc-1</t>
  </si>
  <si>
    <t>K Homology domain-containing protein</t>
  </si>
  <si>
    <t>&gt;tr|B0M0L8|B0M0L8_CAEEL SHSP domain-containing protein OS=Caenorhabditis elegans OX=6239 GN=hsp-43 PE=1 SV=2</t>
  </si>
  <si>
    <t>B0M0L8</t>
  </si>
  <si>
    <t>hsp-43</t>
  </si>
  <si>
    <t>&gt;tr|B1GRK5|B1GRK5_CAEEL FMN hydroxy acid dehydrogenase domain-containing protein OS=Caenorhabditis elegans OX=6239 GN=CELE_F41E6.5 PE=1 SV=1</t>
  </si>
  <si>
    <t>B1GRK5</t>
  </si>
  <si>
    <t>FMN hydroxy acid dehydrogenase domain-containing protein</t>
  </si>
  <si>
    <t>&gt;tr|B1GRL5|B1GRL5_CAEEL Trafficking protein particle complex subunit OS=Caenorhabditis elegans OX=6239 GN=trpp-1 PE=1 SV=2</t>
  </si>
  <si>
    <t>B1GRL5</t>
  </si>
  <si>
    <t>trpp-1</t>
  </si>
  <si>
    <t>Trafficking protein particle complex subunit</t>
  </si>
  <si>
    <t>&gt;tr|B1Q254|B1Q254_CAEEL Pyridoxal-dependent decarboxylase domain-containing protein 1 OS=Caenorhabditis elegans OX=6239 GN=C14H10.3 PE=1 SV=1</t>
  </si>
  <si>
    <t>B1Q254</t>
  </si>
  <si>
    <t>C14H10.3</t>
  </si>
  <si>
    <t>Pyridoxal-dependent decarboxylase domain-containing protein 1</t>
  </si>
  <si>
    <t>&gt;tr|B1V898|B1V898_CAEEL SMP-30/Gluconolactonase/LRE-like region domain-containing protein OS=Caenorhabditis elegans OX=6239 GN=poml-3 PE=1 SV=1</t>
  </si>
  <si>
    <t>B1V898</t>
  </si>
  <si>
    <t>poml-3</t>
  </si>
  <si>
    <t>SMP-30/Gluconolactonase/LRE-like region domain-containing protein</t>
  </si>
  <si>
    <t>&gt;sp|B1V8A0|SH3GH_CAEEL Endophilin-A homolog OS=Caenorhabditis elegans OX=6239 GN=unc-57 PE=1 SV=1</t>
  </si>
  <si>
    <t>B1V8A0</t>
  </si>
  <si>
    <t>unc-57</t>
  </si>
  <si>
    <t>Endophilin-A homolog</t>
  </si>
  <si>
    <t>&gt;sp|B2D6K9|PPH6R_CAEEL Serine/threonine-protein phosphatase 6 regulatory subunit OS=Caenorhabditis elegans OX=6239 GN=saps-1 PE=1 SV=1</t>
  </si>
  <si>
    <t>B2D6K9</t>
  </si>
  <si>
    <t>saps-1</t>
  </si>
  <si>
    <t>Serine/threonine-protein phosphatase 6 regulatory subunit</t>
  </si>
  <si>
    <t>&gt;sp|B2D6M2|LIN61_CAEEL Protein lin-61 OS=Caenorhabditis elegans OX=6239 GN=lin-61 PE=1 SV=1</t>
  </si>
  <si>
    <t>B2D6M2</t>
  </si>
  <si>
    <t>lin-61</t>
  </si>
  <si>
    <t>Protein lin-61</t>
  </si>
  <si>
    <t>&gt;sp|B2D6P4|TBPL1_CAEEL TATA box-binding protein-like 1 OS=Caenorhabditis elegans OX=6239 GN=tlf-1 PE=1 SV=1</t>
  </si>
  <si>
    <t>B2D6P4</t>
  </si>
  <si>
    <t>tlf-1</t>
  </si>
  <si>
    <t>TATA box-binding protein-like 1</t>
  </si>
  <si>
    <t>&gt;sp|B2FDA8|SMC3_CAEEL Structural maintenance of chromosomes protein 3 OS=Caenorhabditis elegans OX=6239 GN=smc-3 PE=1 SV=1</t>
  </si>
  <si>
    <t>B2FDA8</t>
  </si>
  <si>
    <t>smc-3</t>
  </si>
  <si>
    <t>Structural maintenance of chromosomes protein 3</t>
  </si>
  <si>
    <t>&gt;sp|B2MZD0|VPP4_CAEEL V-type proton ATPase 116 kDa subunit a 4 OS=Caenorhabditis elegans OX=6239 GN=vha-7 PE=2 SV=2</t>
  </si>
  <si>
    <t>B2MZD0</t>
  </si>
  <si>
    <t>vha-7</t>
  </si>
  <si>
    <t>V-type proton ATPase 116 kDa subunit a 4</t>
  </si>
  <si>
    <t>&gt;tr|B3CJ34|B3CJ34_CAEEL TOG domain-containing protein OS=Caenorhabditis elegans OX=6239 GN=gcn-1 PE=1 SV=3</t>
  </si>
  <si>
    <t>B3CJ34</t>
  </si>
  <si>
    <t>gcn-1</t>
  </si>
  <si>
    <t>TOG domain-containing protein</t>
  </si>
  <si>
    <t>&gt;tr|B3GWA1|B3GWA1_CAEEL RRM domain-containing protein OS=Caenorhabditis elegans OX=6239 GN=nono-1 PE=1 SV=1</t>
  </si>
  <si>
    <t>B3GWA1</t>
  </si>
  <si>
    <t>nono-1</t>
  </si>
  <si>
    <t>&gt;tr|B3WFT8|B3WFT8_CAEEL AIP3 domain-containing protein OS=Caenorhabditis elegans OX=6239 GN=C14F11.4 PE=1 SV=1</t>
  </si>
  <si>
    <t>B3WFT8</t>
  </si>
  <si>
    <t>C14F11.4</t>
  </si>
  <si>
    <t>AIP3 domain-containing protein</t>
  </si>
  <si>
    <t>&gt;tr|B3WFV9|B3WFV9_CAEEL Anion exchange protein OS=Caenorhabditis elegans OX=6239 GN=abts-1 PE=1 SV=2</t>
  </si>
  <si>
    <t>B3WFV9</t>
  </si>
  <si>
    <t>abts-1</t>
  </si>
  <si>
    <t>Anion exchange protein</t>
  </si>
  <si>
    <t>&gt;tr|B3WFW5|B3WFW5_CAEEL Transmembrane 9 superfamily member OS=Caenorhabditis elegans OX=6239 GN=CELE_ZK858.6 PE=1 SV=1</t>
  </si>
  <si>
    <t>B3WFW5</t>
  </si>
  <si>
    <t>Transmembrane 9 superfamily member</t>
  </si>
  <si>
    <t>&gt;tr|B7FAR9|B7FAR9_CAEEL Prion-like-(Q/N-rich)-domain-bearing protein OS=Caenorhabditis elegans OX=6239 GN=CELE_Y43F8B.1 PE=1 SV=1</t>
  </si>
  <si>
    <t>B7FAR9</t>
  </si>
  <si>
    <t>Prion-like-(Q/N-rich)-domain-bearing protein</t>
  </si>
  <si>
    <t>&gt;sp|B7FAS0|MCD1_CAEEL Modifier of cell death OS=Caenorhabditis elegans OX=6239 GN=mcd-1 PE=1 SV=1</t>
  </si>
  <si>
    <t>B7FAS0</t>
  </si>
  <si>
    <t>mcd-1</t>
  </si>
  <si>
    <t>Modifier of cell death</t>
  </si>
  <si>
    <t>&gt;tr|B7WN63|B7WN63_CAEEL VWFA domain-containing protein OS=Caenorhabditis elegans OX=6239 GN=ints-6 PE=1 SV=1</t>
  </si>
  <si>
    <t>B7WN63</t>
  </si>
  <si>
    <t>ints-6</t>
  </si>
  <si>
    <t>VWFA domain-containing protein</t>
  </si>
  <si>
    <t>&gt;sp|B7WN72|SHANK_CAEEL Protein shank OS=Caenorhabditis elegans OX=6239 GN=shn-1 PE=1 SV=1</t>
  </si>
  <si>
    <t>B7WN72</t>
  </si>
  <si>
    <t>shn-1</t>
  </si>
  <si>
    <t>Protein shank</t>
  </si>
  <si>
    <t>&gt;tr|B7WNA0|B7WNA0_CAEEL Pyruvate kinase OS=Caenorhabditis elegans OX=6239 GN=pyk-1 PE=1 SV=1</t>
  </si>
  <si>
    <t>B7WNA0</t>
  </si>
  <si>
    <t>pyk-1</t>
  </si>
  <si>
    <t>Pyruvate kinase</t>
  </si>
  <si>
    <t>&gt;tr|B7WNB4|B7WNB4_CAEEL tRNA-uridine aminocarboxypropyltransferase 1 OS=Caenorhabditis elegans OX=6239 GN=CELE_Y53C12A.10 PE=1 SV=1</t>
  </si>
  <si>
    <t>B7WNB4</t>
  </si>
  <si>
    <t>tRNA-uridine aminocarboxypropyltransferase 1</t>
  </si>
  <si>
    <t>&gt;tr|B9WRU1|B9WRU1_CAEEL B30.2/SPRY domain-containing protein OS=Caenorhabditis elegans OX=6239 GN=hrpu-1 PE=1 SV=1</t>
  </si>
  <si>
    <t>B9WRU1</t>
  </si>
  <si>
    <t>hrpu-1</t>
  </si>
  <si>
    <t>B30.2/SPRY domain-containing protein</t>
  </si>
  <si>
    <t>&gt;tr|B9ZSG9|B9ZSG9_CAEEL C2H2-type domain-containing protein OS=Caenorhabditis elegans OX=6239 GN=ztf-18 PE=1 SV=2</t>
  </si>
  <si>
    <t>B9ZSG9</t>
  </si>
  <si>
    <t>ztf-18</t>
  </si>
  <si>
    <t>&gt;sp|C0HKD6|SYWM_CAEEL Tryptophan--tRNA ligase, mitochondrial OS=Caenorhabditis elegans OX=6239 GN=wars-2 PE=2 SV=1</t>
  </si>
  <si>
    <t>C0HKD6</t>
  </si>
  <si>
    <t>wars-2</t>
  </si>
  <si>
    <t>Tryptophan--tRNA ligase, mitochondrial</t>
  </si>
  <si>
    <t>&gt;sp|C0HLB3|VATL2_CAEEL V-type proton ATPase 16 kDa proteolipid subunit c 2 OS=Caenorhabditis elegans OX=6239 GN=vha-2 PE=2 SV=1;&gt;sp|C0HLB4|VATL3_CAEEL V-type proton ATPase 16 kDa proteolipid subunit c 3 OS=Caenorhabditis elegans OX=6239 GN=vha-3 PE=2 SV=1</t>
  </si>
  <si>
    <t>C0HLB3;C0HLB4</t>
  </si>
  <si>
    <t>vha-2;vha-3</t>
  </si>
  <si>
    <t>V-type proton ATPase 16 kDa proteolipid subunit c 2;V-type proton ATPase 16 kDa proteolipid subunit c 3</t>
  </si>
  <si>
    <t>C0HLB3</t>
  </si>
  <si>
    <t>V-type proton ATPase 16 kDa proteolipid subunit c 2</t>
  </si>
  <si>
    <t>&gt;tr|C0VXV6|C0VXV6_CAEEL Large ribosomal subunit protein mL46 OS=Caenorhabditis elegans OX=6239 GN=mrpl-46 PE=1 SV=2</t>
  </si>
  <si>
    <t>C0VXV6</t>
  </si>
  <si>
    <t>mrpl-46</t>
  </si>
  <si>
    <t>Large ribosomal subunit protein mL46</t>
  </si>
  <si>
    <t>&gt;tr|C0Z1Y6|C0Z1Y6_CAEEL Uncharacterized protein OS=Caenorhabditis elegans OX=6239 GN=CELE_F40G9.5 PE=1 SV=1</t>
  </si>
  <si>
    <t>C0Z1Y6</t>
  </si>
  <si>
    <t>&gt;tr|C1P627|C1P627_CAEEL J domain-containing protein OS=Caenorhabditis elegans OX=6239 GN=dnj-16 PE=1 SV=1</t>
  </si>
  <si>
    <t>C1P627</t>
  </si>
  <si>
    <t>dnj-16</t>
  </si>
  <si>
    <t>&gt;tr|C1P629|C1P629_CAEEL RRM domain-containing protein OS=Caenorhabditis elegans OX=6239 GN=cfim-2 PE=1 SV=1</t>
  </si>
  <si>
    <t>C1P629</t>
  </si>
  <si>
    <t>cfim-2</t>
  </si>
  <si>
    <t>&gt;tr|C2BR94|C2BR94_CAEEL THO complex subunit 5 OS=Caenorhabditis elegans OX=6239 GN=thoc-5 PE=1 SV=1</t>
  </si>
  <si>
    <t>C2BR94</t>
  </si>
  <si>
    <t>thoc-5</t>
  </si>
  <si>
    <t>THO complex subunit 5</t>
  </si>
  <si>
    <t>&gt;tr|C2BR97|C2BR97_CAEEL MIF4G domain-containing protein OS=Caenorhabditis elegans OX=6239 GN=smg-3 PE=1 SV=1</t>
  </si>
  <si>
    <t>C2BR97</t>
  </si>
  <si>
    <t>smg-3</t>
  </si>
  <si>
    <t>&gt;sp|C6KRN1|SAO1_CAEEL Suppressor of aph-1 OS=Caenorhabditis elegans OX=6239 GN=sao-1 PE=1 SV=1</t>
  </si>
  <si>
    <t>C6KRN1</t>
  </si>
  <si>
    <t>sao-1</t>
  </si>
  <si>
    <t>Suppressor of aph-1</t>
  </si>
  <si>
    <t>&gt;tr|C6KRN3|C6KRN3_CAEEL Protein YIPF OS=Caenorhabditis elegans OX=6239 GN=CELE_W02D9.2 PE=1 SV=1</t>
  </si>
  <si>
    <t>C6KRN3</t>
  </si>
  <si>
    <t>&gt;tr|C6KRN4|C6KRN4_CAEEL DUF19 domain-containing protein OS=Caenorhabditis elegans OX=6239 GN=CELE_D1086.11 PE=1 SV=1</t>
  </si>
  <si>
    <t>C6KRN4</t>
  </si>
  <si>
    <t>DUF19 domain-containing protein</t>
  </si>
  <si>
    <t>&gt;tr|C7FZU5|C7FZU5_CAEEL TspO/MBR family protein OS=Caenorhabditis elegans OX=6239 GN=tspo-1 PE=1 SV=1</t>
  </si>
  <si>
    <t>C7FZU5</t>
  </si>
  <si>
    <t>tspo-1</t>
  </si>
  <si>
    <t>TspO/MBR family protein</t>
  </si>
  <si>
    <t>&gt;tr|C7GIK1|C7GIK1_CAEEL CX domain-containing protein OS=Caenorhabditis elegans OX=6239 GN=CELE_H06I04.6 PE=1 SV=1</t>
  </si>
  <si>
    <t>C7GIK1</t>
  </si>
  <si>
    <t>CX domain-containing protein</t>
  </si>
  <si>
    <t>&gt;sp|C7IVR4|PQN41_CAEEL Polyglutamine-repeat protein pqn-41 OS=Caenorhabditis elegans OX=6239 GN=pqn-41 PE=1 SV=2</t>
  </si>
  <si>
    <t>C7IVR4</t>
  </si>
  <si>
    <t>pqn-41</t>
  </si>
  <si>
    <t>Polyglutamine-repeat protein pqn-41</t>
  </si>
  <si>
    <t>&gt;tr|C7IVS4|C7IVS4_CAEEL DNA polymerase OS=Caenorhabditis elegans OX=6239 GN=pola-1 PE=1 SV=1</t>
  </si>
  <si>
    <t>C7IVS4</t>
  </si>
  <si>
    <t>pola-1</t>
  </si>
  <si>
    <t>DNA polymerase</t>
  </si>
  <si>
    <t>&gt;tr|C9IY21|C9IY21_CAEEL Uncharacterized protein OS=Caenorhabditis elegans OX=6239 GN=CELE_ZK1058.9 PE=1 SV=1</t>
  </si>
  <si>
    <t>C9IY21</t>
  </si>
  <si>
    <t>&gt;tr|D0FK02|D0FK02_CAEEL Rab-like protein 3 OS=Caenorhabditis elegans OX=6239 GN=CELE_Y116A8C.10 PE=1 SV=1</t>
  </si>
  <si>
    <t>D0FK02</t>
  </si>
  <si>
    <t>Rab-like protein 3</t>
  </si>
  <si>
    <t>&gt;sp|D0PV95|DDX3_CAEEL ATP-dependent RNA helicase laf-1 OS=Caenorhabditis elegans OX=6239 GN=laf-1 PE=1 SV=1</t>
  </si>
  <si>
    <t>D0PV95</t>
  </si>
  <si>
    <t>laf-1</t>
  </si>
  <si>
    <t>ATP-dependent RNA helicase laf-1</t>
  </si>
  <si>
    <t>&gt;tr|D0VWL6|D0VWL6_CAEEL Calponin-homology (CH) domain-containing protein OS=Caenorhabditis elegans OX=6239 GN=fln-2 PE=1 SV=4</t>
  </si>
  <si>
    <t>D0VWL6</t>
  </si>
  <si>
    <t>fln-2</t>
  </si>
  <si>
    <t>Calponin-homology (CH) domain-containing protein</t>
  </si>
  <si>
    <t>&gt;sp|D0VWM8|TADBP_CAEEL Tar DNA-binding protein homolog 1 OS=Caenorhabditis elegans OX=6239 GN=tdp-1 PE=1 SV=1</t>
  </si>
  <si>
    <t>D0VWM8</t>
  </si>
  <si>
    <t>tdp-1</t>
  </si>
  <si>
    <t>Tar DNA-binding protein homolog 1</t>
  </si>
  <si>
    <t>&gt;sp|D0Z5N4|E2AKB_CAEEL Eukaryotic translation initiation factor 2-alpha kinase gcn-2 OS=Caenorhabditis elegans OX=6239 GN=gcn-2 PE=1 SV=2</t>
  </si>
  <si>
    <t>D0Z5N4</t>
  </si>
  <si>
    <t>gcn-2</t>
  </si>
  <si>
    <t>Eukaryotic translation initiation factor 2-alpha kinase gcn-2</t>
  </si>
  <si>
    <t>&gt;tr|D1MN75|D1MN75_CAEEL Major facilitator superfamily (MFS) profile domain-containing protein OS=Caenorhabditis elegans OX=6239 GN=CELE_T27D12.1 PE=1 SV=1</t>
  </si>
  <si>
    <t>D1MN75</t>
  </si>
  <si>
    <t>&gt;tr|D1MN80|D1MN80_CAEEL Enoyl-CoA hydratase domain-containing protein 3, mitochondrial OS=Caenorhabditis elegans OX=6239 GN=ech-2 PE=1 SV=1</t>
  </si>
  <si>
    <t>D1MN80</t>
  </si>
  <si>
    <t>ech-2</t>
  </si>
  <si>
    <t>Enoyl-CoA hydratase domain-containing protein 3, mitochondrial</t>
  </si>
  <si>
    <t>&gt;tr|D2Y8W2|D2Y8W2_CAEEL Double-Strand Break factor OS=Caenorhabditis elegans OX=6239 GN=dsb-2 PE=4 SV=1</t>
  </si>
  <si>
    <t>D2Y8W2</t>
  </si>
  <si>
    <t>dsb-2</t>
  </si>
  <si>
    <t>Double-Strand Break factor</t>
  </si>
  <si>
    <t>&gt;tr|D3NQA9|D3NQA9_CAEEL Carbonic anhydrase OS=Caenorhabditis elegans OX=6239 GN=bca-2 PE=1 SV=1</t>
  </si>
  <si>
    <t>D3NQA9</t>
  </si>
  <si>
    <t>bca-2</t>
  </si>
  <si>
    <t>Carbonic anhydrase</t>
  </si>
  <si>
    <t>&gt;sp|D3YT16|ELLI1_CAEEL Enlarged germline granules protein 1 OS=Caenorhabditis elegans OX=6239 GN=elli-1 PE=1 SV=2</t>
  </si>
  <si>
    <t>D3YT16</t>
  </si>
  <si>
    <t>elli-1</t>
  </si>
  <si>
    <t>Enlarged germline granules protein 1</t>
  </si>
  <si>
    <t>&gt;tr|D3YT30|D3YT30_CAEEL Protein kinase domain-containing protein OS=Caenorhabditis elegans OX=6239 GN=CELE_T12G3.2 PE=1 SV=1</t>
  </si>
  <si>
    <t>D3YT30</t>
  </si>
  <si>
    <t>&gt;sp|D5MCN2|LARP1_CAEEL La-related protein 1 OS=Caenorhabditis elegans OX=6239 GN=larp-1 PE=4 SV=2</t>
  </si>
  <si>
    <t>D5MCN2</t>
  </si>
  <si>
    <t>larp-1</t>
  </si>
  <si>
    <t>La-related protein 1</t>
  </si>
  <si>
    <t>&gt;tr|D5MCR3|D5MCR3_CAEEL RRM domain-containing protein OS=Caenorhabditis elegans OX=6239 GN=sup-26 PE=1 SV=1</t>
  </si>
  <si>
    <t>D5MCR3</t>
  </si>
  <si>
    <t>sup-26</t>
  </si>
  <si>
    <t>&gt;tr|D6RYD5|D6RYD5_CAEEL G protein-coupled receptor OS=Caenorhabditis elegans OX=6239 GN=CELE_ZK355.2 PE=4 SV=1</t>
  </si>
  <si>
    <t>D6RYD5</t>
  </si>
  <si>
    <t>G protein-coupled receptor</t>
  </si>
  <si>
    <t>&gt;tr|D6RYD7|D6RYD7_CAEEL Phosphatidylinositol-glycan biosynthesis class W protein OS=Caenorhabditis elegans OX=6239 GN=pigw-1 PE=3 SV=1</t>
  </si>
  <si>
    <t>D6RYD7</t>
  </si>
  <si>
    <t>pigw-1</t>
  </si>
  <si>
    <t>Phosphatidylinositol-glycan biosynthesis class W protein</t>
  </si>
  <si>
    <t>&gt;tr|D6RYE4|D6RYE4_CAEEL RRM domain-containing protein OS=Caenorhabditis elegans OX=6239 GN=CELE_Y59E9AL.36 PE=1 SV=1</t>
  </si>
  <si>
    <t>D6RYE4</t>
  </si>
  <si>
    <t>&gt;tr|D9PTP5|D9PTP5_CAEEL PX domain-containing protein OS=Caenorhabditis elegans OX=6239 GN=snx-6 PE=1 SV=1</t>
  </si>
  <si>
    <t>D9PTP5</t>
  </si>
  <si>
    <t>snx-6</t>
  </si>
  <si>
    <t>PX domain-containing protein</t>
  </si>
  <si>
    <t>&gt;tr|E0AHA7|E0AHA7_CAEEL Spectrin beta chain OS=Caenorhabditis elegans OX=6239 GN=unc-70 PE=1 SV=1</t>
  </si>
  <si>
    <t>E0AHA7</t>
  </si>
  <si>
    <t>unc-70</t>
  </si>
  <si>
    <t>Spectrin beta chain</t>
  </si>
  <si>
    <t>&gt;tr|E1B6R8|E1B6R8_CAEEL Membrane magnesium transporter OS=Caenorhabditis elegans OX=6239 GN=emc-5 PE=1 SV=1</t>
  </si>
  <si>
    <t>E1B6R8</t>
  </si>
  <si>
    <t>emc-5</t>
  </si>
  <si>
    <t>Membrane magnesium transporter</t>
  </si>
  <si>
    <t>&gt;tr|E1B6W2|E1B6W2_CAEEL RAD50-interacting protein 1 OS=Caenorhabditis elegans OX=6239 GN=CELE_Y49E10.21 PE=1 SV=2</t>
  </si>
  <si>
    <t>E1B6W2</t>
  </si>
  <si>
    <t>RAD50-interacting protein 1</t>
  </si>
  <si>
    <t>&gt;tr|E2JL04|E2JL04_CAEEL isoleucine--tRNA ligase OS=Caenorhabditis elegans OX=6239 GN=iars-2 PE=1 SV=2</t>
  </si>
  <si>
    <t>E2JL04</t>
  </si>
  <si>
    <t>iars-2</t>
  </si>
  <si>
    <t>isoleucine--tRNA ligase</t>
  </si>
  <si>
    <t>&gt;tr|E5QCH1|E5QCH1_CAEEL INTegrator complex Subunit homolog OS=Caenorhabditis elegans OX=6239 GN=ints-2 PE=1 SV=1</t>
  </si>
  <si>
    <t>E5QCH1</t>
  </si>
  <si>
    <t>ints-2</t>
  </si>
  <si>
    <t>INTegrator complex Subunit homolog</t>
  </si>
  <si>
    <t>&gt;tr|E5QCH3|E5QCH3_CAEEL SH2 domain-containing protein OS=Caenorhabditis elegans OX=6239 GN=CELE_F53C11.4 PE=1 SV=1</t>
  </si>
  <si>
    <t>E5QCH3</t>
  </si>
  <si>
    <t>SH2 domain-containing protein</t>
  </si>
  <si>
    <t>&gt;tr|E5QCI3|E5QCI3_CAEEL Dol-P-Man:Man(5)GlcNAc(2)-PP-Dol alpha-1,3-mannosyltransferase OS=Caenorhabditis elegans OX=6239 GN=algn-3 PE=1 SV=1</t>
  </si>
  <si>
    <t>E5QCI3</t>
  </si>
  <si>
    <t>algn-3</t>
  </si>
  <si>
    <t>Dol-P-Man:Man(5)GlcNAc(2)-PP-Dol alpha-1,3-mannosyltransferase</t>
  </si>
  <si>
    <t>&gt;tr|E6N0V1|E6N0V1_CAEEL IRS-type PTB domain-containing protein OS=Caenorhabditis elegans OX=6239 GN=rog-1 PE=4 SV=1</t>
  </si>
  <si>
    <t>E6N0V1</t>
  </si>
  <si>
    <t>rog-1</t>
  </si>
  <si>
    <t>IRS-type PTB domain-containing protein</t>
  </si>
  <si>
    <t>&gt;sp|E9P860|ZNFX1_CAEEL NFX1-type zinc finger-containing protein 1 homolog OS=Caenorhabditis elegans OX=6239 GN=znfx-1 PE=1 SV=1</t>
  </si>
  <si>
    <t>E9P860</t>
  </si>
  <si>
    <t>znfx-1</t>
  </si>
  <si>
    <t>NFX1-type zinc finger-containing protein 1 homolog</t>
  </si>
  <si>
    <t>&gt;tr|E9P861|E9P861_CAEEL PHD-type domain-containing protein OS=Caenorhabditis elegans OX=6239 GN=taf-3 PE=4 SV=1</t>
  </si>
  <si>
    <t>E9P861</t>
  </si>
  <si>
    <t>taf-3</t>
  </si>
  <si>
    <t>PHD-type domain-containing protein</t>
  </si>
  <si>
    <t>&gt;sp|E9P886|TTLL5_CAEEL Tubulin polyglutamylase ttll-5 OS=Caenorhabditis elegans OX=6239 GN=ttll-5 PE=2 SV=1</t>
  </si>
  <si>
    <t>E9P886</t>
  </si>
  <si>
    <t>ttll-5</t>
  </si>
  <si>
    <t>Tubulin polyglutamylase ttll-5</t>
  </si>
  <si>
    <t>&gt;tr|E9RKC7|E9RKC7_CAEEL DZF domain-containing protein OS=Caenorhabditis elegans OX=6239 GN=zfr-1 PE=1 SV=1</t>
  </si>
  <si>
    <t>E9RKC7</t>
  </si>
  <si>
    <t>zfr-1</t>
  </si>
  <si>
    <t>DZF domain-containing protein</t>
  </si>
  <si>
    <t>&gt;tr|F0IWT2|F0IWT2_CAEEL Unconventional myosin-IXa-like OS=Caenorhabditis elegans OX=6239 GN=hum-7 PE=1 SV=1</t>
  </si>
  <si>
    <t>F0IWT2</t>
  </si>
  <si>
    <t>hum-7</t>
  </si>
  <si>
    <t>Unconventional myosin-IXa-like</t>
  </si>
  <si>
    <t>&gt;tr|F3NWW5|F3NWW5_CAEEL Protein kinase domain-containing protein OS=Caenorhabditis elegans OX=6239 GN=kin-9 PE=4 SV=1;&gt;sp|G5ECP4|PIK1_CAEEL Pelle-like serine/threonine-protein kinase pik-1 OS=Caenorhabditis elegans OX=6239 GN=pik-1 PE=1 SV=1;&gt;tr|O76385|O76385_CAEEL receptor protein-tyrosine kinase OS=Caenorhabditis elegans OX=6239 GN=hir-1 PE=4 SV=1</t>
  </si>
  <si>
    <t>F3NWW5;G5ECP4;O76385</t>
  </si>
  <si>
    <t>kin-9;pik-1;hir-1</t>
  </si>
  <si>
    <t>Protein kinase domain-containing protein;Pelle-like serine/threonine-protein kinase pik-1;receptor protein-tyrosine kinase</t>
  </si>
  <si>
    <t>F3NWW5</t>
  </si>
  <si>
    <t>&gt;tr|F5GU86|F5GU86_CAEEL OTU domain-containing protein OS=Caenorhabditis elegans OX=6239 GN=otub-3 PE=1 SV=1</t>
  </si>
  <si>
    <t>F5GU86</t>
  </si>
  <si>
    <t>otub-3</t>
  </si>
  <si>
    <t>OTU domain-containing protein</t>
  </si>
  <si>
    <t>&gt;tr|F5GUC6|F5GUC6_CAEEL ATP-binding cassette sub-family D member 4 OS=Caenorhabditis elegans OX=6239 GN=pmp-3 PE=1 SV=1</t>
  </si>
  <si>
    <t>F5GUC6</t>
  </si>
  <si>
    <t>pmp-3</t>
  </si>
  <si>
    <t>ATP-binding cassette sub-family D member 4</t>
  </si>
  <si>
    <t>&gt;tr|F5GUH2|F5GUH2_CAEEL Uncharacterized protein OS=Caenorhabditis elegans OX=6239 GN=CELE_W05B5.1 PE=1 SV=1</t>
  </si>
  <si>
    <t>F5GUH2</t>
  </si>
  <si>
    <t>&gt;tr|G1K0V4|G1K0V4_CAEEL Zinc finger, CCHC-type OS=Caenorhabditis elegans OX=6239 GN=CELE_T26C11.4 PE=1 SV=1</t>
  </si>
  <si>
    <t>G1K0V4</t>
  </si>
  <si>
    <t>Zinc finger, CCHC-type</t>
  </si>
  <si>
    <t>&gt;tr|G2HK03|G2HK03_CAEEL MATH domain-containing protein OS=Caenorhabditis elegans OX=6239 GN=pqn-87 PE=1 SV=1</t>
  </si>
  <si>
    <t>G2HK03</t>
  </si>
  <si>
    <t>pqn-87</t>
  </si>
  <si>
    <t>MATH domain-containing protein</t>
  </si>
  <si>
    <t>&gt;tr|G3MU11|G3MU11_CAEEL GST C-terminal domain-containing protein OS=Caenorhabditis elegans OX=6239 GN=CELE_F55A11.6 PE=1 SV=1</t>
  </si>
  <si>
    <t>G3MU11</t>
  </si>
  <si>
    <t>GST C-terminal domain-containing protein</t>
  </si>
  <si>
    <t>&gt;tr|G3MU29|G3MU29_CAEEL ShKT domain-containing protein OS=Caenorhabditis elegans OX=6239 GN=CELE_ZC434.9 PE=1 SV=1</t>
  </si>
  <si>
    <t>G3MU29</t>
  </si>
  <si>
    <t>&gt;tr|G4RT15|G4RT15_CAEEL Pecanex-like protein OS=Caenorhabditis elegans OX=6239 GN=B0511.12 PE=3 SV=2</t>
  </si>
  <si>
    <t>G4RT15</t>
  </si>
  <si>
    <t>B0511.12</t>
  </si>
  <si>
    <t>Pecanex-like protein</t>
  </si>
  <si>
    <t>&gt;tr|G4RYA5|G4RYA5_CAEEL SRP54-type proteins GTP-binding domain-containing protein OS=Caenorhabditis elegans OX=6239 GN=CELE_F38A1.8 PE=1 SV=1</t>
  </si>
  <si>
    <t>G4RYA5</t>
  </si>
  <si>
    <t>SRP54-type proteins GTP-binding domain-containing protein</t>
  </si>
  <si>
    <t>&gt;tr|G4S3P8|G4S3P8_CAEEL Major facilitator superfamily (MFS) profile domain-containing protein OS=Caenorhabditis elegans OX=6239 GN=str-176 PE=1 SV=1;&gt;tr|G5EDU0|G5EDU0_CAEEL Major facilitator superfamily (MFS) profile domain-containing protein OS=Caenorhabditis elegans OX=6239 GN=oat-1 PE=1 SV=1</t>
  </si>
  <si>
    <t>G4S3P8;G5EDU0</t>
  </si>
  <si>
    <t>str-176;oat-1</t>
  </si>
  <si>
    <t>G4S3P8</t>
  </si>
  <si>
    <t>&gt;tr|G4S703|G4S703_CAEEL Fanconi-associated nuclease OS=Caenorhabditis elegans OX=6239 GN=CELE_Y50D4A.1 PE=4 SV=2</t>
  </si>
  <si>
    <t>G4S703</t>
  </si>
  <si>
    <t>Fanconi-associated nuclease</t>
  </si>
  <si>
    <t>&gt;tr|G4SCE4|G4SCE4_CAEEL Nuclear Hormone Receptor family OS=Caenorhabditis elegans OX=6239 GN=nhr-119 PE=1 SV=1</t>
  </si>
  <si>
    <t>G4SCE4</t>
  </si>
  <si>
    <t>nhr-119</t>
  </si>
  <si>
    <t>Nuclear Hormone Receptor family</t>
  </si>
  <si>
    <t>&gt;tr|G4SL51|G4SL51_CAEEL DUF1080 domain-containing protein OS=Caenorhabditis elegans OX=6239 GN=pqn-52 PE=1 SV=1</t>
  </si>
  <si>
    <t>G4SL51</t>
  </si>
  <si>
    <t>pqn-52</t>
  </si>
  <si>
    <t>DUF1080 domain-containing protein</t>
  </si>
  <si>
    <t>&gt;sp|G4SLH0|TTN1_CAEEL Titin homolog OS=Caenorhabditis elegans OX=6239 GN=ttn-1 PE=1 SV=2</t>
  </si>
  <si>
    <t>G4SLH0</t>
  </si>
  <si>
    <t>ttn-1</t>
  </si>
  <si>
    <t>Titin homolog</t>
  </si>
  <si>
    <t>&gt;tr|G4SNB8|G4SNB8_CAEEL Trafficking protein particle complex subunit 2-like protein OS=Caenorhabditis elegans OX=6239 GN=CELE_T10F2.5 PE=1 SV=1</t>
  </si>
  <si>
    <t>G4SNB8</t>
  </si>
  <si>
    <t>Trafficking protein particle complex subunit 2-like protein</t>
  </si>
  <si>
    <t>&gt;tr|G4SNJ8|G4SNJ8_CAEEL WW domain-containing protein OS=Caenorhabditis elegans OX=6239 GN=CELE_Y92H12BM.1 PE=1 SV=2</t>
  </si>
  <si>
    <t>G4SNJ8</t>
  </si>
  <si>
    <t>WW domain-containing protein</t>
  </si>
  <si>
    <t>&gt;tr|G4SNS6|G4SNS6_CAEEL CP-type G domain-containing protein OS=Caenorhabditis elegans OX=6239 GN=mtg-1 PE=1 SV=2</t>
  </si>
  <si>
    <t>G4SNS6</t>
  </si>
  <si>
    <t>mtg-1</t>
  </si>
  <si>
    <t>CP-type G domain-containing protein</t>
  </si>
  <si>
    <t>&gt;tr|G4SPY0|G4SPY0_CAEEL RRM domain-containing protein OS=Caenorhabditis elegans OX=6239 GN=hrpu-2 PE=1 SV=2</t>
  </si>
  <si>
    <t>G4SPY0</t>
  </si>
  <si>
    <t>hrpu-2</t>
  </si>
  <si>
    <t>&gt;tr|G4SQY7|G4SQY7_CAEEL Amino acid transporter transmembrane domain-containing protein OS=Caenorhabditis elegans OX=6239 GN=slc-36.2 PE=1 SV=2</t>
  </si>
  <si>
    <t>G4SQY7</t>
  </si>
  <si>
    <t>slc-36.2</t>
  </si>
  <si>
    <t>Amino acid transporter transmembrane domain-containing protein</t>
  </si>
  <si>
    <t>&gt;tr|G4SRS5|G4SRS5_CAEEL Iron-sulfur clusters transporter ABCB7, mitochondrial OS=Caenorhabditis elegans OX=6239 GN=abtm-1 PE=1 SV=1</t>
  </si>
  <si>
    <t>G4SRS5</t>
  </si>
  <si>
    <t>abtm-1</t>
  </si>
  <si>
    <t>Iron-sulfur clusters transporter ABCB7, mitochondrial</t>
  </si>
  <si>
    <t>&gt;tr|G5EBE2|G5EBE2_CAEEL Rab-GAP TBC domain-containing protein OS=Caenorhabditis elegans OX=6239 GN=tbc-9 PE=1 SV=1</t>
  </si>
  <si>
    <t>G5EBE2</t>
  </si>
  <si>
    <t>tbc-9</t>
  </si>
  <si>
    <t>&gt;tr|G5EBE3|G5EBE3_CAEEL CBF1-interacting co-repressor CIR N-terminal domain-containing protein OS=Caenorhabditis elegans OX=6239 GN=cir-1 PE=1 SV=1</t>
  </si>
  <si>
    <t>G5EBE3</t>
  </si>
  <si>
    <t>cir-1</t>
  </si>
  <si>
    <t>CBF1-interacting co-repressor CIR N-terminal domain-containing protein</t>
  </si>
  <si>
    <t>&gt;sp|G5EBF1|SAX3_CAEEL Protein sax-3 OS=Caenorhabditis elegans OX=6239 GN=sax-3 PE=2 SV=1</t>
  </si>
  <si>
    <t>G5EBF1</t>
  </si>
  <si>
    <t>sax-3</t>
  </si>
  <si>
    <t>Protein sax-3</t>
  </si>
  <si>
    <t>&gt;tr|G5EBF3|G5EBF3_CAEEL Up-regulated in Daf-2 domain-containing protein OS=Caenorhabditis elegans OX=6239 GN=pud-2.1 PE=1 SV=1</t>
  </si>
  <si>
    <t>G5EBF3</t>
  </si>
  <si>
    <t>pud-2.1</t>
  </si>
  <si>
    <t>Up-regulated in Daf-2 domain-containing protein</t>
  </si>
  <si>
    <t>&gt;tr|G5EBF4|G5EBF4_CAEEL legumain OS=Caenorhabditis elegans OX=6239 GN=lgmn-1 PE=1 SV=1</t>
  </si>
  <si>
    <t>G5EBF4</t>
  </si>
  <si>
    <t>lgmn-1</t>
  </si>
  <si>
    <t>legumain</t>
  </si>
  <si>
    <t>&gt;tr|G5EBF5|G5EBF5_CAEEL DRBM domain-containing protein OS=Caenorhabditis elegans OX=6239 GN=rde-4 PE=1 SV=1</t>
  </si>
  <si>
    <t>G5EBF5</t>
  </si>
  <si>
    <t>rde-4</t>
  </si>
  <si>
    <t>DRBM domain-containing protein</t>
  </si>
  <si>
    <t>&gt;sp|G5EBH0|PLCB_CAEEL 1-phosphatidylinositol 4,5-bisphosphate phosphodiesterase beta egl-8 OS=Caenorhabditis elegans OX=6239 GN=egl-8 PE=1 SV=1</t>
  </si>
  <si>
    <t>G5EBH0</t>
  </si>
  <si>
    <t>egl-8</t>
  </si>
  <si>
    <t>1-phosphatidylinositol 4,5-bisphosphate phosphodiesterase beta egl-8</t>
  </si>
  <si>
    <t>&gt;sp|G5EBH1|TAT5_CAEEL Probable phospholipid-transporting ATPase tat-5 OS=Caenorhabditis elegans OX=6239 GN=tat-5 PE=1 SV=1</t>
  </si>
  <si>
    <t>G5EBH1</t>
  </si>
  <si>
    <t>tat-5</t>
  </si>
  <si>
    <t>Probable phospholipid-transporting ATPase tat-5</t>
  </si>
  <si>
    <t>&gt;tr|G5EBH4|G5EBH4_CAEEL CaDmium Responsive OS=Caenorhabditis elegans OX=6239 GN=cdr-7 PE=1 SV=1</t>
  </si>
  <si>
    <t>G5EBH4</t>
  </si>
  <si>
    <t>cdr-7</t>
  </si>
  <si>
    <t>CaDmium Responsive</t>
  </si>
  <si>
    <t>&gt;tr|G5EBI0|G5EBI0_CAEEL Endoplasmic reticulum transmembrane protein OS=Caenorhabditis elegans OX=6239 GN=4D656 PE=1 SV=1</t>
  </si>
  <si>
    <t>G5EBI0</t>
  </si>
  <si>
    <t>4D656</t>
  </si>
  <si>
    <t>Endoplasmic reticulum transmembrane protein</t>
  </si>
  <si>
    <t>&gt;tr|G5EBJ4|G5EBJ4_CAEEL ANK_REP_REGION domain-containing protein OS=Caenorhabditis elegans OX=6239 GN=mlt-4 PE=1 SV=1</t>
  </si>
  <si>
    <t>G5EBJ4</t>
  </si>
  <si>
    <t>mlt-4</t>
  </si>
  <si>
    <t>&gt;tr|G5EBJ7|G5EBJ7_CAEEL fructose-bisphosphatase OS=Caenorhabditis elegans OX=6239 GN=fbp-1 PE=1 SV=1</t>
  </si>
  <si>
    <t>G5EBJ7</t>
  </si>
  <si>
    <t>fbp-1</t>
  </si>
  <si>
    <t>fructose-bisphosphatase</t>
  </si>
  <si>
    <t>&gt;sp|G5EBK1|PBO4_CAEEL Na(+)/H(+) exchanger protein 7 OS=Caenorhabditis elegans OX=6239 GN=pbo-4 PE=1 SV=1</t>
  </si>
  <si>
    <t>G5EBK1</t>
  </si>
  <si>
    <t>pbo-4</t>
  </si>
  <si>
    <t>Na(+)/H(+) exchanger protein 7</t>
  </si>
  <si>
    <t>&gt;tr|G5EBK3|G5EBK3_CAEEL Moesin/ezrin/radixin homolog 1 OS=Caenorhabditis elegans OX=6239 GN=erm-1 PE=1 SV=1</t>
  </si>
  <si>
    <t>G5EBK3</t>
  </si>
  <si>
    <t>erm-1</t>
  </si>
  <si>
    <t>Moesin/ezrin/radixin homolog 1</t>
  </si>
  <si>
    <t>&gt;tr|G5EBK4|G5EBK4_CAEEL Ubiquitin-like modifier-activating enzyme ATG7 OS=Caenorhabditis elegans OX=6239 GN=atg-7 PE=1 SV=1</t>
  </si>
  <si>
    <t>G5EBK4</t>
  </si>
  <si>
    <t>atg-7</t>
  </si>
  <si>
    <t>Ubiquitin-like modifier-activating enzyme ATG7</t>
  </si>
  <si>
    <t>&gt;tr|G5EBK8|G5EBK8_CAEEL GTP binding protein OS=Caenorhabditis elegans OX=6239 GN=ras-1 PE=1 SV=1</t>
  </si>
  <si>
    <t>G5EBK8</t>
  </si>
  <si>
    <t>ras-1</t>
  </si>
  <si>
    <t>GTP binding protein</t>
  </si>
  <si>
    <t>&gt;sp|G5EBL3|SDC2_CAEEL Sex determination and dosage compensation protein sdc-2 OS=Caenorhabditis elegans OX=6239 GN=sdc-2 PE=1 SV=1</t>
  </si>
  <si>
    <t>G5EBL3</t>
  </si>
  <si>
    <t>sdc-2</t>
  </si>
  <si>
    <t>Sex determination and dosage compensation protein sdc-2</t>
  </si>
  <si>
    <t>&gt;sp|G5EBN9|SNF3_CAEEL Sodium- and chloride-dependent betaine transporter OS=Caenorhabditis elegans OX=6239 GN=snf-3 PE=1 SV=1</t>
  </si>
  <si>
    <t>G5EBN9</t>
  </si>
  <si>
    <t>snf-3</t>
  </si>
  <si>
    <t>Sodium- and chloride-dependent betaine transporter</t>
  </si>
  <si>
    <t>&gt;tr|G5EBP5|G5EBP5_CAEEL 63 kDa sperm flagellar membrane protein OS=Caenorhabditis elegans OX=6239 GN=CELE_ZC247.1 PE=1 SV=1</t>
  </si>
  <si>
    <t>G5EBP5</t>
  </si>
  <si>
    <t>63 kDa sperm flagellar membrane protein</t>
  </si>
  <si>
    <t>&gt;tr|G5EBQ3|G5EBQ3_CAEEL RNA-directed RNA polymerase OS=Caenorhabditis elegans OX=6239 GN=ego-1 PE=1 SV=1</t>
  </si>
  <si>
    <t>G5EBQ3</t>
  </si>
  <si>
    <t>ego-1</t>
  </si>
  <si>
    <t>RNA-directed RNA polymerase</t>
  </si>
  <si>
    <t>&gt;tr|G5EBS5|G5EBS5_CAEEL Rab27 OS=Caenorhabditis elegans OX=6239 GN=aex-6 PE=1 SV=1</t>
  </si>
  <si>
    <t>G5EBS5</t>
  </si>
  <si>
    <t>aex-6</t>
  </si>
  <si>
    <t>Rab27</t>
  </si>
  <si>
    <t>&gt;tr|G5EBT5|G5EBT5_CAEEL Pre-mRNA-splicing factor CWC25 homolog OS=Caenorhabditis elegans OX=6239 GN=mog-3 PE=1 SV=1</t>
  </si>
  <si>
    <t>G5EBT5</t>
  </si>
  <si>
    <t>mog-3</t>
  </si>
  <si>
    <t>Pre-mRNA-splicing factor CWC25 homolog</t>
  </si>
  <si>
    <t>&gt;tr|G5EBV3|G5EBV3_CAEEL Rac-like GTPase OS=Caenorhabditis elegans OX=6239 GN=mig-2 PE=1 SV=1</t>
  </si>
  <si>
    <t>G5EBV3</t>
  </si>
  <si>
    <t>mig-2</t>
  </si>
  <si>
    <t>Rac-like GTPase</t>
  </si>
  <si>
    <t>&gt;sp|G5EBV6|PGL3_CAEEL Guanyl-specific ribonuclease pgl-3 OS=Caenorhabditis elegans OX=6239 GN=pgl-3 PE=1 SV=1</t>
  </si>
  <si>
    <t>G5EBV6</t>
  </si>
  <si>
    <t>pgl-3</t>
  </si>
  <si>
    <t>Guanyl-specific ribonuclease pgl-3</t>
  </si>
  <si>
    <t>&gt;tr|G5EBW2|G5EBW2_CAEEL ubiquitinyl hydrolase 1 OS=Caenorhabditis elegans OX=6239 GN=usp-50 PE=1 SV=1</t>
  </si>
  <si>
    <t>G5EBW2</t>
  </si>
  <si>
    <t>usp-50</t>
  </si>
  <si>
    <t>ubiquitinyl hydrolase 1</t>
  </si>
  <si>
    <t>&gt;tr|G5EBW5|G5EBW5_CAEEL FErroChelatase-Like OS=Caenorhabditis elegans OX=6239 GN=fecl-1 PE=1 SV=1</t>
  </si>
  <si>
    <t>G5EBW5</t>
  </si>
  <si>
    <t>fecl-1</t>
  </si>
  <si>
    <t>FErroChelatase-Like</t>
  </si>
  <si>
    <t>&gt;tr|G5EBX0|G5EBX0_CAEEL Kinesin motor domain-containing protein OS=Caenorhabditis elegans OX=6239 GN=klp-18 PE=1 SV=1</t>
  </si>
  <si>
    <t>G5EBX0</t>
  </si>
  <si>
    <t>klp-18</t>
  </si>
  <si>
    <t>Kinesin motor domain-containing protein</t>
  </si>
  <si>
    <t>&gt;sp|G5EBX3|CYL1_CAEEL Cyclin L homolog cyl-1 OS=Caenorhabditis elegans OX=6239 GN=cyl-1 PE=1 SV=1</t>
  </si>
  <si>
    <t>G5EBX3</t>
  </si>
  <si>
    <t>cyl-1</t>
  </si>
  <si>
    <t>Cyclin L homolog cyl-1</t>
  </si>
  <si>
    <t>&gt;sp|G5EBX6|EXOSX_CAEEL Exosome complex component 10 homolog OS=Caenorhabditis elegans OX=6239 GN=crn-3 PE=1 SV=1</t>
  </si>
  <si>
    <t>G5EBX6</t>
  </si>
  <si>
    <t>crn-3</t>
  </si>
  <si>
    <t>Exosome complex component 10 homolog</t>
  </si>
  <si>
    <t>&gt;tr|G5EBY3|G5EBY3_CAEEL Myosin-11 OS=Caenorhabditis elegans OX=6239 GN=nmy-2 PE=1 SV=1</t>
  </si>
  <si>
    <t>G5EBY3</t>
  </si>
  <si>
    <t>nmy-2</t>
  </si>
  <si>
    <t>Myosin-11</t>
  </si>
  <si>
    <t>&gt;tr|G5EBY6|G5EBY6_CAEEL PHD finger-like domain-containing protein 5A OS=Caenorhabditis elegans OX=6239 GN=phf-5 PE=1 SV=1</t>
  </si>
  <si>
    <t>G5EBY6</t>
  </si>
  <si>
    <t>phf-5</t>
  </si>
  <si>
    <t>PHD finger-like domain-containing protein 5A</t>
  </si>
  <si>
    <t>&gt;tr|G5EBZ1|G5EBZ1_CAEEL ERCC4 domain-containing protein OS=Caenorhabditis elegans OX=6239 GN=xpf-1 PE=1 SV=1</t>
  </si>
  <si>
    <t>G5EBZ1</t>
  </si>
  <si>
    <t>xpf-1</t>
  </si>
  <si>
    <t>ERCC4 domain-containing protein</t>
  </si>
  <si>
    <t>&gt;sp|G5EBZ4|LE418_CAEEL Protein let-418 OS=Caenorhabditis elegans OX=6239 GN=let-418 PE=1 SV=1</t>
  </si>
  <si>
    <t>G5EBZ4</t>
  </si>
  <si>
    <t>let-418</t>
  </si>
  <si>
    <t>Protein let-418</t>
  </si>
  <si>
    <t>&gt;sp|G5EBZ8|ARK1_CAEEL Ack-related non-receptor tyrosine kinase OS=Caenorhabditis elegans OX=6239 GN=ark-1 PE=2 SV=1</t>
  </si>
  <si>
    <t>G5EBZ8</t>
  </si>
  <si>
    <t>ark-1</t>
  </si>
  <si>
    <t>Ack-related non-receptor tyrosine kinase</t>
  </si>
  <si>
    <t>&gt;tr|G5EC05|G5EC05_CAEEL Cnd1 domain-containing protein OS=Caenorhabditis elegans OX=6239 GN=evl-14 PE=1 SV=1</t>
  </si>
  <si>
    <t>G5EC05</t>
  </si>
  <si>
    <t>evl-14</t>
  </si>
  <si>
    <t>Cnd1 domain-containing protein</t>
  </si>
  <si>
    <t>&gt;tr|G5EC09|G5EC09_CAEEL Choline/ethanolaminephosphotransferase 1-like OS=Caenorhabditis elegans OX=6239 GN=cept-1 PE=1 SV=1</t>
  </si>
  <si>
    <t>G5EC09</t>
  </si>
  <si>
    <t>cept-1</t>
  </si>
  <si>
    <t>Choline/ethanolaminephosphotransferase 1-like</t>
  </si>
  <si>
    <t>&gt;tr|G5EC10|G5EC10_CAEEL Galectin OS=Caenorhabditis elegans OX=6239 GN=lec-9 PE=1 SV=1</t>
  </si>
  <si>
    <t>G5EC10</t>
  </si>
  <si>
    <t>lec-9</t>
  </si>
  <si>
    <t>Galectin</t>
  </si>
  <si>
    <t>&gt;tr|G5EC16|G5EC16_CAEEL Survival motor neuron protein OS=Caenorhabditis elegans OX=6239 GN=smn-1 PE=1 SV=1</t>
  </si>
  <si>
    <t>G5EC16</t>
  </si>
  <si>
    <t>smn-1</t>
  </si>
  <si>
    <t>Survival motor neuron protein</t>
  </si>
  <si>
    <t>&gt;sp|G5EC23|HCF1_CAEEL Host cell factor homolog hcf-1 OS=Caenorhabditis elegans OX=6239 GN=hcf-1 PE=1 SV=1</t>
  </si>
  <si>
    <t>G5EC23</t>
  </si>
  <si>
    <t>hcf-1</t>
  </si>
  <si>
    <t>Host cell factor homolog hcf-1</t>
  </si>
  <si>
    <t>&gt;sp|G5EC24|PTP2_CAEEL Tyrosine-protein phosphatase non-receptor type ptp-2 OS=Caenorhabditis elegans OX=6239 GN=ptp-2 PE=1 SV=1</t>
  </si>
  <si>
    <t>G5EC24</t>
  </si>
  <si>
    <t>ptp-2</t>
  </si>
  <si>
    <t>Tyrosine-protein phosphatase non-receptor type ptp-2</t>
  </si>
  <si>
    <t>&gt;tr|G5EC25|G5EC25_CAEEL Choline/EthanolaminePhosphoTransferase OS=Caenorhabditis elegans OX=6239 GN=cept-2 PE=1 SV=1</t>
  </si>
  <si>
    <t>G5EC25</t>
  </si>
  <si>
    <t>cept-2</t>
  </si>
  <si>
    <t>Choline/EthanolaminePhosphoTransferase</t>
  </si>
  <si>
    <t>&gt;tr|G5EC27|G5EC27_CAEEL Glucosamine 6-phosphate N-acetyltransferase OS=Caenorhabditis elegans OX=6239 GN=gna-2 PE=1 SV=1</t>
  </si>
  <si>
    <t>G5EC27</t>
  </si>
  <si>
    <t>gna-2</t>
  </si>
  <si>
    <t>Glucosamine 6-phosphate N-acetyltransferase</t>
  </si>
  <si>
    <t>&gt;tr|G5EC30|G5EC30_CAEEL Anion transporter SULP-7d OS=Caenorhabditis elegans OX=6239 GN=sulp-7 PE=1 SV=1</t>
  </si>
  <si>
    <t>G5EC30</t>
  </si>
  <si>
    <t>sulp-7</t>
  </si>
  <si>
    <t>Anion transporter SULP-7d</t>
  </si>
  <si>
    <t>&gt;tr|G5EC31|G5EC31_CAEEL Multifunctional fusion protein OS=Caenorhabditis elegans OX=6239 GN=alh-6 PE=1 SV=1</t>
  </si>
  <si>
    <t>G5EC31</t>
  </si>
  <si>
    <t>alh-6</t>
  </si>
  <si>
    <t>Multifunctional fusion protein</t>
  </si>
  <si>
    <t>&gt;tr|G5EC34|G5EC34_CAEEL Major facilitator superfamily (MFS) profile domain-containing protein OS=Caenorhabditis elegans OX=6239 GN=CELE_F17C11.12 PE=1 SV=1</t>
  </si>
  <si>
    <t>G5EC34</t>
  </si>
  <si>
    <t>&gt;tr|G5EC53|G5EC53_CAEEL Lysophospholipid acyltransferase OS=Caenorhabditis elegans OX=6239 GN=mboa-3 PE=1 SV=1</t>
  </si>
  <si>
    <t>G5EC53</t>
  </si>
  <si>
    <t>mboa-3</t>
  </si>
  <si>
    <t>Lysophospholipid acyltransferase</t>
  </si>
  <si>
    <t>&gt;sp|G5EC63|DEGS2_CAEEL Putative sphingolipid delta(4)-desaturase/C4-monooxygenase OS=Caenorhabditis elegans OX=6239 GN=ttm-5 PE=3 SV=1</t>
  </si>
  <si>
    <t>G5EC63</t>
  </si>
  <si>
    <t>ttm-5</t>
  </si>
  <si>
    <t>Putative sphingolipid delta(4)-desaturase/C4-monooxygenase</t>
  </si>
  <si>
    <t>&gt;tr|G5EC75|G5EC75_CAEEL Chloride channel protein OS=Caenorhabditis elegans OX=6239 GN=clh-6 PE=1 SV=1</t>
  </si>
  <si>
    <t>G5EC75</t>
  </si>
  <si>
    <t>clh-6</t>
  </si>
  <si>
    <t>&gt;sp|G5EC77|ZTF6_CAEEL Zinc finger protein ztf-6 OS=Caenorhabditis elegans OX=6239 GN=ztf-6 PE=1 SV=1</t>
  </si>
  <si>
    <t>G5EC77</t>
  </si>
  <si>
    <t>ztf-6</t>
  </si>
  <si>
    <t>Zinc finger protein ztf-6</t>
  </si>
  <si>
    <t>&gt;sp|G5EC86|MOE1_CAEEL CCCH-type zinc finger protein oma-1 OS=Caenorhabditis elegans OX=6239 GN=oma-1 PE=1 SV=1</t>
  </si>
  <si>
    <t>G5EC86</t>
  </si>
  <si>
    <t>oma-1</t>
  </si>
  <si>
    <t>CCCH-type zinc finger protein oma-1</t>
  </si>
  <si>
    <t>&gt;tr|G5EC91|G5EC91_CAEEL Thioredoxin domain-containing protein OS=Caenorhabditis elegans OX=6239 GN=dpy-11 PE=1 SV=1</t>
  </si>
  <si>
    <t>G5EC91</t>
  </si>
  <si>
    <t>dpy-11</t>
  </si>
  <si>
    <t>Thioredoxin domain-containing protein</t>
  </si>
  <si>
    <t>&gt;tr|G5ECB5|G5ECB5_CAEEL Phenazine biosynthesis-like domain-containing protein OS=Caenorhabditis elegans OX=6239 GN=CELE_T04A11.2 PE=1 SV=1</t>
  </si>
  <si>
    <t>G5ECB5</t>
  </si>
  <si>
    <t>Phenazine biosynthesis-like domain-containing protein</t>
  </si>
  <si>
    <t>&gt;tr|G5ECB6|G5ECB6_CAEEL Alpha-1,3/1,6-mannosyltransferase ALG2 OS=Caenorhabditis elegans OX=6239 GN=bus-8 PE=1 SV=1</t>
  </si>
  <si>
    <t>G5ECB6</t>
  </si>
  <si>
    <t>bus-8</t>
  </si>
  <si>
    <t>Alpha-1,3/1,6-mannosyltransferase ALG2</t>
  </si>
  <si>
    <t>&gt;tr|G5ECC0|G5ECC0_CAEEL Kinesin like protein OS=Caenorhabditis elegans OX=6239 GN=klp-16 PE=1 SV=1</t>
  </si>
  <si>
    <t>G5ECC0</t>
  </si>
  <si>
    <t>klp-16</t>
  </si>
  <si>
    <t>Kinesin like protein</t>
  </si>
  <si>
    <t>&gt;tr|G5ECC3|G5ECC3_CAEEL Dynamin-type G domain-containing protein OS=Caenorhabditis elegans OX=6239 GN=rme-1 PE=1 SV=2</t>
  </si>
  <si>
    <t>G5ECC3</t>
  </si>
  <si>
    <t>rme-1</t>
  </si>
  <si>
    <t>Dynamin-type G domain-containing protein</t>
  </si>
  <si>
    <t>&gt;sp|G5ECC7|UBP48_CAEEL Ubiquitin carboxyl-terminal hydrolase usp-48 OS=Caenorhabditis elegans OX=6239 GN=usp-48 PE=1 SV=2</t>
  </si>
  <si>
    <t>G5ECC7</t>
  </si>
  <si>
    <t>usp-48</t>
  </si>
  <si>
    <t>Ubiquitin carboxyl-terminal hydrolase usp-48</t>
  </si>
  <si>
    <t>&gt;tr|G5ECC9|G5ECC9_CAEEL Ig-like domain-containing protein OS=Caenorhabditis elegans OX=6239 GN=mrps-27 PE=1 SV=1</t>
  </si>
  <si>
    <t>G5ECC9</t>
  </si>
  <si>
    <t>mrps-27</t>
  </si>
  <si>
    <t>Ig-like domain-containing protein</t>
  </si>
  <si>
    <t>&gt;sp|G5ECD6|CHS1_CAEEL Chitin synthase chs-1 OS=Caenorhabditis elegans OX=6239 GN=chs-1 PE=1 SV=1</t>
  </si>
  <si>
    <t>G5ECD6</t>
  </si>
  <si>
    <t>chs-1</t>
  </si>
  <si>
    <t>Chitin synthase chs-1</t>
  </si>
  <si>
    <t>&gt;tr|G5ECD7|G5ECD7_CAEEL cGMP-dependent protein kinase interacting domain-containing protein OS=Caenorhabditis elegans OX=6239 GN=mel-11 PE=1 SV=1</t>
  </si>
  <si>
    <t>G5ECD7</t>
  </si>
  <si>
    <t>mel-11</t>
  </si>
  <si>
    <t>cGMP-dependent protein kinase interacting domain-containing protein</t>
  </si>
  <si>
    <t>&gt;sp|G5ECE3|LAM3_CAEEL Laminin subunit alpha lam-3 OS=Caenorhabditis elegans OX=6239 GN=lam-3 PE=1 SV=1</t>
  </si>
  <si>
    <t>G5ECE3</t>
  </si>
  <si>
    <t>lam-3</t>
  </si>
  <si>
    <t>Laminin subunit alpha lam-3</t>
  </si>
  <si>
    <t>&gt;tr|G5ECF0|G5ECF0_CAEEL SH2 domain-containing protein OS=Caenorhabditis elegans OX=6239 GN=rin-1 PE=3 SV=1</t>
  </si>
  <si>
    <t>G5ECF0</t>
  </si>
  <si>
    <t>rin-1</t>
  </si>
  <si>
    <t>&gt;tr|G5ECF2|G5ECF2_CAEEL SSD domain-containing protein OS=Caenorhabditis elegans OX=6239 GN=ptr-25 PE=1 SV=1</t>
  </si>
  <si>
    <t>G5ECF2</t>
  </si>
  <si>
    <t>ptr-25</t>
  </si>
  <si>
    <t>SSD domain-containing protein</t>
  </si>
  <si>
    <t>&gt;tr|G5ECF4|G5ECF4_CAEEL Kinesin-like protein OS=Caenorhabditis elegans OX=6239 GN=bmk-1 PE=1 SV=1</t>
  </si>
  <si>
    <t>G5ECF4</t>
  </si>
  <si>
    <t>bmk-1</t>
  </si>
  <si>
    <t>Kinesin-like protein</t>
  </si>
  <si>
    <t>&gt;sp|G5ECG7|MTP_CAEEL Microsomal triglyceride transfer protein homolog OS=Caenorhabditis elegans OX=6239 GN=dsc-4 PE=1 SV=1</t>
  </si>
  <si>
    <t>G5ECG7</t>
  </si>
  <si>
    <t>dsc-4</t>
  </si>
  <si>
    <t>Microsomal triglyceride transfer protein homolog</t>
  </si>
  <si>
    <t>&gt;tr|G5ECH0|G5ECH0_CAEEL Histone deacetylase OS=Caenorhabditis elegans OX=6239 GN=hda-3 PE=1 SV=1</t>
  </si>
  <si>
    <t>G5ECH0</t>
  </si>
  <si>
    <t>hda-3</t>
  </si>
  <si>
    <t>Histone deacetylase</t>
  </si>
  <si>
    <t>&gt;tr|G5ECH1|G5ECH1_CAEEL GCF C-terminal domain-containing protein OS=Caenorhabditis elegans OX=6239 GN=mog-7 PE=1 SV=1</t>
  </si>
  <si>
    <t>G5ECH1</t>
  </si>
  <si>
    <t>mog-7</t>
  </si>
  <si>
    <t>GCF C-terminal domain-containing protein</t>
  </si>
  <si>
    <t>&gt;sp|G5ECH5|PP4R1_CAEEL Serine/threonine-protein phosphatase 4 regulatory subunit 1 OS=Caenorhabditis elegans OX=6239 GN=ppfr-1 PE=1 SV=1</t>
  </si>
  <si>
    <t>G5ECH5</t>
  </si>
  <si>
    <t>ppfr-1</t>
  </si>
  <si>
    <t>Serine/threonine-protein phosphatase 4 regulatory subunit 1</t>
  </si>
  <si>
    <t>&gt;sp|G5ECH7|CDK5_CAEEL Cyclin-dependent-like kinase 5 OS=Caenorhabditis elegans OX=6239 GN=cdk-5 PE=1 SV=1</t>
  </si>
  <si>
    <t>G5ECH7</t>
  </si>
  <si>
    <t>cdk-5</t>
  </si>
  <si>
    <t>Cyclin-dependent-like kinase 5</t>
  </si>
  <si>
    <t>&gt;tr|G5ECI8|G5ECI8_CAEEL phenylalanine--tRNA ligase OS=Caenorhabditis elegans OX=6239 GN=fars-2 PE=1 SV=1</t>
  </si>
  <si>
    <t>G5ECI8</t>
  </si>
  <si>
    <t>fars-2</t>
  </si>
  <si>
    <t>phenylalanine--tRNA ligase</t>
  </si>
  <si>
    <t>&gt;tr|G5ECJ4|G5ECJ4_CAEEL Mec-8 protein OS=Caenorhabditis elegans OX=6239 GN=mec-8 PE=1 SV=1</t>
  </si>
  <si>
    <t>G5ECJ4</t>
  </si>
  <si>
    <t>mec-8</t>
  </si>
  <si>
    <t>Mec-8 protein</t>
  </si>
  <si>
    <t>&gt;sp|G5ECJ6|CSK1_CAEEL Tyrosine-protein kinase csk-1 OS=Caenorhabditis elegans OX=6239 GN=csk-1 PE=1 SV=1</t>
  </si>
  <si>
    <t>G5ECJ6</t>
  </si>
  <si>
    <t>csk-1</t>
  </si>
  <si>
    <t>Tyrosine-protein kinase csk-1</t>
  </si>
  <si>
    <t>&gt;tr|G5ECJ8|G5ECJ8_CAEEL Flavin-containing monooxygenase OS=Caenorhabditis elegans OX=6239 GN=fmo-3 PE=1 SV=1</t>
  </si>
  <si>
    <t>G5ECJ8</t>
  </si>
  <si>
    <t>fmo-3</t>
  </si>
  <si>
    <t>Flavin-containing monooxygenase</t>
  </si>
  <si>
    <t>&gt;tr|G5ECK4|G5ECK4_CAEEL SH3 domain-containing GRB2-like protein OS=Caenorhabditis elegans OX=6239 GN=dnbp-1 PE=1 SV=1</t>
  </si>
  <si>
    <t>G5ECK4</t>
  </si>
  <si>
    <t>dnbp-1</t>
  </si>
  <si>
    <t>SH3 domain-containing GRB2-like protein</t>
  </si>
  <si>
    <t>&gt;sp|G5ECL2|SYNJ_CAEEL Synaptojanin OS=Caenorhabditis elegans OX=6239 GN=unc-26 PE=1 SV=1</t>
  </si>
  <si>
    <t>G5ECL2</t>
  </si>
  <si>
    <t>unc-26</t>
  </si>
  <si>
    <t>Synaptojanin</t>
  </si>
  <si>
    <t>&gt;tr|G5ECM1|G5ECM1_CAEEL RNA-directed RNA polymerase OS=Caenorhabditis elegans OX=6239 GN=rrf-1 PE=1 SV=1</t>
  </si>
  <si>
    <t>G5ECM1</t>
  </si>
  <si>
    <t>rrf-1</t>
  </si>
  <si>
    <t>&gt;tr|G5ECM6|G5ECM6_CAEEL Elongation factor Tu, mitochondrial OS=Caenorhabditis elegans OX=6239 GN=tufm-1 PE=1 SV=1</t>
  </si>
  <si>
    <t>G5ECM6</t>
  </si>
  <si>
    <t>tufm-1</t>
  </si>
  <si>
    <t>Elongation factor Tu, mitochondrial</t>
  </si>
  <si>
    <t>&gt;sp|G5ECN5|STRD1_CAEEL STE20-related kinase adapter protein strd-1 OS=Caenorhabditis elegans OX=6239 GN=strd-1 PE=1 SV=1</t>
  </si>
  <si>
    <t>G5ECN5</t>
  </si>
  <si>
    <t>strd-1</t>
  </si>
  <si>
    <t>STE20-related kinase adapter protein strd-1</t>
  </si>
  <si>
    <t>&gt;sp|G5ECQ3|SEL5_CAEEL Serine/threonine-protein kinase sel-5 OS=Caenorhabditis elegans OX=6239 GN=sel-5 PE=2 SV=1</t>
  </si>
  <si>
    <t>G5ECQ3</t>
  </si>
  <si>
    <t>sel-5</t>
  </si>
  <si>
    <t>Serine/threonine-protein kinase sel-5</t>
  </si>
  <si>
    <t>&gt;tr|G5ECR0|G5ECR0_CAEEL C-type LECtin OS=Caenorhabditis elegans OX=6239 GN=CELE_T25C12.3 PE=1 SV=1</t>
  </si>
  <si>
    <t>G5ECR0</t>
  </si>
  <si>
    <t>C-type LECtin</t>
  </si>
  <si>
    <t>&gt;tr|G5ECR7|G5ECR7_CAEEL RNA polymerase II transcription factor SIII p18 subunit OS=Caenorhabditis elegans OX=6239 GN=elb-1 PE=1 SV=1</t>
  </si>
  <si>
    <t>G5ECR7</t>
  </si>
  <si>
    <t>elb-1</t>
  </si>
  <si>
    <t>RNA polymerase II transcription factor SIII p18 subunit</t>
  </si>
  <si>
    <t>&gt;tr|G5ECS4|G5ECS4_CAEEL Amine oxidase domain-containing protein OS=Caenorhabditis elegans OX=6239 GN=glf-1 PE=1 SV=1</t>
  </si>
  <si>
    <t>G5ECS4</t>
  </si>
  <si>
    <t>glf-1</t>
  </si>
  <si>
    <t>Amine oxidase domain-containing protein</t>
  </si>
  <si>
    <t>&gt;tr|G5ECS9|G5ECS9_CAEEL Calponin-homology (CH) domain-containing protein OS=Caenorhabditis elegans OX=6239 GN=cpt-2 PE=1 SV=2</t>
  </si>
  <si>
    <t>G5ECS9</t>
  </si>
  <si>
    <t>cpt-2</t>
  </si>
  <si>
    <t>&gt;sp|G5ECU1|SKR1_CAEEL Skp1-related protein OS=Caenorhabditis elegans OX=6239 GN=skr-1 PE=1 SV=1</t>
  </si>
  <si>
    <t>G5ECU1</t>
  </si>
  <si>
    <t>skr-1</t>
  </si>
  <si>
    <t>Skp1-related protein</t>
  </si>
  <si>
    <t>&gt;tr|G5ECU5|G5ECU5_CAEEL Heat shock protein 70 OS=Caenorhabditis elegans OX=6239 GN=CELE_F44E5.4 PE=1 SV=1</t>
  </si>
  <si>
    <t>G5ECU5</t>
  </si>
  <si>
    <t>Heat shock protein 70</t>
  </si>
  <si>
    <t>&gt;tr|G5ECV9|G5ECV9_CAEEL 10-formyltetrahydrofolate dehydrogenase OS=Caenorhabditis elegans OX=6239 GN=alh-3 PE=1 SV=1</t>
  </si>
  <si>
    <t>G5ECV9</t>
  </si>
  <si>
    <t>alh-3</t>
  </si>
  <si>
    <t>10-formyltetrahydrofolate dehydrogenase</t>
  </si>
  <si>
    <t>&gt;tr|G5ECW0|G5ECW0_CAEEL Calx-beta domain-containing protein OS=Caenorhabditis elegans OX=6239 GN=ncx-3 PE=1 SV=2</t>
  </si>
  <si>
    <t>G5ECW0</t>
  </si>
  <si>
    <t>ncx-3</t>
  </si>
  <si>
    <t>Calx-beta domain-containing protein</t>
  </si>
  <si>
    <t>&gt;tr|G5ECW3|G5ECW3_CAEEL EH domain-binding protein 1 OS=Caenorhabditis elegans OX=6239 GN=ehbp-1 PE=1 SV=1</t>
  </si>
  <si>
    <t>G5ECW3</t>
  </si>
  <si>
    <t>ehbp-1</t>
  </si>
  <si>
    <t>EH domain-binding protein 1</t>
  </si>
  <si>
    <t>&gt;tr|G5ECX9|G5ECX9_CAEEL CaDmium Responsive OS=Caenorhabditis elegans OX=6239 GN=cdr-2 PE=1 SV=1</t>
  </si>
  <si>
    <t>G5ECX9</t>
  </si>
  <si>
    <t>cdr-2</t>
  </si>
  <si>
    <t>&gt;sp|G5ECY0|DLG1_CAEEL Disks large homolog 1 OS=Caenorhabditis elegans OX=6239 GN=dlg-1 PE=1 SV=1</t>
  </si>
  <si>
    <t>G5ECY0</t>
  </si>
  <si>
    <t>dlg-1</t>
  </si>
  <si>
    <t>Disks large homolog 1</t>
  </si>
  <si>
    <t>&gt;tr|G5ECZ0|G5ECZ0_CAEEL Myosin IA OS=Caenorhabditis elegans OX=6239 GN=hum-5 PE=1 SV=1</t>
  </si>
  <si>
    <t>G5ECZ0</t>
  </si>
  <si>
    <t>hum-5</t>
  </si>
  <si>
    <t>Myosin IA</t>
  </si>
  <si>
    <t>&gt;tr|G5ECZ8|G5ECZ8_CAEEL PDZ domain-containing protein OS=Caenorhabditis elegans OX=6239 GN=mpz-1 PE=1 SV=2</t>
  </si>
  <si>
    <t>G5ECZ8</t>
  </si>
  <si>
    <t>mpz-1</t>
  </si>
  <si>
    <t>PDZ domain-containing protein</t>
  </si>
  <si>
    <t>&gt;tr|G5ED07|G5ED07_CAEEL Protein disulfide-isomerase OS=Caenorhabditis elegans OX=6239 GN=pdi-3 PE=1 SV=1</t>
  </si>
  <si>
    <t>G5ED07</t>
  </si>
  <si>
    <t>pdi-3</t>
  </si>
  <si>
    <t>Protein disulfide-isomerase</t>
  </si>
  <si>
    <t>&gt;tr|G5ED17|G5ED17_CAEEL Protein kinase domain-containing protein OS=Caenorhabditis elegans OX=6239 GN=hpo-11 PE=1 SV=1</t>
  </si>
  <si>
    <t>G5ED17</t>
  </si>
  <si>
    <t>hpo-11</t>
  </si>
  <si>
    <t>&gt;tr|G5ED21|G5ED21_CAEEL DNA-directed RNA polymerase subunit OS=Caenorhabditis elegans OX=6239 GN=rpoa-1 PE=1 SV=1</t>
  </si>
  <si>
    <t>G5ED21</t>
  </si>
  <si>
    <t>rpoa-1</t>
  </si>
  <si>
    <t>DNA-directed RNA polymerase subunit</t>
  </si>
  <si>
    <t>&gt;tr|G5ED26|G5ED26_CAEEL ATP-dependent RNA helicase OS=Caenorhabditis elegans OX=6239 GN=mel-46 PE=1 SV=1</t>
  </si>
  <si>
    <t>G5ED26</t>
  </si>
  <si>
    <t>mel-46</t>
  </si>
  <si>
    <t>ATP-dependent RNA helicase</t>
  </si>
  <si>
    <t>&gt;sp|G5ED29|ATX2_CAEEL Ataxin-2 homolog OS=Caenorhabditis elegans OX=6239 GN=atx-2 PE=1 SV=1</t>
  </si>
  <si>
    <t>G5ED29</t>
  </si>
  <si>
    <t>atx-2</t>
  </si>
  <si>
    <t>Ataxin-2 homolog</t>
  </si>
  <si>
    <t>&gt;tr|G5ED34|G5ED34_CAEEL Dynein light intermediate chain OS=Caenorhabditis elegans OX=6239 GN=dli-1 PE=1 SV=1</t>
  </si>
  <si>
    <t>G5ED34</t>
  </si>
  <si>
    <t>dli-1</t>
  </si>
  <si>
    <t>Dynein light intermediate chain</t>
  </si>
  <si>
    <t>&gt;tr|G5ED36|G5ED36_CAEEL Endocytosis protein RME-8 OS=Caenorhabditis elegans OX=6239 GN=rme-8 PE=1 SV=1</t>
  </si>
  <si>
    <t>G5ED36</t>
  </si>
  <si>
    <t>rme-8</t>
  </si>
  <si>
    <t>Endocytosis protein RME-8</t>
  </si>
  <si>
    <t>&gt;sp|G5ED39|SEP1_CAEEL Separin homolog sep-1 OS=Caenorhabditis elegans OX=6239 GN=sep-1 PE=1 SV=1</t>
  </si>
  <si>
    <t>G5ED39</t>
  </si>
  <si>
    <t>Separin homolog sep-1</t>
  </si>
  <si>
    <t>&gt;sp|G5ED41|CAND1_CAEEL Cullin-associated NEDD8-dissociated protein 1 OS=Caenorhabditis elegans OX=6239 GN=cand-1 PE=1 SV=1</t>
  </si>
  <si>
    <t>G5ED41</t>
  </si>
  <si>
    <t>cand-1</t>
  </si>
  <si>
    <t>Cullin-associated NEDD8-dissociated protein 1</t>
  </si>
  <si>
    <t>&gt;sp|G5ED44|FAT5_CAEEL Delta(9)-fatty-acid desaturase fat-5 OS=Caenorhabditis elegans OX=6239 GN=fat-5 PE=1 SV=1</t>
  </si>
  <si>
    <t>G5ED44</t>
  </si>
  <si>
    <t>fat-5</t>
  </si>
  <si>
    <t>Delta(9)-fatty-acid desaturase fat-5</t>
  </si>
  <si>
    <t>&gt;sp|G5ED45|HYL1_CAEEL Ceramide synthase hyl-1 OS=Caenorhabditis elegans OX=6239 GN=hyl-1 PE=1 SV=1</t>
  </si>
  <si>
    <t>G5ED45</t>
  </si>
  <si>
    <t>hyl-1</t>
  </si>
  <si>
    <t>Ceramide synthase hyl-1</t>
  </si>
  <si>
    <t>&gt;tr|G5ED57|G5ED57_CAEEL BPTI/Kunitz inhibitor domain-containing protein OS=Caenorhabditis elegans OX=6239 GN=CELE_F22E12.1 PE=1 SV=1</t>
  </si>
  <si>
    <t>G5ED57</t>
  </si>
  <si>
    <t>BPTI/Kunitz inhibitor domain-containing protein</t>
  </si>
  <si>
    <t>&gt;tr|G5ED60|G5ED60_CAEEL FHA domain-containing protein OS=Caenorhabditis elegans OX=6239 GN=mcrs-1 PE=1 SV=1</t>
  </si>
  <si>
    <t>G5ED60</t>
  </si>
  <si>
    <t>mcrs-1</t>
  </si>
  <si>
    <t>&gt;tr|G5ED63|G5ED63_CAEEL RNase H domain-containing protein OS=Caenorhabditis elegans OX=6239 GN=CELE_K12D12.5 PE=1 SV=1</t>
  </si>
  <si>
    <t>G5ED63</t>
  </si>
  <si>
    <t>RNase H domain-containing protein</t>
  </si>
  <si>
    <t>&gt;sp|G5ED68|MTMR6_CAEEL Myotubularin-related protein 6 OS=Caenorhabditis elegans OX=6239 GN=mtm-6 PE=1 SV=1</t>
  </si>
  <si>
    <t>G5ED68</t>
  </si>
  <si>
    <t>mtm-6</t>
  </si>
  <si>
    <t>Myotubularin-related protein 6</t>
  </si>
  <si>
    <t>&gt;sp|G5ED89|DCP66_CAEEL Transcription factor dcp-66 OS=Caenorhabditis elegans OX=6239 GN=dcp-66 PE=2 SV=2</t>
  </si>
  <si>
    <t>G5ED89</t>
  </si>
  <si>
    <t>dcp-66</t>
  </si>
  <si>
    <t>Transcription factor dcp-66</t>
  </si>
  <si>
    <t>&gt;tr|G5ED95|G5ED95_CAEEL Tyrosine--tRNA ligase OS=Caenorhabditis elegans OX=6239 GN=yars-1 PE=1 SV=1</t>
  </si>
  <si>
    <t>G5ED95</t>
  </si>
  <si>
    <t>yars-1</t>
  </si>
  <si>
    <t>Tyrosine--tRNA ligase</t>
  </si>
  <si>
    <t>&gt;tr|G5EDA7|G5EDA7_CAEEL Major facilitator superfamily (MFS) profile domain-containing protein OS=Caenorhabditis elegans OX=6239 GN=C06H5.6 PE=1 SV=1</t>
  </si>
  <si>
    <t>G5EDA7</t>
  </si>
  <si>
    <t>C06H5.6</t>
  </si>
  <si>
    <t>&gt;tr|G5EDA8|G5EDA8_CAEEL Chitin-binding type-2 domain-containing protein OS=Caenorhabditis elegans OX=6239 GN=CELE_Y45F10B.13 PE=1 SV=1</t>
  </si>
  <si>
    <t>G5EDA8</t>
  </si>
  <si>
    <t>Chitin-binding type-2 domain-containing protein</t>
  </si>
  <si>
    <t>&gt;sp|G5EDB2|MADD3_CAEEL Probable dual specificity protein kinase madd-3 OS=Caenorhabditis elegans OX=6239 GN=madd-3 PE=1 SV=1</t>
  </si>
  <si>
    <t>G5EDB2</t>
  </si>
  <si>
    <t>madd-3</t>
  </si>
  <si>
    <t>Probable dual specificity protein kinase madd-3</t>
  </si>
  <si>
    <t>&gt;tr|G5EDB6|G5EDB6_CAEEL AAA+ ATPase domain-containing protein OS=Caenorhabditis elegans OX=6239 GN=ppgn-1 PE=1 SV=1</t>
  </si>
  <si>
    <t>G5EDB6</t>
  </si>
  <si>
    <t>ppgn-1</t>
  </si>
  <si>
    <t>AAA+ ATPase domain-containing protein</t>
  </si>
  <si>
    <t>&gt;tr|G5EDB7|G5EDB7_CAEEL Glutamate decarboxylase 1 OS=Caenorhabditis elegans OX=6239 GN=unc-25 PE=1 SV=1</t>
  </si>
  <si>
    <t>G5EDB7</t>
  </si>
  <si>
    <t>unc-25</t>
  </si>
  <si>
    <t>Glutamate decarboxylase 1</t>
  </si>
  <si>
    <t>&gt;sp|G5EDB8|VATO_CAEEL V-type proton ATPase 21 kDa proteolipid subunit c'' OS=Caenorhabditis elegans OX=6239 GN=vha-4 PE=2 SV=1</t>
  </si>
  <si>
    <t>G5EDB8</t>
  </si>
  <si>
    <t>vha-4</t>
  </si>
  <si>
    <t>V-type proton ATPase 21 kDa proteolipid subunit c''</t>
  </si>
  <si>
    <t>&gt;sp|G5EDB9|RPGF_CAEEL Rap guanine nucleotide exchange factor OS=Caenorhabditis elegans OX=6239 GN=pxf-1 PE=1 SV=1</t>
  </si>
  <si>
    <t>G5EDB9</t>
  </si>
  <si>
    <t>pxf-1</t>
  </si>
  <si>
    <t>Rap guanine nucleotide exchange factor</t>
  </si>
  <si>
    <t>&gt;tr|G5EDC6|G5EDC6_CAEEL ADP-ribosylation factor-like protein 8B OS=Caenorhabditis elegans OX=6239 GN=arl-8 PE=1 SV=1</t>
  </si>
  <si>
    <t>G5EDC6</t>
  </si>
  <si>
    <t>arl-8</t>
  </si>
  <si>
    <t>ADP-ribosylation factor-like protein 8B</t>
  </si>
  <si>
    <t>&gt;tr|G5EDD1|G5EDD1_CAEEL Peptidase_M16 domain-containing protein OS=Caenorhabditis elegans OX=6239 GN=ucr-2.1 PE=1 SV=1</t>
  </si>
  <si>
    <t>G5EDD1</t>
  </si>
  <si>
    <t>ucr-2.1</t>
  </si>
  <si>
    <t>Peptidase_M16 domain-containing protein</t>
  </si>
  <si>
    <t>&gt;tr|G5EDD4|G5EDD4_CAEEL Tubulin alpha chain OS=Caenorhabditis elegans OX=6239 GN=tba-4 PE=1 SV=1</t>
  </si>
  <si>
    <t>G5EDD4</t>
  </si>
  <si>
    <t>tba-4</t>
  </si>
  <si>
    <t>Tubulin alpha chain</t>
  </si>
  <si>
    <t>&gt;sp|G5EDE2|CBXH2_CAEEL Chromobox protein homolog hpl-2 OS=Caenorhabditis elegans OX=6239 GN=hpl-2 PE=1 SV=1</t>
  </si>
  <si>
    <t>G5EDE2</t>
  </si>
  <si>
    <t>hpl-2</t>
  </si>
  <si>
    <t>Chromobox protein homolog hpl-2</t>
  </si>
  <si>
    <t>&gt;tr|G5EDE4|G5EDE4_CAEEL Protein CASC3 OS=Caenorhabditis elegans OX=6239 GN=casc-3 PE=1 SV=1</t>
  </si>
  <si>
    <t>G5EDE4</t>
  </si>
  <si>
    <t>casc-3</t>
  </si>
  <si>
    <t>Protein CASC3</t>
  </si>
  <si>
    <t>&gt;tr|G5EDE7|G5EDE7_CAEEL TPX2 domain-containing protein OS=Caenorhabditis elegans OX=6239 GN=tpxl-1 PE=1 SV=1</t>
  </si>
  <si>
    <t>G5EDE7</t>
  </si>
  <si>
    <t>tpxl-1</t>
  </si>
  <si>
    <t>TPX2 domain-containing protein</t>
  </si>
  <si>
    <t>&gt;tr|G5EDE8|G5EDE8_CAEEL ERGIC-53-like protein OS=Caenorhabditis elegans OX=6239 GN=ile-1 PE=1 SV=1</t>
  </si>
  <si>
    <t>G5EDE8</t>
  </si>
  <si>
    <t>ile-1</t>
  </si>
  <si>
    <t>ERGIC-53-like protein</t>
  </si>
  <si>
    <t>&gt;tr|G5EDF5|G5EDF5_CAEEL Elongation factor Tu, mitochondrial OS=Caenorhabditis elegans OX=6239 GN=tufm-2 PE=1 SV=1</t>
  </si>
  <si>
    <t>G5EDF5</t>
  </si>
  <si>
    <t>tufm-2</t>
  </si>
  <si>
    <t>&gt;sp|G5EDF7|SEK1_CAEEL Dual specificity mitogen-activated protein kinase kinase sek-1 OS=Caenorhabditis elegans OX=6239 GN=sek-1 PE=1 SV=1</t>
  </si>
  <si>
    <t>G5EDF7</t>
  </si>
  <si>
    <t>sek-1</t>
  </si>
  <si>
    <t>Dual specificity mitogen-activated protein kinase kinase sek-1</t>
  </si>
  <si>
    <t>&gt;sp|G5EDG2|SMRCD_CAEEL SWI/SNF-related matrix-associated actin-dependent regulator of chromatin subfamily A containing DEAD/H box 1 homolog OS=Caenorhabditis elegans OX=6239 GN=M03C11.8 PE=3 SV=1</t>
  </si>
  <si>
    <t>G5EDG2</t>
  </si>
  <si>
    <t>M03C11.8</t>
  </si>
  <si>
    <t>SWI/SNF-related matrix-associated actin-dependent regulator of chromatin subfamily A containing DEAD/H box 1 homolog</t>
  </si>
  <si>
    <t>&gt;tr|G5EDG6|G5EDG6_CAEEL COLlagen structural OS=Caenorhabditis elegans OX=6239 GN=col-117 PE=1 SV=1</t>
  </si>
  <si>
    <t>G5EDG6</t>
  </si>
  <si>
    <t>col-117</t>
  </si>
  <si>
    <t>COLlagen structural</t>
  </si>
  <si>
    <t>&gt;tr|G5EDG8|G5EDG8_CAEEL Flavin-containing monooxygenase OS=Caenorhabditis elegans OX=6239 GN=fmo-4 PE=1 SV=1</t>
  </si>
  <si>
    <t>G5EDG8</t>
  </si>
  <si>
    <t>fmo-4</t>
  </si>
  <si>
    <t>&gt;tr|G5EDH7|G5EDH7_CAEEL N-acetyltransferase domain-containing protein OS=Caenorhabditis elegans OX=6239 GN=anat-1 PE=1 SV=2</t>
  </si>
  <si>
    <t>G5EDH7</t>
  </si>
  <si>
    <t>anat-1</t>
  </si>
  <si>
    <t>&gt;tr|G5EDI2|G5EDI2_CAEEL Reticulon-like protein OS=Caenorhabditis elegans OX=6239 GN=ret-1 PE=1 SV=1</t>
  </si>
  <si>
    <t>G5EDI2</t>
  </si>
  <si>
    <t>ret-1</t>
  </si>
  <si>
    <t>Reticulon-like protein</t>
  </si>
  <si>
    <t>&gt;tr|G5EDI8|G5EDI8_CAEEL Dicer-related helicase OS=Caenorhabditis elegans OX=6239 GN=drh-1 PE=1 SV=1</t>
  </si>
  <si>
    <t>G5EDI8</t>
  </si>
  <si>
    <t>drh-1</t>
  </si>
  <si>
    <t>Dicer-related helicase</t>
  </si>
  <si>
    <t>&gt;tr|G5EDJ3|G5EDJ3_CAEEL Equilibrative nucleoside transporter 1 OS=Caenorhabditis elegans OX=6239 GN=ent-1 PE=1 SV=1</t>
  </si>
  <si>
    <t>G5EDJ3</t>
  </si>
  <si>
    <t>ent-1</t>
  </si>
  <si>
    <t>Equilibrative nucleoside transporter 1</t>
  </si>
  <si>
    <t>&gt;tr|G5EDJ9|G5EDJ9_CAEEL SLC (SoLute Carrier) homolog OS=Caenorhabditis elegans OX=6239 GN=CELE_Y43C5B.3 PE=3 SV=1</t>
  </si>
  <si>
    <t>G5EDJ9</t>
  </si>
  <si>
    <t>SLC (SoLute Carrier) homolog</t>
  </si>
  <si>
    <t>&gt;tr|G5EDK1|G5EDK1_CAEEL ASC-1 OS=Caenorhabditis elegans OX=6239 GN=trip-4 PE=1 SV=1</t>
  </si>
  <si>
    <t>G5EDK1</t>
  </si>
  <si>
    <t>trip-4</t>
  </si>
  <si>
    <t>ASC-1</t>
  </si>
  <si>
    <t>&gt;tr|G5EDL3|G5EDL3_CAEEL Aurora kinase OS=Caenorhabditis elegans OX=6239 GN=air-1 PE=1 SV=1</t>
  </si>
  <si>
    <t>G5EDL3</t>
  </si>
  <si>
    <t>air-1</t>
  </si>
  <si>
    <t>Aurora kinase</t>
  </si>
  <si>
    <t>&gt;tr|G5EDL4|G5EDL4_CAEEL Dot/Icm T4SS effector OS=Caenorhabditis elegans OX=6239 GN=CELE_R05H10.3 PE=1 SV=1</t>
  </si>
  <si>
    <t>G5EDL4</t>
  </si>
  <si>
    <t>Dot/Icm T4SS effector</t>
  </si>
  <si>
    <t>&gt;tr|G5EDL9|G5EDL9_CAEEL PDZ domain-containing protein OS=Caenorhabditis elegans OX=6239 GN=CELE_ZK1321.4 PE=1 SV=1</t>
  </si>
  <si>
    <t>G5EDL9</t>
  </si>
  <si>
    <t>&gt;sp|G5EDM4|NHRF1_CAEEL Na(+)/H(+) exchange regulatory cofactor-like protein nrfl-1 OS=Caenorhabditis elegans OX=6239 GN=nrfl-1 PE=1 SV=1</t>
  </si>
  <si>
    <t>G5EDM4</t>
  </si>
  <si>
    <t>nrfl-1</t>
  </si>
  <si>
    <t>Na(+)/H(+) exchange regulatory cofactor-like protein nrfl-1</t>
  </si>
  <si>
    <t>&gt;tr|G5EDM5|G5EDM5_CAEEL Malate dehydrogenase OS=Caenorhabditis elegans OX=6239 GN=CELE_F36A2.3 PE=1 SV=1</t>
  </si>
  <si>
    <t>G5EDM5</t>
  </si>
  <si>
    <t>Malate dehydrogenase</t>
  </si>
  <si>
    <t>&gt;tr|G5EDN2|G5EDN2_CAEEL Mannosyltransferase OS=Caenorhabditis elegans OX=6239 GN=pigb-1 PE=2 SV=1</t>
  </si>
  <si>
    <t>G5EDN2</t>
  </si>
  <si>
    <t>pigb-1</t>
  </si>
  <si>
    <t>Mannosyltransferase</t>
  </si>
  <si>
    <t>&gt;sp|G5EDN3|TIM_CAEEL Protein timeless homolog OS=Caenorhabditis elegans OX=6239 GN=tim-1 PE=1 SV=1</t>
  </si>
  <si>
    <t>G5EDN3</t>
  </si>
  <si>
    <t>tim-1</t>
  </si>
  <si>
    <t>Protein timeless homolog</t>
  </si>
  <si>
    <t>&gt;tr|G5EDN8|G5EDN8_CAEEL ANK_REP_REGION domain-containing protein OS=Caenorhabditis elegans OX=6239 GN=vab-19 PE=2 SV=1</t>
  </si>
  <si>
    <t>G5EDN8</t>
  </si>
  <si>
    <t>vab-19</t>
  </si>
  <si>
    <t>&gt;tr|G5EDP0|G5EDP0_CAEEL Retinoid-inducible serine carboxypeptidase OS=Caenorhabditis elegans OX=6239 GN=CELE_Y32F6A.5 PE=1 SV=1</t>
  </si>
  <si>
    <t>G5EDP0</t>
  </si>
  <si>
    <t>Retinoid-inducible serine carboxypeptidase</t>
  </si>
  <si>
    <t>&gt;sp|G5EDP2|NLTP2_CAEEL Non-specific lipid-transfer protein-like 2 OS=Caenorhabditis elegans OX=6239 GN=daf-22 PE=1 SV=1</t>
  </si>
  <si>
    <t>G5EDP2</t>
  </si>
  <si>
    <t>daf-22</t>
  </si>
  <si>
    <t>Non-specific lipid-transfer protein-like 2</t>
  </si>
  <si>
    <t>&gt;tr|G5EDP6|G5EDP6_CAEEL Flavin-containing monooxygenase OS=Caenorhabditis elegans OX=6239 GN=fmo-1 PE=1 SV=1</t>
  </si>
  <si>
    <t>G5EDP6</t>
  </si>
  <si>
    <t>fmo-1</t>
  </si>
  <si>
    <t>&gt;tr|G5EDP9|G5EDP9_CAEEL Phosphoinositide 3-kinase adapter subunit OS=Caenorhabditis elegans OX=6239 GN=aap-1 PE=1 SV=1</t>
  </si>
  <si>
    <t>G5EDP9</t>
  </si>
  <si>
    <t>aap-1</t>
  </si>
  <si>
    <t>Phosphoinositide 3-kinase adapter subunit</t>
  </si>
  <si>
    <t>&gt;sp|G5EDQ2|HMG12_CAEEL High mobility group protein hmg-12 OS=Caenorhabditis elegans OX=6239 GN=hmg-12 PE=1 SV=1</t>
  </si>
  <si>
    <t>G5EDQ2</t>
  </si>
  <si>
    <t>hmg-12</t>
  </si>
  <si>
    <t>High mobility group protein hmg-12</t>
  </si>
  <si>
    <t>&gt;sp|G5EDR3|2AB1_CAEEL Serine/threonine-protein phosphatase 2A regulatory subunit sur-6 OS=Caenorhabditis elegans OX=6239 GN=sur-6 PE=1 SV=1</t>
  </si>
  <si>
    <t>G5EDR3</t>
  </si>
  <si>
    <t>sur-6</t>
  </si>
  <si>
    <t>Serine/threonine-protein phosphatase 2A regulatory subunit sur-6</t>
  </si>
  <si>
    <t>&gt;sp|G5EDT1|LIN35_CAEEL Retinoblastoma-like protein homolog lin-35 OS=Caenorhabditis elegans OX=6239 GN=lin-35 PE=1 SV=1</t>
  </si>
  <si>
    <t>G5EDT1</t>
  </si>
  <si>
    <t>lin-35</t>
  </si>
  <si>
    <t>Retinoblastoma-like protein homolog lin-35</t>
  </si>
  <si>
    <t>&gt;tr|G5EDT4|G5EDT4_CAEEL IgGFc-binding protein-like OS=Caenorhabditis elegans OX=6239 GN=CELE_T01D3.6 PE=1 SV=1</t>
  </si>
  <si>
    <t>G5EDT4</t>
  </si>
  <si>
    <t>IgGFc-binding protein-like</t>
  </si>
  <si>
    <t>&gt;tr|G5EDT9|G5EDT9_CAEEL E3 ubiquitin-protein ligase UBR5 OS=Caenorhabditis elegans OX=6239 GN=ubr-5 PE=1 SV=1</t>
  </si>
  <si>
    <t>G5EDT9</t>
  </si>
  <si>
    <t>ubr-5</t>
  </si>
  <si>
    <t>E3 ubiquitin-protein ligase UBR5</t>
  </si>
  <si>
    <t>&gt;tr|G5EDU1|G5EDU1_CAEEL Calcium-transporting ATPase OS=Caenorhabditis elegans OX=6239 GN=pmr-1 PE=1 SV=1</t>
  </si>
  <si>
    <t>G5EDU1</t>
  </si>
  <si>
    <t>pmr-1</t>
  </si>
  <si>
    <t>Calcium-transporting ATPase</t>
  </si>
  <si>
    <t>&gt;tr|G5EDU2|G5EDU2_CAEEL Sodium/hydrogen exchanger OS=Caenorhabditis elegans OX=6239 GN=nhx-4 PE=1 SV=1</t>
  </si>
  <si>
    <t>G5EDU2</t>
  </si>
  <si>
    <t>nhx-4</t>
  </si>
  <si>
    <t>Sodium/hydrogen exchanger</t>
  </si>
  <si>
    <t>&gt;tr|G5EDV3|G5EDV3_CAEEL CSD domain-containing protein OS=Caenorhabditis elegans OX=6239 GN=cey-4 PE=1 SV=1</t>
  </si>
  <si>
    <t>G5EDV3</t>
  </si>
  <si>
    <t>cey-4</t>
  </si>
  <si>
    <t>CSD domain-containing protein</t>
  </si>
  <si>
    <t>&gt;sp|G5EDW1|ADBP1_CAEEL Adr-2-binding protein 1 OS=Caenorhabditis elegans OX=6239 GN=adbp-1 PE=1 SV=1</t>
  </si>
  <si>
    <t>G5EDW1</t>
  </si>
  <si>
    <t>adbp-1</t>
  </si>
  <si>
    <t>Adr-2-binding protein 1</t>
  </si>
  <si>
    <t>&gt;tr|G5EDW8|G5EDW8_CAEEL Malate dehydrogenase OS=Caenorhabditis elegans OX=6239 GN=CELE_VF13D12L.3 PE=1 SV=1</t>
  </si>
  <si>
    <t>G5EDW8</t>
  </si>
  <si>
    <t>&gt;tr|G5EDW9|G5EDW9_CAEEL Integrator complex subunit 7 OS=Caenorhabditis elegans OX=6239 GN=ints-7 PE=1 SV=1</t>
  </si>
  <si>
    <t>G5EDW9</t>
  </si>
  <si>
    <t>ints-7</t>
  </si>
  <si>
    <t>Integrator complex subunit 7</t>
  </si>
  <si>
    <t>&gt;tr|G5EDX9|G5EDX9_CAEEL DUF38 domain-containing protein OS=Caenorhabditis elegans OX=6239 GN=fbxa-101 PE=1 SV=1</t>
  </si>
  <si>
    <t>G5EDX9</t>
  </si>
  <si>
    <t>fbxa-101</t>
  </si>
  <si>
    <t>&gt;sp|G5EDY0|PIKI1_CAEEL Phosphatidylinositol 3-kinase piki-1 OS=Caenorhabditis elegans OX=6239 GN=piki-1 PE=1 SV=1</t>
  </si>
  <si>
    <t>G5EDY0</t>
  </si>
  <si>
    <t>piki-1</t>
  </si>
  <si>
    <t>Phosphatidylinositol 3-kinase piki-1</t>
  </si>
  <si>
    <t>&gt;tr|G5EDY2|G5EDY2_CAEEL tryptophan--tRNA ligase OS=Caenorhabditis elegans OX=6239 GN=wars-1 PE=1 SV=1</t>
  </si>
  <si>
    <t>G5EDY2</t>
  </si>
  <si>
    <t>wars-1</t>
  </si>
  <si>
    <t>tryptophan--tRNA ligase</t>
  </si>
  <si>
    <t>&gt;sp|G5EDZ2|UMPS_CAEEL Uridine 5'-monophosphate synthase OS=Caenorhabditis elegans OX=6239 GN=umps-1 PE=1 SV=1</t>
  </si>
  <si>
    <t>G5EDZ2</t>
  </si>
  <si>
    <t>umps-1</t>
  </si>
  <si>
    <t>Uridine 5'-monophosphate synthase</t>
  </si>
  <si>
    <t>&gt;tr|G5EDZ7|G5EDZ7_CAEEL CaDmium Responsive OS=Caenorhabditis elegans OX=6239 GN=cdr-4 PE=1 SV=1</t>
  </si>
  <si>
    <t>G5EDZ7</t>
  </si>
  <si>
    <t>cdr-4</t>
  </si>
  <si>
    <t>&gt;sp|G5EE01|PTEN_CAEEL Phosphatidylinositol 3,4,5-trisphosphate 3-phosphatase and dual-specificity protein phosphatase daf-18 OS=Caenorhabditis elegans OX=6239 GN=daf-18 PE=1 SV=1</t>
  </si>
  <si>
    <t>G5EE01</t>
  </si>
  <si>
    <t>daf-18</t>
  </si>
  <si>
    <t>Phosphatidylinositol 3,4,5-trisphosphate 3-phosphatase and dual-specificity protein phosphatase daf-18</t>
  </si>
  <si>
    <t>&gt;tr|G5EE04|G5EE04_CAEEL STI1 domain-containing protein OS=Caenorhabditis elegans OX=6239 GN=hip-1 PE=1 SV=1</t>
  </si>
  <si>
    <t>G5EE04</t>
  </si>
  <si>
    <t>hip-1</t>
  </si>
  <si>
    <t>STI1 domain-containing protein</t>
  </si>
  <si>
    <t>&gt;tr|G5EE13|G5EE13_CAEEL SSD domain-containing protein OS=Caenorhabditis elegans OX=6239 GN=ptr-23 PE=1 SV=1</t>
  </si>
  <si>
    <t>G5EE13</t>
  </si>
  <si>
    <t>ptr-23</t>
  </si>
  <si>
    <t>&gt;tr|G5EE14|G5EE14_CAEEL P-type Cu(+) transporter OS=Caenorhabditis elegans OX=6239 GN=cua-1 PE=1 SV=1</t>
  </si>
  <si>
    <t>G5EE14</t>
  </si>
  <si>
    <t>cua-1</t>
  </si>
  <si>
    <t>P-type Cu(+) transporter</t>
  </si>
  <si>
    <t>&gt;tr|G5EE32|G5EE32_CAEEL 1-aminocyclopropane-1-carboxylate synthase OS=Caenorhabditis elegans OX=6239 GN=CELE_T04F3.1 PE=1 SV=1</t>
  </si>
  <si>
    <t>G5EE32</t>
  </si>
  <si>
    <t>1-aminocyclopropane-1-carboxylate synthase</t>
  </si>
  <si>
    <t>&gt;tr|G5EE37|G5EE37_CAEEL Incenp-like protein ICP-1 OS=Caenorhabditis elegans OX=6239 GN=icp-1 PE=1 SV=1</t>
  </si>
  <si>
    <t>G5EE37</t>
  </si>
  <si>
    <t>icp-1</t>
  </si>
  <si>
    <t>Incenp-like protein ICP-1</t>
  </si>
  <si>
    <t>&gt;tr|G5EE53|G5EE53_CAEEL RNA-directed RNA polymerase OS=Caenorhabditis elegans OX=6239 GN=rrf-3 PE=1 SV=1</t>
  </si>
  <si>
    <t>G5EE53</t>
  </si>
  <si>
    <t>rrf-3</t>
  </si>
  <si>
    <t>&gt;sp|G5EE56|SRC1_CAEEL Tyrosine protein-kinase src-1 OS=Caenorhabditis elegans OX=6239 GN=src-1 PE=1 SV=1</t>
  </si>
  <si>
    <t>G5EE56</t>
  </si>
  <si>
    <t>src-1</t>
  </si>
  <si>
    <t>Tyrosine protein-kinase src-1</t>
  </si>
  <si>
    <t>&gt;tr|G5EE62|G5EE62_CAEEL BEN domain-containing protein OS=Caenorhabditis elegans OX=6239 GN=CELE_F12F6.1 PE=1 SV=1</t>
  </si>
  <si>
    <t>G5EE62</t>
  </si>
  <si>
    <t>BEN domain-containing protein</t>
  </si>
  <si>
    <t>&gt;tr|G5EE66|G5EE66_CAEEL Conserved oligomeric Golgi complex subunit 1 OS=Caenorhabditis elegans OX=6239 GN=cogc-1 PE=1 SV=1</t>
  </si>
  <si>
    <t>G5EE66</t>
  </si>
  <si>
    <t>cogc-1</t>
  </si>
  <si>
    <t>Conserved oligomeric Golgi complex subunit 1</t>
  </si>
  <si>
    <t>&gt;tr|G5EE70|G5EE70_CAEEL EOR-2 OS=Caenorhabditis elegans OX=6239 GN=eor-2 PE=1 SV=1</t>
  </si>
  <si>
    <t>G5EE70</t>
  </si>
  <si>
    <t>eor-2</t>
  </si>
  <si>
    <t>EOR-2</t>
  </si>
  <si>
    <t>&gt;sp|G5EE72|MRP5_CAEEL Multidrug resistance-associated protein 5 OS=Caenorhabditis elegans OX=6239 GN=mrp-5 PE=2 SV=1</t>
  </si>
  <si>
    <t>G5EE72</t>
  </si>
  <si>
    <t>mrp-5</t>
  </si>
  <si>
    <t>Multidrug resistance-associated protein 5</t>
  </si>
  <si>
    <t>&gt;tr|G5EE74|G5EE74_CAEEL Nuclear migration protein nudC OS=Caenorhabditis elegans OX=6239 GN=nud-1 PE=1 SV=1</t>
  </si>
  <si>
    <t>G5EE74</t>
  </si>
  <si>
    <t>nud-1</t>
  </si>
  <si>
    <t>Nuclear migration protein nudC</t>
  </si>
  <si>
    <t>&gt;tr|G5EE80|G5EE80_CAEEL Signal recognition particle 54 kDa protein OS=Caenorhabditis elegans OX=6239 GN=CELE_F21D5.7 PE=1 SV=1</t>
  </si>
  <si>
    <t>G5EE80</t>
  </si>
  <si>
    <t>Signal recognition particle 54 kDa protein</t>
  </si>
  <si>
    <t>&gt;sp|G5EE96|DIC_CAEEL Mitochondrial dicarboxylate carrier OS=Caenorhabditis elegans OX=6239 GN=slc-25a10 PE=2 SV=1</t>
  </si>
  <si>
    <t>G5EE96</t>
  </si>
  <si>
    <t>slc-25a10</t>
  </si>
  <si>
    <t>Mitochondrial dicarboxylate carrier</t>
  </si>
  <si>
    <t>&gt;tr|G5EE99|G5EE99_CAEEL PQ-loop repeat-containing protein 1 OS=Caenorhabditis elegans OX=6239 GN=CELE_T19A6.1 PE=1 SV=1</t>
  </si>
  <si>
    <t>G5EE99</t>
  </si>
  <si>
    <t>PQ-loop repeat-containing protein 1</t>
  </si>
  <si>
    <t>&gt;tr|G5EEB6|G5EEB6_CAEEL COLlagen structural OS=Caenorhabditis elegans OX=6239 GN=dpy-14 PE=1 SV=1;&gt;tr|Q966K5|Q966K5_CAEEL Nematode cuticle collagen N-terminal domain-containing protein OS=Caenorhabditis elegans OX=6239 GN=col-165 PE=1 SV=1</t>
  </si>
  <si>
    <t>G5EEB6;Q966K5</t>
  </si>
  <si>
    <t>dpy-14;col-165</t>
  </si>
  <si>
    <t>COLlagen structural;Nematode cuticle collagen N-terminal domain-containing protein</t>
  </si>
  <si>
    <t>G5EEB6</t>
  </si>
  <si>
    <t>&gt;tr|G5EED5|G5EED5_CAEEL Secretory carrier-associated membrane protein OS=Caenorhabditis elegans OX=6239 GN=scm-1 PE=1 SV=1</t>
  </si>
  <si>
    <t>G5EED5</t>
  </si>
  <si>
    <t>scm-1</t>
  </si>
  <si>
    <t>Secretory carrier-associated membrane protein</t>
  </si>
  <si>
    <t>&gt;sp|G5EEE5|ELO1_CAEEL Long chain fatty acid elongase 1 OS=Caenorhabditis elegans OX=6239 GN=elo-1 PE=1 SV=1</t>
  </si>
  <si>
    <t>G5EEE5</t>
  </si>
  <si>
    <t>elo-1</t>
  </si>
  <si>
    <t>Long chain fatty acid elongase 1</t>
  </si>
  <si>
    <t>&gt;tr|G5EEG6|G5EEG6_CAEEL Carrier protein (C2) OS=Caenorhabditis elegans OX=6239 GN=CELE_T09F3.2 PE=1 SV=1</t>
  </si>
  <si>
    <t>G5EEG6</t>
  </si>
  <si>
    <t>Carrier protein (C2)</t>
  </si>
  <si>
    <t>&gt;sp|G5EEG7|SMU1_CAEEL Smu-1 suppressor of mec-8 and unc-52 protein OS=Caenorhabditis elegans OX=6239 GN=smu-1 PE=1 SV=1</t>
  </si>
  <si>
    <t>G5EEG7</t>
  </si>
  <si>
    <t>smu-1</t>
  </si>
  <si>
    <t>Smu-1 suppressor of mec-8 and unc-52 protein</t>
  </si>
  <si>
    <t>&gt;tr|G5EEG8|G5EEG8_CAEEL Moesin/ezrin/radixin homolog 1 OS=Caenorhabditis elegans OX=6239 GN=frm-1 PE=1 SV=1</t>
  </si>
  <si>
    <t>G5EEG8</t>
  </si>
  <si>
    <t>frm-1</t>
  </si>
  <si>
    <t>&gt;tr|G5EEH0|G5EEH0_CAEEL Piwi domain-containing protein OS=Caenorhabditis elegans OX=6239 GN=rde-1 PE=1 SV=1</t>
  </si>
  <si>
    <t>G5EEH0</t>
  </si>
  <si>
    <t>rde-1</t>
  </si>
  <si>
    <t>&gt;tr|G5EEH6|G5EEH6_CAEEL Isovaleryl-CoA dehydrogenase, mitochondrial OS=Caenorhabditis elegans OX=6239 GN=ivd-1 PE=1 SV=1</t>
  </si>
  <si>
    <t>G5EEH6</t>
  </si>
  <si>
    <t>ivd-1</t>
  </si>
  <si>
    <t>Isovaleryl-CoA dehydrogenase, mitochondrial</t>
  </si>
  <si>
    <t>&gt;sp|G5EEH9|NUP98_CAEEL Nuclear pore complex protein Nup98-Nup96 OS=Caenorhabditis elegans OX=6239 GN=npp-10 PE=1 SV=1</t>
  </si>
  <si>
    <t>G5EEH9</t>
  </si>
  <si>
    <t>npp-10</t>
  </si>
  <si>
    <t>Nuclear pore complex protein Nup98-Nup96</t>
  </si>
  <si>
    <t>&gt;sp|G5EEI4|ASP1_CAEEL Aspartic protease 1 OS=Caenorhabditis elegans OX=6239 GN=asp-1 PE=1 SV=1</t>
  </si>
  <si>
    <t>G5EEI4</t>
  </si>
  <si>
    <t>asp-1</t>
  </si>
  <si>
    <t>Aspartic protease 1</t>
  </si>
  <si>
    <t>&gt;sp|G5EEI8|CHRD1_CAEEL Cysteine and histidine-rich domain-containing protein 1 OS=Caenorhabditis elegans OX=6239 GN=chp-1 PE=2 SV=1</t>
  </si>
  <si>
    <t>G5EEI8</t>
  </si>
  <si>
    <t>chp-1</t>
  </si>
  <si>
    <t>Cysteine and histidine-rich domain-containing protein 1</t>
  </si>
  <si>
    <t>&gt;sp|G5EEK3|NOCA1_CAEEL Non-centrosomal microtubule array protein 1 OS=Caenorhabditis elegans OX=6239 GN=noca-1 PE=2 SV=1</t>
  </si>
  <si>
    <t>G5EEK3</t>
  </si>
  <si>
    <t>noca-1</t>
  </si>
  <si>
    <t>Non-centrosomal microtubule array protein 1</t>
  </si>
  <si>
    <t>&gt;tr|G5EEK5|G5EEK5_CAEEL Very Early Transcript OS=Caenorhabditis elegans OX=6239 GN=vet-6 PE=1 SV=1</t>
  </si>
  <si>
    <t>G5EEK5</t>
  </si>
  <si>
    <t>vet-6</t>
  </si>
  <si>
    <t>Very Early Transcript</t>
  </si>
  <si>
    <t>&gt;tr|G5EEK8|G5EEK8_CAEEL Calcium-transporting ATPase OS=Caenorhabditis elegans OX=6239 GN=sca-1 PE=1 SV=1</t>
  </si>
  <si>
    <t>G5EEK8</t>
  </si>
  <si>
    <t>sca-1</t>
  </si>
  <si>
    <t>&gt;sp|G5EEK9|VPP2_CAEEL V-type proton ATPase 116 kDa subunit a 2 OS=Caenorhabditis elegans OX=6239 GN=vha-5 PE=1 SV=1</t>
  </si>
  <si>
    <t>G5EEK9</t>
  </si>
  <si>
    <t>vha-5</t>
  </si>
  <si>
    <t>V-type proton ATPase 116 kDa subunit a 2</t>
  </si>
  <si>
    <t>&gt;sp|G5EEL0|LIDB1_CAEEL LIM domain-binding protein 1 OS=Caenorhabditis elegans OX=6239 GN=ldb-1 PE=1 SV=1</t>
  </si>
  <si>
    <t>G5EEL0</t>
  </si>
  <si>
    <t>ldb-1</t>
  </si>
  <si>
    <t>LIM domain-binding protein 1</t>
  </si>
  <si>
    <t>&gt;tr|G5EEL2|G5EEL2_CAEEL WD_REPEATS_REGION domain-containing protein OS=Caenorhabditis elegans OX=6239 GN=plrg-1 PE=1 SV=1</t>
  </si>
  <si>
    <t>G5EEL2</t>
  </si>
  <si>
    <t>plrg-1</t>
  </si>
  <si>
    <t>&gt;tr|G5EEL3|G5EEL3_CAEEL Nuclear Hormone Receptor family OS=Caenorhabditis elegans OX=6239 GN=nhr-70 PE=1 SV=1</t>
  </si>
  <si>
    <t>G5EEL3</t>
  </si>
  <si>
    <t>nhr-70</t>
  </si>
  <si>
    <t>&gt;sp|G5EEM5|ZYG9_CAEEL Zygote defective protein 9 OS=Caenorhabditis elegans OX=6239 GN=zyg-9 PE=1 SV=1</t>
  </si>
  <si>
    <t>G5EEM5</t>
  </si>
  <si>
    <t>zyg-9</t>
  </si>
  <si>
    <t>Zygote defective protein 9</t>
  </si>
  <si>
    <t>&gt;sp|G5EEM6|TAB1_CAEEL TGF-beta-activated kinase 1 and MAP3K7-binding protein 1 OS=Caenorhabditis elegans OX=6239 GN=tap-1 PE=1 SV=1</t>
  </si>
  <si>
    <t>G5EEM6</t>
  </si>
  <si>
    <t>tap-1</t>
  </si>
  <si>
    <t>TGF-beta-activated kinase 1 and MAP3K7-binding protein 1</t>
  </si>
  <si>
    <t>&gt;sp|G5EEM9|PLA1_CAEEL Intracellular phospholipase A1 OS=Caenorhabditis elegans OX=6239 GN=ipla-1 PE=1 SV=1</t>
  </si>
  <si>
    <t>G5EEM9</t>
  </si>
  <si>
    <t>ipla-1</t>
  </si>
  <si>
    <t>Intracellular phospholipase A1</t>
  </si>
  <si>
    <t>&gt;tr|G5EEN3|G5EEN3_CAEEL CED-5 OS=Caenorhabditis elegans OX=6239 GN=ced-5 PE=1 SV=1</t>
  </si>
  <si>
    <t>G5EEN3</t>
  </si>
  <si>
    <t>ced-5</t>
  </si>
  <si>
    <t>CED-5</t>
  </si>
  <si>
    <t>&gt;sp|G5EEN4|GCK3_CAEEL Germinal center kinase 3 OS=Caenorhabditis elegans OX=6239 GN=gck-3 PE=1 SV=1</t>
  </si>
  <si>
    <t>G5EEN4</t>
  </si>
  <si>
    <t>gck-3</t>
  </si>
  <si>
    <t>Germinal center kinase 3</t>
  </si>
  <si>
    <t>&gt;tr|G5EEN6|G5EEN6_CAEEL DNA repair and recombination protein RAD54-like OS=Caenorhabditis elegans OX=6239 GN=rad-54.l PE=4 SV=1</t>
  </si>
  <si>
    <t>G5EEN6</t>
  </si>
  <si>
    <t>rad-54.l</t>
  </si>
  <si>
    <t>DNA repair and recombination protein RAD54-like</t>
  </si>
  <si>
    <t>&gt;tr|G5EEN7|G5EEN7_CAEEL Sjogren's syndrome/scleroderma autoantigen 1 (Autoantigen p27) OS=Caenorhabditis elegans OX=6239 GN=CELE_Y39A1A.3 PE=1 SV=1</t>
  </si>
  <si>
    <t>G5EEN7</t>
  </si>
  <si>
    <t>Sjogren's syndrome/scleroderma autoantigen 1 (Autoantigen p27)</t>
  </si>
  <si>
    <t>&gt;sp|G5EEP3|FACE2_CAEEL CAAX prenyl protease 2 homolog OS=Caenorhabditis elegans OX=6239 GN=fce-2 PE=2 SV=1</t>
  </si>
  <si>
    <t>G5EEP3</t>
  </si>
  <si>
    <t>fce-2</t>
  </si>
  <si>
    <t>CAAX prenyl protease 2 homolog</t>
  </si>
  <si>
    <t>&gt;tr|G5EEQ8|G5EEQ8_CAEEL Splicing factor 3B subunit 1 domain-containing protein OS=Caenorhabditis elegans OX=6239 GN=sftb-1 PE=1 SV=1</t>
  </si>
  <si>
    <t>G5EEQ8</t>
  </si>
  <si>
    <t>sftb-1</t>
  </si>
  <si>
    <t>Splicing factor 3B subunit 1 domain-containing protein</t>
  </si>
  <si>
    <t>&gt;tr|G5EES3|G5EES3_CAEEL Protein argonaute-2 OS=Caenorhabditis elegans OX=6239 GN=alg-1 PE=1 SV=1</t>
  </si>
  <si>
    <t>G5EES3</t>
  </si>
  <si>
    <t>alg-1</t>
  </si>
  <si>
    <t>Protein argonaute-2</t>
  </si>
  <si>
    <t>&gt;sp|G5EES6|UFD3_CAEEL Ubiquitin fusion degradation protein 3 homolog OS=Caenorhabditis elegans OX=6239 GN=ufd-3 PE=1 SV=1</t>
  </si>
  <si>
    <t>G5EES6</t>
  </si>
  <si>
    <t>ufd-3</t>
  </si>
  <si>
    <t>Ubiquitin fusion degradation protein 3 homolog</t>
  </si>
  <si>
    <t>&gt;tr|G5EES9|G5EES9_CAEEL Thioredoxin-like protein OS=Caenorhabditis elegans OX=6239 GN=txl-1 PE=1 SV=1</t>
  </si>
  <si>
    <t>G5EES9</t>
  </si>
  <si>
    <t>txl-1</t>
  </si>
  <si>
    <t>Thioredoxin-like protein</t>
  </si>
  <si>
    <t>&gt;tr|G5EET2|G5EET2_CAEEL dUTP diphosphatase OS=Caenorhabditis elegans OX=6239 GN=dut-1 PE=1 SV=1</t>
  </si>
  <si>
    <t>G5EET2</t>
  </si>
  <si>
    <t>dut-1</t>
  </si>
  <si>
    <t>dUTP diphosphatase</t>
  </si>
  <si>
    <t>&gt;tr|G5EET3|G5EET3_CAEEL CaDmium Responsive OS=Caenorhabditis elegans OX=6239 GN=cdr-6 PE=1 SV=1</t>
  </si>
  <si>
    <t>G5EET3</t>
  </si>
  <si>
    <t>cdr-6</t>
  </si>
  <si>
    <t>&gt;sp|G5EET6|EFA6_CAEEL Exchange factor for Arf-6 OS=Caenorhabditis elegans OX=6239 GN=efa-6 PE=1 SV=1</t>
  </si>
  <si>
    <t>G5EET6</t>
  </si>
  <si>
    <t>efa-6</t>
  </si>
  <si>
    <t>Exchange factor for Arf-6</t>
  </si>
  <si>
    <t>&gt;tr|G5EET8|G5EET8_CAEEL Up-regulated in Daf-2 domain-containing protein OS=Caenorhabditis elegans OX=6239 GN=pud-1.2 PE=1 SV=1</t>
  </si>
  <si>
    <t>G5EET8</t>
  </si>
  <si>
    <t>pud-1.2</t>
  </si>
  <si>
    <t>&gt;tr|G5EEU1|G5EEU1_CAEEL BET1 OS=Caenorhabditis elegans OX=6239 GN=nbet-1 PE=1 SV=1</t>
  </si>
  <si>
    <t>G5EEU1</t>
  </si>
  <si>
    <t>nbet-1</t>
  </si>
  <si>
    <t>BET1</t>
  </si>
  <si>
    <t>&gt;sp|G5EEU2|SET25_CAEEL Histone-lysine N-methyltransferase set-25 OS=Caenorhabditis elegans OX=6239 GN=set-25 PE=1 SV=1</t>
  </si>
  <si>
    <t>G5EEU2</t>
  </si>
  <si>
    <t>set-25</t>
  </si>
  <si>
    <t>Histone-lysine N-methyltransferase set-25</t>
  </si>
  <si>
    <t>&gt;sp|G5EEV2|TRR1_CAEEL Transcription-associated protein 1 OS=Caenorhabditis elegans OX=6239 GN=trr-1 PE=2 SV=1</t>
  </si>
  <si>
    <t>G5EEV2</t>
  </si>
  <si>
    <t>trr-1</t>
  </si>
  <si>
    <t>Transcription-associated protein 1</t>
  </si>
  <si>
    <t>&gt;tr|G5EEV5|G5EEV5_CAEEL 5C820 OS=Caenorhabditis elegans OX=6239 GN=pud-3 PE=1 SV=1</t>
  </si>
  <si>
    <t>G5EEV5</t>
  </si>
  <si>
    <t>pud-3</t>
  </si>
  <si>
    <t>5C820</t>
  </si>
  <si>
    <t>&gt;tr|G5EEW4|G5EEW4_CAEEL Serine/threonine-protein kinase ATR OS=Caenorhabditis elegans OX=6239 GN=C27C12.3 PE=4 SV=1</t>
  </si>
  <si>
    <t>G5EEW4</t>
  </si>
  <si>
    <t>C27C12.3</t>
  </si>
  <si>
    <t>Serine/threonine-protein kinase ATR</t>
  </si>
  <si>
    <t>&gt;tr|G5EEW5|G5EEW5_CAEEL Transcription termination factor 2 OS=Caenorhabditis elegans OX=6239 GN=CELE_F54E12.2 PE=1 SV=1</t>
  </si>
  <si>
    <t>G5EEW5</t>
  </si>
  <si>
    <t>Transcription termination factor 2</t>
  </si>
  <si>
    <t>&gt;sp|G5EEW6|SIG7_CAEEL Peptidyl-prolyl cis-trans isomerase sig-7 OS=Caenorhabditis elegans OX=6239 GN=sig-7 PE=1 SV=1</t>
  </si>
  <si>
    <t>G5EEW6</t>
  </si>
  <si>
    <t>sig-7</t>
  </si>
  <si>
    <t>Peptidyl-prolyl cis-trans isomerase sig-7</t>
  </si>
  <si>
    <t>&gt;sp|G5EEW9|CNKR_CAEEL Connector enhancer of kinase suppressor of ras OS=Caenorhabditis elegans OX=6239 GN=cnk-1 PE=2 SV=1</t>
  </si>
  <si>
    <t>G5EEW9</t>
  </si>
  <si>
    <t>cnk-1</t>
  </si>
  <si>
    <t>Connector enhancer of kinase suppressor of ras</t>
  </si>
  <si>
    <t>&gt;tr|G5EEX7|G5EEX7_CAEEL Serine/arginine repetitive matrix protein 2-like OS=Caenorhabditis elegans OX=6239 GN=CELE_F49C12.15 PE=1 SV=1</t>
  </si>
  <si>
    <t>G5EEX7</t>
  </si>
  <si>
    <t>Serine/arginine repetitive matrix protein 2-like</t>
  </si>
  <si>
    <t>&gt;tr|G5EEY5|G5EEY5_CAEEL Bromo domain-containing protein OS=Caenorhabditis elegans OX=6239 GN=pbrm-1 PE=1 SV=1</t>
  </si>
  <si>
    <t>G5EEY5</t>
  </si>
  <si>
    <t>pbrm-1</t>
  </si>
  <si>
    <t>&gt;tr|G5EEZ0|G5EEZ0_CAEEL DUF155 domain-containing protein OS=Caenorhabditis elegans OX=6239 GN=CELE_ZK1010.2 PE=1 SV=1</t>
  </si>
  <si>
    <t>G5EEZ0</t>
  </si>
  <si>
    <t>DUF155 domain-containing protein</t>
  </si>
  <si>
    <t>&gt;tr|G5EEZ4|G5EEZ4_CAEEL WD repeat-containing protein 55 OS=Caenorhabditis elegans OX=6239 GN=3E324 PE=1 SV=1</t>
  </si>
  <si>
    <t>G5EEZ4</t>
  </si>
  <si>
    <t>3E324</t>
  </si>
  <si>
    <t>WD repeat-containing protein 55</t>
  </si>
  <si>
    <t>&gt;tr|G5EF02|G5EF02_CAEEL PIP-1 OS=Caenorhabditis elegans OX=6239 GN=spn-4 PE=1 SV=1</t>
  </si>
  <si>
    <t>G5EF02</t>
  </si>
  <si>
    <t>spn-4</t>
  </si>
  <si>
    <t>PIP-1</t>
  </si>
  <si>
    <t>&gt;sp|G5EF15|POS1_CAEEL RNA-binding protein pos-1 OS=Caenorhabditis elegans OX=6239 GN=pos-1 PE=1 SV=1</t>
  </si>
  <si>
    <t>G5EF15</t>
  </si>
  <si>
    <t>pos-1</t>
  </si>
  <si>
    <t>RNA-binding protein pos-1</t>
  </si>
  <si>
    <t>&gt;tr|G5EF37|G5EF37_CAEEL EF-hand domain-containing protein OS=Caenorhabditis elegans OX=6239 GN=pat-10 PE=1 SV=1</t>
  </si>
  <si>
    <t>G5EF37</t>
  </si>
  <si>
    <t>pat-10</t>
  </si>
  <si>
    <t>&gt;tr|G5EF43|G5EF43_CAEEL Transporter OS=Caenorhabditis elegans OX=6239 GN=snf-11 PE=1 SV=1</t>
  </si>
  <si>
    <t>G5EF43</t>
  </si>
  <si>
    <t>snf-11</t>
  </si>
  <si>
    <t>Transporter</t>
  </si>
  <si>
    <t>&gt;sp|G5EF48|FLD1_CAEEL TLC domain-containing protein fld-1 OS=Caenorhabditis elegans OX=6239 GN=fld-1 PE=1 SV=1</t>
  </si>
  <si>
    <t>G5EF48</t>
  </si>
  <si>
    <t>fld-1</t>
  </si>
  <si>
    <t>TLC domain-containing protein fld-1</t>
  </si>
  <si>
    <t>&gt;sp|G5EF51|KY_CAEEL Lim and transglutaminase domain protein ltd-1 OS=Caenorhabditis elegans OX=6239 GN=ltd-1 PE=1 SV=1</t>
  </si>
  <si>
    <t>G5EF51</t>
  </si>
  <si>
    <t>ltd-1</t>
  </si>
  <si>
    <t>Lim and transglutaminase domain protein ltd-1</t>
  </si>
  <si>
    <t>&gt;sp|G5EF53|SWSN4_CAEEL SWI/SNF chromatin remodeling complex core catalytic subunit swsn-4 OS=Caenorhabditis elegans OX=6239 GN=swsn-4 PE=1 SV=1</t>
  </si>
  <si>
    <t>G5EF53</t>
  </si>
  <si>
    <t>swsn-4</t>
  </si>
  <si>
    <t>SWI/SNF chromatin remodeling complex core catalytic subunit swsn-4</t>
  </si>
  <si>
    <t>&gt;tr|G5EF58|G5EF58_CAEEL PNPLA domain-containing protein OS=Caenorhabditis elegans OX=6239 GN=ipla-7 PE=1 SV=1</t>
  </si>
  <si>
    <t>G5EF58</t>
  </si>
  <si>
    <t>ipla-7</t>
  </si>
  <si>
    <t>PNPLA domain-containing protein</t>
  </si>
  <si>
    <t>&gt;tr|G5EF59|G5EF59_CAEEL Ribonuclease P/MRP protein subunit POP5 OS=Caenorhabditis elegans OX=6239 GN=popl-5 PE=1 SV=1</t>
  </si>
  <si>
    <t>G5EF59</t>
  </si>
  <si>
    <t>popl-5</t>
  </si>
  <si>
    <t>Ribonuclease P/MRP protein subunit POP5</t>
  </si>
  <si>
    <t>&gt;sp|G5EF60|STIM1_CAEEL Stromal interaction molecule 1 OS=Caenorhabditis elegans OX=6239 GN=stim-1 PE=1 SV=1</t>
  </si>
  <si>
    <t>G5EF60</t>
  </si>
  <si>
    <t>stim-1</t>
  </si>
  <si>
    <t>Stromal interaction molecule 1</t>
  </si>
  <si>
    <t>&gt;tr|G5EF61|G5EF61_CAEEL Nose resistant-to-fluoxetine protein N-terminal domain-containing protein OS=Caenorhabditis elegans OX=6239 GN=ndg-4 PE=1 SV=1</t>
  </si>
  <si>
    <t>G5EF61</t>
  </si>
  <si>
    <t>ndg-4</t>
  </si>
  <si>
    <t>Nose resistant-to-fluoxetine protein N-terminal domain-containing protein</t>
  </si>
  <si>
    <t>&gt;tr|G5EF62|G5EF62_CAEEL Protein vav OS=Caenorhabditis elegans OX=6239 GN=uig-1 PE=1 SV=1</t>
  </si>
  <si>
    <t>G5EF62</t>
  </si>
  <si>
    <t>uig-1</t>
  </si>
  <si>
    <t>Protein vav</t>
  </si>
  <si>
    <t>&gt;sp|G5EF68|TAF5_CAEEL Transcription initiation factor TFIID subunit 5 OS=Caenorhabditis elegans OX=6239 GN=taf-5 PE=1 SV=1</t>
  </si>
  <si>
    <t>G5EF68</t>
  </si>
  <si>
    <t>taf-5</t>
  </si>
  <si>
    <t>Transcription initiation factor TFIID subunit 5</t>
  </si>
  <si>
    <t>&gt;tr|G5EF77|G5EF77_CAEEL serine--tRNA ligase OS=Caenorhabditis elegans OX=6239 GN=sars-2 PE=1 SV=1</t>
  </si>
  <si>
    <t>G5EF77</t>
  </si>
  <si>
    <t>sars-2</t>
  </si>
  <si>
    <t>serine--tRNA ligase</t>
  </si>
  <si>
    <t>&gt;sp|G5EF84|GIP2_CAEEL Gamma-tubulin interacting protein 2 OS=Caenorhabditis elegans OX=6239 GN=gip-2 PE=4 SV=1</t>
  </si>
  <si>
    <t>G5EF84</t>
  </si>
  <si>
    <t>gip-2</t>
  </si>
  <si>
    <t>Gamma-tubulin interacting protein 2</t>
  </si>
  <si>
    <t>&gt;tr|G5EFC1|G5EFC1_CAEEL Rab8 OS=Caenorhabditis elegans OX=6239 GN=rab-8 PE=1 SV=1</t>
  </si>
  <si>
    <t>G5EFC1</t>
  </si>
  <si>
    <t>rab-8</t>
  </si>
  <si>
    <t>Rab8</t>
  </si>
  <si>
    <t>&gt;tr|G5EFC4|G5EFC4_CAEEL Cell division cycle 5-like protein OS=Caenorhabditis elegans OX=6239 GN=cdc-5l PE=1 SV=1</t>
  </si>
  <si>
    <t>G5EFC4</t>
  </si>
  <si>
    <t>cdc-5l</t>
  </si>
  <si>
    <t>Cell division cycle 5-like protein</t>
  </si>
  <si>
    <t>&gt;tr|G5EFC8|G5EFC8_CAEEL Small ribosomal subunit protein mS29 OS=Caenorhabditis elegans OX=6239 GN=dap-3 PE=1 SV=1</t>
  </si>
  <si>
    <t>G5EFC8</t>
  </si>
  <si>
    <t>dap-3</t>
  </si>
  <si>
    <t>Small ribosomal subunit protein mS29</t>
  </si>
  <si>
    <t>&gt;sp|G5EFD4|HMT1_CAEEL Heavy metal tolerance factor 1 OS=Caenorhabditis elegans OX=6239 GN=hmt-1 PE=2 SV=1</t>
  </si>
  <si>
    <t>G5EFD4</t>
  </si>
  <si>
    <t>hmt-1</t>
  </si>
  <si>
    <t>Heavy metal tolerance factor 1</t>
  </si>
  <si>
    <t>&gt;sp|G5EFD9|ADA10_CAEEL Disintegrin and metalloproteinase domain-containing protein 10 homolog OS=Caenorhabditis elegans OX=6239 GN=sup-17 PE=1 SV=1</t>
  </si>
  <si>
    <t>G5EFD9</t>
  </si>
  <si>
    <t>sup-17</t>
  </si>
  <si>
    <t>Disintegrin and metalloproteinase domain-containing protein 10 homolog</t>
  </si>
  <si>
    <t>&gt;tr|G5EFE3|G5EFE3_CAEEL NLPC_P60 domain-containing protein OS=Caenorhabditis elegans OX=6239 GN=CELE_H03A11.2 PE=1 SV=2</t>
  </si>
  <si>
    <t>G5EFE3</t>
  </si>
  <si>
    <t>NLPC_P60 domain-containing protein</t>
  </si>
  <si>
    <t>&gt;sp|G5EFF1|ASD2_CAEEL RNA-binding protein asd-2 OS=Caenorhabditis elegans OX=6239 GN=asd-2 PE=1 SV=1</t>
  </si>
  <si>
    <t>G5EFF1</t>
  </si>
  <si>
    <t>asd-2</t>
  </si>
  <si>
    <t>RNA-binding protein asd-2</t>
  </si>
  <si>
    <t>&gt;tr|G5EFF9|G5EFF9_CAEEL Translation initiation factor eIF2B subunit delta OS=Caenorhabditis elegans OX=6239 GN=eif-2bdelta PE=1 SV=1</t>
  </si>
  <si>
    <t>G5EFF9</t>
  </si>
  <si>
    <t>eif-2bdelta</t>
  </si>
  <si>
    <t>Translation initiation factor eIF2B subunit delta</t>
  </si>
  <si>
    <t>&gt;tr|G5EFG0|G5EFG0_CAEEL S5 DRBM domain-containing protein OS=Caenorhabditis elegans OX=6239 GN=sel-1 PE=1 SV=1</t>
  </si>
  <si>
    <t>G5EFG0</t>
  </si>
  <si>
    <t>sel-1</t>
  </si>
  <si>
    <t>S5 DRBM domain-containing protein</t>
  </si>
  <si>
    <t>&gt;tr|G5EFG4|G5EFG4_CAEEL ABC transporter domain-containing protein OS=Caenorhabditis elegans OX=6239 GN=abcf-2 PE=1 SV=1</t>
  </si>
  <si>
    <t>G5EFG4</t>
  </si>
  <si>
    <t>abcf-2</t>
  </si>
  <si>
    <t>ABC transporter domain-containing protein</t>
  </si>
  <si>
    <t>&gt;tr|G5EFH0|G5EFH0_CAEEL Ribosome biogenesis protein NSA2 homolog OS=Caenorhabditis elegans OX=6239 GN=CELE_W09C5.1 PE=1 SV=1</t>
  </si>
  <si>
    <t>G5EFH0</t>
  </si>
  <si>
    <t>Ribosome biogenesis protein NSA2 homolog</t>
  </si>
  <si>
    <t>&gt;tr|G5EFH7|G5EFH7_CAEEL SEC7 domain-containing protein OS=Caenorhabditis elegans OX=6239 GN=agef-1 PE=1 SV=1</t>
  </si>
  <si>
    <t>G5EFH7</t>
  </si>
  <si>
    <t>agef-1</t>
  </si>
  <si>
    <t>SEC7 domain-containing protein</t>
  </si>
  <si>
    <t>&gt;sp|G5EFI7|MYRF1_CAEEL Myelin regulatory factor homolog 1 OS=Caenorhabditis elegans OX=6239 GN=myrf-1 PE=1 SV=1</t>
  </si>
  <si>
    <t>G5EFI7</t>
  </si>
  <si>
    <t>myrf-1</t>
  </si>
  <si>
    <t>Myelin regulatory factor homolog 1</t>
  </si>
  <si>
    <t>&gt;sp|G5EFI8|PLCE1_CAEEL 1-phosphatidylinositol 4,5-bisphosphate phosphodiesterase epsilon-1 OS=Caenorhabditis elegans OX=6239 GN=plc-1 PE=1 SV=1</t>
  </si>
  <si>
    <t>G5EFI8</t>
  </si>
  <si>
    <t>plc-1</t>
  </si>
  <si>
    <t>1-phosphatidylinositol 4,5-bisphosphate phosphodiesterase epsilon-1</t>
  </si>
  <si>
    <t>&gt;sp|G5EFJ4|CAPG1_CAEEL Condensin complex subunit capg-1 OS=Caenorhabditis elegans OX=6239 GN=capg-1 PE=1 SV=1</t>
  </si>
  <si>
    <t>G5EFJ4</t>
  </si>
  <si>
    <t>capg-1</t>
  </si>
  <si>
    <t>Condensin complex subunit capg-1</t>
  </si>
  <si>
    <t>&gt;tr|G5EFK4|G5EFK4_CAEEL ADP-ribosylation factor OS=Caenorhabditis elegans OX=6239 GN=arf-3 PE=1 SV=1</t>
  </si>
  <si>
    <t>G5EFK4</t>
  </si>
  <si>
    <t>arf-3</t>
  </si>
  <si>
    <t>ADP-ribosylation factor</t>
  </si>
  <si>
    <t>&gt;sp|G5EFL0|GLD4_CAEEL Poly(A) RNA polymerase gld-4 OS=Caenorhabditis elegans OX=6239 GN=gld-4 PE=1 SV=1</t>
  </si>
  <si>
    <t>G5EFL0</t>
  </si>
  <si>
    <t>gld-4</t>
  </si>
  <si>
    <t>Poly(A) RNA polymerase gld-4</t>
  </si>
  <si>
    <t>&gt;tr|G5EFL5|G5EFL5_CAEEL PDZ and LIM domain protein Zasp OS=Caenorhabditis elegans OX=6239 GN=alp-1 PE=1 SV=1</t>
  </si>
  <si>
    <t>G5EFL5</t>
  </si>
  <si>
    <t>alp-1</t>
  </si>
  <si>
    <t>PDZ and LIM domain protein Zasp</t>
  </si>
  <si>
    <t>&gt;tr|G5EFM7|G5EFM7_CAEEL Serum response factor-binding protein 1 OS=Caenorhabditis elegans OX=6239 GN=CELE_F18C12.3 PE=1 SV=1</t>
  </si>
  <si>
    <t>G5EFM7</t>
  </si>
  <si>
    <t>Serum response factor-binding protein 1</t>
  </si>
  <si>
    <t>&gt;sp|G5EFM9|NEKL3_CAEEL Serine/threonine-protein kinase nekl-3 OS=Caenorhabditis elegans OX=6239 GN=nekl-3 PE=1 SV=1</t>
  </si>
  <si>
    <t>G5EFM9</t>
  </si>
  <si>
    <t>nekl-3</t>
  </si>
  <si>
    <t>Serine/threonine-protein kinase nekl-3</t>
  </si>
  <si>
    <t>&gt;tr|G5EFN2|G5EFN2_CAEEL RICTOR_N domain-containing protein OS=Caenorhabditis elegans OX=6239 GN=rict-1 PE=1 SV=1</t>
  </si>
  <si>
    <t>G5EFN2</t>
  </si>
  <si>
    <t>rict-1</t>
  </si>
  <si>
    <t>RICTOR_N domain-containing protein</t>
  </si>
  <si>
    <t>&gt;tr|G5EFP3|G5EFP3_CAEEL Multidrug resistance-associated protein 1 OS=Caenorhabditis elegans OX=6239 GN=mrp-4 PE=1 SV=1</t>
  </si>
  <si>
    <t>G5EFP3</t>
  </si>
  <si>
    <t>mrp-4</t>
  </si>
  <si>
    <t>Multidrug resistance-associated protein 1</t>
  </si>
  <si>
    <t>&gt;tr|G5EFR0|G5EFR0_CAEEL ShKT domain-containing protein OS=Caenorhabditis elegans OX=6239 GN=tag-297 PE=1 SV=1</t>
  </si>
  <si>
    <t>G5EFR0</t>
  </si>
  <si>
    <t>tag-297</t>
  </si>
  <si>
    <t>&gt;tr|G5EFR3|G5EFR3_CAEEL PAP-associated domain-containing protein OS=Caenorhabditis elegans OX=6239 GN=gldr-2 PE=1 SV=1</t>
  </si>
  <si>
    <t>G5EFR3</t>
  </si>
  <si>
    <t>gldr-2</t>
  </si>
  <si>
    <t>PAP-associated domain-containing protein</t>
  </si>
  <si>
    <t>&gt;sp|G5EFR6|MCA1_CAEEL Plasma membrane calcium-transporting ATPase mca-1 OS=Caenorhabditis elegans OX=6239 GN=mca-1 PE=1 SV=1</t>
  </si>
  <si>
    <t>G5EFR6</t>
  </si>
  <si>
    <t>mca-1</t>
  </si>
  <si>
    <t>Plasma membrane calcium-transporting ATPase mca-1</t>
  </si>
  <si>
    <t>&gt;sp|G5EFS2|MSI1H_CAEEL RNA-binding protein Musashi homolog 1 OS=Caenorhabditis elegans OX=6239 GN=msi-1 PE=1 SV=1</t>
  </si>
  <si>
    <t>G5EFS2</t>
  </si>
  <si>
    <t>msi-1</t>
  </si>
  <si>
    <t>RNA-binding protein Musashi homolog 1</t>
  </si>
  <si>
    <t>&gt;tr|G5EFS5|G5EFS5_CAEEL B30.2/SPRY domain-containing protein OS=Caenorhabditis elegans OX=6239 GN=CELE_F45D11.15 PE=4 SV=1;&gt;tr|Q9N5T2|Q9N5T2_CAEEL AAA domain-containing protein OS=Caenorhabditis elegans OX=6239 GN=CELE_F45D11.14 PE=1 SV=1</t>
  </si>
  <si>
    <t>G5EFS5;Q9N5T2</t>
  </si>
  <si>
    <t>B30.2/SPRY domain-containing protein;AAA domain-containing protein</t>
  </si>
  <si>
    <t>G5EFS5</t>
  </si>
  <si>
    <t>&gt;tr|G5EFT0|G5EFT0_CAEEL Protein PFC0760c-like OS=Caenorhabditis elegans OX=6239 GN=CELE_T12D8.9 PE=1 SV=1</t>
  </si>
  <si>
    <t>G5EFT0</t>
  </si>
  <si>
    <t>Protein PFC0760c-like</t>
  </si>
  <si>
    <t>&gt;sp|G5EFT4|AMP1_CAEEL Aminopeptidase ltah-1.1 OS=Caenorhabditis elegans OX=6239 GN=ltah-1.1 PE=1 SV=1</t>
  </si>
  <si>
    <t>G5EFT4</t>
  </si>
  <si>
    <t>ltah-1.1</t>
  </si>
  <si>
    <t>Aminopeptidase ltah-1.1</t>
  </si>
  <si>
    <t>&gt;sp|G5EFT5|HSF1_CAEEL Heat shock transcription factor hsf-1 OS=Caenorhabditis elegans OX=6239 GN=hsf-1 PE=1 SV=1</t>
  </si>
  <si>
    <t>G5EFT5</t>
  </si>
  <si>
    <t>hsf-1</t>
  </si>
  <si>
    <t>Heat shock transcription factor hsf-1</t>
  </si>
  <si>
    <t>&gt;tr|G5EFT7|G5EFT7_CAEEL Protein-cysteine N-palmitoyltransferase HHAT OS=Caenorhabditis elegans OX=6239 GN=hhat-1 PE=1 SV=1</t>
  </si>
  <si>
    <t>G5EFT7</t>
  </si>
  <si>
    <t>hhat-1</t>
  </si>
  <si>
    <t>Protein-cysteine N-palmitoyltransferase HHAT</t>
  </si>
  <si>
    <t>&gt;sp|G5EFU0|PK2_CAEEL Serine/threonine-protein kinase pak-2 OS=Caenorhabditis elegans OX=6239 GN=pak-2 PE=2 SV=1</t>
  </si>
  <si>
    <t>G5EFU0</t>
  </si>
  <si>
    <t>pak-2</t>
  </si>
  <si>
    <t>Serine/threonine-protein kinase pak-2</t>
  </si>
  <si>
    <t>&gt;tr|G5EFU2|G5EFU2_CAEEL ADP/ATP translocase OS=Caenorhabditis elegans OX=6239 GN=ant-1.4 PE=2 SV=1;&gt;tr|G5EFW8|G5EFW8_CAEEL ADP/ATP translocase OS=Caenorhabditis elegans OX=6239 GN=ant-1.3 PE=1 SV=1</t>
  </si>
  <si>
    <t>G5EFU2;G5EFW8</t>
  </si>
  <si>
    <t>ant-1.4;ant-1.3</t>
  </si>
  <si>
    <t>ADP/ATP translocase</t>
  </si>
  <si>
    <t>G5EFU2</t>
  </si>
  <si>
    <t>&gt;tr|G5EFV2|G5EFV2_CAEEL Protein kinase domain-containing protein OS=Caenorhabditis elegans OX=6239 GN=CELE_ZK524.4 PE=1 SV=1</t>
  </si>
  <si>
    <t>G5EFV2</t>
  </si>
  <si>
    <t>&gt;sp|G5EFV3|RSA2_CAEEL Regulator of spindle assembly protein 2 OS=Caenorhabditis elegans OX=6239 GN=rsa-2 PE=1 SV=1</t>
  </si>
  <si>
    <t>G5EFV3</t>
  </si>
  <si>
    <t>rsa-2</t>
  </si>
  <si>
    <t>Regulator of spindle assembly protein 2</t>
  </si>
  <si>
    <t>&gt;tr|G5EFV6|G5EFV6_CAEEL Sodium/potassium-transporting ATPase subunit alpha OS=Caenorhabditis elegans OX=6239 GN=catp-4 PE=1 SV=2</t>
  </si>
  <si>
    <t>G5EFV6</t>
  </si>
  <si>
    <t>catp-4</t>
  </si>
  <si>
    <t>Sodium/potassium-transporting ATPase subunit alpha</t>
  </si>
  <si>
    <t>&gt;sp|G5EFV8|VPS52_CAEEL Vacuolar protein sorting-associated protein 52 homolog OS=Caenorhabditis elegans OX=6239 GN=vps-52 PE=1 SV=2</t>
  </si>
  <si>
    <t>G5EFV8</t>
  </si>
  <si>
    <t>vps-52</t>
  </si>
  <si>
    <t>Vacuolar protein sorting-associated protein 52 homolog</t>
  </si>
  <si>
    <t>&gt;tr|G5EFW3|G5EFW3_CAEEL Spectrin beta chain OS=Caenorhabditis elegans OX=6239 GN=sma-1 PE=1 SV=1</t>
  </si>
  <si>
    <t>G5EFW3</t>
  </si>
  <si>
    <t>sma-1</t>
  </si>
  <si>
    <t>&gt;tr|G5EFX8|G5EFX8_CAEEL Not3 domain-containing protein OS=Caenorhabditis elegans OX=6239 GN=ntl-3 PE=1 SV=1</t>
  </si>
  <si>
    <t>G5EFX8</t>
  </si>
  <si>
    <t>ntl-3</t>
  </si>
  <si>
    <t>Not3 domain-containing protein</t>
  </si>
  <si>
    <t>&gt;tr|G5EFY1|G5EFY1_CAEEL DNA polymerase eta OS=Caenorhabditis elegans OX=6239 GN=polh-1 PE=2 SV=1</t>
  </si>
  <si>
    <t>G5EFY1</t>
  </si>
  <si>
    <t>polh-1</t>
  </si>
  <si>
    <t>DNA polymerase eta</t>
  </si>
  <si>
    <t>&gt;tr|G5EFY6|G5EFY6_CAEEL WD_REPEATS_REGION domain-containing protein OS=Caenorhabditis elegans OX=6239 GN=sec-31 PE=1 SV=1</t>
  </si>
  <si>
    <t>G5EFY6</t>
  </si>
  <si>
    <t>sec-31</t>
  </si>
  <si>
    <t>&gt;sp|G5EFZ1|GPMI_CAEEL 2,3-bisphosphoglycerate-independent phosphoglycerate mutase OS=Caenorhabditis elegans OX=6239 GN=ipgm-1 PE=1 SV=1</t>
  </si>
  <si>
    <t>G5EFZ1</t>
  </si>
  <si>
    <t>ipgm-1</t>
  </si>
  <si>
    <t>2,3-bisphosphoglycerate-independent phosphoglycerate mutase</t>
  </si>
  <si>
    <t>&gt;sp|G5EFZ3|ASH2_CAEEL Set1/Ash2 histone methyltransferase complex subunit ash-2 OS=Caenorhabditis elegans OX=6239 GN=ash-2 PE=1 SV=1</t>
  </si>
  <si>
    <t>G5EFZ3</t>
  </si>
  <si>
    <t>ash-2</t>
  </si>
  <si>
    <t>Set1/Ash2 histone methyltransferase complex subunit ash-2</t>
  </si>
  <si>
    <t>&gt;sp|G5EG11|FAT4_CAEEL Delta(5) fatty acid desaturase fat-4 OS=Caenorhabditis elegans OX=6239 GN=fat-4 PE=1 SV=1</t>
  </si>
  <si>
    <t>G5EG11</t>
  </si>
  <si>
    <t>fat-4</t>
  </si>
  <si>
    <t>Delta(5) fatty acid desaturase fat-4</t>
  </si>
  <si>
    <t>&gt;tr|G5EG13|G5EG13_CAEEL NAD(P)-binding protein OS=Caenorhabditis elegans OX=6239 GN=dhs-12 PE=1 SV=1</t>
  </si>
  <si>
    <t>G5EG13</t>
  </si>
  <si>
    <t>dhs-12</t>
  </si>
  <si>
    <t>NAD(P)-binding protein</t>
  </si>
  <si>
    <t>&gt;sp|G5EG14|CATIN_CAEEL Splicing factor Cactin OS=Caenorhabditis elegans OX=6239 GN=cacn-1 PE=1 SV=1</t>
  </si>
  <si>
    <t>G5EG14</t>
  </si>
  <si>
    <t>cacn-1</t>
  </si>
  <si>
    <t>Splicing factor Cactin</t>
  </si>
  <si>
    <t>&gt;sp|G5EG17|SMC6_CAEEL Structural maintenance of chromosomes protein 6 homolog smc-6 OS=Caenorhabditis elegans OX=6239 GN=smc-6 PE=1 SV=1</t>
  </si>
  <si>
    <t>G5EG17</t>
  </si>
  <si>
    <t>smc-6</t>
  </si>
  <si>
    <t>Structural maintenance of chromosomes protein 6 homolog smc-6</t>
  </si>
  <si>
    <t>&gt;tr|G5EG33|G5EG33_CAEEL Hemicentin OS=Caenorhabditis elegans OX=6239 GN=him-4 PE=1 SV=1</t>
  </si>
  <si>
    <t>G5EG33</t>
  </si>
  <si>
    <t>him-4</t>
  </si>
  <si>
    <t>Hemicentin</t>
  </si>
  <si>
    <t>&gt;sp|G5EG38|CDC16_CAEEL Cell division cycle protein 16 homolog OS=Caenorhabditis elegans OX=6239 GN=emb-27 PE=1 SV=1</t>
  </si>
  <si>
    <t>G5EG38</t>
  </si>
  <si>
    <t>emb-27</t>
  </si>
  <si>
    <t>Cell division cycle protein 16 homolog</t>
  </si>
  <si>
    <t>&gt;tr|G5EG50|G5EG50_CAEEL Phenazine biosynthesis-like domain-containing protein OS=Caenorhabditis elegans OX=6239 GN=CELE_T04A11.1 PE=1 SV=1</t>
  </si>
  <si>
    <t>G5EG50</t>
  </si>
  <si>
    <t>&gt;sp|G5EG51|NRDE2_CAEEL Nuclear exosome regulator NRDE2 OS=Caenorhabditis elegans OX=6239 GN=nrde-2 PE=1 SV=1</t>
  </si>
  <si>
    <t>G5EG51</t>
  </si>
  <si>
    <t>nrde-2</t>
  </si>
  <si>
    <t>Nuclear exosome regulator NRDE2</t>
  </si>
  <si>
    <t>&gt;tr|G5EG54|G5EG54_CAEEL Choline/carnitine acyltransferase domain-containing protein OS=Caenorhabditis elegans OX=6239 GN=cpt-5 PE=1 SV=1</t>
  </si>
  <si>
    <t>G5EG54</t>
  </si>
  <si>
    <t>cpt-5</t>
  </si>
  <si>
    <t>Choline/carnitine acyltransferase domain-containing protein</t>
  </si>
  <si>
    <t>&gt;tr|G5EG58|G5EG58_CAEEL p-GlycoProtein related OS=Caenorhabditis elegans OX=6239 GN=pgp-9 PE=1 SV=1</t>
  </si>
  <si>
    <t>G5EG58</t>
  </si>
  <si>
    <t>pgp-9</t>
  </si>
  <si>
    <t>&gt;tr|G5EG62|G5EG62_CAEEL UNC-45 OS=Caenorhabditis elegans OX=6239 GN=unc-45 PE=1 SV=1</t>
  </si>
  <si>
    <t>G5EG62</t>
  </si>
  <si>
    <t>unc-45</t>
  </si>
  <si>
    <t>UNC-45</t>
  </si>
  <si>
    <t>&gt;tr|G5EG65|G5EG65_CAEEL HID-1 OS=Caenorhabditis elegans OX=6239 GN=hid-1 PE=1 SV=1</t>
  </si>
  <si>
    <t>G5EG65</t>
  </si>
  <si>
    <t>hid-1</t>
  </si>
  <si>
    <t>HID-1</t>
  </si>
  <si>
    <t>&gt;tr|G5EG72|G5EG72_CAEEL AcetylCholine Receptor OS=Caenorhabditis elegans OX=6239 GN=acr-18 PE=2 SV=1</t>
  </si>
  <si>
    <t>G5EG72</t>
  </si>
  <si>
    <t>acr-18</t>
  </si>
  <si>
    <t>AcetylCholine Receptor</t>
  </si>
  <si>
    <t>&gt;tr|G5EG81|G5EG81_CAEEL UBA domain-containing protein OS=Caenorhabditis elegans OX=6239 GN=CELE_T24B8.7 PE=1 SV=2</t>
  </si>
  <si>
    <t>G5EG81</t>
  </si>
  <si>
    <t>UBA domain-containing protein</t>
  </si>
  <si>
    <t>&gt;sp|G5EG86|BRC2_CAEEL DNA repair protein brc-2 OS=Caenorhabditis elegans OX=6239 GN=brc-2 PE=1 SV=1</t>
  </si>
  <si>
    <t>G5EG86</t>
  </si>
  <si>
    <t>brc-2</t>
  </si>
  <si>
    <t>DNA repair protein brc-2</t>
  </si>
  <si>
    <t>&gt;tr|G5EG90|G5EG90_CAEEL F-box C protein OS=Caenorhabditis elegans OX=6239 GN=fbxc-2 PE=4 SV=1;&gt;tr|G5EGJ4|G5EGJ4_CAEEL F-box C protein OS=Caenorhabditis elegans OX=6239 GN=fbxc-5 PE=4 SV=1</t>
  </si>
  <si>
    <t>G5EG90;G5EGJ4</t>
  </si>
  <si>
    <t>fbxc-2;fbxc-5</t>
  </si>
  <si>
    <t>F-box C protein</t>
  </si>
  <si>
    <t>G5EG90</t>
  </si>
  <si>
    <t>&gt;tr|G5EGA4|G5EGA4_CAEEL Fibronectin type-III domain-containing protein OS=Caenorhabditis elegans OX=6239 GN=cle-1 PE=1 SV=1</t>
  </si>
  <si>
    <t>G5EGA4</t>
  </si>
  <si>
    <t>cle-1</t>
  </si>
  <si>
    <t>&gt;sp|G5EGA5|FAT2_CAEEL Delta(12) fatty acid desaturase fat-2 OS=Caenorhabditis elegans OX=6239 GN=fat-2 PE=1 SV=1</t>
  </si>
  <si>
    <t>G5EGA5</t>
  </si>
  <si>
    <t>fat-2</t>
  </si>
  <si>
    <t>Delta(12) fatty acid desaturase fat-2</t>
  </si>
  <si>
    <t>&gt;tr|G5EGA7|G5EGA7_CAEEL GTP binding protein OS=Caenorhabditis elegans OX=6239 GN=ras-2 PE=1 SV=1</t>
  </si>
  <si>
    <t>G5EGA7</t>
  </si>
  <si>
    <t>ras-2</t>
  </si>
  <si>
    <t>&gt;tr|G5EGB3|G5EGB3_CAEEL Ras-related GTP-binding protein C OS=Caenorhabditis elegans OX=6239 GN=ragc-1 PE=1 SV=1</t>
  </si>
  <si>
    <t>G5EGB3</t>
  </si>
  <si>
    <t>ragc-1</t>
  </si>
  <si>
    <t>Ras-related GTP-binding protein C</t>
  </si>
  <si>
    <t>&gt;tr|G5EGB9|G5EGB9_CAEEL Anion transporter ABTS-2 OS=Caenorhabditis elegans OX=6239 GN=abts-2 PE=1 SV=1</t>
  </si>
  <si>
    <t>G5EGB9</t>
  </si>
  <si>
    <t>abts-2</t>
  </si>
  <si>
    <t>Anion transporter ABTS-2</t>
  </si>
  <si>
    <t>&gt;tr|G5EGC1|G5EGC1_CAEEL SWEET sugar transporter OS=Caenorhabditis elegans OX=6239 GN=CELE_DY3.8 PE=1 SV=1</t>
  </si>
  <si>
    <t>G5EGC1</t>
  </si>
  <si>
    <t>SWEET sugar transporter</t>
  </si>
  <si>
    <t>&gt;tr|G5EGD6|G5EGD6_CAEEL phospholipase A2 OS=Caenorhabditis elegans OX=6239 GN=ipla-3 PE=1 SV=1</t>
  </si>
  <si>
    <t>G5EGD6</t>
  </si>
  <si>
    <t>ipla-3</t>
  </si>
  <si>
    <t>phospholipase A2</t>
  </si>
  <si>
    <t>&gt;tr|G5EGE8|G5EGE8_CAEEL S phase cyclin A-associated protein in the endoplasmic reticulum N-terminal domain-containing protein OS=Caenorhabditis elegans OX=6239 GN=scpr-1 PE=1 SV=2</t>
  </si>
  <si>
    <t>G5EGE8</t>
  </si>
  <si>
    <t>scpr-1</t>
  </si>
  <si>
    <t>S phase cyclin A-associated protein in the endoplasmic reticulum N-terminal domain-containing protein</t>
  </si>
  <si>
    <t>&gt;sp|G5EGE9|DPY26_CAEEL Condensin complex subunit dpy-26 OS=Caenorhabditis elegans OX=6239 GN=dpy-26 PE=1 SV=1</t>
  </si>
  <si>
    <t>G5EGE9</t>
  </si>
  <si>
    <t>dpy-26</t>
  </si>
  <si>
    <t>Condensin complex subunit dpy-26</t>
  </si>
  <si>
    <t>&gt;tr|G5EGF1|G5EGF1_CAEEL Transmembrane protein 184B OS=Caenorhabditis elegans OX=6239 GN=CELE_F40E10.6 PE=1 SV=1</t>
  </si>
  <si>
    <t>G5EGF1</t>
  </si>
  <si>
    <t>Transmembrane protein 184B</t>
  </si>
  <si>
    <t>&gt;tr|G5EGG0|G5EGG0_CAEEL Uso1_p115_head domain-containing protein OS=Caenorhabditis elegans OX=6239 GN=uso-1 PE=1 SV=1</t>
  </si>
  <si>
    <t>G5EGG0</t>
  </si>
  <si>
    <t>uso-1</t>
  </si>
  <si>
    <t>Uso1_p115_head domain-containing protein</t>
  </si>
  <si>
    <t>&gt;sp|G5EGH6|FAT7_CAEEL Delta(9)-fatty-acid desaturase fat-7 OS=Caenorhabditis elegans OX=6239 GN=fat-7 PE=1 SV=1</t>
  </si>
  <si>
    <t>G5EGH6</t>
  </si>
  <si>
    <t>fat-7</t>
  </si>
  <si>
    <t>Delta(9)-fatty-acid desaturase fat-7</t>
  </si>
  <si>
    <t>&gt;tr|G5EGI1|G5EGI1_CAEEL PHD-type domain-containing protein OS=Caenorhabditis elegans OX=6239 GN=set-16 PE=1 SV=1</t>
  </si>
  <si>
    <t>G5EGI1</t>
  </si>
  <si>
    <t>set-16</t>
  </si>
  <si>
    <t>&gt;tr|G5EGI8|G5EGI8_CAEEL Serine/threonine-protein phosphatase 4 regulatory subunit 4 OS=Caenorhabditis elegans OX=6239 GN=CELE_F46C5.6 PE=4 SV=1</t>
  </si>
  <si>
    <t>G5EGI8</t>
  </si>
  <si>
    <t>Serine/threonine-protein phosphatase 4 regulatory subunit 4</t>
  </si>
  <si>
    <t>&gt;sp|G5EGJ5|IDA1_CAEEL Receptor-type tyrosine-protein phosphatase-like ida-1 OS=Caenorhabditis elegans OX=6239 GN=ida-1 PE=1 SV=1</t>
  </si>
  <si>
    <t>G5EGJ5</t>
  </si>
  <si>
    <t>ida-1</t>
  </si>
  <si>
    <t>Receptor-type tyrosine-protein phosphatase-like ida-1</t>
  </si>
  <si>
    <t>&gt;tr|G5EGK1|G5EGK1_CAEEL FERM domain-containing protein OS=Caenorhabditis elegans OX=6239 GN=tln-1 PE=1 SV=1</t>
  </si>
  <si>
    <t>G5EGK1</t>
  </si>
  <si>
    <t>tln-1</t>
  </si>
  <si>
    <t>FERM domain-containing protein</t>
  </si>
  <si>
    <t>&gt;sp|G5EGK6|DIN1_CAEEL Daf-12-interacting protein 1 OS=Caenorhabditis elegans OX=6239 GN=din-1 PE=1 SV=1</t>
  </si>
  <si>
    <t>G5EGK6</t>
  </si>
  <si>
    <t>din-1</t>
  </si>
  <si>
    <t>Daf-12-interacting protein 1</t>
  </si>
  <si>
    <t>&gt;sp|G5EGK8|PP2A_CAEEL Serine/threonine-protein phosphatase 2A catalytic subunit OS=Caenorhabditis elegans OX=6239 GN=let-92 PE=1 SV=1</t>
  </si>
  <si>
    <t>G5EGK8</t>
  </si>
  <si>
    <t>let-92</t>
  </si>
  <si>
    <t>Serine/threonine-protein phosphatase 2A catalytic subunit</t>
  </si>
  <si>
    <t>&gt;tr|G5EGL2|G5EGL2_CAEEL GTP-binding protein 128up OS=Caenorhabditis elegans OX=6239 GN=CELE_T28D6.6 PE=1 SV=1</t>
  </si>
  <si>
    <t>G5EGL2</t>
  </si>
  <si>
    <t>GTP-binding protein 128up</t>
  </si>
  <si>
    <t>&gt;sp|G5EGM3|TAF1_CAEEL Transcription initiation factor TFIID subunit 1 OS=Caenorhabditis elegans OX=6239 GN=taf-1 PE=2 SV=1</t>
  </si>
  <si>
    <t>G5EGM3</t>
  </si>
  <si>
    <t>taf-1</t>
  </si>
  <si>
    <t>Transcription initiation factor TFIID subunit 1</t>
  </si>
  <si>
    <t>&gt;tr|G5EGM7|G5EGM7_CAEEL Patterned Expression Site OS=Caenorhabditis elegans OX=6239 GN=pes-5 PE=4 SV=1</t>
  </si>
  <si>
    <t>G5EGM7</t>
  </si>
  <si>
    <t>pes-5</t>
  </si>
  <si>
    <t>Patterned Expression Site</t>
  </si>
  <si>
    <t>&gt;sp|G5EGN2|FAT6_CAEEL Delta(9)-fatty-acid desaturase fat-6 OS=Caenorhabditis elegans OX=6239 GN=fat-6 PE=1 SV=1</t>
  </si>
  <si>
    <t>G5EGN2</t>
  </si>
  <si>
    <t>fat-6</t>
  </si>
  <si>
    <t>Delta(9)-fatty-acid desaturase fat-6</t>
  </si>
  <si>
    <t>&gt;sp|G5EGP4|VPP3_CAEEL V-type proton ATPase 116 kDa subunit a 3 OS=Caenorhabditis elegans OX=6239 GN=vha-6 PE=1 SV=1</t>
  </si>
  <si>
    <t>G5EGP4</t>
  </si>
  <si>
    <t>vha-6</t>
  </si>
  <si>
    <t>V-type proton ATPase 116 kDa subunit a 3</t>
  </si>
  <si>
    <t>&gt;sp|G5EGP8|CATZ1_CAEEL Cathepsin Z-1 OS=Caenorhabditis elegans OX=6239 GN=cpz-1 PE=1 SV=1</t>
  </si>
  <si>
    <t>G5EGP8</t>
  </si>
  <si>
    <t>cpz-1</t>
  </si>
  <si>
    <t>Cathepsin Z-1</t>
  </si>
  <si>
    <t>&gt;sp|G5EGQ3|MAX2_CAEEL Serine/threonine-protein kinase max-2 OS=Caenorhabditis elegans OX=6239 GN=max-2 PE=1 SV=1</t>
  </si>
  <si>
    <t>G5EGQ3</t>
  </si>
  <si>
    <t>max-2</t>
  </si>
  <si>
    <t>Serine/threonine-protein kinase max-2</t>
  </si>
  <si>
    <t>&gt;sp|G5EGQ6|TEN1_CAEEL Teneurin-1 OS=Caenorhabditis elegans OX=6239 GN=ten-1 PE=1 SV=1</t>
  </si>
  <si>
    <t>G5EGQ6</t>
  </si>
  <si>
    <t>ten-1</t>
  </si>
  <si>
    <t>Teneurin-1</t>
  </si>
  <si>
    <t>&gt;sp|G5EGS3|KLP12_CAEEL Kinesin-like protein klp-12 OS=Caenorhabditis elegans OX=6239 GN=klp-12 PE=1 SV=1</t>
  </si>
  <si>
    <t>G5EGS3</t>
  </si>
  <si>
    <t>klp-12</t>
  </si>
  <si>
    <t>Kinesin-like protein klp-12</t>
  </si>
  <si>
    <t>&gt;sp|G5EGS5|GBF1_CAEEL Golgi-specific brefeldin A-resistance guanine nucleotide exchange factor 1 homolog OS=Caenorhabditis elegans OX=6239 GN=gbf-1 PE=3 SV=1</t>
  </si>
  <si>
    <t>G5EGS5</t>
  </si>
  <si>
    <t>gbf-1</t>
  </si>
  <si>
    <t>Golgi-specific brefeldin A-resistance guanine nucleotide exchange factor 1 homolog</t>
  </si>
  <si>
    <t>&gt;tr|G5EGS8|G5EGS8_CAEEL Synaptonemal complex protein SYP-1 OS=Caenorhabditis elegans OX=6239 GN=syp-1 PE=1 SV=1</t>
  </si>
  <si>
    <t>G5EGS8</t>
  </si>
  <si>
    <t>syp-1</t>
  </si>
  <si>
    <t>Synaptonemal complex protein SYP-1</t>
  </si>
  <si>
    <t>&gt;tr|G5EGT4|G5EGT4_CAEEL Chloride channel protein OS=Caenorhabditis elegans OX=6239 GN=clh-5 PE=1 SV=1</t>
  </si>
  <si>
    <t>G5EGT4</t>
  </si>
  <si>
    <t>clh-5</t>
  </si>
  <si>
    <t>&gt;tr|G5EGT7|G5EGT7_CAEEL Eukaryotic translation initiation factor 5B OS=Caenorhabditis elegans OX=6239 GN=iffb-1 PE=1 SV=1</t>
  </si>
  <si>
    <t>G5EGT7</t>
  </si>
  <si>
    <t>iffb-1</t>
  </si>
  <si>
    <t>Eukaryotic translation initiation factor 5B</t>
  </si>
  <si>
    <t>&gt;tr|G5EGU1|G5EGU1_CAEEL Guanine nucleotide-binding protein subunit alpha OS=Caenorhabditis elegans OX=6239 GN=egl-30 PE=1 SV=1</t>
  </si>
  <si>
    <t>G5EGU1</t>
  </si>
  <si>
    <t>egl-30</t>
  </si>
  <si>
    <t>Guanine nucleotide-binding protein subunit alpha</t>
  </si>
  <si>
    <t>&gt;sp|G5EGU9|SZY20_CAEEL Suppressor of zyg-1 protein 20 OS=Caenorhabditis elegans OX=6239 GN=szy-20 PE=1 SV=1</t>
  </si>
  <si>
    <t>G5EGU9</t>
  </si>
  <si>
    <t>szy-20</t>
  </si>
  <si>
    <t>Suppressor of zyg-1 protein 20</t>
  </si>
  <si>
    <t>&gt;tr|G8JY81|G8JY81_CAEEL Myosin motor domain-containing protein OS=Caenorhabditis elegans OX=6239 GN=hum-2 PE=1 SV=1</t>
  </si>
  <si>
    <t>G8JY81</t>
  </si>
  <si>
    <t>hum-2</t>
  </si>
  <si>
    <t>Myosin motor domain-containing protein</t>
  </si>
  <si>
    <t>&gt;tr|H1UBJ9|H1UBJ9_CAEEL DNA topoisomerase OS=Caenorhabditis elegans OX=6239 GN=CELE_Y48C3A.14 PE=1 SV=1</t>
  </si>
  <si>
    <t>H1UBJ9</t>
  </si>
  <si>
    <t>DNA topoisomerase</t>
  </si>
  <si>
    <t>&gt;tr|H2FLG5|H2FLG5_CAEEL PH domain-containing protein OS=Caenorhabditis elegans OX=6239 GN=CELE_M03C11.3 PE=1 SV=1</t>
  </si>
  <si>
    <t>H2FLG5</t>
  </si>
  <si>
    <t>&gt;sp|H2FLJ1|STML1_CAEEL Stomatin-like protein stl-1 OS=Caenorhabditis elegans OX=6239 GN=stl-1 PE=2 SV=1</t>
  </si>
  <si>
    <t>H2FLJ1</t>
  </si>
  <si>
    <t>stl-1</t>
  </si>
  <si>
    <t>Stomatin-like protein stl-1</t>
  </si>
  <si>
    <t>&gt;tr|H2FLK2|H2FLK2_CAEEL Protein aurora borealis OS=Caenorhabditis elegans OX=6239 GN=spat-1 PE=1 SV=1</t>
  </si>
  <si>
    <t>H2FLK2</t>
  </si>
  <si>
    <t>spat-1</t>
  </si>
  <si>
    <t>Protein aurora borealis</t>
  </si>
  <si>
    <t>&gt;tr|H2FLL1|H2FLL1_CAEEL Plant Late Embryo Abundant (LEA) related OS=Caenorhabditis elegans OX=6239 GN=lea-1 PE=1 SV=1</t>
  </si>
  <si>
    <t>H2FLL1</t>
  </si>
  <si>
    <t>lea-1</t>
  </si>
  <si>
    <t>Plant Late Embryo Abundant (LEA) related</t>
  </si>
  <si>
    <t>&gt;tr|H2FLM3|H2FLM3_CAEEL WD repeat and FYVE domain-containing protein 3 OS=Caenorhabditis elegans OX=6239 GN=wdfy-3 PE=1 SV=1</t>
  </si>
  <si>
    <t>H2FLM3</t>
  </si>
  <si>
    <t>wdfy-3</t>
  </si>
  <si>
    <t>WD repeat and FYVE domain-containing protein 3</t>
  </si>
  <si>
    <t>&gt;tr|H2KMK6|H2KMK6_CAEEL Armadillo-type protein OS=Caenorhabditis elegans OX=6239 GN=CELE_Y38E10A.22 PE=1 SV=2</t>
  </si>
  <si>
    <t>H2KMK6</t>
  </si>
  <si>
    <t>Armadillo-type protein</t>
  </si>
  <si>
    <t>&gt;tr|H2KML7|H2KML7_CAEEL INTegrator complex Subunit homolog OS=Caenorhabditis elegans OX=6239 GN=ints-8 PE=1 SV=1</t>
  </si>
  <si>
    <t>H2KML7</t>
  </si>
  <si>
    <t>ints-8</t>
  </si>
  <si>
    <t>&gt;tr|H2KY55|H2KY55_CAEEL Androgen-induced gene 1 protein OS=Caenorhabditis elegans OX=6239 GN=CELE_CTEL55X.1 PE=3 SV=1</t>
  </si>
  <si>
    <t>H2KY55</t>
  </si>
  <si>
    <t>Androgen-induced gene 1 protein</t>
  </si>
  <si>
    <t>&gt;tr|H2KY58|H2KY58_CAEEL ALG-1 OS=Caenorhabditis elegans OX=6239 GN=ain-2 PE=1 SV=1</t>
  </si>
  <si>
    <t>H2KY58</t>
  </si>
  <si>
    <t>ain-2</t>
  </si>
  <si>
    <t>ALG-1</t>
  </si>
  <si>
    <t>&gt;tr|H2KY89|H2KY89_CAEEL ZM domain-containing protein OS=Caenorhabditis elegans OX=6239 GN=CELE_F56C9.6 PE=1 SV=1</t>
  </si>
  <si>
    <t>H2KY89</t>
  </si>
  <si>
    <t>ZM domain-containing protein</t>
  </si>
  <si>
    <t>&gt;tr|H2KYA5|H2KYA5_CAEEL non-specific serine/threonine protein kinase OS=Caenorhabditis elegans OX=6239 GN=unc-82 PE=1 SV=1</t>
  </si>
  <si>
    <t>H2KYA5</t>
  </si>
  <si>
    <t>unc-82</t>
  </si>
  <si>
    <t>non-specific serine/threonine protein kinase</t>
  </si>
  <si>
    <t>&gt;tr|H2KYB6|H2KYB6_CAEEL Tetratricopeptide repeat protein 7 N-terminal domain-containing protein OS=Caenorhabditis elegans OX=6239 GN=ttc-7 PE=1 SV=1</t>
  </si>
  <si>
    <t>H2KYB6</t>
  </si>
  <si>
    <t>ttc-7</t>
  </si>
  <si>
    <t>Tetratricopeptide repeat protein 7 N-terminal domain-containing protein</t>
  </si>
  <si>
    <t>&gt;tr|H2KYB8|H2KYB8_CAEEL RRM domain-containing protein OS=Caenorhabditis elegans OX=6239 GN=grld-1 PE=1 SV=1</t>
  </si>
  <si>
    <t>H2KYB8</t>
  </si>
  <si>
    <t>grld-1</t>
  </si>
  <si>
    <t>&gt;tr|H2KYD4|H2KYD4_CAEEL C2H2-type domain-containing protein OS=Caenorhabditis elegans OX=6239 GN=CELE_F57C9.4 PE=1 SV=1</t>
  </si>
  <si>
    <t>H2KYD4</t>
  </si>
  <si>
    <t>&gt;tr|H2KYD9|H2KYD9_CAEEL Protein TALPID3 OS=Caenorhabditis elegans OX=6239 GN=CELE_F26G5.1 PE=1 SV=1</t>
  </si>
  <si>
    <t>H2KYD9</t>
  </si>
  <si>
    <t>Protein TALPID3</t>
  </si>
  <si>
    <t>&gt;sp|H2KYE0|NRA4_CAEEL Nicotinic receptor-associated protein 4 OS=Caenorhabditis elegans OX=6239 GN=nra-4 PE=1 SV=1</t>
  </si>
  <si>
    <t>H2KYE0</t>
  </si>
  <si>
    <t>nra-4</t>
  </si>
  <si>
    <t>Nicotinic receptor-associated protein 4</t>
  </si>
  <si>
    <t>&gt;tr|H2KYE1|H2KYE1_CAEEL C2 domain-containing protein OS=Caenorhabditis elegans OX=6239 GN=tmem-24 PE=1 SV=1</t>
  </si>
  <si>
    <t>H2KYE1</t>
  </si>
  <si>
    <t>tmem-24</t>
  </si>
  <si>
    <t>&gt;tr|H2KYE2|H2KYE2_CAEEL IBR domain-containing protein OS=Caenorhabditis elegans OX=6239 GN=CELE_F26F12.3 PE=1 SV=1</t>
  </si>
  <si>
    <t>H2KYE2</t>
  </si>
  <si>
    <t>IBR domain-containing protein</t>
  </si>
  <si>
    <t>&gt;tr|H2KYF2|H2KYF2_CAEEL Major facilitator superfamily (MFS) profile domain-containing protein OS=Caenorhabditis elegans OX=6239 GN=vpat-1 PE=4 SV=1</t>
  </si>
  <si>
    <t>H2KYF2</t>
  </si>
  <si>
    <t>vpat-1</t>
  </si>
  <si>
    <t>&gt;sp|H2KYH3|RING2_CAEEL E3 ubiquitin-protein ligase RING2 homolog spat-3 OS=Caenorhabditis elegans OX=6239 GN=spat-3 PE=3 SV=1</t>
  </si>
  <si>
    <t>H2KYH3</t>
  </si>
  <si>
    <t>spat-3</t>
  </si>
  <si>
    <t>E3 ubiquitin-protein ligase RING2 homolog spat-3</t>
  </si>
  <si>
    <t>&gt;tr|H2KYI7|H2KYI7_CAEEL DH domain-containing protein OS=Caenorhabditis elegans OX=6239 GN=cgef-1 PE=4 SV=2</t>
  </si>
  <si>
    <t>H2KYI7</t>
  </si>
  <si>
    <t>cgef-1</t>
  </si>
  <si>
    <t>&gt;tr|H2KYJ5|H2KYJ5_CAEEL Mitochondrial carrier OS=Caenorhabditis elegans OX=6239 GN=mtch-1 PE=1 SV=1</t>
  </si>
  <si>
    <t>H2KYJ5</t>
  </si>
  <si>
    <t>mtch-1</t>
  </si>
  <si>
    <t>Mitochondrial carrier</t>
  </si>
  <si>
    <t>&gt;tr|H2KYL3|H2KYL3_CAEEL ANK_REP_REGION domain-containing protein OS=Caenorhabditis elegans OX=6239 GN=nrde-4 PE=1 SV=2</t>
  </si>
  <si>
    <t>H2KYL3</t>
  </si>
  <si>
    <t>nrde-4</t>
  </si>
  <si>
    <t>&gt;tr|H2KYM8|H2KYM8_CAEEL Sodium-and chloride-dependent glycine transporter 2 OS=Caenorhabditis elegans OX=6239 GN=C09E8.1 PE=1 SV=1</t>
  </si>
  <si>
    <t>H2KYM8</t>
  </si>
  <si>
    <t>C09E8.1</t>
  </si>
  <si>
    <t>Sodium-and chloride-dependent glycine transporter 2</t>
  </si>
  <si>
    <t>&gt;tr|H2KYN0|H2KYN0_CAEEL Vacuolar protein sorting-associated protein 45 OS=Caenorhabditis elegans OX=6239 GN=vps-45 PE=1 SV=1</t>
  </si>
  <si>
    <t>H2KYN0</t>
  </si>
  <si>
    <t>vps-45</t>
  </si>
  <si>
    <t>Vacuolar protein sorting-associated protein 45</t>
  </si>
  <si>
    <t>&gt;tr|H2KYN3|H2KYN3_CAEEL Acyl-CoA dehydrogenase family member 9, mitochondrial OS=Caenorhabditis elegans OX=6239 GN=acdh-13 PE=1 SV=1</t>
  </si>
  <si>
    <t>H2KYN3</t>
  </si>
  <si>
    <t>acdh-13</t>
  </si>
  <si>
    <t>Acyl-CoA dehydrogenase family member 9, mitochondrial</t>
  </si>
  <si>
    <t>&gt;tr|H2KYN6|H2KYN6_CAEEL Serine/threonine-protein phosphatase 4 regulatory subunit 3-like central domain-containing protein OS=Caenorhabditis elegans OX=6239 GN=smk-1 PE=1 SV=1</t>
  </si>
  <si>
    <t>H2KYN6</t>
  </si>
  <si>
    <t>smk-1</t>
  </si>
  <si>
    <t>Serine/threonine-protein phosphatase 4 regulatory subunit 3-like central domain-containing protein</t>
  </si>
  <si>
    <t>&gt;tr|H2KYP1|H2KYP1_CAEEL LIN-24 (Twenty-four) Like OS=Caenorhabditis elegans OX=6239 GN=lntl-1 PE=1 SV=1</t>
  </si>
  <si>
    <t>H2KYP1</t>
  </si>
  <si>
    <t>lntl-1</t>
  </si>
  <si>
    <t>LIN-24 (Twenty-four) Like</t>
  </si>
  <si>
    <t>&gt;tr|H2KYP2|H2KYP2_CAEEL Calx-beta domain-containing protein OS=Caenorhabditis elegans OX=6239 GN=ncx-2 PE=1 SV=1</t>
  </si>
  <si>
    <t>H2KYP2</t>
  </si>
  <si>
    <t>ncx-2</t>
  </si>
  <si>
    <t>&gt;tr|H2KYP7|H2KYP7_CAEEL Pantothenate kinase OS=Caenorhabditis elegans OX=6239 GN=pnk-1 PE=1 SV=1</t>
  </si>
  <si>
    <t>H2KYP7</t>
  </si>
  <si>
    <t>pnk-1</t>
  </si>
  <si>
    <t>Pantothenate kinase</t>
  </si>
  <si>
    <t>&gt;tr|H2KYQ0|H2KYQ0_CAEEL UDP-glucuronosyltransferase OS=Caenorhabditis elegans OX=6239 GN=ugt-26 PE=1 SV=1</t>
  </si>
  <si>
    <t>H2KYQ0</t>
  </si>
  <si>
    <t>ugt-26</t>
  </si>
  <si>
    <t>&gt;sp|H2KYQ5|GYG1_CAEEL Glycogenin-1 OS=Caenorhabditis elegans OX=6239 GN=gyg-1 PE=1 SV=1</t>
  </si>
  <si>
    <t>H2KYQ5</t>
  </si>
  <si>
    <t>gyg-1</t>
  </si>
  <si>
    <t>Glycogenin-1</t>
  </si>
  <si>
    <t>&gt;tr|H2KYR1|H2KYR1_CAEEL Hyaluronan/mRNA-binding protein domain-containing protein OS=Caenorhabditis elegans OX=6239 GN=vig-1 PE=1 SV=1</t>
  </si>
  <si>
    <t>H2KYR1</t>
  </si>
  <si>
    <t>vig-1</t>
  </si>
  <si>
    <t>Hyaluronan/mRNA-binding protein domain-containing protein</t>
  </si>
  <si>
    <t>&gt;tr|H2KYR4|H2KYR4_CAEEL Serpentine Receptor, class R OS=Caenorhabditis elegans OX=6239 GN=srr-4 PE=1 SV=1</t>
  </si>
  <si>
    <t>H2KYR4</t>
  </si>
  <si>
    <t>srr-4</t>
  </si>
  <si>
    <t>Serpentine Receptor, class R</t>
  </si>
  <si>
    <t>&gt;tr|H2KYU0|H2KYU0_CAEEL Short/branched chain specific acyl-CoA dehydrogenase, mitochondrial OS=Caenorhabditis elegans OX=6239 GN=acdh-2 PE=1 SV=2</t>
  </si>
  <si>
    <t>H2KYU0</t>
  </si>
  <si>
    <t>acdh-2</t>
  </si>
  <si>
    <t>Short/branched chain specific acyl-CoA dehydrogenase, mitochondrial</t>
  </si>
  <si>
    <t>&gt;sp|H2KYU6|NPL41_CAEEL Nuclear protein localization protein 4 homolog 1 OS=Caenorhabditis elegans OX=6239 GN=npl-4.1 PE=1 SV=1;&gt;sp|Q95QZ9|NPL42_CAEEL Nuclear protein localization protein 4 homolog 2 OS=Caenorhabditis elegans OX=6239 GN=npl-4.2 PE=1 SV=1</t>
  </si>
  <si>
    <t>H2KYU6;Q95QZ9</t>
  </si>
  <si>
    <t>npl-4.1;npl-4.2</t>
  </si>
  <si>
    <t>Nuclear protein localization protein 4 homolog 1;Nuclear protein localization protein 4 homolog 2</t>
  </si>
  <si>
    <t>H2KYU6</t>
  </si>
  <si>
    <t>Nuclear protein localization protein 4 homolog 1</t>
  </si>
  <si>
    <t>&gt;tr|H2KYV1|H2KYV1_CAEEL NADH dehydrogenase [ubiquinone] 1 beta subcomplex subunit 5, mitochondrial OS=Caenorhabditis elegans OX=6239 GN=ndub-5 PE=1 SV=1</t>
  </si>
  <si>
    <t>H2KYV1</t>
  </si>
  <si>
    <t>ndub-5</t>
  </si>
  <si>
    <t>NADH dehydrogenase [ubiquinone] 1 beta subcomplex subunit 5, mitochondrial</t>
  </si>
  <si>
    <t>&gt;tr|H2KYV3|H2KYV3_CAEEL G domain-containing protein OS=Caenorhabditis elegans OX=6239 GN=C18B2.5 PE=1 SV=1</t>
  </si>
  <si>
    <t>H2KYV3</t>
  </si>
  <si>
    <t>C18B2.5</t>
  </si>
  <si>
    <t>G domain-containing protein</t>
  </si>
  <si>
    <t>&gt;tr|H2KYV5|H2KYV5_CAEEL S39A8 protein OS=Caenorhabditis elegans OX=6239 GN=CELE_F25E5.8 PE=1 SV=1</t>
  </si>
  <si>
    <t>H2KYV5</t>
  </si>
  <si>
    <t>S39A8 protein</t>
  </si>
  <si>
    <t>&gt;sp|H2KYZ5|TBCEL_CAEEL Tubulin-specific chaperone cofactor E-like protein OS=Caenorhabditis elegans OX=6239 GN=coel-1 PE=2 SV=1</t>
  </si>
  <si>
    <t>H2KYZ5</t>
  </si>
  <si>
    <t>coel-1</t>
  </si>
  <si>
    <t>Tubulin-specific chaperone cofactor E-like protein</t>
  </si>
  <si>
    <t>&gt;tr|H2KYZ7|H2KYZ7_CAEEL FERM domain-containing protein OS=Caenorhabditis elegans OX=6239 GN=frm-4 PE=1 SV=1</t>
  </si>
  <si>
    <t>H2KYZ7</t>
  </si>
  <si>
    <t>frm-4</t>
  </si>
  <si>
    <t>&gt;tr|H2KZ07|H2KZ07_CAEEL C-type lectin domain-containing protein OS=Caenorhabditis elegans OX=6239 GN=clec-266 PE=1 SV=1</t>
  </si>
  <si>
    <t>H2KZ07</t>
  </si>
  <si>
    <t>clec-266</t>
  </si>
  <si>
    <t>C-type lectin domain-containing protein</t>
  </si>
  <si>
    <t>&gt;tr|H2KZ29|H2KZ29_CAEEL SAC3/GANP/THP3 conserved domain-containing protein OS=Caenorhabditis elegans OX=6239 GN=hpo-10 PE=1 SV=1</t>
  </si>
  <si>
    <t>H2KZ29</t>
  </si>
  <si>
    <t>hpo-10</t>
  </si>
  <si>
    <t>SAC3/GANP/THP3 conserved domain-containing protein</t>
  </si>
  <si>
    <t>&gt;tr|H2KZ41|H2KZ41_CAEEL Similarity OS=Caenorhabditis elegans OX=6239 GN=CELE_Y110A7A.15 PE=1 SV=1</t>
  </si>
  <si>
    <t>H2KZ41</t>
  </si>
  <si>
    <t>Similarity</t>
  </si>
  <si>
    <t>&gt;tr|H2KZ52|H2KZ52_CAEEL 60S ribosomal protein L23 OS=Caenorhabditis elegans OX=6239 GN=mrpl-14 PE=1 SV=1</t>
  </si>
  <si>
    <t>H2KZ52</t>
  </si>
  <si>
    <t>mrpl-14</t>
  </si>
  <si>
    <t>60S ribosomal protein L23</t>
  </si>
  <si>
    <t>&gt;tr|H2KZ53|H2KZ53_CAEEL ShKT domain-containing protein OS=Caenorhabditis elegans OX=6239 GN=skpo-3 PE=1 SV=1</t>
  </si>
  <si>
    <t>H2KZ53</t>
  </si>
  <si>
    <t>skpo-3</t>
  </si>
  <si>
    <t>&gt;tr|H2KZ82|H2KZ82_CAEEL C2H2-type domain-containing protein OS=Caenorhabditis elegans OX=6239 GN=pqn-21 PE=1 SV=1</t>
  </si>
  <si>
    <t>H2KZ82</t>
  </si>
  <si>
    <t>pqn-21</t>
  </si>
  <si>
    <t>&gt;tr|H2KZ84|H2KZ84_CAEEL NADAR domain-containing protein OS=Caenorhabditis elegans OX=6239 GN=C37C3.1 PE=4 SV=1</t>
  </si>
  <si>
    <t>H2KZ84</t>
  </si>
  <si>
    <t>C37C3.1</t>
  </si>
  <si>
    <t>NADAR domain-containing protein</t>
  </si>
  <si>
    <t>&gt;tr|H2KZA1|H2KZA1_CAEEL Nuclear hormone receptor E75 OS=Caenorhabditis elegans OX=6239 GN=nhr-88 PE=1 SV=1</t>
  </si>
  <si>
    <t>H2KZA1</t>
  </si>
  <si>
    <t>nhr-88</t>
  </si>
  <si>
    <t>Nuclear hormone receptor E75</t>
  </si>
  <si>
    <t>&gt;tr|H2KZA2|H2KZA2_CAEEL TraB domain-containing protein OS=Caenorhabditis elegans OX=6239 GN=CELE_F38A5.2 PE=1 SV=1</t>
  </si>
  <si>
    <t>H2KZA2</t>
  </si>
  <si>
    <t>TraB domain-containing protein</t>
  </si>
  <si>
    <t>&gt;tr|H2KZA3|H2KZA3_CAEEL Zasp-like motif domain-containing protein OS=Caenorhabditis elegans OX=6239 GN=pqn-22 PE=1 SV=2</t>
  </si>
  <si>
    <t>H2KZA3</t>
  </si>
  <si>
    <t>pqn-22</t>
  </si>
  <si>
    <t>Zasp-like motif domain-containing protein</t>
  </si>
  <si>
    <t>&gt;tr|H2KZA6|H2KZA6_CAEEL PID domain-containing protein OS=Caenorhabditis elegans OX=6239 GN=CELE_R148.5 PE=1 SV=1</t>
  </si>
  <si>
    <t>H2KZA6</t>
  </si>
  <si>
    <t>PID domain-containing protein</t>
  </si>
  <si>
    <t>&gt;tr|H2KZB7|H2KZB7_CAEEL Ensconsin OS=Caenorhabditis elegans OX=6239 GN=CELE_M01B12.4 PE=1 SV=1</t>
  </si>
  <si>
    <t>H2KZB7</t>
  </si>
  <si>
    <t>Ensconsin</t>
  </si>
  <si>
    <t>&gt;tr|H2KZC1|H2KZC1_CAEEL Fibronectin type-III domain-containing protein OS=Caenorhabditis elegans OX=6239 GN=CELE_R07E4.1 PE=1 SV=2</t>
  </si>
  <si>
    <t>H2KZC1</t>
  </si>
  <si>
    <t>&gt;tr|H2KZC3|H2KZC3_CAEEL K+/Cl-Cotransporter OS=Caenorhabditis elegans OX=6239 GN=kcc-2 PE=1 SV=2</t>
  </si>
  <si>
    <t>H2KZC3</t>
  </si>
  <si>
    <t>kcc-2</t>
  </si>
  <si>
    <t>K+/Cl-Cotransporter</t>
  </si>
  <si>
    <t>&gt;tr|H2KZD1|H2KZD1_CAEEL Phosphatidic acid phosphatase type 2/haloperoxidase domain-containing protein OS=Caenorhabditis elegans OX=6239 GN=plpp-1.1 PE=1 SV=1</t>
  </si>
  <si>
    <t>H2KZD1</t>
  </si>
  <si>
    <t>plpp-1.1</t>
  </si>
  <si>
    <t>Phosphatidic acid phosphatase type 2/haloperoxidase domain-containing protein</t>
  </si>
  <si>
    <t>&gt;tr|H2KZD5|H2KZD5_CAEEL Piwi domain-containing protein OS=Caenorhabditis elegans OX=6239 GN=csr-1 PE=1 SV=1</t>
  </si>
  <si>
    <t>H2KZD5</t>
  </si>
  <si>
    <t>csr-1</t>
  </si>
  <si>
    <t>&gt;tr|H2KZD6|H2KZD6_CAEEL HAT C-terminal dimerisation domain-containing protein OS=Caenorhabditis elegans OX=6239 GN=CELE_F19F10.11 PE=4 SV=1</t>
  </si>
  <si>
    <t>H2KZD6</t>
  </si>
  <si>
    <t>HAT C-terminal dimerisation domain-containing protein</t>
  </si>
  <si>
    <t>&gt;tr|H2KZF9|H2KZF9_CAEEL MADF domain-containing protein OS=Caenorhabditis elegans OX=6239 GN=madf-6 PE=4 SV=1</t>
  </si>
  <si>
    <t>H2KZF9</t>
  </si>
  <si>
    <t>madf-6</t>
  </si>
  <si>
    <t>MADF domain-containing protein</t>
  </si>
  <si>
    <t>&gt;tr|H2KZG6|H2KZG6_CAEEL Short/branched chain specific acyl-CoA dehydrogenase, mitochondrial OS=Caenorhabditis elegans OX=6239 GN=acdh-1 PE=1 SV=1</t>
  </si>
  <si>
    <t>H2KZG6</t>
  </si>
  <si>
    <t>acdh-1</t>
  </si>
  <si>
    <t>&gt;tr|H2KZH7|H2KZH7_CAEEL Retrotransposon gag protein OS=Caenorhabditis elegans OX=6239 GN=CELE_Y37E11AL.3 PE=1 SV=1</t>
  </si>
  <si>
    <t>H2KZH7</t>
  </si>
  <si>
    <t>Retrotransposon gag protein</t>
  </si>
  <si>
    <t>&gt;tr|H2KZI9|H2KZI9_CAEEL FYVE-type domain-containing protein OS=Caenorhabditis elegans OX=6239 GN=aka-1 PE=1 SV=1</t>
  </si>
  <si>
    <t>H2KZI9</t>
  </si>
  <si>
    <t>aka-1</t>
  </si>
  <si>
    <t>FYVE-type domain-containing protein</t>
  </si>
  <si>
    <t>&gt;tr|H2KZJ5|H2KZJ5_CAEEL Glutaredoxin 3 OS=Caenorhabditis elegans OX=6239 GN=glrx-3 PE=1 SV=1</t>
  </si>
  <si>
    <t>H2KZJ5</t>
  </si>
  <si>
    <t>glrx-3</t>
  </si>
  <si>
    <t>Glutaredoxin 3</t>
  </si>
  <si>
    <t>&gt;tr|H2KZJ7|H2KZJ7_CAEEL PRA1 family protein OS=Caenorhabditis elegans OX=6239 GN=praf-3 PE=1 SV=1</t>
  </si>
  <si>
    <t>H2KZJ7</t>
  </si>
  <si>
    <t>praf-3</t>
  </si>
  <si>
    <t>PRA1 family protein</t>
  </si>
  <si>
    <t>&gt;sp|H2KZK4|DESI1_CAEEL Desumoylating isopeptidase 1 homolog OS=Caenorhabditis elegans OX=6239 GN=F36D4.5 PE=2 SV=1</t>
  </si>
  <si>
    <t>H2KZK4</t>
  </si>
  <si>
    <t>F36D4.5</t>
  </si>
  <si>
    <t>Desumoylating isopeptidase 1 homolog</t>
  </si>
  <si>
    <t>&gt;tr|H2KZK8|H2KZK8_CAEEL Peptidase M23 OS=Caenorhabditis elegans OX=6239 GN=CELE_E02H9.3 PE=4 SV=1</t>
  </si>
  <si>
    <t>H2KZK8</t>
  </si>
  <si>
    <t>Peptidase M23</t>
  </si>
  <si>
    <t>&gt;tr|H2KZK9|H2KZK9_CAEEL GDT1 family protein OS=Caenorhabditis elegans OX=6239 GN=CELE_Y54F10AL.1 PE=1 SV=1</t>
  </si>
  <si>
    <t>H2KZK9</t>
  </si>
  <si>
    <t>GDT1 family protein</t>
  </si>
  <si>
    <t>&gt;tr|H2KZL6|H2KZL6_CAEEL Tyrosine--tRNA ligase OS=Caenorhabditis elegans OX=6239 GN=yars-2 PE=1 SV=1</t>
  </si>
  <si>
    <t>H2KZL6</t>
  </si>
  <si>
    <t>yars-2</t>
  </si>
  <si>
    <t>&gt;tr|H2KZQ0|H2KZQ0_CAEEL PH domain-containing protein OS=Caenorhabditis elegans OX=6239 GN=CELE_F11D5.1 PE=1 SV=1</t>
  </si>
  <si>
    <t>H2KZQ0</t>
  </si>
  <si>
    <t>&gt;tr|H2KZQ1|H2KZQ1_CAEEL Major facilitator superfamily (MFS) profile domain-containing protein OS=Caenorhabditis elegans OX=6239 GN=slc-17.6 PE=1 SV=1</t>
  </si>
  <si>
    <t>H2KZQ1</t>
  </si>
  <si>
    <t>slc-17.6</t>
  </si>
  <si>
    <t>&gt;tr|H2KZQ6|H2KZQ6_CAEEL BTB domain-containing protein OS=Caenorhabditis elegans OX=6239 GN=exp-2 PE=4 SV=1</t>
  </si>
  <si>
    <t>H2KZQ6</t>
  </si>
  <si>
    <t>exp-2</t>
  </si>
  <si>
    <t>BTB domain-containing protein</t>
  </si>
  <si>
    <t>&gt;tr|H2KZQ8|H2KZQ8_CAEEL Protein transport protein sec16 OS=Caenorhabditis elegans OX=6239 GN=sec-16a.2 PE=1 SV=1</t>
  </si>
  <si>
    <t>H2KZQ8</t>
  </si>
  <si>
    <t>sec-16a.2</t>
  </si>
  <si>
    <t>Protein transport protein sec16</t>
  </si>
  <si>
    <t>&gt;tr|H2KZS2|H2KZS2_CAEEL Aggrecan core protein OS=Caenorhabditis elegans OX=6239 GN=CELE_T23E7.2 PE=1 SV=2</t>
  </si>
  <si>
    <t>H2KZS2</t>
  </si>
  <si>
    <t>Aggrecan core protein</t>
  </si>
  <si>
    <t>&gt;tr|H2KZV4|H2KZV4_CAEEL Rho-GAP domain-containing protein OS=Caenorhabditis elegans OX=6239 GN=CELE_F23H11.4 PE=1 SV=1</t>
  </si>
  <si>
    <t>H2KZV4</t>
  </si>
  <si>
    <t>&gt;tr|H2KZV6|H2KZV6_CAEEL Rho GTPase-activating protein 26 OS=Caenorhabditis elegans OX=6239 GN=CELE_T04C9.1 PE=1 SV=1</t>
  </si>
  <si>
    <t>H2KZV6</t>
  </si>
  <si>
    <t>Rho GTPase-activating protein 26</t>
  </si>
  <si>
    <t>&gt;tr|H2KZV9|H2KZV9_CAEEL Moesin/ezrin/radixin homolog 1 OS=Caenorhabditis elegans OX=6239 GN=frm-2 PE=1 SV=1</t>
  </si>
  <si>
    <t>H2KZV9</t>
  </si>
  <si>
    <t>frm-2</t>
  </si>
  <si>
    <t>&gt;tr|H2KZY3|H2KZY3_CAEEL BACK domain-containing protein OS=Caenorhabditis elegans OX=6239 GN=CELE_F49E8.7 PE=1 SV=1</t>
  </si>
  <si>
    <t>H2KZY3</t>
  </si>
  <si>
    <t>BACK domain-containing protein</t>
  </si>
  <si>
    <t>&gt;tr|H2L003|H2L003_CAEEL Oxidation resistance protein 1 OS=Caenorhabditis elegans OX=6239 GN=lmd-3 PE=1 SV=1</t>
  </si>
  <si>
    <t>H2L003</t>
  </si>
  <si>
    <t>lmd-3</t>
  </si>
  <si>
    <t>Oxidation resistance protein 1</t>
  </si>
  <si>
    <t>&gt;tr|H2L010|H2L010_CAEEL Ubiquitin carboxyl-terminal hydrolase 36 OS=Caenorhabditis elegans OX=6239 GN=CELE_T22F3.2 PE=1 SV=2</t>
  </si>
  <si>
    <t>H2L010</t>
  </si>
  <si>
    <t>Ubiquitin carboxyl-terminal hydrolase 36</t>
  </si>
  <si>
    <t>&gt;tr|H2L031|H2L031_CAEEL NOT2/NOT3/NOT5 C-terminal domain-containing protein OS=Caenorhabditis elegans OX=6239 GN=tag-153 PE=1 SV=1</t>
  </si>
  <si>
    <t>H2L031</t>
  </si>
  <si>
    <t>tag-153</t>
  </si>
  <si>
    <t>NOT2/NOT3/NOT5 C-terminal domain-containing protein</t>
  </si>
  <si>
    <t>&gt;tr|H2L033|H2L033_CAEEL HAT C-terminal dimerisation domain-containing protein OS=Caenorhabditis elegans OX=6239 GN=gon-14 PE=4 SV=1</t>
  </si>
  <si>
    <t>H2L033</t>
  </si>
  <si>
    <t>gon-14</t>
  </si>
  <si>
    <t>&gt;tr|H2L034|H2L034_CAEEL ABC transporter domain-containing protein OS=Caenorhabditis elegans OX=6239 GN=pmp-5 PE=1 SV=1</t>
  </si>
  <si>
    <t>H2L034</t>
  </si>
  <si>
    <t>pmp-5</t>
  </si>
  <si>
    <t>&gt;sp|H2L045|TENSH_CAEEL Tensin homolog OS=Caenorhabditis elegans OX=6239 GN=tns-1 PE=1 SV=2</t>
  </si>
  <si>
    <t>H2L045</t>
  </si>
  <si>
    <t>tns-1</t>
  </si>
  <si>
    <t>Tensin homolog</t>
  </si>
  <si>
    <t>&gt;tr|H2L049|H2L049_CAEEL AMPK1_CBM domain-containing protein OS=Caenorhabditis elegans OX=6239 GN=CELE_F46H5.7 PE=1 SV=2</t>
  </si>
  <si>
    <t>H2L049</t>
  </si>
  <si>
    <t>AMPK1_CBM domain-containing protein</t>
  </si>
  <si>
    <t>&gt;tr|H2L055|H2L055_CAEEL Rap-GAP domain-containing protein OS=Caenorhabditis elegans OX=6239 GN=CELE_F53A10.2 PE=1 SV=1</t>
  </si>
  <si>
    <t>H2L055</t>
  </si>
  <si>
    <t>Rap-GAP domain-containing protein</t>
  </si>
  <si>
    <t>&gt;sp|H2L056|UBXN3_CAEEL UBX domain-containing protein 3 OS=Caenorhabditis elegans OX=6239 GN=ubxn-3 PE=1 SV=1</t>
  </si>
  <si>
    <t>H2L056</t>
  </si>
  <si>
    <t>ubxn-3</t>
  </si>
  <si>
    <t>UBX domain-containing protein 3</t>
  </si>
  <si>
    <t>&gt;tr|H2L064|H2L064_CAEEL C2H2-type domain-containing protein OS=Caenorhabditis elegans OX=6239 GN=CELE_Y14H12B.1 PE=1 SV=1</t>
  </si>
  <si>
    <t>H2L064</t>
  </si>
  <si>
    <t>&gt;tr|H2L067|H2L067_CAEEL K Homology domain-containing protein OS=Caenorhabditis elegans OX=6239 GN=mex-3 PE=1 SV=1</t>
  </si>
  <si>
    <t>H2L067</t>
  </si>
  <si>
    <t>mex-3</t>
  </si>
  <si>
    <t>&gt;tr|H2L086|H2L086_CAEEL RNA polymerase II-associated protein 1 N-terminal domain-containing protein OS=Caenorhabditis elegans OX=6239 GN=CELE_F56B3.4 PE=1 SV=1</t>
  </si>
  <si>
    <t>H2L086</t>
  </si>
  <si>
    <t>RNA polymerase II-associated protein 1 N-terminal domain-containing protein</t>
  </si>
  <si>
    <t>&gt;sp|H2L099|GCK1_CAEEL Germinal center kinase 1 OS=Caenorhabditis elegans OX=6239 GN=gck-1 PE=1 SV=1</t>
  </si>
  <si>
    <t>H2L099</t>
  </si>
  <si>
    <t>gck-1</t>
  </si>
  <si>
    <t>Germinal center kinase 1</t>
  </si>
  <si>
    <t>&gt;tr|H2L0A6|H2L0A6_CAEEL Nucleoside phosphorylase domain-containing protein OS=Caenorhabditis elegans OX=6239 GN=CELE_H14E04.2 PE=1 SV=1</t>
  </si>
  <si>
    <t>H2L0A6</t>
  </si>
  <si>
    <t>Nucleoside phosphorylase domain-containing protein</t>
  </si>
  <si>
    <t>&gt;tr|H2L0A8|H2L0A8_CAEEL RRM domain-containing protein OS=Caenorhabditis elegans OX=6239 GN=CELE_H05C05.1 PE=1 SV=2</t>
  </si>
  <si>
    <t>H2L0A8</t>
  </si>
  <si>
    <t>&gt;tr|H2L0C0|H2L0C0_CAEEL ER membrane protein complex subunit 1 OS=Caenorhabditis elegans OX=6239 GN=emc-1 PE=1 SV=1</t>
  </si>
  <si>
    <t>H2L0C0</t>
  </si>
  <si>
    <t>emc-1</t>
  </si>
  <si>
    <t>ER membrane protein complex subunit 1</t>
  </si>
  <si>
    <t>&gt;tr|H2L0C5|H2L0C5_CAEEL WD_REPEATS_REGION domain-containing protein OS=Caenorhabditis elegans OX=6239 GN=wdr-62 PE=1 SV=2</t>
  </si>
  <si>
    <t>H2L0C5</t>
  </si>
  <si>
    <t>wdr-62</t>
  </si>
  <si>
    <t>&gt;tr|H2L0D0|H2L0D0_CAEEL RRM domain-containing protein OS=Caenorhabditis elegans OX=6239 GN=hrpa-2 PE=1 SV=1</t>
  </si>
  <si>
    <t>H2L0D0</t>
  </si>
  <si>
    <t>hrpa-2</t>
  </si>
  <si>
    <t>&gt;tr|H2L0E6|H2L0E6_CAEEL MFS domain-containing protein OS=Caenorhabditis elegans OX=6239 GN=mct-4 PE=1 SV=1</t>
  </si>
  <si>
    <t>H2L0E6</t>
  </si>
  <si>
    <t>mct-4</t>
  </si>
  <si>
    <t>&gt;tr|H2L0F6|H2L0F6_CAEEL BZIP domain-containing protein OS=Caenorhabditis elegans OX=6239 GN=gei-4 PE=1 SV=1</t>
  </si>
  <si>
    <t>H2L0F6</t>
  </si>
  <si>
    <t>gei-4</t>
  </si>
  <si>
    <t>BZIP domain-containing protein</t>
  </si>
  <si>
    <t>&gt;tr|H2L0G8|H2L0G8_CAEEL Expressed conserved protein OS=Caenorhabditis elegans OX=6239 GN=CELE_M01H9.3 PE=1 SV=1</t>
  </si>
  <si>
    <t>H2L0G8</t>
  </si>
  <si>
    <t>Expressed conserved protein</t>
  </si>
  <si>
    <t>&gt;tr|H2L0H1|H2L0H1_CAEEL Prion-like-(Q/N-rich)-domain-bearing protein OS=Caenorhabditis elegans OX=6239 GN=CELE_ZK180.5 PE=1 SV=1</t>
  </si>
  <si>
    <t>H2L0H1</t>
  </si>
  <si>
    <t>&gt;sp|H2L0H5|WAPL_CAEEL Wings apart-like protein homolog 1 OS=Caenorhabditis elegans OX=6239 GN=wapl-1 PE=3 SV=1</t>
  </si>
  <si>
    <t>H2L0H5</t>
  </si>
  <si>
    <t>wapl-1</t>
  </si>
  <si>
    <t>Wings apart-like protein homolog 1</t>
  </si>
  <si>
    <t>&gt;tr|H2L0I6|H2L0I6_CAEEL Phosphorylase b kinase regulatory subunit OS=Caenorhabditis elegans OX=6239 GN=CELE_Y67D8A.2 PE=1 SV=1</t>
  </si>
  <si>
    <t>H2L0I6</t>
  </si>
  <si>
    <t>Phosphorylase b kinase regulatory subunit</t>
  </si>
  <si>
    <t>&gt;tr|H2L0I8|H2L0I8_CAEEL UDENN FNIP1/2-type domain-containing protein OS=Caenorhabditis elegans OX=6239 GN=fnip-2 PE=1 SV=1</t>
  </si>
  <si>
    <t>H2L0I8</t>
  </si>
  <si>
    <t>fnip-2</t>
  </si>
  <si>
    <t>UDENN FNIP1/2-type domain-containing protein</t>
  </si>
  <si>
    <t>&gt;tr|H2L0J6|H2L0J6_CAEEL VASt domain-containing protein OS=Caenorhabditis elegans OX=6239 GN=CELE_ZC328.3 PE=1 SV=1</t>
  </si>
  <si>
    <t>H2L0J6</t>
  </si>
  <si>
    <t>VASt domain-containing protein</t>
  </si>
  <si>
    <t>&gt;tr|H2L0M0|H2L0M0_CAEEL Acetyl-CoA carboxylase OS=Caenorhabditis elegans OX=6239 GN=pod-2 PE=1 SV=1</t>
  </si>
  <si>
    <t>H2L0M0</t>
  </si>
  <si>
    <t>pod-2</t>
  </si>
  <si>
    <t>Acetyl-CoA carboxylase</t>
  </si>
  <si>
    <t>&gt;tr|H2L0Q6|H2L0Q6_CAEEL Small monomeric GTPase OS=Caenorhabditis elegans OX=6239 GN=ral-1 PE=1 SV=1</t>
  </si>
  <si>
    <t>H2L0Q6</t>
  </si>
  <si>
    <t>ral-1</t>
  </si>
  <si>
    <t>Small monomeric GTPase</t>
  </si>
  <si>
    <t>&gt;tr|H2L0S8|H2L0S8_CAEEL LUC7 related splicing factor homolog OS=Caenorhabditis elegans OX=6239 GN=CELE_Y119D3B.12 PE=1 SV=1</t>
  </si>
  <si>
    <t>H2L0S8</t>
  </si>
  <si>
    <t>LUC7 related splicing factor homolog</t>
  </si>
  <si>
    <t>&gt;tr|H2L2A8|H2L2A8_CAEEL Uridine kinase OS=Caenorhabditis elegans OX=6239 GN=CELE_F19B6.1 PE=1 SV=1</t>
  </si>
  <si>
    <t>H2L2A8</t>
  </si>
  <si>
    <t>Uridine kinase</t>
  </si>
  <si>
    <t>&gt;tr|H2L2B2|H2L2B2_CAEEL LisH domain-containing protein OS=Caenorhabditis elegans OX=6239 GN=CELE_F46B6.5 PE=1 SV=1</t>
  </si>
  <si>
    <t>H2L2B2</t>
  </si>
  <si>
    <t>LisH domain-containing protein</t>
  </si>
  <si>
    <t>&gt;tr|H2L2C2|H2L2C2_CAEEL Rap-GAP domain-containing protein OS=Caenorhabditis elegans OX=6239 GN=sipa-1 PE=4 SV=1</t>
  </si>
  <si>
    <t>H2L2C2</t>
  </si>
  <si>
    <t>sipa-1</t>
  </si>
  <si>
    <t>&gt;tr|H2L2D0|H2L2D0_CAEEL RRM domain-containing protein OS=Caenorhabditis elegans OX=6239 GN=rbm-25 PE=1 SV=1</t>
  </si>
  <si>
    <t>H2L2D0</t>
  </si>
  <si>
    <t>rbm-25</t>
  </si>
  <si>
    <t>&gt;tr|H2L2E3|H2L2E3_CAEEL DUF3452 domain-containing protein OS=Caenorhabditis elegans OX=6239 GN=C50B6.3 PE=1 SV=1</t>
  </si>
  <si>
    <t>H2L2E3</t>
  </si>
  <si>
    <t>C50B6.3</t>
  </si>
  <si>
    <t>DUF3452 domain-containing protein</t>
  </si>
  <si>
    <t>&gt;tr|H2L2E8|H2L2E8_CAEEL Tubulin alpha chain OS=Caenorhabditis elegans OX=6239 GN=tba-1 PE=1 SV=1</t>
  </si>
  <si>
    <t>H2L2E8</t>
  </si>
  <si>
    <t>tba-1</t>
  </si>
  <si>
    <t>&gt;tr|H8ESF3|H8ESF3_CAEEL SWI/SNF complex subunit SMARCC2 OS=Caenorhabditis elegans OX=6239 GN=swsn-1 PE=1 SV=1</t>
  </si>
  <si>
    <t>H8ESF3</t>
  </si>
  <si>
    <t>swsn-1</t>
  </si>
  <si>
    <t>SWI/SNF complex subunit SMARCC2</t>
  </si>
  <si>
    <t>&gt;tr|H8ESG1|H8ESG1_CAEEL BRO1 domain-containing protein OS=Caenorhabditis elegans OX=6239 GN=ego-2 PE=1 SV=1</t>
  </si>
  <si>
    <t>H8ESG1</t>
  </si>
  <si>
    <t>ego-2</t>
  </si>
  <si>
    <t>BRO1 domain-containing protein</t>
  </si>
  <si>
    <t>&gt;tr|H8W3Y1|H8W3Y1_CAEEL NOmpA Homolog (Drosophila nompA: no mechanoreceptor potential A) OS=Caenorhabditis elegans OX=6239 GN=noah-1 PE=1 SV=1</t>
  </si>
  <si>
    <t>H8W3Y1</t>
  </si>
  <si>
    <t>noah-1</t>
  </si>
  <si>
    <t>NOmpA Homolog (Drosophila nompA: no mechanoreceptor potential A)</t>
  </si>
  <si>
    <t>&gt;tr|H9G2R4|H9G2R4_CAEEL Ion_trans_2 domain-containing protein OS=Caenorhabditis elegans OX=6239 GN=slo-2 PE=1 SV=1</t>
  </si>
  <si>
    <t>H9G2R4</t>
  </si>
  <si>
    <t>slo-2</t>
  </si>
  <si>
    <t>Ion_trans_2 domain-containing protein</t>
  </si>
  <si>
    <t>&gt;tr|H9G2T4|H9G2T4_CAEEL Isocitrate dehydrogenase [NADP] OS=Caenorhabditis elegans OX=6239 GN=idh-1 PE=1 SV=1</t>
  </si>
  <si>
    <t>H9G2T4</t>
  </si>
  <si>
    <t>idh-1</t>
  </si>
  <si>
    <t>Isocitrate dehydrogenase [NADP]</t>
  </si>
  <si>
    <t>&gt;tr|H9G2U2|H9G2U2_CAEEL Dauer Up-Regulated OS=Caenorhabditis elegans OX=6239 GN=dur-1 PE=1 SV=1</t>
  </si>
  <si>
    <t>H9G2U2</t>
  </si>
  <si>
    <t>dur-1</t>
  </si>
  <si>
    <t>Dauer Up-Regulated</t>
  </si>
  <si>
    <t>&gt;tr|H9G2U9|H9G2U9_CAEEL Movement protein OS=Caenorhabditis elegans OX=6239 GN=B0001.7 PE=4 SV=1</t>
  </si>
  <si>
    <t>H9G2U9</t>
  </si>
  <si>
    <t>B0001.7</t>
  </si>
  <si>
    <t>Movement protein</t>
  </si>
  <si>
    <t>&gt;tr|H9G2Z4|H9G2Z4_CAEEL MFS domain-containing protein OS=Caenorhabditis elegans OX=6239 GN=C27A7.6 PE=1 SV=1</t>
  </si>
  <si>
    <t>H9G2Z4</t>
  </si>
  <si>
    <t>C27A7.6</t>
  </si>
  <si>
    <t>&gt;tr|H9G328|H9G328_CAEEL non-specific serine/threonine protein kinase OS=Caenorhabditis elegans OX=6239 GN=kin-4 PE=1 SV=1</t>
  </si>
  <si>
    <t>H9G328</t>
  </si>
  <si>
    <t>kin-4</t>
  </si>
  <si>
    <t>&gt;tr|H9G340|H9G340_CAEEL Rhodanese domain-containing protein OS=Caenorhabditis elegans OX=6239 GN=mpst-3 PE=1 SV=1</t>
  </si>
  <si>
    <t>H9G340</t>
  </si>
  <si>
    <t>mpst-3</t>
  </si>
  <si>
    <t>Rhodanese domain-containing protein</t>
  </si>
  <si>
    <t>&gt;tr|I2HA91|I2HA91_CAEEL TYR_PHOSPHATASE_2 domain-containing protein OS=Caenorhabditis elegans OX=6239 GN=CELE_F28C6.8 PE=1 SV=1</t>
  </si>
  <si>
    <t>I2HA91</t>
  </si>
  <si>
    <t>TYR_PHOSPHATASE_2 domain-containing protein</t>
  </si>
  <si>
    <t>&gt;tr|I2HAE5|I2HAE5_CAEEL CNH domain-containing protein OS=Caenorhabditis elegans OX=6239 GN=CELE_F01G4.4 PE=1 SV=1</t>
  </si>
  <si>
    <t>I2HAE5</t>
  </si>
  <si>
    <t>CNH domain-containing protein</t>
  </si>
  <si>
    <t>&gt;tr|I7LFE4|I7LFE4_CAEEL UNC93-like protein MFSD11 OS=Caenorhabditis elegans OX=6239 GN=CELE_Y52E8A.6 PE=3 SV=1;&gt;tr|Q19932|Q19932_CAEEL UNC93-like protein MFSD11 OS=Caenorhabditis elegans OX=6239 GN=CELE_F31D5.2 PE=3 SV=3</t>
  </si>
  <si>
    <t>I7LFE4;Q19932</t>
  </si>
  <si>
    <t>UNC93-like protein MFSD11</t>
  </si>
  <si>
    <t>I7LFE4</t>
  </si>
  <si>
    <t>&gt;tr|J7SA49|J7SA49_CAEEL ARID domain-containing protein OS=Caenorhabditis elegans OX=6239 GN=let-526 PE=1 SV=1</t>
  </si>
  <si>
    <t>J7SA49</t>
  </si>
  <si>
    <t>let-526</t>
  </si>
  <si>
    <t>ARID domain-containing protein</t>
  </si>
  <si>
    <t>&gt;tr|K7ZUH9|K7ZUH9_CAEEL Histone H3 OS=Caenorhabditis elegans OX=6239 GN=his-40 PE=1 SV=1</t>
  </si>
  <si>
    <t>K7ZUH9</t>
  </si>
  <si>
    <t>his-40</t>
  </si>
  <si>
    <t>Histone H3</t>
  </si>
  <si>
    <t>&gt;sp|K8ERR8|LSY12_CAEEL Histone acetyltransferase lsy-12 OS=Caenorhabditis elegans OX=6239 GN=lsy-12 PE=1 SV=1</t>
  </si>
  <si>
    <t>K8ERR8</t>
  </si>
  <si>
    <t>lsy-12</t>
  </si>
  <si>
    <t>Histone acetyltransferase lsy-12</t>
  </si>
  <si>
    <t>&gt;tr|K8ERU3|K8ERU3_CAEEL HEAT repeat protein OS=Caenorhabditis elegans OX=6239 GN=hpo-27 PE=1 SV=1</t>
  </si>
  <si>
    <t>K8ERU3</t>
  </si>
  <si>
    <t>hpo-27</t>
  </si>
  <si>
    <t>HEAT repeat protein</t>
  </si>
  <si>
    <t>&gt;sp|K8ESC5|ATG41_CAEEL Cysteine protease atg-4.1 OS=Caenorhabditis elegans OX=6239 GN=atg-4.1 PE=1 SV=1</t>
  </si>
  <si>
    <t>K8ESC5</t>
  </si>
  <si>
    <t>atg-4.1</t>
  </si>
  <si>
    <t>Cysteine protease atg-4.1</t>
  </si>
  <si>
    <t>&gt;tr|K8ESC8|K8ESC8_CAEEL SET domain-containing protein OS=Caenorhabditis elegans OX=6239 GN=B0001.8 PE=1 SV=1</t>
  </si>
  <si>
    <t>K8ESC8</t>
  </si>
  <si>
    <t>B0001.8</t>
  </si>
  <si>
    <t>SET domain-containing protein</t>
  </si>
  <si>
    <t>&gt;tr|K8ESG0|K8ESG0_CAEEL SH2 domain-containing protein OS=Caenorhabditis elegans OX=6239 GN=CELE_F13B12.6 PE=1 SV=1</t>
  </si>
  <si>
    <t>K8ESG0</t>
  </si>
  <si>
    <t>&gt;tr|K8ESG8|K8ESG8_CAEEL Transmembrane protein OS=Caenorhabditis elegans OX=6239 GN=CELE_F13E9.11 PE=1 SV=1</t>
  </si>
  <si>
    <t>K8ESG8</t>
  </si>
  <si>
    <t>Transmembrane protein</t>
  </si>
  <si>
    <t>&gt;tr|K8ESK9|K8ESK9_CAEEL Coronin-7 OS=Caenorhabditis elegans OX=6239 GN=pod-1 PE=1 SV=1</t>
  </si>
  <si>
    <t>K8ESK9</t>
  </si>
  <si>
    <t>pod-1</t>
  </si>
  <si>
    <t>Coronin-7</t>
  </si>
  <si>
    <t>&gt;tr|K8F7V7|K8F7V7_CAEEL glutamate synthase (NADH) OS=Caenorhabditis elegans OX=6239 GN=CELE_W07E11.1 PE=1 SV=1</t>
  </si>
  <si>
    <t>K8F7V7</t>
  </si>
  <si>
    <t>glutamate synthase (NADH)</t>
  </si>
  <si>
    <t>&gt;tr|K8F7X5|K8F7X5_CAEEL General transcription factor IIH subunit 4 OS=Caenorhabditis elegans OX=6239 GN=gtf-2h4 PE=1 SV=1</t>
  </si>
  <si>
    <t>K8F7X5</t>
  </si>
  <si>
    <t>gtf-2h4</t>
  </si>
  <si>
    <t>General transcription factor IIH subunit 4</t>
  </si>
  <si>
    <t>&gt;tr|K8F7X9|K8F7X9_CAEEL ATP-dependent DNA helicase OS=Caenorhabditis elegans OX=6239 GN=CELE_Y69H2.7 PE=1 SV=1</t>
  </si>
  <si>
    <t>K8F7X9</t>
  </si>
  <si>
    <t>ATP-dependent DNA helicase</t>
  </si>
  <si>
    <t>&gt;tr|K8F807|K8F807_CAEEL PX domain-containing protein OS=Caenorhabditis elegans OX=6239 GN=nish-1 PE=1 SV=1</t>
  </si>
  <si>
    <t>K8F807</t>
  </si>
  <si>
    <t>nish-1</t>
  </si>
  <si>
    <t>&gt;tr|K8FDY0|K8FDY0_CAEEL ZM domain-containing protein OS=Caenorhabditis elegans OX=6239 GN=hpo-34 PE=1 SV=1</t>
  </si>
  <si>
    <t>K8FDY0</t>
  </si>
  <si>
    <t>hpo-34</t>
  </si>
  <si>
    <t>&gt;tr|K8FE02|K8FE02_CAEEL K Homology domain-containing protein OS=Caenorhabditis elegans OX=6239 GN=imph-1 PE=1 SV=1</t>
  </si>
  <si>
    <t>K8FE02</t>
  </si>
  <si>
    <t>imph-1</t>
  </si>
  <si>
    <t>&gt;tr|L8E6P0|L8E6P0_CAEEL Major facilitator superfamily (MFS) profile domain-containing protein OS=Caenorhabditis elegans OX=6239 GN=CELE_F14D7.6 PE=4 SV=1</t>
  </si>
  <si>
    <t>L8E6P0</t>
  </si>
  <si>
    <t>&gt;tr|L8E6W9|L8E6W9_CAEEL Midasin OS=Caenorhabditis elegans OX=6239 GN=CELE_F55F10.1 PE=1 SV=1</t>
  </si>
  <si>
    <t>L8E6W9</t>
  </si>
  <si>
    <t>Midasin</t>
  </si>
  <si>
    <t>&gt;tr|L8E6Y3|L8E6Y3_CAEEL C3H1-type domain-containing protein OS=Caenorhabditis elegans OX=6239 GN=unk-1 PE=1 SV=1</t>
  </si>
  <si>
    <t>L8E6Y3</t>
  </si>
  <si>
    <t>unk-1</t>
  </si>
  <si>
    <t>&gt;tr|M1Z848|M1Z848_CAEEL SNF2 N-terminal domain-containing protein OS=Caenorhabditis elegans OX=6239 GN=CELE_M04C3.1 PE=4 SV=1</t>
  </si>
  <si>
    <t>M1Z848</t>
  </si>
  <si>
    <t>SNF2 N-terminal domain-containing protein</t>
  </si>
  <si>
    <t>&gt;sp|O01159|RSP7_CAEEL Probable splicing factor, arginine/serine-rich 7 OS=Caenorhabditis elegans OX=6239 GN=rsp-7 PE=3 SV=3</t>
  </si>
  <si>
    <t>O01159</t>
  </si>
  <si>
    <t>rsp-7</t>
  </si>
  <si>
    <t>Probable splicing factor, arginine/serine-rich 7</t>
  </si>
  <si>
    <t>&gt;tr|O01256|O01256_CAEEL Solute carrier family 25 member 51 OS=Caenorhabditis elegans OX=6239 GN=CELE_T20D3.5 PE=3 SV=1</t>
  </si>
  <si>
    <t>O01256</t>
  </si>
  <si>
    <t>Solute carrier family 25 member 51</t>
  </si>
  <si>
    <t>&gt;tr|O01257|O01257_CAEEL HIG1 domain-containing protein OS=Caenorhabditis elegans OX=6239 GN=CELE_T20D3.6 PE=1 SV=1</t>
  </si>
  <si>
    <t>O01257</t>
  </si>
  <si>
    <t>HIG1 domain-containing protein</t>
  </si>
  <si>
    <t>&gt;sp|O01258|VPS26_CAEEL Vacuolar protein sorting-associated protein 26 OS=Caenorhabditis elegans OX=6239 GN=vps-26 PE=3 SV=2</t>
  </si>
  <si>
    <t>O01258</t>
  </si>
  <si>
    <t>vps-26</t>
  </si>
  <si>
    <t>Vacuolar protein sorting-associated protein 26</t>
  </si>
  <si>
    <t>&gt;tr|O01324|O01324_CAEEL CRAL-TRIO domain-containing protein OS=Caenorhabditis elegans OX=6239 GN=CELE_F18A11.2 PE=1 SV=1</t>
  </si>
  <si>
    <t>O01324</t>
  </si>
  <si>
    <t>CRAL-TRIO domain-containing protein</t>
  </si>
  <si>
    <t>&gt;sp|O01326|RNC_CAEEL Ribonuclease 3 OS=Caenorhabditis elegans OX=6239 GN=drsh-1 PE=2 SV=2</t>
  </si>
  <si>
    <t>O01326</t>
  </si>
  <si>
    <t>drsh-1</t>
  </si>
  <si>
    <t>Ribonuclease 3</t>
  </si>
  <si>
    <t>&gt;sp|O01422|CSN2_CAEEL COP9 signalosome complex subunit 2 OS=Caenorhabditis elegans OX=6239 GN=csn-2 PE=1 SV=2</t>
  </si>
  <si>
    <t>O01422</t>
  </si>
  <si>
    <t>csn-2</t>
  </si>
  <si>
    <t>COP9 signalosome complex subunit 2</t>
  </si>
  <si>
    <t>&gt;sp|O01427|AIR2_CAEEL Aurora/IPL1-related protein kinase 2 OS=Caenorhabditis elegans OX=6239 GN=air-2 PE=1 SV=2</t>
  </si>
  <si>
    <t>O01427</t>
  </si>
  <si>
    <t>air-2</t>
  </si>
  <si>
    <t>Aurora/IPL1-related protein kinase 2</t>
  </si>
  <si>
    <t>&gt;tr|O01440|O01440_CAEEL DUF4015 domain-containing protein OS=Caenorhabditis elegans OX=6239 GN=B0261.6 PE=4 SV=2</t>
  </si>
  <si>
    <t>O01440</t>
  </si>
  <si>
    <t>B0261.6</t>
  </si>
  <si>
    <t>DUF4015 domain-containing protein</t>
  </si>
  <si>
    <t>&gt;tr|O01441|O01441_CAEEL Myb-like domain-containing protein OS=Caenorhabditis elegans OX=6239 GN=vep-1 PE=1 SV=2</t>
  </si>
  <si>
    <t>O01441</t>
  </si>
  <si>
    <t>vep-1</t>
  </si>
  <si>
    <t>Myb-like domain-containing protein</t>
  </si>
  <si>
    <t>&gt;tr|O01442|O01442_CAEEL Zf-tcix domain-containing protein OS=Caenorhabditis elegans OX=6239 GN=B0261.7 PE=1 SV=1</t>
  </si>
  <si>
    <t>O01442</t>
  </si>
  <si>
    <t>B0261.7</t>
  </si>
  <si>
    <t>Zf-tcix domain-containing protein</t>
  </si>
  <si>
    <t>&gt;tr|O01470|O01470_CAEEL RAP domain-containing protein OS=Caenorhabditis elegans OX=6239 GN=C04E6.11 PE=4 SV=2</t>
  </si>
  <si>
    <t>O01470</t>
  </si>
  <si>
    <t>C04E6.11</t>
  </si>
  <si>
    <t>RAP domain-containing protein</t>
  </si>
  <si>
    <t>&gt;sp|O01477|SIMR1_CAEEL Protein simr-1 OS=Caenorhabditis elegans OX=6239 GN=simr-1 PE=1 SV=1</t>
  </si>
  <si>
    <t>O01477</t>
  </si>
  <si>
    <t>simr-1</t>
  </si>
  <si>
    <t>Protein simr-1</t>
  </si>
  <si>
    <t>&gt;sp|O01479|TMOD_CAEEL Tropomodulin OS=Caenorhabditis elegans OX=6239 GN=unc-94 PE=1 SV=2</t>
  </si>
  <si>
    <t>O01479</t>
  </si>
  <si>
    <t>unc-94</t>
  </si>
  <si>
    <t>Tropomodulin</t>
  </si>
  <si>
    <t>&gt;tr|O01483|O01483_CAEEL DUF3677 domain-containing protein OS=Caenorhabditis elegans OX=6239 GN=ints-1 PE=1 SV=2</t>
  </si>
  <si>
    <t>O01483</t>
  </si>
  <si>
    <t>ints-1</t>
  </si>
  <si>
    <t>DUF3677 domain-containing protein</t>
  </si>
  <si>
    <t>&gt;tr|O01485|O01485_CAEEL HEAT repeat-containing protein 5B OS=Caenorhabditis elegans OX=6239 GN=soap-1 PE=1 SV=1</t>
  </si>
  <si>
    <t>O01485</t>
  </si>
  <si>
    <t>soap-1</t>
  </si>
  <si>
    <t>HEAT repeat-containing protein 5B</t>
  </si>
  <si>
    <t>&gt;tr|O01497|O01497_CAEEL ShKT domain-containing protein OS=Caenorhabditis elegans OX=6239 GN=tyr-4 PE=1 SV=1</t>
  </si>
  <si>
    <t>O01497</t>
  </si>
  <si>
    <t>tyr-4</t>
  </si>
  <si>
    <t>&gt;tr|O01505|O01505_CAEEL Prion-like-(Q/N-rich)-domain-bearing protein OS=Caenorhabditis elegans OX=6239 GN=pqn-20 PE=4 SV=3</t>
  </si>
  <si>
    <t>O01505</t>
  </si>
  <si>
    <t>pqn-20</t>
  </si>
  <si>
    <t>&gt;sp|O01510|SMG1_CAEEL Serine/threonine-protein kinase smg-1 OS=Caenorhabditis elegans OX=6239 GN=smg-1 PE=1 SV=3</t>
  </si>
  <si>
    <t>O01510</t>
  </si>
  <si>
    <t>smg-1</t>
  </si>
  <si>
    <t>Serine/threonine-protein kinase smg-1</t>
  </si>
  <si>
    <t>&gt;sp|O01513|IMP3_CAEEL U3 small nucleolar ribonucleoprotein protein imp3 OS=Caenorhabditis elegans OX=6239 GN=C48B6.2 PE=3 SV=1</t>
  </si>
  <si>
    <t>O01513</t>
  </si>
  <si>
    <t>C48B6.2</t>
  </si>
  <si>
    <t>U3 small nucleolar ribonucleoprotein protein imp3</t>
  </si>
  <si>
    <t>&gt;tr|O01525|O01525_CAEEL ETS class transcription factor OS=Caenorhabditis elegans OX=6239 GN=ets-6 PE=4 SV=1</t>
  </si>
  <si>
    <t>O01525</t>
  </si>
  <si>
    <t>ets-6</t>
  </si>
  <si>
    <t>ETS class transcription factor</t>
  </si>
  <si>
    <t>&gt;tr|O01537|O01537_CAEEL Major facilitator superfamily (MFS) profile domain-containing protein OS=Caenorhabditis elegans OX=6239 GN=slc-17.5 PE=4 SV=1</t>
  </si>
  <si>
    <t>O01537</t>
  </si>
  <si>
    <t>slc-17.5</t>
  </si>
  <si>
    <t>&gt;sp|O01541|SYAC_CAEEL Alanine--tRNA ligase, cytoplasmic OS=Caenorhabditis elegans OX=6239 GN=aars-2 PE=2 SV=1</t>
  </si>
  <si>
    <t>O01541</t>
  </si>
  <si>
    <t>aars-2</t>
  </si>
  <si>
    <t>Alanine--tRNA ligase, cytoplasmic</t>
  </si>
  <si>
    <t>&gt;tr|O01542|O01542_CAEEL Calponin-homology (CH) domain-containing protein OS=Caenorhabditis elegans OX=6239 GN=cpn-3 PE=1 SV=1</t>
  </si>
  <si>
    <t>O01542</t>
  </si>
  <si>
    <t>cpn-3</t>
  </si>
  <si>
    <t>&gt;sp|O01578|MPC2_CAEEL Probable mitochondrial pyruvate carrier 2 OS=Caenorhabditis elegans OX=6239 GN=mpc-2 PE=3 SV=2</t>
  </si>
  <si>
    <t>O01578</t>
  </si>
  <si>
    <t>mpc-2</t>
  </si>
  <si>
    <t>Probable mitochondrial pyruvate carrier 2</t>
  </si>
  <si>
    <t>&gt;tr|O01582|O01582_CAEEL DM domain-containing protein OS=Caenorhabditis elegans OX=6239 GN=dmd-7 PE=4 SV=2</t>
  </si>
  <si>
    <t>O01582</t>
  </si>
  <si>
    <t>dmd-7</t>
  </si>
  <si>
    <t>DM domain-containing protein</t>
  </si>
  <si>
    <t>&gt;sp|O01583|MRCK_CAEEL Serine/threonine-protein kinase mrck-1 OS=Caenorhabditis elegans OX=6239 GN=mrck-1 PE=1 SV=3</t>
  </si>
  <si>
    <t>O01583</t>
  </si>
  <si>
    <t>mrck-1</t>
  </si>
  <si>
    <t>Serine/threonine-protein kinase mrck-1</t>
  </si>
  <si>
    <t>&gt;tr|O01585|O01585_CAEEL Rho-GAP domain-containing protein OS=Caenorhabditis elegans OX=6239 GN=rga-3 PE=1 SV=1</t>
  </si>
  <si>
    <t>O01585</t>
  </si>
  <si>
    <t>rga-3</t>
  </si>
  <si>
    <t>&gt;tr|O01590|O01590_CAEEL Acyl-CoA dehydrogenase family member 11 OS=Caenorhabditis elegans OX=6239 GN=acds-10 PE=1 SV=2</t>
  </si>
  <si>
    <t>O01590</t>
  </si>
  <si>
    <t>acds-10</t>
  </si>
  <si>
    <t>Acyl-CoA dehydrogenase family member 11</t>
  </si>
  <si>
    <t>&gt;tr|O01593|O01593_CAEEL Methyltransferase domain-containing protein OS=Caenorhabditis elegans OX=6239 GN=rips-1 PE=1 SV=1</t>
  </si>
  <si>
    <t>O01593</t>
  </si>
  <si>
    <t>rips-1</t>
  </si>
  <si>
    <t>Methyltransferase domain-containing protein</t>
  </si>
  <si>
    <t>&gt;tr|O01598|O01598_CAEEL RNA helicase OS=Caenorhabditis elegans OX=6239 GN=let-355 PE=1 SV=3</t>
  </si>
  <si>
    <t>O01598</t>
  </si>
  <si>
    <t>let-355</t>
  </si>
  <si>
    <t>RNA helicase</t>
  </si>
  <si>
    <t>&gt;tr|O01614|O01614_CAEEL Glucuronosyltransferase OS=Caenorhabditis elegans OX=6239 GN=ugt-12 PE=1 SV=1</t>
  </si>
  <si>
    <t>O01614</t>
  </si>
  <si>
    <t>ugt-12</t>
  </si>
  <si>
    <t>Glucuronosyltransferase</t>
  </si>
  <si>
    <t>&gt;tr|O01619|O01619_CAEEL NadR/Ttd14 AAA domain-containing protein OS=Caenorhabditis elegans OX=6239 GN=unc-132 PE=1 SV=2</t>
  </si>
  <si>
    <t>O01619</t>
  </si>
  <si>
    <t>unc-132</t>
  </si>
  <si>
    <t>NadR/Ttd14 AAA domain-containing protein</t>
  </si>
  <si>
    <t>&gt;sp|O01634|INX12_CAEEL Innexin-12 OS=Caenorhabditis elegans OX=6239 GN=inx-12 PE=1 SV=1</t>
  </si>
  <si>
    <t>O01634</t>
  </si>
  <si>
    <t>inx-12</t>
  </si>
  <si>
    <t>Innexin-12</t>
  </si>
  <si>
    <t>&gt;sp|O01658|NO66_CAEEL Bifunctional lysine-specific demethylase and histidyl-hydroxylase NO66 OS=Caenorhabditis elegans OX=6239 GN=jmjc-1 PE=3 SV=2</t>
  </si>
  <si>
    <t>O01658</t>
  </si>
  <si>
    <t>jmjc-1</t>
  </si>
  <si>
    <t>Bifunctional lysine-specific demethylase and histidyl-hydroxylase NO66</t>
  </si>
  <si>
    <t>&gt;sp|O01683|SSP1B_CAEEL FACT complex subunit ssrp1-B OS=Caenorhabditis elegans OX=6239 GN=hmg-3 PE=1 SV=1</t>
  </si>
  <si>
    <t>O01683</t>
  </si>
  <si>
    <t>hmg-3</t>
  </si>
  <si>
    <t>FACT complex subunit ssrp1-B</t>
  </si>
  <si>
    <t>&gt;tr|O01685|O01685_CAEEL alanine transaminase OS=Caenorhabditis elegans OX=6239 GN=C32F10.8 PE=1 SV=2</t>
  </si>
  <si>
    <t>O01685</t>
  </si>
  <si>
    <t>C32F10.8</t>
  </si>
  <si>
    <t>alanine transaminase</t>
  </si>
  <si>
    <t>&gt;tr|O01686|O01686_CAEEL Oxysterol-binding protein OS=Caenorhabditis elegans OX=6239 GN=obr-4 PE=1 SV=2</t>
  </si>
  <si>
    <t>O01686</t>
  </si>
  <si>
    <t>obr-4</t>
  </si>
  <si>
    <t>&gt;sp|O01692|RS17_CAEEL Small ribosomal subunit protein eS17 OS=Caenorhabditis elegans OX=6239 GN=rps-17 PE=3 SV=2</t>
  </si>
  <si>
    <t>O01692</t>
  </si>
  <si>
    <t>rps-17</t>
  </si>
  <si>
    <t>Small ribosomal subunit protein eS17</t>
  </si>
  <si>
    <t>&gt;sp|O01735|YC91_CAEEL Uncharacterized MFS-type transporter C09D4.1 OS=Caenorhabditis elegans OX=6239 GN=C09D4.1 PE=3 SV=2</t>
  </si>
  <si>
    <t>O01735</t>
  </si>
  <si>
    <t>C09D4.1</t>
  </si>
  <si>
    <t>Uncharacterized MFS-type transporter C09D4.1</t>
  </si>
  <si>
    <t>&gt;sp|O01737|SBNO_CAEEL Protein strawberry notch homolog OS=Caenorhabditis elegans OX=6239 GN=let-765 PE=1 SV=3</t>
  </si>
  <si>
    <t>O01737</t>
  </si>
  <si>
    <t>let-765</t>
  </si>
  <si>
    <t>Protein strawberry notch homolog</t>
  </si>
  <si>
    <t>&gt;tr|O01755|O01755_CAEEL MHD domain-containing protein OS=Caenorhabditis elegans OX=6239 GN=apm-1 PE=1 SV=2</t>
  </si>
  <si>
    <t>O01755</t>
  </si>
  <si>
    <t>apm-1</t>
  </si>
  <si>
    <t>MHD domain-containing protein</t>
  </si>
  <si>
    <t>&gt;tr|O01756|O01756_CAEEL Telomere_reg-2 domain-containing protein OS=Caenorhabditis elegans OX=6239 GN=CELE_F55A12.5 PE=1 SV=2</t>
  </si>
  <si>
    <t>O01756</t>
  </si>
  <si>
    <t>Telomere_reg-2 domain-containing protein</t>
  </si>
  <si>
    <t>&gt;sp|O01757|NAT10_CAEEL RNA cytidine acetyltransferase OS=Caenorhabditis elegans OX=6239 GN=nath-10 PE=3 SV=1</t>
  </si>
  <si>
    <t>O01757</t>
  </si>
  <si>
    <t>nath-10</t>
  </si>
  <si>
    <t>RNA cytidine acetyltransferase</t>
  </si>
  <si>
    <t>&gt;tr|O01759|O01759_CAEEL PIPK domain-containing protein OS=Caenorhabditis elegans OX=6239 GN=ppk-1 PE=1 SV=2</t>
  </si>
  <si>
    <t>O01759</t>
  </si>
  <si>
    <t>ppk-1</t>
  </si>
  <si>
    <t>PIPK domain-containing protein</t>
  </si>
  <si>
    <t>&gt;sp|O01761|UNC89_CAEEL Muscle M-line assembly protein unc-89 OS=Caenorhabditis elegans OX=6239 GN=unc-89 PE=1 SV=3</t>
  </si>
  <si>
    <t>O01761</t>
  </si>
  <si>
    <t>unc-89</t>
  </si>
  <si>
    <t>Muscle M-line assembly protein unc-89</t>
  </si>
  <si>
    <t>&gt;sp|O01767|EGG4_CAEEL Inactive protein-tyrosine phosphatase egg-4 OS=Caenorhabditis elegans OX=6239 GN=egg-4 PE=1 SV=1</t>
  </si>
  <si>
    <t>O01767</t>
  </si>
  <si>
    <t>egg-4</t>
  </si>
  <si>
    <t>Inactive protein-tyrosine phosphatase egg-4</t>
  </si>
  <si>
    <t>&gt;sp|O01775|NEKL2_CAEEL Serine/threonine-protein kinase nekl-2 OS=Caenorhabditis elegans OX=6239 GN=nekl-2 PE=2 SV=1</t>
  </si>
  <si>
    <t>O01775</t>
  </si>
  <si>
    <t>nekl-2</t>
  </si>
  <si>
    <t>Serine/threonine-protein kinase nekl-2</t>
  </si>
  <si>
    <t>&gt;tr|O01780|O01780_CAEEL Chitin-binding type-2 domain-containing protein OS=Caenorhabditis elegans OX=6239 GN=ule-1 PE=1 SV=1</t>
  </si>
  <si>
    <t>O01780</t>
  </si>
  <si>
    <t>ule-1</t>
  </si>
  <si>
    <t>&gt;sp|O01789|SMC1_CAEEL Structural maintenance of chromosomes protein 1 OS=Caenorhabditis elegans OX=6239 GN=him-1 PE=1 SV=4</t>
  </si>
  <si>
    <t>O01789</t>
  </si>
  <si>
    <t>him-1</t>
  </si>
  <si>
    <t>Structural maintenance of chromosomes protein 1</t>
  </si>
  <si>
    <t>&gt;sp|O01802|RL7_CAEEL Large ribosomal subunit protein uL30 OS=Caenorhabditis elegans OX=6239 GN=rpl-7 PE=3 SV=1</t>
  </si>
  <si>
    <t>O01802</t>
  </si>
  <si>
    <t>rpl-7</t>
  </si>
  <si>
    <t>Large ribosomal subunit protein uL30</t>
  </si>
  <si>
    <t>&gt;sp|O01803|RB11A_CAEEL Ras-related protein rab-11.1 OS=Caenorhabditis elegans OX=6239 GN=rab-11.1 PE=1 SV=1</t>
  </si>
  <si>
    <t>O01803</t>
  </si>
  <si>
    <t>rab-11.1</t>
  </si>
  <si>
    <t>Ras-related protein rab-11.1</t>
  </si>
  <si>
    <t>&gt;tr|O01806|O01806_CAEEL Lupus La protein OS=Caenorhabditis elegans OX=6239 GN=ssb-1 PE=1 SV=1</t>
  </si>
  <si>
    <t>O01806</t>
  </si>
  <si>
    <t>ssb-1</t>
  </si>
  <si>
    <t>Lupus La protein</t>
  </si>
  <si>
    <t>&gt;tr|O01810|O01810_CAEEL Transmembrane protein 144 homolog OS=Caenorhabditis elegans OX=6239 GN=CELE_W02D3.4 PE=1 SV=1</t>
  </si>
  <si>
    <t>O01810</t>
  </si>
  <si>
    <t>Transmembrane protein 144 homolog</t>
  </si>
  <si>
    <t>&gt;sp|O01812|FABP6_CAEEL Fatty acid-binding protein homolog 6 OS=Caenorhabditis elegans OX=6239 GN=lbp-6 PE=1 SV=1</t>
  </si>
  <si>
    <t>O01812</t>
  </si>
  <si>
    <t>lbp-6</t>
  </si>
  <si>
    <t>Fatty acid-binding protein homolog 6</t>
  </si>
  <si>
    <t>&gt;tr|O01815|O01815_CAEEL Dihydroorotate dehydrogenase (quinone), mitochondrial OS=Caenorhabditis elegans OX=6239 GN=dhod-1 PE=1 SV=1</t>
  </si>
  <si>
    <t>O01815</t>
  </si>
  <si>
    <t>dhod-1</t>
  </si>
  <si>
    <t>Dihydroorotate dehydrogenase (quinone), mitochondrial</t>
  </si>
  <si>
    <t>&gt;tr|O01826|O01826_CAEEL Large subunit GTPase 1 homolog OS=Caenorhabditis elegans OX=6239 GN=C53H9.2 PE=1 SV=3</t>
  </si>
  <si>
    <t>O01826</t>
  </si>
  <si>
    <t>C53H9.2</t>
  </si>
  <si>
    <t>Large subunit GTPase 1 homolog</t>
  </si>
  <si>
    <t>&gt;sp|O01833|H15_CAEEL Histone H1.5 OS=Caenorhabditis elegans OX=6239 GN=hil-5 PE=2 SV=3</t>
  </si>
  <si>
    <t>O01833</t>
  </si>
  <si>
    <t>hil-5</t>
  </si>
  <si>
    <t>Histone H1.5</t>
  </si>
  <si>
    <t>&gt;sp|O01835|CPB3_CAEEL Cytoplasmic polyadenylation element-binding protein 3 OS=Caenorhabditis elegans OX=6239 GN=cpb-3 PE=2 SV=2</t>
  </si>
  <si>
    <t>O01835</t>
  </si>
  <si>
    <t>cpb-3</t>
  </si>
  <si>
    <t>Cytoplasmic polyadenylation element-binding protein 3</t>
  </si>
  <si>
    <t>&gt;sp|O01840|PEPT3_CAEEL Peptide transporter 3 OS=Caenorhabditis elegans OX=6239 GN=pept-3 PE=1 SV=1</t>
  </si>
  <si>
    <t>O01840</t>
  </si>
  <si>
    <t>pept-3</t>
  </si>
  <si>
    <t>Peptide transporter 3</t>
  </si>
  <si>
    <t>&gt;tr|O01858|O01858_CAEEL WASH complex subunit strumpellin OS=Caenorhabditis elegans OX=6239 GN=CELE_T05E7.3 PE=1 SV=1</t>
  </si>
  <si>
    <t>O01858</t>
  </si>
  <si>
    <t>WASH complex subunit strumpellin</t>
  </si>
  <si>
    <t>&gt;tr|O01864|O01864_CAEEL CID domain-containing protein OS=Caenorhabditis elegans OX=6239 GN=nrd-1 PE=1 SV=2</t>
  </si>
  <si>
    <t>O01864</t>
  </si>
  <si>
    <t>nrd-1</t>
  </si>
  <si>
    <t>&gt;sp|O01868|RL24_CAEEL Large ribosomal subunit protein eL24 OS=Caenorhabditis elegans OX=6239 GN=rpl-24.1 PE=3 SV=1</t>
  </si>
  <si>
    <t>O01868</t>
  </si>
  <si>
    <t>rpl-24.1</t>
  </si>
  <si>
    <t>Large ribosomal subunit protein eL24</t>
  </si>
  <si>
    <t>&gt;tr|O01869|O01869_CAEEL Plectin/S10 N-terminal domain-containing protein OS=Caenorhabditis elegans OX=6239 GN=rps-10 PE=1 SV=1</t>
  </si>
  <si>
    <t>O01869</t>
  </si>
  <si>
    <t>rps-10</t>
  </si>
  <si>
    <t>Plectin/S10 N-terminal domain-containing protein</t>
  </si>
  <si>
    <t>&gt;tr|O01870|O01870_CAEEL TMEM (Human TransMEMbrane protein) homolog OS=Caenorhabditis elegans OX=6239 GN=tmem-39 PE=1 SV=2</t>
  </si>
  <si>
    <t>O01870</t>
  </si>
  <si>
    <t>tmem-39</t>
  </si>
  <si>
    <t>TMEM (Human TransMEMbrane protein) homolog</t>
  </si>
  <si>
    <t>&gt;tr|O01883|O01883_CAEEL UnCoupling Protein (Mitochondrial substrate carrier) OS=Caenorhabditis elegans OX=6239 GN=ucp-4 PE=1 SV=2</t>
  </si>
  <si>
    <t>O01883</t>
  </si>
  <si>
    <t>ucp-4</t>
  </si>
  <si>
    <t>UnCoupling Protein (Mitochondrial substrate carrier)</t>
  </si>
  <si>
    <t>&gt;sp|O01884|COQ6_CAEEL Ubiquinone biosynthesis monooxygenase COQ6, mitochondrial OS=Caenorhabditis elegans OX=6239 GN=coq-6 PE=3 SV=2</t>
  </si>
  <si>
    <t>O01884</t>
  </si>
  <si>
    <t>coq-6</t>
  </si>
  <si>
    <t>Ubiquinone biosynthesis monooxygenase COQ6, mitochondrial</t>
  </si>
  <si>
    <t>&gt;tr|O01889|O01889_CAEEL Methyltransferase domain-containing protein OS=Caenorhabditis elegans OX=6239 GN=CELE_R08F11.4 PE=1 SV=1</t>
  </si>
  <si>
    <t>O01889</t>
  </si>
  <si>
    <t>&gt;tr|O01900|O01900_CAEEL TFIIS central domain-containing protein OS=Caenorhabditis elegans OX=6239 GN=CELE_F59E12.9 PE=1 SV=1</t>
  </si>
  <si>
    <t>O01900</t>
  </si>
  <si>
    <t>TFIIS central domain-containing protein</t>
  </si>
  <si>
    <t>&gt;tr|O01905|O01905_CAEEL Bromo domain-containing protein OS=Caenorhabditis elegans OX=6239 GN=CELE_F59E12.1 PE=1 SV=2</t>
  </si>
  <si>
    <t>O01905</t>
  </si>
  <si>
    <t>&gt;sp|O01916|CRLS1_CAEEL Probable cardiolipin synthase (CMP-forming) OS=Caenorhabditis elegans OX=6239 GN=crls-1 PE=3 SV=1</t>
  </si>
  <si>
    <t>O01916</t>
  </si>
  <si>
    <t>crls-1</t>
  </si>
  <si>
    <t>Probable cardiolipin synthase (CMP-forming)</t>
  </si>
  <si>
    <t>&gt;tr|O01918|O01918_CAEEL MYND-type domain-containing protein OS=Caenorhabditis elegans OX=6239 GN=bra-2 PE=1 SV=1</t>
  </si>
  <si>
    <t>O01918</t>
  </si>
  <si>
    <t>bra-2</t>
  </si>
  <si>
    <t>MYND-type domain-containing protein</t>
  </si>
  <si>
    <t>&gt;sp|O01925|MBOA5_CAEEL Lysophospholipid acyltransferase 5 OS=Caenorhabditis elegans OX=6239 GN=mboa-6 PE=1 SV=2</t>
  </si>
  <si>
    <t>O01925</t>
  </si>
  <si>
    <t>mboa-6</t>
  </si>
  <si>
    <t>Lysophospholipid acyltransferase 5</t>
  </si>
  <si>
    <t>&gt;tr|O01927|O01927_CAEEL Major facilitator superfamily (MFS) profile domain-containing protein OS=Caenorhabditis elegans OX=6239 GN=spin-1 PE=3 SV=1</t>
  </si>
  <si>
    <t>O01927</t>
  </si>
  <si>
    <t>spin-1</t>
  </si>
  <si>
    <t>&gt;tr|O01963|O01963_CAEEL RBR-type E3 ubiquitin transferase OS=Caenorhabditis elegans OX=6239 GN=ari-1.3 PE=1 SV=1</t>
  </si>
  <si>
    <t>O01963</t>
  </si>
  <si>
    <t>ari-1.3</t>
  </si>
  <si>
    <t>RBR-type E3 ubiquitin transferase</t>
  </si>
  <si>
    <t>&gt;tr|O01964|O01964_CAEEL RBR-type E3 ubiquitin transferase OS=Caenorhabditis elegans OX=6239 GN=ari-1.2 PE=3 SV=1</t>
  </si>
  <si>
    <t>O01964</t>
  </si>
  <si>
    <t>ari-1.2</t>
  </si>
  <si>
    <t>&gt;sp|O01965|ARI11_CAEEL E3 ubiquitin-protein ligase ari-1.1 OS=Caenorhabditis elegans OX=6239 GN=ari-1.1 PE=1 SV=3</t>
  </si>
  <si>
    <t>O01965</t>
  </si>
  <si>
    <t>ari-1.1</t>
  </si>
  <si>
    <t>E3 ubiquitin-protein ligase ari-1.1</t>
  </si>
  <si>
    <t>&gt;tr|O01966|O01966_CAEEL GPI ethanolamine phosphate transferase 3 OS=Caenorhabditis elegans OX=6239 GN=pigo-1 PE=1 SV=4</t>
  </si>
  <si>
    <t>O01966</t>
  </si>
  <si>
    <t>pigo-1</t>
  </si>
  <si>
    <t>GPI ethanolamine phosphate transferase 3</t>
  </si>
  <si>
    <t>&gt;tr|O01969|O01969_CAEEL Galactokinase OS=Caenorhabditis elegans OX=6239 GN=tag-96 PE=1 SV=3</t>
  </si>
  <si>
    <t>O01969</t>
  </si>
  <si>
    <t>tag-96</t>
  </si>
  <si>
    <t>Galactokinase</t>
  </si>
  <si>
    <t>&gt;sp|O01974|EIF3H_CAEEL Eukaryotic translation initiation factor 3 subunit H OS=Caenorhabditis elegans OX=6239 GN=eif-3.H PE=3 SV=2</t>
  </si>
  <si>
    <t>O01974</t>
  </si>
  <si>
    <t>eif-3.H</t>
  </si>
  <si>
    <t>Eukaryotic translation initiation factor 3 subunit H</t>
  </si>
  <si>
    <t>&gt;sp|O01975|CMT1_CAEEL Protein cmt-1 OS=Caenorhabditis elegans OX=6239 GN=cmt-1 PE=4 SV=2</t>
  </si>
  <si>
    <t>O01975</t>
  </si>
  <si>
    <t>cmt-1</t>
  </si>
  <si>
    <t>Protein cmt-1</t>
  </si>
  <si>
    <t>&gt;tr|O01976|O01976_CAEEL Enhanced RNAI (RNA interference) OS=Caenorhabditis elegans OX=6239 GN=eri-7 PE=1 SV=2</t>
  </si>
  <si>
    <t>O01976</t>
  </si>
  <si>
    <t>eri-7</t>
  </si>
  <si>
    <t>Enhanced RNAI (RNA interference)</t>
  </si>
  <si>
    <t>&gt;sp|O01991|EF2K_CAEEL Eukaryotic elongation factor 2 kinase OS=Caenorhabditis elegans OX=6239 GN=efk-1 PE=1 SV=1</t>
  </si>
  <si>
    <t>O01991</t>
  </si>
  <si>
    <t>efk-1</t>
  </si>
  <si>
    <t>Eukaryotic elongation factor 2 kinase</t>
  </si>
  <si>
    <t>&gt;sp|O02042|MED1L_CAEEL Mediator of RNA polymerase II transcription subunit 1.2 OS=Caenorhabditis elegans OX=6239 GN=mdt-1.2 PE=3 SV=1</t>
  </si>
  <si>
    <t>O02042</t>
  </si>
  <si>
    <t>mdt-1.2</t>
  </si>
  <si>
    <t>Mediator of RNA polymerase II transcription subunit 1.2</t>
  </si>
  <si>
    <t>&gt;sp|O02056|RL4_CAEEL Large ribosomal subunit protein uL4 OS=Caenorhabditis elegans OX=6239 GN=rpl-4 PE=1 SV=3</t>
  </si>
  <si>
    <t>O02056</t>
  </si>
  <si>
    <t>rpl-4</t>
  </si>
  <si>
    <t>Large ribosomal subunit protein uL4</t>
  </si>
  <si>
    <t>&gt;tr|O02075|O02075_CAEEL RING-type domain-containing protein OS=Caenorhabditis elegans OX=6239 GN=CELE_F19B10.10 PE=1 SV=1</t>
  </si>
  <si>
    <t>O02075</t>
  </si>
  <si>
    <t>&gt;tr|O02082|O02082_CAEEL Uncharacterized protein OS=Caenorhabditis elegans OX=6239 GN=C48E7.1 PE=1 SV=1</t>
  </si>
  <si>
    <t>O02082</t>
  </si>
  <si>
    <t>C48E7.1</t>
  </si>
  <si>
    <t>&gt;tr|O02086|O02086_CAEEL ABC-type antigen peptide transporter OS=Caenorhabditis elegans OX=6239 GN=haf-2 PE=1 SV=2</t>
  </si>
  <si>
    <t>O02086</t>
  </si>
  <si>
    <t>haf-2</t>
  </si>
  <si>
    <t>ABC-type antigen peptide transporter</t>
  </si>
  <si>
    <t>&gt;tr|O02089|O02089_CAEEL peptide-methionine (S)-S-oxide reductase OS=Caenorhabditis elegans OX=6239 GN=msra-1 PE=1 SV=1</t>
  </si>
  <si>
    <t>O02089</t>
  </si>
  <si>
    <t>msra-1</t>
  </si>
  <si>
    <t>peptide-methionine (S)-S-oxide reductase</t>
  </si>
  <si>
    <t>&gt;tr|O02092|O02092_CAEEL RNA polymerase Rpb4/RPC9 core domain-containing protein OS=Caenorhabditis elegans OX=6239 GN=rpb-4 PE=1 SV=3</t>
  </si>
  <si>
    <t>O02092</t>
  </si>
  <si>
    <t>rpb-4</t>
  </si>
  <si>
    <t>RNA polymerase Rpb4/RPC9 core domain-containing protein</t>
  </si>
  <si>
    <t>&gt;tr|O02096|O02096_CAEEL C-CAP/cofactor C-like domain-containing protein OS=Caenorhabditis elegans OX=6239 GN=cas-2 PE=1 SV=2</t>
  </si>
  <si>
    <t>O02096</t>
  </si>
  <si>
    <t>cas-2</t>
  </si>
  <si>
    <t>C-CAP/cofactor C-like domain-containing protein</t>
  </si>
  <si>
    <t>&gt;sp|O02101|SWIC2_CAEEL SWI/SNF chromatin-remodeling accessory subunit 2 OS=Caenorhabditis elegans OX=6239 GN=swsn-2.2 PE=1 SV=2</t>
  </si>
  <si>
    <t>O02101</t>
  </si>
  <si>
    <t>swsn-2.2</t>
  </si>
  <si>
    <t>SWI/SNF chromatin-remodeling accessory subunit 2</t>
  </si>
  <si>
    <t>&gt;sp|O02108|CDC37_CAEEL Probable Hsp90 co-chaperone cdc37 OS=Caenorhabditis elegans OX=6239 GN=cdc-37 PE=1 SV=1</t>
  </si>
  <si>
    <t>O02108</t>
  </si>
  <si>
    <t>cdc-37</t>
  </si>
  <si>
    <t>Probable Hsp90 co-chaperone cdc37</t>
  </si>
  <si>
    <t>&gt;tr|O02141|O02141_CAEEL Uncharacterized protein OS=Caenorhabditis elegans OX=6239 GN=C46G7.2 PE=1 SV=1</t>
  </si>
  <si>
    <t>O02141</t>
  </si>
  <si>
    <t>C46G7.2</t>
  </si>
  <si>
    <t>&gt;tr|O02155|O02155_CAEEL Uncharacterized protein OS=Caenorhabditis elegans OX=6239 GN=CELE_T09B4.5 PE=1 SV=1</t>
  </si>
  <si>
    <t>O02155</t>
  </si>
  <si>
    <t>&gt;tr|O02158|O02158_CAEEL Alanine--glyoxylate aminotransferase 2, mitochondrial OS=Caenorhabditis elegans OX=6239 GN=CELE_T09B4.8 PE=1 SV=3</t>
  </si>
  <si>
    <t>O02158</t>
  </si>
  <si>
    <t>Alanine--glyoxylate aminotransferase 2, mitochondrial</t>
  </si>
  <si>
    <t>&gt;sp|O02161|TIM44_CAEEL Probable mitochondrial import inner membrane translocase subunit tin-44 OS=Caenorhabditis elegans OX=6239 GN=tin-44 PE=3 SV=1</t>
  </si>
  <si>
    <t>O02161</t>
  </si>
  <si>
    <t>tin-44</t>
  </si>
  <si>
    <t>Probable mitochondrial import inner membrane translocase subunit tin-44</t>
  </si>
  <si>
    <t>&gt;tr|O02168|O02168_CAEEL CBS domain-containing protein OS=Caenorhabditis elegans OX=6239 GN=aakg-2 PE=1 SV=2</t>
  </si>
  <si>
    <t>O02168</t>
  </si>
  <si>
    <t>aakg-2</t>
  </si>
  <si>
    <t>&gt;tr|O02169|O02169_CAEEL C2H2-type domain-containing protein OS=Caenorhabditis elegans OX=6239 GN=CELE_T20F7.1 PE=1 SV=3</t>
  </si>
  <si>
    <t>O02169</t>
  </si>
  <si>
    <t>&gt;tr|O02207|O02207_CAEEL Membrane insertase YidC/Oxa/ALB C-terminal domain-containing protein OS=Caenorhabditis elegans OX=6239 GN=oxa-1 PE=1 SV=2</t>
  </si>
  <si>
    <t>O02207</t>
  </si>
  <si>
    <t>oxa-1</t>
  </si>
  <si>
    <t>Membrane insertase YidC/Oxa/ALB C-terminal domain-containing protein</t>
  </si>
  <si>
    <t>&gt;tr|O02209|O02209_CAEEL Replication termination factor 2 OS=Caenorhabditis elegans OX=6239 GN=tads-1 PE=1 SV=1</t>
  </si>
  <si>
    <t>O02209</t>
  </si>
  <si>
    <t>tads-1</t>
  </si>
  <si>
    <t>Replication termination factor 2</t>
  </si>
  <si>
    <t>&gt;sp|O02217|P2R31_CAEEL Serine/threonine-protein phosphatase 2A regulatory subunit rsa-1 OS=Caenorhabditis elegans OX=6239 GN=rsa-1 PE=1 SV=2</t>
  </si>
  <si>
    <t>O02217</t>
  </si>
  <si>
    <t>rsa-1</t>
  </si>
  <si>
    <t>Serine/threonine-protein phosphatase 2A regulatory subunit rsa-1</t>
  </si>
  <si>
    <t>&gt;sp|O02218|LID1_CAEEL Abhydrolase domain-containing protein lid-1 OS=Caenorhabditis elegans OX=6239 GN=lid-1 PE=1 SV=2</t>
  </si>
  <si>
    <t>O02218</t>
  </si>
  <si>
    <t>lid-1</t>
  </si>
  <si>
    <t>Abhydrolase domain-containing protein lid-1</t>
  </si>
  <si>
    <t>&gt;sp|O02219|AHA1_CAEEL Aryl hydrocarbon receptor nuclear translocator homolog OS=Caenorhabditis elegans OX=6239 GN=aha-1 PE=1 SV=1</t>
  </si>
  <si>
    <t>O02219</t>
  </si>
  <si>
    <t>aha-1</t>
  </si>
  <si>
    <t>Aryl hydrocarbon receptor nuclear translocator homolog</t>
  </si>
  <si>
    <t>&gt;tr|O02220|O02220_CAEEL Large ribosomal subunit protein mL43 OS=Caenorhabditis elegans OX=6239 GN=mrpl-34 PE=1 SV=1</t>
  </si>
  <si>
    <t>O02220</t>
  </si>
  <si>
    <t>mrpl-34</t>
  </si>
  <si>
    <t>Large ribosomal subunit protein mL43</t>
  </si>
  <si>
    <t>&gt;tr|O02225|O02225_CAEEL glutamine synthetase OS=Caenorhabditis elegans OX=6239 GN=gln-6 PE=1 SV=1</t>
  </si>
  <si>
    <t>O02225</t>
  </si>
  <si>
    <t>gln-6</t>
  </si>
  <si>
    <t>glutamine synthetase</t>
  </si>
  <si>
    <t>&gt;tr|O02238|O02238_CAEEL Prion-like-(Q/N-rich)-domain-bearing protein OS=Caenorhabditis elegans OX=6239 GN=pqn-27 PE=1 SV=2</t>
  </si>
  <si>
    <t>O02238</t>
  </si>
  <si>
    <t>pqn-27</t>
  </si>
  <si>
    <t>&gt;sp|O02279|NHR62_CAEEL Nuclear hormone receptor family member nhr-62 OS=Caenorhabditis elegans OX=6239 GN=nhr-62 PE=2 SV=3</t>
  </si>
  <si>
    <t>O02279</t>
  </si>
  <si>
    <t>nhr-62</t>
  </si>
  <si>
    <t>Nuclear hormone receptor family member nhr-62</t>
  </si>
  <si>
    <t>&gt;tr|O02286|O02286_CAEEL phosphoenolpyruvate carboxykinase (GTP) OS=Caenorhabditis elegans OX=6239 GN=pck-2 PE=1 SV=1</t>
  </si>
  <si>
    <t>O02286</t>
  </si>
  <si>
    <t>pck-2</t>
  </si>
  <si>
    <t>phosphoenolpyruvate carboxykinase (GTP)</t>
  </si>
  <si>
    <t>&gt;tr|O02289|O02289_CAEEL C3H1-type domain-containing protein OS=Caenorhabditis elegans OX=6239 GN=gla-3 PE=1 SV=4</t>
  </si>
  <si>
    <t>O02289</t>
  </si>
  <si>
    <t>gla-3</t>
  </si>
  <si>
    <t>&gt;tr|O02325|O02325_CAEEL PRotein arginine MethylTransferase OS=Caenorhabditis elegans OX=6239 GN=prmt-9 PE=1 SV=2</t>
  </si>
  <si>
    <t>O02325</t>
  </si>
  <si>
    <t>prmt-9</t>
  </si>
  <si>
    <t>PRotein arginine MethylTransferase</t>
  </si>
  <si>
    <t>&gt;sp|O02327|LTV1_CAEEL Protein LTV1 homolog OS=Caenorhabditis elegans OX=6239 GN=T23D8.3 PE=3 SV=1</t>
  </si>
  <si>
    <t>O02327</t>
  </si>
  <si>
    <t>T23D8.3</t>
  </si>
  <si>
    <t>Protein LTV1 homolog</t>
  </si>
  <si>
    <t>&gt;sp|O02328|EIF3C_CAEEL Eukaryotic translation initiation factor 3 subunit C OS=Caenorhabditis elegans OX=6239 GN=eif-3.C PE=3 SV=2</t>
  </si>
  <si>
    <t>O02328</t>
  </si>
  <si>
    <t>eif-3.C</t>
  </si>
  <si>
    <t>Eukaryotic translation initiation factor 3 subunit C</t>
  </si>
  <si>
    <t>&gt;tr|O02332|O02332_CAEEL Dol-P-Glc:Glc(2)Man(9)GlcNAc(2)-PP-Dol alpha-1,2-glucosyltransferase OS=Caenorhabditis elegans OX=6239 GN=algn-10 PE=3 SV=2</t>
  </si>
  <si>
    <t>O02332</t>
  </si>
  <si>
    <t>algn-10</t>
  </si>
  <si>
    <t>Dol-P-Glc:Glc(2)Man(9)GlcNAc(2)-PP-Dol alpha-1,2-glucosyltransferase</t>
  </si>
  <si>
    <t>&gt;sp|O02334|PRI2_CAEEL DNA primase large subunit OS=Caenorhabditis elegans OX=6239 GN=pri-2 PE=3 SV=2</t>
  </si>
  <si>
    <t>O02334</t>
  </si>
  <si>
    <t>pri-2</t>
  </si>
  <si>
    <t>DNA primase large subunit</t>
  </si>
  <si>
    <t>&gt;tr|O02345|O02345_CAEEL UDP-galactose transporter OS=Caenorhabditis elegans OX=6239 GN=nstp-5 PE=1 SV=1</t>
  </si>
  <si>
    <t>O02345</t>
  </si>
  <si>
    <t>nstp-5</t>
  </si>
  <si>
    <t>UDP-galactose transporter</t>
  </si>
  <si>
    <t>&gt;sp|O02365|IFA2_CAEEL Intermediate filament protein ifa-2 OS=Caenorhabditis elegans OX=6239 GN=mua-6 PE=1 SV=1</t>
  </si>
  <si>
    <t>O02365</t>
  </si>
  <si>
    <t>mua-6</t>
  </si>
  <si>
    <t>Intermediate filament protein ifa-2</t>
  </si>
  <si>
    <t>&gt;sp|O02485|YDJ1_CAEEL Uncharacterized protein ZK1073.1 OS=Caenorhabditis elegans OX=6239 GN=ZK1073.1 PE=3 SV=1</t>
  </si>
  <si>
    <t>O02485</t>
  </si>
  <si>
    <t>ZK1073.1</t>
  </si>
  <si>
    <t>Uncharacterized protein ZK1073.1</t>
  </si>
  <si>
    <t>&gt;tr|O02628|O02628_CAEEL CYtochrome P450 family OS=Caenorhabditis elegans OX=6239 GN=cyp-35a2 PE=1 SV=2</t>
  </si>
  <si>
    <t>O02628</t>
  </si>
  <si>
    <t>cyp-35a2</t>
  </si>
  <si>
    <t>CYtochrome P450 family</t>
  </si>
  <si>
    <t>&gt;sp|O02639|RL19_CAEEL Large ribosomal subunit protein eL19 OS=Caenorhabditis elegans OX=6239 GN=rpl-19 PE=3 SV=1</t>
  </si>
  <si>
    <t>O02639</t>
  </si>
  <si>
    <t>rpl-19</t>
  </si>
  <si>
    <t>Large ribosomal subunit protein eL19</t>
  </si>
  <si>
    <t>&gt;sp|O02640|MDHM_CAEEL Malate dehydrogenase, mitochondrial OS=Caenorhabditis elegans OX=6239 GN=mdh-2 PE=1 SV=1</t>
  </si>
  <si>
    <t>O02640</t>
  </si>
  <si>
    <t>mdh-2</t>
  </si>
  <si>
    <t>Malate dehydrogenase, mitochondrial</t>
  </si>
  <si>
    <t>&gt;tr|O02641|O02641_CAEEL CYtochrome P450 family OS=Caenorhabditis elegans OX=6239 GN=cyp-33c8 PE=1 SV=1</t>
  </si>
  <si>
    <t>O02641</t>
  </si>
  <si>
    <t>cyp-33c8</t>
  </si>
  <si>
    <t>&gt;tr|O02642|O02642_CAEEL Succinate--CoA ligase [ADP/GDP-forming] subunit alpha, mitochondrial OS=Caenorhabditis elegans OX=6239 GN=sucl-2 PE=1 SV=1</t>
  </si>
  <si>
    <t>O02642</t>
  </si>
  <si>
    <t>sucl-2</t>
  </si>
  <si>
    <t>Succinate--CoA ligase [ADP/GDP-forming] subunit alpha, mitochondrial</t>
  </si>
  <si>
    <t>&gt;sp|O16202|LYS7_CAEEL Lysozyme-like protein 7 OS=Caenorhabditis elegans OX=6239 GN=lys-7 PE=2 SV=1</t>
  </si>
  <si>
    <t>O16202</t>
  </si>
  <si>
    <t>lys-7</t>
  </si>
  <si>
    <t>Lysozyme-like protein 7</t>
  </si>
  <si>
    <t>&gt;sp|O16216|C19L1_CAEEL CWF19-like protein 1 homolog OS=Caenorhabditis elegans OX=6239 GN=F17A9.2 PE=3 SV=2</t>
  </si>
  <si>
    <t>O16216</t>
  </si>
  <si>
    <t>F17A9.2</t>
  </si>
  <si>
    <t>CWF19-like protein 1 homolog</t>
  </si>
  <si>
    <t>&gt;tr|O16249|O16249_CAEEL Insulin-degrading enzyme OS=Caenorhabditis elegans OX=6239 GN=CELE_F44E7.4 PE=1 SV=1</t>
  </si>
  <si>
    <t>O16249</t>
  </si>
  <si>
    <t>Insulin-degrading enzyme</t>
  </si>
  <si>
    <t>&gt;tr|O16254|O16254_CAEEL Rab5-interacting protein OS=Caenorhabditis elegans OX=6239 GN=CELE_F44E7.9 PE=1 SV=1</t>
  </si>
  <si>
    <t>O16254</t>
  </si>
  <si>
    <t>Rab5-interacting protein</t>
  </si>
  <si>
    <t>&gt;sp|O16259|STIP1_CAEEL Stress-induced-phosphoprotein 1 OS=Caenorhabditis elegans OX=6239 GN=sti-1 PE=1 SV=1</t>
  </si>
  <si>
    <t>O16259</t>
  </si>
  <si>
    <t>sti-1</t>
  </si>
  <si>
    <t>Stress-induced-phosphoprotein 1</t>
  </si>
  <si>
    <t>&gt;tr|O16274|O16274_CAEEL Histone H3-K79 methyltransferase OS=Caenorhabditis elegans OX=6239 GN=CELE_F39G3.3 PE=4 SV=4</t>
  </si>
  <si>
    <t>O16274</t>
  </si>
  <si>
    <t>Histone H3-K79 methyltransferase</t>
  </si>
  <si>
    <t>&gt;sp|O16294|GMPR_CAEEL GMP reductase OS=Caenorhabditis elegans OX=6239 GN=F32D1.5 PE=3 SV=1</t>
  </si>
  <si>
    <t>O16294</t>
  </si>
  <si>
    <t>F32D1.5</t>
  </si>
  <si>
    <t>GMP reductase</t>
  </si>
  <si>
    <t>&gt;tr|O16297|O16297_CAEEL DNA replication licensing factor MCM7 OS=Caenorhabditis elegans OX=6239 GN=mcm-7 PE=1 SV=1</t>
  </si>
  <si>
    <t>O16297</t>
  </si>
  <si>
    <t>mcm-7</t>
  </si>
  <si>
    <t>DNA replication licensing factor MCM7</t>
  </si>
  <si>
    <t>&gt;tr|O16298|O16298_CAEEL ATP synthase subunit epsilon, mitochondrial OS=Caenorhabditis elegans OX=6239 GN=hpo-18 PE=1 SV=1</t>
  </si>
  <si>
    <t>O16298</t>
  </si>
  <si>
    <t>hpo-18</t>
  </si>
  <si>
    <t>ATP synthase subunit epsilon, mitochondrial</t>
  </si>
  <si>
    <t>&gt;sp|O16305|CALM_CAEEL Calmodulin OS=Caenorhabditis elegans OX=6239 GN=cmd-1 PE=1 SV=3</t>
  </si>
  <si>
    <t>O16305</t>
  </si>
  <si>
    <t>cmd-1</t>
  </si>
  <si>
    <t>Calmodulin</t>
  </si>
  <si>
    <t>&gt;tr|O16310|O16310_CAEEL GEX Interacting protein OS=Caenorhabditis elegans OX=6239 GN=gei-6 PE=1 SV=1</t>
  </si>
  <si>
    <t>O16310</t>
  </si>
  <si>
    <t>gei-6</t>
  </si>
  <si>
    <t>GEX Interacting protein</t>
  </si>
  <si>
    <t>&gt;tr|O16311|O16311_CAEEL KRR1 small subunit processome component OS=Caenorhabditis elegans OX=6239 GN=krr-1 PE=1 SV=1</t>
  </si>
  <si>
    <t>O16311</t>
  </si>
  <si>
    <t>krr-1</t>
  </si>
  <si>
    <t>KRR1 small subunit processome component</t>
  </si>
  <si>
    <t>&gt;tr|O16312|O16312_CAEEL Exonuclease domain-containing protein OS=Caenorhabditis elegans OX=6239 GN=C05C8.5 PE=4 SV=1</t>
  </si>
  <si>
    <t>O16312</t>
  </si>
  <si>
    <t>C05C8.5</t>
  </si>
  <si>
    <t>Exonuclease domain-containing protein</t>
  </si>
  <si>
    <t>&gt;tr|O16313|O16313_CAEEL BTB/POZ domain-containing protein 9 OS=Caenorhabditis elegans OX=6239 GN=hpo-9 PE=4 SV=1</t>
  </si>
  <si>
    <t>O16313</t>
  </si>
  <si>
    <t>hpo-9</t>
  </si>
  <si>
    <t>BTB/POZ domain-containing protein 9</t>
  </si>
  <si>
    <t>&gt;tr|O16315|O16315_CAEEL mannose-6-phosphate isomerase OS=Caenorhabditis elegans OX=6239 GN=C05C8.7 PE=1 SV=1</t>
  </si>
  <si>
    <t>O16315</t>
  </si>
  <si>
    <t>C05C8.7</t>
  </si>
  <si>
    <t>mannose-6-phosphate isomerase</t>
  </si>
  <si>
    <t>&gt;tr|O16328|O16328_CAEEL Seven TM Receptor OS=Caenorhabditis elegans OX=6239 GN=str-140 PE=4 SV=1</t>
  </si>
  <si>
    <t>O16328</t>
  </si>
  <si>
    <t>str-140</t>
  </si>
  <si>
    <t>Seven TM Receptor</t>
  </si>
  <si>
    <t>&gt;tr|O16331|O16331_CAEEL Cation-transporting P-type ATPase N-terminal domain-containing protein OS=Caenorhabditis elegans OX=6239 GN=catp-3 PE=1 SV=2</t>
  </si>
  <si>
    <t>O16331</t>
  </si>
  <si>
    <t>catp-3</t>
  </si>
  <si>
    <t>Cation-transporting P-type ATPase N-terminal domain-containing protein</t>
  </si>
  <si>
    <t>&gt;sp|O16368|PRS4_CAEEL Probable 26S proteasome regulatory subunit 4 OS=Caenorhabditis elegans OX=6239 GN=rpt-2 PE=3 SV=1</t>
  </si>
  <si>
    <t>O16368</t>
  </si>
  <si>
    <t>rpt-2</t>
  </si>
  <si>
    <t>Probable 26S proteasome regulatory subunit 4</t>
  </si>
  <si>
    <t>&gt;tr|O16369|O16369_CAEEL AP complex subunit sigma OS=Caenorhabditis elegans OX=6239 GN=aps-1 PE=1 SV=1</t>
  </si>
  <si>
    <t>O16369</t>
  </si>
  <si>
    <t>aps-1</t>
  </si>
  <si>
    <t>AP complex subunit sigma</t>
  </si>
  <si>
    <t>&gt;tr|O16454|O16454_CAEEL Cathepsin F OS=Caenorhabditis elegans OX=6239 GN=tag-196 PE=1 SV=2</t>
  </si>
  <si>
    <t>O16454</t>
  </si>
  <si>
    <t>tag-196</t>
  </si>
  <si>
    <t>Cathepsin F</t>
  </si>
  <si>
    <t>&gt;sp|O16466|ATG18_CAEEL Autophagy-related protein 18 OS=Caenorhabditis elegans OX=6239 GN=atg-18 PE=1 SV=1</t>
  </si>
  <si>
    <t>O16466</t>
  </si>
  <si>
    <t>atg-18</t>
  </si>
  <si>
    <t>Autophagy-related protein 18</t>
  </si>
  <si>
    <t>&gt;tr|O16486|O16486_CAEEL N-acetyltransferase domain-containing protein OS=Caenorhabditis elegans OX=6239 GN=natc-2 PE=1 SV=1</t>
  </si>
  <si>
    <t>O16486</t>
  </si>
  <si>
    <t>natc-2</t>
  </si>
  <si>
    <t>&gt;tr|O16515|O16515_CAEEL Nucleolar pre-ribosomal-associated protein 1 C-terminal domain-containing protein OS=Caenorhabditis elegans OX=6239 GN=urb-1 PE=1 SV=2</t>
  </si>
  <si>
    <t>O16515</t>
  </si>
  <si>
    <t>urb-1</t>
  </si>
  <si>
    <t>Nucleolar pre-ribosomal-associated protein 1 C-terminal domain-containing protein</t>
  </si>
  <si>
    <t>&gt;sp|O16520|ERF1_CAEEL Eukaryotic peptide chain release factor subunit 1 OS=Caenorhabditis elegans OX=6239 GN=erfa-1 PE=3 SV=3</t>
  </si>
  <si>
    <t>O16520</t>
  </si>
  <si>
    <t>erfa-1</t>
  </si>
  <si>
    <t>Eukaryotic peptide chain release factor subunit 1</t>
  </si>
  <si>
    <t>&gt;tr|O16521|O16521_CAEEL NADH-cytochrome b5 reductase OS=Caenorhabditis elegans OX=6239 GN=hpo-19 PE=1 SV=1</t>
  </si>
  <si>
    <t>O16521</t>
  </si>
  <si>
    <t>hpo-19</t>
  </si>
  <si>
    <t>NADH-cytochrome b5 reductase</t>
  </si>
  <si>
    <t>&gt;tr|O16524|O16524_CAEEL U2A'/phosphoprotein 32 family A C-terminal domain-containing protein OS=Caenorhabditis elegans OX=6239 GN=CELE_T05H4.3 PE=4 SV=2</t>
  </si>
  <si>
    <t>O16524</t>
  </si>
  <si>
    <t>U2A'/phosphoprotein 32 family A C-terminal domain-containing protein</t>
  </si>
  <si>
    <t>&gt;tr|O16526|O16526_CAEEL Phospholipid/glycerol acyltransferase domain-containing protein OS=Caenorhabditis elegans OX=6239 GN=acl-8 PE=3 SV=2</t>
  </si>
  <si>
    <t>O16526</t>
  </si>
  <si>
    <t>acl-8</t>
  </si>
  <si>
    <t>&gt;tr|O16547|O16547_CAEEL Major facilitator superfamily (MFS) profile domain-containing protein OS=Caenorhabditis elegans OX=6239 GN=C35A11.4 PE=4 SV=2</t>
  </si>
  <si>
    <t>O16547</t>
  </si>
  <si>
    <t>C35A11.4</t>
  </si>
  <si>
    <t>&gt;tr|O16582|O16582_CAEEL Methyltransferase small domain-containing protein OS=Caenorhabditis elegans OX=6239 GN=mtq-2 PE=1 SV=3</t>
  </si>
  <si>
    <t>O16582</t>
  </si>
  <si>
    <t>mtq-2</t>
  </si>
  <si>
    <t>Methyltransferase small domain-containing protein</t>
  </si>
  <si>
    <t>&gt;tr|O16619|O16619_CAEEL DeHydrogenases, Short chain OS=Caenorhabditis elegans OX=6239 GN=dhs-13 PE=1 SV=1</t>
  </si>
  <si>
    <t>O16619</t>
  </si>
  <si>
    <t>dhs-13</t>
  </si>
  <si>
    <t>DeHydrogenases, Short chain</t>
  </si>
  <si>
    <t>&gt;tr|O16637|O16637_CAEEL AP-3 complex subunit delta OS=Caenorhabditis elegans OX=6239 GN=apd-3 PE=1 SV=2</t>
  </si>
  <si>
    <t>O16637</t>
  </si>
  <si>
    <t>apd-3</t>
  </si>
  <si>
    <t>AP-3 complex subunit delta</t>
  </si>
  <si>
    <t>&gt;sp|O16658|S35A3_CAEEL UDP-N-acetylglucosamine/UDP-N-acetylgalactosamine transporter nstp-4 OS=Caenorhabditis elegans OX=6239 GN=nstp-4 PE=1 SV=3</t>
  </si>
  <si>
    <t>O16658</t>
  </si>
  <si>
    <t>nstp-4</t>
  </si>
  <si>
    <t>UDP-N-acetylglucosamine/UDP-N-acetylgalactosamine transporter nstp-4</t>
  </si>
  <si>
    <t>&gt;sp|O16686|YK27_CAEEL Uncharacterized protein K07E8.7 OS=Caenorhabditis elegans OX=6239 GN=K07E8.7 PE=3 SV=1</t>
  </si>
  <si>
    <t>O16686</t>
  </si>
  <si>
    <t>K07E8.7</t>
  </si>
  <si>
    <t>Uncharacterized protein K07E8.7</t>
  </si>
  <si>
    <t>&gt;tr|O16720|O16720_CAEEL Protein argonaute-2 OS=Caenorhabditis elegans OX=6239 GN=alg-2 PE=1 SV=2</t>
  </si>
  <si>
    <t>O16720</t>
  </si>
  <si>
    <t>alg-2</t>
  </si>
  <si>
    <t>&gt;tr|O16725|O16725_CAEEL HotDog ACOT-type domain-containing protein OS=Caenorhabditis elegans OX=6239 GN=CELE_T07D3.9 PE=1 SV=3</t>
  </si>
  <si>
    <t>O16725</t>
  </si>
  <si>
    <t>HotDog ACOT-type domain-containing protein</t>
  </si>
  <si>
    <t>&gt;sp|O16785|PARV_CAEEL Paralyzed arrest at two-fold protein 6 OS=Caenorhabditis elegans OX=6239 GN=pat-6 PE=1 SV=1</t>
  </si>
  <si>
    <t>O16785</t>
  </si>
  <si>
    <t>pat-6</t>
  </si>
  <si>
    <t>Paralyzed arrest at two-fold protein 6</t>
  </si>
  <si>
    <t>&gt;tr|O16786|O16786_CAEEL WW domain-containing protein OS=Caenorhabditis elegans OX=6239 GN=pqbp-1.1 PE=1 SV=2</t>
  </si>
  <si>
    <t>O16786</t>
  </si>
  <si>
    <t>pqbp-1.1</t>
  </si>
  <si>
    <t>&gt;sp|O16850|FOXO_CAEEL Forkhead box protein O OS=Caenorhabditis elegans OX=6239 GN=daf-16 PE=1 SV=3</t>
  </si>
  <si>
    <t>O16850</t>
  </si>
  <si>
    <t>daf-16</t>
  </si>
  <si>
    <t>Forkhead box protein O</t>
  </si>
  <si>
    <t>&gt;tr|O16919|O16919_CAEEL Hydrolase_4 domain-containing protein OS=Caenorhabditis elegans OX=6239 GN=CELE_F10D2.10 PE=1 SV=2</t>
  </si>
  <si>
    <t>O16919</t>
  </si>
  <si>
    <t>Hydrolase_4 domain-containing protein</t>
  </si>
  <si>
    <t>&gt;tr|O16924|O16924_CAEEL Asparagine synthetase [glutamine-hydrolyzing] OS=Caenorhabditis elegans OX=6239 GN=asns-1 PE=4 SV=1</t>
  </si>
  <si>
    <t>O16924</t>
  </si>
  <si>
    <t>asns-1</t>
  </si>
  <si>
    <t>Asparagine synthetase [glutamine-hydrolyzing]</t>
  </si>
  <si>
    <t>&gt;sp|O16927|SRP14_CAEEL Signal recognition particle 14 kDa protein OS=Caenorhabditis elegans OX=6239 GN=F25G6.8 PE=3 SV=1</t>
  </si>
  <si>
    <t>O16927</t>
  </si>
  <si>
    <t>F25G6.8</t>
  </si>
  <si>
    <t>Signal recognition particle 14 kDa protein</t>
  </si>
  <si>
    <t>&gt;tr|O16928|O16928_CAEEL Signal recognition particle 14 kDa protein OS=Caenorhabditis elegans OX=6239 GN=CELE_F25G6.9 PE=1 SV=2</t>
  </si>
  <si>
    <t>O16928</t>
  </si>
  <si>
    <t>&gt;tr|O16929|O16929_CAEEL DUF3453 domain-containing protein OS=Caenorhabditis elegans OX=6239 GN=symk-1 PE=1 SV=2</t>
  </si>
  <si>
    <t>O16929</t>
  </si>
  <si>
    <t>symk-1</t>
  </si>
  <si>
    <t>DUF3453 domain-containing protein</t>
  </si>
  <si>
    <t>&gt;tr|O16997|O16997_CAEEL PSP proline-rich domain-containing protein OS=Caenorhabditis elegans OX=6239 GN=sftb-2 PE=1 SV=1</t>
  </si>
  <si>
    <t>O16997</t>
  </si>
  <si>
    <t>sftb-2</t>
  </si>
  <si>
    <t>PSP proline-rich domain-containing protein</t>
  </si>
  <si>
    <t>&gt;tr|O17003|O17003_CAEEL Protein MAK10 homolog OS=Caenorhabditis elegans OX=6239 GN=natc-1 PE=1 SV=2</t>
  </si>
  <si>
    <t>O17003</t>
  </si>
  <si>
    <t>natc-1</t>
  </si>
  <si>
    <t>Protein MAK10 homolog</t>
  </si>
  <si>
    <t>&gt;tr|O17004|O17004_CAEEL 28S ribosomal protein S2, mitochondrial OS=Caenorhabditis elegans OX=6239 GN=mrps-2 PE=1 SV=1</t>
  </si>
  <si>
    <t>O17004</t>
  </si>
  <si>
    <t>mrps-2</t>
  </si>
  <si>
    <t>28S ribosomal protein S2, mitochondrial</t>
  </si>
  <si>
    <t>&gt;tr|O17005|O17005_CAEEL Large ribosomal subunit protein uL4m OS=Caenorhabditis elegans OX=6239 GN=mrpl-4 PE=1 SV=1</t>
  </si>
  <si>
    <t>O17005</t>
  </si>
  <si>
    <t>mrpl-4</t>
  </si>
  <si>
    <t>Large ribosomal subunit protein uL4m</t>
  </si>
  <si>
    <t>&gt;tr|O17036|O17036_CAEEL Nematode cuticle collagen N-terminal domain-containing protein OS=Caenorhabditis elegans OX=6239 GN=col-142 PE=1 SV=1;&gt;tr|O17038|O17038_CAEEL Nematode cuticle collagen N-terminal domain-containing protein OS=Caenorhabditis elegans OX=6239 GN=col-143 PE=1 SV=1</t>
  </si>
  <si>
    <t>O17036;O17038</t>
  </si>
  <si>
    <t>col-142;col-143</t>
  </si>
  <si>
    <t>Nematode cuticle collagen N-terminal domain-containing protein</t>
  </si>
  <si>
    <t>O17036</t>
  </si>
  <si>
    <t>&gt;sp|O17040|HACD_CAEEL Very-long-chain (3R)-3-hydroxyacyl-CoA dehydratase hpo-8 OS=Caenorhabditis elegans OX=6239 GN=hpo-8 PE=3 SV=2</t>
  </si>
  <si>
    <t>O17040</t>
  </si>
  <si>
    <t>hpo-8</t>
  </si>
  <si>
    <t>Very-long-chain (3R)-3-hydroxyacyl-CoA dehydratase hpo-8</t>
  </si>
  <si>
    <t>&gt;tr|O17066|O17066_CAEEL Snurportin-1 OS=Caenorhabditis elegans OX=6239 GN=CELE_F23F1.5 PE=1 SV=1</t>
  </si>
  <si>
    <t>O17066</t>
  </si>
  <si>
    <t>Snurportin-1</t>
  </si>
  <si>
    <t>&gt;sp|O17071|PRS10_CAEEL Probable 26S proteasome regulatory subunit 10B OS=Caenorhabditis elegans OX=6239 GN=rpt-4 PE=1 SV=2</t>
  </si>
  <si>
    <t>O17071</t>
  </si>
  <si>
    <t>rpt-4</t>
  </si>
  <si>
    <t>Probable 26S proteasome regulatory subunit 10B</t>
  </si>
  <si>
    <t>&gt;sp|O17087|GLD2_CAEEL Poly(A) RNA polymerase gld-2 OS=Caenorhabditis elegans OX=6239 GN=gld-2 PE=1 SV=2</t>
  </si>
  <si>
    <t>O17087</t>
  </si>
  <si>
    <t>gld-2</t>
  </si>
  <si>
    <t>Poly(A) RNA polymerase gld-2</t>
  </si>
  <si>
    <t>&gt;tr|O17157|O17157_CAEEL RNA helicase OS=Caenorhabditis elegans OX=6239 GN=C24H12.4 PE=1 SV=2</t>
  </si>
  <si>
    <t>O17157</t>
  </si>
  <si>
    <t>C24H12.4</t>
  </si>
  <si>
    <t>&gt;tr|O17206|O17206_CAEEL Bestrophin homolog OS=Caenorhabditis elegans OX=6239 GN=best-3 PE=3 SV=1</t>
  </si>
  <si>
    <t>O17206</t>
  </si>
  <si>
    <t>best-3</t>
  </si>
  <si>
    <t>Bestrophin homolog</t>
  </si>
  <si>
    <t>&gt;sp|O17214|FUMH_CAEEL Probable fumarate hydratase, mitochondrial OS=Caenorhabditis elegans OX=6239 GN=fum-1 PE=3 SV=1</t>
  </si>
  <si>
    <t>O17214</t>
  </si>
  <si>
    <t>fum-1</t>
  </si>
  <si>
    <t>Probable fumarate hydratase, mitochondrial</t>
  </si>
  <si>
    <t>&gt;tr|O17218|O17218_CAEEL Ribosomal Protein, Small subunit OS=Caenorhabditis elegans OX=6239 GN=rps-22 PE=1 SV=1</t>
  </si>
  <si>
    <t>O17218</t>
  </si>
  <si>
    <t>rps-22</t>
  </si>
  <si>
    <t>Ribosomal Protein, Small subunit</t>
  </si>
  <si>
    <t>&gt;sp|O17237|MELT_CAEEL Protein melted homolog OS=Caenorhabditis elegans OX=6239 GN=K10B4.3 PE=3 SV=3</t>
  </si>
  <si>
    <t>O17237</t>
  </si>
  <si>
    <t>K10B4.3</t>
  </si>
  <si>
    <t>Protein melted homolog</t>
  </si>
  <si>
    <t>&gt;tr|O17241|O17241_CAEEL Peroxidase OS=Caenorhabditis elegans OX=6239 GN=CELE_K10B4.1 PE=4 SV=2</t>
  </si>
  <si>
    <t>O17241</t>
  </si>
  <si>
    <t>Peroxidase</t>
  </si>
  <si>
    <t>&gt;sp|O17287|TOM22_CAEEL Mitochondrial import receptor subunit TOM22 homolog OS=Caenorhabditis elegans OX=6239 GN=tomm-22 PE=3 SV=1</t>
  </si>
  <si>
    <t>O17287</t>
  </si>
  <si>
    <t>tomm-22</t>
  </si>
  <si>
    <t>Mitochondrial import receptor subunit TOM22 homolog</t>
  </si>
  <si>
    <t>&gt;tr|O17324|O17324_CAEEL F-box domain-containing protein OS=Caenorhabditis elegans OX=6239 GN=C10E2.2 PE=1 SV=2</t>
  </si>
  <si>
    <t>O17324</t>
  </si>
  <si>
    <t>C10E2.2</t>
  </si>
  <si>
    <t>F-box domain-containing protein</t>
  </si>
  <si>
    <t>&gt;tr|O17328|O17328_CAEEL Major facilitator superfamily (MFS) profile domain-containing protein OS=Caenorhabditis elegans OX=6239 GN=mct-6 PE=1 SV=2</t>
  </si>
  <si>
    <t>O17328</t>
  </si>
  <si>
    <t>mct-6</t>
  </si>
  <si>
    <t>&gt;tr|O17365|O17365_CAEEL Serpin domain-containing protein OS=Caenorhabditis elegans OX=6239 GN=srp-2 PE=1 SV=1</t>
  </si>
  <si>
    <t>O17365</t>
  </si>
  <si>
    <t>srp-2</t>
  </si>
  <si>
    <t>&gt;sp|O17397|DIML_CAEEL Diminuto-like protein OS=Caenorhabditis elegans OX=6239 GN=F52H2.6 PE=3 SV=1</t>
  </si>
  <si>
    <t>O17397</t>
  </si>
  <si>
    <t>F52H2.6</t>
  </si>
  <si>
    <t>Diminuto-like protein</t>
  </si>
  <si>
    <t>&gt;tr|O17398|O17398_CAEEL C2 domain-containing protein OS=Caenorhabditis elegans OX=6239 GN=ccd-5 PE=4 SV=4</t>
  </si>
  <si>
    <t>O17398</t>
  </si>
  <si>
    <t>ccd-5</t>
  </si>
  <si>
    <t>&gt;sp|O17403|CPSF2_CAEEL Probable cleavage and polyadenylation specificity factor subunit 2 OS=Caenorhabditis elegans OX=6239 GN=cpsf-2 PE=3 SV=1</t>
  </si>
  <si>
    <t>O17403</t>
  </si>
  <si>
    <t>cpsf-2</t>
  </si>
  <si>
    <t>Probable cleavage and polyadenylation specificity factor subunit 2</t>
  </si>
  <si>
    <t>&gt;sp|O17514|MES2_CAEEL Histone-lysine N-methyltransferase mes-2 OS=Caenorhabditis elegans OX=6239 GN=mes-2 PE=1 SV=2</t>
  </si>
  <si>
    <t>O17514</t>
  </si>
  <si>
    <t>mes-2</t>
  </si>
  <si>
    <t>Histone-lysine N-methyltransferase mes-2</t>
  </si>
  <si>
    <t>&gt;sp|O17528|TMED2_CAEEL Suppressor/enhancer of lin-12 protein 9 OS=Caenorhabditis elegans OX=6239 GN=sel-9 PE=1 SV=1</t>
  </si>
  <si>
    <t>O17528</t>
  </si>
  <si>
    <t>sel-9</t>
  </si>
  <si>
    <t>Suppressor/enhancer of lin-12 protein 9</t>
  </si>
  <si>
    <t>&gt;tr|O17551|O17551_CAEEL RING-type domain-containing protein OS=Caenorhabditis elegans OX=6239 GN=BE10.1 PE=4 SV=2</t>
  </si>
  <si>
    <t>O17551</t>
  </si>
  <si>
    <t>BE10.1</t>
  </si>
  <si>
    <t>&gt;sp|O17570|RL38_CAEEL Large ribosomal subunit protein eL38 OS=Caenorhabditis elegans OX=6239 GN=rpl-38 PE=3 SV=2</t>
  </si>
  <si>
    <t>O17570</t>
  </si>
  <si>
    <t>rpl-38</t>
  </si>
  <si>
    <t>Large ribosomal subunit protein eL38</t>
  </si>
  <si>
    <t>&gt;tr|O17577|O17577_CAEEL F-box domain-containing protein OS=Caenorhabditis elegans OX=6239 GN=fbxa-156 PE=4 SV=2</t>
  </si>
  <si>
    <t>O17577</t>
  </si>
  <si>
    <t>fbxa-156</t>
  </si>
  <si>
    <t>&gt;sp|O17580|NOC2L_CAEEL Nucleolar complex protein 2 homolog OS=Caenorhabditis elegans OX=6239 GN=pro-2 PE=2 SV=3</t>
  </si>
  <si>
    <t>O17580</t>
  </si>
  <si>
    <t>pro-2</t>
  </si>
  <si>
    <t>Nucleolar complex protein 2 homolog</t>
  </si>
  <si>
    <t>&gt;sp|O17581|SCC4_CAEEL Maternal uncoordinated protein 2 OS=Caenorhabditis elegans OX=6239 GN=mau-2 PE=2 SV=1</t>
  </si>
  <si>
    <t>O17581</t>
  </si>
  <si>
    <t>mau-2</t>
  </si>
  <si>
    <t>Maternal uncoordinated protein 2</t>
  </si>
  <si>
    <t>&gt;sp|O17582|SPR4_CAEEL Suppressor of presenilin protein 4 OS=Caenorhabditis elegans OX=6239 GN=spr-4 PE=1 SV=2</t>
  </si>
  <si>
    <t>O17582</t>
  </si>
  <si>
    <t>spr-4</t>
  </si>
  <si>
    <t>Suppressor of presenilin protein 4</t>
  </si>
  <si>
    <t>&gt;sp|O17583|LIN10_CAEEL Protein lin-10 OS=Caenorhabditis elegans OX=6239 GN=lin-10 PE=1 SV=1</t>
  </si>
  <si>
    <t>O17583</t>
  </si>
  <si>
    <t>lin-10</t>
  </si>
  <si>
    <t>Protein lin-10</t>
  </si>
  <si>
    <t>&gt;sp|O17586|PSA6_CAEEL Proteasome subunit alpha type-6 OS=Caenorhabditis elegans OX=6239 GN=pas-1 PE=1 SV=1</t>
  </si>
  <si>
    <t>O17586</t>
  </si>
  <si>
    <t>pas-1</t>
  </si>
  <si>
    <t>Proteasome subunit alpha type-6</t>
  </si>
  <si>
    <t>&gt;tr|O17589|O17589_CAEEL Regulator of G-protein signaling 7 OS=Caenorhabditis elegans OX=6239 GN=eat-16 PE=1 SV=2</t>
  </si>
  <si>
    <t>O17589</t>
  </si>
  <si>
    <t>eat-16</t>
  </si>
  <si>
    <t>Regulator of G-protein signaling 7</t>
  </si>
  <si>
    <t>&gt;tr|O17590|O17590_CAEEL Rho-GAP domain-containing protein OS=Caenorhabditis elegans OX=6239 GN=ocrl-1 PE=1 SV=4</t>
  </si>
  <si>
    <t>O17590</t>
  </si>
  <si>
    <t>ocrl-1</t>
  </si>
  <si>
    <t>&gt;tr|O17599|O17599_CAEEL Small monomeric GTPase OS=Caenorhabditis elegans OX=6239 GN=rap-2 PE=1 SV=2</t>
  </si>
  <si>
    <t>O17599</t>
  </si>
  <si>
    <t>rap-2</t>
  </si>
  <si>
    <t>&gt;tr|O17602|O17602_CAEEL TPT domain-containing protein OS=Caenorhabditis elegans OX=6239 GN=C25D7.10 PE=4 SV=3</t>
  </si>
  <si>
    <t>O17602</t>
  </si>
  <si>
    <t>C25D7.10</t>
  </si>
  <si>
    <t>TPT domain-containing protein</t>
  </si>
  <si>
    <t>&gt;sp|O17606|YK4P_CAEEL MYG1 protein C27H6.8 OS=Caenorhabditis elegans OX=6239 GN=C27H6.8 PE=3 SV=2</t>
  </si>
  <si>
    <t>O17606</t>
  </si>
  <si>
    <t>C27H6.8</t>
  </si>
  <si>
    <t>MYG1 protein C27H6.8</t>
  </si>
  <si>
    <t>&gt;sp|O17607|RUVB1_CAEEL RuvB-like 1 OS=Caenorhabditis elegans OX=6239 GN=ruvb-1 PE=1 SV=2</t>
  </si>
  <si>
    <t>O17607</t>
  </si>
  <si>
    <t>ruvb-1</t>
  </si>
  <si>
    <t>RuvB-like 1</t>
  </si>
  <si>
    <t>&gt;sp|O17608|SLFL1_CAEEL Schlafen-like protein 1 OS=Caenorhabditis elegans OX=6239 GN=tofu-1 PE=1 SV=3</t>
  </si>
  <si>
    <t>O17608</t>
  </si>
  <si>
    <t>tofu-1</t>
  </si>
  <si>
    <t>Schlafen-like protein 1</t>
  </si>
  <si>
    <t>&gt;tr|O17609|O17609_CAEEL DUF1248 domain-containing protein OS=Caenorhabditis elegans OX=6239 GN=C28D4.5 PE=4 SV=3</t>
  </si>
  <si>
    <t>O17609</t>
  </si>
  <si>
    <t>C28D4.5</t>
  </si>
  <si>
    <t>DUF1248 domain-containing protein</t>
  </si>
  <si>
    <t>&gt;tr|O17610|O17610_CAEEL Choline/ethanolamine kinase OS=Caenorhabditis elegans OX=6239 GN=cka-1 PE=1 SV=2</t>
  </si>
  <si>
    <t>O17610</t>
  </si>
  <si>
    <t>cka-1</t>
  </si>
  <si>
    <t>Choline/ethanolamine kinase</t>
  </si>
  <si>
    <t>&gt;tr|O17612|O17612_CAEEL Enoyl-CoA hydratase OS=Caenorhabditis elegans OX=6239 GN=ech-1.1 PE=1 SV=1</t>
  </si>
  <si>
    <t>O17612</t>
  </si>
  <si>
    <t>ech-1.1</t>
  </si>
  <si>
    <t>Enoyl-CoA hydratase</t>
  </si>
  <si>
    <t>&gt;tr|O17621|O17621_CAEEL CHK kinase-like domain-containing protein OS=Caenorhabditis elegans OX=6239 GN=C29F7.2 PE=1 SV=2</t>
  </si>
  <si>
    <t>O17621</t>
  </si>
  <si>
    <t>C29F7.2</t>
  </si>
  <si>
    <t>CHK kinase-like domain-containing protein</t>
  </si>
  <si>
    <t>&gt;sp|O17622|KCY1_CAEEL UMP-CMP kinase 1 OS=Caenorhabditis elegans OX=6239 GN=C29F7.3 PE=1 SV=1</t>
  </si>
  <si>
    <t>O17622</t>
  </si>
  <si>
    <t>C29F7.3</t>
  </si>
  <si>
    <t>UMP-CMP kinase 1</t>
  </si>
  <si>
    <t>&gt;tr|O17626|O17626_CAEEL D-3-phosphoglycerate dehydrogenase OS=Caenorhabditis elegans OX=6239 GN=phdh-1 PE=1 SV=1</t>
  </si>
  <si>
    <t>O17626</t>
  </si>
  <si>
    <t>phdh-1</t>
  </si>
  <si>
    <t>D-3-phosphoglycerate dehydrogenase</t>
  </si>
  <si>
    <t>&gt;tr|O17641|O17641_CAEEL Nematode cuticle collagen N-terminal domain-containing protein OS=Caenorhabditis elegans OX=6239 GN=col-178 PE=4 SV=1</t>
  </si>
  <si>
    <t>O17641</t>
  </si>
  <si>
    <t>col-178</t>
  </si>
  <si>
    <t>&gt;tr|O17642|O17642_CAEEL Nematode cuticle collagen N-terminal domain-containing protein OS=Caenorhabditis elegans OX=6239 GN=col-179 PE=1 SV=1</t>
  </si>
  <si>
    <t>O17642</t>
  </si>
  <si>
    <t>col-179</t>
  </si>
  <si>
    <t>&gt;tr|O17643|O17643_CAEEL Isocitrate dehydrogenase [NADP] OS=Caenorhabditis elegans OX=6239 GN=idh-2 PE=1 SV=1</t>
  </si>
  <si>
    <t>O17643</t>
  </si>
  <si>
    <t>idh-2</t>
  </si>
  <si>
    <t>&gt;tr|O17666|O17666_CAEEL Calponin-homology (CH) domain-containing protein OS=Caenorhabditis elegans OX=6239 GN=aspm-1 PE=1 SV=1</t>
  </si>
  <si>
    <t>O17666</t>
  </si>
  <si>
    <t>aspm-1</t>
  </si>
  <si>
    <t>&gt;sp|O17680|METK1_CAEEL Probable S-adenosylmethionine synthase 1 OS=Caenorhabditis elegans OX=6239 GN=sams-1 PE=1 SV=1</t>
  </si>
  <si>
    <t>O17680</t>
  </si>
  <si>
    <t>sams-1</t>
  </si>
  <si>
    <t>Probable S-adenosylmethionine synthase 1</t>
  </si>
  <si>
    <t>&gt;tr|O17687|O17687_CAEEL Tetratricopeptide SHNi-TPR domain-containing protein OS=Caenorhabditis elegans OX=6239 GN=nasp-2 PE=1 SV=1</t>
  </si>
  <si>
    <t>O17687</t>
  </si>
  <si>
    <t>nasp-2</t>
  </si>
  <si>
    <t>Tetratricopeptide SHNi-TPR domain-containing protein</t>
  </si>
  <si>
    <t>&gt;tr|O17694|O17694_CAEEL RNAi-Induced Longevity OS=Caenorhabditis elegans OX=6239 GN=ril-1 PE=1 SV=1</t>
  </si>
  <si>
    <t>O17694</t>
  </si>
  <si>
    <t>ril-1</t>
  </si>
  <si>
    <t>RNAi-Induced Longevity</t>
  </si>
  <si>
    <t>&gt;sp|O17695|HDA1_CAEEL Histone deacetylase 1 OS=Caenorhabditis elegans OX=6239 GN=hda-1 PE=1 SV=1</t>
  </si>
  <si>
    <t>O17695</t>
  </si>
  <si>
    <t>hda-1</t>
  </si>
  <si>
    <t>Histone deacetylase 1</t>
  </si>
  <si>
    <t>&gt;tr|O17721|O17721_CAEEL DeHydrogenases, Short chain OS=Caenorhabditis elegans OX=6239 GN=C55A6.6 PE=1 SV=1;&gt;tr|P90779|P90779_CAEEL DeHydrogenases, Short chain OS=Caenorhabditis elegans OX=6239 GN=C55A6.4 PE=1 SV=1</t>
  </si>
  <si>
    <t>O17721;P90779</t>
  </si>
  <si>
    <t>C55A6.6;C55A6.4</t>
  </si>
  <si>
    <t>DeHydrogenases, Short chain;DeHydrogenases, Short chain</t>
  </si>
  <si>
    <t>O17721</t>
  </si>
  <si>
    <t>&gt;sp|O17732|PYC1_CAEEL Pyruvate carboxylase 1 OS=Caenorhabditis elegans OX=6239 GN=pyc-1 PE=1 SV=1</t>
  </si>
  <si>
    <t>O17732</t>
  </si>
  <si>
    <t>pyc-1</t>
  </si>
  <si>
    <t>Pyruvate carboxylase 1</t>
  </si>
  <si>
    <t>&gt;tr|O17735|O17735_CAEEL ABC1 atypical kinase-like domain-containing protein OS=Caenorhabditis elegans OX=6239 GN=CELE_D2023.6 PE=1 SV=1</t>
  </si>
  <si>
    <t>O17735</t>
  </si>
  <si>
    <t>&gt;sp|O17736|ETC1_CAEEL E3 ubiquitin-protein ligase etc-1 OS=Caenorhabditis elegans OX=6239 GN=etc-1 PE=1 SV=1</t>
  </si>
  <si>
    <t>O17736</t>
  </si>
  <si>
    <t>etc-1</t>
  </si>
  <si>
    <t>E3 ubiquitin-protein ligase etc-1</t>
  </si>
  <si>
    <t>&gt;tr|O17759|O17759_CAEEL transketolase OS=Caenorhabditis elegans OX=6239 GN=tkt-1 PE=1 SV=1</t>
  </si>
  <si>
    <t>O17759</t>
  </si>
  <si>
    <t>tkt-1</t>
  </si>
  <si>
    <t>transketolase</t>
  </si>
  <si>
    <t>&gt;tr|O17761|O17761_CAEEL Enoyl-CoA Hydratase OS=Caenorhabditis elegans OX=6239 GN=ech-8 PE=1 SV=2</t>
  </si>
  <si>
    <t>O17761</t>
  </si>
  <si>
    <t>ech-8</t>
  </si>
  <si>
    <t>Enoyl-CoA Hydratase</t>
  </si>
  <si>
    <t>&gt;tr|O17772|O17772_CAEEL Calponin-homology (CH) domain-containing protein OS=Caenorhabditis elegans OX=6239 GN=pes-7 PE=1 SV=2</t>
  </si>
  <si>
    <t>O17772</t>
  </si>
  <si>
    <t>pes-7</t>
  </si>
  <si>
    <t>&gt;tr|O17805|O17805_CAEEL Nematode cuticle collagen N-terminal domain-containing protein OS=Caenorhabditis elegans OX=6239 GN=col-98 PE=1 SV=1</t>
  </si>
  <si>
    <t>O17805</t>
  </si>
  <si>
    <t>col-98</t>
  </si>
  <si>
    <t>&gt;tr|O17838|O17838_CAEEL Claspin OS=Caenorhabditis elegans OX=6239 GN=clsp-1 PE=1 SV=2</t>
  </si>
  <si>
    <t>O17838</t>
  </si>
  <si>
    <t>clsp-1</t>
  </si>
  <si>
    <t>Claspin</t>
  </si>
  <si>
    <t>&gt;tr|O17869|O17869_CAEEL Cyclin-like domain-containing protein OS=Caenorhabditis elegans OX=6239 GN=ccnk-1 PE=1 SV=2</t>
  </si>
  <si>
    <t>O17869</t>
  </si>
  <si>
    <t>ccnk-1</t>
  </si>
  <si>
    <t>Cyclin-like domain-containing protein</t>
  </si>
  <si>
    <t>&gt;tr|O17892|O17892_CAEEL xanthine dehydrogenase OS=Caenorhabditis elegans OX=6239 GN=xdh-1 PE=1 SV=1</t>
  </si>
  <si>
    <t>O17892</t>
  </si>
  <si>
    <t>xdh-1</t>
  </si>
  <si>
    <t>xanthine dehydrogenase</t>
  </si>
  <si>
    <t>&gt;tr|O17895|O17895_CAEEL ABC transmembrane type-1 domain-containing protein OS=Caenorhabditis elegans OX=6239 GN=haf-3 PE=1 SV=2</t>
  </si>
  <si>
    <t>O17895</t>
  </si>
  <si>
    <t>haf-3</t>
  </si>
  <si>
    <t>ABC transmembrane type-1 domain-containing protein</t>
  </si>
  <si>
    <t>&gt;sp|O17901|COPZ_CAEEL Probable coatomer subunit zeta OS=Caenorhabditis elegans OX=6239 GN=copz-1 PE=3 SV=1</t>
  </si>
  <si>
    <t>O17901</t>
  </si>
  <si>
    <t>copz-1</t>
  </si>
  <si>
    <t>Probable coatomer subunit zeta</t>
  </si>
  <si>
    <t>&gt;tr|O17905|O17905_CAEEL Moesin/ezrin/radixin homolog 1 OS=Caenorhabditis elegans OX=6239 GN=frm-3 PE=1 SV=2</t>
  </si>
  <si>
    <t>O17905</t>
  </si>
  <si>
    <t>frm-3</t>
  </si>
  <si>
    <t>&gt;sp|O17907|CTG1_CAEEL Protein ctg-1 OS=Caenorhabditis elegans OX=6239 GN=ctg-1 PE=2 SV=2</t>
  </si>
  <si>
    <t>O17907</t>
  </si>
  <si>
    <t>ctg-1</t>
  </si>
  <si>
    <t>Protein ctg-1</t>
  </si>
  <si>
    <t>&gt;tr|O17909|O17909_CAEEL DNA helicase OS=Caenorhabditis elegans OX=6239 GN=chd-1 PE=1 SV=2</t>
  </si>
  <si>
    <t>O17909</t>
  </si>
  <si>
    <t>chd-1</t>
  </si>
  <si>
    <t>DNA helicase</t>
  </si>
  <si>
    <t>&gt;sp|O17915|RAN_CAEEL GTP-binding nuclear protein ran-1 OS=Caenorhabditis elegans OX=6239 GN=ran-1 PE=1 SV=1</t>
  </si>
  <si>
    <t>O17915</t>
  </si>
  <si>
    <t>ran-1</t>
  </si>
  <si>
    <t>GTP-binding nuclear protein ran-1</t>
  </si>
  <si>
    <t>&gt;sp|O17919|DKC1_CAEEL Putative H/ACA ribonucleoprotein complex subunit 4 OS=Caenorhabditis elegans OX=6239 GN=K01G5.5 PE=3 SV=1</t>
  </si>
  <si>
    <t>O17919</t>
  </si>
  <si>
    <t>K01G5.5</t>
  </si>
  <si>
    <t>Putative H/ACA ribonucleoprotein complex subunit 4</t>
  </si>
  <si>
    <t>&gt;tr|O17921|O17921_CAEEL Tubulin beta chain OS=Caenorhabditis elegans OX=6239 GN=tbb-1 PE=1 SV=1</t>
  </si>
  <si>
    <t>O17921</t>
  </si>
  <si>
    <t>tbb-1</t>
  </si>
  <si>
    <t>Tubulin beta chain</t>
  </si>
  <si>
    <t>&gt;tr|O17944|O17944_CAEEL Tr-type G domain-containing protein OS=Caenorhabditis elegans OX=6239 GN=CELE_K10C3.5 PE=1 SV=2</t>
  </si>
  <si>
    <t>O17944</t>
  </si>
  <si>
    <t>Tr-type G domain-containing protein</t>
  </si>
  <si>
    <t>&gt;sp|O17953|DLDH_CAEEL Dihydrolipoyl dehydrogenase, mitochondrial OS=Caenorhabditis elegans OX=6239 GN=dld-1 PE=3 SV=2</t>
  </si>
  <si>
    <t>O17953</t>
  </si>
  <si>
    <t>dld-1</t>
  </si>
  <si>
    <t>Dihydrolipoyl dehydrogenase, mitochondrial</t>
  </si>
  <si>
    <t>&gt;sp|O17966|TOP1_CAEEL DNA topoisomerase 1 OS=Caenorhabditis elegans OX=6239 GN=top-1 PE=2 SV=1</t>
  </si>
  <si>
    <t>O17966</t>
  </si>
  <si>
    <t>top-1</t>
  </si>
  <si>
    <t>DNA topoisomerase 1</t>
  </si>
  <si>
    <t>&gt;tr|O18008|O18008_CAEEL Protein kinase domain-containing protein OS=Caenorhabditis elegans OX=6239 GN=flor-1 PE=1 SV=2</t>
  </si>
  <si>
    <t>O18008</t>
  </si>
  <si>
    <t>flor-1</t>
  </si>
  <si>
    <t>&gt;tr|O18015|O18015_CAEEL Ground-like domain-containing protein OS=Caenorhabditis elegans OX=6239 GN=grl-7 PE=1 SV=1</t>
  </si>
  <si>
    <t>O18015</t>
  </si>
  <si>
    <t>grl-7</t>
  </si>
  <si>
    <t>&gt;tr|O18030|O18030_CAEEL DeHydrogenases, Short chain OS=Caenorhabditis elegans OX=6239 GN=dhs-4 PE=1 SV=2</t>
  </si>
  <si>
    <t>O18030</t>
  </si>
  <si>
    <t>dhs-4</t>
  </si>
  <si>
    <t>&gt;tr|O18125|O18125_CAEEL Zc3h12a-like Ribonuclease NYN domain-containing protein OS=Caenorhabditis elegans OX=6239 GN=nyn-1 PE=4 SV=2</t>
  </si>
  <si>
    <t>O18125</t>
  </si>
  <si>
    <t>nyn-1</t>
  </si>
  <si>
    <t>Zc3h12a-like Ribonuclease NYN domain-containing protein</t>
  </si>
  <si>
    <t>&gt;tr|O18143|O18143_CAEEL Phosphatidylserine synthase OS=Caenorhabditis elegans OX=6239 GN=pssy-2 PE=1 SV=5</t>
  </si>
  <si>
    <t>O18143</t>
  </si>
  <si>
    <t>pssy-2</t>
  </si>
  <si>
    <t>Phosphatidylserine synthase</t>
  </si>
  <si>
    <t>&gt;tr|O18154|O18154_CAEEL Tubulin alpha chain OS=Caenorhabditis elegans OX=6239 GN=tba-7 PE=1 SV=1</t>
  </si>
  <si>
    <t>O18154</t>
  </si>
  <si>
    <t>tba-7</t>
  </si>
  <si>
    <t>&gt;sp|O18158|OGT1_CAEEL UDP-N-acetylglucosamine--peptide N-acetylglucosaminyltransferase OS=Caenorhabditis elegans OX=6239 GN=ogt-1 PE=1 SV=2</t>
  </si>
  <si>
    <t>O18158</t>
  </si>
  <si>
    <t>ogt-1</t>
  </si>
  <si>
    <t>UDP-N-acetylglucosamine--peptide N-acetylglucosaminyltransferase</t>
  </si>
  <si>
    <t>&gt;tr|O18167|O18167_CAEEL INTegrator complex Subunit homolog OS=Caenorhabditis elegans OX=6239 GN=ints-4 PE=1 SV=2</t>
  </si>
  <si>
    <t>O18167</t>
  </si>
  <si>
    <t>ints-4</t>
  </si>
  <si>
    <t>&gt;sp|O18178|2A51_CAEEL Serine/threonine-protein phosphatase 2A regulatory subunit pptr-1 OS=Caenorhabditis elegans OX=6239 GN=pptr-1 PE=1 SV=4</t>
  </si>
  <si>
    <t>O18178</t>
  </si>
  <si>
    <t>pptr-1</t>
  </si>
  <si>
    <t>Serine/threonine-protein phosphatase 2A regulatory subunit pptr-1</t>
  </si>
  <si>
    <t>&gt;tr|O18181|O18181_CAEEL Arf-GAP domain-containing protein OS=Caenorhabditis elegans OX=6239 GN=smap-1 PE=1 SV=1</t>
  </si>
  <si>
    <t>O18181</t>
  </si>
  <si>
    <t>smap-1</t>
  </si>
  <si>
    <t>Arf-GAP domain-containing protein</t>
  </si>
  <si>
    <t>&gt;tr|O18188|O18188_CAEEL E3 ubiquitin-protein transferase MAEA OS=Caenorhabditis elegans OX=6239 GN=maea-1 PE=1 SV=1</t>
  </si>
  <si>
    <t>O18188</t>
  </si>
  <si>
    <t>maea-1</t>
  </si>
  <si>
    <t>E3 ubiquitin-protein transferase MAEA</t>
  </si>
  <si>
    <t>&gt;sp|O18191|APC1_CAEEL Anaphase-promoting complex subunit 1 OS=Caenorhabditis elegans OX=6239 GN=mat-2 PE=1 SV=3</t>
  </si>
  <si>
    <t>O18191</t>
  </si>
  <si>
    <t>mat-2</t>
  </si>
  <si>
    <t>Anaphase-promoting complex subunit 1</t>
  </si>
  <si>
    <t>&gt;tr|O18196|O18196_CAEEL G domain-containing protein OS=Caenorhabditis elegans OX=6239 GN=noa-1 PE=1 SV=4</t>
  </si>
  <si>
    <t>O18196</t>
  </si>
  <si>
    <t>noa-1</t>
  </si>
  <si>
    <t>&gt;tr|O18199|O18199_CAEEL Large ribosomal subunit protein mL37 OS=Caenorhabditis elegans OX=6239 GN=mrpl-37 PE=1 SV=3</t>
  </si>
  <si>
    <t>O18199</t>
  </si>
  <si>
    <t>mrpl-37</t>
  </si>
  <si>
    <t>Large ribosomal subunit protein mL37</t>
  </si>
  <si>
    <t>&gt;sp|O18211|MO25M_CAEEL MO25-like protein 2 OS=Caenorhabditis elegans OX=6239 GN=mop-25.2 PE=3 SV=1</t>
  </si>
  <si>
    <t>O18211</t>
  </si>
  <si>
    <t>mop-25.2</t>
  </si>
  <si>
    <t>MO25-like protein 2</t>
  </si>
  <si>
    <t>&gt;tr|O18212|O18212_CAEEL Protein YIPF OS=Caenorhabditis elegans OX=6239 GN=CELE_Y53C12A.3 PE=1 SV=2</t>
  </si>
  <si>
    <t>O18212</t>
  </si>
  <si>
    <t>&gt;tr|O18215|O18215_CAEEL U3 small nucleolar RNA-associated protein 13 C-terminal domain-containing protein OS=Caenorhabditis elegans OX=6239 GN=CELE_Y53C12B.1 PE=1 SV=1</t>
  </si>
  <si>
    <t>O18215</t>
  </si>
  <si>
    <t>U3 small nucleolar RNA-associated protein 13 C-terminal domain-containing protein</t>
  </si>
  <si>
    <t>&gt;sp|O18216|PNO1_CAEEL RNA-binding protein pno-1 OS=Caenorhabditis elegans OX=6239 GN=pno-1 PE=3 SV=1</t>
  </si>
  <si>
    <t>O18216</t>
  </si>
  <si>
    <t>pno-1</t>
  </si>
  <si>
    <t>RNA-binding protein pno-1</t>
  </si>
  <si>
    <t>&gt;sp|O18229|6PGL_CAEEL Putative 6-phosphogluconolactonase OS=Caenorhabditis elegans OX=6239 GN=Y57G11C.3 PE=3 SV=2</t>
  </si>
  <si>
    <t>O18229</t>
  </si>
  <si>
    <t>Y57G11C.3</t>
  </si>
  <si>
    <t>Putative 6-phosphogluconolactonase</t>
  </si>
  <si>
    <t>&gt;tr|O18235|O18235_CAEEL Ubiquinone biosynthesis O-methyltransferase, mitochondrial OS=Caenorhabditis elegans OX=6239 GN=coq-3 PE=1 SV=1</t>
  </si>
  <si>
    <t>O18235</t>
  </si>
  <si>
    <t>coq-3</t>
  </si>
  <si>
    <t>Ubiquinone biosynthesis O-methyltransferase, mitochondrial</t>
  </si>
  <si>
    <t>&gt;tr|O18236|O18236_CAEEL NADH dehydrogenase [ubiquinone] 1 alpha subcomplex subunit 6 OS=Caenorhabditis elegans OX=6239 GN=nuo-3 PE=1 SV=1</t>
  </si>
  <si>
    <t>O18236</t>
  </si>
  <si>
    <t>nuo-3</t>
  </si>
  <si>
    <t>NADH dehydrogenase [ubiquinone] 1 alpha subcomplex subunit 6</t>
  </si>
  <si>
    <t>&gt;tr|O18238|O18238_CAEEL Uncharacterized protein OS=Caenorhabditis elegans OX=6239 GN=CELE_Y57G11C.14 PE=4 SV=1</t>
  </si>
  <si>
    <t>O18238</t>
  </si>
  <si>
    <t>&gt;tr|O18239|O18239_CAEEL Translocon Sec61/SecY plug domain-containing protein OS=Caenorhabditis elegans OX=6239 GN=sec-61.a PE=1 SV=1</t>
  </si>
  <si>
    <t>O18239</t>
  </si>
  <si>
    <t>sec-61.a</t>
  </si>
  <si>
    <t>Translocon Sec61/SecY plug domain-containing protein</t>
  </si>
  <si>
    <t>&gt;tr|O18240|O18240_CAEEL Small ribosomal subunit protein uS13 OS=Caenorhabditis elegans OX=6239 GN=rps-18 PE=1 SV=1</t>
  </si>
  <si>
    <t>O18240</t>
  </si>
  <si>
    <t>rps-18</t>
  </si>
  <si>
    <t>Small ribosomal subunit protein uS13</t>
  </si>
  <si>
    <t>&gt;tr|O18253|O18253_CAEEL Nucleotide-diphospho-sugar transferase domain-containing protein OS=Caenorhabditis elegans OX=6239 GN=CELE_Y57G11C.31 PE=1 SV=2</t>
  </si>
  <si>
    <t>O18253</t>
  </si>
  <si>
    <t>Nucleotide-diphospho-sugar transferase domain-containing protein</t>
  </si>
  <si>
    <t>&gt;tr|O18307|O18307_CAEEL Guanosine-3',5'-bis(diphosphate) 3'-pyrophosphohydrolase MESH1 OS=Caenorhabditis elegans OX=6239 GN=CELE_ZK909.3 PE=1 SV=2</t>
  </si>
  <si>
    <t>O18307</t>
  </si>
  <si>
    <t>Guanosine-3',5'-bis(diphosphate) 3'-pyrophosphohydrolase MESH1</t>
  </si>
  <si>
    <t>&gt;sp|O18650|RS19_CAEEL Small ribosomal subunit protein eS19 OS=Caenorhabditis elegans OX=6239 GN=rps-19 PE=2 SV=1</t>
  </si>
  <si>
    <t>O18650</t>
  </si>
  <si>
    <t>rps-19</t>
  </si>
  <si>
    <t>Small ribosomal subunit protein eS19</t>
  </si>
  <si>
    <t>&gt;tr|O18693|O18693_CAEEL AMP-binding domain-containing protein OS=Caenorhabditis elegans OX=6239 GN=acs-2 PE=1 SV=1</t>
  </si>
  <si>
    <t>O18693</t>
  </si>
  <si>
    <t>acs-2</t>
  </si>
  <si>
    <t>AMP-binding domain-containing protein</t>
  </si>
  <si>
    <t>&gt;tr|O18697|O18697_CAEEL NTF2 domain-containing protein OS=Caenorhabditis elegans OX=6239 GN=CELE_T04D3.1 PE=1 SV=1</t>
  </si>
  <si>
    <t>O18697</t>
  </si>
  <si>
    <t>NTF2 domain-containing protein</t>
  </si>
  <si>
    <t>&gt;tr|O44139|O44139_CAEEL Chromo domain-containing protein OS=Caenorhabditis elegans OX=6239 GN=cec-2 PE=4 SV=2</t>
  </si>
  <si>
    <t>O44139</t>
  </si>
  <si>
    <t>cec-2</t>
  </si>
  <si>
    <t>Chromo domain-containing protein</t>
  </si>
  <si>
    <t>&gt;tr|O44144|O44144_CAEEL PERMeable eggshell OS=Caenorhabditis elegans OX=6239 GN=perm-4 PE=1 SV=2</t>
  </si>
  <si>
    <t>O44144</t>
  </si>
  <si>
    <t>perm-4</t>
  </si>
  <si>
    <t>PERMeable eggshell</t>
  </si>
  <si>
    <t>&gt;tr|O44145|O44145_CAEEL Secreted protein OS=Caenorhabditis elegans OX=6239 GN=perm-2 PE=1 SV=2</t>
  </si>
  <si>
    <t>O44145</t>
  </si>
  <si>
    <t>perm-2</t>
  </si>
  <si>
    <t>Secreted protein</t>
  </si>
  <si>
    <t>&gt;tr|O44150|O44150_CAEEL MATH (Meprin-associated Traf homology) domain containing OS=Caenorhabditis elegans OX=6239 GN=C49A9.6 PE=1 SV=1</t>
  </si>
  <si>
    <t>O44150</t>
  </si>
  <si>
    <t>C49A9.6</t>
  </si>
  <si>
    <t>MATH (Meprin-associated Traf homology) domain containing</t>
  </si>
  <si>
    <t>&gt;tr|O44151|O44151_CAEEL Uncharacterized protein OS=Caenorhabditis elegans OX=6239 GN=C49A9.5 PE=1 SV=1</t>
  </si>
  <si>
    <t>O44151</t>
  </si>
  <si>
    <t>C49A9.5</t>
  </si>
  <si>
    <t>&gt;tr|O44154|O44154_CAEEL Telo_bind domain-containing protein OS=Caenorhabditis elegans OX=6239 GN=C49A9.2 PE=1 SV=1</t>
  </si>
  <si>
    <t>O44154</t>
  </si>
  <si>
    <t>C49A9.2</t>
  </si>
  <si>
    <t>Telo_bind domain-containing protein</t>
  </si>
  <si>
    <t>&gt;sp|O44156|PSA1_CAEEL Proteasome subunit alpha type-1 OS=Caenorhabditis elegans OX=6239 GN=pas-6 PE=1 SV=1</t>
  </si>
  <si>
    <t>O44156</t>
  </si>
  <si>
    <t>pas-6</t>
  </si>
  <si>
    <t>Proteasome subunit alpha type-1</t>
  </si>
  <si>
    <t>&gt;tr|O44168|O44168_CAEEL snRNA-activating protein complex subunit 3 OS=Caenorhabditis elegans OX=6239 GN=snpc-3.1 PE=3 SV=1;&gt;tr|Q965U6|Q965U6_CAEEL snRNA-activating protein complex subunit 3 OS=Caenorhabditis elegans OX=6239 GN=snpc-3.2 PE=3 SV=2</t>
  </si>
  <si>
    <t>O44168;Q965U6</t>
  </si>
  <si>
    <t>snpc-3.1;snpc-3.2</t>
  </si>
  <si>
    <t>snRNA-activating protein complex subunit 3</t>
  </si>
  <si>
    <t>O44168</t>
  </si>
  <si>
    <t>&gt;sp|O44169|PUF7_CAEEL Pumilio domain-containing protein 7 OS=Caenorhabditis elegans OX=6239 GN=puf-7 PE=1 SV=1</t>
  </si>
  <si>
    <t>O44169</t>
  </si>
  <si>
    <t>puf-7</t>
  </si>
  <si>
    <t>Pumilio domain-containing protein 7</t>
  </si>
  <si>
    <t>&gt;tr|O44175|O44175_CAEEL Replication factor C subunit 2 OS=Caenorhabditis elegans OX=6239 GN=rfc-2 PE=1 SV=1</t>
  </si>
  <si>
    <t>O44175</t>
  </si>
  <si>
    <t>rfc-2</t>
  </si>
  <si>
    <t>Replication factor C subunit 2</t>
  </si>
  <si>
    <t>&gt;tr|O44183|O44183_CAEEL Peptidase M1 leukotriene A4 hydrolase/aminopeptidase C-terminal domain-containing protein OS=Caenorhabditis elegans OX=6239 GN=ltah-1.2 PE=1 SV=2</t>
  </si>
  <si>
    <t>O44183</t>
  </si>
  <si>
    <t>ltah-1.2</t>
  </si>
  <si>
    <t>Peptidase M1 leukotriene A4 hydrolase/aminopeptidase C-terminal domain-containing protein</t>
  </si>
  <si>
    <t>&gt;sp|O44186|DEGS1_CAEEL Putative sphingolipid delta(4)-desaturase OS=Caenorhabditis elegans OX=6239 GN=F33D4.4 PE=3 SV=1</t>
  </si>
  <si>
    <t>O44186</t>
  </si>
  <si>
    <t>F33D4.4</t>
  </si>
  <si>
    <t>Putative sphingolipid delta(4)-desaturase</t>
  </si>
  <si>
    <t>&gt;tr|O44191|O44191_CAEEL EGF-like domain-containing protein OS=Caenorhabditis elegans OX=6239 GN=rme-2 PE=1 SV=3</t>
  </si>
  <si>
    <t>O44191</t>
  </si>
  <si>
    <t>rme-2</t>
  </si>
  <si>
    <t>EGF-like domain-containing protein</t>
  </si>
  <si>
    <t>&gt;sp|O44199|RAD50_CAEEL DNA repair protein rad-50 OS=Caenorhabditis elegans OX=6239 GN=rad-50 PE=2 SV=1</t>
  </si>
  <si>
    <t>O44199</t>
  </si>
  <si>
    <t>rad-50</t>
  </si>
  <si>
    <t>DNA repair protein rad-50</t>
  </si>
  <si>
    <t>&gt;sp|O44326|HMP2_CAEEL Beta-catenin-like protein hmp-2 OS=Caenorhabditis elegans OX=6239 GN=hmp-2 PE=1 SV=1</t>
  </si>
  <si>
    <t>O44326</t>
  </si>
  <si>
    <t>hmp-2</t>
  </si>
  <si>
    <t>Beta-catenin-like protein hmp-2</t>
  </si>
  <si>
    <t>&gt;sp|O44400|F37C4_CAEEL Protein F37C4.5 OS=Caenorhabditis elegans OX=6239 GN=F37C4.5 PE=1 SV=3</t>
  </si>
  <si>
    <t>O44400</t>
  </si>
  <si>
    <t>F37C4.5</t>
  </si>
  <si>
    <t>Protein F37C4.5</t>
  </si>
  <si>
    <t>&gt;sp|O44406|ERI1_CAEEL 3'-5' exonuclease eri-1 OS=Caenorhabditis elegans OX=6239 GN=eri-1 PE=1 SV=2</t>
  </si>
  <si>
    <t>O44406</t>
  </si>
  <si>
    <t>eri-1</t>
  </si>
  <si>
    <t>3'-5' exonuclease eri-1</t>
  </si>
  <si>
    <t>&gt;sp|O44408|KGB1_CAEEL GLH-binding kinase 1 OS=Caenorhabditis elegans OX=6239 GN=kgb-1 PE=1 SV=2</t>
  </si>
  <si>
    <t>O44408</t>
  </si>
  <si>
    <t>kgb-1</t>
  </si>
  <si>
    <t>GLH-binding kinase 1</t>
  </si>
  <si>
    <t>&gt;sp|O44410|RRP8_CAEEL Ribosomal RNA-processing protein 8 OS=Caenorhabditis elegans OX=6239 GN=T07A9.8 PE=3 SV=1</t>
  </si>
  <si>
    <t>O44410</t>
  </si>
  <si>
    <t>T07A9.8</t>
  </si>
  <si>
    <t>Ribosomal RNA-processing protein 8</t>
  </si>
  <si>
    <t>&gt;sp|O44411|NOG1_CAEEL Nucleolar GTP-binding protein 1 OS=Caenorhabditis elegans OX=6239 GN=nog-1 PE=1 SV=1</t>
  </si>
  <si>
    <t>O44411</t>
  </si>
  <si>
    <t>nog-1</t>
  </si>
  <si>
    <t>Nucleolar GTP-binding protein 1</t>
  </si>
  <si>
    <t>&gt;tr|O44412|O44412_CAEEL Syntaxin-binding protein 1 OS=Caenorhabditis elegans OX=6239 GN=uncp-18 PE=1 SV=1</t>
  </si>
  <si>
    <t>O44412</t>
  </si>
  <si>
    <t>uncp-18</t>
  </si>
  <si>
    <t>Syntaxin-binding protein 1</t>
  </si>
  <si>
    <t>&gt;tr|O44438|O44438_CAEEL ubiquitinyl hydrolase 1 OS=Caenorhabditis elegans OX=6239 GN=otub-4 PE=1 SV=4</t>
  </si>
  <si>
    <t>O44438</t>
  </si>
  <si>
    <t>otub-4</t>
  </si>
  <si>
    <t>&gt;sp|O44441|ATIF2_CAEEL ATPase inhibitor mai-2, mitochondrial OS=Caenorhabditis elegans OX=6239 GN=mai-2 PE=3 SV=1</t>
  </si>
  <si>
    <t>O44441</t>
  </si>
  <si>
    <t>mai-2</t>
  </si>
  <si>
    <t>ATPase inhibitor mai-2, mitochondrial</t>
  </si>
  <si>
    <t>&gt;tr|O44448|O44448_CAEEL Protein-tyrosine phosphatase OS=Caenorhabditis elegans OX=6239 GN=C02B10.6 PE=1 SV=2;&gt;tr|Q9TZQ1|Q9TZQ1_CAEEL Protein-tyrosine phosphatase OS=Caenorhabditis elegans OX=6239 GN=CELE_F36H12.10 PE=4 SV=1</t>
  </si>
  <si>
    <t>O44448;Q9TZQ1</t>
  </si>
  <si>
    <t>Protein-tyrosine phosphatase</t>
  </si>
  <si>
    <t>O44448</t>
  </si>
  <si>
    <t>&gt;sp|O44451|ODPB_CAEEL Pyruvate dehydrogenase E1 component subunit beta, mitochondrial OS=Caenorhabditis elegans OX=6239 GN=pdhb-1 PE=1 SV=2</t>
  </si>
  <si>
    <t>O44451</t>
  </si>
  <si>
    <t>pdhb-1</t>
  </si>
  <si>
    <t>Pyruvate dehydrogenase E1 component subunit beta, mitochondrial</t>
  </si>
  <si>
    <t>&gt;sp|O44477|T17B1_CAEEL Probable mitochondrial import inner membrane translocase subunit tim-17B.1 OS=Caenorhabditis elegans OX=6239 GN=timm-17B.1 PE=3 SV=1</t>
  </si>
  <si>
    <t>O44477</t>
  </si>
  <si>
    <t>timm-17B.1</t>
  </si>
  <si>
    <t>Probable mitochondrial import inner membrane translocase subunit tim-17B.1</t>
  </si>
  <si>
    <t>&gt;sp|O44480|RL18A_CAEEL Large ribosomal subunit protein eL20 OS=Caenorhabditis elegans OX=6239 GN=rpl-20 PE=3 SV=2</t>
  </si>
  <si>
    <t>O44480</t>
  </si>
  <si>
    <t>rpl-20</t>
  </si>
  <si>
    <t>Large ribosomal subunit protein eL20</t>
  </si>
  <si>
    <t>&gt;tr|O44490|O44490_CAEEL ELKS/RAB6-interacting/CAST family member 2 OS=Caenorhabditis elegans OX=6239 GN=elks-1 PE=1 SV=2</t>
  </si>
  <si>
    <t>O44490</t>
  </si>
  <si>
    <t>elks-1</t>
  </si>
  <si>
    <t>ELKS/RAB6-interacting/CAST family member 2</t>
  </si>
  <si>
    <t>&gt;tr|O44497|O44497_CAEEL ShKT domain-containing protein OS=Caenorhabditis elegans OX=6239 GN=lgc-22 PE=1 SV=2</t>
  </si>
  <si>
    <t>O44497</t>
  </si>
  <si>
    <t>lgc-22</t>
  </si>
  <si>
    <t>&gt;sp|O44498|SET9_CAEEL Histone-lysine N-methyltransferase set-9 OS=Caenorhabditis elegans OX=6239 GN=set-9 PE=1 SV=2</t>
  </si>
  <si>
    <t>O44498</t>
  </si>
  <si>
    <t>set-9</t>
  </si>
  <si>
    <t>Histone-lysine N-methyltransferase set-9</t>
  </si>
  <si>
    <t>&gt;tr|O44499|O44499_CAEEL BSD domain-containing protein OS=Caenorhabditis elegans OX=6239 GN=gtf-2h1 PE=1 SV=3</t>
  </si>
  <si>
    <t>O44499</t>
  </si>
  <si>
    <t>gtf-2h1</t>
  </si>
  <si>
    <t>BSD domain-containing protein</t>
  </si>
  <si>
    <t>&gt;tr|O44500|O44500_CAEEL Protein asunder OS=Caenorhabditis elegans OX=6239 GN=ints-13 PE=1 SV=1</t>
  </si>
  <si>
    <t>O44500</t>
  </si>
  <si>
    <t>ints-13</t>
  </si>
  <si>
    <t>Protein asunder</t>
  </si>
  <si>
    <t>&gt;sp|O44502|COG8_CAEEL Conserved oligomeric Golgi complex subunit 8 OS=Caenorhabditis elegans OX=6239 GN=cogc-8 PE=3 SV=1</t>
  </si>
  <si>
    <t>O44502</t>
  </si>
  <si>
    <t>cogc-8</t>
  </si>
  <si>
    <t>Conserved oligomeric Golgi complex subunit 8</t>
  </si>
  <si>
    <t>&gt;tr|O44505|O44505_CAEEL C2H2-type domain-containing protein OS=Caenorhabditis elegans OX=6239 GN=CELE_R02D3.7 PE=4 SV=1</t>
  </si>
  <si>
    <t>O44505</t>
  </si>
  <si>
    <t>&gt;tr|O44509|O44509_CAEEL NADH dehydrogenase [ubiquinone] 1 beta subcomplex subunit 11, mitochondrial OS=Caenorhabditis elegans OX=6239 GN=ndub-11 PE=1 SV=1</t>
  </si>
  <si>
    <t>O44509</t>
  </si>
  <si>
    <t>ndub-11</t>
  </si>
  <si>
    <t>NADH dehydrogenase [ubiquinone] 1 beta subcomplex subunit 11, mitochondrial</t>
  </si>
  <si>
    <t>&gt;sp|O44510|MOCS3_CAEEL Adenylyltransferase and sulfurtransferase MOCS3 OS=Caenorhabditis elegans OX=6239 GN=moc-3 PE=3 SV=2</t>
  </si>
  <si>
    <t>O44510</t>
  </si>
  <si>
    <t>moc-3</t>
  </si>
  <si>
    <t>Adenylyltransferase and sulfurtransferase MOCS3</t>
  </si>
  <si>
    <t>&gt;tr|O44512|O44512_CAEEL Cytochrome b-c1 complex subunit Rieske, mitochondrial OS=Caenorhabditis elegans OX=6239 GN=isp-1 PE=1 SV=1</t>
  </si>
  <si>
    <t>O44512</t>
  </si>
  <si>
    <t>isp-1</t>
  </si>
  <si>
    <t>Cytochrome b-c1 complex subunit Rieske, mitochondrial</t>
  </si>
  <si>
    <t>&gt;sp|O44514|PMK3_CAEEL Mitogen-activated protein kinase pmk-3 OS=Caenorhabditis elegans OX=6239 GN=pmk-3 PE=1 SV=2</t>
  </si>
  <si>
    <t>O44514</t>
  </si>
  <si>
    <t>pmk-3</t>
  </si>
  <si>
    <t>Mitogen-activated protein kinase pmk-3</t>
  </si>
  <si>
    <t>&gt;sp|O44518|CYFIP_CAEEL Cytoplasmic FMR1-interacting protein homolog OS=Caenorhabditis elegans OX=6239 GN=gex-2 PE=1 SV=4</t>
  </si>
  <si>
    <t>O44518</t>
  </si>
  <si>
    <t>gex-2</t>
  </si>
  <si>
    <t>Cytoplasmic FMR1-interacting protein homolog</t>
  </si>
  <si>
    <t>&gt;sp|O44548|KNL2_CAEEL Kinetochore null protein 2 OS=Caenorhabditis elegans OX=6239 GN=knl-2 PE=1 SV=2</t>
  </si>
  <si>
    <t>O44548</t>
  </si>
  <si>
    <t>knl-2</t>
  </si>
  <si>
    <t>Kinetochore null protein 2</t>
  </si>
  <si>
    <t>&gt;tr|O44549|O44549_CAEEL Short/branched chain specific acyl-CoA dehydrogenase, mitochondrial OS=Caenorhabditis elegans OX=6239 GN=acdh-3 PE=1 SV=1</t>
  </si>
  <si>
    <t>O44549</t>
  </si>
  <si>
    <t>acdh-3</t>
  </si>
  <si>
    <t>&gt;sp|O44552|MPIP1_CAEEL M-phase inducer phosphatase cdc-25.1 OS=Caenorhabditis elegans OX=6239 GN=cdc-25.1 PE=3 SV=1</t>
  </si>
  <si>
    <t>O44552</t>
  </si>
  <si>
    <t>cdc-25.1</t>
  </si>
  <si>
    <t>M-phase inducer phosphatase cdc-25.1</t>
  </si>
  <si>
    <t>&gt;tr|O44565|O44565_CAEEL Laminin subunit beta-1 OS=Caenorhabditis elegans OX=6239 GN=lam-1 PE=1 SV=3</t>
  </si>
  <si>
    <t>O44565</t>
  </si>
  <si>
    <t>lam-1</t>
  </si>
  <si>
    <t>Laminin subunit beta-1</t>
  </si>
  <si>
    <t>&gt;sp|O44568|RF1M_CAEEL Probable peptide chain release factor 1, mitochondrial OS=Caenorhabditis elegans OX=6239 GN=W03F8.3 PE=3 SV=1</t>
  </si>
  <si>
    <t>O44568</t>
  </si>
  <si>
    <t>W03F8.3</t>
  </si>
  <si>
    <t>Probable peptide chain release factor 1, mitochondrial</t>
  </si>
  <si>
    <t>&gt;tr|O44620|O44620_CAEEL Sugar transporter SWEET OS=Caenorhabditis elegans OX=6239 GN=swt-7 PE=1 SV=1</t>
  </si>
  <si>
    <t>O44620</t>
  </si>
  <si>
    <t>swt-7</t>
  </si>
  <si>
    <t>Sugar transporter SWEET</t>
  </si>
  <si>
    <t>&gt;sp|O44662|NLP31_CAEEL Neuropeptide-like protein 31 OS=Caenorhabditis elegans OX=6239 GN=nlp-31 PE=2 SV=1;&gt;sp|O44664|NLP29_CAEEL Neuropeptide-like protein 29 OS=Caenorhabditis elegans OX=6239 GN=nlp-29 PE=2 SV=1;&gt;sp|O44665|NLP28_CAEEL Neuropeptide-like protein 28 OS=Caenorhabditis elegans OX=6239 GN=nlp-28 PE=3 SV=1</t>
  </si>
  <si>
    <t>O44662;O44664;O44665</t>
  </si>
  <si>
    <t>nlp-31;nlp-29;nlp-28</t>
  </si>
  <si>
    <t>Neuropeptide-like protein 31;Neuropeptide-like protein 29;Neuropeptide-like protein 28</t>
  </si>
  <si>
    <t>O44662</t>
  </si>
  <si>
    <t>Neuropeptide-like protein 31</t>
  </si>
  <si>
    <t>&gt;tr|O44729|O44729_CAEEL WD_REPEATS_REGION domain-containing protein OS=Caenorhabditis elegans OX=6239 GN=prp-17 PE=1 SV=2</t>
  </si>
  <si>
    <t>O44729</t>
  </si>
  <si>
    <t>prp-17</t>
  </si>
  <si>
    <t>&gt;tr|O44732|O44732_CAEEL EthanolaminePhosphoTransferase 1 homolog OS=Caenorhabditis elegans OX=6239 GN=ept-1 PE=1 SV=3</t>
  </si>
  <si>
    <t>O44732</t>
  </si>
  <si>
    <t>ept-1</t>
  </si>
  <si>
    <t>EthanolaminePhosphoTransferase 1 homolog</t>
  </si>
  <si>
    <t>&gt;tr|O44734|O44734_CAEEL Activator of basal transcription 1 OS=Caenorhabditis elegans OX=6239 GN=CELE_F57B10.8 PE=1 SV=1</t>
  </si>
  <si>
    <t>O44734</t>
  </si>
  <si>
    <t>Activator of basal transcription 1</t>
  </si>
  <si>
    <t>&gt;tr|O44735|O44735_CAEEL Inheritance of peroxisomes protein 1 OS=Caenorhabditis elegans OX=6239 GN=spg-20 PE=1 SV=2</t>
  </si>
  <si>
    <t>O44735</t>
  </si>
  <si>
    <t>spg-20</t>
  </si>
  <si>
    <t>Inheritance of peroxisomes protein 1</t>
  </si>
  <si>
    <t>&gt;tr|O44737|O44737_CAEEL XPG (Xeroderma Pigmentosum group G) DNA repair gene homolog OS=Caenorhabditis elegans OX=6239 GN=xpg-1 PE=1 SV=2</t>
  </si>
  <si>
    <t>O44737</t>
  </si>
  <si>
    <t>xpg-1</t>
  </si>
  <si>
    <t>XPG (Xeroderma Pigmentosum group G) DNA repair gene homolog</t>
  </si>
  <si>
    <t>&gt;tr|O44760|O44760_CAEEL HTH La-type RNA-binding domain-containing protein OS=Caenorhabditis elegans OX=6239 GN=larp-5 PE=1 SV=4</t>
  </si>
  <si>
    <t>O44760</t>
  </si>
  <si>
    <t>larp-5</t>
  </si>
  <si>
    <t>HTH La-type RNA-binding domain-containing protein</t>
  </si>
  <si>
    <t>&gt;tr|O44782|O44782_CAEEL Major sperm protein OS=Caenorhabditis elegans OX=6239 GN=vpr-1 PE=1 SV=1</t>
  </si>
  <si>
    <t>O44782</t>
  </si>
  <si>
    <t>vpr-1</t>
  </si>
  <si>
    <t>Major sperm protein</t>
  </si>
  <si>
    <t>&gt;tr|O44788|O44788_CAEEL Transgelin OS=Caenorhabditis elegans OX=6239 GN=cpn-2 PE=1 SV=2</t>
  </si>
  <si>
    <t>O44788</t>
  </si>
  <si>
    <t>cpn-2</t>
  </si>
  <si>
    <t>Transgelin</t>
  </si>
  <si>
    <t>&gt;sp|O44827|FGT1_CAEEL Facilitated glucose transporter protein 1 OS=Caenorhabditis elegans OX=6239 GN=fgt-1 PE=1 SV=2</t>
  </si>
  <si>
    <t>O44827</t>
  </si>
  <si>
    <t>fgt-1</t>
  </si>
  <si>
    <t>Facilitated glucose transporter protein 1</t>
  </si>
  <si>
    <t>&gt;tr|O44846|O44846_CAEEL AA_permease domain-containing protein OS=Caenorhabditis elegans OX=6239 GN=CELE_T04B8.5 PE=1 SV=1</t>
  </si>
  <si>
    <t>O44846</t>
  </si>
  <si>
    <t>AA_permease domain-containing protein</t>
  </si>
  <si>
    <t>&gt;tr|O44887|O44887_CAEEL Innexin OS=Caenorhabditis elegans OX=6239 GN=inx-13 PE=1 SV=1</t>
  </si>
  <si>
    <t>O44887</t>
  </si>
  <si>
    <t>inx-13</t>
  </si>
  <si>
    <t>Innexin</t>
  </si>
  <si>
    <t>&gt;tr|O44895|O44895_CAEEL Histone H1 OS=Caenorhabditis elegans OX=6239 GN=CELE_ZK484.3 PE=1 SV=2</t>
  </si>
  <si>
    <t>O44895</t>
  </si>
  <si>
    <t>Histone H1</t>
  </si>
  <si>
    <t>&gt;tr|O44897|O44897_CAEEL ABC-type antigen peptide transporter OS=Caenorhabditis elegans OX=6239 GN=haf-9 PE=1 SV=2</t>
  </si>
  <si>
    <t>O44897</t>
  </si>
  <si>
    <t>haf-9</t>
  </si>
  <si>
    <t>&gt;tr|O44906|O44906_CAEEL phosphoenolpyruvate carboxykinase (GTP) OS=Caenorhabditis elegans OX=6239 GN=pck-1 PE=1 SV=2</t>
  </si>
  <si>
    <t>O44906</t>
  </si>
  <si>
    <t>pck-1</t>
  </si>
  <si>
    <t>&gt;sp|O44952|LONM_CAEEL Lon protease homolog, mitochondrial OS=Caenorhabditis elegans OX=6239 GN=lonp-1 PE=3 SV=1</t>
  </si>
  <si>
    <t>O44952</t>
  </si>
  <si>
    <t>lonp-1</t>
  </si>
  <si>
    <t>Lon protease homolog, mitochondrial</t>
  </si>
  <si>
    <t>&gt;sp|O44953|SPCS1_CAEEL Signal peptidase complex subunit 1 OS=Caenorhabditis elegans OX=6239 GN=spcs-1 PE=3 SV=1</t>
  </si>
  <si>
    <t>O44953</t>
  </si>
  <si>
    <t>spcs-1</t>
  </si>
  <si>
    <t>Signal peptidase complex subunit 1</t>
  </si>
  <si>
    <t>&gt;tr|O44954|O44954_CAEEL Succinate dehydrogenase [ubiquinone] flavoprotein subunit, mitochondrial OS=Caenorhabditis elegans OX=6239 GN=sdha-2 PE=1 SV=1</t>
  </si>
  <si>
    <t>O44954</t>
  </si>
  <si>
    <t>sdha-2</t>
  </si>
  <si>
    <t>Succinate dehydrogenase [ubiquinone] flavoprotein subunit, mitochondrial</t>
  </si>
  <si>
    <t>&gt;sp|O44959|RIOK1_CAEEL Serine/threonine-protein kinase RIO1 OS=Caenorhabditis elegans OX=6239 GN=riok-1 PE=2 SV=5</t>
  </si>
  <si>
    <t>O44959</t>
  </si>
  <si>
    <t>riok-1</t>
  </si>
  <si>
    <t>Serine/threonine-protein kinase RIO1</t>
  </si>
  <si>
    <t>&gt;sp|O44960|NHR64_CAEEL Nuclear hormone receptor family member nhr-64 OS=Caenorhabditis elegans OX=6239 GN=nhr-64 PE=2 SV=2</t>
  </si>
  <si>
    <t>O44960</t>
  </si>
  <si>
    <t>nhr-64</t>
  </si>
  <si>
    <t>Nuclear hormone receptor family member nhr-64</t>
  </si>
  <si>
    <t>&gt;tr|O44985|O44985_CAEEL Splicing factor 3B subunit 3 OS=Caenorhabditis elegans OX=6239 GN=teg-4 PE=1 SV=1</t>
  </si>
  <si>
    <t>O44985</t>
  </si>
  <si>
    <t>teg-4</t>
  </si>
  <si>
    <t>Splicing factor 3B subunit 3</t>
  </si>
  <si>
    <t>&gt;sp|O44989|COL49_CAEEL Cuticle collagen 49 OS=Caenorhabditis elegans OX=6239 GN=col-49 PE=2 SV=1</t>
  </si>
  <si>
    <t>O44989</t>
  </si>
  <si>
    <t>col-49</t>
  </si>
  <si>
    <t>Cuticle collagen 49</t>
  </si>
  <si>
    <t>&gt;tr|O44991|O44991_CAEEL Brix domain-containing protein OS=Caenorhabditis elegans OX=6239 GN=lpd-6 PE=1 SV=2</t>
  </si>
  <si>
    <t>O44991</t>
  </si>
  <si>
    <t>lpd-6</t>
  </si>
  <si>
    <t>Brix domain-containing protein</t>
  </si>
  <si>
    <t>&gt;tr|O44992|O44992_CAEEL Sister chromatid cohesion protein DCC1 OS=Caenorhabditis elegans OX=6239 GN=dscc-1 PE=1 SV=2</t>
  </si>
  <si>
    <t>O44992</t>
  </si>
  <si>
    <t>dscc-1</t>
  </si>
  <si>
    <t>Sister chromatid cohesion protein DCC1</t>
  </si>
  <si>
    <t>&gt;tr|O45006|O45006_CAEEL Membrane transporter protein OS=Caenorhabditis elegans OX=6239 GN=CELE_W03D8.9 PE=4 SV=2;&gt;tr|Q22524|Q22524_CAEEL Membrane transporter protein OS=Caenorhabditis elegans OX=6239 GN=CELE_T16A9.5 PE=4 SV=1;&gt;tr|Q9XW39|Q9XW39_CAEEL MFS domain-containing protein OS=Caenorhabditis elegans OX=6239 GN=CELE_Y69E1A.1 PE=4 SV=1;&gt;tr|Q9XWW4|Q9XWW4_CAEEL Membrane transporter protein OS=Caenorhabditis elegans OX=6239 GN=CELE_Y37D8A.5 PE=4 SV=2</t>
  </si>
  <si>
    <t>O45006;Q22524;Q9XW39;Q9XWW4</t>
  </si>
  <si>
    <t>Membrane transporter protein;Membrane transporter protein;MFS domain-containing protein;Membrane transporter protein</t>
  </si>
  <si>
    <t>O45006</t>
  </si>
  <si>
    <t>Membrane transporter protein</t>
  </si>
  <si>
    <t>&gt;tr|O45011|O45011_CAEEL arginine kinase OS=Caenorhabditis elegans OX=6239 GN=CELE_W10C8.5 PE=1 SV=1</t>
  </si>
  <si>
    <t>O45011</t>
  </si>
  <si>
    <t>arginine kinase</t>
  </si>
  <si>
    <t>&gt;tr|O45012|O45012_CAEEL Nop domain-containing protein OS=Caenorhabditis elegans OX=6239 GN=nol-58 PE=1 SV=1</t>
  </si>
  <si>
    <t>O45012</t>
  </si>
  <si>
    <t>nol-58</t>
  </si>
  <si>
    <t>Nop domain-containing protein</t>
  </si>
  <si>
    <t>&gt;tr|O45069|O45069_CAEEL Queuosine 5'-phosphate N-glycosylase/hydrolase OS=Caenorhabditis elegans OX=6239 GN=C11D2.4 PE=1 SV=2</t>
  </si>
  <si>
    <t>O45069</t>
  </si>
  <si>
    <t>C11D2.4</t>
  </si>
  <si>
    <t>Queuosine 5'-phosphate N-glycosylase/hydrolase</t>
  </si>
  <si>
    <t>&gt;tr|O45074|O45074_CAEEL UDENN domain-containing protein OS=Caenorhabditis elegans OX=6239 GN=CELE_F53H1.3 PE=1 SV=2</t>
  </si>
  <si>
    <t>O45074</t>
  </si>
  <si>
    <t>UDENN domain-containing protein</t>
  </si>
  <si>
    <t>&gt;tr|O45075|O45075_CAEEL PHD-type domain-containing protein OS=Caenorhabditis elegans OX=6239 GN=CELE_F53H1.4 PE=1 SV=3</t>
  </si>
  <si>
    <t>O45075</t>
  </si>
  <si>
    <t>&gt;tr|O45086|O45086_CAEEL Mab-21 domain-containing protein OS=Caenorhabditis elegans OX=6239 GN=C17H12.2 PE=1 SV=1</t>
  </si>
  <si>
    <t>O45086</t>
  </si>
  <si>
    <t>C17H12.2</t>
  </si>
  <si>
    <t>Mab-21 domain-containing protein</t>
  </si>
  <si>
    <t>&gt;tr|O45087|O45087_CAEEL WD_REPEATS_REGION domain-containing protein OS=Caenorhabditis elegans OX=6239 GN=dyci-1 PE=1 SV=1</t>
  </si>
  <si>
    <t>O45087</t>
  </si>
  <si>
    <t>dyci-1</t>
  </si>
  <si>
    <t>&gt;sp|O45100|ATAT1_CAEEL Alpha-tubulin N-acetyltransferase 1 OS=Caenorhabditis elegans OX=6239 GN=mec-17 PE=1 SV=1</t>
  </si>
  <si>
    <t>O45100</t>
  </si>
  <si>
    <t>mec-17</t>
  </si>
  <si>
    <t>Alpha-tubulin N-acetyltransferase 1</t>
  </si>
  <si>
    <t>&gt;tr|O45105|O45105_CAEEL Nematode cuticle collagen N-terminal domain-containing protein OS=Caenorhabditis elegans OX=6239 GN=col-101 PE=1 SV=2</t>
  </si>
  <si>
    <t>O45105</t>
  </si>
  <si>
    <t>col-101</t>
  </si>
  <si>
    <t>&gt;tr|O45106|O45106_CAEEL Enoyl-CoA hydratase, mitochondrial OS=Caenorhabditis elegans OX=6239 GN=ech-5 PE=1 SV=3</t>
  </si>
  <si>
    <t>O45106</t>
  </si>
  <si>
    <t>ech-5</t>
  </si>
  <si>
    <t>Enoyl-CoA hydratase, mitochondrial</t>
  </si>
  <si>
    <t>&gt;tr|O45110|O45110_CAEEL Ribosomal protein L2 C-terminal domain-containing protein OS=Caenorhabditis elegans OX=6239 GN=mrpl-2 PE=1 SV=3</t>
  </si>
  <si>
    <t>O45110</t>
  </si>
  <si>
    <t>mrpl-2</t>
  </si>
  <si>
    <t>Ribosomal protein L2 C-terminal domain-containing protein</t>
  </si>
  <si>
    <t>&gt;tr|O45114|O45114_CAEEL Nematode cuticle collagen N-terminal domain-containing protein OS=Caenorhabditis elegans OX=6239 GN=col-103 PE=1 SV=1</t>
  </si>
  <si>
    <t>O45114</t>
  </si>
  <si>
    <t>col-103</t>
  </si>
  <si>
    <t>&gt;tr|O45134|O45134_CAEEL X chromosome NonDisjunction factor OS=Caenorhabditis elegans OX=6239 GN=xnd-1 PE=1 SV=2</t>
  </si>
  <si>
    <t>O45134</t>
  </si>
  <si>
    <t>xnd-1</t>
  </si>
  <si>
    <t>X chromosome NonDisjunction factor</t>
  </si>
  <si>
    <t>&gt;tr|O45148|O45148_CAEEL Dihydrolipoyllysine-residue succinyltransferase component of 2-oxoglutarate dehydrogenase complex, mitochondrial OS=Caenorhabditis elegans OX=6239 GN=dlst-1 PE=1 SV=2</t>
  </si>
  <si>
    <t>O45148</t>
  </si>
  <si>
    <t>dlst-1</t>
  </si>
  <si>
    <t>Dihydrolipoyllysine-residue succinyltransferase component of 2-oxoglutarate dehydrogenase complex, mitochondrial</t>
  </si>
  <si>
    <t>&gt;tr|O45159|O45159_CAEEL F-box domain-containing protein OS=Caenorhabditis elegans OX=6239 GN=fbxa-65 PE=1 SV=1;&gt;tr|P91522|P91522_CAEEL F-box domain-containing protein OS=Caenorhabditis elegans OX=6239 GN=fbxa-64 PE=1 SV=2</t>
  </si>
  <si>
    <t>O45159;P91522</t>
  </si>
  <si>
    <t>fbxa-65;fbxa-64</t>
  </si>
  <si>
    <t>O45159</t>
  </si>
  <si>
    <t>&gt;sp|O45166|FOLT2_CAEEL Folate-like transporter 2 OS=Caenorhabditis elegans OX=6239 GN=folt-2 PE=3 SV=1</t>
  </si>
  <si>
    <t>O45166</t>
  </si>
  <si>
    <t>folt-2</t>
  </si>
  <si>
    <t>Folate-like transporter 2</t>
  </si>
  <si>
    <t>&gt;sp|O45168|IFC1_CAEEL Intermediate filament protein ifc-1 OS=Caenorhabditis elegans OX=6239 GN=ifc-1 PE=3 SV=2</t>
  </si>
  <si>
    <t>O45168</t>
  </si>
  <si>
    <t>ifc-1</t>
  </si>
  <si>
    <t>Intermediate filament protein ifc-1</t>
  </si>
  <si>
    <t>&gt;tr|O45181|O45181_CAEEL RRM domain-containing protein OS=Caenorhabditis elegans OX=6239 GN=nucl-1 PE=1 SV=1</t>
  </si>
  <si>
    <t>O45181</t>
  </si>
  <si>
    <t>nucl-1</t>
  </si>
  <si>
    <t>&gt;sp|O45218|ADAS_CAEEL Alkyldihydroxyacetonephosphate synthase OS=Caenorhabditis elegans OX=6239 GN=ads-1 PE=2 SV=1</t>
  </si>
  <si>
    <t>O45218</t>
  </si>
  <si>
    <t>ads-1</t>
  </si>
  <si>
    <t>Alkyldihydroxyacetonephosphate synthase</t>
  </si>
  <si>
    <t>&gt;tr|O45226|O45226_CAEEL 60S ribosomal protein L29 OS=Caenorhabditis elegans OX=6239 GN=rpl-29 PE=1 SV=1</t>
  </si>
  <si>
    <t>O45226</t>
  </si>
  <si>
    <t>rpl-29</t>
  </si>
  <si>
    <t>60S ribosomal protein L29</t>
  </si>
  <si>
    <t>&gt;sp|O45228|PROD_CAEEL Proline dehydrogenase 1, mitochondrial OS=Caenorhabditis elegans OX=6239 GN=prdh-1 PE=2 SV=2</t>
  </si>
  <si>
    <t>O45228</t>
  </si>
  <si>
    <t>prdh-1</t>
  </si>
  <si>
    <t>Proline dehydrogenase 1, mitochondrial</t>
  </si>
  <si>
    <t>&gt;sp|O45244|DHX16_CAEEL Probable pre-mRNA-splicing factor ATP-dependent RNA helicase mog-4 OS=Caenorhabditis elegans OX=6239 GN=mog-4 PE=1 SV=2</t>
  </si>
  <si>
    <t>O45244</t>
  </si>
  <si>
    <t>mog-4</t>
  </si>
  <si>
    <t>Probable pre-mRNA-splicing factor ATP-dependent RNA helicase mog-4</t>
  </si>
  <si>
    <t>&gt;tr|O45279|O45279_CAEEL 2-oxoacid dehydrogenase acyltransferase catalytic domain-containing protein OS=Caenorhabditis elegans OX=6239 GN=dlat-2 PE=1 SV=1</t>
  </si>
  <si>
    <t>O45279</t>
  </si>
  <si>
    <t>dlat-2</t>
  </si>
  <si>
    <t>2-oxoacid dehydrogenase acyltransferase catalytic domain-containing protein</t>
  </si>
  <si>
    <t>&gt;tr|O45303|O45303_CAEEL BPL/LPL catalytic domain-containing protein OS=Caenorhabditis elegans OX=6239 GN=lipt-1 PE=1 SV=3</t>
  </si>
  <si>
    <t>O45303</t>
  </si>
  <si>
    <t>lipt-1</t>
  </si>
  <si>
    <t>BPL/LPL catalytic domain-containing protein</t>
  </si>
  <si>
    <t>&gt;tr|O45373|O45373_CAEEL protein-disulfide reductase OS=Caenorhabditis elegans OX=6239 GN=CELE_F17B5.1 PE=1 SV=1</t>
  </si>
  <si>
    <t>O45373</t>
  </si>
  <si>
    <t>protein-disulfide reductase</t>
  </si>
  <si>
    <t>&gt;sp|O45380|TPS2_CAEEL Alpha,alpha-trehalose-phosphate synthase [UDP-forming] 2 OS=Caenorhabditis elegans OX=6239 GN=tps-2 PE=2 SV=3</t>
  </si>
  <si>
    <t>O45380</t>
  </si>
  <si>
    <t>tps-2</t>
  </si>
  <si>
    <t>Alpha,alpha-trehalose-phosphate synthase [UDP-forming] 2</t>
  </si>
  <si>
    <t>&gt;tr|O45386|O45386_CAEEL Major sperm protein OS=Caenorhabditis elegans OX=6239 GN=CELE_F21H7.5 PE=1 SV=1</t>
  </si>
  <si>
    <t>O45386</t>
  </si>
  <si>
    <t>&gt;tr|O45391|O45391_CAEEL cystathionine gamma-lyase OS=Caenorhabditis elegans OX=6239 GN=cth-1 PE=1 SV=1</t>
  </si>
  <si>
    <t>O45391</t>
  </si>
  <si>
    <t>cth-1</t>
  </si>
  <si>
    <t>cystathionine gamma-lyase</t>
  </si>
  <si>
    <t>&gt;tr|O45394|O45394_CAEEL MOSC domain-containing protein OS=Caenorhabditis elegans OX=6239 GN=CELE_F22B8.7 PE=1 SV=2</t>
  </si>
  <si>
    <t>O45394</t>
  </si>
  <si>
    <t>MOSC domain-containing protein</t>
  </si>
  <si>
    <t>&gt;tr|O45398|O45398_CAEEL ANK_REP_REGION domain-containing protein OS=Caenorhabditis elegans OX=6239 GN=CELE_F22G12.4 PE=1 SV=3</t>
  </si>
  <si>
    <t>O45398</t>
  </si>
  <si>
    <t>&gt;sp|O45405|EXL1_CAEEL Chloride intracellular channel exl-1 OS=Caenorhabditis elegans OX=6239 GN=exl-1 PE=2 SV=2</t>
  </si>
  <si>
    <t>O45405</t>
  </si>
  <si>
    <t>exl-1</t>
  </si>
  <si>
    <t>Chloride intracellular channel exl-1</t>
  </si>
  <si>
    <t>&gt;tr|O45418|O45418_CAEEL peptidylprolyl isomerase OS=Caenorhabditis elegans OX=6239 GN=fkb-6 PE=1 SV=1</t>
  </si>
  <si>
    <t>O45418</t>
  </si>
  <si>
    <t>fkb-6</t>
  </si>
  <si>
    <t>peptidylprolyl isomerase</t>
  </si>
  <si>
    <t>&gt;tr|O45430|O45430_CAEEL Methylcrotonoyl-CoA carboxylase subunit alpha, mitochondrial OS=Caenorhabditis elegans OX=6239 GN=mccc-1 PE=1 SV=2</t>
  </si>
  <si>
    <t>O45430</t>
  </si>
  <si>
    <t>mccc-1</t>
  </si>
  <si>
    <t>Methylcrotonoyl-CoA carboxylase subunit alpha, mitochondrial</t>
  </si>
  <si>
    <t>&gt;tr|O45431|O45431_CAEEL Pre-mRNA-splicing factor 18 OS=Caenorhabditis elegans OX=6239 GN=prp-18 PE=1 SV=3</t>
  </si>
  <si>
    <t>O45431</t>
  </si>
  <si>
    <t>prp-18</t>
  </si>
  <si>
    <t>Pre-mRNA-splicing factor 18</t>
  </si>
  <si>
    <t>&gt;tr|O45432|O45432_CAEEL SH2 domain-containing protein OS=Caenorhabditis elegans OX=6239 GN=CELE_F32B6.4 PE=1 SV=3</t>
  </si>
  <si>
    <t>O45432</t>
  </si>
  <si>
    <t>&gt;tr|O45462|O45462_CAEEL Major sperm protein OS=Caenorhabditis elegans OX=6239 GN=CELE_F36D3.4 PE=4 SV=1</t>
  </si>
  <si>
    <t>O45462</t>
  </si>
  <si>
    <t>&gt;tr|O45494|O45494_CAEEL C2H2-type domain-containing protein OS=Caenorhabditis elegans OX=6239 GN=hinf-1 PE=4 SV=2</t>
  </si>
  <si>
    <t>O45494</t>
  </si>
  <si>
    <t>hinf-1</t>
  </si>
  <si>
    <t>&gt;sp|O45495|UB2V1_CAEEL Ubiquitin-conjugating enzyme E2 variant 1 OS=Caenorhabditis elegans OX=6239 GN=uev-1 PE=1 SV=1</t>
  </si>
  <si>
    <t>O45495</t>
  </si>
  <si>
    <t>uev-1</t>
  </si>
  <si>
    <t>Ubiquitin-conjugating enzyme E2 variant 1</t>
  </si>
  <si>
    <t>&gt;tr|O45496|O45496_CAEEL Enoyl reductase (ER) domain-containing protein OS=Caenorhabditis elegans OX=6239 GN=CELE_F39B2.3 PE=1 SV=1</t>
  </si>
  <si>
    <t>O45496</t>
  </si>
  <si>
    <t>Enoyl reductase (ER) domain-containing protein</t>
  </si>
  <si>
    <t>&gt;sp|O45499|RS26_CAEEL Small ribosomal subunit protein eS26 OS=Caenorhabditis elegans OX=6239 GN=rps-26 PE=3 SV=1</t>
  </si>
  <si>
    <t>O45499</t>
  </si>
  <si>
    <t>rps-26</t>
  </si>
  <si>
    <t>Small ribosomal subunit protein eS26</t>
  </si>
  <si>
    <t>&gt;sp|O45503|MTX1_CAEEL Metaxin-1 homolog OS=Caenorhabditis elegans OX=6239 GN=mtx-1 PE=1 SV=1</t>
  </si>
  <si>
    <t>O45503</t>
  </si>
  <si>
    <t>mtx-1</t>
  </si>
  <si>
    <t>Metaxin-1 homolog</t>
  </si>
  <si>
    <t>&gt;sp|O45551|IF4E1_CAEEL Eukaryotic translation initiation factor 4E-1 OS=Caenorhabditis elegans OX=6239 GN=ife-1 PE=1 SV=2</t>
  </si>
  <si>
    <t>O45551</t>
  </si>
  <si>
    <t>ife-1</t>
  </si>
  <si>
    <t>Eukaryotic translation initiation factor 4E-1</t>
  </si>
  <si>
    <t>&gt;tr|O45552|O45552_CAEEL 3-ketoacyl-CoA thiolase, mitochondrial OS=Caenorhabditis elegans OX=6239 GN=acaa-2 PE=1 SV=2</t>
  </si>
  <si>
    <t>O45552</t>
  </si>
  <si>
    <t>acaa-2</t>
  </si>
  <si>
    <t>3-ketoacyl-CoA thiolase, mitochondrial</t>
  </si>
  <si>
    <t>&gt;tr|O45569|O45569_CAEEL Peptidase_M13_N domain-containing protein OS=Caenorhabditis elegans OX=6239 GN=nep-17 PE=1 SV=1</t>
  </si>
  <si>
    <t>O45569</t>
  </si>
  <si>
    <t>nep-17</t>
  </si>
  <si>
    <t>Peptidase_M13_N domain-containing protein</t>
  </si>
  <si>
    <t>&gt;tr|O45593|O45593_CAEEL BTB domain-containing protein OS=Caenorhabditis elegans OX=6239 GN=btb-20 PE=4 SV=2</t>
  </si>
  <si>
    <t>O45593</t>
  </si>
  <si>
    <t>btb-20</t>
  </si>
  <si>
    <t>&gt;sp|O45599|CBD1_CAEEL Chitin-binding domain protein cbd-1 OS=Caenorhabditis elegans OX=6239 GN=cbd-1 PE=3 SV=2</t>
  </si>
  <si>
    <t>O45599</t>
  </si>
  <si>
    <t>cbd-1</t>
  </si>
  <si>
    <t>Chitin-binding domain protein cbd-1</t>
  </si>
  <si>
    <t>&gt;tr|O45622|O45622_CAEEL Eukaryotic peptide chain release factor GTP-binding subunit OS=Caenorhabditis elegans OX=6239 GN=erfa-3 PE=1 SV=2</t>
  </si>
  <si>
    <t>O45622</t>
  </si>
  <si>
    <t>erfa-3</t>
  </si>
  <si>
    <t>Eukaryotic peptide chain release factor GTP-binding subunit</t>
  </si>
  <si>
    <t>&gt;tr|O45625|O45625_CAEEL MRG domain-containing protein OS=Caenorhabditis elegans OX=6239 GN=scb-1 PE=1 SV=1</t>
  </si>
  <si>
    <t>O45625</t>
  </si>
  <si>
    <t>scb-1</t>
  </si>
  <si>
    <t>MRG domain-containing protein</t>
  </si>
  <si>
    <t>&gt;tr|O45628|O45628_CAEEL UBX domain-containing protein OS=Caenorhabditis elegans OX=6239 GN=CELE_H40L08.1 PE=1 SV=1</t>
  </si>
  <si>
    <t>O45628</t>
  </si>
  <si>
    <t>UBX domain-containing protein</t>
  </si>
  <si>
    <t>&gt;sp|O45666|NHR49_CAEEL Nuclear hormone receptor family member nhr-49 OS=Caenorhabditis elegans OX=6239 GN=nhr-49 PE=1 SV=2</t>
  </si>
  <si>
    <t>O45666</t>
  </si>
  <si>
    <t>nhr-49</t>
  </si>
  <si>
    <t>Nuclear hormone receptor family member nhr-49</t>
  </si>
  <si>
    <t>&gt;tr|O45671|O45671_CAEEL DUF38 domain-containing protein OS=Caenorhabditis elegans OX=6239 GN=CELE_K10G4.5 PE=4 SV=5</t>
  </si>
  <si>
    <t>O45671</t>
  </si>
  <si>
    <t>&gt;tr|O45678|O45678_CAEEL Major facilitator superfamily (MFS) profile domain-containing protein OS=Caenorhabditis elegans OX=6239 GN=vnut-1 PE=1 SV=1</t>
  </si>
  <si>
    <t>O45678</t>
  </si>
  <si>
    <t>vnut-1</t>
  </si>
  <si>
    <t>&gt;sp|O45686|ASAH1_CAEEL Acid ceramidase OS=Caenorhabditis elegans OX=6239 GN=asah-1 PE=3 SV=1</t>
  </si>
  <si>
    <t>O45686</t>
  </si>
  <si>
    <t>asah-1</t>
  </si>
  <si>
    <t>Acid ceramidase</t>
  </si>
  <si>
    <t>&gt;tr|O45691|O45691_CAEEL Mitochondrial ribosome-associated GTPase 2 OS=Caenorhabditis elegans OX=6239 GN=CELE_M01E5.2 PE=1 SV=1</t>
  </si>
  <si>
    <t>O45691</t>
  </si>
  <si>
    <t>Mitochondrial ribosome-associated GTPase 2</t>
  </si>
  <si>
    <t>&gt;tr|O45713|O45713_CAEEL RRM domain-containing protein OS=Caenorhabditis elegans OX=6239 GN=rbm-3.2 PE=1 SV=1</t>
  </si>
  <si>
    <t>O45713</t>
  </si>
  <si>
    <t>rbm-3.2</t>
  </si>
  <si>
    <t>&gt;tr|O45718|O45718_CAEEL AP-3 complex subunit beta OS=Caenorhabditis elegans OX=6239 GN=apb-3 PE=1 SV=3</t>
  </si>
  <si>
    <t>O45718</t>
  </si>
  <si>
    <t>apb-3</t>
  </si>
  <si>
    <t>AP-3 complex subunit beta</t>
  </si>
  <si>
    <t>&gt;tr|O45722|O45722_CAEEL RING-type domain-containing protein OS=Caenorhabditis elegans OX=6239 GN=CELE_R74.8 PE=1 SV=2</t>
  </si>
  <si>
    <t>O45722</t>
  </si>
  <si>
    <t>&gt;tr|O45730|O45730_CAEEL ABC transporter domain-containing protein OS=Caenorhabditis elegans OX=6239 GN=pmp-4 PE=1 SV=1</t>
  </si>
  <si>
    <t>O45730</t>
  </si>
  <si>
    <t>pmp-4</t>
  </si>
  <si>
    <t>&gt;sp|O45731|YFC7_CAEEL Uncharacterized protein T02E1.7 OS=Caenorhabditis elegans OX=6239 GN=T02E1.7 PE=3 SV=1</t>
  </si>
  <si>
    <t>O45731</t>
  </si>
  <si>
    <t>T02E1.7</t>
  </si>
  <si>
    <t>Uncharacterized protein T02E1.7</t>
  </si>
  <si>
    <t>&gt;sp|O45734|CPL1_CAEEL Cathepsin L-like OS=Caenorhabditis elegans OX=6239 GN=cpl-1 PE=1 SV=1</t>
  </si>
  <si>
    <t>O45734</t>
  </si>
  <si>
    <t>cpl-1</t>
  </si>
  <si>
    <t>Cathepsin L-like</t>
  </si>
  <si>
    <t>&gt;tr|O45757|O45757_CAEEL WD repeat-containing protein 74 OS=Caenorhabditis elegans OX=6239 GN=CELE_T06E6.1 PE=1 SV=1</t>
  </si>
  <si>
    <t>O45757</t>
  </si>
  <si>
    <t>WD repeat-containing protein 74</t>
  </si>
  <si>
    <t>&gt;tr|O45781|O45781_CAEEL Serine/arginine-rich splicing factor 2 OS=Caenorhabditis elegans OX=6239 GN=drr-2 PE=1 SV=1</t>
  </si>
  <si>
    <t>O45781</t>
  </si>
  <si>
    <t>drr-2</t>
  </si>
  <si>
    <t>Serine/arginine-rich splicing factor 2</t>
  </si>
  <si>
    <t>&gt;sp|O45797|WARTS_CAEEL Serine/threonine-protein kinase WARTS homolog OS=Caenorhabditis elegans OX=6239 GN=wts-1 PE=1 SV=1</t>
  </si>
  <si>
    <t>O45797</t>
  </si>
  <si>
    <t>wts-1</t>
  </si>
  <si>
    <t>Serine/threonine-protein kinase WARTS homolog</t>
  </si>
  <si>
    <t>&gt;tr|O45815|O45815_CAEEL Actin OS=Caenorhabditis elegans OX=6239 GN=act-5 PE=1 SV=1</t>
  </si>
  <si>
    <t>O45815</t>
  </si>
  <si>
    <t>act-5</t>
  </si>
  <si>
    <t>Actin</t>
  </si>
  <si>
    <t>&gt;sp|O45818|DKF2_CAEEL Serine/threonine-protein kinase dkf-2 OS=Caenorhabditis elegans OX=6239 GN=dkf-2 PE=1 SV=4</t>
  </si>
  <si>
    <t>O45818</t>
  </si>
  <si>
    <t>dkf-2</t>
  </si>
  <si>
    <t>Serine/threonine-protein kinase dkf-2</t>
  </si>
  <si>
    <t>&gt;tr|O45819|O45819_CAEEL glycogenin glucosyltransferase OS=Caenorhabditis elegans OX=6239 GN=gyg-2 PE=1 SV=1</t>
  </si>
  <si>
    <t>O45819</t>
  </si>
  <si>
    <t>gyg-2</t>
  </si>
  <si>
    <t>glycogenin glucosyltransferase</t>
  </si>
  <si>
    <t>&gt;tr|O45865|O45865_CAEEL ADP/ATP translocase OS=Caenorhabditis elegans OX=6239 GN=ant-1.1 PE=1 SV=1</t>
  </si>
  <si>
    <t>O45865</t>
  </si>
  <si>
    <t>ant-1.1</t>
  </si>
  <si>
    <t>&gt;tr|O45869|O45869_CAEEL proline--tRNA ligase OS=Caenorhabditis elegans OX=6239 GN=pars-2 PE=1 SV=1</t>
  </si>
  <si>
    <t>O45869</t>
  </si>
  <si>
    <t>pars-2</t>
  </si>
  <si>
    <t>proline--tRNA ligase</t>
  </si>
  <si>
    <t>&gt;sp|O45903|MECR1_CAEEL Enoyl-[acyl-carrier-protein] reductase, mitochondrial OS=Caenorhabditis elegans OX=6239 GN=W09H1.5 PE=3 SV=1</t>
  </si>
  <si>
    <t>O45903</t>
  </si>
  <si>
    <t>W09H1.5</t>
  </si>
  <si>
    <t>Enoyl-[acyl-carrier-protein] reductase, mitochondrial</t>
  </si>
  <si>
    <t>&gt;sp|O45924|ODBA_CAEEL 2-oxoisovalerate dehydrogenase subunit alpha, mitochondrial OS=Caenorhabditis elegans OX=6239 GN=bckd-1A PE=1 SV=2</t>
  </si>
  <si>
    <t>O45924</t>
  </si>
  <si>
    <t>bckd-1A</t>
  </si>
  <si>
    <t>2-oxoisovalerate dehydrogenase subunit alpha, mitochondrial</t>
  </si>
  <si>
    <t>&gt;sp|O45933|SEH1_CAEEL Nucleoporin SEH1 OS=Caenorhabditis elegans OX=6239 GN=npp-18 PE=3 SV=1</t>
  </si>
  <si>
    <t>O45933</t>
  </si>
  <si>
    <t>npp-18</t>
  </si>
  <si>
    <t>Nucleoporin SEH1</t>
  </si>
  <si>
    <t>&gt;tr|O45934|O45934_CAEEL Phosphoglucomutase-2 OS=Caenorhabditis elegans OX=6239 GN=CELE_Y43F4B.5 PE=1 SV=1</t>
  </si>
  <si>
    <t>O45934</t>
  </si>
  <si>
    <t>Phosphoglucomutase-2</t>
  </si>
  <si>
    <t>&gt;sp|O45935|KLP19_CAEEL Kinesin-like protein klp-19 OS=Caenorhabditis elegans OX=6239 GN=klp-19 PE=2 SV=1</t>
  </si>
  <si>
    <t>O45935</t>
  </si>
  <si>
    <t>klp-19</t>
  </si>
  <si>
    <t>Kinesin-like protein klp-19</t>
  </si>
  <si>
    <t>&gt;tr|O45936|O45936_CAEEL Amino acid transporter transmembrane domain-containing protein OS=Caenorhabditis elegans OX=6239 GN=slc-36.1 PE=1 SV=2</t>
  </si>
  <si>
    <t>O45936</t>
  </si>
  <si>
    <t>slc-36.1</t>
  </si>
  <si>
    <t>&gt;sp|O45941|U375E_CAEEL UPF0375 protein Y45F10C.2 OS=Caenorhabditis elegans OX=6239 GN=Y45F10C.2 PE=1 SV=1;&gt;sp|Q9U3R0|U375B_CAEEL UPF0375 protein C08F11.12 OS=Caenorhabditis elegans OX=6239 GN=C08F11.12 PE=3 SV=1</t>
  </si>
  <si>
    <t>O45941;Q9U3R0</t>
  </si>
  <si>
    <t>Y45F10C.2;C08F11.12</t>
  </si>
  <si>
    <t>UPF0375 protein Y45F10C.2;UPF0375 protein C08F11.12</t>
  </si>
  <si>
    <t>O45941</t>
  </si>
  <si>
    <t>UPF0375 protein Y45F10C.2</t>
  </si>
  <si>
    <t>&gt;sp|O45946|RL18_CAEEL Large ribosomal subunit protein eL18 OS=Caenorhabditis elegans OX=6239 GN=rpl-18 PE=3 SV=1</t>
  </si>
  <si>
    <t>O45946</t>
  </si>
  <si>
    <t>rpl-18</t>
  </si>
  <si>
    <t>Large ribosomal subunit protein eL18</t>
  </si>
  <si>
    <t>&gt;tr|O45950|O45950_CAEEL C2H2-type domain-containing protein OS=Caenorhabditis elegans OX=6239 GN=lin-38 PE=1 SV=3</t>
  </si>
  <si>
    <t>O45950</t>
  </si>
  <si>
    <t>lin-38</t>
  </si>
  <si>
    <t>&gt;tr|O45951|O45951_CAEEL Nucleotide-diphospho-sugar transferase domain-containing protein OS=Caenorhabditis elegans OX=6239 GN=CELE_Y48E1B.8 PE=4 SV=1</t>
  </si>
  <si>
    <t>O45951</t>
  </si>
  <si>
    <t>&gt;sp|O45962|RLE1_CAEEL Regulation of longevity by E3 ubiquitin-protein ligase OS=Caenorhabditis elegans OX=6239 GN=rle-1 PE=1 SV=4</t>
  </si>
  <si>
    <t>O45962</t>
  </si>
  <si>
    <t>rle-1</t>
  </si>
  <si>
    <t>Regulation of longevity by E3 ubiquitin-protein ligase</t>
  </si>
  <si>
    <t>&gt;tr|O45995|O45995_CAEEL SET domain-containing protein OS=Caenorhabditis elegans OX=6239 GN=CELE_ZK1053.4 PE=1 SV=2</t>
  </si>
  <si>
    <t>O45995</t>
  </si>
  <si>
    <t>&gt;tr|O46024|O46024_CAEEL Aquaporin OS=Caenorhabditis elegans OX=6239 GN=aqp-11 PE=1 SV=2</t>
  </si>
  <si>
    <t>O46024</t>
  </si>
  <si>
    <t>aqp-11</t>
  </si>
  <si>
    <t>Aquaporin</t>
  </si>
  <si>
    <t>&gt;tr|O61196|O61196_CAEEL Pyridine nucleotide-disulfide oxidoreductase domain-containing protein 2 OS=Caenorhabditis elegans OX=6239 GN=CELE_F37C4.6 PE=1 SV=1</t>
  </si>
  <si>
    <t>O61196</t>
  </si>
  <si>
    <t>Pyridine nucleotide-disulfide oxidoreductase domain-containing protein 2</t>
  </si>
  <si>
    <t>&gt;sp|O61199|ODO1_CAEEL 2-oxoglutarate dehydrogenase, mitochondrial OS=Caenorhabditis elegans OX=6239 GN=ogdh-1 PE=1 SV=2</t>
  </si>
  <si>
    <t>O61199</t>
  </si>
  <si>
    <t>ogdh-1</t>
  </si>
  <si>
    <t>2-oxoglutarate dehydrogenase, mitochondrial</t>
  </si>
  <si>
    <t>&gt;tr|O61201|O61201_CAEEL GATOR complex protein MIO zinc-ribbon like domain-containing protein OS=Caenorhabditis elegans OX=6239 GN=CELE_F39C12.1 PE=1 SV=2</t>
  </si>
  <si>
    <t>O61201</t>
  </si>
  <si>
    <t>GATOR complex protein MIO zinc-ribbon like domain-containing protein</t>
  </si>
  <si>
    <t>&gt;tr|O61206|O61206_CAEEL F-box C protein OS=Caenorhabditis elegans OX=6239 GN=fbxc-52 PE=1 SV=2</t>
  </si>
  <si>
    <t>O61206</t>
  </si>
  <si>
    <t>fbxc-52</t>
  </si>
  <si>
    <t>&gt;tr|O61209|O61209_CAEEL Collagen alpha-5(IV) chain OS=Caenorhabditis elegans OX=6239 GN=CELE_H17B01.2 PE=4 SV=2;&gt;tr|Q9N3I0|Q9N3I0_CAEEL CLIP domain-containing serine protease OS=Caenorhabditis elegans OX=6239 GN=CELE_Y51H7C.1 PE=1 SV=1</t>
  </si>
  <si>
    <t>O61209;Q9N3I0</t>
  </si>
  <si>
    <t>Collagen alpha-5(IV) chain;CLIP domain-containing serine protease</t>
  </si>
  <si>
    <t>O61209</t>
  </si>
  <si>
    <t>Collagen alpha-5(IV) chain</t>
  </si>
  <si>
    <t>&gt;sp|O61213|DUOX1_CAEEL Dual oxidase 1 OS=Caenorhabditis elegans OX=6239 GN=bli-3 PE=1 SV=2</t>
  </si>
  <si>
    <t>O61213</t>
  </si>
  <si>
    <t>bli-3</t>
  </si>
  <si>
    <t>Dual oxidase 1</t>
  </si>
  <si>
    <t>&gt;sp|O61219|DAF31_CAEEL N-alpha-acetyltransferase daf-31 OS=Caenorhabditis elegans OX=6239 GN=daf-31 PE=2 SV=1</t>
  </si>
  <si>
    <t>O61219</t>
  </si>
  <si>
    <t>daf-31</t>
  </si>
  <si>
    <t>N-alpha-acetyltransferase daf-31</t>
  </si>
  <si>
    <t>&gt;sp|O61235|CATA2_CAEEL Catalase-2 OS=Caenorhabditis elegans OX=6239 GN=ctl-1 PE=1 SV=3;&gt;tr|Q8MYL7|Q8MYL7_CAEEL Catalase OS=Caenorhabditis elegans OX=6239 GN=ctl-3 PE=1 SV=1</t>
  </si>
  <si>
    <t>O61235;Q8MYL7</t>
  </si>
  <si>
    <t>ctl-1;ctl-3</t>
  </si>
  <si>
    <t>Catalase-2;Catalase</t>
  </si>
  <si>
    <t>O61235</t>
  </si>
  <si>
    <t>Catalase-2</t>
  </si>
  <si>
    <t>&gt;tr|O61522|O61522_CAEEL TransThyretin-Related family domain OS=Caenorhabditis elegans OX=6239 GN=CELE_F17E9.4 PE=1 SV=2</t>
  </si>
  <si>
    <t>O61522</t>
  </si>
  <si>
    <t>TransThyretin-Related family domain</t>
  </si>
  <si>
    <t>&gt;tr|O61528|O61528_CAEEL CRAL-TRIO domain-containing protein OS=Caenorhabditis elegans OX=6239 GN=unc-73 PE=1 SV=1</t>
  </si>
  <si>
    <t>O61528</t>
  </si>
  <si>
    <t>unc-73</t>
  </si>
  <si>
    <t>&gt;sp|O61660|TOP3_CAEEL DNA topoisomerase 3 OS=Caenorhabditis elegans OX=6239 GN=top-3 PE=1 SV=1</t>
  </si>
  <si>
    <t>O61660</t>
  </si>
  <si>
    <t>top-3</t>
  </si>
  <si>
    <t>DNA topoisomerase 3</t>
  </si>
  <si>
    <t>&gt;sp|O61708|PQN59_CAEEL Prion-like (glutamine/asparagine-rich) domain bearing protein pqn-59 OS=Caenorhabditis elegans OX=6239 GN=pqn-59 PE=3 SV=2</t>
  </si>
  <si>
    <t>O61708</t>
  </si>
  <si>
    <t>pqn-59</t>
  </si>
  <si>
    <t>Prion-like (glutamine/asparagine-rich) domain bearing protein pqn-59</t>
  </si>
  <si>
    <t>&gt;tr|O61709|O61709_CAEEL DeHydrogenases, Short chain OS=Caenorhabditis elegans OX=6239 GN=CELE_R119.3 PE=1 SV=2</t>
  </si>
  <si>
    <t>O61709</t>
  </si>
  <si>
    <t>&gt;tr|O61711|O61711_CAEEL RRM domain-containing protein OS=Caenorhabditis elegans OX=6239 GN=rnp-8 PE=1 SV=1</t>
  </si>
  <si>
    <t>O61711</t>
  </si>
  <si>
    <t>rnp-8</t>
  </si>
  <si>
    <t>&gt;tr|O61741|O61741_CAEEL cysteine desulfurase OS=Caenorhabditis elegans OX=6239 GN=nfs-1 PE=1 SV=2</t>
  </si>
  <si>
    <t>O61741</t>
  </si>
  <si>
    <t>nfs-1</t>
  </si>
  <si>
    <t>cysteine desulfurase</t>
  </si>
  <si>
    <t>&gt;sp|O61742|PSMD4_CAEEL 26S proteasome non-ATPase regulatory subunit 4 OS=Caenorhabditis elegans OX=6239 GN=rpn-10 PE=2 SV=2</t>
  </si>
  <si>
    <t>O61742</t>
  </si>
  <si>
    <t>rpn-10</t>
  </si>
  <si>
    <t>26S proteasome non-ATPase regulatory subunit 4</t>
  </si>
  <si>
    <t>&gt;tr|O61747|O61747_CAEEL Uncharacterized protein OS=Caenorhabditis elegans OX=6239 GN=B0205.10 PE=1 SV=1</t>
  </si>
  <si>
    <t>O61747</t>
  </si>
  <si>
    <t>B0205.10</t>
  </si>
  <si>
    <t>&gt;sp|O61749|SRP19_CAEEL Probable signal recognition particle 19 kDa protein OS=Caenorhabditis elegans OX=6239 GN=F37F2.2 PE=3 SV=4</t>
  </si>
  <si>
    <t>O61749</t>
  </si>
  <si>
    <t>F37F2.2</t>
  </si>
  <si>
    <t>Probable signal recognition particle 19 kDa protein</t>
  </si>
  <si>
    <t>&gt;tr|O61775|O61775_CAEEL Very Early Transcript OS=Caenorhabditis elegans OX=6239 GN=vet-2 PE=1 SV=6</t>
  </si>
  <si>
    <t>O61775</t>
  </si>
  <si>
    <t>vet-2</t>
  </si>
  <si>
    <t>&gt;tr|O61786|O61786_CAEEL Innexin OS=Caenorhabditis elegans OX=6239 GN=inx-15 PE=1 SV=1</t>
  </si>
  <si>
    <t>O61786</t>
  </si>
  <si>
    <t>inx-15</t>
  </si>
  <si>
    <t>&gt;sp|O61787|INX16_CAEEL Innexin-16 OS=Caenorhabditis elegans OX=6239 GN=inx-16 PE=3 SV=2</t>
  </si>
  <si>
    <t>O61787</t>
  </si>
  <si>
    <t>inx-16</t>
  </si>
  <si>
    <t>Innexin-16</t>
  </si>
  <si>
    <t>&gt;sp|O61788|INX17_CAEEL Innexin-17 OS=Caenorhabditis elegans OX=6239 GN=inx-17 PE=2 SV=1</t>
  </si>
  <si>
    <t>O61788</t>
  </si>
  <si>
    <t>inx-17</t>
  </si>
  <si>
    <t>Innexin-17</t>
  </si>
  <si>
    <t>&gt;sp|O61790|PYRE_CAEEL Orotate phosphoribosyltransferase OS=Caenorhabditis elegans OX=6239 GN=R12E2.11 PE=1 SV=1</t>
  </si>
  <si>
    <t>O61790</t>
  </si>
  <si>
    <t>R12E2.11</t>
  </si>
  <si>
    <t>Orotate phosphoribosyltransferase</t>
  </si>
  <si>
    <t>&gt;tr|O61791|O61791_CAEEL Small ribosomal subunit protein bS6m OS=Caenorhabditis elegans OX=6239 GN=mrps-6 PE=1 SV=2</t>
  </si>
  <si>
    <t>O61791</t>
  </si>
  <si>
    <t>mrps-6</t>
  </si>
  <si>
    <t>Small ribosomal subunit protein bS6m</t>
  </si>
  <si>
    <t>&gt;tr|O61792|O61792_CAEEL MPN domain-containing protein OS=Caenorhabditis elegans OX=6239 GN=rpn-8 PE=1 SV=1</t>
  </si>
  <si>
    <t>O61792</t>
  </si>
  <si>
    <t>rpn-8</t>
  </si>
  <si>
    <t>MPN domain-containing protein</t>
  </si>
  <si>
    <t>&gt;tr|O61815|O61815_CAEEL ATP-dependent RNA helicase OS=Caenorhabditis elegans OX=6239 GN=B0511.6 PE=1 SV=2</t>
  </si>
  <si>
    <t>O61815</t>
  </si>
  <si>
    <t>B0511.6</t>
  </si>
  <si>
    <t>&gt;tr|O61818|O61818_CAEEL Mitochondrial Ribosomal Protein, Small OS=Caenorhabditis elegans OX=6239 GN=mrps-30 PE=1 SV=2</t>
  </si>
  <si>
    <t>O61818</t>
  </si>
  <si>
    <t>mrps-30</t>
  </si>
  <si>
    <t>Mitochondrial Ribosomal Protein, Small</t>
  </si>
  <si>
    <t>&gt;sp|O61820|EIF3E_CAEEL Eukaryotic translation initiation factor 3 subunit E OS=Caenorhabditis elegans OX=6239 GN=eif-3.E PE=3 SV=1</t>
  </si>
  <si>
    <t>O61820</t>
  </si>
  <si>
    <t>eif-3.E</t>
  </si>
  <si>
    <t>Eukaryotic translation initiation factor 3 subunit E</t>
  </si>
  <si>
    <t>&gt;tr|O61833|O61833_CAEEL Methyltransferase domain-containing protein OS=Caenorhabditis elegans OX=6239 GN=prmt-6 PE=1 SV=2</t>
  </si>
  <si>
    <t>O61833</t>
  </si>
  <si>
    <t>prmt-6</t>
  </si>
  <si>
    <t>&gt;tr|O61845|O61845_CAEEL Chromodomain and Helicase Domain protein OS=Caenorhabditis elegans OX=6239 GN=chd-7 PE=1 SV=3</t>
  </si>
  <si>
    <t>O61845</t>
  </si>
  <si>
    <t>chd-7</t>
  </si>
  <si>
    <t>Chromodomain and Helicase Domain protein</t>
  </si>
  <si>
    <t>&gt;sp|O61856|HACL2_CAEEL 2-hydroxyacyl-CoA lyase 2 OS=Caenorhabditis elegans OX=6239 GN=T26C12.1 PE=3 SV=2</t>
  </si>
  <si>
    <t>O61856</t>
  </si>
  <si>
    <t>T26C12.1</t>
  </si>
  <si>
    <t>2-hydroxyacyl-CoA lyase 2</t>
  </si>
  <si>
    <t>&gt;tr|O61900|O61900_CAEEL THUMP domain-containing protein OS=Caenorhabditis elegans OX=6239 GN=CELE_W02G9.3 PE=1 SV=2</t>
  </si>
  <si>
    <t>O61900</t>
  </si>
  <si>
    <t>THUMP domain-containing protein</t>
  </si>
  <si>
    <t>&gt;tr|O61907|O61907_CAEEL DIOX_N domain-containing protein OS=Caenorhabditis elegans OX=6239 GN=lin-40 PE=1 SV=2</t>
  </si>
  <si>
    <t>O61907</t>
  </si>
  <si>
    <t>lin-40</t>
  </si>
  <si>
    <t>DIOX_N domain-containing protein</t>
  </si>
  <si>
    <t>&gt;sp|O61931|ERGO1_CAEEL Piwi-like protein ergo-1 OS=Caenorhabditis elegans OX=6239 GN=ergo-1 PE=1 SV=2</t>
  </si>
  <si>
    <t>O61931</t>
  </si>
  <si>
    <t>ergo-1</t>
  </si>
  <si>
    <t>Piwi-like protein ergo-1</t>
  </si>
  <si>
    <t>&gt;sp|O61955|IF4E3_CAEEL Eukaryotic translation initiation factor 4E-3 OS=Caenorhabditis elegans OX=6239 GN=ife-3 PE=1 SV=2</t>
  </si>
  <si>
    <t>O61955</t>
  </si>
  <si>
    <t>ife-3</t>
  </si>
  <si>
    <t>Eukaryotic translation initiation factor 4E-3</t>
  </si>
  <si>
    <t>&gt;sp|O61967|LAP1_CAEEL Protein lap1 OS=Caenorhabditis elegans OX=6239 GN=let-413 PE=1 SV=3</t>
  </si>
  <si>
    <t>O61967</t>
  </si>
  <si>
    <t>let-413</t>
  </si>
  <si>
    <t>Protein lap1</t>
  </si>
  <si>
    <t>&gt;tr|O61975|O61975_CAEEL Post-GPI attachment to proteins factor 3 OS=Caenorhabditis elegans OX=6239 GN=pgap-3 PE=3 SV=1</t>
  </si>
  <si>
    <t>O61975</t>
  </si>
  <si>
    <t>pgap-3</t>
  </si>
  <si>
    <t>Post-GPI attachment to proteins factor 3</t>
  </si>
  <si>
    <t>&gt;tr|O61977|O61977_CAEEL Transthyretin-like family protein OS=Caenorhabditis elegans OX=6239 GN=ttr-47 PE=1 SV=1</t>
  </si>
  <si>
    <t>O61977</t>
  </si>
  <si>
    <t>ttr-47</t>
  </si>
  <si>
    <t>&gt;tr|O61980|O61980_CAEEL BAG domain-containing protein OS=Caenorhabditis elegans OX=6239 GN=unc-23 PE=1 SV=1</t>
  </si>
  <si>
    <t>O61980</t>
  </si>
  <si>
    <t>unc-23</t>
  </si>
  <si>
    <t>BAG domain-containing protein</t>
  </si>
  <si>
    <t>&gt;tr|O62011|O62011_CAEEL MUTator OS=Caenorhabditis elegans OX=6239 GN=mut-16 PE=1 SV=4</t>
  </si>
  <si>
    <t>O62011</t>
  </si>
  <si>
    <t>mut-16</t>
  </si>
  <si>
    <t>MUTator</t>
  </si>
  <si>
    <t>&gt;tr|O62020|O62020_CAEEL GATA-type domain-containing protein OS=Caenorhabditis elegans OX=6239 GN=lin-66 PE=1 SV=1</t>
  </si>
  <si>
    <t>O62020</t>
  </si>
  <si>
    <t>lin-66</t>
  </si>
  <si>
    <t>GATA-type domain-containing protein</t>
  </si>
  <si>
    <t>&gt;tr|O62078|O62078_CAEEL SNF2 N-terminal domain-containing protein OS=Caenorhabditis elegans OX=6239 GN=C25F9.4 PE=1 SV=3</t>
  </si>
  <si>
    <t>O62078</t>
  </si>
  <si>
    <t>C25F9.4</t>
  </si>
  <si>
    <t>&gt;tr|O62096|O62096_CAEEL SAM-dependent MTase TRM10-type domain-containing protein OS=Caenorhabditis elegans OX=6239 GN=C37A5.7 PE=4 SV=2</t>
  </si>
  <si>
    <t>O62096</t>
  </si>
  <si>
    <t>C37A5.7</t>
  </si>
  <si>
    <t>SAM-dependent MTase TRM10-type domain-containing protein</t>
  </si>
  <si>
    <t>&gt;tr|O62100|O62100_CAEEL RING-type domain-containing protein OS=Caenorhabditis elegans OX=6239 GN=C46F11.5 PE=4 SV=2</t>
  </si>
  <si>
    <t>O62100</t>
  </si>
  <si>
    <t>C46F11.5</t>
  </si>
  <si>
    <t>&gt;sp|O62106|IF6_CAEEL Eukaryotic translation initiation factor 6 OS=Caenorhabditis elegans OX=6239 GN=eif-6 PE=3 SV=1</t>
  </si>
  <si>
    <t>O62106</t>
  </si>
  <si>
    <t>eif-6</t>
  </si>
  <si>
    <t>Eukaryotic translation initiation factor 6</t>
  </si>
  <si>
    <t>&gt;sp|O62126|TM41_CAEEL Transmembrane protein 41 homolog OS=Caenorhabditis elegans OX=6239 GN=tag-175 PE=3 SV=1</t>
  </si>
  <si>
    <t>O62126</t>
  </si>
  <si>
    <t>tag-175</t>
  </si>
  <si>
    <t>Transmembrane protein 41 homolog</t>
  </si>
  <si>
    <t>&gt;sp|O62136|INX14_CAEEL Innexin-14 OS=Caenorhabditis elegans OX=6239 GN=inx-14 PE=3 SV=1</t>
  </si>
  <si>
    <t>O62136</t>
  </si>
  <si>
    <t>inx-14</t>
  </si>
  <si>
    <t>Innexin-14</t>
  </si>
  <si>
    <t>&gt;sp|O62137|ACX12_CAEEL Acyl-coenzyme A oxidase acox-1.2 OS=Caenorhabditis elegans OX=6239 GN=acox-1.2 PE=1 SV=2</t>
  </si>
  <si>
    <t>O62137</t>
  </si>
  <si>
    <t>acox-1.2</t>
  </si>
  <si>
    <t>Acyl-coenzyme A oxidase acox-1.2</t>
  </si>
  <si>
    <t>&gt;sp|O62139|ACX14_CAEEL Acyl-coenzyme A oxidase acox-1.4 OS=Caenorhabditis elegans OX=6239 GN=acox-1.4 PE=1 SV=1</t>
  </si>
  <si>
    <t>O62139</t>
  </si>
  <si>
    <t>acox-1.4</t>
  </si>
  <si>
    <t>Acyl-coenzyme A oxidase acox-1.4</t>
  </si>
  <si>
    <t>&gt;sp|O62140|ACX11_CAEEL Acyl-coenzyme A oxidase acox-1.1 OS=Caenorhabditis elegans OX=6239 GN=acox-1.1 PE=1 SV=1</t>
  </si>
  <si>
    <t>O62140</t>
  </si>
  <si>
    <t>acox-1.1</t>
  </si>
  <si>
    <t>Acyl-coenzyme A oxidase acox-1.1</t>
  </si>
  <si>
    <t>&gt;tr|O62183|O62183_CAEEL Chromatin target of PRMT1 protein C-terminal domain-containing protein OS=Caenorhabditis elegans OX=6239 GN=aly-2 PE=1 SV=1</t>
  </si>
  <si>
    <t>O62183</t>
  </si>
  <si>
    <t>aly-2</t>
  </si>
  <si>
    <t>Chromatin target of PRMT1 protein C-terminal domain-containing protein</t>
  </si>
  <si>
    <t>&gt;tr|O62185|O62185_CAEEL PWI domain-containing protein OS=Caenorhabditis elegans OX=6239 GN=rsr-1 PE=1 SV=3</t>
  </si>
  <si>
    <t>O62185</t>
  </si>
  <si>
    <t>rsr-1</t>
  </si>
  <si>
    <t>PWI domain-containing protein</t>
  </si>
  <si>
    <t>&gt;tr|O62198|O62198_CAEEL Mitochondrial import inner membrane translocase subunit Tim21 OS=Caenorhabditis elegans OX=6239 GN=CELE_F32A11.1 PE=1 SV=1</t>
  </si>
  <si>
    <t>O62198</t>
  </si>
  <si>
    <t>Mitochondrial import inner membrane translocase subunit Tim21</t>
  </si>
  <si>
    <t>&gt;sp|O62203|PHM2_CAEEL Pharyngeal muscle protein 2 OS=Caenorhabditis elegans OX=6239 GN=phm-2 PE=1 SV=3</t>
  </si>
  <si>
    <t>O62203</t>
  </si>
  <si>
    <t>phm-2</t>
  </si>
  <si>
    <t>Pharyngeal muscle protein 2</t>
  </si>
  <si>
    <t>&gt;tr|O62213|O62213_CAEEL CSD domain-containing protein OS=Caenorhabditis elegans OX=6239 GN=cey-1 PE=1 SV=1</t>
  </si>
  <si>
    <t>O62213</t>
  </si>
  <si>
    <t>cey-1</t>
  </si>
  <si>
    <t>&gt;tr|O62214|O62214_CAEEL CTCHY-type domain-containing protein OS=Caenorhabditis elegans OX=6239 GN=CELE_F33A8.4 PE=1 SV=1</t>
  </si>
  <si>
    <t>O62214</t>
  </si>
  <si>
    <t>CTCHY-type domain-containing protein</t>
  </si>
  <si>
    <t>&gt;tr|O62216|O62216_CAEEL Regulator of microtubule dynamics protein 1 OS=Caenorhabditis elegans OX=6239 GN=CELE_F33H2.6 PE=1 SV=2</t>
  </si>
  <si>
    <t>O62216</t>
  </si>
  <si>
    <t>Regulator of microtubule dynamics protein 1</t>
  </si>
  <si>
    <t>&gt;tr|O62218|O62218_CAEEL DNA polymerase epsilon catalytic subunit OS=Caenorhabditis elegans OX=6239 GN=pole-1 PE=1 SV=1</t>
  </si>
  <si>
    <t>O62218</t>
  </si>
  <si>
    <t>pole-1</t>
  </si>
  <si>
    <t>DNA polymerase epsilon catalytic subunit</t>
  </si>
  <si>
    <t>&gt;tr|O62219|O62219_CAEEL Protein FAM91A1 OS=Caenorhabditis elegans OX=6239 GN=CELE_F33H2.2 PE=1 SV=1</t>
  </si>
  <si>
    <t>O62219</t>
  </si>
  <si>
    <t>Protein FAM91A1</t>
  </si>
  <si>
    <t>&gt;tr|O62221|O62221_CAEEL TPT domain-containing protein OS=Caenorhabditis elegans OX=6239 GN=CELE_F33H2.8 PE=4 SV=2</t>
  </si>
  <si>
    <t>O62221</t>
  </si>
  <si>
    <t>&gt;tr|O62235|O62235_CAEEL E3 ubiquitin-protein ligase RBBP6 OS=Caenorhabditis elegans OX=6239 GN=rbpl-1 PE=1 SV=3</t>
  </si>
  <si>
    <t>O62235</t>
  </si>
  <si>
    <t>rbpl-1</t>
  </si>
  <si>
    <t>E3 ubiquitin-protein ligase RBBP6</t>
  </si>
  <si>
    <t>&gt;tr|O62244|O62244_CAEEL Myosin motor domain-containing protein OS=Caenorhabditis elegans OX=6239 GN=myo-6 PE=1 SV=2</t>
  </si>
  <si>
    <t>O62244</t>
  </si>
  <si>
    <t>myo-6</t>
  </si>
  <si>
    <t>&gt;tr|O62245|O62245_CAEEL Exonuclease 1 OS=Caenorhabditis elegans OX=6239 GN=exo-1 PE=1 SV=2</t>
  </si>
  <si>
    <t>O62245</t>
  </si>
  <si>
    <t>exo-1</t>
  </si>
  <si>
    <t>Exonuclease 1</t>
  </si>
  <si>
    <t>&gt;sp|O62246|COPE_CAEEL Coatomer subunit epsilon OS=Caenorhabditis elegans OX=6239 GN=cope-1 PE=3 SV=1</t>
  </si>
  <si>
    <t>O62246</t>
  </si>
  <si>
    <t>cope-1</t>
  </si>
  <si>
    <t>Coatomer subunit epsilon</t>
  </si>
  <si>
    <t>&gt;sp|O62251|MRM2_CAEEL rRNA methyltransferase 2, mitochondrial OS=Caenorhabditis elegans OX=6239 GN=F45G2.9 PE=3 SV=1</t>
  </si>
  <si>
    <t>O62251</t>
  </si>
  <si>
    <t>F45G2.9</t>
  </si>
  <si>
    <t>rRNA methyltransferase 2, mitochondrial</t>
  </si>
  <si>
    <t>&gt;sp|O62255|DCP2_CAEEL m7GpppN-mRNA hydrolase dcap-2 OS=Caenorhabditis elegans OX=6239 GN=dcap-2 PE=1 SV=4</t>
  </si>
  <si>
    <t>O62255</t>
  </si>
  <si>
    <t>dcap-2</t>
  </si>
  <si>
    <t>m7GpppN-mRNA hydrolase dcap-2</t>
  </si>
  <si>
    <t>&gt;tr|O62256|O62256_CAEEL RSD-2 N-terminal domain-containing protein OS=Caenorhabditis elegans OX=6239 GN=CELE_F52G2.3 PE=1 SV=2</t>
  </si>
  <si>
    <t>O62256</t>
  </si>
  <si>
    <t>RSD-2 N-terminal domain-containing protein</t>
  </si>
  <si>
    <t>&gt;tr|O62258|O62258_CAEEL SAM domain-containing protein OS=Caenorhabditis elegans OX=6239 GN=CELE_F53F8.5 PE=1 SV=1</t>
  </si>
  <si>
    <t>O62258</t>
  </si>
  <si>
    <t>SAM domain-containing protein</t>
  </si>
  <si>
    <t>&gt;tr|O62263|O62263_CAEEL Protein SZT2 OS=Caenorhabditis elegans OX=6239 GN=CELE_F54B3.1 PE=1 SV=2</t>
  </si>
  <si>
    <t>O62263</t>
  </si>
  <si>
    <t>Protein SZT2</t>
  </si>
  <si>
    <t>&gt;sp|O62275|WAGO4_CAEEL Argonaute protein wago-4 OS=Caenorhabditis elegans OX=6239 GN=wago-4 PE=1 SV=1</t>
  </si>
  <si>
    <t>O62275</t>
  </si>
  <si>
    <t>wago-4</t>
  </si>
  <si>
    <t>Argonaute protein wago-4</t>
  </si>
  <si>
    <t>&gt;sp|O62301|SMG8_CAEEL Nonsense-mediated mRNA decay factor SMG8 OS=Caenorhabditis elegans OX=6239 GN=smg-8 PE=1 SV=3</t>
  </si>
  <si>
    <t>O62301</t>
  </si>
  <si>
    <t>smg-8</t>
  </si>
  <si>
    <t>Nonsense-mediated mRNA decay factor SMG8</t>
  </si>
  <si>
    <t>&gt;sp|O62305|KCC2D_CAEEL Calcium/calmodulin-dependent protein kinase type II OS=Caenorhabditis elegans OX=6239 GN=unc-43 PE=1 SV=2</t>
  </si>
  <si>
    <t>O62305</t>
  </si>
  <si>
    <t>unc-43</t>
  </si>
  <si>
    <t>Calcium/calmodulin-dependent protein kinase type II</t>
  </si>
  <si>
    <t>&gt;tr|O62317|O62317_CAEEL Decapping nuclease OS=Caenorhabditis elegans OX=6239 GN=CELE_M01G12.9 PE=1 SV=2</t>
  </si>
  <si>
    <t>O62317</t>
  </si>
  <si>
    <t>Decapping nuclease</t>
  </si>
  <si>
    <t>&gt;tr|O62324|O62324_CAEEL N-acetyltransferase domain-containing protein OS=Caenorhabditis elegans OX=6239 GN=CELE_R05H10.1 PE=1 SV=1</t>
  </si>
  <si>
    <t>O62324</t>
  </si>
  <si>
    <t>&gt;tr|O62325|O62325_CAEEL RRM domain-containing protein OS=Caenorhabditis elegans OX=6239 GN=rbm-28 PE=1 SV=2</t>
  </si>
  <si>
    <t>O62325</t>
  </si>
  <si>
    <t>rbm-28</t>
  </si>
  <si>
    <t>&gt;sp|O62327|GPX2_CAEEL Glutathione peroxidase 2 OS=Caenorhabditis elegans OX=6239 GN=gpx-2 PE=3 SV=1</t>
  </si>
  <si>
    <t>O62327</t>
  </si>
  <si>
    <t>gpx-2</t>
  </si>
  <si>
    <t>Glutathione peroxidase 2</t>
  </si>
  <si>
    <t>&gt;tr|O62336|O62336_CAEEL Farnesyl pyrophosphate synthase OS=Caenorhabditis elegans OX=6239 GN=fdps-1 PE=1 SV=2</t>
  </si>
  <si>
    <t>O62336</t>
  </si>
  <si>
    <t>fdps-1</t>
  </si>
  <si>
    <t>Farnesyl pyrophosphate synthase</t>
  </si>
  <si>
    <t>&gt;tr|O62347|O62347_CAEEL Mitochondrial 2-oxodicarboxylate carrier OS=Caenorhabditis elegans OX=6239 GN=slc-25a21 PE=1 SV=3</t>
  </si>
  <si>
    <t>O62347</t>
  </si>
  <si>
    <t>slc-25a21</t>
  </si>
  <si>
    <t>Mitochondrial 2-oxodicarboxylate carrier</t>
  </si>
  <si>
    <t>&gt;tr|O62349|O62349_CAEEL DZF domain-containing protein OS=Caenorhabditis elegans OX=6239 GN=CELE_R11H6.5 PE=1 SV=2</t>
  </si>
  <si>
    <t>O62349</t>
  </si>
  <si>
    <t>&gt;tr|O62360|O62360_CAEEL J domain-containing protein OS=Caenorhabditis elegans OX=6239 GN=dnj-17 PE=1 SV=2</t>
  </si>
  <si>
    <t>O62360</t>
  </si>
  <si>
    <t>dnj-17</t>
  </si>
  <si>
    <t>&gt;tr|O62388|O62388_CAEEL Ribosomal protein L37 OS=Caenorhabditis elegans OX=6239 GN=CELE_W01D2.1 PE=1 SV=1;&gt;sp|P49622|RL37_CAEEL Large ribosomal subunit protein eL37 OS=Caenorhabditis elegans OX=6239 GN=rpl-37 PE=3 SV=2</t>
  </si>
  <si>
    <t>O62388;P49622</t>
  </si>
  <si>
    <t>Ribosomal protein L37;Large ribosomal subunit protein eL37</t>
  </si>
  <si>
    <t>O62388</t>
  </si>
  <si>
    <t>Ribosomal protein L37</t>
  </si>
  <si>
    <t>&gt;sp|O62389|NHR61_CAEEL Nuclear hormone receptor family member nhr-61 OS=Caenorhabditis elegans OX=6239 GN=nhr-61 PE=3 SV=2</t>
  </si>
  <si>
    <t>O62389</t>
  </si>
  <si>
    <t>nhr-61</t>
  </si>
  <si>
    <t>Nuclear hormone receptor family member nhr-61</t>
  </si>
  <si>
    <t>&gt;sp|O62415|LYS1_CAEEL Lysozyme-like protein 1 OS=Caenorhabditis elegans OX=6239 GN=lys-1 PE=2 SV=1</t>
  </si>
  <si>
    <t>O62415</t>
  </si>
  <si>
    <t>lys-1</t>
  </si>
  <si>
    <t>Lysozyme-like protein 1</t>
  </si>
  <si>
    <t>&gt;sp|O62431|SYQ_CAEEL Probable glutamine--tRNA ligase OS=Caenorhabditis elegans OX=6239 GN=qars-1 PE=3 SV=1</t>
  </si>
  <si>
    <t>O62431</t>
  </si>
  <si>
    <t>qars-1</t>
  </si>
  <si>
    <t>Probable glutamine--tRNA ligase</t>
  </si>
  <si>
    <t>&gt;tr|O62432|O62432_CAEEL Nematode cuticle collagen N-terminal domain-containing protein OS=Caenorhabditis elegans OX=6239 GN=dpy-4 PE=1 SV=1</t>
  </si>
  <si>
    <t>O62432</t>
  </si>
  <si>
    <t>dpy-4</t>
  </si>
  <si>
    <t>&gt;tr|O62477|O62477_CAEEL WD_REPEATS_REGION domain-containing protein OS=Caenorhabditis elegans OX=6239 GN=CELE_Y45F10D.7 PE=1 SV=6</t>
  </si>
  <si>
    <t>O62477</t>
  </si>
  <si>
    <t>&gt;sp|O62479|SAS6_CAEEL Spindle assembly abnormal protein 6 OS=Caenorhabditis elegans OX=6239 GN=sas-6 PE=1 SV=1</t>
  </si>
  <si>
    <t>O62479</t>
  </si>
  <si>
    <t>sas-6</t>
  </si>
  <si>
    <t>Spindle assembly abnormal protein 6</t>
  </si>
  <si>
    <t>&gt;tr|O62512|O62512_CAEEL Peptidase M3A/M3B catalytic domain-containing protein OS=Caenorhabditis elegans OX=6239 GN=eelo-2 PE=1 SV=3</t>
  </si>
  <si>
    <t>O62512</t>
  </si>
  <si>
    <t>eelo-2</t>
  </si>
  <si>
    <t>Peptidase M3A/M3B catalytic domain-containing protein</t>
  </si>
  <si>
    <t>&gt;sp|O62518|YHPK_CAEEL Brix domain-containing protein ZK795.3 OS=Caenorhabditis elegans OX=6239 GN=ZK795.3 PE=4 SV=1</t>
  </si>
  <si>
    <t>O62518</t>
  </si>
  <si>
    <t>ZK795.3</t>
  </si>
  <si>
    <t>Brix domain-containing protein ZK795.3</t>
  </si>
  <si>
    <t>&gt;tr|O62519|O62519_CAEEL Kinase OS=Caenorhabditis elegans OX=6239 GN=ipmk-1 PE=1 SV=3</t>
  </si>
  <si>
    <t>O62519</t>
  </si>
  <si>
    <t>ipmk-1</t>
  </si>
  <si>
    <t>Kinase</t>
  </si>
  <si>
    <t>&gt;tr|O76258|O76258_CAEEL Tumor susceptibility gene 101 protein OS=Caenorhabditis elegans OX=6239 GN=tsg-101 PE=1 SV=2</t>
  </si>
  <si>
    <t>O76258</t>
  </si>
  <si>
    <t>tsg-101</t>
  </si>
  <si>
    <t>Tumor susceptibility gene 101 protein</t>
  </si>
  <si>
    <t>&gt;sp|O76337|CED6_CAEEL Cell death protein 6 OS=Caenorhabditis elegans OX=6239 GN=ced-6 PE=1 SV=1</t>
  </si>
  <si>
    <t>O76337</t>
  </si>
  <si>
    <t>ced-6</t>
  </si>
  <si>
    <t>Cell death protein 6</t>
  </si>
  <si>
    <t>&gt;sp|O76360|EGL4_CAEEL cGMP-dependent protein kinase egl-4 OS=Caenorhabditis elegans OX=6239 GN=egl-4 PE=1 SV=2</t>
  </si>
  <si>
    <t>O76360</t>
  </si>
  <si>
    <t>egl-4</t>
  </si>
  <si>
    <t>cGMP-dependent protein kinase egl-4</t>
  </si>
  <si>
    <t>&gt;sp|O76365|CTU1_CAEEL Cytoplasmic tRNA 2-thiolation protein 1 OS=Caenorhabditis elegans OX=6239 GN=tut-1 PE=1 SV=1</t>
  </si>
  <si>
    <t>O76365</t>
  </si>
  <si>
    <t>tut-1</t>
  </si>
  <si>
    <t>Cytoplasmic tRNA 2-thiolation protein 1</t>
  </si>
  <si>
    <t>&gt;sp|O76371|PRS6A_CAEEL 26S protease regulatory subunit 6A OS=Caenorhabditis elegans OX=6239 GN=rpt-5 PE=1 SV=1</t>
  </si>
  <si>
    <t>O76371</t>
  </si>
  <si>
    <t>rpt-5</t>
  </si>
  <si>
    <t>26S protease regulatory subunit 6A</t>
  </si>
  <si>
    <t>&gt;tr|O76384|O76384_CAEEL MMS19 nucleotide excision repair protein OS=Caenorhabditis elegans OX=6239 GN=mms-19 PE=1 SV=2</t>
  </si>
  <si>
    <t>O76384</t>
  </si>
  <si>
    <t>mms-19</t>
  </si>
  <si>
    <t>MMS19 nucleotide excision repair protein</t>
  </si>
  <si>
    <t>&gt;tr|O76407|O76407_CAEEL Small-subunit processome Utp12 domain-containing protein OS=Caenorhabditis elegans OX=6239 GN=CELE_T10B5.3 PE=1 SV=3</t>
  </si>
  <si>
    <t>O76407</t>
  </si>
  <si>
    <t>Small-subunit processome Utp12 domain-containing protein</t>
  </si>
  <si>
    <t>&gt;tr|O76447|O76447_CAEEL HoloCentric chromosome binding Protein OS=Caenorhabditis elegans OX=6239 GN=hcp-1 PE=1 SV=1</t>
  </si>
  <si>
    <t>O76447</t>
  </si>
  <si>
    <t>hcp-1</t>
  </si>
  <si>
    <t>HoloCentric chromosome binding Protein</t>
  </si>
  <si>
    <t>&gt;sp|O76512|RENT1_CAEEL Regulator of nonsense transcripts 1 OS=Caenorhabditis elegans OX=6239 GN=smg-2 PE=1 SV=1</t>
  </si>
  <si>
    <t>O76512</t>
  </si>
  <si>
    <t>smg-2</t>
  </si>
  <si>
    <t>Regulator of nonsense transcripts 1</t>
  </si>
  <si>
    <t>&gt;tr|O76558|O76558_CAEEL MATH domain-containing protein OS=Caenorhabditis elegans OX=6239 GN=math-20 PE=1 SV=1</t>
  </si>
  <si>
    <t>O76558</t>
  </si>
  <si>
    <t>math-20</t>
  </si>
  <si>
    <t>&gt;tr|O76561|O76561_CAEEL Bromo domain-containing protein OS=Caenorhabditis elegans OX=6239 GN=CELE_F13C5.2 PE=1 SV=1</t>
  </si>
  <si>
    <t>O76561</t>
  </si>
  <si>
    <t>&gt;sp|O76577|PSDE_CAEEL 26S proteasome non-ATPase regulatory subunit 14 OS=Caenorhabditis elegans OX=6239 GN=rpn-11 PE=1 SV=1</t>
  </si>
  <si>
    <t>O76577</t>
  </si>
  <si>
    <t>rpn-11</t>
  </si>
  <si>
    <t>26S proteasome non-ATPase regulatory subunit 14</t>
  </si>
  <si>
    <t>&gt;tr|O76580|O76580_CAEEL SPK domain-containing protein OS=Caenorhabditis elegans OX=6239 GN=C16A11.4 PE=4 SV=2</t>
  </si>
  <si>
    <t>O76580</t>
  </si>
  <si>
    <t>C16A11.4</t>
  </si>
  <si>
    <t>SPK domain-containing protein</t>
  </si>
  <si>
    <t>&gt;tr|O76606|O76606_CAEEL Large ribosomal subunit protein bL28m OS=Caenorhabditis elegans OX=6239 GN=mrpl-28 PE=1 SV=1</t>
  </si>
  <si>
    <t>O76606</t>
  </si>
  <si>
    <t>mrpl-28</t>
  </si>
  <si>
    <t>Large ribosomal subunit protein bL28m</t>
  </si>
  <si>
    <t>&gt;sp|O76616|PID3_CAEEL Protein pid-3 OS=Caenorhabditis elegans OX=6239 GN=pid-3 PE=1 SV=1</t>
  </si>
  <si>
    <t>O76616</t>
  </si>
  <si>
    <t>pid-3</t>
  </si>
  <si>
    <t>Protein pid-3</t>
  </si>
  <si>
    <t>&gt;tr|O76618|O76618_CAEEL Cysteine--tRNA ligase, cytoplasmic OS=Caenorhabditis elegans OX=6239 GN=cars-1 PE=1 SV=1</t>
  </si>
  <si>
    <t>O76618</t>
  </si>
  <si>
    <t>cars-1</t>
  </si>
  <si>
    <t>Cysteine--tRNA ligase, cytoplasmic</t>
  </si>
  <si>
    <t>&gt;tr|O76636|O76636_CAEEL CRAL-TRIO domain-containing protein OS=Caenorhabditis elegans OX=6239 GN=CELE_H41C03.1 PE=1 SV=1</t>
  </si>
  <si>
    <t>O76636</t>
  </si>
  <si>
    <t>&gt;tr|O76651|O76651_CAEEL FBA_2 domain-containing protein OS=Caenorhabditis elegans OX=6239 GN=CELE_F25E5.5 PE=1 SV=1</t>
  </si>
  <si>
    <t>O76651</t>
  </si>
  <si>
    <t>FBA_2 domain-containing protein</t>
  </si>
  <si>
    <t>&gt;tr|O76657|O76657_CAEEL BTB domain-containing protein OS=Caenorhabditis elegans OX=6239 GN=CELE_F25E5.1 PE=1 SV=1</t>
  </si>
  <si>
    <t>O76657</t>
  </si>
  <si>
    <t>&gt;tr|O76686|O76686_CAEEL Casc1_N domain-containing protein OS=Caenorhabditis elegans OX=6239 GN=CELE_M01G5.1 PE=1 SV=2</t>
  </si>
  <si>
    <t>O76686</t>
  </si>
  <si>
    <t>Casc1_N domain-containing protein</t>
  </si>
  <si>
    <t>&gt;tr|O76687|O76687_CAEEL Transmembrane protein 120 homolog OS=Caenorhabditis elegans OX=6239 GN=tmem-120 PE=1 SV=2</t>
  </si>
  <si>
    <t>O76687</t>
  </si>
  <si>
    <t>tmem-120</t>
  </si>
  <si>
    <t>Transmembrane protein 120 homolog</t>
  </si>
  <si>
    <t>&gt;tr|O76712|O76712_CAEEL non-specific serine/threonine protein kinase OS=Caenorhabditis elegans OX=6239 GN=ttbk-2 PE=4 SV=1;&gt;tr|Q966G2|Q966G2_CAEEL non-specific serine/threonine protein kinase OS=Caenorhabditis elegans OX=6239 GN=ttbk-2.2 PE=4 SV=1</t>
  </si>
  <si>
    <t>O76712;Q966G2</t>
  </si>
  <si>
    <t>ttbk-2;ttbk-2.2</t>
  </si>
  <si>
    <t>O76712</t>
  </si>
  <si>
    <t>&gt;sp|O76743|GLH4_CAEEL ATP-dependent RNA helicase glh-4 OS=Caenorhabditis elegans OX=6239 GN=glh-4 PE=1 SV=2</t>
  </si>
  <si>
    <t>O76743</t>
  </si>
  <si>
    <t>glh-4</t>
  </si>
  <si>
    <t>ATP-dependent RNA helicase glh-4</t>
  </si>
  <si>
    <t>&gt;sp|P02513|HSP17_CAEEL Heat shock protein Hsp-16.48/Hsp-16.49 OS=Caenorhabditis elegans OX=6239 GN=hsp-16.49 PE=2 SV=1</t>
  </si>
  <si>
    <t>P02513</t>
  </si>
  <si>
    <t>hsp-16.49</t>
  </si>
  <si>
    <t>Heat shock protein Hsp-16.48/Hsp-16.49</t>
  </si>
  <si>
    <t>&gt;sp|P02566|MYO4_CAEEL Myosin-4 OS=Caenorhabditis elegans OX=6239 GN=unc-54 PE=1 SV=2</t>
  </si>
  <si>
    <t>P02566</t>
  </si>
  <si>
    <t>unc-54</t>
  </si>
  <si>
    <t>Myosin-4</t>
  </si>
  <si>
    <t>&gt;sp|P02567|MYO1_CAEEL Myosin-1 OS=Caenorhabditis elegans OX=6239 GN=myo-1 PE=1 SV=3</t>
  </si>
  <si>
    <t>P02567</t>
  </si>
  <si>
    <t>myo-1</t>
  </si>
  <si>
    <t>Myosin-1</t>
  </si>
  <si>
    <t>&gt;sp|P03949|ABL1_CAEEL Tyrosine-protein kinase abl-1 OS=Caenorhabditis elegans OX=6239 GN=abl-1 PE=1 SV=4</t>
  </si>
  <si>
    <t>P03949</t>
  </si>
  <si>
    <t>abl-1</t>
  </si>
  <si>
    <t>Tyrosine-protein kinase abl-1</t>
  </si>
  <si>
    <t>&gt;sp|P04255|H2B1_CAEEL Histone H2B 1 OS=Caenorhabditis elegans OX=6239 GN=his-44 PE=1 SV=4;&gt;sp|Q27484|H2B3_CAEEL Probable histone H2B 3 OS=Caenorhabditis elegans OX=6239 GN=his-41 PE=3 SV=3;&gt;sp|Q27876|H2B4_CAEEL Probable histone H2B 4 OS=Caenorhabditis elegans OX=6239 GN=his-66 PE=3 SV=3;&gt;sp|Q27894|H2B2_CAEEL Histone H2B 2 OS=Caenorhabditis elegans OX=6239 GN=his-54 PE=1 SV=3</t>
  </si>
  <si>
    <t>P04255;Q27484;Q27876;Q27894</t>
  </si>
  <si>
    <t>his-44;his-41;his-66;his-54</t>
  </si>
  <si>
    <t>Histone H2B 1;Probable histone H2B 3;Probable histone H2B 4;Histone H2B 2</t>
  </si>
  <si>
    <t>P04255</t>
  </si>
  <si>
    <t>Histone H2B 1</t>
  </si>
  <si>
    <t>&gt;sp|P04970|G3P1_CAEEL Glyceraldehyde-3-phosphate dehydrogenase 1 OS=Caenorhabditis elegans OX=6239 GN=gpd-1 PE=3 SV=1</t>
  </si>
  <si>
    <t>P04970</t>
  </si>
  <si>
    <t>gpd-1</t>
  </si>
  <si>
    <t>Glyceraldehyde-3-phosphate dehydrogenase 1</t>
  </si>
  <si>
    <t>&gt;sp|P05690|VIT2_CAEEL Vitellogenin-2 OS=Caenorhabditis elegans OX=6239 GN=vit-2 PE=1 SV=5</t>
  </si>
  <si>
    <t>P05690</t>
  </si>
  <si>
    <t>vit-2</t>
  </si>
  <si>
    <t>Vitellogenin-2</t>
  </si>
  <si>
    <t>&gt;sp|P06125|VIT5_CAEEL Vitellogenin-5 OS=Caenorhabditis elegans OX=6239 GN=vit-5 PE=2 SV=2</t>
  </si>
  <si>
    <t>P06125</t>
  </si>
  <si>
    <t>vit-5</t>
  </si>
  <si>
    <t>Vitellogenin-5</t>
  </si>
  <si>
    <t>&gt;sp|P06582|HSP12_CAEEL Heat shock protein hsp-16.2 OS=Caenorhabditis elegans OX=6239 GN=hsp-16.2 PE=2 SV=1</t>
  </si>
  <si>
    <t>P06582</t>
  </si>
  <si>
    <t>hsp-16.2</t>
  </si>
  <si>
    <t>Heat shock protein hsp-16.2</t>
  </si>
  <si>
    <t>&gt;sp|P09446|HSP1_CAEEL Heat shock protein hsp-1 OS=Caenorhabditis elegans OX=6239 GN=hsp-1 PE=1 SV=2</t>
  </si>
  <si>
    <t>P09446</t>
  </si>
  <si>
    <t>hsp-1</t>
  </si>
  <si>
    <t>Heat shock protein hsp-1</t>
  </si>
  <si>
    <t>&gt;sp|P09588|H2A_CAEEL Histone H2A OS=Caenorhabditis elegans OX=6239 GN=his-68 PE=1 SV=2;&gt;tr|Q27485|Q27485_CAEEL Histone H2A OS=Caenorhabditis elegans OX=6239 GN=his-35 PE=3 SV=1</t>
  </si>
  <si>
    <t>P09588;Q27485</t>
  </si>
  <si>
    <t>his-68;his-35</t>
  </si>
  <si>
    <t>Histone H2A</t>
  </si>
  <si>
    <t>P09588</t>
  </si>
  <si>
    <t>&gt;sp|P0CG71|UBIQ1_CAEEL Polyubiquitin-A OS=Caenorhabditis elegans OX=6239 GN=ubq-1 PE=3 SV=1;&gt;sp|P49632|RL40_CAEEL Ubiquitin-ribosomal protein eL40 fusion protein OS=Caenorhabditis elegans OX=6239 GN=ubq-2 PE=3 SV=2</t>
  </si>
  <si>
    <t>P0CG71;P49632</t>
  </si>
  <si>
    <t>ubq-1;ubq-2</t>
  </si>
  <si>
    <t>Polyubiquitin-A;Ubiquitin-ribosomal protein eL40 fusion protein</t>
  </si>
  <si>
    <t>P0CG71</t>
  </si>
  <si>
    <t>Polyubiquitin-A</t>
  </si>
  <si>
    <t>&gt;sp|P0DM41|ACT1_CAEEL Actin-1 OS=Caenorhabditis elegans OX=6239 GN=act-1 PE=1 SV=1;&gt;sp|P0DM42|ACT3_CAEEL Actin-3 OS=Caenorhabditis elegans OX=6239 GN=act-3 PE=3 SV=1;&gt;sp|P10986|ACT4_CAEEL Actin-4 OS=Caenorhabditis elegans OX=6239 GN=act-4 PE=3 SV=2</t>
  </si>
  <si>
    <t>P0DM41;P0DM42;P10986</t>
  </si>
  <si>
    <t>act-1;act-3;act-4</t>
  </si>
  <si>
    <t>Actin-1;Actin-3;Actin-4</t>
  </si>
  <si>
    <t>P0DM41</t>
  </si>
  <si>
    <t>Actin-1</t>
  </si>
  <si>
    <t>&gt;sp|P10567|MYSP_CAEEL Paramyosin OS=Caenorhabditis elegans OX=6239 GN=unc-15 PE=1 SV=2</t>
  </si>
  <si>
    <t>P10567</t>
  </si>
  <si>
    <t>unc-15</t>
  </si>
  <si>
    <t>Paramyosin</t>
  </si>
  <si>
    <t>&gt;sp|P10771|H24_CAEEL Histone 24 OS=Caenorhabditis elegans OX=6239 GN=his-24 PE=1 SV=4</t>
  </si>
  <si>
    <t>P10771</t>
  </si>
  <si>
    <t>his-24</t>
  </si>
  <si>
    <t>Histone 24</t>
  </si>
  <si>
    <t>&gt;sp|P11141|HSP6_CAEEL Heat shock protein hsp-6 OS=Caenorhabditis elegans OX=6239 GN=hsp-6 PE=1 SV=2</t>
  </si>
  <si>
    <t>P11141</t>
  </si>
  <si>
    <t>hsp-6</t>
  </si>
  <si>
    <t>Heat shock protein hsp-6</t>
  </si>
  <si>
    <t>&gt;sp|P12114|SQT1_CAEEL Cuticle collagen sqt-1 OS=Caenorhabditis elegans OX=6239 GN=sqt-1 PE=3 SV=2</t>
  </si>
  <si>
    <t>P12114</t>
  </si>
  <si>
    <t>sqt-1</t>
  </si>
  <si>
    <t>Cuticle collagen sqt-1</t>
  </si>
  <si>
    <t>&gt;sp|P12456|TBB1_CAEEL Tubulin beta-1 chain OS=Caenorhabditis elegans OX=6239 GN=mec-7 PE=2 SV=1</t>
  </si>
  <si>
    <t>P12456</t>
  </si>
  <si>
    <t>mec-7</t>
  </si>
  <si>
    <t>Tubulin beta-1 chain</t>
  </si>
  <si>
    <t>&gt;sp|P12844|MYO3_CAEEL Myosin-3 OS=Caenorhabditis elegans OX=6239 GN=myo-3 PE=2 SV=1</t>
  </si>
  <si>
    <t>P12844</t>
  </si>
  <si>
    <t>myo-3</t>
  </si>
  <si>
    <t>Myosin-3</t>
  </si>
  <si>
    <t>&gt;sp|P12845|MYO2_CAEEL Myosin-2 OS=Caenorhabditis elegans OX=6239 GN=myo-2 PE=1 SV=2</t>
  </si>
  <si>
    <t>P12845</t>
  </si>
  <si>
    <t>myo-2</t>
  </si>
  <si>
    <t>Myosin-2</t>
  </si>
  <si>
    <t>&gt;sp|P15796|H12_CAEEL Histone H1.2 OS=Caenorhabditis elegans OX=6239 GN=hil-2 PE=1 SV=3</t>
  </si>
  <si>
    <t>P15796</t>
  </si>
  <si>
    <t>hil-2</t>
  </si>
  <si>
    <t>Histone H1.2</t>
  </si>
  <si>
    <t>&gt;sp|P16356|RPB1_CAEEL DNA-directed RNA polymerase II subunit RPB1 OS=Caenorhabditis elegans OX=6239 GN=ama-1 PE=1 SV=3</t>
  </si>
  <si>
    <t>P16356</t>
  </si>
  <si>
    <t>ama-1</t>
  </si>
  <si>
    <t>DNA-directed RNA polymerase II subunit RPB1</t>
  </si>
  <si>
    <t>&gt;sp|P17139|CO4A1_CAEEL Collagen alpha-1(IV) chain OS=Caenorhabditis elegans OX=6239 GN=emb-9 PE=1 SV=5</t>
  </si>
  <si>
    <t>P17139</t>
  </si>
  <si>
    <t>emb-9</t>
  </si>
  <si>
    <t>Collagen alpha-1(IV) chain</t>
  </si>
  <si>
    <t>&gt;sp|P17140|CO4A2_CAEEL Collagen alpha-2(IV) chain OS=Caenorhabditis elegans OX=6239 GN=let-2 PE=1 SV=2</t>
  </si>
  <si>
    <t>P17140</t>
  </si>
  <si>
    <t>let-2</t>
  </si>
  <si>
    <t>Collagen alpha-2(IV) chain</t>
  </si>
  <si>
    <t>&gt;sp|P17221|FEM1_CAEEL Sex-determining protein fem-1 OS=Caenorhabditis elegans OX=6239 GN=fem-1 PE=1 SV=1</t>
  </si>
  <si>
    <t>P17221</t>
  </si>
  <si>
    <t>fem-1</t>
  </si>
  <si>
    <t>Sex-determining protein fem-1</t>
  </si>
  <si>
    <t>&gt;sp|P17329|G3P2_CAEEL Glyceraldehyde-3-phosphate dehydrogenase 2 OS=Caenorhabditis elegans OX=6239 GN=gpd-2 PE=3 SV=2;&gt;sp|P17330|G3P3_CAEEL Glyceraldehyde-3-phosphate dehydrogenase 3 OS=Caenorhabditis elegans OX=6239 GN=gpd-3 PE=3 SV=1</t>
  </si>
  <si>
    <t>P17329;P17330</t>
  </si>
  <si>
    <t>gpd-2;gpd-3</t>
  </si>
  <si>
    <t>Glyceraldehyde-3-phosphate dehydrogenase 2;Glyceraldehyde-3-phosphate dehydrogenase 3</t>
  </si>
  <si>
    <t>P17329</t>
  </si>
  <si>
    <t>Glyceraldehyde-3-phosphate dehydrogenase 2</t>
  </si>
  <si>
    <t>&gt;sp|P17331|G3P4_CAEEL Glyceraldehyde-3-phosphate dehydrogenase 4 OS=Caenorhabditis elegans OX=6239 GN=gpd-4 PE=3 SV=1</t>
  </si>
  <si>
    <t>P17331</t>
  </si>
  <si>
    <t>gpd-4</t>
  </si>
  <si>
    <t>Glyceraldehyde-3-phosphate dehydrogenase 4</t>
  </si>
  <si>
    <t>&gt;sp|P17343|GBB1_CAEEL Guanine nucleotide-binding protein subunit beta-1 OS=Caenorhabditis elegans OX=6239 GN=gpb-1 PE=1 SV=2</t>
  </si>
  <si>
    <t>P17343</t>
  </si>
  <si>
    <t>gpb-1</t>
  </si>
  <si>
    <t>Guanine nucleotide-binding protein subunit beta-1</t>
  </si>
  <si>
    <t>&gt;sp|P18334|CSK2A_CAEEL Casein kinase II subunit alpha OS=Caenorhabditis elegans OX=6239 GN=kin-3 PE=1 SV=1</t>
  </si>
  <si>
    <t>P18334</t>
  </si>
  <si>
    <t>kin-3</t>
  </si>
  <si>
    <t>Casein kinase II subunit alpha</t>
  </si>
  <si>
    <t>&gt;sp|P18833|COL8_CAEEL Cuticle collagen 8 OS=Caenorhabditis elegans OX=6239 GN=col-8 PE=3 SV=2</t>
  </si>
  <si>
    <t>P18833</t>
  </si>
  <si>
    <t>col-8</t>
  </si>
  <si>
    <t>Cuticle collagen 8</t>
  </si>
  <si>
    <t>&gt;sp|P18835|COL19_CAEEL Cuticle collagen 19 OS=Caenorhabditis elegans OX=6239 GN=col-19 PE=3 SV=2</t>
  </si>
  <si>
    <t>P18835</t>
  </si>
  <si>
    <t>col-19</t>
  </si>
  <si>
    <t>Cuticle collagen 19</t>
  </si>
  <si>
    <t>&gt;sp|P18947|VIT4_CAEEL Vitellogenin-4 OS=Caenorhabditis elegans OX=6239 GN=vit-4 PE=1 SV=3</t>
  </si>
  <si>
    <t>P18947</t>
  </si>
  <si>
    <t>vit-4</t>
  </si>
  <si>
    <t>Vitellogenin-4</t>
  </si>
  <si>
    <t>&gt;sp|P18948|VIT6_CAEEL Vitellogenin-6 OS=Caenorhabditis elegans OX=6239 GN=vit-6 PE=1 SV=5</t>
  </si>
  <si>
    <t>P18948</t>
  </si>
  <si>
    <t>vit-6</t>
  </si>
  <si>
    <t>Vitellogenin-6</t>
  </si>
  <si>
    <t>&gt;sp|P19625|MLR1_CAEEL Myosin regulatory light chain 1 OS=Caenorhabditis elegans OX=6239 GN=mlc-1 PE=4 SV=1</t>
  </si>
  <si>
    <t>P19625</t>
  </si>
  <si>
    <t>mlc-1</t>
  </si>
  <si>
    <t>Myosin regulatory light chain 1</t>
  </si>
  <si>
    <t>&gt;sp|P19626|MLR2_CAEEL Myosin regulatory light chain 2 OS=Caenorhabditis elegans OX=6239 GN=mlc-2 PE=4 SV=1</t>
  </si>
  <si>
    <t>P19626</t>
  </si>
  <si>
    <t>mlc-2</t>
  </si>
  <si>
    <t>Myosin regulatory light chain 2</t>
  </si>
  <si>
    <t>&gt;sp|P19826|VINC_CAEEL Vinculin OS=Caenorhabditis elegans OX=6239 GN=deb-1 PE=1 SV=2</t>
  </si>
  <si>
    <t>P19826</t>
  </si>
  <si>
    <t>deb-1</t>
  </si>
  <si>
    <t>Vinculin</t>
  </si>
  <si>
    <t>&gt;sp|P19974|CYC21_CAEEL Cytochrome c 2.1 OS=Caenorhabditis elegans OX=6239 GN=cyc-2.1 PE=1 SV=2</t>
  </si>
  <si>
    <t>P19974</t>
  </si>
  <si>
    <t>cyc-2.1</t>
  </si>
  <si>
    <t>Cytochrome c 2.1</t>
  </si>
  <si>
    <t>&gt;sp|P20163|BIBH_CAEEL Endoplasmic reticulum chaperone BiP homolog OS=Caenorhabditis elegans OX=6239 GN=hsp-4 PE=1 SV=2</t>
  </si>
  <si>
    <t>P20163</t>
  </si>
  <si>
    <t>hsp-4</t>
  </si>
  <si>
    <t>Endoplasmic reticulum chaperone BiP homolog</t>
  </si>
  <si>
    <t>&gt;sp|P21137|KAPC1_CAEEL cAMP-dependent protein kinase catalytic subunit OS=Caenorhabditis elegans OX=6239 GN=kin-1 PE=1 SV=3</t>
  </si>
  <si>
    <t>P21137</t>
  </si>
  <si>
    <t>kin-1</t>
  </si>
  <si>
    <t>cAMP-dependent protein kinase catalytic subunit</t>
  </si>
  <si>
    <t>&gt;sp|P23678|UN104_CAEEL Kinesin-like protein unc-104 OS=Caenorhabditis elegans OX=6239 GN=unc-104 PE=1 SV=4</t>
  </si>
  <si>
    <t>P23678</t>
  </si>
  <si>
    <t>unc-104</t>
  </si>
  <si>
    <t>Kinesin-like protein unc-104</t>
  </si>
  <si>
    <t>&gt;sp|P24349|SDC1_CAEEL Zinc finger protein sdc-1 OS=Caenorhabditis elegans OX=6239 GN=sdc-1 PE=1 SV=2</t>
  </si>
  <si>
    <t>P24349</t>
  </si>
  <si>
    <t>sdc-1</t>
  </si>
  <si>
    <t>Zinc finger protein sdc-1</t>
  </si>
  <si>
    <t>&gt;sp|P24886|NU4LM_CAEEL NADH-ubiquinone oxidoreductase chain 4L OS=Caenorhabditis elegans OX=6239 GN=ndfl-4 PE=3 SV=2</t>
  </si>
  <si>
    <t>P24886</t>
  </si>
  <si>
    <t>ndfl-4</t>
  </si>
  <si>
    <t>NADH-ubiquinone oxidoreductase chain 4L</t>
  </si>
  <si>
    <t>&gt;sp|P24887|NU1M_CAEEL NADH-ubiquinone oxidoreductase chain 1 OS=Caenorhabditis elegans OX=6239 GN=nduo-1 PE=3 SV=2</t>
  </si>
  <si>
    <t>P24887</t>
  </si>
  <si>
    <t>nduo-1</t>
  </si>
  <si>
    <t>NADH-ubiquinone oxidoreductase chain 1</t>
  </si>
  <si>
    <t>&gt;sp|P24888|ATP6_CAEEL ATP synthase subunit a OS=Caenorhabditis elegans OX=6239 GN=atp-6 PE=3 SV=2</t>
  </si>
  <si>
    <t>P24888</t>
  </si>
  <si>
    <t>atp-6</t>
  </si>
  <si>
    <t>ATP synthase subunit a</t>
  </si>
  <si>
    <t>&gt;sp|P24889|NU2M_CAEEL NADH-ubiquinone oxidoreductase chain 2 OS=Caenorhabditis elegans OX=6239 GN=nduo-2 PE=3 SV=2</t>
  </si>
  <si>
    <t>P24889</t>
  </si>
  <si>
    <t>nduo-2</t>
  </si>
  <si>
    <t>NADH-ubiquinone oxidoreductase chain 2</t>
  </si>
  <si>
    <t>&gt;sp|P24890|CYB_CAEEL Cytochrome b OS=Caenorhabditis elegans OX=6239 GN=ctb-1 PE=1 SV=2</t>
  </si>
  <si>
    <t>P24890</t>
  </si>
  <si>
    <t>ctb-1</t>
  </si>
  <si>
    <t>Cytochrome b</t>
  </si>
  <si>
    <t>&gt;sp|P24891|COX3_CAEEL Cytochrome c oxidase subunit 3 OS=Caenorhabditis elegans OX=6239 GN=ctc-3 PE=3 SV=3</t>
  </si>
  <si>
    <t>P24891</t>
  </si>
  <si>
    <t>ctc-3</t>
  </si>
  <si>
    <t>Cytochrome c oxidase subunit 3</t>
  </si>
  <si>
    <t>&gt;sp|P24892|NU4M_CAEEL NADH-ubiquinone oxidoreductase chain 4 OS=Caenorhabditis elegans OX=6239 GN=nduo-4 PE=3 SV=2</t>
  </si>
  <si>
    <t>P24892</t>
  </si>
  <si>
    <t>nduo-4</t>
  </si>
  <si>
    <t>NADH-ubiquinone oxidoreductase chain 4</t>
  </si>
  <si>
    <t>&gt;sp|P24893|COX1_CAEEL Cytochrome c oxidase subunit 1 OS=Caenorhabditis elegans OX=6239 GN=ctc-1 PE=3 SV=2</t>
  </si>
  <si>
    <t>P24893</t>
  </si>
  <si>
    <t>ctc-1</t>
  </si>
  <si>
    <t>Cytochrome c oxidase subunit 1</t>
  </si>
  <si>
    <t>&gt;sp|P24894|COX2_CAEEL Cytochrome c oxidase subunit 2 OS=Caenorhabditis elegans OX=6239 GN=ctc-2 PE=3 SV=2</t>
  </si>
  <si>
    <t>P24894</t>
  </si>
  <si>
    <t>ctc-2</t>
  </si>
  <si>
    <t>Cytochrome c oxidase subunit 2</t>
  </si>
  <si>
    <t>&gt;sp|P24896|NU5M_CAEEL NADH-ubiquinone oxidoreductase chain 5 OS=Caenorhabditis elegans OX=6239 GN=nduo-5 PE=3 SV=2</t>
  </si>
  <si>
    <t>P24896</t>
  </si>
  <si>
    <t>nduo-5</t>
  </si>
  <si>
    <t>NADH-ubiquinone oxidoreductase chain 5</t>
  </si>
  <si>
    <t>&gt;sp|P27420|HSP7C_CAEEL Heat shock 70 kDa protein C OS=Caenorhabditis elegans OX=6239 GN=hsp-3 PE=1 SV=2</t>
  </si>
  <si>
    <t>P27420</t>
  </si>
  <si>
    <t>hsp-3</t>
  </si>
  <si>
    <t>Heat shock 70 kDa protein C</t>
  </si>
  <si>
    <t>&gt;sp|P27604|SAHH_CAEEL Adenosylhomocysteinase OS=Caenorhabditis elegans OX=6239 GN=ahcy-1 PE=3 SV=1</t>
  </si>
  <si>
    <t>P27604</t>
  </si>
  <si>
    <t>ahcy-1</t>
  </si>
  <si>
    <t>Adenosylhomocysteinase</t>
  </si>
  <si>
    <t>&gt;sp|P27639|IF4A_CAEEL Eukaryotic initiation factor 4A OS=Caenorhabditis elegans OX=6239 GN=inf-1 PE=2 SV=1</t>
  </si>
  <si>
    <t>P27639</t>
  </si>
  <si>
    <t>inf-1</t>
  </si>
  <si>
    <t>Eukaryotic initiation factor 4A</t>
  </si>
  <si>
    <t>&gt;sp|P27798|CALR_CAEEL Calreticulin OS=Caenorhabditis elegans OX=6239 GN=crt-1 PE=1 SV=1</t>
  </si>
  <si>
    <t>P27798</t>
  </si>
  <si>
    <t>crt-1</t>
  </si>
  <si>
    <t>Calreticulin</t>
  </si>
  <si>
    <t>&gt;sp|P28191|PTP1_CAEEL Tyrosine-protein phosphatase 1 OS=Caenorhabditis elegans OX=6239 GN=ptp-1 PE=2 SV=3</t>
  </si>
  <si>
    <t>P28191</t>
  </si>
  <si>
    <t>ptp-1</t>
  </si>
  <si>
    <t>Tyrosine-protein phosphatase 1</t>
  </si>
  <si>
    <t>&gt;sp|P29691|EF2_CAEEL Elongation factor 2 OS=Caenorhabditis elegans OX=6239 GN=eef-2 PE=1 SV=4</t>
  </si>
  <si>
    <t>P29691</t>
  </si>
  <si>
    <t>eef-2</t>
  </si>
  <si>
    <t>Elongation factor 2</t>
  </si>
  <si>
    <t>&gt;sp|P30625|KAPR_CAEEL cAMP-dependent protein kinase regulatory subunit OS=Caenorhabditis elegans OX=6239 GN=kin-2 PE=1 SV=3</t>
  </si>
  <si>
    <t>P30625</t>
  </si>
  <si>
    <t>kin-2</t>
  </si>
  <si>
    <t>cAMP-dependent protein kinase regulatory subunit</t>
  </si>
  <si>
    <t>&gt;sp|P30628|VPP1_CAEEL V-type proton ATPase 116 kDa subunit a 1 OS=Caenorhabditis elegans OX=6239 GN=unc-32 PE=1 SV=3</t>
  </si>
  <si>
    <t>P30628</t>
  </si>
  <si>
    <t>unc-32</t>
  </si>
  <si>
    <t>V-type proton ATPase 116 kDa subunit a 1</t>
  </si>
  <si>
    <t>&gt;sp|P30630|LIN9_CAEEL Protein lin-9 OS=Caenorhabditis elegans OX=6239 GN=lin-9 PE=1 SV=3</t>
  </si>
  <si>
    <t>P30630</t>
  </si>
  <si>
    <t>lin-9</t>
  </si>
  <si>
    <t>Protein lin-9</t>
  </si>
  <si>
    <t>&gt;sp|P30641|RPAP2_CAEEL Putative RNA polymerase II subunit B1 CTD phosphatase rpap-2 OS=Caenorhabditis elegans OX=6239 GN=rpap-2 PE=3 SV=1</t>
  </si>
  <si>
    <t>P30641</t>
  </si>
  <si>
    <t>rpap-2</t>
  </si>
  <si>
    <t>Putative RNA polymerase II subunit B1 CTD phosphatase rpap-2</t>
  </si>
  <si>
    <t>&gt;sp|P30642|EIF3D_CAEEL Eukaryotic translation initiation factor 3 subunit D OS=Caenorhabditis elegans OX=6239 GN=eif-3.D PE=1 SV=1</t>
  </si>
  <si>
    <t>P30642</t>
  </si>
  <si>
    <t>eif-3.D</t>
  </si>
  <si>
    <t>Eukaryotic translation initiation factor 3 subunit D</t>
  </si>
  <si>
    <t>&gt;sp|P30646|YNE7_CAEEL Uncharacterized sugar kinase R08D7.7 OS=Caenorhabditis elegans OX=6239 GN=R08D7.7 PE=3 SV=4</t>
  </si>
  <si>
    <t>P30646</t>
  </si>
  <si>
    <t>R08D7.7</t>
  </si>
  <si>
    <t>Uncharacterized sugar kinase R08D7.7</t>
  </si>
  <si>
    <t>&gt;sp|P30651|YOW5_CAEEL Uncharacterized protein ZK643.5 OS=Caenorhabditis elegans OX=6239 GN=ZK643.5 PE=4 SV=2</t>
  </si>
  <si>
    <t>P30651</t>
  </si>
  <si>
    <t>ZK643.5</t>
  </si>
  <si>
    <t>Uncharacterized protein ZK643.5</t>
  </si>
  <si>
    <t>&gt;sp|P32742|IKKE1_CAEEL Inhibitor of nuclear factor kappa-B kinase epsilon subunit homolog 1 OS=Caenorhabditis elegans OX=6239 GN=ikke-1 PE=1 SV=5</t>
  </si>
  <si>
    <t>P32742</t>
  </si>
  <si>
    <t>ikke-1</t>
  </si>
  <si>
    <t>Inhibitor of nuclear factor kappa-B kinase epsilon subunit homolog 1</t>
  </si>
  <si>
    <t>&gt;sp|P32744|CLAS2_CAEEL Protein CLASP-2 OS=Caenorhabditis elegans OX=6239 GN=cls-2 PE=1 SV=3</t>
  </si>
  <si>
    <t>P32744</t>
  </si>
  <si>
    <t>cls-2</t>
  </si>
  <si>
    <t>Protein CLASP-2</t>
  </si>
  <si>
    <t>&gt;sp|P34183|SYH_CAEEL Histidine--tRNA ligase OS=Caenorhabditis elegans OX=6239 GN=hars-1 PE=2 SV=3</t>
  </si>
  <si>
    <t>P34183</t>
  </si>
  <si>
    <t>hars-1</t>
  </si>
  <si>
    <t>Histidine--tRNA ligase</t>
  </si>
  <si>
    <t>&gt;sp|P34213|RAB6A_CAEEL Ras-related protein rab-6.1 OS=Caenorhabditis elegans OX=6239 GN=rab-6.1 PE=1 SV=1</t>
  </si>
  <si>
    <t>P34213</t>
  </si>
  <si>
    <t>rab-6.1</t>
  </si>
  <si>
    <t>Ras-related protein rab-6.1</t>
  </si>
  <si>
    <t>&gt;sp|P34255|ECHH_CAEEL Probable 3-ketoacyl-CoA thiolase OS=Caenorhabditis elegans OX=6239 GN=B0303.3 PE=3 SV=1</t>
  </si>
  <si>
    <t>P34255</t>
  </si>
  <si>
    <t>B0303.3</t>
  </si>
  <si>
    <t>Probable 3-ketoacyl-CoA thiolase</t>
  </si>
  <si>
    <t>&gt;sp|P34260|VP33A_CAEEL Vacuolar protein sorting-associated protein 33A OS=Caenorhabditis elegans OX=6239 GN=vps-33.1 PE=1 SV=4</t>
  </si>
  <si>
    <t>P34260</t>
  </si>
  <si>
    <t>vps-33.1</t>
  </si>
  <si>
    <t>Vacuolar protein sorting-associated protein 33A</t>
  </si>
  <si>
    <t>&gt;sp|P34261|YKAA_CAEEL Solute carrier family 12 protein B0303.11 OS=Caenorhabditis elegans OX=6239 GN=B0303.11 PE=3 SV=7</t>
  </si>
  <si>
    <t>P34261</t>
  </si>
  <si>
    <t>B0303.11</t>
  </si>
  <si>
    <t>Solute carrier family 12 protein B0303.11</t>
  </si>
  <si>
    <t>&gt;sp|P34266|PGL2_CAEEL P granule abnormality protein 2 OS=Caenorhabditis elegans OX=6239 GN=pgl-2 PE=1 SV=2</t>
  </si>
  <si>
    <t>P34266</t>
  </si>
  <si>
    <t>pgl-2</t>
  </si>
  <si>
    <t>P granule abnormality protein 2</t>
  </si>
  <si>
    <t>&gt;sp|P34268|FLII_CAEEL Protein flightless-1 homolog OS=Caenorhabditis elegans OX=6239 GN=fli-1 PE=2 SV=2</t>
  </si>
  <si>
    <t>P34268</t>
  </si>
  <si>
    <t>fli-1</t>
  </si>
  <si>
    <t>Protein flightless-1 homolog</t>
  </si>
  <si>
    <t>&gt;sp|P34275|IVD_CAEEL Probable acyl-CoA dehydrogenase 6 OS=Caenorhabditis elegans OX=6239 GN=acdh-6 PE=3 SV=2</t>
  </si>
  <si>
    <t>P34275</t>
  </si>
  <si>
    <t>acdh-6</t>
  </si>
  <si>
    <t>Probable acyl-CoA dehydrogenase 6</t>
  </si>
  <si>
    <t>&gt;sp|P34280|YKK3_CAEEL Uncharacterized GTP-binding protein C02F5.3 OS=Caenorhabditis elegans OX=6239 GN=C02F5.3 PE=3 SV=2</t>
  </si>
  <si>
    <t>P34280</t>
  </si>
  <si>
    <t>C02F5.3</t>
  </si>
  <si>
    <t>Uncharacterized GTP-binding protein C02F5.3</t>
  </si>
  <si>
    <t>&gt;sp|P34281|CIDS1_CAEEL CID domain-containing protein 1 OS=Caenorhabditis elegans OX=6239 GN=cids-1 PE=4 SV=2</t>
  </si>
  <si>
    <t>P34281</t>
  </si>
  <si>
    <t>cids-1</t>
  </si>
  <si>
    <t>CID domain-containing protein 1</t>
  </si>
  <si>
    <t>&gt;sp|P34283|HENMT_CAEEL Small RNA 2'-O-methyltransferase OS=Caenorhabditis elegans OX=6239 GN=henn-1 PE=1 SV=3</t>
  </si>
  <si>
    <t>P34283</t>
  </si>
  <si>
    <t>henn-1</t>
  </si>
  <si>
    <t>Small RNA 2'-O-methyltransferase</t>
  </si>
  <si>
    <t>&gt;sp|P34288|PAC1_CAEEL GTPase-activating protein pac-1 OS=Caenorhabditis elegans OX=6239 GN=pac-1 PE=1 SV=4</t>
  </si>
  <si>
    <t>P34288</t>
  </si>
  <si>
    <t>pac-1</t>
  </si>
  <si>
    <t>GTPase-activating protein pac-1</t>
  </si>
  <si>
    <t>&gt;sp|P34304|YKQ9_CAEEL Uncharacterized protein C06E1.9 OS=Caenorhabditis elegans OX=6239 GN=C06E1.9 PE=4 SV=2</t>
  </si>
  <si>
    <t>P34304</t>
  </si>
  <si>
    <t>C06E1.9</t>
  </si>
  <si>
    <t>Uncharacterized protein C06E1.9</t>
  </si>
  <si>
    <t>&gt;sp|P34305|RHA2_CAEEL Putative ATP-dependent RNA helicase rha-2 OS=Caenorhabditis elegans OX=6239 GN=rha-2 PE=3 SV=2</t>
  </si>
  <si>
    <t>P34305</t>
  </si>
  <si>
    <t>rha-2</t>
  </si>
  <si>
    <t>Putative ATP-dependent RNA helicase rha-2</t>
  </si>
  <si>
    <t>&gt;sp|P34307|YKR1_CAEEL KH domain-containing protein C06G4.1 OS=Caenorhabditis elegans OX=6239 GN=C06G4.1 PE=4 SV=2</t>
  </si>
  <si>
    <t>P34307</t>
  </si>
  <si>
    <t>C06G4.1</t>
  </si>
  <si>
    <t>KH domain-containing protein C06G4.1</t>
  </si>
  <si>
    <t>&gt;sp|P34308|CAN1_CAEEL Calpain clp-1 OS=Caenorhabditis elegans OX=6239 GN=clp-1 PE=2 SV=4</t>
  </si>
  <si>
    <t>P34308</t>
  </si>
  <si>
    <t>clp-1</t>
  </si>
  <si>
    <t>Calpain clp-1</t>
  </si>
  <si>
    <t>&gt;sp|P34313|BUD31_CAEEL Protein BUD31 homolog OS=Caenorhabditis elegans OX=6239 GN=bud-31 PE=2 SV=1</t>
  </si>
  <si>
    <t>P34313</t>
  </si>
  <si>
    <t>bud-31</t>
  </si>
  <si>
    <t>Protein BUD31 homolog</t>
  </si>
  <si>
    <t>&gt;sp|P34314|TLK1_CAEEL Serine/threonine-protein kinase tousled-like 1 OS=Caenorhabditis elegans OX=6239 GN=tlk-1 PE=1 SV=3</t>
  </si>
  <si>
    <t>P34314</t>
  </si>
  <si>
    <t>tlk-1</t>
  </si>
  <si>
    <t>Serine/threonine-protein kinase tousled-like 1</t>
  </si>
  <si>
    <t>&gt;sp|P34317|UGT60_CAEEL Putative UDP-glucuronosyltransferase ugt-60 OS=Caenorhabditis elegans OX=6239 GN=ugt-60 PE=3 SV=2</t>
  </si>
  <si>
    <t>P34317</t>
  </si>
  <si>
    <t>ugt-60</t>
  </si>
  <si>
    <t>Putative UDP-glucuronosyltransferase ugt-60</t>
  </si>
  <si>
    <t>&gt;sp|P34318|SET3_CAEEL SET domain-containing protein 3 OS=Caenorhabditis elegans OX=6239 GN=set-3 PE=3 SV=1</t>
  </si>
  <si>
    <t>P34318</t>
  </si>
  <si>
    <t>set-3</t>
  </si>
  <si>
    <t>SET domain-containing protein 3</t>
  </si>
  <si>
    <t>&gt;sp|P34325|CYK7_CAEEL Cytokinesis defective protein 7 OS=Caenorhabditis elegans OX=6239 GN=cyk-7 PE=4 SV=2</t>
  </si>
  <si>
    <t>P34325</t>
  </si>
  <si>
    <t>cyk-7</t>
  </si>
  <si>
    <t>Cytokinesis defective protein 7</t>
  </si>
  <si>
    <t>&gt;sp|P34328|HSP10_CAEEL Heat shock protein Hsp-12.2 OS=Caenorhabditis elegans OX=6239 GN=hsp-12.2 PE=3 SV=1</t>
  </si>
  <si>
    <t>P34328</t>
  </si>
  <si>
    <t>hsp-12.2</t>
  </si>
  <si>
    <t>Heat shock protein Hsp-12.2</t>
  </si>
  <si>
    <t>&gt;sp|P34331|PLK1_CAEEL Serine/threonine-protein kinase plk-1 OS=Caenorhabditis elegans OX=6239 GN=plk-1 PE=1 SV=3</t>
  </si>
  <si>
    <t>P34331</t>
  </si>
  <si>
    <t>plk-1</t>
  </si>
  <si>
    <t>Serine/threonine-protein kinase plk-1</t>
  </si>
  <si>
    <t>&gt;sp|P34334|RL21_CAEEL Large ribosomal subunit protein eL21 OS=Caenorhabditis elegans OX=6239 GN=rpl-21 PE=3 SV=3</t>
  </si>
  <si>
    <t>P34334</t>
  </si>
  <si>
    <t>rpl-21</t>
  </si>
  <si>
    <t>Large ribosomal subunit protein eL21</t>
  </si>
  <si>
    <t>&gt;sp|P34335|KPBA_CAEEL Probable phosphorylase b kinase regulatory subunit alpha OS=Caenorhabditis elegans OX=6239 GN=C14B9.8 PE=3 SV=3</t>
  </si>
  <si>
    <t>P34335</t>
  </si>
  <si>
    <t>C14B9.8</t>
  </si>
  <si>
    <t>Probable phosphorylase b kinase regulatory subunit alpha</t>
  </si>
  <si>
    <t>&gt;sp|P34339|EIF3A_CAEEL Eukaryotic translation initiation factor 3 subunit A OS=Caenorhabditis elegans OX=6239 GN=egl-45 PE=3 SV=1</t>
  </si>
  <si>
    <t>P34339</t>
  </si>
  <si>
    <t>egl-45</t>
  </si>
  <si>
    <t>Eukaryotic translation initiation factor 3 subunit A</t>
  </si>
  <si>
    <t>&gt;sp|P34340|COL90_CAEEL Putative cuticle collagen 90 OS=Caenorhabditis elegans OX=6239 GN=col-90 PE=3 SV=1</t>
  </si>
  <si>
    <t>P34340</t>
  </si>
  <si>
    <t>col-90</t>
  </si>
  <si>
    <t>Putative cuticle collagen 90</t>
  </si>
  <si>
    <t>&gt;sp|P34341|KLE2_CAEEL Condensin-2 complex subunit kle-2 OS=Caenorhabditis elegans OX=6239 GN=kle-2 PE=1 SV=2</t>
  </si>
  <si>
    <t>P34341</t>
  </si>
  <si>
    <t>kle-2</t>
  </si>
  <si>
    <t>Condensin-2 complex subunit kle-2</t>
  </si>
  <si>
    <t>&gt;sp|P34342|RGP2_CAEEL Ran GTPase-activating protein 2 OS=Caenorhabditis elegans OX=6239 GN=ran-2 PE=4 SV=3</t>
  </si>
  <si>
    <t>P34342</t>
  </si>
  <si>
    <t>ran-2</t>
  </si>
  <si>
    <t>Ran GTPase-activating protein 2</t>
  </si>
  <si>
    <t>&gt;sp|P34343|NU133_CAEEL Nuclear pore complex protein 15 OS=Caenorhabditis elegans OX=6239 GN=npp-15 PE=3 SV=4</t>
  </si>
  <si>
    <t>P34343</t>
  </si>
  <si>
    <t>npp-15</t>
  </si>
  <si>
    <t>Nuclear pore complex protein 15</t>
  </si>
  <si>
    <t>&gt;sp|P34344|TG250_CAEEL Putative protein tag-250 OS=Caenorhabditis elegans OX=6239 GN=tag-250 PE=1 SV=2</t>
  </si>
  <si>
    <t>P34344</t>
  </si>
  <si>
    <t>tag-250</t>
  </si>
  <si>
    <t>Putative protein tag-250</t>
  </si>
  <si>
    <t>&gt;sp|P34345|GSTO1_CAEEL Glutathione transferase omega-1 OS=Caenorhabditis elegans OX=6239 GN=gsto-1 PE=1 SV=1</t>
  </si>
  <si>
    <t>P34345</t>
  </si>
  <si>
    <t>gsto-1</t>
  </si>
  <si>
    <t>Glutathione transferase omega-1</t>
  </si>
  <si>
    <t>&gt;sp|P34346|KAD2_CAEEL Adenylate kinase OS=Caenorhabditis elegans OX=6239 GN=let-754 PE=3 SV=2</t>
  </si>
  <si>
    <t>P34346</t>
  </si>
  <si>
    <t>let-754</t>
  </si>
  <si>
    <t>Adenylate kinase</t>
  </si>
  <si>
    <t>&gt;sp|P34355|ACX15_CAEEL Probable acyl-coenzyme A oxidase acox-1.5 OS=Caenorhabditis elegans OX=6239 GN=acox-1.5 PE=3 SV=1</t>
  </si>
  <si>
    <t>P34355</t>
  </si>
  <si>
    <t>acox-1.5</t>
  </si>
  <si>
    <t>Probable acyl-coenzyme A oxidase acox-1.5</t>
  </si>
  <si>
    <t>&gt;sp|P34358|CED7_CAEEL ABC transporter ced-7 OS=Caenorhabditis elegans OX=6239 GN=ced-7 PE=1 SV=6</t>
  </si>
  <si>
    <t>P34358</t>
  </si>
  <si>
    <t>ced-7</t>
  </si>
  <si>
    <t>ABC transporter ced-7</t>
  </si>
  <si>
    <t>&gt;sp|P34360|YLH6_CAEEL Uncharacterized protein C48B4.6 OS=Caenorhabditis elegans OX=6239 GN=C48B4.6 PE=4 SV=1</t>
  </si>
  <si>
    <t>P34360</t>
  </si>
  <si>
    <t>C48B4.6</t>
  </si>
  <si>
    <t>Uncharacterized protein C48B4.6</t>
  </si>
  <si>
    <t>&gt;sp|P34369|PRP8_CAEEL Pre-mRNA-splicing factor 8 homolog OS=Caenorhabditis elegans OX=6239 GN=prp-8 PE=1 SV=1</t>
  </si>
  <si>
    <t>P34369</t>
  </si>
  <si>
    <t>prp-8</t>
  </si>
  <si>
    <t>Pre-mRNA-splicing factor 8 homolog</t>
  </si>
  <si>
    <t>&gt;sp|P34378|RM18_CAEEL Large ribosomal subunit protein uL18m OS=Caenorhabditis elegans OX=6239 GN=mrpl-18 PE=3 SV=1</t>
  </si>
  <si>
    <t>P34378</t>
  </si>
  <si>
    <t>mrpl-18</t>
  </si>
  <si>
    <t>Large ribosomal subunit protein uL18m</t>
  </si>
  <si>
    <t>&gt;sp|P34379|ATG13_CAEEL Autophagy-related protein 13 homolog OS=Caenorhabditis elegans OX=6239 GN=atg-13 PE=1 SV=1</t>
  </si>
  <si>
    <t>P34379</t>
  </si>
  <si>
    <t>atg-13</t>
  </si>
  <si>
    <t>Autophagy-related protein 13 homolog</t>
  </si>
  <si>
    <t>&gt;sp|P34382|FAR1_CAEEL Fatty-acid and retinol-binding protein 1 OS=Caenorhabditis elegans OX=6239 GN=far-1 PE=3 SV=1</t>
  </si>
  <si>
    <t>P34382</t>
  </si>
  <si>
    <t>far-1</t>
  </si>
  <si>
    <t>Fatty-acid and retinol-binding protein 1</t>
  </si>
  <si>
    <t>&gt;sp|P34383|FAR2_CAEEL Fatty-acid and retinol-binding protein 2 OS=Caenorhabditis elegans OX=6239 GN=far-2 PE=3 SV=1</t>
  </si>
  <si>
    <t>P34383</t>
  </si>
  <si>
    <t>far-2</t>
  </si>
  <si>
    <t>Fatty-acid and retinol-binding protein 2</t>
  </si>
  <si>
    <t>&gt;sp|P34384|RM44_CAEEL Large ribosomal subunit protein mL44 OS=Caenorhabditis elegans OX=6239 GN=mrpl-44 PE=3 SV=3</t>
  </si>
  <si>
    <t>P34384</t>
  </si>
  <si>
    <t>mrpl-44</t>
  </si>
  <si>
    <t>Large ribosomal subunit protein mL44</t>
  </si>
  <si>
    <t>&gt;sp|P34385|MCCB_CAEEL Probable methylcrotonoyl-CoA carboxylase beta chain, mitochondrial OS=Caenorhabditis elegans OX=6239 GN=F02A9.10 PE=3 SV=1</t>
  </si>
  <si>
    <t>P34385</t>
  </si>
  <si>
    <t>F02A9.10</t>
  </si>
  <si>
    <t>Probable methylcrotonoyl-CoA carboxylase beta chain, mitochondrial</t>
  </si>
  <si>
    <t>&gt;sp|P34388|RT09_CAEEL Small ribosomal subunit protein uS9m OS=Caenorhabditis elegans OX=6239 GN=mrps-9 PE=3 SV=2</t>
  </si>
  <si>
    <t>P34388</t>
  </si>
  <si>
    <t>mrps-9</t>
  </si>
  <si>
    <t>Small ribosomal subunit protein uS9m</t>
  </si>
  <si>
    <t>&gt;sp|P34398|YLU4_CAEEL Uncharacterized protein F10E9.4 OS=Caenorhabditis elegans OX=6239 GN=F10E9.4 PE=4 SV=1</t>
  </si>
  <si>
    <t>P34398</t>
  </si>
  <si>
    <t>F10E9.4</t>
  </si>
  <si>
    <t>Uncharacterized protein F10E9.4</t>
  </si>
  <si>
    <t>&gt;sp|P34413|DPY19_CAEEL C-mannosyltransferase dpy-19 OS=Caenorhabditis elegans OX=6239 GN=dpy-19 PE=1 SV=2</t>
  </si>
  <si>
    <t>P34413</t>
  </si>
  <si>
    <t>dpy-19</t>
  </si>
  <si>
    <t>C-mannosyltransferase dpy-19</t>
  </si>
  <si>
    <t>&gt;sp|P34423|YL32_CAEEL Uncharacterized protein F44B9.2 OS=Caenorhabditis elegans OX=6239 GN=F44B9.2 PE=4 SV=1</t>
  </si>
  <si>
    <t>P34423</t>
  </si>
  <si>
    <t>F44B9.2</t>
  </si>
  <si>
    <t>Uncharacterized protein F44B9.2</t>
  </si>
  <si>
    <t>&gt;sp|P34424|CCNT2_CAEEL Cyclin-T1.2 OS=Caenorhabditis elegans OX=6239 GN=cit-1.2 PE=3 SV=2</t>
  </si>
  <si>
    <t>P34424</t>
  </si>
  <si>
    <t>cit-1.2</t>
  </si>
  <si>
    <t>Cyclin-T1.2</t>
  </si>
  <si>
    <t>&gt;sp|P34426|AUP1_CAEEL Lipid droplet-regulating VLDL assembly factor AUP1 homolog OS=Caenorhabditis elegans OX=6239 GN=F44B9.5 PE=3 SV=2</t>
  </si>
  <si>
    <t>P34426</t>
  </si>
  <si>
    <t>F44B9.5</t>
  </si>
  <si>
    <t>Lipid droplet-regulating VLDL assembly factor AUP1 homolog</t>
  </si>
  <si>
    <t>&gt;sp|P34427|LIN36_CAEEL Protein lin-36 OS=Caenorhabditis elegans OX=6239 GN=lin-36 PE=1 SV=2</t>
  </si>
  <si>
    <t>P34427</t>
  </si>
  <si>
    <t>lin-36</t>
  </si>
  <si>
    <t>Protein lin-36</t>
  </si>
  <si>
    <t>&gt;sp|P34431|RETR1_CAEEL Retrotransposon-like protein 1 OS=Caenorhabditis elegans OX=6239 GN=retr-1 PE=4 SV=5</t>
  </si>
  <si>
    <t>P34431</t>
  </si>
  <si>
    <t>retr-1</t>
  </si>
  <si>
    <t>Retrotransposon-like protein 1</t>
  </si>
  <si>
    <t>&gt;sp|P34437|YL57_CAEEL Putative zinc finger protein F44E2.7 OS=Caenorhabditis elegans OX=6239 GN=F44E2.7 PE=1 SV=2</t>
  </si>
  <si>
    <t>P34437</t>
  </si>
  <si>
    <t>F44E2.7</t>
  </si>
  <si>
    <t>Putative zinc finger protein F44E2.7</t>
  </si>
  <si>
    <t>&gt;sp|P34441|EMB30_CAEEL Abnormal embryogenesis protein 30 OS=Caenorhabditis elegans OX=6239 GN=emb-30 PE=1 SV=4</t>
  </si>
  <si>
    <t>P34441</t>
  </si>
  <si>
    <t>emb-30</t>
  </si>
  <si>
    <t>Abnormal embryogenesis protein 30</t>
  </si>
  <si>
    <t>&gt;sp|P34442|PTP5_CAEEL Probable tyrosine-protein phosphatase F54C8.4 OS=Caenorhabditis elegans OX=6239 GN=F54C8.4 PE=3 SV=1</t>
  </si>
  <si>
    <t>P34442</t>
  </si>
  <si>
    <t>F54C8.4</t>
  </si>
  <si>
    <t>Probable tyrosine-protein phosphatase F54C8.4</t>
  </si>
  <si>
    <t>&gt;sp|P34445|YL87_CAEEL Uncharacterized protein F54C8.7 OS=Caenorhabditis elegans OX=6239 GN=F54C8.7 PE=4 SV=3</t>
  </si>
  <si>
    <t>P34445</t>
  </si>
  <si>
    <t>F54C8.7</t>
  </si>
  <si>
    <t>Uncharacterized protein F54C8.7</t>
  </si>
  <si>
    <t>&gt;sp|P34454|YMA9_CAEEL Uncharacterized protein F54F2.9 OS=Caenorhabditis elegans OX=6239 GN=F54F2.9 PE=3 SV=3</t>
  </si>
  <si>
    <t>P34454</t>
  </si>
  <si>
    <t>F54F2.9</t>
  </si>
  <si>
    <t>Uncharacterized protein F54F2.9</t>
  </si>
  <si>
    <t>&gt;sp|P34455|ACON_CAEEL Probable aconitate hydratase, mitochondrial OS=Caenorhabditis elegans OX=6239 GN=aco-2 PE=3 SV=2</t>
  </si>
  <si>
    <t>P34455</t>
  </si>
  <si>
    <t>aco-2</t>
  </si>
  <si>
    <t>Probable aconitate hydratase, mitochondrial</t>
  </si>
  <si>
    <t>&gt;sp|P34460|EF1B1_CAEEL Probable elongation factor 1-beta/1-delta 1 OS=Caenorhabditis elegans OX=6239 GN=eef-1B.1 PE=1 SV=1</t>
  </si>
  <si>
    <t>P34460</t>
  </si>
  <si>
    <t>eef-1B.1</t>
  </si>
  <si>
    <t>Probable elongation factor 1-beta/1-delta 1</t>
  </si>
  <si>
    <t>&gt;sp|P34462|VATD_CAEEL V-type proton ATPase subunit D OS=Caenorhabditis elegans OX=6239 GN=vha-14 PE=3 SV=1</t>
  </si>
  <si>
    <t>P34462</t>
  </si>
  <si>
    <t>vha-14</t>
  </si>
  <si>
    <t>V-type proton ATPase subunit D</t>
  </si>
  <si>
    <t>&gt;sp|P34466|CLU_CAEEL Clustered mitochondria protein homolog OS=Caenorhabditis elegans OX=6239 GN=clu-1 PE=3 SV=1</t>
  </si>
  <si>
    <t>P34466</t>
  </si>
  <si>
    <t>clu-1</t>
  </si>
  <si>
    <t>Clustered mitochondria protein homolog</t>
  </si>
  <si>
    <t>&gt;sp|P34471|PRI1_CAEEL DNA primase small subunit OS=Caenorhabditis elegans OX=6239 GN=pri-1 PE=3 SV=1</t>
  </si>
  <si>
    <t>P34471</t>
  </si>
  <si>
    <t>pri-1</t>
  </si>
  <si>
    <t>DNA primase small subunit</t>
  </si>
  <si>
    <t>&gt;sp|P34475|TBG_CAEEL Tubulin gamma chain OS=Caenorhabditis elegans OX=6239 GN=tbg-1 PE=2 SV=1</t>
  </si>
  <si>
    <t>P34475</t>
  </si>
  <si>
    <t>tbg-1</t>
  </si>
  <si>
    <t>Tubulin gamma chain</t>
  </si>
  <si>
    <t>&gt;sp|P34476|RPAC2_CAEEL Probable DNA-directed RNA polymerases I and III subunit RPAC2 OS=Caenorhabditis elegans OX=6239 GN=rpac-19 PE=3 SV=1</t>
  </si>
  <si>
    <t>P34476</t>
  </si>
  <si>
    <t>rpac-19</t>
  </si>
  <si>
    <t>Probable DNA-directed RNA polymerases I and III subunit RPAC2</t>
  </si>
  <si>
    <t>&gt;sp|P34477|UBC7_CAEEL Probable ubiquitin-conjugating enzyme E2 7 OS=Caenorhabditis elegans OX=6239 GN=ubc-7 PE=1 SV=1</t>
  </si>
  <si>
    <t>P34477</t>
  </si>
  <si>
    <t>ubc-7</t>
  </si>
  <si>
    <t>Probable ubiquitin-conjugating enzyme E2 7</t>
  </si>
  <si>
    <t>&gt;sp|P34496|MTSS1_CAEEL Single-stranded DNA-binding protein, mitochondrial OS=Caenorhabditis elegans OX=6239 GN=mtss-1 PE=1 SV=2</t>
  </si>
  <si>
    <t>P34496</t>
  </si>
  <si>
    <t>mtss-1</t>
  </si>
  <si>
    <t>Single-stranded DNA-binding protein, mitochondrial</t>
  </si>
  <si>
    <t>&gt;sp|P34498|MOG1_CAEEL Probable pre-mRNA-splicing factor ATP-dependent RNA helicase mog-1 OS=Caenorhabditis elegans OX=6239 GN=mog-1 PE=1 SV=2</t>
  </si>
  <si>
    <t>P34498</t>
  </si>
  <si>
    <t>mog-1</t>
  </si>
  <si>
    <t>Probable pre-mRNA-splicing factor ATP-dependent RNA helicase mog-1</t>
  </si>
  <si>
    <t>&gt;sp|P34500|TTR2_CAEEL Transthyretin-like protein 2 OS=Caenorhabditis elegans OX=6239 GN=ttr-2 PE=1 SV=1</t>
  </si>
  <si>
    <t>P34500</t>
  </si>
  <si>
    <t>ttr-2</t>
  </si>
  <si>
    <t>Transthyretin-like protein 2</t>
  </si>
  <si>
    <t>&gt;sp|P34511|VMS1_CAEEL tRNA endonuclease vms-1 OS=Caenorhabditis elegans OX=6239 GN=vms-1 PE=2 SV=2</t>
  </si>
  <si>
    <t>P34511</t>
  </si>
  <si>
    <t>vms-1</t>
  </si>
  <si>
    <t>tRNA endonuclease vms-1</t>
  </si>
  <si>
    <t>&gt;sp|P34512|GRP1_CAEEL GTP exchange factor for ARFs 1 OS=Caenorhabditis elegans OX=6239 GN=grp-1 PE=3 SV=2</t>
  </si>
  <si>
    <t>P34512</t>
  </si>
  <si>
    <t>grp-1</t>
  </si>
  <si>
    <t>GTP exchange factor for ARFs 1</t>
  </si>
  <si>
    <t>&gt;sp|P34514|ANC2_CAEEL Anaphase-promoting complex subunit 2 OS=Caenorhabditis elegans OX=6239 GN=apc-2 PE=1 SV=3</t>
  </si>
  <si>
    <t>P34514</t>
  </si>
  <si>
    <t>apc-2</t>
  </si>
  <si>
    <t>Anaphase-promoting complex subunit 2</t>
  </si>
  <si>
    <t>&gt;sp|P34517|GPDH2_CAEEL Probable glycerol-3-phosphate dehydrogenase 2 OS=Caenorhabditis elegans OX=6239 GN=gpdh-2 PE=3 SV=2</t>
  </si>
  <si>
    <t>P34517</t>
  </si>
  <si>
    <t>gpdh-2</t>
  </si>
  <si>
    <t>Probable glycerol-3-phosphate dehydrogenase 2</t>
  </si>
  <si>
    <t>&gt;sp|P34519|TXTP_CAEEL Putative tricarboxylate transport protein, mitochondrial OS=Caenorhabditis elegans OX=6239 GN=K11H3.3 PE=3 SV=1</t>
  </si>
  <si>
    <t>P34519</t>
  </si>
  <si>
    <t>K11H3.3</t>
  </si>
  <si>
    <t>Putative tricarboxylate transport protein, mitochondrial</t>
  </si>
  <si>
    <t>&gt;sp|P34524|BRX1_CAEEL Ribosome biogenesis protein BRX1 homolog OS=Caenorhabditis elegans OX=6239 GN=K12H4.3 PE=3 SV=1</t>
  </si>
  <si>
    <t>P34524</t>
  </si>
  <si>
    <t>K12H4.3</t>
  </si>
  <si>
    <t>Ribosome biogenesis protein BRX1 homolog</t>
  </si>
  <si>
    <t>&gt;sp|P34525|SPCS3_CAEEL Signal peptidase complex subunit 3 OS=Caenorhabditis elegans OX=6239 GN=spcs-3 PE=1 SV=1</t>
  </si>
  <si>
    <t>P34525</t>
  </si>
  <si>
    <t>spcs-3</t>
  </si>
  <si>
    <t>Signal peptidase complex subunit 3</t>
  </si>
  <si>
    <t>&gt;sp|P34529|DCR1_CAEEL Endoribonuclease dcr-1 OS=Caenorhabditis elegans OX=6239 GN=dcr-1 PE=1 SV=3</t>
  </si>
  <si>
    <t>P34529</t>
  </si>
  <si>
    <t>dcr-1</t>
  </si>
  <si>
    <t>Endoribonuclease dcr-1</t>
  </si>
  <si>
    <t>&gt;sp|P34534|TOP2M_CAEEL Putative DNA topoisomerase 2, mitochondrial OS=Caenorhabditis elegans OX=6239 GN=R05D3.12 PE=3 SV=5</t>
  </si>
  <si>
    <t>P34534</t>
  </si>
  <si>
    <t>R05D3.12</t>
  </si>
  <si>
    <t>Putative DNA topoisomerase 2, mitochondrial</t>
  </si>
  <si>
    <t>&gt;sp|P34537|BRE1_CAEEL E3 ubiquitin-protein ligase bre-1 OS=Caenorhabditis elegans OX=6239 GN=rfp-1 PE=1 SV=2</t>
  </si>
  <si>
    <t>P34537</t>
  </si>
  <si>
    <t>rfp-1</t>
  </si>
  <si>
    <t>E3 ubiquitin-protein ligase bre-1</t>
  </si>
  <si>
    <t>&gt;sp|P34540|KINH_CAEEL Kinesin heavy chain OS=Caenorhabditis elegans OX=6239 GN=unc-116 PE=2 SV=2</t>
  </si>
  <si>
    <t>P34540</t>
  </si>
  <si>
    <t>unc-116</t>
  </si>
  <si>
    <t>Kinesin heavy chain</t>
  </si>
  <si>
    <t>&gt;sp|P34542|YNC9_CAEEL Uncharacterized protein R05D3.9 OS=Caenorhabditis elegans OX=6239 GN=R05D3.9/R05D3.10 PE=3 SV=3</t>
  </si>
  <si>
    <t>P34542</t>
  </si>
  <si>
    <t>R05D3.9/R05D3.10</t>
  </si>
  <si>
    <t>Uncharacterized protein R05D3.9</t>
  </si>
  <si>
    <t>&gt;sp|P34544|MET2_CAEEL Histone-lysine N-methyltransferase met-2 OS=Caenorhabditis elegans OX=6239 GN=met-2 PE=3 SV=5</t>
  </si>
  <si>
    <t>P34544</t>
  </si>
  <si>
    <t>met-2</t>
  </si>
  <si>
    <t>Histone-lysine N-methyltransferase met-2</t>
  </si>
  <si>
    <t>&gt;sp|P34545|CBP1_CAEEL Protein cbp-1 OS=Caenorhabditis elegans OX=6239 GN=cbp-1 PE=1 SV=6</t>
  </si>
  <si>
    <t>P34545</t>
  </si>
  <si>
    <t>cbp-1</t>
  </si>
  <si>
    <t>Protein cbp-1</t>
  </si>
  <si>
    <t>&gt;sp|P34547|UBP46_CAEEL Ubiquitin carboxyl-terminal hydrolase 46 OS=Caenorhabditis elegans OX=6239 GN=usp-46 PE=1 SV=3</t>
  </si>
  <si>
    <t>P34547</t>
  </si>
  <si>
    <t>usp-46</t>
  </si>
  <si>
    <t>Ubiquitin carboxyl-terminal hydrolase 46</t>
  </si>
  <si>
    <t>&gt;sp|P34548|SQV3_CAEEL Xylosylprotein 4-beta-galactosyltransferase OS=Caenorhabditis elegans OX=6239 GN=sqv-3 PE=1 SV=1</t>
  </si>
  <si>
    <t>P34548</t>
  </si>
  <si>
    <t>sqv-3</t>
  </si>
  <si>
    <t>Xylosylprotein 4-beta-galactosyltransferase</t>
  </si>
  <si>
    <t>&gt;sp|P34552|ALXA_CAEEL Apoptosis-linked gene 2-interacting protein X 1 OS=Caenorhabditis elegans OX=6239 GN=alx-1 PE=2 SV=3</t>
  </si>
  <si>
    <t>P34552</t>
  </si>
  <si>
    <t>alx-1</t>
  </si>
  <si>
    <t>Apoptosis-linked gene 2-interacting protein X 1</t>
  </si>
  <si>
    <t>&gt;sp|P34556|CDK1_CAEEL Cyclin-dependent kinase 1 OS=Caenorhabditis elegans OX=6239 GN=cdk-1 PE=1 SV=1</t>
  </si>
  <si>
    <t>P34556</t>
  </si>
  <si>
    <t>cdk-1</t>
  </si>
  <si>
    <t>Cyclin-dependent kinase 1</t>
  </si>
  <si>
    <t>&gt;sp|P34558|YNP5_CAEEL Uncharacterized protein T05G5.5 OS=Caenorhabditis elegans OX=6239 GN=T05G5.5 PE=3 SV=2</t>
  </si>
  <si>
    <t>P34558</t>
  </si>
  <si>
    <t>T05G5.5</t>
  </si>
  <si>
    <t>Uncharacterized protein T05G5.5</t>
  </si>
  <si>
    <t>&gt;sp|P34559|ECHM_CAEEL Probable enoyl-CoA hydratase, mitochondrial OS=Caenorhabditis elegans OX=6239 GN=ech-6 PE=3 SV=1</t>
  </si>
  <si>
    <t>P34559</t>
  </si>
  <si>
    <t>ech-6</t>
  </si>
  <si>
    <t>Probable enoyl-CoA hydratase, mitochondrial</t>
  </si>
  <si>
    <t>&gt;sp|P34560|RMD1_CAEEL Regulator of microtubule dynamics protein 1 OS=Caenorhabditis elegans OX=6239 GN=rmd-1 PE=1 SV=2</t>
  </si>
  <si>
    <t>P34560</t>
  </si>
  <si>
    <t>rmd-1</t>
  </si>
  <si>
    <t>&gt;sp|P34563|IF5A1_CAEEL Eukaryotic translation initiation factor 5A-1 OS=Caenorhabditis elegans OX=6239 GN=iff-1 PE=1 SV=1</t>
  </si>
  <si>
    <t>P34563</t>
  </si>
  <si>
    <t>iff-1</t>
  </si>
  <si>
    <t>Eukaryotic translation initiation factor 5A-1</t>
  </si>
  <si>
    <t>&gt;sp|P34566|YNV3_CAEEL Uncharacterized protein T16H12.3 OS=Caenorhabditis elegans OX=6239 GN=T16H12.3 PE=4 SV=3</t>
  </si>
  <si>
    <t>P34566</t>
  </si>
  <si>
    <t>T16H12.3</t>
  </si>
  <si>
    <t>Uncharacterized protein T16H12.3</t>
  </si>
  <si>
    <t>&gt;sp|P34574|CLH_CAEEL Probable clathrin heavy chain 1 OS=Caenorhabditis elegans OX=6239 GN=chc-1 PE=1 SV=1</t>
  </si>
  <si>
    <t>P34574</t>
  </si>
  <si>
    <t>chc-1</t>
  </si>
  <si>
    <t>Probable clathrin heavy chain 1</t>
  </si>
  <si>
    <t>&gt;sp|P34575|CISY_CAEEL Probable citrate synthase, mitochondrial OS=Caenorhabditis elegans OX=6239 GN=cts-1 PE=3 SV=1</t>
  </si>
  <si>
    <t>P34575</t>
  </si>
  <si>
    <t>cts-1</t>
  </si>
  <si>
    <t>Probable citrate synthase, mitochondrial</t>
  </si>
  <si>
    <t>&gt;sp|P34576|MUA3_CAEEL Transmembrane cell adhesion receptor mua-3 OS=Caenorhabditis elegans OX=6239 GN=mua-3 PE=1 SV=2</t>
  </si>
  <si>
    <t>P34576</t>
  </si>
  <si>
    <t>mua-3</t>
  </si>
  <si>
    <t>Transmembrane cell adhesion receptor mua-3</t>
  </si>
  <si>
    <t>&gt;sp|P34580|DDX47_CAEEL Putative ATP-dependent RNA helicase T26G10.1 OS=Caenorhabditis elegans OX=6239 GN=T26G10.1 PE=3 SV=1</t>
  </si>
  <si>
    <t>P34580</t>
  </si>
  <si>
    <t>T26G10.1</t>
  </si>
  <si>
    <t>Putative ATP-dependent RNA helicase T26G10.1</t>
  </si>
  <si>
    <t>&gt;sp|P34600|YO61_CAEEL WW domain-containing protein ZK1098.1 OS=Caenorhabditis elegans OX=6239 GN=ZK1098.1 PE=1 SV=2</t>
  </si>
  <si>
    <t>P34600</t>
  </si>
  <si>
    <t>ZK1098.1</t>
  </si>
  <si>
    <t>WW domain-containing protein ZK1098.1</t>
  </si>
  <si>
    <t>&gt;sp|P34601|YO62_CAEEL Uncharacterized protein ZK1098.2 OS=Caenorhabditis elegans OX=6239 GN=ZK1098.2 PE=4 SV=3</t>
  </si>
  <si>
    <t>P34601</t>
  </si>
  <si>
    <t>ZK1098.2</t>
  </si>
  <si>
    <t>Uncharacterized protein ZK1098.2</t>
  </si>
  <si>
    <t>&gt;sp|P34603|YO63_CAEEL Uncharacterized protein ZK1098.3 OS=Caenorhabditis elegans OX=6239 GN=ZK1098.3 PE=4 SV=2</t>
  </si>
  <si>
    <t>P34603</t>
  </si>
  <si>
    <t>ZK1098.3</t>
  </si>
  <si>
    <t>Uncharacterized protein ZK1098.3</t>
  </si>
  <si>
    <t>&gt;sp|P34604|EI2BA_CAEEL Translation initiation factor eIF2B subunit alpha OS=Caenorhabditis elegans OX=6239 GN=ZK1098.4 PE=1 SV=1</t>
  </si>
  <si>
    <t>P34604</t>
  </si>
  <si>
    <t>ZK1098.4</t>
  </si>
  <si>
    <t>Translation initiation factor eIF2B subunit alpha</t>
  </si>
  <si>
    <t>&gt;sp|P34607|MUT7_CAEEL Exonuclease mut-7 OS=Caenorhabditis elegans OX=6239 GN=mut-7 PE=1 SV=1</t>
  </si>
  <si>
    <t>P34607</t>
  </si>
  <si>
    <t>mut-7</t>
  </si>
  <si>
    <t>Exonuclease mut-7</t>
  </si>
  <si>
    <t>&gt;sp|P34611|NCL1_CAEEL B-box type zinc finger protein ncl-1 OS=Caenorhabditis elegans OX=6239 GN=ncl-1 PE=2 SV=1</t>
  </si>
  <si>
    <t>P34611</t>
  </si>
  <si>
    <t>ncl-1</t>
  </si>
  <si>
    <t>B-box type zinc finger protein ncl-1</t>
  </si>
  <si>
    <t>&gt;sp|P34617|GUF1_CAEEL Translation factor GUF1 homolog, mitochondrial OS=Caenorhabditis elegans OX=6239 GN=ZK1236.1 PE=3 SV=2</t>
  </si>
  <si>
    <t>P34617</t>
  </si>
  <si>
    <t>ZK1236.1</t>
  </si>
  <si>
    <t>Translation factor GUF1 homolog, mitochondrial</t>
  </si>
  <si>
    <t>&gt;sp|P34618|CEC1_CAEEL Chromo domain-containing protein cec-1 OS=Caenorhabditis elegans OX=6239 GN=cec-1 PE=2 SV=1</t>
  </si>
  <si>
    <t>P34618</t>
  </si>
  <si>
    <t>cec-1</t>
  </si>
  <si>
    <t>Chromo domain-containing protein cec-1</t>
  </si>
  <si>
    <t>&gt;sp|P34619|SOR1_CAEEL Sop-2-related protein 1 OS=Caenorhabditis elegans OX=6239 GN=sor-1 PE=1 SV=1</t>
  </si>
  <si>
    <t>P34619</t>
  </si>
  <si>
    <t>sor-1</t>
  </si>
  <si>
    <t>Sop-2-related protein 1</t>
  </si>
  <si>
    <t>&gt;sp|P34631|UBXN4_CAEEL UBX domain-containing protein 4 OS=Caenorhabditis elegans OX=6239 GN=ubxn-4 PE=1 SV=1</t>
  </si>
  <si>
    <t>P34631</t>
  </si>
  <si>
    <t>ubxn-4</t>
  </si>
  <si>
    <t>UBX domain-containing protein 4</t>
  </si>
  <si>
    <t>&gt;sp|P34640|DDX55_CAEEL Probable ATP-dependent RNA helicase DDX55 homolog OS=Caenorhabditis elegans OX=6239 GN=ZK512.2 PE=3 SV=2</t>
  </si>
  <si>
    <t>P34640</t>
  </si>
  <si>
    <t>ZK512.2</t>
  </si>
  <si>
    <t>Probable ATP-dependent RNA helicase DDX55 homolog</t>
  </si>
  <si>
    <t>&gt;sp|P34642|SRP09_CAEEL Signal recognition particle 9 kDa protein OS=Caenorhabditis elegans OX=6239 GN=ZK512.4 PE=3 SV=1</t>
  </si>
  <si>
    <t>P34642</t>
  </si>
  <si>
    <t>ZK512.4</t>
  </si>
  <si>
    <t>Signal recognition particle 9 kDa protein</t>
  </si>
  <si>
    <t>&gt;sp|P34643|SC161_CAEEL Protein transport protein sec-16A.1 OS=Caenorhabditis elegans OX=6239 GN=sec-16A.1 PE=1 SV=1</t>
  </si>
  <si>
    <t>P34643</t>
  </si>
  <si>
    <t>sec-16A.1</t>
  </si>
  <si>
    <t>Protein transport protein sec-16A.1</t>
  </si>
  <si>
    <t>&gt;sp|P34646|YOQ8_CAEEL Uncharacterized protein ZK512.8 OS=Caenorhabditis elegans OX=6239 GN=ZK512.8 PE=4 SV=1</t>
  </si>
  <si>
    <t>P34646</t>
  </si>
  <si>
    <t>ZK512.8</t>
  </si>
  <si>
    <t>Uncharacterized protein ZK512.8</t>
  </si>
  <si>
    <t>&gt;sp|P34647|MCM6_CAEEL DNA replication licensing factor mcm-6 OS=Caenorhabditis elegans OX=6239 GN=mcm-6 PE=1 SV=1</t>
  </si>
  <si>
    <t>P34647</t>
  </si>
  <si>
    <t>mcm-6</t>
  </si>
  <si>
    <t>DNA replication licensing factor mcm-6</t>
  </si>
  <si>
    <t>&gt;sp|P34649|RIOK3_CAEEL Serine/threonine-protein kinase RIO3 OS=Caenorhabditis elegans OX=6239 GN=riok-3 PE=2 SV=1</t>
  </si>
  <si>
    <t>P34649</t>
  </si>
  <si>
    <t>riok-3</t>
  </si>
  <si>
    <t>Serine/threonine-protein kinase RIO3</t>
  </si>
  <si>
    <t>&gt;sp|P34653|PAN3_CAEEL PAN2-PAN3 deadenylation complex subunit PAN3 OS=Caenorhabditis elegans OX=6239 GN=panl-3 PE=1 SV=3</t>
  </si>
  <si>
    <t>P34653</t>
  </si>
  <si>
    <t>panl-3</t>
  </si>
  <si>
    <t>PAN2-PAN3 deadenylation complex subunit PAN3</t>
  </si>
  <si>
    <t>&gt;sp|P34656|YOTA_CAEEL Uncharacterized protein ZK632.11 OS=Caenorhabditis elegans OX=6239 GN=ZK632.11 PE=4 SV=1</t>
  </si>
  <si>
    <t>P34656</t>
  </si>
  <si>
    <t>ZK632.11</t>
  </si>
  <si>
    <t>Uncharacterized protein ZK632.11</t>
  </si>
  <si>
    <t>&gt;sp|P34657|YOTB_CAEEL Uncharacterized protein ZK632.12 OS=Caenorhabditis elegans OX=6239 GN=ZK632.12 PE=1 SV=2</t>
  </si>
  <si>
    <t>P34657</t>
  </si>
  <si>
    <t>ZK632.12</t>
  </si>
  <si>
    <t>Uncharacterized protein ZK632.12</t>
  </si>
  <si>
    <t>&gt;sp|P34662|RL35_CAEEL Large ribosomal subunit protein uL29 OS=Caenorhabditis elegans OX=6239 GN=rpl-35 PE=3 SV=1</t>
  </si>
  <si>
    <t>P34662</t>
  </si>
  <si>
    <t>rpl-35</t>
  </si>
  <si>
    <t>Large ribosomal subunit protein uL29</t>
  </si>
  <si>
    <t>&gt;sp|P34666|COQ5_CAEEL 2-methoxy-6-polyprenyl-1,4-benzoquinol methylase, mitochondrial OS=Caenorhabditis elegans OX=6239 GN=coq-5 PE=3 SV=2</t>
  </si>
  <si>
    <t>P34666</t>
  </si>
  <si>
    <t>coq-5</t>
  </si>
  <si>
    <t>2-methoxy-6-polyprenyl-1,4-benzoquinol methylase, mitochondrial</t>
  </si>
  <si>
    <t>&gt;sp|P34668|YO12_CAEEL Putative ATP-dependent RNA helicase ZK686.2 OS=Caenorhabditis elegans OX=6239 GN=ZK686.2 PE=3 SV=2</t>
  </si>
  <si>
    <t>P34668</t>
  </si>
  <si>
    <t>ZK686.2</t>
  </si>
  <si>
    <t>Putative ATP-dependent RNA helicase ZK686.2</t>
  </si>
  <si>
    <t>&gt;sp|P34669|OST3_CAEEL Probable dolichyl-diphosphooligosaccharide--protein glycosyltransferase subunit 3 OS=Caenorhabditis elegans OX=6239 GN=ZK686.3 PE=3 SV=2</t>
  </si>
  <si>
    <t>P34669</t>
  </si>
  <si>
    <t>ZK686.3</t>
  </si>
  <si>
    <t>Probable dolichyl-diphosphooligosaccharide--protein glycosyltransferase subunit 3</t>
  </si>
  <si>
    <t>&gt;sp|P34675|YO25_CAEEL Uncharacterized protein ZK688.5 OS=Caenorhabditis elegans OX=6239 GN=ZK688.5 PE=4 SV=2</t>
  </si>
  <si>
    <t>P34675</t>
  </si>
  <si>
    <t>ZK688.5</t>
  </si>
  <si>
    <t>Uncharacterized protein ZK688.5</t>
  </si>
  <si>
    <t>&gt;sp|P34678|GALT3_CAEEL Polypeptide N-acetylgalactosaminyltransferase 3 OS=Caenorhabditis elegans OX=6239 GN=gly-3 PE=2 SV=2</t>
  </si>
  <si>
    <t>P34678</t>
  </si>
  <si>
    <t>gly-3</t>
  </si>
  <si>
    <t>Polypeptide N-acetylgalactosaminyltransferase 3</t>
  </si>
  <si>
    <t>&gt;sp|P34685|CAPZA_CAEEL F-actin-capping protein subunit alpha OS=Caenorhabditis elegans OX=6239 GN=cap-1 PE=2 SV=1</t>
  </si>
  <si>
    <t>P34685</t>
  </si>
  <si>
    <t>cap-1</t>
  </si>
  <si>
    <t>F-actin-capping protein subunit alpha</t>
  </si>
  <si>
    <t>&gt;sp|P34686|CAPZB_CAEEL F-actin-capping protein subunit beta OS=Caenorhabditis elegans OX=6239 GN=cap-2 PE=2 SV=1</t>
  </si>
  <si>
    <t>P34686</t>
  </si>
  <si>
    <t>cap-2</t>
  </si>
  <si>
    <t>F-actin-capping protein subunit beta</t>
  </si>
  <si>
    <t>&gt;sp|P34689|GLH1_CAEEL ATP-dependent RNA helicase glh-1 OS=Caenorhabditis elegans OX=6239 GN=glh-1 PE=1 SV=3</t>
  </si>
  <si>
    <t>P34689</t>
  </si>
  <si>
    <t>glh-1</t>
  </si>
  <si>
    <t>ATP-dependent RNA helicase glh-1</t>
  </si>
  <si>
    <t>&gt;sp|P34690|TBA2_CAEEL Tubulin alpha-2 chain OS=Caenorhabditis elegans OX=6239 GN=tba-2 PE=1 SV=1</t>
  </si>
  <si>
    <t>P34690</t>
  </si>
  <si>
    <t>tba-2</t>
  </si>
  <si>
    <t>Tubulin alpha-2 chain</t>
  </si>
  <si>
    <t>&gt;sp|P34692|PHAF1_CAEEL PHAF1 protein T01G9.2 OS=Caenorhabditis elegans OX=6239 GN=T01G9.2 PE=1 SV=3</t>
  </si>
  <si>
    <t>P34692</t>
  </si>
  <si>
    <t>T01G9.2</t>
  </si>
  <si>
    <t>PHAF1 protein T01G9.2</t>
  </si>
  <si>
    <t>&gt;sp|P34696|HSP11_CAEEL Heat shock protein Hsp-16.1/Hsp-16.11 OS=Caenorhabditis elegans OX=6239 GN=hsp-16.11 PE=2 SV=1</t>
  </si>
  <si>
    <t>P34696</t>
  </si>
  <si>
    <t>hsp-16.11</t>
  </si>
  <si>
    <t>Heat shock protein Hsp-16.1/Hsp-16.11</t>
  </si>
  <si>
    <t>&gt;sp|P34703|SPT6H_CAEEL Suppressor of Ty 6 homolog OS=Caenorhabditis elegans OX=6239 GN=emb-5 PE=1 SV=1</t>
  </si>
  <si>
    <t>P34703</t>
  </si>
  <si>
    <t>emb-5</t>
  </si>
  <si>
    <t>Suppressor of Ty 6 homolog</t>
  </si>
  <si>
    <t>&gt;sp|P34705|KUP1_CAEEL Protein kup-1 OS=Caenorhabditis elegans OX=6239 GN=kup-1 PE=2 SV=1</t>
  </si>
  <si>
    <t>P34705</t>
  </si>
  <si>
    <t>kup-1</t>
  </si>
  <si>
    <t>Protein kup-1</t>
  </si>
  <si>
    <t>&gt;sp|P34712|PGP1_CAEEL Multidrug resistance protein pgp-1 OS=Caenorhabditis elegans OX=6239 GN=pgp-1 PE=1 SV=2</t>
  </si>
  <si>
    <t>P34712</t>
  </si>
  <si>
    <t>pgp-1</t>
  </si>
  <si>
    <t>Multidrug resistance protein pgp-1</t>
  </si>
  <si>
    <t>&gt;sp|P34722|KPC1_CAEEL Protein kinase C-like 1 OS=Caenorhabditis elegans OX=6239 GN=tpa-1 PE=1 SV=2</t>
  </si>
  <si>
    <t>P34722</t>
  </si>
  <si>
    <t>tpa-1</t>
  </si>
  <si>
    <t>Protein kinase C-like 1</t>
  </si>
  <si>
    <t>&gt;sp|P34808|KTNA1_CAEEL Meiotic spindle formation protein mei-1 OS=Caenorhabditis elegans OX=6239 GN=mei-1 PE=1 SV=1</t>
  </si>
  <si>
    <t>P34808</t>
  </si>
  <si>
    <t>mei-1</t>
  </si>
  <si>
    <t>Meiotic spindle formation protein mei-1</t>
  </si>
  <si>
    <t>&gt;sp|P34815|UNC18_CAEEL Acetylcholine regulator unc-18 OS=Caenorhabditis elegans OX=6239 GN=unc-18 PE=1 SV=4</t>
  </si>
  <si>
    <t>P34815</t>
  </si>
  <si>
    <t>unc-18</t>
  </si>
  <si>
    <t>Acetylcholine regulator unc-18</t>
  </si>
  <si>
    <t>&gt;sp|P34885|KPC1B_CAEEL Protein kinase C-like 1B OS=Caenorhabditis elegans OX=6239 GN=pkc-1 PE=1 SV=2</t>
  </si>
  <si>
    <t>P34885</t>
  </si>
  <si>
    <t>pkc-1</t>
  </si>
  <si>
    <t>Protein kinase C-like 1B</t>
  </si>
  <si>
    <t>&gt;sp|P35129|UBC2_CAEEL Ubiquitin-conjugating enzyme E2 2 OS=Caenorhabditis elegans OX=6239 GN=let-70 PE=1 SV=1</t>
  </si>
  <si>
    <t>P35129</t>
  </si>
  <si>
    <t>let-70</t>
  </si>
  <si>
    <t>Ubiquitin-conjugating enzyme E2 2</t>
  </si>
  <si>
    <t>&gt;sp|P35602|AP1M_CAEEL AP-1 complex subunit mu-1-I OS=Caenorhabditis elegans OX=6239 GN=unc-101 PE=1 SV=2</t>
  </si>
  <si>
    <t>P35602</t>
  </si>
  <si>
    <t>unc-101</t>
  </si>
  <si>
    <t>AP-1 complex subunit mu-1-I</t>
  </si>
  <si>
    <t>&gt;sp|P35603|AP2M_CAEEL AP-2 complex subunit mu OS=Caenorhabditis elegans OX=6239 GN=dpy-23 PE=2 SV=2</t>
  </si>
  <si>
    <t>P35603</t>
  </si>
  <si>
    <t>dpy-23</t>
  </si>
  <si>
    <t>AP-2 complex subunit mu</t>
  </si>
  <si>
    <t>&gt;sp|P35800|DPY10_CAEEL Cuticle collagen dpy-10 OS=Caenorhabditis elegans OX=6239 GN=dpy-10 PE=1 SV=2</t>
  </si>
  <si>
    <t>P35800</t>
  </si>
  <si>
    <t>dpy-10</t>
  </si>
  <si>
    <t>Cuticle collagen dpy-10</t>
  </si>
  <si>
    <t>&gt;sp|P36573|LEC1_CAEEL 32 kDa beta-galactoside-binding lectin OS=Caenorhabditis elegans OX=6239 GN=lec-1 PE=1 SV=1</t>
  </si>
  <si>
    <t>P36573</t>
  </si>
  <si>
    <t>lec-1</t>
  </si>
  <si>
    <t>32 kDa beta-galactoside-binding lectin</t>
  </si>
  <si>
    <t>&gt;sp|P37165|RS27A_CAEEL Ubiquitin-like protein 1-ribosomal protein eS31 fusion protein OS=Caenorhabditis elegans OX=6239 GN=ubl-1 PE=1 SV=2</t>
  </si>
  <si>
    <t>P37165</t>
  </si>
  <si>
    <t>ubl-1</t>
  </si>
  <si>
    <t>Ubiquitin-like protein 1-ribosomal protein eS31 fusion protein</t>
  </si>
  <si>
    <t>&gt;sp|P37806|UNC87_CAEEL Protein unc-87 OS=Caenorhabditis elegans OX=6239 GN=unc-87 PE=1 SV=3</t>
  </si>
  <si>
    <t>P37806</t>
  </si>
  <si>
    <t>unc-87</t>
  </si>
  <si>
    <t>Protein unc-87</t>
  </si>
  <si>
    <t>&gt;sp|P39055|DYN1_CAEEL Dynamin OS=Caenorhabditis elegans OX=6239 GN=dyn-1 PE=1 SV=3</t>
  </si>
  <si>
    <t>P39055</t>
  </si>
  <si>
    <t>dyn-1</t>
  </si>
  <si>
    <t>Dynamin</t>
  </si>
  <si>
    <t>&gt;sp|P40614|MPCP_CAEEL Phosphate carrier protein, mitochondrial OS=Caenorhabditis elegans OX=6239 GN=F01G4.6 PE=2 SV=1</t>
  </si>
  <si>
    <t>P40614</t>
  </si>
  <si>
    <t>F01G4.6</t>
  </si>
  <si>
    <t>Phosphate carrier protein, mitochondrial</t>
  </si>
  <si>
    <t>&gt;sp|P41842|TTC27_CAEEL Tetratricopeptide repeat-containing protein trd-1 OS=Caenorhabditis elegans OX=6239 GN=trd-1 PE=2 SV=2</t>
  </si>
  <si>
    <t>P41842</t>
  </si>
  <si>
    <t>trd-1</t>
  </si>
  <si>
    <t>Tetratricopeptide repeat-containing protein trd-1</t>
  </si>
  <si>
    <t>&gt;sp|P41843|YO93_CAEEL Uncharacterized protein T20B12.3 OS=Caenorhabditis elegans OX=6239 GN=T20B12.3 PE=3 SV=1</t>
  </si>
  <si>
    <t>P41843</t>
  </si>
  <si>
    <t>T20B12.3</t>
  </si>
  <si>
    <t>Uncharacterized protein T20B12.3</t>
  </si>
  <si>
    <t>&gt;sp|P41847|DRE2_CAEEL Anamorsin homolog OS=Caenorhabditis elegans OX=6239 GN=T20B12.7 PE=3 SV=1</t>
  </si>
  <si>
    <t>P41847</t>
  </si>
  <si>
    <t>T20B12.7</t>
  </si>
  <si>
    <t>Anamorsin homolog</t>
  </si>
  <si>
    <t>&gt;sp|P41848|SSP1A_CAEEL FACT complex subunit SSRP1-A OS=Caenorhabditis elegans OX=6239 GN=hmg-4 PE=1 SV=1</t>
  </si>
  <si>
    <t>P41848</t>
  </si>
  <si>
    <t>hmg-4</t>
  </si>
  <si>
    <t>FACT complex subunit SSRP1-A</t>
  </si>
  <si>
    <t>&gt;sp|P41877|ISW1_CAEEL Chromatin-remodeling complex ATPase chain isw-1 OS=Caenorhabditis elegans OX=6239 GN=isw-1 PE=1 SV=2</t>
  </si>
  <si>
    <t>P41877</t>
  </si>
  <si>
    <t>isw-1</t>
  </si>
  <si>
    <t>Chromatin-remodeling complex ATPase chain isw-1</t>
  </si>
  <si>
    <t>&gt;sp|P41879|YPT1_CAEEL Uncharacterized protein F37A4.1 OS=Caenorhabditis elegans OX=6239 GN=F37A4.1 PE=4 SV=1</t>
  </si>
  <si>
    <t>P41879</t>
  </si>
  <si>
    <t>F37A4.1</t>
  </si>
  <si>
    <t>Uncharacterized protein F37A4.1</t>
  </si>
  <si>
    <t>&gt;sp|P41882|YPT4_CAEEL Ankyrin repeat-containing protein F37A4.4 OS=Caenorhabditis elegans OX=6239 GN=F37A4.4 PE=4 SV=2</t>
  </si>
  <si>
    <t>P41882</t>
  </si>
  <si>
    <t>F37A4.4</t>
  </si>
  <si>
    <t>Ankyrin repeat-containing protein F37A4.4</t>
  </si>
  <si>
    <t>&gt;sp|P41886|BAT41_CAEEL BTB and MATH domain-containing protein 41 OS=Caenorhabditis elegans OX=6239 GN=bath-41 PE=1 SV=1</t>
  </si>
  <si>
    <t>P41886</t>
  </si>
  <si>
    <t>bath-41</t>
  </si>
  <si>
    <t>BTB and MATH domain-containing protein 41</t>
  </si>
  <si>
    <t>&gt;sp|P41932|14331_CAEEL 14-3-3-like protein 1 OS=Caenorhabditis elegans OX=6239 GN=par-5 PE=1 SV=2</t>
  </si>
  <si>
    <t>P41932</t>
  </si>
  <si>
    <t>par-5</t>
  </si>
  <si>
    <t>14-3-3-like protein 1</t>
  </si>
  <si>
    <t>&gt;sp|P41934|HM18_CAEEL Homeobox protein ceh-18 OS=Caenorhabditis elegans OX=6239 GN=ceh-18 PE=1 SV=1</t>
  </si>
  <si>
    <t>P41934</t>
  </si>
  <si>
    <t>ceh-18</t>
  </si>
  <si>
    <t>Homeobox protein ceh-18</t>
  </si>
  <si>
    <t>&gt;sp|P41937|TBB4_CAEEL Tubulin beta-4 chain OS=Caenorhabditis elegans OX=6239 GN=tbb-4 PE=3 SV=1</t>
  </si>
  <si>
    <t>P41937</t>
  </si>
  <si>
    <t>tbb-4</t>
  </si>
  <si>
    <t>Tubulin beta-4 chain</t>
  </si>
  <si>
    <t>&gt;sp|P41941|GOSR2_CAEEL Golgi SNAP receptor complex member 2 homolog memb-1 OS=Caenorhabditis elegans OX=6239 GN=memb-1 PE=3 SV=1</t>
  </si>
  <si>
    <t>P41941</t>
  </si>
  <si>
    <t>memb-1</t>
  </si>
  <si>
    <t>Golgi SNAP receptor complex member 2 homolog memb-1</t>
  </si>
  <si>
    <t>&gt;sp|P41954|YLK6_CAEEL Uncharacterized protein D1044.6 OS=Caenorhabditis elegans OX=6239 GN=D1044.6 PE=4 SV=3</t>
  </si>
  <si>
    <t>P41954</t>
  </si>
  <si>
    <t>D1044.6</t>
  </si>
  <si>
    <t>Uncharacterized protein D1044.6</t>
  </si>
  <si>
    <t>&gt;sp|P41956|C560_CAEEL Succinate dehydrogenase cytochrome b560 subunit, mitochondrial OS=Caenorhabditis elegans OX=6239 GN=mev-1 PE=2 SV=1</t>
  </si>
  <si>
    <t>P41956</t>
  </si>
  <si>
    <t>mev-1</t>
  </si>
  <si>
    <t>Succinate dehydrogenase cytochrome b560 subunit, mitochondrial</t>
  </si>
  <si>
    <t>&gt;sp|P41988|TCPA_CAEEL T-complex protein 1 subunit alpha OS=Caenorhabditis elegans OX=6239 GN=cct-1 PE=3 SV=2</t>
  </si>
  <si>
    <t>P41988</t>
  </si>
  <si>
    <t>cct-1</t>
  </si>
  <si>
    <t>T-complex protein 1 subunit alpha</t>
  </si>
  <si>
    <t>&gt;sp|P41992|GGTB2_CAEEL Probable geranylgeranyl transferase type-2 subunit beta OS=Caenorhabditis elegans OX=6239 GN=ggtb-1 PE=3 SV=2</t>
  </si>
  <si>
    <t>P41992</t>
  </si>
  <si>
    <t>ggtb-1</t>
  </si>
  <si>
    <t>Probable geranylgeranyl transferase type-2 subunit beta</t>
  </si>
  <si>
    <t>&gt;sp|P41996|CPG2_CAEEL Chondroitin proteoglycan-2 OS=Caenorhabditis elegans OX=6239 GN=cpg-2 PE=1 SV=3</t>
  </si>
  <si>
    <t>P41996</t>
  </si>
  <si>
    <t>cpg-2</t>
  </si>
  <si>
    <t>Chondroitin proteoglycan-2</t>
  </si>
  <si>
    <t>&gt;sp|P41999|NHR10_CAEEL Nuclear hormone receptor family member nhr-10 OS=Caenorhabditis elegans OX=6239 GN=nhr-10 PE=3 SV=1</t>
  </si>
  <si>
    <t>P41999</t>
  </si>
  <si>
    <t>nhr-10</t>
  </si>
  <si>
    <t>Nuclear hormone receptor family member nhr-10</t>
  </si>
  <si>
    <t>&gt;sp|P42168|KC1A_CAEEL Casein kinase I isoform alpha OS=Caenorhabditis elegans OX=6239 GN=kin-19 PE=3 SV=1</t>
  </si>
  <si>
    <t>P42168</t>
  </si>
  <si>
    <t>kin-19</t>
  </si>
  <si>
    <t>Casein kinase I isoform alpha</t>
  </si>
  <si>
    <t>&gt;sp|P42573|CED3_CAEEL Cell death protein 3 OS=Caenorhabditis elegans OX=6239 GN=ced-3 PE=1 SV=2</t>
  </si>
  <si>
    <t>P42573</t>
  </si>
  <si>
    <t>ced-3</t>
  </si>
  <si>
    <t>Cell death protein 3</t>
  </si>
  <si>
    <t>&gt;sp|P43509|CPR5_CAEEL Cathepsin B-like cysteine proteinase 5 OS=Caenorhabditis elegans OX=6239 GN=cpr-5 PE=2 SV=1</t>
  </si>
  <si>
    <t>P43509</t>
  </si>
  <si>
    <t>cpr-5</t>
  </si>
  <si>
    <t>Cathepsin B-like cysteine proteinase 5</t>
  </si>
  <si>
    <t>&gt;sp|P45894|AAPK1_CAEEL 5'-AMP-activated protein kinase catalytic subunit alpha-1 OS=Caenorhabditis elegans OX=6239 GN=aak-1 PE=2 SV=2</t>
  </si>
  <si>
    <t>P45894</t>
  </si>
  <si>
    <t>aak-1</t>
  </si>
  <si>
    <t>5'-AMP-activated protein kinase catalytic subunit alpha-1</t>
  </si>
  <si>
    <t>&gt;sp|P45896|SMA3_CAEEL Dwarfin sma-3 OS=Caenorhabditis elegans OX=6239 GN=sma-3 PE=1 SV=1</t>
  </si>
  <si>
    <t>P45896</t>
  </si>
  <si>
    <t>sma-3</t>
  </si>
  <si>
    <t>Dwarfin sma-3</t>
  </si>
  <si>
    <t>&gt;sp|P45965|YNZ5_CAEEL Uncharacterized protein T09A5.5 OS=Caenorhabditis elegans OX=6239 GN=T09A5.5 PE=4 SV=1</t>
  </si>
  <si>
    <t>P45965</t>
  </si>
  <si>
    <t>T09A5.5</t>
  </si>
  <si>
    <t>Uncharacterized protein T09A5.5</t>
  </si>
  <si>
    <t>&gt;sp|P45968|CEC3_CAEEL Chromo domain-containing protein cec-3 OS=Caenorhabditis elegans OX=6239 GN=cec-3 PE=1 SV=1</t>
  </si>
  <si>
    <t>P45968</t>
  </si>
  <si>
    <t>cec-3</t>
  </si>
  <si>
    <t>Chromo domain-containing protein cec-3</t>
  </si>
  <si>
    <t>&gt;sp|P45970|LIN5_CAEEL Spindle apparatus protein lin-5 OS=Caenorhabditis elegans OX=6239 GN=lin-5 PE=1 SV=2</t>
  </si>
  <si>
    <t>P45970</t>
  </si>
  <si>
    <t>lin-5</t>
  </si>
  <si>
    <t>Spindle apparatus protein lin-5</t>
  </si>
  <si>
    <t>&gt;sp|P45971|OST48_CAEEL Dolichyl-diphosphooligosaccharide--protein glycosyltransferase 48 kDa subunit OS=Caenorhabditis elegans OX=6239 GN=ostb-1 PE=3 SV=1</t>
  </si>
  <si>
    <t>P45971</t>
  </si>
  <si>
    <t>ostb-1</t>
  </si>
  <si>
    <t>Dolichyl-diphosphooligosaccharide--protein glycosyltransferase 48 kDa subunit</t>
  </si>
  <si>
    <t>&gt;sp|P46012|YKI5_CAEEL Uncharacterized protein C01G6.5 OS=Caenorhabditis elegans OX=6239 GN=C01G6.5 PE=4 SV=1</t>
  </si>
  <si>
    <t>P46012</t>
  </si>
  <si>
    <t>C01G6.5</t>
  </si>
  <si>
    <t>Uncharacterized protein C01G6.5</t>
  </si>
  <si>
    <t>&gt;sp|P46502|PRS6B_CAEEL Probable 26S proteasome regulatory subunit 6B OS=Caenorhabditis elegans OX=6239 GN=rpt-3 PE=3 SV=1</t>
  </si>
  <si>
    <t>P46502</t>
  </si>
  <si>
    <t>rpt-3</t>
  </si>
  <si>
    <t>Probable 26S proteasome regulatory subunit 6B</t>
  </si>
  <si>
    <t>&gt;sp|P46548|NMT_CAEEL Probable glycylpeptide N-tetradecanoyltransferase OS=Caenorhabditis elegans OX=6239 GN=nmt-1 PE=3 SV=1</t>
  </si>
  <si>
    <t>P46548</t>
  </si>
  <si>
    <t>nmt-1</t>
  </si>
  <si>
    <t>Probable glycylpeptide N-tetradecanoyltransferase</t>
  </si>
  <si>
    <t>&gt;sp|P46549|SULU_CAEEL Serine/threonine-protein kinase SULU OS=Caenorhabditis elegans OX=6239 GN=kin-18 PE=1 SV=1</t>
  </si>
  <si>
    <t>P46549</t>
  </si>
  <si>
    <t>kin-18</t>
  </si>
  <si>
    <t>Serine/threonine-protein kinase SULU</t>
  </si>
  <si>
    <t>&gt;sp|P46550|TCPZ_CAEEL T-complex protein 1 subunit zeta OS=Caenorhabditis elegans OX=6239 GN=cct-6 PE=1 SV=1</t>
  </si>
  <si>
    <t>P46550</t>
  </si>
  <si>
    <t>cct-6</t>
  </si>
  <si>
    <t>T-complex protein 1 subunit zeta</t>
  </si>
  <si>
    <t>&gt;sp|P46551|CDK12_CAEEL Cyclin-dependent kinase 12 OS=Caenorhabditis elegans OX=6239 GN=cdk-12 PE=1 SV=4</t>
  </si>
  <si>
    <t>P46551</t>
  </si>
  <si>
    <t>cdk-12</t>
  </si>
  <si>
    <t>Cyclin-dependent kinase 12</t>
  </si>
  <si>
    <t>&gt;sp|P46554|LCMT1_CAEEL Leucine carboxyl methyltransferase 1 OS=Caenorhabditis elegans OX=6239 GN=lcmt-1 PE=3 SV=1</t>
  </si>
  <si>
    <t>P46554</t>
  </si>
  <si>
    <t>lcmt-1</t>
  </si>
  <si>
    <t>Leucine carboxyl methyltransferase 1</t>
  </si>
  <si>
    <t>&gt;sp|P46556|YKG6_CAEEL Uncharacterized transporter B0285.6 OS=Caenorhabditis elegans OX=6239 GN=B0285.6 PE=3 SV=3</t>
  </si>
  <si>
    <t>P46556</t>
  </si>
  <si>
    <t>B0285.6</t>
  </si>
  <si>
    <t>Uncharacterized transporter B0285.6</t>
  </si>
  <si>
    <t>&gt;sp|P46559|CKB2_CAEEL Choline kinase B2 OS=Caenorhabditis elegans OX=6239 GN=ckb-2 PE=1 SV=2</t>
  </si>
  <si>
    <t>P46559</t>
  </si>
  <si>
    <t>ckb-2</t>
  </si>
  <si>
    <t>Choline kinase B2</t>
  </si>
  <si>
    <t>&gt;sp|P46561|ATPB_CAEEL ATP synthase subunit beta, mitochondrial OS=Caenorhabditis elegans OX=6239 GN=atp-2 PE=1 SV=2</t>
  </si>
  <si>
    <t>P46561</t>
  </si>
  <si>
    <t>atp-2</t>
  </si>
  <si>
    <t>ATP synthase subunit beta, mitochondrial</t>
  </si>
  <si>
    <t>&gt;sp|P46562|AL7A1_CAEEL Putative aldehyde dehydrogenase family 7 member A1 homolog OS=Caenorhabditis elegans OX=6239 GN=alh-9 PE=3 SV=2</t>
  </si>
  <si>
    <t>P46562</t>
  </si>
  <si>
    <t>alh-9</t>
  </si>
  <si>
    <t>Putative aldehyde dehydrogenase family 7 member A1 homolog</t>
  </si>
  <si>
    <t>&gt;sp|P46563|ALF2_CAEEL Fructose-bisphosphate aldolase 2 OS=Caenorhabditis elegans OX=6239 GN=aldo-2 PE=2 SV=1</t>
  </si>
  <si>
    <t>P46563</t>
  </si>
  <si>
    <t>aldo-2</t>
  </si>
  <si>
    <t>Fructose-bisphosphate aldolase 2</t>
  </si>
  <si>
    <t>&gt;sp|P46576|SAM50_CAEEL SAM50-like protein gop-3 OS=Caenorhabditis elegans OX=6239 GN=gop-3 PE=2 SV=2</t>
  </si>
  <si>
    <t>P46576</t>
  </si>
  <si>
    <t>gop-3</t>
  </si>
  <si>
    <t>SAM50-like protein gop-3</t>
  </si>
  <si>
    <t>&gt;sp|P46577|GPN1_CAEEL GPN-loop GTPase 1 OS=Caenorhabditis elegans OX=6239 GN=gop-2 PE=1 SV=1</t>
  </si>
  <si>
    <t>P46577</t>
  </si>
  <si>
    <t>gop-2</t>
  </si>
  <si>
    <t>GPN-loop GTPase 1</t>
  </si>
  <si>
    <t>&gt;sp|P46578|GOP1_CAEEL Protein CLEC16A homolog OS=Caenorhabditis elegans OX=6239 GN=gop-1 PE=3 SV=1</t>
  </si>
  <si>
    <t>P46578</t>
  </si>
  <si>
    <t>gop-1</t>
  </si>
  <si>
    <t>Protein CLEC16A homolog</t>
  </si>
  <si>
    <t>&gt;sp|P46582|SUMV1_CAEEL Protein sumv-1 OS=Caenorhabditis elegans OX=6239 GN=sumv-1 PE=2 SV=2</t>
  </si>
  <si>
    <t>P46582</t>
  </si>
  <si>
    <t>sumv-1</t>
  </si>
  <si>
    <t>Protein sumv-1</t>
  </si>
  <si>
    <t>&gt;sp|P46769|RSSA_CAEEL Small ribosomal subunit protein uS2 OS=Caenorhabditis elegans OX=6239 GN=rps-0 PE=1 SV=3</t>
  </si>
  <si>
    <t>P46769</t>
  </si>
  <si>
    <t>rps-0</t>
  </si>
  <si>
    <t>Small ribosomal subunit protein uS2</t>
  </si>
  <si>
    <t>&gt;sp|P46975|STT3_CAEEL Dolichyl-diphosphooligosaccharide--protein glycosyltransferase subunit stt-3 OS=Caenorhabditis elegans OX=6239 GN=stt-3 PE=1 SV=1</t>
  </si>
  <si>
    <t>P46975</t>
  </si>
  <si>
    <t>stt-3</t>
  </si>
  <si>
    <t>Dolichyl-diphosphooligosaccharide--protein glycosyltransferase subunit stt-3</t>
  </si>
  <si>
    <t>&gt;sp|P47207|TCPB_CAEEL T-complex protein 1 subunit beta OS=Caenorhabditis elegans OX=6239 GN=cct-2 PE=1 SV=2</t>
  </si>
  <si>
    <t>P47207</t>
  </si>
  <si>
    <t>cct-2</t>
  </si>
  <si>
    <t>T-complex protein 1 subunit beta</t>
  </si>
  <si>
    <t>&gt;sp|P47208|TCPD_CAEEL T-complex protein 1 subunit delta OS=Caenorhabditis elegans OX=6239 GN=cct-4 PE=2 SV=1</t>
  </si>
  <si>
    <t>P47208</t>
  </si>
  <si>
    <t>cct-4</t>
  </si>
  <si>
    <t>T-complex protein 1 subunit delta</t>
  </si>
  <si>
    <t>&gt;sp|P47209|TCPE_CAEEL T-complex protein 1 subunit epsilon OS=Caenorhabditis elegans OX=6239 GN=cct-5 PE=2 SV=1</t>
  </si>
  <si>
    <t>P47209</t>
  </si>
  <si>
    <t>cct-5</t>
  </si>
  <si>
    <t>T-complex protein 1 subunit epsilon</t>
  </si>
  <si>
    <t>&gt;sp|P47991|RL6_CAEEL Large ribosomal subunit protein eL6 OS=Caenorhabditis elegans OX=6239 GN=rpl-6 PE=1 SV=1</t>
  </si>
  <si>
    <t>P47991</t>
  </si>
  <si>
    <t>rpl-6</t>
  </si>
  <si>
    <t>Large ribosomal subunit protein eL6</t>
  </si>
  <si>
    <t>&gt;sp|P48053|YPD1_CAEEL Uncharacterized protein C05D11.1 OS=Caenorhabditis elegans OX=6239 GN=C05D11.1 PE=4 SV=2</t>
  </si>
  <si>
    <t>P48053</t>
  </si>
  <si>
    <t>C05D11.1</t>
  </si>
  <si>
    <t>Uncharacterized protein C05D11.1</t>
  </si>
  <si>
    <t>&gt;sp|P48150|RS14_CAEEL Small ribosomal subunit protein uS11 OS=Caenorhabditis elegans OX=6239 GN=rps-14 PE=3 SV=1</t>
  </si>
  <si>
    <t>P48150</t>
  </si>
  <si>
    <t>rps-14</t>
  </si>
  <si>
    <t>Small ribosomal subunit protein uS11</t>
  </si>
  <si>
    <t>&gt;sp|P48152|RS3_CAEEL Small ribosomal subunit protein uS3 OS=Caenorhabditis elegans OX=6239 GN=rps-3 PE=3 SV=1</t>
  </si>
  <si>
    <t>P48152</t>
  </si>
  <si>
    <t>rps-3</t>
  </si>
  <si>
    <t>Small ribosomal subunit protein uS3</t>
  </si>
  <si>
    <t>&gt;sp|P48154|RS3A_CAEEL Small ribosomal subunit protein eS1 OS=Caenorhabditis elegans OX=6239 GN=rps-1 PE=3 SV=2</t>
  </si>
  <si>
    <t>P48154</t>
  </si>
  <si>
    <t>rps-1</t>
  </si>
  <si>
    <t>Small ribosomal subunit protein eS1</t>
  </si>
  <si>
    <t>&gt;sp|P48156|RS8_CAEEL Small ribosomal subunit protein eS8 OS=Caenorhabditis elegans OX=6239 GN=rps-8 PE=3 SV=1</t>
  </si>
  <si>
    <t>P48156</t>
  </si>
  <si>
    <t>rps-8</t>
  </si>
  <si>
    <t>Small ribosomal subunit protein eS8</t>
  </si>
  <si>
    <t>&gt;sp|P48158|RL23_CAEEL Large ribosomal subunit protein uL14 OS=Caenorhabditis elegans OX=6239 GN=rpl-23 PE=3 SV=1</t>
  </si>
  <si>
    <t>P48158</t>
  </si>
  <si>
    <t>rpl-23</t>
  </si>
  <si>
    <t>Large ribosomal subunit protein uL14</t>
  </si>
  <si>
    <t>&gt;sp|P48162|R23A1_CAEEL Large ribosomal subunit protein uL23A OS=Caenorhabditis elegans OX=6239 GN=rpl-25.1 PE=3 SV=1</t>
  </si>
  <si>
    <t>P48162</t>
  </si>
  <si>
    <t>rpl-25.1</t>
  </si>
  <si>
    <t>Large ribosomal subunit protein uL23A</t>
  </si>
  <si>
    <t>&gt;sp|P48166|RL36A_CAEEL Large ribosomal subunit protein eL42 OS=Caenorhabditis elegans OX=6239 GN=rpl-36.A PE=3 SV=2</t>
  </si>
  <si>
    <t>P48166</t>
  </si>
  <si>
    <t>rpl-36.A</t>
  </si>
  <si>
    <t>Large ribosomal subunit protein eL42</t>
  </si>
  <si>
    <t>&gt;sp|P48322|YPJ1_CAEEL Uncharacterized protein C36E8.1 OS=Caenorhabditis elegans OX=6239 GN=C36E8.1 PE=3 SV=1</t>
  </si>
  <si>
    <t>P48322</t>
  </si>
  <si>
    <t>C36E8.1</t>
  </si>
  <si>
    <t>Uncharacterized protein C36E8.1</t>
  </si>
  <si>
    <t>&gt;sp|P48583|ERD21_CAEEL ER lumen protein-retaining receptor erd-2.1 OS=Caenorhabditis elegans OX=6239 GN=erd-2.1 PE=3 SV=2</t>
  </si>
  <si>
    <t>P48583</t>
  </si>
  <si>
    <t>erd-2.1</t>
  </si>
  <si>
    <t>ER lumen protein-retaining receptor erd-2.1</t>
  </si>
  <si>
    <t>&gt;sp|P48727|GLC7B_CAEEL Serine/threonine-protein phosphatase PP1-beta OS=Caenorhabditis elegans OX=6239 GN=gsp-2 PE=1 SV=1</t>
  </si>
  <si>
    <t>P48727</t>
  </si>
  <si>
    <t>gsp-2</t>
  </si>
  <si>
    <t>Serine/threonine-protein phosphatase PP1-beta</t>
  </si>
  <si>
    <t>&gt;sp|P48996|DPY27_CAEEL Chromosome condensation protein dpy-27 OS=Caenorhabditis elegans OX=6239 GN=dpy-27 PE=1 SV=1</t>
  </si>
  <si>
    <t>P48996</t>
  </si>
  <si>
    <t>dpy-27</t>
  </si>
  <si>
    <t>Chromosome condensation protein dpy-27</t>
  </si>
  <si>
    <t>&gt;sp|P49029|MGN_CAEEL Protein mago nashi homolog OS=Caenorhabditis elegans OX=6239 GN=mag-1 PE=1 SV=2</t>
  </si>
  <si>
    <t>P49029</t>
  </si>
  <si>
    <t>mag-1</t>
  </si>
  <si>
    <t>Protein mago nashi homolog</t>
  </si>
  <si>
    <t>&gt;sp|P49041|RS5_CAEEL Small ribosomal subunit protein uS7 OS=Caenorhabditis elegans OX=6239 GN=rps-5 PE=3 SV=1</t>
  </si>
  <si>
    <t>P49041</t>
  </si>
  <si>
    <t>rps-5</t>
  </si>
  <si>
    <t>Small ribosomal subunit protein uS7</t>
  </si>
  <si>
    <t>&gt;sp|P49049|IMP2_CAEEL Intramembrane protease 2 OS=Caenorhabditis elegans OX=6239 GN=imp-2 PE=1 SV=1</t>
  </si>
  <si>
    <t>P49049</t>
  </si>
  <si>
    <t>imp-2</t>
  </si>
  <si>
    <t>Intramembrane protease 2</t>
  </si>
  <si>
    <t>&gt;sp|P49180|RL35A_CAEEL Large ribosomal subunit protein eL33 OS=Caenorhabditis elegans OX=6239 GN=rpl-33 PE=1 SV=3</t>
  </si>
  <si>
    <t>P49180</t>
  </si>
  <si>
    <t>rpl-33</t>
  </si>
  <si>
    <t>Large ribosomal subunit protein eL33</t>
  </si>
  <si>
    <t>&gt;sp|P49181|RL36_CAEEL Large ribosomal subunit protein eL36 OS=Caenorhabditis elegans OX=6239 GN=rpl-36 PE=1 SV=3</t>
  </si>
  <si>
    <t>P49181</t>
  </si>
  <si>
    <t>rpl-36</t>
  </si>
  <si>
    <t>Large ribosomal subunit protein eL36</t>
  </si>
  <si>
    <t>&gt;sp|P49191|ELO3_CAEEL Putative fatty acid elongase 3 OS=Caenorhabditis elegans OX=6239 GN=elo-3 PE=1 SV=2</t>
  </si>
  <si>
    <t>P49191</t>
  </si>
  <si>
    <t>elo-3</t>
  </si>
  <si>
    <t>Putative fatty acid elongase 3</t>
  </si>
  <si>
    <t>&gt;sp|P49196|RS12_CAEEL Small ribosomal subunit protein eS12 OS=Caenorhabditis elegans OX=6239 GN=rps-12 PE=3 SV=2</t>
  </si>
  <si>
    <t>P49196</t>
  </si>
  <si>
    <t>rps-12</t>
  </si>
  <si>
    <t>Small ribosomal subunit protein eS12</t>
  </si>
  <si>
    <t>&gt;sp|P49197|RS21_CAEEL Small ribosomal subunit protein eS21 OS=Caenorhabditis elegans OX=6239 GN=rps-21 PE=1 SV=1</t>
  </si>
  <si>
    <t>P49197</t>
  </si>
  <si>
    <t>rps-21</t>
  </si>
  <si>
    <t>Small ribosomal subunit protein eS21</t>
  </si>
  <si>
    <t>&gt;sp|P49404|RM03_CAEEL Large ribosomal subunit protein uL3m OS=Caenorhabditis elegans OX=6239 GN=mrps-18C PE=3 SV=3</t>
  </si>
  <si>
    <t>P49404</t>
  </si>
  <si>
    <t>mrps-18C</t>
  </si>
  <si>
    <t>Large ribosomal subunit protein uL3m</t>
  </si>
  <si>
    <t>&gt;sp|P49405|RL5_CAEEL Large ribosomal subunit protein uL18 OS=Caenorhabditis elegans OX=6239 GN=rpl-5 PE=3 SV=1</t>
  </si>
  <si>
    <t>P49405</t>
  </si>
  <si>
    <t>rpl-5</t>
  </si>
  <si>
    <t>Large ribosomal subunit protein uL18</t>
  </si>
  <si>
    <t>&gt;sp|P49583|PCY1_CAEEL Putative choline-phosphate cytidylyltransferase OS=Caenorhabditis elegans OX=6239 GN=F08C6.2 PE=3 SV=2</t>
  </si>
  <si>
    <t>P49583</t>
  </si>
  <si>
    <t>F08C6.2</t>
  </si>
  <si>
    <t>Putative choline-phosphate cytidylyltransferase</t>
  </si>
  <si>
    <t>&gt;sp|P49594|FEM2_CAEEL Protein phosphatase fem-2 OS=Caenorhabditis elegans OX=6239 GN=fem-2 PE=1 SV=2</t>
  </si>
  <si>
    <t>P49594</t>
  </si>
  <si>
    <t>fem-2</t>
  </si>
  <si>
    <t>Protein phosphatase fem-2</t>
  </si>
  <si>
    <t>&gt;sp|P49595|PPM1G_CAEEL Protein phosphatase ppm-1.G OS=Caenorhabditis elegans OX=6239 GN=ppm-1.G PE=3 SV=2</t>
  </si>
  <si>
    <t>P49595</t>
  </si>
  <si>
    <t>ppm-1.G</t>
  </si>
  <si>
    <t>Protein phosphatase ppm-1.G</t>
  </si>
  <si>
    <t>&gt;sp|P49596|PP2C2_CAEEL Probable protein phosphatase 2C T23F11.1 OS=Caenorhabditis elegans OX=6239 GN=ppm-2 PE=3 SV=2</t>
  </si>
  <si>
    <t>P49596</t>
  </si>
  <si>
    <t>ppm-2</t>
  </si>
  <si>
    <t>Probable protein phosphatase 2C T23F11.1</t>
  </si>
  <si>
    <t>&gt;sp|P49809|EGL10_CAEEL Regulator of G-protein signaling egl-10 OS=Caenorhabditis elegans OX=6239 GN=egl-10 PE=1 SV=1</t>
  </si>
  <si>
    <t>P49809</t>
  </si>
  <si>
    <t>egl-10</t>
  </si>
  <si>
    <t>Regulator of G-protein signaling egl-10</t>
  </si>
  <si>
    <t>&gt;sp|P50093|PHB2_CAEEL Mitochondrial prohibitin complex protein 2 OS=Caenorhabditis elegans OX=6239 GN=phb-2 PE=1 SV=2</t>
  </si>
  <si>
    <t>P50093</t>
  </si>
  <si>
    <t>phb-2</t>
  </si>
  <si>
    <t>Mitochondrial prohibitin complex protein 2</t>
  </si>
  <si>
    <t>&gt;sp|P50140|CH60_CAEEL Chaperonin homolog Hsp-60, mitochondrial OS=Caenorhabditis elegans OX=6239 GN=hsp-60 PE=2 SV=2</t>
  </si>
  <si>
    <t>P50140</t>
  </si>
  <si>
    <t>hsp-60</t>
  </si>
  <si>
    <t>Chaperonin homolog Hsp-60, mitochondrial</t>
  </si>
  <si>
    <t>&gt;sp|P50305|METK3_CAEEL Probable S-adenosylmethionine synthase 3 OS=Caenorhabditis elegans OX=6239 GN=sams-3 PE=1 SV=1;&gt;sp|P50306|METK4_CAEEL Probable S-adenosylmethionine synthase 4 OS=Caenorhabditis elegans OX=6239 GN=sams-4 PE=1 SV=1</t>
  </si>
  <si>
    <t>P50305;P50306</t>
  </si>
  <si>
    <t>sams-3;sams-4</t>
  </si>
  <si>
    <t>Probable S-adenosylmethionine synthase 3;Probable S-adenosylmethionine synthase 4</t>
  </si>
  <si>
    <t>P50305</t>
  </si>
  <si>
    <t>Probable S-adenosylmethionine synthase 3</t>
  </si>
  <si>
    <t>&gt;sp|P50432|GLYC_CAEEL Serine hydroxymethyltransferase OS=Caenorhabditis elegans OX=6239 GN=mel-32 PE=1 SV=2</t>
  </si>
  <si>
    <t>P50432</t>
  </si>
  <si>
    <t>mel-32</t>
  </si>
  <si>
    <t>Serine hydroxymethyltransferase</t>
  </si>
  <si>
    <t>&gt;sp|P50444|PELO_CAEEL Protein pelota homolog OS=Caenorhabditis elegans OX=6239 GN=pelo-1 PE=3 SV=1</t>
  </si>
  <si>
    <t>P50444</t>
  </si>
  <si>
    <t>pelo-1</t>
  </si>
  <si>
    <t>Protein pelota homolog</t>
  </si>
  <si>
    <t>&gt;sp|P50880|RL3_CAEEL Large ribosomal subunit protein uL3 OS=Caenorhabditis elegans OX=6239 GN=rpl-3 PE=2 SV=1</t>
  </si>
  <si>
    <t>P50880</t>
  </si>
  <si>
    <t>rpl-3</t>
  </si>
  <si>
    <t>Large ribosomal subunit protein uL3</t>
  </si>
  <si>
    <t>&gt;sp|P51403|RS2_CAEEL Small ribosomal subunit protein uS5 OS=Caenorhabditis elegans OX=6239 GN=rps-2 PE=1 SV=1</t>
  </si>
  <si>
    <t>P51403</t>
  </si>
  <si>
    <t>rps-2</t>
  </si>
  <si>
    <t>Small ribosomal subunit protein uS5</t>
  </si>
  <si>
    <t>&gt;sp|P51404|RS13_CAEEL Small ribosomal subunit protein uS15 OS=Caenorhabditis elegans OX=6239 GN=rps-13 PE=3 SV=2</t>
  </si>
  <si>
    <t>P51404</t>
  </si>
  <si>
    <t>rps-13</t>
  </si>
  <si>
    <t>Small ribosomal subunit protein uS15</t>
  </si>
  <si>
    <t>&gt;sp|P51875|GNAO_CAEEL Guanine nucleotide-binding protein G(o) subunit alpha OS=Caenorhabditis elegans OX=6239 GN=goa-1 PE=1 SV=3</t>
  </si>
  <si>
    <t>P51875</t>
  </si>
  <si>
    <t>goa-1</t>
  </si>
  <si>
    <t>Guanine nucleotide-binding protein G(o) subunit alpha</t>
  </si>
  <si>
    <t>&gt;sp|P52009|CYP1_CAEEL Peptidyl-prolyl cis-trans isomerase 1 OS=Caenorhabditis elegans OX=6239 GN=cyn-1 PE=2 SV=1</t>
  </si>
  <si>
    <t>P52009</t>
  </si>
  <si>
    <t>cyn-1</t>
  </si>
  <si>
    <t>Peptidyl-prolyl cis-trans isomerase 1</t>
  </si>
  <si>
    <t>&gt;sp|P52010|CYP2_CAEEL Peptidyl-prolyl cis-trans isomerase 2 OS=Caenorhabditis elegans OX=6239 GN=cyn-2 PE=2 SV=2</t>
  </si>
  <si>
    <t>P52010</t>
  </si>
  <si>
    <t>cyn-2</t>
  </si>
  <si>
    <t>Peptidyl-prolyl cis-trans isomerase 2</t>
  </si>
  <si>
    <t>&gt;sp|P52011|CYP3_CAEEL Peptidyl-prolyl cis-trans isomerase 3 OS=Caenorhabditis elegans OX=6239 GN=cyn-3 PE=1 SV=1</t>
  </si>
  <si>
    <t>P52011</t>
  </si>
  <si>
    <t>cyn-3</t>
  </si>
  <si>
    <t>Peptidyl-prolyl cis-trans isomerase 3</t>
  </si>
  <si>
    <t>&gt;sp|P52012|PPIL2_CAEEL Peptidyl-prolyl cis-trans isomerase 4 OS=Caenorhabditis elegans OX=6239 GN=cyn-4 PE=1 SV=3</t>
  </si>
  <si>
    <t>P52012</t>
  </si>
  <si>
    <t>cyn-4</t>
  </si>
  <si>
    <t>Peptidyl-prolyl cis-trans isomerase 4</t>
  </si>
  <si>
    <t>&gt;sp|P52013|CYP5_CAEEL Peptidyl-prolyl cis-trans isomerase 5 OS=Caenorhabditis elegans OX=6239 GN=cyn-5 PE=1 SV=2</t>
  </si>
  <si>
    <t>P52013</t>
  </si>
  <si>
    <t>cyn-5</t>
  </si>
  <si>
    <t>Peptidyl-prolyl cis-trans isomerase 5</t>
  </si>
  <si>
    <t>&gt;sp|P52015|CYP7_CAEEL Peptidyl-prolyl cis-trans isomerase 7 OS=Caenorhabditis elegans OX=6239 GN=cyn-7 PE=1 SV=2</t>
  </si>
  <si>
    <t>P52015</t>
  </si>
  <si>
    <t>cyn-7</t>
  </si>
  <si>
    <t>Peptidyl-prolyl cis-trans isomerase 7</t>
  </si>
  <si>
    <t>&gt;sp|P52016|CYP8_CAEEL Peptidyl-prolyl cis-trans isomerase 8 OS=Caenorhabditis elegans OX=6239 GN=cyn-8 PE=2 SV=2</t>
  </si>
  <si>
    <t>P52016</t>
  </si>
  <si>
    <t>cyn-8</t>
  </si>
  <si>
    <t>Peptidyl-prolyl cis-trans isomerase 8</t>
  </si>
  <si>
    <t>&gt;sp|P52166|PSN_CAEEL Presenilin sel-12 OS=Caenorhabditis elegans OX=6239 GN=sel-12 PE=1 SV=2</t>
  </si>
  <si>
    <t>P52166</t>
  </si>
  <si>
    <t>sel-12</t>
  </si>
  <si>
    <t>Presenilin sel-12</t>
  </si>
  <si>
    <t>&gt;sp|P52274|TBA8_CAEEL Tubulin alpha-8 chain OS=Caenorhabditis elegans OX=6239 GN=tba-8 PE=3 SV=2</t>
  </si>
  <si>
    <t>P52274</t>
  </si>
  <si>
    <t>tba-8</t>
  </si>
  <si>
    <t>Tubulin alpha-8 chain</t>
  </si>
  <si>
    <t>&gt;sp|P52275|TBB2_CAEEL Tubulin beta-2 chain OS=Caenorhabditis elegans OX=6239 GN=tbb-2 PE=1 SV=1</t>
  </si>
  <si>
    <t>P52275</t>
  </si>
  <si>
    <t>tbb-2</t>
  </si>
  <si>
    <t>Tubulin beta-2 chain</t>
  </si>
  <si>
    <t>&gt;sp|P52652|TFS2_CAEEL Putative transcription elongation factor S-II OS=Caenorhabditis elegans OX=6239 GN=T24H10.1 PE=3 SV=1</t>
  </si>
  <si>
    <t>P52652</t>
  </si>
  <si>
    <t>T24H10.1</t>
  </si>
  <si>
    <t>Putative transcription elongation factor S-II</t>
  </si>
  <si>
    <t>&gt;sp|P52709|SYTC_CAEEL Threonine--tRNA ligase, cytoplasmic OS=Caenorhabditis elegans OX=6239 GN=tars-1 PE=3 SV=1</t>
  </si>
  <si>
    <t>P52709</t>
  </si>
  <si>
    <t>tars-1</t>
  </si>
  <si>
    <t>Threonine--tRNA ligase, cytoplasmic</t>
  </si>
  <si>
    <t>&gt;sp|P52713|MMSA_CAEEL Probable methylmalonate-semialdehyde/malonate-semialdehyde dehydrogenase [acylating], mitochondrial OS=Caenorhabditis elegans OX=6239 GN=alh-8 PE=3 SV=1</t>
  </si>
  <si>
    <t>P52713</t>
  </si>
  <si>
    <t>alh-8</t>
  </si>
  <si>
    <t>Probable methylmalonate-semialdehyde/malonate-semialdehyde dehydrogenase [acylating], mitochondrial</t>
  </si>
  <si>
    <t>&gt;sp|P52717|CTS11_CAEEL Serine carboxypeptidase ctsa-1.1 OS=Caenorhabditis elegans OX=6239 GN=ctsa-1.1 PE=1 SV=1</t>
  </si>
  <si>
    <t>P52717</t>
  </si>
  <si>
    <t>ctsa-1.1</t>
  </si>
  <si>
    <t>Serine carboxypeptidase ctsa-1.1</t>
  </si>
  <si>
    <t>&gt;sp|P52814|RL39_CAEEL Large ribosomal subunit protein eL39 OS=Caenorhabditis elegans OX=6239 GN=rpl-39 PE=3 SV=1</t>
  </si>
  <si>
    <t>P52814</t>
  </si>
  <si>
    <t>rpl-39</t>
  </si>
  <si>
    <t>Large ribosomal subunit protein eL39</t>
  </si>
  <si>
    <t>&gt;sp|P52819|RL22_CAEEL Large ribosomal subunit protein eL22 OS=Caenorhabditis elegans OX=6239 GN=rpl-22 PE=1 SV=3</t>
  </si>
  <si>
    <t>P52819</t>
  </si>
  <si>
    <t>rpl-22</t>
  </si>
  <si>
    <t>Large ribosomal subunit protein eL22</t>
  </si>
  <si>
    <t>&gt;sp|P52821|RS25_CAEEL Small ribosomal subunit protein eS25 OS=Caenorhabditis elegans OX=6239 GN=rps-25 PE=3 SV=1</t>
  </si>
  <si>
    <t>P52821</t>
  </si>
  <si>
    <t>rps-25</t>
  </si>
  <si>
    <t>Small ribosomal subunit protein eS25</t>
  </si>
  <si>
    <t>&gt;sp|P52872|DAD1_CAEEL Dolichyl-diphosphooligosaccharide--protein glycosyltransferase subunit dad-1 OS=Caenorhabditis elegans OX=6239 GN=dad-1 PE=3 SV=1</t>
  </si>
  <si>
    <t>P52872</t>
  </si>
  <si>
    <t>dad-1</t>
  </si>
  <si>
    <t>Dolichyl-diphosphooligosaccharide--protein glycosyltransferase subunit dad-1</t>
  </si>
  <si>
    <t>&gt;sp|P52899|ODPA_CAEEL Probable pyruvate dehydrogenase E1 component subunit alpha, mitochondrial OS=Caenorhabditis elegans OX=6239 GN=T05H10.6 PE=3 SV=1</t>
  </si>
  <si>
    <t>P52899</t>
  </si>
  <si>
    <t>T05H10.6</t>
  </si>
  <si>
    <t>Probable pyruvate dehydrogenase E1 component subunit alpha, mitochondrial</t>
  </si>
  <si>
    <t>&gt;sp|P53013|EF1A_CAEEL Elongation factor 1-alpha OS=Caenorhabditis elegans OX=6239 GN=eft-4 PE=3 SV=1</t>
  </si>
  <si>
    <t>P53013</t>
  </si>
  <si>
    <t>eft-4</t>
  </si>
  <si>
    <t>Elongation factor 1-alpha</t>
  </si>
  <si>
    <t>&gt;sp|P53014|MLE_CAEEL Myosin, essential light chain OS=Caenorhabditis elegans OX=6239 GN=mlc-3 PE=4 SV=1</t>
  </si>
  <si>
    <t>P53014</t>
  </si>
  <si>
    <t>mlc-3</t>
  </si>
  <si>
    <t>Myosin, essential light chain</t>
  </si>
  <si>
    <t>&gt;sp|P53016|RFC4_CAEEL Replication factor C subunit 4 OS=Caenorhabditis elegans OX=6239 GN=rfc-4 PE=1 SV=1</t>
  </si>
  <si>
    <t>P53016</t>
  </si>
  <si>
    <t>rfc-4</t>
  </si>
  <si>
    <t>Replication factor C subunit 4</t>
  </si>
  <si>
    <t>&gt;sp|P53439|CDSA_CAEEL Phosphatidate cytidylyltransferase OS=Caenorhabditis elegans OX=6239 GN=cdgs-1 PE=3 SV=2</t>
  </si>
  <si>
    <t>P53439</t>
  </si>
  <si>
    <t>cdgs-1</t>
  </si>
  <si>
    <t>Phosphatidate cytidylyltransferase</t>
  </si>
  <si>
    <t>&gt;sp|P53489|ARP2_CAEEL Actin-related protein 2 OS=Caenorhabditis elegans OX=6239 GN=arx-2 PE=1 SV=1</t>
  </si>
  <si>
    <t>P53489</t>
  </si>
  <si>
    <t>arx-2</t>
  </si>
  <si>
    <t>Actin-related protein 2</t>
  </si>
  <si>
    <t>&gt;sp|P53585|ACLY_CAEEL Probable ATP-citrate synthase OS=Caenorhabditis elegans OX=6239 GN=acly-1 PE=3 SV=1</t>
  </si>
  <si>
    <t>P53585</t>
  </si>
  <si>
    <t>acly-1</t>
  </si>
  <si>
    <t>Probable ATP-citrate synthase</t>
  </si>
  <si>
    <t>&gt;sp|P53588|SUCB1_CAEEL Succinate--CoA ligase [ADP-forming] subunit beta, mitochondrial OS=Caenorhabditis elegans OX=6239 GN=suca-1 PE=3 SV=1</t>
  </si>
  <si>
    <t>P53588</t>
  </si>
  <si>
    <t>suca-1</t>
  </si>
  <si>
    <t>Succinate--CoA ligase [ADP-forming] subunit beta, mitochondrial</t>
  </si>
  <si>
    <t>&gt;sp|P53589|SUCB2_CAEEL Succinate--CoA ligase [GDP-forming] subunit beta, mitochondrial OS=Caenorhabditis elegans OX=6239 GN=sucg-1 PE=3 SV=1</t>
  </si>
  <si>
    <t>P53589</t>
  </si>
  <si>
    <t>sucg-1</t>
  </si>
  <si>
    <t>Succinate--CoA ligase [GDP-forming] subunit beta, mitochondrial</t>
  </si>
  <si>
    <t>&gt;sp|P53596|SUCA_CAEEL Succinate--CoA ligase [ADP/GDP-forming] subunit alpha, mitochondrial OS=Caenorhabditis elegans OX=6239 GN=sucl-1 PE=3 SV=1</t>
  </si>
  <si>
    <t>P53596</t>
  </si>
  <si>
    <t>sucl-1</t>
  </si>
  <si>
    <t>&gt;sp|P53993|ALG11_CAEEL GDP-Man:Man(3)GlcNAc(2)-PP-Dol alpha-1,2-mannosyltransferase OS=Caenorhabditis elegans OX=6239 GN=algn-11 PE=3 SV=3</t>
  </si>
  <si>
    <t>P53993</t>
  </si>
  <si>
    <t>algn-11</t>
  </si>
  <si>
    <t>GDP-Man:Man(3)GlcNAc(2)-PP-Dol alpha-1,2-mannosyltransferase</t>
  </si>
  <si>
    <t>&gt;sp|P54073|YUY1_CAEEL Brix domain-containing protein F44G4.1 OS=Caenorhabditis elegans OX=6239 GN=F44G4.1 PE=4 SV=4</t>
  </si>
  <si>
    <t>P54073</t>
  </si>
  <si>
    <t>F44G4.1</t>
  </si>
  <si>
    <t>Brix domain-containing protein F44G4.1</t>
  </si>
  <si>
    <t>&gt;sp|P54412|EF1G_CAEEL Probable elongation factor 1-gamma OS=Caenorhabditis elegans OX=6239 GN=eef-1G PE=1 SV=1</t>
  </si>
  <si>
    <t>P54412</t>
  </si>
  <si>
    <t>eef-1G</t>
  </si>
  <si>
    <t>Probable elongation factor 1-gamma</t>
  </si>
  <si>
    <t>&gt;sp|P54688|BCAT_CAEEL Branched-chain-amino-acid aminotransferase, cytosolic OS=Caenorhabditis elegans OX=6239 GN=bcat-1 PE=2 SV=2</t>
  </si>
  <si>
    <t>P54688</t>
  </si>
  <si>
    <t>bcat-1</t>
  </si>
  <si>
    <t>Branched-chain-amino-acid aminotransferase, cytosolic</t>
  </si>
  <si>
    <t>&gt;sp|P54811|TERA1_CAEEL Transitional endoplasmic reticulum ATPase homolog 1 OS=Caenorhabditis elegans OX=6239 GN=cdc-48.1 PE=1 SV=1</t>
  </si>
  <si>
    <t>P54811</t>
  </si>
  <si>
    <t>cdc-48.1</t>
  </si>
  <si>
    <t>Transitional endoplasmic reticulum ATPase homolog 1</t>
  </si>
  <si>
    <t>&gt;sp|P54812|TERA2_CAEEL Transitional endoplasmic reticulum ATPase homolog 2 OS=Caenorhabditis elegans OX=6239 GN=cdc-48.2 PE=1 SV=2</t>
  </si>
  <si>
    <t>P54812</t>
  </si>
  <si>
    <t>cdc-48.2</t>
  </si>
  <si>
    <t>Transitional endoplasmic reticulum ATPase homolog 2</t>
  </si>
  <si>
    <t>&gt;sp|P54813|YME1_CAEEL ATP-dependent zinc metalloprotease YME1 homolog OS=Caenorhabditis elegans OX=6239 GN=ymel-1 PE=3 SV=2</t>
  </si>
  <si>
    <t>P54813</t>
  </si>
  <si>
    <t>ymel-1</t>
  </si>
  <si>
    <t>ATP-dependent zinc metalloprotease YME1 homolog</t>
  </si>
  <si>
    <t>&gt;sp|P54815|MSP1_CAEEL Mitochondrial sorting homolog OS=Caenorhabditis elegans OX=6239 GN=mspn-1 PE=3 SV=2</t>
  </si>
  <si>
    <t>P54815</t>
  </si>
  <si>
    <t>mspn-1</t>
  </si>
  <si>
    <t>Mitochondrial sorting homolog</t>
  </si>
  <si>
    <t>&gt;sp|P54816|TBP7_CAEEL Tat-binding homolog 7 OS=Caenorhabditis elegans OX=6239 GN=lex-1 PE=1 SV=3</t>
  </si>
  <si>
    <t>P54816</t>
  </si>
  <si>
    <t>lex-1</t>
  </si>
  <si>
    <t>Tat-binding homolog 7</t>
  </si>
  <si>
    <t>&gt;sp|P54889|ALH13_CAEEL Probable delta-1-pyrroline-5-carboxylate synthase OS=Caenorhabditis elegans OX=6239 GN=alh-13 PE=3 SV=2</t>
  </si>
  <si>
    <t>P54889</t>
  </si>
  <si>
    <t>alh-13</t>
  </si>
  <si>
    <t>Probable delta-1-pyrroline-5-carboxylate synthase</t>
  </si>
  <si>
    <t>&gt;sp|P55155|VIT1_CAEEL Vitellogenin-1 OS=Caenorhabditis elegans OX=6239 GN=vit-1 PE=1 SV=2</t>
  </si>
  <si>
    <t>P55155</t>
  </si>
  <si>
    <t>vit-1</t>
  </si>
  <si>
    <t>Vitellogenin-1</t>
  </si>
  <si>
    <t>&gt;sp|P55163|GEX3_CAEEL Membrane-associated protein gex-3 OS=Caenorhabditis elegans OX=6239 GN=gex-3 PE=1 SV=2</t>
  </si>
  <si>
    <t>P55163</t>
  </si>
  <si>
    <t>gex-3</t>
  </si>
  <si>
    <t>Membrane-associated protein gex-3</t>
  </si>
  <si>
    <t>&gt;sp|P55216|CGL2_CAEEL Putative cystathionine gamma-lyase 2 OS=Caenorhabditis elegans OX=6239 GN=cth-2 PE=3 SV=1</t>
  </si>
  <si>
    <t>P55216</t>
  </si>
  <si>
    <t>cth-2</t>
  </si>
  <si>
    <t>Putative cystathionine gamma-lyase 2</t>
  </si>
  <si>
    <t>&gt;sp|P55326|YZG1_CAEEL Uncharacterized protein F13E6.1 OS=Caenorhabditis elegans OX=6239 GN=F13E6.1 PE=3 SV=2</t>
  </si>
  <si>
    <t>P55326</t>
  </si>
  <si>
    <t>F13E6.1</t>
  </si>
  <si>
    <t>Uncharacterized protein F13E6.1</t>
  </si>
  <si>
    <t>&gt;sp|P55853|SUMO_CAEEL Small ubiquitin-related modifier OS=Caenorhabditis elegans OX=6239 GN=smo-1 PE=1 SV=1</t>
  </si>
  <si>
    <t>P55853</t>
  </si>
  <si>
    <t>smo-1</t>
  </si>
  <si>
    <t>Small ubiquitin-related modifier</t>
  </si>
  <si>
    <t>&gt;sp|P55956|ASP3_CAEEL Aspartic protease 3 OS=Caenorhabditis elegans OX=6239 GN=asp-3 PE=1 SV=3</t>
  </si>
  <si>
    <t>P55956</t>
  </si>
  <si>
    <t>asp-3</t>
  </si>
  <si>
    <t>Aspartic protease 3</t>
  </si>
  <si>
    <t>&gt;sp|P58798|ARPC4_CAEEL Probable actin-related protein 2/3 complex subunit 4 OS=Caenorhabditis elegans OX=6239 GN=arx-6 PE=1 SV=1</t>
  </si>
  <si>
    <t>P58798</t>
  </si>
  <si>
    <t>arx-6</t>
  </si>
  <si>
    <t>Probable actin-related protein 2/3 complex subunit 4</t>
  </si>
  <si>
    <t>&gt;sp|P61866|RL12_CAEEL Large ribosomal subunit protein uL11 OS=Caenorhabditis elegans OX=6239 GN=rpl-12 PE=3 SV=1</t>
  </si>
  <si>
    <t>P61866</t>
  </si>
  <si>
    <t>rpl-12</t>
  </si>
  <si>
    <t>Large ribosomal subunit protein uL11</t>
  </si>
  <si>
    <t>&gt;sp|P62784|H4_CAEEL Histone H4 OS=Caenorhabditis elegans OX=6239 GN=his-67 PE=1 SV=2</t>
  </si>
  <si>
    <t>P62784</t>
  </si>
  <si>
    <t>his-67</t>
  </si>
  <si>
    <t>Histone H4</t>
  </si>
  <si>
    <t>&gt;sp|P80361|EI2BG_CAEEL Translation initiation factor eIF2B subunit gamma OS=Caenorhabditis elegans OX=6239 GN=eif-2Bgamma PE=2 SV=3</t>
  </si>
  <si>
    <t>P80361</t>
  </si>
  <si>
    <t>eif-2Bgamma</t>
  </si>
  <si>
    <t>Translation initiation factor eIF2B subunit gamma</t>
  </si>
  <si>
    <t>&gt;sp|P81299|CDC14_CAEEL Tyrosine-protein phosphatase cdc-14 OS=Caenorhabditis elegans OX=6239 GN=cdc-14 PE=1 SV=3</t>
  </si>
  <si>
    <t>P81299</t>
  </si>
  <si>
    <t>cdc-14</t>
  </si>
  <si>
    <t>Tyrosine-protein phosphatase cdc-14</t>
  </si>
  <si>
    <t>&gt;sp|P83351|SNA29_CAEEL Soluble NSF attachment protein 29 OS=Caenorhabditis elegans OX=6239 GN=snap-29 PE=3 SV=1</t>
  </si>
  <si>
    <t>P83351</t>
  </si>
  <si>
    <t>snap-29</t>
  </si>
  <si>
    <t>Soluble NSF attachment protein 29</t>
  </si>
  <si>
    <t>&gt;tr|P90731|P90731_CAEEL ATP-citrate synthase OS=Caenorhabditis elegans OX=6239 GN=acly-2 PE=1 SV=1</t>
  </si>
  <si>
    <t>P90731</t>
  </si>
  <si>
    <t>acly-2</t>
  </si>
  <si>
    <t>ATP-citrate synthase</t>
  </si>
  <si>
    <t>&gt;tr|P90735|P90735_CAEEL Sodium/potassium-transporting ATPase subunit alpha OS=Caenorhabditis elegans OX=6239 GN=eat-6 PE=1 SV=1</t>
  </si>
  <si>
    <t>P90735</t>
  </si>
  <si>
    <t>eat-6</t>
  </si>
  <si>
    <t>&gt;tr|P90746|P90746_CAEEL ABC transporter domain-containing protein OS=Caenorhabditis elegans OX=6239 GN=wht-2 PE=1 SV=3</t>
  </si>
  <si>
    <t>P90746</t>
  </si>
  <si>
    <t>wht-2</t>
  </si>
  <si>
    <t>&gt;sp|P90747|AT131_CAEEL Probable manganese-transporting ATPase catp-8 OS=Caenorhabditis elegans OX=6239 GN=catp-8 PE=3 SV=3</t>
  </si>
  <si>
    <t>P90747</t>
  </si>
  <si>
    <t>catp-8</t>
  </si>
  <si>
    <t>Probable manganese-transporting ATPase catp-8</t>
  </si>
  <si>
    <t>&gt;tr|P90770|P90770_CAEEL SAC domain-containing protein OS=Caenorhabditis elegans OX=6239 GN=figo-1 PE=1 SV=2</t>
  </si>
  <si>
    <t>P90770</t>
  </si>
  <si>
    <t>figo-1</t>
  </si>
  <si>
    <t>SAC domain-containing protein</t>
  </si>
  <si>
    <t>&gt;sp|P90783|PAF1_CAEEL RNA polymerase II-associated factor 1 homolog OS=Caenorhabditis elegans OX=6239 GN=pafo-1 PE=2 SV=2</t>
  </si>
  <si>
    <t>P90783</t>
  </si>
  <si>
    <t>pafo-1</t>
  </si>
  <si>
    <t>RNA polymerase II-associated factor 1 homolog</t>
  </si>
  <si>
    <t>&gt;tr|P90786|P90786_CAEEL Piwi-like protein 1 OS=Caenorhabditis elegans OX=6239 GN=prg-1 PE=1 SV=1</t>
  </si>
  <si>
    <t>P90786</t>
  </si>
  <si>
    <t>prg-1</t>
  </si>
  <si>
    <t>Piwi-like protein 1</t>
  </si>
  <si>
    <t>&gt;tr|P90788|P90788_CAEEL ATP-dependent Clp protease ATP-binding subunit clpX-like, mitochondrial OS=Caenorhabditis elegans OX=6239 GN=CELE_D2030.2 PE=1 SV=1</t>
  </si>
  <si>
    <t>P90788</t>
  </si>
  <si>
    <t>ATP-dependent Clp protease ATP-binding subunit clpX-like, mitochondrial</t>
  </si>
  <si>
    <t>&gt;tr|P90790|P90790_CAEEL Fanconi anemia group I protein OS=Caenorhabditis elegans OX=6239 GN=CELE_D2030.3 PE=1 SV=1</t>
  </si>
  <si>
    <t>P90790</t>
  </si>
  <si>
    <t>Fanconi anemia group I protein</t>
  </si>
  <si>
    <t>&gt;tr|P90793|P90793_CAEEL PC-esterase domain-containing protein 1B OS=Caenorhabditis elegans OX=6239 GN=CELE_D2030.8 PE=1 SV=3</t>
  </si>
  <si>
    <t>P90793</t>
  </si>
  <si>
    <t>PC-esterase domain-containing protein 1B</t>
  </si>
  <si>
    <t>&gt;sp|P90795|GPDM_CAEEL Probable glycerol-3-phosphate dehydrogenase, mitochondrial OS=Caenorhabditis elegans OX=6239 GN=gpdh-3 PE=3 SV=2</t>
  </si>
  <si>
    <t>P90795</t>
  </si>
  <si>
    <t>gpdh-3</t>
  </si>
  <si>
    <t>Probable glycerol-3-phosphate dehydrogenase, mitochondrial</t>
  </si>
  <si>
    <t>&gt;sp|P90829|DPOD1_CAEEL DNA polymerase delta catalytic subunit OS=Caenorhabditis elegans OX=6239 GN=F10C2.4 PE=3 SV=1</t>
  </si>
  <si>
    <t>P90829</t>
  </si>
  <si>
    <t>F10C2.4</t>
  </si>
  <si>
    <t>DNA polymerase delta catalytic subunit</t>
  </si>
  <si>
    <t>&gt;tr|P90831|P90831_CAEEL Aminoacyl-transfer RNA synthetases class-II family profile domain-containing protein OS=Caenorhabditis elegans OX=6239 GN=dars-2 PE=1 SV=3</t>
  </si>
  <si>
    <t>P90831</t>
  </si>
  <si>
    <t>dars-2</t>
  </si>
  <si>
    <t>Aminoacyl-transfer RNA synthetases class-II family profile domain-containing protein</t>
  </si>
  <si>
    <t>&gt;tr|P90841|P90841_CAEEL Neuroblastoma-amplified sequence OS=Caenorhabditis elegans OX=6239 GN=smgl-1 PE=1 SV=2</t>
  </si>
  <si>
    <t>P90841</t>
  </si>
  <si>
    <t>smgl-1</t>
  </si>
  <si>
    <t>Neuroblastoma-amplified sequence</t>
  </si>
  <si>
    <t>&gt;sp|P90850|YCF2E_CAEEL Uncharacterized peptidase C1-like protein F26E4.3 OS=Caenorhabditis elegans OX=6239 GN=F26E4.3 PE=1 SV=3</t>
  </si>
  <si>
    <t>P90850</t>
  </si>
  <si>
    <t>F26E4.3</t>
  </si>
  <si>
    <t>Uncharacterized peptidase C1-like protein F26E4.3</t>
  </si>
  <si>
    <t>&gt;tr|P90860|P90860_CAEEL Cytochrome c oxidase subunit 4 OS=Caenorhabditis elegans OX=6239 GN=CELE_F36A2.7 PE=1 SV=1</t>
  </si>
  <si>
    <t>P90860</t>
  </si>
  <si>
    <t>Cytochrome c oxidase subunit 4</t>
  </si>
  <si>
    <t>&gt;tr|P90879|P90879_CAEEL UBA domain-containing protein OS=Caenorhabditis elegans OX=6239 GN=CELE_F49C12.9 PE=1 SV=1</t>
  </si>
  <si>
    <t>P90879</t>
  </si>
  <si>
    <t>&gt;sp|P90897|RDE12_CAEEL DEAD-box ATP-dependent RNA helicase rde-12 OS=Caenorhabditis elegans OX=6239 GN=rde-12 PE=1 SV=4</t>
  </si>
  <si>
    <t>P90897</t>
  </si>
  <si>
    <t>rde-12</t>
  </si>
  <si>
    <t>DEAD-box ATP-dependent RNA helicase rde-12</t>
  </si>
  <si>
    <t>&gt;tr|P90898|P90898_CAEEL HTH OST-type domain-containing protein OS=Caenorhabditis elegans OX=6239 GN=mip-2 PE=1 SV=1</t>
  </si>
  <si>
    <t>P90898</t>
  </si>
  <si>
    <t>mip-2</t>
  </si>
  <si>
    <t>&gt;sp|P90900|IFA4_CAEEL Intermediate filament protein ifa-4 OS=Caenorhabditis elegans OX=6239 GN=ifa-4 PE=1 SV=3</t>
  </si>
  <si>
    <t>P90900</t>
  </si>
  <si>
    <t>ifa-4</t>
  </si>
  <si>
    <t>Intermediate filament protein ifa-4</t>
  </si>
  <si>
    <t>&gt;sp|P90901|IFA1_CAEEL Intermediate filament protein ifa-1 OS=Caenorhabditis elegans OX=6239 GN=ifa-1 PE=1 SV=2</t>
  </si>
  <si>
    <t>P90901</t>
  </si>
  <si>
    <t>ifa-1</t>
  </si>
  <si>
    <t>Intermediate filament protein ifa-1</t>
  </si>
  <si>
    <t>&gt;tr|P90904|P90904_CAEEL Arf-GAP domain-containing protein OS=Caenorhabditis elegans OX=6239 GN=CELE_K02B12.7 PE=1 SV=1</t>
  </si>
  <si>
    <t>P90904</t>
  </si>
  <si>
    <t>&gt;tr|P90914|P90914_CAEEL Arginyl-tRNA--protein transferase 1 OS=Caenorhabditis elegans OX=6239 GN=ate-1 PE=1 SV=2</t>
  </si>
  <si>
    <t>P90914</t>
  </si>
  <si>
    <t>ate-1</t>
  </si>
  <si>
    <t>Arginyl-tRNA--protein transferase 1</t>
  </si>
  <si>
    <t>&gt;sp|P90916|LIN53_CAEEL Probable histone-binding protein lin-53 OS=Caenorhabditis elegans OX=6239 GN=lin-53 PE=1 SV=2</t>
  </si>
  <si>
    <t>P90916</t>
  </si>
  <si>
    <t>lin-53</t>
  </si>
  <si>
    <t>Probable histone-binding protein lin-53</t>
  </si>
  <si>
    <t>&gt;sp|P90917|RBA1_CAEEL Probable histone-binding protein rba-1 OS=Caenorhabditis elegans OX=6239 GN=rba-1 PE=1 SV=1</t>
  </si>
  <si>
    <t>P90917</t>
  </si>
  <si>
    <t>rba-1</t>
  </si>
  <si>
    <t>Probable histone-binding protein rba-1</t>
  </si>
  <si>
    <t>&gt;tr|P90919|P90919_CAEEL Nulp1-pending protein OS=Caenorhabditis elegans OX=6239 GN=CELE_K07A12.1 PE=1 SV=3</t>
  </si>
  <si>
    <t>P90919</t>
  </si>
  <si>
    <t>Nulp1-pending protein</t>
  </si>
  <si>
    <t>&gt;sp|P90921|ATPL1_CAEEL Probable ATP synthase subunit g 1, mitochondrial OS=Caenorhabditis elegans OX=6239 GN=asg-1 PE=3 SV=1</t>
  </si>
  <si>
    <t>P90921</t>
  </si>
  <si>
    <t>asg-1</t>
  </si>
  <si>
    <t>Probable ATP synthase subunit g 1, mitochondrial</t>
  </si>
  <si>
    <t>&gt;tr|P90922|P90922_CAEEL Tr-type G domain-containing protein OS=Caenorhabditis elegans OX=6239 GN=hbs-1 PE=1 SV=3</t>
  </si>
  <si>
    <t>P90922</t>
  </si>
  <si>
    <t>hbs-1</t>
  </si>
  <si>
    <t>&gt;sp|P90925|PH4H_CAEEL Phenylalanine-4-hydroxylase OS=Caenorhabditis elegans OX=6239 GN=pah-1 PE=1 SV=2</t>
  </si>
  <si>
    <t>P90925</t>
  </si>
  <si>
    <t>pah-1</t>
  </si>
  <si>
    <t>Phenylalanine-4-hydroxylase</t>
  </si>
  <si>
    <t>&gt;tr|P90933|P90933_CAEEL Pyroglutamyl-peptidase 1 OS=Caenorhabditis elegans OX=6239 GN=CELE_M04C9.3 PE=1 SV=3</t>
  </si>
  <si>
    <t>P90933</t>
  </si>
  <si>
    <t>Pyroglutamyl-peptidase 1</t>
  </si>
  <si>
    <t>&gt;sp|P90947|HMP1_CAEEL Alpha-catenin-like protein hmp-1 OS=Caenorhabditis elegans OX=6239 GN=hmp-1 PE=1 SV=2</t>
  </si>
  <si>
    <t>P90947</t>
  </si>
  <si>
    <t>hmp-1</t>
  </si>
  <si>
    <t>Alpha-catenin-like protein hmp-1</t>
  </si>
  <si>
    <t>&gt;tr|P90961|P90961_CAEEL Clathrin light chain OS=Caenorhabditis elegans OX=6239 GN=clic-1 PE=1 SV=1</t>
  </si>
  <si>
    <t>P90961</t>
  </si>
  <si>
    <t>clic-1</t>
  </si>
  <si>
    <t>Clathrin light chain</t>
  </si>
  <si>
    <t>&gt;sp|P90970|GOGA5_CAEEL Golgin-84 OS=Caenorhabditis elegans OX=6239 GN=T24B1.1 PE=3 SV=2</t>
  </si>
  <si>
    <t>P90970</t>
  </si>
  <si>
    <t>T24B1.1</t>
  </si>
  <si>
    <t>Golgin-84</t>
  </si>
  <si>
    <t>&gt;sp|P90978|U2AF2_CAEEL Splicing factor U2AF 65 kDa subunit OS=Caenorhabditis elegans OX=6239 GN=uaf-1 PE=2 SV=2</t>
  </si>
  <si>
    <t>P90978</t>
  </si>
  <si>
    <t>uaf-1</t>
  </si>
  <si>
    <t>Splicing factor U2AF 65 kDa subunit</t>
  </si>
  <si>
    <t>&gt;sp|P90980|KPC2_CAEEL Protein kinase C-like 2 OS=Caenorhabditis elegans OX=6239 GN=pkc-2 PE=1 SV=2</t>
  </si>
  <si>
    <t>P90980</t>
  </si>
  <si>
    <t>pkc-2</t>
  </si>
  <si>
    <t>Protein kinase C-like 2</t>
  </si>
  <si>
    <t>&gt;tr|P90983|P90983_CAEEL Small ribosomal subunit protein uS14 OS=Caenorhabditis elegans OX=6239 GN=rps-29 PE=1 SV=2</t>
  </si>
  <si>
    <t>P90983</t>
  </si>
  <si>
    <t>rps-29</t>
  </si>
  <si>
    <t>Small ribosomal subunit protein uS14</t>
  </si>
  <si>
    <t>&gt;sp|P90992|M2OM_CAEEL Mitochondrial 2-oxoglutarate/malate carrier protein OS=Caenorhabditis elegans OX=6239 GN=misc-1 PE=1 SV=2</t>
  </si>
  <si>
    <t>P90992</t>
  </si>
  <si>
    <t>misc-1</t>
  </si>
  <si>
    <t>Mitochondrial 2-oxoglutarate/malate carrier protein</t>
  </si>
  <si>
    <t>&gt;sp|P90994|DJ11_CAEEL Glutathione-independent glyoxalase DJR-1.1 OS=Caenorhabditis elegans OX=6239 GN=djr-1.1 PE=1 SV=1</t>
  </si>
  <si>
    <t>P90994</t>
  </si>
  <si>
    <t>djr-1.1</t>
  </si>
  <si>
    <t>Glutathione-independent glyoxalase DJR-1.1</t>
  </si>
  <si>
    <t>&gt;tr|P91013|P91013_CAEEL Retinol dehydrogenase 12-like OS=Caenorhabditis elegans OX=6239 GN=dhs-1 PE=1 SV=1</t>
  </si>
  <si>
    <t>P91013</t>
  </si>
  <si>
    <t>dhs-1</t>
  </si>
  <si>
    <t>Retinol dehydrogenase 12-like</t>
  </si>
  <si>
    <t>&gt;tr|P91017|P91017_CAEEL Remorin_C domain-containing protein OS=Caenorhabditis elegans OX=6239 GN=hpo-32 PE=1 SV=1</t>
  </si>
  <si>
    <t>P91017</t>
  </si>
  <si>
    <t>hpo-32</t>
  </si>
  <si>
    <t>Remorin_C domain-containing protein</t>
  </si>
  <si>
    <t>&gt;tr|P91020|P91020_CAEEL NADP-dependent oxidoreductase domain-containing protein OS=Caenorhabditis elegans OX=6239 GN=C07D8.6 PE=1 SV=1</t>
  </si>
  <si>
    <t>P91020</t>
  </si>
  <si>
    <t>C07D8.6</t>
  </si>
  <si>
    <t>NADP-dependent oxidoreductase domain-containing protein</t>
  </si>
  <si>
    <t>&gt;tr|P91038|P91038_CAEEL Glucuronosyltransferase OS=Caenorhabditis elegans OX=6239 GN=ugt-28 PE=1 SV=1</t>
  </si>
  <si>
    <t>P91038</t>
  </si>
  <si>
    <t>ugt-28</t>
  </si>
  <si>
    <t>&gt;tr|P91055|P91055_CAEEL Ubiquitin-like domain-containing protein OS=Caenorhabditis elegans OX=6239 GN=C16C8.16 PE=1 SV=2</t>
  </si>
  <si>
    <t>P91055</t>
  </si>
  <si>
    <t>C16C8.16</t>
  </si>
  <si>
    <t>Ubiquitin-like domain-containing protein</t>
  </si>
  <si>
    <t>&gt;tr|P91063|P91063_CAEEL CNDH2_C domain-containing protein OS=Caenorhabditis elegans OX=6239 GN=C17H11.2 PE=1 SV=2</t>
  </si>
  <si>
    <t>P91063</t>
  </si>
  <si>
    <t>C17H11.2</t>
  </si>
  <si>
    <t>CNDH2_C domain-containing protein</t>
  </si>
  <si>
    <t>&gt;sp|P91079|SPTC1_CAEEL Serine palmitoyltransferase 1 OS=Caenorhabditis elegans OX=6239 GN=sptl-1 PE=3 SV=1</t>
  </si>
  <si>
    <t>P91079</t>
  </si>
  <si>
    <t>sptl-1</t>
  </si>
  <si>
    <t>Serine palmitoyltransferase 1</t>
  </si>
  <si>
    <t>&gt;tr|P91094|P91094_CAEEL Prion-like-(Q/N-rich)-domain-bearing protein OS=Caenorhabditis elegans OX=6239 GN=pqn-15 PE=4 SV=4</t>
  </si>
  <si>
    <t>P91094</t>
  </si>
  <si>
    <t>pqn-15</t>
  </si>
  <si>
    <t>&gt;tr|P91122|P91122_CAEEL SAM domain-containing protein OS=Caenorhabditis elegans OX=6239 GN=C32E12.1 PE=4 SV=1</t>
  </si>
  <si>
    <t>P91122</t>
  </si>
  <si>
    <t>C32E12.1</t>
  </si>
  <si>
    <t>&gt;tr|P91125|P91125_CAEEL FHA domain-containing protein OS=Caenorhabditis elegans OX=6239 GN=pmlr-1 PE=1 SV=1</t>
  </si>
  <si>
    <t>P91125</t>
  </si>
  <si>
    <t>pmlr-1</t>
  </si>
  <si>
    <t>&gt;sp|P91128|RL13_CAEEL Large ribosomal subunit protein eL13 OS=Caenorhabditis elegans OX=6239 GN=rpl-13 PE=3 SV=1</t>
  </si>
  <si>
    <t>P91128</t>
  </si>
  <si>
    <t>rpl-13</t>
  </si>
  <si>
    <t>Large ribosomal subunit protein eL13</t>
  </si>
  <si>
    <t>&gt;sp|P91133|UBR1_CAEEL E3 ubiquitin-protein ligase ubr-1 OS=Caenorhabditis elegans OX=6239 GN=ubr-1 PE=1 SV=2</t>
  </si>
  <si>
    <t>P91133</t>
  </si>
  <si>
    <t>ubr-1</t>
  </si>
  <si>
    <t>E3 ubiquitin-protein ligase ubr-1</t>
  </si>
  <si>
    <t>&gt;sp|P91136|NOC3L_CAEEL Nucleolar complex protein 3 homolog OS=Caenorhabditis elegans OX=6239 GN=C37H5.5 PE=3 SV=3</t>
  </si>
  <si>
    <t>P91136</t>
  </si>
  <si>
    <t>C37H5.5</t>
  </si>
  <si>
    <t>Nucleolar complex protein 3 homolog</t>
  </si>
  <si>
    <t>&gt;tr|P91149|P91149_CAEEL Exocyst complex component 7 OS=Caenorhabditis elegans OX=6239 GN=exoc-7 PE=1 SV=1</t>
  </si>
  <si>
    <t>P91149</t>
  </si>
  <si>
    <t>exoc-7</t>
  </si>
  <si>
    <t>Exocyst complex component 7</t>
  </si>
  <si>
    <t>&gt;tr|P91151|P91151_CAEEL Conserved oligomeric Golgi complex subunit 5 OS=Caenorhabditis elegans OX=6239 GN=cogc-5 PE=1 SV=2</t>
  </si>
  <si>
    <t>P91151</t>
  </si>
  <si>
    <t>cogc-5</t>
  </si>
  <si>
    <t>Conserved oligomeric Golgi complex subunit 5</t>
  </si>
  <si>
    <t>&gt;tr|P91154|P91154_CAEEL 60S ribosome subunit biogenesis protein NIP7 homolog OS=Caenorhabditis elegans OX=6239 GN=C43E11.9 PE=1 SV=1</t>
  </si>
  <si>
    <t>P91154</t>
  </si>
  <si>
    <t>C43E11.9</t>
  </si>
  <si>
    <t>60S ribosome subunit biogenesis protein NIP7 homolog</t>
  </si>
  <si>
    <t>&gt;tr|P91155|P91155_CAEEL Cell division control protein OS=Caenorhabditis elegans OX=6239 GN=cdc-6 PE=1 SV=1</t>
  </si>
  <si>
    <t>P91155</t>
  </si>
  <si>
    <t>cdc-6</t>
  </si>
  <si>
    <t>Cell division control protein</t>
  </si>
  <si>
    <t>&gt;tr|P91156|P91156_CAEEL SAP domain-containing protein OS=Caenorhabditis elegans OX=6239 GN=acin-1 PE=1 SV=2</t>
  </si>
  <si>
    <t>P91156</t>
  </si>
  <si>
    <t>acin-1</t>
  </si>
  <si>
    <t>&gt;tr|P91175|P91175_CAEEL Pre-mRNA-splicing factor SYF1 OS=Caenorhabditis elegans OX=6239 GN=syf-1 PE=1 SV=1</t>
  </si>
  <si>
    <t>P91175</t>
  </si>
  <si>
    <t>syf-1</t>
  </si>
  <si>
    <t>Pre-mRNA-splicing factor SYF1</t>
  </si>
  <si>
    <t>&gt;tr|P91194|P91194_CAEEL Thioredoxin domain-containing protein OS=Caenorhabditis elegans OX=6239 GN=CELE_D2092.4 PE=1 SV=2</t>
  </si>
  <si>
    <t>P91194</t>
  </si>
  <si>
    <t>&gt;tr|P91198|P91198_CAEEL Protein Phosphatase Four Regulatory subunit OS=Caenorhabditis elegans OX=6239 GN=ppfr-2 PE=1 SV=1</t>
  </si>
  <si>
    <t>P91198</t>
  </si>
  <si>
    <t>ppfr-2</t>
  </si>
  <si>
    <t>Protein Phosphatase Four Regulatory subunit</t>
  </si>
  <si>
    <t>&gt;tr|P91207|P91207_CAEEL Glycine Rich Secreted Protein OS=Caenorhabditis elegans OX=6239 GN=grsp-4 PE=1 SV=1</t>
  </si>
  <si>
    <t>P91207</t>
  </si>
  <si>
    <t>grsp-4</t>
  </si>
  <si>
    <t>Glycine Rich Secreted Protein</t>
  </si>
  <si>
    <t>&gt;sp|P91240|SRP72_CAEEL Signal recognition particle subunit SRP72 OS=Caenorhabditis elegans OX=6239 GN=srpa-72 PE=3 SV=2</t>
  </si>
  <si>
    <t>P91240</t>
  </si>
  <si>
    <t>srpa-72</t>
  </si>
  <si>
    <t>Signal recognition particle subunit SRP72</t>
  </si>
  <si>
    <t>&gt;tr|P91243|P91243_CAEEL J domain-containing protein OS=Caenorhabditis elegans OX=6239 GN=dnj-9 PE=1 SV=2</t>
  </si>
  <si>
    <t>P91243</t>
  </si>
  <si>
    <t>dnj-9</t>
  </si>
  <si>
    <t>&gt;tr|P91249|P91249_CAEEL Nematode cuticle collagen N-terminal domain-containing protein OS=Caenorhabditis elegans OX=6239 GN=col-20 PE=1 SV=2</t>
  </si>
  <si>
    <t>P91249</t>
  </si>
  <si>
    <t>col-20</t>
  </si>
  <si>
    <t>&gt;tr|P91270|P91270_CAEEL ADP/ATP translocase OS=Caenorhabditis elegans OX=6239 GN=CELE_F25B4.7 PE=1 SV=2</t>
  </si>
  <si>
    <t>P91270</t>
  </si>
  <si>
    <t>&gt;sp|P91276|IMA2_CAEEL Importin subunit alpha-2 OS=Caenorhabditis elegans OX=6239 GN=ima-2 PE=1 SV=1</t>
  </si>
  <si>
    <t>P91276</t>
  </si>
  <si>
    <t>ima-2</t>
  </si>
  <si>
    <t>Importin subunit alpha-2</t>
  </si>
  <si>
    <t>&gt;sp|P91277|HRPK1_CAEEL Heterogeneous nuclear ribonucleoprotein K homolog OS=Caenorhabditis elegans OX=6239 GN=hrpk-1 PE=1 SV=1</t>
  </si>
  <si>
    <t>P91277</t>
  </si>
  <si>
    <t>hrpk-1</t>
  </si>
  <si>
    <t>Heterogeneous nuclear ribonucleoprotein K homolog</t>
  </si>
  <si>
    <t>&gt;tr|P91280|P91280_CAEEL Small-subunit processome OS=Caenorhabditis elegans OX=6239 GN=CELE_F27C1.6 PE=1 SV=1</t>
  </si>
  <si>
    <t>P91280</t>
  </si>
  <si>
    <t>Small-subunit processome</t>
  </si>
  <si>
    <t>&gt;sp|P91285|DPY5_CAEEL Cuticle collagen dpy-5 OS=Caenorhabditis elegans OX=6239 GN=dpy-5 PE=3 SV=1</t>
  </si>
  <si>
    <t>P91285</t>
  </si>
  <si>
    <t>dpy-5</t>
  </si>
  <si>
    <t>Cuticle collagen dpy-5</t>
  </si>
  <si>
    <t>&gt;tr|P91300|P91300_CAEEL MATH domain-containing protein OS=Caenorhabditis elegans OX=6239 GN=math-26 PE=1 SV=2</t>
  </si>
  <si>
    <t>P91300</t>
  </si>
  <si>
    <t>math-26</t>
  </si>
  <si>
    <t>&gt;sp|P91303|VATG_CAEEL Probable V-type proton ATPase subunit G OS=Caenorhabditis elegans OX=6239 GN=vha-10 PE=1 SV=1</t>
  </si>
  <si>
    <t>P91303</t>
  </si>
  <si>
    <t>vha-10</t>
  </si>
  <si>
    <t>Probable V-type proton ATPase subunit G</t>
  </si>
  <si>
    <t>&gt;tr|P91305|P91305_CAEEL F-box domain-containing protein OS=Caenorhabditis elegans OX=6239 GN=xrep-4 PE=1 SV=2</t>
  </si>
  <si>
    <t>P91305</t>
  </si>
  <si>
    <t>xrep-4</t>
  </si>
  <si>
    <t>&gt;tr|P91306|P91306_CAEEL CSD domain-containing protein OS=Caenorhabditis elegans OX=6239 GN=cey-2 PE=1 SV=1</t>
  </si>
  <si>
    <t>P91306</t>
  </si>
  <si>
    <t>cey-2</t>
  </si>
  <si>
    <t>&gt;sp|P91309|VIP1_CAEEL Inositol hexakisphosphate and diphosphoinositol-pentakisphosphate kinase OS=Caenorhabditis elegans OX=6239 GN=F46F11.1 PE=3 SV=3</t>
  </si>
  <si>
    <t>P91309</t>
  </si>
  <si>
    <t>F46F11.1</t>
  </si>
  <si>
    <t>Inositol hexakisphosphate and diphosphoinositol-pentakisphosphate kinase</t>
  </si>
  <si>
    <t>&gt;tr|P91321|P91321_CAEEL MOSC domain-containing protein OS=Caenorhabditis elegans OX=6239 GN=CELE_F53E10.1 PE=1 SV=1</t>
  </si>
  <si>
    <t>P91321</t>
  </si>
  <si>
    <t>&gt;tr|P91340|P91340_CAEEL ATP-dependent RNA helicase OS=Caenorhabditis elegans OX=6239 GN=CELE_F55F8.2 PE=1 SV=1</t>
  </si>
  <si>
    <t>P91340</t>
  </si>
  <si>
    <t>&gt;sp|P91341|PWP2_CAEEL Periodic tryptophan protein 2 homolog OS=Caenorhabditis elegans OX=6239 GN=F55F8.3 PE=3 SV=2</t>
  </si>
  <si>
    <t>P91341</t>
  </si>
  <si>
    <t>F55F8.3</t>
  </si>
  <si>
    <t>Periodic tryptophan protein 2 homolog</t>
  </si>
  <si>
    <t>&gt;sp|P91343|WDR12_CAEEL Ribosome biogenesis protein WDR12 homolog OS=Caenorhabditis elegans OX=6239 GN=wdr-12 PE=3 SV=1</t>
  </si>
  <si>
    <t>P91343</t>
  </si>
  <si>
    <t>wdr-12</t>
  </si>
  <si>
    <t>Ribosome biogenesis protein WDR12 homolog</t>
  </si>
  <si>
    <t>&gt;sp|P91349|SPD5_CAEEL Spindle-defective protein 5 OS=Caenorhabditis elegans OX=6239 GN=spd-5 PE=1 SV=2</t>
  </si>
  <si>
    <t>P91349</t>
  </si>
  <si>
    <t>spd-5</t>
  </si>
  <si>
    <t>Spindle-defective protein 5</t>
  </si>
  <si>
    <t>&gt;tr|P91352|P91352_CAEEL FANCM (Fanconi anemia complex component M) homolog OS=Caenorhabditis elegans OX=6239 GN=fncm-1 PE=4 SV=2</t>
  </si>
  <si>
    <t>P91352</t>
  </si>
  <si>
    <t>fncm-1</t>
  </si>
  <si>
    <t>FANCM (Fanconi anemia complex component M) homolog</t>
  </si>
  <si>
    <t>&gt;sp|P91353|RM24_CAEEL Large ribosomal subunit protein uL24m OS=Caenorhabditis elegans OX=6239 GN=mrpl-24 PE=3 SV=1</t>
  </si>
  <si>
    <t>P91353</t>
  </si>
  <si>
    <t>mrpl-24</t>
  </si>
  <si>
    <t>Large ribosomal subunit protein uL24m</t>
  </si>
  <si>
    <t>&gt;tr|P91357|P91357_CAEEL MIF4G domain-containing protein OS=Caenorhabditis elegans OX=6239 GN=CELE_F59A3.12 PE=1 SV=2</t>
  </si>
  <si>
    <t>P91357</t>
  </si>
  <si>
    <t>&gt;tr|P91373|P91373_CAEEL Growth hormone-inducible transmembrane protein OS=Caenorhabditis elegans OX=6239 GN=CELE_K11H12.8 PE=1 SV=1</t>
  </si>
  <si>
    <t>P91373</t>
  </si>
  <si>
    <t>Growth hormone-inducible transmembrane protein</t>
  </si>
  <si>
    <t>&gt;sp|P91374|RL15_CAEEL Large ribosomal subunit protein eL15 OS=Caenorhabditis elegans OX=6239 GN=rpl-15 PE=3 SV=1</t>
  </si>
  <si>
    <t>P91374</t>
  </si>
  <si>
    <t>rpl-15</t>
  </si>
  <si>
    <t>Large ribosomal subunit protein eL15</t>
  </si>
  <si>
    <t>&gt;sp|P91375|YN1I_CAEEL Putative bolA-like protein K11H12.1 OS=Caenorhabditis elegans OX=6239 GN=K11H12.1 PE=3 SV=1</t>
  </si>
  <si>
    <t>P91375</t>
  </si>
  <si>
    <t>K11H12.1</t>
  </si>
  <si>
    <t>Putative bolA-like protein K11H12.1</t>
  </si>
  <si>
    <t>&gt;sp|P91390|RPN2_CAEEL Dolichyl-diphosphooligosaccharide--protein glycosyltransferase subunit 2 OS=Caenorhabditis elegans OX=6239 GN=ostd-1 PE=3 SV=1</t>
  </si>
  <si>
    <t>P91390</t>
  </si>
  <si>
    <t>ostd-1</t>
  </si>
  <si>
    <t>Dolichyl-diphosphooligosaccharide--protein glycosyltransferase subunit 2</t>
  </si>
  <si>
    <t>&gt;tr|P91393|P91393_CAEEL K Homology domain-containing protein OS=Caenorhabditis elegans OX=6239 GN=fubl-4 PE=4 SV=2</t>
  </si>
  <si>
    <t>P91393</t>
  </si>
  <si>
    <t>fubl-4</t>
  </si>
  <si>
    <t>&gt;tr|P91398|P91398_CAEEL CSD domain-containing protein OS=Caenorhabditis elegans OX=6239 GN=cey-3 PE=1 SV=1</t>
  </si>
  <si>
    <t>P91398</t>
  </si>
  <si>
    <t>cey-3</t>
  </si>
  <si>
    <t>&gt;tr|P91400|P91400_CAEEL Kinesin motor domain-containing protein OS=Caenorhabditis elegans OX=6239 GN=klp-15 PE=3 SV=1</t>
  </si>
  <si>
    <t>P91400</t>
  </si>
  <si>
    <t>klp-15</t>
  </si>
  <si>
    <t>&gt;tr|P91401|P91401_CAEEL Beta-catenin-like protein 1 N-terminal domain-containing protein OS=Caenorhabditis elegans OX=6239 GN=ctnb-1 PE=1 SV=1</t>
  </si>
  <si>
    <t>P91401</t>
  </si>
  <si>
    <t>ctnb-1</t>
  </si>
  <si>
    <t>Beta-catenin-like protein 1 N-terminal domain-containing protein</t>
  </si>
  <si>
    <t>&gt;tr|P91402|P91402_CAEEL Protein-S-isoprenylcysteine O-methyltransferase OS=Caenorhabditis elegans OX=6239 GN=CELE_M01E11.1 PE=3 SV=1</t>
  </si>
  <si>
    <t>P91402</t>
  </si>
  <si>
    <t>Protein-S-isoprenylcysteine O-methyltransferase</t>
  </si>
  <si>
    <t>&gt;tr|P91404|P91404_CAEEL RING-type domain-containing protein OS=Caenorhabditis elegans OX=6239 GN=rbx-2 PE=3 SV=1</t>
  </si>
  <si>
    <t>P91404</t>
  </si>
  <si>
    <t>rbx-2</t>
  </si>
  <si>
    <t>&gt;sp|P91408|AGT2L_CAEEL Ethanolamine-phosphate phospho-lyase homolog 1 OS=Caenorhabditis elegans OX=6239 GN=eppl-1 PE=3 SV=1</t>
  </si>
  <si>
    <t>P91408</t>
  </si>
  <si>
    <t>eppl-1</t>
  </si>
  <si>
    <t>Ethanolamine-phosphate phospho-lyase homolog 1</t>
  </si>
  <si>
    <t>&gt;sp|P91416|MTND1_CAEEL Probable inactive acireductone dioxygenase 1 OS=Caenorhabditis elegans OX=6239 GN=T01D1.4 PE=3 SV=1</t>
  </si>
  <si>
    <t>P91416</t>
  </si>
  <si>
    <t>T01D1.4</t>
  </si>
  <si>
    <t>Probable inactive acireductone dioxygenase 1</t>
  </si>
  <si>
    <t>&gt;sp|P91420|GLC7D_CAEEL Serine/threonine-protein phosphatase PP1-delta OS=Caenorhabditis elegans OX=6239 GN=gsp-4 PE=2 SV=1</t>
  </si>
  <si>
    <t>P91420</t>
  </si>
  <si>
    <t>gsp-4</t>
  </si>
  <si>
    <t>Serine/threonine-protein phosphatase PP1-delta</t>
  </si>
  <si>
    <t>&gt;sp|P91424|TFB1M_CAEEL Dimethyladenosine transferase 1, mitochondrial OS=Caenorhabditis elegans OX=6239 GN=tfbm-1 PE=3 SV=2</t>
  </si>
  <si>
    <t>P91424</t>
  </si>
  <si>
    <t>tfbm-1</t>
  </si>
  <si>
    <t>Dimethyladenosine transferase 1, mitochondrial</t>
  </si>
  <si>
    <t>&gt;tr|P91425|P91425_CAEEL guanylate kinase OS=Caenorhabditis elegans OX=6239 GN=guk-1 PE=1 SV=2</t>
  </si>
  <si>
    <t>P91425</t>
  </si>
  <si>
    <t>guk-1</t>
  </si>
  <si>
    <t>guanylate kinase</t>
  </si>
  <si>
    <t>&gt;sp|P91427|PGK_CAEEL Probable phosphoglycerate kinase OS=Caenorhabditis elegans OX=6239 GN=pgk-1 PE=3 SV=1</t>
  </si>
  <si>
    <t>P91427</t>
  </si>
  <si>
    <t>pgk-1</t>
  </si>
  <si>
    <t>Probable phosphoglycerate kinase</t>
  </si>
  <si>
    <t>&gt;sp|P91443|HUM6_CAEEL Unconventional myosin heavy chain 6 OS=Caenorhabditis elegans OX=6239 GN=hum-6 PE=1 SV=1</t>
  </si>
  <si>
    <t>P91443</t>
  </si>
  <si>
    <t>hum-6</t>
  </si>
  <si>
    <t>Unconventional myosin heavy chain 6</t>
  </si>
  <si>
    <t>&gt;sp|P91455|APT_CAEEL Adenine phosphoribosyltransferase OS=Caenorhabditis elegans OX=6239 GN=T19B4.3 PE=2 SV=1</t>
  </si>
  <si>
    <t>P91455</t>
  </si>
  <si>
    <t>T19B4.3</t>
  </si>
  <si>
    <t>Adenine phosphoribosyltransferase</t>
  </si>
  <si>
    <t>&gt;tr|P91457|P91457_CAEEL RanBP2-type domain-containing protein OS=Caenorhabditis elegans OX=6239 GN=npp-7 PE=1 SV=1</t>
  </si>
  <si>
    <t>P91457</t>
  </si>
  <si>
    <t>npp-7</t>
  </si>
  <si>
    <t>RanBP2-type domain-containing protein</t>
  </si>
  <si>
    <t>&gt;tr|P91482|P91482_CAEEL RING-type domain-containing protein OS=Caenorhabditis elegans OX=6239 GN=CELE_T20F5.6 PE=1 SV=2</t>
  </si>
  <si>
    <t>P91482</t>
  </si>
  <si>
    <t>&gt;tr|P91483|P91483_CAEEL RING-type domain-containing protein OS=Caenorhabditis elegans OX=6239 GN=CELE_T20F5.7 PE=1 SV=1</t>
  </si>
  <si>
    <t>P91483</t>
  </si>
  <si>
    <t>&gt;tr|P91492|P91492_CAEEL Movement protein OS=Caenorhabditis elegans OX=6239 GN=CELE_T23B3.1 PE=1 SV=1</t>
  </si>
  <si>
    <t>P91492</t>
  </si>
  <si>
    <t>&gt;tr|P91494|P91494_CAEEL Transcription termination factor 2 OS=Caenorhabditis elegans OX=6239 GN=CELE_T23H2.3 PE=1 SV=3</t>
  </si>
  <si>
    <t>P91494</t>
  </si>
  <si>
    <t>&gt;tr|P91495|P91495_CAEEL BIG2 domain-containing protein OS=Caenorhabditis elegans OX=6239 GN=npp-12 PE=1 SV=1</t>
  </si>
  <si>
    <t>P91495</t>
  </si>
  <si>
    <t>npp-12</t>
  </si>
  <si>
    <t>BIG2 domain-containing protein</t>
  </si>
  <si>
    <t>&gt;tr|P91500|P91500_CAEEL Molybdopterin synthase catalytic subunit OS=Caenorhabditis elegans OX=6239 GN=nmrk-1 PE=1 SV=1</t>
  </si>
  <si>
    <t>P91500</t>
  </si>
  <si>
    <t>nmrk-1</t>
  </si>
  <si>
    <t>Molybdopterin synthase catalytic subunit</t>
  </si>
  <si>
    <t>&gt;sp|P91529|RPC6_CAEEL Probable DNA-directed RNA polymerase III subunit RPC6 OS=Caenorhabditis elegans OX=6239 GN=W09C3.4 PE=3 SV=1</t>
  </si>
  <si>
    <t>P91529</t>
  </si>
  <si>
    <t>W09C3.4</t>
  </si>
  <si>
    <t>Probable DNA-directed RNA polymerase III subunit RPC6</t>
  </si>
  <si>
    <t>&gt;tr|P91544|P91544_CAEEL MATH domain-containing protein OS=Caenorhabditis elegans OX=6239 GN=CELE_ZC204.12 PE=1 SV=1</t>
  </si>
  <si>
    <t>P91544</t>
  </si>
  <si>
    <t>&gt;tr|P91857|P91857_CAEEL small monomeric GTPase OS=Caenorhabditis elegans OX=6239 GN=rab-5 PE=1 SV=1</t>
  </si>
  <si>
    <t>P91857</t>
  </si>
  <si>
    <t>rab-5</t>
  </si>
  <si>
    <t>small monomeric GTPase</t>
  </si>
  <si>
    <t>&gt;sp|P91859|MAP11_CAEEL Microtubule-associated protein homolog maph-1.1 OS=Caenorhabditis elegans OX=6239 GN=maph-1.1 PE=1 SV=1</t>
  </si>
  <si>
    <t>P91859</t>
  </si>
  <si>
    <t>maph-1.1</t>
  </si>
  <si>
    <t>Microtubule-associated protein homolog maph-1.1</t>
  </si>
  <si>
    <t>&gt;tr|P91867|P91867_CAEEL WD_REPEATS_REGION domain-containing protein OS=Caenorhabditis elegans OX=6239 GN=thoc-3 PE=1 SV=3</t>
  </si>
  <si>
    <t>P91867</t>
  </si>
  <si>
    <t>thoc-3</t>
  </si>
  <si>
    <t>&gt;sp|P91868|SNPC4_CAEEL snRNA-activating protein complex subunit 4 homolog OS=Caenorhabditis elegans OX=6239 GN=snpc-4 PE=2 SV=1</t>
  </si>
  <si>
    <t>P91868</t>
  </si>
  <si>
    <t>snpc-4</t>
  </si>
  <si>
    <t>snRNA-activating protein complex subunit 4 homolog</t>
  </si>
  <si>
    <t>&gt;sp|P91870|SPD2_CAEEL Spindle-defective protein 2 OS=Caenorhabditis elegans OX=6239 GN=spd-2 PE=1 SV=1</t>
  </si>
  <si>
    <t>P91870</t>
  </si>
  <si>
    <t>spd-2</t>
  </si>
  <si>
    <t>Spindle-defective protein 2</t>
  </si>
  <si>
    <t>&gt;tr|P91871|P91871_CAEEL Fatty acid synthase OS=Caenorhabditis elegans OX=6239 GN=fasn-1 PE=1 SV=2</t>
  </si>
  <si>
    <t>P91871</t>
  </si>
  <si>
    <t>fasn-1</t>
  </si>
  <si>
    <t>Fatty acid synthase</t>
  </si>
  <si>
    <t>&gt;tr|P91873|P91873_CAEEL Tubulin alpha chain OS=Caenorhabditis elegans OX=6239 GN=tba-6 PE=1 SV=2</t>
  </si>
  <si>
    <t>P91873</t>
  </si>
  <si>
    <t>tba-6</t>
  </si>
  <si>
    <t>&gt;sp|P91910|TBA3_CAEEL Tubulin alpha-3 chain OS=Caenorhabditis elegans OX=6239 GN=mec-12 PE=1 SV=1</t>
  </si>
  <si>
    <t>P91910</t>
  </si>
  <si>
    <t>mec-12</t>
  </si>
  <si>
    <t>Tubulin alpha-3 chain</t>
  </si>
  <si>
    <t>&gt;sp|P91913|RLA1_CAEEL Large ribosomal subunit protein P1 OS=Caenorhabditis elegans OX=6239 GN=rla-1 PE=3 SV=2</t>
  </si>
  <si>
    <t>P91913</t>
  </si>
  <si>
    <t>rla-1</t>
  </si>
  <si>
    <t>Large ribosomal subunit protein P1</t>
  </si>
  <si>
    <t>&gt;sp|P91914|RL27_CAEEL Large ribosomal subunit protein eL27 OS=Caenorhabditis elegans OX=6239 GN=rpl-27 PE=2 SV=1</t>
  </si>
  <si>
    <t>P91914</t>
  </si>
  <si>
    <t>rpl-27</t>
  </si>
  <si>
    <t>Large ribosomal subunit protein eL27</t>
  </si>
  <si>
    <t>&gt;sp|P91917|OLA1_CAEEL Obg-like ATPase 1 OS=Caenorhabditis elegans OX=6239 GN=ola-1 PE=1 SV=1</t>
  </si>
  <si>
    <t>P91917</t>
  </si>
  <si>
    <t>ola-1</t>
  </si>
  <si>
    <t>Obg-like ATPase 1</t>
  </si>
  <si>
    <t>&gt;sp|P91918|RSMB_CAEEL Probable small nuclear ribonucleoprotein-associated protein B OS=Caenorhabditis elegans OX=6239 GN=snr-2 PE=3 SV=1</t>
  </si>
  <si>
    <t>P91918</t>
  </si>
  <si>
    <t>snr-2</t>
  </si>
  <si>
    <t>Probable small nuclear ribonucleoprotein-associated protein B</t>
  </si>
  <si>
    <t>&gt;tr|P91993|P91993_CAEEL Major facilitator superfamily (MFS) profile domain-containing protein OS=Caenorhabditis elegans OX=6239 GN=CELE_F32H5.4 PE=1 SV=1</t>
  </si>
  <si>
    <t>P91993</t>
  </si>
  <si>
    <t>&gt;tr|P91997|P91997_CAEEL NADP-dependent oxidoreductase domain-containing protein OS=Caenorhabditis elegans OX=6239 GN=CELE_F53F1.2 PE=1 SV=1</t>
  </si>
  <si>
    <t>P91997</t>
  </si>
  <si>
    <t>&gt;tr|P92005|P92005_CAEEL cathepsin X OS=Caenorhabditis elegans OX=6239 GN=cpz-2 PE=1 SV=1</t>
  </si>
  <si>
    <t>P92005</t>
  </si>
  <si>
    <t>cpz-2</t>
  </si>
  <si>
    <t>cathepsin X</t>
  </si>
  <si>
    <t>&gt;tr|P92020|P92020_CAEEL C6 domain-containing protein OS=Caenorhabditis elegans OX=6239 GN=CELE_T10G3.3 PE=1 SV=3</t>
  </si>
  <si>
    <t>P92020</t>
  </si>
  <si>
    <t>C6 domain-containing protein</t>
  </si>
  <si>
    <t>&gt;sp|P92199|ROCK_CAEEL Rho-associated protein kinase let-502 OS=Caenorhabditis elegans OX=6239 GN=let-502 PE=1 SV=1</t>
  </si>
  <si>
    <t>P92199</t>
  </si>
  <si>
    <t>let-502</t>
  </si>
  <si>
    <t>Rho-associated protein kinase let-502</t>
  </si>
  <si>
    <t>&gt;sp|P98080|UCR1_CAEEL Cytochrome b-c1 complex subunit 1, mitochondrial OS=Caenorhabditis elegans OX=6239 GN=ucr-1 PE=3 SV=2</t>
  </si>
  <si>
    <t>P98080</t>
  </si>
  <si>
    <t>ucr-1</t>
  </si>
  <si>
    <t>Cytochrome b-c1 complex subunit 1, mitochondrial</t>
  </si>
  <si>
    <t>&gt;sp|Q02328|SLAP2_CAEEL Huntington interacting protein related 1 OS=Caenorhabditis elegans OX=6239 GN=hipr-1 PE=3 SV=3</t>
  </si>
  <si>
    <t>Q02328</t>
  </si>
  <si>
    <t>hipr-1</t>
  </si>
  <si>
    <t>Huntington interacting protein related 1</t>
  </si>
  <si>
    <t>&gt;sp|Q02330|SMA2_CAEEL Dwarfin sma-2 OS=Caenorhabditis elegans OX=6239 GN=sma-2 PE=2 SV=2</t>
  </si>
  <si>
    <t>Q02330</t>
  </si>
  <si>
    <t>sma-2</t>
  </si>
  <si>
    <t>Dwarfin sma-2</t>
  </si>
  <si>
    <t>&gt;sp|Q02331|PLPL7_CAEEL Patatin-like phospholipase domain-containing protein ZK370.4 OS=Caenorhabditis elegans OX=6239 GN=ZK370.4 PE=3 SV=3</t>
  </si>
  <si>
    <t>Q02331</t>
  </si>
  <si>
    <t>ZK370.4</t>
  </si>
  <si>
    <t>Patatin-like phospholipase domain-containing protein ZK370.4</t>
  </si>
  <si>
    <t>&gt;sp|Q02332|PDHK2_CAEEL Probable [pyruvate dehydrogenase (acetyl-transferring)] kinase, mitochondrial OS=Caenorhabditis elegans OX=6239 GN=pdhk-2 PE=3 SV=1</t>
  </si>
  <si>
    <t>Q02332</t>
  </si>
  <si>
    <t>pdhk-2</t>
  </si>
  <si>
    <t>Probable [pyruvate dehydrogenase (acetyl-transferring)] kinase, mitochondrial</t>
  </si>
  <si>
    <t>&gt;sp|Q02334|UGTP1_CAEEL UDP-galactose translocator 1 OS=Caenorhabditis elegans OX=6239 GN=ugtp-1 PE=3 SV=2</t>
  </si>
  <si>
    <t>Q02334</t>
  </si>
  <si>
    <t>ugtp-1</t>
  </si>
  <si>
    <t>UDP-galactose translocator 1</t>
  </si>
  <si>
    <t>&gt;sp|Q02335|TOM70_CAEEL Mitochondrial import receptor subunit tomm-70 OS=Caenorhabditis elegans OX=6239 GN=tomm-70 PE=2 SV=3</t>
  </si>
  <si>
    <t>Q02335</t>
  </si>
  <si>
    <t>tomm-70</t>
  </si>
  <si>
    <t>Mitochondrial import receptor subunit tomm-70</t>
  </si>
  <si>
    <t>&gt;sp|Q03206|RAC1_CAEEL Ras-related protein ced-10 OS=Caenorhabditis elegans OX=6239 GN=ced-10 PE=1 SV=2</t>
  </si>
  <si>
    <t>Q03206</t>
  </si>
  <si>
    <t>ced-10</t>
  </si>
  <si>
    <t>Ras-related protein ced-10</t>
  </si>
  <si>
    <t>&gt;sp|Q03560|CTR9_CAEEL RNA polymerase-associated protein CTR9 OS=Caenorhabditis elegans OX=6239 GN=ctr-9 PE=3 SV=3</t>
  </si>
  <si>
    <t>Q03560</t>
  </si>
  <si>
    <t>ctr-9</t>
  </si>
  <si>
    <t>RNA polymerase-associated protein CTR9</t>
  </si>
  <si>
    <t>&gt;sp|Q03562|BRE3_CAEEL Beta-1,4-mannosyltransferase bre-3 OS=Caenorhabditis elegans OX=6239 GN=bre-3 PE=2 SV=2</t>
  </si>
  <si>
    <t>Q03562</t>
  </si>
  <si>
    <t>bre-3</t>
  </si>
  <si>
    <t>Beta-1,4-mannosyltransferase bre-3</t>
  </si>
  <si>
    <t>&gt;sp|Q03563|SPK1_CAEEL Serine/threonine-protein kinase spk-1 OS=Caenorhabditis elegans OX=6239 GN=spk-1 PE=2 SV=3</t>
  </si>
  <si>
    <t>Q03563</t>
  </si>
  <si>
    <t>spk-1</t>
  </si>
  <si>
    <t>Serine/threonine-protein kinase spk-1</t>
  </si>
  <si>
    <t>&gt;sp|Q03564|YKD6_CAEEL Uncharacterized protein B0464.6 OS=Caenorhabditis elegans OX=6239 GN=B0464.6 PE=4 SV=2</t>
  </si>
  <si>
    <t>Q03564</t>
  </si>
  <si>
    <t>B0464.6</t>
  </si>
  <si>
    <t>Uncharacterized protein B0464.6</t>
  </si>
  <si>
    <t>&gt;sp|Q03567|SL172_CAEEL Uncharacterized transporter slc-17.2 OS=Caenorhabditis elegans OX=6239 GN=C38C10.2 PE=1 SV=2</t>
  </si>
  <si>
    <t>Q03567</t>
  </si>
  <si>
    <t>C38C10.2</t>
  </si>
  <si>
    <t>Uncharacterized transporter slc-17.2</t>
  </si>
  <si>
    <t>&gt;sp|Q03568|YLD3_CAEEL Uncharacterized protein C38C10.3 OS=Caenorhabditis elegans OX=6239 GN=C38C10.3 PE=4 SV=1</t>
  </si>
  <si>
    <t>Q03568</t>
  </si>
  <si>
    <t>C38C10.3</t>
  </si>
  <si>
    <t>Uncharacterized protein C38C10.3</t>
  </si>
  <si>
    <t>&gt;sp|Q03570|MED14_CAEEL Mediator of RNA polymerase II transcription subunit 14 OS=Caenorhabditis elegans OX=6239 GN=rgr-1 PE=3 SV=6</t>
  </si>
  <si>
    <t>Q03570</t>
  </si>
  <si>
    <t>rgr-1</t>
  </si>
  <si>
    <t>Mediator of RNA polymerase II transcription subunit 14</t>
  </si>
  <si>
    <t>&gt;sp|Q03574|ELO4_CAEEL Putative fatty acid elongase 4 OS=Caenorhabditis elegans OX=6239 GN=elo-4 PE=3 SV=1</t>
  </si>
  <si>
    <t>Q03574</t>
  </si>
  <si>
    <t>elo-4</t>
  </si>
  <si>
    <t>Putative fatty acid elongase 4</t>
  </si>
  <si>
    <t>&gt;sp|Q03577|SYDC_CAEEL Aspartate--tRNA ligase, cytoplasmic OS=Caenorhabditis elegans OX=6239 GN=dars-1 PE=3 SV=1</t>
  </si>
  <si>
    <t>Q03577</t>
  </si>
  <si>
    <t>dars-1</t>
  </si>
  <si>
    <t>Aspartate--tRNA ligase, cytoplasmic</t>
  </si>
  <si>
    <t>&gt;sp|Q03598|UFC1_CAEEL Ubiquitin-fold modifier-conjugating enzyme 1 OS=Caenorhabditis elegans OX=6239 GN=ufc-1 PE=1 SV=1</t>
  </si>
  <si>
    <t>Q03598</t>
  </si>
  <si>
    <t>ufc-1</t>
  </si>
  <si>
    <t>Ubiquitin-fold modifier-conjugating enzyme 1</t>
  </si>
  <si>
    <t>&gt;sp|Q03601|NHL1_CAEEL RING finger protein nhl-1 OS=Caenorhabditis elegans OX=6239 GN=nhl-1 PE=1 SV=2</t>
  </si>
  <si>
    <t>Q03601</t>
  </si>
  <si>
    <t>nhl-1</t>
  </si>
  <si>
    <t>RING finger protein nhl-1</t>
  </si>
  <si>
    <t>&gt;sp|Q03604|RIR1_CAEEL Ribonucleoside-diphosphate reductase large subunit OS=Caenorhabditis elegans OX=6239 GN=rnr-1 PE=3 SV=1</t>
  </si>
  <si>
    <t>Q03604</t>
  </si>
  <si>
    <t>rnr-1</t>
  </si>
  <si>
    <t>Ribonucleoside-diphosphate reductase large subunit</t>
  </si>
  <si>
    <t>&gt;sp|Q03606|YN02_CAEEL CRAL-TRIO domain-containing protein T23G5.2 OS=Caenorhabditis elegans OX=6239 GN=T23G5.2 PE=4 SV=3</t>
  </si>
  <si>
    <t>Q03606</t>
  </si>
  <si>
    <t>T23G5.2</t>
  </si>
  <si>
    <t>CRAL-TRIO domain-containing protein T23G5.2</t>
  </si>
  <si>
    <t>&gt;sp|Q03615|SAEG2_CAEEL Suppressor of activated egl-4 protein 2 OS=Caenorhabditis elegans OX=6239 GN=saeg-2 PE=1 SV=2</t>
  </si>
  <si>
    <t>Q03615</t>
  </si>
  <si>
    <t>saeg-2</t>
  </si>
  <si>
    <t>Suppressor of activated egl-4 protein 2</t>
  </si>
  <si>
    <t>&gt;sp|Q04908|PSMD3_CAEEL 26S proteasome non-ATPase regulatory subunit 3 OS=Caenorhabditis elegans OX=6239 GN=rpn-3 PE=1 SV=1</t>
  </si>
  <si>
    <t>Q04908</t>
  </si>
  <si>
    <t>rpn-3</t>
  </si>
  <si>
    <t>26S proteasome non-ATPase regulatory subunit 3</t>
  </si>
  <si>
    <t>&gt;sp|Q05036|HS110_CAEEL Heat shock protein 110 OS=Caenorhabditis elegans OX=6239 GN=hsp-110 PE=3 SV=1</t>
  </si>
  <si>
    <t>Q05036</t>
  </si>
  <si>
    <t>hsp-110</t>
  </si>
  <si>
    <t>Heat shock protein 110</t>
  </si>
  <si>
    <t>&gt;sp|Q05062|CDC42_CAEEL Cell division control protein 42 homolog OS=Caenorhabditis elegans OX=6239 GN=cdc-42 PE=1 SV=2</t>
  </si>
  <si>
    <t>Q05062</t>
  </si>
  <si>
    <t>cdc-42</t>
  </si>
  <si>
    <t>Cell division control protein 42 homolog</t>
  </si>
  <si>
    <t>&gt;sp|Q06561|UNC52_CAEEL Basement membrane proteoglycan OS=Caenorhabditis elegans OX=6239 GN=unc-52 PE=1 SV=2</t>
  </si>
  <si>
    <t>Q06561</t>
  </si>
  <si>
    <t>unc-52</t>
  </si>
  <si>
    <t>Basement membrane proteoglycan</t>
  </si>
  <si>
    <t>&gt;sp|Q07292|KRAF1_CAEEL Raf homolog serine/threonine-protein kinase OS=Caenorhabditis elegans OX=6239 GN=lin-45 PE=1 SV=2</t>
  </si>
  <si>
    <t>Q07292</t>
  </si>
  <si>
    <t>lin-45</t>
  </si>
  <si>
    <t>Raf homolog serine/threonine-protein kinase</t>
  </si>
  <si>
    <t>&gt;sp|Q07750|ADF1_CAEEL Actin-depolymerizing factor 1, isoforms a/b OS=Caenorhabditis elegans OX=6239 GN=unc-60 PE=1 SV=2</t>
  </si>
  <si>
    <t>Q07750</t>
  </si>
  <si>
    <t>unc-60</t>
  </si>
  <si>
    <t>Actin-depolymerizing factor 1, isoforms a/b</t>
  </si>
  <si>
    <t>&gt;sp|Q09165|DIG1_CAEEL Mesocentin OS=Caenorhabditis elegans OX=6239 GN=dig-1 PE=1 SV=2</t>
  </si>
  <si>
    <t>Q09165</t>
  </si>
  <si>
    <t>dig-1</t>
  </si>
  <si>
    <t>Mesocentin</t>
  </si>
  <si>
    <t>&gt;sp|Q09214|YP65_CAEEL Uncharacterized protein B0495.5 OS=Caenorhabditis elegans OX=6239 GN=B0495.5 PE=4 SV=2</t>
  </si>
  <si>
    <t>Q09214</t>
  </si>
  <si>
    <t>B0495.5</t>
  </si>
  <si>
    <t>Uncharacterized protein B0495.5</t>
  </si>
  <si>
    <t>&gt;sp|Q09216|ERP1A_CAEEL Putative endoplasmic reticulum metallopeptidase 1-A OS=Caenorhabditis elegans OX=6239 GN=B0495.7 PE=1 SV=2</t>
  </si>
  <si>
    <t>Q09216</t>
  </si>
  <si>
    <t>B0495.7</t>
  </si>
  <si>
    <t>Putative endoplasmic reticulum metallopeptidase 1-A</t>
  </si>
  <si>
    <t>&gt;sp|Q09217|YP68_CAEEL Uncharacterized protein B0495.8 OS=Caenorhabditis elegans OX=6239 GN=B0495.8 PE=3 SV=1</t>
  </si>
  <si>
    <t>Q09217</t>
  </si>
  <si>
    <t>B0495.8</t>
  </si>
  <si>
    <t>Uncharacterized protein B0495.8</t>
  </si>
  <si>
    <t>&gt;sp|Q09221|CPNA2_CAEEL Copine family protein 2 OS=Caenorhabditis elegans OX=6239 GN=cpna-2 PE=2 SV=4</t>
  </si>
  <si>
    <t>Q09221</t>
  </si>
  <si>
    <t>cpna-2</t>
  </si>
  <si>
    <t>Copine family protein 2</t>
  </si>
  <si>
    <t>&gt;sp|Q09225|NRF6_CAEEL Nose resistant to fluoxetine protein 6 OS=Caenorhabditis elegans OX=6239 GN=nrf-6 PE=1 SV=3</t>
  </si>
  <si>
    <t>Q09225</t>
  </si>
  <si>
    <t>nrf-6</t>
  </si>
  <si>
    <t>Nose resistant to fluoxetine protein 6</t>
  </si>
  <si>
    <t>&gt;sp|Q09228|EGL27_CAEEL Egg-laying defective protein 27 OS=Caenorhabditis elegans OX=6239 GN=egl-27 PE=1 SV=2</t>
  </si>
  <si>
    <t>Q09228</t>
  </si>
  <si>
    <t>egl-27</t>
  </si>
  <si>
    <t>Egg-laying defective protein 27</t>
  </si>
  <si>
    <t>&gt;sp|Q09236|COPD_CAEEL Probable coatomer subunit delta OS=Caenorhabditis elegans OX=6239 GN=copd-1 PE=3 SV=1</t>
  </si>
  <si>
    <t>Q09236</t>
  </si>
  <si>
    <t>copd-1</t>
  </si>
  <si>
    <t>Probable coatomer subunit delta</t>
  </si>
  <si>
    <t>&gt;sp|Q09237|GYF1_CAEEL GYF domain-containing protein gyf-1 OS=Caenorhabditis elegans OX=6239 GN=gyf-1 PE=4 SV=4</t>
  </si>
  <si>
    <t>Q09237</t>
  </si>
  <si>
    <t>gyf-1</t>
  </si>
  <si>
    <t>GYF domain-containing protein gyf-1</t>
  </si>
  <si>
    <t>&gt;sp|Q09249|YQ53_CAEEL Uncharacterized protein C16C10.3 OS=Caenorhabditis elegans OX=6239 GN=C16C10.3 PE=4 SV=1</t>
  </si>
  <si>
    <t>Q09249</t>
  </si>
  <si>
    <t>C16C10.3</t>
  </si>
  <si>
    <t>Uncharacterized protein C16C10.3</t>
  </si>
  <si>
    <t>&gt;sp|Q09250|SAP18_CAEEL Probable histone deacetylase complex subunit SAP18 OS=Caenorhabditis elegans OX=6239 GN=C16C10.4 PE=3 SV=1</t>
  </si>
  <si>
    <t>Q09250</t>
  </si>
  <si>
    <t>C16C10.4</t>
  </si>
  <si>
    <t>Probable histone deacetylase complex subunit SAP18</t>
  </si>
  <si>
    <t>&gt;sp|Q09251|RN121_CAEEL E3 ubiquitin ligase rnf-121 OS=Caenorhabditis elegans OX=6239 GN=rnf-121 PE=1 SV=2</t>
  </si>
  <si>
    <t>Q09251</t>
  </si>
  <si>
    <t>rnf-121</t>
  </si>
  <si>
    <t>E3 ubiquitin ligase rnf-121</t>
  </si>
  <si>
    <t>&gt;sp|Q09254|HAR1_CAEEL Hemiasterlin resistant protein 1 OS=Caenorhabditis elegans OX=6239 GN=har-1 PE=4 SV=1</t>
  </si>
  <si>
    <t>Q09254</t>
  </si>
  <si>
    <t>har-1</t>
  </si>
  <si>
    <t>Hemiasterlin resistant protein 1</t>
  </si>
  <si>
    <t>&gt;sp|Q09259|YQB6_CAEEL Uncharacterized protein C30G12.6 OS=Caenorhabditis elegans OX=6239 GN=C30G12.6 PE=4 SV=2</t>
  </si>
  <si>
    <t>Q09259</t>
  </si>
  <si>
    <t>C30G12.6</t>
  </si>
  <si>
    <t>Uncharacterized protein C30G12.6</t>
  </si>
  <si>
    <t>&gt;sp|Q09260|LAG3_CAEEL Protein lag-3 OS=Caenorhabditis elegans OX=6239 GN=sel-8 PE=1 SV=2</t>
  </si>
  <si>
    <t>Q09260</t>
  </si>
  <si>
    <t>sel-8</t>
  </si>
  <si>
    <t>Protein lag-3</t>
  </si>
  <si>
    <t>&gt;sp|Q09261|RT31_CAEEL Small ribosomal subunit protein mS31 OS=Caenorhabditis elegans OX=6239 GN=mrps-31 PE=3 SV=2</t>
  </si>
  <si>
    <t>Q09261</t>
  </si>
  <si>
    <t>mrps-31</t>
  </si>
  <si>
    <t>Small ribosomal subunit protein mS31</t>
  </si>
  <si>
    <t>&gt;sp|Q09278|YQI5_CAEEL Uncharacterized protein C45G9.5 OS=Caenorhabditis elegans OX=6239 GN=C45G9.5 PE=4 SV=1</t>
  </si>
  <si>
    <t>Q09278</t>
  </si>
  <si>
    <t>C45G9.5</t>
  </si>
  <si>
    <t>Uncharacterized protein C45G9.5</t>
  </si>
  <si>
    <t>&gt;sp|Q09281|YQIA_CAEEL Uncharacterized protein C45G9.10 OS=Caenorhabditis elegans OX=6239 GN=C45G9.10 PE=4 SV=1</t>
  </si>
  <si>
    <t>Q09281</t>
  </si>
  <si>
    <t>C45G9.10</t>
  </si>
  <si>
    <t>Uncharacterized protein C45G9.10</t>
  </si>
  <si>
    <t>&gt;sp|Q09285|AKAP1_CAEEL KH domain-containing protein akap-1 OS=Caenorhabditis elegans OX=6239 GN=akap-1 PE=3 SV=2</t>
  </si>
  <si>
    <t>Q09285</t>
  </si>
  <si>
    <t>akap-1</t>
  </si>
  <si>
    <t>KH domain-containing protein akap-1</t>
  </si>
  <si>
    <t>&gt;sp|Q09287|YQK3_CAEEL Uncharacterized protein C56G2.3 OS=Caenorhabditis elegans OX=6239 GN=C56G2.3 PE=3 SV=1</t>
  </si>
  <si>
    <t>Q09287</t>
  </si>
  <si>
    <t>C56G2.3</t>
  </si>
  <si>
    <t>Uncharacterized protein C56G2.3</t>
  </si>
  <si>
    <t>&gt;sp|Q09289|ADRM1_CAEEL Proteasomal ubiquitin receptor ADRM1 homolog OS=Caenorhabditis elegans OX=6239 GN=rpn-13 PE=1 SV=2</t>
  </si>
  <si>
    <t>Q09289</t>
  </si>
  <si>
    <t>rpn-13</t>
  </si>
  <si>
    <t>Proteasomal ubiquitin receptor ADRM1 homolog</t>
  </si>
  <si>
    <t>&gt;sp|Q09293|TOFU6_CAEEL Embryonic developmental protein tofu-6 OS=Caenorhabditis elegans OX=6239 GN=tofu-6 PE=1 SV=2</t>
  </si>
  <si>
    <t>Q09293</t>
  </si>
  <si>
    <t>tofu-6</t>
  </si>
  <si>
    <t>Embryonic developmental protein tofu-6</t>
  </si>
  <si>
    <t>&gt;sp|Q09294|YQO3_CAEEL Uncharacterized protein EEED8.3 OS=Caenorhabditis elegans OX=6239 GN=EEED8.3 PE=3 SV=1</t>
  </si>
  <si>
    <t>Q09294</t>
  </si>
  <si>
    <t>EEED8.3</t>
  </si>
  <si>
    <t>Uncharacterized protein EEED8.3</t>
  </si>
  <si>
    <t>&gt;sp|Q09299|YQOA_CAEEL Putative RNA-binding protein EEED8.10 OS=Caenorhabditis elegans OX=6239 GN=EEED8.10 PE=4 SV=3</t>
  </si>
  <si>
    <t>Q09299</t>
  </si>
  <si>
    <t>EEED8.10</t>
  </si>
  <si>
    <t>Putative RNA-binding protein EEED8.10</t>
  </si>
  <si>
    <t>&gt;sp|Q09305|AAR2_CAEEL Protein AAR2 homolog OS=Caenorhabditis elegans OX=6239 GN=F10B5.2 PE=3 SV=1</t>
  </si>
  <si>
    <t>Q09305</t>
  </si>
  <si>
    <t>F10B5.2</t>
  </si>
  <si>
    <t>Protein AAR2 homolog</t>
  </si>
  <si>
    <t>&gt;sp|Q09312|FBF2_CAEEL Fem-3 mRNA-binding factor 2 OS=Caenorhabditis elegans OX=6239 GN=fbf-2 PE=1 SV=1</t>
  </si>
  <si>
    <t>Q09312</t>
  </si>
  <si>
    <t>fbf-2</t>
  </si>
  <si>
    <t>Fem-3 mRNA-binding factor 2</t>
  </si>
  <si>
    <t>&gt;sp|Q09316|CK5P1_CAEEL CDK5RAP1-like protein OS=Caenorhabditis elegans OX=6239 GN=F25B5.5 PE=3 SV=1</t>
  </si>
  <si>
    <t>Q09316</t>
  </si>
  <si>
    <t>F25B5.5</t>
  </si>
  <si>
    <t>CDK5RAP1-like protein</t>
  </si>
  <si>
    <t>&gt;sp|Q09345|PCF11_CAEEL Polyadenylation and cleavage factor homolog 11 OS=Caenorhabditis elegans OX=6239 GN=pcf-11 PE=4 SV=1</t>
  </si>
  <si>
    <t>Q09345</t>
  </si>
  <si>
    <t>pcf-11</t>
  </si>
  <si>
    <t>Polyadenylation and cleavage factor homolog 11</t>
  </si>
  <si>
    <t>&gt;sp|Q09346|SMCR8_CAEEL Guanine nucleotide exchange protein smcr-8 OS=Caenorhabditis elegans OX=6239 GN=smcr-8 PE=3 SV=2</t>
  </si>
  <si>
    <t>Q09346</t>
  </si>
  <si>
    <t>smcr-8</t>
  </si>
  <si>
    <t>Guanine nucleotide exchange protein smcr-8</t>
  </si>
  <si>
    <t>&gt;sp|Q09349|UBE4_CAEEL Ubiquitin conjugation factor E4 ufd-2 OS=Caenorhabditis elegans OX=6239 GN=ufd-2 PE=1 SV=2</t>
  </si>
  <si>
    <t>Q09349</t>
  </si>
  <si>
    <t>ufd-2</t>
  </si>
  <si>
    <t>Ubiquitin conjugation factor E4 ufd-2</t>
  </si>
  <si>
    <t>&gt;sp|Q09353|SENP_CAEEL Sentrin-specific protease OS=Caenorhabditis elegans OX=6239 GN=ulp-1 PE=2 SV=3</t>
  </si>
  <si>
    <t>Q09353</t>
  </si>
  <si>
    <t>ulp-1</t>
  </si>
  <si>
    <t>Sentrin-specific protease</t>
  </si>
  <si>
    <t>&gt;sp|Q09359|YS11_CAEEL Uncharacterized protein ZK1307.1 OS=Caenorhabditis elegans OX=6239 GN=ZK1307.1 PE=4 SV=1</t>
  </si>
  <si>
    <t>Q09359</t>
  </si>
  <si>
    <t>ZK1307.1</t>
  </si>
  <si>
    <t>Uncharacterized protein ZK1307.1</t>
  </si>
  <si>
    <t>&gt;sp|Q09369|AQP10_CAEEL Putative aquaporin-10 OS=Caenorhabditis elegans OX=6239 GN=aqp-10 PE=3 SV=1</t>
  </si>
  <si>
    <t>Q09369</t>
  </si>
  <si>
    <t>aqp-10</t>
  </si>
  <si>
    <t>Putative aquaporin-10</t>
  </si>
  <si>
    <t>&gt;sp|Q09372|NPP24_CAEEL Protein npp-24 OS=Caenorhabditis elegans OX=6239 GN=npp-24 PE=4 SV=2</t>
  </si>
  <si>
    <t>Q09372</t>
  </si>
  <si>
    <t>npp-24</t>
  </si>
  <si>
    <t>Protein npp-24</t>
  </si>
  <si>
    <t>&gt;sp|Q09373|FZY1_CAEEL WD repeat-containing protein fzy-1 OS=Caenorhabditis elegans OX=6239 GN=fzy-1 PE=1 SV=2</t>
  </si>
  <si>
    <t>Q09373</t>
  </si>
  <si>
    <t>fzy-1</t>
  </si>
  <si>
    <t>WD repeat-containing protein fzy-1</t>
  </si>
  <si>
    <t>&gt;sp|Q09374|SAMH1_CAEEL Deoxynucleoside triphosphate triphosphohydrolase sahd-1 OS=Caenorhabditis elegans OX=6239 GN=sahd-1 PE=1 SV=2</t>
  </si>
  <si>
    <t>Q09374</t>
  </si>
  <si>
    <t>sahd-1</t>
  </si>
  <si>
    <t>Deoxynucleoside triphosphate triphosphohydrolase sahd-1</t>
  </si>
  <si>
    <t>&gt;tr|Q09397|Q09397_CAEEL F-box domain-containing protein OS=Caenorhabditis elegans OX=6239 GN=skpt-1 PE=4 SV=2</t>
  </si>
  <si>
    <t>Q09397</t>
  </si>
  <si>
    <t>skpt-1</t>
  </si>
  <si>
    <t>&gt;tr|Q09409|Q09409_CAEEL RNA uridylyltransferase OS=Caenorhabditis elegans OX=6239 GN=cid-1 PE=1 SV=1</t>
  </si>
  <si>
    <t>Q09409</t>
  </si>
  <si>
    <t>cid-1</t>
  </si>
  <si>
    <t>RNA uridylyltransferase</t>
  </si>
  <si>
    <t>&gt;sp|Q09417|RIC1_CAEEL Guanine nucleotide exchange factor subunit R06F6.8 OS=Caenorhabditis elegans OX=6239 GN=R06F6.8 PE=3 SV=2</t>
  </si>
  <si>
    <t>Q09417</t>
  </si>
  <si>
    <t>R06F6.8</t>
  </si>
  <si>
    <t>Guanine nucleotide exchange factor subunit R06F6.8</t>
  </si>
  <si>
    <t>&gt;sp|Q09422|PGAM5_CAEEL Serine/threonine-protein phosphatase Pgam5, mitochondrial OS=Caenorhabditis elegans OX=6239 GN=pgam-5 PE=1 SV=2</t>
  </si>
  <si>
    <t>Q09422</t>
  </si>
  <si>
    <t>pgam-5</t>
  </si>
  <si>
    <t>Serine/threonine-protein phosphatase Pgam5, mitochondrial</t>
  </si>
  <si>
    <t>&gt;sp|Q09436|MEX6_CAEEL Zinc finger protein mex-6 OS=Caenorhabditis elegans OX=6239 GN=mex-6 PE=1 SV=3</t>
  </si>
  <si>
    <t>Q09436</t>
  </si>
  <si>
    <t>mex-6</t>
  </si>
  <si>
    <t>Zinc finger protein mex-6</t>
  </si>
  <si>
    <t>&gt;sp|Q09437|CD111_CAEEL Cyclin-dependent kinase 11.1 OS=Caenorhabditis elegans OX=6239 GN=cdk-11.1 PE=1 SV=1</t>
  </si>
  <si>
    <t>Q09437</t>
  </si>
  <si>
    <t>cdk-11.1</t>
  </si>
  <si>
    <t>Cyclin-dependent kinase 11.1</t>
  </si>
  <si>
    <t>&gt;sp|Q09441|SWSN7_CAEEL SWI/SNF nucleosome remodeling complex component OS=Caenorhabditis elegans OX=6239 GN=C08B11.3 PE=4 SV=1</t>
  </si>
  <si>
    <t>Q09441</t>
  </si>
  <si>
    <t>C08B11.3</t>
  </si>
  <si>
    <t>SWI/SNF nucleosome remodeling complex component</t>
  </si>
  <si>
    <t>&gt;sp|Q09442|SF3B4_CAEEL Splicing factor 3B subunit 4 OS=Caenorhabditis elegans OX=6239 GN=sap-49 PE=1 SV=2</t>
  </si>
  <si>
    <t>Q09442</t>
  </si>
  <si>
    <t>sap-49</t>
  </si>
  <si>
    <t>Splicing factor 3B subunit 4</t>
  </si>
  <si>
    <t>&gt;sp|Q09443|ARP6_CAEEL Actin-like protein C08B11.6 OS=Caenorhabditis elegans OX=6239 GN=arp-6 PE=2 SV=3</t>
  </si>
  <si>
    <t>Q09443</t>
  </si>
  <si>
    <t>arp-6</t>
  </si>
  <si>
    <t>Actin-like protein C08B11.6</t>
  </si>
  <si>
    <t>&gt;sp|Q09444|UBH4_CAEEL Ubiquitin carboxyl-terminal hydrolase ubh-4 OS=Caenorhabditis elegans OX=6239 GN=ubh-4 PE=1 SV=2</t>
  </si>
  <si>
    <t>Q09444</t>
  </si>
  <si>
    <t>ubh-4</t>
  </si>
  <si>
    <t>Ubiquitin carboxyl-terminal hydrolase ubh-4</t>
  </si>
  <si>
    <t>&gt;sp|Q09446|DNJ5_CAEEL DnaJ homolog dnj-5 OS=Caenorhabditis elegans OX=6239 GN=dnj-5 PE=4 SV=2</t>
  </si>
  <si>
    <t>Q09446</t>
  </si>
  <si>
    <t>dnj-5</t>
  </si>
  <si>
    <t>DnaJ homolog dnj-5</t>
  </si>
  <si>
    <t>&gt;sp|Q09449|YQ12_CAEEL Uncharacterized ATP-dependent helicase C05C10.2 OS=Caenorhabditis elegans OX=6239 GN=C05C10.2 PE=3 SV=2</t>
  </si>
  <si>
    <t>Q09449</t>
  </si>
  <si>
    <t>C05C10.2</t>
  </si>
  <si>
    <t>Uncharacterized ATP-dependent helicase C05C10.2</t>
  </si>
  <si>
    <t>&gt;sp|Q09450|SCOT_CAEEL Probable succinyl-CoA:3-ketoacid coenzyme A transferase, mitochondrial OS=Caenorhabditis elegans OX=6239 GN=C05C10.3 PE=3 SV=1</t>
  </si>
  <si>
    <t>Q09450</t>
  </si>
  <si>
    <t>C05C10.3</t>
  </si>
  <si>
    <t>Probable succinyl-CoA:3-ketoacid coenzyme A transferase, mitochondrial</t>
  </si>
  <si>
    <t>&gt;sp|Q09455|COL39_CAEEL Cuticle collagen 39 OS=Caenorhabditis elegans OX=6239 GN=col-39 PE=3 SV=1</t>
  </si>
  <si>
    <t>Q09455</t>
  </si>
  <si>
    <t>col-39</t>
  </si>
  <si>
    <t>Cuticle collagen 39</t>
  </si>
  <si>
    <t>&gt;sp|Q09462|UTP11_CAEEL Probable U3 small nucleolar RNA-associated protein 11 OS=Caenorhabditis elegans OX=6239 GN=C16C10.2 PE=3 SV=1</t>
  </si>
  <si>
    <t>Q09462</t>
  </si>
  <si>
    <t>C16C10.2</t>
  </si>
  <si>
    <t>Probable U3 small nucleolar RNA-associated protein 11</t>
  </si>
  <si>
    <t>&gt;sp|Q09464|YQ58_CAEEL Uncharacterized protein C16C10.8 OS=Caenorhabditis elegans OX=6239 GN=C16C10.8 PE=4 SV=1</t>
  </si>
  <si>
    <t>Q09464</t>
  </si>
  <si>
    <t>C16C10.8</t>
  </si>
  <si>
    <t>Uncharacterized protein C16C10.8</t>
  </si>
  <si>
    <t>&gt;sp|Q09474|T23O_CAEEL Tryptophan 2,3-dioxygenase OS=Caenorhabditis elegans OX=6239 GN=tdo-2 PE=1 SV=1</t>
  </si>
  <si>
    <t>Q09474</t>
  </si>
  <si>
    <t>tdo-2</t>
  </si>
  <si>
    <t>Tryptophan 2,3-dioxygenase</t>
  </si>
  <si>
    <t>&gt;sp|Q09475|YP93_CAEEL Uncharacterized helicase C28H8.3 OS=Caenorhabditis elegans OX=6239 GN=C28H8.3 PE=3 SV=2</t>
  </si>
  <si>
    <t>Q09475</t>
  </si>
  <si>
    <t>C28H8.3</t>
  </si>
  <si>
    <t>Uncharacterized helicase C28H8.3</t>
  </si>
  <si>
    <t>&gt;tr|Q09486|Q09486_CAEEL DeHydrogenases, Short chain OS=Caenorhabditis elegans OX=6239 GN=C30G12.2 PE=1 SV=3</t>
  </si>
  <si>
    <t>Q09486</t>
  </si>
  <si>
    <t>C30G12.2</t>
  </si>
  <si>
    <t>&gt;tr|Q09487|Q09487_CAEEL PUM-HD domain-containing protein OS=Caenorhabditis elegans OX=6239 GN=puf-8 PE=1 SV=3</t>
  </si>
  <si>
    <t>Q09487</t>
  </si>
  <si>
    <t>puf-8</t>
  </si>
  <si>
    <t>PUM-HD domain-containing protein</t>
  </si>
  <si>
    <t>&gt;tr|Q09495|Q09495_CAEEL Fibronectin type-III domain-containing protein OS=Caenorhabditis elegans OX=6239 GN=C34C12.2 PE=1 SV=1</t>
  </si>
  <si>
    <t>Q09495</t>
  </si>
  <si>
    <t>C34C12.2</t>
  </si>
  <si>
    <t>&gt;sp|Q09499|IRE1_CAEEL Serine/threonine-protein kinase/endoribonuclease ire-1 OS=Caenorhabditis elegans OX=6239 GN=ire-1 PE=1 SV=2</t>
  </si>
  <si>
    <t>Q09499</t>
  </si>
  <si>
    <t>ire-1</t>
  </si>
  <si>
    <t>Serine/threonine-protein kinase/endoribonuclease ire-1</t>
  </si>
  <si>
    <t>&gt;sp|Q09500|CTNS_CAEEL Cystinosin homolog OS=Caenorhabditis elegans OX=6239 GN=ctns-1 PE=3 SV=2</t>
  </si>
  <si>
    <t>Q09500</t>
  </si>
  <si>
    <t>ctns-1</t>
  </si>
  <si>
    <t>Cystinosin homolog</t>
  </si>
  <si>
    <t>&gt;sp|Q09501|IFP1_CAEEL Intermediate filament protein ifp-1 OS=Caenorhabditis elegans OX=6239 GN=ifp-1 PE=3 SV=1</t>
  </si>
  <si>
    <t>Q09501</t>
  </si>
  <si>
    <t>ifp-1</t>
  </si>
  <si>
    <t>Intermediate filament protein ifp-1</t>
  </si>
  <si>
    <t>&gt;sp|Q09507|YQI9_CAEEL Uncharacterized protein C45G9.9 OS=Caenorhabditis elegans OX=6239 GN=C45G9.9 PE=4 SV=1</t>
  </si>
  <si>
    <t>Q09507</t>
  </si>
  <si>
    <t>C45G9.9</t>
  </si>
  <si>
    <t>Uncharacterized protein C45G9.9</t>
  </si>
  <si>
    <t>&gt;sp|Q09508|SDHA_CAEEL Succinate dehydrogenase [ubiquinone] flavoprotein subunit, mitochondrial OS=Caenorhabditis elegans OX=6239 GN=sdha-1 PE=2 SV=3</t>
  </si>
  <si>
    <t>Q09508</t>
  </si>
  <si>
    <t>sdha-1</t>
  </si>
  <si>
    <t>&gt;sp|Q09509|FOLC_CAEEL Putative folylpolyglutamate synthase OS=Caenorhabditis elegans OX=6239 GN=F25B5.6 PE=3 SV=1</t>
  </si>
  <si>
    <t>Q09509</t>
  </si>
  <si>
    <t>F25B5.6</t>
  </si>
  <si>
    <t>Putative folylpolyglutamate synthase</t>
  </si>
  <si>
    <t>&gt;sp|Q09510|MLRH_CAEEL Myosin regulatory light chain OS=Caenorhabditis elegans OX=6239 GN=mlc-4 PE=1 SV=1</t>
  </si>
  <si>
    <t>Q09510</t>
  </si>
  <si>
    <t>mlc-4</t>
  </si>
  <si>
    <t>Myosin regulatory light chain</t>
  </si>
  <si>
    <t>&gt;sp|Q09511|RSP4_CAEEL Probable splicing factor, arginine/serine-rich 4 OS=Caenorhabditis elegans OX=6239 GN=rsp-4 PE=3 SV=1</t>
  </si>
  <si>
    <t>Q09511</t>
  </si>
  <si>
    <t>rsp-4</t>
  </si>
  <si>
    <t>Probable splicing factor, arginine/serine-rich 4</t>
  </si>
  <si>
    <t>&gt;sp|Q09512|TTL12_CAEEL Tubulin--tyrosine ligase-like protein 12 OS=Caenorhabditis elegans OX=6239 GN=ttll-12 PE=3 SV=1</t>
  </si>
  <si>
    <t>Q09512</t>
  </si>
  <si>
    <t>ttll-12</t>
  </si>
  <si>
    <t>Tubulin--tyrosine ligase-like protein 12</t>
  </si>
  <si>
    <t>&gt;sp|Q09517|LE767_CAEEL Very-long-chain 3-oxooacyl-coA reductase let-767 OS=Caenorhabditis elegans OX=6239 GN=let-767 PE=1 SV=2</t>
  </si>
  <si>
    <t>Q09517</t>
  </si>
  <si>
    <t>let-767</t>
  </si>
  <si>
    <t>Very-long-chain 3-oxooacyl-coA reductase let-767</t>
  </si>
  <si>
    <t>&gt;sp|Q09522|DIM1_CAEEL Probable dimethyladenosine transferase OS=Caenorhabditis elegans OX=6239 GN=E02H1.1 PE=3 SV=2</t>
  </si>
  <si>
    <t>Q09522</t>
  </si>
  <si>
    <t>E02H1.1</t>
  </si>
  <si>
    <t>Probable dimethyladenosine transferase</t>
  </si>
  <si>
    <t>&gt;sp|Q09523|ERAL1_CAEEL GTPase Era, mitochondrial OS=Caenorhabditis elegans OX=6239 GN=eral-1 PE=3 SV=1</t>
  </si>
  <si>
    <t>Q09523</t>
  </si>
  <si>
    <t>eral-1</t>
  </si>
  <si>
    <t>GTPase Era, mitochondrial</t>
  </si>
  <si>
    <t>&gt;sp|Q09524|TG124_CAEEL Probable tRNA pseudouridine synthase tag-124 OS=Caenorhabditis elegans OX=6239 GN=tag-124 PE=3 SV=1</t>
  </si>
  <si>
    <t>Q09524</t>
  </si>
  <si>
    <t>tag-124</t>
  </si>
  <si>
    <t>Probable tRNA pseudouridine synthase tag-124</t>
  </si>
  <si>
    <t>&gt;sp|Q09527|KAD6_CAEEL Adenylate kinase isoenzyme 6 homolog OS=Caenorhabditis elegans OX=6239 GN=E02H1.6 PE=1 SV=2</t>
  </si>
  <si>
    <t>Q09527</t>
  </si>
  <si>
    <t>E02H1.6</t>
  </si>
  <si>
    <t>Adenylate kinase isoenzyme 6 homolog</t>
  </si>
  <si>
    <t>&gt;sp|Q09529|YQO2_CAEEL Uncharacterized protein EEED8.2 OS=Caenorhabditis elegans OX=6239 GN=EEED8.2 PE=3 SV=1</t>
  </si>
  <si>
    <t>Q09529</t>
  </si>
  <si>
    <t>EEED8.2</t>
  </si>
  <si>
    <t>Uncharacterized protein EEED8.2</t>
  </si>
  <si>
    <t>&gt;sp|Q09530|MOG5_CAEEL Probable pre-mRNA-splicing factor ATP-dependent RNA helicase mog-5 OS=Caenorhabditis elegans OX=6239 GN=mog-5 PE=1 SV=1</t>
  </si>
  <si>
    <t>Q09530</t>
  </si>
  <si>
    <t>mog-5</t>
  </si>
  <si>
    <t>Probable pre-mRNA-splicing factor ATP-dependent RNA helicase mog-5</t>
  </si>
  <si>
    <t>&gt;sp|Q09531|YQP4_CAEEL Uncharacterized protein F07F6.4 OS=Caenorhabditis elegans OX=6239 GN=F07F6.4 PE=4 SV=2</t>
  </si>
  <si>
    <t>Q09531</t>
  </si>
  <si>
    <t>F07F6.4</t>
  </si>
  <si>
    <t>Uncharacterized protein F07F6.4</t>
  </si>
  <si>
    <t>&gt;sp|Q09533|RL10_CAEEL Large ribosomal subunit protein uL16 OS=Caenorhabditis elegans OX=6239 GN=rpl-10 PE=3 SV=1</t>
  </si>
  <si>
    <t>Q09533</t>
  </si>
  <si>
    <t>rpl-10</t>
  </si>
  <si>
    <t>Large ribosomal subunit protein uL16</t>
  </si>
  <si>
    <t>&gt;sp|Q09537|GRK1_CAEEL G protein-coupled receptor kinase 1 OS=Caenorhabditis elegans OX=6239 GN=grk-1 PE=3 SV=1</t>
  </si>
  <si>
    <t>Q09537</t>
  </si>
  <si>
    <t>grk-1</t>
  </si>
  <si>
    <t>G protein-coupled receptor kinase 1</t>
  </si>
  <si>
    <t>&gt;sp|Q09541|TPP2_CAEEL Tripeptidyl-peptidase 2 OS=Caenorhabditis elegans OX=6239 GN=tpp-2 PE=2 SV=1</t>
  </si>
  <si>
    <t>Q09541</t>
  </si>
  <si>
    <t>tpp-2</t>
  </si>
  <si>
    <t>Tripeptidyl-peptidase 2</t>
  </si>
  <si>
    <t>&gt;sp|Q09543|2AAA_CAEEL Probable serine/threonine-protein phosphatase PP2A regulatory subunit OS=Caenorhabditis elegans OX=6239 GN=paa-1 PE=1 SV=2</t>
  </si>
  <si>
    <t>Q09543</t>
  </si>
  <si>
    <t>paa-1</t>
  </si>
  <si>
    <t>Probable serine/threonine-protein phosphatase PP2A regulatory subunit</t>
  </si>
  <si>
    <t>&gt;sp|Q09544|ATPD_CAEEL ATP synthase subunit delta, mitochondrial OS=Caenorhabditis elegans OX=6239 GN=F58F12.1 PE=1 SV=1</t>
  </si>
  <si>
    <t>Q09544</t>
  </si>
  <si>
    <t>F58F12.1</t>
  </si>
  <si>
    <t>ATP synthase subunit delta, mitochondrial</t>
  </si>
  <si>
    <t>&gt;sp|Q09545|SDHB_CAEEL Succinate dehydrogenase [ubiquinone] iron-sulfur subunit, mitochondrial OS=Caenorhabditis elegans OX=6239 GN=sdhb-1 PE=2 SV=1</t>
  </si>
  <si>
    <t>Q09545</t>
  </si>
  <si>
    <t>sdhb-1</t>
  </si>
  <si>
    <t>Succinate dehydrogenase [ubiquinone] iron-sulfur subunit, mitochondrial</t>
  </si>
  <si>
    <t>&gt;sp|Q09568|DI3L2_CAEEL DIS3-like exonuclease 2 OS=Caenorhabditis elegans OX=6239 GN=disl-2 PE=1 SV=2</t>
  </si>
  <si>
    <t>Q09568</t>
  </si>
  <si>
    <t>disl-2</t>
  </si>
  <si>
    <t>DIS3-like exonuclease 2</t>
  </si>
  <si>
    <t>&gt;sp|Q09580|GUAA_CAEEL Probable GMP synthase [glutamine-hydrolyzing] OS=Caenorhabditis elegans OX=6239 GN=gmps-1 PE=3 SV=3</t>
  </si>
  <si>
    <t>Q09580</t>
  </si>
  <si>
    <t>gmps-1</t>
  </si>
  <si>
    <t>Probable GMP synthase [glutamine-hydrolyzing]</t>
  </si>
  <si>
    <t>&gt;sp|Q09581|LEC3_CAEEL 32 kDa beta-galactoside-binding lectin lec-3 OS=Caenorhabditis elegans OX=6239 GN=lec-3 PE=2 SV=3</t>
  </si>
  <si>
    <t>Q09581</t>
  </si>
  <si>
    <t>lec-3</t>
  </si>
  <si>
    <t>32 kDa beta-galactoside-binding lectin lec-3</t>
  </si>
  <si>
    <t>&gt;sp|Q09582|METH_CAEEL Probable methionine synthase OS=Caenorhabditis elegans OX=6239 GN=metr-1 PE=3 SV=1</t>
  </si>
  <si>
    <t>Q09582</t>
  </si>
  <si>
    <t>metr-1</t>
  </si>
  <si>
    <t>Probable methionine synthase</t>
  </si>
  <si>
    <t>&gt;tr|Q09584|Q09584_CAEEL U1 small nuclear ribonucleoprotein 70 kDa OS=Caenorhabditis elegans OX=6239 GN=rnp-7 PE=1 SV=2</t>
  </si>
  <si>
    <t>Q09584</t>
  </si>
  <si>
    <t>rnp-7</t>
  </si>
  <si>
    <t>U1 small nuclear ribonucleoprotein 70 kDa</t>
  </si>
  <si>
    <t>&gt;sp|Q09589|HIRA_CAEEL Protein HIRA OS=Caenorhabditis elegans OX=6239 GN=hira-1 PE=3 SV=2</t>
  </si>
  <si>
    <t>Q09589</t>
  </si>
  <si>
    <t>hira-1</t>
  </si>
  <si>
    <t>Protein HIRA</t>
  </si>
  <si>
    <t>&gt;tr|Q09590|Q09590_CAEEL NADPH--cytochrome P450 reductase OS=Caenorhabditis elegans OX=6239 GN=emb-8 PE=1 SV=1</t>
  </si>
  <si>
    <t>Q09590</t>
  </si>
  <si>
    <t>emb-8</t>
  </si>
  <si>
    <t>NADPH--cytochrome P450 reductase</t>
  </si>
  <si>
    <t>&gt;sp|Q09591|MIX1_CAEEL Mitotic chromosome and X-chromosome-associated protein mix-1 OS=Caenorhabditis elegans OX=6239 GN=mix-1 PE=1 SV=2</t>
  </si>
  <si>
    <t>Q09591</t>
  </si>
  <si>
    <t>mix-1</t>
  </si>
  <si>
    <t>Mitotic chromosome and X-chromosome-associated protein mix-1</t>
  </si>
  <si>
    <t>&gt;tr|Q09592|Q09592_CAEEL Regulatory protein zeste OS=Caenorhabditis elegans OX=6239 GN=CELE_M106.2 PE=1 SV=3</t>
  </si>
  <si>
    <t>Q09592</t>
  </si>
  <si>
    <t>Regulatory protein zeste</t>
  </si>
  <si>
    <t>&gt;sp|Q09599|SLBP_CAEEL Histone RNA hairpin-binding protein OS=Caenorhabditis elegans OX=6239 GN=cdl-1 PE=1 SV=1</t>
  </si>
  <si>
    <t>Q09599</t>
  </si>
  <si>
    <t>cdl-1</t>
  </si>
  <si>
    <t>Histone RNA hairpin-binding protein</t>
  </si>
  <si>
    <t>&gt;sp|Q09600|VPS11_CAEEL Vacuolar protein sorting-associated protein 11 homolog OS=Caenorhabditis elegans OX=6239 GN=vps-11 PE=3 SV=2</t>
  </si>
  <si>
    <t>Q09600</t>
  </si>
  <si>
    <t>vps-11</t>
  </si>
  <si>
    <t>Vacuolar protein sorting-associated protein 11 homolog</t>
  </si>
  <si>
    <t>&gt;sp|Q09601|NUP35_CAEEL Nucleoporin NUP35 OS=Caenorhabditis elegans OX=6239 GN=npp-19 PE=1 SV=2</t>
  </si>
  <si>
    <t>Q09601</t>
  </si>
  <si>
    <t>npp-19</t>
  </si>
  <si>
    <t>Nucleoporin NUP35</t>
  </si>
  <si>
    <t>&gt;tr|Q09603|Q09603_CAEEL ACB domain-containing protein OS=Caenorhabditis elegans OX=6239 GN=ech-4 PE=1 SV=1</t>
  </si>
  <si>
    <t>Q09603</t>
  </si>
  <si>
    <t>ech-4</t>
  </si>
  <si>
    <t>ACB domain-containing protein</t>
  </si>
  <si>
    <t>&gt;sp|Q09607|GST36_CAEEL Probable glutathione S-transferase gst-36 OS=Caenorhabditis elegans OX=6239 GN=gst-36 PE=3 SV=2</t>
  </si>
  <si>
    <t>Q09607</t>
  </si>
  <si>
    <t>gst-36</t>
  </si>
  <si>
    <t>Probable glutathione S-transferase gst-36</t>
  </si>
  <si>
    <t>&gt;sp|Q09614|PTC1_CAEEL Protein patched homolog 1 OS=Caenorhabditis elegans OX=6239 GN=ptc-1 PE=1 SV=2</t>
  </si>
  <si>
    <t>Q09614</t>
  </si>
  <si>
    <t>ptc-1</t>
  </si>
  <si>
    <t>Protein patched homolog 1</t>
  </si>
  <si>
    <t>&gt;sp|Q09622|PUF12_CAEEL Pumilio domain-containing protein 12 OS=Caenorhabditis elegans OX=6239 GN=puf-12 PE=4 SV=1</t>
  </si>
  <si>
    <t>Q09622</t>
  </si>
  <si>
    <t>puf-12</t>
  </si>
  <si>
    <t>Pumilio domain-containing protein 12</t>
  </si>
  <si>
    <t>&gt;tr|Q09643|Q09643_CAEEL Phosphatidylserine synthase OS=Caenorhabditis elegans OX=6239 GN=pssy-1 PE=1 SV=1</t>
  </si>
  <si>
    <t>Q09643</t>
  </si>
  <si>
    <t>pssy-1</t>
  </si>
  <si>
    <t>&gt;sp|Q09644|NDUF7_CAEEL Protein arginine methyltransferase NDUFAF7 homolog, mitochondrial OS=Caenorhabditis elegans OX=6239 GN=ZK1128.1 PE=3 SV=4</t>
  </si>
  <si>
    <t>Q09644</t>
  </si>
  <si>
    <t>ZK1128.1</t>
  </si>
  <si>
    <t>Protein arginine methyltransferase NDUFAF7 homolog, mitochondrial</t>
  </si>
  <si>
    <t>&gt;tr|Q09645|Q09645_CAEEL General transcription factor IIH subunit 3 OS=Caenorhabditis elegans OX=6239 GN=gtf-2h3 PE=1 SV=2</t>
  </si>
  <si>
    <t>Q09645</t>
  </si>
  <si>
    <t>gtf-2h3</t>
  </si>
  <si>
    <t>General transcription factor IIH subunit 3</t>
  </si>
  <si>
    <t>&gt;sp|Q09646|SWIC1_CAEEL SWI/SNF chromatin-remodeling accessory subunit 1 OS=Caenorhabditis elegans OX=6239 GN=ham-3 PE=1 SV=1</t>
  </si>
  <si>
    <t>Q09646</t>
  </si>
  <si>
    <t>ham-3</t>
  </si>
  <si>
    <t>SWI/SNF chromatin-remodeling accessory subunit 1</t>
  </si>
  <si>
    <t>&gt;sp|Q09651|CC130_CAEEL Coiled-coil domain-containing protein 130 homolog OS=Caenorhabditis elegans OX=6239 GN=ZK1307.9 PE=1 SV=1</t>
  </si>
  <si>
    <t>Q09651</t>
  </si>
  <si>
    <t>ZK1307.9</t>
  </si>
  <si>
    <t>Coiled-coil domain-containing protein 130 homolog</t>
  </si>
  <si>
    <t>&gt;tr|Q09657|Q09657_CAEEL Acetyl-CoA hydrolase OS=Caenorhabditis elegans OX=6239 GN=CELE_ZK1320.9 PE=1 SV=1</t>
  </si>
  <si>
    <t>Q09657</t>
  </si>
  <si>
    <t>Acetyl-CoA hydrolase</t>
  </si>
  <si>
    <t>&gt;sp|Q09660|CC44_CAEEL Probable cytochrome P450 CYP44 OS=Caenorhabditis elegans OX=6239 GN=cyp-44A1 PE=3 SV=2</t>
  </si>
  <si>
    <t>Q09660</t>
  </si>
  <si>
    <t>cyp-44A1</t>
  </si>
  <si>
    <t>Probable cytochrome P450 CYP44</t>
  </si>
  <si>
    <t>&gt;sp|Q09931|UBPY_CAEEL Probable ubiquitin carboxyl-terminal hydrolase K02C4.3 OS=Caenorhabditis elegans OX=6239 GN=K02C4.3 PE=3 SV=3</t>
  </si>
  <si>
    <t>Q09931</t>
  </si>
  <si>
    <t>K02C4.3</t>
  </si>
  <si>
    <t>Probable ubiquitin carboxyl-terminal hydrolase K02C4.3</t>
  </si>
  <si>
    <t>&gt;sp|Q09936|YSE2_CAEEL Uncharacterized protein C53C9.2 OS=Caenorhabditis elegans OX=6239 GN=C53C9.2 PE=3 SV=2</t>
  </si>
  <si>
    <t>Q09936</t>
  </si>
  <si>
    <t>C53C9.2</t>
  </si>
  <si>
    <t>Uncharacterized protein C53C9.2</t>
  </si>
  <si>
    <t>&gt;tr|Q09972|Q09972_CAEEL Sidoreflexin OS=Caenorhabditis elegans OX=6239 GN=sfxn-2 PE=1 SV=3</t>
  </si>
  <si>
    <t>Q09972</t>
  </si>
  <si>
    <t>sfxn-2</t>
  </si>
  <si>
    <t>Sidoreflexin</t>
  </si>
  <si>
    <t>&gt;tr|Q09973|Q09973_CAEEL uS12 prolyl 3-hydroxylase OS=Caenorhabditis elegans OX=6239 GN=C17G10.1 PE=1 SV=1</t>
  </si>
  <si>
    <t>Q09973</t>
  </si>
  <si>
    <t>C17G10.1</t>
  </si>
  <si>
    <t>uS12 prolyl 3-hydroxylase</t>
  </si>
  <si>
    <t>&gt;tr|Q09975|Q09975_CAEEL LYSozyme OS=Caenorhabditis elegans OX=6239 GN=lys-8 PE=1 SV=2</t>
  </si>
  <si>
    <t>Q09975</t>
  </si>
  <si>
    <t>lys-8</t>
  </si>
  <si>
    <t>LYSozyme</t>
  </si>
  <si>
    <t>&gt;tr|Q09979|Q09979_CAEEL Hydroxysteroid dehydrogenase-like protein 2 OS=Caenorhabditis elegans OX=6239 GN=dhs-6 PE=1 SV=3</t>
  </si>
  <si>
    <t>Q09979</t>
  </si>
  <si>
    <t>dhs-6</t>
  </si>
  <si>
    <t>Hydroxysteroid dehydrogenase-like protein 2</t>
  </si>
  <si>
    <t>&gt;sp|Q09990|LIN23_CAEEL F-box/WD repeat-containing protein lin-23 OS=Caenorhabditis elegans OX=6239 GN=lin-23 PE=1 SV=2</t>
  </si>
  <si>
    <t>Q09990</t>
  </si>
  <si>
    <t>lin-23</t>
  </si>
  <si>
    <t>F-box/WD repeat-containing protein lin-23</t>
  </si>
  <si>
    <t>&gt;sp|Q09994|ANI2_CAEEL Anillin-like protein 2 OS=Caenorhabditis elegans OX=6239 GN=ani-2 PE=2 SV=1</t>
  </si>
  <si>
    <t>Q09994</t>
  </si>
  <si>
    <t>ani-2</t>
  </si>
  <si>
    <t>Anillin-like protein 2</t>
  </si>
  <si>
    <t>&gt;sp|Q09996|SYLC_CAEEL Leucine--tRNA ligase OS=Caenorhabditis elegans OX=6239 GN=lars-1 PE=3 SV=2</t>
  </si>
  <si>
    <t>Q09996</t>
  </si>
  <si>
    <t>lars-1</t>
  </si>
  <si>
    <t>Leucine--tRNA ligase</t>
  </si>
  <si>
    <t>&gt;tr|Q09EE6|Q09EE6_CAEEL Uncharacterized protein OS=Caenorhabditis elegans OX=6239 GN=CELE_K07A1.17 PE=1 SV=1</t>
  </si>
  <si>
    <t>Q09EE6</t>
  </si>
  <si>
    <t>&gt;sp|Q09EF7|CROCC_CAEEL Rootletin OS=Caenorhabditis elegans OX=6239 GN=che-10 PE=2 SV=2</t>
  </si>
  <si>
    <t>Q09EF7</t>
  </si>
  <si>
    <t>che-10</t>
  </si>
  <si>
    <t>Rootletin</t>
  </si>
  <si>
    <t>&gt;sp|Q0G819|PP2B_CAEEL Serine/threonine-protein phosphatase 2B catalytic subunit OS=Caenorhabditis elegans OX=6239 GN=tax-6 PE=1 SV=2</t>
  </si>
  <si>
    <t>Q0G819</t>
  </si>
  <si>
    <t>tax-6</t>
  </si>
  <si>
    <t>Serine/threonine-protein phosphatase 2B catalytic subunit</t>
  </si>
  <si>
    <t>&gt;tr|Q0G828|Q0G828_CAEEL NADAR domain-containing protein OS=Caenorhabditis elegans OX=6239 GN=CELE_F40F8.11 PE=1 SV=1</t>
  </si>
  <si>
    <t>Q0G828</t>
  </si>
  <si>
    <t>&gt;tr|Q0G840|Q0G840_CAEEL Prostaglandin reductase 2 OS=Caenorhabditis elegans OX=6239 GN=CELE_M106.3 PE=1 SV=1</t>
  </si>
  <si>
    <t>Q0G840</t>
  </si>
  <si>
    <t>Prostaglandin reductase 2</t>
  </si>
  <si>
    <t>&gt;tr|Q0KHC1|Q0KHC1_CAEEL Uncharacterized protein OS=Caenorhabditis elegans OX=6239 GN=CELE_Y49A10A.2 PE=1 SV=1</t>
  </si>
  <si>
    <t>Q0KHC1</t>
  </si>
  <si>
    <t>&gt;sp|Q10000|TM144_CAEEL Transmembrane protein 144 homolog OS=Caenorhabditis elegans OX=6239 GN=R144.6 PE=3 SV=3</t>
  </si>
  <si>
    <t>Q10000</t>
  </si>
  <si>
    <t>R144.6</t>
  </si>
  <si>
    <t>&gt;sp|Q10010|YSV4_CAEEL Uncharacterized protein T19C3.4 OS=Caenorhabditis elegans OX=6239 GN=T19C3.4 PE=3 SV=1</t>
  </si>
  <si>
    <t>Q10010</t>
  </si>
  <si>
    <t>T19C3.4</t>
  </si>
  <si>
    <t>Uncharacterized protein T19C3.4</t>
  </si>
  <si>
    <t>&gt;sp|Q10013|SMD1_CAEEL Probable small nuclear ribonucleoprotein Sm D1 OS=Caenorhabditis elegans OX=6239 GN=snr-3 PE=3 SV=1</t>
  </si>
  <si>
    <t>Q10013</t>
  </si>
  <si>
    <t>snr-3</t>
  </si>
  <si>
    <t>Probable small nuclear ribonucleoprotein Sm D1</t>
  </si>
  <si>
    <t>&gt;sp|Q10021|RSP5_CAEEL Probable splicing factor, arginine/serine-rich 5 OS=Caenorhabditis elegans OX=6239 GN=rsp-5 PE=3 SV=3</t>
  </si>
  <si>
    <t>Q10021</t>
  </si>
  <si>
    <t>rsp-5</t>
  </si>
  <si>
    <t>Probable splicing factor, arginine/serine-rich 5</t>
  </si>
  <si>
    <t>&gt;sp|Q10038|VHP1_CAEEL Tyrosine-protein phosphatase vhp-1 OS=Caenorhabditis elegans OX=6239 GN=vhp-1 PE=1 SV=2</t>
  </si>
  <si>
    <t>Q10038</t>
  </si>
  <si>
    <t>vhp-1</t>
  </si>
  <si>
    <t>Tyrosine-protein phosphatase vhp-1</t>
  </si>
  <si>
    <t>&gt;sp|Q10039|GARS_CAEEL Glycine--tRNA ligase OS=Caenorhabditis elegans OX=6239 GN=gars-1 PE=1 SV=2</t>
  </si>
  <si>
    <t>Q10039</t>
  </si>
  <si>
    <t>gars-1</t>
  </si>
  <si>
    <t>Glycine--tRNA ligase</t>
  </si>
  <si>
    <t>&gt;sp|Q10045|UNC50_CAEEL Protein unc-50 OS=Caenorhabditis elegans OX=6239 GN=unc-50 PE=2 SV=2</t>
  </si>
  <si>
    <t>Q10045</t>
  </si>
  <si>
    <t>unc-50</t>
  </si>
  <si>
    <t>Protein unc-50</t>
  </si>
  <si>
    <t>&gt;tr|Q10050|Q10050_CAEEL Mitochondrial ornithine transporter 1 OS=Caenorhabditis elegans OX=6239 GN=CELE_T10F2.2 PE=1 SV=1</t>
  </si>
  <si>
    <t>Q10050</t>
  </si>
  <si>
    <t>Mitochondrial ornithine transporter 1</t>
  </si>
  <si>
    <t>&gt;sp|Q10121|YSD2_CAEEL RutC family protein C23G10.2 OS=Caenorhabditis elegans OX=6239 GN=C23G10.2 PE=3 SV=3</t>
  </si>
  <si>
    <t>Q10121</t>
  </si>
  <si>
    <t>C23G10.2</t>
  </si>
  <si>
    <t>RutC family protein C23G10.2</t>
  </si>
  <si>
    <t>&gt;sp|Q10123|YSM3_CAEEL Uncharacterized protein F52C9.3 OS=Caenorhabditis elegans OX=6239 GN=F52C9.3 PE=4 SV=2</t>
  </si>
  <si>
    <t>Q10123</t>
  </si>
  <si>
    <t>F52C9.3</t>
  </si>
  <si>
    <t>Uncharacterized protein F52C9.3</t>
  </si>
  <si>
    <t>&gt;sp|Q10124|PQE1_CAEEL Putative RNA exonuclease pqe-1 OS=Caenorhabditis elegans OX=6239 GN=pqe-1 PE=2 SV=2</t>
  </si>
  <si>
    <t>Q10124</t>
  </si>
  <si>
    <t>pqe-1</t>
  </si>
  <si>
    <t>Putative RNA exonuclease pqe-1</t>
  </si>
  <si>
    <t>&gt;sp|Q10129|RT16_CAEEL Small ribosomal subunit protein bS16m OS=Caenorhabditis elegans OX=6239 GN=mrps-16 PE=3 SV=2</t>
  </si>
  <si>
    <t>Q10129</t>
  </si>
  <si>
    <t>mrps-16</t>
  </si>
  <si>
    <t>Small ribosomal subunit protein bS16m</t>
  </si>
  <si>
    <t>&gt;sp|Q10130|DHS5_CAEEL Uncharacterized oxidoreductase dhs-5 OS=Caenorhabditis elegans OX=6239 GN=dhs-5 PE=3 SV=2</t>
  </si>
  <si>
    <t>Q10130</t>
  </si>
  <si>
    <t>dhs-5</t>
  </si>
  <si>
    <t>Uncharacterized oxidoreductase dhs-5</t>
  </si>
  <si>
    <t>&gt;sp|Q10454|KARG1_CAEEL Probable arginine kinase F46H5.3 OS=Caenorhabditis elegans OX=6239 GN=F46H5.3 PE=3 SV=2</t>
  </si>
  <si>
    <t>Q10454</t>
  </si>
  <si>
    <t>F46H5.3</t>
  </si>
  <si>
    <t>Probable arginine kinase F46H5.3</t>
  </si>
  <si>
    <t>&gt;sp|Q10457|PUR6_CAEEL Probable multifunctional protein ADE2 OS=Caenorhabditis elegans OX=6239 GN=pacs-1 PE=1 SV=1</t>
  </si>
  <si>
    <t>Q10457</t>
  </si>
  <si>
    <t>pacs-1</t>
  </si>
  <si>
    <t>Probable multifunctional protein ADE2</t>
  </si>
  <si>
    <t>&gt;sp|Q10576|P4HA1_CAEEL Prolyl 4-hydroxylase subunit alpha-1 OS=Caenorhabditis elegans OX=6239 GN=dpy-18 PE=1 SV=2</t>
  </si>
  <si>
    <t>Q10576</t>
  </si>
  <si>
    <t>dpy-18</t>
  </si>
  <si>
    <t>Prolyl 4-hydroxylase subunit alpha-1</t>
  </si>
  <si>
    <t>&gt;sp|Q10578|RPB2_CAEEL DNA-directed RNA polymerase II subunit RPB2 OS=Caenorhabditis elegans OX=6239 GN=rpb-2 PE=2 SV=2</t>
  </si>
  <si>
    <t>Q10578</t>
  </si>
  <si>
    <t>rpb-2</t>
  </si>
  <si>
    <t>DNA-directed RNA polymerase II subunit RPB2</t>
  </si>
  <si>
    <t>&gt;sp|Q10653|CCNB1_CAEEL G2/mitotic-specific cyclin-B1 OS=Caenorhabditis elegans OX=6239 GN=cyb-1 PE=1 SV=1</t>
  </si>
  <si>
    <t>Q10653</t>
  </si>
  <si>
    <t>cyb-1</t>
  </si>
  <si>
    <t>G2/mitotic-specific cyclin-B1</t>
  </si>
  <si>
    <t>&gt;sp|Q10656|EGL15_CAEEL Myoblast growth factor receptor egl-15 OS=Caenorhabditis elegans OX=6239 GN=egl-15 PE=1 SV=1</t>
  </si>
  <si>
    <t>Q10656</t>
  </si>
  <si>
    <t>egl-15</t>
  </si>
  <si>
    <t>Myoblast growth factor receptor egl-15</t>
  </si>
  <si>
    <t>&gt;sp|Q10657|TPIS_CAEEL Triosephosphate isomerase OS=Caenorhabditis elegans OX=6239 GN=tpi-1 PE=1 SV=2</t>
  </si>
  <si>
    <t>Q10657</t>
  </si>
  <si>
    <t>tpi-1</t>
  </si>
  <si>
    <t>Triosephosphate isomerase</t>
  </si>
  <si>
    <t>&gt;sp|Q10663|GCP_CAEEL Bifunctional glyoxylate cycle protein OS=Caenorhabditis elegans OX=6239 GN=icl-1 PE=1 SV=2</t>
  </si>
  <si>
    <t>Q10663</t>
  </si>
  <si>
    <t>icl-1</t>
  </si>
  <si>
    <t>Bifunctional glyoxylate cycle protein</t>
  </si>
  <si>
    <t>&gt;sp|Q10664|MEK2_CAEEL Dual specificity mitogen-activated protein kinase kinase mek-2 OS=Caenorhabditis elegans OX=6239 GN=mek-2 PE=1 SV=1</t>
  </si>
  <si>
    <t>Q10664</t>
  </si>
  <si>
    <t>mek-2</t>
  </si>
  <si>
    <t>Dual specificity mitogen-activated protein kinase kinase mek-2</t>
  </si>
  <si>
    <t>&gt;sp|Q10665|MES3_CAEEL Polycomb protein mes-3 OS=Caenorhabditis elegans OX=6239 GN=mes-3 PE=1 SV=2</t>
  </si>
  <si>
    <t>Q10665</t>
  </si>
  <si>
    <t>mes-3</t>
  </si>
  <si>
    <t>Polycomb protein mes-3</t>
  </si>
  <si>
    <t>&gt;sp|Q10667|RNP1_CAEEL RNA-binding protein rnp-1 OS=Caenorhabditis elegans OX=6239 GN=rnp-1 PE=2 SV=1</t>
  </si>
  <si>
    <t>Q10667</t>
  </si>
  <si>
    <t>rnp-1</t>
  </si>
  <si>
    <t>RNA-binding protein rnp-1</t>
  </si>
  <si>
    <t>&gt;sp|Q10669|MED23_CAEEL Mediator of RNA polymerase II transcription subunit 23 OS=Caenorhabditis elegans OX=6239 GN=sur-2 PE=1 SV=1</t>
  </si>
  <si>
    <t>Q10669</t>
  </si>
  <si>
    <t>sur-2</t>
  </si>
  <si>
    <t>Mediator of RNA polymerase II transcription subunit 23</t>
  </si>
  <si>
    <t>&gt;sp|Q10901|EAA1_CAEEL Excitatory amino acid transporter OS=Caenorhabditis elegans OX=6239 GN=glt-1 PE=1 SV=2</t>
  </si>
  <si>
    <t>Q10901</t>
  </si>
  <si>
    <t>glt-1</t>
  </si>
  <si>
    <t>Excitatory amino acid transporter</t>
  </si>
  <si>
    <t>&gt;sp|Q10918|YT15_CAEEL Uncharacterized protein B0252.5 OS=Caenorhabditis elegans OX=6239 GN=B0252.5 PE=4 SV=2</t>
  </si>
  <si>
    <t>Q10918</t>
  </si>
  <si>
    <t>B0252.5</t>
  </si>
  <si>
    <t>Uncharacterized protein B0252.5</t>
  </si>
  <si>
    <t>&gt;sp|Q10925|SID3_CAEEL Tyrosine-protein kinase sid-3 OS=Caenorhabditis elegans OX=6239 GN=sid-3 PE=1 SV=2</t>
  </si>
  <si>
    <t>Q10925</t>
  </si>
  <si>
    <t>sid-3</t>
  </si>
  <si>
    <t>Tyrosine-protein kinase sid-3</t>
  </si>
  <si>
    <t>&gt;sp|Q10941|UGT46_CAEEL Putative UDP-glucuronosyltransferase ugt-46 OS=Caenorhabditis elegans OX=6239 GN=ugt-46 PE=1 SV=1</t>
  </si>
  <si>
    <t>Q10941</t>
  </si>
  <si>
    <t>ugt-46</t>
  </si>
  <si>
    <t>Putative UDP-glucuronosyltransferase ugt-46</t>
  </si>
  <si>
    <t>&gt;sp|Q10943|ARF12_CAEEL ADP-ribosylation factor 1-like 2 OS=Caenorhabditis elegans OX=6239 GN=arf-1.2 PE=2 SV=2</t>
  </si>
  <si>
    <t>Q10943</t>
  </si>
  <si>
    <t>arf-1.2</t>
  </si>
  <si>
    <t>ADP-ribosylation factor 1-like 2</t>
  </si>
  <si>
    <t>&gt;sp|Q10950|YMP6_CAEEL Putative methyltransferase B0361.6 OS=Caenorhabditis elegans OX=6239 GN=B0361.6 PE=3 SV=1</t>
  </si>
  <si>
    <t>Q10950</t>
  </si>
  <si>
    <t>B0361.6</t>
  </si>
  <si>
    <t>Putative methyltransferase B0361.6</t>
  </si>
  <si>
    <t>&gt;sp|Q10953|WRM1_CAEEL Armadillo repeat-containing protein wrm-1 OS=Caenorhabditis elegans OX=6239 GN=wrm-1 PE=1 SV=2</t>
  </si>
  <si>
    <t>Q10953</t>
  </si>
  <si>
    <t>wrm-1</t>
  </si>
  <si>
    <t>Armadillo repeat-containing protein wrm-1</t>
  </si>
  <si>
    <t>&gt;sp|Q11067|PDIA6_CAEEL Protein disulfide-isomerase A6 homolog OS=Caenorhabditis elegans OX=6239 GN=pdi-6 PE=3 SV=1</t>
  </si>
  <si>
    <t>Q11067</t>
  </si>
  <si>
    <t>pdi-6</t>
  </si>
  <si>
    <t>Protein disulfide-isomerase A6 homolog</t>
  </si>
  <si>
    <t>&gt;sp|Q11068|MGAT1_CAEEL Putative alpha-1,3-mannosyl-glycoprotein 2-beta-N-acetylglucosaminyltransferase OS=Caenorhabditis elegans OX=6239 GN=gly-13 PE=2 SV=2</t>
  </si>
  <si>
    <t>Q11068</t>
  </si>
  <si>
    <t>gly-13</t>
  </si>
  <si>
    <t>Putative alpha-1,3-mannosyl-glycoprotein 2-beta-N-acetylglucosaminyltransferase</t>
  </si>
  <si>
    <t>&gt;sp|Q11073|YT45_CAEEL Uncharacterized protein B0416.5 OS=Caenorhabditis elegans OX=6239 GN=B0416.5 PE=4 SV=1</t>
  </si>
  <si>
    <t>Q11073</t>
  </si>
  <si>
    <t>B0416.5</t>
  </si>
  <si>
    <t>Uncharacterized protein B0416.5</t>
  </si>
  <si>
    <t>&gt;sp|Q11107|LIN13_CAEEL Zinc finger protein lin-13 OS=Caenorhabditis elegans OX=6239 GN=lin-13 PE=1 SV=2</t>
  </si>
  <si>
    <t>Q11107</t>
  </si>
  <si>
    <t>lin-13</t>
  </si>
  <si>
    <t>Zinc finger protein lin-13</t>
  </si>
  <si>
    <t>&gt;sp|Q11114|YX07_CAEEL Uncharacterized protein C03B1.7 OS=Caenorhabditis elegans OX=6239 GN=C03B1.7 PE=4 SV=2</t>
  </si>
  <si>
    <t>Q11114</t>
  </si>
  <si>
    <t>C03B1.7</t>
  </si>
  <si>
    <t>Uncharacterized protein C03B1.7</t>
  </si>
  <si>
    <t>&gt;sp|Q11177|DHS27_CAEEL Uncharacterized oxidoreductase dhs-27 OS=Caenorhabditis elegans OX=6239 GN=dhs-27 PE=3 SV=2</t>
  </si>
  <si>
    <t>Q11177</t>
  </si>
  <si>
    <t>dhs-27</t>
  </si>
  <si>
    <t>Uncharacterized oxidoreductase dhs-27</t>
  </si>
  <si>
    <t>&gt;sp|Q11182|VPS16_CAEEL Vacuolar protein sorting-associated protein 16 homolog OS=Caenorhabditis elegans OX=6239 GN=vps-16 PE=3 SV=2</t>
  </si>
  <si>
    <t>Q11182</t>
  </si>
  <si>
    <t>vps-16</t>
  </si>
  <si>
    <t>Vacuolar protein sorting-associated protein 16 homolog</t>
  </si>
  <si>
    <t>&gt;sp|Q11183|TXND9_CAEEL Thioredoxin domain-containing protein 9 OS=Caenorhabditis elegans OX=6239 GN=txdc-9 PE=2 SV=1</t>
  </si>
  <si>
    <t>Q11183</t>
  </si>
  <si>
    <t>txdc-9</t>
  </si>
  <si>
    <t>Thioredoxin domain-containing protein 9</t>
  </si>
  <si>
    <t>&gt;sp|Q11188|POPL1_CAEEL Ribonucleases P/MRP protein subunit popl-1 OS=Caenorhabditis elegans OX=6239 GN=popl-1 PE=3 SV=2</t>
  </si>
  <si>
    <t>Q11188</t>
  </si>
  <si>
    <t>popl-1</t>
  </si>
  <si>
    <t>Ribonucleases P/MRP protein subunit popl-1</t>
  </si>
  <si>
    <t>&gt;sp|Q11189|RT17_CAEEL Small ribosomal subunit protein uS17m OS=Caenorhabditis elegans OX=6239 GN=mrps-17 PE=3 SV=2</t>
  </si>
  <si>
    <t>Q11189</t>
  </si>
  <si>
    <t>mrps-17</t>
  </si>
  <si>
    <t>Small ribosomal subunit protein uS17m</t>
  </si>
  <si>
    <t>&gt;sp|Q11190|ETFD_CAEEL Electron transfer flavoprotein-ubiquinone oxidoreductase, mitochondrial OS=Caenorhabditis elegans OX=6239 GN=let-721 PE=3 SV=2</t>
  </si>
  <si>
    <t>Q11190</t>
  </si>
  <si>
    <t>let-721</t>
  </si>
  <si>
    <t>Electron transfer flavoprotein-ubiquinone oxidoreductase, mitochondrial</t>
  </si>
  <si>
    <t>&gt;sp|Q11193|SOR3_CAEEL Sop-2-related protein 3 OS=Caenorhabditis elegans OX=6239 GN=sor-3 PE=2 SV=3</t>
  </si>
  <si>
    <t>Q11193</t>
  </si>
  <si>
    <t>sor-3</t>
  </si>
  <si>
    <t>Sop-2-related protein 3</t>
  </si>
  <si>
    <t>&gt;sp|Q17334|ADH1_CAEEL Alcohol dehydrogenase 1 OS=Caenorhabditis elegans OX=6239 GN=sodh-1 PE=2 SV=2</t>
  </si>
  <si>
    <t>Q17334</t>
  </si>
  <si>
    <t>sodh-1</t>
  </si>
  <si>
    <t>Alcohol dehydrogenase 1</t>
  </si>
  <si>
    <t>&gt;sp|Q17335|ADHX_CAEEL Alcohol dehydrogenase class-3 OS=Caenorhabditis elegans OX=6239 GN=H24K24.3 PE=1 SV=1</t>
  </si>
  <si>
    <t>Q17335</t>
  </si>
  <si>
    <t>H24K24.3</t>
  </si>
  <si>
    <t>Alcohol dehydrogenase class-3</t>
  </si>
  <si>
    <t>&gt;sp|Q17336|CWC22_CAEEL Pre-mRNA-splicing factor CWC22 homolog OS=Caenorhabditis elegans OX=6239 GN=let-858 PE=2 SV=1</t>
  </si>
  <si>
    <t>Q17336</t>
  </si>
  <si>
    <t>let-858</t>
  </si>
  <si>
    <t>Pre-mRNA-splicing factor CWC22 homolog</t>
  </si>
  <si>
    <t>&gt;sp|Q17339|GLD1_CAEEL Female germline-specific tumor suppressor gld-1 OS=Caenorhabditis elegans OX=6239 GN=gld-1 PE=1 SV=1</t>
  </si>
  <si>
    <t>Q17339</t>
  </si>
  <si>
    <t>gld-1</t>
  </si>
  <si>
    <t>Female germline-specific tumor suppressor gld-1</t>
  </si>
  <si>
    <t>&gt;sp|Q17345|CNOT7_CAEEL CCR4-NOT transcription complex subunit 7 OS=Caenorhabditis elegans OX=6239 GN=ccf-1 PE=1 SV=1</t>
  </si>
  <si>
    <t>Q17345</t>
  </si>
  <si>
    <t>ccf-1</t>
  </si>
  <si>
    <t>CCR4-NOT transcription complex subunit 7</t>
  </si>
  <si>
    <t>&gt;sp|Q17348|SMD3_CAEEL Small nuclear ribonucleoprotein Sm D3 OS=Caenorhabditis elegans OX=6239 GN=snr-1 PE=2 SV=2</t>
  </si>
  <si>
    <t>Q17348</t>
  </si>
  <si>
    <t>snr-1</t>
  </si>
  <si>
    <t>Small nuclear ribonucleoprotein Sm D3</t>
  </si>
  <si>
    <t>&gt;sp|Q17353|PAR3_CAEEL Partitioning defective protein 3 OS=Caenorhabditis elegans OX=6239 GN=par-3 PE=1 SV=1</t>
  </si>
  <si>
    <t>Q17353</t>
  </si>
  <si>
    <t>par-3</t>
  </si>
  <si>
    <t>Partitioning defective protein 3</t>
  </si>
  <si>
    <t>&gt;sp|Q17361|UBP14_CAEEL Ubiquitin carboxyl-terminal hydrolase 14 OS=Caenorhabditis elegans OX=6239 GN=usp-14 PE=2 SV=2</t>
  </si>
  <si>
    <t>Q17361</t>
  </si>
  <si>
    <t>usp-14</t>
  </si>
  <si>
    <t>Ubiquitin carboxyl-terminal hydrolase 14</t>
  </si>
  <si>
    <t>&gt;sp|Q17389|CUL1_CAEEL Cullin-1 OS=Caenorhabditis elegans OX=6239 GN=cul-1 PE=1 SV=1</t>
  </si>
  <si>
    <t>Q17389</t>
  </si>
  <si>
    <t>cul-1</t>
  </si>
  <si>
    <t>Cullin-1</t>
  </si>
  <si>
    <t>&gt;sp|Q17390|CUL2_CAEEL Cullin-2 OS=Caenorhabditis elegans OX=6239 GN=cul-2 PE=1 SV=4</t>
  </si>
  <si>
    <t>Q17390</t>
  </si>
  <si>
    <t>cul-2</t>
  </si>
  <si>
    <t>Cullin-2</t>
  </si>
  <si>
    <t>&gt;sp|Q17391|CUL3_CAEEL Cullin-3 OS=Caenorhabditis elegans OX=6239 GN=cul-3 PE=1 SV=2</t>
  </si>
  <si>
    <t>Q17391</t>
  </si>
  <si>
    <t>cul-3</t>
  </si>
  <si>
    <t>Cullin-3</t>
  </si>
  <si>
    <t>&gt;tr|Q17410|Q17410_CAEEL CABIT domain-containing protein OS=Caenorhabditis elegans OX=6239 GN=lin-24 PE=1 SV=2</t>
  </si>
  <si>
    <t>Q17410</t>
  </si>
  <si>
    <t>lin-24</t>
  </si>
  <si>
    <t>CABIT domain-containing protein</t>
  </si>
  <si>
    <t>&gt;tr|Q17411|Q17411_CAEEL Uncharacterized protein OS=Caenorhabditis elegans OX=6239 GN=B0001.2 PE=1 SV=2</t>
  </si>
  <si>
    <t>Q17411</t>
  </si>
  <si>
    <t>B0001.2</t>
  </si>
  <si>
    <t>&gt;tr|Q17414|Q17414_CAEEL MABP domain-containing protein OS=Caenorhabditis elegans OX=6239 GN=B0001.5 PE=1 SV=2</t>
  </si>
  <si>
    <t>Q17414</t>
  </si>
  <si>
    <t>B0001.5</t>
  </si>
  <si>
    <t>MABP domain-containing protein</t>
  </si>
  <si>
    <t>&gt;tr|Q17415|Q17415_CAEEL Enhanced RNAI (RNA interference) OS=Caenorhabditis elegans OX=6239 GN=eri-12 PE=1 SV=2</t>
  </si>
  <si>
    <t>Q17415</t>
  </si>
  <si>
    <t>eri-12</t>
  </si>
  <si>
    <t>&gt;tr|Q17425|Q17425_CAEEL TUG ubiquitin-like domain-containing protein OS=Caenorhabditis elegans OX=6239 GN=asps-1 PE=1 SV=2</t>
  </si>
  <si>
    <t>Q17425</t>
  </si>
  <si>
    <t>asps-1</t>
  </si>
  <si>
    <t>TUG ubiquitin-like domain-containing protein</t>
  </si>
  <si>
    <t>&gt;sp|Q17426|YQ4B_CAEEL Putative pseudouridine synthase B0024.11 OS=Caenorhabditis elegans OX=6239 GN=B0024.11 PE=3 SV=1</t>
  </si>
  <si>
    <t>Q17426</t>
  </si>
  <si>
    <t>B0024.11</t>
  </si>
  <si>
    <t>Putative pseudouridine synthase B0024.11</t>
  </si>
  <si>
    <t>&gt;sp|Q17428|PORED_CAEEL Polyprenol reductase OS=Caenorhabditis elegans OX=6239 GN=B0024.13 PE=3 SV=2</t>
  </si>
  <si>
    <t>Q17428</t>
  </si>
  <si>
    <t>B0024.13</t>
  </si>
  <si>
    <t>Polyprenol reductase</t>
  </si>
  <si>
    <t>&gt;sp|Q17430|SART3_CAEEL Nuclear RNA-binding protein sart-3 OS=Caenorhabditis elegans OX=6239 GN=sart-3 PE=1 SV=1</t>
  </si>
  <si>
    <t>Q17430</t>
  </si>
  <si>
    <t>sart-3</t>
  </si>
  <si>
    <t>Nuclear RNA-binding protein sart-3</t>
  </si>
  <si>
    <t>&gt;sp|Q17431|LEO1_CAEEL RNA polymerase-associated protein LEO1 OS=Caenorhabditis elegans OX=6239 GN=leo-1 PE=2 SV=1</t>
  </si>
  <si>
    <t>Q17431</t>
  </si>
  <si>
    <t>leo-1</t>
  </si>
  <si>
    <t>RNA polymerase-associated protein LEO1</t>
  </si>
  <si>
    <t>&gt;tr|Q17432|Q17432_CAEEL Macro domain-containing protein OS=Caenorhabditis elegans OX=6239 GN=B0035.3 PE=1 SV=1</t>
  </si>
  <si>
    <t>Q17432</t>
  </si>
  <si>
    <t>B0035.3</t>
  </si>
  <si>
    <t>Macro domain-containing protein</t>
  </si>
  <si>
    <t>&gt;sp|Q17438|DNJ1_CAEEL DnaJ homolog subfamily B member 1 OS=Caenorhabditis elegans OX=6239 GN=dnj-1 PE=1 SV=1</t>
  </si>
  <si>
    <t>Q17438</t>
  </si>
  <si>
    <t>dnj-1</t>
  </si>
  <si>
    <t>DnaJ homolog subfamily B member 1</t>
  </si>
  <si>
    <t>&gt;sp|Q17440|MTU1_CAEEL Probable mitochondrial tRNA-specific 2-thiouridylase 1 OS=Caenorhabditis elegans OX=6239 GN=mttu-1 PE=3 SV=2</t>
  </si>
  <si>
    <t>Q17440</t>
  </si>
  <si>
    <t>mttu-1</t>
  </si>
  <si>
    <t>Probable mitochondrial tRNA-specific 2-thiouridylase 1</t>
  </si>
  <si>
    <t>&gt;sp|Q17446|PMK1_CAEEL Mitogen-activated protein kinase pmk-1 OS=Caenorhabditis elegans OX=6239 GN=pmk-1 PE=1 SV=1</t>
  </si>
  <si>
    <t>Q17446</t>
  </si>
  <si>
    <t>pmk-1</t>
  </si>
  <si>
    <t>Mitogen-activated protein kinase pmk-1</t>
  </si>
  <si>
    <t>&gt;sp|Q17449|FAAH1_CAEEL Fatty acid amide hydrolase 1 OS=Caenorhabditis elegans OX=6239 GN=faah-1 PE=1 SV=1</t>
  </si>
  <si>
    <t>Q17449</t>
  </si>
  <si>
    <t>faah-1</t>
  </si>
  <si>
    <t>Fatty acid amide hydrolase 1</t>
  </si>
  <si>
    <t>&gt;tr|Q17458|Q17458_CAEEL Nematode cuticle collagen N-terminal domain-containing protein OS=Caenorhabditis elegans OX=6239 GN=col-144 PE=4 SV=3;&gt;sp|Q17460|COL10_CAEEL Cuticle collagen 10 OS=Caenorhabditis elegans OX=6239 GN=col-10 PE=2 SV=1;&gt;tr|Q19528|Q19528_CAEEL Nematode cuticle collagen N-terminal domain-containing protein OS=Caenorhabditis elegans OX=6239 GN=col-89 PE=4 SV=1</t>
  </si>
  <si>
    <t>Q17458;Q17460;Q19528</t>
  </si>
  <si>
    <t>col-144;col-10;col-89</t>
  </si>
  <si>
    <t>Nematode cuticle collagen N-terminal domain-containing protein;Cuticle collagen 10;Nematode cuticle collagen N-terminal domain-containing protein</t>
  </si>
  <si>
    <t>Q17458</t>
  </si>
  <si>
    <t>&gt;tr|Q17473|Q17473_CAEEL Transthyretin-like family protein OS=Caenorhabditis elegans OX=6239 GN=ttr-18 PE=1 SV=1</t>
  </si>
  <si>
    <t>Q17473</t>
  </si>
  <si>
    <t>ttr-18</t>
  </si>
  <si>
    <t>&gt;tr|Q17474|Q17474_CAEEL 2-hydroxyacyl-CoA lyase OS=Caenorhabditis elegans OX=6239 GN=hacl-1 PE=1 SV=2</t>
  </si>
  <si>
    <t>Q17474</t>
  </si>
  <si>
    <t>hacl-1</t>
  </si>
  <si>
    <t>2-hydroxyacyl-CoA lyase</t>
  </si>
  <si>
    <t>&gt;tr|Q17477|Q17477_CAEEL Phytoene synthase OS=Caenorhabditis elegans OX=6239 GN=B0334.5 PE=1 SV=4</t>
  </si>
  <si>
    <t>Q17477</t>
  </si>
  <si>
    <t>B0334.5</t>
  </si>
  <si>
    <t>Phytoene synthase</t>
  </si>
  <si>
    <t>&gt;tr|Q17490|Q17490_CAEEL AO66 ankyrin OS=Caenorhabditis elegans OX=6239 GN=unc-44 PE=1 SV=2</t>
  </si>
  <si>
    <t>Q17490</t>
  </si>
  <si>
    <t>unc-44</t>
  </si>
  <si>
    <t>AO66 ankyrin</t>
  </si>
  <si>
    <t>&gt;tr|Q17492|Q17492_CAEEL F-box domain-containing protein OS=Caenorhabditis elegans OX=6239 GN=B0393.3 PE=1 SV=1</t>
  </si>
  <si>
    <t>Q17492</t>
  </si>
  <si>
    <t>B0393.3</t>
  </si>
  <si>
    <t>&gt;tr|Q17495|Q17495_CAEEL RING-type domain-containing protein OS=Caenorhabditis elegans OX=6239 GN=gex-5 PE=4 SV=2</t>
  </si>
  <si>
    <t>Q17495</t>
  </si>
  <si>
    <t>gex-5</t>
  </si>
  <si>
    <t>&gt;tr|Q17499|Q17499_CAEEL Choline/carnitine acyltransferase domain-containing protein OS=Caenorhabditis elegans OX=6239 GN=B0395.3 PE=1 SV=1</t>
  </si>
  <si>
    <t>Q17499</t>
  </si>
  <si>
    <t>B0395.3</t>
  </si>
  <si>
    <t>&gt;tr|Q17515|Q17515_CAEEL GPI mannosyltransferase 1 OS=Caenorhabditis elegans OX=6239 GN=pigm-1 PE=1 SV=1</t>
  </si>
  <si>
    <t>Q17515</t>
  </si>
  <si>
    <t>pigm-1</t>
  </si>
  <si>
    <t>GPI mannosyltransferase 1</t>
  </si>
  <si>
    <t>&gt;tr|Q17525|Q17525_CAEEL TEStin (Human testis-derived transcript) homolog OS=Caenorhabditis elegans OX=6239 GN=tes-1 PE=1 SV=1</t>
  </si>
  <si>
    <t>Q17525</t>
  </si>
  <si>
    <t>tes-1</t>
  </si>
  <si>
    <t>TEStin (Human testis-derived transcript) homolog</t>
  </si>
  <si>
    <t>&gt;tr|Q17532|Q17532_CAEEL RAP domain-containing protein OS=Caenorhabditis elegans OX=6239 GN=fask-1 PE=1 SV=2</t>
  </si>
  <si>
    <t>Q17532</t>
  </si>
  <si>
    <t>fask-1</t>
  </si>
  <si>
    <t>&gt;tr|Q17539|Q17539_CAEEL Methyltransferase domain-containing protein OS=Caenorhabditis elegans OX=6239 GN=C01B10.8 PE=1 SV=1</t>
  </si>
  <si>
    <t>Q17539</t>
  </si>
  <si>
    <t>C01B10.8</t>
  </si>
  <si>
    <t>&gt;tr|Q17540|Q17540_CAEEL Bis(5'-adenosyl)-triphosphatase OS=Caenorhabditis elegans OX=6239 GN=C01B10.9 PE=1 SV=3</t>
  </si>
  <si>
    <t>Q17540</t>
  </si>
  <si>
    <t>C01B10.9</t>
  </si>
  <si>
    <t>Bis(5'-adenosyl)-triphosphatase</t>
  </si>
  <si>
    <t>&gt;tr|Q17543|Q17543_CAEEL Endonuclease/exonuclease/phosphatase family protein OS=Caenorhabditis elegans OX=6239 GN=C01B10.3 PE=1 SV=2</t>
  </si>
  <si>
    <t>Q17543</t>
  </si>
  <si>
    <t>C01B10.3</t>
  </si>
  <si>
    <t>Endonuclease/exonuclease/phosphatase family protein</t>
  </si>
  <si>
    <t>&gt;tr|Q17556|Q17556_CAEEL NAD(P)-binding domain-containing protein OS=Caenorhabditis elegans OX=6239 GN=rml-4 PE=1 SV=1</t>
  </si>
  <si>
    <t>Q17556</t>
  </si>
  <si>
    <t>rml-4</t>
  </si>
  <si>
    <t>NAD(P)-binding domain-containing protein</t>
  </si>
  <si>
    <t>&gt;tr|Q17557|Q17557_CAEEL Thioredoxin domain-containing protein OS=Caenorhabditis elegans OX=6239 GN=sco-1 PE=1 SV=1</t>
  </si>
  <si>
    <t>Q17557</t>
  </si>
  <si>
    <t>sco-1</t>
  </si>
  <si>
    <t>&gt;tr|Q17558|Q17558_CAEEL Transcription initiation factor IIF subunit alpha OS=Caenorhabditis elegans OX=6239 GN=gtf-2f1 PE=1 SV=1</t>
  </si>
  <si>
    <t>Q17558</t>
  </si>
  <si>
    <t>gtf-2f1</t>
  </si>
  <si>
    <t>Transcription initiation factor IIF subunit alpha</t>
  </si>
  <si>
    <t>&gt;tr|Q17559|Q17559_CAEEL VWFA domain-containing protein OS=Caenorhabditis elegans OX=6239 GN=cpna-3 PE=1 SV=2</t>
  </si>
  <si>
    <t>Q17559</t>
  </si>
  <si>
    <t>cpna-3</t>
  </si>
  <si>
    <t>&gt;tr|Q17561|Q17561_CAEEL Chromatin target of PRMT1 protein C-terminal domain-containing protein OS=Caenorhabditis elegans OX=6239 GN=aly-1 PE=1 SV=1</t>
  </si>
  <si>
    <t>Q17561</t>
  </si>
  <si>
    <t>aly-1</t>
  </si>
  <si>
    <t>&gt;sp|Q17569|DDI1_CAEEL Protein DDI1 homolog 1 OS=Caenorhabditis elegans OX=6239 GN=ddi-1 PE=1 SV=2</t>
  </si>
  <si>
    <t>Q17569</t>
  </si>
  <si>
    <t>ddi-1</t>
  </si>
  <si>
    <t>Protein DDI1 homolog 1</t>
  </si>
  <si>
    <t>&gt;tr|Q17571|Q17571_CAEEL Aquaporin-9 OS=Caenorhabditis elegans OX=6239 GN=aqp-2 PE=1 SV=1</t>
  </si>
  <si>
    <t>Q17571</t>
  </si>
  <si>
    <t>aqp-2</t>
  </si>
  <si>
    <t>&gt;sp|Q17574|MTRR_CAEEL Methionine synthase reductase OS=Caenorhabditis elegans OX=6239 GN=mtrr-1 PE=3 SV=1</t>
  </si>
  <si>
    <t>Q17574</t>
  </si>
  <si>
    <t>mtrr-1</t>
  </si>
  <si>
    <t>Methionine synthase reductase</t>
  </si>
  <si>
    <t>&gt;sp|Q17577|ACS7_CAEEL Acyl-CoA synthetase 7 OS=Caenorhabditis elegans OX=6239 GN=acs-7 PE=1 SV=1</t>
  </si>
  <si>
    <t>Q17577</t>
  </si>
  <si>
    <t>acs-7</t>
  </si>
  <si>
    <t>Acyl-CoA synthetase 7</t>
  </si>
  <si>
    <t>&gt;tr|Q17583|Q17583_CAEEL ANK_REP_REGION domain-containing protein OS=Caenorhabditis elegans OX=6239 GN=mlt-2 PE=4 SV=2</t>
  </si>
  <si>
    <t>Q17583</t>
  </si>
  <si>
    <t>mlt-2</t>
  </si>
  <si>
    <t>&gt;tr|Q17585|Q17585_CAEEL Flavin-containing monooxygenase OS=Caenorhabditis elegans OX=6239 GN=C01H6.4 PE=1 SV=3</t>
  </si>
  <si>
    <t>Q17585</t>
  </si>
  <si>
    <t>C01H6.4</t>
  </si>
  <si>
    <t>&gt;tr|Q17589|Q17589_CAEEL Nuclear Hormone Receptor family OS=Caenorhabditis elegans OX=6239 GN=nhr-17 PE=1 SV=1</t>
  </si>
  <si>
    <t>Q17589</t>
  </si>
  <si>
    <t>nhr-17</t>
  </si>
  <si>
    <t>&gt;sp|Q17598|TM104_CAEEL Transmembrane protein 104 homolog OS=Caenorhabditis elegans OX=6239 GN=C03A3.2 PE=1 SV=2</t>
  </si>
  <si>
    <t>Q17598</t>
  </si>
  <si>
    <t>C03A3.2</t>
  </si>
  <si>
    <t>Transmembrane protein 104 homolog</t>
  </si>
  <si>
    <t>&gt;sp|Q17602|NU214_CAEEL Nuclear pore complex protein 14 OS=Caenorhabditis elegans OX=6239 GN=npp-14 PE=1 SV=1</t>
  </si>
  <si>
    <t>Q17602</t>
  </si>
  <si>
    <t>npp-14</t>
  </si>
  <si>
    <t>Nuclear pore complex protein 14</t>
  </si>
  <si>
    <t>&gt;sp|Q17606|RLP24_CAEEL Probable ribosome biogenesis protein RLP24 OS=Caenorhabditis elegans OX=6239 GN=rpl-24.2 PE=3 SV=1</t>
  </si>
  <si>
    <t>Q17606</t>
  </si>
  <si>
    <t>rpl-24.2</t>
  </si>
  <si>
    <t>Probable ribosome biogenesis protein RLP24</t>
  </si>
  <si>
    <t>&gt;sp|Q17607|MCE1_CAEEL mRNA-capping enzyme OS=Caenorhabditis elegans OX=6239 GN=cel-1 PE=1 SV=2</t>
  </si>
  <si>
    <t>Q17607</t>
  </si>
  <si>
    <t>cel-1</t>
  </si>
  <si>
    <t>mRNA-capping enzyme</t>
  </si>
  <si>
    <t>&gt;tr|Q17620|Q17620_CAEEL EF-hand domain-containing protein OS=Caenorhabditis elegans OX=6239 GN=C04B4.2 PE=4 SV=1</t>
  </si>
  <si>
    <t>Q17620</t>
  </si>
  <si>
    <t>C04B4.2</t>
  </si>
  <si>
    <t>&gt;tr|Q17621|Q17621_CAEEL Anaphase-promoting complex subunit 1 OS=Caenorhabditis elegans OX=6239 GN=C04B4.4 PE=4 SV=2</t>
  </si>
  <si>
    <t>Q17621</t>
  </si>
  <si>
    <t>C04B4.4</t>
  </si>
  <si>
    <t>&gt;tr|Q17624|Q17624_CAEEL Arrestin C-terminal-like domain-containing protein OS=Caenorhabditis elegans OX=6239 GN=arrd-25 PE=1 SV=1</t>
  </si>
  <si>
    <t>Q17624</t>
  </si>
  <si>
    <t>arrd-25</t>
  </si>
  <si>
    <t>Arrestin C-terminal-like domain-containing protein</t>
  </si>
  <si>
    <t>&gt;tr|Q17626|Q17626_CAEEL SPerm CHromatin enriched OS=Caenorhabditis elegans OX=6239 GN=spch-1 PE=4 SV=1</t>
  </si>
  <si>
    <t>Q17626</t>
  </si>
  <si>
    <t>spch-1</t>
  </si>
  <si>
    <t>SPerm CHromatin enriched</t>
  </si>
  <si>
    <t>&gt;tr|Q17631|Q17631_CAEEL non-specific serine/threonine protein kinase OS=Caenorhabditis elegans OX=6239 GN=ttbk-5 PE=4 SV=1;&gt;tr|Q23103|Q23103_CAEEL non-specific serine/threonine protein kinase OS=Caenorhabditis elegans OX=6239 GN=ttbk-4 PE=4 SV=1</t>
  </si>
  <si>
    <t>Q17631;Q23103</t>
  </si>
  <si>
    <t>ttbk-5;ttbk-4</t>
  </si>
  <si>
    <t>Q17631</t>
  </si>
  <si>
    <t>&gt;sp|Q17632|RRP44_CAEEL Probable exosome complex exonuclease RRP44 OS=Caenorhabditis elegans OX=6239 GN=dis-3 PE=1 SV=2</t>
  </si>
  <si>
    <t>Q17632</t>
  </si>
  <si>
    <t>dis-3</t>
  </si>
  <si>
    <t>Probable exosome complex exonuclease RRP44</t>
  </si>
  <si>
    <t>&gt;tr|Q17645|Q17645_CAEEL p-GlycoProtein related OS=Caenorhabditis elegans OX=6239 GN=pgp-5 PE=1 SV=2;&gt;tr|Q22656|Q22656_CAEEL p-GlycoProtein related OS=Caenorhabditis elegans OX=6239 GN=pgp-6 PE=1 SV=3</t>
  </si>
  <si>
    <t>Q17645;Q22656</t>
  </si>
  <si>
    <t>pgp-5;pgp-6</t>
  </si>
  <si>
    <t>Q17645</t>
  </si>
  <si>
    <t>&gt;tr|Q17648|Q17648_CAEEL Phosphoprotein OS=Caenorhabditis elegans OX=6239 GN=C05C12.5 PE=1 SV=1</t>
  </si>
  <si>
    <t>Q17648</t>
  </si>
  <si>
    <t>C05C12.5</t>
  </si>
  <si>
    <t>Phosphoprotein</t>
  </si>
  <si>
    <t>&gt;tr|Q17676|Q17676_CAEEL WASH complex subunit FAM21 OS=Caenorhabditis elegans OX=6239 GN=C05G5.2 PE=1 SV=1</t>
  </si>
  <si>
    <t>Q17676</t>
  </si>
  <si>
    <t>C05G5.2</t>
  </si>
  <si>
    <t>WASH complex subunit FAM21</t>
  </si>
  <si>
    <t>&gt;sp|Q17688|ER442_CAEEL Endoplasmic reticulum resident protein 44.2 OS=Caenorhabditis elegans OX=6239 GN=erp-44.2 PE=1 SV=2</t>
  </si>
  <si>
    <t>Q17688</t>
  </si>
  <si>
    <t>erp-44.2</t>
  </si>
  <si>
    <t>Endoplasmic reticulum resident protein 44.2</t>
  </si>
  <si>
    <t>&gt;sp|Q17693|MTHR_CAEEL Probable methylenetetrahydrofolate reductase (NADPH) OS=Caenorhabditis elegans OX=6239 GN=mthf-1 PE=3 SV=2</t>
  </si>
  <si>
    <t>Q17693</t>
  </si>
  <si>
    <t>mthf-1</t>
  </si>
  <si>
    <t>Probable methylenetetrahydrofolate reductase (NADPH)</t>
  </si>
  <si>
    <t>&gt;sp|Q17703|STDH1_CAEEL Putative steroid dehydrogenase 1 OS=Caenorhabditis elegans OX=6239 GN=stdh-1 PE=3 SV=1</t>
  </si>
  <si>
    <t>Q17703</t>
  </si>
  <si>
    <t>stdh-1</t>
  </si>
  <si>
    <t>Putative steroid dehydrogenase 1</t>
  </si>
  <si>
    <t>&gt;tr|Q17732|Q17732_CAEEL SH2 domain-containing protein OS=Caenorhabditis elegans OX=6239 GN=C06E7.4 PE=4 SV=2</t>
  </si>
  <si>
    <t>Q17732</t>
  </si>
  <si>
    <t>C06E7.4</t>
  </si>
  <si>
    <t>&gt;tr|Q17740|Q17740_CAEEL ALG-1 INteracting protein OS=Caenorhabditis elegans OX=6239 GN=ain-1 PE=1 SV=4</t>
  </si>
  <si>
    <t>Q17740</t>
  </si>
  <si>
    <t>ain-1</t>
  </si>
  <si>
    <t>ALG-1 INteracting protein</t>
  </si>
  <si>
    <t>&gt;tr|Q17746|Q17746_CAEEL ZZ-type domain-containing protein OS=Caenorhabditis elegans OX=6239 GN=gldi-4 PE=1 SV=1</t>
  </si>
  <si>
    <t>Q17746</t>
  </si>
  <si>
    <t>gldi-4</t>
  </si>
  <si>
    <t>ZZ-type domain-containing protein</t>
  </si>
  <si>
    <t>&gt;sp|Q17750|UFL1_CAEEL E3 UFM1-protein ligase 1 homolog OS=Caenorhabditis elegans OX=6239 GN=ufl-1 PE=3 SV=1</t>
  </si>
  <si>
    <t>Q17750</t>
  </si>
  <si>
    <t>ufl-1</t>
  </si>
  <si>
    <t>E3 UFM1-protein ligase 1 homolog</t>
  </si>
  <si>
    <t>&gt;sp|Q17761|6PGD_CAEEL 6-phosphogluconate dehydrogenase, decarboxylating OS=Caenorhabditis elegans OX=6239 GN=T25B9.9 PE=3 SV=2</t>
  </si>
  <si>
    <t>Q17761</t>
  </si>
  <si>
    <t>T25B9.9</t>
  </si>
  <si>
    <t>6-phosphogluconate dehydrogenase, decarboxylating</t>
  </si>
  <si>
    <t>&gt;tr|Q17763|Q17763_CAEEL ATP synthase subunit d, mitochondrial OS=Caenorhabditis elegans OX=6239 GN=atp-5 PE=1 SV=2</t>
  </si>
  <si>
    <t>Q17763</t>
  </si>
  <si>
    <t>atp-5</t>
  </si>
  <si>
    <t>ATP synthase subunit d, mitochondrial</t>
  </si>
  <si>
    <t>&gt;tr|Q17765|Q17765_CAEEL Glucosamine 6-phosphate N-acetyltransferase OS=Caenorhabditis elegans OX=6239 GN=jmjd-5 PE=1 SV=1</t>
  </si>
  <si>
    <t>Q17765</t>
  </si>
  <si>
    <t>jmjd-5</t>
  </si>
  <si>
    <t>&gt;sp|Q17770|PDI2_CAEEL Protein disulfide-isomerase 2 OS=Caenorhabditis elegans OX=6239 GN=pdi-2 PE=1 SV=1</t>
  </si>
  <si>
    <t>Q17770</t>
  </si>
  <si>
    <t>pdi-2</t>
  </si>
  <si>
    <t>Protein disulfide-isomerase 2</t>
  </si>
  <si>
    <t>&gt;sp|Q17771|NHR35_CAEEL Nuclear hormone receptor family member nhr-35 OS=Caenorhabditis elegans OX=6239 GN=nhr-35 PE=2 SV=3</t>
  </si>
  <si>
    <t>Q17771</t>
  </si>
  <si>
    <t>nhr-35</t>
  </si>
  <si>
    <t>Nuclear hormone receptor family member nhr-35</t>
  </si>
  <si>
    <t>&gt;sp|Q17784|TFP11_CAEEL Septin and tuftelin-interacting protein 1 homolog OS=Caenorhabditis elegans OX=6239 GN=stip-1 PE=1 SV=2</t>
  </si>
  <si>
    <t>Q17784</t>
  </si>
  <si>
    <t>stip-1</t>
  </si>
  <si>
    <t>Septin and tuftelin-interacting protein 1 homolog</t>
  </si>
  <si>
    <t>&gt;tr|Q17796|Q17796_CAEEL Hepatocyte growth factor-regulated tyrosine kinase substrate OS=Caenorhabditis elegans OX=6239 GN=hgrs-1 PE=1 SV=2</t>
  </si>
  <si>
    <t>Q17796</t>
  </si>
  <si>
    <t>hgrs-1</t>
  </si>
  <si>
    <t>Hepatocyte growth factor-regulated tyrosine kinase substrate</t>
  </si>
  <si>
    <t>&gt;sp|Q17802|CPG1_CAEEL Chondroitin proteoglycan 1 OS=Caenorhabditis elegans OX=6239 GN=cpg-1 PE=1 SV=1</t>
  </si>
  <si>
    <t>Q17802</t>
  </si>
  <si>
    <t>cpg-1</t>
  </si>
  <si>
    <t>Chondroitin proteoglycan 1</t>
  </si>
  <si>
    <t>&gt;tr|Q17815|Q17815_CAEEL Glycosyltransferase family 92 protein OS=Caenorhabditis elegans OX=6239 GN=C08B6.3 PE=1 SV=2</t>
  </si>
  <si>
    <t>Q17815</t>
  </si>
  <si>
    <t>C08B6.3</t>
  </si>
  <si>
    <t>Glycosyltransferase family 92 protein</t>
  </si>
  <si>
    <t>&gt;sp|Q17819|ORN_CAEEL Probable oligoribonuclease OS=Caenorhabditis elegans OX=6239 GN=C08B6.8 PE=3 SV=1</t>
  </si>
  <si>
    <t>Q17819</t>
  </si>
  <si>
    <t>C08B6.8</t>
  </si>
  <si>
    <t>Probable oligoribonuclease</t>
  </si>
  <si>
    <t>&gt;sp|Q17820|SAE1_CAEEL SUMO-activating enzyme subunit aos-1 OS=Caenorhabditis elegans OX=6239 GN=aos-1 PE=3 SV=1</t>
  </si>
  <si>
    <t>Q17820</t>
  </si>
  <si>
    <t>aos-1</t>
  </si>
  <si>
    <t>SUMO-activating enzyme subunit aos-1</t>
  </si>
  <si>
    <t>&gt;sp|Q17828|SUV3_CAEEL ATP-dependent RNA helicase SUV3 homolog, mitochondrial OS=Caenorhabditis elegans OX=6239 GN=C08F8.2 PE=3 SV=3</t>
  </si>
  <si>
    <t>Q17828</t>
  </si>
  <si>
    <t>C08F8.2</t>
  </si>
  <si>
    <t>ATP-dependent RNA helicase SUV3 homolog, mitochondrial</t>
  </si>
  <si>
    <t>&gt;tr|Q17832|Q17832_CAEEL K Homology domain-containing protein OS=Caenorhabditis elegans OX=6239 GN=vgln-1 PE=1 SV=2</t>
  </si>
  <si>
    <t>Q17832</t>
  </si>
  <si>
    <t>vgln-1</t>
  </si>
  <si>
    <t>&gt;tr|Q17846|Q17846_CAEEL Transmembrane protein 53 OS=Caenorhabditis elegans OX=6239 GN=C09B8.4 PE=1 SV=2</t>
  </si>
  <si>
    <t>Q17846</t>
  </si>
  <si>
    <t>C09B8.4</t>
  </si>
  <si>
    <t>Transmembrane protein 53</t>
  </si>
  <si>
    <t>&gt;sp|Q17848|I5P1_CAEEL Probable type I inositol 1,4,5-trisphosphate 5-phosphatase OS=Caenorhabditis elegans OX=6239 GN=ipp-5 PE=2 SV=2</t>
  </si>
  <si>
    <t>Q17848</t>
  </si>
  <si>
    <t>ipp-5</t>
  </si>
  <si>
    <t>Probable type I inositol 1,4,5-trisphosphate 5-phosphatase</t>
  </si>
  <si>
    <t>&gt;tr|Q17849|Q17849_CAEEL SHSP domain-containing protein OS=Caenorhabditis elegans OX=6239 GN=hsp-25 PE=1 SV=1</t>
  </si>
  <si>
    <t>Q17849</t>
  </si>
  <si>
    <t>hsp-25</t>
  </si>
  <si>
    <t>&gt;sp|Q17850|PK1_CAEEL Serine/threonine-protein kinase pak-1 OS=Caenorhabditis elegans OX=6239 GN=pak-1 PE=1 SV=2</t>
  </si>
  <si>
    <t>Q17850</t>
  </si>
  <si>
    <t>pak-1</t>
  </si>
  <si>
    <t>Serine/threonine-protein kinase pak-1</t>
  </si>
  <si>
    <t>&gt;tr|Q17860|Q17860_CAEEL Diacylglycerol kinase OS=Caenorhabditis elegans OX=6239 GN=dgk-1 PE=1 SV=2</t>
  </si>
  <si>
    <t>Q17860</t>
  </si>
  <si>
    <t>dgk-1</t>
  </si>
  <si>
    <t>Diacylglycerol kinase</t>
  </si>
  <si>
    <t>&gt;tr|Q17871|Q17871_CAEEL Rhomboid domain-containing protein OS=Caenorhabditis elegans OX=6239 GN=C09G9.1 PE=1 SV=1</t>
  </si>
  <si>
    <t>Q17871</t>
  </si>
  <si>
    <t>C09G9.1</t>
  </si>
  <si>
    <t>Rhomboid domain-containing protein</t>
  </si>
  <si>
    <t>&gt;tr|Q17872|Q17872_CAEEL WD_REPEATS_REGION domain-containing protein OS=Caenorhabditis elegans OX=6239 GN=npp-23 PE=1 SV=2</t>
  </si>
  <si>
    <t>Q17872</t>
  </si>
  <si>
    <t>npp-23</t>
  </si>
  <si>
    <t>&gt;tr|Q17880|Q17880_CAEEL NADH dehydrogenase [ubiquinone] flavoprotein 1, mitochondrial OS=Caenorhabditis elegans OX=6239 GN=nuo-1 PE=1 SV=1</t>
  </si>
  <si>
    <t>Q17880</t>
  </si>
  <si>
    <t>nuo-1</t>
  </si>
  <si>
    <t>NADH dehydrogenase [ubiquinone] flavoprotein 1, mitochondrial</t>
  </si>
  <si>
    <t>&gt;tr|Q17883|Q17883_CAEEL Anaphase-promoting complex subunit 1 OS=Caenorhabditis elegans OX=6239 GN=apc-17 PE=4 SV=1</t>
  </si>
  <si>
    <t>Q17883</t>
  </si>
  <si>
    <t>apc-17</t>
  </si>
  <si>
    <t>&gt;tr|Q17898|Q17898_CAEEL N-acyl-aliphatic-L-amino acid amidohydrolase OS=Caenorhabditis elegans OX=6239 GN=C10C5.3 PE=1 SV=1;&gt;tr|Q17899|Q17899_CAEEL N-acyl-aliphatic-L-amino acid amidohydrolase OS=Caenorhabditis elegans OX=6239 GN=C10C5.4 PE=1 SV=2;&gt;tr|Q17900|Q17900_CAEEL N-acyl-aliphatic-L-amino acid amidohydrolase OS=Caenorhabditis elegans OX=6239 GN=C10C5.5 PE=3 SV=2</t>
  </si>
  <si>
    <t>Q17898;Q17899;Q17900</t>
  </si>
  <si>
    <t>C10C5.3;C10C5.4;C10C5.5</t>
  </si>
  <si>
    <t>N-acyl-aliphatic-L-amino acid amidohydrolase</t>
  </si>
  <si>
    <t>Q17898</t>
  </si>
  <si>
    <t>&gt;tr|Q17936|Q17936_CAEEL K Homology domain-containing protein OS=Caenorhabditis elegans OX=6239 GN=fubl-1 PE=1 SV=1</t>
  </si>
  <si>
    <t>Q17936</t>
  </si>
  <si>
    <t>fubl-1</t>
  </si>
  <si>
    <t>&gt;sp|Q17938|DAF36_CAEEL Cholesterol 7-desaturase OS=Caenorhabditis elegans OX=6239 GN=daf-36 PE=1 SV=2</t>
  </si>
  <si>
    <t>Q17938</t>
  </si>
  <si>
    <t>daf-36</t>
  </si>
  <si>
    <t>Cholesterol 7-desaturase</t>
  </si>
  <si>
    <t>&gt;sp|Q17941|AKT1_CAEEL Serine/threonine-protein kinase akt-1 OS=Caenorhabditis elegans OX=6239 GN=akt-1 PE=1 SV=2</t>
  </si>
  <si>
    <t>Q17941</t>
  </si>
  <si>
    <t>akt-1</t>
  </si>
  <si>
    <t>Serine/threonine-protein kinase akt-1</t>
  </si>
  <si>
    <t>&gt;sp|Q17963|WDR51_CAEEL WD repeat-containing protein wdr-5.1 OS=Caenorhabditis elegans OX=6239 GN=wdr-5.1 PE=1 SV=1</t>
  </si>
  <si>
    <t>Q17963</t>
  </si>
  <si>
    <t>wdr-5.1</t>
  </si>
  <si>
    <t>WD repeat-containing protein wdr-5.1</t>
  </si>
  <si>
    <t>&gt;sp|Q17967|PDI1_CAEEL Protein disulfide-isomerase 1 OS=Caenorhabditis elegans OX=6239 GN=pdi-1 PE=3 SV=1</t>
  </si>
  <si>
    <t>Q17967</t>
  </si>
  <si>
    <t>pdi-1</t>
  </si>
  <si>
    <t>Protein disulfide-isomerase 1</t>
  </si>
  <si>
    <t>&gt;tr|Q17968|Q17968_CAEEL Dynein regulatory complex subunit 7 OS=Caenorhabditis elegans OX=6239 GN=nrde-1 PE=1 SV=3</t>
  </si>
  <si>
    <t>Q17968</t>
  </si>
  <si>
    <t>nrde-1</t>
  </si>
  <si>
    <t>Dynein regulatory complex subunit 7</t>
  </si>
  <si>
    <t>&gt;tr|Q17971|Q17971_CAEEL Proteasome activator complex subunit 4 OS=Caenorhabditis elegans OX=6239 GN=C14C10.5 PE=1 SV=1</t>
  </si>
  <si>
    <t>Q17971</t>
  </si>
  <si>
    <t>C14C10.5</t>
  </si>
  <si>
    <t>Proteasome activator complex subunit 4</t>
  </si>
  <si>
    <t>&gt;tr|Q17972|Q17972_CAEEL ERAP1_C domain-containing protein OS=Caenorhabditis elegans OX=6239 GN=C14C10.2 PE=1 SV=2</t>
  </si>
  <si>
    <t>Q17972</t>
  </si>
  <si>
    <t>C14C10.2</t>
  </si>
  <si>
    <t>ERAP1_C domain-containing protein</t>
  </si>
  <si>
    <t>&gt;tr|Q17974|Q17974_CAEEL Leucine-rich PPR motif-containing protein, mitochondrial OS=Caenorhabditis elegans OX=6239 GN=mma-1 PE=1 SV=1</t>
  </si>
  <si>
    <t>Q17974</t>
  </si>
  <si>
    <t>mma-1</t>
  </si>
  <si>
    <t>Leucine-rich PPR motif-containing protein, mitochondrial</t>
  </si>
  <si>
    <t>&gt;tr|Q17978|Q17978_CAEEL RNA helicase OS=Caenorhabditis elegans OX=6239 GN=mut-14 PE=1 SV=1</t>
  </si>
  <si>
    <t>Q17978</t>
  </si>
  <si>
    <t>mut-14</t>
  </si>
  <si>
    <t>&gt;tr|Q17994|Q17994_CAEEL Aspartate aminotransferase OS=Caenorhabditis elegans OX=6239 GN=got-2.2 PE=1 SV=1</t>
  </si>
  <si>
    <t>Q17994</t>
  </si>
  <si>
    <t>got-2.2</t>
  </si>
  <si>
    <t>Aspartate aminotransferase</t>
  </si>
  <si>
    <t>&gt;sp|Q18026|KYNU_CAEEL Kynureninase OS=Caenorhabditis elegans OX=6239 GN=flu-2 PE=2 SV=1</t>
  </si>
  <si>
    <t>Q18026</t>
  </si>
  <si>
    <t>flu-2</t>
  </si>
  <si>
    <t>Kynureninase</t>
  </si>
  <si>
    <t>&gt;tr|Q18028|Q18028_CAEEL Peroxisomal assembly protein PEX3 OS=Caenorhabditis elegans OX=6239 GN=prx-3 PE=1 SV=2</t>
  </si>
  <si>
    <t>Q18028</t>
  </si>
  <si>
    <t>prx-3</t>
  </si>
  <si>
    <t>Peroxisomal assembly protein PEX3</t>
  </si>
  <si>
    <t>&gt;tr|Q18031|Q18031_CAEEL proton-translocating NAD(P)(+) transhydrogenase OS=Caenorhabditis elegans OX=6239 GN=nnt-1 PE=1 SV=2</t>
  </si>
  <si>
    <t>Q18031</t>
  </si>
  <si>
    <t>nnt-1</t>
  </si>
  <si>
    <t>proton-translocating NAD(P)(+) transhydrogenase</t>
  </si>
  <si>
    <t>&gt;tr|Q18033|Q18033_CAEEL THO complex subunit 2 OS=Caenorhabditis elegans OX=6239 GN=thoc-2 PE=1 SV=4</t>
  </si>
  <si>
    <t>Q18033</t>
  </si>
  <si>
    <t>thoc-2</t>
  </si>
  <si>
    <t>THO complex subunit 2</t>
  </si>
  <si>
    <t>&gt;sp|Q18034|NFX1_CAEEL Transcriptional repressor NF-X1 homolog OS=Caenorhabditis elegans OX=6239 GN=nfx-1 PE=3 SV=1</t>
  </si>
  <si>
    <t>Q18034</t>
  </si>
  <si>
    <t>nfx-1</t>
  </si>
  <si>
    <t>Transcriptional repressor NF-X1 homolog</t>
  </si>
  <si>
    <t>&gt;tr|Q18035|Q18035_CAEEL Protein MAK16 homolog OS=Caenorhabditis elegans OX=6239 GN=C16A3.6 PE=1 SV=1</t>
  </si>
  <si>
    <t>Q18035</t>
  </si>
  <si>
    <t>C16A3.6</t>
  </si>
  <si>
    <t>Protein MAK16 homolog</t>
  </si>
  <si>
    <t>&gt;tr|Q18036|Q18036_CAEEL NADH dehydrogenase [ubiquinone] 1 beta subcomplex subunit 9 OS=Caenorhabditis elegans OX=6239 GN=C16A3.5 PE=1 SV=1</t>
  </si>
  <si>
    <t>Q18036</t>
  </si>
  <si>
    <t>C16A3.5</t>
  </si>
  <si>
    <t>NADH dehydrogenase [ubiquinone] 1 beta subcomplex subunit 9</t>
  </si>
  <si>
    <t>&gt;tr|Q18037|Q18037_CAEEL C2H2-type domain-containing protein OS=Caenorhabditis elegans OX=6239 GN=znf-622 PE=1 SV=1</t>
  </si>
  <si>
    <t>Q18037</t>
  </si>
  <si>
    <t>znf-622</t>
  </si>
  <si>
    <t>&gt;tr|Q18038|Q18038_CAEEL S1 motif domain-containing protein OS=Caenorhabditis elegans OX=6239 GN=let-716 PE=1 SV=3</t>
  </si>
  <si>
    <t>Q18038</t>
  </si>
  <si>
    <t>let-716</t>
  </si>
  <si>
    <t>S1 motif domain-containing protein</t>
  </si>
  <si>
    <t>&gt;sp|Q18040|OAT_CAEEL Probable ornithine aminotransferase, mitochondrial OS=Caenorhabditis elegans OX=6239 GN=oatr-1 PE=3 SV=3</t>
  </si>
  <si>
    <t>Q18040</t>
  </si>
  <si>
    <t>oatr-1</t>
  </si>
  <si>
    <t>Probable ornithine aminotransferase, mitochondrial</t>
  </si>
  <si>
    <t>&gt;sp|Q18066|DIM_CAEEL Disorganized muscle protein 1 OS=Caenorhabditis elegans OX=6239 GN=dim-1 PE=1 SV=3</t>
  </si>
  <si>
    <t>Q18066</t>
  </si>
  <si>
    <t>dim-1</t>
  </si>
  <si>
    <t>Disorganized muscle protein 1</t>
  </si>
  <si>
    <t>&gt;tr|Q18074|Q18074_CAEEL Uncharacterized protein OS=Caenorhabditis elegans OX=6239 GN=C18B2.3 PE=1 SV=2</t>
  </si>
  <si>
    <t>Q18074</t>
  </si>
  <si>
    <t>C18B2.3</t>
  </si>
  <si>
    <t>&gt;tr|Q18075|Q18075_CAEEL GRAM domain-containing protein OS=Caenorhabditis elegans OX=6239 GN=C18B2.4 PE=1 SV=1</t>
  </si>
  <si>
    <t>Q18075</t>
  </si>
  <si>
    <t>C18B2.4</t>
  </si>
  <si>
    <t>GRAM domain-containing protein</t>
  </si>
  <si>
    <t>&gt;sp|Q18090|TOM40_CAEEL Mitochondrial import receptor subunit TOM40 homolog OS=Caenorhabditis elegans OX=6239 GN=tomm-40 PE=2 SV=1</t>
  </si>
  <si>
    <t>Q18090</t>
  </si>
  <si>
    <t>tomm-40</t>
  </si>
  <si>
    <t>Mitochondrial import receptor subunit TOM40 homolog</t>
  </si>
  <si>
    <t>&gt;tr|Q18093|Q18093_CAEEL Translocation protein SEC62 OS=Caenorhabditis elegans OX=6239 GN=C18E9.2 PE=1 SV=2</t>
  </si>
  <si>
    <t>Q18093</t>
  </si>
  <si>
    <t>C18E9.2</t>
  </si>
  <si>
    <t>Translocation protein SEC62</t>
  </si>
  <si>
    <t>&gt;sp|Q18115|PSMD1_CAEEL 26S proteasome non-ATPase regulatory subunit 1 OS=Caenorhabditis elegans OX=6239 GN=rpn-2 PE=3 SV=4</t>
  </si>
  <si>
    <t>Q18115</t>
  </si>
  <si>
    <t>rpn-2</t>
  </si>
  <si>
    <t>26S proteasome non-ATPase regulatory subunit 1</t>
  </si>
  <si>
    <t>&gt;tr|Q18140|Q18140_CAEEL BTB domain-containing protein OS=Caenorhabditis elegans OX=6239 GN=C25A11.2 PE=1 SV=2</t>
  </si>
  <si>
    <t>Q18140</t>
  </si>
  <si>
    <t>C25A11.2</t>
  </si>
  <si>
    <t>&gt;sp|Q18164|DPYD_CAEEL Dihydropyrimidine dehydrogenase [NADP(+)] OS=Caenorhabditis elegans OX=6239 GN=dpyd-1 PE=3 SV=2</t>
  </si>
  <si>
    <t>Q18164</t>
  </si>
  <si>
    <t>dpyd-1</t>
  </si>
  <si>
    <t>Dihydropyrimidine dehydrogenase [NADP(+)]</t>
  </si>
  <si>
    <t>&gt;tr|Q18170|Q18170_CAEEL Ribosome-binding factor A OS=Caenorhabditis elegans OX=6239 GN=C25G4.3 PE=4 SV=2</t>
  </si>
  <si>
    <t>Q18170</t>
  </si>
  <si>
    <t>C25G4.3</t>
  </si>
  <si>
    <t>Ribosome-binding factor A</t>
  </si>
  <si>
    <t>&gt;tr|Q18186|Q18186_CAEEL SUI1 domain-containing protein OS=Caenorhabditis elegans OX=6239 GN=eif-2d PE=1 SV=4</t>
  </si>
  <si>
    <t>Q18186</t>
  </si>
  <si>
    <t>eif-2d</t>
  </si>
  <si>
    <t>SUI1 domain-containing protein</t>
  </si>
  <si>
    <t>&gt;tr|Q18194|Q18194_CAEEL Dynactin subunit 4 OS=Caenorhabditis elegans OX=6239 GN=dnc-4 PE=1 SV=1</t>
  </si>
  <si>
    <t>Q18194</t>
  </si>
  <si>
    <t>dnc-4</t>
  </si>
  <si>
    <t>Dynactin subunit 4</t>
  </si>
  <si>
    <t>&gt;sp|Q18211|RCC1_CAEEL Regulator of chromosome condensation OS=Caenorhabditis elegans OX=6239 GN=ran-3 PE=4 SV=1</t>
  </si>
  <si>
    <t>Q18211</t>
  </si>
  <si>
    <t>ran-3</t>
  </si>
  <si>
    <t>Regulator of chromosome condensation</t>
  </si>
  <si>
    <t>&gt;sp|Q18212|DX39B_CAEEL Spliceosome RNA helicase DDX39B homolog OS=Caenorhabditis elegans OX=6239 GN=hel-1 PE=1 SV=1</t>
  </si>
  <si>
    <t>Q18212</t>
  </si>
  <si>
    <t>hel-1</t>
  </si>
  <si>
    <t>Spliceosome RNA helicase DDX39B homolog</t>
  </si>
  <si>
    <t>&gt;sp|Q18217|ULA1_CAEEL NEDD8-activating enzyme E1 regulatory subunit OS=Caenorhabditis elegans OX=6239 GN=ula-1 PE=3 SV=2</t>
  </si>
  <si>
    <t>Q18217</t>
  </si>
  <si>
    <t>ula-1</t>
  </si>
  <si>
    <t>NEDD8-activating enzyme E1 regulatory subunit</t>
  </si>
  <si>
    <t>&gt;tr|Q18218|Q18218_CAEEL Cobalamin adenosyltransferase-like domain-containing protein OS=Caenorhabditis elegans OX=6239 GN=mmab-1 PE=1 SV=2</t>
  </si>
  <si>
    <t>Q18218</t>
  </si>
  <si>
    <t>mmab-1</t>
  </si>
  <si>
    <t>Cobalamin adenosyltransferase-like domain-containing protein</t>
  </si>
  <si>
    <t>&gt;tr|Q18224|Q18224_CAEEL CCR4-NOT transcription complex subunit 9 OS=Caenorhabditis elegans OX=6239 GN=ntl-9 PE=1 SV=3</t>
  </si>
  <si>
    <t>Q18224</t>
  </si>
  <si>
    <t>ntl-9</t>
  </si>
  <si>
    <t>CCR4-NOT transcription complex subunit 9</t>
  </si>
  <si>
    <t>&gt;tr|Q18231|Q18231_CAEEL Ubiquitin-like domain-containing protein OS=Caenorhabditis elegans OX=6239 GN=rps-30 PE=1 SV=1</t>
  </si>
  <si>
    <t>Q18231</t>
  </si>
  <si>
    <t>rps-30</t>
  </si>
  <si>
    <t>&gt;sp|Q18232|YBRI_CAEEL Uncharacterized protein C26F1.3 OS=Caenorhabditis elegans OX=6239 GN=C26F1.3 PE=2 SV=1</t>
  </si>
  <si>
    <t>Q18232</t>
  </si>
  <si>
    <t>C26F1.3</t>
  </si>
  <si>
    <t>Uncharacterized protein C26F1.3</t>
  </si>
  <si>
    <t>&gt;sp|Q18237|SMC5_CAEEL Structural maintenance of chromosomes protein 5 OS=Caenorhabditis elegans OX=6239 GN=smc-5 PE=1 SV=2</t>
  </si>
  <si>
    <t>Q18237</t>
  </si>
  <si>
    <t>smc-5</t>
  </si>
  <si>
    <t>Structural maintenance of chromosomes protein 5</t>
  </si>
  <si>
    <t>&gt;tr|Q18241|Q18241_CAEEL Helicase ARIP4 OS=Caenorhabditis elegans OX=6239 GN=rad-26 PE=1 SV=2</t>
  </si>
  <si>
    <t>Q18241</t>
  </si>
  <si>
    <t>rad-26</t>
  </si>
  <si>
    <t>Helicase ARIP4</t>
  </si>
  <si>
    <t>&gt;tr|Q18244|Q18244_CAEEL CCHC-type domain-containing protein OS=Caenorhabditis elegans OX=6239 GN=C27B7.5 PE=1 SV=1</t>
  </si>
  <si>
    <t>Q18244</t>
  </si>
  <si>
    <t>C27B7.5</t>
  </si>
  <si>
    <t>CCHC-type domain-containing protein</t>
  </si>
  <si>
    <t>&gt;sp|Q18246|RAP1_CAEEL Ras-related protein Rap-1 OS=Caenorhabditis elegans OX=6239 GN=rap-1 PE=3 SV=1</t>
  </si>
  <si>
    <t>Q18246</t>
  </si>
  <si>
    <t>rap-1</t>
  </si>
  <si>
    <t>Ras-related protein Rap-1</t>
  </si>
  <si>
    <t>&gt;tr|Q18257|Q18257_CAEEL Methyltransferase BUD23 OS=Caenorhabditis elegans OX=6239 GN=C27F2.4 PE=1 SV=1</t>
  </si>
  <si>
    <t>Q18257</t>
  </si>
  <si>
    <t>C27F2.4</t>
  </si>
  <si>
    <t>Methyltransferase BUD23</t>
  </si>
  <si>
    <t>&gt;tr|Q18258|Q18258_CAEEL Vacuolar-sorting protein SNF8 OS=Caenorhabditis elegans OX=6239 GN=vps-22 PE=1 SV=2</t>
  </si>
  <si>
    <t>Q18258</t>
  </si>
  <si>
    <t>vps-22</t>
  </si>
  <si>
    <t>Vacuolar-sorting protein SNF8</t>
  </si>
  <si>
    <t>&gt;tr|Q18264|Q18264_CAEEL TMEM131_like domain-containing protein OS=Caenorhabditis elegans OX=6239 GN=tmem-131 PE=1 SV=4</t>
  </si>
  <si>
    <t>Q18264</t>
  </si>
  <si>
    <t>tmem-131</t>
  </si>
  <si>
    <t>TMEM131_like domain-containing protein</t>
  </si>
  <si>
    <t>&gt;tr|Q18265|Q18265_CAEEL RNA-binding protein FUS OS=Caenorhabditis elegans OX=6239 GN=fust-1 PE=1 SV=2</t>
  </si>
  <si>
    <t>Q18265</t>
  </si>
  <si>
    <t>fust-1</t>
  </si>
  <si>
    <t>RNA-binding protein FUS</t>
  </si>
  <si>
    <t>&gt;sp|Q18286|EXOC6_CAEEL Exocyst complex component 6 OS=Caenorhabditis elegans OX=6239 GN=sec-15 PE=3 SV=4</t>
  </si>
  <si>
    <t>Q18286</t>
  </si>
  <si>
    <t>sec-15</t>
  </si>
  <si>
    <t>Exocyst complex component 6</t>
  </si>
  <si>
    <t>&gt;tr|Q18310|Q18310_CAEEL START domain-containing protein OS=Caenorhabditis elegans OX=6239 GN=C29F5.1 PE=1 SV=1</t>
  </si>
  <si>
    <t>Q18310</t>
  </si>
  <si>
    <t>C29F5.1</t>
  </si>
  <si>
    <t>START domain-containing protein</t>
  </si>
  <si>
    <t>&gt;tr|Q18315|Q18315_CAEEL Sugar phosphate transporter domain-containing protein OS=Caenorhabditis elegans OX=6239 GN=C29H12.2 PE=4 SV=1</t>
  </si>
  <si>
    <t>Q18315</t>
  </si>
  <si>
    <t>C29H12.2</t>
  </si>
  <si>
    <t>Sugar phosphate transporter domain-containing protein</t>
  </si>
  <si>
    <t>&gt;tr|Q18316|Q18316_CAEEL arginine--tRNA ligase OS=Caenorhabditis elegans OX=6239 GN=rars-2 PE=1 SV=2</t>
  </si>
  <si>
    <t>Q18316</t>
  </si>
  <si>
    <t>rars-2</t>
  </si>
  <si>
    <t>arginine--tRNA ligase</t>
  </si>
  <si>
    <t>&gt;tr|Q18318|Q18318_CAEEL RRM domain-containing protein OS=Caenorhabditis elegans OX=6239 GN=rbmx-2 PE=1 SV=1</t>
  </si>
  <si>
    <t>Q18318</t>
  </si>
  <si>
    <t>rbmx-2</t>
  </si>
  <si>
    <t>&gt;tr|Q18320|Q18320_CAEEL Suppressor of ZYg-1 OS=Caenorhabditis elegans OX=6239 GN=szy-4 PE=1 SV=4</t>
  </si>
  <si>
    <t>Q18320</t>
  </si>
  <si>
    <t>szy-4</t>
  </si>
  <si>
    <t>Suppressor of ZYg-1</t>
  </si>
  <si>
    <t>&gt;tr|Q18355|Q18355_CAEEL RING-type E3 ubiquitin transferase OS=Caenorhabditis elegans OX=6239 GN=C32D5.11 PE=1 SV=2</t>
  </si>
  <si>
    <t>Q18355</t>
  </si>
  <si>
    <t>C32D5.11</t>
  </si>
  <si>
    <t>&gt;sp|Q18359|NDUA5_CAEEL Probable NADH dehydrogenase [ubiquinone] 1 alpha subcomplex subunit 5 OS=Caenorhabditis elegans OX=6239 GN=C33A12.1 PE=3 SV=1</t>
  </si>
  <si>
    <t>Q18359</t>
  </si>
  <si>
    <t>C33A12.1</t>
  </si>
  <si>
    <t>Probable NADH dehydrogenase [ubiquinone] 1 alpha subcomplex subunit 5</t>
  </si>
  <si>
    <t>&gt;tr|Q18390|Q18390_CAEEL Phosphate carrier protein, mitochondrial OS=Caenorhabditis elegans OX=6239 GN=C33F10.12 PE=3 SV=1;&gt;tr|Q9XUR1|Q9XUR1_CAEEL Phosphate carrier protein, mitochondrial OS=Caenorhabditis elegans OX=6239 GN=CELE_T05F1.8 PE=3 SV=2</t>
  </si>
  <si>
    <t>Q18390;Q9XUR1</t>
  </si>
  <si>
    <t>Phosphate carrier protein, mitochondrial;Phosphate carrier protein, mitochondrial</t>
  </si>
  <si>
    <t>Q18390</t>
  </si>
  <si>
    <t>&gt;tr|Q18405|Q18405_CAEEL RNA polymerase II-associated protein 3 OS=Caenorhabditis elegans OX=6239 GN=rpap-3 PE=1 SV=1</t>
  </si>
  <si>
    <t>Q18405</t>
  </si>
  <si>
    <t>rpap-3</t>
  </si>
  <si>
    <t>RNA polymerase II-associated protein 3</t>
  </si>
  <si>
    <t>&gt;sp|Q18406|EXOC5_CAEEL Exocyst complex component 5 OS=Caenorhabditis elegans OX=6239 GN=sec-10 PE=3 SV=1</t>
  </si>
  <si>
    <t>Q18406</t>
  </si>
  <si>
    <t>sec-10</t>
  </si>
  <si>
    <t>Exocyst complex component 5</t>
  </si>
  <si>
    <t>&gt;sp|Q18409|RSP6_CAEEL Probable splicing factor, arginine/serine-rich 6 OS=Caenorhabditis elegans OX=6239 GN=rsp-6 PE=3 SV=1</t>
  </si>
  <si>
    <t>Q18409</t>
  </si>
  <si>
    <t>rsp-6</t>
  </si>
  <si>
    <t>Probable splicing factor, arginine/serine-rich 6</t>
  </si>
  <si>
    <t>&gt;tr|Q18418|Q18418_CAEEL Zinc finger CCCH-type with G patch domain-containing protein OS=Caenorhabditis elegans OX=6239 GN=zgpa-1 PE=4 SV=1</t>
  </si>
  <si>
    <t>Q18418</t>
  </si>
  <si>
    <t>zgpa-1</t>
  </si>
  <si>
    <t>Zinc finger CCCH-type with G patch domain-containing protein</t>
  </si>
  <si>
    <t>&gt;sp|Q18449|YC2L_CAEEL Uncharacterized Golgi apparatus membrane protein-like protein C34D4.4 OS=Caenorhabditis elegans OX=6239 GN=C34D4.4 PE=3 SV=2</t>
  </si>
  <si>
    <t>Q18449</t>
  </si>
  <si>
    <t>C34D4.4</t>
  </si>
  <si>
    <t>Uncharacterized Golgi apparatus membrane protein-like protein C34D4.4</t>
  </si>
  <si>
    <t>&gt;tr|Q18453|Q18453_CAEEL ENTH domain-containing protein OS=Caenorhabditis elegans OX=6239 GN=rsd-3 PE=1 SV=1</t>
  </si>
  <si>
    <t>Q18453</t>
  </si>
  <si>
    <t>rsd-3</t>
  </si>
  <si>
    <t>ENTH domain-containing protein</t>
  </si>
  <si>
    <t>&gt;tr|Q18476|Q18476_CAEEL Exportin-7 OS=Caenorhabditis elegans OX=6239 GN=C35A5.8 PE=1 SV=3</t>
  </si>
  <si>
    <t>Q18476</t>
  </si>
  <si>
    <t>C35A5.8</t>
  </si>
  <si>
    <t>Exportin-7</t>
  </si>
  <si>
    <t>&gt;tr|Q18480|Q18480_CAEEL Nematode cuticle collagen N-terminal domain-containing protein OS=Caenorhabditis elegans OX=6239 GN=col-175 PE=1 SV=1</t>
  </si>
  <si>
    <t>Q18480</t>
  </si>
  <si>
    <t>col-175</t>
  </si>
  <si>
    <t>&gt;sp|Q18484|TMX2_CAEEL Thioredoxin-related transmembrane protein 2 homolog OS=Caenorhabditis elegans OX=6239 GN=C35D10.10 PE=3 SV=1</t>
  </si>
  <si>
    <t>Q18484</t>
  </si>
  <si>
    <t>C35D10.10</t>
  </si>
  <si>
    <t>Thioredoxin-related transmembrane protein 2 homolog</t>
  </si>
  <si>
    <t>&gt;sp|Q18486|COQ8_CAEEL Atypical kinase coq-8, mitochondrial OS=Caenorhabditis elegans OX=6239 GN=coq-8 PE=3 SV=2</t>
  </si>
  <si>
    <t>Q18486</t>
  </si>
  <si>
    <t>coq-8</t>
  </si>
  <si>
    <t>Atypical kinase coq-8, mitochondrial</t>
  </si>
  <si>
    <t>&gt;tr|Q18494|Q18494_CAEEL Microtubule-associated protein futsch OS=Caenorhabditis elegans OX=6239 GN=maph-1.3 PE=1 SV=2</t>
  </si>
  <si>
    <t>Q18494</t>
  </si>
  <si>
    <t>maph-1.3</t>
  </si>
  <si>
    <t>&gt;tr|Q18496|Q18496_CAEEL Acetyl-coenzyme A synthetase OS=Caenorhabditis elegans OX=6239 GN=acs-19 PE=1 SV=1</t>
  </si>
  <si>
    <t>Q18496</t>
  </si>
  <si>
    <t>acs-19</t>
  </si>
  <si>
    <t>Acetyl-coenzyme A synthetase</t>
  </si>
  <si>
    <t>&gt;sp|Q18508|MEL28_CAEEL Protein mel-28 OS=Caenorhabditis elegans OX=6239 GN=mel-28 PE=1 SV=2</t>
  </si>
  <si>
    <t>Q18508</t>
  </si>
  <si>
    <t>mel-28</t>
  </si>
  <si>
    <t>Protein mel-28</t>
  </si>
  <si>
    <t>&gt;tr|Q18509|Q18509_CAEEL HTH OST-type domain-containing protein OS=Caenorhabditis elegans OX=6239 GN=mip-1 PE=1 SV=1</t>
  </si>
  <si>
    <t>Q18509</t>
  </si>
  <si>
    <t>mip-1</t>
  </si>
  <si>
    <t>&gt;sp|Q18515|C1GLT_CAEEL Glycoprotein-N-acetylgalactosamine 3-beta-galactosyltransferase 1 OS=Caenorhabditis elegans OX=6239 GN=C38H2.2 PE=1 SV=2</t>
  </si>
  <si>
    <t>Q18515</t>
  </si>
  <si>
    <t>C38H2.2</t>
  </si>
  <si>
    <t>Glycoprotein-N-acetylgalactosamine 3-beta-galactosyltransferase 1</t>
  </si>
  <si>
    <t>&gt;tr|Q18529|Q18529_CAEEL Chitin-binding type-2 domain-containing protein OS=Caenorhabditis elegans OX=6239 GN=C39D10.7 PE=1 SV=3</t>
  </si>
  <si>
    <t>Q18529</t>
  </si>
  <si>
    <t>C39D10.7</t>
  </si>
  <si>
    <t>&gt;tr|Q18547|Q18547_CAEEL Replication factor C subunit 3 OS=Caenorhabditis elegans OX=6239 GN=rfc-3 PE=1 SV=1</t>
  </si>
  <si>
    <t>Q18547</t>
  </si>
  <si>
    <t>rfc-3</t>
  </si>
  <si>
    <t>Replication factor C subunit 3</t>
  </si>
  <si>
    <t>&gt;tr|Q18553|Q18553_CAEEL non-specific serine/threonine protein kinase OS=Caenorhabditis elegans OX=6239 GN=ttbk-8.2 PE=1 SV=1</t>
  </si>
  <si>
    <t>Q18553</t>
  </si>
  <si>
    <t>ttbk-8.2</t>
  </si>
  <si>
    <t>&gt;tr|Q18566|Q18566_CAEEL DNA-directed RNA polymerase subunit OS=Caenorhabditis elegans OX=6239 GN=rpc-1 PE=1 SV=2</t>
  </si>
  <si>
    <t>Q18566</t>
  </si>
  <si>
    <t>rpc-1</t>
  </si>
  <si>
    <t>&gt;tr|Q18597|Q18597_CAEEL ABC transporter domain-containing protein OS=Caenorhabditis elegans OX=6239 GN=pmp-1 PE=1 SV=1</t>
  </si>
  <si>
    <t>Q18597</t>
  </si>
  <si>
    <t>pmp-1</t>
  </si>
  <si>
    <t>&gt;tr|Q18598|Q18598_CAEEL Peroxisomal Membrane Protein related OS=Caenorhabditis elegans OX=6239 GN=pmp-2 PE=1 SV=1</t>
  </si>
  <si>
    <t>Q18598</t>
  </si>
  <si>
    <t>pmp-2</t>
  </si>
  <si>
    <t>Peroxisomal Membrane Protein related</t>
  </si>
  <si>
    <t>&gt;tr|Q18599|Q18599_CAEEL Acetyl-CoA hydrolase OS=Caenorhabditis elegans OX=6239 GN=acer-1 PE=1 SV=3</t>
  </si>
  <si>
    <t>Q18599</t>
  </si>
  <si>
    <t>acer-1</t>
  </si>
  <si>
    <t>&gt;sp|Q18600|ERP1B_CAEEL Putative endoplasmic reticulum metallopeptidase 1-B OS=Caenorhabditis elegans OX=6239 GN=C44B7.11 PE=1 SV=4</t>
  </si>
  <si>
    <t>Q18600</t>
  </si>
  <si>
    <t>C44B7.11</t>
  </si>
  <si>
    <t>Putative endoplasmic reticulum metallopeptidase 1-B</t>
  </si>
  <si>
    <t>&gt;tr|Q18605|Q18605_CAEEL PHD-type domain-containing protein OS=Caenorhabditis elegans OX=6239 GN=athp-1 PE=1 SV=2</t>
  </si>
  <si>
    <t>Q18605</t>
  </si>
  <si>
    <t>athp-1</t>
  </si>
  <si>
    <t>&gt;sp|Q18610|ABDH3_CAEEL Protein abhd-3.2 OS=Caenorhabditis elegans OX=6239 GN=abhd-3.2 PE=3 SV=1</t>
  </si>
  <si>
    <t>Q18610</t>
  </si>
  <si>
    <t>abhd-3.2</t>
  </si>
  <si>
    <t>Protein abhd-3.2</t>
  </si>
  <si>
    <t>&gt;tr|Q18611|Q18611_CAEEL G protein-coupled receptor OS=Caenorhabditis elegans OX=6239 GN=C44C1.1 PE=4 SV=3</t>
  </si>
  <si>
    <t>Q18611</t>
  </si>
  <si>
    <t>C44C1.1</t>
  </si>
  <si>
    <t>&gt;tr|Q18639|Q18639_CAEEL Hydroxysteroid dehydrogenase-like protein 2 OS=Caenorhabditis elegans OX=6239 GN=dhs-18 PE=1 SV=1</t>
  </si>
  <si>
    <t>Q18639</t>
  </si>
  <si>
    <t>dhs-18</t>
  </si>
  <si>
    <t>&gt;tr|Q18650|Q18650_CAEEL Uncharacterized protein OS=Caenorhabditis elegans OX=6239 GN=C46A5.6 PE=1 SV=1</t>
  </si>
  <si>
    <t>Q18650</t>
  </si>
  <si>
    <t>C46A5.6</t>
  </si>
  <si>
    <t>&gt;tr|Q18655|Q18655_CAEEL Major facilitator superfamily (MFS) profile domain-containing protein OS=Caenorhabditis elegans OX=6239 GN=C46C2.2 PE=1 SV=2</t>
  </si>
  <si>
    <t>Q18655</t>
  </si>
  <si>
    <t>C46C2.2</t>
  </si>
  <si>
    <t>&gt;tr|Q18668|Q18668_CAEEL Dymeclin OS=Caenorhabditis elegans OX=6239 GN=C47D12.2 PE=1 SV=2</t>
  </si>
  <si>
    <t>Q18668</t>
  </si>
  <si>
    <t>C47D12.2</t>
  </si>
  <si>
    <t>Dymeclin</t>
  </si>
  <si>
    <t>&gt;sp|Q18674|RRP1_CAEEL Ribosomal RNA processing protein 1 homolog OS=Caenorhabditis elegans OX=6239 GN=rrp-1 PE=3 SV=2</t>
  </si>
  <si>
    <t>Q18674</t>
  </si>
  <si>
    <t>rrp-1</t>
  </si>
  <si>
    <t>Ribosomal RNA processing protein 1 homolog</t>
  </si>
  <si>
    <t>&gt;sp|Q18678|SYSC_CAEEL Probable serine--tRNA ligase, cytoplasmic OS=Caenorhabditis elegans OX=6239 GN=sars-1 PE=3 SV=1</t>
  </si>
  <si>
    <t>Q18678</t>
  </si>
  <si>
    <t>sars-1</t>
  </si>
  <si>
    <t>Probable serine--tRNA ligase, cytoplasmic</t>
  </si>
  <si>
    <t>&gt;tr|Q18683|Q18683_CAEEL ADP/ATP translocase OS=Caenorhabditis elegans OX=6239 GN=C47E12.2 PE=1 SV=1</t>
  </si>
  <si>
    <t>Q18683</t>
  </si>
  <si>
    <t>C47E12.2</t>
  </si>
  <si>
    <t>&gt;sp|Q18685|UN112_CAEEL Protein unc-112 OS=Caenorhabditis elegans OX=6239 GN=unc-112 PE=1 SV=1</t>
  </si>
  <si>
    <t>Q18685</t>
  </si>
  <si>
    <t>unc-112</t>
  </si>
  <si>
    <t>Protein unc-112</t>
  </si>
  <si>
    <t>&gt;sp|Q18688|HSP90_CAEEL Heat shock protein 90 OS=Caenorhabditis elegans OX=6239 GN=daf-21 PE=1 SV=1</t>
  </si>
  <si>
    <t>Q18688</t>
  </si>
  <si>
    <t>daf-21</t>
  </si>
  <si>
    <t>Heat shock protein 90</t>
  </si>
  <si>
    <t>&gt;sp|Q18691|FAM50_CAEEL Protein FAM50 homolog OS=Caenorhabditis elegans OX=6239 GN=C47E8.4 PE=3 SV=3</t>
  </si>
  <si>
    <t>Q18691</t>
  </si>
  <si>
    <t>C47E8.4</t>
  </si>
  <si>
    <t>Protein FAM50 homolog</t>
  </si>
  <si>
    <t>&gt;tr|Q18697|Q18697_CAEEL Phosphate transporter OS=Caenorhabditis elegans OX=6239 GN=pitr-1 PE=1 SV=2</t>
  </si>
  <si>
    <t>Q18697</t>
  </si>
  <si>
    <t>pitr-1</t>
  </si>
  <si>
    <t>Phosphate transporter</t>
  </si>
  <si>
    <t>&gt;sp|Q18726|CIA30_CAEEL Probable complex I intermediate-associated protein 30, mitochondrial OS=Caenorhabditis elegans OX=6239 GN=nuaf-1 PE=3 SV=1</t>
  </si>
  <si>
    <t>Q18726</t>
  </si>
  <si>
    <t>nuaf-1</t>
  </si>
  <si>
    <t>Probable complex I intermediate-associated protein 30, mitochondrial</t>
  </si>
  <si>
    <t>&gt;tr|Q18739|Q18739_CAEEL CHK kinase-like domain-containing protein OS=Caenorhabditis elegans OX=6239 GN=C50F4.1 PE=1 SV=2</t>
  </si>
  <si>
    <t>Q18739</t>
  </si>
  <si>
    <t>C50F4.1</t>
  </si>
  <si>
    <t>&gt;tr|Q18771|Q18771_CAEEL Solute carrier family 23 member 2 OS=Caenorhabditis elegans OX=6239 GN=C51E3.6 PE=1 SV=1</t>
  </si>
  <si>
    <t>Q18771</t>
  </si>
  <si>
    <t>C51E3.6</t>
  </si>
  <si>
    <t>Solute carrier family 23 member 2</t>
  </si>
  <si>
    <t>&gt;sp|Q18779|SQV7_CAEEL UDP-sugar transporter sqv-7 OS=Caenorhabditis elegans OX=6239 GN=sqv-7 PE=1 SV=1</t>
  </si>
  <si>
    <t>Q18779</t>
  </si>
  <si>
    <t>sqv-7</t>
  </si>
  <si>
    <t>UDP-sugar transporter sqv-7</t>
  </si>
  <si>
    <t>&gt;sp|Q18787|PRS7_CAEEL 26S proteasome regulatory subunit 7 OS=Caenorhabditis elegans OX=6239 GN=rpt-1 PE=1 SV=1</t>
  </si>
  <si>
    <t>Q18787</t>
  </si>
  <si>
    <t>rpt-1</t>
  </si>
  <si>
    <t>26S proteasome regulatory subunit 7</t>
  </si>
  <si>
    <t>&gt;tr|Q18797|Q18797_CAEEL Major facilitator superfamily (MFS) profile domain-containing protein OS=Caenorhabditis elegans OX=6239 GN=C53B4.3 PE=1 SV=3</t>
  </si>
  <si>
    <t>Q18797</t>
  </si>
  <si>
    <t>C53B4.3</t>
  </si>
  <si>
    <t>&gt;tr|Q18799|Q18799_CAEEL Nematode cuticle collagen N-terminal domain-containing protein OS=Caenorhabditis elegans OX=6239 GN=col-119 PE=1 SV=1</t>
  </si>
  <si>
    <t>Q18799</t>
  </si>
  <si>
    <t>col-119</t>
  </si>
  <si>
    <t>&gt;sp|Q18801|GMD1_CAEEL GDP-mannose 4,6 dehydratase 1 OS=Caenorhabditis elegans OX=6239 GN=bre-1 PE=1 SV=3</t>
  </si>
  <si>
    <t>Q18801</t>
  </si>
  <si>
    <t>bre-1</t>
  </si>
  <si>
    <t>GDP-mannose 4,6 dehydratase 1</t>
  </si>
  <si>
    <t>&gt;sp|Q18803|ATPL2_CAEEL Probable ATP synthase subunit g 2, mitochondrial OS=Caenorhabditis elegans OX=6239 GN=asg-2 PE=3 SV=1</t>
  </si>
  <si>
    <t>Q18803</t>
  </si>
  <si>
    <t>asg-2</t>
  </si>
  <si>
    <t>Probable ATP synthase subunit g 2, mitochondrial</t>
  </si>
  <si>
    <t>&gt;tr|Q18805|Q18805_CAEEL TIL domain-containing protein OS=Caenorhabditis elegans OX=6239 GN=C53B7.2 PE=1 SV=2</t>
  </si>
  <si>
    <t>Q18805</t>
  </si>
  <si>
    <t>C53B7.2</t>
  </si>
  <si>
    <t>TIL domain-containing protein</t>
  </si>
  <si>
    <t>&gt;tr|Q18813|Q18813_CAEEL Galectin OS=Caenorhabditis elegans OX=6239 GN=C53D6.7 PE=1 SV=3</t>
  </si>
  <si>
    <t>Q18813</t>
  </si>
  <si>
    <t>C53D6.7</t>
  </si>
  <si>
    <t>&gt;tr|Q18817|Q18817_CAEEL Tubulin beta chain OS=Caenorhabditis elegans OX=6239 GN=ben-1 PE=1 SV=3</t>
  </si>
  <si>
    <t>Q18817</t>
  </si>
  <si>
    <t>ben-1</t>
  </si>
  <si>
    <t>&gt;sp|Q18823|LAM2_CAEEL Laminin-like protein lam-2 OS=Caenorhabditis elegans OX=6239 GN=lam-2 PE=1 SV=3</t>
  </si>
  <si>
    <t>Q18823</t>
  </si>
  <si>
    <t>lam-2</t>
  </si>
  <si>
    <t>Laminin-like protein lam-2</t>
  </si>
  <si>
    <t>&gt;tr|Q18841|Q18841_CAEEL Replication factor C subunit 1 OS=Caenorhabditis elegans OX=6239 GN=rfc-1 PE=1 SV=2</t>
  </si>
  <si>
    <t>Q18841</t>
  </si>
  <si>
    <t>rfc-1</t>
  </si>
  <si>
    <t>Replication factor C subunit 1</t>
  </si>
  <si>
    <t>&gt;sp|Q18846|KS6A2_CAEEL Putative ribosomal protein S6 kinase alpha-2 OS=Caenorhabditis elegans OX=6239 GN=rskn-2 PE=3 SV=2</t>
  </si>
  <si>
    <t>Q18846</t>
  </si>
  <si>
    <t>rskn-2</t>
  </si>
  <si>
    <t>Putative ribosomal protein S6 kinase alpha-2</t>
  </si>
  <si>
    <t>&gt;tr|Q18852|Q18852_CAEEL AB hydrolase-1 domain-containing protein OS=Caenorhabditis elegans OX=6239 GN=C54G4.7 PE=4 SV=1</t>
  </si>
  <si>
    <t>Q18852</t>
  </si>
  <si>
    <t>C54G4.7</t>
  </si>
  <si>
    <t>&gt;tr|Q18853|Q18853_CAEEL Cytochrome c domain-containing protein OS=Caenorhabditis elegans OX=6239 GN=cyc-1 PE=1 SV=1</t>
  </si>
  <si>
    <t>Q18853</t>
  </si>
  <si>
    <t>cyc-1</t>
  </si>
  <si>
    <t>Cytochrome c domain-containing protein</t>
  </si>
  <si>
    <t>&gt;tr|Q18854|Q18854_CAEEL RAP domain-containing protein OS=Caenorhabditis elegans OX=6239 GN=C54G4.9 PE=1 SV=1</t>
  </si>
  <si>
    <t>Q18854</t>
  </si>
  <si>
    <t>C54G4.9</t>
  </si>
  <si>
    <t>&gt;sp|Q18864|SURF4_CAEEL Surfeit locus protein 4 homolog OS=Caenorhabditis elegans OX=6239 GN=sft-4 PE=2 SV=1</t>
  </si>
  <si>
    <t>Q18864</t>
  </si>
  <si>
    <t>sft-4</t>
  </si>
  <si>
    <t>Surfeit locus protein 4 homolog</t>
  </si>
  <si>
    <t>&gt;tr|Q18877|Q18877_CAEEL Leucine-rich repeat-containing protein OS=Caenorhabditis elegans OX=6239 GN=C56A3.5 PE=1 SV=1</t>
  </si>
  <si>
    <t>Q18877</t>
  </si>
  <si>
    <t>C56A3.5</t>
  </si>
  <si>
    <t>Leucine-rich repeat-containing protein</t>
  </si>
  <si>
    <t>&gt;sp|Q18885|BTF3_CAEEL Transcription factor BTF3 homolog OS=Caenorhabditis elegans OX=6239 GN=icd-1 PE=1 SV=1</t>
  </si>
  <si>
    <t>Q18885</t>
  </si>
  <si>
    <t>icd-1</t>
  </si>
  <si>
    <t>Transcription factor BTF3 homolog</t>
  </si>
  <si>
    <t>&gt;tr|Q18886|Q18886_CAEEL Charged multivesicular body protein 4b OS=Caenorhabditis elegans OX=6239 GN=vps-32.1 PE=1 SV=1</t>
  </si>
  <si>
    <t>Q18886</t>
  </si>
  <si>
    <t>vps-32.1</t>
  </si>
  <si>
    <t>Charged multivesicular body protein 4b</t>
  </si>
  <si>
    <t>&gt;sp|Q18891|VP33B_CAEEL Vacuolar protein sorting-associated protein 33B OS=Caenorhabditis elegans OX=6239 GN=vps-33.2 PE=1 SV=3</t>
  </si>
  <si>
    <t>Q18891</t>
  </si>
  <si>
    <t>vps-33.2</t>
  </si>
  <si>
    <t>Vacuolar protein sorting-associated protein 33B</t>
  </si>
  <si>
    <t>&gt;sp|Q18892|EPG5_CAEEL Ectopic P granules protein 5 OS=Caenorhabditis elegans OX=6239 GN=epg-5 PE=2 SV=2</t>
  </si>
  <si>
    <t>Q18892</t>
  </si>
  <si>
    <t>epg-5</t>
  </si>
  <si>
    <t>Ectopic P granules protein 5</t>
  </si>
  <si>
    <t>&gt;sp|Q18905|CGP1_CAEEL GTP-binding protein cgp-1 OS=Caenorhabditis elegans OX=6239 GN=cgp-1 PE=2 SV=2</t>
  </si>
  <si>
    <t>Q18905</t>
  </si>
  <si>
    <t>cgp-1</t>
  </si>
  <si>
    <t>GTP-binding protein cgp-1</t>
  </si>
  <si>
    <t>&gt;tr|Q18916|Q18916_CAEEL Long-chain-fatty-acid--CoA ligase OS=Caenorhabditis elegans OX=6239 GN=acs-22 PE=1 SV=1</t>
  </si>
  <si>
    <t>Q18916</t>
  </si>
  <si>
    <t>acs-22</t>
  </si>
  <si>
    <t>Long-chain-fatty-acid--CoA ligase</t>
  </si>
  <si>
    <t>&gt;tr|Q18921|Q18921_CAEEL Alpha-soluble NSF attachment protein OS=Caenorhabditis elegans OX=6239 GN=snap-1 PE=1 SV=3</t>
  </si>
  <si>
    <t>Q18921</t>
  </si>
  <si>
    <t>snap-1</t>
  </si>
  <si>
    <t>Alpha-soluble NSF attachment protein</t>
  </si>
  <si>
    <t>&gt;tr|Q18922|Q18922_CAEEL t-SNARE coiled-coil homology domain-containing protein OS=Caenorhabditis elegans OX=6239 GN=CELE_D1014.4 PE=1 SV=2</t>
  </si>
  <si>
    <t>Q18922</t>
  </si>
  <si>
    <t>t-SNARE coiled-coil homology domain-containing protein</t>
  </si>
  <si>
    <t>&gt;tr|Q18934|Q18934_CAEEL Mitochondrial carrier protein PET8 OS=Caenorhabditis elegans OX=6239 GN=slc-25a26 PE=1 SV=1</t>
  </si>
  <si>
    <t>Q18934</t>
  </si>
  <si>
    <t>slc-25a26</t>
  </si>
  <si>
    <t>Mitochondrial carrier protein PET8</t>
  </si>
  <si>
    <t>&gt;tr|Q18942|Q18942_CAEEL Pre-mRNA-splicing factor 38 OS=Caenorhabditis elegans OX=6239 GN=prp-38 PE=1 SV=1</t>
  </si>
  <si>
    <t>Q18942</t>
  </si>
  <si>
    <t>prp-38</t>
  </si>
  <si>
    <t>Pre-mRNA-splicing factor 38</t>
  </si>
  <si>
    <t>&gt;tr|Q18943|Q18943_CAEEL DUF1525 domain-containing protein OS=Caenorhabditis elegans OX=6239 GN=CELE_D1054.10 PE=1 SV=1</t>
  </si>
  <si>
    <t>Q18943</t>
  </si>
  <si>
    <t>DUF1525 domain-containing protein</t>
  </si>
  <si>
    <t>&gt;tr|Q18946|Q18946_CAEEL DeHydrogenases, Short chain OS=Caenorhabditis elegans OX=6239 GN=CELE_D1054.8 PE=1 SV=1</t>
  </si>
  <si>
    <t>Q18946</t>
  </si>
  <si>
    <t>&gt;tr|Q18947|Q18947_CAEEL Uterine Lumin Expressed/locailized OS=Caenorhabditis elegans OX=6239 GN=ule-3 PE=1 SV=1</t>
  </si>
  <si>
    <t>Q18947</t>
  </si>
  <si>
    <t>ule-3</t>
  </si>
  <si>
    <t>Uterine Lumin Expressed/locailized</t>
  </si>
  <si>
    <t>&gt;tr|Q18965|Q18965_CAEEL Dynamin-like GTPase OPA1, mitochondrial OS=Caenorhabditis elegans OX=6239 GN=eat-3 PE=1 SV=3</t>
  </si>
  <si>
    <t>Q18965</t>
  </si>
  <si>
    <t>eat-3</t>
  </si>
  <si>
    <t>Dynamin-like GTPase OPA1, mitochondrial</t>
  </si>
  <si>
    <t>&gt;sp|Q18967|EIF3F_CAEEL Eukaryotic translation initiation factor 3 subunit F OS=Caenorhabditis elegans OX=6239 GN=eif-3.F PE=3 SV=1</t>
  </si>
  <si>
    <t>Q18967</t>
  </si>
  <si>
    <t>eif-3.F</t>
  </si>
  <si>
    <t>Eukaryotic translation initiation factor 3 subunit F</t>
  </si>
  <si>
    <t>&gt;tr|Q18968|Q18968_CAEEL Sterol regulatory element-binding protein cleavage-activating protein OS=Caenorhabditis elegans OX=6239 GN=scp-1 PE=1 SV=3</t>
  </si>
  <si>
    <t>Q18968</t>
  </si>
  <si>
    <t>scp-1</t>
  </si>
  <si>
    <t>Sterol regulatory element-binding protein cleavage-activating protein</t>
  </si>
  <si>
    <t>&gt;sp|Q18969|RAB39_CAEEL Ras-related protein rab-39 OS=Caenorhabditis elegans OX=6239 GN=rab-39 PE=1 SV=2</t>
  </si>
  <si>
    <t>Q18969</t>
  </si>
  <si>
    <t>rab-39</t>
  </si>
  <si>
    <t>Ras-related protein rab-39</t>
  </si>
  <si>
    <t>&gt;tr|Q18983|Q18983_CAEEL ECm29 Proteasome adaptor and Scaffold OS=Caenorhabditis elegans OX=6239 GN=ecps-1 PE=1 SV=3</t>
  </si>
  <si>
    <t>Q18983</t>
  </si>
  <si>
    <t>ecps-1</t>
  </si>
  <si>
    <t>ECm29 Proteasome adaptor and Scaffold</t>
  </si>
  <si>
    <t>&gt;sp|Q18990|PYR1_CAEEL Multifunctional protein pyr-1 OS=Caenorhabditis elegans OX=6239 GN=pyr-1 PE=1 SV=2</t>
  </si>
  <si>
    <t>Q18990</t>
  </si>
  <si>
    <t>pyr-1</t>
  </si>
  <si>
    <t>Multifunctional protein pyr-1</t>
  </si>
  <si>
    <t>&gt;tr|Q18994|Q18994_CAEEL Translation initiation factor eIF2B subunit epsilon OS=Caenorhabditis elegans OX=6239 GN=eif-2bepsilon PE=1 SV=1</t>
  </si>
  <si>
    <t>Q18994</t>
  </si>
  <si>
    <t>eif-2bepsilon</t>
  </si>
  <si>
    <t>Translation initiation factor eIF2B subunit epsilon</t>
  </si>
  <si>
    <t>&gt;tr|Q19007|Q19007_CAEEL Nucleosome assembly protein 1-like 1 OS=Caenorhabditis elegans OX=6239 GN=nap-1 PE=1 SV=1</t>
  </si>
  <si>
    <t>Q19007</t>
  </si>
  <si>
    <t>nap-1</t>
  </si>
  <si>
    <t>Nucleosome assembly protein 1-like 1</t>
  </si>
  <si>
    <t>&gt;sp|Q19013|GLS2_CAEEL Putative glutaminase 2 OS=Caenorhabditis elegans OX=6239 GN=glna-2 PE=3 SV=2</t>
  </si>
  <si>
    <t>Q19013</t>
  </si>
  <si>
    <t>glna-2</t>
  </si>
  <si>
    <t>Putative glutaminase 2</t>
  </si>
  <si>
    <t>&gt;tr|Q19014|Q19014_CAEEL F-box domain-containing protein OS=Caenorhabditis elegans OX=6239 GN=CELE_DH11.2 PE=4 SV=2</t>
  </si>
  <si>
    <t>Q19014</t>
  </si>
  <si>
    <t>&gt;sp|Q19020|DYHC_CAEEL Dynein heavy chain, cytoplasmic OS=Caenorhabditis elegans OX=6239 GN=dhc-1 PE=1 SV=1</t>
  </si>
  <si>
    <t>Q19020</t>
  </si>
  <si>
    <t>dhc-1</t>
  </si>
  <si>
    <t>Dynein heavy chain, cytoplasmic</t>
  </si>
  <si>
    <t>&gt;tr|Q19046|Q19046_CAEEL ATP-dependent DNA helicase OS=Caenorhabditis elegans OX=6239 GN=rcq-5 PE=1 SV=2</t>
  </si>
  <si>
    <t>Q19046</t>
  </si>
  <si>
    <t>rcq-5</t>
  </si>
  <si>
    <t>&gt;sp|Q19052|EIF2A_CAEEL Eukaryotic translation initiation factor 2A OS=Caenorhabditis elegans OX=6239 GN=eif-2A PE=3 SV=2</t>
  </si>
  <si>
    <t>Q19052</t>
  </si>
  <si>
    <t>eif-2A</t>
  </si>
  <si>
    <t>Eukaryotic translation initiation factor 2A</t>
  </si>
  <si>
    <t>&gt;tr|Q19057|Q19057_CAEEL Very long-chain specific acyl-CoA dehydrogenase, mitochondrial OS=Caenorhabditis elegans OX=6239 GN=acdh-12 PE=1 SV=1</t>
  </si>
  <si>
    <t>Q19057</t>
  </si>
  <si>
    <t>acdh-12</t>
  </si>
  <si>
    <t>Very long-chain specific acyl-CoA dehydrogenase, mitochondrial</t>
  </si>
  <si>
    <t>&gt;tr|Q19082|Q19082_CAEEL Glucuronosyltransferase OS=Caenorhabditis elegans OX=6239 GN=ugt-57 PE=1 SV=1</t>
  </si>
  <si>
    <t>Q19082</t>
  </si>
  <si>
    <t>ugt-57</t>
  </si>
  <si>
    <t>&gt;tr|Q19090|Q19090_CAEEL PAP-associated domain-containing protein OS=Caenorhabditis elegans OX=6239 GN=CELE_F01F1.11 PE=4 SV=2</t>
  </si>
  <si>
    <t>Q19090</t>
  </si>
  <si>
    <t>&gt;tr|Q19096|Q19096_CAEEL SUppressor of activated let-60 Ras OS=Caenorhabditis elegans OX=6239 GN=sur-7 PE=1 SV=2</t>
  </si>
  <si>
    <t>Q19096</t>
  </si>
  <si>
    <t>sur-7</t>
  </si>
  <si>
    <t>SUppressor of activated let-60 Ras</t>
  </si>
  <si>
    <t>&gt;tr|Q19103|Q19103_CAEEL Helicase SKI2W OS=Caenorhabditis elegans OX=6239 GN=skih-2 PE=1 SV=3</t>
  </si>
  <si>
    <t>Q19103</t>
  </si>
  <si>
    <t>skih-2</t>
  </si>
  <si>
    <t>Helicase SKI2W</t>
  </si>
  <si>
    <t>&gt;tr|Q19122|Q19122_CAEEL Non-specific serine/threonine protein kinase OS=Caenorhabditis elegans OX=6239 GN=CELE_F02E8.4 PE=4 SV=2</t>
  </si>
  <si>
    <t>Q19122</t>
  </si>
  <si>
    <t>Non-specific serine/threonine protein kinase</t>
  </si>
  <si>
    <t>&gt;tr|Q19123|Q19123_CAEEL AP complex subunit sigma OS=Caenorhabditis elegans OX=6239 GN=aps-2 PE=1 SV=1</t>
  </si>
  <si>
    <t>Q19123</t>
  </si>
  <si>
    <t>aps-2</t>
  </si>
  <si>
    <t>&gt;sp|Q19124|A16L1_CAEEL Autophagic-related protein 16.1 OS=Caenorhabditis elegans OX=6239 GN=atg-16.1 PE=1 SV=2</t>
  </si>
  <si>
    <t>Q19124</t>
  </si>
  <si>
    <t>atg-16.1</t>
  </si>
  <si>
    <t>Autophagic-related protein 16.1</t>
  </si>
  <si>
    <t>&gt;sp|Q19126|AT5F2_CAEEL ATP synthase F(0) complex subunit B2, mitochondrial OS=Caenorhabditis elegans OX=6239 GN=asb-2 PE=2 SV=1</t>
  </si>
  <si>
    <t>Q19126</t>
  </si>
  <si>
    <t>asb-2</t>
  </si>
  <si>
    <t>ATP synthase F(0) complex subunit B2, mitochondrial</t>
  </si>
  <si>
    <t>&gt;tr|Q19130|Q19130_CAEEL glutamine--fructose-6-phosphate transaminase (isomerizing) OS=Caenorhabditis elegans OX=6239 GN=gfat-1 PE=1 SV=1</t>
  </si>
  <si>
    <t>Q19130</t>
  </si>
  <si>
    <t>gfat-1</t>
  </si>
  <si>
    <t>glutamine--fructose-6-phosphate transaminase (isomerizing)</t>
  </si>
  <si>
    <t>&gt;sp|Q19131|NPP5_CAEEL Nuclear pore complex protein 5 OS=Caenorhabditis elegans OX=6239 GN=npp-5 PE=1 SV=1</t>
  </si>
  <si>
    <t>Q19131</t>
  </si>
  <si>
    <t>npp-5</t>
  </si>
  <si>
    <t>Nuclear pore complex protein 5</t>
  </si>
  <si>
    <t>&gt;tr|Q19132|Q19132_CAEEL ubiquitinyl hydrolase 1 OS=Caenorhabditis elegans OX=6239 GN=CELE_F07A11.4 PE=1 SV=2</t>
  </si>
  <si>
    <t>Q19132</t>
  </si>
  <si>
    <t>&gt;sp|Q19162|RL112_CAEEL Large ribosomal subunit protein uL5B OS=Caenorhabditis elegans OX=6239 GN=rpl-11.2 PE=3 SV=1</t>
  </si>
  <si>
    <t>Q19162</t>
  </si>
  <si>
    <t>rpl-11.2</t>
  </si>
  <si>
    <t>Large ribosomal subunit protein uL5B</t>
  </si>
  <si>
    <t>&gt;sp|Q19189|PEX12_CAEEL Peroxisome assembly protein 12 OS=Caenorhabditis elegans OX=6239 GN=prx-12 PE=3 SV=1</t>
  </si>
  <si>
    <t>Q19189</t>
  </si>
  <si>
    <t>prx-12</t>
  </si>
  <si>
    <t>Peroxisome assembly protein 12</t>
  </si>
  <si>
    <t>&gt;sp|Q19192|E2AKA_CAEEL Eukaryotic translation initiation factor 2-alpha kinase pek-1 OS=Caenorhabditis elegans OX=6239 GN=pek-1 PE=1 SV=2</t>
  </si>
  <si>
    <t>Q19192</t>
  </si>
  <si>
    <t>pek-1</t>
  </si>
  <si>
    <t>Eukaryotic translation initiation factor 2-alpha kinase pek-1</t>
  </si>
  <si>
    <t>&gt;sp|Q19196|DPOE2_CAEEL Probable DNA polymerase epsilon subunit 2 OS=Caenorhabditis elegans OX=6239 GN=pole-2 PE=3 SV=2</t>
  </si>
  <si>
    <t>Q19196</t>
  </si>
  <si>
    <t>pole-2</t>
  </si>
  <si>
    <t>Probable DNA polymerase epsilon subunit 2</t>
  </si>
  <si>
    <t>&gt;sp|Q19200|STO1_CAEEL Stomatin-1 OS=Caenorhabditis elegans OX=6239 GN=sto-1 PE=3 SV=2</t>
  </si>
  <si>
    <t>Q19200</t>
  </si>
  <si>
    <t>sto-1</t>
  </si>
  <si>
    <t>Stomatin-1</t>
  </si>
  <si>
    <t>&gt;sp|Q19202|APY1_CAEEL Apyrase apy-1 OS=Caenorhabditis elegans OX=6239 GN=apy-1 PE=1 SV=2</t>
  </si>
  <si>
    <t>Q19202</t>
  </si>
  <si>
    <t>apy-1</t>
  </si>
  <si>
    <t>Apyrase apy-1</t>
  </si>
  <si>
    <t>&gt;tr|Q19210|Q19210_CAEEL Rab-like protein 6 OS=Caenorhabditis elegans OX=6239 GN=CELE_F08G12.1 PE=1 SV=1</t>
  </si>
  <si>
    <t>Q19210</t>
  </si>
  <si>
    <t>Rab-like protein 6</t>
  </si>
  <si>
    <t>&gt;tr|Q19222|Q19222_CAEEL UDP-glucuronosyltransferase OS=Caenorhabditis elegans OX=6239 GN=ugt-65 PE=1 SV=3</t>
  </si>
  <si>
    <t>Q19222</t>
  </si>
  <si>
    <t>ugt-65</t>
  </si>
  <si>
    <t>&gt;tr|Q19246|Q19246_CAEEL Estradiol 17-beta-dehydrogenase 8 OS=Caenorhabditis elegans OX=6239 GN=dhs-25 PE=1 SV=2</t>
  </si>
  <si>
    <t>Q19246</t>
  </si>
  <si>
    <t>dhs-25</t>
  </si>
  <si>
    <t>Estradiol 17-beta-dehydrogenase 8</t>
  </si>
  <si>
    <t>&gt;tr|Q19257|Q19257_CAEEL PI31_Prot_N domain-containing protein OS=Caenorhabditis elegans OX=6239 GN=CELE_F09E5.7 PE=1 SV=1</t>
  </si>
  <si>
    <t>Q19257</t>
  </si>
  <si>
    <t>PI31_Prot_N domain-containing protein</t>
  </si>
  <si>
    <t>&gt;tr|Q19259|Q19259_CAEEL Transmembrane protein 199 OS=Caenorhabditis elegans OX=6239 GN=CELE_F09E5.11 PE=1 SV=2</t>
  </si>
  <si>
    <t>Q19259</t>
  </si>
  <si>
    <t>Transmembrane protein 199</t>
  </si>
  <si>
    <t>&gt;sp|Q19262|EXOC3_CAEEL Exocyst complex component 3 OS=Caenorhabditis elegans OX=6239 GN=sec-6 PE=3 SV=2</t>
  </si>
  <si>
    <t>Q19262</t>
  </si>
  <si>
    <t>sec-6</t>
  </si>
  <si>
    <t>Exocyst complex component 3</t>
  </si>
  <si>
    <t>&gt;sp|Q19264|DEOC_CAEEL Putative deoxyribose-phosphate aldolase OS=Caenorhabditis elegans OX=6239 GN=F09E5.3 PE=3 SV=1</t>
  </si>
  <si>
    <t>Q19264</t>
  </si>
  <si>
    <t>F09E5.3</t>
  </si>
  <si>
    <t>Putative deoxyribose-phosphate aldolase</t>
  </si>
  <si>
    <t>&gt;tr|Q19265|Q19265_CAEEL Alpha-1,3/1,6-mannosyltransferase ALG2 OS=Caenorhabditis elegans OX=6239 GN=algn-2 PE=1 SV=2</t>
  </si>
  <si>
    <t>Q19265</t>
  </si>
  <si>
    <t>algn-2</t>
  </si>
  <si>
    <t>&gt;sp|Q19266|KPC3_CAEEL Protein kinase C-like 3 OS=Caenorhabditis elegans OX=6239 GN=pkc-3 PE=1 SV=1</t>
  </si>
  <si>
    <t>Q19266</t>
  </si>
  <si>
    <t>pkc-3</t>
  </si>
  <si>
    <t>Protein kinase C-like 3</t>
  </si>
  <si>
    <t>&gt;tr|Q19278|Q19278_CAEEL 3-hydroxyisobutyryl-CoA hydrolase, mitochondrial OS=Caenorhabditis elegans OX=6239 GN=hach-1 PE=1 SV=1</t>
  </si>
  <si>
    <t>Q19278</t>
  </si>
  <si>
    <t>hach-1</t>
  </si>
  <si>
    <t>3-hydroxyisobutyryl-CoA hydrolase, mitochondrial</t>
  </si>
  <si>
    <t>&gt;sp|Q19286|IFB2_CAEEL Intermediate filament protein ifb-2 OS=Caenorhabditis elegans OX=6239 GN=ifb-2 PE=1 SV=1</t>
  </si>
  <si>
    <t>Q19286</t>
  </si>
  <si>
    <t>ifb-2</t>
  </si>
  <si>
    <t>Intermediate filament protein ifb-2</t>
  </si>
  <si>
    <t>&gt;sp|Q19289|IFB1_CAEEL Intermediate filament protein ifb-1 OS=Caenorhabditis elegans OX=6239 GN=ifb-1 PE=1 SV=1</t>
  </si>
  <si>
    <t>Q19289</t>
  </si>
  <si>
    <t>ifb-1</t>
  </si>
  <si>
    <t>Intermediate filament protein ifb-1</t>
  </si>
  <si>
    <t>&gt;sp|Q19293|NEMP_CAEEL Nuclear envelope integral membrane protein OS=Caenorhabditis elegans OX=6239 GN=nemp-1 PE=3 SV=3</t>
  </si>
  <si>
    <t>Q19293</t>
  </si>
  <si>
    <t>nemp-1</t>
  </si>
  <si>
    <t>Nuclear envelope integral membrane protein</t>
  </si>
  <si>
    <t>&gt;sp|Q19294|CDC23_CAEEL Cell division cycle protein 23 homolog OS=Caenorhabditis elegans OX=6239 GN=mat-3 PE=1 SV=2</t>
  </si>
  <si>
    <t>Q19294</t>
  </si>
  <si>
    <t>mat-3</t>
  </si>
  <si>
    <t>Cell division cycle protein 23 homolog</t>
  </si>
  <si>
    <t>&gt;tr|Q19302|Q19302_CAEEL Ribosome assembly factor mrt4 OS=Caenorhabditis elegans OX=6239 GN=CELE_F10E7.5 PE=1 SV=1</t>
  </si>
  <si>
    <t>Q19302</t>
  </si>
  <si>
    <t>Ribosome assembly factor mrt4</t>
  </si>
  <si>
    <t>&gt;tr|Q19305|Q19305_CAEEL Spondin-1 OS=Caenorhabditis elegans OX=6239 GN=spon-1 PE=1 SV=2</t>
  </si>
  <si>
    <t>Q19305</t>
  </si>
  <si>
    <t>spon-1</t>
  </si>
  <si>
    <t>Spondin-1</t>
  </si>
  <si>
    <t>&gt;sp|Q19311|PUR4_CAEEL Probable phosphoribosylformylglycinamidine synthase OS=Caenorhabditis elegans OX=6239 GN=pfas-1 PE=3 SV=3</t>
  </si>
  <si>
    <t>Q19311</t>
  </si>
  <si>
    <t>pfas-1</t>
  </si>
  <si>
    <t>Probable phosphoribosylformylglycinamidine synthase</t>
  </si>
  <si>
    <t>&gt;sp|Q19317|NBEA_CAEEL Putative neurobeachin homolog OS=Caenorhabditis elegans OX=6239 GN=sel-2 PE=2 SV=3</t>
  </si>
  <si>
    <t>Q19317</t>
  </si>
  <si>
    <t>sel-2</t>
  </si>
  <si>
    <t>Putative neurobeachin homolog</t>
  </si>
  <si>
    <t>&gt;sp|Q19319|CADH4_CAEEL Cadherin-4 OS=Caenorhabditis elegans OX=6239 GN=cdh-4 PE=1 SV=4</t>
  </si>
  <si>
    <t>Q19319</t>
  </si>
  <si>
    <t>cdh-4</t>
  </si>
  <si>
    <t>Cadherin-4</t>
  </si>
  <si>
    <t>&gt;tr|Q19324|Q19324_CAEEL PCI domain-containing protein OS=Caenorhabditis elegans OX=6239 GN=rpn-5 PE=1 SV=1</t>
  </si>
  <si>
    <t>Q19324</t>
  </si>
  <si>
    <t>rpn-5</t>
  </si>
  <si>
    <t>PCI domain-containing protein</t>
  </si>
  <si>
    <t>&gt;tr|Q19328|Q19328_CAEEL Staphylococcal nuclease domain-containing protein OS=Caenorhabditis elegans OX=6239 GN=tsn-1 PE=1 SV=1</t>
  </si>
  <si>
    <t>Q19328</t>
  </si>
  <si>
    <t>tsn-1</t>
  </si>
  <si>
    <t>Staphylococcal nuclease domain-containing protein</t>
  </si>
  <si>
    <t>&gt;sp|Q19329|TSR1_CAEEL Pre-rRNA-processing protein TSR1 homolog OS=Caenorhabditis elegans OX=6239 GN=tag-151 PE=3 SV=1</t>
  </si>
  <si>
    <t>Q19329</t>
  </si>
  <si>
    <t>tag-151</t>
  </si>
  <si>
    <t>Pre-rRNA-processing protein TSR1 homolog</t>
  </si>
  <si>
    <t>&gt;sp|Q19337|ST7_CAEEL Protein ST7 homolog OS=Caenorhabditis elegans OX=6239 GN=F11A10.5 PE=3 SV=1</t>
  </si>
  <si>
    <t>Q19337</t>
  </si>
  <si>
    <t>F11A10.5</t>
  </si>
  <si>
    <t>Protein ST7 homolog</t>
  </si>
  <si>
    <t>&gt;sp|Q19338|MON2_CAEEL Monensin-resistant homolog 2 OS=Caenorhabditis elegans OX=6239 GN=mon-2 PE=3 SV=2</t>
  </si>
  <si>
    <t>Q19338</t>
  </si>
  <si>
    <t>mon-2</t>
  </si>
  <si>
    <t>Monensin-resistant homolog 2</t>
  </si>
  <si>
    <t>&gt;tr|Q19339|Q19339_CAEEL 4-coumarate--CoA ligase OS=Caenorhabditis elegans OX=6239 GN=acs-14 PE=1 SV=1</t>
  </si>
  <si>
    <t>Q19339</t>
  </si>
  <si>
    <t>acs-14</t>
  </si>
  <si>
    <t>4-coumarate--CoA ligase</t>
  </si>
  <si>
    <t>&gt;tr|Q19346|Q19346_CAEEL VWFA domain-containing protein OS=Caenorhabditis elegans OX=6239 GN=vwa-8 PE=1 SV=3</t>
  </si>
  <si>
    <t>Q19346</t>
  </si>
  <si>
    <t>vwa-8</t>
  </si>
  <si>
    <t>&gt;sp|Q19360|UBA3_CAEEL NEDD8-activating enzyme E1 catalytic subunit OS=Caenorhabditis elegans OX=6239 GN=rfl-1 PE=1 SV=2</t>
  </si>
  <si>
    <t>Q19360</t>
  </si>
  <si>
    <t>rfl-1</t>
  </si>
  <si>
    <t>NEDD8-activating enzyme E1 catalytic subunit</t>
  </si>
  <si>
    <t>&gt;sp|Q19366|DPOD2_CAEEL Probable DNA polymerase delta small subunit OS=Caenorhabditis elegans OX=6239 GN=F12F6.7 PE=3 SV=1</t>
  </si>
  <si>
    <t>Q19366</t>
  </si>
  <si>
    <t>F12F6.7</t>
  </si>
  <si>
    <t>Probable DNA polymerase delta small subunit</t>
  </si>
  <si>
    <t>&gt;tr|Q19371|Q19371_CAEEL Protein transport protein Sec24C OS=Caenorhabditis elegans OX=6239 GN=sec-24.1 PE=1 SV=1</t>
  </si>
  <si>
    <t>Q19371</t>
  </si>
  <si>
    <t>sec-24.1</t>
  </si>
  <si>
    <t>Protein transport protein Sec24C</t>
  </si>
  <si>
    <t>&gt;sp|Q19375|IWS1_CAEEL IWS1-like protein OS=Caenorhabditis elegans OX=6239 GN=F13B12.1 PE=3 SV=1</t>
  </si>
  <si>
    <t>Q19375</t>
  </si>
  <si>
    <t>F13B12.1</t>
  </si>
  <si>
    <t>IWS1-like protein</t>
  </si>
  <si>
    <t>&gt;tr|Q19393|Q19393_CAEEL Transmembrane protein OS=Caenorhabditis elegans OX=6239 GN=CELE_F13D12.5 PE=1 SV=1</t>
  </si>
  <si>
    <t>Q19393</t>
  </si>
  <si>
    <t>&gt;tr|Q19416|Q19416_CAEEL DYnein Light chain (Tctex type) OS=Caenorhabditis elegans OX=6239 GN=dylt-1 PE=1 SV=2</t>
  </si>
  <si>
    <t>Q19416</t>
  </si>
  <si>
    <t>dylt-1</t>
  </si>
  <si>
    <t>DYnein Light chain (Tctex type)</t>
  </si>
  <si>
    <t>&gt;tr|Q19422|Q19422_CAEEL SLC (SoLute Carrier) homolog OS=Caenorhabditis elegans OX=6239 GN=CELE_F13G3.7 PE=1 SV=3</t>
  </si>
  <si>
    <t>Q19422</t>
  </si>
  <si>
    <t>&gt;sp|Q19426|MOGS1_CAEEL Mannosyl-oligosaccharide glucosidase OS=Caenorhabditis elegans OX=6239 GN=mogs-1 PE=1 SV=2</t>
  </si>
  <si>
    <t>Q19426</t>
  </si>
  <si>
    <t>mogs-1</t>
  </si>
  <si>
    <t>Mannosyl-oligosaccharide glucosidase</t>
  </si>
  <si>
    <t>&gt;tr|Q19429|Q19429_CAEEL Domain of unknown function DB domain-containing protein OS=Caenorhabditis elegans OX=6239 GN=CELE_F13H8.5 PE=1 SV=5</t>
  </si>
  <si>
    <t>Q19429</t>
  </si>
  <si>
    <t>Domain of unknown function DB domain-containing protein</t>
  </si>
  <si>
    <t>&gt;tr|Q19433|Q19433_CAEEL Small-subunit processome Utp12 domain-containing protein OS=Caenorhabditis elegans OX=6239 GN=CELE_F13H8.2 PE=1 SV=2</t>
  </si>
  <si>
    <t>Q19433</t>
  </si>
  <si>
    <t>&gt;tr|Q19467|Q19467_CAEEL Arf-GAP domain-containing protein OS=Caenorhabditis elegans OX=6239 GN=git-1 PE=1 SV=2</t>
  </si>
  <si>
    <t>Q19467</t>
  </si>
  <si>
    <t>git-1</t>
  </si>
  <si>
    <t>&gt;sp|Q19468|MBOA7_CAEEL Lysophospholipid acyltransferase 7 OS=Caenorhabditis elegans OX=6239 GN=mboa-7 PE=1 SV=2</t>
  </si>
  <si>
    <t>Q19468</t>
  </si>
  <si>
    <t>mboa-7</t>
  </si>
  <si>
    <t>Lysophospholipid acyltransferase 7</t>
  </si>
  <si>
    <t>&gt;tr|Q19470|Q19470_CAEEL Nematode cuticle collagen N-terminal domain-containing protein OS=Caenorhabditis elegans OX=6239 GN=col-184 PE=1 SV=1</t>
  </si>
  <si>
    <t>Q19470</t>
  </si>
  <si>
    <t>col-184</t>
  </si>
  <si>
    <t>&gt;tr|Q19490|Q19490_CAEEL Tubulin alpha chain OS=Caenorhabditis elegans OX=6239 GN=tba-5 PE=3 SV=1</t>
  </si>
  <si>
    <t>Q19490</t>
  </si>
  <si>
    <t>tba-5</t>
  </si>
  <si>
    <t>&gt;tr|Q19491|Q19491_CAEEL Tudor domain-containing protein OS=Caenorhabditis elegans OX=6239 GN=rsd-6 PE=1 SV=3</t>
  </si>
  <si>
    <t>Q19491</t>
  </si>
  <si>
    <t>rsd-6</t>
  </si>
  <si>
    <t>Tudor domain-containing protein</t>
  </si>
  <si>
    <t>&gt;sp|Q19493|TBCD_CAEEL Tubulin-specific chaperone D OS=Caenorhabditis elegans OX=6239 GN=tbcd-1 PE=3 SV=2</t>
  </si>
  <si>
    <t>Q19493</t>
  </si>
  <si>
    <t>tbcd-1</t>
  </si>
  <si>
    <t>Tubulin-specific chaperone D</t>
  </si>
  <si>
    <t>&gt;tr|Q19496|Q19496_CAEEL Nuclear Hormone Receptor family OS=Caenorhabditis elegans OX=6239 GN=nhr-45 PE=3 SV=3</t>
  </si>
  <si>
    <t>Q19496</t>
  </si>
  <si>
    <t>nhr-45</t>
  </si>
  <si>
    <t>&gt;tr|Q19517|Q19517_CAEEL Polysacc_synt_C domain-containing protein OS=Caenorhabditis elegans OX=6239 GN=CELE_F17C11.6 PE=4 SV=2</t>
  </si>
  <si>
    <t>Q19517</t>
  </si>
  <si>
    <t>Polysacc_synt_C domain-containing protein</t>
  </si>
  <si>
    <t>&gt;tr|Q19518|Q19518_CAEEL Phosphatidylinositol glycan, class T OS=Caenorhabditis elegans OX=6239 GN=pigt-1 PE=1 SV=1</t>
  </si>
  <si>
    <t>Q19518</t>
  </si>
  <si>
    <t>pigt-1</t>
  </si>
  <si>
    <t>Phosphatidylinositol glycan, class T</t>
  </si>
  <si>
    <t>&gt;tr|Q19519|Q19519_CAEEL Vacuolar protein-sorting-associated protein 36 OS=Caenorhabditis elegans OX=6239 GN=vps-36 PE=1 SV=2</t>
  </si>
  <si>
    <t>Q19519</t>
  </si>
  <si>
    <t>vps-36</t>
  </si>
  <si>
    <t>Vacuolar protein-sorting-associated protein 36</t>
  </si>
  <si>
    <t>&gt;tr|Q19520|Q19520_CAEEL Minichromosome loss protein Mcl1 middle region domain-containing protein OS=Caenorhabditis elegans OX=6239 GN=ctf-4 PE=1 SV=1</t>
  </si>
  <si>
    <t>Q19520</t>
  </si>
  <si>
    <t>ctf-4</t>
  </si>
  <si>
    <t>Minichromosome loss protein Mcl1 middle region domain-containing protein</t>
  </si>
  <si>
    <t>&gt;tr|Q19523|Q19523_CAEEL adenylate cyclase OS=Caenorhabditis elegans OX=6239 GN=acy-1 PE=1 SV=1</t>
  </si>
  <si>
    <t>Q19523</t>
  </si>
  <si>
    <t>acy-1</t>
  </si>
  <si>
    <t>adenylate cyclase</t>
  </si>
  <si>
    <t>&gt;sp|Q19532|SNX17_CAEEL Sorting nexin-17 homolog OS=Caenorhabditis elegans OX=6239 GN=snx-17 PE=3 SV=2</t>
  </si>
  <si>
    <t>Q19532</t>
  </si>
  <si>
    <t>snx-17</t>
  </si>
  <si>
    <t>Sorting nexin-17 homolog</t>
  </si>
  <si>
    <t>&gt;sp|Q19537|RFA1_CAEEL Probable replication factor A 73 kDa subunit OS=Caenorhabditis elegans OX=6239 GN=rpa-1 PE=1 SV=1</t>
  </si>
  <si>
    <t>Q19537</t>
  </si>
  <si>
    <t>rpa-1</t>
  </si>
  <si>
    <t>Probable replication factor A 73 kDa subunit</t>
  </si>
  <si>
    <t>&gt;tr|Q19545|Q19545_CAEEL DRIM domain-containing protein OS=Caenorhabditis elegans OX=6239 GN=utp-20 PE=1 SV=3</t>
  </si>
  <si>
    <t>Q19545</t>
  </si>
  <si>
    <t>utp-20</t>
  </si>
  <si>
    <t>DRIM domain-containing protein</t>
  </si>
  <si>
    <t>&gt;tr|Q19554|Q19554_CAEEL ABC transporter domain-containing protein OS=Caenorhabditis elegans OX=6239 GN=abcf-1 PE=1 SV=1</t>
  </si>
  <si>
    <t>Q19554</t>
  </si>
  <si>
    <t>abcf-1</t>
  </si>
  <si>
    <t>&gt;sp|Q19555|SCC3_CAEEL Cohesin subunit scc-3 OS=Caenorhabditis elegans OX=6239 GN=scc-3 PE=1 SV=1</t>
  </si>
  <si>
    <t>Q19555</t>
  </si>
  <si>
    <t>scc-3</t>
  </si>
  <si>
    <t>Cohesin subunit scc-3</t>
  </si>
  <si>
    <t>&gt;sp|Q19564|OXDD2_CAEEL D-aspartate oxidase 2 OS=Caenorhabditis elegans OX=6239 GN=ddo-2 PE=1 SV=1</t>
  </si>
  <si>
    <t>Q19564</t>
  </si>
  <si>
    <t>ddo-2</t>
  </si>
  <si>
    <t>D-aspartate oxidase 2</t>
  </si>
  <si>
    <t>&gt;tr|Q19579|Q19579_CAEEL Polyadenylate-binding protein OS=Caenorhabditis elegans OX=6239 GN=pab-2 PE=1 SV=1</t>
  </si>
  <si>
    <t>Q19579</t>
  </si>
  <si>
    <t>pab-2</t>
  </si>
  <si>
    <t>Polyadenylate-binding protein</t>
  </si>
  <si>
    <t>&gt;sp|Q19614|SLFL2_CAEEL Schlafen-like protein 2 OS=Caenorhabditis elegans OX=6239 GN=tofu-2 PE=1 SV=3</t>
  </si>
  <si>
    <t>Q19614</t>
  </si>
  <si>
    <t>tofu-2</t>
  </si>
  <si>
    <t>Schlafen-like protein 2</t>
  </si>
  <si>
    <t>&gt;sp|Q19626|VATB1_CAEEL V-type proton ATPase subunit B 1 OS=Caenorhabditis elegans OX=6239 GN=vha-12 PE=1 SV=1</t>
  </si>
  <si>
    <t>Q19626</t>
  </si>
  <si>
    <t>vha-12</t>
  </si>
  <si>
    <t>V-type proton ATPase subunit B 1</t>
  </si>
  <si>
    <t>&gt;sp|Q19642|ZW10_CAEEL Centromere/kinetochore protein zw10 homolog OS=Caenorhabditis elegans OX=6239 GN=czw-1 PE=1 SV=1</t>
  </si>
  <si>
    <t>Q19642</t>
  </si>
  <si>
    <t>czw-1</t>
  </si>
  <si>
    <t>Centromere/kinetochore protein zw10 homolog</t>
  </si>
  <si>
    <t>&gt;tr|Q19646|Q19646_CAEEL Serine/threonine specific protein phosphatases domain-containing protein OS=Caenorhabditis elegans OX=6239 GN=CELE_F20D6.6 PE=4 SV=2</t>
  </si>
  <si>
    <t>Q19646</t>
  </si>
  <si>
    <t>Serine/threonine specific protein phosphatases domain-containing protein</t>
  </si>
  <si>
    <t>&gt;tr|Q19661|Q19661_CAEEL N-acetyltransferase domain-containing protein OS=Caenorhabditis elegans OX=6239 GN=CELE_F21C10.9 PE=1 SV=3</t>
  </si>
  <si>
    <t>Q19661</t>
  </si>
  <si>
    <t>&gt;tr|Q19663|Q19663_CAEEL Ig-like domain-containing protein OS=Caenorhabditis elegans OX=6239 GN=CELE_F21C10.7 PE=1 SV=2</t>
  </si>
  <si>
    <t>Q19663</t>
  </si>
  <si>
    <t>&gt;tr|Q19672|Q19672_CAEEL SH2 domain-containing protein OS=Caenorhabditis elegans OX=6239 GN=rde-2 PE=1 SV=3</t>
  </si>
  <si>
    <t>Q19672</t>
  </si>
  <si>
    <t>rde-2</t>
  </si>
  <si>
    <t>&gt;tr|Q19680|Q19680_CAEEL Phosphoacetylglucosamine mutase OS=Caenorhabditis elegans OX=6239 GN=CELE_F21D5.1 PE=1 SV=1</t>
  </si>
  <si>
    <t>Q19680</t>
  </si>
  <si>
    <t>Phosphoacetylglucosamine mutase</t>
  </si>
  <si>
    <t>&gt;sp|Q19683|YZR5_CAEEL Uncharacterized protein F21D5.5 OS=Caenorhabditis elegans OX=6239 GN=F21D5.5 PE=2 SV=2</t>
  </si>
  <si>
    <t>Q19683</t>
  </si>
  <si>
    <t>F21D5.5</t>
  </si>
  <si>
    <t>Uncharacterized protein F21D5.5</t>
  </si>
  <si>
    <t>&gt;tr|Q19699|Q19699_CAEEL glutamine--fructose-6-phosphate transaminase (isomerizing) OS=Caenorhabditis elegans OX=6239 GN=gfat-2 PE=1 SV=1</t>
  </si>
  <si>
    <t>Q19699</t>
  </si>
  <si>
    <t>gfat-2</t>
  </si>
  <si>
    <t>&gt;sp|Q19706|EIF3G_CAEEL Eukaryotic translation initiation factor 3 subunit G OS=Caenorhabditis elegans OX=6239 GN=eif-3.G PE=1 SV=2</t>
  </si>
  <si>
    <t>Q19706</t>
  </si>
  <si>
    <t>eif-3.G</t>
  </si>
  <si>
    <t>Eukaryotic translation initiation factor 3 subunit G</t>
  </si>
  <si>
    <t>&gt;sp|Q19713|SYFB_CAEEL Phenylalanine--tRNA ligase beta subunit OS=Caenorhabditis elegans OX=6239 GN=fars-3 PE=3 SV=2</t>
  </si>
  <si>
    <t>Q19713</t>
  </si>
  <si>
    <t>fars-3</t>
  </si>
  <si>
    <t>Phenylalanine--tRNA ligase beta subunit</t>
  </si>
  <si>
    <t>&gt;sp|Q19714|TMCO1_CAEEL Calcium load-activated calcium channel homolog OS=Caenorhabditis elegans OX=6239 GN=F22B5.10 PE=3 SV=1</t>
  </si>
  <si>
    <t>Q19714</t>
  </si>
  <si>
    <t>F22B5.10</t>
  </si>
  <si>
    <t>Calcium load-activated calcium channel homolog</t>
  </si>
  <si>
    <t>&gt;sp|Q19722|SYNC_CAEEL Asparagine--tRNA ligase, cytoplasmic OS=Caenorhabditis elegans OX=6239 GN=nars-1 PE=3 SV=1</t>
  </si>
  <si>
    <t>Q19722</t>
  </si>
  <si>
    <t>nars-1</t>
  </si>
  <si>
    <t>Asparagine--tRNA ligase, cytoplasmic</t>
  </si>
  <si>
    <t>&gt;tr|Q19727|Q19727_CAEEL Serine/threonine-protein kinase PRP4 homolog OS=Caenorhabditis elegans OX=6239 GN=prpf-4 PE=1 SV=1</t>
  </si>
  <si>
    <t>Q19727</t>
  </si>
  <si>
    <t>prpf-4</t>
  </si>
  <si>
    <t>Serine/threonine-protein kinase PRP4 homolog</t>
  </si>
  <si>
    <t>&gt;tr|Q19731|Q19731_CAEEL Tudor domain-containing protein OS=Caenorhabditis elegans OX=6239 GN=ekl-1 PE=1 SV=1</t>
  </si>
  <si>
    <t>Q19731</t>
  </si>
  <si>
    <t>ekl-1</t>
  </si>
  <si>
    <t>&gt;sp|Q19743|H13_CAEEL Histone H1.3 OS=Caenorhabditis elegans OX=6239 GN=hil-3 PE=2 SV=3</t>
  </si>
  <si>
    <t>Q19743</t>
  </si>
  <si>
    <t>hil-3</t>
  </si>
  <si>
    <t>Histone H1.3</t>
  </si>
  <si>
    <t>&gt;sp|Q19746|INX3_CAEEL Innexin-3 OS=Caenorhabditis elegans OX=6239 GN=inx-3 PE=1 SV=2</t>
  </si>
  <si>
    <t>Q19746</t>
  </si>
  <si>
    <t>inx-3</t>
  </si>
  <si>
    <t>Innexin-3</t>
  </si>
  <si>
    <t>&gt;sp|Q19749|ODP2_CAEEL Dihydrolipoyllysine-residue acetyltransferase component of pyruvate dehydrogenase complex, mitochondrial OS=Caenorhabditis elegans OX=6239 GN=dlat-1 PE=1 SV=1</t>
  </si>
  <si>
    <t>Q19749</t>
  </si>
  <si>
    <t>dlat-1</t>
  </si>
  <si>
    <t>Dihydrolipoyllysine-residue acetyltransferase component of pyruvate dehydrogenase complex, mitochondrial</t>
  </si>
  <si>
    <t>&gt;tr|Q19752|Q19752_CAEEL Protein farnesyltransferase subunit beta OS=Caenorhabditis elegans OX=6239 GN=fntb-1 PE=1 SV=1</t>
  </si>
  <si>
    <t>Q19752</t>
  </si>
  <si>
    <t>fntb-1</t>
  </si>
  <si>
    <t>Protein farnesyltransferase subunit beta</t>
  </si>
  <si>
    <t>&gt;sp|Q19753|YU0O_CAEEL Uncharacterized protein F23B12.7 OS=Caenorhabditis elegans OX=6239 GN=F23B12.7 PE=3 SV=1</t>
  </si>
  <si>
    <t>Q19753</t>
  </si>
  <si>
    <t>F23B12.7</t>
  </si>
  <si>
    <t>Uncharacterized protein F23B12.7</t>
  </si>
  <si>
    <t>&gt;sp|Q19775|PPM1A_CAEEL Protein phosphatase ppm-1.A OS=Caenorhabditis elegans OX=6239 GN=ppm-1.A PE=1 SV=1</t>
  </si>
  <si>
    <t>Q19775</t>
  </si>
  <si>
    <t>ppm-1.A</t>
  </si>
  <si>
    <t>Protein phosphatase ppm-1.A</t>
  </si>
  <si>
    <t>&gt;sp|Q19782|IFD2_CAEEL Intermediate filament protein ifd-2 OS=Caenorhabditis elegans OX=6239 GN=ifd-2 PE=3 SV=1</t>
  </si>
  <si>
    <t>Q19782</t>
  </si>
  <si>
    <t>ifd-2</t>
  </si>
  <si>
    <t>Intermediate filament protein ifd-2</t>
  </si>
  <si>
    <t>&gt;tr|Q19788|Q19788_CAEEL H/ACA ribonucleoprotein complex non-core subunit NAF1 OS=Caenorhabditis elegans OX=6239 GN=CELE_F25H8.2 PE=1 SV=1</t>
  </si>
  <si>
    <t>Q19788</t>
  </si>
  <si>
    <t>H/ACA ribonucleoprotein complex non-core subunit NAF1</t>
  </si>
  <si>
    <t>&gt;sp|Q19791|GON1_CAEEL A disintegrin and metalloproteinase with thrombospondin motifs gon-1 OS=Caenorhabditis elegans OX=6239 GN=gon-1 PE=1 SV=3</t>
  </si>
  <si>
    <t>Q19791</t>
  </si>
  <si>
    <t>gon-1</t>
  </si>
  <si>
    <t>A disintegrin and metalloproteinase with thrombospondin motifs gon-1</t>
  </si>
  <si>
    <t>&gt;tr|Q19803|Q19803_CAEEL Smr domain-containing protein OS=Caenorhabditis elegans OX=6239 GN=nonu-1 PE=1 SV=2</t>
  </si>
  <si>
    <t>Q19803</t>
  </si>
  <si>
    <t>nonu-1</t>
  </si>
  <si>
    <t>Smr domain-containing protein</t>
  </si>
  <si>
    <t>&gt;tr|Q19813|Q19813_CAEEL Nematode cuticle collagen N-terminal domain-containing protein OS=Caenorhabditis elegans OX=6239 GN=col-140 PE=1 SV=1</t>
  </si>
  <si>
    <t>Q19813</t>
  </si>
  <si>
    <t>col-140</t>
  </si>
  <si>
    <t>&gt;tr|Q19816|Q19816_CAEEL Calponin-homology (CH) domain-containing protein OS=Caenorhabditis elegans OX=6239 GN=CELE_F26F4.5 PE=1 SV=2</t>
  </si>
  <si>
    <t>Q19816</t>
  </si>
  <si>
    <t>&gt;tr|Q19818|Q19818_CAEEL RING-type E3 ubiquitin transferase OS=Caenorhabditis elegans OX=6239 GN=nhl-2 PE=1 SV=2</t>
  </si>
  <si>
    <t>Q19818</t>
  </si>
  <si>
    <t>nhl-2</t>
  </si>
  <si>
    <t>&gt;tr|Q19819|Q19819_CAEEL START domain-containing protein OS=Caenorhabditis elegans OX=6239 GN=tag-340 PE=1 SV=3</t>
  </si>
  <si>
    <t>Q19819</t>
  </si>
  <si>
    <t>tag-340</t>
  </si>
  <si>
    <t>&gt;sp|Q19821|RHOM1_CAEEL Rhomboid-related protein 1 OS=Caenorhabditis elegans OX=6239 GN=rom-1 PE=2 SV=2</t>
  </si>
  <si>
    <t>Q19821</t>
  </si>
  <si>
    <t>rom-1</t>
  </si>
  <si>
    <t>Rhomboid-related protein 1</t>
  </si>
  <si>
    <t>&gt;tr|Q19823|Q19823_CAEEL PDZ domain-containing protein OS=Caenorhabditis elegans OX=6239 GN=CELE_F26F4.2 PE=1 SV=2</t>
  </si>
  <si>
    <t>Q19823</t>
  </si>
  <si>
    <t>&gt;tr|Q19824|Q19824_CAEEL Conserved Edge Expressed protein OS=Caenorhabditis elegans OX=6239 GN=cee-1 PE=1 SV=1</t>
  </si>
  <si>
    <t>Q19824</t>
  </si>
  <si>
    <t>cee-1</t>
  </si>
  <si>
    <t>Conserved Edge Expressed protein</t>
  </si>
  <si>
    <t>&gt;sp|Q19825|SYRC_CAEEL Probable arginine--tRNA ligase, cytoplasmic OS=Caenorhabditis elegans OX=6239 GN=rars-1 PE=3 SV=2</t>
  </si>
  <si>
    <t>Q19825</t>
  </si>
  <si>
    <t>rars-1</t>
  </si>
  <si>
    <t>Probable arginine--tRNA ligase, cytoplasmic</t>
  </si>
  <si>
    <t>&gt;sp|Q19826|RPAB3_CAEEL Probable DNA-directed RNA polymerases I, II, and III subunit RPABC3 OS=Caenorhabditis elegans OX=6239 GN=rpb-8 PE=1 SV=1</t>
  </si>
  <si>
    <t>Q19826</t>
  </si>
  <si>
    <t>rpb-8</t>
  </si>
  <si>
    <t>Probable DNA-directed RNA polymerases I, II, and III subunit RPABC3</t>
  </si>
  <si>
    <t>&gt;tr|Q19833|Q19833_CAEEL VPS35 endosomal protein sorting factor-like OS=Caenorhabditis elegans OX=6239 GN=CELE_F26G1.1 PE=3 SV=5</t>
  </si>
  <si>
    <t>Q19833</t>
  </si>
  <si>
    <t>VPS35 endosomal protein sorting factor-like</t>
  </si>
  <si>
    <t>&gt;tr|Q19834|Q19834_CAEEL Large neutral amino acids transporter small subunit 1 OS=Caenorhabditis elegans OX=6239 GN=aat-1 PE=1 SV=1</t>
  </si>
  <si>
    <t>Q19834</t>
  </si>
  <si>
    <t>aat-1</t>
  </si>
  <si>
    <t>&gt;sp|Q19842|PCCA_CAEEL Propionyl-CoA carboxylase alpha chain, mitochondrial OS=Caenorhabditis elegans OX=6239 GN=pcca-1 PE=1 SV=1</t>
  </si>
  <si>
    <t>Q19842</t>
  </si>
  <si>
    <t>pcca-1</t>
  </si>
  <si>
    <t>Propionyl-CoA carboxylase alpha chain, mitochondrial</t>
  </si>
  <si>
    <t>&gt;tr|Q19843|Q19843_CAEEL NADP-retinol dehydrogenase OS=Caenorhabditis elegans OX=6239 GN=dhs-29 PE=1 SV=2</t>
  </si>
  <si>
    <t>Q19843</t>
  </si>
  <si>
    <t>dhs-29</t>
  </si>
  <si>
    <t>NADP-retinol dehydrogenase</t>
  </si>
  <si>
    <t>&gt;sp|Q19848|VRK1_CAEEL Serine/threonine-protein kinase VRK1 OS=Caenorhabditis elegans OX=6239 GN=vrk-1 PE=1 SV=1</t>
  </si>
  <si>
    <t>Q19848</t>
  </si>
  <si>
    <t>vrk-1</t>
  </si>
  <si>
    <t>Serine/threonine-protein kinase VRK1</t>
  </si>
  <si>
    <t>&gt;tr|Q19852|Q19852_CAEEL Ral guanine nucleotide dissociation stimulator-like 1 OS=Caenorhabditis elegans OX=6239 GN=rgl-1 PE=4 SV=3</t>
  </si>
  <si>
    <t>Q19852</t>
  </si>
  <si>
    <t>rgl-1</t>
  </si>
  <si>
    <t>Ral guanine nucleotide dissociation stimulator-like 1</t>
  </si>
  <si>
    <t>&gt;tr|Q19864|Q19864_CAEEL Cleavage stimulation factor 50 kDa subunit OS=Caenorhabditis elegans OX=6239 GN=cpf-1 PE=1 SV=1</t>
  </si>
  <si>
    <t>Q19864</t>
  </si>
  <si>
    <t>cpf-1</t>
  </si>
  <si>
    <t>Cleavage stimulation factor 50 kDa subunit</t>
  </si>
  <si>
    <t>&gt;tr|Q19866|Q19866_CAEEL Suppressor of forked domain-containing protein OS=Caenorhabditis elegans OX=6239 GN=suf-1 PE=1 SV=1</t>
  </si>
  <si>
    <t>Q19866</t>
  </si>
  <si>
    <t>suf-1</t>
  </si>
  <si>
    <t>Suppressor of forked domain-containing protein</t>
  </si>
  <si>
    <t>&gt;sp|Q19869|RL26_CAEEL Large ribosomal subunit protein uL24 OS=Caenorhabditis elegans OX=6239 GN=rpl-26 PE=3 SV=1</t>
  </si>
  <si>
    <t>Q19869</t>
  </si>
  <si>
    <t>rpl-26</t>
  </si>
  <si>
    <t>Large ribosomal subunit protein uL24</t>
  </si>
  <si>
    <t>&gt;sp|Q19873|WDR46_CAEEL WD repeat-containing protein 46 OS=Caenorhabditis elegans OX=6239 GN=wdr-46 PE=3 SV=1</t>
  </si>
  <si>
    <t>Q19873</t>
  </si>
  <si>
    <t>wdr-46</t>
  </si>
  <si>
    <t>WD repeat-containing protein 46</t>
  </si>
  <si>
    <t>&gt;sp|Q19877|RS23_CAEEL Small ribosomal subunit protein uS12 OS=Caenorhabditis elegans OX=6239 GN=rps-23 PE=3 SV=1</t>
  </si>
  <si>
    <t>Q19877</t>
  </si>
  <si>
    <t>rps-23</t>
  </si>
  <si>
    <t>Small ribosomal subunit protein uS12</t>
  </si>
  <si>
    <t>&gt;tr|Q19878|Q19878_CAEEL Long-chain-fatty-acid--CoA ligase OS=Caenorhabditis elegans OX=6239 GN=acs-20 PE=1 SV=3</t>
  </si>
  <si>
    <t>Q19878</t>
  </si>
  <si>
    <t>acs-20</t>
  </si>
  <si>
    <t>&gt;tr|Q19901|Q19901_CAEEL Unconventional myosin-Ie OS=Caenorhabditis elegans OX=6239 GN=hum-1 PE=1 SV=1</t>
  </si>
  <si>
    <t>Q19901</t>
  </si>
  <si>
    <t>hum-1</t>
  </si>
  <si>
    <t>Unconventional myosin-Ie</t>
  </si>
  <si>
    <t>&gt;sp|Q19905|UGDH_CAEEL UDP-glucose 6-dehydrogenase OS=Caenorhabditis elegans OX=6239 GN=sqv-4 PE=1 SV=1</t>
  </si>
  <si>
    <t>Q19905</t>
  </si>
  <si>
    <t>sqv-4</t>
  </si>
  <si>
    <t>UDP-glucose 6-dehydrogenase</t>
  </si>
  <si>
    <t>&gt;sp|Q19906|CTU2_CAEEL Cytoplasmic tRNA 2-thiolation protein 2 OS=Caenorhabditis elegans OX=6239 GN=tut-2 PE=3 SV=2</t>
  </si>
  <si>
    <t>Q19906</t>
  </si>
  <si>
    <t>tut-2</t>
  </si>
  <si>
    <t>Cytoplasmic tRNA 2-thiolation protein 2</t>
  </si>
  <si>
    <t>&gt;tr|Q19942|Q19942_CAEEL Protein kinase domain-containing protein OS=Caenorhabditis elegans OX=6239 GN=CELE_F31F6.1 PE=4 SV=2</t>
  </si>
  <si>
    <t>Q19942</t>
  </si>
  <si>
    <t>&gt;sp|Q19952|LSM4_CAEEL Probable U6 snRNA-associated Sm-like protein LSm4 OS=Caenorhabditis elegans OX=6239 GN=lsm-4 PE=3 SV=1</t>
  </si>
  <si>
    <t>Q19952</t>
  </si>
  <si>
    <t>lsm-4</t>
  </si>
  <si>
    <t>Probable U6 snRNA-associated Sm-like protein LSm4</t>
  </si>
  <si>
    <t>&gt;tr|Q19965|Q19965_CAEEL PIH1 N-terminal domain-containing protein OS=Caenorhabditis elegans OX=6239 GN=CELE_F32D8.4 PE=1 SV=4</t>
  </si>
  <si>
    <t>Q19965</t>
  </si>
  <si>
    <t>PIH1 N-terminal domain-containing protein</t>
  </si>
  <si>
    <t>&gt;sp|Q19967|EMO1_CAEEL Protein transport protein Sec61 subunit gamma OS=Caenorhabditis elegans OX=6239 GN=sec-61.G PE=2 SV=1</t>
  </si>
  <si>
    <t>Q19967</t>
  </si>
  <si>
    <t>sec-61.G</t>
  </si>
  <si>
    <t>Protein transport protein Sec61 subunit gamma</t>
  </si>
  <si>
    <t>&gt;sp|Q19969|IMA3_CAEEL Importin subunit alpha-3 OS=Caenorhabditis elegans OX=6239 GN=ima-3 PE=1 SV=2</t>
  </si>
  <si>
    <t>Q19969</t>
  </si>
  <si>
    <t>ima-3</t>
  </si>
  <si>
    <t>Importin subunit alpha-3</t>
  </si>
  <si>
    <t>&gt;sp|Q19972|CEC4_CAEEL Chromo domain-containing protein cec-4 OS=Caenorhabditis elegans OX=6239 GN=cec-4 PE=1 SV=1</t>
  </si>
  <si>
    <t>Q19972</t>
  </si>
  <si>
    <t>cec-4</t>
  </si>
  <si>
    <t>Chromo domain-containing protein cec-4</t>
  </si>
  <si>
    <t>&gt;tr|Q19973|Q19973_CAEEL Chromo domain-containing protein OS=Caenorhabditis elegans OX=6239 GN=cec-5 PE=1 SV=1</t>
  </si>
  <si>
    <t>Q19973</t>
  </si>
  <si>
    <t>cec-5</t>
  </si>
  <si>
    <t>&gt;tr|Q19974|Q19974_CAEEL NUC153 domain-containing protein OS=Caenorhabditis elegans OX=6239 GN=nol-10 PE=1 SV=1</t>
  </si>
  <si>
    <t>Q19974</t>
  </si>
  <si>
    <t>nol-10</t>
  </si>
  <si>
    <t>NUC153 domain-containing protein</t>
  </si>
  <si>
    <t>&gt;tr|Q19987|Q19987_CAEEL DUF1308 domain-containing protein OS=Caenorhabditis elegans OX=6239 GN=CELE_F33G12.3 PE=1 SV=1</t>
  </si>
  <si>
    <t>Q19987</t>
  </si>
  <si>
    <t>DUF1308 domain-containing protein</t>
  </si>
  <si>
    <t>&gt;tr|Q19991|Q19991_CAEEL C2H2-type domain-containing protein OS=Caenorhabditis elegans OX=6239 GN=CELE_F33H1.4 PE=1 SV=2</t>
  </si>
  <si>
    <t>Q19991</t>
  </si>
  <si>
    <t>&gt;tr|Q19994|Q19994_CAEEL C2H2-type domain-containing protein OS=Caenorhabditis elegans OX=6239 GN=CELE_F34D10.4 PE=4 SV=2</t>
  </si>
  <si>
    <t>Q19994</t>
  </si>
  <si>
    <t>&gt;tr|Q1W0R3|Q1W0R3_CAEEL MFS domain-containing protein OS=Caenorhabditis elegans OX=6239 GN=CELE_F10G7.5 PE=4 SV=1</t>
  </si>
  <si>
    <t>Q1W0R3</t>
  </si>
  <si>
    <t>&gt;tr|Q1W0S0|Q1W0S0_CAEEL Thioesterase/thiol ester dehydrase-isomerase OS=Caenorhabditis elegans OX=6239 GN=CELE_D2021.4 PE=3 SV=1</t>
  </si>
  <si>
    <t>Q1W0S0</t>
  </si>
  <si>
    <t>Thioesterase/thiol ester dehydrase-isomerase</t>
  </si>
  <si>
    <t>&gt;tr|Q1XFY9|Q1XFY9_CAEEL Small ribosomal subunit protein eS24 OS=Caenorhabditis elegans OX=6239 GN=rps-24 PE=1 SV=1</t>
  </si>
  <si>
    <t>Q1XFY9</t>
  </si>
  <si>
    <t>rps-24</t>
  </si>
  <si>
    <t>Small ribosomal subunit protein eS24</t>
  </si>
  <si>
    <t>&gt;sp|Q20010|SAS5_CAEEL Spindle assembly abnormal protein 5 OS=Caenorhabditis elegans OX=6239 GN=sas-5 PE=1 SV=2</t>
  </si>
  <si>
    <t>Q20010</t>
  </si>
  <si>
    <t>sas-5</t>
  </si>
  <si>
    <t>Spindle assembly abnormal protein 5</t>
  </si>
  <si>
    <t>&gt;tr|Q20012|Q20012_CAEEL Retinol dehydrogenase 7 OS=Caenorhabditis elegans OX=6239 GN=dhs-20 PE=1 SV=3</t>
  </si>
  <si>
    <t>Q20012</t>
  </si>
  <si>
    <t>dhs-20</t>
  </si>
  <si>
    <t>Retinol dehydrogenase 7</t>
  </si>
  <si>
    <t>&gt;sp|Q20027|C25HL_CAEEL Cholesterol 25-hydroxylase-like protein OS=Caenorhabditis elegans OX=6239 GN=F35C8.5 PE=1 SV=1</t>
  </si>
  <si>
    <t>Q20027</t>
  </si>
  <si>
    <t>F35C8.5</t>
  </si>
  <si>
    <t>Cholesterol 25-hydroxylase-like protein</t>
  </si>
  <si>
    <t>&gt;tr|Q20034|Q20034_CAEEL CYTH domain-containing protein OS=Caenorhabditis elegans OX=6239 GN=CELE_F35D11.4 PE=1 SV=2</t>
  </si>
  <si>
    <t>Q20034</t>
  </si>
  <si>
    <t>CYTH domain-containing protein</t>
  </si>
  <si>
    <t>&gt;tr|Q20039|Q20039_CAEEL C-type lectin domain-containing protein OS=Caenorhabditis elegans OX=6239 GN=clec-139 PE=4 SV=2</t>
  </si>
  <si>
    <t>Q20039</t>
  </si>
  <si>
    <t>clec-139</t>
  </si>
  <si>
    <t>&gt;tr|Q20048|Q20048_CAEEL Malonyl-CoA decarboxylase, mitochondrial OS=Caenorhabditis elegans OX=6239 GN=mlcd-1 PE=1 SV=2</t>
  </si>
  <si>
    <t>Q20048</t>
  </si>
  <si>
    <t>mlcd-1</t>
  </si>
  <si>
    <t>Malonyl-CoA decarboxylase, mitochondrial</t>
  </si>
  <si>
    <t>&gt;tr|Q20049|Q20049_CAEEL Isocitrate dehydrogenase [NAD] subunit, mitochondrial OS=Caenorhabditis elegans OX=6239 GN=idhg-1 PE=1 SV=2</t>
  </si>
  <si>
    <t>Q20049</t>
  </si>
  <si>
    <t>idhg-1</t>
  </si>
  <si>
    <t>Isocitrate dehydrogenase [NAD] subunit, mitochondrial</t>
  </si>
  <si>
    <t>&gt;sp|Q20053|AT5F1_CAEEL ATP synthase F(0) complex subunit B1, mitochondrial OS=Caenorhabditis elegans OX=6239 GN=asb-1 PE=2 SV=1</t>
  </si>
  <si>
    <t>Q20053</t>
  </si>
  <si>
    <t>asb-1</t>
  </si>
  <si>
    <t>ATP synthase F(0) complex subunit B1, mitochondrial</t>
  </si>
  <si>
    <t>&gt;sp|Q20054|MAB21_CAEEL Protein male abnormal 21 OS=Caenorhabditis elegans OX=6239 GN=mab-21 PE=2 SV=2</t>
  </si>
  <si>
    <t>Q20054</t>
  </si>
  <si>
    <t>mab-21</t>
  </si>
  <si>
    <t>Protein male abnormal 21</t>
  </si>
  <si>
    <t>&gt;sp|Q20057|ERH2_CAEEL Enhancer of rudimentary homolog 2 OS=Caenorhabditis elegans OX=6239 GN=erh-2 PE=1 SV=2</t>
  </si>
  <si>
    <t>Q20057</t>
  </si>
  <si>
    <t>erh-2</t>
  </si>
  <si>
    <t>Enhancer of rudimentary homolog 2</t>
  </si>
  <si>
    <t>&gt;tr|Q20058|Q20058_CAEEL 26S proteasome non-ATPase regulatory subunit 5 OS=Caenorhabditis elegans OX=6239 GN=CELE_F35G12.12 PE=1 SV=3</t>
  </si>
  <si>
    <t>Q20058</t>
  </si>
  <si>
    <t>26S proteasome non-ATPase regulatory subunit 5</t>
  </si>
  <si>
    <t>&gt;sp|Q20059|WDR48_CAEEL WD repeat-containing protein 48 homolog OS=Caenorhabditis elegans OX=6239 GN=wdr-48 PE=1 SV=2</t>
  </si>
  <si>
    <t>Q20059</t>
  </si>
  <si>
    <t>wdr-48</t>
  </si>
  <si>
    <t>WD repeat-containing protein 48 homolog</t>
  </si>
  <si>
    <t>&gt;sp|Q20060|SMC4_CAEEL Structural maintenance of chromosomes protein 4 OS=Caenorhabditis elegans OX=6239 GN=smc-4 PE=1 SV=1</t>
  </si>
  <si>
    <t>Q20060</t>
  </si>
  <si>
    <t>smc-4</t>
  </si>
  <si>
    <t>Structural maintenance of chromosomes protein 4</t>
  </si>
  <si>
    <t>&gt;sp|Q20065|P4HA2_CAEEL Prolyl 4-hydroxylase subunit alpha-2 OS=Caenorhabditis elegans OX=6239 GN=phy-2 PE=1 SV=1</t>
  </si>
  <si>
    <t>Q20065</t>
  </si>
  <si>
    <t>phy-2</t>
  </si>
  <si>
    <t>Prolyl 4-hydroxylase subunit alpha-2</t>
  </si>
  <si>
    <t>&gt;sp|Q20069|NPRL3_CAEEL GATOR complex protein NPRL3 OS=Caenorhabditis elegans OX=6239 GN=nprl-3 PE=3 SV=1</t>
  </si>
  <si>
    <t>Q20069</t>
  </si>
  <si>
    <t>nprl-3</t>
  </si>
  <si>
    <t>GATOR complex protein NPRL3</t>
  </si>
  <si>
    <t>&gt;tr|Q20077|Q20077_CAEEL Phosphatidylinositol 4-kinase beta OS=Caenorhabditis elegans OX=6239 GN=pifk-1 PE=1 SV=2</t>
  </si>
  <si>
    <t>Q20077</t>
  </si>
  <si>
    <t>pifk-1</t>
  </si>
  <si>
    <t>Phosphatidylinositol 4-kinase beta</t>
  </si>
  <si>
    <t>&gt;sp|Q20086|UGT58_CAEEL Putative UDP-glucuronosyltransferase ugt-58 OS=Caenorhabditis elegans OX=6239 GN=ugt-58 PE=3 SV=2</t>
  </si>
  <si>
    <t>Q20086</t>
  </si>
  <si>
    <t>ugt-58</t>
  </si>
  <si>
    <t>Putative UDP-glucuronosyltransferase ugt-58</t>
  </si>
  <si>
    <t>&gt;sp|Q20106|HRG4_CAEEL Heme transporter hrg-4 OS=Caenorhabditis elegans OX=6239 GN=hrg-4 PE=1 SV=2</t>
  </si>
  <si>
    <t>Q20106</t>
  </si>
  <si>
    <t>hrg-4</t>
  </si>
  <si>
    <t>Heme transporter hrg-4</t>
  </si>
  <si>
    <t>&gt;sp|Q20117|GSH1_CAEEL Glutamate--cysteine ligase OS=Caenorhabditis elegans OX=6239 GN=gcs-1 PE=1 SV=2</t>
  </si>
  <si>
    <t>Q20117</t>
  </si>
  <si>
    <t>gcs-1</t>
  </si>
  <si>
    <t>Glutamate--cysteine ligase</t>
  </si>
  <si>
    <t>&gt;tr|Q20121|Q20121_CAEEL long-chain-fatty-acid--CoA ligase OS=Caenorhabditis elegans OX=6239 GN=acs-4 PE=1 SV=2</t>
  </si>
  <si>
    <t>Q20121</t>
  </si>
  <si>
    <t>acs-4</t>
  </si>
  <si>
    <t>long-chain-fatty-acid--CoA ligase</t>
  </si>
  <si>
    <t>&gt;sp|Q20123|EI24_CAEEL Ectopic P granules protein 4 OS=Caenorhabditis elegans OX=6239 GN=epg-4 PE=2 SV=1</t>
  </si>
  <si>
    <t>Q20123</t>
  </si>
  <si>
    <t>epg-4</t>
  </si>
  <si>
    <t>Ectopic P granules protein 4</t>
  </si>
  <si>
    <t>&gt;tr|Q20129|Q20129_CAEEL BRCT domain-containing protein OS=Caenorhabditis elegans OX=6239 GN=mus-101 PE=1 SV=3</t>
  </si>
  <si>
    <t>Q20129</t>
  </si>
  <si>
    <t>mus-101</t>
  </si>
  <si>
    <t>BRCT domain-containing protein</t>
  </si>
  <si>
    <t>&gt;tr|Q20135|Q20135_CAEEL Nematode cuticle collagen N-terminal domain-containing protein OS=Caenorhabditis elegans OX=6239 GN=col-81 PE=1 SV=1</t>
  </si>
  <si>
    <t>Q20135</t>
  </si>
  <si>
    <t>col-81</t>
  </si>
  <si>
    <t>&gt;sp|Q20140|KAD1_CAEEL Adenylate kinase isoenzyme 1 OS=Caenorhabditis elegans OX=6239 GN=F38B2.4 PE=2 SV=1</t>
  </si>
  <si>
    <t>Q20140</t>
  </si>
  <si>
    <t>F38B2.4</t>
  </si>
  <si>
    <t>Adenylate kinase isoenzyme 1</t>
  </si>
  <si>
    <t>&gt;tr|Q20143|Q20143_CAEEL Trifunctional purine biosynthetic protein adenosine-3 OS=Caenorhabditis elegans OX=6239 GN=CELE_F38B6.4 PE=1 SV=3</t>
  </si>
  <si>
    <t>Q20143</t>
  </si>
  <si>
    <t>Trifunctional purine biosynthetic protein adenosine-3</t>
  </si>
  <si>
    <t>&gt;sp|Q20157|MPU1_CAEEL Mannose-P-dolichol utilization defect 1 protein homolog OS=Caenorhabditis elegans OX=6239 GN=mpdu-1 PE=3 SV=2</t>
  </si>
  <si>
    <t>Q20157</t>
  </si>
  <si>
    <t>mpdu-1</t>
  </si>
  <si>
    <t>Mannose-P-dolichol utilization defect 1 protein homolog</t>
  </si>
  <si>
    <t>&gt;tr|Q20166|Q20166_CAEEL Amidohydrolase-related domain-containing protein OS=Caenorhabditis elegans OX=6239 GN=cpin-1 PE=1 SV=2</t>
  </si>
  <si>
    <t>Q20166</t>
  </si>
  <si>
    <t>cpin-1</t>
  </si>
  <si>
    <t>Amidohydrolase-related domain-containing protein</t>
  </si>
  <si>
    <t>&gt;sp|Q20168|COPB2_CAEEL Probable coatomer subunit beta' OS=Caenorhabditis elegans OX=6239 GN=copb-2 PE=3 SV=3</t>
  </si>
  <si>
    <t>Q20168</t>
  </si>
  <si>
    <t>copb-2</t>
  </si>
  <si>
    <t>Probable coatomer subunit beta'</t>
  </si>
  <si>
    <t>&gt;tr|Q20173|Q20173_CAEEL ADF-H domain-containing protein OS=Caenorhabditis elegans OX=6239 GN=twf-2 PE=1 SV=2</t>
  </si>
  <si>
    <t>Q20173</t>
  </si>
  <si>
    <t>twf-2</t>
  </si>
  <si>
    <t>ADF-H domain-containing protein</t>
  </si>
  <si>
    <t>&gt;tr|Q20203|Q20203_CAEEL Calsequestrin OS=Caenorhabditis elegans OX=6239 GN=csq-1 PE=1 SV=1</t>
  </si>
  <si>
    <t>Q20203</t>
  </si>
  <si>
    <t>csq-1</t>
  </si>
  <si>
    <t>Calsequestrin</t>
  </si>
  <si>
    <t>&gt;tr|Q20206|Q20206_CAEEL Small ribosomal subunit protein uS17 OS=Caenorhabditis elegans OX=6239 GN=rps-11 PE=1 SV=1</t>
  </si>
  <si>
    <t>Q20206</t>
  </si>
  <si>
    <t>rps-11</t>
  </si>
  <si>
    <t>Small ribosomal subunit protein uS17</t>
  </si>
  <si>
    <t>&gt;tr|Q20220|Q20220_CAEEL N-terminal methionine N(alpha)-acetyltransferase NatE OS=Caenorhabditis elegans OX=6239 GN=CELE_F40F4.7 PE=1 SV=4</t>
  </si>
  <si>
    <t>Q20220</t>
  </si>
  <si>
    <t>N-terminal methionine N(alpha)-acetyltransferase NatE</t>
  </si>
  <si>
    <t>&gt;sp|Q20228|RS9_CAEEL Small ribosomal subunit protein uS4 OS=Caenorhabditis elegans OX=6239 GN=rps-9 PE=3 SV=1</t>
  </si>
  <si>
    <t>Q20228</t>
  </si>
  <si>
    <t>rps-9</t>
  </si>
  <si>
    <t>Small ribosomal subunit protein uS4</t>
  </si>
  <si>
    <t>&gt;tr|Q20236|Q20236_CAEEL Proton-coupled folate transporter OS=Caenorhabditis elegans OX=6239 GN=slcr-46.3 PE=4 SV=2</t>
  </si>
  <si>
    <t>Q20236</t>
  </si>
  <si>
    <t>slcr-46.3</t>
  </si>
  <si>
    <t>Proton-coupled folate transporter</t>
  </si>
  <si>
    <t>&gt;sp|Q20263|GOT1_CAEEL Probable Golgi transport protein 1 OS=Caenorhabditis elegans OX=6239 GN=eas-1 PE=1 SV=2</t>
  </si>
  <si>
    <t>Q20263</t>
  </si>
  <si>
    <t>eas-1</t>
  </si>
  <si>
    <t>Probable Golgi transport protein 1</t>
  </si>
  <si>
    <t>&gt;tr|Q20264|Q20264_CAEEL Fatty Acid CoA Synthetase family OS=Caenorhabditis elegans OX=6239 GN=acs-11 PE=1 SV=3</t>
  </si>
  <si>
    <t>Q20264</t>
  </si>
  <si>
    <t>acs-11</t>
  </si>
  <si>
    <t>Fatty Acid CoA Synthetase family</t>
  </si>
  <si>
    <t>&gt;tr|Q20276|Q20276_CAEEL Fungus-Induced Protein OS=Caenorhabditis elegans OX=6239 GN=fip-5 PE=4 SV=1</t>
  </si>
  <si>
    <t>Q20276</t>
  </si>
  <si>
    <t>fip-5</t>
  </si>
  <si>
    <t>Fungus-Induced Protein</t>
  </si>
  <si>
    <t>&gt;tr|Q20277|Q20277_CAEEL FIP (Fungus-Induced Protein) Related OS=Caenorhabditis elegans OX=6239 GN=fipr-21 PE=1 SV=1</t>
  </si>
  <si>
    <t>Q20277</t>
  </si>
  <si>
    <t>fipr-21</t>
  </si>
  <si>
    <t>FIP (Fungus-Induced Protein) Related</t>
  </si>
  <si>
    <t>&gt;sp|Q20300|ELO5_CAEEL Long chain fatty acid elongase 5 OS=Caenorhabditis elegans OX=6239 GN=elo-5 PE=1 SV=2</t>
  </si>
  <si>
    <t>Q20300</t>
  </si>
  <si>
    <t>elo-5</t>
  </si>
  <si>
    <t>Long chain fatty acid elongase 5</t>
  </si>
  <si>
    <t>&gt;sp|Q20303|ELO6_CAEEL Long chain fatty acid elongase 6 OS=Caenorhabditis elegans OX=6239 GN=elo-6 PE=1 SV=1</t>
  </si>
  <si>
    <t>Q20303</t>
  </si>
  <si>
    <t>elo-6</t>
  </si>
  <si>
    <t>Long chain fatty acid elongase 6</t>
  </si>
  <si>
    <t>&gt;tr|Q20306|Q20306_CAEEL ABC transporter domain-containing protein OS=Caenorhabditis elegans OX=6239 GN=abcf-3 PE=1 SV=1</t>
  </si>
  <si>
    <t>Q20306</t>
  </si>
  <si>
    <t>abcf-3</t>
  </si>
  <si>
    <t>&gt;tr|Q20310|Q20310_CAEEL Protein CDV3 homolog OS=Caenorhabditis elegans OX=6239 GN=CELE_F42A10.5 PE=1 SV=1</t>
  </si>
  <si>
    <t>Q20310</t>
  </si>
  <si>
    <t>Protein CDV3 homolog</t>
  </si>
  <si>
    <t>&gt;tr|Q20327|Q20327_CAEEL Ground-like domain-containing protein OS=Caenorhabditis elegans OX=6239 GN=grl-4 PE=1 SV=2</t>
  </si>
  <si>
    <t>Q20327</t>
  </si>
  <si>
    <t>grl-4</t>
  </si>
  <si>
    <t>&gt;tr|Q20329|Q20329_CAEEL PH domain-containing protein OS=Caenorhabditis elegans OX=6239 GN=CELE_F42C5.9 PE=1 SV=1</t>
  </si>
  <si>
    <t>Q20329</t>
  </si>
  <si>
    <t>&gt;tr|Q20330|Q20330_CAEEL Intermediate Filament Organize OS=Caenorhabditis elegans OX=6239 GN=ifo-1 PE=1 SV=2</t>
  </si>
  <si>
    <t>Q20330</t>
  </si>
  <si>
    <t>ifo-1</t>
  </si>
  <si>
    <t>Intermediate Filament Organize</t>
  </si>
  <si>
    <t>&gt;sp|Q20334|TNNI1_CAEEL Troponin I 1 OS=Caenorhabditis elegans OX=6239 GN=tni-1 PE=2 SV=1</t>
  </si>
  <si>
    <t>Q20334</t>
  </si>
  <si>
    <t>tni-1</t>
  </si>
  <si>
    <t>Troponin I 1</t>
  </si>
  <si>
    <t>&gt;tr|Q20344|Q20344_CAEEL 3-oxo-5-alpha-steroid 4-dehydrogenase OS=Caenorhabditis elegans OX=6239 GN=CELE_F42F12.3 PE=3 SV=1</t>
  </si>
  <si>
    <t>Q20344</t>
  </si>
  <si>
    <t>3-oxo-5-alpha-steroid 4-dehydrogenase</t>
  </si>
  <si>
    <t>&gt;sp|Q20363|SIP1_CAEEL Stress-induced protein 1 OS=Caenorhabditis elegans OX=6239 GN=sip-1 PE=1 SV=1</t>
  </si>
  <si>
    <t>Q20363</t>
  </si>
  <si>
    <t>sip-1</t>
  </si>
  <si>
    <t>Stress-induced protein 1</t>
  </si>
  <si>
    <t>&gt;tr|Q20364|Q20364_CAEEL Sec1 family domain-containing protein 1 OS=Caenorhabditis elegans OX=6239 GN=sly-1 PE=1 SV=4</t>
  </si>
  <si>
    <t>Q20364</t>
  </si>
  <si>
    <t>sly-1</t>
  </si>
  <si>
    <t>Sec1 family domain-containing protein 1</t>
  </si>
  <si>
    <t>&gt;sp|Q20365|RAB33_CAEEL Ras-related protein Rab-33 OS=Caenorhabditis elegans OX=6239 GN=rab-33 PE=2 SV=1</t>
  </si>
  <si>
    <t>Q20365</t>
  </si>
  <si>
    <t>rab-33</t>
  </si>
  <si>
    <t>Ras-related protein Rab-33</t>
  </si>
  <si>
    <t>&gt;sp|Q20374|PATR1_CAEEL Protein PAT1 homolog 1 OS=Caenorhabditis elegans OX=6239 GN=patr-1 PE=1 SV=2</t>
  </si>
  <si>
    <t>Q20374</t>
  </si>
  <si>
    <t>patr-1</t>
  </si>
  <si>
    <t>Protein PAT1 homolog 1</t>
  </si>
  <si>
    <t>&gt;sp|Q20375|SPTC2_CAEEL Serine palmitoyltransferase 2 OS=Caenorhabditis elegans OX=6239 GN=sptl-2 PE=3 SV=1</t>
  </si>
  <si>
    <t>Q20375</t>
  </si>
  <si>
    <t>sptl-2</t>
  </si>
  <si>
    <t>Serine palmitoyltransferase 2</t>
  </si>
  <si>
    <t>&gt;tr|Q20377|Q20377_CAEEL Polymerase nucleotidyl transferase domain-containing protein OS=Caenorhabditis elegans OX=6239 GN=CELE_F43H9.3 PE=1 SV=1</t>
  </si>
  <si>
    <t>Q20377</t>
  </si>
  <si>
    <t>Polymerase nucleotidyl transferase domain-containing protein</t>
  </si>
  <si>
    <t>&gt;tr|Q20398|Q20398_CAEEL PDZ domain-containing protein OS=Caenorhabditis elegans OX=6239 GN=magu-4 PE=1 SV=2</t>
  </si>
  <si>
    <t>Q20398</t>
  </si>
  <si>
    <t>magu-4</t>
  </si>
  <si>
    <t>&gt;sp|Q20402|EGG3_CAEEL Protein tyrosine phosphatase-like protein egg-3 OS=Caenorhabditis elegans OX=6239 GN=egg-3 PE=1 SV=1</t>
  </si>
  <si>
    <t>Q20402</t>
  </si>
  <si>
    <t>egg-3</t>
  </si>
  <si>
    <t>Protein tyrosine phosphatase-like protein egg-3</t>
  </si>
  <si>
    <t>&gt;sp|Q20432|CNEP1_CAEEL CTD nuclear envelope phosphatase 1 homolog OS=Caenorhabditis elegans OX=6239 GN=cnep-1 PE=3 SV=1</t>
  </si>
  <si>
    <t>Q20432</t>
  </si>
  <si>
    <t>cnep-1</t>
  </si>
  <si>
    <t>CTD nuclear envelope phosphatase 1 homolog</t>
  </si>
  <si>
    <t>&gt;tr|Q20440|Q20440_CAEEL START domain-containing protein OS=Caenorhabditis elegans OX=6239 GN=gei-1 PE=4 SV=5</t>
  </si>
  <si>
    <t>Q20440</t>
  </si>
  <si>
    <t>gei-1</t>
  </si>
  <si>
    <t>&gt;tr|Q20446|Q20446_CAEEL Hflx-type G domain-containing protein OS=Caenorhabditis elegans OX=6239 GN=CELE_F46B6.4 PE=1 SV=1</t>
  </si>
  <si>
    <t>Q20446</t>
  </si>
  <si>
    <t>Hflx-type G domain-containing protein</t>
  </si>
  <si>
    <t>&gt;sp|Q20448|ZTF7_CAEEL Zinc finger protein ztf-7 OS=Caenorhabditis elegans OX=6239 GN=ztf-7 PE=1 SV=1</t>
  </si>
  <si>
    <t>Q20448</t>
  </si>
  <si>
    <t>ztf-7</t>
  </si>
  <si>
    <t>Zinc finger protein ztf-7</t>
  </si>
  <si>
    <t>&gt;tr|Q20456|Q20456_CAEEL Myosin motor domain-containing protein OS=Caenorhabditis elegans OX=6239 GN=hum-4 PE=1 SV=6</t>
  </si>
  <si>
    <t>Q20456</t>
  </si>
  <si>
    <t>hum-4</t>
  </si>
  <si>
    <t>&gt;sp|Q20471|KIN20_CAEEL Casein kinase I isoform delta OS=Caenorhabditis elegans OX=6239 GN=kin-20 PE=1 SV=3</t>
  </si>
  <si>
    <t>Q20471</t>
  </si>
  <si>
    <t>kin-20</t>
  </si>
  <si>
    <t>Casein kinase I isoform delta</t>
  </si>
  <si>
    <t>&gt;sp|Q20480|SIR41_CAEEL NAD-dependent protein deacylase sir-2.2 OS=Caenorhabditis elegans OX=6239 GN=sir-2.2 PE=1 SV=1</t>
  </si>
  <si>
    <t>Q20480</t>
  </si>
  <si>
    <t>sir-2.2</t>
  </si>
  <si>
    <t>NAD-dependent protein deacylase sir-2.2</t>
  </si>
  <si>
    <t>&gt;tr|Q20483|Q20483_CAEEL Protein kinase domain-containing protein OS=Caenorhabditis elegans OX=6239 GN=gakh-1 PE=1 SV=1</t>
  </si>
  <si>
    <t>Q20483</t>
  </si>
  <si>
    <t>gakh-1</t>
  </si>
  <si>
    <t>&gt;sp|Q20497|MED12_CAEEL Mediator of RNA polymerase II transcription subunit 12 OS=Caenorhabditis elegans OX=6239 GN=dpy-22 PE=1 SV=2</t>
  </si>
  <si>
    <t>Q20497</t>
  </si>
  <si>
    <t>dpy-22</t>
  </si>
  <si>
    <t>Mediator of RNA polymerase II transcription subunit 12</t>
  </si>
  <si>
    <t>&gt;sp|Q20498|RRC1_CAEEL GTPase-activating protein rrc-1 OS=Caenorhabditis elegans OX=6239 GN=rrc-1 PE=1 SV=3</t>
  </si>
  <si>
    <t>Q20498</t>
  </si>
  <si>
    <t>rrc-1</t>
  </si>
  <si>
    <t>GTPase-activating protein rrc-1</t>
  </si>
  <si>
    <t>&gt;sp|Q20502|HUTH1_CAEEL Histidine ammonia-lyase OS=Caenorhabditis elegans OX=6239 GN=haly-1 PE=1 SV=1</t>
  </si>
  <si>
    <t>Q20502</t>
  </si>
  <si>
    <t>haly-1</t>
  </si>
  <si>
    <t>Histidine ammonia-lyase</t>
  </si>
  <si>
    <t>&gt;sp|Q20507|ACBP3_CAEEL Acyl-CoA-binding protein homolog 3 OS=Caenorhabditis elegans OX=6239 GN=acbp-3 PE=3 SV=2</t>
  </si>
  <si>
    <t>Q20507</t>
  </si>
  <si>
    <t>acbp-3</t>
  </si>
  <si>
    <t>Acyl-CoA-binding protein homolog 3</t>
  </si>
  <si>
    <t>&gt;tr|Q20576|Q20576_CAEEL PCI domain-containing protein OS=Caenorhabditis elegans OX=6239 GN=pqn-39 PE=1 SV=2</t>
  </si>
  <si>
    <t>Q20576</t>
  </si>
  <si>
    <t>pqn-39</t>
  </si>
  <si>
    <t>&gt;tr|Q20583|Q20583_CAEEL Transmembrane protein 144 OS=Caenorhabditis elegans OX=6239 GN=CELE_F49C12.6 PE=3 SV=1</t>
  </si>
  <si>
    <t>Q20583</t>
  </si>
  <si>
    <t>Transmembrane protein 144</t>
  </si>
  <si>
    <t>&gt;sp|Q20585|PSMD6_CAEEL 26S proteasome non-ATPase regulatory subunit 6 OS=Caenorhabditis elegans OX=6239 GN=rpn-7 PE=2 SV=1</t>
  </si>
  <si>
    <t>Q20585</t>
  </si>
  <si>
    <t>rpn-7</t>
  </si>
  <si>
    <t>26S proteasome non-ATPase regulatory subunit 6</t>
  </si>
  <si>
    <t>&gt;sp|Q20616|SKPO1_CAEEL Peroxidase skpo-1 OS=Caenorhabditis elegans OX=6239 GN=skpo-1 PE=2 SV=1</t>
  </si>
  <si>
    <t>Q20616</t>
  </si>
  <si>
    <t>skpo-1</t>
  </si>
  <si>
    <t>Peroxidase skpo-1</t>
  </si>
  <si>
    <t>&gt;sp|Q20636|GBB2_CAEEL Guanine nucleotide-binding protein subunit beta-2 OS=Caenorhabditis elegans OX=6239 GN=gpb-2 PE=1 SV=3</t>
  </si>
  <si>
    <t>Q20636</t>
  </si>
  <si>
    <t>gpb-2</t>
  </si>
  <si>
    <t>Guanine nucleotide-binding protein subunit beta-2</t>
  </si>
  <si>
    <t>&gt;tr|Q20641|Q20641_CAEEL Myosin-11 OS=Caenorhabditis elegans OX=6239 GN=nmy-1 PE=1 SV=2</t>
  </si>
  <si>
    <t>Q20641</t>
  </si>
  <si>
    <t>nmy-1</t>
  </si>
  <si>
    <t>&gt;tr|Q20643|Q20643_CAEEL Protein kinase domain-containing protein OS=Caenorhabditis elegans OX=6239 GN=CELE_F52B5.2 PE=1 SV=2</t>
  </si>
  <si>
    <t>Q20643</t>
  </si>
  <si>
    <t>&gt;tr|Q20644|Q20644_CAEEL RNA helicase OS=Caenorhabditis elegans OX=6239 GN=CELE_F52B5.3 PE=1 SV=1</t>
  </si>
  <si>
    <t>Q20644</t>
  </si>
  <si>
    <t>&gt;sp|Q20647|R23A2_CAEEL Large ribosomal subunit protein uL23B OS=Caenorhabditis elegans OX=6239 GN=rpl-25.2 PE=3 SV=1</t>
  </si>
  <si>
    <t>Q20647</t>
  </si>
  <si>
    <t>rpl-25.2</t>
  </si>
  <si>
    <t>Large ribosomal subunit protein uL23B</t>
  </si>
  <si>
    <t>&gt;sp|Q20655|14332_CAEEL 14-3-3-like protein 2 OS=Caenorhabditis elegans OX=6239 GN=ftt-2 PE=1 SV=1</t>
  </si>
  <si>
    <t>Q20655</t>
  </si>
  <si>
    <t>ftt-2</t>
  </si>
  <si>
    <t>14-3-3-like protein 2</t>
  </si>
  <si>
    <t>&gt;sp|Q20666|VATH1_CAEEL Probable V-type proton ATPase subunit H 1 OS=Caenorhabditis elegans OX=6239 GN=vha-18 PE=3 SV=1</t>
  </si>
  <si>
    <t>Q20666</t>
  </si>
  <si>
    <t>vha-18</t>
  </si>
  <si>
    <t>Probable V-type proton ATPase subunit H 1</t>
  </si>
  <si>
    <t>&gt;tr|Q20676|Q20676_CAEEL Propionyl-CoA carboxylase beta chain, mitochondrial OS=Caenorhabditis elegans OX=6239 GN=pccb-1 PE=1 SV=1</t>
  </si>
  <si>
    <t>Q20676</t>
  </si>
  <si>
    <t>pccb-1</t>
  </si>
  <si>
    <t>Propionyl-CoA carboxylase beta chain, mitochondrial</t>
  </si>
  <si>
    <t>&gt;sp|Q20678|EXOC1_CAEEL Exocyst complex component 1 OS=Caenorhabditis elegans OX=6239 GN=sec-3 PE=1 SV=2</t>
  </si>
  <si>
    <t>Q20678</t>
  </si>
  <si>
    <t>sec-3</t>
  </si>
  <si>
    <t>Exocyst complex component 1</t>
  </si>
  <si>
    <t>&gt;sp|Q20680|MTO1_CAEEL Protein MTO1 homolog, mitochondrial OS=Caenorhabditis elegans OX=6239 GN=mtcu-2 PE=3 SV=1</t>
  </si>
  <si>
    <t>Q20680</t>
  </si>
  <si>
    <t>mtcu-2</t>
  </si>
  <si>
    <t>Protein MTO1 homolog, mitochondrial</t>
  </si>
  <si>
    <t>&gt;sp|Q20683|TTC36_CAEEL Tetratricopeptide repeat protein 36 OS=Caenorhabditis elegans OX=6239 GN=ttc-36 PE=3 SV=1</t>
  </si>
  <si>
    <t>Q20683</t>
  </si>
  <si>
    <t>ttc-36</t>
  </si>
  <si>
    <t>Tetratricopeptide repeat protein 36</t>
  </si>
  <si>
    <t>&gt;tr|Q20684|Q20684_CAEEL Galectin domain-containing protein OS=Caenorhabditis elegans OX=6239 GN=lec-2 PE=1 SV=2</t>
  </si>
  <si>
    <t>Q20684</t>
  </si>
  <si>
    <t>lec-2</t>
  </si>
  <si>
    <t>Galectin domain-containing protein</t>
  </si>
  <si>
    <t>&gt;sp|Q20696|SMSR1_CAEEL Sphingomyelin synthase-related 1 OS=Caenorhabditis elegans OX=6239 GN=F53B1.2 PE=3 SV=1</t>
  </si>
  <si>
    <t>Q20696</t>
  </si>
  <si>
    <t>F53B1.2</t>
  </si>
  <si>
    <t>Sphingomyelin synthase-related 1</t>
  </si>
  <si>
    <t>&gt;tr|Q20697|Q20697_CAEEL NAD(P)-binding domain-containing protein OS=Caenorhabditis elegans OX=6239 GN=bus-5 PE=1 SV=1</t>
  </si>
  <si>
    <t>Q20697</t>
  </si>
  <si>
    <t>bus-5</t>
  </si>
  <si>
    <t>&gt;sp|Q20709|TRA4_CAEEL Zinc finger protein tra-4 OS=Caenorhabditis elegans OX=6239 GN=tra-4 PE=1 SV=2</t>
  </si>
  <si>
    <t>Q20709</t>
  </si>
  <si>
    <t>tra-4</t>
  </si>
  <si>
    <t>Zinc finger protein tra-4</t>
  </si>
  <si>
    <t>&gt;tr|Q20711|Q20711_CAEEL RNA-binding protein 6 OS=Caenorhabditis elegans OX=6239 GN=CELE_F53B3.6 PE=1 SV=1</t>
  </si>
  <si>
    <t>Q20711</t>
  </si>
  <si>
    <t>RNA-binding protein 6</t>
  </si>
  <si>
    <t>&gt;sp|Q20719|NDUV2_CAEEL Probable NADH dehydrogenase [ubiquinone] flavoprotein 2, mitochondrial OS=Caenorhabditis elegans OX=6239 GN=F53F4.10 PE=3 SV=1</t>
  </si>
  <si>
    <t>Q20719</t>
  </si>
  <si>
    <t>F53F4.10</t>
  </si>
  <si>
    <t>Probable NADH dehydrogenase [ubiquinone] flavoprotein 2, mitochondrial</t>
  </si>
  <si>
    <t>&gt;tr|Q20720|Q20720_CAEEL Ribosomal L1 domain-containing protein OS=Caenorhabditis elegans OX=6239 GN=CELE_F53F4.11 PE=1 SV=2</t>
  </si>
  <si>
    <t>Q20720</t>
  </si>
  <si>
    <t>Ribosomal L1 domain-containing protein</t>
  </si>
  <si>
    <t>&gt;tr|Q20727|Q20727_CAEEL Thioredoxin domain-containing protein OS=Caenorhabditis elegans OX=6239 GN=CELE_F53F4.12 PE=4 SV=3</t>
  </si>
  <si>
    <t>Q20727</t>
  </si>
  <si>
    <t>&gt;tr|Q20734|Q20734_CAEEL Major facilitator superfamily (MFS) profile domain-containing protein OS=Caenorhabditis elegans OX=6239 GN=CELE_F53H8.3 PE=4 SV=2</t>
  </si>
  <si>
    <t>Q20734</t>
  </si>
  <si>
    <t>&gt;tr|Q20736|Q20736_CAEEL AP-3 complex subunit mu OS=Caenorhabditis elegans OX=6239 GN=apm-3 PE=1 SV=2</t>
  </si>
  <si>
    <t>Q20736</t>
  </si>
  <si>
    <t>apm-3</t>
  </si>
  <si>
    <t>AP-3 complex subunit mu</t>
  </si>
  <si>
    <t>&gt;sp|Q20745|UNC84_CAEEL Nuclear migration and anchoring protein unc-84 OS=Caenorhabditis elegans OX=6239 GN=unc-84 PE=1 SV=2</t>
  </si>
  <si>
    <t>Q20745</t>
  </si>
  <si>
    <t>unc-84</t>
  </si>
  <si>
    <t>Nuclear migration and anchoring protein unc-84</t>
  </si>
  <si>
    <t>&gt;sp|Q20748|ATAD3_CAEEL ATPase family AAA domain-containing protein 3 OS=Caenorhabditis elegans OX=6239 GN=atad-3 PE=1 SV=2</t>
  </si>
  <si>
    <t>Q20748</t>
  </si>
  <si>
    <t>atad-3</t>
  </si>
  <si>
    <t>ATPase family AAA domain-containing protein 3</t>
  </si>
  <si>
    <t>&gt;sp|Q20751|IF5A2_CAEEL Eukaryotic translation initiation factor 5A-2 OS=Caenorhabditis elegans OX=6239 GN=iff-2 PE=2 SV=1</t>
  </si>
  <si>
    <t>Q20751</t>
  </si>
  <si>
    <t>iff-2</t>
  </si>
  <si>
    <t>Eukaryotic translation initiation factor 5A-2</t>
  </si>
  <si>
    <t>&gt;tr|Q20752|Q20752_CAEEL Heat shock 70 kDa protein 13 OS=Caenorhabditis elegans OX=6239 GN=stc-1 PE=1 SV=2</t>
  </si>
  <si>
    <t>Q20752</t>
  </si>
  <si>
    <t>stc-1</t>
  </si>
  <si>
    <t>Heat shock 70 kDa protein 13</t>
  </si>
  <si>
    <t>&gt;sp|Q20757|PUF5_CAEEL Pumilio domain-containing protein 5 OS=Caenorhabditis elegans OX=6239 GN=puf-5 PE=2 SV=1</t>
  </si>
  <si>
    <t>Q20757</t>
  </si>
  <si>
    <t>puf-5</t>
  </si>
  <si>
    <t>Pumilio domain-containing protein 5</t>
  </si>
  <si>
    <t>&gt;sp|Q20758|ARL1_CAEEL ADP-ribosylation factor-like protein 1 OS=Caenorhabditis elegans OX=6239 GN=arl-1 PE=2 SV=2</t>
  </si>
  <si>
    <t>Q20758</t>
  </si>
  <si>
    <t>arl-1</t>
  </si>
  <si>
    <t>ADP-ribosylation factor-like protein 1</t>
  </si>
  <si>
    <t>&gt;tr|Q20760|Q20760_CAEEL Protein KRI1 homolog OS=Caenorhabditis elegans OX=6239 GN=CELE_F54C9.9 PE=1 SV=2</t>
  </si>
  <si>
    <t>Q20760</t>
  </si>
  <si>
    <t>Protein KRI1 homolog</t>
  </si>
  <si>
    <t>&gt;sp|Q20765|NHR7_CAEEL Nuclear hormone receptor family member nhr-7 OS=Caenorhabditis elegans OX=6239 GN=nhr-7 PE=2 SV=2</t>
  </si>
  <si>
    <t>Q20765</t>
  </si>
  <si>
    <t>nhr-7</t>
  </si>
  <si>
    <t>Nuclear hormone receptor family member nhr-7</t>
  </si>
  <si>
    <t>&gt;tr|Q20774|Q20774_CAEEL J domain-containing protein OS=Caenorhabditis elegans OX=6239 GN=dnj-13 PE=1 SV=1</t>
  </si>
  <si>
    <t>Q20774</t>
  </si>
  <si>
    <t>dnj-13</t>
  </si>
  <si>
    <t>&gt;sp|Q20779|COX6A_CAEEL Cytochrome c oxidase subunit 6A, mitochondrial OS=Caenorhabditis elegans OX=6239 GN=cox-6A PE=3 SV=1</t>
  </si>
  <si>
    <t>Q20779</t>
  </si>
  <si>
    <t>cox-6A</t>
  </si>
  <si>
    <t>Cytochrome c oxidase subunit 6A, mitochondrial</t>
  </si>
  <si>
    <t>&gt;tr|Q20780|Q20780_CAEEL Aldehyde dehydrogenase domain-containing protein OS=Caenorhabditis elegans OX=6239 GN=alh-1 PE=1 SV=3</t>
  </si>
  <si>
    <t>Q20780</t>
  </si>
  <si>
    <t>alh-1</t>
  </si>
  <si>
    <t>Aldehyde dehydrogenase domain-containing protein</t>
  </si>
  <si>
    <t>&gt;sp|Q20787|S35B3_CAEEL Adenosine 3'-phospho 5'-phosphosulfate transporter 2 OS=Caenorhabditis elegans OX=6239 GN=pst-2 PE=3 SV=1</t>
  </si>
  <si>
    <t>Q20787</t>
  </si>
  <si>
    <t>pst-2</t>
  </si>
  <si>
    <t>Adenosine 3'-phospho 5'-phosphosulfate transporter 2</t>
  </si>
  <si>
    <t>&gt;sp|Q20797|STX5_CAEEL Putative syntaxin-5 OS=Caenorhabditis elegans OX=6239 GN=syx-5 PE=3 SV=1</t>
  </si>
  <si>
    <t>Q20797</t>
  </si>
  <si>
    <t>syx-5</t>
  </si>
  <si>
    <t>Putative syntaxin-5</t>
  </si>
  <si>
    <t>&gt;sp|Q20798|HRD1_CAEEL E3 ubiquitin-protein ligase hrd-1 OS=Caenorhabditis elegans OX=6239 GN=sel-11 PE=3 SV=1</t>
  </si>
  <si>
    <t>Q20798</t>
  </si>
  <si>
    <t>sel-11</t>
  </si>
  <si>
    <t>E3 ubiquitin-protein ligase hrd-1</t>
  </si>
  <si>
    <t>&gt;sp|Q20799|CMC2_CAEEL Putative calcium-binding mitochondrial carrier F55A11.4 OS=Caenorhabditis elegans OX=6239 GN=F55A11.4 PE=5 SV=1</t>
  </si>
  <si>
    <t>Q20799</t>
  </si>
  <si>
    <t>F55A11.4</t>
  </si>
  <si>
    <t>Putative calcium-binding mitochondrial carrier F55A11.4</t>
  </si>
  <si>
    <t>&gt;tr|Q20818|Q20818_CAEEL CAP-G condensin subunit OS=Caenorhabditis elegans OX=6239 GN=capg-2 PE=1 SV=1</t>
  </si>
  <si>
    <t>Q20818</t>
  </si>
  <si>
    <t>capg-2</t>
  </si>
  <si>
    <t>CAP-G condensin subunit</t>
  </si>
  <si>
    <t>&gt;sp|Q20819|EFTS_CAEEL Elongation factor Ts, mitochondrial OS=Caenorhabditis elegans OX=6239 GN=tsfm-1 PE=2 SV=1</t>
  </si>
  <si>
    <t>Q20819</t>
  </si>
  <si>
    <t>tsfm-1</t>
  </si>
  <si>
    <t>Elongation factor Ts, mitochondrial</t>
  </si>
  <si>
    <t>&gt;sp|Q20822|SRP68_CAEEL Signal recognition particle subunit SRP68 OS=Caenorhabditis elegans OX=6239 GN=srpa-68 PE=3 SV=2</t>
  </si>
  <si>
    <t>Q20822</t>
  </si>
  <si>
    <t>srpa-68</t>
  </si>
  <si>
    <t>Signal recognition particle subunit SRP68</t>
  </si>
  <si>
    <t>&gt;tr|Q20830|Q20830_CAEEL Uncharacterized protein OS=Caenorhabditis elegans OX=6239 GN=CELE_F55D12.1 PE=1 SV=1</t>
  </si>
  <si>
    <t>Q20830</t>
  </si>
  <si>
    <t>&gt;tr|Q20840|Q20840_CAEEL Dietary restriction down regulated OS=Caenorhabditis elegans OX=6239 GN=drd-5 PE=1 SV=2</t>
  </si>
  <si>
    <t>Q20840</t>
  </si>
  <si>
    <t>drd-5</t>
  </si>
  <si>
    <t>Dietary restriction down regulated</t>
  </si>
  <si>
    <t>&gt;sp|Q20845|PLK3_CAEEL Serine/threonine-protein kinase plk-3 OS=Caenorhabditis elegans OX=6239 GN=plk-3 PE=2 SV=1</t>
  </si>
  <si>
    <t>Q20845</t>
  </si>
  <si>
    <t>plk-3</t>
  </si>
  <si>
    <t>Serine/threonine-protein kinase plk-3</t>
  </si>
  <si>
    <t>&gt;tr|Q20847|Q20847_CAEEL SLC (SoLute Carrier) homolog OS=Caenorhabditis elegans OX=6239 GN=slc-25a18.2 PE=1 SV=1</t>
  </si>
  <si>
    <t>Q20847</t>
  </si>
  <si>
    <t>slc-25a18.2</t>
  </si>
  <si>
    <t>&gt;sp|Q20849|KNTC1_CAEEL Kinetochore-associated protein rod-1 OS=Caenorhabditis elegans OX=6239 GN=rod-1 PE=1 SV=1</t>
  </si>
  <si>
    <t>Q20849</t>
  </si>
  <si>
    <t>rod-1</t>
  </si>
  <si>
    <t>Kinetochore-associated protein rod-1</t>
  </si>
  <si>
    <t>&gt;sp|Q20870|DAZ1_CAEEL DAZ protein 1 OS=Caenorhabditis elegans OX=6239 GN=daz-1 PE=2 SV=3</t>
  </si>
  <si>
    <t>Q20870</t>
  </si>
  <si>
    <t>daz-1</t>
  </si>
  <si>
    <t>DAZ protein 1</t>
  </si>
  <si>
    <t>&gt;tr|Q20874|Q20874_CAEEL RBR-type E3 ubiquitin transferase OS=Caenorhabditis elegans OX=6239 GN=CELE_F56D2.2 PE=1 SV=3</t>
  </si>
  <si>
    <t>Q20874</t>
  </si>
  <si>
    <t>&gt;sp|Q20875|DHX15_CAEEL Pre-mRNA-splicing factor ATP-dependent RNA helicase ddx-15 OS=Caenorhabditis elegans OX=6239 GN=ddx-15 PE=3 SV=1</t>
  </si>
  <si>
    <t>Q20875</t>
  </si>
  <si>
    <t>ddx-15</t>
  </si>
  <si>
    <t>Pre-mRNA-splicing factor ATP-dependent RNA helicase ddx-15</t>
  </si>
  <si>
    <t>&gt;tr|Q20877|Q20877_CAEEL Apple domain-containing protein OS=Caenorhabditis elegans OX=6239 GN=CELE_F56D3.1 PE=1 SV=2</t>
  </si>
  <si>
    <t>Q20877</t>
  </si>
  <si>
    <t>Apple domain-containing protein</t>
  </si>
  <si>
    <t>&gt;sp|Q20898|IFET1_CAEEL Translational repressor ifet-1 OS=Caenorhabditis elegans OX=6239 GN=ifet-1 PE=1 SV=2</t>
  </si>
  <si>
    <t>Q20898</t>
  </si>
  <si>
    <t>ifet-1</t>
  </si>
  <si>
    <t>Translational repressor ifet-1</t>
  </si>
  <si>
    <t>&gt;tr|Q20921|Q20921_CAEEL Nematode cuticle collagen N-terminal domain-containing protein OS=Caenorhabditis elegans OX=6239 GN=col-160 PE=4 SV=2;&gt;tr|Q20922|Q20922_CAEEL Nematode cuticle collagen N-terminal domain-containing protein OS=Caenorhabditis elegans OX=6239 GN=col-159 PE=4 SV=1</t>
  </si>
  <si>
    <t>Q20921;Q20922</t>
  </si>
  <si>
    <t>col-160;col-159</t>
  </si>
  <si>
    <t>Q20921</t>
  </si>
  <si>
    <t>&gt;sp|Q20924|SUN1_CAEEL Sun domain-containing protein 1 OS=Caenorhabditis elegans OX=6239 GN=sun-1 PE=1 SV=1</t>
  </si>
  <si>
    <t>Q20924</t>
  </si>
  <si>
    <t>sun-1</t>
  </si>
  <si>
    <t>Sun domain-containing protein 1</t>
  </si>
  <si>
    <t>&gt;sp|Q20932|BYN1_CAEEL Uncharacterized protein byn-1 OS=Caenorhabditis elegans OX=6239 GN=byn-1 PE=3 SV=2</t>
  </si>
  <si>
    <t>Q20932</t>
  </si>
  <si>
    <t>byn-1</t>
  </si>
  <si>
    <t>Uncharacterized protein byn-1</t>
  </si>
  <si>
    <t>&gt;sp|Q20937|CNOT1_CAEEL CCR4-NOT transcription complex subunit let-711 OS=Caenorhabditis elegans OX=6239 GN=let-711 PE=1 SV=3</t>
  </si>
  <si>
    <t>Q20937</t>
  </si>
  <si>
    <t>let-711</t>
  </si>
  <si>
    <t>CCR4-NOT transcription complex subunit let-711</t>
  </si>
  <si>
    <t>&gt;sp|Q20938|PS11A_CAEEL Probable 26S proteasome regulatory subunit rpn-6.1 OS=Caenorhabditis elegans OX=6239 GN=rpn-6.1 PE=2 SV=2</t>
  </si>
  <si>
    <t>Q20938</t>
  </si>
  <si>
    <t>rpn-6.1</t>
  </si>
  <si>
    <t>Probable 26S proteasome regulatory subunit rpn-6.1</t>
  </si>
  <si>
    <t>&gt;tr|Q20943|Q20943_CAEEL Multidrug resistance-associated protein 1 OS=Caenorhabditis elegans OX=6239 GN=mrp-2 PE=1 SV=2</t>
  </si>
  <si>
    <t>Q20943</t>
  </si>
  <si>
    <t>mrp-2</t>
  </si>
  <si>
    <t>&gt;tr|Q20964|Q20964_CAEEL LYSozyme OS=Caenorhabditis elegans OX=6239 GN=lys-4 PE=1 SV=1</t>
  </si>
  <si>
    <t>Q20964</t>
  </si>
  <si>
    <t>lys-4</t>
  </si>
  <si>
    <t>&gt;tr|Q20965|Q20965_CAEEL Interferon-related developmental regulator N-terminal domain-containing protein OS=Caenorhabditis elegans OX=6239 GN=CELE_F58B3.6 PE=1 SV=2</t>
  </si>
  <si>
    <t>Q20965</t>
  </si>
  <si>
    <t>Interferon-related developmental regulator N-terminal domain-containing protein</t>
  </si>
  <si>
    <t>&gt;tr|Q20969|Q20969_CAEEL NUC153 domain-containing protein OS=Caenorhabditis elegans OX=6239 GN=CELE_F58B3.4 PE=1 SV=3</t>
  </si>
  <si>
    <t>Q20969</t>
  </si>
  <si>
    <t>&gt;sp|Q20970|SYMC_CAEEL Methionine--tRNA ligase, cytoplasmic OS=Caenorhabditis elegans OX=6239 GN=mars-1 PE=3 SV=1</t>
  </si>
  <si>
    <t>Q20970</t>
  </si>
  <si>
    <t>mars-1</t>
  </si>
  <si>
    <t>Methionine--tRNA ligase, cytoplasmic</t>
  </si>
  <si>
    <t>&gt;tr|Q20974|Q20974_CAEEL CHK kinase-like domain-containing protein OS=Caenorhabditis elegans OX=6239 GN=CELE_F58B4.5 PE=1 SV=1</t>
  </si>
  <si>
    <t>Q20974</t>
  </si>
  <si>
    <t>&gt;tr|Q20988|Q20988_CAEEL Cadherin domain-containing protein OS=Caenorhabditis elegans OX=6239 GN=CELE_F58F9.4 PE=4 SV=2</t>
  </si>
  <si>
    <t>Q20988</t>
  </si>
  <si>
    <t>Cadherin domain-containing protein</t>
  </si>
  <si>
    <t>&gt;tr|Q20990|Q20990_CAEEL Restriction endonuclease OS=Caenorhabditis elegans OX=6239 GN=CELE_F58F9.3 PE=1 SV=2</t>
  </si>
  <si>
    <t>Q20990</t>
  </si>
  <si>
    <t>Restriction endonuclease</t>
  </si>
  <si>
    <t>&gt;tr|Q21000|Q21000_CAEEL MYOsin heavy chain structural genes OS=Caenorhabditis elegans OX=6239 GN=myo-5 PE=1 SV=1</t>
  </si>
  <si>
    <t>Q21000</t>
  </si>
  <si>
    <t>myo-5</t>
  </si>
  <si>
    <t>MYOsin heavy chain structural genes</t>
  </si>
  <si>
    <t>&gt;sp|Q21017|KIN29_CAEEL Serine/threonine-protein kinase kin-29 OS=Caenorhabditis elegans OX=6239 GN=kin-29 PE=1 SV=2</t>
  </si>
  <si>
    <t>Q21017</t>
  </si>
  <si>
    <t>kin-29</t>
  </si>
  <si>
    <t>Serine/threonine-protein kinase kin-29</t>
  </si>
  <si>
    <t>&gt;sp|Q21018|CRI3_CAEEL Conserved regulator of innate immunity protein 3 OS=Caenorhabditis elegans OX=6239 GN=cri-3 PE=1 SV=2</t>
  </si>
  <si>
    <t>Q21018</t>
  </si>
  <si>
    <t>cri-3</t>
  </si>
  <si>
    <t>Conserved regulator of innate immunity protein 3</t>
  </si>
  <si>
    <t>&gt;tr|Q21025|Q21025_CAEEL non-specific serine/threonine protein kinase OS=Caenorhabditis elegans OX=6239 GN=citk-2 PE=1 SV=1</t>
  </si>
  <si>
    <t>Q21025</t>
  </si>
  <si>
    <t>citk-2</t>
  </si>
  <si>
    <t>&gt;sp|Q21029|NSY1_CAEEL Mitogen-activated protein kinase kinase kinase nsy-1 OS=Caenorhabditis elegans OX=6239 GN=nsy-1 PE=1 SV=4</t>
  </si>
  <si>
    <t>Q21029</t>
  </si>
  <si>
    <t>nsy-1</t>
  </si>
  <si>
    <t>Mitogen-activated protein kinase kinase kinase nsy-1</t>
  </si>
  <si>
    <t>&gt;sp|Q21038|VER3_CAEEL Tyrosine-protein kinase receptor ver-3 OS=Caenorhabditis elegans OX=6239 GN=ver-3 PE=2 SV=1</t>
  </si>
  <si>
    <t>Q21038</t>
  </si>
  <si>
    <t>ver-3</t>
  </si>
  <si>
    <t>Tyrosine-protein kinase receptor ver-3</t>
  </si>
  <si>
    <t>&gt;sp|Q21049|LIPA_CAEEL Liprin-alpha OS=Caenorhabditis elegans OX=6239 GN=syd-2 PE=1 SV=1</t>
  </si>
  <si>
    <t>Q21049</t>
  </si>
  <si>
    <t>syd-2</t>
  </si>
  <si>
    <t>Liprin-alpha</t>
  </si>
  <si>
    <t>&gt;tr|Q21053|Q21053_CAEEL Vacuolar protein sorting-associated protein 35 OS=Caenorhabditis elegans OX=6239 GN=vps-35 PE=1 SV=3</t>
  </si>
  <si>
    <t>Q21053</t>
  </si>
  <si>
    <t>vps-35</t>
  </si>
  <si>
    <t>Vacuolar protein sorting-associated protein 35</t>
  </si>
  <si>
    <t>&gt;sp|Q21054|CGT3_CAEEL Ceramide glucosyltransferase 3 OS=Caenorhabditis elegans OX=6239 GN=cgt-3 PE=1 SV=2</t>
  </si>
  <si>
    <t>Q21054</t>
  </si>
  <si>
    <t>cgt-3</t>
  </si>
  <si>
    <t>Ceramide glucosyltransferase 3</t>
  </si>
  <si>
    <t>&gt;sp|Q21067|IFC2_CAEEL Intermediate filament protein ifc-2 OS=Caenorhabditis elegans OX=6239 GN=ifc-2 PE=2 SV=3</t>
  </si>
  <si>
    <t>Q21067</t>
  </si>
  <si>
    <t>ifc-2</t>
  </si>
  <si>
    <t>Intermediate filament protein ifc-2</t>
  </si>
  <si>
    <t>&gt;tr|Q21080|Q21080_CAEEL L-serine deaminase OS=Caenorhabditis elegans OX=6239 GN=srdh-1 PE=1 SV=2</t>
  </si>
  <si>
    <t>Q21080</t>
  </si>
  <si>
    <t>srdh-1</t>
  </si>
  <si>
    <t>L-serine deaminase</t>
  </si>
  <si>
    <t>&gt;sp|Q21086|GNL3_CAEEL Guanine nucleotide-binding protein-like 3 homolog OS=Caenorhabditis elegans OX=6239 GN=nst-1 PE=3 SV=1</t>
  </si>
  <si>
    <t>Q21086</t>
  </si>
  <si>
    <t>nst-1</t>
  </si>
  <si>
    <t>Guanine nucleotide-binding protein-like 3 homolog</t>
  </si>
  <si>
    <t>&gt;tr|Q21096|Q21096_CAEEL MItoGuArdin homolog OS=Caenorhabditis elegans OX=6239 GN=miga-1 PE=1 SV=3</t>
  </si>
  <si>
    <t>Q21096</t>
  </si>
  <si>
    <t>miga-1</t>
  </si>
  <si>
    <t>MItoGuArdin homolog</t>
  </si>
  <si>
    <t>&gt;tr|Q21105|Q21105_CAEEL Breast cancer type 2 susceptibility protein homolog OS=Caenorhabditis elegans OX=6239 GN=CELE_K01H12.4 PE=1 SV=1</t>
  </si>
  <si>
    <t>Q21105</t>
  </si>
  <si>
    <t>Breast cancer type 2 susceptibility protein homolog</t>
  </si>
  <si>
    <t>&gt;sp|Q21106|DCAF1_CAEEL DDB1- and CUL4-associated factor homolog 1 OS=Caenorhabditis elegans OX=6239 GN=dcaf-1 PE=3 SV=5</t>
  </si>
  <si>
    <t>Q21106</t>
  </si>
  <si>
    <t>dcaf-1</t>
  </si>
  <si>
    <t>DDB1- and CUL4-associated factor homolog 1</t>
  </si>
  <si>
    <t>&gt;tr|Q21115|Q21115_CAEEL WD_REPEATS_REGION domain-containing protein OS=Caenorhabditis elegans OX=6239 GN=sec-12 PE=1 SV=2</t>
  </si>
  <si>
    <t>Q21115</t>
  </si>
  <si>
    <t>sec-12</t>
  </si>
  <si>
    <t>&gt;sp|Q21121|MCU_CAEEL Calcium uniporter protein, mitochondrial OS=Caenorhabditis elegans OX=6239 GN=mcu-1 PE=1 SV=2</t>
  </si>
  <si>
    <t>Q21121</t>
  </si>
  <si>
    <t>mcu-1</t>
  </si>
  <si>
    <t>Calcium uniporter protein, mitochondrial</t>
  </si>
  <si>
    <t>&gt;sp|Q21153|CMC1_CAEEL Probable calcium-binding mitochondrial carrier K02F3.2 OS=Caenorhabditis elegans OX=6239 GN=K02F3.2 PE=3 SV=3</t>
  </si>
  <si>
    <t>Q21153</t>
  </si>
  <si>
    <t>K02F3.2</t>
  </si>
  <si>
    <t>Probable calcium-binding mitochondrial carrier K02F3.2</t>
  </si>
  <si>
    <t>&gt;sp|Q21154|MOMA1_CAEEL MICOS complex subunit MIC27 OS=Caenorhabditis elegans OX=6239 GN=moma-1 PE=2 SV=1</t>
  </si>
  <si>
    <t>Q21154</t>
  </si>
  <si>
    <t>moma-1</t>
  </si>
  <si>
    <t>MICOS complex subunit MIC27</t>
  </si>
  <si>
    <t>&gt;tr|Q21155|Q21155_CAEEL RRM domain-containing protein OS=Caenorhabditis elegans OX=6239 GN=rnp-5 PE=1 SV=3</t>
  </si>
  <si>
    <t>Q21155</t>
  </si>
  <si>
    <t>rnp-5</t>
  </si>
  <si>
    <t>&gt;tr|Q21161|Q21161_CAEEL Palmitoyltransferase OS=Caenorhabditis elegans OX=6239 GN=dhhc-10 PE=3 SV=4</t>
  </si>
  <si>
    <t>Q21161</t>
  </si>
  <si>
    <t>dhhc-10</t>
  </si>
  <si>
    <t>Palmitoyltransferase</t>
  </si>
  <si>
    <t>&gt;sp|Q21166|SUR5_CAEEL Acetoacetyl-CoA synthetase OS=Caenorhabditis elegans OX=6239 GN=sur-5 PE=2 SV=1</t>
  </si>
  <si>
    <t>Q21166</t>
  </si>
  <si>
    <t>sur-5</t>
  </si>
  <si>
    <t>Acetoacetyl-CoA synthetase</t>
  </si>
  <si>
    <t>&gt;tr|Q21174|Q21174_CAEEL Seryl-tRNA synthetase OS=Caenorhabditis elegans OX=6239 GN=CELE_K03B4.1 PE=1 SV=2</t>
  </si>
  <si>
    <t>Q21174</t>
  </si>
  <si>
    <t>Seryl-tRNA synthetase</t>
  </si>
  <si>
    <t>&gt;tr|Q21182|Q21182_CAEEL Uncharacterized protein OS=Caenorhabditis elegans OX=6239 GN=CELE_K03B8.6 PE=1 SV=2</t>
  </si>
  <si>
    <t>Q21182</t>
  </si>
  <si>
    <t>&gt;sp|Q21190|UNC1_CAEEL Protein unc-1 OS=Caenorhabditis elegans OX=6239 GN=unc-1 PE=1 SV=2</t>
  </si>
  <si>
    <t>Q21190</t>
  </si>
  <si>
    <t>unc-1</t>
  </si>
  <si>
    <t>Protein unc-1</t>
  </si>
  <si>
    <t>&gt;sp|Q21193|PROF3_CAEEL Profilin-3 OS=Caenorhabditis elegans OX=6239 GN=pfn-3 PE=2 SV=1</t>
  </si>
  <si>
    <t>Q21193</t>
  </si>
  <si>
    <t>pfn-3</t>
  </si>
  <si>
    <t>Profilin-3</t>
  </si>
  <si>
    <t>&gt;tr|Q21210|Q21210_CAEEL DNA polymerase V OS=Caenorhabditis elegans OX=6239 GN=CELE_K04C2.2 PE=1 SV=1</t>
  </si>
  <si>
    <t>Q21210</t>
  </si>
  <si>
    <t>DNA polymerase V</t>
  </si>
  <si>
    <t>&gt;sp|Q21215|GBLP_CAEEL Small ribosomal subunit protein RACK1 OS=Caenorhabditis elegans OX=6239 GN=rack-1 PE=1 SV=3</t>
  </si>
  <si>
    <t>Q21215</t>
  </si>
  <si>
    <t>rack-1</t>
  </si>
  <si>
    <t>Small ribosomal subunit protein RACK1</t>
  </si>
  <si>
    <t>&gt;sp|Q21217|GABT_CAEEL Probable 4-aminobutyrate aminotransferase, mitochondrial OS=Caenorhabditis elegans OX=6239 GN=gta-1 PE=3 SV=1</t>
  </si>
  <si>
    <t>Q21217</t>
  </si>
  <si>
    <t>gta-1</t>
  </si>
  <si>
    <t>Probable 4-aminobutyrate aminotransferase, mitochondrial</t>
  </si>
  <si>
    <t>&gt;sp|Q21219|PEPT1_CAEEL Peptide transporter family 1 OS=Caenorhabditis elegans OX=6239 GN=pept-1 PE=2 SV=2</t>
  </si>
  <si>
    <t>Q21219</t>
  </si>
  <si>
    <t>pept-1</t>
  </si>
  <si>
    <t>Peptide transporter family 1</t>
  </si>
  <si>
    <t>&gt;sp|Q21221|AHO3_CAEEL Alpha/beta hydrolase domain-containing protein aho-3 OS=Caenorhabditis elegans OX=6239 GN=aho-3 PE=1 SV=2</t>
  </si>
  <si>
    <t>Q21221</t>
  </si>
  <si>
    <t>aho-3</t>
  </si>
  <si>
    <t>Alpha/beta hydrolase domain-containing protein aho-3</t>
  </si>
  <si>
    <t>&gt;tr|Q21225|Q21225_CAEEL Protein VAC14 homolog OS=Caenorhabditis elegans OX=6239 GN=vacl-14 PE=1 SV=1</t>
  </si>
  <si>
    <t>Q21225</t>
  </si>
  <si>
    <t>vacl-14</t>
  </si>
  <si>
    <t>Protein VAC14 homolog</t>
  </si>
  <si>
    <t>&gt;sp|Q21227|APR1_CAEEL Adenomatous polyposis coli protein-related protein 1 OS=Caenorhabditis elegans OX=6239 GN=apr-1 PE=1 SV=2</t>
  </si>
  <si>
    <t>Q21227</t>
  </si>
  <si>
    <t>Adenomatous polyposis coli protein-related protein 1</t>
  </si>
  <si>
    <t>&gt;sp|Q21230|IF2B_CAEEL Eukaryotic translation initiation factor 2 subunit 2 OS=Caenorhabditis elegans OX=6239 GN=eif-2beta PE=3 SV=4</t>
  </si>
  <si>
    <t>Q21230</t>
  </si>
  <si>
    <t>eif-2beta</t>
  </si>
  <si>
    <t>Eukaryotic translation initiation factor 2 subunit 2</t>
  </si>
  <si>
    <t>&gt;tr|Q21233|Q21233_CAEEL NADH dehydrogenase [ubiquinone] 1 alpha subcomplex subunit 10, mitochondrial OS=Caenorhabditis elegans OX=6239 GN=nuo-4 PE=1 SV=1</t>
  </si>
  <si>
    <t>Q21233</t>
  </si>
  <si>
    <t>nuo-4</t>
  </si>
  <si>
    <t>NADH dehydrogenase [ubiquinone] 1 alpha subcomplex subunit 10, mitochondrial</t>
  </si>
  <si>
    <t>&gt;tr|Q21234|Q21234_CAEEL Integrase zinc-binding domain-containing protein OS=Caenorhabditis elegans OX=6239 GN=CELE_K04G7.1 PE=1 SV=1</t>
  </si>
  <si>
    <t>Q21234</t>
  </si>
  <si>
    <t>Integrase zinc-binding domain-containing protein</t>
  </si>
  <si>
    <t>&gt;tr|Q21243|Q21243_CAEEL medium-chain acyl-CoA dehydrogenase OS=Caenorhabditis elegans OX=6239 GN=acdh-8 PE=1 SV=1</t>
  </si>
  <si>
    <t>Q21243</t>
  </si>
  <si>
    <t>acdh-8</t>
  </si>
  <si>
    <t>medium-chain acyl-CoA dehydrogenase</t>
  </si>
  <si>
    <t>&gt;sp|Q21270|COG6_CAEEL Conserved oligomeric Golgi complex subunit 6 OS=Caenorhabditis elegans OX=6239 GN=cogc-6 PE=3 SV=1</t>
  </si>
  <si>
    <t>Q21270</t>
  </si>
  <si>
    <t>cogc-6</t>
  </si>
  <si>
    <t>Conserved oligomeric Golgi complex subunit 6</t>
  </si>
  <si>
    <t>&gt;tr|Q21275|Q21275_CAEEL PARP-type domain-containing protein OS=Caenorhabditis elegans OX=6239 GN=CELE_K07C5.3 PE=1 SV=1</t>
  </si>
  <si>
    <t>Q21275</t>
  </si>
  <si>
    <t>PARP-type domain-containing protein</t>
  </si>
  <si>
    <t>&gt;sp|Q21276|NOP56_CAEEL Nucleolar protein 56 OS=Caenorhabditis elegans OX=6239 GN=nol-56 PE=3 SV=1</t>
  </si>
  <si>
    <t>Q21276</t>
  </si>
  <si>
    <t>nol-56</t>
  </si>
  <si>
    <t>Nucleolar protein 56</t>
  </si>
  <si>
    <t>&gt;sp|Q21278|SLU7_CAEEL Pre-mRNA-splicing factor SLU7 OS=Caenorhabditis elegans OX=6239 GN=K07C5.6 PE=3 SV=1</t>
  </si>
  <si>
    <t>Q21278</t>
  </si>
  <si>
    <t>K07C5.6</t>
  </si>
  <si>
    <t>Pre-mRNA-splicing factor SLU7</t>
  </si>
  <si>
    <t>&gt;sp|Q21281|MUP4_CAEEL Transmembrane matrix receptor MUP-4 OS=Caenorhabditis elegans OX=6239 GN=mup-4 PE=1 SV=4</t>
  </si>
  <si>
    <t>Q21281</t>
  </si>
  <si>
    <t>mup-4</t>
  </si>
  <si>
    <t>Transmembrane matrix receptor MUP-4</t>
  </si>
  <si>
    <t>&gt;tr|Q21284|Q21284_CAEEL formate--tetrahydrofolate ligase OS=Caenorhabditis elegans OX=6239 GN=CELE_K07E3.4 PE=1 SV=2</t>
  </si>
  <si>
    <t>Q21284</t>
  </si>
  <si>
    <t>formate--tetrahydrofolate ligase</t>
  </si>
  <si>
    <t>&gt;tr|Q21285|Q21285_CAEEL Methenyltetrahydrofolate cyclohydrolase OS=Caenorhabditis elegans OX=6239 GN=dao-3 PE=1 SV=2</t>
  </si>
  <si>
    <t>Q21285</t>
  </si>
  <si>
    <t>dao-3</t>
  </si>
  <si>
    <t>Methenyltetrahydrofolate cyclohydrolase</t>
  </si>
  <si>
    <t>&gt;sp|Q21286|CATP5_CAEEL Cation-transporting ATPase catp-5 OS=Caenorhabditis elegans OX=6239 GN=catp-5 PE=2 SV=4</t>
  </si>
  <si>
    <t>Q21286</t>
  </si>
  <si>
    <t>catp-5</t>
  </si>
  <si>
    <t>Cation-transporting ATPase catp-5</t>
  </si>
  <si>
    <t>&gt;tr|Q21287|Q21287_CAEEL Non-specific serine/threonine protein kinase OS=Caenorhabditis elegans OX=6239 GN=CELE_K07E3.2 PE=1 SV=4</t>
  </si>
  <si>
    <t>Q21287</t>
  </si>
  <si>
    <t>&gt;tr|Q21288|Q21288_CAEEL Bromo domain-containing protein OS=Caenorhabditis elegans OX=6239 GN=CELE_K07E3.1 PE=1 SV=3</t>
  </si>
  <si>
    <t>Q21288</t>
  </si>
  <si>
    <t>&gt;tr|Q21301|Q21301_CAEEL CARMIL pleckstrin homology domain-containing protein OS=Caenorhabditis elegans OX=6239 GN=crml-1 PE=1 SV=2</t>
  </si>
  <si>
    <t>Q21301</t>
  </si>
  <si>
    <t>crml-1</t>
  </si>
  <si>
    <t>CARMIL pleckstrin homology domain-containing protein</t>
  </si>
  <si>
    <t>&gt;tr|Q21302|Q21302_CAEEL XPA C-terminal domain-containing protein OS=Caenorhabditis elegans OX=6239 GN=xpa-1 PE=1 SV=1</t>
  </si>
  <si>
    <t>Q21302</t>
  </si>
  <si>
    <t>xpa-1</t>
  </si>
  <si>
    <t>XPA C-terminal domain-containing protein</t>
  </si>
  <si>
    <t>&gt;sp|Q21307|MEK1_CAEEL Dual specificity mitogen-activated protein kinase kinase mek-1 OS=Caenorhabditis elegans OX=6239 GN=mek-1 PE=1 SV=2</t>
  </si>
  <si>
    <t>Q21307</t>
  </si>
  <si>
    <t>mek-1</t>
  </si>
  <si>
    <t>Dual specificity mitogen-activated protein kinase kinase mek-1</t>
  </si>
  <si>
    <t>&gt;tr|Q21312|Q21312_CAEEL MFS domain-containing protein OS=Caenorhabditis elegans OX=6239 GN=CELE_K08C7.1 PE=4 SV=3</t>
  </si>
  <si>
    <t>Q21312</t>
  </si>
  <si>
    <t>&gt;sp|Q21313|EPI1_CAEEL Laminin-like protein epi-1 OS=Caenorhabditis elegans OX=6239 GN=epi-1 PE=1 SV=1</t>
  </si>
  <si>
    <t>Q21313</t>
  </si>
  <si>
    <t>epi-1</t>
  </si>
  <si>
    <t>Laminin-like protein epi-1</t>
  </si>
  <si>
    <t>&gt;tr|Q21323|Q21323_CAEEL RRM domain-containing protein OS=Caenorhabditis elegans OX=6239 GN=rnp-3 PE=1 SV=1</t>
  </si>
  <si>
    <t>Q21323</t>
  </si>
  <si>
    <t>rnp-3</t>
  </si>
  <si>
    <t>&gt;sp|Q21338|SPT5H_CAEEL Transcription elongation factor SPT5 OS=Caenorhabditis elegans OX=6239 GN=spt-5 PE=3 SV=3</t>
  </si>
  <si>
    <t>Q21338</t>
  </si>
  <si>
    <t>spt-5</t>
  </si>
  <si>
    <t>Transcription elongation factor SPT5</t>
  </si>
  <si>
    <t>&gt;sp|Q21341|LET99_CAEEL Protein let-99 OS=Caenorhabditis elegans OX=6239 GN=let-99 PE=1 SV=1</t>
  </si>
  <si>
    <t>Q21341</t>
  </si>
  <si>
    <t>let-99</t>
  </si>
  <si>
    <t>Protein let-99</t>
  </si>
  <si>
    <t>&gt;tr|Q21342|Q21342_CAEEL MTOR-associated protein MEAK7 OS=Caenorhabditis elegans OX=6239 GN=eak-7 PE=1 SV=1</t>
  </si>
  <si>
    <t>Q21342</t>
  </si>
  <si>
    <t>eak-7</t>
  </si>
  <si>
    <t>MTOR-associated protein MEAK7</t>
  </si>
  <si>
    <t>&gt;sp|Q21346|CUL6_CAEEL Cullin-6 OS=Caenorhabditis elegans OX=6239 GN=cul-6 PE=1 SV=1</t>
  </si>
  <si>
    <t>Q21346</t>
  </si>
  <si>
    <t>cul-6</t>
  </si>
  <si>
    <t>Cullin-6</t>
  </si>
  <si>
    <t>&gt;sp|Q21351|GTBP1_CAEEL Ras GTPase-activating protein-binding protein gtbp-1 OS=Caenorhabditis elegans OX=6239 GN=gtbp-1 PE=1 SV=2</t>
  </si>
  <si>
    <t>Q21351</t>
  </si>
  <si>
    <t>gtbp-1</t>
  </si>
  <si>
    <t>Ras GTPase-activating protein-binding protein gtbp-1</t>
  </si>
  <si>
    <t>&gt;tr|Q21352|Q21352_CAEEL Translocon-associated protein subunit beta OS=Caenorhabditis elegans OX=6239 GN=CELE_K08F4.3 PE=1 SV=1</t>
  </si>
  <si>
    <t>Q21352</t>
  </si>
  <si>
    <t>Translocon-associated protein subunit beta</t>
  </si>
  <si>
    <t>&gt;tr|Q21381|Q21381_CAEEL Major facilitator superfamily (MFS) profile domain-containing protein OS=Caenorhabditis elegans OX=6239 GN=CELE_K09C4.5 PE=1 SV=3</t>
  </si>
  <si>
    <t>Q21381</t>
  </si>
  <si>
    <t>&gt;sp|Q21407|GPCP1_CAEEL Putative glycerophosphocholine phosphodiesterase GPCPD1 homolog 1 OS=Caenorhabditis elegans OX=6239 GN=gpcp-1 PE=3 SV=2</t>
  </si>
  <si>
    <t>Q21407</t>
  </si>
  <si>
    <t>gpcp-1</t>
  </si>
  <si>
    <t>Putative glycerophosphocholine phosphodiesterase GPCPD1 homolog 1</t>
  </si>
  <si>
    <t>&gt;tr|Q21408|Q21408_CAEEL Spectrin alpha chain OS=Caenorhabditis elegans OX=6239 GN=spc-1 PE=1 SV=2</t>
  </si>
  <si>
    <t>Q21408</t>
  </si>
  <si>
    <t>spc-1</t>
  </si>
  <si>
    <t>Spectrin alpha chain</t>
  </si>
  <si>
    <t>&gt;tr|Q21429|Q21429_CAEEL SH2 domain-containing protein OS=Caenorhabditis elegans OX=6239 GN=shc-3 PE=4 SV=2</t>
  </si>
  <si>
    <t>Q21429</t>
  </si>
  <si>
    <t>shc-3</t>
  </si>
  <si>
    <t>&gt;tr|Q21430|Q21430_CAEEL SH3 domain-containing protein OS=Caenorhabditis elegans OX=6239 GN=pix-1 PE=1 SV=3</t>
  </si>
  <si>
    <t>Q21430</t>
  </si>
  <si>
    <t>pix-1</t>
  </si>
  <si>
    <t>&gt;tr|Q21436|Q21436_CAEEL Nuclear Pore complex Protein OS=Caenorhabditis elegans OX=6239 GN=npp-3 PE=1 SV=1</t>
  </si>
  <si>
    <t>Q21436</t>
  </si>
  <si>
    <t>npp-3</t>
  </si>
  <si>
    <t>Nuclear Pore complex Protein</t>
  </si>
  <si>
    <t>&gt;sp|Q21443|LMN1_CAEEL Lamin-1 OS=Caenorhabditis elegans OX=6239 GN=lmn-1 PE=1 SV=2</t>
  </si>
  <si>
    <t>Q21443</t>
  </si>
  <si>
    <t>lmn-1</t>
  </si>
  <si>
    <t>Lamin-1</t>
  </si>
  <si>
    <t>&gt;sp|Q21444|COG2_CAEEL Conserved oligomeric Golgi complex subunit 2 OS=Caenorhabditis elegans OX=6239 GN=cogc-2 PE=2 SV=1</t>
  </si>
  <si>
    <t>Q21444</t>
  </si>
  <si>
    <t>cogc-2</t>
  </si>
  <si>
    <t>Conserved oligomeric Golgi complex subunit 2</t>
  </si>
  <si>
    <t>&gt;sp|Q21446|LIN14_CAEEL Protein lin-14 OS=Caenorhabditis elegans OX=6239 GN=lin-14 PE=1 SV=1</t>
  </si>
  <si>
    <t>Q21446</t>
  </si>
  <si>
    <t>lin-14</t>
  </si>
  <si>
    <t>Protein lin-14</t>
  </si>
  <si>
    <t>&gt;sp|Q21452|LIAS_CAEEL Lipoyl synthase, mitochondrial OS=Caenorhabditis elegans OX=6239 GN=M01F1.3 PE=3 SV=1</t>
  </si>
  <si>
    <t>Q21452</t>
  </si>
  <si>
    <t>M01F1.3</t>
  </si>
  <si>
    <t>Lipoyl synthase, mitochondrial</t>
  </si>
  <si>
    <t>&gt;tr|Q21453|Q21453_CAEEL Transmembrane protein 245 OS=Caenorhabditis elegans OX=6239 GN=CELE_M01F1.4 PE=1 SV=2</t>
  </si>
  <si>
    <t>Q21453</t>
  </si>
  <si>
    <t>Transmembrane protein 245</t>
  </si>
  <si>
    <t>&gt;sp|Q21454|RM35_CAEEL Large ribosomal subunit protein bL35m OS=Caenorhabditis elegans OX=6239 GN=mrpl-35 PE=3 SV=2</t>
  </si>
  <si>
    <t>Q21454</t>
  </si>
  <si>
    <t>mrpl-35</t>
  </si>
  <si>
    <t>Large ribosomal subunit protein bL35m</t>
  </si>
  <si>
    <t>&gt;tr|Q21463|Q21463_CAEEL Asparagine synthetase [glutamine-hydrolyzing] OS=Caenorhabditis elegans OX=6239 GN=asns-2 PE=1 SV=1</t>
  </si>
  <si>
    <t>Q21463</t>
  </si>
  <si>
    <t>asns-2</t>
  </si>
  <si>
    <t>&gt;sp|Q21480|ATG2_CAEEL Autophagy-related protein 2 OS=Caenorhabditis elegans OX=6239 GN=atg-2 PE=1 SV=3</t>
  </si>
  <si>
    <t>Q21480</t>
  </si>
  <si>
    <t>atg-2</t>
  </si>
  <si>
    <t>Autophagy-related protein 2</t>
  </si>
  <si>
    <t>&gt;tr|Q21481|Q21481_CAEEL SCP2 domain-containing protein OS=Caenorhabditis elegans OX=6239 GN=dhs-28 PE=1 SV=1</t>
  </si>
  <si>
    <t>Q21481</t>
  </si>
  <si>
    <t>dhs-28</t>
  </si>
  <si>
    <t>SCP2 domain-containing protein</t>
  </si>
  <si>
    <t>&gt;tr|Q21486|Q21486_CAEEL U4/U6 small nuclear ribonucleoprotein Prp3 OS=Caenorhabditis elegans OX=6239 GN=prp-3 PE=1 SV=1</t>
  </si>
  <si>
    <t>Q21486</t>
  </si>
  <si>
    <t>prp-3</t>
  </si>
  <si>
    <t>U4/U6 small nuclear ribonucleoprotein Prp3</t>
  </si>
  <si>
    <t>&gt;sp|Q21502|MEP1_CAEEL MOG interacting and ectopic P-granules protein 1 OS=Caenorhabditis elegans OX=6239 GN=mep-1 PE=1 SV=2</t>
  </si>
  <si>
    <t>Q21502</t>
  </si>
  <si>
    <t>mep-1</t>
  </si>
  <si>
    <t>MOG interacting and ectopic P-granules protein 1</t>
  </si>
  <si>
    <t>&gt;tr|Q21504|Q21504_CAEEL FAD-dependent oxidoreductase domain-containing protein 1 OS=Caenorhabditis elegans OX=6239 GN=CELE_M04B2.4 PE=1 SV=1</t>
  </si>
  <si>
    <t>Q21504</t>
  </si>
  <si>
    <t>FAD-dependent oxidoreductase domain-containing protein 1</t>
  </si>
  <si>
    <t>&gt;tr|Q21523|Q21523_CAEEL Beta-lactamase-related domain-containing protein OS=Caenorhabditis elegans OX=6239 GN=lact-4 PE=1 SV=1</t>
  </si>
  <si>
    <t>Q21523</t>
  </si>
  <si>
    <t>lact-4</t>
  </si>
  <si>
    <t>Beta-lactamase-related domain-containing protein</t>
  </si>
  <si>
    <t>&gt;tr|Q21549|Q21549_CAEEL Glutathione synthetase OS=Caenorhabditis elegans OX=6239 GN=gss-1 PE=1 SV=2</t>
  </si>
  <si>
    <t>Q21549</t>
  </si>
  <si>
    <t>gss-1</t>
  </si>
  <si>
    <t>Glutathione synthetase</t>
  </si>
  <si>
    <t>&gt;tr|Q21552|Q21552_CAEEL lysoplasmalogenase OS=Caenorhabditis elegans OX=6239 GN=CELE_M176.4 PE=3 SV=2</t>
  </si>
  <si>
    <t>Q21552</t>
  </si>
  <si>
    <t>lysoplasmalogenase</t>
  </si>
  <si>
    <t>&gt;tr|Q21555|Q21555_CAEEL Asparagine synthetase domain-containing protein OS=Caenorhabditis elegans OX=6239 GN=CELE_M18.3 PE=1 SV=1</t>
  </si>
  <si>
    <t>Q21555</t>
  </si>
  <si>
    <t>Asparagine synthetase domain-containing protein</t>
  </si>
  <si>
    <t>&gt;tr|Q21559|Q21559_CAEEL Chromatin target of PRMT1 protein C-terminal domain-containing protein OS=Caenorhabditis elegans OX=6239 GN=aly-3 PE=1 SV=1</t>
  </si>
  <si>
    <t>Q21559</t>
  </si>
  <si>
    <t>aly-3</t>
  </si>
  <si>
    <t>&gt;tr|Q21569|Q21569_CAEEL Beta-lactamase-related domain-containing protein OS=Caenorhabditis elegans OX=6239 GN=lact-3 PE=1 SV=1</t>
  </si>
  <si>
    <t>Q21569</t>
  </si>
  <si>
    <t>lact-3</t>
  </si>
  <si>
    <t>&gt;tr|Q21593|Q21593_CAEEL SAM domain-containing protein OS=Caenorhabditis elegans OX=6239 GN=bcc-1 PE=3 SV=4</t>
  </si>
  <si>
    <t>Q21593</t>
  </si>
  <si>
    <t>bcc-1</t>
  </si>
  <si>
    <t>&gt;tr|Q21601|Q21601_CAEEL Mitochondrial Ribosomal Protein, Small OS=Caenorhabditis elegans OX=6239 GN=mrps-34 PE=1 SV=2</t>
  </si>
  <si>
    <t>Q21601</t>
  </si>
  <si>
    <t>mrps-34</t>
  </si>
  <si>
    <t>&gt;tr|Q21603|Q21603_CAEEL UDP-glucuronosyltransferase OS=Caenorhabditis elegans OX=6239 GN=ugt-62 PE=1 SV=1</t>
  </si>
  <si>
    <t>Q21603</t>
  </si>
  <si>
    <t>ugt-62</t>
  </si>
  <si>
    <t>&gt;tr|Q21623|Q21623_CAEEL Inositol polyphosphate-4-phosphatase OS=Caenorhabditis elegans OX=6239 GN=inpp-4B PE=1 SV=3</t>
  </si>
  <si>
    <t>Q21623</t>
  </si>
  <si>
    <t>inpp-4B</t>
  </si>
  <si>
    <t>Inositol polyphosphate-4-phosphatase</t>
  </si>
  <si>
    <t>&gt;sp|Q21624|CORO_CAEEL Coronin-like protein cor-1 OS=Caenorhabditis elegans OX=6239 GN=cor-1 PE=2 SV=2</t>
  </si>
  <si>
    <t>Q21624</t>
  </si>
  <si>
    <t>cor-1</t>
  </si>
  <si>
    <t>Coronin-like protein cor-1</t>
  </si>
  <si>
    <t>&gt;sp|Q21642|HRG1_CAEEL Heme transporter hrg-1 OS=Caenorhabditis elegans OX=6239 GN=hrg-1 PE=1 SV=2</t>
  </si>
  <si>
    <t>Q21642</t>
  </si>
  <si>
    <t>hrg-1</t>
  </si>
  <si>
    <t>Heme transporter hrg-1</t>
  </si>
  <si>
    <t>&gt;tr|Q21649|Q21649_CAEEL Myb-binding protein 1A-like protein OS=Caenorhabditis elegans OX=6239 GN=CELE_R02F2.7 PE=1 SV=3</t>
  </si>
  <si>
    <t>Q21649</t>
  </si>
  <si>
    <t>Myb-binding protein 1A-like protein</t>
  </si>
  <si>
    <t>&gt;sp|Q21653|OSG1_CAEEL Rho guanine nucleotide exchange factor osg-1 OS=Caenorhabditis elegans OX=6239 GN=osg-1 PE=2 SV=4</t>
  </si>
  <si>
    <t>Q21653</t>
  </si>
  <si>
    <t>osg-1</t>
  </si>
  <si>
    <t>Rho guanine nucleotide exchange factor osg-1</t>
  </si>
  <si>
    <t>&gt;sp|Q21691|NRDE3_CAEEL Nuclear RNAi defective-3 protein OS=Caenorhabditis elegans OX=6239 GN=nrde-3 PE=1 SV=1</t>
  </si>
  <si>
    <t>Q21691</t>
  </si>
  <si>
    <t>nrde-3</t>
  </si>
  <si>
    <t>Nuclear RNAi defective-3 protein</t>
  </si>
  <si>
    <t>&gt;sp|Q21693|IF4E2_CAEEL Eukaryotic translation initiation factor 4E-2 OS=Caenorhabditis elegans OX=6239 GN=ife-2 PE=1 SV=1</t>
  </si>
  <si>
    <t>Q21693</t>
  </si>
  <si>
    <t>ife-2</t>
  </si>
  <si>
    <t>Eukaryotic translation initiation factor 4E-2</t>
  </si>
  <si>
    <t>&gt;tr|Q21736|Q21736_CAEEL Probable ATP-dependent RNA helicase DDX52 OS=Caenorhabditis elegans OX=6239 GN=ddx-52 PE=1 SV=1</t>
  </si>
  <si>
    <t>Q21736</t>
  </si>
  <si>
    <t>ddx-52</t>
  </si>
  <si>
    <t>Probable ATP-dependent RNA helicase DDX52</t>
  </si>
  <si>
    <t>&gt;tr|Q21737|Q21737_CAEEL Transmembrane protein 208 OS=Caenorhabditis elegans OX=6239 GN=tmem-208 PE=1 SV=2</t>
  </si>
  <si>
    <t>Q21737</t>
  </si>
  <si>
    <t>tmem-208</t>
  </si>
  <si>
    <t>Transmembrane protein 208</t>
  </si>
  <si>
    <t>&gt;tr|Q21740|Q21740_CAEEL DFDF domain-containing protein OS=Caenorhabditis elegans OX=6239 GN=edc-3 PE=1 SV=1</t>
  </si>
  <si>
    <t>Q21740</t>
  </si>
  <si>
    <t>edc-3</t>
  </si>
  <si>
    <t>DFDF domain-containing protein</t>
  </si>
  <si>
    <t>&gt;tr|Q21742|Q21742_CAEEL phosphoglucomutase (alpha-D-glucose-1,6-bisphosphate-dependent) OS=Caenorhabditis elegans OX=6239 GN=CELE_R05F9.6 PE=1 SV=1</t>
  </si>
  <si>
    <t>Q21742</t>
  </si>
  <si>
    <t>phosphoglucomutase (alpha-D-glucose-1,6-bisphosphate-dependent)</t>
  </si>
  <si>
    <t>&gt;sp|Q21752|VDAC_CAEEL Probable voltage-dependent anion-selective channel OS=Caenorhabditis elegans OX=6239 GN=vdac-1 PE=3 SV=2</t>
  </si>
  <si>
    <t>Q21752</t>
  </si>
  <si>
    <t>vdac-1</t>
  </si>
  <si>
    <t>Probable voltage-dependent anion-selective channel</t>
  </si>
  <si>
    <t>&gt;tr|Q21754|Q21754_CAEEL Phosphoinositide phospholipase C OS=Caenorhabditis elegans OX=6239 GN=plc-4 PE=1 SV=1</t>
  </si>
  <si>
    <t>Q21754</t>
  </si>
  <si>
    <t>plc-4</t>
  </si>
  <si>
    <t>Phosphoinositide phospholipase C</t>
  </si>
  <si>
    <t>&gt;sp|Q21755|NOSIP_CAEEL Nitric oxide synthase-interacting protein homolog OS=Caenorhabditis elegans OX=6239 GN=R05G6.4 PE=3 SV=1</t>
  </si>
  <si>
    <t>Q21755</t>
  </si>
  <si>
    <t>R05G6.4</t>
  </si>
  <si>
    <t>Nitric oxide synthase-interacting protein homolog</t>
  </si>
  <si>
    <t>&gt;tr|Q21763|Q21763_CAEEL protein-disulfide reductase OS=Caenorhabditis elegans OX=6239 GN=CELE_R05H5.3 PE=1 SV=1</t>
  </si>
  <si>
    <t>Q21763</t>
  </si>
  <si>
    <t>&gt;sp|Q21770|WAGO1_CAEEL Argonaute protein wago-1 OS=Caenorhabditis elegans OX=6239 GN=wago-1 PE=1 SV=1</t>
  </si>
  <si>
    <t>Q21770</t>
  </si>
  <si>
    <t>wago-1</t>
  </si>
  <si>
    <t>Argonaute protein wago-1</t>
  </si>
  <si>
    <t>&gt;sp|Q21773|DHP1_CAEEL Dihydropyrimidinase 1 OS=Caenorhabditis elegans OX=6239 GN=dhp-1 PE=1 SV=2</t>
  </si>
  <si>
    <t>Q21773</t>
  </si>
  <si>
    <t>dhp-1</t>
  </si>
  <si>
    <t>Dihydropyrimidinase 1</t>
  </si>
  <si>
    <t>&gt;sp|Q21776|BUB1_CAEEL Mitotic checkpoint serine/threonine-protein kinase bub-1 OS=Caenorhabditis elegans OX=6239 GN=bub-1 PE=1 SV=1</t>
  </si>
  <si>
    <t>Q21776</t>
  </si>
  <si>
    <t>bub-1</t>
  </si>
  <si>
    <t>Mitotic checkpoint serine/threonine-protein kinase bub-1</t>
  </si>
  <si>
    <t>&gt;tr|Q21777|Q21777_CAEEL C2H2-type domain-containing protein OS=Caenorhabditis elegans OX=6239 GN=ztf-15 PE=1 SV=2</t>
  </si>
  <si>
    <t>Q21777</t>
  </si>
  <si>
    <t>ztf-15</t>
  </si>
  <si>
    <t>&gt;tr|Q21793|Q21793_CAEEL Prion-like-(Q/N-rich)-domain-bearing protein OS=Caenorhabditis elegans OX=6239 GN=pqn-53 PE=1 SV=2</t>
  </si>
  <si>
    <t>Q21793</t>
  </si>
  <si>
    <t>pqn-53</t>
  </si>
  <si>
    <t>&gt;sp|Q21795|KMO_CAEEL Kynurenine 3-monooxygenase OS=Caenorhabditis elegans OX=6239 GN=kmo-1 PE=3 SV=1</t>
  </si>
  <si>
    <t>Q21795</t>
  </si>
  <si>
    <t>kmo-1</t>
  </si>
  <si>
    <t>Kynurenine 3-monooxygenase</t>
  </si>
  <si>
    <t>&gt;tr|Q21800|Q21800_CAEEL SLC (SoLute Carrier) homolog OS=Caenorhabditis elegans OX=6239 GN=CELE_R07B7.10 PE=3 SV=2</t>
  </si>
  <si>
    <t>Q21800</t>
  </si>
  <si>
    <t>&gt;tr|Q21812|Q21812_CAEEL Phospholipid/glycerol acyltransferase domain-containing protein OS=Caenorhabditis elegans OX=6239 GN=acl-5 PE=1 SV=1</t>
  </si>
  <si>
    <t>Q21812</t>
  </si>
  <si>
    <t>acl-5</t>
  </si>
  <si>
    <t>&gt;tr|Q21816|Q21816_CAEEL VWFA domain-containing protein OS=Caenorhabditis elegans OX=6239 GN=CELE_R07E4.5 PE=1 SV=1</t>
  </si>
  <si>
    <t>Q21816</t>
  </si>
  <si>
    <t>&gt;sp|Q21824|TDX1_CAEEL Probable peroxiredoxin prdx-3 OS=Caenorhabditis elegans OX=6239 GN=prdx-3 PE=3 SV=1</t>
  </si>
  <si>
    <t>Q21824</t>
  </si>
  <si>
    <t>prdx-3</t>
  </si>
  <si>
    <t>Probable peroxiredoxin prdx-3</t>
  </si>
  <si>
    <t>&gt;sp|Q21827|GPTC1_CAEEL G patch domain-containing protein 1 homolog OS=Caenorhabditis elegans OX=6239 GN=R07E5.1 PE=1 SV=1</t>
  </si>
  <si>
    <t>Q21827</t>
  </si>
  <si>
    <t>R07E5.1</t>
  </si>
  <si>
    <t>G patch domain-containing protein 1 homolog</t>
  </si>
  <si>
    <t>&gt;sp|Q21828|MPC1_CAEEL Probable mitochondrial pyruvate carrier 1 OS=Caenorhabditis elegans OX=6239 GN=mpc-1 PE=3 SV=2</t>
  </si>
  <si>
    <t>Q21828</t>
  </si>
  <si>
    <t>mpc-1</t>
  </si>
  <si>
    <t>Probable mitochondrial pyruvate carrier 1</t>
  </si>
  <si>
    <t>&gt;tr|Q21829|Q21829_CAEEL ATP-dependent DNA helicase II subunit 2 OS=Caenorhabditis elegans OX=6239 GN=cku-80 PE=1 SV=2</t>
  </si>
  <si>
    <t>Q21829</t>
  </si>
  <si>
    <t>cku-80</t>
  </si>
  <si>
    <t>ATP-dependent DNA helicase II subunit 2</t>
  </si>
  <si>
    <t>&gt;tr|Q21831|Q21831_CAEEL SWI/SNF-related matrix-associated actin-dependent regulator of chromatin subfamily B member 1 OS=Caenorhabditis elegans OX=6239 GN=snfc-5 PE=1 SV=1</t>
  </si>
  <si>
    <t>Q21831</t>
  </si>
  <si>
    <t>snfc-5</t>
  </si>
  <si>
    <t>SWI/SNF-related matrix-associated actin-dependent regulator of chromatin subfamily B member 1</t>
  </si>
  <si>
    <t>&gt;tr|Q21854|Q21854_CAEEL BTB domain-containing protein OS=Caenorhabditis elegans OX=6239 GN=ivns-1 PE=1 SV=1</t>
  </si>
  <si>
    <t>Q21854</t>
  </si>
  <si>
    <t>ivns-1</t>
  </si>
  <si>
    <t>&gt;tr|Q21871|Q21871_CAEEL PH domain-containing protein OS=Caenorhabditis elegans OX=6239 GN=CELE_R09E10.6 PE=4 SV=1</t>
  </si>
  <si>
    <t>Q21871</t>
  </si>
  <si>
    <t>&gt;tr|Q21872|Q21872_CAEEL Long-chain-fatty-acid--CoA ligase OS=Caenorhabditis elegans OX=6239 GN=acs-18 PE=3 SV=2</t>
  </si>
  <si>
    <t>Q21872</t>
  </si>
  <si>
    <t>acs-18</t>
  </si>
  <si>
    <t>&gt;sp|Q21874|YF1M_CAEEL Uncharacterized protein R09E10.5 OS=Caenorhabditis elegans OX=6239 GN=R09E10.5 PE=1 SV=2</t>
  </si>
  <si>
    <t>Q21874</t>
  </si>
  <si>
    <t>R09E10.5</t>
  </si>
  <si>
    <t>Uncharacterized protein R09E10.5</t>
  </si>
  <si>
    <t>&gt;tr|Q21875|Q21875_CAEEL SWIM-type domain-containing protein OS=Caenorhabditis elegans OX=6239 GN=ebax-1 PE=1 SV=2</t>
  </si>
  <si>
    <t>Q21875</t>
  </si>
  <si>
    <t>ebax-1</t>
  </si>
  <si>
    <t>SWIM-type domain-containing protein</t>
  </si>
  <si>
    <t>&gt;sp|Q21878|NHR1_CAEEL Nuclear hormone receptor family member nhr-1 OS=Caenorhabditis elegans OX=6239 GN=nhr-1 PE=1 SV=4</t>
  </si>
  <si>
    <t>Q21878</t>
  </si>
  <si>
    <t>nhr-1</t>
  </si>
  <si>
    <t>Nuclear hormone receptor family member nhr-1</t>
  </si>
  <si>
    <t>&gt;tr|Q21888|Q21888_CAEEL DUF4440 domain-containing protein OS=Caenorhabditis elegans OX=6239 GN=CELE_R102.2 PE=1 SV=2</t>
  </si>
  <si>
    <t>Q21888</t>
  </si>
  <si>
    <t>DUF4440 domain-containing protein</t>
  </si>
  <si>
    <t>&gt;sp|Q21898|VATL1_CAEEL V-type proton ATPase 16 kDa proteolipid subunit c 1 OS=Caenorhabditis elegans OX=6239 GN=vha-1 PE=2 SV=1</t>
  </si>
  <si>
    <t>Q21898</t>
  </si>
  <si>
    <t>vha-1</t>
  </si>
  <si>
    <t>V-type proton ATPase 16 kDa proteolipid subunit c 1</t>
  </si>
  <si>
    <t>&gt;tr|Q21899|Q21899_CAEEL BTB domain-containing protein OS=Caenorhabditis elegans OX=6239 GN=CELE_R10E4.1 PE=1 SV=1</t>
  </si>
  <si>
    <t>Q21899</t>
  </si>
  <si>
    <t>&gt;sp|Q21902|MCM5_CAEEL DNA replication licensing factor mcm-5 OS=Caenorhabditis elegans OX=6239 GN=mcm-5 PE=1 SV=1</t>
  </si>
  <si>
    <t>Q21902</t>
  </si>
  <si>
    <t>mcm-5</t>
  </si>
  <si>
    <t>DNA replication licensing factor mcm-5</t>
  </si>
  <si>
    <t>&gt;tr|Q21905|Q21905_CAEEL Very-long-chain (3R)-3-hydroxyacyl-CoA dehydratase OS=Caenorhabditis elegans OX=6239 GN=CELE_R10E4.9 PE=3 SV=1</t>
  </si>
  <si>
    <t>Q21905</t>
  </si>
  <si>
    <t>Very-long-chain (3R)-3-hydroxyacyl-CoA dehydratase</t>
  </si>
  <si>
    <t>&gt;tr|Q21910|Q21910_CAEEL Major sperm protein OS=Caenorhabditis elegans OX=6239 GN=CELE_R10E9.2 PE=1 SV=1</t>
  </si>
  <si>
    <t>Q21910</t>
  </si>
  <si>
    <t>&gt;sp|Q21917|GPA7_CAEEL Guanine nucleotide-binding protein alpha-7 subunit OS=Caenorhabditis elegans OX=6239 GN=gpa-7 PE=1 SV=1</t>
  </si>
  <si>
    <t>Q21917</t>
  </si>
  <si>
    <t>gpa-7</t>
  </si>
  <si>
    <t>Guanine nucleotide-binding protein alpha-7 subunit</t>
  </si>
  <si>
    <t>&gt;sp|Q21920|ANKHM_CAEEL Ankyrin repeat and KH domain-containing protein mask-1 OS=Caenorhabditis elegans OX=6239 GN=mask-1 PE=3 SV=3</t>
  </si>
  <si>
    <t>Q21920</t>
  </si>
  <si>
    <t>mask-1</t>
  </si>
  <si>
    <t>Ankyrin repeat and KH domain-containing protein mask-1</t>
  </si>
  <si>
    <t>&gt;sp|Q21921|SIR2_CAEEL NAD-dependent protein deacetylase sir-2.1 OS=Caenorhabditis elegans OX=6239 GN=sir-2.1 PE=1 SV=1</t>
  </si>
  <si>
    <t>Q21921</t>
  </si>
  <si>
    <t>sir-2.1</t>
  </si>
  <si>
    <t>NAD-dependent protein deacetylase sir-2.1</t>
  </si>
  <si>
    <t>&gt;sp|Q21924|GPKOW_CAEEL G-patch domain and KOW motifs-containing protein homolog 1 OS=Caenorhabditis elegans OX=6239 GN=gkow-1 PE=1 SV=1</t>
  </si>
  <si>
    <t>Q21924</t>
  </si>
  <si>
    <t>gkow-1</t>
  </si>
  <si>
    <t>G-patch domain and KOW motifs-containing protein homolog 1</t>
  </si>
  <si>
    <t>&gt;sp|Q21926|SYIC_CAEEL Isoleucine--tRNA ligase, cytoplasmic OS=Caenorhabditis elegans OX=6239 GN=iars-1 PE=3 SV=1</t>
  </si>
  <si>
    <t>Q21926</t>
  </si>
  <si>
    <t>iars-1</t>
  </si>
  <si>
    <t>Isoleucine--tRNA ligase, cytoplasmic</t>
  </si>
  <si>
    <t>&gt;sp|Q21930|RL28_CAEEL Large ribosomal subunit protein eL28 OS=Caenorhabditis elegans OX=6239 GN=rpl-28 PE=1 SV=3</t>
  </si>
  <si>
    <t>Q21930</t>
  </si>
  <si>
    <t>rpl-28</t>
  </si>
  <si>
    <t>Large ribosomal subunit protein eL28</t>
  </si>
  <si>
    <t>&gt;sp|Q21939|RM49_CAEEL Large ribosomal subunit protein mL49 OS=Caenorhabditis elegans OX=6239 GN=mrpl-49 PE=3 SV=2</t>
  </si>
  <si>
    <t>Q21939</t>
  </si>
  <si>
    <t>mrpl-49</t>
  </si>
  <si>
    <t>Large ribosomal subunit protein mL49</t>
  </si>
  <si>
    <t>&gt;sp|Q21955|MED15_CAEEL Mediator of RNA polymerase II transcription subunit 15 OS=Caenorhabditis elegans OX=6239 GN=mdt-15 PE=1 SV=3</t>
  </si>
  <si>
    <t>Q21955</t>
  </si>
  <si>
    <t>mdt-15</t>
  </si>
  <si>
    <t>Mediator of RNA polymerase II transcription subunit 15</t>
  </si>
  <si>
    <t>&gt;tr|Q21961|Q21961_CAEEL RanBD1 domain-containing protein OS=Caenorhabditis elegans OX=6239 GN=ran-5 PE=1 SV=1</t>
  </si>
  <si>
    <t>Q21961</t>
  </si>
  <si>
    <t>ran-5</t>
  </si>
  <si>
    <t>RanBD1 domain-containing protein</t>
  </si>
  <si>
    <t>&gt;tr|Q21962|Q21962_CAEEL Glycine cleavage system P protein OS=Caenorhabditis elegans OX=6239 GN=gldc-1 PE=1 SV=1</t>
  </si>
  <si>
    <t>Q21962</t>
  </si>
  <si>
    <t>gldc-1</t>
  </si>
  <si>
    <t>Glycine cleavage system P protein</t>
  </si>
  <si>
    <t>&gt;sp|Q21966|ASP4_CAEEL Aspartic protease 4 OS=Caenorhabditis elegans OX=6239 GN=asp-4 PE=2 SV=1</t>
  </si>
  <si>
    <t>Q21966</t>
  </si>
  <si>
    <t>asp-4</t>
  </si>
  <si>
    <t>Aspartic protease 4</t>
  </si>
  <si>
    <t>&gt;tr|Q21970|Q21970_CAEEL Zmiz1 N-terminal tetratricopeptide repeat domain-containing protein OS=Caenorhabditis elegans OX=6239 GN=miz-1 PE=1 SV=2</t>
  </si>
  <si>
    <t>Q21970</t>
  </si>
  <si>
    <t>miz-1</t>
  </si>
  <si>
    <t>Zmiz1 N-terminal tetratricopeptide repeat domain-containing protein</t>
  </si>
  <si>
    <t>&gt;sp|Q21986|NAA25_CAEEL N-terminal acetyltransferase B complex subunit NAA25 homolog OS=Caenorhabditis elegans OX=6239 GN=cra-1 PE=1 SV=3</t>
  </si>
  <si>
    <t>Q21986</t>
  </si>
  <si>
    <t>cra-1</t>
  </si>
  <si>
    <t>N-terminal acetyltransferase B complex subunit NAA25 homolog</t>
  </si>
  <si>
    <t>&gt;sp|Q21997|DERL2_CAEEL Derlin-2 OS=Caenorhabditis elegans OX=6239 GN=R151.6 PE=2 SV=2</t>
  </si>
  <si>
    <t>Q21997</t>
  </si>
  <si>
    <t>R151.6</t>
  </si>
  <si>
    <t>Derlin-2</t>
  </si>
  <si>
    <t>&gt;tr|Q22003|Q22003_CAEEL Cleft lip and palate transmembrane protein 1 homolog OS=Caenorhabditis elegans OX=6239 GN=CELE_R166.2 PE=1 SV=1</t>
  </si>
  <si>
    <t>Q22003</t>
  </si>
  <si>
    <t>Cleft lip and palate transmembrane protein 1 homolog</t>
  </si>
  <si>
    <t>&gt;sp|Q22004|AMERL_CAEEL Uncharacterized protein R166.3 OS=Caenorhabditis elegans OX=6239 GN=R166.3 PE=4 SV=1</t>
  </si>
  <si>
    <t>Q22004</t>
  </si>
  <si>
    <t>R166.3</t>
  </si>
  <si>
    <t>Uncharacterized protein R166.3</t>
  </si>
  <si>
    <t>&gt;sp|Q22006|PRO1_CAEEL Pre-rRNA-processing protein pro-1 OS=Caenorhabditis elegans OX=6239 GN=pro-1 PE=2 SV=1</t>
  </si>
  <si>
    <t>Q22006</t>
  </si>
  <si>
    <t>pro-1</t>
  </si>
  <si>
    <t>Pre-rRNA-processing protein pro-1</t>
  </si>
  <si>
    <t>&gt;tr|Q22013|Q22013_CAEEL Signal recognition particle receptor subunit beta OS=Caenorhabditis elegans OX=6239 GN=CELE_R186.3 PE=1 SV=1</t>
  </si>
  <si>
    <t>Q22013</t>
  </si>
  <si>
    <t>Signal recognition particle receptor subunit beta</t>
  </si>
  <si>
    <t>&gt;tr|Q22015|Q22015_CAEEL ANK_REP_REGION domain-containing protein OS=Caenorhabditis elegans OX=6239 GN=CELE_R31.2 PE=1 SV=3</t>
  </si>
  <si>
    <t>Q22015</t>
  </si>
  <si>
    <t>&gt;sp|Q22021|ATPK_CAEEL Putative ATP synthase subunit f, mitochondrial OS=Caenorhabditis elegans OX=6239 GN=R53.4 PE=3 SV=1</t>
  </si>
  <si>
    <t>Q22021</t>
  </si>
  <si>
    <t>R53.4</t>
  </si>
  <si>
    <t>Putative ATP synthase subunit f, mitochondrial</t>
  </si>
  <si>
    <t>&gt;sp|Q22031|TRM7_CAEEL Putative tRNA (cytidine(32)/guanosine(34)-2'-O)-methyltransferase OS=Caenorhabditis elegans OX=6239 GN=R74.7 PE=3 SV=3</t>
  </si>
  <si>
    <t>Q22031</t>
  </si>
  <si>
    <t>R74.7</t>
  </si>
  <si>
    <t>Putative tRNA (cytidine(32)/guanosine(34)-2'-O)-methyltransferase</t>
  </si>
  <si>
    <t>&gt;sp|Q22036|CAN5_CAEEL Calpain-5 OS=Caenorhabditis elegans OX=6239 GN=tra-3 PE=1 SV=1</t>
  </si>
  <si>
    <t>Q22036</t>
  </si>
  <si>
    <t>tra-3</t>
  </si>
  <si>
    <t>Calpain-5</t>
  </si>
  <si>
    <t>&gt;sp|Q22037|ROA1_CAEEL Heterogeneous nuclear ribonucleoprotein A1 OS=Caenorhabditis elegans OX=6239 GN=hrp-1 PE=1 SV=1</t>
  </si>
  <si>
    <t>Q22037</t>
  </si>
  <si>
    <t>hrp-1</t>
  </si>
  <si>
    <t>Heterogeneous nuclear ribonucleoprotein A1</t>
  </si>
  <si>
    <t>&gt;sp|Q22038|RHO1_CAEEL Ras-like GTP-binding protein rhoA OS=Caenorhabditis elegans OX=6239 GN=rho-1 PE=1 SV=1</t>
  </si>
  <si>
    <t>Q22038</t>
  </si>
  <si>
    <t>rho-1</t>
  </si>
  <si>
    <t>Ras-like GTP-binding protein rhoA</t>
  </si>
  <si>
    <t>&gt;tr|Q22046|Q22046_CAEEL Sas10 C-terminal domain-containing protein OS=Caenorhabditis elegans OX=6239 GN=CELE_T01B7.5 PE=1 SV=2</t>
  </si>
  <si>
    <t>Q22046</t>
  </si>
  <si>
    <t>Sas10 C-terminal domain-containing protein</t>
  </si>
  <si>
    <t>&gt;tr|Q22047|Q22047_CAEEL TRansport of membrane to Cell Surface OS=Caenorhabditis elegans OX=6239 GN=trcs-2 PE=1 SV=3</t>
  </si>
  <si>
    <t>Q22047</t>
  </si>
  <si>
    <t>trcs-2</t>
  </si>
  <si>
    <t>TRansport of membrane to Cell Surface</t>
  </si>
  <si>
    <t>&gt;sp|Q22053|FBRL_CAEEL rRNA 2'-O-methyltransferase fibrillarin OS=Caenorhabditis elegans OX=6239 GN=fib-1 PE=2 SV=1</t>
  </si>
  <si>
    <t>Q22053</t>
  </si>
  <si>
    <t>fib-1</t>
  </si>
  <si>
    <t>rRNA 2'-O-methyltransferase fibrillarin</t>
  </si>
  <si>
    <t>&gt;sp|Q22054|RS16_CAEEL Small ribosomal subunit protein uS9 OS=Caenorhabditis elegans OX=6239 GN=rps-16 PE=1 SV=3</t>
  </si>
  <si>
    <t>Q22054</t>
  </si>
  <si>
    <t>rps-16</t>
  </si>
  <si>
    <t>Small ribosomal subunit protein uS9</t>
  </si>
  <si>
    <t>&gt;tr|Q22061|Q22061_CAEEL MUTator OS=Caenorhabditis elegans OX=6239 GN=mut-15 PE=4 SV=2</t>
  </si>
  <si>
    <t>Q22061</t>
  </si>
  <si>
    <t>mut-15</t>
  </si>
  <si>
    <t>&gt;sp|Q22067|AATC_CAEEL Aspartate aminotransferase, cytoplasmic OS=Caenorhabditis elegans OX=6239 GN=got-1.2 PE=1 SV=1</t>
  </si>
  <si>
    <t>Q22067</t>
  </si>
  <si>
    <t>got-1.2</t>
  </si>
  <si>
    <t>Aspartate aminotransferase, cytoplasmic</t>
  </si>
  <si>
    <t>&gt;sp|Q22070|PLCG_CAEEL 1-phosphatidylinositol 4,5-bisphosphate phosphodiesterase gamma plc-3 OS=Caenorhabditis elegans OX=6239 GN=plc-3 PE=2 SV=2</t>
  </si>
  <si>
    <t>Q22070</t>
  </si>
  <si>
    <t>plc-3</t>
  </si>
  <si>
    <t>1-phosphatidylinositol 4,5-bisphosphate phosphodiesterase gamma plc-3</t>
  </si>
  <si>
    <t>&gt;tr|Q22078|Q22078_CAEEL Nuclear pore complex protein Nup85 OS=Caenorhabditis elegans OX=6239 GN=npp-2 PE=1 SV=1</t>
  </si>
  <si>
    <t>Q22078</t>
  </si>
  <si>
    <t>npp-2</t>
  </si>
  <si>
    <t>Nuclear pore complex protein Nup85</t>
  </si>
  <si>
    <t>&gt;tr|Q22088|Q22088_CAEEL Peroxin/Ferlin domain-containing protein OS=Caenorhabditis elegans OX=6239 GN=CELE_T01H3.2 PE=4 SV=3</t>
  </si>
  <si>
    <t>Q22088</t>
  </si>
  <si>
    <t>Peroxin/Ferlin domain-containing protein</t>
  </si>
  <si>
    <t>&gt;tr|Q22089|Q22089_CAEEL MFS domain-containing protein OS=Caenorhabditis elegans OX=6239 GN=CELE_T01H3.3 PE=1 SV=2</t>
  </si>
  <si>
    <t>Q22089</t>
  </si>
  <si>
    <t>&gt;tr|Q22090|Q22090_CAEEL Epimerase domain-containing protein OS=Caenorhabditis elegans OX=6239 GN=perm-1 PE=1 SV=1</t>
  </si>
  <si>
    <t>Q22090</t>
  </si>
  <si>
    <t>perm-1</t>
  </si>
  <si>
    <t>Epimerase domain-containing protein</t>
  </si>
  <si>
    <t>&gt;sp|Q22099|SYK_CAEEL Lysine--tRNA ligase OS=Caenorhabditis elegans OX=6239 GN=kars-1 PE=3 SV=1</t>
  </si>
  <si>
    <t>Q22099</t>
  </si>
  <si>
    <t>kars-1</t>
  </si>
  <si>
    <t>Lysine--tRNA ligase</t>
  </si>
  <si>
    <t>&gt;tr|Q22101|Q22101_CAEEL Acetyl-CoA C-acetyltransferase OS=Caenorhabditis elegans OX=6239 GN=CELE_T02G5.7 PE=1 SV=1</t>
  </si>
  <si>
    <t>Q22101</t>
  </si>
  <si>
    <t>Acetyl-CoA C-acetyltransferase</t>
  </si>
  <si>
    <t>&gt;tr|Q22109|Q22109_CAEEL Major facilitator superfamily (MFS) profile domain-containing protein OS=Caenorhabditis elegans OX=6239 GN=mct-5 PE=4 SV=2</t>
  </si>
  <si>
    <t>Q22109</t>
  </si>
  <si>
    <t>mct-5</t>
  </si>
  <si>
    <t>&gt;sp|Q22111|MMAA1_CAEEL Methylmalonic aciduria type A homolog, mitochondrial OS=Caenorhabditis elegans OX=6239 GN=mmaa-1 PE=3 SV=2</t>
  </si>
  <si>
    <t>Q22111</t>
  </si>
  <si>
    <t>mmaa-1</t>
  </si>
  <si>
    <t>Methylmalonic aciduria type A homolog, mitochondrial</t>
  </si>
  <si>
    <t>&gt;tr|Q22123|Q22123_CAEEL DREV methyltransferase OS=Caenorhabditis elegans OX=6239 GN=metl-9 PE=1 SV=2</t>
  </si>
  <si>
    <t>Q22123</t>
  </si>
  <si>
    <t>metl-9</t>
  </si>
  <si>
    <t>DREV methyltransferase</t>
  </si>
  <si>
    <t>&gt;sp|Q22127|NHR40_CAEEL Nuclear hormone receptor family member nhr-40 OS=Caenorhabditis elegans OX=6239 GN=nhr-40 PE=2 SV=4</t>
  </si>
  <si>
    <t>Q22127</t>
  </si>
  <si>
    <t>nhr-40</t>
  </si>
  <si>
    <t>Nuclear hormone receptor family member nhr-40</t>
  </si>
  <si>
    <t>&gt;tr|Q22135|Q22135_CAEEL RRM domain-containing protein OS=Caenorhabditis elegans OX=6239 GN=nifk-1 PE=1 SV=1</t>
  </si>
  <si>
    <t>Q22135</t>
  </si>
  <si>
    <t>nifk-1</t>
  </si>
  <si>
    <t>&gt;tr|Q22137|Q22137_CAEEL 1,4-alpha-glucan branching enzyme OS=Caenorhabditis elegans OX=6239 GN=CELE_T04A8.7 PE=1 SV=1</t>
  </si>
  <si>
    <t>Q22137</t>
  </si>
  <si>
    <t>1,4-alpha-glucan branching enzyme</t>
  </si>
  <si>
    <t>&gt;tr|Q22140|Q22140_CAEEL Large ribosomal subunit protein uL16m OS=Caenorhabditis elegans OX=6239 GN=mrpl-16 PE=1 SV=2</t>
  </si>
  <si>
    <t>Q22140</t>
  </si>
  <si>
    <t>mrpl-16</t>
  </si>
  <si>
    <t>Large ribosomal subunit protein uL16m</t>
  </si>
  <si>
    <t>&gt;tr|Q22144|Q22144_CAEEL Rad60/SUMO-like domain-containing protein OS=Caenorhabditis elegans OX=6239 GN=CELE_T04A8.8 PE=1 SV=1</t>
  </si>
  <si>
    <t>Q22144</t>
  </si>
  <si>
    <t>Rad60/SUMO-like domain-containing protein</t>
  </si>
  <si>
    <t>&gt;tr|Q22158|Q22158_CAEEL Tyrosine-protein phosphatase domain-containing protein OS=Caenorhabditis elegans OX=6239 GN=CELE_T04F3.3 PE=4 SV=2</t>
  </si>
  <si>
    <t>Q22158</t>
  </si>
  <si>
    <t>Tyrosine-protein phosphatase domain-containing protein</t>
  </si>
  <si>
    <t>&gt;tr|Q22161|Q22161_CAEEL Sidoreflexin OS=Caenorhabditis elegans OX=6239 GN=sfxn-1.5 PE=1 SV=1</t>
  </si>
  <si>
    <t>Q22161</t>
  </si>
  <si>
    <t>sfxn-1.5</t>
  </si>
  <si>
    <t>&gt;sp|Q22165|STO4_CAEEL Stomatin-4 OS=Caenorhabditis elegans OX=6239 GN=sto-4 PE=3 SV=2</t>
  </si>
  <si>
    <t>Q22165</t>
  </si>
  <si>
    <t>sto-4</t>
  </si>
  <si>
    <t>Stomatin-4</t>
  </si>
  <si>
    <t>&gt;sp|Q22169|SSRB_CAEEL Translocon-associated protein subunit beta OS=Caenorhabditis elegans OX=6239 GN=trap-2 PE=1 SV=1</t>
  </si>
  <si>
    <t>Q22169</t>
  </si>
  <si>
    <t>trap-2</t>
  </si>
  <si>
    <t>&gt;tr|Q22171|Q22171_CAEEL L-aminoadipate-semialdehyde dehydrogenase-phosphopantetheinyl transferase OS=Caenorhabditis elegans OX=6239 GN=CELE_T04G9.4 PE=1 SV=1</t>
  </si>
  <si>
    <t>Q22171</t>
  </si>
  <si>
    <t>L-aminoadipate-semialdehyde dehydrogenase-phosphopantetheinyl transferase</t>
  </si>
  <si>
    <t>&gt;tr|Q22183|Q22183_CAEEL Nematode cuticle collagen N-terminal domain-containing protein OS=Caenorhabditis elegans OX=6239 GN=col-122 PE=1 SV=1</t>
  </si>
  <si>
    <t>Q22183</t>
  </si>
  <si>
    <t>col-122</t>
  </si>
  <si>
    <t>&gt;tr|Q22192|Q22192_CAEEL Transthyretin-like family protein OS=Caenorhabditis elegans OX=6239 GN=ttr-14 PE=1 SV=1</t>
  </si>
  <si>
    <t>Q22192</t>
  </si>
  <si>
    <t>ttr-14</t>
  </si>
  <si>
    <t>&gt;tr|Q22215|Q22215_CAEEL Nuclear receptor domain-containing protein OS=Caenorhabditis elegans OX=6239 GN=CELE_T05B9.1 PE=1 SV=1</t>
  </si>
  <si>
    <t>Q22215</t>
  </si>
  <si>
    <t>Nuclear receptor domain-containing protein</t>
  </si>
  <si>
    <t>&gt;sp|Q22227|MIG5_CAEEL Segment polarity protein dishevelled homolog mig-5 OS=Caenorhabditis elegans OX=6239 GN=mig-5 PE=1 SV=1</t>
  </si>
  <si>
    <t>Q22227</t>
  </si>
  <si>
    <t>mig-5</t>
  </si>
  <si>
    <t>Segment polarity protein dishevelled homolog mig-5</t>
  </si>
  <si>
    <t>&gt;sp|Q22230|DECR_CAEEL Probable 2,4-dienoyl-CoA reductase 3 [(3E)-enoyl-CoA-producing] OS=Caenorhabditis elegans OX=6239 GN=decr-1.3 PE=3 SV=1</t>
  </si>
  <si>
    <t>Q22230</t>
  </si>
  <si>
    <t>decr-1.3</t>
  </si>
  <si>
    <t>Probable 2,4-dienoyl-CoA reductase 3 [(3E)-enoyl-CoA-producing]</t>
  </si>
  <si>
    <t>&gt;sp|Q22235|ENPL1_CAEEL Endoplasmin homolog OS=Caenorhabditis elegans OX=6239 GN=enpl-1 PE=3 SV=1</t>
  </si>
  <si>
    <t>Q22235</t>
  </si>
  <si>
    <t>enpl-1</t>
  </si>
  <si>
    <t>Endoplasmin homolog</t>
  </si>
  <si>
    <t>&gt;tr|Q22240|Q22240_CAEEL Ubiquitin carboxyl-terminal hydrolase 47 OS=Caenorhabditis elegans OX=6239 GN=CELE_T05H10.1 PE=1 SV=2</t>
  </si>
  <si>
    <t>Q22240</t>
  </si>
  <si>
    <t>Ubiquitin carboxyl-terminal hydrolase 47</t>
  </si>
  <si>
    <t>&gt;tr|Q22251|Q22251_CAEEL EOG090X04TT OS=Caenorhabditis elegans OX=6239 GN=cox-15 PE=1 SV=1</t>
  </si>
  <si>
    <t>Q22251</t>
  </si>
  <si>
    <t>cox-15</t>
  </si>
  <si>
    <t>EOG090X04TT</t>
  </si>
  <si>
    <t>&gt;tr|Q22253|Q22253_CAEEL 26S proteasome non-ATPase regulatory subunit 13 OS=Caenorhabditis elegans OX=6239 GN=rpn-9 PE=1 SV=1</t>
  </si>
  <si>
    <t>Q22253</t>
  </si>
  <si>
    <t>rpn-9</t>
  </si>
  <si>
    <t>26S proteasome non-ATPase regulatory subunit 13</t>
  </si>
  <si>
    <t>&gt;tr|Q22254|Q22254_CAEEL Store-operated calcium entry-associated regulatory factor OS=Caenorhabditis elegans OX=6239 GN=CELE_T06D8.9 PE=1 SV=2</t>
  </si>
  <si>
    <t>Q22254</t>
  </si>
  <si>
    <t>Store-operated calcium entry-associated regulatory factor</t>
  </si>
  <si>
    <t>&gt;tr|Q22257|Q22257_CAEEL HoloCentric chromosome binding Protein OS=Caenorhabditis elegans OX=6239 GN=hcp-2 PE=1 SV=1</t>
  </si>
  <si>
    <t>Q22257</t>
  </si>
  <si>
    <t>hcp-2</t>
  </si>
  <si>
    <t>&gt;sp|Q22258|ATR_CAEEL Serine/threonine-protein kinase ATR OS=Caenorhabditis elegans OX=6239 GN=atl-1 PE=2 SV=2</t>
  </si>
  <si>
    <t>Q22258</t>
  </si>
  <si>
    <t>atl-1</t>
  </si>
  <si>
    <t>&gt;sp|Q22267|PLC2_CAEEL Putative 1-acyl-sn-glycerol-3-phosphate acyltransferase acl-2 OS=Caenorhabditis elegans OX=6239 GN=acl-2 PE=3 SV=1</t>
  </si>
  <si>
    <t>Q22267</t>
  </si>
  <si>
    <t>acl-2</t>
  </si>
  <si>
    <t>Putative 1-acyl-sn-glycerol-3-phosphate acyltransferase acl-2</t>
  </si>
  <si>
    <t>&gt;tr|Q22279|Q22279_CAEEL Nicotinamide N-methyltransferase-like OS=Caenorhabditis elegans OX=6239 GN=anmt-3 PE=1 SV=2</t>
  </si>
  <si>
    <t>Q22279</t>
  </si>
  <si>
    <t>anmt-3</t>
  </si>
  <si>
    <t>Nicotinamide N-methyltransferase-like</t>
  </si>
  <si>
    <t>&gt;sp|Q22306|YW12_CAEEL UPF0046 protein T07D4.2 OS=Caenorhabditis elegans OX=6239 GN=T07D4.2 PE=1 SV=3</t>
  </si>
  <si>
    <t>Q22306</t>
  </si>
  <si>
    <t>T07D4.2</t>
  </si>
  <si>
    <t>UPF0046 protein T07D4.2</t>
  </si>
  <si>
    <t>&gt;sp|Q22307|DHX9_CAEEL ATP-dependent RNA helicase A OS=Caenorhabditis elegans OX=6239 GN=rha-1 PE=2 SV=3</t>
  </si>
  <si>
    <t>Q22307</t>
  </si>
  <si>
    <t>rha-1</t>
  </si>
  <si>
    <t>ATP-dependent RNA helicase A</t>
  </si>
  <si>
    <t>&gt;tr|Q22308|Q22308_CAEEL RNA helicase OS=Caenorhabditis elegans OX=6239 GN=ddx-19 PE=1 SV=2</t>
  </si>
  <si>
    <t>Q22308</t>
  </si>
  <si>
    <t>ddx-19</t>
  </si>
  <si>
    <t>&gt;tr|Q22342|Q22342_CAEEL Autophagy-related protein 11 C-terminal domain-containing protein OS=Caenorhabditis elegans OX=6239 GN=epg-7 PE=1 SV=2</t>
  </si>
  <si>
    <t>Q22342</t>
  </si>
  <si>
    <t>epg-7</t>
  </si>
  <si>
    <t>Autophagy-related protein 11 C-terminal domain-containing protein</t>
  </si>
  <si>
    <t>&gt;sp|Q22347|ACADM_CAEEL Probable medium-chain specific acyl-CoA dehydrogenase 10, mitochondrial OS=Caenorhabditis elegans OX=6239 GN=acdh-10 PE=2 SV=1</t>
  </si>
  <si>
    <t>Q22347</t>
  </si>
  <si>
    <t>acdh-10</t>
  </si>
  <si>
    <t>Probable medium-chain specific acyl-CoA dehydrogenase 10, mitochondrial</t>
  </si>
  <si>
    <t>&gt;tr|Q22352|Q22352_CAEEL NADP-dependent oxidoreductase domain-containing protein OS=Caenorhabditis elegans OX=6239 GN=exc-15 PE=1 SV=2</t>
  </si>
  <si>
    <t>Q22352</t>
  </si>
  <si>
    <t>exc-15</t>
  </si>
  <si>
    <t>&gt;tr|Q22360|Q22360_CAEEL High Incidence of Males (Increased X chromosome loss) OS=Caenorhabditis elegans OX=6239 GN=him-17 PE=1 SV=1</t>
  </si>
  <si>
    <t>Q22360</t>
  </si>
  <si>
    <t>him-17</t>
  </si>
  <si>
    <t>High Incidence of Males (Increased X chromosome loss)</t>
  </si>
  <si>
    <t>&gt;sp|Q22361|CNI1_CAEEL Protein cornichon homolog 1 OS=Caenorhabditis elegans OX=6239 GN=cni-1 PE=1 SV=2</t>
  </si>
  <si>
    <t>Q22361</t>
  </si>
  <si>
    <t>cni-1</t>
  </si>
  <si>
    <t>Protein cornichon homolog 1</t>
  </si>
  <si>
    <t>&gt;sp|Q22366|RIM_CAEEL Rab-3-interacting molecule unc-10 OS=Caenorhabditis elegans OX=6239 GN=unc-10 PE=2 SV=2</t>
  </si>
  <si>
    <t>Q22366</t>
  </si>
  <si>
    <t>unc-10</t>
  </si>
  <si>
    <t>Rab-3-interacting molecule unc-10</t>
  </si>
  <si>
    <t>&gt;tr|Q22370|Q22370_CAEEL Peptidase M16 N-terminal domain-containing protein OS=Caenorhabditis elegans OX=6239 GN=ucr-2.2 PE=1 SV=2</t>
  </si>
  <si>
    <t>Q22370</t>
  </si>
  <si>
    <t>ucr-2.2</t>
  </si>
  <si>
    <t>Peptidase M16 N-terminal domain-containing protein</t>
  </si>
  <si>
    <t>&gt;tr|Q22379|Q22379_CAEEL Nematode cuticle collagen N-terminal domain-containing protein OS=Caenorhabditis elegans OX=6239 GN=col-167 PE=4 SV=2</t>
  </si>
  <si>
    <t>Q22379</t>
  </si>
  <si>
    <t>col-167</t>
  </si>
  <si>
    <t>&gt;tr|Q22392|Q22392_CAEEL DeHydrogenases, Short chain OS=Caenorhabditis elegans OX=6239 GN=dhs-19 PE=1 SV=1</t>
  </si>
  <si>
    <t>Q22392</t>
  </si>
  <si>
    <t>dhs-19</t>
  </si>
  <si>
    <t>&gt;tr|Q22412|Q22412_CAEEL Pre-mRNA-splicing factor RBM22 OS=Caenorhabditis elegans OX=6239 GN=rbm-22 PE=1 SV=2</t>
  </si>
  <si>
    <t>Q22412</t>
  </si>
  <si>
    <t>rbm-22</t>
  </si>
  <si>
    <t>Pre-mRNA-splicing factor RBM22</t>
  </si>
  <si>
    <t>&gt;tr|Q22429|Q22429_CAEEL Double-strand telomeric DNA-binding proteins 2 OS=Caenorhabditis elegans OX=6239 GN=tebp-2 PE=1 SV=1</t>
  </si>
  <si>
    <t>Q22429</t>
  </si>
  <si>
    <t>tebp-2</t>
  </si>
  <si>
    <t>Double-strand telomeric DNA-binding proteins 2</t>
  </si>
  <si>
    <t>&gt;tr|Q22430|Q22430_CAEEL Chromo domain-containing protein OS=Caenorhabditis elegans OX=6239 GN=cec-6 PE=1 SV=1</t>
  </si>
  <si>
    <t>Q22430</t>
  </si>
  <si>
    <t>cec-6</t>
  </si>
  <si>
    <t>&gt;sp|Q22431|ARI2_CAEEL Potential E3 ubiquitin-protein ligase ariadne-2 OS=Caenorhabditis elegans OX=6239 GN=ari-2 PE=3 SV=2</t>
  </si>
  <si>
    <t>Q22431</t>
  </si>
  <si>
    <t>ari-2</t>
  </si>
  <si>
    <t>Potential E3 ubiquitin-protein ligase ariadne-2</t>
  </si>
  <si>
    <t>&gt;tr|Q22436|Q22436_CAEEL ZZ-type domain-containing protein OS=Caenorhabditis elegans OX=6239 GN=sqst-1 PE=1 SV=2</t>
  </si>
  <si>
    <t>Q22436</t>
  </si>
  <si>
    <t>sqst-1</t>
  </si>
  <si>
    <t>&gt;sp|Q22453|SSU72_CAEEL RNA polymerase II subunit A C-terminal domain phosphatase ssup-72 OS=Caenorhabditis elegans OX=6239 GN=ssup-72 PE=1 SV=4</t>
  </si>
  <si>
    <t>Q22453</t>
  </si>
  <si>
    <t>ssup-72</t>
  </si>
  <si>
    <t>RNA polymerase II subunit A C-terminal domain phosphatase ssup-72</t>
  </si>
  <si>
    <t>&gt;sp|Q22460|BCA1_CAEEL Beta carbonic anhydrase 1 OS=Caenorhabditis elegans OX=6239 GN=bca-1 PE=3 SV=1</t>
  </si>
  <si>
    <t>Q22460</t>
  </si>
  <si>
    <t>bca-1</t>
  </si>
  <si>
    <t>Beta carbonic anhydrase 1</t>
  </si>
  <si>
    <t>&gt;tr|Q22470|Q22470_CAEEL 28S ribosomal protein S18-2, mitochondrial OS=Caenorhabditis elegans OX=6239 GN=mrps-18b PE=1 SV=1</t>
  </si>
  <si>
    <t>Q22470</t>
  </si>
  <si>
    <t>mrps-18b</t>
  </si>
  <si>
    <t>28S ribosomal protein S18-2, mitochondrial</t>
  </si>
  <si>
    <t>&gt;tr|Q22484|Q22484_CAEEL tRNA/rRNA methyltransferase SpoU type domain-containing protein OS=Caenorhabditis elegans OX=6239 GN=CELE_T14B4.1 PE=1 SV=3</t>
  </si>
  <si>
    <t>Q22484</t>
  </si>
  <si>
    <t>tRNA/rRNA methyltransferase SpoU type domain-containing protein</t>
  </si>
  <si>
    <t>&gt;sp|Q22494|VATH2_CAEEL Probable V-type proton ATPase subunit H 2 OS=Caenorhabditis elegans OX=6239 GN=vha-15 PE=3 SV=1</t>
  </si>
  <si>
    <t>Q22494</t>
  </si>
  <si>
    <t>vha-15</t>
  </si>
  <si>
    <t>Probable V-type proton ATPase subunit H 2</t>
  </si>
  <si>
    <t>&gt;sp|Q22498|COPG_CAEEL Probable coatomer subunit gamma OS=Caenorhabditis elegans OX=6239 GN=copg-1 PE=3 SV=1</t>
  </si>
  <si>
    <t>Q22498</t>
  </si>
  <si>
    <t>copg-1</t>
  </si>
  <si>
    <t>Probable coatomer subunit gamma</t>
  </si>
  <si>
    <t>&gt;tr|Q22508|Q22508_CAEEL Uncharacterized protein OS=Caenorhabditis elegans OX=6239 GN=tag-18 PE=1 SV=1</t>
  </si>
  <si>
    <t>Q22508</t>
  </si>
  <si>
    <t>tag-18</t>
  </si>
  <si>
    <t>&gt;sp|Q22516|CHD3_CAEEL Chromodomain-helicase-DNA-binding protein 3 homolog OS=Caenorhabditis elegans OX=6239 GN=chd-3 PE=2 SV=2</t>
  </si>
  <si>
    <t>Q22516</t>
  </si>
  <si>
    <t>chd-3</t>
  </si>
  <si>
    <t>Chromodomain-helicase-DNA-binding protein 3 homolog</t>
  </si>
  <si>
    <t>&gt;tr|Q22528|Q22528_CAEEL RTP1_C1 domain-containing protein OS=Caenorhabditis elegans OX=6239 GN=ekl-6 PE=1 SV=3</t>
  </si>
  <si>
    <t>Q22528</t>
  </si>
  <si>
    <t>ekl-6</t>
  </si>
  <si>
    <t>RTP1_C1 domain-containing protein</t>
  </si>
  <si>
    <t>&gt;tr|Q22529|Q22529_CAEEL Exportin-T OS=Caenorhabditis elegans OX=6239 GN=CELE_T16G12.6 PE=1 SV=2</t>
  </si>
  <si>
    <t>Q22529</t>
  </si>
  <si>
    <t>Exportin-T</t>
  </si>
  <si>
    <t>&gt;tr|Q22537|Q22537_CAEEL SXP/RAL-2 family protein Ani s 5-like cation-binding domain-containing protein OS=Caenorhabditis elegans OX=6239 GN=idpp-1 PE=1 SV=1</t>
  </si>
  <si>
    <t>Q22537</t>
  </si>
  <si>
    <t>idpp-1</t>
  </si>
  <si>
    <t>SXP/RAL-2 family protein Ani s 5-like cation-binding domain-containing protein</t>
  </si>
  <si>
    <t>&gt;tr|Q22554|Q22554_CAEEL TPR_REGION domain-containing protein OS=Caenorhabditis elegans OX=6239 GN=ttc-17 PE=1 SV=1</t>
  </si>
  <si>
    <t>Q22554</t>
  </si>
  <si>
    <t>ttc-17</t>
  </si>
  <si>
    <t>&gt;sp|Q22560|IMA1_CAEEL Importin subunit alpha-1 OS=Caenorhabditis elegans OX=6239 GN=ima-1 PE=1 SV=1</t>
  </si>
  <si>
    <t>Q22560</t>
  </si>
  <si>
    <t>ima-1</t>
  </si>
  <si>
    <t>Importin subunit alpha-1</t>
  </si>
  <si>
    <t>&gt;tr|Q22561|Q22561_CAEEL GPI inositol-deacylase OS=Caenorhabditis elegans OX=6239 GN=pgap-1 PE=1 SV=2</t>
  </si>
  <si>
    <t>Q22561</t>
  </si>
  <si>
    <t>pgap-1</t>
  </si>
  <si>
    <t>GPI inositol-deacylase</t>
  </si>
  <si>
    <t>&gt;sp|Q22566|BST17_CAEEL Bestrophin homolog 17 OS=Caenorhabditis elegans OX=6239 GN=best-17 PE=3 SV=3</t>
  </si>
  <si>
    <t>Q22566</t>
  </si>
  <si>
    <t>best-17</t>
  </si>
  <si>
    <t>Bestrophin homolog 17</t>
  </si>
  <si>
    <t>&gt;tr|Q22570|Q22570_CAEEL Secretory carrier membrane protein OS=Caenorhabditis elegans OX=6239 GN=CELE_T19C4.1 PE=1 SV=1</t>
  </si>
  <si>
    <t>Q22570</t>
  </si>
  <si>
    <t>Secretory carrier membrane protein</t>
  </si>
  <si>
    <t>&gt;tr|Q22601|Q22601_CAEEL AP-2 complex subunit alpha OS=Caenorhabditis elegans OX=6239 GN=apa-2 PE=1 SV=2</t>
  </si>
  <si>
    <t>Q22601</t>
  </si>
  <si>
    <t>apa-2</t>
  </si>
  <si>
    <t>AP-2 complex subunit alpha</t>
  </si>
  <si>
    <t>&gt;sp|Q22618|DSRAD_CAEEL Double-stranded RNA-specific adenosine deaminase adr-2 OS=Caenorhabditis elegans OX=6239 GN=adr-2 PE=1 SV=2</t>
  </si>
  <si>
    <t>Q22618</t>
  </si>
  <si>
    <t>adr-2</t>
  </si>
  <si>
    <t>Double-stranded RNA-specific adenosine deaminase adr-2</t>
  </si>
  <si>
    <t>&gt;tr|Q22620|Q22620_CAEEL proline--tRNA ligase OS=Caenorhabditis elegans OX=6239 GN=pars-1 PE=1 SV=1</t>
  </si>
  <si>
    <t>Q22620</t>
  </si>
  <si>
    <t>pars-1</t>
  </si>
  <si>
    <t>&gt;tr|Q22623|Q22623_CAEEL Large ribosomal subunit protein mL50 OS=Caenorhabditis elegans OX=6239 GN=mrpl-50 PE=1 SV=1</t>
  </si>
  <si>
    <t>Q22623</t>
  </si>
  <si>
    <t>mrpl-50</t>
  </si>
  <si>
    <t>Large ribosomal subunit protein mL50</t>
  </si>
  <si>
    <t>&gt;tr|Q22624|Q22624_CAEEL THO complex subunit 2 OS=Caenorhabditis elegans OX=6239 GN=CELE_T21B10.3 PE=1 SV=3</t>
  </si>
  <si>
    <t>Q22624</t>
  </si>
  <si>
    <t>&gt;tr|Q22630|Q22630_CAEEL Lysosomal acid phosphatase OS=Caenorhabditis elegans OX=6239 GN=pho-7 PE=3 SV=2</t>
  </si>
  <si>
    <t>Q22630</t>
  </si>
  <si>
    <t>pho-7</t>
  </si>
  <si>
    <t>Lysosomal acid phosphatase</t>
  </si>
  <si>
    <t>&gt;tr|Q22631|Q22631_CAEEL Apple domain-containing protein OS=Caenorhabditis elegans OX=6239 GN=CELE_T21B6.3 PE=1 SV=2</t>
  </si>
  <si>
    <t>Q22631</t>
  </si>
  <si>
    <t>&gt;sp|Q22633|HPPD_CAEEL 4-hydroxyphenylpyruvate dioxygenase OS=Caenorhabditis elegans OX=6239 GN=hpd-1 PE=2 SV=1</t>
  </si>
  <si>
    <t>Q22633</t>
  </si>
  <si>
    <t>hpd-1</t>
  </si>
  <si>
    <t>4-hydroxyphenylpyruvate dioxygenase</t>
  </si>
  <si>
    <t>&gt;sp|Q22647|TIM50_CAEEL Mitochondrial import inner membrane translocase subunit TIM50 OS=Caenorhabditis elegans OX=6239 GN=scpl-4 PE=3 SV=1</t>
  </si>
  <si>
    <t>Q22647</t>
  </si>
  <si>
    <t>scpl-4</t>
  </si>
  <si>
    <t>Mitochondrial import inner membrane translocase subunit TIM50</t>
  </si>
  <si>
    <t>&gt;tr|Q22649|Q22649_CAEEL Phosphoenolpyruvate synthase OS=Caenorhabditis elegans OX=6239 GN=CELE_T21C9.6 PE=1 SV=2</t>
  </si>
  <si>
    <t>Q22649</t>
  </si>
  <si>
    <t>Phosphoenolpyruvate synthase</t>
  </si>
  <si>
    <t>&gt;tr|Q22662|Q22662_CAEEL UBR-type domain-containing protein OS=Caenorhabditis elegans OX=6239 GN=CELE_T22C1.1 PE=1 SV=2</t>
  </si>
  <si>
    <t>Q22662</t>
  </si>
  <si>
    <t>&gt;tr|Q22672|Q22672_CAEEL GPI transamidase component GAB1 OS=Caenorhabditis elegans OX=6239 GN=pigu-1 PE=1 SV=2</t>
  </si>
  <si>
    <t>Q22672</t>
  </si>
  <si>
    <t>pigu-1</t>
  </si>
  <si>
    <t>GPI transamidase component GAB1</t>
  </si>
  <si>
    <t>&gt;tr|Q22694|Q22694_CAEEL Major sperm protein OS=Caenorhabditis elegans OX=6239 GN=CELE_T23F11.2 PE=1 SV=1</t>
  </si>
  <si>
    <t>Q22694</t>
  </si>
  <si>
    <t>&gt;sp|Q22703|TFDP1_CAEEL Transcription factor dpl-1 OS=Caenorhabditis elegans OX=6239 GN=dpl-1 PE=1 SV=2</t>
  </si>
  <si>
    <t>Q22703</t>
  </si>
  <si>
    <t>dpl-1</t>
  </si>
  <si>
    <t>Transcription factor dpl-1</t>
  </si>
  <si>
    <t>&gt;tr|Q22705|Q22705_CAEEL G-patch domain-containing protein OS=Caenorhabditis elegans OX=6239 GN=CELE_T23G7.3 PE=1 SV=1</t>
  </si>
  <si>
    <t>Q22705</t>
  </si>
  <si>
    <t>G-patch domain-containing protein</t>
  </si>
  <si>
    <t>&gt;sp|Q22706|EXOC2_CAEEL Exocyst complex component 2 OS=Caenorhabditis elegans OX=6239 GN=sec-5 PE=3 SV=1</t>
  </si>
  <si>
    <t>Q22706</t>
  </si>
  <si>
    <t>sec-5</t>
  </si>
  <si>
    <t>Exocyst complex component 2</t>
  </si>
  <si>
    <t>&gt;tr|Q22716|Q22716_CAEEL Large ribosomal subunit protein eL32 OS=Caenorhabditis elegans OX=6239 GN=rpl-32 PE=1 SV=1</t>
  </si>
  <si>
    <t>Q22716</t>
  </si>
  <si>
    <t>rpl-32</t>
  </si>
  <si>
    <t>Large ribosomal subunit protein eL32</t>
  </si>
  <si>
    <t>&gt;tr|Q22718|Q22718_CAEEL Charged multivesicular body protein 7 OS=Caenorhabditis elegans OX=6239 GN=chmp-7 PE=1 SV=1</t>
  </si>
  <si>
    <t>Q22718</t>
  </si>
  <si>
    <t>chmp-7</t>
  </si>
  <si>
    <t>Charged multivesicular body protein 7</t>
  </si>
  <si>
    <t>&gt;tr|Q22721|Q22721_CAEEL Carbohydrate kinase PfkB domain-containing protein OS=Caenorhabditis elegans OX=6239 GN=CELE_T24C12.3 PE=1 SV=2</t>
  </si>
  <si>
    <t>Q22721</t>
  </si>
  <si>
    <t>Carbohydrate kinase PfkB domain-containing protein</t>
  </si>
  <si>
    <t>&gt;tr|Q22743|Q22743_CAEEL GTP-binding protein OS=Caenorhabditis elegans OX=6239 GN=raga-1 PE=1 SV=1</t>
  </si>
  <si>
    <t>Q22743</t>
  </si>
  <si>
    <t>raga-1</t>
  </si>
  <si>
    <t>GTP-binding protein</t>
  </si>
  <si>
    <t>&gt;sp|Q22744|RASF1_CAEEL Ras association domain-containing protein 1 homolog OS=Caenorhabditis elegans OX=6239 GN=rsf-1 PE=1 SV=1</t>
  </si>
  <si>
    <t>Q22744</t>
  </si>
  <si>
    <t>rsf-1</t>
  </si>
  <si>
    <t>Ras association domain-containing protein 1 homolog</t>
  </si>
  <si>
    <t>&gt;sp|Q22747|TM201_CAEEL Transmembrane protein 201 homolog OS=Caenorhabditis elegans OX=6239 GN=samp-1 PE=2 SV=1</t>
  </si>
  <si>
    <t>Q22747</t>
  </si>
  <si>
    <t>samp-1</t>
  </si>
  <si>
    <t>Transmembrane protein 201 homolog</t>
  </si>
  <si>
    <t>&gt;tr|Q22749|Q22749_CAEEL DM2 domain-containing protein OS=Caenorhabditis elegans OX=6239 GN=CELE_T24G10.2 PE=1 SV=2</t>
  </si>
  <si>
    <t>Q22749</t>
  </si>
  <si>
    <t>DM2 domain-containing protein</t>
  </si>
  <si>
    <t>&gt;tr|Q22751|Q22751_CAEEL J domain-containing protein OS=Caenorhabditis elegans OX=6239 GN=dnj-23 PE=1 SV=1</t>
  </si>
  <si>
    <t>Q22751</t>
  </si>
  <si>
    <t>dnj-23</t>
  </si>
  <si>
    <t>&gt;tr|Q22765|Q22765_CAEEL Tyrosine-protein kinase OS=Caenorhabditis elegans OX=6239 GN=CELE_T25B9.4 PE=3 SV=1</t>
  </si>
  <si>
    <t>Q22765</t>
  </si>
  <si>
    <t>Tyrosine-protein kinase</t>
  </si>
  <si>
    <t>&gt;tr|Q22768|Q22768_CAEEL Aminotransferase class I/classII domain-containing protein OS=Caenorhabditis elegans OX=6239 GN=CELE_T25B9.1 PE=1 SV=3</t>
  </si>
  <si>
    <t>Q22768</t>
  </si>
  <si>
    <t>Aminotransferase class I/classII domain-containing protein</t>
  </si>
  <si>
    <t>&gt;tr|Q22781|Q22781_CAEEL Medium-chain specific acyl-CoA dehydrogenase, mitochondrial OS=Caenorhabditis elegans OX=6239 GN=acdh-7 PE=1 SV=2</t>
  </si>
  <si>
    <t>Q22781</t>
  </si>
  <si>
    <t>acdh-7</t>
  </si>
  <si>
    <t>Medium-chain specific acyl-CoA dehydrogenase, mitochondrial</t>
  </si>
  <si>
    <t>&gt;sp|Q22782|RAB6B_CAEEL Ras-related protein rab-6.2 OS=Caenorhabditis elegans OX=6239 GN=rab-6.2 PE=1 SV=1</t>
  </si>
  <si>
    <t>Q22782</t>
  </si>
  <si>
    <t>rab-6.2</t>
  </si>
  <si>
    <t>Ras-related protein rab-6.2</t>
  </si>
  <si>
    <t>&gt;tr|Q22792|Q22792_CAEEL 60S ribosomal export protein NMD3 OS=Caenorhabditis elegans OX=6239 GN=CELE_T25G3.3 PE=1 SV=2</t>
  </si>
  <si>
    <t>Q22792</t>
  </si>
  <si>
    <t>60S ribosomal export protein NMD3</t>
  </si>
  <si>
    <t>&gt;tr|Q22797|Q22797_CAEEL Chitobiosyldiphosphodolichol beta-mannosyltransferase OS=Caenorhabditis elegans OX=6239 GN=algn-1 PE=1 SV=2</t>
  </si>
  <si>
    <t>Q22797</t>
  </si>
  <si>
    <t>algn-1</t>
  </si>
  <si>
    <t>Chitobiosyldiphosphodolichol beta-mannosyltransferase</t>
  </si>
  <si>
    <t>&gt;sp|Q22799|DYL1_CAEEL Dynein light chain 1, cytoplasmic OS=Caenorhabditis elegans OX=6239 GN=dlc-1 PE=1 SV=1</t>
  </si>
  <si>
    <t>Q22799</t>
  </si>
  <si>
    <t>dlc-1</t>
  </si>
  <si>
    <t>Dynein light chain 1, cytoplasmic</t>
  </si>
  <si>
    <t>&gt;tr|Q22800|Q22800_CAEEL Complex I-49kD OS=Caenorhabditis elegans OX=6239 GN=nduf-2.2 PE=1 SV=1</t>
  </si>
  <si>
    <t>Q22800</t>
  </si>
  <si>
    <t>nduf-2.2</t>
  </si>
  <si>
    <t>Complex I-49kD</t>
  </si>
  <si>
    <t>&gt;tr|Q22805|Q22805_CAEEL C3H1-type domain-containing protein OS=Caenorhabditis elegans OX=6239 GN=CELE_T26A8.4 PE=1 SV=1</t>
  </si>
  <si>
    <t>Q22805</t>
  </si>
  <si>
    <t>&gt;tr|Q22816|Q22816_CAEEL Acetyl-coenzyme A transporter 1 OS=Caenorhabditis elegans OX=6239 GN=CELE_T26C5.3 PE=1 SV=2</t>
  </si>
  <si>
    <t>Q22816</t>
  </si>
  <si>
    <t>Acetyl-coenzyme A transporter 1</t>
  </si>
  <si>
    <t>&gt;tr|Q22820|Q22820_CAEEL ethanolamine kinase OS=Caenorhabditis elegans OX=6239 GN=ckc-1 PE=1 SV=1</t>
  </si>
  <si>
    <t>Q22820</t>
  </si>
  <si>
    <t>ckc-1</t>
  </si>
  <si>
    <t>ethanolamine kinase</t>
  </si>
  <si>
    <t>&gt;tr|Q22824|Q22824_CAEEL CRAL-TRIO domain-containing protein OS=Caenorhabditis elegans OX=6239 GN=cgr-1 PE=1 SV=3</t>
  </si>
  <si>
    <t>Q22824</t>
  </si>
  <si>
    <t>cgr-1</t>
  </si>
  <si>
    <t>&gt;sp|Q22836|YGH1_CAEEL Uncharacterized protein T27F2.1 OS=Caenorhabditis elegans OX=6239 GN=T27F2.1 PE=1 SV=1</t>
  </si>
  <si>
    <t>Q22836</t>
  </si>
  <si>
    <t>T27F2.1</t>
  </si>
  <si>
    <t>Uncharacterized protein T27F2.1</t>
  </si>
  <si>
    <t>&gt;tr|Q22850|Q22850_CAEEL Uncharacterized protein OS=Caenorhabditis elegans OX=6239 GN=CELE_T28F4.5 PE=1 SV=1</t>
  </si>
  <si>
    <t>Q22850</t>
  </si>
  <si>
    <t>&gt;sp|Q22866|TPM1_CAEEL Tropomyosin isoforms a/b/d/f OS=Caenorhabditis elegans OX=6239 GN=lev-11 PE=1 SV=1</t>
  </si>
  <si>
    <t>Q22866</t>
  </si>
  <si>
    <t>lev-11</t>
  </si>
  <si>
    <t>Tropomyosin isoforms a/b/d/f</t>
  </si>
  <si>
    <t>&gt;sp|Q22875|SHOC2_CAEEL Leucine-rich repeat protein soc-2 OS=Caenorhabditis elegans OX=6239 GN=soc-2 PE=1 SV=3</t>
  </si>
  <si>
    <t>Q22875</t>
  </si>
  <si>
    <t>soc-2</t>
  </si>
  <si>
    <t>Leucine-rich repeat protein soc-2</t>
  </si>
  <si>
    <t>&gt;sp|Q22918|IF5_CAEEL Eukaryotic translation initiation factor 5 OS=Caenorhabditis elegans OX=6239 GN=C37C3.2 PE=3 SV=2</t>
  </si>
  <si>
    <t>Q22918</t>
  </si>
  <si>
    <t>C37C3.2</t>
  </si>
  <si>
    <t>Eukaryotic translation initiation factor 5</t>
  </si>
  <si>
    <t>&gt;tr|Q22945|Q22945_CAEEL NAD-dependent epimerase/dehydratase domain-containing protein OS=Caenorhabditis elegans OX=6239 GN=CELE_F08F3.4 PE=1 SV=2</t>
  </si>
  <si>
    <t>Q22945</t>
  </si>
  <si>
    <t>NAD-dependent epimerase/dehydratase domain-containing protein</t>
  </si>
  <si>
    <t>&gt;sp|Q22949|PLSB_CAEEL Probable glycerol-3-phosphate acyltransferase, mitochondrial OS=Caenorhabditis elegans OX=6239 GN=acl-6 PE=3 SV=1</t>
  </si>
  <si>
    <t>Q22949</t>
  </si>
  <si>
    <t>acl-6</t>
  </si>
  <si>
    <t>Probable glycerol-3-phosphate acyltransferase, mitochondrial</t>
  </si>
  <si>
    <t>&gt;tr|Q22961|Q22961_CAEEL Pre-mRNA-processing factor 39 OS=Caenorhabditis elegans OX=6239 GN=prp-39 PE=1 SV=2</t>
  </si>
  <si>
    <t>Q22961</t>
  </si>
  <si>
    <t>prp-39</t>
  </si>
  <si>
    <t>Pre-mRNA-processing factor 39</t>
  </si>
  <si>
    <t>&gt;tr|Q22968|Q22968_CAEEL Aminomethyltransferase OS=Caenorhabditis elegans OX=6239 GN=gcst-1 PE=1 SV=1</t>
  </si>
  <si>
    <t>Q22968</t>
  </si>
  <si>
    <t>gcst-1</t>
  </si>
  <si>
    <t>Aminomethyltransferase</t>
  </si>
  <si>
    <t>&gt;tr|Q22974|Q22974_CAEEL ANK_REP_REGION domain-containing protein OS=Caenorhabditis elegans OX=6239 GN=CELE_F45F2.10 PE=1 SV=2</t>
  </si>
  <si>
    <t>Q22974</t>
  </si>
  <si>
    <t>&gt;sp|Q22992|SUMV2_CAEEL Protein sumv-2 OS=Caenorhabditis elegans OX=6239 GN=sumv-2 PE=4 SV=2</t>
  </si>
  <si>
    <t>Q22992</t>
  </si>
  <si>
    <t>sumv-2</t>
  </si>
  <si>
    <t>Protein sumv-2</t>
  </si>
  <si>
    <t>&gt;sp|Q22993|PMT2_CAEEL Phosphoethanolamine N-methyltransferase 2 OS=Caenorhabditis elegans OX=6239 GN=pmt-2 PE=1 SV=1</t>
  </si>
  <si>
    <t>Q22993</t>
  </si>
  <si>
    <t>pmt-2</t>
  </si>
  <si>
    <t>Phosphoethanolamine N-methyltransferase 2</t>
  </si>
  <si>
    <t>&gt;tr|Q23030|Q23030_CAEEL Papain family cysteine protease OS=Caenorhabditis elegans OX=6239 GN=CELE_R09F10.1 PE=1 SV=2</t>
  </si>
  <si>
    <t>Q23030</t>
  </si>
  <si>
    <t>Papain family cysteine protease</t>
  </si>
  <si>
    <t>&gt;tr|Q23044|Q23044_CAEEL HotDog ACOT-type domain-containing protein OS=Caenorhabditis elegans OX=6239 GN=CELE_T22B7.7 PE=1 SV=1</t>
  </si>
  <si>
    <t>Q23044</t>
  </si>
  <si>
    <t>&gt;tr|Q23050|Q23050_CAEEL Calponin-like protein OV9M OS=Caenorhabditis elegans OX=6239 GN=clik-1 PE=1 SV=1</t>
  </si>
  <si>
    <t>Q23050</t>
  </si>
  <si>
    <t>clik-1</t>
  </si>
  <si>
    <t>Calponin-like protein OV9M</t>
  </si>
  <si>
    <t>&gt;tr|Q23087|Q23087_CAEEL Phospholipid/glycerol acyltransferase domain-containing protein OS=Caenorhabditis elegans OX=6239 GN=acl-9 PE=1 SV=2</t>
  </si>
  <si>
    <t>Q23087</t>
  </si>
  <si>
    <t>acl-9</t>
  </si>
  <si>
    <t>&gt;tr|Q23089|Q23089_CAEEL Importin N-terminal domain-containing protein OS=Caenorhabditis elegans OX=6239 GN=xpo-1 PE=1 SV=2</t>
  </si>
  <si>
    <t>Q23089</t>
  </si>
  <si>
    <t>xpo-1</t>
  </si>
  <si>
    <t>&gt;tr|Q23090|Q23090_CAEEL NADH:flavin oxidoreductase/NADH oxidase N-terminal domain-containing protein OS=Caenorhabditis elegans OX=6239 GN=CELE_ZK742.3 PE=1 SV=1</t>
  </si>
  <si>
    <t>Q23090</t>
  </si>
  <si>
    <t>NADH:flavin oxidoreductase/NADH oxidase N-terminal domain-containing protein</t>
  </si>
  <si>
    <t>&gt;tr|Q23091|Q23091_CAEEL NADH:flavin oxidoreductase/NADH oxidase N-terminal domain-containing protein OS=Caenorhabditis elegans OX=6239 GN=CELE_ZK742.4 PE=1 SV=1</t>
  </si>
  <si>
    <t>Q23091</t>
  </si>
  <si>
    <t>&gt;tr|Q23096|Q23096_CAEEL Twenty One u-rna (21U-RNA) biogenesis Fouled Up OS=Caenorhabditis elegans OX=6239 GN=tofu-5 PE=1 SV=1</t>
  </si>
  <si>
    <t>Q23096</t>
  </si>
  <si>
    <t>tofu-5</t>
  </si>
  <si>
    <t>Twenty One u-rna (21U-RNA) biogenesis Fouled Up</t>
  </si>
  <si>
    <t>&gt;sp|Q23120|RSP2_CAEEL Probable splicing factor, arginine/serine-rich 2 OS=Caenorhabditis elegans OX=6239 GN=rsp-2 PE=3 SV=1</t>
  </si>
  <si>
    <t>Q23120</t>
  </si>
  <si>
    <t>rsp-2</t>
  </si>
  <si>
    <t>Probable splicing factor, arginine/serine-rich 2</t>
  </si>
  <si>
    <t>&gt;sp|Q23121|RSP1_CAEEL Probable splicing factor, arginine/serine-rich 1 OS=Caenorhabditis elegans OX=6239 GN=rsp-1 PE=3 SV=1</t>
  </si>
  <si>
    <t>Q23121</t>
  </si>
  <si>
    <t>rsp-1</t>
  </si>
  <si>
    <t>Probable splicing factor, arginine/serine-rich 1</t>
  </si>
  <si>
    <t>&gt;sp|Q23125|MFRN_CAEEL Mitoferrin OS=Caenorhabditis elegans OX=6239 GN=mfn-1 PE=2 SV=1</t>
  </si>
  <si>
    <t>Q23125</t>
  </si>
  <si>
    <t>mfn-1</t>
  </si>
  <si>
    <t>Mitoferrin</t>
  </si>
  <si>
    <t>&gt;sp|Q23126|TRMB_CAEEL tRNA (guanine-N(7)-)-methyltransferase OS=Caenorhabditis elegans OX=6239 GN=metl-1 PE=3 SV=1</t>
  </si>
  <si>
    <t>Q23126</t>
  </si>
  <si>
    <t>metl-1</t>
  </si>
  <si>
    <t>tRNA (guanine-N(7)-)-methyltransferase</t>
  </si>
  <si>
    <t>&gt;tr|Q23144|Q23144_CAEEL Uncharacterized protein OS=Caenorhabditis elegans OX=6239 GN=CELE_W03C9.2 PE=4 SV=3</t>
  </si>
  <si>
    <t>Q23144</t>
  </si>
  <si>
    <t>&gt;tr|Q23146|Q23146_CAEEL Ras-related protein Rab-7a OS=Caenorhabditis elegans OX=6239 GN=rab-7 PE=1 SV=1</t>
  </si>
  <si>
    <t>Q23146</t>
  </si>
  <si>
    <t>rab-7</t>
  </si>
  <si>
    <t>Ras-related protein Rab-7a</t>
  </si>
  <si>
    <t>&gt;tr|Q23155|Q23155_CAEEL Ribosomal protein S11 OS=Caenorhabditis elegans OX=6239 GN=mrps-11 PE=1 SV=1</t>
  </si>
  <si>
    <t>Q23155</t>
  </si>
  <si>
    <t>mrps-11</t>
  </si>
  <si>
    <t>Ribosomal protein S11</t>
  </si>
  <si>
    <t>&gt;tr|Q23158|Q23158_CAEEL Alpha-actinin, sarcomeric OS=Caenorhabditis elegans OX=6239 GN=atn-1 PE=1 SV=1</t>
  </si>
  <si>
    <t>Q23158</t>
  </si>
  <si>
    <t>atn-1</t>
  </si>
  <si>
    <t>Alpha-actinin, sarcomeric</t>
  </si>
  <si>
    <t>&gt;tr|Q23159|Q23159_CAEEL C2H2-type domain-containing protein OS=Caenorhabditis elegans OX=6239 GN=CELE_W04D2.4 PE=1 SV=1</t>
  </si>
  <si>
    <t>Q23159</t>
  </si>
  <si>
    <t>&gt;tr|Q23164|Q23164_CAEEL LiPocalin-Related protein OS=Caenorhabditis elegans OX=6239 GN=lpr-4 PE=1 SV=2</t>
  </si>
  <si>
    <t>Q23164</t>
  </si>
  <si>
    <t>lpr-4</t>
  </si>
  <si>
    <t>LiPocalin-Related protein</t>
  </si>
  <si>
    <t>&gt;tr|Q23166|Q23166_CAEEL Ribose-phosphate pyrophosphokinase N-terminal domain-containing protein OS=Caenorhabditis elegans OX=6239 GN=CELE_W04G3.5 PE=1 SV=1</t>
  </si>
  <si>
    <t>Q23166</t>
  </si>
  <si>
    <t>Ribose-phosphate pyrophosphokinase N-terminal domain-containing protein</t>
  </si>
  <si>
    <t>&gt;tr|Q23178|Q23178_CAEEL Dynein heavy chain 7, axonemal OS=Caenorhabditis elegans OX=6239 GN=CELE_W05H9.2 PE=1 SV=3</t>
  </si>
  <si>
    <t>Q23178</t>
  </si>
  <si>
    <t>Dynein heavy chain 7, axonemal</t>
  </si>
  <si>
    <t>&gt;tr|Q23191|Q23191_CAEEL PUM-HD domain-containing protein OS=Caenorhabditis elegans OX=6239 GN=puf-9 PE=1 SV=2</t>
  </si>
  <si>
    <t>Q23191</t>
  </si>
  <si>
    <t>puf-9</t>
  </si>
  <si>
    <t>&gt;sp|Q23192|ATAT2_CAEEL Alpha-tubulin N-acetyltransferase 2 OS=Caenorhabditis elegans OX=6239 GN=atat-2 PE=2 SV=2</t>
  </si>
  <si>
    <t>Q23192</t>
  </si>
  <si>
    <t>atat-2</t>
  </si>
  <si>
    <t>Alpha-tubulin N-acetyltransferase 2</t>
  </si>
  <si>
    <t>&gt;sp|Q23194|VPS18_CAEEL Vacuolar protein sorting-associated protein 18 homolog OS=Caenorhabditis elegans OX=6239 GN=vps-18 PE=1 SV=4</t>
  </si>
  <si>
    <t>Q23194</t>
  </si>
  <si>
    <t>vps-18</t>
  </si>
  <si>
    <t>Vacuolar protein sorting-associated protein 18 homolog</t>
  </si>
  <si>
    <t>&gt;tr|Q23196|Q23196_CAEEL Lipase_3 domain-containing protein OS=Caenorhabditis elegans OX=6239 GN=CELE_W06B4.1 PE=1 SV=2</t>
  </si>
  <si>
    <t>Q23196</t>
  </si>
  <si>
    <t>Lipase_3 domain-containing protein</t>
  </si>
  <si>
    <t>&gt;sp|Q23202|SBDS_CAEEL Ribosome maturation protein SBDS OS=Caenorhabditis elegans OX=6239 GN=sbds-1 PE=3 SV=2</t>
  </si>
  <si>
    <t>Q23202</t>
  </si>
  <si>
    <t>sbds-1</t>
  </si>
  <si>
    <t>Ribosome maturation protein SBDS</t>
  </si>
  <si>
    <t>&gt;tr|Q23215|Q23215_CAEEL Protein kinase domain-containing protein OS=Caenorhabditis elegans OX=6239 GN=scyl-1 PE=1 SV=2</t>
  </si>
  <si>
    <t>Q23215</t>
  </si>
  <si>
    <t>scyl-1</t>
  </si>
  <si>
    <t>&gt;sp|Q23221|FAT3_CAEEL Delta(6)-fatty-acid desaturase fat-3 OS=Caenorhabditis elegans OX=6239 GN=fat-3 PE=1 SV=2</t>
  </si>
  <si>
    <t>Q23221</t>
  </si>
  <si>
    <t>fat-3</t>
  </si>
  <si>
    <t>Delta(6)-fatty-acid desaturase fat-3</t>
  </si>
  <si>
    <t>&gt;sp|Q23223|MTR4_CAEEL mRNA transport homolog 4 OS=Caenorhabditis elegans OX=6239 GN=mtr-4 PE=3 SV=1</t>
  </si>
  <si>
    <t>Q23223</t>
  </si>
  <si>
    <t>mtr-4</t>
  </si>
  <si>
    <t>mRNA transport homolog 4</t>
  </si>
  <si>
    <t>&gt;tr|Q23227|Q23227_CAEEL Peptidase metallopeptidase domain-containing protein OS=Caenorhabditis elegans OX=6239 GN=zmp-4 PE=1 SV=3</t>
  </si>
  <si>
    <t>Q23227</t>
  </si>
  <si>
    <t>zmp-4</t>
  </si>
  <si>
    <t>Peptidase metallopeptidase domain-containing protein</t>
  </si>
  <si>
    <t>&gt;sp|Q23232|WDR4_CAEEL tRNA (guanine-N(7)-)-methyltransferase non-catalytic subunit OS=Caenorhabditis elegans OX=6239 GN=wdr-4 PE=3 SV=1</t>
  </si>
  <si>
    <t>Q23232</t>
  </si>
  <si>
    <t>wdr-4</t>
  </si>
  <si>
    <t>tRNA (guanine-N(7)-)-methyltransferase non-catalytic subunit</t>
  </si>
  <si>
    <t>&gt;sp|Q23236|NDX3_CAEEL Nudix hydrolase 3 OS=Caenorhabditis elegans OX=6239 GN=ndx-3 PE=3 SV=2</t>
  </si>
  <si>
    <t>Q23236</t>
  </si>
  <si>
    <t>ndx-3</t>
  </si>
  <si>
    <t>Nudix hydrolase 3</t>
  </si>
  <si>
    <t>&gt;sp|Q23237|PSB3_CAEEL Proteasome subunit beta type-3 OS=Caenorhabditis elegans OX=6239 GN=pbs-3 PE=1 SV=1</t>
  </si>
  <si>
    <t>Q23237</t>
  </si>
  <si>
    <t>pbs-3</t>
  </si>
  <si>
    <t>Proteasome subunit beta type-3</t>
  </si>
  <si>
    <t>&gt;sp|Q23238|ULP2_CAEEL Ubiquitin-like protease 2 OS=Caenorhabditis elegans OX=6239 GN=ulp-2 PE=1 SV=2</t>
  </si>
  <si>
    <t>Q23238</t>
  </si>
  <si>
    <t>ulp-2</t>
  </si>
  <si>
    <t>Ubiquitin-like protease 2</t>
  </si>
  <si>
    <t>&gt;sp|Q23243|MORC1_CAEEL ATPase morc-1 OS=Caenorhabditis elegans OX=6239 GN=morc-1 PE=1 SV=2</t>
  </si>
  <si>
    <t>Q23243</t>
  </si>
  <si>
    <t>morc-1</t>
  </si>
  <si>
    <t>ATPase morc-1</t>
  </si>
  <si>
    <t>&gt;sp|Q23256|WDR53_CAEEL WD repeat-containing protein wdr-5.3 OS=Caenorhabditis elegans OX=6239 GN=wdr-5.3 PE=3 SV=1</t>
  </si>
  <si>
    <t>Q23256</t>
  </si>
  <si>
    <t>wdr-5.3</t>
  </si>
  <si>
    <t>WD repeat-containing protein wdr-5.3</t>
  </si>
  <si>
    <t>&gt;tr|Q23258|Q23258_CAEEL Secreted protein OS=Caenorhabditis elegans OX=6239 GN=CELE_ZC373.2 PE=1 SV=2</t>
  </si>
  <si>
    <t>Q23258</t>
  </si>
  <si>
    <t>&gt;tr|Q23260|Q23260_CAEEL Protein kinase domain-containing protein OS=Caenorhabditis elegans OX=6239 GN=mlck-1 PE=1 SV=1</t>
  </si>
  <si>
    <t>Q23260</t>
  </si>
  <si>
    <t>mlck-1</t>
  </si>
  <si>
    <t>&gt;sp|Q23261|MTNB_CAEEL Probable methylthioribulose-1-phosphate dehydratase OS=Caenorhabditis elegans OX=6239 GN=ZC373.5 PE=3 SV=2</t>
  </si>
  <si>
    <t>Q23261</t>
  </si>
  <si>
    <t>ZC373.5</t>
  </si>
  <si>
    <t>Probable methylthioribulose-1-phosphate dehydratase</t>
  </si>
  <si>
    <t>&gt;tr|Q23263|Q23263_CAEEL Nematode cuticle collagen N-terminal domain-containing protein OS=Caenorhabditis elegans OX=6239 GN=col-176 PE=1 SV=1</t>
  </si>
  <si>
    <t>Q23263</t>
  </si>
  <si>
    <t>col-176</t>
  </si>
  <si>
    <t>&gt;tr|Q23290|Q23290_CAEEL Mitogen-activated protein kinase kinase kinase kinase OS=Caenorhabditis elegans OX=6239 GN=gck-2 PE=3 SV=1</t>
  </si>
  <si>
    <t>Q23290</t>
  </si>
  <si>
    <t>gck-2</t>
  </si>
  <si>
    <t>Mitogen-activated protein kinase kinase kinase kinase</t>
  </si>
  <si>
    <t>&gt;sp|Q23295|MPPB_CAEEL Mitochondrial-processing peptidase subunit beta OS=Caenorhabditis elegans OX=6239 GN=mppb-1 PE=1 SV=2</t>
  </si>
  <si>
    <t>Q23295</t>
  </si>
  <si>
    <t>mppb-1</t>
  </si>
  <si>
    <t>Mitochondrial-processing peptidase subunit beta</t>
  </si>
  <si>
    <t>&gt;tr|Q23309|Q23309_CAEEL UDENN domain-containing protein OS=Caenorhabditis elegans OX=6239 GN=CELE_ZC412.5 PE=4 SV=1</t>
  </si>
  <si>
    <t>Q23309</t>
  </si>
  <si>
    <t>&gt;sp|Q23312|RS7_CAEEL Small ribosomal subunit protein eS7 OS=Caenorhabditis elegans OX=6239 GN=rps-7 PE=3 SV=1</t>
  </si>
  <si>
    <t>Q23312</t>
  </si>
  <si>
    <t>rps-7</t>
  </si>
  <si>
    <t>Small ribosomal subunit protein eS7</t>
  </si>
  <si>
    <t>&gt;sp|Q23314|RRP7_CAEEL Ribosomal RNA-processing protein 7 homolog OS=Caenorhabditis elegans OX=6239 GN=ZC434.4 PE=3 SV=3</t>
  </si>
  <si>
    <t>Q23314</t>
  </si>
  <si>
    <t>ZC434.4</t>
  </si>
  <si>
    <t>Ribosomal RNA-processing protein 7 homolog</t>
  </si>
  <si>
    <t>&gt;tr|Q23315|Q23315_CAEEL glutamate--tRNA ligase OS=Caenorhabditis elegans OX=6239 GN=ears-1 PE=1 SV=1</t>
  </si>
  <si>
    <t>Q23315</t>
  </si>
  <si>
    <t>ears-1</t>
  </si>
  <si>
    <t>glutamate--tRNA ligase</t>
  </si>
  <si>
    <t>&gt;tr|Q23317|Q23317_CAEEL PRORP domain-containing protein OS=Caenorhabditis elegans OX=6239 GN=coa-6 PE=4 SV=1</t>
  </si>
  <si>
    <t>Q23317</t>
  </si>
  <si>
    <t>coa-6</t>
  </si>
  <si>
    <t>PRORP domain-containing protein</t>
  </si>
  <si>
    <t>&gt;tr|Q23342|Q23342_CAEEL RNase NYN domain-containing protein OS=Caenorhabditis elegans OX=6239 GN=rde-8 PE=1 SV=2</t>
  </si>
  <si>
    <t>Q23342</t>
  </si>
  <si>
    <t>rde-8</t>
  </si>
  <si>
    <t>RNase NYN domain-containing protein</t>
  </si>
  <si>
    <t>&gt;sp|Q23356|MIG15_CAEEL Serine/threonine-protein kinase mig-15 OS=Caenorhabditis elegans OX=6239 GN=mig-15 PE=2 SV=3</t>
  </si>
  <si>
    <t>Q23356</t>
  </si>
  <si>
    <t>mig-15</t>
  </si>
  <si>
    <t>Serine/threonine-protein kinase mig-15</t>
  </si>
  <si>
    <t>&gt;sp|Q23357|CD112_CAEEL Cyclin-dependent kinase 11.2 OS=Caenorhabditis elegans OX=6239 GN=cdk-11.2 PE=1 SV=2</t>
  </si>
  <si>
    <t>Q23357</t>
  </si>
  <si>
    <t>cdk-11.2</t>
  </si>
  <si>
    <t>Cyclin-dependent kinase 11.2</t>
  </si>
  <si>
    <t>&gt;sp|Q23359|MOE2_CAEEL CCCH-type zinc finger protein oma-2 OS=Caenorhabditis elegans OX=6239 GN=oma-2 PE=1 SV=1</t>
  </si>
  <si>
    <t>Q23359</t>
  </si>
  <si>
    <t>oma-2</t>
  </si>
  <si>
    <t>CCCH-type zinc finger protein oma-2</t>
  </si>
  <si>
    <t>&gt;tr|Q23360|Q23360_CAEEL valine--tRNA ligase OS=Caenorhabditis elegans OX=6239 GN=vars-1 PE=1 SV=3</t>
  </si>
  <si>
    <t>Q23360</t>
  </si>
  <si>
    <t>vars-1</t>
  </si>
  <si>
    <t>valine--tRNA ligase</t>
  </si>
  <si>
    <t>&gt;sp|Q23361|ALG12_CAEEL Dol-P-Man:Man(7)GlcNAc(2)-PP-Dol alpha-1,6-mannosyltransferase OS=Caenorhabditis elegans OX=6239 GN=algn-12 PE=1 SV=2</t>
  </si>
  <si>
    <t>Q23361</t>
  </si>
  <si>
    <t>algn-12</t>
  </si>
  <si>
    <t>Dol-P-Man:Man(7)GlcNAc(2)-PP-Dol alpha-1,6-mannosyltransferase</t>
  </si>
  <si>
    <t>&gt;tr|Q23368|Q23368_CAEEL Yeast SEC homolog OS=Caenorhabditis elegans OX=6239 GN=sec-24.2 PE=1 SV=3</t>
  </si>
  <si>
    <t>Q23368</t>
  </si>
  <si>
    <t>sec-24.2</t>
  </si>
  <si>
    <t>Yeast SEC homolog</t>
  </si>
  <si>
    <t>&gt;sp|Q23381|MUTA_CAEEL Probable methylmalonyl-CoA mutase, mitochondrial OS=Caenorhabditis elegans OX=6239 GN=mmcm-1 PE=3 SV=2</t>
  </si>
  <si>
    <t>Q23381</t>
  </si>
  <si>
    <t>mmcm-1</t>
  </si>
  <si>
    <t>Probable methylmalonyl-CoA mutase, mitochondrial</t>
  </si>
  <si>
    <t>&gt;tr|Q23382|Q23382_CAEEL PAT complex subunit CCDC47 OS=Caenorhabditis elegans OX=6239 GN=ccdc-47 PE=1 SV=1</t>
  </si>
  <si>
    <t>Q23382</t>
  </si>
  <si>
    <t>ccdc-47</t>
  </si>
  <si>
    <t>PAT complex subunit CCDC47</t>
  </si>
  <si>
    <t>&gt;sp|Q23400|RCL1_CAEEL Probable RNA 3'-terminal phosphate cyclase-like protein OS=Caenorhabditis elegans OX=6239 GN=ZK1127.5 PE=3 SV=2</t>
  </si>
  <si>
    <t>Q23400</t>
  </si>
  <si>
    <t>ZK1127.5</t>
  </si>
  <si>
    <t>Probable RNA 3'-terminal phosphate cyclase-like protein</t>
  </si>
  <si>
    <t>&gt;sp|Q23402|BCCIP_CAEEL Protein BCCIP homolog OS=Caenorhabditis elegans OX=6239 GN=ZK1127.4 PE=3 SV=1</t>
  </si>
  <si>
    <t>Q23402</t>
  </si>
  <si>
    <t>ZK1127.4</t>
  </si>
  <si>
    <t>Protein BCCIP homolog</t>
  </si>
  <si>
    <t>&gt;sp|Q23405|HIM14_CAEEL MutS protein homolog him-14 OS=Caenorhabditis elegans OX=6239 GN=him-14 PE=1 SV=2</t>
  </si>
  <si>
    <t>Q23405</t>
  </si>
  <si>
    <t>him-14</t>
  </si>
  <si>
    <t>MutS protein homolog him-14</t>
  </si>
  <si>
    <t>&gt;tr|Q23414|Q23414_CAEEL DUF1248 domain-containing protein OS=Caenorhabditis elegans OX=6239 GN=CELE_ZK1248.5 PE=4 SV=1</t>
  </si>
  <si>
    <t>Q23414</t>
  </si>
  <si>
    <t>&gt;tr|Q23419|Q23419_CAEEL PH domain-containing protein OS=Caenorhabditis elegans OX=6239 GN=tbc-2 PE=1 SV=2</t>
  </si>
  <si>
    <t>Q23419</t>
  </si>
  <si>
    <t>tbc-2</t>
  </si>
  <si>
    <t>&gt;tr|Q23421|Q23421_CAEEL Dynein heavy chain 7, axonemal OS=Caenorhabditis elegans OX=6239 GN=gtap-1 PE=4 SV=4</t>
  </si>
  <si>
    <t>Q23421</t>
  </si>
  <si>
    <t>gtap-1</t>
  </si>
  <si>
    <t>&gt;sp|Q23424|FZO1_CAEEL Transmembrane GTPase fzo-1 OS=Caenorhabditis elegans OX=6239 GN=fzo-1 PE=1 SV=1</t>
  </si>
  <si>
    <t>Q23424</t>
  </si>
  <si>
    <t>fzo-1</t>
  </si>
  <si>
    <t>Transmembrane GTPase fzo-1</t>
  </si>
  <si>
    <t>&gt;sp|Q23444|RFT1_CAEEL Man(5)GlcNAc(2)-PP-dolichol translocation protein RFT1 OS=Caenorhabditis elegans OX=6239 GN=rfth-1 PE=3 SV=1</t>
  </si>
  <si>
    <t>Q23444</t>
  </si>
  <si>
    <t>rfth-1</t>
  </si>
  <si>
    <t>Man(5)GlcNAc(2)-PP-dolichol translocation protein RFT1</t>
  </si>
  <si>
    <t>&gt;sp|Q23445|SAR1_CAEEL Small COPII coat GTPase SAR1 OS=Caenorhabditis elegans OX=6239 GN=sar-1 PE=3 SV=1</t>
  </si>
  <si>
    <t>Q23445</t>
  </si>
  <si>
    <t>sar-1</t>
  </si>
  <si>
    <t>Small COPII coat GTPase SAR1</t>
  </si>
  <si>
    <t>&gt;sp|Q23449|PSMD8_CAEEL 26S proteasome non-ATPase regulatory subunit 8 OS=Caenorhabditis elegans OX=6239 GN=rpn-12 PE=3 SV=1</t>
  </si>
  <si>
    <t>Q23449</t>
  </si>
  <si>
    <t>rpn-12</t>
  </si>
  <si>
    <t>26S proteasome non-ATPase regulatory subunit 8</t>
  </si>
  <si>
    <t>&gt;tr|Q23459|Q23459_CAEEL RNA_ligase domain-containing protein OS=Caenorhabditis elegans OX=6239 GN=CELE_ZK287.7 PE=1 SV=2</t>
  </si>
  <si>
    <t>Q23459</t>
  </si>
  <si>
    <t>RNA_ligase domain-containing protein</t>
  </si>
  <si>
    <t>&gt;tr|Q23463|Q23463_CAEEL Tr-type G domain-containing protein OS=Caenorhabditis elegans OX=6239 GN=eftu-2 PE=1 SV=1</t>
  </si>
  <si>
    <t>Q23463</t>
  </si>
  <si>
    <t>eftu-2</t>
  </si>
  <si>
    <t>&gt;tr|Q23482|Q23482_CAEEL Uncharacterized protein OS=Caenorhabditis elegans OX=6239 GN=lin-37 PE=1 SV=2</t>
  </si>
  <si>
    <t>Q23482</t>
  </si>
  <si>
    <t>lin-37</t>
  </si>
  <si>
    <t>&gt;tr|Q23483|Q23483_CAEEL BOS complex subunit TMEM147 OS=Caenorhabditis elegans OX=6239 GN=CELE_ZK418.5 PE=1 SV=2</t>
  </si>
  <si>
    <t>Q23483</t>
  </si>
  <si>
    <t>BOS complex subunit TMEM147</t>
  </si>
  <si>
    <t>&gt;tr|Q23487|Q23487_CAEEL K Homology domain-containing protein OS=Caenorhabditis elegans OX=6239 GN=fubl-2 PE=1 SV=2</t>
  </si>
  <si>
    <t>Q23487</t>
  </si>
  <si>
    <t>fubl-2</t>
  </si>
  <si>
    <t>&gt;tr|Q23493|Q23493_CAEEL 3'(2'),5'-bisphosphate nucleotidase 1 OS=Caenorhabditis elegans OX=6239 GN=bpnt-1 PE=1 SV=1</t>
  </si>
  <si>
    <t>Q23493</t>
  </si>
  <si>
    <t>bpnt-1</t>
  </si>
  <si>
    <t>3'(2'),5'-bisphosphate nucleotidase 1</t>
  </si>
  <si>
    <t>&gt;tr|Q23494|Q23494_CAEEL DDB1- and CUL4-associated factor 13 OS=Caenorhabditis elegans OX=6239 GN=dcaf-13 PE=1 SV=1</t>
  </si>
  <si>
    <t>Q23494</t>
  </si>
  <si>
    <t>dcaf-13</t>
  </si>
  <si>
    <t>DDB1- and CUL4-associated factor 13</t>
  </si>
  <si>
    <t>&gt;sp|Q23495|HEAT1_CAEEL HEAT repeat-containing protein 1 homolog OS=Caenorhabditis elegans OX=6239 GN=toe-1 PE=3 SV=1</t>
  </si>
  <si>
    <t>Q23495</t>
  </si>
  <si>
    <t>toe-1</t>
  </si>
  <si>
    <t>HEAT repeat-containing protein 1 homolog</t>
  </si>
  <si>
    <t>&gt;sp|Q23500|ACOHC_CAEEL Cytoplasmic aconitate hydratase OS=Caenorhabditis elegans OX=6239 GN=aco-1 PE=1 SV=1</t>
  </si>
  <si>
    <t>Q23500</t>
  </si>
  <si>
    <t>aco-1</t>
  </si>
  <si>
    <t>Cytoplasmic aconitate hydratase</t>
  </si>
  <si>
    <t>&gt;tr|Q23511|Q23511_CAEEL leucine--tRNA ligase OS=Caenorhabditis elegans OX=6239 GN=lars-2 PE=1 SV=4</t>
  </si>
  <si>
    <t>Q23511</t>
  </si>
  <si>
    <t>lars-2</t>
  </si>
  <si>
    <t>leucine--tRNA ligase</t>
  </si>
  <si>
    <t>&gt;tr|Q23514|Q23514_CAEEL Major facilitator superfamily (MFS) profile domain-containing protein OS=Caenorhabditis elegans OX=6239 GN=slc-17.1 PE=4 SV=3</t>
  </si>
  <si>
    <t>Q23514</t>
  </si>
  <si>
    <t>slc-17.1</t>
  </si>
  <si>
    <t>&gt;sp|Q23523|MED4_CAEEL Mediator of RNA polymerase II transcription subunit 4 OS=Caenorhabditis elegans OX=6239 GN=mdt-4 PE=3 SV=2</t>
  </si>
  <si>
    <t>Q23523</t>
  </si>
  <si>
    <t>mdt-4</t>
  </si>
  <si>
    <t>Mediator of RNA polymerase II transcription subunit 4</t>
  </si>
  <si>
    <t>&gt;sp|Q23525|YWIE_CAEEL Uncharacterized protein ZK546.14 OS=Caenorhabditis elegans OX=6239 GN=ZK546.14 PE=3 SV=1</t>
  </si>
  <si>
    <t>Q23525</t>
  </si>
  <si>
    <t>ZK546.14</t>
  </si>
  <si>
    <t>Uncharacterized protein ZK546.14</t>
  </si>
  <si>
    <t>&gt;tr|Q23526|Q23526_CAEEL Leucine-rich repeat-containing protein 57 OS=Caenorhabditis elegans OX=6239 GN=CELE_ZK546.2 PE=1 SV=4</t>
  </si>
  <si>
    <t>Q23526</t>
  </si>
  <si>
    <t>Leucine-rich repeat-containing protein 57</t>
  </si>
  <si>
    <t>&gt;sp|Q23529|HOOK_CAEEL Zygote defective protein 12 OS=Caenorhabditis elegans OX=6239 GN=zyg-12 PE=1 SV=5</t>
  </si>
  <si>
    <t>Q23529</t>
  </si>
  <si>
    <t>zyg-12</t>
  </si>
  <si>
    <t>Zygote defective protein 12</t>
  </si>
  <si>
    <t>&gt;tr|Q23539|Q23539_CAEEL Pyruvate kinase OS=Caenorhabditis elegans OX=6239 GN=pyk-2 PE=1 SV=2</t>
  </si>
  <si>
    <t>Q23539</t>
  </si>
  <si>
    <t>pyk-2</t>
  </si>
  <si>
    <t>&gt;sp|Q23541|KDM5_CAEEL Lysine-specific demethylase rbr-2 OS=Caenorhabditis elegans OX=6239 GN=rbr-2 PE=1 SV=2</t>
  </si>
  <si>
    <t>Q23541</t>
  </si>
  <si>
    <t>rbr-2</t>
  </si>
  <si>
    <t>Lysine-specific demethylase rbr-2</t>
  </si>
  <si>
    <t>&gt;sp|Q23551|UNC22_CAEEL Twitchin OS=Caenorhabditis elegans OX=6239 GN=unc-22 PE=1 SV=3</t>
  </si>
  <si>
    <t>Q23551</t>
  </si>
  <si>
    <t>unc-22</t>
  </si>
  <si>
    <t>Twitchin</t>
  </si>
  <si>
    <t>&gt;sp|Q23552|PMT1_CAEEL Phosphoethanolamine N-methyltransferase 1 OS=Caenorhabditis elegans OX=6239 GN=pmt-1 PE=1 SV=2</t>
  </si>
  <si>
    <t>Q23552</t>
  </si>
  <si>
    <t>pmt-1</t>
  </si>
  <si>
    <t>Phosphoethanolamine N-methyltransferase 1</t>
  </si>
  <si>
    <t>&gt;sp|Q23571|ODB2_CAEEL Lipoamide acyltransferase component of branched-chain alpha-keto acid dehydrogenase complex, mitochondrial OS=Caenorhabditis elegans OX=6239 GN=dbt-1 PE=2 SV=1</t>
  </si>
  <si>
    <t>Q23571</t>
  </si>
  <si>
    <t>dbt-1</t>
  </si>
  <si>
    <t>Lipoamide acyltransferase component of branched-chain alpha-keto acid dehydrogenase complex, mitochondrial</t>
  </si>
  <si>
    <t>&gt;sp|Q23588|UTPP_CAEEL Uridine and thymidine phosphorylase OS=Caenorhabditis elegans OX=6239 GN=upp-1 PE=1 SV=2</t>
  </si>
  <si>
    <t>Q23588</t>
  </si>
  <si>
    <t>upp-1</t>
  </si>
  <si>
    <t>Uridine and thymidine phosphorylase</t>
  </si>
  <si>
    <t>&gt;tr|Q23591|Q23591_CAEEL Nucleolar protein 9 OS=Caenorhabditis elegans OX=6239 GN=CELE_ZK792.5 PE=1 SV=2</t>
  </si>
  <si>
    <t>Q23591</t>
  </si>
  <si>
    <t>Nucleolar protein 9</t>
  </si>
  <si>
    <t>&gt;tr|Q23604|Q23604_CAEEL FIP (Fungus-Induced Protein) Related OS=Caenorhabditis elegans OX=6239 GN=CELE_ZK813.3 PE=1 SV=3</t>
  </si>
  <si>
    <t>Q23604</t>
  </si>
  <si>
    <t>&gt;tr|Q23606|Q23606_CAEEL FIP (Fungus-Induced Protein) Related OS=Caenorhabditis elegans OX=6239 GN=CELE_ZK813.1 PE=4 SV=2</t>
  </si>
  <si>
    <t>Q23606</t>
  </si>
  <si>
    <t>&gt;tr|Q23613|Q23613_CAEEL Coiled-coil domain-containing protein OS=Caenorhabditis elegans OX=6239 GN=CELE_ZK822.1 PE=4 SV=2</t>
  </si>
  <si>
    <t>Q23613</t>
  </si>
  <si>
    <t>Coiled-coil domain-containing protein</t>
  </si>
  <si>
    <t>&gt;tr|Q23616|Q23616_CAEEL Sodium-dependent multivitamin transporter OS=Caenorhabditis elegans OX=6239 GN=slc-5A12 PE=3 SV=2</t>
  </si>
  <si>
    <t>Q23616</t>
  </si>
  <si>
    <t>slc-5A12</t>
  </si>
  <si>
    <t>Sodium-dependent multivitamin transporter</t>
  </si>
  <si>
    <t>&gt;tr|Q23621|Q23621_CAEEL Glutamate dehydrogenase OS=Caenorhabditis elegans OX=6239 GN=gdh-1 PE=1 SV=1</t>
  </si>
  <si>
    <t>Q23621</t>
  </si>
  <si>
    <t>gdh-1</t>
  </si>
  <si>
    <t>Glutamate dehydrogenase</t>
  </si>
  <si>
    <t>&gt;tr|Q23624|Q23624_CAEEL Enoyl reductase (ER) domain-containing protein OS=Caenorhabditis elegans OX=6239 GN=CELE_ZK829.7 PE=1 SV=2</t>
  </si>
  <si>
    <t>Q23624</t>
  </si>
  <si>
    <t>&gt;sp|Q23629|DHTK1_CAEEL Probable 2-oxoadipate dehydrogenase complex component E1 homolog OS=Caenorhabditis elegans OX=6239 GN=ogdh-2 PE=3 SV=4</t>
  </si>
  <si>
    <t>Q23629</t>
  </si>
  <si>
    <t>ogdh-2</t>
  </si>
  <si>
    <t>Probable 2-oxoadipate dehydrogenase complex component E1 homolog</t>
  </si>
  <si>
    <t>&gt;tr|Q23635|Q23635_CAEEL Flocculation protein FLO11 OS=Caenorhabditis elegans OX=6239 GN=CELE_ZK84.1 PE=1 SV=1</t>
  </si>
  <si>
    <t>Q23635</t>
  </si>
  <si>
    <t>Flocculation protein FLO11</t>
  </si>
  <si>
    <t>&gt;sp|Q23639|CUL5_CAEEL Cullin-5 OS=Caenorhabditis elegans OX=6239 GN=cul-5 PE=1 SV=2</t>
  </si>
  <si>
    <t>Q23639</t>
  </si>
  <si>
    <t>cul-5</t>
  </si>
  <si>
    <t>Cullin-5</t>
  </si>
  <si>
    <t>&gt;sp|Q23651|ELP3_CAEEL Elongator complex protein 3 OS=Caenorhabditis elegans OX=6239 GN=elpc-3 PE=3 SV=2</t>
  </si>
  <si>
    <t>Q23651</t>
  </si>
  <si>
    <t>elpc-3</t>
  </si>
  <si>
    <t>Elongator complex protein 3</t>
  </si>
  <si>
    <t>&gt;sp|Q23652|USIP1_CAEEL U6 snRNA-specific terminal uridylyltransferase OS=Caenorhabditis elegans OX=6239 GN=usip-1 PE=1 SV=2</t>
  </si>
  <si>
    <t>Q23652</t>
  </si>
  <si>
    <t>usip-1</t>
  </si>
  <si>
    <t>U6 snRNA-specific terminal uridylyltransferase</t>
  </si>
  <si>
    <t>&gt;tr|Q23660|Q23660_CAEEL Acyltransferase 3 domain-containing protein OS=Caenorhabditis elegans OX=6239 GN=CELE_ZK899.2 PE=1 SV=2</t>
  </si>
  <si>
    <t>Q23660</t>
  </si>
  <si>
    <t>Acyltransferase 3 domain-containing protein</t>
  </si>
  <si>
    <t>&gt;tr|Q23669|Q23669_CAEEL non-specific serine/threonine protein kinase OS=Caenorhabditis elegans OX=6239 GN=vps-15 PE=1 SV=1</t>
  </si>
  <si>
    <t>Q23669</t>
  </si>
  <si>
    <t>vps-15</t>
  </si>
  <si>
    <t>&gt;sp|Q23670|TOP2_CAEEL DNA topoisomerase 2 top-2 OS=Caenorhabditis elegans OX=6239 GN=top-2 PE=1 SV=2</t>
  </si>
  <si>
    <t>Q23670</t>
  </si>
  <si>
    <t>top-2</t>
  </si>
  <si>
    <t>DNA topoisomerase 2 top-2</t>
  </si>
  <si>
    <t>&gt;sp|Q23680|VATF_CAEEL Probable V-type proton ATPase subunit F OS=Caenorhabditis elegans OX=6239 GN=vha-9 PE=3 SV=1</t>
  </si>
  <si>
    <t>Q23680</t>
  </si>
  <si>
    <t>vha-9</t>
  </si>
  <si>
    <t>Probable V-type proton ATPase subunit F</t>
  </si>
  <si>
    <t>&gt;sp|Q27257|DIF1_CAEEL Protein dif-1 OS=Caenorhabditis elegans OX=6239 GN=dif-1 PE=2 SV=1</t>
  </si>
  <si>
    <t>Q27257</t>
  </si>
  <si>
    <t>dif-1</t>
  </si>
  <si>
    <t>Protein dif-1</t>
  </si>
  <si>
    <t>&gt;sp|Q27274|RO60_CAEEL RNA-binding protein RO60 OS=Caenorhabditis elegans OX=6239 GN=rop-1 PE=2 SV=1</t>
  </si>
  <si>
    <t>Q27274</t>
  </si>
  <si>
    <t>rop-1</t>
  </si>
  <si>
    <t>RNA-binding protein RO60</t>
  </si>
  <si>
    <t>&gt;sp|Q27389|RL13A_CAEEL Large ribosomal subunit protein uL13 OS=Caenorhabditis elegans OX=6239 GN=rpl-16 PE=2 SV=1</t>
  </si>
  <si>
    <t>Q27389</t>
  </si>
  <si>
    <t>rpl-16</t>
  </si>
  <si>
    <t>Large ribosomal subunit protein uL13</t>
  </si>
  <si>
    <t>&gt;sp|Q27395|LI15B_CAEEL Protein lin-15B OS=Caenorhabditis elegans OX=6239 GN=lin-15B PE=2 SV=1</t>
  </si>
  <si>
    <t>Q27395</t>
  </si>
  <si>
    <t>lin-15B</t>
  </si>
  <si>
    <t>Protein lin-15B</t>
  </si>
  <si>
    <t>&gt;sp|Q27464|G6PD_CAEEL Glucose-6-phosphate 1-dehydrogenase OS=Caenorhabditis elegans OX=6239 GN=gspd-1 PE=3 SV=1</t>
  </si>
  <si>
    <t>Q27464</t>
  </si>
  <si>
    <t>gspd-1</t>
  </si>
  <si>
    <t>Glucose-6-phosphate 1-dehydrogenase</t>
  </si>
  <si>
    <t>&gt;sp|Q27474|DNLI1_CAEEL DNA ligase 1 OS=Caenorhabditis elegans OX=6239 GN=lig-1 PE=3 SV=2</t>
  </si>
  <si>
    <t>Q27474</t>
  </si>
  <si>
    <t>lig-1</t>
  </si>
  <si>
    <t>DNA ligase 1</t>
  </si>
  <si>
    <t>&gt;tr|Q27476|Q27476_CAEEL Cytochrome P450 OS=Caenorhabditis elegans OX=6239 GN=cyp-25a2 PE=1 SV=2</t>
  </si>
  <si>
    <t>Q27476</t>
  </si>
  <si>
    <t>cyp-25a2</t>
  </si>
  <si>
    <t>Cytochrome P450</t>
  </si>
  <si>
    <t>&gt;tr|Q27481|Q27481_CAEEL E1 ubiquitin-activating enzyme OS=Caenorhabditis elegans OX=6239 GN=uba-1 PE=1 SV=1</t>
  </si>
  <si>
    <t>Q27481</t>
  </si>
  <si>
    <t>uba-1</t>
  </si>
  <si>
    <t>E1 ubiquitin-activating enzyme</t>
  </si>
  <si>
    <t>&gt;sp|Q27487|CATA1_CAEEL Peroxisomal catalase 1 OS=Caenorhabditis elegans OX=6239 GN=ctl-2 PE=1 SV=3</t>
  </si>
  <si>
    <t>Q27487</t>
  </si>
  <si>
    <t>ctl-2</t>
  </si>
  <si>
    <t>Peroxisomal catalase 1</t>
  </si>
  <si>
    <t>&gt;tr|Q27492|Q27492_CAEEL DNA-directed RNA polymerase subunit beta OS=Caenorhabditis elegans OX=6239 GN=rpc-2 PE=1 SV=2</t>
  </si>
  <si>
    <t>Q27492</t>
  </si>
  <si>
    <t>rpc-2</t>
  </si>
  <si>
    <t>DNA-directed RNA polymerase subunit beta</t>
  </si>
  <si>
    <t>&gt;sp|Q27493|RPA2_CAEEL DNA-directed RNA polymerase I subunit RPA2 homolog OS=Caenorhabditis elegans OX=6239 GN=rpoa-2 PE=3 SV=1</t>
  </si>
  <si>
    <t>Q27493</t>
  </si>
  <si>
    <t>rpoa-2</t>
  </si>
  <si>
    <t>DNA-directed RNA polymerase I subunit RPA2 homolog</t>
  </si>
  <si>
    <t>&gt;sp|Q27497|GLC7A_CAEEL Serine/threonine-protein phosphatase PP1-alpha OS=Caenorhabditis elegans OX=6239 GN=gsp-1 PE=1 SV=2</t>
  </si>
  <si>
    <t>Q27497</t>
  </si>
  <si>
    <t>gsp-1</t>
  </si>
  <si>
    <t>Serine/threonine-protein phosphatase PP1-alpha</t>
  </si>
  <si>
    <t>&gt;sp|Q27511|H2AV_CAEEL Histone H2A.V OS=Caenorhabditis elegans OX=6239 GN=htz-1 PE=1 SV=3</t>
  </si>
  <si>
    <t>Q27511</t>
  </si>
  <si>
    <t>htz-1</t>
  </si>
  <si>
    <t>Histone H2A.V</t>
  </si>
  <si>
    <t>&gt;sp|Q27518|C13A2_CAEEL Putative cytochrome P450 CYP13A2 OS=Caenorhabditis elegans OX=6239 GN=cyp-13A2 PE=3 SV=1</t>
  </si>
  <si>
    <t>Q27518</t>
  </si>
  <si>
    <t>cyp-13A2</t>
  </si>
  <si>
    <t>Putative cytochrome P450 CYP13A2</t>
  </si>
  <si>
    <t>&gt;sp|Q27527|ENO_CAEEL Enolase OS=Caenorhabditis elegans OX=6239 GN=enol-1 PE=1 SV=3</t>
  </si>
  <si>
    <t>Q27527</t>
  </si>
  <si>
    <t>enol-1</t>
  </si>
  <si>
    <t>Enolase</t>
  </si>
  <si>
    <t>&gt;sp|Q27532|H33L2_CAEEL Histone H3.3-like type 2 OS=Caenorhabditis elegans OX=6239 GN=his-74 PE=3 SV=3</t>
  </si>
  <si>
    <t>Q27532</t>
  </si>
  <si>
    <t>his-74</t>
  </si>
  <si>
    <t>Histone H3.3-like type 2</t>
  </si>
  <si>
    <t>&gt;sp|Q27535|KARG2_CAEEL Probable arginine kinase ZC434.8 OS=Caenorhabditis elegans OX=6239 GN=ZC434.8 PE=3 SV=1</t>
  </si>
  <si>
    <t>Q27535</t>
  </si>
  <si>
    <t>ZC434.8</t>
  </si>
  <si>
    <t>Probable arginine kinase ZC434.8</t>
  </si>
  <si>
    <t>&gt;sp|Q27539|CLPP1_CAEEL ATP-dependent Clp protease proteolytic subunit 1, mitochondrial OS=Caenorhabditis elegans OX=6239 GN=clpp-1 PE=1 SV=2</t>
  </si>
  <si>
    <t>Q27539</t>
  </si>
  <si>
    <t>clpp-1</t>
  </si>
  <si>
    <t>ATP-dependent Clp protease proteolytic subunit 1, mitochondrial</t>
  </si>
  <si>
    <t>&gt;sp|Q27888|LDH_CAEEL L-lactate dehydrogenase OS=Caenorhabditis elegans OX=6239 GN=ldh-1 PE=2 SV=1</t>
  </si>
  <si>
    <t>Q27888</t>
  </si>
  <si>
    <t>ldh-1</t>
  </si>
  <si>
    <t>L-lactate dehydrogenase</t>
  </si>
  <si>
    <t>&gt;tr|Q2A950|Q2A950_CAEEL PHD finger protein 10 OS=Caenorhabditis elegans OX=6239 GN=phf-10 PE=1 SV=1</t>
  </si>
  <si>
    <t>Q2A950</t>
  </si>
  <si>
    <t>phf-10</t>
  </si>
  <si>
    <t>PHD finger protein 10</t>
  </si>
  <si>
    <t>&gt;tr|Q2AAC0|Q2AAC0_CAEEL E3 ubiquitin-protein ligase E3D OS=Caenorhabditis elegans OX=6239 GN=CELE_Y71H2AM.3 PE=1 SV=1</t>
  </si>
  <si>
    <t>Q2AAC0</t>
  </si>
  <si>
    <t>E3 ubiquitin-protein ligase E3D</t>
  </si>
  <si>
    <t>&gt;tr|Q2EEN8|Q2EEN8_CAEEL Integrase catalytic domain-containing protein OS=Caenorhabditis elegans OX=6239 GN=C27D8.3 PE=4 SV=1</t>
  </si>
  <si>
    <t>Q2EEN8</t>
  </si>
  <si>
    <t>C27D8.3</t>
  </si>
  <si>
    <t>Integrase catalytic domain-containing protein</t>
  </si>
  <si>
    <t>&gt;tr|Q2HQJ8|Q2HQJ8_CAEEL Pre-rRNA-processing protein TSR2 homolog OS=Caenorhabditis elegans OX=6239 GN=CELE_Y51H4A.15 PE=1 SV=1</t>
  </si>
  <si>
    <t>Q2HQJ8</t>
  </si>
  <si>
    <t>Pre-rRNA-processing protein TSR2 homolog</t>
  </si>
  <si>
    <t>&gt;tr|Q2L6V2|Q2L6V2_CAEEL Large ribosomal subunit protein uL29m OS=Caenorhabditis elegans OX=6239 GN=mrpl-47 PE=1 SV=1</t>
  </si>
  <si>
    <t>Q2L6V2</t>
  </si>
  <si>
    <t>mrpl-47</t>
  </si>
  <si>
    <t>Large ribosomal subunit protein uL29m</t>
  </si>
  <si>
    <t>&gt;tr|Q2L6Y0|Q2L6Y0_CAEEL Lipase maturation factor OS=Caenorhabditis elegans OX=6239 GN=CELE_K11G12.6 PE=1 SV=2</t>
  </si>
  <si>
    <t>Q2L6Y0</t>
  </si>
  <si>
    <t>Lipase maturation factor</t>
  </si>
  <si>
    <t>&gt;tr|Q2L6Y6|Q2L6Y6_CAEEL Histidine kinase/HSP90-like ATPase domain-containing protein OS=Caenorhabditis elegans OX=6239 GN=hsp-75 PE=1 SV=1</t>
  </si>
  <si>
    <t>Q2L6Y6</t>
  </si>
  <si>
    <t>hsp-75</t>
  </si>
  <si>
    <t>Histidine kinase/HSP90-like ATPase domain-containing protein</t>
  </si>
  <si>
    <t>&gt;sp|Q2PJ68|SGK1_CAEEL Serine/threonine-protein kinase sgk-1 OS=Caenorhabditis elegans OX=6239 GN=sgk-1 PE=1 SV=1</t>
  </si>
  <si>
    <t>Q2PJ68</t>
  </si>
  <si>
    <t>sgk-1</t>
  </si>
  <si>
    <t>Serine/threonine-protein kinase sgk-1</t>
  </si>
  <si>
    <t>&gt;tr|Q2PJ77|Q2PJ77_CAEEL Protein YIF1 OS=Caenorhabditis elegans OX=6239 GN=yif-1 PE=1 SV=1</t>
  </si>
  <si>
    <t>Q2PJ77</t>
  </si>
  <si>
    <t>yif-1</t>
  </si>
  <si>
    <t>Protein YIF1</t>
  </si>
  <si>
    <t>&gt;tr|Q2V4S2|Q2V4S2_CAEEL Rab GDP dissociation inhibitor OS=Caenorhabditis elegans OX=6239 GN=gdi-1 PE=1 SV=1</t>
  </si>
  <si>
    <t>Q2V4S2</t>
  </si>
  <si>
    <t>gdi-1</t>
  </si>
  <si>
    <t>Rab GDP dissociation inhibitor</t>
  </si>
  <si>
    <t>&gt;tr|Q2WF63|Q2WF63_CAEEL RNA helicase OS=Caenorhabditis elegans OX=6239 GN=CELE_H20J04.4 PE=1 SV=1</t>
  </si>
  <si>
    <t>Q2WF63</t>
  </si>
  <si>
    <t>&gt;tr|Q3HKC5|Q3HKC5_CAEEL Protein kinase domain-containing protein OS=Caenorhabditis elegans OX=6239 GN=CELE_F14B8.5 PE=1 SV=1</t>
  </si>
  <si>
    <t>Q3HKC5</t>
  </si>
  <si>
    <t>&gt;tr|Q3S1M2|Q3S1M2_CAEEL Multidrug resistance-associated protein 1 OS=Caenorhabditis elegans OX=6239 GN=mrp-1 PE=1 SV=1</t>
  </si>
  <si>
    <t>Q3S1M2</t>
  </si>
  <si>
    <t>mrp-1</t>
  </si>
  <si>
    <t>&gt;tr|Q3V5I5|Q3V5I5_CAEEL F-box domain-containing protein OS=Caenorhabditis elegans OX=6239 GN=CELE_Y82E9BR.19 PE=1 SV=2</t>
  </si>
  <si>
    <t>Q3V5I5</t>
  </si>
  <si>
    <t>&gt;tr|Q3Y3Z9|Q3Y3Z9_CAEEL Acetyltransf_18 domain-containing protein OS=Caenorhabditis elegans OX=6239 GN=C01B10.11 PE=1 SV=3</t>
  </si>
  <si>
    <t>Q3Y3Z9</t>
  </si>
  <si>
    <t>C01B10.11</t>
  </si>
  <si>
    <t>Acetyltransf_18 domain-containing protein</t>
  </si>
  <si>
    <t>&gt;tr|Q400N4|Q400N4_CAEEL RING-type E3 ubiquitin transferase OS=Caenorhabditis elegans OX=6239 GN=marc-6 PE=1 SV=2</t>
  </si>
  <si>
    <t>Q400N4</t>
  </si>
  <si>
    <t>&gt;sp|Q45EK7|TRM44_CAEEL Probable tRNA (uracil-O(2)-)-methyltransferase OS=Caenorhabditis elegans OX=6239 GN=C23G10.7 PE=3 SV=1</t>
  </si>
  <si>
    <t>Q45EK7</t>
  </si>
  <si>
    <t>C23G10.7</t>
  </si>
  <si>
    <t>Probable tRNA (uracil-O(2)-)-methyltransferase</t>
  </si>
  <si>
    <t>&gt;tr|Q45EL5|Q45EL5_CAEEL Similar to Transporter Of divalent Cations OS=Caenorhabditis elegans OX=6239 GN=toc-1 PE=1 SV=1</t>
  </si>
  <si>
    <t>Q45EL5</t>
  </si>
  <si>
    <t>toc-1</t>
  </si>
  <si>
    <t>Similar to Transporter Of divalent Cations</t>
  </si>
  <si>
    <t>&gt;sp|Q45FX5|VAV_CAEEL Protein vav-1 OS=Caenorhabditis elegans OX=6239 GN=vav-1 PE=1 SV=1</t>
  </si>
  <si>
    <t>Q45FX5</t>
  </si>
  <si>
    <t>vav-1</t>
  </si>
  <si>
    <t>Protein vav-1</t>
  </si>
  <si>
    <t>&gt;tr|Q4R161|Q4R161_CAEEL RING-type domain-containing protein OS=Caenorhabditis elegans OX=6239 GN=CELE_Y54G2A.40 PE=4 SV=2</t>
  </si>
  <si>
    <t>Q4R161</t>
  </si>
  <si>
    <t>&gt;sp|Q4TT88|PSA_CAEEL Puromycin-sensitive aminopeptidase OS=Caenorhabditis elegans OX=6239 GN=pam-1 PE=1 SV=1</t>
  </si>
  <si>
    <t>Q4TT88</t>
  </si>
  <si>
    <t>pam-1</t>
  </si>
  <si>
    <t>Puromycin-sensitive aminopeptidase</t>
  </si>
  <si>
    <t>&gt;sp|Q4W4Z2|RT4I1_CAEEL Reticulon-4-interacting protein 1, mitochondrial OS=Caenorhabditis elegans OX=6239 GN=rad-8 PE=2 SV=2</t>
  </si>
  <si>
    <t>Q4W4Z2</t>
  </si>
  <si>
    <t>rad-8</t>
  </si>
  <si>
    <t>Reticulon-4-interacting protein 1, mitochondrial</t>
  </si>
  <si>
    <t>&gt;tr|Q4W5P0|Q4W5P0_CAEEL RRM domain-containing protein OS=Caenorhabditis elegans OX=6239 GN=sqd-1 PE=1 SV=1</t>
  </si>
  <si>
    <t>Q4W5P0</t>
  </si>
  <si>
    <t>sqd-1</t>
  </si>
  <si>
    <t>&gt;tr|Q4W5T0|Q4W5T0_CAEEL Mitochondrial Ribosomal Protein, Large OS=Caenorhabditis elegans OX=6239 GN=mrpl-39 PE=1 SV=1</t>
  </si>
  <si>
    <t>Q4W5T0</t>
  </si>
  <si>
    <t>mrpl-39</t>
  </si>
  <si>
    <t>Mitochondrial Ribosomal Protein, Large</t>
  </si>
  <si>
    <t>&gt;sp|Q564Q1|GALE_CAEEL UDP-glucose 4-epimerase OS=Caenorhabditis elegans OX=6239 GN=gale-1 PE=1 SV=1</t>
  </si>
  <si>
    <t>Q564Q1</t>
  </si>
  <si>
    <t>gale-1</t>
  </si>
  <si>
    <t>UDP-glucose 4-epimerase</t>
  </si>
  <si>
    <t>&gt;tr|Q564X0|Q564X0_CAEEL IntraMembrane Protease (IMPAS) family OS=Caenorhabditis elegans OX=6239 GN=imp-1 PE=1 SV=1</t>
  </si>
  <si>
    <t>Q564X0</t>
  </si>
  <si>
    <t>imp-1</t>
  </si>
  <si>
    <t>&gt;tr|Q56VX7|Q56VX7_CAEEL dolichol kinase OS=Caenorhabditis elegans OX=6239 GN=dolk-1 PE=3 SV=2</t>
  </si>
  <si>
    <t>Q56VX7</t>
  </si>
  <si>
    <t>dolk-1</t>
  </si>
  <si>
    <t>dolichol kinase</t>
  </si>
  <si>
    <t>&gt;tr|Q56VY4|Q56VY4_CAEEL LITAF domain-containing protein OS=Caenorhabditis elegans OX=6239 GN=CELE_Y87G2A.19 PE=1 SV=1</t>
  </si>
  <si>
    <t>Q56VY4</t>
  </si>
  <si>
    <t>LITAF domain-containing protein</t>
  </si>
  <si>
    <t>&gt;tr|Q58AU8|Q58AU8_CAEEL mitogen-activated protein kinase kinase OS=Caenorhabditis elegans OX=6239 GN=sek-4 PE=1 SV=2</t>
  </si>
  <si>
    <t>Q58AU8</t>
  </si>
  <si>
    <t>sek-4</t>
  </si>
  <si>
    <t>mitogen-activated protein kinase kinase</t>
  </si>
  <si>
    <t>&gt;tr|Q58QG8|Q58QG8_CAEEL Anion exchange protein OS=Caenorhabditis elegans OX=6239 GN=abts-4 PE=1 SV=1</t>
  </si>
  <si>
    <t>Q58QG8</t>
  </si>
  <si>
    <t>abts-4</t>
  </si>
  <si>
    <t>&gt;sp|Q5CZ37|FITM2_CAEEL Acyl-coenzyme A diphosphatase FITM2 OS=Caenorhabditis elegans OX=6239 GN=fitm-2 PE=3 SV=1</t>
  </si>
  <si>
    <t>Q5CZ37</t>
  </si>
  <si>
    <t>fitm-2</t>
  </si>
  <si>
    <t>Acyl-coenzyme A diphosphatase FITM2</t>
  </si>
  <si>
    <t>&gt;sp|Q5DX34|RPGRH_CAEEL X-linked retinitis pigmentosa GTPase regulator homolog OS=Caenorhabditis elegans OX=6239 GN=glo-4 PE=1 SV=2</t>
  </si>
  <si>
    <t>Q5DX34</t>
  </si>
  <si>
    <t>glo-4</t>
  </si>
  <si>
    <t>X-linked retinitis pigmentosa GTPase regulator homolog</t>
  </si>
  <si>
    <t>&gt;tr|Q5DX48|Q5DX48_CAEEL MOR2-PAG1_N domain-containing protein OS=Caenorhabditis elegans OX=6239 GN=sax-2 PE=1 SV=1</t>
  </si>
  <si>
    <t>Q5DX48</t>
  </si>
  <si>
    <t>sax-2</t>
  </si>
  <si>
    <t>MOR2-PAG1_N domain-containing protein</t>
  </si>
  <si>
    <t>&gt;sp|Q5FC79|SFXN5_CAEEL Sideroflexin-5 OS=Caenorhabditis elegans OX=6239 GN=sfxn-5 PE=3 SV=1</t>
  </si>
  <si>
    <t>Q5FC79</t>
  </si>
  <si>
    <t>sfxn-5</t>
  </si>
  <si>
    <t>Sideroflexin-5</t>
  </si>
  <si>
    <t>&gt;sp|Q5H9N3|NFI1_CAEEL Nuclear factor I family protein OS=Caenorhabditis elegans OX=6239 GN=nfi-1 PE=2 SV=1</t>
  </si>
  <si>
    <t>Q5H9N3</t>
  </si>
  <si>
    <t>nfi-1</t>
  </si>
  <si>
    <t>Nuclear factor I family protein</t>
  </si>
  <si>
    <t>&gt;tr|Q5WRP2|Q5WRP2_CAEEL CRAL-TRIO domain-containing protein OS=Caenorhabditis elegans OX=6239 GN=C11H1.9 PE=1 SV=1</t>
  </si>
  <si>
    <t>Q5WRP2</t>
  </si>
  <si>
    <t>C11H1.9</t>
  </si>
  <si>
    <t>&gt;sp|Q629J5|YRRC_CAEEL Uncharacterized protein R144.12 OS=Caenorhabditis elegans OX=6239 GN=R144.12 PE=4 SV=1</t>
  </si>
  <si>
    <t>Q629J5</t>
  </si>
  <si>
    <t>R144.12</t>
  </si>
  <si>
    <t>Uncharacterized protein R144.12</t>
  </si>
  <si>
    <t>&gt;tr|Q65XX1|Q65XX1_CAEEL RNA helicase OS=Caenorhabditis elegans OX=6239 GN=vbh-1 PE=1 SV=1</t>
  </si>
  <si>
    <t>Q65XX1</t>
  </si>
  <si>
    <t>vbh-1</t>
  </si>
  <si>
    <t>&gt;sp|Q65XX2|LTN1_CAEEL E3 ubiquitin-protein ligase listerin OS=Caenorhabditis elegans OX=6239 GN=Y54E10A.11 PE=3 SV=1</t>
  </si>
  <si>
    <t>Q65XX2</t>
  </si>
  <si>
    <t>Y54E10A.11</t>
  </si>
  <si>
    <t>E3 ubiquitin-protein ligase listerin</t>
  </si>
  <si>
    <t>&gt;tr|Q65XX4|Q65XX4_CAEEL DUF148 domain-containing protein OS=Caenorhabditis elegans OX=6239 GN=CELE_Y47G6A.15 PE=1 SV=1</t>
  </si>
  <si>
    <t>Q65XX4</t>
  </si>
  <si>
    <t>DUF148 domain-containing protein</t>
  </si>
  <si>
    <t>&gt;tr|Q65ZI3|Q65ZI3_CAEEL Rhodanese domain-containing protein OS=Caenorhabditis elegans OX=6239 GN=dhs-30 PE=1 SV=1</t>
  </si>
  <si>
    <t>Q65ZI3</t>
  </si>
  <si>
    <t>dhs-30</t>
  </si>
  <si>
    <t>&gt;tr|Q688Z3|Q688Z3_CAEEL RNA helicase OS=Caenorhabditis elegans OX=6239 GN=CELE_Y94H6A.5 PE=1 SV=1</t>
  </si>
  <si>
    <t>Q688Z3</t>
  </si>
  <si>
    <t>&gt;tr|Q68TI8|Q68TI8_CAEEL DAF-15 OS=Caenorhabditis elegans OX=6239 GN=daf-15 PE=1 SV=1</t>
  </si>
  <si>
    <t>Q68TI8</t>
  </si>
  <si>
    <t>daf-15</t>
  </si>
  <si>
    <t>DAF-15</t>
  </si>
  <si>
    <t>&gt;tr|Q6A575|Q6A575_CAEEL Large ribosomal subunit protein bL21m OS=Caenorhabditis elegans OX=6239 GN=mrpl-21 PE=1 SV=1</t>
  </si>
  <si>
    <t>Q6A575</t>
  </si>
  <si>
    <t>mrpl-21</t>
  </si>
  <si>
    <t>Large ribosomal subunit protein bL21m</t>
  </si>
  <si>
    <t>&gt;tr|Q6A586|Q6A586_CAEEL Hyccin OS=Caenorhabditis elegans OX=6239 GN=CELE_D1069.3 PE=1 SV=1</t>
  </si>
  <si>
    <t>Q6A586</t>
  </si>
  <si>
    <t>Hyccin</t>
  </si>
  <si>
    <t>&gt;tr|Q6A590|Q6A590_CAEEL F-box domain-containing protein OS=Caenorhabditis elegans OX=6239 GN=CELE_T28B4.1 PE=1 SV=1</t>
  </si>
  <si>
    <t>Q6A590</t>
  </si>
  <si>
    <t>&gt;tr|Q6AHR3|Q6AHR3_CAEEL Ribose-phosphate pyrophosphokinase 2 OS=Caenorhabditis elegans OX=6239 GN=CELE_R151.2 PE=1 SV=2</t>
  </si>
  <si>
    <t>Q6AHR3</t>
  </si>
  <si>
    <t>Ribose-phosphate pyrophosphokinase 2</t>
  </si>
  <si>
    <t>&gt;sp|Q6AW06|DOT11_CAEEL Histone-lysine N-methyltransferase, H3 lysine-79 specific OS=Caenorhabditis elegans OX=6239 GN=dot-1.1 PE=1 SV=2</t>
  </si>
  <si>
    <t>Q6AW06</t>
  </si>
  <si>
    <t>dot-1.1</t>
  </si>
  <si>
    <t>Histone-lysine N-methyltransferase, H3 lysine-79 specific</t>
  </si>
  <si>
    <t>&gt;tr|Q6AW08|Q6AW08_CAEEL Conserved oligomeric Golgi complex subunit 3 OS=Caenorhabditis elegans OX=6239 GN=cogc-3 PE=1 SV=1</t>
  </si>
  <si>
    <t>Q6AW08</t>
  </si>
  <si>
    <t>cogc-3</t>
  </si>
  <si>
    <t>Conserved oligomeric Golgi complex subunit 3</t>
  </si>
  <si>
    <t>&gt;sp|Q6BER5|NU301_CAEEL Nucleosome-remodeling factor subunit NURF301-like OS=Caenorhabditis elegans OX=6239 GN=nurf-1 PE=1 SV=2</t>
  </si>
  <si>
    <t>Q6BER5</t>
  </si>
  <si>
    <t>nurf-1</t>
  </si>
  <si>
    <t>Nucleosome-remodeling factor subunit NURF301-like</t>
  </si>
  <si>
    <t>&gt;tr|Q6BEW1|Q6BEW1_CAEEL Copper transport protein OS=Caenorhabditis elegans OX=6239 GN=CELE_F27C1.2 PE=1 SV=1</t>
  </si>
  <si>
    <t>Q6BEW1</t>
  </si>
  <si>
    <t>Copper transport protein</t>
  </si>
  <si>
    <t>&gt;sp|Q7JKC3|UBP7_CAEEL Ubiquitin carboxyl-terminal hydrolase 7 OS=Caenorhabditis elegans OX=6239 GN=math-33 PE=3 SV=1</t>
  </si>
  <si>
    <t>Q7JKC3</t>
  </si>
  <si>
    <t>math-33</t>
  </si>
  <si>
    <t>Ubiquitin carboxyl-terminal hydrolase 7</t>
  </si>
  <si>
    <t>&gt;sp|Q7JKP6|HSR9_CAEEL Protein hsr-9 OS=Caenorhabditis elegans OX=6239 GN=hsr-9 PE=2 SV=1</t>
  </si>
  <si>
    <t>Q7JKP6</t>
  </si>
  <si>
    <t>hsr-9</t>
  </si>
  <si>
    <t>Protein hsr-9</t>
  </si>
  <si>
    <t>&gt;tr|Q7JLI8|Q7JLI8_CAEEL ubiquitinyl hydrolase 1 OS=Caenorhabditis elegans OX=6239 GN=duo-1 PE=1 SV=1</t>
  </si>
  <si>
    <t>Q7JLI8</t>
  </si>
  <si>
    <t>duo-1</t>
  </si>
  <si>
    <t>&gt;sp|Q7JM44|SMA9_CAEEL Transcription factor sma-9 OS=Caenorhabditis elegans OX=6239 GN=sma-9 PE=1 SV=2</t>
  </si>
  <si>
    <t>Q7JM44</t>
  </si>
  <si>
    <t>sma-9</t>
  </si>
  <si>
    <t>Transcription factor sma-9</t>
  </si>
  <si>
    <t>&gt;tr|Q7JMS4|Q7JMS4_CAEEL ubiquitinyl hydrolase 1 OS=Caenorhabditis elegans OX=6239 GN=cyld-1 PE=1 SV=2</t>
  </si>
  <si>
    <t>Q7JMS4</t>
  </si>
  <si>
    <t>cyld-1</t>
  </si>
  <si>
    <t>&gt;tr|Q7JMS5|Q7JMS5_CAEEL histone acetyltransferase OS=Caenorhabditis elegans OX=6239 GN=cbp-3 PE=1 SV=1</t>
  </si>
  <si>
    <t>Q7JMS5</t>
  </si>
  <si>
    <t>cbp-3</t>
  </si>
  <si>
    <t>histone acetyltransferase</t>
  </si>
  <si>
    <t>&gt;tr|Q7JNG1|Q7JNG1_CAEEL ATP synthase subunit O, mitochondrial OS=Caenorhabditis elegans OX=6239 GN=atp-3 PE=1 SV=1</t>
  </si>
  <si>
    <t>Q7JNG1</t>
  </si>
  <si>
    <t>atp-3</t>
  </si>
  <si>
    <t>ATP synthase subunit O, mitochondrial</t>
  </si>
  <si>
    <t>&gt;tr|Q7JP75|Q7JP75_CAEEL WAPL domain-containing protein OS=Caenorhabditis elegans OX=6239 GN=cyk-1 PE=1 SV=2</t>
  </si>
  <si>
    <t>Q7JP75</t>
  </si>
  <si>
    <t>cyk-1</t>
  </si>
  <si>
    <t>WAPL domain-containing protein</t>
  </si>
  <si>
    <t>&gt;tr|Q7JP80|Q7JP80_CAEEL EGF-like domain-containing protein OS=Caenorhabditis elegans OX=6239 GN=gldi-2 PE=1 SV=1</t>
  </si>
  <si>
    <t>Q7JP80</t>
  </si>
  <si>
    <t>gldi-2</t>
  </si>
  <si>
    <t>&gt;tr|Q7JPE4|Q7JPE4_CAEEL GyrI-like small molecule binding domain-containing protein OS=Caenorhabditis elegans OX=6239 GN=CELE_T24H7.9 PE=1 SV=1</t>
  </si>
  <si>
    <t>Q7JPE4</t>
  </si>
  <si>
    <t>GyrI-like small molecule binding domain-containing protein</t>
  </si>
  <si>
    <t>&gt;tr|Q7JPI4|Q7JPI4_CAEEL T-cell activation inhibitor, mitochondrial OS=Caenorhabditis elegans OX=6239 GN=C35B8.3 PE=1 SV=1</t>
  </si>
  <si>
    <t>Q7JPI4</t>
  </si>
  <si>
    <t>C35B8.3</t>
  </si>
  <si>
    <t>T-cell activation inhibitor, mitochondrial</t>
  </si>
  <si>
    <t>&gt;sp|Q7K6X4|NUP50_CAEEL Nuclear pore complex protein npp-16 OS=Caenorhabditis elegans OX=6239 GN=npp-16 PE=1 SV=1</t>
  </si>
  <si>
    <t>Q7K6X4</t>
  </si>
  <si>
    <t>npp-16</t>
  </si>
  <si>
    <t>Nuclear pore complex protein npp-16</t>
  </si>
  <si>
    <t>&gt;tr|Q7K714|Q7K714_CAEEL Homeobox domain-containing protein OS=Caenorhabditis elegans OX=6239 GN=ceh-100 PE=1 SV=1</t>
  </si>
  <si>
    <t>Q7K714</t>
  </si>
  <si>
    <t>ceh-100</t>
  </si>
  <si>
    <t>Homeobox domain-containing protein</t>
  </si>
  <si>
    <t>&gt;tr|Q7KPV0|Q7KPV0_CAEEL Guanine nucleotide-binding protein G(s) subunit alpha OS=Caenorhabditis elegans OX=6239 GN=gsa-1 PE=1 SV=1</t>
  </si>
  <si>
    <t>Q7KPV0</t>
  </si>
  <si>
    <t>gsa-1</t>
  </si>
  <si>
    <t>Guanine nucleotide-binding protein G(s) subunit alpha</t>
  </si>
  <si>
    <t>&gt;tr|Q7KPW6|Q7KPW6_CAEEL ER membrane protein complex subunit 6 OS=Caenorhabditis elegans OX=6239 GN=emc-6 PE=1 SV=1</t>
  </si>
  <si>
    <t>Q7KPW6</t>
  </si>
  <si>
    <t>emc-6</t>
  </si>
  <si>
    <t>ER membrane protein complex subunit 6</t>
  </si>
  <si>
    <t>&gt;tr|Q7KPW7|Q7KPW7_CAEEL 39S ribosomal protein L1, mitochondrial OS=Caenorhabditis elegans OX=6239 GN=mrpl-1 PE=1 SV=1</t>
  </si>
  <si>
    <t>Q7KPW7</t>
  </si>
  <si>
    <t>mrpl-1</t>
  </si>
  <si>
    <t>39S ribosomal protein L1, mitochondrial</t>
  </si>
  <si>
    <t>&gt;tr|Q7YTF8|Q7YTF8_CAEEL RNase H type-1 domain-containing protein OS=Caenorhabditis elegans OX=6239 GN=CELE_T09F3.5 PE=1 SV=2</t>
  </si>
  <si>
    <t>Q7YTF8</t>
  </si>
  <si>
    <t>RNase H type-1 domain-containing protein</t>
  </si>
  <si>
    <t>&gt;tr|Q7YTL5|Q7YTL5_CAEEL Mitochondrial transcription termination factor family protein OS=Caenorhabditis elegans OX=6239 GN=mter-4 PE=1 SV=2</t>
  </si>
  <si>
    <t>Q7YTL5</t>
  </si>
  <si>
    <t>mter-4</t>
  </si>
  <si>
    <t>Mitochondrial transcription termination factor family protein</t>
  </si>
  <si>
    <t>&gt;tr|Q7YWR7|Q7YWR7_CAEEL Methyltransferase-like 26 OS=Caenorhabditis elegans OX=6239 GN=CELE_Y26E6A.3 PE=1 SV=1</t>
  </si>
  <si>
    <t>Q7YWR7</t>
  </si>
  <si>
    <t>Methyltransferase-like 26</t>
  </si>
  <si>
    <t>&gt;sp|Q7YWX7|WLS_CAEEL Protein wntless homolog OS=Caenorhabditis elegans OX=6239 GN=mig-14 PE=1 SV=1</t>
  </si>
  <si>
    <t>Q7YWX7</t>
  </si>
  <si>
    <t>mig-14</t>
  </si>
  <si>
    <t>Protein wntless homolog</t>
  </si>
  <si>
    <t>&gt;tr|Q7YX71|Q7YX71_CAEEL GOLD domain-containing protein OS=Caenorhabditis elegans OX=6239 GN=C26C6.9 PE=1 SV=1</t>
  </si>
  <si>
    <t>Q7YX71</t>
  </si>
  <si>
    <t>C26C6.9</t>
  </si>
  <si>
    <t>GOLD domain-containing protein</t>
  </si>
  <si>
    <t>&gt;tr|Q7YZG5|Q7YZG5_CAEEL Protein-tyrosine phosphatase OS=Caenorhabditis elegans OX=6239 GN=CELE_Y48G9A.9 PE=1 SV=1</t>
  </si>
  <si>
    <t>Q7YZG5</t>
  </si>
  <si>
    <t>&gt;sp|Q7YZT6|TPS1_CAEEL Alpha,alpha-trehalose-phosphate synthase [UDP-forming] 1 OS=Caenorhabditis elegans OX=6239 GN=tps-1 PE=2 SV=1</t>
  </si>
  <si>
    <t>Q7YZT6</t>
  </si>
  <si>
    <t>tps-1</t>
  </si>
  <si>
    <t>Alpha,alpha-trehalose-phosphate synthase [UDP-forming] 1</t>
  </si>
  <si>
    <t>&gt;tr|Q7Z072|Q7Z072_CAEEL Troponin T OS=Caenorhabditis elegans OX=6239 GN=tnt-2 PE=1 SV=1</t>
  </si>
  <si>
    <t>Q7Z072</t>
  </si>
  <si>
    <t>tnt-2</t>
  </si>
  <si>
    <t>Troponin T</t>
  </si>
  <si>
    <t>&gt;tr|Q7Z138|Q7Z138_CAEEL Aquaporin-9 OS=Caenorhabditis elegans OX=6239 GN=aqp-8 PE=3 SV=2</t>
  </si>
  <si>
    <t>Q7Z138</t>
  </si>
  <si>
    <t>aqp-8</t>
  </si>
  <si>
    <t>&gt;sp|Q7Z139|HYL2_CAEEL Ceramide synthase hyl-2 OS=Caenorhabditis elegans OX=6239 GN=hyl-2 PE=1 SV=1</t>
  </si>
  <si>
    <t>Q7Z139</t>
  </si>
  <si>
    <t>hyl-2</t>
  </si>
  <si>
    <t>Ceramide synthase hyl-2</t>
  </si>
  <si>
    <t>&gt;tr|Q7Z151|Q7Z151_CAEEL FANCI helical domain-containing protein OS=Caenorhabditis elegans OX=6239 GN=fnci-1 PE=1 SV=1</t>
  </si>
  <si>
    <t>Q7Z151</t>
  </si>
  <si>
    <t>fnci-1</t>
  </si>
  <si>
    <t>FANCI helical domain-containing protein</t>
  </si>
  <si>
    <t>&gt;tr|Q7Z1Q3|Q7Z1Q3_CAEEL Aldehyde dehydrogenase domain-containing protein OS=Caenorhabditis elegans OX=6239 GN=alh-12 PE=1 SV=1</t>
  </si>
  <si>
    <t>Q7Z1Q3</t>
  </si>
  <si>
    <t>alh-12</t>
  </si>
  <si>
    <t>&gt;sp|Q867X0|PARG1_CAEEL Poly(ADP-ribose) glycohydrolase 1 OS=Caenorhabditis elegans OX=6239 GN=parg-1 PE=1 SV=1</t>
  </si>
  <si>
    <t>Q867X0</t>
  </si>
  <si>
    <t>parg-1</t>
  </si>
  <si>
    <t>Poly(ADP-ribose) glycohydrolase 1</t>
  </si>
  <si>
    <t>&gt;tr|Q86DA8|Q86DA8_CAEEL C2H2-type domain-containing protein OS=Caenorhabditis elegans OX=6239 GN=CELE_Y67H2A.10 PE=1 SV=2</t>
  </si>
  <si>
    <t>Q86DA8</t>
  </si>
  <si>
    <t>&gt;tr|Q86FL7|Q86FL7_CAEEL Nematode cuticle collagen N-terminal domain-containing protein OS=Caenorhabditis elegans OX=6239 GN=col-166 PE=4 SV=1</t>
  </si>
  <si>
    <t>Q86FL7</t>
  </si>
  <si>
    <t>col-166</t>
  </si>
  <si>
    <t>&gt;tr|Q86FN3|Q86FN3_CAEEL Ubiquitin-like protease family profile domain-containing protein OS=Caenorhabditis elegans OX=6239 GN=ulp-3 PE=1 SV=1</t>
  </si>
  <si>
    <t>Q86FN3</t>
  </si>
  <si>
    <t>ulp-3</t>
  </si>
  <si>
    <t>Ubiquitin-like protease family profile domain-containing protein</t>
  </si>
  <si>
    <t>&gt;tr|Q86G90|Q86G90_CAEEL Nuclear Pore complex Protein OS=Caenorhabditis elegans OX=6239 GN=npp-9 PE=1 SV=1</t>
  </si>
  <si>
    <t>Q86G90</t>
  </si>
  <si>
    <t>npp-9</t>
  </si>
  <si>
    <t>&gt;sp|Q86GV3|GCY28_CAEEL Receptor-type guanylate cyclase gcy-28 OS=Caenorhabditis elegans OX=6239 GN=gcy-28 PE=1 SV=1</t>
  </si>
  <si>
    <t>Q86GV3</t>
  </si>
  <si>
    <t>gcy-28</t>
  </si>
  <si>
    <t>Receptor-type guanylate cyclase gcy-28</t>
  </si>
  <si>
    <t>&gt;tr|Q86ME1|Q86ME1_CAEEL Protein kinase domain-containing protein OS=Caenorhabditis elegans OX=6239 GN=CELE_D2096.12 PE=4 SV=1</t>
  </si>
  <si>
    <t>Q86ME1</t>
  </si>
  <si>
    <t>&gt;sp|Q86MI0|DVE1_CAEEL Homeobox protein dve-1 OS=Caenorhabditis elegans OX=6239 GN=dve-1 PE=1 SV=1</t>
  </si>
  <si>
    <t>Q86MI0</t>
  </si>
  <si>
    <t>dve-1</t>
  </si>
  <si>
    <t>Homeobox protein dve-1</t>
  </si>
  <si>
    <t>&gt;tr|Q86MP1|Q86MP1_CAEEL Nematode cuticle collagen N-terminal domain-containing protein OS=Caenorhabditis elegans OX=6239 GN=col-95 PE=1 SV=1</t>
  </si>
  <si>
    <t>Q86MP1</t>
  </si>
  <si>
    <t>col-95</t>
  </si>
  <si>
    <t>&gt;sp|Q86MP3|EPG6_CAEEL Ectopic P granules protein 6 OS=Caenorhabditis elegans OX=6239 GN=epg-6 PE=1 SV=1</t>
  </si>
  <si>
    <t>Q86MP3</t>
  </si>
  <si>
    <t>epg-6</t>
  </si>
  <si>
    <t>Ectopic P granules protein 6</t>
  </si>
  <si>
    <t>&gt;tr|Q86NC2|Q86NC2_CAEEL NADH dehydrogenase [ubiquinone] iron-sulfur protein 3, mitochondrial OS=Caenorhabditis elegans OX=6239 GN=nuo-2 PE=1 SV=1</t>
  </si>
  <si>
    <t>Q86NC2</t>
  </si>
  <si>
    <t>nuo-2</t>
  </si>
  <si>
    <t>NADH dehydrogenase [ubiquinone] iron-sulfur protein 3, mitochondrial</t>
  </si>
  <si>
    <t>&gt;tr|Q86NE0|Q86NE0_CAEEL Peptidase A1 domain-containing protein OS=Caenorhabditis elegans OX=6239 GN=asp-2 PE=1 SV=1</t>
  </si>
  <si>
    <t>Q86NE0</t>
  </si>
  <si>
    <t>asp-2</t>
  </si>
  <si>
    <t>Peptidase A1 domain-containing protein</t>
  </si>
  <si>
    <t>&gt;sp|Q86NH1|SYD1_CAEEL Rho GTPase-activating protein syd-1 OS=Caenorhabditis elegans OX=6239 GN=syd-1 PE=2 SV=1</t>
  </si>
  <si>
    <t>Q86NH1</t>
  </si>
  <si>
    <t>syd-1</t>
  </si>
  <si>
    <t>Rho GTPase-activating protein syd-1</t>
  </si>
  <si>
    <t>&gt;tr|Q86NH9|Q86NH9_CAEEL Transthyretin-like family protein OS=Caenorhabditis elegans OX=6239 GN=ttr-41 PE=1 SV=1</t>
  </si>
  <si>
    <t>Q86NH9</t>
  </si>
  <si>
    <t>ttr-41</t>
  </si>
  <si>
    <t>&gt;tr|Q86NJ4|Q86NJ4_CAEEL Afadin OS=Caenorhabditis elegans OX=6239 GN=afd-1 PE=1 SV=2</t>
  </si>
  <si>
    <t>Q86NJ4</t>
  </si>
  <si>
    <t>afd-1</t>
  </si>
  <si>
    <t>Afadin</t>
  </si>
  <si>
    <t>&gt;tr|Q86NJ8|Q86NJ8_CAEEL Piwi domain-containing protein OS=Caenorhabditis elegans OX=6239 GN=ppw-1 PE=1 SV=1</t>
  </si>
  <si>
    <t>Q86NJ8</t>
  </si>
  <si>
    <t>ppw-1</t>
  </si>
  <si>
    <t>&gt;sp|Q86S40|ADPGK_CAEEL Probable ADP-dependent glucokinase OS=Caenorhabditis elegans OX=6239 GN=C50D2.7 PE=1 SV=1</t>
  </si>
  <si>
    <t>Q86S40</t>
  </si>
  <si>
    <t>C50D2.7</t>
  </si>
  <si>
    <t>Probable ADP-dependent glucokinase</t>
  </si>
  <si>
    <t>&gt;sp|Q86S66|NACA_CAEEL Nascent polypeptide-associated complex subunit alpha OS=Caenorhabditis elegans OX=6239 GN=icd-2 PE=1 SV=2</t>
  </si>
  <si>
    <t>Q86S66</t>
  </si>
  <si>
    <t>icd-2</t>
  </si>
  <si>
    <t>Nascent polypeptide-associated complex subunit alpha</t>
  </si>
  <si>
    <t>&gt;tr|Q8I0Z3|Q8I0Z3_CAEEL SnoaL-like domain-containing protein OS=Caenorhabditis elegans OX=6239 GN=CELE_Y48E1C.4 PE=1 SV=1</t>
  </si>
  <si>
    <t>Q8I0Z3</t>
  </si>
  <si>
    <t>SnoaL-like domain-containing protein</t>
  </si>
  <si>
    <t>&gt;tr|Q8I103|Q8I103_CAEEL Tight junction protein ZO-1 OS=Caenorhabditis elegans OX=6239 GN=zoo-1 PE=1 SV=3</t>
  </si>
  <si>
    <t>Q8I103</t>
  </si>
  <si>
    <t>zoo-1</t>
  </si>
  <si>
    <t>Tight junction protein ZO-1</t>
  </si>
  <si>
    <t>&gt;sp|Q8I136|GALT4_CAEEL Polypeptide N-acetylgalactosaminyltransferase 4 OS=Caenorhabditis elegans OX=6239 GN=gly-4 PE=2 SV=2</t>
  </si>
  <si>
    <t>Q8I136</t>
  </si>
  <si>
    <t>gly-4</t>
  </si>
  <si>
    <t>Polypeptide N-acetylgalactosaminyltransferase 4</t>
  </si>
  <si>
    <t>&gt;sp|Q8I4B0|KCNSK_CAEEL Potassium voltage-gated channel protein shk-1 OS=Caenorhabditis elegans OX=6239 GN=shk-1 PE=2 SV=1</t>
  </si>
  <si>
    <t>Q8I4B0</t>
  </si>
  <si>
    <t>shk-1</t>
  </si>
  <si>
    <t>Potassium voltage-gated channel protein shk-1</t>
  </si>
  <si>
    <t>&gt;tr|Q8I4C0|Q8I4C0_CAEEL Nematode cuticle collagen N-terminal domain-containing protein OS=Caenorhabditis elegans OX=6239 GN=col-42 PE=4 SV=1</t>
  </si>
  <si>
    <t>Q8I4C0</t>
  </si>
  <si>
    <t>col-42</t>
  </si>
  <si>
    <t>&gt;tr|Q8I4C9|Q8I4C9_CAEEL Septin-type G domain-containing protein OS=Caenorhabditis elegans OX=6239 GN=unc-61 PE=1 SV=2</t>
  </si>
  <si>
    <t>Q8I4C9</t>
  </si>
  <si>
    <t>unc-61</t>
  </si>
  <si>
    <t>Septin-type G domain-containing protein</t>
  </si>
  <si>
    <t>&gt;tr|Q8I4F6|Q8I4F6_CAEEL Major facilitator superfamily (MFS) profile domain-containing protein OS=Caenorhabditis elegans OX=6239 GN=slc-17.4 PE=4 SV=1</t>
  </si>
  <si>
    <t>Q8I4F6</t>
  </si>
  <si>
    <t>slc-17.4</t>
  </si>
  <si>
    <t>&gt;sp|Q8I4F7|SMYDL_CAEEL Histone-lysine N-methyltransferase set-18 OS=Caenorhabditis elegans OX=6239 GN=set-18 PE=1 SV=1</t>
  </si>
  <si>
    <t>Q8I4F7</t>
  </si>
  <si>
    <t>set-18</t>
  </si>
  <si>
    <t>Histone-lysine N-methyltransferase set-18</t>
  </si>
  <si>
    <t>&gt;tr|Q8I4G3|Q8I4G3_CAEEL CRAL-TRIO domain-containing protein OS=Caenorhabditis elegans OX=6239 GN=CELE_T03F7.7 PE=1 SV=1</t>
  </si>
  <si>
    <t>Q8I4G3</t>
  </si>
  <si>
    <t>&gt;tr|Q8I4K2|Q8I4K2_CAEEL D-lactate dehydrogenase (cytochrome) OS=Caenorhabditis elegans OX=6239 GN=CELE_F32D8.12 PE=1 SV=1</t>
  </si>
  <si>
    <t>Q8I4K2</t>
  </si>
  <si>
    <t>D-lactate dehydrogenase (cytochrome)</t>
  </si>
  <si>
    <t>&gt;tr|Q8I4K3|Q8I4K3_CAEEL Letm1 RBD domain-containing protein OS=Caenorhabditis elegans OX=6239 GN=CELE_F30F8.9 PE=1 SV=1</t>
  </si>
  <si>
    <t>Q8I4K3</t>
  </si>
  <si>
    <t>Letm1 RBD domain-containing protein</t>
  </si>
  <si>
    <t>&gt;sp|Q8I4M5|GLS1_CAEEL Germline survival defective-1 OS=Caenorhabditis elegans OX=6239 GN=gls-1 PE=1 SV=2</t>
  </si>
  <si>
    <t>Q8I4M5</t>
  </si>
  <si>
    <t>gls-1</t>
  </si>
  <si>
    <t>Germline survival defective-1</t>
  </si>
  <si>
    <t>&gt;sp|Q8I4N3|NDC1_CAEEL Nucleoporin ndc-1 OS=Caenorhabditis elegans OX=6239 GN=npp-22 PE=2 SV=1</t>
  </si>
  <si>
    <t>Q8I4N3</t>
  </si>
  <si>
    <t>npp-22</t>
  </si>
  <si>
    <t>Nucleoporin ndc-1</t>
  </si>
  <si>
    <t>&gt;sp|Q8I7F8|ODR4_CAEEL Odorant response abnormal protein 4 OS=Caenorhabditis elegans OX=6239 GN=odr-4 PE=1 SV=1</t>
  </si>
  <si>
    <t>Q8I7F8</t>
  </si>
  <si>
    <t>odr-4</t>
  </si>
  <si>
    <t>Odorant response abnormal protein 4</t>
  </si>
  <si>
    <t>&gt;sp|Q8I7M8|CDK17_CAEEL Cyclin-dependent kinase 17 OS=Caenorhabditis elegans OX=6239 GN=pct-1 PE=1 SV=1</t>
  </si>
  <si>
    <t>Q8I7M8</t>
  </si>
  <si>
    <t>pct-1</t>
  </si>
  <si>
    <t>Cyclin-dependent kinase 17</t>
  </si>
  <si>
    <t>&gt;tr|Q8IA95|Q8IA95_CAEEL Solute carrier family 40 member OS=Caenorhabditis elegans OX=6239 GN=fpn-1.1 PE=1 SV=2</t>
  </si>
  <si>
    <t>Q8IA95</t>
  </si>
  <si>
    <t>fpn-1.1</t>
  </si>
  <si>
    <t>Solute carrier family 40 member</t>
  </si>
  <si>
    <t>&gt;tr|Q8IG67|Q8IG67_CAEEL DNA-directed RNA polymerase III subunit RPC3 OS=Caenorhabditis elegans OX=6239 GN=let-611 PE=1 SV=1</t>
  </si>
  <si>
    <t>Q8IG67</t>
  </si>
  <si>
    <t>let-611</t>
  </si>
  <si>
    <t>DNA-directed RNA polymerase III subunit RPC3</t>
  </si>
  <si>
    <t>&gt;tr|Q8IG68|Q8IG68_CAEEL LiPid Depleted OS=Caenorhabditis elegans OX=6239 GN=lpd-2 PE=1 SV=1</t>
  </si>
  <si>
    <t>Q8IG68</t>
  </si>
  <si>
    <t>lpd-2</t>
  </si>
  <si>
    <t>LiPid Depleted</t>
  </si>
  <si>
    <t>&gt;tr|Q8ITY3|Q8ITY3_CAEEL Gamma-tubulin complex component OS=Caenorhabditis elegans OX=6239 GN=gip-1 PE=1 SV=1</t>
  </si>
  <si>
    <t>Q8ITY3</t>
  </si>
  <si>
    <t>gip-1</t>
  </si>
  <si>
    <t>Gamma-tubulin complex component</t>
  </si>
  <si>
    <t>&gt;sp|Q8ITY4|SF3B6_CAEEL Splicing factor 3B subunit 6-like protein OS=Caenorhabditis elegans OX=6239 GN=C50D2.5 PE=3 SV=2</t>
  </si>
  <si>
    <t>Q8ITY4</t>
  </si>
  <si>
    <t>C50D2.5</t>
  </si>
  <si>
    <t>Splicing factor 3B subunit 6-like protein</t>
  </si>
  <si>
    <t>&gt;tr|Q8ITY5|Q8ITY5_CAEEL Luc7-like protein 3 OS=Caenorhabditis elegans OX=6239 GN=luc-7l3 PE=1 SV=2</t>
  </si>
  <si>
    <t>Q8ITY5</t>
  </si>
  <si>
    <t>luc-7l3</t>
  </si>
  <si>
    <t>Luc7-like protein 3</t>
  </si>
  <si>
    <t>&gt;tr|Q8ITY6|Q8ITY6_CAEEL Malonyl-CoA:ACP transacylase (MAT) domain-containing protein OS=Caenorhabditis elegans OX=6239 GN=mcat-1 PE=1 SV=3</t>
  </si>
  <si>
    <t>Q8ITY6</t>
  </si>
  <si>
    <t>mcat-1</t>
  </si>
  <si>
    <t>Malonyl-CoA:ACP transacylase (MAT) domain-containing protein</t>
  </si>
  <si>
    <t>&gt;tr|Q8ITY8|Q8ITY8_CAEEL DUF4476 domain-containing protein OS=Caenorhabditis elegans OX=6239 GN=CELE_R148.3 PE=1 SV=1</t>
  </si>
  <si>
    <t>Q8ITY8</t>
  </si>
  <si>
    <t>DUF4476 domain-containing protein</t>
  </si>
  <si>
    <t>&gt;tr|Q8IU00|Q8IU00_CAEEL PUM-HD domain-containing protein OS=Caenorhabditis elegans OX=6239 GN=puf-11 PE=1 SV=1</t>
  </si>
  <si>
    <t>Q8IU00</t>
  </si>
  <si>
    <t>puf-11</t>
  </si>
  <si>
    <t>&gt;sp|Q8MLZ5|GAP2_CAEEL Ras GTPase-activating protein gap-2 OS=Caenorhabditis elegans OX=6239 GN=gap-2 PE=2 SV=2</t>
  </si>
  <si>
    <t>Q8MLZ5</t>
  </si>
  <si>
    <t>gap-2</t>
  </si>
  <si>
    <t>Ras GTPase-activating protein gap-2</t>
  </si>
  <si>
    <t>&gt;tr|Q8MNS9|Q8MNS9_CAEEL Secreted protein OS=Caenorhabditis elegans OX=6239 GN=CELE_F28F5.6 PE=4 SV=1</t>
  </si>
  <si>
    <t>Q8MNS9</t>
  </si>
  <si>
    <t>&gt;tr|Q8MNT0|Q8MNT0_CAEEL PDZ domain-containing protein OS=Caenorhabditis elegans OX=6239 GN=lim-8 PE=1 SV=1</t>
  </si>
  <si>
    <t>Q8MNT0</t>
  </si>
  <si>
    <t>lim-8</t>
  </si>
  <si>
    <t>&gt;sp|Q8MNV0|SPAST_CAEEL Spastin homolog OS=Caenorhabditis elegans OX=6239 GN=spas-1 PE=1 SV=2</t>
  </si>
  <si>
    <t>Q8MNV0</t>
  </si>
  <si>
    <t>spas-1</t>
  </si>
  <si>
    <t>Spastin homolog</t>
  </si>
  <si>
    <t>&gt;tr|Q8MPR9|Q8MPR9_CAEEL PH domain-containing protein OS=Caenorhabditis elegans OX=6239 GN=obr-3 PE=1 SV=1</t>
  </si>
  <si>
    <t>Q8MPR9</t>
  </si>
  <si>
    <t>obr-3</t>
  </si>
  <si>
    <t>&gt;tr|Q8MPS3|Q8MPS3_CAEEL mitogen-activated protein kinase kinase OS=Caenorhabditis elegans OX=6239 GN=sek-3 PE=1 SV=1</t>
  </si>
  <si>
    <t>Q8MPS3</t>
  </si>
  <si>
    <t>sek-3</t>
  </si>
  <si>
    <t>&gt;tr|Q8MPS7|Q8MPS7_CAEEL Protein kinase domain-containing protein OS=Caenorhabditis elegans OX=6239 GN=CELE_ZK354.2 PE=1 SV=1</t>
  </si>
  <si>
    <t>Q8MPS7</t>
  </si>
  <si>
    <t>&gt;tr|Q8MPW0|Q8MPW0_CAEEL Amiloride-sensitive sodium channel OS=Caenorhabditis elegans OX=6239 GN=del-6 PE=1 SV=2</t>
  </si>
  <si>
    <t>Q8MPW0</t>
  </si>
  <si>
    <t>del-6</t>
  </si>
  <si>
    <t>Amiloride-sensitive sodium channel</t>
  </si>
  <si>
    <t>&gt;tr|Q8MQ03|Q8MQ03_CAEEL Kinesin-like protein OS=Caenorhabditis elegans OX=6239 GN=zen-4 PE=1 SV=2</t>
  </si>
  <si>
    <t>Q8MQ03</t>
  </si>
  <si>
    <t>zen-4</t>
  </si>
  <si>
    <t>&gt;tr|Q8MQ25|Q8MQ25_CAEEL C2H2-type domain-containing protein OS=Caenorhabditis elegans OX=6239 GN=CELE_F54D8.6 PE=1 SV=3</t>
  </si>
  <si>
    <t>Q8MQ25</t>
  </si>
  <si>
    <t>&gt;sp|Q8MQ70|HIPK_CAEEL Homeodomain-interacting protein kinase 1 OS=Caenorhabditis elegans OX=6239 GN=hpk-1 PE=2 SV=1</t>
  </si>
  <si>
    <t>Q8MQ70</t>
  </si>
  <si>
    <t>hpk-1</t>
  </si>
  <si>
    <t>Homeodomain-interacting protein kinase 1</t>
  </si>
  <si>
    <t>&gt;tr|Q8MQ99|Q8MQ99_CAEEL Methyltransf_11 domain-containing protein OS=Caenorhabditis elegans OX=6239 GN=C51E3.9 PE=1 SV=1</t>
  </si>
  <si>
    <t>Q8MQ99</t>
  </si>
  <si>
    <t>C51E3.9</t>
  </si>
  <si>
    <t>Methyltransf_11 domain-containing protein</t>
  </si>
  <si>
    <t>&gt;tr|Q8MQA1|Q8MQA1_CAEEL Voltage-dependent L-type calcium channel subunit alpha OS=Caenorhabditis elegans OX=6239 GN=egl-19 PE=1 SV=1</t>
  </si>
  <si>
    <t>Q8MQA1</t>
  </si>
  <si>
    <t>egl-19</t>
  </si>
  <si>
    <t>Voltage-dependent L-type calcium channel subunit alpha</t>
  </si>
  <si>
    <t>&gt;tr|Q8MQB5|Q8MQB5_CAEEL TPR_REGION domain-containing protein OS=Caenorhabditis elegans OX=6239 GN=rmd-2 PE=1 SV=2</t>
  </si>
  <si>
    <t>Q8MQB5</t>
  </si>
  <si>
    <t>rmd-2</t>
  </si>
  <si>
    <t>&gt;tr|Q8MXD9|Q8MXD9_CAEEL K Homology domain-containing protein OS=Caenorhabditis elegans OX=6239 GN=mek-5 PE=1 SV=1</t>
  </si>
  <si>
    <t>Q8MXD9</t>
  </si>
  <si>
    <t>mek-5</t>
  </si>
  <si>
    <t>&gt;tr|Q8MXF1|Q8MXF1_CAEEL AAA+ ATPase domain-containing protein OS=Caenorhabditis elegans OX=6239 GN=CELE_F56F11.4 PE=1 SV=1</t>
  </si>
  <si>
    <t>Q8MXF1</t>
  </si>
  <si>
    <t>&gt;tr|Q8MXI1|Q8MXI1_CAEEL Cytochrome b-c1 complex subunit 10 OS=Caenorhabditis elegans OX=6239 GN=ucr-11 PE=1 SV=1</t>
  </si>
  <si>
    <t>Q8MXI1</t>
  </si>
  <si>
    <t>ucr-11</t>
  </si>
  <si>
    <t>Cytochrome b-c1 complex subunit 10</t>
  </si>
  <si>
    <t>&gt;tr|Q8MXJ2|Q8MXJ2_CAEEL Serpentine Receptor, class U OS=Caenorhabditis elegans OX=6239 GN=C08F1.10 PE=4 SV=1</t>
  </si>
  <si>
    <t>Q8MXJ2</t>
  </si>
  <si>
    <t>C08F1.10</t>
  </si>
  <si>
    <t>Serpentine Receptor, class U</t>
  </si>
  <si>
    <t>&gt;sp|Q8MXQ7|CDKAL_CAEEL Threonylcarbamoyladenosine tRNA methylthiotransferase OS=Caenorhabditis elegans OX=6239 GN=Y92H12BL.1 PE=3 SV=2</t>
  </si>
  <si>
    <t>Q8MXQ7</t>
  </si>
  <si>
    <t>Y92H12BL.1</t>
  </si>
  <si>
    <t>Threonylcarbamoyladenosine tRNA methylthiotransferase</t>
  </si>
  <si>
    <t>&gt;tr|Q8MXR2|Q8MXR2_CAEEL RRM domain-containing protein OS=Caenorhabditis elegans OX=6239 GN=hrpf-2 PE=1 SV=1</t>
  </si>
  <si>
    <t>Q8MXR2</t>
  </si>
  <si>
    <t>hrpf-2</t>
  </si>
  <si>
    <t>&gt;sp|Q8MXS1|RAB18_CAEEL Ras-related protein Rab-18 OS=Caenorhabditis elegans OX=6239 GN=rab-18 PE=3 SV=1</t>
  </si>
  <si>
    <t>Q8MXS1</t>
  </si>
  <si>
    <t>rab-18</t>
  </si>
  <si>
    <t>Ras-related protein Rab-18</t>
  </si>
  <si>
    <t>&gt;tr|Q8MXS5|Q8MXS5_CAEEL C2H2-type domain-containing protein OS=Caenorhabditis elegans OX=6239 GN=CELE_Y61A9LA.3 PE=1 SV=2</t>
  </si>
  <si>
    <t>Q8MXS5</t>
  </si>
  <si>
    <t>&gt;tr|Q8MXS8|Q8MXS8_CAEEL DeHydrogenases, Short chain OS=Caenorhabditis elegans OX=6239 GN=CELE_Y47G6A.22 PE=1 SV=1</t>
  </si>
  <si>
    <t>Q8MXS8</t>
  </si>
  <si>
    <t>&gt;tr|Q8MXT1|Q8MXT1_CAEEL Thioredoxin domain-containing protein OS=Caenorhabditis elegans OX=6239 GN=prdx-6 PE=1 SV=1</t>
  </si>
  <si>
    <t>Q8MXT1</t>
  </si>
  <si>
    <t>prdx-6</t>
  </si>
  <si>
    <t>&gt;tr|Q8MXT6|Q8MXT6_CAEEL Nematode cuticle collagen N-terminal domain-containing protein OS=Caenorhabditis elegans OX=6239 GN=col-106 PE=1 SV=1</t>
  </si>
  <si>
    <t>Q8MXT6</t>
  </si>
  <si>
    <t>col-106</t>
  </si>
  <si>
    <t>&gt;tr|Q8MYL9|Q8MYL9_CAEEL UNC93-like protein MFSD11 OS=Caenorhabditis elegans OX=6239 GN=CELE_Y39B6A.27 PE=3 SV=2</t>
  </si>
  <si>
    <t>Q8MYL9</t>
  </si>
  <si>
    <t>&gt;sp|Q8STE5|CED12_CAEEL Cell death abnormality protein 12 OS=Caenorhabditis elegans OX=6239 GN=ced-12 PE=1 SV=1</t>
  </si>
  <si>
    <t>Q8STE5</t>
  </si>
  <si>
    <t>ced-12</t>
  </si>
  <si>
    <t>Cell death abnormality protein 12</t>
  </si>
  <si>
    <t>&gt;tr|Q8T3E0|Q8T3E0_CAEEL 5' exonuclease Apollo OS=Caenorhabditis elegans OX=6239 GN=mrt-1 PE=1 SV=1</t>
  </si>
  <si>
    <t>Q8T3E0</t>
  </si>
  <si>
    <t>mrt-1</t>
  </si>
  <si>
    <t>5' exonuclease Apollo</t>
  </si>
  <si>
    <t>&gt;sp|Q8T5S1|NHX2_CAEEL Na(+)/H(+) exchanger protein 2 OS=Caenorhabditis elegans OX=6239 GN=nhx-2 PE=2 SV=1</t>
  </si>
  <si>
    <t>Q8T5S1</t>
  </si>
  <si>
    <t>nhx-2</t>
  </si>
  <si>
    <t>Na(+)/H(+) exchanger protein 2</t>
  </si>
  <si>
    <t>&gt;sp|Q8T8B9|ACMSD_CAEEL 2-amino-3-carboxymuconate-6-semialdehyde decarboxylase OS=Caenorhabditis elegans OX=6239 GN=acsd-1 PE=2 SV=1</t>
  </si>
  <si>
    <t>Q8T8B9</t>
  </si>
  <si>
    <t>acsd-1</t>
  </si>
  <si>
    <t>2-amino-3-carboxymuconate-6-semialdehyde decarboxylase</t>
  </si>
  <si>
    <t>&gt;tr|Q8T8M4|Q8T8M4_CAEEL Nuclear Pore complex Protein OS=Caenorhabditis elegans OX=6239 GN=npp-6 PE=1 SV=2</t>
  </si>
  <si>
    <t>Q8T8M4</t>
  </si>
  <si>
    <t>npp-6</t>
  </si>
  <si>
    <t>&gt;sp|Q8TA83|DNJ10_CAEEL DnaJ homolog dnj-10 OS=Caenorhabditis elegans OX=6239 GN=dnj-10 PE=3 SV=1</t>
  </si>
  <si>
    <t>Q8TA83</t>
  </si>
  <si>
    <t>dnj-10</t>
  </si>
  <si>
    <t>DnaJ homolog dnj-10</t>
  </si>
  <si>
    <t>&gt;sp|Q8WQ99|KC1G_CAEEL Casein kinase I gamma OS=Caenorhabditis elegans OX=6239 GN=csnk-1 PE=1 SV=1</t>
  </si>
  <si>
    <t>Q8WQ99</t>
  </si>
  <si>
    <t>csnk-1</t>
  </si>
  <si>
    <t>Casein kinase I gamma</t>
  </si>
  <si>
    <t>&gt;tr|Q8WQA8|Q8WQA8_CAEEL Small ribosomal subunit protein uS10 OS=Caenorhabditis elegans OX=6239 GN=rps-20 PE=1 SV=1</t>
  </si>
  <si>
    <t>Q8WQA8</t>
  </si>
  <si>
    <t>rps-20</t>
  </si>
  <si>
    <t>Small ribosomal subunit protein uS10</t>
  </si>
  <si>
    <t>&gt;tr|Q8WQB2|Q8WQB2_CAEEL Non-lysosomal glucosylceramidase OS=Caenorhabditis elegans OX=6239 GN=hpo-13 PE=1 SV=1</t>
  </si>
  <si>
    <t>Q8WQB2</t>
  </si>
  <si>
    <t>hpo-13</t>
  </si>
  <si>
    <t>Non-lysosomal glucosylceramidase</t>
  </si>
  <si>
    <t>&gt;tr|Q8WQB3|Q8WQB3_CAEEL AP-1 complex subunit gamma OS=Caenorhabditis elegans OX=6239 GN=apg-1 PE=1 SV=1</t>
  </si>
  <si>
    <t>Q8WQB3</t>
  </si>
  <si>
    <t>apg-1</t>
  </si>
  <si>
    <t>AP-1 complex subunit gamma</t>
  </si>
  <si>
    <t>&gt;tr|Q8WQB6|Q8WQB6_CAEEL Proton-coupled zinc antiporter SLC30A5 OS=Caenorhabditis elegans OX=6239 GN=slc-30a5 PE=1 SV=2</t>
  </si>
  <si>
    <t>Q8WQB6</t>
  </si>
  <si>
    <t>slc-30a5</t>
  </si>
  <si>
    <t>Proton-coupled zinc antiporter SLC30A5</t>
  </si>
  <si>
    <t>&gt;sp|Q8WQC9|DNM1L_CAEEL Dynamin-1-like protein drp-1 OS=Caenorhabditis elegans OX=6239 GN=drp-1 PE=1 SV=1</t>
  </si>
  <si>
    <t>Q8WQC9</t>
  </si>
  <si>
    <t>drp-1</t>
  </si>
  <si>
    <t>Dynamin-1-like protein drp-1</t>
  </si>
  <si>
    <t>&gt;tr|Q8WQD7|Q8WQD7_CAEEL Mitochondrial import inner membrane translocase subunit Tim29 OS=Caenorhabditis elegans OX=6239 GN=CELE_R04F11.5 PE=1 SV=1</t>
  </si>
  <si>
    <t>Q8WQD7</t>
  </si>
  <si>
    <t>Mitochondrial import inner membrane translocase subunit Tim29</t>
  </si>
  <si>
    <t>&gt;tr|Q8WQE8|Q8WQE8_CAEEL Long Arms of the Bivalent protein OS=Caenorhabditis elegans OX=6239 GN=lab-2 PE=4 SV=2</t>
  </si>
  <si>
    <t>Q8WQE8</t>
  </si>
  <si>
    <t>lab-2</t>
  </si>
  <si>
    <t>Long Arms of the Bivalent protein</t>
  </si>
  <si>
    <t>&gt;tr|Q8WQF3|Q8WQF3_CAEEL UPF3 domain-containing protein OS=Caenorhabditis elegans OX=6239 GN=smg-4 PE=1 SV=2</t>
  </si>
  <si>
    <t>Q8WQF3</t>
  </si>
  <si>
    <t>smg-4</t>
  </si>
  <si>
    <t>UPF3 domain-containing protein</t>
  </si>
  <si>
    <t>&gt;sp|Q8WQG9|JNK1_CAEEL Stress-activated protein kinase jnk-1 OS=Caenorhabditis elegans OX=6239 GN=jnk-1 PE=1 SV=2</t>
  </si>
  <si>
    <t>Q8WQG9</t>
  </si>
  <si>
    <t>jnk-1</t>
  </si>
  <si>
    <t>Stress-activated protein kinase jnk-1</t>
  </si>
  <si>
    <t>&gt;sp|Q8WQL7|MBK1_CAEEL Dual specificity tyrosine-phosphorylation-regulated kinase mbk-1 OS=Caenorhabditis elegans OX=6239 GN=mbk-1 PE=1 SV=1</t>
  </si>
  <si>
    <t>Q8WQL7</t>
  </si>
  <si>
    <t>mbk-1</t>
  </si>
  <si>
    <t>Dual specificity tyrosine-phosphorylation-regulated kinase mbk-1</t>
  </si>
  <si>
    <t>&gt;sp|Q8WR51|OFUT2_CAEEL GDP-fucose protein O-fucosyltransferase 2 OS=Caenorhabditis elegans OX=6239 GN=pad-2 PE=1 SV=1</t>
  </si>
  <si>
    <t>Q8WR51</t>
  </si>
  <si>
    <t>pad-2</t>
  </si>
  <si>
    <t>GDP-fucose protein O-fucosyltransferase 2</t>
  </si>
  <si>
    <t>&gt;tr|Q8WSL9|Q8WSL9_CAEEL dolichyl-phosphate beta-glucosyltransferase OS=Caenorhabditis elegans OX=6239 GN=algn-5 PE=1 SV=1</t>
  </si>
  <si>
    <t>Q8WSL9</t>
  </si>
  <si>
    <t>algn-5</t>
  </si>
  <si>
    <t>dolichyl-phosphate beta-glucosyltransferase</t>
  </si>
  <si>
    <t>&gt;sp|Q8WT44|UBPH_CAEEL Ubiquitin carboxyl-terminal hydrolase cyk-3 OS=Caenorhabditis elegans OX=6239 GN=cyk-3 PE=1 SV=1</t>
  </si>
  <si>
    <t>Q8WT44</t>
  </si>
  <si>
    <t>cyk-3</t>
  </si>
  <si>
    <t>Ubiquitin carboxyl-terminal hydrolase cyk-3</t>
  </si>
  <si>
    <t>&gt;sp|Q8WTJ4|UBXN6_CAEEL UBX domain-containing protein 6 OS=Caenorhabditis elegans OX=6239 GN=ubxn-6 PE=1 SV=2</t>
  </si>
  <si>
    <t>Q8WTJ4</t>
  </si>
  <si>
    <t>ubxn-6</t>
  </si>
  <si>
    <t>UBX domain-containing protein 6</t>
  </si>
  <si>
    <t>&gt;tr|Q8WTL6|Q8WTL6_CAEEL N-alpha-acetyltransferase 16, NatA auxiliary subunit OS=Caenorhabditis elegans OX=6239 GN=hpo-29 PE=1 SV=2</t>
  </si>
  <si>
    <t>Q8WTL6</t>
  </si>
  <si>
    <t>hpo-29</t>
  </si>
  <si>
    <t>N-alpha-acetyltransferase 16, NatA auxiliary subunit</t>
  </si>
  <si>
    <t>&gt;sp|Q8WTM6|ARPC2_CAEEL Probable actin-related protein 2/3 complex subunit 2 OS=Caenorhabditis elegans OX=6239 GN=arx-4 PE=1 SV=1</t>
  </si>
  <si>
    <t>Q8WTM6</t>
  </si>
  <si>
    <t>arx-4</t>
  </si>
  <si>
    <t>Probable actin-related protein 2/3 complex subunit 2</t>
  </si>
  <si>
    <t>&gt;tr|Q93168|Q93168_CAEEL Activator of Hsp90 ATPase AHSA1-like N-terminal domain-containing protein OS=Caenorhabditis elegans OX=6239 GN=ahsa-1 PE=1 SV=1</t>
  </si>
  <si>
    <t>Q93168</t>
  </si>
  <si>
    <t>ahsa-1</t>
  </si>
  <si>
    <t>Activator of Hsp90 ATPase AHSA1-like N-terminal domain-containing protein</t>
  </si>
  <si>
    <t>&gt;sp|Q93169|MTNA_CAEEL Methylthioribose-1-phosphate isomerase OS=Caenorhabditis elegans OX=6239 GN=C01G10.9 PE=3 SV=1</t>
  </si>
  <si>
    <t>Q93169</t>
  </si>
  <si>
    <t>C01G10.9</t>
  </si>
  <si>
    <t>Methylthioribose-1-phosphate isomerase</t>
  </si>
  <si>
    <t>&gt;sp|Q93170|OSGP2_CAEEL Probable tRNA N6-adenosine threonylcarbamoyltransferase, mitochondrial OS=Caenorhabditis elegans OX=6239 GN=osgl-1 PE=1 SV=2</t>
  </si>
  <si>
    <t>Q93170</t>
  </si>
  <si>
    <t>osgl-1</t>
  </si>
  <si>
    <t>Probable tRNA N6-adenosine threonylcarbamoyltransferase, mitochondrial</t>
  </si>
  <si>
    <t>&gt;tr|Q93203|Q93203_CAEEL ANK_REP_REGION domain-containing protein OS=Caenorhabditis elegans OX=6239 GN=C11E4.6 PE=1 SV=2</t>
  </si>
  <si>
    <t>Q93203</t>
  </si>
  <si>
    <t>C11E4.6</t>
  </si>
  <si>
    <t>&gt;tr|Q93233|Q93233_CAEEL RRM domain-containing protein OS=Caenorhabditis elegans OX=6239 GN=pabp-2 PE=1 SV=1</t>
  </si>
  <si>
    <t>Q93233</t>
  </si>
  <si>
    <t>pabp-2</t>
  </si>
  <si>
    <t>&gt;sp|Q93235|AT1B1_CAEEL Sodium/potassium-transporting ATPase subunit beta-1 OS=Caenorhabditis elegans OX=6239 GN=nkb-1 PE=1 SV=1</t>
  </si>
  <si>
    <t>Q93235</t>
  </si>
  <si>
    <t>nkb-1</t>
  </si>
  <si>
    <t>Sodium/potassium-transporting ATPase subunit beta-1</t>
  </si>
  <si>
    <t>&gt;tr|Q93242|Q93242_CAEEL UDP-glucuronosyltransferase OS=Caenorhabditis elegans OX=6239 GN=ugt-23 PE=1 SV=1</t>
  </si>
  <si>
    <t>Q93242</t>
  </si>
  <si>
    <t>ugt-23</t>
  </si>
  <si>
    <t>&gt;sp|Q93243|NAS37_CAEEL Zinc metalloproteinase nas-37 OS=Caenorhabditis elegans OX=6239 GN=nas-37 PE=1 SV=2</t>
  </si>
  <si>
    <t>Q93243</t>
  </si>
  <si>
    <t>nas-37</t>
  </si>
  <si>
    <t>Zinc metalloproteinase nas-37</t>
  </si>
  <si>
    <t>&gt;sp|Q93244|CYSK1_CAEEL Cysteine synthase 1 OS=Caenorhabditis elegans OX=6239 GN=cysl-1 PE=1 SV=2</t>
  </si>
  <si>
    <t>Q93244</t>
  </si>
  <si>
    <t>cysl-1</t>
  </si>
  <si>
    <t>Cysteine synthase 1</t>
  </si>
  <si>
    <t>&gt;tr|Q93291|Q93291_CAEEL NAD-dependent epimerase/dehydratase domain-containing protein OS=Caenorhabditis elegans OX=6239 GN=C27D8.4 PE=1 SV=2</t>
  </si>
  <si>
    <t>Q93291</t>
  </si>
  <si>
    <t>C27D8.4</t>
  </si>
  <si>
    <t>&gt;tr|Q93338|Q93338_CAEEL DNA-directed RNA polymerase RpoA/D/Rpb3-type domain-containing protein OS=Caenorhabditis elegans OX=6239 GN=rpb-3 PE=1 SV=2</t>
  </si>
  <si>
    <t>Q93338</t>
  </si>
  <si>
    <t>rpb-3</t>
  </si>
  <si>
    <t>DNA-directed RNA polymerase RpoA/D/Rpb3-type domain-containing protein</t>
  </si>
  <si>
    <t>&gt;sp|Q93341|DYR_CAEEL Putative dihydrofolate reductase OS=Caenorhabditis elegans OX=6239 GN=dhfr-1 PE=3 SV=1</t>
  </si>
  <si>
    <t>Q93341</t>
  </si>
  <si>
    <t>dhfr-1</t>
  </si>
  <si>
    <t>Putative dihydrofolate reductase</t>
  </si>
  <si>
    <t>&gt;sp|Q93353|IDH3B_CAEEL Probable isocitrate dehydrogenase [NAD] subunit beta, mitochondrial OS=Caenorhabditis elegans OX=6239 GN=idhb-1 PE=3 SV=1</t>
  </si>
  <si>
    <t>Q93353</t>
  </si>
  <si>
    <t>idhb-1</t>
  </si>
  <si>
    <t>Probable isocitrate dehydrogenase [NAD] subunit beta, mitochondrial</t>
  </si>
  <si>
    <t>&gt;sp|Q93367|MINA1_CAEEL Messenger RNA-binding inhibitor of apoptosis 1 OS=Caenorhabditis elegans OX=6239 GN=mina-1 PE=1 SV=2</t>
  </si>
  <si>
    <t>Q93367</t>
  </si>
  <si>
    <t>mina-1</t>
  </si>
  <si>
    <t>Messenger RNA-binding inhibitor of apoptosis 1</t>
  </si>
  <si>
    <t>&gt;tr|Q93368|Q93368_CAEEL SET domain-containing protein OS=Caenorhabditis elegans OX=6239 GN=set-32 PE=1 SV=2;&gt;tr|Q966C5|Q966C5_CAEEL SET domain-containing protein OS=Caenorhabditis elegans OX=6239 GN=set-21 PE=4 SV=2</t>
  </si>
  <si>
    <t>Q93368;Q966C5</t>
  </si>
  <si>
    <t>set-32;set-21</t>
  </si>
  <si>
    <t>Q93368</t>
  </si>
  <si>
    <t>&gt;tr|Q93382|Q93382_CAEEL RNA helicase OS=Caenorhabditis elegans OX=6239 GN=C46F11.4 PE=1 SV=2</t>
  </si>
  <si>
    <t>Q93382</t>
  </si>
  <si>
    <t>C46F11.4</t>
  </si>
  <si>
    <t>&gt;tr|Q93410|Q93410_CAEEL TPR_REGION domain-containing protein OS=Caenorhabditis elegans OX=6239 GN=CELE_D2005.4 PE=1 SV=3</t>
  </si>
  <si>
    <t>Q93410</t>
  </si>
  <si>
    <t>&gt;tr|Q93411|Q93411_CAEEL MARVEL domain-containing protein OS=Caenorhabditis elegans OX=6239 GN=CELE_D2005.6 PE=4 SV=2</t>
  </si>
  <si>
    <t>Q93411</t>
  </si>
  <si>
    <t>MARVEL domain-containing protein</t>
  </si>
  <si>
    <t>&gt;tr|Q93413|Q93413_CAEEL Helicase ATP-binding domain-containing protein OS=Caenorhabditis elegans OX=6239 GN=drh-3 PE=1 SV=3</t>
  </si>
  <si>
    <t>Q93413</t>
  </si>
  <si>
    <t>drh-3</t>
  </si>
  <si>
    <t>Helicase ATP-binding domain-containing protein</t>
  </si>
  <si>
    <t>&gt;sp|Q93425|RT05_CAEEL Small ribosomal subunit protein uS5m OS=Caenorhabditis elegans OX=6239 GN=mrps-5 PE=3 SV=3</t>
  </si>
  <si>
    <t>Q93425</t>
  </si>
  <si>
    <t>mrps-5</t>
  </si>
  <si>
    <t>Small ribosomal subunit protein uS5m</t>
  </si>
  <si>
    <t>&gt;sp|Q93442|MED13_CAEEL Mediator of RNA polymerase II transcription subunit 13 OS=Caenorhabditis elegans OX=6239 GN=let-19 PE=1 SV=3</t>
  </si>
  <si>
    <t>Q93442</t>
  </si>
  <si>
    <t>let-19</t>
  </si>
  <si>
    <t>Mediator of RNA polymerase II transcription subunit 13</t>
  </si>
  <si>
    <t>&gt;tr|Q93456|Q93456_CAEEL ERCC1-like central domain-containing protein OS=Caenorhabditis elegans OX=6239 GN=ercc-1 PE=3 SV=2</t>
  </si>
  <si>
    <t>Q93456</t>
  </si>
  <si>
    <t>ercc-1</t>
  </si>
  <si>
    <t>ERCC1-like central domain-containing protein</t>
  </si>
  <si>
    <t>&gt;sp|Q93459|NUBP1_CAEEL Cytosolic Fe-S cluster assembly factor NUBP1 homolog OS=Caenorhabditis elegans OX=6239 GN=nubp-1 PE=2 SV=2</t>
  </si>
  <si>
    <t>Q93459</t>
  </si>
  <si>
    <t>nubp-1</t>
  </si>
  <si>
    <t>Cytosolic Fe-S cluster assembly factor NUBP1 homolog</t>
  </si>
  <si>
    <t>&gt;tr|Q93520|Q93520_CAEEL AAA domain-containing protein OS=Caenorhabditis elegans OX=6239 GN=CELE_F16B12.6 PE=1 SV=2</t>
  </si>
  <si>
    <t>Q93520</t>
  </si>
  <si>
    <t>AAA domain-containing protein</t>
  </si>
  <si>
    <t>&gt;tr|Q93534|Q93534_CAEEL TBC1 domain family member 23 OS=Caenorhabditis elegans OX=6239 GN=tbc-1 PE=1 SV=2</t>
  </si>
  <si>
    <t>Q93534</t>
  </si>
  <si>
    <t>tbc-1</t>
  </si>
  <si>
    <t>TBC1 domain family member 23</t>
  </si>
  <si>
    <t>&gt;sp|Q93538|RB3GP_CAEEL Rab3 GTPase-activating protein catalytic subunit OS=Caenorhabditis elegans OX=6239 GN=rbg-1 PE=3 SV=1</t>
  </si>
  <si>
    <t>Q93538</t>
  </si>
  <si>
    <t>rbg-1</t>
  </si>
  <si>
    <t>Rab3 GTPase-activating protein catalytic subunit</t>
  </si>
  <si>
    <t>&gt;tr|Q93540|Q93540_CAEEL Mitochondrial glutamate carrier 1 OS=Caenorhabditis elegans OX=6239 GN=slc-25a18.1 PE=1 SV=2</t>
  </si>
  <si>
    <t>Q93540</t>
  </si>
  <si>
    <t>slc-25a18.1</t>
  </si>
  <si>
    <t>Mitochondrial glutamate carrier 1</t>
  </si>
  <si>
    <t>&gt;sp|Q93561|DERL1_CAEEL Derlin-1 OS=Caenorhabditis elegans OX=6239 GN=cup-2 PE=2 SV=1</t>
  </si>
  <si>
    <t>Q93561</t>
  </si>
  <si>
    <t>cup-2</t>
  </si>
  <si>
    <t>Derlin-1</t>
  </si>
  <si>
    <t>&gt;tr|Q93568|Q93568_CAEEL MPN domain-containing protein OS=Caenorhabditis elegans OX=6239 GN=CELE_F25H2.4 PE=1 SV=1</t>
  </si>
  <si>
    <t>Q93568</t>
  </si>
  <si>
    <t>&gt;tr|Q93569|Q93569_CAEEL Ceramide transfer protein OS=Caenorhabditis elegans OX=6239 GN=CELE_F25H2.6 PE=1 SV=2</t>
  </si>
  <si>
    <t>Q93569</t>
  </si>
  <si>
    <t>Ceramide transfer protein</t>
  </si>
  <si>
    <t>&gt;sp|Q93571|UBC25_CAEEL Ubiquitin-conjugating enzyme E2 25 OS=Caenorhabditis elegans OX=6239 GN=ubc-25 PE=2 SV=2</t>
  </si>
  <si>
    <t>Q93571</t>
  </si>
  <si>
    <t>ubc-25</t>
  </si>
  <si>
    <t>Ubiquitin-conjugating enzyme E2 25</t>
  </si>
  <si>
    <t>&gt;sp|Q93572|RLA0_CAEEL Large ribosomal subunit protein uL10 OS=Caenorhabditis elegans OX=6239 GN=rla-0 PE=1 SV=3</t>
  </si>
  <si>
    <t>Q93572</t>
  </si>
  <si>
    <t>rla-0</t>
  </si>
  <si>
    <t>Large ribosomal subunit protein uL10</t>
  </si>
  <si>
    <t>&gt;sp|Q93573|TCTP_CAEEL Translationally-controlled tumor protein homolog OS=Caenorhabditis elegans OX=6239 GN=tct-1 PE=1 SV=1</t>
  </si>
  <si>
    <t>Q93573</t>
  </si>
  <si>
    <t>tct-1</t>
  </si>
  <si>
    <t>Translationally-controlled tumor protein homolog</t>
  </si>
  <si>
    <t>&gt;tr|Q93576|Q93576_CAEEL Nucleoside diphosphate kinase OS=Caenorhabditis elegans OX=6239 GN=ndk-1 PE=1 SV=1</t>
  </si>
  <si>
    <t>Q93576</t>
  </si>
  <si>
    <t>ndk-1</t>
  </si>
  <si>
    <t>Nucleoside diphosphate kinase</t>
  </si>
  <si>
    <t>&gt;sp|Q93615|ETFA_CAEEL Probable electron transfer flavoprotein subunit alpha, mitochondrial OS=Caenorhabditis elegans OX=6239 GN=F27D4.1 PE=3 SV=2</t>
  </si>
  <si>
    <t>Q93615</t>
  </si>
  <si>
    <t>F27D4.1</t>
  </si>
  <si>
    <t>Probable electron transfer flavoprotein subunit alpha, mitochondrial</t>
  </si>
  <si>
    <t>&gt;tr|Q93616|Q93616_CAEEL STI1 domain-containing protein OS=Caenorhabditis elegans OX=6239 GN=lsy-22 PE=1 SV=3</t>
  </si>
  <si>
    <t>Q93616</t>
  </si>
  <si>
    <t>lsy-22</t>
  </si>
  <si>
    <t>&gt;sp|Q93618|ZC3HF_CAEEL Zinc finger CCCH domain-containing protein 15 homolog OS=Caenorhabditis elegans OX=6239 GN=F27D4.4 PE=3 SV=3</t>
  </si>
  <si>
    <t>Q93618</t>
  </si>
  <si>
    <t>F27D4.4</t>
  </si>
  <si>
    <t>Zinc finger CCCH domain-containing protein 15 homolog</t>
  </si>
  <si>
    <t>&gt;tr|Q93619|Q93619_CAEEL 3-methyl-2-oxobutanoate dehydrogenase (2-methylpropanoyl-transferring) OS=Caenorhabditis elegans OX=6239 GN=bckd-1b PE=1 SV=1</t>
  </si>
  <si>
    <t>Q93619</t>
  </si>
  <si>
    <t>bckd-1b</t>
  </si>
  <si>
    <t>3-methyl-2-oxobutanoate dehydrogenase (2-methylpropanoyl-transferring)</t>
  </si>
  <si>
    <t>&gt;tr|Q93638|Q93638_CAEEL PIN domain-containing protein OS=Caenorhabditis elegans OX=6239 GN=CELE_F30A10.9 PE=1 SV=3</t>
  </si>
  <si>
    <t>Q93638</t>
  </si>
  <si>
    <t>PIN domain-containing protein</t>
  </si>
  <si>
    <t>&gt;tr|Q93649|Q93649_CAEEL RING-type domain-containing protein OS=Caenorhabditis elegans OX=6239 GN=CELE_F30F8.1 PE=1 SV=1</t>
  </si>
  <si>
    <t>Q93649</t>
  </si>
  <si>
    <t>&gt;sp|Q93714|IDH3A_CAEEL Probable isocitrate dehydrogenase [NAD] subunit alpha, mitochondrial OS=Caenorhabditis elegans OX=6239 GN=idha-1 PE=3 SV=3</t>
  </si>
  <si>
    <t>Q93714</t>
  </si>
  <si>
    <t>idha-1</t>
  </si>
  <si>
    <t>Probable isocitrate dehydrogenase [NAD] subunit alpha, mitochondrial</t>
  </si>
  <si>
    <t>&gt;tr|Q93717|Q93717_CAEEL Mitochondrial coenzyme A transporter SLC25A42 OS=Caenorhabditis elegans OX=6239 GN=slc-25a42 PE=3 SV=1</t>
  </si>
  <si>
    <t>Q93717</t>
  </si>
  <si>
    <t>slc-25a42</t>
  </si>
  <si>
    <t>Mitochondrial coenzyme A transporter SLC25A42</t>
  </si>
  <si>
    <t>&gt;tr|Q93718|Q93718_CAEEL PWWP domain-containing protein OS=Caenorhabditis elegans OX=6239 GN=CELE_F43G9.4 PE=1 SV=1</t>
  </si>
  <si>
    <t>Q93718</t>
  </si>
  <si>
    <t>PWWP domain-containing protein</t>
  </si>
  <si>
    <t>&gt;sp|Q93725|NEDD8_CAEEL NEDD8 OS=Caenorhabditis elegans OX=6239 GN=ned-8 PE=1 SV=1</t>
  </si>
  <si>
    <t>Q93725</t>
  </si>
  <si>
    <t>ned-8</t>
  </si>
  <si>
    <t>NEDD8</t>
  </si>
  <si>
    <t>&gt;tr|Q93726|Q93726_CAEEL PB1 domain-containing protein OS=Caenorhabditis elegans OX=6239 GN=hpo-35 PE=1 SV=4</t>
  </si>
  <si>
    <t>Q93726</t>
  </si>
  <si>
    <t>hpo-35</t>
  </si>
  <si>
    <t>&gt;tr|Q93758|Q93758_CAEEL WD_REPEATS_REGION domain-containing protein OS=Caenorhabditis elegans OX=6239 GN=swan-1 PE=1 SV=1</t>
  </si>
  <si>
    <t>Q93758</t>
  </si>
  <si>
    <t>swan-1</t>
  </si>
  <si>
    <t>&gt;tr|Q93759|Q93759_CAEEL WD_REPEATS_REGION domain-containing protein OS=Caenorhabditis elegans OX=6239 GN=swan-2 PE=1 SV=2</t>
  </si>
  <si>
    <t>Q93759</t>
  </si>
  <si>
    <t>swan-2</t>
  </si>
  <si>
    <t>&gt;sp|Q93761|YXEK_CAEEL Uncharacterized oxidoreductase F53C11.3 OS=Caenorhabditis elegans OX=6239 GN=F53C11.3 PE=3 SV=1</t>
  </si>
  <si>
    <t>Q93761</t>
  </si>
  <si>
    <t>F53C11.3</t>
  </si>
  <si>
    <t>Uncharacterized oxidoreductase F53C11.3</t>
  </si>
  <si>
    <t>&gt;tr|Q93763|Q93763_CAEEL Zf-C3H1 domain-containing protein OS=Caenorhabditis elegans OX=6239 GN=CELE_F53C11.5 PE=1 SV=2</t>
  </si>
  <si>
    <t>Q93763</t>
  </si>
  <si>
    <t>Zf-C3H1 domain-containing protein</t>
  </si>
  <si>
    <t>&gt;tr|Q93805|Q93805_CAEEL Transthyretin-like family protein OS=Caenorhabditis elegans OX=6239 GN=ttr-31 PE=1 SV=1</t>
  </si>
  <si>
    <t>Q93805</t>
  </si>
  <si>
    <t>ttr-31</t>
  </si>
  <si>
    <t>&gt;tr|Q93831|Q93831_CAEEL NADH dehydrogenase [ubiquinone] 1 beta subcomplex subunit 10 OS=Caenorhabditis elegans OX=6239 GN=ndub-10 PE=1 SV=1</t>
  </si>
  <si>
    <t>Q93831</t>
  </si>
  <si>
    <t>ndub-10</t>
  </si>
  <si>
    <t>NADH dehydrogenase [ubiquinone] 1 beta subcomplex subunit 10</t>
  </si>
  <si>
    <t>&gt;tr|Q93839|Q93839_CAEEL Acyl-coenzyme A oxidase OS=Caenorhabditis elegans OX=6239 GN=acox-1.6 PE=1 SV=2</t>
  </si>
  <si>
    <t>Q93839</t>
  </si>
  <si>
    <t>acox-1.6</t>
  </si>
  <si>
    <t>Acyl-coenzyme A oxidase</t>
  </si>
  <si>
    <t>&gt;tr|Q93840|Q93840_CAEEL G_PROTEIN_RECEP_F1_2 domain-containing protein OS=Caenorhabditis elegans OX=6239 GN=CELE_F59F4.3 PE=1 SV=3</t>
  </si>
  <si>
    <t>Q93840</t>
  </si>
  <si>
    <t>G_PROTEIN_RECEP_F1_2 domain-containing protein</t>
  </si>
  <si>
    <t>&gt;sp|Q93841|PLC1_CAEEL Putative 1-acyl-sn-glycerol-3-phosphate acyltransferase acl-1 OS=Caenorhabditis elegans OX=6239 GN=acl-1 PE=3 SV=2</t>
  </si>
  <si>
    <t>Q93841</t>
  </si>
  <si>
    <t>acl-1</t>
  </si>
  <si>
    <t>Putative 1-acyl-sn-glycerol-3-phosphate acyltransferase acl-1</t>
  </si>
  <si>
    <t>&gt;tr|Q93871|Q93871_CAEEL Equilibrative nucleoside transporter 3 OS=Caenorhabditis elegans OX=6239 GN=ent-2 PE=1 SV=1</t>
  </si>
  <si>
    <t>Q93871</t>
  </si>
  <si>
    <t>ent-2</t>
  </si>
  <si>
    <t>Equilibrative nucleoside transporter 3</t>
  </si>
  <si>
    <t>&gt;sp|Q93873|NDUS2_CAEEL Probable NADH dehydrogenase [ubiquinone] iron-sulfur protein 2, mitochondrial OS=Caenorhabditis elegans OX=6239 GN=gas-1 PE=3 SV=2</t>
  </si>
  <si>
    <t>Q93873</t>
  </si>
  <si>
    <t>gas-1</t>
  </si>
  <si>
    <t>Probable NADH dehydrogenase [ubiquinone] iron-sulfur protein 2, mitochondrial</t>
  </si>
  <si>
    <t>&gt;tr|Q93874|Q93874_CAEEL Ras-related protein Rab-14 OS=Caenorhabditis elegans OX=6239 GN=rab-14 PE=1 SV=1</t>
  </si>
  <si>
    <t>Q93874</t>
  </si>
  <si>
    <t>rab-14</t>
  </si>
  <si>
    <t>Ras-related protein Rab-14</t>
  </si>
  <si>
    <t>&gt;tr|Q93878|Q93878_CAEEL Endoplasmic reticulum-Golgi intermediate compartment protein 3 OS=Caenorhabditis elegans OX=6239 GN=erv-46 PE=1 SV=1</t>
  </si>
  <si>
    <t>Q93878</t>
  </si>
  <si>
    <t>erv-46</t>
  </si>
  <si>
    <t>Endoplasmic reticulum-Golgi intermediate compartment protein 3</t>
  </si>
  <si>
    <t>&gt;sp|Q93890|SRF3_CAEEL UDP-galactose/UDP-N-acetylglucosamine transporter srf-3 OS=Caenorhabditis elegans OX=6239 GN=srf-3 PE=1 SV=5</t>
  </si>
  <si>
    <t>Q93890</t>
  </si>
  <si>
    <t>srf-3</t>
  </si>
  <si>
    <t>UDP-galactose/UDP-N-acetylglucosamine transporter srf-3</t>
  </si>
  <si>
    <t>&gt;tr|Q93896|Q93896_CAEEL Major facilitator superfamily (MFS) profile domain-containing protein OS=Caenorhabditis elegans OX=6239 GN=mct-3 PE=1 SV=1</t>
  </si>
  <si>
    <t>Q93896</t>
  </si>
  <si>
    <t>mct-3</t>
  </si>
  <si>
    <t>&gt;sp|Q93903|GFI3_CAEEL Protein gfi-3 OS=Caenorhabditis elegans OX=6239 GN=gfi-3 PE=2 SV=1</t>
  </si>
  <si>
    <t>Q93903</t>
  </si>
  <si>
    <t>gfi-3</t>
  </si>
  <si>
    <t>Protein gfi-3</t>
  </si>
  <si>
    <t>&gt;tr|Q93930|Q93930_CAEEL Peroxisomal membrane protein PEX14 OS=Caenorhabditis elegans OX=6239 GN=prx-14 PE=1 SV=1</t>
  </si>
  <si>
    <t>Q93930</t>
  </si>
  <si>
    <t>prx-14</t>
  </si>
  <si>
    <t>Peroxisomal membrane protein PEX14</t>
  </si>
  <si>
    <t>&gt;tr|Q93934|Q93934_CAEEL Adenosine kinase OS=Caenorhabditis elegans OX=6239 GN=adk-1 PE=1 SV=1</t>
  </si>
  <si>
    <t>Q93934</t>
  </si>
  <si>
    <t>adk-1</t>
  </si>
  <si>
    <t>Adenosine kinase</t>
  </si>
  <si>
    <t>&gt;tr|Q93968|Q93968_CAEEL L-serine ammonia-lyase OS=Caenorhabditis elegans OX=6239 GN=serr-1 PE=1 SV=1</t>
  </si>
  <si>
    <t>Q93968</t>
  </si>
  <si>
    <t>serr-1</t>
  </si>
  <si>
    <t>L-serine ammonia-lyase</t>
  </si>
  <si>
    <t>&gt;sp|Q93971|TRPG_CAEEL Transient receptor potential channel OS=Caenorhabditis elegans OX=6239 GN=gon-2 PE=1 SV=4</t>
  </si>
  <si>
    <t>Q93971</t>
  </si>
  <si>
    <t>gon-2</t>
  </si>
  <si>
    <t>Transient receptor potential channel</t>
  </si>
  <si>
    <t>&gt;tr|Q94010|Q94010_CAEEL Vacuolar protein sorting-associated protein 13 OS=Caenorhabditis elegans OX=6239 GN=CELE_T08G11.1 PE=1 SV=1</t>
  </si>
  <si>
    <t>Q94010</t>
  </si>
  <si>
    <t>Vacuolar protein sorting-associated protein 13</t>
  </si>
  <si>
    <t>&gt;tr|Q94013|Q94013_CAEEL Trimethylguanosine synthase OS=Caenorhabditis elegans OX=6239 GN=tgs-1 PE=1 SV=2</t>
  </si>
  <si>
    <t>Q94013</t>
  </si>
  <si>
    <t>tgs-1</t>
  </si>
  <si>
    <t>Trimethylguanosine synthase</t>
  </si>
  <si>
    <t>&gt;tr|Q94049|Q94049_CAEEL DUF4210 domain-containing protein OS=Caenorhabditis elegans OX=6239 GN=CELE_T13F2.6 PE=1 SV=1</t>
  </si>
  <si>
    <t>Q94049</t>
  </si>
  <si>
    <t>DUF4210 domain-containing protein</t>
  </si>
  <si>
    <t>&gt;tr|Q94050|Q94050_CAEEL Small Nuclear RNA (snRNA) Associated protein OS=Caenorhabditis elegans OX=6239 GN=sna-2 PE=1 SV=1</t>
  </si>
  <si>
    <t>Q94050</t>
  </si>
  <si>
    <t>sna-2</t>
  </si>
  <si>
    <t>Small Nuclear RNA (snRNA) Associated protein</t>
  </si>
  <si>
    <t>&gt;sp|Q94051|CAV1_CAEEL Caveolin-1 OS=Caenorhabditis elegans OX=6239 GN=cav-1 PE=2 SV=1</t>
  </si>
  <si>
    <t>Q94051</t>
  </si>
  <si>
    <t>cav-1</t>
  </si>
  <si>
    <t>Caveolin-1</t>
  </si>
  <si>
    <t>&gt;sp|Q94053|MSP78_CAEEL Major sperm protein 78 OS=Caenorhabditis elegans OX=6239 GN=msp-78 PE=2 SV=3</t>
  </si>
  <si>
    <t>Q94053</t>
  </si>
  <si>
    <t>msp-78</t>
  </si>
  <si>
    <t>Major sperm protein 78</t>
  </si>
  <si>
    <t>&gt;sp|Q94071|LIPB_CAEEL Liprin-beta homolog OS=Caenorhabditis elegans OX=6239 GN=hlb-1 PE=2 SV=5</t>
  </si>
  <si>
    <t>Q94071</t>
  </si>
  <si>
    <t>hlb-1</t>
  </si>
  <si>
    <t>Liprin-beta homolog</t>
  </si>
  <si>
    <t>&gt;sp|Q94125|AGE1_CAEEL Phosphatidylinositol 3-kinase age-1 OS=Caenorhabditis elegans OX=6239 GN=age-1 PE=1 SV=6</t>
  </si>
  <si>
    <t>Q94125</t>
  </si>
  <si>
    <t>age-1</t>
  </si>
  <si>
    <t>Phosphatidylinositol 3-kinase age-1</t>
  </si>
  <si>
    <t>&gt;sp|Q94131|PIE1_CAEEL Pharynx and intestine in excess protein 1 OS=Caenorhabditis elegans OX=6239 GN=pie-1 PE=1 SV=1</t>
  </si>
  <si>
    <t>Q94131</t>
  </si>
  <si>
    <t>pie-1</t>
  </si>
  <si>
    <t>Pharynx and intestine in excess protein 1</t>
  </si>
  <si>
    <t>&gt;sp|Q94148|RAB10_CAEEL Ras-related protein Rab-10 OS=Caenorhabditis elegans OX=6239 GN=rab-10 PE=1 SV=2</t>
  </si>
  <si>
    <t>Q94148</t>
  </si>
  <si>
    <t>rab-10</t>
  </si>
  <si>
    <t>Ras-related protein Rab-10</t>
  </si>
  <si>
    <t>&gt;sp|Q94177|ADRL_CAEEL Progestin and adipoQ receptor-like protein 1 OS=Caenorhabditis elegans OX=6239 GN=paqr-1 PE=3 SV=2</t>
  </si>
  <si>
    <t>Q94177</t>
  </si>
  <si>
    <t>paqr-1</t>
  </si>
  <si>
    <t>Progestin and adipoQ receptor-like protein 1</t>
  </si>
  <si>
    <t>&gt;tr|Q94187|Q94187_CAEEL Alpha/beta hydrolase fold-3 domain-containing protein OS=Caenorhabditis elegans OX=6239 GN=CELE_F16F9.4 PE=1 SV=1</t>
  </si>
  <si>
    <t>Q94187</t>
  </si>
  <si>
    <t>Alpha/beta hydrolase fold-3 domain-containing protein</t>
  </si>
  <si>
    <t>&gt;tr|Q94216|Q94216_CAEEL DnaJ homolog subfamily C member 2 OS=Caenorhabditis elegans OX=6239 GN=dnj-11 PE=1 SV=1</t>
  </si>
  <si>
    <t>Q94216</t>
  </si>
  <si>
    <t>dnj-11</t>
  </si>
  <si>
    <t>DnaJ homolog subfamily C member 2</t>
  </si>
  <si>
    <t>&gt;sp|Q94218|UFSP_CAEEL Ufm1-specific protease OS=Caenorhabditis elegans OX=6239 GN=odr-8 PE=1 SV=1</t>
  </si>
  <si>
    <t>Q94218</t>
  </si>
  <si>
    <t>odr-8</t>
  </si>
  <si>
    <t>Ufm1-specific protease</t>
  </si>
  <si>
    <t>&gt;sp|Q94230|PLP1_CAEEL Transcriptional activator plp-1 OS=Caenorhabditis elegans OX=6239 GN=plp-1 PE=1 SV=1</t>
  </si>
  <si>
    <t>Q94230</t>
  </si>
  <si>
    <t>plp-1</t>
  </si>
  <si>
    <t>Transcriptional activator plp-1</t>
  </si>
  <si>
    <t>&gt;tr|Q94239|Q94239_CAEEL DRBM domain-containing protein OS=Caenorhabditis elegans OX=6239 GN=stau-1 PE=1 SV=1</t>
  </si>
  <si>
    <t>Q94239</t>
  </si>
  <si>
    <t>stau-1</t>
  </si>
  <si>
    <t>&gt;tr|Q94241|Q94241_CAEEL Vesicle-trafficking protein SEC22b OS=Caenorhabditis elegans OX=6239 GN=sec-22 PE=1 SV=2</t>
  </si>
  <si>
    <t>Q94241</t>
  </si>
  <si>
    <t>sec-22</t>
  </si>
  <si>
    <t>Vesicle-trafficking protein SEC22b</t>
  </si>
  <si>
    <t>&gt;sp|Q94251|DRE1_CAEEL F-box protein dre-1 OS=Caenorhabditis elegans OX=6239 GN=dre-1 PE=1 SV=3</t>
  </si>
  <si>
    <t>Q94251</t>
  </si>
  <si>
    <t>dre-1</t>
  </si>
  <si>
    <t>F-box protein dre-1</t>
  </si>
  <si>
    <t>&gt;sp|Q94261|EIF3M_CAEEL COP9/Signalosome and eIF3 complex-shared subunit 1 OS=Caenorhabditis elegans OX=6239 GN=cif-1 PE=1 SV=1</t>
  </si>
  <si>
    <t>Q94261</t>
  </si>
  <si>
    <t>cif-1</t>
  </si>
  <si>
    <t>COP9/Signalosome and eIF3 complex-shared subunit 1</t>
  </si>
  <si>
    <t>&gt;sp|Q94272|FAAA_CAEEL Fumarylacetoacetase OS=Caenorhabditis elegans OX=6239 GN=fah-1 PE=2 SV=1</t>
  </si>
  <si>
    <t>Q94272</t>
  </si>
  <si>
    <t>fah-1</t>
  </si>
  <si>
    <t>Fumarylacetoacetase</t>
  </si>
  <si>
    <t>&gt;tr|Q94285|Q94285_CAEEL Exonuclease domain-containing protein OS=Caenorhabditis elegans OX=6239 GN=CELE_M02B7.2 PE=4 SV=1</t>
  </si>
  <si>
    <t>Q94285</t>
  </si>
  <si>
    <t>&gt;tr|Q94287|Q94287_CAEEL SEC7 domain-containing protein OS=Caenorhabditis elegans OX=6239 GN=bris-1 PE=1 SV=3</t>
  </si>
  <si>
    <t>Q94287</t>
  </si>
  <si>
    <t>bris-1</t>
  </si>
  <si>
    <t>&gt;sp|Q94300|RL111_CAEEL Large ribosomal subunit protein uL5A OS=Caenorhabditis elegans OX=6239 GN=rpl-11.1 PE=3 SV=1</t>
  </si>
  <si>
    <t>Q94300</t>
  </si>
  <si>
    <t>rpl-11.1</t>
  </si>
  <si>
    <t>Large ribosomal subunit protein uL5A</t>
  </si>
  <si>
    <t>&gt;tr|Q94314|Q94314_CAEEL Flocculation protein FLO11-like OS=Caenorhabditis elegans OX=6239 GN=CELE_ZK154.5 PE=1 SV=2</t>
  </si>
  <si>
    <t>Q94314</t>
  </si>
  <si>
    <t>Flocculation protein FLO11-like</t>
  </si>
  <si>
    <t>&gt;sp|Q94360|NDUS7_CAEEL Probable NADH dehydrogenase [ubiquinone] iron-sulfur protein 7, mitochondrial OS=Caenorhabditis elegans OX=6239 GN=nduf-7 PE=3 SV=1</t>
  </si>
  <si>
    <t>Q94360</t>
  </si>
  <si>
    <t>nduf-7</t>
  </si>
  <si>
    <t>Probable NADH dehydrogenase [ubiquinone] iron-sulfur protein 7, mitochondrial</t>
  </si>
  <si>
    <t>&gt;sp|Q94361|GEI17_CAEEL E3 SUMO-protein ligase gei-17 OS=Caenorhabditis elegans OX=6239 GN=gei-17 PE=1 SV=4</t>
  </si>
  <si>
    <t>Q94361</t>
  </si>
  <si>
    <t>gei-17</t>
  </si>
  <si>
    <t>E3 SUMO-protein ligase gei-17</t>
  </si>
  <si>
    <t>&gt;sp|Q94392|NSF_CAEEL Vesicle-fusing ATPase OS=Caenorhabditis elegans OX=6239 GN=nsf-1 PE=1 SV=2</t>
  </si>
  <si>
    <t>Q94392</t>
  </si>
  <si>
    <t>nsf-1</t>
  </si>
  <si>
    <t>Vesicle-fusing ATPase</t>
  </si>
  <si>
    <t>&gt;sp|Q94402|NOP16_CAEEL Nucleolar protein 16 OS=Caenorhabditis elegans OX=6239 GN=nol-16 PE=3 SV=1</t>
  </si>
  <si>
    <t>Q94402</t>
  </si>
  <si>
    <t>nol-16</t>
  </si>
  <si>
    <t>&gt;tr|Q94416|Q94416_CAEEL tRNA (adenine(58)-N(1))-methyltransferase non-catalytic subunit TRM6 OS=Caenorhabditis elegans OX=6239 GN=trmt-6 PE=1 SV=3</t>
  </si>
  <si>
    <t>Q94416</t>
  </si>
  <si>
    <t>trmt-6</t>
  </si>
  <si>
    <t>tRNA (adenine(58)-N(1))-methyltransferase non-catalytic subunit TRM6</t>
  </si>
  <si>
    <t>&gt;sp|Q94420|MEL26_CAEEL Protein maternal effect lethal 26 OS=Caenorhabditis elegans OX=6239 GN=mel-26 PE=1 SV=2</t>
  </si>
  <si>
    <t>Q94420</t>
  </si>
  <si>
    <t>mel-26</t>
  </si>
  <si>
    <t>Protein maternal effect lethal 26</t>
  </si>
  <si>
    <t>&gt;sp|Q94986|RAB3_CAEEL Ras-related protein Rab-3 OS=Caenorhabditis elegans OX=6239 GN=rab-3 PE=1 SV=1</t>
  </si>
  <si>
    <t>Q94986</t>
  </si>
  <si>
    <t>rab-3</t>
  </si>
  <si>
    <t>Ras-related protein Rab-3</t>
  </si>
  <si>
    <t>&gt;sp|Q95005|PSA7_CAEEL Proteasome subunit alpha type-7 OS=Caenorhabditis elegans OX=6239 GN=pas-4 PE=1 SV=1</t>
  </si>
  <si>
    <t>Q95005</t>
  </si>
  <si>
    <t>pas-4</t>
  </si>
  <si>
    <t>Proteasome subunit alpha type-7</t>
  </si>
  <si>
    <t>&gt;sp|Q95008|PSA5_CAEEL Proteasome subunit alpha type-5 OS=Caenorhabditis elegans OX=6239 GN=pas-5 PE=1 SV=1</t>
  </si>
  <si>
    <t>Q95008</t>
  </si>
  <si>
    <t>pas-5</t>
  </si>
  <si>
    <t>Proteasome subunit alpha type-5</t>
  </si>
  <si>
    <t>&gt;tr|Q95PV7|Q95PV7_CAEEL TPR_REGION domain-containing protein OS=Caenorhabditis elegans OX=6239 GN=tftc-3 PE=1 SV=1</t>
  </si>
  <si>
    <t>Q95PV7</t>
  </si>
  <si>
    <t>tftc-3</t>
  </si>
  <si>
    <t>&gt;tr|Q95PW5|Q95PW5_CAEEL ApaG domain-containing protein OS=Caenorhabditis elegans OX=6239 GN=tag-307 PE=1 SV=2</t>
  </si>
  <si>
    <t>Q95PW5</t>
  </si>
  <si>
    <t>tag-307</t>
  </si>
  <si>
    <t>ApaG domain-containing protein</t>
  </si>
  <si>
    <t>&gt;tr|Q95PY4|Q95PY4_CAEEL 28S ribosomal protein S18a, mitochondrial OS=Caenorhabditis elegans OX=6239 GN=mrps-18a PE=1 SV=1</t>
  </si>
  <si>
    <t>Q95PY4</t>
  </si>
  <si>
    <t>mrps-18a</t>
  </si>
  <si>
    <t>28S ribosomal protein S18a, mitochondrial</t>
  </si>
  <si>
    <t>&gt;tr|Q95PY8|Q95PY8_CAEEL Cleavage and polyadenylation specificity factor subunit 3 OS=Caenorhabditis elegans OX=6239 GN=cpsf-3 PE=1 SV=2</t>
  </si>
  <si>
    <t>Q95PY8</t>
  </si>
  <si>
    <t>cpsf-3</t>
  </si>
  <si>
    <t>Cleavage and polyadenylation specificity factor subunit 3</t>
  </si>
  <si>
    <t>&gt;tr|Q95PZ1|Q95PZ1_CAEEL KASH (Klarsicht/ANC-1/Syne Homology) Domain Protein OS=Caenorhabditis elegans OX=6239 GN=kdp-1 PE=1 SV=1</t>
  </si>
  <si>
    <t>Q95PZ1</t>
  </si>
  <si>
    <t>kdp-1</t>
  </si>
  <si>
    <t>KASH (Klarsicht/ANC-1/Syne Homology) Domain Protein</t>
  </si>
  <si>
    <t>&gt;tr|Q95PZ4|Q95PZ4_CAEEL General transcription and DNA repair factor IIH helicase/translocase subunit XPB OS=Caenorhabditis elegans OX=6239 GN=xpb-1 PE=1 SV=1</t>
  </si>
  <si>
    <t>Q95PZ4</t>
  </si>
  <si>
    <t>xpb-1</t>
  </si>
  <si>
    <t>General transcription and DNA repair factor IIH helicase/translocase subunit XPB</t>
  </si>
  <si>
    <t>&gt;tr|Q95PZ5|Q95PZ5_CAEEL MARVEL domain-containing protein OS=Caenorhabditis elegans OX=6239 GN=CELE_Y66D12A.24 PE=4 SV=2</t>
  </si>
  <si>
    <t>Q95PZ5</t>
  </si>
  <si>
    <t>&gt;tr|Q95PZ6|Q95PZ6_CAEEL ArgoN domain-containing protein OS=Caenorhabditis elegans OX=6239 GN=CELE_Y66D12A.19 PE=1 SV=2</t>
  </si>
  <si>
    <t>Q95PZ6</t>
  </si>
  <si>
    <t>ArgoN domain-containing protein</t>
  </si>
  <si>
    <t>&gt;tr|Q95PZ7|Q95PZ7_CAEEL Proteasome activator complex subunit 3 OS=Caenorhabditis elegans OX=6239 GN=psme-3 PE=1 SV=1</t>
  </si>
  <si>
    <t>Q95PZ7</t>
  </si>
  <si>
    <t>psme-3</t>
  </si>
  <si>
    <t>Proteasome activator complex subunit 3</t>
  </si>
  <si>
    <t>&gt;sp|Q95Q00|SUCH1_CAEEL Suppressor of spindle checkpoint defect 1 OS=Caenorhabditis elegans OX=6239 GN=such-1 PE=1 SV=2</t>
  </si>
  <si>
    <t>Q95Q00</t>
  </si>
  <si>
    <t>such-1</t>
  </si>
  <si>
    <t>Suppressor of spindle checkpoint defect 1</t>
  </si>
  <si>
    <t>&gt;tr|Q95Q06|Q95Q06_CAEEL STING ER exit protein OS=Caenorhabditis elegans OX=6239 GN=CELE_Y66D12A.8 PE=1 SV=2</t>
  </si>
  <si>
    <t>Q95Q06</t>
  </si>
  <si>
    <t>STING ER exit protein</t>
  </si>
  <si>
    <t>&gt;tr|Q95Q08|Q95Q08_CAEEL Homeobox-cysteine loop-homeobox domain-containing protein OS=Caenorhabditis elegans OX=6239 GN=ceh-92 PE=1 SV=2</t>
  </si>
  <si>
    <t>Q95Q08</t>
  </si>
  <si>
    <t>ceh-92</t>
  </si>
  <si>
    <t>Homeobox-cysteine loop-homeobox domain-containing protein</t>
  </si>
  <si>
    <t>&gt;tr|Q95Q25|Q95Q25_CAEEL DNA repair protein RAD51 homolog OS=Caenorhabditis elegans OX=6239 GN=rad-51 PE=1 SV=1</t>
  </si>
  <si>
    <t>Q95Q25</t>
  </si>
  <si>
    <t>rad-51</t>
  </si>
  <si>
    <t>DNA repair protein RAD51 homolog</t>
  </si>
  <si>
    <t>&gt;sp|Q95Q34|RIOK2_CAEEL Serine/threonine-protein kinase RIO2 OS=Caenorhabditis elegans OX=6239 GN=riok-2 PE=2 SV=2</t>
  </si>
  <si>
    <t>Q95Q34</t>
  </si>
  <si>
    <t>riok-2</t>
  </si>
  <si>
    <t>Serine/threonine-protein kinase RIO2</t>
  </si>
  <si>
    <t>&gt;tr|Q95Q35|Q95Q35_CAEEL Exocyst component Exo84 C-terminal domain-containing protein OS=Caenorhabditis elegans OX=6239 GN=exoc-8 PE=1 SV=1</t>
  </si>
  <si>
    <t>Q95Q35</t>
  </si>
  <si>
    <t>exoc-8</t>
  </si>
  <si>
    <t>Exocyst component Exo84 C-terminal domain-containing protein</t>
  </si>
  <si>
    <t>&gt;tr|Q95Q68|Q95Q68_CAEEL Acyl-coenzyme A thioesterase 8 OS=Caenorhabditis elegans OX=6239 GN=C37H5.13 PE=1 SV=1</t>
  </si>
  <si>
    <t>Q95Q68</t>
  </si>
  <si>
    <t>C37H5.13</t>
  </si>
  <si>
    <t>Acyl-coenzyme A thioesterase 8</t>
  </si>
  <si>
    <t>&gt;sp|Q95Q89|SIR24_CAEEL NAD-dependent protein deacetylase sir-2.4 OS=Caenorhabditis elegans OX=6239 GN=sir-2.4 PE=3 SV=2</t>
  </si>
  <si>
    <t>Q95Q89</t>
  </si>
  <si>
    <t>sir-2.4</t>
  </si>
  <si>
    <t>NAD-dependent protein deacetylase sir-2.4</t>
  </si>
  <si>
    <t>&gt;sp|Q95Q95|TOR_CAEEL Target of rapamycin homolog OS=Caenorhabditis elegans OX=6239 GN=let-363 PE=2 SV=3</t>
  </si>
  <si>
    <t>Q95Q95</t>
  </si>
  <si>
    <t>let-363</t>
  </si>
  <si>
    <t>Target of rapamycin homolog</t>
  </si>
  <si>
    <t>&gt;sp|Q95Q98|JHD1_CAEEL JmjC domain-containing histone demethylation protein 1 OS=Caenorhabditis elegans OX=6239 GN=jhdm-1 PE=3 SV=2</t>
  </si>
  <si>
    <t>Q95Q98</t>
  </si>
  <si>
    <t>jhdm-1</t>
  </si>
  <si>
    <t>JmjC domain-containing histone demethylation protein 1</t>
  </si>
  <si>
    <t>&gt;tr|Q95QA3|Q95QA3_CAEEL Phosphofurin acidic cluster sorting protein 2 OS=Caenorhabditis elegans OX=6239 GN=pacs-1 PE=1 SV=1</t>
  </si>
  <si>
    <t>Q95QA3</t>
  </si>
  <si>
    <t>Phosphofurin acidic cluster sorting protein 2</t>
  </si>
  <si>
    <t>&gt;sp|Q95QA6|PAT12_CAEEL Protein pat-12 OS=Caenorhabditis elegans OX=6239 GN=pat-12 PE=1 SV=1</t>
  </si>
  <si>
    <t>Q95QA6</t>
  </si>
  <si>
    <t>pat-12</t>
  </si>
  <si>
    <t>Protein pat-12</t>
  </si>
  <si>
    <t>&gt;tr|Q95QB1|Q95QB1_CAEEL Lipid scramblase CLPTM1L OS=Caenorhabditis elegans OX=6239 GN=CELE_T13H5.8 PE=1 SV=1</t>
  </si>
  <si>
    <t>Q95QB1</t>
  </si>
  <si>
    <t>Lipid scramblase CLPTM1L</t>
  </si>
  <si>
    <t>&gt;tr|Q95QB7|Q95QB7_CAEEL DUF5683 domain-containing protein OS=Caenorhabditis elegans OX=6239 GN=CELE_R144.11 PE=1 SV=1</t>
  </si>
  <si>
    <t>Q95QB7</t>
  </si>
  <si>
    <t>DUF5683 domain-containing protein</t>
  </si>
  <si>
    <t>&gt;sp|Q95QC4|DCLK_CAEEL Serine/threonine-protein kinase zyg-8 OS=Caenorhabditis elegans OX=6239 GN=zyg-8 PE=1 SV=1</t>
  </si>
  <si>
    <t>Q95QC4</t>
  </si>
  <si>
    <t>zyg-8</t>
  </si>
  <si>
    <t>Serine/threonine-protein kinase zyg-8</t>
  </si>
  <si>
    <t>&gt;sp|Q95QD1|TM135_CAEEL Transmembrane protein 135 homolog OS=Caenorhabditis elegans OX=6239 GN=tmem-135 PE=2 SV=2</t>
  </si>
  <si>
    <t>Q95QD1</t>
  </si>
  <si>
    <t>tmem-135</t>
  </si>
  <si>
    <t>Transmembrane protein 135 homolog</t>
  </si>
  <si>
    <t>&gt;tr|Q95QD5|Q95QD5_CAEEL Cytochrome c oxidase assembly protein COX11, mitochondrial OS=Caenorhabditis elegans OX=6239 GN=cox-11 PE=1 SV=2</t>
  </si>
  <si>
    <t>Q95QD5</t>
  </si>
  <si>
    <t>cox-11</t>
  </si>
  <si>
    <t>Cytochrome c oxidase assembly protein COX11, mitochondrial</t>
  </si>
  <si>
    <t>&gt;tr|Q95QD9|Q95QD9_CAEEL Copper transport protein OS=Caenorhabditis elegans OX=6239 GN=CELE_F58G6.7 PE=1 SV=1</t>
  </si>
  <si>
    <t>Q95QD9</t>
  </si>
  <si>
    <t>&gt;tr|Q95QE8|Q95QE8_CAEEL N-terminal methionine N(alpha)-acetyltransferase NatE OS=Caenorhabditis elegans OX=6239 GN=CELE_F54E7.9 PE=4 SV=1</t>
  </si>
  <si>
    <t>Q95QE8</t>
  </si>
  <si>
    <t>&gt;sp|Q95QG8|FCP1_CAEEL RNA polymerase II subunit A C-terminal domain phosphatase OS=Caenorhabditis elegans OX=6239 GN=fcp-1 PE=1 SV=2</t>
  </si>
  <si>
    <t>Q95QG8</t>
  </si>
  <si>
    <t>fcp-1</t>
  </si>
  <si>
    <t>RNA polymerase II subunit A C-terminal domain phosphatase</t>
  </si>
  <si>
    <t>&gt;sp|Q95QI7|DAF3_CAEEL Smad protein daf-3 OS=Caenorhabditis elegans OX=6239 GN=daf-3 PE=1 SV=1</t>
  </si>
  <si>
    <t>Q95QI7</t>
  </si>
  <si>
    <t>daf-3</t>
  </si>
  <si>
    <t>Smad protein daf-3</t>
  </si>
  <si>
    <t>&gt;tr|Q95QK5|Q95QK5_CAEEL ALS/FTD Associated gene homolog OS=Caenorhabditis elegans OX=6239 GN=alfa-1 PE=1 SV=1</t>
  </si>
  <si>
    <t>Q95QK5</t>
  </si>
  <si>
    <t>alfa-1</t>
  </si>
  <si>
    <t>ALS/FTD Associated gene homolog</t>
  </si>
  <si>
    <t>&gt;tr|Q95QL2|Q95QL2_CAEEL Ribosomal protein L13 OS=Caenorhabditis elegans OX=6239 GN=mrpl-13 PE=1 SV=1</t>
  </si>
  <si>
    <t>Q95QL2</t>
  </si>
  <si>
    <t>mrpl-13</t>
  </si>
  <si>
    <t>Ribosomal protein L13</t>
  </si>
  <si>
    <t>&gt;tr|Q95QL3|Q95QL3_CAEEL RRM domain-containing protein OS=Caenorhabditis elegans OX=6239 GN=rbm-34 PE=1 SV=1</t>
  </si>
  <si>
    <t>Q95QL3</t>
  </si>
  <si>
    <t>rbm-34</t>
  </si>
  <si>
    <t>&gt;tr|Q95QN2|Q95QN2_CAEEL RNA helicase OS=Caenorhabditis elegans OX=6239 GN=ddx-23 PE=1 SV=1</t>
  </si>
  <si>
    <t>Q95QN2</t>
  </si>
  <si>
    <t>ddx-23</t>
  </si>
  <si>
    <t>&gt;sp|Q95QN6|BRAP2_CAEEL BRCA1-associated protein homolog 2 OS=Caenorhabditis elegans OX=6239 GN=brap-2 PE=3 SV=1</t>
  </si>
  <si>
    <t>Q95QN6</t>
  </si>
  <si>
    <t>brap-2</t>
  </si>
  <si>
    <t>BRCA1-associated protein homolog 2</t>
  </si>
  <si>
    <t>&gt;tr|Q95QQ1|Q95QQ1_CAEEL DnaJ homolog subfamily C member 16 OS=Caenorhabditis elegans OX=6239 GN=dnj-8 PE=1 SV=1</t>
  </si>
  <si>
    <t>Q95QQ1</t>
  </si>
  <si>
    <t>dnj-8</t>
  </si>
  <si>
    <t>DnaJ homolog subfamily C member 16</t>
  </si>
  <si>
    <t>&gt;tr|Q95QQ4|Q95QQ4_CAEEL Bifunctional purine biosynthesis protein ATIC OS=Caenorhabditis elegans OX=6239 GN=atic-1 PE=1 SV=3</t>
  </si>
  <si>
    <t>Q95QQ4</t>
  </si>
  <si>
    <t>atic-1</t>
  </si>
  <si>
    <t>Bifunctional purine biosynthesis protein ATIC</t>
  </si>
  <si>
    <t>&gt;tr|Q95QR2|Q95QR2_CAEEL Nuclear Hormone Receptor family OS=Caenorhabditis elegans OX=6239 GN=nhr-46 PE=3 SV=1</t>
  </si>
  <si>
    <t>Q95QR2</t>
  </si>
  <si>
    <t>nhr-46</t>
  </si>
  <si>
    <t>&gt;tr|Q95QR5|Q95QR5_CAEEL RRM domain-containing protein OS=Caenorhabditis elegans OX=6239 GN=hrpl-1 PE=1 SV=2</t>
  </si>
  <si>
    <t>Q95QR5</t>
  </si>
  <si>
    <t>hrpl-1</t>
  </si>
  <si>
    <t>&gt;tr|Q95QR7|Q95QR7_CAEEL DUF4440 domain-containing protein OS=Caenorhabditis elegans OX=6239 GN=C39D10.8 PE=1 SV=1</t>
  </si>
  <si>
    <t>Q95QR7</t>
  </si>
  <si>
    <t>C39D10.8</t>
  </si>
  <si>
    <t>&gt;tr|Q95QS4|Q95QS4_CAEEL rRNA-processing protein UTP23 homolog OS=Caenorhabditis elegans OX=6239 GN=C34E10.10 PE=1 SV=1</t>
  </si>
  <si>
    <t>Q95QS4</t>
  </si>
  <si>
    <t>C34E10.10</t>
  </si>
  <si>
    <t>rRNA-processing protein UTP23 homolog</t>
  </si>
  <si>
    <t>&gt;sp|Q95QU0|PCID2_CAEEL PCI domain-containing protein 2 homolog OS=Caenorhabditis elegans OX=6239 GN=C27F2.10 PE=3 SV=1</t>
  </si>
  <si>
    <t>Q95QU0</t>
  </si>
  <si>
    <t>C27F2.10</t>
  </si>
  <si>
    <t>PCI domain-containing protein 2 homolog</t>
  </si>
  <si>
    <t>&gt;sp|Q95QV8|TIAR1_CAEEL Cytotoxic granule-associated RNA binding protein tiar-1 OS=Caenorhabditis elegans OX=6239 GN=tiar-1 PE=1 SV=1</t>
  </si>
  <si>
    <t>Q95QV8</t>
  </si>
  <si>
    <t>tiar-1</t>
  </si>
  <si>
    <t>Cytotoxic granule-associated RNA binding protein tiar-1</t>
  </si>
  <si>
    <t>&gt;sp|Q95QW0|EIF3L_CAEEL Eukaryotic translation initiation factor 3 subunit L OS=Caenorhabditis elegans OX=6239 GN=eif-3.L PE=3 SV=1</t>
  </si>
  <si>
    <t>Q95QW0</t>
  </si>
  <si>
    <t>eif-3.L</t>
  </si>
  <si>
    <t>Eukaryotic translation initiation factor 3 subunit L</t>
  </si>
  <si>
    <t>&gt;sp|Q95QW4|CDF1_CAEEL Cation diffusion facilitator family protein 1 OS=Caenorhabditis elegans OX=6239 GN=cdf-1 PE=1 SV=1</t>
  </si>
  <si>
    <t>Q95QW4</t>
  </si>
  <si>
    <t>cdf-1</t>
  </si>
  <si>
    <t>Cation diffusion facilitator family protein 1</t>
  </si>
  <si>
    <t>&gt;tr|Q95QX5|Q95QX5_CAEEL TOM1-like protein 2 OS=Caenorhabditis elegans OX=6239 GN=C07A12.7 PE=1 SV=1</t>
  </si>
  <si>
    <t>Q95QX5</t>
  </si>
  <si>
    <t>C07A12.7</t>
  </si>
  <si>
    <t>TOM1-like protein 2</t>
  </si>
  <si>
    <t>&gt;sp|Q95QY7|YKKA_CAEEL Putative zinc finger protein C02F5.12 OS=Caenorhabditis elegans OX=6239 GN=C02F5.12 PE=4 SV=2</t>
  </si>
  <si>
    <t>Q95QY7</t>
  </si>
  <si>
    <t>C02F5.12</t>
  </si>
  <si>
    <t>Putative zinc finger protein C02F5.12</t>
  </si>
  <si>
    <t>&gt;tr|Q95R11|Q95R11_CAEEL Chloride channel protein CLC-d OS=Caenorhabditis elegans OX=6239 GN=CELE_F28B3.10 PE=1 SV=1</t>
  </si>
  <si>
    <t>Q95R11</t>
  </si>
  <si>
    <t>Chloride channel protein CLC-d</t>
  </si>
  <si>
    <t>&gt;tr|Q95R12|Q95R12_CAEEL Phospholipid/glycerol acyltransferase domain-containing protein OS=Caenorhabditis elegans OX=6239 GN=acl-11 PE=1 SV=2</t>
  </si>
  <si>
    <t>Q95R12</t>
  </si>
  <si>
    <t>acl-11</t>
  </si>
  <si>
    <t>&gt;tr|Q95X11|Q95X11_CAEEL N-alpha-acetyltransferase 40 OS=Caenorhabditis elegans OX=6239 GN=CELE_Y38A10A.7 PE=1 SV=2</t>
  </si>
  <si>
    <t>Q95X11</t>
  </si>
  <si>
    <t>N-alpha-acetyltransferase 40</t>
  </si>
  <si>
    <t>&gt;tr|Q95X21|Q95X21_CAEEL Cytosolic purine 5'-nucleotidase OS=Caenorhabditis elegans OX=6239 GN=CELE_Y71H10B.1 PE=1 SV=1</t>
  </si>
  <si>
    <t>Q95X21</t>
  </si>
  <si>
    <t>Cytosolic purine 5'-nucleotidase</t>
  </si>
  <si>
    <t>&gt;tr|Q95X39|Q95X39_CAEEL Large ribosomal subunit protein bL9m OS=Caenorhabditis elegans OX=6239 GN=mrpl-9 PE=1 SV=2</t>
  </si>
  <si>
    <t>Q95X39</t>
  </si>
  <si>
    <t>mrpl-9</t>
  </si>
  <si>
    <t>Large ribosomal subunit protein bL9m</t>
  </si>
  <si>
    <t>&gt;tr|Q95X60|Q95X60_CAEEL Chitin synthase OS=Caenorhabditis elegans OX=6239 GN=gpaa-1 PE=1 SV=2</t>
  </si>
  <si>
    <t>Q95X60</t>
  </si>
  <si>
    <t>gpaa-1</t>
  </si>
  <si>
    <t>Chitin synthase</t>
  </si>
  <si>
    <t>&gt;tr|Q95X83|Q95X83_CAEEL RNA polymerase I associated factor, A49-like protein OS=Caenorhabditis elegans OX=6239 GN=rpoa-49 PE=1 SV=1</t>
  </si>
  <si>
    <t>Q95X83</t>
  </si>
  <si>
    <t>rpoa-49</t>
  </si>
  <si>
    <t>RNA polymerase I associated factor, A49-like protein</t>
  </si>
  <si>
    <t>&gt;tr|Q95XC7|Q95XC7_CAEEL Sugar phosphate transporter domain-containing protein OS=Caenorhabditis elegans OX=6239 GN=CELE_Y73B6BL.31 PE=4 SV=2</t>
  </si>
  <si>
    <t>Q95XC7</t>
  </si>
  <si>
    <t>&gt;sp|Q95XD0|EXOS2_CAEEL Exosome complex component RRP4 homolog OS=Caenorhabditis elegans OX=6239 GN=exos-2 PE=2 SV=1</t>
  </si>
  <si>
    <t>Q95XD0</t>
  </si>
  <si>
    <t>exos-2</t>
  </si>
  <si>
    <t>Exosome complex component RRP4 homolog</t>
  </si>
  <si>
    <t>&gt;tr|Q95XG1|Q95XG1_CAEEL Brix domain-containing protein OS=Caenorhabditis elegans OX=6239 GN=CELE_Y69A2AR.1 PE=1 SV=3</t>
  </si>
  <si>
    <t>Q95XG1</t>
  </si>
  <si>
    <t>&gt;tr|Q95XI7|Q95XI7_CAEEL Exportin-4 OS=Caenorhabditis elegans OX=6239 GN=CELE_Y69A2AR.16 PE=1 SV=2</t>
  </si>
  <si>
    <t>Q95XI7</t>
  </si>
  <si>
    <t>Exportin-4</t>
  </si>
  <si>
    <t>&gt;tr|Q95XJ0|Q95XJ0_CAEEL ATP synthase subunit gamma, mitochondrial OS=Caenorhabditis elegans OX=6239 GN=CELE_Y69A2AR.18 PE=1 SV=1</t>
  </si>
  <si>
    <t>Q95XJ0</t>
  </si>
  <si>
    <t>ATP synthase subunit gamma, mitochondrial</t>
  </si>
  <si>
    <t>&gt;tr|Q95XK4|Q95XK4_CAEEL PPM-type phosphatase domain-containing protein OS=Caenorhabditis elegans OX=6239 GN=ppm-1.d PE=1 SV=2</t>
  </si>
  <si>
    <t>Q95XK4</t>
  </si>
  <si>
    <t>ppm-1.d</t>
  </si>
  <si>
    <t>PPM-type phosphatase domain-containing protein</t>
  </si>
  <si>
    <t>&gt;tr|Q95XK5|Q95XK5_CAEEL Dual specificity protein phosphatase 19 OS=Caenorhabditis elegans OX=6239 GN=CELE_Y54F10BM.13 PE=4 SV=1</t>
  </si>
  <si>
    <t>Q95XK5</t>
  </si>
  <si>
    <t>Dual specificity protein phosphatase 19</t>
  </si>
  <si>
    <t>&gt;tr|Q95XL8|Q95XL8_CAEEL WD_REPEATS_REGION domain-containing protein OS=Caenorhabditis elegans OX=6239 GN=chaf-2 PE=1 SV=1</t>
  </si>
  <si>
    <t>Q95XL8</t>
  </si>
  <si>
    <t>chaf-2</t>
  </si>
  <si>
    <t>&gt;tr|Q95XM5|Q95XM5_CAEEL NAD(P)-binding domain-containing protein OS=Caenorhabditis elegans OX=6239 GN=rml-5 PE=1 SV=1</t>
  </si>
  <si>
    <t>Q95XM5</t>
  </si>
  <si>
    <t>rml-5</t>
  </si>
  <si>
    <t>&gt;tr|Q95XM8|Q95XM8_CAEEL Major facilitator superfamily (MFS) profile domain-containing protein OS=Caenorhabditis elegans OX=6239 GN=CELE_Y71G12B.25 PE=1 SV=3</t>
  </si>
  <si>
    <t>Q95XM8</t>
  </si>
  <si>
    <t>&gt;tr|Q95XM9|Q95XM9_CAEEL RNA helicase OS=Caenorhabditis elegans OX=6239 GN=ddx-27 PE=1 SV=2</t>
  </si>
  <si>
    <t>Q95XM9</t>
  </si>
  <si>
    <t>ddx-27</t>
  </si>
  <si>
    <t>&gt;tr|Q95XN0|Q95XN0_CAEEL LIN-65L OS=Caenorhabditis elegans OX=6239 GN=lin-65 PE=1 SV=2</t>
  </si>
  <si>
    <t>Q95XN0</t>
  </si>
  <si>
    <t>lin-65</t>
  </si>
  <si>
    <t>LIN-65L</t>
  </si>
  <si>
    <t>&gt;tr|Q95XN1|Q95XN1_CAEEL hydroxymethylglutaryl-CoA lyase OS=Caenorhabditis elegans OX=6239 GN=CELE_Y71G12B.10 PE=1 SV=1</t>
  </si>
  <si>
    <t>Q95XN1</t>
  </si>
  <si>
    <t>hydroxymethylglutaryl-CoA lyase</t>
  </si>
  <si>
    <t>&gt;sp|Q95XN2|MPPA_CAEEL Mitochondrial-processing peptidase subunit alpha OS=Caenorhabditis elegans OX=6239 GN=mppa-1 PE=3 SV=2</t>
  </si>
  <si>
    <t>Q95XN2</t>
  </si>
  <si>
    <t>mppa-1</t>
  </si>
  <si>
    <t>Mitochondrial-processing peptidase subunit alpha</t>
  </si>
  <si>
    <t>&gt;tr|Q95XN7|Q95XN7_CAEEL UBC core domain-containing protein OS=Caenorhabditis elegans OX=6239 GN=ubc-3 PE=1 SV=2</t>
  </si>
  <si>
    <t>Q95XN7</t>
  </si>
  <si>
    <t>ubc-3</t>
  </si>
  <si>
    <t>UBC core domain-containing protein</t>
  </si>
  <si>
    <t>&gt;tr|Q95XP5|Q95XP5_CAEEL Calcium-transporting ATPase OS=Caenorhabditis elegans OX=6239 GN=mca-3 PE=1 SV=1</t>
  </si>
  <si>
    <t>Q95XP5</t>
  </si>
  <si>
    <t>mca-3</t>
  </si>
  <si>
    <t>&gt;sp|Q95XP9|ZWILC_CAEEL Protein zwilch homolog OS=Caenorhabditis elegans OX=6239 GN=zwl-1 PE=1 SV=1</t>
  </si>
  <si>
    <t>Q95XP9</t>
  </si>
  <si>
    <t>zwl-1</t>
  </si>
  <si>
    <t>Protein zwilch homolog</t>
  </si>
  <si>
    <t>&gt;sp|Q95XQ8|MCM4_CAEEL DNA replication licensing factor mcm-4 OS=Caenorhabditis elegans OX=6239 GN=mcm-4 PE=1 SV=1</t>
  </si>
  <si>
    <t>Q95XQ8</t>
  </si>
  <si>
    <t>mcm-4</t>
  </si>
  <si>
    <t>DNA replication licensing factor mcm-4</t>
  </si>
  <si>
    <t>&gt;tr|Q95XR0|Q95XR0_CAEEL protein-synthesizing GTPase OS=Caenorhabditis elegans OX=6239 GN=eif-2gamma PE=1 SV=1</t>
  </si>
  <si>
    <t>Q95XR0</t>
  </si>
  <si>
    <t>eif-2gamma</t>
  </si>
  <si>
    <t>protein-synthesizing GTPase</t>
  </si>
  <si>
    <t>&gt;sp|Q95XR2|NSUN4_CAEEL 5-methylcytosine rRNA methyltransferase nsun-4 OS=Caenorhabditis elegans OX=6239 GN=nsun-4 PE=1 SV=1</t>
  </si>
  <si>
    <t>Q95XR2</t>
  </si>
  <si>
    <t>nsun-4</t>
  </si>
  <si>
    <t>5-methylcytosine rRNA methyltransferase nsun-4</t>
  </si>
  <si>
    <t>&gt;tr|Q95XR3|Q95XR3_CAEEL WD_REPEATS_REGION domain-containing protein OS=Caenorhabditis elegans OX=6239 GN=CELE_Y39G10AR.9 PE=1 SV=2</t>
  </si>
  <si>
    <t>Q95XR3</t>
  </si>
  <si>
    <t>&gt;sp|Q95XR4|EPG2_CAEEL Ectopic P granules protein 2 OS=Caenorhabditis elegans OX=6239 GN=epg-2 PE=1 SV=1</t>
  </si>
  <si>
    <t>Q95XR4</t>
  </si>
  <si>
    <t>epg-2</t>
  </si>
  <si>
    <t>Ectopic P granules protein 2</t>
  </si>
  <si>
    <t>&gt;tr|Q95XS1|Q95XS1_CAEEL Translocon-associated protein subunit gamma OS=Caenorhabditis elegans OX=6239 GN=trap-3 PE=1 SV=1</t>
  </si>
  <si>
    <t>Q95XS1</t>
  </si>
  <si>
    <t>trap-3</t>
  </si>
  <si>
    <t>Translocon-associated protein subunit gamma</t>
  </si>
  <si>
    <t>&gt;tr|Q95XS2|Q95XS2_CAEEL Protein transport protein Sec61 subunit beta OS=Caenorhabditis elegans OX=6239 GN=sec-61.b PE=1 SV=1</t>
  </si>
  <si>
    <t>Q95XS2</t>
  </si>
  <si>
    <t>sec-61.b</t>
  </si>
  <si>
    <t>Protein transport protein Sec61 subunit beta</t>
  </si>
  <si>
    <t>&gt;tr|Q95XT5|Q95XT5_CAEEL Translocon-associated protein subunit alpha OS=Caenorhabditis elegans OX=6239 GN=trap-1 PE=1 SV=1</t>
  </si>
  <si>
    <t>Q95XT5</t>
  </si>
  <si>
    <t>trap-1</t>
  </si>
  <si>
    <t>Translocon-associated protein subunit alpha</t>
  </si>
  <si>
    <t>&gt;sp|Q95XU6|ZC3HE_CAEEL Zinc finger CCCH domain-containing protein 14 OS=Caenorhabditis elegans OX=6239 GN=sut-2 PE=3 SV=2</t>
  </si>
  <si>
    <t>Q95XU6</t>
  </si>
  <si>
    <t>sut-2</t>
  </si>
  <si>
    <t>Zinc finger CCCH domain-containing protein 14</t>
  </si>
  <si>
    <t>&gt;sp|Q95XX0|UBC13_CAEEL Ubiquitin-conjugating enzyme E2 13 OS=Caenorhabditis elegans OX=6239 GN=ubc-13 PE=1 SV=2</t>
  </si>
  <si>
    <t>Q95XX0</t>
  </si>
  <si>
    <t>ubc-13</t>
  </si>
  <si>
    <t>Ubiquitin-conjugating enzyme E2 13</t>
  </si>
  <si>
    <t>&gt;sp|Q95XX1|PNCB_CAEEL Nicotinate phosphoribosyltransferase OS=Caenorhabditis elegans OX=6239 GN=nprt-1 PE=3 SV=3</t>
  </si>
  <si>
    <t>Q95XX1</t>
  </si>
  <si>
    <t>nprt-1</t>
  </si>
  <si>
    <t>Nicotinate phosphoribosyltransferase</t>
  </si>
  <si>
    <t>&gt;tr|Q95XY4|Q95XY4_CAEEL Nucleolar protein 6 OS=Caenorhabditis elegans OX=6239 GN=nol-6 PE=1 SV=4</t>
  </si>
  <si>
    <t>Q95XY4</t>
  </si>
  <si>
    <t>nol-6</t>
  </si>
  <si>
    <t>Nucleolar protein 6</t>
  </si>
  <si>
    <t>&gt;sp|Q95XZ5|NIPBL_CAEEL Nipped-B-like protein scc-2 OS=Caenorhabditis elegans OX=6239 GN=scc-2 PE=1 SV=3</t>
  </si>
  <si>
    <t>Q95XZ5</t>
  </si>
  <si>
    <t>scc-2</t>
  </si>
  <si>
    <t>Nipped-B-like protein scc-2</t>
  </si>
  <si>
    <t>&gt;sp|Q95XZ6|LAAT1_CAEEL Lysosomal amino acid transporter 1 OS=Caenorhabditis elegans OX=6239 GN=laat-1 PE=1 SV=2</t>
  </si>
  <si>
    <t>Q95XZ6</t>
  </si>
  <si>
    <t>laat-1</t>
  </si>
  <si>
    <t>Lysosomal amino acid transporter 1</t>
  </si>
  <si>
    <t>&gt;sp|Q95Y04|RS28_CAEEL Small ribosomal subunit protein eS28 OS=Caenorhabditis elegans OX=6239 GN=rps-28 PE=3 SV=1</t>
  </si>
  <si>
    <t>Q95Y04</t>
  </si>
  <si>
    <t>rps-28</t>
  </si>
  <si>
    <t>Small ribosomal subunit protein eS28</t>
  </si>
  <si>
    <t>&gt;tr|Q95Y15|Q95Y15_CAEEL Nucleoporin_N domain-containing protein OS=Caenorhabditis elegans OX=6239 GN=npp-8 PE=1 SV=5</t>
  </si>
  <si>
    <t>Q95Y15</t>
  </si>
  <si>
    <t>npp-8</t>
  </si>
  <si>
    <t>Nucleoporin_N domain-containing protein</t>
  </si>
  <si>
    <t>&gt;tr|Q95Y26|Q95Y26_CAEEL Protein-tyrosine-phosphatase OS=Caenorhabditis elegans OX=6239 GN=ptpn-22 PE=1 SV=2</t>
  </si>
  <si>
    <t>Q95Y26</t>
  </si>
  <si>
    <t>ptpn-22</t>
  </si>
  <si>
    <t>Protein-tyrosine-phosphatase</t>
  </si>
  <si>
    <t>&gt;tr|Q95Y35|Q95Y35_CAEEL Pre-mRNA-splicing factor 38 OS=Caenorhabditis elegans OX=6239 GN=CELE_Y108G3AL.2 PE=3 SV=1</t>
  </si>
  <si>
    <t>Q95Y35</t>
  </si>
  <si>
    <t>&gt;sp|Q95Y41|RCORA_CAEEL REST corepressor rcor-1 OS=Caenorhabditis elegans OX=6239 GN=rcor-1 PE=1 SV=1</t>
  </si>
  <si>
    <t>Q95Y41</t>
  </si>
  <si>
    <t>rcor-1</t>
  </si>
  <si>
    <t>REST corepressor rcor-1</t>
  </si>
  <si>
    <t>&gt;tr|Q95Y51|Q95Y51_CAEEL Tudor domain-containing protein OS=Caenorhabditis elegans OX=6239 GN=smr-1 PE=1 SV=1</t>
  </si>
  <si>
    <t>Q95Y51</t>
  </si>
  <si>
    <t>smr-1</t>
  </si>
  <si>
    <t>&gt;tr|Q95Y64|Q95Y64_CAEEL F-box domain-containing protein OS=Caenorhabditis elegans OX=6239 GN=fbxa-63 PE=1 SV=1</t>
  </si>
  <si>
    <t>Q95Y64</t>
  </si>
  <si>
    <t>fbxa-63</t>
  </si>
  <si>
    <t>&gt;tr|Q95Y67|Q95Y67_CAEEL K Homology domain-containing protein OS=Caenorhabditis elegans OX=6239 GN=pes-4 PE=1 SV=3</t>
  </si>
  <si>
    <t>Q95Y67</t>
  </si>
  <si>
    <t>pes-4</t>
  </si>
  <si>
    <t>&gt;tr|Q95Y69|Q95Y69_CAEEL ORC_WH_C domain-containing protein OS=Caenorhabditis elegans OX=6239 GN=orc-3 PE=1 SV=2</t>
  </si>
  <si>
    <t>Q95Y69</t>
  </si>
  <si>
    <t>orc-3</t>
  </si>
  <si>
    <t>ORC_WH_C domain-containing protein</t>
  </si>
  <si>
    <t>&gt;sp|Q95Y71|RM45_CAEEL Large ribosomal subunit protein mL45 OS=Caenorhabditis elegans OX=6239 GN=mrpl-45 PE=3 SV=3</t>
  </si>
  <si>
    <t>Q95Y71</t>
  </si>
  <si>
    <t>mrpl-45</t>
  </si>
  <si>
    <t>Large ribosomal subunit protein mL45</t>
  </si>
  <si>
    <t>&gt;tr|Q95Y73|Q95Y73_CAEEL Mitochondrial elongation factor G2 OS=Caenorhabditis elegans OX=6239 GN=fusm-2 PE=1 SV=2</t>
  </si>
  <si>
    <t>Q95Y73</t>
  </si>
  <si>
    <t>fusm-2</t>
  </si>
  <si>
    <t>Mitochondrial elongation factor G2</t>
  </si>
  <si>
    <t>&gt;tr|Q95Y79|Q95Y79_CAEEL Ig-like domain-containing protein OS=Caenorhabditis elegans OX=6239 GN=zig-9 PE=1 SV=3</t>
  </si>
  <si>
    <t>Q95Y79</t>
  </si>
  <si>
    <t>zig-9</t>
  </si>
  <si>
    <t>&gt;sp|Q95Y80|BET1_CAEEL Bromodomain-containing protein bet-1 OS=Caenorhabditis elegans OX=6239 GN=bet-1 PE=1 SV=3</t>
  </si>
  <si>
    <t>Q95Y80</t>
  </si>
  <si>
    <t>bet-1</t>
  </si>
  <si>
    <t>Bromodomain-containing protein bet-1</t>
  </si>
  <si>
    <t>&gt;sp|Q95Y82|RN145_CAEEL RING finger protein 145 homolog OS=Caenorhabditis elegans OX=6239 GN=rnf-145 PE=3 SV=2</t>
  </si>
  <si>
    <t>Q95Y82</t>
  </si>
  <si>
    <t>rnf-145</t>
  </si>
  <si>
    <t>RING finger protein 145 homolog</t>
  </si>
  <si>
    <t>&gt;sp|Q95Y83|RM19_CAEEL Large ribosomal subunit protein bL19m OS=Caenorhabditis elegans OX=6239 GN=mrpl-19 PE=3 SV=1</t>
  </si>
  <si>
    <t>Q95Y83</t>
  </si>
  <si>
    <t>mrpl-19</t>
  </si>
  <si>
    <t>Large ribosomal subunit protein bL19m</t>
  </si>
  <si>
    <t>&gt;sp|Q95Y84|CND_CAEEL Condensin-2 complex subunit hcp-6 OS=Caenorhabditis elegans OX=6239 GN=hcp-6 PE=1 SV=1</t>
  </si>
  <si>
    <t>Q95Y84</t>
  </si>
  <si>
    <t>hcp-6</t>
  </si>
  <si>
    <t>Condensin-2 complex subunit hcp-6</t>
  </si>
  <si>
    <t>&gt;sp|Q95Y89|PESC_CAEEL Pescadillo homolog OS=Caenorhabditis elegans OX=6239 GN=lpd-7 PE=3 SV=1</t>
  </si>
  <si>
    <t>Q95Y89</t>
  </si>
  <si>
    <t>lpd-7</t>
  </si>
  <si>
    <t>Pescadillo homolog</t>
  </si>
  <si>
    <t>&gt;sp|Q95Y90|RL9_CAEEL Large ribosomal subunit protein uL6 OS=Caenorhabditis elegans OX=6239 GN=rpl-9 PE=3 SV=1</t>
  </si>
  <si>
    <t>Q95Y90</t>
  </si>
  <si>
    <t>rpl-9</t>
  </si>
  <si>
    <t>Large ribosomal subunit protein uL6</t>
  </si>
  <si>
    <t>&gt;tr|Q95Y97|Q95Y97_CAEEL Replication protein A C-terminal domain-containing protein OS=Caenorhabditis elegans OX=6239 GN=rpa-2 PE=1 SV=1</t>
  </si>
  <si>
    <t>Q95Y97</t>
  </si>
  <si>
    <t>rpa-2</t>
  </si>
  <si>
    <t>Replication protein A C-terminal domain-containing protein</t>
  </si>
  <si>
    <t>&gt;tr|Q95YA9|Q95YA9_CAEEL C-CAP/cofactor C-like domain-containing protein OS=Caenorhabditis elegans OX=6239 GN=cas-1 PE=1 SV=2</t>
  </si>
  <si>
    <t>Q95YA9</t>
  </si>
  <si>
    <t>cas-1</t>
  </si>
  <si>
    <t>&gt;tr|Q95YB2|Q95YB2_CAEEL Acyl CoA DeHydrogenase OS=Caenorhabditis elegans OX=6239 GN=acdh-9 PE=1 SV=1</t>
  </si>
  <si>
    <t>Q95YB2</t>
  </si>
  <si>
    <t>acdh-9</t>
  </si>
  <si>
    <t>Acyl CoA DeHydrogenase</t>
  </si>
  <si>
    <t>&gt;tr|Q95YD0|Q95YD0_CAEEL SSD domain-containing protein OS=Caenorhabditis elegans OX=6239 GN=ptr-4 PE=1 SV=2</t>
  </si>
  <si>
    <t>Q95YD0</t>
  </si>
  <si>
    <t>ptr-4</t>
  </si>
  <si>
    <t>&gt;tr|Q95YD5|Q95YD5_CAEEL V-type proton ATPase subunit OS=Caenorhabditis elegans OX=6239 GN=vha-16 PE=1 SV=1</t>
  </si>
  <si>
    <t>Q95YD5</t>
  </si>
  <si>
    <t>vha-16</t>
  </si>
  <si>
    <t>V-type proton ATPase subunit</t>
  </si>
  <si>
    <t>&gt;tr|Q95YD8|Q95YD8_CAEEL Isocitrate dehydrogenase [NAD] subunit, mitochondrial OS=Caenorhabditis elegans OX=6239 GN=idhg-2 PE=1 SV=1</t>
  </si>
  <si>
    <t>Q95YD8</t>
  </si>
  <si>
    <t>idhg-2</t>
  </si>
  <si>
    <t>&gt;tr|Q95YE1|Q95YE1_CAEEL ATPase N2B OS=Caenorhabditis elegans OX=6239 GN=C30F12.2 PE=1 SV=1</t>
  </si>
  <si>
    <t>Q95YE1</t>
  </si>
  <si>
    <t>C30F12.2</t>
  </si>
  <si>
    <t>ATPase N2B</t>
  </si>
  <si>
    <t>&gt;tr|Q95YE6|Q95YE6_CAEEL DNA ligase IV OS=Caenorhabditis elegans OX=6239 GN=lig-4 PE=1 SV=3</t>
  </si>
  <si>
    <t>Q95YE6</t>
  </si>
  <si>
    <t>lig-4</t>
  </si>
  <si>
    <t>DNA ligase IV</t>
  </si>
  <si>
    <t>&gt;tr|Q95YE8|Q95YE8_CAEEL RRM domain-containing protein OS=Caenorhabditis elegans OX=6239 GN=cux-7 PE=4 SV=2</t>
  </si>
  <si>
    <t>Q95YE8</t>
  </si>
  <si>
    <t>cux-7</t>
  </si>
  <si>
    <t>&gt;sp|Q95YE9|CLK2_CAEEL Telomere length regulation protein clk-2 OS=Caenorhabditis elegans OX=6239 GN=clk-2 PE=2 SV=2</t>
  </si>
  <si>
    <t>Q95YE9</t>
  </si>
  <si>
    <t>clk-2</t>
  </si>
  <si>
    <t>Telomere length regulation protein clk-2</t>
  </si>
  <si>
    <t>&gt;tr|Q95YF1|Q95YF1_CAEEL U2 snRNP-associated SURP motif-containing protein OS=Caenorhabditis elegans OX=6239 GN=sap-140 PE=1 SV=1</t>
  </si>
  <si>
    <t>Q95YF1</t>
  </si>
  <si>
    <t>sap-140</t>
  </si>
  <si>
    <t>U2 snRNP-associated SURP motif-containing protein</t>
  </si>
  <si>
    <t>&gt;sp|Q95YF3|CGH1_CAEEL ATP-dependent RNA helicase cgh-1 OS=Caenorhabditis elegans OX=6239 GN=cgh-1 PE=1 SV=1</t>
  </si>
  <si>
    <t>Q95YF3</t>
  </si>
  <si>
    <t>cgh-1</t>
  </si>
  <si>
    <t>ATP-dependent RNA helicase cgh-1</t>
  </si>
  <si>
    <t>&gt;sp|Q95ZI6|PITH1_CAEEL PITH domain-containing protein ZK353.9 OS=Caenorhabditis elegans OX=6239 GN=ZK353.9 PE=3 SV=1</t>
  </si>
  <si>
    <t>Q95ZI6</t>
  </si>
  <si>
    <t>ZK353.9</t>
  </si>
  <si>
    <t>PITH domain-containing protein ZK353.9</t>
  </si>
  <si>
    <t>&gt;tr|Q95ZJ9|Q95ZJ9_CAEEL 5'-nucleotidase OS=Caenorhabditis elegans OX=6239 GN=CELE_Y10G11A.1 PE=1 SV=2</t>
  </si>
  <si>
    <t>Q95ZJ9</t>
  </si>
  <si>
    <t>5'-nucleotidase</t>
  </si>
  <si>
    <t>&gt;sp|Q95ZK7|GLD3_CAEEL Defective in germ line development protein 3 OS=Caenorhabditis elegans OX=6239 GN=gld-3 PE=1 SV=2</t>
  </si>
  <si>
    <t>Q95ZK7</t>
  </si>
  <si>
    <t>gld-3</t>
  </si>
  <si>
    <t>Defective in germ line development protein 3</t>
  </si>
  <si>
    <t>&gt;sp|Q95ZQ4|AAPK2_CAEEL 5'-AMP-activated protein kinase catalytic subunit alpha-2 OS=Caenorhabditis elegans OX=6239 GN=aak-2 PE=1 SV=2</t>
  </si>
  <si>
    <t>Q95ZQ4</t>
  </si>
  <si>
    <t>aak-2</t>
  </si>
  <si>
    <t>5'-AMP-activated protein kinase catalytic subunit alpha-2</t>
  </si>
  <si>
    <t>&gt;tr|Q95ZQ5|Q95ZQ5_CAEEL Pinin/SDK/MemA protein domain-containing protein OS=Caenorhabditis elegans OX=6239 GN=pnn-1 PE=1 SV=1</t>
  </si>
  <si>
    <t>Q95ZQ5</t>
  </si>
  <si>
    <t>pnn-1</t>
  </si>
  <si>
    <t>Pinin/SDK/MemA protein domain-containing protein</t>
  </si>
  <si>
    <t>&gt;tr|Q95ZR2|Q95ZR2_CAEEL Sphingomyelin phosphodiesterase 4 OS=Caenorhabditis elegans OX=6239 GN=CELE_R05D11.9 PE=1 SV=2</t>
  </si>
  <si>
    <t>Q95ZR2</t>
  </si>
  <si>
    <t>Sphingomyelin phosphodiesterase 4</t>
  </si>
  <si>
    <t>&gt;tr|Q95ZS1|Q95ZS1_CAEEL ANK_REP_REGION domain-containing protein OS=Caenorhabditis elegans OX=6239 GN=gfi-2 PE=1 SV=1</t>
  </si>
  <si>
    <t>Q95ZS1</t>
  </si>
  <si>
    <t>gfi-2</t>
  </si>
  <si>
    <t>&gt;tr|Q95ZS5|Q95ZS5_CAEEL Leucine-rich repeat domain, L domain-like OS=Caenorhabditis elegans OX=6239 GN=CELE_F56A8.3 PE=1 SV=1</t>
  </si>
  <si>
    <t>Q95ZS5</t>
  </si>
  <si>
    <t>Leucine-rich repeat domain, L domain-like</t>
  </si>
  <si>
    <t>&gt;tr|Q95ZT6|Q95ZT6_CAEEL Glycine N-acyltransferase-like protein OS=Caenorhabditis elegans OX=6239 GN=CELE_F43H9.4 PE=1 SV=1</t>
  </si>
  <si>
    <t>Q95ZT6</t>
  </si>
  <si>
    <t>Glycine N-acyltransferase-like protein</t>
  </si>
  <si>
    <t>&gt;tr|Q95ZV9|Q95ZV9_CAEEL Uncharacterized protein OS=Caenorhabditis elegans OX=6239 GN=CELE_F08F8.9 PE=1 SV=1</t>
  </si>
  <si>
    <t>Q95ZV9</t>
  </si>
  <si>
    <t>&gt;tr|Q95ZX6|Q95ZX6_CAEEL histone acetyltransferase OS=Caenorhabditis elegans OX=6239 GN=mys-4 PE=3 SV=1</t>
  </si>
  <si>
    <t>Q95ZX6</t>
  </si>
  <si>
    <t>mys-4</t>
  </si>
  <si>
    <t>&gt;tr|Q960A2|Q960A2_CAEEL Protein kinase domain-containing protein OS=Caenorhabditis elegans OX=6239 GN=mtk-1 PE=1 SV=1</t>
  </si>
  <si>
    <t>Q960A2</t>
  </si>
  <si>
    <t>mtk-1</t>
  </si>
  <si>
    <t>&gt;sp|Q965G5|MAK2_CAEEL MAP kinase-activated protein kinase mak-2 OS=Caenorhabditis elegans OX=6239 GN=mak-2 PE=1 SV=2</t>
  </si>
  <si>
    <t>Q965G5</t>
  </si>
  <si>
    <t>mak-2</t>
  </si>
  <si>
    <t>MAP kinase-activated protein kinase mak-2</t>
  </si>
  <si>
    <t>&gt;tr|Q965I9|Q965I9_CAEEL Major facilitator superfamily (MFS) profile domain-containing protein OS=Caenorhabditis elegans OX=6239 GN=CELE_T25D3.4 PE=4 SV=2</t>
  </si>
  <si>
    <t>Q965I9</t>
  </si>
  <si>
    <t>&gt;tr|Q965K2|Q965K2_CAEEL ATP-dependent RNA helicase OS=Caenorhabditis elegans OX=6239 GN=ddx-46 PE=1 SV=1</t>
  </si>
  <si>
    <t>Q965K2</t>
  </si>
  <si>
    <t>ddx-46</t>
  </si>
  <si>
    <t>&gt;tr|Q965K5|Q965K5_CAEEL DyNactin Complex component OS=Caenorhabditis elegans OX=6239 GN=dnc-3 PE=1 SV=2</t>
  </si>
  <si>
    <t>Q965K5</t>
  </si>
  <si>
    <t>dnc-3</t>
  </si>
  <si>
    <t>DyNactin Complex component</t>
  </si>
  <si>
    <t>&gt;tr|Q965L0|Q965L0_CAEEL Calponin homology domain-containing protein OS=Caenorhabditis elegans OX=6239 GN=CELE_M116.5 PE=1 SV=4</t>
  </si>
  <si>
    <t>Q965L0</t>
  </si>
  <si>
    <t>Calponin homology domain-containing protein</t>
  </si>
  <si>
    <t>&gt;tr|Q965N3|Q965N3_CAEEL polyribonucleotide nucleotidyltransferase OS=Caenorhabditis elegans OX=6239 GN=BE0003N10.1 PE=1 SV=3</t>
  </si>
  <si>
    <t>Q965N3</t>
  </si>
  <si>
    <t>BE0003N10.1</t>
  </si>
  <si>
    <t>polyribonucleotide nucleotidyltransferase</t>
  </si>
  <si>
    <t>&gt;tr|Q965N4|Q965N4_CAEEL Chimerin 2 OS=Caenorhabditis elegans OX=6239 GN=chin-1 PE=1 SV=3</t>
  </si>
  <si>
    <t>Q965N4</t>
  </si>
  <si>
    <t>chin-1</t>
  </si>
  <si>
    <t>Chimerin 2</t>
  </si>
  <si>
    <t>&gt;tr|Q965N6|Q965N6_CAEEL B30.2/SPRY domain-containing protein OS=Caenorhabditis elegans OX=6239 GN=spsb-1 PE=4 SV=3;&gt;tr|Q965N7|Q965N7_CAEEL SPRY domain-containing SOCS box protein 1 OS=Caenorhabditis elegans OX=6239 GN=spsb-2 PE=3 SV=2</t>
  </si>
  <si>
    <t>Q965N6;Q965N7</t>
  </si>
  <si>
    <t>spsb-1;spsb-2</t>
  </si>
  <si>
    <t>B30.2/SPRY domain-containing protein;SPRY domain-containing SOCS box protein 1</t>
  </si>
  <si>
    <t>Q965N6</t>
  </si>
  <si>
    <t>&gt;tr|Q965N8|Q965N8_CAEEL Ribosomal RNA-processing protein 12-like conserved domain-containing protein OS=Caenorhabditis elegans OX=6239 GN=CELE_Y46E12BL.2 PE=1 SV=1</t>
  </si>
  <si>
    <t>Q965N8</t>
  </si>
  <si>
    <t>Ribosomal RNA-processing protein 12-like conserved domain-containing protein</t>
  </si>
  <si>
    <t>&gt;tr|Q965Q1|Q965Q1_CAEEL 10 kDa heat shock protein, mitochondrial OS=Caenorhabditis elegans OX=6239 GN=CELE_Y22D7AL.10 PE=1 SV=1</t>
  </si>
  <si>
    <t>Q965Q1</t>
  </si>
  <si>
    <t>10 kDa heat shock protein, mitochondrial</t>
  </si>
  <si>
    <t>&gt;tr|Q965Q2|Q965Q2_CAEEL Tetratricopeptide repeat protein 7B OS=Caenorhabditis elegans OX=6239 GN=CELE_Y22D7AL.9 PE=4 SV=2</t>
  </si>
  <si>
    <t>Q965Q2</t>
  </si>
  <si>
    <t>Tetratricopeptide repeat protein 7B</t>
  </si>
  <si>
    <t>&gt;tr|Q965Q9|Q965Q9_CAEEL Survival of motor neuron-related-splicing factor 30 OS=Caenorhabditis elegans OX=6239 GN=CELE_Y50D4C.3 PE=1 SV=1</t>
  </si>
  <si>
    <t>Q965Q9</t>
  </si>
  <si>
    <t>Survival of motor neuron-related-splicing factor 30</t>
  </si>
  <si>
    <t>&gt;sp|Q965S8|EIF3I_CAEEL Eukaryotic translation initiation factor 3 subunit I OS=Caenorhabditis elegans OX=6239 GN=eif-3.I PE=1 SV=2</t>
  </si>
  <si>
    <t>Q965S8</t>
  </si>
  <si>
    <t>eif-3.I</t>
  </si>
  <si>
    <t>Eukaryotic translation initiation factor 3 subunit I</t>
  </si>
  <si>
    <t>&gt;tr|Q965T4|Q965T4_CAEEL Transcriptional regulatory protein OS=Caenorhabditis elegans OX=6239 GN=taco-1 PE=1 SV=1</t>
  </si>
  <si>
    <t>Q965T4</t>
  </si>
  <si>
    <t>taco-1</t>
  </si>
  <si>
    <t>Transcriptional regulatory protein</t>
  </si>
  <si>
    <t>&gt;tr|Q965V4|Q965V4_CAEEL Exportin-2 OS=Caenorhabditis elegans OX=6239 GN=xpo-2 PE=1 SV=1</t>
  </si>
  <si>
    <t>Q965V4</t>
  </si>
  <si>
    <t>xpo-2</t>
  </si>
  <si>
    <t>Exportin-2</t>
  </si>
  <si>
    <t>&gt;tr|Q965V9|Q965V9_CAEEL Ubiquitin carboxyl-terminal hydrolase OS=Caenorhabditis elegans OX=6239 GN=ubh-3 PE=1 SV=2</t>
  </si>
  <si>
    <t>Q965V9</t>
  </si>
  <si>
    <t>ubh-3</t>
  </si>
  <si>
    <t>&gt;sp|Q965W2|NHR86_CAEEL Nuclear hormone receptor family member nhr-86 OS=Caenorhabditis elegans OX=6239 GN=nhr-86 PE=2 SV=2</t>
  </si>
  <si>
    <t>Q965W2</t>
  </si>
  <si>
    <t>nhr-86</t>
  </si>
  <si>
    <t>Nuclear hormone receptor family member nhr-86</t>
  </si>
  <si>
    <t>&gt;tr|Q965W3|Q965W3_CAEEL Catechol O-methyltransferase domain-containing protein 1 OS=Caenorhabditis elegans OX=6239 GN=comt-3 PE=1 SV=2</t>
  </si>
  <si>
    <t>Q965W3</t>
  </si>
  <si>
    <t>comt-3</t>
  </si>
  <si>
    <t>Catechol O-methyltransferase domain-containing protein 1</t>
  </si>
  <si>
    <t>&gt;tr|Q965X1|Q965X1_CAEEL Uncharacterized protein OS=Caenorhabditis elegans OX=6239 GN=CELE_Y39A3CL.7 PE=1 SV=2</t>
  </si>
  <si>
    <t>Q965X1</t>
  </si>
  <si>
    <t>&gt;sp|Q966C6|RL7A_CAEEL Large ribosomal subunit protein eL8 OS=Caenorhabditis elegans OX=6239 GN=rpl-7A PE=1 SV=3</t>
  </si>
  <si>
    <t>Q966C6</t>
  </si>
  <si>
    <t>rpl-7A</t>
  </si>
  <si>
    <t>Large ribosomal subunit protein eL8</t>
  </si>
  <si>
    <t>&gt;tr|Q966C7|Q966C7_CAEEL Transaldolase OS=Caenorhabditis elegans OX=6239 GN=tald-1 PE=1 SV=1</t>
  </si>
  <si>
    <t>Q966C7</t>
  </si>
  <si>
    <t>tald-1</t>
  </si>
  <si>
    <t>Transaldolase</t>
  </si>
  <si>
    <t>&gt;tr|Q966E7|Q966E7_CAEEL Sphingosine Phosphate Lyase OS=Caenorhabditis elegans OX=6239 GN=spl-3 PE=1 SV=2</t>
  </si>
  <si>
    <t>Q966E7</t>
  </si>
  <si>
    <t>spl-3</t>
  </si>
  <si>
    <t>Sphingosine Phosphate Lyase</t>
  </si>
  <si>
    <t>&gt;tr|Q966I7|Q966I7_CAEEL CCHC-type zinc finger nucleic acid binding protein OS=Caenorhabditis elegans OX=6239 GN=CELE_K08D12.3 PE=1 SV=1</t>
  </si>
  <si>
    <t>Q966I7</t>
  </si>
  <si>
    <t>CCHC-type zinc finger nucleic acid binding protein</t>
  </si>
  <si>
    <t>&gt;tr|Q966J6|Q966J6_CAEEL ZM domain-containing protein OS=Caenorhabditis elegans OX=6239 GN=CELE_F41B4.1 PE=1 SV=2</t>
  </si>
  <si>
    <t>Q966J6</t>
  </si>
  <si>
    <t>&gt;sp|Q966L5|SRRT_CAEEL Serrate RNA effector molecule homolog OS=Caenorhabditis elegans OX=6239 GN=E01A2.2 PE=3 SV=1</t>
  </si>
  <si>
    <t>Q966L5</t>
  </si>
  <si>
    <t>E01A2.2</t>
  </si>
  <si>
    <t>Serrate RNA effector molecule homolog</t>
  </si>
  <si>
    <t>&gt;tr|Q966L6|Q966L6_CAEEL NF-kappa-B-activating protein C-terminal domain-containing protein OS=Caenorhabditis elegans OX=6239 GN=let-504 PE=1 SV=1</t>
  </si>
  <si>
    <t>Q966L6</t>
  </si>
  <si>
    <t>let-504</t>
  </si>
  <si>
    <t>NF-kappa-B-activating protein C-terminal domain-containing protein</t>
  </si>
  <si>
    <t>&gt;sp|Q966L9|GLH2_CAEEL ATP-dependent RNA helicase glh-2 OS=Caenorhabditis elegans OX=6239 GN=glh-2 PE=1 SV=1</t>
  </si>
  <si>
    <t>Q966L9</t>
  </si>
  <si>
    <t>glh-2</t>
  </si>
  <si>
    <t>ATP-dependent RNA helicase glh-2</t>
  </si>
  <si>
    <t>&gt;tr|Q966M4|Q966M4_CAEEL Unconventional prefoldin RPB5 interactor OS=Caenorhabditis elegans OX=6239 GN=uri-1 PE=1 SV=1</t>
  </si>
  <si>
    <t>Q966M4</t>
  </si>
  <si>
    <t>uri-1</t>
  </si>
  <si>
    <t>Unconventional prefoldin RPB5 interactor</t>
  </si>
  <si>
    <t>&gt;tr|Q966P8|Q966P8_CAEEL Cleft lip and palate transmembrane protein 1 homolog OS=Caenorhabditis elegans OX=6239 GN=C36B7.6 PE=1 SV=2</t>
  </si>
  <si>
    <t>Q966P8</t>
  </si>
  <si>
    <t>C36B7.6</t>
  </si>
  <si>
    <t>&gt;tr|Q967F1|Q967F1_CAEEL SUI1 domain-containing protein OS=Caenorhabditis elegans OX=6239 GN=eif-1 PE=1 SV=1</t>
  </si>
  <si>
    <t>Q967F1</t>
  </si>
  <si>
    <t>eif-1</t>
  </si>
  <si>
    <t>&gt;sp|Q967F4|HMR1_CAEEL Cadherin-related hmr-1 OS=Caenorhabditis elegans OX=6239 GN=hmr-1 PE=1 SV=1</t>
  </si>
  <si>
    <t>Q967F4</t>
  </si>
  <si>
    <t>hmr-1</t>
  </si>
  <si>
    <t>Cadherin-related hmr-1</t>
  </si>
  <si>
    <t>&gt;sp|Q968A5|FUC10_CAEEL GDP-fucose transporter OS=Caenorhabditis elegans OX=6239 GN=nstp-10 PE=2 SV=1</t>
  </si>
  <si>
    <t>Q968A5</t>
  </si>
  <si>
    <t>nstp-10</t>
  </si>
  <si>
    <t>GDP-fucose transporter</t>
  </si>
  <si>
    <t>&gt;tr|Q9BHK7|Q9BHK7_CAEEL 5'-3' exoribonuclease 1 OS=Caenorhabditis elegans OX=6239 GN=xrn-1 PE=1 SV=3</t>
  </si>
  <si>
    <t>Q9BHK7</t>
  </si>
  <si>
    <t>xrn-1</t>
  </si>
  <si>
    <t>5'-3' exoribonuclease 1</t>
  </si>
  <si>
    <t>&gt;tr|Q9BHL2|Q9BHL2_CAEEL UAA transporter OS=Caenorhabditis elegans OX=6239 GN=hut-1 PE=3 SV=1</t>
  </si>
  <si>
    <t>Q9BHL2</t>
  </si>
  <si>
    <t>hut-1</t>
  </si>
  <si>
    <t>UAA transporter</t>
  </si>
  <si>
    <t>&gt;tr|Q9BHM0|Q9BHM0_CAEEL Protein kinase domain-containing protein OS=Caenorhabditis elegans OX=6239 GN=CELE_Y111B2A.1 PE=3 SV=2</t>
  </si>
  <si>
    <t>Q9BHM0</t>
  </si>
  <si>
    <t>&gt;sp|Q9BI40|GATC_CAEEL Glutamyl-tRNA(Gln) amidotransferase subunit C, mitochondrial OS=Caenorhabditis elegans OX=6239 GN=Y66D12A.7 PE=3 SV=1</t>
  </si>
  <si>
    <t>Q9BI40</t>
  </si>
  <si>
    <t>Y66D12A.7</t>
  </si>
  <si>
    <t>Glutamyl-tRNA(Gln) amidotransferase subunit C, mitochondrial</t>
  </si>
  <si>
    <t>&gt;tr|Q9BI63|Q9BI63_CAEEL Trafficking protein particle complex subunit 8 OS=Caenorhabditis elegans OX=6239 GN=trpp-8 PE=1 SV=2</t>
  </si>
  <si>
    <t>Q9BI63</t>
  </si>
  <si>
    <t>trpp-8</t>
  </si>
  <si>
    <t>Trafficking protein particle complex subunit 8</t>
  </si>
  <si>
    <t>&gt;tr|Q9BI98|Q9BI98_CAEEL BPL/LPL catalytic domain-containing protein OS=Caenorhabditis elegans OX=6239 GN=bpl-1 PE=1 SV=3</t>
  </si>
  <si>
    <t>Q9BI98</t>
  </si>
  <si>
    <t>bpl-1</t>
  </si>
  <si>
    <t>&gt;sp|Q9BIB3|PPME1_CAEEL Probable protein phosphatase methylesterase 1 OS=Caenorhabditis elegans OX=6239 GN=B0464.9 PE=3 SV=1</t>
  </si>
  <si>
    <t>Q9BIB3</t>
  </si>
  <si>
    <t>B0464.9</t>
  </si>
  <si>
    <t>Probable protein phosphatase methylesterase 1</t>
  </si>
  <si>
    <t>&gt;tr|Q9BIB7|Q9BIB7_CAEEL RRM domain-containing protein OS=Caenorhabditis elegans OX=6239 GN=hrpf-1 PE=1 SV=1</t>
  </si>
  <si>
    <t>Q9BIB7</t>
  </si>
  <si>
    <t>hrpf-1</t>
  </si>
  <si>
    <t>&gt;tr|Q9BIB8|Q9BIB8_CAEEL Importin N-terminal domain-containing protein OS=Caenorhabditis elegans OX=6239 GN=imb-1 PE=1 SV=3</t>
  </si>
  <si>
    <t>Q9BIB8</t>
  </si>
  <si>
    <t>imb-1</t>
  </si>
  <si>
    <t>&gt;tr|Q9BIC2|Q9BIC2_CAEEL RNA-binding protein 5 OS=Caenorhabditis elegans OX=6239 GN=rbm-5 PE=1 SV=1</t>
  </si>
  <si>
    <t>Q9BIC2</t>
  </si>
  <si>
    <t>rbm-5</t>
  </si>
  <si>
    <t>RNA-binding protein 5</t>
  </si>
  <si>
    <t>&gt;tr|Q9BKP7|Q9BKP7_CAEEL FHA domain-containing protein OS=Caenorhabditis elegans OX=6239 GN=C49A9.9 PE=1 SV=1</t>
  </si>
  <si>
    <t>Q9BKP7</t>
  </si>
  <si>
    <t>C49A9.9</t>
  </si>
  <si>
    <t>&gt;sp|Q9BKQ8|DHX35_CAEEL Probable ATP-dependent RNA helicase DHX35 homolog OS=Caenorhabditis elegans OX=6239 GN=ddx-35 PE=3 SV=1</t>
  </si>
  <si>
    <t>Q9BKQ8</t>
  </si>
  <si>
    <t>ddx-35</t>
  </si>
  <si>
    <t>Probable ATP-dependent RNA helicase DHX35 homolog</t>
  </si>
  <si>
    <t>&gt;tr|Q9BKQ9|Q9BKQ9_CAEEL Iron-binding zinc finger CDGSH type domain-containing protein OS=Caenorhabditis elegans OX=6239 GN=cisd-3.2 PE=1 SV=1</t>
  </si>
  <si>
    <t>Q9BKQ9</t>
  </si>
  <si>
    <t>cisd-3.2</t>
  </si>
  <si>
    <t>Iron-binding zinc finger CDGSH type domain-containing protein</t>
  </si>
  <si>
    <t>&gt;tr|Q9BKR2|Q9BKR2_CAEEL TPR_REGION domain-containing protein OS=Caenorhabditis elegans OX=6239 GN=ttc-37 PE=1 SV=2</t>
  </si>
  <si>
    <t>Q9BKR2</t>
  </si>
  <si>
    <t>ttc-37</t>
  </si>
  <si>
    <t>&gt;tr|Q9BKR5|Q9BKR5_CAEEL Nuclear export mediator factor NEMF OS=Caenorhabditis elegans OX=6239 GN=CELE_Y82E9BR.18 PE=1 SV=2</t>
  </si>
  <si>
    <t>Q9BKR5</t>
  </si>
  <si>
    <t>Nuclear export mediator factor NEMF</t>
  </si>
  <si>
    <t>&gt;tr|Q9BKR9|Q9BKR9_CAEEL Major facilitator superfamily (MFS) profile domain-containing protein OS=Caenorhabditis elegans OX=6239 GN=CELE_Y82E9BR.16 PE=1 SV=1</t>
  </si>
  <si>
    <t>Q9BKR9</t>
  </si>
  <si>
    <t>&gt;tr|Q9BKS1|Q9BKS1_CAEEL Elongin-C OS=Caenorhabditis elegans OX=6239 GN=elc-1 PE=1 SV=1</t>
  </si>
  <si>
    <t>Q9BKS1</t>
  </si>
  <si>
    <t>elc-1</t>
  </si>
  <si>
    <t>Elongin-C</t>
  </si>
  <si>
    <t>&gt;tr|Q9BKT9|Q9BKT9_CAEEL Nuclear pore protein OS=Caenorhabditis elegans OX=6239 GN=npp-13 PE=1 SV=1</t>
  </si>
  <si>
    <t>Q9BKT9</t>
  </si>
  <si>
    <t>npp-13</t>
  </si>
  <si>
    <t>Nuclear pore protein</t>
  </si>
  <si>
    <t>&gt;tr|Q9BKU3|Q9BKU3_CAEEL Eukaryotic translation initiation factor 2 subunit 1 OS=Caenorhabditis elegans OX=6239 GN=eif-2alpha PE=1 SV=2</t>
  </si>
  <si>
    <t>Q9BKU3</t>
  </si>
  <si>
    <t>eif-2alpha</t>
  </si>
  <si>
    <t>Eukaryotic translation initiation factor 2 subunit 1</t>
  </si>
  <si>
    <t>&gt;sp|Q9BKU4|PHB1_CAEEL Mitochondrial prohibitin complex protein 1 OS=Caenorhabditis elegans OX=6239 GN=phb-1 PE=1 SV=1</t>
  </si>
  <si>
    <t>Q9BKU4</t>
  </si>
  <si>
    <t>phb-1</t>
  </si>
  <si>
    <t>Mitochondrial prohibitin complex protein 1</t>
  </si>
  <si>
    <t>&gt;tr|Q9BKU5|Q9BKU5_CAEEL Large ribosomal subunit protein uL15 OS=Caenorhabditis elegans OX=6239 GN=CELE_Y37E3.8 PE=1 SV=1</t>
  </si>
  <si>
    <t>Q9BKU5</t>
  </si>
  <si>
    <t>Large ribosomal subunit protein uL15</t>
  </si>
  <si>
    <t>&gt;tr|Q9BKW0|Q9BKW0_CAEEL MTTase N-terminal domain-containing protein OS=Caenorhabditis elegans OX=6239 GN=CELE_Y92H12BL.4 PE=1 SV=5</t>
  </si>
  <si>
    <t>Q9BKW0</t>
  </si>
  <si>
    <t>MTTase N-terminal domain-containing protein</t>
  </si>
  <si>
    <t>&gt;tr|Q9BKZ7|Q9BKZ7_CAEEL BTB domain-containing protein OS=Caenorhabditis elegans OX=6239 GN=CELE_Y54F10AM.11 PE=4 SV=1</t>
  </si>
  <si>
    <t>Q9BKZ7</t>
  </si>
  <si>
    <t>&gt;sp|Q9BKZ9|FEH1_CAEEL Protein Fe65 homolog OS=Caenorhabditis elegans OX=6239 GN=feh-1 PE=1 SV=2</t>
  </si>
  <si>
    <t>Q9BKZ9</t>
  </si>
  <si>
    <t>feh-1</t>
  </si>
  <si>
    <t>Protein Fe65 homolog</t>
  </si>
  <si>
    <t>&gt;sp|Q9BL02|CUT_CAEEL Homeobox protein cut-like ceh-44 OS=Caenorhabditis elegans OX=6239 GN=ceh-44 PE=3 SV=1</t>
  </si>
  <si>
    <t>Q9BL02</t>
  </si>
  <si>
    <t>ceh-44</t>
  </si>
  <si>
    <t>Homeobox protein cut-like ceh-44</t>
  </si>
  <si>
    <t>&gt;tr|Q9BL05|Q9BL05_CAEEL WD_REPEATS_REGION domain-containing protein OS=Caenorhabditis elegans OX=6239 GN=rbc-2 PE=1 SV=4</t>
  </si>
  <si>
    <t>Q9BL05</t>
  </si>
  <si>
    <t>rbc-2</t>
  </si>
  <si>
    <t>&gt;tr|Q9BL09|Q9BL09_CAEEL TLC domain-containing protein OS=Caenorhabditis elegans OX=6239 GN=CELE_Y48G8AL.13 PE=1 SV=1</t>
  </si>
  <si>
    <t>Q9BL09</t>
  </si>
  <si>
    <t>TLC domain-containing protein</t>
  </si>
  <si>
    <t>&gt;tr|Q9BL11|Q9BL11_CAEEL HECT domain-containing protein OS=Caenorhabditis elegans OX=6239 GN=herc-1 PE=1 SV=2</t>
  </si>
  <si>
    <t>Q9BL11</t>
  </si>
  <si>
    <t>herc-1</t>
  </si>
  <si>
    <t>HECT domain-containing protein</t>
  </si>
  <si>
    <t>&gt;tr|Q9BL15|Q9BL15_CAEEL tRNA (cytosine(34)-C(5))-methyltransferase OS=Caenorhabditis elegans OX=6239 GN=nsun-2 PE=1 SV=4</t>
  </si>
  <si>
    <t>Q9BL15</t>
  </si>
  <si>
    <t>nsun-2</t>
  </si>
  <si>
    <t>tRNA (cytosine(34)-C(5))-methyltransferase</t>
  </si>
  <si>
    <t>&gt;tr|Q9BL17|Q9BL17_CAEEL ATP-binding cassette sub-family B member 8, mitochondrial OS=Caenorhabditis elegans OX=6239 GN=haf-6 PE=1 SV=3</t>
  </si>
  <si>
    <t>Q9BL17</t>
  </si>
  <si>
    <t>haf-6</t>
  </si>
  <si>
    <t>ATP-binding cassette sub-family B member 8, mitochondrial</t>
  </si>
  <si>
    <t>&gt;sp|Q9BL19|RL17_CAEEL Large ribosomal subunit protein uL22 OS=Caenorhabditis elegans OX=6239 GN=rpl-17 PE=3 SV=1</t>
  </si>
  <si>
    <t>Q9BL19</t>
  </si>
  <si>
    <t>rpl-17</t>
  </si>
  <si>
    <t>Large ribosomal subunit protein uL22</t>
  </si>
  <si>
    <t>&gt;tr|Q9BL35|Q9BL35_CAEEL Serine/threonine-protein phosphatase 2A activator OS=Caenorhabditis elegans OX=6239 GN=CELE_Y71H2AM.20 PE=1 SV=1</t>
  </si>
  <si>
    <t>Q9BL35</t>
  </si>
  <si>
    <t>Serine/threonine-protein phosphatase 2A activator</t>
  </si>
  <si>
    <t>&gt;tr|Q9BL48|Q9BL48_CAEEL protein-histidine N-methyltransferase OS=Caenorhabditis elegans OX=6239 GN=set-27 PE=1 SV=2</t>
  </si>
  <si>
    <t>Q9BL48</t>
  </si>
  <si>
    <t>set-27</t>
  </si>
  <si>
    <t>protein-histidine N-methyltransferase</t>
  </si>
  <si>
    <t>&gt;tr|Q9BL56|Q9BL56_CAEEL Cytidyltransferase-like domain-containing protein OS=Caenorhabditis elegans OX=6239 GN=CELE_Y65B4A.8 PE=1 SV=3</t>
  </si>
  <si>
    <t>Q9BL56</t>
  </si>
  <si>
    <t>Cytidyltransferase-like domain-containing protein</t>
  </si>
  <si>
    <t>&gt;tr|Q9BL61|Q9BL61_CAEEL RNA helicase OS=Caenorhabditis elegans OX=6239 GN=eif-4a3 PE=1 SV=2</t>
  </si>
  <si>
    <t>Q9BL61</t>
  </si>
  <si>
    <t>eif-4a3</t>
  </si>
  <si>
    <t>&gt;tr|Q9BL64|Q9BL64_CAEEL Protein HGH1 homolog OS=Caenorhabditis elegans OX=6239 GN=CELE_Y54H5A.2 PE=1 SV=2</t>
  </si>
  <si>
    <t>Q9BL64</t>
  </si>
  <si>
    <t>Protein HGH1 homolog</t>
  </si>
  <si>
    <t>&gt;tr|Q9BL68|Q9BL68_CAEEL PIN domain-containing protein OS=Caenorhabditis elegans OX=6239 GN=smg-6 PE=1 SV=3</t>
  </si>
  <si>
    <t>Q9BL68</t>
  </si>
  <si>
    <t>smg-6</t>
  </si>
  <si>
    <t>&gt;tr|Q9BL73|Q9BL73_CAEEL PIPK domain-containing protein OS=Caenorhabditis elegans OX=6239 GN=ppk-2 PE=1 SV=1</t>
  </si>
  <si>
    <t>Q9BL73</t>
  </si>
  <si>
    <t>ppk-2</t>
  </si>
  <si>
    <t>&gt;tr|Q9BL83|Q9BL83_CAEEL Vesicle-fusing ATPase OS=Caenorhabditis elegans OX=6239 GN=vps-4 PE=1 SV=4</t>
  </si>
  <si>
    <t>Q9BL83</t>
  </si>
  <si>
    <t>vps-4</t>
  </si>
  <si>
    <t>&gt;tr|Q9BL86|Q9BL86_CAEEL Large ribosomal subunit protein mL38 OS=Caenorhabditis elegans OX=6239 GN=mrpl-38 PE=1 SV=1</t>
  </si>
  <si>
    <t>Q9BL86</t>
  </si>
  <si>
    <t>mrpl-38</t>
  </si>
  <si>
    <t>Large ribosomal subunit protein mL38</t>
  </si>
  <si>
    <t>&gt;tr|Q9BL94|Q9BL94_CAEEL Histidine phosphatase family protein OS=Caenorhabditis elegans OX=6239 GN=CELE_Y18H1A.4 PE=1 SV=2</t>
  </si>
  <si>
    <t>Q9BL94</t>
  </si>
  <si>
    <t>Histidine phosphatase family protein</t>
  </si>
  <si>
    <t>&gt;tr|Q9BLA0|Q9BLA0_CAEEL K Homology domain-containing protein OS=Caenorhabditis elegans OX=6239 GN=fubl-3 PE=1 SV=1</t>
  </si>
  <si>
    <t>Q9BLA0</t>
  </si>
  <si>
    <t>fubl-3</t>
  </si>
  <si>
    <t>&gt;sp|Q9BLB6|RU2A_CAEEL Probable U2 small nuclear ribonucleoprotein A' OS=Caenorhabditis elegans OX=6239 GN=mog-2 PE=1 SV=1</t>
  </si>
  <si>
    <t>Q9BLB6</t>
  </si>
  <si>
    <t>mog-2</t>
  </si>
  <si>
    <t>Probable U2 small nuclear ribonucleoprotein A'</t>
  </si>
  <si>
    <t>&gt;tr|Q9BMU4|Q9BMU4_CAEEL GB1/RHD3-type G domain-containing protein OS=Caenorhabditis elegans OX=6239 GN=atln-1 PE=1 SV=1</t>
  </si>
  <si>
    <t>Q9BMU4</t>
  </si>
  <si>
    <t>atln-1</t>
  </si>
  <si>
    <t>GB1/RHD3-type G domain-containing protein</t>
  </si>
  <si>
    <t>&gt;tr|Q9BPN5|Q9BPN5_CAEEL Ig-like domain-containing protein OS=Caenorhabditis elegans OX=6239 GN=zig-11 PE=1 SV=2</t>
  </si>
  <si>
    <t>Q9BPN5</t>
  </si>
  <si>
    <t>zig-11</t>
  </si>
  <si>
    <t>&gt;tr|Q9BPN6|Q9BPN6_CAEEL Large ribosomal subunit protein uL15m OS=Caenorhabditis elegans OX=6239 GN=mrpl-15 PE=1 SV=1</t>
  </si>
  <si>
    <t>Q9BPN6</t>
  </si>
  <si>
    <t>mrpl-15</t>
  </si>
  <si>
    <t>Large ribosomal subunit protein uL15m</t>
  </si>
  <si>
    <t>&gt;tr|Q9BPN9|Q9BPN9_CAEEL Chromatin target of PRMT1 protein C-terminal domain-containing protein OS=Caenorhabditis elegans OX=6239 GN=CELE_Y92H12BR.2 PE=1 SV=1</t>
  </si>
  <si>
    <t>Q9BPN9</t>
  </si>
  <si>
    <t>&gt;tr|Q9GPA0|Q9GPA0_CAEEL UDP-Glucose Glycoprotein glucosylTransferase OS=Caenorhabditis elegans OX=6239 GN=uggt-1 PE=1 SV=1</t>
  </si>
  <si>
    <t>Q9GPA0</t>
  </si>
  <si>
    <t>uggt-1</t>
  </si>
  <si>
    <t>UDP-Glucose Glycoprotein glucosylTransferase</t>
  </si>
  <si>
    <t>&gt;sp|Q9GR61|RPAB5_CAEEL DNA-directed RNA polymerases I, II, and III subunit RPABC5 OS=Caenorhabditis elegans OX=6239 GN=rpb-10 PE=3 SV=1</t>
  </si>
  <si>
    <t>Q9GR61</t>
  </si>
  <si>
    <t>rpb-10</t>
  </si>
  <si>
    <t>DNA-directed RNA polymerases I, II, and III subunit RPABC5</t>
  </si>
  <si>
    <t>&gt;tr|Q9GRZ1|Q9GRZ1_CAEEL Microtubule End Binding Protein OS=Caenorhabditis elegans OX=6239 GN=ebp-1 PE=1 SV=1</t>
  </si>
  <si>
    <t>Q9GRZ1</t>
  </si>
  <si>
    <t>ebp-1</t>
  </si>
  <si>
    <t>Microtubule End Binding Protein</t>
  </si>
  <si>
    <t>&gt;tr|Q9GRZ2|Q9GRZ2_CAEEL Pre-mRNA-processing factor 6 OS=Caenorhabditis elegans OX=6239 GN=prp-6 PE=1 SV=3</t>
  </si>
  <si>
    <t>Q9GRZ2</t>
  </si>
  <si>
    <t>prp-6</t>
  </si>
  <si>
    <t>Pre-mRNA-processing factor 6</t>
  </si>
  <si>
    <t>&gt;tr|Q9GRZ5|Q9GRZ5_CAEEL PHD-type domain-containing protein OS=Caenorhabditis elegans OX=6239 GN=phf-14 PE=1 SV=2</t>
  </si>
  <si>
    <t>Q9GRZ5</t>
  </si>
  <si>
    <t>phf-14</t>
  </si>
  <si>
    <t>&gt;tr|Q9GRZ9|Q9GRZ9_CAEEL Ribosome-binding protein 1 OS=Caenorhabditis elegans OX=6239 GN=tcc-1 PE=1 SV=1</t>
  </si>
  <si>
    <t>Q9GRZ9</t>
  </si>
  <si>
    <t>tcc-1</t>
  </si>
  <si>
    <t>Ribosome-binding protein 1</t>
  </si>
  <si>
    <t>&gt;sp|Q9GS00|CSN1_CAEEL COP9 signalosome complex subunit 1 OS=Caenorhabditis elegans OX=6239 GN=csn-1 PE=1 SV=1</t>
  </si>
  <si>
    <t>Q9GS00</t>
  </si>
  <si>
    <t>csn-1</t>
  </si>
  <si>
    <t>COP9 signalosome complex subunit 1</t>
  </si>
  <si>
    <t>&gt;sp|Q9GT24|ZYG1_CAEEL Probable serine/threonine-protein kinase zyg-1 OS=Caenorhabditis elegans OX=6239 GN=zyg-1 PE=1 SV=1</t>
  </si>
  <si>
    <t>Q9GT24</t>
  </si>
  <si>
    <t>zyg-1</t>
  </si>
  <si>
    <t>Probable serine/threonine-protein kinase zyg-1</t>
  </si>
  <si>
    <t>&gt;tr|Q9GUF2|Q9GUF2_CAEEL Histidine phosphatase family protein OS=Caenorhabditis elegans OX=6239 GN=acp-6 PE=1 SV=2</t>
  </si>
  <si>
    <t>Q9GUF2</t>
  </si>
  <si>
    <t>acp-6</t>
  </si>
  <si>
    <t>&gt;tr|Q9GUM5|Q9GUM5_CAEEL Protein BFR2 OS=Caenorhabditis elegans OX=6239 GN=aatf-1 PE=1 SV=3</t>
  </si>
  <si>
    <t>Q9GUM5</t>
  </si>
  <si>
    <t>aatf-1</t>
  </si>
  <si>
    <t>Protein BFR2</t>
  </si>
  <si>
    <t>&gt;sp|Q9GYF1|TNNI2_CAEEL Troponin I 2 OS=Caenorhabditis elegans OX=6239 GN=unc-27 PE=2 SV=2</t>
  </si>
  <si>
    <t>Q9GYF1</t>
  </si>
  <si>
    <t>unc-27</t>
  </si>
  <si>
    <t>Troponin I 2</t>
  </si>
  <si>
    <t>&gt;tr|Q9GYG1|Q9GYG1_CAEEL C2H2-type domain-containing protein OS=Caenorhabditis elegans OX=6239 GN=ztf-8 PE=4 SV=2</t>
  </si>
  <si>
    <t>Q9GYG1</t>
  </si>
  <si>
    <t>ztf-8</t>
  </si>
  <si>
    <t>&gt;sp|Q9GYH7|RME6_CAEEL Receptor-mediated endocytosis protein 6 OS=Caenorhabditis elegans OX=6239 GN=rme-6 PE=1 SV=2</t>
  </si>
  <si>
    <t>Q9GYH7</t>
  </si>
  <si>
    <t>rme-6</t>
  </si>
  <si>
    <t>Receptor-mediated endocytosis protein 6</t>
  </si>
  <si>
    <t>&gt;tr|Q9GYH8|Q9GYH8_CAEEL Phosphatidylinositol-glycan biosynthesis class X protein OS=Caenorhabditis elegans OX=6239 GN=pigx-1 PE=1 SV=1</t>
  </si>
  <si>
    <t>Q9GYH8</t>
  </si>
  <si>
    <t>pigx-1</t>
  </si>
  <si>
    <t>Phosphatidylinositol-glycan biosynthesis class X protein</t>
  </si>
  <si>
    <t>&gt;sp|Q9GYI0|KDM7_CAEEL Lysine-specific demethylase 7 homolog OS=Caenorhabditis elegans OX=6239 GN=jmjd-1.2 PE=1 SV=1</t>
  </si>
  <si>
    <t>Q9GYI0</t>
  </si>
  <si>
    <t>jmjd-1.2</t>
  </si>
  <si>
    <t>Lysine-specific demethylase 7 homolog</t>
  </si>
  <si>
    <t>&gt;tr|Q9GYI7|Q9GYI7_CAEEL Serpentine Receptor, class T OS=Caenorhabditis elegans OX=6239 GN=CELE_F29B9.8 PE=1 SV=1</t>
  </si>
  <si>
    <t>Q9GYI7</t>
  </si>
  <si>
    <t>Serpentine Receptor, class T</t>
  </si>
  <si>
    <t>&gt;tr|Q9GYJ3|Q9GYJ3_CAEEL ShKT domain-containing protein OS=Caenorhabditis elegans OX=6239 GN=phat-1 PE=1 SV=2</t>
  </si>
  <si>
    <t>Q9GYJ3</t>
  </si>
  <si>
    <t>phat-1</t>
  </si>
  <si>
    <t>&gt;tr|Q9GYJ9|Q9GYJ9_CAEEL PX domain-containing protein OS=Caenorhabditis elegans OX=6239 GN=snx-1 PE=1 SV=1</t>
  </si>
  <si>
    <t>Q9GYJ9</t>
  </si>
  <si>
    <t>snx-1</t>
  </si>
  <si>
    <t>&gt;tr|Q9GYK8|Q9GYK8_CAEEL Protein SPT2 homolog OS=Caenorhabditis elegans OX=6239 GN=CELE_T05A12.3 PE=1 SV=1</t>
  </si>
  <si>
    <t>Q9GYK8</t>
  </si>
  <si>
    <t>Protein SPT2 homolog</t>
  </si>
  <si>
    <t>&gt;tr|Q9GYL4|Q9GYL4_CAEEL JmjC domain-containing protein OS=Caenorhabditis elegans OX=6239 GN=CELE_R04E5.8 PE=1 SV=1</t>
  </si>
  <si>
    <t>Q9GYL4</t>
  </si>
  <si>
    <t>&gt;tr|Q9GYQ6|Q9GYQ6_CAEEL UPF0642 protein YBL028C OS=Caenorhabditis elegans OX=6239 GN=C49H3.3 PE=1 SV=1</t>
  </si>
  <si>
    <t>Q9GYQ6</t>
  </si>
  <si>
    <t>C49H3.3</t>
  </si>
  <si>
    <t>UPF0642 protein YBL028C</t>
  </si>
  <si>
    <t>&gt;tr|Q9GYR0|Q9GYR0_CAEEL C3HC-type domain-containing protein OS=Caenorhabditis elegans OX=6239 GN=npp-27 PE=1 SV=2</t>
  </si>
  <si>
    <t>Q9GYR0</t>
  </si>
  <si>
    <t>npp-27</t>
  </si>
  <si>
    <t>C3HC-type domain-containing protein</t>
  </si>
  <si>
    <t>&gt;tr|Q9GYR5|Q9GYR5_CAEEL NADAR domain-containing protein OS=Caenorhabditis elegans OX=6239 GN=sna-3 PE=1 SV=1</t>
  </si>
  <si>
    <t>Q9GYR5</t>
  </si>
  <si>
    <t>sna-3</t>
  </si>
  <si>
    <t>&gt;sp|Q9GYS1|MES6_CAEEL Polycomb protein mes-6 OS=Caenorhabditis elegans OX=6239 GN=mes-6 PE=1 SV=2</t>
  </si>
  <si>
    <t>Q9GYS1</t>
  </si>
  <si>
    <t>mes-6</t>
  </si>
  <si>
    <t>Polycomb protein mes-6</t>
  </si>
  <si>
    <t>&gt;tr|Q9GYS8|Q9GYS8_CAEEL phenylalanine--tRNA ligase OS=Caenorhabditis elegans OX=6239 GN=fars-1 PE=1 SV=1</t>
  </si>
  <si>
    <t>Q9GYS8</t>
  </si>
  <si>
    <t>fars-1</t>
  </si>
  <si>
    <t>&gt;sp|Q9GYS9|RM23_CAEEL Large ribosomal subunit protein uL23m OS=Caenorhabditis elegans OX=6239 GN=mrpl-23 PE=3 SV=1</t>
  </si>
  <si>
    <t>Q9GYS9</t>
  </si>
  <si>
    <t>mrpl-23</t>
  </si>
  <si>
    <t>Large ribosomal subunit protein uL23m</t>
  </si>
  <si>
    <t>&gt;tr|Q9GYT0|Q9GYT0_CAEEL Enoyl-CoA hydratase OS=Caenorhabditis elegans OX=6239 GN=ech-1.2 PE=1 SV=1</t>
  </si>
  <si>
    <t>Q9GYT0</t>
  </si>
  <si>
    <t>ech-1.2</t>
  </si>
  <si>
    <t>&gt;sp|Q9GZE9|LDP1_CAEEL Lipid droplet localized protein OS=Caenorhabditis elegans OX=6239 GN=ldp-1 PE=1 SV=1</t>
  </si>
  <si>
    <t>Q9GZE9</t>
  </si>
  <si>
    <t>ldp-1</t>
  </si>
  <si>
    <t>Lipid droplet localized protein</t>
  </si>
  <si>
    <t>&gt;sp|Q9GZH2|RUVB2_CAEEL RuvB-like 2 OS=Caenorhabditis elegans OX=6239 GN=ruvb-2 PE=1 SV=1</t>
  </si>
  <si>
    <t>Q9GZH2</t>
  </si>
  <si>
    <t>ruvb-2</t>
  </si>
  <si>
    <t>RuvB-like 2</t>
  </si>
  <si>
    <t>&gt;sp|Q9GZH3|IMDH_CAEEL Inosine-5'-monophosphate dehydrogenase OS=Caenorhabditis elegans OX=6239 GN=T22D1.3 PE=3 SV=2</t>
  </si>
  <si>
    <t>Q9GZH3</t>
  </si>
  <si>
    <t>T22D1.3</t>
  </si>
  <si>
    <t>Inosine-5'-monophosphate dehydrogenase</t>
  </si>
  <si>
    <t>&gt;sp|Q9GZH4|RPN1_CAEEL Dolichyl-diphosphooligosaccharide--protein glycosyltransferase subunit 1 OS=Caenorhabditis elegans OX=6239 GN=ribo-1 PE=3 SV=2</t>
  </si>
  <si>
    <t>Q9GZH4</t>
  </si>
  <si>
    <t>ribo-1</t>
  </si>
  <si>
    <t>Dolichyl-diphosphooligosaccharide--protein glycosyltransferase subunit 1</t>
  </si>
  <si>
    <t>&gt;tr|Q9GZH5|Q9GZH5_CAEEL 26S proteasome non-ATPase regulatory subunit 2 OS=Caenorhabditis elegans OX=6239 GN=rpn-1 PE=1 SV=1</t>
  </si>
  <si>
    <t>Q9GZH5</t>
  </si>
  <si>
    <t>rpn-1</t>
  </si>
  <si>
    <t>26S proteasome non-ATPase regulatory subunit 2</t>
  </si>
  <si>
    <t>&gt;tr|Q9GZI0|Q9GZI0_CAEEL BAT2 N-terminal domain-containing protein OS=Caenorhabditis elegans OX=6239 GN=CELE_F52G3.1 PE=1 SV=2</t>
  </si>
  <si>
    <t>Q9GZI0</t>
  </si>
  <si>
    <t>BAT2 N-terminal domain-containing protein</t>
  </si>
  <si>
    <t>&gt;sp|Q9N2L7|PLK2_CAEEL Serine/threonine-protein kinase plk-2 OS=Caenorhabditis elegans OX=6239 GN=plk-2 PE=1 SV=1</t>
  </si>
  <si>
    <t>Q9N2L7</t>
  </si>
  <si>
    <t>plk-2</t>
  </si>
  <si>
    <t>Serine/threonine-protein kinase plk-2</t>
  </si>
  <si>
    <t>&gt;tr|Q9N2T3|Q9N2T3_CAEEL F-box domain-containing protein OS=Caenorhabditis elegans OX=6239 GN=CELE_Y9C9A.8 PE=4 SV=3</t>
  </si>
  <si>
    <t>Q9N2T3</t>
  </si>
  <si>
    <t>&gt;sp|Q9N2V6|GPA16_CAEEL Guanine nucleotide-binding protein alpha-16 subunit OS=Caenorhabditis elegans OX=6239 GN=gpa-16 PE=1 SV=3</t>
  </si>
  <si>
    <t>Q9N2V6</t>
  </si>
  <si>
    <t>gpa-16</t>
  </si>
  <si>
    <t>Guanine nucleotide-binding protein alpha-16 subunit</t>
  </si>
  <si>
    <t>&gt;sp|Q9N2V9|PDE6_CAEEL Probable 3',5'-cyclic phosphodiesterase pde-6 OS=Caenorhabditis elegans OX=6239 GN=pde-6 PE=3 SV=1</t>
  </si>
  <si>
    <t>Q9N2V9</t>
  </si>
  <si>
    <t>pde-6</t>
  </si>
  <si>
    <t>Probable 3',5'-cyclic phosphodiesterase pde-6</t>
  </si>
  <si>
    <t>&gt;tr|Q9N2X7|Q9N2X7_CAEEL Transmembrane protein 50A OS=Caenorhabditis elegans OX=6239 GN=CELE_Y74C10AL.2 PE=3 SV=1</t>
  </si>
  <si>
    <t>Q9N2X7</t>
  </si>
  <si>
    <t>Transmembrane protein 50A</t>
  </si>
  <si>
    <t>&gt;sp|Q9N2Z7|WWP1_CAEEL E3 ubiquitin-protein ligase wwp-1 OS=Caenorhabditis elegans OX=6239 GN=wwp-1 PE=1 SV=2</t>
  </si>
  <si>
    <t>Q9N2Z7</t>
  </si>
  <si>
    <t>wwp-1</t>
  </si>
  <si>
    <t>E3 ubiquitin-protein ligase wwp-1</t>
  </si>
  <si>
    <t>&gt;sp|Q9N303|DEPS1_CAEEL P-granule-associated protein deps-1 OS=Caenorhabditis elegans OX=6239 GN=deps-1 PE=1 SV=1</t>
  </si>
  <si>
    <t>Q9N303</t>
  </si>
  <si>
    <t>deps-1</t>
  </si>
  <si>
    <t>P-granule-associated protein deps-1</t>
  </si>
  <si>
    <t>&gt;tr|Q9N306|Q9N306_CAEEL Bms1-type G domain-containing protein OS=Caenorhabditis elegans OX=6239 GN=CELE_Y61A9LA.10 PE=1 SV=4</t>
  </si>
  <si>
    <t>Q9N306</t>
  </si>
  <si>
    <t>Bms1-type G domain-containing protein</t>
  </si>
  <si>
    <t>&gt;tr|Q9N309|Q9N309_CAEEL Major facilitator superfamily (MFS) profile domain-containing protein OS=Caenorhabditis elegans OX=6239 GN=CELE_Y61A9LA.1 PE=4 SV=2</t>
  </si>
  <si>
    <t>Q9N309</t>
  </si>
  <si>
    <t>&gt;tr|Q9N323|Q9N323_CAEEL Cation-transporting ATPase OS=Caenorhabditis elegans OX=6239 GN=catp-7 PE=1 SV=3</t>
  </si>
  <si>
    <t>Q9N323</t>
  </si>
  <si>
    <t>catp-7</t>
  </si>
  <si>
    <t>Cation-transporting ATPase</t>
  </si>
  <si>
    <t>&gt;sp|Q9N337|MED6_CAEEL Mediator of RNA polymerase II transcription subunit 6 OS=Caenorhabditis elegans OX=6239 GN=mdt-6 PE=1 SV=1</t>
  </si>
  <si>
    <t>Q9N337</t>
  </si>
  <si>
    <t>mdt-6</t>
  </si>
  <si>
    <t>Mediator of RNA polymerase II transcription subunit 6</t>
  </si>
  <si>
    <t>&gt;tr|Q9N341|Q9N341_CAEEL ATP-dependent RNA helicase DDX1 OS=Caenorhabditis elegans OX=6239 GN=CELE_Y55F3BR.1 PE=1 SV=3</t>
  </si>
  <si>
    <t>Q9N341</t>
  </si>
  <si>
    <t>ATP-dependent RNA helicase DDX1</t>
  </si>
  <si>
    <t>&gt;tr|Q9N356|Q9N356_CAEEL Cytochrome OXidase assembly protein OS=Caenorhabditis elegans OX=6239 GN=cox-18 PE=1 SV=2</t>
  </si>
  <si>
    <t>Q9N356</t>
  </si>
  <si>
    <t>cox-18</t>
  </si>
  <si>
    <t>Cytochrome OXidase assembly protein</t>
  </si>
  <si>
    <t>&gt;sp|Q9N358|TCPQ_CAEEL T-complex protein 1 subunit theta OS=Caenorhabditis elegans OX=6239 GN=cct-8 PE=1 SV=3</t>
  </si>
  <si>
    <t>Q9N358</t>
  </si>
  <si>
    <t>cct-8</t>
  </si>
  <si>
    <t>T-complex protein 1 subunit theta</t>
  </si>
  <si>
    <t>&gt;sp|Q9N359|CSN4_CAEEL COP9 signalosome complex subunit 4 OS=Caenorhabditis elegans OX=6239 GN=csn-4 PE=1 SV=1</t>
  </si>
  <si>
    <t>Q9N359</t>
  </si>
  <si>
    <t>csn-4</t>
  </si>
  <si>
    <t>COP9 signalosome complex subunit 4</t>
  </si>
  <si>
    <t>&gt;sp|Q9N361|RT25_CAEEL Small ribosomal subunit protein mS25 OS=Caenorhabditis elegans OX=6239 GN=mrps-25 PE=3 SV=1</t>
  </si>
  <si>
    <t>Q9N361</t>
  </si>
  <si>
    <t>mrps-25</t>
  </si>
  <si>
    <t>Small ribosomal subunit protein mS25</t>
  </si>
  <si>
    <t>&gt;tr|Q9N362|Q9N362_CAEEL FH2 domain-containing protein OS=Caenorhabditis elegans OX=6239 GN=CELE_Y55F3AM.13 PE=1 SV=1</t>
  </si>
  <si>
    <t>Q9N362</t>
  </si>
  <si>
    <t>FH2 domain-containing protein</t>
  </si>
  <si>
    <t>&gt;sp|Q9N363|DCP1_CAEEL mRNA-decapping enzyme 1 OS=Caenorhabditis elegans OX=6239 GN=dcap-1 PE=1 SV=1</t>
  </si>
  <si>
    <t>Q9N363</t>
  </si>
  <si>
    <t>dcap-1</t>
  </si>
  <si>
    <t>mRNA-decapping enzyme 1</t>
  </si>
  <si>
    <t>&gt;tr|Q9N368|Q9N368_CAEEL RRM domain-containing protein OS=Caenorhabditis elegans OX=6239 GN=rbm-39 PE=1 SV=2</t>
  </si>
  <si>
    <t>Q9N368</t>
  </si>
  <si>
    <t>rbm-39</t>
  </si>
  <si>
    <t>&gt;tr|Q9N369|Q9N369_CAEEL Ubiquitin-like-conjugating enzyme ATG3 OS=Caenorhabditis elegans OX=6239 GN=atg-3 PE=1 SV=1</t>
  </si>
  <si>
    <t>Q9N369</t>
  </si>
  <si>
    <t>atg-3</t>
  </si>
  <si>
    <t>Ubiquitin-like-conjugating enzyme ATG3</t>
  </si>
  <si>
    <t>&gt;tr|Q9N370|Q9N370_CAEEL Ubiquitin carboxyl-terminal hydrolase OS=Caenorhabditis elegans OX=6239 GN=CELE_Y55F3AM.9 PE=1 SV=1</t>
  </si>
  <si>
    <t>Q9N370</t>
  </si>
  <si>
    <t>&gt;sp|Q9N373|MKRN_CAEEL E3 ubiquitin-protein ligase makorin OS=Caenorhabditis elegans OX=6239 GN=lep-2 PE=1 SV=1</t>
  </si>
  <si>
    <t>Q9N373</t>
  </si>
  <si>
    <t>lep-2</t>
  </si>
  <si>
    <t>E3 ubiquitin-protein ligase makorin</t>
  </si>
  <si>
    <t>&gt;tr|Q9N3C2|Q9N3C2_CAEEL Mitochondrial genome maintenance exonuclease 1 OS=Caenorhabditis elegans OX=6239 GN=CELE_Y54F10AR.2 PE=1 SV=3</t>
  </si>
  <si>
    <t>Q9N3C2</t>
  </si>
  <si>
    <t>&gt;tr|Q9N3C9|Q9N3C9_CAEEL DNA-directed RNA polymerase II subunit RPB7 OS=Caenorhabditis elegans OX=6239 GN=rpb-7 PE=1 SV=1</t>
  </si>
  <si>
    <t>Q9N3C9</t>
  </si>
  <si>
    <t>rpb-7</t>
  </si>
  <si>
    <t>DNA-directed RNA polymerase II subunit RPB7</t>
  </si>
  <si>
    <t>&gt;tr|Q9N3D0|Q9N3D0_CAEEL Signal peptidase complex catalytic subunit SEC11 OS=Caenorhabditis elegans OX=6239 GN=sec-11 PE=1 SV=1</t>
  </si>
  <si>
    <t>Q9N3D0</t>
  </si>
  <si>
    <t>sec-11</t>
  </si>
  <si>
    <t>Signal peptidase complex catalytic subunit SEC11</t>
  </si>
  <si>
    <t>&gt;tr|Q9N3D3|Q9N3D3_CAEEL RNA-binding protein NOB1 OS=Caenorhabditis elegans OX=6239 GN=CELE_Y54E10BR.4 PE=1 SV=2</t>
  </si>
  <si>
    <t>Q9N3D3</t>
  </si>
  <si>
    <t>RNA-binding protein NOB1</t>
  </si>
  <si>
    <t>&gt;tr|Q9N3D9|Q9N3D9_CAEEL NADH dehydrogenase [ubiquinone] iron-sulfur protein 5 OS=Caenorhabditis elegans OX=6239 GN=nduf-5 PE=1 SV=1</t>
  </si>
  <si>
    <t>Q9N3D9</t>
  </si>
  <si>
    <t>nduf-5</t>
  </si>
  <si>
    <t>NADH dehydrogenase [ubiquinone] iron-sulfur protein 5</t>
  </si>
  <si>
    <t>&gt;sp|Q9N3E2|MAB31_CAEEL Male abnormal protein mab-31 OS=Caenorhabditis elegans OX=6239 GN=mab-31 PE=2 SV=1</t>
  </si>
  <si>
    <t>Q9N3E2</t>
  </si>
  <si>
    <t>mab-31</t>
  </si>
  <si>
    <t>Male abnormal protein mab-31</t>
  </si>
  <si>
    <t>&gt;tr|Q9N3E8|Q9N3E8_CAEEL PH domain-containing protein OS=Caenorhabditis elegans OX=6239 GN=syp-5 PE=1 SV=1</t>
  </si>
  <si>
    <t>Q9N3E8</t>
  </si>
  <si>
    <t>syp-5</t>
  </si>
  <si>
    <t>&gt;sp|Q9N3F0|RPF2_CAEEL Ribosome production factor 2 homolog OS=Caenorhabditis elegans OX=6239 GN=Y54E10A.10 PE=3 SV=1</t>
  </si>
  <si>
    <t>Q9N3F0</t>
  </si>
  <si>
    <t>Y54E10A.10</t>
  </si>
  <si>
    <t>Ribosome production factor 2 homolog</t>
  </si>
  <si>
    <t>&gt;tr|Q9N3F2|Q9N3F2_CAEEL B3/B4 tRNA-binding domain-containing protein OS=Caenorhabditis elegans OX=6239 GN=CELE_Y54E10A.6 PE=1 SV=1</t>
  </si>
  <si>
    <t>Q9N3F2</t>
  </si>
  <si>
    <t>B3/B4 tRNA-binding domain-containing protein</t>
  </si>
  <si>
    <t>&gt;tr|Q9N3F3|Q9N3F3_CAEEL Large ribosomal subunit protein bL17m OS=Caenorhabditis elegans OX=6239 GN=mrpl-17 PE=1 SV=2</t>
  </si>
  <si>
    <t>Q9N3F3</t>
  </si>
  <si>
    <t>mrpl-17</t>
  </si>
  <si>
    <t>Large ribosomal subunit protein bL17m</t>
  </si>
  <si>
    <t>&gt;tr|Q9N3F7|Q9N3F7_CAEEL C3H1-type domain-containing protein OS=Caenorhabditis elegans OX=6239 GN=CELE_Y53G8AR.9 PE=1 SV=1</t>
  </si>
  <si>
    <t>Q9N3F7</t>
  </si>
  <si>
    <t>&gt;tr|Q9N3G1|Q9N3G1_CAEEL Mitochondrial ATP synthase regulatory component factor B OS=Caenorhabditis elegans OX=6239 GN=CELE_Y53G8AR.8 PE=1 SV=3</t>
  </si>
  <si>
    <t>Q9N3G1</t>
  </si>
  <si>
    <t>Mitochondrial ATP synthase regulatory component factor B</t>
  </si>
  <si>
    <t>&gt;tr|Q9N3G2|Q9N3G2_CAEEL Major facilitator superfamily (MFS) profile domain-containing protein OS=Caenorhabditis elegans OX=6239 GN=mfsd-8 PE=1 SV=3</t>
  </si>
  <si>
    <t>Q9N3G2</t>
  </si>
  <si>
    <t>mfsd-8</t>
  </si>
  <si>
    <t>&gt;tr|Q9N3H3|Q9N3H3_CAEEL NADH dehydrogenase [ubiquinone] 1 alpha subcomplex subunit 9, mitochondrial OS=Caenorhabditis elegans OX=6239 GN=nduf-9 PE=1 SV=2</t>
  </si>
  <si>
    <t>Q9N3H3</t>
  </si>
  <si>
    <t>nduf-9</t>
  </si>
  <si>
    <t>NADH dehydrogenase [ubiquinone] 1 alpha subcomplex subunit 9, mitochondrial</t>
  </si>
  <si>
    <t>&gt;tr|Q9N3L2|Q9N3L2_CAEEL General transcription and DNA repair factor IIH helicase subunit XPD OS=Caenorhabditis elegans OX=6239 GN=xpd-1 PE=1 SV=5</t>
  </si>
  <si>
    <t>Q9N3L2</t>
  </si>
  <si>
    <t>xpd-1</t>
  </si>
  <si>
    <t>General transcription and DNA repair factor IIH helicase subunit XPD</t>
  </si>
  <si>
    <t>&gt;tr|Q9N3L4|Q9N3L4_CAEEL phosphorylase kinase OS=Caenorhabditis elegans OX=6239 GN=CELE_Y50D7A.3 PE=1 SV=4</t>
  </si>
  <si>
    <t>Q9N3L4</t>
  </si>
  <si>
    <t>phosphorylase kinase</t>
  </si>
  <si>
    <t>&gt;tr|Q9N3Q5|Q9N3Q5_CAEEL BTB domain-containing protein OS=Caenorhabditis elegans OX=6239 GN=CELE_Y48G1A.1 PE=4 SV=3</t>
  </si>
  <si>
    <t>Q9N3Q5</t>
  </si>
  <si>
    <t>&gt;tr|Q9N3Q9|Q9N3Q9_CAEEL Nucleolar protein 14 OS=Caenorhabditis elegans OX=6239 GN=nol-14 PE=1 SV=3</t>
  </si>
  <si>
    <t>Q9N3Q9</t>
  </si>
  <si>
    <t>nol-14</t>
  </si>
  <si>
    <t>Nucleolar protein 14</t>
  </si>
  <si>
    <t>&gt;tr|Q9N3R5|Q9N3R5_CAEEL Innexin OS=Caenorhabditis elegans OX=6239 GN=inx-22 PE=1 SV=2</t>
  </si>
  <si>
    <t>Q9N3R5</t>
  </si>
  <si>
    <t>inx-22</t>
  </si>
  <si>
    <t>&gt;sp|Q9N3S4|PUF60_CAEEL Poly(U)-binding-splicing factor rnp-6 OS=Caenorhabditis elegans OX=6239 GN=rnp-6 PE=1 SV=1</t>
  </si>
  <si>
    <t>Q9N3S4</t>
  </si>
  <si>
    <t>rnp-6</t>
  </si>
  <si>
    <t>Poly(U)-binding-splicing factor rnp-6</t>
  </si>
  <si>
    <t>&gt;tr|Q9N3S5|Q9N3S5_CAEEL Tyrosine-protein kinase OS=Caenorhabditis elegans OX=6239 GN=CELE_Y47G6A.5 PE=1 SV=2</t>
  </si>
  <si>
    <t>Q9N3S5</t>
  </si>
  <si>
    <t>&gt;tr|Q9N3S7|Q9N3S7_CAEEL Histone acetyltransferase GCN5 OS=Caenorhabditis elegans OX=6239 GN=pcaf-1 PE=1 SV=1</t>
  </si>
  <si>
    <t>Q9N3S7</t>
  </si>
  <si>
    <t>pcaf-1</t>
  </si>
  <si>
    <t>Histone acetyltransferase GCN5</t>
  </si>
  <si>
    <t>&gt;tr|Q9N3S8|Q9N3S8_CAEEL Golgi phosphoprotein 3 homolog sauron OS=Caenorhabditis elegans OX=6239 GN=CELE_Y47G6A.18 PE=1 SV=2</t>
  </si>
  <si>
    <t>Q9N3S8</t>
  </si>
  <si>
    <t>Golgi phosphoprotein 3 homolog sauron</t>
  </si>
  <si>
    <t>&gt;sp|Q9N3T2|FEN1_CAEEL Flap endonuclease 1 OS=Caenorhabditis elegans OX=6239 GN=crn-1 PE=1 SV=1</t>
  </si>
  <si>
    <t>Q9N3T2</t>
  </si>
  <si>
    <t>crn-1</t>
  </si>
  <si>
    <t>Flap endonuclease 1</t>
  </si>
  <si>
    <t>&gt;sp|Q9N3T5|AFG3_CAEEL AFG3-like protein spg-7 OS=Caenorhabditis elegans OX=6239 GN=spg-7 PE=3 SV=2</t>
  </si>
  <si>
    <t>Q9N3T5</t>
  </si>
  <si>
    <t>spg-7</t>
  </si>
  <si>
    <t>AFG3-like protein spg-7</t>
  </si>
  <si>
    <t>&gt;tr|Q9N3T8|Q9N3T8_CAEEL DNA mismatch repair protein OS=Caenorhabditis elegans OX=6239 GN=msh-6 PE=1 SV=2</t>
  </si>
  <si>
    <t>Q9N3T8</t>
  </si>
  <si>
    <t>msh-6</t>
  </si>
  <si>
    <t>DNA mismatch repair protein</t>
  </si>
  <si>
    <t>&gt;sp|Q9N3X2|RS4_CAEEL Small ribosomal subunit protein eS4 OS=Caenorhabditis elegans OX=6239 GN=rps-4 PE=1 SV=1</t>
  </si>
  <si>
    <t>Q9N3X2</t>
  </si>
  <si>
    <t>rps-4</t>
  </si>
  <si>
    <t>Small ribosomal subunit protein eS4</t>
  </si>
  <si>
    <t>&gt;tr|Q9N3X3|Q9N3X3_CAEEL TruB_N domain-containing protein OS=Caenorhabditis elegans OX=6239 GN=CELE_Y43B11AR.3 PE=4 SV=4</t>
  </si>
  <si>
    <t>Q9N3X3</t>
  </si>
  <si>
    <t>TruB_N domain-containing protein</t>
  </si>
  <si>
    <t>&gt;tr|Q9N412|Q9N412_CAEEL Minor tail protein OS=Caenorhabditis elegans OX=6239 GN=CELE_Y39A3CL.1 PE=1 SV=4</t>
  </si>
  <si>
    <t>Q9N412</t>
  </si>
  <si>
    <t>Minor tail protein</t>
  </si>
  <si>
    <t>&gt;tr|Q9N415|Q9N415_CAEEL Variant SH3 domain protein OS=Caenorhabditis elegans OX=6239 GN=rimb-1 PE=1 SV=3</t>
  </si>
  <si>
    <t>Q9N415</t>
  </si>
  <si>
    <t>rimb-1</t>
  </si>
  <si>
    <t>Variant SH3 domain protein</t>
  </si>
  <si>
    <t>&gt;sp|Q9N425|CSN3_CAEEL COP9 signalosome complex subunit 3 OS=Caenorhabditis elegans OX=6239 GN=csn-3 PE=1 SV=4</t>
  </si>
  <si>
    <t>Q9N425</t>
  </si>
  <si>
    <t>csn-3</t>
  </si>
  <si>
    <t>COP9 signalosome complex subunit 3</t>
  </si>
  <si>
    <t>&gt;tr|Q9N431|Q9N431_CAEEL Uncharacterized protein OS=Caenorhabditis elegans OX=6239 GN=CELE_Y38C1AA.7 PE=1 SV=1</t>
  </si>
  <si>
    <t>Q9N431</t>
  </si>
  <si>
    <t>&gt;tr|Q9N457|Q9N457_CAEEL PSP proline-rich domain-containing protein OS=Caenorhabditis elegans OX=6239 GN=CELE_Y34D9A.7 PE=1 SV=3</t>
  </si>
  <si>
    <t>Q9N457</t>
  </si>
  <si>
    <t>&gt;tr|Q9N478|Q9N478_CAEEL ATP-dependent RNA helicase OS=Caenorhabditis elegans OX=6239 GN=ddx-10 PE=1 SV=1</t>
  </si>
  <si>
    <t>Q9N478</t>
  </si>
  <si>
    <t>ddx-10</t>
  </si>
  <si>
    <t>&gt;sp|Q9N491|SQV2_CAEEL Beta-1,3-galactosyltransferase sqv-2 OS=Caenorhabditis elegans OX=6239 GN=sqv-2 PE=2 SV=1</t>
  </si>
  <si>
    <t>Q9N491</t>
  </si>
  <si>
    <t>sqv-2</t>
  </si>
  <si>
    <t>Beta-1,3-galactosyltransferase sqv-2</t>
  </si>
  <si>
    <t>&gt;tr|Q9N492|Q9N492_CAEEL Peptidyl-prolyl cis-trans isomerase OS=Caenorhabditis elegans OX=6239 GN=pinn-1 PE=1 SV=2</t>
  </si>
  <si>
    <t>Q9N492</t>
  </si>
  <si>
    <t>pinn-1</t>
  </si>
  <si>
    <t>Peptidyl-prolyl cis-trans isomerase</t>
  </si>
  <si>
    <t>&gt;tr|Q9N4A5|Q9N4A5_CAEEL Phosphotransferase OS=Caenorhabditis elegans OX=6239 GN=hxk-3 PE=1 SV=1</t>
  </si>
  <si>
    <t>Q9N4A5</t>
  </si>
  <si>
    <t>hxk-3</t>
  </si>
  <si>
    <t>Phosphotransferase</t>
  </si>
  <si>
    <t>&gt;sp|Q9N4A7|SEC13_CAEEL Protein SEC13 homolog OS=Caenorhabditis elegans OX=6239 GN=npp-20 PE=1 SV=1</t>
  </si>
  <si>
    <t>Q9N4A7</t>
  </si>
  <si>
    <t>npp-20</t>
  </si>
  <si>
    <t>Protein SEC13 homolog</t>
  </si>
  <si>
    <t>&gt;tr|Q9N4B1|Q9N4B1_CAEEL Calpain catalytic domain-containing protein OS=Caenorhabditis elegans OX=6239 GN=clp-7 PE=1 SV=2</t>
  </si>
  <si>
    <t>Q9N4B1</t>
  </si>
  <si>
    <t>clp-7</t>
  </si>
  <si>
    <t>Calpain catalytic domain-containing protein</t>
  </si>
  <si>
    <t>&gt;sp|Q9N4C2|CPSF1_CAEEL Probable cleavage and polyadenylation specificity factor subunit 1 OS=Caenorhabditis elegans OX=6239 GN=cpsf-1 PE=3 SV=2</t>
  </si>
  <si>
    <t>Q9N4C2</t>
  </si>
  <si>
    <t>cpsf-1</t>
  </si>
  <si>
    <t>Probable cleavage and polyadenylation specificity factor subunit 1</t>
  </si>
  <si>
    <t>&gt;tr|Q9N4C3|Q9N4C3_CAEEL XPC (Xeroderma Pigmentosum group C) DNA repair gene homolog OS=Caenorhabditis elegans OX=6239 GN=xpc-1 PE=1 SV=2</t>
  </si>
  <si>
    <t>Q9N4C3</t>
  </si>
  <si>
    <t>xpc-1</t>
  </si>
  <si>
    <t>XPC (Xeroderma Pigmentosum group C) DNA repair gene homolog</t>
  </si>
  <si>
    <t>&gt;tr|Q9N4E2|Q9N4E2_CAEEL AB hydrolase-1 domain-containing protein OS=Caenorhabditis elegans OX=6239 GN=CELE_Y73C8B.3 PE=1 SV=2</t>
  </si>
  <si>
    <t>Q9N4E2</t>
  </si>
  <si>
    <t>&gt;sp|Q9N4E9|PP4RS_CAEEL Serine/threonine-protein phosphatase 4 regulatory subunit ppfr-4 OS=Caenorhabditis elegans OX=6239 GN=ppfr-4 PE=1 SV=1</t>
  </si>
  <si>
    <t>Q9N4E9</t>
  </si>
  <si>
    <t>ppfr-4</t>
  </si>
  <si>
    <t>Serine/threonine-protein phosphatase 4 regulatory subunit ppfr-4</t>
  </si>
  <si>
    <t>&gt;tr|Q9N4F1|Q9N4F1_CAEEL Aminotran_5 domain-containing protein OS=Caenorhabditis elegans OX=6239 GN=CELE_Y71H2B.5 PE=1 SV=4</t>
  </si>
  <si>
    <t>Q9N4F1</t>
  </si>
  <si>
    <t>Aminotran_5 domain-containing protein</t>
  </si>
  <si>
    <t>&gt;tr|Q9N4F3|Q9N4F3_CAEEL AP complex subunit beta OS=Caenorhabditis elegans OX=6239 GN=apb-1 PE=1 SV=2</t>
  </si>
  <si>
    <t>Q9N4F3</t>
  </si>
  <si>
    <t>apb-1</t>
  </si>
  <si>
    <t>AP complex subunit beta</t>
  </si>
  <si>
    <t>&gt;tr|Q9N4F4|Q9N4F4_CAEEL G Protein, Alpha subunit OS=Caenorhabditis elegans OX=6239 GN=gpa-17 PE=1 SV=1</t>
  </si>
  <si>
    <t>Q9N4F4</t>
  </si>
  <si>
    <t>gpa-17</t>
  </si>
  <si>
    <t>G Protein, Alpha subunit</t>
  </si>
  <si>
    <t>&gt;tr|Q9N4G1|Q9N4G1_CAEEL Transmembrane protein OS=Caenorhabditis elegans OX=6239 GN=CELE_Y71F9B.1 PE=4 SV=1</t>
  </si>
  <si>
    <t>Q9N4G1</t>
  </si>
  <si>
    <t>&gt;sp|Q9N4G4|MED1_CAEEL Mediator of RNA polymerase II transcription subunit 1.1 OS=Caenorhabditis elegans OX=6239 GN=sop-3 PE=1 SV=2</t>
  </si>
  <si>
    <t>Q9N4G4</t>
  </si>
  <si>
    <t>sop-3</t>
  </si>
  <si>
    <t>Mediator of RNA polymerase II transcription subunit 1.1</t>
  </si>
  <si>
    <t>&gt;sp|Q9N4H4|PARP1_CAEEL Poly [ADP-ribose] polymerase 1 OS=Caenorhabditis elegans OX=6239 GN=parp-1 PE=1 SV=1</t>
  </si>
  <si>
    <t>Q9N4H4</t>
  </si>
  <si>
    <t>parp-1</t>
  </si>
  <si>
    <t>Poly [ADP-ribose] polymerase 1</t>
  </si>
  <si>
    <t>&gt;tr|Q9N4H6|Q9N4H6_CAEEL maleylacetoacetate isomerase OS=Caenorhabditis elegans OX=6239 GN=gst-43 PE=1 SV=1</t>
  </si>
  <si>
    <t>Q9N4H6</t>
  </si>
  <si>
    <t>gst-43</t>
  </si>
  <si>
    <t>maleylacetoacetate isomerase</t>
  </si>
  <si>
    <t>&gt;tr|Q9N4H7|Q9N4H7_CAEEL Coatomer subunit alpha OS=Caenorhabditis elegans OX=6239 GN=copa-1 PE=1 SV=2</t>
  </si>
  <si>
    <t>Q9N4H7</t>
  </si>
  <si>
    <t>copa-1</t>
  </si>
  <si>
    <t>Coatomer subunit alpha</t>
  </si>
  <si>
    <t>&gt;sp|Q9N4I0|ARP3_CAEEL Actin-related protein 3 OS=Caenorhabditis elegans OX=6239 GN=arx-1 PE=1 SV=1</t>
  </si>
  <si>
    <t>Q9N4I0</t>
  </si>
  <si>
    <t>arx-1</t>
  </si>
  <si>
    <t>Actin-related protein 3</t>
  </si>
  <si>
    <t>&gt;tr|Q9N4I3|Q9N4I3_CAEEL CUE domain-containing protein OS=Caenorhabditis elegans OX=6239 GN=CELE_Y71F9AL.9 PE=1 SV=1</t>
  </si>
  <si>
    <t>Q9N4I3</t>
  </si>
  <si>
    <t>CUE domain-containing protein</t>
  </si>
  <si>
    <t>&gt;sp|Q9N4I4|RL10A_CAEEL Large ribosomal subunit protein uL1 OS=Caenorhabditis elegans OX=6239 GN=rpl-1 PE=3 SV=1</t>
  </si>
  <si>
    <t>Q9N4I4</t>
  </si>
  <si>
    <t>rpl-1</t>
  </si>
  <si>
    <t>Large ribosomal subunit protein uL1</t>
  </si>
  <si>
    <t>&gt;sp|Q9N4J2|VIT3_CAEEL Vitellogenin-3 OS=Caenorhabditis elegans OX=6239 GN=vit-3 PE=1 SV=1</t>
  </si>
  <si>
    <t>Q9N4J2</t>
  </si>
  <si>
    <t>vit-3</t>
  </si>
  <si>
    <t>Vitellogenin-3</t>
  </si>
  <si>
    <t>&gt;tr|Q9N4J7|Q9N4J7_CAEEL TOG domain-containing protein OS=Caenorhabditis elegans OX=6239 GN=CELE_F54A3.2 PE=1 SV=5</t>
  </si>
  <si>
    <t>Q9N4J7</t>
  </si>
  <si>
    <t>&gt;sp|Q9N4J8|TCPG_CAEEL T-complex protein 1 subunit gamma OS=Caenorhabditis elegans OX=6239 GN=cct-3 PE=3 SV=3</t>
  </si>
  <si>
    <t>Q9N4J8</t>
  </si>
  <si>
    <t>cct-3</t>
  </si>
  <si>
    <t>T-complex protein 1 subunit gamma</t>
  </si>
  <si>
    <t>&gt;tr|Q9N4L5|Q9N4L5_CAEEL S1 motif domain-containing protein OS=Caenorhabditis elegans OX=6239 GN=CELE_ZK973.1 PE=1 SV=1</t>
  </si>
  <si>
    <t>Q9N4L5</t>
  </si>
  <si>
    <t>&gt;tr|Q9N4L7|Q9N4L7_CAEEL Chromo domain-containing protein OS=Caenorhabditis elegans OX=6239 GN=cec-10 PE=1 SV=1</t>
  </si>
  <si>
    <t>Q9N4L7</t>
  </si>
  <si>
    <t>cec-10</t>
  </si>
  <si>
    <t>&gt;tr|Q9N4M0|Q9N4M0_CAEEL PPM-type phosphatase domain-containing protein OS=Caenorhabditis elegans OX=6239 GN=pdp-1 PE=1 SV=1</t>
  </si>
  <si>
    <t>Q9N4M0</t>
  </si>
  <si>
    <t>pdp-1</t>
  </si>
  <si>
    <t>&gt;sp|Q9N4M4|ANC1_CAEEL Nuclear anchorage protein 1 OS=Caenorhabditis elegans OX=6239 GN=anc-1 PE=1 SV=3</t>
  </si>
  <si>
    <t>Q9N4M4</t>
  </si>
  <si>
    <t>anc-1</t>
  </si>
  <si>
    <t>Nuclear anchorage protein 1</t>
  </si>
  <si>
    <t>&gt;tr|Q9N4N3|Q9N4N3_CAEEL ER membrane protein complex subunit 4 OS=Caenorhabditis elegans OX=6239 GN=perm-3 PE=1 SV=1</t>
  </si>
  <si>
    <t>Q9N4N3</t>
  </si>
  <si>
    <t>perm-3</t>
  </si>
  <si>
    <t>ER membrane protein complex subunit 4</t>
  </si>
  <si>
    <t>&gt;tr|Q9N4N4|Q9N4N4_CAEEL Actin-related protein 4 OS=Caenorhabditis elegans OX=6239 GN=swsn-6 PE=1 SV=2</t>
  </si>
  <si>
    <t>Q9N4N4</t>
  </si>
  <si>
    <t>swsn-6</t>
  </si>
  <si>
    <t>Actin-related protein 4</t>
  </si>
  <si>
    <t>&gt;tr|Q9N4P3|Q9N4P3_CAEEL R3H domain-containing protein OS=Caenorhabditis elegans OX=6239 GN=CELE_ZK121.2 PE=1 SV=1</t>
  </si>
  <si>
    <t>Q9N4P3</t>
  </si>
  <si>
    <t>R3H domain-containing protein</t>
  </si>
  <si>
    <t>&gt;tr|Q9N4S3|Q9N4S3_CAEEL Acyltransferase OS=Caenorhabditis elegans OX=6239 GN=CELE_Y53G8B.2 PE=1 SV=1</t>
  </si>
  <si>
    <t>Q9N4S3</t>
  </si>
  <si>
    <t>Acyltransferase</t>
  </si>
  <si>
    <t>&gt;tr|Q9N4V3|Q9N4V3_CAEEL Nucleotidyl transferase domain-containing protein OS=Caenorhabditis elegans OX=6239 GN=CELE_Y47D9A.1 PE=1 SV=1</t>
  </si>
  <si>
    <t>Q9N4V3</t>
  </si>
  <si>
    <t>Nucleotidyl transferase domain-containing protein</t>
  </si>
  <si>
    <t>&gt;tr|Q9N4X2|Q9N4X2_CAEEL F-box C protein OS=Caenorhabditis elegans OX=6239 GN=fbxc-51 PE=1 SV=1</t>
  </si>
  <si>
    <t>Q9N4X2</t>
  </si>
  <si>
    <t>fbxc-51</t>
  </si>
  <si>
    <t>&gt;tr|Q9N4Y8|Q9N4Y8_CAEEL NADH-ubiquinone oxidoreductase 75 kDa subunit, mitochondrial OS=Caenorhabditis elegans OX=6239 GN=nuo-5 PE=1 SV=1</t>
  </si>
  <si>
    <t>Q9N4Y8</t>
  </si>
  <si>
    <t>nuo-5</t>
  </si>
  <si>
    <t>NADH-ubiquinone oxidoreductase 75 kDa subunit, mitochondrial</t>
  </si>
  <si>
    <t>&gt;sp|Q9N4Z0|L2HDH_CAEEL L-2-hydroxyglutarate dehydrogenase, mitochondrial OS=Caenorhabditis elegans OX=6239 GN=Y45G12B.3 PE=3 SV=2</t>
  </si>
  <si>
    <t>Q9N4Z0</t>
  </si>
  <si>
    <t>Y45G12B.3</t>
  </si>
  <si>
    <t>L-2-hydroxyglutarate dehydrogenase, mitochondrial</t>
  </si>
  <si>
    <t>&gt;tr|Q9N533|Q9N533_CAEEL GATOR complex protein WDR24 OS=Caenorhabditis elegans OX=6239 GN=CELE_Y32H12A.8 PE=1 SV=3</t>
  </si>
  <si>
    <t>Q9N533</t>
  </si>
  <si>
    <t>GATOR complex protein WDR24</t>
  </si>
  <si>
    <t>&gt;tr|Q9N538|Q9N538_CAEEL Dehydrogenase/reductase SDR family member 1 OS=Caenorhabditis elegans OX=6239 GN=dhs-9 PE=1 SV=1</t>
  </si>
  <si>
    <t>Q9N538</t>
  </si>
  <si>
    <t>dhs-9</t>
  </si>
  <si>
    <t>Dehydrogenase/reductase SDR family member 1</t>
  </si>
  <si>
    <t>&gt;tr|Q9N580|Q9N580_CAEEL Evolutionarily conserved signaling intermediate in Toll pathway, mitochondrial OS=Caenorhabditis elegans OX=6239 GN=CELE_Y17G9B.5 PE=1 SV=1</t>
  </si>
  <si>
    <t>Q9N580</t>
  </si>
  <si>
    <t>Evolutionarily conserved signaling intermediate in Toll pathway, mitochondrial</t>
  </si>
  <si>
    <t>&gt;tr|Q9N584|Q9N584_CAEEL Small ribosomal subunit protein mS39 OS=Caenorhabditis elegans OX=6239 GN=let-630 PE=1 SV=2</t>
  </si>
  <si>
    <t>Q9N584</t>
  </si>
  <si>
    <t>let-630</t>
  </si>
  <si>
    <t>Small ribosomal subunit protein mS39</t>
  </si>
  <si>
    <t>&gt;sp|Q9N589|MTMR1_CAEEL Myotubularin-related protein 1 OS=Caenorhabditis elegans OX=6239 GN=mtm-1 PE=1 SV=2</t>
  </si>
  <si>
    <t>Q9N589</t>
  </si>
  <si>
    <t>mtm-1</t>
  </si>
  <si>
    <t>Myotubularin-related protein 1</t>
  </si>
  <si>
    <t>&gt;tr|Q9N590|Q9N590_CAEEL 6-phosphofructo-2-kinase domain-containing protein OS=Caenorhabditis elegans OX=6239 GN=pfkb-1.1 PE=1 SV=2</t>
  </si>
  <si>
    <t>Q9N590</t>
  </si>
  <si>
    <t>pfkb-1.1</t>
  </si>
  <si>
    <t>6-phosphofructo-2-kinase domain-containing protein</t>
  </si>
  <si>
    <t>&gt;tr|Q9N592|Q9N592_CAEEL U4/U6 small nuclear ribonucleoprotein Prp31 OS=Caenorhabditis elegans OX=6239 GN=prp-31 PE=1 SV=1</t>
  </si>
  <si>
    <t>Q9N592</t>
  </si>
  <si>
    <t>prp-31</t>
  </si>
  <si>
    <t>U4/U6 small nuclear ribonucleoprotein Prp31</t>
  </si>
  <si>
    <t>&gt;sp|Q9N593|CDC27_CAEEL Cell division cycle protein 27 homolog OS=Caenorhabditis elegans OX=6239 GN=mat-1 PE=1 SV=1</t>
  </si>
  <si>
    <t>Q9N593</t>
  </si>
  <si>
    <t>mat-1</t>
  </si>
  <si>
    <t>Cell division cycle protein 27 homolog</t>
  </si>
  <si>
    <t>&gt;tr|Q9N595|Q9N595_CAEEL Elongator complex protein 1 OS=Caenorhabditis elegans OX=6239 GN=elpc-1 PE=1 SV=3</t>
  </si>
  <si>
    <t>Q9N595</t>
  </si>
  <si>
    <t>elpc-1</t>
  </si>
  <si>
    <t>Elongator complex protein 1</t>
  </si>
  <si>
    <t>&gt;sp|Q9N599|PSA4_CAEEL Proteasome subunit alpha type-4 OS=Caenorhabditis elegans OX=6239 GN=pas-3 PE=3 SV=2</t>
  </si>
  <si>
    <t>Q9N599</t>
  </si>
  <si>
    <t>pas-3</t>
  </si>
  <si>
    <t>Proteasome subunit alpha type-4</t>
  </si>
  <si>
    <t>&gt;sp|Q9N5A0|VATB2_CAEEL V-type proton ATPase subunit B 2 OS=Caenorhabditis elegans OX=6239 GN=spe-5 PE=1 SV=1</t>
  </si>
  <si>
    <t>Q9N5A0</t>
  </si>
  <si>
    <t>spe-5</t>
  </si>
  <si>
    <t>V-type proton ATPase subunit B 2</t>
  </si>
  <si>
    <t>&gt;tr|Q9N5A2|Q9N5A2_CAEEL Piwi domain-containing protein OS=Caenorhabditis elegans OX=6239 GN=CELE_Y104H12D.2 PE=1 SV=2</t>
  </si>
  <si>
    <t>Q9N5A2</t>
  </si>
  <si>
    <t>&gt;tr|Q9N5B3|Q9N5B3_CAEEL Peptidase M24 domain-containing protein OS=Caenorhabditis elegans OX=6239 GN=CELE_W08E12.7 PE=1 SV=1</t>
  </si>
  <si>
    <t>Q9N5B3</t>
  </si>
  <si>
    <t>Peptidase M24 domain-containing protein</t>
  </si>
  <si>
    <t>&gt;sp|Q9N5D3|SOS_CAEEL Son of sevenless homolog OS=Caenorhabditis elegans OX=6239 GN=sos-1 PE=1 SV=3</t>
  </si>
  <si>
    <t>Q9N5D3</t>
  </si>
  <si>
    <t>sos-1</t>
  </si>
  <si>
    <t>Son of sevenless homolog</t>
  </si>
  <si>
    <t>&gt;tr|Q9N5J4|Q9N5J4_CAEEL LIn-8 Domain containing OS=Caenorhabditis elegans OX=6239 GN=lido-7 PE=1 SV=1</t>
  </si>
  <si>
    <t>Q9N5J4</t>
  </si>
  <si>
    <t>lido-7</t>
  </si>
  <si>
    <t>LIn-8 Domain containing</t>
  </si>
  <si>
    <t>&gt;tr|Q9N5K1|Q9N5K1_CAEEL RNA helicase OS=Caenorhabditis elegans OX=6239 GN=sacy-1 PE=1 SV=1</t>
  </si>
  <si>
    <t>Q9N5K1</t>
  </si>
  <si>
    <t>sacy-1</t>
  </si>
  <si>
    <t>&gt;sp|Q9N5K2|RPAB1_CAEEL DNA-directed RNA polymerases I, II, and III subunit RPABC1 OS=Caenorhabditis elegans OX=6239 GN=rpb-5 PE=3 SV=1</t>
  </si>
  <si>
    <t>Q9N5K2</t>
  </si>
  <si>
    <t>rpb-5</t>
  </si>
  <si>
    <t>DNA-directed RNA polymerases I, II, and III subunit RPABC1</t>
  </si>
  <si>
    <t>&gt;tr|Q9N5L0|Q9N5L0_CAEEL tRNA (uracil(54)-C(5))-methyltransferase OS=Caenorhabditis elegans OX=6239 GN=trm-2a PE=1 SV=2</t>
  </si>
  <si>
    <t>Q9N5L0</t>
  </si>
  <si>
    <t>trm-2a</t>
  </si>
  <si>
    <t>tRNA (uracil(54)-C(5))-methyltransferase</t>
  </si>
  <si>
    <t>&gt;tr|Q9N5L9|Q9N5L9_CAEEL Bromodomain adjacent to zinc finger domain protein 1A OS=Caenorhabditis elegans OX=6239 GN=athp-2 PE=1 SV=3</t>
  </si>
  <si>
    <t>Q9N5L9</t>
  </si>
  <si>
    <t>athp-2</t>
  </si>
  <si>
    <t>Bromodomain adjacent to zinc finger domain protein 1A</t>
  </si>
  <si>
    <t>&gt;sp|Q9N5M2|PFD2_CAEEL Prefoldin subunit 2 OS=Caenorhabditis elegans OX=6239 GN=pfd-2 PE=3 SV=1</t>
  </si>
  <si>
    <t>Q9N5M2</t>
  </si>
  <si>
    <t>pfd-2</t>
  </si>
  <si>
    <t>Prefoldin subunit 2</t>
  </si>
  <si>
    <t>&gt;tr|Q9N5M3|Q9N5M3_CAEEL Transmembrane protein 222 OS=Caenorhabditis elegans OX=6239 GN=CELE_H20J04.6 PE=1 SV=2</t>
  </si>
  <si>
    <t>Q9N5M3</t>
  </si>
  <si>
    <t>Transmembrane protein 222</t>
  </si>
  <si>
    <t>&gt;sp|Q9N5M6|FBF1_CAEEL Fem-3 mRNA-binding factor 1 OS=Caenorhabditis elegans OX=6239 GN=fbf-1 PE=1 SV=1</t>
  </si>
  <si>
    <t>Q9N5M6</t>
  </si>
  <si>
    <t>fbf-1</t>
  </si>
  <si>
    <t>Fem-3 mRNA-binding factor 1</t>
  </si>
  <si>
    <t>&gt;tr|Q9N5N9|Q9N5N9_CAEEL Putative rRNA methyltransferase OS=Caenorhabditis elegans OX=6239 GN=CELE_H06I04.3 PE=1 SV=1</t>
  </si>
  <si>
    <t>Q9N5N9</t>
  </si>
  <si>
    <t>Putative rRNA methyltransferase</t>
  </si>
  <si>
    <t>&gt;sp|Q9N5R9|SPT16_CAEEL FACT complex subunit spt-16 OS=Caenorhabditis elegans OX=6239 GN=spt-16 PE=1 SV=1</t>
  </si>
  <si>
    <t>Q9N5R9</t>
  </si>
  <si>
    <t>spt-16</t>
  </si>
  <si>
    <t>FACT complex subunit spt-16</t>
  </si>
  <si>
    <t>&gt;tr|Q9N5S7|Q9N5S7_CAEEL Thioredoxin domain-containing protein OS=Caenorhabditis elegans OX=6239 GN=txdc-12.2 PE=1 SV=1</t>
  </si>
  <si>
    <t>Q9N5S7</t>
  </si>
  <si>
    <t>txdc-12.2</t>
  </si>
  <si>
    <t>&gt;tr|Q9N5U1|Q9N5U1_CAEEL Alpha-1,4 glucan phosphorylase OS=Caenorhabditis elegans OX=6239 GN=pygl-1 PE=1 SV=1</t>
  </si>
  <si>
    <t>Q9N5U1</t>
  </si>
  <si>
    <t>pygl-1</t>
  </si>
  <si>
    <t>Alpha-1,4 glucan phosphorylase</t>
  </si>
  <si>
    <t>&gt;sp|Q9N5U5|CDC73_CAEEL Cell division cycle protein 73 OS=Caenorhabditis elegans OX=6239 GN=cdc-73 PE=3 SV=4</t>
  </si>
  <si>
    <t>Q9N5U5</t>
  </si>
  <si>
    <t>cdc-73</t>
  </si>
  <si>
    <t>Cell division cycle protein 73</t>
  </si>
  <si>
    <t>&gt;tr|Q9N5V3|Q9N5V3_CAEEL Importin N-terminal domain-containing protein OS=Caenorhabditis elegans OX=6239 GN=imb-3 PE=1 SV=2</t>
  </si>
  <si>
    <t>Q9N5V3</t>
  </si>
  <si>
    <t>imb-3</t>
  </si>
  <si>
    <t>&gt;tr|Q9N5X5|Q9N5X5_CAEEL Glutamyl-tRNA(Gln) amidotransferase subunit B, mitochondrial OS=Caenorhabditis elegans OX=6239 GN=C39B5.6 PE=1 SV=3</t>
  </si>
  <si>
    <t>Q9N5X5</t>
  </si>
  <si>
    <t>C39B5.6</t>
  </si>
  <si>
    <t>Glutamyl-tRNA(Gln) amidotransferase subunit B, mitochondrial</t>
  </si>
  <si>
    <t>&gt;sp|Q9N5Y2|TECR_CAEEL Probable very-long-chain enoyl-CoA reductase art-1 OS=Caenorhabditis elegans OX=6239 GN=art-1 PE=3 SV=1</t>
  </si>
  <si>
    <t>Q9N5Y2</t>
  </si>
  <si>
    <t>art-1</t>
  </si>
  <si>
    <t>Probable very-long-chain enoyl-CoA reductase art-1</t>
  </si>
  <si>
    <t>&gt;tr|Q9N5Y7|Q9N5Y7_CAEEL RING-type domain-containing protein OS=Caenorhabditis elegans OX=6239 GN=C09E7.7 PE=1 SV=2</t>
  </si>
  <si>
    <t>Q9N5Y7</t>
  </si>
  <si>
    <t>C09E7.7</t>
  </si>
  <si>
    <t>&gt;tr|Q9NA34|Q9NA34_CAEEL CCR4-NOT transcription complex subunit 11 OS=Caenorhabditis elegans OX=6239 GN=ntl-11 PE=1 SV=2</t>
  </si>
  <si>
    <t>Q9NA34</t>
  </si>
  <si>
    <t>ntl-11</t>
  </si>
  <si>
    <t>CCR4-NOT transcription complex subunit 11</t>
  </si>
  <si>
    <t>&gt;tr|Q9NA69|Q9NA69_CAEEL 3'-5' exonuclease domain-containing protein OS=Caenorhabditis elegans OX=6239 GN=CELE_Y57A10A.13 PE=1 SV=1</t>
  </si>
  <si>
    <t>Q9NA69</t>
  </si>
  <si>
    <t>3'-5' exonuclease domain-containing protein</t>
  </si>
  <si>
    <t>&gt;tr|Q9NA71|Q9NA71_CAEEL RING-type domain-containing protein OS=Caenorhabditis elegans OX=6239 GN=CELE_Y57A10A.31 PE=1 SV=2</t>
  </si>
  <si>
    <t>Q9NA71</t>
  </si>
  <si>
    <t>&gt;sp|Q9NA73|T38B2_CAEEL Trimeric intracellular cation channel type 1B.2 OS=Caenorhabditis elegans OX=6239 GN=tric-1B.2 PE=1 SV=2</t>
  </si>
  <si>
    <t>Q9NA73</t>
  </si>
  <si>
    <t>tric-1B.2</t>
  </si>
  <si>
    <t>Trimeric intracellular cation channel type 1B.2</t>
  </si>
  <si>
    <t>&gt;sp|Q9NA75|T38B1_CAEEL Trimeric intracellular cation channel type 1B.1 OS=Caenorhabditis elegans OX=6239 GN=tric-1B.1 PE=1 SV=2</t>
  </si>
  <si>
    <t>Q9NA75</t>
  </si>
  <si>
    <t>tric-1B.1</t>
  </si>
  <si>
    <t>Trimeric intracellular cation channel type 1B.1</t>
  </si>
  <si>
    <t>&gt;tr|Q9NA76|Q9NA76_CAEEL CAF1 family ribonuclease OS=Caenorhabditis elegans OX=6239 GN=parn-2 PE=1 SV=1</t>
  </si>
  <si>
    <t>Q9NA76</t>
  </si>
  <si>
    <t>parn-2</t>
  </si>
  <si>
    <t>CAF1 family ribonuclease</t>
  </si>
  <si>
    <t>&gt;sp|Q9NA80|SIN1_CAEEL Stress-activated map kinase-interacting protein 1 homolog OS=Caenorhabditis elegans OX=6239 GN=sinh-1 PE=3 SV=3</t>
  </si>
  <si>
    <t>Q9NA80</t>
  </si>
  <si>
    <t>sinh-1</t>
  </si>
  <si>
    <t>Stress-activated map kinase-interacting protein 1 homolog</t>
  </si>
  <si>
    <t>&gt;tr|Q9NA83|Q9NA83_CAEEL Nematode cuticle collagen N-terminal domain-containing protein OS=Caenorhabditis elegans OX=6239 GN=rol-1 PE=1 SV=1</t>
  </si>
  <si>
    <t>Q9NA83</t>
  </si>
  <si>
    <t>rol-1</t>
  </si>
  <si>
    <t>&gt;tr|Q9NA87|Q9NA87_CAEEL SPK domain-containing protein OS=Caenorhabditis elegans OX=6239 GN=CELE_Y57A10A.5 PE=4 SV=1</t>
  </si>
  <si>
    <t>Q9NA87</t>
  </si>
  <si>
    <t>&gt;tr|Q9NA91|Q9NA91_CAEEL Amino acid transporter OS=Caenorhabditis elegans OX=6239 GN=aat-9 PE=1 SV=1</t>
  </si>
  <si>
    <t>Q9NA91</t>
  </si>
  <si>
    <t>aat-9</t>
  </si>
  <si>
    <t>Amino acid transporter</t>
  </si>
  <si>
    <t>&gt;tr|Q9NA98|Q9NA98_CAEEL Actin OS=Caenorhabditis elegans OX=6239 GN=arp-1 PE=1 SV=2</t>
  </si>
  <si>
    <t>Q9NA98</t>
  </si>
  <si>
    <t>arp-1</t>
  </si>
  <si>
    <t>&gt;tr|Q9NA99|Q9NA99_CAEEL HEPN_LA2681 domain-containing protein OS=Caenorhabditis elegans OX=6239 GN=CELE_Y53F4B.21 PE=1 SV=4</t>
  </si>
  <si>
    <t>Q9NA99</t>
  </si>
  <si>
    <t>HEPN_LA2681 domain-containing protein</t>
  </si>
  <si>
    <t>&gt;sp|Q9NAA5|MTR1_CAEEL Cap-specific mRNA (nucleoside-2'-O-)-methyltransferase 1 OS=Caenorhabditis elegans OX=6239 GN=Y53F4B.13 PE=3 SV=3</t>
  </si>
  <si>
    <t>Q9NAA5</t>
  </si>
  <si>
    <t>Y53F4B.13</t>
  </si>
  <si>
    <t>Cap-specific mRNA (nucleoside-2'-O-)-methyltransferase 1</t>
  </si>
  <si>
    <t>&gt;sp|Q9NAA7|NSUN5_CAEEL 26S rRNA (cytosine-C(5))-methyltransferase nsun-5 OS=Caenorhabditis elegans OX=6239 GN=nsun-5 PE=1 SV=2</t>
  </si>
  <si>
    <t>Q9NAA7</t>
  </si>
  <si>
    <t>nsun-5</t>
  </si>
  <si>
    <t>26S rRNA (cytosine-C(5))-methyltransferase nsun-5</t>
  </si>
  <si>
    <t>&gt;tr|Q9NAB3|Q9NAB3_CAEEL Glutathione S-Transferase OS=Caenorhabditis elegans OX=6239 GN=gst-27 PE=1 SV=1</t>
  </si>
  <si>
    <t>Q9NAB3</t>
  </si>
  <si>
    <t>gst-27</t>
  </si>
  <si>
    <t>Glutathione S-Transferase</t>
  </si>
  <si>
    <t>&gt;tr|Q9NAB4|Q9NAB4_CAEEL Glutathione S-Transferase OS=Caenorhabditis elegans OX=6239 GN=gst-26 PE=1 SV=1</t>
  </si>
  <si>
    <t>Q9NAB4</t>
  </si>
  <si>
    <t>gst-26</t>
  </si>
  <si>
    <t>&gt;tr|Q9NAB7|Q9NAB7_CAEEL Amidase domain-containing protein OS=Caenorhabditis elegans OX=6239 GN=CELE_Y53F4B.18 PE=1 SV=1</t>
  </si>
  <si>
    <t>Q9NAB7</t>
  </si>
  <si>
    <t>Amidase domain-containing protein</t>
  </si>
  <si>
    <t>&gt;tr|Q9NAC1|Q9NAC1_CAEEL AAA+ ATPase domain-containing protein OS=Caenorhabditis elegans OX=6239 GN=CELE_Y53F4B.9 PE=1 SV=1</t>
  </si>
  <si>
    <t>Q9NAC1</t>
  </si>
  <si>
    <t>&gt;tr|Q9NAC6|Q9NAC6_CAEEL Elongation of very long chain fatty acids protein OS=Caenorhabditis elegans OX=6239 GN=elo-9 PE=3 SV=1</t>
  </si>
  <si>
    <t>Q9NAC6</t>
  </si>
  <si>
    <t>elo-9</t>
  </si>
  <si>
    <t>Elongation of very long chain fatty acids protein</t>
  </si>
  <si>
    <t>&gt;sp|Q9NAD6|STAT1_CAEEL Signal transducer and activator of transcription 1 OS=Caenorhabditis elegans OX=6239 GN=sta-1 PE=1 SV=2</t>
  </si>
  <si>
    <t>Q9NAD6</t>
  </si>
  <si>
    <t>sta-1</t>
  </si>
  <si>
    <t>Signal transducer and activator of transcription 1</t>
  </si>
  <si>
    <t>&gt;tr|Q9NAG2|Q9NAG2_CAEEL Mitochondrial Ribosomal Protein, Large OS=Caenorhabditis elegans OX=6239 GN=mrpl-20 PE=1 SV=1</t>
  </si>
  <si>
    <t>Q9NAG2</t>
  </si>
  <si>
    <t>mrpl-20</t>
  </si>
  <si>
    <t>&gt;sp|Q9NAG4|MAC1_CAEEL Protein mac-1 OS=Caenorhabditis elegans OX=6239 GN=mac-1 PE=1 SV=2</t>
  </si>
  <si>
    <t>Q9NAG4</t>
  </si>
  <si>
    <t>mac-1</t>
  </si>
  <si>
    <t>Protein mac-1</t>
  </si>
  <si>
    <t>&gt;sp|Q9NAH6|KS6B_CAEEL Ribosomal protein S6 kinase beta OS=Caenorhabditis elegans OX=6239 GN=rsks-1 PE=1 SV=2</t>
  </si>
  <si>
    <t>Q9NAH6</t>
  </si>
  <si>
    <t>rsks-1</t>
  </si>
  <si>
    <t>Ribosomal protein S6 kinase beta</t>
  </si>
  <si>
    <t>&gt;tr|Q9NAI5|Q9NAI5_CAEEL NADP-dependent oxidoreductase domain-containing protein OS=Caenorhabditis elegans OX=6239 GN=CELE_Y39G8B.1 PE=1 SV=1</t>
  </si>
  <si>
    <t>Q9NAI5</t>
  </si>
  <si>
    <t>&gt;sp|Q9NAL4|MED17_CAEEL Mediator of RNA polymerase II transcription subunit 17 OS=Caenorhabditis elegans OX=6239 GN=mdt-17 PE=3 SV=4</t>
  </si>
  <si>
    <t>Q9NAL4</t>
  </si>
  <si>
    <t>mdt-17</t>
  </si>
  <si>
    <t>Mediator of RNA polymerase II transcription subunit 17</t>
  </si>
  <si>
    <t>&gt;sp|Q9NAN1|SAE2_CAEEL SUMO-activating enzyme subunit uba-2 OS=Caenorhabditis elegans OX=6239 GN=uba-2 PE=3 SV=3</t>
  </si>
  <si>
    <t>Q9NAN1</t>
  </si>
  <si>
    <t>uba-2</t>
  </si>
  <si>
    <t>SUMO-activating enzyme subunit uba-2</t>
  </si>
  <si>
    <t>&gt;sp|Q9NAN2|PAR6_CAEEL Partitioning defective protein 6 OS=Caenorhabditis elegans OX=6239 GN=par-6 PE=1 SV=2</t>
  </si>
  <si>
    <t>Q9NAN2</t>
  </si>
  <si>
    <t>par-6</t>
  </si>
  <si>
    <t>Partitioning defective protein 6</t>
  </si>
  <si>
    <t>&gt;tr|Q9NAP6|Q9NAP6_CAEEL Alpha-N-acetylglucosaminidase OS=Caenorhabditis elegans OX=6239 GN=CELE_K09E4.4 PE=1 SV=2</t>
  </si>
  <si>
    <t>Q9NAP6</t>
  </si>
  <si>
    <t>Alpha-N-acetylglucosaminidase</t>
  </si>
  <si>
    <t>&gt;sp|Q9NAP9|RT15_CAEEL Small ribosomal subunit protein uS15m OS=Caenorhabditis elegans OX=6239 GN=mrps-15 PE=3 SV=1</t>
  </si>
  <si>
    <t>Q9NAP9</t>
  </si>
  <si>
    <t>mrps-15</t>
  </si>
  <si>
    <t>Small ribosomal subunit protein uS15m</t>
  </si>
  <si>
    <t>&gt;sp|Q9NAQ9|TIM22_CAEEL Mitochondrial import inner membrane translocase subunit tim-22 OS=Caenorhabditis elegans OX=6239 GN=C47G2.3 PE=3 SV=1</t>
  </si>
  <si>
    <t>Q9NAQ9</t>
  </si>
  <si>
    <t>C47G2.3</t>
  </si>
  <si>
    <t>Mitochondrial import inner membrane translocase subunit tim-22</t>
  </si>
  <si>
    <t>&gt;tr|Q9NAR3|Q9NAR3_CAEEL Nematode cuticle collagen N-terminal domain-containing protein OS=Caenorhabditis elegans OX=6239 GN=col-124 PE=1 SV=1</t>
  </si>
  <si>
    <t>Q9NAR3</t>
  </si>
  <si>
    <t>col-124</t>
  </si>
  <si>
    <t>&gt;sp|Q9NB31|CST1_CAEEL Serine/threonine-protein kinase cst-1 OS=Caenorhabditis elegans OX=6239 GN=cst-1 PE=1 SV=1</t>
  </si>
  <si>
    <t>Q9NB31</t>
  </si>
  <si>
    <t>cst-1</t>
  </si>
  <si>
    <t>Serine/threonine-protein kinase cst-1</t>
  </si>
  <si>
    <t>&gt;tr|Q9NCE1|Q9NCE1_CAEEL O-acyltransferase OS=Caenorhabditis elegans OX=6239 GN=mboa-2 PE=2 SV=1</t>
  </si>
  <si>
    <t>Q9NCE1</t>
  </si>
  <si>
    <t>mboa-2</t>
  </si>
  <si>
    <t>O-acyltransferase</t>
  </si>
  <si>
    <t>&gt;tr|Q9NEI6|Q9NEI6_CAEEL Ribosomal protein S24/S35 mitochondrial conserved domain-containing protein OS=Caenorhabditis elegans OX=6239 GN=mrps-35 PE=1 SV=1</t>
  </si>
  <si>
    <t>Q9NEI6</t>
  </si>
  <si>
    <t>mrps-35</t>
  </si>
  <si>
    <t>Ribosomal protein S24/S35 mitochondrial conserved domain-containing protein</t>
  </si>
  <si>
    <t>&gt;sp|Q9NEL2|SSL1_CAEEL Helicase ssl-1 OS=Caenorhabditis elegans OX=6239 GN=ssl-1 PE=2 SV=4</t>
  </si>
  <si>
    <t>Q9NEL2</t>
  </si>
  <si>
    <t>ssl-1</t>
  </si>
  <si>
    <t>Helicase ssl-1</t>
  </si>
  <si>
    <t>&gt;tr|Q9NEM5|Q9NEM5_CAEEL Helicase sen1 OS=Caenorhabditis elegans OX=6239 GN=CELE_Y111B2A.3 PE=1 SV=1</t>
  </si>
  <si>
    <t>Q9NEM5</t>
  </si>
  <si>
    <t>Helicase sen1</t>
  </si>
  <si>
    <t>&gt;sp|Q9NEN6|RS6_CAEEL Small ribosomal subunit protein eS6 OS=Caenorhabditis elegans OX=6239 GN=rps-6 PE=1 SV=1</t>
  </si>
  <si>
    <t>Q9NEN6</t>
  </si>
  <si>
    <t>rps-6</t>
  </si>
  <si>
    <t>Small ribosomal subunit protein eS6</t>
  </si>
  <si>
    <t>&gt;sp|Q9NEQ0|FAT1_CAEEL Omega-3 fatty acid desaturase fat-1 OS=Caenorhabditis elegans OX=6239 GN=fat-1 PE=1 SV=1</t>
  </si>
  <si>
    <t>Q9NEQ0</t>
  </si>
  <si>
    <t>fat-1</t>
  </si>
  <si>
    <t>Omega-3 fatty acid desaturase fat-1</t>
  </si>
  <si>
    <t>&gt;tr|Q9NES7|Q9NES7_CAEEL Histidine-rich glycoprotein-like OS=Caenorhabditis elegans OX=6239 GN=CELE_Y39B6A.1 PE=1 SV=1</t>
  </si>
  <si>
    <t>Q9NES7</t>
  </si>
  <si>
    <t>Histidine-rich glycoprotein-like</t>
  </si>
  <si>
    <t>&gt;tr|Q9NET7|Q9NET7_CAEEL Uncharacterized protein OS=Caenorhabditis elegans OX=6239 GN=CELE_Y39B6A.10 PE=1 SV=1</t>
  </si>
  <si>
    <t>Q9NET7</t>
  </si>
  <si>
    <t>&gt;sp|Q9NEU2|SDA1_CAEEL Protein SDA1 homolog OS=Caenorhabditis elegans OX=6239 GN=pro-3 PE=1 SV=4</t>
  </si>
  <si>
    <t>Q9NEU2</t>
  </si>
  <si>
    <t>pro-3</t>
  </si>
  <si>
    <t>Protein SDA1 homolog</t>
  </si>
  <si>
    <t>&gt;sp|Q9NEU3|QTRT2_CAEEL Queuine tRNA-ribosyltransferase accessory subunit 2 OS=Caenorhabditis elegans OX=6239 GN=tgt-2 PE=3 SV=1</t>
  </si>
  <si>
    <t>Q9NEU3</t>
  </si>
  <si>
    <t>tgt-2</t>
  </si>
  <si>
    <t>Queuine tRNA-ribosyltransferase accessory subunit 2</t>
  </si>
  <si>
    <t>&gt;sp|Q9NEU5|NOP53_CAEEL Ribosome biogenesis protein NOP53 OS=Caenorhabditis elegans OX=6239 GN=Y39B6A.33 PE=3 SV=1</t>
  </si>
  <si>
    <t>Q9NEU5</t>
  </si>
  <si>
    <t>Y39B6A.33</t>
  </si>
  <si>
    <t>Ribosome biogenesis protein NOP53</t>
  </si>
  <si>
    <t>&gt;sp|Q9NEW6|RSP3_CAEEL Probable splicing factor, arginine/serine-rich 3 OS=Caenorhabditis elegans OX=6239 GN=rsp-3 PE=1 SV=2</t>
  </si>
  <si>
    <t>Q9NEW6</t>
  </si>
  <si>
    <t>rsp-3</t>
  </si>
  <si>
    <t>Probable splicing factor, arginine/serine-rich 3</t>
  </si>
  <si>
    <t>&gt;tr|Q9NEW7|Q9NEW7_CAEEL Elongator complex protein 2 OS=Caenorhabditis elegans OX=6239 GN=elpc-2 PE=1 SV=3</t>
  </si>
  <si>
    <t>Q9NEW7</t>
  </si>
  <si>
    <t>elpc-2</t>
  </si>
  <si>
    <t>Elongator complex protein 2</t>
  </si>
  <si>
    <t>&gt;tr|Q9NEX6|Q9NEX6_CAEEL C2H2-type domain-containing protein OS=Caenorhabditis elegans OX=6239 GN=CELE_Y105E8A.21 PE=1 SV=1</t>
  </si>
  <si>
    <t>Q9NEX6</t>
  </si>
  <si>
    <t>&gt;tr|Q9NEZ8|Q9NEZ8_CAEEL Enoyl-CoA hydratase, mitochondrial OS=Caenorhabditis elegans OX=6239 GN=ech-7 PE=1 SV=1</t>
  </si>
  <si>
    <t>Q9NEZ8</t>
  </si>
  <si>
    <t>ech-7</t>
  </si>
  <si>
    <t>&gt;tr|Q9NF11|Q9NF11_CAEEL Hypoxanthine phosphoribosyltransferase OS=Caenorhabditis elegans OX=6239 GN=hprt-1 PE=1 SV=1</t>
  </si>
  <si>
    <t>Q9NF11</t>
  </si>
  <si>
    <t>hprt-1</t>
  </si>
  <si>
    <t>Hypoxanthine phosphoribosyltransferase</t>
  </si>
  <si>
    <t>&gt;sp|Q9NF14|BAT40_CAEEL BTB and MATH domain-containing protein 40 OS=Caenorhabditis elegans OX=6239 GN=bath-40 PE=1 SV=1</t>
  </si>
  <si>
    <t>Q9NF14</t>
  </si>
  <si>
    <t>bath-40</t>
  </si>
  <si>
    <t>BTB and MATH domain-containing protein 40</t>
  </si>
  <si>
    <t>&gt;sp|Q9NHC3|CED2_CAEEL Cell death abnormality protein 2 OS=Caenorhabditis elegans OX=6239 GN=ced-2 PE=1 SV=1</t>
  </si>
  <si>
    <t>Q9NHC3</t>
  </si>
  <si>
    <t>ced-2</t>
  </si>
  <si>
    <t>Cell death abnormality protein 2</t>
  </si>
  <si>
    <t>&gt;tr|Q9NLD1|Q9NLD1_CAEEL RRM domain-containing protein OS=Caenorhabditis elegans OX=6239 GN=hrpr-1 PE=1 SV=2</t>
  </si>
  <si>
    <t>Q9NLD1</t>
  </si>
  <si>
    <t>hrpr-1</t>
  </si>
  <si>
    <t>&gt;sp|Q9TVL3|CDK9_CAEEL Probable cyclin-dependent kinase 9 OS=Caenorhabditis elegans OX=6239 GN=cdk-9 PE=3 SV=2</t>
  </si>
  <si>
    <t>Q9TVL3</t>
  </si>
  <si>
    <t>cdk-9</t>
  </si>
  <si>
    <t>Probable cyclin-dependent kinase 9</t>
  </si>
  <si>
    <t>&gt;sp|Q9TVW5|MSP77_CAEEL Major sperm protein 77/79 OS=Caenorhabditis elegans OX=6239 GN=msp-79 PE=2 SV=3</t>
  </si>
  <si>
    <t>Q9TVW5</t>
  </si>
  <si>
    <t>msp-79</t>
  </si>
  <si>
    <t>Major sperm protein 77/79</t>
  </si>
  <si>
    <t>&gt;sp|Q9TW45|PAR1_CAEEL Serine/threonine-protein kinase par-1 OS=Caenorhabditis elegans OX=6239 GN=par-1 PE=1 SV=1</t>
  </si>
  <si>
    <t>Q9TW45</t>
  </si>
  <si>
    <t>par-1</t>
  </si>
  <si>
    <t>Serine/threonine-protein kinase par-1</t>
  </si>
  <si>
    <t>&gt;sp|Q9TW65|DMD_CAEEL Dystrophin-1 OS=Caenorhabditis elegans OX=6239 GN=dys-1 PE=1 SV=2</t>
  </si>
  <si>
    <t>Q9TW65</t>
  </si>
  <si>
    <t>dys-1</t>
  </si>
  <si>
    <t>Dystrophin-1</t>
  </si>
  <si>
    <t>&gt;sp|Q9TW67|NGLY1_CAEEL Peptide-N(4)-(N-acetyl-beta-glucosaminyl)asparagine amidase OS=Caenorhabditis elegans OX=6239 GN=png-1 PE=1 SV=1</t>
  </si>
  <si>
    <t>Q9TW67</t>
  </si>
  <si>
    <t>png-1</t>
  </si>
  <si>
    <t>Peptide-N(4)-(N-acetyl-beta-glucosaminyl)asparagine amidase</t>
  </si>
  <si>
    <t>&gt;tr|Q9TXI3|Q9TXI3_CAEEL Charged multivesicular body protein 1b OS=Caenorhabditis elegans OX=6239 GN=did-2 PE=1 SV=1</t>
  </si>
  <si>
    <t>Q9TXI3</t>
  </si>
  <si>
    <t>did-2</t>
  </si>
  <si>
    <t>Charged multivesicular body protein 1b</t>
  </si>
  <si>
    <t>&gt;tr|Q9TXI4|Q9TXI4_CAEEL Electron transfer flavoprotein subunit beta OS=Caenorhabditis elegans OX=6239 GN=CELE_F23C8.5 PE=1 SV=2</t>
  </si>
  <si>
    <t>Q9TXI4</t>
  </si>
  <si>
    <t>Electron transfer flavoprotein subunit beta</t>
  </si>
  <si>
    <t>&gt;sp|Q9TXI7|PK3C3_CAEEL Phosphatidylinositol 3-kinase catalytic subunit type 3 OS=Caenorhabditis elegans OX=6239 GN=vps-34 PE=1 SV=1</t>
  </si>
  <si>
    <t>Q9TXI7</t>
  </si>
  <si>
    <t>vps-34</t>
  </si>
  <si>
    <t>Phosphatidylinositol 3-kinase catalytic subunit type 3</t>
  </si>
  <si>
    <t>&gt;sp|Q9TXJ8|RECQ1_CAEEL Putative ATP-dependent DNA helicase Q1 OS=Caenorhabditis elegans OX=6239 GN=K02F3.12 PE=3 SV=3</t>
  </si>
  <si>
    <t>Q9TXJ8</t>
  </si>
  <si>
    <t>K02F3.12</t>
  </si>
  <si>
    <t>Putative ATP-dependent DNA helicase Q1</t>
  </si>
  <si>
    <t>&gt;tr|Q9TXM1|Q9TXM1_CAEEL Uncharacterized protein OS=Caenorhabditis elegans OX=6239 GN=meg-3 PE=4 SV=1</t>
  </si>
  <si>
    <t>Q9TXM1</t>
  </si>
  <si>
    <t>meg-3</t>
  </si>
  <si>
    <t>&gt;tr|Q9TXM6|Q9TXM6_CAEEL Uncharacterized protein OS=Caenorhabditis elegans OX=6239 GN=CELE_F52D2.7 PE=1 SV=1</t>
  </si>
  <si>
    <t>Q9TXM6</t>
  </si>
  <si>
    <t>&gt;sp|Q9TXP0|RS27_CAEEL Small ribosomal subunit protein eS27 OS=Caenorhabditis elegans OX=6239 GN=rps-27 PE=1 SV=3</t>
  </si>
  <si>
    <t>Q9TXP0</t>
  </si>
  <si>
    <t>rps-27</t>
  </si>
  <si>
    <t>Small ribosomal subunit protein eS27</t>
  </si>
  <si>
    <t>&gt;sp|Q9TXQ1|TNKS1_CAEEL Poly [ADP-ribose] polymerase tankyrase OS=Caenorhabditis elegans OX=6239 GN=tank-1 PE=2 SV=1</t>
  </si>
  <si>
    <t>Q9TXQ1</t>
  </si>
  <si>
    <t>tank-1</t>
  </si>
  <si>
    <t>Poly [ADP-ribose] polymerase tankyrase</t>
  </si>
  <si>
    <t>&gt;tr|Q9TXR4|Q9TXR4_CAEEL DNA mismatch repair proteins mutS family domain-containing protein OS=Caenorhabditis elegans OX=6239 GN=msh-2 PE=1 SV=1</t>
  </si>
  <si>
    <t>Q9TXR4</t>
  </si>
  <si>
    <t>msh-2</t>
  </si>
  <si>
    <t>DNA mismatch repair proteins mutS family domain-containing protein</t>
  </si>
  <si>
    <t>&gt;tr|Q9TXR7|Q9TXR7_CAEEL Mitochondrial import inner membrane translocase subunit Tim21 OS=Caenorhabditis elegans OX=6239 GN=CELE_F56B3.11 PE=1 SV=1</t>
  </si>
  <si>
    <t>Q9TXR7</t>
  </si>
  <si>
    <t>&gt;tr|Q9TXZ6|Q9TXZ6_CAEEL Glucuronosyltransferase OS=Caenorhabditis elegans OX=6239 GN=ugt-13 PE=1 SV=2</t>
  </si>
  <si>
    <t>Q9TXZ6</t>
  </si>
  <si>
    <t>ugt-13</t>
  </si>
  <si>
    <t>&gt;tr|Q9TXZ9|Q9TXZ9_CAEEL YKT6 (Yeast v-SNARE) homolog OS=Caenorhabditis elegans OX=6239 GN=ykt-6 PE=1 SV=1</t>
  </si>
  <si>
    <t>Q9TXZ9</t>
  </si>
  <si>
    <t>ykt-6</t>
  </si>
  <si>
    <t>YKT6 (Yeast v-SNARE) homolog</t>
  </si>
  <si>
    <t>&gt;tr|Q9TYJ7|Q9TYJ7_CAEEL Dolichol-phosphate mannosyltransferase subunit 1 OS=Caenorhabditis elegans OX=6239 GN=dpm-1 PE=1 SV=2</t>
  </si>
  <si>
    <t>Q9TYJ7</t>
  </si>
  <si>
    <t>dpm-1</t>
  </si>
  <si>
    <t>Dolichol-phosphate mannosyltransferase subunit 1</t>
  </si>
  <si>
    <t>&gt;sp|Q9TYK1|GAR1_CAEEL Probable H/ACA ribonucleoprotein complex subunit 1-like protein OS=Caenorhabditis elegans OX=6239 GN=Y66H1A.4 PE=3 SV=2</t>
  </si>
  <si>
    <t>Q9TYK1</t>
  </si>
  <si>
    <t>Y66H1A.4</t>
  </si>
  <si>
    <t>Probable H/ACA ribonucleoprotein complex subunit 1-like protein</t>
  </si>
  <si>
    <t>&gt;tr|Q9TYL9|Q9TYL9_CAEEL Coatomer subunit beta OS=Caenorhabditis elegans OX=6239 GN=copb-1 PE=1 SV=1</t>
  </si>
  <si>
    <t>Q9TYL9</t>
  </si>
  <si>
    <t>copb-1</t>
  </si>
  <si>
    <t>Coatomer subunit beta</t>
  </si>
  <si>
    <t>&gt;tr|Q9TYP8|Q9TYP8_CAEEL SPK domain-containing protein OS=Caenorhabditis elegans OX=6239 GN=CELE_Y14H12B.2 PE=1 SV=1</t>
  </si>
  <si>
    <t>Q9TYP8</t>
  </si>
  <si>
    <t>&gt;tr|Q9TYP9|Q9TYP9_CAEEL Calcium-transporting ATPase OS=Caenorhabditis elegans OX=6239 GN=mca-2 PE=1 SV=2</t>
  </si>
  <si>
    <t>Q9TYP9</t>
  </si>
  <si>
    <t>mca-2</t>
  </si>
  <si>
    <t>&gt;tr|Q9TYQ5|Q9TYQ5_CAEEL Ras-associating domain-containing protein OS=Caenorhabditis elegans OX=6239 GN=lin-33 PE=1 SV=1</t>
  </si>
  <si>
    <t>Q9TYQ5</t>
  </si>
  <si>
    <t>lin-33</t>
  </si>
  <si>
    <t>Ras-associating domain-containing protein</t>
  </si>
  <si>
    <t>&gt;tr|Q9TYR0|Q9TYR0_CAEEL DeHydrogenases, Short chain OS=Caenorhabditis elegans OX=6239 GN=CELE_H04M03.3 PE=1 SV=1</t>
  </si>
  <si>
    <t>Q9TYR0</t>
  </si>
  <si>
    <t>&gt;sp|Q9TYT3|SHCH1_CAEEL SHC-transforming protein homolog 1 OS=Caenorhabditis elegans OX=6239 GN=shc-1 PE=1 SV=2</t>
  </si>
  <si>
    <t>Q9TYT3</t>
  </si>
  <si>
    <t>shc-1</t>
  </si>
  <si>
    <t>SHC-transforming protein homolog 1</t>
  </si>
  <si>
    <t>&gt;tr|Q9TYT7|Q9TYT7_CAEEL RRM domain-containing protein OS=Caenorhabditis elegans OX=6239 GN=CELE_W05F2.6 PE=1 SV=2</t>
  </si>
  <si>
    <t>Q9TYT7</t>
  </si>
  <si>
    <t>&gt;sp|Q9TYU5|TIP60_CAEEL Histone acetyltransferase Tip60 homolog OS=Caenorhabditis elegans OX=6239 GN=mys-1 PE=2 SV=1</t>
  </si>
  <si>
    <t>Q9TYU5</t>
  </si>
  <si>
    <t>mys-1</t>
  </si>
  <si>
    <t>Histone acetyltransferase Tip60 homolog</t>
  </si>
  <si>
    <t>&gt;tr|Q9TYV3|Q9TYV3_CAEEL NLE domain-containing protein OS=Caenorhabditis elegans OX=6239 GN=gldi-1 PE=1 SV=1</t>
  </si>
  <si>
    <t>Q9TYV3</t>
  </si>
  <si>
    <t>gldi-1</t>
  </si>
  <si>
    <t>NLE domain-containing protein</t>
  </si>
  <si>
    <t>&gt;sp|Q9TYV5|NSUN1_CAEEL 26S rRNA (cytosine-C(5))-methyltransferase nsun-1 OS=Caenorhabditis elegans OX=6239 GN=nsun-1 PE=1 SV=2</t>
  </si>
  <si>
    <t>Q9TYV5</t>
  </si>
  <si>
    <t>nsun-1</t>
  </si>
  <si>
    <t>26S rRNA (cytosine-C(5))-methyltransferase nsun-1</t>
  </si>
  <si>
    <t>&gt;tr|Q9TYX1|Q9TYX1_CAEEL acylaminoacyl-peptidase OS=Caenorhabditis elegans OX=6239 GN=dpf-5 PE=1 SV=2</t>
  </si>
  <si>
    <t>Q9TYX1</t>
  </si>
  <si>
    <t>dpf-5</t>
  </si>
  <si>
    <t>acylaminoacyl-peptidase</t>
  </si>
  <si>
    <t>&gt;tr|Q9TYX6|Q9TYX6_CAEEL SET domain-containing protein OS=Caenorhabditis elegans OX=6239 GN=set-15 PE=4 SV=2</t>
  </si>
  <si>
    <t>Q9TYX6</t>
  </si>
  <si>
    <t>set-15</t>
  </si>
  <si>
    <t>&gt;tr|Q9TYY0|Q9TYY0_CAEEL Geranylgeranyl transferase type-2 subunit alpha OS=Caenorhabditis elegans OX=6239 GN=CELE_M57.2 PE=1 SV=1</t>
  </si>
  <si>
    <t>Q9TYY0</t>
  </si>
  <si>
    <t>Geranylgeranyl transferase type-2 subunit alpha</t>
  </si>
  <si>
    <t>&gt;tr|Q9TYZ4|Q9TYZ4_CAEEL START domain-containing protein OS=Caenorhabditis elegans OX=6239 GN=CELE_H35B03.1 PE=1 SV=2</t>
  </si>
  <si>
    <t>Q9TYZ4</t>
  </si>
  <si>
    <t>&gt;tr|Q9TZ33|Q9TZ33_CAEEL Peptidase M16 N-terminal domain-containing protein OS=Caenorhabditis elegans OX=6239 GN=ucr-2.3 PE=1 SV=1</t>
  </si>
  <si>
    <t>Q9TZ33</t>
  </si>
  <si>
    <t>ucr-2.3</t>
  </si>
  <si>
    <t>&gt;tr|Q9TZ58|Q9TZ58_CAEEL AB hydrolase-1 domain-containing protein OS=Caenorhabditis elegans OX=6239 GN=CELE_K01A2.5 PE=1 SV=1</t>
  </si>
  <si>
    <t>Q9TZ58</t>
  </si>
  <si>
    <t>&gt;tr|Q9TZ69|Q9TZ69_CAEEL E2 ubiquitin-conjugating enzyme OS=Caenorhabditis elegans OX=6239 GN=ubc-20 PE=1 SV=1</t>
  </si>
  <si>
    <t>Q9TZ69</t>
  </si>
  <si>
    <t>ubc-20</t>
  </si>
  <si>
    <t>&gt;sp|Q9TZC4|ILKH_CAEEL Integrin-linked protein kinase homolog pat-4 OS=Caenorhabditis elegans OX=6239 GN=pat-4 PE=1 SV=1</t>
  </si>
  <si>
    <t>Q9TZC4</t>
  </si>
  <si>
    <t>pat-4</t>
  </si>
  <si>
    <t>Integrin-linked protein kinase homolog pat-4</t>
  </si>
  <si>
    <t>&gt;tr|Q9TZD9|Q9TZD9_CAEEL ABC-type antigen peptide transporter OS=Caenorhabditis elegans OX=6239 GN=haf-4 PE=1 SV=2</t>
  </si>
  <si>
    <t>Q9TZD9</t>
  </si>
  <si>
    <t>haf-4</t>
  </si>
  <si>
    <t>&gt;tr|Q9TZH8|Q9TZH8_CAEEL Transmembrane protein 53 OS=Caenorhabditis elegans OX=6239 GN=CELE_T10B11.6 PE=1 SV=1</t>
  </si>
  <si>
    <t>Q9TZH8</t>
  </si>
  <si>
    <t>&gt;sp|Q9TZI1|CERK_CAEEL Ceramide kinase 1 OS=Caenorhabditis elegans OX=6239 GN=cerk-1 PE=3 SV=1</t>
  </si>
  <si>
    <t>Q9TZI1</t>
  </si>
  <si>
    <t>cerk-1</t>
  </si>
  <si>
    <t>Ceramide kinase 1</t>
  </si>
  <si>
    <t>&gt;tr|Q9TZI2|Q9TZI2_CAEEL RRM domain-containing protein OS=Caenorhabditis elegans OX=6239 GN=ztf-4 PE=1 SV=2</t>
  </si>
  <si>
    <t>Q9TZI2</t>
  </si>
  <si>
    <t>ztf-4</t>
  </si>
  <si>
    <t>&gt;sp|Q9TZI4|GBAS1_CAEEL G-protein alpha subunit activating protein gbas-1 OS=Caenorhabditis elegans OX=6239 GN=gbas-1 PE=1 SV=2</t>
  </si>
  <si>
    <t>Q9TZI4</t>
  </si>
  <si>
    <t>gbas-1</t>
  </si>
  <si>
    <t>G-protein alpha subunit activating protein gbas-1</t>
  </si>
  <si>
    <t>&gt;tr|Q9TZI9|Q9TZI9_CAEEL Myosin motor domain-containing protein OS=Caenorhabditis elegans OX=6239 GN=spe-15 PE=1 SV=1</t>
  </si>
  <si>
    <t>Q9TZI9</t>
  </si>
  <si>
    <t>spe-15</t>
  </si>
  <si>
    <t>&gt;sp|Q9TZL8|PFKA1_CAEEL ATP-dependent 6-phosphofructokinase 1 OS=Caenorhabditis elegans OX=6239 GN=pfk-1.1 PE=3 SV=2</t>
  </si>
  <si>
    <t>Q9TZL8</t>
  </si>
  <si>
    <t>pfk-1.1</t>
  </si>
  <si>
    <t>ATP-dependent 6-phosphofructokinase 1</t>
  </si>
  <si>
    <t>&gt;tr|Q9TZL9|Q9TZL9_CAEEL Fatty acyl-CoA reductase OS=Caenorhabditis elegans OX=6239 GN=fard-1 PE=1 SV=1</t>
  </si>
  <si>
    <t>Q9TZL9</t>
  </si>
  <si>
    <t>fard-1</t>
  </si>
  <si>
    <t>Fatty acyl-CoA reductase</t>
  </si>
  <si>
    <t>&gt;sp|Q9TZM2|MO25L_CAEEL MO25-like protein 3 OS=Caenorhabditis elegans OX=6239 GN=mop-25.3 PE=3 SV=1</t>
  </si>
  <si>
    <t>Q9TZM2</t>
  </si>
  <si>
    <t>mop-25.3</t>
  </si>
  <si>
    <t>MO25-like protein 3</t>
  </si>
  <si>
    <t>&gt;sp|Q9TZM3|LRK1_CAEEL Leucine-rich repeat serine/threonine-protein kinase 1 OS=Caenorhabditis elegans OX=6239 GN=lrk-1 PE=1 SV=6</t>
  </si>
  <si>
    <t>Q9TZM3</t>
  </si>
  <si>
    <t>lrk-1</t>
  </si>
  <si>
    <t>Leucine-rich repeat serine/threonine-protein kinase 1</t>
  </si>
  <si>
    <t>&gt;tr|Q9TZM9|Q9TZM9_CAEEL RNA polymerase II-associated factor 1 homolog OS=Caenorhabditis elegans OX=6239 GN=tag-343 PE=1 SV=2</t>
  </si>
  <si>
    <t>Q9TZM9</t>
  </si>
  <si>
    <t>tag-343</t>
  </si>
  <si>
    <t>&gt;sp|Q9TZQ3|PGL1_CAEEL Guanyl-specific ribonuclease pgl-1 OS=Caenorhabditis elegans OX=6239 GN=pgl-1 PE=1 SV=1</t>
  </si>
  <si>
    <t>Q9TZQ3</t>
  </si>
  <si>
    <t>pgl-1</t>
  </si>
  <si>
    <t>Guanyl-specific ribonuclease pgl-1</t>
  </si>
  <si>
    <t>&gt;tr|Q9TZS5|Q9TZS5_CAEEL T-complex protein 1 subunit eta OS=Caenorhabditis elegans OX=6239 GN=cct-7 PE=1 SV=2</t>
  </si>
  <si>
    <t>Q9TZS5</t>
  </si>
  <si>
    <t>cct-7</t>
  </si>
  <si>
    <t>T-complex protein 1 subunit eta</t>
  </si>
  <si>
    <t>&gt;tr|Q9U1P9|Q9U1P9_CAEEL Lysosomal cobalamin transporter OS=Caenorhabditis elegans OX=6239 GN=CELE_Y87G2A.13 PE=1 SV=2</t>
  </si>
  <si>
    <t>Q9U1P9</t>
  </si>
  <si>
    <t>Lysosomal cobalamin transporter</t>
  </si>
  <si>
    <t>&gt;tr|Q9U1Q1|Q9U1Q1_CAEEL Ubiquitin-conjugating enzyme E2 S OS=Caenorhabditis elegans OX=6239 GN=ubc-14 PE=1 SV=1</t>
  </si>
  <si>
    <t>Q9U1Q1</t>
  </si>
  <si>
    <t>ubc-14</t>
  </si>
  <si>
    <t>Ubiquitin-conjugating enzyme E2 S</t>
  </si>
  <si>
    <t>&gt;tr|Q9U1Q3|Q9U1Q3_CAEEL PPIase cyclophilin-type domain-containing protein OS=Caenorhabditis elegans OX=6239 GN=cyn-15 PE=1 SV=1</t>
  </si>
  <si>
    <t>Q9U1Q3</t>
  </si>
  <si>
    <t>cyn-15</t>
  </si>
  <si>
    <t>PPIase cyclophilin-type domain-containing protein</t>
  </si>
  <si>
    <t>&gt;sp|Q9U1Q4|SYV_CAEEL Valine--tRNA ligase OS=Caenorhabditis elegans OX=6239 GN=glp-4 PE=1 SV=1</t>
  </si>
  <si>
    <t>Q9U1Q4</t>
  </si>
  <si>
    <t>glp-4</t>
  </si>
  <si>
    <t>Valine--tRNA ligase</t>
  </si>
  <si>
    <t>&gt;tr|Q9U1Q5|Q9U1Q5_CAEEL Acyl-coenzyme A thioesterase 8 OS=Caenorhabditis elegans OX=6239 GN=CELE_Y87G2A.2 PE=1 SV=3</t>
  </si>
  <si>
    <t>Q9U1Q5</t>
  </si>
  <si>
    <t>&gt;tr|Q9U1Q6|Q9U1Q6_CAEEL Uncharacterized protein OS=Caenorhabditis elegans OX=6239 GN=CELE_Y87G2A.1 PE=1 SV=3</t>
  </si>
  <si>
    <t>Q9U1Q6</t>
  </si>
  <si>
    <t>&gt;tr|Q9U1Q7|Q9U1Q7_CAEEL Intron-binding protein aquarius OS=Caenorhabditis elegans OX=6239 GN=emb-4 PE=1 SV=4</t>
  </si>
  <si>
    <t>Q9U1Q7</t>
  </si>
  <si>
    <t>emb-4</t>
  </si>
  <si>
    <t>Intron-binding protein aquarius</t>
  </si>
  <si>
    <t>&gt;tr|Q9U1R5|Q9U1R5_CAEEL Cytochrome P450 4V2 OS=Caenorhabditis elegans OX=6239 GN=cyp-42a1 PE=1 SV=2</t>
  </si>
  <si>
    <t>Q9U1R5</t>
  </si>
  <si>
    <t>cyp-42a1</t>
  </si>
  <si>
    <t>Cytochrome P450 4V2</t>
  </si>
  <si>
    <t>&gt;tr|Q9U1R8|Q9U1R8_CAEEL C2H2-type domain-containing protein OS=Caenorhabditis elegans OX=6239 GN=CELE_Y79H2A.3 PE=1 SV=2</t>
  </si>
  <si>
    <t>Q9U1R8</t>
  </si>
  <si>
    <t>&gt;tr|Q9U1S2|Q9U1S2_CAEEL Bypass of Response to Pheromone in yeast OS=Caenorhabditis elegans OX=6239 GN=brp-1 PE=1 SV=1</t>
  </si>
  <si>
    <t>Q9U1S2</t>
  </si>
  <si>
    <t>brp-1</t>
  </si>
  <si>
    <t>Bypass of Response to Pheromone in yeast</t>
  </si>
  <si>
    <t>&gt;tr|Q9U1S3|Q9U1S3_CAEEL Golgi pH regulator OS=Caenorhabditis elegans OX=6239 GN=gphr-1 PE=1 SV=1</t>
  </si>
  <si>
    <t>Q9U1S3</t>
  </si>
  <si>
    <t>gphr-1</t>
  </si>
  <si>
    <t>Golgi pH regulator</t>
  </si>
  <si>
    <t>&gt;tr|Q9U1S8|Q9U1S8_CAEEL Ribonuclease H OS=Caenorhabditis elegans OX=6239 GN=CELE_Y6D1A.1 PE=1 SV=2</t>
  </si>
  <si>
    <t>Q9U1S8</t>
  </si>
  <si>
    <t>Ribonuclease H</t>
  </si>
  <si>
    <t>&gt;tr|Q9U1T1|Q9U1T1_CAEEL C2H2-type domain-containing protein OS=Caenorhabditis elegans OX=6239 GN=CELE_Y6B3B.9 PE=1 SV=2</t>
  </si>
  <si>
    <t>Q9U1T1</t>
  </si>
  <si>
    <t>&gt;tr|Q9U1V9|Q9U1V9_CAEEL J domain-containing protein OS=Caenorhabditis elegans OX=6239 GN=dnj-29 PE=1 SV=1</t>
  </si>
  <si>
    <t>Q9U1V9</t>
  </si>
  <si>
    <t>dnj-29</t>
  </si>
  <si>
    <t>&gt;tr|Q9U1X6|Q9U1X6_CAEEL ER membrane protein complex subunit 3 OS=Caenorhabditis elegans OX=6239 GN=emc-3 PE=1 SV=1</t>
  </si>
  <si>
    <t>Q9U1X6</t>
  </si>
  <si>
    <t>emc-3</t>
  </si>
  <si>
    <t>ER membrane protein complex subunit 3</t>
  </si>
  <si>
    <t>&gt;tr|Q9U1Y0|Q9U1Y0_CAEEL Methylated-DNA--protein-cysteine methyltransferase OS=Caenorhabditis elegans OX=6239 GN=agt-1 PE=1 SV=2</t>
  </si>
  <si>
    <t>Q9U1Y0</t>
  </si>
  <si>
    <t>agt-1</t>
  </si>
  <si>
    <t>Methylated-DNA--protein-cysteine methyltransferase</t>
  </si>
  <si>
    <t>&gt;sp|Q9U1Y5|CHK2_CAEEL Serine/threonine-protein kinase chk-2 OS=Caenorhabditis elegans OX=6239 GN=chk-2 PE=2 SV=2</t>
  </si>
  <si>
    <t>Q9U1Y5</t>
  </si>
  <si>
    <t>chk-2</t>
  </si>
  <si>
    <t>Serine/threonine-protein kinase chk-2</t>
  </si>
  <si>
    <t>&gt;tr|Q9U1Y6|Q9U1Y6_CAEEL Retinol dehydrogenase 13 OS=Caenorhabditis elegans OX=6239 GN=dhs-24 PE=1 SV=3</t>
  </si>
  <si>
    <t>Q9U1Y6</t>
  </si>
  <si>
    <t>dhs-24</t>
  </si>
  <si>
    <t>Retinol dehydrogenase 13</t>
  </si>
  <si>
    <t>&gt;tr|Q9U1Z2|Q9U1Z2_CAEEL UDP-N-acetylglucosamine--dolichyl-phosphate N-acetylglucosaminephosphotransferase OS=Caenorhabditis elegans OX=6239 GN=algn-7 PE=1 SV=2</t>
  </si>
  <si>
    <t>Q9U1Z2</t>
  </si>
  <si>
    <t>algn-7</t>
  </si>
  <si>
    <t>UDP-N-acetylglucosamine--dolichyl-phosphate N-acetylglucosaminephosphotransferase</t>
  </si>
  <si>
    <t>&gt;tr|Q9U1Z6|Q9U1Z6_CAEEL Serine aminopeptidase S33 domain-containing protein OS=Caenorhabditis elegans OX=6239 GN=abhd-3.1 PE=1 SV=1</t>
  </si>
  <si>
    <t>Q9U1Z6</t>
  </si>
  <si>
    <t>abhd-3.1</t>
  </si>
  <si>
    <t>Serine aminopeptidase S33 domain-containing protein</t>
  </si>
  <si>
    <t>&gt;tr|Q9U202|Q9U202_CAEEL RRM domain-containing protein OS=Caenorhabditis elegans OX=6239 GN=melo-1 PE=1 SV=2</t>
  </si>
  <si>
    <t>Q9U202</t>
  </si>
  <si>
    <t>melo-1</t>
  </si>
  <si>
    <t>&gt;tr|Q9U208|Q9U208_CAEEL Mitochondrial DNA polymerase catalytic subunit OS=Caenorhabditis elegans OX=6239 GN=polg-1 PE=4 SV=1</t>
  </si>
  <si>
    <t>Q9U208</t>
  </si>
  <si>
    <t>polg-1</t>
  </si>
  <si>
    <t>Mitochondrial DNA polymerase catalytic subunit</t>
  </si>
  <si>
    <t>&gt;tr|Q9U210|Q9U210_CAEEL Armadillo repeat-containing protein 4 OS=Caenorhabditis elegans OX=6239 GN=CELE_Y57A10A.27 PE=1 SV=1</t>
  </si>
  <si>
    <t>Q9U210</t>
  </si>
  <si>
    <t>Armadillo repeat-containing protein 4</t>
  </si>
  <si>
    <t>&gt;sp|Q9U221|UNG_CAEEL Uracil-DNA glycosylase OS=Caenorhabditis elegans OX=6239 GN=ung-1 PE=1 SV=1</t>
  </si>
  <si>
    <t>Q9U221</t>
  </si>
  <si>
    <t>ung-1</t>
  </si>
  <si>
    <t>Uracil-DNA glycosylase</t>
  </si>
  <si>
    <t>&gt;tr|Q9U229|Q9U229_CAEEL Pyr_redox_2 domain-containing protein OS=Caenorhabditis elegans OX=6239 GN=wah-1 PE=1 SV=2</t>
  </si>
  <si>
    <t>Q9U229</t>
  </si>
  <si>
    <t>wah-1</t>
  </si>
  <si>
    <t>Pyr_redox_2 domain-containing protein</t>
  </si>
  <si>
    <t>&gt;tr|Q9U238|Q9U238_CAEEL Translocon-associated protein subunit delta OS=Caenorhabditis elegans OX=6239 GN=trap-4 PE=1 SV=1</t>
  </si>
  <si>
    <t>Q9U238</t>
  </si>
  <si>
    <t>trap-4</t>
  </si>
  <si>
    <t>Translocon-associated protein subunit delta</t>
  </si>
  <si>
    <t>&gt;tr|Q9U252|Q9U252_CAEEL Arginine/serine-rich protein PNISR OS=Caenorhabditis elegans OX=6239 GN=rsy-1 PE=1 SV=2</t>
  </si>
  <si>
    <t>Q9U252</t>
  </si>
  <si>
    <t>rsy-1</t>
  </si>
  <si>
    <t>Arginine/serine-rich protein PNISR</t>
  </si>
  <si>
    <t>&gt;tr|Q9U255|Q9U255_CAEEL MI domain-containing protein OS=Caenorhabditis elegans OX=6239 GN=CELE_Y52B11A.10 PE=1 SV=1</t>
  </si>
  <si>
    <t>Q9U255</t>
  </si>
  <si>
    <t>MI domain-containing protein</t>
  </si>
  <si>
    <t>&gt;sp|Q9U263|SET26_CAEEL Histone-lysine N-methyltransferase set-26 OS=Caenorhabditis elegans OX=6239 GN=set-26 PE=1 SV=3</t>
  </si>
  <si>
    <t>Q9U263</t>
  </si>
  <si>
    <t>set-26</t>
  </si>
  <si>
    <t>Histone-lysine N-methyltransferase set-26</t>
  </si>
  <si>
    <t>&gt;tr|Q9U267|Q9U267_CAEEL Integrator complex subunit 5 OS=Caenorhabditis elegans OX=6239 GN=ints-5 PE=1 SV=2</t>
  </si>
  <si>
    <t>Q9U267</t>
  </si>
  <si>
    <t>ints-5</t>
  </si>
  <si>
    <t>Integrator complex subunit 5</t>
  </si>
  <si>
    <t>&gt;tr|Q9U275|Q9U275_CAEEL HAlF transporter (PGP related) OS=Caenorhabditis elegans OX=6239 GN=haf-7 PE=1 SV=1</t>
  </si>
  <si>
    <t>Q9U275</t>
  </si>
  <si>
    <t>haf-7</t>
  </si>
  <si>
    <t>HAlF transporter (PGP related)</t>
  </si>
  <si>
    <t>&gt;sp|Q9U280|TAT1_CAEEL Phospholipid-transporting ATPase tat-1 OS=Caenorhabditis elegans OX=6239 GN=tat-1 PE=1 SV=3</t>
  </si>
  <si>
    <t>Q9U280</t>
  </si>
  <si>
    <t>tat-1</t>
  </si>
  <si>
    <t>Phospholipid-transporting ATPase tat-1</t>
  </si>
  <si>
    <t>&gt;tr|Q9U283|Q9U283_CAEEL Protein NDRG3 OS=Caenorhabditis elegans OX=6239 GN=CELE_Y48G10A.3 PE=1 SV=1</t>
  </si>
  <si>
    <t>Q9U283</t>
  </si>
  <si>
    <t>Protein NDRG3</t>
  </si>
  <si>
    <t>&gt;tr|Q9U287|Q9U287_CAEEL tRNA pseudouridine(55) synthase OS=Caenorhabditis elegans OX=6239 GN=CELE_Y48C3A.20 PE=1 SV=2</t>
  </si>
  <si>
    <t>Q9U287</t>
  </si>
  <si>
    <t>tRNA pseudouridine(55) synthase</t>
  </si>
  <si>
    <t>&gt;tr|Q9U294|Q9U294_CAEEL Diphosphomevalonate decarboxylase OS=Caenorhabditis elegans OX=6239 GN=CELE_Y48B6A.13 PE=1 SV=1</t>
  </si>
  <si>
    <t>Q9U294</t>
  </si>
  <si>
    <t>Diphosphomevalonate decarboxylase</t>
  </si>
  <si>
    <t>&gt;tr|Q9U296|Q9U296_CAEEL Malic enzyme OS=Caenorhabditis elegans OX=6239 GN=men-1 PE=1 SV=1</t>
  </si>
  <si>
    <t>Q9U296</t>
  </si>
  <si>
    <t>men-1</t>
  </si>
  <si>
    <t>Malic enzyme</t>
  </si>
  <si>
    <t>&gt;sp|Q9U299|XRN2_CAEEL 5'-3' exoribonuclease 2 homolog OS=Caenorhabditis elegans OX=6239 GN=xrn-2 PE=1 SV=2</t>
  </si>
  <si>
    <t>Q9U299</t>
  </si>
  <si>
    <t>xrn-2</t>
  </si>
  <si>
    <t>5'-3' exoribonuclease 2 homolog</t>
  </si>
  <si>
    <t>&gt;sp|Q9U2A8|RL37A_CAEEL Large ribosomal subunit protein eL43 OS=Caenorhabditis elegans OX=6239 GN=rpl-43 PE=3 SV=3</t>
  </si>
  <si>
    <t>Q9U2A8</t>
  </si>
  <si>
    <t>rpl-43</t>
  </si>
  <si>
    <t>Large ribosomal subunit protein eL43</t>
  </si>
  <si>
    <t>&gt;sp|Q9U2A9|BOP1_CAEEL Ribosome biogenesis protein BOP1 homolog OS=Caenorhabditis elegans OX=6239 GN=Y48B6A.1 PE=3 SV=1</t>
  </si>
  <si>
    <t>Q9U2A9</t>
  </si>
  <si>
    <t>Y48B6A.1</t>
  </si>
  <si>
    <t>Ribosome biogenesis protein BOP1 homolog</t>
  </si>
  <si>
    <t>&gt;tr|Q9U2B1|Q9U2B1_CAEEL NACHT_N domain-containing protein OS=Caenorhabditis elegans OX=6239 GN=CELE_Y47H9C.8 PE=1 SV=1</t>
  </si>
  <si>
    <t>Q9U2B1</t>
  </si>
  <si>
    <t>NACHT_N domain-containing protein</t>
  </si>
  <si>
    <t>&gt;tr|Q9U2C3|Q9U2C3_CAEEL Ras-related protein Rab-35 OS=Caenorhabditis elegans OX=6239 GN=rab-35 PE=1 SV=1</t>
  </si>
  <si>
    <t>Q9U2C3</t>
  </si>
  <si>
    <t>rab-35</t>
  </si>
  <si>
    <t>Ras-related protein Rab-35</t>
  </si>
  <si>
    <t>&gt;tr|Q9U2D2|Q9U2D2_CAEEL Ku domain-containing protein OS=Caenorhabditis elegans OX=6239 GN=cku-70 PE=1 SV=3</t>
  </si>
  <si>
    <t>Q9U2D2</t>
  </si>
  <si>
    <t>cku-70</t>
  </si>
  <si>
    <t>Ku domain-containing protein</t>
  </si>
  <si>
    <t>&gt;sp|Q9U2D6|CNP2_CAEEL Calcineurin-interacting protein 2 OS=Caenorhabditis elegans OX=6239 GN=cnp-2 PE=1 SV=3</t>
  </si>
  <si>
    <t>Q9U2D6</t>
  </si>
  <si>
    <t>cnp-2</t>
  </si>
  <si>
    <t>Calcineurin-interacting protein 2</t>
  </si>
  <si>
    <t>&gt;tr|Q9U2D8|Q9U2D8_CAEEL Rab-GAP TBC domain-containing protein OS=Caenorhabditis elegans OX=6239 GN=tbc-17 PE=1 SV=4</t>
  </si>
  <si>
    <t>Q9U2D8</t>
  </si>
  <si>
    <t>tbc-17</t>
  </si>
  <si>
    <t>&gt;sp|Q9U2D9|GYS_CAEEL Glycogen [starch] synthase OS=Caenorhabditis elegans OX=6239 GN=gsy-1 PE=1 SV=1</t>
  </si>
  <si>
    <t>Q9U2D9</t>
  </si>
  <si>
    <t>gsy-1</t>
  </si>
  <si>
    <t>Glycogen [starch] synthase</t>
  </si>
  <si>
    <t>&gt;tr|Q9U2E7|Q9U2E7_CAEEL G_PROTEIN_RECEP_F1_2 domain-containing protein OS=Caenorhabditis elegans OX=6239 GN=CELE_Y46G5A.22 PE=4 SV=1</t>
  </si>
  <si>
    <t>Q9U2E7</t>
  </si>
  <si>
    <t>&gt;tr|Q9U2F1|Q9U2F1_CAEEL R3H-associated N-terminal domain-containing protein OS=Caenorhabditis elegans OX=6239 GN=CELE_Y46G5A.18 PE=1 SV=1</t>
  </si>
  <si>
    <t>Q9U2F1</t>
  </si>
  <si>
    <t>R3H-associated N-terminal domain-containing protein</t>
  </si>
  <si>
    <t>&gt;tr|Q9U2F2|Q9U2F2_CAEEL Carnitine O-palmitoyltransferase OS=Caenorhabditis elegans OX=6239 GN=cpt-1 PE=1 SV=3</t>
  </si>
  <si>
    <t>Q9U2F2</t>
  </si>
  <si>
    <t>cpt-1</t>
  </si>
  <si>
    <t>Carnitine O-palmitoyltransferase</t>
  </si>
  <si>
    <t>&gt;tr|Q9U2F5|Q9U2F5_CAEEL RRM domain-containing protein OS=Caenorhabditis elegans OX=6239 GN=tiar-2 PE=1 SV=1</t>
  </si>
  <si>
    <t>Q9U2F5</t>
  </si>
  <si>
    <t>tiar-2</t>
  </si>
  <si>
    <t>&gt;tr|Q9U2F6|Q9U2F6_CAEEL Charged multivesicular body protein 2a OS=Caenorhabditis elegans OX=6239 GN=vps-2 PE=1 SV=1</t>
  </si>
  <si>
    <t>Q9U2F6</t>
  </si>
  <si>
    <t>vps-2</t>
  </si>
  <si>
    <t>Charged multivesicular body protein 2a</t>
  </si>
  <si>
    <t>&gt;sp|Q9U2G0|U520_CAEEL U5 small nuclear ribonucleoprotein 200 kDa helicase OS=Caenorhabditis elegans OX=6239 GN=snrp-200 PE=3 SV=1</t>
  </si>
  <si>
    <t>Q9U2G0</t>
  </si>
  <si>
    <t>snrp-200</t>
  </si>
  <si>
    <t>U5 small nuclear ribonucleoprotein 200 kDa helicase</t>
  </si>
  <si>
    <t>&gt;tr|Q9U2G1|Q9U2G1_CAEEL CDP-diacylglycerol--inositol 3-phosphatidyltransferase OS=Caenorhabditis elegans OX=6239 GN=pisy-1 PE=1 SV=1</t>
  </si>
  <si>
    <t>Q9U2G1</t>
  </si>
  <si>
    <t>pisy-1</t>
  </si>
  <si>
    <t>CDP-diacylglycerol--inositol 3-phosphatidyltransferase</t>
  </si>
  <si>
    <t>&gt;tr|Q9U2G4|Q9U2G4_CAEEL PUM-HD domain-containing protein OS=Caenorhabditis elegans OX=6239 GN=puf-3 PE=1 SV=1</t>
  </si>
  <si>
    <t>Q9U2G4</t>
  </si>
  <si>
    <t>puf-3</t>
  </si>
  <si>
    <t>&gt;sp|Q9U2G5|MRP7_CAEEL Multidrug resistance protein mrp-7 OS=Caenorhabditis elegans OX=6239 GN=mrp-7 PE=2 SV=3</t>
  </si>
  <si>
    <t>Q9U2G5</t>
  </si>
  <si>
    <t>mrp-7</t>
  </si>
  <si>
    <t>Multidrug resistance protein mrp-7</t>
  </si>
  <si>
    <t>&gt;tr|Q9U2G8|Q9U2G8_CAEEL SPK domain-containing protein OS=Caenorhabditis elegans OX=6239 GN=set-24 PE=4 SV=3</t>
  </si>
  <si>
    <t>Q9U2G8</t>
  </si>
  <si>
    <t>set-24</t>
  </si>
  <si>
    <t>&gt;tr|Q9U2H4|Q9U2H4_CAEEL FANCD2 OS=Caenorhabditis elegans OX=6239 GN=fcd-2 PE=1 SV=3</t>
  </si>
  <si>
    <t>Q9U2H4</t>
  </si>
  <si>
    <t>fcd-2</t>
  </si>
  <si>
    <t>FANCD2</t>
  </si>
  <si>
    <t>&gt;sp|Q9U2H9|EF1B2_CAEEL Probable elongation factor 1-beta/1-delta 2 OS=Caenorhabditis elegans OX=6239 GN=eef-1B.2 PE=1 SV=4</t>
  </si>
  <si>
    <t>Q9U2H9</t>
  </si>
  <si>
    <t>eef-1B.2</t>
  </si>
  <si>
    <t>Probable elongation factor 1-beta/1-delta 2</t>
  </si>
  <si>
    <t>&gt;tr|Q9U2I4|Q9U2I4_CAEEL Digestive organ expansion factor homolog OS=Caenorhabditis elegans OX=6239 GN=CELE_Y41C4A.9 PE=1 SV=1</t>
  </si>
  <si>
    <t>Q9U2I4</t>
  </si>
  <si>
    <t>Digestive organ expansion factor homolog</t>
  </si>
  <si>
    <t>&gt;tr|Q9U2J0|Q9U2J0_CAEEL Solute carrier family 25 member 46 OS=Caenorhabditis elegans OX=6239 GN=slc-25a46 PE=1 SV=1</t>
  </si>
  <si>
    <t>Q9U2J0</t>
  </si>
  <si>
    <t>slc-25a46</t>
  </si>
  <si>
    <t>Solute carrier family 25 member 46</t>
  </si>
  <si>
    <t>&gt;tr|Q9U2K5|Q9U2K5_CAEEL Major facilitator superfamily (MFS) profile domain-containing protein OS=Caenorhabditis elegans OX=6239 GN=CELE_Y39E4B.5 PE=4 SV=1</t>
  </si>
  <si>
    <t>Q9U2K5</t>
  </si>
  <si>
    <t>&gt;tr|Q9U2K7|Q9U2K7_CAEEL SNAPc (Small Nuclear RNA Activating Complex) homolog OS=Caenorhabditis elegans OX=6239 GN=snpc-1.2 PE=4 SV=1</t>
  </si>
  <si>
    <t>Q9U2K7</t>
  </si>
  <si>
    <t>snpc-1.2</t>
  </si>
  <si>
    <t>SNAPc (Small Nuclear RNA Activating Complex) homolog</t>
  </si>
  <si>
    <t>&gt;tr|Q9U2K8|Q9U2K8_CAEEL ABC transporter, class E OS=Caenorhabditis elegans OX=6239 GN=abce-1 PE=1 SV=1</t>
  </si>
  <si>
    <t>Q9U2K8</t>
  </si>
  <si>
    <t>abce-1</t>
  </si>
  <si>
    <t>ABC transporter, class E</t>
  </si>
  <si>
    <t>&gt;tr|Q9U2L2|Q9U2L2_CAEEL SAM domain-containing protein OS=Caenorhabditis elegans OX=6239 GN=mlt-3 PE=1 SV=2</t>
  </si>
  <si>
    <t>Q9U2L2</t>
  </si>
  <si>
    <t>mlt-3</t>
  </si>
  <si>
    <t>&gt;sp|Q9U2M1|CND1_CAEEL Condensin complex subunit 1 OS=Caenorhabditis elegans OX=6239 GN=dpy-28 PE=1 SV=2</t>
  </si>
  <si>
    <t>Q9U2M1</t>
  </si>
  <si>
    <t>dpy-28</t>
  </si>
  <si>
    <t>Condensin complex subunit 1</t>
  </si>
  <si>
    <t>&gt;sp|Q9U2M4|HOT_CAEEL Hydroxyacid-oxoacid transhydrogenase, mitochondrial OS=Caenorhabditis elegans OX=6239 GN=hphd-1 PE=3 SV=1</t>
  </si>
  <si>
    <t>Q9U2M4</t>
  </si>
  <si>
    <t>hphd-1</t>
  </si>
  <si>
    <t>Hydroxyacid-oxoacid transhydrogenase, mitochondrial</t>
  </si>
  <si>
    <t>&gt;sp|Q9U2M8|C2D1_CAEEL Coiled-coil and C2 domain-containing protein 1-like OS=Caenorhabditis elegans OX=6239 GN=Y37H9A.3 PE=3 SV=3</t>
  </si>
  <si>
    <t>Q9U2M8</t>
  </si>
  <si>
    <t>Y37H9A.3</t>
  </si>
  <si>
    <t>Coiled-coil and C2 domain-containing protein 1-like</t>
  </si>
  <si>
    <t>&gt;tr|Q9U2M9|Q9U2M9_CAEEL Copper transport protein 86 OS=Caenorhabditis elegans OX=6239 GN=CELE_Y37H9A.1 PE=1 SV=1</t>
  </si>
  <si>
    <t>Q9U2M9</t>
  </si>
  <si>
    <t>Copper transport protein 86</t>
  </si>
  <si>
    <t>&gt;tr|Q9U2N7|Q9U2N7_CAEEL Deoxyribonuclease TATDN2 OS=Caenorhabditis elegans OX=6239 GN=CELE_Y37H2A.1 PE=1 SV=1</t>
  </si>
  <si>
    <t>Q9U2N7</t>
  </si>
  <si>
    <t>Deoxyribonuclease TATDN2</t>
  </si>
  <si>
    <t>&gt;tr|Q9U2P3|Q9U2P3_CAEEL Poly(A) polymerase OS=Caenorhabditis elegans OX=6239 GN=pap-1 PE=1 SV=1</t>
  </si>
  <si>
    <t>Q9U2P3</t>
  </si>
  <si>
    <t>pap-1</t>
  </si>
  <si>
    <t>Poly(A) polymerase</t>
  </si>
  <si>
    <t>&gt;tr|Q9U2Q7|Q9U2Q7_CAEEL Deoxyribonuclease TATDN2 OS=Caenorhabditis elegans OX=6239 GN=CELE_Y24F12A.1 PE=1 SV=2</t>
  </si>
  <si>
    <t>Q9U2Q7</t>
  </si>
  <si>
    <t>&gt;sp|Q9U2Q9|GSK3_CAEEL Glycogen synthase kinase-3 OS=Caenorhabditis elegans OX=6239 GN=gsk-3 PE=1 SV=1</t>
  </si>
  <si>
    <t>Q9U2Q9</t>
  </si>
  <si>
    <t>gsk-3</t>
  </si>
  <si>
    <t>Glycogen synthase kinase-3</t>
  </si>
  <si>
    <t>&gt;sp|Q9U2R0|BIN3D_CAEEL Probable RNA methyltransferase Y17G7B.18 OS=Caenorhabditis elegans OX=6239 GN=Y17G7B.18 PE=3 SV=1</t>
  </si>
  <si>
    <t>Q9U2R0</t>
  </si>
  <si>
    <t>Y17G7B.18</t>
  </si>
  <si>
    <t>Probable RNA methyltransferase Y17G7B.18</t>
  </si>
  <si>
    <t>&gt;tr|Q9U2R3|Q9U2R3_CAEEL Major facilitator superfamily (MFS) profile domain-containing protein OS=Caenorhabditis elegans OX=6239 GN=CELE_Y15E3A.4 PE=1 SV=1</t>
  </si>
  <si>
    <t>Q9U2R3</t>
  </si>
  <si>
    <t>&gt;tr|Q9U2S4|Q9U2S4_CAEEL ADP-ribosylation factor 6 OS=Caenorhabditis elegans OX=6239 GN=arf-6 PE=1 SV=1</t>
  </si>
  <si>
    <t>Q9U2S4</t>
  </si>
  <si>
    <t>arf-6</t>
  </si>
  <si>
    <t>ADP-ribosylation factor 6</t>
  </si>
  <si>
    <t>&gt;tr|Q9U2S6|Q9U2S6_CAEEL Peptidyl-prolyl cis-trans isomerase E OS=Caenorhabditis elegans OX=6239 GN=cyn-13 PE=1 SV=1</t>
  </si>
  <si>
    <t>Q9U2S6</t>
  </si>
  <si>
    <t>cyn-13</t>
  </si>
  <si>
    <t>Peptidyl-prolyl cis-trans isomerase E</t>
  </si>
  <si>
    <t>&gt;tr|Q9U2U0|Q9U2U0_CAEEL Splicing factor U2AF 35 kDa subunit OS=Caenorhabditis elegans OX=6239 GN=uaf-2 PE=1 SV=1</t>
  </si>
  <si>
    <t>Q9U2U0</t>
  </si>
  <si>
    <t>uaf-2</t>
  </si>
  <si>
    <t>Splicing factor U2AF 35 kDa subunit</t>
  </si>
  <si>
    <t>&gt;tr|Q9U2U3|Q9U2U3_CAEEL ATP synthase mitochondrial F1 complex assembly factor 2 OS=Caenorhabditis elegans OX=6239 GN=CELE_Y116A8C.27 PE=1 SV=2</t>
  </si>
  <si>
    <t>Q9U2U3</t>
  </si>
  <si>
    <t>ATP synthase mitochondrial F1 complex assembly factor 2</t>
  </si>
  <si>
    <t>&gt;sp|Q9U2X0|ANM1_CAEEL Protein arginine N-methyltransferase 1 OS=Caenorhabditis elegans OX=6239 GN=prmt-1 PE=1 SV=1</t>
  </si>
  <si>
    <t>Q9U2X0</t>
  </si>
  <si>
    <t>prmt-1</t>
  </si>
  <si>
    <t>Protein arginine N-methyltransferase 1</t>
  </si>
  <si>
    <t>&gt;sp|Q9U2Y2|CK5P3_CAEEL CDK5RAP3 protein homolog OS=Caenorhabditis elegans OX=6239 GN=cdkr-3 PE=3 SV=1</t>
  </si>
  <si>
    <t>Q9U2Y2</t>
  </si>
  <si>
    <t>cdkr-3</t>
  </si>
  <si>
    <t>CDK5RAP3 protein homolog</t>
  </si>
  <si>
    <t>&gt;tr|Q9U2Z1|Q9U2Z1_CAEEL Protein transport protein SEC23 OS=Caenorhabditis elegans OX=6239 GN=sec-23 PE=1 SV=2</t>
  </si>
  <si>
    <t>Q9U2Z1</t>
  </si>
  <si>
    <t>sec-23</t>
  </si>
  <si>
    <t>Protein transport protein SEC23</t>
  </si>
  <si>
    <t>&gt;tr|Q9U302|Q9U302_CAEEL Polyadenylate-binding protein OS=Caenorhabditis elegans OX=6239 GN=pab-1 PE=1 SV=1</t>
  </si>
  <si>
    <t>Q9U302</t>
  </si>
  <si>
    <t>pab-1</t>
  </si>
  <si>
    <t>&gt;tr|Q9U304|Q9U304_CAEEL RRM domain-containing protein OS=Caenorhabditis elegans OX=6239 GN=rbm-12 PE=1 SV=1</t>
  </si>
  <si>
    <t>Q9U304</t>
  </si>
  <si>
    <t>rbm-12</t>
  </si>
  <si>
    <t>&gt;tr|Q9U307|Q9U307_CAEEL Glutamine synthetase OS=Caenorhabditis elegans OX=6239 GN=gln-3 PE=1 SV=1</t>
  </si>
  <si>
    <t>Q9U307</t>
  </si>
  <si>
    <t>gln-3</t>
  </si>
  <si>
    <t>Glutamine synthetase</t>
  </si>
  <si>
    <t>&gt;sp|Q9U308|JAC1_CAEEL Juxtamembrane domain-associated catenin OS=Caenorhabditis elegans OX=6239 GN=jac-1 PE=1 SV=2</t>
  </si>
  <si>
    <t>Q9U308</t>
  </si>
  <si>
    <t>jac-1</t>
  </si>
  <si>
    <t>Juxtamembrane domain-associated catenin</t>
  </si>
  <si>
    <t>&gt;tr|Q9U329|Q9U329_CAEEL Cytochrome c oxidase subunit 4 OS=Caenorhabditis elegans OX=6239 GN=cox-4 PE=1 SV=1</t>
  </si>
  <si>
    <t>Q9U329</t>
  </si>
  <si>
    <t>cox-4</t>
  </si>
  <si>
    <t>&gt;sp|Q9U332|RL31_CAEEL Large ribosomal subunit protein eL31 OS=Caenorhabditis elegans OX=6239 GN=rpl-31 PE=3 SV=1</t>
  </si>
  <si>
    <t>Q9U332</t>
  </si>
  <si>
    <t>rpl-31</t>
  </si>
  <si>
    <t>Large ribosomal subunit protein eL31</t>
  </si>
  <si>
    <t>&gt;tr|Q9U334|Q9U334_CAEEL Septin OS=Caenorhabditis elegans OX=6239 GN=unc-59 PE=1 SV=1</t>
  </si>
  <si>
    <t>Q9U334</t>
  </si>
  <si>
    <t>unc-59</t>
  </si>
  <si>
    <t>Septin</t>
  </si>
  <si>
    <t>&gt;tr|Q9U348|Q9U348_CAEEL Nematode cuticle collagen N-terminal domain-containing protein OS=Caenorhabditis elegans OX=6239 GN=col-93 PE=4 SV=1;&gt;tr|Q9U349|Q9U349_CAEEL Nematode cuticle collagen N-terminal domain-containing protein OS=Caenorhabditis elegans OX=6239 GN=col-94 PE=4 SV=1;&gt;tr|Q9XUE9|Q9XUE9_CAEEL Nematode cuticle collagen N-terminal domain-containing protein OS=Caenorhabditis elegans OX=6239 GN=col-133 PE=1 SV=1;&gt;tr|Q9XVG3|Q9XVG3_CAEEL Nematode cuticle collagen N-terminal domain-containing protein OS=Caenorhabditis elegans OX=6239 GN=col-92 PE=4 SV=1</t>
  </si>
  <si>
    <t>Q9U348;Q9U349;Q9XUE9;Q9XVG3</t>
  </si>
  <si>
    <t>col-93;col-94;col-133;col-92</t>
  </si>
  <si>
    <t>Q9U348</t>
  </si>
  <si>
    <t>&gt;tr|Q9U353|Q9U353_CAEEL Zinc finger PHD-type domain-containing protein OS=Caenorhabditis elegans OX=6239 GN=CELE_W03H9.1 PE=4 SV=2</t>
  </si>
  <si>
    <t>Q9U353</t>
  </si>
  <si>
    <t>Zinc finger PHD-type domain-containing protein</t>
  </si>
  <si>
    <t>&gt;tr|Q9U364|Q9U364_CAEEL Protein ECT2 OS=Caenorhabditis elegans OX=6239 GN=ect-2 PE=1 SV=1</t>
  </si>
  <si>
    <t>Q9U364</t>
  </si>
  <si>
    <t>ect-2</t>
  </si>
  <si>
    <t>Protein ECT2</t>
  </si>
  <si>
    <t>&gt;tr|Q9U367|Q9U367_CAEEL EIF3k OS=Caenorhabditis elegans OX=6239 GN=CELE_T16G1.9 PE=1 SV=1</t>
  </si>
  <si>
    <t>Q9U367</t>
  </si>
  <si>
    <t>EIF3k</t>
  </si>
  <si>
    <t>&gt;tr|Q9U369|Q9U369_CAEEL Sodium/potassium-transporting ATPase subunit beta-1-interacting protein OS=Caenorhabditis elegans OX=6239 GN=gldi-7 PE=3 SV=1</t>
  </si>
  <si>
    <t>Q9U369</t>
  </si>
  <si>
    <t>gldi-7</t>
  </si>
  <si>
    <t>Sodium/potassium-transporting ATPase subunit beta-1-interacting protein</t>
  </si>
  <si>
    <t>&gt;tr|Q9U370|Q9U370_CAEEL BRCT domain-containing protein OS=Caenorhabditis elegans OX=6239 GN=pis-1 PE=1 SV=1</t>
  </si>
  <si>
    <t>Q9U370</t>
  </si>
  <si>
    <t>pis-1</t>
  </si>
  <si>
    <t>&gt;tr|Q9U379|Q9U379_CAEEL Abi_C domain-containing protein OS=Caenorhabditis elegans OX=6239 GN=rsbp-1 PE=1 SV=1</t>
  </si>
  <si>
    <t>Q9U379</t>
  </si>
  <si>
    <t>rsbp-1</t>
  </si>
  <si>
    <t>Abi_C domain-containing protein</t>
  </si>
  <si>
    <t>&gt;tr|Q9U380|Q9U380_CAEEL CAF1-p150_C2 domain-containing protein OS=Caenorhabditis elegans OX=6239 GN=chaf-1 PE=1 SV=1</t>
  </si>
  <si>
    <t>Q9U380</t>
  </si>
  <si>
    <t>chaf-1</t>
  </si>
  <si>
    <t>CAF1-p150_C2 domain-containing protein</t>
  </si>
  <si>
    <t>&gt;sp|Q9U3B6|NOL9_CAEEL Polynucleotide 5'-hydroxyl-kinase nol-9 OS=Caenorhabditis elegans OX=6239 GN=nol-9 PE=3 SV=1</t>
  </si>
  <si>
    <t>Q9U3B6</t>
  </si>
  <si>
    <t>nol-9</t>
  </si>
  <si>
    <t>Polynucleotide 5'-hydroxyl-kinase nol-9</t>
  </si>
  <si>
    <t>&gt;sp|Q9U3C8|DCN1_CAEEL Defective in cullin neddylation protein 1 OS=Caenorhabditis elegans OX=6239 GN=dcn-1 PE=1 SV=2</t>
  </si>
  <si>
    <t>Q9U3C8</t>
  </si>
  <si>
    <t>dcn-1</t>
  </si>
  <si>
    <t>Defective in cullin neddylation protein 1</t>
  </si>
  <si>
    <t>&gt;sp|Q9U3D4|SMS1_CAEEL Phosphatidylcholine:ceramide cholinephosphotransferase 1 OS=Caenorhabditis elegans OX=6239 GN=sms-1 PE=1 SV=2</t>
  </si>
  <si>
    <t>Q9U3D4</t>
  </si>
  <si>
    <t>sms-1</t>
  </si>
  <si>
    <t>Phosphatidylcholine:ceramide cholinephosphotransferase 1</t>
  </si>
  <si>
    <t>&gt;sp|Q9U3D6|ADR1_CAEEL A-to-I RNA editing regulator adr-1 OS=Caenorhabditis elegans OX=6239 GN=adr-1 PE=1 SV=2</t>
  </si>
  <si>
    <t>Q9U3D6</t>
  </si>
  <si>
    <t>adr-1</t>
  </si>
  <si>
    <t>A-to-I RNA editing regulator adr-1</t>
  </si>
  <si>
    <t>&gt;tr|Q9U3H4|Q9U3H4_CAEEL NADH dehydrogenase [ubiquinone] 1 alpha subcomplex subunit 1 OS=Caenorhabditis elegans OX=6239 GN=ndua-1 PE=1 SV=2</t>
  </si>
  <si>
    <t>Q9U3H4</t>
  </si>
  <si>
    <t>ndua-1</t>
  </si>
  <si>
    <t>NADH dehydrogenase [ubiquinone] 1 alpha subcomplex subunit 1</t>
  </si>
  <si>
    <t>&gt;tr|Q9U3H5|Q9U3H5_CAEEL SPK domain-containing protein OS=Caenorhabditis elegans OX=6239 GN=CELE_F28H6.4 PE=4 SV=1</t>
  </si>
  <si>
    <t>Q9U3H5</t>
  </si>
  <si>
    <t>&gt;sp|Q9U3H8|TAPT1_CAEEL Protein TAPT1 homolog OS=Caenorhabditis elegans OX=6239 GN=F26F2.7 PE=3 SV=1</t>
  </si>
  <si>
    <t>Q9U3H8</t>
  </si>
  <si>
    <t>F26F2.7</t>
  </si>
  <si>
    <t>Protein TAPT1 homolog</t>
  </si>
  <si>
    <t>&gt;tr|Q9U3K1|Q9U3K1_CAEEL Transmembrane protein 115 OS=Caenorhabditis elegans OX=6239 GN=CELE_F11A10.6 PE=1 SV=1</t>
  </si>
  <si>
    <t>Q9U3K1</t>
  </si>
  <si>
    <t>Transmembrane protein 115</t>
  </si>
  <si>
    <t>&gt;tr|Q9U3K2|Q9U3K2_CAEEL Integrator complex subunit 11 OS=Caenorhabditis elegans OX=6239 GN=ints-11 PE=1 SV=2</t>
  </si>
  <si>
    <t>Q9U3K2</t>
  </si>
  <si>
    <t>ints-11</t>
  </si>
  <si>
    <t>Integrator complex subunit 11</t>
  </si>
  <si>
    <t>&gt;tr|Q9U3L3|Q9U3L3_CAEEL Protein kinase domain-containing protein OS=Caenorhabditis elegans OX=6239 GN=C49C3.10 PE=1 SV=1</t>
  </si>
  <si>
    <t>Q9U3L3</t>
  </si>
  <si>
    <t>C49C3.10</t>
  </si>
  <si>
    <t>&gt;tr|Q9U3L5|Q9U3L5_CAEEL Uracil phosphoribosyltransferase homolog OS=Caenorhabditis elegans OX=6239 GN=C47B2.2 PE=1 SV=1</t>
  </si>
  <si>
    <t>Q9U3L5</t>
  </si>
  <si>
    <t>C47B2.2</t>
  </si>
  <si>
    <t>Uracil phosphoribosyltransferase homolog</t>
  </si>
  <si>
    <t>&gt;tr|Q9U3N2|Q9U3N2_CAEEL F-box domain-containing protein OS=Caenorhabditis elegans OX=6239 GN=fbxa-174 PE=4 SV=1</t>
  </si>
  <si>
    <t>Q9U3N2</t>
  </si>
  <si>
    <t>fbxa-174</t>
  </si>
  <si>
    <t>&gt;tr|Q9U3P0|Q9U3P0_CAEEL asparaginase OS=Caenorhabditis elegans OX=6239 GN=C27A7.5 PE=1 SV=1</t>
  </si>
  <si>
    <t>Q9U3P0</t>
  </si>
  <si>
    <t>C27A7.5</t>
  </si>
  <si>
    <t>asparaginase</t>
  </si>
  <si>
    <t>&gt;tr|Q9U3P7|Q9U3P7_CAEEL Palmitoyltransferase OS=Caenorhabditis elegans OX=6239 GN=dhhc-7 PE=3 SV=1</t>
  </si>
  <si>
    <t>Q9U3P7</t>
  </si>
  <si>
    <t>dhhc-7</t>
  </si>
  <si>
    <t>&gt;tr|Q9U3P9|Q9U3P9_CAEEL Alkylated DNA repair protein alkB homolog 8 OS=Caenorhabditis elegans OX=6239 GN=alkb-8 PE=1 SV=2</t>
  </si>
  <si>
    <t>Q9U3P9</t>
  </si>
  <si>
    <t>alkb-8</t>
  </si>
  <si>
    <t>Alkylated DNA repair protein alkB homolog 8</t>
  </si>
  <si>
    <t>&gt;tr|Q9U3Q0|Q9U3Q0_CAEEL Mitochondrial Ribosomal Protein, Small OS=Caenorhabditis elegans OX=6239 GN=mrps-22 PE=1 SV=1</t>
  </si>
  <si>
    <t>Q9U3Q0</t>
  </si>
  <si>
    <t>mrps-22</t>
  </si>
  <si>
    <t>&gt;tr|Q9U3Q6|Q9U3Q6_CAEEL UDP-glucuronosyltransferase OS=Caenorhabditis elegans OX=6239 GN=ugt-22 PE=1 SV=1</t>
  </si>
  <si>
    <t>Q9U3Q6</t>
  </si>
  <si>
    <t>ugt-22</t>
  </si>
  <si>
    <t>&gt;tr|Q9U3S3|Q9U3S3_CAEEL THO complex subunit 7 homolog OS=Caenorhabditis elegans OX=6239 GN=thoc-7 PE=1 SV=1</t>
  </si>
  <si>
    <t>Q9U3S3</t>
  </si>
  <si>
    <t>thoc-7</t>
  </si>
  <si>
    <t>THO complex subunit 7 homolog</t>
  </si>
  <si>
    <t>&gt;tr|Q9U3S8|Q9U3S8_CAEEL BED-type domain-containing protein OS=Caenorhabditis elegans OX=6239 GN=znf-207 PE=1 SV=1</t>
  </si>
  <si>
    <t>Q9U3S8</t>
  </si>
  <si>
    <t>znf-207</t>
  </si>
  <si>
    <t>&gt;sp|Q9U489|LIN41_CAEEL Protein lin-41 OS=Caenorhabditis elegans OX=6239 GN=lin-41 PE=1 SV=1</t>
  </si>
  <si>
    <t>Q9U489</t>
  </si>
  <si>
    <t>lin-41</t>
  </si>
  <si>
    <t>Protein lin-41</t>
  </si>
  <si>
    <t>&gt;sp|Q9U7E0|ATRX_CAEEL Transcriptional regulator ATRX homolog OS=Caenorhabditis elegans OX=6239 GN=xnp-1 PE=1 SV=1</t>
  </si>
  <si>
    <t>Q9U7E0</t>
  </si>
  <si>
    <t>xnp-1</t>
  </si>
  <si>
    <t>Transcriptional regulator ATRX homolog</t>
  </si>
  <si>
    <t>&gt;sp|Q9U9Y8|NLK_CAEEL Serine/threonine kinase NLK OS=Caenorhabditis elegans OX=6239 GN=lit-1 PE=1 SV=1</t>
  </si>
  <si>
    <t>Q9U9Y8</t>
  </si>
  <si>
    <t>lit-1</t>
  </si>
  <si>
    <t>Serine/threonine kinase NLK</t>
  </si>
  <si>
    <t>&gt;tr|Q9UA62|Q9UA62_CAEEL non-specific serine/threonine protein kinase OS=Caenorhabditis elegans OX=6239 GN=CELE_W04B5.5 PE=1 SV=1</t>
  </si>
  <si>
    <t>Q9UA62</t>
  </si>
  <si>
    <t>&gt;tr|Q9UAQ6|Q9UAQ6_CAEEL RAB family OS=Caenorhabditis elegans OX=6239 GN=rab-1 PE=1 SV=1</t>
  </si>
  <si>
    <t>Q9UAQ6</t>
  </si>
  <si>
    <t>rab-1</t>
  </si>
  <si>
    <t>RAB family</t>
  </si>
  <si>
    <t>&gt;tr|Q9UAT3|Q9UAT3_CAEEL Major facilitator superfamily (MFS) profile domain-containing protein OS=Caenorhabditis elegans OX=6239 GN=mct-2 PE=1 SV=2</t>
  </si>
  <si>
    <t>Q9UAT3</t>
  </si>
  <si>
    <t>mct-2</t>
  </si>
  <si>
    <t>&gt;sp|Q9UAV5|MDHC_CAEEL Malate dehydrogenase, cytoplasmic OS=Caenorhabditis elegans OX=6239 GN=mdh-1 PE=1 SV=1</t>
  </si>
  <si>
    <t>Q9UAV5</t>
  </si>
  <si>
    <t>mdh-1</t>
  </si>
  <si>
    <t>Malate dehydrogenase, cytoplasmic</t>
  </si>
  <si>
    <t>&gt;tr|Q9UAV8|Q9UAV8_CAEEL Medium-chain acyl-CoA ligase ACSF2, mitochondrial OS=Caenorhabditis elegans OX=6239 GN=acs-1 PE=1 SV=1</t>
  </si>
  <si>
    <t>Q9UAV8</t>
  </si>
  <si>
    <t>acs-1</t>
  </si>
  <si>
    <t>Medium-chain acyl-CoA ligase ACSF2, mitochondrial</t>
  </si>
  <si>
    <t>&gt;tr|Q9UAW2|Q9UAW2_CAEEL DeHydrogenases, Short chain OS=Caenorhabditis elegans OX=6239 GN=CELE_DC2.5 PE=1 SV=4</t>
  </si>
  <si>
    <t>Q9UAW2</t>
  </si>
  <si>
    <t>&gt;tr|Q9UAW9|Q9UAW9_CAEEL Major facilitator superfamily (MFS) profile domain-containing protein OS=Caenorhabditis elegans OX=6239 GN=CELE_T12B3.2 PE=1 SV=1</t>
  </si>
  <si>
    <t>Q9UAW9</t>
  </si>
  <si>
    <t>&gt;tr|Q9UAY9|Q9UAY9_CAEEL DNA-directed RNA polymerase RpoA/D/Rpb3-type domain-containing protein OS=Caenorhabditis elegans OX=6239 GN=rpac-40 PE=1 SV=2</t>
  </si>
  <si>
    <t>Q9UAY9</t>
  </si>
  <si>
    <t>rpac-40</t>
  </si>
  <si>
    <t>&gt;tr|Q9UB28|Q9UB28_CAEEL Fibronectin type-III domain-containing protein OS=Caenorhabditis elegans OX=6239 GN=let-805 PE=1 SV=1</t>
  </si>
  <si>
    <t>Q9UB28</t>
  </si>
  <si>
    <t>let-805</t>
  </si>
  <si>
    <t>&gt;sp|Q9XTB5|LEM2_CAEEL LEM protein 2 OS=Caenorhabditis elegans OX=6239 GN=lem-2 PE=1 SV=1</t>
  </si>
  <si>
    <t>Q9XTB5</t>
  </si>
  <si>
    <t>lem-2</t>
  </si>
  <si>
    <t>LEM protein 2</t>
  </si>
  <si>
    <t>&gt;sp|Q9XTC6|MOM4_CAEEL Mitogen-activated protein kinase kinase kinase mom-4 OS=Caenorhabditis elegans OX=6239 GN=mom-4 PE=1 SV=1</t>
  </si>
  <si>
    <t>Q9XTC6</t>
  </si>
  <si>
    <t>mom-4</t>
  </si>
  <si>
    <t>Mitogen-activated protein kinase kinase kinase mom-4</t>
  </si>
  <si>
    <t>&gt;sp|Q9XTF3|MBK2_CAEEL Dual specificity tyrosine-phosphorylation-regulated kinase mbk-2 OS=Caenorhabditis elegans OX=6239 GN=mbk-2 PE=1 SV=1</t>
  </si>
  <si>
    <t>Q9XTF3</t>
  </si>
  <si>
    <t>mbk-2</t>
  </si>
  <si>
    <t>Dual specificity tyrosine-phosphorylation-regulated kinase mbk-2</t>
  </si>
  <si>
    <t>&gt;sp|Q9XTG7|AKT2_CAEEL Serine/threonine-protein kinase akt-2 OS=Caenorhabditis elegans OX=6239 GN=akt-2 PE=1 SV=1</t>
  </si>
  <si>
    <t>Q9XTG7</t>
  </si>
  <si>
    <t>akt-2</t>
  </si>
  <si>
    <t>Serine/threonine-protein kinase akt-2</t>
  </si>
  <si>
    <t>&gt;sp|Q9XTI0|3HIDH_CAEEL Probable 3-hydroxyisobutyrate dehydrogenase, mitochondrial OS=Caenorhabditis elegans OX=6239 GN=B0250.5 PE=3 SV=1</t>
  </si>
  <si>
    <t>Q9XTI0</t>
  </si>
  <si>
    <t>B0250.5</t>
  </si>
  <si>
    <t>Probable 3-hydroxyisobutyrate dehydrogenase, mitochondrial</t>
  </si>
  <si>
    <t>&gt;sp|Q9XTQ5|GOB1_CAEEL Trehalose-phosphatase OS=Caenorhabditis elegans OX=6239 GN=gob-1 PE=1 SV=2</t>
  </si>
  <si>
    <t>Q9XTQ5</t>
  </si>
  <si>
    <t>gob-1</t>
  </si>
  <si>
    <t>Trehalose-phosphatase</t>
  </si>
  <si>
    <t>&gt;tr|Q9XTS1|Q9XTS1_CAEEL WD_REPEATS_REGION domain-containing protein OS=Caenorhabditis elegans OX=6239 GN=CELE_F47G4.4 PE=1 SV=1</t>
  </si>
  <si>
    <t>Q9XTS1</t>
  </si>
  <si>
    <t>&gt;sp|Q9XTT4|ANI1_CAEEL Anillin-like protein 1 OS=Caenorhabditis elegans OX=6239 GN=ani-1 PE=2 SV=2</t>
  </si>
  <si>
    <t>Q9XTT4</t>
  </si>
  <si>
    <t>ani-1</t>
  </si>
  <si>
    <t>Anillin-like protein 1</t>
  </si>
  <si>
    <t>&gt;sp|Q9XTT9|PRS8_CAEEL 26S proteasome regulatory subunit 8 OS=Caenorhabditis elegans OX=6239 GN=rpt-6 PE=1 SV=1</t>
  </si>
  <si>
    <t>Q9XTT9</t>
  </si>
  <si>
    <t>rpt-6</t>
  </si>
  <si>
    <t>26S proteasome regulatory subunit 8</t>
  </si>
  <si>
    <t>&gt;sp|Q9XTU6|RUXE_CAEEL Probable small nuclear ribonucleoprotein E OS=Caenorhabditis elegans OX=6239 GN=snr-6 PE=3 SV=1</t>
  </si>
  <si>
    <t>Q9XTU6</t>
  </si>
  <si>
    <t>snr-6</t>
  </si>
  <si>
    <t>Probable small nuclear ribonucleoprotein E</t>
  </si>
  <si>
    <t>&gt;tr|Q9XTU8|Q9XTU8_CAEEL Protein disulfide-isomerase OS=Caenorhabditis elegans OX=6239 GN=CELE_Y49E10.4 PE=1 SV=1</t>
  </si>
  <si>
    <t>Q9XTU8</t>
  </si>
  <si>
    <t>&gt;tr|Q9XTU9|Q9XTU9_CAEEL Glutaredoxin domain-containing protein OS=Caenorhabditis elegans OX=6239 GN=glrx-5 PE=1 SV=1</t>
  </si>
  <si>
    <t>Q9XTU9</t>
  </si>
  <si>
    <t>glrx-5</t>
  </si>
  <si>
    <t>Glutaredoxin domain-containing protein</t>
  </si>
  <si>
    <t>&gt;tr|Q9XTV4|Q9XTV4_CAEEL HTH cro/C1-type domain-containing protein OS=Caenorhabditis elegans OX=6239 GN=mbf-1 PE=1 SV=1</t>
  </si>
  <si>
    <t>Q9XTV4</t>
  </si>
  <si>
    <t>mbf-1</t>
  </si>
  <si>
    <t>HTH cro/C1-type domain-containing protein</t>
  </si>
  <si>
    <t>&gt;sp|Q9XTY6|NUMB1_CAEEL Numb-related protein 1 OS=Caenorhabditis elegans OX=6239 GN=num-1 PE=1 SV=1</t>
  </si>
  <si>
    <t>Q9XTY6</t>
  </si>
  <si>
    <t>num-1</t>
  </si>
  <si>
    <t>Numb-related protein 1</t>
  </si>
  <si>
    <t>&gt;tr|Q9XTY9|Q9XTY9_CAEEL Vacuolar H ATPase OS=Caenorhabditis elegans OX=6239 GN=vha-20 PE=1 SV=1</t>
  </si>
  <si>
    <t>Q9XTY9</t>
  </si>
  <si>
    <t>vha-20</t>
  </si>
  <si>
    <t>Vacuolar H ATPase</t>
  </si>
  <si>
    <t>&gt;tr|Q9XTZ2|Q9XTZ2_CAEEL RRM domain-containing protein OS=Caenorhabditis elegans OX=6239 GN=rsp-8 PE=1 SV=1</t>
  </si>
  <si>
    <t>Q9XTZ2</t>
  </si>
  <si>
    <t>rsp-8</t>
  </si>
  <si>
    <t>&gt;tr|Q9XU05|Q9XU05_CAEEL SPK domain-containing protein OS=Caenorhabditis elegans OX=6239 GN=CELE_T28A8.4 PE=4 SV=1</t>
  </si>
  <si>
    <t>Q9XU05</t>
  </si>
  <si>
    <t>&gt;tr|Q9XU12|Q9XU12_CAEEL Kinesin-like protein OS=Caenorhabditis elegans OX=6239 GN=klp-7 PE=1 SV=1</t>
  </si>
  <si>
    <t>Q9XU12</t>
  </si>
  <si>
    <t>klp-7</t>
  </si>
  <si>
    <t>&gt;tr|Q9XU15|Q9XU15_CAEEL Phosphotransferase OS=Caenorhabditis elegans OX=6239 GN=hxk-2 PE=1 SV=1</t>
  </si>
  <si>
    <t>Q9XU15</t>
  </si>
  <si>
    <t>hxk-2</t>
  </si>
  <si>
    <t>&gt;tr|Q9XU45|Q9XU45_CAEEL Uncharacterized protein OS=Caenorhabditis elegans OX=6239 GN=B0379.1 PE=1 SV=1</t>
  </si>
  <si>
    <t>Q9XU45</t>
  </si>
  <si>
    <t>B0379.1</t>
  </si>
  <si>
    <t>&gt;tr|Q9XU67|Q9XU67_CAEEL RRM domain-containing protein OS=Caenorhabditis elegans OX=6239 GN=rbd-1 PE=1 SV=1</t>
  </si>
  <si>
    <t>Q9XU67</t>
  </si>
  <si>
    <t>rbd-1</t>
  </si>
  <si>
    <t>&gt;tr|Q9XU97|Q9XU97_CAEEL ATP synthase subunit e, mitochondrial OS=Caenorhabditis elegans OX=6239 GN=CELE_F44E5.1 PE=1 SV=1</t>
  </si>
  <si>
    <t>Q9XU97</t>
  </si>
  <si>
    <t>ATP synthase subunit e, mitochondrial</t>
  </si>
  <si>
    <t>&gt;sp|Q9XUB2|MEX5_CAEEL Zinc finger protein mex-5 OS=Caenorhabditis elegans OX=6239 GN=mex-5 PE=1 SV=1</t>
  </si>
  <si>
    <t>Q9XUB2</t>
  </si>
  <si>
    <t>mex-5</t>
  </si>
  <si>
    <t>Zinc finger protein mex-5</t>
  </si>
  <si>
    <t>&gt;tr|Q9XUE3|Q9XUE3_CAEEL RSD-2 domain-containing protein OS=Caenorhabditis elegans OX=6239 GN=rsd-2 PE=1 SV=2</t>
  </si>
  <si>
    <t>Q9XUE3</t>
  </si>
  <si>
    <t>rsd-2</t>
  </si>
  <si>
    <t>RSD-2 domain-containing protein</t>
  </si>
  <si>
    <t>&gt;tr|Q9XUP2|Q9XUP2_CAEEL CHK kinase-like domain-containing protein OS=Caenorhabditis elegans OX=6239 GN=CELE_T16G1.6 PE=1 SV=2</t>
  </si>
  <si>
    <t>Q9XUP2</t>
  </si>
  <si>
    <t>&gt;sp|Q9XUP3|EIF3K_CAEEL Eukaryotic translation initiation factor 3 subunit K OS=Caenorhabditis elegans OX=6239 GN=eif-3.K PE=2 SV=1</t>
  </si>
  <si>
    <t>Q9XUP3</t>
  </si>
  <si>
    <t>eif-3.K</t>
  </si>
  <si>
    <t>Eukaryotic translation initiation factor 3 subunit K</t>
  </si>
  <si>
    <t>&gt;tr|Q9XUQ9|Q9XUQ9_CAEEL protein-disulfide reductase OS=Caenorhabditis elegans OX=6239 GN=CELE_T05F1.11 PE=1 SV=2</t>
  </si>
  <si>
    <t>Q9XUQ9</t>
  </si>
  <si>
    <t>&gt;tr|Q9XUR4|Q9XUR4_CAEEL F-box associated domain-containing protein OS=Caenorhabditis elegans OX=6239 GN=CELE_T05F1.2 PE=1 SV=1</t>
  </si>
  <si>
    <t>Q9XUR4</t>
  </si>
  <si>
    <t>F-box associated domain-containing protein</t>
  </si>
  <si>
    <t>&gt;tr|Q9XUS3|Q9XUS3_CAEEL E3 ubiquitin-protein ligase parkin OS=Caenorhabditis elegans OX=6239 GN=pdr-1 PE=1 SV=2</t>
  </si>
  <si>
    <t>Q9XUS3</t>
  </si>
  <si>
    <t>pdr-1</t>
  </si>
  <si>
    <t>E3 ubiquitin-protein ligase parkin</t>
  </si>
  <si>
    <t>&gt;tr|Q9XUS5|Q9XUS5_CAEEL UTP--glucose-1-phosphate uridylyltransferase OS=Caenorhabditis elegans OX=6239 GN=rml-1 PE=1 SV=1</t>
  </si>
  <si>
    <t>Q9XUS5</t>
  </si>
  <si>
    <t>rml-1</t>
  </si>
  <si>
    <t>UTP--glucose-1-phosphate uridylyltransferase</t>
  </si>
  <si>
    <t>&gt;tr|Q9XUS8|Q9XUS8_CAEEL ShKT domain-containing protein OS=Caenorhabditis elegans OX=6239 GN=tyr-2 PE=1 SV=1</t>
  </si>
  <si>
    <t>Q9XUS8</t>
  </si>
  <si>
    <t>tyr-2</t>
  </si>
  <si>
    <t>&gt;tr|Q9XUS9|Q9XUS9_CAEEL Rac GTPase-activating protein 1 OS=Caenorhabditis elegans OX=6239 GN=cyk-4 PE=1 SV=1</t>
  </si>
  <si>
    <t>Q9XUS9</t>
  </si>
  <si>
    <t>cyk-4</t>
  </si>
  <si>
    <t>Rac GTPase-activating protein 1</t>
  </si>
  <si>
    <t>&gt;tr|Q9XUT0|Q9XUT0_CAEEL DreBriN 1/DreBriN-like (Where Drebrin is from Developmentally REgulated BRaIN protein) family homolog OS=Caenorhabditis elegans OX=6239 GN=dbn-1 PE=1 SV=1</t>
  </si>
  <si>
    <t>Q9XUT0</t>
  </si>
  <si>
    <t>dbn-1</t>
  </si>
  <si>
    <t>DreBriN 1/DreBriN-like (Where Drebrin is from Developmentally REgulated BRaIN protein) family homolog</t>
  </si>
  <si>
    <t>&gt;tr|Q9XUU5|Q9XUU5_CAEEL Armadillo repeat-containing protein 1 OS=Caenorhabditis elegans OX=6239 GN=CELE_K05C4.7 PE=1 SV=1</t>
  </si>
  <si>
    <t>Q9XUU5</t>
  </si>
  <si>
    <t>Armadillo repeat-containing protein 1</t>
  </si>
  <si>
    <t>&gt;tr|Q9XUU8|Q9XUU8_CAEEL WD_REPEATS_REGION domain-containing protein OS=Caenorhabditis elegans OX=6239 GN=CELE_K05C4.5 PE=1 SV=3</t>
  </si>
  <si>
    <t>Q9XUU8</t>
  </si>
  <si>
    <t>&gt;sp|Q9XUU9|JAGN_CAEEL Protein jagunal homolog OS=Caenorhabditis elegans OX=6239 GN=K05C4.2 PE=3 SV=1</t>
  </si>
  <si>
    <t>Q9XUU9</t>
  </si>
  <si>
    <t>K05C4.2</t>
  </si>
  <si>
    <t>Protein jagunal homolog</t>
  </si>
  <si>
    <t>&gt;sp|Q9XUV0|PBS5_CAEEL Proteasome subunit pbs-5 OS=Caenorhabditis elegans OX=6239 GN=pbs-5 PE=3 SV=1</t>
  </si>
  <si>
    <t>Q9XUV0</t>
  </si>
  <si>
    <t>pbs-5</t>
  </si>
  <si>
    <t>Proteasome subunit pbs-5</t>
  </si>
  <si>
    <t>&gt;tr|Q9XUW5|Q9XUW5_CAEEL RNA helicase OS=Caenorhabditis elegans OX=6239 GN=ddx-17 PE=1 SV=1</t>
  </si>
  <si>
    <t>Q9XUW5</t>
  </si>
  <si>
    <t>ddx-17</t>
  </si>
  <si>
    <t>&gt;tr|Q9XUY0|Q9XUY0_CAEEL Rod_C domain-containing protein OS=Caenorhabditis elegans OX=6239 GN=CELE_F56G4.6 PE=1 SV=3</t>
  </si>
  <si>
    <t>Q9XUY0</t>
  </si>
  <si>
    <t>Rod_C domain-containing protein</t>
  </si>
  <si>
    <t>&gt;tr|Q9XUY2|Q9XUY2_CAEEL Association with the SNF1 complex (ASC) domain-containing protein OS=Caenorhabditis elegans OX=6239 GN=aakb-1 PE=1 SV=1</t>
  </si>
  <si>
    <t>Q9XUY2</t>
  </si>
  <si>
    <t>aakb-1</t>
  </si>
  <si>
    <t>Association with the SNF1 complex (ASC) domain-containing protein</t>
  </si>
  <si>
    <t>&gt;sp|Q9XUY5|AT1B3_CAEEL Probable sodium/potassium-transporting ATPase subunit beta-3 OS=Caenorhabditis elegans OX=6239 GN=nkb-3 PE=3 SV=1</t>
  </si>
  <si>
    <t>Q9XUY5</t>
  </si>
  <si>
    <t>nkb-3</t>
  </si>
  <si>
    <t>Probable sodium/potassium-transporting ATPase subunit beta-3</t>
  </si>
  <si>
    <t>&gt;sp|Q9XV52|EFGM_CAEEL Elongation factor G, mitochondrial OS=Caenorhabditis elegans OX=6239 GN=gfm-1 PE=3 SV=1</t>
  </si>
  <si>
    <t>Q9XV52</t>
  </si>
  <si>
    <t>gfm-1</t>
  </si>
  <si>
    <t>Elongation factor G, mitochondrial</t>
  </si>
  <si>
    <t>&gt;tr|Q9XVA6|Q9XVA6_CAEEL CYtochrome P450 family OS=Caenorhabditis elegans OX=6239 GN=cyp-37a1 PE=1 SV=2</t>
  </si>
  <si>
    <t>Q9XVA6</t>
  </si>
  <si>
    <t>cyp-37a1</t>
  </si>
  <si>
    <t>&gt;tr|Q9XVD2|Q9XVD2_CAEEL Peptidase S26 domain-containing protein OS=Caenorhabditis elegans OX=6239 GN=immp-1 PE=1 SV=3</t>
  </si>
  <si>
    <t>Q9XVD2</t>
  </si>
  <si>
    <t>immp-1</t>
  </si>
  <si>
    <t>Peptidase S26 domain-containing protein</t>
  </si>
  <si>
    <t>&gt;tr|Q9XVE9|Q9XVE9_CAEEL Large ribosomal subunit protein eL14 OS=Caenorhabditis elegans OX=6239 GN=rpl-14 PE=1 SV=1</t>
  </si>
  <si>
    <t>Q9XVE9</t>
  </si>
  <si>
    <t>rpl-14</t>
  </si>
  <si>
    <t>Large ribosomal subunit protein eL14</t>
  </si>
  <si>
    <t>&gt;tr|Q9XVF1|Q9XVF1_CAEEL Piwi domain-containing protein OS=Caenorhabditis elegans OX=6239 GN=vsra-1 PE=1 SV=1</t>
  </si>
  <si>
    <t>Q9XVF1</t>
  </si>
  <si>
    <t>vsra-1</t>
  </si>
  <si>
    <t>&gt;sp|Q9XVF7|RL8_CAEEL Large ribosomal subunit protein uL2 OS=Caenorhabditis elegans OX=6239 GN=rpl-2 PE=3 SV=1</t>
  </si>
  <si>
    <t>Q9XVF7</t>
  </si>
  <si>
    <t>rpl-2</t>
  </si>
  <si>
    <t>Large ribosomal subunit protein uL2</t>
  </si>
  <si>
    <t>&gt;tr|Q9XVG8|Q9XVG8_CAEEL HMG box domain-containing protein OS=Caenorhabditis elegans OX=6239 GN=hmg-20 PE=4 SV=1</t>
  </si>
  <si>
    <t>Q9XVG8</t>
  </si>
  <si>
    <t>hmg-20</t>
  </si>
  <si>
    <t>HMG box domain-containing protein</t>
  </si>
  <si>
    <t>&gt;tr|Q9XVH4|Q9XVH4_CAEEL non-specific serine/threonine protein kinase OS=Caenorhabditis elegans OX=6239 GN=citk-1 PE=1 SV=1</t>
  </si>
  <si>
    <t>Q9XVH4</t>
  </si>
  <si>
    <t>citk-1</t>
  </si>
  <si>
    <t>&gt;sp|Q9XVI6|SPTC3_CAEEL Serine palmitoyltransferase 3 OS=Caenorhabditis elegans OX=6239 GN=sptl-3 PE=3 SV=2</t>
  </si>
  <si>
    <t>Q9XVI6</t>
  </si>
  <si>
    <t>sptl-3</t>
  </si>
  <si>
    <t>Serine palmitoyltransferase 3</t>
  </si>
  <si>
    <t>&gt;tr|Q9XVJ0|Q9XVJ0_CAEEL Acyl-CoA-binding domain-containing protein 6 OS=Caenorhabditis elegans OX=6239 GN=acbp-5 PE=1 SV=2</t>
  </si>
  <si>
    <t>Q9XVJ0</t>
  </si>
  <si>
    <t>acbp-5</t>
  </si>
  <si>
    <t>Acyl-CoA-binding domain-containing protein 6</t>
  </si>
  <si>
    <t>&gt;sp|Q9XVK5|UBC12_CAEEL NEDD8-conjugating enzyme ubc-12 OS=Caenorhabditis elegans OX=6239 GN=ubc-12 PE=2 SV=1</t>
  </si>
  <si>
    <t>Q9XVK5</t>
  </si>
  <si>
    <t>ubc-12</t>
  </si>
  <si>
    <t>NEDD8-conjugating enzyme ubc-12</t>
  </si>
  <si>
    <t>&gt;tr|Q9XVM0|Q9XVM0_CAEEL Mitochondrial proton/calcium exchanger protein OS=Caenorhabditis elegans OX=6239 GN=letm-1 PE=1 SV=1</t>
  </si>
  <si>
    <t>Q9XVM0</t>
  </si>
  <si>
    <t>letm-1</t>
  </si>
  <si>
    <t>Mitochondrial proton/calcium exchanger protein</t>
  </si>
  <si>
    <t>&gt;tr|Q9XVN1|Q9XVN1_CAEEL Major sperm protein OS=Caenorhabditis elegans OX=6239 GN=CELE_F53B6.4 PE=1 SV=1</t>
  </si>
  <si>
    <t>Q9XVN1</t>
  </si>
  <si>
    <t>&gt;sp|Q9XVN3|IASPP_CAEEL Apoptotic enhancer 1 protein OS=Caenorhabditis elegans OX=6239 GN=ape-1 PE=1 SV=1</t>
  </si>
  <si>
    <t>Q9XVN3</t>
  </si>
  <si>
    <t>ape-1</t>
  </si>
  <si>
    <t>Apoptotic enhancer 1 protein</t>
  </si>
  <si>
    <t>&gt;tr|Q9XVN8|Q9XVN8_CAEEL tRNA-dihydrouridine(16/17) synthase [NAD(P)(+)] OS=Caenorhabditis elegans OX=6239 GN=CELE_F36A2.2 PE=1 SV=1</t>
  </si>
  <si>
    <t>Q9XVN8</t>
  </si>
  <si>
    <t>tRNA-dihydrouridine(16/17) synthase [NAD(P)(+)]</t>
  </si>
  <si>
    <t>&gt;sp|Q9XVP0|RS15_CAEEL Small ribosomal subunit protein uS19 OS=Caenorhabditis elegans OX=6239 GN=rps-15 PE=1 SV=3</t>
  </si>
  <si>
    <t>Q9XVP0</t>
  </si>
  <si>
    <t>rps-15</t>
  </si>
  <si>
    <t>Small ribosomal subunit protein uS19</t>
  </si>
  <si>
    <t>&gt;tr|Q9XVP1|Q9XVP1_CAEEL DNA-binding protein OS=Caenorhabditis elegans OX=6239 GN=CELE_F36A2.10 PE=1 SV=1</t>
  </si>
  <si>
    <t>Q9XVP1</t>
  </si>
  <si>
    <t>DNA-binding protein</t>
  </si>
  <si>
    <t>&gt;tr|Q9XVQ2|Q9XVQ2_CAEEL Mitochondrial import inner membrane translocase subunit TIM23 OS=Caenorhabditis elegans OX=6239 GN=timm-23 PE=1 SV=1</t>
  </si>
  <si>
    <t>Q9XVQ2</t>
  </si>
  <si>
    <t>timm-23</t>
  </si>
  <si>
    <t>Mitochondrial import inner membrane translocase subunit TIM23</t>
  </si>
  <si>
    <t>&gt;sp|Q9XVQ9|ELO2_CAEEL Long chain fatty acid elongase 2 OS=Caenorhabditis elegans OX=6239 GN=elo-2 PE=1 SV=1</t>
  </si>
  <si>
    <t>Q9XVQ9</t>
  </si>
  <si>
    <t>elo-2</t>
  </si>
  <si>
    <t>Long chain fatty acid elongase 2</t>
  </si>
  <si>
    <t>&gt;sp|Q9XVR6|OTUBL_CAEEL Ubiquitin thioesterase otubain-like OS=Caenorhabditis elegans OX=6239 GN=otub-1 PE=1 SV=1</t>
  </si>
  <si>
    <t>Q9XVR6</t>
  </si>
  <si>
    <t>otub-1</t>
  </si>
  <si>
    <t>Ubiquitin thioesterase otubain-like</t>
  </si>
  <si>
    <t>&gt;tr|Q9XVR7|Q9XVR7_CAEEL DNA replication licensing factor MCM3 OS=Caenorhabditis elegans OX=6239 GN=mcm-3 PE=1 SV=1</t>
  </si>
  <si>
    <t>Q9XVR7</t>
  </si>
  <si>
    <t>mcm-3</t>
  </si>
  <si>
    <t>DNA replication licensing factor MCM3</t>
  </si>
  <si>
    <t>&gt;sp|Q9XVR8|NOP10_CAEEL Putative H/ACA ribonucleoprotein complex subunit 3 OS=Caenorhabditis elegans OX=6239 GN=nola-3 PE=3 SV=2</t>
  </si>
  <si>
    <t>Q9XVR8</t>
  </si>
  <si>
    <t>nola-3</t>
  </si>
  <si>
    <t>Putative H/ACA ribonucleoprotein complex subunit 3</t>
  </si>
  <si>
    <t>&gt;sp|Q9XVS1|MCES_CAEEL mRNA cap guanine-N7 methyltransferase OS=Caenorhabditis elegans OX=6239 GN=tag-72 PE=3 SV=2</t>
  </si>
  <si>
    <t>Q9XVS1</t>
  </si>
  <si>
    <t>tag-72</t>
  </si>
  <si>
    <t>mRNA cap guanine-N7 methyltransferase</t>
  </si>
  <si>
    <t>&gt;tr|Q9XVS2|Q9XVS2_CAEEL RRM domain-containing protein OS=Caenorhabditis elegans OX=6239 GN=sup-46 PE=1 SV=1</t>
  </si>
  <si>
    <t>Q9XVS2</t>
  </si>
  <si>
    <t>sup-46</t>
  </si>
  <si>
    <t>&gt;sp|Q9XVS3|CLC87_CAEEL C-type lectin domain-containing protein 87 OS=Caenorhabditis elegans OX=6239 GN=clec-87 PE=1 SV=1</t>
  </si>
  <si>
    <t>Q9XVS3</t>
  </si>
  <si>
    <t>clec-87</t>
  </si>
  <si>
    <t>C-type lectin domain-containing protein 87</t>
  </si>
  <si>
    <t>&gt;sp|Q9XVS7|NXF1_CAEEL Nuclear RNA export factor 1 OS=Caenorhabditis elegans OX=6239 GN=nxf-1 PE=1 SV=1</t>
  </si>
  <si>
    <t>Q9XVS7</t>
  </si>
  <si>
    <t>nxf-1</t>
  </si>
  <si>
    <t>Nuclear RNA export factor 1</t>
  </si>
  <si>
    <t>&gt;tr|Q9XVT5|Q9XVT5_CAEEL Uncharacterized protein OS=Caenorhabditis elegans OX=6239 GN=C15C6.1 PE=1 SV=1</t>
  </si>
  <si>
    <t>Q9XVT5</t>
  </si>
  <si>
    <t>C15C6.1</t>
  </si>
  <si>
    <t>&gt;tr|Q9XVU3|Q9XVU3_CAEEL alpha-glucosidase OS=Caenorhabditis elegans OX=6239 GN=atgp-1 PE=1 SV=2</t>
  </si>
  <si>
    <t>Q9XVU3</t>
  </si>
  <si>
    <t>atgp-1</t>
  </si>
  <si>
    <t>alpha-glucosidase</t>
  </si>
  <si>
    <t>&gt;tr|Q9XVV9|Q9XVV9_CAEEL Aminopeptidase OS=Caenorhabditis elegans OX=6239 GN=CELE_R03G8.6 PE=1 SV=1</t>
  </si>
  <si>
    <t>Q9XVV9</t>
  </si>
  <si>
    <t>Aminopeptidase</t>
  </si>
  <si>
    <t>&gt;sp|Q9XVW1|RHY1_CAEEL Regulator of hypoxia-inducible factor 1 OS=Caenorhabditis elegans OX=6239 GN=rhy-1 PE=1 SV=1</t>
  </si>
  <si>
    <t>Q9XVW1</t>
  </si>
  <si>
    <t>rhy-1</t>
  </si>
  <si>
    <t>Regulator of hypoxia-inducible factor 1</t>
  </si>
  <si>
    <t>&gt;tr|Q9XVW8|Q9XVW8_CAEEL ZM domain-containing protein OS=Caenorhabditis elegans OX=6239 GN=CELE_F54D5.15 PE=1 SV=2</t>
  </si>
  <si>
    <t>Q9XVW8</t>
  </si>
  <si>
    <t>&gt;tr|Q9XVZ1|Q9XVZ1_CAEEL Uncharacterized protein OS=Caenorhabditis elegans OX=6239 GN=CELE_Y7A5A.2 PE=4 SV=1</t>
  </si>
  <si>
    <t>Q9XVZ1</t>
  </si>
  <si>
    <t>&gt;tr|Q9XVZ2|Q9XVZ2_CAEEL FAD-binding PCMH-type domain-containing protein OS=Caenorhabditis elegans OX=6239 GN=CELE_Y7A5A.1 PE=1 SV=1</t>
  </si>
  <si>
    <t>Q9XVZ2</t>
  </si>
  <si>
    <t>FAD-binding PCMH-type domain-containing protein</t>
  </si>
  <si>
    <t>&gt;tr|Q9XVZ6|Q9XVZ6_CAEEL RNA helicase OS=Caenorhabditis elegans OX=6239 GN=CELE_Y54G11A.3 PE=1 SV=1</t>
  </si>
  <si>
    <t>Q9XVZ6</t>
  </si>
  <si>
    <t>&gt;tr|Q9XW01|Q9XW01_CAEEL Tetratricopeptide repeat protein 38 OS=Caenorhabditis elegans OX=6239 GN=CELE_Y54G11A.7 PE=1 SV=2</t>
  </si>
  <si>
    <t>Q9XW01</t>
  </si>
  <si>
    <t>Tetratricopeptide repeat protein 38</t>
  </si>
  <si>
    <t>&gt;sp|Q9XW10|PAD1_CAEEL Protein pad-1 OS=Caenorhabditis elegans OX=6239 GN=pad-1 PE=2 SV=2</t>
  </si>
  <si>
    <t>Q9XW10</t>
  </si>
  <si>
    <t>pad-1</t>
  </si>
  <si>
    <t>Protein pad-1</t>
  </si>
  <si>
    <t>&gt;sp|Q9XW16|PROF1_CAEEL Profilin-1 OS=Caenorhabditis elegans OX=6239 GN=pfn-1 PE=2 SV=1</t>
  </si>
  <si>
    <t>Q9XW16</t>
  </si>
  <si>
    <t>pfn-1</t>
  </si>
  <si>
    <t>Profilin-1</t>
  </si>
  <si>
    <t>&gt;sp|Q9XW17|LS14H_CAEEL Protein LSM14 homolog car-1 OS=Caenorhabditis elegans OX=6239 GN=car-1 PE=1 SV=1</t>
  </si>
  <si>
    <t>Q9XW17</t>
  </si>
  <si>
    <t>car-1</t>
  </si>
  <si>
    <t>Protein LSM14 homolog car-1</t>
  </si>
  <si>
    <t>&gt;tr|Q9XW25|Q9XW25_CAEEL AT hook Transcription Factor family OS=Caenorhabditis elegans OX=6239 GN=attf-6 PE=1 SV=1</t>
  </si>
  <si>
    <t>Q9XW25</t>
  </si>
  <si>
    <t>attf-6</t>
  </si>
  <si>
    <t>AT hook Transcription Factor family</t>
  </si>
  <si>
    <t>&gt;tr|Q9XW52|Q9XW52_CAEEL Lipid desaturase domain-containing protein OS=Caenorhabditis elegans OX=6239 GN=tmem-189 PE=3 SV=1</t>
  </si>
  <si>
    <t>Q9XW52</t>
  </si>
  <si>
    <t>tmem-189</t>
  </si>
  <si>
    <t>Lipid desaturase domain-containing protein</t>
  </si>
  <si>
    <t>&gt;tr|Q9XW58|Q9XW58_CAEEL U3 small nucleolar ribonucleoprotein protein MPP10 OS=Caenorhabditis elegans OX=6239 GN=CELE_Y75B8A.7 PE=1 SV=1</t>
  </si>
  <si>
    <t>Q9XW58</t>
  </si>
  <si>
    <t>U3 small nucleolar ribonucleoprotein protein MPP10</t>
  </si>
  <si>
    <t>&gt;tr|Q9XW62|Q9XW62_CAEEL RanBD1 domain-containing protein OS=Caenorhabditis elegans OX=6239 GN=CELE_Y75B8A.25 PE=1 SV=2</t>
  </si>
  <si>
    <t>Q9XW62</t>
  </si>
  <si>
    <t>&gt;tr|Q9XW63|Q9XW63_CAEEL 1-phosphatidylinositol 4-kinase OS=Caenorhabditis elegans OX=6239 GN=CELE_Y75B8A.24 PE=1 SV=2</t>
  </si>
  <si>
    <t>Q9XW63</t>
  </si>
  <si>
    <t>1-phosphatidylinositol 4-kinase</t>
  </si>
  <si>
    <t>&gt;tr|Q9XW68|Q9XW68_CAEEL GPN-loop GTPase 3 OS=Caenorhabditis elegans OX=6239 GN=gex-4 PE=1 SV=1</t>
  </si>
  <si>
    <t>Q9XW68</t>
  </si>
  <si>
    <t>gex-4</t>
  </si>
  <si>
    <t>GPN-loop GTPase 3</t>
  </si>
  <si>
    <t>&gt;sp|Q9XW78|F172A_CAEEL FAM172 family protein homolog Y75B8A.31 OS=Caenorhabditis elegans OX=6239 GN=Y75B8A.31 PE=3 SV=1</t>
  </si>
  <si>
    <t>Q9XW78</t>
  </si>
  <si>
    <t>Y75B8A.31</t>
  </si>
  <si>
    <t>FAM172 family protein homolog Y75B8A.31</t>
  </si>
  <si>
    <t>&gt;tr|Q9XW83|Q9XW83_CAEEL Ground-like domain-containing protein OS=Caenorhabditis elegans OX=6239 GN=grl-15 PE=1 SV=1</t>
  </si>
  <si>
    <t>Q9XW83</t>
  </si>
  <si>
    <t>grl-15</t>
  </si>
  <si>
    <t>&gt;sp|Q9XW87|LONP2_CAEEL Lon protease homolog 2, peroxisomal OS=Caenorhabditis elegans OX=6239 GN=lonp-2 PE=3 SV=1</t>
  </si>
  <si>
    <t>Q9XW87</t>
  </si>
  <si>
    <t>lonp-2</t>
  </si>
  <si>
    <t>Lon protease homolog 2, peroxisomal</t>
  </si>
  <si>
    <t>&gt;sp|Q9XW92|VATA_CAEEL V-type proton ATPase catalytic subunit A OS=Caenorhabditis elegans OX=6239 GN=vha-13 PE=1 SV=3</t>
  </si>
  <si>
    <t>Q9XW92</t>
  </si>
  <si>
    <t>vha-13</t>
  </si>
  <si>
    <t>V-type proton ATPase catalytic subunit A</t>
  </si>
  <si>
    <t>&gt;tr|Q9XWC9|Q9XWC9_CAEEL Methylmalonic aciduria and homocystinuria type D homolog, mitochondrial OS=Caenorhabditis elegans OX=6239 GN=CELE_Y76A2B.5 PE=1 SV=1</t>
  </si>
  <si>
    <t>Q9XWC9</t>
  </si>
  <si>
    <t>Methylmalonic aciduria and homocystinuria type D homolog, mitochondrial</t>
  </si>
  <si>
    <t>&gt;tr|Q9XWD1|Q9XWD1_CAEEL Long-chain-fatty-acid--CoA ligase OS=Caenorhabditis elegans OX=6239 GN=acs-5 PE=1 SV=1</t>
  </si>
  <si>
    <t>Q9XWD1</t>
  </si>
  <si>
    <t>acs-5</t>
  </si>
  <si>
    <t>&gt;tr|Q9XWD5|Q9XWD5_CAEEL Translation initiation factor eIF2B subunit beta OS=Caenorhabditis elegans OX=6239 GN=eif-2bbeta PE=1 SV=1</t>
  </si>
  <si>
    <t>Q9XWD5</t>
  </si>
  <si>
    <t>eif-2bbeta</t>
  </si>
  <si>
    <t>Translation initiation factor eIF2B subunit beta</t>
  </si>
  <si>
    <t>&gt;tr|Q9XWF2|Q9XWF2_CAEEL DNA/RNA-binding protein Kin17 WH-like domain-containing protein OS=Caenorhabditis elegans OX=6239 GN=dxbp-1 PE=1 SV=1</t>
  </si>
  <si>
    <t>Q9XWF2</t>
  </si>
  <si>
    <t>dxbp-1</t>
  </si>
  <si>
    <t>DNA/RNA-binding protein Kin17 WH-like domain-containing protein</t>
  </si>
  <si>
    <t>&gt;tr|Q9XWG2|Q9XWG2_CAEEL NADH dehydrogenase [ubiquinone] 1 alpha subcomplex subunit 2 OS=Caenorhabditis elegans OX=6239 GN=ndua-2 PE=1 SV=2</t>
  </si>
  <si>
    <t>Q9XWG2</t>
  </si>
  <si>
    <t>ndua-2</t>
  </si>
  <si>
    <t>NADH dehydrogenase [ubiquinone] 1 alpha subcomplex subunit 2</t>
  </si>
  <si>
    <t>&gt;sp|Q9XWH0|BUB3_CAEEL Mitotic checkpoint protein bub-3 OS=Caenorhabditis elegans OX=6239 GN=bub-3 PE=1 SV=1</t>
  </si>
  <si>
    <t>Q9XWH0</t>
  </si>
  <si>
    <t>bub-3</t>
  </si>
  <si>
    <t>Mitotic checkpoint protein bub-3</t>
  </si>
  <si>
    <t>&gt;tr|Q9XWI1|Q9XWI1_CAEEL Activating signal cointegrator 1 complex subunit 3 OS=Caenorhabditis elegans OX=6239 GN=CELE_Y54E2A.4 PE=1 SV=2</t>
  </si>
  <si>
    <t>Q9XWI1</t>
  </si>
  <si>
    <t>Activating signal cointegrator 1 complex subunit 3</t>
  </si>
  <si>
    <t>&gt;tr|Q9XWI2|Q9XWI2_CAEEL Rab-GAP TBC domain-containing protein OS=Caenorhabditis elegans OX=6239 GN=tbc-20 PE=1 SV=2</t>
  </si>
  <si>
    <t>Q9XWI2</t>
  </si>
  <si>
    <t>tbc-20</t>
  </si>
  <si>
    <t>&gt;sp|Q9XWI6|EIF3B_CAEEL Eukaryotic translation initiation factor 3 subunit B OS=Caenorhabditis elegans OX=6239 GN=eif-3.B PE=3 SV=2</t>
  </si>
  <si>
    <t>Q9XWI6</t>
  </si>
  <si>
    <t>eif-3.B</t>
  </si>
  <si>
    <t>Eukaryotic translation initiation factor 3 subunit B</t>
  </si>
  <si>
    <t>&gt;tr|Q9XWI8|Q9XWI8_CAEEL Uncharacterized protein OS=Caenorhabditis elegans OX=6239 GN=CELE_Y54E2A.7 PE=4 SV=2</t>
  </si>
  <si>
    <t>Q9XWI8</t>
  </si>
  <si>
    <t>&gt;sp|Q9XWJ1|SMG9_CAEEL Nonsense-mediated mRNA decay factor SMG9 OS=Caenorhabditis elegans OX=6239 GN=smg-9 PE=1 SV=1</t>
  </si>
  <si>
    <t>Q9XWJ1</t>
  </si>
  <si>
    <t>smg-9</t>
  </si>
  <si>
    <t>Nonsense-mediated mRNA decay factor SMG9</t>
  </si>
  <si>
    <t>&gt;tr|Q9XWJ9|Q9XWJ9_CAEEL DRBM domain-containing protein OS=Caenorhabditis elegans OX=6239 GN=dus-2 PE=1 SV=1</t>
  </si>
  <si>
    <t>Q9XWJ9</t>
  </si>
  <si>
    <t>dus-2</t>
  </si>
  <si>
    <t>&gt;tr|Q9XWK2|Q9XWK2_CAEEL Polysaccharide biosynthesis domain-containing protein OS=Caenorhabditis elegans OX=6239 GN=CELE_Y54E5A.5 PE=1 SV=1</t>
  </si>
  <si>
    <t>Q9XWK2</t>
  </si>
  <si>
    <t>Polysaccharide biosynthesis domain-containing protein</t>
  </si>
  <si>
    <t>&gt;tr|Q9XWK4|Q9XWK4_CAEEL B30.2/SPRY domain-containing protein OS=Caenorhabditis elegans OX=6239 GN=gid-1 PE=1 SV=1</t>
  </si>
  <si>
    <t>Q9XWK4</t>
  </si>
  <si>
    <t>gid-1</t>
  </si>
  <si>
    <t>&gt;tr|Q9XWK5|Q9XWK5_CAEEL Pre-rRNA-processing protein Ipi1 N-terminal domain-containing protein OS=Caenorhabditis elegans OX=6239 GN=CELE_Y48A6C.4 PE=1 SV=2</t>
  </si>
  <si>
    <t>Q9XWK5</t>
  </si>
  <si>
    <t>Pre-rRNA-processing protein Ipi1 N-terminal domain-containing protein</t>
  </si>
  <si>
    <t>&gt;tr|Q9XWK6|Q9XWK6_CAEEL C2H2-type domain-containing protein OS=Caenorhabditis elegans OX=6239 GN=sup-35 PE=1 SV=1</t>
  </si>
  <si>
    <t>Q9XWK6</t>
  </si>
  <si>
    <t>sup-35</t>
  </si>
  <si>
    <t>&gt;tr|Q9XWL0|Q9XWL0_CAEEL C2H2-type domain-containing protein OS=Caenorhabditis elegans OX=6239 GN=CELE_Y5F2A.4 PE=4 SV=1</t>
  </si>
  <si>
    <t>Q9XWL0</t>
  </si>
  <si>
    <t>&gt;tr|Q9XWM5|Q9XWM5_CAEEL Exocyst complex component Sec10 OS=Caenorhabditis elegans OX=6239 GN=CELE_Y38F1A.1 PE=4 SV=2</t>
  </si>
  <si>
    <t>Q9XWM5</t>
  </si>
  <si>
    <t>Exocyst complex component Sec10</t>
  </si>
  <si>
    <t>&gt;tr|Q9XWN4|Q9XWN4_CAEEL Neuropeptide-Like Protein OS=Caenorhabditis elegans OX=6239 GN=nlp-26 PE=1 SV=1</t>
  </si>
  <si>
    <t>Q9XWN4</t>
  </si>
  <si>
    <t>nlp-26</t>
  </si>
  <si>
    <t>Neuropeptide-Like Protein</t>
  </si>
  <si>
    <t>&gt;sp|Q9XWN6|ANI3_CAEEL Anillin-like protein 3 OS=Caenorhabditis elegans OX=6239 GN=ani-3 PE=4 SV=1</t>
  </si>
  <si>
    <t>Q9XWN6</t>
  </si>
  <si>
    <t>ani-3</t>
  </si>
  <si>
    <t>Anillin-like protein 3</t>
  </si>
  <si>
    <t>&gt;tr|Q9XWP0|Q9XWP0_CAEEL Mitochondrial Ribosomal Protein, Small OS=Caenorhabditis elegans OX=6239 GN=mrps-28 PE=1 SV=1</t>
  </si>
  <si>
    <t>Q9XWP0</t>
  </si>
  <si>
    <t>mrps-28</t>
  </si>
  <si>
    <t>&gt;sp|Q9XWP6|KDM1A_CAEEL Lysine-specific histone demethylase 1 OS=Caenorhabditis elegans OX=6239 GN=spr-5 PE=1 SV=1</t>
  </si>
  <si>
    <t>Q9XWP6</t>
  </si>
  <si>
    <t>spr-5</t>
  </si>
  <si>
    <t>Lysine-specific histone demethylase 1</t>
  </si>
  <si>
    <t>&gt;tr|Q9XWP7|Q9XWP7_CAEEL Eukaryotic translation initiation factor 3 30 kDa subunit OS=Caenorhabditis elegans OX=6239 GN=eif-3.j PE=1 SV=1</t>
  </si>
  <si>
    <t>Q9XWP7</t>
  </si>
  <si>
    <t>eif-3.j</t>
  </si>
  <si>
    <t>Eukaryotic translation initiation factor 3 30 kDa subunit</t>
  </si>
  <si>
    <t>&gt;tr|Q9XWR7|Q9XWR7_CAEEL UNC93-like protein MFSD11 OS=Caenorhabditis elegans OX=6239 GN=CELE_Y11D7A.3 PE=1 SV=1</t>
  </si>
  <si>
    <t>Q9XWR7</t>
  </si>
  <si>
    <t>&gt;sp|Q9XWS2|EXOC4_CAEEL Exocyst complex component 4 OS=Caenorhabditis elegans OX=6239 GN=sec-8 PE=2 SV=2</t>
  </si>
  <si>
    <t>Q9XWS2</t>
  </si>
  <si>
    <t>sec-8</t>
  </si>
  <si>
    <t>Exocyst complex component 4</t>
  </si>
  <si>
    <t>&gt;tr|Q9XWS4|Q9XWS4_CAEEL Large ribosomal subunit protein eL30 OS=Caenorhabditis elegans OX=6239 GN=rpl-30 PE=1 SV=2</t>
  </si>
  <si>
    <t>Q9XWS4</t>
  </si>
  <si>
    <t>rpl-30</t>
  </si>
  <si>
    <t>Large ribosomal subunit protein eL30</t>
  </si>
  <si>
    <t>&gt;tr|Q9XWS6|Q9XWS6_CAEEL Conserved secreted protein OS=Caenorhabditis elegans OX=6239 GN=CELE_Y62H9A.5 PE=1 SV=2</t>
  </si>
  <si>
    <t>Q9XWS6</t>
  </si>
  <si>
    <t>Conserved secreted protein</t>
  </si>
  <si>
    <t>&gt;tr|Q9XWT3|Q9XWT3_CAEEL Uterine Lumin Expressed/locailized OS=Caenorhabditis elegans OX=6239 GN=ule-5 PE=1 SV=1</t>
  </si>
  <si>
    <t>Q9XWT3</t>
  </si>
  <si>
    <t>ule-5</t>
  </si>
  <si>
    <t>&gt;tr|Q9XWT5|Q9XWT5_CAEEL Candidate secreted effector protein OS=Caenorhabditis elegans OX=6239 GN=CELE_Y62H9A.3 PE=1 SV=1</t>
  </si>
  <si>
    <t>Q9XWT5</t>
  </si>
  <si>
    <t>Candidate secreted effector protein</t>
  </si>
  <si>
    <t>&gt;sp|Q9XWU8|VMP1_CAEEL Ectopic P granules protein 3 OS=Caenorhabditis elegans OX=6239 GN=epg-3 PE=2 SV=2</t>
  </si>
  <si>
    <t>Q9XWU8</t>
  </si>
  <si>
    <t>epg-3</t>
  </si>
  <si>
    <t>Ectopic P granules protein 3</t>
  </si>
  <si>
    <t>&gt;sp|Q9XWV0|TMM33_CAEEL Transmembrane protein 33 homolog OS=Caenorhabditis elegans OX=6239 GN=npp-25 PE=3 SV=1</t>
  </si>
  <si>
    <t>Q9XWV0</t>
  </si>
  <si>
    <t>npp-25</t>
  </si>
  <si>
    <t>Transmembrane protein 33 homolog</t>
  </si>
  <si>
    <t>&gt;sp|Q9XWV2|PLBL1_CAEEL Putative phospholipase B-like 1 OS=Caenorhabditis elegans OX=6239 GN=Y37D8A.2 PE=1 SV=1</t>
  </si>
  <si>
    <t>Q9XWV2</t>
  </si>
  <si>
    <t>Y37D8A.2</t>
  </si>
  <si>
    <t>Putative phospholipase B-like 1</t>
  </si>
  <si>
    <t>&gt;tr|Q9XWV4|Q9XWV4_CAEEL RRM domain-containing protein OS=Caenorhabditis elegans OX=6239 GN=rbm-7 PE=4 SV=2</t>
  </si>
  <si>
    <t>Q9XWV4</t>
  </si>
  <si>
    <t>rbm-7</t>
  </si>
  <si>
    <t>&gt;tr|Q9XWW0|Q9XWW0_CAEEL Chromo domain-containing protein OS=Caenorhabditis elegans OX=6239 GN=cec-7 PE=1 SV=1</t>
  </si>
  <si>
    <t>Q9XWW0</t>
  </si>
  <si>
    <t>cec-7</t>
  </si>
  <si>
    <t>&gt;sp|Q9XWZ2|ACD11_CAEEL Acyl-CoA dehydrogenase family member 11 OS=Caenorhabditis elegans OX=6239 GN=acdh-11 PE=1 SV=1</t>
  </si>
  <si>
    <t>Q9XWZ2</t>
  </si>
  <si>
    <t>acdh-11</t>
  </si>
  <si>
    <t>&gt;sp|Q9XX00|SRBPH_CAEEL Sterol regulatory element binding protein sbp-1 OS=Caenorhabditis elegans OX=6239 GN=sbp-1 PE=2 SV=1</t>
  </si>
  <si>
    <t>Q9XX00</t>
  </si>
  <si>
    <t>sbp-1</t>
  </si>
  <si>
    <t>Sterol regulatory element binding protein sbp-1</t>
  </si>
  <si>
    <t>&gt;tr|Q9XX10|Q9XX10_CAEEL Xenotropic and polytropic retrovirus receptor 1 homolog OS=Caenorhabditis elegans OX=6239 GN=CELE_Y39A1A.22 PE=1 SV=3</t>
  </si>
  <si>
    <t>Q9XX10</t>
  </si>
  <si>
    <t>Xenotropic and polytropic retrovirus receptor 1 homolog</t>
  </si>
  <si>
    <t>&gt;sp|Q9XX14|CNT2_CAEEL Arf-GAP with ANK repeat and PH domain-containing protein cnt-2 OS=Caenorhabditis elegans OX=6239 GN=cnt-2 PE=1 SV=2</t>
  </si>
  <si>
    <t>Q9XX14</t>
  </si>
  <si>
    <t>cnt-2</t>
  </si>
  <si>
    <t>Arf-GAP with ANK repeat and PH domain-containing protein cnt-2</t>
  </si>
  <si>
    <t>&gt;sp|Q9XX15|NEP1_CAEEL Ribosomal RNA small subunit methyltransferase nep-1 OS=Caenorhabditis elegans OX=6239 GN=Y39A1A.14 PE=3 SV=1</t>
  </si>
  <si>
    <t>Q9XX15</t>
  </si>
  <si>
    <t>Y39A1A.14</t>
  </si>
  <si>
    <t>Ribosomal RNA small subunit methyltransferase nep-1</t>
  </si>
  <si>
    <t>&gt;tr|Q9XX17|Q9XX17_CAEEL Origin recognition complex subunit 1 OS=Caenorhabditis elegans OX=6239 GN=orc-1 PE=1 SV=1</t>
  </si>
  <si>
    <t>Q9XX17</t>
  </si>
  <si>
    <t>orc-1</t>
  </si>
  <si>
    <t>Origin recognition complex subunit 1</t>
  </si>
  <si>
    <t>&gt;tr|Q9XX18|Q9XX18_CAEEL Large ribosomal subunit protein uL22m OS=Caenorhabditis elegans OX=6239 GN=mrpl-22 PE=1 SV=1</t>
  </si>
  <si>
    <t>Q9XX18</t>
  </si>
  <si>
    <t>mrpl-22</t>
  </si>
  <si>
    <t>Large ribosomal subunit protein uL22m</t>
  </si>
  <si>
    <t>&gt;tr|Q9XX30|Q9XX30_CAEEL Uncharacterized protein OS=Caenorhabditis elegans OX=6239 GN=CELE_Y39A1A.20 PE=1 SV=2</t>
  </si>
  <si>
    <t>Q9XX30</t>
  </si>
  <si>
    <t>&gt;tr|Q9XX35|Q9XX35_CAEEL F-box domain-containing protein OS=Caenorhabditis elegans OX=6239 GN=CELE_Y32B12B.2 PE=1 SV=3</t>
  </si>
  <si>
    <t>Q9XX35</t>
  </si>
  <si>
    <t>&gt;tr|Q9XXA2|Q9XXA2_CAEEL Calponin homology domain-containing protein OS=Caenorhabditis elegans OX=6239 GN=ebp-2 PE=1 SV=1</t>
  </si>
  <si>
    <t>Q9XXA2</t>
  </si>
  <si>
    <t>ebp-2</t>
  </si>
  <si>
    <t>&gt;sp|Q9XXD2|EXOS1_CAEEL Exosome complex component CSL4 homolog OS=Caenorhabditis elegans OX=6239 GN=exos-1 PE=2 SV=1</t>
  </si>
  <si>
    <t>Q9XXD2</t>
  </si>
  <si>
    <t>exos-1</t>
  </si>
  <si>
    <t>Exosome complex component CSL4 homolog</t>
  </si>
  <si>
    <t>&gt;sp|Q9XXD4|NHP2_CAEEL Putative H/ACA ribonucleoprotein complex subunit 2-like protein OS=Caenorhabditis elegans OX=6239 GN=Y48A6B.3 PE=3 SV=1</t>
  </si>
  <si>
    <t>Q9XXD4</t>
  </si>
  <si>
    <t>Y48A6B.3</t>
  </si>
  <si>
    <t>Putative H/ACA ribonucleoprotein complex subunit 2-like protein</t>
  </si>
  <si>
    <t>&gt;tr|Q9XXE6|Q9XXE6_CAEEL HECT-type E3 ubiquitin transferase OS=Caenorhabditis elegans OX=6239 GN=oxi-1 PE=1 SV=1</t>
  </si>
  <si>
    <t>Q9XXE6</t>
  </si>
  <si>
    <t>oxi-1</t>
  </si>
  <si>
    <t>HECT-type E3 ubiquitin transferase</t>
  </si>
  <si>
    <t>&gt;tr|Q9XXH7|Q9XXH7_CAEEL Myeloid leukemia factor OS=Caenorhabditis elegans OX=6239 GN=CELE_Y17G7B.17 PE=1 SV=2</t>
  </si>
  <si>
    <t>Q9XXH7</t>
  </si>
  <si>
    <t>Myeloid leukemia factor</t>
  </si>
  <si>
    <t>&gt;sp|Q9XXH8|CNT1_CAEEL Arf-GAP with ANK repeat and PH domain-containing protein cnt-1 OS=Caenorhabditis elegans OX=6239 GN=cnt-1 PE=1 SV=2</t>
  </si>
  <si>
    <t>Q9XXH8</t>
  </si>
  <si>
    <t>cnt-1</t>
  </si>
  <si>
    <t>Arf-GAP with ANK repeat and PH domain-containing protein cnt-1</t>
  </si>
  <si>
    <t>&gt;tr|Q9XXI3|Q9XXI3_CAEEL RNA exonuclease 4 OS=Caenorhabditis elegans OX=6239 GN=CELE_Y17G7B.12 PE=1 SV=1</t>
  </si>
  <si>
    <t>Q9XXI3</t>
  </si>
  <si>
    <t>RNA exonuclease 4</t>
  </si>
  <si>
    <t>&gt;tr|Q9XXI9|Q9XXI9_CAEEL DNA replication licensing factor MCM2 OS=Caenorhabditis elegans OX=6239 GN=mcm-2 PE=1 SV=1</t>
  </si>
  <si>
    <t>Q9XXI9</t>
  </si>
  <si>
    <t>mcm-2</t>
  </si>
  <si>
    <t>DNA replication licensing factor MCM2</t>
  </si>
  <si>
    <t>&gt;sp|Q9XXK1|ATPA_CAEEL ATP synthase subunit alpha, mitochondrial OS=Caenorhabditis elegans OX=6239 GN=atp-1 PE=1 SV=1</t>
  </si>
  <si>
    <t>Q9XXK1</t>
  </si>
  <si>
    <t>atp-1</t>
  </si>
  <si>
    <t>ATP synthase subunit alpha, mitochondrial</t>
  </si>
  <si>
    <t>&gt;tr|Q9XXK7|Q9XXK7_CAEEL Translocating chain-associated membrane protein OS=Caenorhabditis elegans OX=6239 GN=tram-1 PE=1 SV=1</t>
  </si>
  <si>
    <t>Q9XXK7</t>
  </si>
  <si>
    <t>tram-1</t>
  </si>
  <si>
    <t>Translocating chain-associated membrane protein</t>
  </si>
  <si>
    <t>&gt;tr|Q9XXL6|Q9XXL6_CAEEL Methyltransferase FkbM domain-containing protein OS=Caenorhabditis elegans OX=6239 GN=CELE_ZK1025.3 PE=1 SV=1</t>
  </si>
  <si>
    <t>Q9XXL6</t>
  </si>
  <si>
    <t>Methyltransferase FkbM domain-containing protein</t>
  </si>
  <si>
    <t>&gt;tr|Q9XXN0|Q9XXN0_CAEEL Pseudouridine synthase I TruA alpha/beta domain-containing protein OS=Caenorhabditis elegans OX=6239 GN=pus-1 PE=1 SV=1</t>
  </si>
  <si>
    <t>Q9XXN0</t>
  </si>
  <si>
    <t>pus-1</t>
  </si>
  <si>
    <t>Pseudouridine synthase I TruA alpha/beta domain-containing protein</t>
  </si>
  <si>
    <t>&gt;sp|Q9XXN2|IMMT2_CAEEL MICOS complex subunit MIC60-2 OS=Caenorhabditis elegans OX=6239 GN=immt-2 PE=2 SV=2</t>
  </si>
  <si>
    <t>Q9XXN2</t>
  </si>
  <si>
    <t>immt-2</t>
  </si>
  <si>
    <t>MICOS complex subunit MIC60-2</t>
  </si>
  <si>
    <t>&gt;tr|Q9XXN4|Q9XXN4_CAEEL Nucleolar GTP-binding protein 2 OS=Caenorhabditis elegans OX=6239 GN=ngp-1 PE=1 SV=2</t>
  </si>
  <si>
    <t>Q9XXN4</t>
  </si>
  <si>
    <t>ngp-1</t>
  </si>
  <si>
    <t>Nucleolar GTP-binding protein 2</t>
  </si>
  <si>
    <t>&gt;tr|Q9XXQ4|Q9XXQ4_CAEEL Major facilitator superfamily (MFS) profile domain-containing protein OS=Caenorhabditis elegans OX=6239 GN=CELE_Y51A2D.18 PE=1 SV=2</t>
  </si>
  <si>
    <t>Q9XXQ4</t>
  </si>
  <si>
    <t>&gt;tr|Q9XXT5|Q9XXT5_CAEEL LNS2/PITP domain-containing protein OS=Caenorhabditis elegans OX=6239 GN=lpin-1 PE=1 SV=2</t>
  </si>
  <si>
    <t>Q9XXT5</t>
  </si>
  <si>
    <t>lpin-1</t>
  </si>
  <si>
    <t>LNS2/PITP domain-containing protein</t>
  </si>
  <si>
    <t>&gt;sp|Q9XXU9|VATC_CAEEL V-type proton ATPase subunit C OS=Caenorhabditis elegans OX=6239 GN=vha-11 PE=1 SV=1</t>
  </si>
  <si>
    <t>Q9XXU9</t>
  </si>
  <si>
    <t>vha-11</t>
  </si>
  <si>
    <t>V-type proton ATPase subunit C</t>
  </si>
  <si>
    <t>&gt;sp|Q9XYB7|NHR8_CAEEL Nuclear hormone receptor family member nhr-8 OS=Caenorhabditis elegans OX=6239 GN=nhr-8 PE=2 SV=1</t>
  </si>
  <si>
    <t>Q9XYB7</t>
  </si>
  <si>
    <t>nhr-8</t>
  </si>
  <si>
    <t>Nuclear hormone receptor family member nhr-8</t>
  </si>
  <si>
    <t>&gt;sp|Q9XZI6|PICAL_CAEEL Phosphatidylinositol-binding clathrin assembly protein unc-11 OS=Caenorhabditis elegans OX=6239 GN=unc-11 PE=1 SV=1</t>
  </si>
  <si>
    <t>Q9XZI6</t>
  </si>
  <si>
    <t>unc-11</t>
  </si>
  <si>
    <t>Phosphatidylinositol-binding clathrin assembly protein unc-11</t>
  </si>
  <si>
    <t>&gt;sp|Q9Y0A1|ITPR_CAEEL Inositol 1,4,5-trisphosphate receptor itr-1 OS=Caenorhabditis elegans OX=6239 GN=itr-1 PE=1 SV=1</t>
  </si>
  <si>
    <t>Q9Y0A1</t>
  </si>
  <si>
    <t>itr-1</t>
  </si>
  <si>
    <t>Inositol 1,4,5-trisphosphate receptor itr-1</t>
  </si>
  <si>
    <t>&gt;sp|Q9Y194|SGPL_CAEEL Sphingosine-1-phosphate lyase OS=Caenorhabditis elegans OX=6239 GN=spl-1 PE=1 SV=1</t>
  </si>
  <si>
    <t>Q9Y194</t>
  </si>
  <si>
    <t>spl-1</t>
  </si>
  <si>
    <t>Sphingosine-1-phosphate lyase</t>
  </si>
  <si>
    <t>&gt;tr|S6EZU2|S6EZU2_CAEEL DH domain-containing protein OS=Caenorhabditis elegans OX=6239 GN=rhgf-2 PE=1 SV=1</t>
  </si>
  <si>
    <t>S6EZU2</t>
  </si>
  <si>
    <t>rhgf-2</t>
  </si>
  <si>
    <t>&gt;tr|S6FN37|S6FN37_CAEEL Uncharacterized protein OS=Caenorhabditis elegans OX=6239 GN=C08F8.3 PE=1 SV=1</t>
  </si>
  <si>
    <t>S6FN37</t>
  </si>
  <si>
    <t>C08F8.3</t>
  </si>
  <si>
    <t>&gt;tr|S6FWN4|S6FWN4_CAEEL K+/Cl-Cotransporter OS=Caenorhabditis elegans OX=6239 GN=kcc-1 PE=1 SV=1</t>
  </si>
  <si>
    <t>S6FWN4</t>
  </si>
  <si>
    <t>kcc-1</t>
  </si>
  <si>
    <t>&gt;sp|U4PAZ9|PTRN1_CAEEL Patronin (microtubule-binding protein) homolog OS=Caenorhabditis elegans OX=6239 GN=ptrn-1 PE=1 SV=1</t>
  </si>
  <si>
    <t>U4PAZ9</t>
  </si>
  <si>
    <t>ptrn-1</t>
  </si>
  <si>
    <t>Patronin (microtubule-binding protein) homolog</t>
  </si>
  <si>
    <t>&gt;tr|U4PBJ9|U4PBJ9_CAEEL Calponin-homology (CH) domain-containing protein OS=Caenorhabditis elegans OX=6239 GN=fln-1 PE=1 SV=1</t>
  </si>
  <si>
    <t>U4PBJ9</t>
  </si>
  <si>
    <t>fln-1</t>
  </si>
  <si>
    <t>&gt;tr|U4PBL3|U4PBL3_CAEEL 3-dehydrosphinganine reductase OS=Caenorhabditis elegans OX=6239 GN=CELE_Y37E11AM.3 PE=1 SV=1</t>
  </si>
  <si>
    <t>U4PBL3</t>
  </si>
  <si>
    <t>3-dehydrosphinganine reductase</t>
  </si>
  <si>
    <t>&gt;tr|U4PBM1|U4PBM1_CAEEL DENN domain type RAB GEF OS=Caenorhabditis elegans OX=6239 GN=denn-4 PE=1 SV=1</t>
  </si>
  <si>
    <t>U4PBM1</t>
  </si>
  <si>
    <t>denn-4</t>
  </si>
  <si>
    <t>DENN domain type RAB GEF</t>
  </si>
  <si>
    <t>&gt;tr|U4PBT1|U4PBT1_CAEEL Transcription Factor ThreeC subunit (GTF3C homolog) OS=Caenorhabditis elegans OX=6239 GN=tftc-1 PE=1 SV=1</t>
  </si>
  <si>
    <t>U4PBT1</t>
  </si>
  <si>
    <t>tftc-1</t>
  </si>
  <si>
    <t>Transcription Factor ThreeC subunit (GTF3C homolog)</t>
  </si>
  <si>
    <t>&gt;tr|U4PBY0|U4PBY0_CAEEL HECT-type E3 ubiquitin transferase OS=Caenorhabditis elegans OX=6239 GN=eel-1 PE=1 SV=1</t>
  </si>
  <si>
    <t>U4PBY0</t>
  </si>
  <si>
    <t>eel-1</t>
  </si>
  <si>
    <t>&gt;tr|U4PBY2|U4PBY2_CAEEL Myosin motor domain-containing protein OS=Caenorhabditis elegans OX=6239 GN=hum-8 PE=1 SV=1</t>
  </si>
  <si>
    <t>U4PBY2</t>
  </si>
  <si>
    <t>hum-8</t>
  </si>
  <si>
    <t>&gt;tr|U4PBZ1|U4PBZ1_CAEEL TPR_REGION domain-containing protein OS=Caenorhabditis elegans OX=6239 GN=CELE_Y76B12C.6 PE=1 SV=1</t>
  </si>
  <si>
    <t>U4PBZ1</t>
  </si>
  <si>
    <t>&gt;tr|U4PC34|U4PC34_CAEEL MOSC domain-containing protein OS=Caenorhabditis elegans OX=6239 GN=CELE_F56A11.5 PE=1 SV=1</t>
  </si>
  <si>
    <t>U4PC34</t>
  </si>
  <si>
    <t>&gt;tr|U4PC78|U4PC78_CAEEL Glutamyl-tRNA(Gln) amidotransferase subunit A, mitochondrial OS=Caenorhabditis elegans OX=6239 GN=CELE_Y41D4A.6 PE=1 SV=1</t>
  </si>
  <si>
    <t>U4PC78</t>
  </si>
  <si>
    <t>Glutamyl-tRNA(Gln) amidotransferase subunit A, mitochondrial</t>
  </si>
  <si>
    <t>&gt;sp|U4PCM1|WDR33_CAEEL pre-mRNA 3' end processing protein pfs-2 OS=Caenorhabditis elegans OX=6239 GN=pfs-2 PE=1 SV=2</t>
  </si>
  <si>
    <t>U4PCM1</t>
  </si>
  <si>
    <t>pfs-2</t>
  </si>
  <si>
    <t>pre-mRNA 3' end processing protein pfs-2</t>
  </si>
  <si>
    <t>&gt;tr|U4PEB6|U4PEB6_CAEEL FHA domain-containing protein OS=Caenorhabditis elegans OX=6239 GN=slmp-1 PE=1 SV=1</t>
  </si>
  <si>
    <t>U4PEB6</t>
  </si>
  <si>
    <t>slmp-1</t>
  </si>
  <si>
    <t>&gt;tr|U4PEX3|U4PEX3_CAEEL Dynein heavy chain 1, axonemal OS=Caenorhabditis elegans OX=6239 GN=CELE_Y77E11A.7 PE=1 SV=1</t>
  </si>
  <si>
    <t>U4PEX3</t>
  </si>
  <si>
    <t>Dynein heavy chain 1, axonemal</t>
  </si>
  <si>
    <t>&gt;tr|U4PFH6|U4PFH6_CAEEL Saccharopine dehydrogenase OS=Caenorhabditis elegans OX=6239 GN=aass-1 PE=1 SV=1</t>
  </si>
  <si>
    <t>U4PFH6</t>
  </si>
  <si>
    <t>aass-1</t>
  </si>
  <si>
    <t>Saccharopine dehydrogenase</t>
  </si>
  <si>
    <t>&gt;tr|U4PLR3|U4PLR3_CAEEL BTB domain-containing protein OS=Caenorhabditis elegans OX=6239 GN=kvs-5 PE=1 SV=1</t>
  </si>
  <si>
    <t>U4PLR3</t>
  </si>
  <si>
    <t>kvs-5</t>
  </si>
  <si>
    <t>&gt;tr|U4PMA7|U4PMA7_CAEEL Calponin-homology (CH) domain-containing protein OS=Caenorhabditis elegans OX=6239 GN=plst-1 PE=1 SV=1</t>
  </si>
  <si>
    <t>U4PMA7</t>
  </si>
  <si>
    <t>plst-1</t>
  </si>
  <si>
    <t>&gt;sp|U4PR86|MELK_CAEEL Maternal embryonic leucine zipper kinase OS=Caenorhabditis elegans OX=6239 GN=pig-1 PE=1 SV=1</t>
  </si>
  <si>
    <t>U4PR86</t>
  </si>
  <si>
    <t>pig-1</t>
  </si>
  <si>
    <t>Maternal embryonic leucine zipper kinase</t>
  </si>
  <si>
    <t>&gt;tr|U4PRA5|U4PRA5_CAEEL ATP-dependent RNA helicase DHX34 OS=Caenorhabditis elegans OX=6239 GN=smgl-2 PE=4 SV=1</t>
  </si>
  <si>
    <t>U4PRA5</t>
  </si>
  <si>
    <t>smgl-2</t>
  </si>
  <si>
    <t>ATP-dependent RNA helicase DHX34</t>
  </si>
  <si>
    <t>&gt;tr|U4PRW7|U4PRW7_CAEEL glutaminase OS=Caenorhabditis elegans OX=6239 GN=glna-1 PE=1 SV=1</t>
  </si>
  <si>
    <t>U4PRW7</t>
  </si>
  <si>
    <t>glna-1</t>
  </si>
  <si>
    <t>glutaminase</t>
  </si>
  <si>
    <t>&gt;tr|U4PRX8|U4PRX8_CAEEL Transmembrane 9 superfamily member OS=Caenorhabditis elegans OX=6239 GN=CELE_Y41D4A.4 PE=1 SV=1</t>
  </si>
  <si>
    <t>U4PRX8</t>
  </si>
  <si>
    <t>&gt;tr|U4PRY7|U4PRY7_CAEEL Sema domain-containing protein OS=Caenorhabditis elegans OX=6239 GN=plx-1 PE=1 SV=1</t>
  </si>
  <si>
    <t>U4PRY7</t>
  </si>
  <si>
    <t>plx-1</t>
  </si>
  <si>
    <t>Sema domain-containing protein</t>
  </si>
  <si>
    <t>&gt;tr|V6CJB4|V6CJB4_CAEEL Ribonuclease P protein subunit p30 OS=Caenorhabditis elegans OX=6239 GN=CELE_H35B03.2 PE=1 SV=1</t>
  </si>
  <si>
    <t>V6CJB4</t>
  </si>
  <si>
    <t>Ribonuclease P protein subunit p30</t>
  </si>
  <si>
    <t>&gt;tr|V6CJW9|V6CJW9_CAEEL Myotubularin phosphatase domain-containing protein OS=Caenorhabditis elegans OX=6239 GN=mtm-10 PE=1 SV=1</t>
  </si>
  <si>
    <t>V6CJW9</t>
  </si>
  <si>
    <t>mtm-10</t>
  </si>
  <si>
    <t>Myotubularin phosphatase domain-containing protein</t>
  </si>
  <si>
    <t>&gt;tr|V6CJY2|V6CJY2_CAEEL Ubiquitin carboxyl-terminal hydrolase OS=Caenorhabditis elegans OX=6239 GN=usp-4 PE=1 SV=1</t>
  </si>
  <si>
    <t>V6CJY2</t>
  </si>
  <si>
    <t>usp-4</t>
  </si>
  <si>
    <t>&gt;tr|V6CL71|V6CL71_CAEEL OTU domain-containing protein OS=Caenorhabditis elegans OX=6239 GN=CELE_Y48G1C.8 PE=1 SV=1</t>
  </si>
  <si>
    <t>V6CL71</t>
  </si>
  <si>
    <t>&gt;sp|V6CLA2|HECD1_CAEEL E3 ubiquitin-protein ligase hecd-1 OS=Caenorhabditis elegans OX=6239 GN=hecd-1 PE=1 SV=1</t>
  </si>
  <si>
    <t>V6CLA2</t>
  </si>
  <si>
    <t>hecd-1</t>
  </si>
  <si>
    <t>E3 ubiquitin-protein ligase hecd-1</t>
  </si>
  <si>
    <t>&gt;tr|V6CLC2|V6CLC2_CAEEL Rap-GAP domain-containing protein OS=Caenorhabditis elegans OX=6239 GN=hgap-1 PE=1 SV=1</t>
  </si>
  <si>
    <t>V6CLC2</t>
  </si>
  <si>
    <t>hgap-1</t>
  </si>
  <si>
    <t>&gt;tr|V6CLI5|V6CLI5_CAEEL Long-chain-fatty-acid--CoA ligase OS=Caenorhabditis elegans OX=6239 GN=acs-13 PE=1 SV=1</t>
  </si>
  <si>
    <t>V6CLI5</t>
  </si>
  <si>
    <t>acs-13</t>
  </si>
  <si>
    <t>&gt;tr|V6CLL5|V6CLL5_CAEEL RNA-directed RNA polymerase OS=Caenorhabditis elegans OX=6239 GN=CELE_F41H10.3 PE=1 SV=1</t>
  </si>
  <si>
    <t>V6CLL5</t>
  </si>
  <si>
    <t>&gt;sp|V6CLP5|KETN1_CAEEL Kettin homolog OS=Caenorhabditis elegans OX=6239 GN=ketn-1 PE=1 SV=1</t>
  </si>
  <si>
    <t>V6CLP5</t>
  </si>
  <si>
    <t>ketn-1</t>
  </si>
  <si>
    <t>Kettin homolog</t>
  </si>
  <si>
    <t>&gt;tr|W6RQY2|W6RQY2_CAEEL Exportin-T OS=Caenorhabditis elegans OX=6239 GN=xpo-3 PE=1 SV=1</t>
  </si>
  <si>
    <t>W6RQY2</t>
  </si>
  <si>
    <t>xpo-3</t>
  </si>
  <si>
    <t>&gt;tr|W6RQY9|W6RQY9_CAEEL SOSS complex subunit A homolog OS=Caenorhabditis elegans OX=6239 GN=ints-3 PE=1 SV=1</t>
  </si>
  <si>
    <t>W6RQY9</t>
  </si>
  <si>
    <t>ints-3</t>
  </si>
  <si>
    <t>&gt;tr|W6RQZ3|W6RQZ3_CAEEL Nitrogen permease regulator 2 OS=Caenorhabditis elegans OX=6239 GN=nprl-2 PE=1 SV=2</t>
  </si>
  <si>
    <t>W6RQZ3</t>
  </si>
  <si>
    <t>nprl-2</t>
  </si>
  <si>
    <t>Nitrogen permease regulator 2</t>
  </si>
  <si>
    <t>&gt;sp|W6RTA4|CLA1_CAEEL Protein clarinet OS=Caenorhabditis elegans OX=6239 GN=cla-1 PE=1 SV=2</t>
  </si>
  <si>
    <t>W6RTA4</t>
  </si>
  <si>
    <t>cla-1</t>
  </si>
  <si>
    <t>Protein clarinet</t>
  </si>
  <si>
    <t>&gt;tr|W6RTE4|W6RTE4_CAEEL CCR4-NOT transcription complex subunit 4 OS=Caenorhabditis elegans OX=6239 GN=ntl-4 PE=1 SV=1</t>
  </si>
  <si>
    <t>W6RTE4</t>
  </si>
  <si>
    <t>ntl-4</t>
  </si>
  <si>
    <t>CCR4-NOT transcription complex subunit 4</t>
  </si>
  <si>
    <t>&gt;tr|W6RTG0|W6RTG0_CAEEL tRNA (32-2'-O)-methyltransferase regulator THADA OS=Caenorhabditis elegans OX=6239 GN=CELE_Y92H12A.5 PE=1 SV=1</t>
  </si>
  <si>
    <t>W6RTG0</t>
  </si>
  <si>
    <t>tRNA (32-2'-O)-methyltransferase regulator THADA</t>
  </si>
  <si>
    <t>&gt;tr|X5LX93|X5LX93_CAEEL Ig-like domain-containing protein OS=Caenorhabditis elegans OX=6239 GN=iglr-3 PE=4 SV=1</t>
  </si>
  <si>
    <t>X5LX93</t>
  </si>
  <si>
    <t>iglr-3</t>
  </si>
  <si>
    <t>&gt;sp|X5M5N0|WNK_CAEEL Serine/threonine-protein kinase WNK OS=Caenorhabditis elegans OX=6239 GN=wnk-1 PE=1 SV=1</t>
  </si>
  <si>
    <t>X5M5N0</t>
  </si>
  <si>
    <t>wnk-1</t>
  </si>
  <si>
    <t>Serine/threonine-protein kinase WNK</t>
  </si>
  <si>
    <t>&gt;tr|X5M5W2|X5M5W2_CAEEL Kinesin motor domain-containing protein OS=Caenorhabditis elegans OX=6239 GN=CELE_T28C6.7 PE=1 SV=1</t>
  </si>
  <si>
    <t>X5M5W2</t>
  </si>
  <si>
    <t>&gt;tr|X5M5Y4|X5M5Y4_CAEEL PEHE domain-containing protein OS=Caenorhabditis elegans OX=6239 GN=ekl-7 PE=1 SV=1</t>
  </si>
  <si>
    <t>X5M5Y4</t>
  </si>
  <si>
    <t>ekl-7</t>
  </si>
  <si>
    <t>PEHE domain-containing protein</t>
  </si>
  <si>
    <t>Y47G6A.18</t>
  </si>
  <si>
    <t>T04A11.2</t>
  </si>
  <si>
    <t>T28F4.5</t>
  </si>
  <si>
    <t>M01H9.3</t>
  </si>
  <si>
    <t>K02B12.7</t>
  </si>
  <si>
    <t>Y62E10A.13</t>
  </si>
  <si>
    <t>F25H8.2</t>
  </si>
  <si>
    <t>R102.2</t>
  </si>
  <si>
    <t>T02G5.7</t>
  </si>
  <si>
    <t>Y54G2A.40</t>
  </si>
  <si>
    <t>F53C11.5</t>
  </si>
  <si>
    <t>CTEL55X.1</t>
  </si>
  <si>
    <t>K05C4.7</t>
  </si>
  <si>
    <t>Y92H12BM.1</t>
  </si>
  <si>
    <t>F42A10.5</t>
  </si>
  <si>
    <t>ZC247.1</t>
  </si>
  <si>
    <t>Y55F3AM.9</t>
  </si>
  <si>
    <t>H35B03.1</t>
  </si>
  <si>
    <t>Y92H12BL.7</t>
  </si>
  <si>
    <t>Y71F9AL.9</t>
  </si>
  <si>
    <t>K07E3.4</t>
  </si>
  <si>
    <t>T04F3.1</t>
  </si>
  <si>
    <t>F36A2.3</t>
  </si>
  <si>
    <t>ZK822.1</t>
  </si>
  <si>
    <t>ZC412.5</t>
  </si>
  <si>
    <t>W05B5.1</t>
  </si>
  <si>
    <t>F10C1.9</t>
  </si>
  <si>
    <t>Y105E8A.25</t>
  </si>
  <si>
    <t>F22G12.5</t>
  </si>
  <si>
    <t>Y50D4B.1</t>
  </si>
  <si>
    <t>Y66D12A.16</t>
  </si>
  <si>
    <t>T08B1.1</t>
  </si>
  <si>
    <t>F37B4.10</t>
  </si>
  <si>
    <t>K08D9.4;Y73C8B.1</t>
  </si>
  <si>
    <t>Y56A3A.31</t>
  </si>
  <si>
    <t>Y55F3BR.6</t>
  </si>
  <si>
    <t>F43B10.1</t>
  </si>
  <si>
    <t>H05L14.2</t>
  </si>
  <si>
    <t>F42G2.2</t>
  </si>
  <si>
    <t>Y48E1B.17</t>
  </si>
  <si>
    <t>Y55F3C.17</t>
  </si>
  <si>
    <t>M142.5</t>
  </si>
  <si>
    <t>Y37E3.17</t>
  </si>
  <si>
    <t>Y59A8B.21</t>
  </si>
  <si>
    <t>F49E2.5</t>
  </si>
  <si>
    <t>K09F5.6</t>
  </si>
  <si>
    <t>H11E01.3</t>
  </si>
  <si>
    <t>F10G7.10</t>
  </si>
  <si>
    <t>W04B5.8</t>
  </si>
  <si>
    <t>Y39E4B.10</t>
  </si>
  <si>
    <t>Y52B11A.3</t>
  </si>
  <si>
    <t>Y51H7C.13</t>
  </si>
  <si>
    <t>T26A5.2</t>
  </si>
  <si>
    <t>W05F2.4</t>
  </si>
  <si>
    <t>Y32H12A.7</t>
  </si>
  <si>
    <t>Y39A3CL.4</t>
  </si>
  <si>
    <t>Y39B6A.3</t>
  </si>
  <si>
    <t>Y60A3A.19</t>
  </si>
  <si>
    <t>R13H4.2</t>
  </si>
  <si>
    <t>ZK228.4</t>
  </si>
  <si>
    <t>F49D11.10</t>
  </si>
  <si>
    <t>F10A3.17</t>
  </si>
  <si>
    <t>Y94H6A.7</t>
  </si>
  <si>
    <t>F23B12.4</t>
  </si>
  <si>
    <t>K09A9.6</t>
  </si>
  <si>
    <t>E01A2.1</t>
  </si>
  <si>
    <t>T02H6.1</t>
  </si>
  <si>
    <t>F27D4.6</t>
  </si>
  <si>
    <t>F41E6.5</t>
  </si>
  <si>
    <t>ZK858.6</t>
  </si>
  <si>
    <t>Y43F8B.1</t>
  </si>
  <si>
    <t>Y53C12A.10</t>
  </si>
  <si>
    <t>F40G9.5</t>
  </si>
  <si>
    <t>W02D9.2</t>
  </si>
  <si>
    <t>D1086.11</t>
  </si>
  <si>
    <t>H06I04.6</t>
  </si>
  <si>
    <t>ZK1058.9</t>
  </si>
  <si>
    <t>Y116A8C.10</t>
  </si>
  <si>
    <t>T27D12.1</t>
  </si>
  <si>
    <t>T12G3.2</t>
  </si>
  <si>
    <t>ZK355.2</t>
  </si>
  <si>
    <t>Y59E9AL.36</t>
  </si>
  <si>
    <t>Y49E10.21</t>
  </si>
  <si>
    <t>F53C11.4</t>
  </si>
  <si>
    <t>T26C11.4</t>
  </si>
  <si>
    <t>F55A11.6</t>
  </si>
  <si>
    <t>ZC434.9</t>
  </si>
  <si>
    <t>F38A1.8</t>
  </si>
  <si>
    <t>Y50D4A.1</t>
  </si>
  <si>
    <t>T10F2.5</t>
  </si>
  <si>
    <t>F17C11.12</t>
  </si>
  <si>
    <t>T25C12.3</t>
  </si>
  <si>
    <t>F44E5.4</t>
  </si>
  <si>
    <t>F22E12.1</t>
  </si>
  <si>
    <t>K12D12.5</t>
  </si>
  <si>
    <t>Y45F10B.13</t>
  </si>
  <si>
    <t>Y43C5B.3</t>
  </si>
  <si>
    <t>R05H10.3</t>
  </si>
  <si>
    <t>ZK1321.4</t>
  </si>
  <si>
    <t>Y32F6A.5</t>
  </si>
  <si>
    <t>T01D3.6</t>
  </si>
  <si>
    <t>VF13D12L.3</t>
  </si>
  <si>
    <t>F12F6.1</t>
  </si>
  <si>
    <t>F21D5.7</t>
  </si>
  <si>
    <t>T19A6.1</t>
  </si>
  <si>
    <t>T09F3.2</t>
  </si>
  <si>
    <t>Y39A1A.3</t>
  </si>
  <si>
    <t>F54E12.2</t>
  </si>
  <si>
    <t>F49C12.15</t>
  </si>
  <si>
    <t>ZK1010.2</t>
  </si>
  <si>
    <t>H03A11.2</t>
  </si>
  <si>
    <t>W09C5.1</t>
  </si>
  <si>
    <t>F18C12.3</t>
  </si>
  <si>
    <t>F45D11.15;F45D11.14</t>
  </si>
  <si>
    <t>T12D8.9</t>
  </si>
  <si>
    <t>ZK524.4</t>
  </si>
  <si>
    <t>T04A11.1</t>
  </si>
  <si>
    <t>T24B8.7</t>
  </si>
  <si>
    <t>DY3.8</t>
  </si>
  <si>
    <t>F40E10.6</t>
  </si>
  <si>
    <t>F46C5.6</t>
  </si>
  <si>
    <t>T28D6.6</t>
  </si>
  <si>
    <t>Y48C3A.14</t>
  </si>
  <si>
    <t>M03C11.3</t>
  </si>
  <si>
    <t>Y38E10A.22</t>
  </si>
  <si>
    <t>F56C9.6</t>
  </si>
  <si>
    <t>F57C9.4</t>
  </si>
  <si>
    <t>F26G5.1</t>
  </si>
  <si>
    <t>F26F12.3</t>
  </si>
  <si>
    <t>F25E5.8</t>
  </si>
  <si>
    <t>Y110A7A.15</t>
  </si>
  <si>
    <t>F38A5.2</t>
  </si>
  <si>
    <t>R148.5</t>
  </si>
  <si>
    <t>M01B12.4</t>
  </si>
  <si>
    <t>R07E4.1</t>
  </si>
  <si>
    <t>F19F10.11</t>
  </si>
  <si>
    <t>Y37E11AL.3</t>
  </si>
  <si>
    <t>E02H9.3</t>
  </si>
  <si>
    <t>Y54F10AL.1</t>
  </si>
  <si>
    <t>F11D5.1</t>
  </si>
  <si>
    <t>T23E7.2</t>
  </si>
  <si>
    <t>F23H11.4</t>
  </si>
  <si>
    <t>T04C9.1</t>
  </si>
  <si>
    <t>F49E8.7</t>
  </si>
  <si>
    <t>T22F3.2</t>
  </si>
  <si>
    <t>F46H5.7</t>
  </si>
  <si>
    <t>F53A10.2</t>
  </si>
  <si>
    <t>Y14H12B.1</t>
  </si>
  <si>
    <t>F56B3.4</t>
  </si>
  <si>
    <t>H14E04.2</t>
  </si>
  <si>
    <t>H05C05.1</t>
  </si>
  <si>
    <t>ZK180.5</t>
  </si>
  <si>
    <t>Y67D8A.2</t>
  </si>
  <si>
    <t>ZC328.3</t>
  </si>
  <si>
    <t>Y119D3B.12</t>
  </si>
  <si>
    <t>F19B6.1</t>
  </si>
  <si>
    <t>F46B6.5</t>
  </si>
  <si>
    <t>F28C6.8</t>
  </si>
  <si>
    <t>F01G4.4</t>
  </si>
  <si>
    <t>Y52E8A.6;F31D5.2</t>
  </si>
  <si>
    <t>F13B12.6</t>
  </si>
  <si>
    <t>F13E9.11</t>
  </si>
  <si>
    <t>W07E11.1</t>
  </si>
  <si>
    <t>Y69H2.7</t>
  </si>
  <si>
    <t>F14D7.6</t>
  </si>
  <si>
    <t>F55F10.1</t>
  </si>
  <si>
    <t>M04C3.1</t>
  </si>
  <si>
    <t>T20D3.5</t>
  </si>
  <si>
    <t>T20D3.6</t>
  </si>
  <si>
    <t>F18A11.2</t>
  </si>
  <si>
    <t>F55A12.5</t>
  </si>
  <si>
    <t>W02D3.4</t>
  </si>
  <si>
    <t>T05E7.3</t>
  </si>
  <si>
    <t>R08F11.4</t>
  </si>
  <si>
    <t>F59E12.9</t>
  </si>
  <si>
    <t>F59E12.1</t>
  </si>
  <si>
    <t>F19B10.10</t>
  </si>
  <si>
    <t>T09B4.5</t>
  </si>
  <si>
    <t>T09B4.8</t>
  </si>
  <si>
    <t>T20F7.1</t>
  </si>
  <si>
    <t>F44E7.4</t>
  </si>
  <si>
    <t>F44E7.9</t>
  </si>
  <si>
    <t>F39G3.3</t>
  </si>
  <si>
    <t>T05H4.3</t>
  </si>
  <si>
    <t>T07D3.9</t>
  </si>
  <si>
    <t>F10D2.10</t>
  </si>
  <si>
    <t>F25G6.9</t>
  </si>
  <si>
    <t>F23F1.5</t>
  </si>
  <si>
    <t>K10B4.1</t>
  </si>
  <si>
    <t>D2023.6</t>
  </si>
  <si>
    <t>K10C3.5</t>
  </si>
  <si>
    <t>Y53C12A.3</t>
  </si>
  <si>
    <t>Y53C12B.1</t>
  </si>
  <si>
    <t>Y57G11C.14</t>
  </si>
  <si>
    <t>Y57G11C.31</t>
  </si>
  <si>
    <t>ZK909.3</t>
  </si>
  <si>
    <t>T04D3.1</t>
  </si>
  <si>
    <t>C02B10.6;F36H12.10</t>
  </si>
  <si>
    <t>R02D3.7</t>
  </si>
  <si>
    <t>F57B10.8</t>
  </si>
  <si>
    <t>T04B8.5</t>
  </si>
  <si>
    <t>ZK484.3</t>
  </si>
  <si>
    <t>W03D8.9;T16A9.5;Y69E1A.1;Y37D8A.5</t>
  </si>
  <si>
    <t>W10C8.5</t>
  </si>
  <si>
    <t>F53H1.3</t>
  </si>
  <si>
    <t>F53H1.4</t>
  </si>
  <si>
    <t>F17B5.1</t>
  </si>
  <si>
    <t>F21H7.5</t>
  </si>
  <si>
    <t>F22B8.7</t>
  </si>
  <si>
    <t>F22G12.4</t>
  </si>
  <si>
    <t>F32B6.4</t>
  </si>
  <si>
    <t>F36D3.4</t>
  </si>
  <si>
    <t>F39B2.3</t>
  </si>
  <si>
    <t>H40L08.1</t>
  </si>
  <si>
    <t>K10G4.5</t>
  </si>
  <si>
    <t>M01E5.2</t>
  </si>
  <si>
    <t>R74.8</t>
  </si>
  <si>
    <t>T06E6.1</t>
  </si>
  <si>
    <t>Y43F4B.5</t>
  </si>
  <si>
    <t>Y48E1B.8</t>
  </si>
  <si>
    <t>ZK1053.4</t>
  </si>
  <si>
    <t>F37C4.6</t>
  </si>
  <si>
    <t>F39C12.1</t>
  </si>
  <si>
    <t>H17B01.2;Y51H7C.1</t>
  </si>
  <si>
    <t>F17E9.4</t>
  </si>
  <si>
    <t>R119.3</t>
  </si>
  <si>
    <t>W02G9.3</t>
  </si>
  <si>
    <t>F32A11.1</t>
  </si>
  <si>
    <t>F33A8.4</t>
  </si>
  <si>
    <t>F33H2.6</t>
  </si>
  <si>
    <t>F33H2.2</t>
  </si>
  <si>
    <t>F33H2.8</t>
  </si>
  <si>
    <t>F52G2.3</t>
  </si>
  <si>
    <t>F53F8.5</t>
  </si>
  <si>
    <t>F54B3.1</t>
  </si>
  <si>
    <t>M01G12.9</t>
  </si>
  <si>
    <t>R05H10.1</t>
  </si>
  <si>
    <t>R11H6.5</t>
  </si>
  <si>
    <t>W01D2.1;rpl-37</t>
  </si>
  <si>
    <t>Y45F10D.7</t>
  </si>
  <si>
    <t>T10B5.3</t>
  </si>
  <si>
    <t>F13C5.2</t>
  </si>
  <si>
    <t>H41C03.1</t>
  </si>
  <si>
    <t>F25E5.5</t>
  </si>
  <si>
    <t>F25E5.1</t>
  </si>
  <si>
    <t>M01G5.1</t>
  </si>
  <si>
    <t>D2030.2</t>
  </si>
  <si>
    <t>D2030.3</t>
  </si>
  <si>
    <t>D2030.8</t>
  </si>
  <si>
    <t>F36A2.7</t>
  </si>
  <si>
    <t>F49C12.9</t>
  </si>
  <si>
    <t>K07A12.1</t>
  </si>
  <si>
    <t>M04C9.3</t>
  </si>
  <si>
    <t>D2092.4</t>
  </si>
  <si>
    <t>F25B4.7</t>
  </si>
  <si>
    <t>F27C1.6</t>
  </si>
  <si>
    <t>F53E10.1</t>
  </si>
  <si>
    <t>F55F8.2</t>
  </si>
  <si>
    <t>F59A3.12</t>
  </si>
  <si>
    <t>K11H12.8</t>
  </si>
  <si>
    <t>M01E11.1</t>
  </si>
  <si>
    <t>T20F5.6</t>
  </si>
  <si>
    <t>T20F5.7</t>
  </si>
  <si>
    <t>T23B3.1</t>
  </si>
  <si>
    <t>T23H2.3</t>
  </si>
  <si>
    <t>ZC204.12</t>
  </si>
  <si>
    <t>F32H5.4</t>
  </si>
  <si>
    <t>F53F1.2</t>
  </si>
  <si>
    <t>T10G3.3</t>
  </si>
  <si>
    <t>M106.2</t>
  </si>
  <si>
    <t>ZK1320.9</t>
  </si>
  <si>
    <t>K07A1.17</t>
  </si>
  <si>
    <t>F40F8.11</t>
  </si>
  <si>
    <t>M106.3</t>
  </si>
  <si>
    <t>Y49A10A.2</t>
  </si>
  <si>
    <t>T10F2.2</t>
  </si>
  <si>
    <t>C33F10.12;T05F1.8</t>
  </si>
  <si>
    <t>D1014.4</t>
  </si>
  <si>
    <t>D1054.10</t>
  </si>
  <si>
    <t>D1054.8</t>
  </si>
  <si>
    <t>DH11.2</t>
  </si>
  <si>
    <t>F01F1.11</t>
  </si>
  <si>
    <t>F02E8.4</t>
  </si>
  <si>
    <t>F07A11.4</t>
  </si>
  <si>
    <t>F08G12.1</t>
  </si>
  <si>
    <t>F09E5.7</t>
  </si>
  <si>
    <t>F09E5.11</t>
  </si>
  <si>
    <t>F10E7.5</t>
  </si>
  <si>
    <t>F13D12.5</t>
  </si>
  <si>
    <t>F13G3.7</t>
  </si>
  <si>
    <t>F13H8.5</t>
  </si>
  <si>
    <t>F13H8.2</t>
  </si>
  <si>
    <t>F17C11.6</t>
  </si>
  <si>
    <t>F20D6.6</t>
  </si>
  <si>
    <t>F21C10.9</t>
  </si>
  <si>
    <t>F21C10.7</t>
  </si>
  <si>
    <t>F21D5.1</t>
  </si>
  <si>
    <t>F26F4.5</t>
  </si>
  <si>
    <t>F26F4.2</t>
  </si>
  <si>
    <t>F26G1.1</t>
  </si>
  <si>
    <t>F31F6.1</t>
  </si>
  <si>
    <t>F32D8.4</t>
  </si>
  <si>
    <t>F33G12.3</t>
  </si>
  <si>
    <t>F33H1.4</t>
  </si>
  <si>
    <t>F34D10.4</t>
  </si>
  <si>
    <t>F10G7.5</t>
  </si>
  <si>
    <t>D2021.4</t>
  </si>
  <si>
    <t>F35D11.4</t>
  </si>
  <si>
    <t>F35G12.12</t>
  </si>
  <si>
    <t>F38B6.4</t>
  </si>
  <si>
    <t>F40F4.7</t>
  </si>
  <si>
    <t>F42C5.9</t>
  </si>
  <si>
    <t>F42F12.3</t>
  </si>
  <si>
    <t>F43H9.3</t>
  </si>
  <si>
    <t>F46B6.4</t>
  </si>
  <si>
    <t>F49C12.6</t>
  </si>
  <si>
    <t>F52B5.2</t>
  </si>
  <si>
    <t>F52B5.3</t>
  </si>
  <si>
    <t>F53B3.6</t>
  </si>
  <si>
    <t>F53F4.11</t>
  </si>
  <si>
    <t>F53F4.12</t>
  </si>
  <si>
    <t>F53H8.3</t>
  </si>
  <si>
    <t>F54C9.9</t>
  </si>
  <si>
    <t>F55D12.1</t>
  </si>
  <si>
    <t>F56D2.2</t>
  </si>
  <si>
    <t>F56D3.1</t>
  </si>
  <si>
    <t>F58B3.6</t>
  </si>
  <si>
    <t>F58B3.4</t>
  </si>
  <si>
    <t>F58B4.5</t>
  </si>
  <si>
    <t>F58F9.4</t>
  </si>
  <si>
    <t>F58F9.3</t>
  </si>
  <si>
    <t>K01H12.4</t>
  </si>
  <si>
    <t>K03B4.1</t>
  </si>
  <si>
    <t>K03B8.6</t>
  </si>
  <si>
    <t>K04C2.2</t>
  </si>
  <si>
    <t>K04G7.1</t>
  </si>
  <si>
    <t>K07C5.3</t>
  </si>
  <si>
    <t>K07E3.2</t>
  </si>
  <si>
    <t>K07E3.1</t>
  </si>
  <si>
    <t>K08C7.1</t>
  </si>
  <si>
    <t>K08F4.3</t>
  </si>
  <si>
    <t>K09C4.5</t>
  </si>
  <si>
    <t>M01F1.4</t>
  </si>
  <si>
    <t>M04B2.4</t>
  </si>
  <si>
    <t>M176.4</t>
  </si>
  <si>
    <t>M18.3</t>
  </si>
  <si>
    <t>R02F2.7</t>
  </si>
  <si>
    <t>R05F9.6</t>
  </si>
  <si>
    <t>R05H5.3</t>
  </si>
  <si>
    <t>R07B7.10</t>
  </si>
  <si>
    <t>R07E4.5</t>
  </si>
  <si>
    <t>R09E10.6</t>
  </si>
  <si>
    <t>R10E4.1</t>
  </si>
  <si>
    <t>R10E4.9</t>
  </si>
  <si>
    <t>R10E9.2</t>
  </si>
  <si>
    <t>R166.2</t>
  </si>
  <si>
    <t>R186.3</t>
  </si>
  <si>
    <t>R31.2</t>
  </si>
  <si>
    <t>T01B7.5</t>
  </si>
  <si>
    <t>T01H3.2</t>
  </si>
  <si>
    <t>T01H3.3</t>
  </si>
  <si>
    <t>T04A8.7</t>
  </si>
  <si>
    <t>T04A8.8</t>
  </si>
  <si>
    <t>T04F3.3</t>
  </si>
  <si>
    <t>T04G9.4</t>
  </si>
  <si>
    <t>T05B9.1</t>
  </si>
  <si>
    <t>T05H10.1</t>
  </si>
  <si>
    <t>T06D8.9</t>
  </si>
  <si>
    <t>T14B4.1</t>
  </si>
  <si>
    <t>T16G12.6</t>
  </si>
  <si>
    <t>T19C4.1</t>
  </si>
  <si>
    <t>T21B10.3</t>
  </si>
  <si>
    <t>T21B6.3</t>
  </si>
  <si>
    <t>T21C9.6</t>
  </si>
  <si>
    <t>T22C1.1</t>
  </si>
  <si>
    <t>T23F11.2</t>
  </si>
  <si>
    <t>T23G7.3</t>
  </si>
  <si>
    <t>T24C12.3</t>
  </si>
  <si>
    <t>T24G10.2</t>
  </si>
  <si>
    <t>T25B9.4</t>
  </si>
  <si>
    <t>T25B9.1</t>
  </si>
  <si>
    <t>T25G3.3</t>
  </si>
  <si>
    <t>T26A8.4</t>
  </si>
  <si>
    <t>T26C5.3</t>
  </si>
  <si>
    <t>F08F3.4</t>
  </si>
  <si>
    <t>F45F2.10</t>
  </si>
  <si>
    <t>R09F10.1</t>
  </si>
  <si>
    <t>T22B7.7</t>
  </si>
  <si>
    <t>ZK742.3</t>
  </si>
  <si>
    <t>ZK742.4</t>
  </si>
  <si>
    <t>W03C9.2</t>
  </si>
  <si>
    <t>W04D2.4</t>
  </si>
  <si>
    <t>W04G3.5</t>
  </si>
  <si>
    <t>W05H9.2</t>
  </si>
  <si>
    <t>W06B4.1</t>
  </si>
  <si>
    <t>ZC373.2</t>
  </si>
  <si>
    <t>ZK1248.5</t>
  </si>
  <si>
    <t>ZK287.7</t>
  </si>
  <si>
    <t>ZK418.5</t>
  </si>
  <si>
    <t>ZK546.2</t>
  </si>
  <si>
    <t>ZK792.5</t>
  </si>
  <si>
    <t>ZK813.3</t>
  </si>
  <si>
    <t>ZK813.1</t>
  </si>
  <si>
    <t>ZK829.7</t>
  </si>
  <si>
    <t>ZK84.1</t>
  </si>
  <si>
    <t>ZK899.2</t>
  </si>
  <si>
    <t>Y71H2AM.3</t>
  </si>
  <si>
    <t>Y51H4A.15</t>
  </si>
  <si>
    <t>K11G12.6</t>
  </si>
  <si>
    <t>H20J04.4</t>
  </si>
  <si>
    <t>F14B8.5</t>
  </si>
  <si>
    <t>Y82E9BR.19</t>
  </si>
  <si>
    <t>Y87G2A.19</t>
  </si>
  <si>
    <t>Y47G6A.15</t>
  </si>
  <si>
    <t>Y94H6A.5</t>
  </si>
  <si>
    <t>D1069.3</t>
  </si>
  <si>
    <t>T28B4.1</t>
  </si>
  <si>
    <t>R151.2</t>
  </si>
  <si>
    <t>F27C1.2</t>
  </si>
  <si>
    <t>T24H7.9</t>
  </si>
  <si>
    <t>T09F3.5</t>
  </si>
  <si>
    <t>Y26E6A.3</t>
  </si>
  <si>
    <t>Y48G9A.9</t>
  </si>
  <si>
    <t>Y67H2A.10</t>
  </si>
  <si>
    <t>D2096.12</t>
  </si>
  <si>
    <t>Y48E1C.4</t>
  </si>
  <si>
    <t>T03F7.7</t>
  </si>
  <si>
    <t>F32D8.12</t>
  </si>
  <si>
    <t>F30F8.9</t>
  </si>
  <si>
    <t>R148.3</t>
  </si>
  <si>
    <t>F28F5.6</t>
  </si>
  <si>
    <t>ZK354.2</t>
  </si>
  <si>
    <t>F54D8.6</t>
  </si>
  <si>
    <t>F56F11.4</t>
  </si>
  <si>
    <t>Y61A9LA.3</t>
  </si>
  <si>
    <t>Y47G6A.22</t>
  </si>
  <si>
    <t>Y39B6A.27</t>
  </si>
  <si>
    <t>R04F11.5</t>
  </si>
  <si>
    <t>D2005.4</t>
  </si>
  <si>
    <t>D2005.6</t>
  </si>
  <si>
    <t>F16B12.6</t>
  </si>
  <si>
    <t>F25H2.4</t>
  </si>
  <si>
    <t>F25H2.6</t>
  </si>
  <si>
    <t>F30A10.9</t>
  </si>
  <si>
    <t>F30F8.1</t>
  </si>
  <si>
    <t>F43G9.4</t>
  </si>
  <si>
    <t>F59F4.3</t>
  </si>
  <si>
    <t>T08G11.1</t>
  </si>
  <si>
    <t>T13F2.6</t>
  </si>
  <si>
    <t>F16F9.4</t>
  </si>
  <si>
    <t>M02B7.2</t>
  </si>
  <si>
    <t>ZK154.5</t>
  </si>
  <si>
    <t>Y66D12A.24</t>
  </si>
  <si>
    <t>Y66D12A.19</t>
  </si>
  <si>
    <t>Y66D12A.8</t>
  </si>
  <si>
    <t>T13H5.8</t>
  </si>
  <si>
    <t>R144.11</t>
  </si>
  <si>
    <t>F58G6.7</t>
  </si>
  <si>
    <t>F54E7.9</t>
  </si>
  <si>
    <t>F28B3.10</t>
  </si>
  <si>
    <t>Y38A10A.7</t>
  </si>
  <si>
    <t>Y71H10B.1</t>
  </si>
  <si>
    <t>Y73B6BL.31</t>
  </si>
  <si>
    <t>Y69A2AR.1</t>
  </si>
  <si>
    <t>Y69A2AR.16</t>
  </si>
  <si>
    <t>Y69A2AR.18</t>
  </si>
  <si>
    <t>Y54F10BM.13</t>
  </si>
  <si>
    <t>Y71G12B.25</t>
  </si>
  <si>
    <t>Y71G12B.10</t>
  </si>
  <si>
    <t>Y39G10AR.9</t>
  </si>
  <si>
    <t>Y108G3AL.2</t>
  </si>
  <si>
    <t>Y10G11A.1</t>
  </si>
  <si>
    <t>R05D11.9</t>
  </si>
  <si>
    <t>F56A8.3</t>
  </si>
  <si>
    <t>F43H9.4</t>
  </si>
  <si>
    <t>F08F8.9</t>
  </si>
  <si>
    <t>T25D3.4</t>
  </si>
  <si>
    <t>M116.5</t>
  </si>
  <si>
    <t>Y46E12BL.2</t>
  </si>
  <si>
    <t>Y22D7AL.10</t>
  </si>
  <si>
    <t>Y22D7AL.9</t>
  </si>
  <si>
    <t>Y50D4C.3</t>
  </si>
  <si>
    <t>Y39A3CL.7</t>
  </si>
  <si>
    <t>K08D12.3</t>
  </si>
  <si>
    <t>F41B4.1</t>
  </si>
  <si>
    <t>Y111B2A.1</t>
  </si>
  <si>
    <t>Y82E9BR.18</t>
  </si>
  <si>
    <t>Y82E9BR.16</t>
  </si>
  <si>
    <t>Y37E3.8</t>
  </si>
  <si>
    <t>Y92H12BL.4</t>
  </si>
  <si>
    <t>Y54F10AM.11</t>
  </si>
  <si>
    <t>Y48G8AL.13</t>
  </si>
  <si>
    <t>Y71H2AM.20</t>
  </si>
  <si>
    <t>Y65B4A.8</t>
  </si>
  <si>
    <t>Y54H5A.2</t>
  </si>
  <si>
    <t>Y18H1A.4</t>
  </si>
  <si>
    <t>Y92H12BR.2</t>
  </si>
  <si>
    <t>F29B9.8</t>
  </si>
  <si>
    <t>T05A12.3</t>
  </si>
  <si>
    <t>R04E5.8</t>
  </si>
  <si>
    <t>F52G3.1</t>
  </si>
  <si>
    <t>Y9C9A.8</t>
  </si>
  <si>
    <t>Y74C10AL.2</t>
  </si>
  <si>
    <t>Y61A9LA.10</t>
  </si>
  <si>
    <t>Y61A9LA.1</t>
  </si>
  <si>
    <t>Y55F3BR.1</t>
  </si>
  <si>
    <t>Y55F3AM.13</t>
  </si>
  <si>
    <t>Y54F10AR.2</t>
  </si>
  <si>
    <t>Y54E10BR.4</t>
  </si>
  <si>
    <t>Y54E10A.6</t>
  </si>
  <si>
    <t>Y53G8AR.9</t>
  </si>
  <si>
    <t>Y53G8AR.8</t>
  </si>
  <si>
    <t>Y50D7A.3</t>
  </si>
  <si>
    <t>Y48G1A.1</t>
  </si>
  <si>
    <t>Y47G6A.5</t>
  </si>
  <si>
    <t>Y43B11AR.3</t>
  </si>
  <si>
    <t>Y39A3CL.1</t>
  </si>
  <si>
    <t>Y38C1AA.7</t>
  </si>
  <si>
    <t>Y34D9A.7</t>
  </si>
  <si>
    <t>Y73C8B.3</t>
  </si>
  <si>
    <t>Y71H2B.5</t>
  </si>
  <si>
    <t>Y71F9B.1</t>
  </si>
  <si>
    <t>F54A3.2</t>
  </si>
  <si>
    <t>ZK973.1</t>
  </si>
  <si>
    <t>ZK121.2</t>
  </si>
  <si>
    <t>Y53G8B.2</t>
  </si>
  <si>
    <t>Y47D9A.1</t>
  </si>
  <si>
    <t>Y32H12A.8</t>
  </si>
  <si>
    <t>Y17G9B.5</t>
  </si>
  <si>
    <t>Y104H12D.2</t>
  </si>
  <si>
    <t>W08E12.7</t>
  </si>
  <si>
    <t>H20J04.6</t>
  </si>
  <si>
    <t>H06I04.3</t>
  </si>
  <si>
    <t>Y57A10A.13</t>
  </si>
  <si>
    <t>Y57A10A.31</t>
  </si>
  <si>
    <t>Y57A10A.5</t>
  </si>
  <si>
    <t>Y53F4B.21</t>
  </si>
  <si>
    <t>Y53F4B.18</t>
  </si>
  <si>
    <t>Y53F4B.9</t>
  </si>
  <si>
    <t>Y39G8B.1</t>
  </si>
  <si>
    <t>K09E4.4</t>
  </si>
  <si>
    <t>Y111B2A.3</t>
  </si>
  <si>
    <t>Y39B6A.1</t>
  </si>
  <si>
    <t>Y39B6A.10</t>
  </si>
  <si>
    <t>Y105E8A.21</t>
  </si>
  <si>
    <t>F23C8.5</t>
  </si>
  <si>
    <t>F52D2.7</t>
  </si>
  <si>
    <t>F56B3.11</t>
  </si>
  <si>
    <t>Y14H12B.2</t>
  </si>
  <si>
    <t>H04M03.3</t>
  </si>
  <si>
    <t>W05F2.6</t>
  </si>
  <si>
    <t>M57.2</t>
  </si>
  <si>
    <t>K01A2.5</t>
  </si>
  <si>
    <t>T10B11.6</t>
  </si>
  <si>
    <t>Y87G2A.13</t>
  </si>
  <si>
    <t>Y87G2A.2</t>
  </si>
  <si>
    <t>Y87G2A.1</t>
  </si>
  <si>
    <t>Y79H2A.3</t>
  </si>
  <si>
    <t>Y6D1A.1</t>
  </si>
  <si>
    <t>Y6B3B.9</t>
  </si>
  <si>
    <t>Y57A10A.27</t>
  </si>
  <si>
    <t>Y52B11A.10</t>
  </si>
  <si>
    <t>Y48G10A.3</t>
  </si>
  <si>
    <t>Y48C3A.20</t>
  </si>
  <si>
    <t>Y48B6A.13</t>
  </si>
  <si>
    <t>Y47H9C.8</t>
  </si>
  <si>
    <t>Y46G5A.22</t>
  </si>
  <si>
    <t>Y46G5A.18</t>
  </si>
  <si>
    <t>Y41C4A.9</t>
  </si>
  <si>
    <t>Y39E4B.5</t>
  </si>
  <si>
    <t>Y37H9A.1</t>
  </si>
  <si>
    <t>Y37H2A.1</t>
  </si>
  <si>
    <t>Y24F12A.1</t>
  </si>
  <si>
    <t>Y15E3A.4</t>
  </si>
  <si>
    <t>Y116A8C.27</t>
  </si>
  <si>
    <t>W03H9.1</t>
  </si>
  <si>
    <t>T16G1.9</t>
  </si>
  <si>
    <t>F28H6.4</t>
  </si>
  <si>
    <t>F11A10.6</t>
  </si>
  <si>
    <t>W04B5.5</t>
  </si>
  <si>
    <t>DC2.5</t>
  </si>
  <si>
    <t>T12B3.2</t>
  </si>
  <si>
    <t>F47G4.4</t>
  </si>
  <si>
    <t>Y49E10.4</t>
  </si>
  <si>
    <t>T28A8.4</t>
  </si>
  <si>
    <t>F44E5.1</t>
  </si>
  <si>
    <t>T16G1.6</t>
  </si>
  <si>
    <t>T05F1.11</t>
  </si>
  <si>
    <t>T05F1.2</t>
  </si>
  <si>
    <t>K05C4.5</t>
  </si>
  <si>
    <t>F56G4.6</t>
  </si>
  <si>
    <t>F53B6.4</t>
  </si>
  <si>
    <t>F36A2.2</t>
  </si>
  <si>
    <t>F36A2.10</t>
  </si>
  <si>
    <t>R03G8.6</t>
  </si>
  <si>
    <t>F54D5.15</t>
  </si>
  <si>
    <t>Y7A5A.2</t>
  </si>
  <si>
    <t>Y7A5A.1</t>
  </si>
  <si>
    <t>Y54G11A.3</t>
  </si>
  <si>
    <t>Y54G11A.7</t>
  </si>
  <si>
    <t>Y75B8A.7</t>
  </si>
  <si>
    <t>Y75B8A.25</t>
  </si>
  <si>
    <t>Y75B8A.24</t>
  </si>
  <si>
    <t>Y76A2B.5</t>
  </si>
  <si>
    <t>Y54E2A.4</t>
  </si>
  <si>
    <t>Y54E2A.7</t>
  </si>
  <si>
    <t>Y54E5A.5</t>
  </si>
  <si>
    <t>Y48A6C.4</t>
  </si>
  <si>
    <t>Y5F2A.4</t>
  </si>
  <si>
    <t>Y38F1A.1</t>
  </si>
  <si>
    <t>Y11D7A.3</t>
  </si>
  <si>
    <t>Y62H9A.5</t>
  </si>
  <si>
    <t>Y62H9A.3</t>
  </si>
  <si>
    <t>Y39A1A.22</t>
  </si>
  <si>
    <t>Y39A1A.20</t>
  </si>
  <si>
    <t>Y32B12B.2</t>
  </si>
  <si>
    <t>Y17G7B.17</t>
  </si>
  <si>
    <t>Y17G7B.12</t>
  </si>
  <si>
    <t>ZK1025.3</t>
  </si>
  <si>
    <t>Y51A2D.18</t>
  </si>
  <si>
    <t>Y37E11AM.3</t>
  </si>
  <si>
    <t>Y76B12C.6</t>
  </si>
  <si>
    <t>F56A11.5</t>
  </si>
  <si>
    <t>Y41D4A.6</t>
  </si>
  <si>
    <t>Y77E11A.7</t>
  </si>
  <si>
    <t>Y41D4A.4</t>
  </si>
  <si>
    <t>H35B03.2</t>
  </si>
  <si>
    <t>Y48G1C.8</t>
  </si>
  <si>
    <t>F41H10.3</t>
  </si>
  <si>
    <t>Y92H12A.5</t>
  </si>
  <si>
    <t>T28C6.7</t>
  </si>
  <si>
    <t>log2 FC</t>
  </si>
  <si>
    <t>98 &gt;2-fold up AND p≤0.05</t>
  </si>
  <si>
    <t>6 &gt;2-fold down AND p≤0.05</t>
  </si>
  <si>
    <t>N2 Avg</t>
  </si>
  <si>
    <t>NEKL-2 Avg</t>
  </si>
  <si>
    <t>NEKL-2_1</t>
  </si>
  <si>
    <t>NEKL2_2</t>
  </si>
  <si>
    <t>NEKL2_3</t>
  </si>
  <si>
    <t>% Detected in NEKL-2 only</t>
  </si>
  <si>
    <t>56 3/3 NEKL-2 and 0/3 N2</t>
  </si>
  <si>
    <t>8 0/3 NEKL-2 and 3/3 N2</t>
  </si>
  <si>
    <t>Fold Change</t>
  </si>
  <si>
    <t>NEKL-2_2</t>
  </si>
  <si>
    <t>NEKL-2_3</t>
  </si>
  <si>
    <t>Comments</t>
  </si>
  <si>
    <t>FC</t>
  </si>
  <si>
    <t>tth-1</t>
  </si>
  <si>
    <t>B0280.9</t>
  </si>
  <si>
    <t>Y53G8AR.6</t>
  </si>
  <si>
    <t>F17C11.11</t>
  </si>
  <si>
    <t>inx-5</t>
  </si>
  <si>
    <t>skr-3</t>
  </si>
  <si>
    <t>skr-16</t>
  </si>
  <si>
    <t>ZK550.6</t>
  </si>
  <si>
    <t>F57B9.1</t>
  </si>
  <si>
    <t>pwp-1</t>
  </si>
  <si>
    <t>argk-1</t>
  </si>
  <si>
    <t>tcer-1</t>
  </si>
  <si>
    <t>C05D11.8</t>
  </si>
  <si>
    <t>C37A2.7</t>
  </si>
  <si>
    <t>C36A4.4</t>
  </si>
  <si>
    <t>M05D6.2</t>
  </si>
  <si>
    <t>unc-33</t>
  </si>
  <si>
    <t>maoc-1</t>
  </si>
  <si>
    <t>F56C9.10</t>
  </si>
  <si>
    <t>taap-1</t>
  </si>
  <si>
    <t>Y82E9BR.14</t>
  </si>
  <si>
    <t>tfg-1</t>
  </si>
  <si>
    <t>F17A9.5</t>
  </si>
  <si>
    <t>vps-28</t>
  </si>
  <si>
    <t>dnc-1</t>
  </si>
  <si>
    <t>Y50D4A.4</t>
  </si>
  <si>
    <t>npp-21</t>
  </si>
  <si>
    <t>cpf-2</t>
  </si>
  <si>
    <t>tomm-20</t>
  </si>
  <si>
    <t>dcs-1</t>
  </si>
  <si>
    <t>Y45G5AM.3</t>
  </si>
  <si>
    <t>vha-8</t>
  </si>
  <si>
    <t>epn-1</t>
  </si>
  <si>
    <t>sld-5</t>
  </si>
  <si>
    <t>fbxa-65</t>
  </si>
  <si>
    <t>ubc-19</t>
  </si>
  <si>
    <t>ubxn-2</t>
  </si>
  <si>
    <t>eea-1</t>
  </si>
  <si>
    <t>rhi-1</t>
  </si>
  <si>
    <t>syx-18</t>
  </si>
  <si>
    <t>Y48G10A.1</t>
  </si>
  <si>
    <t>dhs-3</t>
  </si>
  <si>
    <t>map-2</t>
  </si>
  <si>
    <t>dnj-19</t>
  </si>
  <si>
    <t>ND</t>
  </si>
  <si>
    <t>C30F12.5</t>
  </si>
  <si>
    <t>R08E3.3</t>
  </si>
  <si>
    <t>ZK632.4</t>
  </si>
  <si>
    <t>C44H4.4</t>
  </si>
  <si>
    <t>haao-1</t>
  </si>
  <si>
    <t>lbp-7</t>
  </si>
  <si>
    <t>ddl-2</t>
  </si>
  <si>
    <t>cbl-1</t>
  </si>
  <si>
    <t>C44B7.7</t>
  </si>
  <si>
    <t>K09G1.1</t>
  </si>
  <si>
    <t>ZC196.2</t>
  </si>
  <si>
    <t>Y56A3A.7</t>
  </si>
  <si>
    <t>Y94H6A.10</t>
  </si>
  <si>
    <t>yop-1</t>
  </si>
  <si>
    <t>NEK3_TURB_1</t>
  </si>
  <si>
    <t>NEK3_TURB_2</t>
  </si>
  <si>
    <t>NEK3_TURB_3</t>
  </si>
  <si>
    <t>278 &gt;2-fold up AND p≤0.05</t>
  </si>
  <si>
    <t>147 &gt;2-fold down AND p≤0.05</t>
  </si>
  <si>
    <t>NEKL-3_1</t>
  </si>
  <si>
    <t>NEKL-3_2</t>
  </si>
  <si>
    <t>NEKL-3_3</t>
  </si>
  <si>
    <t>NEKL-3 Avg</t>
  </si>
  <si>
    <t>16 3/3 NEKL-3 and 0/3 N2</t>
  </si>
  <si>
    <t>% Detected in NEKL-3 only</t>
  </si>
  <si>
    <t>181 0/3 NEKL-3 and 3/3 N2</t>
  </si>
  <si>
    <t>MLT3_TURB_1</t>
  </si>
  <si>
    <t>MLT3_TURB_2</t>
  </si>
  <si>
    <t>MLT3_TURB_3</t>
  </si>
  <si>
    <t>151 &gt;2-fold up AND p≤0.05</t>
  </si>
  <si>
    <t>48 &gt;2-fold down AND p≤0.05</t>
  </si>
  <si>
    <t>MLT-3_1</t>
  </si>
  <si>
    <t>MLT-3_2</t>
  </si>
  <si>
    <t>MLT-3_3</t>
  </si>
  <si>
    <t>MLT-3 Avg</t>
  </si>
  <si>
    <t>% Detected in MLT-3 only</t>
  </si>
  <si>
    <t>54 3/3 MLT-3 and 0/3 N2</t>
  </si>
  <si>
    <t>27 0/3 MLT-3 and 3/3 N2</t>
  </si>
  <si>
    <t>AND absent in all N2 replicates</t>
  </si>
  <si>
    <t>Adj. P Val</t>
  </si>
  <si>
    <t>UniProt ID</t>
  </si>
  <si>
    <t>Gene (150)</t>
  </si>
  <si>
    <t>Description</t>
  </si>
  <si>
    <t>Gene (122)</t>
  </si>
  <si>
    <t>Gene (236)</t>
  </si>
  <si>
    <t>Gene (142)</t>
  </si>
  <si>
    <t>Gene (74)</t>
  </si>
  <si>
    <t>Gene (90)</t>
  </si>
  <si>
    <t>NEKL-2 (90)</t>
  </si>
  <si>
    <t>NEKL-3 (74)</t>
  </si>
  <si>
    <t>MLT-3 (142)</t>
  </si>
  <si>
    <t>All 3 (21)</t>
  </si>
  <si>
    <t>NEKL-2 NEKL-3 (2)</t>
  </si>
  <si>
    <t>NEKL-2 MLT-3 (35)</t>
  </si>
  <si>
    <t>NEKL-3 MLT-3 (16)</t>
  </si>
  <si>
    <t>NEKL-2 ONLY (32)</t>
  </si>
  <si>
    <t>NEKL-3 ONLY (35)</t>
  </si>
  <si>
    <t>MLT-3 ONLY (70)</t>
  </si>
  <si>
    <t>col-160</t>
  </si>
  <si>
    <t>kin-9</t>
  </si>
  <si>
    <t>vha-2</t>
  </si>
  <si>
    <t>Y45F10C.2</t>
  </si>
  <si>
    <t>% Up in NEKL-2</t>
  </si>
  <si>
    <t>% Up in NEKL-3</t>
  </si>
  <si>
    <t>% Up in MLT-3</t>
  </si>
  <si>
    <t>Filter-1</t>
  </si>
  <si>
    <t>Targets detected in all bait replicates AND &gt;2-fold up versus N2 AND adujsted p &lt; 0.05</t>
  </si>
  <si>
    <t>AND p &lt; 0.05</t>
  </si>
  <si>
    <t>Targets detected in all bait replicates AND absent in all N2 replicates</t>
  </si>
  <si>
    <t>Filter-2</t>
  </si>
  <si>
    <t>epidermally expressed proteins/genes (black)</t>
  </si>
  <si>
    <t>proteins/genes lacking evidence of epidermal expression (dark red)</t>
  </si>
  <si>
    <t>Gene</t>
  </si>
  <si>
    <t>Pdpy-7::mNG FC</t>
  </si>
  <si>
    <t>Ratio FC NEKL-2 to Pdpy-7::mNG</t>
  </si>
  <si>
    <t>Combined Pdpy-7::mNG Upregulated (288)</t>
  </si>
  <si>
    <t>&gt;10-fold Up in Pdpy-7::mNG vs N2</t>
  </si>
  <si>
    <t>5-to 10-fold Up in Ppdy-7::mNG vs N2</t>
  </si>
  <si>
    <t>2- to 5-fold Up in Ppdy-7::mNG vs N2</t>
  </si>
  <si>
    <t>Detected in All Pdpy-7::mNG replicates</t>
  </si>
  <si>
    <t>Remove all targets with Pdpy-7::mNG Up &gt;5-fold versus N2 control (all red and orange)</t>
  </si>
  <si>
    <t>Remove targets with Pdpy-7::mNG Up 2- to 5-fold AND FC ratio of bait to Pdpy-7::mNG &lt;1.5 (subset of yellow)</t>
  </si>
  <si>
    <t>Ratio FC NEKL-3 to Pdpy-7::mNG</t>
  </si>
  <si>
    <t>Ratio FC MLT-3 to Pdpy-7::mNG</t>
  </si>
  <si>
    <t>Ratio FC MLT-3to Pdpy-7::mNG</t>
  </si>
  <si>
    <t>Summary</t>
  </si>
  <si>
    <t>Combined results for Exp 7 (NEKL–MLT TurboID Auxin treated)</t>
  </si>
  <si>
    <t>Tabs:</t>
  </si>
  <si>
    <t>NEKL-2::TurboID Raw data</t>
  </si>
  <si>
    <t>NEKL-2::TurboID Filter-1 TurboID Upreg, TurboID downreg, TurboID only, N2 only</t>
  </si>
  <si>
    <t>NEKL-2::TurboID Filter-1 w/ color labels</t>
  </si>
  <si>
    <t>NEKL-2::TurboID Filter-2 w/ color labels</t>
  </si>
  <si>
    <t>NEKL-3::TurboID Raw data</t>
  </si>
  <si>
    <t>NEKL-3::TurboID Filter-1 TurboID Upreg, TurboID downreg, TurboID only, N2 only</t>
  </si>
  <si>
    <t>NEKL-3::TurboID Filter-1 w/ color labels</t>
  </si>
  <si>
    <t>NEKL-3::TurboID Filter-2 w/ color labels</t>
  </si>
  <si>
    <t>MLT-3::TurboID Raw data</t>
  </si>
  <si>
    <t>MLT-3::TurboID Filter-1 TurboID Upreg, TurboID downreg, TurboID only, N2 only</t>
  </si>
  <si>
    <t>MLT-3::TurboID Filter-1 w/ color labels</t>
  </si>
  <si>
    <t>MLT-3::TurboID Filter-2 w/ color labels</t>
  </si>
  <si>
    <t>Filter-2 protein overlaps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</si>
</sst>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color rgb="FF00B0F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ED973"/>
        <bgColor rgb="FF000000"/>
      </patternFill>
    </fill>
  </fills>
  <borders count="4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  <diagonal/>
    </border>
    <border>
      <left style="thin">
        <color rgb="FFADADAD"/>
      </left>
      <right style="thin">
        <color rgb="FFADADAD"/>
      </right>
      <top/>
      <bottom style="thin">
        <color rgb="FFADADAD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2" fontId="0" fillId="6" borderId="1" xfId="0" applyNumberForma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2" fontId="0" fillId="7" borderId="1" xfId="0" applyNumberForma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2" fontId="4" fillId="7" borderId="1" xfId="0" applyNumberFormat="1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2" fontId="4" fillId="4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11" fontId="0" fillId="3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3" borderId="0" xfId="0" applyFill="1"/>
    <xf numFmtId="11" fontId="0" fillId="0" borderId="1" xfId="0" applyNumberFormat="1" applyBorder="1" applyAlignment="1">
      <alignment horizontal="left"/>
    </xf>
    <xf numFmtId="11" fontId="0" fillId="6" borderId="1" xfId="0" applyNumberFormat="1" applyFill="1" applyBorder="1" applyAlignment="1">
      <alignment horizontal="left"/>
    </xf>
    <xf numFmtId="11" fontId="0" fillId="7" borderId="1" xfId="0" applyNumberFormat="1" applyFill="1" applyBorder="1" applyAlignment="1">
      <alignment horizontal="left"/>
    </xf>
    <xf numFmtId="11" fontId="0" fillId="2" borderId="1" xfId="0" applyNumberFormat="1" applyFill="1" applyBorder="1" applyAlignment="1">
      <alignment horizontal="left"/>
    </xf>
    <xf numFmtId="11" fontId="0" fillId="3" borderId="0" xfId="0" applyNumberFormat="1" applyFill="1"/>
    <xf numFmtId="11" fontId="3" fillId="0" borderId="0" xfId="0" applyNumberFormat="1" applyFont="1"/>
    <xf numFmtId="11" fontId="0" fillId="5" borderId="1" xfId="0" applyNumberFormat="1" applyFill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8" borderId="0" xfId="0" applyFont="1" applyFill="1"/>
    <xf numFmtId="2" fontId="4" fillId="0" borderId="1" xfId="0" applyNumberFormat="1" applyFont="1" applyBorder="1" applyAlignment="1">
      <alignment horizontal="left"/>
    </xf>
    <xf numFmtId="2" fontId="0" fillId="0" borderId="1" xfId="0" applyNumberForma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4" fillId="9" borderId="1" xfId="0" applyFont="1" applyFill="1" applyBorder="1" applyAlignment="1">
      <alignment horizontal="left"/>
    </xf>
    <xf numFmtId="0" fontId="0" fillId="5" borderId="1" xfId="0" applyFill="1" applyBorder="1"/>
    <xf numFmtId="0" fontId="4" fillId="10" borderId="1" xfId="0" applyFont="1" applyFill="1" applyBorder="1" applyAlignment="1">
      <alignment horizontal="left"/>
    </xf>
    <xf numFmtId="0" fontId="2" fillId="0" borderId="1" xfId="0" applyFont="1" applyBorder="1"/>
    <xf numFmtId="0" fontId="4" fillId="11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49" fontId="2" fillId="0" borderId="0" xfId="0" applyNumberFormat="1" applyFont="1"/>
    <xf numFmtId="49" fontId="5" fillId="0" borderId="0" xfId="0" applyNumberFormat="1" applyFont="1" applyAlignment="1">
      <alignment horizontal="left"/>
    </xf>
    <xf numFmtId="49" fontId="2" fillId="0" borderId="3" xfId="0" applyNumberFormat="1" applyFont="1" applyBorder="1"/>
    <xf numFmtId="49" fontId="5" fillId="0" borderId="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1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</dxf>
    <dxf>
      <fill>
        <patternFill patternType="solid">
          <fgColor rgb="FFFFC7CE"/>
          <bgColor rgb="FF0000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444500</xdr:colOff>
      <xdr:row>0</xdr:row>
      <xdr:rowOff>177800</xdr:rowOff>
    </xdr:from>
    <xdr:to>
      <xdr:col>5</xdr:col>
      <xdr:colOff>608393</xdr:colOff>
      <xdr:row>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B0CBE0-FCE2-2248-8551-8326FE04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177800"/>
          <a:ext cx="1814893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09D9-D3A6-2B49-A4BC-2F365FE92AAC}">
  <dimension ref="A1:B18"/>
  <sheetViews>
    <sheetView tabSelected="1" workbookViewId="0">
      <selection activeCell="C17" sqref="C17"/>
    </sheetView>
  </sheetViews>
  <sheetFormatPr baseColWidth="10" defaultRowHeight="16" x14ac:dyDescent="0.2"/>
  <cols>
    <col min="2" max="2" width="73.1640625" customWidth="1"/>
  </cols>
  <sheetData>
    <row r="1" spans="1:2" x14ac:dyDescent="0.2">
      <c r="A1" s="1" t="s">
        <v>14935</v>
      </c>
      <c r="B1" s="1" t="s">
        <v>14936</v>
      </c>
    </row>
    <row r="3" spans="1:2" x14ac:dyDescent="0.2">
      <c r="A3" s="1" t="s">
        <v>14937</v>
      </c>
    </row>
    <row r="4" spans="1:2" x14ac:dyDescent="0.2">
      <c r="A4" s="56">
        <v>1</v>
      </c>
      <c r="B4" t="s">
        <v>14938</v>
      </c>
    </row>
    <row r="5" spans="1:2" x14ac:dyDescent="0.2">
      <c r="A5" s="56">
        <v>2</v>
      </c>
      <c r="B5" t="s">
        <v>14939</v>
      </c>
    </row>
    <row r="6" spans="1:2" x14ac:dyDescent="0.2">
      <c r="A6" s="56">
        <v>3</v>
      </c>
      <c r="B6" t="s">
        <v>14940</v>
      </c>
    </row>
    <row r="7" spans="1:2" x14ac:dyDescent="0.2">
      <c r="A7" s="56">
        <v>4</v>
      </c>
      <c r="B7" t="s">
        <v>14941</v>
      </c>
    </row>
    <row r="8" spans="1:2" x14ac:dyDescent="0.2">
      <c r="A8" s="56">
        <v>5</v>
      </c>
      <c r="B8" t="s">
        <v>14942</v>
      </c>
    </row>
    <row r="9" spans="1:2" x14ac:dyDescent="0.2">
      <c r="A9" s="56">
        <v>6</v>
      </c>
      <c r="B9" t="s">
        <v>14943</v>
      </c>
    </row>
    <row r="10" spans="1:2" x14ac:dyDescent="0.2">
      <c r="A10" s="56">
        <v>7</v>
      </c>
      <c r="B10" t="s">
        <v>14944</v>
      </c>
    </row>
    <row r="11" spans="1:2" x14ac:dyDescent="0.2">
      <c r="A11" s="56">
        <v>8</v>
      </c>
      <c r="B11" t="s">
        <v>14945</v>
      </c>
    </row>
    <row r="12" spans="1:2" x14ac:dyDescent="0.2">
      <c r="A12" s="56">
        <v>9</v>
      </c>
      <c r="B12" t="s">
        <v>14946</v>
      </c>
    </row>
    <row r="13" spans="1:2" x14ac:dyDescent="0.2">
      <c r="A13" s="56">
        <v>10</v>
      </c>
      <c r="B13" t="s">
        <v>14947</v>
      </c>
    </row>
    <row r="14" spans="1:2" x14ac:dyDescent="0.2">
      <c r="A14" s="56">
        <v>11</v>
      </c>
      <c r="B14" t="s">
        <v>14948</v>
      </c>
    </row>
    <row r="15" spans="1:2" x14ac:dyDescent="0.2">
      <c r="A15" s="56">
        <v>12</v>
      </c>
      <c r="B15" t="s">
        <v>14949</v>
      </c>
    </row>
    <row r="16" spans="1:2" x14ac:dyDescent="0.2">
      <c r="A16" s="56">
        <v>13</v>
      </c>
      <c r="B16" t="s">
        <v>14950</v>
      </c>
    </row>
    <row r="17" spans="1:1" x14ac:dyDescent="0.2">
      <c r="A17" s="56"/>
    </row>
    <row r="18" spans="1:1" x14ac:dyDescent="0.2">
      <c r="A18" s="5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90BE-3747-B94C-A61F-980A375A6F67}">
  <dimension ref="A1:Y3865"/>
  <sheetViews>
    <sheetView topLeftCell="F1" workbookViewId="0">
      <pane ySplit="1" topLeftCell="A2" activePane="bottomLeft" state="frozen"/>
      <selection pane="bottomLeft" activeCell="J1" sqref="J1:O1048576"/>
    </sheetView>
  </sheetViews>
  <sheetFormatPr baseColWidth="10" defaultRowHeight="16" x14ac:dyDescent="0.2"/>
  <sheetData>
    <row r="1" spans="1:2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14876</v>
      </c>
      <c r="N1" s="1" t="s">
        <v>14877</v>
      </c>
      <c r="O1" s="1" t="s">
        <v>14878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 t="s">
        <v>26</v>
      </c>
      <c r="C2" t="s">
        <v>14163</v>
      </c>
      <c r="D2" t="s">
        <v>27</v>
      </c>
      <c r="E2" t="s">
        <v>26</v>
      </c>
      <c r="F2" t="s">
        <v>28</v>
      </c>
      <c r="G2" t="s">
        <v>26</v>
      </c>
      <c r="H2" t="str">
        <f>"Y62E10A.13"</f>
        <v>Y62E10A.13</v>
      </c>
      <c r="I2" t="s">
        <v>27</v>
      </c>
      <c r="J2" t="s">
        <v>29</v>
      </c>
      <c r="K2" t="s">
        <v>29</v>
      </c>
      <c r="L2" t="s">
        <v>29</v>
      </c>
      <c r="M2">
        <v>14.1740450146343</v>
      </c>
      <c r="N2">
        <v>13.7159057161227</v>
      </c>
      <c r="O2">
        <v>13.2918348491913</v>
      </c>
      <c r="P2" t="s">
        <v>29</v>
      </c>
      <c r="Q2" t="s">
        <v>29</v>
      </c>
      <c r="R2" t="s">
        <v>29</v>
      </c>
      <c r="S2">
        <v>13.4076224643969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</row>
    <row r="3" spans="1:25" x14ac:dyDescent="0.2">
      <c r="A3" t="s">
        <v>30</v>
      </c>
      <c r="B3" t="s">
        <v>31</v>
      </c>
      <c r="C3" t="s">
        <v>32</v>
      </c>
      <c r="D3" t="s">
        <v>33</v>
      </c>
      <c r="E3" t="s">
        <v>31</v>
      </c>
      <c r="F3" t="s">
        <v>28</v>
      </c>
      <c r="G3" t="s">
        <v>31</v>
      </c>
      <c r="H3" t="str">
        <f>"pezo-1"</f>
        <v>pezo-1</v>
      </c>
      <c r="I3" t="s">
        <v>33</v>
      </c>
      <c r="J3">
        <v>13.282996593715801</v>
      </c>
      <c r="K3">
        <v>12.865895743721699</v>
      </c>
      <c r="L3">
        <v>12.4526999150845</v>
      </c>
      <c r="M3">
        <v>13.391542345267499</v>
      </c>
      <c r="N3">
        <v>12.3101327743178</v>
      </c>
      <c r="O3">
        <v>13.334681755728701</v>
      </c>
      <c r="P3">
        <v>0.144921540930637</v>
      </c>
      <c r="Q3">
        <v>-0.51875597043183497</v>
      </c>
      <c r="R3">
        <v>0.80859905229311002</v>
      </c>
      <c r="S3">
        <v>12.930511805078099</v>
      </c>
      <c r="T3">
        <v>0.46092031971463099</v>
      </c>
      <c r="U3">
        <v>-6.9411031100646303</v>
      </c>
      <c r="V3">
        <v>0.65073365128288096</v>
      </c>
      <c r="W3">
        <v>0.84150401604163005</v>
      </c>
      <c r="X3">
        <v>0</v>
      </c>
      <c r="Y3">
        <v>0</v>
      </c>
    </row>
    <row r="4" spans="1:25" x14ac:dyDescent="0.2">
      <c r="A4" t="s">
        <v>34</v>
      </c>
      <c r="B4" t="s">
        <v>35</v>
      </c>
      <c r="C4" t="s">
        <v>36</v>
      </c>
      <c r="D4" t="s">
        <v>37</v>
      </c>
      <c r="E4" t="s">
        <v>35</v>
      </c>
      <c r="F4" t="s">
        <v>28</v>
      </c>
      <c r="G4" t="s">
        <v>35</v>
      </c>
      <c r="H4" t="str">
        <f>"ath-1"</f>
        <v>ath-1</v>
      </c>
      <c r="I4" t="s">
        <v>37</v>
      </c>
      <c r="J4">
        <v>12.7095298953362</v>
      </c>
      <c r="K4">
        <v>12.7652658658606</v>
      </c>
      <c r="L4">
        <v>12.939357715113999</v>
      </c>
      <c r="M4">
        <v>12.9138430210474</v>
      </c>
      <c r="N4" t="s">
        <v>29</v>
      </c>
      <c r="O4">
        <v>11.9580320807865</v>
      </c>
      <c r="P4">
        <v>-0.368780274520004</v>
      </c>
      <c r="Q4">
        <v>-1.0895762022053299</v>
      </c>
      <c r="R4">
        <v>0.35201565316531902</v>
      </c>
      <c r="S4">
        <v>12.551815261980799</v>
      </c>
      <c r="T4">
        <v>-1.0911814258405499</v>
      </c>
      <c r="U4">
        <v>-6.3360589707385104</v>
      </c>
      <c r="V4">
        <v>0.29253011883700802</v>
      </c>
      <c r="W4">
        <v>0.57073294396640095</v>
      </c>
      <c r="X4">
        <v>0</v>
      </c>
      <c r="Y4">
        <v>0</v>
      </c>
    </row>
    <row r="5" spans="1:25" x14ac:dyDescent="0.2">
      <c r="A5" t="s">
        <v>38</v>
      </c>
      <c r="B5" t="s">
        <v>39</v>
      </c>
      <c r="C5" t="s">
        <v>40</v>
      </c>
      <c r="D5" t="s">
        <v>41</v>
      </c>
      <c r="E5" t="s">
        <v>39</v>
      </c>
      <c r="F5" t="s">
        <v>28</v>
      </c>
      <c r="G5" t="s">
        <v>39</v>
      </c>
      <c r="H5" t="str">
        <f>"dip-2"</f>
        <v>dip-2</v>
      </c>
      <c r="I5" t="s">
        <v>41</v>
      </c>
      <c r="J5">
        <v>13.1984248096933</v>
      </c>
      <c r="K5">
        <v>13.4672348236471</v>
      </c>
      <c r="L5">
        <v>12.804513000497799</v>
      </c>
      <c r="M5">
        <v>13.814438018637899</v>
      </c>
      <c r="N5">
        <v>12.919873173432</v>
      </c>
      <c r="O5">
        <v>13.398305447731801</v>
      </c>
      <c r="P5">
        <v>0.22081466865449401</v>
      </c>
      <c r="Q5">
        <v>-0.31769826655802702</v>
      </c>
      <c r="R5">
        <v>0.75932760386701503</v>
      </c>
      <c r="S5">
        <v>13.392078524361899</v>
      </c>
      <c r="T5">
        <v>0.86972371099550205</v>
      </c>
      <c r="U5">
        <v>-6.6623065488856303</v>
      </c>
      <c r="V5">
        <v>0.39739536296282602</v>
      </c>
      <c r="W5">
        <v>0.67168360383171599</v>
      </c>
      <c r="X5">
        <v>0</v>
      </c>
      <c r="Y5">
        <v>0</v>
      </c>
    </row>
    <row r="6" spans="1:25" x14ac:dyDescent="0.2">
      <c r="A6" t="s">
        <v>42</v>
      </c>
      <c r="B6" t="s">
        <v>43</v>
      </c>
      <c r="C6" t="s">
        <v>44</v>
      </c>
      <c r="D6" t="s">
        <v>45</v>
      </c>
      <c r="E6" t="s">
        <v>43</v>
      </c>
      <c r="F6" t="s">
        <v>28</v>
      </c>
      <c r="G6" t="s">
        <v>43</v>
      </c>
      <c r="H6" t="str">
        <f>"kdin-1"</f>
        <v>kdin-1</v>
      </c>
      <c r="I6" t="s">
        <v>45</v>
      </c>
      <c r="J6">
        <v>11.9682145512107</v>
      </c>
      <c r="K6">
        <v>11.9708624839687</v>
      </c>
      <c r="L6">
        <v>12.199884482952401</v>
      </c>
      <c r="M6">
        <v>13.1717215237571</v>
      </c>
      <c r="N6">
        <v>13.2505085367909</v>
      </c>
      <c r="O6">
        <v>12.025360145668399</v>
      </c>
      <c r="P6">
        <v>0.76954289602820203</v>
      </c>
      <c r="Q6">
        <v>0.14924785544956501</v>
      </c>
      <c r="R6">
        <v>1.3898379366068401</v>
      </c>
      <c r="S6">
        <v>12.4332348517468</v>
      </c>
      <c r="T6">
        <v>2.6186927005852501</v>
      </c>
      <c r="U6">
        <v>-4.0305505304852502</v>
      </c>
      <c r="V6">
        <v>1.8035118054845201E-2</v>
      </c>
      <c r="W6">
        <v>0.12926492103626899</v>
      </c>
      <c r="X6">
        <v>0</v>
      </c>
      <c r="Y6">
        <v>0</v>
      </c>
    </row>
    <row r="7" spans="1:25" x14ac:dyDescent="0.2">
      <c r="A7" t="s">
        <v>46</v>
      </c>
      <c r="B7" t="s">
        <v>47</v>
      </c>
      <c r="C7" t="s">
        <v>48</v>
      </c>
      <c r="D7" t="s">
        <v>49</v>
      </c>
      <c r="E7" t="s">
        <v>47</v>
      </c>
      <c r="F7" t="s">
        <v>28</v>
      </c>
      <c r="G7" t="s">
        <v>47</v>
      </c>
      <c r="H7" t="str">
        <f>"ugt-21"</f>
        <v>ugt-21</v>
      </c>
      <c r="I7" t="s">
        <v>49</v>
      </c>
      <c r="J7">
        <v>12.4211393675922</v>
      </c>
      <c r="K7">
        <v>12.1908356078187</v>
      </c>
      <c r="L7">
        <v>12.4189816583633</v>
      </c>
      <c r="M7">
        <v>12.1948322050206</v>
      </c>
      <c r="N7">
        <v>12.436391688481701</v>
      </c>
      <c r="O7">
        <v>12.3053264932738</v>
      </c>
      <c r="P7">
        <v>-3.14687489993659E-2</v>
      </c>
      <c r="Q7">
        <v>-0.46571257794698101</v>
      </c>
      <c r="R7">
        <v>0.40277507994824902</v>
      </c>
      <c r="S7">
        <v>12.2130979798164</v>
      </c>
      <c r="T7">
        <v>-0.15296632614508501</v>
      </c>
      <c r="U7">
        <v>-7.0397941951173797</v>
      </c>
      <c r="V7">
        <v>0.88023688407164102</v>
      </c>
      <c r="W7">
        <v>0.95657638191348704</v>
      </c>
      <c r="X7">
        <v>0</v>
      </c>
      <c r="Y7">
        <v>0</v>
      </c>
    </row>
    <row r="8" spans="1:25" x14ac:dyDescent="0.2">
      <c r="A8" t="s">
        <v>50</v>
      </c>
      <c r="B8" t="s">
        <v>51</v>
      </c>
      <c r="C8" t="s">
        <v>14184</v>
      </c>
      <c r="D8" t="s">
        <v>52</v>
      </c>
      <c r="E8" t="s">
        <v>51</v>
      </c>
      <c r="F8" t="s">
        <v>28</v>
      </c>
      <c r="G8" t="s">
        <v>51</v>
      </c>
      <c r="H8" t="str">
        <f>"F10C1.9"</f>
        <v>F10C1.9</v>
      </c>
      <c r="I8" t="s">
        <v>52</v>
      </c>
      <c r="J8" t="s">
        <v>29</v>
      </c>
      <c r="K8" t="s">
        <v>29</v>
      </c>
      <c r="L8">
        <v>10.503052522668201</v>
      </c>
      <c r="M8" t="s">
        <v>29</v>
      </c>
      <c r="N8">
        <v>11.460710182551701</v>
      </c>
      <c r="O8" t="s">
        <v>29</v>
      </c>
      <c r="P8">
        <v>0.95765765988347296</v>
      </c>
      <c r="Q8">
        <v>0.15972779085024799</v>
      </c>
      <c r="R8">
        <v>1.7555875289167</v>
      </c>
      <c r="S8">
        <v>11.696607796670699</v>
      </c>
      <c r="T8">
        <v>2.7740307822643699</v>
      </c>
      <c r="U8">
        <v>-3.5770545469033901</v>
      </c>
      <c r="V8">
        <v>2.4455292656962401E-2</v>
      </c>
      <c r="W8">
        <v>0.15215587438959</v>
      </c>
      <c r="X8">
        <v>0</v>
      </c>
      <c r="Y8">
        <v>0</v>
      </c>
    </row>
    <row r="9" spans="1:25" x14ac:dyDescent="0.2">
      <c r="A9" t="s">
        <v>53</v>
      </c>
      <c r="B9" t="s">
        <v>54</v>
      </c>
      <c r="C9" t="s">
        <v>14185</v>
      </c>
      <c r="D9" t="s">
        <v>55</v>
      </c>
      <c r="E9" t="s">
        <v>54</v>
      </c>
      <c r="F9" t="s">
        <v>28</v>
      </c>
      <c r="G9" t="s">
        <v>54</v>
      </c>
      <c r="H9" t="str">
        <f>"Y105E8A.25"</f>
        <v>Y105E8A.25</v>
      </c>
      <c r="I9" t="s">
        <v>55</v>
      </c>
      <c r="J9">
        <v>11.2682112146897</v>
      </c>
      <c r="K9">
        <v>11.446953549600501</v>
      </c>
      <c r="L9">
        <v>11.340464839810901</v>
      </c>
      <c r="M9">
        <v>11.6616535933798</v>
      </c>
      <c r="N9">
        <v>12.237235559122301</v>
      </c>
      <c r="O9">
        <v>11.664532021574701</v>
      </c>
      <c r="P9">
        <v>0.50259718999192804</v>
      </c>
      <c r="Q9">
        <v>4.9117800483008999E-3</v>
      </c>
      <c r="R9">
        <v>1.00028259993555</v>
      </c>
      <c r="S9">
        <v>11.7704436333134</v>
      </c>
      <c r="T9">
        <v>2.1419763762748101</v>
      </c>
      <c r="U9">
        <v>-4.9277399956552301</v>
      </c>
      <c r="V9">
        <v>4.80337976285189E-2</v>
      </c>
      <c r="W9">
        <v>0.21738800762614799</v>
      </c>
      <c r="X9">
        <v>0</v>
      </c>
      <c r="Y9">
        <v>0</v>
      </c>
    </row>
    <row r="10" spans="1:25" x14ac:dyDescent="0.2">
      <c r="A10" t="s">
        <v>56</v>
      </c>
      <c r="B10" t="s">
        <v>57</v>
      </c>
      <c r="C10" t="s">
        <v>58</v>
      </c>
      <c r="D10" t="s">
        <v>59</v>
      </c>
      <c r="E10" t="s">
        <v>57</v>
      </c>
      <c r="F10" t="s">
        <v>28</v>
      </c>
      <c r="G10" t="s">
        <v>57</v>
      </c>
      <c r="H10" t="str">
        <f>"pgp-2"</f>
        <v>pgp-2</v>
      </c>
      <c r="I10" t="s">
        <v>59</v>
      </c>
      <c r="J10">
        <v>13.1654671292203</v>
      </c>
      <c r="K10">
        <v>13.4306250780376</v>
      </c>
      <c r="L10">
        <v>12.560630204745699</v>
      </c>
      <c r="M10">
        <v>13.6886248482116</v>
      </c>
      <c r="N10">
        <v>13.6404745599029</v>
      </c>
      <c r="O10">
        <v>13.1421395088748</v>
      </c>
      <c r="P10">
        <v>0.43817216832859701</v>
      </c>
      <c r="Q10">
        <v>-8.4077492509785107E-2</v>
      </c>
      <c r="R10">
        <v>0.96042182916697905</v>
      </c>
      <c r="S10">
        <v>13.0842276840166</v>
      </c>
      <c r="T10">
        <v>1.7709921463515499</v>
      </c>
      <c r="U10">
        <v>-5.5406599071694496</v>
      </c>
      <c r="V10">
        <v>9.4599606240591799E-2</v>
      </c>
      <c r="W10">
        <v>0.316891084596651</v>
      </c>
      <c r="X10">
        <v>0</v>
      </c>
      <c r="Y10">
        <v>0</v>
      </c>
    </row>
    <row r="11" spans="1:25" x14ac:dyDescent="0.2">
      <c r="A11" t="s">
        <v>60</v>
      </c>
      <c r="B11" t="s">
        <v>61</v>
      </c>
      <c r="C11" t="s">
        <v>62</v>
      </c>
      <c r="D11" t="s">
        <v>63</v>
      </c>
      <c r="E11" t="s">
        <v>61</v>
      </c>
      <c r="F11" t="s">
        <v>28</v>
      </c>
      <c r="G11" t="s">
        <v>61</v>
      </c>
      <c r="H11" t="str">
        <f>"B0432.7"</f>
        <v>B0432.7</v>
      </c>
      <c r="I11" t="s">
        <v>63</v>
      </c>
      <c r="J11" t="s">
        <v>29</v>
      </c>
      <c r="K11" t="s">
        <v>29</v>
      </c>
      <c r="L11" t="s">
        <v>29</v>
      </c>
      <c r="M11" t="s">
        <v>29</v>
      </c>
      <c r="N11">
        <v>11.146570850628001</v>
      </c>
      <c r="O11" t="s">
        <v>29</v>
      </c>
      <c r="P11" t="s">
        <v>29</v>
      </c>
      <c r="Q11" t="s">
        <v>29</v>
      </c>
      <c r="R11" t="s">
        <v>29</v>
      </c>
      <c r="S11">
        <v>11.517497028117401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</row>
    <row r="12" spans="1:25" x14ac:dyDescent="0.2">
      <c r="A12" t="s">
        <v>64</v>
      </c>
      <c r="B12" t="s">
        <v>65</v>
      </c>
      <c r="C12" t="s">
        <v>14186</v>
      </c>
      <c r="D12" t="s">
        <v>66</v>
      </c>
      <c r="E12" t="s">
        <v>65</v>
      </c>
      <c r="F12" t="s">
        <v>28</v>
      </c>
      <c r="G12" t="s">
        <v>65</v>
      </c>
      <c r="H12" t="str">
        <f>"F22G12.5"</f>
        <v>F22G12.5</v>
      </c>
      <c r="I12" t="s">
        <v>66</v>
      </c>
      <c r="J12">
        <v>12.704864816668101</v>
      </c>
      <c r="K12">
        <v>12.507767575927</v>
      </c>
      <c r="L12">
        <v>12.482655631378501</v>
      </c>
      <c r="M12">
        <v>12.859067965151199</v>
      </c>
      <c r="N12">
        <v>12.8509153080918</v>
      </c>
      <c r="O12">
        <v>12.7258902580965</v>
      </c>
      <c r="P12">
        <v>0.24686183578863</v>
      </c>
      <c r="Q12">
        <v>-0.20270107452917699</v>
      </c>
      <c r="R12">
        <v>0.69642474610643701</v>
      </c>
      <c r="S12">
        <v>12.5139599658243</v>
      </c>
      <c r="T12">
        <v>1.1590802170018999</v>
      </c>
      <c r="U12">
        <v>-6.3726899865850299</v>
      </c>
      <c r="V12">
        <v>0.26254397257487</v>
      </c>
      <c r="W12">
        <v>0.53934222648903196</v>
      </c>
      <c r="X12">
        <v>0</v>
      </c>
      <c r="Y12">
        <v>0</v>
      </c>
    </row>
    <row r="13" spans="1:25" x14ac:dyDescent="0.2">
      <c r="A13" t="s">
        <v>67</v>
      </c>
      <c r="B13" t="s">
        <v>68</v>
      </c>
      <c r="C13" t="s">
        <v>14187</v>
      </c>
      <c r="D13" t="s">
        <v>69</v>
      </c>
      <c r="E13" t="s">
        <v>68</v>
      </c>
      <c r="F13" t="s">
        <v>28</v>
      </c>
      <c r="G13" t="s">
        <v>68</v>
      </c>
      <c r="H13" t="str">
        <f>"Y50D4B.1"</f>
        <v>Y50D4B.1</v>
      </c>
      <c r="I13" t="s">
        <v>69</v>
      </c>
      <c r="J13" t="s">
        <v>29</v>
      </c>
      <c r="K13">
        <v>11.912920480102001</v>
      </c>
      <c r="L13">
        <v>11.681123694574101</v>
      </c>
      <c r="M13">
        <v>12.128818909565799</v>
      </c>
      <c r="N13">
        <v>12.4260031720901</v>
      </c>
      <c r="O13">
        <v>11.914535498863501</v>
      </c>
      <c r="P13">
        <v>0.35943043950179099</v>
      </c>
      <c r="Q13">
        <v>-1.0842657925130299</v>
      </c>
      <c r="R13">
        <v>1.8031266715166101</v>
      </c>
      <c r="S13">
        <v>12.122025394299101</v>
      </c>
      <c r="T13">
        <v>0.53098302432133204</v>
      </c>
      <c r="U13">
        <v>-6.7937802954963704</v>
      </c>
      <c r="V13">
        <v>0.60325870221940303</v>
      </c>
      <c r="W13">
        <v>0.80985940123530897</v>
      </c>
      <c r="X13">
        <v>0</v>
      </c>
      <c r="Y13">
        <v>0</v>
      </c>
    </row>
    <row r="14" spans="1:25" x14ac:dyDescent="0.2">
      <c r="A14" t="s">
        <v>70</v>
      </c>
      <c r="B14" t="s">
        <v>71</v>
      </c>
      <c r="C14" t="s">
        <v>72</v>
      </c>
      <c r="D14" t="s">
        <v>73</v>
      </c>
      <c r="E14" t="s">
        <v>71</v>
      </c>
      <c r="F14" t="s">
        <v>28</v>
      </c>
      <c r="G14" t="s">
        <v>71</v>
      </c>
      <c r="H14" t="str">
        <f>"fbxa-72"</f>
        <v>fbxa-72</v>
      </c>
      <c r="I14" t="s">
        <v>73</v>
      </c>
      <c r="J14">
        <v>14.859290241560799</v>
      </c>
      <c r="K14">
        <v>15.0396959144314</v>
      </c>
      <c r="L14">
        <v>14.5074316901436</v>
      </c>
      <c r="M14">
        <v>15.007825295451299</v>
      </c>
      <c r="N14">
        <v>14.7320809100537</v>
      </c>
      <c r="O14">
        <v>14.881540066891301</v>
      </c>
      <c r="P14">
        <v>7.1676142086840103E-2</v>
      </c>
      <c r="Q14">
        <v>-1.01296192707347</v>
      </c>
      <c r="R14">
        <v>1.1563142112471501</v>
      </c>
      <c r="S14">
        <v>14.298591870548201</v>
      </c>
      <c r="T14">
        <v>0.13889361817556001</v>
      </c>
      <c r="U14">
        <v>-7.0419819858269497</v>
      </c>
      <c r="V14">
        <v>0.89108533868195705</v>
      </c>
      <c r="W14">
        <v>0.96108441898279395</v>
      </c>
      <c r="X14">
        <v>0</v>
      </c>
      <c r="Y14">
        <v>0</v>
      </c>
    </row>
    <row r="15" spans="1:25" x14ac:dyDescent="0.2">
      <c r="A15" t="s">
        <v>74</v>
      </c>
      <c r="B15" t="s">
        <v>75</v>
      </c>
      <c r="C15" t="s">
        <v>76</v>
      </c>
      <c r="D15" t="s">
        <v>77</v>
      </c>
      <c r="E15" t="s">
        <v>75</v>
      </c>
      <c r="F15" t="s">
        <v>28</v>
      </c>
      <c r="G15" t="s">
        <v>75</v>
      </c>
      <c r="H15" t="str">
        <f>"itsn-1"</f>
        <v>itsn-1</v>
      </c>
      <c r="I15" t="s">
        <v>77</v>
      </c>
      <c r="J15">
        <v>10.436166300737099</v>
      </c>
      <c r="K15">
        <v>12.007443924763299</v>
      </c>
      <c r="L15">
        <v>10.395857267852501</v>
      </c>
      <c r="M15">
        <v>13.9994220425211</v>
      </c>
      <c r="N15">
        <v>14.9042314198176</v>
      </c>
      <c r="O15">
        <v>14.6108116952931</v>
      </c>
      <c r="P15">
        <v>3.5583325547596698</v>
      </c>
      <c r="Q15">
        <v>2.6620040048072799</v>
      </c>
      <c r="R15">
        <v>4.4546611047120503</v>
      </c>
      <c r="S15">
        <v>12.8145163722891</v>
      </c>
      <c r="T15">
        <v>8.3797163322222499</v>
      </c>
      <c r="U15">
        <v>7.3546874535823203</v>
      </c>
      <c r="V15" s="2">
        <v>2.0212846600809101E-7</v>
      </c>
      <c r="W15" s="2">
        <v>1.6131271251388899E-5</v>
      </c>
      <c r="X15">
        <v>1</v>
      </c>
      <c r="Y15">
        <v>1</v>
      </c>
    </row>
    <row r="16" spans="1:25" x14ac:dyDescent="0.2">
      <c r="A16" t="s">
        <v>78</v>
      </c>
      <c r="B16" t="s">
        <v>79</v>
      </c>
      <c r="C16" t="s">
        <v>80</v>
      </c>
      <c r="D16" t="s">
        <v>81</v>
      </c>
      <c r="E16" t="s">
        <v>79</v>
      </c>
      <c r="F16" t="s">
        <v>28</v>
      </c>
      <c r="G16" t="s">
        <v>79</v>
      </c>
      <c r="H16" t="str">
        <f>"imp-3"</f>
        <v>imp-3</v>
      </c>
      <c r="I16" t="s">
        <v>81</v>
      </c>
      <c r="J16">
        <v>13.162868108464201</v>
      </c>
      <c r="K16">
        <v>12.481849879755201</v>
      </c>
      <c r="L16">
        <v>12.4149036675209</v>
      </c>
      <c r="M16">
        <v>13.2198547420276</v>
      </c>
      <c r="N16">
        <v>11.572304382772</v>
      </c>
      <c r="O16">
        <v>12.3081619036637</v>
      </c>
      <c r="P16">
        <v>-0.31976687575901902</v>
      </c>
      <c r="Q16">
        <v>-1.08087167636603</v>
      </c>
      <c r="R16">
        <v>0.441337924847996</v>
      </c>
      <c r="S16">
        <v>12.4496958019367</v>
      </c>
      <c r="T16">
        <v>-0.88682724227213605</v>
      </c>
      <c r="U16">
        <v>-6.6480417891545596</v>
      </c>
      <c r="V16">
        <v>0.387621756935637</v>
      </c>
      <c r="W16">
        <v>0.66245861190575805</v>
      </c>
      <c r="X16">
        <v>0</v>
      </c>
      <c r="Y16">
        <v>0</v>
      </c>
    </row>
    <row r="17" spans="1:25" x14ac:dyDescent="0.2">
      <c r="A17" t="s">
        <v>82</v>
      </c>
      <c r="B17" t="s">
        <v>83</v>
      </c>
      <c r="C17" t="s">
        <v>84</v>
      </c>
      <c r="D17" t="s">
        <v>85</v>
      </c>
      <c r="E17" t="s">
        <v>83</v>
      </c>
      <c r="F17" t="s">
        <v>28</v>
      </c>
      <c r="G17" t="s">
        <v>83</v>
      </c>
      <c r="H17" t="str">
        <f>"picd-1"</f>
        <v>picd-1</v>
      </c>
      <c r="I17" t="s">
        <v>85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>
        <v>9.2892493477924205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</row>
    <row r="18" spans="1:25" x14ac:dyDescent="0.2">
      <c r="A18" t="s">
        <v>86</v>
      </c>
      <c r="B18" t="s">
        <v>87</v>
      </c>
      <c r="C18" t="s">
        <v>88</v>
      </c>
      <c r="D18" t="s">
        <v>89</v>
      </c>
      <c r="E18" t="s">
        <v>87</v>
      </c>
      <c r="F18" t="s">
        <v>28</v>
      </c>
      <c r="G18" t="s">
        <v>87</v>
      </c>
      <c r="H18" t="str">
        <f>"prdx-2"</f>
        <v>prdx-2</v>
      </c>
      <c r="I18" t="s">
        <v>89</v>
      </c>
      <c r="J18">
        <v>15.0014972762035</v>
      </c>
      <c r="K18">
        <v>14.877990213328401</v>
      </c>
      <c r="L18">
        <v>15.334473720984899</v>
      </c>
      <c r="M18">
        <v>17.2440374096212</v>
      </c>
      <c r="N18">
        <v>17.3427847763142</v>
      </c>
      <c r="O18">
        <v>17.344749205718699</v>
      </c>
      <c r="P18">
        <v>2.2392033937123901</v>
      </c>
      <c r="Q18">
        <v>1.6799207503789999</v>
      </c>
      <c r="R18">
        <v>2.7984860370457798</v>
      </c>
      <c r="S18">
        <v>16.246699711095602</v>
      </c>
      <c r="T18">
        <v>8.4150115246297492</v>
      </c>
      <c r="U18">
        <v>7.8010825164672299</v>
      </c>
      <c r="V18" s="2">
        <v>1.23737302778715E-7</v>
      </c>
      <c r="W18" s="2">
        <v>1.184238774241E-5</v>
      </c>
      <c r="X18">
        <v>1</v>
      </c>
      <c r="Y18">
        <v>1</v>
      </c>
    </row>
    <row r="19" spans="1:25" x14ac:dyDescent="0.2">
      <c r="A19" t="s">
        <v>90</v>
      </c>
      <c r="B19" t="s">
        <v>91</v>
      </c>
      <c r="C19" t="s">
        <v>92</v>
      </c>
      <c r="D19" t="s">
        <v>93</v>
      </c>
      <c r="E19" t="s">
        <v>91</v>
      </c>
      <c r="F19" t="s">
        <v>28</v>
      </c>
      <c r="G19" t="s">
        <v>91</v>
      </c>
      <c r="H19" t="str">
        <f>"etr-1"</f>
        <v>etr-1</v>
      </c>
      <c r="I19" t="s">
        <v>93</v>
      </c>
      <c r="J19">
        <v>12.823249130698599</v>
      </c>
      <c r="K19">
        <v>12.8472568723456</v>
      </c>
      <c r="L19">
        <v>13.3802198277168</v>
      </c>
      <c r="M19" t="s">
        <v>29</v>
      </c>
      <c r="N19">
        <v>13.3313851438502</v>
      </c>
      <c r="O19">
        <v>13.609096206264301</v>
      </c>
      <c r="P19">
        <v>0.45333206480359001</v>
      </c>
      <c r="Q19">
        <v>-0.24410121343775901</v>
      </c>
      <c r="R19">
        <v>1.15076534304494</v>
      </c>
      <c r="S19">
        <v>13.1539979650974</v>
      </c>
      <c r="T19">
        <v>1.38629411053628</v>
      </c>
      <c r="U19">
        <v>-5.9863649901275799</v>
      </c>
      <c r="V19">
        <v>0.18605951174362501</v>
      </c>
      <c r="W19">
        <v>0.44980509005479602</v>
      </c>
      <c r="X19">
        <v>0</v>
      </c>
      <c r="Y19">
        <v>0</v>
      </c>
    </row>
    <row r="20" spans="1:25" x14ac:dyDescent="0.2">
      <c r="A20" t="s">
        <v>94</v>
      </c>
      <c r="B20" t="s">
        <v>95</v>
      </c>
      <c r="C20" t="s">
        <v>14188</v>
      </c>
      <c r="D20" t="s">
        <v>96</v>
      </c>
      <c r="E20" t="s">
        <v>95</v>
      </c>
      <c r="F20" t="s">
        <v>28</v>
      </c>
      <c r="G20" t="s">
        <v>95</v>
      </c>
      <c r="H20" t="str">
        <f>"Y66D12A.16"</f>
        <v>Y66D12A.16</v>
      </c>
      <c r="I20" t="s">
        <v>96</v>
      </c>
      <c r="J20">
        <v>12.3172696741407</v>
      </c>
      <c r="K20">
        <v>12.865930687648101</v>
      </c>
      <c r="L20">
        <v>12.5186439321878</v>
      </c>
      <c r="M20">
        <v>12.4208999458818</v>
      </c>
      <c r="N20">
        <v>11.472487064530799</v>
      </c>
      <c r="O20">
        <v>12.631077487809501</v>
      </c>
      <c r="P20">
        <v>-0.392459931918198</v>
      </c>
      <c r="Q20">
        <v>-1.08956656366506</v>
      </c>
      <c r="R20">
        <v>0.30464669982865999</v>
      </c>
      <c r="S20">
        <v>13.273188403172901</v>
      </c>
      <c r="T20">
        <v>-1.1883547953584599</v>
      </c>
      <c r="U20">
        <v>-6.3393074221558399</v>
      </c>
      <c r="V20">
        <v>0.25113042004307901</v>
      </c>
      <c r="W20">
        <v>0.52678273681629495</v>
      </c>
      <c r="X20">
        <v>0</v>
      </c>
      <c r="Y20">
        <v>0</v>
      </c>
    </row>
    <row r="21" spans="1:25" x14ac:dyDescent="0.2">
      <c r="A21" t="s">
        <v>97</v>
      </c>
      <c r="B21" t="s">
        <v>98</v>
      </c>
      <c r="C21" t="s">
        <v>99</v>
      </c>
      <c r="D21" t="s">
        <v>100</v>
      </c>
      <c r="E21" t="s">
        <v>98</v>
      </c>
      <c r="F21" t="s">
        <v>28</v>
      </c>
      <c r="G21" t="s">
        <v>98</v>
      </c>
      <c r="H21" t="str">
        <f>"mlk-1"</f>
        <v>mlk-1</v>
      </c>
      <c r="I21" t="s">
        <v>100</v>
      </c>
      <c r="J21">
        <v>11.972993916624301</v>
      </c>
      <c r="K21">
        <v>12.927030802074301</v>
      </c>
      <c r="L21">
        <v>12.1562018748075</v>
      </c>
      <c r="M21" t="s">
        <v>29</v>
      </c>
      <c r="N21">
        <v>11.8981891772438</v>
      </c>
      <c r="O21">
        <v>12.699537631891699</v>
      </c>
      <c r="P21">
        <v>-5.3212126600961099E-2</v>
      </c>
      <c r="Q21">
        <v>-0.82462855724510797</v>
      </c>
      <c r="R21">
        <v>0.71820430404318603</v>
      </c>
      <c r="S21">
        <v>12.5622565902502</v>
      </c>
      <c r="T21">
        <v>-0.14711716141179901</v>
      </c>
      <c r="U21">
        <v>-6.9299977014539804</v>
      </c>
      <c r="V21">
        <v>0.88501236917320902</v>
      </c>
      <c r="W21">
        <v>0.95898443199787597</v>
      </c>
      <c r="X21">
        <v>0</v>
      </c>
      <c r="Y21">
        <v>0</v>
      </c>
    </row>
    <row r="22" spans="1:25" x14ac:dyDescent="0.2">
      <c r="A22" t="s">
        <v>101</v>
      </c>
      <c r="B22" t="s">
        <v>102</v>
      </c>
      <c r="C22" t="s">
        <v>103</v>
      </c>
      <c r="D22" t="s">
        <v>104</v>
      </c>
      <c r="E22" t="s">
        <v>102</v>
      </c>
      <c r="F22" t="s">
        <v>28</v>
      </c>
      <c r="G22" t="s">
        <v>102</v>
      </c>
      <c r="H22" t="str">
        <f>"aat-3"</f>
        <v>aat-3</v>
      </c>
      <c r="I22" t="s">
        <v>104</v>
      </c>
      <c r="J22">
        <v>12.022461581947701</v>
      </c>
      <c r="K22">
        <v>12.379284360087601</v>
      </c>
      <c r="L22">
        <v>11.6172189865252</v>
      </c>
      <c r="M22">
        <v>12.5769960397633</v>
      </c>
      <c r="N22">
        <v>10.452511091</v>
      </c>
      <c r="O22">
        <v>11.8304191389882</v>
      </c>
      <c r="P22">
        <v>-0.38634621960300403</v>
      </c>
      <c r="Q22">
        <v>-1.2403828305889599</v>
      </c>
      <c r="R22">
        <v>0.46769039138295598</v>
      </c>
      <c r="S22">
        <v>11.761077263965801</v>
      </c>
      <c r="T22">
        <v>-0.95951044858770795</v>
      </c>
      <c r="U22">
        <v>-6.5800337779156397</v>
      </c>
      <c r="V22">
        <v>0.35167074890348299</v>
      </c>
      <c r="W22">
        <v>0.63257966662903997</v>
      </c>
      <c r="X22">
        <v>0</v>
      </c>
      <c r="Y22">
        <v>0</v>
      </c>
    </row>
    <row r="23" spans="1:25" x14ac:dyDescent="0.2">
      <c r="A23" t="s">
        <v>105</v>
      </c>
      <c r="B23" t="s">
        <v>106</v>
      </c>
      <c r="C23" t="s">
        <v>14189</v>
      </c>
      <c r="D23" t="s">
        <v>107</v>
      </c>
      <c r="E23" t="s">
        <v>106</v>
      </c>
      <c r="F23" t="s">
        <v>28</v>
      </c>
      <c r="G23" t="s">
        <v>106</v>
      </c>
      <c r="H23" t="str">
        <f>"T08B1.1"</f>
        <v>T08B1.1</v>
      </c>
      <c r="I23" t="s">
        <v>107</v>
      </c>
      <c r="J23">
        <v>13.7180235315952</v>
      </c>
      <c r="K23">
        <v>13.936038984359501</v>
      </c>
      <c r="L23">
        <v>13.5574042128504</v>
      </c>
      <c r="M23">
        <v>14.2200525309788</v>
      </c>
      <c r="N23">
        <v>14.053275229256499</v>
      </c>
      <c r="O23">
        <v>13.7210697457101</v>
      </c>
      <c r="P23">
        <v>0.26097692571342501</v>
      </c>
      <c r="Q23">
        <v>-0.26429071483065503</v>
      </c>
      <c r="R23">
        <v>0.78624456625750605</v>
      </c>
      <c r="S23">
        <v>13.5848610947815</v>
      </c>
      <c r="T23">
        <v>1.0442728270098001</v>
      </c>
      <c r="U23">
        <v>-6.4974513658073496</v>
      </c>
      <c r="V23">
        <v>0.31026147215701699</v>
      </c>
      <c r="W23">
        <v>0.58907279301109505</v>
      </c>
      <c r="X23">
        <v>0</v>
      </c>
      <c r="Y23">
        <v>0</v>
      </c>
    </row>
    <row r="24" spans="1:25" x14ac:dyDescent="0.2">
      <c r="A24" t="s">
        <v>108</v>
      </c>
      <c r="B24" t="s">
        <v>109</v>
      </c>
      <c r="C24" t="s">
        <v>110</v>
      </c>
      <c r="D24" t="s">
        <v>111</v>
      </c>
      <c r="E24" t="s">
        <v>109</v>
      </c>
      <c r="F24" t="s">
        <v>28</v>
      </c>
      <c r="G24" t="s">
        <v>109</v>
      </c>
      <c r="H24" t="str">
        <f>"rga-4"</f>
        <v>rga-4</v>
      </c>
      <c r="I24" t="s">
        <v>111</v>
      </c>
      <c r="J24">
        <v>12.455328870860599</v>
      </c>
      <c r="K24">
        <v>12.690967906338599</v>
      </c>
      <c r="L24">
        <v>12.8251758247509</v>
      </c>
      <c r="M24">
        <v>12.281026743788599</v>
      </c>
      <c r="N24">
        <v>11.7690735664873</v>
      </c>
      <c r="O24" t="s">
        <v>29</v>
      </c>
      <c r="P24">
        <v>-0.63210737884540602</v>
      </c>
      <c r="Q24">
        <v>-1.1443820922721899</v>
      </c>
      <c r="R24">
        <v>-0.11983266541861801</v>
      </c>
      <c r="S24">
        <v>12.9153451813094</v>
      </c>
      <c r="T24">
        <v>-2.63165859055791</v>
      </c>
      <c r="U24">
        <v>-3.9406220584621598</v>
      </c>
      <c r="V24">
        <v>1.8953488457353101E-2</v>
      </c>
      <c r="W24">
        <v>0.13407532921788501</v>
      </c>
      <c r="X24">
        <v>0</v>
      </c>
      <c r="Y24">
        <v>0</v>
      </c>
    </row>
    <row r="25" spans="1:25" x14ac:dyDescent="0.2">
      <c r="A25" t="s">
        <v>112</v>
      </c>
      <c r="B25" t="s">
        <v>113</v>
      </c>
      <c r="C25" t="s">
        <v>114</v>
      </c>
      <c r="D25" t="s">
        <v>115</v>
      </c>
      <c r="E25" t="s">
        <v>113</v>
      </c>
      <c r="F25" t="s">
        <v>28</v>
      </c>
      <c r="G25" t="s">
        <v>113</v>
      </c>
      <c r="H25" t="str">
        <f>"bet-2"</f>
        <v>bet-2</v>
      </c>
      <c r="I25" t="s">
        <v>115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>
        <v>12.330215349106901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</row>
    <row r="26" spans="1:25" x14ac:dyDescent="0.2">
      <c r="A26" t="s">
        <v>116</v>
      </c>
      <c r="B26" t="s">
        <v>117</v>
      </c>
      <c r="C26" t="s">
        <v>118</v>
      </c>
      <c r="D26" t="s">
        <v>119</v>
      </c>
      <c r="E26" t="s">
        <v>117</v>
      </c>
      <c r="F26" t="s">
        <v>28</v>
      </c>
      <c r="G26" t="s">
        <v>117</v>
      </c>
      <c r="H26" t="str">
        <f>"lpd-3"</f>
        <v>lpd-3</v>
      </c>
      <c r="I26" t="s">
        <v>119</v>
      </c>
      <c r="J26">
        <v>12.6945924509671</v>
      </c>
      <c r="K26">
        <v>12.810779044882301</v>
      </c>
      <c r="L26">
        <v>12.331851913634701</v>
      </c>
      <c r="M26">
        <v>12.724865840034299</v>
      </c>
      <c r="N26">
        <v>12.6790600748029</v>
      </c>
      <c r="O26">
        <v>12.2502569384153</v>
      </c>
      <c r="P26">
        <v>-6.1013518743855903E-2</v>
      </c>
      <c r="Q26">
        <v>-0.52698368932846296</v>
      </c>
      <c r="R26">
        <v>0.40495665184075103</v>
      </c>
      <c r="S26">
        <v>12.132369944001001</v>
      </c>
      <c r="T26">
        <v>-0.27772660550524197</v>
      </c>
      <c r="U26">
        <v>-7.0114942813889201</v>
      </c>
      <c r="V26">
        <v>0.784802128531632</v>
      </c>
      <c r="W26">
        <v>0.91120060174744399</v>
      </c>
      <c r="X26">
        <v>0</v>
      </c>
      <c r="Y26">
        <v>0</v>
      </c>
    </row>
    <row r="27" spans="1:25" x14ac:dyDescent="0.2">
      <c r="A27" t="s">
        <v>120</v>
      </c>
      <c r="B27" t="s">
        <v>121</v>
      </c>
      <c r="C27" t="s">
        <v>122</v>
      </c>
      <c r="D27" t="s">
        <v>123</v>
      </c>
      <c r="E27" t="s">
        <v>121</v>
      </c>
      <c r="F27" t="s">
        <v>28</v>
      </c>
      <c r="G27" t="s">
        <v>121</v>
      </c>
      <c r="H27" t="str">
        <f>"pqn-80"</f>
        <v>pqn-80</v>
      </c>
      <c r="I27" t="s">
        <v>123</v>
      </c>
      <c r="J27" t="s">
        <v>29</v>
      </c>
      <c r="K27">
        <v>11.462594663458299</v>
      </c>
      <c r="L27">
        <v>11.7258711929304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>
        <v>12.418747127503099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</row>
    <row r="28" spans="1:25" x14ac:dyDescent="0.2">
      <c r="A28" t="s">
        <v>124</v>
      </c>
      <c r="B28" t="s">
        <v>125</v>
      </c>
      <c r="C28" t="s">
        <v>126</v>
      </c>
      <c r="D28" t="s">
        <v>127</v>
      </c>
      <c r="E28" t="s">
        <v>125</v>
      </c>
      <c r="F28" t="s">
        <v>28</v>
      </c>
      <c r="G28" t="s">
        <v>125</v>
      </c>
      <c r="H28" t="str">
        <f>"arid-1"</f>
        <v>arid-1</v>
      </c>
      <c r="I28" t="s">
        <v>127</v>
      </c>
      <c r="J28">
        <v>13.448596792282</v>
      </c>
      <c r="K28">
        <v>13.9489472159587</v>
      </c>
      <c r="L28">
        <v>13.6829624094047</v>
      </c>
      <c r="M28">
        <v>14.0233504530822</v>
      </c>
      <c r="N28">
        <v>13.9286804229379</v>
      </c>
      <c r="O28">
        <v>14.394440253065</v>
      </c>
      <c r="P28">
        <v>0.42198823714657901</v>
      </c>
      <c r="Q28">
        <v>-0.28840686786060499</v>
      </c>
      <c r="R28">
        <v>1.1323833421537599</v>
      </c>
      <c r="S28">
        <v>13.795525295074</v>
      </c>
      <c r="T28">
        <v>1.25386389809928</v>
      </c>
      <c r="U28">
        <v>-6.2620761926258002</v>
      </c>
      <c r="V28">
        <v>0.22696416417607901</v>
      </c>
      <c r="W28">
        <v>0.49691552282127099</v>
      </c>
      <c r="X28">
        <v>0</v>
      </c>
      <c r="Y28">
        <v>0</v>
      </c>
    </row>
    <row r="29" spans="1:25" x14ac:dyDescent="0.2">
      <c r="A29" t="s">
        <v>128</v>
      </c>
      <c r="B29" t="s">
        <v>129</v>
      </c>
      <c r="C29" t="s">
        <v>14190</v>
      </c>
      <c r="D29" t="s">
        <v>130</v>
      </c>
      <c r="E29" t="s">
        <v>129</v>
      </c>
      <c r="F29" t="s">
        <v>28</v>
      </c>
      <c r="G29" t="s">
        <v>129</v>
      </c>
      <c r="H29" t="str">
        <f>"F37B4.10"</f>
        <v>F37B4.10</v>
      </c>
      <c r="I29" t="s">
        <v>130</v>
      </c>
      <c r="J29">
        <v>13.099283076177</v>
      </c>
      <c r="K29" t="s">
        <v>29</v>
      </c>
      <c r="L29" t="s">
        <v>29</v>
      </c>
      <c r="M29">
        <v>13.603245076006299</v>
      </c>
      <c r="N29">
        <v>12.897261752834501</v>
      </c>
      <c r="O29" t="s">
        <v>29</v>
      </c>
      <c r="P29">
        <v>0.15097033824341599</v>
      </c>
      <c r="Q29">
        <v>-0.92774848277131405</v>
      </c>
      <c r="R29">
        <v>1.22968915925815</v>
      </c>
      <c r="S29">
        <v>12.5935878183558</v>
      </c>
      <c r="T29">
        <v>0.302601179368722</v>
      </c>
      <c r="U29">
        <v>-6.6028379149988501</v>
      </c>
      <c r="V29">
        <v>0.76701973881733998</v>
      </c>
      <c r="W29">
        <v>0.90111683213701999</v>
      </c>
      <c r="X29">
        <v>0</v>
      </c>
      <c r="Y29">
        <v>0</v>
      </c>
    </row>
    <row r="30" spans="1:25" x14ac:dyDescent="0.2">
      <c r="A30" t="s">
        <v>131</v>
      </c>
      <c r="B30" t="s">
        <v>132</v>
      </c>
      <c r="C30" t="s">
        <v>133</v>
      </c>
      <c r="D30" t="s">
        <v>134</v>
      </c>
      <c r="E30" t="s">
        <v>132</v>
      </c>
      <c r="F30" t="s">
        <v>28</v>
      </c>
      <c r="G30" t="s">
        <v>132</v>
      </c>
      <c r="H30" t="str">
        <f>"ubr-4"</f>
        <v>ubr-4</v>
      </c>
      <c r="I30" t="s">
        <v>134</v>
      </c>
      <c r="J30">
        <v>13.90974455169</v>
      </c>
      <c r="K30">
        <v>14.064627753212401</v>
      </c>
      <c r="L30">
        <v>13.7621109500054</v>
      </c>
      <c r="M30">
        <v>14.0654733441826</v>
      </c>
      <c r="N30">
        <v>14.1628631234405</v>
      </c>
      <c r="O30">
        <v>14.2309658784172</v>
      </c>
      <c r="P30">
        <v>0.240939697044116</v>
      </c>
      <c r="Q30">
        <v>-0.79472182023437699</v>
      </c>
      <c r="R30">
        <v>1.27660121432261</v>
      </c>
      <c r="S30">
        <v>14.149404937755</v>
      </c>
      <c r="T30">
        <v>0.488970922569883</v>
      </c>
      <c r="U30">
        <v>-6.9276224711767904</v>
      </c>
      <c r="V30">
        <v>0.63080125139843501</v>
      </c>
      <c r="W30">
        <v>0.82954586748111203</v>
      </c>
      <c r="X30">
        <v>0</v>
      </c>
      <c r="Y30">
        <v>0</v>
      </c>
    </row>
    <row r="31" spans="1:25" x14ac:dyDescent="0.2">
      <c r="A31" t="s">
        <v>135</v>
      </c>
      <c r="B31" t="s">
        <v>136</v>
      </c>
      <c r="C31" t="s">
        <v>137</v>
      </c>
      <c r="D31" t="s">
        <v>138</v>
      </c>
      <c r="E31" t="s">
        <v>136</v>
      </c>
      <c r="F31" t="s">
        <v>28</v>
      </c>
      <c r="G31" t="s">
        <v>136</v>
      </c>
      <c r="H31" t="str">
        <f>"ccar-1"</f>
        <v>ccar-1</v>
      </c>
      <c r="I31" t="s">
        <v>138</v>
      </c>
      <c r="J31">
        <v>16.951760196840102</v>
      </c>
      <c r="K31">
        <v>17.377483820987699</v>
      </c>
      <c r="L31">
        <v>17.217009998279</v>
      </c>
      <c r="M31">
        <v>17.035696738540501</v>
      </c>
      <c r="N31">
        <v>16.197851020583901</v>
      </c>
      <c r="O31">
        <v>16.942148585242698</v>
      </c>
      <c r="P31">
        <v>-0.45685255724657398</v>
      </c>
      <c r="Q31">
        <v>-0.97270464364972697</v>
      </c>
      <c r="R31">
        <v>5.8999529156579099E-2</v>
      </c>
      <c r="S31">
        <v>16.925888058349301</v>
      </c>
      <c r="T31">
        <v>-1.8614157400337701</v>
      </c>
      <c r="U31">
        <v>-5.3933730657376602</v>
      </c>
      <c r="V31">
        <v>7.9194382991765899E-2</v>
      </c>
      <c r="W31">
        <v>0.289223930701691</v>
      </c>
      <c r="X31">
        <v>0</v>
      </c>
      <c r="Y31">
        <v>0</v>
      </c>
    </row>
    <row r="32" spans="1:25" x14ac:dyDescent="0.2">
      <c r="A32" t="s">
        <v>139</v>
      </c>
      <c r="B32" t="s">
        <v>140</v>
      </c>
      <c r="C32" t="s">
        <v>14191</v>
      </c>
      <c r="D32" t="s">
        <v>141</v>
      </c>
      <c r="E32" t="s">
        <v>140</v>
      </c>
      <c r="F32" t="s">
        <v>28</v>
      </c>
      <c r="G32" t="s">
        <v>142</v>
      </c>
      <c r="H32" t="str">
        <f>"K08D9.4"</f>
        <v>K08D9.4</v>
      </c>
      <c r="I32" t="s">
        <v>141</v>
      </c>
      <c r="J32" t="s">
        <v>29</v>
      </c>
      <c r="K32">
        <v>11.5013848064975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>
        <v>12.0073412630014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</row>
    <row r="33" spans="1:25" x14ac:dyDescent="0.2">
      <c r="A33" t="s">
        <v>143</v>
      </c>
      <c r="B33" t="s">
        <v>144</v>
      </c>
      <c r="C33" t="s">
        <v>145</v>
      </c>
      <c r="D33" t="s">
        <v>146</v>
      </c>
      <c r="E33" t="s">
        <v>144</v>
      </c>
      <c r="F33" t="s">
        <v>28</v>
      </c>
      <c r="G33" t="s">
        <v>144</v>
      </c>
      <c r="H33" t="str">
        <f>"sago-1"</f>
        <v>sago-1</v>
      </c>
      <c r="I33" t="s">
        <v>146</v>
      </c>
      <c r="J33">
        <v>13.026458836901</v>
      </c>
      <c r="K33">
        <v>12.9472142918475</v>
      </c>
      <c r="L33">
        <v>12.3381433603773</v>
      </c>
      <c r="M33">
        <v>12.776734039536599</v>
      </c>
      <c r="N33">
        <v>13.4976643563006</v>
      </c>
      <c r="O33">
        <v>13.082564862421499</v>
      </c>
      <c r="P33">
        <v>0.34838225637766301</v>
      </c>
      <c r="Q33">
        <v>-0.123919740326164</v>
      </c>
      <c r="R33">
        <v>0.82068425308148996</v>
      </c>
      <c r="S33">
        <v>13.2022305949837</v>
      </c>
      <c r="T33">
        <v>1.55699156285686</v>
      </c>
      <c r="U33">
        <v>-5.8618029545183497</v>
      </c>
      <c r="V33">
        <v>0.13800562250585999</v>
      </c>
      <c r="W33">
        <v>0.38382076549920502</v>
      </c>
      <c r="X33">
        <v>0</v>
      </c>
      <c r="Y33">
        <v>0</v>
      </c>
    </row>
    <row r="34" spans="1:25" x14ac:dyDescent="0.2">
      <c r="A34" t="s">
        <v>147</v>
      </c>
      <c r="B34" t="s">
        <v>148</v>
      </c>
      <c r="C34" t="s">
        <v>149</v>
      </c>
      <c r="D34" t="s">
        <v>150</v>
      </c>
      <c r="E34" t="s">
        <v>148</v>
      </c>
      <c r="F34" t="s">
        <v>28</v>
      </c>
      <c r="G34" t="s">
        <v>148</v>
      </c>
      <c r="H34" t="str">
        <f>"sago-2"</f>
        <v>sago-2</v>
      </c>
      <c r="I34" t="s">
        <v>150</v>
      </c>
      <c r="J34">
        <v>11.4138783948791</v>
      </c>
      <c r="K34" t="s">
        <v>29</v>
      </c>
      <c r="L34">
        <v>10.8673317241549</v>
      </c>
      <c r="M34">
        <v>11.0214036326668</v>
      </c>
      <c r="N34">
        <v>11.228796857832</v>
      </c>
      <c r="O34" t="s">
        <v>29</v>
      </c>
      <c r="P34">
        <v>-1.5504814267624E-2</v>
      </c>
      <c r="Q34">
        <v>-0.749547088063239</v>
      </c>
      <c r="R34">
        <v>0.71853745952799097</v>
      </c>
      <c r="S34">
        <v>11.3169302493356</v>
      </c>
      <c r="T34">
        <v>-4.5049201988211399E-2</v>
      </c>
      <c r="U34">
        <v>-6.8501155314421496</v>
      </c>
      <c r="V34">
        <v>0.96466650089739403</v>
      </c>
      <c r="W34">
        <v>0.98125188931544904</v>
      </c>
      <c r="X34">
        <v>0</v>
      </c>
      <c r="Y34">
        <v>0</v>
      </c>
    </row>
    <row r="35" spans="1:25" x14ac:dyDescent="0.2">
      <c r="A35" t="s">
        <v>151</v>
      </c>
      <c r="B35" t="s">
        <v>152</v>
      </c>
      <c r="C35" t="s">
        <v>153</v>
      </c>
      <c r="D35" t="s">
        <v>154</v>
      </c>
      <c r="E35" t="s">
        <v>152</v>
      </c>
      <c r="F35" t="s">
        <v>28</v>
      </c>
      <c r="G35" t="s">
        <v>152</v>
      </c>
      <c r="H35" t="str">
        <f>"coh-1"</f>
        <v>coh-1</v>
      </c>
      <c r="I35" t="s">
        <v>154</v>
      </c>
      <c r="J35">
        <v>13.876177505705201</v>
      </c>
      <c r="K35">
        <v>14.279266139181701</v>
      </c>
      <c r="L35">
        <v>13.710110469629999</v>
      </c>
      <c r="M35">
        <v>14.5291185266664</v>
      </c>
      <c r="N35">
        <v>14.334173078336899</v>
      </c>
      <c r="O35">
        <v>14.3554377718749</v>
      </c>
      <c r="P35">
        <v>0.45105842078710601</v>
      </c>
      <c r="Q35">
        <v>-0.14627376437289999</v>
      </c>
      <c r="R35">
        <v>1.04839060594711</v>
      </c>
      <c r="S35">
        <v>13.7170720994029</v>
      </c>
      <c r="T35">
        <v>1.6016455412130901</v>
      </c>
      <c r="U35">
        <v>-5.7982094674283902</v>
      </c>
      <c r="V35">
        <v>0.128918096131167</v>
      </c>
      <c r="W35">
        <v>0.373379079676044</v>
      </c>
      <c r="X35">
        <v>0</v>
      </c>
      <c r="Y35">
        <v>0</v>
      </c>
    </row>
    <row r="36" spans="1:25" x14ac:dyDescent="0.2">
      <c r="A36" t="s">
        <v>155</v>
      </c>
      <c r="B36" t="s">
        <v>156</v>
      </c>
      <c r="C36" t="s">
        <v>157</v>
      </c>
      <c r="D36" t="s">
        <v>158</v>
      </c>
      <c r="E36" t="s">
        <v>156</v>
      </c>
      <c r="F36" t="s">
        <v>28</v>
      </c>
      <c r="G36" t="s">
        <v>156</v>
      </c>
      <c r="H36" t="str">
        <f>"imb-2"</f>
        <v>imb-2</v>
      </c>
      <c r="I36" t="s">
        <v>158</v>
      </c>
      <c r="J36">
        <v>13.2486945533857</v>
      </c>
      <c r="K36">
        <v>13.231685559856601</v>
      </c>
      <c r="L36">
        <v>13.364968064540101</v>
      </c>
      <c r="M36">
        <v>13.3198001048862</v>
      </c>
      <c r="N36">
        <v>13.612701623093701</v>
      </c>
      <c r="O36">
        <v>13.2344077150087</v>
      </c>
      <c r="P36">
        <v>0.107187088402034</v>
      </c>
      <c r="Q36">
        <v>-0.30563129290530699</v>
      </c>
      <c r="R36">
        <v>0.520005469709375</v>
      </c>
      <c r="S36">
        <v>13.491193264995101</v>
      </c>
      <c r="T36">
        <v>0.54806675680689798</v>
      </c>
      <c r="U36">
        <v>-6.8955740675109096</v>
      </c>
      <c r="V36">
        <v>0.59081466907366798</v>
      </c>
      <c r="W36">
        <v>0.80369478292283902</v>
      </c>
      <c r="X36">
        <v>0</v>
      </c>
      <c r="Y36">
        <v>0</v>
      </c>
    </row>
    <row r="37" spans="1:25" x14ac:dyDescent="0.2">
      <c r="A37" t="s">
        <v>159</v>
      </c>
      <c r="B37" t="s">
        <v>160</v>
      </c>
      <c r="C37" t="s">
        <v>161</v>
      </c>
      <c r="D37" t="s">
        <v>162</v>
      </c>
      <c r="E37" t="s">
        <v>160</v>
      </c>
      <c r="F37" t="s">
        <v>28</v>
      </c>
      <c r="G37" t="s">
        <v>160</v>
      </c>
      <c r="H37" t="str">
        <f>"utx-1"</f>
        <v>utx-1</v>
      </c>
      <c r="I37" t="s">
        <v>162</v>
      </c>
      <c r="J37">
        <v>12.029042675617999</v>
      </c>
      <c r="K37">
        <v>11.796116640603101</v>
      </c>
      <c r="L37">
        <v>11.6380062852413</v>
      </c>
      <c r="M37">
        <v>11.3745275719982</v>
      </c>
      <c r="N37">
        <v>12.536874412275701</v>
      </c>
      <c r="O37">
        <v>11.6542328596261</v>
      </c>
      <c r="P37">
        <v>3.4156414145897401E-2</v>
      </c>
      <c r="Q37">
        <v>-0.58391882600869505</v>
      </c>
      <c r="R37">
        <v>0.65223165430049002</v>
      </c>
      <c r="S37">
        <v>12.2970947046401</v>
      </c>
      <c r="T37">
        <v>0.117214261123746</v>
      </c>
      <c r="U37">
        <v>-7.0448414416351204</v>
      </c>
      <c r="V37">
        <v>0.90815857517462495</v>
      </c>
      <c r="W37">
        <v>0.96798538961646996</v>
      </c>
      <c r="X37">
        <v>0</v>
      </c>
      <c r="Y37">
        <v>0</v>
      </c>
    </row>
    <row r="38" spans="1:25" x14ac:dyDescent="0.2">
      <c r="A38" t="s">
        <v>163</v>
      </c>
      <c r="B38" t="s">
        <v>164</v>
      </c>
      <c r="C38" t="s">
        <v>165</v>
      </c>
      <c r="D38" t="s">
        <v>166</v>
      </c>
      <c r="E38" t="s">
        <v>164</v>
      </c>
      <c r="F38" t="s">
        <v>28</v>
      </c>
      <c r="G38" t="s">
        <v>164</v>
      </c>
      <c r="H38" t="str">
        <f>"irg-7"</f>
        <v>irg-7</v>
      </c>
      <c r="I38" t="s">
        <v>166</v>
      </c>
      <c r="J38" t="s">
        <v>29</v>
      </c>
      <c r="K38" t="s">
        <v>29</v>
      </c>
      <c r="L38">
        <v>10.973969859717</v>
      </c>
      <c r="M38" t="s">
        <v>29</v>
      </c>
      <c r="N38" t="s">
        <v>29</v>
      </c>
      <c r="O38">
        <v>12.1931610616586</v>
      </c>
      <c r="P38">
        <v>1.21919120194159</v>
      </c>
      <c r="Q38">
        <v>6.0640539980449904E-4</v>
      </c>
      <c r="R38">
        <v>2.43777599848337</v>
      </c>
      <c r="S38">
        <v>11.141884688093</v>
      </c>
      <c r="T38">
        <v>2.3731193404625901</v>
      </c>
      <c r="U38">
        <v>-4.2225420502742201</v>
      </c>
      <c r="V38">
        <v>4.9913891739790002E-2</v>
      </c>
      <c r="W38">
        <v>0.22163202151963601</v>
      </c>
      <c r="X38">
        <v>1</v>
      </c>
      <c r="Y38">
        <v>0</v>
      </c>
    </row>
    <row r="39" spans="1:25" x14ac:dyDescent="0.2">
      <c r="A39" t="s">
        <v>167</v>
      </c>
      <c r="B39" t="s">
        <v>168</v>
      </c>
      <c r="C39" t="s">
        <v>169</v>
      </c>
      <c r="D39" t="s">
        <v>170</v>
      </c>
      <c r="E39" t="s">
        <v>168</v>
      </c>
      <c r="F39" t="s">
        <v>28</v>
      </c>
      <c r="G39" t="s">
        <v>168</v>
      </c>
      <c r="H39" t="str">
        <f>"brf-1"</f>
        <v>brf-1</v>
      </c>
      <c r="I39" t="s">
        <v>170</v>
      </c>
      <c r="J39" t="s">
        <v>29</v>
      </c>
      <c r="K39" t="s">
        <v>29</v>
      </c>
      <c r="L39" t="s">
        <v>29</v>
      </c>
      <c r="M39" t="s">
        <v>29</v>
      </c>
      <c r="N39" t="s">
        <v>29</v>
      </c>
      <c r="O39" t="s">
        <v>29</v>
      </c>
      <c r="P39" t="s">
        <v>29</v>
      </c>
      <c r="Q39" t="s">
        <v>29</v>
      </c>
      <c r="R39" t="s">
        <v>29</v>
      </c>
      <c r="S39">
        <v>9.7464014845668991</v>
      </c>
      <c r="T39" t="s">
        <v>29</v>
      </c>
      <c r="U39" t="s">
        <v>29</v>
      </c>
      <c r="V39" t="s">
        <v>29</v>
      </c>
      <c r="W39" t="s">
        <v>29</v>
      </c>
      <c r="X39" t="s">
        <v>29</v>
      </c>
      <c r="Y39" t="s">
        <v>29</v>
      </c>
    </row>
    <row r="40" spans="1:25" x14ac:dyDescent="0.2">
      <c r="A40" t="s">
        <v>171</v>
      </c>
      <c r="B40" t="s">
        <v>172</v>
      </c>
      <c r="C40" t="s">
        <v>173</v>
      </c>
      <c r="D40" t="s">
        <v>174</v>
      </c>
      <c r="E40" t="s">
        <v>172</v>
      </c>
      <c r="F40" t="s">
        <v>28</v>
      </c>
      <c r="G40" t="s">
        <v>172</v>
      </c>
      <c r="H40" t="str">
        <f>"trpp-11"</f>
        <v>trpp-11</v>
      </c>
      <c r="I40" t="s">
        <v>174</v>
      </c>
      <c r="J40">
        <v>12.033310599609001</v>
      </c>
      <c r="K40">
        <v>11.657040342852699</v>
      </c>
      <c r="L40">
        <v>11.8283550834579</v>
      </c>
      <c r="M40">
        <v>11.917562204449199</v>
      </c>
      <c r="N40">
        <v>11.9980525794402</v>
      </c>
      <c r="O40">
        <v>11.6394691659217</v>
      </c>
      <c r="P40">
        <v>1.2125974630505401E-2</v>
      </c>
      <c r="Q40">
        <v>-0.58994283160523597</v>
      </c>
      <c r="R40">
        <v>0.61419478086624602</v>
      </c>
      <c r="S40">
        <v>11.688224348361</v>
      </c>
      <c r="T40">
        <v>4.2331439963315301E-2</v>
      </c>
      <c r="U40">
        <v>-7.0511473933637996</v>
      </c>
      <c r="V40">
        <v>0.96670323208814302</v>
      </c>
      <c r="W40">
        <v>0.98256097585202395</v>
      </c>
      <c r="X40">
        <v>0</v>
      </c>
      <c r="Y40">
        <v>0</v>
      </c>
    </row>
    <row r="41" spans="1:25" x14ac:dyDescent="0.2">
      <c r="A41" t="s">
        <v>175</v>
      </c>
      <c r="B41" t="s">
        <v>176</v>
      </c>
      <c r="C41" t="s">
        <v>177</v>
      </c>
      <c r="D41" t="s">
        <v>178</v>
      </c>
      <c r="E41" t="s">
        <v>176</v>
      </c>
      <c r="F41" t="s">
        <v>28</v>
      </c>
      <c r="G41" t="s">
        <v>176</v>
      </c>
      <c r="H41" t="str">
        <f>"tbc-14"</f>
        <v>tbc-14</v>
      </c>
      <c r="I41" t="s">
        <v>178</v>
      </c>
      <c r="J41">
        <v>13.1900786089445</v>
      </c>
      <c r="K41">
        <v>12.825233207658</v>
      </c>
      <c r="L41">
        <v>13.0172558691551</v>
      </c>
      <c r="M41">
        <v>13.3224271492169</v>
      </c>
      <c r="N41">
        <v>14.056021711387899</v>
      </c>
      <c r="O41">
        <v>12.8967476988417</v>
      </c>
      <c r="P41">
        <v>0.41420962456292498</v>
      </c>
      <c r="Q41">
        <v>-0.12186692929517701</v>
      </c>
      <c r="R41">
        <v>0.95028617842102703</v>
      </c>
      <c r="S41">
        <v>13.0642465646857</v>
      </c>
      <c r="T41">
        <v>1.62399948051587</v>
      </c>
      <c r="U41">
        <v>-5.7634490763734503</v>
      </c>
      <c r="V41">
        <v>0.12185895151937499</v>
      </c>
      <c r="W41">
        <v>0.36146675318509303</v>
      </c>
      <c r="X41">
        <v>0</v>
      </c>
      <c r="Y41">
        <v>0</v>
      </c>
    </row>
    <row r="42" spans="1:25" x14ac:dyDescent="0.2">
      <c r="A42" t="s">
        <v>179</v>
      </c>
      <c r="B42" t="s">
        <v>180</v>
      </c>
      <c r="C42" t="s">
        <v>181</v>
      </c>
      <c r="D42" t="s">
        <v>182</v>
      </c>
      <c r="E42" t="s">
        <v>180</v>
      </c>
      <c r="F42" t="s">
        <v>28</v>
      </c>
      <c r="G42" t="s">
        <v>180</v>
      </c>
      <c r="H42" t="str">
        <f>"fipp-1"</f>
        <v>fipp-1</v>
      </c>
      <c r="I42" t="s">
        <v>182</v>
      </c>
      <c r="J42" t="s">
        <v>29</v>
      </c>
      <c r="K42" t="s">
        <v>29</v>
      </c>
      <c r="L42" t="s">
        <v>29</v>
      </c>
      <c r="M42" t="s">
        <v>29</v>
      </c>
      <c r="N42" t="s">
        <v>29</v>
      </c>
      <c r="O42" t="s">
        <v>29</v>
      </c>
      <c r="P42" t="s">
        <v>29</v>
      </c>
      <c r="Q42" t="s">
        <v>29</v>
      </c>
      <c r="R42" t="s">
        <v>29</v>
      </c>
      <c r="S42">
        <v>11.3787189149522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</row>
    <row r="43" spans="1:25" x14ac:dyDescent="0.2">
      <c r="A43" t="s">
        <v>183</v>
      </c>
      <c r="B43" t="s">
        <v>184</v>
      </c>
      <c r="C43" t="s">
        <v>185</v>
      </c>
      <c r="D43" t="s">
        <v>186</v>
      </c>
      <c r="E43" t="s">
        <v>184</v>
      </c>
      <c r="F43" t="s">
        <v>28</v>
      </c>
      <c r="G43" t="s">
        <v>184</v>
      </c>
      <c r="H43" t="str">
        <f>"ajm-1"</f>
        <v>ajm-1</v>
      </c>
      <c r="I43" t="s">
        <v>186</v>
      </c>
      <c r="J43">
        <v>13.9619122428366</v>
      </c>
      <c r="K43">
        <v>14.778824155643401</v>
      </c>
      <c r="L43">
        <v>14.872437289692501</v>
      </c>
      <c r="M43">
        <v>14.8441695733903</v>
      </c>
      <c r="N43">
        <v>13.5911500348288</v>
      </c>
      <c r="O43">
        <v>14.7260692651443</v>
      </c>
      <c r="P43">
        <v>-0.15059493826972001</v>
      </c>
      <c r="Q43">
        <v>-0.98109507525059103</v>
      </c>
      <c r="R43">
        <v>0.67990519871115196</v>
      </c>
      <c r="S43">
        <v>14.5859202270368</v>
      </c>
      <c r="T43">
        <v>-0.381121263449201</v>
      </c>
      <c r="U43">
        <v>-6.9762739325051601</v>
      </c>
      <c r="V43">
        <v>0.70760029226083498</v>
      </c>
      <c r="W43">
        <v>0.86920775802822003</v>
      </c>
      <c r="X43">
        <v>0</v>
      </c>
      <c r="Y43">
        <v>0</v>
      </c>
    </row>
    <row r="44" spans="1:25" x14ac:dyDescent="0.2">
      <c r="A44" t="s">
        <v>187</v>
      </c>
      <c r="B44" t="s">
        <v>188</v>
      </c>
      <c r="C44" t="s">
        <v>14192</v>
      </c>
      <c r="D44" t="s">
        <v>189</v>
      </c>
      <c r="E44" t="s">
        <v>188</v>
      </c>
      <c r="F44" t="s">
        <v>28</v>
      </c>
      <c r="G44" t="s">
        <v>188</v>
      </c>
      <c r="H44" t="str">
        <f>"Y56A3A.31"</f>
        <v>Y56A3A.31</v>
      </c>
      <c r="I44" t="s">
        <v>189</v>
      </c>
      <c r="J44">
        <v>13.4171147768871</v>
      </c>
      <c r="K44">
        <v>13.3401072730198</v>
      </c>
      <c r="L44">
        <v>13.5707338440701</v>
      </c>
      <c r="M44">
        <v>13.688713844027999</v>
      </c>
      <c r="N44">
        <v>13.691004003973701</v>
      </c>
      <c r="O44">
        <v>14.0187845933934</v>
      </c>
      <c r="P44">
        <v>0.35684884913932402</v>
      </c>
      <c r="Q44">
        <v>-0.49828323207368602</v>
      </c>
      <c r="R44">
        <v>1.2119809303523299</v>
      </c>
      <c r="S44">
        <v>13.6003234859001</v>
      </c>
      <c r="T44">
        <v>0.87708889801685896</v>
      </c>
      <c r="U44">
        <v>-6.6574189117095699</v>
      </c>
      <c r="V44">
        <v>0.39206136117671297</v>
      </c>
      <c r="W44">
        <v>0.667242504847816</v>
      </c>
      <c r="X44">
        <v>0</v>
      </c>
      <c r="Y44">
        <v>0</v>
      </c>
    </row>
    <row r="45" spans="1:25" x14ac:dyDescent="0.2">
      <c r="A45" t="s">
        <v>190</v>
      </c>
      <c r="B45" t="s">
        <v>191</v>
      </c>
      <c r="C45" t="s">
        <v>192</v>
      </c>
      <c r="D45" t="s">
        <v>193</v>
      </c>
      <c r="E45" t="s">
        <v>191</v>
      </c>
      <c r="F45" t="s">
        <v>28</v>
      </c>
      <c r="G45" t="s">
        <v>191</v>
      </c>
      <c r="H45" t="str">
        <f>"farl-11"</f>
        <v>farl-11</v>
      </c>
      <c r="I45" t="s">
        <v>193</v>
      </c>
      <c r="J45">
        <v>12.3737794419299</v>
      </c>
      <c r="K45">
        <v>12.130765968734099</v>
      </c>
      <c r="L45">
        <v>12.547826193270801</v>
      </c>
      <c r="M45">
        <v>12.964232193092901</v>
      </c>
      <c r="N45">
        <v>12.962125824124501</v>
      </c>
      <c r="O45">
        <v>12.994772790940599</v>
      </c>
      <c r="P45">
        <v>0.62291973474103601</v>
      </c>
      <c r="Q45">
        <v>0.23213876646001699</v>
      </c>
      <c r="R45">
        <v>1.01370070302205</v>
      </c>
      <c r="S45">
        <v>12.7204433386574</v>
      </c>
      <c r="T45">
        <v>3.3647182092065901</v>
      </c>
      <c r="U45">
        <v>-2.5069836710961599</v>
      </c>
      <c r="V45">
        <v>3.7039632553230299E-3</v>
      </c>
      <c r="W45">
        <v>4.42367101496123E-2</v>
      </c>
      <c r="X45">
        <v>0</v>
      </c>
      <c r="Y45">
        <v>0</v>
      </c>
    </row>
    <row r="46" spans="1:25" x14ac:dyDescent="0.2">
      <c r="A46" t="s">
        <v>194</v>
      </c>
      <c r="B46" t="s">
        <v>195</v>
      </c>
      <c r="C46" t="s">
        <v>196</v>
      </c>
      <c r="D46" t="s">
        <v>197</v>
      </c>
      <c r="E46" t="s">
        <v>195</v>
      </c>
      <c r="F46" t="s">
        <v>28</v>
      </c>
      <c r="G46" t="s">
        <v>195</v>
      </c>
      <c r="H46" t="str">
        <f>"hgap-2"</f>
        <v>hgap-2</v>
      </c>
      <c r="I46" t="s">
        <v>197</v>
      </c>
      <c r="J46">
        <v>13.266287489802099</v>
      </c>
      <c r="K46">
        <v>13.514548576489901</v>
      </c>
      <c r="L46">
        <v>13.3624727133802</v>
      </c>
      <c r="M46">
        <v>13.8905576954563</v>
      </c>
      <c r="N46">
        <v>13.3955961093758</v>
      </c>
      <c r="O46">
        <v>13.4812143579409</v>
      </c>
      <c r="P46">
        <v>0.208019794366928</v>
      </c>
      <c r="Q46">
        <v>-0.57960854348730595</v>
      </c>
      <c r="R46">
        <v>0.995648132221162</v>
      </c>
      <c r="S46">
        <v>13.439041766514499</v>
      </c>
      <c r="T46">
        <v>0.55510589932954901</v>
      </c>
      <c r="U46">
        <v>-6.8919847970849997</v>
      </c>
      <c r="V46">
        <v>0.58569498485420302</v>
      </c>
      <c r="W46">
        <v>0.80221954550929897</v>
      </c>
      <c r="X46">
        <v>0</v>
      </c>
      <c r="Y46">
        <v>0</v>
      </c>
    </row>
    <row r="47" spans="1:25" x14ac:dyDescent="0.2">
      <c r="A47" t="s">
        <v>198</v>
      </c>
      <c r="B47" t="s">
        <v>199</v>
      </c>
      <c r="C47" t="s">
        <v>200</v>
      </c>
      <c r="D47" t="s">
        <v>201</v>
      </c>
      <c r="E47" t="s">
        <v>199</v>
      </c>
      <c r="F47" t="s">
        <v>28</v>
      </c>
      <c r="G47" t="s">
        <v>199</v>
      </c>
      <c r="H47" t="str">
        <f>"spat-2"</f>
        <v>spat-2</v>
      </c>
      <c r="I47" t="s">
        <v>201</v>
      </c>
      <c r="J47" t="s">
        <v>29</v>
      </c>
      <c r="K47">
        <v>12.364659983617599</v>
      </c>
      <c r="L47" t="s">
        <v>29</v>
      </c>
      <c r="M47">
        <v>12.2678929507512</v>
      </c>
      <c r="N47">
        <v>12.7314135496374</v>
      </c>
      <c r="O47" t="s">
        <v>29</v>
      </c>
      <c r="P47">
        <v>0.134993266576688</v>
      </c>
      <c r="Q47">
        <v>-0.86641649200452198</v>
      </c>
      <c r="R47">
        <v>1.1364030251579</v>
      </c>
      <c r="S47">
        <v>12.717434976884199</v>
      </c>
      <c r="T47">
        <v>0.30079262084071201</v>
      </c>
      <c r="U47">
        <v>-6.6024220322582501</v>
      </c>
      <c r="V47">
        <v>0.76979776592302995</v>
      </c>
      <c r="W47">
        <v>0.90205498929300598</v>
      </c>
      <c r="X47">
        <v>0</v>
      </c>
      <c r="Y47">
        <v>0</v>
      </c>
    </row>
    <row r="48" spans="1:25" x14ac:dyDescent="0.2">
      <c r="A48" t="s">
        <v>202</v>
      </c>
      <c r="B48" t="s">
        <v>203</v>
      </c>
      <c r="C48" t="s">
        <v>14193</v>
      </c>
      <c r="D48" t="s">
        <v>204</v>
      </c>
      <c r="E48" t="s">
        <v>203</v>
      </c>
      <c r="F48" t="s">
        <v>28</v>
      </c>
      <c r="G48" t="s">
        <v>203</v>
      </c>
      <c r="H48" t="str">
        <f>"Y55F3BR.6"</f>
        <v>Y55F3BR.6</v>
      </c>
      <c r="I48" t="s">
        <v>204</v>
      </c>
      <c r="J48">
        <v>14.228042468245899</v>
      </c>
      <c r="K48" t="s">
        <v>29</v>
      </c>
      <c r="L48" t="s">
        <v>29</v>
      </c>
      <c r="M48">
        <v>14.532864822841599</v>
      </c>
      <c r="N48">
        <v>14.0943348900104</v>
      </c>
      <c r="O48" t="s">
        <v>29</v>
      </c>
      <c r="P48">
        <v>8.5557388180081503E-2</v>
      </c>
      <c r="Q48">
        <v>-1.3936412575435599</v>
      </c>
      <c r="R48">
        <v>1.5647560339037301</v>
      </c>
      <c r="S48">
        <v>14.0705480609725</v>
      </c>
      <c r="T48">
        <v>0.13107966506046401</v>
      </c>
      <c r="U48">
        <v>-6.6417990507618203</v>
      </c>
      <c r="V48">
        <v>0.89862899593461798</v>
      </c>
      <c r="W48">
        <v>0.96438222116194405</v>
      </c>
      <c r="X48">
        <v>0</v>
      </c>
      <c r="Y48">
        <v>0</v>
      </c>
    </row>
    <row r="49" spans="1:25" x14ac:dyDescent="0.2">
      <c r="A49" t="s">
        <v>205</v>
      </c>
      <c r="B49" t="s">
        <v>206</v>
      </c>
      <c r="C49" t="s">
        <v>207</v>
      </c>
      <c r="D49" t="s">
        <v>208</v>
      </c>
      <c r="E49" t="s">
        <v>206</v>
      </c>
      <c r="F49" t="s">
        <v>28</v>
      </c>
      <c r="G49" t="s">
        <v>206</v>
      </c>
      <c r="H49" t="str">
        <f>"vab-10"</f>
        <v>vab-10</v>
      </c>
      <c r="I49" t="s">
        <v>208</v>
      </c>
      <c r="J49">
        <v>14.179956953749899</v>
      </c>
      <c r="K49">
        <v>14.4377412108465</v>
      </c>
      <c r="L49">
        <v>14.2445464099474</v>
      </c>
      <c r="M49">
        <v>15.3850840532939</v>
      </c>
      <c r="N49">
        <v>15.2769804460488</v>
      </c>
      <c r="O49">
        <v>15.420589115264599</v>
      </c>
      <c r="P49">
        <v>1.07346968002118</v>
      </c>
      <c r="Q49">
        <v>0.71927629126210002</v>
      </c>
      <c r="R49">
        <v>1.4276630687802601</v>
      </c>
      <c r="S49">
        <v>14.6073487361127</v>
      </c>
      <c r="T49">
        <v>6.3700353872823801</v>
      </c>
      <c r="U49">
        <v>3.97805570770897</v>
      </c>
      <c r="V49" s="2">
        <v>5.4786429167799401E-6</v>
      </c>
      <c r="W49">
        <v>2.5467862930288502E-4</v>
      </c>
      <c r="X49">
        <v>1</v>
      </c>
      <c r="Y49">
        <v>1</v>
      </c>
    </row>
    <row r="50" spans="1:25" x14ac:dyDescent="0.2">
      <c r="A50" t="s">
        <v>209</v>
      </c>
      <c r="B50" t="s">
        <v>210</v>
      </c>
      <c r="C50" t="s">
        <v>14194</v>
      </c>
      <c r="D50" t="s">
        <v>211</v>
      </c>
      <c r="E50" t="s">
        <v>210</v>
      </c>
      <c r="F50" t="s">
        <v>28</v>
      </c>
      <c r="G50" t="s">
        <v>210</v>
      </c>
      <c r="H50" t="str">
        <f>"F43B10.1"</f>
        <v>F43B10.1</v>
      </c>
      <c r="I50" t="s">
        <v>211</v>
      </c>
      <c r="J50">
        <v>12.5862178820097</v>
      </c>
      <c r="K50">
        <v>13.053102137911599</v>
      </c>
      <c r="L50">
        <v>13.219347741859799</v>
      </c>
      <c r="M50">
        <v>12.8631204364311</v>
      </c>
      <c r="N50">
        <v>12.2953628809662</v>
      </c>
      <c r="O50">
        <v>13.245141972307801</v>
      </c>
      <c r="P50">
        <v>-0.15168082402531399</v>
      </c>
      <c r="Q50">
        <v>-0.64600283971734396</v>
      </c>
      <c r="R50">
        <v>0.34264119166671497</v>
      </c>
      <c r="S50">
        <v>12.891987440011</v>
      </c>
      <c r="T50">
        <v>-0.65083403499988501</v>
      </c>
      <c r="U50">
        <v>-6.8315698547705903</v>
      </c>
      <c r="V50">
        <v>0.52445118831947601</v>
      </c>
      <c r="W50">
        <v>0.76922684031713495</v>
      </c>
      <c r="X50">
        <v>0</v>
      </c>
      <c r="Y50">
        <v>0</v>
      </c>
    </row>
    <row r="51" spans="1:25" x14ac:dyDescent="0.2">
      <c r="A51" t="s">
        <v>212</v>
      </c>
      <c r="B51" t="s">
        <v>213</v>
      </c>
      <c r="C51" t="s">
        <v>14195</v>
      </c>
      <c r="D51" t="s">
        <v>214</v>
      </c>
      <c r="E51" t="s">
        <v>213</v>
      </c>
      <c r="F51" t="s">
        <v>28</v>
      </c>
      <c r="G51" t="s">
        <v>213</v>
      </c>
      <c r="H51" t="str">
        <f>"H05L14.2"</f>
        <v>H05L14.2</v>
      </c>
      <c r="I51" t="s">
        <v>214</v>
      </c>
      <c r="J51">
        <v>11.6333501971164</v>
      </c>
      <c r="K51">
        <v>11.092310578738299</v>
      </c>
      <c r="L51">
        <v>12.0330338834797</v>
      </c>
      <c r="M51" t="s">
        <v>29</v>
      </c>
      <c r="N51">
        <v>11.6755058877484</v>
      </c>
      <c r="O51" t="s">
        <v>29</v>
      </c>
      <c r="P51">
        <v>8.9274334636888497E-2</v>
      </c>
      <c r="Q51">
        <v>-0.65713832262997296</v>
      </c>
      <c r="R51">
        <v>0.83568699190374995</v>
      </c>
      <c r="S51">
        <v>12.169680910982899</v>
      </c>
      <c r="T51">
        <v>0.25508753235795401</v>
      </c>
      <c r="U51">
        <v>-6.6750339214447703</v>
      </c>
      <c r="V51">
        <v>0.802144054435869</v>
      </c>
      <c r="W51">
        <v>0.91658288966993196</v>
      </c>
      <c r="X51">
        <v>0</v>
      </c>
      <c r="Y51">
        <v>0</v>
      </c>
    </row>
    <row r="52" spans="1:25" x14ac:dyDescent="0.2">
      <c r="A52" t="s">
        <v>215</v>
      </c>
      <c r="B52" t="s">
        <v>216</v>
      </c>
      <c r="C52" t="s">
        <v>217</v>
      </c>
      <c r="D52" t="s">
        <v>218</v>
      </c>
      <c r="E52" t="s">
        <v>216</v>
      </c>
      <c r="F52" t="s">
        <v>28</v>
      </c>
      <c r="G52" t="s">
        <v>216</v>
      </c>
      <c r="H52" t="str">
        <f>"ubc-15"</f>
        <v>ubc-15</v>
      </c>
      <c r="I52" t="s">
        <v>218</v>
      </c>
      <c r="J52" t="s">
        <v>29</v>
      </c>
      <c r="K52" t="s">
        <v>29</v>
      </c>
      <c r="L52" t="s">
        <v>29</v>
      </c>
      <c r="M52" t="s">
        <v>29</v>
      </c>
      <c r="N52" t="s">
        <v>29</v>
      </c>
      <c r="O52" t="s">
        <v>29</v>
      </c>
      <c r="P52" t="s">
        <v>29</v>
      </c>
      <c r="Q52" t="s">
        <v>29</v>
      </c>
      <c r="R52" t="s">
        <v>29</v>
      </c>
      <c r="S52">
        <v>12.4103078793504</v>
      </c>
      <c r="T52" t="s">
        <v>29</v>
      </c>
      <c r="U52" t="s">
        <v>29</v>
      </c>
      <c r="V52" t="s">
        <v>29</v>
      </c>
      <c r="W52" t="s">
        <v>29</v>
      </c>
      <c r="X52" t="s">
        <v>29</v>
      </c>
      <c r="Y52" t="s">
        <v>29</v>
      </c>
    </row>
    <row r="53" spans="1:25" x14ac:dyDescent="0.2">
      <c r="A53" t="s">
        <v>219</v>
      </c>
      <c r="B53" t="s">
        <v>220</v>
      </c>
      <c r="C53" t="s">
        <v>14196</v>
      </c>
      <c r="D53" t="s">
        <v>221</v>
      </c>
      <c r="E53" t="s">
        <v>220</v>
      </c>
      <c r="F53" t="s">
        <v>28</v>
      </c>
      <c r="G53" t="s">
        <v>220</v>
      </c>
      <c r="H53" t="str">
        <f>"F42G2.2"</f>
        <v>F42G2.2</v>
      </c>
      <c r="I53" t="s">
        <v>221</v>
      </c>
      <c r="J53" t="s">
        <v>29</v>
      </c>
      <c r="K53" t="s">
        <v>29</v>
      </c>
      <c r="L53">
        <v>11.7749973551536</v>
      </c>
      <c r="M53" t="s">
        <v>29</v>
      </c>
      <c r="N53" t="s">
        <v>29</v>
      </c>
      <c r="O53">
        <v>12.0230233159386</v>
      </c>
      <c r="P53">
        <v>0.24802596078499001</v>
      </c>
      <c r="Q53">
        <v>-0.87739298367579799</v>
      </c>
      <c r="R53">
        <v>1.37344490524578</v>
      </c>
      <c r="S53">
        <v>11.8522968350778</v>
      </c>
      <c r="T53">
        <v>0.49175616088222801</v>
      </c>
      <c r="U53">
        <v>-6.3814294650825598</v>
      </c>
      <c r="V53">
        <v>0.63361724803901698</v>
      </c>
      <c r="W53">
        <v>0.83161504181452395</v>
      </c>
      <c r="X53">
        <v>0</v>
      </c>
      <c r="Y53">
        <v>0</v>
      </c>
    </row>
    <row r="54" spans="1:25" x14ac:dyDescent="0.2">
      <c r="A54" t="s">
        <v>222</v>
      </c>
      <c r="B54" t="s">
        <v>223</v>
      </c>
      <c r="C54" t="s">
        <v>224</v>
      </c>
      <c r="D54" t="s">
        <v>225</v>
      </c>
      <c r="E54" t="s">
        <v>223</v>
      </c>
      <c r="F54" t="s">
        <v>28</v>
      </c>
      <c r="G54" t="s">
        <v>223</v>
      </c>
      <c r="H54" t="str">
        <f>"aakg-1"</f>
        <v>aakg-1</v>
      </c>
      <c r="I54" t="s">
        <v>225</v>
      </c>
      <c r="J54">
        <v>12.022926156126699</v>
      </c>
      <c r="K54">
        <v>12.415505450300101</v>
      </c>
      <c r="L54">
        <v>11.617307840359301</v>
      </c>
      <c r="M54">
        <v>12.504590361890299</v>
      </c>
      <c r="N54">
        <v>13.1494301178382</v>
      </c>
      <c r="O54">
        <v>12.6084961728663</v>
      </c>
      <c r="P54">
        <v>0.735592401936218</v>
      </c>
      <c r="Q54">
        <v>0.26981575609104103</v>
      </c>
      <c r="R54">
        <v>1.2013690477814001</v>
      </c>
      <c r="S54">
        <v>12.603750103843501</v>
      </c>
      <c r="T54">
        <v>3.3497242352565801</v>
      </c>
      <c r="U54">
        <v>-2.5838968485908902</v>
      </c>
      <c r="V54">
        <v>4.1006074870955297E-3</v>
      </c>
      <c r="W54">
        <v>4.7149741212045397E-2</v>
      </c>
      <c r="X54">
        <v>0</v>
      </c>
      <c r="Y54">
        <v>0</v>
      </c>
    </row>
    <row r="55" spans="1:25" x14ac:dyDescent="0.2">
      <c r="A55" t="s">
        <v>226</v>
      </c>
      <c r="B55" t="s">
        <v>227</v>
      </c>
      <c r="C55" t="s">
        <v>228</v>
      </c>
      <c r="D55" t="s">
        <v>229</v>
      </c>
      <c r="E55" t="s">
        <v>227</v>
      </c>
      <c r="F55" t="s">
        <v>28</v>
      </c>
      <c r="G55" t="s">
        <v>227</v>
      </c>
      <c r="H55" t="str">
        <f>"argn-1"</f>
        <v>argn-1</v>
      </c>
      <c r="I55" t="s">
        <v>229</v>
      </c>
      <c r="J55">
        <v>13.176354262628999</v>
      </c>
      <c r="K55">
        <v>12.971672319152599</v>
      </c>
      <c r="L55">
        <v>13.6400111841814</v>
      </c>
      <c r="M55">
        <v>13.219418841256999</v>
      </c>
      <c r="N55">
        <v>13.554778270708701</v>
      </c>
      <c r="O55">
        <v>13.0360918933123</v>
      </c>
      <c r="P55">
        <v>7.4170797716597301E-3</v>
      </c>
      <c r="Q55">
        <v>-0.412826828347029</v>
      </c>
      <c r="R55">
        <v>0.42766098789034801</v>
      </c>
      <c r="S55">
        <v>13.3787151124024</v>
      </c>
      <c r="T55">
        <v>3.7254739971751799E-2</v>
      </c>
      <c r="U55">
        <v>-7.0513568379065301</v>
      </c>
      <c r="V55">
        <v>0.97071854925914602</v>
      </c>
      <c r="W55">
        <v>0.983653461617497</v>
      </c>
      <c r="X55">
        <v>0</v>
      </c>
      <c r="Y55">
        <v>0</v>
      </c>
    </row>
    <row r="56" spans="1:25" x14ac:dyDescent="0.2">
      <c r="A56" t="s">
        <v>230</v>
      </c>
      <c r="B56" t="s">
        <v>231</v>
      </c>
      <c r="C56" t="s">
        <v>232</v>
      </c>
      <c r="D56" t="s">
        <v>233</v>
      </c>
      <c r="E56" t="s">
        <v>231</v>
      </c>
      <c r="F56" t="s">
        <v>28</v>
      </c>
      <c r="G56" t="s">
        <v>231</v>
      </c>
      <c r="H56" t="str">
        <f>"unc-108"</f>
        <v>unc-108</v>
      </c>
      <c r="I56" t="s">
        <v>233</v>
      </c>
      <c r="J56">
        <v>15.204015792641</v>
      </c>
      <c r="K56">
        <v>15.258716210621699</v>
      </c>
      <c r="L56">
        <v>14.7111165174394</v>
      </c>
      <c r="M56">
        <v>15.6420378866127</v>
      </c>
      <c r="N56">
        <v>14.4849074394866</v>
      </c>
      <c r="O56">
        <v>14.830284176494301</v>
      </c>
      <c r="P56">
        <v>-7.2206339369509806E-2</v>
      </c>
      <c r="Q56">
        <v>-0.72685939906608998</v>
      </c>
      <c r="R56">
        <v>0.58244672032707001</v>
      </c>
      <c r="S56">
        <v>14.306495191261099</v>
      </c>
      <c r="T56">
        <v>-0.231823062804457</v>
      </c>
      <c r="U56">
        <v>-7.0239647625219304</v>
      </c>
      <c r="V56">
        <v>0.81930571082229997</v>
      </c>
      <c r="W56">
        <v>0.92409732513544696</v>
      </c>
      <c r="X56">
        <v>0</v>
      </c>
      <c r="Y56">
        <v>0</v>
      </c>
    </row>
    <row r="57" spans="1:25" x14ac:dyDescent="0.2">
      <c r="A57" t="s">
        <v>234</v>
      </c>
      <c r="B57" t="s">
        <v>235</v>
      </c>
      <c r="C57" t="s">
        <v>236</v>
      </c>
      <c r="D57" t="s">
        <v>237</v>
      </c>
      <c r="E57" t="s">
        <v>235</v>
      </c>
      <c r="F57" t="s">
        <v>28</v>
      </c>
      <c r="G57" t="s">
        <v>235</v>
      </c>
      <c r="H57" t="str">
        <f>"ampd-1"</f>
        <v>ampd-1</v>
      </c>
      <c r="I57" t="s">
        <v>237</v>
      </c>
      <c r="J57">
        <v>12.726094433296501</v>
      </c>
      <c r="K57">
        <v>11.783712190855301</v>
      </c>
      <c r="L57">
        <v>12.351551426175501</v>
      </c>
      <c r="M57">
        <v>17.4336627733929</v>
      </c>
      <c r="N57">
        <v>17.721042359523501</v>
      </c>
      <c r="O57">
        <v>17.103165096112399</v>
      </c>
      <c r="P57">
        <v>5.1321707262338396</v>
      </c>
      <c r="Q57">
        <v>4.3096417019426703</v>
      </c>
      <c r="R57">
        <v>5.9546997505250099</v>
      </c>
      <c r="S57">
        <v>15.958799802712999</v>
      </c>
      <c r="T57">
        <v>13.114217331228</v>
      </c>
      <c r="U57">
        <v>14.617328627447799</v>
      </c>
      <c r="V57" s="2">
        <v>1.2909487240867999E-10</v>
      </c>
      <c r="W57" s="2">
        <v>4.66749683130938E-8</v>
      </c>
      <c r="X57">
        <v>1</v>
      </c>
      <c r="Y57">
        <v>1</v>
      </c>
    </row>
    <row r="58" spans="1:25" x14ac:dyDescent="0.2">
      <c r="A58" t="s">
        <v>238</v>
      </c>
      <c r="B58" t="s">
        <v>239</v>
      </c>
      <c r="C58" t="s">
        <v>240</v>
      </c>
      <c r="D58" t="s">
        <v>241</v>
      </c>
      <c r="E58" t="s">
        <v>239</v>
      </c>
      <c r="F58" t="s">
        <v>28</v>
      </c>
      <c r="G58" t="s">
        <v>239</v>
      </c>
      <c r="H58" t="str">
        <f>"unc-68"</f>
        <v>unc-68</v>
      </c>
      <c r="I58" t="s">
        <v>241</v>
      </c>
      <c r="J58">
        <v>11.668501225041901</v>
      </c>
      <c r="K58">
        <v>11.7646107681313</v>
      </c>
      <c r="L58">
        <v>11.0104726657997</v>
      </c>
      <c r="M58">
        <v>11.081443386819799</v>
      </c>
      <c r="N58">
        <v>11.236821514822299</v>
      </c>
      <c r="O58">
        <v>11.419373265741401</v>
      </c>
      <c r="P58">
        <v>-0.235315497196462</v>
      </c>
      <c r="Q58">
        <v>-0.84769299871032699</v>
      </c>
      <c r="R58">
        <v>0.377062004317404</v>
      </c>
      <c r="S58">
        <v>11.2030041267413</v>
      </c>
      <c r="T58">
        <v>-0.81111291421206</v>
      </c>
      <c r="U58">
        <v>-6.7128351141264302</v>
      </c>
      <c r="V58">
        <v>0.42858005585301201</v>
      </c>
      <c r="W58">
        <v>0.69757773964578895</v>
      </c>
      <c r="X58">
        <v>0</v>
      </c>
      <c r="Y58">
        <v>0</v>
      </c>
    </row>
    <row r="59" spans="1:25" x14ac:dyDescent="0.2">
      <c r="A59" t="s">
        <v>242</v>
      </c>
      <c r="B59" t="s">
        <v>243</v>
      </c>
      <c r="C59" t="s">
        <v>244</v>
      </c>
      <c r="D59" t="s">
        <v>245</v>
      </c>
      <c r="E59" t="s">
        <v>243</v>
      </c>
      <c r="F59" t="s">
        <v>28</v>
      </c>
      <c r="G59" t="s">
        <v>243</v>
      </c>
      <c r="H59" t="str">
        <f>"C25H3.11"</f>
        <v>C25H3.11</v>
      </c>
      <c r="I59" t="s">
        <v>245</v>
      </c>
      <c r="J59">
        <v>10.949068131483701</v>
      </c>
      <c r="K59">
        <v>9.1988829662563703</v>
      </c>
      <c r="L59">
        <v>11.292826433694101</v>
      </c>
      <c r="M59">
        <v>10.544824815438499</v>
      </c>
      <c r="N59">
        <v>12.057522594732999</v>
      </c>
      <c r="O59">
        <v>10.8597682402518</v>
      </c>
      <c r="P59">
        <v>0.67377937299638901</v>
      </c>
      <c r="Q59">
        <v>-0.41686781553329399</v>
      </c>
      <c r="R59">
        <v>1.7644265615260699</v>
      </c>
      <c r="S59">
        <v>10.5786249075736</v>
      </c>
      <c r="T59">
        <v>1.31757405115455</v>
      </c>
      <c r="U59">
        <v>-6.1827301053591999</v>
      </c>
      <c r="V59">
        <v>0.207553842810006</v>
      </c>
      <c r="W59">
        <v>0.47175090486071902</v>
      </c>
      <c r="X59">
        <v>0</v>
      </c>
      <c r="Y59">
        <v>0</v>
      </c>
    </row>
    <row r="60" spans="1:25" x14ac:dyDescent="0.2">
      <c r="A60" t="s">
        <v>246</v>
      </c>
      <c r="B60" t="s">
        <v>247</v>
      </c>
      <c r="C60" t="s">
        <v>248</v>
      </c>
      <c r="D60" t="s">
        <v>218</v>
      </c>
      <c r="E60" t="s">
        <v>247</v>
      </c>
      <c r="F60" t="s">
        <v>28</v>
      </c>
      <c r="G60" t="s">
        <v>247</v>
      </c>
      <c r="H60" t="str">
        <f>"ubc-26"</f>
        <v>ubc-26</v>
      </c>
      <c r="I60" t="s">
        <v>218</v>
      </c>
      <c r="J60">
        <v>13.0304877162895</v>
      </c>
      <c r="K60">
        <v>13.2428179381898</v>
      </c>
      <c r="L60">
        <v>13.706172229730999</v>
      </c>
      <c r="M60">
        <v>13.0629866194725</v>
      </c>
      <c r="N60">
        <v>13.416363100921799</v>
      </c>
      <c r="O60">
        <v>13.2825917854047</v>
      </c>
      <c r="P60">
        <v>-7.2512126137040098E-2</v>
      </c>
      <c r="Q60">
        <v>-0.47834510640419298</v>
      </c>
      <c r="R60">
        <v>0.33332085413011298</v>
      </c>
      <c r="S60">
        <v>13.3339863567112</v>
      </c>
      <c r="T60">
        <v>-0.37714930793492302</v>
      </c>
      <c r="U60">
        <v>-6.9776245957232197</v>
      </c>
      <c r="V60">
        <v>0.71075807944260205</v>
      </c>
      <c r="W60">
        <v>0.87144189544318995</v>
      </c>
      <c r="X60">
        <v>0</v>
      </c>
      <c r="Y60">
        <v>0</v>
      </c>
    </row>
    <row r="61" spans="1:25" x14ac:dyDescent="0.2">
      <c r="A61" t="s">
        <v>249</v>
      </c>
      <c r="B61" t="s">
        <v>250</v>
      </c>
      <c r="C61" t="s">
        <v>251</v>
      </c>
      <c r="D61" t="s">
        <v>252</v>
      </c>
      <c r="E61" t="s">
        <v>250</v>
      </c>
      <c r="F61" t="s">
        <v>28</v>
      </c>
      <c r="G61" t="s">
        <v>250</v>
      </c>
      <c r="H61" t="str">
        <f>"rbm-26"</f>
        <v>rbm-26</v>
      </c>
      <c r="I61" t="s">
        <v>252</v>
      </c>
      <c r="J61" t="s">
        <v>29</v>
      </c>
      <c r="K61" t="s">
        <v>29</v>
      </c>
      <c r="L61" t="s">
        <v>29</v>
      </c>
      <c r="M61" t="s">
        <v>29</v>
      </c>
      <c r="N61" t="s">
        <v>29</v>
      </c>
      <c r="O61" t="s">
        <v>29</v>
      </c>
      <c r="P61" t="s">
        <v>29</v>
      </c>
      <c r="Q61" t="s">
        <v>29</v>
      </c>
      <c r="R61" t="s">
        <v>29</v>
      </c>
      <c r="S61">
        <v>12.116946644335</v>
      </c>
      <c r="T61" t="s">
        <v>29</v>
      </c>
      <c r="U61" t="s">
        <v>29</v>
      </c>
      <c r="V61" t="s">
        <v>29</v>
      </c>
      <c r="W61" t="s">
        <v>29</v>
      </c>
      <c r="X61" t="s">
        <v>29</v>
      </c>
      <c r="Y61" t="s">
        <v>29</v>
      </c>
    </row>
    <row r="62" spans="1:25" x14ac:dyDescent="0.2">
      <c r="A62" t="s">
        <v>253</v>
      </c>
      <c r="B62" t="s">
        <v>254</v>
      </c>
      <c r="C62" t="s">
        <v>255</v>
      </c>
      <c r="D62" t="s">
        <v>256</v>
      </c>
      <c r="E62" t="s">
        <v>254</v>
      </c>
      <c r="F62" t="s">
        <v>28</v>
      </c>
      <c r="G62" t="s">
        <v>254</v>
      </c>
      <c r="H62" t="str">
        <f>"popl-7"</f>
        <v>popl-7</v>
      </c>
      <c r="I62" t="s">
        <v>256</v>
      </c>
      <c r="J62">
        <v>12.661963338902</v>
      </c>
      <c r="K62">
        <v>12.6445809519506</v>
      </c>
      <c r="L62">
        <v>13.080964895317001</v>
      </c>
      <c r="M62">
        <v>12.9020320889831</v>
      </c>
      <c r="N62">
        <v>12.8096932884308</v>
      </c>
      <c r="O62">
        <v>12.9048969629485</v>
      </c>
      <c r="P62">
        <v>7.6371051397627496E-2</v>
      </c>
      <c r="Q62">
        <v>-0.53382054399591405</v>
      </c>
      <c r="R62">
        <v>0.68656264679116896</v>
      </c>
      <c r="S62">
        <v>12.764272222603999</v>
      </c>
      <c r="T62">
        <v>0.26546793884736603</v>
      </c>
      <c r="U62">
        <v>-7.0149908218031696</v>
      </c>
      <c r="V62">
        <v>0.79406121800210006</v>
      </c>
      <c r="W62">
        <v>0.91517844850619501</v>
      </c>
      <c r="X62">
        <v>0</v>
      </c>
      <c r="Y62">
        <v>0</v>
      </c>
    </row>
    <row r="63" spans="1:25" x14ac:dyDescent="0.2">
      <c r="A63" t="s">
        <v>257</v>
      </c>
      <c r="B63" t="s">
        <v>258</v>
      </c>
      <c r="C63" t="s">
        <v>14197</v>
      </c>
      <c r="D63" t="s">
        <v>259</v>
      </c>
      <c r="E63" t="s">
        <v>258</v>
      </c>
      <c r="F63" t="s">
        <v>28</v>
      </c>
      <c r="G63" t="s">
        <v>258</v>
      </c>
      <c r="H63" t="str">
        <f>"Y48E1B.17"</f>
        <v>Y48E1B.17</v>
      </c>
      <c r="I63" t="s">
        <v>259</v>
      </c>
      <c r="J63" t="s">
        <v>29</v>
      </c>
      <c r="K63">
        <v>10.004524028772</v>
      </c>
      <c r="L63" t="s">
        <v>29</v>
      </c>
      <c r="M63" t="s">
        <v>29</v>
      </c>
      <c r="N63" t="s">
        <v>29</v>
      </c>
      <c r="O63" t="s">
        <v>29</v>
      </c>
      <c r="P63" t="s">
        <v>29</v>
      </c>
      <c r="Q63" t="s">
        <v>29</v>
      </c>
      <c r="R63" t="s">
        <v>29</v>
      </c>
      <c r="S63">
        <v>10.934123658481299</v>
      </c>
      <c r="T63" t="s">
        <v>29</v>
      </c>
      <c r="U63" t="s">
        <v>29</v>
      </c>
      <c r="V63" t="s">
        <v>29</v>
      </c>
      <c r="W63" t="s">
        <v>29</v>
      </c>
      <c r="X63" t="s">
        <v>29</v>
      </c>
      <c r="Y63" t="s">
        <v>29</v>
      </c>
    </row>
    <row r="64" spans="1:25" x14ac:dyDescent="0.2">
      <c r="A64" t="s">
        <v>260</v>
      </c>
      <c r="B64" t="s">
        <v>261</v>
      </c>
      <c r="C64" t="s">
        <v>14198</v>
      </c>
      <c r="D64" t="s">
        <v>262</v>
      </c>
      <c r="E64" t="s">
        <v>261</v>
      </c>
      <c r="F64" t="s">
        <v>28</v>
      </c>
      <c r="G64" t="s">
        <v>261</v>
      </c>
      <c r="H64" t="str">
        <f>"Y55F3C.17"</f>
        <v>Y55F3C.17</v>
      </c>
      <c r="I64" t="s">
        <v>262</v>
      </c>
      <c r="J64">
        <v>13.3713843315209</v>
      </c>
      <c r="K64">
        <v>13.8938146839377</v>
      </c>
      <c r="L64">
        <v>13.449076791245799</v>
      </c>
      <c r="M64">
        <v>13.8022221919591</v>
      </c>
      <c r="N64" t="s">
        <v>29</v>
      </c>
      <c r="O64">
        <v>14.2534652406557</v>
      </c>
      <c r="P64">
        <v>0.45641844740592502</v>
      </c>
      <c r="Q64">
        <v>-0.25254769768336299</v>
      </c>
      <c r="R64">
        <v>1.16538459249521</v>
      </c>
      <c r="S64">
        <v>13.4553214115153</v>
      </c>
      <c r="T64">
        <v>1.3730276973637101</v>
      </c>
      <c r="U64">
        <v>-6.0035049624524701</v>
      </c>
      <c r="V64">
        <v>0.19006192896499899</v>
      </c>
      <c r="W64">
        <v>0.451761517057783</v>
      </c>
      <c r="X64">
        <v>0</v>
      </c>
      <c r="Y64">
        <v>0</v>
      </c>
    </row>
    <row r="65" spans="1:25" x14ac:dyDescent="0.2">
      <c r="A65" t="s">
        <v>263</v>
      </c>
      <c r="B65" t="s">
        <v>264</v>
      </c>
      <c r="C65" t="s">
        <v>265</v>
      </c>
      <c r="D65" t="s">
        <v>266</v>
      </c>
      <c r="E65" t="s">
        <v>264</v>
      </c>
      <c r="F65" t="s">
        <v>28</v>
      </c>
      <c r="G65" t="s">
        <v>264</v>
      </c>
      <c r="H65" t="str">
        <f>"abts-3"</f>
        <v>abts-3</v>
      </c>
      <c r="I65" t="s">
        <v>266</v>
      </c>
      <c r="J65">
        <v>11.9899415223493</v>
      </c>
      <c r="K65">
        <v>12.4214031280351</v>
      </c>
      <c r="L65">
        <v>12.2406066694959</v>
      </c>
      <c r="M65">
        <v>12.781372125661299</v>
      </c>
      <c r="N65">
        <v>10.420889271762601</v>
      </c>
      <c r="O65">
        <v>12.592998960743399</v>
      </c>
      <c r="P65">
        <v>-0.28556365390430999</v>
      </c>
      <c r="Q65">
        <v>-1.2348413654858299</v>
      </c>
      <c r="R65">
        <v>0.66371405767721403</v>
      </c>
      <c r="S65">
        <v>12.7624767933876</v>
      </c>
      <c r="T65">
        <v>-0.63805655700630504</v>
      </c>
      <c r="U65">
        <v>-6.8400351423609704</v>
      </c>
      <c r="V65">
        <v>0.53252226192982399</v>
      </c>
      <c r="W65">
        <v>0.774860157186959</v>
      </c>
      <c r="X65">
        <v>0</v>
      </c>
      <c r="Y65">
        <v>0</v>
      </c>
    </row>
    <row r="66" spans="1:25" x14ac:dyDescent="0.2">
      <c r="A66" t="s">
        <v>267</v>
      </c>
      <c r="B66" t="s">
        <v>268</v>
      </c>
      <c r="C66" t="s">
        <v>269</v>
      </c>
      <c r="D66" t="s">
        <v>270</v>
      </c>
      <c r="E66" t="s">
        <v>268</v>
      </c>
      <c r="F66" t="s">
        <v>28</v>
      </c>
      <c r="G66" t="s">
        <v>268</v>
      </c>
      <c r="H66" t="str">
        <f>"grd-6"</f>
        <v>grd-6</v>
      </c>
      <c r="I66" t="s">
        <v>270</v>
      </c>
      <c r="J66" t="s">
        <v>29</v>
      </c>
      <c r="K66">
        <v>13.106788590240001</v>
      </c>
      <c r="L66">
        <v>12.788298635310101</v>
      </c>
      <c r="M66" t="s">
        <v>29</v>
      </c>
      <c r="N66">
        <v>13.0880290091281</v>
      </c>
      <c r="O66" t="s">
        <v>29</v>
      </c>
      <c r="P66">
        <v>0.14048539635308399</v>
      </c>
      <c r="Q66">
        <v>-0.58057410372112395</v>
      </c>
      <c r="R66">
        <v>0.86154489642729104</v>
      </c>
      <c r="S66">
        <v>13.0365761850497</v>
      </c>
      <c r="T66">
        <v>0.429326574468674</v>
      </c>
      <c r="U66">
        <v>-6.5530593657760399</v>
      </c>
      <c r="V66">
        <v>0.67605233512005303</v>
      </c>
      <c r="W66">
        <v>0.85541145012261999</v>
      </c>
      <c r="X66">
        <v>0</v>
      </c>
      <c r="Y66">
        <v>0</v>
      </c>
    </row>
    <row r="67" spans="1:25" x14ac:dyDescent="0.2">
      <c r="A67" t="s">
        <v>271</v>
      </c>
      <c r="B67" t="s">
        <v>272</v>
      </c>
      <c r="C67" t="s">
        <v>273</v>
      </c>
      <c r="D67" t="s">
        <v>274</v>
      </c>
      <c r="E67" t="s">
        <v>272</v>
      </c>
      <c r="F67" t="s">
        <v>28</v>
      </c>
      <c r="G67" t="s">
        <v>272</v>
      </c>
      <c r="H67" t="str">
        <f>"tsr-1"</f>
        <v>tsr-1</v>
      </c>
      <c r="I67" t="s">
        <v>274</v>
      </c>
      <c r="J67">
        <v>12.287667062648</v>
      </c>
      <c r="K67" t="s">
        <v>29</v>
      </c>
      <c r="L67">
        <v>12.2043153021382</v>
      </c>
      <c r="M67">
        <v>11.4275928844327</v>
      </c>
      <c r="N67">
        <v>11.6076582312479</v>
      </c>
      <c r="O67">
        <v>12.1416259208877</v>
      </c>
      <c r="P67">
        <v>-0.52036550353700795</v>
      </c>
      <c r="Q67">
        <v>-1.2587743838155501</v>
      </c>
      <c r="R67">
        <v>0.21804337674153501</v>
      </c>
      <c r="S67">
        <v>12.266053404641401</v>
      </c>
      <c r="T67">
        <v>-1.50297997098724</v>
      </c>
      <c r="U67">
        <v>-5.8302584647689901</v>
      </c>
      <c r="V67">
        <v>0.15374789037336001</v>
      </c>
      <c r="W67">
        <v>0.40569046233670703</v>
      </c>
      <c r="X67">
        <v>0</v>
      </c>
      <c r="Y67">
        <v>0</v>
      </c>
    </row>
    <row r="68" spans="1:25" x14ac:dyDescent="0.2">
      <c r="A68" t="s">
        <v>275</v>
      </c>
      <c r="B68" t="s">
        <v>276</v>
      </c>
      <c r="C68" t="s">
        <v>277</v>
      </c>
      <c r="D68" t="s">
        <v>278</v>
      </c>
      <c r="E68" t="s">
        <v>276</v>
      </c>
      <c r="F68" t="s">
        <v>28</v>
      </c>
      <c r="G68" t="s">
        <v>276</v>
      </c>
      <c r="H68" t="str">
        <f>"tag-296"</f>
        <v>tag-296</v>
      </c>
      <c r="I68" t="s">
        <v>278</v>
      </c>
      <c r="J68" t="s">
        <v>29</v>
      </c>
      <c r="K68" t="s">
        <v>29</v>
      </c>
      <c r="L68">
        <v>11.391877686451201</v>
      </c>
      <c r="M68" t="s">
        <v>29</v>
      </c>
      <c r="N68">
        <v>11.594101648073501</v>
      </c>
      <c r="O68">
        <v>10.363177586486101</v>
      </c>
      <c r="P68">
        <v>-0.41323806917137401</v>
      </c>
      <c r="Q68">
        <v>-1.8809014302507501</v>
      </c>
      <c r="R68">
        <v>1.0544252919079999</v>
      </c>
      <c r="S68">
        <v>11.981490566472401</v>
      </c>
      <c r="T68">
        <v>-0.61407141799660003</v>
      </c>
      <c r="U68">
        <v>-6.4533162434935996</v>
      </c>
      <c r="V68">
        <v>0.55073218979759797</v>
      </c>
      <c r="W68">
        <v>0.78026605923509895</v>
      </c>
      <c r="X68">
        <v>0</v>
      </c>
      <c r="Y68">
        <v>0</v>
      </c>
    </row>
    <row r="69" spans="1:25" x14ac:dyDescent="0.2">
      <c r="A69" t="s">
        <v>279</v>
      </c>
      <c r="B69" t="s">
        <v>280</v>
      </c>
      <c r="C69" t="s">
        <v>281</v>
      </c>
      <c r="D69" t="s">
        <v>282</v>
      </c>
      <c r="E69" t="s">
        <v>280</v>
      </c>
      <c r="F69" t="s">
        <v>28</v>
      </c>
      <c r="G69" t="s">
        <v>280</v>
      </c>
      <c r="H69" t="str">
        <f>"golg-4"</f>
        <v>golg-4</v>
      </c>
      <c r="I69" t="s">
        <v>282</v>
      </c>
      <c r="J69" t="s">
        <v>29</v>
      </c>
      <c r="K69" t="s">
        <v>29</v>
      </c>
      <c r="L69">
        <v>11.7186021239142</v>
      </c>
      <c r="M69">
        <v>13.412801787361101</v>
      </c>
      <c r="N69">
        <v>13.3946628351248</v>
      </c>
      <c r="O69">
        <v>12.867002710557699</v>
      </c>
      <c r="P69">
        <v>1.50622032043364</v>
      </c>
      <c r="Q69">
        <v>0.40716983114040201</v>
      </c>
      <c r="R69">
        <v>2.60527080972689</v>
      </c>
      <c r="S69">
        <v>12.1251675915577</v>
      </c>
      <c r="T69">
        <v>2.9414586745725599</v>
      </c>
      <c r="U69">
        <v>-3.17128508209947</v>
      </c>
      <c r="V69">
        <v>1.079670027819E-2</v>
      </c>
      <c r="W69">
        <v>9.2697790778971806E-2</v>
      </c>
      <c r="X69">
        <v>1</v>
      </c>
      <c r="Y69">
        <v>0</v>
      </c>
    </row>
    <row r="70" spans="1:25" x14ac:dyDescent="0.2">
      <c r="A70" t="s">
        <v>283</v>
      </c>
      <c r="B70" t="s">
        <v>284</v>
      </c>
      <c r="C70" t="s">
        <v>285</v>
      </c>
      <c r="D70" t="s">
        <v>286</v>
      </c>
      <c r="E70" t="s">
        <v>284</v>
      </c>
      <c r="F70" t="s">
        <v>28</v>
      </c>
      <c r="G70" t="s">
        <v>284</v>
      </c>
      <c r="H70" t="str">
        <f>"arx-3"</f>
        <v>arx-3</v>
      </c>
      <c r="I70" t="s">
        <v>286</v>
      </c>
      <c r="J70">
        <v>15.1930163342673</v>
      </c>
      <c r="K70">
        <v>15.495005531883599</v>
      </c>
      <c r="L70">
        <v>15.222398888755301</v>
      </c>
      <c r="M70">
        <v>15.162785906003901</v>
      </c>
      <c r="N70">
        <v>15.444062749268401</v>
      </c>
      <c r="O70">
        <v>15.1651659539072</v>
      </c>
      <c r="P70">
        <v>-4.6135381908881001E-2</v>
      </c>
      <c r="Q70">
        <v>-0.44119641980593399</v>
      </c>
      <c r="R70">
        <v>0.34892565598817199</v>
      </c>
      <c r="S70">
        <v>14.872964295287399</v>
      </c>
      <c r="T70">
        <v>-0.24650170800088</v>
      </c>
      <c r="U70">
        <v>-7.0202006863837001</v>
      </c>
      <c r="V70">
        <v>0.80826394784951605</v>
      </c>
      <c r="W70">
        <v>0.91833642628581302</v>
      </c>
      <c r="X70">
        <v>0</v>
      </c>
      <c r="Y70">
        <v>0</v>
      </c>
    </row>
    <row r="71" spans="1:25" x14ac:dyDescent="0.2">
      <c r="A71" t="s">
        <v>287</v>
      </c>
      <c r="B71" t="s">
        <v>288</v>
      </c>
      <c r="C71" t="s">
        <v>289</v>
      </c>
      <c r="D71" t="s">
        <v>290</v>
      </c>
      <c r="E71" t="s">
        <v>288</v>
      </c>
      <c r="F71" t="s">
        <v>28</v>
      </c>
      <c r="G71" t="s">
        <v>288</v>
      </c>
      <c r="H71" t="str">
        <f>"tag-241"</f>
        <v>tag-241</v>
      </c>
      <c r="I71" t="s">
        <v>290</v>
      </c>
      <c r="J71" t="s">
        <v>29</v>
      </c>
      <c r="K71" t="s">
        <v>29</v>
      </c>
      <c r="L71">
        <v>11.025936775173401</v>
      </c>
      <c r="M71" t="s">
        <v>29</v>
      </c>
      <c r="N71" t="s">
        <v>29</v>
      </c>
      <c r="O71" t="s">
        <v>29</v>
      </c>
      <c r="P71" t="s">
        <v>29</v>
      </c>
      <c r="Q71" t="s">
        <v>29</v>
      </c>
      <c r="R71" t="s">
        <v>29</v>
      </c>
      <c r="S71">
        <v>11.593738286432099</v>
      </c>
      <c r="T71" t="s">
        <v>29</v>
      </c>
      <c r="U71" t="s">
        <v>29</v>
      </c>
      <c r="V71" t="s">
        <v>29</v>
      </c>
      <c r="W71" t="s">
        <v>29</v>
      </c>
      <c r="X71" t="s">
        <v>29</v>
      </c>
      <c r="Y71" t="s">
        <v>29</v>
      </c>
    </row>
    <row r="72" spans="1:25" x14ac:dyDescent="0.2">
      <c r="A72" t="s">
        <v>291</v>
      </c>
      <c r="B72" t="s">
        <v>292</v>
      </c>
      <c r="C72" t="s">
        <v>14199</v>
      </c>
      <c r="D72" t="s">
        <v>293</v>
      </c>
      <c r="E72" t="s">
        <v>292</v>
      </c>
      <c r="F72" t="s">
        <v>28</v>
      </c>
      <c r="G72" t="s">
        <v>292</v>
      </c>
      <c r="H72" t="str">
        <f>"M142.5"</f>
        <v>M142.5</v>
      </c>
      <c r="I72" t="s">
        <v>293</v>
      </c>
      <c r="J72">
        <v>13.9597657903136</v>
      </c>
      <c r="K72">
        <v>13.6489172795035</v>
      </c>
      <c r="L72">
        <v>14.0840934187157</v>
      </c>
      <c r="M72">
        <v>13.9716410903868</v>
      </c>
      <c r="N72">
        <v>13.9020978970961</v>
      </c>
      <c r="O72">
        <v>13.8480449832815</v>
      </c>
      <c r="P72">
        <v>9.6691607438899006E-3</v>
      </c>
      <c r="Q72">
        <v>-0.37889628266588798</v>
      </c>
      <c r="R72">
        <v>0.39823460415366801</v>
      </c>
      <c r="S72">
        <v>13.506531091800801</v>
      </c>
      <c r="T72">
        <v>5.23018581842912E-2</v>
      </c>
      <c r="U72">
        <v>-7.0506529846716397</v>
      </c>
      <c r="V72">
        <v>0.95886759790286902</v>
      </c>
      <c r="W72">
        <v>0.97837628243144903</v>
      </c>
      <c r="X72">
        <v>0</v>
      </c>
      <c r="Y72">
        <v>0</v>
      </c>
    </row>
    <row r="73" spans="1:25" x14ac:dyDescent="0.2">
      <c r="A73" t="s">
        <v>294</v>
      </c>
      <c r="B73" t="s">
        <v>295</v>
      </c>
      <c r="C73" t="s">
        <v>296</v>
      </c>
      <c r="D73" t="s">
        <v>297</v>
      </c>
      <c r="E73" t="s">
        <v>295</v>
      </c>
      <c r="F73" t="s">
        <v>28</v>
      </c>
      <c r="G73" t="s">
        <v>295</v>
      </c>
      <c r="H73" t="str">
        <f>"C34F6.10"</f>
        <v>C34F6.10</v>
      </c>
      <c r="I73" t="s">
        <v>297</v>
      </c>
      <c r="J73">
        <v>12.7581496221649</v>
      </c>
      <c r="K73">
        <v>12.8311332975253</v>
      </c>
      <c r="L73">
        <v>13.041801910472</v>
      </c>
      <c r="M73">
        <v>13.0831957200039</v>
      </c>
      <c r="N73">
        <v>12.7956610141123</v>
      </c>
      <c r="O73">
        <v>13.2503257747044</v>
      </c>
      <c r="P73">
        <v>0.16603255955280399</v>
      </c>
      <c r="Q73">
        <v>-0.31614060782560699</v>
      </c>
      <c r="R73">
        <v>0.64820572693121403</v>
      </c>
      <c r="S73">
        <v>13.309277658161101</v>
      </c>
      <c r="T73">
        <v>0.72684237310882704</v>
      </c>
      <c r="U73">
        <v>-6.77864142009481</v>
      </c>
      <c r="V73">
        <v>0.47727356403432702</v>
      </c>
      <c r="W73">
        <v>0.73697510884374595</v>
      </c>
      <c r="X73">
        <v>0</v>
      </c>
      <c r="Y73">
        <v>0</v>
      </c>
    </row>
    <row r="74" spans="1:25" x14ac:dyDescent="0.2">
      <c r="A74" t="s">
        <v>298</v>
      </c>
      <c r="B74" t="s">
        <v>299</v>
      </c>
      <c r="C74" t="s">
        <v>14200</v>
      </c>
      <c r="D74" t="s">
        <v>300</v>
      </c>
      <c r="E74" t="s">
        <v>299</v>
      </c>
      <c r="F74" t="s">
        <v>28</v>
      </c>
      <c r="G74" t="s">
        <v>299</v>
      </c>
      <c r="H74" t="str">
        <f>"Y37E3.17"</f>
        <v>Y37E3.17</v>
      </c>
      <c r="I74" t="s">
        <v>300</v>
      </c>
      <c r="J74">
        <v>17.864265409814799</v>
      </c>
      <c r="K74">
        <v>17.611998659504099</v>
      </c>
      <c r="L74">
        <v>17.347175468623401</v>
      </c>
      <c r="M74">
        <v>17.453880594722399</v>
      </c>
      <c r="N74">
        <v>17.058853265422499</v>
      </c>
      <c r="O74">
        <v>17.1947833944377</v>
      </c>
      <c r="P74">
        <v>-0.37197409445325702</v>
      </c>
      <c r="Q74">
        <v>-0.80835322004809096</v>
      </c>
      <c r="R74">
        <v>6.4405031141575794E-2</v>
      </c>
      <c r="S74">
        <v>17.065949750418099</v>
      </c>
      <c r="T74">
        <v>-1.7916007707467501</v>
      </c>
      <c r="U74">
        <v>-5.5058669804079399</v>
      </c>
      <c r="V74">
        <v>9.0124063434869603E-2</v>
      </c>
      <c r="W74">
        <v>0.30708241090792199</v>
      </c>
      <c r="X74">
        <v>0</v>
      </c>
      <c r="Y74">
        <v>0</v>
      </c>
    </row>
    <row r="75" spans="1:25" x14ac:dyDescent="0.2">
      <c r="A75" t="s">
        <v>301</v>
      </c>
      <c r="B75" t="s">
        <v>302</v>
      </c>
      <c r="C75" t="s">
        <v>303</v>
      </c>
      <c r="D75" t="s">
        <v>304</v>
      </c>
      <c r="E75" t="s">
        <v>302</v>
      </c>
      <c r="F75" t="s">
        <v>28</v>
      </c>
      <c r="G75" t="s">
        <v>302</v>
      </c>
      <c r="H75" t="str">
        <f>"ifg-1"</f>
        <v>ifg-1</v>
      </c>
      <c r="I75" t="s">
        <v>304</v>
      </c>
      <c r="J75">
        <v>14.8652522564962</v>
      </c>
      <c r="K75">
        <v>15.2896552122958</v>
      </c>
      <c r="L75">
        <v>15.579131391897</v>
      </c>
      <c r="M75">
        <v>14.941884581820201</v>
      </c>
      <c r="N75">
        <v>14.699260723536201</v>
      </c>
      <c r="O75">
        <v>14.8396298866524</v>
      </c>
      <c r="P75">
        <v>-0.41775455622674701</v>
      </c>
      <c r="Q75">
        <v>-0.98217750569947504</v>
      </c>
      <c r="R75">
        <v>0.14666839324598099</v>
      </c>
      <c r="S75">
        <v>15.554875030206199</v>
      </c>
      <c r="T75">
        <v>-1.55563979544373</v>
      </c>
      <c r="U75">
        <v>-5.86315323696937</v>
      </c>
      <c r="V75">
        <v>0.137301664770347</v>
      </c>
      <c r="W75">
        <v>0.38355251082414998</v>
      </c>
      <c r="X75">
        <v>0</v>
      </c>
      <c r="Y75">
        <v>0</v>
      </c>
    </row>
    <row r="76" spans="1:25" x14ac:dyDescent="0.2">
      <c r="A76" t="s">
        <v>305</v>
      </c>
      <c r="B76" t="s">
        <v>306</v>
      </c>
      <c r="C76" t="s">
        <v>307</v>
      </c>
      <c r="D76" t="s">
        <v>308</v>
      </c>
      <c r="E76" t="s">
        <v>306</v>
      </c>
      <c r="F76" t="s">
        <v>28</v>
      </c>
      <c r="G76" t="s">
        <v>306</v>
      </c>
      <c r="H76" t="str">
        <f>"dnj-25"</f>
        <v>dnj-25</v>
      </c>
      <c r="I76" t="s">
        <v>308</v>
      </c>
      <c r="J76">
        <v>13.281938950412201</v>
      </c>
      <c r="K76">
        <v>13.3365580381911</v>
      </c>
      <c r="L76">
        <v>13.1928344368733</v>
      </c>
      <c r="M76">
        <v>13.469741615898799</v>
      </c>
      <c r="N76">
        <v>13.8750849404553</v>
      </c>
      <c r="O76">
        <v>13.423508617085799</v>
      </c>
      <c r="P76">
        <v>0.31900124932109503</v>
      </c>
      <c r="Q76">
        <v>-0.122330545530268</v>
      </c>
      <c r="R76">
        <v>0.76033304417245895</v>
      </c>
      <c r="S76">
        <v>13.097337301897801</v>
      </c>
      <c r="T76">
        <v>1.5257282255172799</v>
      </c>
      <c r="U76">
        <v>-5.9061758498791699</v>
      </c>
      <c r="V76">
        <v>0.14557926111412001</v>
      </c>
      <c r="W76">
        <v>0.39413166186703402</v>
      </c>
      <c r="X76">
        <v>0</v>
      </c>
      <c r="Y76">
        <v>0</v>
      </c>
    </row>
    <row r="77" spans="1:25" x14ac:dyDescent="0.2">
      <c r="A77" t="s">
        <v>309</v>
      </c>
      <c r="B77" t="s">
        <v>310</v>
      </c>
      <c r="C77" t="s">
        <v>311</v>
      </c>
      <c r="D77" t="s">
        <v>312</v>
      </c>
      <c r="E77" t="s">
        <v>310</v>
      </c>
      <c r="F77" t="s">
        <v>28</v>
      </c>
      <c r="G77" t="s">
        <v>310</v>
      </c>
      <c r="H77" t="str">
        <f>"acl-14"</f>
        <v>acl-14</v>
      </c>
      <c r="I77" t="s">
        <v>312</v>
      </c>
      <c r="J77">
        <v>15.7646241402628</v>
      </c>
      <c r="K77">
        <v>16.050063255917198</v>
      </c>
      <c r="L77">
        <v>16.024560857998502</v>
      </c>
      <c r="M77">
        <v>15.897112930103701</v>
      </c>
      <c r="N77">
        <v>15.9590897366947</v>
      </c>
      <c r="O77">
        <v>15.717006689564</v>
      </c>
      <c r="P77">
        <v>-8.8679632605373399E-2</v>
      </c>
      <c r="Q77">
        <v>-0.48742760077460201</v>
      </c>
      <c r="R77">
        <v>0.31006833556385499</v>
      </c>
      <c r="S77">
        <v>16.189588530426299</v>
      </c>
      <c r="T77">
        <v>-0.46743143464070702</v>
      </c>
      <c r="U77">
        <v>-6.9382811165805496</v>
      </c>
      <c r="V77">
        <v>0.64583287058985095</v>
      </c>
      <c r="W77">
        <v>0.83893818798378295</v>
      </c>
      <c r="X77">
        <v>0</v>
      </c>
      <c r="Y77">
        <v>0</v>
      </c>
    </row>
    <row r="78" spans="1:25" x14ac:dyDescent="0.2">
      <c r="A78" t="s">
        <v>313</v>
      </c>
      <c r="B78" t="s">
        <v>314</v>
      </c>
      <c r="C78" t="s">
        <v>315</v>
      </c>
      <c r="D78" t="s">
        <v>316</v>
      </c>
      <c r="E78" t="s">
        <v>314</v>
      </c>
      <c r="F78" t="s">
        <v>28</v>
      </c>
      <c r="G78" t="s">
        <v>314</v>
      </c>
      <c r="H78" t="str">
        <f>"cash-1"</f>
        <v>cash-1</v>
      </c>
      <c r="I78" t="s">
        <v>316</v>
      </c>
      <c r="J78">
        <v>12.816555692430599</v>
      </c>
      <c r="K78" t="s">
        <v>29</v>
      </c>
      <c r="L78">
        <v>13.1805658848872</v>
      </c>
      <c r="M78">
        <v>15.5819510113789</v>
      </c>
      <c r="N78">
        <v>15.393345076536299</v>
      </c>
      <c r="O78">
        <v>15.284422043508901</v>
      </c>
      <c r="P78">
        <v>2.4213452551491401</v>
      </c>
      <c r="Q78">
        <v>1.7895257836088101</v>
      </c>
      <c r="R78">
        <v>3.0531647266894701</v>
      </c>
      <c r="S78">
        <v>14.6469742367543</v>
      </c>
      <c r="T78">
        <v>8.0893518619992992</v>
      </c>
      <c r="U78">
        <v>6.9171625296524297</v>
      </c>
      <c r="V78" s="2">
        <v>3.2766376865494299E-7</v>
      </c>
      <c r="W78" s="2">
        <v>2.3178650069634401E-5</v>
      </c>
      <c r="X78">
        <v>1</v>
      </c>
      <c r="Y78">
        <v>1</v>
      </c>
    </row>
    <row r="79" spans="1:25" x14ac:dyDescent="0.2">
      <c r="A79" t="s">
        <v>317</v>
      </c>
      <c r="B79" t="s">
        <v>318</v>
      </c>
      <c r="C79" t="s">
        <v>14201</v>
      </c>
      <c r="D79" t="s">
        <v>319</v>
      </c>
      <c r="E79" t="s">
        <v>318</v>
      </c>
      <c r="F79" t="s">
        <v>28</v>
      </c>
      <c r="G79" t="s">
        <v>318</v>
      </c>
      <c r="H79" t="str">
        <f>"Y59A8B.21"</f>
        <v>Y59A8B.21</v>
      </c>
      <c r="I79" t="s">
        <v>319</v>
      </c>
      <c r="J79" t="s">
        <v>29</v>
      </c>
      <c r="K79" t="s">
        <v>29</v>
      </c>
      <c r="L79" t="s">
        <v>29</v>
      </c>
      <c r="M79" t="s">
        <v>29</v>
      </c>
      <c r="N79" t="s">
        <v>29</v>
      </c>
      <c r="O79" t="s">
        <v>29</v>
      </c>
      <c r="P79" t="s">
        <v>29</v>
      </c>
      <c r="Q79" t="s">
        <v>29</v>
      </c>
      <c r="R79" t="s">
        <v>29</v>
      </c>
      <c r="S79">
        <v>12.5767904366046</v>
      </c>
      <c r="T79" t="s">
        <v>29</v>
      </c>
      <c r="U79" t="s">
        <v>29</v>
      </c>
      <c r="V79" t="s">
        <v>29</v>
      </c>
      <c r="W79" t="s">
        <v>29</v>
      </c>
      <c r="X79" t="s">
        <v>29</v>
      </c>
      <c r="Y79" t="s">
        <v>29</v>
      </c>
    </row>
    <row r="80" spans="1:25" x14ac:dyDescent="0.2">
      <c r="A80" t="s">
        <v>320</v>
      </c>
      <c r="B80" t="s">
        <v>321</v>
      </c>
      <c r="C80" t="s">
        <v>322</v>
      </c>
      <c r="D80" t="s">
        <v>323</v>
      </c>
      <c r="E80" t="s">
        <v>321</v>
      </c>
      <c r="F80" t="s">
        <v>28</v>
      </c>
      <c r="G80" t="s">
        <v>321</v>
      </c>
      <c r="H80" t="str">
        <f>"gck-4"</f>
        <v>gck-4</v>
      </c>
      <c r="I80" t="s">
        <v>323</v>
      </c>
      <c r="J80">
        <v>11.419962283005001</v>
      </c>
      <c r="K80">
        <v>10.897083651458001</v>
      </c>
      <c r="L80" t="s">
        <v>29</v>
      </c>
      <c r="M80" t="s">
        <v>29</v>
      </c>
      <c r="N80" t="s">
        <v>29</v>
      </c>
      <c r="O80" t="s">
        <v>29</v>
      </c>
      <c r="P80" t="s">
        <v>29</v>
      </c>
      <c r="Q80" t="s">
        <v>29</v>
      </c>
      <c r="R80" t="s">
        <v>29</v>
      </c>
      <c r="S80">
        <v>11.133119609290899</v>
      </c>
      <c r="T80" t="s">
        <v>29</v>
      </c>
      <c r="U80" t="s">
        <v>29</v>
      </c>
      <c r="V80" t="s">
        <v>29</v>
      </c>
      <c r="W80" t="s">
        <v>29</v>
      </c>
      <c r="X80" t="s">
        <v>29</v>
      </c>
      <c r="Y80" t="s">
        <v>29</v>
      </c>
    </row>
    <row r="81" spans="1:25" x14ac:dyDescent="0.2">
      <c r="A81" t="s">
        <v>324</v>
      </c>
      <c r="B81" t="s">
        <v>325</v>
      </c>
      <c r="C81" t="s">
        <v>326</v>
      </c>
      <c r="D81" t="s">
        <v>327</v>
      </c>
      <c r="E81" t="s">
        <v>325</v>
      </c>
      <c r="F81" t="s">
        <v>28</v>
      </c>
      <c r="G81" t="s">
        <v>325</v>
      </c>
      <c r="H81" t="str">
        <f>"rbc-1"</f>
        <v>rbc-1</v>
      </c>
      <c r="I81" t="s">
        <v>327</v>
      </c>
      <c r="J81">
        <v>12.599445732312599</v>
      </c>
      <c r="K81">
        <v>12.870113694479199</v>
      </c>
      <c r="L81">
        <v>12.4699473647189</v>
      </c>
      <c r="M81">
        <v>13.0220954186287</v>
      </c>
      <c r="N81">
        <v>13.294412258087</v>
      </c>
      <c r="O81">
        <v>12.981999960611001</v>
      </c>
      <c r="P81">
        <v>0.45300028193866898</v>
      </c>
      <c r="Q81">
        <v>3.88890596843064E-2</v>
      </c>
      <c r="R81">
        <v>0.86711150419303196</v>
      </c>
      <c r="S81">
        <v>12.690315133678199</v>
      </c>
      <c r="T81">
        <v>2.30904015538517</v>
      </c>
      <c r="U81">
        <v>-4.6187212757916098</v>
      </c>
      <c r="V81">
        <v>3.3856161245933603E-2</v>
      </c>
      <c r="W81">
        <v>0.182397266050112</v>
      </c>
      <c r="X81">
        <v>0</v>
      </c>
      <c r="Y81">
        <v>0</v>
      </c>
    </row>
    <row r="82" spans="1:25" x14ac:dyDescent="0.2">
      <c r="A82" t="s">
        <v>328</v>
      </c>
      <c r="B82" t="s">
        <v>329</v>
      </c>
      <c r="C82" t="s">
        <v>14202</v>
      </c>
      <c r="D82" t="s">
        <v>330</v>
      </c>
      <c r="E82" t="s">
        <v>329</v>
      </c>
      <c r="F82" t="s">
        <v>28</v>
      </c>
      <c r="G82" t="s">
        <v>329</v>
      </c>
      <c r="H82" t="str">
        <f>"F49E2.5"</f>
        <v>F49E2.5</v>
      </c>
      <c r="I82" t="s">
        <v>330</v>
      </c>
      <c r="J82">
        <v>14.592202287136599</v>
      </c>
      <c r="K82">
        <v>15.1846971802848</v>
      </c>
      <c r="L82">
        <v>16.081330277118699</v>
      </c>
      <c r="M82">
        <v>15.6628703180277</v>
      </c>
      <c r="N82">
        <v>14.5105514747729</v>
      </c>
      <c r="O82">
        <v>15.0140873441762</v>
      </c>
      <c r="P82">
        <v>-0.22357353585440301</v>
      </c>
      <c r="Q82">
        <v>-1.43463966455048</v>
      </c>
      <c r="R82">
        <v>0.98749259284167201</v>
      </c>
      <c r="S82">
        <v>14.5637080424301</v>
      </c>
      <c r="T82">
        <v>-0.38801190476931502</v>
      </c>
      <c r="U82">
        <v>-6.9735194234404299</v>
      </c>
      <c r="V82">
        <v>0.70258420121187803</v>
      </c>
      <c r="W82">
        <v>0.86745132137872705</v>
      </c>
      <c r="X82">
        <v>0</v>
      </c>
      <c r="Y82">
        <v>0</v>
      </c>
    </row>
    <row r="83" spans="1:25" x14ac:dyDescent="0.2">
      <c r="A83" t="s">
        <v>331</v>
      </c>
      <c r="B83" t="s">
        <v>332</v>
      </c>
      <c r="C83" t="s">
        <v>333</v>
      </c>
      <c r="D83" t="s">
        <v>334</v>
      </c>
      <c r="E83" t="s">
        <v>332</v>
      </c>
      <c r="F83" t="s">
        <v>28</v>
      </c>
      <c r="G83" t="s">
        <v>332</v>
      </c>
      <c r="H83" t="str">
        <f>"pkn-1"</f>
        <v>pkn-1</v>
      </c>
      <c r="I83" t="s">
        <v>334</v>
      </c>
      <c r="J83">
        <v>13.6514567613322</v>
      </c>
      <c r="K83">
        <v>13.7043564276553</v>
      </c>
      <c r="L83">
        <v>13.55907656568</v>
      </c>
      <c r="M83">
        <v>13.735033915489501</v>
      </c>
      <c r="N83">
        <v>13.884451066733099</v>
      </c>
      <c r="O83">
        <v>13.9103976639324</v>
      </c>
      <c r="P83">
        <v>0.20499763049587599</v>
      </c>
      <c r="Q83">
        <v>-0.165159613107002</v>
      </c>
      <c r="R83">
        <v>0.57515487409875499</v>
      </c>
      <c r="S83">
        <v>13.5644220279137</v>
      </c>
      <c r="T83">
        <v>1.16899486068747</v>
      </c>
      <c r="U83">
        <v>-6.3614631838309803</v>
      </c>
      <c r="V83">
        <v>0.25863542062043199</v>
      </c>
      <c r="W83">
        <v>0.53536873963033504</v>
      </c>
      <c r="X83">
        <v>0</v>
      </c>
      <c r="Y83">
        <v>0</v>
      </c>
    </row>
    <row r="84" spans="1:25" x14ac:dyDescent="0.2">
      <c r="A84" t="s">
        <v>335</v>
      </c>
      <c r="B84" t="s">
        <v>336</v>
      </c>
      <c r="C84" t="s">
        <v>337</v>
      </c>
      <c r="D84" t="s">
        <v>338</v>
      </c>
      <c r="E84" t="s">
        <v>336</v>
      </c>
      <c r="F84" t="s">
        <v>28</v>
      </c>
      <c r="G84" t="s">
        <v>336</v>
      </c>
      <c r="H84" t="str">
        <f>"eps-8"</f>
        <v>eps-8</v>
      </c>
      <c r="I84" t="s">
        <v>338</v>
      </c>
      <c r="J84">
        <v>15.557852146034</v>
      </c>
      <c r="K84">
        <v>16.130876982472</v>
      </c>
      <c r="L84">
        <v>16.0971461853125</v>
      </c>
      <c r="M84">
        <v>15.908366800528499</v>
      </c>
      <c r="N84">
        <v>15.038777295179001</v>
      </c>
      <c r="O84">
        <v>15.4306342173637</v>
      </c>
      <c r="P84">
        <v>-0.46936566691571002</v>
      </c>
      <c r="Q84">
        <v>-0.96838239908590595</v>
      </c>
      <c r="R84">
        <v>2.9651065254485801E-2</v>
      </c>
      <c r="S84">
        <v>15.9353682278948</v>
      </c>
      <c r="T84">
        <v>-1.9769183107899899</v>
      </c>
      <c r="U84">
        <v>-5.2010076520596504</v>
      </c>
      <c r="V84">
        <v>6.3667537208764405E-2</v>
      </c>
      <c r="W84">
        <v>0.25608673186318798</v>
      </c>
      <c r="X84">
        <v>0</v>
      </c>
      <c r="Y84">
        <v>0</v>
      </c>
    </row>
    <row r="85" spans="1:25" x14ac:dyDescent="0.2">
      <c r="A85" t="s">
        <v>339</v>
      </c>
      <c r="B85" t="s">
        <v>340</v>
      </c>
      <c r="C85" t="s">
        <v>341</v>
      </c>
      <c r="D85" t="s">
        <v>342</v>
      </c>
      <c r="E85" t="s">
        <v>340</v>
      </c>
      <c r="F85" t="s">
        <v>28</v>
      </c>
      <c r="G85" t="s">
        <v>340</v>
      </c>
      <c r="H85" t="str">
        <f>"tnt-3"</f>
        <v>tnt-3</v>
      </c>
      <c r="I85" t="s">
        <v>342</v>
      </c>
      <c r="J85" t="s">
        <v>29</v>
      </c>
      <c r="K85">
        <v>12.1550918570865</v>
      </c>
      <c r="L85" t="s">
        <v>29</v>
      </c>
      <c r="M85" t="s">
        <v>29</v>
      </c>
      <c r="N85">
        <v>10.441960783805101</v>
      </c>
      <c r="O85" t="s">
        <v>29</v>
      </c>
      <c r="P85">
        <v>-1.7131310732813601</v>
      </c>
      <c r="Q85">
        <v>-2.89433396357113</v>
      </c>
      <c r="R85">
        <v>-0.53192818299159295</v>
      </c>
      <c r="S85">
        <v>11.765654767238599</v>
      </c>
      <c r="T85">
        <v>-3.1959044382853001</v>
      </c>
      <c r="U85">
        <v>-2.69631248208773</v>
      </c>
      <c r="V85">
        <v>8.6144652945632505E-3</v>
      </c>
      <c r="W85">
        <v>7.9409263650166595E-2</v>
      </c>
      <c r="X85">
        <v>-1</v>
      </c>
      <c r="Y85">
        <v>0</v>
      </c>
    </row>
    <row r="86" spans="1:25" x14ac:dyDescent="0.2">
      <c r="A86" t="s">
        <v>343</v>
      </c>
      <c r="B86" t="s">
        <v>344</v>
      </c>
      <c r="C86" t="s">
        <v>14203</v>
      </c>
      <c r="D86" t="s">
        <v>345</v>
      </c>
      <c r="E86" t="s">
        <v>344</v>
      </c>
      <c r="F86" t="s">
        <v>28</v>
      </c>
      <c r="G86" t="s">
        <v>344</v>
      </c>
      <c r="H86" t="str">
        <f>"K09F5.6"</f>
        <v>K09F5.6</v>
      </c>
      <c r="I86" t="s">
        <v>345</v>
      </c>
      <c r="J86">
        <v>13.2673003420763</v>
      </c>
      <c r="K86">
        <v>13.9617634650859</v>
      </c>
      <c r="L86">
        <v>13.4754044682143</v>
      </c>
      <c r="M86">
        <v>13.8850787515003</v>
      </c>
      <c r="N86">
        <v>13.2161991301057</v>
      </c>
      <c r="O86">
        <v>13.715244243240299</v>
      </c>
      <c r="P86">
        <v>3.7351283156629798E-2</v>
      </c>
      <c r="Q86">
        <v>-0.471026523285697</v>
      </c>
      <c r="R86">
        <v>0.54572908959895605</v>
      </c>
      <c r="S86">
        <v>13.508310468339401</v>
      </c>
      <c r="T86">
        <v>0.15508470072753699</v>
      </c>
      <c r="U86">
        <v>-7.0394516215160303</v>
      </c>
      <c r="V86">
        <v>0.87859225689755205</v>
      </c>
      <c r="W86">
        <v>0.95606421772960104</v>
      </c>
      <c r="X86">
        <v>0</v>
      </c>
      <c r="Y86">
        <v>0</v>
      </c>
    </row>
    <row r="87" spans="1:25" x14ac:dyDescent="0.2">
      <c r="A87" t="s">
        <v>346</v>
      </c>
      <c r="B87" t="s">
        <v>347</v>
      </c>
      <c r="C87" t="s">
        <v>348</v>
      </c>
      <c r="D87" t="s">
        <v>349</v>
      </c>
      <c r="E87" t="s">
        <v>347</v>
      </c>
      <c r="F87" t="s">
        <v>28</v>
      </c>
      <c r="G87" t="s">
        <v>347</v>
      </c>
      <c r="H87" t="str">
        <f>"lfi-1"</f>
        <v>lfi-1</v>
      </c>
      <c r="I87" t="s">
        <v>349</v>
      </c>
      <c r="J87">
        <v>14.631135156295899</v>
      </c>
      <c r="K87">
        <v>15.2369671847826</v>
      </c>
      <c r="L87">
        <v>15.0601041066721</v>
      </c>
      <c r="M87">
        <v>15.179569508859901</v>
      </c>
      <c r="N87">
        <v>15.4360287332533</v>
      </c>
      <c r="O87">
        <v>15.51780512216</v>
      </c>
      <c r="P87">
        <v>0.40173230550755101</v>
      </c>
      <c r="Q87">
        <v>-8.8204870998750698E-2</v>
      </c>
      <c r="R87">
        <v>0.89166948201385199</v>
      </c>
      <c r="S87">
        <v>15.775593825512599</v>
      </c>
      <c r="T87">
        <v>1.72341105823519</v>
      </c>
      <c r="U87">
        <v>-5.6128481465078703</v>
      </c>
      <c r="V87">
        <v>0.102048258558794</v>
      </c>
      <c r="W87">
        <v>0.32979981917923201</v>
      </c>
      <c r="X87">
        <v>0</v>
      </c>
      <c r="Y87">
        <v>0</v>
      </c>
    </row>
    <row r="88" spans="1:25" x14ac:dyDescent="0.2">
      <c r="A88" t="s">
        <v>350</v>
      </c>
      <c r="B88" t="s">
        <v>351</v>
      </c>
      <c r="C88" t="s">
        <v>14204</v>
      </c>
      <c r="D88" t="s">
        <v>352</v>
      </c>
      <c r="E88" t="s">
        <v>351</v>
      </c>
      <c r="F88" t="s">
        <v>28</v>
      </c>
      <c r="G88" t="s">
        <v>351</v>
      </c>
      <c r="H88" t="str">
        <f>"H11E01.3"</f>
        <v>H11E01.3</v>
      </c>
      <c r="I88" t="s">
        <v>352</v>
      </c>
      <c r="J88" t="s">
        <v>29</v>
      </c>
      <c r="K88" t="s">
        <v>29</v>
      </c>
      <c r="L88" t="s">
        <v>29</v>
      </c>
      <c r="M88" t="s">
        <v>29</v>
      </c>
      <c r="N88" t="s">
        <v>29</v>
      </c>
      <c r="O88" t="s">
        <v>29</v>
      </c>
      <c r="P88" t="s">
        <v>29</v>
      </c>
      <c r="Q88" t="s">
        <v>29</v>
      </c>
      <c r="R88" t="s">
        <v>29</v>
      </c>
      <c r="S88">
        <v>12.114371619777099</v>
      </c>
      <c r="T88" t="s">
        <v>29</v>
      </c>
      <c r="U88" t="s">
        <v>29</v>
      </c>
      <c r="V88" t="s">
        <v>29</v>
      </c>
      <c r="W88" t="s">
        <v>29</v>
      </c>
      <c r="X88" t="s">
        <v>29</v>
      </c>
      <c r="Y88" t="s">
        <v>29</v>
      </c>
    </row>
    <row r="89" spans="1:25" x14ac:dyDescent="0.2">
      <c r="A89" t="s">
        <v>353</v>
      </c>
      <c r="B89" t="s">
        <v>354</v>
      </c>
      <c r="C89" t="s">
        <v>355</v>
      </c>
      <c r="D89" t="s">
        <v>356</v>
      </c>
      <c r="E89" t="s">
        <v>354</v>
      </c>
      <c r="F89" t="s">
        <v>28</v>
      </c>
      <c r="G89" t="s">
        <v>354</v>
      </c>
      <c r="H89" t="str">
        <f>"bed-2"</f>
        <v>bed-2</v>
      </c>
      <c r="I89" t="s">
        <v>356</v>
      </c>
      <c r="J89">
        <v>11.278714302233199</v>
      </c>
      <c r="K89" t="s">
        <v>29</v>
      </c>
      <c r="L89">
        <v>11.4688148657127</v>
      </c>
      <c r="M89" t="s">
        <v>29</v>
      </c>
      <c r="N89">
        <v>11.5923044436854</v>
      </c>
      <c r="O89" t="s">
        <v>29</v>
      </c>
      <c r="P89">
        <v>0.21853985971249101</v>
      </c>
      <c r="Q89">
        <v>-0.65417475085866394</v>
      </c>
      <c r="R89">
        <v>1.09125447028365</v>
      </c>
      <c r="S89">
        <v>12.264990616880301</v>
      </c>
      <c r="T89">
        <v>0.55180560366923004</v>
      </c>
      <c r="U89">
        <v>-6.4899727956769899</v>
      </c>
      <c r="V89">
        <v>0.59221946279568005</v>
      </c>
      <c r="W89">
        <v>0.80429646451955905</v>
      </c>
      <c r="X89">
        <v>0</v>
      </c>
      <c r="Y89">
        <v>0</v>
      </c>
    </row>
    <row r="90" spans="1:25" x14ac:dyDescent="0.2">
      <c r="A90" t="s">
        <v>357</v>
      </c>
      <c r="B90" t="s">
        <v>358</v>
      </c>
      <c r="C90" t="s">
        <v>359</v>
      </c>
      <c r="D90" t="s">
        <v>360</v>
      </c>
      <c r="E90" t="s">
        <v>358</v>
      </c>
      <c r="F90" t="s">
        <v>28</v>
      </c>
      <c r="G90" t="s">
        <v>358</v>
      </c>
      <c r="H90" t="str">
        <f>"znf-598"</f>
        <v>znf-598</v>
      </c>
      <c r="I90" t="s">
        <v>360</v>
      </c>
      <c r="J90">
        <v>12.391716121316501</v>
      </c>
      <c r="K90">
        <v>13.1925579933366</v>
      </c>
      <c r="L90">
        <v>13.1988715403673</v>
      </c>
      <c r="M90">
        <v>13.350113898797501</v>
      </c>
      <c r="N90">
        <v>13.294460705534</v>
      </c>
      <c r="O90">
        <v>12.5920179970965</v>
      </c>
      <c r="P90">
        <v>0.15114898213586</v>
      </c>
      <c r="Q90">
        <v>-0.49735105121898099</v>
      </c>
      <c r="R90">
        <v>0.7996490154907</v>
      </c>
      <c r="S90">
        <v>13.674357553005301</v>
      </c>
      <c r="T90">
        <v>0.49436162823232799</v>
      </c>
      <c r="U90">
        <v>-6.9241441736074796</v>
      </c>
      <c r="V90">
        <v>0.62781334828888602</v>
      </c>
      <c r="W90">
        <v>0.82821066286859402</v>
      </c>
      <c r="X90">
        <v>0</v>
      </c>
      <c r="Y90">
        <v>0</v>
      </c>
    </row>
    <row r="91" spans="1:25" x14ac:dyDescent="0.2">
      <c r="A91" t="s">
        <v>361</v>
      </c>
      <c r="B91" t="s">
        <v>362</v>
      </c>
      <c r="C91" t="s">
        <v>14205</v>
      </c>
      <c r="D91" t="s">
        <v>363</v>
      </c>
      <c r="E91" t="s">
        <v>362</v>
      </c>
      <c r="F91" t="s">
        <v>28</v>
      </c>
      <c r="G91" t="s">
        <v>362</v>
      </c>
      <c r="H91" t="str">
        <f>"F10G7.10"</f>
        <v>F10G7.10</v>
      </c>
      <c r="I91" t="s">
        <v>363</v>
      </c>
      <c r="J91">
        <v>11.434668440659999</v>
      </c>
      <c r="K91">
        <v>11.1660789972995</v>
      </c>
      <c r="L91">
        <v>11.5369624252472</v>
      </c>
      <c r="M91">
        <v>12.220919900028401</v>
      </c>
      <c r="N91">
        <v>12.4337480133082</v>
      </c>
      <c r="O91">
        <v>12.287286133781</v>
      </c>
      <c r="P91">
        <v>0.93474806130363897</v>
      </c>
      <c r="Q91">
        <v>0.39047017740642898</v>
      </c>
      <c r="R91">
        <v>1.4790259452008501</v>
      </c>
      <c r="S91">
        <v>11.8190252449008</v>
      </c>
      <c r="T91">
        <v>3.6251326150852301</v>
      </c>
      <c r="U91">
        <v>-1.9546685354090301</v>
      </c>
      <c r="V91">
        <v>2.1094737359281801E-3</v>
      </c>
      <c r="W91">
        <v>2.9519679524517999E-2</v>
      </c>
      <c r="X91">
        <v>0</v>
      </c>
      <c r="Y91">
        <v>0</v>
      </c>
    </row>
    <row r="92" spans="1:25" x14ac:dyDescent="0.2">
      <c r="A92" t="s">
        <v>364</v>
      </c>
      <c r="B92" t="s">
        <v>365</v>
      </c>
      <c r="C92" t="s">
        <v>14176</v>
      </c>
      <c r="D92" t="s">
        <v>111</v>
      </c>
      <c r="E92" t="s">
        <v>365</v>
      </c>
      <c r="F92" t="s">
        <v>28</v>
      </c>
      <c r="G92" t="s">
        <v>365</v>
      </c>
      <c r="H92" t="str">
        <f>"Y92H12BL.7"</f>
        <v>Y92H12BL.7</v>
      </c>
      <c r="I92" t="s">
        <v>111</v>
      </c>
      <c r="J92">
        <v>12.6321228576392</v>
      </c>
      <c r="K92">
        <v>11.6424485537731</v>
      </c>
      <c r="L92" t="s">
        <v>29</v>
      </c>
      <c r="M92">
        <v>14.9954902333963</v>
      </c>
      <c r="N92">
        <v>15.2957631953429</v>
      </c>
      <c r="O92">
        <v>14.617362671279899</v>
      </c>
      <c r="P92">
        <v>2.8322529943002102</v>
      </c>
      <c r="Q92">
        <v>2.10568677814969</v>
      </c>
      <c r="R92">
        <v>3.5588192104507299</v>
      </c>
      <c r="S92">
        <v>13.7733412537817</v>
      </c>
      <c r="T92">
        <v>8.3137785122411092</v>
      </c>
      <c r="U92">
        <v>6.4765005001225404</v>
      </c>
      <c r="V92" s="2">
        <v>5.6197954283801097E-7</v>
      </c>
      <c r="W92" s="2">
        <v>3.5166950622978598E-5</v>
      </c>
      <c r="X92">
        <v>1</v>
      </c>
      <c r="Y92">
        <v>1</v>
      </c>
    </row>
    <row r="93" spans="1:25" x14ac:dyDescent="0.2">
      <c r="A93" t="s">
        <v>366</v>
      </c>
      <c r="B93" t="s">
        <v>367</v>
      </c>
      <c r="C93" t="s">
        <v>14206</v>
      </c>
      <c r="D93" t="s">
        <v>368</v>
      </c>
      <c r="E93" t="s">
        <v>367</v>
      </c>
      <c r="F93" t="s">
        <v>28</v>
      </c>
      <c r="G93" t="s">
        <v>367</v>
      </c>
      <c r="H93" t="str">
        <f>"W04B5.8"</f>
        <v>W04B5.8</v>
      </c>
      <c r="I93" t="s">
        <v>368</v>
      </c>
      <c r="J93" t="s">
        <v>29</v>
      </c>
      <c r="K93">
        <v>12.8368133326777</v>
      </c>
      <c r="L93">
        <v>12.980253184725401</v>
      </c>
      <c r="M93" t="s">
        <v>29</v>
      </c>
      <c r="N93">
        <v>13.1365259966399</v>
      </c>
      <c r="O93" t="s">
        <v>29</v>
      </c>
      <c r="P93">
        <v>0.22799273793830999</v>
      </c>
      <c r="Q93">
        <v>-1.6729872682872</v>
      </c>
      <c r="R93">
        <v>2.12897274416382</v>
      </c>
      <c r="S93">
        <v>13.320219323007001</v>
      </c>
      <c r="T93">
        <v>0.25931683318089599</v>
      </c>
      <c r="U93">
        <v>-6.61564739952615</v>
      </c>
      <c r="V93">
        <v>0.79948452809470205</v>
      </c>
      <c r="W93">
        <v>0.91602910366907098</v>
      </c>
      <c r="X93">
        <v>0</v>
      </c>
      <c r="Y93">
        <v>0</v>
      </c>
    </row>
    <row r="94" spans="1:25" x14ac:dyDescent="0.2">
      <c r="A94" t="s">
        <v>369</v>
      </c>
      <c r="B94" t="s">
        <v>370</v>
      </c>
      <c r="C94" t="s">
        <v>14207</v>
      </c>
      <c r="D94" t="s">
        <v>371</v>
      </c>
      <c r="E94" t="s">
        <v>370</v>
      </c>
      <c r="F94" t="s">
        <v>28</v>
      </c>
      <c r="G94" t="s">
        <v>370</v>
      </c>
      <c r="H94" t="str">
        <f>"Y39E4B.10"</f>
        <v>Y39E4B.10</v>
      </c>
      <c r="I94" t="s">
        <v>371</v>
      </c>
      <c r="J94">
        <v>11.985098178459699</v>
      </c>
      <c r="K94" t="s">
        <v>29</v>
      </c>
      <c r="L94">
        <v>12.227700087741701</v>
      </c>
      <c r="M94">
        <v>12.3179780680461</v>
      </c>
      <c r="N94">
        <v>12.7831970917481</v>
      </c>
      <c r="O94">
        <v>12.2397217549078</v>
      </c>
      <c r="P94">
        <v>0.340566505133305</v>
      </c>
      <c r="Q94">
        <v>-0.36395640214972202</v>
      </c>
      <c r="R94">
        <v>1.0450894124163299</v>
      </c>
      <c r="S94">
        <v>12.191451083306999</v>
      </c>
      <c r="T94">
        <v>1.0309756781619199</v>
      </c>
      <c r="U94">
        <v>-6.3988125762292798</v>
      </c>
      <c r="V94">
        <v>0.31900316283087699</v>
      </c>
      <c r="W94">
        <v>0.59691563648744905</v>
      </c>
      <c r="X94">
        <v>0</v>
      </c>
      <c r="Y94">
        <v>0</v>
      </c>
    </row>
    <row r="95" spans="1:25" x14ac:dyDescent="0.2">
      <c r="A95" t="s">
        <v>372</v>
      </c>
      <c r="B95" t="s">
        <v>373</v>
      </c>
      <c r="C95" t="s">
        <v>374</v>
      </c>
      <c r="D95" t="s">
        <v>375</v>
      </c>
      <c r="E95" t="s">
        <v>373</v>
      </c>
      <c r="F95" t="s">
        <v>28</v>
      </c>
      <c r="G95" t="s">
        <v>373</v>
      </c>
      <c r="H95" t="str">
        <f>"esyt-2"</f>
        <v>esyt-2</v>
      </c>
      <c r="I95" t="s">
        <v>375</v>
      </c>
      <c r="J95">
        <v>12.7652900125223</v>
      </c>
      <c r="K95">
        <v>12.750382375574301</v>
      </c>
      <c r="L95">
        <v>12.255869170806999</v>
      </c>
      <c r="M95">
        <v>12.646072519269</v>
      </c>
      <c r="N95">
        <v>12.615478825860301</v>
      </c>
      <c r="O95">
        <v>12.7646462546388</v>
      </c>
      <c r="P95">
        <v>8.4885346954802501E-2</v>
      </c>
      <c r="Q95">
        <v>-0.34761982162479999</v>
      </c>
      <c r="R95">
        <v>0.51739051553440496</v>
      </c>
      <c r="S95">
        <v>12.664391382466199</v>
      </c>
      <c r="T95">
        <v>0.41427758839839302</v>
      </c>
      <c r="U95">
        <v>-6.9623203092022603</v>
      </c>
      <c r="V95">
        <v>0.68388290611649705</v>
      </c>
      <c r="W95">
        <v>0.85743265042369798</v>
      </c>
      <c r="X95">
        <v>0</v>
      </c>
      <c r="Y95">
        <v>0</v>
      </c>
    </row>
    <row r="96" spans="1:25" x14ac:dyDescent="0.2">
      <c r="A96" t="s">
        <v>376</v>
      </c>
      <c r="B96" t="s">
        <v>377</v>
      </c>
      <c r="C96" t="s">
        <v>378</v>
      </c>
      <c r="D96" t="s">
        <v>379</v>
      </c>
      <c r="E96" t="s">
        <v>377</v>
      </c>
      <c r="F96" t="s">
        <v>28</v>
      </c>
      <c r="G96" t="s">
        <v>377</v>
      </c>
      <c r="H96" t="str">
        <f>"aqp-7"</f>
        <v>aqp-7</v>
      </c>
      <c r="I96" t="s">
        <v>379</v>
      </c>
      <c r="J96">
        <v>16.634206706149101</v>
      </c>
      <c r="K96">
        <v>16.729333986490602</v>
      </c>
      <c r="L96">
        <v>16.345736660066699</v>
      </c>
      <c r="M96">
        <v>16.339333280929399</v>
      </c>
      <c r="N96">
        <v>15.8660838852109</v>
      </c>
      <c r="O96">
        <v>15.8516460844624</v>
      </c>
      <c r="P96">
        <v>-0.55073803403453803</v>
      </c>
      <c r="Q96">
        <v>-0.91005982854016199</v>
      </c>
      <c r="R96">
        <v>-0.19141623952891301</v>
      </c>
      <c r="S96">
        <v>16.072786665033899</v>
      </c>
      <c r="T96">
        <v>-3.2214694943059601</v>
      </c>
      <c r="U96">
        <v>-2.77112445967362</v>
      </c>
      <c r="V96">
        <v>4.7608652024964697E-3</v>
      </c>
      <c r="W96">
        <v>5.2877673627475197E-2</v>
      </c>
      <c r="X96">
        <v>0</v>
      </c>
      <c r="Y96">
        <v>0</v>
      </c>
    </row>
    <row r="97" spans="1:25" x14ac:dyDescent="0.2">
      <c r="A97" t="s">
        <v>380</v>
      </c>
      <c r="B97" t="s">
        <v>381</v>
      </c>
      <c r="C97" t="s">
        <v>382</v>
      </c>
      <c r="D97" t="s">
        <v>383</v>
      </c>
      <c r="E97" t="s">
        <v>381</v>
      </c>
      <c r="F97" t="s">
        <v>28</v>
      </c>
      <c r="G97" t="s">
        <v>381</v>
      </c>
      <c r="H97" t="str">
        <f>"rom-5"</f>
        <v>rom-5</v>
      </c>
      <c r="I97" t="s">
        <v>383</v>
      </c>
      <c r="J97">
        <v>13.156427746221601</v>
      </c>
      <c r="K97">
        <v>13.298832924669201</v>
      </c>
      <c r="L97">
        <v>13.275505059713099</v>
      </c>
      <c r="M97">
        <v>13.134338492165901</v>
      </c>
      <c r="N97">
        <v>12.754857819966301</v>
      </c>
      <c r="O97">
        <v>13.121088545536701</v>
      </c>
      <c r="P97">
        <v>-0.24016029097834701</v>
      </c>
      <c r="Q97">
        <v>-0.83529397049628396</v>
      </c>
      <c r="R97">
        <v>0.35497338853958998</v>
      </c>
      <c r="S97">
        <v>13.188202277763301</v>
      </c>
      <c r="T97">
        <v>-0.85179813704062202</v>
      </c>
      <c r="U97">
        <v>-6.6786772111266197</v>
      </c>
      <c r="V97">
        <v>0.40623860841869502</v>
      </c>
      <c r="W97">
        <v>0.67789685360104002</v>
      </c>
      <c r="X97">
        <v>0</v>
      </c>
      <c r="Y97">
        <v>0</v>
      </c>
    </row>
    <row r="98" spans="1:25" x14ac:dyDescent="0.2">
      <c r="A98" t="s">
        <v>384</v>
      </c>
      <c r="B98" t="s">
        <v>385</v>
      </c>
      <c r="C98" t="s">
        <v>14208</v>
      </c>
      <c r="D98" t="s">
        <v>386</v>
      </c>
      <c r="E98" t="s">
        <v>385</v>
      </c>
      <c r="F98" t="s">
        <v>28</v>
      </c>
      <c r="G98" t="s">
        <v>385</v>
      </c>
      <c r="H98" t="str">
        <f>"Y52B11A.3"</f>
        <v>Y52B11A.3</v>
      </c>
      <c r="I98" t="s">
        <v>386</v>
      </c>
      <c r="J98">
        <v>12.380919618555801</v>
      </c>
      <c r="K98">
        <v>12.0317704704864</v>
      </c>
      <c r="L98">
        <v>12.0748050218253</v>
      </c>
      <c r="M98" t="s">
        <v>29</v>
      </c>
      <c r="N98">
        <v>12.6728287159719</v>
      </c>
      <c r="O98">
        <v>12.099244419203499</v>
      </c>
      <c r="P98">
        <v>0.22353819729854299</v>
      </c>
      <c r="Q98">
        <v>-0.87431324814928901</v>
      </c>
      <c r="R98">
        <v>1.32138964274638</v>
      </c>
      <c r="S98">
        <v>11.6346332625372</v>
      </c>
      <c r="T98">
        <v>0.44024599186421398</v>
      </c>
      <c r="U98">
        <v>-6.8387420651251398</v>
      </c>
      <c r="V98">
        <v>0.66704822447588497</v>
      </c>
      <c r="W98">
        <v>0.85063296703903801</v>
      </c>
      <c r="X98">
        <v>0</v>
      </c>
      <c r="Y98">
        <v>0</v>
      </c>
    </row>
    <row r="99" spans="1:25" x14ac:dyDescent="0.2">
      <c r="A99" t="s">
        <v>387</v>
      </c>
      <c r="B99" t="s">
        <v>388</v>
      </c>
      <c r="C99" t="s">
        <v>389</v>
      </c>
      <c r="D99" t="s">
        <v>390</v>
      </c>
      <c r="E99" t="s">
        <v>388</v>
      </c>
      <c r="F99" t="s">
        <v>28</v>
      </c>
      <c r="G99" t="s">
        <v>388</v>
      </c>
      <c r="H99" t="str">
        <f>"cyh-1"</f>
        <v>cyh-1</v>
      </c>
      <c r="I99" t="s">
        <v>390</v>
      </c>
      <c r="J99" t="s">
        <v>29</v>
      </c>
      <c r="K99" t="s">
        <v>29</v>
      </c>
      <c r="L99" t="s">
        <v>29</v>
      </c>
      <c r="M99" t="s">
        <v>29</v>
      </c>
      <c r="N99" t="s">
        <v>29</v>
      </c>
      <c r="O99" t="s">
        <v>29</v>
      </c>
      <c r="P99" t="s">
        <v>29</v>
      </c>
      <c r="Q99" t="s">
        <v>29</v>
      </c>
      <c r="R99" t="s">
        <v>29</v>
      </c>
      <c r="S99">
        <v>11.297266891761399</v>
      </c>
      <c r="T99" t="s">
        <v>29</v>
      </c>
      <c r="U99" t="s">
        <v>29</v>
      </c>
      <c r="V99" t="s">
        <v>29</v>
      </c>
      <c r="W99" t="s">
        <v>29</v>
      </c>
      <c r="X99" t="s">
        <v>29</v>
      </c>
      <c r="Y99" t="s">
        <v>29</v>
      </c>
    </row>
    <row r="100" spans="1:25" x14ac:dyDescent="0.2">
      <c r="A100" t="s">
        <v>391</v>
      </c>
      <c r="B100" t="s">
        <v>392</v>
      </c>
      <c r="C100" t="s">
        <v>14209</v>
      </c>
      <c r="D100" t="s">
        <v>393</v>
      </c>
      <c r="E100" t="s">
        <v>392</v>
      </c>
      <c r="F100" t="s">
        <v>28</v>
      </c>
      <c r="G100" t="s">
        <v>392</v>
      </c>
      <c r="H100" t="str">
        <f>"Y51H7C.13"</f>
        <v>Y51H7C.13</v>
      </c>
      <c r="I100" t="s">
        <v>393</v>
      </c>
      <c r="J100">
        <v>13.681471182037299</v>
      </c>
      <c r="K100">
        <v>14.0416810718188</v>
      </c>
      <c r="L100">
        <v>15.9067220321029</v>
      </c>
      <c r="M100">
        <v>14.561813614526899</v>
      </c>
      <c r="N100">
        <v>14.8056244935434</v>
      </c>
      <c r="O100">
        <v>14.513564573460901</v>
      </c>
      <c r="P100">
        <v>8.3709465190736396E-2</v>
      </c>
      <c r="Q100">
        <v>-0.98525331781487702</v>
      </c>
      <c r="R100">
        <v>1.1526722481963501</v>
      </c>
      <c r="S100">
        <v>14.1676574790348</v>
      </c>
      <c r="T100">
        <v>0.16459039797776201</v>
      </c>
      <c r="U100">
        <v>-7.0379003708687504</v>
      </c>
      <c r="V100">
        <v>0.87111127424388002</v>
      </c>
      <c r="W100">
        <v>0.95152604444094901</v>
      </c>
      <c r="X100">
        <v>0</v>
      </c>
      <c r="Y100">
        <v>0</v>
      </c>
    </row>
    <row r="101" spans="1:25" x14ac:dyDescent="0.2">
      <c r="A101" t="s">
        <v>394</v>
      </c>
      <c r="B101" t="s">
        <v>395</v>
      </c>
      <c r="C101" t="s">
        <v>396</v>
      </c>
      <c r="D101" t="s">
        <v>397</v>
      </c>
      <c r="E101" t="s">
        <v>395</v>
      </c>
      <c r="F101" t="s">
        <v>28</v>
      </c>
      <c r="G101" t="s">
        <v>395</v>
      </c>
      <c r="H101" t="str">
        <f>"frl-1"</f>
        <v>frl-1</v>
      </c>
      <c r="I101" t="s">
        <v>397</v>
      </c>
      <c r="J101">
        <v>12.931208719771501</v>
      </c>
      <c r="K101" t="s">
        <v>29</v>
      </c>
      <c r="L101">
        <v>12.578462880197399</v>
      </c>
      <c r="M101">
        <v>12.365686910181299</v>
      </c>
      <c r="N101">
        <v>12.5655393935387</v>
      </c>
      <c r="O101">
        <v>12.8335908958859</v>
      </c>
      <c r="P101">
        <v>-0.16656340011581999</v>
      </c>
      <c r="Q101">
        <v>-0.81085595260893195</v>
      </c>
      <c r="R101">
        <v>0.47772915237729202</v>
      </c>
      <c r="S101">
        <v>12.690187198741601</v>
      </c>
      <c r="T101">
        <v>-0.55896383616276202</v>
      </c>
      <c r="U101">
        <v>-6.7766459472764096</v>
      </c>
      <c r="V101">
        <v>0.58576325756917402</v>
      </c>
      <c r="W101">
        <v>0.80221954550929897</v>
      </c>
      <c r="X101">
        <v>0</v>
      </c>
      <c r="Y101">
        <v>0</v>
      </c>
    </row>
    <row r="102" spans="1:25" x14ac:dyDescent="0.2">
      <c r="A102" t="s">
        <v>398</v>
      </c>
      <c r="B102" t="s">
        <v>399</v>
      </c>
      <c r="C102" t="s">
        <v>400</v>
      </c>
      <c r="D102" t="s">
        <v>401</v>
      </c>
      <c r="E102" t="s">
        <v>399</v>
      </c>
      <c r="F102" t="s">
        <v>28</v>
      </c>
      <c r="G102" t="s">
        <v>399</v>
      </c>
      <c r="H102" t="str">
        <f>"nos-3"</f>
        <v>nos-3</v>
      </c>
      <c r="I102" t="s">
        <v>401</v>
      </c>
      <c r="J102">
        <v>12.7812160806352</v>
      </c>
      <c r="K102">
        <v>13.209561860090099</v>
      </c>
      <c r="L102">
        <v>13.3844952356633</v>
      </c>
      <c r="M102">
        <v>12.1075290739875</v>
      </c>
      <c r="N102">
        <v>11.922135591491701</v>
      </c>
      <c r="O102">
        <v>12.589640024573599</v>
      </c>
      <c r="P102">
        <v>-0.91865616211188705</v>
      </c>
      <c r="Q102">
        <v>-1.4587816766522701</v>
      </c>
      <c r="R102">
        <v>-0.37853064757150801</v>
      </c>
      <c r="S102">
        <v>13.3092072845012</v>
      </c>
      <c r="T102">
        <v>-3.6075123728626699</v>
      </c>
      <c r="U102">
        <v>-2.0498208266714499</v>
      </c>
      <c r="V102">
        <v>2.3831176200208599E-3</v>
      </c>
      <c r="W102">
        <v>3.2446295964635503E-2</v>
      </c>
      <c r="X102">
        <v>0</v>
      </c>
      <c r="Y102">
        <v>0</v>
      </c>
    </row>
    <row r="103" spans="1:25" x14ac:dyDescent="0.2">
      <c r="A103" t="s">
        <v>402</v>
      </c>
      <c r="B103" t="s">
        <v>403</v>
      </c>
      <c r="C103" t="s">
        <v>404</v>
      </c>
      <c r="D103" t="s">
        <v>405</v>
      </c>
      <c r="E103" t="s">
        <v>403</v>
      </c>
      <c r="F103" t="s">
        <v>28</v>
      </c>
      <c r="G103" t="s">
        <v>403</v>
      </c>
      <c r="H103" t="str">
        <f>"metl-17"</f>
        <v>metl-17</v>
      </c>
      <c r="I103" t="s">
        <v>405</v>
      </c>
      <c r="J103">
        <v>12.541388780083899</v>
      </c>
      <c r="K103" t="s">
        <v>29</v>
      </c>
      <c r="L103">
        <v>11.994983610275799</v>
      </c>
      <c r="M103" t="s">
        <v>29</v>
      </c>
      <c r="N103" t="s">
        <v>29</v>
      </c>
      <c r="O103" t="s">
        <v>29</v>
      </c>
      <c r="P103" t="s">
        <v>29</v>
      </c>
      <c r="Q103" t="s">
        <v>29</v>
      </c>
      <c r="R103" t="s">
        <v>29</v>
      </c>
      <c r="S103">
        <v>11.8013285377139</v>
      </c>
      <c r="T103" t="s">
        <v>29</v>
      </c>
      <c r="U103" t="s">
        <v>29</v>
      </c>
      <c r="V103" t="s">
        <v>29</v>
      </c>
      <c r="W103" t="s">
        <v>29</v>
      </c>
      <c r="X103" t="s">
        <v>29</v>
      </c>
      <c r="Y103" t="s">
        <v>29</v>
      </c>
    </row>
    <row r="104" spans="1:25" x14ac:dyDescent="0.2">
      <c r="A104" t="s">
        <v>406</v>
      </c>
      <c r="B104" t="s">
        <v>407</v>
      </c>
      <c r="C104" t="s">
        <v>408</v>
      </c>
      <c r="D104" t="s">
        <v>409</v>
      </c>
      <c r="E104" t="s">
        <v>407</v>
      </c>
      <c r="F104" t="s">
        <v>28</v>
      </c>
      <c r="G104" t="s">
        <v>407</v>
      </c>
      <c r="H104" t="str">
        <f>"ppk-3"</f>
        <v>ppk-3</v>
      </c>
      <c r="I104" t="s">
        <v>409</v>
      </c>
      <c r="J104">
        <v>21.417621885181301</v>
      </c>
      <c r="K104">
        <v>21.662727414251499</v>
      </c>
      <c r="L104">
        <v>21.1433322445247</v>
      </c>
      <c r="M104">
        <v>21.633719815477399</v>
      </c>
      <c r="N104">
        <v>21.942592912752801</v>
      </c>
      <c r="O104">
        <v>21.398481466815301</v>
      </c>
      <c r="P104">
        <v>0.25037088369598198</v>
      </c>
      <c r="Q104">
        <v>-0.46731216068675901</v>
      </c>
      <c r="R104">
        <v>0.96805392807872404</v>
      </c>
      <c r="S104">
        <v>20.4191776850104</v>
      </c>
      <c r="T104">
        <v>0.73323578028812397</v>
      </c>
      <c r="U104">
        <v>-6.7745116493402602</v>
      </c>
      <c r="V104">
        <v>0.47291157247537202</v>
      </c>
      <c r="W104">
        <v>0.73434291086317804</v>
      </c>
      <c r="X104">
        <v>0</v>
      </c>
      <c r="Y104">
        <v>0</v>
      </c>
    </row>
    <row r="105" spans="1:25" x14ac:dyDescent="0.2">
      <c r="A105" t="s">
        <v>410</v>
      </c>
      <c r="B105" t="s">
        <v>411</v>
      </c>
      <c r="C105" t="s">
        <v>14210</v>
      </c>
      <c r="D105" t="s">
        <v>412</v>
      </c>
      <c r="E105" t="s">
        <v>411</v>
      </c>
      <c r="F105" t="s">
        <v>28</v>
      </c>
      <c r="G105" t="s">
        <v>411</v>
      </c>
      <c r="H105" t="str">
        <f>"T26A5.2"</f>
        <v>T26A5.2</v>
      </c>
      <c r="I105" t="s">
        <v>412</v>
      </c>
      <c r="J105" t="s">
        <v>29</v>
      </c>
      <c r="K105" t="s">
        <v>29</v>
      </c>
      <c r="L105" t="s">
        <v>29</v>
      </c>
      <c r="M105" t="s">
        <v>29</v>
      </c>
      <c r="N105">
        <v>13.6816129445854</v>
      </c>
      <c r="O105" t="s">
        <v>29</v>
      </c>
      <c r="P105" t="s">
        <v>29</v>
      </c>
      <c r="Q105" t="s">
        <v>29</v>
      </c>
      <c r="R105" t="s">
        <v>29</v>
      </c>
      <c r="S105">
        <v>12.9942017015369</v>
      </c>
      <c r="T105" t="s">
        <v>29</v>
      </c>
      <c r="U105" t="s">
        <v>29</v>
      </c>
      <c r="V105" t="s">
        <v>29</v>
      </c>
      <c r="W105" t="s">
        <v>29</v>
      </c>
      <c r="X105" t="s">
        <v>29</v>
      </c>
      <c r="Y105" t="s">
        <v>29</v>
      </c>
    </row>
    <row r="106" spans="1:25" x14ac:dyDescent="0.2">
      <c r="A106" t="s">
        <v>413</v>
      </c>
      <c r="B106" t="s">
        <v>414</v>
      </c>
      <c r="C106" t="s">
        <v>415</v>
      </c>
      <c r="D106" t="s">
        <v>416</v>
      </c>
      <c r="E106" t="s">
        <v>414</v>
      </c>
      <c r="F106" t="s">
        <v>28</v>
      </c>
      <c r="G106" t="s">
        <v>414</v>
      </c>
      <c r="H106" t="str">
        <f>"usp-5"</f>
        <v>usp-5</v>
      </c>
      <c r="I106" t="s">
        <v>416</v>
      </c>
      <c r="J106">
        <v>10.599355728830901</v>
      </c>
      <c r="K106" t="s">
        <v>29</v>
      </c>
      <c r="L106">
        <v>11.7055309883216</v>
      </c>
      <c r="M106">
        <v>12.7963492259044</v>
      </c>
      <c r="N106">
        <v>12.48523691606</v>
      </c>
      <c r="O106">
        <v>12.726233437069601</v>
      </c>
      <c r="P106">
        <v>1.5168298344350899</v>
      </c>
      <c r="Q106">
        <v>0.77048494827959002</v>
      </c>
      <c r="R106">
        <v>2.2631747205905901</v>
      </c>
      <c r="S106">
        <v>12.780827868188601</v>
      </c>
      <c r="T106">
        <v>4.3106903825496499</v>
      </c>
      <c r="U106">
        <v>-0.49062063519714399</v>
      </c>
      <c r="V106">
        <v>5.4611802487430103E-4</v>
      </c>
      <c r="W106">
        <v>1.16912371904012E-2</v>
      </c>
      <c r="X106">
        <v>1</v>
      </c>
      <c r="Y106">
        <v>1</v>
      </c>
    </row>
    <row r="107" spans="1:25" x14ac:dyDescent="0.2">
      <c r="A107" t="s">
        <v>417</v>
      </c>
      <c r="B107" t="s">
        <v>418</v>
      </c>
      <c r="C107" t="s">
        <v>419</v>
      </c>
      <c r="D107" t="s">
        <v>420</v>
      </c>
      <c r="E107" t="s">
        <v>418</v>
      </c>
      <c r="F107" t="s">
        <v>28</v>
      </c>
      <c r="G107" t="s">
        <v>418</v>
      </c>
      <c r="H107" t="str">
        <f>"clh-1"</f>
        <v>clh-1</v>
      </c>
      <c r="I107" t="s">
        <v>420</v>
      </c>
      <c r="J107">
        <v>12.7532538866521</v>
      </c>
      <c r="K107">
        <v>12.226948512995801</v>
      </c>
      <c r="L107">
        <v>12.7468976092416</v>
      </c>
      <c r="M107">
        <v>11.6231851913504</v>
      </c>
      <c r="N107">
        <v>12.0672312134697</v>
      </c>
      <c r="O107" t="s">
        <v>29</v>
      </c>
      <c r="P107">
        <v>-0.73049180055310903</v>
      </c>
      <c r="Q107">
        <v>-1.68947286422344</v>
      </c>
      <c r="R107">
        <v>0.22848926311722501</v>
      </c>
      <c r="S107">
        <v>12.3726818265174</v>
      </c>
      <c r="T107">
        <v>-1.6349226359143401</v>
      </c>
      <c r="U107">
        <v>-5.6442162998150103</v>
      </c>
      <c r="V107">
        <v>0.12450839855378</v>
      </c>
      <c r="W107">
        <v>0.36562125826770298</v>
      </c>
      <c r="X107">
        <v>0</v>
      </c>
      <c r="Y107">
        <v>0</v>
      </c>
    </row>
    <row r="108" spans="1:25" x14ac:dyDescent="0.2">
      <c r="A108" t="s">
        <v>421</v>
      </c>
      <c r="B108" t="s">
        <v>422</v>
      </c>
      <c r="C108" t="s">
        <v>14211</v>
      </c>
      <c r="D108" t="s">
        <v>368</v>
      </c>
      <c r="E108" t="s">
        <v>422</v>
      </c>
      <c r="F108" t="s">
        <v>28</v>
      </c>
      <c r="G108" t="s">
        <v>422</v>
      </c>
      <c r="H108" t="str">
        <f>"W05F2.4"</f>
        <v>W05F2.4</v>
      </c>
      <c r="I108" t="s">
        <v>368</v>
      </c>
      <c r="J108" t="s">
        <v>29</v>
      </c>
      <c r="K108" t="s">
        <v>29</v>
      </c>
      <c r="L108">
        <v>11.2118933008125</v>
      </c>
      <c r="M108" t="s">
        <v>29</v>
      </c>
      <c r="N108" t="s">
        <v>29</v>
      </c>
      <c r="O108" t="s">
        <v>29</v>
      </c>
      <c r="P108" t="s">
        <v>29</v>
      </c>
      <c r="Q108" t="s">
        <v>29</v>
      </c>
      <c r="R108" t="s">
        <v>29</v>
      </c>
      <c r="S108">
        <v>11.693350056633999</v>
      </c>
      <c r="T108" t="s">
        <v>29</v>
      </c>
      <c r="U108" t="s">
        <v>29</v>
      </c>
      <c r="V108" t="s">
        <v>29</v>
      </c>
      <c r="W108" t="s">
        <v>29</v>
      </c>
      <c r="X108" t="s">
        <v>29</v>
      </c>
      <c r="Y108" t="s">
        <v>29</v>
      </c>
    </row>
    <row r="109" spans="1:25" x14ac:dyDescent="0.2">
      <c r="A109" t="s">
        <v>423</v>
      </c>
      <c r="B109" t="s">
        <v>424</v>
      </c>
      <c r="C109" t="s">
        <v>425</v>
      </c>
      <c r="D109" t="s">
        <v>426</v>
      </c>
      <c r="E109" t="s">
        <v>424</v>
      </c>
      <c r="F109" t="s">
        <v>28</v>
      </c>
      <c r="G109" t="s">
        <v>424</v>
      </c>
      <c r="H109" t="str">
        <f>"mvk-1"</f>
        <v>mvk-1</v>
      </c>
      <c r="I109" t="s">
        <v>426</v>
      </c>
      <c r="J109">
        <v>14.828496191709</v>
      </c>
      <c r="K109">
        <v>14.7858084973003</v>
      </c>
      <c r="L109">
        <v>14.455038046820301</v>
      </c>
      <c r="M109">
        <v>14.828432714564199</v>
      </c>
      <c r="N109">
        <v>14.924165662231299</v>
      </c>
      <c r="O109">
        <v>14.752882371151699</v>
      </c>
      <c r="P109">
        <v>0.14537933737248199</v>
      </c>
      <c r="Q109">
        <v>-0.252002087312378</v>
      </c>
      <c r="R109">
        <v>0.54276076205734203</v>
      </c>
      <c r="S109">
        <v>14.1429183135579</v>
      </c>
      <c r="T109">
        <v>0.76893147023561303</v>
      </c>
      <c r="U109">
        <v>-6.74727642320412</v>
      </c>
      <c r="V109">
        <v>0.451963880868885</v>
      </c>
      <c r="W109">
        <v>0.71916404320163896</v>
      </c>
      <c r="X109">
        <v>0</v>
      </c>
      <c r="Y109">
        <v>0</v>
      </c>
    </row>
    <row r="110" spans="1:25" x14ac:dyDescent="0.2">
      <c r="A110" t="s">
        <v>427</v>
      </c>
      <c r="B110" t="s">
        <v>428</v>
      </c>
      <c r="C110" t="s">
        <v>14212</v>
      </c>
      <c r="D110" t="s">
        <v>429</v>
      </c>
      <c r="E110" t="s">
        <v>428</v>
      </c>
      <c r="F110" t="s">
        <v>28</v>
      </c>
      <c r="G110" t="s">
        <v>428</v>
      </c>
      <c r="H110" t="str">
        <f>"Y32H12A.7"</f>
        <v>Y32H12A.7</v>
      </c>
      <c r="I110" t="s">
        <v>429</v>
      </c>
      <c r="J110" t="s">
        <v>29</v>
      </c>
      <c r="K110">
        <v>11.407124804301899</v>
      </c>
      <c r="L110">
        <v>12.8389829239474</v>
      </c>
      <c r="M110" t="s">
        <v>29</v>
      </c>
      <c r="N110" t="s">
        <v>29</v>
      </c>
      <c r="O110" t="s">
        <v>29</v>
      </c>
      <c r="P110" t="s">
        <v>29</v>
      </c>
      <c r="Q110" t="s">
        <v>29</v>
      </c>
      <c r="R110" t="s">
        <v>29</v>
      </c>
      <c r="S110">
        <v>12.9070936299238</v>
      </c>
      <c r="T110" t="s">
        <v>29</v>
      </c>
      <c r="U110" t="s">
        <v>29</v>
      </c>
      <c r="V110" t="s">
        <v>29</v>
      </c>
      <c r="W110" t="s">
        <v>29</v>
      </c>
      <c r="X110" t="s">
        <v>29</v>
      </c>
      <c r="Y110" t="s">
        <v>29</v>
      </c>
    </row>
    <row r="111" spans="1:25" x14ac:dyDescent="0.2">
      <c r="A111" t="s">
        <v>430</v>
      </c>
      <c r="B111" t="s">
        <v>431</v>
      </c>
      <c r="C111" t="s">
        <v>432</v>
      </c>
      <c r="D111" t="s">
        <v>433</v>
      </c>
      <c r="E111" t="s">
        <v>431</v>
      </c>
      <c r="F111" t="s">
        <v>28</v>
      </c>
      <c r="G111" t="s">
        <v>431</v>
      </c>
      <c r="H111" t="str">
        <f>"edc-4"</f>
        <v>edc-4</v>
      </c>
      <c r="I111" t="s">
        <v>433</v>
      </c>
      <c r="J111">
        <v>11.920371341518599</v>
      </c>
      <c r="K111">
        <v>11.454727761420401</v>
      </c>
      <c r="L111">
        <v>11.7757898023814</v>
      </c>
      <c r="M111">
        <v>14.092691955825201</v>
      </c>
      <c r="N111">
        <v>14.7711369582471</v>
      </c>
      <c r="O111">
        <v>14.535412591771401</v>
      </c>
      <c r="P111">
        <v>2.7494508668411299</v>
      </c>
      <c r="Q111">
        <v>2.25648281258227</v>
      </c>
      <c r="R111">
        <v>3.2424189210999899</v>
      </c>
      <c r="S111">
        <v>13.818289367550401</v>
      </c>
      <c r="T111">
        <v>11.7224853769708</v>
      </c>
      <c r="U111">
        <v>12.844895545050401</v>
      </c>
      <c r="V111" s="2">
        <v>7.8757097841543402E-10</v>
      </c>
      <c r="W111" s="2">
        <v>1.9713507413567901E-7</v>
      </c>
      <c r="X111">
        <v>1</v>
      </c>
      <c r="Y111">
        <v>1</v>
      </c>
    </row>
    <row r="112" spans="1:25" x14ac:dyDescent="0.2">
      <c r="A112" t="s">
        <v>434</v>
      </c>
      <c r="B112" t="s">
        <v>435</v>
      </c>
      <c r="C112" t="s">
        <v>14213</v>
      </c>
      <c r="D112" t="s">
        <v>436</v>
      </c>
      <c r="E112" t="s">
        <v>435</v>
      </c>
      <c r="F112" t="s">
        <v>28</v>
      </c>
      <c r="G112" t="s">
        <v>435</v>
      </c>
      <c r="H112" t="str">
        <f>"Y39A3CL.4"</f>
        <v>Y39A3CL.4</v>
      </c>
      <c r="I112" t="s">
        <v>436</v>
      </c>
      <c r="J112">
        <v>14.1356381697272</v>
      </c>
      <c r="K112">
        <v>14.264659704578399</v>
      </c>
      <c r="L112">
        <v>13.9579323421415</v>
      </c>
      <c r="M112">
        <v>15.1555341887816</v>
      </c>
      <c r="N112">
        <v>15.301534100348</v>
      </c>
      <c r="O112">
        <v>14.8089804686226</v>
      </c>
      <c r="P112">
        <v>0.96927284710170403</v>
      </c>
      <c r="Q112">
        <v>0.444476204077565</v>
      </c>
      <c r="R112">
        <v>1.49406949012584</v>
      </c>
      <c r="S112">
        <v>14.4212616868606</v>
      </c>
      <c r="T112">
        <v>3.8819283172967198</v>
      </c>
      <c r="U112">
        <v>-1.33879251917512</v>
      </c>
      <c r="V112">
        <v>1.1027647970390101E-3</v>
      </c>
      <c r="W112">
        <v>1.9552191962291701E-2</v>
      </c>
      <c r="X112">
        <v>0</v>
      </c>
      <c r="Y112">
        <v>0</v>
      </c>
    </row>
    <row r="113" spans="1:25" x14ac:dyDescent="0.2">
      <c r="A113" t="s">
        <v>437</v>
      </c>
      <c r="B113" t="s">
        <v>438</v>
      </c>
      <c r="C113" t="s">
        <v>439</v>
      </c>
      <c r="D113" t="s">
        <v>66</v>
      </c>
      <c r="E113" t="s">
        <v>438</v>
      </c>
      <c r="F113" t="s">
        <v>28</v>
      </c>
      <c r="G113" t="s">
        <v>438</v>
      </c>
      <c r="H113" t="str">
        <f>"pkhm-2"</f>
        <v>pkhm-2</v>
      </c>
      <c r="I113" t="s">
        <v>66</v>
      </c>
      <c r="J113">
        <v>12.5778990188821</v>
      </c>
      <c r="K113">
        <v>11.726790452989601</v>
      </c>
      <c r="L113">
        <v>12.5578729855966</v>
      </c>
      <c r="M113">
        <v>12.6358515537777</v>
      </c>
      <c r="N113">
        <v>12.9195931144593</v>
      </c>
      <c r="O113">
        <v>12.3413738979198</v>
      </c>
      <c r="P113">
        <v>0.344752036229519</v>
      </c>
      <c r="Q113">
        <v>-0.309488682957544</v>
      </c>
      <c r="R113">
        <v>0.99899275541658095</v>
      </c>
      <c r="S113">
        <v>12.3041241001019</v>
      </c>
      <c r="T113">
        <v>1.11768339582372</v>
      </c>
      <c r="U113">
        <v>-6.4178541381482699</v>
      </c>
      <c r="V113">
        <v>0.280311404227781</v>
      </c>
      <c r="W113">
        <v>0.56024359195064</v>
      </c>
      <c r="X113">
        <v>0</v>
      </c>
      <c r="Y113">
        <v>0</v>
      </c>
    </row>
    <row r="114" spans="1:25" x14ac:dyDescent="0.2">
      <c r="A114" t="s">
        <v>440</v>
      </c>
      <c r="B114" t="s">
        <v>441</v>
      </c>
      <c r="C114" t="s">
        <v>442</v>
      </c>
      <c r="D114" t="s">
        <v>252</v>
      </c>
      <c r="E114" t="s">
        <v>441</v>
      </c>
      <c r="F114" t="s">
        <v>28</v>
      </c>
      <c r="G114" t="s">
        <v>441</v>
      </c>
      <c r="H114" t="str">
        <f>"mex-1"</f>
        <v>mex-1</v>
      </c>
      <c r="I114" t="s">
        <v>252</v>
      </c>
      <c r="J114">
        <v>11.720929577572999</v>
      </c>
      <c r="K114" t="s">
        <v>29</v>
      </c>
      <c r="L114">
        <v>12.6519363026981</v>
      </c>
      <c r="M114" t="s">
        <v>29</v>
      </c>
      <c r="N114" t="s">
        <v>29</v>
      </c>
      <c r="O114">
        <v>12.155869410388</v>
      </c>
      <c r="P114">
        <v>-3.0563529747549702E-2</v>
      </c>
      <c r="Q114">
        <v>-0.95949888741204303</v>
      </c>
      <c r="R114">
        <v>0.89837182791694403</v>
      </c>
      <c r="S114">
        <v>13.886193444622499</v>
      </c>
      <c r="T114">
        <v>-7.1756794193402307E-2</v>
      </c>
      <c r="U114">
        <v>-6.6484454588021098</v>
      </c>
      <c r="V114">
        <v>0.94398784216796805</v>
      </c>
      <c r="W114">
        <v>0.97576384643441005</v>
      </c>
      <c r="X114">
        <v>0</v>
      </c>
      <c r="Y114">
        <v>0</v>
      </c>
    </row>
    <row r="115" spans="1:25" x14ac:dyDescent="0.2">
      <c r="A115" t="s">
        <v>443</v>
      </c>
      <c r="B115" t="s">
        <v>444</v>
      </c>
      <c r="C115" t="s">
        <v>445</v>
      </c>
      <c r="D115" t="s">
        <v>446</v>
      </c>
      <c r="E115" t="s">
        <v>444</v>
      </c>
      <c r="F115" t="s">
        <v>28</v>
      </c>
      <c r="G115" t="s">
        <v>444</v>
      </c>
      <c r="H115" t="str">
        <f>"ctps-1"</f>
        <v>ctps-1</v>
      </c>
      <c r="I115" t="s">
        <v>446</v>
      </c>
      <c r="J115">
        <v>15.2610876888126</v>
      </c>
      <c r="K115">
        <v>15.140798721927201</v>
      </c>
      <c r="L115">
        <v>15.2749991624353</v>
      </c>
      <c r="M115">
        <v>15.0755467634461</v>
      </c>
      <c r="N115">
        <v>15.2355118375814</v>
      </c>
      <c r="O115">
        <v>14.9588588279299</v>
      </c>
      <c r="P115">
        <v>-0.135656048072578</v>
      </c>
      <c r="Q115">
        <v>-0.46540277587609702</v>
      </c>
      <c r="R115">
        <v>0.19409067973094099</v>
      </c>
      <c r="S115">
        <v>15.0736774918691</v>
      </c>
      <c r="T115">
        <v>-0.86467156965013603</v>
      </c>
      <c r="U115">
        <v>-6.6682891155084203</v>
      </c>
      <c r="V115">
        <v>0.39866210888494702</v>
      </c>
      <c r="W115">
        <v>0.67249689077844399</v>
      </c>
      <c r="X115">
        <v>0</v>
      </c>
      <c r="Y115">
        <v>0</v>
      </c>
    </row>
    <row r="116" spans="1:25" x14ac:dyDescent="0.2">
      <c r="A116" t="s">
        <v>447</v>
      </c>
      <c r="B116" t="s">
        <v>448</v>
      </c>
      <c r="C116" t="s">
        <v>449</v>
      </c>
      <c r="D116" t="s">
        <v>450</v>
      </c>
      <c r="E116" t="s">
        <v>448</v>
      </c>
      <c r="F116" t="s">
        <v>28</v>
      </c>
      <c r="G116" t="s">
        <v>448</v>
      </c>
      <c r="H116" t="str">
        <f>"frm-5.1"</f>
        <v>frm-5.1</v>
      </c>
      <c r="I116" t="s">
        <v>450</v>
      </c>
      <c r="J116">
        <v>10.9647975226712</v>
      </c>
      <c r="K116">
        <v>11.1260795649222</v>
      </c>
      <c r="L116">
        <v>10.9534852560286</v>
      </c>
      <c r="M116">
        <v>12.5353646404592</v>
      </c>
      <c r="N116">
        <v>12.3798141359408</v>
      </c>
      <c r="O116">
        <v>12.194135764790801</v>
      </c>
      <c r="P116">
        <v>1.35498406585627</v>
      </c>
      <c r="Q116">
        <v>0.94058686645659595</v>
      </c>
      <c r="R116">
        <v>1.76938126525595</v>
      </c>
      <c r="S116">
        <v>11.8706109908562</v>
      </c>
      <c r="T116">
        <v>6.9353264153565197</v>
      </c>
      <c r="U116">
        <v>4.5277861349692099</v>
      </c>
      <c r="V116" s="2">
        <v>3.47935920875432E-6</v>
      </c>
      <c r="W116">
        <v>1.7418207485056199E-4</v>
      </c>
      <c r="X116">
        <v>1</v>
      </c>
      <c r="Y116">
        <v>1</v>
      </c>
    </row>
    <row r="117" spans="1:25" x14ac:dyDescent="0.2">
      <c r="A117" t="s">
        <v>451</v>
      </c>
      <c r="B117" t="s">
        <v>452</v>
      </c>
      <c r="C117" t="s">
        <v>453</v>
      </c>
      <c r="D117" t="s">
        <v>454</v>
      </c>
      <c r="E117" t="s">
        <v>452</v>
      </c>
      <c r="F117" t="s">
        <v>28</v>
      </c>
      <c r="G117" t="s">
        <v>452</v>
      </c>
      <c r="H117" t="str">
        <f>"azyx-1"</f>
        <v>azyx-1</v>
      </c>
      <c r="I117" t="s">
        <v>454</v>
      </c>
      <c r="J117">
        <v>14.446789829825001</v>
      </c>
      <c r="K117">
        <v>14.594690938462501</v>
      </c>
      <c r="L117">
        <v>15.0425673489544</v>
      </c>
      <c r="M117">
        <v>14.7935535769201</v>
      </c>
      <c r="N117">
        <v>14.441977642888601</v>
      </c>
      <c r="O117">
        <v>14.8499324944699</v>
      </c>
      <c r="P117">
        <v>4.7186567887891302E-4</v>
      </c>
      <c r="Q117">
        <v>-0.41305062650983898</v>
      </c>
      <c r="R117">
        <v>0.41399435786759697</v>
      </c>
      <c r="S117">
        <v>14.942897646458899</v>
      </c>
      <c r="T117">
        <v>2.3983456104881302E-3</v>
      </c>
      <c r="U117">
        <v>-7.0520834279378102</v>
      </c>
      <c r="V117">
        <v>0.99811293310132099</v>
      </c>
      <c r="W117">
        <v>0.99872677869363502</v>
      </c>
      <c r="X117">
        <v>0</v>
      </c>
      <c r="Y117">
        <v>0</v>
      </c>
    </row>
    <row r="118" spans="1:25" x14ac:dyDescent="0.2">
      <c r="A118" t="s">
        <v>455</v>
      </c>
      <c r="B118" t="s">
        <v>456</v>
      </c>
      <c r="C118" t="s">
        <v>457</v>
      </c>
      <c r="D118" t="s">
        <v>458</v>
      </c>
      <c r="E118" t="s">
        <v>456</v>
      </c>
      <c r="F118" t="s">
        <v>28</v>
      </c>
      <c r="G118" t="s">
        <v>456</v>
      </c>
      <c r="H118" t="str">
        <f>"ttr-42"</f>
        <v>ttr-42</v>
      </c>
      <c r="I118" t="s">
        <v>458</v>
      </c>
      <c r="J118" t="s">
        <v>29</v>
      </c>
      <c r="K118" t="s">
        <v>29</v>
      </c>
      <c r="L118">
        <v>12.221877817763</v>
      </c>
      <c r="M118">
        <v>11.8345596684836</v>
      </c>
      <c r="N118">
        <v>12.410154740238699</v>
      </c>
      <c r="O118" t="s">
        <v>29</v>
      </c>
      <c r="P118">
        <v>-9.9520613401827204E-2</v>
      </c>
      <c r="Q118">
        <v>-2.0152052020156201</v>
      </c>
      <c r="R118">
        <v>1.81616397521197</v>
      </c>
      <c r="S118">
        <v>11.462171488339701</v>
      </c>
      <c r="T118">
        <v>-0.117731680699804</v>
      </c>
      <c r="U118">
        <v>-6.64361283831128</v>
      </c>
      <c r="V118">
        <v>0.90889582234532595</v>
      </c>
      <c r="W118">
        <v>0.96798538961646996</v>
      </c>
      <c r="X118">
        <v>0</v>
      </c>
      <c r="Y118">
        <v>0</v>
      </c>
    </row>
    <row r="119" spans="1:25" x14ac:dyDescent="0.2">
      <c r="A119" t="s">
        <v>459</v>
      </c>
      <c r="B119" t="s">
        <v>460</v>
      </c>
      <c r="C119" t="s">
        <v>461</v>
      </c>
      <c r="D119" t="s">
        <v>462</v>
      </c>
      <c r="E119" t="s">
        <v>460</v>
      </c>
      <c r="F119" t="s">
        <v>28</v>
      </c>
      <c r="G119" t="s">
        <v>460</v>
      </c>
      <c r="H119" t="str">
        <f>"C29E4.15"</f>
        <v>C29E4.15</v>
      </c>
      <c r="I119" t="s">
        <v>462</v>
      </c>
      <c r="J119">
        <v>12.6521910036065</v>
      </c>
      <c r="K119">
        <v>11.845547701575599</v>
      </c>
      <c r="L119">
        <v>12.600294699841101</v>
      </c>
      <c r="M119" t="s">
        <v>29</v>
      </c>
      <c r="N119">
        <v>12.1069006624256</v>
      </c>
      <c r="O119">
        <v>11.8621443738542</v>
      </c>
      <c r="P119">
        <v>-0.38148861686784802</v>
      </c>
      <c r="Q119">
        <v>-1.6069692424822299</v>
      </c>
      <c r="R119">
        <v>0.84399200874653602</v>
      </c>
      <c r="S119">
        <v>12.096432443199401</v>
      </c>
      <c r="T119">
        <v>-0.66813931406801297</v>
      </c>
      <c r="U119">
        <v>-6.7081182141789304</v>
      </c>
      <c r="V119">
        <v>0.51499050931076595</v>
      </c>
      <c r="W119">
        <v>0.76201682956660699</v>
      </c>
      <c r="X119">
        <v>0</v>
      </c>
      <c r="Y119">
        <v>0</v>
      </c>
    </row>
    <row r="120" spans="1:25" x14ac:dyDescent="0.2">
      <c r="A120" t="s">
        <v>463</v>
      </c>
      <c r="B120" t="s">
        <v>464</v>
      </c>
      <c r="C120" t="s">
        <v>465</v>
      </c>
      <c r="D120" t="s">
        <v>466</v>
      </c>
      <c r="E120" t="s">
        <v>464</v>
      </c>
      <c r="F120" t="s">
        <v>28</v>
      </c>
      <c r="G120" t="s">
        <v>464</v>
      </c>
      <c r="H120" t="str">
        <f>"cnnm-1"</f>
        <v>cnnm-1</v>
      </c>
      <c r="I120" t="s">
        <v>466</v>
      </c>
      <c r="J120">
        <v>10.374466721912301</v>
      </c>
      <c r="K120">
        <v>10.5409232451601</v>
      </c>
      <c r="L120">
        <v>10.476359967086299</v>
      </c>
      <c r="M120">
        <v>11.8159640611062</v>
      </c>
      <c r="N120">
        <v>11.9400279107762</v>
      </c>
      <c r="O120">
        <v>10.8661682571881</v>
      </c>
      <c r="P120">
        <v>1.0768034316372701</v>
      </c>
      <c r="Q120">
        <v>0.119119586676183</v>
      </c>
      <c r="R120">
        <v>2.0344872765983499</v>
      </c>
      <c r="S120">
        <v>11.065424958854299</v>
      </c>
      <c r="T120">
        <v>2.3980369760865199</v>
      </c>
      <c r="U120">
        <v>-4.4799201325681901</v>
      </c>
      <c r="V120">
        <v>3.0042277961783499E-2</v>
      </c>
      <c r="W120">
        <v>0.17012177949489199</v>
      </c>
      <c r="X120">
        <v>1</v>
      </c>
      <c r="Y120">
        <v>0</v>
      </c>
    </row>
    <row r="121" spans="1:25" x14ac:dyDescent="0.2">
      <c r="A121" t="s">
        <v>467</v>
      </c>
      <c r="B121" t="s">
        <v>468</v>
      </c>
      <c r="C121" t="s">
        <v>469</v>
      </c>
      <c r="D121" t="s">
        <v>470</v>
      </c>
      <c r="E121" t="s">
        <v>468</v>
      </c>
      <c r="F121" t="s">
        <v>28</v>
      </c>
      <c r="G121" t="s">
        <v>468</v>
      </c>
      <c r="H121" t="str">
        <f>"oac-59"</f>
        <v>oac-59</v>
      </c>
      <c r="I121" t="s">
        <v>470</v>
      </c>
      <c r="J121">
        <v>11.7390312606493</v>
      </c>
      <c r="K121">
        <v>11.972055981290801</v>
      </c>
      <c r="L121">
        <v>12.1303130080538</v>
      </c>
      <c r="M121">
        <v>11.2839774714167</v>
      </c>
      <c r="N121">
        <v>11.847841167606999</v>
      </c>
      <c r="O121">
        <v>11.597875612393601</v>
      </c>
      <c r="P121">
        <v>-0.37056866619219497</v>
      </c>
      <c r="Q121">
        <v>-0.89862198082825895</v>
      </c>
      <c r="R121">
        <v>0.157484648443869</v>
      </c>
      <c r="S121">
        <v>12.2210617308252</v>
      </c>
      <c r="T121">
        <v>-1.4884712515596501</v>
      </c>
      <c r="U121">
        <v>-5.9584156672228596</v>
      </c>
      <c r="V121">
        <v>0.156197664667447</v>
      </c>
      <c r="W121">
        <v>0.40726596050769998</v>
      </c>
      <c r="X121">
        <v>0</v>
      </c>
      <c r="Y121">
        <v>0</v>
      </c>
    </row>
    <row r="122" spans="1:25" x14ac:dyDescent="0.2">
      <c r="A122" t="s">
        <v>471</v>
      </c>
      <c r="B122" t="s">
        <v>472</v>
      </c>
      <c r="C122" t="s">
        <v>473</v>
      </c>
      <c r="D122" t="s">
        <v>319</v>
      </c>
      <c r="E122" t="s">
        <v>472</v>
      </c>
      <c r="F122" t="s">
        <v>28</v>
      </c>
      <c r="G122" t="s">
        <v>472</v>
      </c>
      <c r="H122" t="str">
        <f>"C42C1.8"</f>
        <v>C42C1.8</v>
      </c>
      <c r="I122" t="s">
        <v>319</v>
      </c>
      <c r="J122">
        <v>13.442807793329999</v>
      </c>
      <c r="K122">
        <v>12.851552048913099</v>
      </c>
      <c r="L122">
        <v>13.367682829589301</v>
      </c>
      <c r="M122">
        <v>13.0854790665983</v>
      </c>
      <c r="N122">
        <v>13.851863351323701</v>
      </c>
      <c r="O122">
        <v>12.9566114667394</v>
      </c>
      <c r="P122">
        <v>7.7303737609643305E-2</v>
      </c>
      <c r="Q122">
        <v>-0.42031553422543999</v>
      </c>
      <c r="R122">
        <v>0.57492300944472696</v>
      </c>
      <c r="S122">
        <v>13.711911953873001</v>
      </c>
      <c r="T122">
        <v>0.32949803641262099</v>
      </c>
      <c r="U122">
        <v>-6.9950066578360603</v>
      </c>
      <c r="V122">
        <v>0.74608137333772495</v>
      </c>
      <c r="W122">
        <v>0.89235361033480298</v>
      </c>
      <c r="X122">
        <v>0</v>
      </c>
      <c r="Y122">
        <v>0</v>
      </c>
    </row>
    <row r="123" spans="1:25" x14ac:dyDescent="0.2">
      <c r="A123" t="s">
        <v>474</v>
      </c>
      <c r="B123" t="s">
        <v>475</v>
      </c>
      <c r="C123" t="s">
        <v>476</v>
      </c>
      <c r="D123" t="s">
        <v>477</v>
      </c>
      <c r="E123" t="s">
        <v>475</v>
      </c>
      <c r="F123" t="s">
        <v>28</v>
      </c>
      <c r="G123" t="s">
        <v>475</v>
      </c>
      <c r="H123" t="str">
        <f>"hpo-12"</f>
        <v>hpo-12</v>
      </c>
      <c r="I123" t="s">
        <v>477</v>
      </c>
      <c r="J123">
        <v>13.535933422964201</v>
      </c>
      <c r="K123">
        <v>13.6633420036478</v>
      </c>
      <c r="L123">
        <v>13.7305853659495</v>
      </c>
      <c r="M123">
        <v>13.3026328229494</v>
      </c>
      <c r="N123">
        <v>13.4962489607852</v>
      </c>
      <c r="O123">
        <v>13.309166610292101</v>
      </c>
      <c r="P123">
        <v>-0.27393746617825299</v>
      </c>
      <c r="Q123">
        <v>-0.922229741643949</v>
      </c>
      <c r="R123">
        <v>0.37435480928744203</v>
      </c>
      <c r="S123">
        <v>13.4143974901439</v>
      </c>
      <c r="T123">
        <v>-0.896251957595254</v>
      </c>
      <c r="U123">
        <v>-6.6387559210902003</v>
      </c>
      <c r="V123">
        <v>0.38349131499671701</v>
      </c>
      <c r="W123">
        <v>0.65851226332417701</v>
      </c>
      <c r="X123">
        <v>0</v>
      </c>
      <c r="Y123">
        <v>0</v>
      </c>
    </row>
    <row r="124" spans="1:25" x14ac:dyDescent="0.2">
      <c r="A124" t="s">
        <v>478</v>
      </c>
      <c r="B124" t="s">
        <v>479</v>
      </c>
      <c r="C124" t="s">
        <v>480</v>
      </c>
      <c r="D124" t="s">
        <v>481</v>
      </c>
      <c r="E124" t="s">
        <v>479</v>
      </c>
      <c r="F124" t="s">
        <v>28</v>
      </c>
      <c r="G124" t="s">
        <v>479</v>
      </c>
      <c r="H124" t="str">
        <f>"rpl-34"</f>
        <v>rpl-34</v>
      </c>
      <c r="I124" t="s">
        <v>481</v>
      </c>
      <c r="J124">
        <v>19.636546243082002</v>
      </c>
      <c r="K124">
        <v>19.492956322883501</v>
      </c>
      <c r="L124">
        <v>19.4092060741932</v>
      </c>
      <c r="M124">
        <v>19.489691544256502</v>
      </c>
      <c r="N124">
        <v>19.093258058935302</v>
      </c>
      <c r="O124">
        <v>18.539642405036101</v>
      </c>
      <c r="P124">
        <v>-0.472038877310268</v>
      </c>
      <c r="Q124">
        <v>-0.93487166474375405</v>
      </c>
      <c r="R124">
        <v>-9.2060898767827894E-3</v>
      </c>
      <c r="S124">
        <v>18.9544411213407</v>
      </c>
      <c r="T124">
        <v>-2.1436119270782799</v>
      </c>
      <c r="U124">
        <v>-4.9106331990409897</v>
      </c>
      <c r="V124">
        <v>4.6057642235216703E-2</v>
      </c>
      <c r="W124">
        <v>0.21288574976334501</v>
      </c>
      <c r="X124">
        <v>0</v>
      </c>
      <c r="Y124">
        <v>0</v>
      </c>
    </row>
    <row r="125" spans="1:25" x14ac:dyDescent="0.2">
      <c r="A125" t="s">
        <v>482</v>
      </c>
      <c r="B125" t="s">
        <v>483</v>
      </c>
      <c r="C125" t="s">
        <v>484</v>
      </c>
      <c r="D125" t="s">
        <v>485</v>
      </c>
      <c r="E125" t="s">
        <v>483</v>
      </c>
      <c r="F125" t="s">
        <v>28</v>
      </c>
      <c r="G125" t="s">
        <v>483</v>
      </c>
      <c r="H125" t="str">
        <f>"erl-1"</f>
        <v>erl-1</v>
      </c>
      <c r="I125" t="s">
        <v>485</v>
      </c>
      <c r="J125">
        <v>13.2279729845612</v>
      </c>
      <c r="K125">
        <v>14.1718601124535</v>
      </c>
      <c r="L125">
        <v>14.2594434457862</v>
      </c>
      <c r="M125">
        <v>13.930852563795</v>
      </c>
      <c r="N125">
        <v>13.507827469857199</v>
      </c>
      <c r="O125">
        <v>13.852830206326001</v>
      </c>
      <c r="P125">
        <v>-0.122588767607551</v>
      </c>
      <c r="Q125">
        <v>-0.69420994792815005</v>
      </c>
      <c r="R125">
        <v>0.449032412713048</v>
      </c>
      <c r="S125">
        <v>14.333735966427399</v>
      </c>
      <c r="T125">
        <v>-0.450749112055984</v>
      </c>
      <c r="U125">
        <v>-6.9462142423299502</v>
      </c>
      <c r="V125">
        <v>0.65758418820233699</v>
      </c>
      <c r="W125">
        <v>0.84547086571726005</v>
      </c>
      <c r="X125">
        <v>0</v>
      </c>
      <c r="Y125">
        <v>0</v>
      </c>
    </row>
    <row r="126" spans="1:25" x14ac:dyDescent="0.2">
      <c r="A126" t="s">
        <v>486</v>
      </c>
      <c r="B126" t="s">
        <v>487</v>
      </c>
      <c r="C126" t="s">
        <v>488</v>
      </c>
      <c r="D126" t="s">
        <v>489</v>
      </c>
      <c r="E126" t="s">
        <v>487</v>
      </c>
      <c r="F126" t="s">
        <v>28</v>
      </c>
      <c r="G126" t="s">
        <v>487</v>
      </c>
      <c r="H126" t="str">
        <f>"tag-335"</f>
        <v>tag-335</v>
      </c>
      <c r="I126" t="s">
        <v>489</v>
      </c>
      <c r="J126">
        <v>14.2636521158108</v>
      </c>
      <c r="K126">
        <v>14.0357732295008</v>
      </c>
      <c r="L126">
        <v>13.8328005513596</v>
      </c>
      <c r="M126">
        <v>14.3562583449449</v>
      </c>
      <c r="N126">
        <v>13.989817787435401</v>
      </c>
      <c r="O126">
        <v>14.022739173459501</v>
      </c>
      <c r="P126">
        <v>7.8863136389521998E-2</v>
      </c>
      <c r="Q126">
        <v>-0.47104842379142697</v>
      </c>
      <c r="R126">
        <v>0.62877469657047103</v>
      </c>
      <c r="S126">
        <v>13.4883251488066</v>
      </c>
      <c r="T126">
        <v>0.301421140433695</v>
      </c>
      <c r="U126">
        <v>-7.0045941358213399</v>
      </c>
      <c r="V126">
        <v>0.76656792192833501</v>
      </c>
      <c r="W126">
        <v>0.90111683213701999</v>
      </c>
      <c r="X126">
        <v>0</v>
      </c>
      <c r="Y126">
        <v>0</v>
      </c>
    </row>
    <row r="127" spans="1:25" x14ac:dyDescent="0.2">
      <c r="A127" t="s">
        <v>490</v>
      </c>
      <c r="B127" t="s">
        <v>491</v>
      </c>
      <c r="C127" t="s">
        <v>492</v>
      </c>
      <c r="D127" t="s">
        <v>493</v>
      </c>
      <c r="E127" t="s">
        <v>491</v>
      </c>
      <c r="F127" t="s">
        <v>28</v>
      </c>
      <c r="G127" t="s">
        <v>491</v>
      </c>
      <c r="H127" t="str">
        <f>"lsy-13"</f>
        <v>lsy-13</v>
      </c>
      <c r="I127" t="s">
        <v>493</v>
      </c>
      <c r="J127">
        <v>9.9029345388336605</v>
      </c>
      <c r="K127" t="s">
        <v>29</v>
      </c>
      <c r="L127">
        <v>10.900212602518399</v>
      </c>
      <c r="M127" t="s">
        <v>29</v>
      </c>
      <c r="N127">
        <v>10.043929905257899</v>
      </c>
      <c r="O127" t="s">
        <v>29</v>
      </c>
      <c r="P127">
        <v>-0.357643665418104</v>
      </c>
      <c r="Q127">
        <v>-1.73121142222985</v>
      </c>
      <c r="R127">
        <v>1.01592409139364</v>
      </c>
      <c r="S127">
        <v>11.660007800671099</v>
      </c>
      <c r="T127">
        <v>-0.56297316502654504</v>
      </c>
      <c r="U127">
        <v>-6.4852915009226901</v>
      </c>
      <c r="V127">
        <v>0.58310955679501597</v>
      </c>
      <c r="W127">
        <v>0.80164995321914501</v>
      </c>
      <c r="X127">
        <v>0</v>
      </c>
      <c r="Y127">
        <v>0</v>
      </c>
    </row>
    <row r="128" spans="1:25" x14ac:dyDescent="0.2">
      <c r="A128" t="s">
        <v>494</v>
      </c>
      <c r="B128" t="s">
        <v>495</v>
      </c>
      <c r="C128" t="s">
        <v>496</v>
      </c>
      <c r="D128" t="s">
        <v>497</v>
      </c>
      <c r="E128" t="s">
        <v>495</v>
      </c>
      <c r="F128" t="s">
        <v>28</v>
      </c>
      <c r="G128" t="s">
        <v>495</v>
      </c>
      <c r="H128" t="str">
        <f>"met-1"</f>
        <v>met-1</v>
      </c>
      <c r="I128" t="s">
        <v>497</v>
      </c>
      <c r="J128">
        <v>10.315723539793799</v>
      </c>
      <c r="K128">
        <v>11.1726730836307</v>
      </c>
      <c r="L128">
        <v>10.7580330408252</v>
      </c>
      <c r="M128">
        <v>10.7394531748491</v>
      </c>
      <c r="N128">
        <v>10.6551984120642</v>
      </c>
      <c r="O128">
        <v>11.0940906755173</v>
      </c>
      <c r="P128">
        <v>8.0770866060312599E-2</v>
      </c>
      <c r="Q128">
        <v>-0.510080053377993</v>
      </c>
      <c r="R128">
        <v>0.67162178549861795</v>
      </c>
      <c r="S128">
        <v>11.733570337010301</v>
      </c>
      <c r="T128">
        <v>0.28995216357570702</v>
      </c>
      <c r="U128">
        <v>-7.0078515678821898</v>
      </c>
      <c r="V128">
        <v>0.77560119432360297</v>
      </c>
      <c r="W128">
        <v>0.905563791291354</v>
      </c>
      <c r="X128">
        <v>0</v>
      </c>
      <c r="Y128">
        <v>0</v>
      </c>
    </row>
    <row r="129" spans="1:25" x14ac:dyDescent="0.2">
      <c r="A129" t="s">
        <v>498</v>
      </c>
      <c r="B129" t="s">
        <v>499</v>
      </c>
      <c r="C129" t="s">
        <v>14214</v>
      </c>
      <c r="D129" t="s">
        <v>500</v>
      </c>
      <c r="E129" t="s">
        <v>499</v>
      </c>
      <c r="F129" t="s">
        <v>28</v>
      </c>
      <c r="G129" t="s">
        <v>499</v>
      </c>
      <c r="H129" t="str">
        <f>"Y39B6A.3"</f>
        <v>Y39B6A.3</v>
      </c>
      <c r="I129" t="s">
        <v>500</v>
      </c>
      <c r="J129">
        <v>12.381458148591999</v>
      </c>
      <c r="K129">
        <v>11.3412117982888</v>
      </c>
      <c r="L129">
        <v>11.9586425952563</v>
      </c>
      <c r="M129" t="s">
        <v>29</v>
      </c>
      <c r="N129" t="s">
        <v>29</v>
      </c>
      <c r="O129">
        <v>10.7919375967957</v>
      </c>
      <c r="P129">
        <v>-1.10183325058328</v>
      </c>
      <c r="Q129">
        <v>-1.9917174302598999</v>
      </c>
      <c r="R129">
        <v>-0.21194907090666201</v>
      </c>
      <c r="S129">
        <v>11.685642218949001</v>
      </c>
      <c r="T129">
        <v>-2.67713105914184</v>
      </c>
      <c r="U129">
        <v>-3.69452081709071</v>
      </c>
      <c r="V129">
        <v>1.9114681238178E-2</v>
      </c>
      <c r="W129">
        <v>0.13463024404552201</v>
      </c>
      <c r="X129">
        <v>-1</v>
      </c>
      <c r="Y129">
        <v>0</v>
      </c>
    </row>
    <row r="130" spans="1:25" x14ac:dyDescent="0.2">
      <c r="A130" t="s">
        <v>501</v>
      </c>
      <c r="B130" t="s">
        <v>502</v>
      </c>
      <c r="C130" t="s">
        <v>503</v>
      </c>
      <c r="D130" t="s">
        <v>130</v>
      </c>
      <c r="E130" t="s">
        <v>502</v>
      </c>
      <c r="F130" t="s">
        <v>28</v>
      </c>
      <c r="G130" t="s">
        <v>502</v>
      </c>
      <c r="H130" t="str">
        <f>"row-1"</f>
        <v>row-1</v>
      </c>
      <c r="I130" t="s">
        <v>130</v>
      </c>
      <c r="J130" t="s">
        <v>29</v>
      </c>
      <c r="K130" t="s">
        <v>29</v>
      </c>
      <c r="L130" t="s">
        <v>29</v>
      </c>
      <c r="M130" t="s">
        <v>29</v>
      </c>
      <c r="N130" t="s">
        <v>29</v>
      </c>
      <c r="O130" t="s">
        <v>29</v>
      </c>
      <c r="P130" t="s">
        <v>29</v>
      </c>
      <c r="Q130" t="s">
        <v>29</v>
      </c>
      <c r="R130" t="s">
        <v>29</v>
      </c>
      <c r="S130">
        <v>11.2330448596966</v>
      </c>
      <c r="T130" t="s">
        <v>29</v>
      </c>
      <c r="U130" t="s">
        <v>29</v>
      </c>
      <c r="V130" t="s">
        <v>29</v>
      </c>
      <c r="W130" t="s">
        <v>29</v>
      </c>
      <c r="X130" t="s">
        <v>29</v>
      </c>
      <c r="Y130" t="s">
        <v>29</v>
      </c>
    </row>
    <row r="131" spans="1:25" x14ac:dyDescent="0.2">
      <c r="A131" t="s">
        <v>504</v>
      </c>
      <c r="B131" t="s">
        <v>505</v>
      </c>
      <c r="C131" t="s">
        <v>506</v>
      </c>
      <c r="D131" t="s">
        <v>507</v>
      </c>
      <c r="E131" t="s">
        <v>505</v>
      </c>
      <c r="F131" t="s">
        <v>28</v>
      </c>
      <c r="G131" t="s">
        <v>505</v>
      </c>
      <c r="H131" t="str">
        <f>"sin-3"</f>
        <v>sin-3</v>
      </c>
      <c r="I131" t="s">
        <v>507</v>
      </c>
      <c r="J131">
        <v>11.6480191132655</v>
      </c>
      <c r="K131" t="s">
        <v>29</v>
      </c>
      <c r="L131">
        <v>10.614621730748601</v>
      </c>
      <c r="M131" t="s">
        <v>29</v>
      </c>
      <c r="N131">
        <v>10.344399329337</v>
      </c>
      <c r="O131" t="s">
        <v>29</v>
      </c>
      <c r="P131">
        <v>-0.78692109267009203</v>
      </c>
      <c r="Q131">
        <v>-2.1839311728009099</v>
      </c>
      <c r="R131">
        <v>0.61008898746073004</v>
      </c>
      <c r="S131">
        <v>12.2638025317678</v>
      </c>
      <c r="T131">
        <v>-1.2179203609221301</v>
      </c>
      <c r="U131">
        <v>-5.9078009402229004</v>
      </c>
      <c r="V131">
        <v>0.24507079968859199</v>
      </c>
      <c r="W131">
        <v>0.51917993631945203</v>
      </c>
      <c r="X131">
        <v>0</v>
      </c>
      <c r="Y131">
        <v>0</v>
      </c>
    </row>
    <row r="132" spans="1:25" x14ac:dyDescent="0.2">
      <c r="A132" t="s">
        <v>508</v>
      </c>
      <c r="B132" t="s">
        <v>509</v>
      </c>
      <c r="C132" t="s">
        <v>510</v>
      </c>
      <c r="D132" t="s">
        <v>511</v>
      </c>
      <c r="E132" t="s">
        <v>509</v>
      </c>
      <c r="F132" t="s">
        <v>28</v>
      </c>
      <c r="G132" t="s">
        <v>509</v>
      </c>
      <c r="H132" t="str">
        <f>"nra-2"</f>
        <v>nra-2</v>
      </c>
      <c r="I132" t="s">
        <v>511</v>
      </c>
      <c r="J132">
        <v>16.962349748523302</v>
      </c>
      <c r="K132">
        <v>16.936019265169101</v>
      </c>
      <c r="L132">
        <v>16.731362662265401</v>
      </c>
      <c r="M132">
        <v>16.9931469976523</v>
      </c>
      <c r="N132">
        <v>16.7341949883795</v>
      </c>
      <c r="O132">
        <v>16.6289974845551</v>
      </c>
      <c r="P132">
        <v>-9.1130735123634607E-2</v>
      </c>
      <c r="Q132">
        <v>-0.45789022464311502</v>
      </c>
      <c r="R132">
        <v>0.275628754395846</v>
      </c>
      <c r="S132">
        <v>16.400328946861102</v>
      </c>
      <c r="T132">
        <v>-0.52224708812759801</v>
      </c>
      <c r="U132">
        <v>-6.9102384668544898</v>
      </c>
      <c r="V132">
        <v>0.60790335640352999</v>
      </c>
      <c r="W132">
        <v>0.81404604878396503</v>
      </c>
      <c r="X132">
        <v>0</v>
      </c>
      <c r="Y132">
        <v>0</v>
      </c>
    </row>
    <row r="133" spans="1:25" x14ac:dyDescent="0.2">
      <c r="A133" t="s">
        <v>512</v>
      </c>
      <c r="B133" t="s">
        <v>513</v>
      </c>
      <c r="C133" t="s">
        <v>14215</v>
      </c>
      <c r="D133" t="s">
        <v>514</v>
      </c>
      <c r="E133" t="s">
        <v>513</v>
      </c>
      <c r="F133" t="s">
        <v>28</v>
      </c>
      <c r="G133" t="s">
        <v>513</v>
      </c>
      <c r="H133" t="str">
        <f>"Y60A3A.19"</f>
        <v>Y60A3A.19</v>
      </c>
      <c r="I133" t="s">
        <v>514</v>
      </c>
      <c r="J133">
        <v>13.087548164005</v>
      </c>
      <c r="K133">
        <v>13.121127937564101</v>
      </c>
      <c r="L133">
        <v>12.616455501356</v>
      </c>
      <c r="M133">
        <v>13.4052454540083</v>
      </c>
      <c r="N133">
        <v>13.6568213393309</v>
      </c>
      <c r="O133" t="s">
        <v>29</v>
      </c>
      <c r="P133">
        <v>0.58932286236117504</v>
      </c>
      <c r="Q133">
        <v>-4.8477597044438901E-2</v>
      </c>
      <c r="R133">
        <v>1.2271233217667901</v>
      </c>
      <c r="S133">
        <v>13.0323769639904</v>
      </c>
      <c r="T133">
        <v>1.9978170088692599</v>
      </c>
      <c r="U133">
        <v>-5.0876341164303396</v>
      </c>
      <c r="V133">
        <v>6.7279315431293396E-2</v>
      </c>
      <c r="W133">
        <v>0.26290720200568402</v>
      </c>
      <c r="X133">
        <v>0</v>
      </c>
      <c r="Y133">
        <v>0</v>
      </c>
    </row>
    <row r="134" spans="1:25" x14ac:dyDescent="0.2">
      <c r="A134" t="s">
        <v>515</v>
      </c>
      <c r="B134" t="s">
        <v>516</v>
      </c>
      <c r="C134" t="s">
        <v>517</v>
      </c>
      <c r="D134" t="s">
        <v>518</v>
      </c>
      <c r="E134" t="s">
        <v>516</v>
      </c>
      <c r="F134" t="s">
        <v>28</v>
      </c>
      <c r="G134" t="s">
        <v>516</v>
      </c>
      <c r="H134" t="str">
        <f>"rpom-1"</f>
        <v>rpom-1</v>
      </c>
      <c r="I134" t="s">
        <v>518</v>
      </c>
      <c r="J134">
        <v>11.8418801414364</v>
      </c>
      <c r="K134">
        <v>11.8818538680973</v>
      </c>
      <c r="L134">
        <v>11.729792759423299</v>
      </c>
      <c r="M134" t="s">
        <v>29</v>
      </c>
      <c r="N134">
        <v>11.7430542722194</v>
      </c>
      <c r="O134">
        <v>12.328333725390999</v>
      </c>
      <c r="P134">
        <v>0.21785174248623901</v>
      </c>
      <c r="Q134">
        <v>-0.33866478560962099</v>
      </c>
      <c r="R134">
        <v>0.77436827058209901</v>
      </c>
      <c r="S134">
        <v>12.0820546370574</v>
      </c>
      <c r="T134">
        <v>0.83029514933442405</v>
      </c>
      <c r="U134">
        <v>-6.5861301275415203</v>
      </c>
      <c r="V134">
        <v>0.418668714334541</v>
      </c>
      <c r="W134">
        <v>0.69154720631705402</v>
      </c>
      <c r="X134">
        <v>0</v>
      </c>
      <c r="Y134">
        <v>0</v>
      </c>
    </row>
    <row r="135" spans="1:25" x14ac:dyDescent="0.2">
      <c r="A135" t="s">
        <v>519</v>
      </c>
      <c r="B135" t="s">
        <v>520</v>
      </c>
      <c r="C135" t="s">
        <v>521</v>
      </c>
      <c r="D135" t="s">
        <v>522</v>
      </c>
      <c r="E135" t="s">
        <v>520</v>
      </c>
      <c r="F135" t="s">
        <v>28</v>
      </c>
      <c r="G135" t="s">
        <v>520</v>
      </c>
      <c r="H135" t="str">
        <f>"lotr-1"</f>
        <v>lotr-1</v>
      </c>
      <c r="I135" t="s">
        <v>522</v>
      </c>
      <c r="J135">
        <v>12.831218963143399</v>
      </c>
      <c r="K135">
        <v>13.0959604936183</v>
      </c>
      <c r="L135">
        <v>13.2151885961964</v>
      </c>
      <c r="M135">
        <v>12.4021868351838</v>
      </c>
      <c r="N135">
        <v>12.9950431242661</v>
      </c>
      <c r="O135">
        <v>12.5682247690549</v>
      </c>
      <c r="P135">
        <v>-0.39230444148442301</v>
      </c>
      <c r="Q135">
        <v>-1.10878538307671</v>
      </c>
      <c r="R135">
        <v>0.32417650010785998</v>
      </c>
      <c r="S135">
        <v>13.763253197964399</v>
      </c>
      <c r="T135">
        <v>-1.1557624902794099</v>
      </c>
      <c r="U135">
        <v>-6.3764286220473103</v>
      </c>
      <c r="V135">
        <v>0.263861775171013</v>
      </c>
      <c r="W135">
        <v>0.54000390968960699</v>
      </c>
      <c r="X135">
        <v>0</v>
      </c>
      <c r="Y135">
        <v>0</v>
      </c>
    </row>
    <row r="136" spans="1:25" x14ac:dyDescent="0.2">
      <c r="A136" t="s">
        <v>523</v>
      </c>
      <c r="B136" t="s">
        <v>524</v>
      </c>
      <c r="C136" t="s">
        <v>525</v>
      </c>
      <c r="D136" t="s">
        <v>526</v>
      </c>
      <c r="E136" t="s">
        <v>524</v>
      </c>
      <c r="F136" t="s">
        <v>28</v>
      </c>
      <c r="G136" t="s">
        <v>524</v>
      </c>
      <c r="H136" t="str">
        <f>"cids-2"</f>
        <v>cids-2</v>
      </c>
      <c r="I136" t="s">
        <v>526</v>
      </c>
      <c r="J136">
        <v>12.3583946646957</v>
      </c>
      <c r="K136">
        <v>11.2701599846822</v>
      </c>
      <c r="L136">
        <v>12.5814340346547</v>
      </c>
      <c r="M136" t="s">
        <v>29</v>
      </c>
      <c r="N136" t="s">
        <v>29</v>
      </c>
      <c r="O136">
        <v>12.319441956472801</v>
      </c>
      <c r="P136">
        <v>0.24944572846188601</v>
      </c>
      <c r="Q136">
        <v>-0.72553874693125198</v>
      </c>
      <c r="R136">
        <v>1.2244302038550201</v>
      </c>
      <c r="S136">
        <v>12.7730267916843</v>
      </c>
      <c r="T136">
        <v>0.55317891142068698</v>
      </c>
      <c r="U136">
        <v>-6.5486316637330697</v>
      </c>
      <c r="V136">
        <v>0.58960322477779503</v>
      </c>
      <c r="W136">
        <v>0.80369478292283902</v>
      </c>
      <c r="X136">
        <v>0</v>
      </c>
      <c r="Y136">
        <v>0</v>
      </c>
    </row>
    <row r="137" spans="1:25" x14ac:dyDescent="0.2">
      <c r="A137" t="s">
        <v>527</v>
      </c>
      <c r="B137" t="s">
        <v>528</v>
      </c>
      <c r="C137" t="s">
        <v>14216</v>
      </c>
      <c r="D137" t="s">
        <v>368</v>
      </c>
      <c r="E137" t="s">
        <v>528</v>
      </c>
      <c r="F137" t="s">
        <v>28</v>
      </c>
      <c r="G137" t="s">
        <v>528</v>
      </c>
      <c r="H137" t="str">
        <f>"R13H4.2"</f>
        <v>R13H4.2</v>
      </c>
      <c r="I137" t="s">
        <v>368</v>
      </c>
      <c r="J137">
        <v>15.469095585387601</v>
      </c>
      <c r="K137">
        <v>15.7878758995046</v>
      </c>
      <c r="L137">
        <v>15.784527923188101</v>
      </c>
      <c r="M137">
        <v>15.924402883194199</v>
      </c>
      <c r="N137">
        <v>15.382298339754399</v>
      </c>
      <c r="O137">
        <v>15.619462210094399</v>
      </c>
      <c r="P137">
        <v>-3.8445325012384401E-2</v>
      </c>
      <c r="Q137">
        <v>-0.45901015278067703</v>
      </c>
      <c r="R137">
        <v>0.382119502755909</v>
      </c>
      <c r="S137">
        <v>15.729340747172399</v>
      </c>
      <c r="T137">
        <v>-0.19213350279433</v>
      </c>
      <c r="U137">
        <v>-7.0327605555179096</v>
      </c>
      <c r="V137">
        <v>0.84980108668941701</v>
      </c>
      <c r="W137">
        <v>0.94093204807378505</v>
      </c>
      <c r="X137">
        <v>0</v>
      </c>
      <c r="Y137">
        <v>0</v>
      </c>
    </row>
    <row r="138" spans="1:25" x14ac:dyDescent="0.2">
      <c r="A138" t="s">
        <v>529</v>
      </c>
      <c r="B138" t="s">
        <v>530</v>
      </c>
      <c r="C138" t="s">
        <v>14217</v>
      </c>
      <c r="D138" t="s">
        <v>531</v>
      </c>
      <c r="E138" t="s">
        <v>530</v>
      </c>
      <c r="F138" t="s">
        <v>28</v>
      </c>
      <c r="G138" t="s">
        <v>530</v>
      </c>
      <c r="H138" t="str">
        <f>"ZK228.4"</f>
        <v>ZK228.4</v>
      </c>
      <c r="I138" t="s">
        <v>531</v>
      </c>
      <c r="J138">
        <v>13.8069418419408</v>
      </c>
      <c r="K138">
        <v>14.115033551488599</v>
      </c>
      <c r="L138">
        <v>13.799736916453099</v>
      </c>
      <c r="M138">
        <v>13.2521976274022</v>
      </c>
      <c r="N138">
        <v>13.735281000517199</v>
      </c>
      <c r="O138">
        <v>13.7119611629373</v>
      </c>
      <c r="P138">
        <v>-0.34075750634190899</v>
      </c>
      <c r="Q138">
        <v>-0.73487529968095799</v>
      </c>
      <c r="R138">
        <v>5.3360286997140599E-2</v>
      </c>
      <c r="S138">
        <v>13.7876288699482</v>
      </c>
      <c r="T138">
        <v>-1.8338715738269999</v>
      </c>
      <c r="U138">
        <v>-5.44390335495698</v>
      </c>
      <c r="V138">
        <v>8.5464514492578803E-2</v>
      </c>
      <c r="W138">
        <v>0.30032562652143802</v>
      </c>
      <c r="X138">
        <v>0</v>
      </c>
      <c r="Y138">
        <v>0</v>
      </c>
    </row>
    <row r="139" spans="1:25" x14ac:dyDescent="0.2">
      <c r="A139" t="s">
        <v>532</v>
      </c>
      <c r="B139" t="s">
        <v>533</v>
      </c>
      <c r="C139" t="s">
        <v>14218</v>
      </c>
      <c r="D139" t="s">
        <v>534</v>
      </c>
      <c r="E139" t="s">
        <v>533</v>
      </c>
      <c r="F139" t="s">
        <v>28</v>
      </c>
      <c r="G139" t="s">
        <v>533</v>
      </c>
      <c r="H139" t="str">
        <f>"F49D11.10"</f>
        <v>F49D11.10</v>
      </c>
      <c r="I139" t="s">
        <v>534</v>
      </c>
      <c r="J139">
        <v>14.4899863035522</v>
      </c>
      <c r="K139">
        <v>14.514627785272801</v>
      </c>
      <c r="L139">
        <v>14.182783174433601</v>
      </c>
      <c r="M139">
        <v>14.418340405602301</v>
      </c>
      <c r="N139">
        <v>14.2217302898522</v>
      </c>
      <c r="O139">
        <v>13.850623888471301</v>
      </c>
      <c r="P139">
        <v>-0.23223422644427999</v>
      </c>
      <c r="Q139">
        <v>-0.58788446988602105</v>
      </c>
      <c r="R139">
        <v>0.12341601699746101</v>
      </c>
      <c r="S139">
        <v>14.209007910347299</v>
      </c>
      <c r="T139">
        <v>-1.3724471473078499</v>
      </c>
      <c r="U139">
        <v>-6.1138827305818504</v>
      </c>
      <c r="V139">
        <v>0.18688277761639299</v>
      </c>
      <c r="W139">
        <v>0.45039110104366298</v>
      </c>
      <c r="X139">
        <v>0</v>
      </c>
      <c r="Y139">
        <v>0</v>
      </c>
    </row>
    <row r="140" spans="1:25" x14ac:dyDescent="0.2">
      <c r="A140" t="s">
        <v>535</v>
      </c>
      <c r="B140" t="s">
        <v>536</v>
      </c>
      <c r="C140" t="s">
        <v>537</v>
      </c>
      <c r="D140" t="s">
        <v>538</v>
      </c>
      <c r="E140" t="s">
        <v>536</v>
      </c>
      <c r="F140" t="s">
        <v>28</v>
      </c>
      <c r="G140" t="s">
        <v>536</v>
      </c>
      <c r="H140" t="str">
        <f>"mrg-1"</f>
        <v>mrg-1</v>
      </c>
      <c r="I140" t="s">
        <v>538</v>
      </c>
      <c r="J140">
        <v>13.2070818418964</v>
      </c>
      <c r="K140">
        <v>13.2231514230747</v>
      </c>
      <c r="L140">
        <v>13.456888421184599</v>
      </c>
      <c r="M140" t="s">
        <v>29</v>
      </c>
      <c r="N140">
        <v>12.849749641830099</v>
      </c>
      <c r="O140" t="s">
        <v>29</v>
      </c>
      <c r="P140">
        <v>-0.44595758688843101</v>
      </c>
      <c r="Q140">
        <v>-1.0576264868185099</v>
      </c>
      <c r="R140">
        <v>0.16571131304165199</v>
      </c>
      <c r="S140">
        <v>13.008067457342699</v>
      </c>
      <c r="T140">
        <v>-1.56483679738857</v>
      </c>
      <c r="U140">
        <v>-5.5194466759715199</v>
      </c>
      <c r="V140">
        <v>0.140105013114009</v>
      </c>
      <c r="W140">
        <v>0.38677888604987698</v>
      </c>
      <c r="X140">
        <v>0</v>
      </c>
      <c r="Y140">
        <v>0</v>
      </c>
    </row>
    <row r="141" spans="1:25" x14ac:dyDescent="0.2">
      <c r="A141" t="s">
        <v>539</v>
      </c>
      <c r="B141" t="s">
        <v>540</v>
      </c>
      <c r="C141" t="s">
        <v>541</v>
      </c>
      <c r="D141" t="s">
        <v>542</v>
      </c>
      <c r="E141" t="s">
        <v>540</v>
      </c>
      <c r="F141" t="s">
        <v>28</v>
      </c>
      <c r="G141" t="s">
        <v>540</v>
      </c>
      <c r="H141" t="str">
        <f>"obr-1"</f>
        <v>obr-1</v>
      </c>
      <c r="I141" t="s">
        <v>542</v>
      </c>
      <c r="J141">
        <v>13.0382708233617</v>
      </c>
      <c r="K141">
        <v>12.3298011522082</v>
      </c>
      <c r="L141">
        <v>12.898041574288399</v>
      </c>
      <c r="M141">
        <v>12.3836827438549</v>
      </c>
      <c r="N141">
        <v>12.930826406023501</v>
      </c>
      <c r="O141">
        <v>12.8893614083009</v>
      </c>
      <c r="P141">
        <v>-2.0747663892979801E-2</v>
      </c>
      <c r="Q141">
        <v>-0.61979231597748596</v>
      </c>
      <c r="R141">
        <v>0.57829698819152597</v>
      </c>
      <c r="S141">
        <v>12.7019896653236</v>
      </c>
      <c r="T141">
        <v>-7.3107178266409903E-2</v>
      </c>
      <c r="U141">
        <v>-7.0492771739385196</v>
      </c>
      <c r="V141">
        <v>0.94257937633386601</v>
      </c>
      <c r="W141">
        <v>0.97576384643441005</v>
      </c>
      <c r="X141">
        <v>0</v>
      </c>
      <c r="Y141">
        <v>0</v>
      </c>
    </row>
    <row r="142" spans="1:25" x14ac:dyDescent="0.2">
      <c r="A142" t="s">
        <v>543</v>
      </c>
      <c r="B142" t="s">
        <v>544</v>
      </c>
      <c r="C142" t="s">
        <v>545</v>
      </c>
      <c r="D142" t="s">
        <v>546</v>
      </c>
      <c r="E142" t="s">
        <v>544</v>
      </c>
      <c r="F142" t="s">
        <v>28</v>
      </c>
      <c r="G142" t="s">
        <v>544</v>
      </c>
      <c r="H142" t="str">
        <f>"cisd-1"</f>
        <v>cisd-1</v>
      </c>
      <c r="I142" t="s">
        <v>546</v>
      </c>
      <c r="J142">
        <v>13.7316226306387</v>
      </c>
      <c r="K142">
        <v>13.457753260197199</v>
      </c>
      <c r="L142">
        <v>13.6190011461634</v>
      </c>
      <c r="M142">
        <v>13.4298652183216</v>
      </c>
      <c r="N142">
        <v>13.6875976643451</v>
      </c>
      <c r="O142">
        <v>14.065366130480101</v>
      </c>
      <c r="P142">
        <v>0.124817325382535</v>
      </c>
      <c r="Q142">
        <v>-0.48457408157404203</v>
      </c>
      <c r="R142">
        <v>0.73420873233911299</v>
      </c>
      <c r="S142">
        <v>13.5394104635687</v>
      </c>
      <c r="T142">
        <v>0.43049792192154401</v>
      </c>
      <c r="U142">
        <v>-6.9554656717596597</v>
      </c>
      <c r="V142">
        <v>0.67197367871906599</v>
      </c>
      <c r="W142">
        <v>0.854809362999156</v>
      </c>
      <c r="X142">
        <v>0</v>
      </c>
      <c r="Y142">
        <v>0</v>
      </c>
    </row>
    <row r="143" spans="1:25" x14ac:dyDescent="0.2">
      <c r="A143" t="s">
        <v>547</v>
      </c>
      <c r="B143" t="s">
        <v>548</v>
      </c>
      <c r="C143" t="s">
        <v>14219</v>
      </c>
      <c r="D143" t="s">
        <v>73</v>
      </c>
      <c r="E143" t="s">
        <v>548</v>
      </c>
      <c r="F143" t="s">
        <v>28</v>
      </c>
      <c r="G143" t="s">
        <v>548</v>
      </c>
      <c r="H143" t="str">
        <f>"F10A3.17"</f>
        <v>F10A3.17</v>
      </c>
      <c r="I143" t="s">
        <v>73</v>
      </c>
      <c r="J143">
        <v>10.472091408429399</v>
      </c>
      <c r="K143" t="s">
        <v>29</v>
      </c>
      <c r="L143" t="s">
        <v>29</v>
      </c>
      <c r="M143" t="s">
        <v>29</v>
      </c>
      <c r="N143" t="s">
        <v>29</v>
      </c>
      <c r="O143" t="s">
        <v>29</v>
      </c>
      <c r="P143" t="s">
        <v>29</v>
      </c>
      <c r="Q143" t="s">
        <v>29</v>
      </c>
      <c r="R143" t="s">
        <v>29</v>
      </c>
      <c r="S143">
        <v>10.4035259665875</v>
      </c>
      <c r="T143" t="s">
        <v>29</v>
      </c>
      <c r="U143" t="s">
        <v>29</v>
      </c>
      <c r="V143" t="s">
        <v>29</v>
      </c>
      <c r="W143" t="s">
        <v>29</v>
      </c>
      <c r="X143" t="s">
        <v>29</v>
      </c>
      <c r="Y143" t="s">
        <v>29</v>
      </c>
    </row>
    <row r="144" spans="1:25" x14ac:dyDescent="0.2">
      <c r="A144" t="s">
        <v>549</v>
      </c>
      <c r="B144" t="s">
        <v>550</v>
      </c>
      <c r="C144" t="s">
        <v>14220</v>
      </c>
      <c r="D144" t="s">
        <v>551</v>
      </c>
      <c r="E144" t="s">
        <v>550</v>
      </c>
      <c r="F144" t="s">
        <v>28</v>
      </c>
      <c r="G144" t="s">
        <v>550</v>
      </c>
      <c r="H144" t="str">
        <f>"Y94H6A.7"</f>
        <v>Y94H6A.7</v>
      </c>
      <c r="I144" t="s">
        <v>551</v>
      </c>
      <c r="J144">
        <v>12.847587839938299</v>
      </c>
      <c r="K144" t="s">
        <v>29</v>
      </c>
      <c r="L144">
        <v>12.906446515391499</v>
      </c>
      <c r="M144" t="s">
        <v>29</v>
      </c>
      <c r="N144" t="s">
        <v>29</v>
      </c>
      <c r="O144" t="s">
        <v>29</v>
      </c>
      <c r="P144" t="s">
        <v>29</v>
      </c>
      <c r="Q144" t="s">
        <v>29</v>
      </c>
      <c r="R144" t="s">
        <v>29</v>
      </c>
      <c r="S144">
        <v>12.5826100023368</v>
      </c>
      <c r="T144" t="s">
        <v>29</v>
      </c>
      <c r="U144" t="s">
        <v>29</v>
      </c>
      <c r="V144" t="s">
        <v>29</v>
      </c>
      <c r="W144" t="s">
        <v>29</v>
      </c>
      <c r="X144" t="s">
        <v>29</v>
      </c>
      <c r="Y144" t="s">
        <v>29</v>
      </c>
    </row>
    <row r="145" spans="1:25" x14ac:dyDescent="0.2">
      <c r="A145" t="s">
        <v>552</v>
      </c>
      <c r="B145" t="s">
        <v>553</v>
      </c>
      <c r="C145" t="s">
        <v>554</v>
      </c>
      <c r="D145" t="s">
        <v>214</v>
      </c>
      <c r="E145" t="s">
        <v>553</v>
      </c>
      <c r="F145" t="s">
        <v>28</v>
      </c>
      <c r="G145" t="s">
        <v>553</v>
      </c>
      <c r="H145" t="str">
        <f>"rcs-1"</f>
        <v>rcs-1</v>
      </c>
      <c r="I145" t="s">
        <v>214</v>
      </c>
      <c r="J145" t="s">
        <v>29</v>
      </c>
      <c r="K145">
        <v>11.959174333254699</v>
      </c>
      <c r="L145" t="s">
        <v>29</v>
      </c>
      <c r="M145" t="s">
        <v>29</v>
      </c>
      <c r="N145" t="s">
        <v>29</v>
      </c>
      <c r="O145">
        <v>10.5391885821593</v>
      </c>
      <c r="P145">
        <v>-1.4199857510954399</v>
      </c>
      <c r="Q145">
        <v>-3.0608042465930199</v>
      </c>
      <c r="R145">
        <v>0.22083274440213099</v>
      </c>
      <c r="S145">
        <v>12.1098392532218</v>
      </c>
      <c r="T145">
        <v>-1.9070019492829999</v>
      </c>
      <c r="U145">
        <v>-4.8399855211507301</v>
      </c>
      <c r="V145">
        <v>8.3217802172306607E-2</v>
      </c>
      <c r="W145">
        <v>0.29457109330869802</v>
      </c>
      <c r="X145">
        <v>0</v>
      </c>
      <c r="Y145">
        <v>0</v>
      </c>
    </row>
    <row r="146" spans="1:25" x14ac:dyDescent="0.2">
      <c r="A146" t="s">
        <v>555</v>
      </c>
      <c r="B146" t="s">
        <v>556</v>
      </c>
      <c r="C146" t="s">
        <v>557</v>
      </c>
      <c r="D146" t="s">
        <v>558</v>
      </c>
      <c r="E146" t="s">
        <v>556</v>
      </c>
      <c r="F146" t="s">
        <v>28</v>
      </c>
      <c r="G146" t="s">
        <v>556</v>
      </c>
      <c r="H146" t="str">
        <f>"plin-1"</f>
        <v>plin-1</v>
      </c>
      <c r="I146" t="s">
        <v>558</v>
      </c>
      <c r="J146">
        <v>12.9937018269391</v>
      </c>
      <c r="K146">
        <v>12.7688557330785</v>
      </c>
      <c r="L146">
        <v>12.932871289041699</v>
      </c>
      <c r="M146">
        <v>13.514115414548399</v>
      </c>
      <c r="N146">
        <v>13.927693874890799</v>
      </c>
      <c r="O146">
        <v>13.488491689140099</v>
      </c>
      <c r="P146">
        <v>0.74495737650666205</v>
      </c>
      <c r="Q146">
        <v>0.26084262162810701</v>
      </c>
      <c r="R146">
        <v>1.22907213138522</v>
      </c>
      <c r="S146">
        <v>12.8833570295368</v>
      </c>
      <c r="T146">
        <v>3.2481278760587098</v>
      </c>
      <c r="U146">
        <v>-2.75188699552788</v>
      </c>
      <c r="V146">
        <v>4.7612656339429101E-3</v>
      </c>
      <c r="W146">
        <v>5.2877673627475197E-2</v>
      </c>
      <c r="X146">
        <v>0</v>
      </c>
      <c r="Y146">
        <v>0</v>
      </c>
    </row>
    <row r="147" spans="1:25" x14ac:dyDescent="0.2">
      <c r="A147" t="s">
        <v>559</v>
      </c>
      <c r="B147" t="s">
        <v>560</v>
      </c>
      <c r="C147" t="s">
        <v>14221</v>
      </c>
      <c r="D147" t="s">
        <v>561</v>
      </c>
      <c r="E147" t="s">
        <v>560</v>
      </c>
      <c r="F147" t="s">
        <v>28</v>
      </c>
      <c r="G147" t="s">
        <v>560</v>
      </c>
      <c r="H147" t="str">
        <f>"F23B12.4"</f>
        <v>F23B12.4</v>
      </c>
      <c r="I147" t="s">
        <v>561</v>
      </c>
      <c r="J147" t="s">
        <v>29</v>
      </c>
      <c r="K147">
        <v>11.8818382955477</v>
      </c>
      <c r="L147">
        <v>12.4612606596541</v>
      </c>
      <c r="M147" t="s">
        <v>29</v>
      </c>
      <c r="N147" t="s">
        <v>29</v>
      </c>
      <c r="O147" t="s">
        <v>29</v>
      </c>
      <c r="P147" t="s">
        <v>29</v>
      </c>
      <c r="Q147" t="s">
        <v>29</v>
      </c>
      <c r="R147" t="s">
        <v>29</v>
      </c>
      <c r="S147">
        <v>12.628891281517401</v>
      </c>
      <c r="T147" t="s">
        <v>29</v>
      </c>
      <c r="U147" t="s">
        <v>29</v>
      </c>
      <c r="V147" t="s">
        <v>29</v>
      </c>
      <c r="W147" t="s">
        <v>29</v>
      </c>
      <c r="X147" t="s">
        <v>29</v>
      </c>
      <c r="Y147" t="s">
        <v>29</v>
      </c>
    </row>
    <row r="148" spans="1:25" x14ac:dyDescent="0.2">
      <c r="A148" t="s">
        <v>562</v>
      </c>
      <c r="B148" t="s">
        <v>563</v>
      </c>
      <c r="C148" t="s">
        <v>14222</v>
      </c>
      <c r="D148" t="s">
        <v>564</v>
      </c>
      <c r="E148" t="s">
        <v>563</v>
      </c>
      <c r="F148" t="s">
        <v>28</v>
      </c>
      <c r="G148" t="s">
        <v>563</v>
      </c>
      <c r="H148" t="str">
        <f>"K09A9.6"</f>
        <v>K09A9.6</v>
      </c>
      <c r="I148" t="s">
        <v>564</v>
      </c>
      <c r="J148">
        <v>13.9323258885304</v>
      </c>
      <c r="K148">
        <v>13.177089425579601</v>
      </c>
      <c r="L148">
        <v>13.272744377156901</v>
      </c>
      <c r="M148">
        <v>13.3067911932225</v>
      </c>
      <c r="N148" t="s">
        <v>29</v>
      </c>
      <c r="O148">
        <v>12.3729356139175</v>
      </c>
      <c r="P148">
        <v>-0.62085649351900496</v>
      </c>
      <c r="Q148">
        <v>-1.56942351886431</v>
      </c>
      <c r="R148">
        <v>0.327710531826297</v>
      </c>
      <c r="S148">
        <v>12.488891983018</v>
      </c>
      <c r="T148">
        <v>-1.3882661492853201</v>
      </c>
      <c r="U148">
        <v>-5.9840380021171597</v>
      </c>
      <c r="V148">
        <v>0.184206991481706</v>
      </c>
      <c r="W148">
        <v>0.44783395955828897</v>
      </c>
      <c r="X148">
        <v>0</v>
      </c>
      <c r="Y148">
        <v>0</v>
      </c>
    </row>
    <row r="149" spans="1:25" x14ac:dyDescent="0.2">
      <c r="A149" t="s">
        <v>565</v>
      </c>
      <c r="B149" t="s">
        <v>566</v>
      </c>
      <c r="C149" t="s">
        <v>567</v>
      </c>
      <c r="D149" t="s">
        <v>568</v>
      </c>
      <c r="E149" t="s">
        <v>566</v>
      </c>
      <c r="F149" t="s">
        <v>28</v>
      </c>
      <c r="G149" t="s">
        <v>566</v>
      </c>
      <c r="H149" t="str">
        <f>"ekl-4"</f>
        <v>ekl-4</v>
      </c>
      <c r="I149" t="s">
        <v>568</v>
      </c>
      <c r="J149">
        <v>12.1137098885039</v>
      </c>
      <c r="K149">
        <v>12.7595698965418</v>
      </c>
      <c r="L149" t="s">
        <v>29</v>
      </c>
      <c r="M149" t="s">
        <v>29</v>
      </c>
      <c r="N149">
        <v>11.957075044285499</v>
      </c>
      <c r="O149">
        <v>12.114968046417101</v>
      </c>
      <c r="P149">
        <v>-0.40061834717154998</v>
      </c>
      <c r="Q149">
        <v>-1.01912782041032</v>
      </c>
      <c r="R149">
        <v>0.217891126067216</v>
      </c>
      <c r="S149">
        <v>12.196171038674001</v>
      </c>
      <c r="T149">
        <v>-1.42728983365573</v>
      </c>
      <c r="U149">
        <v>-5.8439002282940899</v>
      </c>
      <c r="V149">
        <v>0.18152335232641501</v>
      </c>
      <c r="W149">
        <v>0.44492525311738801</v>
      </c>
      <c r="X149">
        <v>0</v>
      </c>
      <c r="Y149">
        <v>0</v>
      </c>
    </row>
    <row r="150" spans="1:25" x14ac:dyDescent="0.2">
      <c r="A150" t="s">
        <v>569</v>
      </c>
      <c r="B150" t="s">
        <v>570</v>
      </c>
      <c r="C150" t="s">
        <v>14223</v>
      </c>
      <c r="D150" t="s">
        <v>571</v>
      </c>
      <c r="E150" t="s">
        <v>570</v>
      </c>
      <c r="F150" t="s">
        <v>28</v>
      </c>
      <c r="G150" t="s">
        <v>570</v>
      </c>
      <c r="H150" t="str">
        <f>"E01A2.1"</f>
        <v>E01A2.1</v>
      </c>
      <c r="I150" t="s">
        <v>571</v>
      </c>
      <c r="J150">
        <v>14.1622685301804</v>
      </c>
      <c r="K150">
        <v>14.146713489019101</v>
      </c>
      <c r="L150">
        <v>14.403363386478</v>
      </c>
      <c r="M150">
        <v>14.0912252514639</v>
      </c>
      <c r="N150">
        <v>13.820738904663999</v>
      </c>
      <c r="O150">
        <v>14.4617481074631</v>
      </c>
      <c r="P150">
        <v>-0.112877714028825</v>
      </c>
      <c r="Q150">
        <v>-0.50194386056362905</v>
      </c>
      <c r="R150">
        <v>0.27618843250598002</v>
      </c>
      <c r="S150">
        <v>13.911515870413901</v>
      </c>
      <c r="T150">
        <v>-0.61239942632369504</v>
      </c>
      <c r="U150">
        <v>-6.85710176647006</v>
      </c>
      <c r="V150">
        <v>0.54842805579250697</v>
      </c>
      <c r="W150">
        <v>0.77926549128536904</v>
      </c>
      <c r="X150">
        <v>0</v>
      </c>
      <c r="Y150">
        <v>0</v>
      </c>
    </row>
    <row r="151" spans="1:25" x14ac:dyDescent="0.2">
      <c r="A151" t="s">
        <v>572</v>
      </c>
      <c r="B151" t="s">
        <v>573</v>
      </c>
      <c r="C151" t="s">
        <v>14224</v>
      </c>
      <c r="D151" t="s">
        <v>534</v>
      </c>
      <c r="E151" t="s">
        <v>573</v>
      </c>
      <c r="F151" t="s">
        <v>28</v>
      </c>
      <c r="G151" t="s">
        <v>573</v>
      </c>
      <c r="H151" t="str">
        <f>"T02H6.1"</f>
        <v>T02H6.1</v>
      </c>
      <c r="I151" t="s">
        <v>534</v>
      </c>
      <c r="J151">
        <v>13.592685677136201</v>
      </c>
      <c r="K151">
        <v>13.406103928018201</v>
      </c>
      <c r="L151">
        <v>13.3717040441023</v>
      </c>
      <c r="M151">
        <v>13.2909877708752</v>
      </c>
      <c r="N151">
        <v>13.1150414238474</v>
      </c>
      <c r="O151">
        <v>12.913549116259601</v>
      </c>
      <c r="P151">
        <v>-0.35030511275811399</v>
      </c>
      <c r="Q151">
        <v>-0.833650019080174</v>
      </c>
      <c r="R151">
        <v>0.13303979356394499</v>
      </c>
      <c r="S151">
        <v>12.931178368995001</v>
      </c>
      <c r="T151">
        <v>-1.52981650768514</v>
      </c>
      <c r="U151">
        <v>-5.9004117547407997</v>
      </c>
      <c r="V151">
        <v>0.14456953236269801</v>
      </c>
      <c r="W151">
        <v>0.39235134137466099</v>
      </c>
      <c r="X151">
        <v>0</v>
      </c>
      <c r="Y151">
        <v>0</v>
      </c>
    </row>
    <row r="152" spans="1:25" x14ac:dyDescent="0.2">
      <c r="A152" t="s">
        <v>574</v>
      </c>
      <c r="B152" t="s">
        <v>575</v>
      </c>
      <c r="C152" t="s">
        <v>576</v>
      </c>
      <c r="D152" t="s">
        <v>577</v>
      </c>
      <c r="E152" t="s">
        <v>575</v>
      </c>
      <c r="F152" t="s">
        <v>28</v>
      </c>
      <c r="G152" t="s">
        <v>575</v>
      </c>
      <c r="H152" t="str">
        <f>"seu-1"</f>
        <v>seu-1</v>
      </c>
      <c r="I152" t="s">
        <v>577</v>
      </c>
      <c r="J152">
        <v>12.069990629684099</v>
      </c>
      <c r="K152">
        <v>12.3992420778953</v>
      </c>
      <c r="L152">
        <v>11.7172524547167</v>
      </c>
      <c r="M152" t="s">
        <v>29</v>
      </c>
      <c r="N152" t="s">
        <v>29</v>
      </c>
      <c r="O152">
        <v>11.3662248925362</v>
      </c>
      <c r="P152">
        <v>-0.69593682822912095</v>
      </c>
      <c r="Q152">
        <v>-2.3986769114574802</v>
      </c>
      <c r="R152">
        <v>1.0068032549992401</v>
      </c>
      <c r="S152">
        <v>12.084891277057499</v>
      </c>
      <c r="T152">
        <v>-0.90063569039022295</v>
      </c>
      <c r="U152">
        <v>-6.2885343424529596</v>
      </c>
      <c r="V152">
        <v>0.38725699743417102</v>
      </c>
      <c r="W152">
        <v>0.66245861190575805</v>
      </c>
      <c r="X152">
        <v>0</v>
      </c>
      <c r="Y152">
        <v>0</v>
      </c>
    </row>
    <row r="153" spans="1:25" x14ac:dyDescent="0.2">
      <c r="A153" t="s">
        <v>578</v>
      </c>
      <c r="B153" t="s">
        <v>579</v>
      </c>
      <c r="C153" t="s">
        <v>580</v>
      </c>
      <c r="D153" t="s">
        <v>581</v>
      </c>
      <c r="E153" t="s">
        <v>579</v>
      </c>
      <c r="F153" t="s">
        <v>28</v>
      </c>
      <c r="G153" t="s">
        <v>579</v>
      </c>
      <c r="H153" t="str">
        <f>"syf-3"</f>
        <v>syf-3</v>
      </c>
      <c r="I153" t="s">
        <v>581</v>
      </c>
      <c r="J153">
        <v>14.200869110575001</v>
      </c>
      <c r="K153">
        <v>14.3713454555152</v>
      </c>
      <c r="L153">
        <v>14.0959376805655</v>
      </c>
      <c r="M153">
        <v>14.071959261932101</v>
      </c>
      <c r="N153">
        <v>14.411873230373301</v>
      </c>
      <c r="O153">
        <v>14.453200827023201</v>
      </c>
      <c r="P153">
        <v>8.9627024224313304E-2</v>
      </c>
      <c r="Q153">
        <v>-0.57205401378757503</v>
      </c>
      <c r="R153">
        <v>0.75130806223620195</v>
      </c>
      <c r="S153">
        <v>14.7738064110414</v>
      </c>
      <c r="T153">
        <v>0.28469694137263701</v>
      </c>
      <c r="U153">
        <v>-7.0097064580008404</v>
      </c>
      <c r="V153">
        <v>0.77914477746323996</v>
      </c>
      <c r="W153">
        <v>0.90774690507174505</v>
      </c>
      <c r="X153">
        <v>0</v>
      </c>
      <c r="Y153">
        <v>0</v>
      </c>
    </row>
    <row r="154" spans="1:25" x14ac:dyDescent="0.2">
      <c r="A154" t="s">
        <v>582</v>
      </c>
      <c r="B154" t="s">
        <v>583</v>
      </c>
      <c r="C154" t="s">
        <v>14225</v>
      </c>
      <c r="D154" t="s">
        <v>130</v>
      </c>
      <c r="E154" t="s">
        <v>583</v>
      </c>
      <c r="F154" t="s">
        <v>28</v>
      </c>
      <c r="G154" t="s">
        <v>583</v>
      </c>
      <c r="H154" t="str">
        <f>"F27D4.6"</f>
        <v>F27D4.6</v>
      </c>
      <c r="I154" t="s">
        <v>130</v>
      </c>
      <c r="J154" t="s">
        <v>29</v>
      </c>
      <c r="K154" t="s">
        <v>29</v>
      </c>
      <c r="L154" t="s">
        <v>29</v>
      </c>
      <c r="M154" t="s">
        <v>29</v>
      </c>
      <c r="N154" t="s">
        <v>29</v>
      </c>
      <c r="O154" t="s">
        <v>29</v>
      </c>
      <c r="P154" t="s">
        <v>29</v>
      </c>
      <c r="Q154" t="s">
        <v>29</v>
      </c>
      <c r="R154" t="s">
        <v>29</v>
      </c>
      <c r="S154">
        <v>10.296015551180201</v>
      </c>
      <c r="T154" t="s">
        <v>29</v>
      </c>
      <c r="U154" t="s">
        <v>29</v>
      </c>
      <c r="V154" t="s">
        <v>29</v>
      </c>
      <c r="W154" t="s">
        <v>29</v>
      </c>
      <c r="X154" t="s">
        <v>29</v>
      </c>
      <c r="Y154" t="s">
        <v>29</v>
      </c>
    </row>
    <row r="155" spans="1:25" x14ac:dyDescent="0.2">
      <c r="A155" t="s">
        <v>584</v>
      </c>
      <c r="B155" t="s">
        <v>585</v>
      </c>
      <c r="C155" t="s">
        <v>586</v>
      </c>
      <c r="D155" t="s">
        <v>587</v>
      </c>
      <c r="E155" t="s">
        <v>585</v>
      </c>
      <c r="F155" t="s">
        <v>28</v>
      </c>
      <c r="G155" t="s">
        <v>585</v>
      </c>
      <c r="H155" t="str">
        <f>"C27H6.9"</f>
        <v>C27H6.9</v>
      </c>
      <c r="I155" t="s">
        <v>587</v>
      </c>
      <c r="J155" t="s">
        <v>29</v>
      </c>
      <c r="K155" t="s">
        <v>29</v>
      </c>
      <c r="L155">
        <v>12.0712631125683</v>
      </c>
      <c r="M155" t="s">
        <v>29</v>
      </c>
      <c r="N155">
        <v>11.954243787177701</v>
      </c>
      <c r="O155" t="s">
        <v>29</v>
      </c>
      <c r="P155">
        <v>-0.11701932539062</v>
      </c>
      <c r="Q155">
        <v>-0.97671913299297997</v>
      </c>
      <c r="R155">
        <v>0.74268048221173999</v>
      </c>
      <c r="S155">
        <v>12.199157961630201</v>
      </c>
      <c r="T155">
        <v>-0.30372297905366602</v>
      </c>
      <c r="U155">
        <v>-6.4606231073392397</v>
      </c>
      <c r="V155">
        <v>0.76762924614988803</v>
      </c>
      <c r="W155">
        <v>0.90111683213701999</v>
      </c>
      <c r="X155">
        <v>0</v>
      </c>
      <c r="Y155">
        <v>0</v>
      </c>
    </row>
    <row r="156" spans="1:25" x14ac:dyDescent="0.2">
      <c r="A156" t="s">
        <v>588</v>
      </c>
      <c r="B156" t="s">
        <v>589</v>
      </c>
      <c r="C156" t="s">
        <v>590</v>
      </c>
      <c r="D156" t="s">
        <v>591</v>
      </c>
      <c r="E156" t="s">
        <v>589</v>
      </c>
      <c r="F156" t="s">
        <v>28</v>
      </c>
      <c r="G156" t="s">
        <v>589</v>
      </c>
      <c r="H156" t="str">
        <f>"pptr-2"</f>
        <v>pptr-2</v>
      </c>
      <c r="I156" t="s">
        <v>591</v>
      </c>
      <c r="J156" t="s">
        <v>29</v>
      </c>
      <c r="K156" t="s">
        <v>29</v>
      </c>
      <c r="L156">
        <v>11.1247155659065</v>
      </c>
      <c r="M156">
        <v>11.413395256486099</v>
      </c>
      <c r="N156">
        <v>12.45403879455</v>
      </c>
      <c r="O156">
        <v>12.765501479488901</v>
      </c>
      <c r="P156">
        <v>1.0862629442685099</v>
      </c>
      <c r="Q156">
        <v>0.25786464495956701</v>
      </c>
      <c r="R156">
        <v>1.9146612435774499</v>
      </c>
      <c r="S156">
        <v>12.4450194991334</v>
      </c>
      <c r="T156">
        <v>2.7966451959231802</v>
      </c>
      <c r="U156">
        <v>-3.4155097498779199</v>
      </c>
      <c r="V156">
        <v>1.3621799307532999E-2</v>
      </c>
      <c r="W156">
        <v>0.10828471842818201</v>
      </c>
      <c r="X156">
        <v>1</v>
      </c>
      <c r="Y156">
        <v>0</v>
      </c>
    </row>
    <row r="157" spans="1:25" x14ac:dyDescent="0.2">
      <c r="A157" t="s">
        <v>592</v>
      </c>
      <c r="B157" t="s">
        <v>593</v>
      </c>
      <c r="C157" t="s">
        <v>594</v>
      </c>
      <c r="D157" t="s">
        <v>595</v>
      </c>
      <c r="E157" t="s">
        <v>593</v>
      </c>
      <c r="F157" t="s">
        <v>28</v>
      </c>
      <c r="G157" t="s">
        <v>593</v>
      </c>
      <c r="H157" t="str">
        <f>"maph-1.2"</f>
        <v>maph-1.2</v>
      </c>
      <c r="I157" t="s">
        <v>595</v>
      </c>
      <c r="J157">
        <v>15.3720687322707</v>
      </c>
      <c r="K157">
        <v>15.767534578130901</v>
      </c>
      <c r="L157">
        <v>16.115121458604399</v>
      </c>
      <c r="M157">
        <v>14.9413812780525</v>
      </c>
      <c r="N157">
        <v>14.443624387855801</v>
      </c>
      <c r="O157">
        <v>15.093449764469399</v>
      </c>
      <c r="P157">
        <v>-0.92542311287607704</v>
      </c>
      <c r="Q157">
        <v>-1.7102950136864501</v>
      </c>
      <c r="R157">
        <v>-0.140551212065706</v>
      </c>
      <c r="S157">
        <v>15.734042371989901</v>
      </c>
      <c r="T157">
        <v>-2.47818699731459</v>
      </c>
      <c r="U157">
        <v>-4.2883953908879899</v>
      </c>
      <c r="V157">
        <v>2.3406210349273801E-2</v>
      </c>
      <c r="W157">
        <v>0.149244234732577</v>
      </c>
      <c r="X157">
        <v>0</v>
      </c>
      <c r="Y157">
        <v>0</v>
      </c>
    </row>
    <row r="158" spans="1:25" x14ac:dyDescent="0.2">
      <c r="A158" t="s">
        <v>596</v>
      </c>
      <c r="B158" t="s">
        <v>597</v>
      </c>
      <c r="C158" t="s">
        <v>598</v>
      </c>
      <c r="D158" t="s">
        <v>599</v>
      </c>
      <c r="E158" t="s">
        <v>597</v>
      </c>
      <c r="F158" t="s">
        <v>28</v>
      </c>
      <c r="G158" t="s">
        <v>597</v>
      </c>
      <c r="H158" t="str">
        <f>"srp-7"</f>
        <v>srp-7</v>
      </c>
      <c r="I158" t="s">
        <v>599</v>
      </c>
      <c r="J158" t="s">
        <v>29</v>
      </c>
      <c r="K158" t="s">
        <v>29</v>
      </c>
      <c r="L158">
        <v>12.6605251980811</v>
      </c>
      <c r="M158">
        <v>14.164592390340101</v>
      </c>
      <c r="N158">
        <v>13.1409816870462</v>
      </c>
      <c r="O158">
        <v>12.821430934627999</v>
      </c>
      <c r="P158">
        <v>0.71514313925698403</v>
      </c>
      <c r="Q158">
        <v>-0.40182294014349601</v>
      </c>
      <c r="R158">
        <v>1.8321092186574599</v>
      </c>
      <c r="S158">
        <v>12.688270438004301</v>
      </c>
      <c r="T158">
        <v>1.39636194550312</v>
      </c>
      <c r="U158">
        <v>-5.74587353316692</v>
      </c>
      <c r="V158">
        <v>0.18811718440974401</v>
      </c>
      <c r="W158">
        <v>0.45056514652806701</v>
      </c>
      <c r="X158">
        <v>0</v>
      </c>
      <c r="Y158">
        <v>0</v>
      </c>
    </row>
    <row r="159" spans="1:25" x14ac:dyDescent="0.2">
      <c r="A159" t="s">
        <v>600</v>
      </c>
      <c r="B159" t="s">
        <v>601</v>
      </c>
      <c r="C159" t="s">
        <v>602</v>
      </c>
      <c r="D159" t="s">
        <v>603</v>
      </c>
      <c r="E159" t="s">
        <v>601</v>
      </c>
      <c r="F159" t="s">
        <v>28</v>
      </c>
      <c r="G159" t="s">
        <v>601</v>
      </c>
      <c r="H159" t="str">
        <f>"ascc-1"</f>
        <v>ascc-1</v>
      </c>
      <c r="I159" t="s">
        <v>603</v>
      </c>
      <c r="J159">
        <v>12.328350857320199</v>
      </c>
      <c r="K159" t="s">
        <v>29</v>
      </c>
      <c r="L159">
        <v>12.325287322029601</v>
      </c>
      <c r="M159">
        <v>11.983479423613099</v>
      </c>
      <c r="N159">
        <v>11.928759286635399</v>
      </c>
      <c r="O159">
        <v>11.4402960141332</v>
      </c>
      <c r="P159">
        <v>-0.54264084821430503</v>
      </c>
      <c r="Q159">
        <v>-1.11569242388706</v>
      </c>
      <c r="R159">
        <v>3.0410727458450099E-2</v>
      </c>
      <c r="S159">
        <v>12.3256312499635</v>
      </c>
      <c r="T159">
        <v>-2.0324069188828702</v>
      </c>
      <c r="U159">
        <v>-5.0233419064785902</v>
      </c>
      <c r="V159">
        <v>6.1683638027387099E-2</v>
      </c>
      <c r="W159">
        <v>0.25027251638543302</v>
      </c>
      <c r="X159">
        <v>0</v>
      </c>
      <c r="Y159">
        <v>0</v>
      </c>
    </row>
    <row r="160" spans="1:25" x14ac:dyDescent="0.2">
      <c r="A160" t="s">
        <v>604</v>
      </c>
      <c r="B160" t="s">
        <v>605</v>
      </c>
      <c r="C160" t="s">
        <v>606</v>
      </c>
      <c r="D160" t="s">
        <v>204</v>
      </c>
      <c r="E160" t="s">
        <v>605</v>
      </c>
      <c r="F160" t="s">
        <v>28</v>
      </c>
      <c r="G160" t="s">
        <v>605</v>
      </c>
      <c r="H160" t="str">
        <f>"hsp-43"</f>
        <v>hsp-43</v>
      </c>
      <c r="I160" t="s">
        <v>204</v>
      </c>
      <c r="J160">
        <v>11.438198171032001</v>
      </c>
      <c r="K160">
        <v>12.618811558162699</v>
      </c>
      <c r="L160">
        <v>12.9506230678285</v>
      </c>
      <c r="M160">
        <v>13.0963560940493</v>
      </c>
      <c r="N160">
        <v>12.526269928694999</v>
      </c>
      <c r="O160">
        <v>12.5657749356266</v>
      </c>
      <c r="P160">
        <v>0.39358938711589198</v>
      </c>
      <c r="Q160">
        <v>-0.35402764812939902</v>
      </c>
      <c r="R160">
        <v>1.14120642236118</v>
      </c>
      <c r="S160">
        <v>13.039985713259</v>
      </c>
      <c r="T160">
        <v>1.10651346692821</v>
      </c>
      <c r="U160">
        <v>-6.4315897796843498</v>
      </c>
      <c r="V160">
        <v>0.28315787483299198</v>
      </c>
      <c r="W160">
        <v>0.56355051698565695</v>
      </c>
      <c r="X160">
        <v>0</v>
      </c>
      <c r="Y160">
        <v>0</v>
      </c>
    </row>
    <row r="161" spans="1:25" x14ac:dyDescent="0.2">
      <c r="A161" t="s">
        <v>607</v>
      </c>
      <c r="B161" t="s">
        <v>608</v>
      </c>
      <c r="C161" t="s">
        <v>14226</v>
      </c>
      <c r="D161" t="s">
        <v>609</v>
      </c>
      <c r="E161" t="s">
        <v>608</v>
      </c>
      <c r="F161" t="s">
        <v>28</v>
      </c>
      <c r="G161" t="s">
        <v>608</v>
      </c>
      <c r="H161" t="str">
        <f>"F41E6.5"</f>
        <v>F41E6.5</v>
      </c>
      <c r="I161" t="s">
        <v>609</v>
      </c>
      <c r="J161">
        <v>14.0175457745526</v>
      </c>
      <c r="K161">
        <v>13.8324611177493</v>
      </c>
      <c r="L161">
        <v>13.077694982252</v>
      </c>
      <c r="M161">
        <v>14.8135558282319</v>
      </c>
      <c r="N161">
        <v>14.8984227892437</v>
      </c>
      <c r="O161">
        <v>14.8475310207129</v>
      </c>
      <c r="P161">
        <v>1.2106025878782001</v>
      </c>
      <c r="Q161">
        <v>0.61834833106464704</v>
      </c>
      <c r="R161">
        <v>1.8028568446917601</v>
      </c>
      <c r="S161">
        <v>13.441056620345201</v>
      </c>
      <c r="T161">
        <v>4.2962141406669998</v>
      </c>
      <c r="U161">
        <v>-0.42754477811335001</v>
      </c>
      <c r="V161">
        <v>4.39947910942096E-4</v>
      </c>
      <c r="W161">
        <v>9.7387108993577005E-3</v>
      </c>
      <c r="X161">
        <v>1</v>
      </c>
      <c r="Y161">
        <v>1</v>
      </c>
    </row>
    <row r="162" spans="1:25" x14ac:dyDescent="0.2">
      <c r="A162" t="s">
        <v>610</v>
      </c>
      <c r="B162" t="s">
        <v>611</v>
      </c>
      <c r="C162" t="s">
        <v>612</v>
      </c>
      <c r="D162" t="s">
        <v>613</v>
      </c>
      <c r="E162" t="s">
        <v>611</v>
      </c>
      <c r="F162" t="s">
        <v>28</v>
      </c>
      <c r="G162" t="s">
        <v>611</v>
      </c>
      <c r="H162" t="str">
        <f>"trpp-1"</f>
        <v>trpp-1</v>
      </c>
      <c r="I162" t="s">
        <v>613</v>
      </c>
      <c r="J162">
        <v>12.5250822255478</v>
      </c>
      <c r="K162">
        <v>12.4569775124834</v>
      </c>
      <c r="L162">
        <v>12.6001029564002</v>
      </c>
      <c r="M162">
        <v>12.259253010390401</v>
      </c>
      <c r="N162">
        <v>12.896287910319399</v>
      </c>
      <c r="O162" t="s">
        <v>29</v>
      </c>
      <c r="P162">
        <v>5.0382895544435903E-2</v>
      </c>
      <c r="Q162">
        <v>-0.394538250882913</v>
      </c>
      <c r="R162">
        <v>0.49530404197178501</v>
      </c>
      <c r="S162">
        <v>12.1744969265952</v>
      </c>
      <c r="T162">
        <v>0.24151364994096899</v>
      </c>
      <c r="U162">
        <v>-6.9106552912726302</v>
      </c>
      <c r="V162">
        <v>0.81245028687968601</v>
      </c>
      <c r="W162">
        <v>0.91987238465779397</v>
      </c>
      <c r="X162">
        <v>0</v>
      </c>
      <c r="Y162">
        <v>0</v>
      </c>
    </row>
    <row r="163" spans="1:25" x14ac:dyDescent="0.2">
      <c r="A163" t="s">
        <v>614</v>
      </c>
      <c r="B163" t="s">
        <v>615</v>
      </c>
      <c r="C163" t="s">
        <v>616</v>
      </c>
      <c r="D163" t="s">
        <v>617</v>
      </c>
      <c r="E163" t="s">
        <v>615</v>
      </c>
      <c r="F163" t="s">
        <v>28</v>
      </c>
      <c r="G163" t="s">
        <v>615</v>
      </c>
      <c r="H163" t="str">
        <f>"C14H10.3"</f>
        <v>C14H10.3</v>
      </c>
      <c r="I163" t="s">
        <v>617</v>
      </c>
      <c r="J163">
        <v>12.132654454309099</v>
      </c>
      <c r="K163">
        <v>11.4513527075482</v>
      </c>
      <c r="L163">
        <v>12.3163287997289</v>
      </c>
      <c r="M163">
        <v>11.514718028783999</v>
      </c>
      <c r="N163">
        <v>11.464814554604301</v>
      </c>
      <c r="O163">
        <v>12.339399389362899</v>
      </c>
      <c r="P163">
        <v>-0.19380132961166699</v>
      </c>
      <c r="Q163">
        <v>-0.78272676553293397</v>
      </c>
      <c r="R163">
        <v>0.39512410630960099</v>
      </c>
      <c r="S163">
        <v>11.7107471075315</v>
      </c>
      <c r="T163">
        <v>-0.69461867198257399</v>
      </c>
      <c r="U163">
        <v>-6.8020166938606703</v>
      </c>
      <c r="V163">
        <v>0.49673639419014098</v>
      </c>
      <c r="W163">
        <v>0.74910923183473099</v>
      </c>
      <c r="X163">
        <v>0</v>
      </c>
      <c r="Y163">
        <v>0</v>
      </c>
    </row>
    <row r="164" spans="1:25" x14ac:dyDescent="0.2">
      <c r="A164" t="s">
        <v>618</v>
      </c>
      <c r="B164" t="s">
        <v>619</v>
      </c>
      <c r="C164" t="s">
        <v>620</v>
      </c>
      <c r="D164" t="s">
        <v>621</v>
      </c>
      <c r="E164" t="s">
        <v>619</v>
      </c>
      <c r="F164" t="s">
        <v>28</v>
      </c>
      <c r="G164" t="s">
        <v>619</v>
      </c>
      <c r="H164" t="str">
        <f>"poml-3"</f>
        <v>poml-3</v>
      </c>
      <c r="I164" t="s">
        <v>621</v>
      </c>
      <c r="J164">
        <v>13.7622286554127</v>
      </c>
      <c r="K164">
        <v>14.137218308839699</v>
      </c>
      <c r="L164">
        <v>13.607769825243899</v>
      </c>
      <c r="M164">
        <v>12.522505018388699</v>
      </c>
      <c r="N164">
        <v>11.6843908046722</v>
      </c>
      <c r="O164">
        <v>12.813458218965501</v>
      </c>
      <c r="P164">
        <v>-1.49562091582333</v>
      </c>
      <c r="Q164">
        <v>-2.18679695653978</v>
      </c>
      <c r="R164">
        <v>-0.80444487510688201</v>
      </c>
      <c r="S164">
        <v>13.4503498248779</v>
      </c>
      <c r="T164">
        <v>-4.5896797656521402</v>
      </c>
      <c r="U164">
        <v>-5.5892018224774596E-3</v>
      </c>
      <c r="V164">
        <v>3.0702221162015299E-4</v>
      </c>
      <c r="W164">
        <v>7.55393022853803E-3</v>
      </c>
      <c r="X164">
        <v>-1</v>
      </c>
      <c r="Y164">
        <v>-1</v>
      </c>
    </row>
    <row r="165" spans="1:25" x14ac:dyDescent="0.2">
      <c r="A165" t="s">
        <v>622</v>
      </c>
      <c r="B165" t="s">
        <v>623</v>
      </c>
      <c r="C165" t="s">
        <v>624</v>
      </c>
      <c r="D165" t="s">
        <v>625</v>
      </c>
      <c r="E165" t="s">
        <v>623</v>
      </c>
      <c r="F165" t="s">
        <v>28</v>
      </c>
      <c r="G165" t="s">
        <v>623</v>
      </c>
      <c r="H165" t="str">
        <f>"unc-57"</f>
        <v>unc-57</v>
      </c>
      <c r="I165" t="s">
        <v>625</v>
      </c>
      <c r="J165">
        <v>14.174044119574599</v>
      </c>
      <c r="K165">
        <v>11.180074259500801</v>
      </c>
      <c r="L165">
        <v>11.9036152343092</v>
      </c>
      <c r="M165">
        <v>14.370920983192599</v>
      </c>
      <c r="N165">
        <v>13.7045690005179</v>
      </c>
      <c r="O165">
        <v>13.719223049620499</v>
      </c>
      <c r="P165">
        <v>1.5123264733155</v>
      </c>
      <c r="Q165">
        <v>0.27147856084630601</v>
      </c>
      <c r="R165">
        <v>2.7531743857846802</v>
      </c>
      <c r="S165">
        <v>12.850809555655401</v>
      </c>
      <c r="T165">
        <v>2.5726281255764398</v>
      </c>
      <c r="U165">
        <v>-4.1201614908573498</v>
      </c>
      <c r="V165">
        <v>1.9833642355078E-2</v>
      </c>
      <c r="W165">
        <v>0.13606918984371799</v>
      </c>
      <c r="X165">
        <v>1</v>
      </c>
      <c r="Y165">
        <v>0</v>
      </c>
    </row>
    <row r="166" spans="1:25" x14ac:dyDescent="0.2">
      <c r="A166" t="s">
        <v>626</v>
      </c>
      <c r="B166" t="s">
        <v>627</v>
      </c>
      <c r="C166" t="s">
        <v>628</v>
      </c>
      <c r="D166" t="s">
        <v>629</v>
      </c>
      <c r="E166" t="s">
        <v>627</v>
      </c>
      <c r="F166" t="s">
        <v>28</v>
      </c>
      <c r="G166" t="s">
        <v>627</v>
      </c>
      <c r="H166" t="str">
        <f>"saps-1"</f>
        <v>saps-1</v>
      </c>
      <c r="I166" t="s">
        <v>629</v>
      </c>
      <c r="J166">
        <v>10.2053593211016</v>
      </c>
      <c r="K166" t="s">
        <v>29</v>
      </c>
      <c r="L166">
        <v>10.379090651613501</v>
      </c>
      <c r="M166">
        <v>14.3403913274082</v>
      </c>
      <c r="N166">
        <v>14.1255755741866</v>
      </c>
      <c r="O166">
        <v>13.675389032800201</v>
      </c>
      <c r="P166">
        <v>3.7548936584408201</v>
      </c>
      <c r="Q166">
        <v>3.0446650156803599</v>
      </c>
      <c r="R166">
        <v>4.4651223012012702</v>
      </c>
      <c r="S166">
        <v>12.8348921521709</v>
      </c>
      <c r="T166">
        <v>11.159621685826799</v>
      </c>
      <c r="U166">
        <v>11.4854971001061</v>
      </c>
      <c r="V166" s="2">
        <v>3.2426962825701899E-9</v>
      </c>
      <c r="W166" s="2">
        <v>6.5948335646771198E-7</v>
      </c>
      <c r="X166">
        <v>1</v>
      </c>
      <c r="Y166">
        <v>1</v>
      </c>
    </row>
    <row r="167" spans="1:25" x14ac:dyDescent="0.2">
      <c r="A167" t="s">
        <v>630</v>
      </c>
      <c r="B167" t="s">
        <v>631</v>
      </c>
      <c r="C167" t="s">
        <v>632</v>
      </c>
      <c r="D167" t="s">
        <v>633</v>
      </c>
      <c r="E167" t="s">
        <v>631</v>
      </c>
      <c r="F167" t="s">
        <v>28</v>
      </c>
      <c r="G167" t="s">
        <v>631</v>
      </c>
      <c r="H167" t="str">
        <f>"lin-61"</f>
        <v>lin-61</v>
      </c>
      <c r="I167" t="s">
        <v>633</v>
      </c>
      <c r="J167">
        <v>14.217630626344301</v>
      </c>
      <c r="K167">
        <v>14.3276963588887</v>
      </c>
      <c r="L167">
        <v>14.373458528923299</v>
      </c>
      <c r="M167">
        <v>14.0942528486228</v>
      </c>
      <c r="N167">
        <v>13.922147825890599</v>
      </c>
      <c r="O167">
        <v>14.2944359569659</v>
      </c>
      <c r="P167">
        <v>-0.202649627559015</v>
      </c>
      <c r="Q167">
        <v>-0.64172677212818896</v>
      </c>
      <c r="R167">
        <v>0.23642751701015799</v>
      </c>
      <c r="S167">
        <v>14.3957581726242</v>
      </c>
      <c r="T167">
        <v>-0.97005753144672602</v>
      </c>
      <c r="U167">
        <v>-6.5715571874664898</v>
      </c>
      <c r="V167">
        <v>0.34494754510917303</v>
      </c>
      <c r="W167">
        <v>0.62567408683681602</v>
      </c>
      <c r="X167">
        <v>0</v>
      </c>
      <c r="Y167">
        <v>0</v>
      </c>
    </row>
    <row r="168" spans="1:25" x14ac:dyDescent="0.2">
      <c r="A168" t="s">
        <v>634</v>
      </c>
      <c r="B168" t="s">
        <v>635</v>
      </c>
      <c r="C168" t="s">
        <v>636</v>
      </c>
      <c r="D168" t="s">
        <v>637</v>
      </c>
      <c r="E168" t="s">
        <v>635</v>
      </c>
      <c r="F168" t="s">
        <v>28</v>
      </c>
      <c r="G168" t="s">
        <v>635</v>
      </c>
      <c r="H168" t="str">
        <f>"tlf-1"</f>
        <v>tlf-1</v>
      </c>
      <c r="I168" t="s">
        <v>637</v>
      </c>
      <c r="J168">
        <v>13.0217825015507</v>
      </c>
      <c r="K168">
        <v>13.591494370282099</v>
      </c>
      <c r="L168">
        <v>13.582128014976799</v>
      </c>
      <c r="M168">
        <v>13.360288573745301</v>
      </c>
      <c r="N168">
        <v>12.9579036144145</v>
      </c>
      <c r="O168">
        <v>13.327096145122701</v>
      </c>
      <c r="P168">
        <v>-0.18337218450901799</v>
      </c>
      <c r="Q168">
        <v>-0.68887834971943596</v>
      </c>
      <c r="R168">
        <v>0.32213398070139998</v>
      </c>
      <c r="S168">
        <v>13.3696045299491</v>
      </c>
      <c r="T168">
        <v>-0.76569712290936598</v>
      </c>
      <c r="U168">
        <v>-6.7491352235092998</v>
      </c>
      <c r="V168">
        <v>0.45442147077443501</v>
      </c>
      <c r="W168">
        <v>0.72131095897561603</v>
      </c>
      <c r="X168">
        <v>0</v>
      </c>
      <c r="Y168">
        <v>0</v>
      </c>
    </row>
    <row r="169" spans="1:25" x14ac:dyDescent="0.2">
      <c r="A169" t="s">
        <v>638</v>
      </c>
      <c r="B169" t="s">
        <v>639</v>
      </c>
      <c r="C169" t="s">
        <v>640</v>
      </c>
      <c r="D169" t="s">
        <v>641</v>
      </c>
      <c r="E169" t="s">
        <v>639</v>
      </c>
      <c r="F169" t="s">
        <v>28</v>
      </c>
      <c r="G169" t="s">
        <v>639</v>
      </c>
      <c r="H169" t="str">
        <f>"smc-3"</f>
        <v>smc-3</v>
      </c>
      <c r="I169" t="s">
        <v>641</v>
      </c>
      <c r="J169">
        <v>13.781427780034599</v>
      </c>
      <c r="K169">
        <v>13.656505429044699</v>
      </c>
      <c r="L169">
        <v>13.540706484128201</v>
      </c>
      <c r="M169">
        <v>13.6976747618471</v>
      </c>
      <c r="N169">
        <v>14.0183721101427</v>
      </c>
      <c r="O169">
        <v>13.655970496988401</v>
      </c>
      <c r="P169">
        <v>0.13112589192357399</v>
      </c>
      <c r="Q169">
        <v>-0.43023125327565298</v>
      </c>
      <c r="R169">
        <v>0.69248303712280201</v>
      </c>
      <c r="S169">
        <v>13.3873976314283</v>
      </c>
      <c r="T169">
        <v>0.49305936668927802</v>
      </c>
      <c r="U169">
        <v>-6.9252009678190101</v>
      </c>
      <c r="V169">
        <v>0.62831776775578896</v>
      </c>
      <c r="W169">
        <v>0.82842221080929401</v>
      </c>
      <c r="X169">
        <v>0</v>
      </c>
      <c r="Y169">
        <v>0</v>
      </c>
    </row>
    <row r="170" spans="1:25" x14ac:dyDescent="0.2">
      <c r="A170" t="s">
        <v>642</v>
      </c>
      <c r="B170" t="s">
        <v>643</v>
      </c>
      <c r="C170" t="s">
        <v>644</v>
      </c>
      <c r="D170" t="s">
        <v>645</v>
      </c>
      <c r="E170" t="s">
        <v>643</v>
      </c>
      <c r="F170" t="s">
        <v>28</v>
      </c>
      <c r="G170" t="s">
        <v>643</v>
      </c>
      <c r="H170" t="str">
        <f>"vha-7"</f>
        <v>vha-7</v>
      </c>
      <c r="I170" t="s">
        <v>645</v>
      </c>
      <c r="J170" t="s">
        <v>29</v>
      </c>
      <c r="K170" t="s">
        <v>29</v>
      </c>
      <c r="L170" t="s">
        <v>29</v>
      </c>
      <c r="M170">
        <v>12.872613976965299</v>
      </c>
      <c r="N170">
        <v>13.126488131715201</v>
      </c>
      <c r="O170">
        <v>11.9325486603346</v>
      </c>
      <c r="P170" t="s">
        <v>29</v>
      </c>
      <c r="Q170" t="s">
        <v>29</v>
      </c>
      <c r="R170" t="s">
        <v>29</v>
      </c>
      <c r="S170">
        <v>12.211671165452801</v>
      </c>
      <c r="T170" t="s">
        <v>29</v>
      </c>
      <c r="U170" t="s">
        <v>29</v>
      </c>
      <c r="V170" t="s">
        <v>29</v>
      </c>
      <c r="W170" t="s">
        <v>29</v>
      </c>
      <c r="X170" t="s">
        <v>29</v>
      </c>
      <c r="Y170" t="s">
        <v>29</v>
      </c>
    </row>
    <row r="171" spans="1:25" x14ac:dyDescent="0.2">
      <c r="A171" t="s">
        <v>646</v>
      </c>
      <c r="B171" t="s">
        <v>647</v>
      </c>
      <c r="C171" t="s">
        <v>648</v>
      </c>
      <c r="D171" t="s">
        <v>649</v>
      </c>
      <c r="E171" t="s">
        <v>647</v>
      </c>
      <c r="F171" t="s">
        <v>28</v>
      </c>
      <c r="G171" t="s">
        <v>647</v>
      </c>
      <c r="H171" t="str">
        <f>"gcn-1"</f>
        <v>gcn-1</v>
      </c>
      <c r="I171" t="s">
        <v>649</v>
      </c>
      <c r="J171">
        <v>15.964548926492199</v>
      </c>
      <c r="K171">
        <v>15.8508543896682</v>
      </c>
      <c r="L171">
        <v>16.051860464837699</v>
      </c>
      <c r="M171">
        <v>16.076874897187299</v>
      </c>
      <c r="N171">
        <v>16.597477915773599</v>
      </c>
      <c r="O171">
        <v>16.272763504591499</v>
      </c>
      <c r="P171">
        <v>0.35995084551810103</v>
      </c>
      <c r="Q171">
        <v>1.6770031880289998E-2</v>
      </c>
      <c r="R171">
        <v>0.70313165915591302</v>
      </c>
      <c r="S171">
        <v>16.352897313762199</v>
      </c>
      <c r="T171">
        <v>2.2045132408042898</v>
      </c>
      <c r="U171">
        <v>-4.8010691727862804</v>
      </c>
      <c r="V171">
        <v>4.0821346163595403E-2</v>
      </c>
      <c r="W171">
        <v>0.19974836152833</v>
      </c>
      <c r="X171">
        <v>0</v>
      </c>
      <c r="Y171">
        <v>0</v>
      </c>
    </row>
    <row r="172" spans="1:25" x14ac:dyDescent="0.2">
      <c r="A172" t="s">
        <v>650</v>
      </c>
      <c r="B172" t="s">
        <v>651</v>
      </c>
      <c r="C172" t="s">
        <v>652</v>
      </c>
      <c r="D172" t="s">
        <v>93</v>
      </c>
      <c r="E172" t="s">
        <v>651</v>
      </c>
      <c r="F172" t="s">
        <v>28</v>
      </c>
      <c r="G172" t="s">
        <v>651</v>
      </c>
      <c r="H172" t="str">
        <f>"nono-1"</f>
        <v>nono-1</v>
      </c>
      <c r="I172" t="s">
        <v>93</v>
      </c>
      <c r="J172">
        <v>15.251357895192699</v>
      </c>
      <c r="K172">
        <v>15.5516103424454</v>
      </c>
      <c r="L172">
        <v>15.6290413821201</v>
      </c>
      <c r="M172">
        <v>15.2757774196788</v>
      </c>
      <c r="N172">
        <v>14.912067689730501</v>
      </c>
      <c r="O172">
        <v>15.310465210101899</v>
      </c>
      <c r="P172">
        <v>-0.31123310008230298</v>
      </c>
      <c r="Q172">
        <v>-0.73666920121055601</v>
      </c>
      <c r="R172">
        <v>0.11420300104595001</v>
      </c>
      <c r="S172">
        <v>15.5956466359636</v>
      </c>
      <c r="T172">
        <v>-1.5376020587152599</v>
      </c>
      <c r="U172">
        <v>-5.8889203468612399</v>
      </c>
      <c r="V172">
        <v>0.14163977922559801</v>
      </c>
      <c r="W172">
        <v>0.38763317207745701</v>
      </c>
      <c r="X172">
        <v>0</v>
      </c>
      <c r="Y172">
        <v>0</v>
      </c>
    </row>
    <row r="173" spans="1:25" x14ac:dyDescent="0.2">
      <c r="A173" t="s">
        <v>653</v>
      </c>
      <c r="B173" t="s">
        <v>654</v>
      </c>
      <c r="C173" t="s">
        <v>655</v>
      </c>
      <c r="D173" t="s">
        <v>656</v>
      </c>
      <c r="E173" t="s">
        <v>654</v>
      </c>
      <c r="F173" t="s">
        <v>28</v>
      </c>
      <c r="G173" t="s">
        <v>654</v>
      </c>
      <c r="H173" t="str">
        <f>"C14F11.4"</f>
        <v>C14F11.4</v>
      </c>
      <c r="I173" t="s">
        <v>656</v>
      </c>
      <c r="J173">
        <v>12.369704354746199</v>
      </c>
      <c r="K173" t="s">
        <v>29</v>
      </c>
      <c r="L173">
        <v>11.3892584058023</v>
      </c>
      <c r="M173" t="s">
        <v>29</v>
      </c>
      <c r="N173" t="s">
        <v>29</v>
      </c>
      <c r="O173" t="s">
        <v>29</v>
      </c>
      <c r="P173" t="s">
        <v>29</v>
      </c>
      <c r="Q173" t="s">
        <v>29</v>
      </c>
      <c r="R173" t="s">
        <v>29</v>
      </c>
      <c r="S173">
        <v>11.4544052576517</v>
      </c>
      <c r="T173" t="s">
        <v>29</v>
      </c>
      <c r="U173" t="s">
        <v>29</v>
      </c>
      <c r="V173" t="s">
        <v>29</v>
      </c>
      <c r="W173" t="s">
        <v>29</v>
      </c>
      <c r="X173" t="s">
        <v>29</v>
      </c>
      <c r="Y173" t="s">
        <v>29</v>
      </c>
    </row>
    <row r="174" spans="1:25" x14ac:dyDescent="0.2">
      <c r="A174" t="s">
        <v>657</v>
      </c>
      <c r="B174" t="s">
        <v>658</v>
      </c>
      <c r="C174" t="s">
        <v>659</v>
      </c>
      <c r="D174" t="s">
        <v>660</v>
      </c>
      <c r="E174" t="s">
        <v>658</v>
      </c>
      <c r="F174" t="s">
        <v>28</v>
      </c>
      <c r="G174" t="s">
        <v>658</v>
      </c>
      <c r="H174" t="str">
        <f>"abts-1"</f>
        <v>abts-1</v>
      </c>
      <c r="I174" t="s">
        <v>660</v>
      </c>
      <c r="J174">
        <v>13.6304461500602</v>
      </c>
      <c r="K174">
        <v>13.7888631645076</v>
      </c>
      <c r="L174">
        <v>13.7540425608102</v>
      </c>
      <c r="M174">
        <v>13.867351528715799</v>
      </c>
      <c r="N174">
        <v>14.2368984200657</v>
      </c>
      <c r="O174">
        <v>14.1335113171606</v>
      </c>
      <c r="P174">
        <v>0.35480313018801202</v>
      </c>
      <c r="Q174">
        <v>-0.151599769766353</v>
      </c>
      <c r="R174">
        <v>0.86120603014237695</v>
      </c>
      <c r="S174">
        <v>13.5527592544301</v>
      </c>
      <c r="T174">
        <v>1.47259652660539</v>
      </c>
      <c r="U174">
        <v>-5.9798574004329001</v>
      </c>
      <c r="V174">
        <v>0.158230506767921</v>
      </c>
      <c r="W174">
        <v>0.41026459683092698</v>
      </c>
      <c r="X174">
        <v>0</v>
      </c>
      <c r="Y174">
        <v>0</v>
      </c>
    </row>
    <row r="175" spans="1:25" x14ac:dyDescent="0.2">
      <c r="A175" t="s">
        <v>661</v>
      </c>
      <c r="B175" t="s">
        <v>662</v>
      </c>
      <c r="C175" t="s">
        <v>14227</v>
      </c>
      <c r="D175" t="s">
        <v>663</v>
      </c>
      <c r="E175" t="s">
        <v>662</v>
      </c>
      <c r="F175" t="s">
        <v>28</v>
      </c>
      <c r="G175" t="s">
        <v>662</v>
      </c>
      <c r="H175" t="str">
        <f>"ZK858.6"</f>
        <v>ZK858.6</v>
      </c>
      <c r="I175" t="s">
        <v>663</v>
      </c>
      <c r="J175">
        <v>10.9790727809321</v>
      </c>
      <c r="K175" t="s">
        <v>29</v>
      </c>
      <c r="L175" t="s">
        <v>29</v>
      </c>
      <c r="M175">
        <v>11.2161779766812</v>
      </c>
      <c r="N175">
        <v>10.0203455619701</v>
      </c>
      <c r="O175">
        <v>10.384266997230799</v>
      </c>
      <c r="P175">
        <v>-0.43880926897146599</v>
      </c>
      <c r="Q175">
        <v>-1.7215579768232501</v>
      </c>
      <c r="R175">
        <v>0.84393943888032097</v>
      </c>
      <c r="S175">
        <v>10.5868727440967</v>
      </c>
      <c r="T175">
        <v>-0.75381000970832102</v>
      </c>
      <c r="U175">
        <v>-6.41131826243062</v>
      </c>
      <c r="V175">
        <v>0.46694220229612199</v>
      </c>
      <c r="W175">
        <v>0.73153117908080401</v>
      </c>
      <c r="X175">
        <v>0</v>
      </c>
      <c r="Y175">
        <v>0</v>
      </c>
    </row>
    <row r="176" spans="1:25" x14ac:dyDescent="0.2">
      <c r="A176" t="s">
        <v>664</v>
      </c>
      <c r="B176" t="s">
        <v>665</v>
      </c>
      <c r="C176" t="s">
        <v>14228</v>
      </c>
      <c r="D176" t="s">
        <v>666</v>
      </c>
      <c r="E176" t="s">
        <v>665</v>
      </c>
      <c r="F176" t="s">
        <v>28</v>
      </c>
      <c r="G176" t="s">
        <v>665</v>
      </c>
      <c r="H176" t="str">
        <f>"Y43F8B.1"</f>
        <v>Y43F8B.1</v>
      </c>
      <c r="I176" t="s">
        <v>666</v>
      </c>
      <c r="J176">
        <v>10.7182511004692</v>
      </c>
      <c r="K176">
        <v>11.082651441038299</v>
      </c>
      <c r="L176">
        <v>11.2344068270087</v>
      </c>
      <c r="M176">
        <v>10.899529972119399</v>
      </c>
      <c r="N176">
        <v>10.2374565955274</v>
      </c>
      <c r="O176">
        <v>11.042701111699399</v>
      </c>
      <c r="P176">
        <v>-0.28520722972331197</v>
      </c>
      <c r="Q176">
        <v>-0.99457465431667103</v>
      </c>
      <c r="R176">
        <v>0.42416019487004702</v>
      </c>
      <c r="S176">
        <v>11.483228422795699</v>
      </c>
      <c r="T176">
        <v>-0.85278355927946703</v>
      </c>
      <c r="U176">
        <v>-6.6770088810067501</v>
      </c>
      <c r="V176">
        <v>0.40644645401832502</v>
      </c>
      <c r="W176">
        <v>0.67789685360104002</v>
      </c>
      <c r="X176">
        <v>0</v>
      </c>
      <c r="Y176">
        <v>0</v>
      </c>
    </row>
    <row r="177" spans="1:25" x14ac:dyDescent="0.2">
      <c r="A177" t="s">
        <v>667</v>
      </c>
      <c r="B177" t="s">
        <v>668</v>
      </c>
      <c r="C177" t="s">
        <v>669</v>
      </c>
      <c r="D177" t="s">
        <v>670</v>
      </c>
      <c r="E177" t="s">
        <v>668</v>
      </c>
      <c r="F177" t="s">
        <v>28</v>
      </c>
      <c r="G177" t="s">
        <v>668</v>
      </c>
      <c r="H177" t="str">
        <f>"mcd-1"</f>
        <v>mcd-1</v>
      </c>
      <c r="I177" t="s">
        <v>670</v>
      </c>
      <c r="J177" t="s">
        <v>29</v>
      </c>
      <c r="K177">
        <v>10.671466434401401</v>
      </c>
      <c r="L177">
        <v>10.5652218394284</v>
      </c>
      <c r="M177" t="s">
        <v>29</v>
      </c>
      <c r="N177">
        <v>11.3476731358029</v>
      </c>
      <c r="O177">
        <v>11.204417936233201</v>
      </c>
      <c r="P177">
        <v>0.65770139910314296</v>
      </c>
      <c r="Q177">
        <v>-3.9807082718822401E-3</v>
      </c>
      <c r="R177">
        <v>1.31938350647817</v>
      </c>
      <c r="S177">
        <v>11.597007307001499</v>
      </c>
      <c r="T177">
        <v>2.1491494606570201</v>
      </c>
      <c r="U177">
        <v>-4.7514527788647198</v>
      </c>
      <c r="V177">
        <v>5.1199981042881398E-2</v>
      </c>
      <c r="W177">
        <v>0.22434019978251299</v>
      </c>
      <c r="X177">
        <v>0</v>
      </c>
      <c r="Y177">
        <v>0</v>
      </c>
    </row>
    <row r="178" spans="1:25" x14ac:dyDescent="0.2">
      <c r="A178" t="s">
        <v>671</v>
      </c>
      <c r="B178" t="s">
        <v>672</v>
      </c>
      <c r="C178" t="s">
        <v>673</v>
      </c>
      <c r="D178" t="s">
        <v>674</v>
      </c>
      <c r="E178" t="s">
        <v>672</v>
      </c>
      <c r="F178" t="s">
        <v>28</v>
      </c>
      <c r="G178" t="s">
        <v>672</v>
      </c>
      <c r="H178" t="str">
        <f>"ints-6"</f>
        <v>ints-6</v>
      </c>
      <c r="I178" t="s">
        <v>674</v>
      </c>
      <c r="J178">
        <v>11.3497895333924</v>
      </c>
      <c r="K178" t="s">
        <v>29</v>
      </c>
      <c r="L178">
        <v>11.4652781849937</v>
      </c>
      <c r="M178">
        <v>11.45841733402</v>
      </c>
      <c r="N178">
        <v>11.823862062482799</v>
      </c>
      <c r="O178" t="s">
        <v>29</v>
      </c>
      <c r="P178">
        <v>0.23360583905836299</v>
      </c>
      <c r="Q178">
        <v>-0.53356500772258597</v>
      </c>
      <c r="R178">
        <v>1.0007766858393099</v>
      </c>
      <c r="S178">
        <v>11.502788036708001</v>
      </c>
      <c r="T178">
        <v>0.65838336228007499</v>
      </c>
      <c r="U178">
        <v>-6.6240466609957398</v>
      </c>
      <c r="V178">
        <v>0.52187370340320904</v>
      </c>
      <c r="W178">
        <v>0.766325374943159</v>
      </c>
      <c r="X178">
        <v>0</v>
      </c>
      <c r="Y178">
        <v>0</v>
      </c>
    </row>
    <row r="179" spans="1:25" x14ac:dyDescent="0.2">
      <c r="A179" t="s">
        <v>675</v>
      </c>
      <c r="B179" t="s">
        <v>676</v>
      </c>
      <c r="C179" t="s">
        <v>677</v>
      </c>
      <c r="D179" t="s">
        <v>678</v>
      </c>
      <c r="E179" t="s">
        <v>676</v>
      </c>
      <c r="F179" t="s">
        <v>28</v>
      </c>
      <c r="G179" t="s">
        <v>676</v>
      </c>
      <c r="H179" t="str">
        <f>"shn-1"</f>
        <v>shn-1</v>
      </c>
      <c r="I179" t="s">
        <v>678</v>
      </c>
      <c r="J179">
        <v>13.178429603658801</v>
      </c>
      <c r="K179" t="s">
        <v>29</v>
      </c>
      <c r="L179">
        <v>11.485126343624</v>
      </c>
      <c r="M179" t="s">
        <v>29</v>
      </c>
      <c r="N179" t="s">
        <v>29</v>
      </c>
      <c r="O179" t="s">
        <v>29</v>
      </c>
      <c r="P179" t="s">
        <v>29</v>
      </c>
      <c r="Q179" t="s">
        <v>29</v>
      </c>
      <c r="R179" t="s">
        <v>29</v>
      </c>
      <c r="S179">
        <v>12.161426060652399</v>
      </c>
      <c r="T179" t="s">
        <v>29</v>
      </c>
      <c r="U179" t="s">
        <v>29</v>
      </c>
      <c r="V179" t="s">
        <v>29</v>
      </c>
      <c r="W179" t="s">
        <v>29</v>
      </c>
      <c r="X179" t="s">
        <v>29</v>
      </c>
      <c r="Y179" t="s">
        <v>29</v>
      </c>
    </row>
    <row r="180" spans="1:25" x14ac:dyDescent="0.2">
      <c r="A180" t="s">
        <v>679</v>
      </c>
      <c r="B180" t="s">
        <v>680</v>
      </c>
      <c r="C180" t="s">
        <v>681</v>
      </c>
      <c r="D180" t="s">
        <v>682</v>
      </c>
      <c r="E180" t="s">
        <v>680</v>
      </c>
      <c r="F180" t="s">
        <v>28</v>
      </c>
      <c r="G180" t="s">
        <v>680</v>
      </c>
      <c r="H180" t="str">
        <f>"pyk-1"</f>
        <v>pyk-1</v>
      </c>
      <c r="I180" t="s">
        <v>682</v>
      </c>
      <c r="J180">
        <v>15.5115451111244</v>
      </c>
      <c r="K180">
        <v>14.7824753178155</v>
      </c>
      <c r="L180">
        <v>14.829755570976999</v>
      </c>
      <c r="M180">
        <v>16.165240278776299</v>
      </c>
      <c r="N180">
        <v>14.520102292352799</v>
      </c>
      <c r="O180">
        <v>14.873696182858801</v>
      </c>
      <c r="P180">
        <v>0.145087584690305</v>
      </c>
      <c r="Q180">
        <v>-0.74849467102156397</v>
      </c>
      <c r="R180">
        <v>1.0386698404021699</v>
      </c>
      <c r="S180">
        <v>14.9809767420446</v>
      </c>
      <c r="T180">
        <v>0.34126223277321999</v>
      </c>
      <c r="U180">
        <v>-6.9912532216826202</v>
      </c>
      <c r="V180">
        <v>0.73688046651855299</v>
      </c>
      <c r="W180">
        <v>0.88810989029481802</v>
      </c>
      <c r="X180">
        <v>0</v>
      </c>
      <c r="Y180">
        <v>0</v>
      </c>
    </row>
    <row r="181" spans="1:25" x14ac:dyDescent="0.2">
      <c r="A181" t="s">
        <v>683</v>
      </c>
      <c r="B181" t="s">
        <v>684</v>
      </c>
      <c r="C181" t="s">
        <v>14229</v>
      </c>
      <c r="D181" t="s">
        <v>685</v>
      </c>
      <c r="E181" t="s">
        <v>684</v>
      </c>
      <c r="F181" t="s">
        <v>28</v>
      </c>
      <c r="G181" t="s">
        <v>684</v>
      </c>
      <c r="H181" t="str">
        <f>"Y53C12A.10"</f>
        <v>Y53C12A.10</v>
      </c>
      <c r="I181" t="s">
        <v>685</v>
      </c>
      <c r="J181">
        <v>13.8661493989676</v>
      </c>
      <c r="K181">
        <v>14.1896947576281</v>
      </c>
      <c r="L181">
        <v>14.114637559579901</v>
      </c>
      <c r="M181">
        <v>13.7589821691918</v>
      </c>
      <c r="N181">
        <v>13.5864143669284</v>
      </c>
      <c r="O181">
        <v>13.516777595027801</v>
      </c>
      <c r="P181">
        <v>-0.43610252834250202</v>
      </c>
      <c r="Q181">
        <v>-1.20237094346094</v>
      </c>
      <c r="R181">
        <v>0.330165886775933</v>
      </c>
      <c r="S181">
        <v>13.268945149158199</v>
      </c>
      <c r="T181">
        <v>-1.20713880098939</v>
      </c>
      <c r="U181">
        <v>-6.3168094172257296</v>
      </c>
      <c r="V181">
        <v>0.245036213012233</v>
      </c>
      <c r="W181">
        <v>0.51917993631945203</v>
      </c>
      <c r="X181">
        <v>0</v>
      </c>
      <c r="Y181">
        <v>0</v>
      </c>
    </row>
    <row r="182" spans="1:25" x14ac:dyDescent="0.2">
      <c r="A182" t="s">
        <v>686</v>
      </c>
      <c r="B182" t="s">
        <v>687</v>
      </c>
      <c r="C182" t="s">
        <v>688</v>
      </c>
      <c r="D182" t="s">
        <v>689</v>
      </c>
      <c r="E182" t="s">
        <v>687</v>
      </c>
      <c r="F182" t="s">
        <v>28</v>
      </c>
      <c r="G182" t="s">
        <v>687</v>
      </c>
      <c r="H182" t="str">
        <f>"hrpu-1"</f>
        <v>hrpu-1</v>
      </c>
      <c r="I182" t="s">
        <v>689</v>
      </c>
      <c r="J182" t="s">
        <v>29</v>
      </c>
      <c r="K182">
        <v>10.683481620643599</v>
      </c>
      <c r="L182">
        <v>11.163164087270999</v>
      </c>
      <c r="M182" t="s">
        <v>29</v>
      </c>
      <c r="N182" t="s">
        <v>29</v>
      </c>
      <c r="O182" t="s">
        <v>29</v>
      </c>
      <c r="P182" t="s">
        <v>29</v>
      </c>
      <c r="Q182" t="s">
        <v>29</v>
      </c>
      <c r="R182" t="s">
        <v>29</v>
      </c>
      <c r="S182">
        <v>12.3534092652407</v>
      </c>
      <c r="T182" t="s">
        <v>29</v>
      </c>
      <c r="U182" t="s">
        <v>29</v>
      </c>
      <c r="V182" t="s">
        <v>29</v>
      </c>
      <c r="W182" t="s">
        <v>29</v>
      </c>
      <c r="X182" t="s">
        <v>29</v>
      </c>
      <c r="Y182" t="s">
        <v>29</v>
      </c>
    </row>
    <row r="183" spans="1:25" x14ac:dyDescent="0.2">
      <c r="A183" t="s">
        <v>690</v>
      </c>
      <c r="B183" t="s">
        <v>691</v>
      </c>
      <c r="C183" t="s">
        <v>692</v>
      </c>
      <c r="D183" t="s">
        <v>130</v>
      </c>
      <c r="E183" t="s">
        <v>691</v>
      </c>
      <c r="F183" t="s">
        <v>28</v>
      </c>
      <c r="G183" t="s">
        <v>691</v>
      </c>
      <c r="H183" t="str">
        <f>"ztf-18"</f>
        <v>ztf-18</v>
      </c>
      <c r="I183" t="s">
        <v>130</v>
      </c>
      <c r="J183" t="s">
        <v>29</v>
      </c>
      <c r="K183">
        <v>11.508327310771101</v>
      </c>
      <c r="L183" t="s">
        <v>29</v>
      </c>
      <c r="M183" t="s">
        <v>29</v>
      </c>
      <c r="N183">
        <v>13.597260316668899</v>
      </c>
      <c r="O183" t="s">
        <v>29</v>
      </c>
      <c r="P183">
        <v>2.0889330058978399</v>
      </c>
      <c r="Q183">
        <v>0.51436886452991604</v>
      </c>
      <c r="R183">
        <v>3.6634971472657698</v>
      </c>
      <c r="S183">
        <v>12.783393341002601</v>
      </c>
      <c r="T183">
        <v>2.9234242728923601</v>
      </c>
      <c r="U183">
        <v>-3.1663035668727502</v>
      </c>
      <c r="V183">
        <v>1.3981065072944899E-2</v>
      </c>
      <c r="W183">
        <v>0.109099246396553</v>
      </c>
      <c r="X183">
        <v>1</v>
      </c>
      <c r="Y183">
        <v>0</v>
      </c>
    </row>
    <row r="184" spans="1:25" x14ac:dyDescent="0.2">
      <c r="A184" t="s">
        <v>693</v>
      </c>
      <c r="B184" t="s">
        <v>694</v>
      </c>
      <c r="C184" t="s">
        <v>695</v>
      </c>
      <c r="D184" t="s">
        <v>696</v>
      </c>
      <c r="E184" t="s">
        <v>694</v>
      </c>
      <c r="F184" t="s">
        <v>28</v>
      </c>
      <c r="G184" t="s">
        <v>694</v>
      </c>
      <c r="H184" t="str">
        <f>"wars-2"</f>
        <v>wars-2</v>
      </c>
      <c r="I184" t="s">
        <v>696</v>
      </c>
      <c r="J184" t="s">
        <v>29</v>
      </c>
      <c r="K184">
        <v>9.6540454100667894</v>
      </c>
      <c r="L184" t="s">
        <v>29</v>
      </c>
      <c r="M184" t="s">
        <v>29</v>
      </c>
      <c r="N184" t="s">
        <v>29</v>
      </c>
      <c r="O184" t="s">
        <v>29</v>
      </c>
      <c r="P184" t="s">
        <v>29</v>
      </c>
      <c r="Q184" t="s">
        <v>29</v>
      </c>
      <c r="R184" t="s">
        <v>29</v>
      </c>
      <c r="S184">
        <v>10.3816905931993</v>
      </c>
      <c r="T184" t="s">
        <v>29</v>
      </c>
      <c r="U184" t="s">
        <v>29</v>
      </c>
      <c r="V184" t="s">
        <v>29</v>
      </c>
      <c r="W184" t="s">
        <v>29</v>
      </c>
      <c r="X184" t="s">
        <v>29</v>
      </c>
      <c r="Y184" t="s">
        <v>29</v>
      </c>
    </row>
    <row r="185" spans="1:25" x14ac:dyDescent="0.2">
      <c r="A185" t="s">
        <v>697</v>
      </c>
      <c r="B185" t="s">
        <v>698</v>
      </c>
      <c r="C185" t="s">
        <v>699</v>
      </c>
      <c r="D185" t="s">
        <v>700</v>
      </c>
      <c r="E185" t="s">
        <v>698</v>
      </c>
      <c r="F185" t="s">
        <v>28</v>
      </c>
      <c r="G185" t="s">
        <v>701</v>
      </c>
      <c r="H185" t="str">
        <f>"vha-2"</f>
        <v>vha-2</v>
      </c>
      <c r="I185" t="s">
        <v>702</v>
      </c>
      <c r="J185">
        <v>15.292373885452101</v>
      </c>
      <c r="K185">
        <v>15.6223166964692</v>
      </c>
      <c r="L185">
        <v>16.1259357773319</v>
      </c>
      <c r="M185">
        <v>16.125573016423498</v>
      </c>
      <c r="N185">
        <v>16.250147610358901</v>
      </c>
      <c r="O185">
        <v>16.589192359017499</v>
      </c>
      <c r="P185">
        <v>0.64142887551556205</v>
      </c>
      <c r="Q185">
        <v>9.0607594267893804E-2</v>
      </c>
      <c r="R185">
        <v>1.19225015676323</v>
      </c>
      <c r="S185">
        <v>15.7452637148319</v>
      </c>
      <c r="T185">
        <v>2.44754287847435</v>
      </c>
      <c r="U185">
        <v>-4.3473274771516799</v>
      </c>
      <c r="V185">
        <v>2.4936032067882499E-2</v>
      </c>
      <c r="W185">
        <v>0.154262069104353</v>
      </c>
      <c r="X185">
        <v>0</v>
      </c>
      <c r="Y185">
        <v>0</v>
      </c>
    </row>
    <row r="186" spans="1:25" x14ac:dyDescent="0.2">
      <c r="A186" t="s">
        <v>703</v>
      </c>
      <c r="B186" t="s">
        <v>704</v>
      </c>
      <c r="C186" t="s">
        <v>705</v>
      </c>
      <c r="D186" t="s">
        <v>706</v>
      </c>
      <c r="E186" t="s">
        <v>704</v>
      </c>
      <c r="F186" t="s">
        <v>28</v>
      </c>
      <c r="G186" t="s">
        <v>704</v>
      </c>
      <c r="H186" t="str">
        <f>"mrpl-46"</f>
        <v>mrpl-46</v>
      </c>
      <c r="I186" t="s">
        <v>706</v>
      </c>
      <c r="J186">
        <v>15.068567680621999</v>
      </c>
      <c r="K186">
        <v>15.0048844026221</v>
      </c>
      <c r="L186">
        <v>15.170048140534</v>
      </c>
      <c r="M186">
        <v>14.2870827230717</v>
      </c>
      <c r="N186">
        <v>14.707757469515199</v>
      </c>
      <c r="O186">
        <v>14.741519963705599</v>
      </c>
      <c r="P186">
        <v>-0.50238002249524505</v>
      </c>
      <c r="Q186">
        <v>-0.98654525406663596</v>
      </c>
      <c r="R186">
        <v>-1.8214790923855102E-2</v>
      </c>
      <c r="S186">
        <v>14.843908713755599</v>
      </c>
      <c r="T186">
        <v>-2.1902252182460602</v>
      </c>
      <c r="U186">
        <v>-4.8344760073498101</v>
      </c>
      <c r="V186">
        <v>4.2830041095930797E-2</v>
      </c>
      <c r="W186">
        <v>0.205058557776125</v>
      </c>
      <c r="X186">
        <v>0</v>
      </c>
      <c r="Y186">
        <v>0</v>
      </c>
    </row>
    <row r="187" spans="1:25" x14ac:dyDescent="0.2">
      <c r="A187" t="s">
        <v>707</v>
      </c>
      <c r="B187" t="s">
        <v>708</v>
      </c>
      <c r="C187" t="s">
        <v>14230</v>
      </c>
      <c r="D187" t="s">
        <v>368</v>
      </c>
      <c r="E187" t="s">
        <v>708</v>
      </c>
      <c r="F187" t="s">
        <v>28</v>
      </c>
      <c r="G187" t="s">
        <v>708</v>
      </c>
      <c r="H187" t="str">
        <f>"F40G9.5"</f>
        <v>F40G9.5</v>
      </c>
      <c r="I187" t="s">
        <v>368</v>
      </c>
      <c r="J187">
        <v>12.8290064192574</v>
      </c>
      <c r="K187">
        <v>12.693469575200499</v>
      </c>
      <c r="L187">
        <v>12.5909815294156</v>
      </c>
      <c r="M187">
        <v>12.5135412627337</v>
      </c>
      <c r="N187">
        <v>12.731035522979299</v>
      </c>
      <c r="O187">
        <v>12.4138412225177</v>
      </c>
      <c r="P187">
        <v>-0.151679838547608</v>
      </c>
      <c r="Q187">
        <v>-0.67922960412686695</v>
      </c>
      <c r="R187">
        <v>0.37586992703165101</v>
      </c>
      <c r="S187">
        <v>12.4145795259391</v>
      </c>
      <c r="T187">
        <v>-0.60689622551270905</v>
      </c>
      <c r="U187">
        <v>-6.8605527752414899</v>
      </c>
      <c r="V187">
        <v>0.55198908062667396</v>
      </c>
      <c r="W187">
        <v>0.78026605923509895</v>
      </c>
      <c r="X187">
        <v>0</v>
      </c>
      <c r="Y187">
        <v>0</v>
      </c>
    </row>
    <row r="188" spans="1:25" x14ac:dyDescent="0.2">
      <c r="A188" t="s">
        <v>709</v>
      </c>
      <c r="B188" t="s">
        <v>710</v>
      </c>
      <c r="C188" t="s">
        <v>711</v>
      </c>
      <c r="D188" t="s">
        <v>308</v>
      </c>
      <c r="E188" t="s">
        <v>710</v>
      </c>
      <c r="F188" t="s">
        <v>28</v>
      </c>
      <c r="G188" t="s">
        <v>710</v>
      </c>
      <c r="H188" t="str">
        <f>"dnj-16"</f>
        <v>dnj-16</v>
      </c>
      <c r="I188" t="s">
        <v>308</v>
      </c>
      <c r="J188" t="s">
        <v>29</v>
      </c>
      <c r="K188" t="s">
        <v>29</v>
      </c>
      <c r="L188" t="s">
        <v>29</v>
      </c>
      <c r="M188">
        <v>13.234147686341499</v>
      </c>
      <c r="N188">
        <v>11.858583796120699</v>
      </c>
      <c r="O188">
        <v>12.2378071409497</v>
      </c>
      <c r="P188" t="s">
        <v>29</v>
      </c>
      <c r="Q188" t="s">
        <v>29</v>
      </c>
      <c r="R188" t="s">
        <v>29</v>
      </c>
      <c r="S188">
        <v>12.022282923342299</v>
      </c>
      <c r="T188" t="s">
        <v>29</v>
      </c>
      <c r="U188" t="s">
        <v>29</v>
      </c>
      <c r="V188" t="s">
        <v>29</v>
      </c>
      <c r="W188" t="s">
        <v>29</v>
      </c>
      <c r="X188" t="s">
        <v>29</v>
      </c>
      <c r="Y188" t="s">
        <v>29</v>
      </c>
    </row>
    <row r="189" spans="1:25" x14ac:dyDescent="0.2">
      <c r="A189" t="s">
        <v>712</v>
      </c>
      <c r="B189" t="s">
        <v>713</v>
      </c>
      <c r="C189" t="s">
        <v>714</v>
      </c>
      <c r="D189" t="s">
        <v>93</v>
      </c>
      <c r="E189" t="s">
        <v>713</v>
      </c>
      <c r="F189" t="s">
        <v>28</v>
      </c>
      <c r="G189" t="s">
        <v>713</v>
      </c>
      <c r="H189" t="str">
        <f>"cfim-2"</f>
        <v>cfim-2</v>
      </c>
      <c r="I189" t="s">
        <v>93</v>
      </c>
      <c r="J189">
        <v>11.9931854477384</v>
      </c>
      <c r="K189">
        <v>12.985910388092</v>
      </c>
      <c r="L189">
        <v>12.901469719962201</v>
      </c>
      <c r="M189">
        <v>12.0657428148173</v>
      </c>
      <c r="N189">
        <v>11.8040291574723</v>
      </c>
      <c r="O189">
        <v>11.9501034339082</v>
      </c>
      <c r="P189">
        <v>-0.68689671653158502</v>
      </c>
      <c r="Q189">
        <v>-1.2950842282844299</v>
      </c>
      <c r="R189">
        <v>-7.8709204778739703E-2</v>
      </c>
      <c r="S189">
        <v>12.777832198747401</v>
      </c>
      <c r="T189">
        <v>-2.3839873974347401</v>
      </c>
      <c r="U189">
        <v>-4.4796032942471404</v>
      </c>
      <c r="V189">
        <v>2.9131013499625599E-2</v>
      </c>
      <c r="W189">
        <v>0.16822941267366101</v>
      </c>
      <c r="X189">
        <v>0</v>
      </c>
      <c r="Y189">
        <v>0</v>
      </c>
    </row>
    <row r="190" spans="1:25" x14ac:dyDescent="0.2">
      <c r="A190" t="s">
        <v>715</v>
      </c>
      <c r="B190" t="s">
        <v>716</v>
      </c>
      <c r="C190" t="s">
        <v>717</v>
      </c>
      <c r="D190" t="s">
        <v>718</v>
      </c>
      <c r="E190" t="s">
        <v>716</v>
      </c>
      <c r="F190" t="s">
        <v>28</v>
      </c>
      <c r="G190" t="s">
        <v>716</v>
      </c>
      <c r="H190" t="str">
        <f>"thoc-5"</f>
        <v>thoc-5</v>
      </c>
      <c r="I190" t="s">
        <v>718</v>
      </c>
      <c r="J190">
        <v>13.220205358242101</v>
      </c>
      <c r="K190">
        <v>13.306239019002501</v>
      </c>
      <c r="L190">
        <v>13.450658026659999</v>
      </c>
      <c r="M190">
        <v>13.9900534121776</v>
      </c>
      <c r="N190">
        <v>14.4706249900728</v>
      </c>
      <c r="O190">
        <v>14.2194180930331</v>
      </c>
      <c r="P190">
        <v>0.90099803045965698</v>
      </c>
      <c r="Q190">
        <v>0.54263873607898305</v>
      </c>
      <c r="R190">
        <v>1.25935732484033</v>
      </c>
      <c r="S190">
        <v>13.543802373772801</v>
      </c>
      <c r="T190">
        <v>5.2844243126432202</v>
      </c>
      <c r="U190">
        <v>1.7228364693160301</v>
      </c>
      <c r="V190" s="2">
        <v>5.1339683777901797E-5</v>
      </c>
      <c r="W190">
        <v>1.7851387209320501E-3</v>
      </c>
      <c r="X190">
        <v>0</v>
      </c>
      <c r="Y190">
        <v>0</v>
      </c>
    </row>
    <row r="191" spans="1:25" x14ac:dyDescent="0.2">
      <c r="A191" t="s">
        <v>719</v>
      </c>
      <c r="B191" t="s">
        <v>720</v>
      </c>
      <c r="C191" t="s">
        <v>721</v>
      </c>
      <c r="D191" t="s">
        <v>304</v>
      </c>
      <c r="E191" t="s">
        <v>720</v>
      </c>
      <c r="F191" t="s">
        <v>28</v>
      </c>
      <c r="G191" t="s">
        <v>720</v>
      </c>
      <c r="H191" t="str">
        <f>"smg-3"</f>
        <v>smg-3</v>
      </c>
      <c r="I191" t="s">
        <v>304</v>
      </c>
      <c r="J191">
        <v>12.7079632612773</v>
      </c>
      <c r="K191">
        <v>12.254736698743001</v>
      </c>
      <c r="L191">
        <v>12.554194841900101</v>
      </c>
      <c r="M191">
        <v>12.7148608228666</v>
      </c>
      <c r="N191">
        <v>12.780775020007701</v>
      </c>
      <c r="O191">
        <v>12.2037979918915</v>
      </c>
      <c r="P191">
        <v>6.08463442817904E-2</v>
      </c>
      <c r="Q191">
        <v>-0.33247480944398</v>
      </c>
      <c r="R191">
        <v>0.45416749800756101</v>
      </c>
      <c r="S191">
        <v>12.464438717969699</v>
      </c>
      <c r="T191">
        <v>0.32812303190862102</v>
      </c>
      <c r="U191">
        <v>-6.9954804421159604</v>
      </c>
      <c r="V191">
        <v>0.74710125149373297</v>
      </c>
      <c r="W191">
        <v>0.89235361033480298</v>
      </c>
      <c r="X191">
        <v>0</v>
      </c>
      <c r="Y191">
        <v>0</v>
      </c>
    </row>
    <row r="192" spans="1:25" x14ac:dyDescent="0.2">
      <c r="A192" t="s">
        <v>722</v>
      </c>
      <c r="B192" t="s">
        <v>723</v>
      </c>
      <c r="C192" t="s">
        <v>724</v>
      </c>
      <c r="D192" t="s">
        <v>725</v>
      </c>
      <c r="E192" t="s">
        <v>723</v>
      </c>
      <c r="F192" t="s">
        <v>28</v>
      </c>
      <c r="G192" t="s">
        <v>723</v>
      </c>
      <c r="H192" t="str">
        <f>"sao-1"</f>
        <v>sao-1</v>
      </c>
      <c r="I192" t="s">
        <v>725</v>
      </c>
      <c r="J192">
        <v>13.551506205368399</v>
      </c>
      <c r="K192">
        <v>13.3271287236505</v>
      </c>
      <c r="L192">
        <v>14.184705689855701</v>
      </c>
      <c r="M192">
        <v>12.693740170261499</v>
      </c>
      <c r="N192">
        <v>12.168276598856099</v>
      </c>
      <c r="O192">
        <v>12.4534854404023</v>
      </c>
      <c r="P192">
        <v>-1.2492794697848899</v>
      </c>
      <c r="Q192">
        <v>-2.3595804167622201</v>
      </c>
      <c r="R192">
        <v>-0.13897852280756201</v>
      </c>
      <c r="S192">
        <v>14.139569357686399</v>
      </c>
      <c r="T192">
        <v>-2.3648925106240801</v>
      </c>
      <c r="U192">
        <v>-4.50443705496349</v>
      </c>
      <c r="V192">
        <v>2.9542742982011299E-2</v>
      </c>
      <c r="W192">
        <v>0.168402971180802</v>
      </c>
      <c r="X192">
        <v>-1</v>
      </c>
      <c r="Y192">
        <v>0</v>
      </c>
    </row>
    <row r="193" spans="1:25" x14ac:dyDescent="0.2">
      <c r="A193" t="s">
        <v>726</v>
      </c>
      <c r="B193" t="s">
        <v>727</v>
      </c>
      <c r="C193" t="s">
        <v>14231</v>
      </c>
      <c r="D193" t="s">
        <v>514</v>
      </c>
      <c r="E193" t="s">
        <v>727</v>
      </c>
      <c r="F193" t="s">
        <v>28</v>
      </c>
      <c r="G193" t="s">
        <v>727</v>
      </c>
      <c r="H193" t="str">
        <f>"W02D9.2"</f>
        <v>W02D9.2</v>
      </c>
      <c r="I193" t="s">
        <v>514</v>
      </c>
      <c r="J193">
        <v>11.795457107000001</v>
      </c>
      <c r="K193" t="s">
        <v>29</v>
      </c>
      <c r="L193" t="s">
        <v>29</v>
      </c>
      <c r="M193" t="s">
        <v>29</v>
      </c>
      <c r="N193">
        <v>11.7709466035323</v>
      </c>
      <c r="O193" t="s">
        <v>29</v>
      </c>
      <c r="P193">
        <v>-2.4510503467754002E-2</v>
      </c>
      <c r="Q193">
        <v>-0.80669993100625104</v>
      </c>
      <c r="R193">
        <v>0.757678924070743</v>
      </c>
      <c r="S193">
        <v>11.591384227472201</v>
      </c>
      <c r="T193">
        <v>-6.9920927577717507E-2</v>
      </c>
      <c r="U193">
        <v>-6.5074380351417904</v>
      </c>
      <c r="V193">
        <v>0.94564947313986303</v>
      </c>
      <c r="W193">
        <v>0.97576384643441005</v>
      </c>
      <c r="X193">
        <v>0</v>
      </c>
      <c r="Y193">
        <v>0</v>
      </c>
    </row>
    <row r="194" spans="1:25" x14ac:dyDescent="0.2">
      <c r="A194" t="s">
        <v>728</v>
      </c>
      <c r="B194" t="s">
        <v>729</v>
      </c>
      <c r="C194" t="s">
        <v>14232</v>
      </c>
      <c r="D194" t="s">
        <v>730</v>
      </c>
      <c r="E194" t="s">
        <v>729</v>
      </c>
      <c r="F194" t="s">
        <v>28</v>
      </c>
      <c r="G194" t="s">
        <v>729</v>
      </c>
      <c r="H194" t="str">
        <f>"D1086.11"</f>
        <v>D1086.11</v>
      </c>
      <c r="I194" t="s">
        <v>730</v>
      </c>
      <c r="J194" t="s">
        <v>29</v>
      </c>
      <c r="K194" t="s">
        <v>29</v>
      </c>
      <c r="L194">
        <v>11.544403435268199</v>
      </c>
      <c r="M194">
        <v>9.8749509374426108</v>
      </c>
      <c r="N194">
        <v>10.8295256297116</v>
      </c>
      <c r="O194" t="s">
        <v>29</v>
      </c>
      <c r="P194">
        <v>-1.1921651516910401</v>
      </c>
      <c r="Q194">
        <v>-3.06583869841733</v>
      </c>
      <c r="R194">
        <v>0.68150839503524996</v>
      </c>
      <c r="S194">
        <v>11.508017701391401</v>
      </c>
      <c r="T194">
        <v>-1.3570132973387401</v>
      </c>
      <c r="U194">
        <v>-5.7408567973633202</v>
      </c>
      <c r="V194">
        <v>0.19498625791733001</v>
      </c>
      <c r="W194">
        <v>0.45657835652040002</v>
      </c>
      <c r="X194">
        <v>0</v>
      </c>
      <c r="Y194">
        <v>0</v>
      </c>
    </row>
    <row r="195" spans="1:25" x14ac:dyDescent="0.2">
      <c r="A195" t="s">
        <v>731</v>
      </c>
      <c r="B195" t="s">
        <v>732</v>
      </c>
      <c r="C195" t="s">
        <v>733</v>
      </c>
      <c r="D195" t="s">
        <v>734</v>
      </c>
      <c r="E195" t="s">
        <v>732</v>
      </c>
      <c r="F195" t="s">
        <v>28</v>
      </c>
      <c r="G195" t="s">
        <v>732</v>
      </c>
      <c r="H195" t="str">
        <f>"tspo-1"</f>
        <v>tspo-1</v>
      </c>
      <c r="I195" t="s">
        <v>734</v>
      </c>
      <c r="J195">
        <v>14.133937834789901</v>
      </c>
      <c r="K195">
        <v>14.330766256709801</v>
      </c>
      <c r="L195">
        <v>14.618223442207199</v>
      </c>
      <c r="M195">
        <v>14.431616341503799</v>
      </c>
      <c r="N195">
        <v>13.656380555345899</v>
      </c>
      <c r="O195">
        <v>12.922087024271701</v>
      </c>
      <c r="P195">
        <v>-0.69094787086180698</v>
      </c>
      <c r="Q195">
        <v>-1.7595398209575299</v>
      </c>
      <c r="R195">
        <v>0.37764407923391602</v>
      </c>
      <c r="S195">
        <v>14.0089447380224</v>
      </c>
      <c r="T195">
        <v>-1.36484520341983</v>
      </c>
      <c r="U195">
        <v>-6.1234905661314798</v>
      </c>
      <c r="V195">
        <v>0.190203808253359</v>
      </c>
      <c r="W195">
        <v>0.45176875332586203</v>
      </c>
      <c r="X195">
        <v>0</v>
      </c>
      <c r="Y195">
        <v>0</v>
      </c>
    </row>
    <row r="196" spans="1:25" x14ac:dyDescent="0.2">
      <c r="A196" t="s">
        <v>735</v>
      </c>
      <c r="B196" t="s">
        <v>736</v>
      </c>
      <c r="C196" t="s">
        <v>14233</v>
      </c>
      <c r="D196" t="s">
        <v>737</v>
      </c>
      <c r="E196" t="s">
        <v>736</v>
      </c>
      <c r="F196" t="s">
        <v>28</v>
      </c>
      <c r="G196" t="s">
        <v>736</v>
      </c>
      <c r="H196" t="str">
        <f>"H06I04.6"</f>
        <v>H06I04.6</v>
      </c>
      <c r="I196" t="s">
        <v>737</v>
      </c>
      <c r="J196">
        <v>12.3189994534217</v>
      </c>
      <c r="K196" t="s">
        <v>29</v>
      </c>
      <c r="L196">
        <v>12.927378813190799</v>
      </c>
      <c r="M196">
        <v>13.328637885177701</v>
      </c>
      <c r="N196">
        <v>13.2810779618578</v>
      </c>
      <c r="O196">
        <v>12.6070636079002</v>
      </c>
      <c r="P196">
        <v>0.44907068500562303</v>
      </c>
      <c r="Q196">
        <v>-0.21387980001821399</v>
      </c>
      <c r="R196">
        <v>1.11202117002946</v>
      </c>
      <c r="S196">
        <v>13.158261907745199</v>
      </c>
      <c r="T196">
        <v>1.46460616309225</v>
      </c>
      <c r="U196">
        <v>-5.8829427398876604</v>
      </c>
      <c r="V196">
        <v>0.16697956846680301</v>
      </c>
      <c r="W196">
        <v>0.423831135562383</v>
      </c>
      <c r="X196">
        <v>0</v>
      </c>
      <c r="Y196">
        <v>0</v>
      </c>
    </row>
    <row r="197" spans="1:25" x14ac:dyDescent="0.2">
      <c r="A197" t="s">
        <v>738</v>
      </c>
      <c r="B197" t="s">
        <v>739</v>
      </c>
      <c r="C197" t="s">
        <v>740</v>
      </c>
      <c r="D197" t="s">
        <v>741</v>
      </c>
      <c r="E197" t="s">
        <v>739</v>
      </c>
      <c r="F197" t="s">
        <v>28</v>
      </c>
      <c r="G197" t="s">
        <v>739</v>
      </c>
      <c r="H197" t="str">
        <f>"pqn-41"</f>
        <v>pqn-41</v>
      </c>
      <c r="I197" t="s">
        <v>741</v>
      </c>
      <c r="J197">
        <v>11.0031757699834</v>
      </c>
      <c r="K197">
        <v>11.397350079688801</v>
      </c>
      <c r="L197" t="s">
        <v>29</v>
      </c>
      <c r="M197" t="s">
        <v>29</v>
      </c>
      <c r="N197" t="s">
        <v>29</v>
      </c>
      <c r="O197" t="s">
        <v>29</v>
      </c>
      <c r="P197" t="s">
        <v>29</v>
      </c>
      <c r="Q197" t="s">
        <v>29</v>
      </c>
      <c r="R197" t="s">
        <v>29</v>
      </c>
      <c r="S197">
        <v>11.277108912738999</v>
      </c>
      <c r="T197" t="s">
        <v>29</v>
      </c>
      <c r="U197" t="s">
        <v>29</v>
      </c>
      <c r="V197" t="s">
        <v>29</v>
      </c>
      <c r="W197" t="s">
        <v>29</v>
      </c>
      <c r="X197" t="s">
        <v>29</v>
      </c>
      <c r="Y197" t="s">
        <v>29</v>
      </c>
    </row>
    <row r="198" spans="1:25" x14ac:dyDescent="0.2">
      <c r="A198" t="s">
        <v>742</v>
      </c>
      <c r="B198" t="s">
        <v>743</v>
      </c>
      <c r="C198" t="s">
        <v>744</v>
      </c>
      <c r="D198" t="s">
        <v>745</v>
      </c>
      <c r="E198" t="s">
        <v>743</v>
      </c>
      <c r="F198" t="s">
        <v>28</v>
      </c>
      <c r="G198" t="s">
        <v>743</v>
      </c>
      <c r="H198" t="str">
        <f>"pola-1"</f>
        <v>pola-1</v>
      </c>
      <c r="I198" t="s">
        <v>745</v>
      </c>
      <c r="J198">
        <v>13.3792555802676</v>
      </c>
      <c r="K198">
        <v>13.350241392625</v>
      </c>
      <c r="L198">
        <v>13.2180346670449</v>
      </c>
      <c r="M198">
        <v>13.7641931314747</v>
      </c>
      <c r="N198">
        <v>13.275933728960201</v>
      </c>
      <c r="O198">
        <v>13.238461657497901</v>
      </c>
      <c r="P198">
        <v>0.11035229266504</v>
      </c>
      <c r="Q198">
        <v>-0.30309986385093701</v>
      </c>
      <c r="R198">
        <v>0.52380444918101599</v>
      </c>
      <c r="S198">
        <v>13.452940607277499</v>
      </c>
      <c r="T198">
        <v>0.566116259837255</v>
      </c>
      <c r="U198">
        <v>-6.8847063463413098</v>
      </c>
      <c r="V198">
        <v>0.57922041360042098</v>
      </c>
      <c r="W198">
        <v>0.79931434514663702</v>
      </c>
      <c r="X198">
        <v>0</v>
      </c>
      <c r="Y198">
        <v>0</v>
      </c>
    </row>
    <row r="199" spans="1:25" x14ac:dyDescent="0.2">
      <c r="A199" t="s">
        <v>746</v>
      </c>
      <c r="B199" t="s">
        <v>747</v>
      </c>
      <c r="C199" t="s">
        <v>14234</v>
      </c>
      <c r="D199" t="s">
        <v>368</v>
      </c>
      <c r="E199" t="s">
        <v>747</v>
      </c>
      <c r="F199" t="s">
        <v>28</v>
      </c>
      <c r="G199" t="s">
        <v>747</v>
      </c>
      <c r="H199" t="str">
        <f>"ZK1058.9"</f>
        <v>ZK1058.9</v>
      </c>
      <c r="I199" t="s">
        <v>368</v>
      </c>
      <c r="J199">
        <v>14.792740023764299</v>
      </c>
      <c r="K199">
        <v>14.999037109270001</v>
      </c>
      <c r="L199">
        <v>15.479583782748101</v>
      </c>
      <c r="M199">
        <v>15.268794801135799</v>
      </c>
      <c r="N199">
        <v>14.6902705137936</v>
      </c>
      <c r="O199">
        <v>15.319439771871201</v>
      </c>
      <c r="P199">
        <v>2.3813903394049899E-3</v>
      </c>
      <c r="Q199">
        <v>-0.50729213561172903</v>
      </c>
      <c r="R199">
        <v>0.51205491629053901</v>
      </c>
      <c r="S199">
        <v>15.343523609172401</v>
      </c>
      <c r="T199">
        <v>9.8204417754321899E-3</v>
      </c>
      <c r="U199">
        <v>-7.0520359012532596</v>
      </c>
      <c r="V199">
        <v>0.99227320083872605</v>
      </c>
      <c r="W199">
        <v>0.99594601959568696</v>
      </c>
      <c r="X199">
        <v>0</v>
      </c>
      <c r="Y199">
        <v>0</v>
      </c>
    </row>
    <row r="200" spans="1:25" x14ac:dyDescent="0.2">
      <c r="A200" t="s">
        <v>748</v>
      </c>
      <c r="B200" t="s">
        <v>749</v>
      </c>
      <c r="C200" t="s">
        <v>14235</v>
      </c>
      <c r="D200" t="s">
        <v>750</v>
      </c>
      <c r="E200" t="s">
        <v>749</v>
      </c>
      <c r="F200" t="s">
        <v>28</v>
      </c>
      <c r="G200" t="s">
        <v>749</v>
      </c>
      <c r="H200" t="str">
        <f>"Y116A8C.10"</f>
        <v>Y116A8C.10</v>
      </c>
      <c r="I200" t="s">
        <v>750</v>
      </c>
      <c r="J200" t="s">
        <v>29</v>
      </c>
      <c r="K200" t="s">
        <v>29</v>
      </c>
      <c r="L200" t="s">
        <v>29</v>
      </c>
      <c r="M200" t="s">
        <v>29</v>
      </c>
      <c r="N200">
        <v>11.185728894151801</v>
      </c>
      <c r="O200">
        <v>9.5331658727955109</v>
      </c>
      <c r="P200" t="s">
        <v>29</v>
      </c>
      <c r="Q200" t="s">
        <v>29</v>
      </c>
      <c r="R200" t="s">
        <v>29</v>
      </c>
      <c r="S200">
        <v>10.8588080997971</v>
      </c>
      <c r="T200" t="s">
        <v>29</v>
      </c>
      <c r="U200" t="s">
        <v>29</v>
      </c>
      <c r="V200" t="s">
        <v>29</v>
      </c>
      <c r="W200" t="s">
        <v>29</v>
      </c>
      <c r="X200" t="s">
        <v>29</v>
      </c>
      <c r="Y200" t="s">
        <v>29</v>
      </c>
    </row>
    <row r="201" spans="1:25" x14ac:dyDescent="0.2">
      <c r="A201" t="s">
        <v>751</v>
      </c>
      <c r="B201" t="s">
        <v>752</v>
      </c>
      <c r="C201" t="s">
        <v>753</v>
      </c>
      <c r="D201" t="s">
        <v>754</v>
      </c>
      <c r="E201" t="s">
        <v>752</v>
      </c>
      <c r="F201" t="s">
        <v>28</v>
      </c>
      <c r="G201" t="s">
        <v>752</v>
      </c>
      <c r="H201" t="str">
        <f>"laf-1"</f>
        <v>laf-1</v>
      </c>
      <c r="I201" t="s">
        <v>754</v>
      </c>
      <c r="J201">
        <v>18.203558081856801</v>
      </c>
      <c r="K201">
        <v>18.609690555733</v>
      </c>
      <c r="L201">
        <v>18.855208178549699</v>
      </c>
      <c r="M201">
        <v>18.189563597019699</v>
      </c>
      <c r="N201">
        <v>17.932967775693001</v>
      </c>
      <c r="O201">
        <v>18.476919543149702</v>
      </c>
      <c r="P201">
        <v>-0.35633530009237502</v>
      </c>
      <c r="Q201">
        <v>-0.80482669689453101</v>
      </c>
      <c r="R201">
        <v>9.2156096709780505E-2</v>
      </c>
      <c r="S201">
        <v>18.776394295197299</v>
      </c>
      <c r="T201">
        <v>-1.6699260675369101</v>
      </c>
      <c r="U201">
        <v>-5.6946826374974604</v>
      </c>
      <c r="V201">
        <v>0.112332465623454</v>
      </c>
      <c r="W201">
        <v>0.34411407745613198</v>
      </c>
      <c r="X201">
        <v>0</v>
      </c>
      <c r="Y201">
        <v>0</v>
      </c>
    </row>
    <row r="202" spans="1:25" x14ac:dyDescent="0.2">
      <c r="A202" t="s">
        <v>755</v>
      </c>
      <c r="B202" t="s">
        <v>756</v>
      </c>
      <c r="C202" t="s">
        <v>757</v>
      </c>
      <c r="D202" t="s">
        <v>758</v>
      </c>
      <c r="E202" t="s">
        <v>756</v>
      </c>
      <c r="F202" t="s">
        <v>28</v>
      </c>
      <c r="G202" t="s">
        <v>756</v>
      </c>
      <c r="H202" t="str">
        <f>"fln-2"</f>
        <v>fln-2</v>
      </c>
      <c r="I202" t="s">
        <v>758</v>
      </c>
      <c r="J202">
        <v>14.478208477083299</v>
      </c>
      <c r="K202">
        <v>14.9566417813509</v>
      </c>
      <c r="L202">
        <v>14.925909545466199</v>
      </c>
      <c r="M202">
        <v>17.581822538089799</v>
      </c>
      <c r="N202">
        <v>17.209159844062999</v>
      </c>
      <c r="O202">
        <v>17.041804890030701</v>
      </c>
      <c r="P202">
        <v>2.4906758227610499</v>
      </c>
      <c r="Q202">
        <v>1.8520917134552299</v>
      </c>
      <c r="R202">
        <v>3.1292599320668701</v>
      </c>
      <c r="S202">
        <v>15.883805864123</v>
      </c>
      <c r="T202">
        <v>8.1976922600471607</v>
      </c>
      <c r="U202">
        <v>7.4221503057698399</v>
      </c>
      <c r="V202" s="2">
        <v>1.8030924826903699E-7</v>
      </c>
      <c r="W202" s="2">
        <v>1.52481659243968E-5</v>
      </c>
      <c r="X202">
        <v>1</v>
      </c>
      <c r="Y202">
        <v>1</v>
      </c>
    </row>
    <row r="203" spans="1:25" x14ac:dyDescent="0.2">
      <c r="A203" t="s">
        <v>759</v>
      </c>
      <c r="B203" t="s">
        <v>760</v>
      </c>
      <c r="C203" t="s">
        <v>761</v>
      </c>
      <c r="D203" t="s">
        <v>762</v>
      </c>
      <c r="E203" t="s">
        <v>760</v>
      </c>
      <c r="F203" t="s">
        <v>28</v>
      </c>
      <c r="G203" t="s">
        <v>760</v>
      </c>
      <c r="H203" t="str">
        <f>"tdp-1"</f>
        <v>tdp-1</v>
      </c>
      <c r="I203" t="s">
        <v>762</v>
      </c>
      <c r="J203">
        <v>13.483921303622999</v>
      </c>
      <c r="K203">
        <v>13.977061643172901</v>
      </c>
      <c r="L203">
        <v>13.7015580679699</v>
      </c>
      <c r="M203">
        <v>13.276692601338199</v>
      </c>
      <c r="N203">
        <v>12.8600503585852</v>
      </c>
      <c r="O203">
        <v>13.5184649499048</v>
      </c>
      <c r="P203">
        <v>-0.50244436831256301</v>
      </c>
      <c r="Q203">
        <v>-1.1618225441657299</v>
      </c>
      <c r="R203">
        <v>0.15693380754059899</v>
      </c>
      <c r="S203">
        <v>13.7175744939096</v>
      </c>
      <c r="T203">
        <v>-1.60157000740454</v>
      </c>
      <c r="U203">
        <v>-5.7965168700306497</v>
      </c>
      <c r="V203">
        <v>0.126755417712969</v>
      </c>
      <c r="W203">
        <v>0.36958972153942898</v>
      </c>
      <c r="X203">
        <v>0</v>
      </c>
      <c r="Y203">
        <v>0</v>
      </c>
    </row>
    <row r="204" spans="1:25" x14ac:dyDescent="0.2">
      <c r="A204" t="s">
        <v>763</v>
      </c>
      <c r="B204" t="s">
        <v>764</v>
      </c>
      <c r="C204" t="s">
        <v>765</v>
      </c>
      <c r="D204" t="s">
        <v>766</v>
      </c>
      <c r="E204" t="s">
        <v>764</v>
      </c>
      <c r="F204" t="s">
        <v>28</v>
      </c>
      <c r="G204" t="s">
        <v>764</v>
      </c>
      <c r="H204" t="str">
        <f>"gcn-2"</f>
        <v>gcn-2</v>
      </c>
      <c r="I204" t="s">
        <v>766</v>
      </c>
      <c r="J204">
        <v>11.307321971629399</v>
      </c>
      <c r="K204" t="s">
        <v>29</v>
      </c>
      <c r="L204" t="s">
        <v>29</v>
      </c>
      <c r="M204" t="s">
        <v>29</v>
      </c>
      <c r="N204">
        <v>11.401433764857201</v>
      </c>
      <c r="O204">
        <v>11.920656145422701</v>
      </c>
      <c r="P204">
        <v>0.35372298351057702</v>
      </c>
      <c r="Q204">
        <v>-0.57341690035825998</v>
      </c>
      <c r="R204">
        <v>1.28086286737941</v>
      </c>
      <c r="S204">
        <v>11.2815628097546</v>
      </c>
      <c r="T204">
        <v>0.832076061917705</v>
      </c>
      <c r="U204">
        <v>-6.29256916193608</v>
      </c>
      <c r="V204">
        <v>0.42175687241496301</v>
      </c>
      <c r="W204">
        <v>0.69511111750879495</v>
      </c>
      <c r="X204">
        <v>0</v>
      </c>
      <c r="Y204">
        <v>0</v>
      </c>
    </row>
    <row r="205" spans="1:25" x14ac:dyDescent="0.2">
      <c r="A205" t="s">
        <v>767</v>
      </c>
      <c r="B205" t="s">
        <v>768</v>
      </c>
      <c r="C205" t="s">
        <v>14236</v>
      </c>
      <c r="D205" t="s">
        <v>107</v>
      </c>
      <c r="E205" t="s">
        <v>768</v>
      </c>
      <c r="F205" t="s">
        <v>28</v>
      </c>
      <c r="G205" t="s">
        <v>768</v>
      </c>
      <c r="H205" t="str">
        <f>"T27D12.1"</f>
        <v>T27D12.1</v>
      </c>
      <c r="I205" t="s">
        <v>107</v>
      </c>
      <c r="J205" t="s">
        <v>29</v>
      </c>
      <c r="K205">
        <v>12.7648425398153</v>
      </c>
      <c r="L205">
        <v>12.310004910864301</v>
      </c>
      <c r="M205" t="s">
        <v>29</v>
      </c>
      <c r="N205">
        <v>11.7103502337007</v>
      </c>
      <c r="O205">
        <v>11.762247798894499</v>
      </c>
      <c r="P205">
        <v>-0.80112470904222</v>
      </c>
      <c r="Q205">
        <v>-1.3852241883427501</v>
      </c>
      <c r="R205">
        <v>-0.217025229741687</v>
      </c>
      <c r="S205">
        <v>12.224401131443001</v>
      </c>
      <c r="T205">
        <v>-2.9655179164749099</v>
      </c>
      <c r="U205">
        <v>-3.29043542687555</v>
      </c>
      <c r="V205">
        <v>1.1023292120265401E-2</v>
      </c>
      <c r="W205">
        <v>9.3168292361931498E-2</v>
      </c>
      <c r="X205">
        <v>0</v>
      </c>
      <c r="Y205">
        <v>0</v>
      </c>
    </row>
    <row r="206" spans="1:25" x14ac:dyDescent="0.2">
      <c r="A206" t="s">
        <v>769</v>
      </c>
      <c r="B206" t="s">
        <v>770</v>
      </c>
      <c r="C206" t="s">
        <v>771</v>
      </c>
      <c r="D206" t="s">
        <v>772</v>
      </c>
      <c r="E206" t="s">
        <v>770</v>
      </c>
      <c r="F206" t="s">
        <v>28</v>
      </c>
      <c r="G206" t="s">
        <v>770</v>
      </c>
      <c r="H206" t="str">
        <f>"ech-2"</f>
        <v>ech-2</v>
      </c>
      <c r="I206" t="s">
        <v>772</v>
      </c>
      <c r="J206">
        <v>13.388482291831799</v>
      </c>
      <c r="K206">
        <v>13.4020509972037</v>
      </c>
      <c r="L206">
        <v>13.3803472520135</v>
      </c>
      <c r="M206">
        <v>12.4503996481927</v>
      </c>
      <c r="N206">
        <v>12.983663186568901</v>
      </c>
      <c r="O206">
        <v>13.3085416973951</v>
      </c>
      <c r="P206">
        <v>-0.47609200296411402</v>
      </c>
      <c r="Q206">
        <v>-1.08138635365573</v>
      </c>
      <c r="R206">
        <v>0.129202347727498</v>
      </c>
      <c r="S206">
        <v>13.381630813428099</v>
      </c>
      <c r="T206">
        <v>-1.66829864017195</v>
      </c>
      <c r="U206">
        <v>-5.6999074202039397</v>
      </c>
      <c r="V206">
        <v>0.114832069467455</v>
      </c>
      <c r="W206">
        <v>0.34805924857908399</v>
      </c>
      <c r="X206">
        <v>0</v>
      </c>
      <c r="Y206">
        <v>0</v>
      </c>
    </row>
    <row r="207" spans="1:25" x14ac:dyDescent="0.2">
      <c r="A207" t="s">
        <v>773</v>
      </c>
      <c r="B207" t="s">
        <v>774</v>
      </c>
      <c r="C207" t="s">
        <v>775</v>
      </c>
      <c r="D207" t="s">
        <v>776</v>
      </c>
      <c r="E207" t="s">
        <v>774</v>
      </c>
      <c r="F207" t="s">
        <v>28</v>
      </c>
      <c r="G207" t="s">
        <v>774</v>
      </c>
      <c r="H207" t="str">
        <f>"dsb-2"</f>
        <v>dsb-2</v>
      </c>
      <c r="I207" t="s">
        <v>776</v>
      </c>
      <c r="J207" t="s">
        <v>29</v>
      </c>
      <c r="K207" t="s">
        <v>29</v>
      </c>
      <c r="L207" t="s">
        <v>29</v>
      </c>
      <c r="M207" t="s">
        <v>29</v>
      </c>
      <c r="N207" t="s">
        <v>29</v>
      </c>
      <c r="O207" t="s">
        <v>29</v>
      </c>
      <c r="P207" t="s">
        <v>29</v>
      </c>
      <c r="Q207" t="s">
        <v>29</v>
      </c>
      <c r="R207" t="s">
        <v>29</v>
      </c>
      <c r="S207">
        <v>10.5622636086425</v>
      </c>
      <c r="T207" t="s">
        <v>29</v>
      </c>
      <c r="U207" t="s">
        <v>29</v>
      </c>
      <c r="V207" t="s">
        <v>29</v>
      </c>
      <c r="W207" t="s">
        <v>29</v>
      </c>
      <c r="X207" t="s">
        <v>29</v>
      </c>
      <c r="Y207" t="s">
        <v>29</v>
      </c>
    </row>
    <row r="208" spans="1:25" x14ac:dyDescent="0.2">
      <c r="A208" t="s">
        <v>777</v>
      </c>
      <c r="B208" t="s">
        <v>778</v>
      </c>
      <c r="C208" t="s">
        <v>779</v>
      </c>
      <c r="D208" t="s">
        <v>780</v>
      </c>
      <c r="E208" t="s">
        <v>778</v>
      </c>
      <c r="F208" t="s">
        <v>28</v>
      </c>
      <c r="G208" t="s">
        <v>778</v>
      </c>
      <c r="H208" t="str">
        <f>"bca-2"</f>
        <v>bca-2</v>
      </c>
      <c r="I208" t="s">
        <v>780</v>
      </c>
      <c r="J208" t="s">
        <v>29</v>
      </c>
      <c r="K208" t="s">
        <v>29</v>
      </c>
      <c r="L208">
        <v>13.7045364613502</v>
      </c>
      <c r="M208" t="s">
        <v>29</v>
      </c>
      <c r="N208">
        <v>13.904035963629299</v>
      </c>
      <c r="O208" t="s">
        <v>29</v>
      </c>
      <c r="P208">
        <v>0.199499502279048</v>
      </c>
      <c r="Q208">
        <v>-0.65946644342006899</v>
      </c>
      <c r="R208">
        <v>1.0584654479781599</v>
      </c>
      <c r="S208">
        <v>13.3803765062408</v>
      </c>
      <c r="T208">
        <v>0.511792083174757</v>
      </c>
      <c r="U208">
        <v>-6.3718796370956499</v>
      </c>
      <c r="V208">
        <v>0.61901007792005203</v>
      </c>
      <c r="W208">
        <v>0.82047201366674205</v>
      </c>
      <c r="X208">
        <v>0</v>
      </c>
      <c r="Y208">
        <v>0</v>
      </c>
    </row>
    <row r="209" spans="1:25" x14ac:dyDescent="0.2">
      <c r="A209" t="s">
        <v>781</v>
      </c>
      <c r="B209" t="s">
        <v>782</v>
      </c>
      <c r="C209" t="s">
        <v>783</v>
      </c>
      <c r="D209" t="s">
        <v>784</v>
      </c>
      <c r="E209" t="s">
        <v>782</v>
      </c>
      <c r="F209" t="s">
        <v>28</v>
      </c>
      <c r="G209" t="s">
        <v>782</v>
      </c>
      <c r="H209" t="str">
        <f>"elli-1"</f>
        <v>elli-1</v>
      </c>
      <c r="I209" t="s">
        <v>784</v>
      </c>
      <c r="J209">
        <v>9.8611278675839902</v>
      </c>
      <c r="K209">
        <v>9.8964021774208604</v>
      </c>
      <c r="L209">
        <v>11.0593323334183</v>
      </c>
      <c r="M209">
        <v>10.2279668019686</v>
      </c>
      <c r="N209">
        <v>9.8237823615227402</v>
      </c>
      <c r="O209">
        <v>10.1172713059755</v>
      </c>
      <c r="P209">
        <v>-0.215947302985455</v>
      </c>
      <c r="Q209">
        <v>-0.90441950753691702</v>
      </c>
      <c r="R209">
        <v>0.47252490156600602</v>
      </c>
      <c r="S209">
        <v>11.330998448619701</v>
      </c>
      <c r="T209">
        <v>-0.67321419687315498</v>
      </c>
      <c r="U209">
        <v>-6.8148303963233401</v>
      </c>
      <c r="V209">
        <v>0.51185351381402799</v>
      </c>
      <c r="W209">
        <v>0.76053261901594305</v>
      </c>
      <c r="X209">
        <v>0</v>
      </c>
      <c r="Y209">
        <v>0</v>
      </c>
    </row>
    <row r="210" spans="1:25" x14ac:dyDescent="0.2">
      <c r="A210" t="s">
        <v>785</v>
      </c>
      <c r="B210" t="s">
        <v>786</v>
      </c>
      <c r="C210" t="s">
        <v>14237</v>
      </c>
      <c r="D210" t="s">
        <v>323</v>
      </c>
      <c r="E210" t="s">
        <v>786</v>
      </c>
      <c r="F210" t="s">
        <v>28</v>
      </c>
      <c r="G210" t="s">
        <v>786</v>
      </c>
      <c r="H210" t="str">
        <f>"T12G3.2"</f>
        <v>T12G3.2</v>
      </c>
      <c r="I210" t="s">
        <v>323</v>
      </c>
      <c r="J210">
        <v>11.111285807706199</v>
      </c>
      <c r="K210">
        <v>11.745743854775</v>
      </c>
      <c r="L210">
        <v>11.0669722048652</v>
      </c>
      <c r="M210">
        <v>10.586746288811399</v>
      </c>
      <c r="N210">
        <v>12.2832729058269</v>
      </c>
      <c r="O210">
        <v>11.991053888126601</v>
      </c>
      <c r="P210">
        <v>0.312357071806177</v>
      </c>
      <c r="Q210">
        <v>-0.54269268527905401</v>
      </c>
      <c r="R210">
        <v>1.1674068288914099</v>
      </c>
      <c r="S210">
        <v>11.433126786883999</v>
      </c>
      <c r="T210">
        <v>0.77483545456345504</v>
      </c>
      <c r="U210">
        <v>-6.7412370340991998</v>
      </c>
      <c r="V210">
        <v>0.449810479035752</v>
      </c>
      <c r="W210">
        <v>0.71795406903487702</v>
      </c>
      <c r="X210">
        <v>0</v>
      </c>
      <c r="Y210">
        <v>0</v>
      </c>
    </row>
    <row r="211" spans="1:25" x14ac:dyDescent="0.2">
      <c r="A211" t="s">
        <v>787</v>
      </c>
      <c r="B211" t="s">
        <v>788</v>
      </c>
      <c r="C211" t="s">
        <v>789</v>
      </c>
      <c r="D211" t="s">
        <v>790</v>
      </c>
      <c r="E211" t="s">
        <v>788</v>
      </c>
      <c r="F211" t="s">
        <v>28</v>
      </c>
      <c r="G211" t="s">
        <v>788</v>
      </c>
      <c r="H211" t="str">
        <f>"larp-1"</f>
        <v>larp-1</v>
      </c>
      <c r="I211" t="s">
        <v>790</v>
      </c>
      <c r="J211">
        <v>12.6874718631409</v>
      </c>
      <c r="K211">
        <v>12.978714145184201</v>
      </c>
      <c r="L211">
        <v>13.093040787917101</v>
      </c>
      <c r="M211">
        <v>14.0652459495291</v>
      </c>
      <c r="N211">
        <v>14.0305605072143</v>
      </c>
      <c r="O211">
        <v>13.8631441327334</v>
      </c>
      <c r="P211">
        <v>1.06657459774486</v>
      </c>
      <c r="Q211">
        <v>0.59335217264630302</v>
      </c>
      <c r="R211">
        <v>1.5397970228434099</v>
      </c>
      <c r="S211">
        <v>13.658188576401001</v>
      </c>
      <c r="T211">
        <v>4.7574686196082601</v>
      </c>
      <c r="U211">
        <v>0.46574209571078201</v>
      </c>
      <c r="V211">
        <v>1.8554380783963799E-4</v>
      </c>
      <c r="W211">
        <v>5.1803586981221204E-3</v>
      </c>
      <c r="X211">
        <v>1</v>
      </c>
      <c r="Y211">
        <v>1</v>
      </c>
    </row>
    <row r="212" spans="1:25" x14ac:dyDescent="0.2">
      <c r="A212" t="s">
        <v>791</v>
      </c>
      <c r="B212" t="s">
        <v>792</v>
      </c>
      <c r="C212" t="s">
        <v>793</v>
      </c>
      <c r="D212" t="s">
        <v>93</v>
      </c>
      <c r="E212" t="s">
        <v>792</v>
      </c>
      <c r="F212" t="s">
        <v>28</v>
      </c>
      <c r="G212" t="s">
        <v>792</v>
      </c>
      <c r="H212" t="str">
        <f>"sup-26"</f>
        <v>sup-26</v>
      </c>
      <c r="I212" t="s">
        <v>93</v>
      </c>
      <c r="J212">
        <v>14.2144888813737</v>
      </c>
      <c r="K212">
        <v>14.315779523582</v>
      </c>
      <c r="L212">
        <v>14.646365234739299</v>
      </c>
      <c r="M212">
        <v>14.5517318187716</v>
      </c>
      <c r="N212">
        <v>14.4516861389439</v>
      </c>
      <c r="O212">
        <v>15.3571321036207</v>
      </c>
      <c r="P212">
        <v>0.39463880721375599</v>
      </c>
      <c r="Q212">
        <v>-0.159008153057765</v>
      </c>
      <c r="R212">
        <v>0.94828576748527604</v>
      </c>
      <c r="S212">
        <v>15.1690019862349</v>
      </c>
      <c r="T212">
        <v>1.4981640901173601</v>
      </c>
      <c r="U212">
        <v>-5.9444534635347503</v>
      </c>
      <c r="V212">
        <v>0.15152330792238899</v>
      </c>
      <c r="W212">
        <v>0.40314006532164898</v>
      </c>
      <c r="X212">
        <v>0</v>
      </c>
      <c r="Y212">
        <v>0</v>
      </c>
    </row>
    <row r="213" spans="1:25" x14ac:dyDescent="0.2">
      <c r="A213" t="s">
        <v>794</v>
      </c>
      <c r="B213" t="s">
        <v>795</v>
      </c>
      <c r="C213" t="s">
        <v>14238</v>
      </c>
      <c r="D213" t="s">
        <v>796</v>
      </c>
      <c r="E213" t="s">
        <v>795</v>
      </c>
      <c r="F213" t="s">
        <v>28</v>
      </c>
      <c r="G213" t="s">
        <v>795</v>
      </c>
      <c r="H213" t="str">
        <f>"ZK355.2"</f>
        <v>ZK355.2</v>
      </c>
      <c r="I213" t="s">
        <v>796</v>
      </c>
      <c r="J213" t="s">
        <v>29</v>
      </c>
      <c r="K213" t="s">
        <v>29</v>
      </c>
      <c r="L213" t="s">
        <v>29</v>
      </c>
      <c r="M213" t="s">
        <v>29</v>
      </c>
      <c r="N213" t="s">
        <v>29</v>
      </c>
      <c r="O213" t="s">
        <v>29</v>
      </c>
      <c r="P213" t="s">
        <v>29</v>
      </c>
      <c r="Q213" t="s">
        <v>29</v>
      </c>
      <c r="R213" t="s">
        <v>29</v>
      </c>
      <c r="S213">
        <v>13.015933411984699</v>
      </c>
      <c r="T213" t="s">
        <v>29</v>
      </c>
      <c r="U213" t="s">
        <v>29</v>
      </c>
      <c r="V213" t="s">
        <v>29</v>
      </c>
      <c r="W213" t="s">
        <v>29</v>
      </c>
      <c r="X213" t="s">
        <v>29</v>
      </c>
      <c r="Y213" t="s">
        <v>29</v>
      </c>
    </row>
    <row r="214" spans="1:25" x14ac:dyDescent="0.2">
      <c r="A214" t="s">
        <v>797</v>
      </c>
      <c r="B214" t="s">
        <v>798</v>
      </c>
      <c r="C214" t="s">
        <v>799</v>
      </c>
      <c r="D214" t="s">
        <v>800</v>
      </c>
      <c r="E214" t="s">
        <v>798</v>
      </c>
      <c r="F214" t="s">
        <v>28</v>
      </c>
      <c r="G214" t="s">
        <v>798</v>
      </c>
      <c r="H214" t="str">
        <f>"pigw-1"</f>
        <v>pigw-1</v>
      </c>
      <c r="I214" t="s">
        <v>800</v>
      </c>
      <c r="J214">
        <v>12.075195721157</v>
      </c>
      <c r="K214" t="s">
        <v>29</v>
      </c>
      <c r="L214">
        <v>12.6558042737958</v>
      </c>
      <c r="M214" t="s">
        <v>29</v>
      </c>
      <c r="N214">
        <v>11.7140466984204</v>
      </c>
      <c r="O214">
        <v>13.1061256438673</v>
      </c>
      <c r="P214">
        <v>4.4586173667417101E-2</v>
      </c>
      <c r="Q214">
        <v>-0.90401484582435598</v>
      </c>
      <c r="R214">
        <v>0.99318719315919002</v>
      </c>
      <c r="S214">
        <v>12.8814814922472</v>
      </c>
      <c r="T214">
        <v>0.100880798012593</v>
      </c>
      <c r="U214">
        <v>-6.84579360004855</v>
      </c>
      <c r="V214">
        <v>0.92108627376018604</v>
      </c>
      <c r="W214">
        <v>0.97210472750093202</v>
      </c>
      <c r="X214">
        <v>0</v>
      </c>
      <c r="Y214">
        <v>0</v>
      </c>
    </row>
    <row r="215" spans="1:25" x14ac:dyDescent="0.2">
      <c r="A215" t="s">
        <v>801</v>
      </c>
      <c r="B215" t="s">
        <v>802</v>
      </c>
      <c r="C215" t="s">
        <v>14239</v>
      </c>
      <c r="D215" t="s">
        <v>93</v>
      </c>
      <c r="E215" t="s">
        <v>802</v>
      </c>
      <c r="F215" t="s">
        <v>28</v>
      </c>
      <c r="G215" t="s">
        <v>802</v>
      </c>
      <c r="H215" t="str">
        <f>"Y59E9AL.36"</f>
        <v>Y59E9AL.36</v>
      </c>
      <c r="I215" t="s">
        <v>93</v>
      </c>
      <c r="J215">
        <v>12.676554939234</v>
      </c>
      <c r="K215">
        <v>13.137658377817599</v>
      </c>
      <c r="L215">
        <v>12.649557109264199</v>
      </c>
      <c r="M215">
        <v>13.300987604254701</v>
      </c>
      <c r="N215">
        <v>12.6015911624084</v>
      </c>
      <c r="O215">
        <v>12.5902641957034</v>
      </c>
      <c r="P215">
        <v>9.6908453501836096E-3</v>
      </c>
      <c r="Q215">
        <v>-0.50044245599149095</v>
      </c>
      <c r="R215">
        <v>0.51982414669185795</v>
      </c>
      <c r="S215">
        <v>13.026167628555299</v>
      </c>
      <c r="T215">
        <v>4.0292806459116301E-2</v>
      </c>
      <c r="U215">
        <v>-7.0512299978812099</v>
      </c>
      <c r="V215">
        <v>0.968361453303203</v>
      </c>
      <c r="W215">
        <v>0.98300783325944197</v>
      </c>
      <c r="X215">
        <v>0</v>
      </c>
      <c r="Y215">
        <v>0</v>
      </c>
    </row>
    <row r="216" spans="1:25" x14ac:dyDescent="0.2">
      <c r="A216" t="s">
        <v>803</v>
      </c>
      <c r="B216" t="s">
        <v>804</v>
      </c>
      <c r="C216" t="s">
        <v>805</v>
      </c>
      <c r="D216" t="s">
        <v>806</v>
      </c>
      <c r="E216" t="s">
        <v>804</v>
      </c>
      <c r="F216" t="s">
        <v>28</v>
      </c>
      <c r="G216" t="s">
        <v>804</v>
      </c>
      <c r="H216" t="str">
        <f>"snx-6"</f>
        <v>snx-6</v>
      </c>
      <c r="I216" t="s">
        <v>806</v>
      </c>
      <c r="J216" t="s">
        <v>29</v>
      </c>
      <c r="K216" t="s">
        <v>29</v>
      </c>
      <c r="L216">
        <v>9.9205278718667191</v>
      </c>
      <c r="M216">
        <v>11.0329082170806</v>
      </c>
      <c r="N216">
        <v>11.042652729090801</v>
      </c>
      <c r="O216">
        <v>10.560969172517799</v>
      </c>
      <c r="P216">
        <v>0.95831550102968999</v>
      </c>
      <c r="Q216">
        <v>0.30731375036711001</v>
      </c>
      <c r="R216">
        <v>1.60931725169227</v>
      </c>
      <c r="S216">
        <v>10.7148466286969</v>
      </c>
      <c r="T216">
        <v>3.1828311588750098</v>
      </c>
      <c r="U216">
        <v>-2.7604181891441502</v>
      </c>
      <c r="V216">
        <v>7.2666822373798901E-3</v>
      </c>
      <c r="W216">
        <v>7.0165531158558406E-2</v>
      </c>
      <c r="X216">
        <v>0</v>
      </c>
      <c r="Y216">
        <v>0</v>
      </c>
    </row>
    <row r="217" spans="1:25" x14ac:dyDescent="0.2">
      <c r="A217" t="s">
        <v>807</v>
      </c>
      <c r="B217" t="s">
        <v>808</v>
      </c>
      <c r="C217" t="s">
        <v>809</v>
      </c>
      <c r="D217" t="s">
        <v>810</v>
      </c>
      <c r="E217" t="s">
        <v>808</v>
      </c>
      <c r="F217" t="s">
        <v>28</v>
      </c>
      <c r="G217" t="s">
        <v>808</v>
      </c>
      <c r="H217" t="str">
        <f>"unc-70"</f>
        <v>unc-70</v>
      </c>
      <c r="I217" t="s">
        <v>810</v>
      </c>
      <c r="J217">
        <v>13.0706214659726</v>
      </c>
      <c r="K217">
        <v>13.1030813040925</v>
      </c>
      <c r="L217">
        <v>13.268847731923801</v>
      </c>
      <c r="M217">
        <v>13.3099562414282</v>
      </c>
      <c r="N217">
        <v>13.483611394871</v>
      </c>
      <c r="O217">
        <v>13.7745273878219</v>
      </c>
      <c r="P217">
        <v>0.375181507377427</v>
      </c>
      <c r="Q217">
        <v>-1.9340045695969602E-2</v>
      </c>
      <c r="R217">
        <v>0.76970306045082304</v>
      </c>
      <c r="S217">
        <v>13.0516642004199</v>
      </c>
      <c r="T217">
        <v>2.00733891003705</v>
      </c>
      <c r="U217">
        <v>-5.1538847915345798</v>
      </c>
      <c r="V217">
        <v>6.0984762819505697E-2</v>
      </c>
      <c r="W217">
        <v>0.24896750581056101</v>
      </c>
      <c r="X217">
        <v>0</v>
      </c>
      <c r="Y217">
        <v>0</v>
      </c>
    </row>
    <row r="218" spans="1:25" x14ac:dyDescent="0.2">
      <c r="A218" t="s">
        <v>811</v>
      </c>
      <c r="B218" t="s">
        <v>812</v>
      </c>
      <c r="C218" t="s">
        <v>813</v>
      </c>
      <c r="D218" t="s">
        <v>814</v>
      </c>
      <c r="E218" t="s">
        <v>812</v>
      </c>
      <c r="F218" t="s">
        <v>28</v>
      </c>
      <c r="G218" t="s">
        <v>812</v>
      </c>
      <c r="H218" t="str">
        <f>"emc-5"</f>
        <v>emc-5</v>
      </c>
      <c r="I218" t="s">
        <v>814</v>
      </c>
      <c r="J218">
        <v>12.3990893561718</v>
      </c>
      <c r="K218">
        <v>12.7433069818329</v>
      </c>
      <c r="L218">
        <v>12.2790541193344</v>
      </c>
      <c r="M218">
        <v>12.3247503124828</v>
      </c>
      <c r="N218" t="s">
        <v>29</v>
      </c>
      <c r="O218" t="s">
        <v>29</v>
      </c>
      <c r="P218">
        <v>-0.149066506630193</v>
      </c>
      <c r="Q218">
        <v>-0.67572558145282802</v>
      </c>
      <c r="R218">
        <v>0.37759256819244102</v>
      </c>
      <c r="S218">
        <v>12.9395072389829</v>
      </c>
      <c r="T218">
        <v>-0.61198072876879095</v>
      </c>
      <c r="U218">
        <v>-6.51320523854075</v>
      </c>
      <c r="V218">
        <v>0.55118894706305199</v>
      </c>
      <c r="W218">
        <v>0.78026605923509895</v>
      </c>
      <c r="X218">
        <v>0</v>
      </c>
      <c r="Y218">
        <v>0</v>
      </c>
    </row>
    <row r="219" spans="1:25" x14ac:dyDescent="0.2">
      <c r="A219" t="s">
        <v>815</v>
      </c>
      <c r="B219" t="s">
        <v>816</v>
      </c>
      <c r="C219" t="s">
        <v>14240</v>
      </c>
      <c r="D219" t="s">
        <v>817</v>
      </c>
      <c r="E219" t="s">
        <v>816</v>
      </c>
      <c r="F219" t="s">
        <v>28</v>
      </c>
      <c r="G219" t="s">
        <v>816</v>
      </c>
      <c r="H219" t="str">
        <f>"Y49E10.21"</f>
        <v>Y49E10.21</v>
      </c>
      <c r="I219" t="s">
        <v>817</v>
      </c>
      <c r="J219">
        <v>10.497818434214601</v>
      </c>
      <c r="K219">
        <v>12.006622550299801</v>
      </c>
      <c r="L219">
        <v>11.352045813218099</v>
      </c>
      <c r="M219">
        <v>11.416454272414301</v>
      </c>
      <c r="N219">
        <v>12.2964779842528</v>
      </c>
      <c r="O219">
        <v>11.717117937329499</v>
      </c>
      <c r="P219">
        <v>0.524521132087992</v>
      </c>
      <c r="Q219">
        <v>-0.13541231566027301</v>
      </c>
      <c r="R219">
        <v>1.18445457983626</v>
      </c>
      <c r="S219">
        <v>11.7087651157065</v>
      </c>
      <c r="T219">
        <v>1.6858245701927299</v>
      </c>
      <c r="U219">
        <v>-5.6735922946825701</v>
      </c>
      <c r="V219">
        <v>0.111355968011283</v>
      </c>
      <c r="W219">
        <v>0.34411407745613198</v>
      </c>
      <c r="X219">
        <v>0</v>
      </c>
      <c r="Y219">
        <v>0</v>
      </c>
    </row>
    <row r="220" spans="1:25" x14ac:dyDescent="0.2">
      <c r="A220" t="s">
        <v>818</v>
      </c>
      <c r="B220" t="s">
        <v>819</v>
      </c>
      <c r="C220" t="s">
        <v>820</v>
      </c>
      <c r="D220" t="s">
        <v>821</v>
      </c>
      <c r="E220" t="s">
        <v>819</v>
      </c>
      <c r="F220" t="s">
        <v>28</v>
      </c>
      <c r="G220" t="s">
        <v>819</v>
      </c>
      <c r="H220" t="str">
        <f>"iars-2"</f>
        <v>iars-2</v>
      </c>
      <c r="I220" t="s">
        <v>821</v>
      </c>
      <c r="J220">
        <v>14.0383586735135</v>
      </c>
      <c r="K220">
        <v>14.086387012429901</v>
      </c>
      <c r="L220">
        <v>13.973205408380201</v>
      </c>
      <c r="M220">
        <v>13.680352970462</v>
      </c>
      <c r="N220">
        <v>14.5556222112718</v>
      </c>
      <c r="O220">
        <v>14.2061007013922</v>
      </c>
      <c r="P220">
        <v>0.11470826293411</v>
      </c>
      <c r="Q220">
        <v>-0.38694683486739201</v>
      </c>
      <c r="R220">
        <v>0.61636336073561204</v>
      </c>
      <c r="S220">
        <v>14.0342546643663</v>
      </c>
      <c r="T220">
        <v>0.48265797492672802</v>
      </c>
      <c r="U220">
        <v>-6.9304615875701998</v>
      </c>
      <c r="V220">
        <v>0.63553296208278598</v>
      </c>
      <c r="W220">
        <v>0.83247043298883805</v>
      </c>
      <c r="X220">
        <v>0</v>
      </c>
      <c r="Y220">
        <v>0</v>
      </c>
    </row>
    <row r="221" spans="1:25" x14ac:dyDescent="0.2">
      <c r="A221" t="s">
        <v>822</v>
      </c>
      <c r="B221" t="s">
        <v>823</v>
      </c>
      <c r="C221" t="s">
        <v>824</v>
      </c>
      <c r="D221" t="s">
        <v>825</v>
      </c>
      <c r="E221" t="s">
        <v>823</v>
      </c>
      <c r="F221" t="s">
        <v>28</v>
      </c>
      <c r="G221" t="s">
        <v>823</v>
      </c>
      <c r="H221" t="str">
        <f>"ints-2"</f>
        <v>ints-2</v>
      </c>
      <c r="I221" t="s">
        <v>825</v>
      </c>
      <c r="J221">
        <v>12.1416225753633</v>
      </c>
      <c r="K221">
        <v>11.523453812559699</v>
      </c>
      <c r="L221">
        <v>11.8372032534889</v>
      </c>
      <c r="M221">
        <v>12.0134653447827</v>
      </c>
      <c r="N221">
        <v>12.399643594381001</v>
      </c>
      <c r="O221">
        <v>12.133197260456599</v>
      </c>
      <c r="P221">
        <v>0.34800885273613802</v>
      </c>
      <c r="Q221">
        <v>-0.45063172293625797</v>
      </c>
      <c r="R221">
        <v>1.14664942840853</v>
      </c>
      <c r="S221">
        <v>12.074147441668799</v>
      </c>
      <c r="T221">
        <v>0.91979052986388898</v>
      </c>
      <c r="U221">
        <v>-6.6181883146591503</v>
      </c>
      <c r="V221">
        <v>0.37062895251028499</v>
      </c>
      <c r="W221">
        <v>0.64631651204097895</v>
      </c>
      <c r="X221">
        <v>0</v>
      </c>
      <c r="Y221">
        <v>0</v>
      </c>
    </row>
    <row r="222" spans="1:25" x14ac:dyDescent="0.2">
      <c r="A222" t="s">
        <v>826</v>
      </c>
      <c r="B222" t="s">
        <v>827</v>
      </c>
      <c r="C222" t="s">
        <v>14241</v>
      </c>
      <c r="D222" t="s">
        <v>828</v>
      </c>
      <c r="E222" t="s">
        <v>827</v>
      </c>
      <c r="F222" t="s">
        <v>28</v>
      </c>
      <c r="G222" t="s">
        <v>827</v>
      </c>
      <c r="H222" t="str">
        <f>"F53C11.4"</f>
        <v>F53C11.4</v>
      </c>
      <c r="I222" t="s">
        <v>828</v>
      </c>
      <c r="J222" t="s">
        <v>29</v>
      </c>
      <c r="K222" t="s">
        <v>29</v>
      </c>
      <c r="L222" t="s">
        <v>29</v>
      </c>
      <c r="M222" t="s">
        <v>29</v>
      </c>
      <c r="N222" t="s">
        <v>29</v>
      </c>
      <c r="O222" t="s">
        <v>29</v>
      </c>
      <c r="P222" t="s">
        <v>29</v>
      </c>
      <c r="Q222" t="s">
        <v>29</v>
      </c>
      <c r="R222" t="s">
        <v>29</v>
      </c>
      <c r="S222">
        <v>10.8709378593169</v>
      </c>
      <c r="T222" t="s">
        <v>29</v>
      </c>
      <c r="U222" t="s">
        <v>29</v>
      </c>
      <c r="V222" t="s">
        <v>29</v>
      </c>
      <c r="W222" t="s">
        <v>29</v>
      </c>
      <c r="X222" t="s">
        <v>29</v>
      </c>
      <c r="Y222" t="s">
        <v>29</v>
      </c>
    </row>
    <row r="223" spans="1:25" x14ac:dyDescent="0.2">
      <c r="A223" t="s">
        <v>829</v>
      </c>
      <c r="B223" t="s">
        <v>830</v>
      </c>
      <c r="C223" t="s">
        <v>831</v>
      </c>
      <c r="D223" t="s">
        <v>832</v>
      </c>
      <c r="E223" t="s">
        <v>830</v>
      </c>
      <c r="F223" t="s">
        <v>28</v>
      </c>
      <c r="G223" t="s">
        <v>830</v>
      </c>
      <c r="H223" t="str">
        <f>"algn-3"</f>
        <v>algn-3</v>
      </c>
      <c r="I223" t="s">
        <v>832</v>
      </c>
      <c r="J223">
        <v>12.219232231587201</v>
      </c>
      <c r="K223">
        <v>12.8886891920032</v>
      </c>
      <c r="L223">
        <v>12.3779437900973</v>
      </c>
      <c r="M223">
        <v>12.389051746257</v>
      </c>
      <c r="N223">
        <v>11.8860707404625</v>
      </c>
      <c r="O223">
        <v>12.3901938162776</v>
      </c>
      <c r="P223">
        <v>-0.273516303563484</v>
      </c>
      <c r="Q223">
        <v>-0.68723064939146306</v>
      </c>
      <c r="R223">
        <v>0.140198042264494</v>
      </c>
      <c r="S223">
        <v>12.632616148656901</v>
      </c>
      <c r="T223">
        <v>-1.40227169470361</v>
      </c>
      <c r="U223">
        <v>-6.0744792344258096</v>
      </c>
      <c r="V223">
        <v>0.18006181741849001</v>
      </c>
      <c r="W223">
        <v>0.44320813455352998</v>
      </c>
      <c r="X223">
        <v>0</v>
      </c>
      <c r="Y223">
        <v>0</v>
      </c>
    </row>
    <row r="224" spans="1:25" x14ac:dyDescent="0.2">
      <c r="A224" t="s">
        <v>833</v>
      </c>
      <c r="B224" t="s">
        <v>834</v>
      </c>
      <c r="C224" t="s">
        <v>835</v>
      </c>
      <c r="D224" t="s">
        <v>836</v>
      </c>
      <c r="E224" t="s">
        <v>834</v>
      </c>
      <c r="F224" t="s">
        <v>28</v>
      </c>
      <c r="G224" t="s">
        <v>834</v>
      </c>
      <c r="H224" t="str">
        <f>"rog-1"</f>
        <v>rog-1</v>
      </c>
      <c r="I224" t="s">
        <v>836</v>
      </c>
      <c r="J224" t="s">
        <v>29</v>
      </c>
      <c r="K224" t="s">
        <v>29</v>
      </c>
      <c r="L224" t="s">
        <v>29</v>
      </c>
      <c r="M224" t="s">
        <v>29</v>
      </c>
      <c r="N224">
        <v>9.5307082744906904</v>
      </c>
      <c r="O224" t="s">
        <v>29</v>
      </c>
      <c r="P224" t="s">
        <v>29</v>
      </c>
      <c r="Q224" t="s">
        <v>29</v>
      </c>
      <c r="R224" t="s">
        <v>29</v>
      </c>
      <c r="S224">
        <v>9.9610640282896092</v>
      </c>
      <c r="T224" t="s">
        <v>29</v>
      </c>
      <c r="U224" t="s">
        <v>29</v>
      </c>
      <c r="V224" t="s">
        <v>29</v>
      </c>
      <c r="W224" t="s">
        <v>29</v>
      </c>
      <c r="X224" t="s">
        <v>29</v>
      </c>
      <c r="Y224" t="s">
        <v>29</v>
      </c>
    </row>
    <row r="225" spans="1:25" x14ac:dyDescent="0.2">
      <c r="A225" t="s">
        <v>837</v>
      </c>
      <c r="B225" t="s">
        <v>838</v>
      </c>
      <c r="C225" t="s">
        <v>839</v>
      </c>
      <c r="D225" t="s">
        <v>840</v>
      </c>
      <c r="E225" t="s">
        <v>838</v>
      </c>
      <c r="F225" t="s">
        <v>28</v>
      </c>
      <c r="G225" t="s">
        <v>838</v>
      </c>
      <c r="H225" t="str">
        <f>"znfx-1"</f>
        <v>znfx-1</v>
      </c>
      <c r="I225" t="s">
        <v>840</v>
      </c>
      <c r="J225">
        <v>12.014202056659499</v>
      </c>
      <c r="K225">
        <v>12.2226705934491</v>
      </c>
      <c r="L225">
        <v>12.4856901785815</v>
      </c>
      <c r="M225" t="s">
        <v>29</v>
      </c>
      <c r="N225">
        <v>12.6432230537675</v>
      </c>
      <c r="O225">
        <v>12.0001462345143</v>
      </c>
      <c r="P225">
        <v>8.0830367910889905E-2</v>
      </c>
      <c r="Q225">
        <v>-0.54719560384097099</v>
      </c>
      <c r="R225">
        <v>0.70885633966274997</v>
      </c>
      <c r="S225">
        <v>13.0247156115834</v>
      </c>
      <c r="T225">
        <v>0.27449760351540498</v>
      </c>
      <c r="U225">
        <v>-6.9016976862026604</v>
      </c>
      <c r="V225">
        <v>0.78747279434542194</v>
      </c>
      <c r="W225">
        <v>0.912548601424502</v>
      </c>
      <c r="X225">
        <v>0</v>
      </c>
      <c r="Y225">
        <v>0</v>
      </c>
    </row>
    <row r="226" spans="1:25" x14ac:dyDescent="0.2">
      <c r="A226" t="s">
        <v>841</v>
      </c>
      <c r="B226" t="s">
        <v>842</v>
      </c>
      <c r="C226" t="s">
        <v>843</v>
      </c>
      <c r="D226" t="s">
        <v>844</v>
      </c>
      <c r="E226" t="s">
        <v>842</v>
      </c>
      <c r="F226" t="s">
        <v>28</v>
      </c>
      <c r="G226" t="s">
        <v>842</v>
      </c>
      <c r="H226" t="str">
        <f>"taf-3"</f>
        <v>taf-3</v>
      </c>
      <c r="I226" t="s">
        <v>844</v>
      </c>
      <c r="J226">
        <v>11.7687791997842</v>
      </c>
      <c r="K226">
        <v>11.154428807336799</v>
      </c>
      <c r="L226">
        <v>12.192931411879201</v>
      </c>
      <c r="M226" t="s">
        <v>29</v>
      </c>
      <c r="N226">
        <v>12.0025347197226</v>
      </c>
      <c r="O226">
        <v>12.199916124916401</v>
      </c>
      <c r="P226">
        <v>0.39584561598609902</v>
      </c>
      <c r="Q226">
        <v>-0.62522212149198098</v>
      </c>
      <c r="R226">
        <v>1.41691335346418</v>
      </c>
      <c r="S226">
        <v>11.536320215143499</v>
      </c>
      <c r="T226">
        <v>0.83822098607892004</v>
      </c>
      <c r="U226">
        <v>-6.5763017816928198</v>
      </c>
      <c r="V226">
        <v>0.41717362806772901</v>
      </c>
      <c r="W226">
        <v>0.69083103599612705</v>
      </c>
      <c r="X226">
        <v>0</v>
      </c>
      <c r="Y226">
        <v>0</v>
      </c>
    </row>
    <row r="227" spans="1:25" x14ac:dyDescent="0.2">
      <c r="A227" t="s">
        <v>845</v>
      </c>
      <c r="B227" t="s">
        <v>846</v>
      </c>
      <c r="C227" t="s">
        <v>847</v>
      </c>
      <c r="D227" t="s">
        <v>848</v>
      </c>
      <c r="E227" t="s">
        <v>846</v>
      </c>
      <c r="F227" t="s">
        <v>28</v>
      </c>
      <c r="G227" t="s">
        <v>846</v>
      </c>
      <c r="H227" t="str">
        <f>"ttll-5"</f>
        <v>ttll-5</v>
      </c>
      <c r="I227" t="s">
        <v>848</v>
      </c>
      <c r="J227">
        <v>13.103535762065199</v>
      </c>
      <c r="K227">
        <v>13.0934947178756</v>
      </c>
      <c r="L227">
        <v>12.5409057265725</v>
      </c>
      <c r="M227">
        <v>13.3001596678338</v>
      </c>
      <c r="N227">
        <v>13.768656487145799</v>
      </c>
      <c r="O227">
        <v>13.729671517852299</v>
      </c>
      <c r="P227">
        <v>0.68685048877284904</v>
      </c>
      <c r="Q227">
        <v>-0.144839688855881</v>
      </c>
      <c r="R227">
        <v>1.5185406664015799</v>
      </c>
      <c r="S227">
        <v>12.785663894733201</v>
      </c>
      <c r="T227">
        <v>1.7725256641707501</v>
      </c>
      <c r="U227">
        <v>-5.5462738203414998</v>
      </c>
      <c r="V227">
        <v>9.8221523499583102E-2</v>
      </c>
      <c r="W227">
        <v>0.322841249967317</v>
      </c>
      <c r="X227">
        <v>0</v>
      </c>
      <c r="Y227">
        <v>0</v>
      </c>
    </row>
    <row r="228" spans="1:25" x14ac:dyDescent="0.2">
      <c r="A228" t="s">
        <v>849</v>
      </c>
      <c r="B228" t="s">
        <v>850</v>
      </c>
      <c r="C228" t="s">
        <v>851</v>
      </c>
      <c r="D228" t="s">
        <v>852</v>
      </c>
      <c r="E228" t="s">
        <v>850</v>
      </c>
      <c r="F228" t="s">
        <v>28</v>
      </c>
      <c r="G228" t="s">
        <v>850</v>
      </c>
      <c r="H228" t="str">
        <f>"zfr-1"</f>
        <v>zfr-1</v>
      </c>
      <c r="I228" t="s">
        <v>852</v>
      </c>
      <c r="J228">
        <v>14.6032778238748</v>
      </c>
      <c r="K228">
        <v>14.806110374133601</v>
      </c>
      <c r="L228">
        <v>14.8687476527834</v>
      </c>
      <c r="M228">
        <v>14.570247264605801</v>
      </c>
      <c r="N228">
        <v>14.1830093886722</v>
      </c>
      <c r="O228">
        <v>14.490066273491999</v>
      </c>
      <c r="P228">
        <v>-0.344937641340611</v>
      </c>
      <c r="Q228">
        <v>-0.71543172293486601</v>
      </c>
      <c r="R228">
        <v>2.5556440253644602E-2</v>
      </c>
      <c r="S228">
        <v>14.7442836535943</v>
      </c>
      <c r="T228">
        <v>-1.95682427698219</v>
      </c>
      <c r="U228">
        <v>-5.2350146489787699</v>
      </c>
      <c r="V228">
        <v>6.6156022651978397E-2</v>
      </c>
      <c r="W228">
        <v>0.26156949903953503</v>
      </c>
      <c r="X228">
        <v>0</v>
      </c>
      <c r="Y228">
        <v>0</v>
      </c>
    </row>
    <row r="229" spans="1:25" x14ac:dyDescent="0.2">
      <c r="A229" t="s">
        <v>853</v>
      </c>
      <c r="B229" t="s">
        <v>854</v>
      </c>
      <c r="C229" t="s">
        <v>855</v>
      </c>
      <c r="D229" t="s">
        <v>856</v>
      </c>
      <c r="E229" t="s">
        <v>854</v>
      </c>
      <c r="F229" t="s">
        <v>28</v>
      </c>
      <c r="G229" t="s">
        <v>854</v>
      </c>
      <c r="H229" t="str">
        <f>"hum-7"</f>
        <v>hum-7</v>
      </c>
      <c r="I229" t="s">
        <v>856</v>
      </c>
      <c r="J229" t="s">
        <v>29</v>
      </c>
      <c r="K229" t="s">
        <v>29</v>
      </c>
      <c r="L229" t="s">
        <v>29</v>
      </c>
      <c r="M229" t="s">
        <v>29</v>
      </c>
      <c r="N229">
        <v>10.646206562042099</v>
      </c>
      <c r="O229" t="s">
        <v>29</v>
      </c>
      <c r="P229" t="s">
        <v>29</v>
      </c>
      <c r="Q229" t="s">
        <v>29</v>
      </c>
      <c r="R229" t="s">
        <v>29</v>
      </c>
      <c r="S229">
        <v>11.033685438254301</v>
      </c>
      <c r="T229" t="s">
        <v>29</v>
      </c>
      <c r="U229" t="s">
        <v>29</v>
      </c>
      <c r="V229" t="s">
        <v>29</v>
      </c>
      <c r="W229" t="s">
        <v>29</v>
      </c>
      <c r="X229" t="s">
        <v>29</v>
      </c>
      <c r="Y229" t="s">
        <v>29</v>
      </c>
    </row>
    <row r="230" spans="1:25" x14ac:dyDescent="0.2">
      <c r="A230" t="s">
        <v>857</v>
      </c>
      <c r="B230" t="s">
        <v>858</v>
      </c>
      <c r="C230" t="s">
        <v>859</v>
      </c>
      <c r="D230" t="s">
        <v>860</v>
      </c>
      <c r="E230" t="s">
        <v>858</v>
      </c>
      <c r="F230" t="s">
        <v>28</v>
      </c>
      <c r="G230" t="s">
        <v>861</v>
      </c>
      <c r="H230" t="str">
        <f>"kin-9"</f>
        <v>kin-9</v>
      </c>
      <c r="I230" t="s">
        <v>323</v>
      </c>
      <c r="J230" t="s">
        <v>29</v>
      </c>
      <c r="K230" t="s">
        <v>29</v>
      </c>
      <c r="L230" t="s">
        <v>29</v>
      </c>
      <c r="M230" t="s">
        <v>29</v>
      </c>
      <c r="N230">
        <v>12.2399528194567</v>
      </c>
      <c r="O230" t="s">
        <v>29</v>
      </c>
      <c r="P230" t="s">
        <v>29</v>
      </c>
      <c r="Q230" t="s">
        <v>29</v>
      </c>
      <c r="R230" t="s">
        <v>29</v>
      </c>
      <c r="S230">
        <v>12.1438313690693</v>
      </c>
      <c r="T230" t="s">
        <v>29</v>
      </c>
      <c r="U230" t="s">
        <v>29</v>
      </c>
      <c r="V230" t="s">
        <v>29</v>
      </c>
      <c r="W230" t="s">
        <v>29</v>
      </c>
      <c r="X230" t="s">
        <v>29</v>
      </c>
      <c r="Y230" t="s">
        <v>29</v>
      </c>
    </row>
    <row r="231" spans="1:25" x14ac:dyDescent="0.2">
      <c r="A231" t="s">
        <v>862</v>
      </c>
      <c r="B231" t="s">
        <v>863</v>
      </c>
      <c r="C231" t="s">
        <v>864</v>
      </c>
      <c r="D231" t="s">
        <v>865</v>
      </c>
      <c r="E231" t="s">
        <v>863</v>
      </c>
      <c r="F231" t="s">
        <v>28</v>
      </c>
      <c r="G231" t="s">
        <v>863</v>
      </c>
      <c r="H231" t="str">
        <f>"otub-3"</f>
        <v>otub-3</v>
      </c>
      <c r="I231" t="s">
        <v>865</v>
      </c>
      <c r="J231">
        <v>11.4370952069295</v>
      </c>
      <c r="K231">
        <v>11.964136231009601</v>
      </c>
      <c r="L231">
        <v>11.0927154716552</v>
      </c>
      <c r="M231" t="s">
        <v>29</v>
      </c>
      <c r="N231">
        <v>10.2545828870243</v>
      </c>
      <c r="O231" t="s">
        <v>29</v>
      </c>
      <c r="P231">
        <v>-1.24339941617382</v>
      </c>
      <c r="Q231">
        <v>-2.2451071066317101</v>
      </c>
      <c r="R231">
        <v>-0.24169172571591799</v>
      </c>
      <c r="S231">
        <v>11.138914649473399</v>
      </c>
      <c r="T231">
        <v>-2.7697243015388202</v>
      </c>
      <c r="U231">
        <v>-3.6437689386212901</v>
      </c>
      <c r="V231">
        <v>1.9981614274514399E-2</v>
      </c>
      <c r="W231">
        <v>0.13631063490412901</v>
      </c>
      <c r="X231">
        <v>-1</v>
      </c>
      <c r="Y231">
        <v>0</v>
      </c>
    </row>
    <row r="232" spans="1:25" x14ac:dyDescent="0.2">
      <c r="A232" t="s">
        <v>866</v>
      </c>
      <c r="B232" t="s">
        <v>867</v>
      </c>
      <c r="C232" t="s">
        <v>868</v>
      </c>
      <c r="D232" t="s">
        <v>869</v>
      </c>
      <c r="E232" t="s">
        <v>867</v>
      </c>
      <c r="F232" t="s">
        <v>28</v>
      </c>
      <c r="G232" t="s">
        <v>867</v>
      </c>
      <c r="H232" t="str">
        <f>"pmp-3"</f>
        <v>pmp-3</v>
      </c>
      <c r="I232" t="s">
        <v>869</v>
      </c>
      <c r="J232">
        <v>11.0494051461502</v>
      </c>
      <c r="K232" t="s">
        <v>29</v>
      </c>
      <c r="L232" t="s">
        <v>29</v>
      </c>
      <c r="M232" t="s">
        <v>29</v>
      </c>
      <c r="N232" t="s">
        <v>29</v>
      </c>
      <c r="O232">
        <v>10.4883966376947</v>
      </c>
      <c r="P232">
        <v>-0.56100850845555095</v>
      </c>
      <c r="Q232">
        <v>-2.2984775037374998</v>
      </c>
      <c r="R232">
        <v>1.1764604868263999</v>
      </c>
      <c r="S232">
        <v>10.602018757753701</v>
      </c>
      <c r="T232">
        <v>-0.76587148247172898</v>
      </c>
      <c r="U232">
        <v>-6.19506265367525</v>
      </c>
      <c r="V232">
        <v>0.46915390440181598</v>
      </c>
      <c r="W232">
        <v>0.73153117908080401</v>
      </c>
      <c r="X232">
        <v>0</v>
      </c>
      <c r="Y232">
        <v>0</v>
      </c>
    </row>
    <row r="233" spans="1:25" x14ac:dyDescent="0.2">
      <c r="A233" t="s">
        <v>870</v>
      </c>
      <c r="B233" t="s">
        <v>871</v>
      </c>
      <c r="C233" t="s">
        <v>14183</v>
      </c>
      <c r="D233" t="s">
        <v>368</v>
      </c>
      <c r="E233" t="s">
        <v>871</v>
      </c>
      <c r="F233" t="s">
        <v>28</v>
      </c>
      <c r="G233" t="s">
        <v>871</v>
      </c>
      <c r="H233" t="str">
        <f>"W05B5.1"</f>
        <v>W05B5.1</v>
      </c>
      <c r="I233" t="s">
        <v>368</v>
      </c>
      <c r="J233">
        <v>11.5418454265444</v>
      </c>
      <c r="K233" t="s">
        <v>29</v>
      </c>
      <c r="L233">
        <v>11.029308279841599</v>
      </c>
      <c r="M233" t="s">
        <v>29</v>
      </c>
      <c r="N233" t="s">
        <v>29</v>
      </c>
      <c r="O233">
        <v>10.581484631528699</v>
      </c>
      <c r="P233">
        <v>-0.70409222166434804</v>
      </c>
      <c r="Q233">
        <v>-1.74033733269223</v>
      </c>
      <c r="R233">
        <v>0.33215288936353798</v>
      </c>
      <c r="S233">
        <v>11.5150082097982</v>
      </c>
      <c r="T233">
        <v>-1.61164938260913</v>
      </c>
      <c r="U233">
        <v>-5.4134607082499597</v>
      </c>
      <c r="V233">
        <v>0.151724171245465</v>
      </c>
      <c r="W233">
        <v>0.40314006532164898</v>
      </c>
      <c r="X233">
        <v>0</v>
      </c>
      <c r="Y233">
        <v>0</v>
      </c>
    </row>
    <row r="234" spans="1:25" x14ac:dyDescent="0.2">
      <c r="A234" t="s">
        <v>872</v>
      </c>
      <c r="B234" t="s">
        <v>873</v>
      </c>
      <c r="C234" t="s">
        <v>14242</v>
      </c>
      <c r="D234" t="s">
        <v>874</v>
      </c>
      <c r="E234" t="s">
        <v>873</v>
      </c>
      <c r="F234" t="s">
        <v>28</v>
      </c>
      <c r="G234" t="s">
        <v>873</v>
      </c>
      <c r="H234" t="str">
        <f>"T26C11.4"</f>
        <v>T26C11.4</v>
      </c>
      <c r="I234" t="s">
        <v>874</v>
      </c>
      <c r="J234" t="s">
        <v>29</v>
      </c>
      <c r="K234">
        <v>10.755945998737699</v>
      </c>
      <c r="L234">
        <v>11.349839729488</v>
      </c>
      <c r="M234" t="s">
        <v>29</v>
      </c>
      <c r="N234" t="s">
        <v>29</v>
      </c>
      <c r="O234">
        <v>10.845965514746799</v>
      </c>
      <c r="P234">
        <v>-0.20692734936610299</v>
      </c>
      <c r="Q234">
        <v>-1.1067995470545799</v>
      </c>
      <c r="R234">
        <v>0.69294484832237202</v>
      </c>
      <c r="S234">
        <v>11.482159740307599</v>
      </c>
      <c r="T234">
        <v>-0.50151285909357701</v>
      </c>
      <c r="U234">
        <v>-6.5185133050783497</v>
      </c>
      <c r="V234">
        <v>0.62516280538048996</v>
      </c>
      <c r="W234">
        <v>0.82627123018201198</v>
      </c>
      <c r="X234">
        <v>0</v>
      </c>
      <c r="Y234">
        <v>0</v>
      </c>
    </row>
    <row r="235" spans="1:25" x14ac:dyDescent="0.2">
      <c r="A235" t="s">
        <v>875</v>
      </c>
      <c r="B235" t="s">
        <v>876</v>
      </c>
      <c r="C235" t="s">
        <v>877</v>
      </c>
      <c r="D235" t="s">
        <v>878</v>
      </c>
      <c r="E235" t="s">
        <v>876</v>
      </c>
      <c r="F235" t="s">
        <v>28</v>
      </c>
      <c r="G235" t="s">
        <v>876</v>
      </c>
      <c r="H235" t="str">
        <f>"pqn-87"</f>
        <v>pqn-87</v>
      </c>
      <c r="I235" t="s">
        <v>878</v>
      </c>
      <c r="J235">
        <v>12.6382118322897</v>
      </c>
      <c r="K235">
        <v>10.6013862155075</v>
      </c>
      <c r="L235">
        <v>11.9762274987603</v>
      </c>
      <c r="M235">
        <v>12.0920688023973</v>
      </c>
      <c r="N235">
        <v>11.995712002049199</v>
      </c>
      <c r="O235">
        <v>11.7255802546347</v>
      </c>
      <c r="P235">
        <v>0.199178504174544</v>
      </c>
      <c r="Q235">
        <v>-0.57512394230774</v>
      </c>
      <c r="R235">
        <v>0.97348095065682705</v>
      </c>
      <c r="S235">
        <v>12.2018645331885</v>
      </c>
      <c r="T235">
        <v>0.54560879813725705</v>
      </c>
      <c r="U235">
        <v>-6.8965027564027297</v>
      </c>
      <c r="V235">
        <v>0.59290996067284396</v>
      </c>
      <c r="W235">
        <v>0.80455755297307496</v>
      </c>
      <c r="X235">
        <v>0</v>
      </c>
      <c r="Y235">
        <v>0</v>
      </c>
    </row>
    <row r="236" spans="1:25" x14ac:dyDescent="0.2">
      <c r="A236" t="s">
        <v>879</v>
      </c>
      <c r="B236" t="s">
        <v>880</v>
      </c>
      <c r="C236" t="s">
        <v>14243</v>
      </c>
      <c r="D236" t="s">
        <v>881</v>
      </c>
      <c r="E236" t="s">
        <v>880</v>
      </c>
      <c r="F236" t="s">
        <v>28</v>
      </c>
      <c r="G236" t="s">
        <v>880</v>
      </c>
      <c r="H236" t="str">
        <f>"F55A11.6"</f>
        <v>F55A11.6</v>
      </c>
      <c r="I236" t="s">
        <v>881</v>
      </c>
      <c r="J236">
        <v>11.287494539237001</v>
      </c>
      <c r="K236" t="s">
        <v>29</v>
      </c>
      <c r="L236" t="s">
        <v>29</v>
      </c>
      <c r="M236" t="s">
        <v>29</v>
      </c>
      <c r="N236" t="s">
        <v>29</v>
      </c>
      <c r="O236" t="s">
        <v>29</v>
      </c>
      <c r="P236" t="s">
        <v>29</v>
      </c>
      <c r="Q236" t="s">
        <v>29</v>
      </c>
      <c r="R236" t="s">
        <v>29</v>
      </c>
      <c r="S236">
        <v>11.381007339987301</v>
      </c>
      <c r="T236" t="s">
        <v>29</v>
      </c>
      <c r="U236" t="s">
        <v>29</v>
      </c>
      <c r="V236" t="s">
        <v>29</v>
      </c>
      <c r="W236" t="s">
        <v>29</v>
      </c>
      <c r="X236" t="s">
        <v>29</v>
      </c>
      <c r="Y236" t="s">
        <v>29</v>
      </c>
    </row>
    <row r="237" spans="1:25" x14ac:dyDescent="0.2">
      <c r="A237" t="s">
        <v>882</v>
      </c>
      <c r="B237" t="s">
        <v>883</v>
      </c>
      <c r="C237" t="s">
        <v>14244</v>
      </c>
      <c r="D237" t="s">
        <v>561</v>
      </c>
      <c r="E237" t="s">
        <v>883</v>
      </c>
      <c r="F237" t="s">
        <v>28</v>
      </c>
      <c r="G237" t="s">
        <v>883</v>
      </c>
      <c r="H237" t="str">
        <f>"ZC434.9"</f>
        <v>ZC434.9</v>
      </c>
      <c r="I237" t="s">
        <v>561</v>
      </c>
      <c r="J237">
        <v>13.2802871362821</v>
      </c>
      <c r="K237" t="s">
        <v>29</v>
      </c>
      <c r="L237">
        <v>12.759887081627101</v>
      </c>
      <c r="M237" t="s">
        <v>29</v>
      </c>
      <c r="N237" t="s">
        <v>29</v>
      </c>
      <c r="O237">
        <v>12.6027922160296</v>
      </c>
      <c r="P237">
        <v>-0.41729489292492999</v>
      </c>
      <c r="Q237">
        <v>-1.35585192947583</v>
      </c>
      <c r="R237">
        <v>0.52126214362596501</v>
      </c>
      <c r="S237">
        <v>12.721368470964601</v>
      </c>
      <c r="T237">
        <v>-0.97973831589350602</v>
      </c>
      <c r="U237">
        <v>-6.1575787735148504</v>
      </c>
      <c r="V237">
        <v>0.34846996176008099</v>
      </c>
      <c r="W237">
        <v>0.62960647171976802</v>
      </c>
      <c r="X237">
        <v>0</v>
      </c>
      <c r="Y237">
        <v>0</v>
      </c>
    </row>
    <row r="238" spans="1:25" x14ac:dyDescent="0.2">
      <c r="A238" t="s">
        <v>884</v>
      </c>
      <c r="B238" t="s">
        <v>885</v>
      </c>
      <c r="C238" t="s">
        <v>886</v>
      </c>
      <c r="D238" t="s">
        <v>887</v>
      </c>
      <c r="E238" t="s">
        <v>885</v>
      </c>
      <c r="F238" t="s">
        <v>28</v>
      </c>
      <c r="G238" t="s">
        <v>885</v>
      </c>
      <c r="H238" t="str">
        <f>"B0511.12"</f>
        <v>B0511.12</v>
      </c>
      <c r="I238" t="s">
        <v>887</v>
      </c>
      <c r="J238" t="s">
        <v>29</v>
      </c>
      <c r="K238">
        <v>13.633028672366599</v>
      </c>
      <c r="L238" t="s">
        <v>29</v>
      </c>
      <c r="M238" t="s">
        <v>29</v>
      </c>
      <c r="N238">
        <v>14.7407582029161</v>
      </c>
      <c r="O238" t="s">
        <v>29</v>
      </c>
      <c r="P238">
        <v>1.1077295305494701</v>
      </c>
      <c r="Q238">
        <v>-0.74151062493484299</v>
      </c>
      <c r="R238">
        <v>2.95696968603378</v>
      </c>
      <c r="S238">
        <v>11.880653929092199</v>
      </c>
      <c r="T238">
        <v>1.3064278521022299</v>
      </c>
      <c r="U238">
        <v>-5.6656406298020698</v>
      </c>
      <c r="V238">
        <v>0.21610347610900599</v>
      </c>
      <c r="W238">
        <v>0.48263604067172799</v>
      </c>
      <c r="X238">
        <v>0</v>
      </c>
      <c r="Y238">
        <v>0</v>
      </c>
    </row>
    <row r="239" spans="1:25" x14ac:dyDescent="0.2">
      <c r="A239" t="s">
        <v>888</v>
      </c>
      <c r="B239" t="s">
        <v>889</v>
      </c>
      <c r="C239" t="s">
        <v>14245</v>
      </c>
      <c r="D239" t="s">
        <v>890</v>
      </c>
      <c r="E239" t="s">
        <v>889</v>
      </c>
      <c r="F239" t="s">
        <v>28</v>
      </c>
      <c r="G239" t="s">
        <v>889</v>
      </c>
      <c r="H239" t="str">
        <f>"F38A1.8"</f>
        <v>F38A1.8</v>
      </c>
      <c r="I239" t="s">
        <v>890</v>
      </c>
      <c r="J239">
        <v>13.686242002215501</v>
      </c>
      <c r="K239">
        <v>13.667998078095399</v>
      </c>
      <c r="L239">
        <v>13.494038374502701</v>
      </c>
      <c r="M239">
        <v>14.4143072272614</v>
      </c>
      <c r="N239">
        <v>14.6410657453367</v>
      </c>
      <c r="O239">
        <v>14.435694118645699</v>
      </c>
      <c r="P239">
        <v>0.88092954547674995</v>
      </c>
      <c r="Q239">
        <v>0.485481327183165</v>
      </c>
      <c r="R239">
        <v>1.27637776377034</v>
      </c>
      <c r="S239">
        <v>14.040037880015699</v>
      </c>
      <c r="T239">
        <v>4.70220507656727</v>
      </c>
      <c r="U239">
        <v>0.34863286179453101</v>
      </c>
      <c r="V239">
        <v>2.08509529823165E-4</v>
      </c>
      <c r="W239">
        <v>5.7499153393608298E-3</v>
      </c>
      <c r="X239">
        <v>0</v>
      </c>
      <c r="Y239">
        <v>0</v>
      </c>
    </row>
    <row r="240" spans="1:25" x14ac:dyDescent="0.2">
      <c r="A240" t="s">
        <v>891</v>
      </c>
      <c r="B240" t="s">
        <v>892</v>
      </c>
      <c r="C240" t="s">
        <v>893</v>
      </c>
      <c r="D240" t="s">
        <v>107</v>
      </c>
      <c r="E240" t="s">
        <v>892</v>
      </c>
      <c r="F240" t="s">
        <v>28</v>
      </c>
      <c r="G240" t="s">
        <v>894</v>
      </c>
      <c r="H240" t="str">
        <f>"str-176"</f>
        <v>str-176</v>
      </c>
      <c r="I240" t="s">
        <v>107</v>
      </c>
      <c r="J240">
        <v>14.691667800415299</v>
      </c>
      <c r="K240">
        <v>14.019044334253</v>
      </c>
      <c r="L240">
        <v>14.1799997720278</v>
      </c>
      <c r="M240">
        <v>13.5993708279559</v>
      </c>
      <c r="N240">
        <v>14.337274262639699</v>
      </c>
      <c r="O240">
        <v>14.6493882632808</v>
      </c>
      <c r="P240">
        <v>-0.101559517606558</v>
      </c>
      <c r="Q240">
        <v>-0.75140507486159203</v>
      </c>
      <c r="R240">
        <v>0.548286039648475</v>
      </c>
      <c r="S240">
        <v>14.2148312333278</v>
      </c>
      <c r="T240">
        <v>-0.33543035976045299</v>
      </c>
      <c r="U240">
        <v>-6.9924666834378097</v>
      </c>
      <c r="V240">
        <v>0.742311064545778</v>
      </c>
      <c r="W240">
        <v>0.89145848898999702</v>
      </c>
      <c r="X240">
        <v>0</v>
      </c>
      <c r="Y240">
        <v>0</v>
      </c>
    </row>
    <row r="241" spans="1:25" x14ac:dyDescent="0.2">
      <c r="A241" t="s">
        <v>895</v>
      </c>
      <c r="B241" t="s">
        <v>896</v>
      </c>
      <c r="C241" t="s">
        <v>14246</v>
      </c>
      <c r="D241" t="s">
        <v>897</v>
      </c>
      <c r="E241" t="s">
        <v>896</v>
      </c>
      <c r="F241" t="s">
        <v>28</v>
      </c>
      <c r="G241" t="s">
        <v>896</v>
      </c>
      <c r="H241" t="str">
        <f>"Y50D4A.1"</f>
        <v>Y50D4A.1</v>
      </c>
      <c r="I241" t="s">
        <v>897</v>
      </c>
      <c r="J241">
        <v>11.959115936977399</v>
      </c>
      <c r="K241">
        <v>13.3807630915841</v>
      </c>
      <c r="L241">
        <v>12.9641653475742</v>
      </c>
      <c r="M241">
        <v>12.943402965823999</v>
      </c>
      <c r="N241">
        <v>12.711829721349099</v>
      </c>
      <c r="O241">
        <v>12.903274160895901</v>
      </c>
      <c r="P241">
        <v>8.4820823977764803E-2</v>
      </c>
      <c r="Q241">
        <v>-0.509964160552695</v>
      </c>
      <c r="R241">
        <v>0.67960580850822405</v>
      </c>
      <c r="S241">
        <v>13.168204247553399</v>
      </c>
      <c r="T241">
        <v>0.30247676577975502</v>
      </c>
      <c r="U241">
        <v>-7.0039588109575996</v>
      </c>
      <c r="V241">
        <v>0.76621090433074801</v>
      </c>
      <c r="W241">
        <v>0.90111683213701999</v>
      </c>
      <c r="X241">
        <v>0</v>
      </c>
      <c r="Y241">
        <v>0</v>
      </c>
    </row>
    <row r="242" spans="1:25" x14ac:dyDescent="0.2">
      <c r="A242" t="s">
        <v>898</v>
      </c>
      <c r="B242" t="s">
        <v>899</v>
      </c>
      <c r="C242" t="s">
        <v>900</v>
      </c>
      <c r="D242" t="s">
        <v>901</v>
      </c>
      <c r="E242" t="s">
        <v>899</v>
      </c>
      <c r="F242" t="s">
        <v>28</v>
      </c>
      <c r="G242" t="s">
        <v>899</v>
      </c>
      <c r="H242" t="str">
        <f>"nhr-119"</f>
        <v>nhr-119</v>
      </c>
      <c r="I242" t="s">
        <v>901</v>
      </c>
      <c r="J242" t="s">
        <v>29</v>
      </c>
      <c r="K242" t="s">
        <v>29</v>
      </c>
      <c r="L242" t="s">
        <v>29</v>
      </c>
      <c r="M242">
        <v>11.1530242734241</v>
      </c>
      <c r="N242" t="s">
        <v>29</v>
      </c>
      <c r="O242" t="s">
        <v>29</v>
      </c>
      <c r="P242" t="s">
        <v>29</v>
      </c>
      <c r="Q242" t="s">
        <v>29</v>
      </c>
      <c r="R242" t="s">
        <v>29</v>
      </c>
      <c r="S242">
        <v>11.2970360588912</v>
      </c>
      <c r="T242" t="s">
        <v>29</v>
      </c>
      <c r="U242" t="s">
        <v>29</v>
      </c>
      <c r="V242" t="s">
        <v>29</v>
      </c>
      <c r="W242" t="s">
        <v>29</v>
      </c>
      <c r="X242" t="s">
        <v>29</v>
      </c>
      <c r="Y242" t="s">
        <v>29</v>
      </c>
    </row>
    <row r="243" spans="1:25" x14ac:dyDescent="0.2">
      <c r="A243" t="s">
        <v>902</v>
      </c>
      <c r="B243" t="s">
        <v>903</v>
      </c>
      <c r="C243" t="s">
        <v>904</v>
      </c>
      <c r="D243" t="s">
        <v>905</v>
      </c>
      <c r="E243" t="s">
        <v>903</v>
      </c>
      <c r="F243" t="s">
        <v>28</v>
      </c>
      <c r="G243" t="s">
        <v>903</v>
      </c>
      <c r="H243" t="str">
        <f>"pqn-52"</f>
        <v>pqn-52</v>
      </c>
      <c r="I243" t="s">
        <v>905</v>
      </c>
      <c r="J243">
        <v>16.076508162008601</v>
      </c>
      <c r="K243">
        <v>15.9103727093534</v>
      </c>
      <c r="L243">
        <v>16.7894165353541</v>
      </c>
      <c r="M243">
        <v>17.123833166143601</v>
      </c>
      <c r="N243">
        <v>16.810591056004299</v>
      </c>
      <c r="O243">
        <v>16.891815440334199</v>
      </c>
      <c r="P243">
        <v>0.68331408525531101</v>
      </c>
      <c r="Q243">
        <v>-0.13456598337564499</v>
      </c>
      <c r="R243">
        <v>1.5011941538862701</v>
      </c>
      <c r="S243">
        <v>15.970391558551</v>
      </c>
      <c r="T243">
        <v>1.75599494507929</v>
      </c>
      <c r="U243">
        <v>-5.56209227746296</v>
      </c>
      <c r="V243">
        <v>9.6189805412666696E-2</v>
      </c>
      <c r="W243">
        <v>0.32004256320329</v>
      </c>
      <c r="X243">
        <v>0</v>
      </c>
      <c r="Y243">
        <v>0</v>
      </c>
    </row>
    <row r="244" spans="1:25" x14ac:dyDescent="0.2">
      <c r="A244" t="s">
        <v>906</v>
      </c>
      <c r="B244" t="s">
        <v>907</v>
      </c>
      <c r="C244" t="s">
        <v>908</v>
      </c>
      <c r="D244" t="s">
        <v>909</v>
      </c>
      <c r="E244" t="s">
        <v>907</v>
      </c>
      <c r="F244" t="s">
        <v>28</v>
      </c>
      <c r="G244" t="s">
        <v>907</v>
      </c>
      <c r="H244" t="str">
        <f>"ttn-1"</f>
        <v>ttn-1</v>
      </c>
      <c r="I244" t="s">
        <v>909</v>
      </c>
      <c r="J244">
        <v>14.3170271097219</v>
      </c>
      <c r="K244">
        <v>14.4381174917685</v>
      </c>
      <c r="L244">
        <v>14.7130061646836</v>
      </c>
      <c r="M244">
        <v>14.8180878260612</v>
      </c>
      <c r="N244">
        <v>14.189425333771</v>
      </c>
      <c r="O244">
        <v>14.6568857859586</v>
      </c>
      <c r="P244">
        <v>6.54160598722449E-2</v>
      </c>
      <c r="Q244">
        <v>-0.47199554681213401</v>
      </c>
      <c r="R244">
        <v>0.60282766655662301</v>
      </c>
      <c r="S244">
        <v>14.376157807070999</v>
      </c>
      <c r="T244">
        <v>0.25584082894946902</v>
      </c>
      <c r="U244">
        <v>-7.0178471395767703</v>
      </c>
      <c r="V244">
        <v>0.80099145687614004</v>
      </c>
      <c r="W244">
        <v>0.91646490881679299</v>
      </c>
      <c r="X244">
        <v>0</v>
      </c>
      <c r="Y244">
        <v>0</v>
      </c>
    </row>
    <row r="245" spans="1:25" x14ac:dyDescent="0.2">
      <c r="A245" t="s">
        <v>910</v>
      </c>
      <c r="B245" t="s">
        <v>911</v>
      </c>
      <c r="C245" t="s">
        <v>14247</v>
      </c>
      <c r="D245" t="s">
        <v>912</v>
      </c>
      <c r="E245" t="s">
        <v>911</v>
      </c>
      <c r="F245" t="s">
        <v>28</v>
      </c>
      <c r="G245" t="s">
        <v>911</v>
      </c>
      <c r="H245" t="str">
        <f>"T10F2.5"</f>
        <v>T10F2.5</v>
      </c>
      <c r="I245" t="s">
        <v>912</v>
      </c>
      <c r="J245">
        <v>14.3955559119595</v>
      </c>
      <c r="K245" t="s">
        <v>29</v>
      </c>
      <c r="L245">
        <v>13.4747996115987</v>
      </c>
      <c r="M245">
        <v>13.2386264585903</v>
      </c>
      <c r="N245" t="s">
        <v>29</v>
      </c>
      <c r="O245">
        <v>12.7996587817735</v>
      </c>
      <c r="P245">
        <v>-0.91603514159719701</v>
      </c>
      <c r="Q245">
        <v>-1.7017763659141001</v>
      </c>
      <c r="R245">
        <v>-0.13029391728029399</v>
      </c>
      <c r="S245">
        <v>13.180131236710199</v>
      </c>
      <c r="T245">
        <v>-2.54259745519794</v>
      </c>
      <c r="U245">
        <v>-4.0910204965453802</v>
      </c>
      <c r="V245">
        <v>2.5962870244968302E-2</v>
      </c>
      <c r="W245">
        <v>0.15732435712686499</v>
      </c>
      <c r="X245">
        <v>0</v>
      </c>
      <c r="Y245">
        <v>0</v>
      </c>
    </row>
    <row r="246" spans="1:25" x14ac:dyDescent="0.2">
      <c r="A246" t="s">
        <v>913</v>
      </c>
      <c r="B246" t="s">
        <v>914</v>
      </c>
      <c r="C246" t="s">
        <v>14171</v>
      </c>
      <c r="D246" t="s">
        <v>915</v>
      </c>
      <c r="E246" t="s">
        <v>914</v>
      </c>
      <c r="F246" t="s">
        <v>28</v>
      </c>
      <c r="G246" t="s">
        <v>914</v>
      </c>
      <c r="H246" t="str">
        <f>"Y92H12BM.1"</f>
        <v>Y92H12BM.1</v>
      </c>
      <c r="I246" t="s">
        <v>915</v>
      </c>
      <c r="J246">
        <v>10.2205996185674</v>
      </c>
      <c r="K246" t="s">
        <v>29</v>
      </c>
      <c r="L246">
        <v>10.361591120431401</v>
      </c>
      <c r="M246">
        <v>14.352828303312601</v>
      </c>
      <c r="N246">
        <v>14.586787130761101</v>
      </c>
      <c r="O246">
        <v>13.954717471181601</v>
      </c>
      <c r="P246">
        <v>4.0070155989190503</v>
      </c>
      <c r="Q246">
        <v>3.4497763998847701</v>
      </c>
      <c r="R246">
        <v>4.5642547979533203</v>
      </c>
      <c r="S246">
        <v>13.1312676075153</v>
      </c>
      <c r="T246">
        <v>15.2520739962387</v>
      </c>
      <c r="U246">
        <v>15.222210863791799</v>
      </c>
      <c r="V246" s="2">
        <v>6.5620275477706302E-11</v>
      </c>
      <c r="W246" s="2">
        <v>4.2705675280891198E-8</v>
      </c>
      <c r="X246">
        <v>1</v>
      </c>
      <c r="Y246">
        <v>1</v>
      </c>
    </row>
    <row r="247" spans="1:25" x14ac:dyDescent="0.2">
      <c r="A247" t="s">
        <v>916</v>
      </c>
      <c r="B247" t="s">
        <v>917</v>
      </c>
      <c r="C247" t="s">
        <v>918</v>
      </c>
      <c r="D247" t="s">
        <v>919</v>
      </c>
      <c r="E247" t="s">
        <v>917</v>
      </c>
      <c r="F247" t="s">
        <v>28</v>
      </c>
      <c r="G247" t="s">
        <v>917</v>
      </c>
      <c r="H247" t="str">
        <f>"mtg-1"</f>
        <v>mtg-1</v>
      </c>
      <c r="I247" t="s">
        <v>919</v>
      </c>
      <c r="J247">
        <v>10.892559198808399</v>
      </c>
      <c r="K247">
        <v>11.00562227132</v>
      </c>
      <c r="L247">
        <v>11.165406456319801</v>
      </c>
      <c r="M247" t="s">
        <v>29</v>
      </c>
      <c r="N247">
        <v>12.562679125753901</v>
      </c>
      <c r="O247">
        <v>11.628280155573</v>
      </c>
      <c r="P247">
        <v>1.0742836651807199</v>
      </c>
      <c r="Q247">
        <v>0.375425541689135</v>
      </c>
      <c r="R247">
        <v>1.77314178867231</v>
      </c>
      <c r="S247">
        <v>11.7630028361218</v>
      </c>
      <c r="T247">
        <v>3.2993003054939698</v>
      </c>
      <c r="U247">
        <v>-2.6861436600699</v>
      </c>
      <c r="V247">
        <v>5.3163702170669902E-3</v>
      </c>
      <c r="W247">
        <v>5.6906146994526299E-2</v>
      </c>
      <c r="X247">
        <v>1</v>
      </c>
      <c r="Y247">
        <v>0</v>
      </c>
    </row>
    <row r="248" spans="1:25" x14ac:dyDescent="0.2">
      <c r="A248" t="s">
        <v>920</v>
      </c>
      <c r="B248" t="s">
        <v>921</v>
      </c>
      <c r="C248" t="s">
        <v>922</v>
      </c>
      <c r="D248" t="s">
        <v>93</v>
      </c>
      <c r="E248" t="s">
        <v>921</v>
      </c>
      <c r="F248" t="s">
        <v>28</v>
      </c>
      <c r="G248" t="s">
        <v>921</v>
      </c>
      <c r="H248" t="str">
        <f>"hrpu-2"</f>
        <v>hrpu-2</v>
      </c>
      <c r="I248" t="s">
        <v>93</v>
      </c>
      <c r="J248">
        <v>17.362313263654201</v>
      </c>
      <c r="K248">
        <v>17.768661615750599</v>
      </c>
      <c r="L248">
        <v>17.793895299654999</v>
      </c>
      <c r="M248">
        <v>17.479231985955</v>
      </c>
      <c r="N248">
        <v>17.268682298753401</v>
      </c>
      <c r="O248">
        <v>17.435585135676099</v>
      </c>
      <c r="P248">
        <v>-0.247123586225104</v>
      </c>
      <c r="Q248">
        <v>-0.68708224870769097</v>
      </c>
      <c r="R248">
        <v>0.192835076257483</v>
      </c>
      <c r="S248">
        <v>17.651722802158201</v>
      </c>
      <c r="T248">
        <v>-1.18057841299293</v>
      </c>
      <c r="U248">
        <v>-6.3489120458141404</v>
      </c>
      <c r="V248">
        <v>0.25322502856659301</v>
      </c>
      <c r="W248">
        <v>0.52843298617282097</v>
      </c>
      <c r="X248">
        <v>0</v>
      </c>
      <c r="Y248">
        <v>0</v>
      </c>
    </row>
    <row r="249" spans="1:25" x14ac:dyDescent="0.2">
      <c r="A249" t="s">
        <v>923</v>
      </c>
      <c r="B249" t="s">
        <v>924</v>
      </c>
      <c r="C249" t="s">
        <v>925</v>
      </c>
      <c r="D249" t="s">
        <v>926</v>
      </c>
      <c r="E249" t="s">
        <v>924</v>
      </c>
      <c r="F249" t="s">
        <v>28</v>
      </c>
      <c r="G249" t="s">
        <v>924</v>
      </c>
      <c r="H249" t="str">
        <f>"slc-36.2"</f>
        <v>slc-36.2</v>
      </c>
      <c r="I249" t="s">
        <v>926</v>
      </c>
      <c r="J249">
        <v>15.0153462890482</v>
      </c>
      <c r="K249">
        <v>15.156529550622301</v>
      </c>
      <c r="L249">
        <v>14.9193734868983</v>
      </c>
      <c r="M249">
        <v>14.5595799337065</v>
      </c>
      <c r="N249">
        <v>14.641272497994599</v>
      </c>
      <c r="O249">
        <v>14.616904355459299</v>
      </c>
      <c r="P249">
        <v>-0.42449751313615097</v>
      </c>
      <c r="Q249">
        <v>-0.88657474611588405</v>
      </c>
      <c r="R249">
        <v>3.7579719843582E-2</v>
      </c>
      <c r="S249">
        <v>14.9781872952759</v>
      </c>
      <c r="T249">
        <v>-1.9308702561844</v>
      </c>
      <c r="U249">
        <v>-5.2786067143562398</v>
      </c>
      <c r="V249">
        <v>6.9498693907510498E-2</v>
      </c>
      <c r="W249">
        <v>0.26794875589459599</v>
      </c>
      <c r="X249">
        <v>0</v>
      </c>
      <c r="Y249">
        <v>0</v>
      </c>
    </row>
    <row r="250" spans="1:25" x14ac:dyDescent="0.2">
      <c r="A250" t="s">
        <v>927</v>
      </c>
      <c r="B250" t="s">
        <v>928</v>
      </c>
      <c r="C250" t="s">
        <v>929</v>
      </c>
      <c r="D250" t="s">
        <v>930</v>
      </c>
      <c r="E250" t="s">
        <v>928</v>
      </c>
      <c r="F250" t="s">
        <v>28</v>
      </c>
      <c r="G250" t="s">
        <v>928</v>
      </c>
      <c r="H250" t="str">
        <f>"abtm-1"</f>
        <v>abtm-1</v>
      </c>
      <c r="I250" t="s">
        <v>930</v>
      </c>
      <c r="J250">
        <v>13.950891351375001</v>
      </c>
      <c r="K250">
        <v>13.9453088298523</v>
      </c>
      <c r="L250">
        <v>13.5627318949975</v>
      </c>
      <c r="M250">
        <v>13.853921177498799</v>
      </c>
      <c r="N250">
        <v>13.7399350219863</v>
      </c>
      <c r="O250">
        <v>13.5475025365457</v>
      </c>
      <c r="P250">
        <v>-0.10585778006466701</v>
      </c>
      <c r="Q250">
        <v>-0.53219156861230299</v>
      </c>
      <c r="R250">
        <v>0.32047600848296798</v>
      </c>
      <c r="S250">
        <v>13.6740276515748</v>
      </c>
      <c r="T250">
        <v>-0.52187385727398194</v>
      </c>
      <c r="U250">
        <v>-6.9104396072449097</v>
      </c>
      <c r="V250">
        <v>0.60815794240744303</v>
      </c>
      <c r="W250">
        <v>0.81404604878396503</v>
      </c>
      <c r="X250">
        <v>0</v>
      </c>
      <c r="Y250">
        <v>0</v>
      </c>
    </row>
    <row r="251" spans="1:25" x14ac:dyDescent="0.2">
      <c r="A251" t="s">
        <v>931</v>
      </c>
      <c r="B251" t="s">
        <v>932</v>
      </c>
      <c r="C251" t="s">
        <v>933</v>
      </c>
      <c r="D251" t="s">
        <v>178</v>
      </c>
      <c r="E251" t="s">
        <v>932</v>
      </c>
      <c r="F251" t="s">
        <v>28</v>
      </c>
      <c r="G251" t="s">
        <v>932</v>
      </c>
      <c r="H251" t="str">
        <f>"tbc-9"</f>
        <v>tbc-9</v>
      </c>
      <c r="I251" t="s">
        <v>178</v>
      </c>
      <c r="J251">
        <v>11.006377981375101</v>
      </c>
      <c r="K251">
        <v>11.898298025546101</v>
      </c>
      <c r="L251">
        <v>11.521636654200901</v>
      </c>
      <c r="M251" t="s">
        <v>29</v>
      </c>
      <c r="N251">
        <v>11.6242607843832</v>
      </c>
      <c r="O251">
        <v>12.2602890134304</v>
      </c>
      <c r="P251">
        <v>0.46683734519938203</v>
      </c>
      <c r="Q251">
        <v>-0.40982266428812097</v>
      </c>
      <c r="R251">
        <v>1.34349735468688</v>
      </c>
      <c r="S251">
        <v>11.697421566274301</v>
      </c>
      <c r="T251">
        <v>1.1357323613310499</v>
      </c>
      <c r="U251">
        <v>-6.2876766417293801</v>
      </c>
      <c r="V251">
        <v>0.27401324498132801</v>
      </c>
      <c r="W251">
        <v>0.551415645744737</v>
      </c>
      <c r="X251">
        <v>0</v>
      </c>
      <c r="Y251">
        <v>0</v>
      </c>
    </row>
    <row r="252" spans="1:25" x14ac:dyDescent="0.2">
      <c r="A252" t="s">
        <v>934</v>
      </c>
      <c r="B252" t="s">
        <v>935</v>
      </c>
      <c r="C252" t="s">
        <v>936</v>
      </c>
      <c r="D252" t="s">
        <v>937</v>
      </c>
      <c r="E252" t="s">
        <v>935</v>
      </c>
      <c r="F252" t="s">
        <v>28</v>
      </c>
      <c r="G252" t="s">
        <v>935</v>
      </c>
      <c r="H252" t="str">
        <f>"cir-1"</f>
        <v>cir-1</v>
      </c>
      <c r="I252" t="s">
        <v>937</v>
      </c>
      <c r="J252">
        <v>12.702419251531699</v>
      </c>
      <c r="K252">
        <v>12.5906853584743</v>
      </c>
      <c r="L252">
        <v>13.176833625487999</v>
      </c>
      <c r="M252">
        <v>12.332213745208399</v>
      </c>
      <c r="N252">
        <v>11.4760559695242</v>
      </c>
      <c r="O252">
        <v>12.9137108047418</v>
      </c>
      <c r="P252">
        <v>-0.58265257200654097</v>
      </c>
      <c r="Q252">
        <v>-1.2668636644808999</v>
      </c>
      <c r="R252">
        <v>0.101558520467814</v>
      </c>
      <c r="S252">
        <v>12.9179646629446</v>
      </c>
      <c r="T252">
        <v>-1.8161895103782799</v>
      </c>
      <c r="U252">
        <v>-5.47517261934932</v>
      </c>
      <c r="V252">
        <v>8.9519677101031606E-2</v>
      </c>
      <c r="W252">
        <v>0.30695155878478098</v>
      </c>
      <c r="X252">
        <v>0</v>
      </c>
      <c r="Y252">
        <v>0</v>
      </c>
    </row>
    <row r="253" spans="1:25" x14ac:dyDescent="0.2">
      <c r="A253" t="s">
        <v>938</v>
      </c>
      <c r="B253" t="s">
        <v>939</v>
      </c>
      <c r="C253" t="s">
        <v>940</v>
      </c>
      <c r="D253" t="s">
        <v>941</v>
      </c>
      <c r="E253" t="s">
        <v>939</v>
      </c>
      <c r="F253" t="s">
        <v>28</v>
      </c>
      <c r="G253" t="s">
        <v>939</v>
      </c>
      <c r="H253" t="str">
        <f>"sax-3"</f>
        <v>sax-3</v>
      </c>
      <c r="I253" t="s">
        <v>941</v>
      </c>
      <c r="J253" t="s">
        <v>29</v>
      </c>
      <c r="K253" t="s">
        <v>29</v>
      </c>
      <c r="L253" t="s">
        <v>29</v>
      </c>
      <c r="M253" t="s">
        <v>29</v>
      </c>
      <c r="N253" t="s">
        <v>29</v>
      </c>
      <c r="O253" t="s">
        <v>29</v>
      </c>
      <c r="P253" t="s">
        <v>29</v>
      </c>
      <c r="Q253" t="s">
        <v>29</v>
      </c>
      <c r="R253" t="s">
        <v>29</v>
      </c>
      <c r="S253">
        <v>10.700055777954001</v>
      </c>
      <c r="T253" t="s">
        <v>29</v>
      </c>
      <c r="U253" t="s">
        <v>29</v>
      </c>
      <c r="V253" t="s">
        <v>29</v>
      </c>
      <c r="W253" t="s">
        <v>29</v>
      </c>
      <c r="X253" t="s">
        <v>29</v>
      </c>
      <c r="Y253" t="s">
        <v>29</v>
      </c>
    </row>
    <row r="254" spans="1:25" x14ac:dyDescent="0.2">
      <c r="A254" t="s">
        <v>942</v>
      </c>
      <c r="B254" t="s">
        <v>943</v>
      </c>
      <c r="C254" t="s">
        <v>944</v>
      </c>
      <c r="D254" t="s">
        <v>945</v>
      </c>
      <c r="E254" t="s">
        <v>943</v>
      </c>
      <c r="F254" t="s">
        <v>28</v>
      </c>
      <c r="G254" t="s">
        <v>943</v>
      </c>
      <c r="H254" t="str">
        <f>"pud-2.1"</f>
        <v>pud-2.1</v>
      </c>
      <c r="I254" t="s">
        <v>945</v>
      </c>
      <c r="J254">
        <v>12.579989328216101</v>
      </c>
      <c r="K254" t="s">
        <v>29</v>
      </c>
      <c r="L254" t="s">
        <v>29</v>
      </c>
      <c r="M254">
        <v>13.2684568551469</v>
      </c>
      <c r="N254">
        <v>14.273477610104999</v>
      </c>
      <c r="O254">
        <v>13.248411375140501</v>
      </c>
      <c r="P254">
        <v>1.0167926185813601</v>
      </c>
      <c r="Q254">
        <v>-0.76914187763203101</v>
      </c>
      <c r="R254">
        <v>2.8027271147947501</v>
      </c>
      <c r="S254">
        <v>12.743811753127099</v>
      </c>
      <c r="T254">
        <v>1.23098880477414</v>
      </c>
      <c r="U254">
        <v>-5.9491562584891096</v>
      </c>
      <c r="V254">
        <v>0.24030780294436099</v>
      </c>
      <c r="W254">
        <v>0.51411975465742199</v>
      </c>
      <c r="X254">
        <v>0</v>
      </c>
      <c r="Y254">
        <v>0</v>
      </c>
    </row>
    <row r="255" spans="1:25" x14ac:dyDescent="0.2">
      <c r="A255" t="s">
        <v>946</v>
      </c>
      <c r="B255" t="s">
        <v>947</v>
      </c>
      <c r="C255" t="s">
        <v>948</v>
      </c>
      <c r="D255" t="s">
        <v>949</v>
      </c>
      <c r="E255" t="s">
        <v>947</v>
      </c>
      <c r="F255" t="s">
        <v>28</v>
      </c>
      <c r="G255" t="s">
        <v>947</v>
      </c>
      <c r="H255" t="str">
        <f>"lgmn-1"</f>
        <v>lgmn-1</v>
      </c>
      <c r="I255" t="s">
        <v>949</v>
      </c>
      <c r="J255">
        <v>14.397330712238199</v>
      </c>
      <c r="K255">
        <v>13.7209944856377</v>
      </c>
      <c r="L255">
        <v>14.0968536431469</v>
      </c>
      <c r="M255">
        <v>13.9875634368984</v>
      </c>
      <c r="N255">
        <v>14.277195997874999</v>
      </c>
      <c r="O255">
        <v>14.0573286498117</v>
      </c>
      <c r="P255">
        <v>3.5636414520794801E-2</v>
      </c>
      <c r="Q255">
        <v>-0.76077751773998203</v>
      </c>
      <c r="R255">
        <v>0.83205034678157197</v>
      </c>
      <c r="S255">
        <v>13.8277194209185</v>
      </c>
      <c r="T255">
        <v>9.4047588956759395E-2</v>
      </c>
      <c r="U255">
        <v>-7.0474522792169898</v>
      </c>
      <c r="V255">
        <v>0.92611638074183</v>
      </c>
      <c r="W255">
        <v>0.97369392663454402</v>
      </c>
      <c r="X255">
        <v>0</v>
      </c>
      <c r="Y255">
        <v>0</v>
      </c>
    </row>
    <row r="256" spans="1:25" x14ac:dyDescent="0.2">
      <c r="A256" t="s">
        <v>950</v>
      </c>
      <c r="B256" t="s">
        <v>951</v>
      </c>
      <c r="C256" t="s">
        <v>952</v>
      </c>
      <c r="D256" t="s">
        <v>953</v>
      </c>
      <c r="E256" t="s">
        <v>951</v>
      </c>
      <c r="F256" t="s">
        <v>28</v>
      </c>
      <c r="G256" t="s">
        <v>951</v>
      </c>
      <c r="H256" t="str">
        <f>"rde-4"</f>
        <v>rde-4</v>
      </c>
      <c r="I256" t="s">
        <v>953</v>
      </c>
      <c r="J256">
        <v>13.9415403978082</v>
      </c>
      <c r="K256">
        <v>13.631220333598799</v>
      </c>
      <c r="L256">
        <v>13.6145439469664</v>
      </c>
      <c r="M256">
        <v>15.338743208022899</v>
      </c>
      <c r="N256">
        <v>15.000144354667899</v>
      </c>
      <c r="O256">
        <v>14.647006590292399</v>
      </c>
      <c r="P256">
        <v>1.2661964915366299</v>
      </c>
      <c r="Q256">
        <v>0.66889308123688396</v>
      </c>
      <c r="R256">
        <v>1.86349990183638</v>
      </c>
      <c r="S256">
        <v>14.3896274708015</v>
      </c>
      <c r="T256">
        <v>4.4555223302169704</v>
      </c>
      <c r="U256">
        <v>-7.7343716001110799E-2</v>
      </c>
      <c r="V256">
        <v>3.0956772750681901E-4</v>
      </c>
      <c r="W256">
        <v>7.55393022853803E-3</v>
      </c>
      <c r="X256">
        <v>1</v>
      </c>
      <c r="Y256">
        <v>1</v>
      </c>
    </row>
    <row r="257" spans="1:25" x14ac:dyDescent="0.2">
      <c r="A257" t="s">
        <v>954</v>
      </c>
      <c r="B257" t="s">
        <v>955</v>
      </c>
      <c r="C257" t="s">
        <v>956</v>
      </c>
      <c r="D257" t="s">
        <v>957</v>
      </c>
      <c r="E257" t="s">
        <v>955</v>
      </c>
      <c r="F257" t="s">
        <v>28</v>
      </c>
      <c r="G257" t="s">
        <v>955</v>
      </c>
      <c r="H257" t="str">
        <f>"egl-8"</f>
        <v>egl-8</v>
      </c>
      <c r="I257" t="s">
        <v>957</v>
      </c>
      <c r="J257">
        <v>13.1672224866586</v>
      </c>
      <c r="K257" t="s">
        <v>29</v>
      </c>
      <c r="L257" t="s">
        <v>29</v>
      </c>
      <c r="M257">
        <v>11.438524476405</v>
      </c>
      <c r="N257">
        <v>11.7622813955363</v>
      </c>
      <c r="O257" t="s">
        <v>29</v>
      </c>
      <c r="P257">
        <v>-1.5668195506879701</v>
      </c>
      <c r="Q257">
        <v>-2.7866920082462201</v>
      </c>
      <c r="R257">
        <v>-0.34694709312972699</v>
      </c>
      <c r="S257">
        <v>11.485753495443101</v>
      </c>
      <c r="T257">
        <v>-2.7771018041311701</v>
      </c>
      <c r="U257">
        <v>-3.46186261834923</v>
      </c>
      <c r="V257">
        <v>1.5803048627062801E-2</v>
      </c>
      <c r="W257">
        <v>0.117613371106584</v>
      </c>
      <c r="X257">
        <v>-1</v>
      </c>
      <c r="Y257">
        <v>0</v>
      </c>
    </row>
    <row r="258" spans="1:25" x14ac:dyDescent="0.2">
      <c r="A258" t="s">
        <v>958</v>
      </c>
      <c r="B258" t="s">
        <v>959</v>
      </c>
      <c r="C258" t="s">
        <v>960</v>
      </c>
      <c r="D258" t="s">
        <v>961</v>
      </c>
      <c r="E258" t="s">
        <v>959</v>
      </c>
      <c r="F258" t="s">
        <v>28</v>
      </c>
      <c r="G258" t="s">
        <v>959</v>
      </c>
      <c r="H258" t="str">
        <f>"tat-5"</f>
        <v>tat-5</v>
      </c>
      <c r="I258" t="s">
        <v>961</v>
      </c>
      <c r="J258">
        <v>13.082799011155201</v>
      </c>
      <c r="K258">
        <v>13.147862547203299</v>
      </c>
      <c r="L258">
        <v>13.0058582987875</v>
      </c>
      <c r="M258">
        <v>12.8496446789445</v>
      </c>
      <c r="N258">
        <v>12.745149265997201</v>
      </c>
      <c r="O258">
        <v>12.383863957818299</v>
      </c>
      <c r="P258">
        <v>-0.41928731812868097</v>
      </c>
      <c r="Q258">
        <v>-0.84019454843376495</v>
      </c>
      <c r="R258">
        <v>1.6199121764026701E-3</v>
      </c>
      <c r="S258">
        <v>13.046465909581199</v>
      </c>
      <c r="T258">
        <v>-2.11288018654527</v>
      </c>
      <c r="U258">
        <v>-4.9784696822202701</v>
      </c>
      <c r="V258">
        <v>5.0786579720626598E-2</v>
      </c>
      <c r="W258">
        <v>0.224232741398805</v>
      </c>
      <c r="X258">
        <v>0</v>
      </c>
      <c r="Y258">
        <v>0</v>
      </c>
    </row>
    <row r="259" spans="1:25" x14ac:dyDescent="0.2">
      <c r="A259" t="s">
        <v>962</v>
      </c>
      <c r="B259" t="s">
        <v>963</v>
      </c>
      <c r="C259" t="s">
        <v>964</v>
      </c>
      <c r="D259" t="s">
        <v>965</v>
      </c>
      <c r="E259" t="s">
        <v>963</v>
      </c>
      <c r="F259" t="s">
        <v>28</v>
      </c>
      <c r="G259" t="s">
        <v>963</v>
      </c>
      <c r="H259" t="str">
        <f>"cdr-7"</f>
        <v>cdr-7</v>
      </c>
      <c r="I259" t="s">
        <v>965</v>
      </c>
      <c r="J259">
        <v>12.8812266799053</v>
      </c>
      <c r="K259">
        <v>12.9979240849033</v>
      </c>
      <c r="L259">
        <v>12.8937601310476</v>
      </c>
      <c r="M259">
        <v>13.9100000577142</v>
      </c>
      <c r="N259" t="s">
        <v>29</v>
      </c>
      <c r="O259">
        <v>12.203098743126599</v>
      </c>
      <c r="P259">
        <v>0.13224576846833</v>
      </c>
      <c r="Q259">
        <v>-0.74219822080172604</v>
      </c>
      <c r="R259">
        <v>1.00668975773839</v>
      </c>
      <c r="S259">
        <v>12.8984447104651</v>
      </c>
      <c r="T259">
        <v>0.32459489146915599</v>
      </c>
      <c r="U259">
        <v>-6.8856899514563699</v>
      </c>
      <c r="V259">
        <v>0.75032279576132699</v>
      </c>
      <c r="W259">
        <v>0.89443416483633298</v>
      </c>
      <c r="X259">
        <v>0</v>
      </c>
      <c r="Y259">
        <v>0</v>
      </c>
    </row>
    <row r="260" spans="1:25" x14ac:dyDescent="0.2">
      <c r="A260" t="s">
        <v>966</v>
      </c>
      <c r="B260" t="s">
        <v>967</v>
      </c>
      <c r="C260" t="s">
        <v>968</v>
      </c>
      <c r="D260" t="s">
        <v>969</v>
      </c>
      <c r="E260" t="s">
        <v>967</v>
      </c>
      <c r="F260" t="s">
        <v>28</v>
      </c>
      <c r="G260" t="s">
        <v>967</v>
      </c>
      <c r="H260" t="str">
        <f>"4D656"</f>
        <v>4D656</v>
      </c>
      <c r="I260" t="s">
        <v>969</v>
      </c>
      <c r="J260">
        <v>15.3072138391459</v>
      </c>
      <c r="K260">
        <v>14.8888759869014</v>
      </c>
      <c r="L260">
        <v>14.605415080087999</v>
      </c>
      <c r="M260">
        <v>15.4154412112456</v>
      </c>
      <c r="N260">
        <v>14.352184526438601</v>
      </c>
      <c r="O260">
        <v>14.673872661818899</v>
      </c>
      <c r="P260">
        <v>-0.12000216887742</v>
      </c>
      <c r="Q260">
        <v>-0.67451927536037204</v>
      </c>
      <c r="R260">
        <v>0.434514937605532</v>
      </c>
      <c r="S260">
        <v>14.4472387559283</v>
      </c>
      <c r="T260">
        <v>-0.45484838828905999</v>
      </c>
      <c r="U260">
        <v>-6.94429096306391</v>
      </c>
      <c r="V260">
        <v>0.65468790322891302</v>
      </c>
      <c r="W260">
        <v>0.84370472756708303</v>
      </c>
      <c r="X260">
        <v>0</v>
      </c>
      <c r="Y260">
        <v>0</v>
      </c>
    </row>
    <row r="261" spans="1:25" s="28" customFormat="1" x14ac:dyDescent="0.2">
      <c r="A261" s="28" t="s">
        <v>970</v>
      </c>
      <c r="B261" s="28" t="s">
        <v>971</v>
      </c>
      <c r="C261" s="28" t="s">
        <v>972</v>
      </c>
      <c r="D261" s="28" t="s">
        <v>412</v>
      </c>
      <c r="E261" s="28" t="s">
        <v>971</v>
      </c>
      <c r="F261" s="28" t="s">
        <v>28</v>
      </c>
      <c r="G261" s="28" t="s">
        <v>971</v>
      </c>
      <c r="H261" s="28" t="str">
        <f>"mlt-4"</f>
        <v>mlt-4</v>
      </c>
      <c r="I261" s="28" t="s">
        <v>412</v>
      </c>
      <c r="J261" s="28" t="s">
        <v>29</v>
      </c>
      <c r="K261" s="28">
        <v>13.793987917205101</v>
      </c>
      <c r="L261" s="28" t="s">
        <v>29</v>
      </c>
      <c r="M261" s="28">
        <v>13.2358853754323</v>
      </c>
      <c r="N261" s="28">
        <v>13.160267166359599</v>
      </c>
      <c r="O261" s="28">
        <v>12.944153996339301</v>
      </c>
      <c r="P261" s="28">
        <v>-0.68055240449473198</v>
      </c>
      <c r="Q261" s="28">
        <v>-1.5972998881036999</v>
      </c>
      <c r="R261" s="28">
        <v>0.23619507911423199</v>
      </c>
      <c r="S261" s="28">
        <v>13.6669146930357</v>
      </c>
      <c r="T261" s="28">
        <v>-1.5832644195979499</v>
      </c>
      <c r="U261" s="28">
        <v>-5.4924636499223496</v>
      </c>
      <c r="V261" s="28">
        <v>0.134358710057492</v>
      </c>
      <c r="W261" s="28">
        <v>0.37939762056670201</v>
      </c>
      <c r="X261" s="28">
        <v>0</v>
      </c>
      <c r="Y261" s="28">
        <v>0</v>
      </c>
    </row>
    <row r="262" spans="1:25" x14ac:dyDescent="0.2">
      <c r="A262" t="s">
        <v>973</v>
      </c>
      <c r="B262" t="s">
        <v>974</v>
      </c>
      <c r="C262" t="s">
        <v>975</v>
      </c>
      <c r="D262" t="s">
        <v>976</v>
      </c>
      <c r="E262" t="s">
        <v>974</v>
      </c>
      <c r="F262" t="s">
        <v>28</v>
      </c>
      <c r="G262" t="s">
        <v>974</v>
      </c>
      <c r="H262" t="str">
        <f>"fbp-1"</f>
        <v>fbp-1</v>
      </c>
      <c r="I262" t="s">
        <v>976</v>
      </c>
      <c r="J262">
        <v>14.9163050370198</v>
      </c>
      <c r="K262">
        <v>13.193836632654801</v>
      </c>
      <c r="L262">
        <v>12.770316590151999</v>
      </c>
      <c r="M262">
        <v>16.0858288955774</v>
      </c>
      <c r="N262">
        <v>13.4518540016952</v>
      </c>
      <c r="O262">
        <v>12.747372219392499</v>
      </c>
      <c r="P262">
        <v>0.46819895227953801</v>
      </c>
      <c r="Q262">
        <v>-1.1164671091761</v>
      </c>
      <c r="R262">
        <v>2.0528650137351701</v>
      </c>
      <c r="S262">
        <v>13.520150897350399</v>
      </c>
      <c r="T262">
        <v>0.62099083963270896</v>
      </c>
      <c r="U262">
        <v>-6.8521544473671696</v>
      </c>
      <c r="V262">
        <v>0.54243528575723698</v>
      </c>
      <c r="W262">
        <v>0.77620247135182396</v>
      </c>
      <c r="X262">
        <v>0</v>
      </c>
      <c r="Y262">
        <v>0</v>
      </c>
    </row>
    <row r="263" spans="1:25" x14ac:dyDescent="0.2">
      <c r="A263" t="s">
        <v>977</v>
      </c>
      <c r="B263" t="s">
        <v>978</v>
      </c>
      <c r="C263" t="s">
        <v>979</v>
      </c>
      <c r="D263" t="s">
        <v>980</v>
      </c>
      <c r="E263" t="s">
        <v>978</v>
      </c>
      <c r="F263" t="s">
        <v>28</v>
      </c>
      <c r="G263" t="s">
        <v>978</v>
      </c>
      <c r="H263" t="str">
        <f>"pbo-4"</f>
        <v>pbo-4</v>
      </c>
      <c r="I263" t="s">
        <v>980</v>
      </c>
      <c r="J263">
        <v>13.353476951068201</v>
      </c>
      <c r="K263">
        <v>13.046382967313701</v>
      </c>
      <c r="L263">
        <v>13.1717755421896</v>
      </c>
      <c r="M263">
        <v>13.2815274706302</v>
      </c>
      <c r="N263">
        <v>12.1779919072636</v>
      </c>
      <c r="O263">
        <v>12.0835042535179</v>
      </c>
      <c r="P263">
        <v>-0.67620394305329501</v>
      </c>
      <c r="Q263">
        <v>-1.4498181213513901</v>
      </c>
      <c r="R263">
        <v>9.74102352447965E-2</v>
      </c>
      <c r="S263">
        <v>12.213644851611701</v>
      </c>
      <c r="T263">
        <v>-1.84502940215971</v>
      </c>
      <c r="U263">
        <v>-5.4229080910722898</v>
      </c>
      <c r="V263">
        <v>8.2636368107478805E-2</v>
      </c>
      <c r="W263">
        <v>0.29442344043886498</v>
      </c>
      <c r="X263">
        <v>0</v>
      </c>
      <c r="Y263">
        <v>0</v>
      </c>
    </row>
    <row r="264" spans="1:25" x14ac:dyDescent="0.2">
      <c r="A264" t="s">
        <v>981</v>
      </c>
      <c r="B264" t="s">
        <v>982</v>
      </c>
      <c r="C264" t="s">
        <v>983</v>
      </c>
      <c r="D264" t="s">
        <v>984</v>
      </c>
      <c r="E264" t="s">
        <v>982</v>
      </c>
      <c r="F264" t="s">
        <v>28</v>
      </c>
      <c r="G264" t="s">
        <v>982</v>
      </c>
      <c r="H264" t="str">
        <f>"erm-1"</f>
        <v>erm-1</v>
      </c>
      <c r="I264" t="s">
        <v>984</v>
      </c>
      <c r="J264">
        <v>14.033120887856599</v>
      </c>
      <c r="K264">
        <v>14.037620336681799</v>
      </c>
      <c r="L264">
        <v>13.8524193951518</v>
      </c>
      <c r="M264">
        <v>14.7812979694994</v>
      </c>
      <c r="N264">
        <v>13.8868315440607</v>
      </c>
      <c r="O264">
        <v>14.327540125576901</v>
      </c>
      <c r="P264">
        <v>0.35750300648231598</v>
      </c>
      <c r="Q264">
        <v>-0.22687481849333899</v>
      </c>
      <c r="R264">
        <v>0.94188083145797097</v>
      </c>
      <c r="S264">
        <v>14.163374363051799</v>
      </c>
      <c r="T264">
        <v>1.28581498839007</v>
      </c>
      <c r="U264">
        <v>-6.2236373352674903</v>
      </c>
      <c r="V264">
        <v>0.214897761922622</v>
      </c>
      <c r="W264">
        <v>0.48191167431887</v>
      </c>
      <c r="X264">
        <v>0</v>
      </c>
      <c r="Y264">
        <v>0</v>
      </c>
    </row>
    <row r="265" spans="1:25" x14ac:dyDescent="0.2">
      <c r="A265" t="s">
        <v>985</v>
      </c>
      <c r="B265" t="s">
        <v>986</v>
      </c>
      <c r="C265" t="s">
        <v>987</v>
      </c>
      <c r="D265" t="s">
        <v>988</v>
      </c>
      <c r="E265" t="s">
        <v>986</v>
      </c>
      <c r="F265" t="s">
        <v>28</v>
      </c>
      <c r="G265" t="s">
        <v>986</v>
      </c>
      <c r="H265" t="str">
        <f>"atg-7"</f>
        <v>atg-7</v>
      </c>
      <c r="I265" t="s">
        <v>988</v>
      </c>
      <c r="J265">
        <v>13.8006759754781</v>
      </c>
      <c r="K265">
        <v>13.6252261075558</v>
      </c>
      <c r="L265">
        <v>13.3768789074139</v>
      </c>
      <c r="M265">
        <v>13.690088243094401</v>
      </c>
      <c r="N265">
        <v>13.805684875878701</v>
      </c>
      <c r="O265">
        <v>13.790291938309499</v>
      </c>
      <c r="P265">
        <v>0.161094688944905</v>
      </c>
      <c r="Q265">
        <v>-0.52298304720265099</v>
      </c>
      <c r="R265">
        <v>0.84517242509246104</v>
      </c>
      <c r="S265">
        <v>12.8759384810872</v>
      </c>
      <c r="T265">
        <v>0.49495792183763798</v>
      </c>
      <c r="U265">
        <v>-6.9245768266524701</v>
      </c>
      <c r="V265">
        <v>0.626652057007557</v>
      </c>
      <c r="W265">
        <v>0.82756728632410304</v>
      </c>
      <c r="X265">
        <v>0</v>
      </c>
      <c r="Y265">
        <v>0</v>
      </c>
    </row>
    <row r="266" spans="1:25" x14ac:dyDescent="0.2">
      <c r="A266" t="s">
        <v>989</v>
      </c>
      <c r="B266" t="s">
        <v>990</v>
      </c>
      <c r="C266" t="s">
        <v>991</v>
      </c>
      <c r="D266" t="s">
        <v>992</v>
      </c>
      <c r="E266" t="s">
        <v>990</v>
      </c>
      <c r="F266" t="s">
        <v>28</v>
      </c>
      <c r="G266" t="s">
        <v>990</v>
      </c>
      <c r="H266" t="str">
        <f>"ras-1"</f>
        <v>ras-1</v>
      </c>
      <c r="I266" t="s">
        <v>992</v>
      </c>
      <c r="J266">
        <v>11.651274194247</v>
      </c>
      <c r="K266">
        <v>10.6620645698994</v>
      </c>
      <c r="L266">
        <v>11.3822355898085</v>
      </c>
      <c r="M266">
        <v>12.1195306468437</v>
      </c>
      <c r="N266">
        <v>10.978542352939201</v>
      </c>
      <c r="O266">
        <v>11.764584290319799</v>
      </c>
      <c r="P266">
        <v>0.38902764538263102</v>
      </c>
      <c r="Q266">
        <v>-0.33268173067614598</v>
      </c>
      <c r="R266">
        <v>1.1107370214414101</v>
      </c>
      <c r="S266">
        <v>11.0660210036402</v>
      </c>
      <c r="T266">
        <v>1.14963432708974</v>
      </c>
      <c r="U266">
        <v>-6.3816189312643798</v>
      </c>
      <c r="V266">
        <v>0.26841955519714999</v>
      </c>
      <c r="W266">
        <v>0.54419765271746201</v>
      </c>
      <c r="X266">
        <v>0</v>
      </c>
      <c r="Y266">
        <v>0</v>
      </c>
    </row>
    <row r="267" spans="1:25" x14ac:dyDescent="0.2">
      <c r="A267" t="s">
        <v>993</v>
      </c>
      <c r="B267" t="s">
        <v>994</v>
      </c>
      <c r="C267" t="s">
        <v>995</v>
      </c>
      <c r="D267" t="s">
        <v>996</v>
      </c>
      <c r="E267" t="s">
        <v>994</v>
      </c>
      <c r="F267" t="s">
        <v>28</v>
      </c>
      <c r="G267" t="s">
        <v>994</v>
      </c>
      <c r="H267" t="str">
        <f>"sdc-2"</f>
        <v>sdc-2</v>
      </c>
      <c r="I267" t="s">
        <v>996</v>
      </c>
      <c r="J267">
        <v>12.401295483673</v>
      </c>
      <c r="K267">
        <v>11.903235321874099</v>
      </c>
      <c r="L267">
        <v>11.9629648645854</v>
      </c>
      <c r="M267">
        <v>12.6969781090599</v>
      </c>
      <c r="N267">
        <v>12.7293360754768</v>
      </c>
      <c r="O267" t="s">
        <v>29</v>
      </c>
      <c r="P267">
        <v>0.62399186889079195</v>
      </c>
      <c r="Q267">
        <v>7.3242292001762493E-2</v>
      </c>
      <c r="R267">
        <v>1.17474144577982</v>
      </c>
      <c r="S267">
        <v>12.3700662255828</v>
      </c>
      <c r="T267">
        <v>2.4317372705081799</v>
      </c>
      <c r="U267">
        <v>-4.3297225255228904</v>
      </c>
      <c r="V267">
        <v>2.9161767052576101E-2</v>
      </c>
      <c r="W267">
        <v>0.16822941267366101</v>
      </c>
      <c r="X267">
        <v>0</v>
      </c>
      <c r="Y267">
        <v>0</v>
      </c>
    </row>
    <row r="268" spans="1:25" x14ac:dyDescent="0.2">
      <c r="A268" t="s">
        <v>997</v>
      </c>
      <c r="B268" t="s">
        <v>998</v>
      </c>
      <c r="C268" t="s">
        <v>999</v>
      </c>
      <c r="D268" t="s">
        <v>1000</v>
      </c>
      <c r="E268" t="s">
        <v>998</v>
      </c>
      <c r="F268" t="s">
        <v>28</v>
      </c>
      <c r="G268" t="s">
        <v>998</v>
      </c>
      <c r="H268" t="str">
        <f>"snf-3"</f>
        <v>snf-3</v>
      </c>
      <c r="I268" t="s">
        <v>1000</v>
      </c>
      <c r="J268">
        <v>14.1768577516769</v>
      </c>
      <c r="K268">
        <v>14.145559985029699</v>
      </c>
      <c r="L268">
        <v>14.084594271419</v>
      </c>
      <c r="M268">
        <v>13.8219277069784</v>
      </c>
      <c r="N268">
        <v>13.425771660000899</v>
      </c>
      <c r="O268">
        <v>13.9115085662804</v>
      </c>
      <c r="P268">
        <v>-0.41593469162200197</v>
      </c>
      <c r="Q268">
        <v>-0.88105614432711898</v>
      </c>
      <c r="R268">
        <v>4.9186761083114303E-2</v>
      </c>
      <c r="S268">
        <v>14.140569839959801</v>
      </c>
      <c r="T268">
        <v>-1.8795387639908201</v>
      </c>
      <c r="U268">
        <v>-5.3636961247211898</v>
      </c>
      <c r="V268">
        <v>7.6555447384294498E-2</v>
      </c>
      <c r="W268">
        <v>0.28437377373115802</v>
      </c>
      <c r="X268">
        <v>0</v>
      </c>
      <c r="Y268">
        <v>0</v>
      </c>
    </row>
    <row r="269" spans="1:25" x14ac:dyDescent="0.2">
      <c r="A269" t="s">
        <v>1001</v>
      </c>
      <c r="B269" t="s">
        <v>1002</v>
      </c>
      <c r="C269" t="s">
        <v>14173</v>
      </c>
      <c r="D269" t="s">
        <v>1003</v>
      </c>
      <c r="E269" t="s">
        <v>1002</v>
      </c>
      <c r="F269" t="s">
        <v>28</v>
      </c>
      <c r="G269" t="s">
        <v>1002</v>
      </c>
      <c r="H269" t="str">
        <f>"ZC247.1"</f>
        <v>ZC247.1</v>
      </c>
      <c r="I269" t="s">
        <v>1003</v>
      </c>
      <c r="J269">
        <v>13.829354127713399</v>
      </c>
      <c r="K269">
        <v>14.1692928373669</v>
      </c>
      <c r="L269">
        <v>14.048621893857399</v>
      </c>
      <c r="M269">
        <v>18.1459924860659</v>
      </c>
      <c r="N269">
        <v>18.796843319755801</v>
      </c>
      <c r="O269">
        <v>18.413742311771198</v>
      </c>
      <c r="P269">
        <v>4.4364364195517396</v>
      </c>
      <c r="Q269">
        <v>3.73337336170386</v>
      </c>
      <c r="R269">
        <v>5.1394994773996201</v>
      </c>
      <c r="S269">
        <v>16.144526158829901</v>
      </c>
      <c r="T269">
        <v>13.2627168025285</v>
      </c>
      <c r="U269">
        <v>14.7960632907151</v>
      </c>
      <c r="V269" s="2">
        <v>1.07437757119486E-10</v>
      </c>
      <c r="W269" s="2">
        <v>4.3700307708351098E-8</v>
      </c>
      <c r="X269">
        <v>1</v>
      </c>
      <c r="Y269">
        <v>1</v>
      </c>
    </row>
    <row r="270" spans="1:25" x14ac:dyDescent="0.2">
      <c r="A270" t="s">
        <v>1004</v>
      </c>
      <c r="B270" t="s">
        <v>1005</v>
      </c>
      <c r="C270" t="s">
        <v>1006</v>
      </c>
      <c r="D270" t="s">
        <v>1007</v>
      </c>
      <c r="E270" t="s">
        <v>1005</v>
      </c>
      <c r="F270" t="s">
        <v>28</v>
      </c>
      <c r="G270" t="s">
        <v>1005</v>
      </c>
      <c r="H270" t="str">
        <f>"ego-1"</f>
        <v>ego-1</v>
      </c>
      <c r="I270" t="s">
        <v>1007</v>
      </c>
      <c r="J270">
        <v>12.1156990249267</v>
      </c>
      <c r="K270">
        <v>12.8950772813802</v>
      </c>
      <c r="L270">
        <v>12.5225331812621</v>
      </c>
      <c r="M270">
        <v>12.5545113814342</v>
      </c>
      <c r="N270">
        <v>12.2133067485121</v>
      </c>
      <c r="O270">
        <v>10.600424675281401</v>
      </c>
      <c r="P270">
        <v>-0.72168889411372705</v>
      </c>
      <c r="Q270">
        <v>-1.5630976958656799</v>
      </c>
      <c r="R270">
        <v>0.119719907638228</v>
      </c>
      <c r="S270">
        <v>12.734529429514399</v>
      </c>
      <c r="T270">
        <v>-1.81925049253351</v>
      </c>
      <c r="U270">
        <v>-5.4671570515772201</v>
      </c>
      <c r="V270">
        <v>8.7761094451435998E-2</v>
      </c>
      <c r="W270">
        <v>0.30307876947013501</v>
      </c>
      <c r="X270">
        <v>0</v>
      </c>
      <c r="Y270">
        <v>0</v>
      </c>
    </row>
    <row r="271" spans="1:25" x14ac:dyDescent="0.2">
      <c r="A271" t="s">
        <v>1008</v>
      </c>
      <c r="B271" t="s">
        <v>1009</v>
      </c>
      <c r="C271" t="s">
        <v>1010</v>
      </c>
      <c r="D271" t="s">
        <v>1011</v>
      </c>
      <c r="E271" t="s">
        <v>1009</v>
      </c>
      <c r="F271" t="s">
        <v>28</v>
      </c>
      <c r="G271" t="s">
        <v>1009</v>
      </c>
      <c r="H271" t="str">
        <f>"aex-6"</f>
        <v>aex-6</v>
      </c>
      <c r="I271" t="s">
        <v>1011</v>
      </c>
      <c r="J271">
        <v>12.488691836957001</v>
      </c>
      <c r="K271">
        <v>12.8888142651079</v>
      </c>
      <c r="L271">
        <v>12.124058702218999</v>
      </c>
      <c r="M271">
        <v>12.6748319763518</v>
      </c>
      <c r="N271">
        <v>12.399364621766599</v>
      </c>
      <c r="O271">
        <v>11.9332497909433</v>
      </c>
      <c r="P271">
        <v>-0.16470613840738901</v>
      </c>
      <c r="Q271">
        <v>-0.72252395938439595</v>
      </c>
      <c r="R271">
        <v>0.39311168256961698</v>
      </c>
      <c r="S271">
        <v>12.372080978729601</v>
      </c>
      <c r="T271">
        <v>-0.62627767422759095</v>
      </c>
      <c r="U271">
        <v>-6.8476975875733999</v>
      </c>
      <c r="V271">
        <v>0.540023238968946</v>
      </c>
      <c r="W271">
        <v>0.77501266500839605</v>
      </c>
      <c r="X271">
        <v>0</v>
      </c>
      <c r="Y271">
        <v>0</v>
      </c>
    </row>
    <row r="272" spans="1:25" x14ac:dyDescent="0.2">
      <c r="A272" t="s">
        <v>1012</v>
      </c>
      <c r="B272" t="s">
        <v>1013</v>
      </c>
      <c r="C272" t="s">
        <v>1014</v>
      </c>
      <c r="D272" t="s">
        <v>1015</v>
      </c>
      <c r="E272" t="s">
        <v>1013</v>
      </c>
      <c r="F272" t="s">
        <v>28</v>
      </c>
      <c r="G272" t="s">
        <v>1013</v>
      </c>
      <c r="H272" t="str">
        <f>"mog-3"</f>
        <v>mog-3</v>
      </c>
      <c r="I272" t="s">
        <v>1015</v>
      </c>
      <c r="J272">
        <v>12.7392851872394</v>
      </c>
      <c r="K272">
        <v>13.276121445714599</v>
      </c>
      <c r="L272">
        <v>13.701992012826</v>
      </c>
      <c r="M272">
        <v>12.33473925393</v>
      </c>
      <c r="N272">
        <v>12.2549538178963</v>
      </c>
      <c r="O272">
        <v>12.5235917706715</v>
      </c>
      <c r="P272">
        <v>-0.86803793442742705</v>
      </c>
      <c r="Q272">
        <v>-1.6424451381190099</v>
      </c>
      <c r="R272">
        <v>-9.3630730735848697E-2</v>
      </c>
      <c r="S272">
        <v>13.358511756209801</v>
      </c>
      <c r="T272">
        <v>-2.3906220805647198</v>
      </c>
      <c r="U272">
        <v>-4.4934617247493698</v>
      </c>
      <c r="V272">
        <v>3.0479685772481498E-2</v>
      </c>
      <c r="W272">
        <v>0.17155823371946</v>
      </c>
      <c r="X272">
        <v>0</v>
      </c>
      <c r="Y272">
        <v>0</v>
      </c>
    </row>
    <row r="273" spans="1:25" x14ac:dyDescent="0.2">
      <c r="A273" t="s">
        <v>1016</v>
      </c>
      <c r="B273" t="s">
        <v>1017</v>
      </c>
      <c r="C273" t="s">
        <v>1018</v>
      </c>
      <c r="D273" t="s">
        <v>1019</v>
      </c>
      <c r="E273" t="s">
        <v>1017</v>
      </c>
      <c r="F273" t="s">
        <v>28</v>
      </c>
      <c r="G273" t="s">
        <v>1017</v>
      </c>
      <c r="H273" t="str">
        <f>"mig-2"</f>
        <v>mig-2</v>
      </c>
      <c r="I273" t="s">
        <v>1019</v>
      </c>
      <c r="J273">
        <v>10.5100221716925</v>
      </c>
      <c r="K273" t="s">
        <v>29</v>
      </c>
      <c r="L273" t="s">
        <v>29</v>
      </c>
      <c r="M273" t="s">
        <v>29</v>
      </c>
      <c r="N273" t="s">
        <v>29</v>
      </c>
      <c r="O273" t="s">
        <v>29</v>
      </c>
      <c r="P273" t="s">
        <v>29</v>
      </c>
      <c r="Q273" t="s">
        <v>29</v>
      </c>
      <c r="R273" t="s">
        <v>29</v>
      </c>
      <c r="S273">
        <v>11.597492506214399</v>
      </c>
      <c r="T273" t="s">
        <v>29</v>
      </c>
      <c r="U273" t="s">
        <v>29</v>
      </c>
      <c r="V273" t="s">
        <v>29</v>
      </c>
      <c r="W273" t="s">
        <v>29</v>
      </c>
      <c r="X273" t="s">
        <v>29</v>
      </c>
      <c r="Y273" t="s">
        <v>29</v>
      </c>
    </row>
    <row r="274" spans="1:25" x14ac:dyDescent="0.2">
      <c r="A274" t="s">
        <v>1020</v>
      </c>
      <c r="B274" t="s">
        <v>1021</v>
      </c>
      <c r="C274" t="s">
        <v>1022</v>
      </c>
      <c r="D274" t="s">
        <v>1023</v>
      </c>
      <c r="E274" t="s">
        <v>1021</v>
      </c>
      <c r="F274" t="s">
        <v>28</v>
      </c>
      <c r="G274" t="s">
        <v>1021</v>
      </c>
      <c r="H274" t="str">
        <f>"pgl-3"</f>
        <v>pgl-3</v>
      </c>
      <c r="I274" t="s">
        <v>1023</v>
      </c>
      <c r="J274">
        <v>12.5856973363002</v>
      </c>
      <c r="K274">
        <v>12.1154599185439</v>
      </c>
      <c r="L274">
        <v>12.6401706208802</v>
      </c>
      <c r="M274">
        <v>13.252434795463</v>
      </c>
      <c r="N274">
        <v>13.027394182953</v>
      </c>
      <c r="O274">
        <v>12.828300170872</v>
      </c>
      <c r="P274">
        <v>0.58893375785458002</v>
      </c>
      <c r="Q274">
        <v>-1.04143524797769</v>
      </c>
      <c r="R274">
        <v>2.2193027636868501</v>
      </c>
      <c r="S274">
        <v>13.433528842336299</v>
      </c>
      <c r="T274">
        <v>0.759229460065031</v>
      </c>
      <c r="U274">
        <v>-6.7547990215444402</v>
      </c>
      <c r="V274">
        <v>0.45760045571598001</v>
      </c>
      <c r="W274">
        <v>0.72422381637401001</v>
      </c>
      <c r="X274">
        <v>0</v>
      </c>
      <c r="Y274">
        <v>0</v>
      </c>
    </row>
    <row r="275" spans="1:25" x14ac:dyDescent="0.2">
      <c r="A275" t="s">
        <v>1024</v>
      </c>
      <c r="B275" t="s">
        <v>1025</v>
      </c>
      <c r="C275" t="s">
        <v>1026</v>
      </c>
      <c r="D275" t="s">
        <v>1027</v>
      </c>
      <c r="E275" t="s">
        <v>1025</v>
      </c>
      <c r="F275" t="s">
        <v>28</v>
      </c>
      <c r="G275" t="s">
        <v>1025</v>
      </c>
      <c r="H275" t="str">
        <f>"usp-50"</f>
        <v>usp-50</v>
      </c>
      <c r="I275" t="s">
        <v>1027</v>
      </c>
      <c r="J275">
        <v>13.2053315352273</v>
      </c>
      <c r="K275">
        <v>13.5108546111531</v>
      </c>
      <c r="L275">
        <v>13.2401599799792</v>
      </c>
      <c r="M275">
        <v>13.5542442343395</v>
      </c>
      <c r="N275">
        <v>13.611104392488301</v>
      </c>
      <c r="O275">
        <v>13.2406249127139</v>
      </c>
      <c r="P275">
        <v>0.14987580439399301</v>
      </c>
      <c r="Q275">
        <v>-0.52612803242610195</v>
      </c>
      <c r="R275">
        <v>0.82587964121408797</v>
      </c>
      <c r="S275">
        <v>12.8444770036816</v>
      </c>
      <c r="T275">
        <v>0.46798548071379398</v>
      </c>
      <c r="U275">
        <v>-6.9376967926606197</v>
      </c>
      <c r="V275">
        <v>0.64577529087407703</v>
      </c>
      <c r="W275">
        <v>0.83893818798378295</v>
      </c>
      <c r="X275">
        <v>0</v>
      </c>
      <c r="Y275">
        <v>0</v>
      </c>
    </row>
    <row r="276" spans="1:25" x14ac:dyDescent="0.2">
      <c r="A276" t="s">
        <v>1028</v>
      </c>
      <c r="B276" t="s">
        <v>1029</v>
      </c>
      <c r="C276" t="s">
        <v>1030</v>
      </c>
      <c r="D276" t="s">
        <v>1031</v>
      </c>
      <c r="E276" t="s">
        <v>1029</v>
      </c>
      <c r="F276" t="s">
        <v>28</v>
      </c>
      <c r="G276" t="s">
        <v>1029</v>
      </c>
      <c r="H276" t="str">
        <f>"fecl-1"</f>
        <v>fecl-1</v>
      </c>
      <c r="I276" t="s">
        <v>1031</v>
      </c>
      <c r="J276">
        <v>13.4516224916753</v>
      </c>
      <c r="K276">
        <v>13.437085312799899</v>
      </c>
      <c r="L276">
        <v>13.3092271582774</v>
      </c>
      <c r="M276">
        <v>13.6319198855015</v>
      </c>
      <c r="N276">
        <v>13.782771923355901</v>
      </c>
      <c r="O276">
        <v>14.122571852385899</v>
      </c>
      <c r="P276">
        <v>0.446442899496866</v>
      </c>
      <c r="Q276">
        <v>-0.12915760536618201</v>
      </c>
      <c r="R276">
        <v>1.02204340435991</v>
      </c>
      <c r="S276">
        <v>13.7816773857099</v>
      </c>
      <c r="T276">
        <v>1.63717372874825</v>
      </c>
      <c r="U276">
        <v>-5.7449601677004098</v>
      </c>
      <c r="V276">
        <v>0.120083463714375</v>
      </c>
      <c r="W276">
        <v>0.35750374284224601</v>
      </c>
      <c r="X276">
        <v>0</v>
      </c>
      <c r="Y276">
        <v>0</v>
      </c>
    </row>
    <row r="277" spans="1:25" x14ac:dyDescent="0.2">
      <c r="A277" t="s">
        <v>1032</v>
      </c>
      <c r="B277" t="s">
        <v>1033</v>
      </c>
      <c r="C277" t="s">
        <v>1034</v>
      </c>
      <c r="D277" t="s">
        <v>1035</v>
      </c>
      <c r="E277" t="s">
        <v>1033</v>
      </c>
      <c r="F277" t="s">
        <v>28</v>
      </c>
      <c r="G277" t="s">
        <v>1033</v>
      </c>
      <c r="H277" t="str">
        <f>"klp-18"</f>
        <v>klp-18</v>
      </c>
      <c r="I277" t="s">
        <v>1035</v>
      </c>
      <c r="J277">
        <v>12.6331679170562</v>
      </c>
      <c r="K277">
        <v>12.5392431172982</v>
      </c>
      <c r="L277">
        <v>12.8243261178241</v>
      </c>
      <c r="M277">
        <v>12.6102614625645</v>
      </c>
      <c r="N277">
        <v>12.9713660240895</v>
      </c>
      <c r="O277">
        <v>12.4549942011448</v>
      </c>
      <c r="P277">
        <v>1.32948452067545E-2</v>
      </c>
      <c r="Q277">
        <v>-0.59633217911936098</v>
      </c>
      <c r="R277">
        <v>0.62292186953286999</v>
      </c>
      <c r="S277">
        <v>13.3698662598699</v>
      </c>
      <c r="T277">
        <v>4.6032979704966601E-2</v>
      </c>
      <c r="U277">
        <v>-7.0509725246254504</v>
      </c>
      <c r="V277">
        <v>0.96382370338169499</v>
      </c>
      <c r="W277">
        <v>0.98070116660538997</v>
      </c>
      <c r="X277">
        <v>0</v>
      </c>
      <c r="Y277">
        <v>0</v>
      </c>
    </row>
    <row r="278" spans="1:25" x14ac:dyDescent="0.2">
      <c r="A278" t="s">
        <v>1036</v>
      </c>
      <c r="B278" t="s">
        <v>1037</v>
      </c>
      <c r="C278" t="s">
        <v>1038</v>
      </c>
      <c r="D278" t="s">
        <v>1039</v>
      </c>
      <c r="E278" t="s">
        <v>1037</v>
      </c>
      <c r="F278" t="s">
        <v>28</v>
      </c>
      <c r="G278" t="s">
        <v>1037</v>
      </c>
      <c r="H278" t="str">
        <f>"cyl-1"</f>
        <v>cyl-1</v>
      </c>
      <c r="I278" t="s">
        <v>1039</v>
      </c>
      <c r="J278">
        <v>14.0521255648109</v>
      </c>
      <c r="K278">
        <v>13.9091086775842</v>
      </c>
      <c r="L278" t="s">
        <v>29</v>
      </c>
      <c r="M278" t="s">
        <v>29</v>
      </c>
      <c r="N278">
        <v>15.048877461465199</v>
      </c>
      <c r="O278" t="s">
        <v>29</v>
      </c>
      <c r="P278">
        <v>1.06826034026766</v>
      </c>
      <c r="Q278">
        <v>-0.23649689154369599</v>
      </c>
      <c r="R278">
        <v>2.3730175720790201</v>
      </c>
      <c r="S278">
        <v>13.576649920282</v>
      </c>
      <c r="T278">
        <v>1.80416014982131</v>
      </c>
      <c r="U278">
        <v>-5.1254738129452697</v>
      </c>
      <c r="V278">
        <v>9.8892145693250194E-2</v>
      </c>
      <c r="W278">
        <v>0.32439016339297999</v>
      </c>
      <c r="X278">
        <v>0</v>
      </c>
      <c r="Y278">
        <v>0</v>
      </c>
    </row>
    <row r="279" spans="1:25" x14ac:dyDescent="0.2">
      <c r="A279" t="s">
        <v>1040</v>
      </c>
      <c r="B279" t="s">
        <v>1041</v>
      </c>
      <c r="C279" t="s">
        <v>1042</v>
      </c>
      <c r="D279" t="s">
        <v>1043</v>
      </c>
      <c r="E279" t="s">
        <v>1041</v>
      </c>
      <c r="F279" t="s">
        <v>28</v>
      </c>
      <c r="G279" t="s">
        <v>1041</v>
      </c>
      <c r="H279" t="str">
        <f>"crn-3"</f>
        <v>crn-3</v>
      </c>
      <c r="I279" t="s">
        <v>1043</v>
      </c>
      <c r="J279">
        <v>12.629023409688401</v>
      </c>
      <c r="K279">
        <v>12.8640206522273</v>
      </c>
      <c r="L279">
        <v>12.7822252294383</v>
      </c>
      <c r="M279">
        <v>12.8559781520214</v>
      </c>
      <c r="N279">
        <v>12.7065902357376</v>
      </c>
      <c r="O279">
        <v>12.3063931739817</v>
      </c>
      <c r="P279">
        <v>-0.13543590987109499</v>
      </c>
      <c r="Q279">
        <v>-0.64764477960367695</v>
      </c>
      <c r="R279">
        <v>0.37677295986148601</v>
      </c>
      <c r="S279">
        <v>12.932195771513401</v>
      </c>
      <c r="T279">
        <v>-0.55813177514816903</v>
      </c>
      <c r="U279">
        <v>-6.8898257831731797</v>
      </c>
      <c r="V279">
        <v>0.58407561550561604</v>
      </c>
      <c r="W279">
        <v>0.80219222675694601</v>
      </c>
      <c r="X279">
        <v>0</v>
      </c>
      <c r="Y279">
        <v>0</v>
      </c>
    </row>
    <row r="280" spans="1:25" x14ac:dyDescent="0.2">
      <c r="A280" t="s">
        <v>1044</v>
      </c>
      <c r="B280" t="s">
        <v>1045</v>
      </c>
      <c r="C280" t="s">
        <v>1046</v>
      </c>
      <c r="D280" t="s">
        <v>1047</v>
      </c>
      <c r="E280" t="s">
        <v>1045</v>
      </c>
      <c r="F280" t="s">
        <v>28</v>
      </c>
      <c r="G280" t="s">
        <v>1045</v>
      </c>
      <c r="H280" t="str">
        <f>"nmy-2"</f>
        <v>nmy-2</v>
      </c>
      <c r="I280" t="s">
        <v>1047</v>
      </c>
      <c r="J280">
        <v>13.379951518382599</v>
      </c>
      <c r="K280">
        <v>13.7179605550988</v>
      </c>
      <c r="L280">
        <v>14.016053108175999</v>
      </c>
      <c r="M280">
        <v>14.154351327504701</v>
      </c>
      <c r="N280">
        <v>13.556683989485</v>
      </c>
      <c r="O280">
        <v>13.8982777246905</v>
      </c>
      <c r="P280">
        <v>0.165115953340919</v>
      </c>
      <c r="Q280">
        <v>-1.1466773361357501</v>
      </c>
      <c r="R280">
        <v>1.4769092428175901</v>
      </c>
      <c r="S280">
        <v>14.2986944357603</v>
      </c>
      <c r="T280">
        <v>0.26455510395819098</v>
      </c>
      <c r="U280">
        <v>-7.0154796028076598</v>
      </c>
      <c r="V280">
        <v>0.79437520341638801</v>
      </c>
      <c r="W280">
        <v>0.91517844850619501</v>
      </c>
      <c r="X280">
        <v>0</v>
      </c>
      <c r="Y280">
        <v>0</v>
      </c>
    </row>
    <row r="281" spans="1:25" x14ac:dyDescent="0.2">
      <c r="A281" t="s">
        <v>1048</v>
      </c>
      <c r="B281" t="s">
        <v>1049</v>
      </c>
      <c r="C281" t="s">
        <v>1050</v>
      </c>
      <c r="D281" t="s">
        <v>1051</v>
      </c>
      <c r="E281" t="s">
        <v>1049</v>
      </c>
      <c r="F281" t="s">
        <v>28</v>
      </c>
      <c r="G281" t="s">
        <v>1049</v>
      </c>
      <c r="H281" t="str">
        <f>"phf-5"</f>
        <v>phf-5</v>
      </c>
      <c r="I281" t="s">
        <v>1051</v>
      </c>
      <c r="J281" t="s">
        <v>29</v>
      </c>
      <c r="K281" t="s">
        <v>29</v>
      </c>
      <c r="L281" t="s">
        <v>29</v>
      </c>
      <c r="M281" t="s">
        <v>29</v>
      </c>
      <c r="N281" t="s">
        <v>29</v>
      </c>
      <c r="O281" t="s">
        <v>29</v>
      </c>
      <c r="P281" t="s">
        <v>29</v>
      </c>
      <c r="Q281" t="s">
        <v>29</v>
      </c>
      <c r="R281" t="s">
        <v>29</v>
      </c>
      <c r="S281">
        <v>9.9358739531215292</v>
      </c>
      <c r="T281" t="s">
        <v>29</v>
      </c>
      <c r="U281" t="s">
        <v>29</v>
      </c>
      <c r="V281" t="s">
        <v>29</v>
      </c>
      <c r="W281" t="s">
        <v>29</v>
      </c>
      <c r="X281" t="s">
        <v>29</v>
      </c>
      <c r="Y281" t="s">
        <v>29</v>
      </c>
    </row>
    <row r="282" spans="1:25" x14ac:dyDescent="0.2">
      <c r="A282" t="s">
        <v>1052</v>
      </c>
      <c r="B282" t="s">
        <v>1053</v>
      </c>
      <c r="C282" t="s">
        <v>1054</v>
      </c>
      <c r="D282" t="s">
        <v>1055</v>
      </c>
      <c r="E282" t="s">
        <v>1053</v>
      </c>
      <c r="F282" t="s">
        <v>28</v>
      </c>
      <c r="G282" t="s">
        <v>1053</v>
      </c>
      <c r="H282" t="str">
        <f>"xpf-1"</f>
        <v>xpf-1</v>
      </c>
      <c r="I282" t="s">
        <v>1055</v>
      </c>
      <c r="J282">
        <v>11.591112257867699</v>
      </c>
      <c r="K282">
        <v>12.113217186713101</v>
      </c>
      <c r="L282">
        <v>12.6248310468585</v>
      </c>
      <c r="M282">
        <v>11.6632579693946</v>
      </c>
      <c r="N282" t="s">
        <v>29</v>
      </c>
      <c r="O282">
        <v>12.641471101948801</v>
      </c>
      <c r="P282">
        <v>4.2644371858530802E-2</v>
      </c>
      <c r="Q282">
        <v>-0.97173133274230095</v>
      </c>
      <c r="R282">
        <v>1.05702007645936</v>
      </c>
      <c r="S282">
        <v>12.488723588194301</v>
      </c>
      <c r="T282">
        <v>8.9661187963587796E-2</v>
      </c>
      <c r="U282">
        <v>-6.9371828048790602</v>
      </c>
      <c r="V282">
        <v>0.92975098155012004</v>
      </c>
      <c r="W282">
        <v>0.97388235134585399</v>
      </c>
      <c r="X282">
        <v>0</v>
      </c>
      <c r="Y282">
        <v>0</v>
      </c>
    </row>
    <row r="283" spans="1:25" x14ac:dyDescent="0.2">
      <c r="A283" t="s">
        <v>1056</v>
      </c>
      <c r="B283" t="s">
        <v>1057</v>
      </c>
      <c r="C283" t="s">
        <v>1058</v>
      </c>
      <c r="D283" t="s">
        <v>1059</v>
      </c>
      <c r="E283" t="s">
        <v>1057</v>
      </c>
      <c r="F283" t="s">
        <v>28</v>
      </c>
      <c r="G283" t="s">
        <v>1057</v>
      </c>
      <c r="H283" t="str">
        <f>"let-418"</f>
        <v>let-418</v>
      </c>
      <c r="I283" t="s">
        <v>1059</v>
      </c>
      <c r="J283">
        <v>14.0048712548164</v>
      </c>
      <c r="K283">
        <v>14.150860954862599</v>
      </c>
      <c r="L283">
        <v>13.990400634923899</v>
      </c>
      <c r="M283">
        <v>14.2288633879343</v>
      </c>
      <c r="N283">
        <v>14.4742898070563</v>
      </c>
      <c r="O283">
        <v>14.2489943805507</v>
      </c>
      <c r="P283">
        <v>0.268671576979502</v>
      </c>
      <c r="Q283">
        <v>-0.15263132834426699</v>
      </c>
      <c r="R283">
        <v>0.68997448230326996</v>
      </c>
      <c r="S283">
        <v>14.322985565006</v>
      </c>
      <c r="T283">
        <v>1.3403548295858001</v>
      </c>
      <c r="U283">
        <v>-6.1552225989315801</v>
      </c>
      <c r="V283">
        <v>0.19690030665268099</v>
      </c>
      <c r="W283">
        <v>0.45705248919675001</v>
      </c>
      <c r="X283">
        <v>0</v>
      </c>
      <c r="Y283">
        <v>0</v>
      </c>
    </row>
    <row r="284" spans="1:25" x14ac:dyDescent="0.2">
      <c r="A284" t="s">
        <v>1060</v>
      </c>
      <c r="B284" t="s">
        <v>1061</v>
      </c>
      <c r="C284" t="s">
        <v>1062</v>
      </c>
      <c r="D284" t="s">
        <v>1063</v>
      </c>
      <c r="E284" t="s">
        <v>1061</v>
      </c>
      <c r="F284" t="s">
        <v>28</v>
      </c>
      <c r="G284" t="s">
        <v>1061</v>
      </c>
      <c r="H284" t="str">
        <f>"ark-1"</f>
        <v>ark-1</v>
      </c>
      <c r="I284" t="s">
        <v>1063</v>
      </c>
      <c r="J284">
        <v>12.035233816597</v>
      </c>
      <c r="K284">
        <v>10.850001171099599</v>
      </c>
      <c r="L284">
        <v>12.7327167357912</v>
      </c>
      <c r="M284">
        <v>13.1267966258442</v>
      </c>
      <c r="N284">
        <v>13.0873923712891</v>
      </c>
      <c r="O284">
        <v>13.4406286905902</v>
      </c>
      <c r="P284">
        <v>1.3456219880785401</v>
      </c>
      <c r="Q284">
        <v>0.53289398034464697</v>
      </c>
      <c r="R284">
        <v>2.1583499958124301</v>
      </c>
      <c r="S284">
        <v>12.6177167652405</v>
      </c>
      <c r="T284">
        <v>3.51178062544487</v>
      </c>
      <c r="U284">
        <v>-2.2487143430577299</v>
      </c>
      <c r="V284">
        <v>2.9155218734817699E-3</v>
      </c>
      <c r="W284">
        <v>3.7498451289761599E-2</v>
      </c>
      <c r="X284">
        <v>1</v>
      </c>
      <c r="Y284">
        <v>1</v>
      </c>
    </row>
    <row r="285" spans="1:25" x14ac:dyDescent="0.2">
      <c r="A285" t="s">
        <v>1064</v>
      </c>
      <c r="B285" t="s">
        <v>1065</v>
      </c>
      <c r="C285" t="s">
        <v>1066</v>
      </c>
      <c r="D285" t="s">
        <v>1067</v>
      </c>
      <c r="E285" t="s">
        <v>1065</v>
      </c>
      <c r="F285" t="s">
        <v>28</v>
      </c>
      <c r="G285" t="s">
        <v>1065</v>
      </c>
      <c r="H285" t="str">
        <f>"evl-14"</f>
        <v>evl-14</v>
      </c>
      <c r="I285" t="s">
        <v>1067</v>
      </c>
      <c r="J285">
        <v>13.9249939332888</v>
      </c>
      <c r="K285">
        <v>14.2463263187695</v>
      </c>
      <c r="L285">
        <v>13.8981525864017</v>
      </c>
      <c r="M285">
        <v>13.993613396149099</v>
      </c>
      <c r="N285">
        <v>13.9237523246839</v>
      </c>
      <c r="O285">
        <v>13.7809263385835</v>
      </c>
      <c r="P285">
        <v>-0.123726926347828</v>
      </c>
      <c r="Q285">
        <v>-0.71775544459165097</v>
      </c>
      <c r="R285">
        <v>0.47030159189599402</v>
      </c>
      <c r="S285">
        <v>14.0275962680855</v>
      </c>
      <c r="T285">
        <v>-0.43777347335147399</v>
      </c>
      <c r="U285">
        <v>-6.95218984108174</v>
      </c>
      <c r="V285">
        <v>0.66678862231083202</v>
      </c>
      <c r="W285">
        <v>0.85063296703903801</v>
      </c>
      <c r="X285">
        <v>0</v>
      </c>
      <c r="Y285">
        <v>0</v>
      </c>
    </row>
    <row r="286" spans="1:25" x14ac:dyDescent="0.2">
      <c r="A286" t="s">
        <v>1068</v>
      </c>
      <c r="B286" t="s">
        <v>1069</v>
      </c>
      <c r="C286" t="s">
        <v>1070</v>
      </c>
      <c r="D286" t="s">
        <v>1071</v>
      </c>
      <c r="E286" t="s">
        <v>1069</v>
      </c>
      <c r="F286" t="s">
        <v>28</v>
      </c>
      <c r="G286" t="s">
        <v>1069</v>
      </c>
      <c r="H286" t="str">
        <f>"cept-1"</f>
        <v>cept-1</v>
      </c>
      <c r="I286" t="s">
        <v>1071</v>
      </c>
      <c r="J286">
        <v>13.6927065484238</v>
      </c>
      <c r="K286">
        <v>13.654526259104999</v>
      </c>
      <c r="L286">
        <v>14.0227527398498</v>
      </c>
      <c r="M286">
        <v>13.308102367399799</v>
      </c>
      <c r="N286">
        <v>12.961646406333299</v>
      </c>
      <c r="O286">
        <v>12.886744812815801</v>
      </c>
      <c r="P286">
        <v>-0.73783065360988498</v>
      </c>
      <c r="Q286">
        <v>-1.1890254002912699</v>
      </c>
      <c r="R286">
        <v>-0.28663590692850499</v>
      </c>
      <c r="S286">
        <v>13.696373885467301</v>
      </c>
      <c r="T286">
        <v>-3.4517765419231901</v>
      </c>
      <c r="U286">
        <v>-2.3230516308985498</v>
      </c>
      <c r="V286">
        <v>3.06927563084915E-3</v>
      </c>
      <c r="W286">
        <v>3.87109414836556E-2</v>
      </c>
      <c r="X286">
        <v>0</v>
      </c>
      <c r="Y286">
        <v>0</v>
      </c>
    </row>
    <row r="287" spans="1:25" x14ac:dyDescent="0.2">
      <c r="A287" t="s">
        <v>1072</v>
      </c>
      <c r="B287" t="s">
        <v>1073</v>
      </c>
      <c r="C287" t="s">
        <v>1074</v>
      </c>
      <c r="D287" t="s">
        <v>1075</v>
      </c>
      <c r="E287" t="s">
        <v>1073</v>
      </c>
      <c r="F287" t="s">
        <v>28</v>
      </c>
      <c r="G287" t="s">
        <v>1073</v>
      </c>
      <c r="H287" t="str">
        <f>"lec-9"</f>
        <v>lec-9</v>
      </c>
      <c r="I287" t="s">
        <v>1075</v>
      </c>
      <c r="J287">
        <v>13.845855712800899</v>
      </c>
      <c r="K287">
        <v>13.803403611434099</v>
      </c>
      <c r="L287">
        <v>13.7499894233951</v>
      </c>
      <c r="M287">
        <v>14.257650333662101</v>
      </c>
      <c r="N287">
        <v>14.123843707065401</v>
      </c>
      <c r="O287">
        <v>13.8741520149871</v>
      </c>
      <c r="P287">
        <v>0.285465769361476</v>
      </c>
      <c r="Q287">
        <v>-0.58313987518878596</v>
      </c>
      <c r="R287">
        <v>1.1540714139117401</v>
      </c>
      <c r="S287">
        <v>12.980188608202401</v>
      </c>
      <c r="T287">
        <v>0.69075478919006394</v>
      </c>
      <c r="U287">
        <v>-6.8053331206410999</v>
      </c>
      <c r="V287">
        <v>0.498582455277227</v>
      </c>
      <c r="W287">
        <v>0.75041041141170095</v>
      </c>
      <c r="X287">
        <v>0</v>
      </c>
      <c r="Y287">
        <v>0</v>
      </c>
    </row>
    <row r="288" spans="1:25" x14ac:dyDescent="0.2">
      <c r="A288" t="s">
        <v>1076</v>
      </c>
      <c r="B288" t="s">
        <v>1077</v>
      </c>
      <c r="C288" t="s">
        <v>1078</v>
      </c>
      <c r="D288" t="s">
        <v>1079</v>
      </c>
      <c r="E288" t="s">
        <v>1077</v>
      </c>
      <c r="F288" t="s">
        <v>28</v>
      </c>
      <c r="G288" t="s">
        <v>1077</v>
      </c>
      <c r="H288" t="str">
        <f>"smn-1"</f>
        <v>smn-1</v>
      </c>
      <c r="I288" t="s">
        <v>1079</v>
      </c>
      <c r="J288">
        <v>11.9067106717334</v>
      </c>
      <c r="K288">
        <v>11.2181767906856</v>
      </c>
      <c r="L288">
        <v>12.7865733832174</v>
      </c>
      <c r="M288" t="s">
        <v>29</v>
      </c>
      <c r="N288">
        <v>13.0559056742834</v>
      </c>
      <c r="O288">
        <v>12.2373117448549</v>
      </c>
      <c r="P288">
        <v>0.67612176102366905</v>
      </c>
      <c r="Q288">
        <v>-0.15943347442546199</v>
      </c>
      <c r="R288">
        <v>1.5116769964728001</v>
      </c>
      <c r="S288">
        <v>12.841351769370499</v>
      </c>
      <c r="T288">
        <v>1.7163240141048901</v>
      </c>
      <c r="U288">
        <v>-5.5195331680882402</v>
      </c>
      <c r="V288">
        <v>0.105523539696823</v>
      </c>
      <c r="W288">
        <v>0.33598199429888698</v>
      </c>
      <c r="X288">
        <v>0</v>
      </c>
      <c r="Y288">
        <v>0</v>
      </c>
    </row>
    <row r="289" spans="1:25" x14ac:dyDescent="0.2">
      <c r="A289" t="s">
        <v>1080</v>
      </c>
      <c r="B289" t="s">
        <v>1081</v>
      </c>
      <c r="C289" t="s">
        <v>1082</v>
      </c>
      <c r="D289" t="s">
        <v>1083</v>
      </c>
      <c r="E289" t="s">
        <v>1081</v>
      </c>
      <c r="F289" t="s">
        <v>28</v>
      </c>
      <c r="G289" t="s">
        <v>1081</v>
      </c>
      <c r="H289" t="str">
        <f>"hcf-1"</f>
        <v>hcf-1</v>
      </c>
      <c r="I289" t="s">
        <v>1083</v>
      </c>
      <c r="J289">
        <v>14.9291905796025</v>
      </c>
      <c r="K289">
        <v>15.3168712913623</v>
      </c>
      <c r="L289">
        <v>15.1452504885384</v>
      </c>
      <c r="M289">
        <v>14.933062388501501</v>
      </c>
      <c r="N289">
        <v>14.414388857409399</v>
      </c>
      <c r="O289">
        <v>14.9094034533104</v>
      </c>
      <c r="P289">
        <v>-0.37815255342731602</v>
      </c>
      <c r="Q289">
        <v>-0.74061048294210596</v>
      </c>
      <c r="R289">
        <v>-1.5694623912527E-2</v>
      </c>
      <c r="S289">
        <v>14.821298992729499</v>
      </c>
      <c r="T289">
        <v>-2.1928147565742799</v>
      </c>
      <c r="U289">
        <v>-4.82225233226188</v>
      </c>
      <c r="V289">
        <v>4.1782693397220301E-2</v>
      </c>
      <c r="W289">
        <v>0.20243699559945399</v>
      </c>
      <c r="X289">
        <v>0</v>
      </c>
      <c r="Y289">
        <v>0</v>
      </c>
    </row>
    <row r="290" spans="1:25" x14ac:dyDescent="0.2">
      <c r="A290" t="s">
        <v>1084</v>
      </c>
      <c r="B290" t="s">
        <v>1085</v>
      </c>
      <c r="C290" t="s">
        <v>1086</v>
      </c>
      <c r="D290" t="s">
        <v>1087</v>
      </c>
      <c r="E290" t="s">
        <v>1085</v>
      </c>
      <c r="F290" t="s">
        <v>28</v>
      </c>
      <c r="G290" t="s">
        <v>1085</v>
      </c>
      <c r="H290" t="str">
        <f>"ptp-2"</f>
        <v>ptp-2</v>
      </c>
      <c r="I290" t="s">
        <v>1087</v>
      </c>
      <c r="J290">
        <v>14.7469912095331</v>
      </c>
      <c r="K290">
        <v>15.0939498705874</v>
      </c>
      <c r="L290">
        <v>15.015363379500601</v>
      </c>
      <c r="M290">
        <v>14.983701113635201</v>
      </c>
      <c r="N290">
        <v>14.783957561424801</v>
      </c>
      <c r="O290">
        <v>14.9206720104839</v>
      </c>
      <c r="P290">
        <v>-5.5991258025725799E-2</v>
      </c>
      <c r="Q290">
        <v>-0.40887214622699197</v>
      </c>
      <c r="R290">
        <v>0.29688963017553999</v>
      </c>
      <c r="S290">
        <v>15.038095519713</v>
      </c>
      <c r="T290">
        <v>-0.33349137066042001</v>
      </c>
      <c r="U290">
        <v>-6.9939836088275804</v>
      </c>
      <c r="V290">
        <v>0.742639230341538</v>
      </c>
      <c r="W290">
        <v>0.89145848898999702</v>
      </c>
      <c r="X290">
        <v>0</v>
      </c>
      <c r="Y290">
        <v>0</v>
      </c>
    </row>
    <row r="291" spans="1:25" x14ac:dyDescent="0.2">
      <c r="A291" t="s">
        <v>1088</v>
      </c>
      <c r="B291" t="s">
        <v>1089</v>
      </c>
      <c r="C291" t="s">
        <v>1090</v>
      </c>
      <c r="D291" t="s">
        <v>1091</v>
      </c>
      <c r="E291" t="s">
        <v>1089</v>
      </c>
      <c r="F291" t="s">
        <v>28</v>
      </c>
      <c r="G291" t="s">
        <v>1089</v>
      </c>
      <c r="H291" t="str">
        <f>"cept-2"</f>
        <v>cept-2</v>
      </c>
      <c r="I291" t="s">
        <v>1091</v>
      </c>
      <c r="J291">
        <v>13.740166683002</v>
      </c>
      <c r="K291">
        <v>14.150501207521</v>
      </c>
      <c r="L291">
        <v>14.175852550568401</v>
      </c>
      <c r="M291">
        <v>13.887953403733</v>
      </c>
      <c r="N291">
        <v>14.268542380638699</v>
      </c>
      <c r="O291">
        <v>14.2911028503858</v>
      </c>
      <c r="P291">
        <v>0.127026064555395</v>
      </c>
      <c r="Q291">
        <v>-0.36336311386758302</v>
      </c>
      <c r="R291">
        <v>0.61741524297837203</v>
      </c>
      <c r="S291">
        <v>14.3721886865531</v>
      </c>
      <c r="T291">
        <v>0.54443304645117396</v>
      </c>
      <c r="U291">
        <v>-6.8980318913971104</v>
      </c>
      <c r="V291">
        <v>0.592863582908984</v>
      </c>
      <c r="W291">
        <v>0.80455755297307496</v>
      </c>
      <c r="X291">
        <v>0</v>
      </c>
      <c r="Y291">
        <v>0</v>
      </c>
    </row>
    <row r="292" spans="1:25" x14ac:dyDescent="0.2">
      <c r="A292" t="s">
        <v>1092</v>
      </c>
      <c r="B292" t="s">
        <v>1093</v>
      </c>
      <c r="C292" t="s">
        <v>1094</v>
      </c>
      <c r="D292" t="s">
        <v>1095</v>
      </c>
      <c r="E292" t="s">
        <v>1093</v>
      </c>
      <c r="F292" t="s">
        <v>28</v>
      </c>
      <c r="G292" t="s">
        <v>1093</v>
      </c>
      <c r="H292" t="str">
        <f>"gna-2"</f>
        <v>gna-2</v>
      </c>
      <c r="I292" t="s">
        <v>1095</v>
      </c>
      <c r="J292">
        <v>12.631299011449</v>
      </c>
      <c r="K292">
        <v>12.0974036792544</v>
      </c>
      <c r="L292">
        <v>13.273172806553999</v>
      </c>
      <c r="M292">
        <v>11.7638288670172</v>
      </c>
      <c r="N292">
        <v>13.704583420316601</v>
      </c>
      <c r="O292">
        <v>12.7621275321144</v>
      </c>
      <c r="P292">
        <v>7.6221440730247295E-2</v>
      </c>
      <c r="Q292">
        <v>-0.75684321431348001</v>
      </c>
      <c r="R292">
        <v>0.90928609577397401</v>
      </c>
      <c r="S292">
        <v>13.561797581913501</v>
      </c>
      <c r="T292">
        <v>0.19312942962473001</v>
      </c>
      <c r="U292">
        <v>-7.03249994265596</v>
      </c>
      <c r="V292">
        <v>0.84916028005727795</v>
      </c>
      <c r="W292">
        <v>0.94093204807378505</v>
      </c>
      <c r="X292">
        <v>0</v>
      </c>
      <c r="Y292">
        <v>0</v>
      </c>
    </row>
    <row r="293" spans="1:25" x14ac:dyDescent="0.2">
      <c r="A293" t="s">
        <v>1096</v>
      </c>
      <c r="B293" t="s">
        <v>1097</v>
      </c>
      <c r="C293" t="s">
        <v>1098</v>
      </c>
      <c r="D293" t="s">
        <v>1099</v>
      </c>
      <c r="E293" t="s">
        <v>1097</v>
      </c>
      <c r="F293" t="s">
        <v>28</v>
      </c>
      <c r="G293" t="s">
        <v>1097</v>
      </c>
      <c r="H293" t="str">
        <f>"sulp-7"</f>
        <v>sulp-7</v>
      </c>
      <c r="I293" t="s">
        <v>1099</v>
      </c>
      <c r="J293">
        <v>12.738999415622301</v>
      </c>
      <c r="K293" t="s">
        <v>29</v>
      </c>
      <c r="L293">
        <v>12.412896623589299</v>
      </c>
      <c r="M293">
        <v>12.9039600963912</v>
      </c>
      <c r="N293">
        <v>12.5396391059324</v>
      </c>
      <c r="O293" t="s">
        <v>29</v>
      </c>
      <c r="P293">
        <v>0.14585158155598399</v>
      </c>
      <c r="Q293">
        <v>-0.59266053668327001</v>
      </c>
      <c r="R293">
        <v>0.88436369979523799</v>
      </c>
      <c r="S293">
        <v>12.270753107646099</v>
      </c>
      <c r="T293">
        <v>0.42701266991599202</v>
      </c>
      <c r="U293">
        <v>-6.7547125587630203</v>
      </c>
      <c r="V293">
        <v>0.67641338173011301</v>
      </c>
      <c r="W293">
        <v>0.85541145012261999</v>
      </c>
      <c r="X293">
        <v>0</v>
      </c>
      <c r="Y293">
        <v>0</v>
      </c>
    </row>
    <row r="294" spans="1:25" x14ac:dyDescent="0.2">
      <c r="A294" t="s">
        <v>1100</v>
      </c>
      <c r="B294" t="s">
        <v>1101</v>
      </c>
      <c r="C294" t="s">
        <v>1102</v>
      </c>
      <c r="D294" t="s">
        <v>1103</v>
      </c>
      <c r="E294" t="s">
        <v>1101</v>
      </c>
      <c r="F294" t="s">
        <v>28</v>
      </c>
      <c r="G294" t="s">
        <v>1101</v>
      </c>
      <c r="H294" t="str">
        <f>"alh-6"</f>
        <v>alh-6</v>
      </c>
      <c r="I294" t="s">
        <v>1103</v>
      </c>
      <c r="J294">
        <v>11.871356682956</v>
      </c>
      <c r="K294">
        <v>12.4864279776176</v>
      </c>
      <c r="L294">
        <v>12.7841378270485</v>
      </c>
      <c r="M294">
        <v>13.221852110833</v>
      </c>
      <c r="N294">
        <v>13.0569541716927</v>
      </c>
      <c r="O294">
        <v>13.9912154250709</v>
      </c>
      <c r="P294">
        <v>1.0426997399914999</v>
      </c>
      <c r="Q294">
        <v>0.44805647633725598</v>
      </c>
      <c r="R294">
        <v>1.6373430036457399</v>
      </c>
      <c r="S294">
        <v>13.0603524343096</v>
      </c>
      <c r="T294">
        <v>3.7012871120547501</v>
      </c>
      <c r="U294">
        <v>-1.7921475172337999</v>
      </c>
      <c r="V294">
        <v>1.78881377670363E-3</v>
      </c>
      <c r="W294">
        <v>2.5939589445653399E-2</v>
      </c>
      <c r="X294">
        <v>1</v>
      </c>
      <c r="Y294">
        <v>1</v>
      </c>
    </row>
    <row r="295" spans="1:25" x14ac:dyDescent="0.2">
      <c r="A295" t="s">
        <v>1104</v>
      </c>
      <c r="B295" t="s">
        <v>1105</v>
      </c>
      <c r="C295" t="s">
        <v>14248</v>
      </c>
      <c r="D295" t="s">
        <v>107</v>
      </c>
      <c r="E295" t="s">
        <v>1105</v>
      </c>
      <c r="F295" t="s">
        <v>28</v>
      </c>
      <c r="G295" t="s">
        <v>1105</v>
      </c>
      <c r="H295" t="str">
        <f>"F17C11.12"</f>
        <v>F17C11.12</v>
      </c>
      <c r="I295" t="s">
        <v>107</v>
      </c>
      <c r="J295">
        <v>13.1270388075569</v>
      </c>
      <c r="K295">
        <v>13.4668204381453</v>
      </c>
      <c r="L295">
        <v>13.250384159494301</v>
      </c>
      <c r="M295">
        <v>13.592042577448099</v>
      </c>
      <c r="N295">
        <v>13.2190401206923</v>
      </c>
      <c r="O295">
        <v>12.695864204576001</v>
      </c>
      <c r="P295">
        <v>-0.112432167493344</v>
      </c>
      <c r="Q295">
        <v>-0.55404757515889502</v>
      </c>
      <c r="R295">
        <v>0.32918324017220801</v>
      </c>
      <c r="S295">
        <v>13.098051807215599</v>
      </c>
      <c r="T295">
        <v>-0.54000265581955198</v>
      </c>
      <c r="U295">
        <v>-6.8996546327542898</v>
      </c>
      <c r="V295">
        <v>0.59668042858835701</v>
      </c>
      <c r="W295">
        <v>0.80698176002764499</v>
      </c>
      <c r="X295">
        <v>0</v>
      </c>
      <c r="Y295">
        <v>0</v>
      </c>
    </row>
    <row r="296" spans="1:25" x14ac:dyDescent="0.2">
      <c r="A296" t="s">
        <v>1106</v>
      </c>
      <c r="B296" t="s">
        <v>1107</v>
      </c>
      <c r="C296" t="s">
        <v>1108</v>
      </c>
      <c r="D296" t="s">
        <v>1109</v>
      </c>
      <c r="E296" t="s">
        <v>1107</v>
      </c>
      <c r="F296" t="s">
        <v>28</v>
      </c>
      <c r="G296" t="s">
        <v>1107</v>
      </c>
      <c r="H296" t="str">
        <f>"mboa-3"</f>
        <v>mboa-3</v>
      </c>
      <c r="I296" t="s">
        <v>1109</v>
      </c>
      <c r="J296">
        <v>12.456619126785601</v>
      </c>
      <c r="K296">
        <v>13.4499960219214</v>
      </c>
      <c r="L296">
        <v>12.938266254362601</v>
      </c>
      <c r="M296" t="s">
        <v>29</v>
      </c>
      <c r="N296">
        <v>12.2906673489952</v>
      </c>
      <c r="O296">
        <v>13.5344671962586</v>
      </c>
      <c r="P296">
        <v>-3.5726528396319103E-2</v>
      </c>
      <c r="Q296">
        <v>-0.86397792727938205</v>
      </c>
      <c r="R296">
        <v>0.79252487048674403</v>
      </c>
      <c r="S296">
        <v>13.7638091414683</v>
      </c>
      <c r="T296">
        <v>-9.3264396332607705E-2</v>
      </c>
      <c r="U296">
        <v>-6.9367898937826604</v>
      </c>
      <c r="V296">
        <v>0.92712699478740401</v>
      </c>
      <c r="W296">
        <v>0.97381253745584595</v>
      </c>
      <c r="X296">
        <v>0</v>
      </c>
      <c r="Y296">
        <v>0</v>
      </c>
    </row>
    <row r="297" spans="1:25" x14ac:dyDescent="0.2">
      <c r="A297" t="s">
        <v>1110</v>
      </c>
      <c r="B297" t="s">
        <v>1111</v>
      </c>
      <c r="C297" t="s">
        <v>1112</v>
      </c>
      <c r="D297" t="s">
        <v>1113</v>
      </c>
      <c r="E297" t="s">
        <v>1111</v>
      </c>
      <c r="F297" t="s">
        <v>28</v>
      </c>
      <c r="G297" t="s">
        <v>1111</v>
      </c>
      <c r="H297" t="str">
        <f>"ttm-5"</f>
        <v>ttm-5</v>
      </c>
      <c r="I297" t="s">
        <v>1113</v>
      </c>
      <c r="J297">
        <v>11.972407193116</v>
      </c>
      <c r="K297">
        <v>11.8458040285299</v>
      </c>
      <c r="L297">
        <v>12.251774420618901</v>
      </c>
      <c r="M297">
        <v>11.2142405855706</v>
      </c>
      <c r="N297" t="s">
        <v>29</v>
      </c>
      <c r="O297" t="s">
        <v>29</v>
      </c>
      <c r="P297">
        <v>-0.80908796185102205</v>
      </c>
      <c r="Q297">
        <v>-1.3822461198564799</v>
      </c>
      <c r="R297">
        <v>-0.235929803845563</v>
      </c>
      <c r="S297">
        <v>12.070816634763901</v>
      </c>
      <c r="T297">
        <v>-3.0297943683720301</v>
      </c>
      <c r="U297">
        <v>-3.0031465697827402</v>
      </c>
      <c r="V297">
        <v>9.0679503255533707E-3</v>
      </c>
      <c r="W297">
        <v>8.1511354583841594E-2</v>
      </c>
      <c r="X297">
        <v>0</v>
      </c>
      <c r="Y297">
        <v>0</v>
      </c>
    </row>
    <row r="298" spans="1:25" x14ac:dyDescent="0.2">
      <c r="A298" t="s">
        <v>1114</v>
      </c>
      <c r="B298" t="s">
        <v>1115</v>
      </c>
      <c r="C298" t="s">
        <v>1116</v>
      </c>
      <c r="D298" t="s">
        <v>420</v>
      </c>
      <c r="E298" t="s">
        <v>1115</v>
      </c>
      <c r="F298" t="s">
        <v>28</v>
      </c>
      <c r="G298" t="s">
        <v>1115</v>
      </c>
      <c r="H298" t="str">
        <f>"clh-6"</f>
        <v>clh-6</v>
      </c>
      <c r="I298" t="s">
        <v>420</v>
      </c>
      <c r="J298" t="s">
        <v>29</v>
      </c>
      <c r="K298" t="s">
        <v>29</v>
      </c>
      <c r="L298" t="s">
        <v>29</v>
      </c>
      <c r="M298" t="s">
        <v>29</v>
      </c>
      <c r="N298" t="s">
        <v>29</v>
      </c>
      <c r="O298" t="s">
        <v>29</v>
      </c>
      <c r="P298" t="s">
        <v>29</v>
      </c>
      <c r="Q298" t="s">
        <v>29</v>
      </c>
      <c r="R298" t="s">
        <v>29</v>
      </c>
      <c r="S298">
        <v>11.309412223722401</v>
      </c>
      <c r="T298" t="s">
        <v>29</v>
      </c>
      <c r="U298" t="s">
        <v>29</v>
      </c>
      <c r="V298" t="s">
        <v>29</v>
      </c>
      <c r="W298" t="s">
        <v>29</v>
      </c>
      <c r="X298" t="s">
        <v>29</v>
      </c>
      <c r="Y298" t="s">
        <v>29</v>
      </c>
    </row>
    <row r="299" spans="1:25" x14ac:dyDescent="0.2">
      <c r="A299" t="s">
        <v>1117</v>
      </c>
      <c r="B299" t="s">
        <v>1118</v>
      </c>
      <c r="C299" t="s">
        <v>1119</v>
      </c>
      <c r="D299" t="s">
        <v>1120</v>
      </c>
      <c r="E299" t="s">
        <v>1118</v>
      </c>
      <c r="F299" t="s">
        <v>28</v>
      </c>
      <c r="G299" t="s">
        <v>1118</v>
      </c>
      <c r="H299" t="str">
        <f>"ztf-6"</f>
        <v>ztf-6</v>
      </c>
      <c r="I299" t="s">
        <v>1120</v>
      </c>
      <c r="J299" t="s">
        <v>29</v>
      </c>
      <c r="K299" t="s">
        <v>29</v>
      </c>
      <c r="L299" t="s">
        <v>29</v>
      </c>
      <c r="M299" t="s">
        <v>29</v>
      </c>
      <c r="N299" t="s">
        <v>29</v>
      </c>
      <c r="O299" t="s">
        <v>29</v>
      </c>
      <c r="P299" t="s">
        <v>29</v>
      </c>
      <c r="Q299" t="s">
        <v>29</v>
      </c>
      <c r="R299" t="s">
        <v>29</v>
      </c>
      <c r="S299">
        <v>11.8161814462905</v>
      </c>
      <c r="T299" t="s">
        <v>29</v>
      </c>
      <c r="U299" t="s">
        <v>29</v>
      </c>
      <c r="V299" t="s">
        <v>29</v>
      </c>
      <c r="W299" t="s">
        <v>29</v>
      </c>
      <c r="X299" t="s">
        <v>29</v>
      </c>
      <c r="Y299" t="s">
        <v>29</v>
      </c>
    </row>
    <row r="300" spans="1:25" x14ac:dyDescent="0.2">
      <c r="A300" t="s">
        <v>1121</v>
      </c>
      <c r="B300" t="s">
        <v>1122</v>
      </c>
      <c r="C300" t="s">
        <v>1123</v>
      </c>
      <c r="D300" t="s">
        <v>1124</v>
      </c>
      <c r="E300" t="s">
        <v>1122</v>
      </c>
      <c r="F300" t="s">
        <v>28</v>
      </c>
      <c r="G300" t="s">
        <v>1122</v>
      </c>
      <c r="H300" t="str">
        <f>"oma-1"</f>
        <v>oma-1</v>
      </c>
      <c r="I300" t="s">
        <v>1124</v>
      </c>
      <c r="J300">
        <v>13.6793749054565</v>
      </c>
      <c r="K300">
        <v>12.5413503989656</v>
      </c>
      <c r="L300">
        <v>13.582878738166301</v>
      </c>
      <c r="M300">
        <v>11.5977933482511</v>
      </c>
      <c r="N300">
        <v>13.7376319887478</v>
      </c>
      <c r="O300">
        <v>13.2800476761666</v>
      </c>
      <c r="P300">
        <v>-0.39604367647425998</v>
      </c>
      <c r="Q300">
        <v>-1.41395650800446</v>
      </c>
      <c r="R300">
        <v>0.62186915505593798</v>
      </c>
      <c r="S300">
        <v>14.2195912369951</v>
      </c>
      <c r="T300">
        <v>-0.82126347347334405</v>
      </c>
      <c r="U300">
        <v>-6.7044572887960596</v>
      </c>
      <c r="V300">
        <v>0.42293415850836302</v>
      </c>
      <c r="W300">
        <v>0.69576731637321199</v>
      </c>
      <c r="X300">
        <v>0</v>
      </c>
      <c r="Y300">
        <v>0</v>
      </c>
    </row>
    <row r="301" spans="1:25" x14ac:dyDescent="0.2">
      <c r="A301" t="s">
        <v>1125</v>
      </c>
      <c r="B301" t="s">
        <v>1126</v>
      </c>
      <c r="C301" t="s">
        <v>1127</v>
      </c>
      <c r="D301" t="s">
        <v>1128</v>
      </c>
      <c r="E301" t="s">
        <v>1126</v>
      </c>
      <c r="F301" t="s">
        <v>28</v>
      </c>
      <c r="G301" t="s">
        <v>1126</v>
      </c>
      <c r="H301" t="str">
        <f>"dpy-11"</f>
        <v>dpy-11</v>
      </c>
      <c r="I301" t="s">
        <v>1128</v>
      </c>
      <c r="J301">
        <v>13.102819671752901</v>
      </c>
      <c r="K301">
        <v>13.764396115159199</v>
      </c>
      <c r="L301">
        <v>14.266773538895</v>
      </c>
      <c r="M301">
        <v>14.009432275467899</v>
      </c>
      <c r="N301">
        <v>13.775584921976</v>
      </c>
      <c r="O301">
        <v>15.3155315091945</v>
      </c>
      <c r="P301">
        <v>0.65551979361040902</v>
      </c>
      <c r="Q301">
        <v>-7.8634683765903796E-2</v>
      </c>
      <c r="R301">
        <v>1.38967427098672</v>
      </c>
      <c r="S301">
        <v>14.0320865815471</v>
      </c>
      <c r="T301">
        <v>1.8766827896418301</v>
      </c>
      <c r="U301">
        <v>-5.3683856322586703</v>
      </c>
      <c r="V301">
        <v>7.6966082227272303E-2</v>
      </c>
      <c r="W301">
        <v>0.285009028191476</v>
      </c>
      <c r="X301">
        <v>0</v>
      </c>
      <c r="Y301">
        <v>0</v>
      </c>
    </row>
    <row r="302" spans="1:25" x14ac:dyDescent="0.2">
      <c r="A302" t="s">
        <v>1129</v>
      </c>
      <c r="B302" t="s">
        <v>1130</v>
      </c>
      <c r="C302" t="s">
        <v>14159</v>
      </c>
      <c r="D302" t="s">
        <v>1131</v>
      </c>
      <c r="E302" t="s">
        <v>1130</v>
      </c>
      <c r="F302" t="s">
        <v>28</v>
      </c>
      <c r="G302" t="s">
        <v>1130</v>
      </c>
      <c r="H302" t="str">
        <f>"T04A11.2"</f>
        <v>T04A11.2</v>
      </c>
      <c r="I302" t="s">
        <v>1131</v>
      </c>
      <c r="J302" t="s">
        <v>29</v>
      </c>
      <c r="K302" t="s">
        <v>29</v>
      </c>
      <c r="L302" t="s">
        <v>29</v>
      </c>
      <c r="M302">
        <v>14.1078258198008</v>
      </c>
      <c r="N302">
        <v>13.9268885594176</v>
      </c>
      <c r="O302">
        <v>13.240046154694699</v>
      </c>
      <c r="P302" t="s">
        <v>29</v>
      </c>
      <c r="Q302" t="s">
        <v>29</v>
      </c>
      <c r="R302" t="s">
        <v>29</v>
      </c>
      <c r="S302">
        <v>12.4855194859049</v>
      </c>
      <c r="T302" t="s">
        <v>29</v>
      </c>
      <c r="U302" t="s">
        <v>29</v>
      </c>
      <c r="V302" t="s">
        <v>29</v>
      </c>
      <c r="W302" t="s">
        <v>29</v>
      </c>
      <c r="X302" t="s">
        <v>29</v>
      </c>
      <c r="Y302" t="s">
        <v>29</v>
      </c>
    </row>
    <row r="303" spans="1:25" x14ac:dyDescent="0.2">
      <c r="A303" t="s">
        <v>1132</v>
      </c>
      <c r="B303" t="s">
        <v>1133</v>
      </c>
      <c r="C303" t="s">
        <v>1134</v>
      </c>
      <c r="D303" t="s">
        <v>1135</v>
      </c>
      <c r="E303" t="s">
        <v>1133</v>
      </c>
      <c r="F303" t="s">
        <v>28</v>
      </c>
      <c r="G303" t="s">
        <v>1133</v>
      </c>
      <c r="H303" t="str">
        <f>"bus-8"</f>
        <v>bus-8</v>
      </c>
      <c r="I303" t="s">
        <v>1135</v>
      </c>
      <c r="J303" t="s">
        <v>29</v>
      </c>
      <c r="K303" t="s">
        <v>29</v>
      </c>
      <c r="L303">
        <v>13.009271125738</v>
      </c>
      <c r="M303" t="s">
        <v>29</v>
      </c>
      <c r="N303" t="s">
        <v>29</v>
      </c>
      <c r="O303">
        <v>12.311346568490199</v>
      </c>
      <c r="P303">
        <v>-0.697924557247799</v>
      </c>
      <c r="Q303">
        <v>-1.60527999408556</v>
      </c>
      <c r="R303">
        <v>0.20943087958996301</v>
      </c>
      <c r="S303">
        <v>12.1781973696104</v>
      </c>
      <c r="T303">
        <v>-1.7163186604081699</v>
      </c>
      <c r="U303">
        <v>-5.1255809562085197</v>
      </c>
      <c r="V303">
        <v>0.117185502510641</v>
      </c>
      <c r="W303">
        <v>0.35242294377969002</v>
      </c>
      <c r="X303">
        <v>0</v>
      </c>
      <c r="Y303">
        <v>0</v>
      </c>
    </row>
    <row r="304" spans="1:25" x14ac:dyDescent="0.2">
      <c r="A304" t="s">
        <v>1136</v>
      </c>
      <c r="B304" t="s">
        <v>1137</v>
      </c>
      <c r="C304" t="s">
        <v>1138</v>
      </c>
      <c r="D304" t="s">
        <v>1139</v>
      </c>
      <c r="E304" t="s">
        <v>1137</v>
      </c>
      <c r="F304" t="s">
        <v>28</v>
      </c>
      <c r="G304" t="s">
        <v>1137</v>
      </c>
      <c r="H304" t="str">
        <f>"klp-16"</f>
        <v>klp-16</v>
      </c>
      <c r="I304" t="s">
        <v>1139</v>
      </c>
      <c r="J304">
        <v>13.744967417236801</v>
      </c>
      <c r="K304">
        <v>13.8184537135512</v>
      </c>
      <c r="L304">
        <v>14.486390894661801</v>
      </c>
      <c r="M304">
        <v>12.985703736785</v>
      </c>
      <c r="N304">
        <v>13.936773508125601</v>
      </c>
      <c r="O304">
        <v>13.645689313774399</v>
      </c>
      <c r="P304">
        <v>-0.493881822254915</v>
      </c>
      <c r="Q304">
        <v>-1.18739575053875</v>
      </c>
      <c r="R304">
        <v>0.19963210602892301</v>
      </c>
      <c r="S304">
        <v>14.383488247488</v>
      </c>
      <c r="T304">
        <v>-1.50320380814101</v>
      </c>
      <c r="U304">
        <v>-5.93772337131215</v>
      </c>
      <c r="V304">
        <v>0.15124841106758599</v>
      </c>
      <c r="W304">
        <v>0.40314006532164898</v>
      </c>
      <c r="X304">
        <v>0</v>
      </c>
      <c r="Y304">
        <v>0</v>
      </c>
    </row>
    <row r="305" spans="1:25" x14ac:dyDescent="0.2">
      <c r="A305" t="s">
        <v>1140</v>
      </c>
      <c r="B305" t="s">
        <v>1141</v>
      </c>
      <c r="C305" t="s">
        <v>1142</v>
      </c>
      <c r="D305" t="s">
        <v>1143</v>
      </c>
      <c r="E305" t="s">
        <v>1141</v>
      </c>
      <c r="F305" t="s">
        <v>28</v>
      </c>
      <c r="G305" t="s">
        <v>1141</v>
      </c>
      <c r="H305" t="str">
        <f>"rme-1"</f>
        <v>rme-1</v>
      </c>
      <c r="I305" t="s">
        <v>1143</v>
      </c>
      <c r="J305">
        <v>15.1960671312125</v>
      </c>
      <c r="K305">
        <v>15.0647679567269</v>
      </c>
      <c r="L305">
        <v>15.1076996063611</v>
      </c>
      <c r="M305">
        <v>15.105483083807499</v>
      </c>
      <c r="N305">
        <v>15.693809467228601</v>
      </c>
      <c r="O305">
        <v>15.633544305701401</v>
      </c>
      <c r="P305">
        <v>0.35476738747903103</v>
      </c>
      <c r="Q305">
        <v>-7.1000978700612602E-2</v>
      </c>
      <c r="R305">
        <v>0.780535753658674</v>
      </c>
      <c r="S305">
        <v>15.263480389632999</v>
      </c>
      <c r="T305">
        <v>1.7513091308447899</v>
      </c>
      <c r="U305">
        <v>-5.5694327180976204</v>
      </c>
      <c r="V305">
        <v>9.70139160139422E-2</v>
      </c>
      <c r="W305">
        <v>0.32146973799324602</v>
      </c>
      <c r="X305">
        <v>0</v>
      </c>
      <c r="Y305">
        <v>0</v>
      </c>
    </row>
    <row r="306" spans="1:25" x14ac:dyDescent="0.2">
      <c r="A306" t="s">
        <v>1144</v>
      </c>
      <c r="B306" t="s">
        <v>1145</v>
      </c>
      <c r="C306" t="s">
        <v>1146</v>
      </c>
      <c r="D306" t="s">
        <v>1147</v>
      </c>
      <c r="E306" t="s">
        <v>1145</v>
      </c>
      <c r="F306" t="s">
        <v>28</v>
      </c>
      <c r="G306" t="s">
        <v>1145</v>
      </c>
      <c r="H306" t="str">
        <f>"usp-48"</f>
        <v>usp-48</v>
      </c>
      <c r="I306" t="s">
        <v>1147</v>
      </c>
      <c r="J306">
        <v>11.8425482550174</v>
      </c>
      <c r="K306">
        <v>11.935821028334599</v>
      </c>
      <c r="L306">
        <v>12.0505093450966</v>
      </c>
      <c r="M306">
        <v>12.0914855264047</v>
      </c>
      <c r="N306">
        <v>12.5651467947658</v>
      </c>
      <c r="O306">
        <v>12.196528505983601</v>
      </c>
      <c r="P306">
        <v>0.34142739956847401</v>
      </c>
      <c r="Q306">
        <v>-0.42192479322521298</v>
      </c>
      <c r="R306">
        <v>1.1047795923621599</v>
      </c>
      <c r="S306">
        <v>12.3049034015473</v>
      </c>
      <c r="T306">
        <v>0.94411180065568501</v>
      </c>
      <c r="U306">
        <v>-6.5955307407063204</v>
      </c>
      <c r="V306">
        <v>0.35841922218559602</v>
      </c>
      <c r="W306">
        <v>0.63662117965530796</v>
      </c>
      <c r="X306">
        <v>0</v>
      </c>
      <c r="Y306">
        <v>0</v>
      </c>
    </row>
    <row r="307" spans="1:25" x14ac:dyDescent="0.2">
      <c r="A307" t="s">
        <v>1148</v>
      </c>
      <c r="B307" t="s">
        <v>1149</v>
      </c>
      <c r="C307" t="s">
        <v>1150</v>
      </c>
      <c r="D307" t="s">
        <v>1151</v>
      </c>
      <c r="E307" t="s">
        <v>1149</v>
      </c>
      <c r="F307" t="s">
        <v>28</v>
      </c>
      <c r="G307" t="s">
        <v>1149</v>
      </c>
      <c r="H307" t="str">
        <f>"mrps-27"</f>
        <v>mrps-27</v>
      </c>
      <c r="I307" t="s">
        <v>1151</v>
      </c>
      <c r="J307">
        <v>10.919888378023501</v>
      </c>
      <c r="K307">
        <v>11.471532077507099</v>
      </c>
      <c r="L307">
        <v>11.905663186193699</v>
      </c>
      <c r="M307">
        <v>10.2607338182601</v>
      </c>
      <c r="N307">
        <v>11.1288518248319</v>
      </c>
      <c r="O307">
        <v>11.0981485151875</v>
      </c>
      <c r="P307">
        <v>-0.60311649448156901</v>
      </c>
      <c r="Q307">
        <v>-1.3434726430145201</v>
      </c>
      <c r="R307">
        <v>0.13723965405138699</v>
      </c>
      <c r="S307">
        <v>12.121064996795001</v>
      </c>
      <c r="T307">
        <v>-1.7278659581015201</v>
      </c>
      <c r="U307">
        <v>-5.6096944520026097</v>
      </c>
      <c r="V307">
        <v>0.103386620433723</v>
      </c>
      <c r="W307">
        <v>0.332102727434684</v>
      </c>
      <c r="X307">
        <v>0</v>
      </c>
      <c r="Y307">
        <v>0</v>
      </c>
    </row>
    <row r="308" spans="1:25" x14ac:dyDescent="0.2">
      <c r="A308" t="s">
        <v>1152</v>
      </c>
      <c r="B308" t="s">
        <v>1153</v>
      </c>
      <c r="C308" t="s">
        <v>1154</v>
      </c>
      <c r="D308" t="s">
        <v>1155</v>
      </c>
      <c r="E308" t="s">
        <v>1153</v>
      </c>
      <c r="F308" t="s">
        <v>28</v>
      </c>
      <c r="G308" t="s">
        <v>1153</v>
      </c>
      <c r="H308" t="str">
        <f>"chs-1"</f>
        <v>chs-1</v>
      </c>
      <c r="I308" t="s">
        <v>1155</v>
      </c>
      <c r="J308" t="s">
        <v>29</v>
      </c>
      <c r="K308" t="s">
        <v>29</v>
      </c>
      <c r="L308" t="s">
        <v>29</v>
      </c>
      <c r="M308" t="s">
        <v>29</v>
      </c>
      <c r="N308" t="s">
        <v>29</v>
      </c>
      <c r="O308" t="s">
        <v>29</v>
      </c>
      <c r="P308" t="s">
        <v>29</v>
      </c>
      <c r="Q308" t="s">
        <v>29</v>
      </c>
      <c r="R308" t="s">
        <v>29</v>
      </c>
      <c r="S308">
        <v>12.202970194474601</v>
      </c>
      <c r="T308" t="s">
        <v>29</v>
      </c>
      <c r="U308" t="s">
        <v>29</v>
      </c>
      <c r="V308" t="s">
        <v>29</v>
      </c>
      <c r="W308" t="s">
        <v>29</v>
      </c>
      <c r="X308" t="s">
        <v>29</v>
      </c>
      <c r="Y308" t="s">
        <v>29</v>
      </c>
    </row>
    <row r="309" spans="1:25" x14ac:dyDescent="0.2">
      <c r="A309" t="s">
        <v>1156</v>
      </c>
      <c r="B309" t="s">
        <v>1157</v>
      </c>
      <c r="C309" t="s">
        <v>1158</v>
      </c>
      <c r="D309" t="s">
        <v>1159</v>
      </c>
      <c r="E309" t="s">
        <v>1157</v>
      </c>
      <c r="F309" t="s">
        <v>28</v>
      </c>
      <c r="G309" t="s">
        <v>1157</v>
      </c>
      <c r="H309" t="str">
        <f>"mel-11"</f>
        <v>mel-11</v>
      </c>
      <c r="I309" t="s">
        <v>1159</v>
      </c>
      <c r="J309" t="s">
        <v>29</v>
      </c>
      <c r="K309" t="s">
        <v>29</v>
      </c>
      <c r="L309">
        <v>11.7055193885022</v>
      </c>
      <c r="M309" t="s">
        <v>29</v>
      </c>
      <c r="N309" t="s">
        <v>29</v>
      </c>
      <c r="O309">
        <v>12.4006014826595</v>
      </c>
      <c r="P309">
        <v>0.69508209415733402</v>
      </c>
      <c r="Q309">
        <v>-1.18462415900439</v>
      </c>
      <c r="R309">
        <v>2.57478834731906</v>
      </c>
      <c r="S309">
        <v>12.261414956861</v>
      </c>
      <c r="T309">
        <v>0.82511219347384002</v>
      </c>
      <c r="U309">
        <v>-6.1557269269267696</v>
      </c>
      <c r="V309">
        <v>0.42875091557823503</v>
      </c>
      <c r="W309">
        <v>0.69757773964578895</v>
      </c>
      <c r="X309">
        <v>0</v>
      </c>
      <c r="Y309">
        <v>0</v>
      </c>
    </row>
    <row r="310" spans="1:25" x14ac:dyDescent="0.2">
      <c r="A310" t="s">
        <v>1160</v>
      </c>
      <c r="B310" t="s">
        <v>1161</v>
      </c>
      <c r="C310" t="s">
        <v>1162</v>
      </c>
      <c r="D310" t="s">
        <v>1163</v>
      </c>
      <c r="E310" t="s">
        <v>1161</v>
      </c>
      <c r="F310" t="s">
        <v>28</v>
      </c>
      <c r="G310" t="s">
        <v>1161</v>
      </c>
      <c r="H310" t="str">
        <f>"lam-3"</f>
        <v>lam-3</v>
      </c>
      <c r="I310" t="s">
        <v>1163</v>
      </c>
      <c r="J310">
        <v>11.053443030278199</v>
      </c>
      <c r="K310">
        <v>11.121600099133801</v>
      </c>
      <c r="L310">
        <v>12.140856389869899</v>
      </c>
      <c r="M310">
        <v>11.9142132941951</v>
      </c>
      <c r="N310">
        <v>11.8080095873086</v>
      </c>
      <c r="O310">
        <v>11.923731355985099</v>
      </c>
      <c r="P310">
        <v>0.44335157273562598</v>
      </c>
      <c r="Q310">
        <v>-0.66228494369360402</v>
      </c>
      <c r="R310">
        <v>1.54898808916486</v>
      </c>
      <c r="S310">
        <v>11.264065512203199</v>
      </c>
      <c r="T310">
        <v>0.84641995302707995</v>
      </c>
      <c r="U310">
        <v>-6.68328069433064</v>
      </c>
      <c r="V310">
        <v>0.40914776406220199</v>
      </c>
      <c r="W310">
        <v>0.68050436770617895</v>
      </c>
      <c r="X310">
        <v>0</v>
      </c>
      <c r="Y310">
        <v>0</v>
      </c>
    </row>
    <row r="311" spans="1:25" x14ac:dyDescent="0.2">
      <c r="A311" t="s">
        <v>1164</v>
      </c>
      <c r="B311" t="s">
        <v>1165</v>
      </c>
      <c r="C311" t="s">
        <v>1166</v>
      </c>
      <c r="D311" t="s">
        <v>828</v>
      </c>
      <c r="E311" t="s">
        <v>1165</v>
      </c>
      <c r="F311" t="s">
        <v>28</v>
      </c>
      <c r="G311" t="s">
        <v>1165</v>
      </c>
      <c r="H311" t="str">
        <f>"rin-1"</f>
        <v>rin-1</v>
      </c>
      <c r="I311" t="s">
        <v>828</v>
      </c>
      <c r="J311">
        <v>12.6116085520441</v>
      </c>
      <c r="K311">
        <v>12.050059158870001</v>
      </c>
      <c r="L311">
        <v>13.689453810892401</v>
      </c>
      <c r="M311">
        <v>13.4551072200411</v>
      </c>
      <c r="N311">
        <v>13.3880040900029</v>
      </c>
      <c r="O311">
        <v>12.172824759029099</v>
      </c>
      <c r="P311">
        <v>0.221604849088884</v>
      </c>
      <c r="Q311">
        <v>-0.63094749744329104</v>
      </c>
      <c r="R311">
        <v>1.07415719562106</v>
      </c>
      <c r="S311">
        <v>13.404680107037199</v>
      </c>
      <c r="T311">
        <v>0.54866621461480403</v>
      </c>
      <c r="U311">
        <v>-6.8952345334368204</v>
      </c>
      <c r="V311">
        <v>0.59041220971552499</v>
      </c>
      <c r="W311">
        <v>0.80369478292283902</v>
      </c>
      <c r="X311">
        <v>0</v>
      </c>
      <c r="Y311">
        <v>0</v>
      </c>
    </row>
    <row r="312" spans="1:25" x14ac:dyDescent="0.2">
      <c r="A312" t="s">
        <v>1167</v>
      </c>
      <c r="B312" t="s">
        <v>1168</v>
      </c>
      <c r="C312" t="s">
        <v>1169</v>
      </c>
      <c r="D312" t="s">
        <v>1170</v>
      </c>
      <c r="E312" t="s">
        <v>1168</v>
      </c>
      <c r="F312" t="s">
        <v>28</v>
      </c>
      <c r="G312" t="s">
        <v>1168</v>
      </c>
      <c r="H312" t="str">
        <f>"ptr-25"</f>
        <v>ptr-25</v>
      </c>
      <c r="I312" t="s">
        <v>1170</v>
      </c>
      <c r="J312">
        <v>11.5442025712195</v>
      </c>
      <c r="K312">
        <v>12.508087092114501</v>
      </c>
      <c r="L312">
        <v>12.1897002571552</v>
      </c>
      <c r="M312">
        <v>10.6270380360173</v>
      </c>
      <c r="N312">
        <v>11.7607263444611</v>
      </c>
      <c r="O312">
        <v>11.4527022084243</v>
      </c>
      <c r="P312">
        <v>-0.80050777719550004</v>
      </c>
      <c r="Q312">
        <v>-1.47248228165531</v>
      </c>
      <c r="R312">
        <v>-0.12853327273569301</v>
      </c>
      <c r="S312">
        <v>12.256206532410101</v>
      </c>
      <c r="T312">
        <v>-2.5267500891903798</v>
      </c>
      <c r="U312">
        <v>-4.2245757561743202</v>
      </c>
      <c r="V312">
        <v>2.2512178792033599E-2</v>
      </c>
      <c r="W312">
        <v>0.14621682592670099</v>
      </c>
      <c r="X312">
        <v>0</v>
      </c>
      <c r="Y312">
        <v>0</v>
      </c>
    </row>
    <row r="313" spans="1:25" x14ac:dyDescent="0.2">
      <c r="A313" t="s">
        <v>1171</v>
      </c>
      <c r="B313" t="s">
        <v>1172</v>
      </c>
      <c r="C313" t="s">
        <v>1173</v>
      </c>
      <c r="D313" t="s">
        <v>1174</v>
      </c>
      <c r="E313" t="s">
        <v>1172</v>
      </c>
      <c r="F313" t="s">
        <v>28</v>
      </c>
      <c r="G313" t="s">
        <v>1172</v>
      </c>
      <c r="H313" t="str">
        <f>"bmk-1"</f>
        <v>bmk-1</v>
      </c>
      <c r="I313" t="s">
        <v>1174</v>
      </c>
      <c r="J313">
        <v>12.217928860204299</v>
      </c>
      <c r="K313" t="s">
        <v>29</v>
      </c>
      <c r="L313">
        <v>12.5362924370308</v>
      </c>
      <c r="M313">
        <v>12.760732689898701</v>
      </c>
      <c r="N313">
        <v>12.9386049146611</v>
      </c>
      <c r="O313">
        <v>12.5756026354555</v>
      </c>
      <c r="P313">
        <v>0.381202764720868</v>
      </c>
      <c r="Q313">
        <v>-0.16265280180552999</v>
      </c>
      <c r="R313">
        <v>0.925058331247266</v>
      </c>
      <c r="S313">
        <v>12.4086995598868</v>
      </c>
      <c r="T313">
        <v>1.4949066353342799</v>
      </c>
      <c r="U313">
        <v>-5.8413615551217504</v>
      </c>
      <c r="V313">
        <v>0.15582175548017399</v>
      </c>
      <c r="W313">
        <v>0.40726596050769998</v>
      </c>
      <c r="X313">
        <v>0</v>
      </c>
      <c r="Y313">
        <v>0</v>
      </c>
    </row>
    <row r="314" spans="1:25" x14ac:dyDescent="0.2">
      <c r="A314" t="s">
        <v>1175</v>
      </c>
      <c r="B314" t="s">
        <v>1176</v>
      </c>
      <c r="C314" t="s">
        <v>1177</v>
      </c>
      <c r="D314" t="s">
        <v>1178</v>
      </c>
      <c r="E314" t="s">
        <v>1176</v>
      </c>
      <c r="F314" t="s">
        <v>28</v>
      </c>
      <c r="G314" t="s">
        <v>1176</v>
      </c>
      <c r="H314" t="str">
        <f>"dsc-4"</f>
        <v>dsc-4</v>
      </c>
      <c r="I314" t="s">
        <v>1178</v>
      </c>
      <c r="J314">
        <v>16.286210709081701</v>
      </c>
      <c r="K314">
        <v>16.130940200701101</v>
      </c>
      <c r="L314">
        <v>15.790695743520001</v>
      </c>
      <c r="M314">
        <v>15.972732574454399</v>
      </c>
      <c r="N314">
        <v>15.8400850129366</v>
      </c>
      <c r="O314">
        <v>15.7222797214427</v>
      </c>
      <c r="P314">
        <v>-0.22424978148970001</v>
      </c>
      <c r="Q314">
        <v>-0.64644057884532002</v>
      </c>
      <c r="R314">
        <v>0.19794101586592</v>
      </c>
      <c r="S314">
        <v>15.3322625722168</v>
      </c>
      <c r="T314">
        <v>-1.1163895923565801</v>
      </c>
      <c r="U314">
        <v>-6.42083305486514</v>
      </c>
      <c r="V314">
        <v>0.27902193531491098</v>
      </c>
      <c r="W314">
        <v>0.55838707104226304</v>
      </c>
      <c r="X314">
        <v>0</v>
      </c>
      <c r="Y314">
        <v>0</v>
      </c>
    </row>
    <row r="315" spans="1:25" x14ac:dyDescent="0.2">
      <c r="A315" t="s">
        <v>1179</v>
      </c>
      <c r="B315" t="s">
        <v>1180</v>
      </c>
      <c r="C315" t="s">
        <v>1181</v>
      </c>
      <c r="D315" t="s">
        <v>1182</v>
      </c>
      <c r="E315" t="s">
        <v>1180</v>
      </c>
      <c r="F315" t="s">
        <v>28</v>
      </c>
      <c r="G315" t="s">
        <v>1180</v>
      </c>
      <c r="H315" t="str">
        <f>"hda-3"</f>
        <v>hda-3</v>
      </c>
      <c r="I315" t="s">
        <v>1182</v>
      </c>
      <c r="J315">
        <v>13.750714720425</v>
      </c>
      <c r="K315">
        <v>14.007404804104301</v>
      </c>
      <c r="L315">
        <v>13.3808918575335</v>
      </c>
      <c r="M315">
        <v>13.7910861168846</v>
      </c>
      <c r="N315">
        <v>13.5618149918488</v>
      </c>
      <c r="O315">
        <v>13.4196857773711</v>
      </c>
      <c r="P315">
        <v>-0.122141498652782</v>
      </c>
      <c r="Q315">
        <v>-0.51781891573412897</v>
      </c>
      <c r="R315">
        <v>0.27353591842856401</v>
      </c>
      <c r="S315">
        <v>13.3896746449088</v>
      </c>
      <c r="T315">
        <v>-0.64880545629889097</v>
      </c>
      <c r="U315">
        <v>-6.8340560241600397</v>
      </c>
      <c r="V315">
        <v>0.52470383208607796</v>
      </c>
      <c r="W315">
        <v>0.76922684031713495</v>
      </c>
      <c r="X315">
        <v>0</v>
      </c>
      <c r="Y315">
        <v>0</v>
      </c>
    </row>
    <row r="316" spans="1:25" x14ac:dyDescent="0.2">
      <c r="A316" t="s">
        <v>1183</v>
      </c>
      <c r="B316" t="s">
        <v>1184</v>
      </c>
      <c r="C316" t="s">
        <v>1185</v>
      </c>
      <c r="D316" t="s">
        <v>1186</v>
      </c>
      <c r="E316" t="s">
        <v>1184</v>
      </c>
      <c r="F316" t="s">
        <v>28</v>
      </c>
      <c r="G316" t="s">
        <v>1184</v>
      </c>
      <c r="H316" t="str">
        <f>"mog-7"</f>
        <v>mog-7</v>
      </c>
      <c r="I316" t="s">
        <v>1186</v>
      </c>
      <c r="J316">
        <v>12.633595898995599</v>
      </c>
      <c r="K316">
        <v>12.0520411715158</v>
      </c>
      <c r="L316">
        <v>12.469234078291599</v>
      </c>
      <c r="M316">
        <v>12.3672001259396</v>
      </c>
      <c r="N316">
        <v>13.1134959445817</v>
      </c>
      <c r="O316">
        <v>12.4334260229945</v>
      </c>
      <c r="P316">
        <v>0.25308364823760798</v>
      </c>
      <c r="Q316">
        <v>-0.349124058115723</v>
      </c>
      <c r="R316">
        <v>0.85529135459093797</v>
      </c>
      <c r="S316">
        <v>12.7332929545805</v>
      </c>
      <c r="T316">
        <v>0.89631235580972501</v>
      </c>
      <c r="U316">
        <v>-6.6377382854861802</v>
      </c>
      <c r="V316">
        <v>0.38434335583899898</v>
      </c>
      <c r="W316">
        <v>0.65893218119078201</v>
      </c>
      <c r="X316">
        <v>0</v>
      </c>
      <c r="Y316">
        <v>0</v>
      </c>
    </row>
    <row r="317" spans="1:25" x14ac:dyDescent="0.2">
      <c r="A317" t="s">
        <v>1187</v>
      </c>
      <c r="B317" t="s">
        <v>1188</v>
      </c>
      <c r="C317" t="s">
        <v>1189</v>
      </c>
      <c r="D317" t="s">
        <v>1190</v>
      </c>
      <c r="E317" t="s">
        <v>1188</v>
      </c>
      <c r="F317" t="s">
        <v>28</v>
      </c>
      <c r="G317" t="s">
        <v>1188</v>
      </c>
      <c r="H317" t="str">
        <f>"ppfr-1"</f>
        <v>ppfr-1</v>
      </c>
      <c r="I317" t="s">
        <v>1190</v>
      </c>
      <c r="J317">
        <v>12.0628240692105</v>
      </c>
      <c r="K317">
        <v>11.467592192369301</v>
      </c>
      <c r="L317">
        <v>12.4236180565527</v>
      </c>
      <c r="M317">
        <v>12.723191047045701</v>
      </c>
      <c r="N317">
        <v>13.2353699285778</v>
      </c>
      <c r="O317">
        <v>12.649130540604901</v>
      </c>
      <c r="P317">
        <v>0.88455239936530805</v>
      </c>
      <c r="Q317">
        <v>0.385323248417137</v>
      </c>
      <c r="R317">
        <v>1.38378155031348</v>
      </c>
      <c r="S317">
        <v>12.533112031202799</v>
      </c>
      <c r="T317">
        <v>3.74001756021649</v>
      </c>
      <c r="U317">
        <v>-1.7093692617856999</v>
      </c>
      <c r="V317">
        <v>1.6449170532401301E-3</v>
      </c>
      <c r="W317">
        <v>2.45716426080675E-2</v>
      </c>
      <c r="X317">
        <v>0</v>
      </c>
      <c r="Y317">
        <v>0</v>
      </c>
    </row>
    <row r="318" spans="1:25" x14ac:dyDescent="0.2">
      <c r="A318" t="s">
        <v>1191</v>
      </c>
      <c r="B318" t="s">
        <v>1192</v>
      </c>
      <c r="C318" t="s">
        <v>1193</v>
      </c>
      <c r="D318" t="s">
        <v>1194</v>
      </c>
      <c r="E318" t="s">
        <v>1192</v>
      </c>
      <c r="F318" t="s">
        <v>28</v>
      </c>
      <c r="G318" t="s">
        <v>1192</v>
      </c>
      <c r="H318" t="str">
        <f>"cdk-5"</f>
        <v>cdk-5</v>
      </c>
      <c r="I318" t="s">
        <v>1194</v>
      </c>
      <c r="J318">
        <v>13.4856273585149</v>
      </c>
      <c r="K318">
        <v>13.653203648504499</v>
      </c>
      <c r="L318">
        <v>13.551430449921799</v>
      </c>
      <c r="M318">
        <v>13.927378426634601</v>
      </c>
      <c r="N318">
        <v>13.528870547000301</v>
      </c>
      <c r="O318">
        <v>13.182565472373</v>
      </c>
      <c r="P318">
        <v>-1.7149003644419701E-2</v>
      </c>
      <c r="Q318">
        <v>-0.50685306495540905</v>
      </c>
      <c r="R318">
        <v>0.47255505766656902</v>
      </c>
      <c r="S318">
        <v>13.147289434224801</v>
      </c>
      <c r="T318">
        <v>-7.4277061928758104E-2</v>
      </c>
      <c r="U318">
        <v>-7.0491763950573496</v>
      </c>
      <c r="V318">
        <v>0.94171666955989497</v>
      </c>
      <c r="W318">
        <v>0.97576384643441005</v>
      </c>
      <c r="X318">
        <v>0</v>
      </c>
      <c r="Y318">
        <v>0</v>
      </c>
    </row>
    <row r="319" spans="1:25" x14ac:dyDescent="0.2">
      <c r="A319" t="s">
        <v>1195</v>
      </c>
      <c r="B319" t="s">
        <v>1196</v>
      </c>
      <c r="C319" t="s">
        <v>1197</v>
      </c>
      <c r="D319" t="s">
        <v>1198</v>
      </c>
      <c r="E319" t="s">
        <v>1196</v>
      </c>
      <c r="F319" t="s">
        <v>28</v>
      </c>
      <c r="G319" t="s">
        <v>1196</v>
      </c>
      <c r="H319" t="str">
        <f>"fars-2"</f>
        <v>fars-2</v>
      </c>
      <c r="I319" t="s">
        <v>1198</v>
      </c>
      <c r="J319" t="s">
        <v>29</v>
      </c>
      <c r="K319" t="s">
        <v>29</v>
      </c>
      <c r="L319">
        <v>12.118108049451299</v>
      </c>
      <c r="M319" t="s">
        <v>29</v>
      </c>
      <c r="N319" t="s">
        <v>29</v>
      </c>
      <c r="O319" t="s">
        <v>29</v>
      </c>
      <c r="P319" t="s">
        <v>29</v>
      </c>
      <c r="Q319" t="s">
        <v>29</v>
      </c>
      <c r="R319" t="s">
        <v>29</v>
      </c>
      <c r="S319">
        <v>12.0777731758191</v>
      </c>
      <c r="T319" t="s">
        <v>29</v>
      </c>
      <c r="U319" t="s">
        <v>29</v>
      </c>
      <c r="V319" t="s">
        <v>29</v>
      </c>
      <c r="W319" t="s">
        <v>29</v>
      </c>
      <c r="X319" t="s">
        <v>29</v>
      </c>
      <c r="Y319" t="s">
        <v>29</v>
      </c>
    </row>
    <row r="320" spans="1:25" x14ac:dyDescent="0.2">
      <c r="A320" t="s">
        <v>1199</v>
      </c>
      <c r="B320" t="s">
        <v>1200</v>
      </c>
      <c r="C320" t="s">
        <v>1201</v>
      </c>
      <c r="D320" t="s">
        <v>1202</v>
      </c>
      <c r="E320" t="s">
        <v>1200</v>
      </c>
      <c r="F320" t="s">
        <v>28</v>
      </c>
      <c r="G320" t="s">
        <v>1200</v>
      </c>
      <c r="H320" t="str">
        <f>"mec-8"</f>
        <v>mec-8</v>
      </c>
      <c r="I320" t="s">
        <v>1202</v>
      </c>
      <c r="J320">
        <v>12.9479500766769</v>
      </c>
      <c r="K320">
        <v>13.6892009693637</v>
      </c>
      <c r="L320">
        <v>13.1291818965449</v>
      </c>
      <c r="M320">
        <v>13.7123113218681</v>
      </c>
      <c r="N320">
        <v>14.065689883088201</v>
      </c>
      <c r="O320">
        <v>13.6851045380016</v>
      </c>
      <c r="P320">
        <v>0.56559093345745903</v>
      </c>
      <c r="Q320">
        <v>6.9915768111967801E-3</v>
      </c>
      <c r="R320">
        <v>1.12419029010372</v>
      </c>
      <c r="S320">
        <v>13.4413261409137</v>
      </c>
      <c r="T320">
        <v>2.13723373664032</v>
      </c>
      <c r="U320">
        <v>-4.92867829181177</v>
      </c>
      <c r="V320">
        <v>4.7500870170683301E-2</v>
      </c>
      <c r="W320">
        <v>0.21624114188516</v>
      </c>
      <c r="X320">
        <v>0</v>
      </c>
      <c r="Y320">
        <v>0</v>
      </c>
    </row>
    <row r="321" spans="1:25" x14ac:dyDescent="0.2">
      <c r="A321" t="s">
        <v>1203</v>
      </c>
      <c r="B321" t="s">
        <v>1204</v>
      </c>
      <c r="C321" t="s">
        <v>1205</v>
      </c>
      <c r="D321" t="s">
        <v>1206</v>
      </c>
      <c r="E321" t="s">
        <v>1204</v>
      </c>
      <c r="F321" t="s">
        <v>28</v>
      </c>
      <c r="G321" t="s">
        <v>1204</v>
      </c>
      <c r="H321" t="str">
        <f>"csk-1"</f>
        <v>csk-1</v>
      </c>
      <c r="I321" t="s">
        <v>1206</v>
      </c>
      <c r="J321">
        <v>13.5974972678216</v>
      </c>
      <c r="K321">
        <v>14.2063492553294</v>
      </c>
      <c r="L321">
        <v>13.948305245929999</v>
      </c>
      <c r="M321">
        <v>13.3326367136927</v>
      </c>
      <c r="N321">
        <v>13.7295542143781</v>
      </c>
      <c r="O321">
        <v>13.8651658761253</v>
      </c>
      <c r="P321">
        <v>-0.274931654961655</v>
      </c>
      <c r="Q321">
        <v>-0.71729289203219104</v>
      </c>
      <c r="R321">
        <v>0.16742958210888101</v>
      </c>
      <c r="S321">
        <v>13.699065033994501</v>
      </c>
      <c r="T321">
        <v>-1.3118908275369101</v>
      </c>
      <c r="U321">
        <v>-6.1908090234443902</v>
      </c>
      <c r="V321">
        <v>0.20710392630309701</v>
      </c>
      <c r="W321">
        <v>0.47159984338018002</v>
      </c>
      <c r="X321">
        <v>0</v>
      </c>
      <c r="Y321">
        <v>0</v>
      </c>
    </row>
    <row r="322" spans="1:25" x14ac:dyDescent="0.2">
      <c r="A322" t="s">
        <v>1207</v>
      </c>
      <c r="B322" t="s">
        <v>1208</v>
      </c>
      <c r="C322" t="s">
        <v>1209</v>
      </c>
      <c r="D322" t="s">
        <v>1210</v>
      </c>
      <c r="E322" t="s">
        <v>1208</v>
      </c>
      <c r="F322" t="s">
        <v>28</v>
      </c>
      <c r="G322" t="s">
        <v>1208</v>
      </c>
      <c r="H322" t="str">
        <f>"fmo-3"</f>
        <v>fmo-3</v>
      </c>
      <c r="I322" t="s">
        <v>1210</v>
      </c>
      <c r="J322">
        <v>13.8452037670992</v>
      </c>
      <c r="K322">
        <v>12.770636256442501</v>
      </c>
      <c r="L322">
        <v>12.4849951339915</v>
      </c>
      <c r="M322">
        <v>14.2359589076607</v>
      </c>
      <c r="N322">
        <v>14.101285428588</v>
      </c>
      <c r="O322">
        <v>14.045706168234799</v>
      </c>
      <c r="P322">
        <v>1.09403844898345</v>
      </c>
      <c r="Q322">
        <v>0.35063352393221697</v>
      </c>
      <c r="R322">
        <v>1.83744337403469</v>
      </c>
      <c r="S322">
        <v>13.7666956303669</v>
      </c>
      <c r="T322">
        <v>3.13869240884627</v>
      </c>
      <c r="U322">
        <v>-3.05601038094456</v>
      </c>
      <c r="V322">
        <v>6.8086943587728904E-3</v>
      </c>
      <c r="W322">
        <v>6.7095585090966595E-2</v>
      </c>
      <c r="X322">
        <v>1</v>
      </c>
      <c r="Y322">
        <v>0</v>
      </c>
    </row>
    <row r="323" spans="1:25" x14ac:dyDescent="0.2">
      <c r="A323" t="s">
        <v>1211</v>
      </c>
      <c r="B323" t="s">
        <v>1212</v>
      </c>
      <c r="C323" t="s">
        <v>1213</v>
      </c>
      <c r="D323" t="s">
        <v>1214</v>
      </c>
      <c r="E323" t="s">
        <v>1212</v>
      </c>
      <c r="F323" t="s">
        <v>28</v>
      </c>
      <c r="G323" t="s">
        <v>1212</v>
      </c>
      <c r="H323" t="str">
        <f>"dnbp-1"</f>
        <v>dnbp-1</v>
      </c>
      <c r="I323" t="s">
        <v>1214</v>
      </c>
      <c r="J323">
        <v>12.9426890590256</v>
      </c>
      <c r="K323">
        <v>12.5556007278111</v>
      </c>
      <c r="L323">
        <v>12.2689083270746</v>
      </c>
      <c r="M323">
        <v>15.5191574231725</v>
      </c>
      <c r="N323">
        <v>15.729709642331899</v>
      </c>
      <c r="O323">
        <v>15.1876769289003</v>
      </c>
      <c r="P323">
        <v>2.8897819601644299</v>
      </c>
      <c r="Q323">
        <v>2.0680640559904502</v>
      </c>
      <c r="R323">
        <v>3.7114998643384101</v>
      </c>
      <c r="S323">
        <v>14.1075664223287</v>
      </c>
      <c r="T323">
        <v>7.3915384255344803</v>
      </c>
      <c r="U323">
        <v>5.9600123627245098</v>
      </c>
      <c r="V323" s="2">
        <v>7.6906580641347704E-7</v>
      </c>
      <c r="W323" s="2">
        <v>4.4688216679811697E-5</v>
      </c>
      <c r="X323">
        <v>1</v>
      </c>
      <c r="Y323">
        <v>1</v>
      </c>
    </row>
    <row r="324" spans="1:25" x14ac:dyDescent="0.2">
      <c r="A324" t="s">
        <v>1215</v>
      </c>
      <c r="B324" t="s">
        <v>1216</v>
      </c>
      <c r="C324" t="s">
        <v>1217</v>
      </c>
      <c r="D324" t="s">
        <v>1218</v>
      </c>
      <c r="E324" t="s">
        <v>1216</v>
      </c>
      <c r="F324" t="s">
        <v>28</v>
      </c>
      <c r="G324" t="s">
        <v>1216</v>
      </c>
      <c r="H324" t="str">
        <f>"unc-26"</f>
        <v>unc-26</v>
      </c>
      <c r="I324" t="s">
        <v>1218</v>
      </c>
      <c r="J324">
        <v>12.0129295274646</v>
      </c>
      <c r="K324" t="s">
        <v>29</v>
      </c>
      <c r="L324" t="s">
        <v>29</v>
      </c>
      <c r="M324">
        <v>11.6525143403898</v>
      </c>
      <c r="N324">
        <v>12.654423119870501</v>
      </c>
      <c r="O324" t="s">
        <v>29</v>
      </c>
      <c r="P324">
        <v>0.14053920266555101</v>
      </c>
      <c r="Q324">
        <v>-0.86603619446365299</v>
      </c>
      <c r="R324">
        <v>1.1471145997947501</v>
      </c>
      <c r="S324">
        <v>12.0660410699327</v>
      </c>
      <c r="T324">
        <v>0.30188283416261302</v>
      </c>
      <c r="U324">
        <v>-6.6030663904390101</v>
      </c>
      <c r="V324">
        <v>0.76755499594123</v>
      </c>
      <c r="W324">
        <v>0.90111683213701999</v>
      </c>
      <c r="X324">
        <v>0</v>
      </c>
      <c r="Y324">
        <v>0</v>
      </c>
    </row>
    <row r="325" spans="1:25" x14ac:dyDescent="0.2">
      <c r="A325" t="s">
        <v>1219</v>
      </c>
      <c r="B325" t="s">
        <v>1220</v>
      </c>
      <c r="C325" t="s">
        <v>1221</v>
      </c>
      <c r="D325" t="s">
        <v>1007</v>
      </c>
      <c r="E325" t="s">
        <v>1220</v>
      </c>
      <c r="F325" t="s">
        <v>28</v>
      </c>
      <c r="G325" t="s">
        <v>1220</v>
      </c>
      <c r="H325" t="str">
        <f>"rrf-1"</f>
        <v>rrf-1</v>
      </c>
      <c r="I325" t="s">
        <v>1007</v>
      </c>
      <c r="J325">
        <v>11.583039084650499</v>
      </c>
      <c r="K325">
        <v>11.507984394167901</v>
      </c>
      <c r="L325">
        <v>11.916157721974299</v>
      </c>
      <c r="M325">
        <v>11.781094966328199</v>
      </c>
      <c r="N325">
        <v>12.198006746246699</v>
      </c>
      <c r="O325">
        <v>12.029983398193201</v>
      </c>
      <c r="P325">
        <v>0.33396796999179801</v>
      </c>
      <c r="Q325">
        <v>-0.18146300239888299</v>
      </c>
      <c r="R325">
        <v>0.84939894238247904</v>
      </c>
      <c r="S325">
        <v>12.184722879051799</v>
      </c>
      <c r="T325">
        <v>1.3676794390343301</v>
      </c>
      <c r="U325">
        <v>-6.1198272283499504</v>
      </c>
      <c r="V325">
        <v>0.18933139399653601</v>
      </c>
      <c r="W325">
        <v>0.45068350845993299</v>
      </c>
      <c r="X325">
        <v>0</v>
      </c>
      <c r="Y325">
        <v>0</v>
      </c>
    </row>
    <row r="326" spans="1:25" x14ac:dyDescent="0.2">
      <c r="A326" t="s">
        <v>1222</v>
      </c>
      <c r="B326" t="s">
        <v>1223</v>
      </c>
      <c r="C326" t="s">
        <v>1224</v>
      </c>
      <c r="D326" t="s">
        <v>1225</v>
      </c>
      <c r="E326" t="s">
        <v>1223</v>
      </c>
      <c r="F326" t="s">
        <v>28</v>
      </c>
      <c r="G326" t="s">
        <v>1223</v>
      </c>
      <c r="H326" t="str">
        <f>"tufm-1"</f>
        <v>tufm-1</v>
      </c>
      <c r="I326" t="s">
        <v>1225</v>
      </c>
      <c r="J326">
        <v>19.644334271224</v>
      </c>
      <c r="K326">
        <v>19.5853219709483</v>
      </c>
      <c r="L326">
        <v>19.468301882493598</v>
      </c>
      <c r="M326">
        <v>19.6101664829817</v>
      </c>
      <c r="N326">
        <v>19.604206364324298</v>
      </c>
      <c r="O326">
        <v>19.3495983309423</v>
      </c>
      <c r="P326">
        <v>-4.4662315472479001E-2</v>
      </c>
      <c r="Q326">
        <v>-0.45865521448275898</v>
      </c>
      <c r="R326">
        <v>0.36933058353780102</v>
      </c>
      <c r="S326">
        <v>19.1133835738841</v>
      </c>
      <c r="T326">
        <v>-0.22674663779679899</v>
      </c>
      <c r="U326">
        <v>-7.0251811274870004</v>
      </c>
      <c r="V326">
        <v>0.82319076841197902</v>
      </c>
      <c r="W326">
        <v>0.92751480623704297</v>
      </c>
      <c r="X326">
        <v>0</v>
      </c>
      <c r="Y326">
        <v>0</v>
      </c>
    </row>
    <row r="327" spans="1:25" x14ac:dyDescent="0.2">
      <c r="A327" t="s">
        <v>1226</v>
      </c>
      <c r="B327" t="s">
        <v>1227</v>
      </c>
      <c r="C327" t="s">
        <v>1228</v>
      </c>
      <c r="D327" t="s">
        <v>1229</v>
      </c>
      <c r="E327" t="s">
        <v>1227</v>
      </c>
      <c r="F327" t="s">
        <v>28</v>
      </c>
      <c r="G327" t="s">
        <v>1227</v>
      </c>
      <c r="H327" t="str">
        <f>"strd-1"</f>
        <v>strd-1</v>
      </c>
      <c r="I327" t="s">
        <v>1229</v>
      </c>
      <c r="J327">
        <v>13.449231583787499</v>
      </c>
      <c r="K327">
        <v>13.941086198284699</v>
      </c>
      <c r="L327">
        <v>13.0693631244828</v>
      </c>
      <c r="M327">
        <v>14.112288012001301</v>
      </c>
      <c r="N327">
        <v>13.384441161871701</v>
      </c>
      <c r="O327">
        <v>13.201077743589501</v>
      </c>
      <c r="P327">
        <v>7.9375336969111004E-2</v>
      </c>
      <c r="Q327">
        <v>-0.40810065950027902</v>
      </c>
      <c r="R327">
        <v>0.56685133343850103</v>
      </c>
      <c r="S327">
        <v>13.305812470727901</v>
      </c>
      <c r="T327">
        <v>0.34370223752808499</v>
      </c>
      <c r="U327">
        <v>-6.9902019164740299</v>
      </c>
      <c r="V327">
        <v>0.735310438391791</v>
      </c>
      <c r="W327">
        <v>0.88750006176813301</v>
      </c>
      <c r="X327">
        <v>0</v>
      </c>
      <c r="Y327">
        <v>0</v>
      </c>
    </row>
    <row r="328" spans="1:25" x14ac:dyDescent="0.2">
      <c r="A328" t="s">
        <v>1230</v>
      </c>
      <c r="B328" t="s">
        <v>1231</v>
      </c>
      <c r="C328" t="s">
        <v>1232</v>
      </c>
      <c r="D328" t="s">
        <v>1233</v>
      </c>
      <c r="E328" t="s">
        <v>1231</v>
      </c>
      <c r="F328" t="s">
        <v>28</v>
      </c>
      <c r="G328" t="s">
        <v>1231</v>
      </c>
      <c r="H328" t="str">
        <f>"sel-5"</f>
        <v>sel-5</v>
      </c>
      <c r="I328" t="s">
        <v>1233</v>
      </c>
      <c r="J328" t="s">
        <v>29</v>
      </c>
      <c r="K328">
        <v>12.8190114276104</v>
      </c>
      <c r="L328">
        <v>12.9811738989326</v>
      </c>
      <c r="M328">
        <v>13.235465205463001</v>
      </c>
      <c r="N328" t="s">
        <v>29</v>
      </c>
      <c r="O328">
        <v>12.617765362386301</v>
      </c>
      <c r="P328">
        <v>2.6522620653128801E-2</v>
      </c>
      <c r="Q328">
        <v>-0.75897876514032603</v>
      </c>
      <c r="R328">
        <v>0.81202400644658301</v>
      </c>
      <c r="S328">
        <v>12.500723855944299</v>
      </c>
      <c r="T328">
        <v>7.3005692120650195E-2</v>
      </c>
      <c r="U328">
        <v>-6.8483469447056704</v>
      </c>
      <c r="V328">
        <v>0.94292184975298499</v>
      </c>
      <c r="W328">
        <v>0.97576384643441005</v>
      </c>
      <c r="X328">
        <v>0</v>
      </c>
      <c r="Y328">
        <v>0</v>
      </c>
    </row>
    <row r="329" spans="1:25" x14ac:dyDescent="0.2">
      <c r="A329" t="s">
        <v>1234</v>
      </c>
      <c r="B329" t="s">
        <v>1235</v>
      </c>
      <c r="C329" t="s">
        <v>14249</v>
      </c>
      <c r="D329" t="s">
        <v>1236</v>
      </c>
      <c r="E329" t="s">
        <v>1235</v>
      </c>
      <c r="F329" t="s">
        <v>28</v>
      </c>
      <c r="G329" t="s">
        <v>1235</v>
      </c>
      <c r="H329" t="str">
        <f>"T25C12.3"</f>
        <v>T25C12.3</v>
      </c>
      <c r="I329" t="s">
        <v>1236</v>
      </c>
      <c r="J329" t="s">
        <v>29</v>
      </c>
      <c r="K329" t="s">
        <v>29</v>
      </c>
      <c r="L329">
        <v>10.267936007842399</v>
      </c>
      <c r="M329" t="s">
        <v>29</v>
      </c>
      <c r="N329" t="s">
        <v>29</v>
      </c>
      <c r="O329">
        <v>11.168525230992699</v>
      </c>
      <c r="P329">
        <v>0.90058922315032497</v>
      </c>
      <c r="Q329">
        <v>-0.56944713739049502</v>
      </c>
      <c r="R329">
        <v>2.3706255836911398</v>
      </c>
      <c r="S329">
        <v>9.9123107171547797</v>
      </c>
      <c r="T329">
        <v>1.4160036746132101</v>
      </c>
      <c r="U329">
        <v>-5.5280051001809598</v>
      </c>
      <c r="V329">
        <v>0.19499371401041299</v>
      </c>
      <c r="W329">
        <v>0.45657835652040002</v>
      </c>
      <c r="X329">
        <v>0</v>
      </c>
      <c r="Y329">
        <v>0</v>
      </c>
    </row>
    <row r="330" spans="1:25" x14ac:dyDescent="0.2">
      <c r="A330" t="s">
        <v>1237</v>
      </c>
      <c r="B330" t="s">
        <v>1238</v>
      </c>
      <c r="C330" t="s">
        <v>1239</v>
      </c>
      <c r="D330" t="s">
        <v>1240</v>
      </c>
      <c r="E330" t="s">
        <v>1238</v>
      </c>
      <c r="F330" t="s">
        <v>28</v>
      </c>
      <c r="G330" t="s">
        <v>1238</v>
      </c>
      <c r="H330" t="str">
        <f>"elb-1"</f>
        <v>elb-1</v>
      </c>
      <c r="I330" t="s">
        <v>1240</v>
      </c>
      <c r="J330">
        <v>14.047917190281501</v>
      </c>
      <c r="K330">
        <v>14.2266775654724</v>
      </c>
      <c r="L330">
        <v>13.734063280390901</v>
      </c>
      <c r="M330">
        <v>13.9077786525677</v>
      </c>
      <c r="N330">
        <v>13.8217108465045</v>
      </c>
      <c r="O330">
        <v>13.451439799398999</v>
      </c>
      <c r="P330">
        <v>-0.27590957922449799</v>
      </c>
      <c r="Q330">
        <v>-0.70120038843755395</v>
      </c>
      <c r="R330">
        <v>0.14938122998855799</v>
      </c>
      <c r="S330">
        <v>13.2163783692944</v>
      </c>
      <c r="T330">
        <v>-1.36940148529784</v>
      </c>
      <c r="U330">
        <v>-6.1175984645945203</v>
      </c>
      <c r="V330">
        <v>0.18880289842044101</v>
      </c>
      <c r="W330">
        <v>0.45056514652806701</v>
      </c>
      <c r="X330">
        <v>0</v>
      </c>
      <c r="Y330">
        <v>0</v>
      </c>
    </row>
    <row r="331" spans="1:25" x14ac:dyDescent="0.2">
      <c r="A331" t="s">
        <v>1241</v>
      </c>
      <c r="B331" t="s">
        <v>1242</v>
      </c>
      <c r="C331" t="s">
        <v>1243</v>
      </c>
      <c r="D331" t="s">
        <v>1244</v>
      </c>
      <c r="E331" t="s">
        <v>1242</v>
      </c>
      <c r="F331" t="s">
        <v>28</v>
      </c>
      <c r="G331" t="s">
        <v>1242</v>
      </c>
      <c r="H331" t="str">
        <f>"glf-1"</f>
        <v>glf-1</v>
      </c>
      <c r="I331" t="s">
        <v>1244</v>
      </c>
      <c r="J331">
        <v>14.166126296233999</v>
      </c>
      <c r="K331">
        <v>14.0788662938958</v>
      </c>
      <c r="L331">
        <v>14.214054475529</v>
      </c>
      <c r="M331">
        <v>13.9604775979558</v>
      </c>
      <c r="N331">
        <v>14.4944496595883</v>
      </c>
      <c r="O331">
        <v>14.2402089602268</v>
      </c>
      <c r="P331">
        <v>7.8696384037373293E-2</v>
      </c>
      <c r="Q331">
        <v>-0.42745772611196797</v>
      </c>
      <c r="R331">
        <v>0.58485049418671498</v>
      </c>
      <c r="S331">
        <v>13.9326786580686</v>
      </c>
      <c r="T331">
        <v>0.32678681312419899</v>
      </c>
      <c r="U331">
        <v>-6.99628942331689</v>
      </c>
      <c r="V331">
        <v>0.74762039970598704</v>
      </c>
      <c r="W331">
        <v>0.89242728563583396</v>
      </c>
      <c r="X331">
        <v>0</v>
      </c>
      <c r="Y331">
        <v>0</v>
      </c>
    </row>
    <row r="332" spans="1:25" x14ac:dyDescent="0.2">
      <c r="A332" t="s">
        <v>1245</v>
      </c>
      <c r="B332" t="s">
        <v>1246</v>
      </c>
      <c r="C332" t="s">
        <v>1247</v>
      </c>
      <c r="D332" t="s">
        <v>758</v>
      </c>
      <c r="E332" t="s">
        <v>1246</v>
      </c>
      <c r="F332" t="s">
        <v>28</v>
      </c>
      <c r="G332" t="s">
        <v>1246</v>
      </c>
      <c r="H332" t="str">
        <f>"cpt-2"</f>
        <v>cpt-2</v>
      </c>
      <c r="I332" t="s">
        <v>758</v>
      </c>
      <c r="J332">
        <v>12.778908234847901</v>
      </c>
      <c r="K332">
        <v>12.590631619164901</v>
      </c>
      <c r="L332">
        <v>12.9847425917475</v>
      </c>
      <c r="M332">
        <v>12.129967036017799</v>
      </c>
      <c r="N332">
        <v>12.5287213892751</v>
      </c>
      <c r="O332">
        <v>13.184186896535101</v>
      </c>
      <c r="P332">
        <v>-0.17046904131077101</v>
      </c>
      <c r="Q332">
        <v>-1.01811498502574</v>
      </c>
      <c r="R332">
        <v>0.67717690240419903</v>
      </c>
      <c r="S332">
        <v>12.875901323464801</v>
      </c>
      <c r="T332">
        <v>-0.42450327370450802</v>
      </c>
      <c r="U332">
        <v>-6.9578580833000103</v>
      </c>
      <c r="V332">
        <v>0.676555283166691</v>
      </c>
      <c r="W332">
        <v>0.85541145012261999</v>
      </c>
      <c r="X332">
        <v>0</v>
      </c>
      <c r="Y332">
        <v>0</v>
      </c>
    </row>
    <row r="333" spans="1:25" x14ac:dyDescent="0.2">
      <c r="A333" t="s">
        <v>1248</v>
      </c>
      <c r="B333" t="s">
        <v>1249</v>
      </c>
      <c r="C333" t="s">
        <v>1250</v>
      </c>
      <c r="D333" t="s">
        <v>1251</v>
      </c>
      <c r="E333" t="s">
        <v>1249</v>
      </c>
      <c r="F333" t="s">
        <v>28</v>
      </c>
      <c r="G333" t="s">
        <v>1249</v>
      </c>
      <c r="H333" t="str">
        <f>"skr-1"</f>
        <v>skr-1</v>
      </c>
      <c r="I333" t="s">
        <v>1251</v>
      </c>
      <c r="J333">
        <v>11.358583122997301</v>
      </c>
      <c r="K333">
        <v>11.8348191056741</v>
      </c>
      <c r="L333">
        <v>11.584985058258299</v>
      </c>
      <c r="M333">
        <v>13.036024842378101</v>
      </c>
      <c r="N333">
        <v>13.427263539237201</v>
      </c>
      <c r="O333">
        <v>13.173686459836199</v>
      </c>
      <c r="P333">
        <v>1.6195291848405899</v>
      </c>
      <c r="Q333">
        <v>1.0880563202873601</v>
      </c>
      <c r="R333">
        <v>2.15100204939383</v>
      </c>
      <c r="S333">
        <v>12.3371249479507</v>
      </c>
      <c r="T333">
        <v>6.4633431331289897</v>
      </c>
      <c r="U333">
        <v>3.6729855461702301</v>
      </c>
      <c r="V333" s="2">
        <v>8.0823354899597095E-6</v>
      </c>
      <c r="W333">
        <v>3.5935958636813001E-4</v>
      </c>
      <c r="X333">
        <v>1</v>
      </c>
      <c r="Y333">
        <v>1</v>
      </c>
    </row>
    <row r="334" spans="1:25" x14ac:dyDescent="0.2">
      <c r="A334" t="s">
        <v>1252</v>
      </c>
      <c r="B334" t="s">
        <v>1253</v>
      </c>
      <c r="C334" t="s">
        <v>14250</v>
      </c>
      <c r="D334" t="s">
        <v>1254</v>
      </c>
      <c r="E334" t="s">
        <v>1253</v>
      </c>
      <c r="F334" t="s">
        <v>28</v>
      </c>
      <c r="G334" t="s">
        <v>1253</v>
      </c>
      <c r="H334" t="str">
        <f>"F44E5.4"</f>
        <v>F44E5.4</v>
      </c>
      <c r="I334" t="s">
        <v>1254</v>
      </c>
      <c r="J334">
        <v>17.901323571209701</v>
      </c>
      <c r="K334">
        <v>18.0356353608726</v>
      </c>
      <c r="L334">
        <v>17.8159957662496</v>
      </c>
      <c r="M334">
        <v>17.486210897261799</v>
      </c>
      <c r="N334">
        <v>17.507937037655001</v>
      </c>
      <c r="O334">
        <v>17.621300333905801</v>
      </c>
      <c r="P334">
        <v>-0.379168809836401</v>
      </c>
      <c r="Q334">
        <v>-0.76785923338140805</v>
      </c>
      <c r="R334">
        <v>9.5216137086068207E-3</v>
      </c>
      <c r="S334">
        <v>17.4347214503568</v>
      </c>
      <c r="T334">
        <v>-2.0503182519004599</v>
      </c>
      <c r="U334">
        <v>-5.0749268751436096</v>
      </c>
      <c r="V334">
        <v>5.5275732159547598E-2</v>
      </c>
      <c r="W334">
        <v>0.235428314721424</v>
      </c>
      <c r="X334">
        <v>0</v>
      </c>
      <c r="Y334">
        <v>0</v>
      </c>
    </row>
    <row r="335" spans="1:25" x14ac:dyDescent="0.2">
      <c r="A335" t="s">
        <v>1255</v>
      </c>
      <c r="B335" t="s">
        <v>1256</v>
      </c>
      <c r="C335" t="s">
        <v>1257</v>
      </c>
      <c r="D335" t="s">
        <v>1258</v>
      </c>
      <c r="E335" t="s">
        <v>1256</v>
      </c>
      <c r="F335" t="s">
        <v>28</v>
      </c>
      <c r="G335" t="s">
        <v>1256</v>
      </c>
      <c r="H335" t="str">
        <f>"alh-3"</f>
        <v>alh-3</v>
      </c>
      <c r="I335" t="s">
        <v>1258</v>
      </c>
      <c r="J335">
        <v>14.1518035525473</v>
      </c>
      <c r="K335">
        <v>13.679372549079901</v>
      </c>
      <c r="L335">
        <v>13.512808298807499</v>
      </c>
      <c r="M335">
        <v>14.0203815371561</v>
      </c>
      <c r="N335">
        <v>13.146721626691701</v>
      </c>
      <c r="O335">
        <v>13.5646184091037</v>
      </c>
      <c r="P335">
        <v>-0.204087609161064</v>
      </c>
      <c r="Q335">
        <v>-0.75220473748017702</v>
      </c>
      <c r="R335">
        <v>0.34402951915804902</v>
      </c>
      <c r="S335">
        <v>13.6538408608903</v>
      </c>
      <c r="T335">
        <v>-0.78259267294627599</v>
      </c>
      <c r="U335">
        <v>-6.7365326148083504</v>
      </c>
      <c r="V335">
        <v>0.44409976436609699</v>
      </c>
      <c r="W335">
        <v>0.71185527328797005</v>
      </c>
      <c r="X335">
        <v>0</v>
      </c>
      <c r="Y335">
        <v>0</v>
      </c>
    </row>
    <row r="336" spans="1:25" x14ac:dyDescent="0.2">
      <c r="A336" t="s">
        <v>1259</v>
      </c>
      <c r="B336" t="s">
        <v>1260</v>
      </c>
      <c r="C336" t="s">
        <v>1261</v>
      </c>
      <c r="D336" t="s">
        <v>1262</v>
      </c>
      <c r="E336" t="s">
        <v>1260</v>
      </c>
      <c r="F336" t="s">
        <v>28</v>
      </c>
      <c r="G336" t="s">
        <v>1260</v>
      </c>
      <c r="H336" t="str">
        <f>"ncx-3"</f>
        <v>ncx-3</v>
      </c>
      <c r="I336" t="s">
        <v>1262</v>
      </c>
      <c r="J336" t="s">
        <v>29</v>
      </c>
      <c r="K336" t="s">
        <v>29</v>
      </c>
      <c r="L336" t="s">
        <v>29</v>
      </c>
      <c r="M336" t="s">
        <v>29</v>
      </c>
      <c r="N336" t="s">
        <v>29</v>
      </c>
      <c r="O336" t="s">
        <v>29</v>
      </c>
      <c r="P336" t="s">
        <v>29</v>
      </c>
      <c r="Q336" t="s">
        <v>29</v>
      </c>
      <c r="R336" t="s">
        <v>29</v>
      </c>
      <c r="S336">
        <v>11.0643033385366</v>
      </c>
      <c r="T336" t="s">
        <v>29</v>
      </c>
      <c r="U336" t="s">
        <v>29</v>
      </c>
      <c r="V336" t="s">
        <v>29</v>
      </c>
      <c r="W336" t="s">
        <v>29</v>
      </c>
      <c r="X336" t="s">
        <v>29</v>
      </c>
      <c r="Y336" t="s">
        <v>29</v>
      </c>
    </row>
    <row r="337" spans="1:25" x14ac:dyDescent="0.2">
      <c r="A337" t="s">
        <v>1263</v>
      </c>
      <c r="B337" t="s">
        <v>1264</v>
      </c>
      <c r="C337" t="s">
        <v>1265</v>
      </c>
      <c r="D337" t="s">
        <v>1266</v>
      </c>
      <c r="E337" t="s">
        <v>1264</v>
      </c>
      <c r="F337" t="s">
        <v>28</v>
      </c>
      <c r="G337" t="s">
        <v>1264</v>
      </c>
      <c r="H337" t="str">
        <f>"ehbp-1"</f>
        <v>ehbp-1</v>
      </c>
      <c r="I337" t="s">
        <v>1266</v>
      </c>
      <c r="J337">
        <v>14.3128360901303</v>
      </c>
      <c r="K337">
        <v>14.4509278566026</v>
      </c>
      <c r="L337">
        <v>14.278770241382</v>
      </c>
      <c r="M337">
        <v>14.739937168705101</v>
      </c>
      <c r="N337">
        <v>14.6852682273386</v>
      </c>
      <c r="O337">
        <v>14.436570826441001</v>
      </c>
      <c r="P337">
        <v>0.27308067812321102</v>
      </c>
      <c r="Q337">
        <v>-0.217279484647566</v>
      </c>
      <c r="R337">
        <v>0.763440840893988</v>
      </c>
      <c r="S337">
        <v>14.186384356094001</v>
      </c>
      <c r="T337">
        <v>1.17550858508775</v>
      </c>
      <c r="U337">
        <v>-6.3540432078901397</v>
      </c>
      <c r="V337">
        <v>0.25609161634685401</v>
      </c>
      <c r="W337">
        <v>0.533496875539477</v>
      </c>
      <c r="X337">
        <v>0</v>
      </c>
      <c r="Y337">
        <v>0</v>
      </c>
    </row>
    <row r="338" spans="1:25" x14ac:dyDescent="0.2">
      <c r="A338" t="s">
        <v>1267</v>
      </c>
      <c r="B338" t="s">
        <v>1268</v>
      </c>
      <c r="C338" t="s">
        <v>1269</v>
      </c>
      <c r="D338" t="s">
        <v>965</v>
      </c>
      <c r="E338" t="s">
        <v>1268</v>
      </c>
      <c r="F338" t="s">
        <v>28</v>
      </c>
      <c r="G338" t="s">
        <v>1268</v>
      </c>
      <c r="H338" t="str">
        <f>"cdr-2"</f>
        <v>cdr-2</v>
      </c>
      <c r="I338" t="s">
        <v>965</v>
      </c>
      <c r="J338">
        <v>10.7892361565487</v>
      </c>
      <c r="K338">
        <v>10.389033335669399</v>
      </c>
      <c r="L338">
        <v>10.6162890291201</v>
      </c>
      <c r="M338" t="s">
        <v>29</v>
      </c>
      <c r="N338">
        <v>10.753763766636199</v>
      </c>
      <c r="O338">
        <v>11.597536864430801</v>
      </c>
      <c r="P338">
        <v>0.57746414175410998</v>
      </c>
      <c r="Q338">
        <v>-0.125198444171923</v>
      </c>
      <c r="R338">
        <v>1.28012672768014</v>
      </c>
      <c r="S338">
        <v>11.9332201529272</v>
      </c>
      <c r="T338">
        <v>1.75274928096288</v>
      </c>
      <c r="U338">
        <v>-5.4661342674299496</v>
      </c>
      <c r="V338">
        <v>0.10019648277022999</v>
      </c>
      <c r="W338">
        <v>0.32672482939733299</v>
      </c>
      <c r="X338">
        <v>0</v>
      </c>
      <c r="Y338">
        <v>0</v>
      </c>
    </row>
    <row r="339" spans="1:25" x14ac:dyDescent="0.2">
      <c r="A339" t="s">
        <v>1270</v>
      </c>
      <c r="B339" t="s">
        <v>1271</v>
      </c>
      <c r="C339" t="s">
        <v>1272</v>
      </c>
      <c r="D339" t="s">
        <v>1273</v>
      </c>
      <c r="E339" t="s">
        <v>1271</v>
      </c>
      <c r="F339" t="s">
        <v>28</v>
      </c>
      <c r="G339" t="s">
        <v>1271</v>
      </c>
      <c r="H339" t="str">
        <f>"dlg-1"</f>
        <v>dlg-1</v>
      </c>
      <c r="I339" t="s">
        <v>1273</v>
      </c>
      <c r="J339">
        <v>10.754325751509199</v>
      </c>
      <c r="K339" t="s">
        <v>29</v>
      </c>
      <c r="L339">
        <v>11.829034914046099</v>
      </c>
      <c r="M339">
        <v>12.032932099734399</v>
      </c>
      <c r="N339" t="s">
        <v>29</v>
      </c>
      <c r="O339">
        <v>12.634815066739399</v>
      </c>
      <c r="P339">
        <v>1.0421932504592899</v>
      </c>
      <c r="Q339">
        <v>0.19330583708378901</v>
      </c>
      <c r="R339">
        <v>1.8910806638347999</v>
      </c>
      <c r="S339">
        <v>11.5855001587079</v>
      </c>
      <c r="T339">
        <v>2.6040402443047501</v>
      </c>
      <c r="U339">
        <v>-3.8892174566469002</v>
      </c>
      <c r="V339">
        <v>1.9257062844024099E-2</v>
      </c>
      <c r="W339">
        <v>0.13492332233198101</v>
      </c>
      <c r="X339">
        <v>1</v>
      </c>
      <c r="Y339">
        <v>0</v>
      </c>
    </row>
    <row r="340" spans="1:25" x14ac:dyDescent="0.2">
      <c r="A340" t="s">
        <v>1274</v>
      </c>
      <c r="B340" t="s">
        <v>1275</v>
      </c>
      <c r="C340" t="s">
        <v>1276</v>
      </c>
      <c r="D340" t="s">
        <v>1277</v>
      </c>
      <c r="E340" t="s">
        <v>1275</v>
      </c>
      <c r="F340" t="s">
        <v>28</v>
      </c>
      <c r="G340" t="s">
        <v>1275</v>
      </c>
      <c r="H340" t="str">
        <f>"hum-5"</f>
        <v>hum-5</v>
      </c>
      <c r="I340" t="s">
        <v>1277</v>
      </c>
      <c r="J340">
        <v>13.9555327494575</v>
      </c>
      <c r="K340">
        <v>13.961278345318901</v>
      </c>
      <c r="L340">
        <v>13.8302634791348</v>
      </c>
      <c r="M340">
        <v>13.9942490356117</v>
      </c>
      <c r="N340">
        <v>13.716192640551</v>
      </c>
      <c r="O340">
        <v>13.3460351515119</v>
      </c>
      <c r="P340">
        <v>-0.23019924874553899</v>
      </c>
      <c r="Q340">
        <v>-0.67068729858924403</v>
      </c>
      <c r="R340">
        <v>0.210288801098167</v>
      </c>
      <c r="S340">
        <v>13.739847918594</v>
      </c>
      <c r="T340">
        <v>-1.09840445163383</v>
      </c>
      <c r="U340">
        <v>-6.44035957376511</v>
      </c>
      <c r="V340">
        <v>0.28658734992833002</v>
      </c>
      <c r="W340">
        <v>0.56576912881200803</v>
      </c>
      <c r="X340">
        <v>0</v>
      </c>
      <c r="Y340">
        <v>0</v>
      </c>
    </row>
    <row r="341" spans="1:25" x14ac:dyDescent="0.2">
      <c r="A341" t="s">
        <v>1278</v>
      </c>
      <c r="B341" t="s">
        <v>1279</v>
      </c>
      <c r="C341" t="s">
        <v>1280</v>
      </c>
      <c r="D341" t="s">
        <v>1281</v>
      </c>
      <c r="E341" t="s">
        <v>1279</v>
      </c>
      <c r="F341" t="s">
        <v>28</v>
      </c>
      <c r="G341" t="s">
        <v>1279</v>
      </c>
      <c r="H341" t="str">
        <f>"mpz-1"</f>
        <v>mpz-1</v>
      </c>
      <c r="I341" t="s">
        <v>1281</v>
      </c>
      <c r="J341">
        <v>10.9126122127937</v>
      </c>
      <c r="K341">
        <v>11.033509032961399</v>
      </c>
      <c r="L341">
        <v>11.2616513230259</v>
      </c>
      <c r="M341">
        <v>10.638530843967599</v>
      </c>
      <c r="N341" t="s">
        <v>29</v>
      </c>
      <c r="O341">
        <v>11.1482643789988</v>
      </c>
      <c r="P341">
        <v>-0.17585991144378901</v>
      </c>
      <c r="Q341">
        <v>-0.78373977187381705</v>
      </c>
      <c r="R341">
        <v>0.43201994898623902</v>
      </c>
      <c r="S341">
        <v>10.9715615343067</v>
      </c>
      <c r="T341">
        <v>-0.62092763337378198</v>
      </c>
      <c r="U341">
        <v>-6.7394907704921501</v>
      </c>
      <c r="V341">
        <v>0.54469883814367603</v>
      </c>
      <c r="W341">
        <v>0.77773146964437101</v>
      </c>
      <c r="X341">
        <v>0</v>
      </c>
      <c r="Y341">
        <v>0</v>
      </c>
    </row>
    <row r="342" spans="1:25" x14ac:dyDescent="0.2">
      <c r="A342" t="s">
        <v>1282</v>
      </c>
      <c r="B342" t="s">
        <v>1283</v>
      </c>
      <c r="C342" t="s">
        <v>1284</v>
      </c>
      <c r="D342" t="s">
        <v>1285</v>
      </c>
      <c r="E342" t="s">
        <v>1283</v>
      </c>
      <c r="F342" t="s">
        <v>28</v>
      </c>
      <c r="G342" t="s">
        <v>1283</v>
      </c>
      <c r="H342" t="str">
        <f>"pdi-3"</f>
        <v>pdi-3</v>
      </c>
      <c r="I342" t="s">
        <v>1285</v>
      </c>
      <c r="J342">
        <v>15.2874705611632</v>
      </c>
      <c r="K342">
        <v>15.3889538538669</v>
      </c>
      <c r="L342">
        <v>15.109437500266999</v>
      </c>
      <c r="M342">
        <v>14.9410728076447</v>
      </c>
      <c r="N342">
        <v>14.170434888540001</v>
      </c>
      <c r="O342">
        <v>14.961707043323299</v>
      </c>
      <c r="P342">
        <v>-0.57088239192970702</v>
      </c>
      <c r="Q342">
        <v>-1.17521460849691</v>
      </c>
      <c r="R342">
        <v>3.3449824637496101E-2</v>
      </c>
      <c r="S342">
        <v>14.462814491268601</v>
      </c>
      <c r="T342">
        <v>-1.9854703884549101</v>
      </c>
      <c r="U342">
        <v>-5.1864668562286704</v>
      </c>
      <c r="V342">
        <v>6.2634113188349494E-2</v>
      </c>
      <c r="W342">
        <v>0.25349677153593198</v>
      </c>
      <c r="X342">
        <v>0</v>
      </c>
      <c r="Y342">
        <v>0</v>
      </c>
    </row>
    <row r="343" spans="1:25" x14ac:dyDescent="0.2">
      <c r="A343" t="s">
        <v>1286</v>
      </c>
      <c r="B343" t="s">
        <v>1287</v>
      </c>
      <c r="C343" t="s">
        <v>1288</v>
      </c>
      <c r="D343" t="s">
        <v>323</v>
      </c>
      <c r="E343" t="s">
        <v>1287</v>
      </c>
      <c r="F343" t="s">
        <v>28</v>
      </c>
      <c r="G343" t="s">
        <v>1287</v>
      </c>
      <c r="H343" t="str">
        <f>"hpo-11"</f>
        <v>hpo-11</v>
      </c>
      <c r="I343" t="s">
        <v>323</v>
      </c>
      <c r="J343">
        <v>10.7143828950128</v>
      </c>
      <c r="K343" t="s">
        <v>29</v>
      </c>
      <c r="L343" t="s">
        <v>29</v>
      </c>
      <c r="M343" t="s">
        <v>29</v>
      </c>
      <c r="N343" t="s">
        <v>29</v>
      </c>
      <c r="O343">
        <v>13.0037843533827</v>
      </c>
      <c r="P343">
        <v>2.2894014583698801</v>
      </c>
      <c r="Q343">
        <v>0.210508691544185</v>
      </c>
      <c r="R343">
        <v>4.3682942251955703</v>
      </c>
      <c r="S343">
        <v>10.974754461169599</v>
      </c>
      <c r="T343">
        <v>2.84922934409901</v>
      </c>
      <c r="U343">
        <v>-3.7324326745092602</v>
      </c>
      <c r="V343">
        <v>3.6736798223543102E-2</v>
      </c>
      <c r="W343">
        <v>0.19096092878499901</v>
      </c>
      <c r="X343">
        <v>1</v>
      </c>
      <c r="Y343">
        <v>0</v>
      </c>
    </row>
    <row r="344" spans="1:25" x14ac:dyDescent="0.2">
      <c r="A344" t="s">
        <v>1289</v>
      </c>
      <c r="B344" t="s">
        <v>1290</v>
      </c>
      <c r="C344" t="s">
        <v>1291</v>
      </c>
      <c r="D344" t="s">
        <v>1292</v>
      </c>
      <c r="E344" t="s">
        <v>1290</v>
      </c>
      <c r="F344" t="s">
        <v>28</v>
      </c>
      <c r="G344" t="s">
        <v>1290</v>
      </c>
      <c r="H344" t="str">
        <f>"rpoa-1"</f>
        <v>rpoa-1</v>
      </c>
      <c r="I344" t="s">
        <v>1292</v>
      </c>
      <c r="J344">
        <v>14.225429513119201</v>
      </c>
      <c r="K344">
        <v>14.227056019040299</v>
      </c>
      <c r="L344">
        <v>14.0081088808895</v>
      </c>
      <c r="M344">
        <v>13.9841525849052</v>
      </c>
      <c r="N344">
        <v>14.2224172283616</v>
      </c>
      <c r="O344">
        <v>13.9080596829559</v>
      </c>
      <c r="P344">
        <v>-0.115321638942104</v>
      </c>
      <c r="Q344">
        <v>-0.47821409222005601</v>
      </c>
      <c r="R344">
        <v>0.24757081433584699</v>
      </c>
      <c r="S344">
        <v>14.013800468425099</v>
      </c>
      <c r="T344">
        <v>-0.66792143694799</v>
      </c>
      <c r="U344">
        <v>-6.8211793650491703</v>
      </c>
      <c r="V344">
        <v>0.51270681839365995</v>
      </c>
      <c r="W344">
        <v>0.76053261901594305</v>
      </c>
      <c r="X344">
        <v>0</v>
      </c>
      <c r="Y344">
        <v>0</v>
      </c>
    </row>
    <row r="345" spans="1:25" x14ac:dyDescent="0.2">
      <c r="A345" t="s">
        <v>1293</v>
      </c>
      <c r="B345" t="s">
        <v>1294</v>
      </c>
      <c r="C345" t="s">
        <v>1295</v>
      </c>
      <c r="D345" t="s">
        <v>1296</v>
      </c>
      <c r="E345" t="s">
        <v>1294</v>
      </c>
      <c r="F345" t="s">
        <v>28</v>
      </c>
      <c r="G345" t="s">
        <v>1294</v>
      </c>
      <c r="H345" t="str">
        <f>"mel-46"</f>
        <v>mel-46</v>
      </c>
      <c r="I345" t="s">
        <v>1296</v>
      </c>
      <c r="J345">
        <v>12.659010680387601</v>
      </c>
      <c r="K345">
        <v>13.0575985676613</v>
      </c>
      <c r="L345">
        <v>13.0860803563377</v>
      </c>
      <c r="M345">
        <v>12.9212573055653</v>
      </c>
      <c r="N345">
        <v>13.201903147467799</v>
      </c>
      <c r="O345">
        <v>13.1159185935126</v>
      </c>
      <c r="P345">
        <v>0.145463147386343</v>
      </c>
      <c r="Q345">
        <v>-0.431627135314048</v>
      </c>
      <c r="R345">
        <v>0.72255343008673401</v>
      </c>
      <c r="S345">
        <v>13.536355010202101</v>
      </c>
      <c r="T345">
        <v>0.529787530020847</v>
      </c>
      <c r="U345">
        <v>-6.9061449406591704</v>
      </c>
      <c r="V345">
        <v>0.60277100269004602</v>
      </c>
      <c r="W345">
        <v>0.80985940123530897</v>
      </c>
      <c r="X345">
        <v>0</v>
      </c>
      <c r="Y345">
        <v>0</v>
      </c>
    </row>
    <row r="346" spans="1:25" x14ac:dyDescent="0.2">
      <c r="A346" t="s">
        <v>1297</v>
      </c>
      <c r="B346" t="s">
        <v>1298</v>
      </c>
      <c r="C346" t="s">
        <v>1299</v>
      </c>
      <c r="D346" t="s">
        <v>1300</v>
      </c>
      <c r="E346" t="s">
        <v>1298</v>
      </c>
      <c r="F346" t="s">
        <v>28</v>
      </c>
      <c r="G346" t="s">
        <v>1298</v>
      </c>
      <c r="H346" t="str">
        <f>"atx-2"</f>
        <v>atx-2</v>
      </c>
      <c r="I346" t="s">
        <v>1300</v>
      </c>
      <c r="J346">
        <v>14.272602288537399</v>
      </c>
      <c r="K346">
        <v>14.807295717801001</v>
      </c>
      <c r="L346">
        <v>15.1880177255108</v>
      </c>
      <c r="M346">
        <v>15.2421602528721</v>
      </c>
      <c r="N346">
        <v>14.9316380928444</v>
      </c>
      <c r="O346">
        <v>14.755917391501301</v>
      </c>
      <c r="P346">
        <v>0.220600001789514</v>
      </c>
      <c r="Q346">
        <v>-0.41762739226815498</v>
      </c>
      <c r="R346">
        <v>0.85882739584718204</v>
      </c>
      <c r="S346">
        <v>15.292618366764801</v>
      </c>
      <c r="T346">
        <v>0.72959203426630903</v>
      </c>
      <c r="U346">
        <v>-6.7766006676117003</v>
      </c>
      <c r="V346">
        <v>0.47563409743649199</v>
      </c>
      <c r="W346">
        <v>0.73595499432160905</v>
      </c>
      <c r="X346">
        <v>0</v>
      </c>
      <c r="Y346">
        <v>0</v>
      </c>
    </row>
    <row r="347" spans="1:25" x14ac:dyDescent="0.2">
      <c r="A347" t="s">
        <v>1301</v>
      </c>
      <c r="B347" t="s">
        <v>1302</v>
      </c>
      <c r="C347" t="s">
        <v>1303</v>
      </c>
      <c r="D347" t="s">
        <v>1304</v>
      </c>
      <c r="E347" t="s">
        <v>1302</v>
      </c>
      <c r="F347" t="s">
        <v>28</v>
      </c>
      <c r="G347" t="s">
        <v>1302</v>
      </c>
      <c r="H347" t="str">
        <f>"dli-1"</f>
        <v>dli-1</v>
      </c>
      <c r="I347" t="s">
        <v>1304</v>
      </c>
      <c r="J347">
        <v>15.2438454655392</v>
      </c>
      <c r="K347">
        <v>15.2378670830534</v>
      </c>
      <c r="L347">
        <v>14.968450756229799</v>
      </c>
      <c r="M347">
        <v>14.937067211723599</v>
      </c>
      <c r="N347">
        <v>15.1531548921796</v>
      </c>
      <c r="O347">
        <v>14.7342092652258</v>
      </c>
      <c r="P347">
        <v>-0.20857731189780901</v>
      </c>
      <c r="Q347">
        <v>-0.67310909175178801</v>
      </c>
      <c r="R347">
        <v>0.25595446795617099</v>
      </c>
      <c r="S347">
        <v>14.5732529961167</v>
      </c>
      <c r="T347">
        <v>-0.94372215038302099</v>
      </c>
      <c r="U347">
        <v>-6.5966747188465904</v>
      </c>
      <c r="V347">
        <v>0.35787970984792</v>
      </c>
      <c r="W347">
        <v>0.63636097040717599</v>
      </c>
      <c r="X347">
        <v>0</v>
      </c>
      <c r="Y347">
        <v>0</v>
      </c>
    </row>
    <row r="348" spans="1:25" x14ac:dyDescent="0.2">
      <c r="A348" t="s">
        <v>1305</v>
      </c>
      <c r="B348" t="s">
        <v>1306</v>
      </c>
      <c r="C348" t="s">
        <v>1307</v>
      </c>
      <c r="D348" t="s">
        <v>1308</v>
      </c>
      <c r="E348" t="s">
        <v>1306</v>
      </c>
      <c r="F348" t="s">
        <v>28</v>
      </c>
      <c r="G348" t="s">
        <v>1306</v>
      </c>
      <c r="H348" t="str">
        <f>"rme-8"</f>
        <v>rme-8</v>
      </c>
      <c r="I348" t="s">
        <v>1308</v>
      </c>
      <c r="J348">
        <v>14.0718559334157</v>
      </c>
      <c r="K348">
        <v>14.212542836101401</v>
      </c>
      <c r="L348">
        <v>13.9735863020673</v>
      </c>
      <c r="M348">
        <v>14.2033985757986</v>
      </c>
      <c r="N348">
        <v>14.6298665351888</v>
      </c>
      <c r="O348">
        <v>14.518315221606199</v>
      </c>
      <c r="P348">
        <v>0.36453175366976098</v>
      </c>
      <c r="Q348">
        <v>-5.9673838672342203E-2</v>
      </c>
      <c r="R348">
        <v>0.78873734601186396</v>
      </c>
      <c r="S348">
        <v>14.3340316709682</v>
      </c>
      <c r="T348">
        <v>1.80614032249875</v>
      </c>
      <c r="U348">
        <v>-5.48268230410575</v>
      </c>
      <c r="V348">
        <v>8.7744772170762694E-2</v>
      </c>
      <c r="W348">
        <v>0.30307876947013501</v>
      </c>
      <c r="X348">
        <v>0</v>
      </c>
      <c r="Y348">
        <v>0</v>
      </c>
    </row>
    <row r="349" spans="1:25" x14ac:dyDescent="0.2">
      <c r="A349" t="s">
        <v>1309</v>
      </c>
      <c r="B349" t="s">
        <v>1310</v>
      </c>
      <c r="C349" s="3">
        <v>45536</v>
      </c>
      <c r="D349" t="s">
        <v>1311</v>
      </c>
      <c r="E349" t="s">
        <v>1310</v>
      </c>
      <c r="F349" t="s">
        <v>28</v>
      </c>
      <c r="G349" t="s">
        <v>1310</v>
      </c>
      <c r="H349" t="str">
        <f>"sep-1"</f>
        <v>sep-1</v>
      </c>
      <c r="I349" t="s">
        <v>1311</v>
      </c>
      <c r="J349">
        <v>9.8167349871714507</v>
      </c>
      <c r="K349">
        <v>9.0292293646411608</v>
      </c>
      <c r="L349">
        <v>9.7022527838363501</v>
      </c>
      <c r="M349" t="s">
        <v>29</v>
      </c>
      <c r="N349" t="s">
        <v>29</v>
      </c>
      <c r="O349" t="s">
        <v>29</v>
      </c>
      <c r="P349" t="s">
        <v>29</v>
      </c>
      <c r="Q349" t="s">
        <v>29</v>
      </c>
      <c r="R349" t="s">
        <v>29</v>
      </c>
      <c r="S349">
        <v>10.2042100887105</v>
      </c>
      <c r="T349" t="s">
        <v>29</v>
      </c>
      <c r="U349" t="s">
        <v>29</v>
      </c>
      <c r="V349" t="s">
        <v>29</v>
      </c>
      <c r="W349" t="s">
        <v>29</v>
      </c>
      <c r="X349" t="s">
        <v>29</v>
      </c>
      <c r="Y349" t="s">
        <v>29</v>
      </c>
    </row>
    <row r="350" spans="1:25" x14ac:dyDescent="0.2">
      <c r="A350" t="s">
        <v>1312</v>
      </c>
      <c r="B350" t="s">
        <v>1313</v>
      </c>
      <c r="C350" t="s">
        <v>1314</v>
      </c>
      <c r="D350" t="s">
        <v>1315</v>
      </c>
      <c r="E350" t="s">
        <v>1313</v>
      </c>
      <c r="F350" t="s">
        <v>28</v>
      </c>
      <c r="G350" t="s">
        <v>1313</v>
      </c>
      <c r="H350" t="str">
        <f>"cand-1"</f>
        <v>cand-1</v>
      </c>
      <c r="I350" t="s">
        <v>1315</v>
      </c>
      <c r="J350">
        <v>14.517908693180701</v>
      </c>
      <c r="K350">
        <v>14.392438107303001</v>
      </c>
      <c r="L350">
        <v>14.7572176618102</v>
      </c>
      <c r="M350">
        <v>14.4967993643683</v>
      </c>
      <c r="N350">
        <v>15.124102942411399</v>
      </c>
      <c r="O350">
        <v>14.832242396219099</v>
      </c>
      <c r="P350">
        <v>0.26186008023493601</v>
      </c>
      <c r="Q350">
        <v>-0.17486140546489201</v>
      </c>
      <c r="R350">
        <v>0.69858156593476295</v>
      </c>
      <c r="S350">
        <v>14.9006687287205</v>
      </c>
      <c r="T350">
        <v>1.2602515812323001</v>
      </c>
      <c r="U350">
        <v>-6.2548931056101997</v>
      </c>
      <c r="V350">
        <v>0.223765236110892</v>
      </c>
      <c r="W350">
        <v>0.49164893876086602</v>
      </c>
      <c r="X350">
        <v>0</v>
      </c>
      <c r="Y350">
        <v>0</v>
      </c>
    </row>
    <row r="351" spans="1:25" x14ac:dyDescent="0.2">
      <c r="A351" t="s">
        <v>1316</v>
      </c>
      <c r="B351" t="s">
        <v>1317</v>
      </c>
      <c r="C351" t="s">
        <v>1318</v>
      </c>
      <c r="D351" t="s">
        <v>1319</v>
      </c>
      <c r="E351" t="s">
        <v>1317</v>
      </c>
      <c r="F351" t="s">
        <v>28</v>
      </c>
      <c r="G351" t="s">
        <v>1317</v>
      </c>
      <c r="H351" t="str">
        <f>"fat-5"</f>
        <v>fat-5</v>
      </c>
      <c r="I351" t="s">
        <v>1319</v>
      </c>
      <c r="J351">
        <v>13.4687060311308</v>
      </c>
      <c r="K351">
        <v>13.672785556954899</v>
      </c>
      <c r="L351">
        <v>13.417166199935799</v>
      </c>
      <c r="M351">
        <v>13.092835853621899</v>
      </c>
      <c r="N351">
        <v>12.885437350940601</v>
      </c>
      <c r="O351">
        <v>13.242624056546999</v>
      </c>
      <c r="P351">
        <v>-0.44592017563726699</v>
      </c>
      <c r="Q351">
        <v>-0.90592995333053306</v>
      </c>
      <c r="R351">
        <v>1.4089602055998201E-2</v>
      </c>
      <c r="S351">
        <v>13.8818646497171</v>
      </c>
      <c r="T351">
        <v>-2.0374294186702802</v>
      </c>
      <c r="U351">
        <v>-5.0972738806160702</v>
      </c>
      <c r="V351">
        <v>5.6672928157579398E-2</v>
      </c>
      <c r="W351">
        <v>0.239797660873003</v>
      </c>
      <c r="X351">
        <v>0</v>
      </c>
      <c r="Y351">
        <v>0</v>
      </c>
    </row>
    <row r="352" spans="1:25" x14ac:dyDescent="0.2">
      <c r="A352" t="s">
        <v>1320</v>
      </c>
      <c r="B352" t="s">
        <v>1321</v>
      </c>
      <c r="C352" t="s">
        <v>1322</v>
      </c>
      <c r="D352" t="s">
        <v>1323</v>
      </c>
      <c r="E352" t="s">
        <v>1321</v>
      </c>
      <c r="F352" t="s">
        <v>28</v>
      </c>
      <c r="G352" t="s">
        <v>1321</v>
      </c>
      <c r="H352" t="str">
        <f>"hyl-1"</f>
        <v>hyl-1</v>
      </c>
      <c r="I352" t="s">
        <v>1323</v>
      </c>
      <c r="J352">
        <v>11.3736066673988</v>
      </c>
      <c r="K352">
        <v>11.4039478600994</v>
      </c>
      <c r="L352">
        <v>11.418847043341099</v>
      </c>
      <c r="M352">
        <v>10.7792281587624</v>
      </c>
      <c r="N352">
        <v>11.170375616147201</v>
      </c>
      <c r="O352">
        <v>11.0660829059509</v>
      </c>
      <c r="P352">
        <v>-0.39357162999295903</v>
      </c>
      <c r="Q352">
        <v>-0.88900699505106995</v>
      </c>
      <c r="R352">
        <v>0.10186373506515201</v>
      </c>
      <c r="S352">
        <v>11.9472396046569</v>
      </c>
      <c r="T352">
        <v>-1.6768213482902701</v>
      </c>
      <c r="U352">
        <v>-5.6856144989802697</v>
      </c>
      <c r="V352">
        <v>0.111980629894505</v>
      </c>
      <c r="W352">
        <v>0.34411407745613198</v>
      </c>
      <c r="X352">
        <v>0</v>
      </c>
      <c r="Y352">
        <v>0</v>
      </c>
    </row>
    <row r="353" spans="1:25" x14ac:dyDescent="0.2">
      <c r="A353" t="s">
        <v>1324</v>
      </c>
      <c r="B353" t="s">
        <v>1325</v>
      </c>
      <c r="C353" t="s">
        <v>14251</v>
      </c>
      <c r="D353" t="s">
        <v>1326</v>
      </c>
      <c r="E353" t="s">
        <v>1325</v>
      </c>
      <c r="F353" t="s">
        <v>28</v>
      </c>
      <c r="G353" t="s">
        <v>1325</v>
      </c>
      <c r="H353" t="str">
        <f>"F22E12.1"</f>
        <v>F22E12.1</v>
      </c>
      <c r="I353" t="s">
        <v>1326</v>
      </c>
      <c r="J353" t="s">
        <v>29</v>
      </c>
      <c r="K353" t="s">
        <v>29</v>
      </c>
      <c r="L353">
        <v>10.3151066904927</v>
      </c>
      <c r="M353" t="s">
        <v>29</v>
      </c>
      <c r="N353" t="s">
        <v>29</v>
      </c>
      <c r="O353" t="s">
        <v>29</v>
      </c>
      <c r="P353" t="s">
        <v>29</v>
      </c>
      <c r="Q353" t="s">
        <v>29</v>
      </c>
      <c r="R353" t="s">
        <v>29</v>
      </c>
      <c r="S353">
        <v>11.318484082181699</v>
      </c>
      <c r="T353" t="s">
        <v>29</v>
      </c>
      <c r="U353" t="s">
        <v>29</v>
      </c>
      <c r="V353" t="s">
        <v>29</v>
      </c>
      <c r="W353" t="s">
        <v>29</v>
      </c>
      <c r="X353" t="s">
        <v>29</v>
      </c>
      <c r="Y353" t="s">
        <v>29</v>
      </c>
    </row>
    <row r="354" spans="1:25" x14ac:dyDescent="0.2">
      <c r="A354" t="s">
        <v>1327</v>
      </c>
      <c r="B354" t="s">
        <v>1328</v>
      </c>
      <c r="C354" t="s">
        <v>1329</v>
      </c>
      <c r="D354" t="s">
        <v>433</v>
      </c>
      <c r="E354" t="s">
        <v>1328</v>
      </c>
      <c r="F354" t="s">
        <v>28</v>
      </c>
      <c r="G354" t="s">
        <v>1328</v>
      </c>
      <c r="H354" t="str">
        <f>"mcrs-1"</f>
        <v>mcrs-1</v>
      </c>
      <c r="I354" t="s">
        <v>433</v>
      </c>
      <c r="J354" t="s">
        <v>29</v>
      </c>
      <c r="K354">
        <v>11.7227562783953</v>
      </c>
      <c r="L354">
        <v>11.701707425820199</v>
      </c>
      <c r="M354" t="s">
        <v>29</v>
      </c>
      <c r="N354" t="s">
        <v>29</v>
      </c>
      <c r="O354">
        <v>11.239712004639699</v>
      </c>
      <c r="P354">
        <v>-0.47251984746797698</v>
      </c>
      <c r="Q354">
        <v>-1.45253641667731</v>
      </c>
      <c r="R354">
        <v>0.50749672174135596</v>
      </c>
      <c r="S354">
        <v>12.3370929463556</v>
      </c>
      <c r="T354">
        <v>-1.05155416820617</v>
      </c>
      <c r="U354">
        <v>-6.0878767203641297</v>
      </c>
      <c r="V354">
        <v>0.31389812170287501</v>
      </c>
      <c r="W354">
        <v>0.59110213427150105</v>
      </c>
      <c r="X354">
        <v>0</v>
      </c>
      <c r="Y354">
        <v>0</v>
      </c>
    </row>
    <row r="355" spans="1:25" x14ac:dyDescent="0.2">
      <c r="A355" t="s">
        <v>1330</v>
      </c>
      <c r="B355" t="s">
        <v>1331</v>
      </c>
      <c r="C355" t="s">
        <v>14252</v>
      </c>
      <c r="D355" t="s">
        <v>1332</v>
      </c>
      <c r="E355" t="s">
        <v>1331</v>
      </c>
      <c r="F355" t="s">
        <v>28</v>
      </c>
      <c r="G355" t="s">
        <v>1331</v>
      </c>
      <c r="H355" t="str">
        <f>"K12D12.5"</f>
        <v>K12D12.5</v>
      </c>
      <c r="I355" t="s">
        <v>1332</v>
      </c>
      <c r="J355">
        <v>10.947591079334799</v>
      </c>
      <c r="K355">
        <v>10.247978539264899</v>
      </c>
      <c r="L355">
        <v>11.448062766458101</v>
      </c>
      <c r="M355">
        <v>9.89233692388399</v>
      </c>
      <c r="N355">
        <v>11.0582126426514</v>
      </c>
      <c r="O355">
        <v>10.8650906897608</v>
      </c>
      <c r="P355">
        <v>-0.275997376253866</v>
      </c>
      <c r="Q355">
        <v>-1.0476242859651199</v>
      </c>
      <c r="R355">
        <v>0.49562953345739102</v>
      </c>
      <c r="S355">
        <v>11.8997410838177</v>
      </c>
      <c r="T355">
        <v>-0.75500113034777006</v>
      </c>
      <c r="U355">
        <v>-6.7574010111947098</v>
      </c>
      <c r="V355">
        <v>0.46064436196686198</v>
      </c>
      <c r="W355">
        <v>0.72628234260527302</v>
      </c>
      <c r="X355">
        <v>0</v>
      </c>
      <c r="Y355">
        <v>0</v>
      </c>
    </row>
    <row r="356" spans="1:25" x14ac:dyDescent="0.2">
      <c r="A356" t="s">
        <v>1333</v>
      </c>
      <c r="B356" t="s">
        <v>1334</v>
      </c>
      <c r="C356" t="s">
        <v>1335</v>
      </c>
      <c r="D356" t="s">
        <v>1336</v>
      </c>
      <c r="E356" t="s">
        <v>1334</v>
      </c>
      <c r="F356" t="s">
        <v>28</v>
      </c>
      <c r="G356" t="s">
        <v>1334</v>
      </c>
      <c r="H356" t="str">
        <f>"mtm-6"</f>
        <v>mtm-6</v>
      </c>
      <c r="I356" t="s">
        <v>1336</v>
      </c>
      <c r="J356">
        <v>13.196225577796501</v>
      </c>
      <c r="K356">
        <v>12.220588167091201</v>
      </c>
      <c r="L356">
        <v>12.523280419469399</v>
      </c>
      <c r="M356">
        <v>13.677596526737601</v>
      </c>
      <c r="N356">
        <v>13.002338969722199</v>
      </c>
      <c r="O356">
        <v>13.134680890588101</v>
      </c>
      <c r="P356">
        <v>0.62484074089692498</v>
      </c>
      <c r="Q356">
        <v>4.20910132814349E-2</v>
      </c>
      <c r="R356">
        <v>1.2075904685124199</v>
      </c>
      <c r="S356">
        <v>12.788944996041799</v>
      </c>
      <c r="T356">
        <v>2.2742425949357399</v>
      </c>
      <c r="U356">
        <v>-4.6924874789276396</v>
      </c>
      <c r="V356">
        <v>3.7171597297100199E-2</v>
      </c>
      <c r="W356">
        <v>0.19154155693620001</v>
      </c>
      <c r="X356">
        <v>0</v>
      </c>
      <c r="Y356">
        <v>0</v>
      </c>
    </row>
    <row r="357" spans="1:25" x14ac:dyDescent="0.2">
      <c r="A357" t="s">
        <v>1337</v>
      </c>
      <c r="B357" t="s">
        <v>1338</v>
      </c>
      <c r="C357" t="s">
        <v>1339</v>
      </c>
      <c r="D357" t="s">
        <v>1340</v>
      </c>
      <c r="E357" t="s">
        <v>1338</v>
      </c>
      <c r="F357" t="s">
        <v>28</v>
      </c>
      <c r="G357" t="s">
        <v>1338</v>
      </c>
      <c r="H357" t="str">
        <f>"dcp-66"</f>
        <v>dcp-66</v>
      </c>
      <c r="I357" t="s">
        <v>1340</v>
      </c>
      <c r="J357" t="s">
        <v>29</v>
      </c>
      <c r="K357" t="s">
        <v>29</v>
      </c>
      <c r="L357" t="s">
        <v>29</v>
      </c>
      <c r="M357" t="s">
        <v>29</v>
      </c>
      <c r="N357" t="s">
        <v>29</v>
      </c>
      <c r="O357" t="s">
        <v>29</v>
      </c>
      <c r="P357" t="s">
        <v>29</v>
      </c>
      <c r="Q357" t="s">
        <v>29</v>
      </c>
      <c r="R357" t="s">
        <v>29</v>
      </c>
      <c r="S357">
        <v>11.0128868755836</v>
      </c>
      <c r="T357" t="s">
        <v>29</v>
      </c>
      <c r="U357" t="s">
        <v>29</v>
      </c>
      <c r="V357" t="s">
        <v>29</v>
      </c>
      <c r="W357" t="s">
        <v>29</v>
      </c>
      <c r="X357" t="s">
        <v>29</v>
      </c>
      <c r="Y357" t="s">
        <v>29</v>
      </c>
    </row>
    <row r="358" spans="1:25" x14ac:dyDescent="0.2">
      <c r="A358" t="s">
        <v>1341</v>
      </c>
      <c r="B358" t="s">
        <v>1342</v>
      </c>
      <c r="C358" t="s">
        <v>1343</v>
      </c>
      <c r="D358" t="s">
        <v>1344</v>
      </c>
      <c r="E358" t="s">
        <v>1342</v>
      </c>
      <c r="F358" t="s">
        <v>28</v>
      </c>
      <c r="G358" t="s">
        <v>1342</v>
      </c>
      <c r="H358" t="str">
        <f>"yars-1"</f>
        <v>yars-1</v>
      </c>
      <c r="I358" t="s">
        <v>1344</v>
      </c>
      <c r="J358">
        <v>12.737881612191501</v>
      </c>
      <c r="K358">
        <v>12.507518729129099</v>
      </c>
      <c r="L358">
        <v>12.820248081201401</v>
      </c>
      <c r="M358">
        <v>12.7431370837046</v>
      </c>
      <c r="N358">
        <v>12.9248592474615</v>
      </c>
      <c r="O358">
        <v>12.5383173724193</v>
      </c>
      <c r="P358">
        <v>4.6888427021141203E-2</v>
      </c>
      <c r="Q358">
        <v>-0.62534539030449598</v>
      </c>
      <c r="R358">
        <v>0.71912224434677796</v>
      </c>
      <c r="S358">
        <v>12.744900940487399</v>
      </c>
      <c r="T358">
        <v>0.147229663836629</v>
      </c>
      <c r="U358">
        <v>-7.0406983094453999</v>
      </c>
      <c r="V358">
        <v>0.884693424071754</v>
      </c>
      <c r="W358">
        <v>0.95895816186858396</v>
      </c>
      <c r="X358">
        <v>0</v>
      </c>
      <c r="Y358">
        <v>0</v>
      </c>
    </row>
    <row r="359" spans="1:25" x14ac:dyDescent="0.2">
      <c r="A359" t="s">
        <v>1345</v>
      </c>
      <c r="B359" t="s">
        <v>1346</v>
      </c>
      <c r="C359" t="s">
        <v>1347</v>
      </c>
      <c r="D359" t="s">
        <v>107</v>
      </c>
      <c r="E359" t="s">
        <v>1346</v>
      </c>
      <c r="F359" t="s">
        <v>28</v>
      </c>
      <c r="G359" t="s">
        <v>1346</v>
      </c>
      <c r="H359" t="str">
        <f>"C06H5.6"</f>
        <v>C06H5.6</v>
      </c>
      <c r="I359" t="s">
        <v>107</v>
      </c>
      <c r="J359">
        <v>12.920789659665701</v>
      </c>
      <c r="K359">
        <v>13.1900626236137</v>
      </c>
      <c r="L359">
        <v>12.9300542262511</v>
      </c>
      <c r="M359">
        <v>13.0031577459433</v>
      </c>
      <c r="N359">
        <v>13.053597349129401</v>
      </c>
      <c r="O359">
        <v>12.637712382398099</v>
      </c>
      <c r="P359">
        <v>-0.11547967735323</v>
      </c>
      <c r="Q359">
        <v>-0.52310834608624002</v>
      </c>
      <c r="R359">
        <v>0.29214899137978001</v>
      </c>
      <c r="S359">
        <v>12.9142849245618</v>
      </c>
      <c r="T359">
        <v>-0.60088362786581695</v>
      </c>
      <c r="U359">
        <v>-6.8637541969574798</v>
      </c>
      <c r="V359">
        <v>0.55638978412779905</v>
      </c>
      <c r="W359">
        <v>0.78274637161775096</v>
      </c>
      <c r="X359">
        <v>0</v>
      </c>
      <c r="Y359">
        <v>0</v>
      </c>
    </row>
    <row r="360" spans="1:25" x14ac:dyDescent="0.2">
      <c r="A360" t="s">
        <v>1348</v>
      </c>
      <c r="B360" t="s">
        <v>1349</v>
      </c>
      <c r="C360" t="s">
        <v>14253</v>
      </c>
      <c r="D360" t="s">
        <v>1350</v>
      </c>
      <c r="E360" t="s">
        <v>1349</v>
      </c>
      <c r="F360" t="s">
        <v>28</v>
      </c>
      <c r="G360" t="s">
        <v>1349</v>
      </c>
      <c r="H360" t="str">
        <f>"Y45F10B.13"</f>
        <v>Y45F10B.13</v>
      </c>
      <c r="I360" t="s">
        <v>1350</v>
      </c>
      <c r="J360">
        <v>12.5595942152693</v>
      </c>
      <c r="K360">
        <v>13.1699410668555</v>
      </c>
      <c r="L360">
        <v>13.669751500443001</v>
      </c>
      <c r="M360">
        <v>12.832321573815101</v>
      </c>
      <c r="N360">
        <v>12.015701545891799</v>
      </c>
      <c r="O360">
        <v>12.647488712227799</v>
      </c>
      <c r="P360">
        <v>-0.63459165021100905</v>
      </c>
      <c r="Q360">
        <v>-1.2510066772849999</v>
      </c>
      <c r="R360">
        <v>-1.8176623137018202E-2</v>
      </c>
      <c r="S360">
        <v>13.2462280550559</v>
      </c>
      <c r="T360">
        <v>-2.1730571550174602</v>
      </c>
      <c r="U360">
        <v>-4.8651371026644803</v>
      </c>
      <c r="V360">
        <v>4.4294887996526602E-2</v>
      </c>
      <c r="W360">
        <v>0.20858981988523501</v>
      </c>
      <c r="X360">
        <v>0</v>
      </c>
      <c r="Y360">
        <v>0</v>
      </c>
    </row>
    <row r="361" spans="1:25" x14ac:dyDescent="0.2">
      <c r="A361" t="s">
        <v>1351</v>
      </c>
      <c r="B361" t="s">
        <v>1352</v>
      </c>
      <c r="C361" t="s">
        <v>1353</v>
      </c>
      <c r="D361" t="s">
        <v>1354</v>
      </c>
      <c r="E361" t="s">
        <v>1352</v>
      </c>
      <c r="F361" t="s">
        <v>28</v>
      </c>
      <c r="G361" t="s">
        <v>1352</v>
      </c>
      <c r="H361" t="str">
        <f>"madd-3"</f>
        <v>madd-3</v>
      </c>
      <c r="I361" t="s">
        <v>1354</v>
      </c>
      <c r="J361">
        <v>15.267025474323001</v>
      </c>
      <c r="K361">
        <v>15.557545909299</v>
      </c>
      <c r="L361">
        <v>14.9965568489506</v>
      </c>
      <c r="M361">
        <v>15.784432575239499</v>
      </c>
      <c r="N361">
        <v>15.334294320054401</v>
      </c>
      <c r="O361">
        <v>15.1625045270108</v>
      </c>
      <c r="P361">
        <v>0.153367729910697</v>
      </c>
      <c r="Q361">
        <v>-0.28006170728646401</v>
      </c>
      <c r="R361">
        <v>0.58679716710785701</v>
      </c>
      <c r="S361">
        <v>14.9422245628287</v>
      </c>
      <c r="T361">
        <v>0.74371766753771396</v>
      </c>
      <c r="U361">
        <v>-6.7666401908945</v>
      </c>
      <c r="V361">
        <v>0.46670082615828901</v>
      </c>
      <c r="W361">
        <v>0.73153117908080401</v>
      </c>
      <c r="X361">
        <v>0</v>
      </c>
      <c r="Y361">
        <v>0</v>
      </c>
    </row>
    <row r="362" spans="1:25" x14ac:dyDescent="0.2">
      <c r="A362" t="s">
        <v>1355</v>
      </c>
      <c r="B362" t="s">
        <v>1356</v>
      </c>
      <c r="C362" t="s">
        <v>1357</v>
      </c>
      <c r="D362" t="s">
        <v>1358</v>
      </c>
      <c r="E362" t="s">
        <v>1356</v>
      </c>
      <c r="F362" t="s">
        <v>28</v>
      </c>
      <c r="G362" t="s">
        <v>1356</v>
      </c>
      <c r="H362" t="str">
        <f>"ppgn-1"</f>
        <v>ppgn-1</v>
      </c>
      <c r="I362" t="s">
        <v>1358</v>
      </c>
      <c r="J362">
        <v>13.539866053678301</v>
      </c>
      <c r="K362">
        <v>13.3232812301423</v>
      </c>
      <c r="L362">
        <v>13.5029066009924</v>
      </c>
      <c r="M362">
        <v>13.359763588116399</v>
      </c>
      <c r="N362">
        <v>13.8598228049271</v>
      </c>
      <c r="O362">
        <v>14.6956041477998</v>
      </c>
      <c r="P362">
        <v>0.51637888534345699</v>
      </c>
      <c r="Q362">
        <v>-0.130699247262793</v>
      </c>
      <c r="R362">
        <v>1.1634570179497099</v>
      </c>
      <c r="S362">
        <v>13.573412696052101</v>
      </c>
      <c r="T362">
        <v>1.6926270692794501</v>
      </c>
      <c r="U362">
        <v>-5.66332691523536</v>
      </c>
      <c r="V362">
        <v>0.110031472406086</v>
      </c>
      <c r="W362">
        <v>0.34241702703680399</v>
      </c>
      <c r="X362">
        <v>0</v>
      </c>
      <c r="Y362">
        <v>0</v>
      </c>
    </row>
    <row r="363" spans="1:25" x14ac:dyDescent="0.2">
      <c r="A363" t="s">
        <v>1359</v>
      </c>
      <c r="B363" t="s">
        <v>1360</v>
      </c>
      <c r="C363" t="s">
        <v>1361</v>
      </c>
      <c r="D363" t="s">
        <v>1362</v>
      </c>
      <c r="E363" t="s">
        <v>1360</v>
      </c>
      <c r="F363" t="s">
        <v>28</v>
      </c>
      <c r="G363" t="s">
        <v>1360</v>
      </c>
      <c r="H363" t="str">
        <f>"unc-25"</f>
        <v>unc-25</v>
      </c>
      <c r="I363" t="s">
        <v>1362</v>
      </c>
      <c r="J363" t="s">
        <v>29</v>
      </c>
      <c r="K363" t="s">
        <v>29</v>
      </c>
      <c r="L363" t="s">
        <v>29</v>
      </c>
      <c r="M363">
        <v>12.7318469905237</v>
      </c>
      <c r="N363">
        <v>13.0763932363267</v>
      </c>
      <c r="O363">
        <v>12.470931179542299</v>
      </c>
      <c r="P363" t="s">
        <v>29</v>
      </c>
      <c r="Q363" t="s">
        <v>29</v>
      </c>
      <c r="R363" t="s">
        <v>29</v>
      </c>
      <c r="S363">
        <v>12.5110283951598</v>
      </c>
      <c r="T363" t="s">
        <v>29</v>
      </c>
      <c r="U363" t="s">
        <v>29</v>
      </c>
      <c r="V363" t="s">
        <v>29</v>
      </c>
      <c r="W363" t="s">
        <v>29</v>
      </c>
      <c r="X363" t="s">
        <v>29</v>
      </c>
      <c r="Y363" t="s">
        <v>29</v>
      </c>
    </row>
    <row r="364" spans="1:25" x14ac:dyDescent="0.2">
      <c r="A364" t="s">
        <v>1363</v>
      </c>
      <c r="B364" t="s">
        <v>1364</v>
      </c>
      <c r="C364" t="s">
        <v>1365</v>
      </c>
      <c r="D364" t="s">
        <v>1366</v>
      </c>
      <c r="E364" t="s">
        <v>1364</v>
      </c>
      <c r="F364" t="s">
        <v>28</v>
      </c>
      <c r="G364" t="s">
        <v>1364</v>
      </c>
      <c r="H364" t="str">
        <f>"vha-4"</f>
        <v>vha-4</v>
      </c>
      <c r="I364" t="s">
        <v>1366</v>
      </c>
      <c r="J364">
        <v>14.664499006318</v>
      </c>
      <c r="K364">
        <v>14.5836080785701</v>
      </c>
      <c r="L364">
        <v>15.260969451973899</v>
      </c>
      <c r="M364">
        <v>14.758905717936999</v>
      </c>
      <c r="N364">
        <v>15.049970930869399</v>
      </c>
      <c r="O364">
        <v>14.709398479782999</v>
      </c>
      <c r="P364">
        <v>3.0661972424770299E-3</v>
      </c>
      <c r="Q364">
        <v>-0.48566948256657599</v>
      </c>
      <c r="R364">
        <v>0.49180187705153</v>
      </c>
      <c r="S364">
        <v>14.708331594762701</v>
      </c>
      <c r="T364">
        <v>1.31861665336474E-2</v>
      </c>
      <c r="U364">
        <v>-7.0519953212595601</v>
      </c>
      <c r="V364">
        <v>0.98962516407214696</v>
      </c>
      <c r="W364">
        <v>0.99510617901071896</v>
      </c>
      <c r="X364">
        <v>0</v>
      </c>
      <c r="Y364">
        <v>0</v>
      </c>
    </row>
    <row r="365" spans="1:25" x14ac:dyDescent="0.2">
      <c r="A365" t="s">
        <v>1367</v>
      </c>
      <c r="B365" t="s">
        <v>1368</v>
      </c>
      <c r="C365" t="s">
        <v>1369</v>
      </c>
      <c r="D365" t="s">
        <v>1370</v>
      </c>
      <c r="E365" t="s">
        <v>1368</v>
      </c>
      <c r="F365" t="s">
        <v>28</v>
      </c>
      <c r="G365" t="s">
        <v>1368</v>
      </c>
      <c r="H365" t="str">
        <f>"pxf-1"</f>
        <v>pxf-1</v>
      </c>
      <c r="I365" t="s">
        <v>1370</v>
      </c>
      <c r="J365">
        <v>12.122355848257399</v>
      </c>
      <c r="K365">
        <v>12.6580791645925</v>
      </c>
      <c r="L365" t="s">
        <v>29</v>
      </c>
      <c r="M365">
        <v>13.5550904936786</v>
      </c>
      <c r="N365">
        <v>13.539877419895101</v>
      </c>
      <c r="O365">
        <v>13.874640183800601</v>
      </c>
      <c r="P365">
        <v>1.26631852603312</v>
      </c>
      <c r="Q365">
        <v>0.55151591314287396</v>
      </c>
      <c r="R365">
        <v>1.9811211389233601</v>
      </c>
      <c r="S365">
        <v>12.8490879671174</v>
      </c>
      <c r="T365">
        <v>3.8023205086753</v>
      </c>
      <c r="U365">
        <v>-1.700600740876</v>
      </c>
      <c r="V365">
        <v>1.9661900393941199E-3</v>
      </c>
      <c r="W365">
        <v>2.8061326263984498E-2</v>
      </c>
      <c r="X365">
        <v>1</v>
      </c>
      <c r="Y365">
        <v>1</v>
      </c>
    </row>
    <row r="366" spans="1:25" x14ac:dyDescent="0.2">
      <c r="A366" t="s">
        <v>1371</v>
      </c>
      <c r="B366" t="s">
        <v>1372</v>
      </c>
      <c r="C366" t="s">
        <v>1373</v>
      </c>
      <c r="D366" t="s">
        <v>1374</v>
      </c>
      <c r="E366" t="s">
        <v>1372</v>
      </c>
      <c r="F366" t="s">
        <v>28</v>
      </c>
      <c r="G366" t="s">
        <v>1372</v>
      </c>
      <c r="H366" t="str">
        <f>"arl-8"</f>
        <v>arl-8</v>
      </c>
      <c r="I366" t="s">
        <v>1374</v>
      </c>
      <c r="J366">
        <v>14.1750955673223</v>
      </c>
      <c r="K366">
        <v>14.021425695934299</v>
      </c>
      <c r="L366">
        <v>13.725781000373701</v>
      </c>
      <c r="M366">
        <v>14.231977780121699</v>
      </c>
      <c r="N366">
        <v>14.567142084896</v>
      </c>
      <c r="O366">
        <v>13.6088670685471</v>
      </c>
      <c r="P366">
        <v>0.16189488997816201</v>
      </c>
      <c r="Q366">
        <v>-0.40636609986542399</v>
      </c>
      <c r="R366">
        <v>0.73015587982174901</v>
      </c>
      <c r="S366">
        <v>14.0460806144466</v>
      </c>
      <c r="T366">
        <v>0.60136107091672897</v>
      </c>
      <c r="U366">
        <v>-6.8639937433618101</v>
      </c>
      <c r="V366">
        <v>0.55558323971524204</v>
      </c>
      <c r="W366">
        <v>0.78231602628238806</v>
      </c>
      <c r="X366">
        <v>0</v>
      </c>
      <c r="Y366">
        <v>0</v>
      </c>
    </row>
    <row r="367" spans="1:25" x14ac:dyDescent="0.2">
      <c r="A367" t="s">
        <v>1375</v>
      </c>
      <c r="B367" t="s">
        <v>1376</v>
      </c>
      <c r="C367" t="s">
        <v>1377</v>
      </c>
      <c r="D367" t="s">
        <v>1378</v>
      </c>
      <c r="E367" t="s">
        <v>1376</v>
      </c>
      <c r="F367" t="s">
        <v>28</v>
      </c>
      <c r="G367" t="s">
        <v>1376</v>
      </c>
      <c r="H367" t="str">
        <f>"ucr-2.1"</f>
        <v>ucr-2.1</v>
      </c>
      <c r="I367" t="s">
        <v>1378</v>
      </c>
      <c r="J367">
        <v>15.8315709115665</v>
      </c>
      <c r="K367">
        <v>15.7627992676569</v>
      </c>
      <c r="L367">
        <v>15.486899568176</v>
      </c>
      <c r="M367">
        <v>15.9207763172298</v>
      </c>
      <c r="N367">
        <v>15.930489561678201</v>
      </c>
      <c r="O367">
        <v>15.6349532116408</v>
      </c>
      <c r="P367">
        <v>0.13498311438313601</v>
      </c>
      <c r="Q367">
        <v>-0.31466026794709201</v>
      </c>
      <c r="R367">
        <v>0.58462649671336397</v>
      </c>
      <c r="S367">
        <v>15.064694835441401</v>
      </c>
      <c r="T367">
        <v>0.633667234409098</v>
      </c>
      <c r="U367">
        <v>-6.8434852765461498</v>
      </c>
      <c r="V367">
        <v>0.53478327822326699</v>
      </c>
      <c r="W367">
        <v>0.77492902906669103</v>
      </c>
      <c r="X367">
        <v>0</v>
      </c>
      <c r="Y367">
        <v>0</v>
      </c>
    </row>
    <row r="368" spans="1:25" x14ac:dyDescent="0.2">
      <c r="A368" t="s">
        <v>1379</v>
      </c>
      <c r="B368" t="s">
        <v>1380</v>
      </c>
      <c r="C368" t="s">
        <v>1381</v>
      </c>
      <c r="D368" t="s">
        <v>1382</v>
      </c>
      <c r="E368" t="s">
        <v>1380</v>
      </c>
      <c r="F368" t="s">
        <v>28</v>
      </c>
      <c r="G368" t="s">
        <v>1380</v>
      </c>
      <c r="H368" t="str">
        <f>"tba-4"</f>
        <v>tba-4</v>
      </c>
      <c r="I368" t="s">
        <v>1382</v>
      </c>
      <c r="J368">
        <v>16.7839359582734</v>
      </c>
      <c r="K368">
        <v>16.341458863653699</v>
      </c>
      <c r="L368">
        <v>16.4464911975215</v>
      </c>
      <c r="M368">
        <v>16.363044638502199</v>
      </c>
      <c r="N368">
        <v>16.484876354393801</v>
      </c>
      <c r="O368">
        <v>16.4865460866441</v>
      </c>
      <c r="P368">
        <v>-7.9139646636171804E-2</v>
      </c>
      <c r="Q368">
        <v>-0.42337190782849499</v>
      </c>
      <c r="R368">
        <v>0.26509261455615102</v>
      </c>
      <c r="S368">
        <v>16.282160822231099</v>
      </c>
      <c r="T368">
        <v>-0.48320903965755602</v>
      </c>
      <c r="U368">
        <v>-6.9305195215584599</v>
      </c>
      <c r="V368">
        <v>0.63480640344387496</v>
      </c>
      <c r="W368">
        <v>0.83221040942032398</v>
      </c>
      <c r="X368">
        <v>0</v>
      </c>
      <c r="Y368">
        <v>0</v>
      </c>
    </row>
    <row r="369" spans="1:25" x14ac:dyDescent="0.2">
      <c r="A369" t="s">
        <v>1383</v>
      </c>
      <c r="B369" t="s">
        <v>1384</v>
      </c>
      <c r="C369" t="s">
        <v>1385</v>
      </c>
      <c r="D369" t="s">
        <v>1386</v>
      </c>
      <c r="E369" t="s">
        <v>1384</v>
      </c>
      <c r="F369" t="s">
        <v>28</v>
      </c>
      <c r="G369" t="s">
        <v>1384</v>
      </c>
      <c r="H369" t="str">
        <f>"hpl-2"</f>
        <v>hpl-2</v>
      </c>
      <c r="I369" t="s">
        <v>1386</v>
      </c>
      <c r="J369" t="s">
        <v>29</v>
      </c>
      <c r="K369" t="s">
        <v>29</v>
      </c>
      <c r="L369" t="s">
        <v>29</v>
      </c>
      <c r="M369">
        <v>10.6509677911447</v>
      </c>
      <c r="N369" t="s">
        <v>29</v>
      </c>
      <c r="O369" t="s">
        <v>29</v>
      </c>
      <c r="P369" t="s">
        <v>29</v>
      </c>
      <c r="Q369" t="s">
        <v>29</v>
      </c>
      <c r="R369" t="s">
        <v>29</v>
      </c>
      <c r="S369">
        <v>11.1663667579577</v>
      </c>
      <c r="T369" t="s">
        <v>29</v>
      </c>
      <c r="U369" t="s">
        <v>29</v>
      </c>
      <c r="V369" t="s">
        <v>29</v>
      </c>
      <c r="W369" t="s">
        <v>29</v>
      </c>
      <c r="X369" t="s">
        <v>29</v>
      </c>
      <c r="Y369" t="s">
        <v>29</v>
      </c>
    </row>
    <row r="370" spans="1:25" x14ac:dyDescent="0.2">
      <c r="A370" t="s">
        <v>1387</v>
      </c>
      <c r="B370" t="s">
        <v>1388</v>
      </c>
      <c r="C370" t="s">
        <v>1389</v>
      </c>
      <c r="D370" t="s">
        <v>1390</v>
      </c>
      <c r="E370" t="s">
        <v>1388</v>
      </c>
      <c r="F370" t="s">
        <v>28</v>
      </c>
      <c r="G370" t="s">
        <v>1388</v>
      </c>
      <c r="H370" t="str">
        <f>"casc-3"</f>
        <v>casc-3</v>
      </c>
      <c r="I370" t="s">
        <v>1390</v>
      </c>
      <c r="J370">
        <v>14.841141108697199</v>
      </c>
      <c r="K370">
        <v>15.1435918346028</v>
      </c>
      <c r="L370">
        <v>15.3740581353696</v>
      </c>
      <c r="M370">
        <v>14.6510426517053</v>
      </c>
      <c r="N370">
        <v>13.8190547819286</v>
      </c>
      <c r="O370">
        <v>14.813715025130501</v>
      </c>
      <c r="P370">
        <v>-0.69165953996839002</v>
      </c>
      <c r="Q370">
        <v>-1.2917583169934499</v>
      </c>
      <c r="R370">
        <v>-9.1560762943330307E-2</v>
      </c>
      <c r="S370">
        <v>14.7122789775445</v>
      </c>
      <c r="T370">
        <v>-2.4328741445126001</v>
      </c>
      <c r="U370">
        <v>-4.3876823184789604</v>
      </c>
      <c r="V370">
        <v>2.6389840972143402E-2</v>
      </c>
      <c r="W370">
        <v>0.15902322689510101</v>
      </c>
      <c r="X370">
        <v>0</v>
      </c>
      <c r="Y370">
        <v>0</v>
      </c>
    </row>
    <row r="371" spans="1:25" x14ac:dyDescent="0.2">
      <c r="A371" t="s">
        <v>1391</v>
      </c>
      <c r="B371" t="s">
        <v>1392</v>
      </c>
      <c r="C371" t="s">
        <v>1393</v>
      </c>
      <c r="D371" t="s">
        <v>1394</v>
      </c>
      <c r="E371" t="s">
        <v>1392</v>
      </c>
      <c r="F371" t="s">
        <v>28</v>
      </c>
      <c r="G371" t="s">
        <v>1392</v>
      </c>
      <c r="H371" t="str">
        <f>"tpxl-1"</f>
        <v>tpxl-1</v>
      </c>
      <c r="I371" t="s">
        <v>1394</v>
      </c>
      <c r="J371">
        <v>12.213339452384099</v>
      </c>
      <c r="K371">
        <v>12.3314088027214</v>
      </c>
      <c r="L371">
        <v>12.761935878460299</v>
      </c>
      <c r="M371">
        <v>12.215826816429701</v>
      </c>
      <c r="N371">
        <v>11.396299761194999</v>
      </c>
      <c r="O371">
        <v>12.0624126822755</v>
      </c>
      <c r="P371">
        <v>-0.54404829122183995</v>
      </c>
      <c r="Q371">
        <v>-1.1015955749174899</v>
      </c>
      <c r="R371">
        <v>1.3498992473815599E-2</v>
      </c>
      <c r="S371">
        <v>13.1655678370981</v>
      </c>
      <c r="T371">
        <v>-2.0943421778807298</v>
      </c>
      <c r="U371">
        <v>-5.0261241586100596</v>
      </c>
      <c r="V371">
        <v>5.5050077904783501E-2</v>
      </c>
      <c r="W371">
        <v>0.23490720306702501</v>
      </c>
      <c r="X371">
        <v>0</v>
      </c>
      <c r="Y371">
        <v>0</v>
      </c>
    </row>
    <row r="372" spans="1:25" x14ac:dyDescent="0.2">
      <c r="A372" t="s">
        <v>1395</v>
      </c>
      <c r="B372" t="s">
        <v>1396</v>
      </c>
      <c r="C372" t="s">
        <v>1397</v>
      </c>
      <c r="D372" t="s">
        <v>1398</v>
      </c>
      <c r="E372" t="s">
        <v>1396</v>
      </c>
      <c r="F372" t="s">
        <v>28</v>
      </c>
      <c r="G372" t="s">
        <v>1396</v>
      </c>
      <c r="H372" t="str">
        <f>"ile-1"</f>
        <v>ile-1</v>
      </c>
      <c r="I372" t="s">
        <v>1398</v>
      </c>
      <c r="J372">
        <v>12.023025862529</v>
      </c>
      <c r="K372">
        <v>11.900736900211401</v>
      </c>
      <c r="L372">
        <v>12.4857594113428</v>
      </c>
      <c r="M372">
        <v>12.262072427489899</v>
      </c>
      <c r="N372">
        <v>11.412566430077</v>
      </c>
      <c r="O372">
        <v>12.7898506836168</v>
      </c>
      <c r="P372">
        <v>1.8322455700175801E-2</v>
      </c>
      <c r="Q372">
        <v>-0.65577966326711401</v>
      </c>
      <c r="R372">
        <v>0.69242457466746499</v>
      </c>
      <c r="S372">
        <v>12.077261280396201</v>
      </c>
      <c r="T372">
        <v>5.73730583526579E-2</v>
      </c>
      <c r="U372">
        <v>-7.0503561648267796</v>
      </c>
      <c r="V372">
        <v>0.954921115501144</v>
      </c>
      <c r="W372">
        <v>0.97752358457809096</v>
      </c>
      <c r="X372">
        <v>0</v>
      </c>
      <c r="Y372">
        <v>0</v>
      </c>
    </row>
    <row r="373" spans="1:25" x14ac:dyDescent="0.2">
      <c r="A373" t="s">
        <v>1399</v>
      </c>
      <c r="B373" t="s">
        <v>1400</v>
      </c>
      <c r="C373" t="s">
        <v>1401</v>
      </c>
      <c r="D373" t="s">
        <v>1225</v>
      </c>
      <c r="E373" t="s">
        <v>1400</v>
      </c>
      <c r="F373" t="s">
        <v>28</v>
      </c>
      <c r="G373" t="s">
        <v>1400</v>
      </c>
      <c r="H373" t="str">
        <f>"tufm-2"</f>
        <v>tufm-2</v>
      </c>
      <c r="I373" t="s">
        <v>1225</v>
      </c>
      <c r="J373">
        <v>14.6357255236224</v>
      </c>
      <c r="K373">
        <v>14.8003288754538</v>
      </c>
      <c r="L373">
        <v>14.7399041797799</v>
      </c>
      <c r="M373">
        <v>14.593970447678</v>
      </c>
      <c r="N373">
        <v>14.7582552385387</v>
      </c>
      <c r="O373">
        <v>14.4878363546604</v>
      </c>
      <c r="P373">
        <v>-0.111965512659667</v>
      </c>
      <c r="Q373">
        <v>-0.52600638227518304</v>
      </c>
      <c r="R373">
        <v>0.30207535695584797</v>
      </c>
      <c r="S373">
        <v>14.6736801447587</v>
      </c>
      <c r="T373">
        <v>-0.56837317670905096</v>
      </c>
      <c r="U373">
        <v>-6.8843097287589403</v>
      </c>
      <c r="V373">
        <v>0.57684513272907001</v>
      </c>
      <c r="W373">
        <v>0.79705055707023098</v>
      </c>
      <c r="X373">
        <v>0</v>
      </c>
      <c r="Y373">
        <v>0</v>
      </c>
    </row>
    <row r="374" spans="1:25" x14ac:dyDescent="0.2">
      <c r="A374" t="s">
        <v>1402</v>
      </c>
      <c r="B374" t="s">
        <v>1403</v>
      </c>
      <c r="C374" t="s">
        <v>1404</v>
      </c>
      <c r="D374" t="s">
        <v>1405</v>
      </c>
      <c r="E374" t="s">
        <v>1403</v>
      </c>
      <c r="F374" t="s">
        <v>28</v>
      </c>
      <c r="G374" t="s">
        <v>1403</v>
      </c>
      <c r="H374" t="str">
        <f>"sek-1"</f>
        <v>sek-1</v>
      </c>
      <c r="I374" t="s">
        <v>1405</v>
      </c>
      <c r="J374">
        <v>13.689178275342501</v>
      </c>
      <c r="K374">
        <v>13.611310699954601</v>
      </c>
      <c r="L374">
        <v>13.1715702642583</v>
      </c>
      <c r="M374">
        <v>12.9636070378989</v>
      </c>
      <c r="N374">
        <v>14.0710506240219</v>
      </c>
      <c r="O374">
        <v>12.9434942895503</v>
      </c>
      <c r="P374">
        <v>-0.16463576269476801</v>
      </c>
      <c r="Q374">
        <v>-0.92258397424942196</v>
      </c>
      <c r="R374">
        <v>0.59331244885988499</v>
      </c>
      <c r="S374">
        <v>13.056828997760899</v>
      </c>
      <c r="T374">
        <v>-0.45849505974897398</v>
      </c>
      <c r="U374">
        <v>-6.9422607509645804</v>
      </c>
      <c r="V374">
        <v>0.65243961970827002</v>
      </c>
      <c r="W374">
        <v>0.84243576012562904</v>
      </c>
      <c r="X374">
        <v>0</v>
      </c>
      <c r="Y374">
        <v>0</v>
      </c>
    </row>
    <row r="375" spans="1:25" x14ac:dyDescent="0.2">
      <c r="A375" t="s">
        <v>1406</v>
      </c>
      <c r="B375" t="s">
        <v>1407</v>
      </c>
      <c r="C375" t="s">
        <v>1408</v>
      </c>
      <c r="D375" t="s">
        <v>1409</v>
      </c>
      <c r="E375" t="s">
        <v>1407</v>
      </c>
      <c r="F375" t="s">
        <v>28</v>
      </c>
      <c r="G375" t="s">
        <v>1407</v>
      </c>
      <c r="H375" t="str">
        <f>"M03C11.8"</f>
        <v>M03C11.8</v>
      </c>
      <c r="I375" t="s">
        <v>1409</v>
      </c>
      <c r="J375">
        <v>12.7427490688098</v>
      </c>
      <c r="K375">
        <v>11.8808438998143</v>
      </c>
      <c r="L375">
        <v>12.4386699721928</v>
      </c>
      <c r="M375">
        <v>13.2744830139632</v>
      </c>
      <c r="N375">
        <v>13.1356799965665</v>
      </c>
      <c r="O375">
        <v>12.9687778202851</v>
      </c>
      <c r="P375">
        <v>0.77222596333264404</v>
      </c>
      <c r="Q375">
        <v>0.17817110326354599</v>
      </c>
      <c r="R375">
        <v>1.3662808234017401</v>
      </c>
      <c r="S375">
        <v>12.719894150706301</v>
      </c>
      <c r="T375">
        <v>2.7571943233143301</v>
      </c>
      <c r="U375">
        <v>-3.7798001768588501</v>
      </c>
      <c r="V375">
        <v>1.40886382148606E-2</v>
      </c>
      <c r="W375">
        <v>0.10941391110061199</v>
      </c>
      <c r="X375">
        <v>0</v>
      </c>
      <c r="Y375">
        <v>0</v>
      </c>
    </row>
    <row r="376" spans="1:25" x14ac:dyDescent="0.2">
      <c r="A376" t="s">
        <v>1410</v>
      </c>
      <c r="B376" t="s">
        <v>1411</v>
      </c>
      <c r="C376" t="s">
        <v>1412</v>
      </c>
      <c r="D376" t="s">
        <v>1413</v>
      </c>
      <c r="E376" t="s">
        <v>1411</v>
      </c>
      <c r="F376" t="s">
        <v>28</v>
      </c>
      <c r="G376" t="s">
        <v>1411</v>
      </c>
      <c r="H376" t="str">
        <f>"col-117"</f>
        <v>col-117</v>
      </c>
      <c r="I376" t="s">
        <v>1413</v>
      </c>
      <c r="J376">
        <v>11.165066323230899</v>
      </c>
      <c r="K376">
        <v>10.917623638670801</v>
      </c>
      <c r="L376">
        <v>10.682630218995101</v>
      </c>
      <c r="M376" t="s">
        <v>29</v>
      </c>
      <c r="N376" t="s">
        <v>29</v>
      </c>
      <c r="O376" t="s">
        <v>29</v>
      </c>
      <c r="P376" t="s">
        <v>29</v>
      </c>
      <c r="Q376" t="s">
        <v>29</v>
      </c>
      <c r="R376" t="s">
        <v>29</v>
      </c>
      <c r="S376">
        <v>10.8037178777598</v>
      </c>
      <c r="T376" t="s">
        <v>29</v>
      </c>
      <c r="U376" t="s">
        <v>29</v>
      </c>
      <c r="V376" t="s">
        <v>29</v>
      </c>
      <c r="W376" t="s">
        <v>29</v>
      </c>
      <c r="X376" t="s">
        <v>29</v>
      </c>
      <c r="Y376" t="s">
        <v>29</v>
      </c>
    </row>
    <row r="377" spans="1:25" x14ac:dyDescent="0.2">
      <c r="A377" t="s">
        <v>1414</v>
      </c>
      <c r="B377" t="s">
        <v>1415</v>
      </c>
      <c r="C377" t="s">
        <v>1416</v>
      </c>
      <c r="D377" t="s">
        <v>1210</v>
      </c>
      <c r="E377" t="s">
        <v>1415</v>
      </c>
      <c r="F377" t="s">
        <v>28</v>
      </c>
      <c r="G377" t="s">
        <v>1415</v>
      </c>
      <c r="H377" t="str">
        <f>"fmo-4"</f>
        <v>fmo-4</v>
      </c>
      <c r="I377" t="s">
        <v>1210</v>
      </c>
      <c r="J377">
        <v>13.854025648151399</v>
      </c>
      <c r="K377">
        <v>13.8422529209471</v>
      </c>
      <c r="L377">
        <v>14.2291823154457</v>
      </c>
      <c r="M377">
        <v>13.7571490028481</v>
      </c>
      <c r="N377">
        <v>13.778628689707</v>
      </c>
      <c r="O377">
        <v>13.6024633097669</v>
      </c>
      <c r="P377">
        <v>-0.26240662740738901</v>
      </c>
      <c r="Q377">
        <v>-0.66498112173609802</v>
      </c>
      <c r="R377">
        <v>0.14016786692131999</v>
      </c>
      <c r="S377">
        <v>14.0205156370581</v>
      </c>
      <c r="T377">
        <v>-1.3700015438259101</v>
      </c>
      <c r="U377">
        <v>-6.1170609463233303</v>
      </c>
      <c r="V377">
        <v>0.18763151784207599</v>
      </c>
      <c r="W377">
        <v>0.45039110104366298</v>
      </c>
      <c r="X377">
        <v>0</v>
      </c>
      <c r="Y377">
        <v>0</v>
      </c>
    </row>
    <row r="378" spans="1:25" x14ac:dyDescent="0.2">
      <c r="A378" t="s">
        <v>1417</v>
      </c>
      <c r="B378" t="s">
        <v>1418</v>
      </c>
      <c r="C378" t="s">
        <v>1419</v>
      </c>
      <c r="D378" t="s">
        <v>531</v>
      </c>
      <c r="E378" t="s">
        <v>1418</v>
      </c>
      <c r="F378" t="s">
        <v>28</v>
      </c>
      <c r="G378" t="s">
        <v>1418</v>
      </c>
      <c r="H378" t="str">
        <f>"anat-1"</f>
        <v>anat-1</v>
      </c>
      <c r="I378" t="s">
        <v>531</v>
      </c>
      <c r="J378">
        <v>11.8299060203883</v>
      </c>
      <c r="K378" t="s">
        <v>29</v>
      </c>
      <c r="L378">
        <v>11.985359745473399</v>
      </c>
      <c r="M378" t="s">
        <v>29</v>
      </c>
      <c r="N378">
        <v>11.8274170185834</v>
      </c>
      <c r="O378" t="s">
        <v>29</v>
      </c>
      <c r="P378">
        <v>-8.0215864347397997E-2</v>
      </c>
      <c r="Q378">
        <v>-0.79436199844285205</v>
      </c>
      <c r="R378">
        <v>0.633930269748056</v>
      </c>
      <c r="S378">
        <v>11.870223537362101</v>
      </c>
      <c r="T378">
        <v>-0.24751462835708499</v>
      </c>
      <c r="U378">
        <v>-6.6183880506733397</v>
      </c>
      <c r="V378">
        <v>0.80911246570530504</v>
      </c>
      <c r="W378">
        <v>0.91833642628581302</v>
      </c>
      <c r="X378">
        <v>0</v>
      </c>
      <c r="Y378">
        <v>0</v>
      </c>
    </row>
    <row r="379" spans="1:25" x14ac:dyDescent="0.2">
      <c r="A379" t="s">
        <v>1420</v>
      </c>
      <c r="B379" t="s">
        <v>1421</v>
      </c>
      <c r="C379" t="s">
        <v>1422</v>
      </c>
      <c r="D379" t="s">
        <v>1423</v>
      </c>
      <c r="E379" t="s">
        <v>1421</v>
      </c>
      <c r="F379" t="s">
        <v>28</v>
      </c>
      <c r="G379" t="s">
        <v>1421</v>
      </c>
      <c r="H379" t="str">
        <f>"ret-1"</f>
        <v>ret-1</v>
      </c>
      <c r="I379" t="s">
        <v>1423</v>
      </c>
      <c r="J379" t="s">
        <v>29</v>
      </c>
      <c r="K379" t="s">
        <v>29</v>
      </c>
      <c r="L379" t="s">
        <v>29</v>
      </c>
      <c r="M379">
        <v>12.894937074741801</v>
      </c>
      <c r="N379">
        <v>13.7541796267493</v>
      </c>
      <c r="O379">
        <v>13.215447674973101</v>
      </c>
      <c r="P379" t="s">
        <v>29</v>
      </c>
      <c r="Q379" t="s">
        <v>29</v>
      </c>
      <c r="R379" t="s">
        <v>29</v>
      </c>
      <c r="S379">
        <v>12.389539178109599</v>
      </c>
      <c r="T379" t="s">
        <v>29</v>
      </c>
      <c r="U379" t="s">
        <v>29</v>
      </c>
      <c r="V379" t="s">
        <v>29</v>
      </c>
      <c r="W379" t="s">
        <v>29</v>
      </c>
      <c r="X379" t="s">
        <v>29</v>
      </c>
      <c r="Y379" t="s">
        <v>29</v>
      </c>
    </row>
    <row r="380" spans="1:25" x14ac:dyDescent="0.2">
      <c r="A380" t="s">
        <v>1424</v>
      </c>
      <c r="B380" t="s">
        <v>1425</v>
      </c>
      <c r="C380" t="s">
        <v>1426</v>
      </c>
      <c r="D380" t="s">
        <v>1427</v>
      </c>
      <c r="E380" t="s">
        <v>1425</v>
      </c>
      <c r="F380" t="s">
        <v>28</v>
      </c>
      <c r="G380" t="s">
        <v>1425</v>
      </c>
      <c r="H380" t="str">
        <f>"drh-1"</f>
        <v>drh-1</v>
      </c>
      <c r="I380" t="s">
        <v>1427</v>
      </c>
      <c r="J380">
        <v>11.776849267092199</v>
      </c>
      <c r="K380">
        <v>12.036673325118</v>
      </c>
      <c r="L380">
        <v>12.265249490777901</v>
      </c>
      <c r="M380">
        <v>11.1726189369318</v>
      </c>
      <c r="N380">
        <v>12.6362486994423</v>
      </c>
      <c r="O380">
        <v>11.9856072019846</v>
      </c>
      <c r="P380">
        <v>-9.4765748209763204E-2</v>
      </c>
      <c r="Q380">
        <v>-0.74930624102536503</v>
      </c>
      <c r="R380">
        <v>0.55977474460583798</v>
      </c>
      <c r="S380">
        <v>12.296988620906999</v>
      </c>
      <c r="T380">
        <v>-0.307089103492938</v>
      </c>
      <c r="U380">
        <v>-7.0024842633136597</v>
      </c>
      <c r="V380">
        <v>0.76276219472622697</v>
      </c>
      <c r="W380">
        <v>0.90026412101528597</v>
      </c>
      <c r="X380">
        <v>0</v>
      </c>
      <c r="Y380">
        <v>0</v>
      </c>
    </row>
    <row r="381" spans="1:25" x14ac:dyDescent="0.2">
      <c r="A381" t="s">
        <v>1428</v>
      </c>
      <c r="B381" t="s">
        <v>1429</v>
      </c>
      <c r="C381" t="s">
        <v>1430</v>
      </c>
      <c r="D381" t="s">
        <v>1431</v>
      </c>
      <c r="E381" t="s">
        <v>1429</v>
      </c>
      <c r="F381" t="s">
        <v>28</v>
      </c>
      <c r="G381" t="s">
        <v>1429</v>
      </c>
      <c r="H381" t="str">
        <f>"ent-1"</f>
        <v>ent-1</v>
      </c>
      <c r="I381" t="s">
        <v>1431</v>
      </c>
      <c r="J381">
        <v>15.439649010032401</v>
      </c>
      <c r="K381">
        <v>15.844948941655099</v>
      </c>
      <c r="L381">
        <v>15.3125010436222</v>
      </c>
      <c r="M381">
        <v>16.231076032410801</v>
      </c>
      <c r="N381">
        <v>16.581422526073599</v>
      </c>
      <c r="O381">
        <v>16.641715720296101</v>
      </c>
      <c r="P381">
        <v>0.95237176115692501</v>
      </c>
      <c r="Q381">
        <v>0.502607119261819</v>
      </c>
      <c r="R381">
        <v>1.40213640305203</v>
      </c>
      <c r="S381">
        <v>15.6664030666076</v>
      </c>
      <c r="T381">
        <v>4.4696262839552903</v>
      </c>
      <c r="U381">
        <v>-0.14636357629219399</v>
      </c>
      <c r="V381">
        <v>3.4173096719689202E-4</v>
      </c>
      <c r="W381">
        <v>8.1167340675816595E-3</v>
      </c>
      <c r="X381">
        <v>0</v>
      </c>
      <c r="Y381">
        <v>0</v>
      </c>
    </row>
    <row r="382" spans="1:25" x14ac:dyDescent="0.2">
      <c r="A382" t="s">
        <v>1432</v>
      </c>
      <c r="B382" t="s">
        <v>1433</v>
      </c>
      <c r="C382" t="s">
        <v>14254</v>
      </c>
      <c r="D382" t="s">
        <v>1434</v>
      </c>
      <c r="E382" t="s">
        <v>1433</v>
      </c>
      <c r="F382" t="s">
        <v>28</v>
      </c>
      <c r="G382" t="s">
        <v>1433</v>
      </c>
      <c r="H382" t="str">
        <f>"Y43C5B.3"</f>
        <v>Y43C5B.3</v>
      </c>
      <c r="I382" t="s">
        <v>1434</v>
      </c>
      <c r="J382">
        <v>12.7239143258564</v>
      </c>
      <c r="K382">
        <v>11.9690120691975</v>
      </c>
      <c r="L382">
        <v>12.8123579444068</v>
      </c>
      <c r="M382">
        <v>11.798549912231</v>
      </c>
      <c r="N382">
        <v>12.064639812342801</v>
      </c>
      <c r="O382" t="s">
        <v>29</v>
      </c>
      <c r="P382">
        <v>-0.570166584199987</v>
      </c>
      <c r="Q382">
        <v>-1.0853108924266499</v>
      </c>
      <c r="R382">
        <v>-5.50222759733262E-2</v>
      </c>
      <c r="S382">
        <v>12.363603511145</v>
      </c>
      <c r="T382">
        <v>-2.3605568335515801</v>
      </c>
      <c r="U382">
        <v>-4.4429153968991102</v>
      </c>
      <c r="V382">
        <v>3.2315726480335899E-2</v>
      </c>
      <c r="W382">
        <v>0.177029249102716</v>
      </c>
      <c r="X382">
        <v>0</v>
      </c>
      <c r="Y382">
        <v>0</v>
      </c>
    </row>
    <row r="383" spans="1:25" x14ac:dyDescent="0.2">
      <c r="A383" t="s">
        <v>1435</v>
      </c>
      <c r="B383" t="s">
        <v>1436</v>
      </c>
      <c r="C383" t="s">
        <v>1437</v>
      </c>
      <c r="D383" t="s">
        <v>1438</v>
      </c>
      <c r="E383" t="s">
        <v>1436</v>
      </c>
      <c r="F383" t="s">
        <v>28</v>
      </c>
      <c r="G383" t="s">
        <v>1436</v>
      </c>
      <c r="H383" t="str">
        <f>"trip-4"</f>
        <v>trip-4</v>
      </c>
      <c r="I383" t="s">
        <v>1438</v>
      </c>
      <c r="J383">
        <v>11.8883673614296</v>
      </c>
      <c r="K383">
        <v>11.732611452059899</v>
      </c>
      <c r="L383">
        <v>12.052126725496301</v>
      </c>
      <c r="M383" t="s">
        <v>29</v>
      </c>
      <c r="N383">
        <v>12.1658991959187</v>
      </c>
      <c r="O383">
        <v>10.9595250509719</v>
      </c>
      <c r="P383">
        <v>-0.32832305621666102</v>
      </c>
      <c r="Q383">
        <v>-1.48771844048457</v>
      </c>
      <c r="R383">
        <v>0.83107232805125197</v>
      </c>
      <c r="S383">
        <v>12.042102944825</v>
      </c>
      <c r="T383">
        <v>-0.60396451152086905</v>
      </c>
      <c r="U383">
        <v>-6.7509285769162704</v>
      </c>
      <c r="V383">
        <v>0.5549550656676</v>
      </c>
      <c r="W383">
        <v>0.78231602628238806</v>
      </c>
      <c r="X383">
        <v>0</v>
      </c>
      <c r="Y383">
        <v>0</v>
      </c>
    </row>
    <row r="384" spans="1:25" x14ac:dyDescent="0.2">
      <c r="A384" t="s">
        <v>1439</v>
      </c>
      <c r="B384" t="s">
        <v>1440</v>
      </c>
      <c r="C384" t="s">
        <v>1441</v>
      </c>
      <c r="D384" t="s">
        <v>1442</v>
      </c>
      <c r="E384" t="s">
        <v>1440</v>
      </c>
      <c r="F384" t="s">
        <v>28</v>
      </c>
      <c r="G384" t="s">
        <v>1440</v>
      </c>
      <c r="H384" t="str">
        <f>"air-1"</f>
        <v>air-1</v>
      </c>
      <c r="I384" t="s">
        <v>1442</v>
      </c>
      <c r="J384">
        <v>14.385894521904</v>
      </c>
      <c r="K384">
        <v>14.2076182420272</v>
      </c>
      <c r="L384">
        <v>14.4796169670757</v>
      </c>
      <c r="M384">
        <v>13.6669540065524</v>
      </c>
      <c r="N384">
        <v>14.683844811469401</v>
      </c>
      <c r="O384">
        <v>13.7212077598285</v>
      </c>
      <c r="P384">
        <v>-0.33370771771886598</v>
      </c>
      <c r="Q384">
        <v>-0.88180095639519696</v>
      </c>
      <c r="R384">
        <v>0.21438552095746499</v>
      </c>
      <c r="S384">
        <v>14.198762593371599</v>
      </c>
      <c r="T384">
        <v>-1.27968865370704</v>
      </c>
      <c r="U384">
        <v>-6.2311754253542997</v>
      </c>
      <c r="V384">
        <v>0.21699745215788799</v>
      </c>
      <c r="W384">
        <v>0.483968272324722</v>
      </c>
      <c r="X384">
        <v>0</v>
      </c>
      <c r="Y384">
        <v>0</v>
      </c>
    </row>
    <row r="385" spans="1:25" x14ac:dyDescent="0.2">
      <c r="A385" t="s">
        <v>1443</v>
      </c>
      <c r="B385" t="s">
        <v>1444</v>
      </c>
      <c r="C385" t="s">
        <v>14255</v>
      </c>
      <c r="D385" t="s">
        <v>1445</v>
      </c>
      <c r="E385" t="s">
        <v>1444</v>
      </c>
      <c r="F385" t="s">
        <v>28</v>
      </c>
      <c r="G385" t="s">
        <v>1444</v>
      </c>
      <c r="H385" t="str">
        <f>"R05H10.3"</f>
        <v>R05H10.3</v>
      </c>
      <c r="I385" t="s">
        <v>1445</v>
      </c>
      <c r="J385">
        <v>12.024327459460499</v>
      </c>
      <c r="K385">
        <v>11.8919419835266</v>
      </c>
      <c r="L385">
        <v>11.8595293019156</v>
      </c>
      <c r="M385">
        <v>11.5862667650233</v>
      </c>
      <c r="N385">
        <v>12.5233168141999</v>
      </c>
      <c r="O385">
        <v>12.097550019143601</v>
      </c>
      <c r="P385">
        <v>0.14377828448799301</v>
      </c>
      <c r="Q385">
        <v>-0.338064010487728</v>
      </c>
      <c r="R385">
        <v>0.62562057946371497</v>
      </c>
      <c r="S385">
        <v>12.278621467170399</v>
      </c>
      <c r="T385">
        <v>0.629851824803077</v>
      </c>
      <c r="U385">
        <v>-6.8459607010902896</v>
      </c>
      <c r="V385">
        <v>0.53721732195709804</v>
      </c>
      <c r="W385">
        <v>0.77501266500839605</v>
      </c>
      <c r="X385">
        <v>0</v>
      </c>
      <c r="Y385">
        <v>0</v>
      </c>
    </row>
    <row r="386" spans="1:25" x14ac:dyDescent="0.2">
      <c r="A386" t="s">
        <v>1446</v>
      </c>
      <c r="B386" t="s">
        <v>1447</v>
      </c>
      <c r="C386" t="s">
        <v>14256</v>
      </c>
      <c r="D386" t="s">
        <v>1281</v>
      </c>
      <c r="E386" t="s">
        <v>1447</v>
      </c>
      <c r="F386" t="s">
        <v>28</v>
      </c>
      <c r="G386" t="s">
        <v>1447</v>
      </c>
      <c r="H386" t="str">
        <f>"ZK1321.4"</f>
        <v>ZK1321.4</v>
      </c>
      <c r="I386" t="s">
        <v>1281</v>
      </c>
      <c r="J386">
        <v>13.0220844906886</v>
      </c>
      <c r="K386" t="s">
        <v>29</v>
      </c>
      <c r="L386">
        <v>12.979926796930201</v>
      </c>
      <c r="M386">
        <v>14.0078866378506</v>
      </c>
      <c r="N386">
        <v>14.857806960461801</v>
      </c>
      <c r="O386">
        <v>13.6248630762624</v>
      </c>
      <c r="P386">
        <v>1.16251324771558</v>
      </c>
      <c r="Q386">
        <v>0.28215615432659402</v>
      </c>
      <c r="R386">
        <v>2.0428703411045701</v>
      </c>
      <c r="S386">
        <v>13.574205664277001</v>
      </c>
      <c r="T386">
        <v>2.8008417574069902</v>
      </c>
      <c r="U386">
        <v>-3.5908736309824598</v>
      </c>
      <c r="V386">
        <v>1.2879750825147199E-2</v>
      </c>
      <c r="W386">
        <v>0.105303289409621</v>
      </c>
      <c r="X386">
        <v>1</v>
      </c>
      <c r="Y386">
        <v>0</v>
      </c>
    </row>
    <row r="387" spans="1:25" x14ac:dyDescent="0.2">
      <c r="A387" t="s">
        <v>1448</v>
      </c>
      <c r="B387" t="s">
        <v>1449</v>
      </c>
      <c r="C387" t="s">
        <v>1450</v>
      </c>
      <c r="D387" t="s">
        <v>1451</v>
      </c>
      <c r="E387" t="s">
        <v>1449</v>
      </c>
      <c r="F387" t="s">
        <v>28</v>
      </c>
      <c r="G387" t="s">
        <v>1449</v>
      </c>
      <c r="H387" t="str">
        <f>"nrfl-1"</f>
        <v>nrfl-1</v>
      </c>
      <c r="I387" t="s">
        <v>1451</v>
      </c>
      <c r="J387" t="s">
        <v>29</v>
      </c>
      <c r="K387">
        <v>11.0680092289558</v>
      </c>
      <c r="L387">
        <v>11.726289515645799</v>
      </c>
      <c r="M387">
        <v>12.5939611548231</v>
      </c>
      <c r="N387">
        <v>11.781917405943799</v>
      </c>
      <c r="O387">
        <v>12.1327457606693</v>
      </c>
      <c r="P387">
        <v>0.77239206817791295</v>
      </c>
      <c r="Q387">
        <v>-5.0297436884878297E-2</v>
      </c>
      <c r="R387">
        <v>1.5950815732407</v>
      </c>
      <c r="S387">
        <v>11.7624026927577</v>
      </c>
      <c r="T387">
        <v>1.99136733044882</v>
      </c>
      <c r="U387">
        <v>-5.0792042583385797</v>
      </c>
      <c r="V387">
        <v>6.3913576361268098E-2</v>
      </c>
      <c r="W387">
        <v>0.25644238900069899</v>
      </c>
      <c r="X387">
        <v>0</v>
      </c>
      <c r="Y387">
        <v>0</v>
      </c>
    </row>
    <row r="388" spans="1:25" x14ac:dyDescent="0.2">
      <c r="A388" t="s">
        <v>1452</v>
      </c>
      <c r="B388" t="s">
        <v>1453</v>
      </c>
      <c r="C388" t="s">
        <v>14180</v>
      </c>
      <c r="D388" t="s">
        <v>1454</v>
      </c>
      <c r="E388" t="s">
        <v>1453</v>
      </c>
      <c r="F388" t="s">
        <v>28</v>
      </c>
      <c r="G388" t="s">
        <v>1453</v>
      </c>
      <c r="H388" t="str">
        <f>"F36A2.3"</f>
        <v>F36A2.3</v>
      </c>
      <c r="I388" t="s">
        <v>1454</v>
      </c>
      <c r="J388">
        <v>12.8446897951167</v>
      </c>
      <c r="K388">
        <v>11.5880551726987</v>
      </c>
      <c r="L388">
        <v>12.0966588820519</v>
      </c>
      <c r="M388">
        <v>13.672726297335</v>
      </c>
      <c r="N388">
        <v>13.399538494582901</v>
      </c>
      <c r="O388">
        <v>13.411866144712</v>
      </c>
      <c r="P388">
        <v>1.3182423622542401</v>
      </c>
      <c r="Q388">
        <v>0.60860264302443301</v>
      </c>
      <c r="R388">
        <v>2.0278820814840399</v>
      </c>
      <c r="S388">
        <v>12.9464485009961</v>
      </c>
      <c r="T388">
        <v>3.9210949732310598</v>
      </c>
      <c r="U388">
        <v>-1.32157292662313</v>
      </c>
      <c r="V388">
        <v>1.1116028005605299E-3</v>
      </c>
      <c r="W388">
        <v>1.9552191962291701E-2</v>
      </c>
      <c r="X388">
        <v>1</v>
      </c>
      <c r="Y388">
        <v>1</v>
      </c>
    </row>
    <row r="389" spans="1:25" x14ac:dyDescent="0.2">
      <c r="A389" t="s">
        <v>1455</v>
      </c>
      <c r="B389" t="s">
        <v>1456</v>
      </c>
      <c r="C389" t="s">
        <v>1457</v>
      </c>
      <c r="D389" t="s">
        <v>1458</v>
      </c>
      <c r="E389" t="s">
        <v>1456</v>
      </c>
      <c r="F389" t="s">
        <v>28</v>
      </c>
      <c r="G389" t="s">
        <v>1456</v>
      </c>
      <c r="H389" t="str">
        <f>"pigb-1"</f>
        <v>pigb-1</v>
      </c>
      <c r="I389" t="s">
        <v>1458</v>
      </c>
      <c r="J389" t="s">
        <v>29</v>
      </c>
      <c r="K389">
        <v>10.5868232466143</v>
      </c>
      <c r="L389" t="s">
        <v>29</v>
      </c>
      <c r="M389" t="s">
        <v>29</v>
      </c>
      <c r="N389" t="s">
        <v>29</v>
      </c>
      <c r="O389" t="s">
        <v>29</v>
      </c>
      <c r="P389" t="s">
        <v>29</v>
      </c>
      <c r="Q389" t="s">
        <v>29</v>
      </c>
      <c r="R389" t="s">
        <v>29</v>
      </c>
      <c r="S389">
        <v>12.6583070571115</v>
      </c>
      <c r="T389" t="s">
        <v>29</v>
      </c>
      <c r="U389" t="s">
        <v>29</v>
      </c>
      <c r="V389" t="s">
        <v>29</v>
      </c>
      <c r="W389" t="s">
        <v>29</v>
      </c>
      <c r="X389" t="s">
        <v>29</v>
      </c>
      <c r="Y389" t="s">
        <v>29</v>
      </c>
    </row>
    <row r="390" spans="1:25" x14ac:dyDescent="0.2">
      <c r="A390" t="s">
        <v>1459</v>
      </c>
      <c r="B390" t="s">
        <v>1460</v>
      </c>
      <c r="C390" t="s">
        <v>1461</v>
      </c>
      <c r="D390" t="s">
        <v>1462</v>
      </c>
      <c r="E390" t="s">
        <v>1460</v>
      </c>
      <c r="F390" t="s">
        <v>28</v>
      </c>
      <c r="G390" t="s">
        <v>1460</v>
      </c>
      <c r="H390" t="str">
        <f>"tim-1"</f>
        <v>tim-1</v>
      </c>
      <c r="I390" t="s">
        <v>1462</v>
      </c>
      <c r="J390" t="s">
        <v>29</v>
      </c>
      <c r="K390" t="s">
        <v>29</v>
      </c>
      <c r="L390" t="s">
        <v>29</v>
      </c>
      <c r="M390" t="s">
        <v>29</v>
      </c>
      <c r="N390">
        <v>9.6963272111237906</v>
      </c>
      <c r="O390" t="s">
        <v>29</v>
      </c>
      <c r="P390" t="s">
        <v>29</v>
      </c>
      <c r="Q390" t="s">
        <v>29</v>
      </c>
      <c r="R390" t="s">
        <v>29</v>
      </c>
      <c r="S390">
        <v>10.729330988371</v>
      </c>
      <c r="T390" t="s">
        <v>29</v>
      </c>
      <c r="U390" t="s">
        <v>29</v>
      </c>
      <c r="V390" t="s">
        <v>29</v>
      </c>
      <c r="W390" t="s">
        <v>29</v>
      </c>
      <c r="X390" t="s">
        <v>29</v>
      </c>
      <c r="Y390" t="s">
        <v>29</v>
      </c>
    </row>
    <row r="391" spans="1:25" x14ac:dyDescent="0.2">
      <c r="A391" t="s">
        <v>1463</v>
      </c>
      <c r="B391" t="s">
        <v>1464</v>
      </c>
      <c r="C391" t="s">
        <v>1465</v>
      </c>
      <c r="D391" t="s">
        <v>412</v>
      </c>
      <c r="E391" t="s">
        <v>1464</v>
      </c>
      <c r="F391" t="s">
        <v>28</v>
      </c>
      <c r="G391" t="s">
        <v>1464</v>
      </c>
      <c r="H391" t="str">
        <f>"vab-19"</f>
        <v>vab-19</v>
      </c>
      <c r="I391" t="s">
        <v>412</v>
      </c>
      <c r="J391">
        <v>12.239535952204699</v>
      </c>
      <c r="K391">
        <v>12.772471172460801</v>
      </c>
      <c r="L391">
        <v>12.244312061193099</v>
      </c>
      <c r="M391">
        <v>13.848347111159899</v>
      </c>
      <c r="N391">
        <v>13.5772809012194</v>
      </c>
      <c r="O391">
        <v>13.2410129823202</v>
      </c>
      <c r="P391">
        <v>1.13677393628029</v>
      </c>
      <c r="Q391">
        <v>0.510097276149584</v>
      </c>
      <c r="R391">
        <v>1.7634505964109899</v>
      </c>
      <c r="S391">
        <v>12.8369998457626</v>
      </c>
      <c r="T391">
        <v>3.8475131890403</v>
      </c>
      <c r="U391">
        <v>-1.5494761055631301</v>
      </c>
      <c r="V391">
        <v>1.43807886649633E-3</v>
      </c>
      <c r="W391">
        <v>2.2389993452531301E-2</v>
      </c>
      <c r="X391">
        <v>1</v>
      </c>
      <c r="Y391">
        <v>1</v>
      </c>
    </row>
    <row r="392" spans="1:25" x14ac:dyDescent="0.2">
      <c r="A392" t="s">
        <v>1466</v>
      </c>
      <c r="B392" t="s">
        <v>1467</v>
      </c>
      <c r="C392" t="s">
        <v>14257</v>
      </c>
      <c r="D392" t="s">
        <v>1468</v>
      </c>
      <c r="E392" t="s">
        <v>1467</v>
      </c>
      <c r="F392" t="s">
        <v>28</v>
      </c>
      <c r="G392" t="s">
        <v>1467</v>
      </c>
      <c r="H392" t="str">
        <f>"Y32F6A.5"</f>
        <v>Y32F6A.5</v>
      </c>
      <c r="I392" t="s">
        <v>1468</v>
      </c>
      <c r="J392" t="s">
        <v>29</v>
      </c>
      <c r="K392">
        <v>12.0357223262935</v>
      </c>
      <c r="L392">
        <v>12.6550830564662</v>
      </c>
      <c r="M392" t="s">
        <v>29</v>
      </c>
      <c r="N392" t="s">
        <v>29</v>
      </c>
      <c r="O392" t="s">
        <v>29</v>
      </c>
      <c r="P392" t="s">
        <v>29</v>
      </c>
      <c r="Q392" t="s">
        <v>29</v>
      </c>
      <c r="R392" t="s">
        <v>29</v>
      </c>
      <c r="S392">
        <v>12.871855525471799</v>
      </c>
      <c r="T392" t="s">
        <v>29</v>
      </c>
      <c r="U392" t="s">
        <v>29</v>
      </c>
      <c r="V392" t="s">
        <v>29</v>
      </c>
      <c r="W392" t="s">
        <v>29</v>
      </c>
      <c r="X392" t="s">
        <v>29</v>
      </c>
      <c r="Y392" t="s">
        <v>29</v>
      </c>
    </row>
    <row r="393" spans="1:25" x14ac:dyDescent="0.2">
      <c r="A393" t="s">
        <v>1469</v>
      </c>
      <c r="B393" t="s">
        <v>1470</v>
      </c>
      <c r="C393" t="s">
        <v>1471</v>
      </c>
      <c r="D393" t="s">
        <v>1472</v>
      </c>
      <c r="E393" t="s">
        <v>1470</v>
      </c>
      <c r="F393" t="s">
        <v>28</v>
      </c>
      <c r="G393" t="s">
        <v>1470</v>
      </c>
      <c r="H393" t="str">
        <f>"daf-22"</f>
        <v>daf-22</v>
      </c>
      <c r="I393" t="s">
        <v>1472</v>
      </c>
      <c r="J393">
        <v>13.5870087495341</v>
      </c>
      <c r="K393">
        <v>13.4481702251207</v>
      </c>
      <c r="L393">
        <v>13.4957307932799</v>
      </c>
      <c r="M393">
        <v>15.054514442605001</v>
      </c>
      <c r="N393">
        <v>15.5227120054848</v>
      </c>
      <c r="O393">
        <v>15.2277970946453</v>
      </c>
      <c r="P393">
        <v>1.7580379249334701</v>
      </c>
      <c r="Q393">
        <v>1.2961330393180199</v>
      </c>
      <c r="R393">
        <v>2.2199428105489201</v>
      </c>
      <c r="S393">
        <v>14.1515981058504</v>
      </c>
      <c r="T393">
        <v>7.9995986212801098</v>
      </c>
      <c r="U393">
        <v>7.07115639069678</v>
      </c>
      <c r="V393" s="2">
        <v>2.5548783954519399E-7</v>
      </c>
      <c r="W393" s="2">
        <v>1.8894487042728599E-5</v>
      </c>
      <c r="X393">
        <v>1</v>
      </c>
      <c r="Y393">
        <v>1</v>
      </c>
    </row>
    <row r="394" spans="1:25" x14ac:dyDescent="0.2">
      <c r="A394" t="s">
        <v>1473</v>
      </c>
      <c r="B394" t="s">
        <v>1474</v>
      </c>
      <c r="C394" t="s">
        <v>1475</v>
      </c>
      <c r="D394" t="s">
        <v>1210</v>
      </c>
      <c r="E394" t="s">
        <v>1474</v>
      </c>
      <c r="F394" t="s">
        <v>28</v>
      </c>
      <c r="G394" t="s">
        <v>1474</v>
      </c>
      <c r="H394" t="str">
        <f>"fmo-1"</f>
        <v>fmo-1</v>
      </c>
      <c r="I394" t="s">
        <v>1210</v>
      </c>
      <c r="J394">
        <v>13.0837806828212</v>
      </c>
      <c r="K394">
        <v>13.198611235504501</v>
      </c>
      <c r="L394">
        <v>13.072751042176399</v>
      </c>
      <c r="M394">
        <v>13.127070370624599</v>
      </c>
      <c r="N394">
        <v>13.3657251762406</v>
      </c>
      <c r="O394">
        <v>13.1030900523659</v>
      </c>
      <c r="P394">
        <v>8.0247546242956602E-2</v>
      </c>
      <c r="Q394">
        <v>-0.482743181846779</v>
      </c>
      <c r="R394">
        <v>0.64323827433269198</v>
      </c>
      <c r="S394">
        <v>12.8152911116051</v>
      </c>
      <c r="T394">
        <v>0.30087114054017</v>
      </c>
      <c r="U394">
        <v>-7.0046257539844001</v>
      </c>
      <c r="V394">
        <v>0.76718390396333902</v>
      </c>
      <c r="W394">
        <v>0.90111683213701999</v>
      </c>
      <c r="X394">
        <v>0</v>
      </c>
      <c r="Y394">
        <v>0</v>
      </c>
    </row>
    <row r="395" spans="1:25" x14ac:dyDescent="0.2">
      <c r="A395" t="s">
        <v>1476</v>
      </c>
      <c r="B395" t="s">
        <v>1477</v>
      </c>
      <c r="C395" t="s">
        <v>1478</v>
      </c>
      <c r="D395" t="s">
        <v>1479</v>
      </c>
      <c r="E395" t="s">
        <v>1477</v>
      </c>
      <c r="F395" t="s">
        <v>28</v>
      </c>
      <c r="G395" t="s">
        <v>1477</v>
      </c>
      <c r="H395" t="str">
        <f>"aap-1"</f>
        <v>aap-1</v>
      </c>
      <c r="I395" t="s">
        <v>1479</v>
      </c>
      <c r="J395">
        <v>13.4741048843961</v>
      </c>
      <c r="K395">
        <v>13.510555409000901</v>
      </c>
      <c r="L395">
        <v>13.7532231442884</v>
      </c>
      <c r="M395">
        <v>13.7975421313231</v>
      </c>
      <c r="N395">
        <v>13.8783385339123</v>
      </c>
      <c r="O395">
        <v>13.331625343667501</v>
      </c>
      <c r="P395">
        <v>8.9874190405868901E-2</v>
      </c>
      <c r="Q395">
        <v>-0.37773998358358801</v>
      </c>
      <c r="R395">
        <v>0.55748836439532601</v>
      </c>
      <c r="S395">
        <v>13.579673546988699</v>
      </c>
      <c r="T395">
        <v>0.40765883060770403</v>
      </c>
      <c r="U395">
        <v>-6.9648730632871398</v>
      </c>
      <c r="V395">
        <v>0.68896207057871495</v>
      </c>
      <c r="W395">
        <v>0.86071781854856699</v>
      </c>
      <c r="X395">
        <v>0</v>
      </c>
      <c r="Y395">
        <v>0</v>
      </c>
    </row>
    <row r="396" spans="1:25" x14ac:dyDescent="0.2">
      <c r="A396" t="s">
        <v>1480</v>
      </c>
      <c r="B396" t="s">
        <v>1481</v>
      </c>
      <c r="C396" t="s">
        <v>1482</v>
      </c>
      <c r="D396" t="s">
        <v>1483</v>
      </c>
      <c r="E396" t="s">
        <v>1481</v>
      </c>
      <c r="F396" t="s">
        <v>28</v>
      </c>
      <c r="G396" t="s">
        <v>1481</v>
      </c>
      <c r="H396" t="str">
        <f>"hmg-12"</f>
        <v>hmg-12</v>
      </c>
      <c r="I396" t="s">
        <v>1483</v>
      </c>
      <c r="J396">
        <v>13.4982163410856</v>
      </c>
      <c r="K396">
        <v>13.524481087845301</v>
      </c>
      <c r="L396">
        <v>13.899836407435499</v>
      </c>
      <c r="M396">
        <v>11.993014336644601</v>
      </c>
      <c r="N396">
        <v>11.2548523560002</v>
      </c>
      <c r="O396">
        <v>12.584416409248201</v>
      </c>
      <c r="P396">
        <v>-1.69675024482445</v>
      </c>
      <c r="Q396">
        <v>-2.3029759596397001</v>
      </c>
      <c r="R396">
        <v>-1.0905245300091899</v>
      </c>
      <c r="S396">
        <v>13.1581080340681</v>
      </c>
      <c r="T396">
        <v>-5.9365358673043298</v>
      </c>
      <c r="U396">
        <v>2.6825029974571701</v>
      </c>
      <c r="V396" s="2">
        <v>2.14651448198962E-5</v>
      </c>
      <c r="W396">
        <v>8.5179977126758895E-4</v>
      </c>
      <c r="X396">
        <v>-1</v>
      </c>
      <c r="Y396">
        <v>-1</v>
      </c>
    </row>
    <row r="397" spans="1:25" x14ac:dyDescent="0.2">
      <c r="A397" t="s">
        <v>1484</v>
      </c>
      <c r="B397" t="s">
        <v>1485</v>
      </c>
      <c r="C397" t="s">
        <v>1486</v>
      </c>
      <c r="D397" t="s">
        <v>1487</v>
      </c>
      <c r="E397" t="s">
        <v>1485</v>
      </c>
      <c r="F397" t="s">
        <v>28</v>
      </c>
      <c r="G397" t="s">
        <v>1485</v>
      </c>
      <c r="H397" t="str">
        <f>"sur-6"</f>
        <v>sur-6</v>
      </c>
      <c r="I397" t="s">
        <v>1487</v>
      </c>
      <c r="J397" t="s">
        <v>29</v>
      </c>
      <c r="K397" t="s">
        <v>29</v>
      </c>
      <c r="L397" t="s">
        <v>29</v>
      </c>
      <c r="M397" t="s">
        <v>29</v>
      </c>
      <c r="N397">
        <v>14.8601536588993</v>
      </c>
      <c r="O397" t="s">
        <v>29</v>
      </c>
      <c r="P397" t="s">
        <v>29</v>
      </c>
      <c r="Q397" t="s">
        <v>29</v>
      </c>
      <c r="R397" t="s">
        <v>29</v>
      </c>
      <c r="S397">
        <v>14.8825116147817</v>
      </c>
      <c r="T397" t="s">
        <v>29</v>
      </c>
      <c r="U397" t="s">
        <v>29</v>
      </c>
      <c r="V397" t="s">
        <v>29</v>
      </c>
      <c r="W397" t="s">
        <v>29</v>
      </c>
      <c r="X397" t="s">
        <v>29</v>
      </c>
      <c r="Y397" t="s">
        <v>29</v>
      </c>
    </row>
    <row r="398" spans="1:25" x14ac:dyDescent="0.2">
      <c r="A398" t="s">
        <v>1488</v>
      </c>
      <c r="B398" t="s">
        <v>1489</v>
      </c>
      <c r="C398" t="s">
        <v>1490</v>
      </c>
      <c r="D398" t="s">
        <v>1491</v>
      </c>
      <c r="E398" t="s">
        <v>1489</v>
      </c>
      <c r="F398" t="s">
        <v>28</v>
      </c>
      <c r="G398" t="s">
        <v>1489</v>
      </c>
      <c r="H398" t="str">
        <f>"lin-35"</f>
        <v>lin-35</v>
      </c>
      <c r="I398" t="s">
        <v>1491</v>
      </c>
      <c r="J398">
        <v>14.2346106059177</v>
      </c>
      <c r="K398">
        <v>14.0431964930444</v>
      </c>
      <c r="L398">
        <v>13.7620929247867</v>
      </c>
      <c r="M398">
        <v>14.27261304656</v>
      </c>
      <c r="N398">
        <v>14.3950664427476</v>
      </c>
      <c r="O398">
        <v>14.0873426532323</v>
      </c>
      <c r="P398">
        <v>0.23837403959703199</v>
      </c>
      <c r="Q398">
        <v>-0.24379024602116001</v>
      </c>
      <c r="R398">
        <v>0.72053832521522398</v>
      </c>
      <c r="S398">
        <v>13.9783432799431</v>
      </c>
      <c r="T398">
        <v>1.0390978131753901</v>
      </c>
      <c r="U398">
        <v>-6.5027761468944396</v>
      </c>
      <c r="V398">
        <v>0.31259623902897299</v>
      </c>
      <c r="W398">
        <v>0.59053765206259601</v>
      </c>
      <c r="X398">
        <v>0</v>
      </c>
      <c r="Y398">
        <v>0</v>
      </c>
    </row>
    <row r="399" spans="1:25" x14ac:dyDescent="0.2">
      <c r="A399" t="s">
        <v>1492</v>
      </c>
      <c r="B399" t="s">
        <v>1493</v>
      </c>
      <c r="C399" t="s">
        <v>14258</v>
      </c>
      <c r="D399" t="s">
        <v>1494</v>
      </c>
      <c r="E399" t="s">
        <v>1493</v>
      </c>
      <c r="F399" t="s">
        <v>28</v>
      </c>
      <c r="G399" t="s">
        <v>1493</v>
      </c>
      <c r="H399" t="str">
        <f>"T01D3.6"</f>
        <v>T01D3.6</v>
      </c>
      <c r="I399" t="s">
        <v>1494</v>
      </c>
      <c r="J399">
        <v>11.993197467177801</v>
      </c>
      <c r="K399">
        <v>12.844255493079</v>
      </c>
      <c r="L399">
        <v>13.500465262969</v>
      </c>
      <c r="M399">
        <v>13.1760887188449</v>
      </c>
      <c r="N399">
        <v>12.3574325166264</v>
      </c>
      <c r="O399">
        <v>12.848976083430401</v>
      </c>
      <c r="P399">
        <v>1.4859698558643299E-2</v>
      </c>
      <c r="Q399">
        <v>-0.72898078945503197</v>
      </c>
      <c r="R399">
        <v>0.75870018657231797</v>
      </c>
      <c r="S399">
        <v>13.4624756435596</v>
      </c>
      <c r="T399">
        <v>4.2167727712772198E-2</v>
      </c>
      <c r="U399">
        <v>-7.0511517261968697</v>
      </c>
      <c r="V399">
        <v>0.96685932534670505</v>
      </c>
      <c r="W399">
        <v>0.98256097585202395</v>
      </c>
      <c r="X399">
        <v>0</v>
      </c>
      <c r="Y399">
        <v>0</v>
      </c>
    </row>
    <row r="400" spans="1:25" x14ac:dyDescent="0.2">
      <c r="A400" t="s">
        <v>1495</v>
      </c>
      <c r="B400" t="s">
        <v>1496</v>
      </c>
      <c r="C400" t="s">
        <v>1497</v>
      </c>
      <c r="D400" t="s">
        <v>1498</v>
      </c>
      <c r="E400" t="s">
        <v>1496</v>
      </c>
      <c r="F400" t="s">
        <v>28</v>
      </c>
      <c r="G400" t="s">
        <v>1496</v>
      </c>
      <c r="H400" t="str">
        <f>"ubr-5"</f>
        <v>ubr-5</v>
      </c>
      <c r="I400" t="s">
        <v>1498</v>
      </c>
      <c r="J400">
        <v>12.035750755586999</v>
      </c>
      <c r="K400">
        <v>11.766643347477601</v>
      </c>
      <c r="L400">
        <v>11.8762040043298</v>
      </c>
      <c r="M400">
        <v>12.1803091734779</v>
      </c>
      <c r="N400">
        <v>11.8822798076528</v>
      </c>
      <c r="O400">
        <v>11.228663886899801</v>
      </c>
      <c r="P400">
        <v>-0.12911507978796699</v>
      </c>
      <c r="Q400">
        <v>-1.0102262601063901</v>
      </c>
      <c r="R400">
        <v>0.75199610053045296</v>
      </c>
      <c r="S400">
        <v>12.377505137599201</v>
      </c>
      <c r="T400">
        <v>-0.30931164388551602</v>
      </c>
      <c r="U400">
        <v>-7.0019331868160597</v>
      </c>
      <c r="V400">
        <v>0.76086655638092204</v>
      </c>
      <c r="W400">
        <v>0.89933527288875903</v>
      </c>
      <c r="X400">
        <v>0</v>
      </c>
      <c r="Y400">
        <v>0</v>
      </c>
    </row>
    <row r="401" spans="1:25" x14ac:dyDescent="0.2">
      <c r="A401" t="s">
        <v>1499</v>
      </c>
      <c r="B401" t="s">
        <v>1500</v>
      </c>
      <c r="C401" t="s">
        <v>1501</v>
      </c>
      <c r="D401" t="s">
        <v>1502</v>
      </c>
      <c r="E401" t="s">
        <v>1500</v>
      </c>
      <c r="F401" t="s">
        <v>28</v>
      </c>
      <c r="G401" t="s">
        <v>1500</v>
      </c>
      <c r="H401" t="str">
        <f>"pmr-1"</f>
        <v>pmr-1</v>
      </c>
      <c r="I401" t="s">
        <v>1502</v>
      </c>
      <c r="J401">
        <v>12.8785200073946</v>
      </c>
      <c r="K401">
        <v>12.7260438067115</v>
      </c>
      <c r="L401">
        <v>12.7428876000522</v>
      </c>
      <c r="M401">
        <v>12.688208575211901</v>
      </c>
      <c r="N401">
        <v>11.680333545666899</v>
      </c>
      <c r="O401" t="s">
        <v>29</v>
      </c>
      <c r="P401">
        <v>-0.59821274428003302</v>
      </c>
      <c r="Q401">
        <v>-1.1495683423988701</v>
      </c>
      <c r="R401">
        <v>-4.6857146161199403E-2</v>
      </c>
      <c r="S401">
        <v>12.6616158667481</v>
      </c>
      <c r="T401">
        <v>-2.3140113155403199</v>
      </c>
      <c r="U401">
        <v>-4.5267947881683597</v>
      </c>
      <c r="V401">
        <v>3.5365269538700998E-2</v>
      </c>
      <c r="W401">
        <v>0.187119653786883</v>
      </c>
      <c r="X401">
        <v>0</v>
      </c>
      <c r="Y401">
        <v>0</v>
      </c>
    </row>
    <row r="402" spans="1:25" x14ac:dyDescent="0.2">
      <c r="A402" t="s">
        <v>1503</v>
      </c>
      <c r="B402" t="s">
        <v>1504</v>
      </c>
      <c r="C402" t="s">
        <v>1505</v>
      </c>
      <c r="D402" t="s">
        <v>1506</v>
      </c>
      <c r="E402" t="s">
        <v>1504</v>
      </c>
      <c r="F402" t="s">
        <v>28</v>
      </c>
      <c r="G402" t="s">
        <v>1504</v>
      </c>
      <c r="H402" t="str">
        <f>"nhx-4"</f>
        <v>nhx-4</v>
      </c>
      <c r="I402" t="s">
        <v>1506</v>
      </c>
      <c r="J402">
        <v>12.7455585266719</v>
      </c>
      <c r="K402">
        <v>13.0547192830104</v>
      </c>
      <c r="L402">
        <v>12.9481063737272</v>
      </c>
      <c r="M402">
        <v>13.3786740917882</v>
      </c>
      <c r="N402">
        <v>13.471600878588699</v>
      </c>
      <c r="O402">
        <v>13.573351201619101</v>
      </c>
      <c r="P402">
        <v>0.55841399619550602</v>
      </c>
      <c r="Q402">
        <v>0.10054168466273</v>
      </c>
      <c r="R402">
        <v>1.01628630772828</v>
      </c>
      <c r="S402">
        <v>13.0234722253991</v>
      </c>
      <c r="T402">
        <v>2.5743164181493898</v>
      </c>
      <c r="U402">
        <v>-4.1168891847129601</v>
      </c>
      <c r="V402">
        <v>1.9764814202459201E-2</v>
      </c>
      <c r="W402">
        <v>0.13606918984371799</v>
      </c>
      <c r="X402">
        <v>0</v>
      </c>
      <c r="Y402">
        <v>0</v>
      </c>
    </row>
    <row r="403" spans="1:25" x14ac:dyDescent="0.2">
      <c r="A403" t="s">
        <v>1507</v>
      </c>
      <c r="B403" t="s">
        <v>1508</v>
      </c>
      <c r="C403" t="s">
        <v>1509</v>
      </c>
      <c r="D403" t="s">
        <v>1510</v>
      </c>
      <c r="E403" t="s">
        <v>1508</v>
      </c>
      <c r="F403" t="s">
        <v>28</v>
      </c>
      <c r="G403" t="s">
        <v>1508</v>
      </c>
      <c r="H403" t="str">
        <f>"cey-4"</f>
        <v>cey-4</v>
      </c>
      <c r="I403" t="s">
        <v>1510</v>
      </c>
      <c r="J403">
        <v>18.349673019891998</v>
      </c>
      <c r="K403">
        <v>18.1781661866024</v>
      </c>
      <c r="L403">
        <v>17.9694937375954</v>
      </c>
      <c r="M403">
        <v>18.098297047848</v>
      </c>
      <c r="N403">
        <v>18.125703339569402</v>
      </c>
      <c r="O403">
        <v>17.8383766282126</v>
      </c>
      <c r="P403">
        <v>-0.144985309486589</v>
      </c>
      <c r="Q403">
        <v>-0.62203140209966001</v>
      </c>
      <c r="R403">
        <v>0.33206078312648102</v>
      </c>
      <c r="S403">
        <v>17.504428554419999</v>
      </c>
      <c r="T403">
        <v>-0.63878714843116102</v>
      </c>
      <c r="U403">
        <v>-6.8406620210708198</v>
      </c>
      <c r="V403">
        <v>0.53105307496992404</v>
      </c>
      <c r="W403">
        <v>0.77317525993383995</v>
      </c>
      <c r="X403">
        <v>0</v>
      </c>
      <c r="Y403">
        <v>0</v>
      </c>
    </row>
    <row r="404" spans="1:25" x14ac:dyDescent="0.2">
      <c r="A404" t="s">
        <v>1511</v>
      </c>
      <c r="B404" t="s">
        <v>1512</v>
      </c>
      <c r="C404" t="s">
        <v>1513</v>
      </c>
      <c r="D404" t="s">
        <v>1514</v>
      </c>
      <c r="E404" t="s">
        <v>1512</v>
      </c>
      <c r="F404" t="s">
        <v>28</v>
      </c>
      <c r="G404" t="s">
        <v>1512</v>
      </c>
      <c r="H404" t="str">
        <f>"adbp-1"</f>
        <v>adbp-1</v>
      </c>
      <c r="I404" t="s">
        <v>1514</v>
      </c>
      <c r="J404" t="s">
        <v>29</v>
      </c>
      <c r="K404" t="s">
        <v>29</v>
      </c>
      <c r="L404" t="s">
        <v>29</v>
      </c>
      <c r="M404" t="s">
        <v>29</v>
      </c>
      <c r="N404">
        <v>11.477140854178501</v>
      </c>
      <c r="O404" t="s">
        <v>29</v>
      </c>
      <c r="P404" t="s">
        <v>29</v>
      </c>
      <c r="Q404" t="s">
        <v>29</v>
      </c>
      <c r="R404" t="s">
        <v>29</v>
      </c>
      <c r="S404">
        <v>10.884805813458</v>
      </c>
      <c r="T404" t="s">
        <v>29</v>
      </c>
      <c r="U404" t="s">
        <v>29</v>
      </c>
      <c r="V404" t="s">
        <v>29</v>
      </c>
      <c r="W404" t="s">
        <v>29</v>
      </c>
      <c r="X404" t="s">
        <v>29</v>
      </c>
      <c r="Y404" t="s">
        <v>29</v>
      </c>
    </row>
    <row r="405" spans="1:25" x14ac:dyDescent="0.2">
      <c r="A405" t="s">
        <v>1515</v>
      </c>
      <c r="B405" t="s">
        <v>1516</v>
      </c>
      <c r="C405" t="s">
        <v>14259</v>
      </c>
      <c r="D405" t="s">
        <v>1454</v>
      </c>
      <c r="E405" t="s">
        <v>1516</v>
      </c>
      <c r="F405" t="s">
        <v>28</v>
      </c>
      <c r="G405" t="s">
        <v>1516</v>
      </c>
      <c r="H405" t="str">
        <f>"VF13D12L.3"</f>
        <v>VF13D12L.3</v>
      </c>
      <c r="I405" t="s">
        <v>1454</v>
      </c>
      <c r="J405">
        <v>13.707022649868399</v>
      </c>
      <c r="K405" t="s">
        <v>29</v>
      </c>
      <c r="L405">
        <v>11.018879925232801</v>
      </c>
      <c r="M405">
        <v>13.973994582046</v>
      </c>
      <c r="N405">
        <v>14.2736757686261</v>
      </c>
      <c r="O405">
        <v>13.0941407364899</v>
      </c>
      <c r="P405">
        <v>1.4176524081700601</v>
      </c>
      <c r="Q405">
        <v>8.6961682934263401E-2</v>
      </c>
      <c r="R405">
        <v>2.7483431334058501</v>
      </c>
      <c r="S405">
        <v>13.1679832164202</v>
      </c>
      <c r="T405">
        <v>2.2721355455240499</v>
      </c>
      <c r="U405">
        <v>-4.6015930736551498</v>
      </c>
      <c r="V405">
        <v>3.8338156326234697E-2</v>
      </c>
      <c r="W405">
        <v>0.193788380672582</v>
      </c>
      <c r="X405">
        <v>1</v>
      </c>
      <c r="Y405">
        <v>0</v>
      </c>
    </row>
    <row r="406" spans="1:25" x14ac:dyDescent="0.2">
      <c r="A406" t="s">
        <v>1517</v>
      </c>
      <c r="B406" t="s">
        <v>1518</v>
      </c>
      <c r="C406" t="s">
        <v>1519</v>
      </c>
      <c r="D406" t="s">
        <v>1520</v>
      </c>
      <c r="E406" t="s">
        <v>1518</v>
      </c>
      <c r="F406" t="s">
        <v>28</v>
      </c>
      <c r="G406" t="s">
        <v>1518</v>
      </c>
      <c r="H406" t="str">
        <f>"ints-7"</f>
        <v>ints-7</v>
      </c>
      <c r="I406" t="s">
        <v>1520</v>
      </c>
      <c r="J406">
        <v>13.4402976980135</v>
      </c>
      <c r="K406">
        <v>13.470086855413999</v>
      </c>
      <c r="L406">
        <v>13.367818433837201</v>
      </c>
      <c r="M406">
        <v>13.707614835457701</v>
      </c>
      <c r="N406">
        <v>13.6743369790773</v>
      </c>
      <c r="O406">
        <v>13.290814035183899</v>
      </c>
      <c r="P406">
        <v>0.13152095415137299</v>
      </c>
      <c r="Q406">
        <v>-0.51400774895275703</v>
      </c>
      <c r="R406">
        <v>0.77704965725550301</v>
      </c>
      <c r="S406">
        <v>13.208834925681201</v>
      </c>
      <c r="T406">
        <v>0.42822488986375201</v>
      </c>
      <c r="U406">
        <v>-6.9564780869129503</v>
      </c>
      <c r="V406">
        <v>0.67359709286569802</v>
      </c>
      <c r="W406">
        <v>0.85541145012261999</v>
      </c>
      <c r="X406">
        <v>0</v>
      </c>
      <c r="Y406">
        <v>0</v>
      </c>
    </row>
    <row r="407" spans="1:25" x14ac:dyDescent="0.2">
      <c r="A407" t="s">
        <v>1521</v>
      </c>
      <c r="B407" t="s">
        <v>1522</v>
      </c>
      <c r="C407" t="s">
        <v>1523</v>
      </c>
      <c r="D407" t="s">
        <v>73</v>
      </c>
      <c r="E407" t="s">
        <v>1522</v>
      </c>
      <c r="F407" t="s">
        <v>28</v>
      </c>
      <c r="G407" t="s">
        <v>1522</v>
      </c>
      <c r="H407" t="str">
        <f>"fbxa-101"</f>
        <v>fbxa-101</v>
      </c>
      <c r="I407" t="s">
        <v>73</v>
      </c>
      <c r="J407">
        <v>13.088669418382599</v>
      </c>
      <c r="K407">
        <v>13.1071617400493</v>
      </c>
      <c r="L407">
        <v>12.966896428369299</v>
      </c>
      <c r="M407" t="s">
        <v>29</v>
      </c>
      <c r="N407">
        <v>12.0514384661767</v>
      </c>
      <c r="O407">
        <v>10.510326629598</v>
      </c>
      <c r="P407">
        <v>-1.77335998104641</v>
      </c>
      <c r="Q407">
        <v>-2.6123503655545499</v>
      </c>
      <c r="R407">
        <v>-0.93436959653827101</v>
      </c>
      <c r="S407">
        <v>12.736448220927899</v>
      </c>
      <c r="T407">
        <v>-4.50797528096171</v>
      </c>
      <c r="U407">
        <v>-0.20134450051833799</v>
      </c>
      <c r="V407">
        <v>4.23658590250907E-4</v>
      </c>
      <c r="W407">
        <v>9.4423633744962505E-3</v>
      </c>
      <c r="X407">
        <v>-1</v>
      </c>
      <c r="Y407">
        <v>-1</v>
      </c>
    </row>
    <row r="408" spans="1:25" x14ac:dyDescent="0.2">
      <c r="A408" t="s">
        <v>1524</v>
      </c>
      <c r="B408" t="s">
        <v>1525</v>
      </c>
      <c r="C408" t="s">
        <v>1526</v>
      </c>
      <c r="D408" t="s">
        <v>1527</v>
      </c>
      <c r="E408" t="s">
        <v>1525</v>
      </c>
      <c r="F408" t="s">
        <v>28</v>
      </c>
      <c r="G408" t="s">
        <v>1525</v>
      </c>
      <c r="H408" t="str">
        <f>"piki-1"</f>
        <v>piki-1</v>
      </c>
      <c r="I408" t="s">
        <v>1527</v>
      </c>
      <c r="J408" t="s">
        <v>29</v>
      </c>
      <c r="K408" t="s">
        <v>29</v>
      </c>
      <c r="L408">
        <v>10.3200184053863</v>
      </c>
      <c r="M408">
        <v>11.0097162692689</v>
      </c>
      <c r="N408">
        <v>12.105399554418501</v>
      </c>
      <c r="O408" t="s">
        <v>29</v>
      </c>
      <c r="P408">
        <v>1.23753950645736</v>
      </c>
      <c r="Q408">
        <v>0.17498968101986101</v>
      </c>
      <c r="R408">
        <v>2.3000893318948701</v>
      </c>
      <c r="S408">
        <v>11.099427594828001</v>
      </c>
      <c r="T408">
        <v>2.5988227393539001</v>
      </c>
      <c r="U408">
        <v>-3.8773202873288302</v>
      </c>
      <c r="V408">
        <v>2.67573816768726E-2</v>
      </c>
      <c r="W408">
        <v>0.16005242642747</v>
      </c>
      <c r="X408">
        <v>1</v>
      </c>
      <c r="Y408">
        <v>0</v>
      </c>
    </row>
    <row r="409" spans="1:25" x14ac:dyDescent="0.2">
      <c r="A409" t="s">
        <v>1528</v>
      </c>
      <c r="B409" t="s">
        <v>1529</v>
      </c>
      <c r="C409" t="s">
        <v>1530</v>
      </c>
      <c r="D409" t="s">
        <v>1531</v>
      </c>
      <c r="E409" t="s">
        <v>1529</v>
      </c>
      <c r="F409" t="s">
        <v>28</v>
      </c>
      <c r="G409" t="s">
        <v>1529</v>
      </c>
      <c r="H409" t="str">
        <f>"wars-1"</f>
        <v>wars-1</v>
      </c>
      <c r="I409" t="s">
        <v>1531</v>
      </c>
      <c r="J409">
        <v>14.2552026979531</v>
      </c>
      <c r="K409">
        <v>14.135891331913999</v>
      </c>
      <c r="L409">
        <v>14.3832734856983</v>
      </c>
      <c r="M409">
        <v>13.878863090994001</v>
      </c>
      <c r="N409">
        <v>14.7058347318956</v>
      </c>
      <c r="O409">
        <v>14.4525838046637</v>
      </c>
      <c r="P409">
        <v>8.7638037329302407E-2</v>
      </c>
      <c r="Q409">
        <v>-0.36526965265746097</v>
      </c>
      <c r="R409">
        <v>0.54054572731606598</v>
      </c>
      <c r="S409">
        <v>14.4855464457926</v>
      </c>
      <c r="T409">
        <v>0.40670120704351298</v>
      </c>
      <c r="U409">
        <v>-6.9658043112330104</v>
      </c>
      <c r="V409">
        <v>0.68905037409926795</v>
      </c>
      <c r="W409">
        <v>0.86071781854856699</v>
      </c>
      <c r="X409">
        <v>0</v>
      </c>
      <c r="Y409">
        <v>0</v>
      </c>
    </row>
    <row r="410" spans="1:25" x14ac:dyDescent="0.2">
      <c r="A410" t="s">
        <v>1532</v>
      </c>
      <c r="B410" t="s">
        <v>1533</v>
      </c>
      <c r="C410" t="s">
        <v>1534</v>
      </c>
      <c r="D410" t="s">
        <v>1535</v>
      </c>
      <c r="E410" t="s">
        <v>1533</v>
      </c>
      <c r="F410" t="s">
        <v>28</v>
      </c>
      <c r="G410" t="s">
        <v>1533</v>
      </c>
      <c r="H410" t="str">
        <f>"umps-1"</f>
        <v>umps-1</v>
      </c>
      <c r="I410" t="s">
        <v>1535</v>
      </c>
      <c r="J410">
        <v>13.9392052428133</v>
      </c>
      <c r="K410">
        <v>13.373800604247</v>
      </c>
      <c r="L410">
        <v>13.835720836753699</v>
      </c>
      <c r="M410">
        <v>13.1442727462872</v>
      </c>
      <c r="N410">
        <v>12.778154401625301</v>
      </c>
      <c r="O410">
        <v>12.6348425268228</v>
      </c>
      <c r="P410">
        <v>-0.86381900302628101</v>
      </c>
      <c r="Q410">
        <v>-1.3692251992308899</v>
      </c>
      <c r="R410">
        <v>-0.35841280682166698</v>
      </c>
      <c r="S410">
        <v>13.7544083924384</v>
      </c>
      <c r="T410">
        <v>-3.6251979155560599</v>
      </c>
      <c r="U410">
        <v>-2.0130217531450798</v>
      </c>
      <c r="V410">
        <v>2.2959789652313399E-3</v>
      </c>
      <c r="W410">
        <v>3.1523694315876802E-2</v>
      </c>
      <c r="X410">
        <v>0</v>
      </c>
      <c r="Y410">
        <v>0</v>
      </c>
    </row>
    <row r="411" spans="1:25" x14ac:dyDescent="0.2">
      <c r="A411" t="s">
        <v>1536</v>
      </c>
      <c r="B411" t="s">
        <v>1537</v>
      </c>
      <c r="C411" t="s">
        <v>1538</v>
      </c>
      <c r="D411" t="s">
        <v>965</v>
      </c>
      <c r="E411" t="s">
        <v>1537</v>
      </c>
      <c r="F411" t="s">
        <v>28</v>
      </c>
      <c r="G411" t="s">
        <v>1537</v>
      </c>
      <c r="H411" t="str">
        <f>"cdr-4"</f>
        <v>cdr-4</v>
      </c>
      <c r="I411" t="s">
        <v>965</v>
      </c>
      <c r="J411">
        <v>14.4598372230367</v>
      </c>
      <c r="K411">
        <v>14.179986990376699</v>
      </c>
      <c r="L411">
        <v>14.4005301217737</v>
      </c>
      <c r="M411">
        <v>13.8201356369471</v>
      </c>
      <c r="N411">
        <v>13.5719023057508</v>
      </c>
      <c r="O411">
        <v>13.944260873503</v>
      </c>
      <c r="P411">
        <v>-0.56801850632874296</v>
      </c>
      <c r="Q411">
        <v>-0.95383144186114699</v>
      </c>
      <c r="R411">
        <v>-0.18220557079633801</v>
      </c>
      <c r="S411">
        <v>14.7341301233512</v>
      </c>
      <c r="T411">
        <v>-3.1076758584953401</v>
      </c>
      <c r="U411">
        <v>-3.04429483884907</v>
      </c>
      <c r="V411">
        <v>6.4349044328537797E-3</v>
      </c>
      <c r="W411">
        <v>6.49749787492655E-2</v>
      </c>
      <c r="X411">
        <v>0</v>
      </c>
      <c r="Y411">
        <v>0</v>
      </c>
    </row>
    <row r="412" spans="1:25" x14ac:dyDescent="0.2">
      <c r="A412" t="s">
        <v>1539</v>
      </c>
      <c r="B412" t="s">
        <v>1540</v>
      </c>
      <c r="C412" t="s">
        <v>1541</v>
      </c>
      <c r="D412" t="s">
        <v>1542</v>
      </c>
      <c r="E412" t="s">
        <v>1540</v>
      </c>
      <c r="F412" t="s">
        <v>28</v>
      </c>
      <c r="G412" t="s">
        <v>1540</v>
      </c>
      <c r="H412" t="str">
        <f>"daf-18"</f>
        <v>daf-18</v>
      </c>
      <c r="I412" t="s">
        <v>1542</v>
      </c>
      <c r="J412">
        <v>11.209621920793101</v>
      </c>
      <c r="K412" t="s">
        <v>29</v>
      </c>
      <c r="L412">
        <v>11.215239594054299</v>
      </c>
      <c r="M412" t="s">
        <v>29</v>
      </c>
      <c r="N412">
        <v>11.941215243314399</v>
      </c>
      <c r="O412" t="s">
        <v>29</v>
      </c>
      <c r="P412">
        <v>0.72878448589075595</v>
      </c>
      <c r="Q412">
        <v>0.104994852561433</v>
      </c>
      <c r="R412">
        <v>1.35257411922008</v>
      </c>
      <c r="S412">
        <v>12.2786352724418</v>
      </c>
      <c r="T412">
        <v>2.52608645637181</v>
      </c>
      <c r="U412">
        <v>-3.9141681688322598</v>
      </c>
      <c r="V412">
        <v>2.5437345576663599E-2</v>
      </c>
      <c r="W412">
        <v>0.15563044804846801</v>
      </c>
      <c r="X412">
        <v>0</v>
      </c>
      <c r="Y412">
        <v>0</v>
      </c>
    </row>
    <row r="413" spans="1:25" x14ac:dyDescent="0.2">
      <c r="A413" t="s">
        <v>1543</v>
      </c>
      <c r="B413" t="s">
        <v>1544</v>
      </c>
      <c r="C413" t="s">
        <v>1545</v>
      </c>
      <c r="D413" t="s">
        <v>1546</v>
      </c>
      <c r="E413" t="s">
        <v>1544</v>
      </c>
      <c r="F413" t="s">
        <v>28</v>
      </c>
      <c r="G413" t="s">
        <v>1544</v>
      </c>
      <c r="H413" t="str">
        <f>"hip-1"</f>
        <v>hip-1</v>
      </c>
      <c r="I413" t="s">
        <v>1546</v>
      </c>
      <c r="J413">
        <v>13.258814409724</v>
      </c>
      <c r="K413">
        <v>12.7055243277456</v>
      </c>
      <c r="L413">
        <v>12.940731087664799</v>
      </c>
      <c r="M413">
        <v>15.231906291587499</v>
      </c>
      <c r="N413">
        <v>15.740536921917499</v>
      </c>
      <c r="O413">
        <v>15.457613972245699</v>
      </c>
      <c r="P413">
        <v>2.5083291202054601</v>
      </c>
      <c r="Q413">
        <v>1.6933921128349001</v>
      </c>
      <c r="R413">
        <v>3.32326612757603</v>
      </c>
      <c r="S413">
        <v>14.984900625148599</v>
      </c>
      <c r="T413">
        <v>6.4692359768723398</v>
      </c>
      <c r="U413">
        <v>4.1767795668518799</v>
      </c>
      <c r="V413" s="2">
        <v>4.4996055789798797E-6</v>
      </c>
      <c r="W413">
        <v>2.12198790637689E-4</v>
      </c>
      <c r="X413">
        <v>1</v>
      </c>
      <c r="Y413">
        <v>1</v>
      </c>
    </row>
    <row r="414" spans="1:25" x14ac:dyDescent="0.2">
      <c r="A414" t="s">
        <v>1547</v>
      </c>
      <c r="B414" t="s">
        <v>1548</v>
      </c>
      <c r="C414" t="s">
        <v>1549</v>
      </c>
      <c r="D414" t="s">
        <v>1170</v>
      </c>
      <c r="E414" t="s">
        <v>1548</v>
      </c>
      <c r="F414" t="s">
        <v>28</v>
      </c>
      <c r="G414" t="s">
        <v>1548</v>
      </c>
      <c r="H414" t="str">
        <f>"ptr-23"</f>
        <v>ptr-23</v>
      </c>
      <c r="I414" t="s">
        <v>1170</v>
      </c>
      <c r="J414">
        <v>13.0945455092884</v>
      </c>
      <c r="K414">
        <v>12.633639179119699</v>
      </c>
      <c r="L414">
        <v>12.848679273831999</v>
      </c>
      <c r="M414">
        <v>12.907742344752901</v>
      </c>
      <c r="N414">
        <v>13.341236517477</v>
      </c>
      <c r="O414">
        <v>13.1068708074213</v>
      </c>
      <c r="P414">
        <v>0.25966190247038101</v>
      </c>
      <c r="Q414">
        <v>-0.41339472501913399</v>
      </c>
      <c r="R414">
        <v>0.93271852995989502</v>
      </c>
      <c r="S414">
        <v>13.240438580529499</v>
      </c>
      <c r="T414">
        <v>0.818287956847079</v>
      </c>
      <c r="U414">
        <v>-6.7061301568958296</v>
      </c>
      <c r="V414">
        <v>0.42529072189379002</v>
      </c>
      <c r="W414">
        <v>0.69633750496314994</v>
      </c>
      <c r="X414">
        <v>0</v>
      </c>
      <c r="Y414">
        <v>0</v>
      </c>
    </row>
    <row r="415" spans="1:25" x14ac:dyDescent="0.2">
      <c r="A415" t="s">
        <v>1550</v>
      </c>
      <c r="B415" t="s">
        <v>1551</v>
      </c>
      <c r="C415" t="s">
        <v>1552</v>
      </c>
      <c r="D415" t="s">
        <v>1553</v>
      </c>
      <c r="E415" t="s">
        <v>1551</v>
      </c>
      <c r="F415" t="s">
        <v>28</v>
      </c>
      <c r="G415" t="s">
        <v>1551</v>
      </c>
      <c r="H415" t="str">
        <f>"cua-1"</f>
        <v>cua-1</v>
      </c>
      <c r="I415" t="s">
        <v>1553</v>
      </c>
      <c r="J415">
        <v>12.903724451107999</v>
      </c>
      <c r="K415">
        <v>12.753879711388</v>
      </c>
      <c r="L415">
        <v>12.6904225668758</v>
      </c>
      <c r="M415" t="s">
        <v>29</v>
      </c>
      <c r="N415">
        <v>13.4234278548321</v>
      </c>
      <c r="O415">
        <v>12.971992120473899</v>
      </c>
      <c r="P415">
        <v>0.4150344111957</v>
      </c>
      <c r="Q415">
        <v>-2.0706884750888801E-2</v>
      </c>
      <c r="R415">
        <v>0.85077570714228901</v>
      </c>
      <c r="S415">
        <v>12.809013953132199</v>
      </c>
      <c r="T415">
        <v>2.0314072187271401</v>
      </c>
      <c r="U415">
        <v>-5.0180160504836504</v>
      </c>
      <c r="V415">
        <v>6.0453251878402697E-2</v>
      </c>
      <c r="W415">
        <v>0.24806416344555199</v>
      </c>
      <c r="X415">
        <v>0</v>
      </c>
      <c r="Y415">
        <v>0</v>
      </c>
    </row>
    <row r="416" spans="1:25" x14ac:dyDescent="0.2">
      <c r="A416" t="s">
        <v>1554</v>
      </c>
      <c r="B416" t="s">
        <v>1555</v>
      </c>
      <c r="C416" t="s">
        <v>14179</v>
      </c>
      <c r="D416" t="s">
        <v>1556</v>
      </c>
      <c r="E416" t="s">
        <v>1555</v>
      </c>
      <c r="F416" t="s">
        <v>28</v>
      </c>
      <c r="G416" t="s">
        <v>1555</v>
      </c>
      <c r="H416" t="str">
        <f>"T04F3.1"</f>
        <v>T04F3.1</v>
      </c>
      <c r="I416" t="s">
        <v>1556</v>
      </c>
      <c r="J416">
        <v>13.0608550297052</v>
      </c>
      <c r="K416">
        <v>12.9476766261173</v>
      </c>
      <c r="L416">
        <v>13.1129313821629</v>
      </c>
      <c r="M416">
        <v>16.231508425763401</v>
      </c>
      <c r="N416">
        <v>16.458784082920101</v>
      </c>
      <c r="O416">
        <v>15.7274645555903</v>
      </c>
      <c r="P416">
        <v>3.0987646754294702</v>
      </c>
      <c r="Q416">
        <v>2.5457104837157001</v>
      </c>
      <c r="R416">
        <v>3.6518188671432301</v>
      </c>
      <c r="S416">
        <v>14.3844421234332</v>
      </c>
      <c r="T416">
        <v>11.826899909749301</v>
      </c>
      <c r="U416">
        <v>12.3527938130638</v>
      </c>
      <c r="V416" s="2">
        <v>1.3509285127661E-9</v>
      </c>
      <c r="W416" s="2">
        <v>3.1399438432434802E-7</v>
      </c>
      <c r="X416">
        <v>1</v>
      </c>
      <c r="Y416">
        <v>1</v>
      </c>
    </row>
    <row r="417" spans="1:25" x14ac:dyDescent="0.2">
      <c r="A417" t="s">
        <v>1557</v>
      </c>
      <c r="B417" t="s">
        <v>1558</v>
      </c>
      <c r="C417" t="s">
        <v>1559</v>
      </c>
      <c r="D417" t="s">
        <v>1560</v>
      </c>
      <c r="E417" t="s">
        <v>1558</v>
      </c>
      <c r="F417" t="s">
        <v>28</v>
      </c>
      <c r="G417" t="s">
        <v>1558</v>
      </c>
      <c r="H417" t="str">
        <f>"icp-1"</f>
        <v>icp-1</v>
      </c>
      <c r="I417" t="s">
        <v>1560</v>
      </c>
      <c r="J417">
        <v>12.1700197711471</v>
      </c>
      <c r="K417">
        <v>12.251146588160401</v>
      </c>
      <c r="L417">
        <v>12.8572569321272</v>
      </c>
      <c r="M417" t="s">
        <v>29</v>
      </c>
      <c r="N417" t="s">
        <v>29</v>
      </c>
      <c r="O417">
        <v>11.530699730299601</v>
      </c>
      <c r="P417">
        <v>-0.89544136684528097</v>
      </c>
      <c r="Q417">
        <v>-2.1829685988048202</v>
      </c>
      <c r="R417">
        <v>0.39208586511425603</v>
      </c>
      <c r="S417">
        <v>12.457935921332099</v>
      </c>
      <c r="T417">
        <v>-1.5037234579052099</v>
      </c>
      <c r="U417">
        <v>-5.6044102065800203</v>
      </c>
      <c r="V417">
        <v>0.156744479360683</v>
      </c>
      <c r="W417">
        <v>0.40771105982387001</v>
      </c>
      <c r="X417">
        <v>0</v>
      </c>
      <c r="Y417">
        <v>0</v>
      </c>
    </row>
    <row r="418" spans="1:25" x14ac:dyDescent="0.2">
      <c r="A418" t="s">
        <v>1561</v>
      </c>
      <c r="B418" t="s">
        <v>1562</v>
      </c>
      <c r="C418" t="s">
        <v>1563</v>
      </c>
      <c r="D418" t="s">
        <v>1007</v>
      </c>
      <c r="E418" t="s">
        <v>1562</v>
      </c>
      <c r="F418" t="s">
        <v>28</v>
      </c>
      <c r="G418" t="s">
        <v>1562</v>
      </c>
      <c r="H418" t="str">
        <f>"rrf-3"</f>
        <v>rrf-3</v>
      </c>
      <c r="I418" t="s">
        <v>1007</v>
      </c>
      <c r="J418">
        <v>12.2242117347652</v>
      </c>
      <c r="K418" t="s">
        <v>29</v>
      </c>
      <c r="L418">
        <v>12.428869312163</v>
      </c>
      <c r="M418">
        <v>13.161403593958299</v>
      </c>
      <c r="N418">
        <v>12.0687753444004</v>
      </c>
      <c r="O418" t="s">
        <v>29</v>
      </c>
      <c r="P418">
        <v>0.28854894571524897</v>
      </c>
      <c r="Q418">
        <v>-0.46504022009378099</v>
      </c>
      <c r="R418">
        <v>1.04213811152428</v>
      </c>
      <c r="S418">
        <v>12.3767414943832</v>
      </c>
      <c r="T418">
        <v>0.82788895799335405</v>
      </c>
      <c r="U418">
        <v>-6.4954413707052501</v>
      </c>
      <c r="V418">
        <v>0.42279122237789801</v>
      </c>
      <c r="W418">
        <v>0.69576731637321199</v>
      </c>
      <c r="X418">
        <v>0</v>
      </c>
      <c r="Y418">
        <v>0</v>
      </c>
    </row>
    <row r="419" spans="1:25" x14ac:dyDescent="0.2">
      <c r="A419" t="s">
        <v>1564</v>
      </c>
      <c r="B419" t="s">
        <v>1565</v>
      </c>
      <c r="C419" t="s">
        <v>1566</v>
      </c>
      <c r="D419" t="s">
        <v>1567</v>
      </c>
      <c r="E419" t="s">
        <v>1565</v>
      </c>
      <c r="F419" t="s">
        <v>28</v>
      </c>
      <c r="G419" t="s">
        <v>1565</v>
      </c>
      <c r="H419" t="str">
        <f>"src-1"</f>
        <v>src-1</v>
      </c>
      <c r="I419" t="s">
        <v>1567</v>
      </c>
      <c r="J419">
        <v>13.4542108398055</v>
      </c>
      <c r="K419">
        <v>13.5438983068283</v>
      </c>
      <c r="L419">
        <v>13.313376625630299</v>
      </c>
      <c r="M419">
        <v>13.6801033957508</v>
      </c>
      <c r="N419">
        <v>13.500833171423499</v>
      </c>
      <c r="O419">
        <v>13.3805284620889</v>
      </c>
      <c r="P419">
        <v>8.3326418999702098E-2</v>
      </c>
      <c r="Q419">
        <v>-0.43869413440261901</v>
      </c>
      <c r="R419">
        <v>0.60534697240202295</v>
      </c>
      <c r="S419">
        <v>13.1546960820381</v>
      </c>
      <c r="T419">
        <v>0.33549621785232497</v>
      </c>
      <c r="U419">
        <v>-6.9932851246841103</v>
      </c>
      <c r="V419">
        <v>0.74115198160944595</v>
      </c>
      <c r="W419">
        <v>0.89088908389168697</v>
      </c>
      <c r="X419">
        <v>0</v>
      </c>
      <c r="Y419">
        <v>0</v>
      </c>
    </row>
    <row r="420" spans="1:25" x14ac:dyDescent="0.2">
      <c r="A420" t="s">
        <v>1568</v>
      </c>
      <c r="B420" t="s">
        <v>1569</v>
      </c>
      <c r="C420" t="s">
        <v>14260</v>
      </c>
      <c r="D420" t="s">
        <v>1570</v>
      </c>
      <c r="E420" t="s">
        <v>1569</v>
      </c>
      <c r="F420" t="s">
        <v>28</v>
      </c>
      <c r="G420" t="s">
        <v>1569</v>
      </c>
      <c r="H420" t="str">
        <f>"F12F6.1"</f>
        <v>F12F6.1</v>
      </c>
      <c r="I420" t="s">
        <v>1570</v>
      </c>
      <c r="J420">
        <v>12.258291002130299</v>
      </c>
      <c r="K420" t="s">
        <v>29</v>
      </c>
      <c r="L420">
        <v>12.001675968764401</v>
      </c>
      <c r="M420">
        <v>11.0916949582325</v>
      </c>
      <c r="N420">
        <v>11.915523534198799</v>
      </c>
      <c r="O420">
        <v>11.5412616581553</v>
      </c>
      <c r="P420">
        <v>-0.61382343525183303</v>
      </c>
      <c r="Q420">
        <v>-1.19024851772433</v>
      </c>
      <c r="R420">
        <v>-3.7398352779336799E-2</v>
      </c>
      <c r="S420">
        <v>12.127198751581799</v>
      </c>
      <c r="T420">
        <v>-2.2711310815616699</v>
      </c>
      <c r="U420">
        <v>-4.6033792729320897</v>
      </c>
      <c r="V420">
        <v>3.8412263532211097E-2</v>
      </c>
      <c r="W420">
        <v>0.193788380672582</v>
      </c>
      <c r="X420">
        <v>0</v>
      </c>
      <c r="Y420">
        <v>0</v>
      </c>
    </row>
    <row r="421" spans="1:25" x14ac:dyDescent="0.2">
      <c r="A421" t="s">
        <v>1571</v>
      </c>
      <c r="B421" t="s">
        <v>1572</v>
      </c>
      <c r="C421" t="s">
        <v>1573</v>
      </c>
      <c r="D421" t="s">
        <v>1574</v>
      </c>
      <c r="E421" t="s">
        <v>1572</v>
      </c>
      <c r="F421" t="s">
        <v>28</v>
      </c>
      <c r="G421" t="s">
        <v>1572</v>
      </c>
      <c r="H421" t="str">
        <f>"cogc-1"</f>
        <v>cogc-1</v>
      </c>
      <c r="I421" t="s">
        <v>1574</v>
      </c>
      <c r="J421">
        <v>13.973510772074601</v>
      </c>
      <c r="K421">
        <v>14.168811817982901</v>
      </c>
      <c r="L421">
        <v>13.704364925570401</v>
      </c>
      <c r="M421">
        <v>14.231639994227599</v>
      </c>
      <c r="N421">
        <v>14.2933016000114</v>
      </c>
      <c r="O421">
        <v>13.8871026903506</v>
      </c>
      <c r="P421">
        <v>0.18845225632057</v>
      </c>
      <c r="Q421">
        <v>-0.25634670157172601</v>
      </c>
      <c r="R421">
        <v>0.63325121421286601</v>
      </c>
      <c r="S421">
        <v>13.636379336106501</v>
      </c>
      <c r="T421">
        <v>0.89430898414208504</v>
      </c>
      <c r="U421">
        <v>-6.6413526684613</v>
      </c>
      <c r="V421">
        <v>0.38372003246339897</v>
      </c>
      <c r="W421">
        <v>0.65855748187547403</v>
      </c>
      <c r="X421">
        <v>0</v>
      </c>
      <c r="Y421">
        <v>0</v>
      </c>
    </row>
    <row r="422" spans="1:25" x14ac:dyDescent="0.2">
      <c r="A422" t="s">
        <v>1575</v>
      </c>
      <c r="B422" t="s">
        <v>1576</v>
      </c>
      <c r="C422" t="s">
        <v>1577</v>
      </c>
      <c r="D422" t="s">
        <v>1578</v>
      </c>
      <c r="E422" t="s">
        <v>1576</v>
      </c>
      <c r="F422" t="s">
        <v>28</v>
      </c>
      <c r="G422" t="s">
        <v>1576</v>
      </c>
      <c r="H422" t="str">
        <f>"eor-2"</f>
        <v>eor-2</v>
      </c>
      <c r="I422" t="s">
        <v>1578</v>
      </c>
      <c r="J422" t="s">
        <v>29</v>
      </c>
      <c r="K422" t="s">
        <v>29</v>
      </c>
      <c r="L422" t="s">
        <v>29</v>
      </c>
      <c r="M422" t="s">
        <v>29</v>
      </c>
      <c r="N422" t="s">
        <v>29</v>
      </c>
      <c r="O422" t="s">
        <v>29</v>
      </c>
      <c r="P422" t="s">
        <v>29</v>
      </c>
      <c r="Q422" t="s">
        <v>29</v>
      </c>
      <c r="R422" t="s">
        <v>29</v>
      </c>
      <c r="S422">
        <v>10.373014095438499</v>
      </c>
      <c r="T422" t="s">
        <v>29</v>
      </c>
      <c r="U422" t="s">
        <v>29</v>
      </c>
      <c r="V422" t="s">
        <v>29</v>
      </c>
      <c r="W422" t="s">
        <v>29</v>
      </c>
      <c r="X422" t="s">
        <v>29</v>
      </c>
      <c r="Y422" t="s">
        <v>29</v>
      </c>
    </row>
    <row r="423" spans="1:25" x14ac:dyDescent="0.2">
      <c r="A423" t="s">
        <v>1579</v>
      </c>
      <c r="B423" t="s">
        <v>1580</v>
      </c>
      <c r="C423" t="s">
        <v>1581</v>
      </c>
      <c r="D423" t="s">
        <v>1582</v>
      </c>
      <c r="E423" t="s">
        <v>1580</v>
      </c>
      <c r="F423" t="s">
        <v>28</v>
      </c>
      <c r="G423" t="s">
        <v>1580</v>
      </c>
      <c r="H423" t="str">
        <f>"mrp-5"</f>
        <v>mrp-5</v>
      </c>
      <c r="I423" t="s">
        <v>1582</v>
      </c>
      <c r="J423">
        <v>15.1070554255855</v>
      </c>
      <c r="K423">
        <v>15.0330234746872</v>
      </c>
      <c r="L423">
        <v>15.0382102606749</v>
      </c>
      <c r="M423">
        <v>15.081301752974101</v>
      </c>
      <c r="N423">
        <v>15.1992349934884</v>
      </c>
      <c r="O423">
        <v>14.9742792223718</v>
      </c>
      <c r="P423">
        <v>2.5508935962235999E-2</v>
      </c>
      <c r="Q423">
        <v>-0.35924175807695702</v>
      </c>
      <c r="R423">
        <v>0.41025963000142901</v>
      </c>
      <c r="S423">
        <v>14.997866624961</v>
      </c>
      <c r="T423">
        <v>0.13934950963210199</v>
      </c>
      <c r="U423">
        <v>-7.0419155813950098</v>
      </c>
      <c r="V423">
        <v>0.89073027838382202</v>
      </c>
      <c r="W423">
        <v>0.96108441898279395</v>
      </c>
      <c r="X423">
        <v>0</v>
      </c>
      <c r="Y423">
        <v>0</v>
      </c>
    </row>
    <row r="424" spans="1:25" x14ac:dyDescent="0.2">
      <c r="A424" t="s">
        <v>1583</v>
      </c>
      <c r="B424" t="s">
        <v>1584</v>
      </c>
      <c r="C424" t="s">
        <v>1585</v>
      </c>
      <c r="D424" t="s">
        <v>1586</v>
      </c>
      <c r="E424" t="s">
        <v>1584</v>
      </c>
      <c r="F424" t="s">
        <v>28</v>
      </c>
      <c r="G424" t="s">
        <v>1584</v>
      </c>
      <c r="H424" t="str">
        <f>"nud-1"</f>
        <v>nud-1</v>
      </c>
      <c r="I424" t="s">
        <v>1586</v>
      </c>
      <c r="J424">
        <v>13.0852069342123</v>
      </c>
      <c r="K424">
        <v>13.2539630210937</v>
      </c>
      <c r="L424">
        <v>13.115148196417</v>
      </c>
      <c r="M424">
        <v>13.8507687285594</v>
      </c>
      <c r="N424">
        <v>13.769822805855499</v>
      </c>
      <c r="O424">
        <v>13.1653468698689</v>
      </c>
      <c r="P424">
        <v>0.443873417520258</v>
      </c>
      <c r="Q424">
        <v>-0.16165502966420001</v>
      </c>
      <c r="R424">
        <v>1.0494018647047201</v>
      </c>
      <c r="S424">
        <v>13.543809123354199</v>
      </c>
      <c r="T424">
        <v>1.5406965121584699</v>
      </c>
      <c r="U424">
        <v>-5.8845161789551002</v>
      </c>
      <c r="V424">
        <v>0.14088753174721</v>
      </c>
      <c r="W424">
        <v>0.38687597325352102</v>
      </c>
      <c r="X424">
        <v>0</v>
      </c>
      <c r="Y424">
        <v>0</v>
      </c>
    </row>
    <row r="425" spans="1:25" x14ac:dyDescent="0.2">
      <c r="A425" t="s">
        <v>1587</v>
      </c>
      <c r="B425" t="s">
        <v>1588</v>
      </c>
      <c r="C425" t="s">
        <v>14261</v>
      </c>
      <c r="D425" t="s">
        <v>1589</v>
      </c>
      <c r="E425" t="s">
        <v>1588</v>
      </c>
      <c r="F425" t="s">
        <v>28</v>
      </c>
      <c r="G425" t="s">
        <v>1588</v>
      </c>
      <c r="H425" t="str">
        <f>"F21D5.7"</f>
        <v>F21D5.7</v>
      </c>
      <c r="I425" t="s">
        <v>1589</v>
      </c>
      <c r="J425">
        <v>15.517749089219899</v>
      </c>
      <c r="K425">
        <v>15.3013401786177</v>
      </c>
      <c r="L425">
        <v>15.375373518185601</v>
      </c>
      <c r="M425">
        <v>15.832005150118601</v>
      </c>
      <c r="N425">
        <v>15.9542144310719</v>
      </c>
      <c r="O425">
        <v>15.634219334107501</v>
      </c>
      <c r="P425">
        <v>0.40865870975829399</v>
      </c>
      <c r="Q425">
        <v>6.0192130199780897E-2</v>
      </c>
      <c r="R425">
        <v>0.757125289316807</v>
      </c>
      <c r="S425">
        <v>15.389390086248699</v>
      </c>
      <c r="T425">
        <v>2.4648593362954698</v>
      </c>
      <c r="U425">
        <v>-4.3140699943799197</v>
      </c>
      <c r="V425">
        <v>2.4060382030020599E-2</v>
      </c>
      <c r="W425">
        <v>0.150562467549398</v>
      </c>
      <c r="X425">
        <v>0</v>
      </c>
      <c r="Y425">
        <v>0</v>
      </c>
    </row>
    <row r="426" spans="1:25" x14ac:dyDescent="0.2">
      <c r="A426" t="s">
        <v>1590</v>
      </c>
      <c r="B426" t="s">
        <v>1591</v>
      </c>
      <c r="C426" t="s">
        <v>1592</v>
      </c>
      <c r="D426" t="s">
        <v>1593</v>
      </c>
      <c r="E426" t="s">
        <v>1591</v>
      </c>
      <c r="F426" t="s">
        <v>28</v>
      </c>
      <c r="G426" t="s">
        <v>1591</v>
      </c>
      <c r="H426" t="str">
        <f>"slc-25a10"</f>
        <v>slc-25a10</v>
      </c>
      <c r="I426" t="s">
        <v>1593</v>
      </c>
      <c r="J426">
        <v>18.123491746814899</v>
      </c>
      <c r="K426">
        <v>18.010309773350599</v>
      </c>
      <c r="L426">
        <v>17.912721724314</v>
      </c>
      <c r="M426">
        <v>18.183373227975501</v>
      </c>
      <c r="N426">
        <v>17.8775794505198</v>
      </c>
      <c r="O426">
        <v>17.678187981739701</v>
      </c>
      <c r="P426">
        <v>-0.102460861414833</v>
      </c>
      <c r="Q426">
        <v>-0.50469289658798899</v>
      </c>
      <c r="R426">
        <v>0.29977117375832202</v>
      </c>
      <c r="S426">
        <v>17.748965515142501</v>
      </c>
      <c r="T426">
        <v>-0.53539444341537301</v>
      </c>
      <c r="U426">
        <v>-6.9030642291691402</v>
      </c>
      <c r="V426">
        <v>0.59896846964656303</v>
      </c>
      <c r="W426">
        <v>0.80772623300037905</v>
      </c>
      <c r="X426">
        <v>0</v>
      </c>
      <c r="Y426">
        <v>0</v>
      </c>
    </row>
    <row r="427" spans="1:25" x14ac:dyDescent="0.2">
      <c r="A427" t="s">
        <v>1594</v>
      </c>
      <c r="B427" t="s">
        <v>1595</v>
      </c>
      <c r="C427" t="s">
        <v>14262</v>
      </c>
      <c r="D427" t="s">
        <v>1596</v>
      </c>
      <c r="E427" t="s">
        <v>1595</v>
      </c>
      <c r="F427" t="s">
        <v>28</v>
      </c>
      <c r="G427" t="s">
        <v>1595</v>
      </c>
      <c r="H427" t="str">
        <f>"T19A6.1"</f>
        <v>T19A6.1</v>
      </c>
      <c r="I427" t="s">
        <v>1596</v>
      </c>
      <c r="J427">
        <v>13.114764291204001</v>
      </c>
      <c r="K427">
        <v>13.375378328747299</v>
      </c>
      <c r="L427">
        <v>13.244143333251399</v>
      </c>
      <c r="M427">
        <v>12.8555531712252</v>
      </c>
      <c r="N427" t="s">
        <v>29</v>
      </c>
      <c r="O427">
        <v>12.8600968819848</v>
      </c>
      <c r="P427">
        <v>-0.38693695779592102</v>
      </c>
      <c r="Q427">
        <v>-1.2474036937397699</v>
      </c>
      <c r="R427">
        <v>0.47352977814793101</v>
      </c>
      <c r="S427">
        <v>13.186408043006001</v>
      </c>
      <c r="T427">
        <v>-0.95906431647211898</v>
      </c>
      <c r="U427">
        <v>-6.4697060251709599</v>
      </c>
      <c r="V427">
        <v>0.35283643703054501</v>
      </c>
      <c r="W427">
        <v>0.63327620854792799</v>
      </c>
      <c r="X427">
        <v>0</v>
      </c>
      <c r="Y427">
        <v>0</v>
      </c>
    </row>
    <row r="428" spans="1:25" x14ac:dyDescent="0.2">
      <c r="A428" t="s">
        <v>1597</v>
      </c>
      <c r="B428" t="s">
        <v>1598</v>
      </c>
      <c r="C428" t="s">
        <v>1599</v>
      </c>
      <c r="D428" t="s">
        <v>1600</v>
      </c>
      <c r="E428" t="s">
        <v>1598</v>
      </c>
      <c r="F428" t="s">
        <v>28</v>
      </c>
      <c r="G428" t="s">
        <v>1601</v>
      </c>
      <c r="H428" t="str">
        <f>"dpy-14"</f>
        <v>dpy-14</v>
      </c>
      <c r="I428" t="s">
        <v>1413</v>
      </c>
      <c r="J428" t="s">
        <v>29</v>
      </c>
      <c r="K428" t="s">
        <v>29</v>
      </c>
      <c r="L428">
        <v>13.083461691703301</v>
      </c>
      <c r="M428" t="s">
        <v>29</v>
      </c>
      <c r="N428" t="s">
        <v>29</v>
      </c>
      <c r="O428">
        <v>13.6555394030241</v>
      </c>
      <c r="P428">
        <v>0.572077711320782</v>
      </c>
      <c r="Q428">
        <v>-1.6810532339000599</v>
      </c>
      <c r="R428">
        <v>2.8252086565416201</v>
      </c>
      <c r="S428">
        <v>13.160602521534299</v>
      </c>
      <c r="T428">
        <v>0.55949510150524295</v>
      </c>
      <c r="U428">
        <v>-6.3453050397773003</v>
      </c>
      <c r="V428">
        <v>0.58714130081648397</v>
      </c>
      <c r="W428">
        <v>0.802755375149933</v>
      </c>
      <c r="X428">
        <v>0</v>
      </c>
      <c r="Y428">
        <v>0</v>
      </c>
    </row>
    <row r="429" spans="1:25" x14ac:dyDescent="0.2">
      <c r="A429" t="s">
        <v>1602</v>
      </c>
      <c r="B429" t="s">
        <v>1603</v>
      </c>
      <c r="C429" t="s">
        <v>1604</v>
      </c>
      <c r="D429" t="s">
        <v>1605</v>
      </c>
      <c r="E429" t="s">
        <v>1603</v>
      </c>
      <c r="F429" t="s">
        <v>28</v>
      </c>
      <c r="G429" t="s">
        <v>1603</v>
      </c>
      <c r="H429" t="str">
        <f>"scm-1"</f>
        <v>scm-1</v>
      </c>
      <c r="I429" t="s">
        <v>1605</v>
      </c>
      <c r="J429">
        <v>11.890140060516201</v>
      </c>
      <c r="K429">
        <v>11.182026696443099</v>
      </c>
      <c r="L429">
        <v>11.689736264157</v>
      </c>
      <c r="M429">
        <v>12.1646396846161</v>
      </c>
      <c r="N429">
        <v>11.5741250451127</v>
      </c>
      <c r="O429" t="s">
        <v>29</v>
      </c>
      <c r="P429">
        <v>0.282081357825607</v>
      </c>
      <c r="Q429">
        <v>-0.37726936254453802</v>
      </c>
      <c r="R429">
        <v>0.94143207819575303</v>
      </c>
      <c r="S429">
        <v>11.678364330548</v>
      </c>
      <c r="T429">
        <v>0.91242989537067898</v>
      </c>
      <c r="U429">
        <v>-6.51326034990094</v>
      </c>
      <c r="V429">
        <v>0.37607441911778899</v>
      </c>
      <c r="W429">
        <v>0.65092880840919398</v>
      </c>
      <c r="X429">
        <v>0</v>
      </c>
      <c r="Y429">
        <v>0</v>
      </c>
    </row>
    <row r="430" spans="1:25" x14ac:dyDescent="0.2">
      <c r="A430" t="s">
        <v>1606</v>
      </c>
      <c r="B430" t="s">
        <v>1607</v>
      </c>
      <c r="C430" t="s">
        <v>1608</v>
      </c>
      <c r="D430" t="s">
        <v>1609</v>
      </c>
      <c r="E430" t="s">
        <v>1607</v>
      </c>
      <c r="F430" t="s">
        <v>28</v>
      </c>
      <c r="G430" t="s">
        <v>1607</v>
      </c>
      <c r="H430" t="str">
        <f>"elo-1"</f>
        <v>elo-1</v>
      </c>
      <c r="I430" t="s">
        <v>1609</v>
      </c>
      <c r="J430">
        <v>17.196985394378999</v>
      </c>
      <c r="K430">
        <v>16.708204457616901</v>
      </c>
      <c r="L430">
        <v>17.224481561043198</v>
      </c>
      <c r="M430">
        <v>16.1466533407336</v>
      </c>
      <c r="N430">
        <v>16.2781552515006</v>
      </c>
      <c r="O430">
        <v>16.565165167554898</v>
      </c>
      <c r="P430">
        <v>-0.71323255108335504</v>
      </c>
      <c r="Q430">
        <v>-1.2698506758803101</v>
      </c>
      <c r="R430">
        <v>-0.15661442628640099</v>
      </c>
      <c r="S430">
        <v>17.063422877613402</v>
      </c>
      <c r="T430">
        <v>-2.6931858555238799</v>
      </c>
      <c r="U430">
        <v>-3.8654918510904999</v>
      </c>
      <c r="V430">
        <v>1.49174121434085E-2</v>
      </c>
      <c r="W430">
        <v>0.112624731124481</v>
      </c>
      <c r="X430">
        <v>0</v>
      </c>
      <c r="Y430">
        <v>0</v>
      </c>
    </row>
    <row r="431" spans="1:25" x14ac:dyDescent="0.2">
      <c r="A431" t="s">
        <v>1610</v>
      </c>
      <c r="B431" t="s">
        <v>1611</v>
      </c>
      <c r="C431" t="s">
        <v>14263</v>
      </c>
      <c r="D431" t="s">
        <v>1612</v>
      </c>
      <c r="E431" t="s">
        <v>1611</v>
      </c>
      <c r="F431" t="s">
        <v>28</v>
      </c>
      <c r="G431" t="s">
        <v>1611</v>
      </c>
      <c r="H431" t="str">
        <f>"T09F3.2"</f>
        <v>T09F3.2</v>
      </c>
      <c r="I431" t="s">
        <v>1612</v>
      </c>
      <c r="J431">
        <v>12.908001760118999</v>
      </c>
      <c r="K431">
        <v>11.7016845713775</v>
      </c>
      <c r="L431">
        <v>12.3052844686397</v>
      </c>
      <c r="M431">
        <v>13.3428049279535</v>
      </c>
      <c r="N431">
        <v>13.315598962417299</v>
      </c>
      <c r="O431">
        <v>13.24138638374</v>
      </c>
      <c r="P431">
        <v>0.99493982465822794</v>
      </c>
      <c r="Q431">
        <v>0.26274243243438999</v>
      </c>
      <c r="R431">
        <v>1.72713721688207</v>
      </c>
      <c r="S431">
        <v>12.5078821667071</v>
      </c>
      <c r="T431">
        <v>2.88216053295324</v>
      </c>
      <c r="U431">
        <v>-3.53290674770671</v>
      </c>
      <c r="V431">
        <v>1.0890029269819201E-2</v>
      </c>
      <c r="W431">
        <v>9.2949207173924006E-2</v>
      </c>
      <c r="X431">
        <v>0</v>
      </c>
      <c r="Y431">
        <v>0</v>
      </c>
    </row>
    <row r="432" spans="1:25" x14ac:dyDescent="0.2">
      <c r="A432" t="s">
        <v>1613</v>
      </c>
      <c r="B432" t="s">
        <v>1614</v>
      </c>
      <c r="C432" t="s">
        <v>1615</v>
      </c>
      <c r="D432" t="s">
        <v>1616</v>
      </c>
      <c r="E432" t="s">
        <v>1614</v>
      </c>
      <c r="F432" t="s">
        <v>28</v>
      </c>
      <c r="G432" t="s">
        <v>1614</v>
      </c>
      <c r="H432" t="str">
        <f>"smu-1"</f>
        <v>smu-1</v>
      </c>
      <c r="I432" t="s">
        <v>1616</v>
      </c>
      <c r="J432">
        <v>11.8410542203109</v>
      </c>
      <c r="K432">
        <v>11.652585241833799</v>
      </c>
      <c r="L432" t="s">
        <v>29</v>
      </c>
      <c r="M432" t="s">
        <v>29</v>
      </c>
      <c r="N432" t="s">
        <v>29</v>
      </c>
      <c r="O432" t="s">
        <v>29</v>
      </c>
      <c r="P432" t="s">
        <v>29</v>
      </c>
      <c r="Q432" t="s">
        <v>29</v>
      </c>
      <c r="R432" t="s">
        <v>29</v>
      </c>
      <c r="S432">
        <v>12.352002481849199</v>
      </c>
      <c r="T432" t="s">
        <v>29</v>
      </c>
      <c r="U432" t="s">
        <v>29</v>
      </c>
      <c r="V432" t="s">
        <v>29</v>
      </c>
      <c r="W432" t="s">
        <v>29</v>
      </c>
      <c r="X432" t="s">
        <v>29</v>
      </c>
      <c r="Y432" t="s">
        <v>29</v>
      </c>
    </row>
    <row r="433" spans="1:25" x14ac:dyDescent="0.2">
      <c r="A433" t="s">
        <v>1617</v>
      </c>
      <c r="B433" t="s">
        <v>1618</v>
      </c>
      <c r="C433" t="s">
        <v>1619</v>
      </c>
      <c r="D433" t="s">
        <v>984</v>
      </c>
      <c r="E433" t="s">
        <v>1618</v>
      </c>
      <c r="F433" t="s">
        <v>28</v>
      </c>
      <c r="G433" t="s">
        <v>1618</v>
      </c>
      <c r="H433" t="str">
        <f>"frm-1"</f>
        <v>frm-1</v>
      </c>
      <c r="I433" t="s">
        <v>984</v>
      </c>
      <c r="J433">
        <v>14.5666578181405</v>
      </c>
      <c r="K433">
        <v>14.858098006293799</v>
      </c>
      <c r="L433">
        <v>14.5313410123963</v>
      </c>
      <c r="M433">
        <v>15.216229062586899</v>
      </c>
      <c r="N433">
        <v>14.996040950296701</v>
      </c>
      <c r="O433">
        <v>15.0506897243721</v>
      </c>
      <c r="P433">
        <v>0.43562096680836698</v>
      </c>
      <c r="Q433">
        <v>-3.3465820212528002E-2</v>
      </c>
      <c r="R433">
        <v>0.90470775382926205</v>
      </c>
      <c r="S433">
        <v>14.663447219626001</v>
      </c>
      <c r="T433">
        <v>1.9518574090516001</v>
      </c>
      <c r="U433">
        <v>-5.24338608419687</v>
      </c>
      <c r="V433">
        <v>6.6784381911422996E-2</v>
      </c>
      <c r="W433">
        <v>0.26187216934255902</v>
      </c>
      <c r="X433">
        <v>0</v>
      </c>
      <c r="Y433">
        <v>0</v>
      </c>
    </row>
    <row r="434" spans="1:25" x14ac:dyDescent="0.2">
      <c r="A434" t="s">
        <v>1620</v>
      </c>
      <c r="B434" t="s">
        <v>1621</v>
      </c>
      <c r="C434" t="s">
        <v>1622</v>
      </c>
      <c r="D434" t="s">
        <v>150</v>
      </c>
      <c r="E434" t="s">
        <v>1621</v>
      </c>
      <c r="F434" t="s">
        <v>28</v>
      </c>
      <c r="G434" t="s">
        <v>1621</v>
      </c>
      <c r="H434" t="str">
        <f>"rde-1"</f>
        <v>rde-1</v>
      </c>
      <c r="I434" t="s">
        <v>150</v>
      </c>
      <c r="J434" t="s">
        <v>29</v>
      </c>
      <c r="K434" t="s">
        <v>29</v>
      </c>
      <c r="L434">
        <v>10.540774533859301</v>
      </c>
      <c r="M434" t="s">
        <v>29</v>
      </c>
      <c r="N434" t="s">
        <v>29</v>
      </c>
      <c r="O434" t="s">
        <v>29</v>
      </c>
      <c r="P434" t="s">
        <v>29</v>
      </c>
      <c r="Q434" t="s">
        <v>29</v>
      </c>
      <c r="R434" t="s">
        <v>29</v>
      </c>
      <c r="S434">
        <v>11.358485710413699</v>
      </c>
      <c r="T434" t="s">
        <v>29</v>
      </c>
      <c r="U434" t="s">
        <v>29</v>
      </c>
      <c r="V434" t="s">
        <v>29</v>
      </c>
      <c r="W434" t="s">
        <v>29</v>
      </c>
      <c r="X434" t="s">
        <v>29</v>
      </c>
      <c r="Y434" t="s">
        <v>29</v>
      </c>
    </row>
    <row r="435" spans="1:25" x14ac:dyDescent="0.2">
      <c r="A435" t="s">
        <v>1623</v>
      </c>
      <c r="B435" t="s">
        <v>1624</v>
      </c>
      <c r="C435" t="s">
        <v>1625</v>
      </c>
      <c r="D435" t="s">
        <v>1626</v>
      </c>
      <c r="E435" t="s">
        <v>1624</v>
      </c>
      <c r="F435" t="s">
        <v>28</v>
      </c>
      <c r="G435" t="s">
        <v>1624</v>
      </c>
      <c r="H435" t="str">
        <f>"ivd-1"</f>
        <v>ivd-1</v>
      </c>
      <c r="I435" t="s">
        <v>1626</v>
      </c>
      <c r="J435">
        <v>14.777082869807799</v>
      </c>
      <c r="K435">
        <v>14.4814864469041</v>
      </c>
      <c r="L435">
        <v>14.480543406809799</v>
      </c>
      <c r="M435">
        <v>13.537897991966499</v>
      </c>
      <c r="N435">
        <v>14.3767124672182</v>
      </c>
      <c r="O435">
        <v>14.9532663035878</v>
      </c>
      <c r="P435">
        <v>-0.29041198691641801</v>
      </c>
      <c r="Q435">
        <v>-1.1924792878909101</v>
      </c>
      <c r="R435">
        <v>0.61165531405807905</v>
      </c>
      <c r="S435">
        <v>14.753771215410801</v>
      </c>
      <c r="T435">
        <v>-0.67665627080015101</v>
      </c>
      <c r="U435">
        <v>-6.8151771577303304</v>
      </c>
      <c r="V435">
        <v>0.50727696647996001</v>
      </c>
      <c r="W435">
        <v>0.75821405060343505</v>
      </c>
      <c r="X435">
        <v>0</v>
      </c>
      <c r="Y435">
        <v>0</v>
      </c>
    </row>
    <row r="436" spans="1:25" x14ac:dyDescent="0.2">
      <c r="A436" t="s">
        <v>1627</v>
      </c>
      <c r="B436" t="s">
        <v>1628</v>
      </c>
      <c r="C436" t="s">
        <v>1629</v>
      </c>
      <c r="D436" t="s">
        <v>1630</v>
      </c>
      <c r="E436" t="s">
        <v>1628</v>
      </c>
      <c r="F436" t="s">
        <v>28</v>
      </c>
      <c r="G436" t="s">
        <v>1628</v>
      </c>
      <c r="H436" t="str">
        <f>"npp-10"</f>
        <v>npp-10</v>
      </c>
      <c r="I436" t="s">
        <v>1630</v>
      </c>
      <c r="J436">
        <v>14.6263726404837</v>
      </c>
      <c r="K436">
        <v>14.5838062703705</v>
      </c>
      <c r="L436">
        <v>14.4478429236291</v>
      </c>
      <c r="M436">
        <v>14.4189299047456</v>
      </c>
      <c r="N436">
        <v>14.675711418799301</v>
      </c>
      <c r="O436">
        <v>14.1592272250015</v>
      </c>
      <c r="P436">
        <v>-0.134717761978948</v>
      </c>
      <c r="Q436">
        <v>-0.53253076434984803</v>
      </c>
      <c r="R436">
        <v>0.26309524039195298</v>
      </c>
      <c r="S436">
        <v>14.2475810261682</v>
      </c>
      <c r="T436">
        <v>-0.71481868924909897</v>
      </c>
      <c r="U436">
        <v>-6.7874801321492599</v>
      </c>
      <c r="V436">
        <v>0.484482108069755</v>
      </c>
      <c r="W436">
        <v>0.741501314009402</v>
      </c>
      <c r="X436">
        <v>0</v>
      </c>
      <c r="Y436">
        <v>0</v>
      </c>
    </row>
    <row r="437" spans="1:25" x14ac:dyDescent="0.2">
      <c r="A437" t="s">
        <v>1631</v>
      </c>
      <c r="B437" t="s">
        <v>1632</v>
      </c>
      <c r="C437" t="s">
        <v>1633</v>
      </c>
      <c r="D437" t="s">
        <v>1634</v>
      </c>
      <c r="E437" t="s">
        <v>1632</v>
      </c>
      <c r="F437" t="s">
        <v>28</v>
      </c>
      <c r="G437" t="s">
        <v>1632</v>
      </c>
      <c r="H437" t="str">
        <f>"asp-1"</f>
        <v>asp-1</v>
      </c>
      <c r="I437" t="s">
        <v>1634</v>
      </c>
      <c r="J437">
        <v>15.463372943603501</v>
      </c>
      <c r="K437">
        <v>15.533652655570201</v>
      </c>
      <c r="L437">
        <v>15.446504021939999</v>
      </c>
      <c r="M437">
        <v>15.859268803656599</v>
      </c>
      <c r="N437">
        <v>15.6587359064895</v>
      </c>
      <c r="O437">
        <v>16.133694451598501</v>
      </c>
      <c r="P437">
        <v>0.40272318021032699</v>
      </c>
      <c r="Q437">
        <v>-0.10279359875526201</v>
      </c>
      <c r="R437">
        <v>0.90823995917591505</v>
      </c>
      <c r="S437">
        <v>15.6717246675575</v>
      </c>
      <c r="T437">
        <v>1.67441677289291</v>
      </c>
      <c r="U437">
        <v>-5.68788342774043</v>
      </c>
      <c r="V437">
        <v>0.11143607533791799</v>
      </c>
      <c r="W437">
        <v>0.34411407745613198</v>
      </c>
      <c r="X437">
        <v>0</v>
      </c>
      <c r="Y437">
        <v>0</v>
      </c>
    </row>
    <row r="438" spans="1:25" x14ac:dyDescent="0.2">
      <c r="A438" t="s">
        <v>1635</v>
      </c>
      <c r="B438" t="s">
        <v>1636</v>
      </c>
      <c r="C438" t="s">
        <v>1637</v>
      </c>
      <c r="D438" t="s">
        <v>1638</v>
      </c>
      <c r="E438" t="s">
        <v>1636</v>
      </c>
      <c r="F438" t="s">
        <v>28</v>
      </c>
      <c r="G438" t="s">
        <v>1636</v>
      </c>
      <c r="H438" t="str">
        <f>"chp-1"</f>
        <v>chp-1</v>
      </c>
      <c r="I438" t="s">
        <v>1638</v>
      </c>
      <c r="J438" t="s">
        <v>29</v>
      </c>
      <c r="K438" t="s">
        <v>29</v>
      </c>
      <c r="L438">
        <v>11.443078455932101</v>
      </c>
      <c r="M438" t="s">
        <v>29</v>
      </c>
      <c r="N438">
        <v>11.3666963447382</v>
      </c>
      <c r="O438" t="s">
        <v>29</v>
      </c>
      <c r="P438">
        <v>-7.6382111193913402E-2</v>
      </c>
      <c r="Q438">
        <v>-1.43206318367279</v>
      </c>
      <c r="R438">
        <v>1.2792989612849599</v>
      </c>
      <c r="S438">
        <v>12.0750810958857</v>
      </c>
      <c r="T438">
        <v>-0.122879415795917</v>
      </c>
      <c r="U438">
        <v>-6.5020689601342898</v>
      </c>
      <c r="V438">
        <v>0.90425432245006498</v>
      </c>
      <c r="W438">
        <v>0.96754175574775902</v>
      </c>
      <c r="X438">
        <v>0</v>
      </c>
      <c r="Y438">
        <v>0</v>
      </c>
    </row>
    <row r="439" spans="1:25" x14ac:dyDescent="0.2">
      <c r="A439" t="s">
        <v>1639</v>
      </c>
      <c r="B439" t="s">
        <v>1640</v>
      </c>
      <c r="C439" t="s">
        <v>1641</v>
      </c>
      <c r="D439" t="s">
        <v>1642</v>
      </c>
      <c r="E439" t="s">
        <v>1640</v>
      </c>
      <c r="F439" t="s">
        <v>28</v>
      </c>
      <c r="G439" t="s">
        <v>1640</v>
      </c>
      <c r="H439" t="str">
        <f>"noca-1"</f>
        <v>noca-1</v>
      </c>
      <c r="I439" t="s">
        <v>1642</v>
      </c>
      <c r="J439">
        <v>11.096417471402701</v>
      </c>
      <c r="K439">
        <v>12.2085218466552</v>
      </c>
      <c r="L439">
        <v>12.1867580615984</v>
      </c>
      <c r="M439" t="s">
        <v>29</v>
      </c>
      <c r="N439">
        <v>10.61659820129</v>
      </c>
      <c r="O439">
        <v>12.254407480169</v>
      </c>
      <c r="P439">
        <v>-0.39506295248925799</v>
      </c>
      <c r="Q439">
        <v>-1.2538500229106799</v>
      </c>
      <c r="R439">
        <v>0.46372411793216001</v>
      </c>
      <c r="S439">
        <v>12.205978920731299</v>
      </c>
      <c r="T439">
        <v>-0.981120643532579</v>
      </c>
      <c r="U439">
        <v>-6.4484389811700602</v>
      </c>
      <c r="V439">
        <v>0.34220162971928803</v>
      </c>
      <c r="W439">
        <v>0.62242822979684898</v>
      </c>
      <c r="X439">
        <v>0</v>
      </c>
      <c r="Y439">
        <v>0</v>
      </c>
    </row>
    <row r="440" spans="1:25" x14ac:dyDescent="0.2">
      <c r="A440" t="s">
        <v>1643</v>
      </c>
      <c r="B440" t="s">
        <v>1644</v>
      </c>
      <c r="C440" t="s">
        <v>1645</v>
      </c>
      <c r="D440" t="s">
        <v>1646</v>
      </c>
      <c r="E440" t="s">
        <v>1644</v>
      </c>
      <c r="F440" t="s">
        <v>28</v>
      </c>
      <c r="G440" t="s">
        <v>1644</v>
      </c>
      <c r="H440" t="str">
        <f>"vet-6"</f>
        <v>vet-6</v>
      </c>
      <c r="I440" t="s">
        <v>1646</v>
      </c>
      <c r="J440" t="s">
        <v>29</v>
      </c>
      <c r="K440" t="s">
        <v>29</v>
      </c>
      <c r="L440" t="s">
        <v>29</v>
      </c>
      <c r="M440" t="s">
        <v>29</v>
      </c>
      <c r="N440" t="s">
        <v>29</v>
      </c>
      <c r="O440" t="s">
        <v>29</v>
      </c>
      <c r="P440" t="s">
        <v>29</v>
      </c>
      <c r="Q440" t="s">
        <v>29</v>
      </c>
      <c r="R440" t="s">
        <v>29</v>
      </c>
      <c r="S440">
        <v>10.081167346674899</v>
      </c>
      <c r="T440" t="s">
        <v>29</v>
      </c>
      <c r="U440" t="s">
        <v>29</v>
      </c>
      <c r="V440" t="s">
        <v>29</v>
      </c>
      <c r="W440" t="s">
        <v>29</v>
      </c>
      <c r="X440" t="s">
        <v>29</v>
      </c>
      <c r="Y440" t="s">
        <v>29</v>
      </c>
    </row>
    <row r="441" spans="1:25" x14ac:dyDescent="0.2">
      <c r="A441" t="s">
        <v>1647</v>
      </c>
      <c r="B441" t="s">
        <v>1648</v>
      </c>
      <c r="C441" t="s">
        <v>1649</v>
      </c>
      <c r="D441" t="s">
        <v>1502</v>
      </c>
      <c r="E441" t="s">
        <v>1648</v>
      </c>
      <c r="F441" t="s">
        <v>28</v>
      </c>
      <c r="G441" t="s">
        <v>1648</v>
      </c>
      <c r="H441" t="str">
        <f>"sca-1"</f>
        <v>sca-1</v>
      </c>
      <c r="I441" t="s">
        <v>1502</v>
      </c>
      <c r="J441">
        <v>20.373217007339601</v>
      </c>
      <c r="K441">
        <v>20.176343122638201</v>
      </c>
      <c r="L441">
        <v>20.142347498717999</v>
      </c>
      <c r="M441">
        <v>20.250688760977901</v>
      </c>
      <c r="N441">
        <v>20.201785305805299</v>
      </c>
      <c r="O441">
        <v>19.9074809434366</v>
      </c>
      <c r="P441">
        <v>-0.110650872825314</v>
      </c>
      <c r="Q441">
        <v>-0.45314553875358499</v>
      </c>
      <c r="R441">
        <v>0.231843793102957</v>
      </c>
      <c r="S441">
        <v>19.980234325131001</v>
      </c>
      <c r="T441">
        <v>-0.67903716560409599</v>
      </c>
      <c r="U441">
        <v>-6.8135282603835101</v>
      </c>
      <c r="V441">
        <v>0.50580263068300602</v>
      </c>
      <c r="W441">
        <v>0.75733521194622999</v>
      </c>
      <c r="X441">
        <v>0</v>
      </c>
      <c r="Y441">
        <v>0</v>
      </c>
    </row>
    <row r="442" spans="1:25" x14ac:dyDescent="0.2">
      <c r="A442" t="s">
        <v>1650</v>
      </c>
      <c r="B442" t="s">
        <v>1651</v>
      </c>
      <c r="C442" t="s">
        <v>1652</v>
      </c>
      <c r="D442" t="s">
        <v>1653</v>
      </c>
      <c r="E442" t="s">
        <v>1651</v>
      </c>
      <c r="F442" t="s">
        <v>28</v>
      </c>
      <c r="G442" t="s">
        <v>1651</v>
      </c>
      <c r="H442" t="str">
        <f>"vha-5"</f>
        <v>vha-5</v>
      </c>
      <c r="I442" t="s">
        <v>1653</v>
      </c>
      <c r="J442">
        <v>12.2431183102492</v>
      </c>
      <c r="K442">
        <v>11.9375194500894</v>
      </c>
      <c r="L442">
        <v>11.9787894106565</v>
      </c>
      <c r="M442">
        <v>12.0470970419873</v>
      </c>
      <c r="N442" t="s">
        <v>29</v>
      </c>
      <c r="O442">
        <v>13.255897478009301</v>
      </c>
      <c r="P442">
        <v>0.59835486966658102</v>
      </c>
      <c r="Q442">
        <v>-0.25704034590564101</v>
      </c>
      <c r="R442">
        <v>1.4537500852387999</v>
      </c>
      <c r="S442">
        <v>11.891307818368199</v>
      </c>
      <c r="T442">
        <v>1.5013567671719701</v>
      </c>
      <c r="U442">
        <v>-5.83288432471294</v>
      </c>
      <c r="V442">
        <v>0.15564296467344901</v>
      </c>
      <c r="W442">
        <v>0.40726596050769998</v>
      </c>
      <c r="X442">
        <v>0</v>
      </c>
      <c r="Y442">
        <v>0</v>
      </c>
    </row>
    <row r="443" spans="1:25" x14ac:dyDescent="0.2">
      <c r="A443" t="s">
        <v>1654</v>
      </c>
      <c r="B443" t="s">
        <v>1655</v>
      </c>
      <c r="C443" t="s">
        <v>1656</v>
      </c>
      <c r="D443" t="s">
        <v>1657</v>
      </c>
      <c r="E443" t="s">
        <v>1655</v>
      </c>
      <c r="F443" t="s">
        <v>28</v>
      </c>
      <c r="G443" t="s">
        <v>1655</v>
      </c>
      <c r="H443" t="str">
        <f>"ldb-1"</f>
        <v>ldb-1</v>
      </c>
      <c r="I443" t="s">
        <v>1657</v>
      </c>
      <c r="J443">
        <v>12.309040047451401</v>
      </c>
      <c r="K443">
        <v>12.9609904025349</v>
      </c>
      <c r="L443">
        <v>12.8625469956392</v>
      </c>
      <c r="M443">
        <v>12.9589826743213</v>
      </c>
      <c r="N443">
        <v>12.8882795283745</v>
      </c>
      <c r="O443">
        <v>12.7223523552624</v>
      </c>
      <c r="P443">
        <v>0.145679037444262</v>
      </c>
      <c r="Q443">
        <v>-0.29067084170978302</v>
      </c>
      <c r="R443">
        <v>0.58202891659830702</v>
      </c>
      <c r="S443">
        <v>13.149019481839201</v>
      </c>
      <c r="T443">
        <v>0.70471289172886098</v>
      </c>
      <c r="U443">
        <v>-6.79480166636242</v>
      </c>
      <c r="V443">
        <v>0.49059032672945402</v>
      </c>
      <c r="W443">
        <v>0.74423353061894804</v>
      </c>
      <c r="X443">
        <v>0</v>
      </c>
      <c r="Y443">
        <v>0</v>
      </c>
    </row>
    <row r="444" spans="1:25" x14ac:dyDescent="0.2">
      <c r="A444" t="s">
        <v>1658</v>
      </c>
      <c r="B444" t="s">
        <v>1659</v>
      </c>
      <c r="C444" t="s">
        <v>1660</v>
      </c>
      <c r="D444" t="s">
        <v>534</v>
      </c>
      <c r="E444" t="s">
        <v>1659</v>
      </c>
      <c r="F444" t="s">
        <v>28</v>
      </c>
      <c r="G444" t="s">
        <v>1659</v>
      </c>
      <c r="H444" t="str">
        <f>"plrg-1"</f>
        <v>plrg-1</v>
      </c>
      <c r="I444" t="s">
        <v>534</v>
      </c>
      <c r="J444" t="s">
        <v>29</v>
      </c>
      <c r="K444">
        <v>11.346661620494</v>
      </c>
      <c r="L444">
        <v>11.906667514282301</v>
      </c>
      <c r="M444" t="s">
        <v>29</v>
      </c>
      <c r="N444" t="s">
        <v>29</v>
      </c>
      <c r="O444">
        <v>12.0877094368663</v>
      </c>
      <c r="P444">
        <v>0.461044869478203</v>
      </c>
      <c r="Q444">
        <v>-0.19906248202867799</v>
      </c>
      <c r="R444">
        <v>1.1211522209850799</v>
      </c>
      <c r="S444">
        <v>11.964849573745999</v>
      </c>
      <c r="T444">
        <v>1.5232585925081601</v>
      </c>
      <c r="U444">
        <v>-5.5227924064423997</v>
      </c>
      <c r="V444">
        <v>0.15382790333923799</v>
      </c>
      <c r="W444">
        <v>0.40569046233670703</v>
      </c>
      <c r="X444">
        <v>0</v>
      </c>
      <c r="Y444">
        <v>0</v>
      </c>
    </row>
    <row r="445" spans="1:25" x14ac:dyDescent="0.2">
      <c r="A445" t="s">
        <v>1661</v>
      </c>
      <c r="B445" t="s">
        <v>1662</v>
      </c>
      <c r="C445" t="s">
        <v>1663</v>
      </c>
      <c r="D445" t="s">
        <v>901</v>
      </c>
      <c r="E445" t="s">
        <v>1662</v>
      </c>
      <c r="F445" t="s">
        <v>28</v>
      </c>
      <c r="G445" t="s">
        <v>1662</v>
      </c>
      <c r="H445" t="str">
        <f>"nhr-70"</f>
        <v>nhr-70</v>
      </c>
      <c r="I445" t="s">
        <v>901</v>
      </c>
      <c r="J445">
        <v>11.431458861905901</v>
      </c>
      <c r="K445">
        <v>11.7398203100374</v>
      </c>
      <c r="L445">
        <v>11.561287381933299</v>
      </c>
      <c r="M445">
        <v>11.582248831231601</v>
      </c>
      <c r="N445">
        <v>12.0561536184233</v>
      </c>
      <c r="O445">
        <v>10.9027187970679</v>
      </c>
      <c r="P445">
        <v>-6.3815102384577202E-2</v>
      </c>
      <c r="Q445">
        <v>-0.72924449052876095</v>
      </c>
      <c r="R445">
        <v>0.60161428575960596</v>
      </c>
      <c r="S445">
        <v>12.0201176903487</v>
      </c>
      <c r="T445">
        <v>-0.205832233170086</v>
      </c>
      <c r="U445">
        <v>-7.0295797616965396</v>
      </c>
      <c r="V445">
        <v>0.83990715460527199</v>
      </c>
      <c r="W445">
        <v>0.93662024711636505</v>
      </c>
      <c r="X445">
        <v>0</v>
      </c>
      <c r="Y445">
        <v>0</v>
      </c>
    </row>
    <row r="446" spans="1:25" x14ac:dyDescent="0.2">
      <c r="A446" t="s">
        <v>1664</v>
      </c>
      <c r="B446" t="s">
        <v>1665</v>
      </c>
      <c r="C446" t="s">
        <v>1666</v>
      </c>
      <c r="D446" t="s">
        <v>1667</v>
      </c>
      <c r="E446" t="s">
        <v>1665</v>
      </c>
      <c r="F446" t="s">
        <v>28</v>
      </c>
      <c r="G446" t="s">
        <v>1665</v>
      </c>
      <c r="H446" t="str">
        <f>"zyg-9"</f>
        <v>zyg-9</v>
      </c>
      <c r="I446" t="s">
        <v>1667</v>
      </c>
      <c r="J446">
        <v>14.889692370207801</v>
      </c>
      <c r="K446">
        <v>14.793627255219899</v>
      </c>
      <c r="L446">
        <v>14.8574529779044</v>
      </c>
      <c r="M446">
        <v>14.611260043148899</v>
      </c>
      <c r="N446">
        <v>14.853144507876401</v>
      </c>
      <c r="O446">
        <v>14.481039386213</v>
      </c>
      <c r="P446">
        <v>-0.19844288869794399</v>
      </c>
      <c r="Q446">
        <v>-0.59783360205568703</v>
      </c>
      <c r="R446">
        <v>0.20094782465979899</v>
      </c>
      <c r="S446">
        <v>14.8009748274952</v>
      </c>
      <c r="T446">
        <v>-1.04878771376569</v>
      </c>
      <c r="U446">
        <v>-6.4920108667465399</v>
      </c>
      <c r="V446">
        <v>0.30904800795514598</v>
      </c>
      <c r="W446">
        <v>0.58809486426084601</v>
      </c>
      <c r="X446">
        <v>0</v>
      </c>
      <c r="Y446">
        <v>0</v>
      </c>
    </row>
    <row r="447" spans="1:25" x14ac:dyDescent="0.2">
      <c r="A447" t="s">
        <v>1668</v>
      </c>
      <c r="B447" t="s">
        <v>1669</v>
      </c>
      <c r="C447" t="s">
        <v>1670</v>
      </c>
      <c r="D447" t="s">
        <v>1671</v>
      </c>
      <c r="E447" t="s">
        <v>1669</v>
      </c>
      <c r="F447" t="s">
        <v>28</v>
      </c>
      <c r="G447" t="s">
        <v>1669</v>
      </c>
      <c r="H447" t="str">
        <f>"tap-1"</f>
        <v>tap-1</v>
      </c>
      <c r="I447" t="s">
        <v>1671</v>
      </c>
      <c r="J447" t="s">
        <v>29</v>
      </c>
      <c r="K447" t="s">
        <v>29</v>
      </c>
      <c r="L447" t="s">
        <v>29</v>
      </c>
      <c r="M447">
        <v>16.617980903303</v>
      </c>
      <c r="N447">
        <v>16.631076021781102</v>
      </c>
      <c r="O447">
        <v>16.176406195122901</v>
      </c>
      <c r="P447" t="s">
        <v>29</v>
      </c>
      <c r="Q447" t="s">
        <v>29</v>
      </c>
      <c r="R447" t="s">
        <v>29</v>
      </c>
      <c r="S447">
        <v>15.719028572276301</v>
      </c>
      <c r="T447" t="s">
        <v>29</v>
      </c>
      <c r="U447" t="s">
        <v>29</v>
      </c>
      <c r="V447" t="s">
        <v>29</v>
      </c>
      <c r="W447" t="s">
        <v>29</v>
      </c>
      <c r="X447" t="s">
        <v>29</v>
      </c>
      <c r="Y447" t="s">
        <v>29</v>
      </c>
    </row>
    <row r="448" spans="1:25" x14ac:dyDescent="0.2">
      <c r="A448" t="s">
        <v>1672</v>
      </c>
      <c r="B448" t="s">
        <v>1673</v>
      </c>
      <c r="C448" t="s">
        <v>1674</v>
      </c>
      <c r="D448" t="s">
        <v>1675</v>
      </c>
      <c r="E448" t="s">
        <v>1673</v>
      </c>
      <c r="F448" t="s">
        <v>28</v>
      </c>
      <c r="G448" t="s">
        <v>1673</v>
      </c>
      <c r="H448" t="str">
        <f>"ipla-1"</f>
        <v>ipla-1</v>
      </c>
      <c r="I448" t="s">
        <v>1675</v>
      </c>
      <c r="J448">
        <v>14.219416626884</v>
      </c>
      <c r="K448">
        <v>13.752667560429799</v>
      </c>
      <c r="L448">
        <v>13.8241970493644</v>
      </c>
      <c r="M448">
        <v>14.171061460762401</v>
      </c>
      <c r="N448">
        <v>14.331576299564601</v>
      </c>
      <c r="O448">
        <v>14.026706004089201</v>
      </c>
      <c r="P448">
        <v>0.24435417591266401</v>
      </c>
      <c r="Q448">
        <v>-0.32402043453879897</v>
      </c>
      <c r="R448">
        <v>0.81272878636412604</v>
      </c>
      <c r="S448">
        <v>13.0562618434897</v>
      </c>
      <c r="T448">
        <v>0.91690998388521205</v>
      </c>
      <c r="U448">
        <v>-6.6189990893934203</v>
      </c>
      <c r="V448">
        <v>0.37379761797753203</v>
      </c>
      <c r="W448">
        <v>0.65010018647722601</v>
      </c>
      <c r="X448">
        <v>0</v>
      </c>
      <c r="Y448">
        <v>0</v>
      </c>
    </row>
    <row r="449" spans="1:25" x14ac:dyDescent="0.2">
      <c r="A449" t="s">
        <v>1676</v>
      </c>
      <c r="B449" t="s">
        <v>1677</v>
      </c>
      <c r="C449" t="s">
        <v>1678</v>
      </c>
      <c r="D449" t="s">
        <v>1679</v>
      </c>
      <c r="E449" t="s">
        <v>1677</v>
      </c>
      <c r="F449" t="s">
        <v>28</v>
      </c>
      <c r="G449" t="s">
        <v>1677</v>
      </c>
      <c r="H449" t="str">
        <f>"ced-5"</f>
        <v>ced-5</v>
      </c>
      <c r="I449" t="s">
        <v>1679</v>
      </c>
      <c r="J449">
        <v>12.574463768407799</v>
      </c>
      <c r="K449">
        <v>12.3624117595262</v>
      </c>
      <c r="L449">
        <v>12.1226269959802</v>
      </c>
      <c r="M449">
        <v>12.2936245504411</v>
      </c>
      <c r="N449">
        <v>13.293246960766799</v>
      </c>
      <c r="O449">
        <v>12.347844738763801</v>
      </c>
      <c r="P449">
        <v>0.29173790868581401</v>
      </c>
      <c r="Q449">
        <v>-0.27615562735459698</v>
      </c>
      <c r="R449">
        <v>0.85963144472622499</v>
      </c>
      <c r="S449">
        <v>12.6144361212056</v>
      </c>
      <c r="T449">
        <v>1.08436615279352</v>
      </c>
      <c r="U449">
        <v>-6.4546488751772699</v>
      </c>
      <c r="V449">
        <v>0.29343460825316198</v>
      </c>
      <c r="W449">
        <v>0.57073294396640095</v>
      </c>
      <c r="X449">
        <v>0</v>
      </c>
      <c r="Y449">
        <v>0</v>
      </c>
    </row>
    <row r="450" spans="1:25" x14ac:dyDescent="0.2">
      <c r="A450" t="s">
        <v>1680</v>
      </c>
      <c r="B450" t="s">
        <v>1681</v>
      </c>
      <c r="C450" t="s">
        <v>1682</v>
      </c>
      <c r="D450" t="s">
        <v>1683</v>
      </c>
      <c r="E450" t="s">
        <v>1681</v>
      </c>
      <c r="F450" t="s">
        <v>28</v>
      </c>
      <c r="G450" t="s">
        <v>1681</v>
      </c>
      <c r="H450" t="str">
        <f>"gck-3"</f>
        <v>gck-3</v>
      </c>
      <c r="I450" t="s">
        <v>1683</v>
      </c>
      <c r="J450">
        <v>14.6187431203739</v>
      </c>
      <c r="K450">
        <v>14.3615911891828</v>
      </c>
      <c r="L450">
        <v>14.308419971859401</v>
      </c>
      <c r="M450">
        <v>14.4523172684953</v>
      </c>
      <c r="N450">
        <v>14.5283572631482</v>
      </c>
      <c r="O450">
        <v>14.308597443296</v>
      </c>
      <c r="P450">
        <v>1.7256450780500599E-4</v>
      </c>
      <c r="Q450">
        <v>-0.41026173122492499</v>
      </c>
      <c r="R450">
        <v>0.410606860240535</v>
      </c>
      <c r="S450">
        <v>13.8056083612978</v>
      </c>
      <c r="T450">
        <v>8.8369082745465397E-4</v>
      </c>
      <c r="U450">
        <v>-7.0520860331377602</v>
      </c>
      <c r="V450">
        <v>0.99930469355179397</v>
      </c>
      <c r="W450">
        <v>0.99961188835460801</v>
      </c>
      <c r="X450">
        <v>0</v>
      </c>
      <c r="Y450">
        <v>0</v>
      </c>
    </row>
    <row r="451" spans="1:25" x14ac:dyDescent="0.2">
      <c r="A451" t="s">
        <v>1684</v>
      </c>
      <c r="B451" t="s">
        <v>1685</v>
      </c>
      <c r="C451" t="s">
        <v>1686</v>
      </c>
      <c r="D451" t="s">
        <v>1687</v>
      </c>
      <c r="E451" t="s">
        <v>1685</v>
      </c>
      <c r="F451" t="s">
        <v>28</v>
      </c>
      <c r="G451" t="s">
        <v>1685</v>
      </c>
      <c r="H451" t="str">
        <f>"rad-54.l"</f>
        <v>rad-54.l</v>
      </c>
      <c r="I451" t="s">
        <v>1687</v>
      </c>
      <c r="J451" t="s">
        <v>29</v>
      </c>
      <c r="K451" t="s">
        <v>29</v>
      </c>
      <c r="L451" t="s">
        <v>29</v>
      </c>
      <c r="M451" t="s">
        <v>29</v>
      </c>
      <c r="N451" t="s">
        <v>29</v>
      </c>
      <c r="O451" t="s">
        <v>29</v>
      </c>
      <c r="P451" t="s">
        <v>29</v>
      </c>
      <c r="Q451" t="s">
        <v>29</v>
      </c>
      <c r="R451" t="s">
        <v>29</v>
      </c>
      <c r="S451">
        <v>13.4240184415982</v>
      </c>
      <c r="T451" t="s">
        <v>29</v>
      </c>
      <c r="U451" t="s">
        <v>29</v>
      </c>
      <c r="V451" t="s">
        <v>29</v>
      </c>
      <c r="W451" t="s">
        <v>29</v>
      </c>
      <c r="X451" t="s">
        <v>29</v>
      </c>
      <c r="Y451" t="s">
        <v>29</v>
      </c>
    </row>
    <row r="452" spans="1:25" x14ac:dyDescent="0.2">
      <c r="A452" t="s">
        <v>1688</v>
      </c>
      <c r="B452" t="s">
        <v>1689</v>
      </c>
      <c r="C452" t="s">
        <v>14264</v>
      </c>
      <c r="D452" t="s">
        <v>1690</v>
      </c>
      <c r="E452" t="s">
        <v>1689</v>
      </c>
      <c r="F452" t="s">
        <v>28</v>
      </c>
      <c r="G452" t="s">
        <v>1689</v>
      </c>
      <c r="H452" t="str">
        <f>"Y39A1A.3"</f>
        <v>Y39A1A.3</v>
      </c>
      <c r="I452" t="s">
        <v>1690</v>
      </c>
      <c r="J452">
        <v>10.761835547939301</v>
      </c>
      <c r="K452">
        <v>11.9478501226502</v>
      </c>
      <c r="L452">
        <v>11.2482936056675</v>
      </c>
      <c r="M452">
        <v>11.666527571293001</v>
      </c>
      <c r="N452">
        <v>12.005889470812701</v>
      </c>
      <c r="O452">
        <v>10.989286359615599</v>
      </c>
      <c r="P452">
        <v>0.23457470848810399</v>
      </c>
      <c r="Q452">
        <v>-0.38074679618964402</v>
      </c>
      <c r="R452">
        <v>0.84989621316585195</v>
      </c>
      <c r="S452">
        <v>11.805887698832899</v>
      </c>
      <c r="T452">
        <v>0.80859047608653001</v>
      </c>
      <c r="U452">
        <v>-6.7141180912992899</v>
      </c>
      <c r="V452">
        <v>0.43068761048040899</v>
      </c>
      <c r="W452">
        <v>0.70023926698661898</v>
      </c>
      <c r="X452">
        <v>0</v>
      </c>
      <c r="Y452">
        <v>0</v>
      </c>
    </row>
    <row r="453" spans="1:25" x14ac:dyDescent="0.2">
      <c r="A453" t="s">
        <v>1691</v>
      </c>
      <c r="B453" t="s">
        <v>1692</v>
      </c>
      <c r="C453" t="s">
        <v>1693</v>
      </c>
      <c r="D453" t="s">
        <v>1694</v>
      </c>
      <c r="E453" t="s">
        <v>1692</v>
      </c>
      <c r="F453" t="s">
        <v>28</v>
      </c>
      <c r="G453" t="s">
        <v>1692</v>
      </c>
      <c r="H453" t="str">
        <f>"fce-2"</f>
        <v>fce-2</v>
      </c>
      <c r="I453" t="s">
        <v>1694</v>
      </c>
      <c r="J453" t="s">
        <v>29</v>
      </c>
      <c r="K453" t="s">
        <v>29</v>
      </c>
      <c r="L453" t="s">
        <v>29</v>
      </c>
      <c r="M453" t="s">
        <v>29</v>
      </c>
      <c r="N453" t="s">
        <v>29</v>
      </c>
      <c r="O453" t="s">
        <v>29</v>
      </c>
      <c r="P453" t="s">
        <v>29</v>
      </c>
      <c r="Q453" t="s">
        <v>29</v>
      </c>
      <c r="R453" t="s">
        <v>29</v>
      </c>
      <c r="S453">
        <v>11.969190726375</v>
      </c>
      <c r="T453" t="s">
        <v>29</v>
      </c>
      <c r="U453" t="s">
        <v>29</v>
      </c>
      <c r="V453" t="s">
        <v>29</v>
      </c>
      <c r="W453" t="s">
        <v>29</v>
      </c>
      <c r="X453" t="s">
        <v>29</v>
      </c>
      <c r="Y453" t="s">
        <v>29</v>
      </c>
    </row>
    <row r="454" spans="1:25" x14ac:dyDescent="0.2">
      <c r="A454" t="s">
        <v>1695</v>
      </c>
      <c r="B454" t="s">
        <v>1696</v>
      </c>
      <c r="C454" t="s">
        <v>1697</v>
      </c>
      <c r="D454" t="s">
        <v>1698</v>
      </c>
      <c r="E454" t="s">
        <v>1696</v>
      </c>
      <c r="F454" t="s">
        <v>28</v>
      </c>
      <c r="G454" t="s">
        <v>1696</v>
      </c>
      <c r="H454" t="str">
        <f>"sftb-1"</f>
        <v>sftb-1</v>
      </c>
      <c r="I454" t="s">
        <v>1698</v>
      </c>
      <c r="J454">
        <v>13.6879974991427</v>
      </c>
      <c r="K454">
        <v>13.923082717124499</v>
      </c>
      <c r="L454">
        <v>13.880922579373699</v>
      </c>
      <c r="M454">
        <v>13.6470869754646</v>
      </c>
      <c r="N454">
        <v>13.8381159321938</v>
      </c>
      <c r="O454">
        <v>13.7547787080223</v>
      </c>
      <c r="P454">
        <v>-8.4007059986733496E-2</v>
      </c>
      <c r="Q454">
        <v>-0.67834040936644202</v>
      </c>
      <c r="R454">
        <v>0.51032628939297497</v>
      </c>
      <c r="S454">
        <v>14.152902001849901</v>
      </c>
      <c r="T454">
        <v>-0.29708327225070702</v>
      </c>
      <c r="U454">
        <v>-7.0059479024589297</v>
      </c>
      <c r="V454">
        <v>0.76982381845933501</v>
      </c>
      <c r="W454">
        <v>0.90205498929300598</v>
      </c>
      <c r="X454">
        <v>0</v>
      </c>
      <c r="Y454">
        <v>0</v>
      </c>
    </row>
    <row r="455" spans="1:25" x14ac:dyDescent="0.2">
      <c r="A455" t="s">
        <v>1699</v>
      </c>
      <c r="B455" t="s">
        <v>1700</v>
      </c>
      <c r="C455" t="s">
        <v>1701</v>
      </c>
      <c r="D455" t="s">
        <v>1702</v>
      </c>
      <c r="E455" t="s">
        <v>1700</v>
      </c>
      <c r="F455" t="s">
        <v>28</v>
      </c>
      <c r="G455" t="s">
        <v>1700</v>
      </c>
      <c r="H455" t="str">
        <f>"alg-1"</f>
        <v>alg-1</v>
      </c>
      <c r="I455" t="s">
        <v>1702</v>
      </c>
      <c r="J455">
        <v>13.4969972896688</v>
      </c>
      <c r="K455">
        <v>14.1745283280012</v>
      </c>
      <c r="L455">
        <v>14.2835432656014</v>
      </c>
      <c r="M455">
        <v>13.500537251812499</v>
      </c>
      <c r="N455">
        <v>13.5006062222884</v>
      </c>
      <c r="O455">
        <v>13.772725211949</v>
      </c>
      <c r="P455">
        <v>-0.39373339907383498</v>
      </c>
      <c r="Q455">
        <v>-1.0058083519747301</v>
      </c>
      <c r="R455">
        <v>0.218341553827063</v>
      </c>
      <c r="S455">
        <v>14.3497200712794</v>
      </c>
      <c r="T455">
        <v>-1.3520419334255001</v>
      </c>
      <c r="U455">
        <v>-6.1402598171523604</v>
      </c>
      <c r="V455">
        <v>0.193203826070005</v>
      </c>
      <c r="W455">
        <v>0.45555051591466</v>
      </c>
      <c r="X455">
        <v>0</v>
      </c>
      <c r="Y455">
        <v>0</v>
      </c>
    </row>
    <row r="456" spans="1:25" x14ac:dyDescent="0.2">
      <c r="A456" t="s">
        <v>1703</v>
      </c>
      <c r="B456" t="s">
        <v>1704</v>
      </c>
      <c r="C456" t="s">
        <v>1705</v>
      </c>
      <c r="D456" t="s">
        <v>1706</v>
      </c>
      <c r="E456" t="s">
        <v>1704</v>
      </c>
      <c r="F456" t="s">
        <v>28</v>
      </c>
      <c r="G456" t="s">
        <v>1704</v>
      </c>
      <c r="H456" t="str">
        <f>"ufd-3"</f>
        <v>ufd-3</v>
      </c>
      <c r="I456" t="s">
        <v>1706</v>
      </c>
      <c r="J456">
        <v>12.7102140961687</v>
      </c>
      <c r="K456">
        <v>12.6811677271367</v>
      </c>
      <c r="L456">
        <v>12.6025783971059</v>
      </c>
      <c r="M456">
        <v>14.3073848933925</v>
      </c>
      <c r="N456">
        <v>14.325457816112101</v>
      </c>
      <c r="O456">
        <v>14.114592080602501</v>
      </c>
      <c r="P456">
        <v>1.5844915232319401</v>
      </c>
      <c r="Q456">
        <v>1.1091559440305401</v>
      </c>
      <c r="R456">
        <v>2.0598271024333399</v>
      </c>
      <c r="S456">
        <v>13.5282176972791</v>
      </c>
      <c r="T456">
        <v>7.0061932232707402</v>
      </c>
      <c r="U456">
        <v>5.2292590973353903</v>
      </c>
      <c r="V456" s="2">
        <v>1.58640326876501E-6</v>
      </c>
      <c r="W456" s="2">
        <v>8.6035937276022405E-5</v>
      </c>
      <c r="X456">
        <v>1</v>
      </c>
      <c r="Y456">
        <v>1</v>
      </c>
    </row>
    <row r="457" spans="1:25" x14ac:dyDescent="0.2">
      <c r="A457" t="s">
        <v>1707</v>
      </c>
      <c r="B457" t="s">
        <v>1708</v>
      </c>
      <c r="C457" t="s">
        <v>1709</v>
      </c>
      <c r="D457" t="s">
        <v>1710</v>
      </c>
      <c r="E457" t="s">
        <v>1708</v>
      </c>
      <c r="F457" t="s">
        <v>28</v>
      </c>
      <c r="G457" t="s">
        <v>1708</v>
      </c>
      <c r="H457" t="str">
        <f>"txl-1"</f>
        <v>txl-1</v>
      </c>
      <c r="I457" t="s">
        <v>1710</v>
      </c>
      <c r="J457">
        <v>12.018839695545299</v>
      </c>
      <c r="K457">
        <v>12.742008559831399</v>
      </c>
      <c r="L457">
        <v>11.239904278333601</v>
      </c>
      <c r="M457">
        <v>13.762269355815601</v>
      </c>
      <c r="N457">
        <v>13.800683980793099</v>
      </c>
      <c r="O457">
        <v>13.2243677723021</v>
      </c>
      <c r="P457">
        <v>1.59552285840015</v>
      </c>
      <c r="Q457">
        <v>0.91266782382300005</v>
      </c>
      <c r="R457">
        <v>2.2783778929772902</v>
      </c>
      <c r="S457">
        <v>12.9064336683767</v>
      </c>
      <c r="T457">
        <v>4.9320165805431202</v>
      </c>
      <c r="U457">
        <v>0.83409886366061503</v>
      </c>
      <c r="V457">
        <v>1.28593203154355E-4</v>
      </c>
      <c r="W457">
        <v>3.83892002811258E-3</v>
      </c>
      <c r="X457">
        <v>1</v>
      </c>
      <c r="Y457">
        <v>1</v>
      </c>
    </row>
    <row r="458" spans="1:25" x14ac:dyDescent="0.2">
      <c r="A458" t="s">
        <v>1711</v>
      </c>
      <c r="B458" t="s">
        <v>1712</v>
      </c>
      <c r="C458" t="s">
        <v>1713</v>
      </c>
      <c r="D458" t="s">
        <v>1714</v>
      </c>
      <c r="E458" t="s">
        <v>1712</v>
      </c>
      <c r="F458" t="s">
        <v>28</v>
      </c>
      <c r="G458" t="s">
        <v>1712</v>
      </c>
      <c r="H458" t="str">
        <f>"dut-1"</f>
        <v>dut-1</v>
      </c>
      <c r="I458" t="s">
        <v>1714</v>
      </c>
      <c r="J458">
        <v>11.534904113826901</v>
      </c>
      <c r="K458">
        <v>11.583909431677499</v>
      </c>
      <c r="L458">
        <v>11.3837966268537</v>
      </c>
      <c r="M458" t="s">
        <v>29</v>
      </c>
      <c r="N458">
        <v>11.7318631480459</v>
      </c>
      <c r="O458">
        <v>11.927866235653999</v>
      </c>
      <c r="P458">
        <v>0.32899463439719201</v>
      </c>
      <c r="Q458">
        <v>-0.25043145973689801</v>
      </c>
      <c r="R458">
        <v>0.90842072853128197</v>
      </c>
      <c r="S458">
        <v>11.8577213569296</v>
      </c>
      <c r="T458">
        <v>1.2186602856403399</v>
      </c>
      <c r="U458">
        <v>-6.1924464580731202</v>
      </c>
      <c r="V458">
        <v>0.24325986880629599</v>
      </c>
      <c r="W458">
        <v>0.51702652716896602</v>
      </c>
      <c r="X458">
        <v>0</v>
      </c>
      <c r="Y458">
        <v>0</v>
      </c>
    </row>
    <row r="459" spans="1:25" x14ac:dyDescent="0.2">
      <c r="A459" t="s">
        <v>1715</v>
      </c>
      <c r="B459" t="s">
        <v>1716</v>
      </c>
      <c r="C459" t="s">
        <v>1717</v>
      </c>
      <c r="D459" t="s">
        <v>965</v>
      </c>
      <c r="E459" t="s">
        <v>1716</v>
      </c>
      <c r="F459" t="s">
        <v>28</v>
      </c>
      <c r="G459" t="s">
        <v>1716</v>
      </c>
      <c r="H459" t="str">
        <f>"cdr-6"</f>
        <v>cdr-6</v>
      </c>
      <c r="I459" t="s">
        <v>965</v>
      </c>
      <c r="J459">
        <v>15.2601846642153</v>
      </c>
      <c r="K459">
        <v>15.225481118135701</v>
      </c>
      <c r="L459">
        <v>15.1439247377629</v>
      </c>
      <c r="M459">
        <v>15.1326984939066</v>
      </c>
      <c r="N459">
        <v>15.0947835368596</v>
      </c>
      <c r="O459">
        <v>15.206399868209401</v>
      </c>
      <c r="P459">
        <v>-6.5236207046099906E-2</v>
      </c>
      <c r="Q459">
        <v>-0.41742933130994098</v>
      </c>
      <c r="R459">
        <v>0.28695691721774103</v>
      </c>
      <c r="S459">
        <v>15.374177152416999</v>
      </c>
      <c r="T459">
        <v>-0.39098297101782398</v>
      </c>
      <c r="U459">
        <v>-6.9720871271640501</v>
      </c>
      <c r="V459">
        <v>0.70069635725476898</v>
      </c>
      <c r="W459">
        <v>0.86634680914856199</v>
      </c>
      <c r="X459">
        <v>0</v>
      </c>
      <c r="Y459">
        <v>0</v>
      </c>
    </row>
    <row r="460" spans="1:25" x14ac:dyDescent="0.2">
      <c r="A460" t="s">
        <v>1718</v>
      </c>
      <c r="B460" t="s">
        <v>1719</v>
      </c>
      <c r="C460" t="s">
        <v>1720</v>
      </c>
      <c r="D460" t="s">
        <v>1721</v>
      </c>
      <c r="E460" t="s">
        <v>1719</v>
      </c>
      <c r="F460" t="s">
        <v>28</v>
      </c>
      <c r="G460" t="s">
        <v>1719</v>
      </c>
      <c r="H460" t="str">
        <f>"efa-6"</f>
        <v>efa-6</v>
      </c>
      <c r="I460" t="s">
        <v>1721</v>
      </c>
      <c r="J460">
        <v>10.697092645768199</v>
      </c>
      <c r="K460">
        <v>10.6134227384302</v>
      </c>
      <c r="L460">
        <v>10.5977058621901</v>
      </c>
      <c r="M460" t="s">
        <v>29</v>
      </c>
      <c r="N460">
        <v>10.1069026256499</v>
      </c>
      <c r="O460">
        <v>9.8307298106878793</v>
      </c>
      <c r="P460">
        <v>-0.66725753062726101</v>
      </c>
      <c r="Q460">
        <v>-1.44495622273209</v>
      </c>
      <c r="R460">
        <v>0.110441161477574</v>
      </c>
      <c r="S460">
        <v>10.288610843425801</v>
      </c>
      <c r="T460">
        <v>-1.8298846798806301</v>
      </c>
      <c r="U460">
        <v>-5.34617461045951</v>
      </c>
      <c r="V460">
        <v>8.73517110437773E-2</v>
      </c>
      <c r="W460">
        <v>0.30270763337215301</v>
      </c>
      <c r="X460">
        <v>0</v>
      </c>
      <c r="Y460">
        <v>0</v>
      </c>
    </row>
    <row r="461" spans="1:25" x14ac:dyDescent="0.2">
      <c r="A461" t="s">
        <v>1722</v>
      </c>
      <c r="B461" t="s">
        <v>1723</v>
      </c>
      <c r="C461" t="s">
        <v>1724</v>
      </c>
      <c r="D461" t="s">
        <v>945</v>
      </c>
      <c r="E461" t="s">
        <v>1723</v>
      </c>
      <c r="F461" t="s">
        <v>28</v>
      </c>
      <c r="G461" t="s">
        <v>1723</v>
      </c>
      <c r="H461" t="str">
        <f>"pud-1.2"</f>
        <v>pud-1.2</v>
      </c>
      <c r="I461" t="s">
        <v>945</v>
      </c>
      <c r="J461" t="s">
        <v>29</v>
      </c>
      <c r="K461" t="s">
        <v>29</v>
      </c>
      <c r="L461" t="s">
        <v>29</v>
      </c>
      <c r="M461">
        <v>11.482250964001301</v>
      </c>
      <c r="N461">
        <v>13.027540118755001</v>
      </c>
      <c r="O461">
        <v>12.3222352447943</v>
      </c>
      <c r="P461" t="s">
        <v>29</v>
      </c>
      <c r="Q461" t="s">
        <v>29</v>
      </c>
      <c r="R461" t="s">
        <v>29</v>
      </c>
      <c r="S461">
        <v>12.577568964952199</v>
      </c>
      <c r="T461" t="s">
        <v>29</v>
      </c>
      <c r="U461" t="s">
        <v>29</v>
      </c>
      <c r="V461" t="s">
        <v>29</v>
      </c>
      <c r="W461" t="s">
        <v>29</v>
      </c>
      <c r="X461" t="s">
        <v>29</v>
      </c>
      <c r="Y461" t="s">
        <v>29</v>
      </c>
    </row>
    <row r="462" spans="1:25" x14ac:dyDescent="0.2">
      <c r="A462" t="s">
        <v>1725</v>
      </c>
      <c r="B462" t="s">
        <v>1726</v>
      </c>
      <c r="C462" t="s">
        <v>1727</v>
      </c>
      <c r="D462" t="s">
        <v>1728</v>
      </c>
      <c r="E462" t="s">
        <v>1726</v>
      </c>
      <c r="F462" t="s">
        <v>28</v>
      </c>
      <c r="G462" t="s">
        <v>1726</v>
      </c>
      <c r="H462" t="str">
        <f>"nbet-1"</f>
        <v>nbet-1</v>
      </c>
      <c r="I462" t="s">
        <v>1728</v>
      </c>
      <c r="J462">
        <v>11.492436891521001</v>
      </c>
      <c r="K462" t="s">
        <v>29</v>
      </c>
      <c r="L462" t="s">
        <v>29</v>
      </c>
      <c r="M462">
        <v>13.541542482239</v>
      </c>
      <c r="N462">
        <v>13.685892552749401</v>
      </c>
      <c r="O462">
        <v>13.331166258914701</v>
      </c>
      <c r="P462">
        <v>2.0270968731133898</v>
      </c>
      <c r="Q462">
        <v>0.95749393888772705</v>
      </c>
      <c r="R462">
        <v>3.0966998073390499</v>
      </c>
      <c r="S462">
        <v>13.263142577137501</v>
      </c>
      <c r="T462">
        <v>4.1333000240732796</v>
      </c>
      <c r="U462">
        <v>-1.10154761571321</v>
      </c>
      <c r="V462">
        <v>1.4127314510142799E-3</v>
      </c>
      <c r="W462">
        <v>2.2207865418359798E-2</v>
      </c>
      <c r="X462">
        <v>1</v>
      </c>
      <c r="Y462">
        <v>1</v>
      </c>
    </row>
    <row r="463" spans="1:25" x14ac:dyDescent="0.2">
      <c r="A463" t="s">
        <v>1729</v>
      </c>
      <c r="B463" t="s">
        <v>1730</v>
      </c>
      <c r="C463" t="s">
        <v>1731</v>
      </c>
      <c r="D463" t="s">
        <v>1732</v>
      </c>
      <c r="E463" t="s">
        <v>1730</v>
      </c>
      <c r="F463" t="s">
        <v>28</v>
      </c>
      <c r="G463" t="s">
        <v>1730</v>
      </c>
      <c r="H463" t="str">
        <f>"set-25"</f>
        <v>set-25</v>
      </c>
      <c r="I463" t="s">
        <v>1732</v>
      </c>
      <c r="J463" t="s">
        <v>29</v>
      </c>
      <c r="K463" t="s">
        <v>29</v>
      </c>
      <c r="L463" t="s">
        <v>29</v>
      </c>
      <c r="M463" t="s">
        <v>29</v>
      </c>
      <c r="N463" t="s">
        <v>29</v>
      </c>
      <c r="O463" t="s">
        <v>29</v>
      </c>
      <c r="P463" t="s">
        <v>29</v>
      </c>
      <c r="Q463" t="s">
        <v>29</v>
      </c>
      <c r="R463" t="s">
        <v>29</v>
      </c>
      <c r="S463">
        <v>11.2226139781912</v>
      </c>
      <c r="T463" t="s">
        <v>29</v>
      </c>
      <c r="U463" t="s">
        <v>29</v>
      </c>
      <c r="V463" t="s">
        <v>29</v>
      </c>
      <c r="W463" t="s">
        <v>29</v>
      </c>
      <c r="X463" t="s">
        <v>29</v>
      </c>
      <c r="Y463" t="s">
        <v>29</v>
      </c>
    </row>
    <row r="464" spans="1:25" x14ac:dyDescent="0.2">
      <c r="A464" t="s">
        <v>1733</v>
      </c>
      <c r="B464" t="s">
        <v>1734</v>
      </c>
      <c r="C464" t="s">
        <v>1735</v>
      </c>
      <c r="D464" t="s">
        <v>1736</v>
      </c>
      <c r="E464" t="s">
        <v>1734</v>
      </c>
      <c r="F464" t="s">
        <v>28</v>
      </c>
      <c r="G464" t="s">
        <v>1734</v>
      </c>
      <c r="H464" t="str">
        <f>"trr-1"</f>
        <v>trr-1</v>
      </c>
      <c r="I464" t="s">
        <v>1736</v>
      </c>
      <c r="J464">
        <v>13.4317674719642</v>
      </c>
      <c r="K464">
        <v>13.8588218780839</v>
      </c>
      <c r="L464">
        <v>13.6595522944801</v>
      </c>
      <c r="M464">
        <v>13.2854916599163</v>
      </c>
      <c r="N464">
        <v>13.4406983127859</v>
      </c>
      <c r="O464">
        <v>13.407906784474701</v>
      </c>
      <c r="P464">
        <v>-0.272014962450427</v>
      </c>
      <c r="Q464">
        <v>-0.68828602094875801</v>
      </c>
      <c r="R464">
        <v>0.14425609604790299</v>
      </c>
      <c r="S464">
        <v>13.966418353771701</v>
      </c>
      <c r="T464">
        <v>-1.3734380951798599</v>
      </c>
      <c r="U464">
        <v>-6.1125936274749204</v>
      </c>
      <c r="V464">
        <v>0.18658007397934101</v>
      </c>
      <c r="W464">
        <v>0.45039110104366298</v>
      </c>
      <c r="X464">
        <v>0</v>
      </c>
      <c r="Y464">
        <v>0</v>
      </c>
    </row>
    <row r="465" spans="1:25" x14ac:dyDescent="0.2">
      <c r="A465" t="s">
        <v>1737</v>
      </c>
      <c r="B465" t="s">
        <v>1738</v>
      </c>
      <c r="C465" t="s">
        <v>1739</v>
      </c>
      <c r="D465" t="s">
        <v>1740</v>
      </c>
      <c r="E465" t="s">
        <v>1738</v>
      </c>
      <c r="F465" t="s">
        <v>28</v>
      </c>
      <c r="G465" t="s">
        <v>1738</v>
      </c>
      <c r="H465" t="str">
        <f>"pud-3"</f>
        <v>pud-3</v>
      </c>
      <c r="I465" t="s">
        <v>1740</v>
      </c>
      <c r="J465">
        <v>15.3121547128207</v>
      </c>
      <c r="K465">
        <v>15.094281319254399</v>
      </c>
      <c r="L465">
        <v>14.694136123487</v>
      </c>
      <c r="M465">
        <v>15.359523554212901</v>
      </c>
      <c r="N465">
        <v>15.168596635596399</v>
      </c>
      <c r="O465">
        <v>15.5199885586453</v>
      </c>
      <c r="P465">
        <v>0.315845530964173</v>
      </c>
      <c r="Q465">
        <v>-0.29426480378523001</v>
      </c>
      <c r="R465">
        <v>0.92595586571357702</v>
      </c>
      <c r="S465">
        <v>14.545197447237401</v>
      </c>
      <c r="T465">
        <v>1.08807508984307</v>
      </c>
      <c r="U465">
        <v>-6.4514490596387297</v>
      </c>
      <c r="V465">
        <v>0.29099981820912202</v>
      </c>
      <c r="W465">
        <v>0.57073294396640095</v>
      </c>
      <c r="X465">
        <v>0</v>
      </c>
      <c r="Y465">
        <v>0</v>
      </c>
    </row>
    <row r="466" spans="1:25" x14ac:dyDescent="0.2">
      <c r="A466" t="s">
        <v>1741</v>
      </c>
      <c r="B466" t="s">
        <v>1742</v>
      </c>
      <c r="C466" t="s">
        <v>1743</v>
      </c>
      <c r="D466" t="s">
        <v>1744</v>
      </c>
      <c r="E466" t="s">
        <v>1742</v>
      </c>
      <c r="F466" t="s">
        <v>28</v>
      </c>
      <c r="G466" t="s">
        <v>1742</v>
      </c>
      <c r="H466" t="str">
        <f>"C27C12.3"</f>
        <v>C27C12.3</v>
      </c>
      <c r="I466" t="s">
        <v>1744</v>
      </c>
      <c r="J466" t="s">
        <v>29</v>
      </c>
      <c r="K466" t="s">
        <v>29</v>
      </c>
      <c r="L466" t="s">
        <v>29</v>
      </c>
      <c r="M466" t="s">
        <v>29</v>
      </c>
      <c r="N466" t="s">
        <v>29</v>
      </c>
      <c r="O466" t="s">
        <v>29</v>
      </c>
      <c r="P466" t="s">
        <v>29</v>
      </c>
      <c r="Q466" t="s">
        <v>29</v>
      </c>
      <c r="R466" t="s">
        <v>29</v>
      </c>
      <c r="S466">
        <v>10.758963090336101</v>
      </c>
      <c r="T466" t="s">
        <v>29</v>
      </c>
      <c r="U466" t="s">
        <v>29</v>
      </c>
      <c r="V466" t="s">
        <v>29</v>
      </c>
      <c r="W466" t="s">
        <v>29</v>
      </c>
      <c r="X466" t="s">
        <v>29</v>
      </c>
      <c r="Y466" t="s">
        <v>29</v>
      </c>
    </row>
    <row r="467" spans="1:25" x14ac:dyDescent="0.2">
      <c r="A467" t="s">
        <v>1745</v>
      </c>
      <c r="B467" t="s">
        <v>1746</v>
      </c>
      <c r="C467" t="s">
        <v>14265</v>
      </c>
      <c r="D467" t="s">
        <v>1747</v>
      </c>
      <c r="E467" t="s">
        <v>1746</v>
      </c>
      <c r="F467" t="s">
        <v>28</v>
      </c>
      <c r="G467" t="s">
        <v>1746</v>
      </c>
      <c r="H467" t="str">
        <f>"F54E12.2"</f>
        <v>F54E12.2</v>
      </c>
      <c r="I467" t="s">
        <v>1747</v>
      </c>
      <c r="J467">
        <v>12.9698958874187</v>
      </c>
      <c r="K467">
        <v>13.164206427601</v>
      </c>
      <c r="L467">
        <v>13.005843664370101</v>
      </c>
      <c r="M467">
        <v>12.529317068650499</v>
      </c>
      <c r="N467">
        <v>13.3851864307101</v>
      </c>
      <c r="O467">
        <v>12.784711199078799</v>
      </c>
      <c r="P467">
        <v>-0.14691042698347301</v>
      </c>
      <c r="Q467">
        <v>-0.58990765160843495</v>
      </c>
      <c r="R467">
        <v>0.29608679764148998</v>
      </c>
      <c r="S467">
        <v>13.2183159169292</v>
      </c>
      <c r="T467">
        <v>-0.70339802636750004</v>
      </c>
      <c r="U467">
        <v>-6.7950786316584004</v>
      </c>
      <c r="V467">
        <v>0.491983385258013</v>
      </c>
      <c r="W467">
        <v>0.74530443930613299</v>
      </c>
      <c r="X467">
        <v>0</v>
      </c>
      <c r="Y467">
        <v>0</v>
      </c>
    </row>
    <row r="468" spans="1:25" x14ac:dyDescent="0.2">
      <c r="A468" t="s">
        <v>1748</v>
      </c>
      <c r="B468" t="s">
        <v>1749</v>
      </c>
      <c r="C468" t="s">
        <v>1750</v>
      </c>
      <c r="D468" t="s">
        <v>1751</v>
      </c>
      <c r="E468" t="s">
        <v>1749</v>
      </c>
      <c r="F468" t="s">
        <v>28</v>
      </c>
      <c r="G468" t="s">
        <v>1749</v>
      </c>
      <c r="H468" t="str">
        <f>"sig-7"</f>
        <v>sig-7</v>
      </c>
      <c r="I468" t="s">
        <v>1751</v>
      </c>
      <c r="J468">
        <v>11.0747690281601</v>
      </c>
      <c r="K468">
        <v>12.4213512505482</v>
      </c>
      <c r="L468">
        <v>12.3169343125621</v>
      </c>
      <c r="M468">
        <v>11.1690582828234</v>
      </c>
      <c r="N468">
        <v>10.0479848218228</v>
      </c>
      <c r="O468">
        <v>11.4897253039947</v>
      </c>
      <c r="P468">
        <v>-1.0354287275431899</v>
      </c>
      <c r="Q468">
        <v>-1.8762613255574501</v>
      </c>
      <c r="R468">
        <v>-0.19459612952893299</v>
      </c>
      <c r="S468">
        <v>12.243726788643301</v>
      </c>
      <c r="T468">
        <v>-2.6119219766767698</v>
      </c>
      <c r="U468">
        <v>-4.0619400210215</v>
      </c>
      <c r="V468">
        <v>1.8951631233276998E-2</v>
      </c>
      <c r="W468">
        <v>0.13407532921788501</v>
      </c>
      <c r="X468">
        <v>-1</v>
      </c>
      <c r="Y468">
        <v>0</v>
      </c>
    </row>
    <row r="469" spans="1:25" x14ac:dyDescent="0.2">
      <c r="A469" t="s">
        <v>1752</v>
      </c>
      <c r="B469" t="s">
        <v>1753</v>
      </c>
      <c r="C469" t="s">
        <v>1754</v>
      </c>
      <c r="D469" t="s">
        <v>1755</v>
      </c>
      <c r="E469" t="s">
        <v>1753</v>
      </c>
      <c r="F469" t="s">
        <v>28</v>
      </c>
      <c r="G469" t="s">
        <v>1753</v>
      </c>
      <c r="H469" t="str">
        <f>"cnk-1"</f>
        <v>cnk-1</v>
      </c>
      <c r="I469" t="s">
        <v>1755</v>
      </c>
      <c r="J469">
        <v>12.5564470590884</v>
      </c>
      <c r="K469">
        <v>13.6029291216265</v>
      </c>
      <c r="L469">
        <v>12.119215711239001</v>
      </c>
      <c r="M469">
        <v>12.7295520054374</v>
      </c>
      <c r="N469">
        <v>13.3877148971188</v>
      </c>
      <c r="O469" t="s">
        <v>29</v>
      </c>
      <c r="P469">
        <v>0.29910282062683002</v>
      </c>
      <c r="Q469">
        <v>-0.47925644393144801</v>
      </c>
      <c r="R469">
        <v>1.07746208518511</v>
      </c>
      <c r="S469">
        <v>12.566645940161701</v>
      </c>
      <c r="T469">
        <v>0.82476894921383004</v>
      </c>
      <c r="U469">
        <v>-6.5888155569103999</v>
      </c>
      <c r="V469">
        <v>0.42343605021469799</v>
      </c>
      <c r="W469">
        <v>0.69582120483393295</v>
      </c>
      <c r="X469">
        <v>0</v>
      </c>
      <c r="Y469">
        <v>0</v>
      </c>
    </row>
    <row r="470" spans="1:25" x14ac:dyDescent="0.2">
      <c r="A470" t="s">
        <v>1756</v>
      </c>
      <c r="B470" t="s">
        <v>1757</v>
      </c>
      <c r="C470" t="s">
        <v>14266</v>
      </c>
      <c r="D470" t="s">
        <v>1758</v>
      </c>
      <c r="E470" t="s">
        <v>1757</v>
      </c>
      <c r="F470" t="s">
        <v>28</v>
      </c>
      <c r="G470" t="s">
        <v>1757</v>
      </c>
      <c r="H470" t="str">
        <f>"F49C12.15"</f>
        <v>F49C12.15</v>
      </c>
      <c r="I470" t="s">
        <v>1758</v>
      </c>
      <c r="J470">
        <v>12.367652087197699</v>
      </c>
      <c r="K470">
        <v>12.1129444121269</v>
      </c>
      <c r="L470">
        <v>12.4273808066961</v>
      </c>
      <c r="M470">
        <v>11.4699656502341</v>
      </c>
      <c r="N470" t="s">
        <v>29</v>
      </c>
      <c r="O470" t="s">
        <v>29</v>
      </c>
      <c r="P470">
        <v>-0.83269345177274101</v>
      </c>
      <c r="Q470">
        <v>-1.7660167452507201</v>
      </c>
      <c r="R470">
        <v>0.100629841705243</v>
      </c>
      <c r="S470">
        <v>11.943161982557699</v>
      </c>
      <c r="T470">
        <v>-1.92903580615273</v>
      </c>
      <c r="U470">
        <v>-4.9768907455045497</v>
      </c>
      <c r="V470">
        <v>7.6028922889447001E-2</v>
      </c>
      <c r="W470">
        <v>0.282740702951155</v>
      </c>
      <c r="X470">
        <v>0</v>
      </c>
      <c r="Y470">
        <v>0</v>
      </c>
    </row>
    <row r="471" spans="1:25" x14ac:dyDescent="0.2">
      <c r="A471" t="s">
        <v>1759</v>
      </c>
      <c r="B471" t="s">
        <v>1760</v>
      </c>
      <c r="C471" t="s">
        <v>1761</v>
      </c>
      <c r="D471" t="s">
        <v>115</v>
      </c>
      <c r="E471" t="s">
        <v>1760</v>
      </c>
      <c r="F471" t="s">
        <v>28</v>
      </c>
      <c r="G471" t="s">
        <v>1760</v>
      </c>
      <c r="H471" t="str">
        <f>"pbrm-1"</f>
        <v>pbrm-1</v>
      </c>
      <c r="I471" t="s">
        <v>115</v>
      </c>
      <c r="J471">
        <v>11.1450287874968</v>
      </c>
      <c r="K471">
        <v>11.545214199255</v>
      </c>
      <c r="L471">
        <v>11.9111282436637</v>
      </c>
      <c r="M471" t="s">
        <v>29</v>
      </c>
      <c r="N471">
        <v>10.395083693881601</v>
      </c>
      <c r="O471">
        <v>12.118688795901599</v>
      </c>
      <c r="P471">
        <v>-0.27690416524691303</v>
      </c>
      <c r="Q471">
        <v>-1.18370478847009</v>
      </c>
      <c r="R471">
        <v>0.62989645797626104</v>
      </c>
      <c r="S471">
        <v>12.0582773753788</v>
      </c>
      <c r="T471">
        <v>-0.65126731733571597</v>
      </c>
      <c r="U471">
        <v>-6.7203549684939698</v>
      </c>
      <c r="V471">
        <v>0.52479520144561798</v>
      </c>
      <c r="W471">
        <v>0.76922684031713495</v>
      </c>
      <c r="X471">
        <v>0</v>
      </c>
      <c r="Y471">
        <v>0</v>
      </c>
    </row>
    <row r="472" spans="1:25" x14ac:dyDescent="0.2">
      <c r="A472" t="s">
        <v>1762</v>
      </c>
      <c r="B472" t="s">
        <v>1763</v>
      </c>
      <c r="C472" t="s">
        <v>14267</v>
      </c>
      <c r="D472" t="s">
        <v>1764</v>
      </c>
      <c r="E472" t="s">
        <v>1763</v>
      </c>
      <c r="F472" t="s">
        <v>28</v>
      </c>
      <c r="G472" t="s">
        <v>1763</v>
      </c>
      <c r="H472" t="str">
        <f>"ZK1010.2"</f>
        <v>ZK1010.2</v>
      </c>
      <c r="I472" t="s">
        <v>1764</v>
      </c>
      <c r="J472">
        <v>13.086881832261501</v>
      </c>
      <c r="K472">
        <v>12.743301568526</v>
      </c>
      <c r="L472">
        <v>12.848235877676499</v>
      </c>
      <c r="M472">
        <v>12.4414699365587</v>
      </c>
      <c r="N472">
        <v>11.958692848232101</v>
      </c>
      <c r="O472">
        <v>11.9423495253252</v>
      </c>
      <c r="P472">
        <v>-0.77863565611598995</v>
      </c>
      <c r="Q472">
        <v>-1.4479923831006301</v>
      </c>
      <c r="R472">
        <v>-0.109278929131344</v>
      </c>
      <c r="S472">
        <v>12.395033083981801</v>
      </c>
      <c r="T472">
        <v>-2.4554249716039398</v>
      </c>
      <c r="U472">
        <v>-4.3449802597648404</v>
      </c>
      <c r="V472">
        <v>2.5208882226627601E-2</v>
      </c>
      <c r="W472">
        <v>0.15506560069082501</v>
      </c>
      <c r="X472">
        <v>0</v>
      </c>
      <c r="Y472">
        <v>0</v>
      </c>
    </row>
    <row r="473" spans="1:25" x14ac:dyDescent="0.2">
      <c r="A473" t="s">
        <v>1765</v>
      </c>
      <c r="B473" t="s">
        <v>1766</v>
      </c>
      <c r="C473" s="2" t="s">
        <v>1767</v>
      </c>
      <c r="D473" t="s">
        <v>1768</v>
      </c>
      <c r="E473" t="s">
        <v>1766</v>
      </c>
      <c r="F473" t="s">
        <v>28</v>
      </c>
      <c r="G473" t="s">
        <v>1766</v>
      </c>
      <c r="H473" t="str">
        <f>"3E324"</f>
        <v>3E324</v>
      </c>
      <c r="I473" t="s">
        <v>1768</v>
      </c>
      <c r="J473">
        <v>13.0491168400308</v>
      </c>
      <c r="K473">
        <v>13.0568108309319</v>
      </c>
      <c r="L473">
        <v>12.8513698381126</v>
      </c>
      <c r="M473">
        <v>13.252018189387799</v>
      </c>
      <c r="N473">
        <v>13.009082463391801</v>
      </c>
      <c r="O473">
        <v>13.223381176573</v>
      </c>
      <c r="P473">
        <v>0.175728106759131</v>
      </c>
      <c r="Q473">
        <v>-0.30741803446850102</v>
      </c>
      <c r="R473">
        <v>0.65887424798676297</v>
      </c>
      <c r="S473">
        <v>13.179186739009699</v>
      </c>
      <c r="T473">
        <v>0.76773745369864899</v>
      </c>
      <c r="U473">
        <v>-6.7475461531415899</v>
      </c>
      <c r="V473">
        <v>0.45324030638803098</v>
      </c>
      <c r="W473">
        <v>0.72013865087238904</v>
      </c>
      <c r="X473">
        <v>0</v>
      </c>
      <c r="Y473">
        <v>0</v>
      </c>
    </row>
    <row r="474" spans="1:25" x14ac:dyDescent="0.2">
      <c r="A474" t="s">
        <v>1769</v>
      </c>
      <c r="B474" t="s">
        <v>1770</v>
      </c>
      <c r="C474" t="s">
        <v>1771</v>
      </c>
      <c r="D474" t="s">
        <v>1772</v>
      </c>
      <c r="E474" t="s">
        <v>1770</v>
      </c>
      <c r="F474" t="s">
        <v>28</v>
      </c>
      <c r="G474" t="s">
        <v>1770</v>
      </c>
      <c r="H474" t="str">
        <f>"spn-4"</f>
        <v>spn-4</v>
      </c>
      <c r="I474" t="s">
        <v>1772</v>
      </c>
      <c r="J474">
        <v>11.4550040987136</v>
      </c>
      <c r="K474">
        <v>12.9145587965505</v>
      </c>
      <c r="L474" t="s">
        <v>29</v>
      </c>
      <c r="M474" t="s">
        <v>29</v>
      </c>
      <c r="N474">
        <v>10.8721750918066</v>
      </c>
      <c r="O474" t="s">
        <v>29</v>
      </c>
      <c r="P474">
        <v>-1.3126063558254399</v>
      </c>
      <c r="Q474">
        <v>-2.49183034216296</v>
      </c>
      <c r="R474">
        <v>-0.13338236948791701</v>
      </c>
      <c r="S474">
        <v>12.6888369047805</v>
      </c>
      <c r="T474">
        <v>-2.45282120272587</v>
      </c>
      <c r="U474">
        <v>-4.0897226162266698</v>
      </c>
      <c r="V474">
        <v>3.2276867474931303E-2</v>
      </c>
      <c r="W474">
        <v>0.177029249102716</v>
      </c>
      <c r="X474">
        <v>-1</v>
      </c>
      <c r="Y474">
        <v>0</v>
      </c>
    </row>
    <row r="475" spans="1:25" x14ac:dyDescent="0.2">
      <c r="A475" t="s">
        <v>1773</v>
      </c>
      <c r="B475" t="s">
        <v>1774</v>
      </c>
      <c r="C475" t="s">
        <v>1775</v>
      </c>
      <c r="D475" t="s">
        <v>1776</v>
      </c>
      <c r="E475" t="s">
        <v>1774</v>
      </c>
      <c r="F475" t="s">
        <v>28</v>
      </c>
      <c r="G475" t="s">
        <v>1774</v>
      </c>
      <c r="H475" t="str">
        <f>"pos-1"</f>
        <v>pos-1</v>
      </c>
      <c r="I475" t="s">
        <v>1776</v>
      </c>
      <c r="J475" t="s">
        <v>29</v>
      </c>
      <c r="K475" t="s">
        <v>29</v>
      </c>
      <c r="L475" t="s">
        <v>29</v>
      </c>
      <c r="M475" t="s">
        <v>29</v>
      </c>
      <c r="N475" t="s">
        <v>29</v>
      </c>
      <c r="O475" t="s">
        <v>29</v>
      </c>
      <c r="P475" t="s">
        <v>29</v>
      </c>
      <c r="Q475" t="s">
        <v>29</v>
      </c>
      <c r="R475" t="s">
        <v>29</v>
      </c>
      <c r="S475">
        <v>11.997104205950601</v>
      </c>
      <c r="T475" t="s">
        <v>29</v>
      </c>
      <c r="U475" t="s">
        <v>29</v>
      </c>
      <c r="V475" t="s">
        <v>29</v>
      </c>
      <c r="W475" t="s">
        <v>29</v>
      </c>
      <c r="X475" t="s">
        <v>29</v>
      </c>
      <c r="Y475" t="s">
        <v>29</v>
      </c>
    </row>
    <row r="476" spans="1:25" x14ac:dyDescent="0.2">
      <c r="A476" t="s">
        <v>1777</v>
      </c>
      <c r="B476" t="s">
        <v>1778</v>
      </c>
      <c r="C476" t="s">
        <v>1779</v>
      </c>
      <c r="D476" t="s">
        <v>211</v>
      </c>
      <c r="E476" t="s">
        <v>1778</v>
      </c>
      <c r="F476" t="s">
        <v>28</v>
      </c>
      <c r="G476" t="s">
        <v>1778</v>
      </c>
      <c r="H476" t="str">
        <f>"pat-10"</f>
        <v>pat-10</v>
      </c>
      <c r="I476" t="s">
        <v>211</v>
      </c>
      <c r="J476" t="s">
        <v>29</v>
      </c>
      <c r="K476" t="s">
        <v>29</v>
      </c>
      <c r="L476" t="s">
        <v>29</v>
      </c>
      <c r="M476" t="s">
        <v>29</v>
      </c>
      <c r="N476" t="s">
        <v>29</v>
      </c>
      <c r="O476">
        <v>13.306569713824899</v>
      </c>
      <c r="P476" t="s">
        <v>29</v>
      </c>
      <c r="Q476" t="s">
        <v>29</v>
      </c>
      <c r="R476" t="s">
        <v>29</v>
      </c>
      <c r="S476">
        <v>11.7661478047148</v>
      </c>
      <c r="T476" t="s">
        <v>29</v>
      </c>
      <c r="U476" t="s">
        <v>29</v>
      </c>
      <c r="V476" t="s">
        <v>29</v>
      </c>
      <c r="W476" t="s">
        <v>29</v>
      </c>
      <c r="X476" t="s">
        <v>29</v>
      </c>
      <c r="Y476" t="s">
        <v>29</v>
      </c>
    </row>
    <row r="477" spans="1:25" x14ac:dyDescent="0.2">
      <c r="A477" t="s">
        <v>1780</v>
      </c>
      <c r="B477" t="s">
        <v>1781</v>
      </c>
      <c r="C477" t="s">
        <v>1782</v>
      </c>
      <c r="D477" t="s">
        <v>1783</v>
      </c>
      <c r="E477" t="s">
        <v>1781</v>
      </c>
      <c r="F477" t="s">
        <v>28</v>
      </c>
      <c r="G477" t="s">
        <v>1781</v>
      </c>
      <c r="H477" t="str">
        <f>"snf-11"</f>
        <v>snf-11</v>
      </c>
      <c r="I477" t="s">
        <v>1783</v>
      </c>
      <c r="J477">
        <v>13.0613030673316</v>
      </c>
      <c r="K477">
        <v>12.715417183550199</v>
      </c>
      <c r="L477">
        <v>12.7265974826066</v>
      </c>
      <c r="M477">
        <v>13.6126078363099</v>
      </c>
      <c r="N477">
        <v>13.3448548461795</v>
      </c>
      <c r="O477">
        <v>13.0634047925105</v>
      </c>
      <c r="P477">
        <v>0.50584991383716504</v>
      </c>
      <c r="Q477">
        <v>-5.1421979588892497E-2</v>
      </c>
      <c r="R477">
        <v>1.06312180726322</v>
      </c>
      <c r="S477">
        <v>13.3830179543918</v>
      </c>
      <c r="T477">
        <v>1.9160399234199601</v>
      </c>
      <c r="U477">
        <v>-5.3069906685232597</v>
      </c>
      <c r="V477">
        <v>7.2438550715113903E-2</v>
      </c>
      <c r="W477">
        <v>0.273768924537725</v>
      </c>
      <c r="X477">
        <v>0</v>
      </c>
      <c r="Y477">
        <v>0</v>
      </c>
    </row>
    <row r="478" spans="1:25" x14ac:dyDescent="0.2">
      <c r="A478" t="s">
        <v>1784</v>
      </c>
      <c r="B478" t="s">
        <v>1785</v>
      </c>
      <c r="C478" t="s">
        <v>1786</v>
      </c>
      <c r="D478" t="s">
        <v>1787</v>
      </c>
      <c r="E478" t="s">
        <v>1785</v>
      </c>
      <c r="F478" t="s">
        <v>28</v>
      </c>
      <c r="G478" t="s">
        <v>1785</v>
      </c>
      <c r="H478" t="str">
        <f>"fld-1"</f>
        <v>fld-1</v>
      </c>
      <c r="I478" t="s">
        <v>1787</v>
      </c>
      <c r="J478">
        <v>13.9773698579998</v>
      </c>
      <c r="K478">
        <v>14.2589463576598</v>
      </c>
      <c r="L478">
        <v>13.9915494466459</v>
      </c>
      <c r="M478">
        <v>13.8620221383502</v>
      </c>
      <c r="N478">
        <v>13.7872287419499</v>
      </c>
      <c r="O478">
        <v>13.9144383137742</v>
      </c>
      <c r="P478">
        <v>-0.221392156077062</v>
      </c>
      <c r="Q478">
        <v>-0.65888355608906102</v>
      </c>
      <c r="R478">
        <v>0.21609924393493599</v>
      </c>
      <c r="S478">
        <v>14.4984717711095</v>
      </c>
      <c r="T478">
        <v>-1.0636168836390101</v>
      </c>
      <c r="U478">
        <v>-6.4773407550446098</v>
      </c>
      <c r="V478">
        <v>0.30164497199048601</v>
      </c>
      <c r="W478">
        <v>0.58080043719351504</v>
      </c>
      <c r="X478">
        <v>0</v>
      </c>
      <c r="Y478">
        <v>0</v>
      </c>
    </row>
    <row r="479" spans="1:25" x14ac:dyDescent="0.2">
      <c r="A479" t="s">
        <v>1788</v>
      </c>
      <c r="B479" t="s">
        <v>1789</v>
      </c>
      <c r="C479" t="s">
        <v>1790</v>
      </c>
      <c r="D479" t="s">
        <v>1791</v>
      </c>
      <c r="E479" t="s">
        <v>1789</v>
      </c>
      <c r="F479" t="s">
        <v>28</v>
      </c>
      <c r="G479" t="s">
        <v>1789</v>
      </c>
      <c r="H479" t="str">
        <f>"ltd-1"</f>
        <v>ltd-1</v>
      </c>
      <c r="I479" t="s">
        <v>1791</v>
      </c>
      <c r="J479">
        <v>12.0246989470941</v>
      </c>
      <c r="K479" t="s">
        <v>29</v>
      </c>
      <c r="L479">
        <v>11.900834844101899</v>
      </c>
      <c r="M479">
        <v>11.9331258156916</v>
      </c>
      <c r="N479">
        <v>11.569731097016</v>
      </c>
      <c r="O479">
        <v>11.312212795188501</v>
      </c>
      <c r="P479">
        <v>-0.35774365963263799</v>
      </c>
      <c r="Q479">
        <v>-0.95727812089229003</v>
      </c>
      <c r="R479">
        <v>0.241790801627015</v>
      </c>
      <c r="S479">
        <v>11.845241771104799</v>
      </c>
      <c r="T479">
        <v>-1.28070671550226</v>
      </c>
      <c r="U479">
        <v>-6.1184906783671398</v>
      </c>
      <c r="V479">
        <v>0.221261665393196</v>
      </c>
      <c r="W479">
        <v>0.48878849911029099</v>
      </c>
      <c r="X479">
        <v>0</v>
      </c>
      <c r="Y479">
        <v>0</v>
      </c>
    </row>
    <row r="480" spans="1:25" x14ac:dyDescent="0.2">
      <c r="A480" t="s">
        <v>1792</v>
      </c>
      <c r="B480" t="s">
        <v>1793</v>
      </c>
      <c r="C480" t="s">
        <v>1794</v>
      </c>
      <c r="D480" t="s">
        <v>1795</v>
      </c>
      <c r="E480" t="s">
        <v>1793</v>
      </c>
      <c r="F480" t="s">
        <v>28</v>
      </c>
      <c r="G480" t="s">
        <v>1793</v>
      </c>
      <c r="H480" t="str">
        <f>"swsn-4"</f>
        <v>swsn-4</v>
      </c>
      <c r="I480" t="s">
        <v>1795</v>
      </c>
      <c r="J480">
        <v>12.670855634457</v>
      </c>
      <c r="K480">
        <v>12.6899850900123</v>
      </c>
      <c r="L480">
        <v>12.1435020669725</v>
      </c>
      <c r="M480">
        <v>12.660023931720399</v>
      </c>
      <c r="N480">
        <v>12.3155122080921</v>
      </c>
      <c r="O480">
        <v>12.243899955124601</v>
      </c>
      <c r="P480">
        <v>-9.49688988348978E-2</v>
      </c>
      <c r="Q480">
        <v>-0.65443310869403004</v>
      </c>
      <c r="R480">
        <v>0.46449531102423403</v>
      </c>
      <c r="S480">
        <v>12.7626149686254</v>
      </c>
      <c r="T480">
        <v>-0.35831014650533699</v>
      </c>
      <c r="U480">
        <v>-6.9848501759627304</v>
      </c>
      <c r="V480">
        <v>0.72454906683638598</v>
      </c>
      <c r="W480">
        <v>0.88098910847631096</v>
      </c>
      <c r="X480">
        <v>0</v>
      </c>
      <c r="Y480">
        <v>0</v>
      </c>
    </row>
    <row r="481" spans="1:25" x14ac:dyDescent="0.2">
      <c r="A481" t="s">
        <v>1796</v>
      </c>
      <c r="B481" t="s">
        <v>1797</v>
      </c>
      <c r="C481" t="s">
        <v>1798</v>
      </c>
      <c r="D481" t="s">
        <v>1799</v>
      </c>
      <c r="E481" t="s">
        <v>1797</v>
      </c>
      <c r="F481" t="s">
        <v>28</v>
      </c>
      <c r="G481" t="s">
        <v>1797</v>
      </c>
      <c r="H481" t="str">
        <f>"ipla-7"</f>
        <v>ipla-7</v>
      </c>
      <c r="I481" t="s">
        <v>1799</v>
      </c>
      <c r="J481">
        <v>13.092515751843701</v>
      </c>
      <c r="K481">
        <v>12.5549831911372</v>
      </c>
      <c r="L481">
        <v>12.399862471255201</v>
      </c>
      <c r="M481" t="s">
        <v>29</v>
      </c>
      <c r="N481">
        <v>12.3364285211264</v>
      </c>
      <c r="O481">
        <v>11.2747291181027</v>
      </c>
      <c r="P481">
        <v>-0.87687498513081696</v>
      </c>
      <c r="Q481">
        <v>-1.6723371616973299</v>
      </c>
      <c r="R481">
        <v>-8.1412808564307798E-2</v>
      </c>
      <c r="S481">
        <v>12.4714732303541</v>
      </c>
      <c r="T481">
        <v>-2.3659743911796798</v>
      </c>
      <c r="U481">
        <v>-4.4477592102927703</v>
      </c>
      <c r="V481">
        <v>3.30661251599082E-2</v>
      </c>
      <c r="W481">
        <v>0.17962799878187199</v>
      </c>
      <c r="X481">
        <v>0</v>
      </c>
      <c r="Y481">
        <v>0</v>
      </c>
    </row>
    <row r="482" spans="1:25" x14ac:dyDescent="0.2">
      <c r="A482" t="s">
        <v>1800</v>
      </c>
      <c r="B482" t="s">
        <v>1801</v>
      </c>
      <c r="C482" t="s">
        <v>1802</v>
      </c>
      <c r="D482" t="s">
        <v>1803</v>
      </c>
      <c r="E482" t="s">
        <v>1801</v>
      </c>
      <c r="F482" t="s">
        <v>28</v>
      </c>
      <c r="G482" t="s">
        <v>1801</v>
      </c>
      <c r="H482" t="str">
        <f>"popl-5"</f>
        <v>popl-5</v>
      </c>
      <c r="I482" t="s">
        <v>1803</v>
      </c>
      <c r="J482">
        <v>11.890642741389399</v>
      </c>
      <c r="K482">
        <v>11.9224682755821</v>
      </c>
      <c r="L482">
        <v>11.9491761441829</v>
      </c>
      <c r="M482" t="s">
        <v>29</v>
      </c>
      <c r="N482">
        <v>10.359583072445901</v>
      </c>
      <c r="O482" t="s">
        <v>29</v>
      </c>
      <c r="P482">
        <v>-1.5611793146055599</v>
      </c>
      <c r="Q482">
        <v>-2.2760754948582802</v>
      </c>
      <c r="R482">
        <v>-0.84628313435283398</v>
      </c>
      <c r="S482">
        <v>12.4702558520256</v>
      </c>
      <c r="T482">
        <v>-4.6870728586709003</v>
      </c>
      <c r="U482">
        <v>0.182793665263044</v>
      </c>
      <c r="V482">
        <v>3.5660576625070299E-4</v>
      </c>
      <c r="W482">
        <v>8.3886504534712598E-3</v>
      </c>
      <c r="X482">
        <v>-1</v>
      </c>
      <c r="Y482">
        <v>-1</v>
      </c>
    </row>
    <row r="483" spans="1:25" x14ac:dyDescent="0.2">
      <c r="A483" t="s">
        <v>1804</v>
      </c>
      <c r="B483" t="s">
        <v>1805</v>
      </c>
      <c r="C483" t="s">
        <v>1806</v>
      </c>
      <c r="D483" t="s">
        <v>1807</v>
      </c>
      <c r="E483" t="s">
        <v>1805</v>
      </c>
      <c r="F483" t="s">
        <v>28</v>
      </c>
      <c r="G483" t="s">
        <v>1805</v>
      </c>
      <c r="H483" t="str">
        <f>"stim-1"</f>
        <v>stim-1</v>
      </c>
      <c r="I483" t="s">
        <v>1807</v>
      </c>
      <c r="J483" t="s">
        <v>29</v>
      </c>
      <c r="K483" t="s">
        <v>29</v>
      </c>
      <c r="L483" t="s">
        <v>29</v>
      </c>
      <c r="M483" t="s">
        <v>29</v>
      </c>
      <c r="N483">
        <v>9.3016006881048501</v>
      </c>
      <c r="O483" t="s">
        <v>29</v>
      </c>
      <c r="P483" t="s">
        <v>29</v>
      </c>
      <c r="Q483" t="s">
        <v>29</v>
      </c>
      <c r="R483" t="s">
        <v>29</v>
      </c>
      <c r="S483">
        <v>10.257598824155799</v>
      </c>
      <c r="T483" t="s">
        <v>29</v>
      </c>
      <c r="U483" t="s">
        <v>29</v>
      </c>
      <c r="V483" t="s">
        <v>29</v>
      </c>
      <c r="W483" t="s">
        <v>29</v>
      </c>
      <c r="X483" t="s">
        <v>29</v>
      </c>
      <c r="Y483" t="s">
        <v>29</v>
      </c>
    </row>
    <row r="484" spans="1:25" x14ac:dyDescent="0.2">
      <c r="A484" t="s">
        <v>1808</v>
      </c>
      <c r="B484" t="s">
        <v>1809</v>
      </c>
      <c r="C484" t="s">
        <v>1810</v>
      </c>
      <c r="D484" t="s">
        <v>1811</v>
      </c>
      <c r="E484" t="s">
        <v>1809</v>
      </c>
      <c r="F484" t="s">
        <v>28</v>
      </c>
      <c r="G484" t="s">
        <v>1809</v>
      </c>
      <c r="H484" t="str">
        <f>"ndg-4"</f>
        <v>ndg-4</v>
      </c>
      <c r="I484" t="s">
        <v>1811</v>
      </c>
      <c r="J484">
        <v>12.8195019546454</v>
      </c>
      <c r="K484" t="s">
        <v>29</v>
      </c>
      <c r="L484">
        <v>12.749433869727399</v>
      </c>
      <c r="M484">
        <v>12.201124236565899</v>
      </c>
      <c r="N484">
        <v>12.229491112301901</v>
      </c>
      <c r="O484">
        <v>10.8902978140503</v>
      </c>
      <c r="P484">
        <v>-1.0108301912136699</v>
      </c>
      <c r="Q484">
        <v>-1.8230175776965201</v>
      </c>
      <c r="R484">
        <v>-0.19864280473082499</v>
      </c>
      <c r="S484">
        <v>13.396812990750499</v>
      </c>
      <c r="T484">
        <v>-2.67124582966493</v>
      </c>
      <c r="U484">
        <v>-3.8897945869584598</v>
      </c>
      <c r="V484">
        <v>1.8349197881484099E-2</v>
      </c>
      <c r="W484">
        <v>0.13122701078318499</v>
      </c>
      <c r="X484">
        <v>-1</v>
      </c>
      <c r="Y484">
        <v>0</v>
      </c>
    </row>
    <row r="485" spans="1:25" x14ac:dyDescent="0.2">
      <c r="A485" t="s">
        <v>1812</v>
      </c>
      <c r="B485" t="s">
        <v>1813</v>
      </c>
      <c r="C485" t="s">
        <v>1814</v>
      </c>
      <c r="D485" t="s">
        <v>1815</v>
      </c>
      <c r="E485" t="s">
        <v>1813</v>
      </c>
      <c r="F485" t="s">
        <v>28</v>
      </c>
      <c r="G485" t="s">
        <v>1813</v>
      </c>
      <c r="H485" t="str">
        <f>"uig-1"</f>
        <v>uig-1</v>
      </c>
      <c r="I485" t="s">
        <v>1815</v>
      </c>
      <c r="J485" t="s">
        <v>29</v>
      </c>
      <c r="K485">
        <v>11.856553309118</v>
      </c>
      <c r="L485">
        <v>11.7988848146096</v>
      </c>
      <c r="M485" t="s">
        <v>29</v>
      </c>
      <c r="N485" t="s">
        <v>29</v>
      </c>
      <c r="O485" t="s">
        <v>29</v>
      </c>
      <c r="P485" t="s">
        <v>29</v>
      </c>
      <c r="Q485" t="s">
        <v>29</v>
      </c>
      <c r="R485" t="s">
        <v>29</v>
      </c>
      <c r="S485">
        <v>11.753076254060099</v>
      </c>
      <c r="T485" t="s">
        <v>29</v>
      </c>
      <c r="U485" t="s">
        <v>29</v>
      </c>
      <c r="V485" t="s">
        <v>29</v>
      </c>
      <c r="W485" t="s">
        <v>29</v>
      </c>
      <c r="X485" t="s">
        <v>29</v>
      </c>
      <c r="Y485" t="s">
        <v>29</v>
      </c>
    </row>
    <row r="486" spans="1:25" x14ac:dyDescent="0.2">
      <c r="A486" t="s">
        <v>1816</v>
      </c>
      <c r="B486" t="s">
        <v>1817</v>
      </c>
      <c r="C486" t="s">
        <v>1818</v>
      </c>
      <c r="D486" t="s">
        <v>1819</v>
      </c>
      <c r="E486" t="s">
        <v>1817</v>
      </c>
      <c r="F486" t="s">
        <v>28</v>
      </c>
      <c r="G486" t="s">
        <v>1817</v>
      </c>
      <c r="H486" t="str">
        <f>"taf-5"</f>
        <v>taf-5</v>
      </c>
      <c r="I486" t="s">
        <v>1819</v>
      </c>
      <c r="J486">
        <v>12.5413827077983</v>
      </c>
      <c r="K486">
        <v>12.3699971784798</v>
      </c>
      <c r="L486">
        <v>11.8593375368718</v>
      </c>
      <c r="M486" t="s">
        <v>29</v>
      </c>
      <c r="N486" t="s">
        <v>29</v>
      </c>
      <c r="O486">
        <v>12.504527004289301</v>
      </c>
      <c r="P486">
        <v>0.24762119657263201</v>
      </c>
      <c r="Q486">
        <v>-1.3421887166311099</v>
      </c>
      <c r="R486">
        <v>1.83743110977638</v>
      </c>
      <c r="S486">
        <v>12.1289324099982</v>
      </c>
      <c r="T486">
        <v>0.33969380735226101</v>
      </c>
      <c r="U486">
        <v>-6.6478381493143903</v>
      </c>
      <c r="V486">
        <v>0.74000976070731805</v>
      </c>
      <c r="W486">
        <v>0.89052949753757904</v>
      </c>
      <c r="X486">
        <v>0</v>
      </c>
      <c r="Y486">
        <v>0</v>
      </c>
    </row>
    <row r="487" spans="1:25" x14ac:dyDescent="0.2">
      <c r="A487" t="s">
        <v>1820</v>
      </c>
      <c r="B487" t="s">
        <v>1821</v>
      </c>
      <c r="C487" t="s">
        <v>1822</v>
      </c>
      <c r="D487" t="s">
        <v>1823</v>
      </c>
      <c r="E487" t="s">
        <v>1821</v>
      </c>
      <c r="F487" t="s">
        <v>28</v>
      </c>
      <c r="G487" t="s">
        <v>1821</v>
      </c>
      <c r="H487" t="str">
        <f>"sars-2"</f>
        <v>sars-2</v>
      </c>
      <c r="I487" t="s">
        <v>1823</v>
      </c>
      <c r="J487">
        <v>13.176514002945099</v>
      </c>
      <c r="K487">
        <v>13.533435091770301</v>
      </c>
      <c r="L487">
        <v>13.122901037454699</v>
      </c>
      <c r="M487">
        <v>13.329690234659999</v>
      </c>
      <c r="N487">
        <v>13.115602636370401</v>
      </c>
      <c r="O487">
        <v>12.8876980687439</v>
      </c>
      <c r="P487">
        <v>-0.166619730798613</v>
      </c>
      <c r="Q487">
        <v>-0.649072067807412</v>
      </c>
      <c r="R487">
        <v>0.315832606210185</v>
      </c>
      <c r="S487">
        <v>12.973276417325801</v>
      </c>
      <c r="T487">
        <v>-0.72899076586084599</v>
      </c>
      <c r="U487">
        <v>-6.7770475368144503</v>
      </c>
      <c r="V487">
        <v>0.475992311560541</v>
      </c>
      <c r="W487">
        <v>0.73615921189068401</v>
      </c>
      <c r="X487">
        <v>0</v>
      </c>
      <c r="Y487">
        <v>0</v>
      </c>
    </row>
    <row r="488" spans="1:25" x14ac:dyDescent="0.2">
      <c r="A488" t="s">
        <v>1824</v>
      </c>
      <c r="B488" t="s">
        <v>1825</v>
      </c>
      <c r="C488" t="s">
        <v>1826</v>
      </c>
      <c r="D488" t="s">
        <v>1827</v>
      </c>
      <c r="E488" t="s">
        <v>1825</v>
      </c>
      <c r="F488" t="s">
        <v>28</v>
      </c>
      <c r="G488" t="s">
        <v>1825</v>
      </c>
      <c r="H488" t="str">
        <f>"gip-2"</f>
        <v>gip-2</v>
      </c>
      <c r="I488" t="s">
        <v>1827</v>
      </c>
      <c r="J488">
        <v>13.9771139868762</v>
      </c>
      <c r="K488">
        <v>13.885263412204299</v>
      </c>
      <c r="L488">
        <v>13.874626023735701</v>
      </c>
      <c r="M488">
        <v>13.524604701137401</v>
      </c>
      <c r="N488">
        <v>14.086390224407699</v>
      </c>
      <c r="O488">
        <v>13.9332949144171</v>
      </c>
      <c r="P488">
        <v>-6.4237860951317699E-2</v>
      </c>
      <c r="Q488">
        <v>-0.42198458102930197</v>
      </c>
      <c r="R488">
        <v>0.29350885912666602</v>
      </c>
      <c r="S488">
        <v>14.0232005890821</v>
      </c>
      <c r="T488">
        <v>-0.37902287664458001</v>
      </c>
      <c r="U488">
        <v>-6.9768861023589501</v>
      </c>
      <c r="V488">
        <v>0.70939209093683797</v>
      </c>
      <c r="W488">
        <v>0.87009493551016603</v>
      </c>
      <c r="X488">
        <v>0</v>
      </c>
      <c r="Y488">
        <v>0</v>
      </c>
    </row>
    <row r="489" spans="1:25" x14ac:dyDescent="0.2">
      <c r="A489" t="s">
        <v>1828</v>
      </c>
      <c r="B489" t="s">
        <v>1829</v>
      </c>
      <c r="C489" t="s">
        <v>1830</v>
      </c>
      <c r="D489" t="s">
        <v>1831</v>
      </c>
      <c r="E489" t="s">
        <v>1829</v>
      </c>
      <c r="F489" t="s">
        <v>28</v>
      </c>
      <c r="G489" t="s">
        <v>1829</v>
      </c>
      <c r="H489" t="str">
        <f>"rab-8"</f>
        <v>rab-8</v>
      </c>
      <c r="I489" t="s">
        <v>1831</v>
      </c>
      <c r="J489">
        <v>15.527358154041901</v>
      </c>
      <c r="K489">
        <v>15.3616082403947</v>
      </c>
      <c r="L489">
        <v>14.999127392160201</v>
      </c>
      <c r="M489">
        <v>15.6445643938263</v>
      </c>
      <c r="N489">
        <v>15.2409388034219</v>
      </c>
      <c r="O489">
        <v>15.079079779474201</v>
      </c>
      <c r="P489">
        <v>2.54963967085402E-2</v>
      </c>
      <c r="Q489">
        <v>-0.48326487976355897</v>
      </c>
      <c r="R489">
        <v>0.53425767318063899</v>
      </c>
      <c r="S489">
        <v>14.7437084652891</v>
      </c>
      <c r="T489">
        <v>0.105331258394615</v>
      </c>
      <c r="U489">
        <v>-7.0462739412986997</v>
      </c>
      <c r="V489">
        <v>0.91728464722917602</v>
      </c>
      <c r="W489">
        <v>0.97088414008469803</v>
      </c>
      <c r="X489">
        <v>0</v>
      </c>
      <c r="Y489">
        <v>0</v>
      </c>
    </row>
    <row r="490" spans="1:25" x14ac:dyDescent="0.2">
      <c r="A490" t="s">
        <v>1832</v>
      </c>
      <c r="B490" t="s">
        <v>1833</v>
      </c>
      <c r="C490" t="s">
        <v>1834</v>
      </c>
      <c r="D490" t="s">
        <v>1835</v>
      </c>
      <c r="E490" t="s">
        <v>1833</v>
      </c>
      <c r="F490" t="s">
        <v>28</v>
      </c>
      <c r="G490" t="s">
        <v>1833</v>
      </c>
      <c r="H490" t="str">
        <f>"cdc-5l"</f>
        <v>cdc-5l</v>
      </c>
      <c r="I490" t="s">
        <v>1835</v>
      </c>
      <c r="J490">
        <v>12.050871214379001</v>
      </c>
      <c r="K490">
        <v>12.1813091490611</v>
      </c>
      <c r="L490">
        <v>12.676323211787199</v>
      </c>
      <c r="M490">
        <v>11.8823011709672</v>
      </c>
      <c r="N490">
        <v>12.6169551759205</v>
      </c>
      <c r="O490">
        <v>12.7783409651132</v>
      </c>
      <c r="P490">
        <v>0.12303124559116101</v>
      </c>
      <c r="Q490">
        <v>-0.49328934246615802</v>
      </c>
      <c r="R490">
        <v>0.73935183364848001</v>
      </c>
      <c r="S490">
        <v>12.9304597414885</v>
      </c>
      <c r="T490">
        <v>0.42136529084257601</v>
      </c>
      <c r="U490">
        <v>-6.9592387478348803</v>
      </c>
      <c r="V490">
        <v>0.67880042227000903</v>
      </c>
      <c r="W490">
        <v>0.85712711450004198</v>
      </c>
      <c r="X490">
        <v>0</v>
      </c>
      <c r="Y490">
        <v>0</v>
      </c>
    </row>
    <row r="491" spans="1:25" x14ac:dyDescent="0.2">
      <c r="A491" t="s">
        <v>1836</v>
      </c>
      <c r="B491" t="s">
        <v>1837</v>
      </c>
      <c r="C491" t="s">
        <v>1838</v>
      </c>
      <c r="D491" t="s">
        <v>1839</v>
      </c>
      <c r="E491" t="s">
        <v>1837</v>
      </c>
      <c r="F491" t="s">
        <v>28</v>
      </c>
      <c r="G491" t="s">
        <v>1837</v>
      </c>
      <c r="H491" t="str">
        <f>"dap-3"</f>
        <v>dap-3</v>
      </c>
      <c r="I491" t="s">
        <v>1839</v>
      </c>
      <c r="J491">
        <v>13.2748551349137</v>
      </c>
      <c r="K491">
        <v>13.430288869232999</v>
      </c>
      <c r="L491">
        <v>13.707675020495399</v>
      </c>
      <c r="M491">
        <v>12.661897404714701</v>
      </c>
      <c r="N491">
        <v>12.7833497714792</v>
      </c>
      <c r="O491">
        <v>12.9627111009528</v>
      </c>
      <c r="P491">
        <v>-0.66828691583178601</v>
      </c>
      <c r="Q491">
        <v>-1.1037505431885899</v>
      </c>
      <c r="R491">
        <v>-0.23282328847497699</v>
      </c>
      <c r="S491">
        <v>13.6404110169173</v>
      </c>
      <c r="T491">
        <v>-3.23937395124636</v>
      </c>
      <c r="U491">
        <v>-2.77020090393466</v>
      </c>
      <c r="V491">
        <v>4.8517179342703696E-3</v>
      </c>
      <c r="W491">
        <v>5.3156532518908402E-2</v>
      </c>
      <c r="X491">
        <v>0</v>
      </c>
      <c r="Y491">
        <v>0</v>
      </c>
    </row>
    <row r="492" spans="1:25" x14ac:dyDescent="0.2">
      <c r="A492" t="s">
        <v>1840</v>
      </c>
      <c r="B492" t="s">
        <v>1841</v>
      </c>
      <c r="C492" t="s">
        <v>1842</v>
      </c>
      <c r="D492" t="s">
        <v>1843</v>
      </c>
      <c r="E492" t="s">
        <v>1841</v>
      </c>
      <c r="F492" t="s">
        <v>28</v>
      </c>
      <c r="G492" t="s">
        <v>1841</v>
      </c>
      <c r="H492" t="str">
        <f>"hmt-1"</f>
        <v>hmt-1</v>
      </c>
      <c r="I492" t="s">
        <v>1843</v>
      </c>
      <c r="J492">
        <v>13.535588924299599</v>
      </c>
      <c r="K492">
        <v>13.6432359626278</v>
      </c>
      <c r="L492">
        <v>13.5209054573036</v>
      </c>
      <c r="M492">
        <v>13.0491649626621</v>
      </c>
      <c r="N492">
        <v>13.4189880653351</v>
      </c>
      <c r="O492">
        <v>12.762521953414399</v>
      </c>
      <c r="P492">
        <v>-0.48968512093980898</v>
      </c>
      <c r="Q492">
        <v>-1.0229302808923</v>
      </c>
      <c r="R492">
        <v>4.3560039012683703E-2</v>
      </c>
      <c r="S492">
        <v>13.7630007113925</v>
      </c>
      <c r="T492">
        <v>-1.9383848157857599</v>
      </c>
      <c r="U492">
        <v>-5.2699331674722698</v>
      </c>
      <c r="V492">
        <v>6.9470097247184906E-2</v>
      </c>
      <c r="W492">
        <v>0.26794875589459599</v>
      </c>
      <c r="X492">
        <v>0</v>
      </c>
      <c r="Y492">
        <v>0</v>
      </c>
    </row>
    <row r="493" spans="1:25" x14ac:dyDescent="0.2">
      <c r="A493" t="s">
        <v>1844</v>
      </c>
      <c r="B493" t="s">
        <v>1845</v>
      </c>
      <c r="C493" t="s">
        <v>1846</v>
      </c>
      <c r="D493" t="s">
        <v>1847</v>
      </c>
      <c r="E493" t="s">
        <v>1845</v>
      </c>
      <c r="F493" t="s">
        <v>28</v>
      </c>
      <c r="G493" t="s">
        <v>1845</v>
      </c>
      <c r="H493" t="str">
        <f>"sup-17"</f>
        <v>sup-17</v>
      </c>
      <c r="I493" t="s">
        <v>1847</v>
      </c>
      <c r="J493">
        <v>11.9979163930964</v>
      </c>
      <c r="K493">
        <v>11.2565053961887</v>
      </c>
      <c r="L493">
        <v>11.8717135504306</v>
      </c>
      <c r="M493">
        <v>11.355895524833301</v>
      </c>
      <c r="N493">
        <v>13.216747164110201</v>
      </c>
      <c r="O493">
        <v>11.729245371649601</v>
      </c>
      <c r="P493">
        <v>0.391917573625779</v>
      </c>
      <c r="Q493">
        <v>-0.40332064178399302</v>
      </c>
      <c r="R493">
        <v>1.18715578903555</v>
      </c>
      <c r="S493">
        <v>11.641988316025</v>
      </c>
      <c r="T493">
        <v>1.0453146222146901</v>
      </c>
      <c r="U493">
        <v>-6.4947268593938698</v>
      </c>
      <c r="V493">
        <v>0.31151471040517897</v>
      </c>
      <c r="W493">
        <v>0.58934236491770498</v>
      </c>
      <c r="X493">
        <v>0</v>
      </c>
      <c r="Y493">
        <v>0</v>
      </c>
    </row>
    <row r="494" spans="1:25" x14ac:dyDescent="0.2">
      <c r="A494" t="s">
        <v>1848</v>
      </c>
      <c r="B494" t="s">
        <v>1849</v>
      </c>
      <c r="C494" t="s">
        <v>14268</v>
      </c>
      <c r="D494" t="s">
        <v>1850</v>
      </c>
      <c r="E494" t="s">
        <v>1849</v>
      </c>
      <c r="F494" t="s">
        <v>28</v>
      </c>
      <c r="G494" t="s">
        <v>1849</v>
      </c>
      <c r="H494" t="str">
        <f>"H03A11.2"</f>
        <v>H03A11.2</v>
      </c>
      <c r="I494" t="s">
        <v>1850</v>
      </c>
      <c r="J494">
        <v>13.239451033533999</v>
      </c>
      <c r="K494">
        <v>14.8061622002113</v>
      </c>
      <c r="L494">
        <v>14.851796171352101</v>
      </c>
      <c r="M494">
        <v>14.2992561159119</v>
      </c>
      <c r="N494">
        <v>14.2660449368593</v>
      </c>
      <c r="O494">
        <v>14.139265480215</v>
      </c>
      <c r="P494">
        <v>-6.4280957370433697E-2</v>
      </c>
      <c r="Q494">
        <v>-0.84772972361329402</v>
      </c>
      <c r="R494">
        <v>0.71916780887242704</v>
      </c>
      <c r="S494">
        <v>14.199683517117199</v>
      </c>
      <c r="T494">
        <v>-0.17402885593810299</v>
      </c>
      <c r="U494">
        <v>-7.0361242475979999</v>
      </c>
      <c r="V494">
        <v>0.86403992745269897</v>
      </c>
      <c r="W494">
        <v>0.94825832173055002</v>
      </c>
      <c r="X494">
        <v>0</v>
      </c>
      <c r="Y494">
        <v>0</v>
      </c>
    </row>
    <row r="495" spans="1:25" x14ac:dyDescent="0.2">
      <c r="A495" t="s">
        <v>1851</v>
      </c>
      <c r="B495" t="s">
        <v>1852</v>
      </c>
      <c r="C495" t="s">
        <v>1853</v>
      </c>
      <c r="D495" t="s">
        <v>1854</v>
      </c>
      <c r="E495" t="s">
        <v>1852</v>
      </c>
      <c r="F495" t="s">
        <v>28</v>
      </c>
      <c r="G495" t="s">
        <v>1852</v>
      </c>
      <c r="H495" t="str">
        <f>"asd-2"</f>
        <v>asd-2</v>
      </c>
      <c r="I495" t="s">
        <v>1854</v>
      </c>
      <c r="J495" t="s">
        <v>29</v>
      </c>
      <c r="K495" t="s">
        <v>29</v>
      </c>
      <c r="L495">
        <v>10.8645502093476</v>
      </c>
      <c r="M495" t="s">
        <v>29</v>
      </c>
      <c r="N495" t="s">
        <v>29</v>
      </c>
      <c r="O495">
        <v>11.2796392828806</v>
      </c>
      <c r="P495">
        <v>0.41508907353298102</v>
      </c>
      <c r="Q495">
        <v>-1.2663791845427399</v>
      </c>
      <c r="R495">
        <v>2.0965573316086998</v>
      </c>
      <c r="S495">
        <v>11.6952951981603</v>
      </c>
      <c r="T495">
        <v>0.54397672932812402</v>
      </c>
      <c r="U495">
        <v>-6.3541959787303597</v>
      </c>
      <c r="V495">
        <v>0.59741323225571896</v>
      </c>
      <c r="W495">
        <v>0.80733479469451397</v>
      </c>
      <c r="X495">
        <v>0</v>
      </c>
      <c r="Y495">
        <v>0</v>
      </c>
    </row>
    <row r="496" spans="1:25" x14ac:dyDescent="0.2">
      <c r="A496" t="s">
        <v>1855</v>
      </c>
      <c r="B496" t="s">
        <v>1856</v>
      </c>
      <c r="C496" t="s">
        <v>1857</v>
      </c>
      <c r="D496" t="s">
        <v>1858</v>
      </c>
      <c r="E496" t="s">
        <v>1856</v>
      </c>
      <c r="F496" t="s">
        <v>28</v>
      </c>
      <c r="G496" t="s">
        <v>1856</v>
      </c>
      <c r="H496" t="str">
        <f>"eif-2bdelta"</f>
        <v>eif-2bdelta</v>
      </c>
      <c r="I496" t="s">
        <v>1858</v>
      </c>
      <c r="J496">
        <v>15.008952711310799</v>
      </c>
      <c r="K496">
        <v>15.124180410922399</v>
      </c>
      <c r="L496">
        <v>14.9295723701675</v>
      </c>
      <c r="M496">
        <v>15.470377191793199</v>
      </c>
      <c r="N496">
        <v>14.8059698809813</v>
      </c>
      <c r="O496">
        <v>14.0527969922359</v>
      </c>
      <c r="P496">
        <v>-0.244520475796765</v>
      </c>
      <c r="Q496">
        <v>-0.83774484151677198</v>
      </c>
      <c r="R496">
        <v>0.34870388992324203</v>
      </c>
      <c r="S496">
        <v>14.335052827869401</v>
      </c>
      <c r="T496">
        <v>-0.87427041313399401</v>
      </c>
      <c r="U496">
        <v>-6.6583157349150897</v>
      </c>
      <c r="V496">
        <v>0.394988912408687</v>
      </c>
      <c r="W496">
        <v>0.670471528939942</v>
      </c>
      <c r="X496">
        <v>0</v>
      </c>
      <c r="Y496">
        <v>0</v>
      </c>
    </row>
    <row r="497" spans="1:25" x14ac:dyDescent="0.2">
      <c r="A497" t="s">
        <v>1859</v>
      </c>
      <c r="B497" t="s">
        <v>1860</v>
      </c>
      <c r="C497" t="s">
        <v>1861</v>
      </c>
      <c r="D497" t="s">
        <v>1862</v>
      </c>
      <c r="E497" t="s">
        <v>1860</v>
      </c>
      <c r="F497" t="s">
        <v>28</v>
      </c>
      <c r="G497" t="s">
        <v>1860</v>
      </c>
      <c r="H497" t="str">
        <f>"sel-1"</f>
        <v>sel-1</v>
      </c>
      <c r="I497" t="s">
        <v>1862</v>
      </c>
      <c r="J497">
        <v>14.282331414042099</v>
      </c>
      <c r="K497">
        <v>14.048556360606501</v>
      </c>
      <c r="L497">
        <v>14.0600428634395</v>
      </c>
      <c r="M497">
        <v>13.561913266862501</v>
      </c>
      <c r="N497">
        <v>13.8860718657787</v>
      </c>
      <c r="O497">
        <v>13.674234073472601</v>
      </c>
      <c r="P497">
        <v>-0.422903810658113</v>
      </c>
      <c r="Q497">
        <v>-0.82866586917579999</v>
      </c>
      <c r="R497">
        <v>-1.7141752140426E-2</v>
      </c>
      <c r="S497">
        <v>13.650367835935899</v>
      </c>
      <c r="T497">
        <v>-2.1999873137772301</v>
      </c>
      <c r="U497">
        <v>-4.8169819348009897</v>
      </c>
      <c r="V497">
        <v>4.2017130238586199E-2</v>
      </c>
      <c r="W497">
        <v>0.202466316595799</v>
      </c>
      <c r="X497">
        <v>0</v>
      </c>
      <c r="Y497">
        <v>0</v>
      </c>
    </row>
    <row r="498" spans="1:25" x14ac:dyDescent="0.2">
      <c r="A498" t="s">
        <v>1863</v>
      </c>
      <c r="B498" t="s">
        <v>1864</v>
      </c>
      <c r="C498" t="s">
        <v>1865</v>
      </c>
      <c r="D498" t="s">
        <v>1866</v>
      </c>
      <c r="E498" t="s">
        <v>1864</v>
      </c>
      <c r="F498" t="s">
        <v>28</v>
      </c>
      <c r="G498" t="s">
        <v>1864</v>
      </c>
      <c r="H498" t="str">
        <f>"abcf-2"</f>
        <v>abcf-2</v>
      </c>
      <c r="I498" t="s">
        <v>1866</v>
      </c>
      <c r="J498">
        <v>18.458701775454099</v>
      </c>
      <c r="K498">
        <v>18.409820803709199</v>
      </c>
      <c r="L498">
        <v>18.3824047854831</v>
      </c>
      <c r="M498">
        <v>18.442348492676501</v>
      </c>
      <c r="N498">
        <v>18.455644590768902</v>
      </c>
      <c r="O498">
        <v>18.100429180948002</v>
      </c>
      <c r="P498">
        <v>-8.4168366750969198E-2</v>
      </c>
      <c r="Q498">
        <v>-0.41441069933727798</v>
      </c>
      <c r="R498">
        <v>0.24607396583534</v>
      </c>
      <c r="S498">
        <v>18.099688575379702</v>
      </c>
      <c r="T498">
        <v>-0.53568399390733001</v>
      </c>
      <c r="U498">
        <v>-6.90290428318034</v>
      </c>
      <c r="V498">
        <v>0.59877242131479103</v>
      </c>
      <c r="W498">
        <v>0.80772623300037905</v>
      </c>
      <c r="X498">
        <v>0</v>
      </c>
      <c r="Y498">
        <v>0</v>
      </c>
    </row>
    <row r="499" spans="1:25" x14ac:dyDescent="0.2">
      <c r="A499" t="s">
        <v>1867</v>
      </c>
      <c r="B499" t="s">
        <v>1868</v>
      </c>
      <c r="C499" t="s">
        <v>14269</v>
      </c>
      <c r="D499" t="s">
        <v>1869</v>
      </c>
      <c r="E499" t="s">
        <v>1868</v>
      </c>
      <c r="F499" t="s">
        <v>28</v>
      </c>
      <c r="G499" t="s">
        <v>1868</v>
      </c>
      <c r="H499" t="str">
        <f>"W09C5.1"</f>
        <v>W09C5.1</v>
      </c>
      <c r="I499" t="s">
        <v>1869</v>
      </c>
      <c r="J499">
        <v>17.139143756925101</v>
      </c>
      <c r="K499">
        <v>17.337866952962301</v>
      </c>
      <c r="L499">
        <v>17.213416406605202</v>
      </c>
      <c r="M499">
        <v>16.853895503950799</v>
      </c>
      <c r="N499">
        <v>16.659678144805099</v>
      </c>
      <c r="O499">
        <v>16.7555991796896</v>
      </c>
      <c r="P499">
        <v>-0.47375142934903303</v>
      </c>
      <c r="Q499">
        <v>-0.910072278906079</v>
      </c>
      <c r="R499">
        <v>-3.7430579791987002E-2</v>
      </c>
      <c r="S499">
        <v>17.489378144654601</v>
      </c>
      <c r="T499">
        <v>-2.28211265998178</v>
      </c>
      <c r="U499">
        <v>-4.6589599269370199</v>
      </c>
      <c r="V499">
        <v>3.4942699176976198E-2</v>
      </c>
      <c r="W499">
        <v>0.18579010314032801</v>
      </c>
      <c r="X499">
        <v>0</v>
      </c>
      <c r="Y499">
        <v>0</v>
      </c>
    </row>
    <row r="500" spans="1:25" x14ac:dyDescent="0.2">
      <c r="A500" t="s">
        <v>1870</v>
      </c>
      <c r="B500" t="s">
        <v>1871</v>
      </c>
      <c r="C500" t="s">
        <v>1872</v>
      </c>
      <c r="D500" t="s">
        <v>1873</v>
      </c>
      <c r="E500" t="s">
        <v>1871</v>
      </c>
      <c r="F500" t="s">
        <v>28</v>
      </c>
      <c r="G500" t="s">
        <v>1871</v>
      </c>
      <c r="H500" t="str">
        <f>"agef-1"</f>
        <v>agef-1</v>
      </c>
      <c r="I500" t="s">
        <v>1873</v>
      </c>
      <c r="J500">
        <v>12.6689761131025</v>
      </c>
      <c r="K500">
        <v>12.5944658176704</v>
      </c>
      <c r="L500">
        <v>12.9377873122681</v>
      </c>
      <c r="M500">
        <v>12.8927904407195</v>
      </c>
      <c r="N500">
        <v>13.5860013468531</v>
      </c>
      <c r="O500">
        <v>13.230627333387</v>
      </c>
      <c r="P500">
        <v>0.50272995930622399</v>
      </c>
      <c r="Q500">
        <v>5.2545176125759901E-2</v>
      </c>
      <c r="R500">
        <v>0.95291474248668895</v>
      </c>
      <c r="S500">
        <v>13.007229961439799</v>
      </c>
      <c r="T500">
        <v>2.3471263493727998</v>
      </c>
      <c r="U500">
        <v>-4.5378460139276404</v>
      </c>
      <c r="V500">
        <v>3.0631633002767798E-2</v>
      </c>
      <c r="W500">
        <v>0.17155823371946</v>
      </c>
      <c r="X500">
        <v>0</v>
      </c>
      <c r="Y500">
        <v>0</v>
      </c>
    </row>
    <row r="501" spans="1:25" x14ac:dyDescent="0.2">
      <c r="A501" t="s">
        <v>1874</v>
      </c>
      <c r="B501" t="s">
        <v>1875</v>
      </c>
      <c r="C501" t="s">
        <v>1876</v>
      </c>
      <c r="D501" t="s">
        <v>1877</v>
      </c>
      <c r="E501" t="s">
        <v>1875</v>
      </c>
      <c r="F501" t="s">
        <v>28</v>
      </c>
      <c r="G501" t="s">
        <v>1875</v>
      </c>
      <c r="H501" t="str">
        <f>"myrf-1"</f>
        <v>myrf-1</v>
      </c>
      <c r="I501" t="s">
        <v>1877</v>
      </c>
      <c r="J501">
        <v>11.2566324553313</v>
      </c>
      <c r="K501" t="s">
        <v>29</v>
      </c>
      <c r="L501" t="s">
        <v>29</v>
      </c>
      <c r="M501" t="s">
        <v>29</v>
      </c>
      <c r="N501" t="s">
        <v>29</v>
      </c>
      <c r="O501" t="s">
        <v>29</v>
      </c>
      <c r="P501" t="s">
        <v>29</v>
      </c>
      <c r="Q501" t="s">
        <v>29</v>
      </c>
      <c r="R501" t="s">
        <v>29</v>
      </c>
      <c r="S501">
        <v>10.739623103875401</v>
      </c>
      <c r="T501" t="s">
        <v>29</v>
      </c>
      <c r="U501" t="s">
        <v>29</v>
      </c>
      <c r="V501" t="s">
        <v>29</v>
      </c>
      <c r="W501" t="s">
        <v>29</v>
      </c>
      <c r="X501" t="s">
        <v>29</v>
      </c>
      <c r="Y501" t="s">
        <v>29</v>
      </c>
    </row>
    <row r="502" spans="1:25" x14ac:dyDescent="0.2">
      <c r="A502" t="s">
        <v>1878</v>
      </c>
      <c r="B502" t="s">
        <v>1879</v>
      </c>
      <c r="C502" t="s">
        <v>1880</v>
      </c>
      <c r="D502" t="s">
        <v>1881</v>
      </c>
      <c r="E502" t="s">
        <v>1879</v>
      </c>
      <c r="F502" t="s">
        <v>28</v>
      </c>
      <c r="G502" t="s">
        <v>1879</v>
      </c>
      <c r="H502" t="str">
        <f>"plc-1"</f>
        <v>plc-1</v>
      </c>
      <c r="I502" t="s">
        <v>1881</v>
      </c>
      <c r="J502">
        <v>12.292582742573099</v>
      </c>
      <c r="K502">
        <v>11.854611600002499</v>
      </c>
      <c r="L502" t="s">
        <v>29</v>
      </c>
      <c r="M502">
        <v>10.208351473340199</v>
      </c>
      <c r="N502">
        <v>12.157054620165599</v>
      </c>
      <c r="O502" t="s">
        <v>29</v>
      </c>
      <c r="P502">
        <v>-0.89089412453489203</v>
      </c>
      <c r="Q502">
        <v>-2.34730922611657</v>
      </c>
      <c r="R502">
        <v>0.56552097704678195</v>
      </c>
      <c r="S502">
        <v>11.515244527103</v>
      </c>
      <c r="T502">
        <v>-1.34793395837562</v>
      </c>
      <c r="U502">
        <v>-5.9447396630138201</v>
      </c>
      <c r="V502">
        <v>0.20503772413388999</v>
      </c>
      <c r="W502">
        <v>0.46919321682959098</v>
      </c>
      <c r="X502">
        <v>0</v>
      </c>
      <c r="Y502">
        <v>0</v>
      </c>
    </row>
    <row r="503" spans="1:25" x14ac:dyDescent="0.2">
      <c r="A503" t="s">
        <v>1882</v>
      </c>
      <c r="B503" t="s">
        <v>1883</v>
      </c>
      <c r="C503" t="s">
        <v>1884</v>
      </c>
      <c r="D503" t="s">
        <v>1885</v>
      </c>
      <c r="E503" t="s">
        <v>1883</v>
      </c>
      <c r="F503" t="s">
        <v>28</v>
      </c>
      <c r="G503" t="s">
        <v>1883</v>
      </c>
      <c r="H503" t="str">
        <f>"capg-1"</f>
        <v>capg-1</v>
      </c>
      <c r="I503" t="s">
        <v>1885</v>
      </c>
      <c r="J503">
        <v>12.209655726509901</v>
      </c>
      <c r="K503">
        <v>12.6135431815716</v>
      </c>
      <c r="L503">
        <v>12.7159784282135</v>
      </c>
      <c r="M503">
        <v>12.828478751136601</v>
      </c>
      <c r="N503">
        <v>12.9763447895208</v>
      </c>
      <c r="O503">
        <v>12.637177415431101</v>
      </c>
      <c r="P503">
        <v>0.30094120659783702</v>
      </c>
      <c r="Q503">
        <v>-0.22100104787557801</v>
      </c>
      <c r="R503">
        <v>0.82288346107125199</v>
      </c>
      <c r="S503">
        <v>12.9695384767641</v>
      </c>
      <c r="T503">
        <v>1.2170522229557199</v>
      </c>
      <c r="U503">
        <v>-6.3059017553921102</v>
      </c>
      <c r="V503">
        <v>0.240312276224321</v>
      </c>
      <c r="W503">
        <v>0.51411975465742199</v>
      </c>
      <c r="X503">
        <v>0</v>
      </c>
      <c r="Y503">
        <v>0</v>
      </c>
    </row>
    <row r="504" spans="1:25" x14ac:dyDescent="0.2">
      <c r="A504" t="s">
        <v>1886</v>
      </c>
      <c r="B504" t="s">
        <v>1887</v>
      </c>
      <c r="C504" t="s">
        <v>1888</v>
      </c>
      <c r="D504" t="s">
        <v>1889</v>
      </c>
      <c r="E504" t="s">
        <v>1887</v>
      </c>
      <c r="F504" t="s">
        <v>28</v>
      </c>
      <c r="G504" t="s">
        <v>1887</v>
      </c>
      <c r="H504" t="str">
        <f>"arf-3"</f>
        <v>arf-3</v>
      </c>
      <c r="I504" t="s">
        <v>1889</v>
      </c>
      <c r="J504">
        <v>18.225184589490699</v>
      </c>
      <c r="K504">
        <v>18.1472297924212</v>
      </c>
      <c r="L504">
        <v>18.043600316090401</v>
      </c>
      <c r="M504">
        <v>18.015483917571</v>
      </c>
      <c r="N504">
        <v>17.869822404273901</v>
      </c>
      <c r="O504">
        <v>17.6465715664451</v>
      </c>
      <c r="P504">
        <v>-0.29471226990410998</v>
      </c>
      <c r="Q504">
        <v>-0.61431672831346096</v>
      </c>
      <c r="R504">
        <v>2.48921885052408E-2</v>
      </c>
      <c r="S504">
        <v>17.738259446811799</v>
      </c>
      <c r="T504">
        <v>-1.93810767589694</v>
      </c>
      <c r="U504">
        <v>-5.2664888127326703</v>
      </c>
      <c r="V504">
        <v>6.8551751595676405E-2</v>
      </c>
      <c r="W504">
        <v>0.26619021442998902</v>
      </c>
      <c r="X504">
        <v>0</v>
      </c>
      <c r="Y504">
        <v>0</v>
      </c>
    </row>
    <row r="505" spans="1:25" x14ac:dyDescent="0.2">
      <c r="A505" t="s">
        <v>1890</v>
      </c>
      <c r="B505" t="s">
        <v>1891</v>
      </c>
      <c r="C505" t="s">
        <v>1892</v>
      </c>
      <c r="D505" t="s">
        <v>1893</v>
      </c>
      <c r="E505" t="s">
        <v>1891</v>
      </c>
      <c r="F505" t="s">
        <v>28</v>
      </c>
      <c r="G505" t="s">
        <v>1891</v>
      </c>
      <c r="H505" t="str">
        <f>"gld-4"</f>
        <v>gld-4</v>
      </c>
      <c r="I505" t="s">
        <v>1893</v>
      </c>
      <c r="J505">
        <v>11.253988126139699</v>
      </c>
      <c r="K505">
        <v>11.616233918751099</v>
      </c>
      <c r="L505">
        <v>11.961821930329799</v>
      </c>
      <c r="M505" t="s">
        <v>29</v>
      </c>
      <c r="N505" t="s">
        <v>29</v>
      </c>
      <c r="O505" t="s">
        <v>29</v>
      </c>
      <c r="P505" t="s">
        <v>29</v>
      </c>
      <c r="Q505" t="s">
        <v>29</v>
      </c>
      <c r="R505" t="s">
        <v>29</v>
      </c>
      <c r="S505">
        <v>11.4624949281448</v>
      </c>
      <c r="T505" t="s">
        <v>29</v>
      </c>
      <c r="U505" t="s">
        <v>29</v>
      </c>
      <c r="V505" t="s">
        <v>29</v>
      </c>
      <c r="W505" t="s">
        <v>29</v>
      </c>
      <c r="X505" t="s">
        <v>29</v>
      </c>
      <c r="Y505" t="s">
        <v>29</v>
      </c>
    </row>
    <row r="506" spans="1:25" x14ac:dyDescent="0.2">
      <c r="A506" t="s">
        <v>1894</v>
      </c>
      <c r="B506" t="s">
        <v>1895</v>
      </c>
      <c r="C506" t="s">
        <v>1896</v>
      </c>
      <c r="D506" t="s">
        <v>1897</v>
      </c>
      <c r="E506" t="s">
        <v>1895</v>
      </c>
      <c r="F506" t="s">
        <v>28</v>
      </c>
      <c r="G506" t="s">
        <v>1895</v>
      </c>
      <c r="H506" t="str">
        <f>"alp-1"</f>
        <v>alp-1</v>
      </c>
      <c r="I506" t="s">
        <v>1897</v>
      </c>
      <c r="J506">
        <v>12.7586184087038</v>
      </c>
      <c r="K506">
        <v>13.605087876642701</v>
      </c>
      <c r="L506">
        <v>13.4491450818138</v>
      </c>
      <c r="M506">
        <v>12.6012020734695</v>
      </c>
      <c r="N506">
        <v>15.614747628085601</v>
      </c>
      <c r="O506">
        <v>13.735860567480101</v>
      </c>
      <c r="P506">
        <v>0.71298630062498003</v>
      </c>
      <c r="Q506">
        <v>-0.51975475878612698</v>
      </c>
      <c r="R506">
        <v>1.94572736003609</v>
      </c>
      <c r="S506">
        <v>13.2844913942328</v>
      </c>
      <c r="T506">
        <v>1.2156311973518501</v>
      </c>
      <c r="U506">
        <v>-6.3081872296258101</v>
      </c>
      <c r="V506">
        <v>0.23991983453169</v>
      </c>
      <c r="W506">
        <v>0.51411975465742199</v>
      </c>
      <c r="X506">
        <v>0</v>
      </c>
      <c r="Y506">
        <v>0</v>
      </c>
    </row>
    <row r="507" spans="1:25" x14ac:dyDescent="0.2">
      <c r="A507" t="s">
        <v>1898</v>
      </c>
      <c r="B507" t="s">
        <v>1899</v>
      </c>
      <c r="C507" t="s">
        <v>14270</v>
      </c>
      <c r="D507" t="s">
        <v>1900</v>
      </c>
      <c r="E507" t="s">
        <v>1899</v>
      </c>
      <c r="F507" t="s">
        <v>28</v>
      </c>
      <c r="G507" t="s">
        <v>1899</v>
      </c>
      <c r="H507" t="str">
        <f>"F18C12.3"</f>
        <v>F18C12.3</v>
      </c>
      <c r="I507" t="s">
        <v>1900</v>
      </c>
      <c r="J507">
        <v>10.2765750443944</v>
      </c>
      <c r="K507">
        <v>11.6242882127935</v>
      </c>
      <c r="L507" t="s">
        <v>29</v>
      </c>
      <c r="M507" t="s">
        <v>29</v>
      </c>
      <c r="N507" t="s">
        <v>29</v>
      </c>
      <c r="O507">
        <v>10.7142673628745</v>
      </c>
      <c r="P507">
        <v>-0.23616426571941901</v>
      </c>
      <c r="Q507">
        <v>-1.72068300836698</v>
      </c>
      <c r="R507">
        <v>1.24835447692815</v>
      </c>
      <c r="S507">
        <v>11.903992857476799</v>
      </c>
      <c r="T507">
        <v>-0.34695528882362298</v>
      </c>
      <c r="U507">
        <v>-6.5873372936972796</v>
      </c>
      <c r="V507">
        <v>0.73468577672716795</v>
      </c>
      <c r="W507">
        <v>0.88707514562901901</v>
      </c>
      <c r="X507">
        <v>0</v>
      </c>
      <c r="Y507">
        <v>0</v>
      </c>
    </row>
    <row r="508" spans="1:25" x14ac:dyDescent="0.2">
      <c r="A508" t="s">
        <v>1901</v>
      </c>
      <c r="B508" t="s">
        <v>1902</v>
      </c>
      <c r="C508" t="s">
        <v>1903</v>
      </c>
      <c r="D508" t="s">
        <v>1904</v>
      </c>
      <c r="E508" t="s">
        <v>1902</v>
      </c>
      <c r="F508" t="s">
        <v>28</v>
      </c>
      <c r="G508" t="s">
        <v>1902</v>
      </c>
      <c r="H508" t="str">
        <f>"nekl-3"</f>
        <v>nekl-3</v>
      </c>
      <c r="I508" t="s">
        <v>1904</v>
      </c>
      <c r="J508">
        <v>12.2544733498094</v>
      </c>
      <c r="K508">
        <v>12.578076886291599</v>
      </c>
      <c r="L508">
        <v>12.269706398230401</v>
      </c>
      <c r="M508">
        <v>18.339625541060499</v>
      </c>
      <c r="N508">
        <v>18.284631107997999</v>
      </c>
      <c r="O508">
        <v>17.8258113812097</v>
      </c>
      <c r="P508">
        <v>5.7826037986456198</v>
      </c>
      <c r="Q508">
        <v>4.9880288230744503</v>
      </c>
      <c r="R508">
        <v>6.5771787742167804</v>
      </c>
      <c r="S508">
        <v>15.936232495483599</v>
      </c>
      <c r="T508">
        <v>15.436117784059901</v>
      </c>
      <c r="U508">
        <v>15.482173667768301</v>
      </c>
      <c r="V508" s="2">
        <v>5.4850899138508103E-11</v>
      </c>
      <c r="W508" s="2">
        <v>4.2705675280891198E-8</v>
      </c>
      <c r="X508">
        <v>1</v>
      </c>
      <c r="Y508">
        <v>1</v>
      </c>
    </row>
    <row r="509" spans="1:25" x14ac:dyDescent="0.2">
      <c r="A509" t="s">
        <v>1905</v>
      </c>
      <c r="B509" t="s">
        <v>1906</v>
      </c>
      <c r="C509" t="s">
        <v>1907</v>
      </c>
      <c r="D509" t="s">
        <v>1908</v>
      </c>
      <c r="E509" t="s">
        <v>1906</v>
      </c>
      <c r="F509" t="s">
        <v>28</v>
      </c>
      <c r="G509" t="s">
        <v>1906</v>
      </c>
      <c r="H509" t="str">
        <f>"rict-1"</f>
        <v>rict-1</v>
      </c>
      <c r="I509" t="s">
        <v>1908</v>
      </c>
      <c r="J509">
        <v>12.092804639028</v>
      </c>
      <c r="K509">
        <v>11.431969871197699</v>
      </c>
      <c r="L509">
        <v>10.845277078160301</v>
      </c>
      <c r="M509">
        <v>12.032717006020199</v>
      </c>
      <c r="N509">
        <v>12.2747351285173</v>
      </c>
      <c r="O509" t="s">
        <v>29</v>
      </c>
      <c r="P509">
        <v>0.69704220447343501</v>
      </c>
      <c r="Q509">
        <v>-9.0462942349086903E-2</v>
      </c>
      <c r="R509">
        <v>1.4845473512959599</v>
      </c>
      <c r="S509">
        <v>11.615297941918101</v>
      </c>
      <c r="T509">
        <v>1.8877621733574801</v>
      </c>
      <c r="U509">
        <v>-5.2540379388343901</v>
      </c>
      <c r="V509">
        <v>7.8697254281266504E-2</v>
      </c>
      <c r="W509">
        <v>0.2882957919145</v>
      </c>
      <c r="X509">
        <v>0</v>
      </c>
      <c r="Y509">
        <v>0</v>
      </c>
    </row>
    <row r="510" spans="1:25" x14ac:dyDescent="0.2">
      <c r="A510" t="s">
        <v>1909</v>
      </c>
      <c r="B510" t="s">
        <v>1910</v>
      </c>
      <c r="C510" t="s">
        <v>1911</v>
      </c>
      <c r="D510" t="s">
        <v>1912</v>
      </c>
      <c r="E510" t="s">
        <v>1910</v>
      </c>
      <c r="F510" t="s">
        <v>28</v>
      </c>
      <c r="G510" t="s">
        <v>1910</v>
      </c>
      <c r="H510" t="str">
        <f>"mrp-4"</f>
        <v>mrp-4</v>
      </c>
      <c r="I510" t="s">
        <v>1912</v>
      </c>
      <c r="J510">
        <v>14.388225487221201</v>
      </c>
      <c r="K510">
        <v>14.667234580799599</v>
      </c>
      <c r="L510">
        <v>14.421636699655901</v>
      </c>
      <c r="M510">
        <v>14.533786847728001</v>
      </c>
      <c r="N510">
        <v>14.620318526967701</v>
      </c>
      <c r="O510">
        <v>14.290558335056399</v>
      </c>
      <c r="P510">
        <v>-1.08110193081927E-2</v>
      </c>
      <c r="Q510">
        <v>-0.38752860128366201</v>
      </c>
      <c r="R510">
        <v>0.365906562667277</v>
      </c>
      <c r="S510">
        <v>14.635302741999601</v>
      </c>
      <c r="T510">
        <v>-6.0317490750479E-2</v>
      </c>
      <c r="U510">
        <v>-7.0501799891874599</v>
      </c>
      <c r="V510">
        <v>0.95257129503599203</v>
      </c>
      <c r="W510">
        <v>0.97752358457809096</v>
      </c>
      <c r="X510">
        <v>0</v>
      </c>
      <c r="Y510">
        <v>0</v>
      </c>
    </row>
    <row r="511" spans="1:25" x14ac:dyDescent="0.2">
      <c r="A511" t="s">
        <v>1913</v>
      </c>
      <c r="B511" t="s">
        <v>1914</v>
      </c>
      <c r="C511" t="s">
        <v>1915</v>
      </c>
      <c r="D511" t="s">
        <v>561</v>
      </c>
      <c r="E511" t="s">
        <v>1914</v>
      </c>
      <c r="F511" t="s">
        <v>28</v>
      </c>
      <c r="G511" t="s">
        <v>1914</v>
      </c>
      <c r="H511" t="str">
        <f>"tag-297"</f>
        <v>tag-297</v>
      </c>
      <c r="I511" t="s">
        <v>561</v>
      </c>
      <c r="J511">
        <v>12.0354519293943</v>
      </c>
      <c r="K511">
        <v>11.9145449742539</v>
      </c>
      <c r="L511">
        <v>11.930644629389599</v>
      </c>
      <c r="M511">
        <v>10.8815441531679</v>
      </c>
      <c r="N511">
        <v>10.8839102907426</v>
      </c>
      <c r="O511">
        <v>11.854657324025901</v>
      </c>
      <c r="P511">
        <v>-0.75350992170048203</v>
      </c>
      <c r="Q511">
        <v>-1.2581617020625999</v>
      </c>
      <c r="R511">
        <v>-0.24885814133836401</v>
      </c>
      <c r="S511">
        <v>11.588570533529399</v>
      </c>
      <c r="T511">
        <v>-3.1517167411609801</v>
      </c>
      <c r="U511">
        <v>-2.9529483811880999</v>
      </c>
      <c r="V511">
        <v>5.8559644985456396E-3</v>
      </c>
      <c r="W511">
        <v>6.1468737026669398E-2</v>
      </c>
      <c r="X511">
        <v>0</v>
      </c>
      <c r="Y511">
        <v>0</v>
      </c>
    </row>
    <row r="512" spans="1:25" x14ac:dyDescent="0.2">
      <c r="A512" t="s">
        <v>1916</v>
      </c>
      <c r="B512" t="s">
        <v>1917</v>
      </c>
      <c r="C512" t="s">
        <v>1918</v>
      </c>
      <c r="D512" t="s">
        <v>1919</v>
      </c>
      <c r="E512" t="s">
        <v>1917</v>
      </c>
      <c r="F512" t="s">
        <v>28</v>
      </c>
      <c r="G512" t="s">
        <v>1917</v>
      </c>
      <c r="H512" t="str">
        <f>"gldr-2"</f>
        <v>gldr-2</v>
      </c>
      <c r="I512" t="s">
        <v>1919</v>
      </c>
      <c r="J512">
        <v>10.7524377002426</v>
      </c>
      <c r="K512">
        <v>12.4083502139686</v>
      </c>
      <c r="L512">
        <v>12.090977375316699</v>
      </c>
      <c r="M512" t="s">
        <v>29</v>
      </c>
      <c r="N512" t="s">
        <v>29</v>
      </c>
      <c r="O512">
        <v>11.815874870190401</v>
      </c>
      <c r="P512">
        <v>6.5286440347769301E-2</v>
      </c>
      <c r="Q512">
        <v>-1.0124172246201499</v>
      </c>
      <c r="R512">
        <v>1.1429901053156899</v>
      </c>
      <c r="S512">
        <v>12.9156012620676</v>
      </c>
      <c r="T512">
        <v>0.130021605078362</v>
      </c>
      <c r="U512">
        <v>-6.7002476874035004</v>
      </c>
      <c r="V512">
        <v>0.89841284709264702</v>
      </c>
      <c r="W512">
        <v>0.96438222116194405</v>
      </c>
      <c r="X512">
        <v>0</v>
      </c>
      <c r="Y512">
        <v>0</v>
      </c>
    </row>
    <row r="513" spans="1:25" x14ac:dyDescent="0.2">
      <c r="A513" t="s">
        <v>1920</v>
      </c>
      <c r="B513" t="s">
        <v>1921</v>
      </c>
      <c r="C513" t="s">
        <v>1922</v>
      </c>
      <c r="D513" t="s">
        <v>1923</v>
      </c>
      <c r="E513" t="s">
        <v>1921</v>
      </c>
      <c r="F513" t="s">
        <v>28</v>
      </c>
      <c r="G513" t="s">
        <v>1921</v>
      </c>
      <c r="H513" t="str">
        <f>"mca-1"</f>
        <v>mca-1</v>
      </c>
      <c r="I513" t="s">
        <v>1923</v>
      </c>
      <c r="J513">
        <v>13.869994050471</v>
      </c>
      <c r="K513">
        <v>13.9282777663743</v>
      </c>
      <c r="L513">
        <v>13.6083280829136</v>
      </c>
      <c r="M513">
        <v>13.983108074874099</v>
      </c>
      <c r="N513">
        <v>13.972228082278299</v>
      </c>
      <c r="O513">
        <v>13.821884209920301</v>
      </c>
      <c r="P513">
        <v>0.123540155771241</v>
      </c>
      <c r="Q513">
        <v>-0.30868530231808899</v>
      </c>
      <c r="R513">
        <v>0.55576561386057199</v>
      </c>
      <c r="S513">
        <v>13.8166835188941</v>
      </c>
      <c r="T513">
        <v>0.60074520699012002</v>
      </c>
      <c r="U513">
        <v>-6.8648502707181303</v>
      </c>
      <c r="V513">
        <v>0.55554291266506395</v>
      </c>
      <c r="W513">
        <v>0.78231602628238806</v>
      </c>
      <c r="X513">
        <v>0</v>
      </c>
      <c r="Y513">
        <v>0</v>
      </c>
    </row>
    <row r="514" spans="1:25" x14ac:dyDescent="0.2">
      <c r="A514" t="s">
        <v>1924</v>
      </c>
      <c r="B514" t="s">
        <v>1925</v>
      </c>
      <c r="C514" t="s">
        <v>1926</v>
      </c>
      <c r="D514" t="s">
        <v>1927</v>
      </c>
      <c r="E514" t="s">
        <v>1925</v>
      </c>
      <c r="F514" t="s">
        <v>28</v>
      </c>
      <c r="G514" t="s">
        <v>1925</v>
      </c>
      <c r="H514" t="str">
        <f>"msi-1"</f>
        <v>msi-1</v>
      </c>
      <c r="I514" t="s">
        <v>1927</v>
      </c>
      <c r="J514">
        <v>13.66436034649</v>
      </c>
      <c r="K514">
        <v>13.409842194079999</v>
      </c>
      <c r="L514">
        <v>13.9709609288441</v>
      </c>
      <c r="M514" t="s">
        <v>29</v>
      </c>
      <c r="N514">
        <v>14.0429625397649</v>
      </c>
      <c r="O514">
        <v>13.8582505181454</v>
      </c>
      <c r="P514">
        <v>0.26888537248379202</v>
      </c>
      <c r="Q514">
        <v>-0.247029839534744</v>
      </c>
      <c r="R514">
        <v>0.78480058450232804</v>
      </c>
      <c r="S514">
        <v>13.7645332556119</v>
      </c>
      <c r="T514">
        <v>1.1001169515076199</v>
      </c>
      <c r="U514">
        <v>-6.3282731108396302</v>
      </c>
      <c r="V514">
        <v>0.28670967836847</v>
      </c>
      <c r="W514">
        <v>0.56576912881200803</v>
      </c>
      <c r="X514">
        <v>0</v>
      </c>
      <c r="Y514">
        <v>0</v>
      </c>
    </row>
    <row r="515" spans="1:25" x14ac:dyDescent="0.2">
      <c r="A515" t="s">
        <v>1928</v>
      </c>
      <c r="B515" t="s">
        <v>1929</v>
      </c>
      <c r="C515" t="s">
        <v>14271</v>
      </c>
      <c r="D515" t="s">
        <v>1930</v>
      </c>
      <c r="E515" t="s">
        <v>1929</v>
      </c>
      <c r="F515" t="s">
        <v>28</v>
      </c>
      <c r="G515" t="s">
        <v>1931</v>
      </c>
      <c r="H515" t="str">
        <f>"F45D11.15"</f>
        <v>F45D11.15</v>
      </c>
      <c r="I515" t="s">
        <v>689</v>
      </c>
      <c r="J515">
        <v>19.660261542670799</v>
      </c>
      <c r="K515">
        <v>19.923904303998601</v>
      </c>
      <c r="L515">
        <v>18.606609014420201</v>
      </c>
      <c r="M515">
        <v>19.609020030477801</v>
      </c>
      <c r="N515">
        <v>18.696341209701199</v>
      </c>
      <c r="O515">
        <v>18.9620788475303</v>
      </c>
      <c r="P515">
        <v>-0.30777825779343698</v>
      </c>
      <c r="Q515">
        <v>-1.4934977474656299</v>
      </c>
      <c r="R515">
        <v>0.87794123187875095</v>
      </c>
      <c r="S515">
        <v>17.490977138687398</v>
      </c>
      <c r="T515">
        <v>-0.54556750077980698</v>
      </c>
      <c r="U515">
        <v>-6.8973945156220902</v>
      </c>
      <c r="V515">
        <v>0.592099536901317</v>
      </c>
      <c r="W515">
        <v>0.80429646451955905</v>
      </c>
      <c r="X515">
        <v>0</v>
      </c>
      <c r="Y515">
        <v>0</v>
      </c>
    </row>
    <row r="516" spans="1:25" x14ac:dyDescent="0.2">
      <c r="A516" t="s">
        <v>1932</v>
      </c>
      <c r="B516" t="s">
        <v>1933</v>
      </c>
      <c r="C516" t="s">
        <v>14272</v>
      </c>
      <c r="D516" t="s">
        <v>1934</v>
      </c>
      <c r="E516" t="s">
        <v>1933</v>
      </c>
      <c r="F516" t="s">
        <v>28</v>
      </c>
      <c r="G516" t="s">
        <v>1933</v>
      </c>
      <c r="H516" t="str">
        <f>"T12D8.9"</f>
        <v>T12D8.9</v>
      </c>
      <c r="I516" t="s">
        <v>1934</v>
      </c>
      <c r="J516">
        <v>12.266443329639801</v>
      </c>
      <c r="K516">
        <v>11.9069249885014</v>
      </c>
      <c r="L516">
        <v>12.399631137043601</v>
      </c>
      <c r="M516">
        <v>11.953641014001199</v>
      </c>
      <c r="N516">
        <v>11.5918812360782</v>
      </c>
      <c r="O516">
        <v>11.865917521999499</v>
      </c>
      <c r="P516">
        <v>-0.38718656103529098</v>
      </c>
      <c r="Q516">
        <v>-1.11055773370425</v>
      </c>
      <c r="R516">
        <v>0.33618461163366797</v>
      </c>
      <c r="S516">
        <v>11.701755751666701</v>
      </c>
      <c r="T516">
        <v>-1.1249975857771599</v>
      </c>
      <c r="U516">
        <v>-6.4113898346145097</v>
      </c>
      <c r="V516">
        <v>0.27545358721764202</v>
      </c>
      <c r="W516">
        <v>0.55362938406807105</v>
      </c>
      <c r="X516">
        <v>0</v>
      </c>
      <c r="Y516">
        <v>0</v>
      </c>
    </row>
    <row r="517" spans="1:25" x14ac:dyDescent="0.2">
      <c r="A517" t="s">
        <v>1935</v>
      </c>
      <c r="B517" t="s">
        <v>1936</v>
      </c>
      <c r="C517" t="s">
        <v>1937</v>
      </c>
      <c r="D517" t="s">
        <v>1938</v>
      </c>
      <c r="E517" t="s">
        <v>1936</v>
      </c>
      <c r="F517" t="s">
        <v>28</v>
      </c>
      <c r="G517" t="s">
        <v>1936</v>
      </c>
      <c r="H517" t="str">
        <f>"ltah-1.1"</f>
        <v>ltah-1.1</v>
      </c>
      <c r="I517" t="s">
        <v>1938</v>
      </c>
      <c r="J517">
        <v>13.833983118888</v>
      </c>
      <c r="K517">
        <v>13.809674538369</v>
      </c>
      <c r="L517">
        <v>14.013512489161201</v>
      </c>
      <c r="M517">
        <v>13.0388465250164</v>
      </c>
      <c r="N517">
        <v>13.5560225416009</v>
      </c>
      <c r="O517">
        <v>13.433142178575</v>
      </c>
      <c r="P517">
        <v>-0.54305296707531503</v>
      </c>
      <c r="Q517">
        <v>-1.43387551561083</v>
      </c>
      <c r="R517">
        <v>0.34776958146019998</v>
      </c>
      <c r="S517">
        <v>14.1193532531037</v>
      </c>
      <c r="T517">
        <v>-1.28677022380733</v>
      </c>
      <c r="U517">
        <v>-6.2219861945515502</v>
      </c>
      <c r="V517">
        <v>0.21552669126173099</v>
      </c>
      <c r="W517">
        <v>0.48200952121351998</v>
      </c>
      <c r="X517">
        <v>0</v>
      </c>
      <c r="Y517">
        <v>0</v>
      </c>
    </row>
    <row r="518" spans="1:25" x14ac:dyDescent="0.2">
      <c r="A518" t="s">
        <v>1939</v>
      </c>
      <c r="B518" t="s">
        <v>1940</v>
      </c>
      <c r="C518" t="s">
        <v>1941</v>
      </c>
      <c r="D518" t="s">
        <v>1942</v>
      </c>
      <c r="E518" t="s">
        <v>1940</v>
      </c>
      <c r="F518" t="s">
        <v>28</v>
      </c>
      <c r="G518" t="s">
        <v>1940</v>
      </c>
      <c r="H518" t="str">
        <f>"hsf-1"</f>
        <v>hsf-1</v>
      </c>
      <c r="I518" t="s">
        <v>1942</v>
      </c>
      <c r="J518" t="s">
        <v>29</v>
      </c>
      <c r="K518" t="s">
        <v>29</v>
      </c>
      <c r="L518" t="s">
        <v>29</v>
      </c>
      <c r="M518" t="s">
        <v>29</v>
      </c>
      <c r="N518" t="s">
        <v>29</v>
      </c>
      <c r="O518" t="s">
        <v>29</v>
      </c>
      <c r="P518" t="s">
        <v>29</v>
      </c>
      <c r="Q518" t="s">
        <v>29</v>
      </c>
      <c r="R518" t="s">
        <v>29</v>
      </c>
      <c r="S518">
        <v>11.3397495128618</v>
      </c>
      <c r="T518" t="s">
        <v>29</v>
      </c>
      <c r="U518" t="s">
        <v>29</v>
      </c>
      <c r="V518" t="s">
        <v>29</v>
      </c>
      <c r="W518" t="s">
        <v>29</v>
      </c>
      <c r="X518" t="s">
        <v>29</v>
      </c>
      <c r="Y518" t="s">
        <v>29</v>
      </c>
    </row>
    <row r="519" spans="1:25" x14ac:dyDescent="0.2">
      <c r="A519" t="s">
        <v>1943</v>
      </c>
      <c r="B519" t="s">
        <v>1944</v>
      </c>
      <c r="C519" t="s">
        <v>1945</v>
      </c>
      <c r="D519" t="s">
        <v>1946</v>
      </c>
      <c r="E519" t="s">
        <v>1944</v>
      </c>
      <c r="F519" t="s">
        <v>28</v>
      </c>
      <c r="G519" t="s">
        <v>1944</v>
      </c>
      <c r="H519" t="str">
        <f>"hhat-1"</f>
        <v>hhat-1</v>
      </c>
      <c r="I519" t="s">
        <v>1946</v>
      </c>
      <c r="J519">
        <v>14.380832629699</v>
      </c>
      <c r="K519">
        <v>15.0155528193264</v>
      </c>
      <c r="L519">
        <v>14.8685446212488</v>
      </c>
      <c r="M519">
        <v>14.448481903726901</v>
      </c>
      <c r="N519">
        <v>14.340938056132201</v>
      </c>
      <c r="O519">
        <v>14.2648534858332</v>
      </c>
      <c r="P519">
        <v>-0.40355220819396098</v>
      </c>
      <c r="Q519">
        <v>-0.97550856893565396</v>
      </c>
      <c r="R519">
        <v>0.168404152547732</v>
      </c>
      <c r="S519">
        <v>15.0654599674814</v>
      </c>
      <c r="T519">
        <v>-1.4829596931317399</v>
      </c>
      <c r="U519">
        <v>-5.9655645196976197</v>
      </c>
      <c r="V519">
        <v>0.15548303745205799</v>
      </c>
      <c r="W519">
        <v>0.40726596050769998</v>
      </c>
      <c r="X519">
        <v>0</v>
      </c>
      <c r="Y519">
        <v>0</v>
      </c>
    </row>
    <row r="520" spans="1:25" x14ac:dyDescent="0.2">
      <c r="A520" t="s">
        <v>1947</v>
      </c>
      <c r="B520" t="s">
        <v>1948</v>
      </c>
      <c r="C520" t="s">
        <v>1949</v>
      </c>
      <c r="D520" t="s">
        <v>1950</v>
      </c>
      <c r="E520" t="s">
        <v>1948</v>
      </c>
      <c r="F520" t="s">
        <v>28</v>
      </c>
      <c r="G520" t="s">
        <v>1948</v>
      </c>
      <c r="H520" t="str">
        <f>"pak-2"</f>
        <v>pak-2</v>
      </c>
      <c r="I520" t="s">
        <v>1950</v>
      </c>
      <c r="J520">
        <v>13.1878272472966</v>
      </c>
      <c r="K520">
        <v>13.480087061372201</v>
      </c>
      <c r="L520">
        <v>13.344605520843899</v>
      </c>
      <c r="M520">
        <v>13.2628183593764</v>
      </c>
      <c r="N520">
        <v>13.220738917052101</v>
      </c>
      <c r="O520">
        <v>13.3754654588483</v>
      </c>
      <c r="P520">
        <v>-5.1165698078655501E-2</v>
      </c>
      <c r="Q520">
        <v>-0.55019151586888504</v>
      </c>
      <c r="R520">
        <v>0.44786011971157402</v>
      </c>
      <c r="S520">
        <v>13.3240097675711</v>
      </c>
      <c r="T520">
        <v>-0.21642424039977601</v>
      </c>
      <c r="U520">
        <v>-7.0274970129163901</v>
      </c>
      <c r="V520">
        <v>0.83124869560437598</v>
      </c>
      <c r="W520">
        <v>0.93197831843744505</v>
      </c>
      <c r="X520">
        <v>0</v>
      </c>
      <c r="Y520">
        <v>0</v>
      </c>
    </row>
    <row r="521" spans="1:25" x14ac:dyDescent="0.2">
      <c r="A521" t="s">
        <v>1951</v>
      </c>
      <c r="B521" t="s">
        <v>1952</v>
      </c>
      <c r="C521" t="s">
        <v>1953</v>
      </c>
      <c r="D521" t="s">
        <v>1954</v>
      </c>
      <c r="E521" t="s">
        <v>1952</v>
      </c>
      <c r="F521" t="s">
        <v>28</v>
      </c>
      <c r="G521" t="s">
        <v>1955</v>
      </c>
      <c r="H521" t="str">
        <f>"ant-1.4"</f>
        <v>ant-1.4</v>
      </c>
      <c r="I521" t="s">
        <v>1954</v>
      </c>
      <c r="J521">
        <v>20.675902039732399</v>
      </c>
      <c r="K521">
        <v>20.683003599328998</v>
      </c>
      <c r="L521">
        <v>20.481140468722302</v>
      </c>
      <c r="M521">
        <v>20.360026786680901</v>
      </c>
      <c r="N521">
        <v>20.461143669596701</v>
      </c>
      <c r="O521">
        <v>20.181657180565502</v>
      </c>
      <c r="P521">
        <v>-0.27907282364687103</v>
      </c>
      <c r="Q521">
        <v>-0.64561696297206905</v>
      </c>
      <c r="R521">
        <v>8.7471315678327596E-2</v>
      </c>
      <c r="S521">
        <v>19.997214391371401</v>
      </c>
      <c r="T521">
        <v>-1.6002350544931301</v>
      </c>
      <c r="U521">
        <v>-5.7984741794076999</v>
      </c>
      <c r="V521">
        <v>0.127052014979365</v>
      </c>
      <c r="W521">
        <v>0.36964643535992298</v>
      </c>
      <c r="X521">
        <v>0</v>
      </c>
      <c r="Y521">
        <v>0</v>
      </c>
    </row>
    <row r="522" spans="1:25" x14ac:dyDescent="0.2">
      <c r="A522" t="s">
        <v>1956</v>
      </c>
      <c r="B522" t="s">
        <v>1957</v>
      </c>
      <c r="C522" t="s">
        <v>14273</v>
      </c>
      <c r="D522" t="s">
        <v>323</v>
      </c>
      <c r="E522" t="s">
        <v>1957</v>
      </c>
      <c r="F522" t="s">
        <v>28</v>
      </c>
      <c r="G522" t="s">
        <v>1957</v>
      </c>
      <c r="H522" t="str">
        <f>"ZK524.4"</f>
        <v>ZK524.4</v>
      </c>
      <c r="I522" t="s">
        <v>323</v>
      </c>
      <c r="J522">
        <v>11.8416214453758</v>
      </c>
      <c r="K522">
        <v>11.856877738942201</v>
      </c>
      <c r="L522">
        <v>11.879762117974201</v>
      </c>
      <c r="M522">
        <v>11.9530840855642</v>
      </c>
      <c r="N522">
        <v>12.7173151800577</v>
      </c>
      <c r="O522">
        <v>12.406576536364</v>
      </c>
      <c r="P522">
        <v>0.49957149989792199</v>
      </c>
      <c r="Q522">
        <v>0.10500970420351</v>
      </c>
      <c r="R522">
        <v>0.89413329559233401</v>
      </c>
      <c r="S522">
        <v>12.420472404545601</v>
      </c>
      <c r="T522">
        <v>2.6725918272651201</v>
      </c>
      <c r="U522">
        <v>-3.9248639179229299</v>
      </c>
      <c r="V522">
        <v>1.61281351294294E-2</v>
      </c>
      <c r="W522">
        <v>0.119546587041374</v>
      </c>
      <c r="X522">
        <v>0</v>
      </c>
      <c r="Y522">
        <v>0</v>
      </c>
    </row>
    <row r="523" spans="1:25" x14ac:dyDescent="0.2">
      <c r="A523" t="s">
        <v>1958</v>
      </c>
      <c r="B523" t="s">
        <v>1959</v>
      </c>
      <c r="C523" t="s">
        <v>1960</v>
      </c>
      <c r="D523" t="s">
        <v>1961</v>
      </c>
      <c r="E523" t="s">
        <v>1959</v>
      </c>
      <c r="F523" t="s">
        <v>28</v>
      </c>
      <c r="G523" t="s">
        <v>1959</v>
      </c>
      <c r="H523" t="str">
        <f>"rsa-2"</f>
        <v>rsa-2</v>
      </c>
      <c r="I523" t="s">
        <v>1961</v>
      </c>
      <c r="J523">
        <v>11.7840483961503</v>
      </c>
      <c r="K523" t="s">
        <v>29</v>
      </c>
      <c r="L523">
        <v>12.262528793306</v>
      </c>
      <c r="M523" t="s">
        <v>29</v>
      </c>
      <c r="N523">
        <v>12.2121562182008</v>
      </c>
      <c r="O523">
        <v>11.530632678804499</v>
      </c>
      <c r="P523">
        <v>-0.15189414622551201</v>
      </c>
      <c r="Q523">
        <v>-0.74984254259563399</v>
      </c>
      <c r="R523">
        <v>0.44605425014460998</v>
      </c>
      <c r="S523">
        <v>12.2512988423923</v>
      </c>
      <c r="T523">
        <v>-0.54924305746063795</v>
      </c>
      <c r="U523">
        <v>-6.6923109582581404</v>
      </c>
      <c r="V523">
        <v>0.59222321112134702</v>
      </c>
      <c r="W523">
        <v>0.80429646451955905</v>
      </c>
      <c r="X523">
        <v>0</v>
      </c>
      <c r="Y523">
        <v>0</v>
      </c>
    </row>
    <row r="524" spans="1:25" x14ac:dyDescent="0.2">
      <c r="A524" t="s">
        <v>1962</v>
      </c>
      <c r="B524" t="s">
        <v>1963</v>
      </c>
      <c r="C524" t="s">
        <v>1964</v>
      </c>
      <c r="D524" t="s">
        <v>1965</v>
      </c>
      <c r="E524" t="s">
        <v>1963</v>
      </c>
      <c r="F524" t="s">
        <v>28</v>
      </c>
      <c r="G524" t="s">
        <v>1963</v>
      </c>
      <c r="H524" t="str">
        <f>"catp-4"</f>
        <v>catp-4</v>
      </c>
      <c r="I524" t="s">
        <v>1965</v>
      </c>
      <c r="J524">
        <v>14.251786216585799</v>
      </c>
      <c r="K524">
        <v>14.0552744036892</v>
      </c>
      <c r="L524">
        <v>13.7213498042242</v>
      </c>
      <c r="M524">
        <v>14.6732022093108</v>
      </c>
      <c r="N524">
        <v>14.7358911953544</v>
      </c>
      <c r="O524">
        <v>14.090727345914701</v>
      </c>
      <c r="P524">
        <v>0.49047010869358898</v>
      </c>
      <c r="Q524">
        <v>-0.27019436484568099</v>
      </c>
      <c r="R524">
        <v>1.2511345822328599</v>
      </c>
      <c r="S524">
        <v>14.144740559914201</v>
      </c>
      <c r="T524">
        <v>1.3552266232438299</v>
      </c>
      <c r="U524">
        <v>-6.1361641966124196</v>
      </c>
      <c r="V524">
        <v>0.19220619705461101</v>
      </c>
      <c r="W524">
        <v>0.45448967470907897</v>
      </c>
      <c r="X524">
        <v>0</v>
      </c>
      <c r="Y524">
        <v>0</v>
      </c>
    </row>
    <row r="525" spans="1:25" x14ac:dyDescent="0.2">
      <c r="A525" t="s">
        <v>1966</v>
      </c>
      <c r="B525" t="s">
        <v>1967</v>
      </c>
      <c r="C525" t="s">
        <v>1968</v>
      </c>
      <c r="D525" t="s">
        <v>1969</v>
      </c>
      <c r="E525" t="s">
        <v>1967</v>
      </c>
      <c r="F525" t="s">
        <v>28</v>
      </c>
      <c r="G525" t="s">
        <v>1967</v>
      </c>
      <c r="H525" t="str">
        <f>"vps-52"</f>
        <v>vps-52</v>
      </c>
      <c r="I525" t="s">
        <v>1969</v>
      </c>
      <c r="J525">
        <v>12.7630486141855</v>
      </c>
      <c r="K525">
        <v>13.118729066249101</v>
      </c>
      <c r="L525">
        <v>12.750208348561999</v>
      </c>
      <c r="M525" t="s">
        <v>29</v>
      </c>
      <c r="N525">
        <v>12.964552547398901</v>
      </c>
      <c r="O525">
        <v>12.9855601126746</v>
      </c>
      <c r="P525">
        <v>9.7727653704561504E-2</v>
      </c>
      <c r="Q525">
        <v>-0.45590321953416102</v>
      </c>
      <c r="R525">
        <v>0.651358526943284</v>
      </c>
      <c r="S525">
        <v>12.7009266714735</v>
      </c>
      <c r="T525">
        <v>0.37647728458132401</v>
      </c>
      <c r="U525">
        <v>-6.8668568460177104</v>
      </c>
      <c r="V525">
        <v>0.71187081958213805</v>
      </c>
      <c r="W525">
        <v>0.87182071769675495</v>
      </c>
      <c r="X525">
        <v>0</v>
      </c>
      <c r="Y525">
        <v>0</v>
      </c>
    </row>
    <row r="526" spans="1:25" x14ac:dyDescent="0.2">
      <c r="A526" t="s">
        <v>1970</v>
      </c>
      <c r="B526" t="s">
        <v>1971</v>
      </c>
      <c r="C526" t="s">
        <v>1972</v>
      </c>
      <c r="D526" t="s">
        <v>810</v>
      </c>
      <c r="E526" t="s">
        <v>1971</v>
      </c>
      <c r="F526" t="s">
        <v>28</v>
      </c>
      <c r="G526" t="s">
        <v>1971</v>
      </c>
      <c r="H526" t="str">
        <f>"sma-1"</f>
        <v>sma-1</v>
      </c>
      <c r="I526" t="s">
        <v>810</v>
      </c>
      <c r="J526">
        <v>12.552601899764401</v>
      </c>
      <c r="K526">
        <v>12.7728096190092</v>
      </c>
      <c r="L526">
        <v>13.0319269199864</v>
      </c>
      <c r="M526">
        <v>14.2080773044626</v>
      </c>
      <c r="N526">
        <v>14.4213647603193</v>
      </c>
      <c r="O526">
        <v>14.342221228264201</v>
      </c>
      <c r="P526">
        <v>1.53810828476203</v>
      </c>
      <c r="Q526">
        <v>0.75918072926973401</v>
      </c>
      <c r="R526">
        <v>2.3170358402543298</v>
      </c>
      <c r="S526">
        <v>13.704217614047501</v>
      </c>
      <c r="T526">
        <v>4.1503273927514801</v>
      </c>
      <c r="U526">
        <v>-0.748597889212122</v>
      </c>
      <c r="V526">
        <v>6.0767178985730505E-4</v>
      </c>
      <c r="W526">
        <v>1.25149620518713E-2</v>
      </c>
      <c r="X526">
        <v>1</v>
      </c>
      <c r="Y526">
        <v>1</v>
      </c>
    </row>
    <row r="527" spans="1:25" x14ac:dyDescent="0.2">
      <c r="A527" t="s">
        <v>1973</v>
      </c>
      <c r="B527" t="s">
        <v>1974</v>
      </c>
      <c r="C527" t="s">
        <v>1975</v>
      </c>
      <c r="D527" t="s">
        <v>1976</v>
      </c>
      <c r="E527" t="s">
        <v>1974</v>
      </c>
      <c r="F527" t="s">
        <v>28</v>
      </c>
      <c r="G527" t="s">
        <v>1974</v>
      </c>
      <c r="H527" t="str">
        <f>"ntl-3"</f>
        <v>ntl-3</v>
      </c>
      <c r="I527" t="s">
        <v>1976</v>
      </c>
      <c r="J527">
        <v>11.6488954690195</v>
      </c>
      <c r="K527">
        <v>12.784666291009399</v>
      </c>
      <c r="L527">
        <v>12.447509080989301</v>
      </c>
      <c r="M527" t="s">
        <v>29</v>
      </c>
      <c r="N527">
        <v>13.1617071527718</v>
      </c>
      <c r="O527">
        <v>11.9934887771938</v>
      </c>
      <c r="P527">
        <v>0.28390768464338301</v>
      </c>
      <c r="Q527">
        <v>-0.73825328451167604</v>
      </c>
      <c r="R527">
        <v>1.3060686537984401</v>
      </c>
      <c r="S527">
        <v>12.3195208478653</v>
      </c>
      <c r="T527">
        <v>0.59237873528505103</v>
      </c>
      <c r="U527">
        <v>-6.7580828815885798</v>
      </c>
      <c r="V527">
        <v>0.56248249242942905</v>
      </c>
      <c r="W527">
        <v>0.78663205870769404</v>
      </c>
      <c r="X527">
        <v>0</v>
      </c>
      <c r="Y527">
        <v>0</v>
      </c>
    </row>
    <row r="528" spans="1:25" x14ac:dyDescent="0.2">
      <c r="A528" t="s">
        <v>1977</v>
      </c>
      <c r="B528" t="s">
        <v>1978</v>
      </c>
      <c r="C528" t="s">
        <v>1979</v>
      </c>
      <c r="D528" t="s">
        <v>1980</v>
      </c>
      <c r="E528" t="s">
        <v>1978</v>
      </c>
      <c r="F528" t="s">
        <v>28</v>
      </c>
      <c r="G528" t="s">
        <v>1978</v>
      </c>
      <c r="H528" t="str">
        <f>"polh-1"</f>
        <v>polh-1</v>
      </c>
      <c r="I528" t="s">
        <v>1980</v>
      </c>
      <c r="J528" t="s">
        <v>29</v>
      </c>
      <c r="K528" t="s">
        <v>29</v>
      </c>
      <c r="L528" t="s">
        <v>29</v>
      </c>
      <c r="M528" t="s">
        <v>29</v>
      </c>
      <c r="N528" t="s">
        <v>29</v>
      </c>
      <c r="O528" t="s">
        <v>29</v>
      </c>
      <c r="P528" t="s">
        <v>29</v>
      </c>
      <c r="Q528" t="s">
        <v>29</v>
      </c>
      <c r="R528" t="s">
        <v>29</v>
      </c>
      <c r="S528">
        <v>9.1376999309035902</v>
      </c>
      <c r="T528" t="s">
        <v>29</v>
      </c>
      <c r="U528" t="s">
        <v>29</v>
      </c>
      <c r="V528" t="s">
        <v>29</v>
      </c>
      <c r="W528" t="s">
        <v>29</v>
      </c>
      <c r="X528" t="s">
        <v>29</v>
      </c>
      <c r="Y528" t="s">
        <v>29</v>
      </c>
    </row>
    <row r="529" spans="1:25" x14ac:dyDescent="0.2">
      <c r="A529" t="s">
        <v>1981</v>
      </c>
      <c r="B529" t="s">
        <v>1982</v>
      </c>
      <c r="C529" t="s">
        <v>1983</v>
      </c>
      <c r="D529" t="s">
        <v>534</v>
      </c>
      <c r="E529" t="s">
        <v>1982</v>
      </c>
      <c r="F529" t="s">
        <v>28</v>
      </c>
      <c r="G529" t="s">
        <v>1982</v>
      </c>
      <c r="H529" t="str">
        <f>"sec-31"</f>
        <v>sec-31</v>
      </c>
      <c r="I529" t="s">
        <v>534</v>
      </c>
      <c r="J529">
        <v>11.4555157557883</v>
      </c>
      <c r="K529">
        <v>11.0635055567114</v>
      </c>
      <c r="L529">
        <v>11.490658090813399</v>
      </c>
      <c r="M529">
        <v>11.7747540354103</v>
      </c>
      <c r="N529">
        <v>11.4772168211916</v>
      </c>
      <c r="O529">
        <v>11.663740523961399</v>
      </c>
      <c r="P529">
        <v>0.30201065908336699</v>
      </c>
      <c r="Q529">
        <v>-0.117522877801777</v>
      </c>
      <c r="R529">
        <v>0.72154419596851005</v>
      </c>
      <c r="S529">
        <v>11.7659315515917</v>
      </c>
      <c r="T529">
        <v>1.5195171316182601</v>
      </c>
      <c r="U529">
        <v>-5.91491058622473</v>
      </c>
      <c r="V529">
        <v>0.14712454467744801</v>
      </c>
      <c r="W529">
        <v>0.39762729931928298</v>
      </c>
      <c r="X529">
        <v>0</v>
      </c>
      <c r="Y529">
        <v>0</v>
      </c>
    </row>
    <row r="530" spans="1:25" x14ac:dyDescent="0.2">
      <c r="A530" t="s">
        <v>1984</v>
      </c>
      <c r="B530" t="s">
        <v>1985</v>
      </c>
      <c r="C530" t="s">
        <v>1986</v>
      </c>
      <c r="D530" t="s">
        <v>1987</v>
      </c>
      <c r="E530" t="s">
        <v>1985</v>
      </c>
      <c r="F530" t="s">
        <v>28</v>
      </c>
      <c r="G530" t="s">
        <v>1985</v>
      </c>
      <c r="H530" t="str">
        <f>"ipgm-1"</f>
        <v>ipgm-1</v>
      </c>
      <c r="I530" t="s">
        <v>1987</v>
      </c>
      <c r="J530">
        <v>12.932515737472301</v>
      </c>
      <c r="K530">
        <v>12.6737773245731</v>
      </c>
      <c r="L530">
        <v>12.6343900068044</v>
      </c>
      <c r="M530">
        <v>12.217634253134401</v>
      </c>
      <c r="N530">
        <v>12.030579736702901</v>
      </c>
      <c r="O530">
        <v>13.032957197135699</v>
      </c>
      <c r="P530">
        <v>-0.31983729395893301</v>
      </c>
      <c r="Q530">
        <v>-0.80116158900201895</v>
      </c>
      <c r="R530">
        <v>0.16148700108415201</v>
      </c>
      <c r="S530">
        <v>12.4343710521575</v>
      </c>
      <c r="T530">
        <v>-1.4026242142635901</v>
      </c>
      <c r="U530">
        <v>-6.0741637222503</v>
      </c>
      <c r="V530">
        <v>0.17883739560155501</v>
      </c>
      <c r="W530">
        <v>0.44119551576001498</v>
      </c>
      <c r="X530">
        <v>0</v>
      </c>
      <c r="Y530">
        <v>0</v>
      </c>
    </row>
    <row r="531" spans="1:25" x14ac:dyDescent="0.2">
      <c r="A531" t="s">
        <v>1988</v>
      </c>
      <c r="B531" t="s">
        <v>1989</v>
      </c>
      <c r="C531" t="s">
        <v>1990</v>
      </c>
      <c r="D531" t="s">
        <v>1991</v>
      </c>
      <c r="E531" t="s">
        <v>1989</v>
      </c>
      <c r="F531" t="s">
        <v>28</v>
      </c>
      <c r="G531" t="s">
        <v>1989</v>
      </c>
      <c r="H531" t="str">
        <f>"ash-2"</f>
        <v>ash-2</v>
      </c>
      <c r="I531" t="s">
        <v>1991</v>
      </c>
      <c r="J531">
        <v>12.487639197185599</v>
      </c>
      <c r="K531">
        <v>12.864716407979101</v>
      </c>
      <c r="L531">
        <v>12.660531609141801</v>
      </c>
      <c r="M531">
        <v>12.603783071547801</v>
      </c>
      <c r="N531">
        <v>12.5034242112716</v>
      </c>
      <c r="O531">
        <v>13.004009809321801</v>
      </c>
      <c r="P531">
        <v>3.2776625944901397E-2</v>
      </c>
      <c r="Q531">
        <v>-0.47411147589126701</v>
      </c>
      <c r="R531">
        <v>0.539664727781069</v>
      </c>
      <c r="S531">
        <v>12.910225356792701</v>
      </c>
      <c r="T531">
        <v>0.135907887137067</v>
      </c>
      <c r="U531">
        <v>-7.0424115148591504</v>
      </c>
      <c r="V531">
        <v>0.89341128756369703</v>
      </c>
      <c r="W531">
        <v>0.96263587077227497</v>
      </c>
      <c r="X531">
        <v>0</v>
      </c>
      <c r="Y531">
        <v>0</v>
      </c>
    </row>
    <row r="532" spans="1:25" x14ac:dyDescent="0.2">
      <c r="A532" t="s">
        <v>1992</v>
      </c>
      <c r="B532" t="s">
        <v>1993</v>
      </c>
      <c r="C532" t="s">
        <v>1994</v>
      </c>
      <c r="D532" t="s">
        <v>1995</v>
      </c>
      <c r="E532" t="s">
        <v>1993</v>
      </c>
      <c r="F532" t="s">
        <v>28</v>
      </c>
      <c r="G532" t="s">
        <v>1993</v>
      </c>
      <c r="H532" t="str">
        <f>"fat-4"</f>
        <v>fat-4</v>
      </c>
      <c r="I532" t="s">
        <v>1995</v>
      </c>
      <c r="J532">
        <v>12.592029192245001</v>
      </c>
      <c r="K532">
        <v>12.6693132245857</v>
      </c>
      <c r="L532">
        <v>12.5615664944829</v>
      </c>
      <c r="M532">
        <v>12.176657255329401</v>
      </c>
      <c r="N532">
        <v>11.9665700283623</v>
      </c>
      <c r="O532">
        <v>11.2942599312527</v>
      </c>
      <c r="P532">
        <v>-0.79514056545640499</v>
      </c>
      <c r="Q532">
        <v>-1.41917995495521</v>
      </c>
      <c r="R532">
        <v>-0.171101175957596</v>
      </c>
      <c r="S532">
        <v>12.7278365403533</v>
      </c>
      <c r="T532">
        <v>-2.70259791141723</v>
      </c>
      <c r="U532">
        <v>-3.88649167893439</v>
      </c>
      <c r="V532">
        <v>1.57556461783625E-2</v>
      </c>
      <c r="W532">
        <v>0.117589157487136</v>
      </c>
      <c r="X532">
        <v>0</v>
      </c>
      <c r="Y532">
        <v>0</v>
      </c>
    </row>
    <row r="533" spans="1:25" x14ac:dyDescent="0.2">
      <c r="A533" t="s">
        <v>1996</v>
      </c>
      <c r="B533" t="s">
        <v>1997</v>
      </c>
      <c r="C533" t="s">
        <v>1998</v>
      </c>
      <c r="D533" t="s">
        <v>1999</v>
      </c>
      <c r="E533" t="s">
        <v>1997</v>
      </c>
      <c r="F533" t="s">
        <v>28</v>
      </c>
      <c r="G533" t="s">
        <v>1997</v>
      </c>
      <c r="H533" t="str">
        <f>"dhs-12"</f>
        <v>dhs-12</v>
      </c>
      <c r="I533" t="s">
        <v>1999</v>
      </c>
      <c r="J533">
        <v>13.658561360924599</v>
      </c>
      <c r="K533">
        <v>13.4720065577458</v>
      </c>
      <c r="L533">
        <v>13.3374604383167</v>
      </c>
      <c r="M533">
        <v>12.4607024532653</v>
      </c>
      <c r="N533">
        <v>13.3420637414903</v>
      </c>
      <c r="O533">
        <v>13.1540720743342</v>
      </c>
      <c r="P533">
        <v>-0.50373002929907396</v>
      </c>
      <c r="Q533">
        <v>-1.0187354828173101</v>
      </c>
      <c r="R533">
        <v>1.12754242191578E-2</v>
      </c>
      <c r="S533">
        <v>12.878314356271201</v>
      </c>
      <c r="T533">
        <v>-2.06460049363166</v>
      </c>
      <c r="U533">
        <v>-5.0556372000179799</v>
      </c>
      <c r="V533">
        <v>5.4661942927653397E-2</v>
      </c>
      <c r="W533">
        <v>0.234525780043809</v>
      </c>
      <c r="X533">
        <v>0</v>
      </c>
      <c r="Y533">
        <v>0</v>
      </c>
    </row>
    <row r="534" spans="1:25" x14ac:dyDescent="0.2">
      <c r="A534" t="s">
        <v>2000</v>
      </c>
      <c r="B534" t="s">
        <v>2001</v>
      </c>
      <c r="C534" t="s">
        <v>2002</v>
      </c>
      <c r="D534" t="s">
        <v>2003</v>
      </c>
      <c r="E534" t="s">
        <v>2001</v>
      </c>
      <c r="F534" t="s">
        <v>28</v>
      </c>
      <c r="G534" t="s">
        <v>2001</v>
      </c>
      <c r="H534" t="str">
        <f>"cacn-1"</f>
        <v>cacn-1</v>
      </c>
      <c r="I534" t="s">
        <v>2003</v>
      </c>
      <c r="J534">
        <v>13.751655190869201</v>
      </c>
      <c r="K534">
        <v>13.5138685225781</v>
      </c>
      <c r="L534">
        <v>13.542387044805499</v>
      </c>
      <c r="M534">
        <v>13.4593304634187</v>
      </c>
      <c r="N534">
        <v>13.2472840823139</v>
      </c>
      <c r="O534">
        <v>12.7372993063136</v>
      </c>
      <c r="P534">
        <v>-0.45466563540222499</v>
      </c>
      <c r="Q534">
        <v>-0.86580805429371599</v>
      </c>
      <c r="R534">
        <v>-4.3523216510734902E-2</v>
      </c>
      <c r="S534">
        <v>13.1279279874677</v>
      </c>
      <c r="T534">
        <v>-2.34557526779431</v>
      </c>
      <c r="U534">
        <v>-4.5626529379638603</v>
      </c>
      <c r="V534">
        <v>3.2309791989690903E-2</v>
      </c>
      <c r="W534">
        <v>0.177029249102716</v>
      </c>
      <c r="X534">
        <v>0</v>
      </c>
      <c r="Y534">
        <v>0</v>
      </c>
    </row>
    <row r="535" spans="1:25" x14ac:dyDescent="0.2">
      <c r="A535" t="s">
        <v>2004</v>
      </c>
      <c r="B535" t="s">
        <v>2005</v>
      </c>
      <c r="C535" t="s">
        <v>2006</v>
      </c>
      <c r="D535" t="s">
        <v>2007</v>
      </c>
      <c r="E535" t="s">
        <v>2005</v>
      </c>
      <c r="F535" t="s">
        <v>28</v>
      </c>
      <c r="G535" t="s">
        <v>2005</v>
      </c>
      <c r="H535" t="str">
        <f>"smc-6"</f>
        <v>smc-6</v>
      </c>
      <c r="I535" t="s">
        <v>2007</v>
      </c>
      <c r="J535">
        <v>11.6859344901151</v>
      </c>
      <c r="K535" t="s">
        <v>29</v>
      </c>
      <c r="L535">
        <v>11.882496989086899</v>
      </c>
      <c r="M535">
        <v>11.0716249782087</v>
      </c>
      <c r="N535">
        <v>11.815165500839701</v>
      </c>
      <c r="O535" t="s">
        <v>29</v>
      </c>
      <c r="P535">
        <v>-0.34082050007682202</v>
      </c>
      <c r="Q535">
        <v>-0.88304408528715606</v>
      </c>
      <c r="R535">
        <v>0.20140308513351299</v>
      </c>
      <c r="S535">
        <v>11.689943907727301</v>
      </c>
      <c r="T535">
        <v>-1.3490846407207899</v>
      </c>
      <c r="U535">
        <v>-5.9451835447252597</v>
      </c>
      <c r="V535">
        <v>0.19888472877821101</v>
      </c>
      <c r="W535">
        <v>0.45931221252256899</v>
      </c>
      <c r="X535">
        <v>0</v>
      </c>
      <c r="Y535">
        <v>0</v>
      </c>
    </row>
    <row r="536" spans="1:25" x14ac:dyDescent="0.2">
      <c r="A536" t="s">
        <v>2008</v>
      </c>
      <c r="B536" t="s">
        <v>2009</v>
      </c>
      <c r="C536" t="s">
        <v>2010</v>
      </c>
      <c r="D536" t="s">
        <v>2011</v>
      </c>
      <c r="E536" t="s">
        <v>2009</v>
      </c>
      <c r="F536" t="s">
        <v>28</v>
      </c>
      <c r="G536" t="s">
        <v>2009</v>
      </c>
      <c r="H536" t="str">
        <f>"him-4"</f>
        <v>him-4</v>
      </c>
      <c r="I536" t="s">
        <v>2011</v>
      </c>
      <c r="J536">
        <v>13.620322485715199</v>
      </c>
      <c r="K536">
        <v>13.4317502471447</v>
      </c>
      <c r="L536">
        <v>13.378999643986999</v>
      </c>
      <c r="M536">
        <v>13.933914732316801</v>
      </c>
      <c r="N536">
        <v>14.0109725269281</v>
      </c>
      <c r="O536">
        <v>13.7852205988299</v>
      </c>
      <c r="P536">
        <v>0.43301182707594799</v>
      </c>
      <c r="Q536">
        <v>1.1284687190364E-2</v>
      </c>
      <c r="R536">
        <v>0.85473896696153195</v>
      </c>
      <c r="S536">
        <v>13.337692979706601</v>
      </c>
      <c r="T536">
        <v>2.1580461169301501</v>
      </c>
      <c r="U536">
        <v>-4.8848265827865696</v>
      </c>
      <c r="V536">
        <v>4.4763811618620003E-2</v>
      </c>
      <c r="W536">
        <v>0.209887068177771</v>
      </c>
      <c r="X536">
        <v>0</v>
      </c>
      <c r="Y536">
        <v>0</v>
      </c>
    </row>
    <row r="537" spans="1:25" x14ac:dyDescent="0.2">
      <c r="A537" t="s">
        <v>2012</v>
      </c>
      <c r="B537" t="s">
        <v>2013</v>
      </c>
      <c r="C537" t="s">
        <v>2014</v>
      </c>
      <c r="D537" t="s">
        <v>2015</v>
      </c>
      <c r="E537" t="s">
        <v>2013</v>
      </c>
      <c r="F537" t="s">
        <v>28</v>
      </c>
      <c r="G537" t="s">
        <v>2013</v>
      </c>
      <c r="H537" t="str">
        <f>"emb-27"</f>
        <v>emb-27</v>
      </c>
      <c r="I537" t="s">
        <v>2015</v>
      </c>
      <c r="J537">
        <v>12.488221086891899</v>
      </c>
      <c r="K537">
        <v>12.698316290976599</v>
      </c>
      <c r="L537">
        <v>13.417361732020099</v>
      </c>
      <c r="M537">
        <v>13.1983420246771</v>
      </c>
      <c r="N537">
        <v>13.349659238509201</v>
      </c>
      <c r="O537">
        <v>13.243818681566999</v>
      </c>
      <c r="P537">
        <v>0.39597361162158701</v>
      </c>
      <c r="Q537">
        <v>-0.22926118871184001</v>
      </c>
      <c r="R537">
        <v>1.02120841195501</v>
      </c>
      <c r="S537">
        <v>13.2853291096165</v>
      </c>
      <c r="T537">
        <v>1.3311151158129</v>
      </c>
      <c r="U537">
        <v>-6.1669769670794503</v>
      </c>
      <c r="V537">
        <v>0.199862311876255</v>
      </c>
      <c r="W537">
        <v>0.46091563631845001</v>
      </c>
      <c r="X537">
        <v>0</v>
      </c>
      <c r="Y537">
        <v>0</v>
      </c>
    </row>
    <row r="538" spans="1:25" x14ac:dyDescent="0.2">
      <c r="A538" t="s">
        <v>2016</v>
      </c>
      <c r="B538" t="s">
        <v>2017</v>
      </c>
      <c r="C538" t="s">
        <v>14274</v>
      </c>
      <c r="D538" t="s">
        <v>1131</v>
      </c>
      <c r="E538" t="s">
        <v>2017</v>
      </c>
      <c r="F538" t="s">
        <v>28</v>
      </c>
      <c r="G538" t="s">
        <v>2017</v>
      </c>
      <c r="H538" t="str">
        <f>"T04A11.1"</f>
        <v>T04A11.1</v>
      </c>
      <c r="I538" t="s">
        <v>1131</v>
      </c>
      <c r="J538">
        <v>13.1892788906394</v>
      </c>
      <c r="K538">
        <v>13.0538538302593</v>
      </c>
      <c r="L538">
        <v>12.7526725434996</v>
      </c>
      <c r="M538">
        <v>13.564711811375499</v>
      </c>
      <c r="N538">
        <v>13.3043173652555</v>
      </c>
      <c r="O538">
        <v>12.8682887306278</v>
      </c>
      <c r="P538">
        <v>0.24717088095353301</v>
      </c>
      <c r="Q538">
        <v>-0.444794536884425</v>
      </c>
      <c r="R538">
        <v>0.93913629879149096</v>
      </c>
      <c r="S538">
        <v>12.554153227639601</v>
      </c>
      <c r="T538">
        <v>0.75763921407597501</v>
      </c>
      <c r="U538">
        <v>-6.7546406268463697</v>
      </c>
      <c r="V538">
        <v>0.459752533461734</v>
      </c>
      <c r="W538">
        <v>0.72587809019140404</v>
      </c>
      <c r="X538">
        <v>0</v>
      </c>
      <c r="Y538">
        <v>0</v>
      </c>
    </row>
    <row r="539" spans="1:25" x14ac:dyDescent="0.2">
      <c r="A539" t="s">
        <v>2018</v>
      </c>
      <c r="B539" t="s">
        <v>2019</v>
      </c>
      <c r="C539" t="s">
        <v>2020</v>
      </c>
      <c r="D539" t="s">
        <v>2021</v>
      </c>
      <c r="E539" t="s">
        <v>2019</v>
      </c>
      <c r="F539" t="s">
        <v>28</v>
      </c>
      <c r="G539" t="s">
        <v>2019</v>
      </c>
      <c r="H539" t="str">
        <f>"nrde-2"</f>
        <v>nrde-2</v>
      </c>
      <c r="I539" t="s">
        <v>2021</v>
      </c>
      <c r="J539">
        <v>11.7631538470376</v>
      </c>
      <c r="K539">
        <v>11.708857513804199</v>
      </c>
      <c r="L539">
        <v>11.744188910590299</v>
      </c>
      <c r="M539">
        <v>11.124780592176201</v>
      </c>
      <c r="N539">
        <v>11.434738036900301</v>
      </c>
      <c r="O539">
        <v>11.0812929153814</v>
      </c>
      <c r="P539">
        <v>-0.52512957565808305</v>
      </c>
      <c r="Q539">
        <v>-1.0375325675621101</v>
      </c>
      <c r="R539">
        <v>-1.27265837540558E-2</v>
      </c>
      <c r="S539">
        <v>12.450720123205601</v>
      </c>
      <c r="T539">
        <v>-2.1737237558098998</v>
      </c>
      <c r="U539">
        <v>-4.8719559579971703</v>
      </c>
      <c r="V539">
        <v>4.5187331020687997E-2</v>
      </c>
      <c r="W539">
        <v>0.21096065300045699</v>
      </c>
      <c r="X539">
        <v>0</v>
      </c>
      <c r="Y539">
        <v>0</v>
      </c>
    </row>
    <row r="540" spans="1:25" x14ac:dyDescent="0.2">
      <c r="A540" t="s">
        <v>2022</v>
      </c>
      <c r="B540" t="s">
        <v>2023</v>
      </c>
      <c r="C540" t="s">
        <v>2024</v>
      </c>
      <c r="D540" t="s">
        <v>2025</v>
      </c>
      <c r="E540" t="s">
        <v>2023</v>
      </c>
      <c r="F540" t="s">
        <v>28</v>
      </c>
      <c r="G540" t="s">
        <v>2023</v>
      </c>
      <c r="H540" t="str">
        <f>"cpt-5"</f>
        <v>cpt-5</v>
      </c>
      <c r="I540" t="s">
        <v>2025</v>
      </c>
      <c r="J540">
        <v>11.850603137558201</v>
      </c>
      <c r="K540">
        <v>12.013847436618001</v>
      </c>
      <c r="L540">
        <v>12.5807042418121</v>
      </c>
      <c r="M540">
        <v>12.9624998036166</v>
      </c>
      <c r="N540">
        <v>12.221131453370401</v>
      </c>
      <c r="O540" t="s">
        <v>29</v>
      </c>
      <c r="P540">
        <v>0.44343068983077499</v>
      </c>
      <c r="Q540">
        <v>-0.232988792066089</v>
      </c>
      <c r="R540">
        <v>1.1198501717276399</v>
      </c>
      <c r="S540">
        <v>12.219775809894999</v>
      </c>
      <c r="T540">
        <v>1.39814188306544</v>
      </c>
      <c r="U540">
        <v>-5.97095081914593</v>
      </c>
      <c r="V540">
        <v>0.182543415923586</v>
      </c>
      <c r="W540">
        <v>0.44560860871369101</v>
      </c>
      <c r="X540">
        <v>0</v>
      </c>
      <c r="Y540">
        <v>0</v>
      </c>
    </row>
    <row r="541" spans="1:25" x14ac:dyDescent="0.2">
      <c r="A541" t="s">
        <v>2026</v>
      </c>
      <c r="B541" t="s">
        <v>2027</v>
      </c>
      <c r="C541" t="s">
        <v>2028</v>
      </c>
      <c r="D541" t="s">
        <v>59</v>
      </c>
      <c r="E541" t="s">
        <v>2027</v>
      </c>
      <c r="F541" t="s">
        <v>28</v>
      </c>
      <c r="G541" t="s">
        <v>2027</v>
      </c>
      <c r="H541" t="str">
        <f>"pgp-9"</f>
        <v>pgp-9</v>
      </c>
      <c r="I541" t="s">
        <v>59</v>
      </c>
      <c r="J541">
        <v>12.3579294485035</v>
      </c>
      <c r="K541">
        <v>11.990475583419901</v>
      </c>
      <c r="L541">
        <v>12.0607910572921</v>
      </c>
      <c r="M541">
        <v>12.0407326157755</v>
      </c>
      <c r="N541">
        <v>12.2561369188474</v>
      </c>
      <c r="O541">
        <v>12.182257668057</v>
      </c>
      <c r="P541">
        <v>2.3310371154826402E-2</v>
      </c>
      <c r="Q541">
        <v>-0.52573886858492402</v>
      </c>
      <c r="R541">
        <v>0.57235961089457699</v>
      </c>
      <c r="S541">
        <v>12.343773546310601</v>
      </c>
      <c r="T541">
        <v>8.9234009468908498E-2</v>
      </c>
      <c r="U541">
        <v>-7.0479144108456904</v>
      </c>
      <c r="V541">
        <v>0.92988705151554096</v>
      </c>
      <c r="W541">
        <v>0.97388235134585399</v>
      </c>
      <c r="X541">
        <v>0</v>
      </c>
      <c r="Y541">
        <v>0</v>
      </c>
    </row>
    <row r="542" spans="1:25" x14ac:dyDescent="0.2">
      <c r="A542" t="s">
        <v>2029</v>
      </c>
      <c r="B542" t="s">
        <v>2030</v>
      </c>
      <c r="C542" t="s">
        <v>2031</v>
      </c>
      <c r="D542" t="s">
        <v>2032</v>
      </c>
      <c r="E542" t="s">
        <v>2030</v>
      </c>
      <c r="F542" t="s">
        <v>28</v>
      </c>
      <c r="G542" t="s">
        <v>2030</v>
      </c>
      <c r="H542" t="str">
        <f>"unc-45"</f>
        <v>unc-45</v>
      </c>
      <c r="I542" t="s">
        <v>2032</v>
      </c>
      <c r="J542">
        <v>14.660532299958099</v>
      </c>
      <c r="K542">
        <v>14.624206604957401</v>
      </c>
      <c r="L542">
        <v>14.5611148353393</v>
      </c>
      <c r="M542">
        <v>14.724063963620599</v>
      </c>
      <c r="N542">
        <v>14.852952172461601</v>
      </c>
      <c r="O542">
        <v>14.819159179390599</v>
      </c>
      <c r="P542">
        <v>0.18344052507268499</v>
      </c>
      <c r="Q542">
        <v>-0.21738666804114901</v>
      </c>
      <c r="R542">
        <v>0.58426771818651801</v>
      </c>
      <c r="S542">
        <v>14.6540465220058</v>
      </c>
      <c r="T542">
        <v>0.96190154103129299</v>
      </c>
      <c r="U542">
        <v>-6.5794026217364499</v>
      </c>
      <c r="V542">
        <v>0.34891760940878103</v>
      </c>
      <c r="W542">
        <v>0.630065427866911</v>
      </c>
      <c r="X542">
        <v>0</v>
      </c>
      <c r="Y542">
        <v>0</v>
      </c>
    </row>
    <row r="543" spans="1:25" x14ac:dyDescent="0.2">
      <c r="A543" t="s">
        <v>2033</v>
      </c>
      <c r="B543" t="s">
        <v>2034</v>
      </c>
      <c r="C543" t="s">
        <v>2035</v>
      </c>
      <c r="D543" t="s">
        <v>2036</v>
      </c>
      <c r="E543" t="s">
        <v>2034</v>
      </c>
      <c r="F543" t="s">
        <v>28</v>
      </c>
      <c r="G543" t="s">
        <v>2034</v>
      </c>
      <c r="H543" t="str">
        <f>"hid-1"</f>
        <v>hid-1</v>
      </c>
      <c r="I543" t="s">
        <v>2036</v>
      </c>
      <c r="J543">
        <v>13.646336598876699</v>
      </c>
      <c r="K543">
        <v>14.0525243384278</v>
      </c>
      <c r="L543">
        <v>13.794629545373301</v>
      </c>
      <c r="M543">
        <v>13.692839055510399</v>
      </c>
      <c r="N543">
        <v>13.9022192097218</v>
      </c>
      <c r="O543">
        <v>13.5577840124516</v>
      </c>
      <c r="P543">
        <v>-0.11354940166463499</v>
      </c>
      <c r="Q543">
        <v>-0.52918406430217202</v>
      </c>
      <c r="R543">
        <v>0.302085260972902</v>
      </c>
      <c r="S543">
        <v>13.9483191700349</v>
      </c>
      <c r="T543">
        <v>-0.57420319415583998</v>
      </c>
      <c r="U543">
        <v>-6.8808818021527296</v>
      </c>
      <c r="V543">
        <v>0.57297800155643397</v>
      </c>
      <c r="W543">
        <v>0.79372942403773294</v>
      </c>
      <c r="X543">
        <v>0</v>
      </c>
      <c r="Y543">
        <v>0</v>
      </c>
    </row>
    <row r="544" spans="1:25" x14ac:dyDescent="0.2">
      <c r="A544" t="s">
        <v>2037</v>
      </c>
      <c r="B544" t="s">
        <v>2038</v>
      </c>
      <c r="C544" t="s">
        <v>2039</v>
      </c>
      <c r="D544" t="s">
        <v>2040</v>
      </c>
      <c r="E544" t="s">
        <v>2038</v>
      </c>
      <c r="F544" t="s">
        <v>28</v>
      </c>
      <c r="G544" t="s">
        <v>2038</v>
      </c>
      <c r="H544" t="str">
        <f>"acr-18"</f>
        <v>acr-18</v>
      </c>
      <c r="I544" t="s">
        <v>2040</v>
      </c>
      <c r="J544" t="s">
        <v>29</v>
      </c>
      <c r="K544">
        <v>15.2104210431956</v>
      </c>
      <c r="L544">
        <v>14.296537255423701</v>
      </c>
      <c r="M544">
        <v>14.3046415429774</v>
      </c>
      <c r="N544">
        <v>14.455802502065801</v>
      </c>
      <c r="O544" t="s">
        <v>29</v>
      </c>
      <c r="P544">
        <v>-0.37325712678805301</v>
      </c>
      <c r="Q544">
        <v>-1.25429815795873</v>
      </c>
      <c r="R544">
        <v>0.50778390438262899</v>
      </c>
      <c r="S544">
        <v>13.2864674301275</v>
      </c>
      <c r="T544">
        <v>-0.96009957919146804</v>
      </c>
      <c r="U544">
        <v>-6.3689622460721296</v>
      </c>
      <c r="V544">
        <v>0.362374129749161</v>
      </c>
      <c r="W544">
        <v>0.63946063893913696</v>
      </c>
      <c r="X544">
        <v>0</v>
      </c>
      <c r="Y544">
        <v>0</v>
      </c>
    </row>
    <row r="545" spans="1:25" x14ac:dyDescent="0.2">
      <c r="A545" t="s">
        <v>2041</v>
      </c>
      <c r="B545" t="s">
        <v>2042</v>
      </c>
      <c r="C545" t="s">
        <v>14275</v>
      </c>
      <c r="D545" t="s">
        <v>2043</v>
      </c>
      <c r="E545" t="s">
        <v>2042</v>
      </c>
      <c r="F545" t="s">
        <v>28</v>
      </c>
      <c r="G545" t="s">
        <v>2042</v>
      </c>
      <c r="H545" t="str">
        <f>"T24B8.7"</f>
        <v>T24B8.7</v>
      </c>
      <c r="I545" t="s">
        <v>2043</v>
      </c>
      <c r="J545">
        <v>12.5120294215737</v>
      </c>
      <c r="K545">
        <v>12.6181544107453</v>
      </c>
      <c r="L545">
        <v>12.358843898386899</v>
      </c>
      <c r="M545">
        <v>12.6360771934838</v>
      </c>
      <c r="N545">
        <v>13.353771623432699</v>
      </c>
      <c r="O545">
        <v>12.8661069162019</v>
      </c>
      <c r="P545">
        <v>0.45564266747080001</v>
      </c>
      <c r="Q545">
        <v>3.1473999484131501E-2</v>
      </c>
      <c r="R545">
        <v>0.87981133545746804</v>
      </c>
      <c r="S545">
        <v>12.9834960715264</v>
      </c>
      <c r="T545">
        <v>2.2577628017295202</v>
      </c>
      <c r="U545">
        <v>-4.7038459548164804</v>
      </c>
      <c r="V545">
        <v>3.6697297712234803E-2</v>
      </c>
      <c r="W545">
        <v>0.19096092878499901</v>
      </c>
      <c r="X545">
        <v>0</v>
      </c>
      <c r="Y545">
        <v>0</v>
      </c>
    </row>
    <row r="546" spans="1:25" x14ac:dyDescent="0.2">
      <c r="A546" t="s">
        <v>2044</v>
      </c>
      <c r="B546" t="s">
        <v>2045</v>
      </c>
      <c r="C546" t="s">
        <v>2046</v>
      </c>
      <c r="D546" t="s">
        <v>2047</v>
      </c>
      <c r="E546" t="s">
        <v>2045</v>
      </c>
      <c r="F546" t="s">
        <v>28</v>
      </c>
      <c r="G546" t="s">
        <v>2045</v>
      </c>
      <c r="H546" t="str">
        <f>"brc-2"</f>
        <v>brc-2</v>
      </c>
      <c r="I546" t="s">
        <v>2047</v>
      </c>
      <c r="J546">
        <v>13.890232003537299</v>
      </c>
      <c r="K546" t="s">
        <v>29</v>
      </c>
      <c r="L546">
        <v>13.3530568476966</v>
      </c>
      <c r="M546">
        <v>13.7533072208814</v>
      </c>
      <c r="N546">
        <v>13.707192504908701</v>
      </c>
      <c r="O546">
        <v>13.6156849911722</v>
      </c>
      <c r="P546">
        <v>7.0417146703809094E-2</v>
      </c>
      <c r="Q546">
        <v>-0.73561540029623995</v>
      </c>
      <c r="R546">
        <v>0.87644969370385795</v>
      </c>
      <c r="S546">
        <v>14.0221368995026</v>
      </c>
      <c r="T546">
        <v>0.18440634413639401</v>
      </c>
      <c r="U546">
        <v>-6.92360564904327</v>
      </c>
      <c r="V546">
        <v>0.85589003347389503</v>
      </c>
      <c r="W546">
        <v>0.94313111037049002</v>
      </c>
      <c r="X546">
        <v>0</v>
      </c>
      <c r="Y546">
        <v>0</v>
      </c>
    </row>
    <row r="547" spans="1:25" x14ac:dyDescent="0.2">
      <c r="A547" t="s">
        <v>2048</v>
      </c>
      <c r="B547" t="s">
        <v>2049</v>
      </c>
      <c r="C547" t="s">
        <v>2050</v>
      </c>
      <c r="D547" t="s">
        <v>2051</v>
      </c>
      <c r="E547" t="s">
        <v>2049</v>
      </c>
      <c r="F547" t="s">
        <v>28</v>
      </c>
      <c r="G547" t="s">
        <v>2052</v>
      </c>
      <c r="H547" t="str">
        <f>"fbxc-2"</f>
        <v>fbxc-2</v>
      </c>
      <c r="I547" t="s">
        <v>2051</v>
      </c>
      <c r="J547">
        <v>10.1488591162333</v>
      </c>
      <c r="K547" t="s">
        <v>29</v>
      </c>
      <c r="L547" t="s">
        <v>29</v>
      </c>
      <c r="M547" t="s">
        <v>29</v>
      </c>
      <c r="N547" t="s">
        <v>29</v>
      </c>
      <c r="O547" t="s">
        <v>29</v>
      </c>
      <c r="P547" t="s">
        <v>29</v>
      </c>
      <c r="Q547" t="s">
        <v>29</v>
      </c>
      <c r="R547" t="s">
        <v>29</v>
      </c>
      <c r="S547">
        <v>10.9094478530873</v>
      </c>
      <c r="T547" t="s">
        <v>29</v>
      </c>
      <c r="U547" t="s">
        <v>29</v>
      </c>
      <c r="V547" t="s">
        <v>29</v>
      </c>
      <c r="W547" t="s">
        <v>29</v>
      </c>
      <c r="X547" t="s">
        <v>29</v>
      </c>
      <c r="Y547" t="s">
        <v>29</v>
      </c>
    </row>
    <row r="548" spans="1:25" x14ac:dyDescent="0.2">
      <c r="A548" t="s">
        <v>2053</v>
      </c>
      <c r="B548" t="s">
        <v>2054</v>
      </c>
      <c r="C548" t="s">
        <v>2055</v>
      </c>
      <c r="D548" t="s">
        <v>297</v>
      </c>
      <c r="E548" t="s">
        <v>2054</v>
      </c>
      <c r="F548" t="s">
        <v>28</v>
      </c>
      <c r="G548" t="s">
        <v>2054</v>
      </c>
      <c r="H548" t="str">
        <f>"cle-1"</f>
        <v>cle-1</v>
      </c>
      <c r="I548" t="s">
        <v>297</v>
      </c>
      <c r="J548" t="s">
        <v>29</v>
      </c>
      <c r="K548" t="s">
        <v>29</v>
      </c>
      <c r="L548">
        <v>11.1491155303199</v>
      </c>
      <c r="M548" t="s">
        <v>29</v>
      </c>
      <c r="N548">
        <v>11.116990617914601</v>
      </c>
      <c r="O548" t="s">
        <v>29</v>
      </c>
      <c r="P548">
        <v>-3.2124912405306502E-2</v>
      </c>
      <c r="Q548">
        <v>-0.91380055171669206</v>
      </c>
      <c r="R548">
        <v>0.84955072690607902</v>
      </c>
      <c r="S548">
        <v>11.5906858259803</v>
      </c>
      <c r="T548">
        <v>-8.1301770106177604E-2</v>
      </c>
      <c r="U548">
        <v>-6.5065116711704798</v>
      </c>
      <c r="V548">
        <v>0.93682291561681497</v>
      </c>
      <c r="W548">
        <v>0.97535311084156295</v>
      </c>
      <c r="X548">
        <v>0</v>
      </c>
      <c r="Y548">
        <v>0</v>
      </c>
    </row>
    <row r="549" spans="1:25" x14ac:dyDescent="0.2">
      <c r="A549" t="s">
        <v>2056</v>
      </c>
      <c r="B549" t="s">
        <v>2057</v>
      </c>
      <c r="C549" t="s">
        <v>2058</v>
      </c>
      <c r="D549" t="s">
        <v>2059</v>
      </c>
      <c r="E549" t="s">
        <v>2057</v>
      </c>
      <c r="F549" t="s">
        <v>28</v>
      </c>
      <c r="G549" t="s">
        <v>2057</v>
      </c>
      <c r="H549" t="str">
        <f>"fat-2"</f>
        <v>fat-2</v>
      </c>
      <c r="I549" t="s">
        <v>2059</v>
      </c>
      <c r="J549">
        <v>14.283532749749</v>
      </c>
      <c r="K549">
        <v>14.2428927134773</v>
      </c>
      <c r="L549">
        <v>14.8540159582802</v>
      </c>
      <c r="M549">
        <v>13.589324380993601</v>
      </c>
      <c r="N549">
        <v>13.942486476973301</v>
      </c>
      <c r="O549">
        <v>13.7050850258848</v>
      </c>
      <c r="P549">
        <v>-0.71451517921823005</v>
      </c>
      <c r="Q549">
        <v>-1.3906321267460799</v>
      </c>
      <c r="R549">
        <v>-3.8398231690380299E-2</v>
      </c>
      <c r="S549">
        <v>15.020534554688901</v>
      </c>
      <c r="T549">
        <v>-2.2211717971608702</v>
      </c>
      <c r="U549">
        <v>-4.7707941105158396</v>
      </c>
      <c r="V549">
        <v>3.9487456574315301E-2</v>
      </c>
      <c r="W549">
        <v>0.19677210366435199</v>
      </c>
      <c r="X549">
        <v>0</v>
      </c>
      <c r="Y549">
        <v>0</v>
      </c>
    </row>
    <row r="550" spans="1:25" x14ac:dyDescent="0.2">
      <c r="A550" t="s">
        <v>2060</v>
      </c>
      <c r="B550" t="s">
        <v>2061</v>
      </c>
      <c r="C550" t="s">
        <v>2062</v>
      </c>
      <c r="D550" t="s">
        <v>992</v>
      </c>
      <c r="E550" t="s">
        <v>2061</v>
      </c>
      <c r="F550" t="s">
        <v>28</v>
      </c>
      <c r="G550" t="s">
        <v>2061</v>
      </c>
      <c r="H550" t="str">
        <f>"ras-2"</f>
        <v>ras-2</v>
      </c>
      <c r="I550" t="s">
        <v>992</v>
      </c>
      <c r="J550" t="s">
        <v>29</v>
      </c>
      <c r="K550" t="s">
        <v>29</v>
      </c>
      <c r="L550" t="s">
        <v>29</v>
      </c>
      <c r="M550">
        <v>13.943178147647201</v>
      </c>
      <c r="N550">
        <v>13.6754200482215</v>
      </c>
      <c r="O550">
        <v>12.461485325121</v>
      </c>
      <c r="P550" t="s">
        <v>29</v>
      </c>
      <c r="Q550" t="s">
        <v>29</v>
      </c>
      <c r="R550" t="s">
        <v>29</v>
      </c>
      <c r="S550">
        <v>13.567330253393299</v>
      </c>
      <c r="T550" t="s">
        <v>29</v>
      </c>
      <c r="U550" t="s">
        <v>29</v>
      </c>
      <c r="V550" t="s">
        <v>29</v>
      </c>
      <c r="W550" t="s">
        <v>29</v>
      </c>
      <c r="X550" t="s">
        <v>29</v>
      </c>
      <c r="Y550" t="s">
        <v>29</v>
      </c>
    </row>
    <row r="551" spans="1:25" x14ac:dyDescent="0.2">
      <c r="A551" t="s">
        <v>2063</v>
      </c>
      <c r="B551" t="s">
        <v>2064</v>
      </c>
      <c r="C551" t="s">
        <v>2065</v>
      </c>
      <c r="D551" t="s">
        <v>2066</v>
      </c>
      <c r="E551" t="s">
        <v>2064</v>
      </c>
      <c r="F551" t="s">
        <v>28</v>
      </c>
      <c r="G551" t="s">
        <v>2064</v>
      </c>
      <c r="H551" t="str">
        <f>"ragc-1"</f>
        <v>ragc-1</v>
      </c>
      <c r="I551" t="s">
        <v>2066</v>
      </c>
      <c r="J551">
        <v>14.8296860536247</v>
      </c>
      <c r="K551">
        <v>14.7683733158318</v>
      </c>
      <c r="L551">
        <v>14.679942156169</v>
      </c>
      <c r="M551">
        <v>14.8600328788645</v>
      </c>
      <c r="N551">
        <v>14.921605843144301</v>
      </c>
      <c r="O551">
        <v>14.7861356694559</v>
      </c>
      <c r="P551">
        <v>9.6590955279694399E-2</v>
      </c>
      <c r="Q551">
        <v>-0.22509526029504401</v>
      </c>
      <c r="R551">
        <v>0.418277170854433</v>
      </c>
      <c r="S551">
        <v>14.4629660263041</v>
      </c>
      <c r="T551">
        <v>0.63109759162726298</v>
      </c>
      <c r="U551">
        <v>-6.8456658450225802</v>
      </c>
      <c r="V551">
        <v>0.53595500588615597</v>
      </c>
      <c r="W551">
        <v>0.77501266500839605</v>
      </c>
      <c r="X551">
        <v>0</v>
      </c>
      <c r="Y551">
        <v>0</v>
      </c>
    </row>
    <row r="552" spans="1:25" x14ac:dyDescent="0.2">
      <c r="A552" t="s">
        <v>2067</v>
      </c>
      <c r="B552" t="s">
        <v>2068</v>
      </c>
      <c r="C552" t="s">
        <v>2069</v>
      </c>
      <c r="D552" t="s">
        <v>2070</v>
      </c>
      <c r="E552" t="s">
        <v>2068</v>
      </c>
      <c r="F552" t="s">
        <v>28</v>
      </c>
      <c r="G552" t="s">
        <v>2068</v>
      </c>
      <c r="H552" t="str">
        <f>"abts-2"</f>
        <v>abts-2</v>
      </c>
      <c r="I552" t="s">
        <v>2070</v>
      </c>
      <c r="J552">
        <v>11.200003621774499</v>
      </c>
      <c r="K552" t="s">
        <v>29</v>
      </c>
      <c r="L552">
        <v>11.039600914899999</v>
      </c>
      <c r="M552">
        <v>9.77667410860297</v>
      </c>
      <c r="N552">
        <v>11.623507590385101</v>
      </c>
      <c r="O552" t="s">
        <v>29</v>
      </c>
      <c r="P552">
        <v>-0.419711418843214</v>
      </c>
      <c r="Q552">
        <v>-1.5694382374453</v>
      </c>
      <c r="R552">
        <v>0.73001539975887497</v>
      </c>
      <c r="S552">
        <v>11.3771390395873</v>
      </c>
      <c r="T552">
        <v>-0.78930229857437195</v>
      </c>
      <c r="U552">
        <v>-6.5270699537521102</v>
      </c>
      <c r="V552">
        <v>0.44420655019298599</v>
      </c>
      <c r="W552">
        <v>0.71185527328797005</v>
      </c>
      <c r="X552">
        <v>0</v>
      </c>
      <c r="Y552">
        <v>0</v>
      </c>
    </row>
    <row r="553" spans="1:25" x14ac:dyDescent="0.2">
      <c r="A553" t="s">
        <v>2071</v>
      </c>
      <c r="B553" t="s">
        <v>2072</v>
      </c>
      <c r="C553" t="s">
        <v>14276</v>
      </c>
      <c r="D553" t="s">
        <v>2073</v>
      </c>
      <c r="E553" t="s">
        <v>2072</v>
      </c>
      <c r="F553" t="s">
        <v>28</v>
      </c>
      <c r="G553" t="s">
        <v>2072</v>
      </c>
      <c r="H553" t="str">
        <f>"DY3.8"</f>
        <v>DY3.8</v>
      </c>
      <c r="I553" t="s">
        <v>2073</v>
      </c>
      <c r="J553">
        <v>12.145562663469599</v>
      </c>
      <c r="K553">
        <v>13.052876481014801</v>
      </c>
      <c r="L553">
        <v>12.942022806186101</v>
      </c>
      <c r="M553">
        <v>13.5565163742113</v>
      </c>
      <c r="N553">
        <v>13.850065280456899</v>
      </c>
      <c r="O553">
        <v>13.088230314874799</v>
      </c>
      <c r="P553">
        <v>0.784783339624193</v>
      </c>
      <c r="Q553">
        <v>-4.8367973410466898E-2</v>
      </c>
      <c r="R553">
        <v>1.6179346526588501</v>
      </c>
      <c r="S553">
        <v>13.513155201725199</v>
      </c>
      <c r="T553">
        <v>1.9882724953545701</v>
      </c>
      <c r="U553">
        <v>-5.1862247150865004</v>
      </c>
      <c r="V553">
        <v>6.3232374000580294E-2</v>
      </c>
      <c r="W553">
        <v>0.255283058310035</v>
      </c>
      <c r="X553">
        <v>0</v>
      </c>
      <c r="Y553">
        <v>0</v>
      </c>
    </row>
    <row r="554" spans="1:25" x14ac:dyDescent="0.2">
      <c r="A554" t="s">
        <v>2074</v>
      </c>
      <c r="B554" t="s">
        <v>2075</v>
      </c>
      <c r="C554" t="s">
        <v>2076</v>
      </c>
      <c r="D554" t="s">
        <v>2077</v>
      </c>
      <c r="E554" t="s">
        <v>2075</v>
      </c>
      <c r="F554" t="s">
        <v>28</v>
      </c>
      <c r="G554" t="s">
        <v>2075</v>
      </c>
      <c r="H554" t="str">
        <f>"ipla-3"</f>
        <v>ipla-3</v>
      </c>
      <c r="I554" t="s">
        <v>2077</v>
      </c>
      <c r="J554">
        <v>12.5123697691171</v>
      </c>
      <c r="K554">
        <v>12.512461058931001</v>
      </c>
      <c r="L554">
        <v>11.7794449514516</v>
      </c>
      <c r="M554" t="s">
        <v>29</v>
      </c>
      <c r="N554">
        <v>12.401971963240801</v>
      </c>
      <c r="O554">
        <v>12.580093371918201</v>
      </c>
      <c r="P554">
        <v>0.22294074107961101</v>
      </c>
      <c r="Q554">
        <v>-0.30751157656244099</v>
      </c>
      <c r="R554">
        <v>0.75339305872166396</v>
      </c>
      <c r="S554">
        <v>12.2729020093445</v>
      </c>
      <c r="T554">
        <v>0.89636459658461198</v>
      </c>
      <c r="U554">
        <v>-6.5278160635501896</v>
      </c>
      <c r="V554">
        <v>0.38431635733839498</v>
      </c>
      <c r="W554">
        <v>0.65893218119078201</v>
      </c>
      <c r="X554">
        <v>0</v>
      </c>
      <c r="Y554">
        <v>0</v>
      </c>
    </row>
    <row r="555" spans="1:25" x14ac:dyDescent="0.2">
      <c r="A555" t="s">
        <v>2078</v>
      </c>
      <c r="B555" t="s">
        <v>2079</v>
      </c>
      <c r="C555" t="s">
        <v>2080</v>
      </c>
      <c r="D555" t="s">
        <v>2081</v>
      </c>
      <c r="E555" t="s">
        <v>2079</v>
      </c>
      <c r="F555" t="s">
        <v>28</v>
      </c>
      <c r="G555" t="s">
        <v>2079</v>
      </c>
      <c r="H555" t="str">
        <f>"scpr-1"</f>
        <v>scpr-1</v>
      </c>
      <c r="I555" t="s">
        <v>2081</v>
      </c>
      <c r="J555" t="s">
        <v>29</v>
      </c>
      <c r="K555">
        <v>10.7888864490651</v>
      </c>
      <c r="L555">
        <v>10.5970978130151</v>
      </c>
      <c r="M555">
        <v>9.4248481863829099</v>
      </c>
      <c r="N555" t="s">
        <v>29</v>
      </c>
      <c r="O555" t="s">
        <v>29</v>
      </c>
      <c r="P555">
        <v>-1.2681439446571801</v>
      </c>
      <c r="Q555">
        <v>-2.3709973659511001</v>
      </c>
      <c r="R555">
        <v>-0.16529052336326799</v>
      </c>
      <c r="S555">
        <v>11.262973480526901</v>
      </c>
      <c r="T555">
        <v>-2.5078165839637601</v>
      </c>
      <c r="U555">
        <v>-3.9702372434895898</v>
      </c>
      <c r="V555">
        <v>2.76702285146543E-2</v>
      </c>
      <c r="W555">
        <v>0.16341002465823001</v>
      </c>
      <c r="X555">
        <v>-1</v>
      </c>
      <c r="Y555">
        <v>0</v>
      </c>
    </row>
    <row r="556" spans="1:25" x14ac:dyDescent="0.2">
      <c r="A556" t="s">
        <v>2082</v>
      </c>
      <c r="B556" t="s">
        <v>2083</v>
      </c>
      <c r="C556" t="s">
        <v>2084</v>
      </c>
      <c r="D556" t="s">
        <v>2085</v>
      </c>
      <c r="E556" t="s">
        <v>2083</v>
      </c>
      <c r="F556" t="s">
        <v>28</v>
      </c>
      <c r="G556" t="s">
        <v>2083</v>
      </c>
      <c r="H556" t="str">
        <f>"dpy-26"</f>
        <v>dpy-26</v>
      </c>
      <c r="I556" t="s">
        <v>2085</v>
      </c>
      <c r="J556" t="s">
        <v>29</v>
      </c>
      <c r="K556" t="s">
        <v>29</v>
      </c>
      <c r="L556">
        <v>12.050122456826299</v>
      </c>
      <c r="M556" t="s">
        <v>29</v>
      </c>
      <c r="N556">
        <v>12.263612449744199</v>
      </c>
      <c r="O556">
        <v>11.327498238494799</v>
      </c>
      <c r="P556">
        <v>-0.25456711270679999</v>
      </c>
      <c r="Q556">
        <v>-1.04819945499246</v>
      </c>
      <c r="R556">
        <v>0.53906522957885805</v>
      </c>
      <c r="S556">
        <v>12.305357984801301</v>
      </c>
      <c r="T556">
        <v>-0.69956480386960296</v>
      </c>
      <c r="U556">
        <v>-6.3955767954739597</v>
      </c>
      <c r="V556">
        <v>0.49765197910418701</v>
      </c>
      <c r="W556">
        <v>0.75005073645438802</v>
      </c>
      <c r="X556">
        <v>0</v>
      </c>
      <c r="Y556">
        <v>0</v>
      </c>
    </row>
    <row r="557" spans="1:25" x14ac:dyDescent="0.2">
      <c r="A557" t="s">
        <v>2086</v>
      </c>
      <c r="B557" t="s">
        <v>2087</v>
      </c>
      <c r="C557" t="s">
        <v>14277</v>
      </c>
      <c r="D557" t="s">
        <v>2088</v>
      </c>
      <c r="E557" t="s">
        <v>2087</v>
      </c>
      <c r="F557" t="s">
        <v>28</v>
      </c>
      <c r="G557" t="s">
        <v>2087</v>
      </c>
      <c r="H557" t="str">
        <f>"F40E10.6"</f>
        <v>F40E10.6</v>
      </c>
      <c r="I557" t="s">
        <v>2088</v>
      </c>
      <c r="J557">
        <v>12.8127459114065</v>
      </c>
      <c r="K557">
        <v>13.189152047768401</v>
      </c>
      <c r="L557">
        <v>12.912504078415299</v>
      </c>
      <c r="M557">
        <v>12.991175800625401</v>
      </c>
      <c r="N557">
        <v>12.519043920594299</v>
      </c>
      <c r="O557">
        <v>12.5366446610417</v>
      </c>
      <c r="P557">
        <v>-0.289179218442911</v>
      </c>
      <c r="Q557">
        <v>-1.1333909708686201</v>
      </c>
      <c r="R557">
        <v>0.55503253398279895</v>
      </c>
      <c r="S557">
        <v>13.0470014833643</v>
      </c>
      <c r="T557">
        <v>-0.72304561899965003</v>
      </c>
      <c r="U557">
        <v>-6.7814474129996603</v>
      </c>
      <c r="V557">
        <v>0.479542888838357</v>
      </c>
      <c r="W557">
        <v>0.73779317270922695</v>
      </c>
      <c r="X557">
        <v>0</v>
      </c>
      <c r="Y557">
        <v>0</v>
      </c>
    </row>
    <row r="558" spans="1:25" x14ac:dyDescent="0.2">
      <c r="A558" t="s">
        <v>2089</v>
      </c>
      <c r="B558" t="s">
        <v>2090</v>
      </c>
      <c r="C558" t="s">
        <v>2091</v>
      </c>
      <c r="D558" t="s">
        <v>2092</v>
      </c>
      <c r="E558" t="s">
        <v>2090</v>
      </c>
      <c r="F558" t="s">
        <v>28</v>
      </c>
      <c r="G558" t="s">
        <v>2090</v>
      </c>
      <c r="H558" t="str">
        <f>"uso-1"</f>
        <v>uso-1</v>
      </c>
      <c r="I558" t="s">
        <v>2092</v>
      </c>
      <c r="J558">
        <v>14.791677053719299</v>
      </c>
      <c r="K558">
        <v>14.841098782256701</v>
      </c>
      <c r="L558">
        <v>14.7562755652086</v>
      </c>
      <c r="M558">
        <v>14.9418034757527</v>
      </c>
      <c r="N558">
        <v>14.967969272744099</v>
      </c>
      <c r="O558">
        <v>14.8148822235548</v>
      </c>
      <c r="P558">
        <v>0.111867856955641</v>
      </c>
      <c r="Q558">
        <v>-0.28394717939477898</v>
      </c>
      <c r="R558">
        <v>0.50768289330605998</v>
      </c>
      <c r="S558">
        <v>14.6714263273686</v>
      </c>
      <c r="T558">
        <v>0.594026121968661</v>
      </c>
      <c r="U558">
        <v>-6.86897446891202</v>
      </c>
      <c r="V558">
        <v>0.55992990741701598</v>
      </c>
      <c r="W558">
        <v>0.78573968678165296</v>
      </c>
      <c r="X558">
        <v>0</v>
      </c>
      <c r="Y558">
        <v>0</v>
      </c>
    </row>
    <row r="559" spans="1:25" x14ac:dyDescent="0.2">
      <c r="A559" t="s">
        <v>2093</v>
      </c>
      <c r="B559" t="s">
        <v>2094</v>
      </c>
      <c r="C559" t="s">
        <v>2095</v>
      </c>
      <c r="D559" t="s">
        <v>2096</v>
      </c>
      <c r="E559" t="s">
        <v>2094</v>
      </c>
      <c r="F559" t="s">
        <v>28</v>
      </c>
      <c r="G559" t="s">
        <v>2094</v>
      </c>
      <c r="H559" t="str">
        <f>"fat-7"</f>
        <v>fat-7</v>
      </c>
      <c r="I559" t="s">
        <v>2096</v>
      </c>
      <c r="J559">
        <v>13.4158979073078</v>
      </c>
      <c r="K559">
        <v>13.3182734568881</v>
      </c>
      <c r="L559">
        <v>13.413866744708001</v>
      </c>
      <c r="M559">
        <v>12.225254698847101</v>
      </c>
      <c r="N559">
        <v>12.5301264715833</v>
      </c>
      <c r="O559">
        <v>11.8605317537105</v>
      </c>
      <c r="P559">
        <v>-1.1773750615876599</v>
      </c>
      <c r="Q559">
        <v>-1.6170790704457401</v>
      </c>
      <c r="R559">
        <v>-0.737671052729577</v>
      </c>
      <c r="S559">
        <v>13.421450019957501</v>
      </c>
      <c r="T559">
        <v>-5.6279071088784898</v>
      </c>
      <c r="U559">
        <v>2.4513252215399901</v>
      </c>
      <c r="V559" s="2">
        <v>2.4894546192087099E-5</v>
      </c>
      <c r="W559">
        <v>9.7598618444640203E-4</v>
      </c>
      <c r="X559">
        <v>-1</v>
      </c>
      <c r="Y559">
        <v>-1</v>
      </c>
    </row>
    <row r="560" spans="1:25" x14ac:dyDescent="0.2">
      <c r="A560" t="s">
        <v>2097</v>
      </c>
      <c r="B560" t="s">
        <v>2098</v>
      </c>
      <c r="C560" t="s">
        <v>2099</v>
      </c>
      <c r="D560" t="s">
        <v>844</v>
      </c>
      <c r="E560" t="s">
        <v>2098</v>
      </c>
      <c r="F560" t="s">
        <v>28</v>
      </c>
      <c r="G560" t="s">
        <v>2098</v>
      </c>
      <c r="H560" t="str">
        <f>"set-16"</f>
        <v>set-16</v>
      </c>
      <c r="I560" t="s">
        <v>844</v>
      </c>
      <c r="J560">
        <v>11.462981667900101</v>
      </c>
      <c r="K560">
        <v>11.278984360069</v>
      </c>
      <c r="L560">
        <v>11.500587095682899</v>
      </c>
      <c r="M560">
        <v>12.752640207157199</v>
      </c>
      <c r="N560">
        <v>11.4544001520946</v>
      </c>
      <c r="O560">
        <v>10.9549232821439</v>
      </c>
      <c r="P560">
        <v>0.30647017258126602</v>
      </c>
      <c r="Q560">
        <v>-0.52465512802949199</v>
      </c>
      <c r="R560">
        <v>1.1375954731920199</v>
      </c>
      <c r="S560">
        <v>11.999123991177401</v>
      </c>
      <c r="T560">
        <v>0.78643587342861598</v>
      </c>
      <c r="U560">
        <v>-6.7311748091956103</v>
      </c>
      <c r="V560">
        <v>0.44394482141665498</v>
      </c>
      <c r="W560">
        <v>0.71185527328797005</v>
      </c>
      <c r="X560">
        <v>0</v>
      </c>
      <c r="Y560">
        <v>0</v>
      </c>
    </row>
    <row r="561" spans="1:25" x14ac:dyDescent="0.2">
      <c r="A561" t="s">
        <v>2100</v>
      </c>
      <c r="B561" t="s">
        <v>2101</v>
      </c>
      <c r="C561" t="s">
        <v>14278</v>
      </c>
      <c r="D561" t="s">
        <v>2102</v>
      </c>
      <c r="E561" t="s">
        <v>2101</v>
      </c>
      <c r="F561" t="s">
        <v>28</v>
      </c>
      <c r="G561" t="s">
        <v>2101</v>
      </c>
      <c r="H561" t="str">
        <f>"F46C5.6"</f>
        <v>F46C5.6</v>
      </c>
      <c r="I561" t="s">
        <v>2102</v>
      </c>
      <c r="J561">
        <v>11.841937983907499</v>
      </c>
      <c r="K561">
        <v>12.4505905573633</v>
      </c>
      <c r="L561">
        <v>12.6980440253912</v>
      </c>
      <c r="M561">
        <v>11.8070133898162</v>
      </c>
      <c r="N561" t="s">
        <v>29</v>
      </c>
      <c r="O561">
        <v>12.261240494843401</v>
      </c>
      <c r="P561">
        <v>-0.29606391322422398</v>
      </c>
      <c r="Q561">
        <v>-0.82504728532841198</v>
      </c>
      <c r="R561">
        <v>0.23291945887996501</v>
      </c>
      <c r="S561">
        <v>12.579486962625699</v>
      </c>
      <c r="T561">
        <v>-1.2012553839248801</v>
      </c>
      <c r="U561">
        <v>-6.2126627235944696</v>
      </c>
      <c r="V561">
        <v>0.249728453642515</v>
      </c>
      <c r="W561">
        <v>0.52426863751789898</v>
      </c>
      <c r="X561">
        <v>0</v>
      </c>
      <c r="Y561">
        <v>0</v>
      </c>
    </row>
    <row r="562" spans="1:25" x14ac:dyDescent="0.2">
      <c r="A562" t="s">
        <v>2103</v>
      </c>
      <c r="B562" t="s">
        <v>2104</v>
      </c>
      <c r="C562" t="s">
        <v>2105</v>
      </c>
      <c r="D562" t="s">
        <v>2106</v>
      </c>
      <c r="E562" t="s">
        <v>2104</v>
      </c>
      <c r="F562" t="s">
        <v>28</v>
      </c>
      <c r="G562" t="s">
        <v>2104</v>
      </c>
      <c r="H562" t="str">
        <f>"ida-1"</f>
        <v>ida-1</v>
      </c>
      <c r="I562" t="s">
        <v>2106</v>
      </c>
      <c r="J562">
        <v>13.374536041016199</v>
      </c>
      <c r="K562">
        <v>13.438635664111899</v>
      </c>
      <c r="L562">
        <v>12.7847522485462</v>
      </c>
      <c r="M562">
        <v>13.6081584449033</v>
      </c>
      <c r="N562">
        <v>13.3068239623413</v>
      </c>
      <c r="O562">
        <v>13.525331992681901</v>
      </c>
      <c r="P562">
        <v>0.280796815417379</v>
      </c>
      <c r="Q562">
        <v>-0.231654953508214</v>
      </c>
      <c r="R562">
        <v>0.79324858434297096</v>
      </c>
      <c r="S562">
        <v>12.6393114462222</v>
      </c>
      <c r="T562">
        <v>1.1622209809472599</v>
      </c>
      <c r="U562">
        <v>-6.3683650829018204</v>
      </c>
      <c r="V562">
        <v>0.26229978691603201</v>
      </c>
      <c r="W562">
        <v>0.53918098965557004</v>
      </c>
      <c r="X562">
        <v>0</v>
      </c>
      <c r="Y562">
        <v>0</v>
      </c>
    </row>
    <row r="563" spans="1:25" x14ac:dyDescent="0.2">
      <c r="A563" t="s">
        <v>2107</v>
      </c>
      <c r="B563" t="s">
        <v>2108</v>
      </c>
      <c r="C563" t="s">
        <v>2109</v>
      </c>
      <c r="D563" t="s">
        <v>2110</v>
      </c>
      <c r="E563" t="s">
        <v>2108</v>
      </c>
      <c r="F563" t="s">
        <v>28</v>
      </c>
      <c r="G563" t="s">
        <v>2108</v>
      </c>
      <c r="H563" t="str">
        <f>"tln-1"</f>
        <v>tln-1</v>
      </c>
      <c r="I563" t="s">
        <v>2110</v>
      </c>
      <c r="J563">
        <v>14.374439283456899</v>
      </c>
      <c r="K563">
        <v>14.3570059692701</v>
      </c>
      <c r="L563">
        <v>14.6551975879393</v>
      </c>
      <c r="M563">
        <v>15.061008547043</v>
      </c>
      <c r="N563">
        <v>14.460446100288699</v>
      </c>
      <c r="O563">
        <v>14.941125259794999</v>
      </c>
      <c r="P563">
        <v>0.35864568882013798</v>
      </c>
      <c r="Q563">
        <v>-0.25197090998618299</v>
      </c>
      <c r="R563">
        <v>0.96926228762645905</v>
      </c>
      <c r="S563">
        <v>14.494425986165</v>
      </c>
      <c r="T563">
        <v>1.2344955307005401</v>
      </c>
      <c r="U563">
        <v>-6.2858530771493104</v>
      </c>
      <c r="V563">
        <v>0.232984142700872</v>
      </c>
      <c r="W563">
        <v>0.50340664033774096</v>
      </c>
      <c r="X563">
        <v>0</v>
      </c>
      <c r="Y563">
        <v>0</v>
      </c>
    </row>
    <row r="564" spans="1:25" x14ac:dyDescent="0.2">
      <c r="A564" t="s">
        <v>2111</v>
      </c>
      <c r="B564" t="s">
        <v>2112</v>
      </c>
      <c r="C564" t="s">
        <v>2113</v>
      </c>
      <c r="D564" t="s">
        <v>2114</v>
      </c>
      <c r="E564" t="s">
        <v>2112</v>
      </c>
      <c r="F564" t="s">
        <v>28</v>
      </c>
      <c r="G564" t="s">
        <v>2112</v>
      </c>
      <c r="H564" t="str">
        <f>"din-1"</f>
        <v>din-1</v>
      </c>
      <c r="I564" t="s">
        <v>2114</v>
      </c>
      <c r="J564" t="s">
        <v>29</v>
      </c>
      <c r="K564">
        <v>11.2995666530626</v>
      </c>
      <c r="L564">
        <v>11.471602050286</v>
      </c>
      <c r="M564" t="s">
        <v>29</v>
      </c>
      <c r="N564" t="s">
        <v>29</v>
      </c>
      <c r="O564">
        <v>11.4563957476672</v>
      </c>
      <c r="P564">
        <v>7.0811395992880194E-2</v>
      </c>
      <c r="Q564">
        <v>-0.71463128502797402</v>
      </c>
      <c r="R564">
        <v>0.85625407701373502</v>
      </c>
      <c r="S564">
        <v>11.421376461922</v>
      </c>
      <c r="T564">
        <v>0.19866270859121599</v>
      </c>
      <c r="U564">
        <v>-6.6300371133977603</v>
      </c>
      <c r="V564">
        <v>0.84618514946000101</v>
      </c>
      <c r="W564">
        <v>0.93943584999755902</v>
      </c>
      <c r="X564">
        <v>0</v>
      </c>
      <c r="Y564">
        <v>0</v>
      </c>
    </row>
    <row r="565" spans="1:25" x14ac:dyDescent="0.2">
      <c r="A565" t="s">
        <v>2115</v>
      </c>
      <c r="B565" t="s">
        <v>2116</v>
      </c>
      <c r="C565" t="s">
        <v>2117</v>
      </c>
      <c r="D565" t="s">
        <v>2118</v>
      </c>
      <c r="E565" t="s">
        <v>2116</v>
      </c>
      <c r="F565" t="s">
        <v>28</v>
      </c>
      <c r="G565" t="s">
        <v>2116</v>
      </c>
      <c r="H565" t="str">
        <f>"let-92"</f>
        <v>let-92</v>
      </c>
      <c r="I565" t="s">
        <v>2118</v>
      </c>
      <c r="J565">
        <v>16.332489699021</v>
      </c>
      <c r="K565">
        <v>16.064269450478101</v>
      </c>
      <c r="L565">
        <v>16.1206149516014</v>
      </c>
      <c r="M565">
        <v>15.7164263468567</v>
      </c>
      <c r="N565">
        <v>16.519647600135499</v>
      </c>
      <c r="O565">
        <v>15.9565086021701</v>
      </c>
      <c r="P565">
        <v>-0.108263850646079</v>
      </c>
      <c r="Q565">
        <v>-0.59115188570751998</v>
      </c>
      <c r="R565">
        <v>0.37462418441536299</v>
      </c>
      <c r="S565">
        <v>15.956633309807</v>
      </c>
      <c r="T565">
        <v>-0.47122631841517798</v>
      </c>
      <c r="U565">
        <v>-6.9364372163674499</v>
      </c>
      <c r="V565">
        <v>0.64317288825405705</v>
      </c>
      <c r="W565">
        <v>0.83701632830463901</v>
      </c>
      <c r="X565">
        <v>0</v>
      </c>
      <c r="Y565">
        <v>0</v>
      </c>
    </row>
    <row r="566" spans="1:25" x14ac:dyDescent="0.2">
      <c r="A566" t="s">
        <v>2119</v>
      </c>
      <c r="B566" t="s">
        <v>2120</v>
      </c>
      <c r="C566" t="s">
        <v>14279</v>
      </c>
      <c r="D566" t="s">
        <v>2121</v>
      </c>
      <c r="E566" t="s">
        <v>2120</v>
      </c>
      <c r="F566" t="s">
        <v>28</v>
      </c>
      <c r="G566" t="s">
        <v>2120</v>
      </c>
      <c r="H566" t="str">
        <f>"T28D6.6"</f>
        <v>T28D6.6</v>
      </c>
      <c r="I566" t="s">
        <v>2121</v>
      </c>
      <c r="J566">
        <v>15.2510756511914</v>
      </c>
      <c r="K566">
        <v>15.149672309143799</v>
      </c>
      <c r="L566">
        <v>15.1689850754969</v>
      </c>
      <c r="M566">
        <v>15.113570192941699</v>
      </c>
      <c r="N566">
        <v>15.397656601844499</v>
      </c>
      <c r="O566">
        <v>14.994484853872301</v>
      </c>
      <c r="P566">
        <v>-2.1340462391204799E-2</v>
      </c>
      <c r="Q566">
        <v>-0.43064195818918499</v>
      </c>
      <c r="R566">
        <v>0.38796103340677501</v>
      </c>
      <c r="S566">
        <v>14.872168563805801</v>
      </c>
      <c r="T566">
        <v>-0.109585478063067</v>
      </c>
      <c r="U566">
        <v>-7.0457950996552601</v>
      </c>
      <c r="V566">
        <v>0.91395767781224302</v>
      </c>
      <c r="W566">
        <v>0.96842015096093803</v>
      </c>
      <c r="X566">
        <v>0</v>
      </c>
      <c r="Y566">
        <v>0</v>
      </c>
    </row>
    <row r="567" spans="1:25" x14ac:dyDescent="0.2">
      <c r="A567" t="s">
        <v>2122</v>
      </c>
      <c r="B567" t="s">
        <v>2123</v>
      </c>
      <c r="C567" t="s">
        <v>2124</v>
      </c>
      <c r="D567" t="s">
        <v>2125</v>
      </c>
      <c r="E567" t="s">
        <v>2123</v>
      </c>
      <c r="F567" t="s">
        <v>28</v>
      </c>
      <c r="G567" t="s">
        <v>2123</v>
      </c>
      <c r="H567" t="str">
        <f>"taf-1"</f>
        <v>taf-1</v>
      </c>
      <c r="I567" t="s">
        <v>2125</v>
      </c>
      <c r="J567">
        <v>10.1422174062927</v>
      </c>
      <c r="K567">
        <v>10.676058354696901</v>
      </c>
      <c r="L567">
        <v>10.4964867624752</v>
      </c>
      <c r="M567">
        <v>10.624738952221101</v>
      </c>
      <c r="N567" t="s">
        <v>29</v>
      </c>
      <c r="O567">
        <v>10.6901605032739</v>
      </c>
      <c r="P567">
        <v>0.21919555325923001</v>
      </c>
      <c r="Q567">
        <v>-0.42513442554433001</v>
      </c>
      <c r="R567">
        <v>0.86352553206278904</v>
      </c>
      <c r="S567">
        <v>11.2096604458147</v>
      </c>
      <c r="T567">
        <v>0.730155387533311</v>
      </c>
      <c r="U567">
        <v>-6.6636475086428604</v>
      </c>
      <c r="V567">
        <v>0.47742579269902202</v>
      </c>
      <c r="W567">
        <v>0.73697510884374595</v>
      </c>
      <c r="X567">
        <v>0</v>
      </c>
      <c r="Y567">
        <v>0</v>
      </c>
    </row>
    <row r="568" spans="1:25" x14ac:dyDescent="0.2">
      <c r="A568" t="s">
        <v>2126</v>
      </c>
      <c r="B568" t="s">
        <v>2127</v>
      </c>
      <c r="C568" t="s">
        <v>2128</v>
      </c>
      <c r="D568" t="s">
        <v>2129</v>
      </c>
      <c r="E568" t="s">
        <v>2127</v>
      </c>
      <c r="F568" t="s">
        <v>28</v>
      </c>
      <c r="G568" t="s">
        <v>2127</v>
      </c>
      <c r="H568" t="str">
        <f>"pes-5"</f>
        <v>pes-5</v>
      </c>
      <c r="I568" t="s">
        <v>2129</v>
      </c>
      <c r="J568" t="s">
        <v>29</v>
      </c>
      <c r="K568" t="s">
        <v>29</v>
      </c>
      <c r="L568">
        <v>11.5182380027712</v>
      </c>
      <c r="M568" t="s">
        <v>29</v>
      </c>
      <c r="N568" t="s">
        <v>29</v>
      </c>
      <c r="O568">
        <v>10.510933675632099</v>
      </c>
      <c r="P568">
        <v>-1.00730432713915</v>
      </c>
      <c r="Q568">
        <v>-2.35140151095879</v>
      </c>
      <c r="R568">
        <v>0.33679285668048897</v>
      </c>
      <c r="S568">
        <v>11.8907092824277</v>
      </c>
      <c r="T568">
        <v>-1.6722334977489</v>
      </c>
      <c r="U568">
        <v>-5.18755246244696</v>
      </c>
      <c r="V568">
        <v>0.12575013278265601</v>
      </c>
      <c r="W568">
        <v>0.36797745690176398</v>
      </c>
      <c r="X568">
        <v>0</v>
      </c>
      <c r="Y568">
        <v>0</v>
      </c>
    </row>
    <row r="569" spans="1:25" x14ac:dyDescent="0.2">
      <c r="A569" t="s">
        <v>2130</v>
      </c>
      <c r="B569" t="s">
        <v>2131</v>
      </c>
      <c r="C569" t="s">
        <v>2132</v>
      </c>
      <c r="D569" t="s">
        <v>2133</v>
      </c>
      <c r="E569" t="s">
        <v>2131</v>
      </c>
      <c r="F569" t="s">
        <v>28</v>
      </c>
      <c r="G569" t="s">
        <v>2131</v>
      </c>
      <c r="H569" t="str">
        <f>"fat-6"</f>
        <v>fat-6</v>
      </c>
      <c r="I569" t="s">
        <v>2133</v>
      </c>
      <c r="J569">
        <v>13.314817705269199</v>
      </c>
      <c r="K569">
        <v>14.050125849430501</v>
      </c>
      <c r="L569">
        <v>14.1792810062306</v>
      </c>
      <c r="M569">
        <v>13.4804648802931</v>
      </c>
      <c r="N569">
        <v>13.4949206704148</v>
      </c>
      <c r="O569">
        <v>13.2912911360626</v>
      </c>
      <c r="P569">
        <v>-0.42584929138660699</v>
      </c>
      <c r="Q569">
        <v>-0.98527487152773696</v>
      </c>
      <c r="R569">
        <v>0.13357628875452299</v>
      </c>
      <c r="S569">
        <v>14.2872488259967</v>
      </c>
      <c r="T569">
        <v>-1.5999489331258201</v>
      </c>
      <c r="U569">
        <v>-5.7988935320982904</v>
      </c>
      <c r="V569">
        <v>0.127115661084128</v>
      </c>
      <c r="W569">
        <v>0.36964643535992298</v>
      </c>
      <c r="X569">
        <v>0</v>
      </c>
      <c r="Y569">
        <v>0</v>
      </c>
    </row>
    <row r="570" spans="1:25" x14ac:dyDescent="0.2">
      <c r="A570" t="s">
        <v>2134</v>
      </c>
      <c r="B570" t="s">
        <v>2135</v>
      </c>
      <c r="C570" t="s">
        <v>2136</v>
      </c>
      <c r="D570" t="s">
        <v>2137</v>
      </c>
      <c r="E570" t="s">
        <v>2135</v>
      </c>
      <c r="F570" t="s">
        <v>28</v>
      </c>
      <c r="G570" t="s">
        <v>2135</v>
      </c>
      <c r="H570" t="str">
        <f>"vha-6"</f>
        <v>vha-6</v>
      </c>
      <c r="I570" t="s">
        <v>2137</v>
      </c>
      <c r="J570">
        <v>11.5981851214421</v>
      </c>
      <c r="K570">
        <v>12.21490979308</v>
      </c>
      <c r="L570">
        <v>13.0815298845417</v>
      </c>
      <c r="M570">
        <v>12.125599822742</v>
      </c>
      <c r="N570">
        <v>13.4427261521768</v>
      </c>
      <c r="O570">
        <v>12.316067579251801</v>
      </c>
      <c r="P570">
        <v>0.329922918368943</v>
      </c>
      <c r="Q570">
        <v>-0.80265260576103803</v>
      </c>
      <c r="R570">
        <v>1.46249844249892</v>
      </c>
      <c r="S570">
        <v>12.286148897876799</v>
      </c>
      <c r="T570">
        <v>0.61226273395938502</v>
      </c>
      <c r="U570">
        <v>-6.8576772201645504</v>
      </c>
      <c r="V570">
        <v>0.54806555238065502</v>
      </c>
      <c r="W570">
        <v>0.77920996104149098</v>
      </c>
      <c r="X570">
        <v>0</v>
      </c>
      <c r="Y570">
        <v>0</v>
      </c>
    </row>
    <row r="571" spans="1:25" x14ac:dyDescent="0.2">
      <c r="A571" t="s">
        <v>2138</v>
      </c>
      <c r="B571" t="s">
        <v>2139</v>
      </c>
      <c r="C571" t="s">
        <v>2140</v>
      </c>
      <c r="D571" t="s">
        <v>2141</v>
      </c>
      <c r="E571" t="s">
        <v>2139</v>
      </c>
      <c r="F571" t="s">
        <v>28</v>
      </c>
      <c r="G571" t="s">
        <v>2139</v>
      </c>
      <c r="H571" t="str">
        <f>"cpz-1"</f>
        <v>cpz-1</v>
      </c>
      <c r="I571" t="s">
        <v>2141</v>
      </c>
      <c r="J571">
        <v>12.3503628916037</v>
      </c>
      <c r="K571">
        <v>12.6917314235252</v>
      </c>
      <c r="L571">
        <v>12.381210927647199</v>
      </c>
      <c r="M571">
        <v>11.531869009969601</v>
      </c>
      <c r="N571">
        <v>12.2861897273044</v>
      </c>
      <c r="O571">
        <v>11.340451385034401</v>
      </c>
      <c r="P571">
        <v>-0.75493170682259803</v>
      </c>
      <c r="Q571">
        <v>-1.2847294951982899</v>
      </c>
      <c r="R571">
        <v>-0.225133918446907</v>
      </c>
      <c r="S571">
        <v>12.336661024887499</v>
      </c>
      <c r="T571">
        <v>-3.0223659980276398</v>
      </c>
      <c r="U571">
        <v>-3.2520017990179499</v>
      </c>
      <c r="V571">
        <v>8.1397835739389895E-3</v>
      </c>
      <c r="W571">
        <v>7.5893569483087397E-2</v>
      </c>
      <c r="X571">
        <v>0</v>
      </c>
      <c r="Y571">
        <v>0</v>
      </c>
    </row>
    <row r="572" spans="1:25" x14ac:dyDescent="0.2">
      <c r="A572" t="s">
        <v>2142</v>
      </c>
      <c r="B572" t="s">
        <v>2143</v>
      </c>
      <c r="C572" t="s">
        <v>2144</v>
      </c>
      <c r="D572" t="s">
        <v>2145</v>
      </c>
      <c r="E572" t="s">
        <v>2143</v>
      </c>
      <c r="F572" t="s">
        <v>28</v>
      </c>
      <c r="G572" t="s">
        <v>2143</v>
      </c>
      <c r="H572" t="str">
        <f>"max-2"</f>
        <v>max-2</v>
      </c>
      <c r="I572" t="s">
        <v>2145</v>
      </c>
      <c r="J572" t="s">
        <v>29</v>
      </c>
      <c r="K572" t="s">
        <v>29</v>
      </c>
      <c r="L572" t="s">
        <v>29</v>
      </c>
      <c r="M572" t="s">
        <v>29</v>
      </c>
      <c r="N572">
        <v>11.661954523358901</v>
      </c>
      <c r="O572" t="s">
        <v>29</v>
      </c>
      <c r="P572" t="s">
        <v>29</v>
      </c>
      <c r="Q572" t="s">
        <v>29</v>
      </c>
      <c r="R572" t="s">
        <v>29</v>
      </c>
      <c r="S572">
        <v>10.9772669875652</v>
      </c>
      <c r="T572" t="s">
        <v>29</v>
      </c>
      <c r="U572" t="s">
        <v>29</v>
      </c>
      <c r="V572" t="s">
        <v>29</v>
      </c>
      <c r="W572" t="s">
        <v>29</v>
      </c>
      <c r="X572" t="s">
        <v>29</v>
      </c>
      <c r="Y572" t="s">
        <v>29</v>
      </c>
    </row>
    <row r="573" spans="1:25" x14ac:dyDescent="0.2">
      <c r="A573" t="s">
        <v>2146</v>
      </c>
      <c r="B573" t="s">
        <v>2147</v>
      </c>
      <c r="C573" t="s">
        <v>2148</v>
      </c>
      <c r="D573" t="s">
        <v>2149</v>
      </c>
      <c r="E573" t="s">
        <v>2147</v>
      </c>
      <c r="F573" t="s">
        <v>28</v>
      </c>
      <c r="G573" t="s">
        <v>2147</v>
      </c>
      <c r="H573" t="str">
        <f>"ten-1"</f>
        <v>ten-1</v>
      </c>
      <c r="I573" t="s">
        <v>2149</v>
      </c>
      <c r="J573">
        <v>14.743420094405201</v>
      </c>
      <c r="K573">
        <v>14.6230204886702</v>
      </c>
      <c r="L573">
        <v>13.7484940014633</v>
      </c>
      <c r="M573" t="s">
        <v>29</v>
      </c>
      <c r="N573">
        <v>14.7844736045563</v>
      </c>
      <c r="O573">
        <v>14.9269967658774</v>
      </c>
      <c r="P573">
        <v>0.484090323703946</v>
      </c>
      <c r="Q573">
        <v>-0.54734230869119105</v>
      </c>
      <c r="R573">
        <v>1.5155229560990799</v>
      </c>
      <c r="S573">
        <v>14.220123634589701</v>
      </c>
      <c r="T573">
        <v>0.99548578777410701</v>
      </c>
      <c r="U573">
        <v>-6.4353529609322502</v>
      </c>
      <c r="V573">
        <v>0.33441408968938202</v>
      </c>
      <c r="W573">
        <v>0.612715905320524</v>
      </c>
      <c r="X573">
        <v>0</v>
      </c>
      <c r="Y573">
        <v>0</v>
      </c>
    </row>
    <row r="574" spans="1:25" x14ac:dyDescent="0.2">
      <c r="A574" t="s">
        <v>2150</v>
      </c>
      <c r="B574" t="s">
        <v>2151</v>
      </c>
      <c r="C574" t="s">
        <v>2152</v>
      </c>
      <c r="D574" t="s">
        <v>2153</v>
      </c>
      <c r="E574" t="s">
        <v>2151</v>
      </c>
      <c r="F574" t="s">
        <v>28</v>
      </c>
      <c r="G574" t="s">
        <v>2151</v>
      </c>
      <c r="H574" t="str">
        <f>"klp-12"</f>
        <v>klp-12</v>
      </c>
      <c r="I574" t="s">
        <v>2153</v>
      </c>
      <c r="J574">
        <v>13.470762268653299</v>
      </c>
      <c r="K574">
        <v>13.3472813623194</v>
      </c>
      <c r="L574">
        <v>13.4817635419613</v>
      </c>
      <c r="M574">
        <v>13.443081941484801</v>
      </c>
      <c r="N574">
        <v>13.4931321862139</v>
      </c>
      <c r="O574">
        <v>13.514892568892799</v>
      </c>
      <c r="P574">
        <v>5.0433174552500397E-2</v>
      </c>
      <c r="Q574">
        <v>-0.35997170988576299</v>
      </c>
      <c r="R574">
        <v>0.46083805899076302</v>
      </c>
      <c r="S574">
        <v>13.6196965804076</v>
      </c>
      <c r="T574">
        <v>0.25828328313867499</v>
      </c>
      <c r="U574">
        <v>-7.0171914988708002</v>
      </c>
      <c r="V574">
        <v>0.79913545224837701</v>
      </c>
      <c r="W574">
        <v>0.91595165960416303</v>
      </c>
      <c r="X574">
        <v>0</v>
      </c>
      <c r="Y574">
        <v>0</v>
      </c>
    </row>
    <row r="575" spans="1:25" x14ac:dyDescent="0.2">
      <c r="A575" t="s">
        <v>2154</v>
      </c>
      <c r="B575" t="s">
        <v>2155</v>
      </c>
      <c r="C575" t="s">
        <v>2156</v>
      </c>
      <c r="D575" t="s">
        <v>2157</v>
      </c>
      <c r="E575" t="s">
        <v>2155</v>
      </c>
      <c r="F575" t="s">
        <v>28</v>
      </c>
      <c r="G575" t="s">
        <v>2155</v>
      </c>
      <c r="H575" t="str">
        <f>"gbf-1"</f>
        <v>gbf-1</v>
      </c>
      <c r="I575" t="s">
        <v>2157</v>
      </c>
      <c r="J575">
        <v>13.608977487654199</v>
      </c>
      <c r="K575">
        <v>13.7386337545618</v>
      </c>
      <c r="L575">
        <v>13.666543723321301</v>
      </c>
      <c r="M575">
        <v>13.871986287342599</v>
      </c>
      <c r="N575">
        <v>14.2013294075439</v>
      </c>
      <c r="O575">
        <v>13.735548662097001</v>
      </c>
      <c r="P575">
        <v>0.26490313048208802</v>
      </c>
      <c r="Q575">
        <v>-0.12206287248903901</v>
      </c>
      <c r="R575">
        <v>0.65186913345321396</v>
      </c>
      <c r="S575">
        <v>13.6445627733919</v>
      </c>
      <c r="T575">
        <v>1.4449881718481401</v>
      </c>
      <c r="U575">
        <v>-6.0175900236232502</v>
      </c>
      <c r="V575">
        <v>0.16675351045265399</v>
      </c>
      <c r="W575">
        <v>0.423831135562383</v>
      </c>
      <c r="X575">
        <v>0</v>
      </c>
      <c r="Y575">
        <v>0</v>
      </c>
    </row>
    <row r="576" spans="1:25" x14ac:dyDescent="0.2">
      <c r="A576" t="s">
        <v>2158</v>
      </c>
      <c r="B576" t="s">
        <v>2159</v>
      </c>
      <c r="C576" t="s">
        <v>2160</v>
      </c>
      <c r="D576" t="s">
        <v>2161</v>
      </c>
      <c r="E576" t="s">
        <v>2159</v>
      </c>
      <c r="F576" t="s">
        <v>28</v>
      </c>
      <c r="G576" t="s">
        <v>2159</v>
      </c>
      <c r="H576" t="str">
        <f>"syp-1"</f>
        <v>syp-1</v>
      </c>
      <c r="I576" t="s">
        <v>2161</v>
      </c>
      <c r="J576" t="s">
        <v>29</v>
      </c>
      <c r="K576" t="s">
        <v>29</v>
      </c>
      <c r="L576" t="s">
        <v>29</v>
      </c>
      <c r="M576" t="s">
        <v>29</v>
      </c>
      <c r="N576" t="s">
        <v>29</v>
      </c>
      <c r="O576" t="s">
        <v>29</v>
      </c>
      <c r="P576" t="s">
        <v>29</v>
      </c>
      <c r="Q576" t="s">
        <v>29</v>
      </c>
      <c r="R576" t="s">
        <v>29</v>
      </c>
      <c r="S576">
        <v>11.664202858163399</v>
      </c>
      <c r="T576" t="s">
        <v>29</v>
      </c>
      <c r="U576" t="s">
        <v>29</v>
      </c>
      <c r="V576" t="s">
        <v>29</v>
      </c>
      <c r="W576" t="s">
        <v>29</v>
      </c>
      <c r="X576" t="s">
        <v>29</v>
      </c>
      <c r="Y576" t="s">
        <v>29</v>
      </c>
    </row>
    <row r="577" spans="1:25" x14ac:dyDescent="0.2">
      <c r="A577" t="s">
        <v>2162</v>
      </c>
      <c r="B577" t="s">
        <v>2163</v>
      </c>
      <c r="C577" t="s">
        <v>2164</v>
      </c>
      <c r="D577" t="s">
        <v>420</v>
      </c>
      <c r="E577" t="s">
        <v>2163</v>
      </c>
      <c r="F577" t="s">
        <v>28</v>
      </c>
      <c r="G577" t="s">
        <v>2163</v>
      </c>
      <c r="H577" t="str">
        <f>"clh-5"</f>
        <v>clh-5</v>
      </c>
      <c r="I577" t="s">
        <v>420</v>
      </c>
      <c r="J577">
        <v>10.891111909326799</v>
      </c>
      <c r="K577" t="s">
        <v>29</v>
      </c>
      <c r="L577">
        <v>12.8497652859278</v>
      </c>
      <c r="M577">
        <v>12.8485362657916</v>
      </c>
      <c r="N577">
        <v>13.4327417376053</v>
      </c>
      <c r="O577" t="s">
        <v>29</v>
      </c>
      <c r="P577">
        <v>1.2702004040711701</v>
      </c>
      <c r="Q577">
        <v>0.21562550484531001</v>
      </c>
      <c r="R577">
        <v>2.32477530329703</v>
      </c>
      <c r="S577">
        <v>12.697251533811301</v>
      </c>
      <c r="T577">
        <v>2.6042463303125798</v>
      </c>
      <c r="U577">
        <v>-3.9550489334825198</v>
      </c>
      <c r="V577">
        <v>2.1947133191534601E-2</v>
      </c>
      <c r="W577">
        <v>0.144274689707583</v>
      </c>
      <c r="X577">
        <v>1</v>
      </c>
      <c r="Y577">
        <v>0</v>
      </c>
    </row>
    <row r="578" spans="1:25" x14ac:dyDescent="0.2">
      <c r="A578" t="s">
        <v>2165</v>
      </c>
      <c r="B578" t="s">
        <v>2166</v>
      </c>
      <c r="C578" t="s">
        <v>2167</v>
      </c>
      <c r="D578" t="s">
        <v>2168</v>
      </c>
      <c r="E578" t="s">
        <v>2166</v>
      </c>
      <c r="F578" t="s">
        <v>28</v>
      </c>
      <c r="G578" t="s">
        <v>2166</v>
      </c>
      <c r="H578" t="str">
        <f>"iffb-1"</f>
        <v>iffb-1</v>
      </c>
      <c r="I578" t="s">
        <v>2168</v>
      </c>
      <c r="J578">
        <v>17.498610346568999</v>
      </c>
      <c r="K578">
        <v>17.183322967964202</v>
      </c>
      <c r="L578">
        <v>17.630829089728898</v>
      </c>
      <c r="M578">
        <v>17.2604070806495</v>
      </c>
      <c r="N578">
        <v>17.6073752653264</v>
      </c>
      <c r="O578">
        <v>17.406605902169201</v>
      </c>
      <c r="P578">
        <v>-1.27913853722781E-2</v>
      </c>
      <c r="Q578">
        <v>-0.566396022472618</v>
      </c>
      <c r="R578">
        <v>0.54081325172806205</v>
      </c>
      <c r="S578">
        <v>17.088848907107199</v>
      </c>
      <c r="T578">
        <v>-4.8563544530844598E-2</v>
      </c>
      <c r="U578">
        <v>-7.0508505632179403</v>
      </c>
      <c r="V578">
        <v>0.96180503322898503</v>
      </c>
      <c r="W578">
        <v>0.97925956762425403</v>
      </c>
      <c r="X578">
        <v>0</v>
      </c>
      <c r="Y578">
        <v>0</v>
      </c>
    </row>
    <row r="579" spans="1:25" x14ac:dyDescent="0.2">
      <c r="A579" t="s">
        <v>2169</v>
      </c>
      <c r="B579" t="s">
        <v>2170</v>
      </c>
      <c r="C579" t="s">
        <v>2171</v>
      </c>
      <c r="D579" t="s">
        <v>2172</v>
      </c>
      <c r="E579" t="s">
        <v>2170</v>
      </c>
      <c r="F579" t="s">
        <v>28</v>
      </c>
      <c r="G579" t="s">
        <v>2170</v>
      </c>
      <c r="H579" t="str">
        <f>"egl-30"</f>
        <v>egl-30</v>
      </c>
      <c r="I579" t="s">
        <v>2172</v>
      </c>
      <c r="J579">
        <v>14.3803357623806</v>
      </c>
      <c r="K579">
        <v>14.3441197388498</v>
      </c>
      <c r="L579">
        <v>14.1299064493031</v>
      </c>
      <c r="M579">
        <v>14.4878981358604</v>
      </c>
      <c r="N579">
        <v>14.0180041254367</v>
      </c>
      <c r="O579">
        <v>13.997941688156001</v>
      </c>
      <c r="P579">
        <v>-0.116839333693445</v>
      </c>
      <c r="Q579">
        <v>-0.56918663780261103</v>
      </c>
      <c r="R579">
        <v>0.335507970415721</v>
      </c>
      <c r="S579">
        <v>13.7733627980029</v>
      </c>
      <c r="T579">
        <v>-0.54288717035555301</v>
      </c>
      <c r="U579">
        <v>-6.8988983524577501</v>
      </c>
      <c r="V579">
        <v>0.59390550736542003</v>
      </c>
      <c r="W579">
        <v>0.80523688373628199</v>
      </c>
      <c r="X579">
        <v>0</v>
      </c>
      <c r="Y579">
        <v>0</v>
      </c>
    </row>
    <row r="580" spans="1:25" x14ac:dyDescent="0.2">
      <c r="A580" t="s">
        <v>2173</v>
      </c>
      <c r="B580" t="s">
        <v>2174</v>
      </c>
      <c r="C580" t="s">
        <v>2175</v>
      </c>
      <c r="D580" t="s">
        <v>2176</v>
      </c>
      <c r="E580" t="s">
        <v>2174</v>
      </c>
      <c r="F580" t="s">
        <v>28</v>
      </c>
      <c r="G580" t="s">
        <v>2174</v>
      </c>
      <c r="H580" t="str">
        <f>"szy-20"</f>
        <v>szy-20</v>
      </c>
      <c r="I580" t="s">
        <v>2176</v>
      </c>
      <c r="J580" t="s">
        <v>29</v>
      </c>
      <c r="K580" t="s">
        <v>29</v>
      </c>
      <c r="L580">
        <v>11.1889345671425</v>
      </c>
      <c r="M580" t="s">
        <v>29</v>
      </c>
      <c r="N580" t="s">
        <v>29</v>
      </c>
      <c r="O580" t="s">
        <v>29</v>
      </c>
      <c r="P580" t="s">
        <v>29</v>
      </c>
      <c r="Q580" t="s">
        <v>29</v>
      </c>
      <c r="R580" t="s">
        <v>29</v>
      </c>
      <c r="S580">
        <v>12.058265739600399</v>
      </c>
      <c r="T580" t="s">
        <v>29</v>
      </c>
      <c r="U580" t="s">
        <v>29</v>
      </c>
      <c r="V580" t="s">
        <v>29</v>
      </c>
      <c r="W580" t="s">
        <v>29</v>
      </c>
      <c r="X580" t="s">
        <v>29</v>
      </c>
      <c r="Y580" t="s">
        <v>29</v>
      </c>
    </row>
    <row r="581" spans="1:25" x14ac:dyDescent="0.2">
      <c r="A581" t="s">
        <v>2177</v>
      </c>
      <c r="B581" t="s">
        <v>2178</v>
      </c>
      <c r="C581" t="s">
        <v>2179</v>
      </c>
      <c r="D581" t="s">
        <v>2180</v>
      </c>
      <c r="E581" t="s">
        <v>2178</v>
      </c>
      <c r="F581" t="s">
        <v>28</v>
      </c>
      <c r="G581" t="s">
        <v>2178</v>
      </c>
      <c r="H581" t="str">
        <f>"hum-2"</f>
        <v>hum-2</v>
      </c>
      <c r="I581" t="s">
        <v>2180</v>
      </c>
      <c r="J581">
        <v>12.7721505319992</v>
      </c>
      <c r="K581">
        <v>11.6137314163062</v>
      </c>
      <c r="L581">
        <v>12.1159005358763</v>
      </c>
      <c r="M581">
        <v>12.8097237397208</v>
      </c>
      <c r="N581">
        <v>13.2782296106632</v>
      </c>
      <c r="O581">
        <v>12.489244406974301</v>
      </c>
      <c r="P581">
        <v>0.69180509105885901</v>
      </c>
      <c r="Q581">
        <v>9.6287047716027294E-2</v>
      </c>
      <c r="R581">
        <v>1.28732313440169</v>
      </c>
      <c r="S581">
        <v>12.5246801505109</v>
      </c>
      <c r="T581">
        <v>2.4521037547305502</v>
      </c>
      <c r="U581">
        <v>-4.3512809473432803</v>
      </c>
      <c r="V581">
        <v>2.5379626539898399E-2</v>
      </c>
      <c r="W581">
        <v>0.15563044804846801</v>
      </c>
      <c r="X581">
        <v>0</v>
      </c>
      <c r="Y581">
        <v>0</v>
      </c>
    </row>
    <row r="582" spans="1:25" x14ac:dyDescent="0.2">
      <c r="A582" t="s">
        <v>2181</v>
      </c>
      <c r="B582" t="s">
        <v>2182</v>
      </c>
      <c r="C582" t="s">
        <v>14280</v>
      </c>
      <c r="D582" t="s">
        <v>2183</v>
      </c>
      <c r="E582" t="s">
        <v>2182</v>
      </c>
      <c r="F582" t="s">
        <v>28</v>
      </c>
      <c r="G582" t="s">
        <v>2182</v>
      </c>
      <c r="H582" t="str">
        <f>"Y48C3A.14"</f>
        <v>Y48C3A.14</v>
      </c>
      <c r="I582" t="s">
        <v>2183</v>
      </c>
      <c r="J582">
        <v>14.435348783273099</v>
      </c>
      <c r="K582">
        <v>14.5465676421439</v>
      </c>
      <c r="L582">
        <v>14.857931291914801</v>
      </c>
      <c r="M582">
        <v>14.5277261012371</v>
      </c>
      <c r="N582">
        <v>13.7979289844588</v>
      </c>
      <c r="O582">
        <v>14.007348695985799</v>
      </c>
      <c r="P582">
        <v>-0.50228131188334602</v>
      </c>
      <c r="Q582">
        <v>-1.16103255007673</v>
      </c>
      <c r="R582">
        <v>0.156469926310038</v>
      </c>
      <c r="S582">
        <v>14.5543313230366</v>
      </c>
      <c r="T582">
        <v>-1.6094429562350001</v>
      </c>
      <c r="U582">
        <v>-5.7858568407489601</v>
      </c>
      <c r="V582">
        <v>0.12604396984046801</v>
      </c>
      <c r="W582">
        <v>0.36850591002774802</v>
      </c>
      <c r="X582">
        <v>0</v>
      </c>
      <c r="Y582">
        <v>0</v>
      </c>
    </row>
    <row r="583" spans="1:25" x14ac:dyDescent="0.2">
      <c r="A583" t="s">
        <v>2184</v>
      </c>
      <c r="B583" t="s">
        <v>2185</v>
      </c>
      <c r="C583" t="s">
        <v>14281</v>
      </c>
      <c r="D583" t="s">
        <v>66</v>
      </c>
      <c r="E583" t="s">
        <v>2185</v>
      </c>
      <c r="F583" t="s">
        <v>28</v>
      </c>
      <c r="G583" t="s">
        <v>2185</v>
      </c>
      <c r="H583" t="str">
        <f>"M03C11.3"</f>
        <v>M03C11.3</v>
      </c>
      <c r="I583" t="s">
        <v>66</v>
      </c>
      <c r="J583">
        <v>12.352400208264401</v>
      </c>
      <c r="K583">
        <v>13.0179778511029</v>
      </c>
      <c r="L583">
        <v>12.7770815913736</v>
      </c>
      <c r="M583">
        <v>13.0566895552418</v>
      </c>
      <c r="N583" t="s">
        <v>29</v>
      </c>
      <c r="O583">
        <v>13.6664420281085</v>
      </c>
      <c r="P583">
        <v>0.645745908094849</v>
      </c>
      <c r="Q583">
        <v>5.4108385885438003E-2</v>
      </c>
      <c r="R583">
        <v>1.2373834303042599</v>
      </c>
      <c r="S583">
        <v>12.9011463035823</v>
      </c>
      <c r="T583">
        <v>2.3278101586417299</v>
      </c>
      <c r="U583">
        <v>-4.5020077696843401</v>
      </c>
      <c r="V583">
        <v>3.4434057068051298E-2</v>
      </c>
      <c r="W583">
        <v>0.183987556156714</v>
      </c>
      <c r="X583">
        <v>0</v>
      </c>
      <c r="Y583">
        <v>0</v>
      </c>
    </row>
    <row r="584" spans="1:25" x14ac:dyDescent="0.2">
      <c r="A584" t="s">
        <v>2186</v>
      </c>
      <c r="B584" t="s">
        <v>2187</v>
      </c>
      <c r="C584" t="s">
        <v>2188</v>
      </c>
      <c r="D584" t="s">
        <v>2189</v>
      </c>
      <c r="E584" t="s">
        <v>2187</v>
      </c>
      <c r="F584" t="s">
        <v>28</v>
      </c>
      <c r="G584" t="s">
        <v>2187</v>
      </c>
      <c r="H584" t="str">
        <f>"stl-1"</f>
        <v>stl-1</v>
      </c>
      <c r="I584" t="s">
        <v>2189</v>
      </c>
      <c r="J584">
        <v>15.7242120271346</v>
      </c>
      <c r="K584">
        <v>16.308009175071</v>
      </c>
      <c r="L584">
        <v>16.655620031359799</v>
      </c>
      <c r="M584">
        <v>16.496850786237399</v>
      </c>
      <c r="N584">
        <v>15.9128626529188</v>
      </c>
      <c r="O584">
        <v>16.261573610081101</v>
      </c>
      <c r="P584">
        <v>-5.51806144267886E-3</v>
      </c>
      <c r="Q584">
        <v>-0.687301343822046</v>
      </c>
      <c r="R584">
        <v>0.67626522093668795</v>
      </c>
      <c r="S584">
        <v>16.825299659839899</v>
      </c>
      <c r="T584">
        <v>-1.7011111734768599E-2</v>
      </c>
      <c r="U584">
        <v>-7.05193479115289</v>
      </c>
      <c r="V584">
        <v>0.98661598080049795</v>
      </c>
      <c r="W584">
        <v>0.99293659368514098</v>
      </c>
      <c r="X584">
        <v>0</v>
      </c>
      <c r="Y584">
        <v>0</v>
      </c>
    </row>
    <row r="585" spans="1:25" x14ac:dyDescent="0.2">
      <c r="A585" t="s">
        <v>2190</v>
      </c>
      <c r="B585" t="s">
        <v>2191</v>
      </c>
      <c r="C585" t="s">
        <v>2192</v>
      </c>
      <c r="D585" t="s">
        <v>2193</v>
      </c>
      <c r="E585" t="s">
        <v>2191</v>
      </c>
      <c r="F585" t="s">
        <v>28</v>
      </c>
      <c r="G585" t="s">
        <v>2191</v>
      </c>
      <c r="H585" t="str">
        <f>"spat-1"</f>
        <v>spat-1</v>
      </c>
      <c r="I585" t="s">
        <v>2193</v>
      </c>
      <c r="J585" t="s">
        <v>29</v>
      </c>
      <c r="K585" t="s">
        <v>29</v>
      </c>
      <c r="L585" t="s">
        <v>29</v>
      </c>
      <c r="M585" t="s">
        <v>29</v>
      </c>
      <c r="N585" t="s">
        <v>29</v>
      </c>
      <c r="O585" t="s">
        <v>29</v>
      </c>
      <c r="P585" t="s">
        <v>29</v>
      </c>
      <c r="Q585" t="s">
        <v>29</v>
      </c>
      <c r="R585" t="s">
        <v>29</v>
      </c>
      <c r="S585">
        <v>10.0985558044644</v>
      </c>
      <c r="T585" t="s">
        <v>29</v>
      </c>
      <c r="U585" t="s">
        <v>29</v>
      </c>
      <c r="V585" t="s">
        <v>29</v>
      </c>
      <c r="W585" t="s">
        <v>29</v>
      </c>
      <c r="X585" t="s">
        <v>29</v>
      </c>
      <c r="Y585" t="s">
        <v>29</v>
      </c>
    </row>
    <row r="586" spans="1:25" x14ac:dyDescent="0.2">
      <c r="A586" t="s">
        <v>2194</v>
      </c>
      <c r="B586" t="s">
        <v>2195</v>
      </c>
      <c r="C586" t="s">
        <v>2196</v>
      </c>
      <c r="D586" t="s">
        <v>2197</v>
      </c>
      <c r="E586" t="s">
        <v>2195</v>
      </c>
      <c r="F586" t="s">
        <v>28</v>
      </c>
      <c r="G586" t="s">
        <v>2195</v>
      </c>
      <c r="H586" t="str">
        <f>"lea-1"</f>
        <v>lea-1</v>
      </c>
      <c r="I586" t="s">
        <v>2197</v>
      </c>
      <c r="J586">
        <v>12.3888086287417</v>
      </c>
      <c r="K586">
        <v>12.778827821609999</v>
      </c>
      <c r="L586">
        <v>12.302385086334599</v>
      </c>
      <c r="M586">
        <v>15.9944822100721</v>
      </c>
      <c r="N586">
        <v>16.257928648419899</v>
      </c>
      <c r="O586">
        <v>15.615994644560599</v>
      </c>
      <c r="P586">
        <v>3.46612798878872</v>
      </c>
      <c r="Q586">
        <v>2.6054781123469599</v>
      </c>
      <c r="R586">
        <v>4.32677786523048</v>
      </c>
      <c r="S586">
        <v>14.059171454592001</v>
      </c>
      <c r="T586">
        <v>8.4646810337299794</v>
      </c>
      <c r="U586">
        <v>7.8867970415386797</v>
      </c>
      <c r="V586" s="2">
        <v>1.13630370160507E-7</v>
      </c>
      <c r="W586" s="2">
        <v>1.1554788265696601E-5</v>
      </c>
      <c r="X586">
        <v>1</v>
      </c>
      <c r="Y586">
        <v>1</v>
      </c>
    </row>
    <row r="587" spans="1:25" x14ac:dyDescent="0.2">
      <c r="A587" t="s">
        <v>2198</v>
      </c>
      <c r="B587" t="s">
        <v>2199</v>
      </c>
      <c r="C587" t="s">
        <v>2200</v>
      </c>
      <c r="D587" t="s">
        <v>2201</v>
      </c>
      <c r="E587" t="s">
        <v>2199</v>
      </c>
      <c r="F587" t="s">
        <v>28</v>
      </c>
      <c r="G587" t="s">
        <v>2199</v>
      </c>
      <c r="H587" t="str">
        <f>"wdfy-3"</f>
        <v>wdfy-3</v>
      </c>
      <c r="I587" t="s">
        <v>2201</v>
      </c>
      <c r="J587">
        <v>11.518684150523701</v>
      </c>
      <c r="K587">
        <v>11.9291006115188</v>
      </c>
      <c r="L587">
        <v>11.627342432674601</v>
      </c>
      <c r="M587">
        <v>11.6822304001318</v>
      </c>
      <c r="N587">
        <v>12.1816198330228</v>
      </c>
      <c r="O587">
        <v>12.0013137840502</v>
      </c>
      <c r="P587">
        <v>0.26334560749594399</v>
      </c>
      <c r="Q587">
        <v>-0.24697969744499301</v>
      </c>
      <c r="R587">
        <v>0.77367091243688102</v>
      </c>
      <c r="S587">
        <v>11.960982276758299</v>
      </c>
      <c r="T587">
        <v>1.0892535606937901</v>
      </c>
      <c r="U587">
        <v>-6.4494317202852596</v>
      </c>
      <c r="V587">
        <v>0.29133563908101801</v>
      </c>
      <c r="W587">
        <v>0.57073294396640095</v>
      </c>
      <c r="X587">
        <v>0</v>
      </c>
      <c r="Y587">
        <v>0</v>
      </c>
    </row>
    <row r="588" spans="1:25" x14ac:dyDescent="0.2">
      <c r="A588" t="s">
        <v>2202</v>
      </c>
      <c r="B588" t="s">
        <v>2203</v>
      </c>
      <c r="C588" t="s">
        <v>14282</v>
      </c>
      <c r="D588" t="s">
        <v>2204</v>
      </c>
      <c r="E588" t="s">
        <v>2203</v>
      </c>
      <c r="F588" t="s">
        <v>28</v>
      </c>
      <c r="G588" t="s">
        <v>2203</v>
      </c>
      <c r="H588" t="str">
        <f>"Y38E10A.22"</f>
        <v>Y38E10A.22</v>
      </c>
      <c r="I588" t="s">
        <v>2204</v>
      </c>
      <c r="J588" t="s">
        <v>29</v>
      </c>
      <c r="K588">
        <v>11.112072838470301</v>
      </c>
      <c r="L588" t="s">
        <v>29</v>
      </c>
      <c r="M588">
        <v>12.342514738786701</v>
      </c>
      <c r="N588">
        <v>12.1985685980681</v>
      </c>
      <c r="O588">
        <v>12.3590077290333</v>
      </c>
      <c r="P588">
        <v>1.1879575168257801</v>
      </c>
      <c r="Q588">
        <v>0.102681008205199</v>
      </c>
      <c r="R588">
        <v>2.2732340254463601</v>
      </c>
      <c r="S588">
        <v>12.490399687287001</v>
      </c>
      <c r="T588">
        <v>2.3345442660867102</v>
      </c>
      <c r="U588">
        <v>-4.2733117329921297</v>
      </c>
      <c r="V588">
        <v>3.3988031213421997E-2</v>
      </c>
      <c r="W588">
        <v>0.18280504722061999</v>
      </c>
      <c r="X588">
        <v>1</v>
      </c>
      <c r="Y588">
        <v>0</v>
      </c>
    </row>
    <row r="589" spans="1:25" x14ac:dyDescent="0.2">
      <c r="A589" t="s">
        <v>2205</v>
      </c>
      <c r="B589" t="s">
        <v>2206</v>
      </c>
      <c r="C589" t="s">
        <v>2207</v>
      </c>
      <c r="D589" t="s">
        <v>825</v>
      </c>
      <c r="E589" t="s">
        <v>2206</v>
      </c>
      <c r="F589" t="s">
        <v>28</v>
      </c>
      <c r="G589" t="s">
        <v>2206</v>
      </c>
      <c r="H589" t="str">
        <f>"ints-8"</f>
        <v>ints-8</v>
      </c>
      <c r="I589" t="s">
        <v>825</v>
      </c>
      <c r="J589">
        <v>12.2926676508496</v>
      </c>
      <c r="K589">
        <v>12.870219043933099</v>
      </c>
      <c r="L589">
        <v>12.839190441544501</v>
      </c>
      <c r="M589">
        <v>13.324684691389599</v>
      </c>
      <c r="N589">
        <v>13.485180512840101</v>
      </c>
      <c r="O589">
        <v>13.3022394025477</v>
      </c>
      <c r="P589">
        <v>0.70334249015003203</v>
      </c>
      <c r="Q589">
        <v>0.30716860349057801</v>
      </c>
      <c r="R589">
        <v>1.09951637680949</v>
      </c>
      <c r="S589">
        <v>13.479824417022099</v>
      </c>
      <c r="T589">
        <v>3.74740836348299</v>
      </c>
      <c r="U589">
        <v>-1.6935646668406401</v>
      </c>
      <c r="V589">
        <v>1.6188033233233499E-3</v>
      </c>
      <c r="W589">
        <v>2.4386972287473101E-2</v>
      </c>
      <c r="X589">
        <v>0</v>
      </c>
      <c r="Y589">
        <v>0</v>
      </c>
    </row>
    <row r="590" spans="1:25" x14ac:dyDescent="0.2">
      <c r="A590" t="s">
        <v>2208</v>
      </c>
      <c r="B590" t="s">
        <v>2209</v>
      </c>
      <c r="C590" t="s">
        <v>14169</v>
      </c>
      <c r="D590" t="s">
        <v>2210</v>
      </c>
      <c r="E590" t="s">
        <v>2209</v>
      </c>
      <c r="F590" t="s">
        <v>28</v>
      </c>
      <c r="G590" t="s">
        <v>2209</v>
      </c>
      <c r="H590" t="str">
        <f>"CTEL55X.1"</f>
        <v>CTEL55X.1</v>
      </c>
      <c r="I590" t="s">
        <v>2210</v>
      </c>
      <c r="J590" t="s">
        <v>29</v>
      </c>
      <c r="K590" t="s">
        <v>29</v>
      </c>
      <c r="L590" t="s">
        <v>29</v>
      </c>
      <c r="M590">
        <v>12.502078259785099</v>
      </c>
      <c r="N590" t="s">
        <v>29</v>
      </c>
      <c r="O590" t="s">
        <v>29</v>
      </c>
      <c r="P590" t="s">
        <v>29</v>
      </c>
      <c r="Q590" t="s">
        <v>29</v>
      </c>
      <c r="R590" t="s">
        <v>29</v>
      </c>
      <c r="S590">
        <v>13.6722542139869</v>
      </c>
      <c r="T590" t="s">
        <v>29</v>
      </c>
      <c r="U590" t="s">
        <v>29</v>
      </c>
      <c r="V590" t="s">
        <v>29</v>
      </c>
      <c r="W590" t="s">
        <v>29</v>
      </c>
      <c r="X590" t="s">
        <v>29</v>
      </c>
      <c r="Y590" t="s">
        <v>29</v>
      </c>
    </row>
    <row r="591" spans="1:25" x14ac:dyDescent="0.2">
      <c r="A591" t="s">
        <v>2211</v>
      </c>
      <c r="B591" t="s">
        <v>2212</v>
      </c>
      <c r="C591" t="s">
        <v>2213</v>
      </c>
      <c r="D591" t="s">
        <v>2214</v>
      </c>
      <c r="E591" t="s">
        <v>2212</v>
      </c>
      <c r="F591" t="s">
        <v>28</v>
      </c>
      <c r="G591" t="s">
        <v>2212</v>
      </c>
      <c r="H591" t="str">
        <f>"ain-2"</f>
        <v>ain-2</v>
      </c>
      <c r="I591" t="s">
        <v>2214</v>
      </c>
      <c r="J591">
        <v>12.4571024987751</v>
      </c>
      <c r="K591">
        <v>12.9359570179257</v>
      </c>
      <c r="L591">
        <v>13.387569947931</v>
      </c>
      <c r="M591" t="s">
        <v>29</v>
      </c>
      <c r="N591">
        <v>12.1065527220749</v>
      </c>
      <c r="O591">
        <v>13.826446569260201</v>
      </c>
      <c r="P591">
        <v>3.9623157456922797E-2</v>
      </c>
      <c r="Q591">
        <v>-0.850557372841104</v>
      </c>
      <c r="R591">
        <v>0.92980368775494904</v>
      </c>
      <c r="S591">
        <v>13.74048256267</v>
      </c>
      <c r="T591">
        <v>9.4410548063642505E-2</v>
      </c>
      <c r="U591">
        <v>-6.93673944314052</v>
      </c>
      <c r="V591">
        <v>0.92596293319915501</v>
      </c>
      <c r="W591">
        <v>0.97369392663454402</v>
      </c>
      <c r="X591">
        <v>0</v>
      </c>
      <c r="Y591">
        <v>0</v>
      </c>
    </row>
    <row r="592" spans="1:25" x14ac:dyDescent="0.2">
      <c r="A592" t="s">
        <v>2215</v>
      </c>
      <c r="B592" t="s">
        <v>2216</v>
      </c>
      <c r="C592" t="s">
        <v>14283</v>
      </c>
      <c r="D592" t="s">
        <v>2217</v>
      </c>
      <c r="E592" t="s">
        <v>2216</v>
      </c>
      <c r="F592" t="s">
        <v>28</v>
      </c>
      <c r="G592" t="s">
        <v>2216</v>
      </c>
      <c r="H592" t="str">
        <f>"F56C9.6"</f>
        <v>F56C9.6</v>
      </c>
      <c r="I592" t="s">
        <v>2217</v>
      </c>
      <c r="J592" t="s">
        <v>29</v>
      </c>
      <c r="K592" t="s">
        <v>29</v>
      </c>
      <c r="L592" t="s">
        <v>29</v>
      </c>
      <c r="M592">
        <v>11.866217408613201</v>
      </c>
      <c r="N592" t="s">
        <v>29</v>
      </c>
      <c r="O592" t="s">
        <v>29</v>
      </c>
      <c r="P592" t="s">
        <v>29</v>
      </c>
      <c r="Q592" t="s">
        <v>29</v>
      </c>
      <c r="R592" t="s">
        <v>29</v>
      </c>
      <c r="S592">
        <v>12.752331645559799</v>
      </c>
      <c r="T592" t="s">
        <v>29</v>
      </c>
      <c r="U592" t="s">
        <v>29</v>
      </c>
      <c r="V592" t="s">
        <v>29</v>
      </c>
      <c r="W592" t="s">
        <v>29</v>
      </c>
      <c r="X592" t="s">
        <v>29</v>
      </c>
      <c r="Y592" t="s">
        <v>29</v>
      </c>
    </row>
    <row r="593" spans="1:25" x14ac:dyDescent="0.2">
      <c r="A593" t="s">
        <v>2218</v>
      </c>
      <c r="B593" t="s">
        <v>2219</v>
      </c>
      <c r="C593" t="s">
        <v>2220</v>
      </c>
      <c r="D593" t="s">
        <v>2221</v>
      </c>
      <c r="E593" t="s">
        <v>2219</v>
      </c>
      <c r="F593" t="s">
        <v>28</v>
      </c>
      <c r="G593" t="s">
        <v>2219</v>
      </c>
      <c r="H593" t="str">
        <f>"unc-82"</f>
        <v>unc-82</v>
      </c>
      <c r="I593" t="s">
        <v>2221</v>
      </c>
      <c r="J593">
        <v>12.8864498342222</v>
      </c>
      <c r="K593">
        <v>13.450451649784499</v>
      </c>
      <c r="L593">
        <v>13.5456643208133</v>
      </c>
      <c r="M593">
        <v>13.1843232790835</v>
      </c>
      <c r="N593">
        <v>12.7609736537384</v>
      </c>
      <c r="O593">
        <v>13.2503175231834</v>
      </c>
      <c r="P593">
        <v>-0.228983782938217</v>
      </c>
      <c r="Q593">
        <v>-0.75363632212879395</v>
      </c>
      <c r="R593">
        <v>0.29566875625236</v>
      </c>
      <c r="S593">
        <v>13.3196157906875</v>
      </c>
      <c r="T593">
        <v>-0.92126158017743698</v>
      </c>
      <c r="U593">
        <v>-6.6168330542760199</v>
      </c>
      <c r="V593">
        <v>0.36988253766199602</v>
      </c>
      <c r="W593">
        <v>0.64570696220608204</v>
      </c>
      <c r="X593">
        <v>0</v>
      </c>
      <c r="Y593">
        <v>0</v>
      </c>
    </row>
    <row r="594" spans="1:25" x14ac:dyDescent="0.2">
      <c r="A594" t="s">
        <v>2222</v>
      </c>
      <c r="B594" t="s">
        <v>2223</v>
      </c>
      <c r="C594" t="s">
        <v>2224</v>
      </c>
      <c r="D594" t="s">
        <v>2225</v>
      </c>
      <c r="E594" t="s">
        <v>2223</v>
      </c>
      <c r="F594" t="s">
        <v>28</v>
      </c>
      <c r="G594" t="s">
        <v>2223</v>
      </c>
      <c r="H594" t="str">
        <f>"ttc-7"</f>
        <v>ttc-7</v>
      </c>
      <c r="I594" t="s">
        <v>2225</v>
      </c>
      <c r="J594">
        <v>12.376626954308801</v>
      </c>
      <c r="K594">
        <v>12.5264200866508</v>
      </c>
      <c r="L594">
        <v>12.307385548031</v>
      </c>
      <c r="M594">
        <v>11.8017927680492</v>
      </c>
      <c r="N594" t="s">
        <v>29</v>
      </c>
      <c r="O594">
        <v>12.2848909560264</v>
      </c>
      <c r="P594">
        <v>-0.36013566762570498</v>
      </c>
      <c r="Q594">
        <v>-0.83520604429365597</v>
      </c>
      <c r="R594">
        <v>0.114934709042245</v>
      </c>
      <c r="S594">
        <v>12.5380818771729</v>
      </c>
      <c r="T594">
        <v>-1.6270469235146101</v>
      </c>
      <c r="U594">
        <v>-5.6556474327676503</v>
      </c>
      <c r="V594">
        <v>0.12618282732036201</v>
      </c>
      <c r="W594">
        <v>0.36858071822303301</v>
      </c>
      <c r="X594">
        <v>0</v>
      </c>
      <c r="Y594">
        <v>0</v>
      </c>
    </row>
    <row r="595" spans="1:25" x14ac:dyDescent="0.2">
      <c r="A595" t="s">
        <v>2226</v>
      </c>
      <c r="B595" t="s">
        <v>2227</v>
      </c>
      <c r="C595" t="s">
        <v>2228</v>
      </c>
      <c r="D595" t="s">
        <v>93</v>
      </c>
      <c r="E595" t="s">
        <v>2227</v>
      </c>
      <c r="F595" t="s">
        <v>28</v>
      </c>
      <c r="G595" t="s">
        <v>2227</v>
      </c>
      <c r="H595" t="str">
        <f>"grld-1"</f>
        <v>grld-1</v>
      </c>
      <c r="I595" t="s">
        <v>93</v>
      </c>
      <c r="J595">
        <v>13.5644365053009</v>
      </c>
      <c r="K595">
        <v>13.6919475525984</v>
      </c>
      <c r="L595">
        <v>13.820050056344799</v>
      </c>
      <c r="M595">
        <v>14.154526091366799</v>
      </c>
      <c r="N595">
        <v>13.646536068631599</v>
      </c>
      <c r="O595">
        <v>13.721647774682801</v>
      </c>
      <c r="P595">
        <v>0.148758606812393</v>
      </c>
      <c r="Q595">
        <v>-0.27732906833938198</v>
      </c>
      <c r="R595">
        <v>0.57484628196416798</v>
      </c>
      <c r="S595">
        <v>13.4831025639833</v>
      </c>
      <c r="T595">
        <v>0.74051295376255499</v>
      </c>
      <c r="U595">
        <v>-6.7677114773823002</v>
      </c>
      <c r="V595">
        <v>0.46978708319935403</v>
      </c>
      <c r="W595">
        <v>0.73212987008175201</v>
      </c>
      <c r="X595">
        <v>0</v>
      </c>
      <c r="Y595">
        <v>0</v>
      </c>
    </row>
    <row r="596" spans="1:25" x14ac:dyDescent="0.2">
      <c r="A596" t="s">
        <v>2229</v>
      </c>
      <c r="B596" t="s">
        <v>2230</v>
      </c>
      <c r="C596" t="s">
        <v>14284</v>
      </c>
      <c r="D596" t="s">
        <v>130</v>
      </c>
      <c r="E596" t="s">
        <v>2230</v>
      </c>
      <c r="F596" t="s">
        <v>28</v>
      </c>
      <c r="G596" t="s">
        <v>2230</v>
      </c>
      <c r="H596" t="str">
        <f>"F57C9.4"</f>
        <v>F57C9.4</v>
      </c>
      <c r="I596" t="s">
        <v>130</v>
      </c>
      <c r="J596">
        <v>13.689705160148799</v>
      </c>
      <c r="K596">
        <v>13.031408158847199</v>
      </c>
      <c r="L596">
        <v>12.774712279642999</v>
      </c>
      <c r="M596">
        <v>13.2210532439621</v>
      </c>
      <c r="N596">
        <v>11.7553123512082</v>
      </c>
      <c r="O596">
        <v>12.814997082289199</v>
      </c>
      <c r="P596">
        <v>-0.56815430705982495</v>
      </c>
      <c r="Q596">
        <v>-1.21457891159961</v>
      </c>
      <c r="R596">
        <v>7.8270297479955994E-2</v>
      </c>
      <c r="S596">
        <v>12.8901283419459</v>
      </c>
      <c r="T596">
        <v>-1.8642233987921999</v>
      </c>
      <c r="U596">
        <v>-5.3952481731672499</v>
      </c>
      <c r="V596">
        <v>8.0866398173502205E-2</v>
      </c>
      <c r="W596">
        <v>0.29178919535647002</v>
      </c>
      <c r="X596">
        <v>0</v>
      </c>
      <c r="Y596">
        <v>0</v>
      </c>
    </row>
    <row r="597" spans="1:25" x14ac:dyDescent="0.2">
      <c r="A597" t="s">
        <v>2231</v>
      </c>
      <c r="B597" t="s">
        <v>2232</v>
      </c>
      <c r="C597" t="s">
        <v>14285</v>
      </c>
      <c r="D597" t="s">
        <v>2233</v>
      </c>
      <c r="E597" t="s">
        <v>2232</v>
      </c>
      <c r="F597" t="s">
        <v>28</v>
      </c>
      <c r="G597" t="s">
        <v>2232</v>
      </c>
      <c r="H597" t="str">
        <f>"F26G5.1"</f>
        <v>F26G5.1</v>
      </c>
      <c r="I597" t="s">
        <v>2233</v>
      </c>
      <c r="J597" t="s">
        <v>29</v>
      </c>
      <c r="K597" t="s">
        <v>29</v>
      </c>
      <c r="L597" t="s">
        <v>29</v>
      </c>
      <c r="M597" t="s">
        <v>29</v>
      </c>
      <c r="N597" t="s">
        <v>29</v>
      </c>
      <c r="O597" t="s">
        <v>29</v>
      </c>
      <c r="P597" t="s">
        <v>29</v>
      </c>
      <c r="Q597" t="s">
        <v>29</v>
      </c>
      <c r="R597" t="s">
        <v>29</v>
      </c>
      <c r="S597">
        <v>12.8273394404097</v>
      </c>
      <c r="T597" t="s">
        <v>29</v>
      </c>
      <c r="U597" t="s">
        <v>29</v>
      </c>
      <c r="V597" t="s">
        <v>29</v>
      </c>
      <c r="W597" t="s">
        <v>29</v>
      </c>
      <c r="X597" t="s">
        <v>29</v>
      </c>
      <c r="Y597" t="s">
        <v>29</v>
      </c>
    </row>
    <row r="598" spans="1:25" x14ac:dyDescent="0.2">
      <c r="A598" t="s">
        <v>2234</v>
      </c>
      <c r="B598" t="s">
        <v>2235</v>
      </c>
      <c r="C598" t="s">
        <v>2236</v>
      </c>
      <c r="D598" t="s">
        <v>2237</v>
      </c>
      <c r="E598" t="s">
        <v>2235</v>
      </c>
      <c r="F598" t="s">
        <v>28</v>
      </c>
      <c r="G598" t="s">
        <v>2235</v>
      </c>
      <c r="H598" t="str">
        <f>"nra-4"</f>
        <v>nra-4</v>
      </c>
      <c r="I598" t="s">
        <v>2237</v>
      </c>
      <c r="J598">
        <v>14.526337281289299</v>
      </c>
      <c r="K598">
        <v>14.779175343021199</v>
      </c>
      <c r="L598">
        <v>14.621498306040801</v>
      </c>
      <c r="M598">
        <v>14.5803244017394</v>
      </c>
      <c r="N598">
        <v>14.8521670420399</v>
      </c>
      <c r="O598">
        <v>15.1242790709722</v>
      </c>
      <c r="P598">
        <v>0.20991986146671199</v>
      </c>
      <c r="Q598">
        <v>-0.182206826819063</v>
      </c>
      <c r="R598">
        <v>0.60204654975248695</v>
      </c>
      <c r="S598">
        <v>14.469436236345</v>
      </c>
      <c r="T598">
        <v>1.1251738822732</v>
      </c>
      <c r="U598">
        <v>-6.4111957748027004</v>
      </c>
      <c r="V598">
        <v>0.27538086020404001</v>
      </c>
      <c r="W598">
        <v>0.55362938406807105</v>
      </c>
      <c r="X598">
        <v>0</v>
      </c>
      <c r="Y598">
        <v>0</v>
      </c>
    </row>
    <row r="599" spans="1:25" x14ac:dyDescent="0.2">
      <c r="A599" t="s">
        <v>2238</v>
      </c>
      <c r="B599" t="s">
        <v>2239</v>
      </c>
      <c r="C599" t="s">
        <v>2240</v>
      </c>
      <c r="D599" t="s">
        <v>375</v>
      </c>
      <c r="E599" t="s">
        <v>2239</v>
      </c>
      <c r="F599" t="s">
        <v>28</v>
      </c>
      <c r="G599" t="s">
        <v>2239</v>
      </c>
      <c r="H599" t="str">
        <f>"tmem-24"</f>
        <v>tmem-24</v>
      </c>
      <c r="I599" t="s">
        <v>375</v>
      </c>
      <c r="J599">
        <v>12.4069194045583</v>
      </c>
      <c r="K599">
        <v>12.744186073923601</v>
      </c>
      <c r="L599">
        <v>12.9041312974531</v>
      </c>
      <c r="M599">
        <v>13.528713815936801</v>
      </c>
      <c r="N599">
        <v>12.4622241606067</v>
      </c>
      <c r="O599">
        <v>12.4793307368762</v>
      </c>
      <c r="P599">
        <v>0.13834397916156299</v>
      </c>
      <c r="Q599">
        <v>-0.49454802101247097</v>
      </c>
      <c r="R599">
        <v>0.77123597933559795</v>
      </c>
      <c r="S599">
        <v>12.888504270933399</v>
      </c>
      <c r="T599">
        <v>0.46363924152240799</v>
      </c>
      <c r="U599">
        <v>-6.9394483848150497</v>
      </c>
      <c r="V599">
        <v>0.64919185162868898</v>
      </c>
      <c r="W599">
        <v>0.84095154665595295</v>
      </c>
      <c r="X599">
        <v>0</v>
      </c>
      <c r="Y599">
        <v>0</v>
      </c>
    </row>
    <row r="600" spans="1:25" x14ac:dyDescent="0.2">
      <c r="A600" t="s">
        <v>2241</v>
      </c>
      <c r="B600" t="s">
        <v>2242</v>
      </c>
      <c r="C600" t="s">
        <v>14286</v>
      </c>
      <c r="D600" t="s">
        <v>2243</v>
      </c>
      <c r="E600" t="s">
        <v>2242</v>
      </c>
      <c r="F600" t="s">
        <v>28</v>
      </c>
      <c r="G600" t="s">
        <v>2242</v>
      </c>
      <c r="H600" t="str">
        <f>"F26F12.3"</f>
        <v>F26F12.3</v>
      </c>
      <c r="I600" t="s">
        <v>2243</v>
      </c>
      <c r="J600" t="s">
        <v>29</v>
      </c>
      <c r="K600" t="s">
        <v>29</v>
      </c>
      <c r="L600" t="s">
        <v>29</v>
      </c>
      <c r="M600" t="s">
        <v>29</v>
      </c>
      <c r="N600">
        <v>9.9390076227873791</v>
      </c>
      <c r="O600" t="s">
        <v>29</v>
      </c>
      <c r="P600" t="s">
        <v>29</v>
      </c>
      <c r="Q600" t="s">
        <v>29</v>
      </c>
      <c r="R600" t="s">
        <v>29</v>
      </c>
      <c r="S600">
        <v>11.377056041876999</v>
      </c>
      <c r="T600" t="s">
        <v>29</v>
      </c>
      <c r="U600" t="s">
        <v>29</v>
      </c>
      <c r="V600" t="s">
        <v>29</v>
      </c>
      <c r="W600" t="s">
        <v>29</v>
      </c>
      <c r="X600" t="s">
        <v>29</v>
      </c>
      <c r="Y600" t="s">
        <v>29</v>
      </c>
    </row>
    <row r="601" spans="1:25" x14ac:dyDescent="0.2">
      <c r="A601" t="s">
        <v>2244</v>
      </c>
      <c r="B601" t="s">
        <v>2245</v>
      </c>
      <c r="C601" t="s">
        <v>2246</v>
      </c>
      <c r="D601" t="s">
        <v>107</v>
      </c>
      <c r="E601" t="s">
        <v>2245</v>
      </c>
      <c r="F601" t="s">
        <v>28</v>
      </c>
      <c r="G601" t="s">
        <v>2245</v>
      </c>
      <c r="H601" t="str">
        <f>"vpat-1"</f>
        <v>vpat-1</v>
      </c>
      <c r="I601" t="s">
        <v>107</v>
      </c>
      <c r="J601">
        <v>11.9478726904851</v>
      </c>
      <c r="K601">
        <v>11.7406518160857</v>
      </c>
      <c r="L601">
        <v>12.731378483223301</v>
      </c>
      <c r="M601" t="s">
        <v>29</v>
      </c>
      <c r="N601">
        <v>12.620137569358899</v>
      </c>
      <c r="O601" t="s">
        <v>29</v>
      </c>
      <c r="P601">
        <v>0.48016990609419902</v>
      </c>
      <c r="Q601">
        <v>-0.31844394423780498</v>
      </c>
      <c r="R601">
        <v>1.2787837564261999</v>
      </c>
      <c r="S601">
        <v>12.6414551121775</v>
      </c>
      <c r="T601">
        <v>1.29047618043335</v>
      </c>
      <c r="U601">
        <v>-5.8791497658701903</v>
      </c>
      <c r="V601">
        <v>0.21794653198497399</v>
      </c>
      <c r="W601">
        <v>0.48475599116821899</v>
      </c>
      <c r="X601">
        <v>0</v>
      </c>
      <c r="Y601">
        <v>0</v>
      </c>
    </row>
    <row r="602" spans="1:25" x14ac:dyDescent="0.2">
      <c r="A602" t="s">
        <v>2247</v>
      </c>
      <c r="B602" t="s">
        <v>2248</v>
      </c>
      <c r="C602" t="s">
        <v>2249</v>
      </c>
      <c r="D602" t="s">
        <v>2250</v>
      </c>
      <c r="E602" t="s">
        <v>2248</v>
      </c>
      <c r="F602" t="s">
        <v>28</v>
      </c>
      <c r="G602" t="s">
        <v>2248</v>
      </c>
      <c r="H602" t="str">
        <f>"spat-3"</f>
        <v>spat-3</v>
      </c>
      <c r="I602" t="s">
        <v>2250</v>
      </c>
      <c r="J602">
        <v>11.399466061455</v>
      </c>
      <c r="K602" t="s">
        <v>29</v>
      </c>
      <c r="L602">
        <v>11.8189073564492</v>
      </c>
      <c r="M602" t="s">
        <v>29</v>
      </c>
      <c r="N602" t="s">
        <v>29</v>
      </c>
      <c r="O602">
        <v>11.512686071723801</v>
      </c>
      <c r="P602">
        <v>-9.6500637228297506E-2</v>
      </c>
      <c r="Q602">
        <v>-0.850056262091887</v>
      </c>
      <c r="R602">
        <v>0.65705498763529202</v>
      </c>
      <c r="S602">
        <v>11.734969144600299</v>
      </c>
      <c r="T602">
        <v>-0.28219061011718999</v>
      </c>
      <c r="U602">
        <v>-6.6085896402338697</v>
      </c>
      <c r="V602">
        <v>0.78308578411191698</v>
      </c>
      <c r="W602">
        <v>0.91103365802652003</v>
      </c>
      <c r="X602">
        <v>0</v>
      </c>
      <c r="Y602">
        <v>0</v>
      </c>
    </row>
    <row r="603" spans="1:25" x14ac:dyDescent="0.2">
      <c r="A603" t="s">
        <v>2251</v>
      </c>
      <c r="B603" t="s">
        <v>2252</v>
      </c>
      <c r="C603" t="s">
        <v>2253</v>
      </c>
      <c r="D603" t="s">
        <v>55</v>
      </c>
      <c r="E603" t="s">
        <v>2252</v>
      </c>
      <c r="F603" t="s">
        <v>28</v>
      </c>
      <c r="G603" t="s">
        <v>2252</v>
      </c>
      <c r="H603" t="str">
        <f>"cgef-1"</f>
        <v>cgef-1</v>
      </c>
      <c r="I603" t="s">
        <v>55</v>
      </c>
      <c r="J603">
        <v>11.5312410300383</v>
      </c>
      <c r="K603">
        <v>11.8874988930594</v>
      </c>
      <c r="L603" t="s">
        <v>29</v>
      </c>
      <c r="M603" t="s">
        <v>29</v>
      </c>
      <c r="N603" t="s">
        <v>29</v>
      </c>
      <c r="O603" t="s">
        <v>29</v>
      </c>
      <c r="P603" t="s">
        <v>29</v>
      </c>
      <c r="Q603" t="s">
        <v>29</v>
      </c>
      <c r="R603" t="s">
        <v>29</v>
      </c>
      <c r="S603">
        <v>11.1729782720461</v>
      </c>
      <c r="T603" t="s">
        <v>29</v>
      </c>
      <c r="U603" t="s">
        <v>29</v>
      </c>
      <c r="V603" t="s">
        <v>29</v>
      </c>
      <c r="W603" t="s">
        <v>29</v>
      </c>
      <c r="X603" t="s">
        <v>29</v>
      </c>
      <c r="Y603" t="s">
        <v>29</v>
      </c>
    </row>
    <row r="604" spans="1:25" x14ac:dyDescent="0.2">
      <c r="A604" t="s">
        <v>2254</v>
      </c>
      <c r="B604" t="s">
        <v>2255</v>
      </c>
      <c r="C604" t="s">
        <v>2256</v>
      </c>
      <c r="D604" t="s">
        <v>2257</v>
      </c>
      <c r="E604" t="s">
        <v>2255</v>
      </c>
      <c r="F604" t="s">
        <v>28</v>
      </c>
      <c r="G604" t="s">
        <v>2255</v>
      </c>
      <c r="H604" t="str">
        <f>"mtch-1"</f>
        <v>mtch-1</v>
      </c>
      <c r="I604" t="s">
        <v>2257</v>
      </c>
      <c r="J604">
        <v>11.090524320393801</v>
      </c>
      <c r="K604" t="s">
        <v>29</v>
      </c>
      <c r="L604">
        <v>11.9792469673203</v>
      </c>
      <c r="M604">
        <v>11.289065444972801</v>
      </c>
      <c r="N604" t="s">
        <v>29</v>
      </c>
      <c r="O604">
        <v>13.518475733277301</v>
      </c>
      <c r="P604">
        <v>0.86888494526798299</v>
      </c>
      <c r="Q604">
        <v>-0.51117727697756798</v>
      </c>
      <c r="R604">
        <v>2.24894716751353</v>
      </c>
      <c r="S604">
        <v>11.8295703342439</v>
      </c>
      <c r="T604">
        <v>1.3612906112979399</v>
      </c>
      <c r="U604">
        <v>-5.9292567402352399</v>
      </c>
      <c r="V604">
        <v>0.19673567123667399</v>
      </c>
      <c r="W604">
        <v>0.45705248919675001</v>
      </c>
      <c r="X604">
        <v>0</v>
      </c>
      <c r="Y604">
        <v>0</v>
      </c>
    </row>
    <row r="605" spans="1:25" x14ac:dyDescent="0.2">
      <c r="A605" t="s">
        <v>2258</v>
      </c>
      <c r="B605" t="s">
        <v>2259</v>
      </c>
      <c r="C605" t="s">
        <v>2260</v>
      </c>
      <c r="D605" t="s">
        <v>412</v>
      </c>
      <c r="E605" t="s">
        <v>2259</v>
      </c>
      <c r="F605" t="s">
        <v>28</v>
      </c>
      <c r="G605" t="s">
        <v>2259</v>
      </c>
      <c r="H605" t="str">
        <f>"nrde-4"</f>
        <v>nrde-4</v>
      </c>
      <c r="I605" t="s">
        <v>412</v>
      </c>
      <c r="J605">
        <v>13.1067373128906</v>
      </c>
      <c r="K605">
        <v>13.1705867717047</v>
      </c>
      <c r="L605">
        <v>13.081096144529701</v>
      </c>
      <c r="M605" t="s">
        <v>29</v>
      </c>
      <c r="N605">
        <v>12.1667562117616</v>
      </c>
      <c r="O605">
        <v>12.220655978813801</v>
      </c>
      <c r="P605">
        <v>-0.92576731442064497</v>
      </c>
      <c r="Q605">
        <v>-1.41261301753253</v>
      </c>
      <c r="R605">
        <v>-0.43892161130875401</v>
      </c>
      <c r="S605">
        <v>13.044849445287401</v>
      </c>
      <c r="T605">
        <v>-4.0813364215529502</v>
      </c>
      <c r="U605">
        <v>-1.15481517891376</v>
      </c>
      <c r="V605">
        <v>1.1388537525859701E-3</v>
      </c>
      <c r="W605">
        <v>1.9923817800616899E-2</v>
      </c>
      <c r="X605">
        <v>0</v>
      </c>
      <c r="Y605">
        <v>0</v>
      </c>
    </row>
    <row r="606" spans="1:25" x14ac:dyDescent="0.2">
      <c r="A606" t="s">
        <v>2261</v>
      </c>
      <c r="B606" t="s">
        <v>2262</v>
      </c>
      <c r="C606" t="s">
        <v>2263</v>
      </c>
      <c r="D606" t="s">
        <v>2264</v>
      </c>
      <c r="E606" t="s">
        <v>2262</v>
      </c>
      <c r="F606" t="s">
        <v>28</v>
      </c>
      <c r="G606" t="s">
        <v>2262</v>
      </c>
      <c r="H606" t="str">
        <f>"C09E8.1"</f>
        <v>C09E8.1</v>
      </c>
      <c r="I606" t="s">
        <v>2264</v>
      </c>
      <c r="J606">
        <v>10.539918489162901</v>
      </c>
      <c r="K606">
        <v>10.006446761058999</v>
      </c>
      <c r="L606">
        <v>11.112854420738699</v>
      </c>
      <c r="M606">
        <v>11.4951900058071</v>
      </c>
      <c r="N606">
        <v>12.056211921062999</v>
      </c>
      <c r="O606">
        <v>11.343336359033399</v>
      </c>
      <c r="P606">
        <v>1.07850620498093</v>
      </c>
      <c r="Q606">
        <v>0.460306833095806</v>
      </c>
      <c r="R606">
        <v>1.69670557686604</v>
      </c>
      <c r="S606">
        <v>11.606492957750699</v>
      </c>
      <c r="T606">
        <v>3.7444322873789702</v>
      </c>
      <c r="U606">
        <v>-1.9112200677403</v>
      </c>
      <c r="V606">
        <v>2.2035040004859301E-3</v>
      </c>
      <c r="W606">
        <v>3.0511497947154201E-2</v>
      </c>
      <c r="X606">
        <v>1</v>
      </c>
      <c r="Y606">
        <v>1</v>
      </c>
    </row>
    <row r="607" spans="1:25" x14ac:dyDescent="0.2">
      <c r="A607" t="s">
        <v>2265</v>
      </c>
      <c r="B607" t="s">
        <v>2266</v>
      </c>
      <c r="C607" t="s">
        <v>2267</v>
      </c>
      <c r="D607" t="s">
        <v>2268</v>
      </c>
      <c r="E607" t="s">
        <v>2266</v>
      </c>
      <c r="F607" t="s">
        <v>28</v>
      </c>
      <c r="G607" t="s">
        <v>2266</v>
      </c>
      <c r="H607" t="str">
        <f>"vps-45"</f>
        <v>vps-45</v>
      </c>
      <c r="I607" t="s">
        <v>2268</v>
      </c>
      <c r="J607">
        <v>12.655692304053201</v>
      </c>
      <c r="K607">
        <v>12.2836201670794</v>
      </c>
      <c r="L607">
        <v>12.6412542336087</v>
      </c>
      <c r="M607">
        <v>12.500639361422101</v>
      </c>
      <c r="N607">
        <v>13.2330249824831</v>
      </c>
      <c r="O607">
        <v>13.339255157407001</v>
      </c>
      <c r="P607">
        <v>0.49745093219029202</v>
      </c>
      <c r="Q607">
        <v>-0.10841955888973601</v>
      </c>
      <c r="R607">
        <v>1.1033214232703199</v>
      </c>
      <c r="S607">
        <v>12.705694617544999</v>
      </c>
      <c r="T607">
        <v>1.7330873866471901</v>
      </c>
      <c r="U607">
        <v>-5.5996693693053299</v>
      </c>
      <c r="V607">
        <v>0.101291288316183</v>
      </c>
      <c r="W607">
        <v>0.329272579601259</v>
      </c>
      <c r="X607">
        <v>0</v>
      </c>
      <c r="Y607">
        <v>0</v>
      </c>
    </row>
    <row r="608" spans="1:25" x14ac:dyDescent="0.2">
      <c r="A608" t="s">
        <v>2269</v>
      </c>
      <c r="B608" t="s">
        <v>2270</v>
      </c>
      <c r="C608" t="s">
        <v>2271</v>
      </c>
      <c r="D608" t="s">
        <v>2272</v>
      </c>
      <c r="E608" t="s">
        <v>2270</v>
      </c>
      <c r="F608" t="s">
        <v>28</v>
      </c>
      <c r="G608" t="s">
        <v>2270</v>
      </c>
      <c r="H608" t="str">
        <f>"acdh-13"</f>
        <v>acdh-13</v>
      </c>
      <c r="I608" t="s">
        <v>2272</v>
      </c>
      <c r="J608">
        <v>15.643580036166</v>
      </c>
      <c r="K608">
        <v>15.777101313323399</v>
      </c>
      <c r="L608">
        <v>15.6939068677829</v>
      </c>
      <c r="M608">
        <v>15.2422312029151</v>
      </c>
      <c r="N608">
        <v>15.8570540122758</v>
      </c>
      <c r="O608">
        <v>15.3773910243385</v>
      </c>
      <c r="P608">
        <v>-0.21263732591428</v>
      </c>
      <c r="Q608">
        <v>-0.86556898920610703</v>
      </c>
      <c r="R608">
        <v>0.44029433737754797</v>
      </c>
      <c r="S608">
        <v>15.9337496489015</v>
      </c>
      <c r="T608">
        <v>-0.68448555171201397</v>
      </c>
      <c r="U608">
        <v>-6.8097342792218196</v>
      </c>
      <c r="V608">
        <v>0.50243802427566198</v>
      </c>
      <c r="W608">
        <v>0.754120540125924</v>
      </c>
      <c r="X608">
        <v>0</v>
      </c>
      <c r="Y608">
        <v>0</v>
      </c>
    </row>
    <row r="609" spans="1:25" x14ac:dyDescent="0.2">
      <c r="A609" t="s">
        <v>2273</v>
      </c>
      <c r="B609" t="s">
        <v>2274</v>
      </c>
      <c r="C609" t="s">
        <v>2275</v>
      </c>
      <c r="D609" t="s">
        <v>2276</v>
      </c>
      <c r="E609" t="s">
        <v>2274</v>
      </c>
      <c r="F609" t="s">
        <v>28</v>
      </c>
      <c r="G609" t="s">
        <v>2274</v>
      </c>
      <c r="H609" t="str">
        <f>"smk-1"</f>
        <v>smk-1</v>
      </c>
      <c r="I609" t="s">
        <v>2276</v>
      </c>
      <c r="J609">
        <v>9.7086412145530101</v>
      </c>
      <c r="K609" t="s">
        <v>29</v>
      </c>
      <c r="L609" t="s">
        <v>29</v>
      </c>
      <c r="M609">
        <v>9.1253634246864692</v>
      </c>
      <c r="N609">
        <v>11.266581263214601</v>
      </c>
      <c r="O609">
        <v>12.0291465026685</v>
      </c>
      <c r="P609">
        <v>1.0983891823034999</v>
      </c>
      <c r="Q609">
        <v>-0.65364628998271301</v>
      </c>
      <c r="R609">
        <v>2.8504246545897201</v>
      </c>
      <c r="S609">
        <v>11.367245694130499</v>
      </c>
      <c r="T609">
        <v>1.35550335444828</v>
      </c>
      <c r="U609">
        <v>-5.7981215574232499</v>
      </c>
      <c r="V609">
        <v>0.198524086743326</v>
      </c>
      <c r="W609">
        <v>0.45880495615254302</v>
      </c>
      <c r="X609">
        <v>0</v>
      </c>
      <c r="Y609">
        <v>0</v>
      </c>
    </row>
    <row r="610" spans="1:25" x14ac:dyDescent="0.2">
      <c r="A610" t="s">
        <v>2277</v>
      </c>
      <c r="B610" t="s">
        <v>2278</v>
      </c>
      <c r="C610" t="s">
        <v>2279</v>
      </c>
      <c r="D610" t="s">
        <v>2280</v>
      </c>
      <c r="E610" t="s">
        <v>2278</v>
      </c>
      <c r="F610" t="s">
        <v>28</v>
      </c>
      <c r="G610" t="s">
        <v>2278</v>
      </c>
      <c r="H610" t="str">
        <f>"lntl-1"</f>
        <v>lntl-1</v>
      </c>
      <c r="I610" t="s">
        <v>2280</v>
      </c>
      <c r="J610">
        <v>12.238291826774301</v>
      </c>
      <c r="K610">
        <v>12.660270900519899</v>
      </c>
      <c r="L610">
        <v>12.7706417398157</v>
      </c>
      <c r="M610">
        <v>13.625332241358899</v>
      </c>
      <c r="N610">
        <v>13.561820871267701</v>
      </c>
      <c r="O610">
        <v>12.2179621255949</v>
      </c>
      <c r="P610">
        <v>0.57863692370387199</v>
      </c>
      <c r="Q610">
        <v>-0.18694610091047301</v>
      </c>
      <c r="R610">
        <v>1.34421994831822</v>
      </c>
      <c r="S610">
        <v>12.9449009419881</v>
      </c>
      <c r="T610">
        <v>1.6031102015558001</v>
      </c>
      <c r="U610">
        <v>-5.7960800976928697</v>
      </c>
      <c r="V610">
        <v>0.12859339237935899</v>
      </c>
      <c r="W610">
        <v>0.37294376007347102</v>
      </c>
      <c r="X610">
        <v>0</v>
      </c>
      <c r="Y610">
        <v>0</v>
      </c>
    </row>
    <row r="611" spans="1:25" x14ac:dyDescent="0.2">
      <c r="A611" t="s">
        <v>2281</v>
      </c>
      <c r="B611" t="s">
        <v>2282</v>
      </c>
      <c r="C611" t="s">
        <v>2283</v>
      </c>
      <c r="D611" t="s">
        <v>1262</v>
      </c>
      <c r="E611" t="s">
        <v>2282</v>
      </c>
      <c r="F611" t="s">
        <v>28</v>
      </c>
      <c r="G611" t="s">
        <v>2282</v>
      </c>
      <c r="H611" t="str">
        <f>"ncx-2"</f>
        <v>ncx-2</v>
      </c>
      <c r="I611" t="s">
        <v>1262</v>
      </c>
      <c r="J611">
        <v>16.138224426978301</v>
      </c>
      <c r="K611">
        <v>15.8996258677358</v>
      </c>
      <c r="L611">
        <v>15.6848823441664</v>
      </c>
      <c r="M611">
        <v>15.9998367272794</v>
      </c>
      <c r="N611">
        <v>15.448958256919999</v>
      </c>
      <c r="O611">
        <v>15.677158552415101</v>
      </c>
      <c r="P611">
        <v>-0.19892636742203099</v>
      </c>
      <c r="Q611">
        <v>-0.64384869162352798</v>
      </c>
      <c r="R611">
        <v>0.24599595677946701</v>
      </c>
      <c r="S611">
        <v>15.557222083928201</v>
      </c>
      <c r="T611">
        <v>-0.93972475597942595</v>
      </c>
      <c r="U611">
        <v>-6.60043265956081</v>
      </c>
      <c r="V611">
        <v>0.35987127278124897</v>
      </c>
      <c r="W611">
        <v>0.63727983593274296</v>
      </c>
      <c r="X611">
        <v>0</v>
      </c>
      <c r="Y611">
        <v>0</v>
      </c>
    </row>
    <row r="612" spans="1:25" x14ac:dyDescent="0.2">
      <c r="A612" t="s">
        <v>2284</v>
      </c>
      <c r="B612" t="s">
        <v>2285</v>
      </c>
      <c r="C612" t="s">
        <v>2286</v>
      </c>
      <c r="D612" t="s">
        <v>2287</v>
      </c>
      <c r="E612" t="s">
        <v>2285</v>
      </c>
      <c r="F612" t="s">
        <v>28</v>
      </c>
      <c r="G612" t="s">
        <v>2285</v>
      </c>
      <c r="H612" t="str">
        <f>"pnk-1"</f>
        <v>pnk-1</v>
      </c>
      <c r="I612" t="s">
        <v>2287</v>
      </c>
      <c r="J612">
        <v>14.307133387941301</v>
      </c>
      <c r="K612">
        <v>14.218428492879999</v>
      </c>
      <c r="L612">
        <v>13.787329641236999</v>
      </c>
      <c r="M612">
        <v>14.103412609258999</v>
      </c>
      <c r="N612">
        <v>14.0454971438</v>
      </c>
      <c r="O612">
        <v>13.8242173115091</v>
      </c>
      <c r="P612">
        <v>-0.113254819163405</v>
      </c>
      <c r="Q612">
        <v>-0.65414186766998195</v>
      </c>
      <c r="R612">
        <v>0.42763222934317202</v>
      </c>
      <c r="S612">
        <v>13.325191188448599</v>
      </c>
      <c r="T612">
        <v>-0.441977459959429</v>
      </c>
      <c r="U612">
        <v>-6.9499864895454602</v>
      </c>
      <c r="V612">
        <v>0.664110779586222</v>
      </c>
      <c r="W612">
        <v>0.84912238773028104</v>
      </c>
      <c r="X612">
        <v>0</v>
      </c>
      <c r="Y612">
        <v>0</v>
      </c>
    </row>
    <row r="613" spans="1:25" x14ac:dyDescent="0.2">
      <c r="A613" t="s">
        <v>2288</v>
      </c>
      <c r="B613" t="s">
        <v>2289</v>
      </c>
      <c r="C613" t="s">
        <v>2290</v>
      </c>
      <c r="D613" t="s">
        <v>49</v>
      </c>
      <c r="E613" t="s">
        <v>2289</v>
      </c>
      <c r="F613" t="s">
        <v>28</v>
      </c>
      <c r="G613" t="s">
        <v>2289</v>
      </c>
      <c r="H613" t="str">
        <f>"ugt-26"</f>
        <v>ugt-26</v>
      </c>
      <c r="I613" t="s">
        <v>49</v>
      </c>
      <c r="J613">
        <v>12.818777989554899</v>
      </c>
      <c r="K613">
        <v>12.9809719306713</v>
      </c>
      <c r="L613">
        <v>12.880031957538099</v>
      </c>
      <c r="M613">
        <v>12.725464788219499</v>
      </c>
      <c r="N613">
        <v>13.1397276268483</v>
      </c>
      <c r="O613" t="s">
        <v>29</v>
      </c>
      <c r="P613">
        <v>3.9335581612469597E-2</v>
      </c>
      <c r="Q613">
        <v>-0.62430845306618499</v>
      </c>
      <c r="R613">
        <v>0.70297961629112404</v>
      </c>
      <c r="S613">
        <v>12.7474851369494</v>
      </c>
      <c r="T613">
        <v>0.12641307242934399</v>
      </c>
      <c r="U613">
        <v>-6.9329879038528102</v>
      </c>
      <c r="V613">
        <v>0.90109557714330901</v>
      </c>
      <c r="W613">
        <v>0.96626631628501303</v>
      </c>
      <c r="X613">
        <v>0</v>
      </c>
      <c r="Y613">
        <v>0</v>
      </c>
    </row>
    <row r="614" spans="1:25" x14ac:dyDescent="0.2">
      <c r="A614" t="s">
        <v>2291</v>
      </c>
      <c r="B614" t="s">
        <v>2292</v>
      </c>
      <c r="C614" t="s">
        <v>2293</v>
      </c>
      <c r="D614" t="s">
        <v>2294</v>
      </c>
      <c r="E614" t="s">
        <v>2292</v>
      </c>
      <c r="F614" t="s">
        <v>28</v>
      </c>
      <c r="G614" t="s">
        <v>2292</v>
      </c>
      <c r="H614" t="str">
        <f>"gyg-1"</f>
        <v>gyg-1</v>
      </c>
      <c r="I614" t="s">
        <v>2294</v>
      </c>
      <c r="J614">
        <v>13.060149478402</v>
      </c>
      <c r="K614">
        <v>13.4321277205252</v>
      </c>
      <c r="L614">
        <v>13.5752175033612</v>
      </c>
      <c r="M614">
        <v>13.060313190594099</v>
      </c>
      <c r="N614">
        <v>14.0101068576272</v>
      </c>
      <c r="O614">
        <v>13.701815517774699</v>
      </c>
      <c r="P614">
        <v>0.234913621235911</v>
      </c>
      <c r="Q614">
        <v>-0.375445160336914</v>
      </c>
      <c r="R614">
        <v>0.84527240280873595</v>
      </c>
      <c r="S614">
        <v>13.257854512828301</v>
      </c>
      <c r="T614">
        <v>0.81634273489922204</v>
      </c>
      <c r="U614">
        <v>-6.7077394783287696</v>
      </c>
      <c r="V614">
        <v>0.42636980209577602</v>
      </c>
      <c r="W614">
        <v>0.69633750496314994</v>
      </c>
      <c r="X614">
        <v>0</v>
      </c>
      <c r="Y614">
        <v>0</v>
      </c>
    </row>
    <row r="615" spans="1:25" x14ac:dyDescent="0.2">
      <c r="A615" t="s">
        <v>2295</v>
      </c>
      <c r="B615" t="s">
        <v>2296</v>
      </c>
      <c r="C615" t="s">
        <v>2297</v>
      </c>
      <c r="D615" t="s">
        <v>2298</v>
      </c>
      <c r="E615" t="s">
        <v>2296</v>
      </c>
      <c r="F615" t="s">
        <v>28</v>
      </c>
      <c r="G615" t="s">
        <v>2296</v>
      </c>
      <c r="H615" t="str">
        <f>"vig-1"</f>
        <v>vig-1</v>
      </c>
      <c r="I615" t="s">
        <v>2298</v>
      </c>
      <c r="J615">
        <v>17.061575975628902</v>
      </c>
      <c r="K615">
        <v>17.140281734348601</v>
      </c>
      <c r="L615">
        <v>17.6345106345697</v>
      </c>
      <c r="M615">
        <v>16.455700464504201</v>
      </c>
      <c r="N615">
        <v>16.619428059175601</v>
      </c>
      <c r="O615">
        <v>16.969117956763899</v>
      </c>
      <c r="P615">
        <v>-0.59737395470117605</v>
      </c>
      <c r="Q615">
        <v>-1.13550182736052</v>
      </c>
      <c r="R615">
        <v>-5.9246082041829497E-2</v>
      </c>
      <c r="S615">
        <v>16.879603506161502</v>
      </c>
      <c r="T615">
        <v>-2.33320720873161</v>
      </c>
      <c r="U615">
        <v>-4.5639282901114804</v>
      </c>
      <c r="V615">
        <v>3.1510729117323902E-2</v>
      </c>
      <c r="W615">
        <v>0.174380803652673</v>
      </c>
      <c r="X615">
        <v>0</v>
      </c>
      <c r="Y615">
        <v>0</v>
      </c>
    </row>
    <row r="616" spans="1:25" x14ac:dyDescent="0.2">
      <c r="A616" t="s">
        <v>2299</v>
      </c>
      <c r="B616" t="s">
        <v>2300</v>
      </c>
      <c r="C616" t="s">
        <v>2301</v>
      </c>
      <c r="D616" t="s">
        <v>2302</v>
      </c>
      <c r="E616" t="s">
        <v>2300</v>
      </c>
      <c r="F616" t="s">
        <v>28</v>
      </c>
      <c r="G616" t="s">
        <v>2300</v>
      </c>
      <c r="H616" t="str">
        <f>"srr-4"</f>
        <v>srr-4</v>
      </c>
      <c r="I616" t="s">
        <v>2302</v>
      </c>
      <c r="J616">
        <v>14.074095859119801</v>
      </c>
      <c r="K616">
        <v>14.5830046016517</v>
      </c>
      <c r="L616">
        <v>14.6265958708876</v>
      </c>
      <c r="M616">
        <v>14.722566247729601</v>
      </c>
      <c r="N616">
        <v>13.3802989743337</v>
      </c>
      <c r="O616">
        <v>13.8888902807238</v>
      </c>
      <c r="P616">
        <v>-0.43064694295731698</v>
      </c>
      <c r="Q616">
        <v>-1.03452371916147</v>
      </c>
      <c r="R616">
        <v>0.17322983324684099</v>
      </c>
      <c r="S616">
        <v>14.4875962930162</v>
      </c>
      <c r="T616">
        <v>-1.49887547589142</v>
      </c>
      <c r="U616">
        <v>-5.9434616226219701</v>
      </c>
      <c r="V616">
        <v>0.15134009854151301</v>
      </c>
      <c r="W616">
        <v>0.40314006532164898</v>
      </c>
      <c r="X616">
        <v>0</v>
      </c>
      <c r="Y616">
        <v>0</v>
      </c>
    </row>
    <row r="617" spans="1:25" x14ac:dyDescent="0.2">
      <c r="A617" t="s">
        <v>2303</v>
      </c>
      <c r="B617" t="s">
        <v>2304</v>
      </c>
      <c r="C617" t="s">
        <v>2305</v>
      </c>
      <c r="D617" t="s">
        <v>2306</v>
      </c>
      <c r="E617" t="s">
        <v>2304</v>
      </c>
      <c r="F617" t="s">
        <v>28</v>
      </c>
      <c r="G617" t="s">
        <v>2304</v>
      </c>
      <c r="H617" t="str">
        <f>"acdh-2"</f>
        <v>acdh-2</v>
      </c>
      <c r="I617" t="s">
        <v>2306</v>
      </c>
      <c r="J617">
        <v>12.970053684633299</v>
      </c>
      <c r="K617">
        <v>12.4990330095214</v>
      </c>
      <c r="L617">
        <v>13.313699398316199</v>
      </c>
      <c r="M617">
        <v>12.935577196950399</v>
      </c>
      <c r="N617">
        <v>13.7033736225043</v>
      </c>
      <c r="O617">
        <v>13.343278223638</v>
      </c>
      <c r="P617">
        <v>0.39981431687395402</v>
      </c>
      <c r="Q617">
        <v>-0.161416361437417</v>
      </c>
      <c r="R617">
        <v>0.96104499518532505</v>
      </c>
      <c r="S617">
        <v>12.9539731439748</v>
      </c>
      <c r="T617">
        <v>1.51935250005907</v>
      </c>
      <c r="U617">
        <v>-5.91602422465348</v>
      </c>
      <c r="V617">
        <v>0.14961315542926701</v>
      </c>
      <c r="W617">
        <v>0.40102241166955099</v>
      </c>
      <c r="X617">
        <v>0</v>
      </c>
      <c r="Y617">
        <v>0</v>
      </c>
    </row>
    <row r="618" spans="1:25" x14ac:dyDescent="0.2">
      <c r="A618" t="s">
        <v>2307</v>
      </c>
      <c r="B618" t="s">
        <v>2308</v>
      </c>
      <c r="C618" t="s">
        <v>2309</v>
      </c>
      <c r="D618" t="s">
        <v>2310</v>
      </c>
      <c r="E618" t="s">
        <v>2308</v>
      </c>
      <c r="F618" t="s">
        <v>28</v>
      </c>
      <c r="G618" t="s">
        <v>2311</v>
      </c>
      <c r="H618" t="str">
        <f>"npl-4.1"</f>
        <v>npl-4.1</v>
      </c>
      <c r="I618" t="s">
        <v>2312</v>
      </c>
      <c r="J618" t="s">
        <v>29</v>
      </c>
      <c r="K618">
        <v>13.3691043152439</v>
      </c>
      <c r="L618" t="s">
        <v>29</v>
      </c>
      <c r="M618" t="s">
        <v>29</v>
      </c>
      <c r="N618" t="s">
        <v>29</v>
      </c>
      <c r="O618" t="s">
        <v>29</v>
      </c>
      <c r="P618" t="s">
        <v>29</v>
      </c>
      <c r="Q618" t="s">
        <v>29</v>
      </c>
      <c r="R618" t="s">
        <v>29</v>
      </c>
      <c r="S618">
        <v>11.3440176152208</v>
      </c>
      <c r="T618" t="s">
        <v>29</v>
      </c>
      <c r="U618" t="s">
        <v>29</v>
      </c>
      <c r="V618" t="s">
        <v>29</v>
      </c>
      <c r="W618" t="s">
        <v>29</v>
      </c>
      <c r="X618" t="s">
        <v>29</v>
      </c>
      <c r="Y618" t="s">
        <v>29</v>
      </c>
    </row>
    <row r="619" spans="1:25" x14ac:dyDescent="0.2">
      <c r="A619" t="s">
        <v>2313</v>
      </c>
      <c r="B619" t="s">
        <v>2314</v>
      </c>
      <c r="C619" t="s">
        <v>2315</v>
      </c>
      <c r="D619" t="s">
        <v>2316</v>
      </c>
      <c r="E619" t="s">
        <v>2314</v>
      </c>
      <c r="F619" t="s">
        <v>28</v>
      </c>
      <c r="G619" t="s">
        <v>2314</v>
      </c>
      <c r="H619" t="str">
        <f>"ndub-5"</f>
        <v>ndub-5</v>
      </c>
      <c r="I619" t="s">
        <v>2316</v>
      </c>
      <c r="J619">
        <v>12.6929496369874</v>
      </c>
      <c r="K619">
        <v>13.447327813480101</v>
      </c>
      <c r="L619">
        <v>13.0519332073064</v>
      </c>
      <c r="M619">
        <v>12.2355912379444</v>
      </c>
      <c r="N619">
        <v>12.339573826778301</v>
      </c>
      <c r="O619">
        <v>12.6140852661346</v>
      </c>
      <c r="P619">
        <v>-0.66765344230552004</v>
      </c>
      <c r="Q619">
        <v>-1.3712562964756601</v>
      </c>
      <c r="R619">
        <v>3.5949411864616101E-2</v>
      </c>
      <c r="S619">
        <v>12.8220540316544</v>
      </c>
      <c r="T619">
        <v>-2.0029657041456699</v>
      </c>
      <c r="U619">
        <v>-5.1613192397360601</v>
      </c>
      <c r="V619">
        <v>6.1493823583084903E-2</v>
      </c>
      <c r="W619">
        <v>0.25012612742419799</v>
      </c>
      <c r="X619">
        <v>0</v>
      </c>
      <c r="Y619">
        <v>0</v>
      </c>
    </row>
    <row r="620" spans="1:25" x14ac:dyDescent="0.2">
      <c r="A620" t="s">
        <v>2317</v>
      </c>
      <c r="B620" t="s">
        <v>2318</v>
      </c>
      <c r="C620" t="s">
        <v>2319</v>
      </c>
      <c r="D620" t="s">
        <v>2320</v>
      </c>
      <c r="E620" t="s">
        <v>2318</v>
      </c>
      <c r="F620" t="s">
        <v>28</v>
      </c>
      <c r="G620" t="s">
        <v>2318</v>
      </c>
      <c r="H620" t="str">
        <f>"C18B2.5"</f>
        <v>C18B2.5</v>
      </c>
      <c r="I620" t="s">
        <v>2320</v>
      </c>
      <c r="J620">
        <v>12.6999984593633</v>
      </c>
      <c r="K620">
        <v>12.5652425917134</v>
      </c>
      <c r="L620">
        <v>12.4774946288408</v>
      </c>
      <c r="M620">
        <v>12.841026014038601</v>
      </c>
      <c r="N620">
        <v>12.6750702300643</v>
      </c>
      <c r="O620">
        <v>12.747764274848601</v>
      </c>
      <c r="P620">
        <v>0.17370827967807601</v>
      </c>
      <c r="Q620">
        <v>-0.58069444144945104</v>
      </c>
      <c r="R620">
        <v>0.92811100080560305</v>
      </c>
      <c r="S620">
        <v>12.007654613025499</v>
      </c>
      <c r="T620">
        <v>0.48603471092873302</v>
      </c>
      <c r="U620">
        <v>-6.9287657182692604</v>
      </c>
      <c r="V620">
        <v>0.63318641345926596</v>
      </c>
      <c r="W620">
        <v>0.83147239281535501</v>
      </c>
      <c r="X620">
        <v>0</v>
      </c>
      <c r="Y620">
        <v>0</v>
      </c>
    </row>
    <row r="621" spans="1:25" x14ac:dyDescent="0.2">
      <c r="A621" t="s">
        <v>2321</v>
      </c>
      <c r="B621" t="s">
        <v>2322</v>
      </c>
      <c r="C621" t="s">
        <v>14287</v>
      </c>
      <c r="D621" t="s">
        <v>2323</v>
      </c>
      <c r="E621" t="s">
        <v>2322</v>
      </c>
      <c r="F621" t="s">
        <v>28</v>
      </c>
      <c r="G621" t="s">
        <v>2322</v>
      </c>
      <c r="H621" t="str">
        <f>"F25E5.8"</f>
        <v>F25E5.8</v>
      </c>
      <c r="I621" t="s">
        <v>2323</v>
      </c>
      <c r="J621" t="s">
        <v>29</v>
      </c>
      <c r="K621" t="s">
        <v>29</v>
      </c>
      <c r="L621" t="s">
        <v>29</v>
      </c>
      <c r="M621" t="s">
        <v>29</v>
      </c>
      <c r="N621" t="s">
        <v>29</v>
      </c>
      <c r="O621">
        <v>12.4951721059014</v>
      </c>
      <c r="P621" t="s">
        <v>29</v>
      </c>
      <c r="Q621" t="s">
        <v>29</v>
      </c>
      <c r="R621" t="s">
        <v>29</v>
      </c>
      <c r="S621">
        <v>11.3506322019935</v>
      </c>
      <c r="T621" t="s">
        <v>29</v>
      </c>
      <c r="U621" t="s">
        <v>29</v>
      </c>
      <c r="V621" t="s">
        <v>29</v>
      </c>
      <c r="W621" t="s">
        <v>29</v>
      </c>
      <c r="X621" t="s">
        <v>29</v>
      </c>
      <c r="Y621" t="s">
        <v>29</v>
      </c>
    </row>
    <row r="622" spans="1:25" x14ac:dyDescent="0.2">
      <c r="A622" t="s">
        <v>2324</v>
      </c>
      <c r="B622" t="s">
        <v>2325</v>
      </c>
      <c r="C622" t="s">
        <v>2326</v>
      </c>
      <c r="D622" t="s">
        <v>2327</v>
      </c>
      <c r="E622" t="s">
        <v>2325</v>
      </c>
      <c r="F622" t="s">
        <v>28</v>
      </c>
      <c r="G622" t="s">
        <v>2325</v>
      </c>
      <c r="H622" t="str">
        <f>"coel-1"</f>
        <v>coel-1</v>
      </c>
      <c r="I622" t="s">
        <v>2327</v>
      </c>
      <c r="J622">
        <v>12.7008024378291</v>
      </c>
      <c r="K622">
        <v>12.8139823967044</v>
      </c>
      <c r="L622">
        <v>12.4957051834004</v>
      </c>
      <c r="M622">
        <v>14.6852705392043</v>
      </c>
      <c r="N622">
        <v>15.2206633213989</v>
      </c>
      <c r="O622">
        <v>14.6471690319954</v>
      </c>
      <c r="P622">
        <v>2.1808709582215702</v>
      </c>
      <c r="Q622">
        <v>1.68975057052949</v>
      </c>
      <c r="R622">
        <v>2.67199134591365</v>
      </c>
      <c r="S622">
        <v>13.645953801030799</v>
      </c>
      <c r="T622">
        <v>9.3732892508409105</v>
      </c>
      <c r="U622">
        <v>8.9381597558550308</v>
      </c>
      <c r="V622" s="2">
        <v>4.1841145835649401E-8</v>
      </c>
      <c r="W622" s="2">
        <v>5.0426329092297497E-6</v>
      </c>
      <c r="X622">
        <v>1</v>
      </c>
      <c r="Y622">
        <v>1</v>
      </c>
    </row>
    <row r="623" spans="1:25" x14ac:dyDescent="0.2">
      <c r="A623" t="s">
        <v>2328</v>
      </c>
      <c r="B623" t="s">
        <v>2329</v>
      </c>
      <c r="C623" t="s">
        <v>2330</v>
      </c>
      <c r="D623" t="s">
        <v>2110</v>
      </c>
      <c r="E623" t="s">
        <v>2329</v>
      </c>
      <c r="F623" t="s">
        <v>28</v>
      </c>
      <c r="G623" t="s">
        <v>2329</v>
      </c>
      <c r="H623" t="str">
        <f>"frm-4"</f>
        <v>frm-4</v>
      </c>
      <c r="I623" t="s">
        <v>2110</v>
      </c>
      <c r="J623">
        <v>14.40201398858</v>
      </c>
      <c r="K623">
        <v>14.549888840563099</v>
      </c>
      <c r="L623">
        <v>13.893359466934999</v>
      </c>
      <c r="M623">
        <v>15.723878042989901</v>
      </c>
      <c r="N623">
        <v>15.6633028649895</v>
      </c>
      <c r="O623">
        <v>15.350046977003601</v>
      </c>
      <c r="P623">
        <v>1.29732186296837</v>
      </c>
      <c r="Q623">
        <v>0.71576379063654905</v>
      </c>
      <c r="R623">
        <v>1.8788799353001999</v>
      </c>
      <c r="S623">
        <v>14.6578710628756</v>
      </c>
      <c r="T623">
        <v>4.6886429531929803</v>
      </c>
      <c r="U623">
        <v>0.43347692756719902</v>
      </c>
      <c r="V623">
        <v>1.8564175323590901E-4</v>
      </c>
      <c r="W623">
        <v>5.1803586981221204E-3</v>
      </c>
      <c r="X623">
        <v>1</v>
      </c>
      <c r="Y623">
        <v>1</v>
      </c>
    </row>
    <row r="624" spans="1:25" x14ac:dyDescent="0.2">
      <c r="A624" t="s">
        <v>2331</v>
      </c>
      <c r="B624" t="s">
        <v>2332</v>
      </c>
      <c r="C624" t="s">
        <v>2333</v>
      </c>
      <c r="D624" t="s">
        <v>2334</v>
      </c>
      <c r="E624" t="s">
        <v>2332</v>
      </c>
      <c r="F624" t="s">
        <v>28</v>
      </c>
      <c r="G624" t="s">
        <v>2332</v>
      </c>
      <c r="H624" t="str">
        <f>"clec-266"</f>
        <v>clec-266</v>
      </c>
      <c r="I624" t="s">
        <v>2334</v>
      </c>
      <c r="J624">
        <v>13.110552609749201</v>
      </c>
      <c r="K624">
        <v>13.2048790030688</v>
      </c>
      <c r="L624">
        <v>13.0762438086433</v>
      </c>
      <c r="M624">
        <v>13.4205028552151</v>
      </c>
      <c r="N624">
        <v>13.9061150747662</v>
      </c>
      <c r="O624">
        <v>13.7495143385084</v>
      </c>
      <c r="P624">
        <v>0.56148561567614197</v>
      </c>
      <c r="Q624">
        <v>-1.2917721619841499E-2</v>
      </c>
      <c r="R624">
        <v>1.1358889529721301</v>
      </c>
      <c r="S624">
        <v>13.2091057161027</v>
      </c>
      <c r="T624">
        <v>2.0633442568087998</v>
      </c>
      <c r="U624">
        <v>-5.0578103527174596</v>
      </c>
      <c r="V624">
        <v>5.4794019431304998E-2</v>
      </c>
      <c r="W624">
        <v>0.23453146386261201</v>
      </c>
      <c r="X624">
        <v>0</v>
      </c>
      <c r="Y624">
        <v>0</v>
      </c>
    </row>
    <row r="625" spans="1:25" x14ac:dyDescent="0.2">
      <c r="A625" t="s">
        <v>2335</v>
      </c>
      <c r="B625" t="s">
        <v>2336</v>
      </c>
      <c r="C625" t="s">
        <v>2337</v>
      </c>
      <c r="D625" t="s">
        <v>2338</v>
      </c>
      <c r="E625" t="s">
        <v>2336</v>
      </c>
      <c r="F625" t="s">
        <v>28</v>
      </c>
      <c r="G625" t="s">
        <v>2336</v>
      </c>
      <c r="H625" t="str">
        <f>"hpo-10"</f>
        <v>hpo-10</v>
      </c>
      <c r="I625" t="s">
        <v>2338</v>
      </c>
      <c r="J625">
        <v>12.952414592453399</v>
      </c>
      <c r="K625">
        <v>13.132901333393599</v>
      </c>
      <c r="L625">
        <v>13.3609969155571</v>
      </c>
      <c r="M625">
        <v>13.249337756564101</v>
      </c>
      <c r="N625">
        <v>12.902763716891499</v>
      </c>
      <c r="O625">
        <v>13.3215782309896</v>
      </c>
      <c r="P625">
        <v>9.1222876803716008E-3</v>
      </c>
      <c r="Q625">
        <v>-0.471639883125204</v>
      </c>
      <c r="R625">
        <v>0.48988445848594703</v>
      </c>
      <c r="S625">
        <v>13.318735575961799</v>
      </c>
      <c r="T625">
        <v>3.9880995422020199E-2</v>
      </c>
      <c r="U625">
        <v>-7.0512529596227198</v>
      </c>
      <c r="V625">
        <v>0.968629573802118</v>
      </c>
      <c r="W625">
        <v>0.98300783325944197</v>
      </c>
      <c r="X625">
        <v>0</v>
      </c>
      <c r="Y625">
        <v>0</v>
      </c>
    </row>
    <row r="626" spans="1:25" x14ac:dyDescent="0.2">
      <c r="A626" t="s">
        <v>2339</v>
      </c>
      <c r="B626" t="s">
        <v>2340</v>
      </c>
      <c r="C626" t="s">
        <v>14288</v>
      </c>
      <c r="D626" t="s">
        <v>2341</v>
      </c>
      <c r="E626" t="s">
        <v>2340</v>
      </c>
      <c r="F626" t="s">
        <v>28</v>
      </c>
      <c r="G626" t="s">
        <v>2340</v>
      </c>
      <c r="H626" t="str">
        <f>"Y110A7A.15"</f>
        <v>Y110A7A.15</v>
      </c>
      <c r="I626" t="s">
        <v>2341</v>
      </c>
      <c r="J626">
        <v>13.496841647163899</v>
      </c>
      <c r="K626">
        <v>12.9803934625712</v>
      </c>
      <c r="L626">
        <v>13.678939549862299</v>
      </c>
      <c r="M626">
        <v>13.4522368572643</v>
      </c>
      <c r="N626">
        <v>13.644058797129601</v>
      </c>
      <c r="O626">
        <v>13.2850059669556</v>
      </c>
      <c r="P626">
        <v>7.5042320584024894E-2</v>
      </c>
      <c r="Q626">
        <v>-0.35843607375802899</v>
      </c>
      <c r="R626">
        <v>0.50852071492607898</v>
      </c>
      <c r="S626">
        <v>14.020101769002901</v>
      </c>
      <c r="T626">
        <v>0.36541705458439899</v>
      </c>
      <c r="U626">
        <v>-6.9821671806256704</v>
      </c>
      <c r="V626">
        <v>0.719334766512298</v>
      </c>
      <c r="W626">
        <v>0.87696920983197002</v>
      </c>
      <c r="X626">
        <v>0</v>
      </c>
      <c r="Y626">
        <v>0</v>
      </c>
    </row>
    <row r="627" spans="1:25" x14ac:dyDescent="0.2">
      <c r="A627" t="s">
        <v>2342</v>
      </c>
      <c r="B627" t="s">
        <v>2343</v>
      </c>
      <c r="C627" t="s">
        <v>2344</v>
      </c>
      <c r="D627" t="s">
        <v>2345</v>
      </c>
      <c r="E627" t="s">
        <v>2343</v>
      </c>
      <c r="F627" t="s">
        <v>28</v>
      </c>
      <c r="G627" t="s">
        <v>2343</v>
      </c>
      <c r="H627" t="str">
        <f>"mrpl-14"</f>
        <v>mrpl-14</v>
      </c>
      <c r="I627" t="s">
        <v>2345</v>
      </c>
      <c r="J627">
        <v>12.663672413904999</v>
      </c>
      <c r="K627">
        <v>13.541136499829999</v>
      </c>
      <c r="L627" t="s">
        <v>29</v>
      </c>
      <c r="M627" t="s">
        <v>29</v>
      </c>
      <c r="N627" t="s">
        <v>29</v>
      </c>
      <c r="O627">
        <v>12.325688069594801</v>
      </c>
      <c r="P627">
        <v>-0.77671638727269998</v>
      </c>
      <c r="Q627">
        <v>-1.6566929094813601</v>
      </c>
      <c r="R627">
        <v>0.10326013493595999</v>
      </c>
      <c r="S627">
        <v>12.384155898546799</v>
      </c>
      <c r="T627">
        <v>-2.0003025468710498</v>
      </c>
      <c r="U627">
        <v>-4.8497733960822602</v>
      </c>
      <c r="V627">
        <v>7.6889191236679297E-2</v>
      </c>
      <c r="W627">
        <v>0.285009028191476</v>
      </c>
      <c r="X627">
        <v>0</v>
      </c>
      <c r="Y627">
        <v>0</v>
      </c>
    </row>
    <row r="628" spans="1:25" x14ac:dyDescent="0.2">
      <c r="A628" t="s">
        <v>2346</v>
      </c>
      <c r="B628" t="s">
        <v>2347</v>
      </c>
      <c r="C628" t="s">
        <v>2348</v>
      </c>
      <c r="D628" t="s">
        <v>561</v>
      </c>
      <c r="E628" t="s">
        <v>2347</v>
      </c>
      <c r="F628" t="s">
        <v>28</v>
      </c>
      <c r="G628" t="s">
        <v>2347</v>
      </c>
      <c r="H628" t="str">
        <f>"skpo-3"</f>
        <v>skpo-3</v>
      </c>
      <c r="I628" t="s">
        <v>561</v>
      </c>
      <c r="J628">
        <v>15.1045297617614</v>
      </c>
      <c r="K628">
        <v>15.2516126426104</v>
      </c>
      <c r="L628">
        <v>15.671579448299299</v>
      </c>
      <c r="M628">
        <v>15.039510844013501</v>
      </c>
      <c r="N628">
        <v>14.8905661530613</v>
      </c>
      <c r="O628">
        <v>15.062153931348201</v>
      </c>
      <c r="P628">
        <v>-0.34516364141605399</v>
      </c>
      <c r="Q628">
        <v>-0.70390337188105401</v>
      </c>
      <c r="R628">
        <v>1.35760890489458E-2</v>
      </c>
      <c r="S628">
        <v>15.451466664158801</v>
      </c>
      <c r="T628">
        <v>-2.0222650571516798</v>
      </c>
      <c r="U628">
        <v>-5.1234541914710903</v>
      </c>
      <c r="V628">
        <v>5.8357564433716098E-2</v>
      </c>
      <c r="W628">
        <v>0.244651095913205</v>
      </c>
      <c r="X628">
        <v>0</v>
      </c>
      <c r="Y628">
        <v>0</v>
      </c>
    </row>
    <row r="629" spans="1:25" x14ac:dyDescent="0.2">
      <c r="A629" t="s">
        <v>2349</v>
      </c>
      <c r="B629" t="s">
        <v>2350</v>
      </c>
      <c r="C629" t="s">
        <v>2351</v>
      </c>
      <c r="D629" t="s">
        <v>130</v>
      </c>
      <c r="E629" t="s">
        <v>2350</v>
      </c>
      <c r="F629" t="s">
        <v>28</v>
      </c>
      <c r="G629" t="s">
        <v>2350</v>
      </c>
      <c r="H629" t="str">
        <f>"pqn-21"</f>
        <v>pqn-21</v>
      </c>
      <c r="I629" t="s">
        <v>130</v>
      </c>
      <c r="J629" t="s">
        <v>29</v>
      </c>
      <c r="K629">
        <v>10.161008457720801</v>
      </c>
      <c r="L629" t="s">
        <v>29</v>
      </c>
      <c r="M629" t="s">
        <v>29</v>
      </c>
      <c r="N629" t="s">
        <v>29</v>
      </c>
      <c r="O629" t="s">
        <v>29</v>
      </c>
      <c r="P629" t="s">
        <v>29</v>
      </c>
      <c r="Q629" t="s">
        <v>29</v>
      </c>
      <c r="R629" t="s">
        <v>29</v>
      </c>
      <c r="S629">
        <v>10.6706910384236</v>
      </c>
      <c r="T629" t="s">
        <v>29</v>
      </c>
      <c r="U629" t="s">
        <v>29</v>
      </c>
      <c r="V629" t="s">
        <v>29</v>
      </c>
      <c r="W629" t="s">
        <v>29</v>
      </c>
      <c r="X629" t="s">
        <v>29</v>
      </c>
      <c r="Y629" t="s">
        <v>29</v>
      </c>
    </row>
    <row r="630" spans="1:25" x14ac:dyDescent="0.2">
      <c r="A630" t="s">
        <v>2352</v>
      </c>
      <c r="B630" t="s">
        <v>2353</v>
      </c>
      <c r="C630" t="s">
        <v>2354</v>
      </c>
      <c r="D630" t="s">
        <v>2355</v>
      </c>
      <c r="E630" t="s">
        <v>2353</v>
      </c>
      <c r="F630" t="s">
        <v>28</v>
      </c>
      <c r="G630" t="s">
        <v>2353</v>
      </c>
      <c r="H630" t="str">
        <f>"C37C3.1"</f>
        <v>C37C3.1</v>
      </c>
      <c r="I630" t="s">
        <v>2355</v>
      </c>
      <c r="J630">
        <v>12.160847780781101</v>
      </c>
      <c r="K630" t="s">
        <v>29</v>
      </c>
      <c r="L630">
        <v>12.4904324122421</v>
      </c>
      <c r="M630">
        <v>11.935109285025399</v>
      </c>
      <c r="N630">
        <v>12.6916207063417</v>
      </c>
      <c r="O630">
        <v>13.0174525864504</v>
      </c>
      <c r="P630">
        <v>0.22242076276094</v>
      </c>
      <c r="Q630">
        <v>-0.40800236721673</v>
      </c>
      <c r="R630">
        <v>0.85284389273861005</v>
      </c>
      <c r="S630">
        <v>12.8701609701421</v>
      </c>
      <c r="T630">
        <v>0.75246238148274402</v>
      </c>
      <c r="U630">
        <v>-6.6476936982320698</v>
      </c>
      <c r="V630">
        <v>0.46349958031759098</v>
      </c>
      <c r="W630">
        <v>0.72841695711054799</v>
      </c>
      <c r="X630">
        <v>0</v>
      </c>
      <c r="Y630">
        <v>0</v>
      </c>
    </row>
    <row r="631" spans="1:25" x14ac:dyDescent="0.2">
      <c r="A631" t="s">
        <v>2356</v>
      </c>
      <c r="B631" t="s">
        <v>2357</v>
      </c>
      <c r="C631" t="s">
        <v>2358</v>
      </c>
      <c r="D631" t="s">
        <v>2359</v>
      </c>
      <c r="E631" t="s">
        <v>2357</v>
      </c>
      <c r="F631" t="s">
        <v>28</v>
      </c>
      <c r="G631" t="s">
        <v>2357</v>
      </c>
      <c r="H631" t="str">
        <f>"nhr-88"</f>
        <v>nhr-88</v>
      </c>
      <c r="I631" t="s">
        <v>2359</v>
      </c>
      <c r="J631">
        <v>10.377973012733699</v>
      </c>
      <c r="K631">
        <v>10.1794519847922</v>
      </c>
      <c r="L631" t="s">
        <v>29</v>
      </c>
      <c r="M631" t="s">
        <v>29</v>
      </c>
      <c r="N631">
        <v>11.2199205790902</v>
      </c>
      <c r="O631" t="s">
        <v>29</v>
      </c>
      <c r="P631">
        <v>0.941208080327259</v>
      </c>
      <c r="Q631">
        <v>4.3709229043268898E-2</v>
      </c>
      <c r="R631">
        <v>1.8387069316112501</v>
      </c>
      <c r="S631">
        <v>11.6974311126563</v>
      </c>
      <c r="T631">
        <v>2.3400149712265201</v>
      </c>
      <c r="U631">
        <v>-4.3010711277014</v>
      </c>
      <c r="V631">
        <v>4.1592892033033999E-2</v>
      </c>
      <c r="W631">
        <v>0.20200488160521299</v>
      </c>
      <c r="X631">
        <v>0</v>
      </c>
      <c r="Y631">
        <v>0</v>
      </c>
    </row>
    <row r="632" spans="1:25" x14ac:dyDescent="0.2">
      <c r="A632" t="s">
        <v>2360</v>
      </c>
      <c r="B632" t="s">
        <v>2361</v>
      </c>
      <c r="C632" t="s">
        <v>14289</v>
      </c>
      <c r="D632" t="s">
        <v>2362</v>
      </c>
      <c r="E632" t="s">
        <v>2361</v>
      </c>
      <c r="F632" t="s">
        <v>28</v>
      </c>
      <c r="G632" t="s">
        <v>2361</v>
      </c>
      <c r="H632" t="str">
        <f>"F38A5.2"</f>
        <v>F38A5.2</v>
      </c>
      <c r="I632" t="s">
        <v>2362</v>
      </c>
      <c r="J632">
        <v>13.6998140169152</v>
      </c>
      <c r="K632">
        <v>13.6951252486238</v>
      </c>
      <c r="L632">
        <v>13.6375887771138</v>
      </c>
      <c r="M632">
        <v>14.185926201360701</v>
      </c>
      <c r="N632">
        <v>13.558185988381201</v>
      </c>
      <c r="O632">
        <v>13.9631383601451</v>
      </c>
      <c r="P632">
        <v>0.22490750241139401</v>
      </c>
      <c r="Q632">
        <v>-0.30841938810070502</v>
      </c>
      <c r="R632">
        <v>0.75823439292349404</v>
      </c>
      <c r="S632">
        <v>13.760071023336801</v>
      </c>
      <c r="T632">
        <v>0.88634535775660905</v>
      </c>
      <c r="U632">
        <v>-6.6492233200639301</v>
      </c>
      <c r="V632">
        <v>0.38718793259376</v>
      </c>
      <c r="W632">
        <v>0.66245861190575805</v>
      </c>
      <c r="X632">
        <v>0</v>
      </c>
      <c r="Y632">
        <v>0</v>
      </c>
    </row>
    <row r="633" spans="1:25" x14ac:dyDescent="0.2">
      <c r="A633" t="s">
        <v>2363</v>
      </c>
      <c r="B633" t="s">
        <v>2364</v>
      </c>
      <c r="C633" t="s">
        <v>2365</v>
      </c>
      <c r="D633" t="s">
        <v>2366</v>
      </c>
      <c r="E633" t="s">
        <v>2364</v>
      </c>
      <c r="F633" t="s">
        <v>28</v>
      </c>
      <c r="G633" t="s">
        <v>2364</v>
      </c>
      <c r="H633" t="str">
        <f>"pqn-22"</f>
        <v>pqn-22</v>
      </c>
      <c r="I633" t="s">
        <v>2366</v>
      </c>
      <c r="J633">
        <v>13.8463715427072</v>
      </c>
      <c r="K633">
        <v>13.8707202066033</v>
      </c>
      <c r="L633">
        <v>15.162493003378</v>
      </c>
      <c r="M633">
        <v>15.529449693418</v>
      </c>
      <c r="N633">
        <v>13.4872464603732</v>
      </c>
      <c r="O633">
        <v>14.919817187575701</v>
      </c>
      <c r="P633">
        <v>0.35230952955947498</v>
      </c>
      <c r="Q633">
        <v>-0.93385722626548195</v>
      </c>
      <c r="R633">
        <v>1.6384762853844299</v>
      </c>
      <c r="S633">
        <v>14.739304274841301</v>
      </c>
      <c r="T633">
        <v>0.57573101217173595</v>
      </c>
      <c r="U633">
        <v>-6.8799779030008503</v>
      </c>
      <c r="V633">
        <v>0.57196679098858305</v>
      </c>
      <c r="W633">
        <v>0.79315974840590098</v>
      </c>
      <c r="X633">
        <v>0</v>
      </c>
      <c r="Y633">
        <v>0</v>
      </c>
    </row>
    <row r="634" spans="1:25" x14ac:dyDescent="0.2">
      <c r="A634" t="s">
        <v>2367</v>
      </c>
      <c r="B634" t="s">
        <v>2368</v>
      </c>
      <c r="C634" t="s">
        <v>14290</v>
      </c>
      <c r="D634" t="s">
        <v>2369</v>
      </c>
      <c r="E634" t="s">
        <v>2368</v>
      </c>
      <c r="F634" t="s">
        <v>28</v>
      </c>
      <c r="G634" t="s">
        <v>2368</v>
      </c>
      <c r="H634" t="str">
        <f>"R148.5"</f>
        <v>R148.5</v>
      </c>
      <c r="I634" t="s">
        <v>2369</v>
      </c>
      <c r="J634">
        <v>17.003464928130398</v>
      </c>
      <c r="K634">
        <v>17.148023185239602</v>
      </c>
      <c r="L634">
        <v>17.136040885563201</v>
      </c>
      <c r="M634">
        <v>17.5603177865475</v>
      </c>
      <c r="N634">
        <v>16.680468260250102</v>
      </c>
      <c r="O634">
        <v>17.271216858510801</v>
      </c>
      <c r="P634">
        <v>7.48246354583912E-2</v>
      </c>
      <c r="Q634">
        <v>-0.79476177522824898</v>
      </c>
      <c r="R634">
        <v>0.94441104614503202</v>
      </c>
      <c r="S634">
        <v>17.071155998297801</v>
      </c>
      <c r="T634">
        <v>0.18085244251882501</v>
      </c>
      <c r="U634">
        <v>-7.0349613335971402</v>
      </c>
      <c r="V634">
        <v>0.85851587750277902</v>
      </c>
      <c r="W634">
        <v>0.94424907039645001</v>
      </c>
      <c r="X634">
        <v>0</v>
      </c>
      <c r="Y634">
        <v>0</v>
      </c>
    </row>
    <row r="635" spans="1:25" x14ac:dyDescent="0.2">
      <c r="A635" t="s">
        <v>2370</v>
      </c>
      <c r="B635" t="s">
        <v>2371</v>
      </c>
      <c r="C635" t="s">
        <v>14291</v>
      </c>
      <c r="D635" t="s">
        <v>2372</v>
      </c>
      <c r="E635" t="s">
        <v>2371</v>
      </c>
      <c r="F635" t="s">
        <v>28</v>
      </c>
      <c r="G635" t="s">
        <v>2371</v>
      </c>
      <c r="H635" t="str">
        <f>"M01B12.4"</f>
        <v>M01B12.4</v>
      </c>
      <c r="I635" t="s">
        <v>2372</v>
      </c>
      <c r="J635">
        <v>12.0793676140041</v>
      </c>
      <c r="K635">
        <v>11.397912145151899</v>
      </c>
      <c r="L635">
        <v>12.9046583509969</v>
      </c>
      <c r="M635">
        <v>10.9479886774932</v>
      </c>
      <c r="N635">
        <v>11.561174352944599</v>
      </c>
      <c r="O635">
        <v>11.971431723709401</v>
      </c>
      <c r="P635">
        <v>-0.63378111866858999</v>
      </c>
      <c r="Q635">
        <v>-1.35873177466205</v>
      </c>
      <c r="R635">
        <v>9.11695373248642E-2</v>
      </c>
      <c r="S635">
        <v>12.645193911865499</v>
      </c>
      <c r="T635">
        <v>-1.8543016269919801</v>
      </c>
      <c r="U635">
        <v>-5.4112095814682499</v>
      </c>
      <c r="V635">
        <v>8.2344708129535302E-2</v>
      </c>
      <c r="W635">
        <v>0.29442344043886498</v>
      </c>
      <c r="X635">
        <v>0</v>
      </c>
      <c r="Y635">
        <v>0</v>
      </c>
    </row>
    <row r="636" spans="1:25" x14ac:dyDescent="0.2">
      <c r="A636" t="s">
        <v>2373</v>
      </c>
      <c r="B636" t="s">
        <v>2374</v>
      </c>
      <c r="C636" t="s">
        <v>14292</v>
      </c>
      <c r="D636" t="s">
        <v>297</v>
      </c>
      <c r="E636" t="s">
        <v>2374</v>
      </c>
      <c r="F636" t="s">
        <v>28</v>
      </c>
      <c r="G636" t="s">
        <v>2374</v>
      </c>
      <c r="H636" t="str">
        <f>"R07E4.1"</f>
        <v>R07E4.1</v>
      </c>
      <c r="I636" t="s">
        <v>297</v>
      </c>
      <c r="J636">
        <v>11.9125864395116</v>
      </c>
      <c r="K636">
        <v>11.5822206911353</v>
      </c>
      <c r="L636">
        <v>11.613815743872101</v>
      </c>
      <c r="M636">
        <v>12.9469936672348</v>
      </c>
      <c r="N636">
        <v>12.1110514885761</v>
      </c>
      <c r="O636">
        <v>11.735356898875001</v>
      </c>
      <c r="P636">
        <v>0.56159306005559495</v>
      </c>
      <c r="Q636">
        <v>-3.7799128120628001E-3</v>
      </c>
      <c r="R636">
        <v>1.12696603292325</v>
      </c>
      <c r="S636">
        <v>12.1789813760281</v>
      </c>
      <c r="T636">
        <v>2.1184991522776602</v>
      </c>
      <c r="U636">
        <v>-4.97649654855688</v>
      </c>
      <c r="V636">
        <v>5.1362461228633201E-2</v>
      </c>
      <c r="W636">
        <v>0.22434019978251299</v>
      </c>
      <c r="X636">
        <v>0</v>
      </c>
      <c r="Y636">
        <v>0</v>
      </c>
    </row>
    <row r="637" spans="1:25" x14ac:dyDescent="0.2">
      <c r="A637" t="s">
        <v>2375</v>
      </c>
      <c r="B637" t="s">
        <v>2376</v>
      </c>
      <c r="C637" t="s">
        <v>2377</v>
      </c>
      <c r="D637" t="s">
        <v>2378</v>
      </c>
      <c r="E637" t="s">
        <v>2376</v>
      </c>
      <c r="F637" t="s">
        <v>28</v>
      </c>
      <c r="G637" t="s">
        <v>2376</v>
      </c>
      <c r="H637" t="str">
        <f>"kcc-2"</f>
        <v>kcc-2</v>
      </c>
      <c r="I637" t="s">
        <v>2378</v>
      </c>
      <c r="J637">
        <v>13.750620947115999</v>
      </c>
      <c r="K637">
        <v>12.690656023196899</v>
      </c>
      <c r="L637">
        <v>12.3835710551138</v>
      </c>
      <c r="M637">
        <v>13.147820454533001</v>
      </c>
      <c r="N637">
        <v>12.694664616457599</v>
      </c>
      <c r="O637">
        <v>12.992860511299201</v>
      </c>
      <c r="P637">
        <v>3.4991856210151401E-3</v>
      </c>
      <c r="Q637">
        <v>-0.59557425186396395</v>
      </c>
      <c r="R637">
        <v>0.60257262310599402</v>
      </c>
      <c r="S637">
        <v>12.612520940143201</v>
      </c>
      <c r="T637">
        <v>1.23890055414527E-2</v>
      </c>
      <c r="U637">
        <v>-7.0520054699277299</v>
      </c>
      <c r="V637">
        <v>0.99026942430301501</v>
      </c>
      <c r="W637">
        <v>0.99510617901071896</v>
      </c>
      <c r="X637">
        <v>0</v>
      </c>
      <c r="Y637">
        <v>0</v>
      </c>
    </row>
    <row r="638" spans="1:25" x14ac:dyDescent="0.2">
      <c r="A638" t="s">
        <v>2379</v>
      </c>
      <c r="B638" t="s">
        <v>2380</v>
      </c>
      <c r="C638" t="s">
        <v>2381</v>
      </c>
      <c r="D638" t="s">
        <v>2382</v>
      </c>
      <c r="E638" t="s">
        <v>2380</v>
      </c>
      <c r="F638" t="s">
        <v>28</v>
      </c>
      <c r="G638" t="s">
        <v>2380</v>
      </c>
      <c r="H638" t="str">
        <f>"plpp-1.1"</f>
        <v>plpp-1.1</v>
      </c>
      <c r="I638" t="s">
        <v>2382</v>
      </c>
      <c r="J638" t="s">
        <v>29</v>
      </c>
      <c r="K638" t="s">
        <v>29</v>
      </c>
      <c r="L638" t="s">
        <v>29</v>
      </c>
      <c r="M638" t="s">
        <v>29</v>
      </c>
      <c r="N638" t="s">
        <v>29</v>
      </c>
      <c r="O638" t="s">
        <v>29</v>
      </c>
      <c r="P638" t="s">
        <v>29</v>
      </c>
      <c r="Q638" t="s">
        <v>29</v>
      </c>
      <c r="R638" t="s">
        <v>29</v>
      </c>
      <c r="S638">
        <v>11.681794544416499</v>
      </c>
      <c r="T638" t="s">
        <v>29</v>
      </c>
      <c r="U638" t="s">
        <v>29</v>
      </c>
      <c r="V638" t="s">
        <v>29</v>
      </c>
      <c r="W638" t="s">
        <v>29</v>
      </c>
      <c r="X638" t="s">
        <v>29</v>
      </c>
      <c r="Y638" t="s">
        <v>29</v>
      </c>
    </row>
    <row r="639" spans="1:25" x14ac:dyDescent="0.2">
      <c r="A639" t="s">
        <v>2383</v>
      </c>
      <c r="B639" t="s">
        <v>2384</v>
      </c>
      <c r="C639" t="s">
        <v>2385</v>
      </c>
      <c r="D639" t="s">
        <v>150</v>
      </c>
      <c r="E639" t="s">
        <v>2384</v>
      </c>
      <c r="F639" t="s">
        <v>28</v>
      </c>
      <c r="G639" t="s">
        <v>2384</v>
      </c>
      <c r="H639" t="str">
        <f>"csr-1"</f>
        <v>csr-1</v>
      </c>
      <c r="I639" t="s">
        <v>150</v>
      </c>
      <c r="J639">
        <v>17.6784076849037</v>
      </c>
      <c r="K639">
        <v>17.464885720919</v>
      </c>
      <c r="L639">
        <v>17.8221530689191</v>
      </c>
      <c r="M639">
        <v>17.135556529175201</v>
      </c>
      <c r="N639">
        <v>17.809076511686001</v>
      </c>
      <c r="O639">
        <v>17.03971623284</v>
      </c>
      <c r="P639">
        <v>-0.32703240034682302</v>
      </c>
      <c r="Q639">
        <v>-0.77251199254034397</v>
      </c>
      <c r="R639">
        <v>0.118447191846698</v>
      </c>
      <c r="S639">
        <v>17.647364259189398</v>
      </c>
      <c r="T639">
        <v>-1.5429628928950601</v>
      </c>
      <c r="U639">
        <v>-5.8812862717627903</v>
      </c>
      <c r="V639">
        <v>0.14033870183891101</v>
      </c>
      <c r="W639">
        <v>0.38677888604987698</v>
      </c>
      <c r="X639">
        <v>0</v>
      </c>
      <c r="Y639">
        <v>0</v>
      </c>
    </row>
    <row r="640" spans="1:25" x14ac:dyDescent="0.2">
      <c r="A640" t="s">
        <v>2386</v>
      </c>
      <c r="B640" t="s">
        <v>2387</v>
      </c>
      <c r="C640" t="s">
        <v>14293</v>
      </c>
      <c r="D640" t="s">
        <v>2388</v>
      </c>
      <c r="E640" t="s">
        <v>2387</v>
      </c>
      <c r="F640" t="s">
        <v>28</v>
      </c>
      <c r="G640" t="s">
        <v>2387</v>
      </c>
      <c r="H640" t="str">
        <f>"F19F10.11"</f>
        <v>F19F10.11</v>
      </c>
      <c r="I640" t="s">
        <v>2388</v>
      </c>
      <c r="J640" t="s">
        <v>29</v>
      </c>
      <c r="K640" t="s">
        <v>29</v>
      </c>
      <c r="L640" t="s">
        <v>29</v>
      </c>
      <c r="M640" t="s">
        <v>29</v>
      </c>
      <c r="N640" t="s">
        <v>29</v>
      </c>
      <c r="O640" t="s">
        <v>29</v>
      </c>
      <c r="P640" t="s">
        <v>29</v>
      </c>
      <c r="Q640" t="s">
        <v>29</v>
      </c>
      <c r="R640" t="s">
        <v>29</v>
      </c>
      <c r="S640">
        <v>10.7326641226355</v>
      </c>
      <c r="T640" t="s">
        <v>29</v>
      </c>
      <c r="U640" t="s">
        <v>29</v>
      </c>
      <c r="V640" t="s">
        <v>29</v>
      </c>
      <c r="W640" t="s">
        <v>29</v>
      </c>
      <c r="X640" t="s">
        <v>29</v>
      </c>
      <c r="Y640" t="s">
        <v>29</v>
      </c>
    </row>
    <row r="641" spans="1:25" x14ac:dyDescent="0.2">
      <c r="A641" t="s">
        <v>2389</v>
      </c>
      <c r="B641" t="s">
        <v>2390</v>
      </c>
      <c r="C641" t="s">
        <v>2391</v>
      </c>
      <c r="D641" t="s">
        <v>2392</v>
      </c>
      <c r="E641" t="s">
        <v>2390</v>
      </c>
      <c r="F641" t="s">
        <v>28</v>
      </c>
      <c r="G641" t="s">
        <v>2390</v>
      </c>
      <c r="H641" t="str">
        <f>"madf-6"</f>
        <v>madf-6</v>
      </c>
      <c r="I641" t="s">
        <v>2392</v>
      </c>
      <c r="J641" t="s">
        <v>29</v>
      </c>
      <c r="K641" t="s">
        <v>29</v>
      </c>
      <c r="L641" t="s">
        <v>29</v>
      </c>
      <c r="M641" t="s">
        <v>29</v>
      </c>
      <c r="N641" t="s">
        <v>29</v>
      </c>
      <c r="O641" t="s">
        <v>29</v>
      </c>
      <c r="P641" t="s">
        <v>29</v>
      </c>
      <c r="Q641" t="s">
        <v>29</v>
      </c>
      <c r="R641" t="s">
        <v>29</v>
      </c>
      <c r="S641">
        <v>12.2000577624886</v>
      </c>
      <c r="T641" t="s">
        <v>29</v>
      </c>
      <c r="U641" t="s">
        <v>29</v>
      </c>
      <c r="V641" t="s">
        <v>29</v>
      </c>
      <c r="W641" t="s">
        <v>29</v>
      </c>
      <c r="X641" t="s">
        <v>29</v>
      </c>
      <c r="Y641" t="s">
        <v>29</v>
      </c>
    </row>
    <row r="642" spans="1:25" x14ac:dyDescent="0.2">
      <c r="A642" t="s">
        <v>2393</v>
      </c>
      <c r="B642" t="s">
        <v>2394</v>
      </c>
      <c r="C642" t="s">
        <v>2395</v>
      </c>
      <c r="D642" t="s">
        <v>2306</v>
      </c>
      <c r="E642" t="s">
        <v>2394</v>
      </c>
      <c r="F642" t="s">
        <v>28</v>
      </c>
      <c r="G642" t="s">
        <v>2394</v>
      </c>
      <c r="H642" t="str">
        <f>"acdh-1"</f>
        <v>acdh-1</v>
      </c>
      <c r="I642" t="s">
        <v>2306</v>
      </c>
      <c r="J642">
        <v>16.179015709146299</v>
      </c>
      <c r="K642">
        <v>15.5957201924254</v>
      </c>
      <c r="L642">
        <v>16.0729971298423</v>
      </c>
      <c r="M642">
        <v>15.122982960423601</v>
      </c>
      <c r="N642">
        <v>15.2241206025537</v>
      </c>
      <c r="O642">
        <v>15.211302483926699</v>
      </c>
      <c r="P642">
        <v>-0.76310899483667605</v>
      </c>
      <c r="Q642">
        <v>-1.14819490677214</v>
      </c>
      <c r="R642">
        <v>-0.378023082901213</v>
      </c>
      <c r="S642">
        <v>15.5845283237785</v>
      </c>
      <c r="T642">
        <v>-4.1650618525950804</v>
      </c>
      <c r="U642">
        <v>-0.71616767616230004</v>
      </c>
      <c r="V642">
        <v>5.8814574790763598E-4</v>
      </c>
      <c r="W642">
        <v>1.23472662173642E-2</v>
      </c>
      <c r="X642">
        <v>0</v>
      </c>
      <c r="Y642">
        <v>0</v>
      </c>
    </row>
    <row r="643" spans="1:25" x14ac:dyDescent="0.2">
      <c r="A643" t="s">
        <v>2396</v>
      </c>
      <c r="B643" t="s">
        <v>2397</v>
      </c>
      <c r="C643" t="s">
        <v>14294</v>
      </c>
      <c r="D643" t="s">
        <v>2398</v>
      </c>
      <c r="E643" t="s">
        <v>2397</v>
      </c>
      <c r="F643" t="s">
        <v>28</v>
      </c>
      <c r="G643" t="s">
        <v>2397</v>
      </c>
      <c r="H643" t="str">
        <f>"Y37E11AL.3"</f>
        <v>Y37E11AL.3</v>
      </c>
      <c r="I643" t="s">
        <v>2398</v>
      </c>
      <c r="J643" t="s">
        <v>29</v>
      </c>
      <c r="K643" t="s">
        <v>29</v>
      </c>
      <c r="L643" t="s">
        <v>29</v>
      </c>
      <c r="M643">
        <v>12.115010945077</v>
      </c>
      <c r="N643">
        <v>12.222692550319699</v>
      </c>
      <c r="O643" t="s">
        <v>29</v>
      </c>
      <c r="P643" t="s">
        <v>29</v>
      </c>
      <c r="Q643" t="s">
        <v>29</v>
      </c>
      <c r="R643" t="s">
        <v>29</v>
      </c>
      <c r="S643">
        <v>12.8756393172266</v>
      </c>
      <c r="T643" t="s">
        <v>29</v>
      </c>
      <c r="U643" t="s">
        <v>29</v>
      </c>
      <c r="V643" t="s">
        <v>29</v>
      </c>
      <c r="W643" t="s">
        <v>29</v>
      </c>
      <c r="X643" t="s">
        <v>29</v>
      </c>
      <c r="Y643" t="s">
        <v>29</v>
      </c>
    </row>
    <row r="644" spans="1:25" x14ac:dyDescent="0.2">
      <c r="A644" t="s">
        <v>2399</v>
      </c>
      <c r="B644" t="s">
        <v>2400</v>
      </c>
      <c r="C644" t="s">
        <v>2401</v>
      </c>
      <c r="D644" t="s">
        <v>2402</v>
      </c>
      <c r="E644" t="s">
        <v>2400</v>
      </c>
      <c r="F644" t="s">
        <v>28</v>
      </c>
      <c r="G644" t="s">
        <v>2400</v>
      </c>
      <c r="H644" t="str">
        <f>"aka-1"</f>
        <v>aka-1</v>
      </c>
      <c r="I644" t="s">
        <v>2402</v>
      </c>
      <c r="J644" t="s">
        <v>29</v>
      </c>
      <c r="K644" t="s">
        <v>29</v>
      </c>
      <c r="L644" t="s">
        <v>29</v>
      </c>
      <c r="M644" t="s">
        <v>29</v>
      </c>
      <c r="N644">
        <v>12.190772886164799</v>
      </c>
      <c r="O644" t="s">
        <v>29</v>
      </c>
      <c r="P644" t="s">
        <v>29</v>
      </c>
      <c r="Q644" t="s">
        <v>29</v>
      </c>
      <c r="R644" t="s">
        <v>29</v>
      </c>
      <c r="S644">
        <v>11.6258380126246</v>
      </c>
      <c r="T644" t="s">
        <v>29</v>
      </c>
      <c r="U644" t="s">
        <v>29</v>
      </c>
      <c r="V644" t="s">
        <v>29</v>
      </c>
      <c r="W644" t="s">
        <v>29</v>
      </c>
      <c r="X644" t="s">
        <v>29</v>
      </c>
      <c r="Y644" t="s">
        <v>29</v>
      </c>
    </row>
    <row r="645" spans="1:25" x14ac:dyDescent="0.2">
      <c r="A645" t="s">
        <v>2403</v>
      </c>
      <c r="B645" t="s">
        <v>2404</v>
      </c>
      <c r="C645" t="s">
        <v>2405</v>
      </c>
      <c r="D645" t="s">
        <v>2406</v>
      </c>
      <c r="E645" t="s">
        <v>2404</v>
      </c>
      <c r="F645" t="s">
        <v>28</v>
      </c>
      <c r="G645" t="s">
        <v>2404</v>
      </c>
      <c r="H645" t="str">
        <f>"glrx-3"</f>
        <v>glrx-3</v>
      </c>
      <c r="I645" t="s">
        <v>2406</v>
      </c>
      <c r="J645">
        <v>12.0296120961442</v>
      </c>
      <c r="K645">
        <v>12.1830109353611</v>
      </c>
      <c r="L645">
        <v>12.694364522816199</v>
      </c>
      <c r="M645">
        <v>12.6193926330983</v>
      </c>
      <c r="N645">
        <v>13.0466291884462</v>
      </c>
      <c r="O645">
        <v>13.486061870468101</v>
      </c>
      <c r="P645">
        <v>0.74836537923043001</v>
      </c>
      <c r="Q645">
        <v>-0.128490466946967</v>
      </c>
      <c r="R645">
        <v>1.62522122540783</v>
      </c>
      <c r="S645">
        <v>12.9772138926796</v>
      </c>
      <c r="T645">
        <v>1.79381643749763</v>
      </c>
      <c r="U645">
        <v>-5.5023422644108404</v>
      </c>
      <c r="V645">
        <v>8.9757884686923695E-2</v>
      </c>
      <c r="W645">
        <v>0.30708241090792199</v>
      </c>
      <c r="X645">
        <v>0</v>
      </c>
      <c r="Y645">
        <v>0</v>
      </c>
    </row>
    <row r="646" spans="1:25" x14ac:dyDescent="0.2">
      <c r="A646" t="s">
        <v>2407</v>
      </c>
      <c r="B646" t="s">
        <v>2408</v>
      </c>
      <c r="C646" t="s">
        <v>2409</v>
      </c>
      <c r="D646" t="s">
        <v>2410</v>
      </c>
      <c r="E646" t="s">
        <v>2408</v>
      </c>
      <c r="F646" t="s">
        <v>28</v>
      </c>
      <c r="G646" t="s">
        <v>2408</v>
      </c>
      <c r="H646" t="str">
        <f>"praf-3"</f>
        <v>praf-3</v>
      </c>
      <c r="I646" t="s">
        <v>2410</v>
      </c>
      <c r="J646">
        <v>12.746779587862701</v>
      </c>
      <c r="K646">
        <v>13.360903555293101</v>
      </c>
      <c r="L646">
        <v>13.446971683676599</v>
      </c>
      <c r="M646" t="s">
        <v>29</v>
      </c>
      <c r="N646">
        <v>13.140440922471299</v>
      </c>
      <c r="O646" t="s">
        <v>29</v>
      </c>
      <c r="P646">
        <v>-4.4444019806167703E-2</v>
      </c>
      <c r="Q646">
        <v>-1.0999216209898799</v>
      </c>
      <c r="R646">
        <v>1.01103358137754</v>
      </c>
      <c r="S646">
        <v>13.764000304546199</v>
      </c>
      <c r="T646">
        <v>-8.9806116584911305E-2</v>
      </c>
      <c r="U646">
        <v>-6.7049318152245503</v>
      </c>
      <c r="V646">
        <v>0.92963775583993202</v>
      </c>
      <c r="W646">
        <v>0.97388235134585399</v>
      </c>
      <c r="X646">
        <v>0</v>
      </c>
      <c r="Y646">
        <v>0</v>
      </c>
    </row>
    <row r="647" spans="1:25" x14ac:dyDescent="0.2">
      <c r="A647" t="s">
        <v>2411</v>
      </c>
      <c r="B647" t="s">
        <v>2412</v>
      </c>
      <c r="C647" t="s">
        <v>2413</v>
      </c>
      <c r="D647" t="s">
        <v>2414</v>
      </c>
      <c r="E647" t="s">
        <v>2412</v>
      </c>
      <c r="F647" t="s">
        <v>28</v>
      </c>
      <c r="G647" t="s">
        <v>2412</v>
      </c>
      <c r="H647" t="str">
        <f>"F36D4.5"</f>
        <v>F36D4.5</v>
      </c>
      <c r="I647" t="s">
        <v>2414</v>
      </c>
      <c r="J647">
        <v>13.207752590998901</v>
      </c>
      <c r="K647">
        <v>12.205401016481</v>
      </c>
      <c r="L647">
        <v>12.1332466650207</v>
      </c>
      <c r="M647">
        <v>11.7366367012665</v>
      </c>
      <c r="N647">
        <v>11.6167530604675</v>
      </c>
      <c r="O647">
        <v>11.6473406752486</v>
      </c>
      <c r="P647">
        <v>-0.84855661183930298</v>
      </c>
      <c r="Q647">
        <v>-1.49786145790648</v>
      </c>
      <c r="R647">
        <v>-0.199251765772129</v>
      </c>
      <c r="S647">
        <v>12.3247540369277</v>
      </c>
      <c r="T647">
        <v>-2.7719264805617199</v>
      </c>
      <c r="U647">
        <v>-3.75088319587445</v>
      </c>
      <c r="V647">
        <v>1.3668829821403401E-2</v>
      </c>
      <c r="W647">
        <v>0.10828471842818201</v>
      </c>
      <c r="X647">
        <v>0</v>
      </c>
      <c r="Y647">
        <v>0</v>
      </c>
    </row>
    <row r="648" spans="1:25" x14ac:dyDescent="0.2">
      <c r="A648" t="s">
        <v>2415</v>
      </c>
      <c r="B648" t="s">
        <v>2416</v>
      </c>
      <c r="C648" t="s">
        <v>14295</v>
      </c>
      <c r="D648" t="s">
        <v>2417</v>
      </c>
      <c r="E648" t="s">
        <v>2416</v>
      </c>
      <c r="F648" t="s">
        <v>28</v>
      </c>
      <c r="G648" t="s">
        <v>2416</v>
      </c>
      <c r="H648" t="str">
        <f>"E02H9.3"</f>
        <v>E02H9.3</v>
      </c>
      <c r="I648" t="s">
        <v>2417</v>
      </c>
      <c r="J648">
        <v>13.722243961849999</v>
      </c>
      <c r="K648">
        <v>13.7176065428455</v>
      </c>
      <c r="L648">
        <v>13.7682481237151</v>
      </c>
      <c r="M648">
        <v>13.677629572261701</v>
      </c>
      <c r="N648">
        <v>13.066892244046601</v>
      </c>
      <c r="O648">
        <v>12.801042888790001</v>
      </c>
      <c r="P648">
        <v>-0.55417797443741701</v>
      </c>
      <c r="Q648">
        <v>-1.0383289838830501</v>
      </c>
      <c r="R648">
        <v>-7.0026964991788995E-2</v>
      </c>
      <c r="S648">
        <v>13.365810743139299</v>
      </c>
      <c r="T648">
        <v>-2.4278281859555801</v>
      </c>
      <c r="U648">
        <v>-4.41057592185589</v>
      </c>
      <c r="V648">
        <v>2.7446089135270801E-2</v>
      </c>
      <c r="W648">
        <v>0.16238104372031101</v>
      </c>
      <c r="X648">
        <v>0</v>
      </c>
      <c r="Y648">
        <v>0</v>
      </c>
    </row>
    <row r="649" spans="1:25" x14ac:dyDescent="0.2">
      <c r="A649" t="s">
        <v>2418</v>
      </c>
      <c r="B649" t="s">
        <v>2419</v>
      </c>
      <c r="C649" t="s">
        <v>14296</v>
      </c>
      <c r="D649" t="s">
        <v>2420</v>
      </c>
      <c r="E649" t="s">
        <v>2419</v>
      </c>
      <c r="F649" t="s">
        <v>28</v>
      </c>
      <c r="G649" t="s">
        <v>2419</v>
      </c>
      <c r="H649" t="str">
        <f>"Y54F10AL.1"</f>
        <v>Y54F10AL.1</v>
      </c>
      <c r="I649" t="s">
        <v>2420</v>
      </c>
      <c r="J649">
        <v>14.1593526426749</v>
      </c>
      <c r="K649">
        <v>14.386212004603999</v>
      </c>
      <c r="L649">
        <v>14.1694870420196</v>
      </c>
      <c r="M649">
        <v>14.1685553951021</v>
      </c>
      <c r="N649">
        <v>13.9450013621064</v>
      </c>
      <c r="O649">
        <v>13.7796187680574</v>
      </c>
      <c r="P649">
        <v>-0.27395872134419003</v>
      </c>
      <c r="Q649">
        <v>-0.66841271469223396</v>
      </c>
      <c r="R649">
        <v>0.120495272003853</v>
      </c>
      <c r="S649">
        <v>13.7642456015422</v>
      </c>
      <c r="T649">
        <v>-1.46601625791274</v>
      </c>
      <c r="U649">
        <v>-5.98902203070348</v>
      </c>
      <c r="V649">
        <v>0.16100854171735601</v>
      </c>
      <c r="W649">
        <v>0.41380823509628401</v>
      </c>
      <c r="X649">
        <v>0</v>
      </c>
      <c r="Y649">
        <v>0</v>
      </c>
    </row>
    <row r="650" spans="1:25" x14ac:dyDescent="0.2">
      <c r="A650" t="s">
        <v>2421</v>
      </c>
      <c r="B650" t="s">
        <v>2422</v>
      </c>
      <c r="C650" t="s">
        <v>2423</v>
      </c>
      <c r="D650" t="s">
        <v>1344</v>
      </c>
      <c r="E650" t="s">
        <v>2422</v>
      </c>
      <c r="F650" t="s">
        <v>28</v>
      </c>
      <c r="G650" t="s">
        <v>2422</v>
      </c>
      <c r="H650" t="str">
        <f>"yars-2"</f>
        <v>yars-2</v>
      </c>
      <c r="I650" t="s">
        <v>1344</v>
      </c>
      <c r="J650">
        <v>13.807304388417201</v>
      </c>
      <c r="K650">
        <v>13.896796742341101</v>
      </c>
      <c r="L650">
        <v>13.806754828145399</v>
      </c>
      <c r="M650">
        <v>13.672889627759099</v>
      </c>
      <c r="N650">
        <v>13.9053027527971</v>
      </c>
      <c r="O650">
        <v>13.080603207572199</v>
      </c>
      <c r="P650">
        <v>-0.284020123591745</v>
      </c>
      <c r="Q650">
        <v>-0.97415816831721502</v>
      </c>
      <c r="R650">
        <v>0.40611792113372602</v>
      </c>
      <c r="S650">
        <v>13.476486558278401</v>
      </c>
      <c r="T650">
        <v>-0.86868666763023505</v>
      </c>
      <c r="U650">
        <v>-6.66404782385316</v>
      </c>
      <c r="V650">
        <v>0.39719114738822497</v>
      </c>
      <c r="W650">
        <v>0.67168360383171599</v>
      </c>
      <c r="X650">
        <v>0</v>
      </c>
      <c r="Y650">
        <v>0</v>
      </c>
    </row>
    <row r="651" spans="1:25" x14ac:dyDescent="0.2">
      <c r="A651" t="s">
        <v>2424</v>
      </c>
      <c r="B651" t="s">
        <v>2425</v>
      </c>
      <c r="C651" t="s">
        <v>14297</v>
      </c>
      <c r="D651" t="s">
        <v>66</v>
      </c>
      <c r="E651" t="s">
        <v>2425</v>
      </c>
      <c r="F651" t="s">
        <v>28</v>
      </c>
      <c r="G651" t="s">
        <v>2425</v>
      </c>
      <c r="H651" t="str">
        <f>"F11D5.1"</f>
        <v>F11D5.1</v>
      </c>
      <c r="I651" t="s">
        <v>66</v>
      </c>
      <c r="J651">
        <v>12.3578200382712</v>
      </c>
      <c r="K651">
        <v>13.3354726010643</v>
      </c>
      <c r="L651">
        <v>12.4156167177243</v>
      </c>
      <c r="M651" t="s">
        <v>29</v>
      </c>
      <c r="N651">
        <v>12.321368415352699</v>
      </c>
      <c r="O651">
        <v>11.003542427652899</v>
      </c>
      <c r="P651">
        <v>-1.0405143641838499</v>
      </c>
      <c r="Q651">
        <v>-2.2051212906560398</v>
      </c>
      <c r="R651">
        <v>0.12409256228834099</v>
      </c>
      <c r="S651">
        <v>11.973523081458</v>
      </c>
      <c r="T651">
        <v>-1.93177239482153</v>
      </c>
      <c r="U651">
        <v>-5.1939629709006798</v>
      </c>
      <c r="V651">
        <v>7.5661816827080702E-2</v>
      </c>
      <c r="W651">
        <v>0.28172435448719801</v>
      </c>
      <c r="X651">
        <v>0</v>
      </c>
      <c r="Y651">
        <v>0</v>
      </c>
    </row>
    <row r="652" spans="1:25" x14ac:dyDescent="0.2">
      <c r="A652" t="s">
        <v>2426</v>
      </c>
      <c r="B652" t="s">
        <v>2427</v>
      </c>
      <c r="C652" t="s">
        <v>2428</v>
      </c>
      <c r="D652" t="s">
        <v>107</v>
      </c>
      <c r="E652" t="s">
        <v>2427</v>
      </c>
      <c r="F652" t="s">
        <v>28</v>
      </c>
      <c r="G652" t="s">
        <v>2427</v>
      </c>
      <c r="H652" t="str">
        <f>"slc-17.6"</f>
        <v>slc-17.6</v>
      </c>
      <c r="I652" t="s">
        <v>107</v>
      </c>
      <c r="J652">
        <v>12.859501878098101</v>
      </c>
      <c r="K652">
        <v>13.152811979058599</v>
      </c>
      <c r="L652">
        <v>13.2815187333126</v>
      </c>
      <c r="M652">
        <v>12.8396278092914</v>
      </c>
      <c r="N652">
        <v>13.9806903802041</v>
      </c>
      <c r="O652">
        <v>12.899660455852199</v>
      </c>
      <c r="P652">
        <v>0.14204868495945699</v>
      </c>
      <c r="Q652">
        <v>-0.58315683637080795</v>
      </c>
      <c r="R652">
        <v>0.86725420628972205</v>
      </c>
      <c r="S652">
        <v>13.2234073420848</v>
      </c>
      <c r="T652">
        <v>0.41545658353487902</v>
      </c>
      <c r="U652">
        <v>-6.9615229543140202</v>
      </c>
      <c r="V652">
        <v>0.68336198095566802</v>
      </c>
      <c r="W652">
        <v>0.85743265042369798</v>
      </c>
      <c r="X652">
        <v>0</v>
      </c>
      <c r="Y652">
        <v>0</v>
      </c>
    </row>
    <row r="653" spans="1:25" x14ac:dyDescent="0.2">
      <c r="A653" t="s">
        <v>2429</v>
      </c>
      <c r="B653" t="s">
        <v>2430</v>
      </c>
      <c r="C653" t="s">
        <v>2431</v>
      </c>
      <c r="D653" t="s">
        <v>2432</v>
      </c>
      <c r="E653" t="s">
        <v>2430</v>
      </c>
      <c r="F653" t="s">
        <v>28</v>
      </c>
      <c r="G653" t="s">
        <v>2430</v>
      </c>
      <c r="H653" t="str">
        <f>"exp-2"</f>
        <v>exp-2</v>
      </c>
      <c r="I653" t="s">
        <v>2432</v>
      </c>
      <c r="J653">
        <v>12.269775079350101</v>
      </c>
      <c r="K653" t="s">
        <v>29</v>
      </c>
      <c r="L653" t="s">
        <v>29</v>
      </c>
      <c r="M653" t="s">
        <v>29</v>
      </c>
      <c r="N653">
        <v>12.345923573695099</v>
      </c>
      <c r="O653">
        <v>12.4097185743637</v>
      </c>
      <c r="P653">
        <v>0.10804599467931</v>
      </c>
      <c r="Q653">
        <v>-1.85817434352661</v>
      </c>
      <c r="R653">
        <v>2.0742663328852302</v>
      </c>
      <c r="S653">
        <v>12.0310167491714</v>
      </c>
      <c r="T653">
        <v>0.12108885742070399</v>
      </c>
      <c r="U653">
        <v>-6.6433223908895602</v>
      </c>
      <c r="V653">
        <v>0.90582498776803</v>
      </c>
      <c r="W653">
        <v>0.96798538961646996</v>
      </c>
      <c r="X653">
        <v>0</v>
      </c>
      <c r="Y653">
        <v>0</v>
      </c>
    </row>
    <row r="654" spans="1:25" x14ac:dyDescent="0.2">
      <c r="A654" t="s">
        <v>2433</v>
      </c>
      <c r="B654" t="s">
        <v>2434</v>
      </c>
      <c r="C654" t="s">
        <v>2435</v>
      </c>
      <c r="D654" t="s">
        <v>2436</v>
      </c>
      <c r="E654" t="s">
        <v>2434</v>
      </c>
      <c r="F654" t="s">
        <v>28</v>
      </c>
      <c r="G654" t="s">
        <v>2434</v>
      </c>
      <c r="H654" t="str">
        <f>"sec-16a.2"</f>
        <v>sec-16a.2</v>
      </c>
      <c r="I654" t="s">
        <v>2436</v>
      </c>
      <c r="J654" t="s">
        <v>29</v>
      </c>
      <c r="K654">
        <v>11.8342395200886</v>
      </c>
      <c r="L654">
        <v>12.030851137415601</v>
      </c>
      <c r="M654">
        <v>11.9769715955705</v>
      </c>
      <c r="N654">
        <v>12.618235795345299</v>
      </c>
      <c r="O654">
        <v>12.418812595097499</v>
      </c>
      <c r="P654">
        <v>0.40546133325231198</v>
      </c>
      <c r="Q654">
        <v>-9.9368030601036703E-2</v>
      </c>
      <c r="R654">
        <v>0.91029069710566002</v>
      </c>
      <c r="S654">
        <v>12.526990266239</v>
      </c>
      <c r="T654">
        <v>1.71295692406699</v>
      </c>
      <c r="U654">
        <v>-5.5266985203812302</v>
      </c>
      <c r="V654">
        <v>0.10745127383097999</v>
      </c>
      <c r="W654">
        <v>0.33831349181262699</v>
      </c>
      <c r="X654">
        <v>0</v>
      </c>
      <c r="Y654">
        <v>0</v>
      </c>
    </row>
    <row r="655" spans="1:25" x14ac:dyDescent="0.2">
      <c r="A655" t="s">
        <v>2437</v>
      </c>
      <c r="B655" t="s">
        <v>2438</v>
      </c>
      <c r="C655" t="s">
        <v>14298</v>
      </c>
      <c r="D655" t="s">
        <v>2439</v>
      </c>
      <c r="E655" t="s">
        <v>2438</v>
      </c>
      <c r="F655" t="s">
        <v>28</v>
      </c>
      <c r="G655" t="s">
        <v>2438</v>
      </c>
      <c r="H655" t="str">
        <f>"T23E7.2"</f>
        <v>T23E7.2</v>
      </c>
      <c r="I655" t="s">
        <v>2439</v>
      </c>
      <c r="J655">
        <v>18.487258856953499</v>
      </c>
      <c r="K655">
        <v>18.763600742295601</v>
      </c>
      <c r="L655">
        <v>18.769348271049299</v>
      </c>
      <c r="M655">
        <v>18.4326917666118</v>
      </c>
      <c r="N655">
        <v>17.8641728746796</v>
      </c>
      <c r="O655">
        <v>18.509907486265998</v>
      </c>
      <c r="P655">
        <v>-0.40447858091371502</v>
      </c>
      <c r="Q655">
        <v>-0.89490055390492895</v>
      </c>
      <c r="R655">
        <v>8.59433920774995E-2</v>
      </c>
      <c r="S655">
        <v>18.7828205607128</v>
      </c>
      <c r="T655">
        <v>-1.73347715081586</v>
      </c>
      <c r="U655">
        <v>-5.5972401613365603</v>
      </c>
      <c r="V655">
        <v>0.100206324443312</v>
      </c>
      <c r="W655">
        <v>0.32672482939733299</v>
      </c>
      <c r="X655">
        <v>0</v>
      </c>
      <c r="Y655">
        <v>0</v>
      </c>
    </row>
    <row r="656" spans="1:25" x14ac:dyDescent="0.2">
      <c r="A656" t="s">
        <v>2440</v>
      </c>
      <c r="B656" t="s">
        <v>2441</v>
      </c>
      <c r="C656" t="s">
        <v>14299</v>
      </c>
      <c r="D656" t="s">
        <v>111</v>
      </c>
      <c r="E656" t="s">
        <v>2441</v>
      </c>
      <c r="F656" t="s">
        <v>28</v>
      </c>
      <c r="G656" t="s">
        <v>2441</v>
      </c>
      <c r="H656" t="str">
        <f>"F23H11.4"</f>
        <v>F23H11.4</v>
      </c>
      <c r="I656" t="s">
        <v>111</v>
      </c>
      <c r="J656">
        <v>12.261421163581799</v>
      </c>
      <c r="K656">
        <v>11.186360961142199</v>
      </c>
      <c r="L656">
        <v>11.9306254902615</v>
      </c>
      <c r="M656">
        <v>11.821861034313301</v>
      </c>
      <c r="N656">
        <v>10.8494220339326</v>
      </c>
      <c r="O656">
        <v>10.705892321731</v>
      </c>
      <c r="P656">
        <v>-0.667077408336199</v>
      </c>
      <c r="Q656">
        <v>-1.3865341638776101</v>
      </c>
      <c r="R656">
        <v>5.2379347205211597E-2</v>
      </c>
      <c r="S656">
        <v>11.835231483724799</v>
      </c>
      <c r="T656">
        <v>-1.97748475361083</v>
      </c>
      <c r="U656">
        <v>-5.2146650472897704</v>
      </c>
      <c r="V656">
        <v>6.6795912893154299E-2</v>
      </c>
      <c r="W656">
        <v>0.26187216934255902</v>
      </c>
      <c r="X656">
        <v>0</v>
      </c>
      <c r="Y656">
        <v>0</v>
      </c>
    </row>
    <row r="657" spans="1:25" x14ac:dyDescent="0.2">
      <c r="A657" t="s">
        <v>2442</v>
      </c>
      <c r="B657" t="s">
        <v>2443</v>
      </c>
      <c r="C657" t="s">
        <v>14300</v>
      </c>
      <c r="D657" t="s">
        <v>2444</v>
      </c>
      <c r="E657" t="s">
        <v>2443</v>
      </c>
      <c r="F657" t="s">
        <v>28</v>
      </c>
      <c r="G657" t="s">
        <v>2443</v>
      </c>
      <c r="H657" t="str">
        <f>"T04C9.1"</f>
        <v>T04C9.1</v>
      </c>
      <c r="I657" t="s">
        <v>2444</v>
      </c>
      <c r="J657">
        <v>12.2899824829195</v>
      </c>
      <c r="K657">
        <v>12.767446440412501</v>
      </c>
      <c r="L657">
        <v>12.7799527872175</v>
      </c>
      <c r="M657">
        <v>12.927972048210799</v>
      </c>
      <c r="N657">
        <v>12.882337519242499</v>
      </c>
      <c r="O657">
        <v>12.8433142303253</v>
      </c>
      <c r="P657">
        <v>0.272080695743043</v>
      </c>
      <c r="Q657">
        <v>-0.119783083592123</v>
      </c>
      <c r="R657">
        <v>0.66394447507820897</v>
      </c>
      <c r="S657">
        <v>12.8149869499881</v>
      </c>
      <c r="T657">
        <v>1.46559042802927</v>
      </c>
      <c r="U657">
        <v>-5.9896037167332796</v>
      </c>
      <c r="V657">
        <v>0.161123243351872</v>
      </c>
      <c r="W657">
        <v>0.41380823509628401</v>
      </c>
      <c r="X657">
        <v>0</v>
      </c>
      <c r="Y657">
        <v>0</v>
      </c>
    </row>
    <row r="658" spans="1:25" x14ac:dyDescent="0.2">
      <c r="A658" t="s">
        <v>2445</v>
      </c>
      <c r="B658" t="s">
        <v>2446</v>
      </c>
      <c r="C658" t="s">
        <v>2447</v>
      </c>
      <c r="D658" t="s">
        <v>984</v>
      </c>
      <c r="E658" t="s">
        <v>2446</v>
      </c>
      <c r="F658" t="s">
        <v>28</v>
      </c>
      <c r="G658" t="s">
        <v>2446</v>
      </c>
      <c r="H658" t="str">
        <f>"frm-2"</f>
        <v>frm-2</v>
      </c>
      <c r="I658" t="s">
        <v>984</v>
      </c>
      <c r="J658">
        <v>12.5999199576442</v>
      </c>
      <c r="K658">
        <v>13.1403345896187</v>
      </c>
      <c r="L658">
        <v>13.034278340326001</v>
      </c>
      <c r="M658">
        <v>13.0193336644572</v>
      </c>
      <c r="N658">
        <v>12.6720737310521</v>
      </c>
      <c r="O658">
        <v>12.886733239039399</v>
      </c>
      <c r="P658">
        <v>-6.5464084346759294E-2</v>
      </c>
      <c r="Q658">
        <v>-0.64910412109790805</v>
      </c>
      <c r="R658">
        <v>0.51817595240438896</v>
      </c>
      <c r="S658">
        <v>12.979955167461</v>
      </c>
      <c r="T658">
        <v>-0.23675983833234701</v>
      </c>
      <c r="U658">
        <v>-7.0226670498366097</v>
      </c>
      <c r="V658">
        <v>0.81568990737658398</v>
      </c>
      <c r="W658">
        <v>0.920976737891535</v>
      </c>
      <c r="X658">
        <v>0</v>
      </c>
      <c r="Y658">
        <v>0</v>
      </c>
    </row>
    <row r="659" spans="1:25" x14ac:dyDescent="0.2">
      <c r="A659" t="s">
        <v>2448</v>
      </c>
      <c r="B659" t="s">
        <v>2449</v>
      </c>
      <c r="C659" t="s">
        <v>14301</v>
      </c>
      <c r="D659" t="s">
        <v>2450</v>
      </c>
      <c r="E659" t="s">
        <v>2449</v>
      </c>
      <c r="F659" t="s">
        <v>28</v>
      </c>
      <c r="G659" t="s">
        <v>2449</v>
      </c>
      <c r="H659" t="str">
        <f>"F49E8.7"</f>
        <v>F49E8.7</v>
      </c>
      <c r="I659" t="s">
        <v>2450</v>
      </c>
      <c r="J659">
        <v>13.1949312801851</v>
      </c>
      <c r="K659">
        <v>13.044493234703801</v>
      </c>
      <c r="L659">
        <v>13.1109099514942</v>
      </c>
      <c r="M659">
        <v>13.515038457212</v>
      </c>
      <c r="N659">
        <v>12.915813498614099</v>
      </c>
      <c r="O659">
        <v>13.0192477869236</v>
      </c>
      <c r="P659">
        <v>3.3255092122192999E-2</v>
      </c>
      <c r="Q659">
        <v>-0.50277378804624495</v>
      </c>
      <c r="R659">
        <v>0.56928397229063099</v>
      </c>
      <c r="S659">
        <v>13.0583332423375</v>
      </c>
      <c r="T659">
        <v>0.13095436504328201</v>
      </c>
      <c r="U659">
        <v>-7.0430757034323603</v>
      </c>
      <c r="V659">
        <v>0.89735810618566403</v>
      </c>
      <c r="W659">
        <v>0.96438222116194405</v>
      </c>
      <c r="X659">
        <v>0</v>
      </c>
      <c r="Y659">
        <v>0</v>
      </c>
    </row>
    <row r="660" spans="1:25" x14ac:dyDescent="0.2">
      <c r="A660" t="s">
        <v>2451</v>
      </c>
      <c r="B660" t="s">
        <v>2452</v>
      </c>
      <c r="C660" t="s">
        <v>2453</v>
      </c>
      <c r="D660" t="s">
        <v>2454</v>
      </c>
      <c r="E660" t="s">
        <v>2452</v>
      </c>
      <c r="F660" t="s">
        <v>28</v>
      </c>
      <c r="G660" t="s">
        <v>2452</v>
      </c>
      <c r="H660" t="str">
        <f>"lmd-3"</f>
        <v>lmd-3</v>
      </c>
      <c r="I660" t="s">
        <v>2454</v>
      </c>
      <c r="J660">
        <v>11.5491850995025</v>
      </c>
      <c r="K660">
        <v>11.157897653846801</v>
      </c>
      <c r="L660" t="s">
        <v>29</v>
      </c>
      <c r="M660">
        <v>12.598667679199</v>
      </c>
      <c r="N660">
        <v>12.557346158539</v>
      </c>
      <c r="O660">
        <v>12.5729852312507</v>
      </c>
      <c r="P660">
        <v>1.2227916463216</v>
      </c>
      <c r="Q660">
        <v>0.64077941339790101</v>
      </c>
      <c r="R660">
        <v>1.8048038792452901</v>
      </c>
      <c r="S660">
        <v>11.5392390156319</v>
      </c>
      <c r="T660">
        <v>4.4808659949454999</v>
      </c>
      <c r="U660">
        <v>-0.25535136577624001</v>
      </c>
      <c r="V660">
        <v>4.4708726666399198E-4</v>
      </c>
      <c r="W660">
        <v>9.8298781467880507E-3</v>
      </c>
      <c r="X660">
        <v>1</v>
      </c>
      <c r="Y660">
        <v>1</v>
      </c>
    </row>
    <row r="661" spans="1:25" x14ac:dyDescent="0.2">
      <c r="A661" t="s">
        <v>2455</v>
      </c>
      <c r="B661" t="s">
        <v>2456</v>
      </c>
      <c r="C661" t="s">
        <v>14302</v>
      </c>
      <c r="D661" t="s">
        <v>2457</v>
      </c>
      <c r="E661" t="s">
        <v>2456</v>
      </c>
      <c r="F661" t="s">
        <v>28</v>
      </c>
      <c r="G661" t="s">
        <v>2456</v>
      </c>
      <c r="H661" t="str">
        <f>"T22F3.2"</f>
        <v>T22F3.2</v>
      </c>
      <c r="I661" t="s">
        <v>2457</v>
      </c>
      <c r="J661">
        <v>13.2952231891311</v>
      </c>
      <c r="K661">
        <v>13.3861291791435</v>
      </c>
      <c r="L661">
        <v>13.2557624762683</v>
      </c>
      <c r="M661">
        <v>12.9160174501909</v>
      </c>
      <c r="N661">
        <v>13.4640379603699</v>
      </c>
      <c r="O661">
        <v>13.461512428329801</v>
      </c>
      <c r="P661">
        <v>-3.1849001884106401E-2</v>
      </c>
      <c r="Q661">
        <v>-0.62084107232816999</v>
      </c>
      <c r="R661">
        <v>0.55714306855995699</v>
      </c>
      <c r="S661">
        <v>13.3765983619419</v>
      </c>
      <c r="T661">
        <v>-0.113652473422153</v>
      </c>
      <c r="U661">
        <v>-7.0453196317456701</v>
      </c>
      <c r="V661">
        <v>0.91077865418996495</v>
      </c>
      <c r="W661">
        <v>0.96810321753729001</v>
      </c>
      <c r="X661">
        <v>0</v>
      </c>
      <c r="Y661">
        <v>0</v>
      </c>
    </row>
    <row r="662" spans="1:25" x14ac:dyDescent="0.2">
      <c r="A662" t="s">
        <v>2458</v>
      </c>
      <c r="B662" t="s">
        <v>2459</v>
      </c>
      <c r="C662" t="s">
        <v>2460</v>
      </c>
      <c r="D662" t="s">
        <v>2461</v>
      </c>
      <c r="E662" t="s">
        <v>2459</v>
      </c>
      <c r="F662" t="s">
        <v>28</v>
      </c>
      <c r="G662" t="s">
        <v>2459</v>
      </c>
      <c r="H662" t="str">
        <f>"tag-153"</f>
        <v>tag-153</v>
      </c>
      <c r="I662" t="s">
        <v>2461</v>
      </c>
      <c r="J662">
        <v>12.236531524980601</v>
      </c>
      <c r="K662">
        <v>11.7398447286068</v>
      </c>
      <c r="L662">
        <v>11.7652289216866</v>
      </c>
      <c r="M662" t="s">
        <v>29</v>
      </c>
      <c r="N662">
        <v>10.6239304216282</v>
      </c>
      <c r="O662" t="s">
        <v>29</v>
      </c>
      <c r="P662">
        <v>-1.2899379701297999</v>
      </c>
      <c r="Q662">
        <v>-1.9743904401557899</v>
      </c>
      <c r="R662">
        <v>-0.60548550010381297</v>
      </c>
      <c r="S662">
        <v>11.9927563920099</v>
      </c>
      <c r="T662">
        <v>-4.0449897400095303</v>
      </c>
      <c r="U662">
        <v>-1.04032347371728</v>
      </c>
      <c r="V662">
        <v>1.22240862090322E-3</v>
      </c>
      <c r="W662">
        <v>2.0717279439682702E-2</v>
      </c>
      <c r="X662">
        <v>-1</v>
      </c>
      <c r="Y662">
        <v>-1</v>
      </c>
    </row>
    <row r="663" spans="1:25" x14ac:dyDescent="0.2">
      <c r="A663" t="s">
        <v>2462</v>
      </c>
      <c r="B663" t="s">
        <v>2463</v>
      </c>
      <c r="C663" t="s">
        <v>2464</v>
      </c>
      <c r="D663" t="s">
        <v>2388</v>
      </c>
      <c r="E663" t="s">
        <v>2463</v>
      </c>
      <c r="F663" t="s">
        <v>28</v>
      </c>
      <c r="G663" t="s">
        <v>2463</v>
      </c>
      <c r="H663" t="str">
        <f>"gon-14"</f>
        <v>gon-14</v>
      </c>
      <c r="I663" t="s">
        <v>2388</v>
      </c>
      <c r="J663" t="s">
        <v>29</v>
      </c>
      <c r="K663" t="s">
        <v>29</v>
      </c>
      <c r="L663" t="s">
        <v>29</v>
      </c>
      <c r="M663" t="s">
        <v>29</v>
      </c>
      <c r="N663" t="s">
        <v>29</v>
      </c>
      <c r="O663" t="s">
        <v>29</v>
      </c>
      <c r="P663" t="s">
        <v>29</v>
      </c>
      <c r="Q663" t="s">
        <v>29</v>
      </c>
      <c r="R663" t="s">
        <v>29</v>
      </c>
      <c r="S663">
        <v>11.6431309786861</v>
      </c>
      <c r="T663" t="s">
        <v>29</v>
      </c>
      <c r="U663" t="s">
        <v>29</v>
      </c>
      <c r="V663" t="s">
        <v>29</v>
      </c>
      <c r="W663" t="s">
        <v>29</v>
      </c>
      <c r="X663" t="s">
        <v>29</v>
      </c>
      <c r="Y663" t="s">
        <v>29</v>
      </c>
    </row>
    <row r="664" spans="1:25" x14ac:dyDescent="0.2">
      <c r="A664" t="s">
        <v>2465</v>
      </c>
      <c r="B664" t="s">
        <v>2466</v>
      </c>
      <c r="C664" t="s">
        <v>2467</v>
      </c>
      <c r="D664" t="s">
        <v>1866</v>
      </c>
      <c r="E664" t="s">
        <v>2466</v>
      </c>
      <c r="F664" t="s">
        <v>28</v>
      </c>
      <c r="G664" t="s">
        <v>2466</v>
      </c>
      <c r="H664" t="str">
        <f>"pmp-5"</f>
        <v>pmp-5</v>
      </c>
      <c r="I664" t="s">
        <v>1866</v>
      </c>
      <c r="J664">
        <v>17.288264955517501</v>
      </c>
      <c r="K664">
        <v>17.086346484657</v>
      </c>
      <c r="L664">
        <v>17.048472275201799</v>
      </c>
      <c r="M664">
        <v>16.7775895061983</v>
      </c>
      <c r="N664">
        <v>16.293748271062999</v>
      </c>
      <c r="O664">
        <v>16.320748277567901</v>
      </c>
      <c r="P664">
        <v>-0.67699922018235303</v>
      </c>
      <c r="Q664">
        <v>-1.1325798756930601</v>
      </c>
      <c r="R664">
        <v>-0.221418564671642</v>
      </c>
      <c r="S664">
        <v>16.784625033620699</v>
      </c>
      <c r="T664">
        <v>-3.1233122635473398</v>
      </c>
      <c r="U664">
        <v>-2.9791530920923801</v>
      </c>
      <c r="V664">
        <v>5.9030215707202597E-3</v>
      </c>
      <c r="W664">
        <v>6.1737903222356103E-2</v>
      </c>
      <c r="X664">
        <v>0</v>
      </c>
      <c r="Y664">
        <v>0</v>
      </c>
    </row>
    <row r="665" spans="1:25" x14ac:dyDescent="0.2">
      <c r="A665" t="s">
        <v>2468</v>
      </c>
      <c r="B665" t="s">
        <v>2469</v>
      </c>
      <c r="C665" t="s">
        <v>2470</v>
      </c>
      <c r="D665" t="s">
        <v>2471</v>
      </c>
      <c r="E665" t="s">
        <v>2469</v>
      </c>
      <c r="F665" t="s">
        <v>28</v>
      </c>
      <c r="G665" t="s">
        <v>2469</v>
      </c>
      <c r="H665" t="str">
        <f>"tns-1"</f>
        <v>tns-1</v>
      </c>
      <c r="I665" t="s">
        <v>2471</v>
      </c>
      <c r="J665">
        <v>15.9169626048028</v>
      </c>
      <c r="K665">
        <v>16.502316771995901</v>
      </c>
      <c r="L665">
        <v>16.419002041451598</v>
      </c>
      <c r="M665">
        <v>16.260729076815899</v>
      </c>
      <c r="N665">
        <v>15.615184143432399</v>
      </c>
      <c r="O665">
        <v>16.139946796979501</v>
      </c>
      <c r="P665">
        <v>-0.27414046700748801</v>
      </c>
      <c r="Q665">
        <v>-0.70628763192936905</v>
      </c>
      <c r="R665">
        <v>0.15800669791439401</v>
      </c>
      <c r="S665">
        <v>16.238116121404701</v>
      </c>
      <c r="T665">
        <v>-1.33331877075169</v>
      </c>
      <c r="U665">
        <v>-6.1641796076806301</v>
      </c>
      <c r="V665">
        <v>0.199152689957663</v>
      </c>
      <c r="W665">
        <v>0.45960486037037901</v>
      </c>
      <c r="X665">
        <v>0</v>
      </c>
      <c r="Y665">
        <v>0</v>
      </c>
    </row>
    <row r="666" spans="1:25" x14ac:dyDescent="0.2">
      <c r="A666" t="s">
        <v>2472</v>
      </c>
      <c r="B666" t="s">
        <v>2473</v>
      </c>
      <c r="C666" t="s">
        <v>14303</v>
      </c>
      <c r="D666" t="s">
        <v>2474</v>
      </c>
      <c r="E666" t="s">
        <v>2473</v>
      </c>
      <c r="F666" t="s">
        <v>28</v>
      </c>
      <c r="G666" t="s">
        <v>2473</v>
      </c>
      <c r="H666" t="str">
        <f>"F46H5.7"</f>
        <v>F46H5.7</v>
      </c>
      <c r="I666" t="s">
        <v>2474</v>
      </c>
      <c r="J666">
        <v>14.265900068559899</v>
      </c>
      <c r="K666">
        <v>14.348863737617</v>
      </c>
      <c r="L666">
        <v>13.5252274866652</v>
      </c>
      <c r="M666">
        <v>15.618520992273901</v>
      </c>
      <c r="N666">
        <v>16.3054268298641</v>
      </c>
      <c r="O666">
        <v>15.9091192838893</v>
      </c>
      <c r="P666">
        <v>1.8976919377284001</v>
      </c>
      <c r="Q666">
        <v>1.01274274211328</v>
      </c>
      <c r="R666">
        <v>2.7826411333435201</v>
      </c>
      <c r="S666">
        <v>14.5724435608572</v>
      </c>
      <c r="T666">
        <v>4.5071279465998302</v>
      </c>
      <c r="U666">
        <v>3.59379350083779E-2</v>
      </c>
      <c r="V666">
        <v>2.7634442800741102E-4</v>
      </c>
      <c r="W666">
        <v>7.2374458209678002E-3</v>
      </c>
      <c r="X666">
        <v>1</v>
      </c>
      <c r="Y666">
        <v>1</v>
      </c>
    </row>
    <row r="667" spans="1:25" x14ac:dyDescent="0.2">
      <c r="A667" t="s">
        <v>2475</v>
      </c>
      <c r="B667" t="s">
        <v>2476</v>
      </c>
      <c r="C667" t="s">
        <v>14304</v>
      </c>
      <c r="D667" t="s">
        <v>2477</v>
      </c>
      <c r="E667" t="s">
        <v>2476</v>
      </c>
      <c r="F667" t="s">
        <v>28</v>
      </c>
      <c r="G667" t="s">
        <v>2476</v>
      </c>
      <c r="H667" t="str">
        <f>"F53A10.2"</f>
        <v>F53A10.2</v>
      </c>
      <c r="I667" t="s">
        <v>2477</v>
      </c>
      <c r="J667">
        <v>11.404036460330101</v>
      </c>
      <c r="K667">
        <v>11.1478869317875</v>
      </c>
      <c r="L667" t="s">
        <v>29</v>
      </c>
      <c r="M667">
        <v>11.729014923746</v>
      </c>
      <c r="N667">
        <v>11.408026323590001</v>
      </c>
      <c r="O667" t="s">
        <v>29</v>
      </c>
      <c r="P667">
        <v>0.292558927609187</v>
      </c>
      <c r="Q667">
        <v>-0.43727061347478302</v>
      </c>
      <c r="R667">
        <v>1.0223884686931599</v>
      </c>
      <c r="S667">
        <v>10.926695908469901</v>
      </c>
      <c r="T667">
        <v>0.883323145975067</v>
      </c>
      <c r="U667">
        <v>-6.4444821885774601</v>
      </c>
      <c r="V667">
        <v>0.39613453976173002</v>
      </c>
      <c r="W667">
        <v>0.67160158653346003</v>
      </c>
      <c r="X667">
        <v>0</v>
      </c>
      <c r="Y667">
        <v>0</v>
      </c>
    </row>
    <row r="668" spans="1:25" x14ac:dyDescent="0.2">
      <c r="A668" t="s">
        <v>2478</v>
      </c>
      <c r="B668" t="s">
        <v>2479</v>
      </c>
      <c r="C668" t="s">
        <v>2480</v>
      </c>
      <c r="D668" t="s">
        <v>2481</v>
      </c>
      <c r="E668" t="s">
        <v>2479</v>
      </c>
      <c r="F668" t="s">
        <v>28</v>
      </c>
      <c r="G668" t="s">
        <v>2479</v>
      </c>
      <c r="H668" t="str">
        <f>"ubxn-3"</f>
        <v>ubxn-3</v>
      </c>
      <c r="I668" t="s">
        <v>2481</v>
      </c>
      <c r="J668">
        <v>13.035609724678499</v>
      </c>
      <c r="K668">
        <v>12.9134151178612</v>
      </c>
      <c r="L668">
        <v>12.7140132909324</v>
      </c>
      <c r="M668">
        <v>12.932764882474601</v>
      </c>
      <c r="N668">
        <v>12.8851662856211</v>
      </c>
      <c r="O668" t="s">
        <v>29</v>
      </c>
      <c r="P668">
        <v>2.12862062237935E-2</v>
      </c>
      <c r="Q668">
        <v>-0.44354807418965803</v>
      </c>
      <c r="R668">
        <v>0.486120486637245</v>
      </c>
      <c r="S668">
        <v>13.0491559672314</v>
      </c>
      <c r="T668">
        <v>9.7665622484361406E-2</v>
      </c>
      <c r="U668">
        <v>-6.9363905510247301</v>
      </c>
      <c r="V668">
        <v>0.92349992519681501</v>
      </c>
      <c r="W668">
        <v>0.97314402739327599</v>
      </c>
      <c r="X668">
        <v>0</v>
      </c>
      <c r="Y668">
        <v>0</v>
      </c>
    </row>
    <row r="669" spans="1:25" x14ac:dyDescent="0.2">
      <c r="A669" t="s">
        <v>2482</v>
      </c>
      <c r="B669" t="s">
        <v>2483</v>
      </c>
      <c r="C669" t="s">
        <v>14305</v>
      </c>
      <c r="D669" t="s">
        <v>130</v>
      </c>
      <c r="E669" t="s">
        <v>2483</v>
      </c>
      <c r="F669" t="s">
        <v>28</v>
      </c>
      <c r="G669" t="s">
        <v>2483</v>
      </c>
      <c r="H669" t="str">
        <f>"Y14H12B.1"</f>
        <v>Y14H12B.1</v>
      </c>
      <c r="I669" t="s">
        <v>130</v>
      </c>
      <c r="J669" t="s">
        <v>29</v>
      </c>
      <c r="K669" t="s">
        <v>29</v>
      </c>
      <c r="L669" t="s">
        <v>29</v>
      </c>
      <c r="M669" t="s">
        <v>29</v>
      </c>
      <c r="N669" t="s">
        <v>29</v>
      </c>
      <c r="O669">
        <v>12.761246382266799</v>
      </c>
      <c r="P669" t="s">
        <v>29</v>
      </c>
      <c r="Q669" t="s">
        <v>29</v>
      </c>
      <c r="R669" t="s">
        <v>29</v>
      </c>
      <c r="S669">
        <v>13.4925330212748</v>
      </c>
      <c r="T669" t="s">
        <v>29</v>
      </c>
      <c r="U669" t="s">
        <v>29</v>
      </c>
      <c r="V669" t="s">
        <v>29</v>
      </c>
      <c r="W669" t="s">
        <v>29</v>
      </c>
      <c r="X669" t="s">
        <v>29</v>
      </c>
      <c r="Y669" t="s">
        <v>29</v>
      </c>
    </row>
    <row r="670" spans="1:25" x14ac:dyDescent="0.2">
      <c r="A670" t="s">
        <v>2484</v>
      </c>
      <c r="B670" t="s">
        <v>2485</v>
      </c>
      <c r="C670" t="s">
        <v>2486</v>
      </c>
      <c r="D670" t="s">
        <v>603</v>
      </c>
      <c r="E670" t="s">
        <v>2485</v>
      </c>
      <c r="F670" t="s">
        <v>28</v>
      </c>
      <c r="G670" t="s">
        <v>2485</v>
      </c>
      <c r="H670" t="str">
        <f>"mex-3"</f>
        <v>mex-3</v>
      </c>
      <c r="I670" t="s">
        <v>603</v>
      </c>
      <c r="J670">
        <v>12.3147512625427</v>
      </c>
      <c r="K670">
        <v>12.1765696108229</v>
      </c>
      <c r="L670">
        <v>13.0974362860547</v>
      </c>
      <c r="M670">
        <v>11.3905672980059</v>
      </c>
      <c r="N670">
        <v>12.5548397408089</v>
      </c>
      <c r="O670">
        <v>12.0415585748494</v>
      </c>
      <c r="P670">
        <v>-0.53393051525201496</v>
      </c>
      <c r="Q670">
        <v>-1.3488530285707001</v>
      </c>
      <c r="R670">
        <v>0.28099199806667002</v>
      </c>
      <c r="S670">
        <v>13.3805662383613</v>
      </c>
      <c r="T670">
        <v>-1.3829880885821599</v>
      </c>
      <c r="U670">
        <v>-6.0999355804069202</v>
      </c>
      <c r="V670">
        <v>0.18467467557379</v>
      </c>
      <c r="W670">
        <v>0.44783395955828897</v>
      </c>
      <c r="X670">
        <v>0</v>
      </c>
      <c r="Y670">
        <v>0</v>
      </c>
    </row>
    <row r="671" spans="1:25" x14ac:dyDescent="0.2">
      <c r="A671" t="s">
        <v>2487</v>
      </c>
      <c r="B671" t="s">
        <v>2488</v>
      </c>
      <c r="C671" t="s">
        <v>14306</v>
      </c>
      <c r="D671" t="s">
        <v>2489</v>
      </c>
      <c r="E671" t="s">
        <v>2488</v>
      </c>
      <c r="F671" t="s">
        <v>28</v>
      </c>
      <c r="G671" t="s">
        <v>2488</v>
      </c>
      <c r="H671" t="str">
        <f>"F56B3.4"</f>
        <v>F56B3.4</v>
      </c>
      <c r="I671" t="s">
        <v>2489</v>
      </c>
      <c r="J671">
        <v>13.461511313122701</v>
      </c>
      <c r="K671">
        <v>12.9543738790875</v>
      </c>
      <c r="L671">
        <v>12.9353630124854</v>
      </c>
      <c r="M671">
        <v>14.1029882166475</v>
      </c>
      <c r="N671">
        <v>14.3356187007917</v>
      </c>
      <c r="O671">
        <v>13.750460832243901</v>
      </c>
      <c r="P671">
        <v>0.94593984832915201</v>
      </c>
      <c r="Q671">
        <v>0.38321579384887799</v>
      </c>
      <c r="R671">
        <v>1.50866390280943</v>
      </c>
      <c r="S671">
        <v>13.273845265492501</v>
      </c>
      <c r="T671">
        <v>3.5654764353047401</v>
      </c>
      <c r="U671">
        <v>-2.1372215407057</v>
      </c>
      <c r="V671">
        <v>2.60374769564667E-3</v>
      </c>
      <c r="W671">
        <v>3.47237500066978E-2</v>
      </c>
      <c r="X671">
        <v>0</v>
      </c>
      <c r="Y671">
        <v>0</v>
      </c>
    </row>
    <row r="672" spans="1:25" x14ac:dyDescent="0.2">
      <c r="A672" t="s">
        <v>2490</v>
      </c>
      <c r="B672" t="s">
        <v>2491</v>
      </c>
      <c r="C672" t="s">
        <v>2492</v>
      </c>
      <c r="D672" t="s">
        <v>2493</v>
      </c>
      <c r="E672" t="s">
        <v>2491</v>
      </c>
      <c r="F672" t="s">
        <v>28</v>
      </c>
      <c r="G672" t="s">
        <v>2491</v>
      </c>
      <c r="H672" t="str">
        <f>"gck-1"</f>
        <v>gck-1</v>
      </c>
      <c r="I672" t="s">
        <v>2493</v>
      </c>
      <c r="J672">
        <v>12.9082222933068</v>
      </c>
      <c r="K672">
        <v>13.295168140867499</v>
      </c>
      <c r="L672">
        <v>13.333898301237699</v>
      </c>
      <c r="M672">
        <v>13.171015748601301</v>
      </c>
      <c r="N672">
        <v>13.108041791824</v>
      </c>
      <c r="O672">
        <v>14.0081877692513</v>
      </c>
      <c r="P672">
        <v>0.249985524754887</v>
      </c>
      <c r="Q672">
        <v>-0.30787751228610899</v>
      </c>
      <c r="R672">
        <v>0.80784856179588405</v>
      </c>
      <c r="S672">
        <v>13.3213978744846</v>
      </c>
      <c r="T672">
        <v>0.94588271265262103</v>
      </c>
      <c r="U672">
        <v>-6.5938601809059501</v>
      </c>
      <c r="V672">
        <v>0.35754108135907298</v>
      </c>
      <c r="W672">
        <v>0.63610643999038996</v>
      </c>
      <c r="X672">
        <v>0</v>
      </c>
      <c r="Y672">
        <v>0</v>
      </c>
    </row>
    <row r="673" spans="1:25" x14ac:dyDescent="0.2">
      <c r="A673" t="s">
        <v>2494</v>
      </c>
      <c r="B673" t="s">
        <v>2495</v>
      </c>
      <c r="C673" t="s">
        <v>14307</v>
      </c>
      <c r="D673" t="s">
        <v>2496</v>
      </c>
      <c r="E673" t="s">
        <v>2495</v>
      </c>
      <c r="F673" t="s">
        <v>28</v>
      </c>
      <c r="G673" t="s">
        <v>2495</v>
      </c>
      <c r="H673" t="str">
        <f>"H14E04.2"</f>
        <v>H14E04.2</v>
      </c>
      <c r="I673" t="s">
        <v>2496</v>
      </c>
      <c r="J673">
        <v>12.2916587230833</v>
      </c>
      <c r="K673">
        <v>11.954915796608301</v>
      </c>
      <c r="L673">
        <v>12.4181164474405</v>
      </c>
      <c r="M673">
        <v>12.183909493416101</v>
      </c>
      <c r="N673">
        <v>12.8881345296468</v>
      </c>
      <c r="O673">
        <v>12.144028504107601</v>
      </c>
      <c r="P673">
        <v>0.18379385334616</v>
      </c>
      <c r="Q673">
        <v>-0.29465799041186003</v>
      </c>
      <c r="R673">
        <v>0.66224569710417902</v>
      </c>
      <c r="S673">
        <v>12.3823395606167</v>
      </c>
      <c r="T673">
        <v>0.81478360277194795</v>
      </c>
      <c r="U673">
        <v>-6.7090268386365501</v>
      </c>
      <c r="V673">
        <v>0.42723596838281003</v>
      </c>
      <c r="W673">
        <v>0.69708834333627101</v>
      </c>
      <c r="X673">
        <v>0</v>
      </c>
      <c r="Y673">
        <v>0</v>
      </c>
    </row>
    <row r="674" spans="1:25" x14ac:dyDescent="0.2">
      <c r="A674" t="s">
        <v>2497</v>
      </c>
      <c r="B674" t="s">
        <v>2498</v>
      </c>
      <c r="C674" t="s">
        <v>14308</v>
      </c>
      <c r="D674" t="s">
        <v>93</v>
      </c>
      <c r="E674" t="s">
        <v>2498</v>
      </c>
      <c r="F674" t="s">
        <v>28</v>
      </c>
      <c r="G674" t="s">
        <v>2498</v>
      </c>
      <c r="H674" t="str">
        <f>"H05C05.1"</f>
        <v>H05C05.1</v>
      </c>
      <c r="I674" t="s">
        <v>93</v>
      </c>
      <c r="J674">
        <v>16.487008051711999</v>
      </c>
      <c r="K674">
        <v>16.621358623173101</v>
      </c>
      <c r="L674">
        <v>16.7704967480053</v>
      </c>
      <c r="M674">
        <v>16.4650571675283</v>
      </c>
      <c r="N674">
        <v>16.146437520274201</v>
      </c>
      <c r="O674">
        <v>16.584325594816899</v>
      </c>
      <c r="P674">
        <v>-0.22768104675697001</v>
      </c>
      <c r="Q674">
        <v>-0.71119647705606504</v>
      </c>
      <c r="R674">
        <v>0.25583438354212401</v>
      </c>
      <c r="S674">
        <v>16.710897569667701</v>
      </c>
      <c r="T674">
        <v>-0.98971249767219904</v>
      </c>
      <c r="U674">
        <v>-6.5524062718316403</v>
      </c>
      <c r="V674">
        <v>0.33550908175744498</v>
      </c>
      <c r="W674">
        <v>0.61403068168657204</v>
      </c>
      <c r="X674">
        <v>0</v>
      </c>
      <c r="Y674">
        <v>0</v>
      </c>
    </row>
    <row r="675" spans="1:25" x14ac:dyDescent="0.2">
      <c r="A675" t="s">
        <v>2499</v>
      </c>
      <c r="B675" t="s">
        <v>2500</v>
      </c>
      <c r="C675" t="s">
        <v>2501</v>
      </c>
      <c r="D675" t="s">
        <v>2502</v>
      </c>
      <c r="E675" t="s">
        <v>2500</v>
      </c>
      <c r="F675" t="s">
        <v>28</v>
      </c>
      <c r="G675" t="s">
        <v>2500</v>
      </c>
      <c r="H675" t="str">
        <f>"emc-1"</f>
        <v>emc-1</v>
      </c>
      <c r="I675" t="s">
        <v>2502</v>
      </c>
      <c r="J675">
        <v>14.497776864263299</v>
      </c>
      <c r="K675">
        <v>14.377996137183001</v>
      </c>
      <c r="L675">
        <v>14.1454522113947</v>
      </c>
      <c r="M675">
        <v>14.3253775121823</v>
      </c>
      <c r="N675">
        <v>13.3162910013637</v>
      </c>
      <c r="O675">
        <v>13.4157623225473</v>
      </c>
      <c r="P675">
        <v>-0.65459812558251196</v>
      </c>
      <c r="Q675">
        <v>-1.24387613300596</v>
      </c>
      <c r="R675">
        <v>-6.5320118159062399E-2</v>
      </c>
      <c r="S675">
        <v>13.633342330467601</v>
      </c>
      <c r="T675">
        <v>-2.3347857690553</v>
      </c>
      <c r="U675">
        <v>-4.5609744319057599</v>
      </c>
      <c r="V675">
        <v>3.1409864101000599E-2</v>
      </c>
      <c r="W675">
        <v>0.17411873557863</v>
      </c>
      <c r="X675">
        <v>0</v>
      </c>
      <c r="Y675">
        <v>0</v>
      </c>
    </row>
    <row r="676" spans="1:25" x14ac:dyDescent="0.2">
      <c r="A676" t="s">
        <v>2503</v>
      </c>
      <c r="B676" t="s">
        <v>2504</v>
      </c>
      <c r="C676" t="s">
        <v>2505</v>
      </c>
      <c r="D676" t="s">
        <v>534</v>
      </c>
      <c r="E676" t="s">
        <v>2504</v>
      </c>
      <c r="F676" t="s">
        <v>28</v>
      </c>
      <c r="G676" t="s">
        <v>2504</v>
      </c>
      <c r="H676" t="str">
        <f>"wdr-62"</f>
        <v>wdr-62</v>
      </c>
      <c r="I676" t="s">
        <v>534</v>
      </c>
      <c r="J676" t="s">
        <v>29</v>
      </c>
      <c r="K676">
        <v>10.499841664551401</v>
      </c>
      <c r="L676">
        <v>10.244368524957</v>
      </c>
      <c r="M676" t="s">
        <v>29</v>
      </c>
      <c r="N676" t="s">
        <v>29</v>
      </c>
      <c r="O676">
        <v>9.3875908191783495</v>
      </c>
      <c r="P676">
        <v>-0.98451427557585303</v>
      </c>
      <c r="Q676">
        <v>-2.1838270610679902</v>
      </c>
      <c r="R676">
        <v>0.21479850991628199</v>
      </c>
      <c r="S676">
        <v>10.2300857561074</v>
      </c>
      <c r="T676">
        <v>-1.80891119934467</v>
      </c>
      <c r="U676">
        <v>-5.1184157224570699</v>
      </c>
      <c r="V676">
        <v>9.8112316263702606E-2</v>
      </c>
      <c r="W676">
        <v>0.322814891307317</v>
      </c>
      <c r="X676">
        <v>0</v>
      </c>
      <c r="Y676">
        <v>0</v>
      </c>
    </row>
    <row r="677" spans="1:25" x14ac:dyDescent="0.2">
      <c r="A677" t="s">
        <v>2506</v>
      </c>
      <c r="B677" t="s">
        <v>2507</v>
      </c>
      <c r="C677" t="s">
        <v>2508</v>
      </c>
      <c r="D677" t="s">
        <v>93</v>
      </c>
      <c r="E677" t="s">
        <v>2507</v>
      </c>
      <c r="F677" t="s">
        <v>28</v>
      </c>
      <c r="G677" t="s">
        <v>2507</v>
      </c>
      <c r="H677" t="str">
        <f>"hrpa-2"</f>
        <v>hrpa-2</v>
      </c>
      <c r="I677" t="s">
        <v>93</v>
      </c>
      <c r="J677" t="s">
        <v>29</v>
      </c>
      <c r="K677" t="s">
        <v>29</v>
      </c>
      <c r="L677" t="s">
        <v>29</v>
      </c>
      <c r="M677" t="s">
        <v>29</v>
      </c>
      <c r="N677" t="s">
        <v>29</v>
      </c>
      <c r="O677" t="s">
        <v>29</v>
      </c>
      <c r="P677" t="s">
        <v>29</v>
      </c>
      <c r="Q677" t="s">
        <v>29</v>
      </c>
      <c r="R677" t="s">
        <v>29</v>
      </c>
      <c r="S677">
        <v>10.654036370191101</v>
      </c>
      <c r="T677" t="s">
        <v>29</v>
      </c>
      <c r="U677" t="s">
        <v>29</v>
      </c>
      <c r="V677" t="s">
        <v>29</v>
      </c>
      <c r="W677" t="s">
        <v>29</v>
      </c>
      <c r="X677" t="s">
        <v>29</v>
      </c>
      <c r="Y677" t="s">
        <v>29</v>
      </c>
    </row>
    <row r="678" spans="1:25" x14ac:dyDescent="0.2">
      <c r="A678" t="s">
        <v>2509</v>
      </c>
      <c r="B678" t="s">
        <v>2510</v>
      </c>
      <c r="C678" t="s">
        <v>2511</v>
      </c>
      <c r="D678" t="s">
        <v>319</v>
      </c>
      <c r="E678" t="s">
        <v>2510</v>
      </c>
      <c r="F678" t="s">
        <v>28</v>
      </c>
      <c r="G678" t="s">
        <v>2510</v>
      </c>
      <c r="H678" t="str">
        <f>"mct-4"</f>
        <v>mct-4</v>
      </c>
      <c r="I678" t="s">
        <v>319</v>
      </c>
      <c r="J678">
        <v>14.650778926955301</v>
      </c>
      <c r="K678">
        <v>14.8443101766828</v>
      </c>
      <c r="L678">
        <v>14.8732296307792</v>
      </c>
      <c r="M678">
        <v>14.744718461688199</v>
      </c>
      <c r="N678">
        <v>14.753828859982001</v>
      </c>
      <c r="O678">
        <v>14.468947007509801</v>
      </c>
      <c r="P678">
        <v>-0.13360813507910901</v>
      </c>
      <c r="Q678">
        <v>-0.52502478351903403</v>
      </c>
      <c r="R678">
        <v>0.25780851336081501</v>
      </c>
      <c r="S678">
        <v>14.9749129847074</v>
      </c>
      <c r="T678">
        <v>-0.72051598672593997</v>
      </c>
      <c r="U678">
        <v>-6.7833092745055303</v>
      </c>
      <c r="V678">
        <v>0.48105841195015397</v>
      </c>
      <c r="W678">
        <v>0.73907652147582703</v>
      </c>
      <c r="X678">
        <v>0</v>
      </c>
      <c r="Y678">
        <v>0</v>
      </c>
    </row>
    <row r="679" spans="1:25" x14ac:dyDescent="0.2">
      <c r="A679" t="s">
        <v>2512</v>
      </c>
      <c r="B679" t="s">
        <v>2513</v>
      </c>
      <c r="C679" t="s">
        <v>2514</v>
      </c>
      <c r="D679" t="s">
        <v>2515</v>
      </c>
      <c r="E679" t="s">
        <v>2513</v>
      </c>
      <c r="F679" t="s">
        <v>28</v>
      </c>
      <c r="G679" t="s">
        <v>2513</v>
      </c>
      <c r="H679" t="str">
        <f>"gei-4"</f>
        <v>gei-4</v>
      </c>
      <c r="I679" t="s">
        <v>2515</v>
      </c>
      <c r="J679">
        <v>12.631410749339601</v>
      </c>
      <c r="K679">
        <v>13.509243204571399</v>
      </c>
      <c r="L679">
        <v>13.468303006065399</v>
      </c>
      <c r="M679">
        <v>12.7641502507569</v>
      </c>
      <c r="N679">
        <v>12.708021639229299</v>
      </c>
      <c r="O679">
        <v>13.361873262682099</v>
      </c>
      <c r="P679">
        <v>-0.25830393576935301</v>
      </c>
      <c r="Q679">
        <v>-0.75788805577628304</v>
      </c>
      <c r="R679">
        <v>0.24128018423757699</v>
      </c>
      <c r="S679">
        <v>13.6610830868287</v>
      </c>
      <c r="T679">
        <v>-1.08671312270049</v>
      </c>
      <c r="U679">
        <v>-6.4529044148938102</v>
      </c>
      <c r="V679">
        <v>0.29158530190446103</v>
      </c>
      <c r="W679">
        <v>0.57073294396640095</v>
      </c>
      <c r="X679">
        <v>0</v>
      </c>
      <c r="Y679">
        <v>0</v>
      </c>
    </row>
    <row r="680" spans="1:25" x14ac:dyDescent="0.2">
      <c r="A680" t="s">
        <v>2516</v>
      </c>
      <c r="B680" t="s">
        <v>2517</v>
      </c>
      <c r="C680" t="s">
        <v>14161</v>
      </c>
      <c r="D680" t="s">
        <v>2518</v>
      </c>
      <c r="E680" t="s">
        <v>2517</v>
      </c>
      <c r="F680" t="s">
        <v>28</v>
      </c>
      <c r="G680" t="s">
        <v>2517</v>
      </c>
      <c r="H680" t="str">
        <f>"M01H9.3"</f>
        <v>M01H9.3</v>
      </c>
      <c r="I680" t="s">
        <v>2518</v>
      </c>
      <c r="J680" t="s">
        <v>29</v>
      </c>
      <c r="K680" t="s">
        <v>29</v>
      </c>
      <c r="L680" t="s">
        <v>29</v>
      </c>
      <c r="M680">
        <v>18.933121073308801</v>
      </c>
      <c r="N680">
        <v>18.689462095533301</v>
      </c>
      <c r="O680">
        <v>18.606127803489098</v>
      </c>
      <c r="P680" t="s">
        <v>29</v>
      </c>
      <c r="Q680" t="s">
        <v>29</v>
      </c>
      <c r="R680" t="s">
        <v>29</v>
      </c>
      <c r="S680">
        <v>15.559359198075001</v>
      </c>
      <c r="T680" t="s">
        <v>29</v>
      </c>
      <c r="U680" t="s">
        <v>29</v>
      </c>
      <c r="V680" t="s">
        <v>29</v>
      </c>
      <c r="W680" t="s">
        <v>29</v>
      </c>
      <c r="X680" t="s">
        <v>29</v>
      </c>
      <c r="Y680" t="s">
        <v>29</v>
      </c>
    </row>
    <row r="681" spans="1:25" x14ac:dyDescent="0.2">
      <c r="A681" t="s">
        <v>2519</v>
      </c>
      <c r="B681" t="s">
        <v>2520</v>
      </c>
      <c r="C681" t="s">
        <v>14309</v>
      </c>
      <c r="D681" t="s">
        <v>666</v>
      </c>
      <c r="E681" t="s">
        <v>2520</v>
      </c>
      <c r="F681" t="s">
        <v>28</v>
      </c>
      <c r="G681" t="s">
        <v>2520</v>
      </c>
      <c r="H681" t="str">
        <f>"ZK180.5"</f>
        <v>ZK180.5</v>
      </c>
      <c r="I681" t="s">
        <v>666</v>
      </c>
      <c r="J681" t="s">
        <v>29</v>
      </c>
      <c r="K681" t="s">
        <v>29</v>
      </c>
      <c r="L681">
        <v>11.636905023415901</v>
      </c>
      <c r="M681">
        <v>11.028340174927299</v>
      </c>
      <c r="N681" t="s">
        <v>29</v>
      </c>
      <c r="O681" t="s">
        <v>29</v>
      </c>
      <c r="P681">
        <v>-0.608564848488651</v>
      </c>
      <c r="Q681">
        <v>-2.3562762109111199</v>
      </c>
      <c r="R681">
        <v>1.1391465139338199</v>
      </c>
      <c r="S681">
        <v>10.7250128272807</v>
      </c>
      <c r="T681">
        <v>-0.85572109264720897</v>
      </c>
      <c r="U681">
        <v>-6.1156997102918798</v>
      </c>
      <c r="V681">
        <v>0.42555998038673298</v>
      </c>
      <c r="W681">
        <v>0.69633750496314994</v>
      </c>
      <c r="X681">
        <v>0</v>
      </c>
      <c r="Y681">
        <v>0</v>
      </c>
    </row>
    <row r="682" spans="1:25" x14ac:dyDescent="0.2">
      <c r="A682" t="s">
        <v>2521</v>
      </c>
      <c r="B682" t="s">
        <v>2522</v>
      </c>
      <c r="C682" t="s">
        <v>2523</v>
      </c>
      <c r="D682" t="s">
        <v>2524</v>
      </c>
      <c r="E682" t="s">
        <v>2522</v>
      </c>
      <c r="F682" t="s">
        <v>28</v>
      </c>
      <c r="G682" t="s">
        <v>2522</v>
      </c>
      <c r="H682" t="str">
        <f>"wapl-1"</f>
        <v>wapl-1</v>
      </c>
      <c r="I682" t="s">
        <v>2524</v>
      </c>
      <c r="J682">
        <v>14.2126431041711</v>
      </c>
      <c r="K682">
        <v>13.8629424779619</v>
      </c>
      <c r="L682">
        <v>13.9009953092394</v>
      </c>
      <c r="M682">
        <v>14.543482298500001</v>
      </c>
      <c r="N682">
        <v>13.986547517996501</v>
      </c>
      <c r="O682">
        <v>13.967820909396901</v>
      </c>
      <c r="P682">
        <v>0.17375661150698599</v>
      </c>
      <c r="Q682">
        <v>-0.252204527017307</v>
      </c>
      <c r="R682">
        <v>0.59971775003128003</v>
      </c>
      <c r="S682">
        <v>13.871516222289801</v>
      </c>
      <c r="T682">
        <v>0.85736129293599805</v>
      </c>
      <c r="U682">
        <v>-6.6746219459320404</v>
      </c>
      <c r="V682">
        <v>0.40258185871812302</v>
      </c>
      <c r="W682">
        <v>0.67608444695680303</v>
      </c>
      <c r="X682">
        <v>0</v>
      </c>
      <c r="Y682">
        <v>0</v>
      </c>
    </row>
    <row r="683" spans="1:25" x14ac:dyDescent="0.2">
      <c r="A683" t="s">
        <v>2525</v>
      </c>
      <c r="B683" t="s">
        <v>2526</v>
      </c>
      <c r="C683" t="s">
        <v>14310</v>
      </c>
      <c r="D683" t="s">
        <v>2527</v>
      </c>
      <c r="E683" t="s">
        <v>2526</v>
      </c>
      <c r="F683" t="s">
        <v>28</v>
      </c>
      <c r="G683" t="s">
        <v>2526</v>
      </c>
      <c r="H683" t="str">
        <f>"Y67D8A.2"</f>
        <v>Y67D8A.2</v>
      </c>
      <c r="I683" t="s">
        <v>2527</v>
      </c>
      <c r="J683">
        <v>12.573559682252</v>
      </c>
      <c r="K683">
        <v>12.066183878227299</v>
      </c>
      <c r="L683">
        <v>12.6050993426731</v>
      </c>
      <c r="M683">
        <v>12.5907941871004</v>
      </c>
      <c r="N683">
        <v>12.827553855155401</v>
      </c>
      <c r="O683">
        <v>12.755248064948599</v>
      </c>
      <c r="P683">
        <v>0.30958440135065102</v>
      </c>
      <c r="Q683">
        <v>-0.14434150857824801</v>
      </c>
      <c r="R683">
        <v>0.76351031127955005</v>
      </c>
      <c r="S683">
        <v>12.532777561550899</v>
      </c>
      <c r="T683">
        <v>1.44658390017676</v>
      </c>
      <c r="U683">
        <v>-6.0154769037986</v>
      </c>
      <c r="V683">
        <v>0.16744548131386899</v>
      </c>
      <c r="W683">
        <v>0.42402147563838899</v>
      </c>
      <c r="X683">
        <v>0</v>
      </c>
      <c r="Y683">
        <v>0</v>
      </c>
    </row>
    <row r="684" spans="1:25" x14ac:dyDescent="0.2">
      <c r="A684" t="s">
        <v>2528</v>
      </c>
      <c r="B684" t="s">
        <v>2529</v>
      </c>
      <c r="C684" t="s">
        <v>2530</v>
      </c>
      <c r="D684" t="s">
        <v>2531</v>
      </c>
      <c r="E684" t="s">
        <v>2529</v>
      </c>
      <c r="F684" t="s">
        <v>28</v>
      </c>
      <c r="G684" t="s">
        <v>2529</v>
      </c>
      <c r="H684" t="str">
        <f>"fnip-2"</f>
        <v>fnip-2</v>
      </c>
      <c r="I684" t="s">
        <v>2531</v>
      </c>
      <c r="J684">
        <v>12.7568947828264</v>
      </c>
      <c r="K684">
        <v>12.9334017189777</v>
      </c>
      <c r="L684">
        <v>12.744961570494301</v>
      </c>
      <c r="M684">
        <v>12.3569311411371</v>
      </c>
      <c r="N684">
        <v>13.0015632024199</v>
      </c>
      <c r="O684">
        <v>12.8831289334502</v>
      </c>
      <c r="P684">
        <v>-6.4544931763716604E-2</v>
      </c>
      <c r="Q684">
        <v>-0.56534040395462604</v>
      </c>
      <c r="R684">
        <v>0.43625054042719302</v>
      </c>
      <c r="S684">
        <v>13.348089840836799</v>
      </c>
      <c r="T684">
        <v>-0.27337027027946198</v>
      </c>
      <c r="U684">
        <v>-7.0127547464944504</v>
      </c>
      <c r="V684">
        <v>0.78808876745448397</v>
      </c>
      <c r="W684">
        <v>0.91268010865023896</v>
      </c>
      <c r="X684">
        <v>0</v>
      </c>
      <c r="Y684">
        <v>0</v>
      </c>
    </row>
    <row r="685" spans="1:25" x14ac:dyDescent="0.2">
      <c r="A685" t="s">
        <v>2532</v>
      </c>
      <c r="B685" t="s">
        <v>2533</v>
      </c>
      <c r="C685" t="s">
        <v>14311</v>
      </c>
      <c r="D685" t="s">
        <v>2534</v>
      </c>
      <c r="E685" t="s">
        <v>2533</v>
      </c>
      <c r="F685" t="s">
        <v>28</v>
      </c>
      <c r="G685" t="s">
        <v>2533</v>
      </c>
      <c r="H685" t="str">
        <f>"ZC328.3"</f>
        <v>ZC328.3</v>
      </c>
      <c r="I685" t="s">
        <v>2534</v>
      </c>
      <c r="J685" t="s">
        <v>29</v>
      </c>
      <c r="K685" t="s">
        <v>29</v>
      </c>
      <c r="L685" t="s">
        <v>29</v>
      </c>
      <c r="M685" t="s">
        <v>29</v>
      </c>
      <c r="N685" t="s">
        <v>29</v>
      </c>
      <c r="O685" t="s">
        <v>29</v>
      </c>
      <c r="P685" t="s">
        <v>29</v>
      </c>
      <c r="Q685" t="s">
        <v>29</v>
      </c>
      <c r="R685" t="s">
        <v>29</v>
      </c>
      <c r="S685">
        <v>10.7264338736446</v>
      </c>
      <c r="T685" t="s">
        <v>29</v>
      </c>
      <c r="U685" t="s">
        <v>29</v>
      </c>
      <c r="V685" t="s">
        <v>29</v>
      </c>
      <c r="W685" t="s">
        <v>29</v>
      </c>
      <c r="X685" t="s">
        <v>29</v>
      </c>
      <c r="Y685" t="s">
        <v>29</v>
      </c>
    </row>
    <row r="686" spans="1:25" x14ac:dyDescent="0.2">
      <c r="A686" t="s">
        <v>2535</v>
      </c>
      <c r="B686" t="s">
        <v>2536</v>
      </c>
      <c r="C686" t="s">
        <v>2537</v>
      </c>
      <c r="D686" t="s">
        <v>2538</v>
      </c>
      <c r="E686" t="s">
        <v>2536</v>
      </c>
      <c r="F686" t="s">
        <v>28</v>
      </c>
      <c r="G686" t="s">
        <v>2536</v>
      </c>
      <c r="H686" t="str">
        <f>"pod-2"</f>
        <v>pod-2</v>
      </c>
      <c r="I686" t="s">
        <v>2538</v>
      </c>
      <c r="J686">
        <v>17.605670530669901</v>
      </c>
      <c r="K686">
        <v>17.9152786740677</v>
      </c>
      <c r="L686">
        <v>17.631092150898599</v>
      </c>
      <c r="M686">
        <v>17.8607733685037</v>
      </c>
      <c r="N686">
        <v>18.4280263644008</v>
      </c>
      <c r="O686">
        <v>18.0889079402642</v>
      </c>
      <c r="P686">
        <v>0.40855543917751502</v>
      </c>
      <c r="Q686">
        <v>-0.119203422279011</v>
      </c>
      <c r="R686">
        <v>0.93631430063404197</v>
      </c>
      <c r="S686">
        <v>17.632666923833199</v>
      </c>
      <c r="T686">
        <v>1.62707651174763</v>
      </c>
      <c r="U686">
        <v>-5.7588859825560599</v>
      </c>
      <c r="V686">
        <v>0.121199894691901</v>
      </c>
      <c r="W686">
        <v>0.36016845418031501</v>
      </c>
      <c r="X686">
        <v>0</v>
      </c>
      <c r="Y686">
        <v>0</v>
      </c>
    </row>
    <row r="687" spans="1:25" x14ac:dyDescent="0.2">
      <c r="A687" t="s">
        <v>2539</v>
      </c>
      <c r="B687" t="s">
        <v>2540</v>
      </c>
      <c r="C687" t="s">
        <v>2541</v>
      </c>
      <c r="D687" t="s">
        <v>2542</v>
      </c>
      <c r="E687" t="s">
        <v>2540</v>
      </c>
      <c r="F687" t="s">
        <v>28</v>
      </c>
      <c r="G687" t="s">
        <v>2540</v>
      </c>
      <c r="H687" t="str">
        <f>"ral-1"</f>
        <v>ral-1</v>
      </c>
      <c r="I687" t="s">
        <v>2542</v>
      </c>
      <c r="J687">
        <v>14.9192226781323</v>
      </c>
      <c r="K687">
        <v>14.7242491036715</v>
      </c>
      <c r="L687">
        <v>14.6440181158789</v>
      </c>
      <c r="M687">
        <v>14.866962390108</v>
      </c>
      <c r="N687">
        <v>14.9555779235672</v>
      </c>
      <c r="O687">
        <v>14.547733716550299</v>
      </c>
      <c r="P687">
        <v>2.75947108476178E-2</v>
      </c>
      <c r="Q687">
        <v>-0.40190586981427501</v>
      </c>
      <c r="R687">
        <v>0.457095291509511</v>
      </c>
      <c r="S687">
        <v>14.403182828393099</v>
      </c>
      <c r="T687">
        <v>0.13503756728402899</v>
      </c>
      <c r="U687">
        <v>-7.0425349663648502</v>
      </c>
      <c r="V687">
        <v>0.89408947388648496</v>
      </c>
      <c r="W687">
        <v>0.963047715334863</v>
      </c>
      <c r="X687">
        <v>0</v>
      </c>
      <c r="Y687">
        <v>0</v>
      </c>
    </row>
    <row r="688" spans="1:25" x14ac:dyDescent="0.2">
      <c r="A688" t="s">
        <v>2543</v>
      </c>
      <c r="B688" t="s">
        <v>2544</v>
      </c>
      <c r="C688" t="s">
        <v>14312</v>
      </c>
      <c r="D688" t="s">
        <v>2545</v>
      </c>
      <c r="E688" t="s">
        <v>2544</v>
      </c>
      <c r="F688" t="s">
        <v>28</v>
      </c>
      <c r="G688" t="s">
        <v>2544</v>
      </c>
      <c r="H688" t="str">
        <f>"Y119D3B.12"</f>
        <v>Y119D3B.12</v>
      </c>
      <c r="I688" t="s">
        <v>2545</v>
      </c>
      <c r="J688">
        <v>11.6837141319615</v>
      </c>
      <c r="K688">
        <v>11.717599145776299</v>
      </c>
      <c r="L688">
        <v>12.515699366843901</v>
      </c>
      <c r="M688">
        <v>11.479723301798501</v>
      </c>
      <c r="N688">
        <v>11.061810267368701</v>
      </c>
      <c r="O688">
        <v>11.6029404242729</v>
      </c>
      <c r="P688">
        <v>-0.59084621704719398</v>
      </c>
      <c r="Q688">
        <v>-1.33670192544209</v>
      </c>
      <c r="R688">
        <v>0.155009491347706</v>
      </c>
      <c r="S688">
        <v>13.0234935374803</v>
      </c>
      <c r="T688">
        <v>-1.68023168872434</v>
      </c>
      <c r="U688">
        <v>-5.6820107896538801</v>
      </c>
      <c r="V688">
        <v>0.11245525024332299</v>
      </c>
      <c r="W688">
        <v>0.34411407745613198</v>
      </c>
      <c r="X688">
        <v>0</v>
      </c>
      <c r="Y688">
        <v>0</v>
      </c>
    </row>
    <row r="689" spans="1:25" x14ac:dyDescent="0.2">
      <c r="A689" t="s">
        <v>2546</v>
      </c>
      <c r="B689" t="s">
        <v>2547</v>
      </c>
      <c r="C689" t="s">
        <v>14313</v>
      </c>
      <c r="D689" t="s">
        <v>2548</v>
      </c>
      <c r="E689" t="s">
        <v>2547</v>
      </c>
      <c r="F689" t="s">
        <v>28</v>
      </c>
      <c r="G689" t="s">
        <v>2547</v>
      </c>
      <c r="H689" t="str">
        <f>"F19B6.1"</f>
        <v>F19B6.1</v>
      </c>
      <c r="I689" t="s">
        <v>2548</v>
      </c>
      <c r="J689">
        <v>13.4578143767407</v>
      </c>
      <c r="K689">
        <v>13.003588703238799</v>
      </c>
      <c r="L689">
        <v>13.3693075401758</v>
      </c>
      <c r="M689">
        <v>13.3310123180933</v>
      </c>
      <c r="N689">
        <v>13.9891354836052</v>
      </c>
      <c r="O689">
        <v>13.6610739747232</v>
      </c>
      <c r="P689">
        <v>0.38350371875544398</v>
      </c>
      <c r="Q689">
        <v>-0.126435024437696</v>
      </c>
      <c r="R689">
        <v>0.89344246194858301</v>
      </c>
      <c r="S689">
        <v>13.6219074238369</v>
      </c>
      <c r="T689">
        <v>1.5951484276544601</v>
      </c>
      <c r="U689">
        <v>-5.8076382693884598</v>
      </c>
      <c r="V689">
        <v>0.13036688377858899</v>
      </c>
      <c r="W689">
        <v>0.374477979788438</v>
      </c>
      <c r="X689">
        <v>0</v>
      </c>
      <c r="Y689">
        <v>0</v>
      </c>
    </row>
    <row r="690" spans="1:25" x14ac:dyDescent="0.2">
      <c r="A690" t="s">
        <v>2549</v>
      </c>
      <c r="B690" t="s">
        <v>2550</v>
      </c>
      <c r="C690" t="s">
        <v>14314</v>
      </c>
      <c r="D690" t="s">
        <v>2551</v>
      </c>
      <c r="E690" t="s">
        <v>2550</v>
      </c>
      <c r="F690" t="s">
        <v>28</v>
      </c>
      <c r="G690" t="s">
        <v>2550</v>
      </c>
      <c r="H690" t="str">
        <f>"F46B6.5"</f>
        <v>F46B6.5</v>
      </c>
      <c r="I690" t="s">
        <v>2551</v>
      </c>
      <c r="J690">
        <v>10.7305527141125</v>
      </c>
      <c r="K690">
        <v>11.572016215433999</v>
      </c>
      <c r="L690">
        <v>11.453337467638899</v>
      </c>
      <c r="M690" t="s">
        <v>29</v>
      </c>
      <c r="N690">
        <v>10.5634469145038</v>
      </c>
      <c r="O690">
        <v>10.3788096925838</v>
      </c>
      <c r="P690">
        <v>-0.78084049551798196</v>
      </c>
      <c r="Q690">
        <v>-1.4229870543077801</v>
      </c>
      <c r="R690">
        <v>-0.138693936728182</v>
      </c>
      <c r="S690">
        <v>11.7803846393436</v>
      </c>
      <c r="T690">
        <v>-2.5934016013630901</v>
      </c>
      <c r="U690">
        <v>-4.0127901966889699</v>
      </c>
      <c r="V690">
        <v>2.0451283032005298E-2</v>
      </c>
      <c r="W690">
        <v>0.138642656221136</v>
      </c>
      <c r="X690">
        <v>0</v>
      </c>
      <c r="Y690">
        <v>0</v>
      </c>
    </row>
    <row r="691" spans="1:25" x14ac:dyDescent="0.2">
      <c r="A691" t="s">
        <v>2552</v>
      </c>
      <c r="B691" t="s">
        <v>2553</v>
      </c>
      <c r="C691" t="s">
        <v>2554</v>
      </c>
      <c r="D691" t="s">
        <v>2477</v>
      </c>
      <c r="E691" t="s">
        <v>2553</v>
      </c>
      <c r="F691" t="s">
        <v>28</v>
      </c>
      <c r="G691" t="s">
        <v>2553</v>
      </c>
      <c r="H691" t="str">
        <f>"sipa-1"</f>
        <v>sipa-1</v>
      </c>
      <c r="I691" t="s">
        <v>2477</v>
      </c>
      <c r="J691" t="s">
        <v>29</v>
      </c>
      <c r="K691" t="s">
        <v>29</v>
      </c>
      <c r="L691" t="s">
        <v>29</v>
      </c>
      <c r="M691" t="s">
        <v>29</v>
      </c>
      <c r="N691" t="s">
        <v>29</v>
      </c>
      <c r="O691" t="s">
        <v>29</v>
      </c>
      <c r="P691" t="s">
        <v>29</v>
      </c>
      <c r="Q691" t="s">
        <v>29</v>
      </c>
      <c r="R691" t="s">
        <v>29</v>
      </c>
      <c r="S691">
        <v>11.830758406543399</v>
      </c>
      <c r="T691" t="s">
        <v>29</v>
      </c>
      <c r="U691" t="s">
        <v>29</v>
      </c>
      <c r="V691" t="s">
        <v>29</v>
      </c>
      <c r="W691" t="s">
        <v>29</v>
      </c>
      <c r="X691" t="s">
        <v>29</v>
      </c>
      <c r="Y691" t="s">
        <v>29</v>
      </c>
    </row>
    <row r="692" spans="1:25" x14ac:dyDescent="0.2">
      <c r="A692" t="s">
        <v>2555</v>
      </c>
      <c r="B692" t="s">
        <v>2556</v>
      </c>
      <c r="C692" t="s">
        <v>2557</v>
      </c>
      <c r="D692" t="s">
        <v>93</v>
      </c>
      <c r="E692" t="s">
        <v>2556</v>
      </c>
      <c r="F692" t="s">
        <v>28</v>
      </c>
      <c r="G692" t="s">
        <v>2556</v>
      </c>
      <c r="H692" t="str">
        <f>"rbm-25"</f>
        <v>rbm-25</v>
      </c>
      <c r="I692" t="s">
        <v>93</v>
      </c>
      <c r="J692">
        <v>11.7038115024974</v>
      </c>
      <c r="K692">
        <v>12.745187327638099</v>
      </c>
      <c r="L692">
        <v>12.7990038322394</v>
      </c>
      <c r="M692" t="s">
        <v>29</v>
      </c>
      <c r="N692">
        <v>11.4602459683025</v>
      </c>
      <c r="O692">
        <v>12.36457918238</v>
      </c>
      <c r="P692">
        <v>-0.50358831211699595</v>
      </c>
      <c r="Q692">
        <v>-1.3616222832868701</v>
      </c>
      <c r="R692">
        <v>0.354445659052877</v>
      </c>
      <c r="S692">
        <v>12.273229962035</v>
      </c>
      <c r="T692">
        <v>-1.2517360642714599</v>
      </c>
      <c r="U692">
        <v>-6.1541826101198298</v>
      </c>
      <c r="V692">
        <v>0.22996718335789901</v>
      </c>
      <c r="W692">
        <v>0.500622384985424</v>
      </c>
      <c r="X692">
        <v>0</v>
      </c>
      <c r="Y692">
        <v>0</v>
      </c>
    </row>
    <row r="693" spans="1:25" x14ac:dyDescent="0.2">
      <c r="A693" t="s">
        <v>2558</v>
      </c>
      <c r="B693" t="s">
        <v>2559</v>
      </c>
      <c r="C693" t="s">
        <v>2560</v>
      </c>
      <c r="D693" t="s">
        <v>2561</v>
      </c>
      <c r="E693" t="s">
        <v>2559</v>
      </c>
      <c r="F693" t="s">
        <v>28</v>
      </c>
      <c r="G693" t="s">
        <v>2559</v>
      </c>
      <c r="H693" t="str">
        <f>"C50B6.3"</f>
        <v>C50B6.3</v>
      </c>
      <c r="I693" t="s">
        <v>2561</v>
      </c>
      <c r="J693">
        <v>12.2394522405166</v>
      </c>
      <c r="K693">
        <v>12.422421879404601</v>
      </c>
      <c r="L693">
        <v>12.5516178459199</v>
      </c>
      <c r="M693">
        <v>12.7362584194499</v>
      </c>
      <c r="N693">
        <v>12.5211642257234</v>
      </c>
      <c r="O693" t="s">
        <v>29</v>
      </c>
      <c r="P693">
        <v>0.224214000639581</v>
      </c>
      <c r="Q693">
        <v>-0.41787687063061602</v>
      </c>
      <c r="R693">
        <v>0.86630487190977801</v>
      </c>
      <c r="S693">
        <v>12.747430116306299</v>
      </c>
      <c r="T693">
        <v>0.74474541499216196</v>
      </c>
      <c r="U693">
        <v>-6.6535784887182698</v>
      </c>
      <c r="V693">
        <v>0.468014239122514</v>
      </c>
      <c r="W693">
        <v>0.73153117908080401</v>
      </c>
      <c r="X693">
        <v>0</v>
      </c>
      <c r="Y693">
        <v>0</v>
      </c>
    </row>
    <row r="694" spans="1:25" x14ac:dyDescent="0.2">
      <c r="A694" t="s">
        <v>2562</v>
      </c>
      <c r="B694" t="s">
        <v>2563</v>
      </c>
      <c r="C694" t="s">
        <v>2564</v>
      </c>
      <c r="D694" t="s">
        <v>1382</v>
      </c>
      <c r="E694" t="s">
        <v>2563</v>
      </c>
      <c r="F694" t="s">
        <v>28</v>
      </c>
      <c r="G694" t="s">
        <v>2563</v>
      </c>
      <c r="H694" t="str">
        <f>"tba-1"</f>
        <v>tba-1</v>
      </c>
      <c r="I694" t="s">
        <v>1382</v>
      </c>
      <c r="J694">
        <v>21.050561193917101</v>
      </c>
      <c r="K694">
        <v>21.011768206041101</v>
      </c>
      <c r="L694">
        <v>20.994787730256999</v>
      </c>
      <c r="M694">
        <v>21.103319879817601</v>
      </c>
      <c r="N694">
        <v>21.241810290830301</v>
      </c>
      <c r="O694">
        <v>21.037584398509299</v>
      </c>
      <c r="P694">
        <v>0.108532479647362</v>
      </c>
      <c r="Q694">
        <v>-0.22937805619856899</v>
      </c>
      <c r="R694">
        <v>0.44644301549329302</v>
      </c>
      <c r="S694">
        <v>20.886386311451002</v>
      </c>
      <c r="T694">
        <v>0.675072638074798</v>
      </c>
      <c r="U694">
        <v>-6.8162708621890999</v>
      </c>
      <c r="V694">
        <v>0.50825896446840302</v>
      </c>
      <c r="W694">
        <v>0.75825766635258696</v>
      </c>
      <c r="X694">
        <v>0</v>
      </c>
      <c r="Y694">
        <v>0</v>
      </c>
    </row>
    <row r="695" spans="1:25" x14ac:dyDescent="0.2">
      <c r="A695" t="s">
        <v>2565</v>
      </c>
      <c r="B695" t="s">
        <v>2566</v>
      </c>
      <c r="C695" t="s">
        <v>2567</v>
      </c>
      <c r="D695" t="s">
        <v>2568</v>
      </c>
      <c r="E695" t="s">
        <v>2566</v>
      </c>
      <c r="F695" t="s">
        <v>28</v>
      </c>
      <c r="G695" t="s">
        <v>2566</v>
      </c>
      <c r="H695" t="str">
        <f>"swsn-1"</f>
        <v>swsn-1</v>
      </c>
      <c r="I695" t="s">
        <v>2568</v>
      </c>
      <c r="J695">
        <v>11.3530984974793</v>
      </c>
      <c r="K695">
        <v>13.353726927402001</v>
      </c>
      <c r="L695">
        <v>11.4911909716506</v>
      </c>
      <c r="M695" t="s">
        <v>29</v>
      </c>
      <c r="N695">
        <v>11.3123200891665</v>
      </c>
      <c r="O695">
        <v>11.6187245692934</v>
      </c>
      <c r="P695">
        <v>-0.60048313628073702</v>
      </c>
      <c r="Q695">
        <v>-1.6761395675951201</v>
      </c>
      <c r="R695">
        <v>0.47517329503364802</v>
      </c>
      <c r="S695">
        <v>12.0613447963933</v>
      </c>
      <c r="T695">
        <v>-1.19060812787866</v>
      </c>
      <c r="U695">
        <v>-6.2258595600331201</v>
      </c>
      <c r="V695">
        <v>0.25243691398309198</v>
      </c>
      <c r="W695">
        <v>0.52723345192617499</v>
      </c>
      <c r="X695">
        <v>0</v>
      </c>
      <c r="Y695">
        <v>0</v>
      </c>
    </row>
    <row r="696" spans="1:25" x14ac:dyDescent="0.2">
      <c r="A696" t="s">
        <v>2569</v>
      </c>
      <c r="B696" t="s">
        <v>2570</v>
      </c>
      <c r="C696" t="s">
        <v>2571</v>
      </c>
      <c r="D696" t="s">
        <v>2572</v>
      </c>
      <c r="E696" t="s">
        <v>2570</v>
      </c>
      <c r="F696" t="s">
        <v>28</v>
      </c>
      <c r="G696" t="s">
        <v>2570</v>
      </c>
      <c r="H696" t="str">
        <f>"ego-2"</f>
        <v>ego-2</v>
      </c>
      <c r="I696" t="s">
        <v>2572</v>
      </c>
      <c r="J696">
        <v>13.047137474352301</v>
      </c>
      <c r="K696">
        <v>13.098456389251099</v>
      </c>
      <c r="L696">
        <v>12.971641130125899</v>
      </c>
      <c r="M696">
        <v>12.8488195668097</v>
      </c>
      <c r="N696">
        <v>12.9944103359002</v>
      </c>
      <c r="O696">
        <v>12.588955894832701</v>
      </c>
      <c r="P696">
        <v>-0.22834973206225101</v>
      </c>
      <c r="Q696">
        <v>-0.72997169798301498</v>
      </c>
      <c r="R696">
        <v>0.27327223385851401</v>
      </c>
      <c r="S696">
        <v>13.1712000658842</v>
      </c>
      <c r="T696">
        <v>-0.95678966075609195</v>
      </c>
      <c r="U696">
        <v>-6.5842894302778703</v>
      </c>
      <c r="V696">
        <v>0.35142190610979701</v>
      </c>
      <c r="W696">
        <v>0.63248168278831696</v>
      </c>
      <c r="X696">
        <v>0</v>
      </c>
      <c r="Y696">
        <v>0</v>
      </c>
    </row>
    <row r="697" spans="1:25" x14ac:dyDescent="0.2">
      <c r="A697" t="s">
        <v>2573</v>
      </c>
      <c r="B697" t="s">
        <v>2574</v>
      </c>
      <c r="C697" t="s">
        <v>2575</v>
      </c>
      <c r="D697" t="s">
        <v>2576</v>
      </c>
      <c r="E697" t="s">
        <v>2574</v>
      </c>
      <c r="F697" t="s">
        <v>28</v>
      </c>
      <c r="G697" t="s">
        <v>2574</v>
      </c>
      <c r="H697" t="str">
        <f>"noah-1"</f>
        <v>noah-1</v>
      </c>
      <c r="I697" t="s">
        <v>2576</v>
      </c>
      <c r="J697">
        <v>12.4449117085094</v>
      </c>
      <c r="K697">
        <v>13.559291511065201</v>
      </c>
      <c r="L697">
        <v>13.2870573661453</v>
      </c>
      <c r="M697">
        <v>12.4401361407094</v>
      </c>
      <c r="N697">
        <v>13.0235528902249</v>
      </c>
      <c r="O697">
        <v>12.6847226030351</v>
      </c>
      <c r="P697">
        <v>-0.38094965058347302</v>
      </c>
      <c r="Q697">
        <v>-1.05994250161931</v>
      </c>
      <c r="R697">
        <v>0.29804320045236099</v>
      </c>
      <c r="S697">
        <v>12.730639589577899</v>
      </c>
      <c r="T697">
        <v>-1.1900135532304801</v>
      </c>
      <c r="U697">
        <v>-6.3366580977007203</v>
      </c>
      <c r="V697">
        <v>0.25151234522827198</v>
      </c>
      <c r="W697">
        <v>0.52678273681629495</v>
      </c>
      <c r="X697">
        <v>0</v>
      </c>
      <c r="Y697">
        <v>0</v>
      </c>
    </row>
    <row r="698" spans="1:25" x14ac:dyDescent="0.2">
      <c r="A698" t="s">
        <v>2577</v>
      </c>
      <c r="B698" t="s">
        <v>2578</v>
      </c>
      <c r="C698" t="s">
        <v>2579</v>
      </c>
      <c r="D698" t="s">
        <v>2580</v>
      </c>
      <c r="E698" t="s">
        <v>2578</v>
      </c>
      <c r="F698" t="s">
        <v>28</v>
      </c>
      <c r="G698" t="s">
        <v>2578</v>
      </c>
      <c r="H698" t="str">
        <f>"slo-2"</f>
        <v>slo-2</v>
      </c>
      <c r="I698" t="s">
        <v>2580</v>
      </c>
      <c r="J698" t="s">
        <v>29</v>
      </c>
      <c r="K698">
        <v>13.030493854466901</v>
      </c>
      <c r="L698">
        <v>11.5649541317903</v>
      </c>
      <c r="M698" t="s">
        <v>29</v>
      </c>
      <c r="N698" t="s">
        <v>29</v>
      </c>
      <c r="O698" t="s">
        <v>29</v>
      </c>
      <c r="P698" t="s">
        <v>29</v>
      </c>
      <c r="Q698" t="s">
        <v>29</v>
      </c>
      <c r="R698" t="s">
        <v>29</v>
      </c>
      <c r="S698">
        <v>12.414044142919799</v>
      </c>
      <c r="T698" t="s">
        <v>29</v>
      </c>
      <c r="U698" t="s">
        <v>29</v>
      </c>
      <c r="V698" t="s">
        <v>29</v>
      </c>
      <c r="W698" t="s">
        <v>29</v>
      </c>
      <c r="X698" t="s">
        <v>29</v>
      </c>
      <c r="Y698" t="s">
        <v>29</v>
      </c>
    </row>
    <row r="699" spans="1:25" x14ac:dyDescent="0.2">
      <c r="A699" t="s">
        <v>2581</v>
      </c>
      <c r="B699" t="s">
        <v>2582</v>
      </c>
      <c r="C699" t="s">
        <v>2583</v>
      </c>
      <c r="D699" t="s">
        <v>2584</v>
      </c>
      <c r="E699" t="s">
        <v>2582</v>
      </c>
      <c r="F699" t="s">
        <v>28</v>
      </c>
      <c r="G699" t="s">
        <v>2582</v>
      </c>
      <c r="H699" t="str">
        <f>"idh-1"</f>
        <v>idh-1</v>
      </c>
      <c r="I699" t="s">
        <v>2584</v>
      </c>
      <c r="J699">
        <v>15.516734771637299</v>
      </c>
      <c r="K699">
        <v>14.9817552741568</v>
      </c>
      <c r="L699">
        <v>15.378714415092499</v>
      </c>
      <c r="M699">
        <v>15.172541997973701</v>
      </c>
      <c r="N699">
        <v>15.2990268609833</v>
      </c>
      <c r="O699">
        <v>15.7263561987315</v>
      </c>
      <c r="P699">
        <v>0.10690686560064</v>
      </c>
      <c r="Q699">
        <v>-0.40771541884709001</v>
      </c>
      <c r="R699">
        <v>0.62152915004837095</v>
      </c>
      <c r="S699">
        <v>15.212935898146201</v>
      </c>
      <c r="T699">
        <v>0.43662592779145498</v>
      </c>
      <c r="U699">
        <v>-6.9527100952219296</v>
      </c>
      <c r="V699">
        <v>0.66760530352359904</v>
      </c>
      <c r="W699">
        <v>0.85063296703903801</v>
      </c>
      <c r="X699">
        <v>0</v>
      </c>
      <c r="Y699">
        <v>0</v>
      </c>
    </row>
    <row r="700" spans="1:25" x14ac:dyDescent="0.2">
      <c r="A700" t="s">
        <v>2585</v>
      </c>
      <c r="B700" t="s">
        <v>2586</v>
      </c>
      <c r="C700" t="s">
        <v>2587</v>
      </c>
      <c r="D700" t="s">
        <v>2588</v>
      </c>
      <c r="E700" t="s">
        <v>2586</v>
      </c>
      <c r="F700" t="s">
        <v>28</v>
      </c>
      <c r="G700" t="s">
        <v>2586</v>
      </c>
      <c r="H700" t="str">
        <f>"dur-1"</f>
        <v>dur-1</v>
      </c>
      <c r="I700" t="s">
        <v>2588</v>
      </c>
      <c r="J700">
        <v>13.778830978299601</v>
      </c>
      <c r="K700">
        <v>13.954425189521199</v>
      </c>
      <c r="L700">
        <v>14.151184830176501</v>
      </c>
      <c r="M700">
        <v>14.407996079525301</v>
      </c>
      <c r="N700">
        <v>13.580111947511</v>
      </c>
      <c r="O700">
        <v>14.3170487268633</v>
      </c>
      <c r="P700">
        <v>0.140238585300759</v>
      </c>
      <c r="Q700">
        <v>-0.472941054370076</v>
      </c>
      <c r="R700">
        <v>0.75341822497159405</v>
      </c>
      <c r="S700">
        <v>13.9121363650176</v>
      </c>
      <c r="T700">
        <v>0.48069799346402797</v>
      </c>
      <c r="U700">
        <v>-6.9317716001841001</v>
      </c>
      <c r="V700">
        <v>0.63655550848994003</v>
      </c>
      <c r="W700">
        <v>0.83287158207730705</v>
      </c>
      <c r="X700">
        <v>0</v>
      </c>
      <c r="Y700">
        <v>0</v>
      </c>
    </row>
    <row r="701" spans="1:25" x14ac:dyDescent="0.2">
      <c r="A701" t="s">
        <v>2589</v>
      </c>
      <c r="B701" t="s">
        <v>2590</v>
      </c>
      <c r="C701" t="s">
        <v>2591</v>
      </c>
      <c r="D701" t="s">
        <v>2592</v>
      </c>
      <c r="E701" t="s">
        <v>2590</v>
      </c>
      <c r="F701" t="s">
        <v>28</v>
      </c>
      <c r="G701" t="s">
        <v>2590</v>
      </c>
      <c r="H701" t="str">
        <f>"B0001.7"</f>
        <v>B0001.7</v>
      </c>
      <c r="I701" t="s">
        <v>2592</v>
      </c>
      <c r="J701">
        <v>13.500331396279799</v>
      </c>
      <c r="K701">
        <v>14.3053328188163</v>
      </c>
      <c r="L701">
        <v>12.9979306477696</v>
      </c>
      <c r="M701" t="s">
        <v>29</v>
      </c>
      <c r="N701">
        <v>11.7494985510603</v>
      </c>
      <c r="O701">
        <v>12.2102231839617</v>
      </c>
      <c r="P701">
        <v>-1.6213374201108599</v>
      </c>
      <c r="Q701">
        <v>-2.4022853293787598</v>
      </c>
      <c r="R701">
        <v>-0.84038951084296698</v>
      </c>
      <c r="S701">
        <v>13.3270903169585</v>
      </c>
      <c r="T701">
        <v>-4.42785046318743</v>
      </c>
      <c r="U701">
        <v>-0.36112995672636899</v>
      </c>
      <c r="V701">
        <v>4.9681881818630798E-4</v>
      </c>
      <c r="W701">
        <v>1.0706281022372499E-2</v>
      </c>
      <c r="X701">
        <v>-1</v>
      </c>
      <c r="Y701">
        <v>-1</v>
      </c>
    </row>
    <row r="702" spans="1:25" x14ac:dyDescent="0.2">
      <c r="A702" t="s">
        <v>2593</v>
      </c>
      <c r="B702" t="s">
        <v>2594</v>
      </c>
      <c r="C702" t="s">
        <v>2595</v>
      </c>
      <c r="D702" t="s">
        <v>319</v>
      </c>
      <c r="E702" t="s">
        <v>2594</v>
      </c>
      <c r="F702" t="s">
        <v>28</v>
      </c>
      <c r="G702" t="s">
        <v>2594</v>
      </c>
      <c r="H702" t="str">
        <f>"C27A7.6"</f>
        <v>C27A7.6</v>
      </c>
      <c r="I702" t="s">
        <v>319</v>
      </c>
      <c r="J702">
        <v>13.076085525341</v>
      </c>
      <c r="K702">
        <v>12.1556764508769</v>
      </c>
      <c r="L702">
        <v>13.2476728116013</v>
      </c>
      <c r="M702">
        <v>12.84192246634</v>
      </c>
      <c r="N702">
        <v>13.6375929692416</v>
      </c>
      <c r="O702">
        <v>13.0675959574532</v>
      </c>
      <c r="P702">
        <v>0.35589220173855202</v>
      </c>
      <c r="Q702">
        <v>-0.22858430397871601</v>
      </c>
      <c r="R702">
        <v>0.94036870745582002</v>
      </c>
      <c r="S702">
        <v>13.214894259636401</v>
      </c>
      <c r="T702">
        <v>1.2915194271827499</v>
      </c>
      <c r="U702">
        <v>-6.2156085784324802</v>
      </c>
      <c r="V702">
        <v>0.214989294061913</v>
      </c>
      <c r="W702">
        <v>0.48191167431887</v>
      </c>
      <c r="X702">
        <v>0</v>
      </c>
      <c r="Y702">
        <v>0</v>
      </c>
    </row>
    <row r="703" spans="1:25" x14ac:dyDescent="0.2">
      <c r="A703" t="s">
        <v>2596</v>
      </c>
      <c r="B703" t="s">
        <v>2597</v>
      </c>
      <c r="C703" t="s">
        <v>2598</v>
      </c>
      <c r="D703" t="s">
        <v>2221</v>
      </c>
      <c r="E703" t="s">
        <v>2597</v>
      </c>
      <c r="F703" t="s">
        <v>28</v>
      </c>
      <c r="G703" t="s">
        <v>2597</v>
      </c>
      <c r="H703" t="str">
        <f>"kin-4"</f>
        <v>kin-4</v>
      </c>
      <c r="I703" t="s">
        <v>2221</v>
      </c>
      <c r="J703">
        <v>11.4970768380013</v>
      </c>
      <c r="K703">
        <v>11.8756629795264</v>
      </c>
      <c r="L703">
        <v>11.8940197098417</v>
      </c>
      <c r="M703" t="s">
        <v>29</v>
      </c>
      <c r="N703">
        <v>11.6908259083611</v>
      </c>
      <c r="O703">
        <v>11.504377064568001</v>
      </c>
      <c r="P703">
        <v>-0.157985022658611</v>
      </c>
      <c r="Q703">
        <v>-0.65889557358730599</v>
      </c>
      <c r="R703">
        <v>0.34292552827008399</v>
      </c>
      <c r="S703">
        <v>11.9850707306564</v>
      </c>
      <c r="T703">
        <v>-0.66896788172945498</v>
      </c>
      <c r="U703">
        <v>-6.7090609524270803</v>
      </c>
      <c r="V703">
        <v>0.51311562971317404</v>
      </c>
      <c r="W703">
        <v>0.76053261901594305</v>
      </c>
      <c r="X703">
        <v>0</v>
      </c>
      <c r="Y703">
        <v>0</v>
      </c>
    </row>
    <row r="704" spans="1:25" x14ac:dyDescent="0.2">
      <c r="A704" t="s">
        <v>2599</v>
      </c>
      <c r="B704" t="s">
        <v>2600</v>
      </c>
      <c r="C704" t="s">
        <v>2601</v>
      </c>
      <c r="D704" t="s">
        <v>2602</v>
      </c>
      <c r="E704" t="s">
        <v>2600</v>
      </c>
      <c r="F704" t="s">
        <v>28</v>
      </c>
      <c r="G704" t="s">
        <v>2600</v>
      </c>
      <c r="H704" t="str">
        <f>"mpst-3"</f>
        <v>mpst-3</v>
      </c>
      <c r="I704" t="s">
        <v>2602</v>
      </c>
      <c r="J704" t="s">
        <v>29</v>
      </c>
      <c r="K704" t="s">
        <v>29</v>
      </c>
      <c r="L704" t="s">
        <v>29</v>
      </c>
      <c r="M704" t="s">
        <v>29</v>
      </c>
      <c r="N704" t="s">
        <v>29</v>
      </c>
      <c r="O704" t="s">
        <v>29</v>
      </c>
      <c r="P704" t="s">
        <v>29</v>
      </c>
      <c r="Q704" t="s">
        <v>29</v>
      </c>
      <c r="R704" t="s">
        <v>29</v>
      </c>
      <c r="S704">
        <v>11.724677416994799</v>
      </c>
      <c r="T704" t="s">
        <v>29</v>
      </c>
      <c r="U704" t="s">
        <v>29</v>
      </c>
      <c r="V704" t="s">
        <v>29</v>
      </c>
      <c r="W704" t="s">
        <v>29</v>
      </c>
      <c r="X704" t="s">
        <v>29</v>
      </c>
      <c r="Y704" t="s">
        <v>29</v>
      </c>
    </row>
    <row r="705" spans="1:25" x14ac:dyDescent="0.2">
      <c r="A705" t="s">
        <v>2603</v>
      </c>
      <c r="B705" t="s">
        <v>2604</v>
      </c>
      <c r="C705" t="s">
        <v>14315</v>
      </c>
      <c r="D705" t="s">
        <v>2605</v>
      </c>
      <c r="E705" t="s">
        <v>2604</v>
      </c>
      <c r="F705" t="s">
        <v>28</v>
      </c>
      <c r="G705" t="s">
        <v>2604</v>
      </c>
      <c r="H705" t="str">
        <f>"F28C6.8"</f>
        <v>F28C6.8</v>
      </c>
      <c r="I705" t="s">
        <v>2605</v>
      </c>
      <c r="J705">
        <v>12.874911851800899</v>
      </c>
      <c r="K705">
        <v>13.684134399404</v>
      </c>
      <c r="L705">
        <v>13.950612662569201</v>
      </c>
      <c r="M705">
        <v>12.591660832155601</v>
      </c>
      <c r="N705">
        <v>12.984328916006699</v>
      </c>
      <c r="O705">
        <v>12.9770340639074</v>
      </c>
      <c r="P705">
        <v>-0.65221170056814004</v>
      </c>
      <c r="Q705">
        <v>-1.2792001823895001</v>
      </c>
      <c r="R705">
        <v>-2.52232187467816E-2</v>
      </c>
      <c r="S705">
        <v>13.678167087539499</v>
      </c>
      <c r="T705">
        <v>-2.1957305085709899</v>
      </c>
      <c r="U705">
        <v>-4.8246155824987298</v>
      </c>
      <c r="V705">
        <v>4.2369839029990301E-2</v>
      </c>
      <c r="W705">
        <v>0.20335023038877301</v>
      </c>
      <c r="X705">
        <v>0</v>
      </c>
      <c r="Y705">
        <v>0</v>
      </c>
    </row>
    <row r="706" spans="1:25" x14ac:dyDescent="0.2">
      <c r="A706" t="s">
        <v>2606</v>
      </c>
      <c r="B706" t="s">
        <v>2607</v>
      </c>
      <c r="C706" t="s">
        <v>14316</v>
      </c>
      <c r="D706" t="s">
        <v>2608</v>
      </c>
      <c r="E706" t="s">
        <v>2607</v>
      </c>
      <c r="F706" t="s">
        <v>28</v>
      </c>
      <c r="G706" t="s">
        <v>2607</v>
      </c>
      <c r="H706" t="str">
        <f>"F01G4.4"</f>
        <v>F01G4.4</v>
      </c>
      <c r="I706" t="s">
        <v>2608</v>
      </c>
      <c r="J706">
        <v>12.7986456836265</v>
      </c>
      <c r="K706">
        <v>12.835961708212601</v>
      </c>
      <c r="L706">
        <v>13.370904040890499</v>
      </c>
      <c r="M706">
        <v>10.752823679624299</v>
      </c>
      <c r="N706">
        <v>8.8792618237063898</v>
      </c>
      <c r="O706">
        <v>11.7853975762154</v>
      </c>
      <c r="P706">
        <v>-2.5293427843944798</v>
      </c>
      <c r="Q706">
        <v>-3.5359265343496702</v>
      </c>
      <c r="R706">
        <v>-1.5227590344393001</v>
      </c>
      <c r="S706">
        <v>12.793496443155499</v>
      </c>
      <c r="T706">
        <v>-5.3297557292483404</v>
      </c>
      <c r="U706">
        <v>1.4965490203512499</v>
      </c>
      <c r="V706" s="2">
        <v>6.9239892239276798E-5</v>
      </c>
      <c r="W706">
        <v>2.3227485499650201E-3</v>
      </c>
      <c r="X706">
        <v>-1</v>
      </c>
      <c r="Y706">
        <v>-1</v>
      </c>
    </row>
    <row r="707" spans="1:25" x14ac:dyDescent="0.2">
      <c r="A707" t="s">
        <v>2609</v>
      </c>
      <c r="B707" t="s">
        <v>2610</v>
      </c>
      <c r="C707" t="s">
        <v>14317</v>
      </c>
      <c r="D707" t="s">
        <v>2611</v>
      </c>
      <c r="E707" t="s">
        <v>2610</v>
      </c>
      <c r="F707" t="s">
        <v>28</v>
      </c>
      <c r="G707" t="s">
        <v>2612</v>
      </c>
      <c r="H707" t="str">
        <f>"Y52E8A.6"</f>
        <v>Y52E8A.6</v>
      </c>
      <c r="I707" t="s">
        <v>2611</v>
      </c>
      <c r="J707" t="s">
        <v>29</v>
      </c>
      <c r="K707" t="s">
        <v>29</v>
      </c>
      <c r="L707" t="s">
        <v>29</v>
      </c>
      <c r="M707" t="s">
        <v>29</v>
      </c>
      <c r="N707" t="s">
        <v>29</v>
      </c>
      <c r="O707" t="s">
        <v>29</v>
      </c>
      <c r="P707" t="s">
        <v>29</v>
      </c>
      <c r="Q707" t="s">
        <v>29</v>
      </c>
      <c r="R707" t="s">
        <v>29</v>
      </c>
      <c r="S707">
        <v>10.3821469070938</v>
      </c>
      <c r="T707" t="s">
        <v>29</v>
      </c>
      <c r="U707" t="s">
        <v>29</v>
      </c>
      <c r="V707" t="s">
        <v>29</v>
      </c>
      <c r="W707" t="s">
        <v>29</v>
      </c>
      <c r="X707" t="s">
        <v>29</v>
      </c>
      <c r="Y707" t="s">
        <v>29</v>
      </c>
    </row>
    <row r="708" spans="1:25" x14ac:dyDescent="0.2">
      <c r="A708" t="s">
        <v>2613</v>
      </c>
      <c r="B708" t="s">
        <v>2614</v>
      </c>
      <c r="C708" t="s">
        <v>2615</v>
      </c>
      <c r="D708" t="s">
        <v>2616</v>
      </c>
      <c r="E708" t="s">
        <v>2614</v>
      </c>
      <c r="F708" t="s">
        <v>28</v>
      </c>
      <c r="G708" t="s">
        <v>2614</v>
      </c>
      <c r="H708" t="str">
        <f>"let-526"</f>
        <v>let-526</v>
      </c>
      <c r="I708" t="s">
        <v>2616</v>
      </c>
      <c r="J708">
        <v>12.5020260868897</v>
      </c>
      <c r="K708">
        <v>12.886985895358899</v>
      </c>
      <c r="L708">
        <v>12.443137043417201</v>
      </c>
      <c r="M708">
        <v>12.701674494239301</v>
      </c>
      <c r="N708">
        <v>12.327295875969099</v>
      </c>
      <c r="O708">
        <v>12.1109978290509</v>
      </c>
      <c r="P708">
        <v>-0.230726942135522</v>
      </c>
      <c r="Q708">
        <v>-0.82070419842667397</v>
      </c>
      <c r="R708">
        <v>0.35925031415563002</v>
      </c>
      <c r="S708">
        <v>12.676002339565001</v>
      </c>
      <c r="T708">
        <v>-0.82549235134588494</v>
      </c>
      <c r="U708">
        <v>-6.7009385888562001</v>
      </c>
      <c r="V708">
        <v>0.42059606961976798</v>
      </c>
      <c r="W708">
        <v>0.69402617167480996</v>
      </c>
      <c r="X708">
        <v>0</v>
      </c>
      <c r="Y708">
        <v>0</v>
      </c>
    </row>
    <row r="709" spans="1:25" x14ac:dyDescent="0.2">
      <c r="A709" t="s">
        <v>2617</v>
      </c>
      <c r="B709" t="s">
        <v>2618</v>
      </c>
      <c r="C709" t="s">
        <v>2619</v>
      </c>
      <c r="D709" t="s">
        <v>2620</v>
      </c>
      <c r="E709" t="s">
        <v>2618</v>
      </c>
      <c r="F709" t="s">
        <v>28</v>
      </c>
      <c r="G709" t="s">
        <v>2618</v>
      </c>
      <c r="H709" t="str">
        <f>"his-40"</f>
        <v>his-40</v>
      </c>
      <c r="I709" t="s">
        <v>2620</v>
      </c>
      <c r="J709">
        <v>18.653634011100099</v>
      </c>
      <c r="K709">
        <v>18.762123523707402</v>
      </c>
      <c r="L709">
        <v>18.556785879429899</v>
      </c>
      <c r="M709">
        <v>18.6245025221058</v>
      </c>
      <c r="N709">
        <v>18.320228768090001</v>
      </c>
      <c r="O709">
        <v>18.657982929453599</v>
      </c>
      <c r="P709">
        <v>-0.12327639819602999</v>
      </c>
      <c r="Q709">
        <v>-0.60690199989221605</v>
      </c>
      <c r="R709">
        <v>0.36034920350015598</v>
      </c>
      <c r="S709">
        <v>18.643505867200499</v>
      </c>
      <c r="T709">
        <v>-0.53575121802764702</v>
      </c>
      <c r="U709">
        <v>-6.9028671369955896</v>
      </c>
      <c r="V709">
        <v>0.59872690984630905</v>
      </c>
      <c r="W709">
        <v>0.80772623300037905</v>
      </c>
      <c r="X709">
        <v>0</v>
      </c>
      <c r="Y709">
        <v>0</v>
      </c>
    </row>
    <row r="710" spans="1:25" x14ac:dyDescent="0.2">
      <c r="A710" t="s">
        <v>2621</v>
      </c>
      <c r="B710" t="s">
        <v>2622</v>
      </c>
      <c r="C710" t="s">
        <v>2623</v>
      </c>
      <c r="D710" t="s">
        <v>2624</v>
      </c>
      <c r="E710" t="s">
        <v>2622</v>
      </c>
      <c r="F710" t="s">
        <v>28</v>
      </c>
      <c r="G710" t="s">
        <v>2622</v>
      </c>
      <c r="H710" t="str">
        <f>"lsy-12"</f>
        <v>lsy-12</v>
      </c>
      <c r="I710" t="s">
        <v>2624</v>
      </c>
      <c r="J710" t="s">
        <v>29</v>
      </c>
      <c r="K710" t="s">
        <v>29</v>
      </c>
      <c r="L710" t="s">
        <v>29</v>
      </c>
      <c r="M710" t="s">
        <v>29</v>
      </c>
      <c r="N710" t="s">
        <v>29</v>
      </c>
      <c r="O710" t="s">
        <v>29</v>
      </c>
      <c r="P710" t="s">
        <v>29</v>
      </c>
      <c r="Q710" t="s">
        <v>29</v>
      </c>
      <c r="R710" t="s">
        <v>29</v>
      </c>
      <c r="S710">
        <v>12.9447097352604</v>
      </c>
      <c r="T710" t="s">
        <v>29</v>
      </c>
      <c r="U710" t="s">
        <v>29</v>
      </c>
      <c r="V710" t="s">
        <v>29</v>
      </c>
      <c r="W710" t="s">
        <v>29</v>
      </c>
      <c r="X710" t="s">
        <v>29</v>
      </c>
      <c r="Y710" t="s">
        <v>29</v>
      </c>
    </row>
    <row r="711" spans="1:25" x14ac:dyDescent="0.2">
      <c r="A711" t="s">
        <v>2625</v>
      </c>
      <c r="B711" t="s">
        <v>2626</v>
      </c>
      <c r="C711" t="s">
        <v>2627</v>
      </c>
      <c r="D711" t="s">
        <v>2628</v>
      </c>
      <c r="E711" t="s">
        <v>2626</v>
      </c>
      <c r="F711" t="s">
        <v>28</v>
      </c>
      <c r="G711" t="s">
        <v>2626</v>
      </c>
      <c r="H711" t="str">
        <f>"hpo-27"</f>
        <v>hpo-27</v>
      </c>
      <c r="I711" t="s">
        <v>2628</v>
      </c>
      <c r="J711">
        <v>13.294148457858601</v>
      </c>
      <c r="K711">
        <v>13.3013605941776</v>
      </c>
      <c r="L711">
        <v>13.305942826178899</v>
      </c>
      <c r="M711">
        <v>13.0117295746166</v>
      </c>
      <c r="N711">
        <v>13.8292612172873</v>
      </c>
      <c r="O711">
        <v>13.3589547748439</v>
      </c>
      <c r="P711">
        <v>9.9497896177608097E-2</v>
      </c>
      <c r="Q711">
        <v>-0.303969873695216</v>
      </c>
      <c r="R711">
        <v>0.50296566605043203</v>
      </c>
      <c r="S711">
        <v>13.407579412574499</v>
      </c>
      <c r="T711">
        <v>0.51831951827848899</v>
      </c>
      <c r="U711">
        <v>-6.9123481113108802</v>
      </c>
      <c r="V711">
        <v>0.61058498779885095</v>
      </c>
      <c r="W711">
        <v>0.81628740768178398</v>
      </c>
      <c r="X711">
        <v>0</v>
      </c>
      <c r="Y711">
        <v>0</v>
      </c>
    </row>
    <row r="712" spans="1:25" x14ac:dyDescent="0.2">
      <c r="A712" t="s">
        <v>2629</v>
      </c>
      <c r="B712" t="s">
        <v>2630</v>
      </c>
      <c r="C712" t="s">
        <v>2631</v>
      </c>
      <c r="D712" t="s">
        <v>2632</v>
      </c>
      <c r="E712" t="s">
        <v>2630</v>
      </c>
      <c r="F712" t="s">
        <v>28</v>
      </c>
      <c r="G712" t="s">
        <v>2630</v>
      </c>
      <c r="H712" t="str">
        <f>"atg-4.1"</f>
        <v>atg-4.1</v>
      </c>
      <c r="I712" t="s">
        <v>2632</v>
      </c>
      <c r="J712">
        <v>9.3671069316537494</v>
      </c>
      <c r="K712" t="s">
        <v>29</v>
      </c>
      <c r="L712">
        <v>9.6309634378707596</v>
      </c>
      <c r="M712">
        <v>10.3370393768946</v>
      </c>
      <c r="N712" t="s">
        <v>29</v>
      </c>
      <c r="O712" t="s">
        <v>29</v>
      </c>
      <c r="P712">
        <v>0.83800419213235799</v>
      </c>
      <c r="Q712">
        <v>-0.43961961194098498</v>
      </c>
      <c r="R712">
        <v>2.1156279962057001</v>
      </c>
      <c r="S712">
        <v>10.3912491992619</v>
      </c>
      <c r="T712">
        <v>1.48644040374756</v>
      </c>
      <c r="U712">
        <v>-5.5736104204858803</v>
      </c>
      <c r="V712">
        <v>0.17172236842594901</v>
      </c>
      <c r="W712">
        <v>0.43049660004471402</v>
      </c>
      <c r="X712">
        <v>0</v>
      </c>
      <c r="Y712">
        <v>0</v>
      </c>
    </row>
    <row r="713" spans="1:25" x14ac:dyDescent="0.2">
      <c r="A713" t="s">
        <v>2633</v>
      </c>
      <c r="B713" t="s">
        <v>2634</v>
      </c>
      <c r="C713" t="s">
        <v>2635</v>
      </c>
      <c r="D713" t="s">
        <v>2636</v>
      </c>
      <c r="E713" t="s">
        <v>2634</v>
      </c>
      <c r="F713" t="s">
        <v>28</v>
      </c>
      <c r="G713" t="s">
        <v>2634</v>
      </c>
      <c r="H713" t="str">
        <f>"B0001.8"</f>
        <v>B0001.8</v>
      </c>
      <c r="I713" t="s">
        <v>2636</v>
      </c>
      <c r="J713">
        <v>12.407906206403799</v>
      </c>
      <c r="K713">
        <v>12.0935570456856</v>
      </c>
      <c r="L713">
        <v>12.2078049694912</v>
      </c>
      <c r="M713">
        <v>12.1955152077219</v>
      </c>
      <c r="N713">
        <v>11.8970091932387</v>
      </c>
      <c r="O713">
        <v>11.7136773465811</v>
      </c>
      <c r="P713">
        <v>-0.30102215801301901</v>
      </c>
      <c r="Q713">
        <v>-0.81171796630276405</v>
      </c>
      <c r="R713">
        <v>0.20967365027672499</v>
      </c>
      <c r="S713">
        <v>12.402156132627001</v>
      </c>
      <c r="T713">
        <v>-1.2502178677486</v>
      </c>
      <c r="U713">
        <v>-6.2658430970082604</v>
      </c>
      <c r="V713">
        <v>0.22931343776125601</v>
      </c>
      <c r="W713">
        <v>0.49978963595119102</v>
      </c>
      <c r="X713">
        <v>0</v>
      </c>
      <c r="Y713">
        <v>0</v>
      </c>
    </row>
    <row r="714" spans="1:25" x14ac:dyDescent="0.2">
      <c r="A714" t="s">
        <v>2637</v>
      </c>
      <c r="B714" t="s">
        <v>2638</v>
      </c>
      <c r="C714" t="s">
        <v>14318</v>
      </c>
      <c r="D714" t="s">
        <v>828</v>
      </c>
      <c r="E714" t="s">
        <v>2638</v>
      </c>
      <c r="F714" t="s">
        <v>28</v>
      </c>
      <c r="G714" t="s">
        <v>2638</v>
      </c>
      <c r="H714" t="str">
        <f>"F13B12.6"</f>
        <v>F13B12.6</v>
      </c>
      <c r="I714" t="s">
        <v>828</v>
      </c>
      <c r="J714" t="s">
        <v>29</v>
      </c>
      <c r="K714" t="s">
        <v>29</v>
      </c>
      <c r="L714" t="s">
        <v>29</v>
      </c>
      <c r="M714" t="s">
        <v>29</v>
      </c>
      <c r="N714" t="s">
        <v>29</v>
      </c>
      <c r="O714" t="s">
        <v>29</v>
      </c>
      <c r="P714" t="s">
        <v>29</v>
      </c>
      <c r="Q714" t="s">
        <v>29</v>
      </c>
      <c r="R714" t="s">
        <v>29</v>
      </c>
      <c r="S714">
        <v>10.7060056512658</v>
      </c>
      <c r="T714" t="s">
        <v>29</v>
      </c>
      <c r="U714" t="s">
        <v>29</v>
      </c>
      <c r="V714" t="s">
        <v>29</v>
      </c>
      <c r="W714" t="s">
        <v>29</v>
      </c>
      <c r="X714" t="s">
        <v>29</v>
      </c>
      <c r="Y714" t="s">
        <v>29</v>
      </c>
    </row>
    <row r="715" spans="1:25" x14ac:dyDescent="0.2">
      <c r="A715" t="s">
        <v>2639</v>
      </c>
      <c r="B715" t="s">
        <v>2640</v>
      </c>
      <c r="C715" t="s">
        <v>14319</v>
      </c>
      <c r="D715" t="s">
        <v>2641</v>
      </c>
      <c r="E715" t="s">
        <v>2640</v>
      </c>
      <c r="F715" t="s">
        <v>28</v>
      </c>
      <c r="G715" t="s">
        <v>2640</v>
      </c>
      <c r="H715" t="str">
        <f>"F13E9.11"</f>
        <v>F13E9.11</v>
      </c>
      <c r="I715" t="s">
        <v>2641</v>
      </c>
      <c r="J715">
        <v>12.930736713844899</v>
      </c>
      <c r="K715">
        <v>13.1572590388056</v>
      </c>
      <c r="L715">
        <v>12.7490148692231</v>
      </c>
      <c r="M715">
        <v>13.240799946486099</v>
      </c>
      <c r="N715">
        <v>12.7733627676986</v>
      </c>
      <c r="O715">
        <v>12.9236066205596</v>
      </c>
      <c r="P715">
        <v>3.3586237623584501E-2</v>
      </c>
      <c r="Q715">
        <v>-0.45751502873941202</v>
      </c>
      <c r="R715">
        <v>0.52468750398658104</v>
      </c>
      <c r="S715">
        <v>13.1111822182701</v>
      </c>
      <c r="T715">
        <v>0.14435782014704601</v>
      </c>
      <c r="U715">
        <v>-7.0411379745031901</v>
      </c>
      <c r="V715">
        <v>0.88692592849458995</v>
      </c>
      <c r="W715">
        <v>0.96040055954866699</v>
      </c>
      <c r="X715">
        <v>0</v>
      </c>
      <c r="Y715">
        <v>0</v>
      </c>
    </row>
    <row r="716" spans="1:25" x14ac:dyDescent="0.2">
      <c r="A716" t="s">
        <v>2642</v>
      </c>
      <c r="B716" t="s">
        <v>2643</v>
      </c>
      <c r="C716" t="s">
        <v>2644</v>
      </c>
      <c r="D716" t="s">
        <v>2645</v>
      </c>
      <c r="E716" t="s">
        <v>2643</v>
      </c>
      <c r="F716" t="s">
        <v>28</v>
      </c>
      <c r="G716" t="s">
        <v>2643</v>
      </c>
      <c r="H716" t="str">
        <f>"pod-1"</f>
        <v>pod-1</v>
      </c>
      <c r="I716" t="s">
        <v>2645</v>
      </c>
      <c r="J716">
        <v>14.446631996445999</v>
      </c>
      <c r="K716">
        <v>14.1355997830532</v>
      </c>
      <c r="L716">
        <v>14.1917198648534</v>
      </c>
      <c r="M716">
        <v>14.038417501725499</v>
      </c>
      <c r="N716">
        <v>14.333747987127399</v>
      </c>
      <c r="O716">
        <v>13.8288180567474</v>
      </c>
      <c r="P716">
        <v>-0.190989366250781</v>
      </c>
      <c r="Q716">
        <v>-0.66451434098239104</v>
      </c>
      <c r="R716">
        <v>0.28253560848082998</v>
      </c>
      <c r="S716">
        <v>13.9855421705431</v>
      </c>
      <c r="T716">
        <v>-0.84773245693190502</v>
      </c>
      <c r="U716">
        <v>-6.6828877549208396</v>
      </c>
      <c r="V716">
        <v>0.407782952000872</v>
      </c>
      <c r="W716">
        <v>0.67915632042715302</v>
      </c>
      <c r="X716">
        <v>0</v>
      </c>
      <c r="Y716">
        <v>0</v>
      </c>
    </row>
    <row r="717" spans="1:25" x14ac:dyDescent="0.2">
      <c r="A717" t="s">
        <v>2646</v>
      </c>
      <c r="B717" t="s">
        <v>2647</v>
      </c>
      <c r="C717" t="s">
        <v>14320</v>
      </c>
      <c r="D717" t="s">
        <v>2648</v>
      </c>
      <c r="E717" t="s">
        <v>2647</v>
      </c>
      <c r="F717" t="s">
        <v>28</v>
      </c>
      <c r="G717" t="s">
        <v>2647</v>
      </c>
      <c r="H717" t="str">
        <f>"W07E11.1"</f>
        <v>W07E11.1</v>
      </c>
      <c r="I717" t="s">
        <v>2648</v>
      </c>
      <c r="J717">
        <v>14.0249808061071</v>
      </c>
      <c r="K717">
        <v>13.7473651449453</v>
      </c>
      <c r="L717">
        <v>13.3542312515386</v>
      </c>
      <c r="M717">
        <v>14.9004752585092</v>
      </c>
      <c r="N717">
        <v>15.1264622282549</v>
      </c>
      <c r="O717">
        <v>14.8681714278918</v>
      </c>
      <c r="P717">
        <v>1.25617723735497</v>
      </c>
      <c r="Q717">
        <v>0.80035198028669396</v>
      </c>
      <c r="R717">
        <v>1.7120024944232499</v>
      </c>
      <c r="S717">
        <v>14.3749106043913</v>
      </c>
      <c r="T717">
        <v>5.7922199758643602</v>
      </c>
      <c r="U717">
        <v>2.79519096652428</v>
      </c>
      <c r="V717" s="2">
        <v>1.76971521755611E-5</v>
      </c>
      <c r="W717">
        <v>7.1983166474094999E-4</v>
      </c>
      <c r="X717">
        <v>1</v>
      </c>
      <c r="Y717">
        <v>1</v>
      </c>
    </row>
    <row r="718" spans="1:25" x14ac:dyDescent="0.2">
      <c r="A718" t="s">
        <v>2649</v>
      </c>
      <c r="B718" t="s">
        <v>2650</v>
      </c>
      <c r="C718" t="s">
        <v>2651</v>
      </c>
      <c r="D718" t="s">
        <v>2652</v>
      </c>
      <c r="E718" t="s">
        <v>2650</v>
      </c>
      <c r="F718" t="s">
        <v>28</v>
      </c>
      <c r="G718" t="s">
        <v>2650</v>
      </c>
      <c r="H718" t="str">
        <f>"gtf-2h4"</f>
        <v>gtf-2h4</v>
      </c>
      <c r="I718" t="s">
        <v>2652</v>
      </c>
      <c r="J718">
        <v>14.032733230985899</v>
      </c>
      <c r="K718">
        <v>13.841842888509699</v>
      </c>
      <c r="L718">
        <v>13.744496094635601</v>
      </c>
      <c r="M718">
        <v>13.803928582805099</v>
      </c>
      <c r="N718">
        <v>14.222490012543799</v>
      </c>
      <c r="O718">
        <v>13.7798371380305</v>
      </c>
      <c r="P718">
        <v>6.2394506416047997E-2</v>
      </c>
      <c r="Q718">
        <v>-0.284609939392381</v>
      </c>
      <c r="R718">
        <v>0.40939895222447698</v>
      </c>
      <c r="S718">
        <v>13.8187494745941</v>
      </c>
      <c r="T718">
        <v>0.37954329854375302</v>
      </c>
      <c r="U718">
        <v>-6.97668033236104</v>
      </c>
      <c r="V718">
        <v>0.709012840334446</v>
      </c>
      <c r="W718">
        <v>0.86995768568939902</v>
      </c>
      <c r="X718">
        <v>0</v>
      </c>
      <c r="Y718">
        <v>0</v>
      </c>
    </row>
    <row r="719" spans="1:25" x14ac:dyDescent="0.2">
      <c r="A719" t="s">
        <v>2653</v>
      </c>
      <c r="B719" t="s">
        <v>2654</v>
      </c>
      <c r="C719" t="s">
        <v>14321</v>
      </c>
      <c r="D719" t="s">
        <v>2655</v>
      </c>
      <c r="E719" t="s">
        <v>2654</v>
      </c>
      <c r="F719" t="s">
        <v>28</v>
      </c>
      <c r="G719" t="s">
        <v>2654</v>
      </c>
      <c r="H719" t="str">
        <f>"Y69H2.7"</f>
        <v>Y69H2.7</v>
      </c>
      <c r="I719" t="s">
        <v>2655</v>
      </c>
      <c r="J719">
        <v>12.8828881316619</v>
      </c>
      <c r="K719">
        <v>13.0757551368888</v>
      </c>
      <c r="L719">
        <v>12.801992489416699</v>
      </c>
      <c r="M719">
        <v>13.336428717184999</v>
      </c>
      <c r="N719">
        <v>13.160176118750099</v>
      </c>
      <c r="O719">
        <v>13.009598985077201</v>
      </c>
      <c r="P719">
        <v>0.24852268768163899</v>
      </c>
      <c r="Q719">
        <v>-0.53198852516411199</v>
      </c>
      <c r="R719">
        <v>1.0290339005273901</v>
      </c>
      <c r="S719">
        <v>12.516324740601499</v>
      </c>
      <c r="T719">
        <v>0.67909182282763603</v>
      </c>
      <c r="U719">
        <v>-6.8115622148693999</v>
      </c>
      <c r="V719">
        <v>0.50749545243216998</v>
      </c>
      <c r="W719">
        <v>0.75821405060343505</v>
      </c>
      <c r="X719">
        <v>0</v>
      </c>
      <c r="Y719">
        <v>0</v>
      </c>
    </row>
    <row r="720" spans="1:25" x14ac:dyDescent="0.2">
      <c r="A720" t="s">
        <v>2656</v>
      </c>
      <c r="B720" t="s">
        <v>2657</v>
      </c>
      <c r="C720" t="s">
        <v>2658</v>
      </c>
      <c r="D720" t="s">
        <v>806</v>
      </c>
      <c r="E720" t="s">
        <v>2657</v>
      </c>
      <c r="F720" t="s">
        <v>28</v>
      </c>
      <c r="G720" t="s">
        <v>2657</v>
      </c>
      <c r="H720" t="str">
        <f>"nish-1"</f>
        <v>nish-1</v>
      </c>
      <c r="I720" t="s">
        <v>806</v>
      </c>
      <c r="J720">
        <v>12.9232670898755</v>
      </c>
      <c r="K720">
        <v>12.518161763569699</v>
      </c>
      <c r="L720">
        <v>13.0441860352727</v>
      </c>
      <c r="M720">
        <v>13.219685620902901</v>
      </c>
      <c r="N720">
        <v>13.320338544462301</v>
      </c>
      <c r="O720">
        <v>12.9922218200618</v>
      </c>
      <c r="P720">
        <v>0.34887703223637201</v>
      </c>
      <c r="Q720">
        <v>-0.122183167894184</v>
      </c>
      <c r="R720">
        <v>0.81993723236692695</v>
      </c>
      <c r="S720">
        <v>12.786721991313099</v>
      </c>
      <c r="T720">
        <v>1.57956525756509</v>
      </c>
      <c r="U720">
        <v>-5.8310172544061096</v>
      </c>
      <c r="V720">
        <v>0.135204092091818</v>
      </c>
      <c r="W720">
        <v>0.37939762056670201</v>
      </c>
      <c r="X720">
        <v>0</v>
      </c>
      <c r="Y720">
        <v>0</v>
      </c>
    </row>
    <row r="721" spans="1:25" x14ac:dyDescent="0.2">
      <c r="A721" t="s">
        <v>2659</v>
      </c>
      <c r="B721" t="s">
        <v>2660</v>
      </c>
      <c r="C721" t="s">
        <v>2661</v>
      </c>
      <c r="D721" t="s">
        <v>2217</v>
      </c>
      <c r="E721" t="s">
        <v>2660</v>
      </c>
      <c r="F721" t="s">
        <v>28</v>
      </c>
      <c r="G721" t="s">
        <v>2660</v>
      </c>
      <c r="H721" t="str">
        <f>"hpo-34"</f>
        <v>hpo-34</v>
      </c>
      <c r="I721" t="s">
        <v>2217</v>
      </c>
      <c r="J721">
        <v>12.5400651581371</v>
      </c>
      <c r="K721">
        <v>12.8416822172055</v>
      </c>
      <c r="L721">
        <v>13.2930437164722</v>
      </c>
      <c r="M721">
        <v>12.672263466917199</v>
      </c>
      <c r="N721">
        <v>11.4581315361135</v>
      </c>
      <c r="O721">
        <v>12.4737235695824</v>
      </c>
      <c r="P721">
        <v>-0.69022417306721495</v>
      </c>
      <c r="Q721">
        <v>-1.3505582631716899</v>
      </c>
      <c r="R721">
        <v>-2.9890082962739799E-2</v>
      </c>
      <c r="S721">
        <v>12.8547073052803</v>
      </c>
      <c r="T721">
        <v>-2.2063604283524998</v>
      </c>
      <c r="U721">
        <v>-4.8055379519271098</v>
      </c>
      <c r="V721">
        <v>4.1494127630488799E-2</v>
      </c>
      <c r="W721">
        <v>0.20182644440898401</v>
      </c>
      <c r="X721">
        <v>0</v>
      </c>
      <c r="Y721">
        <v>0</v>
      </c>
    </row>
    <row r="722" spans="1:25" x14ac:dyDescent="0.2">
      <c r="A722" t="s">
        <v>2662</v>
      </c>
      <c r="B722" t="s">
        <v>2663</v>
      </c>
      <c r="C722" t="s">
        <v>2664</v>
      </c>
      <c r="D722" t="s">
        <v>603</v>
      </c>
      <c r="E722" t="s">
        <v>2663</v>
      </c>
      <c r="F722" t="s">
        <v>28</v>
      </c>
      <c r="G722" t="s">
        <v>2663</v>
      </c>
      <c r="H722" t="str">
        <f>"imph-1"</f>
        <v>imph-1</v>
      </c>
      <c r="I722" t="s">
        <v>603</v>
      </c>
      <c r="J722">
        <v>16.4145688023983</v>
      </c>
      <c r="K722">
        <v>16.760446132183102</v>
      </c>
      <c r="L722">
        <v>17.0024955969606</v>
      </c>
      <c r="M722">
        <v>16.289404615626701</v>
      </c>
      <c r="N722">
        <v>16.145093534982902</v>
      </c>
      <c r="O722">
        <v>16.389565166566602</v>
      </c>
      <c r="P722">
        <v>-0.45114907145525501</v>
      </c>
      <c r="Q722">
        <v>-0.85620942151983304</v>
      </c>
      <c r="R722">
        <v>-4.60887213906769E-2</v>
      </c>
      <c r="S722">
        <v>17.0733479032376</v>
      </c>
      <c r="T722">
        <v>-2.3409538245536501</v>
      </c>
      <c r="U722">
        <v>-4.5494224371956404</v>
      </c>
      <c r="V722">
        <v>3.10186178524181E-2</v>
      </c>
      <c r="W722">
        <v>0.17312964406821299</v>
      </c>
      <c r="X722">
        <v>0</v>
      </c>
      <c r="Y722">
        <v>0</v>
      </c>
    </row>
    <row r="723" spans="1:25" x14ac:dyDescent="0.2">
      <c r="A723" t="s">
        <v>2665</v>
      </c>
      <c r="B723" t="s">
        <v>2666</v>
      </c>
      <c r="C723" t="s">
        <v>14322</v>
      </c>
      <c r="D723" t="s">
        <v>107</v>
      </c>
      <c r="E723" t="s">
        <v>2666</v>
      </c>
      <c r="F723" t="s">
        <v>28</v>
      </c>
      <c r="G723" t="s">
        <v>2666</v>
      </c>
      <c r="H723" t="str">
        <f>"F14D7.6"</f>
        <v>F14D7.6</v>
      </c>
      <c r="I723" t="s">
        <v>107</v>
      </c>
      <c r="J723" t="s">
        <v>29</v>
      </c>
      <c r="K723" t="s">
        <v>29</v>
      </c>
      <c r="L723" t="s">
        <v>29</v>
      </c>
      <c r="M723" t="s">
        <v>29</v>
      </c>
      <c r="N723" t="s">
        <v>29</v>
      </c>
      <c r="O723" t="s">
        <v>29</v>
      </c>
      <c r="P723" t="s">
        <v>29</v>
      </c>
      <c r="Q723" t="s">
        <v>29</v>
      </c>
      <c r="R723" t="s">
        <v>29</v>
      </c>
      <c r="S723">
        <v>10.930826364159699</v>
      </c>
      <c r="T723" t="s">
        <v>29</v>
      </c>
      <c r="U723" t="s">
        <v>29</v>
      </c>
      <c r="V723" t="s">
        <v>29</v>
      </c>
      <c r="W723" t="s">
        <v>29</v>
      </c>
      <c r="X723" t="s">
        <v>29</v>
      </c>
      <c r="Y723" t="s">
        <v>29</v>
      </c>
    </row>
    <row r="724" spans="1:25" x14ac:dyDescent="0.2">
      <c r="A724" t="s">
        <v>2667</v>
      </c>
      <c r="B724" t="s">
        <v>2668</v>
      </c>
      <c r="C724" t="s">
        <v>14323</v>
      </c>
      <c r="D724" t="s">
        <v>2669</v>
      </c>
      <c r="E724" t="s">
        <v>2668</v>
      </c>
      <c r="F724" t="s">
        <v>28</v>
      </c>
      <c r="G724" t="s">
        <v>2668</v>
      </c>
      <c r="H724" t="str">
        <f>"F55F10.1"</f>
        <v>F55F10.1</v>
      </c>
      <c r="I724" t="s">
        <v>2669</v>
      </c>
      <c r="J724">
        <v>13.0906394124821</v>
      </c>
      <c r="K724">
        <v>12.9211203702466</v>
      </c>
      <c r="L724">
        <v>13.0508222922993</v>
      </c>
      <c r="M724">
        <v>13.0874078512397</v>
      </c>
      <c r="N724">
        <v>13.414350237420001</v>
      </c>
      <c r="O724">
        <v>12.8810857480478</v>
      </c>
      <c r="P724">
        <v>0.10675392055980901</v>
      </c>
      <c r="Q724">
        <v>-0.29069055570185898</v>
      </c>
      <c r="R724">
        <v>0.50419839682147805</v>
      </c>
      <c r="S724">
        <v>13.075631744466</v>
      </c>
      <c r="T724">
        <v>0.56696647709854897</v>
      </c>
      <c r="U724">
        <v>-6.8846971103091104</v>
      </c>
      <c r="V724">
        <v>0.57819265989750601</v>
      </c>
      <c r="W724">
        <v>0.79857339359358503</v>
      </c>
      <c r="X724">
        <v>0</v>
      </c>
      <c r="Y724">
        <v>0</v>
      </c>
    </row>
    <row r="725" spans="1:25" x14ac:dyDescent="0.2">
      <c r="A725" t="s">
        <v>2670</v>
      </c>
      <c r="B725" t="s">
        <v>2671</v>
      </c>
      <c r="C725" t="s">
        <v>2672</v>
      </c>
      <c r="D725" t="s">
        <v>252</v>
      </c>
      <c r="E725" t="s">
        <v>2671</v>
      </c>
      <c r="F725" t="s">
        <v>28</v>
      </c>
      <c r="G725" t="s">
        <v>2671</v>
      </c>
      <c r="H725" t="str">
        <f>"unk-1"</f>
        <v>unk-1</v>
      </c>
      <c r="I725" t="s">
        <v>252</v>
      </c>
      <c r="J725" t="s">
        <v>29</v>
      </c>
      <c r="K725">
        <v>9.5526295442138593</v>
      </c>
      <c r="L725">
        <v>10.804787310241499</v>
      </c>
      <c r="M725">
        <v>12.326318990887801</v>
      </c>
      <c r="N725">
        <v>12.5359582381124</v>
      </c>
      <c r="O725">
        <v>11.884703137972799</v>
      </c>
      <c r="P725">
        <v>2.0702850284299701</v>
      </c>
      <c r="Q725">
        <v>1.2315384779834799</v>
      </c>
      <c r="R725">
        <v>2.90903157887647</v>
      </c>
      <c r="S725">
        <v>12.147512689443399</v>
      </c>
      <c r="T725">
        <v>5.2353886151550499</v>
      </c>
      <c r="U725">
        <v>1.3926353822998001</v>
      </c>
      <c r="V725" s="2">
        <v>8.3426019347033304E-5</v>
      </c>
      <c r="W725">
        <v>2.6878046233192701E-3</v>
      </c>
      <c r="X725">
        <v>1</v>
      </c>
      <c r="Y725">
        <v>1</v>
      </c>
    </row>
    <row r="726" spans="1:25" x14ac:dyDescent="0.2">
      <c r="A726" t="s">
        <v>2673</v>
      </c>
      <c r="B726" t="s">
        <v>2674</v>
      </c>
      <c r="C726" t="s">
        <v>14324</v>
      </c>
      <c r="D726" t="s">
        <v>2675</v>
      </c>
      <c r="E726" t="s">
        <v>2674</v>
      </c>
      <c r="F726" t="s">
        <v>28</v>
      </c>
      <c r="G726" t="s">
        <v>2674</v>
      </c>
      <c r="H726" t="str">
        <f>"M04C3.1"</f>
        <v>M04C3.1</v>
      </c>
      <c r="I726" t="s">
        <v>2675</v>
      </c>
      <c r="J726">
        <v>12.653483524706401</v>
      </c>
      <c r="K726">
        <v>12.692915338473499</v>
      </c>
      <c r="L726">
        <v>12.3709192222566</v>
      </c>
      <c r="M726">
        <v>12.536415934829</v>
      </c>
      <c r="N726">
        <v>12.0920904267967</v>
      </c>
      <c r="O726" t="s">
        <v>29</v>
      </c>
      <c r="P726">
        <v>-0.25818618099927798</v>
      </c>
      <c r="Q726">
        <v>-0.90267384986868704</v>
      </c>
      <c r="R726">
        <v>0.38630148787013102</v>
      </c>
      <c r="S726">
        <v>12.6500099091389</v>
      </c>
      <c r="T726">
        <v>-0.86617496214689405</v>
      </c>
      <c r="U726">
        <v>-6.5522360872441103</v>
      </c>
      <c r="V726">
        <v>0.40222325800644099</v>
      </c>
      <c r="W726">
        <v>0.67608444695680303</v>
      </c>
      <c r="X726">
        <v>0</v>
      </c>
      <c r="Y726">
        <v>0</v>
      </c>
    </row>
    <row r="727" spans="1:25" x14ac:dyDescent="0.2">
      <c r="A727" t="s">
        <v>2676</v>
      </c>
      <c r="B727" t="s">
        <v>2677</v>
      </c>
      <c r="C727" t="s">
        <v>2678</v>
      </c>
      <c r="D727" t="s">
        <v>2679</v>
      </c>
      <c r="E727" t="s">
        <v>2677</v>
      </c>
      <c r="F727" t="s">
        <v>28</v>
      </c>
      <c r="G727" t="s">
        <v>2677</v>
      </c>
      <c r="H727" t="str">
        <f>"rsp-7"</f>
        <v>rsp-7</v>
      </c>
      <c r="I727" t="s">
        <v>2679</v>
      </c>
      <c r="J727">
        <v>13.6779311885282</v>
      </c>
      <c r="K727">
        <v>12.561133643612401</v>
      </c>
      <c r="L727">
        <v>12.983153266851801</v>
      </c>
      <c r="M727" t="s">
        <v>29</v>
      </c>
      <c r="N727" t="s">
        <v>29</v>
      </c>
      <c r="O727" t="s">
        <v>29</v>
      </c>
      <c r="P727" t="s">
        <v>29</v>
      </c>
      <c r="Q727" t="s">
        <v>29</v>
      </c>
      <c r="R727" t="s">
        <v>29</v>
      </c>
      <c r="S727">
        <v>13.7250813503098</v>
      </c>
      <c r="T727" t="s">
        <v>29</v>
      </c>
      <c r="U727" t="s">
        <v>29</v>
      </c>
      <c r="V727" t="s">
        <v>29</v>
      </c>
      <c r="W727" t="s">
        <v>29</v>
      </c>
      <c r="X727" t="s">
        <v>29</v>
      </c>
      <c r="Y727" t="s">
        <v>29</v>
      </c>
    </row>
    <row r="728" spans="1:25" x14ac:dyDescent="0.2">
      <c r="A728" t="s">
        <v>2680</v>
      </c>
      <c r="B728" t="s">
        <v>2681</v>
      </c>
      <c r="C728" t="s">
        <v>14325</v>
      </c>
      <c r="D728" t="s">
        <v>2682</v>
      </c>
      <c r="E728" t="s">
        <v>2681</v>
      </c>
      <c r="F728" t="s">
        <v>28</v>
      </c>
      <c r="G728" t="s">
        <v>2681</v>
      </c>
      <c r="H728" t="str">
        <f>"T20D3.5"</f>
        <v>T20D3.5</v>
      </c>
      <c r="I728" t="s">
        <v>2682</v>
      </c>
      <c r="J728" t="s">
        <v>29</v>
      </c>
      <c r="K728" t="s">
        <v>29</v>
      </c>
      <c r="L728" t="s">
        <v>29</v>
      </c>
      <c r="M728" t="s">
        <v>29</v>
      </c>
      <c r="N728" t="s">
        <v>29</v>
      </c>
      <c r="O728" t="s">
        <v>29</v>
      </c>
      <c r="P728" t="s">
        <v>29</v>
      </c>
      <c r="Q728" t="s">
        <v>29</v>
      </c>
      <c r="R728" t="s">
        <v>29</v>
      </c>
      <c r="S728">
        <v>12.100926551240599</v>
      </c>
      <c r="T728" t="s">
        <v>29</v>
      </c>
      <c r="U728" t="s">
        <v>29</v>
      </c>
      <c r="V728" t="s">
        <v>29</v>
      </c>
      <c r="W728" t="s">
        <v>29</v>
      </c>
      <c r="X728" t="s">
        <v>29</v>
      </c>
      <c r="Y728" t="s">
        <v>29</v>
      </c>
    </row>
    <row r="729" spans="1:25" x14ac:dyDescent="0.2">
      <c r="A729" t="s">
        <v>2683</v>
      </c>
      <c r="B729" t="s">
        <v>2684</v>
      </c>
      <c r="C729" t="s">
        <v>14326</v>
      </c>
      <c r="D729" t="s">
        <v>2685</v>
      </c>
      <c r="E729" t="s">
        <v>2684</v>
      </c>
      <c r="F729" t="s">
        <v>28</v>
      </c>
      <c r="G729" t="s">
        <v>2684</v>
      </c>
      <c r="H729" t="str">
        <f>"T20D3.6"</f>
        <v>T20D3.6</v>
      </c>
      <c r="I729" t="s">
        <v>2685</v>
      </c>
      <c r="J729">
        <v>14.288878426221901</v>
      </c>
      <c r="K729">
        <v>14.2388367022217</v>
      </c>
      <c r="L729">
        <v>14.2785018016828</v>
      </c>
      <c r="M729">
        <v>14.2730664139479</v>
      </c>
      <c r="N729">
        <v>14.2633015567244</v>
      </c>
      <c r="O729">
        <v>13.533080927605701</v>
      </c>
      <c r="P729">
        <v>-0.24558934394951101</v>
      </c>
      <c r="Q729">
        <v>-0.83161810040240802</v>
      </c>
      <c r="R729">
        <v>0.340439412503385</v>
      </c>
      <c r="S729">
        <v>13.8048275524028</v>
      </c>
      <c r="T729">
        <v>-0.88458710610763103</v>
      </c>
      <c r="U729">
        <v>-6.65003465344709</v>
      </c>
      <c r="V729">
        <v>0.38879510190635302</v>
      </c>
      <c r="W729">
        <v>0.66376666401011097</v>
      </c>
      <c r="X729">
        <v>0</v>
      </c>
      <c r="Y729">
        <v>0</v>
      </c>
    </row>
    <row r="730" spans="1:25" x14ac:dyDescent="0.2">
      <c r="A730" t="s">
        <v>2686</v>
      </c>
      <c r="B730" t="s">
        <v>2687</v>
      </c>
      <c r="C730" t="s">
        <v>2688</v>
      </c>
      <c r="D730" t="s">
        <v>2689</v>
      </c>
      <c r="E730" t="s">
        <v>2687</v>
      </c>
      <c r="F730" t="s">
        <v>28</v>
      </c>
      <c r="G730" t="s">
        <v>2687</v>
      </c>
      <c r="H730" t="str">
        <f>"vps-26"</f>
        <v>vps-26</v>
      </c>
      <c r="I730" t="s">
        <v>2689</v>
      </c>
      <c r="J730">
        <v>15.072415738954099</v>
      </c>
      <c r="K730">
        <v>14.8434645105329</v>
      </c>
      <c r="L730">
        <v>14.852709074530299</v>
      </c>
      <c r="M730">
        <v>14.5849032707614</v>
      </c>
      <c r="N730">
        <v>14.339912928941001</v>
      </c>
      <c r="O730">
        <v>14.1655579200698</v>
      </c>
      <c r="P730">
        <v>-0.55940506808173396</v>
      </c>
      <c r="Q730">
        <v>-1.0539917683484601</v>
      </c>
      <c r="R730">
        <v>-6.4818367815012601E-2</v>
      </c>
      <c r="S730">
        <v>14.133606342422</v>
      </c>
      <c r="T730">
        <v>-2.3874483017795201</v>
      </c>
      <c r="U730">
        <v>-4.4731256850088297</v>
      </c>
      <c r="V730">
        <v>2.89284856560462E-2</v>
      </c>
      <c r="W730">
        <v>0.16812558455250801</v>
      </c>
      <c r="X730">
        <v>0</v>
      </c>
      <c r="Y730">
        <v>0</v>
      </c>
    </row>
    <row r="731" spans="1:25" x14ac:dyDescent="0.2">
      <c r="A731" t="s">
        <v>2690</v>
      </c>
      <c r="B731" t="s">
        <v>2691</v>
      </c>
      <c r="C731" t="s">
        <v>14327</v>
      </c>
      <c r="D731" t="s">
        <v>2692</v>
      </c>
      <c r="E731" t="s">
        <v>2691</v>
      </c>
      <c r="F731" t="s">
        <v>28</v>
      </c>
      <c r="G731" t="s">
        <v>2691</v>
      </c>
      <c r="H731" t="str">
        <f>"F18A11.2"</f>
        <v>F18A11.2</v>
      </c>
      <c r="I731" t="s">
        <v>2692</v>
      </c>
      <c r="J731">
        <v>10.6232888121383</v>
      </c>
      <c r="K731">
        <v>10.8307149459156</v>
      </c>
      <c r="L731" t="s">
        <v>29</v>
      </c>
      <c r="M731">
        <v>10.8508705833321</v>
      </c>
      <c r="N731">
        <v>11.294875389144099</v>
      </c>
      <c r="O731">
        <v>11.074230007258</v>
      </c>
      <c r="P731">
        <v>0.34632344755113698</v>
      </c>
      <c r="Q731">
        <v>-0.47550447617131397</v>
      </c>
      <c r="R731">
        <v>1.16815137127359</v>
      </c>
      <c r="S731">
        <v>11.0068018831366</v>
      </c>
      <c r="T731">
        <v>0.89875766755169695</v>
      </c>
      <c r="U731">
        <v>-6.5256625351077702</v>
      </c>
      <c r="V731">
        <v>0.38308096927477803</v>
      </c>
      <c r="W731">
        <v>0.65815494932424901</v>
      </c>
      <c r="X731">
        <v>0</v>
      </c>
      <c r="Y731">
        <v>0</v>
      </c>
    </row>
    <row r="732" spans="1:25" x14ac:dyDescent="0.2">
      <c r="A732" t="s">
        <v>2693</v>
      </c>
      <c r="B732" t="s">
        <v>2694</v>
      </c>
      <c r="C732" t="s">
        <v>2695</v>
      </c>
      <c r="D732" t="s">
        <v>2696</v>
      </c>
      <c r="E732" t="s">
        <v>2694</v>
      </c>
      <c r="F732" t="s">
        <v>28</v>
      </c>
      <c r="G732" t="s">
        <v>2694</v>
      </c>
      <c r="H732" t="str">
        <f>"drsh-1"</f>
        <v>drsh-1</v>
      </c>
      <c r="I732" t="s">
        <v>2696</v>
      </c>
      <c r="J732" t="s">
        <v>29</v>
      </c>
      <c r="K732" t="s">
        <v>29</v>
      </c>
      <c r="L732" t="s">
        <v>29</v>
      </c>
      <c r="M732" t="s">
        <v>29</v>
      </c>
      <c r="N732" t="s">
        <v>29</v>
      </c>
      <c r="O732">
        <v>10.508620111957599</v>
      </c>
      <c r="P732" t="s">
        <v>29</v>
      </c>
      <c r="Q732" t="s">
        <v>29</v>
      </c>
      <c r="R732" t="s">
        <v>29</v>
      </c>
      <c r="S732">
        <v>12.4932048105989</v>
      </c>
      <c r="T732" t="s">
        <v>29</v>
      </c>
      <c r="U732" t="s">
        <v>29</v>
      </c>
      <c r="V732" t="s">
        <v>29</v>
      </c>
      <c r="W732" t="s">
        <v>29</v>
      </c>
      <c r="X732" t="s">
        <v>29</v>
      </c>
      <c r="Y732" t="s">
        <v>29</v>
      </c>
    </row>
    <row r="733" spans="1:25" x14ac:dyDescent="0.2">
      <c r="A733" t="s">
        <v>2697</v>
      </c>
      <c r="B733" t="s">
        <v>2698</v>
      </c>
      <c r="C733" t="s">
        <v>2699</v>
      </c>
      <c r="D733" t="s">
        <v>2700</v>
      </c>
      <c r="E733" t="s">
        <v>2698</v>
      </c>
      <c r="F733" t="s">
        <v>28</v>
      </c>
      <c r="G733" t="s">
        <v>2698</v>
      </c>
      <c r="H733" t="str">
        <f>"csn-2"</f>
        <v>csn-2</v>
      </c>
      <c r="I733" t="s">
        <v>2700</v>
      </c>
      <c r="J733">
        <v>13.126845561351001</v>
      </c>
      <c r="K733">
        <v>13.258624780110701</v>
      </c>
      <c r="L733">
        <v>13.250548143567</v>
      </c>
      <c r="M733">
        <v>13.096127734004501</v>
      </c>
      <c r="N733">
        <v>13.642709829190499</v>
      </c>
      <c r="O733">
        <v>13.431823428246799</v>
      </c>
      <c r="P733">
        <v>0.17821416880435201</v>
      </c>
      <c r="Q733">
        <v>-0.25631474993233</v>
      </c>
      <c r="R733">
        <v>0.61274308754103401</v>
      </c>
      <c r="S733">
        <v>12.910268272393299</v>
      </c>
      <c r="T733">
        <v>0.86990749827039304</v>
      </c>
      <c r="U733">
        <v>-6.6621455982968003</v>
      </c>
      <c r="V733">
        <v>0.39729790148612598</v>
      </c>
      <c r="W733">
        <v>0.67168360383171599</v>
      </c>
      <c r="X733">
        <v>0</v>
      </c>
      <c r="Y733">
        <v>0</v>
      </c>
    </row>
    <row r="734" spans="1:25" x14ac:dyDescent="0.2">
      <c r="A734" t="s">
        <v>2701</v>
      </c>
      <c r="B734" t="s">
        <v>2702</v>
      </c>
      <c r="C734" t="s">
        <v>2703</v>
      </c>
      <c r="D734" t="s">
        <v>2704</v>
      </c>
      <c r="E734" t="s">
        <v>2702</v>
      </c>
      <c r="F734" t="s">
        <v>28</v>
      </c>
      <c r="G734" t="s">
        <v>2702</v>
      </c>
      <c r="H734" t="str">
        <f>"air-2"</f>
        <v>air-2</v>
      </c>
      <c r="I734" t="s">
        <v>2704</v>
      </c>
      <c r="J734">
        <v>11.364093199456301</v>
      </c>
      <c r="K734" t="s">
        <v>29</v>
      </c>
      <c r="L734">
        <v>10.746033464113401</v>
      </c>
      <c r="M734">
        <v>10.934006333540999</v>
      </c>
      <c r="N734">
        <v>12.6467093120371</v>
      </c>
      <c r="O734">
        <v>11.730813761138201</v>
      </c>
      <c r="P734">
        <v>0.71544647045390497</v>
      </c>
      <c r="Q734">
        <v>-9.38635081633067E-2</v>
      </c>
      <c r="R734">
        <v>1.5247564490711201</v>
      </c>
      <c r="S734">
        <v>11.3905432016624</v>
      </c>
      <c r="T734">
        <v>1.9113908151206001</v>
      </c>
      <c r="U734">
        <v>-5.2263848170506302</v>
      </c>
      <c r="V734">
        <v>7.8435206908415905E-2</v>
      </c>
      <c r="W734">
        <v>0.28806790437921598</v>
      </c>
      <c r="X734">
        <v>0</v>
      </c>
      <c r="Y734">
        <v>0</v>
      </c>
    </row>
    <row r="735" spans="1:25" x14ac:dyDescent="0.2">
      <c r="A735" t="s">
        <v>2705</v>
      </c>
      <c r="B735" t="s">
        <v>2706</v>
      </c>
      <c r="C735" t="s">
        <v>2707</v>
      </c>
      <c r="D735" t="s">
        <v>2708</v>
      </c>
      <c r="E735" t="s">
        <v>2706</v>
      </c>
      <c r="F735" t="s">
        <v>28</v>
      </c>
      <c r="G735" t="s">
        <v>2706</v>
      </c>
      <c r="H735" t="str">
        <f>"B0261.6"</f>
        <v>B0261.6</v>
      </c>
      <c r="I735" t="s">
        <v>2708</v>
      </c>
      <c r="J735">
        <v>14.0431305243852</v>
      </c>
      <c r="K735">
        <v>10.9711115760407</v>
      </c>
      <c r="L735">
        <v>13.899173746685801</v>
      </c>
      <c r="M735" t="s">
        <v>29</v>
      </c>
      <c r="N735">
        <v>15.967096171862799</v>
      </c>
      <c r="O735">
        <v>14.829132366232299</v>
      </c>
      <c r="P735">
        <v>2.4269756533436699</v>
      </c>
      <c r="Q735">
        <v>0.644552048829379</v>
      </c>
      <c r="R735">
        <v>4.20939925785797</v>
      </c>
      <c r="S735">
        <v>13.779625030625199</v>
      </c>
      <c r="T735">
        <v>2.90399658039901</v>
      </c>
      <c r="U735">
        <v>-3.4170080400359599</v>
      </c>
      <c r="V735">
        <v>1.09688062553125E-2</v>
      </c>
      <c r="W735">
        <v>9.2949207173924006E-2</v>
      </c>
      <c r="X735">
        <v>1</v>
      </c>
      <c r="Y735">
        <v>0</v>
      </c>
    </row>
    <row r="736" spans="1:25" x14ac:dyDescent="0.2">
      <c r="A736" t="s">
        <v>2709</v>
      </c>
      <c r="B736" t="s">
        <v>2710</v>
      </c>
      <c r="C736" t="s">
        <v>2711</v>
      </c>
      <c r="D736" t="s">
        <v>2712</v>
      </c>
      <c r="E736" t="s">
        <v>2710</v>
      </c>
      <c r="F736" t="s">
        <v>28</v>
      </c>
      <c r="G736" t="s">
        <v>2710</v>
      </c>
      <c r="H736" t="str">
        <f>"vep-1"</f>
        <v>vep-1</v>
      </c>
      <c r="I736" t="s">
        <v>2712</v>
      </c>
      <c r="J736">
        <v>10.457885250100199</v>
      </c>
      <c r="K736" t="s">
        <v>29</v>
      </c>
      <c r="L736">
        <v>10.7600486671975</v>
      </c>
      <c r="M736">
        <v>8.7003688091695697</v>
      </c>
      <c r="N736">
        <v>10.326838802289799</v>
      </c>
      <c r="O736">
        <v>10.191526581978801</v>
      </c>
      <c r="P736">
        <v>-0.86938889416945897</v>
      </c>
      <c r="Q736">
        <v>-1.7224161785180401</v>
      </c>
      <c r="R736">
        <v>-1.63616098208791E-2</v>
      </c>
      <c r="S736">
        <v>10.908061770112401</v>
      </c>
      <c r="T736">
        <v>-2.1736657957904901</v>
      </c>
      <c r="U736">
        <v>-4.7748425050267098</v>
      </c>
      <c r="V736">
        <v>4.6274448776837299E-2</v>
      </c>
      <c r="W736">
        <v>0.21328194946151399</v>
      </c>
      <c r="X736">
        <v>0</v>
      </c>
      <c r="Y736">
        <v>0</v>
      </c>
    </row>
    <row r="737" spans="1:25" x14ac:dyDescent="0.2">
      <c r="A737" t="s">
        <v>2713</v>
      </c>
      <c r="B737" t="s">
        <v>2714</v>
      </c>
      <c r="C737" t="s">
        <v>2715</v>
      </c>
      <c r="D737" t="s">
        <v>2716</v>
      </c>
      <c r="E737" t="s">
        <v>2714</v>
      </c>
      <c r="F737" t="s">
        <v>28</v>
      </c>
      <c r="G737" t="s">
        <v>2714</v>
      </c>
      <c r="H737" t="str">
        <f>"B0261.7"</f>
        <v>B0261.7</v>
      </c>
      <c r="I737" t="s">
        <v>2716</v>
      </c>
      <c r="J737" t="s">
        <v>29</v>
      </c>
      <c r="K737" t="s">
        <v>29</v>
      </c>
      <c r="L737" t="s">
        <v>29</v>
      </c>
      <c r="M737" t="s">
        <v>29</v>
      </c>
      <c r="N737" t="s">
        <v>29</v>
      </c>
      <c r="O737" t="s">
        <v>29</v>
      </c>
      <c r="P737" t="s">
        <v>29</v>
      </c>
      <c r="Q737" t="s">
        <v>29</v>
      </c>
      <c r="R737" t="s">
        <v>29</v>
      </c>
      <c r="S737">
        <v>11.7454211665193</v>
      </c>
      <c r="T737" t="s">
        <v>29</v>
      </c>
      <c r="U737" t="s">
        <v>29</v>
      </c>
      <c r="V737" t="s">
        <v>29</v>
      </c>
      <c r="W737" t="s">
        <v>29</v>
      </c>
      <c r="X737" t="s">
        <v>29</v>
      </c>
      <c r="Y737" t="s">
        <v>29</v>
      </c>
    </row>
    <row r="738" spans="1:25" x14ac:dyDescent="0.2">
      <c r="A738" t="s">
        <v>2717</v>
      </c>
      <c r="B738" t="s">
        <v>2718</v>
      </c>
      <c r="C738" t="s">
        <v>2719</v>
      </c>
      <c r="D738" t="s">
        <v>2720</v>
      </c>
      <c r="E738" t="s">
        <v>2718</v>
      </c>
      <c r="F738" t="s">
        <v>28</v>
      </c>
      <c r="G738" t="s">
        <v>2718</v>
      </c>
      <c r="H738" t="str">
        <f>"C04E6.11"</f>
        <v>C04E6.11</v>
      </c>
      <c r="I738" t="s">
        <v>2720</v>
      </c>
      <c r="J738">
        <v>12.573188124519801</v>
      </c>
      <c r="K738">
        <v>12.578844895904799</v>
      </c>
      <c r="L738">
        <v>13.2764990414903</v>
      </c>
      <c r="M738" t="s">
        <v>29</v>
      </c>
      <c r="N738">
        <v>12.953718784425</v>
      </c>
      <c r="O738">
        <v>12.6964730711884</v>
      </c>
      <c r="P738">
        <v>1.55852405017054E-2</v>
      </c>
      <c r="Q738">
        <v>-0.51160316410852902</v>
      </c>
      <c r="R738">
        <v>0.54277364511193904</v>
      </c>
      <c r="S738">
        <v>12.848582981506601</v>
      </c>
      <c r="T738">
        <v>6.2704280478983299E-2</v>
      </c>
      <c r="U738">
        <v>-6.9393615790187102</v>
      </c>
      <c r="V738">
        <v>0.95078373042258602</v>
      </c>
      <c r="W738">
        <v>0.97752358457809096</v>
      </c>
      <c r="X738">
        <v>0</v>
      </c>
      <c r="Y738">
        <v>0</v>
      </c>
    </row>
    <row r="739" spans="1:25" x14ac:dyDescent="0.2">
      <c r="A739" t="s">
        <v>2721</v>
      </c>
      <c r="B739" t="s">
        <v>2722</v>
      </c>
      <c r="C739" t="s">
        <v>2723</v>
      </c>
      <c r="D739" t="s">
        <v>2724</v>
      </c>
      <c r="E739" t="s">
        <v>2722</v>
      </c>
      <c r="F739" t="s">
        <v>28</v>
      </c>
      <c r="G739" t="s">
        <v>2722</v>
      </c>
      <c r="H739" t="str">
        <f>"simr-1"</f>
        <v>simr-1</v>
      </c>
      <c r="I739" t="s">
        <v>2724</v>
      </c>
      <c r="J739">
        <v>11.8979437525922</v>
      </c>
      <c r="K739">
        <v>12.235962018034</v>
      </c>
      <c r="L739">
        <v>12.877760510751701</v>
      </c>
      <c r="M739" t="s">
        <v>29</v>
      </c>
      <c r="N739">
        <v>13.0714996811015</v>
      </c>
      <c r="O739">
        <v>12.592848759587801</v>
      </c>
      <c r="P739">
        <v>0.49495212655207199</v>
      </c>
      <c r="Q739">
        <v>-0.298924436292755</v>
      </c>
      <c r="R739">
        <v>1.2888286893969001</v>
      </c>
      <c r="S739">
        <v>13.1968254168229</v>
      </c>
      <c r="T739">
        <v>1.34802348436397</v>
      </c>
      <c r="U739">
        <v>-6.0344714253339404</v>
      </c>
      <c r="V739">
        <v>0.20085524820390599</v>
      </c>
      <c r="W739">
        <v>0.46189609728304498</v>
      </c>
      <c r="X739">
        <v>0</v>
      </c>
      <c r="Y739">
        <v>0</v>
      </c>
    </row>
    <row r="740" spans="1:25" x14ac:dyDescent="0.2">
      <c r="A740" t="s">
        <v>2725</v>
      </c>
      <c r="B740" t="s">
        <v>2726</v>
      </c>
      <c r="C740" t="s">
        <v>2727</v>
      </c>
      <c r="D740" t="s">
        <v>2728</v>
      </c>
      <c r="E740" t="s">
        <v>2726</v>
      </c>
      <c r="F740" t="s">
        <v>28</v>
      </c>
      <c r="G740" t="s">
        <v>2726</v>
      </c>
      <c r="H740" t="str">
        <f>"unc-94"</f>
        <v>unc-94</v>
      </c>
      <c r="I740" t="s">
        <v>2728</v>
      </c>
      <c r="J740" t="s">
        <v>29</v>
      </c>
      <c r="K740" t="s">
        <v>29</v>
      </c>
      <c r="L740" t="s">
        <v>29</v>
      </c>
      <c r="M740">
        <v>12.257760640612601</v>
      </c>
      <c r="N740">
        <v>12.4072511866082</v>
      </c>
      <c r="O740">
        <v>12.3580704046454</v>
      </c>
      <c r="P740" t="s">
        <v>29</v>
      </c>
      <c r="Q740" t="s">
        <v>29</v>
      </c>
      <c r="R740" t="s">
        <v>29</v>
      </c>
      <c r="S740">
        <v>12.2289203838088</v>
      </c>
      <c r="T740" t="s">
        <v>29</v>
      </c>
      <c r="U740" t="s">
        <v>29</v>
      </c>
      <c r="V740" t="s">
        <v>29</v>
      </c>
      <c r="W740" t="s">
        <v>29</v>
      </c>
      <c r="X740" t="s">
        <v>29</v>
      </c>
      <c r="Y740" t="s">
        <v>29</v>
      </c>
    </row>
    <row r="741" spans="1:25" x14ac:dyDescent="0.2">
      <c r="A741" t="s">
        <v>2729</v>
      </c>
      <c r="B741" t="s">
        <v>2730</v>
      </c>
      <c r="C741" t="s">
        <v>2731</v>
      </c>
      <c r="D741" t="s">
        <v>2732</v>
      </c>
      <c r="E741" t="s">
        <v>2730</v>
      </c>
      <c r="F741" t="s">
        <v>28</v>
      </c>
      <c r="G741" t="s">
        <v>2730</v>
      </c>
      <c r="H741" t="str">
        <f>"ints-1"</f>
        <v>ints-1</v>
      </c>
      <c r="I741" t="s">
        <v>2732</v>
      </c>
      <c r="J741">
        <v>12.5966727908627</v>
      </c>
      <c r="K741">
        <v>12.2902454106683</v>
      </c>
      <c r="L741">
        <v>12.224605221423399</v>
      </c>
      <c r="M741">
        <v>11.586588344980701</v>
      </c>
      <c r="N741">
        <v>12.2137211800617</v>
      </c>
      <c r="O741">
        <v>11.1724910840153</v>
      </c>
      <c r="P741">
        <v>-0.71290760463221403</v>
      </c>
      <c r="Q741">
        <v>-1.30090834837268</v>
      </c>
      <c r="R741">
        <v>-0.124906860891747</v>
      </c>
      <c r="S741">
        <v>12.5739010384032</v>
      </c>
      <c r="T741">
        <v>-2.57160879146398</v>
      </c>
      <c r="U741">
        <v>-4.1391913927740704</v>
      </c>
      <c r="V741">
        <v>2.0564100599508101E-2</v>
      </c>
      <c r="W741">
        <v>0.13894966758181601</v>
      </c>
      <c r="X741">
        <v>0</v>
      </c>
      <c r="Y741">
        <v>0</v>
      </c>
    </row>
    <row r="742" spans="1:25" x14ac:dyDescent="0.2">
      <c r="A742" t="s">
        <v>2733</v>
      </c>
      <c r="B742" t="s">
        <v>2734</v>
      </c>
      <c r="C742" t="s">
        <v>2735</v>
      </c>
      <c r="D742" t="s">
        <v>2736</v>
      </c>
      <c r="E742" t="s">
        <v>2734</v>
      </c>
      <c r="F742" t="s">
        <v>28</v>
      </c>
      <c r="G742" t="s">
        <v>2734</v>
      </c>
      <c r="H742" t="str">
        <f>"soap-1"</f>
        <v>soap-1</v>
      </c>
      <c r="I742" t="s">
        <v>2736</v>
      </c>
      <c r="J742">
        <v>12.980884931736099</v>
      </c>
      <c r="K742">
        <v>13.234545905712499</v>
      </c>
      <c r="L742">
        <v>12.8977792623476</v>
      </c>
      <c r="M742">
        <v>13.1467982490114</v>
      </c>
      <c r="N742">
        <v>13.115936326736501</v>
      </c>
      <c r="O742">
        <v>12.8553976387541</v>
      </c>
      <c r="P742">
        <v>1.6407049019182599E-3</v>
      </c>
      <c r="Q742">
        <v>-0.41767885710045</v>
      </c>
      <c r="R742">
        <v>0.42096026690428701</v>
      </c>
      <c r="S742">
        <v>12.942855430629701</v>
      </c>
      <c r="T742">
        <v>8.2239008426255901E-3</v>
      </c>
      <c r="U742">
        <v>-7.0520509986893503</v>
      </c>
      <c r="V742">
        <v>0.99352933872673699</v>
      </c>
      <c r="W742">
        <v>0.99659200623206001</v>
      </c>
      <c r="X742">
        <v>0</v>
      </c>
      <c r="Y742">
        <v>0</v>
      </c>
    </row>
    <row r="743" spans="1:25" x14ac:dyDescent="0.2">
      <c r="A743" t="s">
        <v>2737</v>
      </c>
      <c r="B743" t="s">
        <v>2738</v>
      </c>
      <c r="C743" t="s">
        <v>2739</v>
      </c>
      <c r="D743" t="s">
        <v>561</v>
      </c>
      <c r="E743" t="s">
        <v>2738</v>
      </c>
      <c r="F743" t="s">
        <v>28</v>
      </c>
      <c r="G743" t="s">
        <v>2738</v>
      </c>
      <c r="H743" t="str">
        <f>"tyr-4"</f>
        <v>tyr-4</v>
      </c>
      <c r="I743" t="s">
        <v>561</v>
      </c>
      <c r="J743">
        <v>14.186076533824499</v>
      </c>
      <c r="K743">
        <v>14.494356757701899</v>
      </c>
      <c r="L743">
        <v>14.7377631662676</v>
      </c>
      <c r="M743">
        <v>14.386212544746501</v>
      </c>
      <c r="N743">
        <v>13.874653767427301</v>
      </c>
      <c r="O743">
        <v>14.111733612105001</v>
      </c>
      <c r="P743">
        <v>-0.348532177838418</v>
      </c>
      <c r="Q743">
        <v>-0.79403715415708298</v>
      </c>
      <c r="R743">
        <v>9.6972798480246494E-2</v>
      </c>
      <c r="S743">
        <v>14.921090071002199</v>
      </c>
      <c r="T743">
        <v>-1.64430672758038</v>
      </c>
      <c r="U743">
        <v>-5.7332165842132099</v>
      </c>
      <c r="V743">
        <v>0.117565100945484</v>
      </c>
      <c r="W743">
        <v>0.35290720882152199</v>
      </c>
      <c r="X743">
        <v>0</v>
      </c>
      <c r="Y743">
        <v>0</v>
      </c>
    </row>
    <row r="744" spans="1:25" x14ac:dyDescent="0.2">
      <c r="A744" t="s">
        <v>2740</v>
      </c>
      <c r="B744" t="s">
        <v>2741</v>
      </c>
      <c r="C744" t="s">
        <v>2742</v>
      </c>
      <c r="D744" t="s">
        <v>666</v>
      </c>
      <c r="E744" t="s">
        <v>2741</v>
      </c>
      <c r="F744" t="s">
        <v>28</v>
      </c>
      <c r="G744" t="s">
        <v>2741</v>
      </c>
      <c r="H744" t="str">
        <f>"pqn-20"</f>
        <v>pqn-20</v>
      </c>
      <c r="I744" t="s">
        <v>666</v>
      </c>
      <c r="J744">
        <v>13.017040475193401</v>
      </c>
      <c r="K744" t="s">
        <v>29</v>
      </c>
      <c r="L744">
        <v>12.830110354631101</v>
      </c>
      <c r="M744" t="s">
        <v>29</v>
      </c>
      <c r="N744" t="s">
        <v>29</v>
      </c>
      <c r="O744">
        <v>11.8968424621946</v>
      </c>
      <c r="P744">
        <v>-1.0267329527176601</v>
      </c>
      <c r="Q744">
        <v>-1.72314543725384</v>
      </c>
      <c r="R744">
        <v>-0.33032046818147598</v>
      </c>
      <c r="S744">
        <v>12.130933199985099</v>
      </c>
      <c r="T744">
        <v>-3.2154070913584301</v>
      </c>
      <c r="U744">
        <v>-2.7093973784364098</v>
      </c>
      <c r="V744">
        <v>7.4941728399388497E-3</v>
      </c>
      <c r="W744">
        <v>7.1513309152964805E-2</v>
      </c>
      <c r="X744">
        <v>-1</v>
      </c>
      <c r="Y744">
        <v>0</v>
      </c>
    </row>
    <row r="745" spans="1:25" x14ac:dyDescent="0.2">
      <c r="A745" t="s">
        <v>2743</v>
      </c>
      <c r="B745" t="s">
        <v>2744</v>
      </c>
      <c r="C745" t="s">
        <v>2745</v>
      </c>
      <c r="D745" t="s">
        <v>2746</v>
      </c>
      <c r="E745" t="s">
        <v>2744</v>
      </c>
      <c r="F745" t="s">
        <v>28</v>
      </c>
      <c r="G745" t="s">
        <v>2744</v>
      </c>
      <c r="H745" t="str">
        <f>"smg-1"</f>
        <v>smg-1</v>
      </c>
      <c r="I745" t="s">
        <v>2746</v>
      </c>
      <c r="J745">
        <v>11.6665401430706</v>
      </c>
      <c r="K745">
        <v>11.697569855405501</v>
      </c>
      <c r="L745">
        <v>11.213289625666601</v>
      </c>
      <c r="M745">
        <v>11.124590849964401</v>
      </c>
      <c r="N745">
        <v>12.063897351906601</v>
      </c>
      <c r="O745">
        <v>11.9004238309949</v>
      </c>
      <c r="P745">
        <v>0.17050413624101399</v>
      </c>
      <c r="Q745">
        <v>-0.34500895592483</v>
      </c>
      <c r="R745">
        <v>0.68601722840685897</v>
      </c>
      <c r="S745">
        <v>11.9425971610457</v>
      </c>
      <c r="T745">
        <v>0.70540222554294096</v>
      </c>
      <c r="U745">
        <v>-6.7928748516920399</v>
      </c>
      <c r="V745">
        <v>0.49144517436102803</v>
      </c>
      <c r="W745">
        <v>0.74483586277167402</v>
      </c>
      <c r="X745">
        <v>0</v>
      </c>
      <c r="Y745">
        <v>0</v>
      </c>
    </row>
    <row r="746" spans="1:25" x14ac:dyDescent="0.2">
      <c r="A746" t="s">
        <v>2747</v>
      </c>
      <c r="B746" t="s">
        <v>2748</v>
      </c>
      <c r="C746" t="s">
        <v>2749</v>
      </c>
      <c r="D746" t="s">
        <v>2750</v>
      </c>
      <c r="E746" t="s">
        <v>2748</v>
      </c>
      <c r="F746" t="s">
        <v>28</v>
      </c>
      <c r="G746" t="s">
        <v>2748</v>
      </c>
      <c r="H746" t="str">
        <f>"C48B6.2"</f>
        <v>C48B6.2</v>
      </c>
      <c r="I746" t="s">
        <v>2750</v>
      </c>
      <c r="J746" t="s">
        <v>29</v>
      </c>
      <c r="K746" t="s">
        <v>29</v>
      </c>
      <c r="L746" t="s">
        <v>29</v>
      </c>
      <c r="M746">
        <v>11.7755012798201</v>
      </c>
      <c r="N746">
        <v>11.811198400633</v>
      </c>
      <c r="O746">
        <v>12.4160564811431</v>
      </c>
      <c r="P746" t="s">
        <v>29</v>
      </c>
      <c r="Q746" t="s">
        <v>29</v>
      </c>
      <c r="R746" t="s">
        <v>29</v>
      </c>
      <c r="S746">
        <v>13.6390028351142</v>
      </c>
      <c r="T746" t="s">
        <v>29</v>
      </c>
      <c r="U746" t="s">
        <v>29</v>
      </c>
      <c r="V746" t="s">
        <v>29</v>
      </c>
      <c r="W746" t="s">
        <v>29</v>
      </c>
      <c r="X746" t="s">
        <v>29</v>
      </c>
      <c r="Y746" t="s">
        <v>29</v>
      </c>
    </row>
    <row r="747" spans="1:25" x14ac:dyDescent="0.2">
      <c r="A747" t="s">
        <v>2751</v>
      </c>
      <c r="B747" t="s">
        <v>2752</v>
      </c>
      <c r="C747" t="s">
        <v>2753</v>
      </c>
      <c r="D747" t="s">
        <v>2754</v>
      </c>
      <c r="E747" t="s">
        <v>2752</v>
      </c>
      <c r="F747" t="s">
        <v>28</v>
      </c>
      <c r="G747" t="s">
        <v>2752</v>
      </c>
      <c r="H747" t="str">
        <f>"ets-6"</f>
        <v>ets-6</v>
      </c>
      <c r="I747" t="s">
        <v>2754</v>
      </c>
      <c r="J747" t="s">
        <v>29</v>
      </c>
      <c r="K747" t="s">
        <v>29</v>
      </c>
      <c r="L747" t="s">
        <v>29</v>
      </c>
      <c r="M747" t="s">
        <v>29</v>
      </c>
      <c r="N747" t="s">
        <v>29</v>
      </c>
      <c r="O747" t="s">
        <v>29</v>
      </c>
      <c r="P747" t="s">
        <v>29</v>
      </c>
      <c r="Q747" t="s">
        <v>29</v>
      </c>
      <c r="R747" t="s">
        <v>29</v>
      </c>
      <c r="S747">
        <v>10.9794789446559</v>
      </c>
      <c r="T747" t="s">
        <v>29</v>
      </c>
      <c r="U747" t="s">
        <v>29</v>
      </c>
      <c r="V747" t="s">
        <v>29</v>
      </c>
      <c r="W747" t="s">
        <v>29</v>
      </c>
      <c r="X747" t="s">
        <v>29</v>
      </c>
      <c r="Y747" t="s">
        <v>29</v>
      </c>
    </row>
    <row r="748" spans="1:25" x14ac:dyDescent="0.2">
      <c r="A748" t="s">
        <v>2755</v>
      </c>
      <c r="B748" t="s">
        <v>2756</v>
      </c>
      <c r="C748" t="s">
        <v>2757</v>
      </c>
      <c r="D748" t="s">
        <v>107</v>
      </c>
      <c r="E748" t="s">
        <v>2756</v>
      </c>
      <c r="F748" t="s">
        <v>28</v>
      </c>
      <c r="G748" t="s">
        <v>2756</v>
      </c>
      <c r="H748" t="str">
        <f>"slc-17.5"</f>
        <v>slc-17.5</v>
      </c>
      <c r="I748" t="s">
        <v>107</v>
      </c>
      <c r="J748">
        <v>9.4365898963526806</v>
      </c>
      <c r="K748">
        <v>8.9451371155314501</v>
      </c>
      <c r="L748" t="s">
        <v>29</v>
      </c>
      <c r="M748" t="s">
        <v>29</v>
      </c>
      <c r="N748">
        <v>9.2390587427483908</v>
      </c>
      <c r="O748" t="s">
        <v>29</v>
      </c>
      <c r="P748">
        <v>4.8195236806327202E-2</v>
      </c>
      <c r="Q748">
        <v>-1.2814672553580699</v>
      </c>
      <c r="R748">
        <v>1.3778577289707199</v>
      </c>
      <c r="S748">
        <v>9.6290056441617899</v>
      </c>
      <c r="T748">
        <v>8.0877848708831898E-2</v>
      </c>
      <c r="U748">
        <v>-6.6476491211763804</v>
      </c>
      <c r="V748">
        <v>0.93715153994201394</v>
      </c>
      <c r="W748">
        <v>0.97535311084156295</v>
      </c>
      <c r="X748">
        <v>0</v>
      </c>
      <c r="Y748">
        <v>0</v>
      </c>
    </row>
    <row r="749" spans="1:25" x14ac:dyDescent="0.2">
      <c r="A749" t="s">
        <v>2758</v>
      </c>
      <c r="B749" t="s">
        <v>2759</v>
      </c>
      <c r="C749" t="s">
        <v>2760</v>
      </c>
      <c r="D749" t="s">
        <v>2761</v>
      </c>
      <c r="E749" t="s">
        <v>2759</v>
      </c>
      <c r="F749" t="s">
        <v>28</v>
      </c>
      <c r="G749" t="s">
        <v>2759</v>
      </c>
      <c r="H749" t="str">
        <f>"aars-2"</f>
        <v>aars-2</v>
      </c>
      <c r="I749" t="s">
        <v>2761</v>
      </c>
      <c r="J749">
        <v>15.8772746545602</v>
      </c>
      <c r="K749">
        <v>15.6124799841207</v>
      </c>
      <c r="L749">
        <v>15.6834310176157</v>
      </c>
      <c r="M749">
        <v>15.389113583919601</v>
      </c>
      <c r="N749">
        <v>15.483370189802701</v>
      </c>
      <c r="O749">
        <v>15.5416115750713</v>
      </c>
      <c r="P749">
        <v>-0.25303010250097902</v>
      </c>
      <c r="Q749">
        <v>-0.59132866554324504</v>
      </c>
      <c r="R749">
        <v>8.52684605412867E-2</v>
      </c>
      <c r="S749">
        <v>15.400712498251099</v>
      </c>
      <c r="T749">
        <v>-1.5720434719948999</v>
      </c>
      <c r="U749">
        <v>-5.8395223885128802</v>
      </c>
      <c r="V749">
        <v>0.13345362100817501</v>
      </c>
      <c r="W749">
        <v>0.37893375459040401</v>
      </c>
      <c r="X749">
        <v>0</v>
      </c>
      <c r="Y749">
        <v>0</v>
      </c>
    </row>
    <row r="750" spans="1:25" x14ac:dyDescent="0.2">
      <c r="A750" t="s">
        <v>2762</v>
      </c>
      <c r="B750" t="s">
        <v>2763</v>
      </c>
      <c r="C750" t="s">
        <v>2764</v>
      </c>
      <c r="D750" t="s">
        <v>758</v>
      </c>
      <c r="E750" t="s">
        <v>2763</v>
      </c>
      <c r="F750" t="s">
        <v>28</v>
      </c>
      <c r="G750" t="s">
        <v>2763</v>
      </c>
      <c r="H750" t="str">
        <f>"cpn-3"</f>
        <v>cpn-3</v>
      </c>
      <c r="I750" t="s">
        <v>758</v>
      </c>
      <c r="J750">
        <v>16.360880091292199</v>
      </c>
      <c r="K750">
        <v>15.851147172607799</v>
      </c>
      <c r="L750">
        <v>16.0238679548264</v>
      </c>
      <c r="M750">
        <v>15.528754428501699</v>
      </c>
      <c r="N750">
        <v>15.7502029556933</v>
      </c>
      <c r="O750">
        <v>16.2477730882933</v>
      </c>
      <c r="P750">
        <v>-0.236388248746074</v>
      </c>
      <c r="Q750">
        <v>-0.71463218953934904</v>
      </c>
      <c r="R750">
        <v>0.241855692047201</v>
      </c>
      <c r="S750">
        <v>15.8152796639434</v>
      </c>
      <c r="T750">
        <v>-1.0388884549723001</v>
      </c>
      <c r="U750">
        <v>-6.5029910712780596</v>
      </c>
      <c r="V750">
        <v>0.31269095713087097</v>
      </c>
      <c r="W750">
        <v>0.59053765206259601</v>
      </c>
      <c r="X750">
        <v>0</v>
      </c>
      <c r="Y750">
        <v>0</v>
      </c>
    </row>
    <row r="751" spans="1:25" x14ac:dyDescent="0.2">
      <c r="A751" t="s">
        <v>2765</v>
      </c>
      <c r="B751" t="s">
        <v>2766</v>
      </c>
      <c r="C751" t="s">
        <v>2767</v>
      </c>
      <c r="D751" t="s">
        <v>2768</v>
      </c>
      <c r="E751" t="s">
        <v>2766</v>
      </c>
      <c r="F751" t="s">
        <v>28</v>
      </c>
      <c r="G751" t="s">
        <v>2766</v>
      </c>
      <c r="H751" t="str">
        <f>"mpc-2"</f>
        <v>mpc-2</v>
      </c>
      <c r="I751" t="s">
        <v>2768</v>
      </c>
      <c r="J751">
        <v>17.159720305449</v>
      </c>
      <c r="K751">
        <v>17.1183120707664</v>
      </c>
      <c r="L751">
        <v>17.014805435601598</v>
      </c>
      <c r="M751">
        <v>16.930277352416201</v>
      </c>
      <c r="N751">
        <v>17.1715570885153</v>
      </c>
      <c r="O751">
        <v>16.542894759171102</v>
      </c>
      <c r="P751">
        <v>-0.216036203904828</v>
      </c>
      <c r="Q751">
        <v>-0.57519335606667898</v>
      </c>
      <c r="R751">
        <v>0.14312094825702301</v>
      </c>
      <c r="S751">
        <v>16.5510521772594</v>
      </c>
      <c r="T751">
        <v>-1.2642545674466601</v>
      </c>
      <c r="U751">
        <v>-6.2500332996732499</v>
      </c>
      <c r="V751">
        <v>0.222358193655288</v>
      </c>
      <c r="W751">
        <v>0.49021244048394902</v>
      </c>
      <c r="X751">
        <v>0</v>
      </c>
      <c r="Y751">
        <v>0</v>
      </c>
    </row>
    <row r="752" spans="1:25" x14ac:dyDescent="0.2">
      <c r="A752" t="s">
        <v>2769</v>
      </c>
      <c r="B752" t="s">
        <v>2770</v>
      </c>
      <c r="C752" t="s">
        <v>2771</v>
      </c>
      <c r="D752" t="s">
        <v>2772</v>
      </c>
      <c r="E752" t="s">
        <v>2770</v>
      </c>
      <c r="F752" t="s">
        <v>28</v>
      </c>
      <c r="G752" t="s">
        <v>2770</v>
      </c>
      <c r="H752" t="str">
        <f>"dmd-7"</f>
        <v>dmd-7</v>
      </c>
      <c r="I752" t="s">
        <v>2772</v>
      </c>
      <c r="J752" t="s">
        <v>29</v>
      </c>
      <c r="K752" t="s">
        <v>29</v>
      </c>
      <c r="L752" t="s">
        <v>29</v>
      </c>
      <c r="M752" t="s">
        <v>29</v>
      </c>
      <c r="N752">
        <v>11.696603895437301</v>
      </c>
      <c r="O752" t="s">
        <v>29</v>
      </c>
      <c r="P752" t="s">
        <v>29</v>
      </c>
      <c r="Q752" t="s">
        <v>29</v>
      </c>
      <c r="R752" t="s">
        <v>29</v>
      </c>
      <c r="S752">
        <v>11.362207760157901</v>
      </c>
      <c r="T752" t="s">
        <v>29</v>
      </c>
      <c r="U752" t="s">
        <v>29</v>
      </c>
      <c r="V752" t="s">
        <v>29</v>
      </c>
      <c r="W752" t="s">
        <v>29</v>
      </c>
      <c r="X752" t="s">
        <v>29</v>
      </c>
      <c r="Y752" t="s">
        <v>29</v>
      </c>
    </row>
    <row r="753" spans="1:25" x14ac:dyDescent="0.2">
      <c r="A753" t="s">
        <v>2773</v>
      </c>
      <c r="B753" t="s">
        <v>2774</v>
      </c>
      <c r="C753" t="s">
        <v>2775</v>
      </c>
      <c r="D753" t="s">
        <v>2776</v>
      </c>
      <c r="E753" t="s">
        <v>2774</v>
      </c>
      <c r="F753" t="s">
        <v>28</v>
      </c>
      <c r="G753" t="s">
        <v>2774</v>
      </c>
      <c r="H753" t="str">
        <f>"mrck-1"</f>
        <v>mrck-1</v>
      </c>
      <c r="I753" t="s">
        <v>2776</v>
      </c>
      <c r="J753">
        <v>14.3230278118304</v>
      </c>
      <c r="K753">
        <v>14.177249944872999</v>
      </c>
      <c r="L753">
        <v>14.181263156177801</v>
      </c>
      <c r="M753">
        <v>15.0124450308387</v>
      </c>
      <c r="N753">
        <v>14.930770259763699</v>
      </c>
      <c r="O753">
        <v>14.8772108429055</v>
      </c>
      <c r="P753">
        <v>0.71296174020888803</v>
      </c>
      <c r="Q753">
        <v>0.37154901152855402</v>
      </c>
      <c r="R753">
        <v>1.05437446888922</v>
      </c>
      <c r="S753">
        <v>14.5843118359342</v>
      </c>
      <c r="T753">
        <v>4.38913591374462</v>
      </c>
      <c r="U753">
        <v>-0.22320044417368101</v>
      </c>
      <c r="V753">
        <v>3.5833509927243602E-4</v>
      </c>
      <c r="W753">
        <v>8.3886504534712598E-3</v>
      </c>
      <c r="X753">
        <v>0</v>
      </c>
      <c r="Y753">
        <v>0</v>
      </c>
    </row>
    <row r="754" spans="1:25" x14ac:dyDescent="0.2">
      <c r="A754" t="s">
        <v>2777</v>
      </c>
      <c r="B754" t="s">
        <v>2778</v>
      </c>
      <c r="C754" t="s">
        <v>2779</v>
      </c>
      <c r="D754" t="s">
        <v>111</v>
      </c>
      <c r="E754" t="s">
        <v>2778</v>
      </c>
      <c r="F754" t="s">
        <v>28</v>
      </c>
      <c r="G754" t="s">
        <v>2778</v>
      </c>
      <c r="H754" t="str">
        <f>"rga-3"</f>
        <v>rga-3</v>
      </c>
      <c r="I754" t="s">
        <v>111</v>
      </c>
      <c r="J754">
        <v>14.022629192778901</v>
      </c>
      <c r="K754">
        <v>14.2307682859427</v>
      </c>
      <c r="L754">
        <v>12.4044700261525</v>
      </c>
      <c r="M754">
        <v>16.047119258112001</v>
      </c>
      <c r="N754">
        <v>15.3059649638091</v>
      </c>
      <c r="O754" t="s">
        <v>29</v>
      </c>
      <c r="P754">
        <v>2.1239196093358199</v>
      </c>
      <c r="Q754">
        <v>1.00644487576082</v>
      </c>
      <c r="R754">
        <v>3.2413943429108198</v>
      </c>
      <c r="S754">
        <v>13.648630096881099</v>
      </c>
      <c r="T754">
        <v>4.031344309724</v>
      </c>
      <c r="U754">
        <v>-1.0705682505602101</v>
      </c>
      <c r="V754">
        <v>9.7786868720097604E-4</v>
      </c>
      <c r="W754">
        <v>1.7986705545211999E-2</v>
      </c>
      <c r="X754">
        <v>1</v>
      </c>
      <c r="Y754">
        <v>1</v>
      </c>
    </row>
    <row r="755" spans="1:25" x14ac:dyDescent="0.2">
      <c r="A755" t="s">
        <v>2780</v>
      </c>
      <c r="B755" t="s">
        <v>2781</v>
      </c>
      <c r="C755" t="s">
        <v>2782</v>
      </c>
      <c r="D755" t="s">
        <v>2783</v>
      </c>
      <c r="E755" t="s">
        <v>2781</v>
      </c>
      <c r="F755" t="s">
        <v>28</v>
      </c>
      <c r="G755" t="s">
        <v>2781</v>
      </c>
      <c r="H755" t="str">
        <f>"acds-10"</f>
        <v>acds-10</v>
      </c>
      <c r="I755" t="s">
        <v>2783</v>
      </c>
      <c r="J755">
        <v>13.128631362502301</v>
      </c>
      <c r="K755">
        <v>13.243941440969801</v>
      </c>
      <c r="L755">
        <v>13.049111708518801</v>
      </c>
      <c r="M755">
        <v>13.408260140231601</v>
      </c>
      <c r="N755">
        <v>13.6406210192565</v>
      </c>
      <c r="O755">
        <v>13.1616749132099</v>
      </c>
      <c r="P755">
        <v>0.26295718690234998</v>
      </c>
      <c r="Q755">
        <v>-0.141703357808417</v>
      </c>
      <c r="R755">
        <v>0.66761773161311699</v>
      </c>
      <c r="S755">
        <v>12.9123743123937</v>
      </c>
      <c r="T755">
        <v>1.3657987043820701</v>
      </c>
      <c r="U755">
        <v>-6.1225120894268104</v>
      </c>
      <c r="V755">
        <v>0.18892386075663001</v>
      </c>
      <c r="W755">
        <v>0.45056514652806701</v>
      </c>
      <c r="X755">
        <v>0</v>
      </c>
      <c r="Y755">
        <v>0</v>
      </c>
    </row>
    <row r="756" spans="1:25" x14ac:dyDescent="0.2">
      <c r="A756" t="s">
        <v>2784</v>
      </c>
      <c r="B756" t="s">
        <v>2785</v>
      </c>
      <c r="C756" t="s">
        <v>2786</v>
      </c>
      <c r="D756" t="s">
        <v>2787</v>
      </c>
      <c r="E756" t="s">
        <v>2785</v>
      </c>
      <c r="F756" t="s">
        <v>28</v>
      </c>
      <c r="G756" t="s">
        <v>2785</v>
      </c>
      <c r="H756" t="str">
        <f>"rips-1"</f>
        <v>rips-1</v>
      </c>
      <c r="I756" t="s">
        <v>2787</v>
      </c>
      <c r="J756">
        <v>11.853230808148</v>
      </c>
      <c r="K756">
        <v>12.7259190141496</v>
      </c>
      <c r="L756">
        <v>12.670510538238499</v>
      </c>
      <c r="M756" t="s">
        <v>29</v>
      </c>
      <c r="N756">
        <v>13.070285966361</v>
      </c>
      <c r="O756">
        <v>13.9756833992466</v>
      </c>
      <c r="P756">
        <v>1.10643122929176</v>
      </c>
      <c r="Q756">
        <v>0.25558112821908102</v>
      </c>
      <c r="R756">
        <v>1.9572813303644401</v>
      </c>
      <c r="S756">
        <v>13.615839549805401</v>
      </c>
      <c r="T756">
        <v>2.7734029706519201</v>
      </c>
      <c r="U756">
        <v>-3.6700953296055698</v>
      </c>
      <c r="V756">
        <v>1.42735719704767E-2</v>
      </c>
      <c r="W756">
        <v>0.110062092871875</v>
      </c>
      <c r="X756">
        <v>1</v>
      </c>
      <c r="Y756">
        <v>0</v>
      </c>
    </row>
    <row r="757" spans="1:25" x14ac:dyDescent="0.2">
      <c r="A757" t="s">
        <v>2788</v>
      </c>
      <c r="B757" t="s">
        <v>2789</v>
      </c>
      <c r="C757" t="s">
        <v>2790</v>
      </c>
      <c r="D757" t="s">
        <v>2791</v>
      </c>
      <c r="E757" t="s">
        <v>2789</v>
      </c>
      <c r="F757" t="s">
        <v>28</v>
      </c>
      <c r="G757" t="s">
        <v>2789</v>
      </c>
      <c r="H757" t="str">
        <f>"let-355"</f>
        <v>let-355</v>
      </c>
      <c r="I757" t="s">
        <v>2791</v>
      </c>
      <c r="J757">
        <v>13.0493564019748</v>
      </c>
      <c r="K757">
        <v>13.0748539397846</v>
      </c>
      <c r="L757">
        <v>13.043100528184899</v>
      </c>
      <c r="M757">
        <v>13.239646119210899</v>
      </c>
      <c r="N757">
        <v>12.637266221147099</v>
      </c>
      <c r="O757">
        <v>12.692083206486</v>
      </c>
      <c r="P757">
        <v>-0.19943844103342701</v>
      </c>
      <c r="Q757">
        <v>-0.58929876659496905</v>
      </c>
      <c r="R757">
        <v>0.19042188452811401</v>
      </c>
      <c r="S757">
        <v>13.2937703891024</v>
      </c>
      <c r="T757">
        <v>-1.07981621005184</v>
      </c>
      <c r="U757">
        <v>-6.4594874701540297</v>
      </c>
      <c r="V757">
        <v>0.29539857483500698</v>
      </c>
      <c r="W757">
        <v>0.57352444064028196</v>
      </c>
      <c r="X757">
        <v>0</v>
      </c>
      <c r="Y757">
        <v>0</v>
      </c>
    </row>
    <row r="758" spans="1:25" x14ac:dyDescent="0.2">
      <c r="A758" t="s">
        <v>2792</v>
      </c>
      <c r="B758" t="s">
        <v>2793</v>
      </c>
      <c r="C758" t="s">
        <v>2794</v>
      </c>
      <c r="D758" t="s">
        <v>2795</v>
      </c>
      <c r="E758" t="s">
        <v>2793</v>
      </c>
      <c r="F758" t="s">
        <v>28</v>
      </c>
      <c r="G758" t="s">
        <v>2793</v>
      </c>
      <c r="H758" t="str">
        <f>"ugt-12"</f>
        <v>ugt-12</v>
      </c>
      <c r="I758" t="s">
        <v>2795</v>
      </c>
      <c r="J758" t="s">
        <v>29</v>
      </c>
      <c r="K758" t="s">
        <v>29</v>
      </c>
      <c r="L758">
        <v>12.106651978556799</v>
      </c>
      <c r="M758">
        <v>11.8485239015315</v>
      </c>
      <c r="N758" t="s">
        <v>29</v>
      </c>
      <c r="O758" t="s">
        <v>29</v>
      </c>
      <c r="P758">
        <v>-0.25812807702526402</v>
      </c>
      <c r="Q758">
        <v>-1.57940443767814</v>
      </c>
      <c r="R758">
        <v>1.06314828362762</v>
      </c>
      <c r="S758">
        <v>12.445063735567601</v>
      </c>
      <c r="T758">
        <v>-0.43049615254287099</v>
      </c>
      <c r="U758">
        <v>-6.4119488404618998</v>
      </c>
      <c r="V758">
        <v>0.67522711924805501</v>
      </c>
      <c r="W758">
        <v>0.85541145012261999</v>
      </c>
      <c r="X758">
        <v>0</v>
      </c>
      <c r="Y758">
        <v>0</v>
      </c>
    </row>
    <row r="759" spans="1:25" x14ac:dyDescent="0.2">
      <c r="A759" t="s">
        <v>2796</v>
      </c>
      <c r="B759" t="s">
        <v>2797</v>
      </c>
      <c r="C759" t="s">
        <v>2798</v>
      </c>
      <c r="D759" t="s">
        <v>2799</v>
      </c>
      <c r="E759" t="s">
        <v>2797</v>
      </c>
      <c r="F759" t="s">
        <v>28</v>
      </c>
      <c r="G759" t="s">
        <v>2797</v>
      </c>
      <c r="H759" t="str">
        <f>"unc-132"</f>
        <v>unc-132</v>
      </c>
      <c r="I759" t="s">
        <v>2799</v>
      </c>
      <c r="J759">
        <v>15.1980323115632</v>
      </c>
      <c r="K759">
        <v>15.080761078291101</v>
      </c>
      <c r="L759">
        <v>15.0828805568608</v>
      </c>
      <c r="M759">
        <v>14.7544817402419</v>
      </c>
      <c r="N759">
        <v>15.050769575071699</v>
      </c>
      <c r="O759">
        <v>14.617005598193201</v>
      </c>
      <c r="P759">
        <v>-0.31313901106945402</v>
      </c>
      <c r="Q759">
        <v>-0.71122257759626595</v>
      </c>
      <c r="R759">
        <v>8.4944555457357407E-2</v>
      </c>
      <c r="S759">
        <v>14.8916389997226</v>
      </c>
      <c r="T759">
        <v>-1.6533143650781399</v>
      </c>
      <c r="U759">
        <v>-5.7197179535470299</v>
      </c>
      <c r="V759">
        <v>0.11570212069341899</v>
      </c>
      <c r="W759">
        <v>0.34990213823084199</v>
      </c>
      <c r="X759">
        <v>0</v>
      </c>
      <c r="Y759">
        <v>0</v>
      </c>
    </row>
    <row r="760" spans="1:25" x14ac:dyDescent="0.2">
      <c r="A760" t="s">
        <v>2800</v>
      </c>
      <c r="B760" t="s">
        <v>2801</v>
      </c>
      <c r="C760" t="s">
        <v>2802</v>
      </c>
      <c r="D760" t="s">
        <v>2803</v>
      </c>
      <c r="E760" t="s">
        <v>2801</v>
      </c>
      <c r="F760" t="s">
        <v>28</v>
      </c>
      <c r="G760" t="s">
        <v>2801</v>
      </c>
      <c r="H760" t="str">
        <f>"inx-12"</f>
        <v>inx-12</v>
      </c>
      <c r="I760" t="s">
        <v>2803</v>
      </c>
      <c r="J760">
        <v>12.963163882755699</v>
      </c>
      <c r="K760">
        <v>12.538082881378701</v>
      </c>
      <c r="L760">
        <v>12.879152531426501</v>
      </c>
      <c r="M760">
        <v>14.584663518595899</v>
      </c>
      <c r="N760">
        <v>14.610323262271301</v>
      </c>
      <c r="O760">
        <v>14.7239624598358</v>
      </c>
      <c r="P760">
        <v>1.8461833150473601</v>
      </c>
      <c r="Q760">
        <v>1.20217117386234</v>
      </c>
      <c r="R760">
        <v>2.49019545623239</v>
      </c>
      <c r="S760">
        <v>14.1351854322552</v>
      </c>
      <c r="T760">
        <v>6.0252251456546304</v>
      </c>
      <c r="U760">
        <v>3.27726609887047</v>
      </c>
      <c r="V760" s="2">
        <v>1.0971886338189801E-5</v>
      </c>
      <c r="W760">
        <v>4.61703102664972E-4</v>
      </c>
      <c r="X760">
        <v>1</v>
      </c>
      <c r="Y760">
        <v>1</v>
      </c>
    </row>
    <row r="761" spans="1:25" x14ac:dyDescent="0.2">
      <c r="A761" t="s">
        <v>2804</v>
      </c>
      <c r="B761" t="s">
        <v>2805</v>
      </c>
      <c r="C761" t="s">
        <v>2806</v>
      </c>
      <c r="D761" t="s">
        <v>2807</v>
      </c>
      <c r="E761" t="s">
        <v>2805</v>
      </c>
      <c r="F761" t="s">
        <v>28</v>
      </c>
      <c r="G761" t="s">
        <v>2805</v>
      </c>
      <c r="H761" t="str">
        <f>"jmjc-1"</f>
        <v>jmjc-1</v>
      </c>
      <c r="I761" t="s">
        <v>2807</v>
      </c>
      <c r="J761">
        <v>13.5543386235145</v>
      </c>
      <c r="K761">
        <v>13.661322698211</v>
      </c>
      <c r="L761">
        <v>13.413513001058501</v>
      </c>
      <c r="M761">
        <v>13.792164033651201</v>
      </c>
      <c r="N761">
        <v>13.764987816626499</v>
      </c>
      <c r="O761">
        <v>14.068459347911</v>
      </c>
      <c r="P761">
        <v>0.33214562513490398</v>
      </c>
      <c r="Q761">
        <v>-0.108766202892204</v>
      </c>
      <c r="R761">
        <v>0.77305745316201302</v>
      </c>
      <c r="S761">
        <v>14.243063656154501</v>
      </c>
      <c r="T761">
        <v>1.5833221964812001</v>
      </c>
      <c r="U761">
        <v>-5.8231658827036004</v>
      </c>
      <c r="V761">
        <v>0.13086067441381699</v>
      </c>
      <c r="W761">
        <v>0.37508091002549998</v>
      </c>
      <c r="X761">
        <v>0</v>
      </c>
      <c r="Y761">
        <v>0</v>
      </c>
    </row>
    <row r="762" spans="1:25" x14ac:dyDescent="0.2">
      <c r="A762" t="s">
        <v>2808</v>
      </c>
      <c r="B762" t="s">
        <v>2809</v>
      </c>
      <c r="C762" t="s">
        <v>2810</v>
      </c>
      <c r="D762" t="s">
        <v>2811</v>
      </c>
      <c r="E762" t="s">
        <v>2809</v>
      </c>
      <c r="F762" t="s">
        <v>28</v>
      </c>
      <c r="G762" t="s">
        <v>2809</v>
      </c>
      <c r="H762" t="str">
        <f>"hmg-3"</f>
        <v>hmg-3</v>
      </c>
      <c r="I762" t="s">
        <v>2811</v>
      </c>
      <c r="J762">
        <v>14.022700169359</v>
      </c>
      <c r="K762">
        <v>13.868136653566999</v>
      </c>
      <c r="L762">
        <v>13.8443119716007</v>
      </c>
      <c r="M762">
        <v>13.7709314259412</v>
      </c>
      <c r="N762">
        <v>13.9523707869222</v>
      </c>
      <c r="O762">
        <v>13.770634474294599</v>
      </c>
      <c r="P762">
        <v>-8.04040357895488E-2</v>
      </c>
      <c r="Q762">
        <v>-0.91109399687148895</v>
      </c>
      <c r="R762">
        <v>0.75028592529239202</v>
      </c>
      <c r="S762">
        <v>13.917048943615301</v>
      </c>
      <c r="T762">
        <v>-0.20430965918322599</v>
      </c>
      <c r="U762">
        <v>-7.0301694833774597</v>
      </c>
      <c r="V762">
        <v>0.84055244544950203</v>
      </c>
      <c r="W762">
        <v>0.93701872473198999</v>
      </c>
      <c r="X762">
        <v>0</v>
      </c>
      <c r="Y762">
        <v>0</v>
      </c>
    </row>
    <row r="763" spans="1:25" x14ac:dyDescent="0.2">
      <c r="A763" t="s">
        <v>2812</v>
      </c>
      <c r="B763" t="s">
        <v>2813</v>
      </c>
      <c r="C763" t="s">
        <v>2814</v>
      </c>
      <c r="D763" t="s">
        <v>2815</v>
      </c>
      <c r="E763" t="s">
        <v>2813</v>
      </c>
      <c r="F763" t="s">
        <v>28</v>
      </c>
      <c r="G763" t="s">
        <v>2813</v>
      </c>
      <c r="H763" t="str">
        <f>"C32F10.8"</f>
        <v>C32F10.8</v>
      </c>
      <c r="I763" t="s">
        <v>2815</v>
      </c>
      <c r="J763">
        <v>12.189778376939</v>
      </c>
      <c r="K763">
        <v>12.759504325487599</v>
      </c>
      <c r="L763">
        <v>12.674595348241899</v>
      </c>
      <c r="M763">
        <v>11.4680011900344</v>
      </c>
      <c r="N763">
        <v>12.7850153200809</v>
      </c>
      <c r="O763">
        <v>13.284566808851601</v>
      </c>
      <c r="P763">
        <v>-2.8764910567195701E-2</v>
      </c>
      <c r="Q763">
        <v>-0.79164106463316597</v>
      </c>
      <c r="R763">
        <v>0.73411124349877399</v>
      </c>
      <c r="S763">
        <v>12.3097577449764</v>
      </c>
      <c r="T763">
        <v>-7.9590091006776706E-2</v>
      </c>
      <c r="U763">
        <v>-7.0487569472278802</v>
      </c>
      <c r="V763">
        <v>0.93749840951362295</v>
      </c>
      <c r="W763">
        <v>0.97535311084156295</v>
      </c>
      <c r="X763">
        <v>0</v>
      </c>
      <c r="Y763">
        <v>0</v>
      </c>
    </row>
    <row r="764" spans="1:25" x14ac:dyDescent="0.2">
      <c r="A764" t="s">
        <v>2816</v>
      </c>
      <c r="B764" t="s">
        <v>2817</v>
      </c>
      <c r="C764" t="s">
        <v>2818</v>
      </c>
      <c r="D764" t="s">
        <v>542</v>
      </c>
      <c r="E764" t="s">
        <v>2817</v>
      </c>
      <c r="F764" t="s">
        <v>28</v>
      </c>
      <c r="G764" t="s">
        <v>2817</v>
      </c>
      <c r="H764" t="str">
        <f>"obr-4"</f>
        <v>obr-4</v>
      </c>
      <c r="I764" t="s">
        <v>542</v>
      </c>
      <c r="J764">
        <v>14.238656589754999</v>
      </c>
      <c r="K764">
        <v>14.1059048252129</v>
      </c>
      <c r="L764">
        <v>13.7250251732953</v>
      </c>
      <c r="M764">
        <v>14.220344042244299</v>
      </c>
      <c r="N764">
        <v>13.6094211154573</v>
      </c>
      <c r="O764">
        <v>13.3117754333676</v>
      </c>
      <c r="P764">
        <v>-0.30934866573133302</v>
      </c>
      <c r="Q764">
        <v>-0.76717047793605397</v>
      </c>
      <c r="R764">
        <v>0.148473146473387</v>
      </c>
      <c r="S764">
        <v>13.379853067616001</v>
      </c>
      <c r="T764">
        <v>-1.4410975270069699</v>
      </c>
      <c r="U764">
        <v>-6.0228696203584899</v>
      </c>
      <c r="V764">
        <v>0.17024880384773</v>
      </c>
      <c r="W764">
        <v>0.42812179885665702</v>
      </c>
      <c r="X764">
        <v>0</v>
      </c>
      <c r="Y764">
        <v>0</v>
      </c>
    </row>
    <row r="765" spans="1:25" x14ac:dyDescent="0.2">
      <c r="A765" t="s">
        <v>2819</v>
      </c>
      <c r="B765" t="s">
        <v>2820</v>
      </c>
      <c r="C765" t="s">
        <v>2821</v>
      </c>
      <c r="D765" t="s">
        <v>2822</v>
      </c>
      <c r="E765" t="s">
        <v>2820</v>
      </c>
      <c r="F765" t="s">
        <v>28</v>
      </c>
      <c r="G765" t="s">
        <v>2820</v>
      </c>
      <c r="H765" t="str">
        <f>"rps-17"</f>
        <v>rps-17</v>
      </c>
      <c r="I765" t="s">
        <v>2822</v>
      </c>
      <c r="J765">
        <v>15.7378222115674</v>
      </c>
      <c r="K765">
        <v>15.635589838003099</v>
      </c>
      <c r="L765">
        <v>15.7926943601286</v>
      </c>
      <c r="M765">
        <v>15.137475208892599</v>
      </c>
      <c r="N765">
        <v>14.478944980509199</v>
      </c>
      <c r="O765">
        <v>15.959282843109399</v>
      </c>
      <c r="P765">
        <v>-0.53013445906261802</v>
      </c>
      <c r="Q765">
        <v>-1.18454960239409</v>
      </c>
      <c r="R765">
        <v>0.124280684268851</v>
      </c>
      <c r="S765">
        <v>15.359353034728599</v>
      </c>
      <c r="T765">
        <v>-1.70264931197852</v>
      </c>
      <c r="U765">
        <v>-5.6448350443094002</v>
      </c>
      <c r="V765">
        <v>0.105939815265971</v>
      </c>
      <c r="W765">
        <v>0.33664859265182701</v>
      </c>
      <c r="X765">
        <v>0</v>
      </c>
      <c r="Y765">
        <v>0</v>
      </c>
    </row>
    <row r="766" spans="1:25" x14ac:dyDescent="0.2">
      <c r="A766" t="s">
        <v>2823</v>
      </c>
      <c r="B766" t="s">
        <v>2824</v>
      </c>
      <c r="C766" t="s">
        <v>2825</v>
      </c>
      <c r="D766" t="s">
        <v>2826</v>
      </c>
      <c r="E766" t="s">
        <v>2824</v>
      </c>
      <c r="F766" t="s">
        <v>28</v>
      </c>
      <c r="G766" t="s">
        <v>2824</v>
      </c>
      <c r="H766" t="str">
        <f>"C09D4.1"</f>
        <v>C09D4.1</v>
      </c>
      <c r="I766" t="s">
        <v>2826</v>
      </c>
      <c r="J766">
        <v>14.410621220697999</v>
      </c>
      <c r="K766">
        <v>14.4536431852666</v>
      </c>
      <c r="L766">
        <v>14.4448301240077</v>
      </c>
      <c r="M766">
        <v>14.7689134027469</v>
      </c>
      <c r="N766">
        <v>14.838933043475899</v>
      </c>
      <c r="O766">
        <v>14.691385216291</v>
      </c>
      <c r="P766">
        <v>0.33004571084717699</v>
      </c>
      <c r="Q766">
        <v>-3.3365459077796297E-2</v>
      </c>
      <c r="R766">
        <v>0.69345688077214995</v>
      </c>
      <c r="S766">
        <v>14.486215930305599</v>
      </c>
      <c r="T766">
        <v>1.9170164277302399</v>
      </c>
      <c r="U766">
        <v>-5.30537692809175</v>
      </c>
      <c r="V766">
        <v>7.23064951063348E-2</v>
      </c>
      <c r="W766">
        <v>0.27358759892559698</v>
      </c>
      <c r="X766">
        <v>0</v>
      </c>
      <c r="Y766">
        <v>0</v>
      </c>
    </row>
    <row r="767" spans="1:25" x14ac:dyDescent="0.2">
      <c r="A767" t="s">
        <v>2827</v>
      </c>
      <c r="B767" t="s">
        <v>2828</v>
      </c>
      <c r="C767" t="s">
        <v>2829</v>
      </c>
      <c r="D767" t="s">
        <v>2830</v>
      </c>
      <c r="E767" t="s">
        <v>2828</v>
      </c>
      <c r="F767" t="s">
        <v>28</v>
      </c>
      <c r="G767" t="s">
        <v>2828</v>
      </c>
      <c r="H767" t="str">
        <f>"let-765"</f>
        <v>let-765</v>
      </c>
      <c r="I767" t="s">
        <v>2830</v>
      </c>
      <c r="J767" t="s">
        <v>29</v>
      </c>
      <c r="K767">
        <v>11.3215677305034</v>
      </c>
      <c r="L767">
        <v>11.440791001879401</v>
      </c>
      <c r="M767" t="s">
        <v>29</v>
      </c>
      <c r="N767">
        <v>10.7869833238107</v>
      </c>
      <c r="O767">
        <v>9.7305614680947201</v>
      </c>
      <c r="P767">
        <v>-1.1224069702386701</v>
      </c>
      <c r="Q767">
        <v>-1.8937523236184799</v>
      </c>
      <c r="R767">
        <v>-0.35106161685885701</v>
      </c>
      <c r="S767">
        <v>11.508483930059301</v>
      </c>
      <c r="T767">
        <v>-3.1231538614585501</v>
      </c>
      <c r="U767">
        <v>-2.9477938510392998</v>
      </c>
      <c r="V767">
        <v>7.5380682478247297E-3</v>
      </c>
      <c r="W767">
        <v>7.1721854030472695E-2</v>
      </c>
      <c r="X767">
        <v>-1</v>
      </c>
      <c r="Y767">
        <v>0</v>
      </c>
    </row>
    <row r="768" spans="1:25" x14ac:dyDescent="0.2">
      <c r="A768" t="s">
        <v>2831</v>
      </c>
      <c r="B768" t="s">
        <v>2832</v>
      </c>
      <c r="C768" t="s">
        <v>2833</v>
      </c>
      <c r="D768" t="s">
        <v>2834</v>
      </c>
      <c r="E768" t="s">
        <v>2832</v>
      </c>
      <c r="F768" t="s">
        <v>28</v>
      </c>
      <c r="G768" t="s">
        <v>2832</v>
      </c>
      <c r="H768" t="str">
        <f>"apm-1"</f>
        <v>apm-1</v>
      </c>
      <c r="I768" t="s">
        <v>2834</v>
      </c>
      <c r="J768">
        <v>15.8891240471135</v>
      </c>
      <c r="K768">
        <v>15.942802937042099</v>
      </c>
      <c r="L768">
        <v>15.5470160673067</v>
      </c>
      <c r="M768">
        <v>15.769625784743701</v>
      </c>
      <c r="N768">
        <v>15.6984936785431</v>
      </c>
      <c r="O768">
        <v>15.4713087853867</v>
      </c>
      <c r="P768">
        <v>-0.14650493426296099</v>
      </c>
      <c r="Q768">
        <v>-0.63934672298662798</v>
      </c>
      <c r="R768">
        <v>0.346336854460707</v>
      </c>
      <c r="S768">
        <v>15.326584855999799</v>
      </c>
      <c r="T768">
        <v>-0.62479456054222804</v>
      </c>
      <c r="U768">
        <v>-6.8497241963951803</v>
      </c>
      <c r="V768">
        <v>0.53999143366463398</v>
      </c>
      <c r="W768">
        <v>0.77501266500839605</v>
      </c>
      <c r="X768">
        <v>0</v>
      </c>
      <c r="Y768">
        <v>0</v>
      </c>
    </row>
    <row r="769" spans="1:25" x14ac:dyDescent="0.2">
      <c r="A769" t="s">
        <v>2835</v>
      </c>
      <c r="B769" t="s">
        <v>2836</v>
      </c>
      <c r="C769" t="s">
        <v>14328</v>
      </c>
      <c r="D769" t="s">
        <v>2837</v>
      </c>
      <c r="E769" t="s">
        <v>2836</v>
      </c>
      <c r="F769" t="s">
        <v>28</v>
      </c>
      <c r="G769" t="s">
        <v>2836</v>
      </c>
      <c r="H769" t="str">
        <f>"F55A12.5"</f>
        <v>F55A12.5</v>
      </c>
      <c r="I769" t="s">
        <v>2837</v>
      </c>
      <c r="J769">
        <v>12.3963813559511</v>
      </c>
      <c r="K769">
        <v>12.75503789103</v>
      </c>
      <c r="L769">
        <v>12.653563417292901</v>
      </c>
      <c r="M769">
        <v>14.0247085674985</v>
      </c>
      <c r="N769">
        <v>13.976420173951499</v>
      </c>
      <c r="O769">
        <v>13.0896526589566</v>
      </c>
      <c r="P769">
        <v>1.0952662453775499</v>
      </c>
      <c r="Q769">
        <v>0.30181849007822498</v>
      </c>
      <c r="R769">
        <v>1.8887140006768799</v>
      </c>
      <c r="S769">
        <v>12.8407261431047</v>
      </c>
      <c r="T769">
        <v>2.9278639845713701</v>
      </c>
      <c r="U769">
        <v>-3.4417593244553002</v>
      </c>
      <c r="V769">
        <v>9.9064642943357296E-3</v>
      </c>
      <c r="W769">
        <v>8.7306045366771903E-2</v>
      </c>
      <c r="X769">
        <v>1</v>
      </c>
      <c r="Y769">
        <v>0</v>
      </c>
    </row>
    <row r="770" spans="1:25" x14ac:dyDescent="0.2">
      <c r="A770" t="s">
        <v>2838</v>
      </c>
      <c r="B770" t="s">
        <v>2839</v>
      </c>
      <c r="C770" t="s">
        <v>2840</v>
      </c>
      <c r="D770" t="s">
        <v>2841</v>
      </c>
      <c r="E770" t="s">
        <v>2839</v>
      </c>
      <c r="F770" t="s">
        <v>28</v>
      </c>
      <c r="G770" t="s">
        <v>2839</v>
      </c>
      <c r="H770" t="str">
        <f>"nath-10"</f>
        <v>nath-10</v>
      </c>
      <c r="I770" t="s">
        <v>2841</v>
      </c>
      <c r="J770">
        <v>15.2213666973519</v>
      </c>
      <c r="K770">
        <v>15.204297529293401</v>
      </c>
      <c r="L770">
        <v>15.090363670512099</v>
      </c>
      <c r="M770">
        <v>15.2119344189811</v>
      </c>
      <c r="N770">
        <v>15.4050500081512</v>
      </c>
      <c r="O770">
        <v>15.084125943583601</v>
      </c>
      <c r="P770">
        <v>6.1694157852882001E-2</v>
      </c>
      <c r="Q770">
        <v>-0.356119019029557</v>
      </c>
      <c r="R770">
        <v>0.47950733473532098</v>
      </c>
      <c r="S770">
        <v>15.4992386179349</v>
      </c>
      <c r="T770">
        <v>0.31035190888988701</v>
      </c>
      <c r="U770">
        <v>-7.00174586519746</v>
      </c>
      <c r="V770">
        <v>0.75987884430747799</v>
      </c>
      <c r="W770">
        <v>0.89933527288875903</v>
      </c>
      <c r="X770">
        <v>0</v>
      </c>
      <c r="Y770">
        <v>0</v>
      </c>
    </row>
    <row r="771" spans="1:25" x14ac:dyDescent="0.2">
      <c r="A771" t="s">
        <v>2842</v>
      </c>
      <c r="B771" t="s">
        <v>2843</v>
      </c>
      <c r="C771" t="s">
        <v>2844</v>
      </c>
      <c r="D771" t="s">
        <v>2845</v>
      </c>
      <c r="E771" t="s">
        <v>2843</v>
      </c>
      <c r="F771" t="s">
        <v>28</v>
      </c>
      <c r="G771" t="s">
        <v>2843</v>
      </c>
      <c r="H771" t="str">
        <f>"ppk-1"</f>
        <v>ppk-1</v>
      </c>
      <c r="I771" t="s">
        <v>2845</v>
      </c>
      <c r="J771">
        <v>13.599313704664</v>
      </c>
      <c r="K771">
        <v>13.565786698464001</v>
      </c>
      <c r="L771">
        <v>13.144253345146099</v>
      </c>
      <c r="M771">
        <v>13.890643839465399</v>
      </c>
      <c r="N771">
        <v>13.8863043331163</v>
      </c>
      <c r="O771">
        <v>13.8084906839167</v>
      </c>
      <c r="P771">
        <v>0.42536170274139801</v>
      </c>
      <c r="Q771">
        <v>-6.9166395498120297E-3</v>
      </c>
      <c r="R771">
        <v>0.85764004503260804</v>
      </c>
      <c r="S771">
        <v>13.4163244430876</v>
      </c>
      <c r="T771">
        <v>2.0770402930101102</v>
      </c>
      <c r="U771">
        <v>-5.0340754580694496</v>
      </c>
      <c r="V771">
        <v>5.3369602522422899E-2</v>
      </c>
      <c r="W771">
        <v>0.230630393901679</v>
      </c>
      <c r="X771">
        <v>0</v>
      </c>
      <c r="Y771">
        <v>0</v>
      </c>
    </row>
    <row r="772" spans="1:25" x14ac:dyDescent="0.2">
      <c r="A772" t="s">
        <v>2846</v>
      </c>
      <c r="B772" t="s">
        <v>2847</v>
      </c>
      <c r="C772" t="s">
        <v>2848</v>
      </c>
      <c r="D772" t="s">
        <v>2849</v>
      </c>
      <c r="E772" t="s">
        <v>2847</v>
      </c>
      <c r="F772" t="s">
        <v>28</v>
      </c>
      <c r="G772" t="s">
        <v>2847</v>
      </c>
      <c r="H772" t="str">
        <f>"unc-89"</f>
        <v>unc-89</v>
      </c>
      <c r="I772" t="s">
        <v>2849</v>
      </c>
      <c r="J772">
        <v>13.2872413330706</v>
      </c>
      <c r="K772">
        <v>13.4722503556021</v>
      </c>
      <c r="L772">
        <v>14.1121007384031</v>
      </c>
      <c r="M772">
        <v>14.2987068536398</v>
      </c>
      <c r="N772">
        <v>13.5698719661211</v>
      </c>
      <c r="O772">
        <v>14.351610690653001</v>
      </c>
      <c r="P772">
        <v>0.44953236111266498</v>
      </c>
      <c r="Q772">
        <v>-0.32593754405631697</v>
      </c>
      <c r="R772">
        <v>1.22500226628165</v>
      </c>
      <c r="S772">
        <v>14.0829974933238</v>
      </c>
      <c r="T772">
        <v>1.2183961734131199</v>
      </c>
      <c r="U772">
        <v>-6.3049318476902796</v>
      </c>
      <c r="V772">
        <v>0.23889348219411</v>
      </c>
      <c r="W772">
        <v>0.51310850895025195</v>
      </c>
      <c r="X772">
        <v>0</v>
      </c>
      <c r="Y772">
        <v>0</v>
      </c>
    </row>
    <row r="773" spans="1:25" x14ac:dyDescent="0.2">
      <c r="A773" t="s">
        <v>2850</v>
      </c>
      <c r="B773" t="s">
        <v>2851</v>
      </c>
      <c r="C773" t="s">
        <v>2852</v>
      </c>
      <c r="D773" t="s">
        <v>2853</v>
      </c>
      <c r="E773" t="s">
        <v>2851</v>
      </c>
      <c r="F773" t="s">
        <v>28</v>
      </c>
      <c r="G773" t="s">
        <v>2851</v>
      </c>
      <c r="H773" t="str">
        <f>"egg-4"</f>
        <v>egg-4</v>
      </c>
      <c r="I773" t="s">
        <v>2853</v>
      </c>
      <c r="J773" t="s">
        <v>29</v>
      </c>
      <c r="K773" t="s">
        <v>29</v>
      </c>
      <c r="L773">
        <v>12.6291877234893</v>
      </c>
      <c r="M773" t="s">
        <v>29</v>
      </c>
      <c r="N773" t="s">
        <v>29</v>
      </c>
      <c r="O773" t="s">
        <v>29</v>
      </c>
      <c r="P773" t="s">
        <v>29</v>
      </c>
      <c r="Q773" t="s">
        <v>29</v>
      </c>
      <c r="R773" t="s">
        <v>29</v>
      </c>
      <c r="S773">
        <v>13.405941292444201</v>
      </c>
      <c r="T773" t="s">
        <v>29</v>
      </c>
      <c r="U773" t="s">
        <v>29</v>
      </c>
      <c r="V773" t="s">
        <v>29</v>
      </c>
      <c r="W773" t="s">
        <v>29</v>
      </c>
      <c r="X773" t="s">
        <v>29</v>
      </c>
      <c r="Y773" t="s">
        <v>29</v>
      </c>
    </row>
    <row r="774" spans="1:25" s="28" customFormat="1" x14ac:dyDescent="0.2">
      <c r="A774" s="28" t="s">
        <v>2854</v>
      </c>
      <c r="B774" s="28" t="s">
        <v>2855</v>
      </c>
      <c r="C774" s="28" t="s">
        <v>2856</v>
      </c>
      <c r="D774" s="28" t="s">
        <v>2857</v>
      </c>
      <c r="E774" s="28" t="s">
        <v>2855</v>
      </c>
      <c r="F774" s="28" t="s">
        <v>28</v>
      </c>
      <c r="G774" s="28" t="s">
        <v>2855</v>
      </c>
      <c r="H774" s="28" t="str">
        <f>"nekl-2"</f>
        <v>nekl-2</v>
      </c>
      <c r="I774" s="28" t="s">
        <v>2857</v>
      </c>
      <c r="J774" s="28" t="s">
        <v>29</v>
      </c>
      <c r="K774" s="28" t="s">
        <v>29</v>
      </c>
      <c r="L774" s="28">
        <v>12.9853021787654</v>
      </c>
      <c r="M774" s="28" t="s">
        <v>29</v>
      </c>
      <c r="N774" s="28" t="s">
        <v>29</v>
      </c>
      <c r="O774" s="28" t="s">
        <v>29</v>
      </c>
      <c r="P774" s="28" t="s">
        <v>29</v>
      </c>
      <c r="Q774" s="28" t="s">
        <v>29</v>
      </c>
      <c r="R774" s="28" t="s">
        <v>29</v>
      </c>
      <c r="S774" s="28">
        <v>14.267101596420799</v>
      </c>
      <c r="T774" s="28" t="s">
        <v>29</v>
      </c>
      <c r="U774" s="28" t="s">
        <v>29</v>
      </c>
      <c r="V774" s="28" t="s">
        <v>29</v>
      </c>
      <c r="W774" s="28" t="s">
        <v>29</v>
      </c>
      <c r="X774" s="28" t="s">
        <v>29</v>
      </c>
      <c r="Y774" s="28" t="s">
        <v>29</v>
      </c>
    </row>
    <row r="775" spans="1:25" x14ac:dyDescent="0.2">
      <c r="A775" t="s">
        <v>2858</v>
      </c>
      <c r="B775" t="s">
        <v>2859</v>
      </c>
      <c r="C775" t="s">
        <v>2860</v>
      </c>
      <c r="D775" t="s">
        <v>1350</v>
      </c>
      <c r="E775" t="s">
        <v>2859</v>
      </c>
      <c r="F775" t="s">
        <v>28</v>
      </c>
      <c r="G775" t="s">
        <v>2859</v>
      </c>
      <c r="H775" t="str">
        <f>"ule-1"</f>
        <v>ule-1</v>
      </c>
      <c r="I775" t="s">
        <v>1350</v>
      </c>
      <c r="J775">
        <v>12.8785969156704</v>
      </c>
      <c r="K775">
        <v>12.907476840826</v>
      </c>
      <c r="L775">
        <v>13.3038042059126</v>
      </c>
      <c r="M775" t="s">
        <v>29</v>
      </c>
      <c r="N775">
        <v>12.5859888297051</v>
      </c>
      <c r="O775">
        <v>11.0125223540468</v>
      </c>
      <c r="P775">
        <v>-1.2307037289270699</v>
      </c>
      <c r="Q775">
        <v>-2.51315840473546</v>
      </c>
      <c r="R775">
        <v>5.1750946881325803E-2</v>
      </c>
      <c r="S775">
        <v>13.3248873101843</v>
      </c>
      <c r="T775">
        <v>-2.02563645487233</v>
      </c>
      <c r="U775">
        <v>-5.0159621740559199</v>
      </c>
      <c r="V775">
        <v>5.88958695173456E-2</v>
      </c>
      <c r="W775">
        <v>0.245073093873968</v>
      </c>
      <c r="X775">
        <v>0</v>
      </c>
      <c r="Y775">
        <v>0</v>
      </c>
    </row>
    <row r="776" spans="1:25" x14ac:dyDescent="0.2">
      <c r="A776" t="s">
        <v>2861</v>
      </c>
      <c r="B776" t="s">
        <v>2862</v>
      </c>
      <c r="C776" t="s">
        <v>2863</v>
      </c>
      <c r="D776" t="s">
        <v>2864</v>
      </c>
      <c r="E776" t="s">
        <v>2862</v>
      </c>
      <c r="F776" t="s">
        <v>28</v>
      </c>
      <c r="G776" t="s">
        <v>2862</v>
      </c>
      <c r="H776" t="str">
        <f>"him-1"</f>
        <v>him-1</v>
      </c>
      <c r="I776" t="s">
        <v>2864</v>
      </c>
      <c r="J776">
        <v>13.214627541828101</v>
      </c>
      <c r="K776">
        <v>13.197107605238401</v>
      </c>
      <c r="L776">
        <v>13.0098908113987</v>
      </c>
      <c r="M776">
        <v>13.146316631917401</v>
      </c>
      <c r="N776">
        <v>13.2770409155419</v>
      </c>
      <c r="O776">
        <v>13.036991424119501</v>
      </c>
      <c r="P776">
        <v>1.29076710378779E-2</v>
      </c>
      <c r="Q776">
        <v>-0.32044685606744899</v>
      </c>
      <c r="R776">
        <v>0.34626219814320502</v>
      </c>
      <c r="S776">
        <v>12.865124587853799</v>
      </c>
      <c r="T776">
        <v>8.1383065432507604E-2</v>
      </c>
      <c r="U776">
        <v>-7.0486161087849597</v>
      </c>
      <c r="V776">
        <v>0.93604063950344396</v>
      </c>
      <c r="W776">
        <v>0.97535311084156295</v>
      </c>
      <c r="X776">
        <v>0</v>
      </c>
      <c r="Y776">
        <v>0</v>
      </c>
    </row>
    <row r="777" spans="1:25" x14ac:dyDescent="0.2">
      <c r="A777" t="s">
        <v>2865</v>
      </c>
      <c r="B777" t="s">
        <v>2866</v>
      </c>
      <c r="C777" t="s">
        <v>2867</v>
      </c>
      <c r="D777" t="s">
        <v>2868</v>
      </c>
      <c r="E777" t="s">
        <v>2866</v>
      </c>
      <c r="F777" t="s">
        <v>28</v>
      </c>
      <c r="G777" t="s">
        <v>2866</v>
      </c>
      <c r="H777" t="str">
        <f>"rpl-7"</f>
        <v>rpl-7</v>
      </c>
      <c r="I777" t="s">
        <v>2868</v>
      </c>
      <c r="J777">
        <v>19.888514752029302</v>
      </c>
      <c r="K777">
        <v>19.990936192844799</v>
      </c>
      <c r="L777">
        <v>20.257399683146598</v>
      </c>
      <c r="M777">
        <v>19.652372611054101</v>
      </c>
      <c r="N777">
        <v>19.559939753731701</v>
      </c>
      <c r="O777">
        <v>19.658813319938901</v>
      </c>
      <c r="P777">
        <v>-0.42190831443198501</v>
      </c>
      <c r="Q777">
        <v>-0.76732589700021703</v>
      </c>
      <c r="R777">
        <v>-7.6490731863752298E-2</v>
      </c>
      <c r="S777">
        <v>20.008276860913501</v>
      </c>
      <c r="T777">
        <v>-2.5672381431433902</v>
      </c>
      <c r="U777">
        <v>-4.1151653752200197</v>
      </c>
      <c r="V777">
        <v>1.9447091451230102E-2</v>
      </c>
      <c r="W777">
        <v>0.135302528639618</v>
      </c>
      <c r="X777">
        <v>0</v>
      </c>
      <c r="Y777">
        <v>0</v>
      </c>
    </row>
    <row r="778" spans="1:25" x14ac:dyDescent="0.2">
      <c r="A778" t="s">
        <v>2869</v>
      </c>
      <c r="B778" t="s">
        <v>2870</v>
      </c>
      <c r="C778" t="s">
        <v>2871</v>
      </c>
      <c r="D778" t="s">
        <v>2872</v>
      </c>
      <c r="E778" t="s">
        <v>2870</v>
      </c>
      <c r="F778" t="s">
        <v>28</v>
      </c>
      <c r="G778" t="s">
        <v>2870</v>
      </c>
      <c r="H778" t="str">
        <f>"rab-11.1"</f>
        <v>rab-11.1</v>
      </c>
      <c r="I778" t="s">
        <v>2872</v>
      </c>
      <c r="J778">
        <v>14.2795067019792</v>
      </c>
      <c r="K778">
        <v>15.2561182279705</v>
      </c>
      <c r="L778">
        <v>14.5251413467119</v>
      </c>
      <c r="M778">
        <v>14.719958974396199</v>
      </c>
      <c r="N778">
        <v>14.1032021952871</v>
      </c>
      <c r="O778">
        <v>14.8781651647939</v>
      </c>
      <c r="P778">
        <v>-0.11981331406145999</v>
      </c>
      <c r="Q778">
        <v>-0.88590999727696595</v>
      </c>
      <c r="R778">
        <v>0.64628336915404605</v>
      </c>
      <c r="S778">
        <v>14.7979470868987</v>
      </c>
      <c r="T778">
        <v>-0.32871082932338502</v>
      </c>
      <c r="U778">
        <v>-6.9956324532006198</v>
      </c>
      <c r="V778">
        <v>0.74618976426333194</v>
      </c>
      <c r="W778">
        <v>0.89235361033480298</v>
      </c>
      <c r="X778">
        <v>0</v>
      </c>
      <c r="Y778">
        <v>0</v>
      </c>
    </row>
    <row r="779" spans="1:25" x14ac:dyDescent="0.2">
      <c r="A779" t="s">
        <v>2873</v>
      </c>
      <c r="B779" t="s">
        <v>2874</v>
      </c>
      <c r="C779" t="s">
        <v>2875</v>
      </c>
      <c r="D779" t="s">
        <v>2876</v>
      </c>
      <c r="E779" t="s">
        <v>2874</v>
      </c>
      <c r="F779" t="s">
        <v>28</v>
      </c>
      <c r="G779" t="s">
        <v>2874</v>
      </c>
      <c r="H779" t="str">
        <f>"ssb-1"</f>
        <v>ssb-1</v>
      </c>
      <c r="I779" t="s">
        <v>2876</v>
      </c>
      <c r="J779">
        <v>11.186446839435501</v>
      </c>
      <c r="K779">
        <v>10.934295125567401</v>
      </c>
      <c r="L779">
        <v>11.6580580451893</v>
      </c>
      <c r="M779">
        <v>11.5607512564748</v>
      </c>
      <c r="N779">
        <v>11.4373174840647</v>
      </c>
      <c r="O779">
        <v>13.3239143451743</v>
      </c>
      <c r="P779">
        <v>0.84772769184053198</v>
      </c>
      <c r="Q779">
        <v>-0.116594355797775</v>
      </c>
      <c r="R779">
        <v>1.81204973947884</v>
      </c>
      <c r="S779">
        <v>12.605723615142599</v>
      </c>
      <c r="T779">
        <v>1.84768012345386</v>
      </c>
      <c r="U779">
        <v>-5.4157365565345899</v>
      </c>
      <c r="V779">
        <v>8.1247608126608403E-2</v>
      </c>
      <c r="W779">
        <v>0.29266817027054998</v>
      </c>
      <c r="X779">
        <v>0</v>
      </c>
      <c r="Y779">
        <v>0</v>
      </c>
    </row>
    <row r="780" spans="1:25" x14ac:dyDescent="0.2">
      <c r="A780" t="s">
        <v>2877</v>
      </c>
      <c r="B780" t="s">
        <v>2878</v>
      </c>
      <c r="C780" t="s">
        <v>14329</v>
      </c>
      <c r="D780" t="s">
        <v>2879</v>
      </c>
      <c r="E780" t="s">
        <v>2878</v>
      </c>
      <c r="F780" t="s">
        <v>28</v>
      </c>
      <c r="G780" t="s">
        <v>2878</v>
      </c>
      <c r="H780" t="str">
        <f>"W02D3.4"</f>
        <v>W02D3.4</v>
      </c>
      <c r="I780" t="s">
        <v>2879</v>
      </c>
      <c r="J780" t="s">
        <v>29</v>
      </c>
      <c r="K780">
        <v>11.227582656757001</v>
      </c>
      <c r="L780" t="s">
        <v>29</v>
      </c>
      <c r="M780" t="s">
        <v>29</v>
      </c>
      <c r="N780" t="s">
        <v>29</v>
      </c>
      <c r="O780" t="s">
        <v>29</v>
      </c>
      <c r="P780" t="s">
        <v>29</v>
      </c>
      <c r="Q780" t="s">
        <v>29</v>
      </c>
      <c r="R780" t="s">
        <v>29</v>
      </c>
      <c r="S780">
        <v>11.352040247932401</v>
      </c>
      <c r="T780" t="s">
        <v>29</v>
      </c>
      <c r="U780" t="s">
        <v>29</v>
      </c>
      <c r="V780" t="s">
        <v>29</v>
      </c>
      <c r="W780" t="s">
        <v>29</v>
      </c>
      <c r="X780" t="s">
        <v>29</v>
      </c>
      <c r="Y780" t="s">
        <v>29</v>
      </c>
    </row>
    <row r="781" spans="1:25" x14ac:dyDescent="0.2">
      <c r="A781" t="s">
        <v>2880</v>
      </c>
      <c r="B781" t="s">
        <v>2881</v>
      </c>
      <c r="C781" t="s">
        <v>2882</v>
      </c>
      <c r="D781" t="s">
        <v>2883</v>
      </c>
      <c r="E781" t="s">
        <v>2881</v>
      </c>
      <c r="F781" t="s">
        <v>28</v>
      </c>
      <c r="G781" t="s">
        <v>2881</v>
      </c>
      <c r="H781" t="str">
        <f>"lbp-6"</f>
        <v>lbp-6</v>
      </c>
      <c r="I781" t="s">
        <v>2883</v>
      </c>
      <c r="J781" t="s">
        <v>29</v>
      </c>
      <c r="K781">
        <v>11.3544621980804</v>
      </c>
      <c r="L781" t="s">
        <v>29</v>
      </c>
      <c r="M781">
        <v>12.1902877237025</v>
      </c>
      <c r="N781" t="s">
        <v>29</v>
      </c>
      <c r="O781">
        <v>15.016908839206</v>
      </c>
      <c r="P781">
        <v>2.2491360833739198</v>
      </c>
      <c r="Q781">
        <v>0.13354048067486399</v>
      </c>
      <c r="R781">
        <v>4.3647316860729699</v>
      </c>
      <c r="S781">
        <v>12.5950963270515</v>
      </c>
      <c r="T781">
        <v>2.4092805944576701</v>
      </c>
      <c r="U781">
        <v>-4.2184749932228298</v>
      </c>
      <c r="V781">
        <v>3.96006838415204E-2</v>
      </c>
      <c r="W781">
        <v>0.19691232388534699</v>
      </c>
      <c r="X781">
        <v>1</v>
      </c>
      <c r="Y781">
        <v>0</v>
      </c>
    </row>
    <row r="782" spans="1:25" x14ac:dyDescent="0.2">
      <c r="A782" t="s">
        <v>2884</v>
      </c>
      <c r="B782" t="s">
        <v>2885</v>
      </c>
      <c r="C782" t="s">
        <v>2886</v>
      </c>
      <c r="D782" t="s">
        <v>2887</v>
      </c>
      <c r="E782" t="s">
        <v>2885</v>
      </c>
      <c r="F782" t="s">
        <v>28</v>
      </c>
      <c r="G782" t="s">
        <v>2885</v>
      </c>
      <c r="H782" t="str">
        <f>"dhod-1"</f>
        <v>dhod-1</v>
      </c>
      <c r="I782" t="s">
        <v>2887</v>
      </c>
      <c r="J782">
        <v>13.880951775440099</v>
      </c>
      <c r="K782">
        <v>13.5667042122199</v>
      </c>
      <c r="L782">
        <v>13.826117622095801</v>
      </c>
      <c r="M782">
        <v>13.5144620232418</v>
      </c>
      <c r="N782">
        <v>13.282334371145501</v>
      </c>
      <c r="O782">
        <v>13.2294350432594</v>
      </c>
      <c r="P782">
        <v>-0.41584739070300702</v>
      </c>
      <c r="Q782">
        <v>-0.77035694921820197</v>
      </c>
      <c r="R782">
        <v>-6.1337832187812302E-2</v>
      </c>
      <c r="S782">
        <v>13.591977472007001</v>
      </c>
      <c r="T782">
        <v>-2.4654633134200199</v>
      </c>
      <c r="U782">
        <v>-4.31290794205845</v>
      </c>
      <c r="V782">
        <v>2.4030368344636999E-2</v>
      </c>
      <c r="W782">
        <v>0.150562467549398</v>
      </c>
      <c r="X782">
        <v>0</v>
      </c>
      <c r="Y782">
        <v>0</v>
      </c>
    </row>
    <row r="783" spans="1:25" x14ac:dyDescent="0.2">
      <c r="A783" t="s">
        <v>2888</v>
      </c>
      <c r="B783" t="s">
        <v>2889</v>
      </c>
      <c r="C783" t="s">
        <v>2890</v>
      </c>
      <c r="D783" t="s">
        <v>2891</v>
      </c>
      <c r="E783" t="s">
        <v>2889</v>
      </c>
      <c r="F783" t="s">
        <v>28</v>
      </c>
      <c r="G783" t="s">
        <v>2889</v>
      </c>
      <c r="H783" t="str">
        <f>"C53H9.2"</f>
        <v>C53H9.2</v>
      </c>
      <c r="I783" t="s">
        <v>2891</v>
      </c>
      <c r="J783">
        <v>14.3488319743959</v>
      </c>
      <c r="K783">
        <v>14.2985847995821</v>
      </c>
      <c r="L783">
        <v>14.408637857356</v>
      </c>
      <c r="M783">
        <v>14.398896731514601</v>
      </c>
      <c r="N783">
        <v>14.727133031166501</v>
      </c>
      <c r="O783">
        <v>14.3484126717703</v>
      </c>
      <c r="P783">
        <v>0.139462601039165</v>
      </c>
      <c r="Q783">
        <v>-0.227054191297031</v>
      </c>
      <c r="R783">
        <v>0.50597939337536202</v>
      </c>
      <c r="S783">
        <v>14.391442319574701</v>
      </c>
      <c r="T783">
        <v>0.80318187019084097</v>
      </c>
      <c r="U783">
        <v>-6.7193140001010301</v>
      </c>
      <c r="V783">
        <v>0.433024550406021</v>
      </c>
      <c r="W783">
        <v>0.70207368561095795</v>
      </c>
      <c r="X783">
        <v>0</v>
      </c>
      <c r="Y783">
        <v>0</v>
      </c>
    </row>
    <row r="784" spans="1:25" x14ac:dyDescent="0.2">
      <c r="A784" t="s">
        <v>2892</v>
      </c>
      <c r="B784" t="s">
        <v>2893</v>
      </c>
      <c r="C784" t="s">
        <v>2894</v>
      </c>
      <c r="D784" t="s">
        <v>2895</v>
      </c>
      <c r="E784" t="s">
        <v>2893</v>
      </c>
      <c r="F784" t="s">
        <v>28</v>
      </c>
      <c r="G784" t="s">
        <v>2893</v>
      </c>
      <c r="H784" t="str">
        <f>"hil-5"</f>
        <v>hil-5</v>
      </c>
      <c r="I784" t="s">
        <v>2895</v>
      </c>
      <c r="J784">
        <v>13.696129895246999</v>
      </c>
      <c r="K784">
        <v>13.774018797230999</v>
      </c>
      <c r="L784">
        <v>14.3570513338771</v>
      </c>
      <c r="M784">
        <v>13.1745861357637</v>
      </c>
      <c r="N784">
        <v>13.5281513158792</v>
      </c>
      <c r="O784">
        <v>13.323895706227299</v>
      </c>
      <c r="P784">
        <v>-0.60018895616162604</v>
      </c>
      <c r="Q784">
        <v>-1.24429635820277</v>
      </c>
      <c r="R784">
        <v>4.3918445879517903E-2</v>
      </c>
      <c r="S784">
        <v>13.1109084522346</v>
      </c>
      <c r="T784">
        <v>-1.9764199983033199</v>
      </c>
      <c r="U784">
        <v>-5.2110658578741802</v>
      </c>
      <c r="V784">
        <v>6.5725113823119102E-2</v>
      </c>
      <c r="W784">
        <v>0.26105387961842902</v>
      </c>
      <c r="X784">
        <v>0</v>
      </c>
      <c r="Y784">
        <v>0</v>
      </c>
    </row>
    <row r="785" spans="1:25" x14ac:dyDescent="0.2">
      <c r="A785" t="s">
        <v>2896</v>
      </c>
      <c r="B785" t="s">
        <v>2897</v>
      </c>
      <c r="C785" t="s">
        <v>2898</v>
      </c>
      <c r="D785" t="s">
        <v>2899</v>
      </c>
      <c r="E785" t="s">
        <v>2897</v>
      </c>
      <c r="F785" t="s">
        <v>28</v>
      </c>
      <c r="G785" t="s">
        <v>2897</v>
      </c>
      <c r="H785" t="str">
        <f>"cpb-3"</f>
        <v>cpb-3</v>
      </c>
      <c r="I785" t="s">
        <v>2899</v>
      </c>
      <c r="J785" t="s">
        <v>29</v>
      </c>
      <c r="K785">
        <v>10.812964554117301</v>
      </c>
      <c r="L785">
        <v>11.398846918213501</v>
      </c>
      <c r="M785">
        <v>12.454356816242599</v>
      </c>
      <c r="N785">
        <v>11.5779311521412</v>
      </c>
      <c r="O785" t="s">
        <v>29</v>
      </c>
      <c r="P785">
        <v>0.91023824802646802</v>
      </c>
      <c r="Q785">
        <v>-0.12264088052227599</v>
      </c>
      <c r="R785">
        <v>1.9431173765752101</v>
      </c>
      <c r="S785">
        <v>12.3131775327018</v>
      </c>
      <c r="T785">
        <v>1.89146135107525</v>
      </c>
      <c r="U785">
        <v>-5.1659319120813203</v>
      </c>
      <c r="V785">
        <v>7.9593052665495101E-2</v>
      </c>
      <c r="W785">
        <v>0.289269405539689</v>
      </c>
      <c r="X785">
        <v>0</v>
      </c>
      <c r="Y785">
        <v>0</v>
      </c>
    </row>
    <row r="786" spans="1:25" x14ac:dyDescent="0.2">
      <c r="A786" t="s">
        <v>2900</v>
      </c>
      <c r="B786" t="s">
        <v>2901</v>
      </c>
      <c r="C786" t="s">
        <v>2902</v>
      </c>
      <c r="D786" t="s">
        <v>2903</v>
      </c>
      <c r="E786" t="s">
        <v>2901</v>
      </c>
      <c r="F786" t="s">
        <v>28</v>
      </c>
      <c r="G786" t="s">
        <v>2901</v>
      </c>
      <c r="H786" t="str">
        <f>"pept-3"</f>
        <v>pept-3</v>
      </c>
      <c r="I786" t="s">
        <v>2903</v>
      </c>
      <c r="J786">
        <v>15.0008234800225</v>
      </c>
      <c r="K786">
        <v>15.629359456125201</v>
      </c>
      <c r="L786">
        <v>15.3258034922736</v>
      </c>
      <c r="M786">
        <v>16.828474492944199</v>
      </c>
      <c r="N786">
        <v>15.7808856128306</v>
      </c>
      <c r="O786">
        <v>14.8183836382394</v>
      </c>
      <c r="P786">
        <v>0.490585771864325</v>
      </c>
      <c r="Q786">
        <v>-0.60670348580463895</v>
      </c>
      <c r="R786">
        <v>1.58787502953329</v>
      </c>
      <c r="S786">
        <v>15.209930179669501</v>
      </c>
      <c r="T786">
        <v>0.94372146696313097</v>
      </c>
      <c r="U786">
        <v>-6.5958985768653697</v>
      </c>
      <c r="V786">
        <v>0.35861297550958199</v>
      </c>
      <c r="W786">
        <v>0.63662117965530796</v>
      </c>
      <c r="X786">
        <v>0</v>
      </c>
      <c r="Y786">
        <v>0</v>
      </c>
    </row>
    <row r="787" spans="1:25" x14ac:dyDescent="0.2">
      <c r="A787" t="s">
        <v>2904</v>
      </c>
      <c r="B787" t="s">
        <v>2905</v>
      </c>
      <c r="C787" t="s">
        <v>14330</v>
      </c>
      <c r="D787" t="s">
        <v>2906</v>
      </c>
      <c r="E787" t="s">
        <v>2905</v>
      </c>
      <c r="F787" t="s">
        <v>28</v>
      </c>
      <c r="G787" t="s">
        <v>2905</v>
      </c>
      <c r="H787" t="str">
        <f>"T05E7.3"</f>
        <v>T05E7.3</v>
      </c>
      <c r="I787" t="s">
        <v>2906</v>
      </c>
      <c r="J787" t="s">
        <v>29</v>
      </c>
      <c r="K787">
        <v>11.424248056981799</v>
      </c>
      <c r="L787">
        <v>10.362531813065299</v>
      </c>
      <c r="M787">
        <v>10.053276778912601</v>
      </c>
      <c r="N787">
        <v>10.6182632129756</v>
      </c>
      <c r="O787" t="s">
        <v>29</v>
      </c>
      <c r="P787">
        <v>-0.55761993907940499</v>
      </c>
      <c r="Q787">
        <v>-1.82281849048026</v>
      </c>
      <c r="R787">
        <v>0.70757861232144903</v>
      </c>
      <c r="S787">
        <v>10.5979721557805</v>
      </c>
      <c r="T787">
        <v>-0.96122403396753198</v>
      </c>
      <c r="U787">
        <v>-6.37436552244636</v>
      </c>
      <c r="V787">
        <v>0.35557249239413002</v>
      </c>
      <c r="W787">
        <v>0.63553177735484401</v>
      </c>
      <c r="X787">
        <v>0</v>
      </c>
      <c r="Y787">
        <v>0</v>
      </c>
    </row>
    <row r="788" spans="1:25" x14ac:dyDescent="0.2">
      <c r="A788" t="s">
        <v>2907</v>
      </c>
      <c r="B788" t="s">
        <v>2908</v>
      </c>
      <c r="C788" t="s">
        <v>2909</v>
      </c>
      <c r="D788" t="s">
        <v>526</v>
      </c>
      <c r="E788" t="s">
        <v>2908</v>
      </c>
      <c r="F788" t="s">
        <v>28</v>
      </c>
      <c r="G788" t="s">
        <v>2908</v>
      </c>
      <c r="H788" t="str">
        <f>"nrd-1"</f>
        <v>nrd-1</v>
      </c>
      <c r="I788" t="s">
        <v>526</v>
      </c>
      <c r="J788">
        <v>13.5997967915632</v>
      </c>
      <c r="K788">
        <v>14.221851249317201</v>
      </c>
      <c r="L788">
        <v>14.0857127561768</v>
      </c>
      <c r="M788">
        <v>13.738877922994099</v>
      </c>
      <c r="N788">
        <v>13.6669114458215</v>
      </c>
      <c r="O788">
        <v>13.7502463876185</v>
      </c>
      <c r="P788">
        <v>-0.25044168020770402</v>
      </c>
      <c r="Q788">
        <v>-0.66793018680523897</v>
      </c>
      <c r="R788">
        <v>0.16704682638983101</v>
      </c>
      <c r="S788">
        <v>14.4075999199452</v>
      </c>
      <c r="T788">
        <v>-1.26082438012819</v>
      </c>
      <c r="U788">
        <v>-6.2541984912045798</v>
      </c>
      <c r="V788">
        <v>0.22356347561325501</v>
      </c>
      <c r="W788">
        <v>0.49153753354427798</v>
      </c>
      <c r="X788">
        <v>0</v>
      </c>
      <c r="Y788">
        <v>0</v>
      </c>
    </row>
    <row r="789" spans="1:25" x14ac:dyDescent="0.2">
      <c r="A789" t="s">
        <v>2910</v>
      </c>
      <c r="B789" t="s">
        <v>2911</v>
      </c>
      <c r="C789" t="s">
        <v>2912</v>
      </c>
      <c r="D789" t="s">
        <v>2913</v>
      </c>
      <c r="E789" t="s">
        <v>2911</v>
      </c>
      <c r="F789" t="s">
        <v>28</v>
      </c>
      <c r="G789" t="s">
        <v>2911</v>
      </c>
      <c r="H789" t="str">
        <f>"rpl-24.1"</f>
        <v>rpl-24.1</v>
      </c>
      <c r="I789" t="s">
        <v>2913</v>
      </c>
      <c r="J789">
        <v>20.592596874186398</v>
      </c>
      <c r="K789">
        <v>20.482154512530801</v>
      </c>
      <c r="L789">
        <v>20.581272087041</v>
      </c>
      <c r="M789">
        <v>20.6229243990174</v>
      </c>
      <c r="N789">
        <v>20.657283403933398</v>
      </c>
      <c r="O789">
        <v>20.1747597147066</v>
      </c>
      <c r="P789">
        <v>-6.7018652033606699E-2</v>
      </c>
      <c r="Q789">
        <v>-0.43764535529244603</v>
      </c>
      <c r="R789">
        <v>0.30360805122523199</v>
      </c>
      <c r="S789">
        <v>20.5003978839996</v>
      </c>
      <c r="T789">
        <v>-0.38005941459758602</v>
      </c>
      <c r="U789">
        <v>-6.9766940855709896</v>
      </c>
      <c r="V789">
        <v>0.70837450643042099</v>
      </c>
      <c r="W789">
        <v>0.86950231758754803</v>
      </c>
      <c r="X789">
        <v>0</v>
      </c>
      <c r="Y789">
        <v>0</v>
      </c>
    </row>
    <row r="790" spans="1:25" x14ac:dyDescent="0.2">
      <c r="A790" t="s">
        <v>2914</v>
      </c>
      <c r="B790" t="s">
        <v>2915</v>
      </c>
      <c r="C790" t="s">
        <v>2916</v>
      </c>
      <c r="D790" t="s">
        <v>2917</v>
      </c>
      <c r="E790" t="s">
        <v>2915</v>
      </c>
      <c r="F790" t="s">
        <v>28</v>
      </c>
      <c r="G790" t="s">
        <v>2915</v>
      </c>
      <c r="H790" t="str">
        <f>"rps-10"</f>
        <v>rps-10</v>
      </c>
      <c r="I790" t="s">
        <v>2917</v>
      </c>
      <c r="J790">
        <v>13.0862297101315</v>
      </c>
      <c r="K790">
        <v>13.528531669393701</v>
      </c>
      <c r="L790">
        <v>13.9851240303175</v>
      </c>
      <c r="M790">
        <v>13.6295055804562</v>
      </c>
      <c r="N790">
        <v>13.0417669268164</v>
      </c>
      <c r="O790">
        <v>14.9294358293639</v>
      </c>
      <c r="P790">
        <v>0.33360764226462802</v>
      </c>
      <c r="Q790">
        <v>-0.50939754711917795</v>
      </c>
      <c r="R790">
        <v>1.1766128316484299</v>
      </c>
      <c r="S790">
        <v>13.7792168001583</v>
      </c>
      <c r="T790">
        <v>0.83176043090004004</v>
      </c>
      <c r="U790">
        <v>-6.6964087897998201</v>
      </c>
      <c r="V790">
        <v>0.41650575054536898</v>
      </c>
      <c r="W790">
        <v>0.690076228245738</v>
      </c>
      <c r="X790">
        <v>0</v>
      </c>
      <c r="Y790">
        <v>0</v>
      </c>
    </row>
    <row r="791" spans="1:25" x14ac:dyDescent="0.2">
      <c r="A791" t="s">
        <v>2918</v>
      </c>
      <c r="B791" t="s">
        <v>2919</v>
      </c>
      <c r="C791" t="s">
        <v>2920</v>
      </c>
      <c r="D791" t="s">
        <v>2921</v>
      </c>
      <c r="E791" t="s">
        <v>2919</v>
      </c>
      <c r="F791" t="s">
        <v>28</v>
      </c>
      <c r="G791" t="s">
        <v>2919</v>
      </c>
      <c r="H791" t="str">
        <f>"tmem-39"</f>
        <v>tmem-39</v>
      </c>
      <c r="I791" t="s">
        <v>2921</v>
      </c>
      <c r="J791">
        <v>12.999498266012999</v>
      </c>
      <c r="K791">
        <v>13.487709462550001</v>
      </c>
      <c r="L791">
        <v>13.8321609146215</v>
      </c>
      <c r="M791">
        <v>12.579428470929599</v>
      </c>
      <c r="N791">
        <v>12.6636253049145</v>
      </c>
      <c r="O791">
        <v>13.3247750736068</v>
      </c>
      <c r="P791">
        <v>-0.58384659791122395</v>
      </c>
      <c r="Q791">
        <v>-1.2424677640526101</v>
      </c>
      <c r="R791">
        <v>7.4774568230159502E-2</v>
      </c>
      <c r="S791">
        <v>13.8586943591124</v>
      </c>
      <c r="T791">
        <v>-1.86318330265169</v>
      </c>
      <c r="U791">
        <v>-5.3904871262030598</v>
      </c>
      <c r="V791">
        <v>7.8933516123098804E-2</v>
      </c>
      <c r="W791">
        <v>0.28859512524108299</v>
      </c>
      <c r="X791">
        <v>0</v>
      </c>
      <c r="Y791">
        <v>0</v>
      </c>
    </row>
    <row r="792" spans="1:25" x14ac:dyDescent="0.2">
      <c r="A792" t="s">
        <v>2922</v>
      </c>
      <c r="B792" t="s">
        <v>2923</v>
      </c>
      <c r="C792" t="s">
        <v>2924</v>
      </c>
      <c r="D792" t="s">
        <v>2925</v>
      </c>
      <c r="E792" t="s">
        <v>2923</v>
      </c>
      <c r="F792" t="s">
        <v>28</v>
      </c>
      <c r="G792" t="s">
        <v>2923</v>
      </c>
      <c r="H792" t="str">
        <f>"ucp-4"</f>
        <v>ucp-4</v>
      </c>
      <c r="I792" t="s">
        <v>2925</v>
      </c>
      <c r="J792">
        <v>13.9652222754713</v>
      </c>
      <c r="K792">
        <v>13.8107235056245</v>
      </c>
      <c r="L792">
        <v>13.5270097393797</v>
      </c>
      <c r="M792">
        <v>13.919039748881801</v>
      </c>
      <c r="N792">
        <v>13.9539487955534</v>
      </c>
      <c r="O792">
        <v>13.715977232911101</v>
      </c>
      <c r="P792">
        <v>9.5336752290233306E-2</v>
      </c>
      <c r="Q792">
        <v>-0.35756501065582902</v>
      </c>
      <c r="R792">
        <v>0.54823851523629596</v>
      </c>
      <c r="S792">
        <v>13.603276108210199</v>
      </c>
      <c r="T792">
        <v>0.44433073520823102</v>
      </c>
      <c r="U792">
        <v>-6.9489027030931299</v>
      </c>
      <c r="V792">
        <v>0.66244244971043897</v>
      </c>
      <c r="W792">
        <v>0.84778227014478902</v>
      </c>
      <c r="X792">
        <v>0</v>
      </c>
      <c r="Y792">
        <v>0</v>
      </c>
    </row>
    <row r="793" spans="1:25" x14ac:dyDescent="0.2">
      <c r="A793" t="s">
        <v>2926</v>
      </c>
      <c r="B793" t="s">
        <v>2927</v>
      </c>
      <c r="C793" t="s">
        <v>2928</v>
      </c>
      <c r="D793" t="s">
        <v>2929</v>
      </c>
      <c r="E793" t="s">
        <v>2927</v>
      </c>
      <c r="F793" t="s">
        <v>28</v>
      </c>
      <c r="G793" t="s">
        <v>2927</v>
      </c>
      <c r="H793" t="str">
        <f>"coq-6"</f>
        <v>coq-6</v>
      </c>
      <c r="I793" t="s">
        <v>2929</v>
      </c>
      <c r="J793">
        <v>14.523229291792701</v>
      </c>
      <c r="K793">
        <v>14.626901636724099</v>
      </c>
      <c r="L793">
        <v>14.2360871599424</v>
      </c>
      <c r="M793">
        <v>13.9965765597612</v>
      </c>
      <c r="N793">
        <v>13.415933932303799</v>
      </c>
      <c r="O793">
        <v>13.9486709092286</v>
      </c>
      <c r="P793">
        <v>-0.67501222905518599</v>
      </c>
      <c r="Q793">
        <v>-1.1641826086512601</v>
      </c>
      <c r="R793">
        <v>-0.18584184945910701</v>
      </c>
      <c r="S793">
        <v>13.930716075554701</v>
      </c>
      <c r="T793">
        <v>-2.9268537305389701</v>
      </c>
      <c r="U793">
        <v>-3.44377868155834</v>
      </c>
      <c r="V793">
        <v>9.9272393318087307E-3</v>
      </c>
      <c r="W793">
        <v>8.7306045366771903E-2</v>
      </c>
      <c r="X793">
        <v>0</v>
      </c>
      <c r="Y793">
        <v>0</v>
      </c>
    </row>
    <row r="794" spans="1:25" x14ac:dyDescent="0.2">
      <c r="A794" t="s">
        <v>2930</v>
      </c>
      <c r="B794" t="s">
        <v>2931</v>
      </c>
      <c r="C794" t="s">
        <v>14331</v>
      </c>
      <c r="D794" t="s">
        <v>2787</v>
      </c>
      <c r="E794" t="s">
        <v>2931</v>
      </c>
      <c r="F794" t="s">
        <v>28</v>
      </c>
      <c r="G794" t="s">
        <v>2931</v>
      </c>
      <c r="H794" t="str">
        <f>"R08F11.4"</f>
        <v>R08F11.4</v>
      </c>
      <c r="I794" t="s">
        <v>2787</v>
      </c>
      <c r="J794" t="s">
        <v>29</v>
      </c>
      <c r="K794" t="s">
        <v>29</v>
      </c>
      <c r="L794">
        <v>11.2451847966784</v>
      </c>
      <c r="M794">
        <v>11.9664644636378</v>
      </c>
      <c r="N794">
        <v>11.902992027212701</v>
      </c>
      <c r="O794" t="s">
        <v>29</v>
      </c>
      <c r="P794">
        <v>0.68954344874679996</v>
      </c>
      <c r="Q794">
        <v>-0.123517196185468</v>
      </c>
      <c r="R794">
        <v>1.5026040936790701</v>
      </c>
      <c r="S794">
        <v>11.7618643825533</v>
      </c>
      <c r="T794">
        <v>1.83369010286074</v>
      </c>
      <c r="U794">
        <v>-5.0709837842086598</v>
      </c>
      <c r="V794">
        <v>8.9875603383054198E-2</v>
      </c>
      <c r="W794">
        <v>0.30708241090792199</v>
      </c>
      <c r="X794">
        <v>0</v>
      </c>
      <c r="Y794">
        <v>0</v>
      </c>
    </row>
    <row r="795" spans="1:25" x14ac:dyDescent="0.2">
      <c r="A795" t="s">
        <v>2932</v>
      </c>
      <c r="B795" t="s">
        <v>2933</v>
      </c>
      <c r="C795" t="s">
        <v>14332</v>
      </c>
      <c r="D795" t="s">
        <v>2934</v>
      </c>
      <c r="E795" t="s">
        <v>2933</v>
      </c>
      <c r="F795" t="s">
        <v>28</v>
      </c>
      <c r="G795" t="s">
        <v>2933</v>
      </c>
      <c r="H795" t="str">
        <f>"F59E12.9"</f>
        <v>F59E12.9</v>
      </c>
      <c r="I795" t="s">
        <v>2934</v>
      </c>
      <c r="J795">
        <v>11.888994507927</v>
      </c>
      <c r="K795">
        <v>12.2610273571914</v>
      </c>
      <c r="L795">
        <v>12.3878537255829</v>
      </c>
      <c r="M795">
        <v>12.119385428197401</v>
      </c>
      <c r="N795" t="s">
        <v>29</v>
      </c>
      <c r="O795">
        <v>11.595275764217099</v>
      </c>
      <c r="P795">
        <v>-0.32196126735984598</v>
      </c>
      <c r="Q795">
        <v>-0.81484843303723797</v>
      </c>
      <c r="R795">
        <v>0.17092589831754601</v>
      </c>
      <c r="S795">
        <v>12.5146839793886</v>
      </c>
      <c r="T795">
        <v>-1.39314950325205</v>
      </c>
      <c r="U795">
        <v>-5.9774582660935103</v>
      </c>
      <c r="V795">
        <v>0.18401834349142701</v>
      </c>
      <c r="W795">
        <v>0.44783395955828897</v>
      </c>
      <c r="X795">
        <v>0</v>
      </c>
      <c r="Y795">
        <v>0</v>
      </c>
    </row>
    <row r="796" spans="1:25" x14ac:dyDescent="0.2">
      <c r="A796" t="s">
        <v>2935</v>
      </c>
      <c r="B796" t="s">
        <v>2936</v>
      </c>
      <c r="C796" t="s">
        <v>14333</v>
      </c>
      <c r="D796" t="s">
        <v>115</v>
      </c>
      <c r="E796" t="s">
        <v>2936</v>
      </c>
      <c r="F796" t="s">
        <v>28</v>
      </c>
      <c r="G796" t="s">
        <v>2936</v>
      </c>
      <c r="H796" t="str">
        <f>"F59E12.1"</f>
        <v>F59E12.1</v>
      </c>
      <c r="I796" t="s">
        <v>115</v>
      </c>
      <c r="J796" t="s">
        <v>29</v>
      </c>
      <c r="K796" t="s">
        <v>29</v>
      </c>
      <c r="L796" t="s">
        <v>29</v>
      </c>
      <c r="M796" t="s">
        <v>29</v>
      </c>
      <c r="N796" t="s">
        <v>29</v>
      </c>
      <c r="O796" t="s">
        <v>29</v>
      </c>
      <c r="P796" t="s">
        <v>29</v>
      </c>
      <c r="Q796" t="s">
        <v>29</v>
      </c>
      <c r="R796" t="s">
        <v>29</v>
      </c>
      <c r="S796">
        <v>12.921184114813499</v>
      </c>
      <c r="T796" t="s">
        <v>29</v>
      </c>
      <c r="U796" t="s">
        <v>29</v>
      </c>
      <c r="V796" t="s">
        <v>29</v>
      </c>
      <c r="W796" t="s">
        <v>29</v>
      </c>
      <c r="X796" t="s">
        <v>29</v>
      </c>
      <c r="Y796" t="s">
        <v>29</v>
      </c>
    </row>
    <row r="797" spans="1:25" x14ac:dyDescent="0.2">
      <c r="A797" t="s">
        <v>2937</v>
      </c>
      <c r="B797" t="s">
        <v>2938</v>
      </c>
      <c r="C797" t="s">
        <v>2939</v>
      </c>
      <c r="D797" t="s">
        <v>2940</v>
      </c>
      <c r="E797" t="s">
        <v>2938</v>
      </c>
      <c r="F797" t="s">
        <v>28</v>
      </c>
      <c r="G797" t="s">
        <v>2938</v>
      </c>
      <c r="H797" t="str">
        <f>"crls-1"</f>
        <v>crls-1</v>
      </c>
      <c r="I797" t="s">
        <v>2940</v>
      </c>
      <c r="J797">
        <v>13.648682147212201</v>
      </c>
      <c r="K797">
        <v>13.810557892144001</v>
      </c>
      <c r="L797">
        <v>13.8368152253581</v>
      </c>
      <c r="M797">
        <v>13.890663751859799</v>
      </c>
      <c r="N797">
        <v>13.2884439511698</v>
      </c>
      <c r="O797">
        <v>12.9574426158939</v>
      </c>
      <c r="P797">
        <v>-0.386501648596976</v>
      </c>
      <c r="Q797">
        <v>-0.92651901229989597</v>
      </c>
      <c r="R797">
        <v>0.153515715105944</v>
      </c>
      <c r="S797">
        <v>13.144602160707</v>
      </c>
      <c r="T797">
        <v>-1.5180747480393699</v>
      </c>
      <c r="U797">
        <v>-5.9173491025121301</v>
      </c>
      <c r="V797">
        <v>0.14863301611520699</v>
      </c>
      <c r="W797">
        <v>0.399521169446724</v>
      </c>
      <c r="X797">
        <v>0</v>
      </c>
      <c r="Y797">
        <v>0</v>
      </c>
    </row>
    <row r="798" spans="1:25" x14ac:dyDescent="0.2">
      <c r="A798" t="s">
        <v>2941</v>
      </c>
      <c r="B798" t="s">
        <v>2942</v>
      </c>
      <c r="C798" t="s">
        <v>2943</v>
      </c>
      <c r="D798" t="s">
        <v>2944</v>
      </c>
      <c r="E798" t="s">
        <v>2942</v>
      </c>
      <c r="F798" t="s">
        <v>28</v>
      </c>
      <c r="G798" t="s">
        <v>2942</v>
      </c>
      <c r="H798" t="str">
        <f>"bra-2"</f>
        <v>bra-2</v>
      </c>
      <c r="I798" t="s">
        <v>2944</v>
      </c>
      <c r="J798">
        <v>14.643382052504901</v>
      </c>
      <c r="K798">
        <v>13.2447587185928</v>
      </c>
      <c r="L798">
        <v>11.797853263579499</v>
      </c>
      <c r="M798">
        <v>11.5688640827304</v>
      </c>
      <c r="N798">
        <v>12.575537178035299</v>
      </c>
      <c r="O798">
        <v>13.280172232224199</v>
      </c>
      <c r="P798">
        <v>-0.75380684722909097</v>
      </c>
      <c r="Q798">
        <v>-1.9748790921680599</v>
      </c>
      <c r="R798">
        <v>0.46726539770987302</v>
      </c>
      <c r="S798">
        <v>13.7435410994566</v>
      </c>
      <c r="T798">
        <v>-1.30307295563363</v>
      </c>
      <c r="U798">
        <v>-6.2018089302931498</v>
      </c>
      <c r="V798">
        <v>0.21003036808435899</v>
      </c>
      <c r="W798">
        <v>0.47561998677432299</v>
      </c>
      <c r="X798">
        <v>0</v>
      </c>
      <c r="Y798">
        <v>0</v>
      </c>
    </row>
    <row r="799" spans="1:25" x14ac:dyDescent="0.2">
      <c r="A799" t="s">
        <v>2945</v>
      </c>
      <c r="B799" t="s">
        <v>2946</v>
      </c>
      <c r="C799" t="s">
        <v>2947</v>
      </c>
      <c r="D799" t="s">
        <v>2948</v>
      </c>
      <c r="E799" t="s">
        <v>2946</v>
      </c>
      <c r="F799" t="s">
        <v>28</v>
      </c>
      <c r="G799" t="s">
        <v>2946</v>
      </c>
      <c r="H799" t="str">
        <f>"mboa-6"</f>
        <v>mboa-6</v>
      </c>
      <c r="I799" t="s">
        <v>2948</v>
      </c>
      <c r="J799">
        <v>16.212913014968301</v>
      </c>
      <c r="K799">
        <v>16.848426947689699</v>
      </c>
      <c r="L799">
        <v>17.054429771954201</v>
      </c>
      <c r="M799">
        <v>16.116428800770599</v>
      </c>
      <c r="N799">
        <v>16.4592957719215</v>
      </c>
      <c r="O799">
        <v>16.3625853461239</v>
      </c>
      <c r="P799">
        <v>-0.39248660526541801</v>
      </c>
      <c r="Q799">
        <v>-0.88856141689125401</v>
      </c>
      <c r="R799">
        <v>0.103588206360417</v>
      </c>
      <c r="S799">
        <v>17.159774798505101</v>
      </c>
      <c r="T799">
        <v>-1.6629154824458401</v>
      </c>
      <c r="U799">
        <v>-5.70527050436257</v>
      </c>
      <c r="V799">
        <v>0.11374417920584901</v>
      </c>
      <c r="W799">
        <v>0.34678170162170102</v>
      </c>
      <c r="X799">
        <v>0</v>
      </c>
      <c r="Y799">
        <v>0</v>
      </c>
    </row>
    <row r="800" spans="1:25" x14ac:dyDescent="0.2">
      <c r="A800" t="s">
        <v>2949</v>
      </c>
      <c r="B800" t="s">
        <v>2950</v>
      </c>
      <c r="C800" t="s">
        <v>2951</v>
      </c>
      <c r="D800" t="s">
        <v>107</v>
      </c>
      <c r="E800" t="s">
        <v>2950</v>
      </c>
      <c r="F800" t="s">
        <v>28</v>
      </c>
      <c r="G800" t="s">
        <v>2950</v>
      </c>
      <c r="H800" t="str">
        <f>"spin-1"</f>
        <v>spin-1</v>
      </c>
      <c r="I800" t="s">
        <v>107</v>
      </c>
      <c r="J800">
        <v>10.0779879208084</v>
      </c>
      <c r="K800" t="s">
        <v>29</v>
      </c>
      <c r="L800" t="s">
        <v>29</v>
      </c>
      <c r="M800" t="s">
        <v>29</v>
      </c>
      <c r="N800" t="s">
        <v>29</v>
      </c>
      <c r="O800" t="s">
        <v>29</v>
      </c>
      <c r="P800" t="s">
        <v>29</v>
      </c>
      <c r="Q800" t="s">
        <v>29</v>
      </c>
      <c r="R800" t="s">
        <v>29</v>
      </c>
      <c r="S800">
        <v>11.932104228700499</v>
      </c>
      <c r="T800" t="s">
        <v>29</v>
      </c>
      <c r="U800" t="s">
        <v>29</v>
      </c>
      <c r="V800" t="s">
        <v>29</v>
      </c>
      <c r="W800" t="s">
        <v>29</v>
      </c>
      <c r="X800" t="s">
        <v>29</v>
      </c>
      <c r="Y800" t="s">
        <v>29</v>
      </c>
    </row>
    <row r="801" spans="1:25" x14ac:dyDescent="0.2">
      <c r="A801" t="s">
        <v>2952</v>
      </c>
      <c r="B801" t="s">
        <v>2953</v>
      </c>
      <c r="C801" t="s">
        <v>2954</v>
      </c>
      <c r="D801" t="s">
        <v>2955</v>
      </c>
      <c r="E801" t="s">
        <v>2953</v>
      </c>
      <c r="F801" t="s">
        <v>28</v>
      </c>
      <c r="G801" t="s">
        <v>2953</v>
      </c>
      <c r="H801" t="str">
        <f>"ari-1.3"</f>
        <v>ari-1.3</v>
      </c>
      <c r="I801" t="s">
        <v>2955</v>
      </c>
      <c r="J801">
        <v>12.687303346371801</v>
      </c>
      <c r="K801" t="s">
        <v>29</v>
      </c>
      <c r="L801">
        <v>10.8211277086916</v>
      </c>
      <c r="M801">
        <v>12.1282235224351</v>
      </c>
      <c r="N801">
        <v>11.8635572253202</v>
      </c>
      <c r="O801">
        <v>12.3203819006097</v>
      </c>
      <c r="P801">
        <v>0.34983868858998202</v>
      </c>
      <c r="Q801">
        <v>-0.56617528453646604</v>
      </c>
      <c r="R801">
        <v>1.2658526617164301</v>
      </c>
      <c r="S801">
        <v>12.505705221677401</v>
      </c>
      <c r="T801">
        <v>0.81453048604299905</v>
      </c>
      <c r="U801">
        <v>-6.5983310373080402</v>
      </c>
      <c r="V801">
        <v>0.42817245260683001</v>
      </c>
      <c r="W801">
        <v>0.69733391430561797</v>
      </c>
      <c r="X801">
        <v>0</v>
      </c>
      <c r="Y801">
        <v>0</v>
      </c>
    </row>
    <row r="802" spans="1:25" x14ac:dyDescent="0.2">
      <c r="A802" t="s">
        <v>2956</v>
      </c>
      <c r="B802" t="s">
        <v>2957</v>
      </c>
      <c r="C802" t="s">
        <v>2958</v>
      </c>
      <c r="D802" t="s">
        <v>2955</v>
      </c>
      <c r="E802" t="s">
        <v>2957</v>
      </c>
      <c r="F802" t="s">
        <v>28</v>
      </c>
      <c r="G802" t="s">
        <v>2957</v>
      </c>
      <c r="H802" t="str">
        <f>"ari-1.2"</f>
        <v>ari-1.2</v>
      </c>
      <c r="I802" t="s">
        <v>2955</v>
      </c>
      <c r="J802" t="s">
        <v>29</v>
      </c>
      <c r="K802" t="s">
        <v>29</v>
      </c>
      <c r="L802" t="s">
        <v>29</v>
      </c>
      <c r="M802" t="s">
        <v>29</v>
      </c>
      <c r="N802" t="s">
        <v>29</v>
      </c>
      <c r="O802" t="s">
        <v>29</v>
      </c>
      <c r="P802" t="s">
        <v>29</v>
      </c>
      <c r="Q802" t="s">
        <v>29</v>
      </c>
      <c r="R802" t="s">
        <v>29</v>
      </c>
      <c r="S802">
        <v>12.3742606567856</v>
      </c>
      <c r="T802" t="s">
        <v>29</v>
      </c>
      <c r="U802" t="s">
        <v>29</v>
      </c>
      <c r="V802" t="s">
        <v>29</v>
      </c>
      <c r="W802" t="s">
        <v>29</v>
      </c>
      <c r="X802" t="s">
        <v>29</v>
      </c>
      <c r="Y802" t="s">
        <v>29</v>
      </c>
    </row>
    <row r="803" spans="1:25" x14ac:dyDescent="0.2">
      <c r="A803" t="s">
        <v>2959</v>
      </c>
      <c r="B803" t="s">
        <v>2960</v>
      </c>
      <c r="C803" t="s">
        <v>2961</v>
      </c>
      <c r="D803" t="s">
        <v>2962</v>
      </c>
      <c r="E803" t="s">
        <v>2960</v>
      </c>
      <c r="F803" t="s">
        <v>28</v>
      </c>
      <c r="G803" t="s">
        <v>2960</v>
      </c>
      <c r="H803" t="str">
        <f>"ari-1.1"</f>
        <v>ari-1.1</v>
      </c>
      <c r="I803" t="s">
        <v>2962</v>
      </c>
      <c r="J803">
        <v>13.448072167937401</v>
      </c>
      <c r="K803">
        <v>12.8453171730708</v>
      </c>
      <c r="L803">
        <v>13.0685545211348</v>
      </c>
      <c r="M803">
        <v>13.1438780174167</v>
      </c>
      <c r="N803">
        <v>12.879664448543201</v>
      </c>
      <c r="O803">
        <v>12.230098482234</v>
      </c>
      <c r="P803">
        <v>-0.36943430464969401</v>
      </c>
      <c r="Q803">
        <v>-0.94931802392212195</v>
      </c>
      <c r="R803">
        <v>0.210449414622734</v>
      </c>
      <c r="S803">
        <v>13.2313934189529</v>
      </c>
      <c r="T803">
        <v>-1.34476475389699</v>
      </c>
      <c r="U803">
        <v>-6.1492705874984503</v>
      </c>
      <c r="V803">
        <v>0.196477586897432</v>
      </c>
      <c r="W803">
        <v>0.45705248919675001</v>
      </c>
      <c r="X803">
        <v>0</v>
      </c>
      <c r="Y803">
        <v>0</v>
      </c>
    </row>
    <row r="804" spans="1:25" x14ac:dyDescent="0.2">
      <c r="A804" t="s">
        <v>2963</v>
      </c>
      <c r="B804" t="s">
        <v>2964</v>
      </c>
      <c r="C804" t="s">
        <v>2965</v>
      </c>
      <c r="D804" t="s">
        <v>2966</v>
      </c>
      <c r="E804" t="s">
        <v>2964</v>
      </c>
      <c r="F804" t="s">
        <v>28</v>
      </c>
      <c r="G804" t="s">
        <v>2964</v>
      </c>
      <c r="H804" t="str">
        <f>"pigo-1"</f>
        <v>pigo-1</v>
      </c>
      <c r="I804" t="s">
        <v>2966</v>
      </c>
      <c r="J804" t="s">
        <v>29</v>
      </c>
      <c r="K804">
        <v>11.013556907406</v>
      </c>
      <c r="L804">
        <v>12.0289023299338</v>
      </c>
      <c r="M804">
        <v>11.6458474328481</v>
      </c>
      <c r="N804">
        <v>12.495701003472201</v>
      </c>
      <c r="O804" t="s">
        <v>29</v>
      </c>
      <c r="P804">
        <v>0.54954459949022205</v>
      </c>
      <c r="Q804">
        <v>-0.36344012865534803</v>
      </c>
      <c r="R804">
        <v>1.46252932763579</v>
      </c>
      <c r="S804">
        <v>12.1607213678836</v>
      </c>
      <c r="T804">
        <v>1.2919072163377701</v>
      </c>
      <c r="U804">
        <v>-6.0162052850956602</v>
      </c>
      <c r="V804">
        <v>0.21746427463929299</v>
      </c>
      <c r="W804">
        <v>0.484345482324612</v>
      </c>
      <c r="X804">
        <v>0</v>
      </c>
      <c r="Y804">
        <v>0</v>
      </c>
    </row>
    <row r="805" spans="1:25" x14ac:dyDescent="0.2">
      <c r="A805" t="s">
        <v>2967</v>
      </c>
      <c r="B805" t="s">
        <v>2968</v>
      </c>
      <c r="C805" t="s">
        <v>2969</v>
      </c>
      <c r="D805" t="s">
        <v>2970</v>
      </c>
      <c r="E805" t="s">
        <v>2968</v>
      </c>
      <c r="F805" t="s">
        <v>28</v>
      </c>
      <c r="G805" t="s">
        <v>2968</v>
      </c>
      <c r="H805" t="str">
        <f>"tag-96"</f>
        <v>tag-96</v>
      </c>
      <c r="I805" t="s">
        <v>2970</v>
      </c>
      <c r="J805">
        <v>12.962881593875601</v>
      </c>
      <c r="K805">
        <v>12.8758256042375</v>
      </c>
      <c r="L805">
        <v>12.9518827390584</v>
      </c>
      <c r="M805">
        <v>13.040435747281499</v>
      </c>
      <c r="N805">
        <v>12.6357799291722</v>
      </c>
      <c r="O805">
        <v>13.018392882856199</v>
      </c>
      <c r="P805">
        <v>-3.1993792620534499E-2</v>
      </c>
      <c r="Q805">
        <v>-0.51460546331795598</v>
      </c>
      <c r="R805">
        <v>0.45061787807688802</v>
      </c>
      <c r="S805">
        <v>12.637578472385</v>
      </c>
      <c r="T805">
        <v>-0.13933506310214899</v>
      </c>
      <c r="U805">
        <v>-7.0419176889850501</v>
      </c>
      <c r="V805">
        <v>0.89074152935802597</v>
      </c>
      <c r="W805">
        <v>0.96108441898279395</v>
      </c>
      <c r="X805">
        <v>0</v>
      </c>
      <c r="Y805">
        <v>0</v>
      </c>
    </row>
    <row r="806" spans="1:25" x14ac:dyDescent="0.2">
      <c r="A806" t="s">
        <v>2971</v>
      </c>
      <c r="B806" t="s">
        <v>2972</v>
      </c>
      <c r="C806" t="s">
        <v>2973</v>
      </c>
      <c r="D806" t="s">
        <v>2974</v>
      </c>
      <c r="E806" t="s">
        <v>2972</v>
      </c>
      <c r="F806" t="s">
        <v>28</v>
      </c>
      <c r="G806" t="s">
        <v>2972</v>
      </c>
      <c r="H806" t="str">
        <f>"eif-3.H"</f>
        <v>eif-3.H</v>
      </c>
      <c r="I806" t="s">
        <v>2974</v>
      </c>
      <c r="J806" t="s">
        <v>29</v>
      </c>
      <c r="K806" t="s">
        <v>29</v>
      </c>
      <c r="L806">
        <v>13.085527174688499</v>
      </c>
      <c r="M806">
        <v>13.2836708590585</v>
      </c>
      <c r="N806">
        <v>13.702786226120701</v>
      </c>
      <c r="O806">
        <v>14.1168903644281</v>
      </c>
      <c r="P806">
        <v>0.61558864184731399</v>
      </c>
      <c r="Q806">
        <v>-0.129074164893837</v>
      </c>
      <c r="R806">
        <v>1.36025144858846</v>
      </c>
      <c r="S806">
        <v>13.375744087612601</v>
      </c>
      <c r="T806">
        <v>1.7742827407798101</v>
      </c>
      <c r="U806">
        <v>-5.2128393153994104</v>
      </c>
      <c r="V806">
        <v>9.7920222854500097E-2</v>
      </c>
      <c r="W806">
        <v>0.322814891307317</v>
      </c>
      <c r="X806">
        <v>0</v>
      </c>
      <c r="Y806">
        <v>0</v>
      </c>
    </row>
    <row r="807" spans="1:25" x14ac:dyDescent="0.2">
      <c r="A807" t="s">
        <v>2975</v>
      </c>
      <c r="B807" t="s">
        <v>2976</v>
      </c>
      <c r="C807" t="s">
        <v>2977</v>
      </c>
      <c r="D807" t="s">
        <v>2978</v>
      </c>
      <c r="E807" t="s">
        <v>2976</v>
      </c>
      <c r="F807" t="s">
        <v>28</v>
      </c>
      <c r="G807" t="s">
        <v>2976</v>
      </c>
      <c r="H807" t="str">
        <f>"cmt-1"</f>
        <v>cmt-1</v>
      </c>
      <c r="I807" t="s">
        <v>2978</v>
      </c>
      <c r="J807" t="s">
        <v>29</v>
      </c>
      <c r="K807" t="s">
        <v>29</v>
      </c>
      <c r="L807" t="s">
        <v>29</v>
      </c>
      <c r="M807" t="s">
        <v>29</v>
      </c>
      <c r="N807" t="s">
        <v>29</v>
      </c>
      <c r="O807" t="s">
        <v>29</v>
      </c>
      <c r="P807" t="s">
        <v>29</v>
      </c>
      <c r="Q807" t="s">
        <v>29</v>
      </c>
      <c r="R807" t="s">
        <v>29</v>
      </c>
      <c r="S807">
        <v>12.3169284068025</v>
      </c>
      <c r="T807" t="s">
        <v>29</v>
      </c>
      <c r="U807" t="s">
        <v>29</v>
      </c>
      <c r="V807" t="s">
        <v>29</v>
      </c>
      <c r="W807" t="s">
        <v>29</v>
      </c>
      <c r="X807" t="s">
        <v>29</v>
      </c>
      <c r="Y807" t="s">
        <v>29</v>
      </c>
    </row>
    <row r="808" spans="1:25" x14ac:dyDescent="0.2">
      <c r="A808" t="s">
        <v>2979</v>
      </c>
      <c r="B808" t="s">
        <v>2980</v>
      </c>
      <c r="C808" t="s">
        <v>2981</v>
      </c>
      <c r="D808" t="s">
        <v>2982</v>
      </c>
      <c r="E808" t="s">
        <v>2980</v>
      </c>
      <c r="F808" t="s">
        <v>28</v>
      </c>
      <c r="G808" t="s">
        <v>2980</v>
      </c>
      <c r="H808" t="str">
        <f>"eri-7"</f>
        <v>eri-7</v>
      </c>
      <c r="I808" t="s">
        <v>2982</v>
      </c>
      <c r="J808" t="s">
        <v>29</v>
      </c>
      <c r="K808" t="s">
        <v>29</v>
      </c>
      <c r="L808" t="s">
        <v>29</v>
      </c>
      <c r="M808" t="s">
        <v>29</v>
      </c>
      <c r="N808" t="s">
        <v>29</v>
      </c>
      <c r="O808" t="s">
        <v>29</v>
      </c>
      <c r="P808" t="s">
        <v>29</v>
      </c>
      <c r="Q808" t="s">
        <v>29</v>
      </c>
      <c r="R808" t="s">
        <v>29</v>
      </c>
      <c r="S808">
        <v>11.3114505445694</v>
      </c>
      <c r="T808" t="s">
        <v>29</v>
      </c>
      <c r="U808" t="s">
        <v>29</v>
      </c>
      <c r="V808" t="s">
        <v>29</v>
      </c>
      <c r="W808" t="s">
        <v>29</v>
      </c>
      <c r="X808" t="s">
        <v>29</v>
      </c>
      <c r="Y808" t="s">
        <v>29</v>
      </c>
    </row>
    <row r="809" spans="1:25" x14ac:dyDescent="0.2">
      <c r="A809" t="s">
        <v>2983</v>
      </c>
      <c r="B809" t="s">
        <v>2984</v>
      </c>
      <c r="C809" t="s">
        <v>2985</v>
      </c>
      <c r="D809" t="s">
        <v>2986</v>
      </c>
      <c r="E809" t="s">
        <v>2984</v>
      </c>
      <c r="F809" t="s">
        <v>28</v>
      </c>
      <c r="G809" t="s">
        <v>2984</v>
      </c>
      <c r="H809" t="str">
        <f>"efk-1"</f>
        <v>efk-1</v>
      </c>
      <c r="I809" t="s">
        <v>2986</v>
      </c>
      <c r="J809">
        <v>13.346379964293501</v>
      </c>
      <c r="K809">
        <v>13.580914837422499</v>
      </c>
      <c r="L809">
        <v>12.884244750239199</v>
      </c>
      <c r="M809">
        <v>14.557531321103101</v>
      </c>
      <c r="N809">
        <v>14.1134119493738</v>
      </c>
      <c r="O809">
        <v>14.1568466654297</v>
      </c>
      <c r="P809">
        <v>1.00541679465048</v>
      </c>
      <c r="Q809">
        <v>0.56337315232683505</v>
      </c>
      <c r="R809">
        <v>1.44746043697412</v>
      </c>
      <c r="S809">
        <v>13.9750496576734</v>
      </c>
      <c r="T809">
        <v>4.7805019524605603</v>
      </c>
      <c r="U809">
        <v>0.63398919650874597</v>
      </c>
      <c r="V809">
        <v>1.5193787575147E-4</v>
      </c>
      <c r="W809">
        <v>4.4541067359935597E-3</v>
      </c>
      <c r="X809">
        <v>1</v>
      </c>
      <c r="Y809">
        <v>1</v>
      </c>
    </row>
    <row r="810" spans="1:25" x14ac:dyDescent="0.2">
      <c r="A810" t="s">
        <v>2987</v>
      </c>
      <c r="B810" t="s">
        <v>2988</v>
      </c>
      <c r="C810" t="s">
        <v>2989</v>
      </c>
      <c r="D810" t="s">
        <v>2990</v>
      </c>
      <c r="E810" t="s">
        <v>2988</v>
      </c>
      <c r="F810" t="s">
        <v>28</v>
      </c>
      <c r="G810" t="s">
        <v>2988</v>
      </c>
      <c r="H810" t="str">
        <f>"mdt-1.2"</f>
        <v>mdt-1.2</v>
      </c>
      <c r="I810" t="s">
        <v>2990</v>
      </c>
      <c r="J810">
        <v>12.0663799438568</v>
      </c>
      <c r="K810">
        <v>11.961810180289399</v>
      </c>
      <c r="L810">
        <v>11.9021786710698</v>
      </c>
      <c r="M810">
        <v>12.814040970436899</v>
      </c>
      <c r="N810">
        <v>12.6761734719922</v>
      </c>
      <c r="O810">
        <v>12.0440922113354</v>
      </c>
      <c r="P810">
        <v>0.53464595284952099</v>
      </c>
      <c r="Q810">
        <v>-2.2429882226450801E-2</v>
      </c>
      <c r="R810">
        <v>1.0917217879254899</v>
      </c>
      <c r="S810">
        <v>12.0893161603643</v>
      </c>
      <c r="T810">
        <v>2.0356424251634202</v>
      </c>
      <c r="U810">
        <v>-5.1112293254472698</v>
      </c>
      <c r="V810">
        <v>5.8809866085489999E-2</v>
      </c>
      <c r="W810">
        <v>0.245073093873968</v>
      </c>
      <c r="X810">
        <v>0</v>
      </c>
      <c r="Y810">
        <v>0</v>
      </c>
    </row>
    <row r="811" spans="1:25" x14ac:dyDescent="0.2">
      <c r="A811" t="s">
        <v>2991</v>
      </c>
      <c r="B811" t="s">
        <v>2992</v>
      </c>
      <c r="C811" t="s">
        <v>2993</v>
      </c>
      <c r="D811" t="s">
        <v>2994</v>
      </c>
      <c r="E811" t="s">
        <v>2992</v>
      </c>
      <c r="F811" t="s">
        <v>28</v>
      </c>
      <c r="G811" t="s">
        <v>2992</v>
      </c>
      <c r="H811" t="str">
        <f>"rpl-4"</f>
        <v>rpl-4</v>
      </c>
      <c r="I811" t="s">
        <v>2994</v>
      </c>
      <c r="J811">
        <v>19.114268670157301</v>
      </c>
      <c r="K811">
        <v>19.442535593155199</v>
      </c>
      <c r="L811">
        <v>19.703344495415799</v>
      </c>
      <c r="M811">
        <v>18.998268736154799</v>
      </c>
      <c r="N811">
        <v>18.8723959439799</v>
      </c>
      <c r="O811">
        <v>19.108507540014799</v>
      </c>
      <c r="P811">
        <v>-0.42699217952627699</v>
      </c>
      <c r="Q811">
        <v>-0.88192698403448599</v>
      </c>
      <c r="R811">
        <v>2.7942624981932201E-2</v>
      </c>
      <c r="S811">
        <v>19.856028599626399</v>
      </c>
      <c r="T811">
        <v>-1.97271011084145</v>
      </c>
      <c r="U811">
        <v>-5.2081480007546297</v>
      </c>
      <c r="V811">
        <v>6.4181639653197398E-2</v>
      </c>
      <c r="W811">
        <v>0.257200807181656</v>
      </c>
      <c r="X811">
        <v>0</v>
      </c>
      <c r="Y811">
        <v>0</v>
      </c>
    </row>
    <row r="812" spans="1:25" x14ac:dyDescent="0.2">
      <c r="A812" t="s">
        <v>2995</v>
      </c>
      <c r="B812" t="s">
        <v>2996</v>
      </c>
      <c r="C812" t="s">
        <v>14334</v>
      </c>
      <c r="D812" t="s">
        <v>214</v>
      </c>
      <c r="E812" t="s">
        <v>2996</v>
      </c>
      <c r="F812" t="s">
        <v>28</v>
      </c>
      <c r="G812" t="s">
        <v>2996</v>
      </c>
      <c r="H812" t="str">
        <f>"F19B10.10"</f>
        <v>F19B10.10</v>
      </c>
      <c r="I812" t="s">
        <v>214</v>
      </c>
      <c r="J812">
        <v>11.856922685170799</v>
      </c>
      <c r="K812">
        <v>11.7084042113261</v>
      </c>
      <c r="L812">
        <v>12.177738824276901</v>
      </c>
      <c r="M812" t="s">
        <v>29</v>
      </c>
      <c r="N812">
        <v>12.628998137403</v>
      </c>
      <c r="O812">
        <v>12.1414952278357</v>
      </c>
      <c r="P812">
        <v>0.47089144236145603</v>
      </c>
      <c r="Q812">
        <v>-4.13833037888897E-2</v>
      </c>
      <c r="R812">
        <v>0.98316618851180104</v>
      </c>
      <c r="S812">
        <v>12.732195077585001</v>
      </c>
      <c r="T812">
        <v>1.9729212201535899</v>
      </c>
      <c r="U812">
        <v>-5.1212708769417903</v>
      </c>
      <c r="V812">
        <v>6.8738467666335804E-2</v>
      </c>
      <c r="W812">
        <v>0.266597108207696</v>
      </c>
      <c r="X812">
        <v>0</v>
      </c>
      <c r="Y812">
        <v>0</v>
      </c>
    </row>
    <row r="813" spans="1:25" x14ac:dyDescent="0.2">
      <c r="A813" t="s">
        <v>2997</v>
      </c>
      <c r="B813" t="s">
        <v>2998</v>
      </c>
      <c r="C813" t="s">
        <v>2999</v>
      </c>
      <c r="D813" t="s">
        <v>368</v>
      </c>
      <c r="E813" t="s">
        <v>2998</v>
      </c>
      <c r="F813" t="s">
        <v>28</v>
      </c>
      <c r="G813" t="s">
        <v>2998</v>
      </c>
      <c r="H813" t="str">
        <f>"C48E7.1"</f>
        <v>C48E7.1</v>
      </c>
      <c r="I813" t="s">
        <v>368</v>
      </c>
      <c r="J813" t="s">
        <v>29</v>
      </c>
      <c r="K813">
        <v>12.4202952511066</v>
      </c>
      <c r="L813">
        <v>12.2080882058111</v>
      </c>
      <c r="M813">
        <v>12.6531730081778</v>
      </c>
      <c r="N813">
        <v>10.9965682533348</v>
      </c>
      <c r="O813">
        <v>13.3253908128143</v>
      </c>
      <c r="P813">
        <v>1.08522963167612E-2</v>
      </c>
      <c r="Q813">
        <v>-1.1947727577815499</v>
      </c>
      <c r="R813">
        <v>1.2164773504150701</v>
      </c>
      <c r="S813">
        <v>12.701349503651601</v>
      </c>
      <c r="T813">
        <v>1.9092328966946299E-2</v>
      </c>
      <c r="U813">
        <v>-6.9412398210038404</v>
      </c>
      <c r="V813">
        <v>0.98500505897435997</v>
      </c>
      <c r="W813">
        <v>0.99275219461897402</v>
      </c>
      <c r="X813">
        <v>0</v>
      </c>
      <c r="Y813">
        <v>0</v>
      </c>
    </row>
    <row r="814" spans="1:25" x14ac:dyDescent="0.2">
      <c r="A814" t="s">
        <v>3000</v>
      </c>
      <c r="B814" t="s">
        <v>3001</v>
      </c>
      <c r="C814" t="s">
        <v>3002</v>
      </c>
      <c r="D814" t="s">
        <v>3003</v>
      </c>
      <c r="E814" t="s">
        <v>3001</v>
      </c>
      <c r="F814" t="s">
        <v>28</v>
      </c>
      <c r="G814" t="s">
        <v>3001</v>
      </c>
      <c r="H814" t="str">
        <f>"haf-2"</f>
        <v>haf-2</v>
      </c>
      <c r="I814" t="s">
        <v>3003</v>
      </c>
      <c r="J814">
        <v>13.279663578016301</v>
      </c>
      <c r="K814">
        <v>13.2116869879539</v>
      </c>
      <c r="L814">
        <v>13.360946547758999</v>
      </c>
      <c r="M814">
        <v>13.0431045598339</v>
      </c>
      <c r="N814">
        <v>13.068110726463001</v>
      </c>
      <c r="O814">
        <v>12.6835845115471</v>
      </c>
      <c r="P814">
        <v>-0.35249910529508799</v>
      </c>
      <c r="Q814">
        <v>-0.73857479034572904</v>
      </c>
      <c r="R814">
        <v>3.3576579755552401E-2</v>
      </c>
      <c r="S814">
        <v>13.4802452822418</v>
      </c>
      <c r="T814">
        <v>-1.9190137275007</v>
      </c>
      <c r="U814">
        <v>-5.2983945823686502</v>
      </c>
      <c r="V814">
        <v>7.1075193363612704E-2</v>
      </c>
      <c r="W814">
        <v>0.27113561454301999</v>
      </c>
      <c r="X814">
        <v>0</v>
      </c>
      <c r="Y814">
        <v>0</v>
      </c>
    </row>
    <row r="815" spans="1:25" x14ac:dyDescent="0.2">
      <c r="A815" t="s">
        <v>3004</v>
      </c>
      <c r="B815" t="s">
        <v>3005</v>
      </c>
      <c r="C815" t="s">
        <v>3006</v>
      </c>
      <c r="D815" t="s">
        <v>3007</v>
      </c>
      <c r="E815" t="s">
        <v>3005</v>
      </c>
      <c r="F815" t="s">
        <v>28</v>
      </c>
      <c r="G815" t="s">
        <v>3005</v>
      </c>
      <c r="H815" t="str">
        <f>"msra-1"</f>
        <v>msra-1</v>
      </c>
      <c r="I815" t="s">
        <v>3007</v>
      </c>
      <c r="J815">
        <v>11.5280575012674</v>
      </c>
      <c r="K815">
        <v>11.3267767577965</v>
      </c>
      <c r="L815">
        <v>11.4406908320202</v>
      </c>
      <c r="M815">
        <v>10.0207014511276</v>
      </c>
      <c r="N815" t="s">
        <v>29</v>
      </c>
      <c r="O815" t="s">
        <v>29</v>
      </c>
      <c r="P815">
        <v>-1.4111402459003899</v>
      </c>
      <c r="Q815">
        <v>-2.4329313428285602</v>
      </c>
      <c r="R815">
        <v>-0.389349148972224</v>
      </c>
      <c r="S815">
        <v>10.787523520455</v>
      </c>
      <c r="T815">
        <v>-2.98603784962887</v>
      </c>
      <c r="U815">
        <v>-3.1272940114485999</v>
      </c>
      <c r="V815">
        <v>1.05983313052868E-2</v>
      </c>
      <c r="W815">
        <v>9.1720665072880597E-2</v>
      </c>
      <c r="X815">
        <v>-1</v>
      </c>
      <c r="Y815">
        <v>0</v>
      </c>
    </row>
    <row r="816" spans="1:25" x14ac:dyDescent="0.2">
      <c r="A816" t="s">
        <v>3008</v>
      </c>
      <c r="B816" t="s">
        <v>3009</v>
      </c>
      <c r="C816" t="s">
        <v>3010</v>
      </c>
      <c r="D816" t="s">
        <v>3011</v>
      </c>
      <c r="E816" t="s">
        <v>3009</v>
      </c>
      <c r="F816" t="s">
        <v>28</v>
      </c>
      <c r="G816" t="s">
        <v>3009</v>
      </c>
      <c r="H816" t="str">
        <f>"rpb-4"</f>
        <v>rpb-4</v>
      </c>
      <c r="I816" t="s">
        <v>3011</v>
      </c>
      <c r="J816">
        <v>12.470346315236799</v>
      </c>
      <c r="K816">
        <v>12.1917849021852</v>
      </c>
      <c r="L816">
        <v>11.687034534126999</v>
      </c>
      <c r="M816">
        <v>12.563900581454</v>
      </c>
      <c r="N816">
        <v>12.140782297363399</v>
      </c>
      <c r="O816">
        <v>11.5459882416257</v>
      </c>
      <c r="P816">
        <v>-3.2831543701943702E-2</v>
      </c>
      <c r="Q816">
        <v>-0.65108437402902597</v>
      </c>
      <c r="R816">
        <v>0.58542128662513904</v>
      </c>
      <c r="S816">
        <v>12.0989541679886</v>
      </c>
      <c r="T816">
        <v>-0.112092151003025</v>
      </c>
      <c r="U816">
        <v>-7.0454836116005701</v>
      </c>
      <c r="V816">
        <v>0.91207134513341004</v>
      </c>
      <c r="W816">
        <v>0.96831326494750902</v>
      </c>
      <c r="X816">
        <v>0</v>
      </c>
      <c r="Y816">
        <v>0</v>
      </c>
    </row>
    <row r="817" spans="1:25" x14ac:dyDescent="0.2">
      <c r="A817" t="s">
        <v>3012</v>
      </c>
      <c r="B817" t="s">
        <v>3013</v>
      </c>
      <c r="C817" t="s">
        <v>3014</v>
      </c>
      <c r="D817" t="s">
        <v>3015</v>
      </c>
      <c r="E817" t="s">
        <v>3013</v>
      </c>
      <c r="F817" t="s">
        <v>28</v>
      </c>
      <c r="G817" t="s">
        <v>3013</v>
      </c>
      <c r="H817" t="str">
        <f>"cas-2"</f>
        <v>cas-2</v>
      </c>
      <c r="I817" t="s">
        <v>3015</v>
      </c>
      <c r="J817" t="s">
        <v>29</v>
      </c>
      <c r="K817" t="s">
        <v>29</v>
      </c>
      <c r="L817" t="s">
        <v>29</v>
      </c>
      <c r="M817" t="s">
        <v>29</v>
      </c>
      <c r="N817" t="s">
        <v>29</v>
      </c>
      <c r="O817" t="s">
        <v>29</v>
      </c>
      <c r="P817" t="s">
        <v>29</v>
      </c>
      <c r="Q817" t="s">
        <v>29</v>
      </c>
      <c r="R817" t="s">
        <v>29</v>
      </c>
      <c r="S817">
        <v>11.9887593694055</v>
      </c>
      <c r="T817" t="s">
        <v>29</v>
      </c>
      <c r="U817" t="s">
        <v>29</v>
      </c>
      <c r="V817" t="s">
        <v>29</v>
      </c>
      <c r="W817" t="s">
        <v>29</v>
      </c>
      <c r="X817" t="s">
        <v>29</v>
      </c>
      <c r="Y817" t="s">
        <v>29</v>
      </c>
    </row>
    <row r="818" spans="1:25" x14ac:dyDescent="0.2">
      <c r="A818" t="s">
        <v>3016</v>
      </c>
      <c r="B818" t="s">
        <v>3017</v>
      </c>
      <c r="C818" t="s">
        <v>3018</v>
      </c>
      <c r="D818" t="s">
        <v>3019</v>
      </c>
      <c r="E818" t="s">
        <v>3017</v>
      </c>
      <c r="F818" t="s">
        <v>28</v>
      </c>
      <c r="G818" t="s">
        <v>3017</v>
      </c>
      <c r="H818" t="str">
        <f>"swsn-2.2"</f>
        <v>swsn-2.2</v>
      </c>
      <c r="I818" t="s">
        <v>3019</v>
      </c>
      <c r="J818">
        <v>13.7959419229181</v>
      </c>
      <c r="K818">
        <v>13.945254317491701</v>
      </c>
      <c r="L818">
        <v>13.8208891861954</v>
      </c>
      <c r="M818">
        <v>13.877005990310799</v>
      </c>
      <c r="N818">
        <v>13.7411751072532</v>
      </c>
      <c r="O818">
        <v>13.947447269455401</v>
      </c>
      <c r="P818">
        <v>1.18098013805579E-3</v>
      </c>
      <c r="Q818">
        <v>-0.41987859865985599</v>
      </c>
      <c r="R818">
        <v>0.42224055893596701</v>
      </c>
      <c r="S818">
        <v>14.0390447485122</v>
      </c>
      <c r="T818">
        <v>5.8951051385594602E-3</v>
      </c>
      <c r="U818">
        <v>-7.0520682300013302</v>
      </c>
      <c r="V818">
        <v>0.99536163555842205</v>
      </c>
      <c r="W818">
        <v>0.99720035779159699</v>
      </c>
      <c r="X818">
        <v>0</v>
      </c>
      <c r="Y818">
        <v>0</v>
      </c>
    </row>
    <row r="819" spans="1:25" x14ac:dyDescent="0.2">
      <c r="A819" t="s">
        <v>3020</v>
      </c>
      <c r="B819" t="s">
        <v>3021</v>
      </c>
      <c r="C819" t="s">
        <v>3022</v>
      </c>
      <c r="D819" t="s">
        <v>3023</v>
      </c>
      <c r="E819" t="s">
        <v>3021</v>
      </c>
      <c r="F819" t="s">
        <v>28</v>
      </c>
      <c r="G819" t="s">
        <v>3021</v>
      </c>
      <c r="H819" t="str">
        <f>"cdc-37"</f>
        <v>cdc-37</v>
      </c>
      <c r="I819" t="s">
        <v>3023</v>
      </c>
      <c r="J819">
        <v>13.0022575256903</v>
      </c>
      <c r="K819">
        <v>13.196152140209</v>
      </c>
      <c r="L819" t="s">
        <v>29</v>
      </c>
      <c r="M819">
        <v>13.8257504678829</v>
      </c>
      <c r="N819">
        <v>14.160057754522899</v>
      </c>
      <c r="O819">
        <v>13.5944132624416</v>
      </c>
      <c r="P819">
        <v>0.76086899533282404</v>
      </c>
      <c r="Q819">
        <v>-3.1278577540241499E-2</v>
      </c>
      <c r="R819">
        <v>1.5530165682058901</v>
      </c>
      <c r="S819">
        <v>13.3111878233538</v>
      </c>
      <c r="T819">
        <v>2.03729219473892</v>
      </c>
      <c r="U819">
        <v>-5.0017726322647302</v>
      </c>
      <c r="V819">
        <v>5.86270552418423E-2</v>
      </c>
      <c r="W819">
        <v>0.245073093873968</v>
      </c>
      <c r="X819">
        <v>0</v>
      </c>
      <c r="Y819">
        <v>0</v>
      </c>
    </row>
    <row r="820" spans="1:25" x14ac:dyDescent="0.2">
      <c r="A820" t="s">
        <v>3024</v>
      </c>
      <c r="B820" t="s">
        <v>3025</v>
      </c>
      <c r="C820" t="s">
        <v>3026</v>
      </c>
      <c r="D820" t="s">
        <v>368</v>
      </c>
      <c r="E820" t="s">
        <v>3025</v>
      </c>
      <c r="F820" t="s">
        <v>28</v>
      </c>
      <c r="G820" t="s">
        <v>3025</v>
      </c>
      <c r="H820" t="str">
        <f>"C46G7.2"</f>
        <v>C46G7.2</v>
      </c>
      <c r="I820" t="s">
        <v>368</v>
      </c>
      <c r="J820">
        <v>14.510376799634299</v>
      </c>
      <c r="K820">
        <v>14.839976337602</v>
      </c>
      <c r="L820">
        <v>15.003343121460301</v>
      </c>
      <c r="M820">
        <v>14.0483263633647</v>
      </c>
      <c r="N820">
        <v>14.0227917923091</v>
      </c>
      <c r="O820">
        <v>14.0639742709521</v>
      </c>
      <c r="P820">
        <v>-0.73953461069024096</v>
      </c>
      <c r="Q820">
        <v>-1.1662676792291999</v>
      </c>
      <c r="R820">
        <v>-0.31280154215128603</v>
      </c>
      <c r="S820">
        <v>14.874545012611801</v>
      </c>
      <c r="T820">
        <v>-3.6424593905843401</v>
      </c>
      <c r="U820">
        <v>-1.86290533621256</v>
      </c>
      <c r="V820">
        <v>1.87745987964656E-3</v>
      </c>
      <c r="W820">
        <v>2.70320993290704E-2</v>
      </c>
      <c r="X820">
        <v>0</v>
      </c>
      <c r="Y820">
        <v>0</v>
      </c>
    </row>
    <row r="821" spans="1:25" x14ac:dyDescent="0.2">
      <c r="A821" t="s">
        <v>3027</v>
      </c>
      <c r="B821" t="s">
        <v>3028</v>
      </c>
      <c r="C821" t="s">
        <v>14335</v>
      </c>
      <c r="D821" t="s">
        <v>368</v>
      </c>
      <c r="E821" t="s">
        <v>3028</v>
      </c>
      <c r="F821" t="s">
        <v>28</v>
      </c>
      <c r="G821" t="s">
        <v>3028</v>
      </c>
      <c r="H821" t="str">
        <f>"T09B4.5"</f>
        <v>T09B4.5</v>
      </c>
      <c r="I821" t="s">
        <v>368</v>
      </c>
      <c r="J821">
        <v>17.6468116663359</v>
      </c>
      <c r="K821">
        <v>18.3036414950245</v>
      </c>
      <c r="L821">
        <v>17.918542908708201</v>
      </c>
      <c r="M821">
        <v>18.316678857122302</v>
      </c>
      <c r="N821">
        <v>17.598075576283701</v>
      </c>
      <c r="O821">
        <v>18.287555344642598</v>
      </c>
      <c r="P821">
        <v>0.11110456932663799</v>
      </c>
      <c r="Q821">
        <v>-0.475433867921291</v>
      </c>
      <c r="R821">
        <v>0.69764300657456801</v>
      </c>
      <c r="S821">
        <v>18.059948749090701</v>
      </c>
      <c r="T821">
        <v>0.398132797672693</v>
      </c>
      <c r="U821">
        <v>-6.9693856787005499</v>
      </c>
      <c r="V821">
        <v>0.69524210806018605</v>
      </c>
      <c r="W821">
        <v>0.86446993489791601</v>
      </c>
      <c r="X821">
        <v>0</v>
      </c>
      <c r="Y821">
        <v>0</v>
      </c>
    </row>
    <row r="822" spans="1:25" x14ac:dyDescent="0.2">
      <c r="A822" t="s">
        <v>3029</v>
      </c>
      <c r="B822" t="s">
        <v>3030</v>
      </c>
      <c r="C822" t="s">
        <v>14336</v>
      </c>
      <c r="D822" t="s">
        <v>3031</v>
      </c>
      <c r="E822" t="s">
        <v>3030</v>
      </c>
      <c r="F822" t="s">
        <v>28</v>
      </c>
      <c r="G822" t="s">
        <v>3030</v>
      </c>
      <c r="H822" t="str">
        <f>"T09B4.8"</f>
        <v>T09B4.8</v>
      </c>
      <c r="I822" t="s">
        <v>3031</v>
      </c>
      <c r="J822">
        <v>13.116044604572</v>
      </c>
      <c r="K822">
        <v>13.005141387389299</v>
      </c>
      <c r="L822">
        <v>12.6108243188048</v>
      </c>
      <c r="M822">
        <v>13.111004587635099</v>
      </c>
      <c r="N822">
        <v>12.470384452887499</v>
      </c>
      <c r="O822">
        <v>13.3174449145039</v>
      </c>
      <c r="P822">
        <v>5.5607881420110403E-2</v>
      </c>
      <c r="Q822">
        <v>-0.45652317712270002</v>
      </c>
      <c r="R822">
        <v>0.56773893996292102</v>
      </c>
      <c r="S822">
        <v>12.9372151829382</v>
      </c>
      <c r="T822">
        <v>0.229195057404431</v>
      </c>
      <c r="U822">
        <v>-7.0245141012888599</v>
      </c>
      <c r="V822">
        <v>0.821468854757327</v>
      </c>
      <c r="W822">
        <v>0.92589527307943997</v>
      </c>
      <c r="X822">
        <v>0</v>
      </c>
      <c r="Y822">
        <v>0</v>
      </c>
    </row>
    <row r="823" spans="1:25" x14ac:dyDescent="0.2">
      <c r="A823" t="s">
        <v>3032</v>
      </c>
      <c r="B823" t="s">
        <v>3033</v>
      </c>
      <c r="C823" t="s">
        <v>3034</v>
      </c>
      <c r="D823" t="s">
        <v>3035</v>
      </c>
      <c r="E823" t="s">
        <v>3033</v>
      </c>
      <c r="F823" t="s">
        <v>28</v>
      </c>
      <c r="G823" t="s">
        <v>3033</v>
      </c>
      <c r="H823" t="str">
        <f>"tin-44"</f>
        <v>tin-44</v>
      </c>
      <c r="I823" t="s">
        <v>3035</v>
      </c>
      <c r="J823">
        <v>13.4010565178564</v>
      </c>
      <c r="K823">
        <v>13.5346852597722</v>
      </c>
      <c r="L823">
        <v>13.322064484574801</v>
      </c>
      <c r="M823">
        <v>13.6431512998165</v>
      </c>
      <c r="N823">
        <v>13.5730723985178</v>
      </c>
      <c r="O823">
        <v>13.3973776819</v>
      </c>
      <c r="P823">
        <v>0.11859837267697899</v>
      </c>
      <c r="Q823">
        <v>-0.44717225716492298</v>
      </c>
      <c r="R823">
        <v>0.684369002518882</v>
      </c>
      <c r="S823">
        <v>12.986583394106001</v>
      </c>
      <c r="T823">
        <v>0.44058615367149001</v>
      </c>
      <c r="U823">
        <v>-6.9509090258592403</v>
      </c>
      <c r="V823">
        <v>0.66478871784564098</v>
      </c>
      <c r="W823">
        <v>0.849620234222356</v>
      </c>
      <c r="X823">
        <v>0</v>
      </c>
      <c r="Y823">
        <v>0</v>
      </c>
    </row>
    <row r="824" spans="1:25" x14ac:dyDescent="0.2">
      <c r="A824" t="s">
        <v>3036</v>
      </c>
      <c r="B824" t="s">
        <v>3037</v>
      </c>
      <c r="C824" t="s">
        <v>3038</v>
      </c>
      <c r="D824" t="s">
        <v>225</v>
      </c>
      <c r="E824" t="s">
        <v>3037</v>
      </c>
      <c r="F824" t="s">
        <v>28</v>
      </c>
      <c r="G824" t="s">
        <v>3037</v>
      </c>
      <c r="H824" t="str">
        <f>"aakg-2"</f>
        <v>aakg-2</v>
      </c>
      <c r="I824" t="s">
        <v>225</v>
      </c>
      <c r="J824">
        <v>12.941320178794999</v>
      </c>
      <c r="K824">
        <v>12.0119687468896</v>
      </c>
      <c r="L824">
        <v>13.085668195678</v>
      </c>
      <c r="M824">
        <v>14.540758276564</v>
      </c>
      <c r="N824">
        <v>13.672459964957399</v>
      </c>
      <c r="O824">
        <v>13.4625028610233</v>
      </c>
      <c r="P824">
        <v>1.2122546603940101</v>
      </c>
      <c r="Q824">
        <v>0.31676782590880498</v>
      </c>
      <c r="R824">
        <v>2.1077414948792201</v>
      </c>
      <c r="S824">
        <v>13.095538211627201</v>
      </c>
      <c r="T824">
        <v>2.8574896783754098</v>
      </c>
      <c r="U824">
        <v>-3.5560971450790801</v>
      </c>
      <c r="V824">
        <v>1.09498984961123E-2</v>
      </c>
      <c r="W824">
        <v>9.2949207173924006E-2</v>
      </c>
      <c r="X824">
        <v>1</v>
      </c>
      <c r="Y824">
        <v>0</v>
      </c>
    </row>
    <row r="825" spans="1:25" x14ac:dyDescent="0.2">
      <c r="A825" t="s">
        <v>3039</v>
      </c>
      <c r="B825" t="s">
        <v>3040</v>
      </c>
      <c r="C825" t="s">
        <v>14337</v>
      </c>
      <c r="D825" t="s">
        <v>130</v>
      </c>
      <c r="E825" t="s">
        <v>3040</v>
      </c>
      <c r="F825" t="s">
        <v>28</v>
      </c>
      <c r="G825" t="s">
        <v>3040</v>
      </c>
      <c r="H825" t="str">
        <f>"T20F7.1"</f>
        <v>T20F7.1</v>
      </c>
      <c r="I825" t="s">
        <v>130</v>
      </c>
      <c r="J825">
        <v>10.8965751651701</v>
      </c>
      <c r="K825">
        <v>10.7912070718292</v>
      </c>
      <c r="L825">
        <v>9.9277746912911002</v>
      </c>
      <c r="M825" t="s">
        <v>29</v>
      </c>
      <c r="N825">
        <v>11.4554632685957</v>
      </c>
      <c r="O825" t="s">
        <v>29</v>
      </c>
      <c r="P825">
        <v>0.91694429249890397</v>
      </c>
      <c r="Q825">
        <v>-0.80379869044653596</v>
      </c>
      <c r="R825">
        <v>2.6376872754443399</v>
      </c>
      <c r="S825">
        <v>10.836253789107399</v>
      </c>
      <c r="T825">
        <v>1.26395164238989</v>
      </c>
      <c r="U825">
        <v>-5.8998427729605103</v>
      </c>
      <c r="V825">
        <v>0.247298786706698</v>
      </c>
      <c r="W825">
        <v>0.52118539633652505</v>
      </c>
      <c r="X825">
        <v>0</v>
      </c>
      <c r="Y825">
        <v>0</v>
      </c>
    </row>
    <row r="826" spans="1:25" x14ac:dyDescent="0.2">
      <c r="A826" t="s">
        <v>3041</v>
      </c>
      <c r="B826" t="s">
        <v>3042</v>
      </c>
      <c r="C826" t="s">
        <v>3043</v>
      </c>
      <c r="D826" t="s">
        <v>3044</v>
      </c>
      <c r="E826" t="s">
        <v>3042</v>
      </c>
      <c r="F826" t="s">
        <v>28</v>
      </c>
      <c r="G826" t="s">
        <v>3042</v>
      </c>
      <c r="H826" t="str">
        <f>"oxa-1"</f>
        <v>oxa-1</v>
      </c>
      <c r="I826" t="s">
        <v>3044</v>
      </c>
      <c r="J826">
        <v>14.748423163193101</v>
      </c>
      <c r="K826">
        <v>15.0175101620347</v>
      </c>
      <c r="L826">
        <v>14.770967897514099</v>
      </c>
      <c r="M826">
        <v>14.438985054241</v>
      </c>
      <c r="N826">
        <v>14.745647070017901</v>
      </c>
      <c r="O826">
        <v>14.323527388039899</v>
      </c>
      <c r="P826">
        <v>-0.34291390348100997</v>
      </c>
      <c r="Q826">
        <v>-0.73179919393307602</v>
      </c>
      <c r="R826">
        <v>4.5971386971056002E-2</v>
      </c>
      <c r="S826">
        <v>14.526892066534201</v>
      </c>
      <c r="T826">
        <v>-1.86128805757076</v>
      </c>
      <c r="U826">
        <v>-5.39662000369088</v>
      </c>
      <c r="V826">
        <v>8.0195340866513906E-2</v>
      </c>
      <c r="W826">
        <v>0.28995071019959601</v>
      </c>
      <c r="X826">
        <v>0</v>
      </c>
      <c r="Y826">
        <v>0</v>
      </c>
    </row>
    <row r="827" spans="1:25" x14ac:dyDescent="0.2">
      <c r="A827" t="s">
        <v>3045</v>
      </c>
      <c r="B827" t="s">
        <v>3046</v>
      </c>
      <c r="C827" t="s">
        <v>3047</v>
      </c>
      <c r="D827" t="s">
        <v>3048</v>
      </c>
      <c r="E827" t="s">
        <v>3046</v>
      </c>
      <c r="F827" t="s">
        <v>28</v>
      </c>
      <c r="G827" t="s">
        <v>3046</v>
      </c>
      <c r="H827" t="str">
        <f>"tads-1"</f>
        <v>tads-1</v>
      </c>
      <c r="I827" t="s">
        <v>3048</v>
      </c>
      <c r="J827">
        <v>11.728057932614901</v>
      </c>
      <c r="K827">
        <v>11.8800292336671</v>
      </c>
      <c r="L827">
        <v>12.0318324849452</v>
      </c>
      <c r="M827">
        <v>12.2537998856647</v>
      </c>
      <c r="N827">
        <v>12.067638837086401</v>
      </c>
      <c r="O827">
        <v>12.2749739010897</v>
      </c>
      <c r="P827">
        <v>0.31883099087116001</v>
      </c>
      <c r="Q827">
        <v>-0.12513155877461801</v>
      </c>
      <c r="R827">
        <v>0.76279354051693704</v>
      </c>
      <c r="S827">
        <v>12.555705496133299</v>
      </c>
      <c r="T827">
        <v>1.5158778433025599</v>
      </c>
      <c r="U827">
        <v>-5.9200160198873197</v>
      </c>
      <c r="V827">
        <v>0.14803631533912401</v>
      </c>
      <c r="W827">
        <v>0.398601208841667</v>
      </c>
      <c r="X827">
        <v>0</v>
      </c>
      <c r="Y827">
        <v>0</v>
      </c>
    </row>
    <row r="828" spans="1:25" x14ac:dyDescent="0.2">
      <c r="A828" t="s">
        <v>3049</v>
      </c>
      <c r="B828" t="s">
        <v>3050</v>
      </c>
      <c r="C828" t="s">
        <v>3051</v>
      </c>
      <c r="D828" t="s">
        <v>3052</v>
      </c>
      <c r="E828" t="s">
        <v>3050</v>
      </c>
      <c r="F828" t="s">
        <v>28</v>
      </c>
      <c r="G828" t="s">
        <v>3050</v>
      </c>
      <c r="H828" t="str">
        <f>"rsa-1"</f>
        <v>rsa-1</v>
      </c>
      <c r="I828" t="s">
        <v>3052</v>
      </c>
      <c r="J828" t="s">
        <v>29</v>
      </c>
      <c r="K828" t="s">
        <v>29</v>
      </c>
      <c r="L828">
        <v>13.1047219632311</v>
      </c>
      <c r="M828" t="s">
        <v>29</v>
      </c>
      <c r="N828" t="s">
        <v>29</v>
      </c>
      <c r="O828">
        <v>12.542065139655699</v>
      </c>
      <c r="P828">
        <v>-0.56265682357538604</v>
      </c>
      <c r="Q828">
        <v>-1.6630294516316799</v>
      </c>
      <c r="R828">
        <v>0.53771580448090806</v>
      </c>
      <c r="S828">
        <v>12.9884871261016</v>
      </c>
      <c r="T828">
        <v>-1.2566053223692699</v>
      </c>
      <c r="U828">
        <v>-5.7118556541118499</v>
      </c>
      <c r="V828">
        <v>0.25639402322059301</v>
      </c>
      <c r="W828">
        <v>0.53366684752776195</v>
      </c>
      <c r="X828">
        <v>0</v>
      </c>
      <c r="Y828">
        <v>0</v>
      </c>
    </row>
    <row r="829" spans="1:25" x14ac:dyDescent="0.2">
      <c r="A829" t="s">
        <v>3053</v>
      </c>
      <c r="B829" t="s">
        <v>3054</v>
      </c>
      <c r="C829" t="s">
        <v>3055</v>
      </c>
      <c r="D829" t="s">
        <v>3056</v>
      </c>
      <c r="E829" t="s">
        <v>3054</v>
      </c>
      <c r="F829" t="s">
        <v>28</v>
      </c>
      <c r="G829" t="s">
        <v>3054</v>
      </c>
      <c r="H829" t="str">
        <f>"lid-1"</f>
        <v>lid-1</v>
      </c>
      <c r="I829" t="s">
        <v>3056</v>
      </c>
      <c r="J829">
        <v>12.4875240517308</v>
      </c>
      <c r="K829">
        <v>12.7983962089176</v>
      </c>
      <c r="L829">
        <v>12.841620084167401</v>
      </c>
      <c r="M829">
        <v>12.5196025479454</v>
      </c>
      <c r="N829">
        <v>12.4016022723024</v>
      </c>
      <c r="O829">
        <v>12.3720912176522</v>
      </c>
      <c r="P829">
        <v>-0.27808143563859899</v>
      </c>
      <c r="Q829">
        <v>-0.69327780965351704</v>
      </c>
      <c r="R829">
        <v>0.137114938376318</v>
      </c>
      <c r="S829">
        <v>13.120420021875599</v>
      </c>
      <c r="T829">
        <v>-1.41373645816476</v>
      </c>
      <c r="U829">
        <v>-6.0594520959742697</v>
      </c>
      <c r="V829">
        <v>0.175600880557198</v>
      </c>
      <c r="W829">
        <v>0.43632820466146099</v>
      </c>
      <c r="X829">
        <v>0</v>
      </c>
      <c r="Y829">
        <v>0</v>
      </c>
    </row>
    <row r="830" spans="1:25" x14ac:dyDescent="0.2">
      <c r="A830" t="s">
        <v>3057</v>
      </c>
      <c r="B830" t="s">
        <v>3058</v>
      </c>
      <c r="C830" t="s">
        <v>3059</v>
      </c>
      <c r="D830" t="s">
        <v>3060</v>
      </c>
      <c r="E830" t="s">
        <v>3058</v>
      </c>
      <c r="F830" t="s">
        <v>28</v>
      </c>
      <c r="G830" t="s">
        <v>3058</v>
      </c>
      <c r="H830" t="str">
        <f>"aha-1"</f>
        <v>aha-1</v>
      </c>
      <c r="I830" t="s">
        <v>3060</v>
      </c>
      <c r="J830" t="s">
        <v>29</v>
      </c>
      <c r="K830" t="s">
        <v>29</v>
      </c>
      <c r="L830" t="s">
        <v>29</v>
      </c>
      <c r="M830" t="s">
        <v>29</v>
      </c>
      <c r="N830" t="s">
        <v>29</v>
      </c>
      <c r="O830" t="s">
        <v>29</v>
      </c>
      <c r="P830" t="s">
        <v>29</v>
      </c>
      <c r="Q830" t="s">
        <v>29</v>
      </c>
      <c r="R830" t="s">
        <v>29</v>
      </c>
      <c r="S830">
        <v>10.905820654419401</v>
      </c>
      <c r="T830" t="s">
        <v>29</v>
      </c>
      <c r="U830" t="s">
        <v>29</v>
      </c>
      <c r="V830" t="s">
        <v>29</v>
      </c>
      <c r="W830" t="s">
        <v>29</v>
      </c>
      <c r="X830" t="s">
        <v>29</v>
      </c>
      <c r="Y830" t="s">
        <v>29</v>
      </c>
    </row>
    <row r="831" spans="1:25" x14ac:dyDescent="0.2">
      <c r="A831" t="s">
        <v>3061</v>
      </c>
      <c r="B831" t="s">
        <v>3062</v>
      </c>
      <c r="C831" t="s">
        <v>3063</v>
      </c>
      <c r="D831" t="s">
        <v>3064</v>
      </c>
      <c r="E831" t="s">
        <v>3062</v>
      </c>
      <c r="F831" t="s">
        <v>28</v>
      </c>
      <c r="G831" t="s">
        <v>3062</v>
      </c>
      <c r="H831" t="str">
        <f>"mrpl-34"</f>
        <v>mrpl-34</v>
      </c>
      <c r="I831" t="s">
        <v>3064</v>
      </c>
      <c r="J831">
        <v>13.1769691896677</v>
      </c>
      <c r="K831">
        <v>12.908172881280599</v>
      </c>
      <c r="L831">
        <v>13.5184180081867</v>
      </c>
      <c r="M831">
        <v>12.2702638221448</v>
      </c>
      <c r="N831">
        <v>12.2412864334483</v>
      </c>
      <c r="O831">
        <v>12.262850204690601</v>
      </c>
      <c r="P831">
        <v>-0.94305320628379397</v>
      </c>
      <c r="Q831">
        <v>-1.5806233145769799</v>
      </c>
      <c r="R831">
        <v>-0.30548309799061102</v>
      </c>
      <c r="S831">
        <v>13.097236496810201</v>
      </c>
      <c r="T831">
        <v>-3.12218233084144</v>
      </c>
      <c r="U831">
        <v>-3.01424324212334</v>
      </c>
      <c r="V831">
        <v>6.2382715287922401E-3</v>
      </c>
      <c r="W831">
        <v>6.3634280735705206E-2</v>
      </c>
      <c r="X831">
        <v>0</v>
      </c>
      <c r="Y831">
        <v>0</v>
      </c>
    </row>
    <row r="832" spans="1:25" x14ac:dyDescent="0.2">
      <c r="A832" t="s">
        <v>3065</v>
      </c>
      <c r="B832" t="s">
        <v>3066</v>
      </c>
      <c r="C832" t="s">
        <v>3067</v>
      </c>
      <c r="D832" t="s">
        <v>3068</v>
      </c>
      <c r="E832" t="s">
        <v>3066</v>
      </c>
      <c r="F832" t="s">
        <v>28</v>
      </c>
      <c r="G832" t="s">
        <v>3066</v>
      </c>
      <c r="H832" t="str">
        <f>"gln-6"</f>
        <v>gln-6</v>
      </c>
      <c r="I832" t="s">
        <v>3068</v>
      </c>
      <c r="J832" t="s">
        <v>29</v>
      </c>
      <c r="K832">
        <v>10.0328212278854</v>
      </c>
      <c r="L832">
        <v>11.591516976964201</v>
      </c>
      <c r="M832" t="s">
        <v>29</v>
      </c>
      <c r="N832" t="s">
        <v>29</v>
      </c>
      <c r="O832">
        <v>12.518236686808899</v>
      </c>
      <c r="P832">
        <v>1.70606758438411</v>
      </c>
      <c r="Q832">
        <v>0.22362352163305599</v>
      </c>
      <c r="R832">
        <v>3.1885116471351602</v>
      </c>
      <c r="S832">
        <v>12.125469212738301</v>
      </c>
      <c r="T832">
        <v>2.53597874728798</v>
      </c>
      <c r="U832">
        <v>-3.9492570066469601</v>
      </c>
      <c r="V832">
        <v>2.7857757021515699E-2</v>
      </c>
      <c r="W832">
        <v>0.16392249791683899</v>
      </c>
      <c r="X832">
        <v>1</v>
      </c>
      <c r="Y832">
        <v>0</v>
      </c>
    </row>
    <row r="833" spans="1:25" x14ac:dyDescent="0.2">
      <c r="A833" t="s">
        <v>3069</v>
      </c>
      <c r="B833" t="s">
        <v>3070</v>
      </c>
      <c r="C833" t="s">
        <v>3071</v>
      </c>
      <c r="D833" t="s">
        <v>666</v>
      </c>
      <c r="E833" t="s">
        <v>3070</v>
      </c>
      <c r="F833" t="s">
        <v>28</v>
      </c>
      <c r="G833" t="s">
        <v>3070</v>
      </c>
      <c r="H833" t="str">
        <f>"pqn-27"</f>
        <v>pqn-27</v>
      </c>
      <c r="I833" t="s">
        <v>666</v>
      </c>
      <c r="J833">
        <v>15.9857345240192</v>
      </c>
      <c r="K833">
        <v>16.183347350070299</v>
      </c>
      <c r="L833">
        <v>16.3652939973786</v>
      </c>
      <c r="M833">
        <v>16.055001927231501</v>
      </c>
      <c r="N833">
        <v>15.7929055787859</v>
      </c>
      <c r="O833">
        <v>16.124411856357899</v>
      </c>
      <c r="P833">
        <v>-0.18735216969759</v>
      </c>
      <c r="Q833">
        <v>-0.53254349030428705</v>
      </c>
      <c r="R833">
        <v>0.157839150909107</v>
      </c>
      <c r="S833">
        <v>16.402974246184002</v>
      </c>
      <c r="T833">
        <v>-1.14075235156416</v>
      </c>
      <c r="U833">
        <v>-6.3939437746555701</v>
      </c>
      <c r="V833">
        <v>0.269010390985853</v>
      </c>
      <c r="W833">
        <v>0.54471674689979199</v>
      </c>
      <c r="X833">
        <v>0</v>
      </c>
      <c r="Y833">
        <v>0</v>
      </c>
    </row>
    <row r="834" spans="1:25" x14ac:dyDescent="0.2">
      <c r="A834" t="s">
        <v>3072</v>
      </c>
      <c r="B834" t="s">
        <v>3073</v>
      </c>
      <c r="C834" t="s">
        <v>3074</v>
      </c>
      <c r="D834" t="s">
        <v>3075</v>
      </c>
      <c r="E834" t="s">
        <v>3073</v>
      </c>
      <c r="F834" t="s">
        <v>28</v>
      </c>
      <c r="G834" t="s">
        <v>3073</v>
      </c>
      <c r="H834" t="str">
        <f>"nhr-62"</f>
        <v>nhr-62</v>
      </c>
      <c r="I834" t="s">
        <v>3075</v>
      </c>
      <c r="J834" t="s">
        <v>29</v>
      </c>
      <c r="K834">
        <v>9.7997878576294699</v>
      </c>
      <c r="L834">
        <v>9.5066673254369896</v>
      </c>
      <c r="M834" t="s">
        <v>29</v>
      </c>
      <c r="N834" t="s">
        <v>29</v>
      </c>
      <c r="O834" t="s">
        <v>29</v>
      </c>
      <c r="P834" t="s">
        <v>29</v>
      </c>
      <c r="Q834" t="s">
        <v>29</v>
      </c>
      <c r="R834" t="s">
        <v>29</v>
      </c>
      <c r="S834">
        <v>10.4076367598517</v>
      </c>
      <c r="T834" t="s">
        <v>29</v>
      </c>
      <c r="U834" t="s">
        <v>29</v>
      </c>
      <c r="V834" t="s">
        <v>29</v>
      </c>
      <c r="W834" t="s">
        <v>29</v>
      </c>
      <c r="X834" t="s">
        <v>29</v>
      </c>
      <c r="Y834" t="s">
        <v>29</v>
      </c>
    </row>
    <row r="835" spans="1:25" x14ac:dyDescent="0.2">
      <c r="A835" t="s">
        <v>3076</v>
      </c>
      <c r="B835" t="s">
        <v>3077</v>
      </c>
      <c r="C835" t="s">
        <v>3078</v>
      </c>
      <c r="D835" t="s">
        <v>3079</v>
      </c>
      <c r="E835" t="s">
        <v>3077</v>
      </c>
      <c r="F835" t="s">
        <v>28</v>
      </c>
      <c r="G835" t="s">
        <v>3077</v>
      </c>
      <c r="H835" t="str">
        <f>"pck-2"</f>
        <v>pck-2</v>
      </c>
      <c r="I835" t="s">
        <v>3079</v>
      </c>
      <c r="J835">
        <v>14.2351025874752</v>
      </c>
      <c r="K835">
        <v>14.0989692015164</v>
      </c>
      <c r="L835">
        <v>14.274739648371099</v>
      </c>
      <c r="M835">
        <v>17.1636401340938</v>
      </c>
      <c r="N835">
        <v>17.408443722016798</v>
      </c>
      <c r="O835">
        <v>16.956425235299299</v>
      </c>
      <c r="P835">
        <v>2.97323255134908</v>
      </c>
      <c r="Q835">
        <v>2.4771351409598501</v>
      </c>
      <c r="R835">
        <v>3.46932996173831</v>
      </c>
      <c r="S835">
        <v>16.332070917660499</v>
      </c>
      <c r="T835">
        <v>12.5966317095486</v>
      </c>
      <c r="U835">
        <v>13.9791670405871</v>
      </c>
      <c r="V835" s="2">
        <v>2.48191679506561E-10</v>
      </c>
      <c r="W835" s="2">
        <v>7.3419611374031694E-8</v>
      </c>
      <c r="X835">
        <v>1</v>
      </c>
      <c r="Y835">
        <v>1</v>
      </c>
    </row>
    <row r="836" spans="1:25" x14ac:dyDescent="0.2">
      <c r="A836" t="s">
        <v>3080</v>
      </c>
      <c r="B836" t="s">
        <v>3081</v>
      </c>
      <c r="C836" t="s">
        <v>3082</v>
      </c>
      <c r="D836" t="s">
        <v>252</v>
      </c>
      <c r="E836" t="s">
        <v>3081</v>
      </c>
      <c r="F836" t="s">
        <v>28</v>
      </c>
      <c r="G836" t="s">
        <v>3081</v>
      </c>
      <c r="H836" t="str">
        <f>"gla-3"</f>
        <v>gla-3</v>
      </c>
      <c r="I836" t="s">
        <v>252</v>
      </c>
      <c r="J836">
        <v>11.9980357578339</v>
      </c>
      <c r="K836">
        <v>11.9073863225002</v>
      </c>
      <c r="L836">
        <v>12.810468936672599</v>
      </c>
      <c r="M836" t="s">
        <v>29</v>
      </c>
      <c r="N836" t="s">
        <v>29</v>
      </c>
      <c r="O836">
        <v>11.5317812568513</v>
      </c>
      <c r="P836">
        <v>-0.70684908215098696</v>
      </c>
      <c r="Q836">
        <v>-1.80917008055914</v>
      </c>
      <c r="R836">
        <v>0.39547191625716999</v>
      </c>
      <c r="S836">
        <v>12.948670631105299</v>
      </c>
      <c r="T836">
        <v>-1.38645526832335</v>
      </c>
      <c r="U836">
        <v>-5.7588791850703798</v>
      </c>
      <c r="V836">
        <v>0.189112175652735</v>
      </c>
      <c r="W836">
        <v>0.45056514652806701</v>
      </c>
      <c r="X836">
        <v>0</v>
      </c>
      <c r="Y836">
        <v>0</v>
      </c>
    </row>
    <row r="837" spans="1:25" x14ac:dyDescent="0.2">
      <c r="A837" t="s">
        <v>3083</v>
      </c>
      <c r="B837" t="s">
        <v>3084</v>
      </c>
      <c r="C837" t="s">
        <v>3085</v>
      </c>
      <c r="D837" t="s">
        <v>3086</v>
      </c>
      <c r="E837" t="s">
        <v>3084</v>
      </c>
      <c r="F837" t="s">
        <v>28</v>
      </c>
      <c r="G837" t="s">
        <v>3084</v>
      </c>
      <c r="H837" t="str">
        <f>"prmt-9"</f>
        <v>prmt-9</v>
      </c>
      <c r="I837" t="s">
        <v>3086</v>
      </c>
      <c r="J837">
        <v>14.0649114316096</v>
      </c>
      <c r="K837">
        <v>14.2715188954379</v>
      </c>
      <c r="L837">
        <v>14.049618483853999</v>
      </c>
      <c r="M837">
        <v>14.0606307894466</v>
      </c>
      <c r="N837">
        <v>13.9298286279408</v>
      </c>
      <c r="O837">
        <v>13.8290460428142</v>
      </c>
      <c r="P837">
        <v>-0.18884778356661</v>
      </c>
      <c r="Q837">
        <v>-0.56748174955773101</v>
      </c>
      <c r="R837">
        <v>0.18978618242451201</v>
      </c>
      <c r="S837">
        <v>13.723620548021801</v>
      </c>
      <c r="T837">
        <v>-1.04829818703323</v>
      </c>
      <c r="U837">
        <v>-6.4932933392338104</v>
      </c>
      <c r="V837">
        <v>0.30845404472855098</v>
      </c>
      <c r="W837">
        <v>0.58771705661465501</v>
      </c>
      <c r="X837">
        <v>0</v>
      </c>
      <c r="Y837">
        <v>0</v>
      </c>
    </row>
    <row r="838" spans="1:25" x14ac:dyDescent="0.2">
      <c r="A838" t="s">
        <v>3087</v>
      </c>
      <c r="B838" t="s">
        <v>3088</v>
      </c>
      <c r="C838" t="s">
        <v>3089</v>
      </c>
      <c r="D838" t="s">
        <v>3090</v>
      </c>
      <c r="E838" t="s">
        <v>3088</v>
      </c>
      <c r="F838" t="s">
        <v>28</v>
      </c>
      <c r="G838" t="s">
        <v>3088</v>
      </c>
      <c r="H838" t="str">
        <f>"T23D8.3"</f>
        <v>T23D8.3</v>
      </c>
      <c r="I838" t="s">
        <v>3090</v>
      </c>
      <c r="J838">
        <v>12.7101433454475</v>
      </c>
      <c r="K838">
        <v>12.721232247115401</v>
      </c>
      <c r="L838">
        <v>13.5790630988785</v>
      </c>
      <c r="M838">
        <v>12.8791881729547</v>
      </c>
      <c r="N838">
        <v>14.030320091202601</v>
      </c>
      <c r="O838">
        <v>13.816794846878301</v>
      </c>
      <c r="P838">
        <v>0.57195480653137998</v>
      </c>
      <c r="Q838">
        <v>-0.14163939785146101</v>
      </c>
      <c r="R838">
        <v>1.28554901091422</v>
      </c>
      <c r="S838">
        <v>14.479879435420701</v>
      </c>
      <c r="T838">
        <v>1.6918443797786</v>
      </c>
      <c r="U838">
        <v>-5.6628630269751001</v>
      </c>
      <c r="V838">
        <v>0.109035466826885</v>
      </c>
      <c r="W838">
        <v>0.34168646360147398</v>
      </c>
      <c r="X838">
        <v>0</v>
      </c>
      <c r="Y838">
        <v>0</v>
      </c>
    </row>
    <row r="839" spans="1:25" x14ac:dyDescent="0.2">
      <c r="A839" t="s">
        <v>3091</v>
      </c>
      <c r="B839" t="s">
        <v>3092</v>
      </c>
      <c r="C839" t="s">
        <v>3093</v>
      </c>
      <c r="D839" t="s">
        <v>3094</v>
      </c>
      <c r="E839" t="s">
        <v>3092</v>
      </c>
      <c r="F839" t="s">
        <v>28</v>
      </c>
      <c r="G839" t="s">
        <v>3092</v>
      </c>
      <c r="H839" t="str">
        <f>"eif-3.C"</f>
        <v>eif-3.C</v>
      </c>
      <c r="I839" t="s">
        <v>3094</v>
      </c>
      <c r="J839">
        <v>17.925303967904402</v>
      </c>
      <c r="K839">
        <v>17.921334259427699</v>
      </c>
      <c r="L839">
        <v>17.958916750744098</v>
      </c>
      <c r="M839">
        <v>17.7367027223344</v>
      </c>
      <c r="N839">
        <v>17.5452845540499</v>
      </c>
      <c r="O839">
        <v>17.517156532155099</v>
      </c>
      <c r="P839">
        <v>-0.33547038984562899</v>
      </c>
      <c r="Q839">
        <v>-0.69201320323568005</v>
      </c>
      <c r="R839">
        <v>2.1072423544423301E-2</v>
      </c>
      <c r="S839">
        <v>17.922905118283801</v>
      </c>
      <c r="T839">
        <v>-1.97758436323623</v>
      </c>
      <c r="U839">
        <v>-5.1998766234619396</v>
      </c>
      <c r="V839">
        <v>6.3586506772828205E-2</v>
      </c>
      <c r="W839">
        <v>0.25607734286978101</v>
      </c>
      <c r="X839">
        <v>0</v>
      </c>
      <c r="Y839">
        <v>0</v>
      </c>
    </row>
    <row r="840" spans="1:25" x14ac:dyDescent="0.2">
      <c r="A840" t="s">
        <v>3095</v>
      </c>
      <c r="B840" t="s">
        <v>3096</v>
      </c>
      <c r="C840" t="s">
        <v>3097</v>
      </c>
      <c r="D840" t="s">
        <v>3098</v>
      </c>
      <c r="E840" t="s">
        <v>3096</v>
      </c>
      <c r="F840" t="s">
        <v>28</v>
      </c>
      <c r="G840" t="s">
        <v>3096</v>
      </c>
      <c r="H840" t="str">
        <f>"algn-10"</f>
        <v>algn-10</v>
      </c>
      <c r="I840" t="s">
        <v>3098</v>
      </c>
      <c r="J840">
        <v>14.604209708349901</v>
      </c>
      <c r="K840">
        <v>14.1098483046844</v>
      </c>
      <c r="L840">
        <v>14.4731050785233</v>
      </c>
      <c r="M840">
        <v>14.5474920036906</v>
      </c>
      <c r="N840">
        <v>14.205536063158</v>
      </c>
      <c r="O840" t="s">
        <v>29</v>
      </c>
      <c r="P840">
        <v>-1.9206997094922702E-2</v>
      </c>
      <c r="Q840">
        <v>-0.44898513737916601</v>
      </c>
      <c r="R840">
        <v>0.41057114318932098</v>
      </c>
      <c r="S840">
        <v>14.7994062136826</v>
      </c>
      <c r="T840">
        <v>-9.5314012832560593E-2</v>
      </c>
      <c r="U840">
        <v>-6.9366303211701901</v>
      </c>
      <c r="V840">
        <v>0.92533589123787396</v>
      </c>
      <c r="W840">
        <v>0.97369392663454402</v>
      </c>
      <c r="X840">
        <v>0</v>
      </c>
      <c r="Y840">
        <v>0</v>
      </c>
    </row>
    <row r="841" spans="1:25" x14ac:dyDescent="0.2">
      <c r="A841" t="s">
        <v>3099</v>
      </c>
      <c r="B841" t="s">
        <v>3100</v>
      </c>
      <c r="C841" t="s">
        <v>3101</v>
      </c>
      <c r="D841" t="s">
        <v>3102</v>
      </c>
      <c r="E841" t="s">
        <v>3100</v>
      </c>
      <c r="F841" t="s">
        <v>28</v>
      </c>
      <c r="G841" t="s">
        <v>3100</v>
      </c>
      <c r="H841" t="str">
        <f>"pri-2"</f>
        <v>pri-2</v>
      </c>
      <c r="I841" t="s">
        <v>3102</v>
      </c>
      <c r="J841">
        <v>12.1947802752074</v>
      </c>
      <c r="K841">
        <v>11.979834603017199</v>
      </c>
      <c r="L841">
        <v>12.664624593348201</v>
      </c>
      <c r="M841" t="s">
        <v>29</v>
      </c>
      <c r="N841" t="s">
        <v>29</v>
      </c>
      <c r="O841">
        <v>12.5023063928714</v>
      </c>
      <c r="P841">
        <v>0.22255990234716999</v>
      </c>
      <c r="Q841">
        <v>-0.67909296731619595</v>
      </c>
      <c r="R841">
        <v>1.1242127720105399</v>
      </c>
      <c r="S841">
        <v>12.334816168871701</v>
      </c>
      <c r="T841">
        <v>0.52978474120946195</v>
      </c>
      <c r="U841">
        <v>-6.5624278097157296</v>
      </c>
      <c r="V841">
        <v>0.60462372567743194</v>
      </c>
      <c r="W841">
        <v>0.81080136919013202</v>
      </c>
      <c r="X841">
        <v>0</v>
      </c>
      <c r="Y841">
        <v>0</v>
      </c>
    </row>
    <row r="842" spans="1:25" x14ac:dyDescent="0.2">
      <c r="A842" t="s">
        <v>3103</v>
      </c>
      <c r="B842" t="s">
        <v>3104</v>
      </c>
      <c r="C842" t="s">
        <v>3105</v>
      </c>
      <c r="D842" t="s">
        <v>3106</v>
      </c>
      <c r="E842" t="s">
        <v>3104</v>
      </c>
      <c r="F842" t="s">
        <v>28</v>
      </c>
      <c r="G842" t="s">
        <v>3104</v>
      </c>
      <c r="H842" t="str">
        <f>"nstp-5"</f>
        <v>nstp-5</v>
      </c>
      <c r="I842" t="s">
        <v>3106</v>
      </c>
      <c r="J842">
        <v>12.994245438876399</v>
      </c>
      <c r="K842">
        <v>13.0470098920255</v>
      </c>
      <c r="L842">
        <v>12.7790436339107</v>
      </c>
      <c r="M842">
        <v>13.189529740012</v>
      </c>
      <c r="N842">
        <v>12.347783087448001</v>
      </c>
      <c r="O842">
        <v>11.659880694403</v>
      </c>
      <c r="P842">
        <v>-0.54103514764990901</v>
      </c>
      <c r="Q842">
        <v>-1.2171638828803499</v>
      </c>
      <c r="R842">
        <v>0.135093587580536</v>
      </c>
      <c r="S842">
        <v>12.8920015404347</v>
      </c>
      <c r="T842">
        <v>-1.68906397360433</v>
      </c>
      <c r="U842">
        <v>-5.6670846387361298</v>
      </c>
      <c r="V842">
        <v>0.10957545873110699</v>
      </c>
      <c r="W842">
        <v>0.34241702703680399</v>
      </c>
      <c r="X842">
        <v>0</v>
      </c>
      <c r="Y842">
        <v>0</v>
      </c>
    </row>
    <row r="843" spans="1:25" x14ac:dyDescent="0.2">
      <c r="A843" t="s">
        <v>3107</v>
      </c>
      <c r="B843" t="s">
        <v>3108</v>
      </c>
      <c r="C843" t="s">
        <v>3109</v>
      </c>
      <c r="D843" t="s">
        <v>3110</v>
      </c>
      <c r="E843" t="s">
        <v>3108</v>
      </c>
      <c r="F843" t="s">
        <v>28</v>
      </c>
      <c r="G843" t="s">
        <v>3108</v>
      </c>
      <c r="H843" t="str">
        <f>"mua-6"</f>
        <v>mua-6</v>
      </c>
      <c r="I843" t="s">
        <v>3110</v>
      </c>
      <c r="J843">
        <v>11.471459656273099</v>
      </c>
      <c r="K843">
        <v>12.201083918468999</v>
      </c>
      <c r="L843">
        <v>11.753658568921299</v>
      </c>
      <c r="M843">
        <v>14.442362141553399</v>
      </c>
      <c r="N843">
        <v>14.4124582082085</v>
      </c>
      <c r="O843">
        <v>14.093770187234901</v>
      </c>
      <c r="P843">
        <v>2.5074627977778299</v>
      </c>
      <c r="Q843">
        <v>1.95578404401089</v>
      </c>
      <c r="R843">
        <v>3.05914155154476</v>
      </c>
      <c r="S843">
        <v>13.1055737966638</v>
      </c>
      <c r="T843">
        <v>9.5530214455128295</v>
      </c>
      <c r="U843">
        <v>9.6840338177234209</v>
      </c>
      <c r="V843" s="2">
        <v>1.8949629305846999E-8</v>
      </c>
      <c r="W843" s="2">
        <v>2.936290179106E-6</v>
      </c>
      <c r="X843">
        <v>1</v>
      </c>
      <c r="Y843">
        <v>1</v>
      </c>
    </row>
    <row r="844" spans="1:25" x14ac:dyDescent="0.2">
      <c r="A844" t="s">
        <v>3111</v>
      </c>
      <c r="B844" t="s">
        <v>3112</v>
      </c>
      <c r="C844" t="s">
        <v>3113</v>
      </c>
      <c r="D844" t="s">
        <v>3114</v>
      </c>
      <c r="E844" t="s">
        <v>3112</v>
      </c>
      <c r="F844" t="s">
        <v>28</v>
      </c>
      <c r="G844" t="s">
        <v>3112</v>
      </c>
      <c r="H844" t="str">
        <f>"ZK1073.1"</f>
        <v>ZK1073.1</v>
      </c>
      <c r="I844" t="s">
        <v>3114</v>
      </c>
      <c r="J844">
        <v>14.8759340011226</v>
      </c>
      <c r="K844">
        <v>15.0768679633739</v>
      </c>
      <c r="L844">
        <v>14.375428848405299</v>
      </c>
      <c r="M844">
        <v>15.2227219252383</v>
      </c>
      <c r="N844">
        <v>15.168169391127901</v>
      </c>
      <c r="O844">
        <v>15.138258544862801</v>
      </c>
      <c r="P844">
        <v>0.40030634944242399</v>
      </c>
      <c r="Q844">
        <v>-9.8645888885956406E-2</v>
      </c>
      <c r="R844">
        <v>0.89925858777080403</v>
      </c>
      <c r="S844">
        <v>14.363727359512099</v>
      </c>
      <c r="T844">
        <v>1.6862657404360799</v>
      </c>
      <c r="U844">
        <v>-5.6698797520647402</v>
      </c>
      <c r="V844">
        <v>0.10910025681681999</v>
      </c>
      <c r="W844">
        <v>0.34168646360147398</v>
      </c>
      <c r="X844">
        <v>0</v>
      </c>
      <c r="Y844">
        <v>0</v>
      </c>
    </row>
    <row r="845" spans="1:25" x14ac:dyDescent="0.2">
      <c r="A845" t="s">
        <v>3115</v>
      </c>
      <c r="B845" t="s">
        <v>3116</v>
      </c>
      <c r="C845" t="s">
        <v>3117</v>
      </c>
      <c r="D845" t="s">
        <v>3118</v>
      </c>
      <c r="E845" t="s">
        <v>3116</v>
      </c>
      <c r="F845" t="s">
        <v>28</v>
      </c>
      <c r="G845" t="s">
        <v>3116</v>
      </c>
      <c r="H845" t="str">
        <f>"cyp-35a2"</f>
        <v>cyp-35a2</v>
      </c>
      <c r="I845" t="s">
        <v>3118</v>
      </c>
      <c r="J845" t="s">
        <v>29</v>
      </c>
      <c r="K845" t="s">
        <v>29</v>
      </c>
      <c r="L845" t="s">
        <v>29</v>
      </c>
      <c r="M845" t="s">
        <v>29</v>
      </c>
      <c r="N845">
        <v>12.1240800649615</v>
      </c>
      <c r="O845" t="s">
        <v>29</v>
      </c>
      <c r="P845" t="s">
        <v>29</v>
      </c>
      <c r="Q845" t="s">
        <v>29</v>
      </c>
      <c r="R845" t="s">
        <v>29</v>
      </c>
      <c r="S845">
        <v>12.5479852196796</v>
      </c>
      <c r="T845" t="s">
        <v>29</v>
      </c>
      <c r="U845" t="s">
        <v>29</v>
      </c>
      <c r="V845" t="s">
        <v>29</v>
      </c>
      <c r="W845" t="s">
        <v>29</v>
      </c>
      <c r="X845" t="s">
        <v>29</v>
      </c>
      <c r="Y845" t="s">
        <v>29</v>
      </c>
    </row>
    <row r="846" spans="1:25" x14ac:dyDescent="0.2">
      <c r="A846" t="s">
        <v>3119</v>
      </c>
      <c r="B846" t="s">
        <v>3120</v>
      </c>
      <c r="C846" t="s">
        <v>3121</v>
      </c>
      <c r="D846" t="s">
        <v>3122</v>
      </c>
      <c r="E846" t="s">
        <v>3120</v>
      </c>
      <c r="F846" t="s">
        <v>28</v>
      </c>
      <c r="G846" t="s">
        <v>3120</v>
      </c>
      <c r="H846" t="str">
        <f>"rpl-19"</f>
        <v>rpl-19</v>
      </c>
      <c r="I846" t="s">
        <v>3122</v>
      </c>
      <c r="J846">
        <v>18.029889227300199</v>
      </c>
      <c r="K846">
        <v>18.7106922865195</v>
      </c>
      <c r="L846">
        <v>18.9289104984307</v>
      </c>
      <c r="M846">
        <v>17.9023944157016</v>
      </c>
      <c r="N846">
        <v>17.801838176116402</v>
      </c>
      <c r="O846">
        <v>18.138072564466</v>
      </c>
      <c r="P846">
        <v>-0.60906228532209605</v>
      </c>
      <c r="Q846">
        <v>-1.1189560910798799</v>
      </c>
      <c r="R846">
        <v>-9.9168479564316001E-2</v>
      </c>
      <c r="S846">
        <v>19.1146246420126</v>
      </c>
      <c r="T846">
        <v>-2.5105824275853199</v>
      </c>
      <c r="U846">
        <v>-4.2257108698568402</v>
      </c>
      <c r="V846">
        <v>2.1885257125320301E-2</v>
      </c>
      <c r="W846">
        <v>0.14415916333156401</v>
      </c>
      <c r="X846">
        <v>0</v>
      </c>
      <c r="Y846">
        <v>0</v>
      </c>
    </row>
    <row r="847" spans="1:25" x14ac:dyDescent="0.2">
      <c r="A847" t="s">
        <v>3123</v>
      </c>
      <c r="B847" t="s">
        <v>3124</v>
      </c>
      <c r="C847" t="s">
        <v>3125</v>
      </c>
      <c r="D847" t="s">
        <v>3126</v>
      </c>
      <c r="E847" t="s">
        <v>3124</v>
      </c>
      <c r="F847" t="s">
        <v>28</v>
      </c>
      <c r="G847" t="s">
        <v>3124</v>
      </c>
      <c r="H847" t="str">
        <f>"mdh-2"</f>
        <v>mdh-2</v>
      </c>
      <c r="I847" t="s">
        <v>3126</v>
      </c>
      <c r="J847">
        <v>15.4861465653885</v>
      </c>
      <c r="K847">
        <v>15.391268128369299</v>
      </c>
      <c r="L847">
        <v>15.5254668818265</v>
      </c>
      <c r="M847">
        <v>15.016604909116399</v>
      </c>
      <c r="N847">
        <v>15.237617786287499</v>
      </c>
      <c r="O847">
        <v>16.246531417945501</v>
      </c>
      <c r="P847">
        <v>3.26241792550395E-2</v>
      </c>
      <c r="Q847">
        <v>-0.54728217158415104</v>
      </c>
      <c r="R847">
        <v>0.61253053009422997</v>
      </c>
      <c r="S847">
        <v>14.9923133291285</v>
      </c>
      <c r="T847">
        <v>0.118242674102742</v>
      </c>
      <c r="U847">
        <v>-7.0447622166223498</v>
      </c>
      <c r="V847">
        <v>0.90719252461775202</v>
      </c>
      <c r="W847">
        <v>0.96798538961646996</v>
      </c>
      <c r="X847">
        <v>0</v>
      </c>
      <c r="Y847">
        <v>0</v>
      </c>
    </row>
    <row r="848" spans="1:25" x14ac:dyDescent="0.2">
      <c r="A848" t="s">
        <v>3127</v>
      </c>
      <c r="B848" t="s">
        <v>3128</v>
      </c>
      <c r="C848" t="s">
        <v>3129</v>
      </c>
      <c r="D848" t="s">
        <v>3118</v>
      </c>
      <c r="E848" t="s">
        <v>3128</v>
      </c>
      <c r="F848" t="s">
        <v>28</v>
      </c>
      <c r="G848" t="s">
        <v>3128</v>
      </c>
      <c r="H848" t="str">
        <f>"cyp-33c8"</f>
        <v>cyp-33c8</v>
      </c>
      <c r="I848" t="s">
        <v>3118</v>
      </c>
      <c r="J848" t="s">
        <v>29</v>
      </c>
      <c r="K848">
        <v>10.5064849745398</v>
      </c>
      <c r="L848">
        <v>10.1655209569631</v>
      </c>
      <c r="M848" t="s">
        <v>29</v>
      </c>
      <c r="N848">
        <v>11.3346131855096</v>
      </c>
      <c r="O848">
        <v>11.2439155046919</v>
      </c>
      <c r="P848">
        <v>0.95326137934922905</v>
      </c>
      <c r="Q848">
        <v>-0.141635739497393</v>
      </c>
      <c r="R848">
        <v>2.0481584981958498</v>
      </c>
      <c r="S848">
        <v>11.2351315719617</v>
      </c>
      <c r="T848">
        <v>1.8686612426757101</v>
      </c>
      <c r="U848">
        <v>-5.2020608840460696</v>
      </c>
      <c r="V848">
        <v>8.2897011008576105E-2</v>
      </c>
      <c r="W848">
        <v>0.29442344043886498</v>
      </c>
      <c r="X848">
        <v>0</v>
      </c>
      <c r="Y848">
        <v>0</v>
      </c>
    </row>
    <row r="849" spans="1:25" x14ac:dyDescent="0.2">
      <c r="A849" t="s">
        <v>3130</v>
      </c>
      <c r="B849" t="s">
        <v>3131</v>
      </c>
      <c r="C849" t="s">
        <v>3132</v>
      </c>
      <c r="D849" t="s">
        <v>3133</v>
      </c>
      <c r="E849" t="s">
        <v>3131</v>
      </c>
      <c r="F849" t="s">
        <v>28</v>
      </c>
      <c r="G849" t="s">
        <v>3131</v>
      </c>
      <c r="H849" t="str">
        <f>"sucl-2"</f>
        <v>sucl-2</v>
      </c>
      <c r="I849" t="s">
        <v>3133</v>
      </c>
      <c r="J849">
        <v>13.533809067640201</v>
      </c>
      <c r="K849">
        <v>13.862155442328</v>
      </c>
      <c r="L849">
        <v>13.923511130826601</v>
      </c>
      <c r="M849">
        <v>13.0842788618583</v>
      </c>
      <c r="N849">
        <v>13.370477722093201</v>
      </c>
      <c r="O849">
        <v>13.5926402858227</v>
      </c>
      <c r="P849">
        <v>-0.42402625700686902</v>
      </c>
      <c r="Q849">
        <v>-0.91206808457372701</v>
      </c>
      <c r="R849">
        <v>6.4015570559989105E-2</v>
      </c>
      <c r="S849">
        <v>13.952032656461901</v>
      </c>
      <c r="T849">
        <v>-1.8339425154147899</v>
      </c>
      <c r="U849">
        <v>-5.4407465719743504</v>
      </c>
      <c r="V849">
        <v>8.4338350073878604E-2</v>
      </c>
      <c r="W849">
        <v>0.29733151802860303</v>
      </c>
      <c r="X849">
        <v>0</v>
      </c>
      <c r="Y849">
        <v>0</v>
      </c>
    </row>
    <row r="850" spans="1:25" x14ac:dyDescent="0.2">
      <c r="A850" t="s">
        <v>3134</v>
      </c>
      <c r="B850" t="s">
        <v>3135</v>
      </c>
      <c r="C850" t="s">
        <v>3136</v>
      </c>
      <c r="D850" t="s">
        <v>3137</v>
      </c>
      <c r="E850" t="s">
        <v>3135</v>
      </c>
      <c r="F850" t="s">
        <v>28</v>
      </c>
      <c r="G850" t="s">
        <v>3135</v>
      </c>
      <c r="H850" t="str">
        <f>"lys-7"</f>
        <v>lys-7</v>
      </c>
      <c r="I850" t="s">
        <v>3137</v>
      </c>
      <c r="J850" t="s">
        <v>29</v>
      </c>
      <c r="K850" t="s">
        <v>29</v>
      </c>
      <c r="L850">
        <v>12.0151273027165</v>
      </c>
      <c r="M850">
        <v>11.0963929961367</v>
      </c>
      <c r="N850">
        <v>12.3555610922637</v>
      </c>
      <c r="O850">
        <v>12.7844642340247</v>
      </c>
      <c r="P850">
        <v>6.3678804758492205E-2</v>
      </c>
      <c r="Q850">
        <v>-1.0553921309331</v>
      </c>
      <c r="R850">
        <v>1.18274974045009</v>
      </c>
      <c r="S850">
        <v>12.106319905346499</v>
      </c>
      <c r="T850">
        <v>0.123033826452422</v>
      </c>
      <c r="U850">
        <v>-6.7011392971520403</v>
      </c>
      <c r="V850">
        <v>0.90397722680034298</v>
      </c>
      <c r="W850">
        <v>0.96754175574775902</v>
      </c>
      <c r="X850">
        <v>0</v>
      </c>
      <c r="Y850">
        <v>0</v>
      </c>
    </row>
    <row r="851" spans="1:25" x14ac:dyDescent="0.2">
      <c r="A851" t="s">
        <v>3138</v>
      </c>
      <c r="B851" t="s">
        <v>3139</v>
      </c>
      <c r="C851" t="s">
        <v>3140</v>
      </c>
      <c r="D851" t="s">
        <v>3141</v>
      </c>
      <c r="E851" t="s">
        <v>3139</v>
      </c>
      <c r="F851" t="s">
        <v>28</v>
      </c>
      <c r="G851" t="s">
        <v>3139</v>
      </c>
      <c r="H851" t="str">
        <f>"F17A9.2"</f>
        <v>F17A9.2</v>
      </c>
      <c r="I851" t="s">
        <v>3141</v>
      </c>
      <c r="J851">
        <v>11.115885565640699</v>
      </c>
      <c r="K851" t="s">
        <v>29</v>
      </c>
      <c r="L851" t="s">
        <v>29</v>
      </c>
      <c r="M851" t="s">
        <v>29</v>
      </c>
      <c r="N851" t="s">
        <v>29</v>
      </c>
      <c r="O851" t="s">
        <v>29</v>
      </c>
      <c r="P851" t="s">
        <v>29</v>
      </c>
      <c r="Q851" t="s">
        <v>29</v>
      </c>
      <c r="R851" t="s">
        <v>29</v>
      </c>
      <c r="S851">
        <v>11.9543237514729</v>
      </c>
      <c r="T851" t="s">
        <v>29</v>
      </c>
      <c r="U851" t="s">
        <v>29</v>
      </c>
      <c r="V851" t="s">
        <v>29</v>
      </c>
      <c r="W851" t="s">
        <v>29</v>
      </c>
      <c r="X851" t="s">
        <v>29</v>
      </c>
      <c r="Y851" t="s">
        <v>29</v>
      </c>
    </row>
    <row r="852" spans="1:25" x14ac:dyDescent="0.2">
      <c r="A852" t="s">
        <v>3142</v>
      </c>
      <c r="B852" t="s">
        <v>3143</v>
      </c>
      <c r="C852" t="s">
        <v>14338</v>
      </c>
      <c r="D852" t="s">
        <v>3144</v>
      </c>
      <c r="E852" t="s">
        <v>3143</v>
      </c>
      <c r="F852" t="s">
        <v>28</v>
      </c>
      <c r="G852" t="s">
        <v>3143</v>
      </c>
      <c r="H852" t="str">
        <f>"F44E7.4"</f>
        <v>F44E7.4</v>
      </c>
      <c r="I852" t="s">
        <v>3144</v>
      </c>
      <c r="J852">
        <v>11.981019843792399</v>
      </c>
      <c r="K852">
        <v>11.401981465212501</v>
      </c>
      <c r="L852">
        <v>11.9302351206988</v>
      </c>
      <c r="M852">
        <v>11.543335917721601</v>
      </c>
      <c r="N852">
        <v>11.837084915880499</v>
      </c>
      <c r="O852">
        <v>12.243522582883999</v>
      </c>
      <c r="P852">
        <v>0.10356899559414</v>
      </c>
      <c r="Q852">
        <v>-0.43277317066121801</v>
      </c>
      <c r="R852">
        <v>0.63991116184949703</v>
      </c>
      <c r="S852">
        <v>12.0430251154663</v>
      </c>
      <c r="T852">
        <v>0.41184085666026199</v>
      </c>
      <c r="U852">
        <v>-6.9627623589426602</v>
      </c>
      <c r="V852">
        <v>0.68632156995500304</v>
      </c>
      <c r="W852">
        <v>0.85895784178214696</v>
      </c>
      <c r="X852">
        <v>0</v>
      </c>
      <c r="Y852">
        <v>0</v>
      </c>
    </row>
    <row r="853" spans="1:25" x14ac:dyDescent="0.2">
      <c r="A853" t="s">
        <v>3145</v>
      </c>
      <c r="B853" t="s">
        <v>3146</v>
      </c>
      <c r="C853" t="s">
        <v>14339</v>
      </c>
      <c r="D853" t="s">
        <v>3147</v>
      </c>
      <c r="E853" t="s">
        <v>3146</v>
      </c>
      <c r="F853" t="s">
        <v>28</v>
      </c>
      <c r="G853" t="s">
        <v>3146</v>
      </c>
      <c r="H853" t="str">
        <f>"F44E7.9"</f>
        <v>F44E7.9</v>
      </c>
      <c r="I853" t="s">
        <v>3147</v>
      </c>
      <c r="J853">
        <v>15.1664070847243</v>
      </c>
      <c r="K853">
        <v>15.0082436361402</v>
      </c>
      <c r="L853">
        <v>15.072026602755599</v>
      </c>
      <c r="M853">
        <v>15.2884241437855</v>
      </c>
      <c r="N853">
        <v>14.7526880468524</v>
      </c>
      <c r="O853">
        <v>14.499021091804799</v>
      </c>
      <c r="P853">
        <v>-0.23551468039249601</v>
      </c>
      <c r="Q853">
        <v>-0.69917883015902005</v>
      </c>
      <c r="R853">
        <v>0.228149469374028</v>
      </c>
      <c r="S853">
        <v>14.7132219525976</v>
      </c>
      <c r="T853">
        <v>-1.0721720426855501</v>
      </c>
      <c r="U853">
        <v>-6.4675767203157797</v>
      </c>
      <c r="V853">
        <v>0.29871973443481098</v>
      </c>
      <c r="W853">
        <v>0.57790369551181697</v>
      </c>
      <c r="X853">
        <v>0</v>
      </c>
      <c r="Y853">
        <v>0</v>
      </c>
    </row>
    <row r="854" spans="1:25" x14ac:dyDescent="0.2">
      <c r="A854" t="s">
        <v>3148</v>
      </c>
      <c r="B854" t="s">
        <v>3149</v>
      </c>
      <c r="C854" t="s">
        <v>3150</v>
      </c>
      <c r="D854" t="s">
        <v>3151</v>
      </c>
      <c r="E854" t="s">
        <v>3149</v>
      </c>
      <c r="F854" t="s">
        <v>28</v>
      </c>
      <c r="G854" t="s">
        <v>3149</v>
      </c>
      <c r="H854" t="str">
        <f>"sti-1"</f>
        <v>sti-1</v>
      </c>
      <c r="I854" t="s">
        <v>3151</v>
      </c>
      <c r="J854">
        <v>12.906328630416199</v>
      </c>
      <c r="K854">
        <v>13.1691466537061</v>
      </c>
      <c r="L854">
        <v>13.4082213568679</v>
      </c>
      <c r="M854">
        <v>12.709818502209901</v>
      </c>
      <c r="N854">
        <v>12.539184908839299</v>
      </c>
      <c r="O854">
        <v>13.5113157225696</v>
      </c>
      <c r="P854">
        <v>-0.24112583579044</v>
      </c>
      <c r="Q854">
        <v>-0.73156997822438896</v>
      </c>
      <c r="R854">
        <v>0.24931830664351001</v>
      </c>
      <c r="S854">
        <v>13.3837073068854</v>
      </c>
      <c r="T854">
        <v>-1.0333482473448199</v>
      </c>
      <c r="U854">
        <v>-6.50866463447956</v>
      </c>
      <c r="V854">
        <v>0.31520492262097499</v>
      </c>
      <c r="W854">
        <v>0.59287677353101298</v>
      </c>
      <c r="X854">
        <v>0</v>
      </c>
      <c r="Y854">
        <v>0</v>
      </c>
    </row>
    <row r="855" spans="1:25" x14ac:dyDescent="0.2">
      <c r="A855" t="s">
        <v>3152</v>
      </c>
      <c r="B855" t="s">
        <v>3153</v>
      </c>
      <c r="C855" t="s">
        <v>14340</v>
      </c>
      <c r="D855" t="s">
        <v>3154</v>
      </c>
      <c r="E855" t="s">
        <v>3153</v>
      </c>
      <c r="F855" t="s">
        <v>28</v>
      </c>
      <c r="G855" t="s">
        <v>3153</v>
      </c>
      <c r="H855" t="str">
        <f>"F39G3.3"</f>
        <v>F39G3.3</v>
      </c>
      <c r="I855" t="s">
        <v>3154</v>
      </c>
      <c r="J855">
        <v>12.976793775875599</v>
      </c>
      <c r="K855">
        <v>13.030910672723801</v>
      </c>
      <c r="L855">
        <v>13.3027740983347</v>
      </c>
      <c r="M855">
        <v>11.5855239001967</v>
      </c>
      <c r="N855">
        <v>12.4889459090827</v>
      </c>
      <c r="O855">
        <v>13.038718005257699</v>
      </c>
      <c r="P855">
        <v>-0.73243024413232904</v>
      </c>
      <c r="Q855">
        <v>-1.3531539497963601</v>
      </c>
      <c r="R855">
        <v>-0.111706538468304</v>
      </c>
      <c r="S855">
        <v>13.1140106662153</v>
      </c>
      <c r="T855">
        <v>-2.5027499853436299</v>
      </c>
      <c r="U855">
        <v>-4.26999844615447</v>
      </c>
      <c r="V855">
        <v>2.36253440261966E-2</v>
      </c>
      <c r="W855">
        <v>0.14968144897751101</v>
      </c>
      <c r="X855">
        <v>0</v>
      </c>
      <c r="Y855">
        <v>0</v>
      </c>
    </row>
    <row r="856" spans="1:25" x14ac:dyDescent="0.2">
      <c r="A856" t="s">
        <v>3155</v>
      </c>
      <c r="B856" t="s">
        <v>3156</v>
      </c>
      <c r="C856" t="s">
        <v>3157</v>
      </c>
      <c r="D856" t="s">
        <v>3158</v>
      </c>
      <c r="E856" t="s">
        <v>3156</v>
      </c>
      <c r="F856" t="s">
        <v>28</v>
      </c>
      <c r="G856" t="s">
        <v>3156</v>
      </c>
      <c r="H856" t="str">
        <f>"F32D1.5"</f>
        <v>F32D1.5</v>
      </c>
      <c r="I856" t="s">
        <v>3158</v>
      </c>
      <c r="J856">
        <v>12.325932039319699</v>
      </c>
      <c r="K856">
        <v>13.2917424505649</v>
      </c>
      <c r="L856">
        <v>13.398270901177501</v>
      </c>
      <c r="M856">
        <v>12.9300294479582</v>
      </c>
      <c r="N856">
        <v>11.1298257018836</v>
      </c>
      <c r="O856">
        <v>13.420081949989299</v>
      </c>
      <c r="P856">
        <v>-0.51200276374370401</v>
      </c>
      <c r="Q856">
        <v>-1.4931480030545099</v>
      </c>
      <c r="R856">
        <v>0.46914247556709798</v>
      </c>
      <c r="S856">
        <v>13.406790174719999</v>
      </c>
      <c r="T856">
        <v>-1.1068494004537901</v>
      </c>
      <c r="U856">
        <v>-6.4296436084690498</v>
      </c>
      <c r="V856">
        <v>0.28482922297691698</v>
      </c>
      <c r="W856">
        <v>0.56479847139968797</v>
      </c>
      <c r="X856">
        <v>0</v>
      </c>
      <c r="Y856">
        <v>0</v>
      </c>
    </row>
    <row r="857" spans="1:25" x14ac:dyDescent="0.2">
      <c r="A857" t="s">
        <v>3159</v>
      </c>
      <c r="B857" t="s">
        <v>3160</v>
      </c>
      <c r="C857" t="s">
        <v>3161</v>
      </c>
      <c r="D857" t="s">
        <v>3162</v>
      </c>
      <c r="E857" t="s">
        <v>3160</v>
      </c>
      <c r="F857" t="s">
        <v>28</v>
      </c>
      <c r="G857" t="s">
        <v>3160</v>
      </c>
      <c r="H857" t="str">
        <f>"mcm-7"</f>
        <v>mcm-7</v>
      </c>
      <c r="I857" t="s">
        <v>3162</v>
      </c>
      <c r="J857">
        <v>14.164878147699101</v>
      </c>
      <c r="K857">
        <v>14.0579893744682</v>
      </c>
      <c r="L857">
        <v>14.5156347259149</v>
      </c>
      <c r="M857">
        <v>13.5901298984565</v>
      </c>
      <c r="N857">
        <v>14.580266673705999</v>
      </c>
      <c r="O857">
        <v>14.1314650163216</v>
      </c>
      <c r="P857">
        <v>-0.14554688653269199</v>
      </c>
      <c r="Q857">
        <v>-0.67014812890599396</v>
      </c>
      <c r="R857">
        <v>0.37905435584060898</v>
      </c>
      <c r="S857">
        <v>14.5518459963201</v>
      </c>
      <c r="T857">
        <v>-0.58563040706833802</v>
      </c>
      <c r="U857">
        <v>-6.8736078230945203</v>
      </c>
      <c r="V857">
        <v>0.565865300449927</v>
      </c>
      <c r="W857">
        <v>0.78823873615756102</v>
      </c>
      <c r="X857">
        <v>0</v>
      </c>
      <c r="Y857">
        <v>0</v>
      </c>
    </row>
    <row r="858" spans="1:25" x14ac:dyDescent="0.2">
      <c r="A858" t="s">
        <v>3163</v>
      </c>
      <c r="B858" t="s">
        <v>3164</v>
      </c>
      <c r="C858" t="s">
        <v>3165</v>
      </c>
      <c r="D858" t="s">
        <v>3166</v>
      </c>
      <c r="E858" t="s">
        <v>3164</v>
      </c>
      <c r="F858" t="s">
        <v>28</v>
      </c>
      <c r="G858" t="s">
        <v>3164</v>
      </c>
      <c r="H858" t="str">
        <f>"hpo-18"</f>
        <v>hpo-18</v>
      </c>
      <c r="I858" t="s">
        <v>3166</v>
      </c>
      <c r="J858">
        <v>15.186680571338901</v>
      </c>
      <c r="K858">
        <v>16.6049546689156</v>
      </c>
      <c r="L858">
        <v>16.232607612531599</v>
      </c>
      <c r="M858">
        <v>16.211536203015701</v>
      </c>
      <c r="N858">
        <v>15.9669661229676</v>
      </c>
      <c r="O858">
        <v>16.5776828952941</v>
      </c>
      <c r="P858">
        <v>0.24398078949715399</v>
      </c>
      <c r="Q858">
        <v>-0.47239010688670302</v>
      </c>
      <c r="R858">
        <v>0.96035168588101205</v>
      </c>
      <c r="S858">
        <v>16.129516649030201</v>
      </c>
      <c r="T858">
        <v>0.71889872235118202</v>
      </c>
      <c r="U858">
        <v>-6.78449640028958</v>
      </c>
      <c r="V858">
        <v>0.48202881722395702</v>
      </c>
      <c r="W858">
        <v>0.73976710642658505</v>
      </c>
      <c r="X858">
        <v>0</v>
      </c>
      <c r="Y858">
        <v>0</v>
      </c>
    </row>
    <row r="859" spans="1:25" x14ac:dyDescent="0.2">
      <c r="A859" t="s">
        <v>3167</v>
      </c>
      <c r="B859" t="s">
        <v>3168</v>
      </c>
      <c r="C859" t="s">
        <v>3169</v>
      </c>
      <c r="D859" t="s">
        <v>3170</v>
      </c>
      <c r="E859" t="s">
        <v>3168</v>
      </c>
      <c r="F859" t="s">
        <v>28</v>
      </c>
      <c r="G859" t="s">
        <v>3168</v>
      </c>
      <c r="H859" t="str">
        <f>"cmd-1"</f>
        <v>cmd-1</v>
      </c>
      <c r="I859" t="s">
        <v>3170</v>
      </c>
      <c r="J859">
        <v>15.063672209860799</v>
      </c>
      <c r="K859">
        <v>15.3720956241729</v>
      </c>
      <c r="L859">
        <v>14.792391204759101</v>
      </c>
      <c r="M859">
        <v>15.6092709622197</v>
      </c>
      <c r="N859">
        <v>15.715833065597099</v>
      </c>
      <c r="O859">
        <v>15.321363349065701</v>
      </c>
      <c r="P859">
        <v>0.47276944602988302</v>
      </c>
      <c r="Q859">
        <v>-0.15215012568299299</v>
      </c>
      <c r="R859">
        <v>1.0976890177427601</v>
      </c>
      <c r="S859">
        <v>14.9309424975488</v>
      </c>
      <c r="T859">
        <v>1.59007565401701</v>
      </c>
      <c r="U859">
        <v>-5.8133298626684704</v>
      </c>
      <c r="V859">
        <v>0.12932846208884599</v>
      </c>
      <c r="W859">
        <v>0.373379079676044</v>
      </c>
      <c r="X859">
        <v>0</v>
      </c>
      <c r="Y859">
        <v>0</v>
      </c>
    </row>
    <row r="860" spans="1:25" x14ac:dyDescent="0.2">
      <c r="A860" t="s">
        <v>3171</v>
      </c>
      <c r="B860" t="s">
        <v>3172</v>
      </c>
      <c r="C860" t="s">
        <v>3173</v>
      </c>
      <c r="D860" t="s">
        <v>3174</v>
      </c>
      <c r="E860" t="s">
        <v>3172</v>
      </c>
      <c r="F860" t="s">
        <v>28</v>
      </c>
      <c r="G860" t="s">
        <v>3172</v>
      </c>
      <c r="H860" t="str">
        <f>"gei-6"</f>
        <v>gei-6</v>
      </c>
      <c r="I860" t="s">
        <v>3174</v>
      </c>
      <c r="J860" t="s">
        <v>29</v>
      </c>
      <c r="K860">
        <v>11.5403386009254</v>
      </c>
      <c r="L860" t="s">
        <v>29</v>
      </c>
      <c r="M860" t="s">
        <v>29</v>
      </c>
      <c r="N860" t="s">
        <v>29</v>
      </c>
      <c r="O860" t="s">
        <v>29</v>
      </c>
      <c r="P860" t="s">
        <v>29</v>
      </c>
      <c r="Q860" t="s">
        <v>29</v>
      </c>
      <c r="R860" t="s">
        <v>29</v>
      </c>
      <c r="S860">
        <v>11.211707427976799</v>
      </c>
      <c r="T860" t="s">
        <v>29</v>
      </c>
      <c r="U860" t="s">
        <v>29</v>
      </c>
      <c r="V860" t="s">
        <v>29</v>
      </c>
      <c r="W860" t="s">
        <v>29</v>
      </c>
      <c r="X860" t="s">
        <v>29</v>
      </c>
      <c r="Y860" t="s">
        <v>29</v>
      </c>
    </row>
    <row r="861" spans="1:25" x14ac:dyDescent="0.2">
      <c r="A861" t="s">
        <v>3175</v>
      </c>
      <c r="B861" t="s">
        <v>3176</v>
      </c>
      <c r="C861" t="s">
        <v>3177</v>
      </c>
      <c r="D861" t="s">
        <v>3178</v>
      </c>
      <c r="E861" t="s">
        <v>3176</v>
      </c>
      <c r="F861" t="s">
        <v>28</v>
      </c>
      <c r="G861" t="s">
        <v>3176</v>
      </c>
      <c r="H861" t="str">
        <f>"krr-1"</f>
        <v>krr-1</v>
      </c>
      <c r="I861" t="s">
        <v>3178</v>
      </c>
      <c r="J861">
        <v>10.7517984559871</v>
      </c>
      <c r="K861">
        <v>12.330257317287799</v>
      </c>
      <c r="L861">
        <v>11.7913170410588</v>
      </c>
      <c r="M861">
        <v>11.549473930480501</v>
      </c>
      <c r="N861" t="s">
        <v>29</v>
      </c>
      <c r="O861">
        <v>11.9904344810325</v>
      </c>
      <c r="P861">
        <v>0.14549660097859801</v>
      </c>
      <c r="Q861">
        <v>-0.61291878488381302</v>
      </c>
      <c r="R861">
        <v>0.90391198684101004</v>
      </c>
      <c r="S861">
        <v>12.3846652381686</v>
      </c>
      <c r="T861">
        <v>0.41479446945050902</v>
      </c>
      <c r="U861">
        <v>-6.85019549882941</v>
      </c>
      <c r="V861">
        <v>0.68511024749772198</v>
      </c>
      <c r="W861">
        <v>0.85777173734420398</v>
      </c>
      <c r="X861">
        <v>0</v>
      </c>
      <c r="Y861">
        <v>0</v>
      </c>
    </row>
    <row r="862" spans="1:25" x14ac:dyDescent="0.2">
      <c r="A862" t="s">
        <v>3179</v>
      </c>
      <c r="B862" t="s">
        <v>3180</v>
      </c>
      <c r="C862" t="s">
        <v>3181</v>
      </c>
      <c r="D862" t="s">
        <v>3182</v>
      </c>
      <c r="E862" t="s">
        <v>3180</v>
      </c>
      <c r="F862" t="s">
        <v>28</v>
      </c>
      <c r="G862" t="s">
        <v>3180</v>
      </c>
      <c r="H862" t="str">
        <f>"C05C8.5"</f>
        <v>C05C8.5</v>
      </c>
      <c r="I862" t="s">
        <v>3182</v>
      </c>
      <c r="J862" t="s">
        <v>29</v>
      </c>
      <c r="K862" t="s">
        <v>29</v>
      </c>
      <c r="L862" t="s">
        <v>29</v>
      </c>
      <c r="M862" t="s">
        <v>29</v>
      </c>
      <c r="N862" t="s">
        <v>29</v>
      </c>
      <c r="O862" t="s">
        <v>29</v>
      </c>
      <c r="P862" t="s">
        <v>29</v>
      </c>
      <c r="Q862" t="s">
        <v>29</v>
      </c>
      <c r="R862" t="s">
        <v>29</v>
      </c>
      <c r="S862">
        <v>11.416969636134301</v>
      </c>
      <c r="T862" t="s">
        <v>29</v>
      </c>
      <c r="U862" t="s">
        <v>29</v>
      </c>
      <c r="V862" t="s">
        <v>29</v>
      </c>
      <c r="W862" t="s">
        <v>29</v>
      </c>
      <c r="X862" t="s">
        <v>29</v>
      </c>
      <c r="Y862" t="s">
        <v>29</v>
      </c>
    </row>
    <row r="863" spans="1:25" x14ac:dyDescent="0.2">
      <c r="A863" t="s">
        <v>3183</v>
      </c>
      <c r="B863" t="s">
        <v>3184</v>
      </c>
      <c r="C863" t="s">
        <v>3185</v>
      </c>
      <c r="D863" t="s">
        <v>3186</v>
      </c>
      <c r="E863" t="s">
        <v>3184</v>
      </c>
      <c r="F863" t="s">
        <v>28</v>
      </c>
      <c r="G863" t="s">
        <v>3184</v>
      </c>
      <c r="H863" t="str">
        <f>"hpo-9"</f>
        <v>hpo-9</v>
      </c>
      <c r="I863" t="s">
        <v>3186</v>
      </c>
      <c r="J863" t="s">
        <v>29</v>
      </c>
      <c r="K863">
        <v>11.658395087559899</v>
      </c>
      <c r="L863">
        <v>10.685252078487901</v>
      </c>
      <c r="M863" t="s">
        <v>29</v>
      </c>
      <c r="N863" t="s">
        <v>29</v>
      </c>
      <c r="O863" t="s">
        <v>29</v>
      </c>
      <c r="P863" t="s">
        <v>29</v>
      </c>
      <c r="Q863" t="s">
        <v>29</v>
      </c>
      <c r="R863" t="s">
        <v>29</v>
      </c>
      <c r="S863">
        <v>12.8335662726123</v>
      </c>
      <c r="T863" t="s">
        <v>29</v>
      </c>
      <c r="U863" t="s">
        <v>29</v>
      </c>
      <c r="V863" t="s">
        <v>29</v>
      </c>
      <c r="W863" t="s">
        <v>29</v>
      </c>
      <c r="X863" t="s">
        <v>29</v>
      </c>
      <c r="Y863" t="s">
        <v>29</v>
      </c>
    </row>
    <row r="864" spans="1:25" x14ac:dyDescent="0.2">
      <c r="A864" t="s">
        <v>3187</v>
      </c>
      <c r="B864" t="s">
        <v>3188</v>
      </c>
      <c r="C864" t="s">
        <v>3189</v>
      </c>
      <c r="D864" t="s">
        <v>3190</v>
      </c>
      <c r="E864" t="s">
        <v>3188</v>
      </c>
      <c r="F864" t="s">
        <v>28</v>
      </c>
      <c r="G864" t="s">
        <v>3188</v>
      </c>
      <c r="H864" t="str">
        <f>"C05C8.7"</f>
        <v>C05C8.7</v>
      </c>
      <c r="I864" t="s">
        <v>3190</v>
      </c>
      <c r="J864">
        <v>12.4041123835161</v>
      </c>
      <c r="K864">
        <v>12.782009873755401</v>
      </c>
      <c r="L864">
        <v>12.6895545720184</v>
      </c>
      <c r="M864">
        <v>15.974410348492301</v>
      </c>
      <c r="N864">
        <v>15.572497282847699</v>
      </c>
      <c r="O864">
        <v>15.429357381162299</v>
      </c>
      <c r="P864">
        <v>3.0335293944041202</v>
      </c>
      <c r="Q864">
        <v>2.4225312189644899</v>
      </c>
      <c r="R864">
        <v>3.6445275698437598</v>
      </c>
      <c r="S864">
        <v>14.7702437528052</v>
      </c>
      <c r="T864">
        <v>10.435200725924</v>
      </c>
      <c r="U864">
        <v>11.0331228577178</v>
      </c>
      <c r="V864" s="2">
        <v>4.9036757500803602E-9</v>
      </c>
      <c r="W864" s="2">
        <v>9.3862122886832199E-7</v>
      </c>
      <c r="X864">
        <v>1</v>
      </c>
      <c r="Y864">
        <v>1</v>
      </c>
    </row>
    <row r="865" spans="1:25" x14ac:dyDescent="0.2">
      <c r="A865" t="s">
        <v>3191</v>
      </c>
      <c r="B865" t="s">
        <v>3192</v>
      </c>
      <c r="C865" t="s">
        <v>3193</v>
      </c>
      <c r="D865" t="s">
        <v>3194</v>
      </c>
      <c r="E865" t="s">
        <v>3192</v>
      </c>
      <c r="F865" t="s">
        <v>28</v>
      </c>
      <c r="G865" t="s">
        <v>3192</v>
      </c>
      <c r="H865" t="str">
        <f>"str-140"</f>
        <v>str-140</v>
      </c>
      <c r="I865" t="s">
        <v>3194</v>
      </c>
      <c r="J865">
        <v>13.7506475937035</v>
      </c>
      <c r="K865">
        <v>13.589397308917199</v>
      </c>
      <c r="L865">
        <v>14.000707915358101</v>
      </c>
      <c r="M865">
        <v>13.762488625381399</v>
      </c>
      <c r="N865" t="s">
        <v>29</v>
      </c>
      <c r="O865" t="s">
        <v>29</v>
      </c>
      <c r="P865">
        <v>-1.7762313944926299E-2</v>
      </c>
      <c r="Q865">
        <v>-1.18925411253998</v>
      </c>
      <c r="R865">
        <v>1.15372948465013</v>
      </c>
      <c r="S865">
        <v>13.308032474072</v>
      </c>
      <c r="T865">
        <v>-3.2542595058977601E-2</v>
      </c>
      <c r="U865">
        <v>-6.7086118892592603</v>
      </c>
      <c r="V865">
        <v>0.97450218541080003</v>
      </c>
      <c r="W865">
        <v>0.9860168256613</v>
      </c>
      <c r="X865">
        <v>0</v>
      </c>
      <c r="Y865">
        <v>0</v>
      </c>
    </row>
    <row r="866" spans="1:25" x14ac:dyDescent="0.2">
      <c r="A866" t="s">
        <v>3195</v>
      </c>
      <c r="B866" t="s">
        <v>3196</v>
      </c>
      <c r="C866" t="s">
        <v>3197</v>
      </c>
      <c r="D866" t="s">
        <v>3198</v>
      </c>
      <c r="E866" t="s">
        <v>3196</v>
      </c>
      <c r="F866" t="s">
        <v>28</v>
      </c>
      <c r="G866" t="s">
        <v>3196</v>
      </c>
      <c r="H866" t="str">
        <f>"catp-3"</f>
        <v>catp-3</v>
      </c>
      <c r="I866" t="s">
        <v>3198</v>
      </c>
      <c r="J866">
        <v>12.045424992089799</v>
      </c>
      <c r="K866">
        <v>12.2189427033888</v>
      </c>
      <c r="L866">
        <v>12.216744855545601</v>
      </c>
      <c r="M866">
        <v>12.3561288592184</v>
      </c>
      <c r="N866">
        <v>11.8348915520176</v>
      </c>
      <c r="O866">
        <v>12.285860669853401</v>
      </c>
      <c r="P866">
        <v>-1.4104899782463301E-3</v>
      </c>
      <c r="Q866">
        <v>-0.61684897769006997</v>
      </c>
      <c r="R866">
        <v>0.61402799773357697</v>
      </c>
      <c r="S866">
        <v>12.4359611725924</v>
      </c>
      <c r="T866">
        <v>-4.8611036610384699E-3</v>
      </c>
      <c r="U866">
        <v>-7.0520739761300701</v>
      </c>
      <c r="V866">
        <v>0.996181902968446</v>
      </c>
      <c r="W866">
        <v>0.99771496222201395</v>
      </c>
      <c r="X866">
        <v>0</v>
      </c>
      <c r="Y866">
        <v>0</v>
      </c>
    </row>
    <row r="867" spans="1:25" x14ac:dyDescent="0.2">
      <c r="A867" t="s">
        <v>3199</v>
      </c>
      <c r="B867" t="s">
        <v>3200</v>
      </c>
      <c r="C867" t="s">
        <v>3201</v>
      </c>
      <c r="D867" t="s">
        <v>3202</v>
      </c>
      <c r="E867" t="s">
        <v>3200</v>
      </c>
      <c r="F867" t="s">
        <v>28</v>
      </c>
      <c r="G867" t="s">
        <v>3200</v>
      </c>
      <c r="H867" t="str">
        <f>"rpt-2"</f>
        <v>rpt-2</v>
      </c>
      <c r="I867" t="s">
        <v>3202</v>
      </c>
      <c r="J867">
        <v>16.1517787589218</v>
      </c>
      <c r="K867">
        <v>16.0431835576499</v>
      </c>
      <c r="L867">
        <v>16.071916623698002</v>
      </c>
      <c r="M867">
        <v>15.960066205888401</v>
      </c>
      <c r="N867">
        <v>16.2984148030645</v>
      </c>
      <c r="O867">
        <v>16.142386726122499</v>
      </c>
      <c r="P867">
        <v>4.4662931601880701E-2</v>
      </c>
      <c r="Q867">
        <v>-0.328283053780898</v>
      </c>
      <c r="R867">
        <v>0.41760891698465902</v>
      </c>
      <c r="S867">
        <v>16.027717480292001</v>
      </c>
      <c r="T867">
        <v>0.25170613597064301</v>
      </c>
      <c r="U867">
        <v>-7.0189429410131297</v>
      </c>
      <c r="V867">
        <v>0.80413615871144495</v>
      </c>
      <c r="W867">
        <v>0.91726454182383999</v>
      </c>
      <c r="X867">
        <v>0</v>
      </c>
      <c r="Y867">
        <v>0</v>
      </c>
    </row>
    <row r="868" spans="1:25" x14ac:dyDescent="0.2">
      <c r="A868" t="s">
        <v>3203</v>
      </c>
      <c r="B868" t="s">
        <v>3204</v>
      </c>
      <c r="C868" t="s">
        <v>3205</v>
      </c>
      <c r="D868" t="s">
        <v>3206</v>
      </c>
      <c r="E868" t="s">
        <v>3204</v>
      </c>
      <c r="F868" t="s">
        <v>28</v>
      </c>
      <c r="G868" t="s">
        <v>3204</v>
      </c>
      <c r="H868" t="str">
        <f>"aps-1"</f>
        <v>aps-1</v>
      </c>
      <c r="I868" t="s">
        <v>3206</v>
      </c>
      <c r="J868">
        <v>14.099697824358399</v>
      </c>
      <c r="K868">
        <v>14.123352293485199</v>
      </c>
      <c r="L868">
        <v>14.0750502932756</v>
      </c>
      <c r="M868">
        <v>14.4296365985837</v>
      </c>
      <c r="N868">
        <v>14.4093005278463</v>
      </c>
      <c r="O868">
        <v>13.997205455594001</v>
      </c>
      <c r="P868">
        <v>0.17934739030157101</v>
      </c>
      <c r="Q868">
        <v>-0.215257530074287</v>
      </c>
      <c r="R868">
        <v>0.57395231067742802</v>
      </c>
      <c r="S868">
        <v>13.7706077410836</v>
      </c>
      <c r="T868">
        <v>0.95526766728704504</v>
      </c>
      <c r="U868">
        <v>-6.5857398750390796</v>
      </c>
      <c r="V868">
        <v>0.352169909447417</v>
      </c>
      <c r="W868">
        <v>0.63312756096237199</v>
      </c>
      <c r="X868">
        <v>0</v>
      </c>
      <c r="Y868">
        <v>0</v>
      </c>
    </row>
    <row r="869" spans="1:25" x14ac:dyDescent="0.2">
      <c r="A869" t="s">
        <v>3207</v>
      </c>
      <c r="B869" t="s">
        <v>3208</v>
      </c>
      <c r="C869" t="s">
        <v>3209</v>
      </c>
      <c r="D869" t="s">
        <v>3210</v>
      </c>
      <c r="E869" t="s">
        <v>3208</v>
      </c>
      <c r="F869" t="s">
        <v>28</v>
      </c>
      <c r="G869" t="s">
        <v>3208</v>
      </c>
      <c r="H869" t="str">
        <f>"tag-196"</f>
        <v>tag-196</v>
      </c>
      <c r="I869" t="s">
        <v>3210</v>
      </c>
      <c r="J869">
        <v>13.810556822784999</v>
      </c>
      <c r="K869">
        <v>13.7154906074684</v>
      </c>
      <c r="L869">
        <v>13.4122315709474</v>
      </c>
      <c r="M869">
        <v>13.6540651862875</v>
      </c>
      <c r="N869">
        <v>13.737669623403001</v>
      </c>
      <c r="O869">
        <v>13.658773396062999</v>
      </c>
      <c r="P869">
        <v>3.7409734850877299E-2</v>
      </c>
      <c r="Q869">
        <v>-0.36937328415291198</v>
      </c>
      <c r="R869">
        <v>0.444192753854667</v>
      </c>
      <c r="S869">
        <v>13.1856937029481</v>
      </c>
      <c r="T869">
        <v>0.194120690755376</v>
      </c>
      <c r="U869">
        <v>-7.03229859234877</v>
      </c>
      <c r="V869">
        <v>0.84839628208011397</v>
      </c>
      <c r="W869">
        <v>0.94093204807378505</v>
      </c>
      <c r="X869">
        <v>0</v>
      </c>
      <c r="Y869">
        <v>0</v>
      </c>
    </row>
    <row r="870" spans="1:25" x14ac:dyDescent="0.2">
      <c r="A870" t="s">
        <v>3211</v>
      </c>
      <c r="B870" t="s">
        <v>3212</v>
      </c>
      <c r="C870" t="s">
        <v>3213</v>
      </c>
      <c r="D870" t="s">
        <v>3214</v>
      </c>
      <c r="E870" t="s">
        <v>3212</v>
      </c>
      <c r="F870" t="s">
        <v>28</v>
      </c>
      <c r="G870" t="s">
        <v>3212</v>
      </c>
      <c r="H870" t="str">
        <f>"atg-18"</f>
        <v>atg-18</v>
      </c>
      <c r="I870" t="s">
        <v>3214</v>
      </c>
      <c r="J870">
        <v>13.6565819254351</v>
      </c>
      <c r="K870">
        <v>13.7354899367258</v>
      </c>
      <c r="L870">
        <v>13.1886579069175</v>
      </c>
      <c r="M870">
        <v>13.996403095731001</v>
      </c>
      <c r="N870">
        <v>13.734782197286201</v>
      </c>
      <c r="O870">
        <v>13.8810692428231</v>
      </c>
      <c r="P870">
        <v>0.34384158892061301</v>
      </c>
      <c r="Q870">
        <v>-0.27491689808594999</v>
      </c>
      <c r="R870">
        <v>0.962600075927176</v>
      </c>
      <c r="S870">
        <v>13.002495378233499</v>
      </c>
      <c r="T870">
        <v>1.16796478686195</v>
      </c>
      <c r="U870">
        <v>-6.3633178662585799</v>
      </c>
      <c r="V870">
        <v>0.25814708803068498</v>
      </c>
      <c r="W870">
        <v>0.53484480455771</v>
      </c>
      <c r="X870">
        <v>0</v>
      </c>
      <c r="Y870">
        <v>0</v>
      </c>
    </row>
    <row r="871" spans="1:25" x14ac:dyDescent="0.2">
      <c r="A871" t="s">
        <v>3215</v>
      </c>
      <c r="B871" t="s">
        <v>3216</v>
      </c>
      <c r="C871" t="s">
        <v>3217</v>
      </c>
      <c r="D871" t="s">
        <v>531</v>
      </c>
      <c r="E871" t="s">
        <v>3216</v>
      </c>
      <c r="F871" t="s">
        <v>28</v>
      </c>
      <c r="G871" t="s">
        <v>3216</v>
      </c>
      <c r="H871" t="str">
        <f>"natc-2"</f>
        <v>natc-2</v>
      </c>
      <c r="I871" t="s">
        <v>531</v>
      </c>
      <c r="J871">
        <v>14.655333863121699</v>
      </c>
      <c r="K871">
        <v>14.615515590358401</v>
      </c>
      <c r="L871">
        <v>14.397876908951099</v>
      </c>
      <c r="M871">
        <v>14.979535692812201</v>
      </c>
      <c r="N871">
        <v>14.681976140013701</v>
      </c>
      <c r="O871">
        <v>14.5530065026157</v>
      </c>
      <c r="P871">
        <v>0.18193065767014899</v>
      </c>
      <c r="Q871">
        <v>-0.47115809893392702</v>
      </c>
      <c r="R871">
        <v>0.83501941427422399</v>
      </c>
      <c r="S871">
        <v>14.1351858118223</v>
      </c>
      <c r="T871">
        <v>0.58549905100389199</v>
      </c>
      <c r="U871">
        <v>-6.8741442068402696</v>
      </c>
      <c r="V871">
        <v>0.56552350741707602</v>
      </c>
      <c r="W871">
        <v>0.78823873615756102</v>
      </c>
      <c r="X871">
        <v>0</v>
      </c>
      <c r="Y871">
        <v>0</v>
      </c>
    </row>
    <row r="872" spans="1:25" x14ac:dyDescent="0.2">
      <c r="A872" t="s">
        <v>3218</v>
      </c>
      <c r="B872" t="s">
        <v>3219</v>
      </c>
      <c r="C872" t="s">
        <v>3220</v>
      </c>
      <c r="D872" t="s">
        <v>3221</v>
      </c>
      <c r="E872" t="s">
        <v>3219</v>
      </c>
      <c r="F872" t="s">
        <v>28</v>
      </c>
      <c r="G872" t="s">
        <v>3219</v>
      </c>
      <c r="H872" t="str">
        <f>"urb-1"</f>
        <v>urb-1</v>
      </c>
      <c r="I872" t="s">
        <v>3221</v>
      </c>
      <c r="J872">
        <v>11.6348765401622</v>
      </c>
      <c r="K872">
        <v>11.842324182318499</v>
      </c>
      <c r="L872">
        <v>11.830348212522599</v>
      </c>
      <c r="M872" t="s">
        <v>29</v>
      </c>
      <c r="N872">
        <v>11.788333808492</v>
      </c>
      <c r="O872">
        <v>11.6045398496996</v>
      </c>
      <c r="P872">
        <v>-7.2746149238630806E-2</v>
      </c>
      <c r="Q872">
        <v>-0.77931179308579301</v>
      </c>
      <c r="R872">
        <v>0.63381949460853104</v>
      </c>
      <c r="S872">
        <v>11.7263900478602</v>
      </c>
      <c r="T872">
        <v>-0.21837706392931</v>
      </c>
      <c r="U872">
        <v>-6.9163575532620101</v>
      </c>
      <c r="V872">
        <v>0.82991438310395005</v>
      </c>
      <c r="W872">
        <v>0.931542394832789</v>
      </c>
      <c r="X872">
        <v>0</v>
      </c>
      <c r="Y872">
        <v>0</v>
      </c>
    </row>
    <row r="873" spans="1:25" x14ac:dyDescent="0.2">
      <c r="A873" t="s">
        <v>3222</v>
      </c>
      <c r="B873" t="s">
        <v>3223</v>
      </c>
      <c r="C873" t="s">
        <v>3224</v>
      </c>
      <c r="D873" t="s">
        <v>3225</v>
      </c>
      <c r="E873" t="s">
        <v>3223</v>
      </c>
      <c r="F873" t="s">
        <v>28</v>
      </c>
      <c r="G873" t="s">
        <v>3223</v>
      </c>
      <c r="H873" t="str">
        <f>"erfa-1"</f>
        <v>erfa-1</v>
      </c>
      <c r="I873" t="s">
        <v>3225</v>
      </c>
      <c r="J873">
        <v>15.999157487589899</v>
      </c>
      <c r="K873">
        <v>15.8604005577258</v>
      </c>
      <c r="L873">
        <v>15.806969937713401</v>
      </c>
      <c r="M873">
        <v>15.8060851103922</v>
      </c>
      <c r="N873">
        <v>16.042540126155199</v>
      </c>
      <c r="O873">
        <v>15.714478248424699</v>
      </c>
      <c r="P873">
        <v>-3.4474832685667402E-2</v>
      </c>
      <c r="Q873">
        <v>-0.40773069788883998</v>
      </c>
      <c r="R873">
        <v>0.33878103251750502</v>
      </c>
      <c r="S873">
        <v>15.6253353845846</v>
      </c>
      <c r="T873">
        <v>-0.19412793707446999</v>
      </c>
      <c r="U873">
        <v>-7.0323576768987897</v>
      </c>
      <c r="V873">
        <v>0.848262392053026</v>
      </c>
      <c r="W873">
        <v>0.94093204807378505</v>
      </c>
      <c r="X873">
        <v>0</v>
      </c>
      <c r="Y873">
        <v>0</v>
      </c>
    </row>
    <row r="874" spans="1:25" x14ac:dyDescent="0.2">
      <c r="A874" t="s">
        <v>3226</v>
      </c>
      <c r="B874" t="s">
        <v>3227</v>
      </c>
      <c r="C874" t="s">
        <v>3228</v>
      </c>
      <c r="D874" t="s">
        <v>3229</v>
      </c>
      <c r="E874" t="s">
        <v>3227</v>
      </c>
      <c r="F874" t="s">
        <v>28</v>
      </c>
      <c r="G874" t="s">
        <v>3227</v>
      </c>
      <c r="H874" t="str">
        <f>"hpo-19"</f>
        <v>hpo-19</v>
      </c>
      <c r="I874" t="s">
        <v>3229</v>
      </c>
      <c r="J874">
        <v>14.9871768817325</v>
      </c>
      <c r="K874">
        <v>14.505105752628699</v>
      </c>
      <c r="L874">
        <v>14.4331896468425</v>
      </c>
      <c r="M874">
        <v>14.380288895492299</v>
      </c>
      <c r="N874">
        <v>14.5971417378914</v>
      </c>
      <c r="O874">
        <v>15.0200487299913</v>
      </c>
      <c r="P874">
        <v>2.4002360723741799E-2</v>
      </c>
      <c r="Q874">
        <v>-0.456064742619264</v>
      </c>
      <c r="R874">
        <v>0.50406946406674802</v>
      </c>
      <c r="S874">
        <v>14.219201671620899</v>
      </c>
      <c r="T874">
        <v>0.10508591851334501</v>
      </c>
      <c r="U874">
        <v>-7.0463009785728197</v>
      </c>
      <c r="V874">
        <v>0.91747656138919698</v>
      </c>
      <c r="W874">
        <v>0.97088414008469803</v>
      </c>
      <c r="X874">
        <v>0</v>
      </c>
      <c r="Y874">
        <v>0</v>
      </c>
    </row>
    <row r="875" spans="1:25" x14ac:dyDescent="0.2">
      <c r="A875" t="s">
        <v>3230</v>
      </c>
      <c r="B875" t="s">
        <v>3231</v>
      </c>
      <c r="C875" t="s">
        <v>14341</v>
      </c>
      <c r="D875" t="s">
        <v>3232</v>
      </c>
      <c r="E875" t="s">
        <v>3231</v>
      </c>
      <c r="F875" t="s">
        <v>28</v>
      </c>
      <c r="G875" t="s">
        <v>3231</v>
      </c>
      <c r="H875" t="str">
        <f>"T05H4.3"</f>
        <v>T05H4.3</v>
      </c>
      <c r="I875" t="s">
        <v>3232</v>
      </c>
      <c r="J875">
        <v>13.410784896879001</v>
      </c>
      <c r="K875">
        <v>13.249925038952</v>
      </c>
      <c r="L875">
        <v>13.6266616119667</v>
      </c>
      <c r="M875">
        <v>14.259688194385999</v>
      </c>
      <c r="N875">
        <v>13.504309191154199</v>
      </c>
      <c r="O875">
        <v>13.455197950675799</v>
      </c>
      <c r="P875">
        <v>0.31060792947282301</v>
      </c>
      <c r="Q875">
        <v>-0.363090032511178</v>
      </c>
      <c r="R875">
        <v>0.98430589145682401</v>
      </c>
      <c r="S875">
        <v>12.7966787552173</v>
      </c>
      <c r="T875">
        <v>0.96903579169499698</v>
      </c>
      <c r="U875">
        <v>-6.5725432881510502</v>
      </c>
      <c r="V875">
        <v>0.34544317420106901</v>
      </c>
      <c r="W875">
        <v>0.62587499225030196</v>
      </c>
      <c r="X875">
        <v>0</v>
      </c>
      <c r="Y875">
        <v>0</v>
      </c>
    </row>
    <row r="876" spans="1:25" x14ac:dyDescent="0.2">
      <c r="A876" t="s">
        <v>3233</v>
      </c>
      <c r="B876" t="s">
        <v>3234</v>
      </c>
      <c r="C876" t="s">
        <v>3235</v>
      </c>
      <c r="D876" t="s">
        <v>312</v>
      </c>
      <c r="E876" t="s">
        <v>3234</v>
      </c>
      <c r="F876" t="s">
        <v>28</v>
      </c>
      <c r="G876" t="s">
        <v>3234</v>
      </c>
      <c r="H876" t="str">
        <f>"acl-8"</f>
        <v>acl-8</v>
      </c>
      <c r="I876" t="s">
        <v>312</v>
      </c>
      <c r="J876">
        <v>12.1402638566459</v>
      </c>
      <c r="K876">
        <v>12.3891095651664</v>
      </c>
      <c r="L876">
        <v>12.251247213958999</v>
      </c>
      <c r="M876" t="s">
        <v>29</v>
      </c>
      <c r="N876">
        <v>12.1458694549029</v>
      </c>
      <c r="O876" t="s">
        <v>29</v>
      </c>
      <c r="P876">
        <v>-0.114337423687561</v>
      </c>
      <c r="Q876">
        <v>-1.1376395635254599</v>
      </c>
      <c r="R876">
        <v>0.90896471615033803</v>
      </c>
      <c r="S876">
        <v>12.0248872649113</v>
      </c>
      <c r="T876">
        <v>-0.241586000684477</v>
      </c>
      <c r="U876">
        <v>-6.6782556831658502</v>
      </c>
      <c r="V876">
        <v>0.812900146683188</v>
      </c>
      <c r="W876">
        <v>0.92006159210681504</v>
      </c>
      <c r="X876">
        <v>0</v>
      </c>
      <c r="Y876">
        <v>0</v>
      </c>
    </row>
    <row r="877" spans="1:25" x14ac:dyDescent="0.2">
      <c r="A877" t="s">
        <v>3236</v>
      </c>
      <c r="B877" t="s">
        <v>3237</v>
      </c>
      <c r="C877" t="s">
        <v>3238</v>
      </c>
      <c r="D877" t="s">
        <v>107</v>
      </c>
      <c r="E877" t="s">
        <v>3237</v>
      </c>
      <c r="F877" t="s">
        <v>28</v>
      </c>
      <c r="G877" t="s">
        <v>3237</v>
      </c>
      <c r="H877" t="str">
        <f>"C35A11.4"</f>
        <v>C35A11.4</v>
      </c>
      <c r="I877" t="s">
        <v>107</v>
      </c>
      <c r="J877">
        <v>12.5852481518628</v>
      </c>
      <c r="K877">
        <v>12.097393797220199</v>
      </c>
      <c r="L877">
        <v>12.6931097131211</v>
      </c>
      <c r="M877">
        <v>11.754252081049399</v>
      </c>
      <c r="N877">
        <v>12.0656286552666</v>
      </c>
      <c r="O877">
        <v>11.5406183510999</v>
      </c>
      <c r="P877">
        <v>-0.67175085826269798</v>
      </c>
      <c r="Q877">
        <v>-1.15297896924843</v>
      </c>
      <c r="R877">
        <v>-0.190522747276964</v>
      </c>
      <c r="S877">
        <v>12.228780654771899</v>
      </c>
      <c r="T877">
        <v>-2.9771371841716698</v>
      </c>
      <c r="U877">
        <v>-3.37598402949101</v>
      </c>
      <c r="V877">
        <v>9.4580231297850103E-3</v>
      </c>
      <c r="W877">
        <v>8.4318924011836799E-2</v>
      </c>
      <c r="X877">
        <v>0</v>
      </c>
      <c r="Y877">
        <v>0</v>
      </c>
    </row>
    <row r="878" spans="1:25" x14ac:dyDescent="0.2">
      <c r="A878" t="s">
        <v>3239</v>
      </c>
      <c r="B878" t="s">
        <v>3240</v>
      </c>
      <c r="C878" t="s">
        <v>3241</v>
      </c>
      <c r="D878" t="s">
        <v>3242</v>
      </c>
      <c r="E878" t="s">
        <v>3240</v>
      </c>
      <c r="F878" t="s">
        <v>28</v>
      </c>
      <c r="G878" t="s">
        <v>3240</v>
      </c>
      <c r="H878" t="str">
        <f>"mtq-2"</f>
        <v>mtq-2</v>
      </c>
      <c r="I878" t="s">
        <v>3242</v>
      </c>
      <c r="J878" t="s">
        <v>29</v>
      </c>
      <c r="K878">
        <v>10.3471823748256</v>
      </c>
      <c r="L878" t="s">
        <v>29</v>
      </c>
      <c r="M878" t="s">
        <v>29</v>
      </c>
      <c r="N878">
        <v>9.7962921013955899</v>
      </c>
      <c r="O878" t="s">
        <v>29</v>
      </c>
      <c r="P878">
        <v>-0.55089027343002805</v>
      </c>
      <c r="Q878">
        <v>-1.89140628810915</v>
      </c>
      <c r="R878">
        <v>0.78962574124909501</v>
      </c>
      <c r="S878">
        <v>10.874038997740101</v>
      </c>
      <c r="T878">
        <v>-0.91698026332985005</v>
      </c>
      <c r="U878">
        <v>-6.0758177961193196</v>
      </c>
      <c r="V878">
        <v>0.38095928111372102</v>
      </c>
      <c r="W878">
        <v>0.65643639674335597</v>
      </c>
      <c r="X878">
        <v>0</v>
      </c>
      <c r="Y878">
        <v>0</v>
      </c>
    </row>
    <row r="879" spans="1:25" x14ac:dyDescent="0.2">
      <c r="A879" t="s">
        <v>3243</v>
      </c>
      <c r="B879" t="s">
        <v>3244</v>
      </c>
      <c r="C879" t="s">
        <v>3245</v>
      </c>
      <c r="D879" t="s">
        <v>3246</v>
      </c>
      <c r="E879" t="s">
        <v>3244</v>
      </c>
      <c r="F879" t="s">
        <v>28</v>
      </c>
      <c r="G879" t="s">
        <v>3244</v>
      </c>
      <c r="H879" t="str">
        <f>"dhs-13"</f>
        <v>dhs-13</v>
      </c>
      <c r="I879" t="s">
        <v>3246</v>
      </c>
      <c r="J879">
        <v>12.666048926147401</v>
      </c>
      <c r="K879">
        <v>13.172111693152701</v>
      </c>
      <c r="L879">
        <v>12.960297347778701</v>
      </c>
      <c r="M879" t="s">
        <v>29</v>
      </c>
      <c r="N879">
        <v>13.660617732795901</v>
      </c>
      <c r="O879" t="s">
        <v>29</v>
      </c>
      <c r="P879">
        <v>0.72779841043631399</v>
      </c>
      <c r="Q879">
        <v>-0.82600075136497697</v>
      </c>
      <c r="R879">
        <v>2.2815975722376001</v>
      </c>
      <c r="S879">
        <v>13.372734560846</v>
      </c>
      <c r="T879">
        <v>1.0053287735457299</v>
      </c>
      <c r="U879">
        <v>-6.1941488631908399</v>
      </c>
      <c r="V879">
        <v>0.33192559501243102</v>
      </c>
      <c r="W879">
        <v>0.61122402832197698</v>
      </c>
      <c r="X879">
        <v>0</v>
      </c>
      <c r="Y879">
        <v>0</v>
      </c>
    </row>
    <row r="880" spans="1:25" x14ac:dyDescent="0.2">
      <c r="A880" t="s">
        <v>3247</v>
      </c>
      <c r="B880" t="s">
        <v>3248</v>
      </c>
      <c r="C880" t="s">
        <v>3249</v>
      </c>
      <c r="D880" t="s">
        <v>3250</v>
      </c>
      <c r="E880" t="s">
        <v>3248</v>
      </c>
      <c r="F880" t="s">
        <v>28</v>
      </c>
      <c r="G880" t="s">
        <v>3248</v>
      </c>
      <c r="H880" t="str">
        <f>"apd-3"</f>
        <v>apd-3</v>
      </c>
      <c r="I880" t="s">
        <v>3250</v>
      </c>
      <c r="J880">
        <v>14.804446953769499</v>
      </c>
      <c r="K880">
        <v>14.781307622892299</v>
      </c>
      <c r="L880">
        <v>14.566734486242799</v>
      </c>
      <c r="M880">
        <v>14.897630973052699</v>
      </c>
      <c r="N880">
        <v>14.8455650687128</v>
      </c>
      <c r="O880">
        <v>14.623289390223</v>
      </c>
      <c r="P880">
        <v>7.1332123027952193E-2</v>
      </c>
      <c r="Q880">
        <v>-0.24801701501937401</v>
      </c>
      <c r="R880">
        <v>0.39068126107527801</v>
      </c>
      <c r="S880">
        <v>14.326259455278301</v>
      </c>
      <c r="T880">
        <v>0.47148666569865999</v>
      </c>
      <c r="U880">
        <v>-6.9359900643368197</v>
      </c>
      <c r="V880">
        <v>0.643324473598618</v>
      </c>
      <c r="W880">
        <v>0.83701632830463901</v>
      </c>
      <c r="X880">
        <v>0</v>
      </c>
      <c r="Y880">
        <v>0</v>
      </c>
    </row>
    <row r="881" spans="1:25" x14ac:dyDescent="0.2">
      <c r="A881" t="s">
        <v>3251</v>
      </c>
      <c r="B881" t="s">
        <v>3252</v>
      </c>
      <c r="C881" t="s">
        <v>3253</v>
      </c>
      <c r="D881" t="s">
        <v>3254</v>
      </c>
      <c r="E881" t="s">
        <v>3252</v>
      </c>
      <c r="F881" t="s">
        <v>28</v>
      </c>
      <c r="G881" t="s">
        <v>3252</v>
      </c>
      <c r="H881" t="str">
        <f>"nstp-4"</f>
        <v>nstp-4</v>
      </c>
      <c r="I881" t="s">
        <v>3254</v>
      </c>
      <c r="J881">
        <v>16.305165545984199</v>
      </c>
      <c r="K881">
        <v>16.385502400099099</v>
      </c>
      <c r="L881">
        <v>16.471443702461102</v>
      </c>
      <c r="M881">
        <v>15.8405822663586</v>
      </c>
      <c r="N881">
        <v>15.585680764345801</v>
      </c>
      <c r="O881">
        <v>15.813137856248201</v>
      </c>
      <c r="P881">
        <v>-0.64090358719729301</v>
      </c>
      <c r="Q881">
        <v>-1.2539014046797801</v>
      </c>
      <c r="R881">
        <v>-2.7905769714809799E-2</v>
      </c>
      <c r="S881">
        <v>16.312265545065699</v>
      </c>
      <c r="T881">
        <v>-2.1974868620472998</v>
      </c>
      <c r="U881">
        <v>-4.8137999823664304</v>
      </c>
      <c r="V881">
        <v>4.1396286536010199E-2</v>
      </c>
      <c r="W881">
        <v>0.201651970640984</v>
      </c>
      <c r="X881">
        <v>0</v>
      </c>
      <c r="Y881">
        <v>0</v>
      </c>
    </row>
    <row r="882" spans="1:25" x14ac:dyDescent="0.2">
      <c r="A882" t="s">
        <v>3255</v>
      </c>
      <c r="B882" t="s">
        <v>3256</v>
      </c>
      <c r="C882" t="s">
        <v>3257</v>
      </c>
      <c r="D882" t="s">
        <v>3258</v>
      </c>
      <c r="E882" t="s">
        <v>3256</v>
      </c>
      <c r="F882" t="s">
        <v>28</v>
      </c>
      <c r="G882" t="s">
        <v>3256</v>
      </c>
      <c r="H882" t="str">
        <f>"K07E8.7"</f>
        <v>K07E8.7</v>
      </c>
      <c r="I882" t="s">
        <v>3258</v>
      </c>
      <c r="J882" t="s">
        <v>29</v>
      </c>
      <c r="K882" t="s">
        <v>29</v>
      </c>
      <c r="L882" t="s">
        <v>29</v>
      </c>
      <c r="M882" t="s">
        <v>29</v>
      </c>
      <c r="N882" t="s">
        <v>29</v>
      </c>
      <c r="O882" t="s">
        <v>29</v>
      </c>
      <c r="P882" t="s">
        <v>29</v>
      </c>
      <c r="Q882" t="s">
        <v>29</v>
      </c>
      <c r="R882" t="s">
        <v>29</v>
      </c>
      <c r="S882">
        <v>12.423583807310999</v>
      </c>
      <c r="T882" t="s">
        <v>29</v>
      </c>
      <c r="U882" t="s">
        <v>29</v>
      </c>
      <c r="V882" t="s">
        <v>29</v>
      </c>
      <c r="W882" t="s">
        <v>29</v>
      </c>
      <c r="X882" t="s">
        <v>29</v>
      </c>
      <c r="Y882" t="s">
        <v>29</v>
      </c>
    </row>
    <row r="883" spans="1:25" x14ac:dyDescent="0.2">
      <c r="A883" t="s">
        <v>3259</v>
      </c>
      <c r="B883" t="s">
        <v>3260</v>
      </c>
      <c r="C883" t="s">
        <v>3261</v>
      </c>
      <c r="D883" t="s">
        <v>1702</v>
      </c>
      <c r="E883" t="s">
        <v>3260</v>
      </c>
      <c r="F883" t="s">
        <v>28</v>
      </c>
      <c r="G883" t="s">
        <v>3260</v>
      </c>
      <c r="H883" t="str">
        <f>"alg-2"</f>
        <v>alg-2</v>
      </c>
      <c r="I883" t="s">
        <v>1702</v>
      </c>
      <c r="J883">
        <v>15.9593574015827</v>
      </c>
      <c r="K883">
        <v>16.3572868065488</v>
      </c>
      <c r="L883">
        <v>16.326762690959001</v>
      </c>
      <c r="M883">
        <v>15.8802993688364</v>
      </c>
      <c r="N883">
        <v>15.7489648892226</v>
      </c>
      <c r="O883">
        <v>16.308430573224602</v>
      </c>
      <c r="P883">
        <v>-0.235237355935624</v>
      </c>
      <c r="Q883">
        <v>-0.72250591854838697</v>
      </c>
      <c r="R883">
        <v>0.25203120667713902</v>
      </c>
      <c r="S883">
        <v>16.507291802606801</v>
      </c>
      <c r="T883">
        <v>-1.0146830596291501</v>
      </c>
      <c r="U883">
        <v>-6.5275808137418201</v>
      </c>
      <c r="V883">
        <v>0.32378049752267801</v>
      </c>
      <c r="W883">
        <v>0.60308056035420399</v>
      </c>
      <c r="X883">
        <v>0</v>
      </c>
      <c r="Y883">
        <v>0</v>
      </c>
    </row>
    <row r="884" spans="1:25" x14ac:dyDescent="0.2">
      <c r="A884" t="s">
        <v>3262</v>
      </c>
      <c r="B884" t="s">
        <v>3263</v>
      </c>
      <c r="C884" t="s">
        <v>14342</v>
      </c>
      <c r="D884" t="s">
        <v>3264</v>
      </c>
      <c r="E884" t="s">
        <v>3263</v>
      </c>
      <c r="F884" t="s">
        <v>28</v>
      </c>
      <c r="G884" t="s">
        <v>3263</v>
      </c>
      <c r="H884" t="str">
        <f>"T07D3.9"</f>
        <v>T07D3.9</v>
      </c>
      <c r="I884" t="s">
        <v>3264</v>
      </c>
      <c r="J884">
        <v>15.7374834040036</v>
      </c>
      <c r="K884">
        <v>15.5792232721403</v>
      </c>
      <c r="L884">
        <v>15.645189565291499</v>
      </c>
      <c r="M884">
        <v>15.4775936826831</v>
      </c>
      <c r="N884">
        <v>15.6081298662628</v>
      </c>
      <c r="O884">
        <v>15.1892148648547</v>
      </c>
      <c r="P884">
        <v>-0.228985942544917</v>
      </c>
      <c r="Q884">
        <v>-0.75261714208200103</v>
      </c>
      <c r="R884">
        <v>0.29464525699216798</v>
      </c>
      <c r="S884">
        <v>15.224058973511299</v>
      </c>
      <c r="T884">
        <v>-0.91912762586401597</v>
      </c>
      <c r="U884">
        <v>-6.6195666436454204</v>
      </c>
      <c r="V884">
        <v>0.370252607771758</v>
      </c>
      <c r="W884">
        <v>0.64600642664305596</v>
      </c>
      <c r="X884">
        <v>0</v>
      </c>
      <c r="Y884">
        <v>0</v>
      </c>
    </row>
    <row r="885" spans="1:25" x14ac:dyDescent="0.2">
      <c r="A885" t="s">
        <v>3265</v>
      </c>
      <c r="B885" t="s">
        <v>3266</v>
      </c>
      <c r="C885" t="s">
        <v>3267</v>
      </c>
      <c r="D885" t="s">
        <v>3268</v>
      </c>
      <c r="E885" t="s">
        <v>3266</v>
      </c>
      <c r="F885" t="s">
        <v>28</v>
      </c>
      <c r="G885" t="s">
        <v>3266</v>
      </c>
      <c r="H885" t="str">
        <f>"pat-6"</f>
        <v>pat-6</v>
      </c>
      <c r="I885" t="s">
        <v>3268</v>
      </c>
      <c r="J885" t="s">
        <v>29</v>
      </c>
      <c r="K885" t="s">
        <v>29</v>
      </c>
      <c r="L885">
        <v>13.1723134147524</v>
      </c>
      <c r="M885" t="s">
        <v>29</v>
      </c>
      <c r="N885">
        <v>13.471100278744601</v>
      </c>
      <c r="O885">
        <v>13.326719395002399</v>
      </c>
      <c r="P885">
        <v>0.22659642212106901</v>
      </c>
      <c r="Q885">
        <v>-0.69373497011137797</v>
      </c>
      <c r="R885">
        <v>1.14692781435352</v>
      </c>
      <c r="S885">
        <v>12.849343026135401</v>
      </c>
      <c r="T885">
        <v>0.53234852700164104</v>
      </c>
      <c r="U885">
        <v>-6.5026571708722303</v>
      </c>
      <c r="V885">
        <v>0.60353689243872899</v>
      </c>
      <c r="W885">
        <v>0.80985940123530897</v>
      </c>
      <c r="X885">
        <v>0</v>
      </c>
      <c r="Y885">
        <v>0</v>
      </c>
    </row>
    <row r="886" spans="1:25" x14ac:dyDescent="0.2">
      <c r="A886" t="s">
        <v>3269</v>
      </c>
      <c r="B886" t="s">
        <v>3270</v>
      </c>
      <c r="C886" t="s">
        <v>3271</v>
      </c>
      <c r="D886" t="s">
        <v>915</v>
      </c>
      <c r="E886" t="s">
        <v>3270</v>
      </c>
      <c r="F886" t="s">
        <v>28</v>
      </c>
      <c r="G886" t="s">
        <v>3270</v>
      </c>
      <c r="H886" t="str">
        <f>"pqbp-1.1"</f>
        <v>pqbp-1.1</v>
      </c>
      <c r="I886" t="s">
        <v>915</v>
      </c>
      <c r="J886">
        <v>10.701830984787099</v>
      </c>
      <c r="K886">
        <v>10.466735318173299</v>
      </c>
      <c r="L886">
        <v>11.182171280730101</v>
      </c>
      <c r="M886" t="s">
        <v>29</v>
      </c>
      <c r="N886" t="s">
        <v>29</v>
      </c>
      <c r="O886">
        <v>9.9779025706301994</v>
      </c>
      <c r="P886">
        <v>-0.805676623933273</v>
      </c>
      <c r="Q886">
        <v>-1.45522291836476</v>
      </c>
      <c r="R886">
        <v>-0.15613032950179101</v>
      </c>
      <c r="S886">
        <v>11.9576414999426</v>
      </c>
      <c r="T886">
        <v>-2.6818710858105899</v>
      </c>
      <c r="U886">
        <v>-3.6859276302500299</v>
      </c>
      <c r="V886">
        <v>1.89433628519689E-2</v>
      </c>
      <c r="W886">
        <v>0.13407532921788501</v>
      </c>
      <c r="X886">
        <v>0</v>
      </c>
      <c r="Y886">
        <v>0</v>
      </c>
    </row>
    <row r="887" spans="1:25" x14ac:dyDescent="0.2">
      <c r="A887" t="s">
        <v>3272</v>
      </c>
      <c r="B887" t="s">
        <v>3273</v>
      </c>
      <c r="C887" t="s">
        <v>3274</v>
      </c>
      <c r="D887" t="s">
        <v>3275</v>
      </c>
      <c r="E887" t="s">
        <v>3273</v>
      </c>
      <c r="F887" t="s">
        <v>28</v>
      </c>
      <c r="G887" t="s">
        <v>3273</v>
      </c>
      <c r="H887" t="str">
        <f>"daf-16"</f>
        <v>daf-16</v>
      </c>
      <c r="I887" t="s">
        <v>3275</v>
      </c>
      <c r="J887" t="s">
        <v>29</v>
      </c>
      <c r="K887" t="s">
        <v>29</v>
      </c>
      <c r="L887">
        <v>12.3587376103845</v>
      </c>
      <c r="M887" t="s">
        <v>29</v>
      </c>
      <c r="N887">
        <v>13.170623226185899</v>
      </c>
      <c r="O887" t="s">
        <v>29</v>
      </c>
      <c r="P887">
        <v>0.81188561580139096</v>
      </c>
      <c r="Q887">
        <v>-1.1673754612642999</v>
      </c>
      <c r="R887">
        <v>2.7911466928670801</v>
      </c>
      <c r="S887">
        <v>14.131925508877099</v>
      </c>
      <c r="T887">
        <v>0.90389806399939598</v>
      </c>
      <c r="U887">
        <v>-6.0896666225294398</v>
      </c>
      <c r="V887">
        <v>0.38559973673394199</v>
      </c>
      <c r="W887">
        <v>0.66073804282898796</v>
      </c>
      <c r="X887">
        <v>0</v>
      </c>
      <c r="Y887">
        <v>0</v>
      </c>
    </row>
    <row r="888" spans="1:25" x14ac:dyDescent="0.2">
      <c r="A888" t="s">
        <v>3276</v>
      </c>
      <c r="B888" t="s">
        <v>3277</v>
      </c>
      <c r="C888" t="s">
        <v>14343</v>
      </c>
      <c r="D888" t="s">
        <v>3278</v>
      </c>
      <c r="E888" t="s">
        <v>3277</v>
      </c>
      <c r="F888" t="s">
        <v>28</v>
      </c>
      <c r="G888" t="s">
        <v>3277</v>
      </c>
      <c r="H888" t="str">
        <f>"F10D2.10"</f>
        <v>F10D2.10</v>
      </c>
      <c r="I888" t="s">
        <v>3278</v>
      </c>
      <c r="J888">
        <v>12.396125451677699</v>
      </c>
      <c r="K888">
        <v>13.060572892747601</v>
      </c>
      <c r="L888">
        <v>12.917421468555499</v>
      </c>
      <c r="M888">
        <v>11.5855140375453</v>
      </c>
      <c r="N888">
        <v>12.985113463964501</v>
      </c>
      <c r="O888">
        <v>12.9215036275772</v>
      </c>
      <c r="P888">
        <v>-0.29399622796457198</v>
      </c>
      <c r="Q888">
        <v>-1.04192713623084</v>
      </c>
      <c r="R888">
        <v>0.45393468030169898</v>
      </c>
      <c r="S888">
        <v>13.3054709814954</v>
      </c>
      <c r="T888">
        <v>-0.829717577494957</v>
      </c>
      <c r="U888">
        <v>-6.6974062922054403</v>
      </c>
      <c r="V888">
        <v>0.41826828419029199</v>
      </c>
      <c r="W888">
        <v>0.69154720631705402</v>
      </c>
      <c r="X888">
        <v>0</v>
      </c>
      <c r="Y888">
        <v>0</v>
      </c>
    </row>
    <row r="889" spans="1:25" x14ac:dyDescent="0.2">
      <c r="A889" t="s">
        <v>3279</v>
      </c>
      <c r="B889" t="s">
        <v>3280</v>
      </c>
      <c r="C889" t="s">
        <v>3281</v>
      </c>
      <c r="D889" t="s">
        <v>3282</v>
      </c>
      <c r="E889" t="s">
        <v>3280</v>
      </c>
      <c r="F889" t="s">
        <v>28</v>
      </c>
      <c r="G889" t="s">
        <v>3280</v>
      </c>
      <c r="H889" t="str">
        <f>"asns-1"</f>
        <v>asns-1</v>
      </c>
      <c r="I889" t="s">
        <v>3282</v>
      </c>
      <c r="J889" t="s">
        <v>29</v>
      </c>
      <c r="K889" t="s">
        <v>29</v>
      </c>
      <c r="L889" t="s">
        <v>29</v>
      </c>
      <c r="M889" t="s">
        <v>29</v>
      </c>
      <c r="N889" t="s">
        <v>29</v>
      </c>
      <c r="O889" t="s">
        <v>29</v>
      </c>
      <c r="P889" t="s">
        <v>29</v>
      </c>
      <c r="Q889" t="s">
        <v>29</v>
      </c>
      <c r="R889" t="s">
        <v>29</v>
      </c>
      <c r="S889">
        <v>11.5845288361649</v>
      </c>
      <c r="T889" t="s">
        <v>29</v>
      </c>
      <c r="U889" t="s">
        <v>29</v>
      </c>
      <c r="V889" t="s">
        <v>29</v>
      </c>
      <c r="W889" t="s">
        <v>29</v>
      </c>
      <c r="X889" t="s">
        <v>29</v>
      </c>
      <c r="Y889" t="s">
        <v>29</v>
      </c>
    </row>
    <row r="890" spans="1:25" x14ac:dyDescent="0.2">
      <c r="A890" t="s">
        <v>3283</v>
      </c>
      <c r="B890" t="s">
        <v>3284</v>
      </c>
      <c r="C890" t="s">
        <v>3285</v>
      </c>
      <c r="D890" t="s">
        <v>3286</v>
      </c>
      <c r="E890" t="s">
        <v>3284</v>
      </c>
      <c r="F890" t="s">
        <v>28</v>
      </c>
      <c r="G890" t="s">
        <v>3284</v>
      </c>
      <c r="H890" t="str">
        <f>"F25G6.8"</f>
        <v>F25G6.8</v>
      </c>
      <c r="I890" t="s">
        <v>3286</v>
      </c>
      <c r="J890">
        <v>14.891172579747399</v>
      </c>
      <c r="K890">
        <v>14.974454442905101</v>
      </c>
      <c r="L890">
        <v>14.7282934597718</v>
      </c>
      <c r="M890">
        <v>15.014483077917699</v>
      </c>
      <c r="N890">
        <v>14.347918960693899</v>
      </c>
      <c r="O890">
        <v>14.2103981297827</v>
      </c>
      <c r="P890">
        <v>-0.34037343800996001</v>
      </c>
      <c r="Q890">
        <v>-0.93184606670889203</v>
      </c>
      <c r="R890">
        <v>0.25109919068897102</v>
      </c>
      <c r="S890">
        <v>14.2297170332667</v>
      </c>
      <c r="T890">
        <v>-1.2095213053143601</v>
      </c>
      <c r="U890">
        <v>-6.3153585840947404</v>
      </c>
      <c r="V890">
        <v>0.242199769937504</v>
      </c>
      <c r="W890">
        <v>0.515458974491392</v>
      </c>
      <c r="X890">
        <v>0</v>
      </c>
      <c r="Y890">
        <v>0</v>
      </c>
    </row>
    <row r="891" spans="1:25" x14ac:dyDescent="0.2">
      <c r="A891" t="s">
        <v>3287</v>
      </c>
      <c r="B891" t="s">
        <v>3288</v>
      </c>
      <c r="C891" t="s">
        <v>14344</v>
      </c>
      <c r="D891" t="s">
        <v>3286</v>
      </c>
      <c r="E891" t="s">
        <v>3288</v>
      </c>
      <c r="F891" t="s">
        <v>28</v>
      </c>
      <c r="G891" t="s">
        <v>3288</v>
      </c>
      <c r="H891" t="str">
        <f>"F25G6.9"</f>
        <v>F25G6.9</v>
      </c>
      <c r="I891" t="s">
        <v>3286</v>
      </c>
      <c r="J891">
        <v>14.4631984946241</v>
      </c>
      <c r="K891">
        <v>14.3796091407422</v>
      </c>
      <c r="L891">
        <v>14.3635171366757</v>
      </c>
      <c r="M891">
        <v>14.2276673314565</v>
      </c>
      <c r="N891">
        <v>14.8860794895543</v>
      </c>
      <c r="O891">
        <v>14.1461143488901</v>
      </c>
      <c r="P891">
        <v>1.7845465952969899E-2</v>
      </c>
      <c r="Q891">
        <v>-0.35757202559310602</v>
      </c>
      <c r="R891">
        <v>0.393262957499045</v>
      </c>
      <c r="S891">
        <v>14.333903966064801</v>
      </c>
      <c r="T891">
        <v>9.9909296672353903E-2</v>
      </c>
      <c r="U891">
        <v>-7.0468567770123602</v>
      </c>
      <c r="V891">
        <v>0.92152710985235098</v>
      </c>
      <c r="W891">
        <v>0.97210472750093202</v>
      </c>
      <c r="X891">
        <v>0</v>
      </c>
      <c r="Y891">
        <v>0</v>
      </c>
    </row>
    <row r="892" spans="1:25" x14ac:dyDescent="0.2">
      <c r="A892" t="s">
        <v>3289</v>
      </c>
      <c r="B892" t="s">
        <v>3290</v>
      </c>
      <c r="C892" t="s">
        <v>3291</v>
      </c>
      <c r="D892" t="s">
        <v>3292</v>
      </c>
      <c r="E892" t="s">
        <v>3290</v>
      </c>
      <c r="F892" t="s">
        <v>28</v>
      </c>
      <c r="G892" t="s">
        <v>3290</v>
      </c>
      <c r="H892" t="str">
        <f>"symk-1"</f>
        <v>symk-1</v>
      </c>
      <c r="I892" t="s">
        <v>3292</v>
      </c>
      <c r="J892">
        <v>12.5188134912261</v>
      </c>
      <c r="K892">
        <v>11.5361289286289</v>
      </c>
      <c r="L892">
        <v>12.218278634214499</v>
      </c>
      <c r="M892">
        <v>11.3865300134112</v>
      </c>
      <c r="N892">
        <v>12.482179778959001</v>
      </c>
      <c r="O892">
        <v>12.481506070298799</v>
      </c>
      <c r="P892">
        <v>2.5664936199870401E-2</v>
      </c>
      <c r="Q892">
        <v>-0.56945358101133403</v>
      </c>
      <c r="R892">
        <v>0.62078345341107499</v>
      </c>
      <c r="S892">
        <v>12.4201992362268</v>
      </c>
      <c r="T892">
        <v>9.1030460248394104E-2</v>
      </c>
      <c r="U892">
        <v>-7.04773123741818</v>
      </c>
      <c r="V892">
        <v>0.92853895725103497</v>
      </c>
      <c r="W892">
        <v>0.97388235134585399</v>
      </c>
      <c r="X892">
        <v>0</v>
      </c>
      <c r="Y892">
        <v>0</v>
      </c>
    </row>
    <row r="893" spans="1:25" x14ac:dyDescent="0.2">
      <c r="A893" t="s">
        <v>3293</v>
      </c>
      <c r="B893" t="s">
        <v>3294</v>
      </c>
      <c r="C893" t="s">
        <v>3295</v>
      </c>
      <c r="D893" t="s">
        <v>3296</v>
      </c>
      <c r="E893" t="s">
        <v>3294</v>
      </c>
      <c r="F893" t="s">
        <v>28</v>
      </c>
      <c r="G893" t="s">
        <v>3294</v>
      </c>
      <c r="H893" t="str">
        <f>"sftb-2"</f>
        <v>sftb-2</v>
      </c>
      <c r="I893" t="s">
        <v>3296</v>
      </c>
      <c r="J893">
        <v>11.895747293608</v>
      </c>
      <c r="K893" t="s">
        <v>29</v>
      </c>
      <c r="L893">
        <v>12.4324382001455</v>
      </c>
      <c r="M893" t="s">
        <v>29</v>
      </c>
      <c r="N893">
        <v>11.099811558082299</v>
      </c>
      <c r="O893" t="s">
        <v>29</v>
      </c>
      <c r="P893">
        <v>-1.0642811887943899</v>
      </c>
      <c r="Q893">
        <v>-2.1689912031516498</v>
      </c>
      <c r="R893">
        <v>4.0428825562873499E-2</v>
      </c>
      <c r="S893">
        <v>12.5587850483686</v>
      </c>
      <c r="T893">
        <v>-2.0677593242102201</v>
      </c>
      <c r="U893">
        <v>-4.6906201183345804</v>
      </c>
      <c r="V893">
        <v>5.7812222046372999E-2</v>
      </c>
      <c r="W893">
        <v>0.243680013651422</v>
      </c>
      <c r="X893">
        <v>0</v>
      </c>
      <c r="Y893">
        <v>0</v>
      </c>
    </row>
    <row r="894" spans="1:25" x14ac:dyDescent="0.2">
      <c r="A894" t="s">
        <v>3297</v>
      </c>
      <c r="B894" t="s">
        <v>3298</v>
      </c>
      <c r="C894" t="s">
        <v>3299</v>
      </c>
      <c r="D894" t="s">
        <v>3300</v>
      </c>
      <c r="E894" t="s">
        <v>3298</v>
      </c>
      <c r="F894" t="s">
        <v>28</v>
      </c>
      <c r="G894" t="s">
        <v>3298</v>
      </c>
      <c r="H894" t="str">
        <f>"natc-1"</f>
        <v>natc-1</v>
      </c>
      <c r="I894" t="s">
        <v>3300</v>
      </c>
      <c r="J894">
        <v>12.171743768465101</v>
      </c>
      <c r="K894">
        <v>11.878978978488099</v>
      </c>
      <c r="L894">
        <v>12.415713199401001</v>
      </c>
      <c r="M894">
        <v>15.387251564201399</v>
      </c>
      <c r="N894">
        <v>15.8960562676707</v>
      </c>
      <c r="O894">
        <v>15.7116449513513</v>
      </c>
      <c r="P894">
        <v>3.5095056122898001</v>
      </c>
      <c r="Q894">
        <v>2.6334176154708202</v>
      </c>
      <c r="R894">
        <v>4.3855936091087901</v>
      </c>
      <c r="S894">
        <v>14.216612206504299</v>
      </c>
      <c r="T894">
        <v>8.4195857470036799</v>
      </c>
      <c r="U894">
        <v>7.8089900620533603</v>
      </c>
      <c r="V894" s="2">
        <v>1.22768501588295E-7</v>
      </c>
      <c r="W894" s="2">
        <v>1.184238774241E-5</v>
      </c>
      <c r="X894">
        <v>1</v>
      </c>
      <c r="Y894">
        <v>1</v>
      </c>
    </row>
    <row r="895" spans="1:25" x14ac:dyDescent="0.2">
      <c r="A895" t="s">
        <v>3301</v>
      </c>
      <c r="B895" t="s">
        <v>3302</v>
      </c>
      <c r="C895" t="s">
        <v>3303</v>
      </c>
      <c r="D895" t="s">
        <v>3304</v>
      </c>
      <c r="E895" t="s">
        <v>3302</v>
      </c>
      <c r="F895" t="s">
        <v>28</v>
      </c>
      <c r="G895" t="s">
        <v>3302</v>
      </c>
      <c r="H895" t="str">
        <f>"mrps-2"</f>
        <v>mrps-2</v>
      </c>
      <c r="I895" t="s">
        <v>3304</v>
      </c>
      <c r="J895">
        <v>13.9133608155838</v>
      </c>
      <c r="K895">
        <v>13.919798278212699</v>
      </c>
      <c r="L895">
        <v>13.7416953066947</v>
      </c>
      <c r="M895">
        <v>13.7421129828316</v>
      </c>
      <c r="N895">
        <v>13.5988779644918</v>
      </c>
      <c r="O895">
        <v>13.1978366509853</v>
      </c>
      <c r="P895">
        <v>-0.345342267394118</v>
      </c>
      <c r="Q895">
        <v>-1.19449217358062</v>
      </c>
      <c r="R895">
        <v>0.503807638792382</v>
      </c>
      <c r="S895">
        <v>13.260181271195901</v>
      </c>
      <c r="T895">
        <v>-0.85845074782933195</v>
      </c>
      <c r="U895">
        <v>-6.67294589734112</v>
      </c>
      <c r="V895">
        <v>0.40265877633751801</v>
      </c>
      <c r="W895">
        <v>0.67608444695680303</v>
      </c>
      <c r="X895">
        <v>0</v>
      </c>
      <c r="Y895">
        <v>0</v>
      </c>
    </row>
    <row r="896" spans="1:25" x14ac:dyDescent="0.2">
      <c r="A896" t="s">
        <v>3305</v>
      </c>
      <c r="B896" t="s">
        <v>3306</v>
      </c>
      <c r="C896" t="s">
        <v>3307</v>
      </c>
      <c r="D896" t="s">
        <v>3308</v>
      </c>
      <c r="E896" t="s">
        <v>3306</v>
      </c>
      <c r="F896" t="s">
        <v>28</v>
      </c>
      <c r="G896" t="s">
        <v>3306</v>
      </c>
      <c r="H896" t="str">
        <f>"mrpl-4"</f>
        <v>mrpl-4</v>
      </c>
      <c r="I896" t="s">
        <v>3308</v>
      </c>
      <c r="J896">
        <v>13.884212091958799</v>
      </c>
      <c r="K896">
        <v>14.369450416202699</v>
      </c>
      <c r="L896">
        <v>14.158112841317701</v>
      </c>
      <c r="M896">
        <v>13.4472045022739</v>
      </c>
      <c r="N896">
        <v>13.6210763821651</v>
      </c>
      <c r="O896">
        <v>13.717221414089501</v>
      </c>
      <c r="P896">
        <v>-0.54209101698359996</v>
      </c>
      <c r="Q896">
        <v>-1.4727782388250801</v>
      </c>
      <c r="R896">
        <v>0.38859620485788599</v>
      </c>
      <c r="S896">
        <v>14.0218213588383</v>
      </c>
      <c r="T896">
        <v>-1.22947151884836</v>
      </c>
      <c r="U896">
        <v>-6.2912378428399398</v>
      </c>
      <c r="V896">
        <v>0.23574299205740201</v>
      </c>
      <c r="W896">
        <v>0.50734635989073196</v>
      </c>
      <c r="X896">
        <v>0</v>
      </c>
      <c r="Y896">
        <v>0</v>
      </c>
    </row>
    <row r="897" spans="1:25" x14ac:dyDescent="0.2">
      <c r="A897" t="s">
        <v>3309</v>
      </c>
      <c r="B897" t="s">
        <v>3310</v>
      </c>
      <c r="C897" t="s">
        <v>3311</v>
      </c>
      <c r="D897" t="s">
        <v>3312</v>
      </c>
      <c r="E897" t="s">
        <v>3310</v>
      </c>
      <c r="F897" t="s">
        <v>28</v>
      </c>
      <c r="G897" t="s">
        <v>3313</v>
      </c>
      <c r="H897" t="str">
        <f>"col-142"</f>
        <v>col-142</v>
      </c>
      <c r="I897" t="s">
        <v>3312</v>
      </c>
      <c r="J897">
        <v>12.7143818652285</v>
      </c>
      <c r="K897" t="s">
        <v>29</v>
      </c>
      <c r="L897">
        <v>13.6065787890244</v>
      </c>
      <c r="M897" t="s">
        <v>29</v>
      </c>
      <c r="N897" t="s">
        <v>29</v>
      </c>
      <c r="O897" t="s">
        <v>29</v>
      </c>
      <c r="P897" t="s">
        <v>29</v>
      </c>
      <c r="Q897" t="s">
        <v>29</v>
      </c>
      <c r="R897" t="s">
        <v>29</v>
      </c>
      <c r="S897">
        <v>13.8810268505958</v>
      </c>
      <c r="T897" t="s">
        <v>29</v>
      </c>
      <c r="U897" t="s">
        <v>29</v>
      </c>
      <c r="V897" t="s">
        <v>29</v>
      </c>
      <c r="W897" t="s">
        <v>29</v>
      </c>
      <c r="X897" t="s">
        <v>29</v>
      </c>
      <c r="Y897" t="s">
        <v>29</v>
      </c>
    </row>
    <row r="898" spans="1:25" x14ac:dyDescent="0.2">
      <c r="A898" t="s">
        <v>3314</v>
      </c>
      <c r="B898" t="s">
        <v>3315</v>
      </c>
      <c r="C898" t="s">
        <v>3316</v>
      </c>
      <c r="D898" t="s">
        <v>3317</v>
      </c>
      <c r="E898" t="s">
        <v>3315</v>
      </c>
      <c r="F898" t="s">
        <v>28</v>
      </c>
      <c r="G898" t="s">
        <v>3315</v>
      </c>
      <c r="H898" t="str">
        <f>"hpo-8"</f>
        <v>hpo-8</v>
      </c>
      <c r="I898" t="s">
        <v>3317</v>
      </c>
      <c r="J898">
        <v>16.3952023806998</v>
      </c>
      <c r="K898">
        <v>16.6109537673441</v>
      </c>
      <c r="L898">
        <v>17.387090863166598</v>
      </c>
      <c r="M898">
        <v>16.738427694299599</v>
      </c>
      <c r="N898">
        <v>16.792417706348299</v>
      </c>
      <c r="O898">
        <v>16.6735183744726</v>
      </c>
      <c r="P898">
        <v>-6.2961078696638098E-2</v>
      </c>
      <c r="Q898">
        <v>-0.73440420119020999</v>
      </c>
      <c r="R898">
        <v>0.60848204379693405</v>
      </c>
      <c r="S898">
        <v>16.980789765872998</v>
      </c>
      <c r="T898">
        <v>-0.197085849421334</v>
      </c>
      <c r="U898">
        <v>-7.0317525463559596</v>
      </c>
      <c r="V898">
        <v>0.84598153700674295</v>
      </c>
      <c r="W898">
        <v>0.93943584999755902</v>
      </c>
      <c r="X898">
        <v>0</v>
      </c>
      <c r="Y898">
        <v>0</v>
      </c>
    </row>
    <row r="899" spans="1:25" x14ac:dyDescent="0.2">
      <c r="A899" t="s">
        <v>3318</v>
      </c>
      <c r="B899" t="s">
        <v>3319</v>
      </c>
      <c r="C899" t="s">
        <v>14345</v>
      </c>
      <c r="D899" t="s">
        <v>3320</v>
      </c>
      <c r="E899" t="s">
        <v>3319</v>
      </c>
      <c r="F899" t="s">
        <v>28</v>
      </c>
      <c r="G899" t="s">
        <v>3319</v>
      </c>
      <c r="H899" t="str">
        <f>"F23F1.5"</f>
        <v>F23F1.5</v>
      </c>
      <c r="I899" t="s">
        <v>3320</v>
      </c>
      <c r="J899">
        <v>12.782495314955</v>
      </c>
      <c r="K899">
        <v>13.247449634403001</v>
      </c>
      <c r="L899" t="s">
        <v>29</v>
      </c>
      <c r="M899" t="s">
        <v>29</v>
      </c>
      <c r="N899">
        <v>13.119530307966</v>
      </c>
      <c r="O899">
        <v>13.034567183558501</v>
      </c>
      <c r="P899">
        <v>6.2076271083237003E-2</v>
      </c>
      <c r="Q899">
        <v>-1.08272842952687</v>
      </c>
      <c r="R899">
        <v>1.20688097169335</v>
      </c>
      <c r="S899">
        <v>12.5168368534548</v>
      </c>
      <c r="T899">
        <v>0.117241525709933</v>
      </c>
      <c r="U899">
        <v>-6.8438658695654802</v>
      </c>
      <c r="V899">
        <v>0.90847506536909495</v>
      </c>
      <c r="W899">
        <v>0.96798538961646996</v>
      </c>
      <c r="X899">
        <v>0</v>
      </c>
      <c r="Y899">
        <v>0</v>
      </c>
    </row>
    <row r="900" spans="1:25" x14ac:dyDescent="0.2">
      <c r="A900" t="s">
        <v>3321</v>
      </c>
      <c r="B900" t="s">
        <v>3322</v>
      </c>
      <c r="C900" t="s">
        <v>3323</v>
      </c>
      <c r="D900" t="s">
        <v>3324</v>
      </c>
      <c r="E900" t="s">
        <v>3322</v>
      </c>
      <c r="F900" t="s">
        <v>28</v>
      </c>
      <c r="G900" t="s">
        <v>3322</v>
      </c>
      <c r="H900" t="str">
        <f>"rpt-4"</f>
        <v>rpt-4</v>
      </c>
      <c r="I900" t="s">
        <v>3324</v>
      </c>
      <c r="J900">
        <v>15.3106977399458</v>
      </c>
      <c r="K900">
        <v>15.226282450868201</v>
      </c>
      <c r="L900">
        <v>15.294524283193599</v>
      </c>
      <c r="M900">
        <v>15.0438830387045</v>
      </c>
      <c r="N900">
        <v>15.396248317995999</v>
      </c>
      <c r="O900">
        <v>15.2992725683867</v>
      </c>
      <c r="P900">
        <v>-3.07001829734403E-2</v>
      </c>
      <c r="Q900">
        <v>-0.39199318661858401</v>
      </c>
      <c r="R900">
        <v>0.33059282067170298</v>
      </c>
      <c r="S900">
        <v>15.163354513156399</v>
      </c>
      <c r="T900">
        <v>-0.178596903724346</v>
      </c>
      <c r="U900">
        <v>-7.0353854480683404</v>
      </c>
      <c r="V900">
        <v>0.86026060190085596</v>
      </c>
      <c r="W900">
        <v>0.94506684624759796</v>
      </c>
      <c r="X900">
        <v>0</v>
      </c>
      <c r="Y900">
        <v>0</v>
      </c>
    </row>
    <row r="901" spans="1:25" x14ac:dyDescent="0.2">
      <c r="A901" t="s">
        <v>3325</v>
      </c>
      <c r="B901" t="s">
        <v>3326</v>
      </c>
      <c r="C901" t="s">
        <v>3327</v>
      </c>
      <c r="D901" t="s">
        <v>3328</v>
      </c>
      <c r="E901" t="s">
        <v>3326</v>
      </c>
      <c r="F901" t="s">
        <v>28</v>
      </c>
      <c r="G901" t="s">
        <v>3326</v>
      </c>
      <c r="H901" t="str">
        <f>"gld-2"</f>
        <v>gld-2</v>
      </c>
      <c r="I901" t="s">
        <v>3328</v>
      </c>
      <c r="J901">
        <v>14.6241995885687</v>
      </c>
      <c r="K901">
        <v>14.513371305676801</v>
      </c>
      <c r="L901">
        <v>15.3573294181686</v>
      </c>
      <c r="M901">
        <v>14.300702629276</v>
      </c>
      <c r="N901">
        <v>14.583329826400799</v>
      </c>
      <c r="O901">
        <v>14.2673567311078</v>
      </c>
      <c r="P901">
        <v>-0.44783704187648299</v>
      </c>
      <c r="Q901">
        <v>-1.05852050393453</v>
      </c>
      <c r="R901">
        <v>0.16284642018157</v>
      </c>
      <c r="S901">
        <v>15.2377035536554</v>
      </c>
      <c r="T901">
        <v>-1.54133260900544</v>
      </c>
      <c r="U901">
        <v>-5.8836100185991604</v>
      </c>
      <c r="V901">
        <v>0.14073331317856599</v>
      </c>
      <c r="W901">
        <v>0.38677888604987698</v>
      </c>
      <c r="X901">
        <v>0</v>
      </c>
      <c r="Y901">
        <v>0</v>
      </c>
    </row>
    <row r="902" spans="1:25" x14ac:dyDescent="0.2">
      <c r="A902" t="s">
        <v>3329</v>
      </c>
      <c r="B902" t="s">
        <v>3330</v>
      </c>
      <c r="C902" t="s">
        <v>3331</v>
      </c>
      <c r="D902" t="s">
        <v>2791</v>
      </c>
      <c r="E902" t="s">
        <v>3330</v>
      </c>
      <c r="F902" t="s">
        <v>28</v>
      </c>
      <c r="G902" t="s">
        <v>3330</v>
      </c>
      <c r="H902" t="str">
        <f>"C24H12.4"</f>
        <v>C24H12.4</v>
      </c>
      <c r="I902" t="s">
        <v>2791</v>
      </c>
      <c r="J902">
        <v>15.8855725652828</v>
      </c>
      <c r="K902">
        <v>15.9809155732787</v>
      </c>
      <c r="L902">
        <v>16.130757071422298</v>
      </c>
      <c r="M902">
        <v>15.8437798636607</v>
      </c>
      <c r="N902">
        <v>16.0034118751175</v>
      </c>
      <c r="O902">
        <v>15.6938421306868</v>
      </c>
      <c r="P902">
        <v>-0.15207044683959101</v>
      </c>
      <c r="Q902">
        <v>-0.56498220723933001</v>
      </c>
      <c r="R902">
        <v>0.260841313560148</v>
      </c>
      <c r="S902">
        <v>16.292277822433402</v>
      </c>
      <c r="T902">
        <v>-0.77406972652042805</v>
      </c>
      <c r="U902">
        <v>-6.7432562040480404</v>
      </c>
      <c r="V902">
        <v>0.44899604021454198</v>
      </c>
      <c r="W902">
        <v>0.71724747906633202</v>
      </c>
      <c r="X902">
        <v>0</v>
      </c>
      <c r="Y902">
        <v>0</v>
      </c>
    </row>
    <row r="903" spans="1:25" x14ac:dyDescent="0.2">
      <c r="A903" t="s">
        <v>3332</v>
      </c>
      <c r="B903" t="s">
        <v>3333</v>
      </c>
      <c r="C903" t="s">
        <v>3334</v>
      </c>
      <c r="D903" t="s">
        <v>3335</v>
      </c>
      <c r="E903" t="s">
        <v>3333</v>
      </c>
      <c r="F903" t="s">
        <v>28</v>
      </c>
      <c r="G903" t="s">
        <v>3333</v>
      </c>
      <c r="H903" t="str">
        <f>"best-3"</f>
        <v>best-3</v>
      </c>
      <c r="I903" t="s">
        <v>3335</v>
      </c>
      <c r="J903" t="s">
        <v>29</v>
      </c>
      <c r="K903" t="s">
        <v>29</v>
      </c>
      <c r="L903" t="s">
        <v>29</v>
      </c>
      <c r="M903">
        <v>12.689978889333</v>
      </c>
      <c r="N903">
        <v>12.8043612143211</v>
      </c>
      <c r="O903">
        <v>12.9622120405126</v>
      </c>
      <c r="P903" t="s">
        <v>29</v>
      </c>
      <c r="Q903" t="s">
        <v>29</v>
      </c>
      <c r="R903" t="s">
        <v>29</v>
      </c>
      <c r="S903">
        <v>11.5006968717408</v>
      </c>
      <c r="T903" t="s">
        <v>29</v>
      </c>
      <c r="U903" t="s">
        <v>29</v>
      </c>
      <c r="V903" t="s">
        <v>29</v>
      </c>
      <c r="W903" t="s">
        <v>29</v>
      </c>
      <c r="X903" t="s">
        <v>29</v>
      </c>
      <c r="Y903" t="s">
        <v>29</v>
      </c>
    </row>
    <row r="904" spans="1:25" x14ac:dyDescent="0.2">
      <c r="A904" t="s">
        <v>3336</v>
      </c>
      <c r="B904" t="s">
        <v>3337</v>
      </c>
      <c r="C904" t="s">
        <v>3338</v>
      </c>
      <c r="D904" t="s">
        <v>3339</v>
      </c>
      <c r="E904" t="s">
        <v>3337</v>
      </c>
      <c r="F904" t="s">
        <v>28</v>
      </c>
      <c r="G904" t="s">
        <v>3337</v>
      </c>
      <c r="H904" t="str">
        <f>"fum-1"</f>
        <v>fum-1</v>
      </c>
      <c r="I904" t="s">
        <v>3339</v>
      </c>
      <c r="J904">
        <v>15.6620191093335</v>
      </c>
      <c r="K904">
        <v>15.7649200229574</v>
      </c>
      <c r="L904">
        <v>15.591915803227099</v>
      </c>
      <c r="M904">
        <v>14.7653820751773</v>
      </c>
      <c r="N904">
        <v>14.2727640581895</v>
      </c>
      <c r="O904">
        <v>15.2967949304066</v>
      </c>
      <c r="P904">
        <v>-0.89463795724820405</v>
      </c>
      <c r="Q904">
        <v>-1.3975328906550399</v>
      </c>
      <c r="R904">
        <v>-0.391743023841365</v>
      </c>
      <c r="S904">
        <v>14.8833211778687</v>
      </c>
      <c r="T904">
        <v>-3.7390611964039402</v>
      </c>
      <c r="U904">
        <v>-1.6519104357804</v>
      </c>
      <c r="V904">
        <v>1.5148914611208301E-3</v>
      </c>
      <c r="W904">
        <v>2.31305988055658E-2</v>
      </c>
      <c r="X904">
        <v>0</v>
      </c>
      <c r="Y904">
        <v>0</v>
      </c>
    </row>
    <row r="905" spans="1:25" x14ac:dyDescent="0.2">
      <c r="A905" t="s">
        <v>3340</v>
      </c>
      <c r="B905" t="s">
        <v>3341</v>
      </c>
      <c r="C905" t="s">
        <v>3342</v>
      </c>
      <c r="D905" t="s">
        <v>3343</v>
      </c>
      <c r="E905" t="s">
        <v>3341</v>
      </c>
      <c r="F905" t="s">
        <v>28</v>
      </c>
      <c r="G905" t="s">
        <v>3341</v>
      </c>
      <c r="H905" t="str">
        <f>"rps-22"</f>
        <v>rps-22</v>
      </c>
      <c r="I905" t="s">
        <v>3343</v>
      </c>
      <c r="J905">
        <v>19.6725693913668</v>
      </c>
      <c r="K905">
        <v>19.732270558482</v>
      </c>
      <c r="L905">
        <v>19.8714267292501</v>
      </c>
      <c r="M905">
        <v>19.710149137671099</v>
      </c>
      <c r="N905">
        <v>19.594084741665601</v>
      </c>
      <c r="O905">
        <v>18.967163889183499</v>
      </c>
      <c r="P905">
        <v>-0.33495630352622602</v>
      </c>
      <c r="Q905">
        <v>-0.88797561632641298</v>
      </c>
      <c r="R905">
        <v>0.21806300927396</v>
      </c>
      <c r="S905">
        <v>19.439289916259298</v>
      </c>
      <c r="T905">
        <v>-1.2730350764668401</v>
      </c>
      <c r="U905">
        <v>-6.2393283506076802</v>
      </c>
      <c r="V905">
        <v>0.219295954034117</v>
      </c>
      <c r="W905">
        <v>0.48742420384359098</v>
      </c>
      <c r="X905">
        <v>0</v>
      </c>
      <c r="Y905">
        <v>0</v>
      </c>
    </row>
    <row r="906" spans="1:25" x14ac:dyDescent="0.2">
      <c r="A906" t="s">
        <v>3344</v>
      </c>
      <c r="B906" t="s">
        <v>3345</v>
      </c>
      <c r="C906" t="s">
        <v>3346</v>
      </c>
      <c r="D906" t="s">
        <v>3347</v>
      </c>
      <c r="E906" t="s">
        <v>3345</v>
      </c>
      <c r="F906" t="s">
        <v>28</v>
      </c>
      <c r="G906" t="s">
        <v>3345</v>
      </c>
      <c r="H906" t="str">
        <f>"K10B4.3"</f>
        <v>K10B4.3</v>
      </c>
      <c r="I906" t="s">
        <v>3347</v>
      </c>
      <c r="J906" t="s">
        <v>29</v>
      </c>
      <c r="K906" t="s">
        <v>29</v>
      </c>
      <c r="L906" t="s">
        <v>29</v>
      </c>
      <c r="M906">
        <v>12.783529987068301</v>
      </c>
      <c r="N906">
        <v>12.7244482560553</v>
      </c>
      <c r="O906" t="s">
        <v>29</v>
      </c>
      <c r="P906" t="s">
        <v>29</v>
      </c>
      <c r="Q906" t="s">
        <v>29</v>
      </c>
      <c r="R906" t="s">
        <v>29</v>
      </c>
      <c r="S906">
        <v>12.193491952744401</v>
      </c>
      <c r="T906" t="s">
        <v>29</v>
      </c>
      <c r="U906" t="s">
        <v>29</v>
      </c>
      <c r="V906" t="s">
        <v>29</v>
      </c>
      <c r="W906" t="s">
        <v>29</v>
      </c>
      <c r="X906" t="s">
        <v>29</v>
      </c>
      <c r="Y906" t="s">
        <v>29</v>
      </c>
    </row>
    <row r="907" spans="1:25" x14ac:dyDescent="0.2">
      <c r="A907" t="s">
        <v>3348</v>
      </c>
      <c r="B907" t="s">
        <v>3349</v>
      </c>
      <c r="C907" t="s">
        <v>14346</v>
      </c>
      <c r="D907" t="s">
        <v>3350</v>
      </c>
      <c r="E907" t="s">
        <v>3349</v>
      </c>
      <c r="F907" t="s">
        <v>28</v>
      </c>
      <c r="G907" t="s">
        <v>3349</v>
      </c>
      <c r="H907" t="str">
        <f>"K10B4.1"</f>
        <v>K10B4.1</v>
      </c>
      <c r="I907" t="s">
        <v>3350</v>
      </c>
      <c r="J907">
        <v>12.4079972630356</v>
      </c>
      <c r="K907" t="s">
        <v>29</v>
      </c>
      <c r="L907">
        <v>11.816918673002199</v>
      </c>
      <c r="M907">
        <v>12.4515319362957</v>
      </c>
      <c r="N907" t="s">
        <v>29</v>
      </c>
      <c r="O907">
        <v>10.1729107683253</v>
      </c>
      <c r="P907">
        <v>-0.80023661570832305</v>
      </c>
      <c r="Q907">
        <v>-1.90412938910077</v>
      </c>
      <c r="R907">
        <v>0.30365615768412801</v>
      </c>
      <c r="S907">
        <v>11.887856767416601</v>
      </c>
      <c r="T907">
        <v>-1.55590623682124</v>
      </c>
      <c r="U907">
        <v>-5.6692880505610201</v>
      </c>
      <c r="V907">
        <v>0.142207754029095</v>
      </c>
      <c r="W907">
        <v>0.38868281725265702</v>
      </c>
      <c r="X907">
        <v>0</v>
      </c>
      <c r="Y907">
        <v>0</v>
      </c>
    </row>
    <row r="908" spans="1:25" x14ac:dyDescent="0.2">
      <c r="A908" t="s">
        <v>3351</v>
      </c>
      <c r="B908" t="s">
        <v>3352</v>
      </c>
      <c r="C908" t="s">
        <v>3353</v>
      </c>
      <c r="D908" t="s">
        <v>3354</v>
      </c>
      <c r="E908" t="s">
        <v>3352</v>
      </c>
      <c r="F908" t="s">
        <v>28</v>
      </c>
      <c r="G908" t="s">
        <v>3352</v>
      </c>
      <c r="H908" t="str">
        <f>"tomm-22"</f>
        <v>tomm-22</v>
      </c>
      <c r="I908" t="s">
        <v>3354</v>
      </c>
      <c r="J908">
        <v>14.9153380345308</v>
      </c>
      <c r="K908">
        <v>15.213542550529001</v>
      </c>
      <c r="L908">
        <v>14.9989813709586</v>
      </c>
      <c r="M908">
        <v>15.262881419033899</v>
      </c>
      <c r="N908">
        <v>15.4121646231696</v>
      </c>
      <c r="O908">
        <v>15.1271643796037</v>
      </c>
      <c r="P908">
        <v>0.22478282192957999</v>
      </c>
      <c r="Q908">
        <v>-0.18067254227285601</v>
      </c>
      <c r="R908">
        <v>0.63023818613201499</v>
      </c>
      <c r="S908">
        <v>14.5748270318718</v>
      </c>
      <c r="T908">
        <v>1.17589785548045</v>
      </c>
      <c r="U908">
        <v>-6.3528404302669097</v>
      </c>
      <c r="V908">
        <v>0.25694814091540702</v>
      </c>
      <c r="W908">
        <v>0.53417825783426898</v>
      </c>
      <c r="X908">
        <v>0</v>
      </c>
      <c r="Y908">
        <v>0</v>
      </c>
    </row>
    <row r="909" spans="1:25" x14ac:dyDescent="0.2">
      <c r="A909" t="s">
        <v>3355</v>
      </c>
      <c r="B909" t="s">
        <v>3356</v>
      </c>
      <c r="C909" t="s">
        <v>3357</v>
      </c>
      <c r="D909" t="s">
        <v>3358</v>
      </c>
      <c r="E909" t="s">
        <v>3356</v>
      </c>
      <c r="F909" t="s">
        <v>28</v>
      </c>
      <c r="G909" t="s">
        <v>3356</v>
      </c>
      <c r="H909" t="str">
        <f>"C10E2.2"</f>
        <v>C10E2.2</v>
      </c>
      <c r="I909" t="s">
        <v>3358</v>
      </c>
      <c r="J909" t="s">
        <v>29</v>
      </c>
      <c r="K909" t="s">
        <v>29</v>
      </c>
      <c r="L909" t="s">
        <v>29</v>
      </c>
      <c r="M909" t="s">
        <v>29</v>
      </c>
      <c r="N909" t="s">
        <v>29</v>
      </c>
      <c r="O909" t="s">
        <v>29</v>
      </c>
      <c r="P909" t="s">
        <v>29</v>
      </c>
      <c r="Q909" t="s">
        <v>29</v>
      </c>
      <c r="R909" t="s">
        <v>29</v>
      </c>
      <c r="S909">
        <v>15.1398042754565</v>
      </c>
      <c r="T909" t="s">
        <v>29</v>
      </c>
      <c r="U909" t="s">
        <v>29</v>
      </c>
      <c r="V909" t="s">
        <v>29</v>
      </c>
      <c r="W909" t="s">
        <v>29</v>
      </c>
      <c r="X909" t="s">
        <v>29</v>
      </c>
      <c r="Y909" t="s">
        <v>29</v>
      </c>
    </row>
    <row r="910" spans="1:25" x14ac:dyDescent="0.2">
      <c r="A910" t="s">
        <v>3359</v>
      </c>
      <c r="B910" t="s">
        <v>3360</v>
      </c>
      <c r="C910" t="s">
        <v>3361</v>
      </c>
      <c r="D910" t="s">
        <v>107</v>
      </c>
      <c r="E910" t="s">
        <v>3360</v>
      </c>
      <c r="F910" t="s">
        <v>28</v>
      </c>
      <c r="G910" t="s">
        <v>3360</v>
      </c>
      <c r="H910" t="str">
        <f>"mct-6"</f>
        <v>mct-6</v>
      </c>
      <c r="I910" t="s">
        <v>107</v>
      </c>
      <c r="J910">
        <v>17.254341550967499</v>
      </c>
      <c r="K910">
        <v>17.474127154324801</v>
      </c>
      <c r="L910">
        <v>17.528706772735301</v>
      </c>
      <c r="M910">
        <v>17.397868552928699</v>
      </c>
      <c r="N910">
        <v>17.198679637139598</v>
      </c>
      <c r="O910">
        <v>17.230322594739899</v>
      </c>
      <c r="P910">
        <v>-0.14343489773981599</v>
      </c>
      <c r="Q910">
        <v>-0.61943953660135098</v>
      </c>
      <c r="R910">
        <v>0.332569741121719</v>
      </c>
      <c r="S910">
        <v>17.372231246919601</v>
      </c>
      <c r="T910">
        <v>-0.63333888938050598</v>
      </c>
      <c r="U910">
        <v>-6.84421334600873</v>
      </c>
      <c r="V910">
        <v>0.53452367490073105</v>
      </c>
      <c r="W910">
        <v>0.77492902906669103</v>
      </c>
      <c r="X910">
        <v>0</v>
      </c>
      <c r="Y910">
        <v>0</v>
      </c>
    </row>
    <row r="911" spans="1:25" x14ac:dyDescent="0.2">
      <c r="A911" t="s">
        <v>3362</v>
      </c>
      <c r="B911" t="s">
        <v>3363</v>
      </c>
      <c r="C911" t="s">
        <v>3364</v>
      </c>
      <c r="D911" t="s">
        <v>599</v>
      </c>
      <c r="E911" t="s">
        <v>3363</v>
      </c>
      <c r="F911" t="s">
        <v>28</v>
      </c>
      <c r="G911" t="s">
        <v>3363</v>
      </c>
      <c r="H911" t="str">
        <f>"srp-2"</f>
        <v>srp-2</v>
      </c>
      <c r="I911" t="s">
        <v>599</v>
      </c>
      <c r="J911" t="s">
        <v>29</v>
      </c>
      <c r="K911" t="s">
        <v>29</v>
      </c>
      <c r="L911" t="s">
        <v>29</v>
      </c>
      <c r="M911">
        <v>11.6433450398441</v>
      </c>
      <c r="N911">
        <v>11.440017228898</v>
      </c>
      <c r="O911" t="s">
        <v>29</v>
      </c>
      <c r="P911" t="s">
        <v>29</v>
      </c>
      <c r="Q911" t="s">
        <v>29</v>
      </c>
      <c r="R911" t="s">
        <v>29</v>
      </c>
      <c r="S911">
        <v>12.7246519165575</v>
      </c>
      <c r="T911" t="s">
        <v>29</v>
      </c>
      <c r="U911" t="s">
        <v>29</v>
      </c>
      <c r="V911" t="s">
        <v>29</v>
      </c>
      <c r="W911" t="s">
        <v>29</v>
      </c>
      <c r="X911" t="s">
        <v>29</v>
      </c>
      <c r="Y911" t="s">
        <v>29</v>
      </c>
    </row>
    <row r="912" spans="1:25" x14ac:dyDescent="0.2">
      <c r="A912" t="s">
        <v>3365</v>
      </c>
      <c r="B912" t="s">
        <v>3366</v>
      </c>
      <c r="C912" t="s">
        <v>3367</v>
      </c>
      <c r="D912" t="s">
        <v>3368</v>
      </c>
      <c r="E912" t="s">
        <v>3366</v>
      </c>
      <c r="F912" t="s">
        <v>28</v>
      </c>
      <c r="G912" t="s">
        <v>3366</v>
      </c>
      <c r="H912" t="str">
        <f>"F52H2.6"</f>
        <v>F52H2.6</v>
      </c>
      <c r="I912" t="s">
        <v>3368</v>
      </c>
      <c r="J912">
        <v>13.4317721060496</v>
      </c>
      <c r="K912">
        <v>13.818368354032801</v>
      </c>
      <c r="L912">
        <v>13.6411701832403</v>
      </c>
      <c r="M912">
        <v>14.0055073151906</v>
      </c>
      <c r="N912">
        <v>13.693357688964801</v>
      </c>
      <c r="O912">
        <v>13.360690962598101</v>
      </c>
      <c r="P912">
        <v>5.6081774476869101E-2</v>
      </c>
      <c r="Q912">
        <v>-0.43169340238229698</v>
      </c>
      <c r="R912">
        <v>0.54385695133603495</v>
      </c>
      <c r="S912">
        <v>13.485959054550399</v>
      </c>
      <c r="T912">
        <v>0.241654320777724</v>
      </c>
      <c r="U912">
        <v>-7.0215329851839297</v>
      </c>
      <c r="V912">
        <v>0.81179548008666802</v>
      </c>
      <c r="W912">
        <v>0.91987238465779397</v>
      </c>
      <c r="X912">
        <v>0</v>
      </c>
      <c r="Y912">
        <v>0</v>
      </c>
    </row>
    <row r="913" spans="1:25" x14ac:dyDescent="0.2">
      <c r="A913" t="s">
        <v>3369</v>
      </c>
      <c r="B913" t="s">
        <v>3370</v>
      </c>
      <c r="C913" t="s">
        <v>3371</v>
      </c>
      <c r="D913" t="s">
        <v>375</v>
      </c>
      <c r="E913" t="s">
        <v>3370</v>
      </c>
      <c r="F913" t="s">
        <v>28</v>
      </c>
      <c r="G913" t="s">
        <v>3370</v>
      </c>
      <c r="H913" t="str">
        <f>"ccd-5"</f>
        <v>ccd-5</v>
      </c>
      <c r="I913" t="s">
        <v>375</v>
      </c>
      <c r="J913">
        <v>9.3355976935722005</v>
      </c>
      <c r="K913" t="s">
        <v>29</v>
      </c>
      <c r="L913" t="s">
        <v>29</v>
      </c>
      <c r="M913" t="s">
        <v>29</v>
      </c>
      <c r="N913" t="s">
        <v>29</v>
      </c>
      <c r="O913" t="s">
        <v>29</v>
      </c>
      <c r="P913" t="s">
        <v>29</v>
      </c>
      <c r="Q913" t="s">
        <v>29</v>
      </c>
      <c r="R913" t="s">
        <v>29</v>
      </c>
      <c r="S913">
        <v>9.8670460533954891</v>
      </c>
      <c r="T913" t="s">
        <v>29</v>
      </c>
      <c r="U913" t="s">
        <v>29</v>
      </c>
      <c r="V913" t="s">
        <v>29</v>
      </c>
      <c r="W913" t="s">
        <v>29</v>
      </c>
      <c r="X913" t="s">
        <v>29</v>
      </c>
      <c r="Y913" t="s">
        <v>29</v>
      </c>
    </row>
    <row r="914" spans="1:25" x14ac:dyDescent="0.2">
      <c r="A914" t="s">
        <v>3372</v>
      </c>
      <c r="B914" t="s">
        <v>3373</v>
      </c>
      <c r="C914" t="s">
        <v>3374</v>
      </c>
      <c r="D914" t="s">
        <v>3375</v>
      </c>
      <c r="E914" t="s">
        <v>3373</v>
      </c>
      <c r="F914" t="s">
        <v>28</v>
      </c>
      <c r="G914" t="s">
        <v>3373</v>
      </c>
      <c r="H914" t="str">
        <f>"cpsf-2"</f>
        <v>cpsf-2</v>
      </c>
      <c r="I914" t="s">
        <v>3375</v>
      </c>
      <c r="J914">
        <v>12.561288661552901</v>
      </c>
      <c r="K914">
        <v>13.066589383389299</v>
      </c>
      <c r="L914">
        <v>12.883418428404701</v>
      </c>
      <c r="M914">
        <v>12.1835493785727</v>
      </c>
      <c r="N914">
        <v>12.7704996350315</v>
      </c>
      <c r="O914">
        <v>12.814853669604</v>
      </c>
      <c r="P914">
        <v>-0.24746459671292001</v>
      </c>
      <c r="Q914">
        <v>-0.83060869987335395</v>
      </c>
      <c r="R914">
        <v>0.33567950644751399</v>
      </c>
      <c r="S914">
        <v>13.033097993464001</v>
      </c>
      <c r="T914">
        <v>-0.895750791531712</v>
      </c>
      <c r="U914">
        <v>-6.6400577357579698</v>
      </c>
      <c r="V914">
        <v>0.38297115391188402</v>
      </c>
      <c r="W914">
        <v>0.65815494932424901</v>
      </c>
      <c r="X914">
        <v>0</v>
      </c>
      <c r="Y914">
        <v>0</v>
      </c>
    </row>
    <row r="915" spans="1:25" x14ac:dyDescent="0.2">
      <c r="A915" t="s">
        <v>3376</v>
      </c>
      <c r="B915" t="s">
        <v>3377</v>
      </c>
      <c r="C915" t="s">
        <v>3378</v>
      </c>
      <c r="D915" t="s">
        <v>3379</v>
      </c>
      <c r="E915" t="s">
        <v>3377</v>
      </c>
      <c r="F915" t="s">
        <v>28</v>
      </c>
      <c r="G915" t="s">
        <v>3377</v>
      </c>
      <c r="H915" t="str">
        <f>"mes-2"</f>
        <v>mes-2</v>
      </c>
      <c r="I915" t="s">
        <v>3379</v>
      </c>
      <c r="J915">
        <v>12.6141820198863</v>
      </c>
      <c r="K915">
        <v>12.2745225729547</v>
      </c>
      <c r="L915">
        <v>12.2856939963582</v>
      </c>
      <c r="M915">
        <v>12.777922608480299</v>
      </c>
      <c r="N915">
        <v>12.1903085123718</v>
      </c>
      <c r="O915">
        <v>12.2184502421334</v>
      </c>
      <c r="P915">
        <v>4.0942579287754901E-3</v>
      </c>
      <c r="Q915">
        <v>-0.80590701788753505</v>
      </c>
      <c r="R915">
        <v>0.81409553374508603</v>
      </c>
      <c r="S915">
        <v>12.682765116725299</v>
      </c>
      <c r="T915">
        <v>1.0669388002710001E-2</v>
      </c>
      <c r="U915">
        <v>-7.0520265984782897</v>
      </c>
      <c r="V915">
        <v>0.99161219686498703</v>
      </c>
      <c r="W915">
        <v>0.99589694092551495</v>
      </c>
      <c r="X915">
        <v>0</v>
      </c>
      <c r="Y915">
        <v>0</v>
      </c>
    </row>
    <row r="916" spans="1:25" x14ac:dyDescent="0.2">
      <c r="A916" t="s">
        <v>3380</v>
      </c>
      <c r="B916" t="s">
        <v>3381</v>
      </c>
      <c r="C916" t="s">
        <v>3382</v>
      </c>
      <c r="D916" t="s">
        <v>3383</v>
      </c>
      <c r="E916" t="s">
        <v>3381</v>
      </c>
      <c r="F916" t="s">
        <v>28</v>
      </c>
      <c r="G916" t="s">
        <v>3381</v>
      </c>
      <c r="H916" t="str">
        <f>"sel-9"</f>
        <v>sel-9</v>
      </c>
      <c r="I916" t="s">
        <v>3383</v>
      </c>
      <c r="J916">
        <v>12.9024188668217</v>
      </c>
      <c r="K916" t="s">
        <v>29</v>
      </c>
      <c r="L916">
        <v>12.598233766716699</v>
      </c>
      <c r="M916" t="s">
        <v>29</v>
      </c>
      <c r="N916">
        <v>11.937508656042001</v>
      </c>
      <c r="O916">
        <v>12.236238622307001</v>
      </c>
      <c r="P916">
        <v>-0.66345267759470905</v>
      </c>
      <c r="Q916">
        <v>-1.3797523704874499</v>
      </c>
      <c r="R916">
        <v>5.2847015298036697E-2</v>
      </c>
      <c r="S916">
        <v>12.4969351363955</v>
      </c>
      <c r="T916">
        <v>-2.00263789863474</v>
      </c>
      <c r="U916">
        <v>-4.9934575101837497</v>
      </c>
      <c r="V916">
        <v>6.6702155262102394E-2</v>
      </c>
      <c r="W916">
        <v>0.26187216934255902</v>
      </c>
      <c r="X916">
        <v>0</v>
      </c>
      <c r="Y916">
        <v>0</v>
      </c>
    </row>
    <row r="917" spans="1:25" x14ac:dyDescent="0.2">
      <c r="A917" t="s">
        <v>3384</v>
      </c>
      <c r="B917" t="s">
        <v>3385</v>
      </c>
      <c r="C917" t="s">
        <v>3386</v>
      </c>
      <c r="D917" t="s">
        <v>214</v>
      </c>
      <c r="E917" t="s">
        <v>3385</v>
      </c>
      <c r="F917" t="s">
        <v>28</v>
      </c>
      <c r="G917" t="s">
        <v>3385</v>
      </c>
      <c r="H917" t="str">
        <f>"BE10.1"</f>
        <v>BE10.1</v>
      </c>
      <c r="I917" t="s">
        <v>214</v>
      </c>
      <c r="J917">
        <v>11.649008876448599</v>
      </c>
      <c r="K917" t="s">
        <v>29</v>
      </c>
      <c r="L917" t="s">
        <v>29</v>
      </c>
      <c r="M917" t="s">
        <v>29</v>
      </c>
      <c r="N917" t="s">
        <v>29</v>
      </c>
      <c r="O917" t="s">
        <v>29</v>
      </c>
      <c r="P917" t="s">
        <v>29</v>
      </c>
      <c r="Q917" t="s">
        <v>29</v>
      </c>
      <c r="R917" t="s">
        <v>29</v>
      </c>
      <c r="S917">
        <v>12.4036166376036</v>
      </c>
      <c r="T917" t="s">
        <v>29</v>
      </c>
      <c r="U917" t="s">
        <v>29</v>
      </c>
      <c r="V917" t="s">
        <v>29</v>
      </c>
      <c r="W917" t="s">
        <v>29</v>
      </c>
      <c r="X917" t="s">
        <v>29</v>
      </c>
      <c r="Y917" t="s">
        <v>29</v>
      </c>
    </row>
    <row r="918" spans="1:25" x14ac:dyDescent="0.2">
      <c r="A918" t="s">
        <v>3387</v>
      </c>
      <c r="B918" t="s">
        <v>3388</v>
      </c>
      <c r="C918" t="s">
        <v>3389</v>
      </c>
      <c r="D918" t="s">
        <v>3390</v>
      </c>
      <c r="E918" t="s">
        <v>3388</v>
      </c>
      <c r="F918" t="s">
        <v>28</v>
      </c>
      <c r="G918" t="s">
        <v>3388</v>
      </c>
      <c r="H918" t="str">
        <f>"rpl-38"</f>
        <v>rpl-38</v>
      </c>
      <c r="I918" t="s">
        <v>3390</v>
      </c>
      <c r="J918">
        <v>15.3152417455972</v>
      </c>
      <c r="K918">
        <v>15.372770553226699</v>
      </c>
      <c r="L918">
        <v>15.0905689373164</v>
      </c>
      <c r="M918">
        <v>13.186046511311201</v>
      </c>
      <c r="N918">
        <v>15.074177249510701</v>
      </c>
      <c r="O918">
        <v>14.6319965538934</v>
      </c>
      <c r="P918">
        <v>-0.96212030714167396</v>
      </c>
      <c r="Q918">
        <v>-1.7035612281106101</v>
      </c>
      <c r="R918">
        <v>-0.22067938617274099</v>
      </c>
      <c r="S918">
        <v>14.838494064745801</v>
      </c>
      <c r="T918">
        <v>-2.7523417598076798</v>
      </c>
      <c r="U918">
        <v>-3.7893133733812698</v>
      </c>
      <c r="V918">
        <v>1.4229624485653E-2</v>
      </c>
      <c r="W918">
        <v>0.109983843411674</v>
      </c>
      <c r="X918">
        <v>0</v>
      </c>
      <c r="Y918">
        <v>0</v>
      </c>
    </row>
    <row r="919" spans="1:25" x14ac:dyDescent="0.2">
      <c r="A919" t="s">
        <v>3391</v>
      </c>
      <c r="B919" t="s">
        <v>3392</v>
      </c>
      <c r="C919" t="s">
        <v>3393</v>
      </c>
      <c r="D919" t="s">
        <v>3358</v>
      </c>
      <c r="E919" t="s">
        <v>3392</v>
      </c>
      <c r="F919" t="s">
        <v>28</v>
      </c>
      <c r="G919" t="s">
        <v>3392</v>
      </c>
      <c r="H919" t="str">
        <f>"fbxa-156"</f>
        <v>fbxa-156</v>
      </c>
      <c r="I919" t="s">
        <v>3358</v>
      </c>
      <c r="J919">
        <v>12.4052733147751</v>
      </c>
      <c r="K919">
        <v>12.196030336227899</v>
      </c>
      <c r="L919">
        <v>11.3137116063397</v>
      </c>
      <c r="M919">
        <v>11.845083610052599</v>
      </c>
      <c r="N919">
        <v>11.474655909855001</v>
      </c>
      <c r="O919">
        <v>11.0602412910039</v>
      </c>
      <c r="P919">
        <v>-0.51167814881040397</v>
      </c>
      <c r="Q919">
        <v>-1.1277765537069599</v>
      </c>
      <c r="R919">
        <v>0.104420256086156</v>
      </c>
      <c r="S919">
        <v>11.2148390610531</v>
      </c>
      <c r="T919">
        <v>-1.7712847856385701</v>
      </c>
      <c r="U919">
        <v>-5.5452268967393499</v>
      </c>
      <c r="V919">
        <v>9.6966575725757495E-2</v>
      </c>
      <c r="W919">
        <v>0.32146973799324602</v>
      </c>
      <c r="X919">
        <v>0</v>
      </c>
      <c r="Y919">
        <v>0</v>
      </c>
    </row>
    <row r="920" spans="1:25" x14ac:dyDescent="0.2">
      <c r="A920" t="s">
        <v>3394</v>
      </c>
      <c r="B920" t="s">
        <v>3395</v>
      </c>
      <c r="C920" t="s">
        <v>3396</v>
      </c>
      <c r="D920" t="s">
        <v>3397</v>
      </c>
      <c r="E920" t="s">
        <v>3395</v>
      </c>
      <c r="F920" t="s">
        <v>28</v>
      </c>
      <c r="G920" t="s">
        <v>3395</v>
      </c>
      <c r="H920" t="str">
        <f>"pro-2"</f>
        <v>pro-2</v>
      </c>
      <c r="I920" t="s">
        <v>3397</v>
      </c>
      <c r="J920">
        <v>13.0117565373108</v>
      </c>
      <c r="K920">
        <v>13.0866861863348</v>
      </c>
      <c r="L920">
        <v>13.058124847988401</v>
      </c>
      <c r="M920">
        <v>12.8613679203765</v>
      </c>
      <c r="N920">
        <v>12.566508026499699</v>
      </c>
      <c r="O920">
        <v>13.108824249163501</v>
      </c>
      <c r="P920">
        <v>-0.20662245853142899</v>
      </c>
      <c r="Q920">
        <v>-0.68024804689532103</v>
      </c>
      <c r="R920">
        <v>0.26700312983246299</v>
      </c>
      <c r="S920">
        <v>13.0979041357415</v>
      </c>
      <c r="T920">
        <v>-0.91692725102181005</v>
      </c>
      <c r="U920">
        <v>-6.6215879399438</v>
      </c>
      <c r="V920">
        <v>0.37137346955710099</v>
      </c>
      <c r="W920">
        <v>0.64676515938118095</v>
      </c>
      <c r="X920">
        <v>0</v>
      </c>
      <c r="Y920">
        <v>0</v>
      </c>
    </row>
    <row r="921" spans="1:25" x14ac:dyDescent="0.2">
      <c r="A921" t="s">
        <v>3398</v>
      </c>
      <c r="B921" t="s">
        <v>3399</v>
      </c>
      <c r="C921" t="s">
        <v>3400</v>
      </c>
      <c r="D921" t="s">
        <v>3401</v>
      </c>
      <c r="E921" t="s">
        <v>3399</v>
      </c>
      <c r="F921" t="s">
        <v>28</v>
      </c>
      <c r="G921" t="s">
        <v>3399</v>
      </c>
      <c r="H921" t="str">
        <f>"mau-2"</f>
        <v>mau-2</v>
      </c>
      <c r="I921" t="s">
        <v>3401</v>
      </c>
      <c r="J921">
        <v>11.223008173712101</v>
      </c>
      <c r="K921" t="s">
        <v>29</v>
      </c>
      <c r="L921">
        <v>11.6141561868771</v>
      </c>
      <c r="M921" t="s">
        <v>29</v>
      </c>
      <c r="N921" t="s">
        <v>29</v>
      </c>
      <c r="O921" t="s">
        <v>29</v>
      </c>
      <c r="P921" t="s">
        <v>29</v>
      </c>
      <c r="Q921" t="s">
        <v>29</v>
      </c>
      <c r="R921" t="s">
        <v>29</v>
      </c>
      <c r="S921">
        <v>11.557028474163101</v>
      </c>
      <c r="T921" t="s">
        <v>29</v>
      </c>
      <c r="U921" t="s">
        <v>29</v>
      </c>
      <c r="V921" t="s">
        <v>29</v>
      </c>
      <c r="W921" t="s">
        <v>29</v>
      </c>
      <c r="X921" t="s">
        <v>29</v>
      </c>
      <c r="Y921" t="s">
        <v>29</v>
      </c>
    </row>
    <row r="922" spans="1:25" x14ac:dyDescent="0.2">
      <c r="A922" t="s">
        <v>3402</v>
      </c>
      <c r="B922" t="s">
        <v>3403</v>
      </c>
      <c r="C922" t="s">
        <v>3404</v>
      </c>
      <c r="D922" t="s">
        <v>3405</v>
      </c>
      <c r="E922" t="s">
        <v>3403</v>
      </c>
      <c r="F922" t="s">
        <v>28</v>
      </c>
      <c r="G922" t="s">
        <v>3403</v>
      </c>
      <c r="H922" t="str">
        <f>"spr-4"</f>
        <v>spr-4</v>
      </c>
      <c r="I922" t="s">
        <v>3405</v>
      </c>
      <c r="J922" t="s">
        <v>29</v>
      </c>
      <c r="K922" t="s">
        <v>29</v>
      </c>
      <c r="L922" t="s">
        <v>29</v>
      </c>
      <c r="M922" t="s">
        <v>29</v>
      </c>
      <c r="N922" t="s">
        <v>29</v>
      </c>
      <c r="O922" t="s">
        <v>29</v>
      </c>
      <c r="P922" t="s">
        <v>29</v>
      </c>
      <c r="Q922" t="s">
        <v>29</v>
      </c>
      <c r="R922" t="s">
        <v>29</v>
      </c>
      <c r="S922">
        <v>11.212905107110201</v>
      </c>
      <c r="T922" t="s">
        <v>29</v>
      </c>
      <c r="U922" t="s">
        <v>29</v>
      </c>
      <c r="V922" t="s">
        <v>29</v>
      </c>
      <c r="W922" t="s">
        <v>29</v>
      </c>
      <c r="X922" t="s">
        <v>29</v>
      </c>
      <c r="Y922" t="s">
        <v>29</v>
      </c>
    </row>
    <row r="923" spans="1:25" x14ac:dyDescent="0.2">
      <c r="A923" t="s">
        <v>3406</v>
      </c>
      <c r="B923" t="s">
        <v>3407</v>
      </c>
      <c r="C923" t="s">
        <v>3408</v>
      </c>
      <c r="D923" t="s">
        <v>3409</v>
      </c>
      <c r="E923" t="s">
        <v>3407</v>
      </c>
      <c r="F923" t="s">
        <v>28</v>
      </c>
      <c r="G923" t="s">
        <v>3407</v>
      </c>
      <c r="H923" t="str">
        <f>"lin-10"</f>
        <v>lin-10</v>
      </c>
      <c r="I923" t="s">
        <v>3409</v>
      </c>
      <c r="J923">
        <v>12.782114446374001</v>
      </c>
      <c r="K923">
        <v>12.7042992747591</v>
      </c>
      <c r="L923">
        <v>11.513155972431001</v>
      </c>
      <c r="M923">
        <v>12.385412173139001</v>
      </c>
      <c r="N923">
        <v>12.111101680485399</v>
      </c>
      <c r="O923">
        <v>12.520304598714899</v>
      </c>
      <c r="P923">
        <v>5.7495862584122596E-3</v>
      </c>
      <c r="Q923">
        <v>-1.00902664058821</v>
      </c>
      <c r="R923">
        <v>1.0205258131050301</v>
      </c>
      <c r="S923">
        <v>11.9005596584652</v>
      </c>
      <c r="T923">
        <v>1.20839220546446E-2</v>
      </c>
      <c r="U923">
        <v>-7.0520091026695697</v>
      </c>
      <c r="V923">
        <v>0.990519026987006</v>
      </c>
      <c r="W923">
        <v>0.99510617901071896</v>
      </c>
      <c r="X923">
        <v>0</v>
      </c>
      <c r="Y923">
        <v>0</v>
      </c>
    </row>
    <row r="924" spans="1:25" x14ac:dyDescent="0.2">
      <c r="A924" t="s">
        <v>3410</v>
      </c>
      <c r="B924" t="s">
        <v>3411</v>
      </c>
      <c r="C924" t="s">
        <v>3412</v>
      </c>
      <c r="D924" t="s">
        <v>3413</v>
      </c>
      <c r="E924" t="s">
        <v>3411</v>
      </c>
      <c r="F924" t="s">
        <v>28</v>
      </c>
      <c r="G924" t="s">
        <v>3411</v>
      </c>
      <c r="H924" t="str">
        <f>"pas-1"</f>
        <v>pas-1</v>
      </c>
      <c r="I924" t="s">
        <v>3413</v>
      </c>
      <c r="J924" t="s">
        <v>29</v>
      </c>
      <c r="K924">
        <v>11.985320603706599</v>
      </c>
      <c r="L924">
        <v>11.6023865336201</v>
      </c>
      <c r="M924" t="s">
        <v>29</v>
      </c>
      <c r="N924" t="s">
        <v>29</v>
      </c>
      <c r="O924">
        <v>12.0280105813129</v>
      </c>
      <c r="P924">
        <v>0.23415701264959299</v>
      </c>
      <c r="Q924">
        <v>-0.86759054485333198</v>
      </c>
      <c r="R924">
        <v>1.3359045701525201</v>
      </c>
      <c r="S924">
        <v>12.651646319388</v>
      </c>
      <c r="T924">
        <v>0.47423320888700798</v>
      </c>
      <c r="U924">
        <v>-6.5307902680570997</v>
      </c>
      <c r="V924">
        <v>0.64562495423695698</v>
      </c>
      <c r="W924">
        <v>0.83893818798378295</v>
      </c>
      <c r="X924">
        <v>0</v>
      </c>
      <c r="Y924">
        <v>0</v>
      </c>
    </row>
    <row r="925" spans="1:25" x14ac:dyDescent="0.2">
      <c r="A925" t="s">
        <v>3414</v>
      </c>
      <c r="B925" t="s">
        <v>3415</v>
      </c>
      <c r="C925" t="s">
        <v>3416</v>
      </c>
      <c r="D925" t="s">
        <v>3417</v>
      </c>
      <c r="E925" t="s">
        <v>3415</v>
      </c>
      <c r="F925" t="s">
        <v>28</v>
      </c>
      <c r="G925" t="s">
        <v>3415</v>
      </c>
      <c r="H925" t="str">
        <f>"eat-16"</f>
        <v>eat-16</v>
      </c>
      <c r="I925" t="s">
        <v>3417</v>
      </c>
      <c r="J925">
        <v>14.016473109987199</v>
      </c>
      <c r="K925">
        <v>14.013117328891999</v>
      </c>
      <c r="L925">
        <v>13.4147323534148</v>
      </c>
      <c r="M925">
        <v>13.8175447238164</v>
      </c>
      <c r="N925">
        <v>13.0158861017056</v>
      </c>
      <c r="O925">
        <v>13.0987278940179</v>
      </c>
      <c r="P925">
        <v>-0.50405469091803701</v>
      </c>
      <c r="Q925">
        <v>-1.06540809106511</v>
      </c>
      <c r="R925">
        <v>5.7298709229038097E-2</v>
      </c>
      <c r="S925">
        <v>13.250669960964499</v>
      </c>
      <c r="T925">
        <v>-1.9150623100895301</v>
      </c>
      <c r="U925">
        <v>-5.3170724294420104</v>
      </c>
      <c r="V925">
        <v>7.4888279739235106E-2</v>
      </c>
      <c r="W925">
        <v>0.28009938192123102</v>
      </c>
      <c r="X925">
        <v>0</v>
      </c>
      <c r="Y925">
        <v>0</v>
      </c>
    </row>
    <row r="926" spans="1:25" x14ac:dyDescent="0.2">
      <c r="A926" t="s">
        <v>3418</v>
      </c>
      <c r="B926" t="s">
        <v>3419</v>
      </c>
      <c r="C926" t="s">
        <v>3420</v>
      </c>
      <c r="D926" t="s">
        <v>111</v>
      </c>
      <c r="E926" t="s">
        <v>3419</v>
      </c>
      <c r="F926" t="s">
        <v>28</v>
      </c>
      <c r="G926" t="s">
        <v>3419</v>
      </c>
      <c r="H926" t="str">
        <f>"ocrl-1"</f>
        <v>ocrl-1</v>
      </c>
      <c r="I926" t="s">
        <v>111</v>
      </c>
      <c r="J926">
        <v>11.1820653582246</v>
      </c>
      <c r="K926" t="s">
        <v>29</v>
      </c>
      <c r="L926">
        <v>12.071970744323499</v>
      </c>
      <c r="M926">
        <v>12.2858105812921</v>
      </c>
      <c r="N926">
        <v>12.319664534197599</v>
      </c>
      <c r="O926">
        <v>11.737792503736699</v>
      </c>
      <c r="P926">
        <v>0.48740448846811002</v>
      </c>
      <c r="Q926">
        <v>-0.37862315270705399</v>
      </c>
      <c r="R926">
        <v>1.3534321296432701</v>
      </c>
      <c r="S926">
        <v>11.402543659282999</v>
      </c>
      <c r="T926">
        <v>1.2079519614477801</v>
      </c>
      <c r="U926">
        <v>-6.2049122682486599</v>
      </c>
      <c r="V926">
        <v>0.24722400899279101</v>
      </c>
      <c r="W926">
        <v>0.52118539633652505</v>
      </c>
      <c r="X926">
        <v>0</v>
      </c>
      <c r="Y926">
        <v>0</v>
      </c>
    </row>
    <row r="927" spans="1:25" x14ac:dyDescent="0.2">
      <c r="A927" t="s">
        <v>3421</v>
      </c>
      <c r="B927" t="s">
        <v>3422</v>
      </c>
      <c r="C927" t="s">
        <v>3423</v>
      </c>
      <c r="D927" t="s">
        <v>2542</v>
      </c>
      <c r="E927" t="s">
        <v>3422</v>
      </c>
      <c r="F927" t="s">
        <v>28</v>
      </c>
      <c r="G927" t="s">
        <v>3422</v>
      </c>
      <c r="H927" t="str">
        <f>"rap-2"</f>
        <v>rap-2</v>
      </c>
      <c r="I927" t="s">
        <v>2542</v>
      </c>
      <c r="J927">
        <v>13.7146240900649</v>
      </c>
      <c r="K927">
        <v>13.803049184303999</v>
      </c>
      <c r="L927">
        <v>12.9049005632098</v>
      </c>
      <c r="M927">
        <v>14.1614580456071</v>
      </c>
      <c r="N927">
        <v>12.125925202516299</v>
      </c>
      <c r="O927">
        <v>13.1578584549931</v>
      </c>
      <c r="P927">
        <v>-0.32577737815410601</v>
      </c>
      <c r="Q927">
        <v>-1.1410449803504601</v>
      </c>
      <c r="R927">
        <v>0.48949022404224901</v>
      </c>
      <c r="S927">
        <v>12.8182768256699</v>
      </c>
      <c r="T927">
        <v>-0.84755964287027297</v>
      </c>
      <c r="U927">
        <v>-6.68148953562772</v>
      </c>
      <c r="V927">
        <v>0.40926461204701697</v>
      </c>
      <c r="W927">
        <v>0.68050436770617895</v>
      </c>
      <c r="X927">
        <v>0</v>
      </c>
      <c r="Y927">
        <v>0</v>
      </c>
    </row>
    <row r="928" spans="1:25" x14ac:dyDescent="0.2">
      <c r="A928" t="s">
        <v>3424</v>
      </c>
      <c r="B928" t="s">
        <v>3425</v>
      </c>
      <c r="C928" t="s">
        <v>3426</v>
      </c>
      <c r="D928" t="s">
        <v>3427</v>
      </c>
      <c r="E928" t="s">
        <v>3425</v>
      </c>
      <c r="F928" t="s">
        <v>28</v>
      </c>
      <c r="G928" t="s">
        <v>3425</v>
      </c>
      <c r="H928" t="str">
        <f>"C25D7.10"</f>
        <v>C25D7.10</v>
      </c>
      <c r="I928" t="s">
        <v>3427</v>
      </c>
      <c r="J928">
        <v>14.0966888376011</v>
      </c>
      <c r="K928">
        <v>13.993154252472699</v>
      </c>
      <c r="L928">
        <v>14.210128684617599</v>
      </c>
      <c r="M928">
        <v>14.802524479027401</v>
      </c>
      <c r="N928">
        <v>14.2275128533605</v>
      </c>
      <c r="O928" t="s">
        <v>29</v>
      </c>
      <c r="P928">
        <v>0.41502807463017199</v>
      </c>
      <c r="Q928">
        <v>-0.19321385734809901</v>
      </c>
      <c r="R928">
        <v>1.0232700066084399</v>
      </c>
      <c r="S928">
        <v>14.529528244229301</v>
      </c>
      <c r="T928">
        <v>1.4552671448396699</v>
      </c>
      <c r="U928">
        <v>-5.8952336019127296</v>
      </c>
      <c r="V928">
        <v>0.166346306183038</v>
      </c>
      <c r="W928">
        <v>0.42354528976494898</v>
      </c>
      <c r="X928">
        <v>0</v>
      </c>
      <c r="Y928">
        <v>0</v>
      </c>
    </row>
    <row r="929" spans="1:25" x14ac:dyDescent="0.2">
      <c r="A929" t="s">
        <v>3428</v>
      </c>
      <c r="B929" t="s">
        <v>3429</v>
      </c>
      <c r="C929" t="s">
        <v>3430</v>
      </c>
      <c r="D929" t="s">
        <v>3431</v>
      </c>
      <c r="E929" t="s">
        <v>3429</v>
      </c>
      <c r="F929" t="s">
        <v>28</v>
      </c>
      <c r="G929" t="s">
        <v>3429</v>
      </c>
      <c r="H929" t="str">
        <f>"C27H6.8"</f>
        <v>C27H6.8</v>
      </c>
      <c r="I929" t="s">
        <v>3431</v>
      </c>
      <c r="J929" t="s">
        <v>29</v>
      </c>
      <c r="K929" t="s">
        <v>29</v>
      </c>
      <c r="L929" t="s">
        <v>29</v>
      </c>
      <c r="M929" t="s">
        <v>29</v>
      </c>
      <c r="N929" t="s">
        <v>29</v>
      </c>
      <c r="O929" t="s">
        <v>29</v>
      </c>
      <c r="P929" t="s">
        <v>29</v>
      </c>
      <c r="Q929" t="s">
        <v>29</v>
      </c>
      <c r="R929" t="s">
        <v>29</v>
      </c>
      <c r="S929">
        <v>12.116750619163399</v>
      </c>
      <c r="T929" t="s">
        <v>29</v>
      </c>
      <c r="U929" t="s">
        <v>29</v>
      </c>
      <c r="V929" t="s">
        <v>29</v>
      </c>
      <c r="W929" t="s">
        <v>29</v>
      </c>
      <c r="X929" t="s">
        <v>29</v>
      </c>
      <c r="Y929" t="s">
        <v>29</v>
      </c>
    </row>
    <row r="930" spans="1:25" x14ac:dyDescent="0.2">
      <c r="A930" t="s">
        <v>3432</v>
      </c>
      <c r="B930" t="s">
        <v>3433</v>
      </c>
      <c r="C930" t="s">
        <v>3434</v>
      </c>
      <c r="D930" t="s">
        <v>3435</v>
      </c>
      <c r="E930" t="s">
        <v>3433</v>
      </c>
      <c r="F930" t="s">
        <v>28</v>
      </c>
      <c r="G930" t="s">
        <v>3433</v>
      </c>
      <c r="H930" t="str">
        <f>"ruvb-1"</f>
        <v>ruvb-1</v>
      </c>
      <c r="I930" t="s">
        <v>3435</v>
      </c>
      <c r="J930">
        <v>12.848224461684</v>
      </c>
      <c r="K930">
        <v>12.8529067949921</v>
      </c>
      <c r="L930">
        <v>12.9140423568033</v>
      </c>
      <c r="M930">
        <v>11.9134964897465</v>
      </c>
      <c r="N930">
        <v>13.2657865959956</v>
      </c>
      <c r="O930">
        <v>13.373907401851801</v>
      </c>
      <c r="P930">
        <v>-2.0661041961790999E-2</v>
      </c>
      <c r="Q930">
        <v>-0.59851251933587701</v>
      </c>
      <c r="R930">
        <v>0.55719043541229496</v>
      </c>
      <c r="S930">
        <v>13.4371153319693</v>
      </c>
      <c r="T930">
        <v>-7.5149916942577694E-2</v>
      </c>
      <c r="U930">
        <v>-7.0491272577075303</v>
      </c>
      <c r="V930">
        <v>0.940929171342338</v>
      </c>
      <c r="W930">
        <v>0.97576384643441005</v>
      </c>
      <c r="X930">
        <v>0</v>
      </c>
      <c r="Y930">
        <v>0</v>
      </c>
    </row>
    <row r="931" spans="1:25" x14ac:dyDescent="0.2">
      <c r="A931" t="s">
        <v>3436</v>
      </c>
      <c r="B931" t="s">
        <v>3437</v>
      </c>
      <c r="C931" t="s">
        <v>3438</v>
      </c>
      <c r="D931" t="s">
        <v>3439</v>
      </c>
      <c r="E931" t="s">
        <v>3437</v>
      </c>
      <c r="F931" t="s">
        <v>28</v>
      </c>
      <c r="G931" t="s">
        <v>3437</v>
      </c>
      <c r="H931" t="str">
        <f>"tofu-1"</f>
        <v>tofu-1</v>
      </c>
      <c r="I931" t="s">
        <v>3439</v>
      </c>
      <c r="J931" t="s">
        <v>29</v>
      </c>
      <c r="K931" t="s">
        <v>29</v>
      </c>
      <c r="L931" t="s">
        <v>29</v>
      </c>
      <c r="M931" t="s">
        <v>29</v>
      </c>
      <c r="N931" t="s">
        <v>29</v>
      </c>
      <c r="O931" t="s">
        <v>29</v>
      </c>
      <c r="P931" t="s">
        <v>29</v>
      </c>
      <c r="Q931" t="s">
        <v>29</v>
      </c>
      <c r="R931" t="s">
        <v>29</v>
      </c>
      <c r="S931">
        <v>11.751646781920099</v>
      </c>
      <c r="T931" t="s">
        <v>29</v>
      </c>
      <c r="U931" t="s">
        <v>29</v>
      </c>
      <c r="V931" t="s">
        <v>29</v>
      </c>
      <c r="W931" t="s">
        <v>29</v>
      </c>
      <c r="X931" t="s">
        <v>29</v>
      </c>
      <c r="Y931" t="s">
        <v>29</v>
      </c>
    </row>
    <row r="932" spans="1:25" x14ac:dyDescent="0.2">
      <c r="A932" t="s">
        <v>3440</v>
      </c>
      <c r="B932" t="s">
        <v>3441</v>
      </c>
      <c r="C932" t="s">
        <v>3442</v>
      </c>
      <c r="D932" t="s">
        <v>3443</v>
      </c>
      <c r="E932" t="s">
        <v>3441</v>
      </c>
      <c r="F932" t="s">
        <v>28</v>
      </c>
      <c r="G932" t="s">
        <v>3441</v>
      </c>
      <c r="H932" t="str">
        <f>"C28D4.5"</f>
        <v>C28D4.5</v>
      </c>
      <c r="I932" t="s">
        <v>3443</v>
      </c>
      <c r="J932">
        <v>12.8471914261486</v>
      </c>
      <c r="K932" t="s">
        <v>29</v>
      </c>
      <c r="L932">
        <v>13.225908679684901</v>
      </c>
      <c r="M932" t="s">
        <v>29</v>
      </c>
      <c r="N932">
        <v>12.141973729730701</v>
      </c>
      <c r="O932">
        <v>11.323053928791699</v>
      </c>
      <c r="P932">
        <v>-1.30403622365557</v>
      </c>
      <c r="Q932">
        <v>-2.2685230414041002</v>
      </c>
      <c r="R932">
        <v>-0.33954940590704502</v>
      </c>
      <c r="S932">
        <v>12.647126222754499</v>
      </c>
      <c r="T932">
        <v>-2.9019187728074098</v>
      </c>
      <c r="U932">
        <v>-3.37207449437149</v>
      </c>
      <c r="V932">
        <v>1.1672137766832199E-2</v>
      </c>
      <c r="W932">
        <v>9.7637882501984297E-2</v>
      </c>
      <c r="X932">
        <v>-1</v>
      </c>
      <c r="Y932">
        <v>0</v>
      </c>
    </row>
    <row r="933" spans="1:25" x14ac:dyDescent="0.2">
      <c r="A933" t="s">
        <v>3444</v>
      </c>
      <c r="B933" t="s">
        <v>3445</v>
      </c>
      <c r="C933" t="s">
        <v>3446</v>
      </c>
      <c r="D933" t="s">
        <v>3447</v>
      </c>
      <c r="E933" t="s">
        <v>3445</v>
      </c>
      <c r="F933" t="s">
        <v>28</v>
      </c>
      <c r="G933" t="s">
        <v>3445</v>
      </c>
      <c r="H933" t="str">
        <f>"cka-1"</f>
        <v>cka-1</v>
      </c>
      <c r="I933" t="s">
        <v>3447</v>
      </c>
      <c r="J933">
        <v>13.7216429563242</v>
      </c>
      <c r="K933">
        <v>13.5566923624342</v>
      </c>
      <c r="L933">
        <v>13.974643554917201</v>
      </c>
      <c r="M933">
        <v>13.311916874330599</v>
      </c>
      <c r="N933">
        <v>14.0540177732929</v>
      </c>
      <c r="O933">
        <v>13.2829086903443</v>
      </c>
      <c r="P933">
        <v>-0.20137851190261499</v>
      </c>
      <c r="Q933">
        <v>-0.67503417380762998</v>
      </c>
      <c r="R933">
        <v>0.27227715000239999</v>
      </c>
      <c r="S933">
        <v>13.575035776360201</v>
      </c>
      <c r="T933">
        <v>-0.89742963629803096</v>
      </c>
      <c r="U933">
        <v>-6.63854752410752</v>
      </c>
      <c r="V933">
        <v>0.38210038909668398</v>
      </c>
      <c r="W933">
        <v>0.65758286852949599</v>
      </c>
      <c r="X933">
        <v>0</v>
      </c>
      <c r="Y933">
        <v>0</v>
      </c>
    </row>
    <row r="934" spans="1:25" x14ac:dyDescent="0.2">
      <c r="A934" t="s">
        <v>3448</v>
      </c>
      <c r="B934" t="s">
        <v>3449</v>
      </c>
      <c r="C934" t="s">
        <v>3450</v>
      </c>
      <c r="D934" t="s">
        <v>3451</v>
      </c>
      <c r="E934" t="s">
        <v>3449</v>
      </c>
      <c r="F934" t="s">
        <v>28</v>
      </c>
      <c r="G934" t="s">
        <v>3449</v>
      </c>
      <c r="H934" t="str">
        <f>"ech-1.1"</f>
        <v>ech-1.1</v>
      </c>
      <c r="I934" t="s">
        <v>3451</v>
      </c>
      <c r="J934">
        <v>13.273828498303301</v>
      </c>
      <c r="K934">
        <v>13.1973258456997</v>
      </c>
      <c r="L934">
        <v>12.880880123295199</v>
      </c>
      <c r="M934">
        <v>13.8299672871645</v>
      </c>
      <c r="N934">
        <v>14.6358543657194</v>
      </c>
      <c r="O934">
        <v>14.0701474724946</v>
      </c>
      <c r="P934">
        <v>1.0613115526934001</v>
      </c>
      <c r="Q934">
        <v>0.53381889955698603</v>
      </c>
      <c r="R934">
        <v>1.58880420582981</v>
      </c>
      <c r="S934">
        <v>13.2627606801368</v>
      </c>
      <c r="T934">
        <v>4.2469435617675302</v>
      </c>
      <c r="U934">
        <v>-0.62273830707526201</v>
      </c>
      <c r="V934">
        <v>5.5053354341995701E-4</v>
      </c>
      <c r="W934">
        <v>1.17087330084218E-2</v>
      </c>
      <c r="X934">
        <v>1</v>
      </c>
      <c r="Y934">
        <v>1</v>
      </c>
    </row>
    <row r="935" spans="1:25" x14ac:dyDescent="0.2">
      <c r="A935" t="s">
        <v>3452</v>
      </c>
      <c r="B935" t="s">
        <v>3453</v>
      </c>
      <c r="C935" t="s">
        <v>3454</v>
      </c>
      <c r="D935" t="s">
        <v>3455</v>
      </c>
      <c r="E935" t="s">
        <v>3453</v>
      </c>
      <c r="F935" t="s">
        <v>28</v>
      </c>
      <c r="G935" t="s">
        <v>3453</v>
      </c>
      <c r="H935" t="str">
        <f>"C29F7.2"</f>
        <v>C29F7.2</v>
      </c>
      <c r="I935" t="s">
        <v>3455</v>
      </c>
      <c r="J935">
        <v>13.335705015118201</v>
      </c>
      <c r="K935">
        <v>13.729750690992001</v>
      </c>
      <c r="L935">
        <v>13.341549064692</v>
      </c>
      <c r="M935">
        <v>13.723555196257699</v>
      </c>
      <c r="N935">
        <v>14.158702481704101</v>
      </c>
      <c r="O935">
        <v>13.5567715818975</v>
      </c>
      <c r="P935">
        <v>0.344008163019005</v>
      </c>
      <c r="Q935">
        <v>-0.213755736934123</v>
      </c>
      <c r="R935">
        <v>0.90177206297213297</v>
      </c>
      <c r="S935">
        <v>13.612411307212801</v>
      </c>
      <c r="T935">
        <v>1.3018722178823401</v>
      </c>
      <c r="U935">
        <v>-6.2033021181738102</v>
      </c>
      <c r="V935">
        <v>0.210431377763034</v>
      </c>
      <c r="W935">
        <v>0.47584690982690198</v>
      </c>
      <c r="X935">
        <v>0</v>
      </c>
      <c r="Y935">
        <v>0</v>
      </c>
    </row>
    <row r="936" spans="1:25" x14ac:dyDescent="0.2">
      <c r="A936" t="s">
        <v>3456</v>
      </c>
      <c r="B936" t="s">
        <v>3457</v>
      </c>
      <c r="C936" t="s">
        <v>3458</v>
      </c>
      <c r="D936" t="s">
        <v>3459</v>
      </c>
      <c r="E936" t="s">
        <v>3457</v>
      </c>
      <c r="F936" t="s">
        <v>28</v>
      </c>
      <c r="G936" t="s">
        <v>3457</v>
      </c>
      <c r="H936" t="str">
        <f>"C29F7.3"</f>
        <v>C29F7.3</v>
      </c>
      <c r="I936" t="s">
        <v>3459</v>
      </c>
      <c r="J936">
        <v>13.3997683500922</v>
      </c>
      <c r="K936">
        <v>12.284811224796099</v>
      </c>
      <c r="L936">
        <v>13.2622093948406</v>
      </c>
      <c r="M936">
        <v>13.0382075897418</v>
      </c>
      <c r="N936">
        <v>12.7469172410157</v>
      </c>
      <c r="O936">
        <v>13.581279072311901</v>
      </c>
      <c r="P936">
        <v>0.13987164444681499</v>
      </c>
      <c r="Q936">
        <v>-0.47455100007925499</v>
      </c>
      <c r="R936">
        <v>0.75429428897288497</v>
      </c>
      <c r="S936">
        <v>13.0375264848395</v>
      </c>
      <c r="T936">
        <v>0.478470295254322</v>
      </c>
      <c r="U936">
        <v>-6.9328770726187496</v>
      </c>
      <c r="V936">
        <v>0.63810908720548598</v>
      </c>
      <c r="W936">
        <v>0.83423341493236303</v>
      </c>
      <c r="X936">
        <v>0</v>
      </c>
      <c r="Y936">
        <v>0</v>
      </c>
    </row>
    <row r="937" spans="1:25" x14ac:dyDescent="0.2">
      <c r="A937" t="s">
        <v>3460</v>
      </c>
      <c r="B937" t="s">
        <v>3461</v>
      </c>
      <c r="C937" t="s">
        <v>3462</v>
      </c>
      <c r="D937" t="s">
        <v>3463</v>
      </c>
      <c r="E937" t="s">
        <v>3461</v>
      </c>
      <c r="F937" t="s">
        <v>28</v>
      </c>
      <c r="G937" t="s">
        <v>3461</v>
      </c>
      <c r="H937" t="str">
        <f>"phdh-1"</f>
        <v>phdh-1</v>
      </c>
      <c r="I937" t="s">
        <v>3463</v>
      </c>
      <c r="J937" t="s">
        <v>29</v>
      </c>
      <c r="K937">
        <v>10.4433294662648</v>
      </c>
      <c r="L937">
        <v>10.9825491723435</v>
      </c>
      <c r="M937">
        <v>12.8418643050549</v>
      </c>
      <c r="N937">
        <v>13.0962484865621</v>
      </c>
      <c r="O937">
        <v>13.840158804637801</v>
      </c>
      <c r="P937">
        <v>2.5464845461141401</v>
      </c>
      <c r="Q937">
        <v>1.74446459218436</v>
      </c>
      <c r="R937">
        <v>3.34850450004391</v>
      </c>
      <c r="S937">
        <v>12.162815160756599</v>
      </c>
      <c r="T937">
        <v>6.7020225472257096</v>
      </c>
      <c r="U937">
        <v>4.4488759158990199</v>
      </c>
      <c r="V937" s="2">
        <v>3.8376221806327598E-6</v>
      </c>
      <c r="W937">
        <v>1.8364150846733799E-4</v>
      </c>
      <c r="X937">
        <v>1</v>
      </c>
      <c r="Y937">
        <v>1</v>
      </c>
    </row>
    <row r="938" spans="1:25" x14ac:dyDescent="0.2">
      <c r="A938" t="s">
        <v>3464</v>
      </c>
      <c r="B938" t="s">
        <v>3465</v>
      </c>
      <c r="C938" t="s">
        <v>3466</v>
      </c>
      <c r="D938" t="s">
        <v>3312</v>
      </c>
      <c r="E938" t="s">
        <v>3465</v>
      </c>
      <c r="F938" t="s">
        <v>28</v>
      </c>
      <c r="G938" t="s">
        <v>3465</v>
      </c>
      <c r="H938" t="str">
        <f>"col-178"</f>
        <v>col-178</v>
      </c>
      <c r="I938" t="s">
        <v>3312</v>
      </c>
      <c r="J938">
        <v>11.719277484038299</v>
      </c>
      <c r="K938" t="s">
        <v>29</v>
      </c>
      <c r="L938">
        <v>13.137309893572199</v>
      </c>
      <c r="M938" t="s">
        <v>29</v>
      </c>
      <c r="N938" t="s">
        <v>29</v>
      </c>
      <c r="O938" t="s">
        <v>29</v>
      </c>
      <c r="P938" t="s">
        <v>29</v>
      </c>
      <c r="Q938" t="s">
        <v>29</v>
      </c>
      <c r="R938" t="s">
        <v>29</v>
      </c>
      <c r="S938">
        <v>13.315973958958599</v>
      </c>
      <c r="T938" t="s">
        <v>29</v>
      </c>
      <c r="U938" t="s">
        <v>29</v>
      </c>
      <c r="V938" t="s">
        <v>29</v>
      </c>
      <c r="W938" t="s">
        <v>29</v>
      </c>
      <c r="X938" t="s">
        <v>29</v>
      </c>
      <c r="Y938" t="s">
        <v>29</v>
      </c>
    </row>
    <row r="939" spans="1:25" x14ac:dyDescent="0.2">
      <c r="A939" t="s">
        <v>3467</v>
      </c>
      <c r="B939" t="s">
        <v>3468</v>
      </c>
      <c r="C939" t="s">
        <v>3469</v>
      </c>
      <c r="D939" t="s">
        <v>3312</v>
      </c>
      <c r="E939" t="s">
        <v>3468</v>
      </c>
      <c r="F939" t="s">
        <v>28</v>
      </c>
      <c r="G939" t="s">
        <v>3468</v>
      </c>
      <c r="H939" t="str">
        <f>"col-179"</f>
        <v>col-179</v>
      </c>
      <c r="I939" t="s">
        <v>3312</v>
      </c>
      <c r="J939" t="s">
        <v>29</v>
      </c>
      <c r="K939" t="s">
        <v>29</v>
      </c>
      <c r="L939" t="s">
        <v>29</v>
      </c>
      <c r="M939" t="s">
        <v>29</v>
      </c>
      <c r="N939">
        <v>14.1935808637466</v>
      </c>
      <c r="O939" t="s">
        <v>29</v>
      </c>
      <c r="P939" t="s">
        <v>29</v>
      </c>
      <c r="Q939" t="s">
        <v>29</v>
      </c>
      <c r="R939" t="s">
        <v>29</v>
      </c>
      <c r="S939">
        <v>12.5379874049599</v>
      </c>
      <c r="T939" t="s">
        <v>29</v>
      </c>
      <c r="U939" t="s">
        <v>29</v>
      </c>
      <c r="V939" t="s">
        <v>29</v>
      </c>
      <c r="W939" t="s">
        <v>29</v>
      </c>
      <c r="X939" t="s">
        <v>29</v>
      </c>
      <c r="Y939" t="s">
        <v>29</v>
      </c>
    </row>
    <row r="940" spans="1:25" x14ac:dyDescent="0.2">
      <c r="A940" t="s">
        <v>3470</v>
      </c>
      <c r="B940" t="s">
        <v>3471</v>
      </c>
      <c r="C940" t="s">
        <v>3472</v>
      </c>
      <c r="D940" t="s">
        <v>2584</v>
      </c>
      <c r="E940" t="s">
        <v>3471</v>
      </c>
      <c r="F940" t="s">
        <v>28</v>
      </c>
      <c r="G940" t="s">
        <v>3471</v>
      </c>
      <c r="H940" t="str">
        <f>"idh-2"</f>
        <v>idh-2</v>
      </c>
      <c r="I940" t="s">
        <v>2584</v>
      </c>
      <c r="J940">
        <v>13.776009229466499</v>
      </c>
      <c r="K940">
        <v>13.633836770546401</v>
      </c>
      <c r="L940">
        <v>13.658006531440501</v>
      </c>
      <c r="M940">
        <v>13.7844586088139</v>
      </c>
      <c r="N940">
        <v>13.853077428187101</v>
      </c>
      <c r="O940">
        <v>14.121294631164</v>
      </c>
      <c r="P940">
        <v>0.23032604557052699</v>
      </c>
      <c r="Q940">
        <v>-0.26494866716615301</v>
      </c>
      <c r="R940">
        <v>0.72560075830720605</v>
      </c>
      <c r="S940">
        <v>13.664612807032499</v>
      </c>
      <c r="T940">
        <v>0.977438428912066</v>
      </c>
      <c r="U940">
        <v>-6.5644060020114301</v>
      </c>
      <c r="V940">
        <v>0.34138182225272101</v>
      </c>
      <c r="W940">
        <v>0.62128436779102603</v>
      </c>
      <c r="X940">
        <v>0</v>
      </c>
      <c r="Y940">
        <v>0</v>
      </c>
    </row>
    <row r="941" spans="1:25" x14ac:dyDescent="0.2">
      <c r="A941" t="s">
        <v>3473</v>
      </c>
      <c r="B941" t="s">
        <v>3474</v>
      </c>
      <c r="C941" t="s">
        <v>3475</v>
      </c>
      <c r="D941" t="s">
        <v>758</v>
      </c>
      <c r="E941" t="s">
        <v>3474</v>
      </c>
      <c r="F941" t="s">
        <v>28</v>
      </c>
      <c r="G941" t="s">
        <v>3474</v>
      </c>
      <c r="H941" t="str">
        <f>"aspm-1"</f>
        <v>aspm-1</v>
      </c>
      <c r="I941" t="s">
        <v>758</v>
      </c>
      <c r="J941" t="s">
        <v>29</v>
      </c>
      <c r="K941">
        <v>9.1689539721658093</v>
      </c>
      <c r="L941">
        <v>10.692651826268699</v>
      </c>
      <c r="M941" t="s">
        <v>29</v>
      </c>
      <c r="N941" t="s">
        <v>29</v>
      </c>
      <c r="O941" t="s">
        <v>29</v>
      </c>
      <c r="P941" t="s">
        <v>29</v>
      </c>
      <c r="Q941" t="s">
        <v>29</v>
      </c>
      <c r="R941" t="s">
        <v>29</v>
      </c>
      <c r="S941">
        <v>10.706143560161101</v>
      </c>
      <c r="T941" t="s">
        <v>29</v>
      </c>
      <c r="U941" t="s">
        <v>29</v>
      </c>
      <c r="V941" t="s">
        <v>29</v>
      </c>
      <c r="W941" t="s">
        <v>29</v>
      </c>
      <c r="X941" t="s">
        <v>29</v>
      </c>
      <c r="Y941" t="s">
        <v>29</v>
      </c>
    </row>
    <row r="942" spans="1:25" x14ac:dyDescent="0.2">
      <c r="A942" t="s">
        <v>3476</v>
      </c>
      <c r="B942" t="s">
        <v>3477</v>
      </c>
      <c r="C942" t="s">
        <v>3478</v>
      </c>
      <c r="D942" t="s">
        <v>3479</v>
      </c>
      <c r="E942" t="s">
        <v>3477</v>
      </c>
      <c r="F942" t="s">
        <v>28</v>
      </c>
      <c r="G942" t="s">
        <v>3477</v>
      </c>
      <c r="H942" t="str">
        <f>"sams-1"</f>
        <v>sams-1</v>
      </c>
      <c r="I942" t="s">
        <v>3479</v>
      </c>
      <c r="J942">
        <v>16.218700290177399</v>
      </c>
      <c r="K942">
        <v>15.445848239534801</v>
      </c>
      <c r="L942">
        <v>15.5712068193703</v>
      </c>
      <c r="M942">
        <v>16.091224206167102</v>
      </c>
      <c r="N942">
        <v>15.933730311459501</v>
      </c>
      <c r="O942">
        <v>15.9506603784454</v>
      </c>
      <c r="P942">
        <v>0.24661984899650399</v>
      </c>
      <c r="Q942">
        <v>-0.19322532406134801</v>
      </c>
      <c r="R942">
        <v>0.686465022054356</v>
      </c>
      <c r="S942">
        <v>15.8239188902597</v>
      </c>
      <c r="T942">
        <v>1.17847591297138</v>
      </c>
      <c r="U942">
        <v>-6.3513224694661297</v>
      </c>
      <c r="V942">
        <v>0.25404050042779902</v>
      </c>
      <c r="W942">
        <v>0.52956296501733402</v>
      </c>
      <c r="X942">
        <v>0</v>
      </c>
      <c r="Y942">
        <v>0</v>
      </c>
    </row>
    <row r="943" spans="1:25" x14ac:dyDescent="0.2">
      <c r="A943" t="s">
        <v>3480</v>
      </c>
      <c r="B943" t="s">
        <v>3481</v>
      </c>
      <c r="C943" t="s">
        <v>3482</v>
      </c>
      <c r="D943" t="s">
        <v>3483</v>
      </c>
      <c r="E943" t="s">
        <v>3481</v>
      </c>
      <c r="F943" t="s">
        <v>28</v>
      </c>
      <c r="G943" t="s">
        <v>3481</v>
      </c>
      <c r="H943" t="str">
        <f>"nasp-2"</f>
        <v>nasp-2</v>
      </c>
      <c r="I943" t="s">
        <v>3483</v>
      </c>
      <c r="J943">
        <v>13.5846604216126</v>
      </c>
      <c r="K943">
        <v>10.6658240558319</v>
      </c>
      <c r="L943">
        <v>11.5608608415586</v>
      </c>
      <c r="M943" t="s">
        <v>29</v>
      </c>
      <c r="N943">
        <v>11.7881080470585</v>
      </c>
      <c r="O943">
        <v>9.7150413715138395</v>
      </c>
      <c r="P943">
        <v>-1.1855403970482099</v>
      </c>
      <c r="Q943">
        <v>-2.9494796499612801</v>
      </c>
      <c r="R943">
        <v>0.57839885586486905</v>
      </c>
      <c r="S943">
        <v>12.3909971257286</v>
      </c>
      <c r="T943">
        <v>-1.44252924043341</v>
      </c>
      <c r="U943">
        <v>-5.9123328699986999</v>
      </c>
      <c r="V943">
        <v>0.17131449646441499</v>
      </c>
      <c r="W943">
        <v>0.42980522089067702</v>
      </c>
      <c r="X943">
        <v>0</v>
      </c>
      <c r="Y943">
        <v>0</v>
      </c>
    </row>
    <row r="944" spans="1:25" x14ac:dyDescent="0.2">
      <c r="A944" t="s">
        <v>3484</v>
      </c>
      <c r="B944" t="s">
        <v>3485</v>
      </c>
      <c r="C944" t="s">
        <v>3486</v>
      </c>
      <c r="D944" t="s">
        <v>3487</v>
      </c>
      <c r="E944" t="s">
        <v>3485</v>
      </c>
      <c r="F944" t="s">
        <v>28</v>
      </c>
      <c r="G944" t="s">
        <v>3485</v>
      </c>
      <c r="H944" t="str">
        <f>"ril-1"</f>
        <v>ril-1</v>
      </c>
      <c r="I944" t="s">
        <v>3487</v>
      </c>
      <c r="J944">
        <v>16.787453630533701</v>
      </c>
      <c r="K944">
        <v>16.634518450426999</v>
      </c>
      <c r="L944">
        <v>16.471543465049098</v>
      </c>
      <c r="M944">
        <v>16.718730371915498</v>
      </c>
      <c r="N944">
        <v>16.1878158644816</v>
      </c>
      <c r="O944">
        <v>16.774786193718601</v>
      </c>
      <c r="P944">
        <v>-7.0727705298011798E-2</v>
      </c>
      <c r="Q944">
        <v>-0.495479296164751</v>
      </c>
      <c r="R944">
        <v>0.35402388556872799</v>
      </c>
      <c r="S944">
        <v>16.712274405455101</v>
      </c>
      <c r="T944">
        <v>-0.349983094647565</v>
      </c>
      <c r="U944">
        <v>-6.9881151378715902</v>
      </c>
      <c r="V944">
        <v>0.73043675201316804</v>
      </c>
      <c r="W944">
        <v>0.88457059585070597</v>
      </c>
      <c r="X944">
        <v>0</v>
      </c>
      <c r="Y944">
        <v>0</v>
      </c>
    </row>
    <row r="945" spans="1:25" x14ac:dyDescent="0.2">
      <c r="A945" t="s">
        <v>3488</v>
      </c>
      <c r="B945" t="s">
        <v>3489</v>
      </c>
      <c r="C945" t="s">
        <v>3490</v>
      </c>
      <c r="D945" t="s">
        <v>3491</v>
      </c>
      <c r="E945" t="s">
        <v>3489</v>
      </c>
      <c r="F945" t="s">
        <v>28</v>
      </c>
      <c r="G945" t="s">
        <v>3489</v>
      </c>
      <c r="H945" t="str">
        <f>"hda-1"</f>
        <v>hda-1</v>
      </c>
      <c r="I945" t="s">
        <v>3491</v>
      </c>
      <c r="J945">
        <v>15.3505831403437</v>
      </c>
      <c r="K945">
        <v>15.4359542627643</v>
      </c>
      <c r="L945">
        <v>15.1884762150694</v>
      </c>
      <c r="M945">
        <v>15.1682410366098</v>
      </c>
      <c r="N945">
        <v>15.426231226706699</v>
      </c>
      <c r="O945">
        <v>15.1475404951518</v>
      </c>
      <c r="P945">
        <v>-7.7666953236363398E-2</v>
      </c>
      <c r="Q945">
        <v>-0.46080036752239101</v>
      </c>
      <c r="R945">
        <v>0.30546646104966402</v>
      </c>
      <c r="S945">
        <v>15.194515883795701</v>
      </c>
      <c r="T945">
        <v>-0.42606783760965999</v>
      </c>
      <c r="U945">
        <v>-6.9574339889085897</v>
      </c>
      <c r="V945">
        <v>0.67513920167891495</v>
      </c>
      <c r="W945">
        <v>0.85541145012261999</v>
      </c>
      <c r="X945">
        <v>0</v>
      </c>
      <c r="Y945">
        <v>0</v>
      </c>
    </row>
    <row r="946" spans="1:25" x14ac:dyDescent="0.2">
      <c r="A946" t="s">
        <v>3492</v>
      </c>
      <c r="B946" t="s">
        <v>3493</v>
      </c>
      <c r="C946" t="s">
        <v>3494</v>
      </c>
      <c r="D946" t="s">
        <v>3495</v>
      </c>
      <c r="E946" t="s">
        <v>3493</v>
      </c>
      <c r="F946" t="s">
        <v>28</v>
      </c>
      <c r="G946" t="s">
        <v>3496</v>
      </c>
      <c r="H946" t="str">
        <f>"C55A6.6"</f>
        <v>C55A6.6</v>
      </c>
      <c r="I946" t="s">
        <v>3246</v>
      </c>
      <c r="J946">
        <v>11.4709676975931</v>
      </c>
      <c r="K946" t="s">
        <v>29</v>
      </c>
      <c r="L946">
        <v>11.3709963420335</v>
      </c>
      <c r="M946">
        <v>12.499520132752</v>
      </c>
      <c r="N946">
        <v>11.807365637241301</v>
      </c>
      <c r="O946">
        <v>11.546281686536499</v>
      </c>
      <c r="P946">
        <v>0.53007379903001195</v>
      </c>
      <c r="Q946">
        <v>-0.27618567394044002</v>
      </c>
      <c r="R946">
        <v>1.3363332720004599</v>
      </c>
      <c r="S946">
        <v>11.647777523256</v>
      </c>
      <c r="T946">
        <v>1.39447597886954</v>
      </c>
      <c r="U946">
        <v>-5.97593538819714</v>
      </c>
      <c r="V946">
        <v>0.18235962222796301</v>
      </c>
      <c r="W946">
        <v>0.44549415219954203</v>
      </c>
      <c r="X946">
        <v>0</v>
      </c>
      <c r="Y946">
        <v>0</v>
      </c>
    </row>
    <row r="947" spans="1:25" x14ac:dyDescent="0.2">
      <c r="A947" t="s">
        <v>3497</v>
      </c>
      <c r="B947" t="s">
        <v>3498</v>
      </c>
      <c r="C947" t="s">
        <v>3499</v>
      </c>
      <c r="D947" t="s">
        <v>3500</v>
      </c>
      <c r="E947" t="s">
        <v>3498</v>
      </c>
      <c r="F947" t="s">
        <v>28</v>
      </c>
      <c r="G947" t="s">
        <v>3498</v>
      </c>
      <c r="H947" t="str">
        <f>"pyc-1"</f>
        <v>pyc-1</v>
      </c>
      <c r="I947" t="s">
        <v>3500</v>
      </c>
      <c r="J947">
        <v>25.590285484566301</v>
      </c>
      <c r="K947">
        <v>25.815979005986001</v>
      </c>
      <c r="L947">
        <v>25.388870392444201</v>
      </c>
      <c r="M947">
        <v>25.804477399015202</v>
      </c>
      <c r="N947">
        <v>26.0535754673611</v>
      </c>
      <c r="O947">
        <v>25.6806063876748</v>
      </c>
      <c r="P947">
        <v>0.24784145701817201</v>
      </c>
      <c r="Q947">
        <v>-0.57751993881933095</v>
      </c>
      <c r="R947">
        <v>1.0732028528556801</v>
      </c>
      <c r="S947">
        <v>24.4476655927511</v>
      </c>
      <c r="T947">
        <v>0.631135072352767</v>
      </c>
      <c r="U947">
        <v>-6.8456415956782104</v>
      </c>
      <c r="V947">
        <v>0.53593105283875797</v>
      </c>
      <c r="W947">
        <v>0.77501266500839605</v>
      </c>
      <c r="X947">
        <v>0</v>
      </c>
      <c r="Y947">
        <v>0</v>
      </c>
    </row>
    <row r="948" spans="1:25" x14ac:dyDescent="0.2">
      <c r="A948" t="s">
        <v>3501</v>
      </c>
      <c r="B948" t="s">
        <v>3502</v>
      </c>
      <c r="C948" t="s">
        <v>14347</v>
      </c>
      <c r="D948" t="s">
        <v>429</v>
      </c>
      <c r="E948" t="s">
        <v>3502</v>
      </c>
      <c r="F948" t="s">
        <v>28</v>
      </c>
      <c r="G948" t="s">
        <v>3502</v>
      </c>
      <c r="H948" t="str">
        <f>"D2023.6"</f>
        <v>D2023.6</v>
      </c>
      <c r="I948" t="s">
        <v>429</v>
      </c>
      <c r="J948">
        <v>11.7936797289055</v>
      </c>
      <c r="K948">
        <v>11.7145190963912</v>
      </c>
      <c r="L948">
        <v>12.0333293320175</v>
      </c>
      <c r="M948">
        <v>11.668790531136599</v>
      </c>
      <c r="N948">
        <v>11.783473065906399</v>
      </c>
      <c r="O948">
        <v>11.660543718243799</v>
      </c>
      <c r="P948">
        <v>-0.14290694734245701</v>
      </c>
      <c r="Q948">
        <v>-0.51250965135034299</v>
      </c>
      <c r="R948">
        <v>0.22669575666542899</v>
      </c>
      <c r="S948">
        <v>11.838699373483699</v>
      </c>
      <c r="T948">
        <v>-0.81614667490644699</v>
      </c>
      <c r="U948">
        <v>-6.70869249688627</v>
      </c>
      <c r="V948">
        <v>0.42577424308483902</v>
      </c>
      <c r="W948">
        <v>0.69633750496314994</v>
      </c>
      <c r="X948">
        <v>0</v>
      </c>
      <c r="Y948">
        <v>0</v>
      </c>
    </row>
    <row r="949" spans="1:25" x14ac:dyDescent="0.2">
      <c r="A949" t="s">
        <v>3503</v>
      </c>
      <c r="B949" t="s">
        <v>3504</v>
      </c>
      <c r="C949" t="s">
        <v>3505</v>
      </c>
      <c r="D949" t="s">
        <v>3506</v>
      </c>
      <c r="E949" t="s">
        <v>3504</v>
      </c>
      <c r="F949" t="s">
        <v>28</v>
      </c>
      <c r="G949" t="s">
        <v>3504</v>
      </c>
      <c r="H949" t="str">
        <f>"etc-1"</f>
        <v>etc-1</v>
      </c>
      <c r="I949" t="s">
        <v>3506</v>
      </c>
      <c r="J949">
        <v>12.779309793636701</v>
      </c>
      <c r="K949">
        <v>12.018269361007601</v>
      </c>
      <c r="L949">
        <v>12.7113102660753</v>
      </c>
      <c r="M949">
        <v>12.782266882902601</v>
      </c>
      <c r="N949">
        <v>12.760412562305399</v>
      </c>
      <c r="O949">
        <v>12.369577850265101</v>
      </c>
      <c r="P949">
        <v>0.134455958251186</v>
      </c>
      <c r="Q949">
        <v>-0.30816981996371801</v>
      </c>
      <c r="R949">
        <v>0.57708173646608996</v>
      </c>
      <c r="S949">
        <v>12.8670502672226</v>
      </c>
      <c r="T949">
        <v>0.641199776099311</v>
      </c>
      <c r="U949">
        <v>-6.8385563683189501</v>
      </c>
      <c r="V949">
        <v>0.52999575844666202</v>
      </c>
      <c r="W949">
        <v>0.77317525993383995</v>
      </c>
      <c r="X949">
        <v>0</v>
      </c>
      <c r="Y949">
        <v>0</v>
      </c>
    </row>
    <row r="950" spans="1:25" x14ac:dyDescent="0.2">
      <c r="A950" t="s">
        <v>3507</v>
      </c>
      <c r="B950" t="s">
        <v>3508</v>
      </c>
      <c r="C950" t="s">
        <v>3509</v>
      </c>
      <c r="D950" t="s">
        <v>3510</v>
      </c>
      <c r="E950" t="s">
        <v>3508</v>
      </c>
      <c r="F950" t="s">
        <v>28</v>
      </c>
      <c r="G950" t="s">
        <v>3508</v>
      </c>
      <c r="H950" t="str">
        <f>"tkt-1"</f>
        <v>tkt-1</v>
      </c>
      <c r="I950" t="s">
        <v>3510</v>
      </c>
      <c r="J950">
        <v>14.661790124063</v>
      </c>
      <c r="K950">
        <v>14.4322514143419</v>
      </c>
      <c r="L950">
        <v>14.772847428277499</v>
      </c>
      <c r="M950">
        <v>14.7748235331053</v>
      </c>
      <c r="N950">
        <v>14.9505732733634</v>
      </c>
      <c r="O950">
        <v>15.651123846253</v>
      </c>
      <c r="P950">
        <v>0.50321056201313596</v>
      </c>
      <c r="Q950">
        <v>6.8066168421506701E-3</v>
      </c>
      <c r="R950">
        <v>0.99961450718412104</v>
      </c>
      <c r="S950">
        <v>14.8122072710566</v>
      </c>
      <c r="T950">
        <v>2.1306250894366499</v>
      </c>
      <c r="U950">
        <v>-4.9337650589574196</v>
      </c>
      <c r="V950">
        <v>4.7250836067903701E-2</v>
      </c>
      <c r="W950">
        <v>0.21624114188516</v>
      </c>
      <c r="X950">
        <v>0</v>
      </c>
      <c r="Y950">
        <v>0</v>
      </c>
    </row>
    <row r="951" spans="1:25" x14ac:dyDescent="0.2">
      <c r="A951" t="s">
        <v>3511</v>
      </c>
      <c r="B951" t="s">
        <v>3512</v>
      </c>
      <c r="C951" t="s">
        <v>3513</v>
      </c>
      <c r="D951" t="s">
        <v>3514</v>
      </c>
      <c r="E951" t="s">
        <v>3512</v>
      </c>
      <c r="F951" t="s">
        <v>28</v>
      </c>
      <c r="G951" t="s">
        <v>3512</v>
      </c>
      <c r="H951" t="str">
        <f>"ech-8"</f>
        <v>ech-8</v>
      </c>
      <c r="I951" t="s">
        <v>3514</v>
      </c>
      <c r="J951">
        <v>13.692185027788399</v>
      </c>
      <c r="K951">
        <v>14.770185724588901</v>
      </c>
      <c r="L951">
        <v>14.029581832906899</v>
      </c>
      <c r="M951">
        <v>12.716799048767101</v>
      </c>
      <c r="N951">
        <v>13.8980667797761</v>
      </c>
      <c r="O951">
        <v>12.8748701617124</v>
      </c>
      <c r="P951">
        <v>-1.0007388650095601</v>
      </c>
      <c r="Q951">
        <v>-1.7616466072311101</v>
      </c>
      <c r="R951">
        <v>-0.23983112278801</v>
      </c>
      <c r="S951">
        <v>12.968937832177399</v>
      </c>
      <c r="T951">
        <v>-2.82280355851355</v>
      </c>
      <c r="U951">
        <v>-3.7076033699803599</v>
      </c>
      <c r="V951">
        <v>1.36382674957578E-2</v>
      </c>
      <c r="W951">
        <v>0.10828471842818201</v>
      </c>
      <c r="X951">
        <v>-1</v>
      </c>
      <c r="Y951">
        <v>0</v>
      </c>
    </row>
    <row r="952" spans="1:25" x14ac:dyDescent="0.2">
      <c r="A952" t="s">
        <v>3515</v>
      </c>
      <c r="B952" t="s">
        <v>3516</v>
      </c>
      <c r="C952" t="s">
        <v>3517</v>
      </c>
      <c r="D952" t="s">
        <v>758</v>
      </c>
      <c r="E952" t="s">
        <v>3516</v>
      </c>
      <c r="F952" t="s">
        <v>28</v>
      </c>
      <c r="G952" t="s">
        <v>3516</v>
      </c>
      <c r="H952" t="str">
        <f>"pes-7"</f>
        <v>pes-7</v>
      </c>
      <c r="I952" t="s">
        <v>758</v>
      </c>
      <c r="J952">
        <v>11.863976846072401</v>
      </c>
      <c r="K952">
        <v>11.456434208626501</v>
      </c>
      <c r="L952">
        <v>12.296316837863101</v>
      </c>
      <c r="M952">
        <v>13.832757454082399</v>
      </c>
      <c r="N952">
        <v>14.0773687996652</v>
      </c>
      <c r="O952">
        <v>13.4834842196823</v>
      </c>
      <c r="P952">
        <v>1.9256275269559899</v>
      </c>
      <c r="Q952">
        <v>1.18299763714078</v>
      </c>
      <c r="R952">
        <v>2.6682574167711901</v>
      </c>
      <c r="S952">
        <v>12.7578449313483</v>
      </c>
      <c r="T952">
        <v>5.4499481908551299</v>
      </c>
      <c r="U952">
        <v>2.07545584202752</v>
      </c>
      <c r="V952" s="2">
        <v>3.6159473868323599E-5</v>
      </c>
      <c r="W952">
        <v>1.3450162348961599E-3</v>
      </c>
      <c r="X952">
        <v>1</v>
      </c>
      <c r="Y952">
        <v>1</v>
      </c>
    </row>
    <row r="953" spans="1:25" x14ac:dyDescent="0.2">
      <c r="A953" t="s">
        <v>3518</v>
      </c>
      <c r="B953" t="s">
        <v>3519</v>
      </c>
      <c r="C953" t="s">
        <v>3520</v>
      </c>
      <c r="D953" t="s">
        <v>3312</v>
      </c>
      <c r="E953" t="s">
        <v>3519</v>
      </c>
      <c r="F953" t="s">
        <v>28</v>
      </c>
      <c r="G953" t="s">
        <v>3519</v>
      </c>
      <c r="H953" t="str">
        <f>"col-98"</f>
        <v>col-98</v>
      </c>
      <c r="I953" t="s">
        <v>3312</v>
      </c>
      <c r="J953">
        <v>13.4646637792903</v>
      </c>
      <c r="K953">
        <v>14.0538278841361</v>
      </c>
      <c r="L953">
        <v>13.8319462161337</v>
      </c>
      <c r="M953">
        <v>13.7296167187904</v>
      </c>
      <c r="N953">
        <v>12.3974073617984</v>
      </c>
      <c r="O953">
        <v>13.5376735235533</v>
      </c>
      <c r="P953">
        <v>-0.56191342513933096</v>
      </c>
      <c r="Q953">
        <v>-1.2128139012310799</v>
      </c>
      <c r="R953">
        <v>8.8987050952417907E-2</v>
      </c>
      <c r="S953">
        <v>14.0603108151131</v>
      </c>
      <c r="T953">
        <v>-1.81445972297266</v>
      </c>
      <c r="U953">
        <v>-5.46935817111095</v>
      </c>
      <c r="V953">
        <v>8.6408232969872698E-2</v>
      </c>
      <c r="W953">
        <v>0.30188911217609299</v>
      </c>
      <c r="X953">
        <v>0</v>
      </c>
      <c r="Y953">
        <v>0</v>
      </c>
    </row>
    <row r="954" spans="1:25" x14ac:dyDescent="0.2">
      <c r="A954" t="s">
        <v>3521</v>
      </c>
      <c r="B954" t="s">
        <v>3522</v>
      </c>
      <c r="C954" t="s">
        <v>3523</v>
      </c>
      <c r="D954" t="s">
        <v>3524</v>
      </c>
      <c r="E954" t="s">
        <v>3522</v>
      </c>
      <c r="F954" t="s">
        <v>28</v>
      </c>
      <c r="G954" t="s">
        <v>3522</v>
      </c>
      <c r="H954" t="str">
        <f>"clsp-1"</f>
        <v>clsp-1</v>
      </c>
      <c r="I954" t="s">
        <v>3524</v>
      </c>
      <c r="J954" t="s">
        <v>29</v>
      </c>
      <c r="K954" t="s">
        <v>29</v>
      </c>
      <c r="L954" t="s">
        <v>29</v>
      </c>
      <c r="M954" t="s">
        <v>29</v>
      </c>
      <c r="N954" t="s">
        <v>29</v>
      </c>
      <c r="O954" t="s">
        <v>29</v>
      </c>
      <c r="P954" t="s">
        <v>29</v>
      </c>
      <c r="Q954" t="s">
        <v>29</v>
      </c>
      <c r="R954" t="s">
        <v>29</v>
      </c>
      <c r="S954">
        <v>12.509061097976</v>
      </c>
      <c r="T954" t="s">
        <v>29</v>
      </c>
      <c r="U954" t="s">
        <v>29</v>
      </c>
      <c r="V954" t="s">
        <v>29</v>
      </c>
      <c r="W954" t="s">
        <v>29</v>
      </c>
      <c r="X954" t="s">
        <v>29</v>
      </c>
      <c r="Y954" t="s">
        <v>29</v>
      </c>
    </row>
    <row r="955" spans="1:25" x14ac:dyDescent="0.2">
      <c r="A955" t="s">
        <v>3525</v>
      </c>
      <c r="B955" t="s">
        <v>3526</v>
      </c>
      <c r="C955" t="s">
        <v>3527</v>
      </c>
      <c r="D955" t="s">
        <v>3528</v>
      </c>
      <c r="E955" t="s">
        <v>3526</v>
      </c>
      <c r="F955" t="s">
        <v>28</v>
      </c>
      <c r="G955" t="s">
        <v>3526</v>
      </c>
      <c r="H955" t="str">
        <f>"ccnk-1"</f>
        <v>ccnk-1</v>
      </c>
      <c r="I955" t="s">
        <v>3528</v>
      </c>
      <c r="J955">
        <v>11.313731308336401</v>
      </c>
      <c r="K955">
        <v>12.129782205449599</v>
      </c>
      <c r="L955">
        <v>11.839033525064201</v>
      </c>
      <c r="M955">
        <v>13.179281817524201</v>
      </c>
      <c r="N955">
        <v>13.429305974395501</v>
      </c>
      <c r="O955">
        <v>12.5072676327006</v>
      </c>
      <c r="P955">
        <v>1.2777694619234099</v>
      </c>
      <c r="Q955">
        <v>0.53991582000479899</v>
      </c>
      <c r="R955">
        <v>2.0156231038420298</v>
      </c>
      <c r="S955">
        <v>12.5259175547101</v>
      </c>
      <c r="T955">
        <v>3.67309202382501</v>
      </c>
      <c r="U955">
        <v>-1.9132945201518201</v>
      </c>
      <c r="V955">
        <v>2.0756917071092199E-3</v>
      </c>
      <c r="W955">
        <v>2.9239397467244198E-2</v>
      </c>
      <c r="X955">
        <v>1</v>
      </c>
      <c r="Y955">
        <v>1</v>
      </c>
    </row>
    <row r="956" spans="1:25" x14ac:dyDescent="0.2">
      <c r="A956" t="s">
        <v>3529</v>
      </c>
      <c r="B956" t="s">
        <v>3530</v>
      </c>
      <c r="C956" t="s">
        <v>3531</v>
      </c>
      <c r="D956" t="s">
        <v>3532</v>
      </c>
      <c r="E956" t="s">
        <v>3530</v>
      </c>
      <c r="F956" t="s">
        <v>28</v>
      </c>
      <c r="G956" t="s">
        <v>3530</v>
      </c>
      <c r="H956" t="str">
        <f>"xdh-1"</f>
        <v>xdh-1</v>
      </c>
      <c r="I956" t="s">
        <v>3532</v>
      </c>
      <c r="J956" t="s">
        <v>29</v>
      </c>
      <c r="K956" t="s">
        <v>29</v>
      </c>
      <c r="L956" t="s">
        <v>29</v>
      </c>
      <c r="M956" t="s">
        <v>29</v>
      </c>
      <c r="N956" t="s">
        <v>29</v>
      </c>
      <c r="O956" t="s">
        <v>29</v>
      </c>
      <c r="P956" t="s">
        <v>29</v>
      </c>
      <c r="Q956" t="s">
        <v>29</v>
      </c>
      <c r="R956" t="s">
        <v>29</v>
      </c>
      <c r="S956">
        <v>12.0901976974782</v>
      </c>
      <c r="T956" t="s">
        <v>29</v>
      </c>
      <c r="U956" t="s">
        <v>29</v>
      </c>
      <c r="V956" t="s">
        <v>29</v>
      </c>
      <c r="W956" t="s">
        <v>29</v>
      </c>
      <c r="X956" t="s">
        <v>29</v>
      </c>
      <c r="Y956" t="s">
        <v>29</v>
      </c>
    </row>
    <row r="957" spans="1:25" x14ac:dyDescent="0.2">
      <c r="A957" t="s">
        <v>3533</v>
      </c>
      <c r="B957" t="s">
        <v>3534</v>
      </c>
      <c r="C957" t="s">
        <v>3535</v>
      </c>
      <c r="D957" t="s">
        <v>3536</v>
      </c>
      <c r="E957" t="s">
        <v>3534</v>
      </c>
      <c r="F957" t="s">
        <v>28</v>
      </c>
      <c r="G957" t="s">
        <v>3534</v>
      </c>
      <c r="H957" t="str">
        <f>"haf-3"</f>
        <v>haf-3</v>
      </c>
      <c r="I957" t="s">
        <v>3536</v>
      </c>
      <c r="J957">
        <v>13.156855382777101</v>
      </c>
      <c r="K957">
        <v>13.034797924123399</v>
      </c>
      <c r="L957">
        <v>12.2873620376361</v>
      </c>
      <c r="M957">
        <v>13.344700065481099</v>
      </c>
      <c r="N957">
        <v>13.200912973546499</v>
      </c>
      <c r="O957">
        <v>12.8138539579518</v>
      </c>
      <c r="P957">
        <v>0.29348388414760301</v>
      </c>
      <c r="Q957">
        <v>-0.35646808011009001</v>
      </c>
      <c r="R957">
        <v>0.94343584840529604</v>
      </c>
      <c r="S957">
        <v>12.698935255225001</v>
      </c>
      <c r="T957">
        <v>0.953131912492445</v>
      </c>
      <c r="U957">
        <v>-6.5869924632790502</v>
      </c>
      <c r="V957">
        <v>0.353961838374933</v>
      </c>
      <c r="W957">
        <v>0.63389753553771799</v>
      </c>
      <c r="X957">
        <v>0</v>
      </c>
      <c r="Y957">
        <v>0</v>
      </c>
    </row>
    <row r="958" spans="1:25" x14ac:dyDescent="0.2">
      <c r="A958" t="s">
        <v>3537</v>
      </c>
      <c r="B958" t="s">
        <v>3538</v>
      </c>
      <c r="C958" t="s">
        <v>3539</v>
      </c>
      <c r="D958" t="s">
        <v>3540</v>
      </c>
      <c r="E958" t="s">
        <v>3538</v>
      </c>
      <c r="F958" t="s">
        <v>28</v>
      </c>
      <c r="G958" t="s">
        <v>3538</v>
      </c>
      <c r="H958" t="str">
        <f>"copz-1"</f>
        <v>copz-1</v>
      </c>
      <c r="I958" t="s">
        <v>3540</v>
      </c>
      <c r="J958">
        <v>14.403088752210801</v>
      </c>
      <c r="K958">
        <v>14.4403774779888</v>
      </c>
      <c r="L958">
        <v>14.6020221230508</v>
      </c>
      <c r="M958">
        <v>16.490634033885701</v>
      </c>
      <c r="N958">
        <v>16.137709372104101</v>
      </c>
      <c r="O958">
        <v>15.8595379060471</v>
      </c>
      <c r="P958">
        <v>1.68079765292882</v>
      </c>
      <c r="Q958">
        <v>1.2221814774700599</v>
      </c>
      <c r="R958">
        <v>2.1394138283875801</v>
      </c>
      <c r="S958">
        <v>15.528447608098</v>
      </c>
      <c r="T958">
        <v>7.7029765864539801</v>
      </c>
      <c r="U958">
        <v>6.5355162478258704</v>
      </c>
      <c r="V958" s="2">
        <v>4.3468160703596902E-7</v>
      </c>
      <c r="W958" s="2">
        <v>2.8289078985900899E-5</v>
      </c>
      <c r="X958">
        <v>1</v>
      </c>
      <c r="Y958">
        <v>1</v>
      </c>
    </row>
    <row r="959" spans="1:25" x14ac:dyDescent="0.2">
      <c r="A959" t="s">
        <v>3541</v>
      </c>
      <c r="B959" t="s">
        <v>3542</v>
      </c>
      <c r="C959" t="s">
        <v>3543</v>
      </c>
      <c r="D959" t="s">
        <v>984</v>
      </c>
      <c r="E959" t="s">
        <v>3542</v>
      </c>
      <c r="F959" t="s">
        <v>28</v>
      </c>
      <c r="G959" t="s">
        <v>3542</v>
      </c>
      <c r="H959" t="str">
        <f>"frm-3"</f>
        <v>frm-3</v>
      </c>
      <c r="I959" t="s">
        <v>984</v>
      </c>
      <c r="J959" t="s">
        <v>29</v>
      </c>
      <c r="K959" t="s">
        <v>29</v>
      </c>
      <c r="L959">
        <v>10.2393609627928</v>
      </c>
      <c r="M959">
        <v>10.106084105333199</v>
      </c>
      <c r="N959" t="s">
        <v>29</v>
      </c>
      <c r="O959">
        <v>10.565753158359399</v>
      </c>
      <c r="P959">
        <v>9.6557669053494194E-2</v>
      </c>
      <c r="Q959">
        <v>-0.95981025026600697</v>
      </c>
      <c r="R959">
        <v>1.1529255883730001</v>
      </c>
      <c r="S959">
        <v>10.821330098092901</v>
      </c>
      <c r="T959">
        <v>0.19935015695928701</v>
      </c>
      <c r="U959">
        <v>-6.6300379833633798</v>
      </c>
      <c r="V959">
        <v>0.84535588772270598</v>
      </c>
      <c r="W959">
        <v>0.93943584999755902</v>
      </c>
      <c r="X959">
        <v>0</v>
      </c>
      <c r="Y959">
        <v>0</v>
      </c>
    </row>
    <row r="960" spans="1:25" x14ac:dyDescent="0.2">
      <c r="A960" t="s">
        <v>3544</v>
      </c>
      <c r="B960" t="s">
        <v>3545</v>
      </c>
      <c r="C960" t="s">
        <v>3546</v>
      </c>
      <c r="D960" t="s">
        <v>3547</v>
      </c>
      <c r="E960" t="s">
        <v>3545</v>
      </c>
      <c r="F960" t="s">
        <v>28</v>
      </c>
      <c r="G960" t="s">
        <v>3545</v>
      </c>
      <c r="H960" t="str">
        <f>"ctg-1"</f>
        <v>ctg-1</v>
      </c>
      <c r="I960" t="s">
        <v>3547</v>
      </c>
      <c r="J960">
        <v>12.7314172577506</v>
      </c>
      <c r="K960">
        <v>13.0369186546832</v>
      </c>
      <c r="L960">
        <v>13.1530718195263</v>
      </c>
      <c r="M960">
        <v>13.946691866860499</v>
      </c>
      <c r="N960">
        <v>14.145941254395799</v>
      </c>
      <c r="O960">
        <v>13.494340238475299</v>
      </c>
      <c r="P960">
        <v>0.88852187592384801</v>
      </c>
      <c r="Q960">
        <v>0.25327516773619202</v>
      </c>
      <c r="R960">
        <v>1.5237685841115001</v>
      </c>
      <c r="S960">
        <v>13.3948490614272</v>
      </c>
      <c r="T960">
        <v>2.9398029053272698</v>
      </c>
      <c r="U960">
        <v>-3.3628837396463802</v>
      </c>
      <c r="V960">
        <v>8.7973175036970708E-3</v>
      </c>
      <c r="W960">
        <v>8.0225564995483695E-2</v>
      </c>
      <c r="X960">
        <v>0</v>
      </c>
      <c r="Y960">
        <v>0</v>
      </c>
    </row>
    <row r="961" spans="1:25" x14ac:dyDescent="0.2">
      <c r="A961" t="s">
        <v>3548</v>
      </c>
      <c r="B961" t="s">
        <v>3549</v>
      </c>
      <c r="C961" t="s">
        <v>3550</v>
      </c>
      <c r="D961" t="s">
        <v>3551</v>
      </c>
      <c r="E961" t="s">
        <v>3549</v>
      </c>
      <c r="F961" t="s">
        <v>28</v>
      </c>
      <c r="G961" t="s">
        <v>3549</v>
      </c>
      <c r="H961" t="str">
        <f>"chd-1"</f>
        <v>chd-1</v>
      </c>
      <c r="I961" t="s">
        <v>3551</v>
      </c>
      <c r="J961">
        <v>12.0487443302132</v>
      </c>
      <c r="K961">
        <v>11.9384716112442</v>
      </c>
      <c r="L961">
        <v>11.287508950324</v>
      </c>
      <c r="M961">
        <v>12.7186562079797</v>
      </c>
      <c r="N961">
        <v>10.3943393572386</v>
      </c>
      <c r="O961">
        <v>9.9471481907655708</v>
      </c>
      <c r="P961">
        <v>-0.73819371193248695</v>
      </c>
      <c r="Q961">
        <v>-3.1844794003433599</v>
      </c>
      <c r="R961">
        <v>1.70809197647839</v>
      </c>
      <c r="S961">
        <v>12.2331515241871</v>
      </c>
      <c r="T961">
        <v>-0.63696149574393202</v>
      </c>
      <c r="U961">
        <v>-6.8413365085714304</v>
      </c>
      <c r="V961">
        <v>0.53268659238697802</v>
      </c>
      <c r="W961">
        <v>0.774860157186959</v>
      </c>
      <c r="X961">
        <v>0</v>
      </c>
      <c r="Y961">
        <v>0</v>
      </c>
    </row>
    <row r="962" spans="1:25" x14ac:dyDescent="0.2">
      <c r="A962" t="s">
        <v>3552</v>
      </c>
      <c r="B962" t="s">
        <v>3553</v>
      </c>
      <c r="C962" t="s">
        <v>3554</v>
      </c>
      <c r="D962" t="s">
        <v>3555</v>
      </c>
      <c r="E962" t="s">
        <v>3553</v>
      </c>
      <c r="F962" t="s">
        <v>28</v>
      </c>
      <c r="G962" t="s">
        <v>3553</v>
      </c>
      <c r="H962" t="str">
        <f>"ran-1"</f>
        <v>ran-1</v>
      </c>
      <c r="I962" t="s">
        <v>3555</v>
      </c>
      <c r="J962">
        <v>18.506401485870601</v>
      </c>
      <c r="K962">
        <v>18.500658526970099</v>
      </c>
      <c r="L962">
        <v>18.161214037289898</v>
      </c>
      <c r="M962">
        <v>18.405368554121601</v>
      </c>
      <c r="N962">
        <v>18.307466757675801</v>
      </c>
      <c r="O962">
        <v>18.185176185974001</v>
      </c>
      <c r="P962">
        <v>-9.0087517453053295E-2</v>
      </c>
      <c r="Q962">
        <v>-0.50554990385665599</v>
      </c>
      <c r="R962">
        <v>0.32537486895054901</v>
      </c>
      <c r="S962">
        <v>17.751479861178201</v>
      </c>
      <c r="T962">
        <v>-0.45574868161145499</v>
      </c>
      <c r="U962">
        <v>-6.9438662892779703</v>
      </c>
      <c r="V962">
        <v>0.65405256671818301</v>
      </c>
      <c r="W962">
        <v>0.84351034439476502</v>
      </c>
      <c r="X962">
        <v>0</v>
      </c>
      <c r="Y962">
        <v>0</v>
      </c>
    </row>
    <row r="963" spans="1:25" x14ac:dyDescent="0.2">
      <c r="A963" t="s">
        <v>3556</v>
      </c>
      <c r="B963" t="s">
        <v>3557</v>
      </c>
      <c r="C963" t="s">
        <v>3558</v>
      </c>
      <c r="D963" t="s">
        <v>3559</v>
      </c>
      <c r="E963" t="s">
        <v>3557</v>
      </c>
      <c r="F963" t="s">
        <v>28</v>
      </c>
      <c r="G963" t="s">
        <v>3557</v>
      </c>
      <c r="H963" t="str">
        <f>"K01G5.5"</f>
        <v>K01G5.5</v>
      </c>
      <c r="I963" t="s">
        <v>3559</v>
      </c>
      <c r="J963">
        <v>14.681177970378601</v>
      </c>
      <c r="K963">
        <v>14.4683319072114</v>
      </c>
      <c r="L963">
        <v>14.507943328642501</v>
      </c>
      <c r="M963">
        <v>14.6090370626435</v>
      </c>
      <c r="N963">
        <v>13.912424868402001</v>
      </c>
      <c r="O963">
        <v>14.662732045457499</v>
      </c>
      <c r="P963">
        <v>-0.15775307657648499</v>
      </c>
      <c r="Q963">
        <v>-0.88929822782883405</v>
      </c>
      <c r="R963">
        <v>0.57379207467586402</v>
      </c>
      <c r="S963">
        <v>14.0618606528495</v>
      </c>
      <c r="T963">
        <v>-0.45324102690676898</v>
      </c>
      <c r="U963">
        <v>-6.9450471250959502</v>
      </c>
      <c r="V963">
        <v>0.65582289240874103</v>
      </c>
      <c r="W963">
        <v>0.84449849303444602</v>
      </c>
      <c r="X963">
        <v>0</v>
      </c>
      <c r="Y963">
        <v>0</v>
      </c>
    </row>
    <row r="964" spans="1:25" x14ac:dyDescent="0.2">
      <c r="A964" t="s">
        <v>3560</v>
      </c>
      <c r="B964" t="s">
        <v>3561</v>
      </c>
      <c r="C964" t="s">
        <v>3562</v>
      </c>
      <c r="D964" t="s">
        <v>3563</v>
      </c>
      <c r="E964" t="s">
        <v>3561</v>
      </c>
      <c r="F964" t="s">
        <v>28</v>
      </c>
      <c r="G964" t="s">
        <v>3561</v>
      </c>
      <c r="H964" t="str">
        <f>"tbb-1"</f>
        <v>tbb-1</v>
      </c>
      <c r="I964" t="s">
        <v>3563</v>
      </c>
      <c r="J964">
        <v>17.9041099331147</v>
      </c>
      <c r="K964">
        <v>17.776959564878499</v>
      </c>
      <c r="L964">
        <v>17.805903461784599</v>
      </c>
      <c r="M964">
        <v>17.847999196776001</v>
      </c>
      <c r="N964">
        <v>17.581404251534501</v>
      </c>
      <c r="O964">
        <v>17.5784794202842</v>
      </c>
      <c r="P964">
        <v>-0.159696697061044</v>
      </c>
      <c r="Q964">
        <v>-0.47474219787552602</v>
      </c>
      <c r="R964">
        <v>0.15534880375343901</v>
      </c>
      <c r="S964">
        <v>17.619724481950701</v>
      </c>
      <c r="T964">
        <v>-1.0654060662199401</v>
      </c>
      <c r="U964">
        <v>-6.4754642419432002</v>
      </c>
      <c r="V964">
        <v>0.300856825603252</v>
      </c>
      <c r="W964">
        <v>0.57996925978257297</v>
      </c>
      <c r="X964">
        <v>0</v>
      </c>
      <c r="Y964">
        <v>0</v>
      </c>
    </row>
    <row r="965" spans="1:25" x14ac:dyDescent="0.2">
      <c r="A965" t="s">
        <v>3564</v>
      </c>
      <c r="B965" t="s">
        <v>3565</v>
      </c>
      <c r="C965" t="s">
        <v>14348</v>
      </c>
      <c r="D965" t="s">
        <v>3566</v>
      </c>
      <c r="E965" t="s">
        <v>3565</v>
      </c>
      <c r="F965" t="s">
        <v>28</v>
      </c>
      <c r="G965" t="s">
        <v>3565</v>
      </c>
      <c r="H965" t="str">
        <f>"K10C3.5"</f>
        <v>K10C3.5</v>
      </c>
      <c r="I965" t="s">
        <v>3566</v>
      </c>
      <c r="J965" t="s">
        <v>29</v>
      </c>
      <c r="K965">
        <v>10.8759738095183</v>
      </c>
      <c r="L965">
        <v>10.507263419895001</v>
      </c>
      <c r="M965">
        <v>10.3368515164711</v>
      </c>
      <c r="N965">
        <v>11.0618630973305</v>
      </c>
      <c r="O965">
        <v>11.1702377180645</v>
      </c>
      <c r="P965">
        <v>0.16469882924874399</v>
      </c>
      <c r="Q965">
        <v>-0.96132007404337605</v>
      </c>
      <c r="R965">
        <v>1.2907177325408601</v>
      </c>
      <c r="S965">
        <v>11.134161574112801</v>
      </c>
      <c r="T965">
        <v>0.31023754885556298</v>
      </c>
      <c r="U965">
        <v>-6.8909034235018201</v>
      </c>
      <c r="V965">
        <v>0.76041101571348502</v>
      </c>
      <c r="W965">
        <v>0.89933527288875903</v>
      </c>
      <c r="X965">
        <v>0</v>
      </c>
      <c r="Y965">
        <v>0</v>
      </c>
    </row>
    <row r="966" spans="1:25" x14ac:dyDescent="0.2">
      <c r="A966" t="s">
        <v>3567</v>
      </c>
      <c r="B966" t="s">
        <v>3568</v>
      </c>
      <c r="C966" t="s">
        <v>3569</v>
      </c>
      <c r="D966" t="s">
        <v>3570</v>
      </c>
      <c r="E966" t="s">
        <v>3568</v>
      </c>
      <c r="F966" t="s">
        <v>28</v>
      </c>
      <c r="G966" t="s">
        <v>3568</v>
      </c>
      <c r="H966" t="str">
        <f>"dld-1"</f>
        <v>dld-1</v>
      </c>
      <c r="I966" t="s">
        <v>3570</v>
      </c>
      <c r="J966">
        <v>14.7502208800001</v>
      </c>
      <c r="K966">
        <v>14.439454121178001</v>
      </c>
      <c r="L966">
        <v>14.5947405274802</v>
      </c>
      <c r="M966">
        <v>14.7873302351431</v>
      </c>
      <c r="N966">
        <v>14.6275954474093</v>
      </c>
      <c r="O966">
        <v>14.7164686025757</v>
      </c>
      <c r="P966">
        <v>0.115659585489905</v>
      </c>
      <c r="Q966">
        <v>-0.29979472733189599</v>
      </c>
      <c r="R966">
        <v>0.53111389831170497</v>
      </c>
      <c r="S966">
        <v>14.6362196166806</v>
      </c>
      <c r="T966">
        <v>0.58512798939247102</v>
      </c>
      <c r="U966">
        <v>-6.8743675392988299</v>
      </c>
      <c r="V966">
        <v>0.56576757740018502</v>
      </c>
      <c r="W966">
        <v>0.78823873615756102</v>
      </c>
      <c r="X966">
        <v>0</v>
      </c>
      <c r="Y966">
        <v>0</v>
      </c>
    </row>
    <row r="967" spans="1:25" x14ac:dyDescent="0.2">
      <c r="A967" t="s">
        <v>3571</v>
      </c>
      <c r="B967" t="s">
        <v>3572</v>
      </c>
      <c r="C967" t="s">
        <v>3573</v>
      </c>
      <c r="D967" t="s">
        <v>3574</v>
      </c>
      <c r="E967" t="s">
        <v>3572</v>
      </c>
      <c r="F967" t="s">
        <v>28</v>
      </c>
      <c r="G967" t="s">
        <v>3572</v>
      </c>
      <c r="H967" t="str">
        <f>"top-1"</f>
        <v>top-1</v>
      </c>
      <c r="I967" t="s">
        <v>3574</v>
      </c>
      <c r="J967">
        <v>18.4690567877817</v>
      </c>
      <c r="K967">
        <v>17.800364298924201</v>
      </c>
      <c r="L967">
        <v>18.605810834912301</v>
      </c>
      <c r="M967">
        <v>18.297940307483199</v>
      </c>
      <c r="N967">
        <v>18.9848396757648</v>
      </c>
      <c r="O967">
        <v>18.967635405596301</v>
      </c>
      <c r="P967">
        <v>0.458394489075371</v>
      </c>
      <c r="Q967">
        <v>-0.186533162548632</v>
      </c>
      <c r="R967">
        <v>1.1033221406993701</v>
      </c>
      <c r="S967">
        <v>18.080203816251402</v>
      </c>
      <c r="T967">
        <v>1.4938978526509199</v>
      </c>
      <c r="U967">
        <v>-5.9503939492193201</v>
      </c>
      <c r="V967">
        <v>0.15262587880776801</v>
      </c>
      <c r="W967">
        <v>0.404104645761169</v>
      </c>
      <c r="X967">
        <v>0</v>
      </c>
      <c r="Y967">
        <v>0</v>
      </c>
    </row>
    <row r="968" spans="1:25" x14ac:dyDescent="0.2">
      <c r="A968" t="s">
        <v>3575</v>
      </c>
      <c r="B968" t="s">
        <v>3576</v>
      </c>
      <c r="C968" t="s">
        <v>3577</v>
      </c>
      <c r="D968" t="s">
        <v>323</v>
      </c>
      <c r="E968" t="s">
        <v>3576</v>
      </c>
      <c r="F968" t="s">
        <v>28</v>
      </c>
      <c r="G968" t="s">
        <v>3576</v>
      </c>
      <c r="H968" t="str">
        <f>"flor-1"</f>
        <v>flor-1</v>
      </c>
      <c r="I968" t="s">
        <v>323</v>
      </c>
      <c r="J968">
        <v>12.6938185838924</v>
      </c>
      <c r="K968">
        <v>13.0475693247812</v>
      </c>
      <c r="L968">
        <v>12.3123496955462</v>
      </c>
      <c r="M968">
        <v>15.0111301887616</v>
      </c>
      <c r="N968">
        <v>14.8737246930284</v>
      </c>
      <c r="O968">
        <v>14.674056006748</v>
      </c>
      <c r="P968">
        <v>2.1683910947727298</v>
      </c>
      <c r="Q968">
        <v>1.5212998070058601</v>
      </c>
      <c r="R968">
        <v>2.8154823825395998</v>
      </c>
      <c r="S968">
        <v>13.8553296281041</v>
      </c>
      <c r="T968">
        <v>7.0431116903138404</v>
      </c>
      <c r="U968">
        <v>5.30016401507969</v>
      </c>
      <c r="V968" s="2">
        <v>1.4787974179029401E-6</v>
      </c>
      <c r="W968" s="2">
        <v>8.2965634445795897E-5</v>
      </c>
      <c r="X968">
        <v>1</v>
      </c>
      <c r="Y968">
        <v>1</v>
      </c>
    </row>
    <row r="969" spans="1:25" x14ac:dyDescent="0.2">
      <c r="A969" t="s">
        <v>3578</v>
      </c>
      <c r="B969" t="s">
        <v>3579</v>
      </c>
      <c r="C969" t="s">
        <v>3580</v>
      </c>
      <c r="D969" t="s">
        <v>270</v>
      </c>
      <c r="E969" t="s">
        <v>3579</v>
      </c>
      <c r="F969" t="s">
        <v>28</v>
      </c>
      <c r="G969" t="s">
        <v>3579</v>
      </c>
      <c r="H969" t="str">
        <f>"grl-7"</f>
        <v>grl-7</v>
      </c>
      <c r="I969" t="s">
        <v>270</v>
      </c>
      <c r="J969">
        <v>12.5857154329021</v>
      </c>
      <c r="K969">
        <v>12.9465137206346</v>
      </c>
      <c r="L969">
        <v>14.2442532740935</v>
      </c>
      <c r="M969">
        <v>13.1688195291414</v>
      </c>
      <c r="N969">
        <v>13.9589273457337</v>
      </c>
      <c r="O969">
        <v>13.3592259920337</v>
      </c>
      <c r="P969">
        <v>0.236830146426213</v>
      </c>
      <c r="Q969">
        <v>-0.68606072317327205</v>
      </c>
      <c r="R969">
        <v>1.1597210160257001</v>
      </c>
      <c r="S969">
        <v>12.924605699367699</v>
      </c>
      <c r="T969">
        <v>0.53936051173375499</v>
      </c>
      <c r="U969">
        <v>-6.9008661169264096</v>
      </c>
      <c r="V969">
        <v>0.59628588284376005</v>
      </c>
      <c r="W969">
        <v>0.80686135298032302</v>
      </c>
      <c r="X969">
        <v>0</v>
      </c>
      <c r="Y969">
        <v>0</v>
      </c>
    </row>
    <row r="970" spans="1:25" x14ac:dyDescent="0.2">
      <c r="A970" t="s">
        <v>3581</v>
      </c>
      <c r="B970" t="s">
        <v>3582</v>
      </c>
      <c r="C970" t="s">
        <v>3583</v>
      </c>
      <c r="D970" t="s">
        <v>3246</v>
      </c>
      <c r="E970" t="s">
        <v>3582</v>
      </c>
      <c r="F970" t="s">
        <v>28</v>
      </c>
      <c r="G970" t="s">
        <v>3582</v>
      </c>
      <c r="H970" t="str">
        <f>"dhs-4"</f>
        <v>dhs-4</v>
      </c>
      <c r="I970" t="s">
        <v>3246</v>
      </c>
      <c r="J970">
        <v>14.082415732077299</v>
      </c>
      <c r="K970">
        <v>14.1333919522313</v>
      </c>
      <c r="L970">
        <v>13.6551107122494</v>
      </c>
      <c r="M970">
        <v>14.319404523206</v>
      </c>
      <c r="N970">
        <v>13.8054178081529</v>
      </c>
      <c r="O970">
        <v>14.1736468125606</v>
      </c>
      <c r="P970">
        <v>0.142516915787192</v>
      </c>
      <c r="Q970">
        <v>-0.38375202584832402</v>
      </c>
      <c r="R970">
        <v>0.66878585742270902</v>
      </c>
      <c r="S970">
        <v>13.063396117038501</v>
      </c>
      <c r="T970">
        <v>0.57162167469137204</v>
      </c>
      <c r="U970">
        <v>-6.8819635179984502</v>
      </c>
      <c r="V970">
        <v>0.575105072498304</v>
      </c>
      <c r="W970">
        <v>0.79532167696960498</v>
      </c>
      <c r="X970">
        <v>0</v>
      </c>
      <c r="Y970">
        <v>0</v>
      </c>
    </row>
    <row r="971" spans="1:25" x14ac:dyDescent="0.2">
      <c r="A971" t="s">
        <v>3584</v>
      </c>
      <c r="B971" t="s">
        <v>3585</v>
      </c>
      <c r="C971" t="s">
        <v>3586</v>
      </c>
      <c r="D971" t="s">
        <v>3587</v>
      </c>
      <c r="E971" t="s">
        <v>3585</v>
      </c>
      <c r="F971" t="s">
        <v>28</v>
      </c>
      <c r="G971" t="s">
        <v>3585</v>
      </c>
      <c r="H971" t="str">
        <f>"nyn-1"</f>
        <v>nyn-1</v>
      </c>
      <c r="I971" t="s">
        <v>3587</v>
      </c>
      <c r="J971">
        <v>12.306209410152301</v>
      </c>
      <c r="K971">
        <v>13.0300464694496</v>
      </c>
      <c r="L971">
        <v>11.302339970861199</v>
      </c>
      <c r="M971" t="s">
        <v>29</v>
      </c>
      <c r="N971">
        <v>13.4672296510312</v>
      </c>
      <c r="O971">
        <v>13.0536934476961</v>
      </c>
      <c r="P971">
        <v>1.0475962658759199</v>
      </c>
      <c r="Q971">
        <v>3.0822489121250501E-2</v>
      </c>
      <c r="R971">
        <v>2.06437004263059</v>
      </c>
      <c r="S971">
        <v>12.4602915447285</v>
      </c>
      <c r="T971">
        <v>2.2113704278133999</v>
      </c>
      <c r="U971">
        <v>-4.7197031161759</v>
      </c>
      <c r="V971">
        <v>4.4284458870571801E-2</v>
      </c>
      <c r="W971">
        <v>0.20858981988523501</v>
      </c>
      <c r="X971">
        <v>1</v>
      </c>
      <c r="Y971">
        <v>0</v>
      </c>
    </row>
    <row r="972" spans="1:25" x14ac:dyDescent="0.2">
      <c r="A972" t="s">
        <v>3588</v>
      </c>
      <c r="B972" t="s">
        <v>3589</v>
      </c>
      <c r="C972" t="s">
        <v>3590</v>
      </c>
      <c r="D972" t="s">
        <v>3591</v>
      </c>
      <c r="E972" t="s">
        <v>3589</v>
      </c>
      <c r="F972" t="s">
        <v>28</v>
      </c>
      <c r="G972" t="s">
        <v>3589</v>
      </c>
      <c r="H972" t="str">
        <f>"pssy-2"</f>
        <v>pssy-2</v>
      </c>
      <c r="I972" t="s">
        <v>3591</v>
      </c>
      <c r="J972">
        <v>11.710093885020299</v>
      </c>
      <c r="K972">
        <v>12.015145534578</v>
      </c>
      <c r="L972">
        <v>12.290558408036</v>
      </c>
      <c r="M972">
        <v>11.5297694870382</v>
      </c>
      <c r="N972">
        <v>11.7636122221574</v>
      </c>
      <c r="O972">
        <v>11.9212020750952</v>
      </c>
      <c r="P972">
        <v>-0.26707134778114699</v>
      </c>
      <c r="Q972">
        <v>-0.93723677261801697</v>
      </c>
      <c r="R972">
        <v>0.40309407705572198</v>
      </c>
      <c r="S972">
        <v>12.4285314434748</v>
      </c>
      <c r="T972">
        <v>-0.84119230899574804</v>
      </c>
      <c r="U972">
        <v>-6.6877296615354904</v>
      </c>
      <c r="V972">
        <v>0.41198841651713702</v>
      </c>
      <c r="W972">
        <v>0.68363605678060402</v>
      </c>
      <c r="X972">
        <v>0</v>
      </c>
      <c r="Y972">
        <v>0</v>
      </c>
    </row>
    <row r="973" spans="1:25" x14ac:dyDescent="0.2">
      <c r="A973" t="s">
        <v>3592</v>
      </c>
      <c r="B973" t="s">
        <v>3593</v>
      </c>
      <c r="C973" t="s">
        <v>3594</v>
      </c>
      <c r="D973" t="s">
        <v>1382</v>
      </c>
      <c r="E973" t="s">
        <v>3593</v>
      </c>
      <c r="F973" t="s">
        <v>28</v>
      </c>
      <c r="G973" t="s">
        <v>3593</v>
      </c>
      <c r="H973" t="str">
        <f>"tba-7"</f>
        <v>tba-7</v>
      </c>
      <c r="I973" t="s">
        <v>1382</v>
      </c>
      <c r="J973">
        <v>14.344260446240501</v>
      </c>
      <c r="K973">
        <v>14.4911686201928</v>
      </c>
      <c r="L973">
        <v>14.797092768686801</v>
      </c>
      <c r="M973">
        <v>14.6447416813603</v>
      </c>
      <c r="N973">
        <v>14.654599574888399</v>
      </c>
      <c r="O973">
        <v>14.545735308904399</v>
      </c>
      <c r="P973">
        <v>7.0851576677673805E-2</v>
      </c>
      <c r="Q973">
        <v>-0.53186494279138097</v>
      </c>
      <c r="R973">
        <v>0.67356809614672897</v>
      </c>
      <c r="S973">
        <v>14.399808891235001</v>
      </c>
      <c r="T973">
        <v>0.247075075857661</v>
      </c>
      <c r="U973">
        <v>-7.0201492444537097</v>
      </c>
      <c r="V973">
        <v>0.80766246800963704</v>
      </c>
      <c r="W973">
        <v>0.91833642628581302</v>
      </c>
      <c r="X973">
        <v>0</v>
      </c>
      <c r="Y973">
        <v>0</v>
      </c>
    </row>
    <row r="974" spans="1:25" x14ac:dyDescent="0.2">
      <c r="A974" t="s">
        <v>3595</v>
      </c>
      <c r="B974" t="s">
        <v>3596</v>
      </c>
      <c r="C974" t="s">
        <v>3597</v>
      </c>
      <c r="D974" t="s">
        <v>3598</v>
      </c>
      <c r="E974" t="s">
        <v>3596</v>
      </c>
      <c r="F974" t="s">
        <v>28</v>
      </c>
      <c r="G974" t="s">
        <v>3596</v>
      </c>
      <c r="H974" t="str">
        <f>"ogt-1"</f>
        <v>ogt-1</v>
      </c>
      <c r="I974" t="s">
        <v>3598</v>
      </c>
      <c r="J974">
        <v>12.760561120691801</v>
      </c>
      <c r="K974">
        <v>13.132536045812</v>
      </c>
      <c r="L974">
        <v>12.8764102026842</v>
      </c>
      <c r="M974">
        <v>13.0545476106858</v>
      </c>
      <c r="N974">
        <v>12.7701443969242</v>
      </c>
      <c r="O974">
        <v>13.0143750593344</v>
      </c>
      <c r="P974">
        <v>2.3186565918800601E-2</v>
      </c>
      <c r="Q974">
        <v>-0.48679509840599</v>
      </c>
      <c r="R974">
        <v>0.53316823024359195</v>
      </c>
      <c r="S974">
        <v>13.3771299668207</v>
      </c>
      <c r="T974">
        <v>9.5969201822553599E-2</v>
      </c>
      <c r="U974">
        <v>-7.0472459790450896</v>
      </c>
      <c r="V974">
        <v>0.92467419220318303</v>
      </c>
      <c r="W974">
        <v>0.97369392663454402</v>
      </c>
      <c r="X974">
        <v>0</v>
      </c>
      <c r="Y974">
        <v>0</v>
      </c>
    </row>
    <row r="975" spans="1:25" x14ac:dyDescent="0.2">
      <c r="A975" t="s">
        <v>3599</v>
      </c>
      <c r="B975" t="s">
        <v>3600</v>
      </c>
      <c r="C975" t="s">
        <v>3601</v>
      </c>
      <c r="D975" t="s">
        <v>825</v>
      </c>
      <c r="E975" t="s">
        <v>3600</v>
      </c>
      <c r="F975" t="s">
        <v>28</v>
      </c>
      <c r="G975" t="s">
        <v>3600</v>
      </c>
      <c r="H975" t="str">
        <f>"ints-4"</f>
        <v>ints-4</v>
      </c>
      <c r="I975" t="s">
        <v>825</v>
      </c>
      <c r="J975">
        <v>12.401312620342299</v>
      </c>
      <c r="K975">
        <v>12.3548293545253</v>
      </c>
      <c r="L975">
        <v>12.3694205357881</v>
      </c>
      <c r="M975">
        <v>12.1347265684786</v>
      </c>
      <c r="N975">
        <v>12.5448141383383</v>
      </c>
      <c r="O975">
        <v>12.416120995603899</v>
      </c>
      <c r="P975">
        <v>-9.9669360782996801E-3</v>
      </c>
      <c r="Q975">
        <v>-0.40434893054531801</v>
      </c>
      <c r="R975">
        <v>0.38441505838871798</v>
      </c>
      <c r="S975">
        <v>12.5015110402343</v>
      </c>
      <c r="T975">
        <v>-5.3603620496460502E-2</v>
      </c>
      <c r="U975">
        <v>-7.0505707354393197</v>
      </c>
      <c r="V975">
        <v>0.95791890683195302</v>
      </c>
      <c r="W975">
        <v>0.97837628243144903</v>
      </c>
      <c r="X975">
        <v>0</v>
      </c>
      <c r="Y975">
        <v>0</v>
      </c>
    </row>
    <row r="976" spans="1:25" x14ac:dyDescent="0.2">
      <c r="A976" t="s">
        <v>3602</v>
      </c>
      <c r="B976" t="s">
        <v>3603</v>
      </c>
      <c r="C976" t="s">
        <v>3604</v>
      </c>
      <c r="D976" t="s">
        <v>3605</v>
      </c>
      <c r="E976" t="s">
        <v>3603</v>
      </c>
      <c r="F976" t="s">
        <v>28</v>
      </c>
      <c r="G976" t="s">
        <v>3603</v>
      </c>
      <c r="H976" t="str">
        <f>"pptr-1"</f>
        <v>pptr-1</v>
      </c>
      <c r="I976" t="s">
        <v>3605</v>
      </c>
      <c r="J976">
        <v>13.5720502556343</v>
      </c>
      <c r="K976">
        <v>13.392120687250699</v>
      </c>
      <c r="L976">
        <v>13.5187069816456</v>
      </c>
      <c r="M976">
        <v>13.806441103362999</v>
      </c>
      <c r="N976">
        <v>14.305548355674199</v>
      </c>
      <c r="O976">
        <v>14.149711930893799</v>
      </c>
      <c r="P976">
        <v>0.592941155133483</v>
      </c>
      <c r="Q976">
        <v>6.8227100426976398E-2</v>
      </c>
      <c r="R976">
        <v>1.1176552098399899</v>
      </c>
      <c r="S976">
        <v>13.7753601648115</v>
      </c>
      <c r="T976">
        <v>2.3750973282576902</v>
      </c>
      <c r="U976">
        <v>-4.4851879152663399</v>
      </c>
      <c r="V976">
        <v>2.8933720758882699E-2</v>
      </c>
      <c r="W976">
        <v>0.16812558455250801</v>
      </c>
      <c r="X976">
        <v>0</v>
      </c>
      <c r="Y976">
        <v>0</v>
      </c>
    </row>
    <row r="977" spans="1:25" x14ac:dyDescent="0.2">
      <c r="A977" t="s">
        <v>3606</v>
      </c>
      <c r="B977" t="s">
        <v>3607</v>
      </c>
      <c r="C977" t="s">
        <v>3608</v>
      </c>
      <c r="D977" t="s">
        <v>3609</v>
      </c>
      <c r="E977" t="s">
        <v>3607</v>
      </c>
      <c r="F977" t="s">
        <v>28</v>
      </c>
      <c r="G977" t="s">
        <v>3607</v>
      </c>
      <c r="H977" t="str">
        <f>"smap-1"</f>
        <v>smap-1</v>
      </c>
      <c r="I977" t="s">
        <v>3609</v>
      </c>
      <c r="J977">
        <v>12.915602510982101</v>
      </c>
      <c r="K977">
        <v>13.157025960157499</v>
      </c>
      <c r="L977">
        <v>12.995654712442301</v>
      </c>
      <c r="M977">
        <v>14.826238299782499</v>
      </c>
      <c r="N977">
        <v>14.649674669421801</v>
      </c>
      <c r="O977">
        <v>14.4224065306821</v>
      </c>
      <c r="P977">
        <v>1.61001210543483</v>
      </c>
      <c r="Q977">
        <v>1.1777800513831</v>
      </c>
      <c r="R977">
        <v>2.0422441594865699</v>
      </c>
      <c r="S977">
        <v>13.4452951192368</v>
      </c>
      <c r="T977">
        <v>7.9006295813838801</v>
      </c>
      <c r="U977">
        <v>6.1792881932213</v>
      </c>
      <c r="V977" s="2">
        <v>6.8143278145443197E-7</v>
      </c>
      <c r="W977" s="2">
        <v>4.1837401336843803E-5</v>
      </c>
      <c r="X977">
        <v>1</v>
      </c>
      <c r="Y977">
        <v>1</v>
      </c>
    </row>
    <row r="978" spans="1:25" x14ac:dyDescent="0.2">
      <c r="A978" t="s">
        <v>3610</v>
      </c>
      <c r="B978" t="s">
        <v>3611</v>
      </c>
      <c r="C978" t="s">
        <v>3612</v>
      </c>
      <c r="D978" t="s">
        <v>3613</v>
      </c>
      <c r="E978" t="s">
        <v>3611</v>
      </c>
      <c r="F978" t="s">
        <v>28</v>
      </c>
      <c r="G978" t="s">
        <v>3611</v>
      </c>
      <c r="H978" t="str">
        <f>"maea-1"</f>
        <v>maea-1</v>
      </c>
      <c r="I978" t="s">
        <v>3613</v>
      </c>
      <c r="J978" t="s">
        <v>29</v>
      </c>
      <c r="K978" t="s">
        <v>29</v>
      </c>
      <c r="L978" t="s">
        <v>29</v>
      </c>
      <c r="M978" t="s">
        <v>29</v>
      </c>
      <c r="N978" t="s">
        <v>29</v>
      </c>
      <c r="O978" t="s">
        <v>29</v>
      </c>
      <c r="P978" t="s">
        <v>29</v>
      </c>
      <c r="Q978" t="s">
        <v>29</v>
      </c>
      <c r="R978" t="s">
        <v>29</v>
      </c>
      <c r="S978">
        <v>12.814880682904301</v>
      </c>
      <c r="T978" t="s">
        <v>29</v>
      </c>
      <c r="U978" t="s">
        <v>29</v>
      </c>
      <c r="V978" t="s">
        <v>29</v>
      </c>
      <c r="W978" t="s">
        <v>29</v>
      </c>
      <c r="X978" t="s">
        <v>29</v>
      </c>
      <c r="Y978" t="s">
        <v>29</v>
      </c>
    </row>
    <row r="979" spans="1:25" x14ac:dyDescent="0.2">
      <c r="A979" t="s">
        <v>3614</v>
      </c>
      <c r="B979" t="s">
        <v>3615</v>
      </c>
      <c r="C979" t="s">
        <v>3616</v>
      </c>
      <c r="D979" t="s">
        <v>3617</v>
      </c>
      <c r="E979" t="s">
        <v>3615</v>
      </c>
      <c r="F979" t="s">
        <v>28</v>
      </c>
      <c r="G979" t="s">
        <v>3615</v>
      </c>
      <c r="H979" t="str">
        <f>"mat-2"</f>
        <v>mat-2</v>
      </c>
      <c r="I979" t="s">
        <v>3617</v>
      </c>
      <c r="J979">
        <v>12.3919426658245</v>
      </c>
      <c r="K979">
        <v>11.994402671488601</v>
      </c>
      <c r="L979">
        <v>12.463959610281</v>
      </c>
      <c r="M979">
        <v>11.7731803542832</v>
      </c>
      <c r="N979">
        <v>12.3649468054253</v>
      </c>
      <c r="O979">
        <v>12.0885095695603</v>
      </c>
      <c r="P979">
        <v>-0.20788940610839801</v>
      </c>
      <c r="Q979">
        <v>-0.65437303196668395</v>
      </c>
      <c r="R979">
        <v>0.23859421974988801</v>
      </c>
      <c r="S979">
        <v>12.754085949239499</v>
      </c>
      <c r="T979">
        <v>-0.98758924553275895</v>
      </c>
      <c r="U979">
        <v>-6.5528265240407704</v>
      </c>
      <c r="V979">
        <v>0.338149802405323</v>
      </c>
      <c r="W979">
        <v>0.61655267242564504</v>
      </c>
      <c r="X979">
        <v>0</v>
      </c>
      <c r="Y979">
        <v>0</v>
      </c>
    </row>
    <row r="980" spans="1:25" x14ac:dyDescent="0.2">
      <c r="A980" t="s">
        <v>3618</v>
      </c>
      <c r="B980" t="s">
        <v>3619</v>
      </c>
      <c r="C980" t="s">
        <v>3620</v>
      </c>
      <c r="D980" t="s">
        <v>2320</v>
      </c>
      <c r="E980" t="s">
        <v>3619</v>
      </c>
      <c r="F980" t="s">
        <v>28</v>
      </c>
      <c r="G980" t="s">
        <v>3619</v>
      </c>
      <c r="H980" t="str">
        <f>"noa-1"</f>
        <v>noa-1</v>
      </c>
      <c r="I980" t="s">
        <v>2320</v>
      </c>
      <c r="J980">
        <v>13.242378514499199</v>
      </c>
      <c r="K980">
        <v>13.6977133122819</v>
      </c>
      <c r="L980">
        <v>13.9477197369247</v>
      </c>
      <c r="M980">
        <v>12.722197363155001</v>
      </c>
      <c r="N980">
        <v>13.289959367112999</v>
      </c>
      <c r="O980">
        <v>13.193488781073</v>
      </c>
      <c r="P980">
        <v>-0.56072201745498695</v>
      </c>
      <c r="Q980">
        <v>-1.16043930203128</v>
      </c>
      <c r="R980">
        <v>3.8995267121301497E-2</v>
      </c>
      <c r="S980">
        <v>14.1197974195243</v>
      </c>
      <c r="T980">
        <v>-1.9735632831510601</v>
      </c>
      <c r="U980">
        <v>-5.2110437686792803</v>
      </c>
      <c r="V980">
        <v>6.5017036668013894E-2</v>
      </c>
      <c r="W980">
        <v>0.258954023644697</v>
      </c>
      <c r="X980">
        <v>0</v>
      </c>
      <c r="Y980">
        <v>0</v>
      </c>
    </row>
    <row r="981" spans="1:25" x14ac:dyDescent="0.2">
      <c r="A981" t="s">
        <v>3621</v>
      </c>
      <c r="B981" t="s">
        <v>3622</v>
      </c>
      <c r="C981" t="s">
        <v>3623</v>
      </c>
      <c r="D981" t="s">
        <v>3624</v>
      </c>
      <c r="E981" t="s">
        <v>3622</v>
      </c>
      <c r="F981" t="s">
        <v>28</v>
      </c>
      <c r="G981" t="s">
        <v>3622</v>
      </c>
      <c r="H981" t="str">
        <f>"mrpl-37"</f>
        <v>mrpl-37</v>
      </c>
      <c r="I981" t="s">
        <v>3624</v>
      </c>
      <c r="J981">
        <v>13.487358920883601</v>
      </c>
      <c r="K981">
        <v>13.8001549739919</v>
      </c>
      <c r="L981">
        <v>13.820558814355699</v>
      </c>
      <c r="M981">
        <v>12.9875463056106</v>
      </c>
      <c r="N981">
        <v>13.471418783586699</v>
      </c>
      <c r="O981">
        <v>13.2994630492528</v>
      </c>
      <c r="P981">
        <v>-0.44988152359373301</v>
      </c>
      <c r="Q981">
        <v>-0.84901054742353799</v>
      </c>
      <c r="R981">
        <v>-5.0752499763928302E-2</v>
      </c>
      <c r="S981">
        <v>13.781365256428</v>
      </c>
      <c r="T981">
        <v>-2.3690670941099401</v>
      </c>
      <c r="U981">
        <v>-4.4965678098099797</v>
      </c>
      <c r="V981">
        <v>2.9292172923153E-2</v>
      </c>
      <c r="W981">
        <v>0.16822941267366101</v>
      </c>
      <c r="X981">
        <v>0</v>
      </c>
      <c r="Y981">
        <v>0</v>
      </c>
    </row>
    <row r="982" spans="1:25" x14ac:dyDescent="0.2">
      <c r="A982" t="s">
        <v>3625</v>
      </c>
      <c r="B982" t="s">
        <v>3626</v>
      </c>
      <c r="C982" t="s">
        <v>3627</v>
      </c>
      <c r="D982" t="s">
        <v>3628</v>
      </c>
      <c r="E982" t="s">
        <v>3626</v>
      </c>
      <c r="F982" t="s">
        <v>28</v>
      </c>
      <c r="G982" t="s">
        <v>3626</v>
      </c>
      <c r="H982" t="str">
        <f>"mop-25.2"</f>
        <v>mop-25.2</v>
      </c>
      <c r="I982" t="s">
        <v>3628</v>
      </c>
      <c r="J982">
        <v>12.187485946685101</v>
      </c>
      <c r="K982">
        <v>12.676608048327999</v>
      </c>
      <c r="L982">
        <v>12.4508481096008</v>
      </c>
      <c r="M982" t="s">
        <v>29</v>
      </c>
      <c r="N982" t="s">
        <v>29</v>
      </c>
      <c r="O982">
        <v>12.0435343530376</v>
      </c>
      <c r="P982">
        <v>-0.394779681833691</v>
      </c>
      <c r="Q982">
        <v>-1.1853539402005899</v>
      </c>
      <c r="R982">
        <v>0.39579457653320699</v>
      </c>
      <c r="S982">
        <v>12.5347602462257</v>
      </c>
      <c r="T982">
        <v>-1.0650101068751801</v>
      </c>
      <c r="U982">
        <v>-6.1347281238025904</v>
      </c>
      <c r="V982">
        <v>0.303831841690195</v>
      </c>
      <c r="W982">
        <v>0.58328543531557098</v>
      </c>
      <c r="X982">
        <v>0</v>
      </c>
      <c r="Y982">
        <v>0</v>
      </c>
    </row>
    <row r="983" spans="1:25" x14ac:dyDescent="0.2">
      <c r="A983" t="s">
        <v>3629</v>
      </c>
      <c r="B983" t="s">
        <v>3630</v>
      </c>
      <c r="C983" t="s">
        <v>14349</v>
      </c>
      <c r="D983" t="s">
        <v>514</v>
      </c>
      <c r="E983" t="s">
        <v>3630</v>
      </c>
      <c r="F983" t="s">
        <v>28</v>
      </c>
      <c r="G983" t="s">
        <v>3630</v>
      </c>
      <c r="H983" t="str">
        <f>"Y53C12A.3"</f>
        <v>Y53C12A.3</v>
      </c>
      <c r="I983" t="s">
        <v>514</v>
      </c>
      <c r="J983">
        <v>12.699492178057</v>
      </c>
      <c r="K983" t="s">
        <v>29</v>
      </c>
      <c r="L983" t="s">
        <v>29</v>
      </c>
      <c r="M983" t="s">
        <v>29</v>
      </c>
      <c r="N983" t="s">
        <v>29</v>
      </c>
      <c r="O983" t="s">
        <v>29</v>
      </c>
      <c r="P983" t="s">
        <v>29</v>
      </c>
      <c r="Q983" t="s">
        <v>29</v>
      </c>
      <c r="R983" t="s">
        <v>29</v>
      </c>
      <c r="S983">
        <v>13.1639482958978</v>
      </c>
      <c r="T983" t="s">
        <v>29</v>
      </c>
      <c r="U983" t="s">
        <v>29</v>
      </c>
      <c r="V983" t="s">
        <v>29</v>
      </c>
      <c r="W983" t="s">
        <v>29</v>
      </c>
      <c r="X983" t="s">
        <v>29</v>
      </c>
      <c r="Y983" t="s">
        <v>29</v>
      </c>
    </row>
    <row r="984" spans="1:25" x14ac:dyDescent="0.2">
      <c r="A984" t="s">
        <v>3631</v>
      </c>
      <c r="B984" t="s">
        <v>3632</v>
      </c>
      <c r="C984" t="s">
        <v>14350</v>
      </c>
      <c r="D984" t="s">
        <v>3633</v>
      </c>
      <c r="E984" t="s">
        <v>3632</v>
      </c>
      <c r="F984" t="s">
        <v>28</v>
      </c>
      <c r="G984" t="s">
        <v>3632</v>
      </c>
      <c r="H984" t="str">
        <f>"Y53C12B.1"</f>
        <v>Y53C12B.1</v>
      </c>
      <c r="I984" t="s">
        <v>3633</v>
      </c>
      <c r="J984">
        <v>12.6079351183319</v>
      </c>
      <c r="K984">
        <v>12.3449350445813</v>
      </c>
      <c r="L984">
        <v>12.4334933530369</v>
      </c>
      <c r="M984">
        <v>12.374346575872799</v>
      </c>
      <c r="N984">
        <v>12.050282539957299</v>
      </c>
      <c r="O984">
        <v>11.8443873585665</v>
      </c>
      <c r="P984">
        <v>-0.37244901385121698</v>
      </c>
      <c r="Q984">
        <v>-1.02684712175496</v>
      </c>
      <c r="R984">
        <v>0.28194909405252899</v>
      </c>
      <c r="S984">
        <v>12.315143756550199</v>
      </c>
      <c r="T984">
        <v>-1.1962372086289901</v>
      </c>
      <c r="U984">
        <v>-6.3308446720976503</v>
      </c>
      <c r="V984">
        <v>0.247213812803428</v>
      </c>
      <c r="W984">
        <v>0.52118539633652505</v>
      </c>
      <c r="X984">
        <v>0</v>
      </c>
      <c r="Y984">
        <v>0</v>
      </c>
    </row>
    <row r="985" spans="1:25" x14ac:dyDescent="0.2">
      <c r="A985" t="s">
        <v>3634</v>
      </c>
      <c r="B985" t="s">
        <v>3635</v>
      </c>
      <c r="C985" t="s">
        <v>3636</v>
      </c>
      <c r="D985" t="s">
        <v>3637</v>
      </c>
      <c r="E985" t="s">
        <v>3635</v>
      </c>
      <c r="F985" t="s">
        <v>28</v>
      </c>
      <c r="G985" t="s">
        <v>3635</v>
      </c>
      <c r="H985" t="str">
        <f>"pno-1"</f>
        <v>pno-1</v>
      </c>
      <c r="I985" t="s">
        <v>3637</v>
      </c>
      <c r="J985">
        <v>13.9586941933443</v>
      </c>
      <c r="K985">
        <v>14.0006348222237</v>
      </c>
      <c r="L985">
        <v>13.8594888097533</v>
      </c>
      <c r="M985">
        <v>13.689743656959999</v>
      </c>
      <c r="N985">
        <v>13.637603268126099</v>
      </c>
      <c r="O985">
        <v>13.234454900310499</v>
      </c>
      <c r="P985">
        <v>-0.41900533330816703</v>
      </c>
      <c r="Q985">
        <v>-1.3316828536877601</v>
      </c>
      <c r="R985">
        <v>0.49367218707143001</v>
      </c>
      <c r="S985">
        <v>14.1350213706533</v>
      </c>
      <c r="T985">
        <v>-0.96492755883540704</v>
      </c>
      <c r="U985">
        <v>-6.5764987836665902</v>
      </c>
      <c r="V985">
        <v>0.34744098219684</v>
      </c>
      <c r="W985">
        <v>0.62851502562851402</v>
      </c>
      <c r="X985">
        <v>0</v>
      </c>
      <c r="Y985">
        <v>0</v>
      </c>
    </row>
    <row r="986" spans="1:25" x14ac:dyDescent="0.2">
      <c r="A986" t="s">
        <v>3638</v>
      </c>
      <c r="B986" t="s">
        <v>3639</v>
      </c>
      <c r="C986" t="s">
        <v>3640</v>
      </c>
      <c r="D986" t="s">
        <v>3641</v>
      </c>
      <c r="E986" t="s">
        <v>3639</v>
      </c>
      <c r="F986" t="s">
        <v>28</v>
      </c>
      <c r="G986" t="s">
        <v>3639</v>
      </c>
      <c r="H986" t="str">
        <f>"Y57G11C.3"</f>
        <v>Y57G11C.3</v>
      </c>
      <c r="I986" t="s">
        <v>3641</v>
      </c>
      <c r="J986">
        <v>13.0030756290667</v>
      </c>
      <c r="K986">
        <v>12.6805822018966</v>
      </c>
      <c r="L986">
        <v>12.878183072931501</v>
      </c>
      <c r="M986">
        <v>12.541620724106901</v>
      </c>
      <c r="N986">
        <v>11.525657711815899</v>
      </c>
      <c r="O986">
        <v>12.3209476084555</v>
      </c>
      <c r="P986">
        <v>-0.72453828650551</v>
      </c>
      <c r="Q986">
        <v>-1.3202858546823499</v>
      </c>
      <c r="R986">
        <v>-0.12879071832867101</v>
      </c>
      <c r="S986">
        <v>12.444427149207501</v>
      </c>
      <c r="T986">
        <v>-2.5561808360896099</v>
      </c>
      <c r="U986">
        <v>-4.1368298235742804</v>
      </c>
      <c r="V986">
        <v>1.99017829582392E-2</v>
      </c>
      <c r="W986">
        <v>0.13606918984371799</v>
      </c>
      <c r="X986">
        <v>0</v>
      </c>
      <c r="Y986">
        <v>0</v>
      </c>
    </row>
    <row r="987" spans="1:25" x14ac:dyDescent="0.2">
      <c r="A987" t="s">
        <v>3642</v>
      </c>
      <c r="B987" t="s">
        <v>3643</v>
      </c>
      <c r="C987" t="s">
        <v>3644</v>
      </c>
      <c r="D987" t="s">
        <v>3645</v>
      </c>
      <c r="E987" t="s">
        <v>3643</v>
      </c>
      <c r="F987" t="s">
        <v>28</v>
      </c>
      <c r="G987" t="s">
        <v>3643</v>
      </c>
      <c r="H987" t="str">
        <f>"coq-3"</f>
        <v>coq-3</v>
      </c>
      <c r="I987" t="s">
        <v>3645</v>
      </c>
      <c r="J987">
        <v>14.2583601036337</v>
      </c>
      <c r="K987">
        <v>14.3322143851146</v>
      </c>
      <c r="L987">
        <v>13.899620593990401</v>
      </c>
      <c r="M987">
        <v>15.0176368620746</v>
      </c>
      <c r="N987">
        <v>15.095537142720101</v>
      </c>
      <c r="O987">
        <v>14.857114800424901</v>
      </c>
      <c r="P987">
        <v>0.82669790749362804</v>
      </c>
      <c r="Q987">
        <v>0.36845993675382499</v>
      </c>
      <c r="R987">
        <v>1.2849358782334299</v>
      </c>
      <c r="S987">
        <v>14.1555461711643</v>
      </c>
      <c r="T987">
        <v>3.8265315203834298</v>
      </c>
      <c r="U987">
        <v>-1.5932761477706101</v>
      </c>
      <c r="V987">
        <v>1.5029240410553599E-3</v>
      </c>
      <c r="W987">
        <v>2.31305988055658E-2</v>
      </c>
      <c r="X987">
        <v>0</v>
      </c>
      <c r="Y987">
        <v>0</v>
      </c>
    </row>
    <row r="988" spans="1:25" x14ac:dyDescent="0.2">
      <c r="A988" t="s">
        <v>3646</v>
      </c>
      <c r="B988" t="s">
        <v>3647</v>
      </c>
      <c r="C988" t="s">
        <v>3648</v>
      </c>
      <c r="D988" t="s">
        <v>3649</v>
      </c>
      <c r="E988" t="s">
        <v>3647</v>
      </c>
      <c r="F988" t="s">
        <v>28</v>
      </c>
      <c r="G988" t="s">
        <v>3647</v>
      </c>
      <c r="H988" t="str">
        <f>"nuo-3"</f>
        <v>nuo-3</v>
      </c>
      <c r="I988" t="s">
        <v>3649</v>
      </c>
      <c r="J988" t="s">
        <v>29</v>
      </c>
      <c r="K988" t="s">
        <v>29</v>
      </c>
      <c r="L988" t="s">
        <v>29</v>
      </c>
      <c r="M988" t="s">
        <v>29</v>
      </c>
      <c r="N988" t="s">
        <v>29</v>
      </c>
      <c r="O988" t="s">
        <v>29</v>
      </c>
      <c r="P988" t="s">
        <v>29</v>
      </c>
      <c r="Q988" t="s">
        <v>29</v>
      </c>
      <c r="R988" t="s">
        <v>29</v>
      </c>
      <c r="S988">
        <v>12.5913006097025</v>
      </c>
      <c r="T988" t="s">
        <v>29</v>
      </c>
      <c r="U988" t="s">
        <v>29</v>
      </c>
      <c r="V988" t="s">
        <v>29</v>
      </c>
      <c r="W988" t="s">
        <v>29</v>
      </c>
      <c r="X988" t="s">
        <v>29</v>
      </c>
      <c r="Y988" t="s">
        <v>29</v>
      </c>
    </row>
    <row r="989" spans="1:25" x14ac:dyDescent="0.2">
      <c r="A989" t="s">
        <v>3650</v>
      </c>
      <c r="B989" t="s">
        <v>3651</v>
      </c>
      <c r="C989" t="s">
        <v>14351</v>
      </c>
      <c r="D989" t="s">
        <v>368</v>
      </c>
      <c r="E989" t="s">
        <v>3651</v>
      </c>
      <c r="F989" t="s">
        <v>28</v>
      </c>
      <c r="G989" t="s">
        <v>3651</v>
      </c>
      <c r="H989" t="str">
        <f>"Y57G11C.14"</f>
        <v>Y57G11C.14</v>
      </c>
      <c r="I989" t="s">
        <v>368</v>
      </c>
      <c r="J989">
        <v>13.042471600552</v>
      </c>
      <c r="K989">
        <v>11.0639039163677</v>
      </c>
      <c r="L989">
        <v>12.7036826366142</v>
      </c>
      <c r="M989">
        <v>9.3628020885501293</v>
      </c>
      <c r="N989">
        <v>13.6139017456074</v>
      </c>
      <c r="O989">
        <v>13.570111004547201</v>
      </c>
      <c r="P989">
        <v>-8.7747771609695505E-2</v>
      </c>
      <c r="Q989">
        <v>-1.91431228131305</v>
      </c>
      <c r="R989">
        <v>1.7388167380936601</v>
      </c>
      <c r="S989">
        <v>11.793826678434099</v>
      </c>
      <c r="T989">
        <v>-0.10189446913236</v>
      </c>
      <c r="U989">
        <v>-7.0466109281444398</v>
      </c>
      <c r="V989">
        <v>0.920114774966312</v>
      </c>
      <c r="W989">
        <v>0.97209528498064302</v>
      </c>
      <c r="X989">
        <v>0</v>
      </c>
      <c r="Y989">
        <v>0</v>
      </c>
    </row>
    <row r="990" spans="1:25" x14ac:dyDescent="0.2">
      <c r="A990" t="s">
        <v>3652</v>
      </c>
      <c r="B990" t="s">
        <v>3653</v>
      </c>
      <c r="C990" t="s">
        <v>3654</v>
      </c>
      <c r="D990" t="s">
        <v>3655</v>
      </c>
      <c r="E990" t="s">
        <v>3653</v>
      </c>
      <c r="F990" t="s">
        <v>28</v>
      </c>
      <c r="G990" t="s">
        <v>3653</v>
      </c>
      <c r="H990" t="str">
        <f>"sec-61.a"</f>
        <v>sec-61.a</v>
      </c>
      <c r="I990" t="s">
        <v>3655</v>
      </c>
      <c r="J990">
        <v>20.885489182744301</v>
      </c>
      <c r="K990">
        <v>20.9002119845224</v>
      </c>
      <c r="L990">
        <v>21.196130349632199</v>
      </c>
      <c r="M990">
        <v>20.424171063646401</v>
      </c>
      <c r="N990">
        <v>20.604734424556401</v>
      </c>
      <c r="O990">
        <v>20.746290525816502</v>
      </c>
      <c r="P990">
        <v>-0.402211834293208</v>
      </c>
      <c r="Q990">
        <v>-0.78998043812389696</v>
      </c>
      <c r="R990">
        <v>-1.44432304625195E-2</v>
      </c>
      <c r="S990">
        <v>21.255926690944701</v>
      </c>
      <c r="T990">
        <v>-2.1800914661315498</v>
      </c>
      <c r="U990">
        <v>-4.8452178189182797</v>
      </c>
      <c r="V990">
        <v>4.2851819080444102E-2</v>
      </c>
      <c r="W990">
        <v>0.205058557776125</v>
      </c>
      <c r="X990">
        <v>0</v>
      </c>
      <c r="Y990">
        <v>0</v>
      </c>
    </row>
    <row r="991" spans="1:25" x14ac:dyDescent="0.2">
      <c r="A991" t="s">
        <v>3656</v>
      </c>
      <c r="B991" t="s">
        <v>3657</v>
      </c>
      <c r="C991" t="s">
        <v>3658</v>
      </c>
      <c r="D991" t="s">
        <v>3659</v>
      </c>
      <c r="E991" t="s">
        <v>3657</v>
      </c>
      <c r="F991" t="s">
        <v>28</v>
      </c>
      <c r="G991" t="s">
        <v>3657</v>
      </c>
      <c r="H991" t="str">
        <f>"rps-18"</f>
        <v>rps-18</v>
      </c>
      <c r="I991" t="s">
        <v>3659</v>
      </c>
      <c r="J991">
        <v>18.1776578363231</v>
      </c>
      <c r="K991">
        <v>18.3060934734943</v>
      </c>
      <c r="L991">
        <v>18.589369497518302</v>
      </c>
      <c r="M991">
        <v>18.243837945445801</v>
      </c>
      <c r="N991">
        <v>17.611433374369199</v>
      </c>
      <c r="O991">
        <v>18.541503017245802</v>
      </c>
      <c r="P991">
        <v>-0.225448823424962</v>
      </c>
      <c r="Q991">
        <v>-0.75429192327718697</v>
      </c>
      <c r="R991">
        <v>0.30339427642726302</v>
      </c>
      <c r="S991">
        <v>18.4057054700714</v>
      </c>
      <c r="T991">
        <v>-0.89601162454290395</v>
      </c>
      <c r="U991">
        <v>-6.6405808756109703</v>
      </c>
      <c r="V991">
        <v>0.38214173460027001</v>
      </c>
      <c r="W991">
        <v>0.65758286852949599</v>
      </c>
      <c r="X991">
        <v>0</v>
      </c>
      <c r="Y991">
        <v>0</v>
      </c>
    </row>
    <row r="992" spans="1:25" x14ac:dyDescent="0.2">
      <c r="A992" t="s">
        <v>3660</v>
      </c>
      <c r="B992" t="s">
        <v>3661</v>
      </c>
      <c r="C992" t="s">
        <v>14352</v>
      </c>
      <c r="D992" t="s">
        <v>3662</v>
      </c>
      <c r="E992" t="s">
        <v>3661</v>
      </c>
      <c r="F992" t="s">
        <v>28</v>
      </c>
      <c r="G992" t="s">
        <v>3661</v>
      </c>
      <c r="H992" t="str">
        <f>"Y57G11C.31"</f>
        <v>Y57G11C.31</v>
      </c>
      <c r="I992" t="s">
        <v>3662</v>
      </c>
      <c r="J992">
        <v>12.981612202057001</v>
      </c>
      <c r="K992" t="s">
        <v>29</v>
      </c>
      <c r="L992">
        <v>11.8368781098343</v>
      </c>
      <c r="M992" t="s">
        <v>29</v>
      </c>
      <c r="N992">
        <v>13.2460465240512</v>
      </c>
      <c r="O992">
        <v>13.1768602235723</v>
      </c>
      <c r="P992">
        <v>0.80220821786611296</v>
      </c>
      <c r="Q992">
        <v>-0.137103180105108</v>
      </c>
      <c r="R992">
        <v>1.7415196158373301</v>
      </c>
      <c r="S992">
        <v>12.560832260897101</v>
      </c>
      <c r="T992">
        <v>1.8465656766254499</v>
      </c>
      <c r="U992">
        <v>-5.2412954753628602</v>
      </c>
      <c r="V992">
        <v>8.7881324182288598E-2</v>
      </c>
      <c r="W992">
        <v>0.30307876947013501</v>
      </c>
      <c r="X992">
        <v>0</v>
      </c>
      <c r="Y992">
        <v>0</v>
      </c>
    </row>
    <row r="993" spans="1:25" x14ac:dyDescent="0.2">
      <c r="A993" t="s">
        <v>3663</v>
      </c>
      <c r="B993" t="s">
        <v>3664</v>
      </c>
      <c r="C993" t="s">
        <v>14353</v>
      </c>
      <c r="D993" t="s">
        <v>3665</v>
      </c>
      <c r="E993" t="s">
        <v>3664</v>
      </c>
      <c r="F993" t="s">
        <v>28</v>
      </c>
      <c r="G993" t="s">
        <v>3664</v>
      </c>
      <c r="H993" t="str">
        <f>"ZK909.3"</f>
        <v>ZK909.3</v>
      </c>
      <c r="I993" t="s">
        <v>3665</v>
      </c>
      <c r="J993" t="s">
        <v>29</v>
      </c>
      <c r="K993" t="s">
        <v>29</v>
      </c>
      <c r="L993" t="s">
        <v>29</v>
      </c>
      <c r="M993">
        <v>13.2462295301086</v>
      </c>
      <c r="N993">
        <v>13.6101428603687</v>
      </c>
      <c r="O993">
        <v>12.324248404766299</v>
      </c>
      <c r="P993" t="s">
        <v>29</v>
      </c>
      <c r="Q993" t="s">
        <v>29</v>
      </c>
      <c r="R993" t="s">
        <v>29</v>
      </c>
      <c r="S993">
        <v>11.559762825224601</v>
      </c>
      <c r="T993" t="s">
        <v>29</v>
      </c>
      <c r="U993" t="s">
        <v>29</v>
      </c>
      <c r="V993" t="s">
        <v>29</v>
      </c>
      <c r="W993" t="s">
        <v>29</v>
      </c>
      <c r="X993" t="s">
        <v>29</v>
      </c>
      <c r="Y993" t="s">
        <v>29</v>
      </c>
    </row>
    <row r="994" spans="1:25" x14ac:dyDescent="0.2">
      <c r="A994" t="s">
        <v>3666</v>
      </c>
      <c r="B994" t="s">
        <v>3667</v>
      </c>
      <c r="C994" t="s">
        <v>3668</v>
      </c>
      <c r="D994" t="s">
        <v>3669</v>
      </c>
      <c r="E994" t="s">
        <v>3667</v>
      </c>
      <c r="F994" t="s">
        <v>28</v>
      </c>
      <c r="G994" t="s">
        <v>3667</v>
      </c>
      <c r="H994" t="str">
        <f>"rps-19"</f>
        <v>rps-19</v>
      </c>
      <c r="I994" t="s">
        <v>3669</v>
      </c>
      <c r="J994">
        <v>15.253929050420499</v>
      </c>
      <c r="K994">
        <v>15.783641196865601</v>
      </c>
      <c r="L994">
        <v>15.788760150698501</v>
      </c>
      <c r="M994">
        <v>15.7008845096121</v>
      </c>
      <c r="N994">
        <v>15.2693531615732</v>
      </c>
      <c r="O994">
        <v>17.329607732618499</v>
      </c>
      <c r="P994">
        <v>0.49117166860640499</v>
      </c>
      <c r="Q994">
        <v>-0.45028925721929702</v>
      </c>
      <c r="R994">
        <v>1.4326325944321101</v>
      </c>
      <c r="S994">
        <v>15.851878552477601</v>
      </c>
      <c r="T994">
        <v>1.0965375832637001</v>
      </c>
      <c r="U994">
        <v>-6.44237059809483</v>
      </c>
      <c r="V994">
        <v>0.28738118350685299</v>
      </c>
      <c r="W994">
        <v>0.56639140036312896</v>
      </c>
      <c r="X994">
        <v>0</v>
      </c>
      <c r="Y994">
        <v>0</v>
      </c>
    </row>
    <row r="995" spans="1:25" x14ac:dyDescent="0.2">
      <c r="A995" t="s">
        <v>3670</v>
      </c>
      <c r="B995" t="s">
        <v>3671</v>
      </c>
      <c r="C995" t="s">
        <v>3672</v>
      </c>
      <c r="D995" t="s">
        <v>3673</v>
      </c>
      <c r="E995" t="s">
        <v>3671</v>
      </c>
      <c r="F995" t="s">
        <v>28</v>
      </c>
      <c r="G995" t="s">
        <v>3671</v>
      </c>
      <c r="H995" t="str">
        <f>"acs-2"</f>
        <v>acs-2</v>
      </c>
      <c r="I995" t="s">
        <v>3673</v>
      </c>
      <c r="J995">
        <v>16.051577380977101</v>
      </c>
      <c r="K995">
        <v>16.276167920083701</v>
      </c>
      <c r="L995">
        <v>14.700946339679399</v>
      </c>
      <c r="M995">
        <v>16.2982436398825</v>
      </c>
      <c r="N995">
        <v>16.2987641418101</v>
      </c>
      <c r="O995">
        <v>16.1600753081871</v>
      </c>
      <c r="P995">
        <v>0.57613048304653203</v>
      </c>
      <c r="Q995">
        <v>-0.30994392036586998</v>
      </c>
      <c r="R995">
        <v>1.4622048864589301</v>
      </c>
      <c r="S995">
        <v>14.4948429634506</v>
      </c>
      <c r="T995">
        <v>1.36660553855773</v>
      </c>
      <c r="U995">
        <v>-6.1214666652002903</v>
      </c>
      <c r="V995">
        <v>0.188675214024208</v>
      </c>
      <c r="W995">
        <v>0.45056514652806701</v>
      </c>
      <c r="X995">
        <v>0</v>
      </c>
      <c r="Y995">
        <v>0</v>
      </c>
    </row>
    <row r="996" spans="1:25" x14ac:dyDescent="0.2">
      <c r="A996" t="s">
        <v>3674</v>
      </c>
      <c r="B996" t="s">
        <v>3675</v>
      </c>
      <c r="C996" t="s">
        <v>14354</v>
      </c>
      <c r="D996" t="s">
        <v>3676</v>
      </c>
      <c r="E996" t="s">
        <v>3675</v>
      </c>
      <c r="F996" t="s">
        <v>28</v>
      </c>
      <c r="G996" t="s">
        <v>3675</v>
      </c>
      <c r="H996" t="str">
        <f>"T04D3.1"</f>
        <v>T04D3.1</v>
      </c>
      <c r="I996" t="s">
        <v>3676</v>
      </c>
      <c r="J996" t="s">
        <v>29</v>
      </c>
      <c r="K996">
        <v>11.0050463309381</v>
      </c>
      <c r="L996">
        <v>11.4826183233259</v>
      </c>
      <c r="M996" t="s">
        <v>29</v>
      </c>
      <c r="N996" t="s">
        <v>29</v>
      </c>
      <c r="O996" t="s">
        <v>29</v>
      </c>
      <c r="P996" t="s">
        <v>29</v>
      </c>
      <c r="Q996" t="s">
        <v>29</v>
      </c>
      <c r="R996" t="s">
        <v>29</v>
      </c>
      <c r="S996">
        <v>12.106070478336299</v>
      </c>
      <c r="T996" t="s">
        <v>29</v>
      </c>
      <c r="U996" t="s">
        <v>29</v>
      </c>
      <c r="V996" t="s">
        <v>29</v>
      </c>
      <c r="W996" t="s">
        <v>29</v>
      </c>
      <c r="X996" t="s">
        <v>29</v>
      </c>
      <c r="Y996" t="s">
        <v>29</v>
      </c>
    </row>
    <row r="997" spans="1:25" x14ac:dyDescent="0.2">
      <c r="A997" t="s">
        <v>3677</v>
      </c>
      <c r="B997" t="s">
        <v>3678</v>
      </c>
      <c r="C997" t="s">
        <v>3679</v>
      </c>
      <c r="D997" t="s">
        <v>3680</v>
      </c>
      <c r="E997" t="s">
        <v>3678</v>
      </c>
      <c r="F997" t="s">
        <v>28</v>
      </c>
      <c r="G997" t="s">
        <v>3678</v>
      </c>
      <c r="H997" t="str">
        <f>"cec-2"</f>
        <v>cec-2</v>
      </c>
      <c r="I997" t="s">
        <v>3680</v>
      </c>
      <c r="J997" t="s">
        <v>29</v>
      </c>
      <c r="K997" t="s">
        <v>29</v>
      </c>
      <c r="L997">
        <v>9.7229609416377407</v>
      </c>
      <c r="M997" t="s">
        <v>29</v>
      </c>
      <c r="N997">
        <v>9.9731620018449192</v>
      </c>
      <c r="O997" t="s">
        <v>29</v>
      </c>
      <c r="P997">
        <v>0.25020106020717697</v>
      </c>
      <c r="Q997">
        <v>-0.987247198459419</v>
      </c>
      <c r="R997">
        <v>1.4876493188737701</v>
      </c>
      <c r="S997">
        <v>10.7803240891259</v>
      </c>
      <c r="T997">
        <v>0.45115833707139902</v>
      </c>
      <c r="U997">
        <v>-6.4015827668213996</v>
      </c>
      <c r="V997">
        <v>0.66160128356438697</v>
      </c>
      <c r="W997">
        <v>0.84746699678896098</v>
      </c>
      <c r="X997">
        <v>0</v>
      </c>
      <c r="Y997">
        <v>0</v>
      </c>
    </row>
    <row r="998" spans="1:25" x14ac:dyDescent="0.2">
      <c r="A998" t="s">
        <v>3681</v>
      </c>
      <c r="B998" t="s">
        <v>3682</v>
      </c>
      <c r="C998" t="s">
        <v>3683</v>
      </c>
      <c r="D998" t="s">
        <v>3684</v>
      </c>
      <c r="E998" t="s">
        <v>3682</v>
      </c>
      <c r="F998" t="s">
        <v>28</v>
      </c>
      <c r="G998" t="s">
        <v>3682</v>
      </c>
      <c r="H998" t="str">
        <f>"perm-4"</f>
        <v>perm-4</v>
      </c>
      <c r="I998" t="s">
        <v>3684</v>
      </c>
      <c r="J998">
        <v>13.6117150530633</v>
      </c>
      <c r="K998">
        <v>14.311393143573699</v>
      </c>
      <c r="L998">
        <v>15.1034931551065</v>
      </c>
      <c r="M998">
        <v>15.1521024619634</v>
      </c>
      <c r="N998">
        <v>15.0783093471927</v>
      </c>
      <c r="O998">
        <v>14.853631719844801</v>
      </c>
      <c r="P998">
        <v>0.68581405908579496</v>
      </c>
      <c r="Q998">
        <v>-0.109474447240222</v>
      </c>
      <c r="R998">
        <v>1.48110256541181</v>
      </c>
      <c r="S998">
        <v>14.879529585207299</v>
      </c>
      <c r="T998">
        <v>1.8124840398733</v>
      </c>
      <c r="U998">
        <v>-5.4725261844157904</v>
      </c>
      <c r="V998">
        <v>8.6724007968250499E-2</v>
      </c>
      <c r="W998">
        <v>0.30188911217609299</v>
      </c>
      <c r="X998">
        <v>0</v>
      </c>
      <c r="Y998">
        <v>0</v>
      </c>
    </row>
    <row r="999" spans="1:25" x14ac:dyDescent="0.2">
      <c r="A999" t="s">
        <v>3685</v>
      </c>
      <c r="B999" t="s">
        <v>3686</v>
      </c>
      <c r="C999" t="s">
        <v>3687</v>
      </c>
      <c r="D999" t="s">
        <v>3688</v>
      </c>
      <c r="E999" t="s">
        <v>3686</v>
      </c>
      <c r="F999" t="s">
        <v>28</v>
      </c>
      <c r="G999" t="s">
        <v>3686</v>
      </c>
      <c r="H999" t="str">
        <f>"perm-2"</f>
        <v>perm-2</v>
      </c>
      <c r="I999" t="s">
        <v>3688</v>
      </c>
      <c r="J999">
        <v>13.881478376873099</v>
      </c>
      <c r="K999">
        <v>13.7152284462325</v>
      </c>
      <c r="L999">
        <v>14.735495320022901</v>
      </c>
      <c r="M999">
        <v>14.170658100944999</v>
      </c>
      <c r="N999">
        <v>14.4658729564489</v>
      </c>
      <c r="O999">
        <v>13.941533303914801</v>
      </c>
      <c r="P999">
        <v>8.1954072726729194E-2</v>
      </c>
      <c r="Q999">
        <v>-0.80789511610364095</v>
      </c>
      <c r="R999">
        <v>0.97180326155709995</v>
      </c>
      <c r="S999">
        <v>14.0314017347169</v>
      </c>
      <c r="T999">
        <v>0.19357383093507299</v>
      </c>
      <c r="U999">
        <v>-7.0324700227661303</v>
      </c>
      <c r="V999">
        <v>0.84868981907380303</v>
      </c>
      <c r="W999">
        <v>0.94093204807378505</v>
      </c>
      <c r="X999">
        <v>0</v>
      </c>
      <c r="Y999">
        <v>0</v>
      </c>
    </row>
    <row r="1000" spans="1:25" x14ac:dyDescent="0.2">
      <c r="A1000" t="s">
        <v>3689</v>
      </c>
      <c r="B1000" t="s">
        <v>3690</v>
      </c>
      <c r="C1000" t="s">
        <v>3691</v>
      </c>
      <c r="D1000" t="s">
        <v>3692</v>
      </c>
      <c r="E1000" t="s">
        <v>3690</v>
      </c>
      <c r="F1000" t="s">
        <v>28</v>
      </c>
      <c r="G1000" t="s">
        <v>3690</v>
      </c>
      <c r="H1000" t="str">
        <f>"C49A9.6"</f>
        <v>C49A9.6</v>
      </c>
      <c r="I1000" t="s">
        <v>3692</v>
      </c>
      <c r="J1000">
        <v>13.864168518281</v>
      </c>
      <c r="K1000">
        <v>13.8755510933689</v>
      </c>
      <c r="L1000">
        <v>13.4432804932867</v>
      </c>
      <c r="M1000">
        <v>13.812257114757999</v>
      </c>
      <c r="N1000">
        <v>13.6591360386033</v>
      </c>
      <c r="O1000">
        <v>13.5395806216964</v>
      </c>
      <c r="P1000">
        <v>-5.7342109959618498E-2</v>
      </c>
      <c r="Q1000">
        <v>-0.43273525682903302</v>
      </c>
      <c r="R1000">
        <v>0.31805103690979603</v>
      </c>
      <c r="S1000">
        <v>13.277194365001099</v>
      </c>
      <c r="T1000">
        <v>-0.32105529907389102</v>
      </c>
      <c r="U1000">
        <v>-6.9982239055384898</v>
      </c>
      <c r="V1000">
        <v>0.75188774403123204</v>
      </c>
      <c r="W1000">
        <v>0.89454285513642895</v>
      </c>
      <c r="X1000">
        <v>0</v>
      </c>
      <c r="Y1000">
        <v>0</v>
      </c>
    </row>
    <row r="1001" spans="1:25" x14ac:dyDescent="0.2">
      <c r="A1001" t="s">
        <v>3693</v>
      </c>
      <c r="B1001" t="s">
        <v>3694</v>
      </c>
      <c r="C1001" t="s">
        <v>3695</v>
      </c>
      <c r="D1001" t="s">
        <v>368</v>
      </c>
      <c r="E1001" t="s">
        <v>3694</v>
      </c>
      <c r="F1001" t="s">
        <v>28</v>
      </c>
      <c r="G1001" t="s">
        <v>3694</v>
      </c>
      <c r="H1001" t="str">
        <f>"C49A9.5"</f>
        <v>C49A9.5</v>
      </c>
      <c r="I1001" t="s">
        <v>368</v>
      </c>
      <c r="J1001">
        <v>12.975359981151099</v>
      </c>
      <c r="K1001">
        <v>13.254479992091801</v>
      </c>
      <c r="L1001">
        <v>12.757199283552</v>
      </c>
      <c r="M1001">
        <v>12.6484784757386</v>
      </c>
      <c r="N1001">
        <v>13.046691496756001</v>
      </c>
      <c r="O1001">
        <v>12.9899933256231</v>
      </c>
      <c r="P1001">
        <v>-0.100625319559059</v>
      </c>
      <c r="Q1001">
        <v>-0.56999225173114398</v>
      </c>
      <c r="R1001">
        <v>0.36874161261302502</v>
      </c>
      <c r="S1001">
        <v>12.8379335697177</v>
      </c>
      <c r="T1001">
        <v>-0.45252731241101102</v>
      </c>
      <c r="U1001">
        <v>-6.9450839488919103</v>
      </c>
      <c r="V1001">
        <v>0.65664587125553697</v>
      </c>
      <c r="W1001">
        <v>0.84522375991515797</v>
      </c>
      <c r="X1001">
        <v>0</v>
      </c>
      <c r="Y1001">
        <v>0</v>
      </c>
    </row>
    <row r="1002" spans="1:25" x14ac:dyDescent="0.2">
      <c r="A1002" t="s">
        <v>3696</v>
      </c>
      <c r="B1002" t="s">
        <v>3697</v>
      </c>
      <c r="C1002" t="s">
        <v>3698</v>
      </c>
      <c r="D1002" t="s">
        <v>3699</v>
      </c>
      <c r="E1002" t="s">
        <v>3697</v>
      </c>
      <c r="F1002" t="s">
        <v>28</v>
      </c>
      <c r="G1002" t="s">
        <v>3697</v>
      </c>
      <c r="H1002" t="str">
        <f>"C49A9.2"</f>
        <v>C49A9.2</v>
      </c>
      <c r="I1002" t="s">
        <v>3699</v>
      </c>
      <c r="J1002">
        <v>12.5577642361238</v>
      </c>
      <c r="K1002">
        <v>12.063087751324799</v>
      </c>
      <c r="L1002">
        <v>11.961072368788701</v>
      </c>
      <c r="M1002">
        <v>11.5016663509099</v>
      </c>
      <c r="N1002">
        <v>12.181663273229301</v>
      </c>
      <c r="O1002">
        <v>12.057190580845299</v>
      </c>
      <c r="P1002">
        <v>-0.28046805041763501</v>
      </c>
      <c r="Q1002">
        <v>-0.82695550407473195</v>
      </c>
      <c r="R1002">
        <v>0.26601940323946099</v>
      </c>
      <c r="S1002">
        <v>12.001684679010401</v>
      </c>
      <c r="T1002">
        <v>-1.0885608970442799</v>
      </c>
      <c r="U1002">
        <v>-6.4493216741879396</v>
      </c>
      <c r="V1002">
        <v>0.29257771318722903</v>
      </c>
      <c r="W1002">
        <v>0.57073294396640095</v>
      </c>
      <c r="X1002">
        <v>0</v>
      </c>
      <c r="Y1002">
        <v>0</v>
      </c>
    </row>
    <row r="1003" spans="1:25" x14ac:dyDescent="0.2">
      <c r="A1003" t="s">
        <v>3700</v>
      </c>
      <c r="B1003" t="s">
        <v>3701</v>
      </c>
      <c r="C1003" t="s">
        <v>3702</v>
      </c>
      <c r="D1003" t="s">
        <v>3703</v>
      </c>
      <c r="E1003" t="s">
        <v>3701</v>
      </c>
      <c r="F1003" t="s">
        <v>28</v>
      </c>
      <c r="G1003" t="s">
        <v>3701</v>
      </c>
      <c r="H1003" t="str">
        <f>"pas-6"</f>
        <v>pas-6</v>
      </c>
      <c r="I1003" t="s">
        <v>3703</v>
      </c>
      <c r="J1003">
        <v>11.4256807032754</v>
      </c>
      <c r="K1003">
        <v>12.476300891739999</v>
      </c>
      <c r="L1003">
        <v>12.276486390550501</v>
      </c>
      <c r="M1003" t="s">
        <v>29</v>
      </c>
      <c r="N1003" t="s">
        <v>29</v>
      </c>
      <c r="O1003">
        <v>13.295709570527601</v>
      </c>
      <c r="P1003">
        <v>1.2362202420056501</v>
      </c>
      <c r="Q1003">
        <v>0.283521985466267</v>
      </c>
      <c r="R1003">
        <v>2.1889184985450298</v>
      </c>
      <c r="S1003">
        <v>12.7324226403015</v>
      </c>
      <c r="T1003">
        <v>2.8593556275715399</v>
      </c>
      <c r="U1003">
        <v>-3.44411811826253</v>
      </c>
      <c r="V1003">
        <v>1.5671240411125598E-2</v>
      </c>
      <c r="W1003">
        <v>0.117228083443224</v>
      </c>
      <c r="X1003">
        <v>1</v>
      </c>
      <c r="Y1003">
        <v>0</v>
      </c>
    </row>
    <row r="1004" spans="1:25" x14ac:dyDescent="0.2">
      <c r="A1004" t="s">
        <v>3704</v>
      </c>
      <c r="B1004" t="s">
        <v>3705</v>
      </c>
      <c r="C1004" t="s">
        <v>3706</v>
      </c>
      <c r="D1004" t="s">
        <v>3707</v>
      </c>
      <c r="E1004" t="s">
        <v>3705</v>
      </c>
      <c r="F1004" t="s">
        <v>28</v>
      </c>
      <c r="G1004" t="s">
        <v>3708</v>
      </c>
      <c r="H1004" t="str">
        <f>"snpc-3.1"</f>
        <v>snpc-3.1</v>
      </c>
      <c r="I1004" t="s">
        <v>3707</v>
      </c>
      <c r="J1004" t="s">
        <v>29</v>
      </c>
      <c r="K1004" t="s">
        <v>29</v>
      </c>
      <c r="L1004" t="s">
        <v>29</v>
      </c>
      <c r="M1004" t="s">
        <v>29</v>
      </c>
      <c r="N1004" t="s">
        <v>29</v>
      </c>
      <c r="O1004" t="s">
        <v>29</v>
      </c>
      <c r="P1004" t="s">
        <v>29</v>
      </c>
      <c r="Q1004" t="s">
        <v>29</v>
      </c>
      <c r="R1004" t="s">
        <v>29</v>
      </c>
      <c r="S1004">
        <v>12.676356083353101</v>
      </c>
      <c r="T1004" t="s">
        <v>29</v>
      </c>
      <c r="U1004" t="s">
        <v>29</v>
      </c>
      <c r="V1004" t="s">
        <v>29</v>
      </c>
      <c r="W1004" t="s">
        <v>29</v>
      </c>
      <c r="X1004" t="s">
        <v>29</v>
      </c>
      <c r="Y1004" t="s">
        <v>29</v>
      </c>
    </row>
    <row r="1005" spans="1:25" x14ac:dyDescent="0.2">
      <c r="A1005" t="s">
        <v>3709</v>
      </c>
      <c r="B1005" t="s">
        <v>3710</v>
      </c>
      <c r="C1005" t="s">
        <v>3711</v>
      </c>
      <c r="D1005" t="s">
        <v>3712</v>
      </c>
      <c r="E1005" t="s">
        <v>3710</v>
      </c>
      <c r="F1005" t="s">
        <v>28</v>
      </c>
      <c r="G1005" t="s">
        <v>3710</v>
      </c>
      <c r="H1005" t="str">
        <f>"puf-7"</f>
        <v>puf-7</v>
      </c>
      <c r="I1005" t="s">
        <v>3712</v>
      </c>
      <c r="J1005" t="s">
        <v>29</v>
      </c>
      <c r="K1005" t="s">
        <v>29</v>
      </c>
      <c r="L1005">
        <v>11.220354998547</v>
      </c>
      <c r="M1005" t="s">
        <v>29</v>
      </c>
      <c r="N1005">
        <v>10.553526557334299</v>
      </c>
      <c r="O1005">
        <v>10.7044317743169</v>
      </c>
      <c r="P1005">
        <v>-0.591375832721447</v>
      </c>
      <c r="Q1005">
        <v>-1.4551495295230299</v>
      </c>
      <c r="R1005">
        <v>0.272397864080138</v>
      </c>
      <c r="S1005">
        <v>12.50167632184</v>
      </c>
      <c r="T1005">
        <v>-1.49316778025257</v>
      </c>
      <c r="U1005">
        <v>-5.5632895788338104</v>
      </c>
      <c r="V1005">
        <v>0.16143625888965199</v>
      </c>
      <c r="W1005">
        <v>0.41428516279726102</v>
      </c>
      <c r="X1005">
        <v>0</v>
      </c>
      <c r="Y1005">
        <v>0</v>
      </c>
    </row>
    <row r="1006" spans="1:25" x14ac:dyDescent="0.2">
      <c r="A1006" t="s">
        <v>3713</v>
      </c>
      <c r="B1006" t="s">
        <v>3714</v>
      </c>
      <c r="C1006" t="s">
        <v>3715</v>
      </c>
      <c r="D1006" t="s">
        <v>3716</v>
      </c>
      <c r="E1006" t="s">
        <v>3714</v>
      </c>
      <c r="F1006" t="s">
        <v>28</v>
      </c>
      <c r="G1006" t="s">
        <v>3714</v>
      </c>
      <c r="H1006" t="str">
        <f>"rfc-2"</f>
        <v>rfc-2</v>
      </c>
      <c r="I1006" t="s">
        <v>3716</v>
      </c>
      <c r="J1006" t="s">
        <v>29</v>
      </c>
      <c r="K1006" t="s">
        <v>29</v>
      </c>
      <c r="L1006">
        <v>12.7344118419898</v>
      </c>
      <c r="M1006" t="s">
        <v>29</v>
      </c>
      <c r="N1006">
        <v>12.188580745367499</v>
      </c>
      <c r="O1006" t="s">
        <v>29</v>
      </c>
      <c r="P1006">
        <v>-0.54583109662234197</v>
      </c>
      <c r="Q1006">
        <v>-1.7359945624869699</v>
      </c>
      <c r="R1006">
        <v>0.64433236924228698</v>
      </c>
      <c r="S1006">
        <v>13.261462338427</v>
      </c>
      <c r="T1006">
        <v>-1.0106001372851301</v>
      </c>
      <c r="U1006">
        <v>-5.9892415649938204</v>
      </c>
      <c r="V1006">
        <v>0.33412545744973499</v>
      </c>
      <c r="W1006">
        <v>0.61268004873858295</v>
      </c>
      <c r="X1006">
        <v>0</v>
      </c>
      <c r="Y1006">
        <v>0</v>
      </c>
    </row>
    <row r="1007" spans="1:25" x14ac:dyDescent="0.2">
      <c r="A1007" t="s">
        <v>3717</v>
      </c>
      <c r="B1007" t="s">
        <v>3718</v>
      </c>
      <c r="C1007" t="s">
        <v>3719</v>
      </c>
      <c r="D1007" t="s">
        <v>3720</v>
      </c>
      <c r="E1007" t="s">
        <v>3718</v>
      </c>
      <c r="F1007" t="s">
        <v>28</v>
      </c>
      <c r="G1007" t="s">
        <v>3718</v>
      </c>
      <c r="H1007" t="str">
        <f>"ltah-1.2"</f>
        <v>ltah-1.2</v>
      </c>
      <c r="I1007" t="s">
        <v>3720</v>
      </c>
      <c r="J1007">
        <v>15.3030810913358</v>
      </c>
      <c r="K1007">
        <v>15.138794789355799</v>
      </c>
      <c r="L1007">
        <v>15.4912902823341</v>
      </c>
      <c r="M1007">
        <v>15.0444215359562</v>
      </c>
      <c r="N1007">
        <v>15.306751127839499</v>
      </c>
      <c r="O1007">
        <v>14.5945957051331</v>
      </c>
      <c r="P1007">
        <v>-0.32913259803231298</v>
      </c>
      <c r="Q1007">
        <v>-0.79089826465805002</v>
      </c>
      <c r="R1007">
        <v>0.132633068593424</v>
      </c>
      <c r="S1007">
        <v>14.936525919868499</v>
      </c>
      <c r="T1007">
        <v>-1.4981033394841401</v>
      </c>
      <c r="U1007">
        <v>-5.9445381474451899</v>
      </c>
      <c r="V1007">
        <v>0.15153896205539599</v>
      </c>
      <c r="W1007">
        <v>0.40314006532164898</v>
      </c>
      <c r="X1007">
        <v>0</v>
      </c>
      <c r="Y1007">
        <v>0</v>
      </c>
    </row>
    <row r="1008" spans="1:25" x14ac:dyDescent="0.2">
      <c r="A1008" t="s">
        <v>3721</v>
      </c>
      <c r="B1008" t="s">
        <v>3722</v>
      </c>
      <c r="C1008" t="s">
        <v>3723</v>
      </c>
      <c r="D1008" t="s">
        <v>3724</v>
      </c>
      <c r="E1008" t="s">
        <v>3722</v>
      </c>
      <c r="F1008" t="s">
        <v>28</v>
      </c>
      <c r="G1008" t="s">
        <v>3722</v>
      </c>
      <c r="H1008" t="str">
        <f>"F33D4.4"</f>
        <v>F33D4.4</v>
      </c>
      <c r="I1008" t="s">
        <v>3724</v>
      </c>
      <c r="J1008">
        <v>14.319651575617399</v>
      </c>
      <c r="K1008">
        <v>14.5069658090801</v>
      </c>
      <c r="L1008">
        <v>14.666027669688599</v>
      </c>
      <c r="M1008">
        <v>14.397407772734301</v>
      </c>
      <c r="N1008">
        <v>14.093220851275101</v>
      </c>
      <c r="O1008">
        <v>13.821238081631099</v>
      </c>
      <c r="P1008">
        <v>-0.39359278291518301</v>
      </c>
      <c r="Q1008">
        <v>-0.82630543536034895</v>
      </c>
      <c r="R1008">
        <v>3.9119869529982497E-2</v>
      </c>
      <c r="S1008">
        <v>14.3980578427536</v>
      </c>
      <c r="T1008">
        <v>-1.9117893831822601</v>
      </c>
      <c r="U1008">
        <v>-5.3104124166672104</v>
      </c>
      <c r="V1008">
        <v>7.2051298225298002E-2</v>
      </c>
      <c r="W1008">
        <v>0.272983527005208</v>
      </c>
      <c r="X1008">
        <v>0</v>
      </c>
      <c r="Y1008">
        <v>0</v>
      </c>
    </row>
    <row r="1009" spans="1:25" x14ac:dyDescent="0.2">
      <c r="A1009" t="s">
        <v>3725</v>
      </c>
      <c r="B1009" t="s">
        <v>3726</v>
      </c>
      <c r="C1009" t="s">
        <v>3727</v>
      </c>
      <c r="D1009" t="s">
        <v>3728</v>
      </c>
      <c r="E1009" t="s">
        <v>3726</v>
      </c>
      <c r="F1009" t="s">
        <v>28</v>
      </c>
      <c r="G1009" t="s">
        <v>3726</v>
      </c>
      <c r="H1009" t="str">
        <f>"rme-2"</f>
        <v>rme-2</v>
      </c>
      <c r="I1009" t="s">
        <v>3728</v>
      </c>
      <c r="J1009">
        <v>14.2977279426891</v>
      </c>
      <c r="K1009">
        <v>14.130529565600799</v>
      </c>
      <c r="L1009">
        <v>14.457611527754199</v>
      </c>
      <c r="M1009" t="s">
        <v>29</v>
      </c>
      <c r="N1009">
        <v>14.285287324404701</v>
      </c>
      <c r="O1009">
        <v>13.5485653842318</v>
      </c>
      <c r="P1009">
        <v>-0.37836332436311798</v>
      </c>
      <c r="Q1009">
        <v>-0.95046876084953802</v>
      </c>
      <c r="R1009">
        <v>0.193742112123302</v>
      </c>
      <c r="S1009">
        <v>13.982330845425899</v>
      </c>
      <c r="T1009">
        <v>-1.3959921335580101</v>
      </c>
      <c r="U1009">
        <v>-5.9741212639941503</v>
      </c>
      <c r="V1009">
        <v>0.18079198134288699</v>
      </c>
      <c r="W1009">
        <v>0.44399781682245498</v>
      </c>
      <c r="X1009">
        <v>0</v>
      </c>
      <c r="Y1009">
        <v>0</v>
      </c>
    </row>
    <row r="1010" spans="1:25" x14ac:dyDescent="0.2">
      <c r="A1010" t="s">
        <v>3729</v>
      </c>
      <c r="B1010" t="s">
        <v>3730</v>
      </c>
      <c r="C1010" t="s">
        <v>3731</v>
      </c>
      <c r="D1010" t="s">
        <v>3732</v>
      </c>
      <c r="E1010" t="s">
        <v>3730</v>
      </c>
      <c r="F1010" t="s">
        <v>28</v>
      </c>
      <c r="G1010" t="s">
        <v>3730</v>
      </c>
      <c r="H1010" t="str">
        <f>"rad-50"</f>
        <v>rad-50</v>
      </c>
      <c r="I1010" t="s">
        <v>3732</v>
      </c>
      <c r="J1010">
        <v>12.437662769031</v>
      </c>
      <c r="K1010">
        <v>12.4202135180716</v>
      </c>
      <c r="L1010">
        <v>12.497227062537601</v>
      </c>
      <c r="M1010">
        <v>12.7123201769429</v>
      </c>
      <c r="N1010">
        <v>13.1526815848301</v>
      </c>
      <c r="O1010">
        <v>12.2951068786099</v>
      </c>
      <c r="P1010">
        <v>0.26833509691426</v>
      </c>
      <c r="Q1010">
        <v>-0.35635508682092498</v>
      </c>
      <c r="R1010">
        <v>0.89302528064944597</v>
      </c>
      <c r="S1010">
        <v>12.7040892728152</v>
      </c>
      <c r="T1010">
        <v>0.91109219919825402</v>
      </c>
      <c r="U1010">
        <v>-6.6253027341001802</v>
      </c>
      <c r="V1010">
        <v>0.37585730002582401</v>
      </c>
      <c r="W1010">
        <v>0.65092880840919398</v>
      </c>
      <c r="X1010">
        <v>0</v>
      </c>
      <c r="Y1010">
        <v>0</v>
      </c>
    </row>
    <row r="1011" spans="1:25" x14ac:dyDescent="0.2">
      <c r="A1011" t="s">
        <v>3733</v>
      </c>
      <c r="B1011" t="s">
        <v>3734</v>
      </c>
      <c r="C1011" t="s">
        <v>3735</v>
      </c>
      <c r="D1011" t="s">
        <v>3736</v>
      </c>
      <c r="E1011" t="s">
        <v>3734</v>
      </c>
      <c r="F1011" t="s">
        <v>28</v>
      </c>
      <c r="G1011" t="s">
        <v>3734</v>
      </c>
      <c r="H1011" t="str">
        <f>"hmp-2"</f>
        <v>hmp-2</v>
      </c>
      <c r="I1011" t="s">
        <v>3736</v>
      </c>
      <c r="J1011" t="s">
        <v>29</v>
      </c>
      <c r="K1011" t="s">
        <v>29</v>
      </c>
      <c r="L1011" t="s">
        <v>29</v>
      </c>
      <c r="M1011" t="s">
        <v>29</v>
      </c>
      <c r="N1011" t="s">
        <v>29</v>
      </c>
      <c r="O1011" t="s">
        <v>29</v>
      </c>
      <c r="P1011" t="s">
        <v>29</v>
      </c>
      <c r="Q1011" t="s">
        <v>29</v>
      </c>
      <c r="R1011" t="s">
        <v>29</v>
      </c>
      <c r="S1011">
        <v>11.5538058262246</v>
      </c>
      <c r="T1011" t="s">
        <v>29</v>
      </c>
      <c r="U1011" t="s">
        <v>29</v>
      </c>
      <c r="V1011" t="s">
        <v>29</v>
      </c>
      <c r="W1011" t="s">
        <v>29</v>
      </c>
      <c r="X1011" t="s">
        <v>29</v>
      </c>
      <c r="Y1011" t="s">
        <v>29</v>
      </c>
    </row>
    <row r="1012" spans="1:25" x14ac:dyDescent="0.2">
      <c r="A1012" t="s">
        <v>3737</v>
      </c>
      <c r="B1012" t="s">
        <v>3738</v>
      </c>
      <c r="C1012" t="s">
        <v>3739</v>
      </c>
      <c r="D1012" t="s">
        <v>3740</v>
      </c>
      <c r="E1012" t="s">
        <v>3738</v>
      </c>
      <c r="F1012" t="s">
        <v>28</v>
      </c>
      <c r="G1012" t="s">
        <v>3738</v>
      </c>
      <c r="H1012" t="str">
        <f>"F37C4.5"</f>
        <v>F37C4.5</v>
      </c>
      <c r="I1012" t="s">
        <v>3740</v>
      </c>
      <c r="J1012">
        <v>13.4530105446402</v>
      </c>
      <c r="K1012">
        <v>13.054514966615701</v>
      </c>
      <c r="L1012">
        <v>13.085415430436401</v>
      </c>
      <c r="M1012">
        <v>13.4535417033917</v>
      </c>
      <c r="N1012">
        <v>12.666549380094599</v>
      </c>
      <c r="O1012">
        <v>14.4131856262639</v>
      </c>
      <c r="P1012">
        <v>0.31344525601929102</v>
      </c>
      <c r="Q1012">
        <v>-0.51190155337284304</v>
      </c>
      <c r="R1012">
        <v>1.1387920654114301</v>
      </c>
      <c r="S1012">
        <v>13.180799675925901</v>
      </c>
      <c r="T1012">
        <v>0.79821105364072598</v>
      </c>
      <c r="U1012">
        <v>-6.72403341178007</v>
      </c>
      <c r="V1012">
        <v>0.43521360842266998</v>
      </c>
      <c r="W1012">
        <v>0.70393597244008699</v>
      </c>
      <c r="X1012">
        <v>0</v>
      </c>
      <c r="Y1012">
        <v>0</v>
      </c>
    </row>
    <row r="1013" spans="1:25" x14ac:dyDescent="0.2">
      <c r="A1013" t="s">
        <v>3741</v>
      </c>
      <c r="B1013" t="s">
        <v>3742</v>
      </c>
      <c r="C1013" t="s">
        <v>3743</v>
      </c>
      <c r="D1013" t="s">
        <v>3744</v>
      </c>
      <c r="E1013" t="s">
        <v>3742</v>
      </c>
      <c r="F1013" t="s">
        <v>28</v>
      </c>
      <c r="G1013" t="s">
        <v>3742</v>
      </c>
      <c r="H1013" t="str">
        <f>"eri-1"</f>
        <v>eri-1</v>
      </c>
      <c r="I1013" t="s">
        <v>3744</v>
      </c>
      <c r="J1013">
        <v>12.9134865779079</v>
      </c>
      <c r="K1013">
        <v>12.9624561555996</v>
      </c>
      <c r="L1013">
        <v>12.3790224025858</v>
      </c>
      <c r="M1013">
        <v>13.1369039124588</v>
      </c>
      <c r="N1013">
        <v>11.026795647546701</v>
      </c>
      <c r="O1013">
        <v>12.216807084183699</v>
      </c>
      <c r="P1013">
        <v>-0.624819497301358</v>
      </c>
      <c r="Q1013">
        <v>-1.42829796946576</v>
      </c>
      <c r="R1013">
        <v>0.17865897486304</v>
      </c>
      <c r="S1013">
        <v>12.4083104257698</v>
      </c>
      <c r="T1013">
        <v>-1.6414601402802</v>
      </c>
      <c r="U1013">
        <v>-5.7385934515020196</v>
      </c>
      <c r="V1013">
        <v>0.119183933192429</v>
      </c>
      <c r="W1013">
        <v>0.35547618570867401</v>
      </c>
      <c r="X1013">
        <v>0</v>
      </c>
      <c r="Y1013">
        <v>0</v>
      </c>
    </row>
    <row r="1014" spans="1:25" x14ac:dyDescent="0.2">
      <c r="A1014" t="s">
        <v>3745</v>
      </c>
      <c r="B1014" t="s">
        <v>3746</v>
      </c>
      <c r="C1014" t="s">
        <v>3747</v>
      </c>
      <c r="D1014" t="s">
        <v>3748</v>
      </c>
      <c r="E1014" t="s">
        <v>3746</v>
      </c>
      <c r="F1014" t="s">
        <v>28</v>
      </c>
      <c r="G1014" t="s">
        <v>3746</v>
      </c>
      <c r="H1014" t="str">
        <f>"kgb-1"</f>
        <v>kgb-1</v>
      </c>
      <c r="I1014" t="s">
        <v>3748</v>
      </c>
      <c r="J1014">
        <v>15.7179757542399</v>
      </c>
      <c r="K1014">
        <v>15.624989142547699</v>
      </c>
      <c r="L1014">
        <v>15.497613605313299</v>
      </c>
      <c r="M1014">
        <v>15.5606061024125</v>
      </c>
      <c r="N1014">
        <v>15.6840740940067</v>
      </c>
      <c r="O1014">
        <v>15.5543157036357</v>
      </c>
      <c r="P1014">
        <v>-1.3860867348658001E-2</v>
      </c>
      <c r="Q1014">
        <v>-0.34513492240388399</v>
      </c>
      <c r="R1014">
        <v>0.31741318770656801</v>
      </c>
      <c r="S1014">
        <v>15.1647366382693</v>
      </c>
      <c r="T1014">
        <v>-8.7941829566313204E-2</v>
      </c>
      <c r="U1014">
        <v>-7.0480343386101296</v>
      </c>
      <c r="V1014">
        <v>0.93089956298856802</v>
      </c>
      <c r="W1014">
        <v>0.97440867488263605</v>
      </c>
      <c r="X1014">
        <v>0</v>
      </c>
      <c r="Y1014">
        <v>0</v>
      </c>
    </row>
    <row r="1015" spans="1:25" x14ac:dyDescent="0.2">
      <c r="A1015" t="s">
        <v>3749</v>
      </c>
      <c r="B1015" t="s">
        <v>3750</v>
      </c>
      <c r="C1015" t="s">
        <v>3751</v>
      </c>
      <c r="D1015" t="s">
        <v>3752</v>
      </c>
      <c r="E1015" t="s">
        <v>3750</v>
      </c>
      <c r="F1015" t="s">
        <v>28</v>
      </c>
      <c r="G1015" t="s">
        <v>3750</v>
      </c>
      <c r="H1015" t="str">
        <f>"T07A9.8"</f>
        <v>T07A9.8</v>
      </c>
      <c r="I1015" t="s">
        <v>3752</v>
      </c>
      <c r="J1015">
        <v>12.5242620545413</v>
      </c>
      <c r="K1015">
        <v>11.206414429090399</v>
      </c>
      <c r="L1015">
        <v>12.621371297685</v>
      </c>
      <c r="M1015">
        <v>11.811840857597</v>
      </c>
      <c r="N1015">
        <v>11.1550290379428</v>
      </c>
      <c r="O1015">
        <v>11.696618304294701</v>
      </c>
      <c r="P1015">
        <v>-0.56285319382741905</v>
      </c>
      <c r="Q1015">
        <v>-1.3362611267172699</v>
      </c>
      <c r="R1015">
        <v>0.21055473906243299</v>
      </c>
      <c r="S1015">
        <v>12.1129769702732</v>
      </c>
      <c r="T1015">
        <v>-1.6036670490773399</v>
      </c>
      <c r="U1015">
        <v>-5.8019953642274302</v>
      </c>
      <c r="V1015">
        <v>0.13735870276123199</v>
      </c>
      <c r="W1015">
        <v>0.38355251082414998</v>
      </c>
      <c r="X1015">
        <v>0</v>
      </c>
      <c r="Y1015">
        <v>0</v>
      </c>
    </row>
    <row r="1016" spans="1:25" x14ac:dyDescent="0.2">
      <c r="A1016" t="s">
        <v>3753</v>
      </c>
      <c r="B1016" t="s">
        <v>3754</v>
      </c>
      <c r="C1016" t="s">
        <v>3755</v>
      </c>
      <c r="D1016" t="s">
        <v>3756</v>
      </c>
      <c r="E1016" t="s">
        <v>3754</v>
      </c>
      <c r="F1016" t="s">
        <v>28</v>
      </c>
      <c r="G1016" t="s">
        <v>3754</v>
      </c>
      <c r="H1016" t="str">
        <f>"nog-1"</f>
        <v>nog-1</v>
      </c>
      <c r="I1016" t="s">
        <v>3756</v>
      </c>
      <c r="J1016">
        <v>17.008611399806998</v>
      </c>
      <c r="K1016">
        <v>16.988339557515499</v>
      </c>
      <c r="L1016">
        <v>17.1012997203254</v>
      </c>
      <c r="M1016">
        <v>16.978279918482599</v>
      </c>
      <c r="N1016">
        <v>16.956642957204501</v>
      </c>
      <c r="O1016">
        <v>16.786192457637402</v>
      </c>
      <c r="P1016">
        <v>-0.12571178144110501</v>
      </c>
      <c r="Q1016">
        <v>-0.45754697932142802</v>
      </c>
      <c r="R1016">
        <v>0.206123416439218</v>
      </c>
      <c r="S1016">
        <v>17.187004493344901</v>
      </c>
      <c r="T1016">
        <v>-0.79624376387787599</v>
      </c>
      <c r="U1016">
        <v>-6.7256204752538702</v>
      </c>
      <c r="V1016">
        <v>0.43632674252019199</v>
      </c>
      <c r="W1016">
        <v>0.70393597244008699</v>
      </c>
      <c r="X1016">
        <v>0</v>
      </c>
      <c r="Y1016">
        <v>0</v>
      </c>
    </row>
    <row r="1017" spans="1:25" x14ac:dyDescent="0.2">
      <c r="A1017" t="s">
        <v>3757</v>
      </c>
      <c r="B1017" t="s">
        <v>3758</v>
      </c>
      <c r="C1017" t="s">
        <v>3759</v>
      </c>
      <c r="D1017" t="s">
        <v>3760</v>
      </c>
      <c r="E1017" t="s">
        <v>3758</v>
      </c>
      <c r="F1017" t="s">
        <v>28</v>
      </c>
      <c r="G1017" t="s">
        <v>3758</v>
      </c>
      <c r="H1017" t="str">
        <f>"uncp-18"</f>
        <v>uncp-18</v>
      </c>
      <c r="I1017" t="s">
        <v>3760</v>
      </c>
      <c r="J1017">
        <v>12.498489480841901</v>
      </c>
      <c r="K1017">
        <v>12.618056337634201</v>
      </c>
      <c r="L1017">
        <v>12.804058236549</v>
      </c>
      <c r="M1017">
        <v>13.227401404502199</v>
      </c>
      <c r="N1017">
        <v>13.528034187032601</v>
      </c>
      <c r="O1017">
        <v>13.1013601201194</v>
      </c>
      <c r="P1017">
        <v>0.64539721887637902</v>
      </c>
      <c r="Q1017">
        <v>0.112123443188687</v>
      </c>
      <c r="R1017">
        <v>1.1786709945640701</v>
      </c>
      <c r="S1017">
        <v>12.754918700132301</v>
      </c>
      <c r="T1017">
        <v>2.5546233384172701</v>
      </c>
      <c r="U1017">
        <v>-4.1550010791711198</v>
      </c>
      <c r="V1017">
        <v>2.0581972887042201E-2</v>
      </c>
      <c r="W1017">
        <v>0.13894966758181601</v>
      </c>
      <c r="X1017">
        <v>0</v>
      </c>
      <c r="Y1017">
        <v>0</v>
      </c>
    </row>
    <row r="1018" spans="1:25" x14ac:dyDescent="0.2">
      <c r="A1018" t="s">
        <v>3761</v>
      </c>
      <c r="B1018" t="s">
        <v>3762</v>
      </c>
      <c r="C1018" t="s">
        <v>3763</v>
      </c>
      <c r="D1018" t="s">
        <v>1027</v>
      </c>
      <c r="E1018" t="s">
        <v>3762</v>
      </c>
      <c r="F1018" t="s">
        <v>28</v>
      </c>
      <c r="G1018" t="s">
        <v>3762</v>
      </c>
      <c r="H1018" t="str">
        <f>"otub-4"</f>
        <v>otub-4</v>
      </c>
      <c r="I1018" t="s">
        <v>1027</v>
      </c>
      <c r="J1018" t="s">
        <v>29</v>
      </c>
      <c r="K1018" t="s">
        <v>29</v>
      </c>
      <c r="L1018" t="s">
        <v>29</v>
      </c>
      <c r="M1018" t="s">
        <v>29</v>
      </c>
      <c r="N1018" t="s">
        <v>29</v>
      </c>
      <c r="O1018" t="s">
        <v>29</v>
      </c>
      <c r="P1018" t="s">
        <v>29</v>
      </c>
      <c r="Q1018" t="s">
        <v>29</v>
      </c>
      <c r="R1018" t="s">
        <v>29</v>
      </c>
      <c r="S1018">
        <v>11.697316816903699</v>
      </c>
      <c r="T1018" t="s">
        <v>29</v>
      </c>
      <c r="U1018" t="s">
        <v>29</v>
      </c>
      <c r="V1018" t="s">
        <v>29</v>
      </c>
      <c r="W1018" t="s">
        <v>29</v>
      </c>
      <c r="X1018" t="s">
        <v>29</v>
      </c>
      <c r="Y1018" t="s">
        <v>29</v>
      </c>
    </row>
    <row r="1019" spans="1:25" x14ac:dyDescent="0.2">
      <c r="A1019" t="s">
        <v>3764</v>
      </c>
      <c r="B1019" t="s">
        <v>3765</v>
      </c>
      <c r="C1019" t="s">
        <v>3766</v>
      </c>
      <c r="D1019" t="s">
        <v>3767</v>
      </c>
      <c r="E1019" t="s">
        <v>3765</v>
      </c>
      <c r="F1019" t="s">
        <v>28</v>
      </c>
      <c r="G1019" t="s">
        <v>3765</v>
      </c>
      <c r="H1019" t="str">
        <f>"mai-2"</f>
        <v>mai-2</v>
      </c>
      <c r="I1019" t="s">
        <v>3767</v>
      </c>
      <c r="J1019">
        <v>13.499281728334401</v>
      </c>
      <c r="K1019">
        <v>13.6376845996529</v>
      </c>
      <c r="L1019">
        <v>13.5241742944226</v>
      </c>
      <c r="M1019">
        <v>13.9420823738475</v>
      </c>
      <c r="N1019">
        <v>12.927985921338401</v>
      </c>
      <c r="O1019">
        <v>14.6712318480138</v>
      </c>
      <c r="P1019">
        <v>0.29338650692993601</v>
      </c>
      <c r="Q1019">
        <v>-0.65744380344500897</v>
      </c>
      <c r="R1019">
        <v>1.24421681730488</v>
      </c>
      <c r="S1019">
        <v>13.369938038155301</v>
      </c>
      <c r="T1019">
        <v>0.67993095266502002</v>
      </c>
      <c r="U1019">
        <v>-6.8067776255305796</v>
      </c>
      <c r="V1019">
        <v>0.51073697405922003</v>
      </c>
      <c r="W1019">
        <v>0.75959181996093506</v>
      </c>
      <c r="X1019">
        <v>0</v>
      </c>
      <c r="Y1019">
        <v>0</v>
      </c>
    </row>
    <row r="1020" spans="1:25" x14ac:dyDescent="0.2">
      <c r="A1020" t="s">
        <v>3768</v>
      </c>
      <c r="B1020" t="s">
        <v>3769</v>
      </c>
      <c r="C1020" t="s">
        <v>14355</v>
      </c>
      <c r="D1020" t="s">
        <v>3770</v>
      </c>
      <c r="E1020" t="s">
        <v>3769</v>
      </c>
      <c r="F1020" t="s">
        <v>28</v>
      </c>
      <c r="G1020" t="s">
        <v>3771</v>
      </c>
      <c r="H1020" t="str">
        <f>"C02B10.6"</f>
        <v>C02B10.6</v>
      </c>
      <c r="I1020" t="s">
        <v>3770</v>
      </c>
      <c r="J1020">
        <v>11.4357660103262</v>
      </c>
      <c r="K1020" t="s">
        <v>29</v>
      </c>
      <c r="L1020">
        <v>11.0429678068865</v>
      </c>
      <c r="M1020" t="s">
        <v>29</v>
      </c>
      <c r="N1020" t="s">
        <v>29</v>
      </c>
      <c r="O1020" t="s">
        <v>29</v>
      </c>
      <c r="P1020" t="s">
        <v>29</v>
      </c>
      <c r="Q1020" t="s">
        <v>29</v>
      </c>
      <c r="R1020" t="s">
        <v>29</v>
      </c>
      <c r="S1020">
        <v>10.989314056234299</v>
      </c>
      <c r="T1020" t="s">
        <v>29</v>
      </c>
      <c r="U1020" t="s">
        <v>29</v>
      </c>
      <c r="V1020" t="s">
        <v>29</v>
      </c>
      <c r="W1020" t="s">
        <v>29</v>
      </c>
      <c r="X1020" t="s">
        <v>29</v>
      </c>
      <c r="Y1020" t="s">
        <v>29</v>
      </c>
    </row>
    <row r="1021" spans="1:25" x14ac:dyDescent="0.2">
      <c r="A1021" t="s">
        <v>3772</v>
      </c>
      <c r="B1021" t="s">
        <v>3773</v>
      </c>
      <c r="C1021" t="s">
        <v>3774</v>
      </c>
      <c r="D1021" t="s">
        <v>3775</v>
      </c>
      <c r="E1021" t="s">
        <v>3773</v>
      </c>
      <c r="F1021" t="s">
        <v>28</v>
      </c>
      <c r="G1021" t="s">
        <v>3773</v>
      </c>
      <c r="H1021" t="str">
        <f>"pdhb-1"</f>
        <v>pdhb-1</v>
      </c>
      <c r="I1021" t="s">
        <v>3775</v>
      </c>
      <c r="J1021">
        <v>17.2267606051809</v>
      </c>
      <c r="K1021">
        <v>16.7443996130187</v>
      </c>
      <c r="L1021">
        <v>16.932159245256301</v>
      </c>
      <c r="M1021">
        <v>16.705277222134701</v>
      </c>
      <c r="N1021">
        <v>16.993624095724101</v>
      </c>
      <c r="O1021">
        <v>16.801880857666799</v>
      </c>
      <c r="P1021">
        <v>-0.134179095976798</v>
      </c>
      <c r="Q1021">
        <v>-0.53916925499383805</v>
      </c>
      <c r="R1021">
        <v>0.27081106304024299</v>
      </c>
      <c r="S1021">
        <v>16.799018796150399</v>
      </c>
      <c r="T1021">
        <v>-0.69635853730848596</v>
      </c>
      <c r="U1021">
        <v>-6.8013669718434802</v>
      </c>
      <c r="V1021">
        <v>0.49515066073059699</v>
      </c>
      <c r="W1021">
        <v>0.74731922542549301</v>
      </c>
      <c r="X1021">
        <v>0</v>
      </c>
      <c r="Y1021">
        <v>0</v>
      </c>
    </row>
    <row r="1022" spans="1:25" x14ac:dyDescent="0.2">
      <c r="A1022" t="s">
        <v>3776</v>
      </c>
      <c r="B1022" t="s">
        <v>3777</v>
      </c>
      <c r="C1022" t="s">
        <v>3778</v>
      </c>
      <c r="D1022" t="s">
        <v>3779</v>
      </c>
      <c r="E1022" t="s">
        <v>3777</v>
      </c>
      <c r="F1022" t="s">
        <v>28</v>
      </c>
      <c r="G1022" t="s">
        <v>3777</v>
      </c>
      <c r="H1022" t="str">
        <f>"timm-17B.1"</f>
        <v>timm-17B.1</v>
      </c>
      <c r="I1022" t="s">
        <v>3779</v>
      </c>
      <c r="J1022" t="s">
        <v>29</v>
      </c>
      <c r="K1022" t="s">
        <v>29</v>
      </c>
      <c r="L1022" t="s">
        <v>29</v>
      </c>
      <c r="M1022" t="s">
        <v>29</v>
      </c>
      <c r="N1022" t="s">
        <v>29</v>
      </c>
      <c r="O1022" t="s">
        <v>29</v>
      </c>
      <c r="P1022" t="s">
        <v>29</v>
      </c>
      <c r="Q1022" t="s">
        <v>29</v>
      </c>
      <c r="R1022" t="s">
        <v>29</v>
      </c>
      <c r="S1022">
        <v>11.0481937513463</v>
      </c>
      <c r="T1022" t="s">
        <v>29</v>
      </c>
      <c r="U1022" t="s">
        <v>29</v>
      </c>
      <c r="V1022" t="s">
        <v>29</v>
      </c>
      <c r="W1022" t="s">
        <v>29</v>
      </c>
      <c r="X1022" t="s">
        <v>29</v>
      </c>
      <c r="Y1022" t="s">
        <v>29</v>
      </c>
    </row>
    <row r="1023" spans="1:25" x14ac:dyDescent="0.2">
      <c r="A1023" t="s">
        <v>3780</v>
      </c>
      <c r="B1023" t="s">
        <v>3781</v>
      </c>
      <c r="C1023" t="s">
        <v>3782</v>
      </c>
      <c r="D1023" t="s">
        <v>3783</v>
      </c>
      <c r="E1023" t="s">
        <v>3781</v>
      </c>
      <c r="F1023" t="s">
        <v>28</v>
      </c>
      <c r="G1023" t="s">
        <v>3781</v>
      </c>
      <c r="H1023" t="str">
        <f>"rpl-20"</f>
        <v>rpl-20</v>
      </c>
      <c r="I1023" t="s">
        <v>3783</v>
      </c>
      <c r="J1023">
        <v>19.037997013121</v>
      </c>
      <c r="K1023">
        <v>19.104695640155999</v>
      </c>
      <c r="L1023">
        <v>19.2521448097548</v>
      </c>
      <c r="M1023">
        <v>18.8614339223261</v>
      </c>
      <c r="N1023">
        <v>18.459770466760499</v>
      </c>
      <c r="O1023">
        <v>18.225606655284398</v>
      </c>
      <c r="P1023">
        <v>-0.61600880622028198</v>
      </c>
      <c r="Q1023">
        <v>-0.993051343079696</v>
      </c>
      <c r="R1023">
        <v>-0.23896626936086901</v>
      </c>
      <c r="S1023">
        <v>18.846977136099099</v>
      </c>
      <c r="T1023">
        <v>-3.43391139608282</v>
      </c>
      <c r="U1023">
        <v>-2.3155596681884401</v>
      </c>
      <c r="V1023">
        <v>2.9806931838490401E-3</v>
      </c>
      <c r="W1023">
        <v>3.7887404766581097E-2</v>
      </c>
      <c r="X1023">
        <v>0</v>
      </c>
      <c r="Y1023">
        <v>0</v>
      </c>
    </row>
    <row r="1024" spans="1:25" x14ac:dyDescent="0.2">
      <c r="A1024" t="s">
        <v>3784</v>
      </c>
      <c r="B1024" t="s">
        <v>3785</v>
      </c>
      <c r="C1024" t="s">
        <v>3786</v>
      </c>
      <c r="D1024" t="s">
        <v>3787</v>
      </c>
      <c r="E1024" t="s">
        <v>3785</v>
      </c>
      <c r="F1024" t="s">
        <v>28</v>
      </c>
      <c r="G1024" t="s">
        <v>3785</v>
      </c>
      <c r="H1024" t="str">
        <f>"elks-1"</f>
        <v>elks-1</v>
      </c>
      <c r="I1024" t="s">
        <v>3787</v>
      </c>
      <c r="J1024">
        <v>14.489309468111101</v>
      </c>
      <c r="K1024">
        <v>13.706102280461</v>
      </c>
      <c r="L1024">
        <v>12.18180380503</v>
      </c>
      <c r="M1024">
        <v>12.591280038807399</v>
      </c>
      <c r="N1024">
        <v>11.9976487490332</v>
      </c>
      <c r="O1024">
        <v>13.719715355306899</v>
      </c>
      <c r="P1024">
        <v>-0.68952380348486697</v>
      </c>
      <c r="Q1024">
        <v>-2.2913045328305</v>
      </c>
      <c r="R1024">
        <v>0.91225692586076401</v>
      </c>
      <c r="S1024">
        <v>13.207182786229501</v>
      </c>
      <c r="T1024">
        <v>-0.90477108335950396</v>
      </c>
      <c r="U1024">
        <v>-6.63267526375886</v>
      </c>
      <c r="V1024">
        <v>0.37760690623724602</v>
      </c>
      <c r="W1024">
        <v>0.65323385055608596</v>
      </c>
      <c r="X1024">
        <v>0</v>
      </c>
      <c r="Y1024">
        <v>0</v>
      </c>
    </row>
    <row r="1025" spans="1:25" x14ac:dyDescent="0.2">
      <c r="A1025" t="s">
        <v>3788</v>
      </c>
      <c r="B1025" t="s">
        <v>3789</v>
      </c>
      <c r="C1025" t="s">
        <v>3790</v>
      </c>
      <c r="D1025" t="s">
        <v>561</v>
      </c>
      <c r="E1025" t="s">
        <v>3789</v>
      </c>
      <c r="F1025" t="s">
        <v>28</v>
      </c>
      <c r="G1025" t="s">
        <v>3789</v>
      </c>
      <c r="H1025" t="str">
        <f>"lgc-22"</f>
        <v>lgc-22</v>
      </c>
      <c r="I1025" t="s">
        <v>561</v>
      </c>
      <c r="J1025">
        <v>12.930316244160601</v>
      </c>
      <c r="K1025">
        <v>13.141523883374999</v>
      </c>
      <c r="L1025">
        <v>12.6622751077904</v>
      </c>
      <c r="M1025">
        <v>12.696087770173699</v>
      </c>
      <c r="N1025" t="s">
        <v>29</v>
      </c>
      <c r="O1025">
        <v>12.3860115563497</v>
      </c>
      <c r="P1025">
        <v>-0.37032208184696502</v>
      </c>
      <c r="Q1025">
        <v>-0.89291523333616796</v>
      </c>
      <c r="R1025">
        <v>0.15227106964223799</v>
      </c>
      <c r="S1025">
        <v>13.0038902128526</v>
      </c>
      <c r="T1025">
        <v>-1.5113237285452701</v>
      </c>
      <c r="U1025">
        <v>-5.8187373891834699</v>
      </c>
      <c r="V1025">
        <v>0.15162892259833</v>
      </c>
      <c r="W1025">
        <v>0.40314006532164898</v>
      </c>
      <c r="X1025">
        <v>0</v>
      </c>
      <c r="Y1025">
        <v>0</v>
      </c>
    </row>
    <row r="1026" spans="1:25" x14ac:dyDescent="0.2">
      <c r="A1026" t="s">
        <v>3791</v>
      </c>
      <c r="B1026" t="s">
        <v>3792</v>
      </c>
      <c r="C1026" t="s">
        <v>3793</v>
      </c>
      <c r="D1026" t="s">
        <v>3794</v>
      </c>
      <c r="E1026" t="s">
        <v>3792</v>
      </c>
      <c r="F1026" t="s">
        <v>28</v>
      </c>
      <c r="G1026" t="s">
        <v>3792</v>
      </c>
      <c r="H1026" t="str">
        <f>"set-9"</f>
        <v>set-9</v>
      </c>
      <c r="I1026" t="s">
        <v>3794</v>
      </c>
      <c r="J1026">
        <v>12.471112187057599</v>
      </c>
      <c r="K1026">
        <v>11.9973061549522</v>
      </c>
      <c r="L1026">
        <v>12.724647686349799</v>
      </c>
      <c r="M1026">
        <v>11.216922316489701</v>
      </c>
      <c r="N1026">
        <v>11.8790542668026</v>
      </c>
      <c r="O1026">
        <v>10.579711297018401</v>
      </c>
      <c r="P1026">
        <v>-1.1724593826829699</v>
      </c>
      <c r="Q1026">
        <v>-1.80998285362559</v>
      </c>
      <c r="R1026">
        <v>-0.53493591174035604</v>
      </c>
      <c r="S1026">
        <v>12.4050794263902</v>
      </c>
      <c r="T1026">
        <v>-3.9007773119662201</v>
      </c>
      <c r="U1026">
        <v>-1.4382647208692001</v>
      </c>
      <c r="V1026">
        <v>1.2858401684220199E-3</v>
      </c>
      <c r="W1026">
        <v>2.1218036823962699E-2</v>
      </c>
      <c r="X1026">
        <v>-1</v>
      </c>
      <c r="Y1026">
        <v>-1</v>
      </c>
    </row>
    <row r="1027" spans="1:25" x14ac:dyDescent="0.2">
      <c r="A1027" t="s">
        <v>3795</v>
      </c>
      <c r="B1027" t="s">
        <v>3796</v>
      </c>
      <c r="C1027" t="s">
        <v>3797</v>
      </c>
      <c r="D1027" t="s">
        <v>3798</v>
      </c>
      <c r="E1027" t="s">
        <v>3796</v>
      </c>
      <c r="F1027" t="s">
        <v>28</v>
      </c>
      <c r="G1027" t="s">
        <v>3796</v>
      </c>
      <c r="H1027" t="str">
        <f>"gtf-2h1"</f>
        <v>gtf-2h1</v>
      </c>
      <c r="I1027" t="s">
        <v>3798</v>
      </c>
      <c r="J1027" t="s">
        <v>29</v>
      </c>
      <c r="K1027">
        <v>11.3451562960771</v>
      </c>
      <c r="L1027">
        <v>10.5061151522602</v>
      </c>
      <c r="M1027" t="s">
        <v>29</v>
      </c>
      <c r="N1027" t="s">
        <v>29</v>
      </c>
      <c r="O1027">
        <v>10.505928399624</v>
      </c>
      <c r="P1027">
        <v>-0.41970732454460702</v>
      </c>
      <c r="Q1027">
        <v>-1.9176305543023799</v>
      </c>
      <c r="R1027">
        <v>1.0782159052131599</v>
      </c>
      <c r="S1027">
        <v>10.896836982815101</v>
      </c>
      <c r="T1027">
        <v>-0.61742567592249198</v>
      </c>
      <c r="U1027">
        <v>-6.4500522263739697</v>
      </c>
      <c r="V1027">
        <v>0.54964049892995903</v>
      </c>
      <c r="W1027">
        <v>0.78009919471154898</v>
      </c>
      <c r="X1027">
        <v>0</v>
      </c>
      <c r="Y1027">
        <v>0</v>
      </c>
    </row>
    <row r="1028" spans="1:25" x14ac:dyDescent="0.2">
      <c r="A1028" t="s">
        <v>3799</v>
      </c>
      <c r="B1028" t="s">
        <v>3800</v>
      </c>
      <c r="C1028" t="s">
        <v>3801</v>
      </c>
      <c r="D1028" t="s">
        <v>3802</v>
      </c>
      <c r="E1028" t="s">
        <v>3800</v>
      </c>
      <c r="F1028" t="s">
        <v>28</v>
      </c>
      <c r="G1028" t="s">
        <v>3800</v>
      </c>
      <c r="H1028" t="str">
        <f>"ints-13"</f>
        <v>ints-13</v>
      </c>
      <c r="I1028" t="s">
        <v>3802</v>
      </c>
      <c r="J1028">
        <v>11.2860287880132</v>
      </c>
      <c r="K1028">
        <v>11.719430264999801</v>
      </c>
      <c r="L1028">
        <v>11.7104781885118</v>
      </c>
      <c r="M1028">
        <v>11.4753133075761</v>
      </c>
      <c r="N1028">
        <v>11.3476292758829</v>
      </c>
      <c r="O1028">
        <v>10.7675397834929</v>
      </c>
      <c r="P1028">
        <v>-0.37515162485765102</v>
      </c>
      <c r="Q1028">
        <v>-1.0710238491789299</v>
      </c>
      <c r="R1028">
        <v>0.32072059946362402</v>
      </c>
      <c r="S1028">
        <v>11.616568542343799</v>
      </c>
      <c r="T1028">
        <v>-1.1379609074882799</v>
      </c>
      <c r="U1028">
        <v>-6.3963323087759498</v>
      </c>
      <c r="V1028">
        <v>0.271017596887906</v>
      </c>
      <c r="W1028">
        <v>0.54673977698279397</v>
      </c>
      <c r="X1028">
        <v>0</v>
      </c>
      <c r="Y1028">
        <v>0</v>
      </c>
    </row>
    <row r="1029" spans="1:25" x14ac:dyDescent="0.2">
      <c r="A1029" t="s">
        <v>3803</v>
      </c>
      <c r="B1029" t="s">
        <v>3804</v>
      </c>
      <c r="C1029" t="s">
        <v>3805</v>
      </c>
      <c r="D1029" t="s">
        <v>3806</v>
      </c>
      <c r="E1029" t="s">
        <v>3804</v>
      </c>
      <c r="F1029" t="s">
        <v>28</v>
      </c>
      <c r="G1029" t="s">
        <v>3804</v>
      </c>
      <c r="H1029" t="str">
        <f>"cogc-8"</f>
        <v>cogc-8</v>
      </c>
      <c r="I1029" t="s">
        <v>3806</v>
      </c>
      <c r="J1029">
        <v>11.5378934767988</v>
      </c>
      <c r="K1029">
        <v>12.455456303284601</v>
      </c>
      <c r="L1029">
        <v>11.5320095853906</v>
      </c>
      <c r="M1029">
        <v>15.5205543980013</v>
      </c>
      <c r="N1029">
        <v>15.876955963679199</v>
      </c>
      <c r="O1029">
        <v>15.4646960230509</v>
      </c>
      <c r="P1029">
        <v>3.77894900641913</v>
      </c>
      <c r="Q1029">
        <v>2.89136378829425</v>
      </c>
      <c r="R1029">
        <v>4.6665342245439998</v>
      </c>
      <c r="S1029">
        <v>14.228035965221601</v>
      </c>
      <c r="T1029">
        <v>8.9485667880729505</v>
      </c>
      <c r="U1029">
        <v>8.7047288132599903</v>
      </c>
      <c r="V1029" s="2">
        <v>5.0346653563987299E-8</v>
      </c>
      <c r="W1029" s="2">
        <v>5.6492417481798203E-6</v>
      </c>
      <c r="X1029">
        <v>1</v>
      </c>
      <c r="Y1029">
        <v>1</v>
      </c>
    </row>
    <row r="1030" spans="1:25" x14ac:dyDescent="0.2">
      <c r="A1030" t="s">
        <v>3807</v>
      </c>
      <c r="B1030" t="s">
        <v>3808</v>
      </c>
      <c r="C1030" t="s">
        <v>14356</v>
      </c>
      <c r="D1030" t="s">
        <v>130</v>
      </c>
      <c r="E1030" t="s">
        <v>3808</v>
      </c>
      <c r="F1030" t="s">
        <v>28</v>
      </c>
      <c r="G1030" t="s">
        <v>3808</v>
      </c>
      <c r="H1030" t="str">
        <f>"R02D3.7"</f>
        <v>R02D3.7</v>
      </c>
      <c r="I1030" t="s">
        <v>130</v>
      </c>
      <c r="J1030" t="s">
        <v>29</v>
      </c>
      <c r="K1030" t="s">
        <v>29</v>
      </c>
      <c r="L1030" t="s">
        <v>29</v>
      </c>
      <c r="M1030" t="s">
        <v>29</v>
      </c>
      <c r="N1030" t="s">
        <v>29</v>
      </c>
      <c r="O1030" t="s">
        <v>29</v>
      </c>
      <c r="P1030" t="s">
        <v>29</v>
      </c>
      <c r="Q1030" t="s">
        <v>29</v>
      </c>
      <c r="R1030" t="s">
        <v>29</v>
      </c>
      <c r="S1030">
        <v>12.1187143136556</v>
      </c>
      <c r="T1030" t="s">
        <v>29</v>
      </c>
      <c r="U1030" t="s">
        <v>29</v>
      </c>
      <c r="V1030" t="s">
        <v>29</v>
      </c>
      <c r="W1030" t="s">
        <v>29</v>
      </c>
      <c r="X1030" t="s">
        <v>29</v>
      </c>
      <c r="Y1030" t="s">
        <v>29</v>
      </c>
    </row>
    <row r="1031" spans="1:25" x14ac:dyDescent="0.2">
      <c r="A1031" t="s">
        <v>3809</v>
      </c>
      <c r="B1031" t="s">
        <v>3810</v>
      </c>
      <c r="C1031" t="s">
        <v>3811</v>
      </c>
      <c r="D1031" t="s">
        <v>3812</v>
      </c>
      <c r="E1031" t="s">
        <v>3810</v>
      </c>
      <c r="F1031" t="s">
        <v>28</v>
      </c>
      <c r="G1031" t="s">
        <v>3810</v>
      </c>
      <c r="H1031" t="str">
        <f>"ndub-11"</f>
        <v>ndub-11</v>
      </c>
      <c r="I1031" t="s">
        <v>3812</v>
      </c>
      <c r="J1031" t="s">
        <v>29</v>
      </c>
      <c r="K1031" t="s">
        <v>29</v>
      </c>
      <c r="L1031">
        <v>12.536884981087701</v>
      </c>
      <c r="M1031" t="s">
        <v>29</v>
      </c>
      <c r="N1031" t="s">
        <v>29</v>
      </c>
      <c r="O1031">
        <v>12.8413095663003</v>
      </c>
      <c r="P1031">
        <v>0.30442458521264698</v>
      </c>
      <c r="Q1031">
        <v>-1.20006440162599</v>
      </c>
      <c r="R1031">
        <v>1.8089135720512901</v>
      </c>
      <c r="S1031">
        <v>11.8695201377593</v>
      </c>
      <c r="T1031">
        <v>0.47994804191074703</v>
      </c>
      <c r="U1031">
        <v>-6.3832087237434498</v>
      </c>
      <c r="V1031">
        <v>0.64611498953958302</v>
      </c>
      <c r="W1031">
        <v>0.83896974300151805</v>
      </c>
      <c r="X1031">
        <v>0</v>
      </c>
      <c r="Y1031">
        <v>0</v>
      </c>
    </row>
    <row r="1032" spans="1:25" x14ac:dyDescent="0.2">
      <c r="A1032" t="s">
        <v>3813</v>
      </c>
      <c r="B1032" t="s">
        <v>3814</v>
      </c>
      <c r="C1032" t="s">
        <v>3815</v>
      </c>
      <c r="D1032" t="s">
        <v>3816</v>
      </c>
      <c r="E1032" t="s">
        <v>3814</v>
      </c>
      <c r="F1032" t="s">
        <v>28</v>
      </c>
      <c r="G1032" t="s">
        <v>3814</v>
      </c>
      <c r="H1032" t="str">
        <f>"moc-3"</f>
        <v>moc-3</v>
      </c>
      <c r="I1032" t="s">
        <v>3816</v>
      </c>
      <c r="J1032" t="s">
        <v>29</v>
      </c>
      <c r="K1032" t="s">
        <v>29</v>
      </c>
      <c r="L1032" t="s">
        <v>29</v>
      </c>
      <c r="M1032" t="s">
        <v>29</v>
      </c>
      <c r="N1032">
        <v>11.5229114173234</v>
      </c>
      <c r="O1032" t="s">
        <v>29</v>
      </c>
      <c r="P1032" t="s">
        <v>29</v>
      </c>
      <c r="Q1032" t="s">
        <v>29</v>
      </c>
      <c r="R1032" t="s">
        <v>29</v>
      </c>
      <c r="S1032">
        <v>12.354848009810899</v>
      </c>
      <c r="T1032" t="s">
        <v>29</v>
      </c>
      <c r="U1032" t="s">
        <v>29</v>
      </c>
      <c r="V1032" t="s">
        <v>29</v>
      </c>
      <c r="W1032" t="s">
        <v>29</v>
      </c>
      <c r="X1032" t="s">
        <v>29</v>
      </c>
      <c r="Y1032" t="s">
        <v>29</v>
      </c>
    </row>
    <row r="1033" spans="1:25" x14ac:dyDescent="0.2">
      <c r="A1033" t="s">
        <v>3817</v>
      </c>
      <c r="B1033" t="s">
        <v>3818</v>
      </c>
      <c r="C1033" t="s">
        <v>3819</v>
      </c>
      <c r="D1033" t="s">
        <v>3820</v>
      </c>
      <c r="E1033" t="s">
        <v>3818</v>
      </c>
      <c r="F1033" t="s">
        <v>28</v>
      </c>
      <c r="G1033" t="s">
        <v>3818</v>
      </c>
      <c r="H1033" t="str">
        <f>"isp-1"</f>
        <v>isp-1</v>
      </c>
      <c r="I1033" t="s">
        <v>3820</v>
      </c>
      <c r="J1033">
        <v>12.8574796039482</v>
      </c>
      <c r="K1033">
        <v>13.7140990753101</v>
      </c>
      <c r="L1033">
        <v>13.269586151714901</v>
      </c>
      <c r="M1033">
        <v>11.4678913673495</v>
      </c>
      <c r="N1033">
        <v>13.6683348559266</v>
      </c>
      <c r="O1033">
        <v>13.661898157599101</v>
      </c>
      <c r="P1033">
        <v>-0.347680150032602</v>
      </c>
      <c r="Q1033">
        <v>-1.3262586232515201</v>
      </c>
      <c r="R1033">
        <v>0.630898323186313</v>
      </c>
      <c r="S1033">
        <v>13.2507651345909</v>
      </c>
      <c r="T1033">
        <v>-0.74995335377719297</v>
      </c>
      <c r="U1033">
        <v>-6.7612641691652398</v>
      </c>
      <c r="V1033">
        <v>0.46359911437490597</v>
      </c>
      <c r="W1033">
        <v>0.72841695711054799</v>
      </c>
      <c r="X1033">
        <v>0</v>
      </c>
      <c r="Y1033">
        <v>0</v>
      </c>
    </row>
    <row r="1034" spans="1:25" x14ac:dyDescent="0.2">
      <c r="A1034" t="s">
        <v>3821</v>
      </c>
      <c r="B1034" t="s">
        <v>3822</v>
      </c>
      <c r="C1034" t="s">
        <v>3823</v>
      </c>
      <c r="D1034" t="s">
        <v>3824</v>
      </c>
      <c r="E1034" t="s">
        <v>3822</v>
      </c>
      <c r="F1034" t="s">
        <v>28</v>
      </c>
      <c r="G1034" t="s">
        <v>3822</v>
      </c>
      <c r="H1034" t="str">
        <f>"pmk-3"</f>
        <v>pmk-3</v>
      </c>
      <c r="I1034" t="s">
        <v>3824</v>
      </c>
      <c r="J1034">
        <v>12.263427046489401</v>
      </c>
      <c r="K1034">
        <v>12.3285046598952</v>
      </c>
      <c r="L1034">
        <v>12.7281703103063</v>
      </c>
      <c r="M1034">
        <v>12.5775095555686</v>
      </c>
      <c r="N1034">
        <v>12.5408284907399</v>
      </c>
      <c r="O1034">
        <v>12.148552022720899</v>
      </c>
      <c r="P1034">
        <v>-1.7737315887135501E-2</v>
      </c>
      <c r="Q1034">
        <v>-0.54093256835041903</v>
      </c>
      <c r="R1034">
        <v>0.50545793657614801</v>
      </c>
      <c r="S1034">
        <v>12.861038372152199</v>
      </c>
      <c r="T1034">
        <v>-7.19074082550889E-2</v>
      </c>
      <c r="U1034">
        <v>-7.0493590811940798</v>
      </c>
      <c r="V1034">
        <v>0.94357261748394206</v>
      </c>
      <c r="W1034">
        <v>0.97576384643441005</v>
      </c>
      <c r="X1034">
        <v>0</v>
      </c>
      <c r="Y1034">
        <v>0</v>
      </c>
    </row>
    <row r="1035" spans="1:25" x14ac:dyDescent="0.2">
      <c r="A1035" t="s">
        <v>3825</v>
      </c>
      <c r="B1035" t="s">
        <v>3826</v>
      </c>
      <c r="C1035" t="s">
        <v>3827</v>
      </c>
      <c r="D1035" t="s">
        <v>3828</v>
      </c>
      <c r="E1035" t="s">
        <v>3826</v>
      </c>
      <c r="F1035" t="s">
        <v>28</v>
      </c>
      <c r="G1035" t="s">
        <v>3826</v>
      </c>
      <c r="H1035" t="str">
        <f>"gex-2"</f>
        <v>gex-2</v>
      </c>
      <c r="I1035" t="s">
        <v>3828</v>
      </c>
      <c r="J1035">
        <v>13.303024858903999</v>
      </c>
      <c r="K1035">
        <v>13.427118399077701</v>
      </c>
      <c r="L1035">
        <v>13.3619028410845</v>
      </c>
      <c r="M1035">
        <v>13.4434886168678</v>
      </c>
      <c r="N1035">
        <v>13.4309408936927</v>
      </c>
      <c r="O1035">
        <v>13.1295146441912</v>
      </c>
      <c r="P1035">
        <v>-2.93673147715037E-2</v>
      </c>
      <c r="Q1035">
        <v>-0.471347756721745</v>
      </c>
      <c r="R1035">
        <v>0.41261312717873799</v>
      </c>
      <c r="S1035">
        <v>13.538644112088299</v>
      </c>
      <c r="T1035">
        <v>-0.14093235729477999</v>
      </c>
      <c r="U1035">
        <v>-7.0416148006944299</v>
      </c>
      <c r="V1035">
        <v>0.88969397577107801</v>
      </c>
      <c r="W1035">
        <v>0.96108441898279395</v>
      </c>
      <c r="X1035">
        <v>0</v>
      </c>
      <c r="Y1035">
        <v>0</v>
      </c>
    </row>
    <row r="1036" spans="1:25" x14ac:dyDescent="0.2">
      <c r="A1036" t="s">
        <v>3829</v>
      </c>
      <c r="B1036" t="s">
        <v>3830</v>
      </c>
      <c r="C1036" t="s">
        <v>3831</v>
      </c>
      <c r="D1036" t="s">
        <v>3832</v>
      </c>
      <c r="E1036" t="s">
        <v>3830</v>
      </c>
      <c r="F1036" t="s">
        <v>28</v>
      </c>
      <c r="G1036" t="s">
        <v>3830</v>
      </c>
      <c r="H1036" t="str">
        <f>"knl-2"</f>
        <v>knl-2</v>
      </c>
      <c r="I1036" t="s">
        <v>3832</v>
      </c>
      <c r="J1036">
        <v>13.099377341055501</v>
      </c>
      <c r="K1036">
        <v>13.4243573268256</v>
      </c>
      <c r="L1036">
        <v>13.7519297633705</v>
      </c>
      <c r="M1036">
        <v>12.8112819931931</v>
      </c>
      <c r="N1036">
        <v>12.552238090810301</v>
      </c>
      <c r="O1036">
        <v>12.869168373129201</v>
      </c>
      <c r="P1036">
        <v>-0.68099199137296496</v>
      </c>
      <c r="Q1036">
        <v>-1.27264981826903</v>
      </c>
      <c r="R1036">
        <v>-8.9334164476900194E-2</v>
      </c>
      <c r="S1036">
        <v>13.3721231283624</v>
      </c>
      <c r="T1036">
        <v>-2.4412987023771699</v>
      </c>
      <c r="U1036">
        <v>-4.3854409637274596</v>
      </c>
      <c r="V1036">
        <v>2.6718597178041901E-2</v>
      </c>
      <c r="W1036">
        <v>0.16005242642747</v>
      </c>
      <c r="X1036">
        <v>0</v>
      </c>
      <c r="Y1036">
        <v>0</v>
      </c>
    </row>
    <row r="1037" spans="1:25" x14ac:dyDescent="0.2">
      <c r="A1037" t="s">
        <v>3833</v>
      </c>
      <c r="B1037" t="s">
        <v>3834</v>
      </c>
      <c r="C1037" t="s">
        <v>3835</v>
      </c>
      <c r="D1037" t="s">
        <v>2306</v>
      </c>
      <c r="E1037" t="s">
        <v>3834</v>
      </c>
      <c r="F1037" t="s">
        <v>28</v>
      </c>
      <c r="G1037" t="s">
        <v>3834</v>
      </c>
      <c r="H1037" t="str">
        <f>"acdh-3"</f>
        <v>acdh-3</v>
      </c>
      <c r="I1037" t="s">
        <v>2306</v>
      </c>
      <c r="J1037">
        <v>18.436262598205101</v>
      </c>
      <c r="K1037">
        <v>18.0796970035687</v>
      </c>
      <c r="L1037">
        <v>17.983193066823699</v>
      </c>
      <c r="M1037">
        <v>17.2453393464715</v>
      </c>
      <c r="N1037">
        <v>17.358891729570001</v>
      </c>
      <c r="O1037">
        <v>17.667167302299202</v>
      </c>
      <c r="P1037">
        <v>-0.74258476341894697</v>
      </c>
      <c r="Q1037">
        <v>-1.1328388879673099</v>
      </c>
      <c r="R1037">
        <v>-0.35233063887058502</v>
      </c>
      <c r="S1037">
        <v>17.470276449990699</v>
      </c>
      <c r="T1037">
        <v>-3.9993650347637302</v>
      </c>
      <c r="U1037">
        <v>-1.08075228707986</v>
      </c>
      <c r="V1037">
        <v>8.4949476636273305E-4</v>
      </c>
      <c r="W1037">
        <v>1.62668135468166E-2</v>
      </c>
      <c r="X1037">
        <v>0</v>
      </c>
      <c r="Y1037">
        <v>0</v>
      </c>
    </row>
    <row r="1038" spans="1:25" x14ac:dyDescent="0.2">
      <c r="A1038" t="s">
        <v>3836</v>
      </c>
      <c r="B1038" t="s">
        <v>3837</v>
      </c>
      <c r="C1038" t="s">
        <v>3838</v>
      </c>
      <c r="D1038" t="s">
        <v>3839</v>
      </c>
      <c r="E1038" t="s">
        <v>3837</v>
      </c>
      <c r="F1038" t="s">
        <v>28</v>
      </c>
      <c r="G1038" t="s">
        <v>3837</v>
      </c>
      <c r="H1038" t="str">
        <f>"cdc-25.1"</f>
        <v>cdc-25.1</v>
      </c>
      <c r="I1038" t="s">
        <v>3839</v>
      </c>
      <c r="J1038" t="s">
        <v>29</v>
      </c>
      <c r="K1038" t="s">
        <v>29</v>
      </c>
      <c r="L1038" t="s">
        <v>29</v>
      </c>
      <c r="M1038" t="s">
        <v>29</v>
      </c>
      <c r="N1038">
        <v>11.526882305141299</v>
      </c>
      <c r="O1038" t="s">
        <v>29</v>
      </c>
      <c r="P1038" t="s">
        <v>29</v>
      </c>
      <c r="Q1038" t="s">
        <v>29</v>
      </c>
      <c r="R1038" t="s">
        <v>29</v>
      </c>
      <c r="S1038">
        <v>12.339653169018</v>
      </c>
      <c r="T1038" t="s">
        <v>29</v>
      </c>
      <c r="U1038" t="s">
        <v>29</v>
      </c>
      <c r="V1038" t="s">
        <v>29</v>
      </c>
      <c r="W1038" t="s">
        <v>29</v>
      </c>
      <c r="X1038" t="s">
        <v>29</v>
      </c>
      <c r="Y1038" t="s">
        <v>29</v>
      </c>
    </row>
    <row r="1039" spans="1:25" x14ac:dyDescent="0.2">
      <c r="A1039" t="s">
        <v>3840</v>
      </c>
      <c r="B1039" t="s">
        <v>3841</v>
      </c>
      <c r="C1039" t="s">
        <v>3842</v>
      </c>
      <c r="D1039" t="s">
        <v>3843</v>
      </c>
      <c r="E1039" t="s">
        <v>3841</v>
      </c>
      <c r="F1039" t="s">
        <v>28</v>
      </c>
      <c r="G1039" t="s">
        <v>3841</v>
      </c>
      <c r="H1039" t="str">
        <f>"lam-1"</f>
        <v>lam-1</v>
      </c>
      <c r="I1039" t="s">
        <v>3843</v>
      </c>
      <c r="J1039">
        <v>13.5894287579011</v>
      </c>
      <c r="K1039">
        <v>13.6688674226884</v>
      </c>
      <c r="L1039">
        <v>14.2842547871984</v>
      </c>
      <c r="M1039">
        <v>14.418851075468799</v>
      </c>
      <c r="N1039">
        <v>14.2500498049091</v>
      </c>
      <c r="O1039">
        <v>14.5106234687899</v>
      </c>
      <c r="P1039">
        <v>0.54565779379331603</v>
      </c>
      <c r="Q1039">
        <v>6.3076988898206204E-2</v>
      </c>
      <c r="R1039">
        <v>1.0282385986884299</v>
      </c>
      <c r="S1039">
        <v>13.725060099841301</v>
      </c>
      <c r="T1039">
        <v>2.3765274362266999</v>
      </c>
      <c r="U1039">
        <v>-4.4824869103174896</v>
      </c>
      <c r="V1039">
        <v>2.8849314292797301E-2</v>
      </c>
      <c r="W1039">
        <v>0.16812558455250801</v>
      </c>
      <c r="X1039">
        <v>0</v>
      </c>
      <c r="Y1039">
        <v>0</v>
      </c>
    </row>
    <row r="1040" spans="1:25" x14ac:dyDescent="0.2">
      <c r="A1040" t="s">
        <v>3844</v>
      </c>
      <c r="B1040" t="s">
        <v>3845</v>
      </c>
      <c r="C1040" t="s">
        <v>3846</v>
      </c>
      <c r="D1040" t="s">
        <v>3847</v>
      </c>
      <c r="E1040" t="s">
        <v>3845</v>
      </c>
      <c r="F1040" t="s">
        <v>28</v>
      </c>
      <c r="G1040" t="s">
        <v>3845</v>
      </c>
      <c r="H1040" t="str">
        <f>"W03F8.3"</f>
        <v>W03F8.3</v>
      </c>
      <c r="I1040" t="s">
        <v>3847</v>
      </c>
      <c r="J1040" t="s">
        <v>29</v>
      </c>
      <c r="K1040">
        <v>12.0450084351736</v>
      </c>
      <c r="L1040" t="s">
        <v>29</v>
      </c>
      <c r="M1040" t="s">
        <v>29</v>
      </c>
      <c r="N1040" t="s">
        <v>29</v>
      </c>
      <c r="O1040">
        <v>12.3776833080352</v>
      </c>
      <c r="P1040">
        <v>0.332674872861626</v>
      </c>
      <c r="Q1040">
        <v>-1.00078740951248</v>
      </c>
      <c r="R1040">
        <v>1.66613715523573</v>
      </c>
      <c r="S1040">
        <v>12.9385701361988</v>
      </c>
      <c r="T1040">
        <v>0.55668068636851997</v>
      </c>
      <c r="U1040">
        <v>-6.3457846648135101</v>
      </c>
      <c r="V1040">
        <v>0.59011280265797605</v>
      </c>
      <c r="W1040">
        <v>0.80369478292283902</v>
      </c>
      <c r="X1040">
        <v>0</v>
      </c>
      <c r="Y1040">
        <v>0</v>
      </c>
    </row>
    <row r="1041" spans="1:25" x14ac:dyDescent="0.2">
      <c r="A1041" t="s">
        <v>3848</v>
      </c>
      <c r="B1041" t="s">
        <v>3849</v>
      </c>
      <c r="C1041" t="s">
        <v>3850</v>
      </c>
      <c r="D1041" t="s">
        <v>3851</v>
      </c>
      <c r="E1041" t="s">
        <v>3849</v>
      </c>
      <c r="F1041" t="s">
        <v>28</v>
      </c>
      <c r="G1041" t="s">
        <v>3849</v>
      </c>
      <c r="H1041" t="str">
        <f>"swt-7"</f>
        <v>swt-7</v>
      </c>
      <c r="I1041" t="s">
        <v>3851</v>
      </c>
      <c r="J1041">
        <v>10.358988406614399</v>
      </c>
      <c r="K1041">
        <v>11.3471930255619</v>
      </c>
      <c r="L1041">
        <v>11.500284678541799</v>
      </c>
      <c r="M1041">
        <v>10.9864908437279</v>
      </c>
      <c r="N1041">
        <v>11.840969935621001</v>
      </c>
      <c r="O1041">
        <v>10.8568873659021</v>
      </c>
      <c r="P1041">
        <v>0.159294011510966</v>
      </c>
      <c r="Q1041">
        <v>-0.695968765136593</v>
      </c>
      <c r="R1041">
        <v>1.01455678815852</v>
      </c>
      <c r="S1041">
        <v>12.1840920667976</v>
      </c>
      <c r="T1041">
        <v>0.39504758235842702</v>
      </c>
      <c r="U1041">
        <v>-6.9701595708603197</v>
      </c>
      <c r="V1041">
        <v>0.69805862649763895</v>
      </c>
      <c r="W1041">
        <v>0.865842761453545</v>
      </c>
      <c r="X1041">
        <v>0</v>
      </c>
      <c r="Y1041">
        <v>0</v>
      </c>
    </row>
    <row r="1042" spans="1:25" x14ac:dyDescent="0.2">
      <c r="A1042" t="s">
        <v>3852</v>
      </c>
      <c r="B1042" t="s">
        <v>3853</v>
      </c>
      <c r="C1042" t="s">
        <v>3854</v>
      </c>
      <c r="D1042" t="s">
        <v>3855</v>
      </c>
      <c r="E1042" t="s">
        <v>3853</v>
      </c>
      <c r="F1042" t="s">
        <v>28</v>
      </c>
      <c r="G1042" t="s">
        <v>3856</v>
      </c>
      <c r="H1042" t="str">
        <f>"nlp-31"</f>
        <v>nlp-31</v>
      </c>
      <c r="I1042" t="s">
        <v>3857</v>
      </c>
      <c r="J1042">
        <v>13.9627472370468</v>
      </c>
      <c r="K1042">
        <v>14.0036285014524</v>
      </c>
      <c r="L1042">
        <v>13.195249832379099</v>
      </c>
      <c r="M1042">
        <v>14.260093900318999</v>
      </c>
      <c r="N1042">
        <v>14.3024205852881</v>
      </c>
      <c r="O1042">
        <v>13.9698105156428</v>
      </c>
      <c r="P1042">
        <v>0.45689981012386299</v>
      </c>
      <c r="Q1042">
        <v>-1.10206702622402</v>
      </c>
      <c r="R1042">
        <v>2.0158666464717498</v>
      </c>
      <c r="S1042">
        <v>13.5873105970655</v>
      </c>
      <c r="T1042">
        <v>0.625065755877798</v>
      </c>
      <c r="U1042">
        <v>-6.8478355201652796</v>
      </c>
      <c r="V1042">
        <v>0.54138617914791298</v>
      </c>
      <c r="W1042">
        <v>0.77538319848032899</v>
      </c>
      <c r="X1042">
        <v>0</v>
      </c>
      <c r="Y1042">
        <v>0</v>
      </c>
    </row>
    <row r="1043" spans="1:25" x14ac:dyDescent="0.2">
      <c r="A1043" t="s">
        <v>3858</v>
      </c>
      <c r="B1043" t="s">
        <v>3859</v>
      </c>
      <c r="C1043" t="s">
        <v>3860</v>
      </c>
      <c r="D1043" t="s">
        <v>534</v>
      </c>
      <c r="E1043" t="s">
        <v>3859</v>
      </c>
      <c r="F1043" t="s">
        <v>28</v>
      </c>
      <c r="G1043" t="s">
        <v>3859</v>
      </c>
      <c r="H1043" t="str">
        <f>"prp-17"</f>
        <v>prp-17</v>
      </c>
      <c r="I1043" t="s">
        <v>534</v>
      </c>
      <c r="J1043">
        <v>11.686683135576001</v>
      </c>
      <c r="K1043">
        <v>11.5161438412838</v>
      </c>
      <c r="L1043">
        <v>11.918726163385401</v>
      </c>
      <c r="M1043">
        <v>11.8122355645312</v>
      </c>
      <c r="N1043">
        <v>11.280311937205701</v>
      </c>
      <c r="O1043">
        <v>11.2780675812139</v>
      </c>
      <c r="P1043">
        <v>-0.250312685764843</v>
      </c>
      <c r="Q1043">
        <v>-1.0974957358247099</v>
      </c>
      <c r="R1043">
        <v>0.59687036429502505</v>
      </c>
      <c r="S1043">
        <v>11.702545755108</v>
      </c>
      <c r="T1043">
        <v>-0.62669341563660796</v>
      </c>
      <c r="U1043">
        <v>-6.8474294493720897</v>
      </c>
      <c r="V1043">
        <v>0.53975750392649402</v>
      </c>
      <c r="W1043">
        <v>0.77501266500839605</v>
      </c>
      <c r="X1043">
        <v>0</v>
      </c>
      <c r="Y1043">
        <v>0</v>
      </c>
    </row>
    <row r="1044" spans="1:25" x14ac:dyDescent="0.2">
      <c r="A1044" t="s">
        <v>3861</v>
      </c>
      <c r="B1044" t="s">
        <v>3862</v>
      </c>
      <c r="C1044" t="s">
        <v>3863</v>
      </c>
      <c r="D1044" t="s">
        <v>3864</v>
      </c>
      <c r="E1044" t="s">
        <v>3862</v>
      </c>
      <c r="F1044" t="s">
        <v>28</v>
      </c>
      <c r="G1044" t="s">
        <v>3862</v>
      </c>
      <c r="H1044" t="str">
        <f>"ept-1"</f>
        <v>ept-1</v>
      </c>
      <c r="I1044" t="s">
        <v>3864</v>
      </c>
      <c r="J1044">
        <v>13.766019010481701</v>
      </c>
      <c r="K1044">
        <v>13.699983614760001</v>
      </c>
      <c r="L1044">
        <v>14.072723577762</v>
      </c>
      <c r="M1044">
        <v>12.9576958800389</v>
      </c>
      <c r="N1044">
        <v>12.6641274149327</v>
      </c>
      <c r="O1044">
        <v>12.970736717044799</v>
      </c>
      <c r="P1044">
        <v>-0.98205539699575395</v>
      </c>
      <c r="Q1044">
        <v>-1.6402085503183399</v>
      </c>
      <c r="R1044">
        <v>-0.323902243673173</v>
      </c>
      <c r="S1044">
        <v>13.7037407070969</v>
      </c>
      <c r="T1044">
        <v>-3.1648894896432598</v>
      </c>
      <c r="U1044">
        <v>-2.9629339963686898</v>
      </c>
      <c r="V1044">
        <v>6.0439919367936698E-3</v>
      </c>
      <c r="W1044">
        <v>6.2429038222478098E-2</v>
      </c>
      <c r="X1044">
        <v>0</v>
      </c>
      <c r="Y1044">
        <v>0</v>
      </c>
    </row>
    <row r="1045" spans="1:25" x14ac:dyDescent="0.2">
      <c r="A1045" t="s">
        <v>3865</v>
      </c>
      <c r="B1045" t="s">
        <v>3866</v>
      </c>
      <c r="C1045" t="s">
        <v>14357</v>
      </c>
      <c r="D1045" t="s">
        <v>3867</v>
      </c>
      <c r="E1045" t="s">
        <v>3866</v>
      </c>
      <c r="F1045" t="s">
        <v>28</v>
      </c>
      <c r="G1045" t="s">
        <v>3866</v>
      </c>
      <c r="H1045" t="str">
        <f>"F57B10.8"</f>
        <v>F57B10.8</v>
      </c>
      <c r="I1045" t="s">
        <v>3867</v>
      </c>
      <c r="J1045" t="s">
        <v>29</v>
      </c>
      <c r="K1045" t="s">
        <v>29</v>
      </c>
      <c r="L1045" t="s">
        <v>29</v>
      </c>
      <c r="M1045" t="s">
        <v>29</v>
      </c>
      <c r="N1045" t="s">
        <v>29</v>
      </c>
      <c r="O1045" t="s">
        <v>29</v>
      </c>
      <c r="P1045" t="s">
        <v>29</v>
      </c>
      <c r="Q1045" t="s">
        <v>29</v>
      </c>
      <c r="R1045" t="s">
        <v>29</v>
      </c>
      <c r="S1045">
        <v>12.428494191383299</v>
      </c>
      <c r="T1045" t="s">
        <v>29</v>
      </c>
      <c r="U1045" t="s">
        <v>29</v>
      </c>
      <c r="V1045" t="s">
        <v>29</v>
      </c>
      <c r="W1045" t="s">
        <v>29</v>
      </c>
      <c r="X1045" t="s">
        <v>29</v>
      </c>
      <c r="Y1045" t="s">
        <v>29</v>
      </c>
    </row>
    <row r="1046" spans="1:25" x14ac:dyDescent="0.2">
      <c r="A1046" t="s">
        <v>3868</v>
      </c>
      <c r="B1046" t="s">
        <v>3869</v>
      </c>
      <c r="C1046" t="s">
        <v>3870</v>
      </c>
      <c r="D1046" t="s">
        <v>3871</v>
      </c>
      <c r="E1046" t="s">
        <v>3869</v>
      </c>
      <c r="F1046" t="s">
        <v>28</v>
      </c>
      <c r="G1046" t="s">
        <v>3869</v>
      </c>
      <c r="H1046" t="str">
        <f>"spg-20"</f>
        <v>spg-20</v>
      </c>
      <c r="I1046" t="s">
        <v>3871</v>
      </c>
      <c r="J1046" t="s">
        <v>29</v>
      </c>
      <c r="K1046">
        <v>11.364687436960599</v>
      </c>
      <c r="L1046" t="s">
        <v>29</v>
      </c>
      <c r="M1046" t="s">
        <v>29</v>
      </c>
      <c r="N1046">
        <v>11.3739509438615</v>
      </c>
      <c r="O1046" t="s">
        <v>29</v>
      </c>
      <c r="P1046">
        <v>9.2635069008650799E-3</v>
      </c>
      <c r="Q1046">
        <v>-1.31322039599524</v>
      </c>
      <c r="R1046">
        <v>1.3317474097969699</v>
      </c>
      <c r="S1046">
        <v>10.642805195134599</v>
      </c>
      <c r="T1046">
        <v>1.7213933395738901E-2</v>
      </c>
      <c r="U1046">
        <v>-6.5099009148055798</v>
      </c>
      <c r="V1046">
        <v>0.98683372586900597</v>
      </c>
      <c r="W1046">
        <v>0.99293659368514098</v>
      </c>
      <c r="X1046">
        <v>0</v>
      </c>
      <c r="Y1046">
        <v>0</v>
      </c>
    </row>
    <row r="1047" spans="1:25" x14ac:dyDescent="0.2">
      <c r="A1047" t="s">
        <v>3872</v>
      </c>
      <c r="B1047" t="s">
        <v>3873</v>
      </c>
      <c r="C1047" t="s">
        <v>3874</v>
      </c>
      <c r="D1047" t="s">
        <v>3875</v>
      </c>
      <c r="E1047" t="s">
        <v>3873</v>
      </c>
      <c r="F1047" t="s">
        <v>28</v>
      </c>
      <c r="G1047" t="s">
        <v>3873</v>
      </c>
      <c r="H1047" t="str">
        <f>"xpg-1"</f>
        <v>xpg-1</v>
      </c>
      <c r="I1047" t="s">
        <v>3875</v>
      </c>
      <c r="J1047">
        <v>11.849878591063201</v>
      </c>
      <c r="K1047" t="s">
        <v>29</v>
      </c>
      <c r="L1047">
        <v>12.6031880330903</v>
      </c>
      <c r="M1047">
        <v>11.125710147339101</v>
      </c>
      <c r="N1047" t="s">
        <v>29</v>
      </c>
      <c r="O1047">
        <v>11.175247456692601</v>
      </c>
      <c r="P1047">
        <v>-1.0760545100608501</v>
      </c>
      <c r="Q1047">
        <v>-1.70555883658623</v>
      </c>
      <c r="R1047">
        <v>-0.44655018353546599</v>
      </c>
      <c r="S1047">
        <v>11.998313770206799</v>
      </c>
      <c r="T1047">
        <v>-3.6959220005070099</v>
      </c>
      <c r="U1047">
        <v>-1.9128044540360201</v>
      </c>
      <c r="V1047">
        <v>2.7256309310746498E-3</v>
      </c>
      <c r="W1047">
        <v>3.5983231873012202E-2</v>
      </c>
      <c r="X1047">
        <v>-1</v>
      </c>
      <c r="Y1047">
        <v>-1</v>
      </c>
    </row>
    <row r="1048" spans="1:25" x14ac:dyDescent="0.2">
      <c r="A1048" t="s">
        <v>3876</v>
      </c>
      <c r="B1048" t="s">
        <v>3877</v>
      </c>
      <c r="C1048" t="s">
        <v>3878</v>
      </c>
      <c r="D1048" t="s">
        <v>3879</v>
      </c>
      <c r="E1048" t="s">
        <v>3877</v>
      </c>
      <c r="F1048" t="s">
        <v>28</v>
      </c>
      <c r="G1048" t="s">
        <v>3877</v>
      </c>
      <c r="H1048" t="str">
        <f>"larp-5"</f>
        <v>larp-5</v>
      </c>
      <c r="I1048" t="s">
        <v>3879</v>
      </c>
      <c r="J1048" t="s">
        <v>29</v>
      </c>
      <c r="K1048" t="s">
        <v>29</v>
      </c>
      <c r="L1048">
        <v>10.429978060529301</v>
      </c>
      <c r="M1048" t="s">
        <v>29</v>
      </c>
      <c r="N1048" t="s">
        <v>29</v>
      </c>
      <c r="O1048" t="s">
        <v>29</v>
      </c>
      <c r="P1048" t="s">
        <v>29</v>
      </c>
      <c r="Q1048" t="s">
        <v>29</v>
      </c>
      <c r="R1048" t="s">
        <v>29</v>
      </c>
      <c r="S1048">
        <v>11.0622366208791</v>
      </c>
      <c r="T1048" t="s">
        <v>29</v>
      </c>
      <c r="U1048" t="s">
        <v>29</v>
      </c>
      <c r="V1048" t="s">
        <v>29</v>
      </c>
      <c r="W1048" t="s">
        <v>29</v>
      </c>
      <c r="X1048" t="s">
        <v>29</v>
      </c>
      <c r="Y1048" t="s">
        <v>29</v>
      </c>
    </row>
    <row r="1049" spans="1:25" x14ac:dyDescent="0.2">
      <c r="A1049" t="s">
        <v>3880</v>
      </c>
      <c r="B1049" t="s">
        <v>3881</v>
      </c>
      <c r="C1049" t="s">
        <v>3882</v>
      </c>
      <c r="D1049" t="s">
        <v>3883</v>
      </c>
      <c r="E1049" t="s">
        <v>3881</v>
      </c>
      <c r="F1049" t="s">
        <v>28</v>
      </c>
      <c r="G1049" t="s">
        <v>3881</v>
      </c>
      <c r="H1049" t="str">
        <f>"vpr-1"</f>
        <v>vpr-1</v>
      </c>
      <c r="I1049" t="s">
        <v>3883</v>
      </c>
      <c r="J1049">
        <v>15.854405931187699</v>
      </c>
      <c r="K1049">
        <v>15.5729363353328</v>
      </c>
      <c r="L1049">
        <v>15.707028949988601</v>
      </c>
      <c r="M1049">
        <v>15.5787032026797</v>
      </c>
      <c r="N1049">
        <v>15.593784459412101</v>
      </c>
      <c r="O1049">
        <v>15.293934575590001</v>
      </c>
      <c r="P1049">
        <v>-0.22264965960911801</v>
      </c>
      <c r="Q1049">
        <v>-0.67073174216602005</v>
      </c>
      <c r="R1049">
        <v>0.22543242294778301</v>
      </c>
      <c r="S1049">
        <v>15.187795929496801</v>
      </c>
      <c r="T1049">
        <v>-1.0443762102742</v>
      </c>
      <c r="U1049">
        <v>-6.4973447522037802</v>
      </c>
      <c r="V1049">
        <v>0.310214957244689</v>
      </c>
      <c r="W1049">
        <v>0.58907279301109505</v>
      </c>
      <c r="X1049">
        <v>0</v>
      </c>
      <c r="Y1049">
        <v>0</v>
      </c>
    </row>
    <row r="1050" spans="1:25" x14ac:dyDescent="0.2">
      <c r="A1050" t="s">
        <v>3884</v>
      </c>
      <c r="B1050" t="s">
        <v>3885</v>
      </c>
      <c r="C1050" t="s">
        <v>3886</v>
      </c>
      <c r="D1050" t="s">
        <v>3887</v>
      </c>
      <c r="E1050" t="s">
        <v>3885</v>
      </c>
      <c r="F1050" t="s">
        <v>28</v>
      </c>
      <c r="G1050" t="s">
        <v>3885</v>
      </c>
      <c r="H1050" t="str">
        <f>"cpn-2"</f>
        <v>cpn-2</v>
      </c>
      <c r="I1050" t="s">
        <v>3887</v>
      </c>
      <c r="J1050" t="s">
        <v>29</v>
      </c>
      <c r="K1050" t="s">
        <v>29</v>
      </c>
      <c r="L1050">
        <v>11.2948914793593</v>
      </c>
      <c r="M1050">
        <v>13.3265013103145</v>
      </c>
      <c r="N1050">
        <v>12.8501443260561</v>
      </c>
      <c r="O1050">
        <v>12.9480235160571</v>
      </c>
      <c r="P1050">
        <v>1.7466649047832801</v>
      </c>
      <c r="Q1050">
        <v>1.0396012581171299</v>
      </c>
      <c r="R1050">
        <v>2.45372855144943</v>
      </c>
      <c r="S1050">
        <v>12.5131362097548</v>
      </c>
      <c r="T1050">
        <v>5.3876093495741602</v>
      </c>
      <c r="U1050">
        <v>1.0315406877990401</v>
      </c>
      <c r="V1050">
        <v>1.6837833937978901E-4</v>
      </c>
      <c r="W1050">
        <v>4.8487001446179904E-3</v>
      </c>
      <c r="X1050">
        <v>1</v>
      </c>
      <c r="Y1050">
        <v>1</v>
      </c>
    </row>
    <row r="1051" spans="1:25" x14ac:dyDescent="0.2">
      <c r="A1051" t="s">
        <v>3888</v>
      </c>
      <c r="B1051" t="s">
        <v>3889</v>
      </c>
      <c r="C1051" t="s">
        <v>3890</v>
      </c>
      <c r="D1051" t="s">
        <v>3891</v>
      </c>
      <c r="E1051" t="s">
        <v>3889</v>
      </c>
      <c r="F1051" t="s">
        <v>28</v>
      </c>
      <c r="G1051" t="s">
        <v>3889</v>
      </c>
      <c r="H1051" t="str">
        <f>"fgt-1"</f>
        <v>fgt-1</v>
      </c>
      <c r="I1051" t="s">
        <v>3891</v>
      </c>
      <c r="J1051">
        <v>16.5887407322125</v>
      </c>
      <c r="K1051">
        <v>16.934614761198599</v>
      </c>
      <c r="L1051">
        <v>16.900390876600898</v>
      </c>
      <c r="M1051">
        <v>16.656399425598</v>
      </c>
      <c r="N1051">
        <v>16.4199447292062</v>
      </c>
      <c r="O1051">
        <v>16.4480611886673</v>
      </c>
      <c r="P1051">
        <v>-0.29978034218018101</v>
      </c>
      <c r="Q1051">
        <v>-0.75768644369886595</v>
      </c>
      <c r="R1051">
        <v>0.15812575933850301</v>
      </c>
      <c r="S1051">
        <v>17.1031071514772</v>
      </c>
      <c r="T1051">
        <v>-1.3760025339659201</v>
      </c>
      <c r="U1051">
        <v>-6.1092541154097999</v>
      </c>
      <c r="V1051">
        <v>0.18579854302082599</v>
      </c>
      <c r="W1051">
        <v>0.44950814794778399</v>
      </c>
      <c r="X1051">
        <v>0</v>
      </c>
      <c r="Y1051">
        <v>0</v>
      </c>
    </row>
    <row r="1052" spans="1:25" x14ac:dyDescent="0.2">
      <c r="A1052" t="s">
        <v>3892</v>
      </c>
      <c r="B1052" t="s">
        <v>3893</v>
      </c>
      <c r="C1052" t="s">
        <v>14358</v>
      </c>
      <c r="D1052" t="s">
        <v>3894</v>
      </c>
      <c r="E1052" t="s">
        <v>3893</v>
      </c>
      <c r="F1052" t="s">
        <v>28</v>
      </c>
      <c r="G1052" t="s">
        <v>3893</v>
      </c>
      <c r="H1052" t="str">
        <f>"T04B8.5"</f>
        <v>T04B8.5</v>
      </c>
      <c r="I1052" t="s">
        <v>3894</v>
      </c>
      <c r="J1052">
        <v>18.648688642001499</v>
      </c>
      <c r="K1052">
        <v>18.824124948883199</v>
      </c>
      <c r="L1052">
        <v>18.511102326069501</v>
      </c>
      <c r="M1052">
        <v>19.905367044544299</v>
      </c>
      <c r="N1052">
        <v>19.5614829728048</v>
      </c>
      <c r="O1052">
        <v>19.858988493822899</v>
      </c>
      <c r="P1052">
        <v>1.1139741980726401</v>
      </c>
      <c r="Q1052">
        <v>0.16899925262566601</v>
      </c>
      <c r="R1052">
        <v>2.0589491435196199</v>
      </c>
      <c r="S1052">
        <v>18.632323266561201</v>
      </c>
      <c r="T1052">
        <v>2.4776921846175401</v>
      </c>
      <c r="U1052">
        <v>-4.2893498060867401</v>
      </c>
      <c r="V1052">
        <v>2.34301955203901E-2</v>
      </c>
      <c r="W1052">
        <v>0.149244234732577</v>
      </c>
      <c r="X1052">
        <v>1</v>
      </c>
      <c r="Y1052">
        <v>0</v>
      </c>
    </row>
    <row r="1053" spans="1:25" x14ac:dyDescent="0.2">
      <c r="A1053" t="s">
        <v>3895</v>
      </c>
      <c r="B1053" t="s">
        <v>3896</v>
      </c>
      <c r="C1053" t="s">
        <v>3897</v>
      </c>
      <c r="D1053" t="s">
        <v>3898</v>
      </c>
      <c r="E1053" t="s">
        <v>3896</v>
      </c>
      <c r="F1053" t="s">
        <v>28</v>
      </c>
      <c r="G1053" t="s">
        <v>3896</v>
      </c>
      <c r="H1053" t="str">
        <f>"inx-13"</f>
        <v>inx-13</v>
      </c>
      <c r="I1053" t="s">
        <v>3898</v>
      </c>
      <c r="J1053">
        <v>12.615799660939301</v>
      </c>
      <c r="K1053">
        <v>12.2391948410593</v>
      </c>
      <c r="L1053">
        <v>12.6436121200434</v>
      </c>
      <c r="M1053">
        <v>13.37723873307</v>
      </c>
      <c r="N1053">
        <v>13.3128228600933</v>
      </c>
      <c r="O1053">
        <v>13.5470311686624</v>
      </c>
      <c r="P1053">
        <v>0.91282871326124304</v>
      </c>
      <c r="Q1053">
        <v>0.48716380853423602</v>
      </c>
      <c r="R1053">
        <v>1.3384936179882501</v>
      </c>
      <c r="S1053">
        <v>13.1606990015138</v>
      </c>
      <c r="T1053">
        <v>4.5265931380384501</v>
      </c>
      <c r="U1053">
        <v>-2.48353856908912E-2</v>
      </c>
      <c r="V1053">
        <v>3.02657859402801E-4</v>
      </c>
      <c r="W1053">
        <v>7.55393022853803E-3</v>
      </c>
      <c r="X1053">
        <v>0</v>
      </c>
      <c r="Y1053">
        <v>0</v>
      </c>
    </row>
    <row r="1054" spans="1:25" x14ac:dyDescent="0.2">
      <c r="A1054" t="s">
        <v>3899</v>
      </c>
      <c r="B1054" t="s">
        <v>3900</v>
      </c>
      <c r="C1054" t="s">
        <v>14359</v>
      </c>
      <c r="D1054" t="s">
        <v>3901</v>
      </c>
      <c r="E1054" t="s">
        <v>3900</v>
      </c>
      <c r="F1054" t="s">
        <v>28</v>
      </c>
      <c r="G1054" t="s">
        <v>3900</v>
      </c>
      <c r="H1054" t="str">
        <f>"ZK484.3"</f>
        <v>ZK484.3</v>
      </c>
      <c r="I1054" t="s">
        <v>3901</v>
      </c>
      <c r="J1054">
        <v>12.6265595156018</v>
      </c>
      <c r="K1054">
        <v>12.6645656436829</v>
      </c>
      <c r="L1054">
        <v>12.3390216864829</v>
      </c>
      <c r="M1054">
        <v>11.6379415921767</v>
      </c>
      <c r="N1054">
        <v>10.870020519516601</v>
      </c>
      <c r="O1054">
        <v>11.6221731470989</v>
      </c>
      <c r="P1054">
        <v>-1.16667052899181</v>
      </c>
      <c r="Q1054">
        <v>-1.7993973386620801</v>
      </c>
      <c r="R1054">
        <v>-0.53394371932155105</v>
      </c>
      <c r="S1054">
        <v>11.5983672225715</v>
      </c>
      <c r="T1054">
        <v>-3.93254405527939</v>
      </c>
      <c r="U1054">
        <v>-1.45305474335008</v>
      </c>
      <c r="V1054">
        <v>1.3464352107531101E-3</v>
      </c>
      <c r="W1054">
        <v>2.16809063155942E-2</v>
      </c>
      <c r="X1054">
        <v>-1</v>
      </c>
      <c r="Y1054">
        <v>-1</v>
      </c>
    </row>
    <row r="1055" spans="1:25" x14ac:dyDescent="0.2">
      <c r="A1055" t="s">
        <v>3902</v>
      </c>
      <c r="B1055" t="s">
        <v>3903</v>
      </c>
      <c r="C1055" t="s">
        <v>3904</v>
      </c>
      <c r="D1055" t="s">
        <v>3003</v>
      </c>
      <c r="E1055" t="s">
        <v>3903</v>
      </c>
      <c r="F1055" t="s">
        <v>28</v>
      </c>
      <c r="G1055" t="s">
        <v>3903</v>
      </c>
      <c r="H1055" t="str">
        <f>"haf-9"</f>
        <v>haf-9</v>
      </c>
      <c r="I1055" t="s">
        <v>3003</v>
      </c>
      <c r="J1055">
        <v>15.2482317504817</v>
      </c>
      <c r="K1055">
        <v>15.2339090615444</v>
      </c>
      <c r="L1055">
        <v>15.2629731813322</v>
      </c>
      <c r="M1055">
        <v>14.931631527597901</v>
      </c>
      <c r="N1055">
        <v>14.8656001271282</v>
      </c>
      <c r="O1055">
        <v>14.717114840476899</v>
      </c>
      <c r="P1055">
        <v>-0.41025583271843602</v>
      </c>
      <c r="Q1055">
        <v>-0.77754335383511897</v>
      </c>
      <c r="R1055">
        <v>-4.2968311601752698E-2</v>
      </c>
      <c r="S1055">
        <v>15.244501473907301</v>
      </c>
      <c r="T1055">
        <v>-2.3476919148431699</v>
      </c>
      <c r="U1055">
        <v>-4.5367845087264298</v>
      </c>
      <c r="V1055">
        <v>3.05964007722191E-2</v>
      </c>
      <c r="W1055">
        <v>0.17155823371946</v>
      </c>
      <c r="X1055">
        <v>0</v>
      </c>
      <c r="Y1055">
        <v>0</v>
      </c>
    </row>
    <row r="1056" spans="1:25" x14ac:dyDescent="0.2">
      <c r="A1056" t="s">
        <v>3905</v>
      </c>
      <c r="B1056" t="s">
        <v>3906</v>
      </c>
      <c r="C1056" t="s">
        <v>3907</v>
      </c>
      <c r="D1056" t="s">
        <v>3079</v>
      </c>
      <c r="E1056" t="s">
        <v>3906</v>
      </c>
      <c r="F1056" t="s">
        <v>28</v>
      </c>
      <c r="G1056" t="s">
        <v>3906</v>
      </c>
      <c r="H1056" t="str">
        <f>"pck-1"</f>
        <v>pck-1</v>
      </c>
      <c r="I1056" t="s">
        <v>3079</v>
      </c>
      <c r="J1056">
        <v>13.0937306161621</v>
      </c>
      <c r="K1056">
        <v>13.016597323665099</v>
      </c>
      <c r="L1056">
        <v>13.092986790629499</v>
      </c>
      <c r="M1056">
        <v>14.443781887679901</v>
      </c>
      <c r="N1056">
        <v>14.419418371467399</v>
      </c>
      <c r="O1056">
        <v>14.876441005879901</v>
      </c>
      <c r="P1056">
        <v>1.5121088448568301</v>
      </c>
      <c r="Q1056">
        <v>1.1164795160993599</v>
      </c>
      <c r="R1056">
        <v>1.9077381736143</v>
      </c>
      <c r="S1056">
        <v>13.8696272488181</v>
      </c>
      <c r="T1056">
        <v>8.0331724043466899</v>
      </c>
      <c r="U1056">
        <v>7.13102161762734</v>
      </c>
      <c r="V1056" s="2">
        <v>2.4074793627652901E-7</v>
      </c>
      <c r="W1056" s="2">
        <v>1.8652232967710099E-5</v>
      </c>
      <c r="X1056">
        <v>1</v>
      </c>
      <c r="Y1056">
        <v>1</v>
      </c>
    </row>
    <row r="1057" spans="1:25" x14ac:dyDescent="0.2">
      <c r="A1057" t="s">
        <v>3908</v>
      </c>
      <c r="B1057" t="s">
        <v>3909</v>
      </c>
      <c r="C1057" t="s">
        <v>3910</v>
      </c>
      <c r="D1057" t="s">
        <v>3911</v>
      </c>
      <c r="E1057" t="s">
        <v>3909</v>
      </c>
      <c r="F1057" t="s">
        <v>28</v>
      </c>
      <c r="G1057" t="s">
        <v>3909</v>
      </c>
      <c r="H1057" t="str">
        <f>"lonp-1"</f>
        <v>lonp-1</v>
      </c>
      <c r="I1057" t="s">
        <v>3911</v>
      </c>
      <c r="J1057">
        <v>12.0335520633258</v>
      </c>
      <c r="K1057">
        <v>12.213312986426599</v>
      </c>
      <c r="L1057">
        <v>12.192692917159899</v>
      </c>
      <c r="M1057">
        <v>11.5924088933387</v>
      </c>
      <c r="N1057">
        <v>12.510142947630801</v>
      </c>
      <c r="O1057">
        <v>12.1832906357279</v>
      </c>
      <c r="P1057">
        <v>-5.1238496738307E-2</v>
      </c>
      <c r="Q1057">
        <v>-0.59162077675343605</v>
      </c>
      <c r="R1057">
        <v>0.48914378327682201</v>
      </c>
      <c r="S1057">
        <v>12.344906352540701</v>
      </c>
      <c r="T1057">
        <v>-0.20014525272509701</v>
      </c>
      <c r="U1057">
        <v>-7.0310527825099598</v>
      </c>
      <c r="V1057">
        <v>0.84375632030356096</v>
      </c>
      <c r="W1057">
        <v>0.93880663024225997</v>
      </c>
      <c r="X1057">
        <v>0</v>
      </c>
      <c r="Y1057">
        <v>0</v>
      </c>
    </row>
    <row r="1058" spans="1:25" x14ac:dyDescent="0.2">
      <c r="A1058" t="s">
        <v>3912</v>
      </c>
      <c r="B1058" t="s">
        <v>3913</v>
      </c>
      <c r="C1058" t="s">
        <v>3914</v>
      </c>
      <c r="D1058" t="s">
        <v>3915</v>
      </c>
      <c r="E1058" t="s">
        <v>3913</v>
      </c>
      <c r="F1058" t="s">
        <v>28</v>
      </c>
      <c r="G1058" t="s">
        <v>3913</v>
      </c>
      <c r="H1058" t="str">
        <f>"spcs-1"</f>
        <v>spcs-1</v>
      </c>
      <c r="I1058" t="s">
        <v>3915</v>
      </c>
      <c r="J1058">
        <v>12.519941500386199</v>
      </c>
      <c r="K1058">
        <v>13.1187484242091</v>
      </c>
      <c r="L1058">
        <v>13.808736831933301</v>
      </c>
      <c r="M1058">
        <v>13.091646945301299</v>
      </c>
      <c r="N1058">
        <v>13.9725604362838</v>
      </c>
      <c r="O1058">
        <v>13.5511895447708</v>
      </c>
      <c r="P1058">
        <v>0.38932338994246202</v>
      </c>
      <c r="Q1058">
        <v>-0.40668920391708702</v>
      </c>
      <c r="R1058">
        <v>1.1853359838020101</v>
      </c>
      <c r="S1058">
        <v>13.523688627131801</v>
      </c>
      <c r="T1058">
        <v>1.03238234874518</v>
      </c>
      <c r="U1058">
        <v>-6.5088706245324701</v>
      </c>
      <c r="V1058">
        <v>0.316445965543181</v>
      </c>
      <c r="W1058">
        <v>0.59383804606546198</v>
      </c>
      <c r="X1058">
        <v>0</v>
      </c>
      <c r="Y1058">
        <v>0</v>
      </c>
    </row>
    <row r="1059" spans="1:25" x14ac:dyDescent="0.2">
      <c r="A1059" t="s">
        <v>3916</v>
      </c>
      <c r="B1059" t="s">
        <v>3917</v>
      </c>
      <c r="C1059" t="s">
        <v>3918</v>
      </c>
      <c r="D1059" t="s">
        <v>3919</v>
      </c>
      <c r="E1059" t="s">
        <v>3917</v>
      </c>
      <c r="F1059" t="s">
        <v>28</v>
      </c>
      <c r="G1059" t="s">
        <v>3917</v>
      </c>
      <c r="H1059" t="str">
        <f>"sdha-2"</f>
        <v>sdha-2</v>
      </c>
      <c r="I1059" t="s">
        <v>3919</v>
      </c>
      <c r="J1059">
        <v>14.0910258930188</v>
      </c>
      <c r="K1059">
        <v>14.3983571170545</v>
      </c>
      <c r="L1059">
        <v>14.388469926469799</v>
      </c>
      <c r="M1059">
        <v>13.8959173264233</v>
      </c>
      <c r="N1059">
        <v>14.2920278830257</v>
      </c>
      <c r="O1059">
        <v>14.488831702667699</v>
      </c>
      <c r="P1059">
        <v>-6.7025341475465794E-2</v>
      </c>
      <c r="Q1059">
        <v>-0.55818457688116896</v>
      </c>
      <c r="R1059">
        <v>0.42413389393023798</v>
      </c>
      <c r="S1059">
        <v>14.6993182712955</v>
      </c>
      <c r="T1059">
        <v>-0.28804924006254801</v>
      </c>
      <c r="U1059">
        <v>-7.0085749693641404</v>
      </c>
      <c r="V1059">
        <v>0.77681277724785303</v>
      </c>
      <c r="W1059">
        <v>0.90629508195467401</v>
      </c>
      <c r="X1059">
        <v>0</v>
      </c>
      <c r="Y1059">
        <v>0</v>
      </c>
    </row>
    <row r="1060" spans="1:25" x14ac:dyDescent="0.2">
      <c r="A1060" t="s">
        <v>3920</v>
      </c>
      <c r="B1060" t="s">
        <v>3921</v>
      </c>
      <c r="C1060" t="s">
        <v>3922</v>
      </c>
      <c r="D1060" t="s">
        <v>3923</v>
      </c>
      <c r="E1060" t="s">
        <v>3921</v>
      </c>
      <c r="F1060" t="s">
        <v>28</v>
      </c>
      <c r="G1060" t="s">
        <v>3921</v>
      </c>
      <c r="H1060" t="str">
        <f>"riok-1"</f>
        <v>riok-1</v>
      </c>
      <c r="I1060" t="s">
        <v>3923</v>
      </c>
      <c r="J1060">
        <v>13.0166388843587</v>
      </c>
      <c r="K1060">
        <v>12.9556322279136</v>
      </c>
      <c r="L1060">
        <v>13.1416679906682</v>
      </c>
      <c r="M1060">
        <v>12.702866962972299</v>
      </c>
      <c r="N1060">
        <v>12.9584485918617</v>
      </c>
      <c r="O1060">
        <v>12.579250598863901</v>
      </c>
      <c r="P1060">
        <v>-0.29112431641423903</v>
      </c>
      <c r="Q1060">
        <v>-0.66070343590575698</v>
      </c>
      <c r="R1060">
        <v>7.8454803077279298E-2</v>
      </c>
      <c r="S1060">
        <v>12.806937522468701</v>
      </c>
      <c r="T1060">
        <v>-1.67078506755722</v>
      </c>
      <c r="U1060">
        <v>-5.6961857360868304</v>
      </c>
      <c r="V1060">
        <v>0.11433328076632</v>
      </c>
      <c r="W1060">
        <v>0.34705270113209402</v>
      </c>
      <c r="X1060">
        <v>0</v>
      </c>
      <c r="Y1060">
        <v>0</v>
      </c>
    </row>
    <row r="1061" spans="1:25" x14ac:dyDescent="0.2">
      <c r="A1061" t="s">
        <v>3924</v>
      </c>
      <c r="B1061" t="s">
        <v>3925</v>
      </c>
      <c r="C1061" t="s">
        <v>3926</v>
      </c>
      <c r="D1061" t="s">
        <v>3927</v>
      </c>
      <c r="E1061" t="s">
        <v>3925</v>
      </c>
      <c r="F1061" t="s">
        <v>28</v>
      </c>
      <c r="G1061" t="s">
        <v>3925</v>
      </c>
      <c r="H1061" t="str">
        <f>"nhr-64"</f>
        <v>nhr-64</v>
      </c>
      <c r="I1061" t="s">
        <v>3927</v>
      </c>
      <c r="J1061">
        <v>10.5987796284172</v>
      </c>
      <c r="K1061" t="s">
        <v>29</v>
      </c>
      <c r="L1061">
        <v>10.998058085352801</v>
      </c>
      <c r="M1061" t="s">
        <v>29</v>
      </c>
      <c r="N1061" t="s">
        <v>29</v>
      </c>
      <c r="O1061" t="s">
        <v>29</v>
      </c>
      <c r="P1061" t="s">
        <v>29</v>
      </c>
      <c r="Q1061" t="s">
        <v>29</v>
      </c>
      <c r="R1061" t="s">
        <v>29</v>
      </c>
      <c r="S1061">
        <v>11.1862332167614</v>
      </c>
      <c r="T1061" t="s">
        <v>29</v>
      </c>
      <c r="U1061" t="s">
        <v>29</v>
      </c>
      <c r="V1061" t="s">
        <v>29</v>
      </c>
      <c r="W1061" t="s">
        <v>29</v>
      </c>
      <c r="X1061" t="s">
        <v>29</v>
      </c>
      <c r="Y1061" t="s">
        <v>29</v>
      </c>
    </row>
    <row r="1062" spans="1:25" x14ac:dyDescent="0.2">
      <c r="A1062" t="s">
        <v>3928</v>
      </c>
      <c r="B1062" t="s">
        <v>3929</v>
      </c>
      <c r="C1062" t="s">
        <v>3930</v>
      </c>
      <c r="D1062" t="s">
        <v>3931</v>
      </c>
      <c r="E1062" t="s">
        <v>3929</v>
      </c>
      <c r="F1062" t="s">
        <v>28</v>
      </c>
      <c r="G1062" t="s">
        <v>3929</v>
      </c>
      <c r="H1062" t="str">
        <f>"teg-4"</f>
        <v>teg-4</v>
      </c>
      <c r="I1062" t="s">
        <v>3931</v>
      </c>
      <c r="J1062">
        <v>12.262026411874301</v>
      </c>
      <c r="K1062">
        <v>12.6534248439328</v>
      </c>
      <c r="L1062">
        <v>11.566603277590501</v>
      </c>
      <c r="M1062">
        <v>14.554579507623799</v>
      </c>
      <c r="N1062">
        <v>14.548772759811101</v>
      </c>
      <c r="O1062">
        <v>14.1089730138326</v>
      </c>
      <c r="P1062">
        <v>2.2434235826233699</v>
      </c>
      <c r="Q1062">
        <v>1.6951936509019301</v>
      </c>
      <c r="R1062">
        <v>2.79165351434481</v>
      </c>
      <c r="S1062">
        <v>13.4667281124319</v>
      </c>
      <c r="T1062">
        <v>8.6008436102881909</v>
      </c>
      <c r="U1062">
        <v>8.1200829544915401</v>
      </c>
      <c r="V1062" s="2">
        <v>9.0102895054572995E-8</v>
      </c>
      <c r="W1062" s="2">
        <v>9.45789743572841E-6</v>
      </c>
      <c r="X1062">
        <v>1</v>
      </c>
      <c r="Y1062">
        <v>1</v>
      </c>
    </row>
    <row r="1063" spans="1:25" x14ac:dyDescent="0.2">
      <c r="A1063" t="s">
        <v>3932</v>
      </c>
      <c r="B1063" t="s">
        <v>3933</v>
      </c>
      <c r="C1063" t="s">
        <v>3934</v>
      </c>
      <c r="D1063" t="s">
        <v>3935</v>
      </c>
      <c r="E1063" t="s">
        <v>3933</v>
      </c>
      <c r="F1063" t="s">
        <v>28</v>
      </c>
      <c r="G1063" t="s">
        <v>3933</v>
      </c>
      <c r="H1063" t="str">
        <f>"col-49"</f>
        <v>col-49</v>
      </c>
      <c r="I1063" t="s">
        <v>3935</v>
      </c>
      <c r="J1063">
        <v>13.238356308576501</v>
      </c>
      <c r="K1063">
        <v>12.3516882862915</v>
      </c>
      <c r="L1063">
        <v>13.0130367223679</v>
      </c>
      <c r="M1063">
        <v>11.499332783963199</v>
      </c>
      <c r="N1063" t="s">
        <v>29</v>
      </c>
      <c r="O1063">
        <v>11.937646100352699</v>
      </c>
      <c r="P1063">
        <v>-1.1492043302539701</v>
      </c>
      <c r="Q1063">
        <v>-2.4515603277412898</v>
      </c>
      <c r="R1063">
        <v>0.153151667233343</v>
      </c>
      <c r="S1063">
        <v>12.6113391177617</v>
      </c>
      <c r="T1063">
        <v>-1.8716173791105</v>
      </c>
      <c r="U1063">
        <v>-5.2760436340432397</v>
      </c>
      <c r="V1063">
        <v>7.9780121598883105E-2</v>
      </c>
      <c r="W1063">
        <v>0.289269405539689</v>
      </c>
      <c r="X1063">
        <v>0</v>
      </c>
      <c r="Y1063">
        <v>0</v>
      </c>
    </row>
    <row r="1064" spans="1:25" x14ac:dyDescent="0.2">
      <c r="A1064" t="s">
        <v>3936</v>
      </c>
      <c r="B1064" t="s">
        <v>3937</v>
      </c>
      <c r="C1064" t="s">
        <v>3938</v>
      </c>
      <c r="D1064" t="s">
        <v>3939</v>
      </c>
      <c r="E1064" t="s">
        <v>3937</v>
      </c>
      <c r="F1064" t="s">
        <v>28</v>
      </c>
      <c r="G1064" t="s">
        <v>3937</v>
      </c>
      <c r="H1064" t="str">
        <f>"lpd-6"</f>
        <v>lpd-6</v>
      </c>
      <c r="I1064" t="s">
        <v>3939</v>
      </c>
      <c r="J1064">
        <v>14.1218893165375</v>
      </c>
      <c r="K1064">
        <v>14.2324238941345</v>
      </c>
      <c r="L1064">
        <v>14.498729745839601</v>
      </c>
      <c r="M1064">
        <v>14.1115859646732</v>
      </c>
      <c r="N1064">
        <v>13.612774357113</v>
      </c>
      <c r="O1064">
        <v>13.9142189063655</v>
      </c>
      <c r="P1064">
        <v>-0.404821242786646</v>
      </c>
      <c r="Q1064">
        <v>-0.87736886926001301</v>
      </c>
      <c r="R1064">
        <v>6.7726383686720501E-2</v>
      </c>
      <c r="S1064">
        <v>14.3772124747869</v>
      </c>
      <c r="T1064">
        <v>-1.8005708744728199</v>
      </c>
      <c r="U1064">
        <v>-5.4915786074335999</v>
      </c>
      <c r="V1064">
        <v>8.8649601114691501E-2</v>
      </c>
      <c r="W1064">
        <v>0.30511557773953002</v>
      </c>
      <c r="X1064">
        <v>0</v>
      </c>
      <c r="Y1064">
        <v>0</v>
      </c>
    </row>
    <row r="1065" spans="1:25" x14ac:dyDescent="0.2">
      <c r="A1065" t="s">
        <v>3940</v>
      </c>
      <c r="B1065" t="s">
        <v>3941</v>
      </c>
      <c r="C1065" t="s">
        <v>3942</v>
      </c>
      <c r="D1065" t="s">
        <v>3943</v>
      </c>
      <c r="E1065" t="s">
        <v>3941</v>
      </c>
      <c r="F1065" t="s">
        <v>28</v>
      </c>
      <c r="G1065" t="s">
        <v>3941</v>
      </c>
      <c r="H1065" t="str">
        <f>"dscc-1"</f>
        <v>dscc-1</v>
      </c>
      <c r="I1065" t="s">
        <v>3943</v>
      </c>
      <c r="J1065" t="s">
        <v>29</v>
      </c>
      <c r="K1065" t="s">
        <v>29</v>
      </c>
      <c r="L1065">
        <v>12.007556797348</v>
      </c>
      <c r="M1065" t="s">
        <v>29</v>
      </c>
      <c r="N1065" t="s">
        <v>29</v>
      </c>
      <c r="O1065" t="s">
        <v>29</v>
      </c>
      <c r="P1065" t="s">
        <v>29</v>
      </c>
      <c r="Q1065" t="s">
        <v>29</v>
      </c>
      <c r="R1065" t="s">
        <v>29</v>
      </c>
      <c r="S1065">
        <v>12.4704116682011</v>
      </c>
      <c r="T1065" t="s">
        <v>29</v>
      </c>
      <c r="U1065" t="s">
        <v>29</v>
      </c>
      <c r="V1065" t="s">
        <v>29</v>
      </c>
      <c r="W1065" t="s">
        <v>29</v>
      </c>
      <c r="X1065" t="s">
        <v>29</v>
      </c>
      <c r="Y1065" t="s">
        <v>29</v>
      </c>
    </row>
    <row r="1066" spans="1:25" x14ac:dyDescent="0.2">
      <c r="A1066" t="s">
        <v>3944</v>
      </c>
      <c r="B1066" t="s">
        <v>3945</v>
      </c>
      <c r="C1066" t="s">
        <v>14360</v>
      </c>
      <c r="D1066" t="s">
        <v>3946</v>
      </c>
      <c r="E1066" t="s">
        <v>3945</v>
      </c>
      <c r="F1066" t="s">
        <v>28</v>
      </c>
      <c r="G1066" t="s">
        <v>3947</v>
      </c>
      <c r="H1066" t="str">
        <f>"W03D8.9"</f>
        <v>W03D8.9</v>
      </c>
      <c r="I1066" t="s">
        <v>3948</v>
      </c>
      <c r="J1066">
        <v>12.561750039821501</v>
      </c>
      <c r="K1066">
        <v>12.3645380851544</v>
      </c>
      <c r="L1066">
        <v>13.714163079850399</v>
      </c>
      <c r="M1066" t="s">
        <v>29</v>
      </c>
      <c r="N1066">
        <v>12.9944691773567</v>
      </c>
      <c r="O1066">
        <v>13.3778361093607</v>
      </c>
      <c r="P1066">
        <v>0.30600224174993002</v>
      </c>
      <c r="Q1066">
        <v>-0.87751104424367599</v>
      </c>
      <c r="R1066">
        <v>1.4895155277435399</v>
      </c>
      <c r="S1066">
        <v>12.542190605301199</v>
      </c>
      <c r="T1066">
        <v>0.54840448799251496</v>
      </c>
      <c r="U1066">
        <v>-6.7845552838435799</v>
      </c>
      <c r="V1066">
        <v>0.59103417548423798</v>
      </c>
      <c r="W1066">
        <v>0.80369478292283902</v>
      </c>
      <c r="X1066">
        <v>0</v>
      </c>
      <c r="Y1066">
        <v>0</v>
      </c>
    </row>
    <row r="1067" spans="1:25" x14ac:dyDescent="0.2">
      <c r="A1067" t="s">
        <v>3949</v>
      </c>
      <c r="B1067" t="s">
        <v>3950</v>
      </c>
      <c r="C1067" t="s">
        <v>14361</v>
      </c>
      <c r="D1067" t="s">
        <v>3951</v>
      </c>
      <c r="E1067" t="s">
        <v>3950</v>
      </c>
      <c r="F1067" t="s">
        <v>28</v>
      </c>
      <c r="G1067" t="s">
        <v>3950</v>
      </c>
      <c r="H1067" t="str">
        <f>"W10C8.5"</f>
        <v>W10C8.5</v>
      </c>
      <c r="I1067" t="s">
        <v>3951</v>
      </c>
      <c r="J1067">
        <v>16.575198648878899</v>
      </c>
      <c r="K1067">
        <v>16.461266541627001</v>
      </c>
      <c r="L1067">
        <v>16.185291876094698</v>
      </c>
      <c r="M1067">
        <v>16.163171486141</v>
      </c>
      <c r="N1067">
        <v>16.036034792096601</v>
      </c>
      <c r="O1067">
        <v>16.221349056083898</v>
      </c>
      <c r="P1067">
        <v>-0.26706724409304899</v>
      </c>
      <c r="Q1067">
        <v>-0.73681405552624302</v>
      </c>
      <c r="R1067">
        <v>0.202679567340146</v>
      </c>
      <c r="S1067">
        <v>15.6996558348731</v>
      </c>
      <c r="T1067">
        <v>-1.1949487992426799</v>
      </c>
      <c r="U1067">
        <v>-6.3323389159536703</v>
      </c>
      <c r="V1067">
        <v>0.24770428792568699</v>
      </c>
      <c r="W1067">
        <v>0.52170210544348605</v>
      </c>
      <c r="X1067">
        <v>0</v>
      </c>
      <c r="Y1067">
        <v>0</v>
      </c>
    </row>
    <row r="1068" spans="1:25" x14ac:dyDescent="0.2">
      <c r="A1068" t="s">
        <v>3952</v>
      </c>
      <c r="B1068" t="s">
        <v>3953</v>
      </c>
      <c r="C1068" t="s">
        <v>3954</v>
      </c>
      <c r="D1068" t="s">
        <v>3955</v>
      </c>
      <c r="E1068" t="s">
        <v>3953</v>
      </c>
      <c r="F1068" t="s">
        <v>28</v>
      </c>
      <c r="G1068" t="s">
        <v>3953</v>
      </c>
      <c r="H1068" t="str">
        <f>"nol-58"</f>
        <v>nol-58</v>
      </c>
      <c r="I1068" t="s">
        <v>3955</v>
      </c>
      <c r="J1068">
        <v>18.306698769513499</v>
      </c>
      <c r="K1068">
        <v>18.153522444323901</v>
      </c>
      <c r="L1068">
        <v>18.229327181943098</v>
      </c>
      <c r="M1068">
        <v>18.1252980625653</v>
      </c>
      <c r="N1068">
        <v>18.0860233351797</v>
      </c>
      <c r="O1068">
        <v>17.988916470157498</v>
      </c>
      <c r="P1068">
        <v>-0.16310350929268899</v>
      </c>
      <c r="Q1068">
        <v>-0.52230634792965203</v>
      </c>
      <c r="R1068">
        <v>0.19609932934427299</v>
      </c>
      <c r="S1068">
        <v>17.825398944872401</v>
      </c>
      <c r="T1068">
        <v>-0.95436841620808799</v>
      </c>
      <c r="U1068">
        <v>-6.5865958733597196</v>
      </c>
      <c r="V1068">
        <v>0.35261237184842598</v>
      </c>
      <c r="W1068">
        <v>0.63322332118917202</v>
      </c>
      <c r="X1068">
        <v>0</v>
      </c>
      <c r="Y1068">
        <v>0</v>
      </c>
    </row>
    <row r="1069" spans="1:25" x14ac:dyDescent="0.2">
      <c r="A1069" t="s">
        <v>3956</v>
      </c>
      <c r="B1069" t="s">
        <v>3957</v>
      </c>
      <c r="C1069" t="s">
        <v>3958</v>
      </c>
      <c r="D1069" t="s">
        <v>3959</v>
      </c>
      <c r="E1069" t="s">
        <v>3957</v>
      </c>
      <c r="F1069" t="s">
        <v>28</v>
      </c>
      <c r="G1069" t="s">
        <v>3957</v>
      </c>
      <c r="H1069" t="str">
        <f>"C11D2.4"</f>
        <v>C11D2.4</v>
      </c>
      <c r="I1069" t="s">
        <v>3959</v>
      </c>
      <c r="J1069">
        <v>13.654740523931499</v>
      </c>
      <c r="K1069">
        <v>13.782748797852699</v>
      </c>
      <c r="L1069">
        <v>13.9479831053069</v>
      </c>
      <c r="M1069">
        <v>14.185134794077401</v>
      </c>
      <c r="N1069">
        <v>14.178889305387701</v>
      </c>
      <c r="O1069">
        <v>14.0955857387347</v>
      </c>
      <c r="P1069">
        <v>0.35804580370288802</v>
      </c>
      <c r="Q1069">
        <v>-0.70695451154823397</v>
      </c>
      <c r="R1069">
        <v>1.42304611895401</v>
      </c>
      <c r="S1069">
        <v>13.8977203330499</v>
      </c>
      <c r="T1069">
        <v>0.713080206605054</v>
      </c>
      <c r="U1069">
        <v>-6.7880664189323499</v>
      </c>
      <c r="V1069">
        <v>0.48613411949431201</v>
      </c>
      <c r="W1069">
        <v>0.74195019062289802</v>
      </c>
      <c r="X1069">
        <v>0</v>
      </c>
      <c r="Y1069">
        <v>0</v>
      </c>
    </row>
    <row r="1070" spans="1:25" x14ac:dyDescent="0.2">
      <c r="A1070" t="s">
        <v>3960</v>
      </c>
      <c r="B1070" t="s">
        <v>3961</v>
      </c>
      <c r="C1070" t="s">
        <v>14362</v>
      </c>
      <c r="D1070" t="s">
        <v>3962</v>
      </c>
      <c r="E1070" t="s">
        <v>3961</v>
      </c>
      <c r="F1070" t="s">
        <v>28</v>
      </c>
      <c r="G1070" t="s">
        <v>3961</v>
      </c>
      <c r="H1070" t="str">
        <f>"F53H1.3"</f>
        <v>F53H1.3</v>
      </c>
      <c r="I1070" t="s">
        <v>3962</v>
      </c>
      <c r="J1070">
        <v>12.2838137685393</v>
      </c>
      <c r="K1070">
        <v>12.076076272480201</v>
      </c>
      <c r="L1070">
        <v>12.2276767213604</v>
      </c>
      <c r="M1070">
        <v>11.7981049583359</v>
      </c>
      <c r="N1070">
        <v>11.5318928617209</v>
      </c>
      <c r="O1070">
        <v>11.733221519452499</v>
      </c>
      <c r="P1070">
        <v>-0.50811580762354902</v>
      </c>
      <c r="Q1070">
        <v>-0.99119538793607997</v>
      </c>
      <c r="R1070">
        <v>-2.50362273110168E-2</v>
      </c>
      <c r="S1070">
        <v>11.7872237843458</v>
      </c>
      <c r="T1070">
        <v>-2.25754241486149</v>
      </c>
      <c r="U1070">
        <v>-4.7450554030319196</v>
      </c>
      <c r="V1070">
        <v>4.0605748162248198E-2</v>
      </c>
      <c r="W1070">
        <v>0.19929276699842499</v>
      </c>
      <c r="X1070">
        <v>0</v>
      </c>
      <c r="Y1070">
        <v>0</v>
      </c>
    </row>
    <row r="1071" spans="1:25" x14ac:dyDescent="0.2">
      <c r="A1071" t="s">
        <v>3963</v>
      </c>
      <c r="B1071" t="s">
        <v>3964</v>
      </c>
      <c r="C1071" t="s">
        <v>14363</v>
      </c>
      <c r="D1071" t="s">
        <v>844</v>
      </c>
      <c r="E1071" t="s">
        <v>3964</v>
      </c>
      <c r="F1071" t="s">
        <v>28</v>
      </c>
      <c r="G1071" t="s">
        <v>3964</v>
      </c>
      <c r="H1071" t="str">
        <f>"F53H1.4"</f>
        <v>F53H1.4</v>
      </c>
      <c r="I1071" t="s">
        <v>844</v>
      </c>
      <c r="J1071">
        <v>11.8709065215441</v>
      </c>
      <c r="K1071">
        <v>12.5301332934441</v>
      </c>
      <c r="L1071">
        <v>13.093082590880901</v>
      </c>
      <c r="M1071">
        <v>13.0527995268582</v>
      </c>
      <c r="N1071">
        <v>13.4555861272726</v>
      </c>
      <c r="O1071">
        <v>12.5550848828601</v>
      </c>
      <c r="P1071">
        <v>0.52311604370724396</v>
      </c>
      <c r="Q1071">
        <v>-0.125393101397277</v>
      </c>
      <c r="R1071">
        <v>1.1716251888117599</v>
      </c>
      <c r="S1071">
        <v>13.4302899325043</v>
      </c>
      <c r="T1071">
        <v>1.70267574012459</v>
      </c>
      <c r="U1071">
        <v>-5.6463705240940101</v>
      </c>
      <c r="V1071">
        <v>0.106953699068065</v>
      </c>
      <c r="W1071">
        <v>0.33831349181262699</v>
      </c>
      <c r="X1071">
        <v>0</v>
      </c>
      <c r="Y1071">
        <v>0</v>
      </c>
    </row>
    <row r="1072" spans="1:25" x14ac:dyDescent="0.2">
      <c r="A1072" t="s">
        <v>3965</v>
      </c>
      <c r="B1072" t="s">
        <v>3966</v>
      </c>
      <c r="C1072" t="s">
        <v>3967</v>
      </c>
      <c r="D1072" t="s">
        <v>3968</v>
      </c>
      <c r="E1072" t="s">
        <v>3966</v>
      </c>
      <c r="F1072" t="s">
        <v>28</v>
      </c>
      <c r="G1072" t="s">
        <v>3966</v>
      </c>
      <c r="H1072" t="str">
        <f>"C17H12.2"</f>
        <v>C17H12.2</v>
      </c>
      <c r="I1072" t="s">
        <v>3968</v>
      </c>
      <c r="J1072" t="s">
        <v>29</v>
      </c>
      <c r="K1072">
        <v>11.583907332481299</v>
      </c>
      <c r="L1072" t="s">
        <v>29</v>
      </c>
      <c r="M1072" t="s">
        <v>29</v>
      </c>
      <c r="N1072" t="s">
        <v>29</v>
      </c>
      <c r="O1072" t="s">
        <v>29</v>
      </c>
      <c r="P1072" t="s">
        <v>29</v>
      </c>
      <c r="Q1072" t="s">
        <v>29</v>
      </c>
      <c r="R1072" t="s">
        <v>29</v>
      </c>
      <c r="S1072">
        <v>11.3024972094187</v>
      </c>
      <c r="T1072" t="s">
        <v>29</v>
      </c>
      <c r="U1072" t="s">
        <v>29</v>
      </c>
      <c r="V1072" t="s">
        <v>29</v>
      </c>
      <c r="W1072" t="s">
        <v>29</v>
      </c>
      <c r="X1072" t="s">
        <v>29</v>
      </c>
      <c r="Y1072" t="s">
        <v>29</v>
      </c>
    </row>
    <row r="1073" spans="1:25" x14ac:dyDescent="0.2">
      <c r="A1073" t="s">
        <v>3969</v>
      </c>
      <c r="B1073" t="s">
        <v>3970</v>
      </c>
      <c r="C1073" t="s">
        <v>3971</v>
      </c>
      <c r="D1073" t="s">
        <v>534</v>
      </c>
      <c r="E1073" t="s">
        <v>3970</v>
      </c>
      <c r="F1073" t="s">
        <v>28</v>
      </c>
      <c r="G1073" t="s">
        <v>3970</v>
      </c>
      <c r="H1073" t="str">
        <f>"dyci-1"</f>
        <v>dyci-1</v>
      </c>
      <c r="I1073" t="s">
        <v>534</v>
      </c>
      <c r="J1073">
        <v>14.5050678874944</v>
      </c>
      <c r="K1073">
        <v>14.696144351787099</v>
      </c>
      <c r="L1073">
        <v>14.5065342512294</v>
      </c>
      <c r="M1073">
        <v>14.632197294709901</v>
      </c>
      <c r="N1073">
        <v>14.697629942186801</v>
      </c>
      <c r="O1073">
        <v>14.618115340201101</v>
      </c>
      <c r="P1073">
        <v>8.0065362195624004E-2</v>
      </c>
      <c r="Q1073">
        <v>-0.33836216818783599</v>
      </c>
      <c r="R1073">
        <v>0.49849289257908402</v>
      </c>
      <c r="S1073">
        <v>14.2619045656579</v>
      </c>
      <c r="T1073">
        <v>0.402176726279518</v>
      </c>
      <c r="U1073">
        <v>-6.9677047543854602</v>
      </c>
      <c r="V1073">
        <v>0.69231708690738303</v>
      </c>
      <c r="W1073">
        <v>0.86173712320696905</v>
      </c>
      <c r="X1073">
        <v>0</v>
      </c>
      <c r="Y1073">
        <v>0</v>
      </c>
    </row>
    <row r="1074" spans="1:25" x14ac:dyDescent="0.2">
      <c r="A1074" t="s">
        <v>3972</v>
      </c>
      <c r="B1074" t="s">
        <v>3973</v>
      </c>
      <c r="C1074" t="s">
        <v>3974</v>
      </c>
      <c r="D1074" t="s">
        <v>3975</v>
      </c>
      <c r="E1074" t="s">
        <v>3973</v>
      </c>
      <c r="F1074" t="s">
        <v>28</v>
      </c>
      <c r="G1074" t="s">
        <v>3973</v>
      </c>
      <c r="H1074" t="str">
        <f>"mec-17"</f>
        <v>mec-17</v>
      </c>
      <c r="I1074" t="s">
        <v>3975</v>
      </c>
      <c r="J1074">
        <v>14.1508030377239</v>
      </c>
      <c r="K1074">
        <v>14.4609733233979</v>
      </c>
      <c r="L1074">
        <v>14.0180745477263</v>
      </c>
      <c r="M1074">
        <v>14.983908674612501</v>
      </c>
      <c r="N1074">
        <v>14.7172096256192</v>
      </c>
      <c r="O1074">
        <v>14.2833072465887</v>
      </c>
      <c r="P1074">
        <v>0.45152487932412599</v>
      </c>
      <c r="Q1074">
        <v>-6.2780092752964395E-2</v>
      </c>
      <c r="R1074">
        <v>0.96582985140121502</v>
      </c>
      <c r="S1074">
        <v>13.7148639990546</v>
      </c>
      <c r="T1074">
        <v>1.8531517132706501</v>
      </c>
      <c r="U1074">
        <v>-5.4097943958202004</v>
      </c>
      <c r="V1074">
        <v>8.1408815410046104E-2</v>
      </c>
      <c r="W1074">
        <v>0.29271191750750303</v>
      </c>
      <c r="X1074">
        <v>0</v>
      </c>
      <c r="Y1074">
        <v>0</v>
      </c>
    </row>
    <row r="1075" spans="1:25" x14ac:dyDescent="0.2">
      <c r="A1075" t="s">
        <v>3976</v>
      </c>
      <c r="B1075" t="s">
        <v>3977</v>
      </c>
      <c r="C1075" t="s">
        <v>3978</v>
      </c>
      <c r="D1075" t="s">
        <v>3312</v>
      </c>
      <c r="E1075" t="s">
        <v>3977</v>
      </c>
      <c r="F1075" t="s">
        <v>28</v>
      </c>
      <c r="G1075" t="s">
        <v>3977</v>
      </c>
      <c r="H1075" t="str">
        <f>"col-101"</f>
        <v>col-101</v>
      </c>
      <c r="I1075" t="s">
        <v>3312</v>
      </c>
      <c r="J1075" t="s">
        <v>29</v>
      </c>
      <c r="K1075" t="s">
        <v>29</v>
      </c>
      <c r="L1075" t="s">
        <v>29</v>
      </c>
      <c r="M1075" t="s">
        <v>29</v>
      </c>
      <c r="N1075" t="s">
        <v>29</v>
      </c>
      <c r="O1075" t="s">
        <v>29</v>
      </c>
      <c r="P1075" t="s">
        <v>29</v>
      </c>
      <c r="Q1075" t="s">
        <v>29</v>
      </c>
      <c r="R1075" t="s">
        <v>29</v>
      </c>
      <c r="S1075">
        <v>14.6795186502583</v>
      </c>
      <c r="T1075" t="s">
        <v>29</v>
      </c>
      <c r="U1075" t="s">
        <v>29</v>
      </c>
      <c r="V1075" t="s">
        <v>29</v>
      </c>
      <c r="W1075" t="s">
        <v>29</v>
      </c>
      <c r="X1075" t="s">
        <v>29</v>
      </c>
      <c r="Y1075" t="s">
        <v>29</v>
      </c>
    </row>
    <row r="1076" spans="1:25" x14ac:dyDescent="0.2">
      <c r="A1076" t="s">
        <v>3979</v>
      </c>
      <c r="B1076" t="s">
        <v>3980</v>
      </c>
      <c r="C1076" t="s">
        <v>3981</v>
      </c>
      <c r="D1076" t="s">
        <v>3982</v>
      </c>
      <c r="E1076" t="s">
        <v>3980</v>
      </c>
      <c r="F1076" t="s">
        <v>28</v>
      </c>
      <c r="G1076" t="s">
        <v>3980</v>
      </c>
      <c r="H1076" t="str">
        <f>"ech-5"</f>
        <v>ech-5</v>
      </c>
      <c r="I1076" t="s">
        <v>3982</v>
      </c>
      <c r="J1076">
        <v>16.716214909684201</v>
      </c>
      <c r="K1076">
        <v>16.499218857913199</v>
      </c>
      <c r="L1076">
        <v>16.6352208652218</v>
      </c>
      <c r="M1076">
        <v>16.278449366589001</v>
      </c>
      <c r="N1076">
        <v>16.1205312052324</v>
      </c>
      <c r="O1076">
        <v>16.321725221047899</v>
      </c>
      <c r="P1076">
        <v>-0.37664961331656199</v>
      </c>
      <c r="Q1076">
        <v>-0.70978670328323701</v>
      </c>
      <c r="R1076">
        <v>-4.3512523349887998E-2</v>
      </c>
      <c r="S1076">
        <v>16.085628579597898</v>
      </c>
      <c r="T1076">
        <v>-2.37633164426614</v>
      </c>
      <c r="U1076">
        <v>-4.4828567466613096</v>
      </c>
      <c r="V1076">
        <v>2.8860856542114899E-2</v>
      </c>
      <c r="W1076">
        <v>0.16812558455250801</v>
      </c>
      <c r="X1076">
        <v>0</v>
      </c>
      <c r="Y1076">
        <v>0</v>
      </c>
    </row>
    <row r="1077" spans="1:25" x14ac:dyDescent="0.2">
      <c r="A1077" t="s">
        <v>3983</v>
      </c>
      <c r="B1077" t="s">
        <v>3984</v>
      </c>
      <c r="C1077" t="s">
        <v>3985</v>
      </c>
      <c r="D1077" t="s">
        <v>3986</v>
      </c>
      <c r="E1077" t="s">
        <v>3984</v>
      </c>
      <c r="F1077" t="s">
        <v>28</v>
      </c>
      <c r="G1077" t="s">
        <v>3984</v>
      </c>
      <c r="H1077" t="str">
        <f>"mrpl-2"</f>
        <v>mrpl-2</v>
      </c>
      <c r="I1077" t="s">
        <v>3986</v>
      </c>
      <c r="J1077">
        <v>13.515590774668199</v>
      </c>
      <c r="K1077">
        <v>13.543750762809101</v>
      </c>
      <c r="L1077">
        <v>13.1024717532141</v>
      </c>
      <c r="M1077">
        <v>13.060897978383901</v>
      </c>
      <c r="N1077" t="s">
        <v>29</v>
      </c>
      <c r="O1077">
        <v>12.9449427892424</v>
      </c>
      <c r="P1077">
        <v>-0.384350713083975</v>
      </c>
      <c r="Q1077">
        <v>-0.90990345022851304</v>
      </c>
      <c r="R1077">
        <v>0.14120202406056201</v>
      </c>
      <c r="S1077">
        <v>13.0098520768498</v>
      </c>
      <c r="T1077">
        <v>-1.5511754357140599</v>
      </c>
      <c r="U1077">
        <v>-5.7623888751561196</v>
      </c>
      <c r="V1077">
        <v>0.14054033090350301</v>
      </c>
      <c r="W1077">
        <v>0.38677888604987698</v>
      </c>
      <c r="X1077">
        <v>0</v>
      </c>
      <c r="Y1077">
        <v>0</v>
      </c>
    </row>
    <row r="1078" spans="1:25" x14ac:dyDescent="0.2">
      <c r="A1078" t="s">
        <v>3987</v>
      </c>
      <c r="B1078" t="s">
        <v>3988</v>
      </c>
      <c r="C1078" t="s">
        <v>3989</v>
      </c>
      <c r="D1078" t="s">
        <v>3312</v>
      </c>
      <c r="E1078" t="s">
        <v>3988</v>
      </c>
      <c r="F1078" t="s">
        <v>28</v>
      </c>
      <c r="G1078" t="s">
        <v>3988</v>
      </c>
      <c r="H1078" t="str">
        <f>"col-103"</f>
        <v>col-103</v>
      </c>
      <c r="I1078" t="s">
        <v>3312</v>
      </c>
      <c r="J1078">
        <v>12.3933753640479</v>
      </c>
      <c r="K1078">
        <v>12.9070492292879</v>
      </c>
      <c r="L1078">
        <v>12.853941489136499</v>
      </c>
      <c r="M1078">
        <v>11.681954489201599</v>
      </c>
      <c r="N1078">
        <v>12.9906284622095</v>
      </c>
      <c r="O1078" t="s">
        <v>29</v>
      </c>
      <c r="P1078">
        <v>-0.38183055178525999</v>
      </c>
      <c r="Q1078">
        <v>-1.28075045060813</v>
      </c>
      <c r="R1078">
        <v>0.51708934703761</v>
      </c>
      <c r="S1078">
        <v>13.0275741971678</v>
      </c>
      <c r="T1078">
        <v>-0.90094693188081199</v>
      </c>
      <c r="U1078">
        <v>-6.5246510261586899</v>
      </c>
      <c r="V1078">
        <v>0.38106496706280502</v>
      </c>
      <c r="W1078">
        <v>0.65643639674335597</v>
      </c>
      <c r="X1078">
        <v>0</v>
      </c>
      <c r="Y1078">
        <v>0</v>
      </c>
    </row>
    <row r="1079" spans="1:25" x14ac:dyDescent="0.2">
      <c r="A1079" t="s">
        <v>3990</v>
      </c>
      <c r="B1079" t="s">
        <v>3991</v>
      </c>
      <c r="C1079" t="s">
        <v>3992</v>
      </c>
      <c r="D1079" t="s">
        <v>3993</v>
      </c>
      <c r="E1079" t="s">
        <v>3991</v>
      </c>
      <c r="F1079" t="s">
        <v>28</v>
      </c>
      <c r="G1079" t="s">
        <v>3991</v>
      </c>
      <c r="H1079" t="str">
        <f>"xnd-1"</f>
        <v>xnd-1</v>
      </c>
      <c r="I1079" t="s">
        <v>3993</v>
      </c>
      <c r="J1079" t="s">
        <v>29</v>
      </c>
      <c r="K1079" t="s">
        <v>29</v>
      </c>
      <c r="L1079" t="s">
        <v>29</v>
      </c>
      <c r="M1079" t="s">
        <v>29</v>
      </c>
      <c r="N1079" t="s">
        <v>29</v>
      </c>
      <c r="O1079" t="s">
        <v>29</v>
      </c>
      <c r="P1079" t="s">
        <v>29</v>
      </c>
      <c r="Q1079" t="s">
        <v>29</v>
      </c>
      <c r="R1079" t="s">
        <v>29</v>
      </c>
      <c r="S1079">
        <v>12.0483269058664</v>
      </c>
      <c r="T1079" t="s">
        <v>29</v>
      </c>
      <c r="U1079" t="s">
        <v>29</v>
      </c>
      <c r="V1079" t="s">
        <v>29</v>
      </c>
      <c r="W1079" t="s">
        <v>29</v>
      </c>
      <c r="X1079" t="s">
        <v>29</v>
      </c>
      <c r="Y1079" t="s">
        <v>29</v>
      </c>
    </row>
    <row r="1080" spans="1:25" x14ac:dyDescent="0.2">
      <c r="A1080" t="s">
        <v>3994</v>
      </c>
      <c r="B1080" t="s">
        <v>3995</v>
      </c>
      <c r="C1080" t="s">
        <v>3996</v>
      </c>
      <c r="D1080" t="s">
        <v>3997</v>
      </c>
      <c r="E1080" t="s">
        <v>3995</v>
      </c>
      <c r="F1080" t="s">
        <v>28</v>
      </c>
      <c r="G1080" t="s">
        <v>3995</v>
      </c>
      <c r="H1080" t="str">
        <f>"dlst-1"</f>
        <v>dlst-1</v>
      </c>
      <c r="I1080" t="s">
        <v>3997</v>
      </c>
      <c r="J1080">
        <v>12.495904846944301</v>
      </c>
      <c r="K1080">
        <v>12.767345290861901</v>
      </c>
      <c r="L1080">
        <v>13.178993848621801</v>
      </c>
      <c r="M1080">
        <v>13.231981178536</v>
      </c>
      <c r="N1080">
        <v>12.8386745741868</v>
      </c>
      <c r="O1080">
        <v>14.1895601420996</v>
      </c>
      <c r="P1080">
        <v>0.60599063613145698</v>
      </c>
      <c r="Q1080">
        <v>-0.53061354774394998</v>
      </c>
      <c r="R1080">
        <v>1.7425948200068599</v>
      </c>
      <c r="S1080">
        <v>13.5114346820372</v>
      </c>
      <c r="T1080">
        <v>1.1205962794612301</v>
      </c>
      <c r="U1080">
        <v>-6.41622606036566</v>
      </c>
      <c r="V1080">
        <v>0.27727385658465498</v>
      </c>
      <c r="W1080">
        <v>0.55625716974504802</v>
      </c>
      <c r="X1080">
        <v>0</v>
      </c>
      <c r="Y1080">
        <v>0</v>
      </c>
    </row>
    <row r="1081" spans="1:25" x14ac:dyDescent="0.2">
      <c r="A1081" t="s">
        <v>3998</v>
      </c>
      <c r="B1081" t="s">
        <v>3999</v>
      </c>
      <c r="C1081" t="s">
        <v>4000</v>
      </c>
      <c r="D1081" t="s">
        <v>3358</v>
      </c>
      <c r="E1081" t="s">
        <v>3999</v>
      </c>
      <c r="F1081" t="s">
        <v>28</v>
      </c>
      <c r="G1081" t="s">
        <v>4001</v>
      </c>
      <c r="H1081" t="str">
        <f>"fbxa-65"</f>
        <v>fbxa-65</v>
      </c>
      <c r="I1081" t="s">
        <v>3358</v>
      </c>
      <c r="J1081">
        <v>10.1144022944369</v>
      </c>
      <c r="K1081" t="s">
        <v>29</v>
      </c>
      <c r="L1081">
        <v>10.4834519311446</v>
      </c>
      <c r="M1081" t="s">
        <v>29</v>
      </c>
      <c r="N1081">
        <v>11.573388998138601</v>
      </c>
      <c r="O1081" t="s">
        <v>29</v>
      </c>
      <c r="P1081">
        <v>1.27446188534785</v>
      </c>
      <c r="Q1081">
        <v>0.24521887681555399</v>
      </c>
      <c r="R1081">
        <v>2.3037048938801399</v>
      </c>
      <c r="S1081">
        <v>10.6865092164374</v>
      </c>
      <c r="T1081">
        <v>2.8620330052919498</v>
      </c>
      <c r="U1081">
        <v>-3.5606631066479499</v>
      </c>
      <c r="V1081">
        <v>2.13750825333964E-2</v>
      </c>
      <c r="W1081">
        <v>0.14165889727835401</v>
      </c>
      <c r="X1081">
        <v>1</v>
      </c>
      <c r="Y1081">
        <v>0</v>
      </c>
    </row>
    <row r="1082" spans="1:25" x14ac:dyDescent="0.2">
      <c r="A1082" t="s">
        <v>4002</v>
      </c>
      <c r="B1082" t="s">
        <v>4003</v>
      </c>
      <c r="C1082" t="s">
        <v>4004</v>
      </c>
      <c r="D1082" t="s">
        <v>4005</v>
      </c>
      <c r="E1082" t="s">
        <v>4003</v>
      </c>
      <c r="F1082" t="s">
        <v>28</v>
      </c>
      <c r="G1082" t="s">
        <v>4003</v>
      </c>
      <c r="H1082" t="str">
        <f>"folt-2"</f>
        <v>folt-2</v>
      </c>
      <c r="I1082" t="s">
        <v>4005</v>
      </c>
      <c r="J1082">
        <v>16.220465635318799</v>
      </c>
      <c r="K1082">
        <v>16.3248212137783</v>
      </c>
      <c r="L1082">
        <v>16.613702310123799</v>
      </c>
      <c r="M1082">
        <v>15.404861049666501</v>
      </c>
      <c r="N1082">
        <v>15.428638340115899</v>
      </c>
      <c r="O1082">
        <v>15.0159543668767</v>
      </c>
      <c r="P1082">
        <v>-1.1031784675206</v>
      </c>
      <c r="Q1082">
        <v>-1.5239906828609999</v>
      </c>
      <c r="R1082">
        <v>-0.68236625218018798</v>
      </c>
      <c r="S1082">
        <v>16.3054106489069</v>
      </c>
      <c r="T1082">
        <v>-5.5099791003982901</v>
      </c>
      <c r="U1082">
        <v>2.2026352014801698</v>
      </c>
      <c r="V1082" s="2">
        <v>3.1867775985765802E-5</v>
      </c>
      <c r="W1082">
        <v>1.2199734477374301E-3</v>
      </c>
      <c r="X1082">
        <v>-1</v>
      </c>
      <c r="Y1082">
        <v>-1</v>
      </c>
    </row>
    <row r="1083" spans="1:25" x14ac:dyDescent="0.2">
      <c r="A1083" t="s">
        <v>4006</v>
      </c>
      <c r="B1083" t="s">
        <v>4007</v>
      </c>
      <c r="C1083" t="s">
        <v>4008</v>
      </c>
      <c r="D1083" t="s">
        <v>4009</v>
      </c>
      <c r="E1083" t="s">
        <v>4007</v>
      </c>
      <c r="F1083" t="s">
        <v>28</v>
      </c>
      <c r="G1083" t="s">
        <v>4007</v>
      </c>
      <c r="H1083" t="str">
        <f>"ifc-1"</f>
        <v>ifc-1</v>
      </c>
      <c r="I1083" t="s">
        <v>4009</v>
      </c>
      <c r="J1083">
        <v>13.498727623788399</v>
      </c>
      <c r="K1083">
        <v>14.516349700174199</v>
      </c>
      <c r="L1083">
        <v>15.8925230747424</v>
      </c>
      <c r="M1083">
        <v>14.417480972295101</v>
      </c>
      <c r="N1083">
        <v>15.6795900253827</v>
      </c>
      <c r="O1083">
        <v>14.949338180721901</v>
      </c>
      <c r="P1083">
        <v>0.37960292656490002</v>
      </c>
      <c r="Q1083">
        <v>-0.88257380456188195</v>
      </c>
      <c r="R1083">
        <v>1.6417796576916801</v>
      </c>
      <c r="S1083">
        <v>14.5374783938927</v>
      </c>
      <c r="T1083">
        <v>0.63212344116457198</v>
      </c>
      <c r="U1083">
        <v>-6.8450016422547</v>
      </c>
      <c r="V1083">
        <v>0.53529962090846805</v>
      </c>
      <c r="W1083">
        <v>0.77501266500839605</v>
      </c>
      <c r="X1083">
        <v>0</v>
      </c>
      <c r="Y1083">
        <v>0</v>
      </c>
    </row>
    <row r="1084" spans="1:25" x14ac:dyDescent="0.2">
      <c r="A1084" t="s">
        <v>4010</v>
      </c>
      <c r="B1084" t="s">
        <v>4011</v>
      </c>
      <c r="C1084" t="s">
        <v>4012</v>
      </c>
      <c r="D1084" t="s">
        <v>93</v>
      </c>
      <c r="E1084" t="s">
        <v>4011</v>
      </c>
      <c r="F1084" t="s">
        <v>28</v>
      </c>
      <c r="G1084" t="s">
        <v>4011</v>
      </c>
      <c r="H1084" t="str">
        <f>"nucl-1"</f>
        <v>nucl-1</v>
      </c>
      <c r="I1084" t="s">
        <v>93</v>
      </c>
      <c r="J1084">
        <v>17.154323629845099</v>
      </c>
      <c r="K1084">
        <v>17.146894827783299</v>
      </c>
      <c r="L1084">
        <v>17.714488665728201</v>
      </c>
      <c r="M1084">
        <v>17.232775377165702</v>
      </c>
      <c r="N1084">
        <v>17.863302822009501</v>
      </c>
      <c r="O1084">
        <v>17.412281880609299</v>
      </c>
      <c r="P1084">
        <v>0.16421765214263601</v>
      </c>
      <c r="Q1084">
        <v>-0.386824643788514</v>
      </c>
      <c r="R1084">
        <v>0.71525994807378601</v>
      </c>
      <c r="S1084">
        <v>18.271048802754599</v>
      </c>
      <c r="T1084">
        <v>0.62636490568221703</v>
      </c>
      <c r="U1084">
        <v>-6.8487167387012997</v>
      </c>
      <c r="V1084">
        <v>0.53898424985123705</v>
      </c>
      <c r="W1084">
        <v>0.77501266500839605</v>
      </c>
      <c r="X1084">
        <v>0</v>
      </c>
      <c r="Y1084">
        <v>0</v>
      </c>
    </row>
    <row r="1085" spans="1:25" x14ac:dyDescent="0.2">
      <c r="A1085" t="s">
        <v>4013</v>
      </c>
      <c r="B1085" t="s">
        <v>4014</v>
      </c>
      <c r="C1085" t="s">
        <v>4015</v>
      </c>
      <c r="D1085" t="s">
        <v>4016</v>
      </c>
      <c r="E1085" t="s">
        <v>4014</v>
      </c>
      <c r="F1085" t="s">
        <v>28</v>
      </c>
      <c r="G1085" t="s">
        <v>4014</v>
      </c>
      <c r="H1085" t="str">
        <f>"ads-1"</f>
        <v>ads-1</v>
      </c>
      <c r="I1085" t="s">
        <v>4016</v>
      </c>
      <c r="J1085">
        <v>15.1451266388709</v>
      </c>
      <c r="K1085">
        <v>14.8922236346092</v>
      </c>
      <c r="L1085">
        <v>14.895672508689501</v>
      </c>
      <c r="M1085">
        <v>14.7040472944177</v>
      </c>
      <c r="N1085">
        <v>14.9960762959085</v>
      </c>
      <c r="O1085">
        <v>14.853559149650801</v>
      </c>
      <c r="P1085">
        <v>-0.126446680730849</v>
      </c>
      <c r="Q1085">
        <v>-0.4918048884715</v>
      </c>
      <c r="R1085">
        <v>0.238911527009802</v>
      </c>
      <c r="S1085">
        <v>14.6020752737892</v>
      </c>
      <c r="T1085">
        <v>-0.72741303369323396</v>
      </c>
      <c r="U1085">
        <v>-6.7788388524459</v>
      </c>
      <c r="V1085">
        <v>0.47638291804002703</v>
      </c>
      <c r="W1085">
        <v>0.73641330893218404</v>
      </c>
      <c r="X1085">
        <v>0</v>
      </c>
      <c r="Y1085">
        <v>0</v>
      </c>
    </row>
    <row r="1086" spans="1:25" x14ac:dyDescent="0.2">
      <c r="A1086" t="s">
        <v>4017</v>
      </c>
      <c r="B1086" t="s">
        <v>4018</v>
      </c>
      <c r="C1086" t="s">
        <v>4019</v>
      </c>
      <c r="D1086" t="s">
        <v>4020</v>
      </c>
      <c r="E1086" t="s">
        <v>4018</v>
      </c>
      <c r="F1086" t="s">
        <v>28</v>
      </c>
      <c r="G1086" t="s">
        <v>4018</v>
      </c>
      <c r="H1086" t="str">
        <f>"rpl-29"</f>
        <v>rpl-29</v>
      </c>
      <c r="I1086" t="s">
        <v>4020</v>
      </c>
      <c r="J1086">
        <v>15.744600489625199</v>
      </c>
      <c r="K1086">
        <v>15.579150823068399</v>
      </c>
      <c r="L1086">
        <v>14.9768678191631</v>
      </c>
      <c r="M1086">
        <v>13.719514636784901</v>
      </c>
      <c r="N1086">
        <v>15.3397219516989</v>
      </c>
      <c r="O1086">
        <v>15.6354532698643</v>
      </c>
      <c r="P1086">
        <v>-0.53530975783624202</v>
      </c>
      <c r="Q1086">
        <v>-1.7713724725861</v>
      </c>
      <c r="R1086">
        <v>0.70075295691362105</v>
      </c>
      <c r="S1086">
        <v>14.965521700280901</v>
      </c>
      <c r="T1086">
        <v>-0.91024262059392702</v>
      </c>
      <c r="U1086">
        <v>-6.6277014952340298</v>
      </c>
      <c r="V1086">
        <v>0.37479259370198698</v>
      </c>
      <c r="W1086">
        <v>0.65048184635139705</v>
      </c>
      <c r="X1086">
        <v>0</v>
      </c>
      <c r="Y1086">
        <v>0</v>
      </c>
    </row>
    <row r="1087" spans="1:25" x14ac:dyDescent="0.2">
      <c r="A1087" t="s">
        <v>4021</v>
      </c>
      <c r="B1087" t="s">
        <v>4022</v>
      </c>
      <c r="C1087" t="s">
        <v>4023</v>
      </c>
      <c r="D1087" t="s">
        <v>4024</v>
      </c>
      <c r="E1087" t="s">
        <v>4022</v>
      </c>
      <c r="F1087" t="s">
        <v>28</v>
      </c>
      <c r="G1087" t="s">
        <v>4022</v>
      </c>
      <c r="H1087" t="str">
        <f>"prdh-1"</f>
        <v>prdh-1</v>
      </c>
      <c r="I1087" t="s">
        <v>4024</v>
      </c>
      <c r="J1087">
        <v>12.8767349591421</v>
      </c>
      <c r="K1087">
        <v>13.009586285210601</v>
      </c>
      <c r="L1087">
        <v>12.8519553534188</v>
      </c>
      <c r="M1087">
        <v>12.969456782704</v>
      </c>
      <c r="N1087">
        <v>13.1817003014107</v>
      </c>
      <c r="O1087">
        <v>13.241061313504799</v>
      </c>
      <c r="P1087">
        <v>0.21798059994935101</v>
      </c>
      <c r="Q1087">
        <v>-0.30082817652064398</v>
      </c>
      <c r="R1087">
        <v>0.73678937641934605</v>
      </c>
      <c r="S1087">
        <v>12.5868027530615</v>
      </c>
      <c r="T1087">
        <v>0.88687118057115399</v>
      </c>
      <c r="U1087">
        <v>-6.6480026549876303</v>
      </c>
      <c r="V1087">
        <v>0.38759876637087398</v>
      </c>
      <c r="W1087">
        <v>0.66245861190575805</v>
      </c>
      <c r="X1087">
        <v>0</v>
      </c>
      <c r="Y1087">
        <v>0</v>
      </c>
    </row>
    <row r="1088" spans="1:25" x14ac:dyDescent="0.2">
      <c r="A1088" t="s">
        <v>4025</v>
      </c>
      <c r="B1088" t="s">
        <v>4026</v>
      </c>
      <c r="C1088" t="s">
        <v>4027</v>
      </c>
      <c r="D1088" t="s">
        <v>4028</v>
      </c>
      <c r="E1088" t="s">
        <v>4026</v>
      </c>
      <c r="F1088" t="s">
        <v>28</v>
      </c>
      <c r="G1088" t="s">
        <v>4026</v>
      </c>
      <c r="H1088" t="str">
        <f>"mog-4"</f>
        <v>mog-4</v>
      </c>
      <c r="I1088" t="s">
        <v>4028</v>
      </c>
      <c r="J1088">
        <v>13.3330787319897</v>
      </c>
      <c r="K1088">
        <v>13.0650063110684</v>
      </c>
      <c r="L1088">
        <v>13.371328057368601</v>
      </c>
      <c r="M1088">
        <v>15.0954403372054</v>
      </c>
      <c r="N1088">
        <v>15.4103368887536</v>
      </c>
      <c r="O1088">
        <v>14.8213474554915</v>
      </c>
      <c r="P1088">
        <v>1.85257052700794</v>
      </c>
      <c r="Q1088">
        <v>1.3784737878837099</v>
      </c>
      <c r="R1088">
        <v>2.3266672661321701</v>
      </c>
      <c r="S1088">
        <v>14.343157151786199</v>
      </c>
      <c r="T1088">
        <v>8.2129711148310296</v>
      </c>
      <c r="U1088">
        <v>7.4490002599303997</v>
      </c>
      <c r="V1088" s="2">
        <v>1.75564165688324E-7</v>
      </c>
      <c r="W1088" s="2">
        <v>1.52481659243968E-5</v>
      </c>
      <c r="X1088">
        <v>1</v>
      </c>
      <c r="Y1088">
        <v>1</v>
      </c>
    </row>
    <row r="1089" spans="1:25" x14ac:dyDescent="0.2">
      <c r="A1089" t="s">
        <v>4029</v>
      </c>
      <c r="B1089" t="s">
        <v>4030</v>
      </c>
      <c r="C1089" t="s">
        <v>4031</v>
      </c>
      <c r="D1089" t="s">
        <v>4032</v>
      </c>
      <c r="E1089" t="s">
        <v>4030</v>
      </c>
      <c r="F1089" t="s">
        <v>28</v>
      </c>
      <c r="G1089" t="s">
        <v>4030</v>
      </c>
      <c r="H1089" t="str">
        <f>"dlat-2"</f>
        <v>dlat-2</v>
      </c>
      <c r="I1089" t="s">
        <v>4032</v>
      </c>
      <c r="J1089">
        <v>14.3538741288796</v>
      </c>
      <c r="K1089">
        <v>14.359976437674399</v>
      </c>
      <c r="L1089">
        <v>14.327158608490199</v>
      </c>
      <c r="M1089">
        <v>14.313169139305</v>
      </c>
      <c r="N1089">
        <v>14.3627876696422</v>
      </c>
      <c r="O1089">
        <v>14.304044909624</v>
      </c>
      <c r="P1089">
        <v>-2.0335818824293E-2</v>
      </c>
      <c r="Q1089">
        <v>-0.45028222880628299</v>
      </c>
      <c r="R1089">
        <v>0.40961059115769699</v>
      </c>
      <c r="S1089">
        <v>13.9991569573913</v>
      </c>
      <c r="T1089">
        <v>-9.9412237841019394E-2</v>
      </c>
      <c r="U1089">
        <v>-7.0469086693636296</v>
      </c>
      <c r="V1089">
        <v>0.92191616136074905</v>
      </c>
      <c r="W1089">
        <v>0.97210472750093202</v>
      </c>
      <c r="X1089">
        <v>0</v>
      </c>
      <c r="Y1089">
        <v>0</v>
      </c>
    </row>
    <row r="1090" spans="1:25" x14ac:dyDescent="0.2">
      <c r="A1090" t="s">
        <v>4033</v>
      </c>
      <c r="B1090" t="s">
        <v>4034</v>
      </c>
      <c r="C1090" t="s">
        <v>4035</v>
      </c>
      <c r="D1090" t="s">
        <v>4036</v>
      </c>
      <c r="E1090" t="s">
        <v>4034</v>
      </c>
      <c r="F1090" t="s">
        <v>28</v>
      </c>
      <c r="G1090" t="s">
        <v>4034</v>
      </c>
      <c r="H1090" t="str">
        <f>"lipt-1"</f>
        <v>lipt-1</v>
      </c>
      <c r="I1090" t="s">
        <v>4036</v>
      </c>
      <c r="J1090">
        <v>13.9085222621804</v>
      </c>
      <c r="K1090">
        <v>14.4627369720759</v>
      </c>
      <c r="L1090">
        <v>14.0358218289036</v>
      </c>
      <c r="M1090">
        <v>13.598477761757101</v>
      </c>
      <c r="N1090">
        <v>13.4588900033343</v>
      </c>
      <c r="O1090">
        <v>13.6499420905895</v>
      </c>
      <c r="P1090">
        <v>-0.56659040249300896</v>
      </c>
      <c r="Q1090">
        <v>-1.2734625082748301</v>
      </c>
      <c r="R1090">
        <v>0.14028170328881501</v>
      </c>
      <c r="S1090">
        <v>13.8383582345734</v>
      </c>
      <c r="T1090">
        <v>-1.6919143844686699</v>
      </c>
      <c r="U1090">
        <v>-5.6627566723622298</v>
      </c>
      <c r="V1090">
        <v>0.109021900643007</v>
      </c>
      <c r="W1090">
        <v>0.34168646360147398</v>
      </c>
      <c r="X1090">
        <v>0</v>
      </c>
      <c r="Y1090">
        <v>0</v>
      </c>
    </row>
    <row r="1091" spans="1:25" x14ac:dyDescent="0.2">
      <c r="A1091" t="s">
        <v>4037</v>
      </c>
      <c r="B1091" t="s">
        <v>4038</v>
      </c>
      <c r="C1091" t="s">
        <v>14364</v>
      </c>
      <c r="D1091" t="s">
        <v>4039</v>
      </c>
      <c r="E1091" t="s">
        <v>4038</v>
      </c>
      <c r="F1091" t="s">
        <v>28</v>
      </c>
      <c r="G1091" t="s">
        <v>4038</v>
      </c>
      <c r="H1091" t="str">
        <f>"F17B5.1"</f>
        <v>F17B5.1</v>
      </c>
      <c r="I1091" t="s">
        <v>4039</v>
      </c>
      <c r="J1091">
        <v>12.9340879445773</v>
      </c>
      <c r="K1091">
        <v>12.9672409777063</v>
      </c>
      <c r="L1091">
        <v>11.9848585536143</v>
      </c>
      <c r="M1091">
        <v>13.899986884612099</v>
      </c>
      <c r="N1091">
        <v>13.4626114557125</v>
      </c>
      <c r="O1091">
        <v>13.6174152060405</v>
      </c>
      <c r="P1091">
        <v>1.0312753568224</v>
      </c>
      <c r="Q1091">
        <v>1.8873334558726601E-3</v>
      </c>
      <c r="R1091">
        <v>2.0606633801889198</v>
      </c>
      <c r="S1091">
        <v>12.6721518697909</v>
      </c>
      <c r="T1091">
        <v>2.23543692028744</v>
      </c>
      <c r="U1091">
        <v>-4.8452769475411701</v>
      </c>
      <c r="V1091">
        <v>4.9655560556490001E-2</v>
      </c>
      <c r="W1091">
        <v>0.22163202151963601</v>
      </c>
      <c r="X1091">
        <v>1</v>
      </c>
      <c r="Y1091">
        <v>0</v>
      </c>
    </row>
    <row r="1092" spans="1:25" x14ac:dyDescent="0.2">
      <c r="A1092" t="s">
        <v>4040</v>
      </c>
      <c r="B1092" t="s">
        <v>4041</v>
      </c>
      <c r="C1092" t="s">
        <v>4042</v>
      </c>
      <c r="D1092" t="s">
        <v>4043</v>
      </c>
      <c r="E1092" t="s">
        <v>4041</v>
      </c>
      <c r="F1092" t="s">
        <v>28</v>
      </c>
      <c r="G1092" t="s">
        <v>4041</v>
      </c>
      <c r="H1092" t="str">
        <f>"tps-2"</f>
        <v>tps-2</v>
      </c>
      <c r="I1092" t="s">
        <v>4043</v>
      </c>
      <c r="J1092">
        <v>13.4863717773073</v>
      </c>
      <c r="K1092">
        <v>13.076609583388599</v>
      </c>
      <c r="L1092">
        <v>13.1796923286816</v>
      </c>
      <c r="M1092">
        <v>13.7225260842379</v>
      </c>
      <c r="N1092">
        <v>14.070176905815</v>
      </c>
      <c r="O1092">
        <v>13.626558355285001</v>
      </c>
      <c r="P1092">
        <v>0.55886255198676904</v>
      </c>
      <c r="Q1092">
        <v>0.124782913894803</v>
      </c>
      <c r="R1092">
        <v>0.99294219007873397</v>
      </c>
      <c r="S1092">
        <v>13.218785296545001</v>
      </c>
      <c r="T1092">
        <v>2.7060019697908602</v>
      </c>
      <c r="U1092">
        <v>-3.83979975273486</v>
      </c>
      <c r="V1092">
        <v>1.4517564574022399E-2</v>
      </c>
      <c r="W1092">
        <v>0.11099662334451001</v>
      </c>
      <c r="X1092">
        <v>0</v>
      </c>
      <c r="Y1092">
        <v>0</v>
      </c>
    </row>
    <row r="1093" spans="1:25" x14ac:dyDescent="0.2">
      <c r="A1093" t="s">
        <v>4044</v>
      </c>
      <c r="B1093" t="s">
        <v>4045</v>
      </c>
      <c r="C1093" t="s">
        <v>14365</v>
      </c>
      <c r="D1093" t="s">
        <v>3883</v>
      </c>
      <c r="E1093" t="s">
        <v>4045</v>
      </c>
      <c r="F1093" t="s">
        <v>28</v>
      </c>
      <c r="G1093" t="s">
        <v>4045</v>
      </c>
      <c r="H1093" t="str">
        <f>"F21H7.5"</f>
        <v>F21H7.5</v>
      </c>
      <c r="I1093" t="s">
        <v>3883</v>
      </c>
      <c r="J1093">
        <v>17.994898665741701</v>
      </c>
      <c r="K1093">
        <v>17.575656827510201</v>
      </c>
      <c r="L1093">
        <v>18.715448218550701</v>
      </c>
      <c r="M1093">
        <v>16.853377375794299</v>
      </c>
      <c r="N1093">
        <v>16.5745635986754</v>
      </c>
      <c r="O1093">
        <v>16.672044557921399</v>
      </c>
      <c r="P1093">
        <v>-1.39533939313717</v>
      </c>
      <c r="Q1093">
        <v>-2.4140371627296502</v>
      </c>
      <c r="R1093">
        <v>-0.376641623544687</v>
      </c>
      <c r="S1093">
        <v>17.176825151608899</v>
      </c>
      <c r="T1093">
        <v>-2.87890287387716</v>
      </c>
      <c r="U1093">
        <v>-3.4885188554057298</v>
      </c>
      <c r="V1093">
        <v>1.00323321118038E-2</v>
      </c>
      <c r="W1093">
        <v>8.77559373435738E-2</v>
      </c>
      <c r="X1093">
        <v>-1</v>
      </c>
      <c r="Y1093">
        <v>0</v>
      </c>
    </row>
    <row r="1094" spans="1:25" x14ac:dyDescent="0.2">
      <c r="A1094" t="s">
        <v>4046</v>
      </c>
      <c r="B1094" t="s">
        <v>4047</v>
      </c>
      <c r="C1094" t="s">
        <v>4048</v>
      </c>
      <c r="D1094" t="s">
        <v>4049</v>
      </c>
      <c r="E1094" t="s">
        <v>4047</v>
      </c>
      <c r="F1094" t="s">
        <v>28</v>
      </c>
      <c r="G1094" t="s">
        <v>4047</v>
      </c>
      <c r="H1094" t="str">
        <f>"cth-1"</f>
        <v>cth-1</v>
      </c>
      <c r="I1094" t="s">
        <v>4049</v>
      </c>
      <c r="J1094">
        <v>14.8725910969043</v>
      </c>
      <c r="K1094">
        <v>14.930651081473201</v>
      </c>
      <c r="L1094">
        <v>14.897516536906901</v>
      </c>
      <c r="M1094">
        <v>14.225092482141999</v>
      </c>
      <c r="N1094">
        <v>14.2706373313854</v>
      </c>
      <c r="O1094">
        <v>13.8496960778652</v>
      </c>
      <c r="P1094">
        <v>-0.785110941297265</v>
      </c>
      <c r="Q1094">
        <v>-1.2317567877336399</v>
      </c>
      <c r="R1094">
        <v>-0.33846509486088799</v>
      </c>
      <c r="S1094">
        <v>14.799609618399099</v>
      </c>
      <c r="T1094">
        <v>-3.7103744715657698</v>
      </c>
      <c r="U1094">
        <v>-1.7727320161704001</v>
      </c>
      <c r="V1094">
        <v>1.7539594070663199E-3</v>
      </c>
      <c r="W1094">
        <v>2.5825266563772799E-2</v>
      </c>
      <c r="X1094">
        <v>0</v>
      </c>
      <c r="Y1094">
        <v>0</v>
      </c>
    </row>
    <row r="1095" spans="1:25" x14ac:dyDescent="0.2">
      <c r="A1095" t="s">
        <v>4050</v>
      </c>
      <c r="B1095" t="s">
        <v>4051</v>
      </c>
      <c r="C1095" t="s">
        <v>14366</v>
      </c>
      <c r="D1095" t="s">
        <v>4052</v>
      </c>
      <c r="E1095" t="s">
        <v>4051</v>
      </c>
      <c r="F1095" t="s">
        <v>28</v>
      </c>
      <c r="G1095" t="s">
        <v>4051</v>
      </c>
      <c r="H1095" t="str">
        <f>"F22B8.7"</f>
        <v>F22B8.7</v>
      </c>
      <c r="I1095" t="s">
        <v>4052</v>
      </c>
      <c r="J1095">
        <v>14.542268924056399</v>
      </c>
      <c r="K1095">
        <v>14.6083720648157</v>
      </c>
      <c r="L1095">
        <v>14.5348443248482</v>
      </c>
      <c r="M1095">
        <v>14.3601587670105</v>
      </c>
      <c r="N1095">
        <v>14.5331529078994</v>
      </c>
      <c r="O1095">
        <v>14.6155107855203</v>
      </c>
      <c r="P1095">
        <v>-5.88876177633555E-2</v>
      </c>
      <c r="Q1095">
        <v>-0.44890867389434602</v>
      </c>
      <c r="R1095">
        <v>0.33113343836763498</v>
      </c>
      <c r="S1095">
        <v>14.6113205123391</v>
      </c>
      <c r="T1095">
        <v>-0.31734265064061801</v>
      </c>
      <c r="U1095">
        <v>-6.99945892968785</v>
      </c>
      <c r="V1095">
        <v>0.75465637304449895</v>
      </c>
      <c r="W1095">
        <v>0.89622329849883298</v>
      </c>
      <c r="X1095">
        <v>0</v>
      </c>
      <c r="Y1095">
        <v>0</v>
      </c>
    </row>
    <row r="1096" spans="1:25" x14ac:dyDescent="0.2">
      <c r="A1096" t="s">
        <v>4053</v>
      </c>
      <c r="B1096" t="s">
        <v>4054</v>
      </c>
      <c r="C1096" t="s">
        <v>14367</v>
      </c>
      <c r="D1096" t="s">
        <v>412</v>
      </c>
      <c r="E1096" t="s">
        <v>4054</v>
      </c>
      <c r="F1096" t="s">
        <v>28</v>
      </c>
      <c r="G1096" t="s">
        <v>4054</v>
      </c>
      <c r="H1096" t="str">
        <f>"F22G12.4"</f>
        <v>F22G12.4</v>
      </c>
      <c r="I1096" t="s">
        <v>412</v>
      </c>
      <c r="J1096">
        <v>12.661285847249101</v>
      </c>
      <c r="K1096">
        <v>12.615152617969899</v>
      </c>
      <c r="L1096">
        <v>12.8221521346602</v>
      </c>
      <c r="M1096">
        <v>13.360311885114299</v>
      </c>
      <c r="N1096">
        <v>13.6180350000282</v>
      </c>
      <c r="O1096" t="s">
        <v>29</v>
      </c>
      <c r="P1096">
        <v>0.78964324261151098</v>
      </c>
      <c r="Q1096">
        <v>0.13042463325638001</v>
      </c>
      <c r="R1096">
        <v>1.4488618519666401</v>
      </c>
      <c r="S1096">
        <v>12.5667822395177</v>
      </c>
      <c r="T1096">
        <v>2.5709483824640098</v>
      </c>
      <c r="U1096">
        <v>-4.0757841293175501</v>
      </c>
      <c r="V1096">
        <v>2.2299290249932002E-2</v>
      </c>
      <c r="W1096">
        <v>0.145292261897563</v>
      </c>
      <c r="X1096">
        <v>0</v>
      </c>
      <c r="Y1096">
        <v>0</v>
      </c>
    </row>
    <row r="1097" spans="1:25" x14ac:dyDescent="0.2">
      <c r="A1097" t="s">
        <v>4055</v>
      </c>
      <c r="B1097" t="s">
        <v>4056</v>
      </c>
      <c r="C1097" t="s">
        <v>4057</v>
      </c>
      <c r="D1097" t="s">
        <v>4058</v>
      </c>
      <c r="E1097" t="s">
        <v>4056</v>
      </c>
      <c r="F1097" t="s">
        <v>28</v>
      </c>
      <c r="G1097" t="s">
        <v>4056</v>
      </c>
      <c r="H1097" t="str">
        <f>"exl-1"</f>
        <v>exl-1</v>
      </c>
      <c r="I1097" t="s">
        <v>4058</v>
      </c>
      <c r="J1097" t="s">
        <v>29</v>
      </c>
      <c r="K1097">
        <v>10.212146093974599</v>
      </c>
      <c r="L1097" t="s">
        <v>29</v>
      </c>
      <c r="M1097" t="s">
        <v>29</v>
      </c>
      <c r="N1097" t="s">
        <v>29</v>
      </c>
      <c r="O1097" t="s">
        <v>29</v>
      </c>
      <c r="P1097" t="s">
        <v>29</v>
      </c>
      <c r="Q1097" t="s">
        <v>29</v>
      </c>
      <c r="R1097" t="s">
        <v>29</v>
      </c>
      <c r="S1097">
        <v>11.475562836526199</v>
      </c>
      <c r="T1097" t="s">
        <v>29</v>
      </c>
      <c r="U1097" t="s">
        <v>29</v>
      </c>
      <c r="V1097" t="s">
        <v>29</v>
      </c>
      <c r="W1097" t="s">
        <v>29</v>
      </c>
      <c r="X1097" t="s">
        <v>29</v>
      </c>
      <c r="Y1097" t="s">
        <v>29</v>
      </c>
    </row>
    <row r="1098" spans="1:25" x14ac:dyDescent="0.2">
      <c r="A1098" t="s">
        <v>4059</v>
      </c>
      <c r="B1098" t="s">
        <v>4060</v>
      </c>
      <c r="C1098" t="s">
        <v>4061</v>
      </c>
      <c r="D1098" t="s">
        <v>4062</v>
      </c>
      <c r="E1098" t="s">
        <v>4060</v>
      </c>
      <c r="F1098" t="s">
        <v>28</v>
      </c>
      <c r="G1098" t="s">
        <v>4060</v>
      </c>
      <c r="H1098" t="str">
        <f>"fkb-6"</f>
        <v>fkb-6</v>
      </c>
      <c r="I1098" t="s">
        <v>4062</v>
      </c>
      <c r="J1098">
        <v>14.9038452614476</v>
      </c>
      <c r="K1098">
        <v>14.740748436036201</v>
      </c>
      <c r="L1098">
        <v>14.7215673740747</v>
      </c>
      <c r="M1098">
        <v>16.212865123085901</v>
      </c>
      <c r="N1098">
        <v>16.105078080789301</v>
      </c>
      <c r="O1098">
        <v>15.9707456922647</v>
      </c>
      <c r="P1098">
        <v>1.30750927486045</v>
      </c>
      <c r="Q1098">
        <v>0.67512192815343197</v>
      </c>
      <c r="R1098">
        <v>1.93989662156748</v>
      </c>
      <c r="S1098">
        <v>15.8433931051868</v>
      </c>
      <c r="T1098">
        <v>4.3456437416462697</v>
      </c>
      <c r="U1098">
        <v>-0.31882136911282</v>
      </c>
      <c r="V1098">
        <v>3.9443294010754802E-4</v>
      </c>
      <c r="W1098">
        <v>9.0386252613377602E-3</v>
      </c>
      <c r="X1098">
        <v>1</v>
      </c>
      <c r="Y1098">
        <v>1</v>
      </c>
    </row>
    <row r="1099" spans="1:25" x14ac:dyDescent="0.2">
      <c r="A1099" t="s">
        <v>4063</v>
      </c>
      <c r="B1099" t="s">
        <v>4064</v>
      </c>
      <c r="C1099" t="s">
        <v>4065</v>
      </c>
      <c r="D1099" t="s">
        <v>4066</v>
      </c>
      <c r="E1099" t="s">
        <v>4064</v>
      </c>
      <c r="F1099" t="s">
        <v>28</v>
      </c>
      <c r="G1099" t="s">
        <v>4064</v>
      </c>
      <c r="H1099" t="str">
        <f>"mccc-1"</f>
        <v>mccc-1</v>
      </c>
      <c r="I1099" t="s">
        <v>4066</v>
      </c>
      <c r="J1099">
        <v>23.101691257400098</v>
      </c>
      <c r="K1099">
        <v>23.391634759558102</v>
      </c>
      <c r="L1099">
        <v>23.004067924646499</v>
      </c>
      <c r="M1099">
        <v>23.508411987491499</v>
      </c>
      <c r="N1099">
        <v>24.472019840268398</v>
      </c>
      <c r="O1099">
        <v>24.185041749315999</v>
      </c>
      <c r="P1099">
        <v>0.88935987849040299</v>
      </c>
      <c r="Q1099">
        <v>-0.203690822537692</v>
      </c>
      <c r="R1099">
        <v>1.9824105795185001</v>
      </c>
      <c r="S1099">
        <v>22.804287733600798</v>
      </c>
      <c r="T1099">
        <v>1.7101324164837099</v>
      </c>
      <c r="U1099">
        <v>-5.6333380900309002</v>
      </c>
      <c r="V1099">
        <v>0.104522704733037</v>
      </c>
      <c r="W1099">
        <v>0.33417018412997301</v>
      </c>
      <c r="X1099">
        <v>0</v>
      </c>
      <c r="Y1099">
        <v>0</v>
      </c>
    </row>
    <row r="1100" spans="1:25" x14ac:dyDescent="0.2">
      <c r="A1100" t="s">
        <v>4067</v>
      </c>
      <c r="B1100" t="s">
        <v>4068</v>
      </c>
      <c r="C1100" t="s">
        <v>4069</v>
      </c>
      <c r="D1100" t="s">
        <v>4070</v>
      </c>
      <c r="E1100" t="s">
        <v>4068</v>
      </c>
      <c r="F1100" t="s">
        <v>28</v>
      </c>
      <c r="G1100" t="s">
        <v>4068</v>
      </c>
      <c r="H1100" t="str">
        <f>"prp-18"</f>
        <v>prp-18</v>
      </c>
      <c r="I1100" t="s">
        <v>4070</v>
      </c>
      <c r="J1100">
        <v>11.0382609653243</v>
      </c>
      <c r="K1100" t="s">
        <v>29</v>
      </c>
      <c r="L1100">
        <v>9.80438413310236</v>
      </c>
      <c r="M1100">
        <v>11.200748153627901</v>
      </c>
      <c r="N1100" t="s">
        <v>29</v>
      </c>
      <c r="O1100">
        <v>11.176526079314399</v>
      </c>
      <c r="P1100">
        <v>0.76731456725778102</v>
      </c>
      <c r="Q1100">
        <v>-0.24635945426738201</v>
      </c>
      <c r="R1100">
        <v>1.78098858878294</v>
      </c>
      <c r="S1100">
        <v>11.186274707016899</v>
      </c>
      <c r="T1100">
        <v>1.6680260161621201</v>
      </c>
      <c r="U1100">
        <v>-5.5151664847486703</v>
      </c>
      <c r="V1100">
        <v>0.12376264627261099</v>
      </c>
      <c r="W1100">
        <v>0.36430536560900101</v>
      </c>
      <c r="X1100">
        <v>0</v>
      </c>
      <c r="Y1100">
        <v>0</v>
      </c>
    </row>
    <row r="1101" spans="1:25" x14ac:dyDescent="0.2">
      <c r="A1101" t="s">
        <v>4071</v>
      </c>
      <c r="B1101" t="s">
        <v>4072</v>
      </c>
      <c r="C1101" t="s">
        <v>14368</v>
      </c>
      <c r="D1101" t="s">
        <v>828</v>
      </c>
      <c r="E1101" t="s">
        <v>4072</v>
      </c>
      <c r="F1101" t="s">
        <v>28</v>
      </c>
      <c r="G1101" t="s">
        <v>4072</v>
      </c>
      <c r="H1101" t="str">
        <f>"F32B6.4"</f>
        <v>F32B6.4</v>
      </c>
      <c r="I1101" t="s">
        <v>828</v>
      </c>
      <c r="J1101">
        <v>11.7594155397297</v>
      </c>
      <c r="K1101" t="s">
        <v>29</v>
      </c>
      <c r="L1101">
        <v>11.978805264765599</v>
      </c>
      <c r="M1101" t="s">
        <v>29</v>
      </c>
      <c r="N1101" t="s">
        <v>29</v>
      </c>
      <c r="O1101" t="s">
        <v>29</v>
      </c>
      <c r="P1101" t="s">
        <v>29</v>
      </c>
      <c r="Q1101" t="s">
        <v>29</v>
      </c>
      <c r="R1101" t="s">
        <v>29</v>
      </c>
      <c r="S1101">
        <v>12.245336126360799</v>
      </c>
      <c r="T1101" t="s">
        <v>29</v>
      </c>
      <c r="U1101" t="s">
        <v>29</v>
      </c>
      <c r="V1101" t="s">
        <v>29</v>
      </c>
      <c r="W1101" t="s">
        <v>29</v>
      </c>
      <c r="X1101" t="s">
        <v>29</v>
      </c>
      <c r="Y1101" t="s">
        <v>29</v>
      </c>
    </row>
    <row r="1102" spans="1:25" x14ac:dyDescent="0.2">
      <c r="A1102" t="s">
        <v>4073</v>
      </c>
      <c r="B1102" t="s">
        <v>4074</v>
      </c>
      <c r="C1102" t="s">
        <v>14369</v>
      </c>
      <c r="D1102" t="s">
        <v>3883</v>
      </c>
      <c r="E1102" t="s">
        <v>4074</v>
      </c>
      <c r="F1102" t="s">
        <v>28</v>
      </c>
      <c r="G1102" t="s">
        <v>4074</v>
      </c>
      <c r="H1102" t="str">
        <f>"F36D3.4"</f>
        <v>F36D3.4</v>
      </c>
      <c r="I1102" t="s">
        <v>3883</v>
      </c>
      <c r="J1102">
        <v>15.3855706393242</v>
      </c>
      <c r="K1102">
        <v>14.5278647296476</v>
      </c>
      <c r="L1102">
        <v>16.0286838185147</v>
      </c>
      <c r="M1102">
        <v>14.258630268988499</v>
      </c>
      <c r="N1102">
        <v>14.246334425447801</v>
      </c>
      <c r="O1102">
        <v>14.2571270885954</v>
      </c>
      <c r="P1102">
        <v>-1.0600091348182401</v>
      </c>
      <c r="Q1102">
        <v>-2.04964713952466</v>
      </c>
      <c r="R1102">
        <v>-7.0371130111823499E-2</v>
      </c>
      <c r="S1102">
        <v>14.530989687838501</v>
      </c>
      <c r="T1102">
        <v>-2.25126052406873</v>
      </c>
      <c r="U1102">
        <v>-4.7157872159036902</v>
      </c>
      <c r="V1102">
        <v>3.7179423847217598E-2</v>
      </c>
      <c r="W1102">
        <v>0.19154155693620001</v>
      </c>
      <c r="X1102">
        <v>-1</v>
      </c>
      <c r="Y1102">
        <v>0</v>
      </c>
    </row>
    <row r="1103" spans="1:25" x14ac:dyDescent="0.2">
      <c r="A1103" t="s">
        <v>4075</v>
      </c>
      <c r="B1103" t="s">
        <v>4076</v>
      </c>
      <c r="C1103" t="s">
        <v>4077</v>
      </c>
      <c r="D1103" t="s">
        <v>130</v>
      </c>
      <c r="E1103" t="s">
        <v>4076</v>
      </c>
      <c r="F1103" t="s">
        <v>28</v>
      </c>
      <c r="G1103" t="s">
        <v>4076</v>
      </c>
      <c r="H1103" t="str">
        <f>"hinf-1"</f>
        <v>hinf-1</v>
      </c>
      <c r="I1103" t="s">
        <v>130</v>
      </c>
      <c r="J1103" t="s">
        <v>29</v>
      </c>
      <c r="K1103" t="s">
        <v>29</v>
      </c>
      <c r="L1103" t="s">
        <v>29</v>
      </c>
      <c r="M1103" t="s">
        <v>29</v>
      </c>
      <c r="N1103" t="s">
        <v>29</v>
      </c>
      <c r="O1103" t="s">
        <v>29</v>
      </c>
      <c r="P1103" t="s">
        <v>29</v>
      </c>
      <c r="Q1103" t="s">
        <v>29</v>
      </c>
      <c r="R1103" t="s">
        <v>29</v>
      </c>
      <c r="S1103">
        <v>11.8944408599616</v>
      </c>
      <c r="T1103" t="s">
        <v>29</v>
      </c>
      <c r="U1103" t="s">
        <v>29</v>
      </c>
      <c r="V1103" t="s">
        <v>29</v>
      </c>
      <c r="W1103" t="s">
        <v>29</v>
      </c>
      <c r="X1103" t="s">
        <v>29</v>
      </c>
      <c r="Y1103" t="s">
        <v>29</v>
      </c>
    </row>
    <row r="1104" spans="1:25" x14ac:dyDescent="0.2">
      <c r="A1104" t="s">
        <v>4078</v>
      </c>
      <c r="B1104" t="s">
        <v>4079</v>
      </c>
      <c r="C1104" t="s">
        <v>4080</v>
      </c>
      <c r="D1104" t="s">
        <v>4081</v>
      </c>
      <c r="E1104" t="s">
        <v>4079</v>
      </c>
      <c r="F1104" t="s">
        <v>28</v>
      </c>
      <c r="G1104" t="s">
        <v>4079</v>
      </c>
      <c r="H1104" t="str">
        <f>"uev-1"</f>
        <v>uev-1</v>
      </c>
      <c r="I1104" t="s">
        <v>4081</v>
      </c>
      <c r="J1104">
        <v>14.2425042456579</v>
      </c>
      <c r="K1104">
        <v>14.1574953550824</v>
      </c>
      <c r="L1104">
        <v>13.7978402375805</v>
      </c>
      <c r="M1104">
        <v>13.1622485268811</v>
      </c>
      <c r="N1104">
        <v>13.097044520864801</v>
      </c>
      <c r="O1104">
        <v>13.1303449986173</v>
      </c>
      <c r="P1104">
        <v>-0.93606726398591</v>
      </c>
      <c r="Q1104">
        <v>-1.4533118064911399</v>
      </c>
      <c r="R1104">
        <v>-0.41882272148067601</v>
      </c>
      <c r="S1104">
        <v>13.1010407080203</v>
      </c>
      <c r="T1104">
        <v>-3.8199805662683901</v>
      </c>
      <c r="U1104">
        <v>-1.53825305288286</v>
      </c>
      <c r="V1104">
        <v>1.3834417875666599E-3</v>
      </c>
      <c r="W1104">
        <v>2.20672528271663E-2</v>
      </c>
      <c r="X1104">
        <v>0</v>
      </c>
      <c r="Y1104">
        <v>0</v>
      </c>
    </row>
    <row r="1105" spans="1:25" x14ac:dyDescent="0.2">
      <c r="A1105" t="s">
        <v>4082</v>
      </c>
      <c r="B1105" t="s">
        <v>4083</v>
      </c>
      <c r="C1105" t="s">
        <v>14370</v>
      </c>
      <c r="D1105" t="s">
        <v>4084</v>
      </c>
      <c r="E1105" t="s">
        <v>4083</v>
      </c>
      <c r="F1105" t="s">
        <v>28</v>
      </c>
      <c r="G1105" t="s">
        <v>4083</v>
      </c>
      <c r="H1105" t="str">
        <f>"F39B2.3"</f>
        <v>F39B2.3</v>
      </c>
      <c r="I1105" t="s">
        <v>4084</v>
      </c>
      <c r="J1105">
        <v>12.851231441777999</v>
      </c>
      <c r="K1105">
        <v>13.165333789237399</v>
      </c>
      <c r="L1105">
        <v>12.756150080519101</v>
      </c>
      <c r="M1105">
        <v>12.628150627843899</v>
      </c>
      <c r="N1105">
        <v>12.7486878199079</v>
      </c>
      <c r="O1105">
        <v>12.410783807124099</v>
      </c>
      <c r="P1105">
        <v>-0.32836435221951799</v>
      </c>
      <c r="Q1105">
        <v>-0.82042582214002402</v>
      </c>
      <c r="R1105">
        <v>0.16369711770098799</v>
      </c>
      <c r="S1105">
        <v>12.3689593832189</v>
      </c>
      <c r="T1105">
        <v>-1.4085966681419799</v>
      </c>
      <c r="U1105">
        <v>-6.0662680954897201</v>
      </c>
      <c r="V1105">
        <v>0.17709191200416</v>
      </c>
      <c r="W1105">
        <v>0.43855181252780601</v>
      </c>
      <c r="X1105">
        <v>0</v>
      </c>
      <c r="Y1105">
        <v>0</v>
      </c>
    </row>
    <row r="1106" spans="1:25" x14ac:dyDescent="0.2">
      <c r="A1106" t="s">
        <v>4085</v>
      </c>
      <c r="B1106" t="s">
        <v>4086</v>
      </c>
      <c r="C1106" t="s">
        <v>4087</v>
      </c>
      <c r="D1106" t="s">
        <v>4088</v>
      </c>
      <c r="E1106" t="s">
        <v>4086</v>
      </c>
      <c r="F1106" t="s">
        <v>28</v>
      </c>
      <c r="G1106" t="s">
        <v>4086</v>
      </c>
      <c r="H1106" t="str">
        <f>"rps-26"</f>
        <v>rps-26</v>
      </c>
      <c r="I1106" t="s">
        <v>4088</v>
      </c>
      <c r="J1106">
        <v>18.0774857335037</v>
      </c>
      <c r="K1106">
        <v>18.2413482266311</v>
      </c>
      <c r="L1106">
        <v>18.430977585748401</v>
      </c>
      <c r="M1106">
        <v>17.892943428309302</v>
      </c>
      <c r="N1106">
        <v>17.721268172298601</v>
      </c>
      <c r="O1106">
        <v>17.486702407256001</v>
      </c>
      <c r="P1106">
        <v>-0.54963251267312097</v>
      </c>
      <c r="Q1106">
        <v>-0.95274829458391397</v>
      </c>
      <c r="R1106">
        <v>-0.14651673076232699</v>
      </c>
      <c r="S1106">
        <v>18.477650057680499</v>
      </c>
      <c r="T1106">
        <v>-2.8657290551723298</v>
      </c>
      <c r="U1106">
        <v>-3.5155727588919401</v>
      </c>
      <c r="V1106">
        <v>1.0320716661756E-2</v>
      </c>
      <c r="W1106">
        <v>9.0036493344112706E-2</v>
      </c>
      <c r="X1106">
        <v>0</v>
      </c>
      <c r="Y1106">
        <v>0</v>
      </c>
    </row>
    <row r="1107" spans="1:25" x14ac:dyDescent="0.2">
      <c r="A1107" t="s">
        <v>4089</v>
      </c>
      <c r="B1107" t="s">
        <v>4090</v>
      </c>
      <c r="C1107" t="s">
        <v>4091</v>
      </c>
      <c r="D1107" t="s">
        <v>4092</v>
      </c>
      <c r="E1107" t="s">
        <v>4090</v>
      </c>
      <c r="F1107" t="s">
        <v>28</v>
      </c>
      <c r="G1107" t="s">
        <v>4090</v>
      </c>
      <c r="H1107" t="str">
        <f>"mtx-1"</f>
        <v>mtx-1</v>
      </c>
      <c r="I1107" t="s">
        <v>4092</v>
      </c>
      <c r="J1107">
        <v>14.144952311743801</v>
      </c>
      <c r="K1107">
        <v>14.3929666253806</v>
      </c>
      <c r="L1107">
        <v>13.5751159292368</v>
      </c>
      <c r="M1107">
        <v>13.120700034064001</v>
      </c>
      <c r="N1107">
        <v>13.1692609861829</v>
      </c>
      <c r="O1107" t="s">
        <v>29</v>
      </c>
      <c r="P1107">
        <v>-0.89269777866361399</v>
      </c>
      <c r="Q1107">
        <v>-1.5006745086797399</v>
      </c>
      <c r="R1107">
        <v>-0.28472104864748898</v>
      </c>
      <c r="S1107">
        <v>13.872483260552</v>
      </c>
      <c r="T1107">
        <v>-3.1143471919656802</v>
      </c>
      <c r="U1107">
        <v>-2.9644808872111899</v>
      </c>
      <c r="V1107">
        <v>6.7181326439256298E-3</v>
      </c>
      <c r="W1107">
        <v>6.6852610468911305E-2</v>
      </c>
      <c r="X1107">
        <v>0</v>
      </c>
      <c r="Y1107">
        <v>0</v>
      </c>
    </row>
    <row r="1108" spans="1:25" x14ac:dyDescent="0.2">
      <c r="A1108" t="s">
        <v>4093</v>
      </c>
      <c r="B1108" t="s">
        <v>4094</v>
      </c>
      <c r="C1108" t="s">
        <v>4095</v>
      </c>
      <c r="D1108" t="s">
        <v>4096</v>
      </c>
      <c r="E1108" t="s">
        <v>4094</v>
      </c>
      <c r="F1108" t="s">
        <v>28</v>
      </c>
      <c r="G1108" t="s">
        <v>4094</v>
      </c>
      <c r="H1108" t="str">
        <f>"ife-1"</f>
        <v>ife-1</v>
      </c>
      <c r="I1108" t="s">
        <v>4096</v>
      </c>
      <c r="J1108">
        <v>14.746466981267</v>
      </c>
      <c r="K1108">
        <v>14.558611470290799</v>
      </c>
      <c r="L1108">
        <v>14.919403402574501</v>
      </c>
      <c r="M1108">
        <v>14.243222245828401</v>
      </c>
      <c r="N1108">
        <v>14.5340578632368</v>
      </c>
      <c r="O1108">
        <v>14.258227572982801</v>
      </c>
      <c r="P1108">
        <v>-0.39632472402806601</v>
      </c>
      <c r="Q1108">
        <v>-0.76697455367365797</v>
      </c>
      <c r="R1108">
        <v>-2.5674894382473799E-2</v>
      </c>
      <c r="S1108">
        <v>14.7633357088874</v>
      </c>
      <c r="T1108">
        <v>-2.2473974004545498</v>
      </c>
      <c r="U1108">
        <v>-4.72287269828057</v>
      </c>
      <c r="V1108">
        <v>3.7468626617294297E-2</v>
      </c>
      <c r="W1108">
        <v>0.19230743061936201</v>
      </c>
      <c r="X1108">
        <v>0</v>
      </c>
      <c r="Y1108">
        <v>0</v>
      </c>
    </row>
    <row r="1109" spans="1:25" x14ac:dyDescent="0.2">
      <c r="A1109" t="s">
        <v>4097</v>
      </c>
      <c r="B1109" t="s">
        <v>4098</v>
      </c>
      <c r="C1109" t="s">
        <v>4099</v>
      </c>
      <c r="D1109" t="s">
        <v>4100</v>
      </c>
      <c r="E1109" t="s">
        <v>4098</v>
      </c>
      <c r="F1109" t="s">
        <v>28</v>
      </c>
      <c r="G1109" t="s">
        <v>4098</v>
      </c>
      <c r="H1109" t="str">
        <f>"acaa-2"</f>
        <v>acaa-2</v>
      </c>
      <c r="I1109" t="s">
        <v>4100</v>
      </c>
      <c r="J1109">
        <v>14.5977271114881</v>
      </c>
      <c r="K1109">
        <v>14.527530704494501</v>
      </c>
      <c r="L1109">
        <v>14.602170998986301</v>
      </c>
      <c r="M1109">
        <v>14.752188424675699</v>
      </c>
      <c r="N1109">
        <v>15.2274003799551</v>
      </c>
      <c r="O1109">
        <v>15.4372530910862</v>
      </c>
      <c r="P1109">
        <v>0.56313769358270704</v>
      </c>
      <c r="Q1109">
        <v>0.12311855523769601</v>
      </c>
      <c r="R1109">
        <v>1.00315683192772</v>
      </c>
      <c r="S1109">
        <v>14.507702412013501</v>
      </c>
      <c r="T1109">
        <v>2.6898963442055499</v>
      </c>
      <c r="U1109">
        <v>-3.8720780468458398</v>
      </c>
      <c r="V1109">
        <v>1.5021725138223901E-2</v>
      </c>
      <c r="W1109">
        <v>0.11314975370319599</v>
      </c>
      <c r="X1109">
        <v>0</v>
      </c>
      <c r="Y1109">
        <v>0</v>
      </c>
    </row>
    <row r="1110" spans="1:25" x14ac:dyDescent="0.2">
      <c r="A1110" t="s">
        <v>4101</v>
      </c>
      <c r="B1110" t="s">
        <v>4102</v>
      </c>
      <c r="C1110" t="s">
        <v>4103</v>
      </c>
      <c r="D1110" t="s">
        <v>4104</v>
      </c>
      <c r="E1110" t="s">
        <v>4102</v>
      </c>
      <c r="F1110" t="s">
        <v>28</v>
      </c>
      <c r="G1110" t="s">
        <v>4102</v>
      </c>
      <c r="H1110" t="str">
        <f>"nep-17"</f>
        <v>nep-17</v>
      </c>
      <c r="I1110" t="s">
        <v>4104</v>
      </c>
      <c r="J1110">
        <v>12.659692379269201</v>
      </c>
      <c r="K1110">
        <v>11.480729453955201</v>
      </c>
      <c r="L1110">
        <v>12.886621218256799</v>
      </c>
      <c r="M1110">
        <v>12.299464249839501</v>
      </c>
      <c r="N1110">
        <v>13.012457914256601</v>
      </c>
      <c r="O1110">
        <v>14.236941647916201</v>
      </c>
      <c r="P1110">
        <v>0.84060692017703298</v>
      </c>
      <c r="Q1110">
        <v>-8.3728048028667304E-2</v>
      </c>
      <c r="R1110">
        <v>1.7649418883827299</v>
      </c>
      <c r="S1110">
        <v>12.6499378252566</v>
      </c>
      <c r="T1110">
        <v>1.91961259648074</v>
      </c>
      <c r="U1110">
        <v>-5.3010840248172597</v>
      </c>
      <c r="V1110">
        <v>7.19564517430092E-2</v>
      </c>
      <c r="W1110">
        <v>0.272983527005208</v>
      </c>
      <c r="X1110">
        <v>0</v>
      </c>
      <c r="Y1110">
        <v>0</v>
      </c>
    </row>
    <row r="1111" spans="1:25" x14ac:dyDescent="0.2">
      <c r="A1111" t="s">
        <v>4105</v>
      </c>
      <c r="B1111" t="s">
        <v>4106</v>
      </c>
      <c r="C1111" t="s">
        <v>4107</v>
      </c>
      <c r="D1111" t="s">
        <v>2432</v>
      </c>
      <c r="E1111" t="s">
        <v>4106</v>
      </c>
      <c r="F1111" t="s">
        <v>28</v>
      </c>
      <c r="G1111" t="s">
        <v>4106</v>
      </c>
      <c r="H1111" t="str">
        <f>"btb-20"</f>
        <v>btb-20</v>
      </c>
      <c r="I1111" t="s">
        <v>2432</v>
      </c>
      <c r="J1111" t="s">
        <v>29</v>
      </c>
      <c r="K1111">
        <v>9.9753709885587192</v>
      </c>
      <c r="L1111" t="s">
        <v>29</v>
      </c>
      <c r="M1111" t="s">
        <v>29</v>
      </c>
      <c r="N1111" t="s">
        <v>29</v>
      </c>
      <c r="O1111" t="s">
        <v>29</v>
      </c>
      <c r="P1111" t="s">
        <v>29</v>
      </c>
      <c r="Q1111" t="s">
        <v>29</v>
      </c>
      <c r="R1111" t="s">
        <v>29</v>
      </c>
      <c r="S1111">
        <v>11.5113996240514</v>
      </c>
      <c r="T1111" t="s">
        <v>29</v>
      </c>
      <c r="U1111" t="s">
        <v>29</v>
      </c>
      <c r="V1111" t="s">
        <v>29</v>
      </c>
      <c r="W1111" t="s">
        <v>29</v>
      </c>
      <c r="X1111" t="s">
        <v>29</v>
      </c>
      <c r="Y1111" t="s">
        <v>29</v>
      </c>
    </row>
    <row r="1112" spans="1:25" x14ac:dyDescent="0.2">
      <c r="A1112" t="s">
        <v>4108</v>
      </c>
      <c r="B1112" t="s">
        <v>4109</v>
      </c>
      <c r="C1112" t="s">
        <v>4110</v>
      </c>
      <c r="D1112" t="s">
        <v>4111</v>
      </c>
      <c r="E1112" t="s">
        <v>4109</v>
      </c>
      <c r="F1112" t="s">
        <v>28</v>
      </c>
      <c r="G1112" t="s">
        <v>4109</v>
      </c>
      <c r="H1112" t="str">
        <f>"cbd-1"</f>
        <v>cbd-1</v>
      </c>
      <c r="I1112" t="s">
        <v>4111</v>
      </c>
      <c r="J1112">
        <v>14.609844624770099</v>
      </c>
      <c r="K1112">
        <v>14.8300850567372</v>
      </c>
      <c r="L1112">
        <v>16.245253847933402</v>
      </c>
      <c r="M1112">
        <v>15.474993017586501</v>
      </c>
      <c r="N1112">
        <v>15.6836066453115</v>
      </c>
      <c r="O1112">
        <v>14.7493207270222</v>
      </c>
      <c r="P1112">
        <v>7.4245620159814493E-2</v>
      </c>
      <c r="Q1112">
        <v>-1.0223150515766899</v>
      </c>
      <c r="R1112">
        <v>1.17080629189632</v>
      </c>
      <c r="S1112">
        <v>15.5495741182561</v>
      </c>
      <c r="T1112">
        <v>0.142308449379701</v>
      </c>
      <c r="U1112">
        <v>-7.0414793091443704</v>
      </c>
      <c r="V1112">
        <v>0.88842635969670702</v>
      </c>
      <c r="W1112">
        <v>0.96044497490135705</v>
      </c>
      <c r="X1112">
        <v>0</v>
      </c>
      <c r="Y1112">
        <v>0</v>
      </c>
    </row>
    <row r="1113" spans="1:25" x14ac:dyDescent="0.2">
      <c r="A1113" t="s">
        <v>4112</v>
      </c>
      <c r="B1113" t="s">
        <v>4113</v>
      </c>
      <c r="C1113" t="s">
        <v>4114</v>
      </c>
      <c r="D1113" t="s">
        <v>4115</v>
      </c>
      <c r="E1113" t="s">
        <v>4113</v>
      </c>
      <c r="F1113" t="s">
        <v>28</v>
      </c>
      <c r="G1113" t="s">
        <v>4113</v>
      </c>
      <c r="H1113" t="str">
        <f>"erfa-3"</f>
        <v>erfa-3</v>
      </c>
      <c r="I1113" t="s">
        <v>4115</v>
      </c>
      <c r="J1113">
        <v>14.868496968503599</v>
      </c>
      <c r="K1113">
        <v>14.5904233236647</v>
      </c>
      <c r="L1113">
        <v>14.616835287969201</v>
      </c>
      <c r="M1113">
        <v>18.349350381159599</v>
      </c>
      <c r="N1113">
        <v>18.4805757333381</v>
      </c>
      <c r="O1113">
        <v>18.027461285054699</v>
      </c>
      <c r="P1113">
        <v>3.5938772731383199</v>
      </c>
      <c r="Q1113">
        <v>2.8234371511501002</v>
      </c>
      <c r="R1113">
        <v>4.3643173951265304</v>
      </c>
      <c r="S1113">
        <v>17.053658311015599</v>
      </c>
      <c r="T1113">
        <v>9.8043061516106693</v>
      </c>
      <c r="U1113">
        <v>10.077765920921699</v>
      </c>
      <c r="V1113" s="2">
        <v>1.27815715934335E-8</v>
      </c>
      <c r="W1113" s="2">
        <v>2.1890123139490901E-6</v>
      </c>
      <c r="X1113">
        <v>1</v>
      </c>
      <c r="Y1113">
        <v>1</v>
      </c>
    </row>
    <row r="1114" spans="1:25" x14ac:dyDescent="0.2">
      <c r="A1114" t="s">
        <v>4116</v>
      </c>
      <c r="B1114" t="s">
        <v>4117</v>
      </c>
      <c r="C1114" t="s">
        <v>4118</v>
      </c>
      <c r="D1114" t="s">
        <v>4119</v>
      </c>
      <c r="E1114" t="s">
        <v>4117</v>
      </c>
      <c r="F1114" t="s">
        <v>28</v>
      </c>
      <c r="G1114" t="s">
        <v>4117</v>
      </c>
      <c r="H1114" t="str">
        <f>"scb-1"</f>
        <v>scb-1</v>
      </c>
      <c r="I1114" t="s">
        <v>4119</v>
      </c>
      <c r="J1114" t="s">
        <v>29</v>
      </c>
      <c r="K1114" t="s">
        <v>29</v>
      </c>
      <c r="L1114" t="s">
        <v>29</v>
      </c>
      <c r="M1114" t="s">
        <v>29</v>
      </c>
      <c r="N1114" t="s">
        <v>29</v>
      </c>
      <c r="O1114" t="s">
        <v>29</v>
      </c>
      <c r="P1114" t="s">
        <v>29</v>
      </c>
      <c r="Q1114" t="s">
        <v>29</v>
      </c>
      <c r="R1114" t="s">
        <v>29</v>
      </c>
      <c r="S1114">
        <v>13.4432145295285</v>
      </c>
      <c r="T1114" t="s">
        <v>29</v>
      </c>
      <c r="U1114" t="s">
        <v>29</v>
      </c>
      <c r="V1114" t="s">
        <v>29</v>
      </c>
      <c r="W1114" t="s">
        <v>29</v>
      </c>
      <c r="X1114" t="s">
        <v>29</v>
      </c>
      <c r="Y1114" t="s">
        <v>29</v>
      </c>
    </row>
    <row r="1115" spans="1:25" x14ac:dyDescent="0.2">
      <c r="A1115" t="s">
        <v>4120</v>
      </c>
      <c r="B1115" t="s">
        <v>4121</v>
      </c>
      <c r="C1115" t="s">
        <v>14371</v>
      </c>
      <c r="D1115" t="s">
        <v>4122</v>
      </c>
      <c r="E1115" t="s">
        <v>4121</v>
      </c>
      <c r="F1115" t="s">
        <v>28</v>
      </c>
      <c r="G1115" t="s">
        <v>4121</v>
      </c>
      <c r="H1115" t="str">
        <f>"H40L08.1"</f>
        <v>H40L08.1</v>
      </c>
      <c r="I1115" t="s">
        <v>4122</v>
      </c>
      <c r="J1115">
        <v>11.609634885754501</v>
      </c>
      <c r="K1115">
        <v>11.6300914110906</v>
      </c>
      <c r="L1115">
        <v>11.3289978984697</v>
      </c>
      <c r="M1115">
        <v>12.378254897691701</v>
      </c>
      <c r="N1115">
        <v>12.343147800313099</v>
      </c>
      <c r="O1115">
        <v>11.9048518117181</v>
      </c>
      <c r="P1115">
        <v>0.68584343813606097</v>
      </c>
      <c r="Q1115">
        <v>-0.13378370283421001</v>
      </c>
      <c r="R1115">
        <v>1.5054705791063301</v>
      </c>
      <c r="S1115">
        <v>11.7095942684845</v>
      </c>
      <c r="T1115">
        <v>1.7959760857346601</v>
      </c>
      <c r="U1115">
        <v>-5.5101109804700004</v>
      </c>
      <c r="V1115">
        <v>9.42672910033832E-2</v>
      </c>
      <c r="W1115">
        <v>0.31663243440927202</v>
      </c>
      <c r="X1115">
        <v>0</v>
      </c>
      <c r="Y1115">
        <v>0</v>
      </c>
    </row>
    <row r="1116" spans="1:25" x14ac:dyDescent="0.2">
      <c r="A1116" t="s">
        <v>4123</v>
      </c>
      <c r="B1116" t="s">
        <v>4124</v>
      </c>
      <c r="C1116" t="s">
        <v>4125</v>
      </c>
      <c r="D1116" t="s">
        <v>4126</v>
      </c>
      <c r="E1116" t="s">
        <v>4124</v>
      </c>
      <c r="F1116" t="s">
        <v>28</v>
      </c>
      <c r="G1116" t="s">
        <v>4124</v>
      </c>
      <c r="H1116" t="str">
        <f>"nhr-49"</f>
        <v>nhr-49</v>
      </c>
      <c r="I1116" t="s">
        <v>4126</v>
      </c>
      <c r="J1116" t="s">
        <v>29</v>
      </c>
      <c r="K1116" t="s">
        <v>29</v>
      </c>
      <c r="L1116" t="s">
        <v>29</v>
      </c>
      <c r="M1116">
        <v>12.8456206433691</v>
      </c>
      <c r="N1116" t="s">
        <v>29</v>
      </c>
      <c r="O1116">
        <v>12.883687503237599</v>
      </c>
      <c r="P1116" t="s">
        <v>29</v>
      </c>
      <c r="Q1116" t="s">
        <v>29</v>
      </c>
      <c r="R1116" t="s">
        <v>29</v>
      </c>
      <c r="S1116">
        <v>13.018538476167601</v>
      </c>
      <c r="T1116" t="s">
        <v>29</v>
      </c>
      <c r="U1116" t="s">
        <v>29</v>
      </c>
      <c r="V1116" t="s">
        <v>29</v>
      </c>
      <c r="W1116" t="s">
        <v>29</v>
      </c>
      <c r="X1116" t="s">
        <v>29</v>
      </c>
      <c r="Y1116" t="s">
        <v>29</v>
      </c>
    </row>
    <row r="1117" spans="1:25" x14ac:dyDescent="0.2">
      <c r="A1117" t="s">
        <v>4127</v>
      </c>
      <c r="B1117" t="s">
        <v>4128</v>
      </c>
      <c r="C1117" t="s">
        <v>14372</v>
      </c>
      <c r="D1117" t="s">
        <v>73</v>
      </c>
      <c r="E1117" t="s">
        <v>4128</v>
      </c>
      <c r="F1117" t="s">
        <v>28</v>
      </c>
      <c r="G1117" t="s">
        <v>4128</v>
      </c>
      <c r="H1117" t="str">
        <f>"K10G4.5"</f>
        <v>K10G4.5</v>
      </c>
      <c r="I1117" t="s">
        <v>73</v>
      </c>
      <c r="J1117" t="s">
        <v>29</v>
      </c>
      <c r="K1117" t="s">
        <v>29</v>
      </c>
      <c r="L1117" t="s">
        <v>29</v>
      </c>
      <c r="M1117" t="s">
        <v>29</v>
      </c>
      <c r="N1117" t="s">
        <v>29</v>
      </c>
      <c r="O1117" t="s">
        <v>29</v>
      </c>
      <c r="P1117" t="s">
        <v>29</v>
      </c>
      <c r="Q1117" t="s">
        <v>29</v>
      </c>
      <c r="R1117" t="s">
        <v>29</v>
      </c>
      <c r="S1117">
        <v>10.938664202203899</v>
      </c>
      <c r="T1117" t="s">
        <v>29</v>
      </c>
      <c r="U1117" t="s">
        <v>29</v>
      </c>
      <c r="V1117" t="s">
        <v>29</v>
      </c>
      <c r="W1117" t="s">
        <v>29</v>
      </c>
      <c r="X1117" t="s">
        <v>29</v>
      </c>
      <c r="Y1117" t="s">
        <v>29</v>
      </c>
    </row>
    <row r="1118" spans="1:25" x14ac:dyDescent="0.2">
      <c r="A1118" t="s">
        <v>4129</v>
      </c>
      <c r="B1118" t="s">
        <v>4130</v>
      </c>
      <c r="C1118" t="s">
        <v>4131</v>
      </c>
      <c r="D1118" t="s">
        <v>107</v>
      </c>
      <c r="E1118" t="s">
        <v>4130</v>
      </c>
      <c r="F1118" t="s">
        <v>28</v>
      </c>
      <c r="G1118" t="s">
        <v>4130</v>
      </c>
      <c r="H1118" t="str">
        <f>"vnut-1"</f>
        <v>vnut-1</v>
      </c>
      <c r="I1118" t="s">
        <v>107</v>
      </c>
      <c r="J1118">
        <v>11.146722143823901</v>
      </c>
      <c r="K1118">
        <v>12.369980817152999</v>
      </c>
      <c r="L1118">
        <v>12.74133387617</v>
      </c>
      <c r="M1118">
        <v>12.7144485621498</v>
      </c>
      <c r="N1118">
        <v>12.1941633475671</v>
      </c>
      <c r="O1118">
        <v>12.045945454949001</v>
      </c>
      <c r="P1118">
        <v>0.23217350917297699</v>
      </c>
      <c r="Q1118">
        <v>-0.59526250173761697</v>
      </c>
      <c r="R1118">
        <v>1.05960952008357</v>
      </c>
      <c r="S1118">
        <v>12.7662945756694</v>
      </c>
      <c r="T1118">
        <v>0.59515183561737905</v>
      </c>
      <c r="U1118">
        <v>-6.8672906355116297</v>
      </c>
      <c r="V1118">
        <v>0.56012036019686096</v>
      </c>
      <c r="W1118">
        <v>0.78573968678165296</v>
      </c>
      <c r="X1118">
        <v>0</v>
      </c>
      <c r="Y1118">
        <v>0</v>
      </c>
    </row>
    <row r="1119" spans="1:25" x14ac:dyDescent="0.2">
      <c r="A1119" t="s">
        <v>4132</v>
      </c>
      <c r="B1119" t="s">
        <v>4133</v>
      </c>
      <c r="C1119" t="s">
        <v>4134</v>
      </c>
      <c r="D1119" t="s">
        <v>4135</v>
      </c>
      <c r="E1119" t="s">
        <v>4133</v>
      </c>
      <c r="F1119" t="s">
        <v>28</v>
      </c>
      <c r="G1119" t="s">
        <v>4133</v>
      </c>
      <c r="H1119" t="str">
        <f>"asah-1"</f>
        <v>asah-1</v>
      </c>
      <c r="I1119" t="s">
        <v>4135</v>
      </c>
      <c r="J1119">
        <v>13.3661786225863</v>
      </c>
      <c r="K1119">
        <v>13.624150255473699</v>
      </c>
      <c r="L1119">
        <v>13.111853659123801</v>
      </c>
      <c r="M1119">
        <v>13.3780344954273</v>
      </c>
      <c r="N1119">
        <v>14.2859831026117</v>
      </c>
      <c r="O1119">
        <v>13.553110673451201</v>
      </c>
      <c r="P1119">
        <v>0.37164857810215102</v>
      </c>
      <c r="Q1119">
        <v>-0.42674418856072599</v>
      </c>
      <c r="R1119">
        <v>1.17004134476503</v>
      </c>
      <c r="S1119">
        <v>12.9299941361532</v>
      </c>
      <c r="T1119">
        <v>0.98733699870289404</v>
      </c>
      <c r="U1119">
        <v>-6.5530740330056503</v>
      </c>
      <c r="V1119">
        <v>0.33826961850726101</v>
      </c>
      <c r="W1119">
        <v>0.61655267242564504</v>
      </c>
      <c r="X1119">
        <v>0</v>
      </c>
      <c r="Y1119">
        <v>0</v>
      </c>
    </row>
    <row r="1120" spans="1:25" x14ac:dyDescent="0.2">
      <c r="A1120" t="s">
        <v>4136</v>
      </c>
      <c r="B1120" t="s">
        <v>4137</v>
      </c>
      <c r="C1120" t="s">
        <v>14373</v>
      </c>
      <c r="D1120" t="s">
        <v>4138</v>
      </c>
      <c r="E1120" t="s">
        <v>4137</v>
      </c>
      <c r="F1120" t="s">
        <v>28</v>
      </c>
      <c r="G1120" t="s">
        <v>4137</v>
      </c>
      <c r="H1120" t="str">
        <f>"M01E5.2"</f>
        <v>M01E5.2</v>
      </c>
      <c r="I1120" t="s">
        <v>4138</v>
      </c>
      <c r="J1120">
        <v>12.273326293393501</v>
      </c>
      <c r="K1120">
        <v>12.3364901853577</v>
      </c>
      <c r="L1120">
        <v>12.554785943822001</v>
      </c>
      <c r="M1120">
        <v>10.8802868285635</v>
      </c>
      <c r="N1120">
        <v>11.9933281850348</v>
      </c>
      <c r="O1120">
        <v>11.829334175943</v>
      </c>
      <c r="P1120">
        <v>-0.82055107767729796</v>
      </c>
      <c r="Q1120">
        <v>-1.37072207675382</v>
      </c>
      <c r="R1120">
        <v>-0.27038007860077701</v>
      </c>
      <c r="S1120">
        <v>12.4885220009484</v>
      </c>
      <c r="T1120">
        <v>-3.1634243712162502</v>
      </c>
      <c r="U1120">
        <v>-2.9659212288711401</v>
      </c>
      <c r="V1120">
        <v>6.06256179419271E-3</v>
      </c>
      <c r="W1120">
        <v>6.2429038222478098E-2</v>
      </c>
      <c r="X1120">
        <v>0</v>
      </c>
      <c r="Y1120">
        <v>0</v>
      </c>
    </row>
    <row r="1121" spans="1:25" x14ac:dyDescent="0.2">
      <c r="A1121" t="s">
        <v>4139</v>
      </c>
      <c r="B1121" t="s">
        <v>4140</v>
      </c>
      <c r="C1121" t="s">
        <v>4141</v>
      </c>
      <c r="D1121" t="s">
        <v>93</v>
      </c>
      <c r="E1121" t="s">
        <v>4140</v>
      </c>
      <c r="F1121" t="s">
        <v>28</v>
      </c>
      <c r="G1121" t="s">
        <v>4140</v>
      </c>
      <c r="H1121" t="str">
        <f>"rbm-3.2"</f>
        <v>rbm-3.2</v>
      </c>
      <c r="I1121" t="s">
        <v>93</v>
      </c>
      <c r="J1121">
        <v>14.951538448601699</v>
      </c>
      <c r="K1121">
        <v>15.3360107469169</v>
      </c>
      <c r="L1121">
        <v>15.154250335821001</v>
      </c>
      <c r="M1121" t="s">
        <v>29</v>
      </c>
      <c r="N1121">
        <v>14.5588764010168</v>
      </c>
      <c r="O1121">
        <v>15.360927671582999</v>
      </c>
      <c r="P1121">
        <v>-0.187364474146648</v>
      </c>
      <c r="Q1121">
        <v>-0.83758153547452097</v>
      </c>
      <c r="R1121">
        <v>0.46285258718122502</v>
      </c>
      <c r="S1121">
        <v>14.8325843533084</v>
      </c>
      <c r="T1121">
        <v>-0.61119306442430299</v>
      </c>
      <c r="U1121">
        <v>-6.7470183603647698</v>
      </c>
      <c r="V1121">
        <v>0.54971341532685303</v>
      </c>
      <c r="W1121">
        <v>0.78009919471154898</v>
      </c>
      <c r="X1121">
        <v>0</v>
      </c>
      <c r="Y1121">
        <v>0</v>
      </c>
    </row>
    <row r="1122" spans="1:25" x14ac:dyDescent="0.2">
      <c r="A1122" t="s">
        <v>4142</v>
      </c>
      <c r="B1122" t="s">
        <v>4143</v>
      </c>
      <c r="C1122" t="s">
        <v>4144</v>
      </c>
      <c r="D1122" t="s">
        <v>4145</v>
      </c>
      <c r="E1122" t="s">
        <v>4143</v>
      </c>
      <c r="F1122" t="s">
        <v>28</v>
      </c>
      <c r="G1122" t="s">
        <v>4143</v>
      </c>
      <c r="H1122" t="str">
        <f>"apb-3"</f>
        <v>apb-3</v>
      </c>
      <c r="I1122" t="s">
        <v>4145</v>
      </c>
      <c r="J1122">
        <v>13.5039439050909</v>
      </c>
      <c r="K1122">
        <v>13.8044846748378</v>
      </c>
      <c r="L1122">
        <v>13.677154084701</v>
      </c>
      <c r="M1122">
        <v>14.188129956617701</v>
      </c>
      <c r="N1122">
        <v>14.0306273041162</v>
      </c>
      <c r="O1122">
        <v>14.0170972617845</v>
      </c>
      <c r="P1122">
        <v>0.41675728596287198</v>
      </c>
      <c r="Q1122">
        <v>4.2198558541342197E-2</v>
      </c>
      <c r="R1122">
        <v>0.79131601338440105</v>
      </c>
      <c r="S1122">
        <v>13.302678571486901</v>
      </c>
      <c r="T1122">
        <v>2.34862291267275</v>
      </c>
      <c r="U1122">
        <v>-4.5455259792086897</v>
      </c>
      <c r="V1122">
        <v>3.1278034250366203E-2</v>
      </c>
      <c r="W1122">
        <v>0.17398072384733601</v>
      </c>
      <c r="X1122">
        <v>0</v>
      </c>
      <c r="Y1122">
        <v>0</v>
      </c>
    </row>
    <row r="1123" spans="1:25" x14ac:dyDescent="0.2">
      <c r="A1123" t="s">
        <v>4146</v>
      </c>
      <c r="B1123" t="s">
        <v>4147</v>
      </c>
      <c r="C1123" t="s">
        <v>14374</v>
      </c>
      <c r="D1123" t="s">
        <v>214</v>
      </c>
      <c r="E1123" t="s">
        <v>4147</v>
      </c>
      <c r="F1123" t="s">
        <v>28</v>
      </c>
      <c r="G1123" t="s">
        <v>4147</v>
      </c>
      <c r="H1123" t="str">
        <f>"R74.8"</f>
        <v>R74.8</v>
      </c>
      <c r="I1123" t="s">
        <v>214</v>
      </c>
      <c r="J1123">
        <v>13.177367717669799</v>
      </c>
      <c r="K1123">
        <v>13.047327697881499</v>
      </c>
      <c r="L1123">
        <v>13.065496669168899</v>
      </c>
      <c r="M1123">
        <v>12.480762711911201</v>
      </c>
      <c r="N1123">
        <v>12.7643029268697</v>
      </c>
      <c r="O1123">
        <v>12.3903373293121</v>
      </c>
      <c r="P1123">
        <v>-0.55159637220905999</v>
      </c>
      <c r="Q1123">
        <v>-1.05670378303407</v>
      </c>
      <c r="R1123">
        <v>-4.6488961384048802E-2</v>
      </c>
      <c r="S1123">
        <v>13.1862207786581</v>
      </c>
      <c r="T1123">
        <v>-2.3050888708456898</v>
      </c>
      <c r="U1123">
        <v>-4.6259928644285697</v>
      </c>
      <c r="V1123">
        <v>3.4124114736017799E-2</v>
      </c>
      <c r="W1123">
        <v>0.18323410783993699</v>
      </c>
      <c r="X1123">
        <v>0</v>
      </c>
      <c r="Y1123">
        <v>0</v>
      </c>
    </row>
    <row r="1124" spans="1:25" x14ac:dyDescent="0.2">
      <c r="A1124" t="s">
        <v>4148</v>
      </c>
      <c r="B1124" t="s">
        <v>4149</v>
      </c>
      <c r="C1124" t="s">
        <v>4150</v>
      </c>
      <c r="D1124" t="s">
        <v>1866</v>
      </c>
      <c r="E1124" t="s">
        <v>4149</v>
      </c>
      <c r="F1124" t="s">
        <v>28</v>
      </c>
      <c r="G1124" t="s">
        <v>4149</v>
      </c>
      <c r="H1124" t="str">
        <f>"pmp-4"</f>
        <v>pmp-4</v>
      </c>
      <c r="I1124" t="s">
        <v>1866</v>
      </c>
      <c r="J1124">
        <v>13.5066065890912</v>
      </c>
      <c r="K1124">
        <v>13.1262833670731</v>
      </c>
      <c r="L1124">
        <v>13.8982345088163</v>
      </c>
      <c r="M1124">
        <v>13.669662749153799</v>
      </c>
      <c r="N1124">
        <v>13.961860213837101</v>
      </c>
      <c r="O1124">
        <v>13.6868251855125</v>
      </c>
      <c r="P1124">
        <v>0.26240789450757002</v>
      </c>
      <c r="Q1124">
        <v>-0.237659295747878</v>
      </c>
      <c r="R1124">
        <v>0.76247508476301695</v>
      </c>
      <c r="S1124">
        <v>14.0251184258255</v>
      </c>
      <c r="T1124">
        <v>1.10763978999958</v>
      </c>
      <c r="U1124">
        <v>-6.4296230115023896</v>
      </c>
      <c r="V1124">
        <v>0.28353806985302998</v>
      </c>
      <c r="W1124">
        <v>0.56395652769056304</v>
      </c>
      <c r="X1124">
        <v>0</v>
      </c>
      <c r="Y1124">
        <v>0</v>
      </c>
    </row>
    <row r="1125" spans="1:25" x14ac:dyDescent="0.2">
      <c r="A1125" t="s">
        <v>4151</v>
      </c>
      <c r="B1125" t="s">
        <v>4152</v>
      </c>
      <c r="C1125" t="s">
        <v>4153</v>
      </c>
      <c r="D1125" t="s">
        <v>4154</v>
      </c>
      <c r="E1125" t="s">
        <v>4152</v>
      </c>
      <c r="F1125" t="s">
        <v>28</v>
      </c>
      <c r="G1125" t="s">
        <v>4152</v>
      </c>
      <c r="H1125" t="str">
        <f>"T02E1.7"</f>
        <v>T02E1.7</v>
      </c>
      <c r="I1125" t="s">
        <v>4154</v>
      </c>
      <c r="J1125" t="s">
        <v>29</v>
      </c>
      <c r="K1125" t="s">
        <v>29</v>
      </c>
      <c r="L1125">
        <v>11.0517646313233</v>
      </c>
      <c r="M1125" t="s">
        <v>29</v>
      </c>
      <c r="N1125">
        <v>13.950757893427401</v>
      </c>
      <c r="O1125" t="s">
        <v>29</v>
      </c>
      <c r="P1125">
        <v>2.8989932621041001</v>
      </c>
      <c r="Q1125">
        <v>0.23044449414658499</v>
      </c>
      <c r="R1125">
        <v>5.5675420300616096</v>
      </c>
      <c r="S1125">
        <v>12.217448240991301</v>
      </c>
      <c r="T1125">
        <v>2.3938655523452699</v>
      </c>
      <c r="U1125">
        <v>-4.0639577290627296</v>
      </c>
      <c r="V1125">
        <v>3.5817289897683201E-2</v>
      </c>
      <c r="W1125">
        <v>0.18908163822836099</v>
      </c>
      <c r="X1125">
        <v>1</v>
      </c>
      <c r="Y1125">
        <v>0</v>
      </c>
    </row>
    <row r="1126" spans="1:25" x14ac:dyDescent="0.2">
      <c r="A1126" t="s">
        <v>4155</v>
      </c>
      <c r="B1126" t="s">
        <v>4156</v>
      </c>
      <c r="C1126" t="s">
        <v>4157</v>
      </c>
      <c r="D1126" t="s">
        <v>4158</v>
      </c>
      <c r="E1126" t="s">
        <v>4156</v>
      </c>
      <c r="F1126" t="s">
        <v>28</v>
      </c>
      <c r="G1126" t="s">
        <v>4156</v>
      </c>
      <c r="H1126" t="str">
        <f>"cpl-1"</f>
        <v>cpl-1</v>
      </c>
      <c r="I1126" t="s">
        <v>4158</v>
      </c>
      <c r="J1126">
        <v>16.90336280164</v>
      </c>
      <c r="K1126">
        <v>16.304312108451501</v>
      </c>
      <c r="L1126">
        <v>16.589677499457601</v>
      </c>
      <c r="M1126">
        <v>16.540864609370299</v>
      </c>
      <c r="N1126">
        <v>16.864097673547501</v>
      </c>
      <c r="O1126">
        <v>16.3641959238842</v>
      </c>
      <c r="P1126">
        <v>-9.39806758238859E-3</v>
      </c>
      <c r="Q1126">
        <v>-0.41047063508443199</v>
      </c>
      <c r="R1126">
        <v>0.39167449991965497</v>
      </c>
      <c r="S1126">
        <v>16.357189821424601</v>
      </c>
      <c r="T1126">
        <v>-4.9250213636281598E-2</v>
      </c>
      <c r="U1126">
        <v>-7.0508153688586601</v>
      </c>
      <c r="V1126">
        <v>0.961265429316011</v>
      </c>
      <c r="W1126">
        <v>0.979016496711831</v>
      </c>
      <c r="X1126">
        <v>0</v>
      </c>
      <c r="Y1126">
        <v>0</v>
      </c>
    </row>
    <row r="1127" spans="1:25" x14ac:dyDescent="0.2">
      <c r="A1127" t="s">
        <v>4159</v>
      </c>
      <c r="B1127" t="s">
        <v>4160</v>
      </c>
      <c r="C1127" t="s">
        <v>14375</v>
      </c>
      <c r="D1127" t="s">
        <v>4161</v>
      </c>
      <c r="E1127" t="s">
        <v>4160</v>
      </c>
      <c r="F1127" t="s">
        <v>28</v>
      </c>
      <c r="G1127" t="s">
        <v>4160</v>
      </c>
      <c r="H1127" t="str">
        <f>"T06E6.1"</f>
        <v>T06E6.1</v>
      </c>
      <c r="I1127" t="s">
        <v>4161</v>
      </c>
      <c r="J1127">
        <v>13.3082802139973</v>
      </c>
      <c r="K1127">
        <v>12.9001293211182</v>
      </c>
      <c r="L1127">
        <v>13.1559118552115</v>
      </c>
      <c r="M1127" t="s">
        <v>29</v>
      </c>
      <c r="N1127">
        <v>11.876658439322</v>
      </c>
      <c r="O1127" t="s">
        <v>29</v>
      </c>
      <c r="P1127">
        <v>-1.2447820241204</v>
      </c>
      <c r="Q1127">
        <v>-1.8995908697032999</v>
      </c>
      <c r="R1127">
        <v>-0.58997317853750098</v>
      </c>
      <c r="S1127">
        <v>12.968794900192099</v>
      </c>
      <c r="T1127">
        <v>-4.0543419626317396</v>
      </c>
      <c r="U1127">
        <v>-0.92597352593496796</v>
      </c>
      <c r="V1127">
        <v>1.0518925880727301E-3</v>
      </c>
      <c r="W1127">
        <v>1.9015880453270399E-2</v>
      </c>
      <c r="X1127">
        <v>-1</v>
      </c>
      <c r="Y1127">
        <v>-1</v>
      </c>
    </row>
    <row r="1128" spans="1:25" x14ac:dyDescent="0.2">
      <c r="A1128" t="s">
        <v>4162</v>
      </c>
      <c r="B1128" t="s">
        <v>4163</v>
      </c>
      <c r="C1128" t="s">
        <v>4164</v>
      </c>
      <c r="D1128" t="s">
        <v>4165</v>
      </c>
      <c r="E1128" t="s">
        <v>4163</v>
      </c>
      <c r="F1128" t="s">
        <v>28</v>
      </c>
      <c r="G1128" t="s">
        <v>4163</v>
      </c>
      <c r="H1128" t="str">
        <f>"drr-2"</f>
        <v>drr-2</v>
      </c>
      <c r="I1128" t="s">
        <v>4165</v>
      </c>
      <c r="J1128" t="s">
        <v>29</v>
      </c>
      <c r="K1128" t="s">
        <v>29</v>
      </c>
      <c r="L1128">
        <v>12.2688574429512</v>
      </c>
      <c r="M1128" t="s">
        <v>29</v>
      </c>
      <c r="N1128" t="s">
        <v>29</v>
      </c>
      <c r="O1128">
        <v>12.584805026046199</v>
      </c>
      <c r="P1128">
        <v>0.31594758309498699</v>
      </c>
      <c r="Q1128">
        <v>-1.3483899749966199</v>
      </c>
      <c r="R1128">
        <v>1.9802851411866</v>
      </c>
      <c r="S1128">
        <v>12.157511974637</v>
      </c>
      <c r="T1128">
        <v>0.42358494314214701</v>
      </c>
      <c r="U1128">
        <v>-6.4143211021214999</v>
      </c>
      <c r="V1128">
        <v>0.68092829023684798</v>
      </c>
      <c r="W1128">
        <v>0.85722167970248597</v>
      </c>
      <c r="X1128">
        <v>0</v>
      </c>
      <c r="Y1128">
        <v>0</v>
      </c>
    </row>
    <row r="1129" spans="1:25" x14ac:dyDescent="0.2">
      <c r="A1129" t="s">
        <v>4166</v>
      </c>
      <c r="B1129" t="s">
        <v>4167</v>
      </c>
      <c r="C1129" t="s">
        <v>4168</v>
      </c>
      <c r="D1129" t="s">
        <v>4169</v>
      </c>
      <c r="E1129" t="s">
        <v>4167</v>
      </c>
      <c r="F1129" t="s">
        <v>28</v>
      </c>
      <c r="G1129" t="s">
        <v>4167</v>
      </c>
      <c r="H1129" t="str">
        <f>"wts-1"</f>
        <v>wts-1</v>
      </c>
      <c r="I1129" t="s">
        <v>4169</v>
      </c>
      <c r="J1129">
        <v>12.1521653701868</v>
      </c>
      <c r="K1129">
        <v>11.660365775107</v>
      </c>
      <c r="L1129">
        <v>11.9555807796651</v>
      </c>
      <c r="M1129">
        <v>12.270833858781801</v>
      </c>
      <c r="N1129">
        <v>12.048257566948299</v>
      </c>
      <c r="O1129">
        <v>12.1680764107572</v>
      </c>
      <c r="P1129">
        <v>0.23968530384280001</v>
      </c>
      <c r="Q1129">
        <v>-0.22809246173810699</v>
      </c>
      <c r="R1129">
        <v>0.70746306942370596</v>
      </c>
      <c r="S1129">
        <v>12.0513969481134</v>
      </c>
      <c r="T1129">
        <v>1.0868043326115</v>
      </c>
      <c r="U1129">
        <v>-6.4511968749038404</v>
      </c>
      <c r="V1129">
        <v>0.29333003429903498</v>
      </c>
      <c r="W1129">
        <v>0.57073294396640095</v>
      </c>
      <c r="X1129">
        <v>0</v>
      </c>
      <c r="Y1129">
        <v>0</v>
      </c>
    </row>
    <row r="1130" spans="1:25" x14ac:dyDescent="0.2">
      <c r="A1130" t="s">
        <v>4170</v>
      </c>
      <c r="B1130" t="s">
        <v>4171</v>
      </c>
      <c r="C1130" t="s">
        <v>4172</v>
      </c>
      <c r="D1130" t="s">
        <v>4173</v>
      </c>
      <c r="E1130" t="s">
        <v>4171</v>
      </c>
      <c r="F1130" t="s">
        <v>28</v>
      </c>
      <c r="G1130" t="s">
        <v>4171</v>
      </c>
      <c r="H1130" t="str">
        <f>"act-5"</f>
        <v>act-5</v>
      </c>
      <c r="I1130" t="s">
        <v>4173</v>
      </c>
      <c r="J1130">
        <v>16.3720152545236</v>
      </c>
      <c r="K1130">
        <v>16.0732471508788</v>
      </c>
      <c r="L1130">
        <v>16.373080073117201</v>
      </c>
      <c r="M1130">
        <v>16.0636687676352</v>
      </c>
      <c r="N1130">
        <v>16.079315458020002</v>
      </c>
      <c r="O1130">
        <v>16.3202507944684</v>
      </c>
      <c r="P1130">
        <v>-0.118369152798664</v>
      </c>
      <c r="Q1130">
        <v>-0.49625644245890099</v>
      </c>
      <c r="R1130">
        <v>0.25951813686157299</v>
      </c>
      <c r="S1130">
        <v>15.9614468628982</v>
      </c>
      <c r="T1130">
        <v>-0.65836808191483098</v>
      </c>
      <c r="U1130">
        <v>-6.8276590804715704</v>
      </c>
      <c r="V1130">
        <v>0.51868295982474499</v>
      </c>
      <c r="W1130">
        <v>0.76423117907229499</v>
      </c>
      <c r="X1130">
        <v>0</v>
      </c>
      <c r="Y1130">
        <v>0</v>
      </c>
    </row>
    <row r="1131" spans="1:25" x14ac:dyDescent="0.2">
      <c r="A1131" t="s">
        <v>4174</v>
      </c>
      <c r="B1131" t="s">
        <v>4175</v>
      </c>
      <c r="C1131" t="s">
        <v>4176</v>
      </c>
      <c r="D1131" t="s">
        <v>4177</v>
      </c>
      <c r="E1131" t="s">
        <v>4175</v>
      </c>
      <c r="F1131" t="s">
        <v>28</v>
      </c>
      <c r="G1131" t="s">
        <v>4175</v>
      </c>
      <c r="H1131" t="str">
        <f>"dkf-2"</f>
        <v>dkf-2</v>
      </c>
      <c r="I1131" t="s">
        <v>4177</v>
      </c>
      <c r="J1131">
        <v>12.954445315510799</v>
      </c>
      <c r="K1131">
        <v>13.219407047821599</v>
      </c>
      <c r="L1131">
        <v>12.4475587448793</v>
      </c>
      <c r="M1131">
        <v>13.7112152490268</v>
      </c>
      <c r="N1131">
        <v>13.0261338573389</v>
      </c>
      <c r="O1131">
        <v>13.3830225940366</v>
      </c>
      <c r="P1131">
        <v>0.49965353073019803</v>
      </c>
      <c r="Q1131">
        <v>-0.104044916191371</v>
      </c>
      <c r="R1131">
        <v>1.10335197765177</v>
      </c>
      <c r="S1131">
        <v>12.903831939214999</v>
      </c>
      <c r="T1131">
        <v>1.7470241769712</v>
      </c>
      <c r="U1131">
        <v>-5.5780752997569998</v>
      </c>
      <c r="V1131">
        <v>9.8784505723252897E-2</v>
      </c>
      <c r="W1131">
        <v>0.32436405814678598</v>
      </c>
      <c r="X1131">
        <v>0</v>
      </c>
      <c r="Y1131">
        <v>0</v>
      </c>
    </row>
    <row r="1132" spans="1:25" x14ac:dyDescent="0.2">
      <c r="A1132" t="s">
        <v>4178</v>
      </c>
      <c r="B1132" t="s">
        <v>4179</v>
      </c>
      <c r="C1132" t="s">
        <v>4180</v>
      </c>
      <c r="D1132" t="s">
        <v>4181</v>
      </c>
      <c r="E1132" t="s">
        <v>4179</v>
      </c>
      <c r="F1132" t="s">
        <v>28</v>
      </c>
      <c r="G1132" t="s">
        <v>4179</v>
      </c>
      <c r="H1132" t="str">
        <f>"gyg-2"</f>
        <v>gyg-2</v>
      </c>
      <c r="I1132" t="s">
        <v>4181</v>
      </c>
      <c r="J1132" t="s">
        <v>29</v>
      </c>
      <c r="K1132">
        <v>13.6381060041316</v>
      </c>
      <c r="L1132" t="s">
        <v>29</v>
      </c>
      <c r="M1132" t="s">
        <v>29</v>
      </c>
      <c r="N1132" t="s">
        <v>29</v>
      </c>
      <c r="O1132">
        <v>14.0049614792184</v>
      </c>
      <c r="P1132">
        <v>0.36685547508684402</v>
      </c>
      <c r="Q1132">
        <v>-2.5376957633827302</v>
      </c>
      <c r="R1132">
        <v>3.27140671355642</v>
      </c>
      <c r="S1132">
        <v>13.0211736640588</v>
      </c>
      <c r="T1132">
        <v>0.28182716588055501</v>
      </c>
      <c r="U1132">
        <v>-6.4674675849635399</v>
      </c>
      <c r="V1132">
        <v>0.78388221125323199</v>
      </c>
      <c r="W1132">
        <v>0.91120060174744399</v>
      </c>
      <c r="X1132">
        <v>0</v>
      </c>
      <c r="Y1132">
        <v>0</v>
      </c>
    </row>
    <row r="1133" spans="1:25" x14ac:dyDescent="0.2">
      <c r="A1133" t="s">
        <v>4182</v>
      </c>
      <c r="B1133" t="s">
        <v>4183</v>
      </c>
      <c r="C1133" t="s">
        <v>4184</v>
      </c>
      <c r="D1133" t="s">
        <v>1954</v>
      </c>
      <c r="E1133" t="s">
        <v>4183</v>
      </c>
      <c r="F1133" t="s">
        <v>28</v>
      </c>
      <c r="G1133" t="s">
        <v>4183</v>
      </c>
      <c r="H1133" t="str">
        <f>"ant-1.1"</f>
        <v>ant-1.1</v>
      </c>
      <c r="I1133" t="s">
        <v>1954</v>
      </c>
      <c r="J1133">
        <v>23.3386143466963</v>
      </c>
      <c r="K1133">
        <v>23.167505987874801</v>
      </c>
      <c r="L1133">
        <v>22.933831390975101</v>
      </c>
      <c r="M1133">
        <v>22.942114290207801</v>
      </c>
      <c r="N1133">
        <v>22.978840714189701</v>
      </c>
      <c r="O1133">
        <v>22.680864190283401</v>
      </c>
      <c r="P1133">
        <v>-0.27937751028840901</v>
      </c>
      <c r="Q1133">
        <v>-0.64881698259040199</v>
      </c>
      <c r="R1133">
        <v>9.0061962013583394E-2</v>
      </c>
      <c r="S1133">
        <v>22.583050037329301</v>
      </c>
      <c r="T1133">
        <v>-1.5894272724867999</v>
      </c>
      <c r="U1133">
        <v>-5.8142755570370204</v>
      </c>
      <c r="V1133">
        <v>0.12947490680576701</v>
      </c>
      <c r="W1133">
        <v>0.373379079676044</v>
      </c>
      <c r="X1133">
        <v>0</v>
      </c>
      <c r="Y1133">
        <v>0</v>
      </c>
    </row>
    <row r="1134" spans="1:25" x14ac:dyDescent="0.2">
      <c r="A1134" t="s">
        <v>4185</v>
      </c>
      <c r="B1134" t="s">
        <v>4186</v>
      </c>
      <c r="C1134" t="s">
        <v>4187</v>
      </c>
      <c r="D1134" t="s">
        <v>4188</v>
      </c>
      <c r="E1134" t="s">
        <v>4186</v>
      </c>
      <c r="F1134" t="s">
        <v>28</v>
      </c>
      <c r="G1134" t="s">
        <v>4186</v>
      </c>
      <c r="H1134" t="str">
        <f>"pars-2"</f>
        <v>pars-2</v>
      </c>
      <c r="I1134" t="s">
        <v>4188</v>
      </c>
      <c r="J1134">
        <v>11.915653866068499</v>
      </c>
      <c r="K1134">
        <v>11.8225274758003</v>
      </c>
      <c r="L1134">
        <v>12.1766440558733</v>
      </c>
      <c r="M1134">
        <v>11.9874463144785</v>
      </c>
      <c r="N1134">
        <v>12.2526939705348</v>
      </c>
      <c r="O1134">
        <v>11.164388084036799</v>
      </c>
      <c r="P1134">
        <v>-0.170099009563982</v>
      </c>
      <c r="Q1134">
        <v>-0.71721096856357203</v>
      </c>
      <c r="R1134">
        <v>0.37701294943560798</v>
      </c>
      <c r="S1134">
        <v>11.8557974748771</v>
      </c>
      <c r="T1134">
        <v>-0.663081914641662</v>
      </c>
      <c r="U1134">
        <v>-6.8226068617092199</v>
      </c>
      <c r="V1134">
        <v>0.51740902017261303</v>
      </c>
      <c r="W1134">
        <v>0.76292552972592698</v>
      </c>
      <c r="X1134">
        <v>0</v>
      </c>
      <c r="Y1134">
        <v>0</v>
      </c>
    </row>
    <row r="1135" spans="1:25" x14ac:dyDescent="0.2">
      <c r="A1135" t="s">
        <v>4189</v>
      </c>
      <c r="B1135" t="s">
        <v>4190</v>
      </c>
      <c r="C1135" t="s">
        <v>4191</v>
      </c>
      <c r="D1135" t="s">
        <v>4192</v>
      </c>
      <c r="E1135" t="s">
        <v>4190</v>
      </c>
      <c r="F1135" t="s">
        <v>28</v>
      </c>
      <c r="G1135" t="s">
        <v>4190</v>
      </c>
      <c r="H1135" t="str">
        <f>"W09H1.5"</f>
        <v>W09H1.5</v>
      </c>
      <c r="I1135" t="s">
        <v>4192</v>
      </c>
      <c r="J1135">
        <v>13.716885810015601</v>
      </c>
      <c r="K1135">
        <v>13.530277777597901</v>
      </c>
      <c r="L1135">
        <v>13.377267623989701</v>
      </c>
      <c r="M1135">
        <v>13.324365593092301</v>
      </c>
      <c r="N1135">
        <v>13.649974347773</v>
      </c>
      <c r="O1135">
        <v>13.738386467124601</v>
      </c>
      <c r="P1135">
        <v>2.9431732128921698E-2</v>
      </c>
      <c r="Q1135">
        <v>-0.74519146015927895</v>
      </c>
      <c r="R1135">
        <v>0.80405492441712301</v>
      </c>
      <c r="S1135">
        <v>13.003619519041299</v>
      </c>
      <c r="T1135">
        <v>8.0588831042757894E-2</v>
      </c>
      <c r="U1135">
        <v>-7.0486609194152701</v>
      </c>
      <c r="V1135">
        <v>0.93677492144525998</v>
      </c>
      <c r="W1135">
        <v>0.97535311084156295</v>
      </c>
      <c r="X1135">
        <v>0</v>
      </c>
      <c r="Y1135">
        <v>0</v>
      </c>
    </row>
    <row r="1136" spans="1:25" x14ac:dyDescent="0.2">
      <c r="A1136" t="s">
        <v>4193</v>
      </c>
      <c r="B1136" t="s">
        <v>4194</v>
      </c>
      <c r="C1136" t="s">
        <v>4195</v>
      </c>
      <c r="D1136" t="s">
        <v>4196</v>
      </c>
      <c r="E1136" t="s">
        <v>4194</v>
      </c>
      <c r="F1136" t="s">
        <v>28</v>
      </c>
      <c r="G1136" t="s">
        <v>4194</v>
      </c>
      <c r="H1136" t="str">
        <f>"bckd-1A"</f>
        <v>bckd-1A</v>
      </c>
      <c r="I1136" t="s">
        <v>4196</v>
      </c>
      <c r="J1136">
        <v>16.097754311237601</v>
      </c>
      <c r="K1136">
        <v>15.8341586925175</v>
      </c>
      <c r="L1136">
        <v>15.9908164593355</v>
      </c>
      <c r="M1136">
        <v>15.598384339105399</v>
      </c>
      <c r="N1136">
        <v>15.8542507730767</v>
      </c>
      <c r="O1136">
        <v>15.557939241087601</v>
      </c>
      <c r="P1136">
        <v>-0.30405170327363301</v>
      </c>
      <c r="Q1136">
        <v>-0.65436939652944204</v>
      </c>
      <c r="R1136">
        <v>4.6265989982176799E-2</v>
      </c>
      <c r="S1136">
        <v>15.5899054921772</v>
      </c>
      <c r="T1136">
        <v>-1.8242228078173499</v>
      </c>
      <c r="U1136">
        <v>-5.4536683123497998</v>
      </c>
      <c r="V1136">
        <v>8.4862540575802003E-2</v>
      </c>
      <c r="W1136">
        <v>0.298532656252605</v>
      </c>
      <c r="X1136">
        <v>0</v>
      </c>
      <c r="Y1136">
        <v>0</v>
      </c>
    </row>
    <row r="1137" spans="1:25" x14ac:dyDescent="0.2">
      <c r="A1137" t="s">
        <v>4197</v>
      </c>
      <c r="B1137" t="s">
        <v>4198</v>
      </c>
      <c r="C1137" t="s">
        <v>4199</v>
      </c>
      <c r="D1137" t="s">
        <v>4200</v>
      </c>
      <c r="E1137" t="s">
        <v>4198</v>
      </c>
      <c r="F1137" t="s">
        <v>28</v>
      </c>
      <c r="G1137" t="s">
        <v>4198</v>
      </c>
      <c r="H1137" t="str">
        <f>"npp-18"</f>
        <v>npp-18</v>
      </c>
      <c r="I1137" t="s">
        <v>4200</v>
      </c>
      <c r="J1137">
        <v>15.8984867376663</v>
      </c>
      <c r="K1137">
        <v>15.8780076136101</v>
      </c>
      <c r="L1137">
        <v>15.6817813535509</v>
      </c>
      <c r="M1137">
        <v>15.663522871761399</v>
      </c>
      <c r="N1137">
        <v>15.7569577619697</v>
      </c>
      <c r="O1137">
        <v>15.302699847370199</v>
      </c>
      <c r="P1137">
        <v>-0.24503174124202001</v>
      </c>
      <c r="Q1137">
        <v>-0.59226062197139395</v>
      </c>
      <c r="R1137">
        <v>0.102197139487354</v>
      </c>
      <c r="S1137">
        <v>15.4653613309123</v>
      </c>
      <c r="T1137">
        <v>-1.48319761672842</v>
      </c>
      <c r="U1137">
        <v>-5.9652354573832502</v>
      </c>
      <c r="V1137">
        <v>0.15542042368936701</v>
      </c>
      <c r="W1137">
        <v>0.40726596050769998</v>
      </c>
      <c r="X1137">
        <v>0</v>
      </c>
      <c r="Y1137">
        <v>0</v>
      </c>
    </row>
    <row r="1138" spans="1:25" x14ac:dyDescent="0.2">
      <c r="A1138" t="s">
        <v>4201</v>
      </c>
      <c r="B1138" t="s">
        <v>4202</v>
      </c>
      <c r="C1138" t="s">
        <v>14376</v>
      </c>
      <c r="D1138" t="s">
        <v>4203</v>
      </c>
      <c r="E1138" t="s">
        <v>4202</v>
      </c>
      <c r="F1138" t="s">
        <v>28</v>
      </c>
      <c r="G1138" t="s">
        <v>4202</v>
      </c>
      <c r="H1138" t="str">
        <f>"Y43F4B.5"</f>
        <v>Y43F4B.5</v>
      </c>
      <c r="I1138" t="s">
        <v>4203</v>
      </c>
      <c r="J1138">
        <v>15.4678342114952</v>
      </c>
      <c r="K1138">
        <v>15.495954263581099</v>
      </c>
      <c r="L1138">
        <v>15.0802832307301</v>
      </c>
      <c r="M1138">
        <v>15.3964231881777</v>
      </c>
      <c r="N1138">
        <v>14.4015911667121</v>
      </c>
      <c r="O1138">
        <v>14.9115147364567</v>
      </c>
      <c r="P1138">
        <v>-0.44484753815328998</v>
      </c>
      <c r="Q1138">
        <v>-1.00427574784497</v>
      </c>
      <c r="R1138">
        <v>0.114580671538386</v>
      </c>
      <c r="S1138">
        <v>14.7150539010252</v>
      </c>
      <c r="T1138">
        <v>-1.6713189689833201</v>
      </c>
      <c r="U1138">
        <v>-5.6925751185290503</v>
      </c>
      <c r="V1138">
        <v>0.112053770567689</v>
      </c>
      <c r="W1138">
        <v>0.34411407745613198</v>
      </c>
      <c r="X1138">
        <v>0</v>
      </c>
      <c r="Y1138">
        <v>0</v>
      </c>
    </row>
    <row r="1139" spans="1:25" x14ac:dyDescent="0.2">
      <c r="A1139" t="s">
        <v>4204</v>
      </c>
      <c r="B1139" t="s">
        <v>4205</v>
      </c>
      <c r="C1139" t="s">
        <v>4206</v>
      </c>
      <c r="D1139" t="s">
        <v>4207</v>
      </c>
      <c r="E1139" t="s">
        <v>4205</v>
      </c>
      <c r="F1139" t="s">
        <v>28</v>
      </c>
      <c r="G1139" t="s">
        <v>4205</v>
      </c>
      <c r="H1139" t="str">
        <f>"klp-19"</f>
        <v>klp-19</v>
      </c>
      <c r="I1139" t="s">
        <v>4207</v>
      </c>
      <c r="J1139">
        <v>10.674535168274</v>
      </c>
      <c r="K1139">
        <v>10.9350947340565</v>
      </c>
      <c r="L1139">
        <v>10.9639122019771</v>
      </c>
      <c r="M1139" t="s">
        <v>29</v>
      </c>
      <c r="N1139">
        <v>9.9275044966064598</v>
      </c>
      <c r="O1139" t="s">
        <v>29</v>
      </c>
      <c r="P1139">
        <v>-0.93034287149608896</v>
      </c>
      <c r="Q1139">
        <v>-1.88415895525807</v>
      </c>
      <c r="R1139">
        <v>2.34732122658954E-2</v>
      </c>
      <c r="S1139">
        <v>11.500977510033801</v>
      </c>
      <c r="T1139">
        <v>-2.1089468624201699</v>
      </c>
      <c r="U1139">
        <v>-4.6852713924850002</v>
      </c>
      <c r="V1139">
        <v>5.5081191130958801E-2</v>
      </c>
      <c r="W1139">
        <v>0.23490720306702501</v>
      </c>
      <c r="X1139">
        <v>0</v>
      </c>
      <c r="Y1139">
        <v>0</v>
      </c>
    </row>
    <row r="1140" spans="1:25" x14ac:dyDescent="0.2">
      <c r="A1140" t="s">
        <v>4208</v>
      </c>
      <c r="B1140" t="s">
        <v>4209</v>
      </c>
      <c r="C1140" t="s">
        <v>4210</v>
      </c>
      <c r="D1140" t="s">
        <v>926</v>
      </c>
      <c r="E1140" t="s">
        <v>4209</v>
      </c>
      <c r="F1140" t="s">
        <v>28</v>
      </c>
      <c r="G1140" t="s">
        <v>4209</v>
      </c>
      <c r="H1140" t="str">
        <f>"slc-36.1"</f>
        <v>slc-36.1</v>
      </c>
      <c r="I1140" t="s">
        <v>926</v>
      </c>
      <c r="J1140">
        <v>13.266720952563601</v>
      </c>
      <c r="K1140">
        <v>13.5447418410445</v>
      </c>
      <c r="L1140">
        <v>12.560866996121799</v>
      </c>
      <c r="M1140">
        <v>12.515029497210101</v>
      </c>
      <c r="N1140" t="s">
        <v>29</v>
      </c>
      <c r="O1140">
        <v>11.7818523286856</v>
      </c>
      <c r="P1140">
        <v>-0.97566901696216701</v>
      </c>
      <c r="Q1140">
        <v>-1.8307554187116899</v>
      </c>
      <c r="R1140">
        <v>-0.120582615212647</v>
      </c>
      <c r="S1140">
        <v>12.496321812242099</v>
      </c>
      <c r="T1140">
        <v>-2.4884993199419099</v>
      </c>
      <c r="U1140">
        <v>-4.2699002630855301</v>
      </c>
      <c r="V1140">
        <v>2.86651428108281E-2</v>
      </c>
      <c r="W1140">
        <v>0.16776326386049401</v>
      </c>
      <c r="X1140">
        <v>0</v>
      </c>
      <c r="Y1140">
        <v>0</v>
      </c>
    </row>
    <row r="1141" spans="1:25" x14ac:dyDescent="0.2">
      <c r="A1141" t="s">
        <v>4211</v>
      </c>
      <c r="B1141" t="s">
        <v>4212</v>
      </c>
      <c r="C1141" t="s">
        <v>4213</v>
      </c>
      <c r="D1141" t="s">
        <v>4214</v>
      </c>
      <c r="E1141" t="s">
        <v>4212</v>
      </c>
      <c r="F1141" t="s">
        <v>28</v>
      </c>
      <c r="G1141" t="s">
        <v>4215</v>
      </c>
      <c r="H1141" t="str">
        <f>"Y45F10C.2"</f>
        <v>Y45F10C.2</v>
      </c>
      <c r="I1141" t="s">
        <v>4216</v>
      </c>
      <c r="J1141">
        <v>12.865464084893601</v>
      </c>
      <c r="K1141">
        <v>12.0154542496304</v>
      </c>
      <c r="L1141">
        <v>12.834292891697</v>
      </c>
      <c r="M1141">
        <v>13.1441282309481</v>
      </c>
      <c r="N1141">
        <v>13.3280184517214</v>
      </c>
      <c r="O1141">
        <v>12.799961105513001</v>
      </c>
      <c r="P1141">
        <v>0.51896552065382595</v>
      </c>
      <c r="Q1141">
        <v>-0.184338001257595</v>
      </c>
      <c r="R1141">
        <v>1.22226904256525</v>
      </c>
      <c r="S1141">
        <v>12.793378484527</v>
      </c>
      <c r="T1141">
        <v>1.55091581938298</v>
      </c>
      <c r="U1141">
        <v>-5.8699236128663896</v>
      </c>
      <c r="V1141">
        <v>0.138426911597408</v>
      </c>
      <c r="W1141">
        <v>0.38444050508974098</v>
      </c>
      <c r="X1141">
        <v>0</v>
      </c>
      <c r="Y1141">
        <v>0</v>
      </c>
    </row>
    <row r="1142" spans="1:25" x14ac:dyDescent="0.2">
      <c r="A1142" t="s">
        <v>4217</v>
      </c>
      <c r="B1142" t="s">
        <v>4218</v>
      </c>
      <c r="C1142" t="s">
        <v>4219</v>
      </c>
      <c r="D1142" t="s">
        <v>4220</v>
      </c>
      <c r="E1142" t="s">
        <v>4218</v>
      </c>
      <c r="F1142" t="s">
        <v>28</v>
      </c>
      <c r="G1142" t="s">
        <v>4218</v>
      </c>
      <c r="H1142" t="str">
        <f>"rpl-18"</f>
        <v>rpl-18</v>
      </c>
      <c r="I1142" t="s">
        <v>4220</v>
      </c>
      <c r="J1142">
        <v>17.743375633545899</v>
      </c>
      <c r="K1142">
        <v>18.0363449072285</v>
      </c>
      <c r="L1142">
        <v>18.209126674995002</v>
      </c>
      <c r="M1142">
        <v>17.362520300616801</v>
      </c>
      <c r="N1142">
        <v>17.503601140436398</v>
      </c>
      <c r="O1142">
        <v>17.6694198449674</v>
      </c>
      <c r="P1142">
        <v>-0.48443530991624301</v>
      </c>
      <c r="Q1142">
        <v>-0.88215591869201404</v>
      </c>
      <c r="R1142">
        <v>-8.6714701140472902E-2</v>
      </c>
      <c r="S1142">
        <v>18.2113483465805</v>
      </c>
      <c r="T1142">
        <v>-2.5600603803014002</v>
      </c>
      <c r="U1142">
        <v>-4.1292335589482301</v>
      </c>
      <c r="V1142">
        <v>1.9741116597664601E-2</v>
      </c>
      <c r="W1142">
        <v>0.13606918984371799</v>
      </c>
      <c r="X1142">
        <v>0</v>
      </c>
      <c r="Y1142">
        <v>0</v>
      </c>
    </row>
    <row r="1143" spans="1:25" x14ac:dyDescent="0.2">
      <c r="A1143" t="s">
        <v>4221</v>
      </c>
      <c r="B1143" t="s">
        <v>4222</v>
      </c>
      <c r="C1143" t="s">
        <v>4223</v>
      </c>
      <c r="D1143" t="s">
        <v>130</v>
      </c>
      <c r="E1143" t="s">
        <v>4222</v>
      </c>
      <c r="F1143" t="s">
        <v>28</v>
      </c>
      <c r="G1143" t="s">
        <v>4222</v>
      </c>
      <c r="H1143" t="str">
        <f>"lin-38"</f>
        <v>lin-38</v>
      </c>
      <c r="I1143" t="s">
        <v>130</v>
      </c>
      <c r="J1143" t="s">
        <v>29</v>
      </c>
      <c r="K1143">
        <v>11.5580525489741</v>
      </c>
      <c r="L1143">
        <v>11.4902426100781</v>
      </c>
      <c r="M1143">
        <v>11.5709979468112</v>
      </c>
      <c r="N1143">
        <v>11.9313116365786</v>
      </c>
      <c r="O1143">
        <v>11.9559238843058</v>
      </c>
      <c r="P1143">
        <v>0.29526357637246597</v>
      </c>
      <c r="Q1143">
        <v>-0.29325537602684798</v>
      </c>
      <c r="R1143">
        <v>0.88378252877178098</v>
      </c>
      <c r="S1143">
        <v>12.322360286791501</v>
      </c>
      <c r="T1143">
        <v>1.0641404513494199</v>
      </c>
      <c r="U1143">
        <v>-6.36559645569944</v>
      </c>
      <c r="V1143">
        <v>0.30316458147841902</v>
      </c>
      <c r="W1143">
        <v>0.58269199535190597</v>
      </c>
      <c r="X1143">
        <v>0</v>
      </c>
      <c r="Y1143">
        <v>0</v>
      </c>
    </row>
    <row r="1144" spans="1:25" x14ac:dyDescent="0.2">
      <c r="A1144" t="s">
        <v>4224</v>
      </c>
      <c r="B1144" t="s">
        <v>4225</v>
      </c>
      <c r="C1144" t="s">
        <v>14377</v>
      </c>
      <c r="D1144" t="s">
        <v>3662</v>
      </c>
      <c r="E1144" t="s">
        <v>4225</v>
      </c>
      <c r="F1144" t="s">
        <v>28</v>
      </c>
      <c r="G1144" t="s">
        <v>4225</v>
      </c>
      <c r="H1144" t="str">
        <f>"Y48E1B.8"</f>
        <v>Y48E1B.8</v>
      </c>
      <c r="I1144" t="s">
        <v>3662</v>
      </c>
      <c r="J1144" t="s">
        <v>29</v>
      </c>
      <c r="K1144" t="s">
        <v>29</v>
      </c>
      <c r="L1144" t="s">
        <v>29</v>
      </c>
      <c r="M1144" t="s">
        <v>29</v>
      </c>
      <c r="N1144" t="s">
        <v>29</v>
      </c>
      <c r="O1144" t="s">
        <v>29</v>
      </c>
      <c r="P1144" t="s">
        <v>29</v>
      </c>
      <c r="Q1144" t="s">
        <v>29</v>
      </c>
      <c r="R1144" t="s">
        <v>29</v>
      </c>
      <c r="S1144">
        <v>11.9264087493908</v>
      </c>
      <c r="T1144" t="s">
        <v>29</v>
      </c>
      <c r="U1144" t="s">
        <v>29</v>
      </c>
      <c r="V1144" t="s">
        <v>29</v>
      </c>
      <c r="W1144" t="s">
        <v>29</v>
      </c>
      <c r="X1144" t="s">
        <v>29</v>
      </c>
      <c r="Y1144" t="s">
        <v>29</v>
      </c>
    </row>
    <row r="1145" spans="1:25" x14ac:dyDescent="0.2">
      <c r="A1145" t="s">
        <v>4226</v>
      </c>
      <c r="B1145" t="s">
        <v>4227</v>
      </c>
      <c r="C1145" t="s">
        <v>4228</v>
      </c>
      <c r="D1145" t="s">
        <v>4229</v>
      </c>
      <c r="E1145" t="s">
        <v>4227</v>
      </c>
      <c r="F1145" t="s">
        <v>28</v>
      </c>
      <c r="G1145" t="s">
        <v>4227</v>
      </c>
      <c r="H1145" t="str">
        <f>"rle-1"</f>
        <v>rle-1</v>
      </c>
      <c r="I1145" t="s">
        <v>4229</v>
      </c>
      <c r="J1145" t="s">
        <v>29</v>
      </c>
      <c r="K1145" t="s">
        <v>29</v>
      </c>
      <c r="L1145">
        <v>9.6831430153441698</v>
      </c>
      <c r="M1145">
        <v>10.076695571340499</v>
      </c>
      <c r="N1145">
        <v>11.644307735410599</v>
      </c>
      <c r="O1145">
        <v>11.9149345029983</v>
      </c>
      <c r="P1145">
        <v>1.52883625457231</v>
      </c>
      <c r="Q1145">
        <v>0.27795285377246898</v>
      </c>
      <c r="R1145">
        <v>2.7797196553721499</v>
      </c>
      <c r="S1145">
        <v>11.7217393872762</v>
      </c>
      <c r="T1145">
        <v>2.6655642554443202</v>
      </c>
      <c r="U1145">
        <v>-3.7455002140576501</v>
      </c>
      <c r="V1145">
        <v>2.0712179790121101E-2</v>
      </c>
      <c r="W1145">
        <v>0.13925089470465701</v>
      </c>
      <c r="X1145">
        <v>1</v>
      </c>
      <c r="Y1145">
        <v>0</v>
      </c>
    </row>
    <row r="1146" spans="1:25" x14ac:dyDescent="0.2">
      <c r="A1146" t="s">
        <v>4230</v>
      </c>
      <c r="B1146" t="s">
        <v>4231</v>
      </c>
      <c r="C1146" t="s">
        <v>14378</v>
      </c>
      <c r="D1146" t="s">
        <v>2636</v>
      </c>
      <c r="E1146" t="s">
        <v>4231</v>
      </c>
      <c r="F1146" t="s">
        <v>28</v>
      </c>
      <c r="G1146" t="s">
        <v>4231</v>
      </c>
      <c r="H1146" t="str">
        <f>"ZK1053.4"</f>
        <v>ZK1053.4</v>
      </c>
      <c r="I1146" t="s">
        <v>2636</v>
      </c>
      <c r="J1146" t="s">
        <v>29</v>
      </c>
      <c r="K1146" t="s">
        <v>29</v>
      </c>
      <c r="L1146" t="s">
        <v>29</v>
      </c>
      <c r="M1146" t="s">
        <v>29</v>
      </c>
      <c r="N1146" t="s">
        <v>29</v>
      </c>
      <c r="O1146" t="s">
        <v>29</v>
      </c>
      <c r="P1146" t="s">
        <v>29</v>
      </c>
      <c r="Q1146" t="s">
        <v>29</v>
      </c>
      <c r="R1146" t="s">
        <v>29</v>
      </c>
      <c r="S1146">
        <v>10.7282120678393</v>
      </c>
      <c r="T1146" t="s">
        <v>29</v>
      </c>
      <c r="U1146" t="s">
        <v>29</v>
      </c>
      <c r="V1146" t="s">
        <v>29</v>
      </c>
      <c r="W1146" t="s">
        <v>29</v>
      </c>
      <c r="X1146" t="s">
        <v>29</v>
      </c>
      <c r="Y1146" t="s">
        <v>29</v>
      </c>
    </row>
    <row r="1147" spans="1:25" x14ac:dyDescent="0.2">
      <c r="A1147" t="s">
        <v>4232</v>
      </c>
      <c r="B1147" t="s">
        <v>4233</v>
      </c>
      <c r="C1147" t="s">
        <v>4234</v>
      </c>
      <c r="D1147" t="s">
        <v>4235</v>
      </c>
      <c r="E1147" t="s">
        <v>4233</v>
      </c>
      <c r="F1147" t="s">
        <v>28</v>
      </c>
      <c r="G1147" t="s">
        <v>4233</v>
      </c>
      <c r="H1147" t="str">
        <f>"aqp-11"</f>
        <v>aqp-11</v>
      </c>
      <c r="I1147" t="s">
        <v>4235</v>
      </c>
      <c r="J1147" t="s">
        <v>29</v>
      </c>
      <c r="K1147">
        <v>11.1491439075836</v>
      </c>
      <c r="L1147">
        <v>12.2672298867289</v>
      </c>
      <c r="M1147">
        <v>12.1051934516854</v>
      </c>
      <c r="N1147">
        <v>13.174370753944199</v>
      </c>
      <c r="O1147">
        <v>11.0283276311427</v>
      </c>
      <c r="P1147">
        <v>0.39444371510119702</v>
      </c>
      <c r="Q1147">
        <v>-0.82274313874493199</v>
      </c>
      <c r="R1147">
        <v>1.61163056894733</v>
      </c>
      <c r="S1147">
        <v>12.6780263008835</v>
      </c>
      <c r="T1147">
        <v>0.69553610705181901</v>
      </c>
      <c r="U1147">
        <v>-6.6889256292693</v>
      </c>
      <c r="V1147">
        <v>0.49818778882315901</v>
      </c>
      <c r="W1147">
        <v>0.75016338030104501</v>
      </c>
      <c r="X1147">
        <v>0</v>
      </c>
      <c r="Y1147">
        <v>0</v>
      </c>
    </row>
    <row r="1148" spans="1:25" x14ac:dyDescent="0.2">
      <c r="A1148" t="s">
        <v>4236</v>
      </c>
      <c r="B1148" t="s">
        <v>4237</v>
      </c>
      <c r="C1148" t="s">
        <v>14379</v>
      </c>
      <c r="D1148" t="s">
        <v>4238</v>
      </c>
      <c r="E1148" t="s">
        <v>4237</v>
      </c>
      <c r="F1148" t="s">
        <v>28</v>
      </c>
      <c r="G1148" t="s">
        <v>4237</v>
      </c>
      <c r="H1148" t="str">
        <f>"F37C4.6"</f>
        <v>F37C4.6</v>
      </c>
      <c r="I1148" t="s">
        <v>4238</v>
      </c>
      <c r="J1148">
        <v>14.1257109358287</v>
      </c>
      <c r="K1148">
        <v>14.0810320266097</v>
      </c>
      <c r="L1148">
        <v>13.941996778191101</v>
      </c>
      <c r="M1148">
        <v>13.487601866549999</v>
      </c>
      <c r="N1148">
        <v>13.900030728902401</v>
      </c>
      <c r="O1148">
        <v>13.728189693037301</v>
      </c>
      <c r="P1148">
        <v>-0.344305817379913</v>
      </c>
      <c r="Q1148">
        <v>-0.68479928734045403</v>
      </c>
      <c r="R1148">
        <v>-3.8123474193729702E-3</v>
      </c>
      <c r="S1148">
        <v>13.430891224501099</v>
      </c>
      <c r="T1148">
        <v>-2.1253383872054199</v>
      </c>
      <c r="U1148">
        <v>-4.9431578100625604</v>
      </c>
      <c r="V1148">
        <v>4.7744589177189801E-2</v>
      </c>
      <c r="W1148">
        <v>0.21698448768516099</v>
      </c>
      <c r="X1148">
        <v>0</v>
      </c>
      <c r="Y1148">
        <v>0</v>
      </c>
    </row>
    <row r="1149" spans="1:25" x14ac:dyDescent="0.2">
      <c r="A1149" t="s">
        <v>4239</v>
      </c>
      <c r="B1149" t="s">
        <v>4240</v>
      </c>
      <c r="C1149" t="s">
        <v>4241</v>
      </c>
      <c r="D1149" t="s">
        <v>4242</v>
      </c>
      <c r="E1149" t="s">
        <v>4240</v>
      </c>
      <c r="F1149" t="s">
        <v>28</v>
      </c>
      <c r="G1149" t="s">
        <v>4240</v>
      </c>
      <c r="H1149" t="str">
        <f>"ogdh-1"</f>
        <v>ogdh-1</v>
      </c>
      <c r="I1149" t="s">
        <v>4242</v>
      </c>
      <c r="J1149">
        <v>14.0231718786138</v>
      </c>
      <c r="K1149">
        <v>14.165785791752</v>
      </c>
      <c r="L1149">
        <v>14.269131708681</v>
      </c>
      <c r="M1149">
        <v>14.3583863477267</v>
      </c>
      <c r="N1149">
        <v>14.068637839780299</v>
      </c>
      <c r="O1149">
        <v>14.851169507718501</v>
      </c>
      <c r="P1149">
        <v>0.27336810539290501</v>
      </c>
      <c r="Q1149">
        <v>-0.29604143139476702</v>
      </c>
      <c r="R1149">
        <v>0.84277764218057605</v>
      </c>
      <c r="S1149">
        <v>14.1907918159416</v>
      </c>
      <c r="T1149">
        <v>1.0090568136784901</v>
      </c>
      <c r="U1149">
        <v>-6.53322252981906</v>
      </c>
      <c r="V1149">
        <v>0.326397522511642</v>
      </c>
      <c r="W1149">
        <v>0.60687633889792902</v>
      </c>
      <c r="X1149">
        <v>0</v>
      </c>
      <c r="Y1149">
        <v>0</v>
      </c>
    </row>
    <row r="1150" spans="1:25" x14ac:dyDescent="0.2">
      <c r="A1150" t="s">
        <v>4243</v>
      </c>
      <c r="B1150" t="s">
        <v>4244</v>
      </c>
      <c r="C1150" t="s">
        <v>14380</v>
      </c>
      <c r="D1150" t="s">
        <v>4245</v>
      </c>
      <c r="E1150" t="s">
        <v>4244</v>
      </c>
      <c r="F1150" t="s">
        <v>28</v>
      </c>
      <c r="G1150" t="s">
        <v>4244</v>
      </c>
      <c r="H1150" t="str">
        <f>"F39C12.1"</f>
        <v>F39C12.1</v>
      </c>
      <c r="I1150" t="s">
        <v>4245</v>
      </c>
      <c r="J1150">
        <v>11.1514643283219</v>
      </c>
      <c r="K1150">
        <v>11.0848676342862</v>
      </c>
      <c r="L1150">
        <v>11.5396183445191</v>
      </c>
      <c r="M1150">
        <v>11.861235166239601</v>
      </c>
      <c r="N1150">
        <v>11.576727217158499</v>
      </c>
      <c r="O1150">
        <v>11.445197535832</v>
      </c>
      <c r="P1150">
        <v>0.36906987070099401</v>
      </c>
      <c r="Q1150">
        <v>-0.18833351236054799</v>
      </c>
      <c r="R1150">
        <v>0.92647325376253598</v>
      </c>
      <c r="S1150">
        <v>11.5914975067878</v>
      </c>
      <c r="T1150">
        <v>1.4043925670608901</v>
      </c>
      <c r="U1150">
        <v>-6.0716876531648296</v>
      </c>
      <c r="V1150">
        <v>0.179440781575849</v>
      </c>
      <c r="W1150">
        <v>0.44201385560015999</v>
      </c>
      <c r="X1150">
        <v>0</v>
      </c>
      <c r="Y1150">
        <v>0</v>
      </c>
    </row>
    <row r="1151" spans="1:25" x14ac:dyDescent="0.2">
      <c r="A1151" t="s">
        <v>4246</v>
      </c>
      <c r="B1151" t="s">
        <v>4247</v>
      </c>
      <c r="C1151" t="s">
        <v>4248</v>
      </c>
      <c r="D1151" t="s">
        <v>2051</v>
      </c>
      <c r="E1151" t="s">
        <v>4247</v>
      </c>
      <c r="F1151" t="s">
        <v>28</v>
      </c>
      <c r="G1151" t="s">
        <v>4247</v>
      </c>
      <c r="H1151" t="str">
        <f>"fbxc-52"</f>
        <v>fbxc-52</v>
      </c>
      <c r="I1151" t="s">
        <v>2051</v>
      </c>
      <c r="J1151">
        <v>14.074333356521301</v>
      </c>
      <c r="K1151">
        <v>14.573607459881099</v>
      </c>
      <c r="L1151">
        <v>14.180757071037799</v>
      </c>
      <c r="M1151">
        <v>14.8848910416457</v>
      </c>
      <c r="N1151">
        <v>14.356247695446701</v>
      </c>
      <c r="O1151">
        <v>14.026503182236199</v>
      </c>
      <c r="P1151">
        <v>0.14631467729616099</v>
      </c>
      <c r="Q1151">
        <v>-0.46154785505465101</v>
      </c>
      <c r="R1151">
        <v>0.75417720964697199</v>
      </c>
      <c r="S1151">
        <v>14.0716128431614</v>
      </c>
      <c r="T1151">
        <v>0.50808050562660101</v>
      </c>
      <c r="U1151">
        <v>-6.9174116829759198</v>
      </c>
      <c r="V1151">
        <v>0.617966123796865</v>
      </c>
      <c r="W1151">
        <v>0.81975612182429702</v>
      </c>
      <c r="X1151">
        <v>0</v>
      </c>
      <c r="Y1151">
        <v>0</v>
      </c>
    </row>
    <row r="1152" spans="1:25" x14ac:dyDescent="0.2">
      <c r="A1152" t="s">
        <v>4249</v>
      </c>
      <c r="B1152" t="s">
        <v>4250</v>
      </c>
      <c r="C1152" t="s">
        <v>14381</v>
      </c>
      <c r="D1152" t="s">
        <v>4251</v>
      </c>
      <c r="E1152" t="s">
        <v>4250</v>
      </c>
      <c r="F1152" t="s">
        <v>28</v>
      </c>
      <c r="G1152" t="s">
        <v>4252</v>
      </c>
      <c r="H1152" t="str">
        <f>"H17B01.2"</f>
        <v>H17B01.2</v>
      </c>
      <c r="I1152" t="s">
        <v>4253</v>
      </c>
      <c r="J1152">
        <v>13.895089070014301</v>
      </c>
      <c r="K1152">
        <v>12.9637501978982</v>
      </c>
      <c r="L1152">
        <v>14.8115300937716</v>
      </c>
      <c r="M1152">
        <v>14.9755952603326</v>
      </c>
      <c r="N1152">
        <v>15.2857876982689</v>
      </c>
      <c r="O1152">
        <v>14.261080049545299</v>
      </c>
      <c r="P1152">
        <v>0.95069788215427298</v>
      </c>
      <c r="Q1152">
        <v>-0.141351827140342</v>
      </c>
      <c r="R1152">
        <v>2.0427475914488902</v>
      </c>
      <c r="S1152">
        <v>13.6801391111794</v>
      </c>
      <c r="T1152">
        <v>1.8684953081542801</v>
      </c>
      <c r="U1152">
        <v>-5.3964430435762401</v>
      </c>
      <c r="V1152">
        <v>8.2921502360142493E-2</v>
      </c>
      <c r="W1152">
        <v>0.29442344043886498</v>
      </c>
      <c r="X1152">
        <v>0</v>
      </c>
      <c r="Y1152">
        <v>0</v>
      </c>
    </row>
    <row r="1153" spans="1:25" x14ac:dyDescent="0.2">
      <c r="A1153" t="s">
        <v>4254</v>
      </c>
      <c r="B1153" t="s">
        <v>4255</v>
      </c>
      <c r="C1153" t="s">
        <v>4256</v>
      </c>
      <c r="D1153" t="s">
        <v>4257</v>
      </c>
      <c r="E1153" t="s">
        <v>4255</v>
      </c>
      <c r="F1153" t="s">
        <v>28</v>
      </c>
      <c r="G1153" t="s">
        <v>4255</v>
      </c>
      <c r="H1153" t="str">
        <f>"bli-3"</f>
        <v>bli-3</v>
      </c>
      <c r="I1153" t="s">
        <v>4257</v>
      </c>
      <c r="J1153">
        <v>11.7494846215225</v>
      </c>
      <c r="K1153">
        <v>12.5894951031374</v>
      </c>
      <c r="L1153">
        <v>12.365204399669601</v>
      </c>
      <c r="M1153">
        <v>13.5986282376274</v>
      </c>
      <c r="N1153">
        <v>13.956542873459499</v>
      </c>
      <c r="O1153">
        <v>12.408570371138399</v>
      </c>
      <c r="P1153">
        <v>1.0865191192986201</v>
      </c>
      <c r="Q1153">
        <v>0.35733430198710397</v>
      </c>
      <c r="R1153">
        <v>1.81570393661013</v>
      </c>
      <c r="S1153">
        <v>12.706873174164899</v>
      </c>
      <c r="T1153">
        <v>3.16045262970938</v>
      </c>
      <c r="U1153">
        <v>-2.9719793903207301</v>
      </c>
      <c r="V1153">
        <v>6.1004004130821299E-3</v>
      </c>
      <c r="W1153">
        <v>6.2502874967403296E-2</v>
      </c>
      <c r="X1153">
        <v>1</v>
      </c>
      <c r="Y1153">
        <v>0</v>
      </c>
    </row>
    <row r="1154" spans="1:25" x14ac:dyDescent="0.2">
      <c r="A1154" t="s">
        <v>4258</v>
      </c>
      <c r="B1154" t="s">
        <v>4259</v>
      </c>
      <c r="C1154" t="s">
        <v>4260</v>
      </c>
      <c r="D1154" t="s">
        <v>4261</v>
      </c>
      <c r="E1154" t="s">
        <v>4259</v>
      </c>
      <c r="F1154" t="s">
        <v>28</v>
      </c>
      <c r="G1154" t="s">
        <v>4259</v>
      </c>
      <c r="H1154" t="str">
        <f>"daf-31"</f>
        <v>daf-31</v>
      </c>
      <c r="I1154" t="s">
        <v>4261</v>
      </c>
      <c r="J1154">
        <v>14.8608991621677</v>
      </c>
      <c r="K1154">
        <v>14.79248672166</v>
      </c>
      <c r="L1154">
        <v>14.9122472522536</v>
      </c>
      <c r="M1154">
        <v>14.598620450152501</v>
      </c>
      <c r="N1154">
        <v>14.409148404737399</v>
      </c>
      <c r="O1154">
        <v>14.2853877056514</v>
      </c>
      <c r="P1154">
        <v>-0.42415885851338198</v>
      </c>
      <c r="Q1154">
        <v>-0.83103772013592503</v>
      </c>
      <c r="R1154">
        <v>-1.7279996890837701E-2</v>
      </c>
      <c r="S1154">
        <v>14.216176646586201</v>
      </c>
      <c r="T1154">
        <v>-2.1910683576304799</v>
      </c>
      <c r="U1154">
        <v>-4.8254091154152796</v>
      </c>
      <c r="V1154">
        <v>4.1927977719005E-2</v>
      </c>
      <c r="W1154">
        <v>0.202466316595799</v>
      </c>
      <c r="X1154">
        <v>0</v>
      </c>
      <c r="Y1154">
        <v>0</v>
      </c>
    </row>
    <row r="1155" spans="1:25" x14ac:dyDescent="0.2">
      <c r="A1155" t="s">
        <v>4262</v>
      </c>
      <c r="B1155" t="s">
        <v>4263</v>
      </c>
      <c r="C1155" t="s">
        <v>4264</v>
      </c>
      <c r="D1155" t="s">
        <v>4265</v>
      </c>
      <c r="E1155" t="s">
        <v>4263</v>
      </c>
      <c r="F1155" t="s">
        <v>28</v>
      </c>
      <c r="G1155" t="s">
        <v>4266</v>
      </c>
      <c r="H1155" t="str">
        <f>"ctl-1"</f>
        <v>ctl-1</v>
      </c>
      <c r="I1155" t="s">
        <v>4267</v>
      </c>
      <c r="J1155">
        <v>14.155745962697001</v>
      </c>
      <c r="K1155">
        <v>13.549868630932799</v>
      </c>
      <c r="L1155">
        <v>13.1138851624294</v>
      </c>
      <c r="M1155">
        <v>14.1117298632998</v>
      </c>
      <c r="N1155">
        <v>13.7061135575139</v>
      </c>
      <c r="O1155">
        <v>14.033397328825499</v>
      </c>
      <c r="P1155">
        <v>0.34391366452668998</v>
      </c>
      <c r="Q1155">
        <v>-0.80769477366325604</v>
      </c>
      <c r="R1155">
        <v>1.4955221027166401</v>
      </c>
      <c r="S1155">
        <v>13.402512117924401</v>
      </c>
      <c r="T1155">
        <v>0.62767828831924799</v>
      </c>
      <c r="U1155">
        <v>-6.8478722777074497</v>
      </c>
      <c r="V1155">
        <v>0.53814266156498403</v>
      </c>
      <c r="W1155">
        <v>0.77501266500839605</v>
      </c>
      <c r="X1155">
        <v>0</v>
      </c>
      <c r="Y1155">
        <v>0</v>
      </c>
    </row>
    <row r="1156" spans="1:25" x14ac:dyDescent="0.2">
      <c r="A1156" t="s">
        <v>4268</v>
      </c>
      <c r="B1156" t="s">
        <v>4269</v>
      </c>
      <c r="C1156" t="s">
        <v>14382</v>
      </c>
      <c r="D1156" t="s">
        <v>4270</v>
      </c>
      <c r="E1156" t="s">
        <v>4269</v>
      </c>
      <c r="F1156" t="s">
        <v>28</v>
      </c>
      <c r="G1156" t="s">
        <v>4269</v>
      </c>
      <c r="H1156" t="str">
        <f>"F17E9.4"</f>
        <v>F17E9.4</v>
      </c>
      <c r="I1156" t="s">
        <v>4270</v>
      </c>
      <c r="J1156">
        <v>10.1360397546255</v>
      </c>
      <c r="K1156">
        <v>9.9763956059832992</v>
      </c>
      <c r="L1156" t="s">
        <v>29</v>
      </c>
      <c r="M1156" t="s">
        <v>29</v>
      </c>
      <c r="N1156">
        <v>12.2582213688785</v>
      </c>
      <c r="O1156" t="s">
        <v>29</v>
      </c>
      <c r="P1156">
        <v>2.2020036885740599</v>
      </c>
      <c r="Q1156">
        <v>0.75763861980673397</v>
      </c>
      <c r="R1156">
        <v>3.6463687573413801</v>
      </c>
      <c r="S1156">
        <v>10.2082269373422</v>
      </c>
      <c r="T1156">
        <v>3.6161345347706901</v>
      </c>
      <c r="U1156">
        <v>-2.5736981329739201</v>
      </c>
      <c r="V1156">
        <v>8.7778192111720808E-3</v>
      </c>
      <c r="W1156">
        <v>8.0225564995483695E-2</v>
      </c>
      <c r="X1156">
        <v>1</v>
      </c>
      <c r="Y1156">
        <v>0</v>
      </c>
    </row>
    <row r="1157" spans="1:25" x14ac:dyDescent="0.2">
      <c r="A1157" t="s">
        <v>4271</v>
      </c>
      <c r="B1157" t="s">
        <v>4272</v>
      </c>
      <c r="C1157" t="s">
        <v>4273</v>
      </c>
      <c r="D1157" t="s">
        <v>2692</v>
      </c>
      <c r="E1157" t="s">
        <v>4272</v>
      </c>
      <c r="F1157" t="s">
        <v>28</v>
      </c>
      <c r="G1157" t="s">
        <v>4272</v>
      </c>
      <c r="H1157" t="str">
        <f>"unc-73"</f>
        <v>unc-73</v>
      </c>
      <c r="I1157" t="s">
        <v>2692</v>
      </c>
      <c r="J1157">
        <v>12.6362405937281</v>
      </c>
      <c r="K1157">
        <v>12.6930863027348</v>
      </c>
      <c r="L1157">
        <v>12.2028420261154</v>
      </c>
      <c r="M1157">
        <v>12.8881967485676</v>
      </c>
      <c r="N1157">
        <v>12.9314892405982</v>
      </c>
      <c r="O1157">
        <v>12.839532494484899</v>
      </c>
      <c r="P1157">
        <v>0.37568318702419401</v>
      </c>
      <c r="Q1157">
        <v>-3.2710225271130697E-2</v>
      </c>
      <c r="R1157">
        <v>0.78407659931951801</v>
      </c>
      <c r="S1157">
        <v>12.472127240518301</v>
      </c>
      <c r="T1157">
        <v>1.9417487966136999</v>
      </c>
      <c r="U1157">
        <v>-5.26433062984038</v>
      </c>
      <c r="V1157">
        <v>6.9032752588297802E-2</v>
      </c>
      <c r="W1157">
        <v>0.26710175615020298</v>
      </c>
      <c r="X1157">
        <v>0</v>
      </c>
      <c r="Y1157">
        <v>0</v>
      </c>
    </row>
    <row r="1158" spans="1:25" x14ac:dyDescent="0.2">
      <c r="A1158" t="s">
        <v>4274</v>
      </c>
      <c r="B1158" t="s">
        <v>4275</v>
      </c>
      <c r="C1158" t="s">
        <v>4276</v>
      </c>
      <c r="D1158" t="s">
        <v>4277</v>
      </c>
      <c r="E1158" t="s">
        <v>4275</v>
      </c>
      <c r="F1158" t="s">
        <v>28</v>
      </c>
      <c r="G1158" t="s">
        <v>4275</v>
      </c>
      <c r="H1158" t="str">
        <f>"top-3"</f>
        <v>top-3</v>
      </c>
      <c r="I1158" t="s">
        <v>4277</v>
      </c>
      <c r="J1158">
        <v>12.243983117256599</v>
      </c>
      <c r="K1158">
        <v>11.7490999846713</v>
      </c>
      <c r="L1158">
        <v>11.8980104757149</v>
      </c>
      <c r="M1158">
        <v>11.8818835220733</v>
      </c>
      <c r="N1158">
        <v>12.188377342558701</v>
      </c>
      <c r="O1158">
        <v>12.3005999302062</v>
      </c>
      <c r="P1158">
        <v>0.159922405731802</v>
      </c>
      <c r="Q1158">
        <v>-0.26486650009461898</v>
      </c>
      <c r="R1158">
        <v>0.58471131155822198</v>
      </c>
      <c r="S1158">
        <v>12.2786471567467</v>
      </c>
      <c r="T1158">
        <v>0.79851977977938504</v>
      </c>
      <c r="U1158">
        <v>-6.7223206288281299</v>
      </c>
      <c r="V1158">
        <v>0.43633811393664901</v>
      </c>
      <c r="W1158">
        <v>0.70393597244008699</v>
      </c>
      <c r="X1158">
        <v>0</v>
      </c>
      <c r="Y1158">
        <v>0</v>
      </c>
    </row>
    <row r="1159" spans="1:25" x14ac:dyDescent="0.2">
      <c r="A1159" t="s">
        <v>4278</v>
      </c>
      <c r="B1159" t="s">
        <v>4279</v>
      </c>
      <c r="C1159" t="s">
        <v>4280</v>
      </c>
      <c r="D1159" t="s">
        <v>4281</v>
      </c>
      <c r="E1159" t="s">
        <v>4279</v>
      </c>
      <c r="F1159" t="s">
        <v>28</v>
      </c>
      <c r="G1159" t="s">
        <v>4279</v>
      </c>
      <c r="H1159" t="str">
        <f>"pqn-59"</f>
        <v>pqn-59</v>
      </c>
      <c r="I1159" t="s">
        <v>4281</v>
      </c>
      <c r="J1159">
        <v>14.3915627438619</v>
      </c>
      <c r="K1159">
        <v>13.9588074309838</v>
      </c>
      <c r="L1159">
        <v>14.408586708136101</v>
      </c>
      <c r="M1159">
        <v>15.7663758926144</v>
      </c>
      <c r="N1159">
        <v>15.361772738160001</v>
      </c>
      <c r="O1159">
        <v>15.532783582439199</v>
      </c>
      <c r="P1159">
        <v>1.3006584434106001</v>
      </c>
      <c r="Q1159">
        <v>8.8773400380538298E-2</v>
      </c>
      <c r="R1159">
        <v>2.5125434864406602</v>
      </c>
      <c r="S1159">
        <v>15.148513996785301</v>
      </c>
      <c r="T1159">
        <v>2.2557675881722399</v>
      </c>
      <c r="U1159">
        <v>-4.7075121381079397</v>
      </c>
      <c r="V1159">
        <v>3.6844619695637099E-2</v>
      </c>
      <c r="W1159">
        <v>0.19121593698501299</v>
      </c>
      <c r="X1159">
        <v>1</v>
      </c>
      <c r="Y1159">
        <v>0</v>
      </c>
    </row>
    <row r="1160" spans="1:25" x14ac:dyDescent="0.2">
      <c r="A1160" t="s">
        <v>4282</v>
      </c>
      <c r="B1160" t="s">
        <v>4283</v>
      </c>
      <c r="C1160" t="s">
        <v>14383</v>
      </c>
      <c r="D1160" t="s">
        <v>3246</v>
      </c>
      <c r="E1160" t="s">
        <v>4283</v>
      </c>
      <c r="F1160" t="s">
        <v>28</v>
      </c>
      <c r="G1160" t="s">
        <v>4283</v>
      </c>
      <c r="H1160" t="str">
        <f>"R119.3"</f>
        <v>R119.3</v>
      </c>
      <c r="I1160" t="s">
        <v>3246</v>
      </c>
      <c r="J1160">
        <v>12.7074765317703</v>
      </c>
      <c r="K1160">
        <v>12.476479830954</v>
      </c>
      <c r="L1160">
        <v>12.3637622401952</v>
      </c>
      <c r="M1160">
        <v>12.0645963648362</v>
      </c>
      <c r="N1160">
        <v>12.3194420985277</v>
      </c>
      <c r="O1160">
        <v>12.3051400197711</v>
      </c>
      <c r="P1160">
        <v>-0.28618003992816399</v>
      </c>
      <c r="Q1160">
        <v>-0.72786305526858297</v>
      </c>
      <c r="R1160">
        <v>0.155502975412255</v>
      </c>
      <c r="S1160">
        <v>12.453307141162201</v>
      </c>
      <c r="T1160">
        <v>-1.3742893175520501</v>
      </c>
      <c r="U1160">
        <v>-6.1110020398259897</v>
      </c>
      <c r="V1160">
        <v>0.18842053990014401</v>
      </c>
      <c r="W1160">
        <v>0.45056514652806701</v>
      </c>
      <c r="X1160">
        <v>0</v>
      </c>
      <c r="Y1160">
        <v>0</v>
      </c>
    </row>
    <row r="1161" spans="1:25" x14ac:dyDescent="0.2">
      <c r="A1161" t="s">
        <v>4284</v>
      </c>
      <c r="B1161" t="s">
        <v>4285</v>
      </c>
      <c r="C1161" t="s">
        <v>4286</v>
      </c>
      <c r="D1161" t="s">
        <v>93</v>
      </c>
      <c r="E1161" t="s">
        <v>4285</v>
      </c>
      <c r="F1161" t="s">
        <v>28</v>
      </c>
      <c r="G1161" t="s">
        <v>4285</v>
      </c>
      <c r="H1161" t="str">
        <f>"rnp-8"</f>
        <v>rnp-8</v>
      </c>
      <c r="I1161" t="s">
        <v>93</v>
      </c>
      <c r="J1161">
        <v>11.9798431637821</v>
      </c>
      <c r="K1161">
        <v>12.330829722527801</v>
      </c>
      <c r="L1161">
        <v>12.892216805952801</v>
      </c>
      <c r="M1161" t="s">
        <v>29</v>
      </c>
      <c r="N1161" t="s">
        <v>29</v>
      </c>
      <c r="O1161" t="s">
        <v>29</v>
      </c>
      <c r="P1161" t="s">
        <v>29</v>
      </c>
      <c r="Q1161" t="s">
        <v>29</v>
      </c>
      <c r="R1161" t="s">
        <v>29</v>
      </c>
      <c r="S1161">
        <v>13.054170817267501</v>
      </c>
      <c r="T1161" t="s">
        <v>29</v>
      </c>
      <c r="U1161" t="s">
        <v>29</v>
      </c>
      <c r="V1161" t="s">
        <v>29</v>
      </c>
      <c r="W1161" t="s">
        <v>29</v>
      </c>
      <c r="X1161" t="s">
        <v>29</v>
      </c>
      <c r="Y1161" t="s">
        <v>29</v>
      </c>
    </row>
    <row r="1162" spans="1:25" x14ac:dyDescent="0.2">
      <c r="A1162" t="s">
        <v>4287</v>
      </c>
      <c r="B1162" t="s">
        <v>4288</v>
      </c>
      <c r="C1162" t="s">
        <v>4289</v>
      </c>
      <c r="D1162" t="s">
        <v>4290</v>
      </c>
      <c r="E1162" t="s">
        <v>4288</v>
      </c>
      <c r="F1162" t="s">
        <v>28</v>
      </c>
      <c r="G1162" t="s">
        <v>4288</v>
      </c>
      <c r="H1162" t="str">
        <f>"nfs-1"</f>
        <v>nfs-1</v>
      </c>
      <c r="I1162" t="s">
        <v>4290</v>
      </c>
      <c r="J1162">
        <v>14.4083133586192</v>
      </c>
      <c r="K1162">
        <v>14.0664872259978</v>
      </c>
      <c r="L1162">
        <v>13.610568468902899</v>
      </c>
      <c r="M1162">
        <v>13.4964446255625</v>
      </c>
      <c r="N1162">
        <v>13.329410320163101</v>
      </c>
      <c r="O1162">
        <v>13.363934676891001</v>
      </c>
      <c r="P1162">
        <v>-0.63185981030110105</v>
      </c>
      <c r="Q1162">
        <v>-1.11561650864562</v>
      </c>
      <c r="R1162">
        <v>-0.14810311195658499</v>
      </c>
      <c r="S1162">
        <v>13.862443897312501</v>
      </c>
      <c r="T1162">
        <v>-2.75704436352764</v>
      </c>
      <c r="U1162">
        <v>-3.7575655342147098</v>
      </c>
      <c r="V1162">
        <v>1.3523021772111799E-2</v>
      </c>
      <c r="W1162">
        <v>0.108262902791587</v>
      </c>
      <c r="X1162">
        <v>0</v>
      </c>
      <c r="Y1162">
        <v>0</v>
      </c>
    </row>
    <row r="1163" spans="1:25" x14ac:dyDescent="0.2">
      <c r="A1163" t="s">
        <v>4291</v>
      </c>
      <c r="B1163" t="s">
        <v>4292</v>
      </c>
      <c r="C1163" t="s">
        <v>4293</v>
      </c>
      <c r="D1163" t="s">
        <v>4294</v>
      </c>
      <c r="E1163" t="s">
        <v>4292</v>
      </c>
      <c r="F1163" t="s">
        <v>28</v>
      </c>
      <c r="G1163" t="s">
        <v>4292</v>
      </c>
      <c r="H1163" t="str">
        <f>"rpn-10"</f>
        <v>rpn-10</v>
      </c>
      <c r="I1163" t="s">
        <v>4294</v>
      </c>
      <c r="J1163">
        <v>13.638242853217699</v>
      </c>
      <c r="K1163">
        <v>13.631464577092901</v>
      </c>
      <c r="L1163">
        <v>13.935688064958001</v>
      </c>
      <c r="M1163">
        <v>13.6316809985058</v>
      </c>
      <c r="N1163">
        <v>13.0648972320264</v>
      </c>
      <c r="O1163">
        <v>13.7729136478988</v>
      </c>
      <c r="P1163">
        <v>-0.24530120561256699</v>
      </c>
      <c r="Q1163">
        <v>-0.80657642615404801</v>
      </c>
      <c r="R1163">
        <v>0.31597401492891503</v>
      </c>
      <c r="S1163">
        <v>13.418700527966401</v>
      </c>
      <c r="T1163">
        <v>-0.92251582880386995</v>
      </c>
      <c r="U1163">
        <v>-6.6156759850586502</v>
      </c>
      <c r="V1163">
        <v>0.36924693374545098</v>
      </c>
      <c r="W1163">
        <v>0.64494338293488795</v>
      </c>
      <c r="X1163">
        <v>0</v>
      </c>
      <c r="Y1163">
        <v>0</v>
      </c>
    </row>
    <row r="1164" spans="1:25" x14ac:dyDescent="0.2">
      <c r="A1164" t="s">
        <v>4295</v>
      </c>
      <c r="B1164" t="s">
        <v>4296</v>
      </c>
      <c r="C1164" t="s">
        <v>4297</v>
      </c>
      <c r="D1164" t="s">
        <v>368</v>
      </c>
      <c r="E1164" t="s">
        <v>4296</v>
      </c>
      <c r="F1164" t="s">
        <v>28</v>
      </c>
      <c r="G1164" t="s">
        <v>4296</v>
      </c>
      <c r="H1164" t="str">
        <f>"B0205.10"</f>
        <v>B0205.10</v>
      </c>
      <c r="I1164" t="s">
        <v>368</v>
      </c>
      <c r="J1164">
        <v>9.5059963692155396</v>
      </c>
      <c r="K1164">
        <v>9.5615439099764394</v>
      </c>
      <c r="L1164">
        <v>11.380879369163701</v>
      </c>
      <c r="M1164" t="s">
        <v>29</v>
      </c>
      <c r="N1164" t="s">
        <v>29</v>
      </c>
      <c r="O1164" t="s">
        <v>29</v>
      </c>
      <c r="P1164" t="s">
        <v>29</v>
      </c>
      <c r="Q1164" t="s">
        <v>29</v>
      </c>
      <c r="R1164" t="s">
        <v>29</v>
      </c>
      <c r="S1164">
        <v>9.8504073877731102</v>
      </c>
      <c r="T1164" t="s">
        <v>29</v>
      </c>
      <c r="U1164" t="s">
        <v>29</v>
      </c>
      <c r="V1164" t="s">
        <v>29</v>
      </c>
      <c r="W1164" t="s">
        <v>29</v>
      </c>
      <c r="X1164" t="s">
        <v>29</v>
      </c>
      <c r="Y1164" t="s">
        <v>29</v>
      </c>
    </row>
    <row r="1165" spans="1:25" x14ac:dyDescent="0.2">
      <c r="A1165" t="s">
        <v>4298</v>
      </c>
      <c r="B1165" t="s">
        <v>4299</v>
      </c>
      <c r="C1165" t="s">
        <v>4300</v>
      </c>
      <c r="D1165" t="s">
        <v>4301</v>
      </c>
      <c r="E1165" t="s">
        <v>4299</v>
      </c>
      <c r="F1165" t="s">
        <v>28</v>
      </c>
      <c r="G1165" t="s">
        <v>4299</v>
      </c>
      <c r="H1165" t="str">
        <f>"F37F2.2"</f>
        <v>F37F2.2</v>
      </c>
      <c r="I1165" t="s">
        <v>4301</v>
      </c>
      <c r="J1165">
        <v>14.393725112986701</v>
      </c>
      <c r="K1165">
        <v>14.187844169174699</v>
      </c>
      <c r="L1165">
        <v>14.420031394938899</v>
      </c>
      <c r="M1165">
        <v>13.966403111810701</v>
      </c>
      <c r="N1165">
        <v>14.1779415102574</v>
      </c>
      <c r="O1165">
        <v>13.890342284001299</v>
      </c>
      <c r="P1165">
        <v>-0.32230459034363101</v>
      </c>
      <c r="Q1165">
        <v>-0.78133132802683503</v>
      </c>
      <c r="R1165">
        <v>0.136722147339573</v>
      </c>
      <c r="S1165">
        <v>14.0004677517004</v>
      </c>
      <c r="T1165">
        <v>-1.48210345848516</v>
      </c>
      <c r="U1165">
        <v>-5.9669514708303204</v>
      </c>
      <c r="V1165">
        <v>0.15672434163690399</v>
      </c>
      <c r="W1165">
        <v>0.40771105982387001</v>
      </c>
      <c r="X1165">
        <v>0</v>
      </c>
      <c r="Y1165">
        <v>0</v>
      </c>
    </row>
    <row r="1166" spans="1:25" x14ac:dyDescent="0.2">
      <c r="A1166" t="s">
        <v>4302</v>
      </c>
      <c r="B1166" t="s">
        <v>4303</v>
      </c>
      <c r="C1166" t="s">
        <v>4304</v>
      </c>
      <c r="D1166" t="s">
        <v>1646</v>
      </c>
      <c r="E1166" t="s">
        <v>4303</v>
      </c>
      <c r="F1166" t="s">
        <v>28</v>
      </c>
      <c r="G1166" t="s">
        <v>4303</v>
      </c>
      <c r="H1166" t="str">
        <f>"vet-2"</f>
        <v>vet-2</v>
      </c>
      <c r="I1166" t="s">
        <v>1646</v>
      </c>
      <c r="J1166">
        <v>11.535051241232701</v>
      </c>
      <c r="K1166" t="s">
        <v>29</v>
      </c>
      <c r="L1166">
        <v>11.752150402099399</v>
      </c>
      <c r="M1166">
        <v>12.305632308130701</v>
      </c>
      <c r="N1166">
        <v>10.767169203712999</v>
      </c>
      <c r="O1166">
        <v>10.181323366163401</v>
      </c>
      <c r="P1166">
        <v>-0.55889252899702802</v>
      </c>
      <c r="Q1166">
        <v>-1.82253654722517</v>
      </c>
      <c r="R1166">
        <v>0.70475148923111697</v>
      </c>
      <c r="S1166">
        <v>11.140750031820399</v>
      </c>
      <c r="T1166">
        <v>-0.94328985614618699</v>
      </c>
      <c r="U1166">
        <v>-6.4846541144708896</v>
      </c>
      <c r="V1166">
        <v>0.36058248941488402</v>
      </c>
      <c r="W1166">
        <v>0.63768229378045305</v>
      </c>
      <c r="X1166">
        <v>0</v>
      </c>
      <c r="Y1166">
        <v>0</v>
      </c>
    </row>
    <row r="1167" spans="1:25" x14ac:dyDescent="0.2">
      <c r="A1167" t="s">
        <v>4305</v>
      </c>
      <c r="B1167" t="s">
        <v>4306</v>
      </c>
      <c r="C1167" t="s">
        <v>4307</v>
      </c>
      <c r="D1167" t="s">
        <v>3898</v>
      </c>
      <c r="E1167" t="s">
        <v>4306</v>
      </c>
      <c r="F1167" t="s">
        <v>28</v>
      </c>
      <c r="G1167" t="s">
        <v>4306</v>
      </c>
      <c r="H1167" t="str">
        <f>"inx-15"</f>
        <v>inx-15</v>
      </c>
      <c r="I1167" t="s">
        <v>3898</v>
      </c>
      <c r="J1167">
        <v>14.950533776639499</v>
      </c>
      <c r="K1167">
        <v>14.972639673782201</v>
      </c>
      <c r="L1167">
        <v>14.6704132165023</v>
      </c>
      <c r="M1167">
        <v>14.771504839218199</v>
      </c>
      <c r="N1167">
        <v>14.8778007637362</v>
      </c>
      <c r="O1167">
        <v>14.5308342755539</v>
      </c>
      <c r="P1167">
        <v>-0.137815596138543</v>
      </c>
      <c r="Q1167">
        <v>-0.59028625586696104</v>
      </c>
      <c r="R1167">
        <v>0.31465506358987599</v>
      </c>
      <c r="S1167">
        <v>14.655913912251</v>
      </c>
      <c r="T1167">
        <v>-0.64017757699069999</v>
      </c>
      <c r="U1167">
        <v>-6.8397510477608501</v>
      </c>
      <c r="V1167">
        <v>0.53016934828258899</v>
      </c>
      <c r="W1167">
        <v>0.77317525993383995</v>
      </c>
      <c r="X1167">
        <v>0</v>
      </c>
      <c r="Y1167">
        <v>0</v>
      </c>
    </row>
    <row r="1168" spans="1:25" x14ac:dyDescent="0.2">
      <c r="A1168" t="s">
        <v>4308</v>
      </c>
      <c r="B1168" t="s">
        <v>4309</v>
      </c>
      <c r="C1168" t="s">
        <v>4310</v>
      </c>
      <c r="D1168" t="s">
        <v>4311</v>
      </c>
      <c r="E1168" t="s">
        <v>4309</v>
      </c>
      <c r="F1168" t="s">
        <v>28</v>
      </c>
      <c r="G1168" t="s">
        <v>4309</v>
      </c>
      <c r="H1168" t="str">
        <f>"inx-16"</f>
        <v>inx-16</v>
      </c>
      <c r="I1168" t="s">
        <v>4311</v>
      </c>
      <c r="J1168">
        <v>13.066210070034099</v>
      </c>
      <c r="K1168">
        <v>13.0204349316289</v>
      </c>
      <c r="L1168">
        <v>12.987700532908599</v>
      </c>
      <c r="M1168">
        <v>12.811157424494001</v>
      </c>
      <c r="N1168">
        <v>13.3853783098756</v>
      </c>
      <c r="O1168">
        <v>13.6308791431183</v>
      </c>
      <c r="P1168">
        <v>0.251023114305433</v>
      </c>
      <c r="Q1168">
        <v>-0.314638920504339</v>
      </c>
      <c r="R1168">
        <v>0.81668514911520396</v>
      </c>
      <c r="S1168">
        <v>12.977655803569</v>
      </c>
      <c r="T1168">
        <v>0.93271550223874</v>
      </c>
      <c r="U1168">
        <v>-6.6069871660052604</v>
      </c>
      <c r="V1168">
        <v>0.36338159629320299</v>
      </c>
      <c r="W1168">
        <v>0.63985049477168898</v>
      </c>
      <c r="X1168">
        <v>0</v>
      </c>
      <c r="Y1168">
        <v>0</v>
      </c>
    </row>
    <row r="1169" spans="1:25" x14ac:dyDescent="0.2">
      <c r="A1169" t="s">
        <v>4312</v>
      </c>
      <c r="B1169" t="s">
        <v>4313</v>
      </c>
      <c r="C1169" t="s">
        <v>4314</v>
      </c>
      <c r="D1169" t="s">
        <v>4315</v>
      </c>
      <c r="E1169" t="s">
        <v>4313</v>
      </c>
      <c r="F1169" t="s">
        <v>28</v>
      </c>
      <c r="G1169" t="s">
        <v>4313</v>
      </c>
      <c r="H1169" t="str">
        <f>"inx-17"</f>
        <v>inx-17</v>
      </c>
      <c r="I1169" t="s">
        <v>4315</v>
      </c>
      <c r="J1169">
        <v>12.1763032622056</v>
      </c>
      <c r="K1169">
        <v>12.2236085541343</v>
      </c>
      <c r="L1169">
        <v>12.098040442770101</v>
      </c>
      <c r="M1169">
        <v>12.795009850740399</v>
      </c>
      <c r="N1169">
        <v>12.6674868332655</v>
      </c>
      <c r="O1169">
        <v>12.5951626602474</v>
      </c>
      <c r="P1169">
        <v>0.51990236171441995</v>
      </c>
      <c r="Q1169">
        <v>-0.115338632809209</v>
      </c>
      <c r="R1169">
        <v>1.15514335623805</v>
      </c>
      <c r="S1169">
        <v>12.401570296219701</v>
      </c>
      <c r="T1169">
        <v>1.7275605831493099</v>
      </c>
      <c r="U1169">
        <v>-5.60819946553256</v>
      </c>
      <c r="V1169">
        <v>0.102300576988355</v>
      </c>
      <c r="W1169">
        <v>0.32979981917923201</v>
      </c>
      <c r="X1169">
        <v>0</v>
      </c>
      <c r="Y1169">
        <v>0</v>
      </c>
    </row>
    <row r="1170" spans="1:25" x14ac:dyDescent="0.2">
      <c r="A1170" t="s">
        <v>4316</v>
      </c>
      <c r="B1170" t="s">
        <v>4317</v>
      </c>
      <c r="C1170" t="s">
        <v>4318</v>
      </c>
      <c r="D1170" t="s">
        <v>4319</v>
      </c>
      <c r="E1170" t="s">
        <v>4317</v>
      </c>
      <c r="F1170" t="s">
        <v>28</v>
      </c>
      <c r="G1170" t="s">
        <v>4317</v>
      </c>
      <c r="H1170" t="str">
        <f>"R12E2.11"</f>
        <v>R12E2.11</v>
      </c>
      <c r="I1170" t="s">
        <v>4319</v>
      </c>
      <c r="J1170" t="s">
        <v>29</v>
      </c>
      <c r="K1170" t="s">
        <v>29</v>
      </c>
      <c r="L1170" t="s">
        <v>29</v>
      </c>
      <c r="M1170">
        <v>13.869990039133899</v>
      </c>
      <c r="N1170">
        <v>13.683144176210901</v>
      </c>
      <c r="O1170">
        <v>13.236947371609499</v>
      </c>
      <c r="P1170" t="s">
        <v>29</v>
      </c>
      <c r="Q1170" t="s">
        <v>29</v>
      </c>
      <c r="R1170" t="s">
        <v>29</v>
      </c>
      <c r="S1170">
        <v>12.7083873536367</v>
      </c>
      <c r="T1170" t="s">
        <v>29</v>
      </c>
      <c r="U1170" t="s">
        <v>29</v>
      </c>
      <c r="V1170" t="s">
        <v>29</v>
      </c>
      <c r="W1170" t="s">
        <v>29</v>
      </c>
      <c r="X1170" t="s">
        <v>29</v>
      </c>
      <c r="Y1170" t="s">
        <v>29</v>
      </c>
    </row>
    <row r="1171" spans="1:25" x14ac:dyDescent="0.2">
      <c r="A1171" t="s">
        <v>4320</v>
      </c>
      <c r="B1171" t="s">
        <v>4321</v>
      </c>
      <c r="C1171" t="s">
        <v>4322</v>
      </c>
      <c r="D1171" t="s">
        <v>4323</v>
      </c>
      <c r="E1171" t="s">
        <v>4321</v>
      </c>
      <c r="F1171" t="s">
        <v>28</v>
      </c>
      <c r="G1171" t="s">
        <v>4321</v>
      </c>
      <c r="H1171" t="str">
        <f>"mrps-6"</f>
        <v>mrps-6</v>
      </c>
      <c r="I1171" t="s">
        <v>4323</v>
      </c>
      <c r="J1171">
        <v>11.917596042998699</v>
      </c>
      <c r="K1171">
        <v>12.797483361262501</v>
      </c>
      <c r="L1171">
        <v>12.7687727137536</v>
      </c>
      <c r="M1171" t="s">
        <v>29</v>
      </c>
      <c r="N1171">
        <v>12.356107492469199</v>
      </c>
      <c r="O1171" t="s">
        <v>29</v>
      </c>
      <c r="P1171">
        <v>-0.138509880202454</v>
      </c>
      <c r="Q1171">
        <v>-1.25834351244918</v>
      </c>
      <c r="R1171">
        <v>0.98132375204427302</v>
      </c>
      <c r="S1171">
        <v>12.4454732102413</v>
      </c>
      <c r="T1171">
        <v>-0.26743268920067398</v>
      </c>
      <c r="U1171">
        <v>-6.6713061841589898</v>
      </c>
      <c r="V1171">
        <v>0.79336561149099805</v>
      </c>
      <c r="W1171">
        <v>0.91517844850619501</v>
      </c>
      <c r="X1171">
        <v>0</v>
      </c>
      <c r="Y1171">
        <v>0</v>
      </c>
    </row>
    <row r="1172" spans="1:25" x14ac:dyDescent="0.2">
      <c r="A1172" t="s">
        <v>4324</v>
      </c>
      <c r="B1172" t="s">
        <v>4325</v>
      </c>
      <c r="C1172" t="s">
        <v>4326</v>
      </c>
      <c r="D1172" t="s">
        <v>4327</v>
      </c>
      <c r="E1172" t="s">
        <v>4325</v>
      </c>
      <c r="F1172" t="s">
        <v>28</v>
      </c>
      <c r="G1172" t="s">
        <v>4325</v>
      </c>
      <c r="H1172" t="str">
        <f>"rpn-8"</f>
        <v>rpn-8</v>
      </c>
      <c r="I1172" t="s">
        <v>4327</v>
      </c>
      <c r="J1172">
        <v>11.412944807020301</v>
      </c>
      <c r="K1172">
        <v>12.213950098172599</v>
      </c>
      <c r="L1172">
        <v>11.839812903120199</v>
      </c>
      <c r="M1172">
        <v>12.2109528899997</v>
      </c>
      <c r="N1172">
        <v>13.192550439503</v>
      </c>
      <c r="O1172">
        <v>12.8502010642556</v>
      </c>
      <c r="P1172">
        <v>0.92899886181507396</v>
      </c>
      <c r="Q1172">
        <v>0.33102696970270901</v>
      </c>
      <c r="R1172">
        <v>1.52697075392744</v>
      </c>
      <c r="S1172">
        <v>12.6887096577317</v>
      </c>
      <c r="T1172">
        <v>3.2653288448798201</v>
      </c>
      <c r="U1172">
        <v>-2.6776286176389501</v>
      </c>
      <c r="V1172">
        <v>4.3234070306149997E-3</v>
      </c>
      <c r="W1172">
        <v>4.9190092579095103E-2</v>
      </c>
      <c r="X1172">
        <v>0</v>
      </c>
      <c r="Y1172">
        <v>0</v>
      </c>
    </row>
    <row r="1173" spans="1:25" x14ac:dyDescent="0.2">
      <c r="A1173" t="s">
        <v>4328</v>
      </c>
      <c r="B1173" t="s">
        <v>4329</v>
      </c>
      <c r="C1173" t="s">
        <v>4330</v>
      </c>
      <c r="D1173" t="s">
        <v>1296</v>
      </c>
      <c r="E1173" t="s">
        <v>4329</v>
      </c>
      <c r="F1173" t="s">
        <v>28</v>
      </c>
      <c r="G1173" t="s">
        <v>4329</v>
      </c>
      <c r="H1173" t="str">
        <f>"B0511.6"</f>
        <v>B0511.6</v>
      </c>
      <c r="I1173" t="s">
        <v>1296</v>
      </c>
      <c r="J1173">
        <v>14.9995884651201</v>
      </c>
      <c r="K1173">
        <v>14.940884288329601</v>
      </c>
      <c r="L1173">
        <v>14.9676531605525</v>
      </c>
      <c r="M1173">
        <v>15.122873187952401</v>
      </c>
      <c r="N1173">
        <v>15.232169082385999</v>
      </c>
      <c r="O1173">
        <v>14.7633983592089</v>
      </c>
      <c r="P1173">
        <v>7.0104905181704397E-2</v>
      </c>
      <c r="Q1173">
        <v>-0.30269374583330999</v>
      </c>
      <c r="R1173">
        <v>0.44290355619671901</v>
      </c>
      <c r="S1173">
        <v>15.0218441534233</v>
      </c>
      <c r="T1173">
        <v>0.39524518436474398</v>
      </c>
      <c r="U1173">
        <v>-6.9705757496302603</v>
      </c>
      <c r="V1173">
        <v>0.69733377399643803</v>
      </c>
      <c r="W1173">
        <v>0.865842761453545</v>
      </c>
      <c r="X1173">
        <v>0</v>
      </c>
      <c r="Y1173">
        <v>0</v>
      </c>
    </row>
    <row r="1174" spans="1:25" x14ac:dyDescent="0.2">
      <c r="A1174" t="s">
        <v>4331</v>
      </c>
      <c r="B1174" t="s">
        <v>4332</v>
      </c>
      <c r="C1174" t="s">
        <v>4333</v>
      </c>
      <c r="D1174" t="s">
        <v>4334</v>
      </c>
      <c r="E1174" t="s">
        <v>4332</v>
      </c>
      <c r="F1174" t="s">
        <v>28</v>
      </c>
      <c r="G1174" t="s">
        <v>4332</v>
      </c>
      <c r="H1174" t="str">
        <f>"mrps-30"</f>
        <v>mrps-30</v>
      </c>
      <c r="I1174" t="s">
        <v>4334</v>
      </c>
      <c r="J1174">
        <v>13.7301442693903</v>
      </c>
      <c r="K1174">
        <v>14.134090003916301</v>
      </c>
      <c r="L1174">
        <v>14.0626453174788</v>
      </c>
      <c r="M1174">
        <v>13.403092284392599</v>
      </c>
      <c r="N1174">
        <v>13.5063673098105</v>
      </c>
      <c r="O1174">
        <v>13.4310240325365</v>
      </c>
      <c r="P1174">
        <v>-0.52879865468189302</v>
      </c>
      <c r="Q1174">
        <v>-1.0553886344215</v>
      </c>
      <c r="R1174">
        <v>-2.2086749422819399E-3</v>
      </c>
      <c r="S1174">
        <v>13.9905741136745</v>
      </c>
      <c r="T1174">
        <v>-2.1106210436592399</v>
      </c>
      <c r="U1174">
        <v>-4.9692326391751296</v>
      </c>
      <c r="V1174">
        <v>4.9143988842334799E-2</v>
      </c>
      <c r="W1174">
        <v>0.22087643603999599</v>
      </c>
      <c r="X1174">
        <v>0</v>
      </c>
      <c r="Y1174">
        <v>0</v>
      </c>
    </row>
    <row r="1175" spans="1:25" x14ac:dyDescent="0.2">
      <c r="A1175" t="s">
        <v>4335</v>
      </c>
      <c r="B1175" t="s">
        <v>4336</v>
      </c>
      <c r="C1175" t="s">
        <v>4337</v>
      </c>
      <c r="D1175" t="s">
        <v>4338</v>
      </c>
      <c r="E1175" t="s">
        <v>4336</v>
      </c>
      <c r="F1175" t="s">
        <v>28</v>
      </c>
      <c r="G1175" t="s">
        <v>4336</v>
      </c>
      <c r="H1175" t="str">
        <f>"eif-3.E"</f>
        <v>eif-3.E</v>
      </c>
      <c r="I1175" t="s">
        <v>4338</v>
      </c>
      <c r="J1175">
        <v>13.521984733144</v>
      </c>
      <c r="K1175">
        <v>13.7153323965626</v>
      </c>
      <c r="L1175">
        <v>13.877777047316499</v>
      </c>
      <c r="M1175">
        <v>13.7987325726835</v>
      </c>
      <c r="N1175">
        <v>13.934729902258599</v>
      </c>
      <c r="O1175">
        <v>13.908340811149699</v>
      </c>
      <c r="P1175">
        <v>0.17556970302288899</v>
      </c>
      <c r="Q1175">
        <v>-0.25794502446454998</v>
      </c>
      <c r="R1175">
        <v>0.60908443051032801</v>
      </c>
      <c r="S1175">
        <v>13.800255768174299</v>
      </c>
      <c r="T1175">
        <v>0.85486144730974201</v>
      </c>
      <c r="U1175">
        <v>-6.6760432037900896</v>
      </c>
      <c r="V1175">
        <v>0.40458764428320698</v>
      </c>
      <c r="W1175">
        <v>0.67692845385240097</v>
      </c>
      <c r="X1175">
        <v>0</v>
      </c>
      <c r="Y1175">
        <v>0</v>
      </c>
    </row>
    <row r="1176" spans="1:25" x14ac:dyDescent="0.2">
      <c r="A1176" t="s">
        <v>4339</v>
      </c>
      <c r="B1176" t="s">
        <v>4340</v>
      </c>
      <c r="C1176" t="s">
        <v>4341</v>
      </c>
      <c r="D1176" t="s">
        <v>2787</v>
      </c>
      <c r="E1176" t="s">
        <v>4340</v>
      </c>
      <c r="F1176" t="s">
        <v>28</v>
      </c>
      <c r="G1176" t="s">
        <v>4340</v>
      </c>
      <c r="H1176" t="str">
        <f>"prmt-6"</f>
        <v>prmt-6</v>
      </c>
      <c r="I1176" t="s">
        <v>2787</v>
      </c>
      <c r="J1176" t="s">
        <v>29</v>
      </c>
      <c r="K1176">
        <v>11.4153212171456</v>
      </c>
      <c r="L1176">
        <v>11.809106944166</v>
      </c>
      <c r="M1176">
        <v>12.5575896403725</v>
      </c>
      <c r="N1176">
        <v>11.688642393305599</v>
      </c>
      <c r="O1176">
        <v>12.117356364505101</v>
      </c>
      <c r="P1176">
        <v>0.50898205207193603</v>
      </c>
      <c r="Q1176">
        <v>-0.14023516606314301</v>
      </c>
      <c r="R1176">
        <v>1.1581992702070101</v>
      </c>
      <c r="S1176">
        <v>12.0497991370297</v>
      </c>
      <c r="T1176">
        <v>1.6951170157176101</v>
      </c>
      <c r="U1176">
        <v>-5.5579757232106397</v>
      </c>
      <c r="V1176">
        <v>0.114048865418223</v>
      </c>
      <c r="W1176">
        <v>0.34678170162170102</v>
      </c>
      <c r="X1176">
        <v>0</v>
      </c>
      <c r="Y1176">
        <v>0</v>
      </c>
    </row>
    <row r="1177" spans="1:25" x14ac:dyDescent="0.2">
      <c r="A1177" t="s">
        <v>4342</v>
      </c>
      <c r="B1177" t="s">
        <v>4343</v>
      </c>
      <c r="C1177" t="s">
        <v>4344</v>
      </c>
      <c r="D1177" t="s">
        <v>4345</v>
      </c>
      <c r="E1177" t="s">
        <v>4343</v>
      </c>
      <c r="F1177" t="s">
        <v>28</v>
      </c>
      <c r="G1177" t="s">
        <v>4343</v>
      </c>
      <c r="H1177" t="str">
        <f>"chd-7"</f>
        <v>chd-7</v>
      </c>
      <c r="I1177" t="s">
        <v>4345</v>
      </c>
      <c r="J1177">
        <v>11.7670537455808</v>
      </c>
      <c r="K1177">
        <v>12.6653910321817</v>
      </c>
      <c r="L1177">
        <v>11.888119697553501</v>
      </c>
      <c r="M1177">
        <v>12.5074227133346</v>
      </c>
      <c r="N1177">
        <v>12.8880853277621</v>
      </c>
      <c r="O1177">
        <v>12.410276351716901</v>
      </c>
      <c r="P1177">
        <v>0.49507330583254799</v>
      </c>
      <c r="Q1177">
        <v>-0.38673694950262599</v>
      </c>
      <c r="R1177">
        <v>1.3768835611677199</v>
      </c>
      <c r="S1177">
        <v>12.4419086967232</v>
      </c>
      <c r="T1177">
        <v>1.1850710197144501</v>
      </c>
      <c r="U1177">
        <v>-6.34308710128035</v>
      </c>
      <c r="V1177">
        <v>0.25239160378981301</v>
      </c>
      <c r="W1177">
        <v>0.52723345192617499</v>
      </c>
      <c r="X1177">
        <v>0</v>
      </c>
      <c r="Y1177">
        <v>0</v>
      </c>
    </row>
    <row r="1178" spans="1:25" x14ac:dyDescent="0.2">
      <c r="A1178" t="s">
        <v>4346</v>
      </c>
      <c r="B1178" t="s">
        <v>4347</v>
      </c>
      <c r="C1178" t="s">
        <v>4348</v>
      </c>
      <c r="D1178" t="s">
        <v>4349</v>
      </c>
      <c r="E1178" t="s">
        <v>4347</v>
      </c>
      <c r="F1178" t="s">
        <v>28</v>
      </c>
      <c r="G1178" t="s">
        <v>4347</v>
      </c>
      <c r="H1178" t="str">
        <f>"T26C12.1"</f>
        <v>T26C12.1</v>
      </c>
      <c r="I1178" t="s">
        <v>4349</v>
      </c>
      <c r="J1178">
        <v>12.552291051040299</v>
      </c>
      <c r="K1178">
        <v>12.4083206256417</v>
      </c>
      <c r="L1178">
        <v>12.7806918883</v>
      </c>
      <c r="M1178">
        <v>12.538458002554201</v>
      </c>
      <c r="N1178">
        <v>11.995064099812501</v>
      </c>
      <c r="O1178">
        <v>12.4374625624713</v>
      </c>
      <c r="P1178">
        <v>-0.25677296671467997</v>
      </c>
      <c r="Q1178">
        <v>-0.65929213236571504</v>
      </c>
      <c r="R1178">
        <v>0.14574619893635599</v>
      </c>
      <c r="S1178">
        <v>12.3242387681143</v>
      </c>
      <c r="T1178">
        <v>-1.3465198134290901</v>
      </c>
      <c r="U1178">
        <v>-6.1470296212004403</v>
      </c>
      <c r="V1178">
        <v>0.19592273416932099</v>
      </c>
      <c r="W1178">
        <v>0.456617007884905</v>
      </c>
      <c r="X1178">
        <v>0</v>
      </c>
      <c r="Y1178">
        <v>0</v>
      </c>
    </row>
    <row r="1179" spans="1:25" x14ac:dyDescent="0.2">
      <c r="A1179" t="s">
        <v>4350</v>
      </c>
      <c r="B1179" t="s">
        <v>4351</v>
      </c>
      <c r="C1179" t="s">
        <v>14384</v>
      </c>
      <c r="D1179" t="s">
        <v>4352</v>
      </c>
      <c r="E1179" t="s">
        <v>4351</v>
      </c>
      <c r="F1179" t="s">
        <v>28</v>
      </c>
      <c r="G1179" t="s">
        <v>4351</v>
      </c>
      <c r="H1179" t="str">
        <f>"W02G9.3"</f>
        <v>W02G9.3</v>
      </c>
      <c r="I1179" t="s">
        <v>4352</v>
      </c>
      <c r="J1179">
        <v>13.7476969549845</v>
      </c>
      <c r="K1179">
        <v>13.821101346035</v>
      </c>
      <c r="L1179">
        <v>13.535253566484499</v>
      </c>
      <c r="M1179">
        <v>14.4624367158443</v>
      </c>
      <c r="N1179">
        <v>14.296360029155</v>
      </c>
      <c r="O1179">
        <v>14.063010706186899</v>
      </c>
      <c r="P1179">
        <v>0.572585194560702</v>
      </c>
      <c r="Q1179">
        <v>0.18607126970365501</v>
      </c>
      <c r="R1179">
        <v>0.95909911941774895</v>
      </c>
      <c r="S1179">
        <v>13.7140544829288</v>
      </c>
      <c r="T1179">
        <v>3.1421325323078499</v>
      </c>
      <c r="U1179">
        <v>-3.0092987692586002</v>
      </c>
      <c r="V1179">
        <v>6.3388582039113897E-3</v>
      </c>
      <c r="W1179">
        <v>6.4257459799151595E-2</v>
      </c>
      <c r="X1179">
        <v>0</v>
      </c>
      <c r="Y1179">
        <v>0</v>
      </c>
    </row>
    <row r="1180" spans="1:25" x14ac:dyDescent="0.2">
      <c r="A1180" t="s">
        <v>4353</v>
      </c>
      <c r="B1180" t="s">
        <v>4354</v>
      </c>
      <c r="C1180" t="s">
        <v>4355</v>
      </c>
      <c r="D1180" t="s">
        <v>4356</v>
      </c>
      <c r="E1180" t="s">
        <v>4354</v>
      </c>
      <c r="F1180" t="s">
        <v>28</v>
      </c>
      <c r="G1180" t="s">
        <v>4354</v>
      </c>
      <c r="H1180" t="str">
        <f>"lin-40"</f>
        <v>lin-40</v>
      </c>
      <c r="I1180" t="s">
        <v>4356</v>
      </c>
      <c r="J1180">
        <v>11.0371614812396</v>
      </c>
      <c r="K1180">
        <v>11.202247404786799</v>
      </c>
      <c r="L1180">
        <v>11.6687168479598</v>
      </c>
      <c r="M1180">
        <v>11.7435144399149</v>
      </c>
      <c r="N1180">
        <v>11.683660302187899</v>
      </c>
      <c r="O1180">
        <v>11.689982876751699</v>
      </c>
      <c r="P1180">
        <v>0.40301062828936202</v>
      </c>
      <c r="Q1180">
        <v>-8.9206259560937806E-2</v>
      </c>
      <c r="R1180">
        <v>0.89522751613966201</v>
      </c>
      <c r="S1180">
        <v>11.7218017792914</v>
      </c>
      <c r="T1180">
        <v>1.7366388777548201</v>
      </c>
      <c r="U1180">
        <v>-5.5962250686360901</v>
      </c>
      <c r="V1180">
        <v>0.101787678056718</v>
      </c>
      <c r="W1180">
        <v>0.32979981917923201</v>
      </c>
      <c r="X1180">
        <v>0</v>
      </c>
      <c r="Y1180">
        <v>0</v>
      </c>
    </row>
    <row r="1181" spans="1:25" x14ac:dyDescent="0.2">
      <c r="A1181" t="s">
        <v>4357</v>
      </c>
      <c r="B1181" t="s">
        <v>4358</v>
      </c>
      <c r="C1181" t="s">
        <v>4359</v>
      </c>
      <c r="D1181" t="s">
        <v>4360</v>
      </c>
      <c r="E1181" t="s">
        <v>4358</v>
      </c>
      <c r="F1181" t="s">
        <v>28</v>
      </c>
      <c r="G1181" t="s">
        <v>4358</v>
      </c>
      <c r="H1181" t="str">
        <f>"ergo-1"</f>
        <v>ergo-1</v>
      </c>
      <c r="I1181" t="s">
        <v>4360</v>
      </c>
      <c r="J1181">
        <v>12.8292058801128</v>
      </c>
      <c r="K1181">
        <v>13.4004033072786</v>
      </c>
      <c r="L1181">
        <v>13.550554901921901</v>
      </c>
      <c r="M1181">
        <v>13.239092147084</v>
      </c>
      <c r="N1181">
        <v>13.0844695570896</v>
      </c>
      <c r="O1181">
        <v>13.2817920713776</v>
      </c>
      <c r="P1181">
        <v>-5.8270104587371897E-2</v>
      </c>
      <c r="Q1181">
        <v>-0.71791876475690497</v>
      </c>
      <c r="R1181">
        <v>0.60137855558216102</v>
      </c>
      <c r="S1181">
        <v>13.6793457920013</v>
      </c>
      <c r="T1181">
        <v>-0.18566311219383699</v>
      </c>
      <c r="U1181">
        <v>-7.0340390560527704</v>
      </c>
      <c r="V1181">
        <v>0.85479720239877399</v>
      </c>
      <c r="W1181">
        <v>0.94313111037049002</v>
      </c>
      <c r="X1181">
        <v>0</v>
      </c>
      <c r="Y1181">
        <v>0</v>
      </c>
    </row>
    <row r="1182" spans="1:25" x14ac:dyDescent="0.2">
      <c r="A1182" t="s">
        <v>4361</v>
      </c>
      <c r="B1182" t="s">
        <v>4362</v>
      </c>
      <c r="C1182" t="s">
        <v>4363</v>
      </c>
      <c r="D1182" t="s">
        <v>4364</v>
      </c>
      <c r="E1182" t="s">
        <v>4362</v>
      </c>
      <c r="F1182" t="s">
        <v>28</v>
      </c>
      <c r="G1182" t="s">
        <v>4362</v>
      </c>
      <c r="H1182" t="str">
        <f>"ife-3"</f>
        <v>ife-3</v>
      </c>
      <c r="I1182" t="s">
        <v>4364</v>
      </c>
      <c r="J1182">
        <v>12.5242238364489</v>
      </c>
      <c r="K1182">
        <v>12.266091577657599</v>
      </c>
      <c r="L1182">
        <v>12.8885185381202</v>
      </c>
      <c r="M1182" t="s">
        <v>29</v>
      </c>
      <c r="N1182">
        <v>12.594921297826801</v>
      </c>
      <c r="O1182">
        <v>12.308999349537901</v>
      </c>
      <c r="P1182">
        <v>-0.10765099372652601</v>
      </c>
      <c r="Q1182">
        <v>-0.70552657116762596</v>
      </c>
      <c r="R1182">
        <v>0.490224583714573</v>
      </c>
      <c r="S1182">
        <v>12.923978188816699</v>
      </c>
      <c r="T1182">
        <v>-0.38401557209217402</v>
      </c>
      <c r="U1182">
        <v>-6.8638554334138799</v>
      </c>
      <c r="V1182">
        <v>0.70639328614783103</v>
      </c>
      <c r="W1182">
        <v>0.86869816049085902</v>
      </c>
      <c r="X1182">
        <v>0</v>
      </c>
      <c r="Y1182">
        <v>0</v>
      </c>
    </row>
    <row r="1183" spans="1:25" x14ac:dyDescent="0.2">
      <c r="A1183" t="s">
        <v>4365</v>
      </c>
      <c r="B1183" t="s">
        <v>4366</v>
      </c>
      <c r="C1183" t="s">
        <v>4367</v>
      </c>
      <c r="D1183" t="s">
        <v>4368</v>
      </c>
      <c r="E1183" t="s">
        <v>4366</v>
      </c>
      <c r="F1183" t="s">
        <v>28</v>
      </c>
      <c r="G1183" t="s">
        <v>4366</v>
      </c>
      <c r="H1183" t="str">
        <f>"let-413"</f>
        <v>let-413</v>
      </c>
      <c r="I1183" t="s">
        <v>4368</v>
      </c>
      <c r="J1183">
        <v>12.878177973834299</v>
      </c>
      <c r="K1183">
        <v>12.8145710348709</v>
      </c>
      <c r="L1183">
        <v>12.7163918166912</v>
      </c>
      <c r="M1183">
        <v>13.281428855114401</v>
      </c>
      <c r="N1183">
        <v>13.151869044285499</v>
      </c>
      <c r="O1183">
        <v>13.0782253033254</v>
      </c>
      <c r="P1183">
        <v>0.36746079244298202</v>
      </c>
      <c r="Q1183">
        <v>-5.2955645509788603E-2</v>
      </c>
      <c r="R1183">
        <v>0.78787723039575197</v>
      </c>
      <c r="S1183">
        <v>12.907212619308799</v>
      </c>
      <c r="T1183">
        <v>1.84493611421498</v>
      </c>
      <c r="U1183">
        <v>-5.4230584858630202</v>
      </c>
      <c r="V1183">
        <v>8.2650561537727305E-2</v>
      </c>
      <c r="W1183">
        <v>0.29442344043886498</v>
      </c>
      <c r="X1183">
        <v>0</v>
      </c>
      <c r="Y1183">
        <v>0</v>
      </c>
    </row>
    <row r="1184" spans="1:25" x14ac:dyDescent="0.2">
      <c r="A1184" t="s">
        <v>4369</v>
      </c>
      <c r="B1184" t="s">
        <v>4370</v>
      </c>
      <c r="C1184" t="s">
        <v>4371</v>
      </c>
      <c r="D1184" t="s">
        <v>4372</v>
      </c>
      <c r="E1184" t="s">
        <v>4370</v>
      </c>
      <c r="F1184" t="s">
        <v>28</v>
      </c>
      <c r="G1184" t="s">
        <v>4370</v>
      </c>
      <c r="H1184" t="str">
        <f>"pgap-3"</f>
        <v>pgap-3</v>
      </c>
      <c r="I1184" t="s">
        <v>4372</v>
      </c>
      <c r="J1184" t="s">
        <v>29</v>
      </c>
      <c r="K1184">
        <v>12.3018379151916</v>
      </c>
      <c r="L1184" t="s">
        <v>29</v>
      </c>
      <c r="M1184">
        <v>12.701601094729201</v>
      </c>
      <c r="N1184">
        <v>13.098576290532</v>
      </c>
      <c r="O1184" t="s">
        <v>29</v>
      </c>
      <c r="P1184">
        <v>0.59825077743898303</v>
      </c>
      <c r="Q1184">
        <v>-3.2244164169598202E-2</v>
      </c>
      <c r="R1184">
        <v>1.2287457190475599</v>
      </c>
      <c r="S1184">
        <v>13.146300704252299</v>
      </c>
      <c r="T1184">
        <v>2.0908812030826698</v>
      </c>
      <c r="U1184">
        <v>-4.6835943377914599</v>
      </c>
      <c r="V1184">
        <v>6.0787415867225102E-2</v>
      </c>
      <c r="W1184">
        <v>0.248779098142664</v>
      </c>
      <c r="X1184">
        <v>0</v>
      </c>
      <c r="Y1184">
        <v>0</v>
      </c>
    </row>
    <row r="1185" spans="1:25" x14ac:dyDescent="0.2">
      <c r="A1185" t="s">
        <v>4373</v>
      </c>
      <c r="B1185" t="s">
        <v>4374</v>
      </c>
      <c r="C1185" t="s">
        <v>4375</v>
      </c>
      <c r="D1185" t="s">
        <v>458</v>
      </c>
      <c r="E1185" t="s">
        <v>4374</v>
      </c>
      <c r="F1185" t="s">
        <v>28</v>
      </c>
      <c r="G1185" t="s">
        <v>4374</v>
      </c>
      <c r="H1185" t="str">
        <f>"ttr-47"</f>
        <v>ttr-47</v>
      </c>
      <c r="I1185" t="s">
        <v>458</v>
      </c>
      <c r="J1185">
        <v>13.022534968586299</v>
      </c>
      <c r="K1185">
        <v>13.369017680843699</v>
      </c>
      <c r="L1185">
        <v>13.189871832462099</v>
      </c>
      <c r="M1185">
        <v>13.351633204771501</v>
      </c>
      <c r="N1185">
        <v>12.9285461040544</v>
      </c>
      <c r="O1185">
        <v>12.5553226135914</v>
      </c>
      <c r="P1185">
        <v>-0.248640853158234</v>
      </c>
      <c r="Q1185">
        <v>-0.78052184619807896</v>
      </c>
      <c r="R1185">
        <v>0.28324013988161201</v>
      </c>
      <c r="S1185">
        <v>12.737677805356</v>
      </c>
      <c r="T1185">
        <v>-1.0033441184035301</v>
      </c>
      <c r="U1185">
        <v>-6.5351235513129504</v>
      </c>
      <c r="V1185">
        <v>0.33284848745744999</v>
      </c>
      <c r="W1185">
        <v>0.61122402832197698</v>
      </c>
      <c r="X1185">
        <v>0</v>
      </c>
      <c r="Y1185">
        <v>0</v>
      </c>
    </row>
    <row r="1186" spans="1:25" x14ac:dyDescent="0.2">
      <c r="A1186" t="s">
        <v>4376</v>
      </c>
      <c r="B1186" t="s">
        <v>4377</v>
      </c>
      <c r="C1186" t="s">
        <v>4378</v>
      </c>
      <c r="D1186" t="s">
        <v>4379</v>
      </c>
      <c r="E1186" t="s">
        <v>4377</v>
      </c>
      <c r="F1186" t="s">
        <v>28</v>
      </c>
      <c r="G1186" t="s">
        <v>4377</v>
      </c>
      <c r="H1186" t="str">
        <f>"unc-23"</f>
        <v>unc-23</v>
      </c>
      <c r="I1186" t="s">
        <v>4379</v>
      </c>
      <c r="J1186">
        <v>11.082302215934501</v>
      </c>
      <c r="K1186">
        <v>12.333616638320301</v>
      </c>
      <c r="L1186">
        <v>12.560767269094899</v>
      </c>
      <c r="M1186">
        <v>12.7944294372799</v>
      </c>
      <c r="N1186">
        <v>12.360633698687201</v>
      </c>
      <c r="O1186">
        <v>11.9957786925248</v>
      </c>
      <c r="P1186">
        <v>0.39138523504741901</v>
      </c>
      <c r="Q1186">
        <v>-0.393824780934179</v>
      </c>
      <c r="R1186">
        <v>1.1765952510290201</v>
      </c>
      <c r="S1186">
        <v>12.911769222520199</v>
      </c>
      <c r="T1186">
        <v>1.05212810133707</v>
      </c>
      <c r="U1186">
        <v>-6.48854938143689</v>
      </c>
      <c r="V1186">
        <v>0.30755706106725</v>
      </c>
      <c r="W1186">
        <v>0.58731847224931499</v>
      </c>
      <c r="X1186">
        <v>0</v>
      </c>
      <c r="Y1186">
        <v>0</v>
      </c>
    </row>
    <row r="1187" spans="1:25" x14ac:dyDescent="0.2">
      <c r="A1187" t="s">
        <v>4380</v>
      </c>
      <c r="B1187" t="s">
        <v>4381</v>
      </c>
      <c r="C1187" t="s">
        <v>4382</v>
      </c>
      <c r="D1187" t="s">
        <v>4383</v>
      </c>
      <c r="E1187" t="s">
        <v>4381</v>
      </c>
      <c r="F1187" t="s">
        <v>28</v>
      </c>
      <c r="G1187" t="s">
        <v>4381</v>
      </c>
      <c r="H1187" t="str">
        <f>"mut-16"</f>
        <v>mut-16</v>
      </c>
      <c r="I1187" t="s">
        <v>4383</v>
      </c>
      <c r="J1187">
        <v>12.315649183587199</v>
      </c>
      <c r="K1187">
        <v>12.290840597263999</v>
      </c>
      <c r="L1187">
        <v>12.120375584745499</v>
      </c>
      <c r="M1187" t="s">
        <v>29</v>
      </c>
      <c r="N1187">
        <v>12.194582614092599</v>
      </c>
      <c r="O1187">
        <v>11.931220559501901</v>
      </c>
      <c r="P1187">
        <v>-0.17938686840165699</v>
      </c>
      <c r="Q1187">
        <v>-0.75347281710653302</v>
      </c>
      <c r="R1187">
        <v>0.39469908030321899</v>
      </c>
      <c r="S1187">
        <v>12.850697447966001</v>
      </c>
      <c r="T1187">
        <v>-0.66643122443998204</v>
      </c>
      <c r="U1187">
        <v>-6.7100931023524302</v>
      </c>
      <c r="V1187">
        <v>0.51532596299214195</v>
      </c>
      <c r="W1187">
        <v>0.76201682956660699</v>
      </c>
      <c r="X1187">
        <v>0</v>
      </c>
      <c r="Y1187">
        <v>0</v>
      </c>
    </row>
    <row r="1188" spans="1:25" x14ac:dyDescent="0.2">
      <c r="A1188" t="s">
        <v>4384</v>
      </c>
      <c r="B1188" t="s">
        <v>4385</v>
      </c>
      <c r="C1188" t="s">
        <v>4386</v>
      </c>
      <c r="D1188" t="s">
        <v>4387</v>
      </c>
      <c r="E1188" t="s">
        <v>4385</v>
      </c>
      <c r="F1188" t="s">
        <v>28</v>
      </c>
      <c r="G1188" t="s">
        <v>4385</v>
      </c>
      <c r="H1188" t="str">
        <f>"lin-66"</f>
        <v>lin-66</v>
      </c>
      <c r="I1188" t="s">
        <v>4387</v>
      </c>
      <c r="J1188">
        <v>13.851895125285401</v>
      </c>
      <c r="K1188">
        <v>13.7265813499021</v>
      </c>
      <c r="L1188">
        <v>13.7939305757019</v>
      </c>
      <c r="M1188">
        <v>13.5159887743186</v>
      </c>
      <c r="N1188">
        <v>13.366051029788199</v>
      </c>
      <c r="O1188">
        <v>13.4353252835473</v>
      </c>
      <c r="P1188">
        <v>-0.35168065441178697</v>
      </c>
      <c r="Q1188">
        <v>-0.67418342654239205</v>
      </c>
      <c r="R1188">
        <v>-2.9177882281181899E-2</v>
      </c>
      <c r="S1188">
        <v>13.7620786757213</v>
      </c>
      <c r="T1188">
        <v>-2.3017865074099899</v>
      </c>
      <c r="U1188">
        <v>-4.6320652975674603</v>
      </c>
      <c r="V1188">
        <v>3.4349575726714397E-2</v>
      </c>
      <c r="W1188">
        <v>0.183987556156714</v>
      </c>
      <c r="X1188">
        <v>0</v>
      </c>
      <c r="Y1188">
        <v>0</v>
      </c>
    </row>
    <row r="1189" spans="1:25" x14ac:dyDescent="0.2">
      <c r="A1189" t="s">
        <v>4388</v>
      </c>
      <c r="B1189" t="s">
        <v>4389</v>
      </c>
      <c r="C1189" t="s">
        <v>4390</v>
      </c>
      <c r="D1189" t="s">
        <v>2675</v>
      </c>
      <c r="E1189" t="s">
        <v>4389</v>
      </c>
      <c r="F1189" t="s">
        <v>28</v>
      </c>
      <c r="G1189" t="s">
        <v>4389</v>
      </c>
      <c r="H1189" t="str">
        <f>"C25F9.4"</f>
        <v>C25F9.4</v>
      </c>
      <c r="I1189" t="s">
        <v>2675</v>
      </c>
      <c r="J1189">
        <v>11.2219848929881</v>
      </c>
      <c r="K1189">
        <v>10.716681705628901</v>
      </c>
      <c r="L1189">
        <v>11.116225523315199</v>
      </c>
      <c r="M1189">
        <v>11.3421514173458</v>
      </c>
      <c r="N1189" t="s">
        <v>29</v>
      </c>
      <c r="O1189" t="s">
        <v>29</v>
      </c>
      <c r="P1189">
        <v>0.32385404336836598</v>
      </c>
      <c r="Q1189">
        <v>-0.317008945910357</v>
      </c>
      <c r="R1189">
        <v>0.96471703264708797</v>
      </c>
      <c r="S1189">
        <v>11.3416866889436</v>
      </c>
      <c r="T1189">
        <v>1.0846160461958201</v>
      </c>
      <c r="U1189">
        <v>-6.1131055228559603</v>
      </c>
      <c r="V1189">
        <v>0.29655247541534502</v>
      </c>
      <c r="W1189">
        <v>0.57473600655243096</v>
      </c>
      <c r="X1189">
        <v>0</v>
      </c>
      <c r="Y1189">
        <v>0</v>
      </c>
    </row>
    <row r="1190" spans="1:25" x14ac:dyDescent="0.2">
      <c r="A1190" t="s">
        <v>4391</v>
      </c>
      <c r="B1190" t="s">
        <v>4392</v>
      </c>
      <c r="C1190" t="s">
        <v>4393</v>
      </c>
      <c r="D1190" t="s">
        <v>4394</v>
      </c>
      <c r="E1190" t="s">
        <v>4392</v>
      </c>
      <c r="F1190" t="s">
        <v>28</v>
      </c>
      <c r="G1190" t="s">
        <v>4392</v>
      </c>
      <c r="H1190" t="str">
        <f>"C37A5.7"</f>
        <v>C37A5.7</v>
      </c>
      <c r="I1190" t="s">
        <v>4394</v>
      </c>
      <c r="J1190">
        <v>11.685962090671699</v>
      </c>
      <c r="K1190">
        <v>12.422105452060901</v>
      </c>
      <c r="L1190">
        <v>11.8626625365193</v>
      </c>
      <c r="M1190">
        <v>12.180847441624501</v>
      </c>
      <c r="N1190">
        <v>11.0779082581425</v>
      </c>
      <c r="O1190">
        <v>11.9928007213112</v>
      </c>
      <c r="P1190">
        <v>-0.23972455272455501</v>
      </c>
      <c r="Q1190">
        <v>-0.81566115047810495</v>
      </c>
      <c r="R1190">
        <v>0.33621204502899499</v>
      </c>
      <c r="S1190">
        <v>12.9791505685975</v>
      </c>
      <c r="T1190">
        <v>-0.87859323226008301</v>
      </c>
      <c r="U1190">
        <v>-6.65534432240747</v>
      </c>
      <c r="V1190">
        <v>0.39194617423825101</v>
      </c>
      <c r="W1190">
        <v>0.667242504847816</v>
      </c>
      <c r="X1190">
        <v>0</v>
      </c>
      <c r="Y1190">
        <v>0</v>
      </c>
    </row>
    <row r="1191" spans="1:25" x14ac:dyDescent="0.2">
      <c r="A1191" t="s">
        <v>4395</v>
      </c>
      <c r="B1191" t="s">
        <v>4396</v>
      </c>
      <c r="C1191" t="s">
        <v>4397</v>
      </c>
      <c r="D1191" t="s">
        <v>214</v>
      </c>
      <c r="E1191" t="s">
        <v>4396</v>
      </c>
      <c r="F1191" t="s">
        <v>28</v>
      </c>
      <c r="G1191" t="s">
        <v>4396</v>
      </c>
      <c r="H1191" t="str">
        <f>"C46F11.5"</f>
        <v>C46F11.5</v>
      </c>
      <c r="I1191" t="s">
        <v>214</v>
      </c>
      <c r="J1191" t="s">
        <v>29</v>
      </c>
      <c r="K1191" t="s">
        <v>29</v>
      </c>
      <c r="L1191">
        <v>11.524664120032799</v>
      </c>
      <c r="M1191" t="s">
        <v>29</v>
      </c>
      <c r="N1191" t="s">
        <v>29</v>
      </c>
      <c r="O1191" t="s">
        <v>29</v>
      </c>
      <c r="P1191" t="s">
        <v>29</v>
      </c>
      <c r="Q1191" t="s">
        <v>29</v>
      </c>
      <c r="R1191" t="s">
        <v>29</v>
      </c>
      <c r="S1191">
        <v>12.274615887884099</v>
      </c>
      <c r="T1191" t="s">
        <v>29</v>
      </c>
      <c r="U1191" t="s">
        <v>29</v>
      </c>
      <c r="V1191" t="s">
        <v>29</v>
      </c>
      <c r="W1191" t="s">
        <v>29</v>
      </c>
      <c r="X1191" t="s">
        <v>29</v>
      </c>
      <c r="Y1191" t="s">
        <v>29</v>
      </c>
    </row>
    <row r="1192" spans="1:25" x14ac:dyDescent="0.2">
      <c r="A1192" t="s">
        <v>4398</v>
      </c>
      <c r="B1192" t="s">
        <v>4399</v>
      </c>
      <c r="C1192" t="s">
        <v>4400</v>
      </c>
      <c r="D1192" t="s">
        <v>4401</v>
      </c>
      <c r="E1192" t="s">
        <v>4399</v>
      </c>
      <c r="F1192" t="s">
        <v>28</v>
      </c>
      <c r="G1192" t="s">
        <v>4399</v>
      </c>
      <c r="H1192" t="str">
        <f>"eif-6"</f>
        <v>eif-6</v>
      </c>
      <c r="I1192" t="s">
        <v>4401</v>
      </c>
      <c r="J1192">
        <v>13.350831132112001</v>
      </c>
      <c r="K1192">
        <v>13.3643077265071</v>
      </c>
      <c r="L1192">
        <v>13.413391770017901</v>
      </c>
      <c r="M1192">
        <v>12.816024279256601</v>
      </c>
      <c r="N1192" t="s">
        <v>29</v>
      </c>
      <c r="O1192">
        <v>13.8755398177196</v>
      </c>
      <c r="P1192">
        <v>-3.03948277242636E-2</v>
      </c>
      <c r="Q1192">
        <v>-0.72635979720775101</v>
      </c>
      <c r="R1192">
        <v>0.66557014175922402</v>
      </c>
      <c r="S1192">
        <v>13.683060049018399</v>
      </c>
      <c r="T1192">
        <v>-9.3143791333759302E-2</v>
      </c>
      <c r="U1192">
        <v>-6.9368464184327099</v>
      </c>
      <c r="V1192">
        <v>0.92703063227559102</v>
      </c>
      <c r="W1192">
        <v>0.97381253745584595</v>
      </c>
      <c r="X1192">
        <v>0</v>
      </c>
      <c r="Y1192">
        <v>0</v>
      </c>
    </row>
    <row r="1193" spans="1:25" x14ac:dyDescent="0.2">
      <c r="A1193" t="s">
        <v>4402</v>
      </c>
      <c r="B1193" t="s">
        <v>4403</v>
      </c>
      <c r="C1193" t="s">
        <v>4404</v>
      </c>
      <c r="D1193" t="s">
        <v>4405</v>
      </c>
      <c r="E1193" t="s">
        <v>4403</v>
      </c>
      <c r="F1193" t="s">
        <v>28</v>
      </c>
      <c r="G1193" t="s">
        <v>4403</v>
      </c>
      <c r="H1193" t="str">
        <f>"tag-175"</f>
        <v>tag-175</v>
      </c>
      <c r="I1193" t="s">
        <v>4405</v>
      </c>
      <c r="J1193" t="s">
        <v>29</v>
      </c>
      <c r="K1193" t="s">
        <v>29</v>
      </c>
      <c r="L1193" t="s">
        <v>29</v>
      </c>
      <c r="M1193" t="s">
        <v>29</v>
      </c>
      <c r="N1193" t="s">
        <v>29</v>
      </c>
      <c r="O1193" t="s">
        <v>29</v>
      </c>
      <c r="P1193" t="s">
        <v>29</v>
      </c>
      <c r="Q1193" t="s">
        <v>29</v>
      </c>
      <c r="R1193" t="s">
        <v>29</v>
      </c>
      <c r="S1193">
        <v>10.7175521224043</v>
      </c>
      <c r="T1193" t="s">
        <v>29</v>
      </c>
      <c r="U1193" t="s">
        <v>29</v>
      </c>
      <c r="V1193" t="s">
        <v>29</v>
      </c>
      <c r="W1193" t="s">
        <v>29</v>
      </c>
      <c r="X1193" t="s">
        <v>29</v>
      </c>
      <c r="Y1193" t="s">
        <v>29</v>
      </c>
    </row>
    <row r="1194" spans="1:25" x14ac:dyDescent="0.2">
      <c r="A1194" t="s">
        <v>4406</v>
      </c>
      <c r="B1194" t="s">
        <v>4407</v>
      </c>
      <c r="C1194" t="s">
        <v>4408</v>
      </c>
      <c r="D1194" t="s">
        <v>4409</v>
      </c>
      <c r="E1194" t="s">
        <v>4407</v>
      </c>
      <c r="F1194" t="s">
        <v>28</v>
      </c>
      <c r="G1194" t="s">
        <v>4407</v>
      </c>
      <c r="H1194" t="str">
        <f>"inx-14"</f>
        <v>inx-14</v>
      </c>
      <c r="I1194" t="s">
        <v>4409</v>
      </c>
      <c r="J1194">
        <v>10.993192361299601</v>
      </c>
      <c r="K1194">
        <v>10.7514156631311</v>
      </c>
      <c r="L1194">
        <v>11.7515774107223</v>
      </c>
      <c r="M1194">
        <v>10.9999636257271</v>
      </c>
      <c r="N1194">
        <v>11.1560822340328</v>
      </c>
      <c r="O1194" t="s">
        <v>29</v>
      </c>
      <c r="P1194">
        <v>-8.7372215171004797E-2</v>
      </c>
      <c r="Q1194">
        <v>-0.84137627116257097</v>
      </c>
      <c r="R1194">
        <v>0.66663184082056204</v>
      </c>
      <c r="S1194">
        <v>11.317033643913</v>
      </c>
      <c r="T1194">
        <v>-0.24870903210324699</v>
      </c>
      <c r="U1194">
        <v>-6.9086551918112198</v>
      </c>
      <c r="V1194">
        <v>0.80722422292139395</v>
      </c>
      <c r="W1194">
        <v>0.91833642628581302</v>
      </c>
      <c r="X1194">
        <v>0</v>
      </c>
      <c r="Y1194">
        <v>0</v>
      </c>
    </row>
    <row r="1195" spans="1:25" x14ac:dyDescent="0.2">
      <c r="A1195" t="s">
        <v>4410</v>
      </c>
      <c r="B1195" t="s">
        <v>4411</v>
      </c>
      <c r="C1195" t="s">
        <v>4412</v>
      </c>
      <c r="D1195" t="s">
        <v>4413</v>
      </c>
      <c r="E1195" t="s">
        <v>4411</v>
      </c>
      <c r="F1195" t="s">
        <v>28</v>
      </c>
      <c r="G1195" t="s">
        <v>4411</v>
      </c>
      <c r="H1195" t="str">
        <f>"acox-1.2"</f>
        <v>acox-1.2</v>
      </c>
      <c r="I1195" t="s">
        <v>4413</v>
      </c>
      <c r="J1195">
        <v>15.143125382294301</v>
      </c>
      <c r="K1195">
        <v>14.816248741147801</v>
      </c>
      <c r="L1195">
        <v>14.8534041699667</v>
      </c>
      <c r="M1195">
        <v>14.341099955184699</v>
      </c>
      <c r="N1195">
        <v>13.9163040616752</v>
      </c>
      <c r="O1195">
        <v>13.998069297974499</v>
      </c>
      <c r="P1195">
        <v>-0.85243499285815005</v>
      </c>
      <c r="Q1195">
        <v>-1.2838893128990301</v>
      </c>
      <c r="R1195">
        <v>-0.42098067281727403</v>
      </c>
      <c r="S1195">
        <v>14.525191960010099</v>
      </c>
      <c r="T1195">
        <v>-4.1525891101935697</v>
      </c>
      <c r="U1195">
        <v>-0.74361992739291205</v>
      </c>
      <c r="V1195">
        <v>6.04632675436748E-4</v>
      </c>
      <c r="W1195">
        <v>1.25149620518713E-2</v>
      </c>
      <c r="X1195">
        <v>0</v>
      </c>
      <c r="Y1195">
        <v>0</v>
      </c>
    </row>
    <row r="1196" spans="1:25" x14ac:dyDescent="0.2">
      <c r="A1196" t="s">
        <v>4414</v>
      </c>
      <c r="B1196" t="s">
        <v>4415</v>
      </c>
      <c r="C1196" t="s">
        <v>4416</v>
      </c>
      <c r="D1196" t="s">
        <v>4417</v>
      </c>
      <c r="E1196" t="s">
        <v>4415</v>
      </c>
      <c r="F1196" t="s">
        <v>28</v>
      </c>
      <c r="G1196" t="s">
        <v>4415</v>
      </c>
      <c r="H1196" t="str">
        <f>"acox-1.4"</f>
        <v>acox-1.4</v>
      </c>
      <c r="I1196" t="s">
        <v>4417</v>
      </c>
      <c r="J1196">
        <v>12.792713444372501</v>
      </c>
      <c r="K1196">
        <v>12.423416637731901</v>
      </c>
      <c r="L1196">
        <v>12.673914696409</v>
      </c>
      <c r="M1196">
        <v>12.2573746872305</v>
      </c>
      <c r="N1196">
        <v>12.1261481243587</v>
      </c>
      <c r="O1196">
        <v>12.2961917534462</v>
      </c>
      <c r="P1196">
        <v>-0.40344340449261301</v>
      </c>
      <c r="Q1196">
        <v>-0.86442946247028896</v>
      </c>
      <c r="R1196">
        <v>5.7542653485063003E-2</v>
      </c>
      <c r="S1196">
        <v>12.512640042943101</v>
      </c>
      <c r="T1196">
        <v>-1.8394472681410201</v>
      </c>
      <c r="U1196">
        <v>-5.4290870527516901</v>
      </c>
      <c r="V1196">
        <v>8.25006162765555E-2</v>
      </c>
      <c r="W1196">
        <v>0.29442344043886498</v>
      </c>
      <c r="X1196">
        <v>0</v>
      </c>
      <c r="Y1196">
        <v>0</v>
      </c>
    </row>
    <row r="1197" spans="1:25" x14ac:dyDescent="0.2">
      <c r="A1197" t="s">
        <v>4418</v>
      </c>
      <c r="B1197" t="s">
        <v>4419</v>
      </c>
      <c r="C1197" t="s">
        <v>4420</v>
      </c>
      <c r="D1197" t="s">
        <v>4421</v>
      </c>
      <c r="E1197" t="s">
        <v>4419</v>
      </c>
      <c r="F1197" t="s">
        <v>28</v>
      </c>
      <c r="G1197" t="s">
        <v>4419</v>
      </c>
      <c r="H1197" t="str">
        <f>"acox-1.1"</f>
        <v>acox-1.1</v>
      </c>
      <c r="I1197" t="s">
        <v>4421</v>
      </c>
      <c r="J1197">
        <v>11.3043976341429</v>
      </c>
      <c r="K1197" t="s">
        <v>29</v>
      </c>
      <c r="L1197">
        <v>12.0934871534922</v>
      </c>
      <c r="M1197">
        <v>12.989760182902801</v>
      </c>
      <c r="N1197">
        <v>12.440163090439899</v>
      </c>
      <c r="O1197">
        <v>12.9256309964489</v>
      </c>
      <c r="P1197">
        <v>1.08624236277963</v>
      </c>
      <c r="Q1197">
        <v>0.36888294459463</v>
      </c>
      <c r="R1197">
        <v>1.8036017809646301</v>
      </c>
      <c r="S1197">
        <v>11.9027809623081</v>
      </c>
      <c r="T1197">
        <v>3.22947210283664</v>
      </c>
      <c r="U1197">
        <v>-2.7741479793368899</v>
      </c>
      <c r="V1197">
        <v>5.6572555200074303E-3</v>
      </c>
      <c r="W1197">
        <v>5.9963223003596702E-2</v>
      </c>
      <c r="X1197">
        <v>1</v>
      </c>
      <c r="Y1197">
        <v>0</v>
      </c>
    </row>
    <row r="1198" spans="1:25" x14ac:dyDescent="0.2">
      <c r="A1198" t="s">
        <v>4422</v>
      </c>
      <c r="B1198" t="s">
        <v>4423</v>
      </c>
      <c r="C1198" t="s">
        <v>4424</v>
      </c>
      <c r="D1198" t="s">
        <v>4425</v>
      </c>
      <c r="E1198" t="s">
        <v>4423</v>
      </c>
      <c r="F1198" t="s">
        <v>28</v>
      </c>
      <c r="G1198" t="s">
        <v>4423</v>
      </c>
      <c r="H1198" t="str">
        <f>"aly-2"</f>
        <v>aly-2</v>
      </c>
      <c r="I1198" t="s">
        <v>4425</v>
      </c>
      <c r="J1198">
        <v>13.5202599934051</v>
      </c>
      <c r="K1198">
        <v>14.0251473492385</v>
      </c>
      <c r="L1198">
        <v>14.2051070803121</v>
      </c>
      <c r="M1198">
        <v>13.6161155206069</v>
      </c>
      <c r="N1198">
        <v>13.8852105866911</v>
      </c>
      <c r="O1198">
        <v>14.0071972491316</v>
      </c>
      <c r="P1198">
        <v>-8.0663688842026501E-2</v>
      </c>
      <c r="Q1198">
        <v>-0.626880996821642</v>
      </c>
      <c r="R1198">
        <v>0.46555361913758903</v>
      </c>
      <c r="S1198">
        <v>14.216519942992001</v>
      </c>
      <c r="T1198">
        <v>-0.31171854078226502</v>
      </c>
      <c r="U1198">
        <v>-7.0011518777112904</v>
      </c>
      <c r="V1198">
        <v>0.75906825959042801</v>
      </c>
      <c r="W1198">
        <v>0.89926681554432897</v>
      </c>
      <c r="X1198">
        <v>0</v>
      </c>
      <c r="Y1198">
        <v>0</v>
      </c>
    </row>
    <row r="1199" spans="1:25" x14ac:dyDescent="0.2">
      <c r="A1199" t="s">
        <v>4426</v>
      </c>
      <c r="B1199" t="s">
        <v>4427</v>
      </c>
      <c r="C1199" t="s">
        <v>4428</v>
      </c>
      <c r="D1199" t="s">
        <v>4429</v>
      </c>
      <c r="E1199" t="s">
        <v>4427</v>
      </c>
      <c r="F1199" t="s">
        <v>28</v>
      </c>
      <c r="G1199" t="s">
        <v>4427</v>
      </c>
      <c r="H1199" t="str">
        <f>"rsr-1"</f>
        <v>rsr-1</v>
      </c>
      <c r="I1199" t="s">
        <v>4429</v>
      </c>
      <c r="J1199">
        <v>14.119472153809101</v>
      </c>
      <c r="K1199">
        <v>14.440824562943</v>
      </c>
      <c r="L1199">
        <v>14.840084460162901</v>
      </c>
      <c r="M1199">
        <v>14.2803988720375</v>
      </c>
      <c r="N1199">
        <v>13.371876810085601</v>
      </c>
      <c r="O1199">
        <v>14.274550162172901</v>
      </c>
      <c r="P1199">
        <v>-0.49118511087295103</v>
      </c>
      <c r="Q1199">
        <v>-1.10186626916377</v>
      </c>
      <c r="R1199">
        <v>0.119496047417867</v>
      </c>
      <c r="S1199">
        <v>14.5340938315322</v>
      </c>
      <c r="T1199">
        <v>-1.7060046197247301</v>
      </c>
      <c r="U1199">
        <v>-5.6430561207462802</v>
      </c>
      <c r="V1199">
        <v>0.10746652502066301</v>
      </c>
      <c r="W1199">
        <v>0.33831349181262699</v>
      </c>
      <c r="X1199">
        <v>0</v>
      </c>
      <c r="Y1199">
        <v>0</v>
      </c>
    </row>
    <row r="1200" spans="1:25" x14ac:dyDescent="0.2">
      <c r="A1200" t="s">
        <v>4430</v>
      </c>
      <c r="B1200" t="s">
        <v>4431</v>
      </c>
      <c r="C1200" t="s">
        <v>14385</v>
      </c>
      <c r="D1200" t="s">
        <v>4432</v>
      </c>
      <c r="E1200" t="s">
        <v>4431</v>
      </c>
      <c r="F1200" t="s">
        <v>28</v>
      </c>
      <c r="G1200" t="s">
        <v>4431</v>
      </c>
      <c r="H1200" t="str">
        <f>"F32A11.1"</f>
        <v>F32A11.1</v>
      </c>
      <c r="I1200" t="s">
        <v>4432</v>
      </c>
      <c r="J1200">
        <v>14.7875378319345</v>
      </c>
      <c r="K1200">
        <v>14.642639840069</v>
      </c>
      <c r="L1200">
        <v>15.0127931697491</v>
      </c>
      <c r="M1200">
        <v>14.9345040852312</v>
      </c>
      <c r="N1200">
        <v>14.933440569995099</v>
      </c>
      <c r="O1200">
        <v>15.167224364165399</v>
      </c>
      <c r="P1200">
        <v>0.19739939254636399</v>
      </c>
      <c r="Q1200">
        <v>-0.28475198637462301</v>
      </c>
      <c r="R1200">
        <v>0.67955077146735199</v>
      </c>
      <c r="S1200">
        <v>15.058903720667301</v>
      </c>
      <c r="T1200">
        <v>0.86050799928831101</v>
      </c>
      <c r="U1200">
        <v>-6.6719020438555896</v>
      </c>
      <c r="V1200">
        <v>0.40089153742629702</v>
      </c>
      <c r="W1200">
        <v>0.67485828390334801</v>
      </c>
      <c r="X1200">
        <v>0</v>
      </c>
      <c r="Y1200">
        <v>0</v>
      </c>
    </row>
    <row r="1201" spans="1:25" x14ac:dyDescent="0.2">
      <c r="A1201" t="s">
        <v>4433</v>
      </c>
      <c r="B1201" t="s">
        <v>4434</v>
      </c>
      <c r="C1201" t="s">
        <v>4435</v>
      </c>
      <c r="D1201" t="s">
        <v>4436</v>
      </c>
      <c r="E1201" t="s">
        <v>4434</v>
      </c>
      <c r="F1201" t="s">
        <v>28</v>
      </c>
      <c r="G1201" t="s">
        <v>4434</v>
      </c>
      <c r="H1201" t="str">
        <f>"phm-2"</f>
        <v>phm-2</v>
      </c>
      <c r="I1201" t="s">
        <v>4436</v>
      </c>
      <c r="J1201">
        <v>14.0012557064251</v>
      </c>
      <c r="K1201">
        <v>14.1526290223158</v>
      </c>
      <c r="L1201">
        <v>14.196415038211001</v>
      </c>
      <c r="M1201">
        <v>14.0292982261905</v>
      </c>
      <c r="N1201">
        <v>13.470965612972501</v>
      </c>
      <c r="O1201">
        <v>14.072562739752399</v>
      </c>
      <c r="P1201">
        <v>-0.25915772934551201</v>
      </c>
      <c r="Q1201">
        <v>-0.79022915716929498</v>
      </c>
      <c r="R1201">
        <v>0.27191369847827102</v>
      </c>
      <c r="S1201">
        <v>14.032339736670901</v>
      </c>
      <c r="T1201">
        <v>-1.0256607653043901</v>
      </c>
      <c r="U1201">
        <v>-6.5164925844577102</v>
      </c>
      <c r="V1201">
        <v>0.31871707725677501</v>
      </c>
      <c r="W1201">
        <v>0.596723457648761</v>
      </c>
      <c r="X1201">
        <v>0</v>
      </c>
      <c r="Y1201">
        <v>0</v>
      </c>
    </row>
    <row r="1202" spans="1:25" x14ac:dyDescent="0.2">
      <c r="A1202" t="s">
        <v>4437</v>
      </c>
      <c r="B1202" t="s">
        <v>4438</v>
      </c>
      <c r="C1202" t="s">
        <v>4439</v>
      </c>
      <c r="D1202" t="s">
        <v>1510</v>
      </c>
      <c r="E1202" t="s">
        <v>4438</v>
      </c>
      <c r="F1202" t="s">
        <v>28</v>
      </c>
      <c r="G1202" t="s">
        <v>4438</v>
      </c>
      <c r="H1202" t="str">
        <f>"cey-1"</f>
        <v>cey-1</v>
      </c>
      <c r="I1202" t="s">
        <v>1510</v>
      </c>
      <c r="J1202">
        <v>13.0027113318415</v>
      </c>
      <c r="K1202">
        <v>13.273386792570699</v>
      </c>
      <c r="L1202">
        <v>13.1193709173334</v>
      </c>
      <c r="M1202">
        <v>13.7151460454284</v>
      </c>
      <c r="N1202">
        <v>12.773821860178799</v>
      </c>
      <c r="O1202">
        <v>14.5173665449681</v>
      </c>
      <c r="P1202">
        <v>0.53695513627656899</v>
      </c>
      <c r="Q1202">
        <v>-0.37557521521925102</v>
      </c>
      <c r="R1202">
        <v>1.4494854877723899</v>
      </c>
      <c r="S1202">
        <v>13.010137889495899</v>
      </c>
      <c r="T1202">
        <v>1.2367536358765101</v>
      </c>
      <c r="U1202">
        <v>-6.2831602045492296</v>
      </c>
      <c r="V1202">
        <v>0.23216436732579199</v>
      </c>
      <c r="W1202">
        <v>0.50248606769690096</v>
      </c>
      <c r="X1202">
        <v>0</v>
      </c>
      <c r="Y1202">
        <v>0</v>
      </c>
    </row>
    <row r="1203" spans="1:25" x14ac:dyDescent="0.2">
      <c r="A1203" t="s">
        <v>4440</v>
      </c>
      <c r="B1203" t="s">
        <v>4441</v>
      </c>
      <c r="C1203" t="s">
        <v>14386</v>
      </c>
      <c r="D1203" t="s">
        <v>4442</v>
      </c>
      <c r="E1203" t="s">
        <v>4441</v>
      </c>
      <c r="F1203" t="s">
        <v>28</v>
      </c>
      <c r="G1203" t="s">
        <v>4441</v>
      </c>
      <c r="H1203" t="str">
        <f>"F33A8.4"</f>
        <v>F33A8.4</v>
      </c>
      <c r="I1203" t="s">
        <v>4442</v>
      </c>
      <c r="J1203">
        <v>12.510339795204199</v>
      </c>
      <c r="K1203">
        <v>12.8679295071449</v>
      </c>
      <c r="L1203">
        <v>12.4762736667025</v>
      </c>
      <c r="M1203">
        <v>13.833353048293</v>
      </c>
      <c r="N1203">
        <v>12.5507763695341</v>
      </c>
      <c r="O1203">
        <v>12.326886180707399</v>
      </c>
      <c r="P1203">
        <v>0.28549087649432198</v>
      </c>
      <c r="Q1203">
        <v>-0.80885375472897203</v>
      </c>
      <c r="R1203">
        <v>1.3798355077176201</v>
      </c>
      <c r="S1203">
        <v>13.521530047018301</v>
      </c>
      <c r="T1203">
        <v>0.55066583893073395</v>
      </c>
      <c r="U1203">
        <v>-6.8940993532182198</v>
      </c>
      <c r="V1203">
        <v>0.58907071387463905</v>
      </c>
      <c r="W1203">
        <v>0.80336802302937005</v>
      </c>
      <c r="X1203">
        <v>0</v>
      </c>
      <c r="Y1203">
        <v>0</v>
      </c>
    </row>
    <row r="1204" spans="1:25" x14ac:dyDescent="0.2">
      <c r="A1204" t="s">
        <v>4443</v>
      </c>
      <c r="B1204" t="s">
        <v>4444</v>
      </c>
      <c r="C1204" t="s">
        <v>14387</v>
      </c>
      <c r="D1204" t="s">
        <v>4445</v>
      </c>
      <c r="E1204" t="s">
        <v>4444</v>
      </c>
      <c r="F1204" t="s">
        <v>28</v>
      </c>
      <c r="G1204" t="s">
        <v>4444</v>
      </c>
      <c r="H1204" t="str">
        <f>"F33H2.6"</f>
        <v>F33H2.6</v>
      </c>
      <c r="I1204" t="s">
        <v>4445</v>
      </c>
      <c r="J1204">
        <v>13.374044068626301</v>
      </c>
      <c r="K1204">
        <v>13.4918747548701</v>
      </c>
      <c r="L1204">
        <v>13.372213036665601</v>
      </c>
      <c r="M1204">
        <v>13.6448426315507</v>
      </c>
      <c r="N1204">
        <v>13.139736837600401</v>
      </c>
      <c r="O1204">
        <v>13.3240328575347</v>
      </c>
      <c r="P1204">
        <v>-4.3173177825385899E-2</v>
      </c>
      <c r="Q1204">
        <v>-0.53540951031123996</v>
      </c>
      <c r="R1204">
        <v>0.44906315466046898</v>
      </c>
      <c r="S1204">
        <v>13.142594323030901</v>
      </c>
      <c r="T1204">
        <v>-0.185135781457964</v>
      </c>
      <c r="U1204">
        <v>-7.0340861432686204</v>
      </c>
      <c r="V1204">
        <v>0.85532683552684297</v>
      </c>
      <c r="W1204">
        <v>0.94313111037049002</v>
      </c>
      <c r="X1204">
        <v>0</v>
      </c>
      <c r="Y1204">
        <v>0</v>
      </c>
    </row>
    <row r="1205" spans="1:25" x14ac:dyDescent="0.2">
      <c r="A1205" t="s">
        <v>4446</v>
      </c>
      <c r="B1205" t="s">
        <v>4447</v>
      </c>
      <c r="C1205" t="s">
        <v>4448</v>
      </c>
      <c r="D1205" t="s">
        <v>4449</v>
      </c>
      <c r="E1205" t="s">
        <v>4447</v>
      </c>
      <c r="F1205" t="s">
        <v>28</v>
      </c>
      <c r="G1205" t="s">
        <v>4447</v>
      </c>
      <c r="H1205" t="str">
        <f>"pole-1"</f>
        <v>pole-1</v>
      </c>
      <c r="I1205" t="s">
        <v>4449</v>
      </c>
      <c r="J1205" t="s">
        <v>29</v>
      </c>
      <c r="K1205" t="s">
        <v>29</v>
      </c>
      <c r="L1205">
        <v>12.2160608913759</v>
      </c>
      <c r="M1205">
        <v>13.433373898093601</v>
      </c>
      <c r="N1205">
        <v>12.064084727040299</v>
      </c>
      <c r="O1205" t="s">
        <v>29</v>
      </c>
      <c r="P1205">
        <v>0.53266842119106705</v>
      </c>
      <c r="Q1205">
        <v>-0.78770999412377696</v>
      </c>
      <c r="R1205">
        <v>1.8530468365059101</v>
      </c>
      <c r="S1205">
        <v>12.3796192149834</v>
      </c>
      <c r="T1205">
        <v>0.87983968552126901</v>
      </c>
      <c r="U1205">
        <v>-6.2515466392278798</v>
      </c>
      <c r="V1205">
        <v>0.39637364569582501</v>
      </c>
      <c r="W1205">
        <v>0.67160158653346003</v>
      </c>
      <c r="X1205">
        <v>0</v>
      </c>
      <c r="Y1205">
        <v>0</v>
      </c>
    </row>
    <row r="1206" spans="1:25" x14ac:dyDescent="0.2">
      <c r="A1206" t="s">
        <v>4450</v>
      </c>
      <c r="B1206" t="s">
        <v>4451</v>
      </c>
      <c r="C1206" t="s">
        <v>14388</v>
      </c>
      <c r="D1206" t="s">
        <v>4452</v>
      </c>
      <c r="E1206" t="s">
        <v>4451</v>
      </c>
      <c r="F1206" t="s">
        <v>28</v>
      </c>
      <c r="G1206" t="s">
        <v>4451</v>
      </c>
      <c r="H1206" t="str">
        <f>"F33H2.2"</f>
        <v>F33H2.2</v>
      </c>
      <c r="I1206" t="s">
        <v>4452</v>
      </c>
      <c r="J1206">
        <v>13.3319415156293</v>
      </c>
      <c r="K1206">
        <v>13.3598963096315</v>
      </c>
      <c r="L1206">
        <v>13.089182897044299</v>
      </c>
      <c r="M1206">
        <v>12.8687570814624</v>
      </c>
      <c r="N1206">
        <v>12.863920032332301</v>
      </c>
      <c r="O1206">
        <v>13.4184052299595</v>
      </c>
      <c r="P1206">
        <v>-0.209979459516966</v>
      </c>
      <c r="Q1206">
        <v>-0.63784803232614096</v>
      </c>
      <c r="R1206">
        <v>0.21788911329221</v>
      </c>
      <c r="S1206">
        <v>13.0111354271321</v>
      </c>
      <c r="T1206">
        <v>-1.0409166487994099</v>
      </c>
      <c r="U1206">
        <v>-6.4992548668560701</v>
      </c>
      <c r="V1206">
        <v>0.31348917216293798</v>
      </c>
      <c r="W1206">
        <v>0.59095856748367503</v>
      </c>
      <c r="X1206">
        <v>0</v>
      </c>
      <c r="Y1206">
        <v>0</v>
      </c>
    </row>
    <row r="1207" spans="1:25" x14ac:dyDescent="0.2">
      <c r="A1207" t="s">
        <v>4453</v>
      </c>
      <c r="B1207" t="s">
        <v>4454</v>
      </c>
      <c r="C1207" t="s">
        <v>14389</v>
      </c>
      <c r="D1207" t="s">
        <v>3427</v>
      </c>
      <c r="E1207" t="s">
        <v>4454</v>
      </c>
      <c r="F1207" t="s">
        <v>28</v>
      </c>
      <c r="G1207" t="s">
        <v>4454</v>
      </c>
      <c r="H1207" t="str">
        <f>"F33H2.8"</f>
        <v>F33H2.8</v>
      </c>
      <c r="I1207" t="s">
        <v>3427</v>
      </c>
      <c r="J1207">
        <v>13.3035959659239</v>
      </c>
      <c r="K1207">
        <v>13.249124556482</v>
      </c>
      <c r="L1207">
        <v>12.9553514743083</v>
      </c>
      <c r="M1207" t="s">
        <v>29</v>
      </c>
      <c r="N1207" t="s">
        <v>29</v>
      </c>
      <c r="O1207" t="s">
        <v>29</v>
      </c>
      <c r="P1207" t="s">
        <v>29</v>
      </c>
      <c r="Q1207" t="s">
        <v>29</v>
      </c>
      <c r="R1207" t="s">
        <v>29</v>
      </c>
      <c r="S1207">
        <v>12.7522936318927</v>
      </c>
      <c r="T1207" t="s">
        <v>29</v>
      </c>
      <c r="U1207" t="s">
        <v>29</v>
      </c>
      <c r="V1207" t="s">
        <v>29</v>
      </c>
      <c r="W1207" t="s">
        <v>29</v>
      </c>
      <c r="X1207" t="s">
        <v>29</v>
      </c>
      <c r="Y1207" t="s">
        <v>29</v>
      </c>
    </row>
    <row r="1208" spans="1:25" x14ac:dyDescent="0.2">
      <c r="A1208" t="s">
        <v>4455</v>
      </c>
      <c r="B1208" t="s">
        <v>4456</v>
      </c>
      <c r="C1208" t="s">
        <v>4457</v>
      </c>
      <c r="D1208" t="s">
        <v>4458</v>
      </c>
      <c r="E1208" t="s">
        <v>4456</v>
      </c>
      <c r="F1208" t="s">
        <v>28</v>
      </c>
      <c r="G1208" t="s">
        <v>4456</v>
      </c>
      <c r="H1208" t="str">
        <f>"rbpl-1"</f>
        <v>rbpl-1</v>
      </c>
      <c r="I1208" t="s">
        <v>4458</v>
      </c>
      <c r="J1208">
        <v>13.250742019596901</v>
      </c>
      <c r="K1208">
        <v>12.5172843367413</v>
      </c>
      <c r="L1208">
        <v>12.1907453608969</v>
      </c>
      <c r="M1208">
        <v>11.8833998227393</v>
      </c>
      <c r="N1208">
        <v>11.5483134426646</v>
      </c>
      <c r="O1208">
        <v>12.517349675205301</v>
      </c>
      <c r="P1208">
        <v>-0.66990292554196196</v>
      </c>
      <c r="Q1208">
        <v>-1.3639698292841</v>
      </c>
      <c r="R1208">
        <v>2.4163978200173401E-2</v>
      </c>
      <c r="S1208">
        <v>12.7717625561076</v>
      </c>
      <c r="T1208">
        <v>-2.0585060345768502</v>
      </c>
      <c r="U1208">
        <v>-5.0789352210032401</v>
      </c>
      <c r="V1208">
        <v>5.7477807045214997E-2</v>
      </c>
      <c r="W1208">
        <v>0.24258467461106301</v>
      </c>
      <c r="X1208">
        <v>0</v>
      </c>
      <c r="Y1208">
        <v>0</v>
      </c>
    </row>
    <row r="1209" spans="1:25" x14ac:dyDescent="0.2">
      <c r="A1209" t="s">
        <v>4459</v>
      </c>
      <c r="B1209" t="s">
        <v>4460</v>
      </c>
      <c r="C1209" t="s">
        <v>4461</v>
      </c>
      <c r="D1209" t="s">
        <v>2180</v>
      </c>
      <c r="E1209" t="s">
        <v>4460</v>
      </c>
      <c r="F1209" t="s">
        <v>28</v>
      </c>
      <c r="G1209" t="s">
        <v>4460</v>
      </c>
      <c r="H1209" t="str">
        <f>"myo-6"</f>
        <v>myo-6</v>
      </c>
      <c r="I1209" t="s">
        <v>2180</v>
      </c>
      <c r="J1209" t="s">
        <v>29</v>
      </c>
      <c r="K1209">
        <v>11.0863310363751</v>
      </c>
      <c r="L1209">
        <v>11.773182490999</v>
      </c>
      <c r="M1209">
        <v>11.245025046629101</v>
      </c>
      <c r="N1209" t="s">
        <v>29</v>
      </c>
      <c r="O1209" t="s">
        <v>29</v>
      </c>
      <c r="P1209">
        <v>-0.18473171705792199</v>
      </c>
      <c r="Q1209">
        <v>-1.1915336410116899</v>
      </c>
      <c r="R1209">
        <v>0.82207020689584898</v>
      </c>
      <c r="S1209">
        <v>11.9387855198541</v>
      </c>
      <c r="T1209">
        <v>-0.409415537777504</v>
      </c>
      <c r="U1209">
        <v>-6.5611932034662797</v>
      </c>
      <c r="V1209">
        <v>0.69095637583980496</v>
      </c>
      <c r="W1209">
        <v>0.86125958623679999</v>
      </c>
      <c r="X1209">
        <v>0</v>
      </c>
      <c r="Y1209">
        <v>0</v>
      </c>
    </row>
    <row r="1210" spans="1:25" x14ac:dyDescent="0.2">
      <c r="A1210" t="s">
        <v>4462</v>
      </c>
      <c r="B1210" t="s">
        <v>4463</v>
      </c>
      <c r="C1210" t="s">
        <v>4464</v>
      </c>
      <c r="D1210" t="s">
        <v>4465</v>
      </c>
      <c r="E1210" t="s">
        <v>4463</v>
      </c>
      <c r="F1210" t="s">
        <v>28</v>
      </c>
      <c r="G1210" t="s">
        <v>4463</v>
      </c>
      <c r="H1210" t="str">
        <f>"exo-1"</f>
        <v>exo-1</v>
      </c>
      <c r="I1210" t="s">
        <v>4465</v>
      </c>
      <c r="J1210" t="s">
        <v>29</v>
      </c>
      <c r="K1210" t="s">
        <v>29</v>
      </c>
      <c r="L1210" t="s">
        <v>29</v>
      </c>
      <c r="M1210" t="s">
        <v>29</v>
      </c>
      <c r="N1210" t="s">
        <v>29</v>
      </c>
      <c r="O1210" t="s">
        <v>29</v>
      </c>
      <c r="P1210" t="s">
        <v>29</v>
      </c>
      <c r="Q1210" t="s">
        <v>29</v>
      </c>
      <c r="R1210" t="s">
        <v>29</v>
      </c>
      <c r="S1210">
        <v>10.353943903467</v>
      </c>
      <c r="T1210" t="s">
        <v>29</v>
      </c>
      <c r="U1210" t="s">
        <v>29</v>
      </c>
      <c r="V1210" t="s">
        <v>29</v>
      </c>
      <c r="W1210" t="s">
        <v>29</v>
      </c>
      <c r="X1210" t="s">
        <v>29</v>
      </c>
      <c r="Y1210" t="s">
        <v>29</v>
      </c>
    </row>
    <row r="1211" spans="1:25" x14ac:dyDescent="0.2">
      <c r="A1211" t="s">
        <v>4466</v>
      </c>
      <c r="B1211" t="s">
        <v>4467</v>
      </c>
      <c r="C1211" t="s">
        <v>4468</v>
      </c>
      <c r="D1211" t="s">
        <v>4469</v>
      </c>
      <c r="E1211" t="s">
        <v>4467</v>
      </c>
      <c r="F1211" t="s">
        <v>28</v>
      </c>
      <c r="G1211" t="s">
        <v>4467</v>
      </c>
      <c r="H1211" t="str">
        <f>"cope-1"</f>
        <v>cope-1</v>
      </c>
      <c r="I1211" t="s">
        <v>4469</v>
      </c>
      <c r="J1211">
        <v>14.516429838579599</v>
      </c>
      <c r="K1211">
        <v>14.712390999426599</v>
      </c>
      <c r="L1211">
        <v>14.193640558404701</v>
      </c>
      <c r="M1211">
        <v>14.2104174569518</v>
      </c>
      <c r="N1211">
        <v>14.873716386226301</v>
      </c>
      <c r="O1211">
        <v>14.396318160341099</v>
      </c>
      <c r="P1211">
        <v>1.9330202369396001E-2</v>
      </c>
      <c r="Q1211">
        <v>-0.43402020407855701</v>
      </c>
      <c r="R1211">
        <v>0.47268060881734902</v>
      </c>
      <c r="S1211">
        <v>14.2152114131255</v>
      </c>
      <c r="T1211">
        <v>9.04382023203774E-2</v>
      </c>
      <c r="U1211">
        <v>-7.0477726638916396</v>
      </c>
      <c r="V1211">
        <v>0.92906884801119505</v>
      </c>
      <c r="W1211">
        <v>0.97388235134585399</v>
      </c>
      <c r="X1211">
        <v>0</v>
      </c>
      <c r="Y1211">
        <v>0</v>
      </c>
    </row>
    <row r="1212" spans="1:25" x14ac:dyDescent="0.2">
      <c r="A1212" t="s">
        <v>4470</v>
      </c>
      <c r="B1212" t="s">
        <v>4471</v>
      </c>
      <c r="C1212" t="s">
        <v>4472</v>
      </c>
      <c r="D1212" t="s">
        <v>4473</v>
      </c>
      <c r="E1212" t="s">
        <v>4471</v>
      </c>
      <c r="F1212" t="s">
        <v>28</v>
      </c>
      <c r="G1212" t="s">
        <v>4471</v>
      </c>
      <c r="H1212" t="str">
        <f>"F45G2.9"</f>
        <v>F45G2.9</v>
      </c>
      <c r="I1212" t="s">
        <v>4473</v>
      </c>
      <c r="J1212">
        <v>12.4510097310358</v>
      </c>
      <c r="K1212">
        <v>13.391939604868201</v>
      </c>
      <c r="L1212">
        <v>12.878682213226901</v>
      </c>
      <c r="M1212">
        <v>10.234740845699701</v>
      </c>
      <c r="N1212">
        <v>12.5920780050853</v>
      </c>
      <c r="O1212">
        <v>12.714813443991201</v>
      </c>
      <c r="P1212">
        <v>-1.05999975145152</v>
      </c>
      <c r="Q1212">
        <v>-2.1983167913337498</v>
      </c>
      <c r="R1212">
        <v>7.8317288430699697E-2</v>
      </c>
      <c r="S1212">
        <v>12.9433541543241</v>
      </c>
      <c r="T1212">
        <v>-1.96558821488039</v>
      </c>
      <c r="U1212">
        <v>-5.2244522987779503</v>
      </c>
      <c r="V1212">
        <v>6.6003467813732702E-2</v>
      </c>
      <c r="W1212">
        <v>0.26128380081008001</v>
      </c>
      <c r="X1212">
        <v>0</v>
      </c>
      <c r="Y1212">
        <v>0</v>
      </c>
    </row>
    <row r="1213" spans="1:25" x14ac:dyDescent="0.2">
      <c r="A1213" t="s">
        <v>4474</v>
      </c>
      <c r="B1213" t="s">
        <v>4475</v>
      </c>
      <c r="C1213" t="s">
        <v>4476</v>
      </c>
      <c r="D1213" t="s">
        <v>4477</v>
      </c>
      <c r="E1213" t="s">
        <v>4475</v>
      </c>
      <c r="F1213" t="s">
        <v>28</v>
      </c>
      <c r="G1213" t="s">
        <v>4475</v>
      </c>
      <c r="H1213" t="str">
        <f>"dcap-2"</f>
        <v>dcap-2</v>
      </c>
      <c r="I1213" t="s">
        <v>4477</v>
      </c>
      <c r="J1213">
        <v>13.171143526585899</v>
      </c>
      <c r="K1213">
        <v>13.499185360270401</v>
      </c>
      <c r="L1213">
        <v>12.8498704311864</v>
      </c>
      <c r="M1213">
        <v>14.601232868816799</v>
      </c>
      <c r="N1213">
        <v>14.685831091742701</v>
      </c>
      <c r="O1213">
        <v>14.157611676157901</v>
      </c>
      <c r="P1213">
        <v>1.30815877289157</v>
      </c>
      <c r="Q1213">
        <v>0.76795311676642897</v>
      </c>
      <c r="R1213">
        <v>1.8483644290167101</v>
      </c>
      <c r="S1213">
        <v>13.660674105630299</v>
      </c>
      <c r="T1213">
        <v>5.0897194482098298</v>
      </c>
      <c r="U1213">
        <v>1.3046467218539901</v>
      </c>
      <c r="V1213" s="2">
        <v>7.7840155800499496E-5</v>
      </c>
      <c r="W1213">
        <v>2.5585037068164198E-3</v>
      </c>
      <c r="X1213">
        <v>1</v>
      </c>
      <c r="Y1213">
        <v>1</v>
      </c>
    </row>
    <row r="1214" spans="1:25" x14ac:dyDescent="0.2">
      <c r="A1214" t="s">
        <v>4478</v>
      </c>
      <c r="B1214" t="s">
        <v>4479</v>
      </c>
      <c r="C1214" t="s">
        <v>14390</v>
      </c>
      <c r="D1214" t="s">
        <v>4480</v>
      </c>
      <c r="E1214" t="s">
        <v>4479</v>
      </c>
      <c r="F1214" t="s">
        <v>28</v>
      </c>
      <c r="G1214" t="s">
        <v>4479</v>
      </c>
      <c r="H1214" t="str">
        <f>"F52G2.3"</f>
        <v>F52G2.3</v>
      </c>
      <c r="I1214" t="s">
        <v>4480</v>
      </c>
      <c r="J1214">
        <v>13.901250256553</v>
      </c>
      <c r="K1214">
        <v>12.889282785006101</v>
      </c>
      <c r="L1214">
        <v>12.7963946091888</v>
      </c>
      <c r="M1214">
        <v>13.3888917385956</v>
      </c>
      <c r="N1214">
        <v>13.263245436017099</v>
      </c>
      <c r="O1214">
        <v>14.515590679589099</v>
      </c>
      <c r="P1214">
        <v>0.52693340115133902</v>
      </c>
      <c r="Q1214">
        <v>-0.15795320834540499</v>
      </c>
      <c r="R1214">
        <v>1.2118200106480801</v>
      </c>
      <c r="S1214">
        <v>13.070306674885501</v>
      </c>
      <c r="T1214">
        <v>1.6408869423037</v>
      </c>
      <c r="U1214">
        <v>-5.7420457307130004</v>
      </c>
      <c r="V1214">
        <v>0.12176194625030699</v>
      </c>
      <c r="W1214">
        <v>0.36146675318509303</v>
      </c>
      <c r="X1214">
        <v>0</v>
      </c>
      <c r="Y1214">
        <v>0</v>
      </c>
    </row>
    <row r="1215" spans="1:25" x14ac:dyDescent="0.2">
      <c r="A1215" t="s">
        <v>4481</v>
      </c>
      <c r="B1215" t="s">
        <v>4482</v>
      </c>
      <c r="C1215" t="s">
        <v>14391</v>
      </c>
      <c r="D1215" t="s">
        <v>4483</v>
      </c>
      <c r="E1215" t="s">
        <v>4482</v>
      </c>
      <c r="F1215" t="s">
        <v>28</v>
      </c>
      <c r="G1215" t="s">
        <v>4482</v>
      </c>
      <c r="H1215" t="str">
        <f>"F53F8.5"</f>
        <v>F53F8.5</v>
      </c>
      <c r="I1215" t="s">
        <v>4483</v>
      </c>
      <c r="J1215">
        <v>13.459203386557901</v>
      </c>
      <c r="K1215">
        <v>14.0053772685644</v>
      </c>
      <c r="L1215">
        <v>14.0071702465473</v>
      </c>
      <c r="M1215">
        <v>13.7842957245308</v>
      </c>
      <c r="N1215">
        <v>13.0359203708646</v>
      </c>
      <c r="O1215">
        <v>13.516638364476</v>
      </c>
      <c r="P1215">
        <v>-0.37829881393269799</v>
      </c>
      <c r="Q1215">
        <v>-0.81140637018656403</v>
      </c>
      <c r="R1215">
        <v>5.4808742321167503E-2</v>
      </c>
      <c r="S1215">
        <v>13.9270203595956</v>
      </c>
      <c r="T1215">
        <v>-1.8436956544306999</v>
      </c>
      <c r="U1215">
        <v>-5.4250578230813602</v>
      </c>
      <c r="V1215">
        <v>8.2839497919668506E-2</v>
      </c>
      <c r="W1215">
        <v>0.29442344043886498</v>
      </c>
      <c r="X1215">
        <v>0</v>
      </c>
      <c r="Y1215">
        <v>0</v>
      </c>
    </row>
    <row r="1216" spans="1:25" x14ac:dyDescent="0.2">
      <c r="A1216" t="s">
        <v>4484</v>
      </c>
      <c r="B1216" t="s">
        <v>4485</v>
      </c>
      <c r="C1216" t="s">
        <v>14392</v>
      </c>
      <c r="D1216" t="s">
        <v>4486</v>
      </c>
      <c r="E1216" t="s">
        <v>4485</v>
      </c>
      <c r="F1216" t="s">
        <v>28</v>
      </c>
      <c r="G1216" t="s">
        <v>4485</v>
      </c>
      <c r="H1216" t="str">
        <f>"F54B3.1"</f>
        <v>F54B3.1</v>
      </c>
      <c r="I1216" t="s">
        <v>4486</v>
      </c>
      <c r="J1216">
        <v>12.6876542780912</v>
      </c>
      <c r="K1216">
        <v>11.9682194651476</v>
      </c>
      <c r="L1216">
        <v>12.701845316228701</v>
      </c>
      <c r="M1216">
        <v>13.394803373483301</v>
      </c>
      <c r="N1216">
        <v>13.410683530725001</v>
      </c>
      <c r="O1216">
        <v>13.183095898316701</v>
      </c>
      <c r="P1216">
        <v>0.87695458101916501</v>
      </c>
      <c r="Q1216">
        <v>0.38331313986820598</v>
      </c>
      <c r="R1216">
        <v>1.3705960221701201</v>
      </c>
      <c r="S1216">
        <v>12.8372135748909</v>
      </c>
      <c r="T1216">
        <v>3.7680357914151301</v>
      </c>
      <c r="U1216">
        <v>-1.71534884514926</v>
      </c>
      <c r="V1216">
        <v>1.6996830997353201E-3</v>
      </c>
      <c r="W1216">
        <v>2.5254652084651701E-2</v>
      </c>
      <c r="X1216">
        <v>0</v>
      </c>
      <c r="Y1216">
        <v>0</v>
      </c>
    </row>
    <row r="1217" spans="1:25" x14ac:dyDescent="0.2">
      <c r="A1217" t="s">
        <v>4487</v>
      </c>
      <c r="B1217" t="s">
        <v>4488</v>
      </c>
      <c r="C1217" t="s">
        <v>4489</v>
      </c>
      <c r="D1217" t="s">
        <v>4490</v>
      </c>
      <c r="E1217" t="s">
        <v>4488</v>
      </c>
      <c r="F1217" t="s">
        <v>28</v>
      </c>
      <c r="G1217" t="s">
        <v>4488</v>
      </c>
      <c r="H1217" t="str">
        <f>"wago-4"</f>
        <v>wago-4</v>
      </c>
      <c r="I1217" t="s">
        <v>4490</v>
      </c>
      <c r="J1217">
        <v>11.472524551448499</v>
      </c>
      <c r="K1217" t="s">
        <v>29</v>
      </c>
      <c r="L1217">
        <v>11.494530032019499</v>
      </c>
      <c r="M1217" t="s">
        <v>29</v>
      </c>
      <c r="N1217" t="s">
        <v>29</v>
      </c>
      <c r="O1217">
        <v>11.652107288498</v>
      </c>
      <c r="P1217">
        <v>0.168579996764016</v>
      </c>
      <c r="Q1217">
        <v>-0.669815932306975</v>
      </c>
      <c r="R1217">
        <v>1.0069759258350099</v>
      </c>
      <c r="S1217">
        <v>11.8574204479616</v>
      </c>
      <c r="T1217">
        <v>0.43853260903417002</v>
      </c>
      <c r="U1217">
        <v>-6.5494911558162698</v>
      </c>
      <c r="V1217">
        <v>0.66885898264570198</v>
      </c>
      <c r="W1217">
        <v>0.85151296147461497</v>
      </c>
      <c r="X1217">
        <v>0</v>
      </c>
      <c r="Y1217">
        <v>0</v>
      </c>
    </row>
    <row r="1218" spans="1:25" x14ac:dyDescent="0.2">
      <c r="A1218" t="s">
        <v>4491</v>
      </c>
      <c r="B1218" t="s">
        <v>4492</v>
      </c>
      <c r="C1218" t="s">
        <v>4493</v>
      </c>
      <c r="D1218" t="s">
        <v>4494</v>
      </c>
      <c r="E1218" t="s">
        <v>4492</v>
      </c>
      <c r="F1218" t="s">
        <v>28</v>
      </c>
      <c r="G1218" t="s">
        <v>4492</v>
      </c>
      <c r="H1218" t="str">
        <f>"smg-8"</f>
        <v>smg-8</v>
      </c>
      <c r="I1218" t="s">
        <v>4494</v>
      </c>
      <c r="J1218">
        <v>11.684621648120199</v>
      </c>
      <c r="K1218" t="s">
        <v>29</v>
      </c>
      <c r="L1218">
        <v>11.004304451275299</v>
      </c>
      <c r="M1218" t="s">
        <v>29</v>
      </c>
      <c r="N1218">
        <v>12.232058951841999</v>
      </c>
      <c r="O1218">
        <v>12.1992191961402</v>
      </c>
      <c r="P1218">
        <v>0.87117602429339902</v>
      </c>
      <c r="Q1218">
        <v>0.30871002130349801</v>
      </c>
      <c r="R1218">
        <v>1.4336420272832999</v>
      </c>
      <c r="S1218">
        <v>12.095578869280301</v>
      </c>
      <c r="T1218">
        <v>3.3488591468625399</v>
      </c>
      <c r="U1218">
        <v>-2.5695674937995898</v>
      </c>
      <c r="V1218">
        <v>5.2856200784092804E-3</v>
      </c>
      <c r="W1218">
        <v>5.67637218981644E-2</v>
      </c>
      <c r="X1218">
        <v>0</v>
      </c>
      <c r="Y1218">
        <v>0</v>
      </c>
    </row>
    <row r="1219" spans="1:25" x14ac:dyDescent="0.2">
      <c r="A1219" t="s">
        <v>4495</v>
      </c>
      <c r="B1219" t="s">
        <v>4496</v>
      </c>
      <c r="C1219" t="s">
        <v>4497</v>
      </c>
      <c r="D1219" t="s">
        <v>4498</v>
      </c>
      <c r="E1219" t="s">
        <v>4496</v>
      </c>
      <c r="F1219" t="s">
        <v>28</v>
      </c>
      <c r="G1219" t="s">
        <v>4496</v>
      </c>
      <c r="H1219" t="str">
        <f>"unc-43"</f>
        <v>unc-43</v>
      </c>
      <c r="I1219" t="s">
        <v>4498</v>
      </c>
      <c r="J1219">
        <v>11.8474675130597</v>
      </c>
      <c r="K1219">
        <v>11.7838339839813</v>
      </c>
      <c r="L1219">
        <v>12.012582540189699</v>
      </c>
      <c r="M1219">
        <v>11.934910320653101</v>
      </c>
      <c r="N1219">
        <v>11.1353888866822</v>
      </c>
      <c r="O1219">
        <v>12.0150846291072</v>
      </c>
      <c r="P1219">
        <v>-0.186166733596066</v>
      </c>
      <c r="Q1219">
        <v>-0.88145818272006804</v>
      </c>
      <c r="R1219">
        <v>0.50912471552793703</v>
      </c>
      <c r="S1219">
        <v>11.242167305085101</v>
      </c>
      <c r="T1219">
        <v>-0.56276580872626902</v>
      </c>
      <c r="U1219">
        <v>-6.8875749123558396</v>
      </c>
      <c r="V1219">
        <v>0.58057713872099903</v>
      </c>
      <c r="W1219">
        <v>0.79970129340233898</v>
      </c>
      <c r="X1219">
        <v>0</v>
      </c>
      <c r="Y1219">
        <v>0</v>
      </c>
    </row>
    <row r="1220" spans="1:25" x14ac:dyDescent="0.2">
      <c r="A1220" t="s">
        <v>4499</v>
      </c>
      <c r="B1220" t="s">
        <v>4500</v>
      </c>
      <c r="C1220" t="s">
        <v>14393</v>
      </c>
      <c r="D1220" t="s">
        <v>4501</v>
      </c>
      <c r="E1220" t="s">
        <v>4500</v>
      </c>
      <c r="F1220" t="s">
        <v>28</v>
      </c>
      <c r="G1220" t="s">
        <v>4500</v>
      </c>
      <c r="H1220" t="str">
        <f>"M01G12.9"</f>
        <v>M01G12.9</v>
      </c>
      <c r="I1220" t="s">
        <v>4501</v>
      </c>
      <c r="J1220">
        <v>12.950405658084</v>
      </c>
      <c r="K1220">
        <v>12.8745682814869</v>
      </c>
      <c r="L1220">
        <v>12.144840732485299</v>
      </c>
      <c r="M1220">
        <v>12.212398016293401</v>
      </c>
      <c r="N1220">
        <v>11.896023556985501</v>
      </c>
      <c r="O1220">
        <v>12.663991387842801</v>
      </c>
      <c r="P1220">
        <v>-0.39913390364482598</v>
      </c>
      <c r="Q1220">
        <v>-1.13594402364499</v>
      </c>
      <c r="R1220">
        <v>0.33767621635534001</v>
      </c>
      <c r="S1220">
        <v>12.868917427707</v>
      </c>
      <c r="T1220">
        <v>-1.1489802596409899</v>
      </c>
      <c r="U1220">
        <v>-6.3832488226670998</v>
      </c>
      <c r="V1220">
        <v>0.267560778198834</v>
      </c>
      <c r="W1220">
        <v>0.544151732661878</v>
      </c>
      <c r="X1220">
        <v>0</v>
      </c>
      <c r="Y1220">
        <v>0</v>
      </c>
    </row>
    <row r="1221" spans="1:25" x14ac:dyDescent="0.2">
      <c r="A1221" t="s">
        <v>4502</v>
      </c>
      <c r="B1221" t="s">
        <v>4503</v>
      </c>
      <c r="C1221" t="s">
        <v>14394</v>
      </c>
      <c r="D1221" t="s">
        <v>531</v>
      </c>
      <c r="E1221" t="s">
        <v>4503</v>
      </c>
      <c r="F1221" t="s">
        <v>28</v>
      </c>
      <c r="G1221" t="s">
        <v>4503</v>
      </c>
      <c r="H1221" t="str">
        <f>"R05H10.1"</f>
        <v>R05H10.1</v>
      </c>
      <c r="I1221" t="s">
        <v>531</v>
      </c>
      <c r="J1221" t="s">
        <v>29</v>
      </c>
      <c r="K1221" t="s">
        <v>29</v>
      </c>
      <c r="L1221" t="s">
        <v>29</v>
      </c>
      <c r="M1221">
        <v>13.455423464376199</v>
      </c>
      <c r="N1221">
        <v>12.489113438793201</v>
      </c>
      <c r="O1221">
        <v>12.9621058316489</v>
      </c>
      <c r="P1221" t="s">
        <v>29</v>
      </c>
      <c r="Q1221" t="s">
        <v>29</v>
      </c>
      <c r="R1221" t="s">
        <v>29</v>
      </c>
      <c r="S1221">
        <v>12.8039318847743</v>
      </c>
      <c r="T1221" t="s">
        <v>29</v>
      </c>
      <c r="U1221" t="s">
        <v>29</v>
      </c>
      <c r="V1221" t="s">
        <v>29</v>
      </c>
      <c r="W1221" t="s">
        <v>29</v>
      </c>
      <c r="X1221" t="s">
        <v>29</v>
      </c>
      <c r="Y1221" t="s">
        <v>29</v>
      </c>
    </row>
    <row r="1222" spans="1:25" x14ac:dyDescent="0.2">
      <c r="A1222" t="s">
        <v>4504</v>
      </c>
      <c r="B1222" t="s">
        <v>4505</v>
      </c>
      <c r="C1222" t="s">
        <v>4506</v>
      </c>
      <c r="D1222" t="s">
        <v>93</v>
      </c>
      <c r="E1222" t="s">
        <v>4505</v>
      </c>
      <c r="F1222" t="s">
        <v>28</v>
      </c>
      <c r="G1222" t="s">
        <v>4505</v>
      </c>
      <c r="H1222" t="str">
        <f>"rbm-28"</f>
        <v>rbm-28</v>
      </c>
      <c r="I1222" t="s">
        <v>93</v>
      </c>
      <c r="J1222">
        <v>13.265681606392</v>
      </c>
      <c r="K1222">
        <v>12.370160586788399</v>
      </c>
      <c r="L1222">
        <v>12.709902953492399</v>
      </c>
      <c r="M1222">
        <v>12.7752300829614</v>
      </c>
      <c r="N1222">
        <v>12.695936218830999</v>
      </c>
      <c r="O1222">
        <v>12.7086645862989</v>
      </c>
      <c r="P1222">
        <v>-5.5304752860509503E-2</v>
      </c>
      <c r="Q1222">
        <v>-0.59864507059707095</v>
      </c>
      <c r="R1222">
        <v>0.48803556487605199</v>
      </c>
      <c r="S1222">
        <v>13.561900415797201</v>
      </c>
      <c r="T1222">
        <v>-0.214852561964685</v>
      </c>
      <c r="U1222">
        <v>-7.02785236570565</v>
      </c>
      <c r="V1222">
        <v>0.83245428885713701</v>
      </c>
      <c r="W1222">
        <v>0.93213516096945703</v>
      </c>
      <c r="X1222">
        <v>0</v>
      </c>
      <c r="Y1222">
        <v>0</v>
      </c>
    </row>
    <row r="1223" spans="1:25" x14ac:dyDescent="0.2">
      <c r="A1223" t="s">
        <v>4507</v>
      </c>
      <c r="B1223" t="s">
        <v>4508</v>
      </c>
      <c r="C1223" t="s">
        <v>4509</v>
      </c>
      <c r="D1223" t="s">
        <v>4510</v>
      </c>
      <c r="E1223" t="s">
        <v>4508</v>
      </c>
      <c r="F1223" t="s">
        <v>28</v>
      </c>
      <c r="G1223" t="s">
        <v>4508</v>
      </c>
      <c r="H1223" t="str">
        <f>"gpx-2"</f>
        <v>gpx-2</v>
      </c>
      <c r="I1223" t="s">
        <v>4510</v>
      </c>
      <c r="J1223">
        <v>13.901921317127499</v>
      </c>
      <c r="K1223">
        <v>13.7761125526493</v>
      </c>
      <c r="L1223">
        <v>13.6377384785266</v>
      </c>
      <c r="M1223">
        <v>14.108493193085801</v>
      </c>
      <c r="N1223">
        <v>14.2571003144486</v>
      </c>
      <c r="O1223">
        <v>14.2291004154436</v>
      </c>
      <c r="P1223">
        <v>0.426307191558223</v>
      </c>
      <c r="Q1223">
        <v>7.7246386397445396E-2</v>
      </c>
      <c r="R1223">
        <v>0.77536799671900103</v>
      </c>
      <c r="S1223">
        <v>13.835020505308099</v>
      </c>
      <c r="T1223">
        <v>2.5669303569392099</v>
      </c>
      <c r="U1223">
        <v>-4.1157689955981303</v>
      </c>
      <c r="V1223">
        <v>1.9459613830160101E-2</v>
      </c>
      <c r="W1223">
        <v>0.135302528639618</v>
      </c>
      <c r="X1223">
        <v>0</v>
      </c>
      <c r="Y1223">
        <v>0</v>
      </c>
    </row>
    <row r="1224" spans="1:25" x14ac:dyDescent="0.2">
      <c r="A1224" t="s">
        <v>4511</v>
      </c>
      <c r="B1224" t="s">
        <v>4512</v>
      </c>
      <c r="C1224" t="s">
        <v>4513</v>
      </c>
      <c r="D1224" t="s">
        <v>4514</v>
      </c>
      <c r="E1224" t="s">
        <v>4512</v>
      </c>
      <c r="F1224" t="s">
        <v>28</v>
      </c>
      <c r="G1224" t="s">
        <v>4512</v>
      </c>
      <c r="H1224" t="str">
        <f>"fdps-1"</f>
        <v>fdps-1</v>
      </c>
      <c r="I1224" t="s">
        <v>4514</v>
      </c>
      <c r="J1224">
        <v>14.5558985841958</v>
      </c>
      <c r="K1224">
        <v>14.792252285595</v>
      </c>
      <c r="L1224">
        <v>14.6937757218514</v>
      </c>
      <c r="M1224">
        <v>14.653673687915401</v>
      </c>
      <c r="N1224">
        <v>14.689866816784701</v>
      </c>
      <c r="O1224">
        <v>14.3260412132221</v>
      </c>
      <c r="P1224">
        <v>-0.124114957906658</v>
      </c>
      <c r="Q1224">
        <v>-0.54968073470499501</v>
      </c>
      <c r="R1224">
        <v>0.30145081889167902</v>
      </c>
      <c r="S1224">
        <v>14.3365686294296</v>
      </c>
      <c r="T1224">
        <v>-0.61298513359753504</v>
      </c>
      <c r="U1224">
        <v>-6.8572229601214501</v>
      </c>
      <c r="V1224">
        <v>0.54759836387969196</v>
      </c>
      <c r="W1224">
        <v>0.77920996104149098</v>
      </c>
      <c r="X1224">
        <v>0</v>
      </c>
      <c r="Y1224">
        <v>0</v>
      </c>
    </row>
    <row r="1225" spans="1:25" x14ac:dyDescent="0.2">
      <c r="A1225" t="s">
        <v>4515</v>
      </c>
      <c r="B1225" t="s">
        <v>4516</v>
      </c>
      <c r="C1225" t="s">
        <v>4517</v>
      </c>
      <c r="D1225" t="s">
        <v>4518</v>
      </c>
      <c r="E1225" t="s">
        <v>4516</v>
      </c>
      <c r="F1225" t="s">
        <v>28</v>
      </c>
      <c r="G1225" t="s">
        <v>4516</v>
      </c>
      <c r="H1225" t="str">
        <f>"slc-25a21"</f>
        <v>slc-25a21</v>
      </c>
      <c r="I1225" t="s">
        <v>4518</v>
      </c>
      <c r="J1225">
        <v>15.4625987278647</v>
      </c>
      <c r="K1225">
        <v>15.142064737794501</v>
      </c>
      <c r="L1225">
        <v>15.0286860497552</v>
      </c>
      <c r="M1225">
        <v>15.6300331407369</v>
      </c>
      <c r="N1225">
        <v>15.435030105654601</v>
      </c>
      <c r="O1225">
        <v>15.2235252127722</v>
      </c>
      <c r="P1225">
        <v>0.21841298124977701</v>
      </c>
      <c r="Q1225">
        <v>-0.199952301592494</v>
      </c>
      <c r="R1225">
        <v>0.63677826409204896</v>
      </c>
      <c r="S1225">
        <v>14.8165972869717</v>
      </c>
      <c r="T1225">
        <v>1.1019777395196599</v>
      </c>
      <c r="U1225">
        <v>-6.4357536856366204</v>
      </c>
      <c r="V1225">
        <v>0.28592275259804101</v>
      </c>
      <c r="W1225">
        <v>0.56576912881200803</v>
      </c>
      <c r="X1225">
        <v>0</v>
      </c>
      <c r="Y1225">
        <v>0</v>
      </c>
    </row>
    <row r="1226" spans="1:25" x14ac:dyDescent="0.2">
      <c r="A1226" t="s">
        <v>4519</v>
      </c>
      <c r="B1226" t="s">
        <v>4520</v>
      </c>
      <c r="C1226" t="s">
        <v>14395</v>
      </c>
      <c r="D1226" t="s">
        <v>852</v>
      </c>
      <c r="E1226" t="s">
        <v>4520</v>
      </c>
      <c r="F1226" t="s">
        <v>28</v>
      </c>
      <c r="G1226" t="s">
        <v>4520</v>
      </c>
      <c r="H1226" t="str">
        <f>"R11H6.5"</f>
        <v>R11H6.5</v>
      </c>
      <c r="I1226" t="s">
        <v>852</v>
      </c>
      <c r="J1226">
        <v>15.4498016122878</v>
      </c>
      <c r="K1226">
        <v>15.4275870288467</v>
      </c>
      <c r="L1226">
        <v>15.089578501400601</v>
      </c>
      <c r="M1226">
        <v>15.543359970573601</v>
      </c>
      <c r="N1226">
        <v>14.7616922177764</v>
      </c>
      <c r="O1226">
        <v>14.805627819979399</v>
      </c>
      <c r="P1226">
        <v>-0.28542904473528302</v>
      </c>
      <c r="Q1226">
        <v>-0.73348261932224301</v>
      </c>
      <c r="R1226">
        <v>0.162624529851677</v>
      </c>
      <c r="S1226">
        <v>14.787654846926999</v>
      </c>
      <c r="T1226">
        <v>-1.34467778687074</v>
      </c>
      <c r="U1226">
        <v>-6.14938157108553</v>
      </c>
      <c r="V1226">
        <v>0.19650511366514201</v>
      </c>
      <c r="W1226">
        <v>0.45705248919675001</v>
      </c>
      <c r="X1226">
        <v>0</v>
      </c>
      <c r="Y1226">
        <v>0</v>
      </c>
    </row>
    <row r="1227" spans="1:25" x14ac:dyDescent="0.2">
      <c r="A1227" t="s">
        <v>4521</v>
      </c>
      <c r="B1227" t="s">
        <v>4522</v>
      </c>
      <c r="C1227" t="s">
        <v>4523</v>
      </c>
      <c r="D1227" t="s">
        <v>308</v>
      </c>
      <c r="E1227" t="s">
        <v>4522</v>
      </c>
      <c r="F1227" t="s">
        <v>28</v>
      </c>
      <c r="G1227" t="s">
        <v>4522</v>
      </c>
      <c r="H1227" t="str">
        <f>"dnj-17"</f>
        <v>dnj-17</v>
      </c>
      <c r="I1227" t="s">
        <v>308</v>
      </c>
      <c r="J1227">
        <v>12.944129574352001</v>
      </c>
      <c r="K1227">
        <v>12.5621362133207</v>
      </c>
      <c r="L1227">
        <v>13.236299949953899</v>
      </c>
      <c r="M1227">
        <v>12.0139420290724</v>
      </c>
      <c r="N1227">
        <v>12.445987178027501</v>
      </c>
      <c r="O1227">
        <v>11.006398616103001</v>
      </c>
      <c r="P1227">
        <v>-1.0920793048078601</v>
      </c>
      <c r="Q1227">
        <v>-1.7753149375346999</v>
      </c>
      <c r="R1227">
        <v>-0.40884367208101502</v>
      </c>
      <c r="S1227">
        <v>12.6061468688742</v>
      </c>
      <c r="T1227">
        <v>-3.3739114672388899</v>
      </c>
      <c r="U1227">
        <v>-2.4876003679851499</v>
      </c>
      <c r="V1227">
        <v>3.6312279787153799E-3</v>
      </c>
      <c r="W1227">
        <v>4.3925709452564403E-2</v>
      </c>
      <c r="X1227">
        <v>-1</v>
      </c>
      <c r="Y1227">
        <v>-1</v>
      </c>
    </row>
    <row r="1228" spans="1:25" x14ac:dyDescent="0.2">
      <c r="A1228" t="s">
        <v>4524</v>
      </c>
      <c r="B1228" t="s">
        <v>4525</v>
      </c>
      <c r="C1228" t="s">
        <v>14396</v>
      </c>
      <c r="D1228" t="s">
        <v>4526</v>
      </c>
      <c r="E1228" t="s">
        <v>4525</v>
      </c>
      <c r="F1228" t="s">
        <v>28</v>
      </c>
      <c r="G1228" t="s">
        <v>4527</v>
      </c>
      <c r="H1228" t="str">
        <f>"W01D2.1"</f>
        <v>W01D2.1</v>
      </c>
      <c r="I1228" t="s">
        <v>4528</v>
      </c>
      <c r="J1228">
        <v>11.860810842052199</v>
      </c>
      <c r="K1228">
        <v>9.4195782469029492</v>
      </c>
      <c r="L1228" t="s">
        <v>29</v>
      </c>
      <c r="M1228" t="s">
        <v>29</v>
      </c>
      <c r="N1228" t="s">
        <v>29</v>
      </c>
      <c r="O1228" t="s">
        <v>29</v>
      </c>
      <c r="P1228" t="s">
        <v>29</v>
      </c>
      <c r="Q1228" t="s">
        <v>29</v>
      </c>
      <c r="R1228" t="s">
        <v>29</v>
      </c>
      <c r="S1228">
        <v>12.4093960817917</v>
      </c>
      <c r="T1228" t="s">
        <v>29</v>
      </c>
      <c r="U1228" t="s">
        <v>29</v>
      </c>
      <c r="V1228" t="s">
        <v>29</v>
      </c>
      <c r="W1228" t="s">
        <v>29</v>
      </c>
      <c r="X1228" t="s">
        <v>29</v>
      </c>
      <c r="Y1228" t="s">
        <v>29</v>
      </c>
    </row>
    <row r="1229" spans="1:25" x14ac:dyDescent="0.2">
      <c r="A1229" t="s">
        <v>4529</v>
      </c>
      <c r="B1229" t="s">
        <v>4530</v>
      </c>
      <c r="C1229" t="s">
        <v>4531</v>
      </c>
      <c r="D1229" t="s">
        <v>4532</v>
      </c>
      <c r="E1229" t="s">
        <v>4530</v>
      </c>
      <c r="F1229" t="s">
        <v>28</v>
      </c>
      <c r="G1229" t="s">
        <v>4530</v>
      </c>
      <c r="H1229" t="str">
        <f>"nhr-61"</f>
        <v>nhr-61</v>
      </c>
      <c r="I1229" t="s">
        <v>4532</v>
      </c>
      <c r="J1229" t="s">
        <v>29</v>
      </c>
      <c r="K1229" t="s">
        <v>29</v>
      </c>
      <c r="L1229" t="s">
        <v>29</v>
      </c>
      <c r="M1229" t="s">
        <v>29</v>
      </c>
      <c r="N1229" t="s">
        <v>29</v>
      </c>
      <c r="O1229" t="s">
        <v>29</v>
      </c>
      <c r="P1229" t="s">
        <v>29</v>
      </c>
      <c r="Q1229" t="s">
        <v>29</v>
      </c>
      <c r="R1229" t="s">
        <v>29</v>
      </c>
      <c r="S1229">
        <v>11.462234031570199</v>
      </c>
      <c r="T1229" t="s">
        <v>29</v>
      </c>
      <c r="U1229" t="s">
        <v>29</v>
      </c>
      <c r="V1229" t="s">
        <v>29</v>
      </c>
      <c r="W1229" t="s">
        <v>29</v>
      </c>
      <c r="X1229" t="s">
        <v>29</v>
      </c>
      <c r="Y1229" t="s">
        <v>29</v>
      </c>
    </row>
    <row r="1230" spans="1:25" x14ac:dyDescent="0.2">
      <c r="A1230" t="s">
        <v>4533</v>
      </c>
      <c r="B1230" t="s">
        <v>4534</v>
      </c>
      <c r="C1230" t="s">
        <v>4535</v>
      </c>
      <c r="D1230" t="s">
        <v>4536</v>
      </c>
      <c r="E1230" t="s">
        <v>4534</v>
      </c>
      <c r="F1230" t="s">
        <v>28</v>
      </c>
      <c r="G1230" t="s">
        <v>4534</v>
      </c>
      <c r="H1230" t="str">
        <f>"lys-1"</f>
        <v>lys-1</v>
      </c>
      <c r="I1230" t="s">
        <v>4536</v>
      </c>
      <c r="J1230">
        <v>11.132533775497899</v>
      </c>
      <c r="K1230">
        <v>11.091356229388699</v>
      </c>
      <c r="L1230">
        <v>11.809329116249399</v>
      </c>
      <c r="M1230">
        <v>11.3413612824097</v>
      </c>
      <c r="N1230">
        <v>11.9223197672405</v>
      </c>
      <c r="O1230">
        <v>12.007443652349201</v>
      </c>
      <c r="P1230">
        <v>0.41263519362112799</v>
      </c>
      <c r="Q1230">
        <v>-0.43570500620571201</v>
      </c>
      <c r="R1230">
        <v>1.2609753934479699</v>
      </c>
      <c r="S1230">
        <v>12.516503298558399</v>
      </c>
      <c r="T1230">
        <v>1.0373798901417699</v>
      </c>
      <c r="U1230">
        <v>-6.5018938285801902</v>
      </c>
      <c r="V1230">
        <v>0.31610728959606399</v>
      </c>
      <c r="W1230">
        <v>0.59354478958199297</v>
      </c>
      <c r="X1230">
        <v>0</v>
      </c>
      <c r="Y1230">
        <v>0</v>
      </c>
    </row>
    <row r="1231" spans="1:25" x14ac:dyDescent="0.2">
      <c r="A1231" t="s">
        <v>4537</v>
      </c>
      <c r="B1231" t="s">
        <v>4538</v>
      </c>
      <c r="C1231" t="s">
        <v>4539</v>
      </c>
      <c r="D1231" t="s">
        <v>4540</v>
      </c>
      <c r="E1231" t="s">
        <v>4538</v>
      </c>
      <c r="F1231" t="s">
        <v>28</v>
      </c>
      <c r="G1231" t="s">
        <v>4538</v>
      </c>
      <c r="H1231" t="str">
        <f>"qars-1"</f>
        <v>qars-1</v>
      </c>
      <c r="I1231" t="s">
        <v>4540</v>
      </c>
      <c r="J1231">
        <v>16.188790556809899</v>
      </c>
      <c r="K1231">
        <v>16.1005489289746</v>
      </c>
      <c r="L1231">
        <v>15.7989527694368</v>
      </c>
      <c r="M1231">
        <v>16.0147764701364</v>
      </c>
      <c r="N1231">
        <v>15.703518613923601</v>
      </c>
      <c r="O1231">
        <v>15.486916105829801</v>
      </c>
      <c r="P1231">
        <v>-0.29436035511049902</v>
      </c>
      <c r="Q1231">
        <v>-0.69191482921278302</v>
      </c>
      <c r="R1231">
        <v>0.103194118991786</v>
      </c>
      <c r="S1231">
        <v>15.509096093194399</v>
      </c>
      <c r="T1231">
        <v>-1.5562350268126599</v>
      </c>
      <c r="U1231">
        <v>-5.8622990445568401</v>
      </c>
      <c r="V1231">
        <v>0.137160425660628</v>
      </c>
      <c r="W1231">
        <v>0.38355251082414998</v>
      </c>
      <c r="X1231">
        <v>0</v>
      </c>
      <c r="Y1231">
        <v>0</v>
      </c>
    </row>
    <row r="1232" spans="1:25" x14ac:dyDescent="0.2">
      <c r="A1232" t="s">
        <v>4541</v>
      </c>
      <c r="B1232" t="s">
        <v>4542</v>
      </c>
      <c r="C1232" t="s">
        <v>4543</v>
      </c>
      <c r="D1232" t="s">
        <v>3312</v>
      </c>
      <c r="E1232" t="s">
        <v>4542</v>
      </c>
      <c r="F1232" t="s">
        <v>28</v>
      </c>
      <c r="G1232" t="s">
        <v>4542</v>
      </c>
      <c r="H1232" t="str">
        <f>"dpy-4"</f>
        <v>dpy-4</v>
      </c>
      <c r="I1232" t="s">
        <v>3312</v>
      </c>
      <c r="J1232">
        <v>13.167775790983599</v>
      </c>
      <c r="K1232">
        <v>11.6017702912338</v>
      </c>
      <c r="L1232">
        <v>12.535287385220601</v>
      </c>
      <c r="M1232">
        <v>10.175819552496</v>
      </c>
      <c r="N1232">
        <v>11.3719322574422</v>
      </c>
      <c r="O1232">
        <v>13.1554548311661</v>
      </c>
      <c r="P1232">
        <v>-0.86720894211120103</v>
      </c>
      <c r="Q1232">
        <v>-2.4553361774124398</v>
      </c>
      <c r="R1232">
        <v>0.72091829319003298</v>
      </c>
      <c r="S1232">
        <v>12.0196545802676</v>
      </c>
      <c r="T1232">
        <v>-1.1477068319474599</v>
      </c>
      <c r="U1232">
        <v>-6.38617607152114</v>
      </c>
      <c r="V1232">
        <v>0.26620221123974203</v>
      </c>
      <c r="W1232">
        <v>0.54253072011360703</v>
      </c>
      <c r="X1232">
        <v>0</v>
      </c>
      <c r="Y1232">
        <v>0</v>
      </c>
    </row>
    <row r="1233" spans="1:25" x14ac:dyDescent="0.2">
      <c r="A1233" t="s">
        <v>4544</v>
      </c>
      <c r="B1233" t="s">
        <v>4545</v>
      </c>
      <c r="C1233" t="s">
        <v>14397</v>
      </c>
      <c r="D1233" t="s">
        <v>534</v>
      </c>
      <c r="E1233" t="s">
        <v>4545</v>
      </c>
      <c r="F1233" t="s">
        <v>28</v>
      </c>
      <c r="G1233" t="s">
        <v>4545</v>
      </c>
      <c r="H1233" t="str">
        <f>"Y45F10D.7"</f>
        <v>Y45F10D.7</v>
      </c>
      <c r="I1233" t="s">
        <v>534</v>
      </c>
      <c r="J1233">
        <v>15.6229654845406</v>
      </c>
      <c r="K1233">
        <v>15.574023995630601</v>
      </c>
      <c r="L1233">
        <v>15.3695896789588</v>
      </c>
      <c r="M1233">
        <v>15.5474075178366</v>
      </c>
      <c r="N1233">
        <v>15.1638038021871</v>
      </c>
      <c r="O1233">
        <v>14.9586786924585</v>
      </c>
      <c r="P1233">
        <v>-0.29889638221592602</v>
      </c>
      <c r="Q1233">
        <v>-0.63714037974400695</v>
      </c>
      <c r="R1233">
        <v>3.9347615312155797E-2</v>
      </c>
      <c r="S1233">
        <v>15.155137133813501</v>
      </c>
      <c r="T1233">
        <v>-1.8573043386778001</v>
      </c>
      <c r="U1233">
        <v>-5.4000787113729896</v>
      </c>
      <c r="V1233">
        <v>7.9804110991615301E-2</v>
      </c>
      <c r="W1233">
        <v>0.289269405539689</v>
      </c>
      <c r="X1233">
        <v>0</v>
      </c>
      <c r="Y1233">
        <v>0</v>
      </c>
    </row>
    <row r="1234" spans="1:25" x14ac:dyDescent="0.2">
      <c r="A1234" t="s">
        <v>4546</v>
      </c>
      <c r="B1234" t="s">
        <v>4547</v>
      </c>
      <c r="C1234" t="s">
        <v>4548</v>
      </c>
      <c r="D1234" t="s">
        <v>4549</v>
      </c>
      <c r="E1234" t="s">
        <v>4547</v>
      </c>
      <c r="F1234" t="s">
        <v>28</v>
      </c>
      <c r="G1234" t="s">
        <v>4547</v>
      </c>
      <c r="H1234" t="str">
        <f>"sas-6"</f>
        <v>sas-6</v>
      </c>
      <c r="I1234" t="s">
        <v>4549</v>
      </c>
      <c r="J1234" t="s">
        <v>29</v>
      </c>
      <c r="K1234" t="s">
        <v>29</v>
      </c>
      <c r="L1234" t="s">
        <v>29</v>
      </c>
      <c r="M1234" t="s">
        <v>29</v>
      </c>
      <c r="N1234" t="s">
        <v>29</v>
      </c>
      <c r="O1234" t="s">
        <v>29</v>
      </c>
      <c r="P1234" t="s">
        <v>29</v>
      </c>
      <c r="Q1234" t="s">
        <v>29</v>
      </c>
      <c r="R1234" t="s">
        <v>29</v>
      </c>
      <c r="S1234">
        <v>9.6451351309855102</v>
      </c>
      <c r="T1234" t="s">
        <v>29</v>
      </c>
      <c r="U1234" t="s">
        <v>29</v>
      </c>
      <c r="V1234" t="s">
        <v>29</v>
      </c>
      <c r="W1234" t="s">
        <v>29</v>
      </c>
      <c r="X1234" t="s">
        <v>29</v>
      </c>
      <c r="Y1234" t="s">
        <v>29</v>
      </c>
    </row>
    <row r="1235" spans="1:25" x14ac:dyDescent="0.2">
      <c r="A1235" t="s">
        <v>4550</v>
      </c>
      <c r="B1235" t="s">
        <v>4551</v>
      </c>
      <c r="C1235" t="s">
        <v>4552</v>
      </c>
      <c r="D1235" t="s">
        <v>4553</v>
      </c>
      <c r="E1235" t="s">
        <v>4551</v>
      </c>
      <c r="F1235" t="s">
        <v>28</v>
      </c>
      <c r="G1235" t="s">
        <v>4551</v>
      </c>
      <c r="H1235" t="str">
        <f>"eelo-2"</f>
        <v>eelo-2</v>
      </c>
      <c r="I1235" t="s">
        <v>4553</v>
      </c>
      <c r="J1235">
        <v>14.5338931215079</v>
      </c>
      <c r="K1235">
        <v>14.4033383766795</v>
      </c>
      <c r="L1235">
        <v>14.3663792804058</v>
      </c>
      <c r="M1235">
        <v>14.195012229959101</v>
      </c>
      <c r="N1235">
        <v>14.4678358143158</v>
      </c>
      <c r="O1235">
        <v>14.095369330556199</v>
      </c>
      <c r="P1235">
        <v>-0.18179780125402301</v>
      </c>
      <c r="Q1235">
        <v>-0.52524575685924602</v>
      </c>
      <c r="R1235">
        <v>0.161650154351201</v>
      </c>
      <c r="S1235">
        <v>14.477385887343999</v>
      </c>
      <c r="T1235">
        <v>-1.11255170583448</v>
      </c>
      <c r="U1235">
        <v>-6.4250230198886698</v>
      </c>
      <c r="V1235">
        <v>0.28062384527128997</v>
      </c>
      <c r="W1235">
        <v>0.56024359195064</v>
      </c>
      <c r="X1235">
        <v>0</v>
      </c>
      <c r="Y1235">
        <v>0</v>
      </c>
    </row>
    <row r="1236" spans="1:25" x14ac:dyDescent="0.2">
      <c r="A1236" t="s">
        <v>4554</v>
      </c>
      <c r="B1236" t="s">
        <v>4555</v>
      </c>
      <c r="C1236" t="s">
        <v>4556</v>
      </c>
      <c r="D1236" t="s">
        <v>4557</v>
      </c>
      <c r="E1236" t="s">
        <v>4555</v>
      </c>
      <c r="F1236" t="s">
        <v>28</v>
      </c>
      <c r="G1236" t="s">
        <v>4555</v>
      </c>
      <c r="H1236" t="str">
        <f>"ZK795.3"</f>
        <v>ZK795.3</v>
      </c>
      <c r="I1236" t="s">
        <v>4557</v>
      </c>
      <c r="J1236">
        <v>13.9602091183799</v>
      </c>
      <c r="K1236">
        <v>13.8222035446119</v>
      </c>
      <c r="L1236">
        <v>14.039333386813601</v>
      </c>
      <c r="M1236">
        <v>13.597088475266499</v>
      </c>
      <c r="N1236">
        <v>13.9916672475201</v>
      </c>
      <c r="O1236">
        <v>13.7879946017705</v>
      </c>
      <c r="P1236">
        <v>-0.14833190841611299</v>
      </c>
      <c r="Q1236">
        <v>-0.53189028842179098</v>
      </c>
      <c r="R1236">
        <v>0.235226471589566</v>
      </c>
      <c r="S1236">
        <v>14.1784700455368</v>
      </c>
      <c r="T1236">
        <v>-0.81630625026458503</v>
      </c>
      <c r="U1236">
        <v>-6.7085607845136197</v>
      </c>
      <c r="V1236">
        <v>0.42568548754354801</v>
      </c>
      <c r="W1236">
        <v>0.69633750496314994</v>
      </c>
      <c r="X1236">
        <v>0</v>
      </c>
      <c r="Y1236">
        <v>0</v>
      </c>
    </row>
    <row r="1237" spans="1:25" x14ac:dyDescent="0.2">
      <c r="A1237" t="s">
        <v>4558</v>
      </c>
      <c r="B1237" t="s">
        <v>4559</v>
      </c>
      <c r="C1237" t="s">
        <v>4560</v>
      </c>
      <c r="D1237" t="s">
        <v>4561</v>
      </c>
      <c r="E1237" t="s">
        <v>4559</v>
      </c>
      <c r="F1237" t="s">
        <v>28</v>
      </c>
      <c r="G1237" t="s">
        <v>4559</v>
      </c>
      <c r="H1237" t="str">
        <f>"ipmk-1"</f>
        <v>ipmk-1</v>
      </c>
      <c r="I1237" t="s">
        <v>4561</v>
      </c>
      <c r="J1237">
        <v>13.373090077184299</v>
      </c>
      <c r="K1237">
        <v>13.117985500831701</v>
      </c>
      <c r="L1237">
        <v>13.0780590276892</v>
      </c>
      <c r="M1237">
        <v>13.233975254263401</v>
      </c>
      <c r="N1237">
        <v>13.2034171114051</v>
      </c>
      <c r="O1237">
        <v>13.2499412848583</v>
      </c>
      <c r="P1237">
        <v>3.9399681607195099E-2</v>
      </c>
      <c r="Q1237">
        <v>-0.345746362101437</v>
      </c>
      <c r="R1237">
        <v>0.42454572531582702</v>
      </c>
      <c r="S1237">
        <v>12.811191231194</v>
      </c>
      <c r="T1237">
        <v>0.216978549195704</v>
      </c>
      <c r="U1237">
        <v>-7.0272863650149899</v>
      </c>
      <c r="V1237">
        <v>0.83098555860286505</v>
      </c>
      <c r="W1237">
        <v>0.93197831843744505</v>
      </c>
      <c r="X1237">
        <v>0</v>
      </c>
      <c r="Y1237">
        <v>0</v>
      </c>
    </row>
    <row r="1238" spans="1:25" x14ac:dyDescent="0.2">
      <c r="A1238" t="s">
        <v>4562</v>
      </c>
      <c r="B1238" t="s">
        <v>4563</v>
      </c>
      <c r="C1238" t="s">
        <v>4564</v>
      </c>
      <c r="D1238" t="s">
        <v>4565</v>
      </c>
      <c r="E1238" t="s">
        <v>4563</v>
      </c>
      <c r="F1238" t="s">
        <v>28</v>
      </c>
      <c r="G1238" t="s">
        <v>4563</v>
      </c>
      <c r="H1238" t="str">
        <f>"tsg-101"</f>
        <v>tsg-101</v>
      </c>
      <c r="I1238" t="s">
        <v>4565</v>
      </c>
      <c r="J1238">
        <v>13.743283279053101</v>
      </c>
      <c r="K1238">
        <v>13.6113622739477</v>
      </c>
      <c r="L1238">
        <v>13.650852172703299</v>
      </c>
      <c r="M1238">
        <v>14.128248227980899</v>
      </c>
      <c r="N1238">
        <v>14.1889387398694</v>
      </c>
      <c r="O1238">
        <v>13.9545157290778</v>
      </c>
      <c r="P1238">
        <v>0.42206832374133002</v>
      </c>
      <c r="Q1238">
        <v>9.8135443229862604E-2</v>
      </c>
      <c r="R1238">
        <v>0.74600120425279803</v>
      </c>
      <c r="S1238">
        <v>13.6582157366777</v>
      </c>
      <c r="T1238">
        <v>2.75028525067306</v>
      </c>
      <c r="U1238">
        <v>-3.7710282494906799</v>
      </c>
      <c r="V1238">
        <v>1.3715665949953401E-2</v>
      </c>
      <c r="W1238">
        <v>0.108327128643564</v>
      </c>
      <c r="X1238">
        <v>0</v>
      </c>
      <c r="Y1238">
        <v>0</v>
      </c>
    </row>
    <row r="1239" spans="1:25" x14ac:dyDescent="0.2">
      <c r="A1239" t="s">
        <v>4566</v>
      </c>
      <c r="B1239" t="s">
        <v>4567</v>
      </c>
      <c r="C1239" t="s">
        <v>4568</v>
      </c>
      <c r="D1239" t="s">
        <v>4569</v>
      </c>
      <c r="E1239" t="s">
        <v>4567</v>
      </c>
      <c r="F1239" t="s">
        <v>28</v>
      </c>
      <c r="G1239" t="s">
        <v>4567</v>
      </c>
      <c r="H1239" t="str">
        <f>"ced-6"</f>
        <v>ced-6</v>
      </c>
      <c r="I1239" t="s">
        <v>4569</v>
      </c>
      <c r="J1239" t="s">
        <v>29</v>
      </c>
      <c r="K1239" t="s">
        <v>29</v>
      </c>
      <c r="L1239" t="s">
        <v>29</v>
      </c>
      <c r="M1239" t="s">
        <v>29</v>
      </c>
      <c r="N1239" t="s">
        <v>29</v>
      </c>
      <c r="O1239" t="s">
        <v>29</v>
      </c>
      <c r="P1239" t="s">
        <v>29</v>
      </c>
      <c r="Q1239" t="s">
        <v>29</v>
      </c>
      <c r="R1239" t="s">
        <v>29</v>
      </c>
      <c r="S1239">
        <v>11.0053176041343</v>
      </c>
      <c r="T1239" t="s">
        <v>29</v>
      </c>
      <c r="U1239" t="s">
        <v>29</v>
      </c>
      <c r="V1239" t="s">
        <v>29</v>
      </c>
      <c r="W1239" t="s">
        <v>29</v>
      </c>
      <c r="X1239" t="s">
        <v>29</v>
      </c>
      <c r="Y1239" t="s">
        <v>29</v>
      </c>
    </row>
    <row r="1240" spans="1:25" x14ac:dyDescent="0.2">
      <c r="A1240" t="s">
        <v>4570</v>
      </c>
      <c r="B1240" t="s">
        <v>4571</v>
      </c>
      <c r="C1240" t="s">
        <v>4572</v>
      </c>
      <c r="D1240" t="s">
        <v>4573</v>
      </c>
      <c r="E1240" t="s">
        <v>4571</v>
      </c>
      <c r="F1240" t="s">
        <v>28</v>
      </c>
      <c r="G1240" t="s">
        <v>4571</v>
      </c>
      <c r="H1240" t="str">
        <f>"egl-4"</f>
        <v>egl-4</v>
      </c>
      <c r="I1240" t="s">
        <v>4573</v>
      </c>
      <c r="J1240">
        <v>16.464853431242599</v>
      </c>
      <c r="K1240">
        <v>16.387106075341698</v>
      </c>
      <c r="L1240">
        <v>16.1259438257254</v>
      </c>
      <c r="M1240">
        <v>16.588835129885599</v>
      </c>
      <c r="N1240">
        <v>16.7810530210194</v>
      </c>
      <c r="O1240">
        <v>16.504780662608201</v>
      </c>
      <c r="P1240">
        <v>0.29892182706784698</v>
      </c>
      <c r="Q1240">
        <v>-4.1579109605106197E-2</v>
      </c>
      <c r="R1240">
        <v>0.63942276374079998</v>
      </c>
      <c r="S1240">
        <v>16.102239734058301</v>
      </c>
      <c r="T1240">
        <v>1.8451506489464899</v>
      </c>
      <c r="U1240">
        <v>-5.4198426828959203</v>
      </c>
      <c r="V1240">
        <v>8.1630789464235395E-2</v>
      </c>
      <c r="W1240">
        <v>0.292862832322626</v>
      </c>
      <c r="X1240">
        <v>0</v>
      </c>
      <c r="Y1240">
        <v>0</v>
      </c>
    </row>
    <row r="1241" spans="1:25" x14ac:dyDescent="0.2">
      <c r="A1241" t="s">
        <v>4574</v>
      </c>
      <c r="B1241" t="s">
        <v>4575</v>
      </c>
      <c r="C1241" t="s">
        <v>4576</v>
      </c>
      <c r="D1241" t="s">
        <v>4577</v>
      </c>
      <c r="E1241" t="s">
        <v>4575</v>
      </c>
      <c r="F1241" t="s">
        <v>28</v>
      </c>
      <c r="G1241" t="s">
        <v>4575</v>
      </c>
      <c r="H1241" t="str">
        <f>"tut-1"</f>
        <v>tut-1</v>
      </c>
      <c r="I1241" t="s">
        <v>4577</v>
      </c>
      <c r="J1241">
        <v>14.3329884791744</v>
      </c>
      <c r="K1241">
        <v>14.3359739467725</v>
      </c>
      <c r="L1241">
        <v>14.301096238864099</v>
      </c>
      <c r="M1241">
        <v>14.057652993796401</v>
      </c>
      <c r="N1241">
        <v>14.4605201375612</v>
      </c>
      <c r="O1241">
        <v>14.085990945740599</v>
      </c>
      <c r="P1241">
        <v>-0.121964862570916</v>
      </c>
      <c r="Q1241">
        <v>-0.52133341774640796</v>
      </c>
      <c r="R1241">
        <v>0.27740369260457598</v>
      </c>
      <c r="S1241">
        <v>14.0641555927377</v>
      </c>
      <c r="T1241">
        <v>-0.64187930956415695</v>
      </c>
      <c r="U1241">
        <v>-6.8386335422198297</v>
      </c>
      <c r="V1241">
        <v>0.52908886803293198</v>
      </c>
      <c r="W1241">
        <v>0.77273571659746898</v>
      </c>
      <c r="X1241">
        <v>0</v>
      </c>
      <c r="Y1241">
        <v>0</v>
      </c>
    </row>
    <row r="1242" spans="1:25" x14ac:dyDescent="0.2">
      <c r="A1242" t="s">
        <v>4578</v>
      </c>
      <c r="B1242" t="s">
        <v>4579</v>
      </c>
      <c r="C1242" t="s">
        <v>4580</v>
      </c>
      <c r="D1242" t="s">
        <v>4581</v>
      </c>
      <c r="E1242" t="s">
        <v>4579</v>
      </c>
      <c r="F1242" t="s">
        <v>28</v>
      </c>
      <c r="G1242" t="s">
        <v>4579</v>
      </c>
      <c r="H1242" t="str">
        <f>"rpt-5"</f>
        <v>rpt-5</v>
      </c>
      <c r="I1242" t="s">
        <v>4581</v>
      </c>
      <c r="J1242">
        <v>15.964564058683701</v>
      </c>
      <c r="K1242">
        <v>15.8508178225153</v>
      </c>
      <c r="L1242">
        <v>16.0217832535909</v>
      </c>
      <c r="M1242">
        <v>15.9678739434954</v>
      </c>
      <c r="N1242">
        <v>16.369300836782202</v>
      </c>
      <c r="O1242">
        <v>16.026536453190499</v>
      </c>
      <c r="P1242">
        <v>0.175515366226067</v>
      </c>
      <c r="Q1242">
        <v>-0.22689954216060501</v>
      </c>
      <c r="R1242">
        <v>0.57793027461273905</v>
      </c>
      <c r="S1242">
        <v>15.939994663770101</v>
      </c>
      <c r="T1242">
        <v>0.91671343438197195</v>
      </c>
      <c r="U1242">
        <v>-6.6217841201322596</v>
      </c>
      <c r="V1242">
        <v>0.37148250856897003</v>
      </c>
      <c r="W1242">
        <v>0.64676515938118095</v>
      </c>
      <c r="X1242">
        <v>0</v>
      </c>
      <c r="Y1242">
        <v>0</v>
      </c>
    </row>
    <row r="1243" spans="1:25" x14ac:dyDescent="0.2">
      <c r="A1243" t="s">
        <v>4582</v>
      </c>
      <c r="B1243" t="s">
        <v>4583</v>
      </c>
      <c r="C1243" t="s">
        <v>4584</v>
      </c>
      <c r="D1243" t="s">
        <v>4585</v>
      </c>
      <c r="E1243" t="s">
        <v>4583</v>
      </c>
      <c r="F1243" t="s">
        <v>28</v>
      </c>
      <c r="G1243" t="s">
        <v>4583</v>
      </c>
      <c r="H1243" t="str">
        <f>"mms-19"</f>
        <v>mms-19</v>
      </c>
      <c r="I1243" t="s">
        <v>4585</v>
      </c>
      <c r="J1243">
        <v>12.8308243268713</v>
      </c>
      <c r="K1243">
        <v>12.677167324716899</v>
      </c>
      <c r="L1243">
        <v>12.764847881210599</v>
      </c>
      <c r="M1243">
        <v>11.7754061732927</v>
      </c>
      <c r="N1243">
        <v>13.393309571436699</v>
      </c>
      <c r="O1243">
        <v>13.227231014700701</v>
      </c>
      <c r="P1243">
        <v>4.1035742210455702E-2</v>
      </c>
      <c r="Q1243">
        <v>-0.62028922733337499</v>
      </c>
      <c r="R1243">
        <v>0.70236071175428605</v>
      </c>
      <c r="S1243">
        <v>12.986631800876699</v>
      </c>
      <c r="T1243">
        <v>0.13161242829808301</v>
      </c>
      <c r="U1243">
        <v>-7.0429532613266401</v>
      </c>
      <c r="V1243">
        <v>0.89694236018407503</v>
      </c>
      <c r="W1243">
        <v>0.96438222116194405</v>
      </c>
      <c r="X1243">
        <v>0</v>
      </c>
      <c r="Y1243">
        <v>0</v>
      </c>
    </row>
    <row r="1244" spans="1:25" x14ac:dyDescent="0.2">
      <c r="A1244" t="s">
        <v>4586</v>
      </c>
      <c r="B1244" t="s">
        <v>4587</v>
      </c>
      <c r="C1244" t="s">
        <v>14398</v>
      </c>
      <c r="D1244" t="s">
        <v>4588</v>
      </c>
      <c r="E1244" t="s">
        <v>4587</v>
      </c>
      <c r="F1244" t="s">
        <v>28</v>
      </c>
      <c r="G1244" t="s">
        <v>4587</v>
      </c>
      <c r="H1244" t="str">
        <f>"T10B5.3"</f>
        <v>T10B5.3</v>
      </c>
      <c r="I1244" t="s">
        <v>4588</v>
      </c>
      <c r="J1244" t="s">
        <v>29</v>
      </c>
      <c r="K1244" t="s">
        <v>29</v>
      </c>
      <c r="L1244">
        <v>11.1947479765862</v>
      </c>
      <c r="M1244" t="s">
        <v>29</v>
      </c>
      <c r="N1244">
        <v>11.417133292095199</v>
      </c>
      <c r="O1244">
        <v>11.8950829598565</v>
      </c>
      <c r="P1244">
        <v>0.46136014938966102</v>
      </c>
      <c r="Q1244">
        <v>-0.54412507088527595</v>
      </c>
      <c r="R1244">
        <v>1.4668453696646</v>
      </c>
      <c r="S1244">
        <v>11.9755751434126</v>
      </c>
      <c r="T1244">
        <v>1.0007126743299499</v>
      </c>
      <c r="U1244">
        <v>-6.1389065858635901</v>
      </c>
      <c r="V1244">
        <v>0.33688857682995399</v>
      </c>
      <c r="W1244">
        <v>0.61517139674785004</v>
      </c>
      <c r="X1244">
        <v>0</v>
      </c>
      <c r="Y1244">
        <v>0</v>
      </c>
    </row>
    <row r="1245" spans="1:25" x14ac:dyDescent="0.2">
      <c r="A1245" t="s">
        <v>4589</v>
      </c>
      <c r="B1245" t="s">
        <v>4590</v>
      </c>
      <c r="C1245" t="s">
        <v>4591</v>
      </c>
      <c r="D1245" t="s">
        <v>4592</v>
      </c>
      <c r="E1245" t="s">
        <v>4590</v>
      </c>
      <c r="F1245" t="s">
        <v>28</v>
      </c>
      <c r="G1245" t="s">
        <v>4590</v>
      </c>
      <c r="H1245" t="str">
        <f>"hcp-1"</f>
        <v>hcp-1</v>
      </c>
      <c r="I1245" t="s">
        <v>4592</v>
      </c>
      <c r="J1245" t="s">
        <v>29</v>
      </c>
      <c r="K1245" t="s">
        <v>29</v>
      </c>
      <c r="L1245" t="s">
        <v>29</v>
      </c>
      <c r="M1245">
        <v>11.0485110328862</v>
      </c>
      <c r="N1245">
        <v>11.3471005435143</v>
      </c>
      <c r="O1245" t="s">
        <v>29</v>
      </c>
      <c r="P1245" t="s">
        <v>29</v>
      </c>
      <c r="Q1245" t="s">
        <v>29</v>
      </c>
      <c r="R1245" t="s">
        <v>29</v>
      </c>
      <c r="S1245">
        <v>11.0211437523465</v>
      </c>
      <c r="T1245" t="s">
        <v>29</v>
      </c>
      <c r="U1245" t="s">
        <v>29</v>
      </c>
      <c r="V1245" t="s">
        <v>29</v>
      </c>
      <c r="W1245" t="s">
        <v>29</v>
      </c>
      <c r="X1245" t="s">
        <v>29</v>
      </c>
      <c r="Y1245" t="s">
        <v>29</v>
      </c>
    </row>
    <row r="1246" spans="1:25" x14ac:dyDescent="0.2">
      <c r="A1246" t="s">
        <v>4593</v>
      </c>
      <c r="B1246" t="s">
        <v>4594</v>
      </c>
      <c r="C1246" t="s">
        <v>4595</v>
      </c>
      <c r="D1246" t="s">
        <v>4596</v>
      </c>
      <c r="E1246" t="s">
        <v>4594</v>
      </c>
      <c r="F1246" t="s">
        <v>28</v>
      </c>
      <c r="G1246" t="s">
        <v>4594</v>
      </c>
      <c r="H1246" t="str">
        <f>"smg-2"</f>
        <v>smg-2</v>
      </c>
      <c r="I1246" t="s">
        <v>4596</v>
      </c>
      <c r="J1246">
        <v>12.942019198134499</v>
      </c>
      <c r="K1246">
        <v>13.360859158752399</v>
      </c>
      <c r="L1246">
        <v>12.972621835629701</v>
      </c>
      <c r="M1246">
        <v>13.3378841343222</v>
      </c>
      <c r="N1246">
        <v>13.6928217084438</v>
      </c>
      <c r="O1246">
        <v>13.349296033913999</v>
      </c>
      <c r="P1246">
        <v>0.368167228054466</v>
      </c>
      <c r="Q1246">
        <v>-0.34548023319236598</v>
      </c>
      <c r="R1246">
        <v>1.0818146893013001</v>
      </c>
      <c r="S1246">
        <v>13.400221335460399</v>
      </c>
      <c r="T1246">
        <v>1.08431113013378</v>
      </c>
      <c r="U1246">
        <v>-6.4554672198959304</v>
      </c>
      <c r="V1246">
        <v>0.29261996617404101</v>
      </c>
      <c r="W1246">
        <v>0.57073294396640095</v>
      </c>
      <c r="X1246">
        <v>0</v>
      </c>
      <c r="Y1246">
        <v>0</v>
      </c>
    </row>
    <row r="1247" spans="1:25" x14ac:dyDescent="0.2">
      <c r="A1247" t="s">
        <v>4597</v>
      </c>
      <c r="B1247" t="s">
        <v>4598</v>
      </c>
      <c r="C1247" t="s">
        <v>4599</v>
      </c>
      <c r="D1247" t="s">
        <v>878</v>
      </c>
      <c r="E1247" t="s">
        <v>4598</v>
      </c>
      <c r="F1247" t="s">
        <v>28</v>
      </c>
      <c r="G1247" t="s">
        <v>4598</v>
      </c>
      <c r="H1247" t="str">
        <f>"math-20"</f>
        <v>math-20</v>
      </c>
      <c r="I1247" t="s">
        <v>878</v>
      </c>
      <c r="J1247">
        <v>13.9356503330234</v>
      </c>
      <c r="K1247">
        <v>13.263037444413801</v>
      </c>
      <c r="L1247">
        <v>13.2514730621428</v>
      </c>
      <c r="M1247">
        <v>13.5708339757663</v>
      </c>
      <c r="N1247">
        <v>13.6836295644432</v>
      </c>
      <c r="O1247">
        <v>13.373579443331099</v>
      </c>
      <c r="P1247">
        <v>5.9294047986886901E-2</v>
      </c>
      <c r="Q1247">
        <v>-0.41833420701769902</v>
      </c>
      <c r="R1247">
        <v>0.53692230299147303</v>
      </c>
      <c r="S1247">
        <v>13.5808996749287</v>
      </c>
      <c r="T1247">
        <v>0.26331198067990103</v>
      </c>
      <c r="U1247">
        <v>-7.0155895945717504</v>
      </c>
      <c r="V1247">
        <v>0.79569297516413395</v>
      </c>
      <c r="W1247">
        <v>0.91517844850619501</v>
      </c>
      <c r="X1247">
        <v>0</v>
      </c>
      <c r="Y1247">
        <v>0</v>
      </c>
    </row>
    <row r="1248" spans="1:25" x14ac:dyDescent="0.2">
      <c r="A1248" t="s">
        <v>4600</v>
      </c>
      <c r="B1248" t="s">
        <v>4601</v>
      </c>
      <c r="C1248" t="s">
        <v>14399</v>
      </c>
      <c r="D1248" t="s">
        <v>115</v>
      </c>
      <c r="E1248" t="s">
        <v>4601</v>
      </c>
      <c r="F1248" t="s">
        <v>28</v>
      </c>
      <c r="G1248" t="s">
        <v>4601</v>
      </c>
      <c r="H1248" t="str">
        <f>"F13C5.2"</f>
        <v>F13C5.2</v>
      </c>
      <c r="I1248" t="s">
        <v>115</v>
      </c>
      <c r="J1248" t="s">
        <v>29</v>
      </c>
      <c r="K1248" t="s">
        <v>29</v>
      </c>
      <c r="L1248">
        <v>10.592021044386399</v>
      </c>
      <c r="M1248" t="s">
        <v>29</v>
      </c>
      <c r="N1248" t="s">
        <v>29</v>
      </c>
      <c r="O1248">
        <v>11.4141070473919</v>
      </c>
      <c r="P1248">
        <v>0.82208600300547396</v>
      </c>
      <c r="Q1248">
        <v>-2.7497212485519098</v>
      </c>
      <c r="R1248">
        <v>4.39389325456286</v>
      </c>
      <c r="S1248">
        <v>11.063869006168099</v>
      </c>
      <c r="T1248">
        <v>0.51356584104613101</v>
      </c>
      <c r="U1248">
        <v>-6.3699212923572803</v>
      </c>
      <c r="V1248">
        <v>0.61882696565497497</v>
      </c>
      <c r="W1248">
        <v>0.82047201366674205</v>
      </c>
      <c r="X1248">
        <v>0</v>
      </c>
      <c r="Y1248">
        <v>0</v>
      </c>
    </row>
    <row r="1249" spans="1:25" x14ac:dyDescent="0.2">
      <c r="A1249" t="s">
        <v>4602</v>
      </c>
      <c r="B1249" t="s">
        <v>4603</v>
      </c>
      <c r="C1249" t="s">
        <v>4604</v>
      </c>
      <c r="D1249" t="s">
        <v>4605</v>
      </c>
      <c r="E1249" t="s">
        <v>4603</v>
      </c>
      <c r="F1249" t="s">
        <v>28</v>
      </c>
      <c r="G1249" t="s">
        <v>4603</v>
      </c>
      <c r="H1249" t="str">
        <f>"rpn-11"</f>
        <v>rpn-11</v>
      </c>
      <c r="I1249" t="s">
        <v>4605</v>
      </c>
      <c r="J1249">
        <v>14.565381076797101</v>
      </c>
      <c r="K1249">
        <v>14.626223376635499</v>
      </c>
      <c r="L1249">
        <v>14.6899224052148</v>
      </c>
      <c r="M1249">
        <v>17.969161298512201</v>
      </c>
      <c r="N1249">
        <v>17.8315276719098</v>
      </c>
      <c r="O1249">
        <v>17.708976063646499</v>
      </c>
      <c r="P1249">
        <v>3.2093793918070399</v>
      </c>
      <c r="Q1249">
        <v>2.4687260308439298</v>
      </c>
      <c r="R1249">
        <v>3.9500327527701402</v>
      </c>
      <c r="S1249">
        <v>16.702060418795501</v>
      </c>
      <c r="T1249">
        <v>9.1074873102016607</v>
      </c>
      <c r="U1249">
        <v>8.9666959557976398</v>
      </c>
      <c r="V1249" s="2">
        <v>3.8777318373804903E-8</v>
      </c>
      <c r="W1249" s="2">
        <v>5.0426329092297497E-6</v>
      </c>
      <c r="X1249">
        <v>1</v>
      </c>
      <c r="Y1249">
        <v>1</v>
      </c>
    </row>
    <row r="1250" spans="1:25" x14ac:dyDescent="0.2">
      <c r="A1250" t="s">
        <v>4606</v>
      </c>
      <c r="B1250" t="s">
        <v>4607</v>
      </c>
      <c r="C1250" t="s">
        <v>4608</v>
      </c>
      <c r="D1250" t="s">
        <v>4609</v>
      </c>
      <c r="E1250" t="s">
        <v>4607</v>
      </c>
      <c r="F1250" t="s">
        <v>28</v>
      </c>
      <c r="G1250" t="s">
        <v>4607</v>
      </c>
      <c r="H1250" t="str">
        <f>"C16A11.4"</f>
        <v>C16A11.4</v>
      </c>
      <c r="I1250" t="s">
        <v>4609</v>
      </c>
      <c r="J1250" t="s">
        <v>29</v>
      </c>
      <c r="K1250" t="s">
        <v>29</v>
      </c>
      <c r="L1250" t="s">
        <v>29</v>
      </c>
      <c r="M1250" t="s">
        <v>29</v>
      </c>
      <c r="N1250">
        <v>12.9676568614089</v>
      </c>
      <c r="O1250" t="s">
        <v>29</v>
      </c>
      <c r="P1250" t="s">
        <v>29</v>
      </c>
      <c r="Q1250" t="s">
        <v>29</v>
      </c>
      <c r="R1250" t="s">
        <v>29</v>
      </c>
      <c r="S1250">
        <v>13.0008481405805</v>
      </c>
      <c r="T1250" t="s">
        <v>29</v>
      </c>
      <c r="U1250" t="s">
        <v>29</v>
      </c>
      <c r="V1250" t="s">
        <v>29</v>
      </c>
      <c r="W1250" t="s">
        <v>29</v>
      </c>
      <c r="X1250" t="s">
        <v>29</v>
      </c>
      <c r="Y1250" t="s">
        <v>29</v>
      </c>
    </row>
    <row r="1251" spans="1:25" x14ac:dyDescent="0.2">
      <c r="A1251" t="s">
        <v>4610</v>
      </c>
      <c r="B1251" t="s">
        <v>4611</v>
      </c>
      <c r="C1251" t="s">
        <v>4612</v>
      </c>
      <c r="D1251" t="s">
        <v>4613</v>
      </c>
      <c r="E1251" t="s">
        <v>4611</v>
      </c>
      <c r="F1251" t="s">
        <v>28</v>
      </c>
      <c r="G1251" t="s">
        <v>4611</v>
      </c>
      <c r="H1251" t="str">
        <f>"mrpl-28"</f>
        <v>mrpl-28</v>
      </c>
      <c r="I1251" t="s">
        <v>4613</v>
      </c>
      <c r="J1251" t="s">
        <v>29</v>
      </c>
      <c r="K1251">
        <v>12.224142764910701</v>
      </c>
      <c r="L1251">
        <v>10.9607189924005</v>
      </c>
      <c r="M1251" t="s">
        <v>29</v>
      </c>
      <c r="N1251" t="s">
        <v>29</v>
      </c>
      <c r="O1251">
        <v>10.9545142646455</v>
      </c>
      <c r="P1251">
        <v>-0.63791661401003596</v>
      </c>
      <c r="Q1251">
        <v>-1.6637880985351301</v>
      </c>
      <c r="R1251">
        <v>0.38795487051505501</v>
      </c>
      <c r="S1251">
        <v>11.754926837660101</v>
      </c>
      <c r="T1251">
        <v>-1.3561757282590501</v>
      </c>
      <c r="U1251">
        <v>-5.74052275467358</v>
      </c>
      <c r="V1251">
        <v>0.20022818476229101</v>
      </c>
      <c r="W1251">
        <v>0.46110581260898398</v>
      </c>
      <c r="X1251">
        <v>0</v>
      </c>
      <c r="Y1251">
        <v>0</v>
      </c>
    </row>
    <row r="1252" spans="1:25" x14ac:dyDescent="0.2">
      <c r="A1252" t="s">
        <v>4614</v>
      </c>
      <c r="B1252" t="s">
        <v>4615</v>
      </c>
      <c r="C1252" t="s">
        <v>4616</v>
      </c>
      <c r="D1252" t="s">
        <v>4617</v>
      </c>
      <c r="E1252" t="s">
        <v>4615</v>
      </c>
      <c r="F1252" t="s">
        <v>28</v>
      </c>
      <c r="G1252" t="s">
        <v>4615</v>
      </c>
      <c r="H1252" t="str">
        <f>"pid-3"</f>
        <v>pid-3</v>
      </c>
      <c r="I1252" t="s">
        <v>4617</v>
      </c>
      <c r="J1252">
        <v>13.782880220527399</v>
      </c>
      <c r="K1252">
        <v>13.386783040827799</v>
      </c>
      <c r="L1252">
        <v>13.9721280738344</v>
      </c>
      <c r="M1252">
        <v>13.241475016872901</v>
      </c>
      <c r="N1252">
        <v>13.682100678956701</v>
      </c>
      <c r="O1252">
        <v>13.514452438669201</v>
      </c>
      <c r="P1252">
        <v>-0.23458773356359999</v>
      </c>
      <c r="Q1252">
        <v>-0.72883493454047399</v>
      </c>
      <c r="R1252">
        <v>0.259659467413273</v>
      </c>
      <c r="S1252">
        <v>14.152072982087001</v>
      </c>
      <c r="T1252">
        <v>-0.99759346164970597</v>
      </c>
      <c r="U1252">
        <v>-6.5446307825791097</v>
      </c>
      <c r="V1252">
        <v>0.331775724548172</v>
      </c>
      <c r="W1252">
        <v>0.61122402832197698</v>
      </c>
      <c r="X1252">
        <v>0</v>
      </c>
      <c r="Y1252">
        <v>0</v>
      </c>
    </row>
    <row r="1253" spans="1:25" x14ac:dyDescent="0.2">
      <c r="A1253" t="s">
        <v>4618</v>
      </c>
      <c r="B1253" t="s">
        <v>4619</v>
      </c>
      <c r="C1253" t="s">
        <v>4620</v>
      </c>
      <c r="D1253" t="s">
        <v>4621</v>
      </c>
      <c r="E1253" t="s">
        <v>4619</v>
      </c>
      <c r="F1253" t="s">
        <v>28</v>
      </c>
      <c r="G1253" t="s">
        <v>4619</v>
      </c>
      <c r="H1253" t="str">
        <f>"cars-1"</f>
        <v>cars-1</v>
      </c>
      <c r="I1253" t="s">
        <v>4621</v>
      </c>
      <c r="J1253">
        <v>13.0729954820373</v>
      </c>
      <c r="K1253">
        <v>13.0741253075469</v>
      </c>
      <c r="L1253">
        <v>12.7204627215984</v>
      </c>
      <c r="M1253">
        <v>13.2899251553764</v>
      </c>
      <c r="N1253">
        <v>12.835092798008001</v>
      </c>
      <c r="O1253">
        <v>13.0053715840784</v>
      </c>
      <c r="P1253">
        <v>8.7602008760086406E-2</v>
      </c>
      <c r="Q1253">
        <v>-0.35824306903832098</v>
      </c>
      <c r="R1253">
        <v>0.53344708655849404</v>
      </c>
      <c r="S1253">
        <v>13.020388875916501</v>
      </c>
      <c r="T1253">
        <v>0.41297389681431601</v>
      </c>
      <c r="U1253">
        <v>-6.9631350437195598</v>
      </c>
      <c r="V1253">
        <v>0.68453184509402398</v>
      </c>
      <c r="W1253">
        <v>0.85770759489255</v>
      </c>
      <c r="X1253">
        <v>0</v>
      </c>
      <c r="Y1253">
        <v>0</v>
      </c>
    </row>
    <row r="1254" spans="1:25" x14ac:dyDescent="0.2">
      <c r="A1254" t="s">
        <v>4622</v>
      </c>
      <c r="B1254" t="s">
        <v>4623</v>
      </c>
      <c r="C1254" t="s">
        <v>14400</v>
      </c>
      <c r="D1254" t="s">
        <v>2692</v>
      </c>
      <c r="E1254" t="s">
        <v>4623</v>
      </c>
      <c r="F1254" t="s">
        <v>28</v>
      </c>
      <c r="G1254" t="s">
        <v>4623</v>
      </c>
      <c r="H1254" t="str">
        <f>"H41C03.1"</f>
        <v>H41C03.1</v>
      </c>
      <c r="I1254" t="s">
        <v>2692</v>
      </c>
      <c r="J1254" t="s">
        <v>29</v>
      </c>
      <c r="K1254" t="s">
        <v>29</v>
      </c>
      <c r="L1254" t="s">
        <v>29</v>
      </c>
      <c r="M1254" t="s">
        <v>29</v>
      </c>
      <c r="N1254" t="s">
        <v>29</v>
      </c>
      <c r="O1254" t="s">
        <v>29</v>
      </c>
      <c r="P1254" t="s">
        <v>29</v>
      </c>
      <c r="Q1254" t="s">
        <v>29</v>
      </c>
      <c r="R1254" t="s">
        <v>29</v>
      </c>
      <c r="S1254">
        <v>12.091363962186801</v>
      </c>
      <c r="T1254" t="s">
        <v>29</v>
      </c>
      <c r="U1254" t="s">
        <v>29</v>
      </c>
      <c r="V1254" t="s">
        <v>29</v>
      </c>
      <c r="W1254" t="s">
        <v>29</v>
      </c>
      <c r="X1254" t="s">
        <v>29</v>
      </c>
      <c r="Y1254" t="s">
        <v>29</v>
      </c>
    </row>
    <row r="1255" spans="1:25" x14ac:dyDescent="0.2">
      <c r="A1255" t="s">
        <v>4624</v>
      </c>
      <c r="B1255" t="s">
        <v>4625</v>
      </c>
      <c r="C1255" t="s">
        <v>14401</v>
      </c>
      <c r="D1255" t="s">
        <v>4626</v>
      </c>
      <c r="E1255" t="s">
        <v>4625</v>
      </c>
      <c r="F1255" t="s">
        <v>28</v>
      </c>
      <c r="G1255" t="s">
        <v>4625</v>
      </c>
      <c r="H1255" t="str">
        <f>"F25E5.5"</f>
        <v>F25E5.5</v>
      </c>
      <c r="I1255" t="s">
        <v>4626</v>
      </c>
      <c r="J1255">
        <v>11.4734367600781</v>
      </c>
      <c r="K1255">
        <v>10.9639228986424</v>
      </c>
      <c r="L1255">
        <v>11.213094469220801</v>
      </c>
      <c r="M1255">
        <v>11.912648450127801</v>
      </c>
      <c r="N1255">
        <v>11.6240713315487</v>
      </c>
      <c r="O1255">
        <v>11.524920092088999</v>
      </c>
      <c r="P1255">
        <v>0.470395248608103</v>
      </c>
      <c r="Q1255">
        <v>-1.02859478542991E-2</v>
      </c>
      <c r="R1255">
        <v>0.95107644507050504</v>
      </c>
      <c r="S1255">
        <v>11.675108832775001</v>
      </c>
      <c r="T1255">
        <v>2.0656455701865499</v>
      </c>
      <c r="U1255">
        <v>-5.0538287335543499</v>
      </c>
      <c r="V1255">
        <v>5.4552287658230801E-2</v>
      </c>
      <c r="W1255">
        <v>0.23449556676338601</v>
      </c>
      <c r="X1255">
        <v>0</v>
      </c>
      <c r="Y1255">
        <v>0</v>
      </c>
    </row>
    <row r="1256" spans="1:25" x14ac:dyDescent="0.2">
      <c r="A1256" t="s">
        <v>4627</v>
      </c>
      <c r="B1256" t="s">
        <v>4628</v>
      </c>
      <c r="C1256" t="s">
        <v>14402</v>
      </c>
      <c r="D1256" t="s">
        <v>2432</v>
      </c>
      <c r="E1256" t="s">
        <v>4628</v>
      </c>
      <c r="F1256" t="s">
        <v>28</v>
      </c>
      <c r="G1256" t="s">
        <v>4628</v>
      </c>
      <c r="H1256" t="str">
        <f>"F25E5.1"</f>
        <v>F25E5.1</v>
      </c>
      <c r="I1256" t="s">
        <v>2432</v>
      </c>
      <c r="J1256" t="s">
        <v>29</v>
      </c>
      <c r="K1256" t="s">
        <v>29</v>
      </c>
      <c r="L1256" t="s">
        <v>29</v>
      </c>
      <c r="M1256" t="s">
        <v>29</v>
      </c>
      <c r="N1256" t="s">
        <v>29</v>
      </c>
      <c r="O1256" t="s">
        <v>29</v>
      </c>
      <c r="P1256" t="s">
        <v>29</v>
      </c>
      <c r="Q1256" t="s">
        <v>29</v>
      </c>
      <c r="R1256" t="s">
        <v>29</v>
      </c>
      <c r="S1256">
        <v>10.541427607644501</v>
      </c>
      <c r="T1256" t="s">
        <v>29</v>
      </c>
      <c r="U1256" t="s">
        <v>29</v>
      </c>
      <c r="V1256" t="s">
        <v>29</v>
      </c>
      <c r="W1256" t="s">
        <v>29</v>
      </c>
      <c r="X1256" t="s">
        <v>29</v>
      </c>
      <c r="Y1256" t="s">
        <v>29</v>
      </c>
    </row>
    <row r="1257" spans="1:25" x14ac:dyDescent="0.2">
      <c r="A1257" t="s">
        <v>4629</v>
      </c>
      <c r="B1257" t="s">
        <v>4630</v>
      </c>
      <c r="C1257" t="s">
        <v>14403</v>
      </c>
      <c r="D1257" t="s">
        <v>4631</v>
      </c>
      <c r="E1257" t="s">
        <v>4630</v>
      </c>
      <c r="F1257" t="s">
        <v>28</v>
      </c>
      <c r="G1257" t="s">
        <v>4630</v>
      </c>
      <c r="H1257" t="str">
        <f>"M01G5.1"</f>
        <v>M01G5.1</v>
      </c>
      <c r="I1257" t="s">
        <v>4631</v>
      </c>
      <c r="J1257">
        <v>12.6754994202355</v>
      </c>
      <c r="K1257">
        <v>12.852646011833199</v>
      </c>
      <c r="L1257">
        <v>13.2325250203775</v>
      </c>
      <c r="M1257">
        <v>11.9241788581172</v>
      </c>
      <c r="N1257">
        <v>12.919433721949099</v>
      </c>
      <c r="O1257">
        <v>12.34930311874</v>
      </c>
      <c r="P1257">
        <v>-0.52258491787994599</v>
      </c>
      <c r="Q1257">
        <v>-1.15088858335504</v>
      </c>
      <c r="R1257">
        <v>0.105718747595149</v>
      </c>
      <c r="S1257">
        <v>13.800006706628199</v>
      </c>
      <c r="T1257">
        <v>-1.75564737447538</v>
      </c>
      <c r="U1257">
        <v>-5.5646543960096704</v>
      </c>
      <c r="V1257">
        <v>9.7260647862932703E-2</v>
      </c>
      <c r="W1257">
        <v>0.321753734708775</v>
      </c>
      <c r="X1257">
        <v>0</v>
      </c>
      <c r="Y1257">
        <v>0</v>
      </c>
    </row>
    <row r="1258" spans="1:25" x14ac:dyDescent="0.2">
      <c r="A1258" t="s">
        <v>4632</v>
      </c>
      <c r="B1258" t="s">
        <v>4633</v>
      </c>
      <c r="C1258" t="s">
        <v>4634</v>
      </c>
      <c r="D1258" t="s">
        <v>4635</v>
      </c>
      <c r="E1258" t="s">
        <v>4633</v>
      </c>
      <c r="F1258" t="s">
        <v>28</v>
      </c>
      <c r="G1258" t="s">
        <v>4633</v>
      </c>
      <c r="H1258" t="str">
        <f>"tmem-120"</f>
        <v>tmem-120</v>
      </c>
      <c r="I1258" t="s">
        <v>4635</v>
      </c>
      <c r="J1258">
        <v>14.8953152470538</v>
      </c>
      <c r="K1258">
        <v>14.7864015901195</v>
      </c>
      <c r="L1258">
        <v>14.7095261130933</v>
      </c>
      <c r="M1258">
        <v>14.5362415823215</v>
      </c>
      <c r="N1258">
        <v>14.377814751809501</v>
      </c>
      <c r="O1258">
        <v>14.0012790299273</v>
      </c>
      <c r="P1258">
        <v>-0.49196919540276302</v>
      </c>
      <c r="Q1258">
        <v>-0.88602788706264601</v>
      </c>
      <c r="R1258">
        <v>-9.7910503742880794E-2</v>
      </c>
      <c r="S1258">
        <v>14.487821641423199</v>
      </c>
      <c r="T1258">
        <v>-2.62403432887371</v>
      </c>
      <c r="U1258">
        <v>-4.0032227282389101</v>
      </c>
      <c r="V1258">
        <v>1.7262647944075799E-2</v>
      </c>
      <c r="W1258">
        <v>0.12427578851774899</v>
      </c>
      <c r="X1258">
        <v>0</v>
      </c>
      <c r="Y1258">
        <v>0</v>
      </c>
    </row>
    <row r="1259" spans="1:25" x14ac:dyDescent="0.2">
      <c r="A1259" t="s">
        <v>4636</v>
      </c>
      <c r="B1259" t="s">
        <v>4637</v>
      </c>
      <c r="C1259" t="s">
        <v>4638</v>
      </c>
      <c r="D1259" t="s">
        <v>2221</v>
      </c>
      <c r="E1259" t="s">
        <v>4637</v>
      </c>
      <c r="F1259" t="s">
        <v>28</v>
      </c>
      <c r="G1259" t="s">
        <v>4639</v>
      </c>
      <c r="H1259" t="str">
        <f>"ttbk-2"</f>
        <v>ttbk-2</v>
      </c>
      <c r="I1259" t="s">
        <v>2221</v>
      </c>
      <c r="J1259">
        <v>12.2859815790422</v>
      </c>
      <c r="K1259" t="s">
        <v>29</v>
      </c>
      <c r="L1259">
        <v>12.746537568168501</v>
      </c>
      <c r="M1259" t="s">
        <v>29</v>
      </c>
      <c r="N1259">
        <v>11.6918606361576</v>
      </c>
      <c r="O1259">
        <v>12.021720745348899</v>
      </c>
      <c r="P1259">
        <v>-0.65946888285207494</v>
      </c>
      <c r="Q1259">
        <v>-1.69684094995346</v>
      </c>
      <c r="R1259">
        <v>0.37790318424930902</v>
      </c>
      <c r="S1259">
        <v>12.116651915548299</v>
      </c>
      <c r="T1259">
        <v>-1.3745071483344899</v>
      </c>
      <c r="U1259">
        <v>-5.9124579408630202</v>
      </c>
      <c r="V1259">
        <v>0.19270091020643401</v>
      </c>
      <c r="W1259">
        <v>0.45504264282419099</v>
      </c>
      <c r="X1259">
        <v>0</v>
      </c>
      <c r="Y1259">
        <v>0</v>
      </c>
    </row>
    <row r="1260" spans="1:25" x14ac:dyDescent="0.2">
      <c r="A1260" t="s">
        <v>4640</v>
      </c>
      <c r="B1260" t="s">
        <v>4641</v>
      </c>
      <c r="C1260" t="s">
        <v>4642</v>
      </c>
      <c r="D1260" t="s">
        <v>4643</v>
      </c>
      <c r="E1260" t="s">
        <v>4641</v>
      </c>
      <c r="F1260" t="s">
        <v>28</v>
      </c>
      <c r="G1260" t="s">
        <v>4641</v>
      </c>
      <c r="H1260" t="str">
        <f>"glh-4"</f>
        <v>glh-4</v>
      </c>
      <c r="I1260" t="s">
        <v>4643</v>
      </c>
      <c r="J1260">
        <v>13.765366989373801</v>
      </c>
      <c r="K1260">
        <v>13.274297254613501</v>
      </c>
      <c r="L1260">
        <v>13.7076879473889</v>
      </c>
      <c r="M1260">
        <v>13.294293345966601</v>
      </c>
      <c r="N1260">
        <v>13.816902938367599</v>
      </c>
      <c r="O1260">
        <v>13.2481390948144</v>
      </c>
      <c r="P1260">
        <v>-0.12933893740917499</v>
      </c>
      <c r="Q1260">
        <v>-0.74546812924419004</v>
      </c>
      <c r="R1260">
        <v>0.48679025442584001</v>
      </c>
      <c r="S1260">
        <v>13.9294189003387</v>
      </c>
      <c r="T1260">
        <v>-0.44310588282510799</v>
      </c>
      <c r="U1260">
        <v>-6.9494675028989299</v>
      </c>
      <c r="V1260">
        <v>0.66331056868036797</v>
      </c>
      <c r="W1260">
        <v>0.84843262204635095</v>
      </c>
      <c r="X1260">
        <v>0</v>
      </c>
      <c r="Y1260">
        <v>0</v>
      </c>
    </row>
    <row r="1261" spans="1:25" x14ac:dyDescent="0.2">
      <c r="A1261" t="s">
        <v>4644</v>
      </c>
      <c r="B1261" t="s">
        <v>4645</v>
      </c>
      <c r="C1261" t="s">
        <v>4646</v>
      </c>
      <c r="D1261" t="s">
        <v>4647</v>
      </c>
      <c r="E1261" t="s">
        <v>4645</v>
      </c>
      <c r="F1261" t="s">
        <v>28</v>
      </c>
      <c r="G1261" t="s">
        <v>4645</v>
      </c>
      <c r="H1261" t="str">
        <f>"hsp-16.49"</f>
        <v>hsp-16.49</v>
      </c>
      <c r="I1261" t="s">
        <v>4647</v>
      </c>
      <c r="J1261">
        <v>16.422122160866301</v>
      </c>
      <c r="K1261">
        <v>16.584233476048301</v>
      </c>
      <c r="L1261">
        <v>16.208164708321199</v>
      </c>
      <c r="M1261">
        <v>14.0321914536118</v>
      </c>
      <c r="N1261">
        <v>14.004908558605299</v>
      </c>
      <c r="O1261">
        <v>13.4760342684654</v>
      </c>
      <c r="P1261">
        <v>-2.5671286881844102</v>
      </c>
      <c r="Q1261">
        <v>-3.2483226189005001</v>
      </c>
      <c r="R1261">
        <v>-1.8859347574683201</v>
      </c>
      <c r="S1261">
        <v>14.997029692673101</v>
      </c>
      <c r="T1261">
        <v>-7.9547563756169</v>
      </c>
      <c r="U1261">
        <v>6.6379525305990903</v>
      </c>
      <c r="V1261" s="2">
        <v>4.1139806070365102E-7</v>
      </c>
      <c r="W1261" s="2">
        <v>2.7414259269133901E-5</v>
      </c>
      <c r="X1261">
        <v>-1</v>
      </c>
      <c r="Y1261">
        <v>-1</v>
      </c>
    </row>
    <row r="1262" spans="1:25" x14ac:dyDescent="0.2">
      <c r="A1262" t="s">
        <v>4648</v>
      </c>
      <c r="B1262" t="s">
        <v>4649</v>
      </c>
      <c r="C1262" t="s">
        <v>4650</v>
      </c>
      <c r="D1262" t="s">
        <v>4651</v>
      </c>
      <c r="E1262" t="s">
        <v>4649</v>
      </c>
      <c r="F1262" t="s">
        <v>28</v>
      </c>
      <c r="G1262" t="s">
        <v>4649</v>
      </c>
      <c r="H1262" t="str">
        <f>"unc-54"</f>
        <v>unc-54</v>
      </c>
      <c r="I1262" t="s">
        <v>4651</v>
      </c>
      <c r="J1262">
        <v>20.011289348706601</v>
      </c>
      <c r="K1262">
        <v>19.687491054812099</v>
      </c>
      <c r="L1262">
        <v>19.380054079670199</v>
      </c>
      <c r="M1262">
        <v>19.656071271187201</v>
      </c>
      <c r="N1262">
        <v>18.8246157019341</v>
      </c>
      <c r="O1262">
        <v>19.265954598809</v>
      </c>
      <c r="P1262">
        <v>-0.44406430375287798</v>
      </c>
      <c r="Q1262">
        <v>-0.970945861245609</v>
      </c>
      <c r="R1262">
        <v>8.2817253739853394E-2</v>
      </c>
      <c r="S1262">
        <v>18.9534452590946</v>
      </c>
      <c r="T1262">
        <v>-1.77143564628588</v>
      </c>
      <c r="U1262">
        <v>-5.5378066404283004</v>
      </c>
      <c r="V1262">
        <v>9.3517075050108103E-2</v>
      </c>
      <c r="W1262">
        <v>0.31534151524668602</v>
      </c>
      <c r="X1262">
        <v>0</v>
      </c>
      <c r="Y1262">
        <v>0</v>
      </c>
    </row>
    <row r="1263" spans="1:25" x14ac:dyDescent="0.2">
      <c r="A1263" t="s">
        <v>4652</v>
      </c>
      <c r="B1263" t="s">
        <v>4653</v>
      </c>
      <c r="C1263" t="s">
        <v>4654</v>
      </c>
      <c r="D1263" t="s">
        <v>4655</v>
      </c>
      <c r="E1263" t="s">
        <v>4653</v>
      </c>
      <c r="F1263" t="s">
        <v>28</v>
      </c>
      <c r="G1263" t="s">
        <v>4653</v>
      </c>
      <c r="H1263" t="str">
        <f>"myo-1"</f>
        <v>myo-1</v>
      </c>
      <c r="I1263" t="s">
        <v>4655</v>
      </c>
      <c r="J1263">
        <v>16.1954882280282</v>
      </c>
      <c r="K1263">
        <v>16.176539743105501</v>
      </c>
      <c r="L1263">
        <v>15.6214431993634</v>
      </c>
      <c r="M1263">
        <v>16.246000612740399</v>
      </c>
      <c r="N1263">
        <v>15.347982300864199</v>
      </c>
      <c r="O1263">
        <v>15.943843319599599</v>
      </c>
      <c r="P1263">
        <v>-0.15188164576424701</v>
      </c>
      <c r="Q1263">
        <v>-0.80441536081452103</v>
      </c>
      <c r="R1263">
        <v>0.50065206928602801</v>
      </c>
      <c r="S1263">
        <v>15.2721912160247</v>
      </c>
      <c r="T1263">
        <v>-0.48920946605279703</v>
      </c>
      <c r="U1263">
        <v>-6.9275018118042802</v>
      </c>
      <c r="V1263">
        <v>0.63063568943639803</v>
      </c>
      <c r="W1263">
        <v>0.82954586748111203</v>
      </c>
      <c r="X1263">
        <v>0</v>
      </c>
      <c r="Y1263">
        <v>0</v>
      </c>
    </row>
    <row r="1264" spans="1:25" x14ac:dyDescent="0.2">
      <c r="A1264" t="s">
        <v>4656</v>
      </c>
      <c r="B1264" t="s">
        <v>4657</v>
      </c>
      <c r="C1264" t="s">
        <v>4658</v>
      </c>
      <c r="D1264" t="s">
        <v>4659</v>
      </c>
      <c r="E1264" t="s">
        <v>4657</v>
      </c>
      <c r="F1264" t="s">
        <v>28</v>
      </c>
      <c r="G1264" t="s">
        <v>4657</v>
      </c>
      <c r="H1264" t="str">
        <f>"abl-1"</f>
        <v>abl-1</v>
      </c>
      <c r="I1264" t="s">
        <v>4659</v>
      </c>
      <c r="J1264">
        <v>12.956576812995101</v>
      </c>
      <c r="K1264">
        <v>9.2148242139315393</v>
      </c>
      <c r="L1264" t="s">
        <v>29</v>
      </c>
      <c r="M1264" t="s">
        <v>29</v>
      </c>
      <c r="N1264" t="s">
        <v>29</v>
      </c>
      <c r="O1264">
        <v>11.7228868580093</v>
      </c>
      <c r="P1264">
        <v>0.637186344545981</v>
      </c>
      <c r="Q1264">
        <v>-2.4548151442705199</v>
      </c>
      <c r="R1264">
        <v>3.7291878333624799</v>
      </c>
      <c r="S1264">
        <v>10.9409659470099</v>
      </c>
      <c r="T1264">
        <v>0.46701525904181901</v>
      </c>
      <c r="U1264">
        <v>-6.5333278746590997</v>
      </c>
      <c r="V1264">
        <v>0.65171676806088497</v>
      </c>
      <c r="W1264">
        <v>0.84198036872528703</v>
      </c>
      <c r="X1264">
        <v>0</v>
      </c>
      <c r="Y1264">
        <v>0</v>
      </c>
    </row>
    <row r="1265" spans="1:25" x14ac:dyDescent="0.2">
      <c r="A1265" t="s">
        <v>4660</v>
      </c>
      <c r="B1265" t="s">
        <v>4661</v>
      </c>
      <c r="C1265" t="s">
        <v>4662</v>
      </c>
      <c r="D1265" t="s">
        <v>4663</v>
      </c>
      <c r="E1265" t="s">
        <v>4661</v>
      </c>
      <c r="F1265" t="s">
        <v>28</v>
      </c>
      <c r="G1265" t="s">
        <v>4664</v>
      </c>
      <c r="H1265" t="str">
        <f>"his-44"</f>
        <v>his-44</v>
      </c>
      <c r="I1265" t="s">
        <v>4665</v>
      </c>
      <c r="J1265">
        <v>16.456692826900099</v>
      </c>
      <c r="K1265">
        <v>16.743368642127798</v>
      </c>
      <c r="L1265">
        <v>16.552147852151599</v>
      </c>
      <c r="M1265">
        <v>16.6502314997329</v>
      </c>
      <c r="N1265">
        <v>16.8455645629389</v>
      </c>
      <c r="O1265">
        <v>16.887880057460102</v>
      </c>
      <c r="P1265">
        <v>0.21048893298413399</v>
      </c>
      <c r="Q1265">
        <v>-0.30044710926391599</v>
      </c>
      <c r="R1265">
        <v>0.72142497523218496</v>
      </c>
      <c r="S1265">
        <v>16.196743187093901</v>
      </c>
      <c r="T1265">
        <v>0.86587507874720604</v>
      </c>
      <c r="U1265">
        <v>-6.6672417866759002</v>
      </c>
      <c r="V1265">
        <v>0.39801918951629001</v>
      </c>
      <c r="W1265">
        <v>0.67176060305290897</v>
      </c>
      <c r="X1265">
        <v>0</v>
      </c>
      <c r="Y1265">
        <v>0</v>
      </c>
    </row>
    <row r="1266" spans="1:25" x14ac:dyDescent="0.2">
      <c r="A1266" t="s">
        <v>4666</v>
      </c>
      <c r="B1266" t="s">
        <v>4667</v>
      </c>
      <c r="C1266" t="s">
        <v>4668</v>
      </c>
      <c r="D1266" t="s">
        <v>4669</v>
      </c>
      <c r="E1266" t="s">
        <v>4667</v>
      </c>
      <c r="F1266" t="s">
        <v>28</v>
      </c>
      <c r="G1266" t="s">
        <v>4667</v>
      </c>
      <c r="H1266" t="str">
        <f>"gpd-1"</f>
        <v>gpd-1</v>
      </c>
      <c r="I1266" t="s">
        <v>4669</v>
      </c>
      <c r="J1266">
        <v>13.456051523412</v>
      </c>
      <c r="K1266">
        <v>13.6777562745357</v>
      </c>
      <c r="L1266">
        <v>13.9710464878087</v>
      </c>
      <c r="M1266">
        <v>13.798555396821</v>
      </c>
      <c r="N1266">
        <v>11.8501429406915</v>
      </c>
      <c r="O1266" t="s">
        <v>29</v>
      </c>
      <c r="P1266">
        <v>-0.87726892649587596</v>
      </c>
      <c r="Q1266">
        <v>-1.95608611359345</v>
      </c>
      <c r="R1266">
        <v>0.20154826060169401</v>
      </c>
      <c r="S1266">
        <v>13.204178475843801</v>
      </c>
      <c r="T1266">
        <v>-1.72478282789384</v>
      </c>
      <c r="U1266">
        <v>-5.5066339304711001</v>
      </c>
      <c r="V1266">
        <v>0.103953722437592</v>
      </c>
      <c r="W1266">
        <v>0.333595081668565</v>
      </c>
      <c r="X1266">
        <v>0</v>
      </c>
      <c r="Y1266">
        <v>0</v>
      </c>
    </row>
    <row r="1267" spans="1:25" x14ac:dyDescent="0.2">
      <c r="A1267" t="s">
        <v>4670</v>
      </c>
      <c r="B1267" t="s">
        <v>4671</v>
      </c>
      <c r="C1267" t="s">
        <v>4672</v>
      </c>
      <c r="D1267" t="s">
        <v>4673</v>
      </c>
      <c r="E1267" t="s">
        <v>4671</v>
      </c>
      <c r="F1267" t="s">
        <v>28</v>
      </c>
      <c r="G1267" t="s">
        <v>4671</v>
      </c>
      <c r="H1267" t="str">
        <f>"vit-2"</f>
        <v>vit-2</v>
      </c>
      <c r="I1267" t="s">
        <v>4673</v>
      </c>
      <c r="J1267">
        <v>18.623183227556101</v>
      </c>
      <c r="K1267">
        <v>18.417987263781502</v>
      </c>
      <c r="L1267">
        <v>18.620463188672499</v>
      </c>
      <c r="M1267">
        <v>18.287302492386999</v>
      </c>
      <c r="N1267">
        <v>18.137217496855701</v>
      </c>
      <c r="O1267">
        <v>18.059320337760202</v>
      </c>
      <c r="P1267">
        <v>-0.392597784335734</v>
      </c>
      <c r="Q1267">
        <v>-0.83419394985138395</v>
      </c>
      <c r="R1267">
        <v>4.8998381179915E-2</v>
      </c>
      <c r="S1267">
        <v>18.781824332830102</v>
      </c>
      <c r="T1267">
        <v>-1.8685944895287201</v>
      </c>
      <c r="U1267">
        <v>-5.38164072241283</v>
      </c>
      <c r="V1267">
        <v>7.8139611473984294E-2</v>
      </c>
      <c r="W1267">
        <v>0.28755756942877198</v>
      </c>
      <c r="X1267">
        <v>0</v>
      </c>
      <c r="Y1267">
        <v>0</v>
      </c>
    </row>
    <row r="1268" spans="1:25" x14ac:dyDescent="0.2">
      <c r="A1268" t="s">
        <v>4674</v>
      </c>
      <c r="B1268" t="s">
        <v>4675</v>
      </c>
      <c r="C1268" t="s">
        <v>4676</v>
      </c>
      <c r="D1268" t="s">
        <v>4677</v>
      </c>
      <c r="E1268" t="s">
        <v>4675</v>
      </c>
      <c r="F1268" t="s">
        <v>28</v>
      </c>
      <c r="G1268" t="s">
        <v>4675</v>
      </c>
      <c r="H1268" t="str">
        <f>"vit-5"</f>
        <v>vit-5</v>
      </c>
      <c r="I1268" t="s">
        <v>4677</v>
      </c>
      <c r="J1268">
        <v>21.2356531440543</v>
      </c>
      <c r="K1268">
        <v>20.8993076448888</v>
      </c>
      <c r="L1268">
        <v>21.3735875639812</v>
      </c>
      <c r="M1268">
        <v>20.867923829533702</v>
      </c>
      <c r="N1268">
        <v>21.310785199036001</v>
      </c>
      <c r="O1268">
        <v>20.885674900318701</v>
      </c>
      <c r="P1268">
        <v>-0.14805480801193499</v>
      </c>
      <c r="Q1268">
        <v>-0.50918609536519399</v>
      </c>
      <c r="R1268">
        <v>0.21307647934132401</v>
      </c>
      <c r="S1268">
        <v>21.535431999671101</v>
      </c>
      <c r="T1268">
        <v>-0.86168773736113202</v>
      </c>
      <c r="U1268">
        <v>-6.6708799572224899</v>
      </c>
      <c r="V1268">
        <v>0.40025900992283597</v>
      </c>
      <c r="W1268">
        <v>0.67414224549115298</v>
      </c>
      <c r="X1268">
        <v>0</v>
      </c>
      <c r="Y1268">
        <v>0</v>
      </c>
    </row>
    <row r="1269" spans="1:25" x14ac:dyDescent="0.2">
      <c r="A1269" t="s">
        <v>4678</v>
      </c>
      <c r="B1269" t="s">
        <v>4679</v>
      </c>
      <c r="C1269" t="s">
        <v>4680</v>
      </c>
      <c r="D1269" t="s">
        <v>4681</v>
      </c>
      <c r="E1269" t="s">
        <v>4679</v>
      </c>
      <c r="F1269" t="s">
        <v>28</v>
      </c>
      <c r="G1269" t="s">
        <v>4679</v>
      </c>
      <c r="H1269" t="str">
        <f>"hsp-16.2"</f>
        <v>hsp-16.2</v>
      </c>
      <c r="I1269" t="s">
        <v>4681</v>
      </c>
      <c r="J1269">
        <v>15.4271147588888</v>
      </c>
      <c r="K1269">
        <v>15.5283011395725</v>
      </c>
      <c r="L1269">
        <v>15.2784373344704</v>
      </c>
      <c r="M1269">
        <v>12.516231034054099</v>
      </c>
      <c r="N1269">
        <v>11.4829495032178</v>
      </c>
      <c r="O1269">
        <v>11.4495973631513</v>
      </c>
      <c r="P1269">
        <v>-3.5950251108361999</v>
      </c>
      <c r="Q1269">
        <v>-4.4533350060374097</v>
      </c>
      <c r="R1269">
        <v>-2.7367152156349999</v>
      </c>
      <c r="S1269">
        <v>13.2221112025615</v>
      </c>
      <c r="T1269">
        <v>-8.8839752226269493</v>
      </c>
      <c r="U1269">
        <v>7.7324311976082303</v>
      </c>
      <c r="V1269" s="2">
        <v>1.46266659764068E-7</v>
      </c>
      <c r="W1269" s="2">
        <v>1.3598620310636499E-5</v>
      </c>
      <c r="X1269">
        <v>-1</v>
      </c>
      <c r="Y1269">
        <v>-1</v>
      </c>
    </row>
    <row r="1270" spans="1:25" x14ac:dyDescent="0.2">
      <c r="A1270" t="s">
        <v>4682</v>
      </c>
      <c r="B1270" t="s">
        <v>4683</v>
      </c>
      <c r="C1270" t="s">
        <v>4684</v>
      </c>
      <c r="D1270" t="s">
        <v>4685</v>
      </c>
      <c r="E1270" t="s">
        <v>4683</v>
      </c>
      <c r="F1270" t="s">
        <v>28</v>
      </c>
      <c r="G1270" t="s">
        <v>4683</v>
      </c>
      <c r="H1270" t="str">
        <f>"hsp-1"</f>
        <v>hsp-1</v>
      </c>
      <c r="I1270" t="s">
        <v>4685</v>
      </c>
      <c r="J1270">
        <v>19.849484695166101</v>
      </c>
      <c r="K1270">
        <v>19.7601922412017</v>
      </c>
      <c r="L1270">
        <v>19.697196093757601</v>
      </c>
      <c r="M1270">
        <v>20.3916708906149</v>
      </c>
      <c r="N1270">
        <v>20.3008328478778</v>
      </c>
      <c r="O1270">
        <v>20.351658531311202</v>
      </c>
      <c r="P1270">
        <v>0.57909641322616101</v>
      </c>
      <c r="Q1270">
        <v>0.204482536800632</v>
      </c>
      <c r="R1270">
        <v>0.95371028965168902</v>
      </c>
      <c r="S1270">
        <v>20.1611865478936</v>
      </c>
      <c r="T1270">
        <v>3.2490734382223798</v>
      </c>
      <c r="U1270">
        <v>-2.7123174991633299</v>
      </c>
      <c r="V1270">
        <v>4.4807338154417096E-3</v>
      </c>
      <c r="W1270">
        <v>5.0450892164177599E-2</v>
      </c>
      <c r="X1270">
        <v>0</v>
      </c>
      <c r="Y1270">
        <v>0</v>
      </c>
    </row>
    <row r="1271" spans="1:25" x14ac:dyDescent="0.2">
      <c r="A1271" t="s">
        <v>4686</v>
      </c>
      <c r="B1271" t="s">
        <v>4687</v>
      </c>
      <c r="C1271" t="s">
        <v>4688</v>
      </c>
      <c r="D1271" t="s">
        <v>4689</v>
      </c>
      <c r="E1271" t="s">
        <v>4687</v>
      </c>
      <c r="F1271" t="s">
        <v>28</v>
      </c>
      <c r="G1271" t="s">
        <v>4690</v>
      </c>
      <c r="H1271" t="str">
        <f>"his-68"</f>
        <v>his-68</v>
      </c>
      <c r="I1271" t="s">
        <v>4689</v>
      </c>
      <c r="J1271">
        <v>17.4510078693182</v>
      </c>
      <c r="K1271">
        <v>18.260683334545799</v>
      </c>
      <c r="L1271">
        <v>17.908466773640999</v>
      </c>
      <c r="M1271">
        <v>18.2522976355969</v>
      </c>
      <c r="N1271">
        <v>17.373214430673301</v>
      </c>
      <c r="O1271">
        <v>19.072218215810501</v>
      </c>
      <c r="P1271">
        <v>0.35919076819190798</v>
      </c>
      <c r="Q1271">
        <v>-0.92028105196986398</v>
      </c>
      <c r="R1271">
        <v>1.6386625883536801</v>
      </c>
      <c r="S1271">
        <v>17.8874592388214</v>
      </c>
      <c r="T1271">
        <v>0.59004747200683505</v>
      </c>
      <c r="U1271">
        <v>-6.8713955634041097</v>
      </c>
      <c r="V1271">
        <v>0.56253620178635599</v>
      </c>
      <c r="W1271">
        <v>0.78663205870769404</v>
      </c>
      <c r="X1271">
        <v>0</v>
      </c>
      <c r="Y1271">
        <v>0</v>
      </c>
    </row>
    <row r="1272" spans="1:25" x14ac:dyDescent="0.2">
      <c r="A1272" t="s">
        <v>4691</v>
      </c>
      <c r="B1272" t="s">
        <v>4692</v>
      </c>
      <c r="C1272" t="s">
        <v>4693</v>
      </c>
      <c r="D1272" t="s">
        <v>4694</v>
      </c>
      <c r="E1272" t="s">
        <v>4692</v>
      </c>
      <c r="F1272" t="s">
        <v>28</v>
      </c>
      <c r="G1272" t="s">
        <v>4695</v>
      </c>
      <c r="H1272" t="str">
        <f>"ubq-1"</f>
        <v>ubq-1</v>
      </c>
      <c r="I1272" t="s">
        <v>4696</v>
      </c>
      <c r="J1272">
        <v>16.775693036027999</v>
      </c>
      <c r="K1272">
        <v>16.999638625921801</v>
      </c>
      <c r="L1272">
        <v>16.7205657824735</v>
      </c>
      <c r="M1272">
        <v>16.9716841056131</v>
      </c>
      <c r="N1272">
        <v>16.982768645343299</v>
      </c>
      <c r="O1272">
        <v>17.018158532592</v>
      </c>
      <c r="P1272">
        <v>0.15890461304168499</v>
      </c>
      <c r="Q1272">
        <v>-0.31874363001301598</v>
      </c>
      <c r="R1272">
        <v>0.63655285609638501</v>
      </c>
      <c r="S1272">
        <v>17.418736181101</v>
      </c>
      <c r="T1272">
        <v>0.69923125658533103</v>
      </c>
      <c r="U1272">
        <v>-6.7993219913648302</v>
      </c>
      <c r="V1272">
        <v>0.493396701007219</v>
      </c>
      <c r="W1272">
        <v>0.74675016980348397</v>
      </c>
      <c r="X1272">
        <v>0</v>
      </c>
      <c r="Y1272">
        <v>0</v>
      </c>
    </row>
    <row r="1273" spans="1:25" x14ac:dyDescent="0.2">
      <c r="A1273" t="s">
        <v>4697</v>
      </c>
      <c r="B1273" t="s">
        <v>4698</v>
      </c>
      <c r="C1273" t="s">
        <v>4699</v>
      </c>
      <c r="D1273" t="s">
        <v>4700</v>
      </c>
      <c r="E1273" t="s">
        <v>4698</v>
      </c>
      <c r="F1273" t="s">
        <v>28</v>
      </c>
      <c r="G1273" t="s">
        <v>4701</v>
      </c>
      <c r="H1273" t="str">
        <f>"act-1"</f>
        <v>act-1</v>
      </c>
      <c r="I1273" t="s">
        <v>4702</v>
      </c>
      <c r="J1273">
        <v>18.942611603166</v>
      </c>
      <c r="K1273">
        <v>19.335040253449399</v>
      </c>
      <c r="L1273">
        <v>19.5912173876096</v>
      </c>
      <c r="M1273">
        <v>19.553863045512401</v>
      </c>
      <c r="N1273">
        <v>18.946129208438801</v>
      </c>
      <c r="O1273">
        <v>20.229047067990301</v>
      </c>
      <c r="P1273">
        <v>0.286723359238785</v>
      </c>
      <c r="Q1273">
        <v>-0.81470102329837502</v>
      </c>
      <c r="R1273">
        <v>1.38814774177594</v>
      </c>
      <c r="S1273">
        <v>19.3663172424097</v>
      </c>
      <c r="T1273">
        <v>0.54714307010007401</v>
      </c>
      <c r="U1273">
        <v>-6.8965071779734402</v>
      </c>
      <c r="V1273">
        <v>0.59103921804989401</v>
      </c>
      <c r="W1273">
        <v>0.80369478292283902</v>
      </c>
      <c r="X1273">
        <v>0</v>
      </c>
      <c r="Y1273">
        <v>0</v>
      </c>
    </row>
    <row r="1274" spans="1:25" x14ac:dyDescent="0.2">
      <c r="A1274" t="s">
        <v>4703</v>
      </c>
      <c r="B1274" t="s">
        <v>4704</v>
      </c>
      <c r="C1274" t="s">
        <v>4705</v>
      </c>
      <c r="D1274" t="s">
        <v>4706</v>
      </c>
      <c r="E1274" t="s">
        <v>4704</v>
      </c>
      <c r="F1274" t="s">
        <v>28</v>
      </c>
      <c r="G1274" t="s">
        <v>4704</v>
      </c>
      <c r="H1274" t="str">
        <f>"unc-15"</f>
        <v>unc-15</v>
      </c>
      <c r="I1274" t="s">
        <v>4706</v>
      </c>
      <c r="J1274">
        <v>15.5826365180073</v>
      </c>
      <c r="K1274">
        <v>15.445733196581299</v>
      </c>
      <c r="L1274">
        <v>15.6856706222116</v>
      </c>
      <c r="M1274">
        <v>15.9840865069842</v>
      </c>
      <c r="N1274">
        <v>15.176521753054701</v>
      </c>
      <c r="O1274">
        <v>15.914046790946101</v>
      </c>
      <c r="P1274">
        <v>0.12020490472827</v>
      </c>
      <c r="Q1274">
        <v>-0.46990326124738502</v>
      </c>
      <c r="R1274">
        <v>0.71031307070392502</v>
      </c>
      <c r="S1274">
        <v>15.258612495570601</v>
      </c>
      <c r="T1274">
        <v>0.42813731116621301</v>
      </c>
      <c r="U1274">
        <v>-6.9565169896872296</v>
      </c>
      <c r="V1274">
        <v>0.67365967523982095</v>
      </c>
      <c r="W1274">
        <v>0.85541145012261999</v>
      </c>
      <c r="X1274">
        <v>0</v>
      </c>
      <c r="Y1274">
        <v>0</v>
      </c>
    </row>
    <row r="1275" spans="1:25" x14ac:dyDescent="0.2">
      <c r="A1275" t="s">
        <v>4707</v>
      </c>
      <c r="B1275" t="s">
        <v>4708</v>
      </c>
      <c r="C1275" t="s">
        <v>4709</v>
      </c>
      <c r="D1275" t="s">
        <v>4710</v>
      </c>
      <c r="E1275" t="s">
        <v>4708</v>
      </c>
      <c r="F1275" t="s">
        <v>28</v>
      </c>
      <c r="G1275" t="s">
        <v>4708</v>
      </c>
      <c r="H1275" t="str">
        <f>"his-24"</f>
        <v>his-24</v>
      </c>
      <c r="I1275" t="s">
        <v>4710</v>
      </c>
      <c r="J1275">
        <v>15.115367897492501</v>
      </c>
      <c r="K1275">
        <v>15.4442800937942</v>
      </c>
      <c r="L1275">
        <v>15.4318250506205</v>
      </c>
      <c r="M1275">
        <v>15.5525856261422</v>
      </c>
      <c r="N1275">
        <v>14.460701284826101</v>
      </c>
      <c r="O1275">
        <v>15.6290734805927</v>
      </c>
      <c r="P1275">
        <v>-0.116370883448718</v>
      </c>
      <c r="Q1275">
        <v>-1.61636074949674</v>
      </c>
      <c r="R1275">
        <v>1.3836189825992999</v>
      </c>
      <c r="S1275">
        <v>13.959864453579399</v>
      </c>
      <c r="T1275">
        <v>-0.163060406077492</v>
      </c>
      <c r="U1275">
        <v>-7.0381626892930704</v>
      </c>
      <c r="V1275">
        <v>0.87229817943812005</v>
      </c>
      <c r="W1275">
        <v>0.95222989829322702</v>
      </c>
      <c r="X1275">
        <v>0</v>
      </c>
      <c r="Y1275">
        <v>0</v>
      </c>
    </row>
    <row r="1276" spans="1:25" x14ac:dyDescent="0.2">
      <c r="A1276" t="s">
        <v>4711</v>
      </c>
      <c r="B1276" t="s">
        <v>4712</v>
      </c>
      <c r="C1276" t="s">
        <v>4713</v>
      </c>
      <c r="D1276" t="s">
        <v>4714</v>
      </c>
      <c r="E1276" t="s">
        <v>4712</v>
      </c>
      <c r="F1276" t="s">
        <v>28</v>
      </c>
      <c r="G1276" t="s">
        <v>4712</v>
      </c>
      <c r="H1276" t="str">
        <f>"hsp-6"</f>
        <v>hsp-6</v>
      </c>
      <c r="I1276" t="s">
        <v>4714</v>
      </c>
      <c r="J1276">
        <v>15.334288803847</v>
      </c>
      <c r="K1276">
        <v>15.120503364349601</v>
      </c>
      <c r="L1276">
        <v>15.1816142025154</v>
      </c>
      <c r="M1276">
        <v>14.9634050739224</v>
      </c>
      <c r="N1276">
        <v>15.2985063906281</v>
      </c>
      <c r="O1276">
        <v>15.776828523527801</v>
      </c>
      <c r="P1276">
        <v>0.13411120578877</v>
      </c>
      <c r="Q1276">
        <v>-0.34074552350827902</v>
      </c>
      <c r="R1276">
        <v>0.60896793508581804</v>
      </c>
      <c r="S1276">
        <v>15.2253714406345</v>
      </c>
      <c r="T1276">
        <v>0.59360149156512199</v>
      </c>
      <c r="U1276">
        <v>-6.8692336111738497</v>
      </c>
      <c r="V1276">
        <v>0.56020776685108598</v>
      </c>
      <c r="W1276">
        <v>0.78573968678165296</v>
      </c>
      <c r="X1276">
        <v>0</v>
      </c>
      <c r="Y1276">
        <v>0</v>
      </c>
    </row>
    <row r="1277" spans="1:25" x14ac:dyDescent="0.2">
      <c r="A1277" t="s">
        <v>4715</v>
      </c>
      <c r="B1277" t="s">
        <v>4716</v>
      </c>
      <c r="C1277" t="s">
        <v>4717</v>
      </c>
      <c r="D1277" t="s">
        <v>4718</v>
      </c>
      <c r="E1277" t="s">
        <v>4716</v>
      </c>
      <c r="F1277" t="s">
        <v>28</v>
      </c>
      <c r="G1277" t="s">
        <v>4716</v>
      </c>
      <c r="H1277" t="str">
        <f>"sqt-1"</f>
        <v>sqt-1</v>
      </c>
      <c r="I1277" t="s">
        <v>4718</v>
      </c>
      <c r="J1277">
        <v>10.3476885957646</v>
      </c>
      <c r="K1277">
        <v>10.848441694768599</v>
      </c>
      <c r="L1277">
        <v>11.742088281330901</v>
      </c>
      <c r="M1277" t="s">
        <v>29</v>
      </c>
      <c r="N1277">
        <v>9.4934905564583794</v>
      </c>
      <c r="O1277">
        <v>12.098666767303</v>
      </c>
      <c r="P1277">
        <v>-0.18332752874066</v>
      </c>
      <c r="Q1277">
        <v>-1.7598335441344699</v>
      </c>
      <c r="R1277">
        <v>1.39317848665315</v>
      </c>
      <c r="S1277">
        <v>11.153314957178599</v>
      </c>
      <c r="T1277">
        <v>-0.248012550082888</v>
      </c>
      <c r="U1277">
        <v>-6.9089801612310104</v>
      </c>
      <c r="V1277">
        <v>0.807511266963163</v>
      </c>
      <c r="W1277">
        <v>0.91833642628581302</v>
      </c>
      <c r="X1277">
        <v>0</v>
      </c>
      <c r="Y1277">
        <v>0</v>
      </c>
    </row>
    <row r="1278" spans="1:25" x14ac:dyDescent="0.2">
      <c r="A1278" t="s">
        <v>4719</v>
      </c>
      <c r="B1278" t="s">
        <v>4720</v>
      </c>
      <c r="C1278" t="s">
        <v>4721</v>
      </c>
      <c r="D1278" t="s">
        <v>4722</v>
      </c>
      <c r="E1278" t="s">
        <v>4720</v>
      </c>
      <c r="F1278" t="s">
        <v>28</v>
      </c>
      <c r="G1278" t="s">
        <v>4720</v>
      </c>
      <c r="H1278" t="str">
        <f>"mec-7"</f>
        <v>mec-7</v>
      </c>
      <c r="I1278" t="s">
        <v>4722</v>
      </c>
      <c r="J1278">
        <v>14.251358383261801</v>
      </c>
      <c r="K1278">
        <v>14.654048365178699</v>
      </c>
      <c r="L1278">
        <v>14.0911149524604</v>
      </c>
      <c r="M1278">
        <v>14.465032995052701</v>
      </c>
      <c r="N1278">
        <v>14.520144841269699</v>
      </c>
      <c r="O1278">
        <v>14.365447719427401</v>
      </c>
      <c r="P1278">
        <v>0.118034618282959</v>
      </c>
      <c r="Q1278">
        <v>-0.81380454251748602</v>
      </c>
      <c r="R1278">
        <v>1.0498737790834001</v>
      </c>
      <c r="S1278">
        <v>14.136929704798</v>
      </c>
      <c r="T1278">
        <v>0.26623242941762798</v>
      </c>
      <c r="U1278">
        <v>-7.0150148697498498</v>
      </c>
      <c r="V1278">
        <v>0.79310352950131302</v>
      </c>
      <c r="W1278">
        <v>0.91517844850619501</v>
      </c>
      <c r="X1278">
        <v>0</v>
      </c>
      <c r="Y1278">
        <v>0</v>
      </c>
    </row>
    <row r="1279" spans="1:25" x14ac:dyDescent="0.2">
      <c r="A1279" t="s">
        <v>4723</v>
      </c>
      <c r="B1279" t="s">
        <v>4724</v>
      </c>
      <c r="C1279" t="s">
        <v>4725</v>
      </c>
      <c r="D1279" t="s">
        <v>4726</v>
      </c>
      <c r="E1279" t="s">
        <v>4724</v>
      </c>
      <c r="F1279" t="s">
        <v>28</v>
      </c>
      <c r="G1279" t="s">
        <v>4724</v>
      </c>
      <c r="H1279" t="str">
        <f>"myo-3"</f>
        <v>myo-3</v>
      </c>
      <c r="I1279" t="s">
        <v>4726</v>
      </c>
      <c r="J1279">
        <v>15.7342468286021</v>
      </c>
      <c r="K1279">
        <v>15.765660796323299</v>
      </c>
      <c r="L1279">
        <v>15.507543018622901</v>
      </c>
      <c r="M1279">
        <v>16.140671829755</v>
      </c>
      <c r="N1279">
        <v>14.898334108997799</v>
      </c>
      <c r="O1279">
        <v>15.6598272640754</v>
      </c>
      <c r="P1279">
        <v>-0.10287248024007301</v>
      </c>
      <c r="Q1279">
        <v>-0.75182779653851495</v>
      </c>
      <c r="R1279">
        <v>0.54608283605836805</v>
      </c>
      <c r="S1279">
        <v>15.2151846757461</v>
      </c>
      <c r="T1279">
        <v>-0.33317846984827398</v>
      </c>
      <c r="U1279">
        <v>-6.9940922497741704</v>
      </c>
      <c r="V1279">
        <v>0.74287144275646599</v>
      </c>
      <c r="W1279">
        <v>0.89145848898999702</v>
      </c>
      <c r="X1279">
        <v>0</v>
      </c>
      <c r="Y1279">
        <v>0</v>
      </c>
    </row>
    <row r="1280" spans="1:25" x14ac:dyDescent="0.2">
      <c r="A1280" t="s">
        <v>4727</v>
      </c>
      <c r="B1280" t="s">
        <v>4728</v>
      </c>
      <c r="C1280" t="s">
        <v>4729</v>
      </c>
      <c r="D1280" t="s">
        <v>4730</v>
      </c>
      <c r="E1280" t="s">
        <v>4728</v>
      </c>
      <c r="F1280" t="s">
        <v>28</v>
      </c>
      <c r="G1280" t="s">
        <v>4728</v>
      </c>
      <c r="H1280" t="str">
        <f>"myo-2"</f>
        <v>myo-2</v>
      </c>
      <c r="I1280" t="s">
        <v>4730</v>
      </c>
      <c r="J1280">
        <v>17.848574425808501</v>
      </c>
      <c r="K1280">
        <v>17.7099673627201</v>
      </c>
      <c r="L1280">
        <v>17.214181558526899</v>
      </c>
      <c r="M1280">
        <v>17.810789373980398</v>
      </c>
      <c r="N1280">
        <v>16.827790643165699</v>
      </c>
      <c r="O1280">
        <v>17.572716749407899</v>
      </c>
      <c r="P1280">
        <v>-0.187142193500524</v>
      </c>
      <c r="Q1280">
        <v>-0.85035232437430996</v>
      </c>
      <c r="R1280">
        <v>0.47606793737326297</v>
      </c>
      <c r="S1280">
        <v>16.853511970730999</v>
      </c>
      <c r="T1280">
        <v>-0.59307972435332301</v>
      </c>
      <c r="U1280">
        <v>-6.8695517899401901</v>
      </c>
      <c r="V1280">
        <v>0.56054928765017298</v>
      </c>
      <c r="W1280">
        <v>0.78587995778270703</v>
      </c>
      <c r="X1280">
        <v>0</v>
      </c>
      <c r="Y1280">
        <v>0</v>
      </c>
    </row>
    <row r="1281" spans="1:25" x14ac:dyDescent="0.2">
      <c r="A1281" t="s">
        <v>4731</v>
      </c>
      <c r="B1281" t="s">
        <v>4732</v>
      </c>
      <c r="C1281" t="s">
        <v>4733</v>
      </c>
      <c r="D1281" t="s">
        <v>4734</v>
      </c>
      <c r="E1281" t="s">
        <v>4732</v>
      </c>
      <c r="F1281" t="s">
        <v>28</v>
      </c>
      <c r="G1281" t="s">
        <v>4732</v>
      </c>
      <c r="H1281" t="str">
        <f>"hil-2"</f>
        <v>hil-2</v>
      </c>
      <c r="I1281" t="s">
        <v>4734</v>
      </c>
      <c r="J1281">
        <v>13.2545598792482</v>
      </c>
      <c r="K1281">
        <v>14.1183797691933</v>
      </c>
      <c r="L1281">
        <v>14.158669902344499</v>
      </c>
      <c r="M1281">
        <v>14.085995128693799</v>
      </c>
      <c r="N1281">
        <v>12.006709165824001</v>
      </c>
      <c r="O1281">
        <v>14.0705429943455</v>
      </c>
      <c r="P1281">
        <v>-0.45612075397421298</v>
      </c>
      <c r="Q1281">
        <v>-1.4295371290818899</v>
      </c>
      <c r="R1281">
        <v>0.51729562113346494</v>
      </c>
      <c r="S1281">
        <v>13.2251207379409</v>
      </c>
      <c r="T1281">
        <v>-1.00571071811999</v>
      </c>
      <c r="U1281">
        <v>-6.5327663891499004</v>
      </c>
      <c r="V1281">
        <v>0.33174819637433001</v>
      </c>
      <c r="W1281">
        <v>0.61122402832197698</v>
      </c>
      <c r="X1281">
        <v>0</v>
      </c>
      <c r="Y1281">
        <v>0</v>
      </c>
    </row>
    <row r="1282" spans="1:25" x14ac:dyDescent="0.2">
      <c r="A1282" t="s">
        <v>4735</v>
      </c>
      <c r="B1282" t="s">
        <v>4736</v>
      </c>
      <c r="C1282" t="s">
        <v>4737</v>
      </c>
      <c r="D1282" t="s">
        <v>4738</v>
      </c>
      <c r="E1282" t="s">
        <v>4736</v>
      </c>
      <c r="F1282" t="s">
        <v>28</v>
      </c>
      <c r="G1282" t="s">
        <v>4736</v>
      </c>
      <c r="H1282" t="str">
        <f>"ama-1"</f>
        <v>ama-1</v>
      </c>
      <c r="I1282" t="s">
        <v>4738</v>
      </c>
      <c r="J1282">
        <v>15.2122184437894</v>
      </c>
      <c r="K1282">
        <v>15.0710234387819</v>
      </c>
      <c r="L1282">
        <v>14.8908676675489</v>
      </c>
      <c r="M1282">
        <v>15.3338047750215</v>
      </c>
      <c r="N1282">
        <v>15.7584949374346</v>
      </c>
      <c r="O1282">
        <v>15.416379881198701</v>
      </c>
      <c r="P1282">
        <v>0.44485668117819099</v>
      </c>
      <c r="Q1282">
        <v>1.7256816145007198E-2</v>
      </c>
      <c r="R1282">
        <v>0.87245654621137403</v>
      </c>
      <c r="S1282">
        <v>15.317061705498899</v>
      </c>
      <c r="T1282">
        <v>2.1866288368193301</v>
      </c>
      <c r="U1282">
        <v>-4.8334274800447101</v>
      </c>
      <c r="V1282">
        <v>4.2299394988613098E-2</v>
      </c>
      <c r="W1282">
        <v>0.20331201077244801</v>
      </c>
      <c r="X1282">
        <v>0</v>
      </c>
      <c r="Y1282">
        <v>0</v>
      </c>
    </row>
    <row r="1283" spans="1:25" x14ac:dyDescent="0.2">
      <c r="A1283" t="s">
        <v>4739</v>
      </c>
      <c r="B1283" t="s">
        <v>4740</v>
      </c>
      <c r="C1283" t="s">
        <v>4741</v>
      </c>
      <c r="D1283" t="s">
        <v>4742</v>
      </c>
      <c r="E1283" t="s">
        <v>4740</v>
      </c>
      <c r="F1283" t="s">
        <v>28</v>
      </c>
      <c r="G1283" t="s">
        <v>4740</v>
      </c>
      <c r="H1283" t="str">
        <f>"emb-9"</f>
        <v>emb-9</v>
      </c>
      <c r="I1283" t="s">
        <v>4742</v>
      </c>
      <c r="J1283">
        <v>16.9363953916668</v>
      </c>
      <c r="K1283">
        <v>16.421351434722101</v>
      </c>
      <c r="L1283">
        <v>17.274768243354799</v>
      </c>
      <c r="M1283">
        <v>17.918050018482798</v>
      </c>
      <c r="N1283">
        <v>17.225612995153099</v>
      </c>
      <c r="O1283">
        <v>17.5644326932787</v>
      </c>
      <c r="P1283">
        <v>0.69186021239030604</v>
      </c>
      <c r="Q1283">
        <v>-8.5373880015412504E-2</v>
      </c>
      <c r="R1283">
        <v>1.4690943047960301</v>
      </c>
      <c r="S1283">
        <v>16.655084421450699</v>
      </c>
      <c r="T1283">
        <v>1.8709364102347199</v>
      </c>
      <c r="U1283">
        <v>-5.3778067306971504</v>
      </c>
      <c r="V1283">
        <v>7.7798207585187004E-2</v>
      </c>
      <c r="W1283">
        <v>0.28669917042151599</v>
      </c>
      <c r="X1283">
        <v>0</v>
      </c>
      <c r="Y1283">
        <v>0</v>
      </c>
    </row>
    <row r="1284" spans="1:25" x14ac:dyDescent="0.2">
      <c r="A1284" t="s">
        <v>4743</v>
      </c>
      <c r="B1284" t="s">
        <v>4744</v>
      </c>
      <c r="C1284" t="s">
        <v>4745</v>
      </c>
      <c r="D1284" t="s">
        <v>4746</v>
      </c>
      <c r="E1284" t="s">
        <v>4744</v>
      </c>
      <c r="F1284" t="s">
        <v>28</v>
      </c>
      <c r="G1284" t="s">
        <v>4744</v>
      </c>
      <c r="H1284" t="str">
        <f>"let-2"</f>
        <v>let-2</v>
      </c>
      <c r="I1284" t="s">
        <v>4746</v>
      </c>
      <c r="J1284">
        <v>15.670890348180899</v>
      </c>
      <c r="K1284">
        <v>15.4115647930041</v>
      </c>
      <c r="L1284">
        <v>16.005283243303701</v>
      </c>
      <c r="M1284">
        <v>16.462339236634101</v>
      </c>
      <c r="N1284">
        <v>16.1377425041393</v>
      </c>
      <c r="O1284">
        <v>16.478567945870601</v>
      </c>
      <c r="P1284">
        <v>0.66363710071845905</v>
      </c>
      <c r="Q1284">
        <v>-7.3786752063727507E-2</v>
      </c>
      <c r="R1284">
        <v>1.40106095350065</v>
      </c>
      <c r="S1284">
        <v>15.526348474802001</v>
      </c>
      <c r="T1284">
        <v>1.89149844781988</v>
      </c>
      <c r="U1284">
        <v>-5.3440067508752902</v>
      </c>
      <c r="V1284">
        <v>7.4856851515078898E-2</v>
      </c>
      <c r="W1284">
        <v>0.28009938192123102</v>
      </c>
      <c r="X1284">
        <v>0</v>
      </c>
      <c r="Y1284">
        <v>0</v>
      </c>
    </row>
    <row r="1285" spans="1:25" x14ac:dyDescent="0.2">
      <c r="A1285" t="s">
        <v>4747</v>
      </c>
      <c r="B1285" t="s">
        <v>4748</v>
      </c>
      <c r="C1285" t="s">
        <v>4749</v>
      </c>
      <c r="D1285" t="s">
        <v>4750</v>
      </c>
      <c r="E1285" t="s">
        <v>4748</v>
      </c>
      <c r="F1285" t="s">
        <v>28</v>
      </c>
      <c r="G1285" t="s">
        <v>4748</v>
      </c>
      <c r="H1285" t="str">
        <f>"fem-1"</f>
        <v>fem-1</v>
      </c>
      <c r="I1285" t="s">
        <v>4750</v>
      </c>
      <c r="J1285">
        <v>12.083643118247901</v>
      </c>
      <c r="K1285" t="s">
        <v>29</v>
      </c>
      <c r="L1285" t="s">
        <v>29</v>
      </c>
      <c r="M1285" t="s">
        <v>29</v>
      </c>
      <c r="N1285" t="s">
        <v>29</v>
      </c>
      <c r="O1285" t="s">
        <v>29</v>
      </c>
      <c r="P1285" t="s">
        <v>29</v>
      </c>
      <c r="Q1285" t="s">
        <v>29</v>
      </c>
      <c r="R1285" t="s">
        <v>29</v>
      </c>
      <c r="S1285">
        <v>11.7053094419578</v>
      </c>
      <c r="T1285" t="s">
        <v>29</v>
      </c>
      <c r="U1285" t="s">
        <v>29</v>
      </c>
      <c r="V1285" t="s">
        <v>29</v>
      </c>
      <c r="W1285" t="s">
        <v>29</v>
      </c>
      <c r="X1285" t="s">
        <v>29</v>
      </c>
      <c r="Y1285" t="s">
        <v>29</v>
      </c>
    </row>
    <row r="1286" spans="1:25" x14ac:dyDescent="0.2">
      <c r="A1286" t="s">
        <v>4751</v>
      </c>
      <c r="B1286" t="s">
        <v>4752</v>
      </c>
      <c r="C1286" t="s">
        <v>4753</v>
      </c>
      <c r="D1286" t="s">
        <v>4754</v>
      </c>
      <c r="E1286" t="s">
        <v>4752</v>
      </c>
      <c r="F1286" t="s">
        <v>28</v>
      </c>
      <c r="G1286" t="s">
        <v>4755</v>
      </c>
      <c r="H1286" t="str">
        <f>"gpd-2"</f>
        <v>gpd-2</v>
      </c>
      <c r="I1286" t="s">
        <v>4756</v>
      </c>
      <c r="J1286">
        <v>16.965556683209599</v>
      </c>
      <c r="K1286">
        <v>17.332967295242</v>
      </c>
      <c r="L1286">
        <v>17.539236649884</v>
      </c>
      <c r="M1286">
        <v>17.134424104592501</v>
      </c>
      <c r="N1286">
        <v>14.7229818045471</v>
      </c>
      <c r="O1286">
        <v>16.1985494884016</v>
      </c>
      <c r="P1286">
        <v>-1.26060174359814</v>
      </c>
      <c r="Q1286">
        <v>-2.2635094057609502</v>
      </c>
      <c r="R1286">
        <v>-0.25769408143532901</v>
      </c>
      <c r="S1286">
        <v>16.763091157033799</v>
      </c>
      <c r="T1286">
        <v>-2.64185798032632</v>
      </c>
      <c r="U1286">
        <v>-3.96787032627878</v>
      </c>
      <c r="V1286">
        <v>1.6626640360336599E-2</v>
      </c>
      <c r="W1286">
        <v>0.12126363911433</v>
      </c>
      <c r="X1286">
        <v>-1</v>
      </c>
      <c r="Y1286">
        <v>0</v>
      </c>
    </row>
    <row r="1287" spans="1:25" x14ac:dyDescent="0.2">
      <c r="A1287" t="s">
        <v>4757</v>
      </c>
      <c r="B1287" t="s">
        <v>4758</v>
      </c>
      <c r="C1287" t="s">
        <v>4759</v>
      </c>
      <c r="D1287" t="s">
        <v>4760</v>
      </c>
      <c r="E1287" t="s">
        <v>4758</v>
      </c>
      <c r="F1287" t="s">
        <v>28</v>
      </c>
      <c r="G1287" t="s">
        <v>4758</v>
      </c>
      <c r="H1287" t="str">
        <f>"gpd-4"</f>
        <v>gpd-4</v>
      </c>
      <c r="I1287" t="s">
        <v>4760</v>
      </c>
      <c r="J1287">
        <v>18.243311542827001</v>
      </c>
      <c r="K1287">
        <v>18.514121231841798</v>
      </c>
      <c r="L1287">
        <v>18.832264364092602</v>
      </c>
      <c r="M1287">
        <v>18.595793568856202</v>
      </c>
      <c r="N1287">
        <v>16.797376455276801</v>
      </c>
      <c r="O1287">
        <v>16.6593704823599</v>
      </c>
      <c r="P1287">
        <v>-1.1790522107561601</v>
      </c>
      <c r="Q1287">
        <v>-2.0582861541252</v>
      </c>
      <c r="R1287">
        <v>-0.29981826738711898</v>
      </c>
      <c r="S1287">
        <v>18.056626073912302</v>
      </c>
      <c r="T1287">
        <v>-2.8185198913230498</v>
      </c>
      <c r="U1287">
        <v>-3.6121458922252798</v>
      </c>
      <c r="V1287">
        <v>1.1421241678520299E-2</v>
      </c>
      <c r="W1287">
        <v>9.5869860940106397E-2</v>
      </c>
      <c r="X1287">
        <v>-1</v>
      </c>
      <c r="Y1287">
        <v>0</v>
      </c>
    </row>
    <row r="1288" spans="1:25" x14ac:dyDescent="0.2">
      <c r="A1288" t="s">
        <v>4761</v>
      </c>
      <c r="B1288" t="s">
        <v>4762</v>
      </c>
      <c r="C1288" t="s">
        <v>4763</v>
      </c>
      <c r="D1288" t="s">
        <v>4764</v>
      </c>
      <c r="E1288" t="s">
        <v>4762</v>
      </c>
      <c r="F1288" t="s">
        <v>28</v>
      </c>
      <c r="G1288" t="s">
        <v>4762</v>
      </c>
      <c r="H1288" t="str">
        <f>"gpb-1"</f>
        <v>gpb-1</v>
      </c>
      <c r="I1288" t="s">
        <v>4764</v>
      </c>
      <c r="J1288">
        <v>12.207482241846501</v>
      </c>
      <c r="K1288">
        <v>12.626565485119301</v>
      </c>
      <c r="L1288">
        <v>12.4737656410885</v>
      </c>
      <c r="M1288">
        <v>12.278604462166101</v>
      </c>
      <c r="N1288">
        <v>11.308696748089799</v>
      </c>
      <c r="O1288">
        <v>13.203994381240401</v>
      </c>
      <c r="P1288">
        <v>-0.172172592186044</v>
      </c>
      <c r="Q1288">
        <v>-1.57252689324342</v>
      </c>
      <c r="R1288">
        <v>1.22818170887133</v>
      </c>
      <c r="S1288">
        <v>12.4234379584886</v>
      </c>
      <c r="T1288">
        <v>-0.25841552509675503</v>
      </c>
      <c r="U1288">
        <v>-7.0171558240241003</v>
      </c>
      <c r="V1288">
        <v>0.79903499750825302</v>
      </c>
      <c r="W1288">
        <v>0.91595165960416303</v>
      </c>
      <c r="X1288">
        <v>0</v>
      </c>
      <c r="Y1288">
        <v>0</v>
      </c>
    </row>
    <row r="1289" spans="1:25" x14ac:dyDescent="0.2">
      <c r="A1289" t="s">
        <v>4765</v>
      </c>
      <c r="B1289" t="s">
        <v>4766</v>
      </c>
      <c r="C1289" t="s">
        <v>4767</v>
      </c>
      <c r="D1289" t="s">
        <v>4768</v>
      </c>
      <c r="E1289" t="s">
        <v>4766</v>
      </c>
      <c r="F1289" t="s">
        <v>28</v>
      </c>
      <c r="G1289" t="s">
        <v>4766</v>
      </c>
      <c r="H1289" t="str">
        <f>"kin-3"</f>
        <v>kin-3</v>
      </c>
      <c r="I1289" t="s">
        <v>4768</v>
      </c>
      <c r="J1289" t="s">
        <v>29</v>
      </c>
      <c r="K1289">
        <v>12.1541404959495</v>
      </c>
      <c r="L1289">
        <v>12.4288008078495</v>
      </c>
      <c r="M1289" t="s">
        <v>29</v>
      </c>
      <c r="N1289" t="s">
        <v>29</v>
      </c>
      <c r="O1289">
        <v>12.383282303099801</v>
      </c>
      <c r="P1289">
        <v>9.1811651200350397E-2</v>
      </c>
      <c r="Q1289">
        <v>-0.82511109991323695</v>
      </c>
      <c r="R1289">
        <v>1.00873440231394</v>
      </c>
      <c r="S1289">
        <v>12.141977155189201</v>
      </c>
      <c r="T1289">
        <v>0.220644315252852</v>
      </c>
      <c r="U1289">
        <v>-6.6251082471271898</v>
      </c>
      <c r="V1289">
        <v>0.82944962709854997</v>
      </c>
      <c r="W1289">
        <v>0.931542394832789</v>
      </c>
      <c r="X1289">
        <v>0</v>
      </c>
      <c r="Y1289">
        <v>0</v>
      </c>
    </row>
    <row r="1290" spans="1:25" x14ac:dyDescent="0.2">
      <c r="A1290" t="s">
        <v>4769</v>
      </c>
      <c r="B1290" t="s">
        <v>4770</v>
      </c>
      <c r="C1290" t="s">
        <v>4771</v>
      </c>
      <c r="D1290" t="s">
        <v>4772</v>
      </c>
      <c r="E1290" t="s">
        <v>4770</v>
      </c>
      <c r="F1290" t="s">
        <v>28</v>
      </c>
      <c r="G1290" t="s">
        <v>4770</v>
      </c>
      <c r="H1290" t="str">
        <f>"col-8"</f>
        <v>col-8</v>
      </c>
      <c r="I1290" t="s">
        <v>4772</v>
      </c>
      <c r="J1290">
        <v>13.6817008529103</v>
      </c>
      <c r="K1290">
        <v>12.502716823227001</v>
      </c>
      <c r="L1290">
        <v>14.9352640918079</v>
      </c>
      <c r="M1290">
        <v>13.792951316091299</v>
      </c>
      <c r="N1290">
        <v>12.9603285234647</v>
      </c>
      <c r="O1290">
        <v>13.8767157330501</v>
      </c>
      <c r="P1290">
        <v>-0.163228731779714</v>
      </c>
      <c r="Q1290">
        <v>-1.4600064194529501</v>
      </c>
      <c r="R1290">
        <v>1.1335489558935199</v>
      </c>
      <c r="S1290">
        <v>14.501545844355499</v>
      </c>
      <c r="T1290">
        <v>-0.26455963946160499</v>
      </c>
      <c r="U1290">
        <v>-7.0154783500943703</v>
      </c>
      <c r="V1290">
        <v>0.79437176399646303</v>
      </c>
      <c r="W1290">
        <v>0.91517844850619501</v>
      </c>
      <c r="X1290">
        <v>0</v>
      </c>
      <c r="Y1290">
        <v>0</v>
      </c>
    </row>
    <row r="1291" spans="1:25" x14ac:dyDescent="0.2">
      <c r="A1291" t="s">
        <v>4773</v>
      </c>
      <c r="B1291" t="s">
        <v>4774</v>
      </c>
      <c r="C1291" t="s">
        <v>4775</v>
      </c>
      <c r="D1291" t="s">
        <v>4776</v>
      </c>
      <c r="E1291" t="s">
        <v>4774</v>
      </c>
      <c r="F1291" t="s">
        <v>28</v>
      </c>
      <c r="G1291" t="s">
        <v>4774</v>
      </c>
      <c r="H1291" t="str">
        <f>"col-19"</f>
        <v>col-19</v>
      </c>
      <c r="I1291" t="s">
        <v>4776</v>
      </c>
      <c r="J1291">
        <v>12.927436387994501</v>
      </c>
      <c r="K1291">
        <v>12.557886395746801</v>
      </c>
      <c r="L1291">
        <v>14.3621885290717</v>
      </c>
      <c r="M1291">
        <v>13.416148633187101</v>
      </c>
      <c r="N1291">
        <v>12.7760391918419</v>
      </c>
      <c r="O1291">
        <v>12.6853606029247</v>
      </c>
      <c r="P1291">
        <v>-0.32332096161974999</v>
      </c>
      <c r="Q1291">
        <v>-1.87887542824773</v>
      </c>
      <c r="R1291">
        <v>1.23223350500823</v>
      </c>
      <c r="S1291">
        <v>13.5155322575207</v>
      </c>
      <c r="T1291">
        <v>-0.43685886463240498</v>
      </c>
      <c r="U1291">
        <v>-6.9526045985008302</v>
      </c>
      <c r="V1291">
        <v>0.66743949322754303</v>
      </c>
      <c r="W1291">
        <v>0.85063296703903801</v>
      </c>
      <c r="X1291">
        <v>0</v>
      </c>
      <c r="Y1291">
        <v>0</v>
      </c>
    </row>
    <row r="1292" spans="1:25" x14ac:dyDescent="0.2">
      <c r="A1292" t="s">
        <v>4777</v>
      </c>
      <c r="B1292" t="s">
        <v>4778</v>
      </c>
      <c r="C1292" t="s">
        <v>4779</v>
      </c>
      <c r="D1292" t="s">
        <v>4780</v>
      </c>
      <c r="E1292" t="s">
        <v>4778</v>
      </c>
      <c r="F1292" t="s">
        <v>28</v>
      </c>
      <c r="G1292" t="s">
        <v>4778</v>
      </c>
      <c r="H1292" t="str">
        <f>"vit-4"</f>
        <v>vit-4</v>
      </c>
      <c r="I1292" t="s">
        <v>4780</v>
      </c>
      <c r="J1292">
        <v>18.524951784037299</v>
      </c>
      <c r="K1292">
        <v>18.287706001478899</v>
      </c>
      <c r="L1292">
        <v>18.918562354726902</v>
      </c>
      <c r="M1292">
        <v>18.026650658698401</v>
      </c>
      <c r="N1292">
        <v>18.917312603492899</v>
      </c>
      <c r="O1292">
        <v>18.251362806721399</v>
      </c>
      <c r="P1292">
        <v>-0.17863135711012401</v>
      </c>
      <c r="Q1292">
        <v>-0.63641616449821903</v>
      </c>
      <c r="R1292">
        <v>0.279153450277972</v>
      </c>
      <c r="S1292">
        <v>18.920140765993999</v>
      </c>
      <c r="T1292">
        <v>-0.82014158894386502</v>
      </c>
      <c r="U1292">
        <v>-6.7060951476978099</v>
      </c>
      <c r="V1292">
        <v>0.42292569292552401</v>
      </c>
      <c r="W1292">
        <v>0.69576731637321199</v>
      </c>
      <c r="X1292">
        <v>0</v>
      </c>
      <c r="Y1292">
        <v>0</v>
      </c>
    </row>
    <row r="1293" spans="1:25" x14ac:dyDescent="0.2">
      <c r="A1293" t="s">
        <v>4781</v>
      </c>
      <c r="B1293" t="s">
        <v>4782</v>
      </c>
      <c r="C1293" t="s">
        <v>4783</v>
      </c>
      <c r="D1293" t="s">
        <v>4784</v>
      </c>
      <c r="E1293" t="s">
        <v>4782</v>
      </c>
      <c r="F1293" t="s">
        <v>28</v>
      </c>
      <c r="G1293" t="s">
        <v>4782</v>
      </c>
      <c r="H1293" t="str">
        <f>"vit-6"</f>
        <v>vit-6</v>
      </c>
      <c r="I1293" t="s">
        <v>4784</v>
      </c>
      <c r="J1293">
        <v>19.857439546498899</v>
      </c>
      <c r="K1293">
        <v>19.4210650454771</v>
      </c>
      <c r="L1293">
        <v>19.7730148457951</v>
      </c>
      <c r="M1293">
        <v>19.175668145642899</v>
      </c>
      <c r="N1293">
        <v>19.575356675308299</v>
      </c>
      <c r="O1293">
        <v>19.284727786085799</v>
      </c>
      <c r="P1293">
        <v>-0.33858894357805303</v>
      </c>
      <c r="Q1293">
        <v>-0.68381537214330401</v>
      </c>
      <c r="R1293">
        <v>6.6374849871984097E-3</v>
      </c>
      <c r="S1293">
        <v>19.934286878883899</v>
      </c>
      <c r="T1293">
        <v>-2.0613951508945698</v>
      </c>
      <c r="U1293">
        <v>-5.0556521330912201</v>
      </c>
      <c r="V1293">
        <v>5.40999195595986E-2</v>
      </c>
      <c r="W1293">
        <v>0.23316707052574001</v>
      </c>
      <c r="X1293">
        <v>0</v>
      </c>
      <c r="Y1293">
        <v>0</v>
      </c>
    </row>
    <row r="1294" spans="1:25" x14ac:dyDescent="0.2">
      <c r="A1294" t="s">
        <v>4785</v>
      </c>
      <c r="B1294" t="s">
        <v>4786</v>
      </c>
      <c r="C1294" t="s">
        <v>4787</v>
      </c>
      <c r="D1294" t="s">
        <v>4788</v>
      </c>
      <c r="E1294" t="s">
        <v>4786</v>
      </c>
      <c r="F1294" t="s">
        <v>28</v>
      </c>
      <c r="G1294" t="s">
        <v>4786</v>
      </c>
      <c r="H1294" t="str">
        <f>"mlc-1"</f>
        <v>mlc-1</v>
      </c>
      <c r="I1294" t="s">
        <v>4788</v>
      </c>
      <c r="J1294">
        <v>17.376446753771699</v>
      </c>
      <c r="K1294">
        <v>16.8203628639356</v>
      </c>
      <c r="L1294">
        <v>17.033566541389401</v>
      </c>
      <c r="M1294">
        <v>17.0913033166056</v>
      </c>
      <c r="N1294">
        <v>16.906320308051001</v>
      </c>
      <c r="O1294">
        <v>16.785994363873598</v>
      </c>
      <c r="P1294">
        <v>-0.148919390188826</v>
      </c>
      <c r="Q1294">
        <v>-0.57214042761581296</v>
      </c>
      <c r="R1294">
        <v>0.27430164723816097</v>
      </c>
      <c r="S1294">
        <v>16.649507355605198</v>
      </c>
      <c r="T1294">
        <v>-0.73956528087820195</v>
      </c>
      <c r="U1294">
        <v>-6.7697710252878602</v>
      </c>
      <c r="V1294">
        <v>0.46915531263459098</v>
      </c>
      <c r="W1294">
        <v>0.73153117908080401</v>
      </c>
      <c r="X1294">
        <v>0</v>
      </c>
      <c r="Y1294">
        <v>0</v>
      </c>
    </row>
    <row r="1295" spans="1:25" x14ac:dyDescent="0.2">
      <c r="A1295" t="s">
        <v>4789</v>
      </c>
      <c r="B1295" t="s">
        <v>4790</v>
      </c>
      <c r="C1295" t="s">
        <v>4791</v>
      </c>
      <c r="D1295" t="s">
        <v>4792</v>
      </c>
      <c r="E1295" t="s">
        <v>4790</v>
      </c>
      <c r="F1295" t="s">
        <v>28</v>
      </c>
      <c r="G1295" t="s">
        <v>4790</v>
      </c>
      <c r="H1295" t="str">
        <f>"mlc-2"</f>
        <v>mlc-2</v>
      </c>
      <c r="I1295" t="s">
        <v>4792</v>
      </c>
      <c r="J1295" t="s">
        <v>29</v>
      </c>
      <c r="K1295">
        <v>11.259293130755401</v>
      </c>
      <c r="L1295">
        <v>11.700913837502901</v>
      </c>
      <c r="M1295">
        <v>10.513421562054299</v>
      </c>
      <c r="N1295">
        <v>12.375072221758799</v>
      </c>
      <c r="O1295" t="s">
        <v>29</v>
      </c>
      <c r="P1295">
        <v>-3.5856592222568699E-2</v>
      </c>
      <c r="Q1295">
        <v>-1.5380668390440699</v>
      </c>
      <c r="R1295">
        <v>1.46635365459893</v>
      </c>
      <c r="S1295">
        <v>11.7573296541284</v>
      </c>
      <c r="T1295">
        <v>-5.12306876154262E-2</v>
      </c>
      <c r="U1295">
        <v>-6.8497952501522796</v>
      </c>
      <c r="V1295">
        <v>0.95987088992523895</v>
      </c>
      <c r="W1295">
        <v>0.97871851041719604</v>
      </c>
      <c r="X1295">
        <v>0</v>
      </c>
      <c r="Y1295">
        <v>0</v>
      </c>
    </row>
    <row r="1296" spans="1:25" x14ac:dyDescent="0.2">
      <c r="A1296" t="s">
        <v>4793</v>
      </c>
      <c r="B1296" t="s">
        <v>4794</v>
      </c>
      <c r="C1296" t="s">
        <v>4795</v>
      </c>
      <c r="D1296" t="s">
        <v>4796</v>
      </c>
      <c r="E1296" t="s">
        <v>4794</v>
      </c>
      <c r="F1296" t="s">
        <v>28</v>
      </c>
      <c r="G1296" t="s">
        <v>4794</v>
      </c>
      <c r="H1296" t="str">
        <f>"deb-1"</f>
        <v>deb-1</v>
      </c>
      <c r="I1296" t="s">
        <v>4796</v>
      </c>
      <c r="J1296">
        <v>11.2059148503439</v>
      </c>
      <c r="K1296">
        <v>11.9431731353147</v>
      </c>
      <c r="L1296">
        <v>11.845601764268601</v>
      </c>
      <c r="M1296">
        <v>13.8321342088189</v>
      </c>
      <c r="N1296">
        <v>13.170353325236601</v>
      </c>
      <c r="O1296">
        <v>13.4444976044106</v>
      </c>
      <c r="P1296">
        <v>1.81743179617961</v>
      </c>
      <c r="Q1296">
        <v>1.27710913341721</v>
      </c>
      <c r="R1296">
        <v>2.3577544589420198</v>
      </c>
      <c r="S1296">
        <v>12.926257698993201</v>
      </c>
      <c r="T1296">
        <v>7.0696424774939501</v>
      </c>
      <c r="U1296">
        <v>5.35100173575937</v>
      </c>
      <c r="V1296" s="2">
        <v>1.4061657796948599E-6</v>
      </c>
      <c r="W1296" s="2">
        <v>8.0274797318018802E-5</v>
      </c>
      <c r="X1296">
        <v>1</v>
      </c>
      <c r="Y1296">
        <v>1</v>
      </c>
    </row>
    <row r="1297" spans="1:25" x14ac:dyDescent="0.2">
      <c r="A1297" t="s">
        <v>4797</v>
      </c>
      <c r="B1297" t="s">
        <v>4798</v>
      </c>
      <c r="C1297" t="s">
        <v>4799</v>
      </c>
      <c r="D1297" t="s">
        <v>4800</v>
      </c>
      <c r="E1297" t="s">
        <v>4798</v>
      </c>
      <c r="F1297" t="s">
        <v>28</v>
      </c>
      <c r="G1297" t="s">
        <v>4798</v>
      </c>
      <c r="H1297" t="str">
        <f>"cyc-2.1"</f>
        <v>cyc-2.1</v>
      </c>
      <c r="I1297" t="s">
        <v>4800</v>
      </c>
      <c r="J1297">
        <v>12.6641053176995</v>
      </c>
      <c r="K1297">
        <v>11.9699593555221</v>
      </c>
      <c r="L1297">
        <v>11.1249161580023</v>
      </c>
      <c r="M1297">
        <v>12.569308444583401</v>
      </c>
      <c r="N1297">
        <v>12.117662630331001</v>
      </c>
      <c r="O1297">
        <v>13.5974765766684</v>
      </c>
      <c r="P1297">
        <v>0.84182227345295002</v>
      </c>
      <c r="Q1297">
        <v>3.5060891219859197E-2</v>
      </c>
      <c r="R1297">
        <v>1.64858365568604</v>
      </c>
      <c r="S1297">
        <v>12.0557077246542</v>
      </c>
      <c r="T1297">
        <v>2.2025477079792699</v>
      </c>
      <c r="U1297">
        <v>-4.8123865090020397</v>
      </c>
      <c r="V1297">
        <v>4.18062879664515E-2</v>
      </c>
      <c r="W1297">
        <v>0.20243699559945399</v>
      </c>
      <c r="X1297">
        <v>0</v>
      </c>
      <c r="Y1297">
        <v>0</v>
      </c>
    </row>
    <row r="1298" spans="1:25" x14ac:dyDescent="0.2">
      <c r="A1298" t="s">
        <v>4801</v>
      </c>
      <c r="B1298" t="s">
        <v>4802</v>
      </c>
      <c r="C1298" t="s">
        <v>4803</v>
      </c>
      <c r="D1298" t="s">
        <v>4804</v>
      </c>
      <c r="E1298" t="s">
        <v>4802</v>
      </c>
      <c r="F1298" t="s">
        <v>28</v>
      </c>
      <c r="G1298" t="s">
        <v>4802</v>
      </c>
      <c r="H1298" t="str">
        <f>"hsp-4"</f>
        <v>hsp-4</v>
      </c>
      <c r="I1298" t="s">
        <v>4804</v>
      </c>
      <c r="J1298">
        <v>16.9244999388516</v>
      </c>
      <c r="K1298">
        <v>16.707703171389401</v>
      </c>
      <c r="L1298">
        <v>16.932607762060702</v>
      </c>
      <c r="M1298">
        <v>16.427841921286699</v>
      </c>
      <c r="N1298">
        <v>16.722886121424001</v>
      </c>
      <c r="O1298">
        <v>16.721434347182001</v>
      </c>
      <c r="P1298">
        <v>-0.230882827469646</v>
      </c>
      <c r="Q1298">
        <v>-0.57805121292310502</v>
      </c>
      <c r="R1298">
        <v>0.116285557983813</v>
      </c>
      <c r="S1298">
        <v>16.717706105157099</v>
      </c>
      <c r="T1298">
        <v>-1.3977965870698901</v>
      </c>
      <c r="U1298">
        <v>-6.0806707456307203</v>
      </c>
      <c r="V1298">
        <v>0.17926225846983099</v>
      </c>
      <c r="W1298">
        <v>0.44190862807638798</v>
      </c>
      <c r="X1298">
        <v>0</v>
      </c>
      <c r="Y1298">
        <v>0</v>
      </c>
    </row>
    <row r="1299" spans="1:25" x14ac:dyDescent="0.2">
      <c r="A1299" t="s">
        <v>4805</v>
      </c>
      <c r="B1299" t="s">
        <v>4806</v>
      </c>
      <c r="C1299" t="s">
        <v>4807</v>
      </c>
      <c r="D1299" t="s">
        <v>4808</v>
      </c>
      <c r="E1299" t="s">
        <v>4806</v>
      </c>
      <c r="F1299" t="s">
        <v>28</v>
      </c>
      <c r="G1299" t="s">
        <v>4806</v>
      </c>
      <c r="H1299" t="str">
        <f>"kin-1"</f>
        <v>kin-1</v>
      </c>
      <c r="I1299" t="s">
        <v>4808</v>
      </c>
      <c r="J1299">
        <v>16.239409452958</v>
      </c>
      <c r="K1299">
        <v>16.056015655501099</v>
      </c>
      <c r="L1299">
        <v>15.886426808866601</v>
      </c>
      <c r="M1299">
        <v>16.327358682782801</v>
      </c>
      <c r="N1299">
        <v>16.151948074355701</v>
      </c>
      <c r="O1299">
        <v>15.891759546930899</v>
      </c>
      <c r="P1299">
        <v>6.3071462247886997E-2</v>
      </c>
      <c r="Q1299">
        <v>-0.36744354828562598</v>
      </c>
      <c r="R1299">
        <v>0.4935864727814</v>
      </c>
      <c r="S1299">
        <v>15.4052845792057</v>
      </c>
      <c r="T1299">
        <v>0.30791944448050901</v>
      </c>
      <c r="U1299">
        <v>-7.0025297992816196</v>
      </c>
      <c r="V1299">
        <v>0.76169883591930598</v>
      </c>
      <c r="W1299">
        <v>0.89933527288875903</v>
      </c>
      <c r="X1299">
        <v>0</v>
      </c>
      <c r="Y1299">
        <v>0</v>
      </c>
    </row>
    <row r="1300" spans="1:25" x14ac:dyDescent="0.2">
      <c r="A1300" t="s">
        <v>4809</v>
      </c>
      <c r="B1300" t="s">
        <v>4810</v>
      </c>
      <c r="C1300" t="s">
        <v>4811</v>
      </c>
      <c r="D1300" t="s">
        <v>4812</v>
      </c>
      <c r="E1300" t="s">
        <v>4810</v>
      </c>
      <c r="F1300" t="s">
        <v>28</v>
      </c>
      <c r="G1300" t="s">
        <v>4810</v>
      </c>
      <c r="H1300" t="str">
        <f>"unc-104"</f>
        <v>unc-104</v>
      </c>
      <c r="I1300" t="s">
        <v>4812</v>
      </c>
      <c r="J1300">
        <v>13.0628469406143</v>
      </c>
      <c r="K1300">
        <v>13.004544929728601</v>
      </c>
      <c r="L1300">
        <v>12.7826440232382</v>
      </c>
      <c r="M1300">
        <v>12.9959110498844</v>
      </c>
      <c r="N1300">
        <v>13.3823656135802</v>
      </c>
      <c r="O1300">
        <v>12.7199962178532</v>
      </c>
      <c r="P1300">
        <v>8.2745662578915399E-2</v>
      </c>
      <c r="Q1300">
        <v>-0.44253704027431701</v>
      </c>
      <c r="R1300">
        <v>0.608028365432147</v>
      </c>
      <c r="S1300">
        <v>12.3956013411048</v>
      </c>
      <c r="T1300">
        <v>0.331088922887745</v>
      </c>
      <c r="U1300">
        <v>-6.9948151702237498</v>
      </c>
      <c r="V1300">
        <v>0.74442280409935002</v>
      </c>
      <c r="W1300">
        <v>0.89231912169953898</v>
      </c>
      <c r="X1300">
        <v>0</v>
      </c>
      <c r="Y1300">
        <v>0</v>
      </c>
    </row>
    <row r="1301" spans="1:25" x14ac:dyDescent="0.2">
      <c r="A1301" t="s">
        <v>4813</v>
      </c>
      <c r="B1301" t="s">
        <v>4814</v>
      </c>
      <c r="C1301" t="s">
        <v>4815</v>
      </c>
      <c r="D1301" t="s">
        <v>4816</v>
      </c>
      <c r="E1301" t="s">
        <v>4814</v>
      </c>
      <c r="F1301" t="s">
        <v>28</v>
      </c>
      <c r="G1301" t="s">
        <v>4814</v>
      </c>
      <c r="H1301" t="str">
        <f>"sdc-1"</f>
        <v>sdc-1</v>
      </c>
      <c r="I1301" t="s">
        <v>4816</v>
      </c>
      <c r="J1301" t="s">
        <v>29</v>
      </c>
      <c r="K1301">
        <v>12.359080727867701</v>
      </c>
      <c r="L1301" t="s">
        <v>29</v>
      </c>
      <c r="M1301">
        <v>10.802670147120301</v>
      </c>
      <c r="N1301" t="s">
        <v>29</v>
      </c>
      <c r="O1301" t="s">
        <v>29</v>
      </c>
      <c r="P1301">
        <v>-1.55641058074738</v>
      </c>
      <c r="Q1301">
        <v>-2.6594873004081898</v>
      </c>
      <c r="R1301">
        <v>-0.45333386108656998</v>
      </c>
      <c r="S1301">
        <v>11.8587944654846</v>
      </c>
      <c r="T1301">
        <v>-3.1483669594485901</v>
      </c>
      <c r="U1301">
        <v>-2.8466204390535901</v>
      </c>
      <c r="V1301">
        <v>1.04926120796771E-2</v>
      </c>
      <c r="W1301">
        <v>9.1207877585838204E-2</v>
      </c>
      <c r="X1301">
        <v>-1</v>
      </c>
      <c r="Y1301">
        <v>0</v>
      </c>
    </row>
    <row r="1302" spans="1:25" x14ac:dyDescent="0.2">
      <c r="A1302" t="s">
        <v>4817</v>
      </c>
      <c r="B1302" t="s">
        <v>4818</v>
      </c>
      <c r="C1302" t="s">
        <v>4819</v>
      </c>
      <c r="D1302" t="s">
        <v>4820</v>
      </c>
      <c r="E1302" t="s">
        <v>4818</v>
      </c>
      <c r="F1302" t="s">
        <v>28</v>
      </c>
      <c r="G1302" t="s">
        <v>4818</v>
      </c>
      <c r="H1302" t="str">
        <f>"ndfl-4"</f>
        <v>ndfl-4</v>
      </c>
      <c r="I1302" t="s">
        <v>4820</v>
      </c>
      <c r="J1302">
        <v>10.798124275160999</v>
      </c>
      <c r="K1302">
        <v>11.611913947323799</v>
      </c>
      <c r="L1302">
        <v>11.409835484614501</v>
      </c>
      <c r="M1302" t="s">
        <v>29</v>
      </c>
      <c r="N1302">
        <v>10.4107168008904</v>
      </c>
      <c r="O1302" t="s">
        <v>29</v>
      </c>
      <c r="P1302">
        <v>-0.86257443480942797</v>
      </c>
      <c r="Q1302">
        <v>-2.8146497814696301</v>
      </c>
      <c r="R1302">
        <v>1.0895009118507699</v>
      </c>
      <c r="S1302">
        <v>11.1582394437969</v>
      </c>
      <c r="T1302">
        <v>-0.97370566994904695</v>
      </c>
      <c r="U1302">
        <v>-6.2204432223429302</v>
      </c>
      <c r="V1302">
        <v>0.35132549124139201</v>
      </c>
      <c r="W1302">
        <v>0.63248168278831696</v>
      </c>
      <c r="X1302">
        <v>0</v>
      </c>
      <c r="Y1302">
        <v>0</v>
      </c>
    </row>
    <row r="1303" spans="1:25" x14ac:dyDescent="0.2">
      <c r="A1303" t="s">
        <v>4821</v>
      </c>
      <c r="B1303" t="s">
        <v>4822</v>
      </c>
      <c r="C1303" t="s">
        <v>4823</v>
      </c>
      <c r="D1303" t="s">
        <v>4824</v>
      </c>
      <c r="E1303" t="s">
        <v>4822</v>
      </c>
      <c r="F1303" t="s">
        <v>28</v>
      </c>
      <c r="G1303" t="s">
        <v>4822</v>
      </c>
      <c r="H1303" t="str">
        <f>"nduo-1"</f>
        <v>nduo-1</v>
      </c>
      <c r="I1303" t="s">
        <v>4824</v>
      </c>
      <c r="J1303">
        <v>15.865945686266199</v>
      </c>
      <c r="K1303">
        <v>15.879234574353299</v>
      </c>
      <c r="L1303">
        <v>15.6667567411553</v>
      </c>
      <c r="M1303">
        <v>15.549165926045101</v>
      </c>
      <c r="N1303">
        <v>15.6868474094258</v>
      </c>
      <c r="O1303">
        <v>14.6780569615972</v>
      </c>
      <c r="P1303">
        <v>-0.49928890156892303</v>
      </c>
      <c r="Q1303">
        <v>-1.0921958819194599</v>
      </c>
      <c r="R1303">
        <v>9.3618078781618805E-2</v>
      </c>
      <c r="S1303">
        <v>15.6561732192151</v>
      </c>
      <c r="T1303">
        <v>-1.76993722046322</v>
      </c>
      <c r="U1303">
        <v>-5.5401699379607399</v>
      </c>
      <c r="V1303">
        <v>9.37735857589716E-2</v>
      </c>
      <c r="W1303">
        <v>0.31555247989627</v>
      </c>
      <c r="X1303">
        <v>0</v>
      </c>
      <c r="Y1303">
        <v>0</v>
      </c>
    </row>
    <row r="1304" spans="1:25" x14ac:dyDescent="0.2">
      <c r="A1304" t="s">
        <v>4825</v>
      </c>
      <c r="B1304" t="s">
        <v>4826</v>
      </c>
      <c r="C1304" t="s">
        <v>4827</v>
      </c>
      <c r="D1304" t="s">
        <v>4828</v>
      </c>
      <c r="E1304" t="s">
        <v>4826</v>
      </c>
      <c r="F1304" t="s">
        <v>28</v>
      </c>
      <c r="G1304" t="s">
        <v>4826</v>
      </c>
      <c r="H1304" t="str">
        <f>"atp-6"</f>
        <v>atp-6</v>
      </c>
      <c r="I1304" t="s">
        <v>4828</v>
      </c>
      <c r="J1304">
        <v>14.950926207107701</v>
      </c>
      <c r="K1304">
        <v>14.5633999164936</v>
      </c>
      <c r="L1304">
        <v>14.8903874866121</v>
      </c>
      <c r="M1304">
        <v>14.611737988159501</v>
      </c>
      <c r="N1304">
        <v>13.871664196037299</v>
      </c>
      <c r="O1304">
        <v>13.6414311840555</v>
      </c>
      <c r="P1304">
        <v>-0.75996008065367304</v>
      </c>
      <c r="Q1304">
        <v>-1.4664305799792401</v>
      </c>
      <c r="R1304">
        <v>-5.3489581328109E-2</v>
      </c>
      <c r="S1304">
        <v>14.5264947388865</v>
      </c>
      <c r="T1304">
        <v>-2.26094116926045</v>
      </c>
      <c r="U1304">
        <v>-4.69800204269304</v>
      </c>
      <c r="V1304">
        <v>3.6463737938341699E-2</v>
      </c>
      <c r="W1304">
        <v>0.19047932039846399</v>
      </c>
      <c r="X1304">
        <v>0</v>
      </c>
      <c r="Y1304">
        <v>0</v>
      </c>
    </row>
    <row r="1305" spans="1:25" x14ac:dyDescent="0.2">
      <c r="A1305" t="s">
        <v>4829</v>
      </c>
      <c r="B1305" t="s">
        <v>4830</v>
      </c>
      <c r="C1305" t="s">
        <v>4831</v>
      </c>
      <c r="D1305" t="s">
        <v>4832</v>
      </c>
      <c r="E1305" t="s">
        <v>4830</v>
      </c>
      <c r="F1305" t="s">
        <v>28</v>
      </c>
      <c r="G1305" t="s">
        <v>4830</v>
      </c>
      <c r="H1305" t="str">
        <f>"nduo-2"</f>
        <v>nduo-2</v>
      </c>
      <c r="I1305" t="s">
        <v>4832</v>
      </c>
      <c r="J1305">
        <v>9.5186081243220002</v>
      </c>
      <c r="K1305" t="s">
        <v>29</v>
      </c>
      <c r="L1305">
        <v>10.5845313361054</v>
      </c>
      <c r="M1305" t="s">
        <v>29</v>
      </c>
      <c r="N1305" t="s">
        <v>29</v>
      </c>
      <c r="O1305" t="s">
        <v>29</v>
      </c>
      <c r="P1305" t="s">
        <v>29</v>
      </c>
      <c r="Q1305" t="s">
        <v>29</v>
      </c>
      <c r="R1305" t="s">
        <v>29</v>
      </c>
      <c r="S1305">
        <v>11.1472498476022</v>
      </c>
      <c r="T1305" t="s">
        <v>29</v>
      </c>
      <c r="U1305" t="s">
        <v>29</v>
      </c>
      <c r="V1305" t="s">
        <v>29</v>
      </c>
      <c r="W1305" t="s">
        <v>29</v>
      </c>
      <c r="X1305" t="s">
        <v>29</v>
      </c>
      <c r="Y1305" t="s">
        <v>29</v>
      </c>
    </row>
    <row r="1306" spans="1:25" x14ac:dyDescent="0.2">
      <c r="A1306" t="s">
        <v>4833</v>
      </c>
      <c r="B1306" t="s">
        <v>4834</v>
      </c>
      <c r="C1306" t="s">
        <v>4835</v>
      </c>
      <c r="D1306" t="s">
        <v>4836</v>
      </c>
      <c r="E1306" t="s">
        <v>4834</v>
      </c>
      <c r="F1306" t="s">
        <v>28</v>
      </c>
      <c r="G1306" t="s">
        <v>4834</v>
      </c>
      <c r="H1306" t="str">
        <f>"ctb-1"</f>
        <v>ctb-1</v>
      </c>
      <c r="I1306" t="s">
        <v>4836</v>
      </c>
      <c r="J1306">
        <v>14.7780337153918</v>
      </c>
      <c r="K1306">
        <v>15.0354585239348</v>
      </c>
      <c r="L1306">
        <v>14.5603174212612</v>
      </c>
      <c r="M1306">
        <v>13.586503255686701</v>
      </c>
      <c r="N1306">
        <v>13.472405345899499</v>
      </c>
      <c r="O1306">
        <v>13.2024222072722</v>
      </c>
      <c r="P1306">
        <v>-1.37082628390981</v>
      </c>
      <c r="Q1306">
        <v>-2.3860910208649302</v>
      </c>
      <c r="R1306">
        <v>-0.35556154695467601</v>
      </c>
      <c r="S1306">
        <v>14.4368648165455</v>
      </c>
      <c r="T1306">
        <v>-2.8378904980423201</v>
      </c>
      <c r="U1306">
        <v>-3.57259271145969</v>
      </c>
      <c r="V1306">
        <v>1.09566516134144E-2</v>
      </c>
      <c r="W1306">
        <v>9.2949207173924006E-2</v>
      </c>
      <c r="X1306">
        <v>-1</v>
      </c>
      <c r="Y1306">
        <v>0</v>
      </c>
    </row>
    <row r="1307" spans="1:25" x14ac:dyDescent="0.2">
      <c r="A1307" t="s">
        <v>4837</v>
      </c>
      <c r="B1307" t="s">
        <v>4838</v>
      </c>
      <c r="C1307" t="s">
        <v>4839</v>
      </c>
      <c r="D1307" t="s">
        <v>4840</v>
      </c>
      <c r="E1307" t="s">
        <v>4838</v>
      </c>
      <c r="F1307" t="s">
        <v>28</v>
      </c>
      <c r="G1307" t="s">
        <v>4838</v>
      </c>
      <c r="H1307" t="str">
        <f>"ctc-3"</f>
        <v>ctc-3</v>
      </c>
      <c r="I1307" t="s">
        <v>4840</v>
      </c>
      <c r="J1307" t="s">
        <v>29</v>
      </c>
      <c r="K1307">
        <v>10.353603257183799</v>
      </c>
      <c r="L1307" t="s">
        <v>29</v>
      </c>
      <c r="M1307" t="s">
        <v>29</v>
      </c>
      <c r="N1307" t="s">
        <v>29</v>
      </c>
      <c r="O1307">
        <v>11.91368488903</v>
      </c>
      <c r="P1307">
        <v>1.5600816318462301</v>
      </c>
      <c r="Q1307">
        <v>-0.86194655643498597</v>
      </c>
      <c r="R1307">
        <v>3.9821098201274401</v>
      </c>
      <c r="S1307">
        <v>13.445308579238</v>
      </c>
      <c r="T1307">
        <v>1.40479561452643</v>
      </c>
      <c r="U1307">
        <v>-5.5435724953152397</v>
      </c>
      <c r="V1307">
        <v>0.18565444992045199</v>
      </c>
      <c r="W1307">
        <v>0.44949373514966601</v>
      </c>
      <c r="X1307">
        <v>0</v>
      </c>
      <c r="Y1307">
        <v>0</v>
      </c>
    </row>
    <row r="1308" spans="1:25" x14ac:dyDescent="0.2">
      <c r="A1308" t="s">
        <v>4841</v>
      </c>
      <c r="B1308" t="s">
        <v>4842</v>
      </c>
      <c r="C1308" t="s">
        <v>4843</v>
      </c>
      <c r="D1308" t="s">
        <v>4844</v>
      </c>
      <c r="E1308" t="s">
        <v>4842</v>
      </c>
      <c r="F1308" t="s">
        <v>28</v>
      </c>
      <c r="G1308" t="s">
        <v>4842</v>
      </c>
      <c r="H1308" t="str">
        <f>"nduo-4"</f>
        <v>nduo-4</v>
      </c>
      <c r="I1308" t="s">
        <v>4844</v>
      </c>
      <c r="J1308">
        <v>12.4254258698158</v>
      </c>
      <c r="K1308">
        <v>12.667689437775399</v>
      </c>
      <c r="L1308">
        <v>12.3988809340189</v>
      </c>
      <c r="M1308">
        <v>11.192884693884199</v>
      </c>
      <c r="N1308">
        <v>12.471534468459099</v>
      </c>
      <c r="O1308">
        <v>11.8637881731053</v>
      </c>
      <c r="P1308">
        <v>-0.65459630205383101</v>
      </c>
      <c r="Q1308">
        <v>-1.2484508210788501</v>
      </c>
      <c r="R1308">
        <v>-6.0741783028809698E-2</v>
      </c>
      <c r="S1308">
        <v>12.9844057947072</v>
      </c>
      <c r="T1308">
        <v>-2.3379919512234899</v>
      </c>
      <c r="U1308">
        <v>-4.5765485588908001</v>
      </c>
      <c r="V1308">
        <v>3.2796831617862302E-2</v>
      </c>
      <c r="W1308">
        <v>0.17846302689719701</v>
      </c>
      <c r="X1308">
        <v>0</v>
      </c>
      <c r="Y1308">
        <v>0</v>
      </c>
    </row>
    <row r="1309" spans="1:25" x14ac:dyDescent="0.2">
      <c r="A1309" t="s">
        <v>4845</v>
      </c>
      <c r="B1309" t="s">
        <v>4846</v>
      </c>
      <c r="C1309" t="s">
        <v>4847</v>
      </c>
      <c r="D1309" t="s">
        <v>4848</v>
      </c>
      <c r="E1309" t="s">
        <v>4846</v>
      </c>
      <c r="F1309" t="s">
        <v>28</v>
      </c>
      <c r="G1309" t="s">
        <v>4846</v>
      </c>
      <c r="H1309" t="str">
        <f>"ctc-1"</f>
        <v>ctc-1</v>
      </c>
      <c r="I1309" t="s">
        <v>4848</v>
      </c>
      <c r="J1309">
        <v>11.892535728121301</v>
      </c>
      <c r="K1309" t="s">
        <v>29</v>
      </c>
      <c r="L1309" t="s">
        <v>29</v>
      </c>
      <c r="M1309">
        <v>11.7234668906937</v>
      </c>
      <c r="N1309" t="s">
        <v>29</v>
      </c>
      <c r="O1309">
        <v>11.619526588888199</v>
      </c>
      <c r="P1309">
        <v>-0.22103898833032601</v>
      </c>
      <c r="Q1309">
        <v>-1.5646444057149</v>
      </c>
      <c r="R1309">
        <v>1.1225664290542501</v>
      </c>
      <c r="S1309">
        <v>12.0338581501946</v>
      </c>
      <c r="T1309">
        <v>-0.358791503870658</v>
      </c>
      <c r="U1309">
        <v>-6.58293052029242</v>
      </c>
      <c r="V1309">
        <v>0.72603861100318301</v>
      </c>
      <c r="W1309">
        <v>0.881330909506157</v>
      </c>
      <c r="X1309">
        <v>0</v>
      </c>
      <c r="Y1309">
        <v>0</v>
      </c>
    </row>
    <row r="1310" spans="1:25" x14ac:dyDescent="0.2">
      <c r="A1310" t="s">
        <v>4849</v>
      </c>
      <c r="B1310" t="s">
        <v>4850</v>
      </c>
      <c r="C1310" t="s">
        <v>4851</v>
      </c>
      <c r="D1310" t="s">
        <v>4852</v>
      </c>
      <c r="E1310" t="s">
        <v>4850</v>
      </c>
      <c r="F1310" t="s">
        <v>28</v>
      </c>
      <c r="G1310" t="s">
        <v>4850</v>
      </c>
      <c r="H1310" t="str">
        <f>"ctc-2"</f>
        <v>ctc-2</v>
      </c>
      <c r="I1310" t="s">
        <v>4852</v>
      </c>
      <c r="J1310">
        <v>16.297654768060799</v>
      </c>
      <c r="K1310">
        <v>16.262992149885498</v>
      </c>
      <c r="L1310">
        <v>16.3835626836991</v>
      </c>
      <c r="M1310">
        <v>16.665065622191701</v>
      </c>
      <c r="N1310">
        <v>15.734986480545199</v>
      </c>
      <c r="O1310">
        <v>16.727340215260401</v>
      </c>
      <c r="P1310">
        <v>6.1060905450659703E-2</v>
      </c>
      <c r="Q1310">
        <v>-0.45652729810902698</v>
      </c>
      <c r="R1310">
        <v>0.57864910901034605</v>
      </c>
      <c r="S1310">
        <v>16.326131310255398</v>
      </c>
      <c r="T1310">
        <v>0.24795415114573099</v>
      </c>
      <c r="U1310">
        <v>-7.0199219725176398</v>
      </c>
      <c r="V1310">
        <v>0.80699276936466102</v>
      </c>
      <c r="W1310">
        <v>0.91833642628581302</v>
      </c>
      <c r="X1310">
        <v>0</v>
      </c>
      <c r="Y1310">
        <v>0</v>
      </c>
    </row>
    <row r="1311" spans="1:25" x14ac:dyDescent="0.2">
      <c r="A1311" t="s">
        <v>4853</v>
      </c>
      <c r="B1311" t="s">
        <v>4854</v>
      </c>
      <c r="C1311" t="s">
        <v>4855</v>
      </c>
      <c r="D1311" t="s">
        <v>4856</v>
      </c>
      <c r="E1311" t="s">
        <v>4854</v>
      </c>
      <c r="F1311" t="s">
        <v>28</v>
      </c>
      <c r="G1311" t="s">
        <v>4854</v>
      </c>
      <c r="H1311" t="str">
        <f>"nduo-5"</f>
        <v>nduo-5</v>
      </c>
      <c r="I1311" t="s">
        <v>4856</v>
      </c>
      <c r="J1311">
        <v>13.721570411000799</v>
      </c>
      <c r="K1311">
        <v>13.518490569165699</v>
      </c>
      <c r="L1311">
        <v>13.804402359068501</v>
      </c>
      <c r="M1311">
        <v>13.174161851296001</v>
      </c>
      <c r="N1311">
        <v>12.4569240067091</v>
      </c>
      <c r="O1311">
        <v>13.150446076594701</v>
      </c>
      <c r="P1311">
        <v>-0.75431046821173098</v>
      </c>
      <c r="Q1311">
        <v>-1.3517969085880699</v>
      </c>
      <c r="R1311">
        <v>-0.15682402783538901</v>
      </c>
      <c r="S1311">
        <v>13.7354612303215</v>
      </c>
      <c r="T1311">
        <v>-2.6534725199659999</v>
      </c>
      <c r="U1311">
        <v>-3.9447776351850798</v>
      </c>
      <c r="V1311">
        <v>1.6224265790567599E-2</v>
      </c>
      <c r="W1311">
        <v>0.119985820187516</v>
      </c>
      <c r="X1311">
        <v>0</v>
      </c>
      <c r="Y1311">
        <v>0</v>
      </c>
    </row>
    <row r="1312" spans="1:25" x14ac:dyDescent="0.2">
      <c r="A1312" t="s">
        <v>4857</v>
      </c>
      <c r="B1312" t="s">
        <v>4858</v>
      </c>
      <c r="C1312" t="s">
        <v>4859</v>
      </c>
      <c r="D1312" t="s">
        <v>4860</v>
      </c>
      <c r="E1312" t="s">
        <v>4858</v>
      </c>
      <c r="F1312" t="s">
        <v>28</v>
      </c>
      <c r="G1312" t="s">
        <v>4858</v>
      </c>
      <c r="H1312" t="str">
        <f>"hsp-3"</f>
        <v>hsp-3</v>
      </c>
      <c r="I1312" t="s">
        <v>4860</v>
      </c>
      <c r="J1312">
        <v>16.133451024231501</v>
      </c>
      <c r="K1312">
        <v>15.9388307401488</v>
      </c>
      <c r="L1312">
        <v>15.851751628938199</v>
      </c>
      <c r="M1312">
        <v>15.8174169372554</v>
      </c>
      <c r="N1312">
        <v>15.7330810794023</v>
      </c>
      <c r="O1312">
        <v>15.9830077087794</v>
      </c>
      <c r="P1312">
        <v>-0.13017588929378299</v>
      </c>
      <c r="Q1312">
        <v>-0.61063672955400805</v>
      </c>
      <c r="R1312">
        <v>0.35028495096644202</v>
      </c>
      <c r="S1312">
        <v>15.797025600044501</v>
      </c>
      <c r="T1312">
        <v>-0.56946242070138198</v>
      </c>
      <c r="U1312">
        <v>-6.8836718381504696</v>
      </c>
      <c r="V1312">
        <v>0.57612160823271796</v>
      </c>
      <c r="W1312">
        <v>0.79638900305406302</v>
      </c>
      <c r="X1312">
        <v>0</v>
      </c>
      <c r="Y1312">
        <v>0</v>
      </c>
    </row>
    <row r="1313" spans="1:25" x14ac:dyDescent="0.2">
      <c r="A1313" t="s">
        <v>4861</v>
      </c>
      <c r="B1313" t="s">
        <v>4862</v>
      </c>
      <c r="C1313" t="s">
        <v>4863</v>
      </c>
      <c r="D1313" t="s">
        <v>4864</v>
      </c>
      <c r="E1313" t="s">
        <v>4862</v>
      </c>
      <c r="F1313" t="s">
        <v>28</v>
      </c>
      <c r="G1313" t="s">
        <v>4862</v>
      </c>
      <c r="H1313" t="str">
        <f>"ahcy-1"</f>
        <v>ahcy-1</v>
      </c>
      <c r="I1313" t="s">
        <v>4864</v>
      </c>
      <c r="J1313">
        <v>18.2206125993509</v>
      </c>
      <c r="K1313">
        <v>16.914521018867902</v>
      </c>
      <c r="L1313">
        <v>17.521042093510101</v>
      </c>
      <c r="M1313">
        <v>17.332469826502699</v>
      </c>
      <c r="N1313">
        <v>16.641624653049899</v>
      </c>
      <c r="O1313">
        <v>18.298497875404099</v>
      </c>
      <c r="P1313">
        <v>-0.127861118924123</v>
      </c>
      <c r="Q1313">
        <v>-1.2027983309946999</v>
      </c>
      <c r="R1313">
        <v>0.94707609314645103</v>
      </c>
      <c r="S1313">
        <v>17.857569739832801</v>
      </c>
      <c r="T1313">
        <v>-0.25000455204108402</v>
      </c>
      <c r="U1313">
        <v>-7.0193887563979196</v>
      </c>
      <c r="V1313">
        <v>0.805431327203877</v>
      </c>
      <c r="W1313">
        <v>0.91831588602712499</v>
      </c>
      <c r="X1313">
        <v>0</v>
      </c>
      <c r="Y1313">
        <v>0</v>
      </c>
    </row>
    <row r="1314" spans="1:25" x14ac:dyDescent="0.2">
      <c r="A1314" t="s">
        <v>4865</v>
      </c>
      <c r="B1314" t="s">
        <v>4866</v>
      </c>
      <c r="C1314" t="s">
        <v>4867</v>
      </c>
      <c r="D1314" t="s">
        <v>4868</v>
      </c>
      <c r="E1314" t="s">
        <v>4866</v>
      </c>
      <c r="F1314" t="s">
        <v>28</v>
      </c>
      <c r="G1314" t="s">
        <v>4866</v>
      </c>
      <c r="H1314" t="str">
        <f>"inf-1"</f>
        <v>inf-1</v>
      </c>
      <c r="I1314" t="s">
        <v>4868</v>
      </c>
      <c r="J1314">
        <v>19.6940119549059</v>
      </c>
      <c r="K1314">
        <v>19.604775172852701</v>
      </c>
      <c r="L1314">
        <v>19.682775012786301</v>
      </c>
      <c r="M1314">
        <v>19.524821156793699</v>
      </c>
      <c r="N1314">
        <v>19.851629619507101</v>
      </c>
      <c r="O1314">
        <v>19.710807082084401</v>
      </c>
      <c r="P1314">
        <v>3.5231905946762503E-2</v>
      </c>
      <c r="Q1314">
        <v>-0.31371339130898401</v>
      </c>
      <c r="R1314">
        <v>0.38417720320250898</v>
      </c>
      <c r="S1314">
        <v>19.5779873695097</v>
      </c>
      <c r="T1314">
        <v>0.212212665993567</v>
      </c>
      <c r="U1314">
        <v>-7.0285155090070299</v>
      </c>
      <c r="V1314">
        <v>0.83433952722073601</v>
      </c>
      <c r="W1314">
        <v>0.93264885660469699</v>
      </c>
      <c r="X1314">
        <v>0</v>
      </c>
      <c r="Y1314">
        <v>0</v>
      </c>
    </row>
    <row r="1315" spans="1:25" x14ac:dyDescent="0.2">
      <c r="A1315" t="s">
        <v>4869</v>
      </c>
      <c r="B1315" t="s">
        <v>4870</v>
      </c>
      <c r="C1315" t="s">
        <v>4871</v>
      </c>
      <c r="D1315" t="s">
        <v>4872</v>
      </c>
      <c r="E1315" t="s">
        <v>4870</v>
      </c>
      <c r="F1315" t="s">
        <v>28</v>
      </c>
      <c r="G1315" t="s">
        <v>4870</v>
      </c>
      <c r="H1315" t="str">
        <f>"crt-1"</f>
        <v>crt-1</v>
      </c>
      <c r="I1315" t="s">
        <v>4872</v>
      </c>
      <c r="J1315" t="s">
        <v>29</v>
      </c>
      <c r="K1315" t="s">
        <v>29</v>
      </c>
      <c r="L1315" t="s">
        <v>29</v>
      </c>
      <c r="M1315" t="s">
        <v>29</v>
      </c>
      <c r="N1315" t="s">
        <v>29</v>
      </c>
      <c r="O1315">
        <v>11.39058911357</v>
      </c>
      <c r="P1315" t="s">
        <v>29</v>
      </c>
      <c r="Q1315" t="s">
        <v>29</v>
      </c>
      <c r="R1315" t="s">
        <v>29</v>
      </c>
      <c r="S1315">
        <v>11.023793573039001</v>
      </c>
      <c r="T1315" t="s">
        <v>29</v>
      </c>
      <c r="U1315" t="s">
        <v>29</v>
      </c>
      <c r="V1315" t="s">
        <v>29</v>
      </c>
      <c r="W1315" t="s">
        <v>29</v>
      </c>
      <c r="X1315" t="s">
        <v>29</v>
      </c>
      <c r="Y1315" t="s">
        <v>29</v>
      </c>
    </row>
    <row r="1316" spans="1:25" x14ac:dyDescent="0.2">
      <c r="A1316" t="s">
        <v>4873</v>
      </c>
      <c r="B1316" t="s">
        <v>4874</v>
      </c>
      <c r="C1316" t="s">
        <v>4875</v>
      </c>
      <c r="D1316" t="s">
        <v>4876</v>
      </c>
      <c r="E1316" t="s">
        <v>4874</v>
      </c>
      <c r="F1316" t="s">
        <v>28</v>
      </c>
      <c r="G1316" t="s">
        <v>4874</v>
      </c>
      <c r="H1316" t="str">
        <f>"ptp-1"</f>
        <v>ptp-1</v>
      </c>
      <c r="I1316" t="s">
        <v>4876</v>
      </c>
      <c r="J1316">
        <v>11.6482819521169</v>
      </c>
      <c r="K1316">
        <v>11.975510872069</v>
      </c>
      <c r="L1316">
        <v>12.004066815682901</v>
      </c>
      <c r="M1316">
        <v>11.636318528781899</v>
      </c>
      <c r="N1316">
        <v>11.2263384796344</v>
      </c>
      <c r="O1316">
        <v>11.699982304833</v>
      </c>
      <c r="P1316">
        <v>-0.355073442206507</v>
      </c>
      <c r="Q1316">
        <v>-0.82986034778900797</v>
      </c>
      <c r="R1316">
        <v>0.11971346337599401</v>
      </c>
      <c r="S1316">
        <v>11.8921706892166</v>
      </c>
      <c r="T1316">
        <v>-1.58624032931312</v>
      </c>
      <c r="U1316">
        <v>-5.8205209577895598</v>
      </c>
      <c r="V1316">
        <v>0.132375782517584</v>
      </c>
      <c r="W1316">
        <v>0.37670915392425802</v>
      </c>
      <c r="X1316">
        <v>0</v>
      </c>
      <c r="Y1316">
        <v>0</v>
      </c>
    </row>
    <row r="1317" spans="1:25" x14ac:dyDescent="0.2">
      <c r="A1317" t="s">
        <v>4877</v>
      </c>
      <c r="B1317" t="s">
        <v>4878</v>
      </c>
      <c r="C1317" t="s">
        <v>4879</v>
      </c>
      <c r="D1317" t="s">
        <v>4880</v>
      </c>
      <c r="E1317" t="s">
        <v>4878</v>
      </c>
      <c r="F1317" t="s">
        <v>28</v>
      </c>
      <c r="G1317" t="s">
        <v>4878</v>
      </c>
      <c r="H1317" t="str">
        <f>"eef-2"</f>
        <v>eef-2</v>
      </c>
      <c r="I1317" t="s">
        <v>4880</v>
      </c>
      <c r="J1317">
        <v>20.793748516628799</v>
      </c>
      <c r="K1317">
        <v>20.606651865762402</v>
      </c>
      <c r="L1317">
        <v>20.409050094101602</v>
      </c>
      <c r="M1317">
        <v>20.500546551506101</v>
      </c>
      <c r="N1317">
        <v>20.089676136513599</v>
      </c>
      <c r="O1317">
        <v>20.142193230229701</v>
      </c>
      <c r="P1317">
        <v>-0.35901151941445902</v>
      </c>
      <c r="Q1317">
        <v>-0.75302535711156404</v>
      </c>
      <c r="R1317">
        <v>3.50023182826463E-2</v>
      </c>
      <c r="S1317">
        <v>20.080288048047102</v>
      </c>
      <c r="T1317">
        <v>-1.9150910316854199</v>
      </c>
      <c r="U1317">
        <v>-5.3049237552559196</v>
      </c>
      <c r="V1317">
        <v>7.1603732994655805E-2</v>
      </c>
      <c r="W1317">
        <v>0.27231546530400202</v>
      </c>
      <c r="X1317">
        <v>0</v>
      </c>
      <c r="Y1317">
        <v>0</v>
      </c>
    </row>
    <row r="1318" spans="1:25" x14ac:dyDescent="0.2">
      <c r="A1318" t="s">
        <v>4881</v>
      </c>
      <c r="B1318" t="s">
        <v>4882</v>
      </c>
      <c r="C1318" t="s">
        <v>4883</v>
      </c>
      <c r="D1318" t="s">
        <v>4884</v>
      </c>
      <c r="E1318" t="s">
        <v>4882</v>
      </c>
      <c r="F1318" t="s">
        <v>28</v>
      </c>
      <c r="G1318" t="s">
        <v>4882</v>
      </c>
      <c r="H1318" t="str">
        <f>"kin-2"</f>
        <v>kin-2</v>
      </c>
      <c r="I1318" t="s">
        <v>4884</v>
      </c>
      <c r="J1318">
        <v>12.9203387189634</v>
      </c>
      <c r="K1318">
        <v>12.847485197146</v>
      </c>
      <c r="L1318">
        <v>12.8044862138259</v>
      </c>
      <c r="M1318">
        <v>13.242436439844701</v>
      </c>
      <c r="N1318">
        <v>13.603084838069099</v>
      </c>
      <c r="O1318">
        <v>13.6060616138173</v>
      </c>
      <c r="P1318">
        <v>0.62642425393188705</v>
      </c>
      <c r="Q1318">
        <v>0.186614325324992</v>
      </c>
      <c r="R1318">
        <v>1.06623418253878</v>
      </c>
      <c r="S1318">
        <v>13.148692295955501</v>
      </c>
      <c r="T1318">
        <v>2.9936157035608901</v>
      </c>
      <c r="U1318">
        <v>-3.25112478456523</v>
      </c>
      <c r="V1318">
        <v>7.8295844728819806E-3</v>
      </c>
      <c r="W1318">
        <v>7.36343002160635E-2</v>
      </c>
      <c r="X1318">
        <v>0</v>
      </c>
      <c r="Y1318">
        <v>0</v>
      </c>
    </row>
    <row r="1319" spans="1:25" x14ac:dyDescent="0.2">
      <c r="A1319" t="s">
        <v>4885</v>
      </c>
      <c r="B1319" t="s">
        <v>4886</v>
      </c>
      <c r="C1319" t="s">
        <v>4887</v>
      </c>
      <c r="D1319" t="s">
        <v>4888</v>
      </c>
      <c r="E1319" t="s">
        <v>4886</v>
      </c>
      <c r="F1319" t="s">
        <v>28</v>
      </c>
      <c r="G1319" t="s">
        <v>4886</v>
      </c>
      <c r="H1319" t="str">
        <f>"unc-32"</f>
        <v>unc-32</v>
      </c>
      <c r="I1319" t="s">
        <v>4888</v>
      </c>
      <c r="J1319">
        <v>12.678985737743499</v>
      </c>
      <c r="K1319">
        <v>12.4116504323631</v>
      </c>
      <c r="L1319">
        <v>12.548450051133701</v>
      </c>
      <c r="M1319">
        <v>12.4278730713822</v>
      </c>
      <c r="N1319">
        <v>11.8500088726458</v>
      </c>
      <c r="O1319">
        <v>12.4071733866881</v>
      </c>
      <c r="P1319">
        <v>-0.31801029684140902</v>
      </c>
      <c r="Q1319">
        <v>-0.72397698360912699</v>
      </c>
      <c r="R1319">
        <v>8.7956389926308401E-2</v>
      </c>
      <c r="S1319">
        <v>12.5075802980641</v>
      </c>
      <c r="T1319">
        <v>-1.6464301032431401</v>
      </c>
      <c r="U1319">
        <v>-5.7300394221896802</v>
      </c>
      <c r="V1319">
        <v>0.117123652970933</v>
      </c>
      <c r="W1319">
        <v>0.35242294377969002</v>
      </c>
      <c r="X1319">
        <v>0</v>
      </c>
      <c r="Y1319">
        <v>0</v>
      </c>
    </row>
    <row r="1320" spans="1:25" x14ac:dyDescent="0.2">
      <c r="A1320" t="s">
        <v>4889</v>
      </c>
      <c r="B1320" t="s">
        <v>4890</v>
      </c>
      <c r="C1320" t="s">
        <v>4891</v>
      </c>
      <c r="D1320" t="s">
        <v>4892</v>
      </c>
      <c r="E1320" t="s">
        <v>4890</v>
      </c>
      <c r="F1320" t="s">
        <v>28</v>
      </c>
      <c r="G1320" t="s">
        <v>4890</v>
      </c>
      <c r="H1320" t="str">
        <f>"lin-9"</f>
        <v>lin-9</v>
      </c>
      <c r="I1320" t="s">
        <v>4892</v>
      </c>
      <c r="J1320" t="s">
        <v>29</v>
      </c>
      <c r="K1320">
        <v>11.572713161045399</v>
      </c>
      <c r="L1320">
        <v>11.4304335388049</v>
      </c>
      <c r="M1320" t="s">
        <v>29</v>
      </c>
      <c r="N1320">
        <v>12.000577298353299</v>
      </c>
      <c r="O1320">
        <v>11.537211688017701</v>
      </c>
      <c r="P1320">
        <v>0.26732114326033601</v>
      </c>
      <c r="Q1320">
        <v>-0.34009618122937402</v>
      </c>
      <c r="R1320">
        <v>0.87473846775004604</v>
      </c>
      <c r="S1320">
        <v>12.2802935066216</v>
      </c>
      <c r="T1320">
        <v>0.95155386966684197</v>
      </c>
      <c r="U1320">
        <v>-6.3850678608119802</v>
      </c>
      <c r="V1320">
        <v>0.35881917138805502</v>
      </c>
      <c r="W1320">
        <v>0.63663990386953695</v>
      </c>
      <c r="X1320">
        <v>0</v>
      </c>
      <c r="Y1320">
        <v>0</v>
      </c>
    </row>
    <row r="1321" spans="1:25" x14ac:dyDescent="0.2">
      <c r="A1321" t="s">
        <v>4893</v>
      </c>
      <c r="B1321" t="s">
        <v>4894</v>
      </c>
      <c r="C1321" t="s">
        <v>4895</v>
      </c>
      <c r="D1321" t="s">
        <v>4896</v>
      </c>
      <c r="E1321" t="s">
        <v>4894</v>
      </c>
      <c r="F1321" t="s">
        <v>28</v>
      </c>
      <c r="G1321" t="s">
        <v>4894</v>
      </c>
      <c r="H1321" t="str">
        <f>"rpap-2"</f>
        <v>rpap-2</v>
      </c>
      <c r="I1321" t="s">
        <v>4896</v>
      </c>
      <c r="J1321" t="s">
        <v>29</v>
      </c>
      <c r="K1321">
        <v>9.2119993413352805</v>
      </c>
      <c r="L1321">
        <v>11.290721356418301</v>
      </c>
      <c r="M1321">
        <v>12.965570971247301</v>
      </c>
      <c r="N1321">
        <v>13.248468878942001</v>
      </c>
      <c r="O1321">
        <v>13.0066816259415</v>
      </c>
      <c r="P1321">
        <v>2.8222134765001798</v>
      </c>
      <c r="Q1321">
        <v>1.75474041375251</v>
      </c>
      <c r="R1321">
        <v>3.8896865392478501</v>
      </c>
      <c r="S1321">
        <v>12.9825181951462</v>
      </c>
      <c r="T1321">
        <v>5.6386422687474598</v>
      </c>
      <c r="U1321">
        <v>1.98457643528493</v>
      </c>
      <c r="V1321" s="2">
        <v>4.8406526771195197E-5</v>
      </c>
      <c r="W1321">
        <v>1.7698296417243699E-3</v>
      </c>
      <c r="X1321">
        <v>1</v>
      </c>
      <c r="Y1321">
        <v>1</v>
      </c>
    </row>
    <row r="1322" spans="1:25" x14ac:dyDescent="0.2">
      <c r="A1322" t="s">
        <v>4897</v>
      </c>
      <c r="B1322" t="s">
        <v>4898</v>
      </c>
      <c r="C1322" t="s">
        <v>4899</v>
      </c>
      <c r="D1322" t="s">
        <v>4900</v>
      </c>
      <c r="E1322" t="s">
        <v>4898</v>
      </c>
      <c r="F1322" t="s">
        <v>28</v>
      </c>
      <c r="G1322" t="s">
        <v>4898</v>
      </c>
      <c r="H1322" t="str">
        <f>"eif-3.D"</f>
        <v>eif-3.D</v>
      </c>
      <c r="I1322" t="s">
        <v>4900</v>
      </c>
      <c r="J1322">
        <v>12.417267004682801</v>
      </c>
      <c r="K1322">
        <v>13.002173721334101</v>
      </c>
      <c r="L1322">
        <v>13.191400709695399</v>
      </c>
      <c r="M1322">
        <v>12.8387560275127</v>
      </c>
      <c r="N1322">
        <v>12.4116121581028</v>
      </c>
      <c r="O1322">
        <v>13.7099237460137</v>
      </c>
      <c r="P1322">
        <v>0.11648349863899</v>
      </c>
      <c r="Q1322">
        <v>-0.51951770822510102</v>
      </c>
      <c r="R1322">
        <v>0.752484705503081</v>
      </c>
      <c r="S1322">
        <v>13.390757577320599</v>
      </c>
      <c r="T1322">
        <v>0.38494526307168703</v>
      </c>
      <c r="U1322">
        <v>-6.9747512965325003</v>
      </c>
      <c r="V1322">
        <v>0.70481486527207804</v>
      </c>
      <c r="W1322">
        <v>0.86788140819986703</v>
      </c>
      <c r="X1322">
        <v>0</v>
      </c>
      <c r="Y1322">
        <v>0</v>
      </c>
    </row>
    <row r="1323" spans="1:25" x14ac:dyDescent="0.2">
      <c r="A1323" t="s">
        <v>4901</v>
      </c>
      <c r="B1323" t="s">
        <v>4902</v>
      </c>
      <c r="C1323" t="s">
        <v>4903</v>
      </c>
      <c r="D1323" t="s">
        <v>4904</v>
      </c>
      <c r="E1323" t="s">
        <v>4902</v>
      </c>
      <c r="F1323" t="s">
        <v>28</v>
      </c>
      <c r="G1323" t="s">
        <v>4902</v>
      </c>
      <c r="H1323" t="str">
        <f>"R08D7.7"</f>
        <v>R08D7.7</v>
      </c>
      <c r="I1323" t="s">
        <v>4904</v>
      </c>
      <c r="J1323" t="s">
        <v>29</v>
      </c>
      <c r="K1323" t="s">
        <v>29</v>
      </c>
      <c r="L1323">
        <v>9.7712819902856296</v>
      </c>
      <c r="M1323" t="s">
        <v>29</v>
      </c>
      <c r="N1323" t="s">
        <v>29</v>
      </c>
      <c r="O1323" t="s">
        <v>29</v>
      </c>
      <c r="P1323" t="s">
        <v>29</v>
      </c>
      <c r="Q1323" t="s">
        <v>29</v>
      </c>
      <c r="R1323" t="s">
        <v>29</v>
      </c>
      <c r="S1323">
        <v>11.4793086465834</v>
      </c>
      <c r="T1323" t="s">
        <v>29</v>
      </c>
      <c r="U1323" t="s">
        <v>29</v>
      </c>
      <c r="V1323" t="s">
        <v>29</v>
      </c>
      <c r="W1323" t="s">
        <v>29</v>
      </c>
      <c r="X1323" t="s">
        <v>29</v>
      </c>
      <c r="Y1323" t="s">
        <v>29</v>
      </c>
    </row>
    <row r="1324" spans="1:25" x14ac:dyDescent="0.2">
      <c r="A1324" t="s">
        <v>4905</v>
      </c>
      <c r="B1324" t="s">
        <v>4906</v>
      </c>
      <c r="C1324" t="s">
        <v>4907</v>
      </c>
      <c r="D1324" t="s">
        <v>4908</v>
      </c>
      <c r="E1324" t="s">
        <v>4906</v>
      </c>
      <c r="F1324" t="s">
        <v>28</v>
      </c>
      <c r="G1324" t="s">
        <v>4906</v>
      </c>
      <c r="H1324" t="str">
        <f>"ZK643.5"</f>
        <v>ZK643.5</v>
      </c>
      <c r="I1324" t="s">
        <v>4908</v>
      </c>
      <c r="J1324">
        <v>13.6841527854855</v>
      </c>
      <c r="K1324">
        <v>13.779958378507001</v>
      </c>
      <c r="L1324">
        <v>13.894214284560499</v>
      </c>
      <c r="M1324">
        <v>13.6843077167253</v>
      </c>
      <c r="N1324">
        <v>13.6724676722376</v>
      </c>
      <c r="O1324">
        <v>14.161531216683301</v>
      </c>
      <c r="P1324">
        <v>5.3327052364426898E-2</v>
      </c>
      <c r="Q1324">
        <v>-0.37196653820425202</v>
      </c>
      <c r="R1324">
        <v>0.47862064293310602</v>
      </c>
      <c r="S1324">
        <v>13.841572109825901</v>
      </c>
      <c r="T1324">
        <v>0.26467246023040403</v>
      </c>
      <c r="U1324">
        <v>-7.0153366839756801</v>
      </c>
      <c r="V1324">
        <v>0.79446363873995995</v>
      </c>
      <c r="W1324">
        <v>0.91517844850619501</v>
      </c>
      <c r="X1324">
        <v>0</v>
      </c>
      <c r="Y1324">
        <v>0</v>
      </c>
    </row>
    <row r="1325" spans="1:25" x14ac:dyDescent="0.2">
      <c r="A1325" t="s">
        <v>4909</v>
      </c>
      <c r="B1325" t="s">
        <v>4910</v>
      </c>
      <c r="C1325" t="s">
        <v>4911</v>
      </c>
      <c r="D1325" t="s">
        <v>4912</v>
      </c>
      <c r="E1325" t="s">
        <v>4910</v>
      </c>
      <c r="F1325" t="s">
        <v>28</v>
      </c>
      <c r="G1325" t="s">
        <v>4910</v>
      </c>
      <c r="H1325" t="str">
        <f>"ikke-1"</f>
        <v>ikke-1</v>
      </c>
      <c r="I1325" t="s">
        <v>4912</v>
      </c>
      <c r="J1325">
        <v>12.875221640629199</v>
      </c>
      <c r="K1325">
        <v>13.0837605169136</v>
      </c>
      <c r="L1325">
        <v>12.439438507389401</v>
      </c>
      <c r="M1325" t="s">
        <v>29</v>
      </c>
      <c r="N1325">
        <v>12.6980526022422</v>
      </c>
      <c r="O1325">
        <v>12.866032057644899</v>
      </c>
      <c r="P1325">
        <v>-1.7431225033801599E-2</v>
      </c>
      <c r="Q1325">
        <v>-0.56645217052233199</v>
      </c>
      <c r="R1325">
        <v>0.53158972045472896</v>
      </c>
      <c r="S1325">
        <v>12.4814254078901</v>
      </c>
      <c r="T1325">
        <v>-6.7714332551397902E-2</v>
      </c>
      <c r="U1325">
        <v>-6.9390080285258602</v>
      </c>
      <c r="V1325">
        <v>0.946913651692601</v>
      </c>
      <c r="W1325">
        <v>0.976007926071499</v>
      </c>
      <c r="X1325">
        <v>0</v>
      </c>
      <c r="Y1325">
        <v>0</v>
      </c>
    </row>
    <row r="1326" spans="1:25" x14ac:dyDescent="0.2">
      <c r="A1326" t="s">
        <v>4913</v>
      </c>
      <c r="B1326" t="s">
        <v>4914</v>
      </c>
      <c r="C1326" t="s">
        <v>4915</v>
      </c>
      <c r="D1326" t="s">
        <v>4916</v>
      </c>
      <c r="E1326" t="s">
        <v>4914</v>
      </c>
      <c r="F1326" t="s">
        <v>28</v>
      </c>
      <c r="G1326" t="s">
        <v>4914</v>
      </c>
      <c r="H1326" t="str">
        <f>"cls-2"</f>
        <v>cls-2</v>
      </c>
      <c r="I1326" t="s">
        <v>4916</v>
      </c>
      <c r="J1326">
        <v>12.037630720653899</v>
      </c>
      <c r="K1326" t="s">
        <v>29</v>
      </c>
      <c r="L1326">
        <v>12.2706671413249</v>
      </c>
      <c r="M1326">
        <v>12.762236581879</v>
      </c>
      <c r="N1326">
        <v>12.6160525946405</v>
      </c>
      <c r="O1326">
        <v>12.465251814712101</v>
      </c>
      <c r="P1326">
        <v>0.46036473275443701</v>
      </c>
      <c r="Q1326">
        <v>-0.120601766018061</v>
      </c>
      <c r="R1326">
        <v>1.0413312315269301</v>
      </c>
      <c r="S1326">
        <v>12.7268573580008</v>
      </c>
      <c r="T1326">
        <v>1.6807398076833999</v>
      </c>
      <c r="U1326">
        <v>-5.5733190601288296</v>
      </c>
      <c r="V1326">
        <v>0.11235499349208999</v>
      </c>
      <c r="W1326">
        <v>0.34411407745613198</v>
      </c>
      <c r="X1326">
        <v>0</v>
      </c>
      <c r="Y1326">
        <v>0</v>
      </c>
    </row>
    <row r="1327" spans="1:25" x14ac:dyDescent="0.2">
      <c r="A1327" t="s">
        <v>4917</v>
      </c>
      <c r="B1327" t="s">
        <v>4918</v>
      </c>
      <c r="C1327" t="s">
        <v>4919</v>
      </c>
      <c r="D1327" t="s">
        <v>4920</v>
      </c>
      <c r="E1327" t="s">
        <v>4918</v>
      </c>
      <c r="F1327" t="s">
        <v>28</v>
      </c>
      <c r="G1327" t="s">
        <v>4918</v>
      </c>
      <c r="H1327" t="str">
        <f>"hars-1"</f>
        <v>hars-1</v>
      </c>
      <c r="I1327" t="s">
        <v>4920</v>
      </c>
      <c r="J1327">
        <v>15.7609705429056</v>
      </c>
      <c r="K1327">
        <v>15.562979121534401</v>
      </c>
      <c r="L1327">
        <v>15.7659110390567</v>
      </c>
      <c r="M1327">
        <v>15.304536168147401</v>
      </c>
      <c r="N1327">
        <v>15.795700172915399</v>
      </c>
      <c r="O1327">
        <v>15.4569245177765</v>
      </c>
      <c r="P1327">
        <v>-0.17756661488583</v>
      </c>
      <c r="Q1327">
        <v>-0.63432534392840201</v>
      </c>
      <c r="R1327">
        <v>0.279192114156742</v>
      </c>
      <c r="S1327">
        <v>15.402613516404999</v>
      </c>
      <c r="T1327">
        <v>-0.81708450126739796</v>
      </c>
      <c r="U1327">
        <v>-6.7086227864002996</v>
      </c>
      <c r="V1327">
        <v>0.424625277929775</v>
      </c>
      <c r="W1327">
        <v>0.69633750496314994</v>
      </c>
      <c r="X1327">
        <v>0</v>
      </c>
      <c r="Y1327">
        <v>0</v>
      </c>
    </row>
    <row r="1328" spans="1:25" x14ac:dyDescent="0.2">
      <c r="A1328" t="s">
        <v>4921</v>
      </c>
      <c r="B1328" t="s">
        <v>4922</v>
      </c>
      <c r="C1328" t="s">
        <v>4923</v>
      </c>
      <c r="D1328" t="s">
        <v>4924</v>
      </c>
      <c r="E1328" t="s">
        <v>4922</v>
      </c>
      <c r="F1328" t="s">
        <v>28</v>
      </c>
      <c r="G1328" t="s">
        <v>4922</v>
      </c>
      <c r="H1328" t="str">
        <f>"rab-6.1"</f>
        <v>rab-6.1</v>
      </c>
      <c r="I1328" t="s">
        <v>4924</v>
      </c>
      <c r="J1328">
        <v>13.7676503706313</v>
      </c>
      <c r="K1328">
        <v>13.8404997781928</v>
      </c>
      <c r="L1328">
        <v>13.762230149788699</v>
      </c>
      <c r="M1328">
        <v>13.697107899543401</v>
      </c>
      <c r="N1328">
        <v>13.161784855396</v>
      </c>
      <c r="O1328">
        <v>12.5598418940234</v>
      </c>
      <c r="P1328">
        <v>-0.65054854988329502</v>
      </c>
      <c r="Q1328">
        <v>-1.14515999779246</v>
      </c>
      <c r="R1328">
        <v>-0.15593710197413199</v>
      </c>
      <c r="S1328">
        <v>13.2942351873172</v>
      </c>
      <c r="T1328">
        <v>-2.7762946889554301</v>
      </c>
      <c r="U1328">
        <v>-3.7191558245058798</v>
      </c>
      <c r="V1328">
        <v>1.2988523304873999E-2</v>
      </c>
      <c r="W1328">
        <v>0.105441012521396</v>
      </c>
      <c r="X1328">
        <v>0</v>
      </c>
      <c r="Y1328">
        <v>0</v>
      </c>
    </row>
    <row r="1329" spans="1:25" x14ac:dyDescent="0.2">
      <c r="A1329" t="s">
        <v>4925</v>
      </c>
      <c r="B1329" t="s">
        <v>4926</v>
      </c>
      <c r="C1329" t="s">
        <v>4927</v>
      </c>
      <c r="D1329" t="s">
        <v>4928</v>
      </c>
      <c r="E1329" t="s">
        <v>4926</v>
      </c>
      <c r="F1329" t="s">
        <v>28</v>
      </c>
      <c r="G1329" t="s">
        <v>4926</v>
      </c>
      <c r="H1329" t="str">
        <f>"B0303.3"</f>
        <v>B0303.3</v>
      </c>
      <c r="I1329" t="s">
        <v>4928</v>
      </c>
      <c r="J1329">
        <v>17.771135592508099</v>
      </c>
      <c r="K1329">
        <v>18.119841340557301</v>
      </c>
      <c r="L1329">
        <v>17.827289936287102</v>
      </c>
      <c r="M1329">
        <v>17.832138034666301</v>
      </c>
      <c r="N1329">
        <v>18.2480351295718</v>
      </c>
      <c r="O1329">
        <v>17.922205911227501</v>
      </c>
      <c r="P1329">
        <v>9.4704068704366803E-2</v>
      </c>
      <c r="Q1329">
        <v>-0.40651521998725498</v>
      </c>
      <c r="R1329">
        <v>0.59592335739598901</v>
      </c>
      <c r="S1329">
        <v>17.904837432942401</v>
      </c>
      <c r="T1329">
        <v>0.397130621104332</v>
      </c>
      <c r="U1329">
        <v>-6.9697996696194302</v>
      </c>
      <c r="V1329">
        <v>0.69596775848926495</v>
      </c>
      <c r="W1329">
        <v>0.86471137309051904</v>
      </c>
      <c r="X1329">
        <v>0</v>
      </c>
      <c r="Y1329">
        <v>0</v>
      </c>
    </row>
    <row r="1330" spans="1:25" x14ac:dyDescent="0.2">
      <c r="A1330" t="s">
        <v>4929</v>
      </c>
      <c r="B1330" t="s">
        <v>4930</v>
      </c>
      <c r="C1330" t="s">
        <v>4931</v>
      </c>
      <c r="D1330" t="s">
        <v>4932</v>
      </c>
      <c r="E1330" t="s">
        <v>4930</v>
      </c>
      <c r="F1330" t="s">
        <v>28</v>
      </c>
      <c r="G1330" t="s">
        <v>4930</v>
      </c>
      <c r="H1330" t="str">
        <f>"vps-33.1"</f>
        <v>vps-33.1</v>
      </c>
      <c r="I1330" t="s">
        <v>4932</v>
      </c>
      <c r="J1330">
        <v>11.7695627005315</v>
      </c>
      <c r="K1330" t="s">
        <v>29</v>
      </c>
      <c r="L1330">
        <v>11.077787692174301</v>
      </c>
      <c r="M1330">
        <v>10.5827011347757</v>
      </c>
      <c r="N1330">
        <v>11.535347354364999</v>
      </c>
      <c r="O1330">
        <v>10.782998981302899</v>
      </c>
      <c r="P1330">
        <v>-0.45665937287167002</v>
      </c>
      <c r="Q1330">
        <v>-1.2726434970167699</v>
      </c>
      <c r="R1330">
        <v>0.359324751273426</v>
      </c>
      <c r="S1330">
        <v>11.2324063703207</v>
      </c>
      <c r="T1330">
        <v>-1.1935820325752</v>
      </c>
      <c r="U1330">
        <v>-6.2224405115490997</v>
      </c>
      <c r="V1330">
        <v>0.25130593032291798</v>
      </c>
      <c r="W1330">
        <v>0.52678273681629495</v>
      </c>
      <c r="X1330">
        <v>0</v>
      </c>
      <c r="Y1330">
        <v>0</v>
      </c>
    </row>
    <row r="1331" spans="1:25" x14ac:dyDescent="0.2">
      <c r="A1331" t="s">
        <v>4933</v>
      </c>
      <c r="B1331" t="s">
        <v>4934</v>
      </c>
      <c r="C1331" t="s">
        <v>4935</v>
      </c>
      <c r="D1331" t="s">
        <v>4936</v>
      </c>
      <c r="E1331" t="s">
        <v>4934</v>
      </c>
      <c r="F1331" t="s">
        <v>28</v>
      </c>
      <c r="G1331" t="s">
        <v>4934</v>
      </c>
      <c r="H1331" t="str">
        <f>"B0303.11"</f>
        <v>B0303.11</v>
      </c>
      <c r="I1331" t="s">
        <v>4936</v>
      </c>
      <c r="J1331">
        <v>12.336960535858401</v>
      </c>
      <c r="K1331" t="s">
        <v>29</v>
      </c>
      <c r="L1331">
        <v>12.185336549934201</v>
      </c>
      <c r="M1331">
        <v>11.8255364128645</v>
      </c>
      <c r="N1331">
        <v>12.283926338247801</v>
      </c>
      <c r="O1331">
        <v>12.7599729127658</v>
      </c>
      <c r="P1331">
        <v>2.8663345063035799E-2</v>
      </c>
      <c r="Q1331">
        <v>-0.69347418207838196</v>
      </c>
      <c r="R1331">
        <v>0.75080087220445402</v>
      </c>
      <c r="S1331">
        <v>12.691131263191901</v>
      </c>
      <c r="T1331">
        <v>8.4654210417623194E-2</v>
      </c>
      <c r="U1331">
        <v>-6.9376439950508004</v>
      </c>
      <c r="V1331">
        <v>0.93366363686872</v>
      </c>
      <c r="W1331">
        <v>0.97535311084156295</v>
      </c>
      <c r="X1331">
        <v>0</v>
      </c>
      <c r="Y1331">
        <v>0</v>
      </c>
    </row>
    <row r="1332" spans="1:25" x14ac:dyDescent="0.2">
      <c r="A1332" t="s">
        <v>4937</v>
      </c>
      <c r="B1332" t="s">
        <v>4938</v>
      </c>
      <c r="C1332" t="s">
        <v>4939</v>
      </c>
      <c r="D1332" t="s">
        <v>4940</v>
      </c>
      <c r="E1332" t="s">
        <v>4938</v>
      </c>
      <c r="F1332" t="s">
        <v>28</v>
      </c>
      <c r="G1332" t="s">
        <v>4938</v>
      </c>
      <c r="H1332" t="str">
        <f>"pgl-2"</f>
        <v>pgl-2</v>
      </c>
      <c r="I1332" t="s">
        <v>4940</v>
      </c>
      <c r="J1332" t="s">
        <v>29</v>
      </c>
      <c r="K1332" t="s">
        <v>29</v>
      </c>
      <c r="L1332">
        <v>11.004057230573199</v>
      </c>
      <c r="M1332" t="s">
        <v>29</v>
      </c>
      <c r="N1332" t="s">
        <v>29</v>
      </c>
      <c r="O1332" t="s">
        <v>29</v>
      </c>
      <c r="P1332" t="s">
        <v>29</v>
      </c>
      <c r="Q1332" t="s">
        <v>29</v>
      </c>
      <c r="R1332" t="s">
        <v>29</v>
      </c>
      <c r="S1332">
        <v>13.029416459793399</v>
      </c>
      <c r="T1332" t="s">
        <v>29</v>
      </c>
      <c r="U1332" t="s">
        <v>29</v>
      </c>
      <c r="V1332" t="s">
        <v>29</v>
      </c>
      <c r="W1332" t="s">
        <v>29</v>
      </c>
      <c r="X1332" t="s">
        <v>29</v>
      </c>
      <c r="Y1332" t="s">
        <v>29</v>
      </c>
    </row>
    <row r="1333" spans="1:25" x14ac:dyDescent="0.2">
      <c r="A1333" t="s">
        <v>4941</v>
      </c>
      <c r="B1333" t="s">
        <v>4942</v>
      </c>
      <c r="C1333" t="s">
        <v>4943</v>
      </c>
      <c r="D1333" t="s">
        <v>4944</v>
      </c>
      <c r="E1333" t="s">
        <v>4942</v>
      </c>
      <c r="F1333" t="s">
        <v>28</v>
      </c>
      <c r="G1333" t="s">
        <v>4942</v>
      </c>
      <c r="H1333" t="str">
        <f>"fli-1"</f>
        <v>fli-1</v>
      </c>
      <c r="I1333" t="s">
        <v>4944</v>
      </c>
      <c r="J1333">
        <v>12.3950615498464</v>
      </c>
      <c r="K1333">
        <v>12.4145588552809</v>
      </c>
      <c r="L1333">
        <v>12.2396601654028</v>
      </c>
      <c r="M1333">
        <v>13.4473748325047</v>
      </c>
      <c r="N1333">
        <v>13.874305210885099</v>
      </c>
      <c r="O1333">
        <v>13.5667469583046</v>
      </c>
      <c r="P1333">
        <v>1.2797154770548</v>
      </c>
      <c r="Q1333">
        <v>0.60145495053598497</v>
      </c>
      <c r="R1333">
        <v>1.95797600357362</v>
      </c>
      <c r="S1333">
        <v>12.792130513220499</v>
      </c>
      <c r="T1333">
        <v>4.0019016337636497</v>
      </c>
      <c r="U1333">
        <v>-1.22710923988732</v>
      </c>
      <c r="V1333">
        <v>1.04007217005192E-3</v>
      </c>
      <c r="W1333">
        <v>1.8907233750552699E-2</v>
      </c>
      <c r="X1333">
        <v>1</v>
      </c>
      <c r="Y1333">
        <v>1</v>
      </c>
    </row>
    <row r="1334" spans="1:25" x14ac:dyDescent="0.2">
      <c r="A1334" t="s">
        <v>4945</v>
      </c>
      <c r="B1334" t="s">
        <v>4946</v>
      </c>
      <c r="C1334" t="s">
        <v>4947</v>
      </c>
      <c r="D1334" t="s">
        <v>4948</v>
      </c>
      <c r="E1334" t="s">
        <v>4946</v>
      </c>
      <c r="F1334" t="s">
        <v>28</v>
      </c>
      <c r="G1334" t="s">
        <v>4946</v>
      </c>
      <c r="H1334" t="str">
        <f>"acdh-6"</f>
        <v>acdh-6</v>
      </c>
      <c r="I1334" t="s">
        <v>4948</v>
      </c>
      <c r="J1334" t="s">
        <v>29</v>
      </c>
      <c r="K1334" t="s">
        <v>29</v>
      </c>
      <c r="L1334" t="s">
        <v>29</v>
      </c>
      <c r="M1334" t="s">
        <v>29</v>
      </c>
      <c r="N1334" t="s">
        <v>29</v>
      </c>
      <c r="O1334" t="s">
        <v>29</v>
      </c>
      <c r="P1334" t="s">
        <v>29</v>
      </c>
      <c r="Q1334" t="s">
        <v>29</v>
      </c>
      <c r="R1334" t="s">
        <v>29</v>
      </c>
      <c r="S1334">
        <v>12.2184707988736</v>
      </c>
      <c r="T1334" t="s">
        <v>29</v>
      </c>
      <c r="U1334" t="s">
        <v>29</v>
      </c>
      <c r="V1334" t="s">
        <v>29</v>
      </c>
      <c r="W1334" t="s">
        <v>29</v>
      </c>
      <c r="X1334" t="s">
        <v>29</v>
      </c>
      <c r="Y1334" t="s">
        <v>29</v>
      </c>
    </row>
    <row r="1335" spans="1:25" x14ac:dyDescent="0.2">
      <c r="A1335" t="s">
        <v>4949</v>
      </c>
      <c r="B1335" t="s">
        <v>4950</v>
      </c>
      <c r="C1335" t="s">
        <v>4951</v>
      </c>
      <c r="D1335" t="s">
        <v>4952</v>
      </c>
      <c r="E1335" t="s">
        <v>4950</v>
      </c>
      <c r="F1335" t="s">
        <v>28</v>
      </c>
      <c r="G1335" t="s">
        <v>4950</v>
      </c>
      <c r="H1335" t="str">
        <f>"C02F5.3"</f>
        <v>C02F5.3</v>
      </c>
      <c r="I1335" t="s">
        <v>4952</v>
      </c>
      <c r="J1335">
        <v>15.705901640352501</v>
      </c>
      <c r="K1335">
        <v>15.7118138690591</v>
      </c>
      <c r="L1335">
        <v>15.3069952538028</v>
      </c>
      <c r="M1335">
        <v>15.7275639706947</v>
      </c>
      <c r="N1335">
        <v>15.2330222828546</v>
      </c>
      <c r="O1335">
        <v>15.124564245660601</v>
      </c>
      <c r="P1335">
        <v>-0.21318675466818801</v>
      </c>
      <c r="Q1335">
        <v>-0.62045717856607896</v>
      </c>
      <c r="R1335">
        <v>0.19408366922970399</v>
      </c>
      <c r="S1335">
        <v>15.2550588730843</v>
      </c>
      <c r="T1335">
        <v>-1.10019548642311</v>
      </c>
      <c r="U1335">
        <v>-6.4384274330981803</v>
      </c>
      <c r="V1335">
        <v>0.285827274372009</v>
      </c>
      <c r="W1335">
        <v>0.56576912881200803</v>
      </c>
      <c r="X1335">
        <v>0</v>
      </c>
      <c r="Y1335">
        <v>0</v>
      </c>
    </row>
    <row r="1336" spans="1:25" x14ac:dyDescent="0.2">
      <c r="A1336" t="s">
        <v>4953</v>
      </c>
      <c r="B1336" t="s">
        <v>4954</v>
      </c>
      <c r="C1336" t="s">
        <v>4955</v>
      </c>
      <c r="D1336" t="s">
        <v>4956</v>
      </c>
      <c r="E1336" t="s">
        <v>4954</v>
      </c>
      <c r="F1336" t="s">
        <v>28</v>
      </c>
      <c r="G1336" t="s">
        <v>4954</v>
      </c>
      <c r="H1336" t="str">
        <f>"cids-1"</f>
        <v>cids-1</v>
      </c>
      <c r="I1336" t="s">
        <v>4956</v>
      </c>
      <c r="J1336">
        <v>12.435510802300801</v>
      </c>
      <c r="K1336" t="s">
        <v>29</v>
      </c>
      <c r="L1336">
        <v>11.891347681015199</v>
      </c>
      <c r="M1336">
        <v>11.6282082221707</v>
      </c>
      <c r="N1336" t="s">
        <v>29</v>
      </c>
      <c r="O1336" t="s">
        <v>29</v>
      </c>
      <c r="P1336">
        <v>-0.53522101948729905</v>
      </c>
      <c r="Q1336">
        <v>-1.43260145821</v>
      </c>
      <c r="R1336">
        <v>0.36215941923540101</v>
      </c>
      <c r="S1336">
        <v>12.3430216259137</v>
      </c>
      <c r="T1336">
        <v>-1.28956669088619</v>
      </c>
      <c r="U1336">
        <v>-5.8231137431590598</v>
      </c>
      <c r="V1336">
        <v>0.21985128077321101</v>
      </c>
      <c r="W1336">
        <v>0.487659214475821</v>
      </c>
      <c r="X1336">
        <v>0</v>
      </c>
      <c r="Y1336">
        <v>0</v>
      </c>
    </row>
    <row r="1337" spans="1:25" x14ac:dyDescent="0.2">
      <c r="A1337" t="s">
        <v>4957</v>
      </c>
      <c r="B1337" t="s">
        <v>4958</v>
      </c>
      <c r="C1337" t="s">
        <v>4959</v>
      </c>
      <c r="D1337" t="s">
        <v>4960</v>
      </c>
      <c r="E1337" t="s">
        <v>4958</v>
      </c>
      <c r="F1337" t="s">
        <v>28</v>
      </c>
      <c r="G1337" t="s">
        <v>4958</v>
      </c>
      <c r="H1337" t="str">
        <f>"henn-1"</f>
        <v>henn-1</v>
      </c>
      <c r="I1337" t="s">
        <v>4960</v>
      </c>
      <c r="J1337">
        <v>12.8673285835039</v>
      </c>
      <c r="K1337">
        <v>13.4447433436429</v>
      </c>
      <c r="L1337">
        <v>12.8128175033816</v>
      </c>
      <c r="M1337">
        <v>13.430280946418801</v>
      </c>
      <c r="N1337">
        <v>13.571943892989401</v>
      </c>
      <c r="O1337">
        <v>12.706121272502401</v>
      </c>
      <c r="P1337">
        <v>0.19448556046066801</v>
      </c>
      <c r="Q1337">
        <v>-0.47487990485873699</v>
      </c>
      <c r="R1337">
        <v>0.863851025780074</v>
      </c>
      <c r="S1337">
        <v>12.931435864163401</v>
      </c>
      <c r="T1337">
        <v>0.61330156645096501</v>
      </c>
      <c r="U1337">
        <v>-6.8565332000677497</v>
      </c>
      <c r="V1337">
        <v>0.54784547933161798</v>
      </c>
      <c r="W1337">
        <v>0.77920996104149098</v>
      </c>
      <c r="X1337">
        <v>0</v>
      </c>
      <c r="Y1337">
        <v>0</v>
      </c>
    </row>
    <row r="1338" spans="1:25" x14ac:dyDescent="0.2">
      <c r="A1338" t="s">
        <v>4961</v>
      </c>
      <c r="B1338" t="s">
        <v>4962</v>
      </c>
      <c r="C1338" t="s">
        <v>4963</v>
      </c>
      <c r="D1338" t="s">
        <v>4964</v>
      </c>
      <c r="E1338" t="s">
        <v>4962</v>
      </c>
      <c r="F1338" t="s">
        <v>28</v>
      </c>
      <c r="G1338" t="s">
        <v>4962</v>
      </c>
      <c r="H1338" t="str">
        <f>"pac-1"</f>
        <v>pac-1</v>
      </c>
      <c r="I1338" t="s">
        <v>4964</v>
      </c>
      <c r="J1338" t="s">
        <v>29</v>
      </c>
      <c r="K1338" t="s">
        <v>29</v>
      </c>
      <c r="L1338" t="s">
        <v>29</v>
      </c>
      <c r="M1338" t="s">
        <v>29</v>
      </c>
      <c r="N1338" t="s">
        <v>29</v>
      </c>
      <c r="O1338" t="s">
        <v>29</v>
      </c>
      <c r="P1338" t="s">
        <v>29</v>
      </c>
      <c r="Q1338" t="s">
        <v>29</v>
      </c>
      <c r="R1338" t="s">
        <v>29</v>
      </c>
      <c r="S1338">
        <v>10.637096722640701</v>
      </c>
      <c r="T1338" t="s">
        <v>29</v>
      </c>
      <c r="U1338" t="s">
        <v>29</v>
      </c>
      <c r="V1338" t="s">
        <v>29</v>
      </c>
      <c r="W1338" t="s">
        <v>29</v>
      </c>
      <c r="X1338" t="s">
        <v>29</v>
      </c>
      <c r="Y1338" t="s">
        <v>29</v>
      </c>
    </row>
    <row r="1339" spans="1:25" x14ac:dyDescent="0.2">
      <c r="A1339" t="s">
        <v>4965</v>
      </c>
      <c r="B1339" t="s">
        <v>4966</v>
      </c>
      <c r="C1339" t="s">
        <v>4967</v>
      </c>
      <c r="D1339" t="s">
        <v>4968</v>
      </c>
      <c r="E1339" t="s">
        <v>4966</v>
      </c>
      <c r="F1339" t="s">
        <v>28</v>
      </c>
      <c r="G1339" t="s">
        <v>4966</v>
      </c>
      <c r="H1339" t="str">
        <f>"C06E1.9"</f>
        <v>C06E1.9</v>
      </c>
      <c r="I1339" t="s">
        <v>4968</v>
      </c>
      <c r="J1339">
        <v>11.7393527910255</v>
      </c>
      <c r="K1339">
        <v>11.075651578170399</v>
      </c>
      <c r="L1339" t="s">
        <v>29</v>
      </c>
      <c r="M1339">
        <v>12.3484121639833</v>
      </c>
      <c r="N1339">
        <v>13.0844514235558</v>
      </c>
      <c r="O1339">
        <v>12.7798384457328</v>
      </c>
      <c r="P1339">
        <v>1.33006515982601</v>
      </c>
      <c r="Q1339">
        <v>0.47755569040312501</v>
      </c>
      <c r="R1339">
        <v>2.1825746292488999</v>
      </c>
      <c r="S1339">
        <v>12.748117381183</v>
      </c>
      <c r="T1339">
        <v>3.3092016763734402</v>
      </c>
      <c r="U1339">
        <v>-2.5672063426282099</v>
      </c>
      <c r="V1339">
        <v>4.4652042370749902E-3</v>
      </c>
      <c r="W1339">
        <v>5.0450606206395902E-2</v>
      </c>
      <c r="X1339">
        <v>1</v>
      </c>
      <c r="Y1339">
        <v>1</v>
      </c>
    </row>
    <row r="1340" spans="1:25" x14ac:dyDescent="0.2">
      <c r="A1340" t="s">
        <v>4969</v>
      </c>
      <c r="B1340" t="s">
        <v>4970</v>
      </c>
      <c r="C1340" t="s">
        <v>4971</v>
      </c>
      <c r="D1340" t="s">
        <v>4972</v>
      </c>
      <c r="E1340" t="s">
        <v>4970</v>
      </c>
      <c r="F1340" t="s">
        <v>28</v>
      </c>
      <c r="G1340" t="s">
        <v>4970</v>
      </c>
      <c r="H1340" t="str">
        <f>"rha-2"</f>
        <v>rha-2</v>
      </c>
      <c r="I1340" t="s">
        <v>4972</v>
      </c>
      <c r="J1340">
        <v>13.595818458756201</v>
      </c>
      <c r="K1340">
        <v>13.3012200515556</v>
      </c>
      <c r="L1340">
        <v>13.305116711795501</v>
      </c>
      <c r="M1340">
        <v>13.225429097592301</v>
      </c>
      <c r="N1340">
        <v>13.462275591071201</v>
      </c>
      <c r="O1340">
        <v>12.9663568282095</v>
      </c>
      <c r="P1340">
        <v>-0.18269790174474901</v>
      </c>
      <c r="Q1340">
        <v>-0.627832568103185</v>
      </c>
      <c r="R1340">
        <v>0.26243676461368698</v>
      </c>
      <c r="S1340">
        <v>13.593659676244499</v>
      </c>
      <c r="T1340">
        <v>-0.87054589435597796</v>
      </c>
      <c r="U1340">
        <v>-6.6615862867918603</v>
      </c>
      <c r="V1340">
        <v>0.39695948604776898</v>
      </c>
      <c r="W1340">
        <v>0.67168360383171599</v>
      </c>
      <c r="X1340">
        <v>0</v>
      </c>
      <c r="Y1340">
        <v>0</v>
      </c>
    </row>
    <row r="1341" spans="1:25" x14ac:dyDescent="0.2">
      <c r="A1341" t="s">
        <v>4973</v>
      </c>
      <c r="B1341" t="s">
        <v>4974</v>
      </c>
      <c r="C1341" t="s">
        <v>4975</v>
      </c>
      <c r="D1341" t="s">
        <v>4976</v>
      </c>
      <c r="E1341" t="s">
        <v>4974</v>
      </c>
      <c r="F1341" t="s">
        <v>28</v>
      </c>
      <c r="G1341" t="s">
        <v>4974</v>
      </c>
      <c r="H1341" t="str">
        <f>"C06G4.1"</f>
        <v>C06G4.1</v>
      </c>
      <c r="I1341" t="s">
        <v>4976</v>
      </c>
      <c r="J1341" t="s">
        <v>29</v>
      </c>
      <c r="K1341">
        <v>12.6837691751735</v>
      </c>
      <c r="L1341">
        <v>13.160704277056199</v>
      </c>
      <c r="M1341" t="s">
        <v>29</v>
      </c>
      <c r="N1341">
        <v>12.9889076504694</v>
      </c>
      <c r="O1341" t="s">
        <v>29</v>
      </c>
      <c r="P1341">
        <v>6.6670924354555794E-2</v>
      </c>
      <c r="Q1341">
        <v>-0.608868207953844</v>
      </c>
      <c r="R1341">
        <v>0.74221005666295503</v>
      </c>
      <c r="S1341">
        <v>12.897137432930601</v>
      </c>
      <c r="T1341">
        <v>0.21524396185816</v>
      </c>
      <c r="U1341">
        <v>-6.6265376113974899</v>
      </c>
      <c r="V1341">
        <v>0.83322342945205197</v>
      </c>
      <c r="W1341">
        <v>0.93213516096945703</v>
      </c>
      <c r="X1341">
        <v>0</v>
      </c>
      <c r="Y1341">
        <v>0</v>
      </c>
    </row>
    <row r="1342" spans="1:25" x14ac:dyDescent="0.2">
      <c r="A1342" t="s">
        <v>4977</v>
      </c>
      <c r="B1342" t="s">
        <v>4978</v>
      </c>
      <c r="C1342" t="s">
        <v>4979</v>
      </c>
      <c r="D1342" t="s">
        <v>4980</v>
      </c>
      <c r="E1342" t="s">
        <v>4978</v>
      </c>
      <c r="F1342" t="s">
        <v>28</v>
      </c>
      <c r="G1342" t="s">
        <v>4978</v>
      </c>
      <c r="H1342" t="str">
        <f>"clp-1"</f>
        <v>clp-1</v>
      </c>
      <c r="I1342" t="s">
        <v>4980</v>
      </c>
      <c r="J1342" t="s">
        <v>29</v>
      </c>
      <c r="K1342" t="s">
        <v>29</v>
      </c>
      <c r="L1342" t="s">
        <v>29</v>
      </c>
      <c r="M1342">
        <v>13.429438863971701</v>
      </c>
      <c r="N1342">
        <v>13.667586088984599</v>
      </c>
      <c r="O1342">
        <v>14.064322554099199</v>
      </c>
      <c r="P1342" t="s">
        <v>29</v>
      </c>
      <c r="Q1342" t="s">
        <v>29</v>
      </c>
      <c r="R1342" t="s">
        <v>29</v>
      </c>
      <c r="S1342">
        <v>13.1201342021554</v>
      </c>
      <c r="T1342" t="s">
        <v>29</v>
      </c>
      <c r="U1342" t="s">
        <v>29</v>
      </c>
      <c r="V1342" t="s">
        <v>29</v>
      </c>
      <c r="W1342" t="s">
        <v>29</v>
      </c>
      <c r="X1342" t="s">
        <v>29</v>
      </c>
      <c r="Y1342" t="s">
        <v>29</v>
      </c>
    </row>
    <row r="1343" spans="1:25" x14ac:dyDescent="0.2">
      <c r="A1343" t="s">
        <v>4981</v>
      </c>
      <c r="B1343" t="s">
        <v>4982</v>
      </c>
      <c r="C1343" t="s">
        <v>4983</v>
      </c>
      <c r="D1343" t="s">
        <v>4984</v>
      </c>
      <c r="E1343" t="s">
        <v>4982</v>
      </c>
      <c r="F1343" t="s">
        <v>28</v>
      </c>
      <c r="G1343" t="s">
        <v>4982</v>
      </c>
      <c r="H1343" t="str">
        <f>"bud-31"</f>
        <v>bud-31</v>
      </c>
      <c r="I1343" t="s">
        <v>4984</v>
      </c>
      <c r="J1343" t="s">
        <v>29</v>
      </c>
      <c r="K1343" t="s">
        <v>29</v>
      </c>
      <c r="L1343">
        <v>10.714662570039399</v>
      </c>
      <c r="M1343" t="s">
        <v>29</v>
      </c>
      <c r="N1343" t="s">
        <v>29</v>
      </c>
      <c r="O1343" t="s">
        <v>29</v>
      </c>
      <c r="P1343" t="s">
        <v>29</v>
      </c>
      <c r="Q1343" t="s">
        <v>29</v>
      </c>
      <c r="R1343" t="s">
        <v>29</v>
      </c>
      <c r="S1343">
        <v>9.9074364640023802</v>
      </c>
      <c r="T1343" t="s">
        <v>29</v>
      </c>
      <c r="U1343" t="s">
        <v>29</v>
      </c>
      <c r="V1343" t="s">
        <v>29</v>
      </c>
      <c r="W1343" t="s">
        <v>29</v>
      </c>
      <c r="X1343" t="s">
        <v>29</v>
      </c>
      <c r="Y1343" t="s">
        <v>29</v>
      </c>
    </row>
    <row r="1344" spans="1:25" x14ac:dyDescent="0.2">
      <c r="A1344" t="s">
        <v>4985</v>
      </c>
      <c r="B1344" t="s">
        <v>4986</v>
      </c>
      <c r="C1344" t="s">
        <v>4987</v>
      </c>
      <c r="D1344" t="s">
        <v>4988</v>
      </c>
      <c r="E1344" t="s">
        <v>4986</v>
      </c>
      <c r="F1344" t="s">
        <v>28</v>
      </c>
      <c r="G1344" t="s">
        <v>4986</v>
      </c>
      <c r="H1344" t="str">
        <f>"tlk-1"</f>
        <v>tlk-1</v>
      </c>
      <c r="I1344" t="s">
        <v>4988</v>
      </c>
      <c r="J1344">
        <v>12.3296840428913</v>
      </c>
      <c r="K1344">
        <v>12.6185623758118</v>
      </c>
      <c r="L1344">
        <v>12.8711640806826</v>
      </c>
      <c r="M1344">
        <v>12.3475009588033</v>
      </c>
      <c r="N1344">
        <v>12.1583599970492</v>
      </c>
      <c r="O1344">
        <v>12.361341427702699</v>
      </c>
      <c r="P1344">
        <v>-0.31740270527683201</v>
      </c>
      <c r="Q1344">
        <v>-0.99204296450368301</v>
      </c>
      <c r="R1344">
        <v>0.35723755395001899</v>
      </c>
      <c r="S1344">
        <v>12.892844135594499</v>
      </c>
      <c r="T1344">
        <v>-0.99308948368421002</v>
      </c>
      <c r="U1344">
        <v>-6.5482968263656298</v>
      </c>
      <c r="V1344">
        <v>0.33467745733559701</v>
      </c>
      <c r="W1344">
        <v>0.61285337432190801</v>
      </c>
      <c r="X1344">
        <v>0</v>
      </c>
      <c r="Y1344">
        <v>0</v>
      </c>
    </row>
    <row r="1345" spans="1:25" x14ac:dyDescent="0.2">
      <c r="A1345" t="s">
        <v>4989</v>
      </c>
      <c r="B1345" t="s">
        <v>4990</v>
      </c>
      <c r="C1345" t="s">
        <v>4991</v>
      </c>
      <c r="D1345" t="s">
        <v>4992</v>
      </c>
      <c r="E1345" t="s">
        <v>4990</v>
      </c>
      <c r="F1345" t="s">
        <v>28</v>
      </c>
      <c r="G1345" t="s">
        <v>4990</v>
      </c>
      <c r="H1345" t="str">
        <f>"ugt-60"</f>
        <v>ugt-60</v>
      </c>
      <c r="I1345" t="s">
        <v>4992</v>
      </c>
      <c r="J1345">
        <v>13.898040174147001</v>
      </c>
      <c r="K1345">
        <v>13.671679343273899</v>
      </c>
      <c r="L1345">
        <v>13.4705564277613</v>
      </c>
      <c r="M1345">
        <v>13.8277594470729</v>
      </c>
      <c r="N1345">
        <v>13.2041217478113</v>
      </c>
      <c r="O1345">
        <v>12.641809693691901</v>
      </c>
      <c r="P1345">
        <v>-0.45552835220205701</v>
      </c>
      <c r="Q1345">
        <v>-0.96734464972902501</v>
      </c>
      <c r="R1345">
        <v>5.6287945324911E-2</v>
      </c>
      <c r="S1345">
        <v>13.3182018892839</v>
      </c>
      <c r="T1345">
        <v>-1.8786735246836399</v>
      </c>
      <c r="U1345">
        <v>-5.3683427407311601</v>
      </c>
      <c r="V1345">
        <v>7.7655989851503598E-2</v>
      </c>
      <c r="W1345">
        <v>0.28649953625486702</v>
      </c>
      <c r="X1345">
        <v>0</v>
      </c>
      <c r="Y1345">
        <v>0</v>
      </c>
    </row>
    <row r="1346" spans="1:25" x14ac:dyDescent="0.2">
      <c r="A1346" t="s">
        <v>4993</v>
      </c>
      <c r="B1346" t="s">
        <v>4994</v>
      </c>
      <c r="C1346" t="s">
        <v>4995</v>
      </c>
      <c r="D1346" t="s">
        <v>4996</v>
      </c>
      <c r="E1346" t="s">
        <v>4994</v>
      </c>
      <c r="F1346" t="s">
        <v>28</v>
      </c>
      <c r="G1346" t="s">
        <v>4994</v>
      </c>
      <c r="H1346" t="str">
        <f>"set-3"</f>
        <v>set-3</v>
      </c>
      <c r="I1346" t="s">
        <v>4996</v>
      </c>
      <c r="J1346">
        <v>11.104242458250001</v>
      </c>
      <c r="K1346" t="s">
        <v>29</v>
      </c>
      <c r="L1346">
        <v>10.6481669785677</v>
      </c>
      <c r="M1346">
        <v>10.175640869882599</v>
      </c>
      <c r="N1346">
        <v>10.239920310598601</v>
      </c>
      <c r="O1346">
        <v>10.0241194865065</v>
      </c>
      <c r="P1346">
        <v>-0.72964449607962201</v>
      </c>
      <c r="Q1346">
        <v>-1.41322838441858</v>
      </c>
      <c r="R1346">
        <v>-4.6060607740661799E-2</v>
      </c>
      <c r="S1346">
        <v>11.369255974179801</v>
      </c>
      <c r="T1346">
        <v>-2.2909277111223498</v>
      </c>
      <c r="U1346">
        <v>-4.5807860863589402</v>
      </c>
      <c r="V1346">
        <v>3.8126866619069701E-2</v>
      </c>
      <c r="W1346">
        <v>0.193788380672582</v>
      </c>
      <c r="X1346">
        <v>0</v>
      </c>
      <c r="Y1346">
        <v>0</v>
      </c>
    </row>
    <row r="1347" spans="1:25" x14ac:dyDescent="0.2">
      <c r="A1347" t="s">
        <v>4997</v>
      </c>
      <c r="B1347" t="s">
        <v>4998</v>
      </c>
      <c r="C1347" t="s">
        <v>4999</v>
      </c>
      <c r="D1347" t="s">
        <v>5000</v>
      </c>
      <c r="E1347" t="s">
        <v>4998</v>
      </c>
      <c r="F1347" t="s">
        <v>28</v>
      </c>
      <c r="G1347" t="s">
        <v>4998</v>
      </c>
      <c r="H1347" t="str">
        <f>"cyk-7"</f>
        <v>cyk-7</v>
      </c>
      <c r="I1347" t="s">
        <v>5000</v>
      </c>
      <c r="J1347">
        <v>11.831994169891001</v>
      </c>
      <c r="K1347">
        <v>11.545354435595801</v>
      </c>
      <c r="L1347">
        <v>12.500429946750801</v>
      </c>
      <c r="M1347">
        <v>11.4257237250971</v>
      </c>
      <c r="N1347">
        <v>12.4915547285785</v>
      </c>
      <c r="O1347">
        <v>10.988886403078901</v>
      </c>
      <c r="P1347">
        <v>-0.32387123182770899</v>
      </c>
      <c r="Q1347">
        <v>-1.04642490656109</v>
      </c>
      <c r="R1347">
        <v>0.39868244290567401</v>
      </c>
      <c r="S1347">
        <v>12.1411547851481</v>
      </c>
      <c r="T1347">
        <v>-0.95071815829318596</v>
      </c>
      <c r="U1347">
        <v>-6.58840973747487</v>
      </c>
      <c r="V1347">
        <v>0.35598080322914299</v>
      </c>
      <c r="W1347">
        <v>0.63553177735484401</v>
      </c>
      <c r="X1347">
        <v>0</v>
      </c>
      <c r="Y1347">
        <v>0</v>
      </c>
    </row>
    <row r="1348" spans="1:25" x14ac:dyDescent="0.2">
      <c r="A1348" t="s">
        <v>5001</v>
      </c>
      <c r="B1348" t="s">
        <v>5002</v>
      </c>
      <c r="C1348" t="s">
        <v>5003</v>
      </c>
      <c r="D1348" t="s">
        <v>5004</v>
      </c>
      <c r="E1348" t="s">
        <v>5002</v>
      </c>
      <c r="F1348" t="s">
        <v>28</v>
      </c>
      <c r="G1348" t="s">
        <v>5002</v>
      </c>
      <c r="H1348" t="str">
        <f>"hsp-12.2"</f>
        <v>hsp-12.2</v>
      </c>
      <c r="I1348" t="s">
        <v>5004</v>
      </c>
      <c r="J1348">
        <v>15.0356255675289</v>
      </c>
      <c r="K1348">
        <v>14.989109512332201</v>
      </c>
      <c r="L1348">
        <v>14.4266809363923</v>
      </c>
      <c r="M1348">
        <v>15.379576856554401</v>
      </c>
      <c r="N1348">
        <v>14.460259292118099</v>
      </c>
      <c r="O1348">
        <v>14.496922994298201</v>
      </c>
      <c r="P1348">
        <v>-3.82189577609022E-2</v>
      </c>
      <c r="Q1348">
        <v>-0.76169700317244504</v>
      </c>
      <c r="R1348">
        <v>0.68525908765064103</v>
      </c>
      <c r="S1348">
        <v>13.7842103690211</v>
      </c>
      <c r="T1348">
        <v>-0.111031446079891</v>
      </c>
      <c r="U1348">
        <v>-7.04562803514147</v>
      </c>
      <c r="V1348">
        <v>0.91282724260463299</v>
      </c>
      <c r="W1348">
        <v>0.96842015096093803</v>
      </c>
      <c r="X1348">
        <v>0</v>
      </c>
      <c r="Y1348">
        <v>0</v>
      </c>
    </row>
    <row r="1349" spans="1:25" x14ac:dyDescent="0.2">
      <c r="A1349" t="s">
        <v>5005</v>
      </c>
      <c r="B1349" t="s">
        <v>5006</v>
      </c>
      <c r="C1349" t="s">
        <v>5007</v>
      </c>
      <c r="D1349" t="s">
        <v>5008</v>
      </c>
      <c r="E1349" t="s">
        <v>5006</v>
      </c>
      <c r="F1349" t="s">
        <v>28</v>
      </c>
      <c r="G1349" t="s">
        <v>5006</v>
      </c>
      <c r="H1349" t="str">
        <f>"plk-1"</f>
        <v>plk-1</v>
      </c>
      <c r="I1349" t="s">
        <v>5008</v>
      </c>
      <c r="J1349">
        <v>14.567659026944501</v>
      </c>
      <c r="K1349">
        <v>14.3572396345697</v>
      </c>
      <c r="L1349">
        <v>14.745086721723</v>
      </c>
      <c r="M1349">
        <v>14.090864603258</v>
      </c>
      <c r="N1349">
        <v>14.517970634118999</v>
      </c>
      <c r="O1349">
        <v>14.2193292278941</v>
      </c>
      <c r="P1349">
        <v>-0.28060697265537399</v>
      </c>
      <c r="Q1349">
        <v>-0.73109624355911296</v>
      </c>
      <c r="R1349">
        <v>0.16988229824836601</v>
      </c>
      <c r="S1349">
        <v>14.6517339673069</v>
      </c>
      <c r="T1349">
        <v>-1.30920157615772</v>
      </c>
      <c r="U1349">
        <v>-6.1945877293526204</v>
      </c>
      <c r="V1349">
        <v>0.207028366422779</v>
      </c>
      <c r="W1349">
        <v>0.47159984338018002</v>
      </c>
      <c r="X1349">
        <v>0</v>
      </c>
      <c r="Y1349">
        <v>0</v>
      </c>
    </row>
    <row r="1350" spans="1:25" x14ac:dyDescent="0.2">
      <c r="A1350" t="s">
        <v>5009</v>
      </c>
      <c r="B1350" t="s">
        <v>5010</v>
      </c>
      <c r="C1350" t="s">
        <v>5011</v>
      </c>
      <c r="D1350" t="s">
        <v>5012</v>
      </c>
      <c r="E1350" t="s">
        <v>5010</v>
      </c>
      <c r="F1350" t="s">
        <v>28</v>
      </c>
      <c r="G1350" t="s">
        <v>5010</v>
      </c>
      <c r="H1350" t="str">
        <f>"rpl-21"</f>
        <v>rpl-21</v>
      </c>
      <c r="I1350" t="s">
        <v>5012</v>
      </c>
      <c r="J1350">
        <v>18.392453640427899</v>
      </c>
      <c r="K1350">
        <v>18.347064502904701</v>
      </c>
      <c r="L1350">
        <v>18.558594843480801</v>
      </c>
      <c r="M1350">
        <v>18.206077390164801</v>
      </c>
      <c r="N1350">
        <v>17.8510018242355</v>
      </c>
      <c r="O1350">
        <v>17.894354504809598</v>
      </c>
      <c r="P1350">
        <v>-0.44889308920115301</v>
      </c>
      <c r="Q1350">
        <v>-0.93180703363948003</v>
      </c>
      <c r="R1350">
        <v>3.40208552371737E-2</v>
      </c>
      <c r="S1350">
        <v>18.366181913288699</v>
      </c>
      <c r="T1350">
        <v>-1.9537351338378599</v>
      </c>
      <c r="U1350">
        <v>-5.2402228762206597</v>
      </c>
      <c r="V1350">
        <v>6.6546206505502997E-2</v>
      </c>
      <c r="W1350">
        <v>0.26187216934255902</v>
      </c>
      <c r="X1350">
        <v>0</v>
      </c>
      <c r="Y1350">
        <v>0</v>
      </c>
    </row>
    <row r="1351" spans="1:25" x14ac:dyDescent="0.2">
      <c r="A1351" t="s">
        <v>5013</v>
      </c>
      <c r="B1351" t="s">
        <v>5014</v>
      </c>
      <c r="C1351" t="s">
        <v>5015</v>
      </c>
      <c r="D1351" t="s">
        <v>5016</v>
      </c>
      <c r="E1351" t="s">
        <v>5014</v>
      </c>
      <c r="F1351" t="s">
        <v>28</v>
      </c>
      <c r="G1351" t="s">
        <v>5014</v>
      </c>
      <c r="H1351" t="str">
        <f>"C14B9.8"</f>
        <v>C14B9.8</v>
      </c>
      <c r="I1351" t="s">
        <v>5016</v>
      </c>
      <c r="J1351">
        <v>12.692733218603699</v>
      </c>
      <c r="K1351">
        <v>12.684492969251499</v>
      </c>
      <c r="L1351">
        <v>12.6575623782498</v>
      </c>
      <c r="M1351">
        <v>13.0230295018468</v>
      </c>
      <c r="N1351">
        <v>13.393655679837901</v>
      </c>
      <c r="O1351">
        <v>13.0340527742303</v>
      </c>
      <c r="P1351">
        <v>0.47198312993665698</v>
      </c>
      <c r="Q1351">
        <v>2.8999738125083899E-2</v>
      </c>
      <c r="R1351">
        <v>0.91496652174823001</v>
      </c>
      <c r="S1351">
        <v>12.7238814567876</v>
      </c>
      <c r="T1351">
        <v>2.2598965630682302</v>
      </c>
      <c r="U1351">
        <v>-4.7183570395468104</v>
      </c>
      <c r="V1351">
        <v>3.82284552957134E-2</v>
      </c>
      <c r="W1351">
        <v>0.193788380672582</v>
      </c>
      <c r="X1351">
        <v>0</v>
      </c>
      <c r="Y1351">
        <v>0</v>
      </c>
    </row>
    <row r="1352" spans="1:25" x14ac:dyDescent="0.2">
      <c r="A1352" t="s">
        <v>5017</v>
      </c>
      <c r="B1352" t="s">
        <v>5018</v>
      </c>
      <c r="C1352" t="s">
        <v>5019</v>
      </c>
      <c r="D1352" t="s">
        <v>5020</v>
      </c>
      <c r="E1352" t="s">
        <v>5018</v>
      </c>
      <c r="F1352" t="s">
        <v>28</v>
      </c>
      <c r="G1352" t="s">
        <v>5018</v>
      </c>
      <c r="H1352" t="str">
        <f>"egl-45"</f>
        <v>egl-45</v>
      </c>
      <c r="I1352" t="s">
        <v>5020</v>
      </c>
      <c r="J1352">
        <v>16.502946342107101</v>
      </c>
      <c r="K1352">
        <v>17.0789162379494</v>
      </c>
      <c r="L1352">
        <v>17.241133567479601</v>
      </c>
      <c r="M1352">
        <v>15.9582424226179</v>
      </c>
      <c r="N1352">
        <v>16.061666278807898</v>
      </c>
      <c r="O1352">
        <v>15.9896781063005</v>
      </c>
      <c r="P1352">
        <v>-0.93780311326994004</v>
      </c>
      <c r="Q1352">
        <v>-1.3946520105262601</v>
      </c>
      <c r="R1352">
        <v>-0.48095421601361799</v>
      </c>
      <c r="S1352">
        <v>17.266464615216002</v>
      </c>
      <c r="T1352">
        <v>-4.3145112163813097</v>
      </c>
      <c r="U1352">
        <v>-0.38729404229835201</v>
      </c>
      <c r="V1352">
        <v>4.2251164787461001E-4</v>
      </c>
      <c r="W1352">
        <v>9.4423633744962505E-3</v>
      </c>
      <c r="X1352">
        <v>0</v>
      </c>
      <c r="Y1352">
        <v>0</v>
      </c>
    </row>
    <row r="1353" spans="1:25" x14ac:dyDescent="0.2">
      <c r="A1353" t="s">
        <v>5021</v>
      </c>
      <c r="B1353" t="s">
        <v>5022</v>
      </c>
      <c r="C1353" t="s">
        <v>5023</v>
      </c>
      <c r="D1353" t="s">
        <v>5024</v>
      </c>
      <c r="E1353" t="s">
        <v>5022</v>
      </c>
      <c r="F1353" t="s">
        <v>28</v>
      </c>
      <c r="G1353" t="s">
        <v>5022</v>
      </c>
      <c r="H1353" t="str">
        <f>"col-90"</f>
        <v>col-90</v>
      </c>
      <c r="I1353" t="s">
        <v>5024</v>
      </c>
      <c r="J1353">
        <v>12.2986010370435</v>
      </c>
      <c r="K1353">
        <v>13.17818685758</v>
      </c>
      <c r="L1353">
        <v>13.969140845379901</v>
      </c>
      <c r="M1353">
        <v>12.707182788123101</v>
      </c>
      <c r="N1353">
        <v>12.5472332196136</v>
      </c>
      <c r="O1353">
        <v>13.132359712015001</v>
      </c>
      <c r="P1353">
        <v>-0.35305100675058998</v>
      </c>
      <c r="Q1353">
        <v>-1.5633599181273301</v>
      </c>
      <c r="R1353">
        <v>0.85725790462614504</v>
      </c>
      <c r="S1353">
        <v>12.977586089794499</v>
      </c>
      <c r="T1353">
        <v>-0.613103416802533</v>
      </c>
      <c r="U1353">
        <v>-6.8571485322415802</v>
      </c>
      <c r="V1353">
        <v>0.54752188843402505</v>
      </c>
      <c r="W1353">
        <v>0.77920996104149098</v>
      </c>
      <c r="X1353">
        <v>0</v>
      </c>
      <c r="Y1353">
        <v>0</v>
      </c>
    </row>
    <row r="1354" spans="1:25" x14ac:dyDescent="0.2">
      <c r="A1354" t="s">
        <v>5025</v>
      </c>
      <c r="B1354" t="s">
        <v>5026</v>
      </c>
      <c r="C1354" t="s">
        <v>5027</v>
      </c>
      <c r="D1354" t="s">
        <v>5028</v>
      </c>
      <c r="E1354" t="s">
        <v>5026</v>
      </c>
      <c r="F1354" t="s">
        <v>28</v>
      </c>
      <c r="G1354" t="s">
        <v>5026</v>
      </c>
      <c r="H1354" t="str">
        <f>"kle-2"</f>
        <v>kle-2</v>
      </c>
      <c r="I1354" t="s">
        <v>5028</v>
      </c>
      <c r="J1354">
        <v>12.361450026740799</v>
      </c>
      <c r="K1354">
        <v>11.595607125856001</v>
      </c>
      <c r="L1354">
        <v>12.1473281534638</v>
      </c>
      <c r="M1354">
        <v>11.890048202146501</v>
      </c>
      <c r="N1354">
        <v>12.348059101529801</v>
      </c>
      <c r="O1354" t="s">
        <v>29</v>
      </c>
      <c r="P1354">
        <v>8.4258549817951306E-2</v>
      </c>
      <c r="Q1354">
        <v>-0.51177746202636998</v>
      </c>
      <c r="R1354">
        <v>0.68029456166227298</v>
      </c>
      <c r="S1354">
        <v>12.154954053490499</v>
      </c>
      <c r="T1354">
        <v>0.30149706301052398</v>
      </c>
      <c r="U1354">
        <v>-6.8935219525469398</v>
      </c>
      <c r="V1354">
        <v>0.76720380259121101</v>
      </c>
      <c r="W1354">
        <v>0.90111683213701999</v>
      </c>
      <c r="X1354">
        <v>0</v>
      </c>
      <c r="Y1354">
        <v>0</v>
      </c>
    </row>
    <row r="1355" spans="1:25" x14ac:dyDescent="0.2">
      <c r="A1355" t="s">
        <v>5029</v>
      </c>
      <c r="B1355" t="s">
        <v>5030</v>
      </c>
      <c r="C1355" t="s">
        <v>5031</v>
      </c>
      <c r="D1355" t="s">
        <v>5032</v>
      </c>
      <c r="E1355" t="s">
        <v>5030</v>
      </c>
      <c r="F1355" t="s">
        <v>28</v>
      </c>
      <c r="G1355" t="s">
        <v>5030</v>
      </c>
      <c r="H1355" t="str">
        <f>"ran-2"</f>
        <v>ran-2</v>
      </c>
      <c r="I1355" t="s">
        <v>5032</v>
      </c>
      <c r="J1355">
        <v>13.4672196569964</v>
      </c>
      <c r="K1355">
        <v>13.790968818373001</v>
      </c>
      <c r="L1355">
        <v>13.7460772328115</v>
      </c>
      <c r="M1355">
        <v>14.45867482185</v>
      </c>
      <c r="N1355">
        <v>14.925215375658899</v>
      </c>
      <c r="O1355">
        <v>14.884683321579701</v>
      </c>
      <c r="P1355">
        <v>1.0881026036359001</v>
      </c>
      <c r="Q1355">
        <v>0.64537428008337605</v>
      </c>
      <c r="R1355">
        <v>1.53083092718842</v>
      </c>
      <c r="S1355">
        <v>13.962735930157701</v>
      </c>
      <c r="T1355">
        <v>5.1656509358612501</v>
      </c>
      <c r="U1355">
        <v>1.46814766850266</v>
      </c>
      <c r="V1355" s="2">
        <v>6.6146254404575002E-5</v>
      </c>
      <c r="W1355">
        <v>2.24208241492174E-3</v>
      </c>
      <c r="X1355">
        <v>1</v>
      </c>
      <c r="Y1355">
        <v>1</v>
      </c>
    </row>
    <row r="1356" spans="1:25" x14ac:dyDescent="0.2">
      <c r="A1356" t="s">
        <v>5033</v>
      </c>
      <c r="B1356" t="s">
        <v>5034</v>
      </c>
      <c r="C1356" t="s">
        <v>5035</v>
      </c>
      <c r="D1356" t="s">
        <v>5036</v>
      </c>
      <c r="E1356" t="s">
        <v>5034</v>
      </c>
      <c r="F1356" t="s">
        <v>28</v>
      </c>
      <c r="G1356" t="s">
        <v>5034</v>
      </c>
      <c r="H1356" t="str">
        <f>"npp-15"</f>
        <v>npp-15</v>
      </c>
      <c r="I1356" t="s">
        <v>5036</v>
      </c>
      <c r="J1356">
        <v>14.2785805749437</v>
      </c>
      <c r="K1356">
        <v>14.136442078177399</v>
      </c>
      <c r="L1356">
        <v>14.0192920361361</v>
      </c>
      <c r="M1356">
        <v>14.1294717424497</v>
      </c>
      <c r="N1356">
        <v>14.254076104109901</v>
      </c>
      <c r="O1356">
        <v>14.128887196638599</v>
      </c>
      <c r="P1356">
        <v>2.6040117980333101E-2</v>
      </c>
      <c r="Q1356">
        <v>-0.29469331021275103</v>
      </c>
      <c r="R1356">
        <v>0.34677354617341699</v>
      </c>
      <c r="S1356">
        <v>14.025399346188101</v>
      </c>
      <c r="T1356">
        <v>0.17064408319437699</v>
      </c>
      <c r="U1356">
        <v>-7.0368385138174503</v>
      </c>
      <c r="V1356">
        <v>0.86641818961339201</v>
      </c>
      <c r="W1356">
        <v>0.94935342265210398</v>
      </c>
      <c r="X1356">
        <v>0</v>
      </c>
      <c r="Y1356">
        <v>0</v>
      </c>
    </row>
    <row r="1357" spans="1:25" x14ac:dyDescent="0.2">
      <c r="A1357" t="s">
        <v>5037</v>
      </c>
      <c r="B1357" t="s">
        <v>5038</v>
      </c>
      <c r="C1357" t="s">
        <v>5039</v>
      </c>
      <c r="D1357" t="s">
        <v>5040</v>
      </c>
      <c r="E1357" t="s">
        <v>5038</v>
      </c>
      <c r="F1357" t="s">
        <v>28</v>
      </c>
      <c r="G1357" t="s">
        <v>5038</v>
      </c>
      <c r="H1357" t="str">
        <f>"tag-250"</f>
        <v>tag-250</v>
      </c>
      <c r="I1357" t="s">
        <v>5040</v>
      </c>
      <c r="J1357">
        <v>11.9593463090628</v>
      </c>
      <c r="K1357" t="s">
        <v>29</v>
      </c>
      <c r="L1357">
        <v>12.540926970584501</v>
      </c>
      <c r="M1357">
        <v>12.871055258921601</v>
      </c>
      <c r="N1357">
        <v>11.744502566789</v>
      </c>
      <c r="O1357">
        <v>10.485721243157201</v>
      </c>
      <c r="P1357">
        <v>-0.54971028353440399</v>
      </c>
      <c r="Q1357">
        <v>-2.1632474242049602</v>
      </c>
      <c r="R1357">
        <v>1.06382685713615</v>
      </c>
      <c r="S1357">
        <v>12.352320052925</v>
      </c>
      <c r="T1357">
        <v>-0.73121785537117701</v>
      </c>
      <c r="U1357">
        <v>-6.6628537223660498</v>
      </c>
      <c r="V1357">
        <v>0.47679701414528303</v>
      </c>
      <c r="W1357">
        <v>0.73670345870311005</v>
      </c>
      <c r="X1357">
        <v>0</v>
      </c>
      <c r="Y1357">
        <v>0</v>
      </c>
    </row>
    <row r="1358" spans="1:25" x14ac:dyDescent="0.2">
      <c r="A1358" t="s">
        <v>5041</v>
      </c>
      <c r="B1358" t="s">
        <v>5042</v>
      </c>
      <c r="C1358" t="s">
        <v>5043</v>
      </c>
      <c r="D1358" t="s">
        <v>5044</v>
      </c>
      <c r="E1358" t="s">
        <v>5042</v>
      </c>
      <c r="F1358" t="s">
        <v>28</v>
      </c>
      <c r="G1358" t="s">
        <v>5042</v>
      </c>
      <c r="H1358" t="str">
        <f>"gsto-1"</f>
        <v>gsto-1</v>
      </c>
      <c r="I1358" t="s">
        <v>5044</v>
      </c>
      <c r="J1358" t="s">
        <v>29</v>
      </c>
      <c r="K1358">
        <v>16.864990649291101</v>
      </c>
      <c r="L1358" t="s">
        <v>29</v>
      </c>
      <c r="M1358" t="s">
        <v>29</v>
      </c>
      <c r="N1358" t="s">
        <v>29</v>
      </c>
      <c r="O1358" t="s">
        <v>29</v>
      </c>
      <c r="P1358" t="s">
        <v>29</v>
      </c>
      <c r="Q1358" t="s">
        <v>29</v>
      </c>
      <c r="R1358" t="s">
        <v>29</v>
      </c>
      <c r="S1358">
        <v>14.509000058698</v>
      </c>
      <c r="T1358" t="s">
        <v>29</v>
      </c>
      <c r="U1358" t="s">
        <v>29</v>
      </c>
      <c r="V1358" t="s">
        <v>29</v>
      </c>
      <c r="W1358" t="s">
        <v>29</v>
      </c>
      <c r="X1358" t="s">
        <v>29</v>
      </c>
      <c r="Y1358" t="s">
        <v>29</v>
      </c>
    </row>
    <row r="1359" spans="1:25" x14ac:dyDescent="0.2">
      <c r="A1359" t="s">
        <v>5045</v>
      </c>
      <c r="B1359" t="s">
        <v>5046</v>
      </c>
      <c r="C1359" t="s">
        <v>5047</v>
      </c>
      <c r="D1359" t="s">
        <v>5048</v>
      </c>
      <c r="E1359" t="s">
        <v>5046</v>
      </c>
      <c r="F1359" t="s">
        <v>28</v>
      </c>
      <c r="G1359" t="s">
        <v>5046</v>
      </c>
      <c r="H1359" t="str">
        <f>"let-754"</f>
        <v>let-754</v>
      </c>
      <c r="I1359" t="s">
        <v>5048</v>
      </c>
      <c r="J1359">
        <v>14.515599606111101</v>
      </c>
      <c r="K1359">
        <v>14.0511598494449</v>
      </c>
      <c r="L1359">
        <v>13.9578405239186</v>
      </c>
      <c r="M1359">
        <v>13.2996753623089</v>
      </c>
      <c r="N1359">
        <v>13.329115622334101</v>
      </c>
      <c r="O1359">
        <v>14.1424592320838</v>
      </c>
      <c r="P1359">
        <v>-0.58444992091593495</v>
      </c>
      <c r="Q1359">
        <v>-1.18249705387043</v>
      </c>
      <c r="R1359">
        <v>1.3597212038564699E-2</v>
      </c>
      <c r="S1359">
        <v>13.152735977140001</v>
      </c>
      <c r="T1359">
        <v>-2.0628227131069101</v>
      </c>
      <c r="U1359">
        <v>-5.0587123357451897</v>
      </c>
      <c r="V1359">
        <v>5.4848937922387098E-2</v>
      </c>
      <c r="W1359">
        <v>0.23453146386261201</v>
      </c>
      <c r="X1359">
        <v>0</v>
      </c>
      <c r="Y1359">
        <v>0</v>
      </c>
    </row>
    <row r="1360" spans="1:25" x14ac:dyDescent="0.2">
      <c r="A1360" t="s">
        <v>5049</v>
      </c>
      <c r="B1360" t="s">
        <v>5050</v>
      </c>
      <c r="C1360" t="s">
        <v>5051</v>
      </c>
      <c r="D1360" t="s">
        <v>5052</v>
      </c>
      <c r="E1360" t="s">
        <v>5050</v>
      </c>
      <c r="F1360" t="s">
        <v>28</v>
      </c>
      <c r="G1360" t="s">
        <v>5050</v>
      </c>
      <c r="H1360" t="str">
        <f>"acox-1.5"</f>
        <v>acox-1.5</v>
      </c>
      <c r="I1360" t="s">
        <v>5052</v>
      </c>
      <c r="J1360">
        <v>15.841209185052699</v>
      </c>
      <c r="K1360">
        <v>15.8398358532218</v>
      </c>
      <c r="L1360">
        <v>15.408189926701001</v>
      </c>
      <c r="M1360">
        <v>15.286807026382601</v>
      </c>
      <c r="N1360">
        <v>15.282360197852</v>
      </c>
      <c r="O1360">
        <v>15.2443012744718</v>
      </c>
      <c r="P1360">
        <v>-0.42525548875636499</v>
      </c>
      <c r="Q1360">
        <v>-0.84949340495993497</v>
      </c>
      <c r="R1360">
        <v>-1.0175725527953299E-3</v>
      </c>
      <c r="S1360">
        <v>15.1423893072431</v>
      </c>
      <c r="T1360">
        <v>-2.10684681488652</v>
      </c>
      <c r="U1360">
        <v>-4.9759020414861297</v>
      </c>
      <c r="V1360">
        <v>4.9508827818006799E-2</v>
      </c>
      <c r="W1360">
        <v>0.221597972104256</v>
      </c>
      <c r="X1360">
        <v>0</v>
      </c>
      <c r="Y1360">
        <v>0</v>
      </c>
    </row>
    <row r="1361" spans="1:25" x14ac:dyDescent="0.2">
      <c r="A1361" t="s">
        <v>5053</v>
      </c>
      <c r="B1361" t="s">
        <v>5054</v>
      </c>
      <c r="C1361" t="s">
        <v>5055</v>
      </c>
      <c r="D1361" t="s">
        <v>5056</v>
      </c>
      <c r="E1361" t="s">
        <v>5054</v>
      </c>
      <c r="F1361" t="s">
        <v>28</v>
      </c>
      <c r="G1361" t="s">
        <v>5054</v>
      </c>
      <c r="H1361" t="str">
        <f>"ced-7"</f>
        <v>ced-7</v>
      </c>
      <c r="I1361" t="s">
        <v>5056</v>
      </c>
      <c r="J1361" t="s">
        <v>29</v>
      </c>
      <c r="K1361" t="s">
        <v>29</v>
      </c>
      <c r="L1361" t="s">
        <v>29</v>
      </c>
      <c r="M1361" t="s">
        <v>29</v>
      </c>
      <c r="N1361" t="s">
        <v>29</v>
      </c>
      <c r="O1361" t="s">
        <v>29</v>
      </c>
      <c r="P1361" t="s">
        <v>29</v>
      </c>
      <c r="Q1361" t="s">
        <v>29</v>
      </c>
      <c r="R1361" t="s">
        <v>29</v>
      </c>
      <c r="S1361">
        <v>9.9996583660510794</v>
      </c>
      <c r="T1361" t="s">
        <v>29</v>
      </c>
      <c r="U1361" t="s">
        <v>29</v>
      </c>
      <c r="V1361" t="s">
        <v>29</v>
      </c>
      <c r="W1361" t="s">
        <v>29</v>
      </c>
      <c r="X1361" t="s">
        <v>29</v>
      </c>
      <c r="Y1361" t="s">
        <v>29</v>
      </c>
    </row>
    <row r="1362" spans="1:25" x14ac:dyDescent="0.2">
      <c r="A1362" t="s">
        <v>5057</v>
      </c>
      <c r="B1362" t="s">
        <v>5058</v>
      </c>
      <c r="C1362" t="s">
        <v>5059</v>
      </c>
      <c r="D1362" t="s">
        <v>5060</v>
      </c>
      <c r="E1362" t="s">
        <v>5058</v>
      </c>
      <c r="F1362" t="s">
        <v>28</v>
      </c>
      <c r="G1362" t="s">
        <v>5058</v>
      </c>
      <c r="H1362" t="str">
        <f>"C48B4.6"</f>
        <v>C48B4.6</v>
      </c>
      <c r="I1362" t="s">
        <v>5060</v>
      </c>
      <c r="J1362">
        <v>12.9026711544085</v>
      </c>
      <c r="K1362">
        <v>12.7631310843172</v>
      </c>
      <c r="L1362">
        <v>13.0951278725439</v>
      </c>
      <c r="M1362">
        <v>11.380448637962401</v>
      </c>
      <c r="N1362">
        <v>12.5645503382946</v>
      </c>
      <c r="O1362">
        <v>12.1995961455439</v>
      </c>
      <c r="P1362">
        <v>-0.87211166315623401</v>
      </c>
      <c r="Q1362">
        <v>-1.38012367703781</v>
      </c>
      <c r="R1362">
        <v>-0.36409964927465699</v>
      </c>
      <c r="S1362">
        <v>13.078369281983299</v>
      </c>
      <c r="T1362">
        <v>-3.6236656964858698</v>
      </c>
      <c r="U1362">
        <v>-1.9577955290257201</v>
      </c>
      <c r="V1362">
        <v>2.1161833561120901E-3</v>
      </c>
      <c r="W1362">
        <v>2.9519679524517999E-2</v>
      </c>
      <c r="X1362">
        <v>0</v>
      </c>
      <c r="Y1362">
        <v>0</v>
      </c>
    </row>
    <row r="1363" spans="1:25" x14ac:dyDescent="0.2">
      <c r="A1363" t="s">
        <v>5061</v>
      </c>
      <c r="B1363" t="s">
        <v>5062</v>
      </c>
      <c r="C1363" t="s">
        <v>5063</v>
      </c>
      <c r="D1363" t="s">
        <v>5064</v>
      </c>
      <c r="E1363" t="s">
        <v>5062</v>
      </c>
      <c r="F1363" t="s">
        <v>28</v>
      </c>
      <c r="G1363" t="s">
        <v>5062</v>
      </c>
      <c r="H1363" t="str">
        <f>"prp-8"</f>
        <v>prp-8</v>
      </c>
      <c r="I1363" t="s">
        <v>5064</v>
      </c>
      <c r="J1363">
        <v>15.2346412551495</v>
      </c>
      <c r="K1363">
        <v>15.140654077802999</v>
      </c>
      <c r="L1363">
        <v>15.1540369325957</v>
      </c>
      <c r="M1363">
        <v>15.224551650691</v>
      </c>
      <c r="N1363">
        <v>15.365097740395999</v>
      </c>
      <c r="O1363">
        <v>15.0753107617021</v>
      </c>
      <c r="P1363">
        <v>4.5209295746978698E-2</v>
      </c>
      <c r="Q1363">
        <v>-0.38690200098646599</v>
      </c>
      <c r="R1363">
        <v>0.47732059248042402</v>
      </c>
      <c r="S1363">
        <v>15.3978523119968</v>
      </c>
      <c r="T1363">
        <v>0.21989969889893299</v>
      </c>
      <c r="U1363">
        <v>-7.02677931028283</v>
      </c>
      <c r="V1363">
        <v>0.82843826861398595</v>
      </c>
      <c r="W1363">
        <v>0.93149209608497197</v>
      </c>
      <c r="X1363">
        <v>0</v>
      </c>
      <c r="Y1363">
        <v>0</v>
      </c>
    </row>
    <row r="1364" spans="1:25" x14ac:dyDescent="0.2">
      <c r="A1364" t="s">
        <v>5065</v>
      </c>
      <c r="B1364" t="s">
        <v>5066</v>
      </c>
      <c r="C1364" t="s">
        <v>5067</v>
      </c>
      <c r="D1364" t="s">
        <v>5068</v>
      </c>
      <c r="E1364" t="s">
        <v>5066</v>
      </c>
      <c r="F1364" t="s">
        <v>28</v>
      </c>
      <c r="G1364" t="s">
        <v>5066</v>
      </c>
      <c r="H1364" t="str">
        <f>"mrpl-18"</f>
        <v>mrpl-18</v>
      </c>
      <c r="I1364" t="s">
        <v>5068</v>
      </c>
      <c r="J1364">
        <v>12.1467093490878</v>
      </c>
      <c r="K1364">
        <v>11.128594971794801</v>
      </c>
      <c r="L1364">
        <v>12.491998170390801</v>
      </c>
      <c r="M1364">
        <v>12.2133209316133</v>
      </c>
      <c r="N1364">
        <v>11.7862537662409</v>
      </c>
      <c r="O1364">
        <v>12.132307772122401</v>
      </c>
      <c r="P1364">
        <v>0.121526659567742</v>
      </c>
      <c r="Q1364">
        <v>-0.54671557610599497</v>
      </c>
      <c r="R1364">
        <v>0.78976889524147897</v>
      </c>
      <c r="S1364">
        <v>12.4886816815955</v>
      </c>
      <c r="T1364">
        <v>0.38573333217000999</v>
      </c>
      <c r="U1364">
        <v>-6.9739594361606603</v>
      </c>
      <c r="V1364">
        <v>0.70480781720124797</v>
      </c>
      <c r="W1364">
        <v>0.86788140819986703</v>
      </c>
      <c r="X1364">
        <v>0</v>
      </c>
      <c r="Y1364">
        <v>0</v>
      </c>
    </row>
    <row r="1365" spans="1:25" x14ac:dyDescent="0.2">
      <c r="A1365" t="s">
        <v>5069</v>
      </c>
      <c r="B1365" t="s">
        <v>5070</v>
      </c>
      <c r="C1365" t="s">
        <v>5071</v>
      </c>
      <c r="D1365" t="s">
        <v>5072</v>
      </c>
      <c r="E1365" t="s">
        <v>5070</v>
      </c>
      <c r="F1365" t="s">
        <v>28</v>
      </c>
      <c r="G1365" t="s">
        <v>5070</v>
      </c>
      <c r="H1365" t="str">
        <f>"atg-13"</f>
        <v>atg-13</v>
      </c>
      <c r="I1365" t="s">
        <v>5072</v>
      </c>
      <c r="J1365" t="s">
        <v>29</v>
      </c>
      <c r="K1365" t="s">
        <v>29</v>
      </c>
      <c r="L1365" t="s">
        <v>29</v>
      </c>
      <c r="M1365" t="s">
        <v>29</v>
      </c>
      <c r="N1365">
        <v>12.385892522476601</v>
      </c>
      <c r="O1365">
        <v>13.062717866440799</v>
      </c>
      <c r="P1365" t="s">
        <v>29</v>
      </c>
      <c r="Q1365" t="s">
        <v>29</v>
      </c>
      <c r="R1365" t="s">
        <v>29</v>
      </c>
      <c r="S1365">
        <v>12.8206903374858</v>
      </c>
      <c r="T1365" t="s">
        <v>29</v>
      </c>
      <c r="U1365" t="s">
        <v>29</v>
      </c>
      <c r="V1365" t="s">
        <v>29</v>
      </c>
      <c r="W1365" t="s">
        <v>29</v>
      </c>
      <c r="X1365" t="s">
        <v>29</v>
      </c>
      <c r="Y1365" t="s">
        <v>29</v>
      </c>
    </row>
    <row r="1366" spans="1:25" x14ac:dyDescent="0.2">
      <c r="A1366" t="s">
        <v>5073</v>
      </c>
      <c r="B1366" t="s">
        <v>5074</v>
      </c>
      <c r="C1366" t="s">
        <v>5075</v>
      </c>
      <c r="D1366" t="s">
        <v>5076</v>
      </c>
      <c r="E1366" t="s">
        <v>5074</v>
      </c>
      <c r="F1366" t="s">
        <v>28</v>
      </c>
      <c r="G1366" t="s">
        <v>5074</v>
      </c>
      <c r="H1366" t="str">
        <f>"far-1"</f>
        <v>far-1</v>
      </c>
      <c r="I1366" t="s">
        <v>5076</v>
      </c>
      <c r="J1366" t="s">
        <v>29</v>
      </c>
      <c r="K1366" t="s">
        <v>29</v>
      </c>
      <c r="L1366">
        <v>12.048654861612899</v>
      </c>
      <c r="M1366">
        <v>12.743950504161299</v>
      </c>
      <c r="N1366">
        <v>12.590016629650901</v>
      </c>
      <c r="O1366">
        <v>13.949344335569201</v>
      </c>
      <c r="P1366">
        <v>1.0457822948475799</v>
      </c>
      <c r="Q1366">
        <v>-0.82546948512068397</v>
      </c>
      <c r="R1366">
        <v>2.9170340748158399</v>
      </c>
      <c r="S1366">
        <v>12.3181075263695</v>
      </c>
      <c r="T1366">
        <v>1.20835989535178</v>
      </c>
      <c r="U1366">
        <v>-5.9753873689761399</v>
      </c>
      <c r="V1366">
        <v>0.24860199096587099</v>
      </c>
      <c r="W1366">
        <v>0.52291588791399102</v>
      </c>
      <c r="X1366">
        <v>0</v>
      </c>
      <c r="Y1366">
        <v>0</v>
      </c>
    </row>
    <row r="1367" spans="1:25" x14ac:dyDescent="0.2">
      <c r="A1367" t="s">
        <v>5077</v>
      </c>
      <c r="B1367" t="s">
        <v>5078</v>
      </c>
      <c r="C1367" t="s">
        <v>5079</v>
      </c>
      <c r="D1367" t="s">
        <v>5080</v>
      </c>
      <c r="E1367" t="s">
        <v>5078</v>
      </c>
      <c r="F1367" t="s">
        <v>28</v>
      </c>
      <c r="G1367" t="s">
        <v>5078</v>
      </c>
      <c r="H1367" t="str">
        <f>"far-2"</f>
        <v>far-2</v>
      </c>
      <c r="I1367" t="s">
        <v>5080</v>
      </c>
      <c r="J1367">
        <v>11.825526283913099</v>
      </c>
      <c r="K1367">
        <v>11.3410406064739</v>
      </c>
      <c r="L1367">
        <v>12.631050850671199</v>
      </c>
      <c r="M1367">
        <v>12.5246514222718</v>
      </c>
      <c r="N1367">
        <v>12.7614611217546</v>
      </c>
      <c r="O1367">
        <v>12.8316729302756</v>
      </c>
      <c r="P1367">
        <v>0.773389244414597</v>
      </c>
      <c r="Q1367">
        <v>-0.317979697399907</v>
      </c>
      <c r="R1367">
        <v>1.8647581862291001</v>
      </c>
      <c r="S1367">
        <v>12.070305434903799</v>
      </c>
      <c r="T1367">
        <v>1.4894264112261899</v>
      </c>
      <c r="U1367">
        <v>-5.9566060475762397</v>
      </c>
      <c r="V1367">
        <v>0.15378858505700499</v>
      </c>
      <c r="W1367">
        <v>0.40569046233670703</v>
      </c>
      <c r="X1367">
        <v>0</v>
      </c>
      <c r="Y1367">
        <v>0</v>
      </c>
    </row>
    <row r="1368" spans="1:25" x14ac:dyDescent="0.2">
      <c r="A1368" t="s">
        <v>5081</v>
      </c>
      <c r="B1368" t="s">
        <v>5082</v>
      </c>
      <c r="C1368" t="s">
        <v>5083</v>
      </c>
      <c r="D1368" t="s">
        <v>5084</v>
      </c>
      <c r="E1368" t="s">
        <v>5082</v>
      </c>
      <c r="F1368" t="s">
        <v>28</v>
      </c>
      <c r="G1368" t="s">
        <v>5082</v>
      </c>
      <c r="H1368" t="str">
        <f>"mrpl-44"</f>
        <v>mrpl-44</v>
      </c>
      <c r="I1368" t="s">
        <v>5084</v>
      </c>
      <c r="J1368">
        <v>12.7896252475139</v>
      </c>
      <c r="K1368">
        <v>13.2837027500763</v>
      </c>
      <c r="L1368">
        <v>13.2580258554575</v>
      </c>
      <c r="M1368">
        <v>12.287356722022</v>
      </c>
      <c r="N1368">
        <v>12.6689395730996</v>
      </c>
      <c r="O1368">
        <v>13.062573662844899</v>
      </c>
      <c r="P1368">
        <v>-0.437494631693717</v>
      </c>
      <c r="Q1368">
        <v>-1.09442107891195</v>
      </c>
      <c r="R1368">
        <v>0.21943181552452001</v>
      </c>
      <c r="S1368">
        <v>13.6157459116754</v>
      </c>
      <c r="T1368">
        <v>-1.4057432117708499</v>
      </c>
      <c r="U1368">
        <v>-6.0700436868774297</v>
      </c>
      <c r="V1368">
        <v>0.17792411739951899</v>
      </c>
      <c r="W1368">
        <v>0.43994306840276298</v>
      </c>
      <c r="X1368">
        <v>0</v>
      </c>
      <c r="Y1368">
        <v>0</v>
      </c>
    </row>
    <row r="1369" spans="1:25" x14ac:dyDescent="0.2">
      <c r="A1369" t="s">
        <v>5085</v>
      </c>
      <c r="B1369" t="s">
        <v>5086</v>
      </c>
      <c r="C1369" t="s">
        <v>5087</v>
      </c>
      <c r="D1369" t="s">
        <v>5088</v>
      </c>
      <c r="E1369" t="s">
        <v>5086</v>
      </c>
      <c r="F1369" t="s">
        <v>28</v>
      </c>
      <c r="G1369" t="s">
        <v>5086</v>
      </c>
      <c r="H1369" t="str">
        <f>"F02A9.10"</f>
        <v>F02A9.10</v>
      </c>
      <c r="I1369" t="s">
        <v>5088</v>
      </c>
      <c r="J1369">
        <v>17.641257800795</v>
      </c>
      <c r="K1369">
        <v>18.449527920070199</v>
      </c>
      <c r="L1369">
        <v>17.754274264604899</v>
      </c>
      <c r="M1369">
        <v>18.390265355161901</v>
      </c>
      <c r="N1369">
        <v>19.370354168198599</v>
      </c>
      <c r="O1369">
        <v>19.628613930745399</v>
      </c>
      <c r="P1369">
        <v>1.1813911562119299</v>
      </c>
      <c r="Q1369">
        <v>7.7152662618956494E-2</v>
      </c>
      <c r="R1369">
        <v>2.2856296498048998</v>
      </c>
      <c r="S1369">
        <v>17.8152566314625</v>
      </c>
      <c r="T1369">
        <v>2.2486576778637302</v>
      </c>
      <c r="U1369">
        <v>-4.7205619243614496</v>
      </c>
      <c r="V1369">
        <v>3.7374051780576602E-2</v>
      </c>
      <c r="W1369">
        <v>0.19212506239177901</v>
      </c>
      <c r="X1369">
        <v>1</v>
      </c>
      <c r="Y1369">
        <v>0</v>
      </c>
    </row>
    <row r="1370" spans="1:25" x14ac:dyDescent="0.2">
      <c r="A1370" t="s">
        <v>5089</v>
      </c>
      <c r="B1370" t="s">
        <v>5090</v>
      </c>
      <c r="C1370" t="s">
        <v>5091</v>
      </c>
      <c r="D1370" t="s">
        <v>5092</v>
      </c>
      <c r="E1370" t="s">
        <v>5090</v>
      </c>
      <c r="F1370" t="s">
        <v>28</v>
      </c>
      <c r="G1370" t="s">
        <v>5090</v>
      </c>
      <c r="H1370" t="str">
        <f>"mrps-9"</f>
        <v>mrps-9</v>
      </c>
      <c r="I1370" t="s">
        <v>5092</v>
      </c>
      <c r="J1370">
        <v>13.0739677701866</v>
      </c>
      <c r="K1370">
        <v>13.1517709742287</v>
      </c>
      <c r="L1370">
        <v>13.032545373826601</v>
      </c>
      <c r="M1370">
        <v>12.541491224049</v>
      </c>
      <c r="N1370">
        <v>12.8019183847383</v>
      </c>
      <c r="O1370">
        <v>12.8648549965552</v>
      </c>
      <c r="P1370">
        <v>-0.35000650429982499</v>
      </c>
      <c r="Q1370">
        <v>-0.79809085329243901</v>
      </c>
      <c r="R1370">
        <v>9.8077844692788005E-2</v>
      </c>
      <c r="S1370">
        <v>13.202073446595399</v>
      </c>
      <c r="T1370">
        <v>-1.6487938292762301</v>
      </c>
      <c r="U1370">
        <v>-5.72767266669719</v>
      </c>
      <c r="V1370">
        <v>0.117658262930455</v>
      </c>
      <c r="W1370">
        <v>0.35290720882152199</v>
      </c>
      <c r="X1370">
        <v>0</v>
      </c>
      <c r="Y1370">
        <v>0</v>
      </c>
    </row>
    <row r="1371" spans="1:25" x14ac:dyDescent="0.2">
      <c r="A1371" t="s">
        <v>5093</v>
      </c>
      <c r="B1371" t="s">
        <v>5094</v>
      </c>
      <c r="C1371" t="s">
        <v>5095</v>
      </c>
      <c r="D1371" t="s">
        <v>5096</v>
      </c>
      <c r="E1371" t="s">
        <v>5094</v>
      </c>
      <c r="F1371" t="s">
        <v>28</v>
      </c>
      <c r="G1371" t="s">
        <v>5094</v>
      </c>
      <c r="H1371" t="str">
        <f>"F10E9.4"</f>
        <v>F10E9.4</v>
      </c>
      <c r="I1371" t="s">
        <v>5096</v>
      </c>
      <c r="J1371">
        <v>12.761228288438099</v>
      </c>
      <c r="K1371">
        <v>12.3120552230197</v>
      </c>
      <c r="L1371">
        <v>12.4721560950018</v>
      </c>
      <c r="M1371">
        <v>13.0561077516733</v>
      </c>
      <c r="N1371">
        <v>12.537280943870099</v>
      </c>
      <c r="O1371">
        <v>12.4575049888659</v>
      </c>
      <c r="P1371">
        <v>0.16848469264989599</v>
      </c>
      <c r="Q1371">
        <v>-0.30678022890506901</v>
      </c>
      <c r="R1371">
        <v>0.64374961420486099</v>
      </c>
      <c r="S1371">
        <v>12.4936538221771</v>
      </c>
      <c r="T1371">
        <v>0.751924470815452</v>
      </c>
      <c r="U1371">
        <v>-6.75903307945826</v>
      </c>
      <c r="V1371">
        <v>0.46308619375771598</v>
      </c>
      <c r="W1371">
        <v>0.72831439076249704</v>
      </c>
      <c r="X1371">
        <v>0</v>
      </c>
      <c r="Y1371">
        <v>0</v>
      </c>
    </row>
    <row r="1372" spans="1:25" x14ac:dyDescent="0.2">
      <c r="A1372" t="s">
        <v>5097</v>
      </c>
      <c r="B1372" t="s">
        <v>5098</v>
      </c>
      <c r="C1372" t="s">
        <v>5099</v>
      </c>
      <c r="D1372" t="s">
        <v>5100</v>
      </c>
      <c r="E1372" t="s">
        <v>5098</v>
      </c>
      <c r="F1372" t="s">
        <v>28</v>
      </c>
      <c r="G1372" t="s">
        <v>5098</v>
      </c>
      <c r="H1372" t="str">
        <f>"dpy-19"</f>
        <v>dpy-19</v>
      </c>
      <c r="I1372" t="s">
        <v>5100</v>
      </c>
      <c r="J1372">
        <v>12.2003757381877</v>
      </c>
      <c r="K1372">
        <v>12.643864397695401</v>
      </c>
      <c r="L1372">
        <v>12.6169766005643</v>
      </c>
      <c r="M1372">
        <v>12.8484944477642</v>
      </c>
      <c r="N1372">
        <v>12.623866291604701</v>
      </c>
      <c r="O1372">
        <v>12.2393267951369</v>
      </c>
      <c r="P1372">
        <v>8.3490266019454806E-2</v>
      </c>
      <c r="Q1372">
        <v>-0.45365256970636297</v>
      </c>
      <c r="R1372">
        <v>0.62063310174527297</v>
      </c>
      <c r="S1372">
        <v>12.695807838308999</v>
      </c>
      <c r="T1372">
        <v>0.32968226636327702</v>
      </c>
      <c r="U1372">
        <v>-6.9949430294005603</v>
      </c>
      <c r="V1372">
        <v>0.74594476199366899</v>
      </c>
      <c r="W1372">
        <v>0.89235361033480298</v>
      </c>
      <c r="X1372">
        <v>0</v>
      </c>
      <c r="Y1372">
        <v>0</v>
      </c>
    </row>
    <row r="1373" spans="1:25" x14ac:dyDescent="0.2">
      <c r="A1373" t="s">
        <v>5101</v>
      </c>
      <c r="B1373" t="s">
        <v>5102</v>
      </c>
      <c r="C1373" t="s">
        <v>5103</v>
      </c>
      <c r="D1373" t="s">
        <v>5104</v>
      </c>
      <c r="E1373" t="s">
        <v>5102</v>
      </c>
      <c r="F1373" t="s">
        <v>28</v>
      </c>
      <c r="G1373" t="s">
        <v>5102</v>
      </c>
      <c r="H1373" t="str">
        <f>"F44B9.2"</f>
        <v>F44B9.2</v>
      </c>
      <c r="I1373" t="s">
        <v>5104</v>
      </c>
      <c r="J1373">
        <v>13.217739885288699</v>
      </c>
      <c r="K1373">
        <v>12.6302541773812</v>
      </c>
      <c r="L1373">
        <v>11.7338582711018</v>
      </c>
      <c r="M1373">
        <v>13.1017389263124</v>
      </c>
      <c r="N1373">
        <v>12.3660742739019</v>
      </c>
      <c r="O1373" t="s">
        <v>29</v>
      </c>
      <c r="P1373">
        <v>0.20662248884991799</v>
      </c>
      <c r="Q1373">
        <v>-0.631416403018353</v>
      </c>
      <c r="R1373">
        <v>1.0446613807181899</v>
      </c>
      <c r="S1373">
        <v>12.0948915436632</v>
      </c>
      <c r="T1373">
        <v>0.53772276988328405</v>
      </c>
      <c r="U1373">
        <v>-6.7880152716163096</v>
      </c>
      <c r="V1373">
        <v>0.60068429136038104</v>
      </c>
      <c r="W1373">
        <v>0.80944316104269898</v>
      </c>
      <c r="X1373">
        <v>0</v>
      </c>
      <c r="Y1373">
        <v>0</v>
      </c>
    </row>
    <row r="1374" spans="1:25" x14ac:dyDescent="0.2">
      <c r="A1374" t="s">
        <v>5105</v>
      </c>
      <c r="B1374" t="s">
        <v>5106</v>
      </c>
      <c r="C1374" t="s">
        <v>5107</v>
      </c>
      <c r="D1374" t="s">
        <v>5108</v>
      </c>
      <c r="E1374" t="s">
        <v>5106</v>
      </c>
      <c r="F1374" t="s">
        <v>28</v>
      </c>
      <c r="G1374" t="s">
        <v>5106</v>
      </c>
      <c r="H1374" t="str">
        <f>"cit-1.2"</f>
        <v>cit-1.2</v>
      </c>
      <c r="I1374" t="s">
        <v>5108</v>
      </c>
      <c r="J1374">
        <v>11.0885398782768</v>
      </c>
      <c r="K1374">
        <v>11.45702974626</v>
      </c>
      <c r="L1374">
        <v>11.5161853256892</v>
      </c>
      <c r="M1374">
        <v>11.761556033637801</v>
      </c>
      <c r="N1374">
        <v>11.8071593171535</v>
      </c>
      <c r="O1374">
        <v>11.5167290202965</v>
      </c>
      <c r="P1374">
        <v>0.34122980695397098</v>
      </c>
      <c r="Q1374">
        <v>-0.126177310406662</v>
      </c>
      <c r="R1374">
        <v>0.80863692431460299</v>
      </c>
      <c r="S1374">
        <v>11.615963979218501</v>
      </c>
      <c r="T1374">
        <v>1.54846419983686</v>
      </c>
      <c r="U1374">
        <v>-5.8745675087665097</v>
      </c>
      <c r="V1374">
        <v>0.14118894643274699</v>
      </c>
      <c r="W1374">
        <v>0.38737675522104598</v>
      </c>
      <c r="X1374">
        <v>0</v>
      </c>
      <c r="Y1374">
        <v>0</v>
      </c>
    </row>
    <row r="1375" spans="1:25" x14ac:dyDescent="0.2">
      <c r="A1375" t="s">
        <v>5109</v>
      </c>
      <c r="B1375" t="s">
        <v>5110</v>
      </c>
      <c r="C1375" t="s">
        <v>5111</v>
      </c>
      <c r="D1375" t="s">
        <v>5112</v>
      </c>
      <c r="E1375" t="s">
        <v>5110</v>
      </c>
      <c r="F1375" t="s">
        <v>28</v>
      </c>
      <c r="G1375" t="s">
        <v>5110</v>
      </c>
      <c r="H1375" t="str">
        <f>"F44B9.5"</f>
        <v>F44B9.5</v>
      </c>
      <c r="I1375" t="s">
        <v>5112</v>
      </c>
      <c r="J1375">
        <v>12.947356877587</v>
      </c>
      <c r="K1375">
        <v>12.961730121250501</v>
      </c>
      <c r="L1375">
        <v>13.1181822256682</v>
      </c>
      <c r="M1375">
        <v>12.936487245547699</v>
      </c>
      <c r="N1375">
        <v>12.879746011646599</v>
      </c>
      <c r="O1375">
        <v>12.6434854960681</v>
      </c>
      <c r="P1375">
        <v>-0.18918349041444499</v>
      </c>
      <c r="Q1375">
        <v>-0.55237024905738197</v>
      </c>
      <c r="R1375">
        <v>0.17400326822849199</v>
      </c>
      <c r="S1375">
        <v>12.919392388660899</v>
      </c>
      <c r="T1375">
        <v>-1.09952027161595</v>
      </c>
      <c r="U1375">
        <v>-6.4384060921452004</v>
      </c>
      <c r="V1375">
        <v>0.28696235125227398</v>
      </c>
      <c r="W1375">
        <v>0.56592453998478698</v>
      </c>
      <c r="X1375">
        <v>0</v>
      </c>
      <c r="Y1375">
        <v>0</v>
      </c>
    </row>
    <row r="1376" spans="1:25" x14ac:dyDescent="0.2">
      <c r="A1376" t="s">
        <v>5113</v>
      </c>
      <c r="B1376" t="s">
        <v>5114</v>
      </c>
      <c r="C1376" t="s">
        <v>5115</v>
      </c>
      <c r="D1376" t="s">
        <v>5116</v>
      </c>
      <c r="E1376" t="s">
        <v>5114</v>
      </c>
      <c r="F1376" t="s">
        <v>28</v>
      </c>
      <c r="G1376" t="s">
        <v>5114</v>
      </c>
      <c r="H1376" t="str">
        <f>"lin-36"</f>
        <v>lin-36</v>
      </c>
      <c r="I1376" t="s">
        <v>5116</v>
      </c>
      <c r="J1376" t="s">
        <v>29</v>
      </c>
      <c r="K1376">
        <v>11.2904318962378</v>
      </c>
      <c r="L1376">
        <v>10.586796469583</v>
      </c>
      <c r="M1376">
        <v>10.715832448783701</v>
      </c>
      <c r="N1376">
        <v>11.273205307914001</v>
      </c>
      <c r="O1376">
        <v>11.8847068851494</v>
      </c>
      <c r="P1376">
        <v>0.35263403103862201</v>
      </c>
      <c r="Q1376">
        <v>-0.50878608843337403</v>
      </c>
      <c r="R1376">
        <v>1.2140541505106199</v>
      </c>
      <c r="S1376">
        <v>11.638676428834099</v>
      </c>
      <c r="T1376">
        <v>0.87307352020419504</v>
      </c>
      <c r="U1376">
        <v>-6.5485061409815399</v>
      </c>
      <c r="V1376">
        <v>0.39648022364190999</v>
      </c>
      <c r="W1376">
        <v>0.67160158653346003</v>
      </c>
      <c r="X1376">
        <v>0</v>
      </c>
      <c r="Y1376">
        <v>0</v>
      </c>
    </row>
    <row r="1377" spans="1:25" x14ac:dyDescent="0.2">
      <c r="A1377" t="s">
        <v>5117</v>
      </c>
      <c r="B1377" t="s">
        <v>5118</v>
      </c>
      <c r="C1377" t="s">
        <v>5119</v>
      </c>
      <c r="D1377" t="s">
        <v>5120</v>
      </c>
      <c r="E1377" t="s">
        <v>5118</v>
      </c>
      <c r="F1377" t="s">
        <v>28</v>
      </c>
      <c r="G1377" t="s">
        <v>5118</v>
      </c>
      <c r="H1377" t="str">
        <f>"retr-1"</f>
        <v>retr-1</v>
      </c>
      <c r="I1377" t="s">
        <v>5120</v>
      </c>
      <c r="J1377">
        <v>12.8822546993493</v>
      </c>
      <c r="K1377">
        <v>12.7629056244715</v>
      </c>
      <c r="L1377">
        <v>13.6640657316928</v>
      </c>
      <c r="M1377">
        <v>12.166895728335099</v>
      </c>
      <c r="N1377">
        <v>13.6370083011797</v>
      </c>
      <c r="O1377">
        <v>13.611421392581599</v>
      </c>
      <c r="P1377">
        <v>3.5366455527583399E-2</v>
      </c>
      <c r="Q1377">
        <v>-0.87002513076224597</v>
      </c>
      <c r="R1377">
        <v>0.94075804181741296</v>
      </c>
      <c r="S1377">
        <v>14.645235864771999</v>
      </c>
      <c r="T1377">
        <v>8.2452740556710993E-2</v>
      </c>
      <c r="U1377">
        <v>-7.0485131827649603</v>
      </c>
      <c r="V1377">
        <v>0.93525568494213696</v>
      </c>
      <c r="W1377">
        <v>0.97535311084156295</v>
      </c>
      <c r="X1377">
        <v>0</v>
      </c>
      <c r="Y1377">
        <v>0</v>
      </c>
    </row>
    <row r="1378" spans="1:25" x14ac:dyDescent="0.2">
      <c r="A1378" t="s">
        <v>5121</v>
      </c>
      <c r="B1378" t="s">
        <v>5122</v>
      </c>
      <c r="C1378" t="s">
        <v>5123</v>
      </c>
      <c r="D1378" t="s">
        <v>5124</v>
      </c>
      <c r="E1378" t="s">
        <v>5122</v>
      </c>
      <c r="F1378" t="s">
        <v>28</v>
      </c>
      <c r="G1378" t="s">
        <v>5122</v>
      </c>
      <c r="H1378" t="str">
        <f>"F44E2.7"</f>
        <v>F44E2.7</v>
      </c>
      <c r="I1378" t="s">
        <v>5124</v>
      </c>
      <c r="J1378">
        <v>9.5800279680729794</v>
      </c>
      <c r="K1378" t="s">
        <v>29</v>
      </c>
      <c r="L1378" t="s">
        <v>29</v>
      </c>
      <c r="M1378" t="s">
        <v>29</v>
      </c>
      <c r="N1378" t="s">
        <v>29</v>
      </c>
      <c r="O1378" t="s">
        <v>29</v>
      </c>
      <c r="P1378" t="s">
        <v>29</v>
      </c>
      <c r="Q1378" t="s">
        <v>29</v>
      </c>
      <c r="R1378" t="s">
        <v>29</v>
      </c>
      <c r="S1378">
        <v>9.7085131568434306</v>
      </c>
      <c r="T1378" t="s">
        <v>29</v>
      </c>
      <c r="U1378" t="s">
        <v>29</v>
      </c>
      <c r="V1378" t="s">
        <v>29</v>
      </c>
      <c r="W1378" t="s">
        <v>29</v>
      </c>
      <c r="X1378" t="s">
        <v>29</v>
      </c>
      <c r="Y1378" t="s">
        <v>29</v>
      </c>
    </row>
    <row r="1379" spans="1:25" x14ac:dyDescent="0.2">
      <c r="A1379" t="s">
        <v>5125</v>
      </c>
      <c r="B1379" t="s">
        <v>5126</v>
      </c>
      <c r="C1379" t="s">
        <v>5127</v>
      </c>
      <c r="D1379" t="s">
        <v>5128</v>
      </c>
      <c r="E1379" t="s">
        <v>5126</v>
      </c>
      <c r="F1379" t="s">
        <v>28</v>
      </c>
      <c r="G1379" t="s">
        <v>5126</v>
      </c>
      <c r="H1379" t="str">
        <f>"emb-30"</f>
        <v>emb-30</v>
      </c>
      <c r="I1379" t="s">
        <v>5128</v>
      </c>
      <c r="J1379">
        <v>13.6582594150084</v>
      </c>
      <c r="K1379">
        <v>11.9157834270974</v>
      </c>
      <c r="L1379">
        <v>13.0629866681391</v>
      </c>
      <c r="M1379">
        <v>10.8168608351987</v>
      </c>
      <c r="N1379">
        <v>13.302502925397899</v>
      </c>
      <c r="O1379" t="s">
        <v>29</v>
      </c>
      <c r="P1379">
        <v>-0.81932795645002798</v>
      </c>
      <c r="Q1379">
        <v>-2.1008455310221299</v>
      </c>
      <c r="R1379">
        <v>0.46218961812207399</v>
      </c>
      <c r="S1379">
        <v>13.246769743677</v>
      </c>
      <c r="T1379">
        <v>-1.35607196361638</v>
      </c>
      <c r="U1379">
        <v>-6.0255898118778797</v>
      </c>
      <c r="V1379">
        <v>0.194029063402515</v>
      </c>
      <c r="W1379">
        <v>0.45592304187821298</v>
      </c>
      <c r="X1379">
        <v>0</v>
      </c>
      <c r="Y1379">
        <v>0</v>
      </c>
    </row>
    <row r="1380" spans="1:25" x14ac:dyDescent="0.2">
      <c r="A1380" t="s">
        <v>5129</v>
      </c>
      <c r="B1380" t="s">
        <v>5130</v>
      </c>
      <c r="C1380" t="s">
        <v>5131</v>
      </c>
      <c r="D1380" t="s">
        <v>5132</v>
      </c>
      <c r="E1380" t="s">
        <v>5130</v>
      </c>
      <c r="F1380" t="s">
        <v>28</v>
      </c>
      <c r="G1380" t="s">
        <v>5130</v>
      </c>
      <c r="H1380" t="str">
        <f>"F54C8.4"</f>
        <v>F54C8.4</v>
      </c>
      <c r="I1380" t="s">
        <v>5132</v>
      </c>
      <c r="J1380" t="s">
        <v>29</v>
      </c>
      <c r="K1380" t="s">
        <v>29</v>
      </c>
      <c r="L1380" t="s">
        <v>29</v>
      </c>
      <c r="M1380" t="s">
        <v>29</v>
      </c>
      <c r="N1380" t="s">
        <v>29</v>
      </c>
      <c r="O1380" t="s">
        <v>29</v>
      </c>
      <c r="P1380" t="s">
        <v>29</v>
      </c>
      <c r="Q1380" t="s">
        <v>29</v>
      </c>
      <c r="R1380" t="s">
        <v>29</v>
      </c>
      <c r="S1380">
        <v>13.616530247537501</v>
      </c>
      <c r="T1380" t="s">
        <v>29</v>
      </c>
      <c r="U1380" t="s">
        <v>29</v>
      </c>
      <c r="V1380" t="s">
        <v>29</v>
      </c>
      <c r="W1380" t="s">
        <v>29</v>
      </c>
      <c r="X1380" t="s">
        <v>29</v>
      </c>
      <c r="Y1380" t="s">
        <v>29</v>
      </c>
    </row>
    <row r="1381" spans="1:25" x14ac:dyDescent="0.2">
      <c r="A1381" t="s">
        <v>5133</v>
      </c>
      <c r="B1381" t="s">
        <v>5134</v>
      </c>
      <c r="C1381" t="s">
        <v>5135</v>
      </c>
      <c r="D1381" t="s">
        <v>5136</v>
      </c>
      <c r="E1381" t="s">
        <v>5134</v>
      </c>
      <c r="F1381" t="s">
        <v>28</v>
      </c>
      <c r="G1381" t="s">
        <v>5134</v>
      </c>
      <c r="H1381" t="str">
        <f>"F54C8.7"</f>
        <v>F54C8.7</v>
      </c>
      <c r="I1381" t="s">
        <v>5136</v>
      </c>
      <c r="J1381">
        <v>14.042459888041099</v>
      </c>
      <c r="K1381" t="s">
        <v>29</v>
      </c>
      <c r="L1381">
        <v>14.0308413173793</v>
      </c>
      <c r="M1381">
        <v>13.565393372862101</v>
      </c>
      <c r="N1381">
        <v>13.2356323598242</v>
      </c>
      <c r="O1381">
        <v>13.046118255936101</v>
      </c>
      <c r="P1381">
        <v>-0.75426927316940395</v>
      </c>
      <c r="Q1381">
        <v>-1.46288706058221</v>
      </c>
      <c r="R1381">
        <v>-4.5651485756594397E-2</v>
      </c>
      <c r="S1381">
        <v>12.9411032545569</v>
      </c>
      <c r="T1381">
        <v>-2.2467998161921701</v>
      </c>
      <c r="U1381">
        <v>-4.6266998381758198</v>
      </c>
      <c r="V1381">
        <v>3.8313163724744199E-2</v>
      </c>
      <c r="W1381">
        <v>0.193788380672582</v>
      </c>
      <c r="X1381">
        <v>0</v>
      </c>
      <c r="Y1381">
        <v>0</v>
      </c>
    </row>
    <row r="1382" spans="1:25" x14ac:dyDescent="0.2">
      <c r="A1382" t="s">
        <v>5137</v>
      </c>
      <c r="B1382" t="s">
        <v>5138</v>
      </c>
      <c r="C1382" t="s">
        <v>5139</v>
      </c>
      <c r="D1382" t="s">
        <v>5140</v>
      </c>
      <c r="E1382" t="s">
        <v>5138</v>
      </c>
      <c r="F1382" t="s">
        <v>28</v>
      </c>
      <c r="G1382" t="s">
        <v>5138</v>
      </c>
      <c r="H1382" t="str">
        <f>"F54F2.9"</f>
        <v>F54F2.9</v>
      </c>
      <c r="I1382" t="s">
        <v>5140</v>
      </c>
      <c r="J1382" t="s">
        <v>29</v>
      </c>
      <c r="K1382" t="s">
        <v>29</v>
      </c>
      <c r="L1382">
        <v>10.0676577682285</v>
      </c>
      <c r="M1382" t="s">
        <v>29</v>
      </c>
      <c r="N1382">
        <v>10.378804173937599</v>
      </c>
      <c r="O1382" t="s">
        <v>29</v>
      </c>
      <c r="P1382">
        <v>0.31114640570913099</v>
      </c>
      <c r="Q1382">
        <v>-1.2174114775271401</v>
      </c>
      <c r="R1382">
        <v>1.8397042889454001</v>
      </c>
      <c r="S1382">
        <v>10.292935432530699</v>
      </c>
      <c r="T1382">
        <v>0.52664800192194705</v>
      </c>
      <c r="U1382">
        <v>-6.3512448261101504</v>
      </c>
      <c r="V1382">
        <v>0.62141894699427103</v>
      </c>
      <c r="W1382">
        <v>0.82265958239192805</v>
      </c>
      <c r="X1382">
        <v>0</v>
      </c>
      <c r="Y1382">
        <v>0</v>
      </c>
    </row>
    <row r="1383" spans="1:25" x14ac:dyDescent="0.2">
      <c r="A1383" t="s">
        <v>5141</v>
      </c>
      <c r="B1383" t="s">
        <v>5142</v>
      </c>
      <c r="C1383" t="s">
        <v>5143</v>
      </c>
      <c r="D1383" t="s">
        <v>5144</v>
      </c>
      <c r="E1383" t="s">
        <v>5142</v>
      </c>
      <c r="F1383" t="s">
        <v>28</v>
      </c>
      <c r="G1383" t="s">
        <v>5142</v>
      </c>
      <c r="H1383" t="str">
        <f>"aco-2"</f>
        <v>aco-2</v>
      </c>
      <c r="I1383" t="s">
        <v>5144</v>
      </c>
      <c r="J1383">
        <v>17.892601776487599</v>
      </c>
      <c r="K1383">
        <v>17.808095433006098</v>
      </c>
      <c r="L1383">
        <v>17.579992009296099</v>
      </c>
      <c r="M1383">
        <v>17.658847179136</v>
      </c>
      <c r="N1383">
        <v>17.314494235611601</v>
      </c>
      <c r="O1383">
        <v>17.872349841295598</v>
      </c>
      <c r="P1383">
        <v>-0.144999320915534</v>
      </c>
      <c r="Q1383">
        <v>-0.50768857339207196</v>
      </c>
      <c r="R1383">
        <v>0.217689931561003</v>
      </c>
      <c r="S1383">
        <v>17.595013886985299</v>
      </c>
      <c r="T1383">
        <v>-0.84027955167466295</v>
      </c>
      <c r="U1383">
        <v>-6.6892265293462199</v>
      </c>
      <c r="V1383">
        <v>0.41183841490654499</v>
      </c>
      <c r="W1383">
        <v>0.68363605678060402</v>
      </c>
      <c r="X1383">
        <v>0</v>
      </c>
      <c r="Y1383">
        <v>0</v>
      </c>
    </row>
    <row r="1384" spans="1:25" x14ac:dyDescent="0.2">
      <c r="A1384" t="s">
        <v>5145</v>
      </c>
      <c r="B1384" t="s">
        <v>5146</v>
      </c>
      <c r="C1384" t="s">
        <v>5147</v>
      </c>
      <c r="D1384" t="s">
        <v>5148</v>
      </c>
      <c r="E1384" t="s">
        <v>5146</v>
      </c>
      <c r="F1384" t="s">
        <v>28</v>
      </c>
      <c r="G1384" t="s">
        <v>5146</v>
      </c>
      <c r="H1384" t="str">
        <f>"eef-1B.1"</f>
        <v>eef-1B.1</v>
      </c>
      <c r="I1384" t="s">
        <v>5148</v>
      </c>
      <c r="J1384" t="s">
        <v>29</v>
      </c>
      <c r="K1384" t="s">
        <v>29</v>
      </c>
      <c r="L1384" t="s">
        <v>29</v>
      </c>
      <c r="M1384">
        <v>13.819269597439</v>
      </c>
      <c r="N1384" t="s">
        <v>29</v>
      </c>
      <c r="O1384">
        <v>14.2137716891602</v>
      </c>
      <c r="P1384" t="s">
        <v>29</v>
      </c>
      <c r="Q1384" t="s">
        <v>29</v>
      </c>
      <c r="R1384" t="s">
        <v>29</v>
      </c>
      <c r="S1384">
        <v>13.256700272028199</v>
      </c>
      <c r="T1384" t="s">
        <v>29</v>
      </c>
      <c r="U1384" t="s">
        <v>29</v>
      </c>
      <c r="V1384" t="s">
        <v>29</v>
      </c>
      <c r="W1384" t="s">
        <v>29</v>
      </c>
      <c r="X1384" t="s">
        <v>29</v>
      </c>
      <c r="Y1384" t="s">
        <v>29</v>
      </c>
    </row>
    <row r="1385" spans="1:25" x14ac:dyDescent="0.2">
      <c r="A1385" t="s">
        <v>5149</v>
      </c>
      <c r="B1385" t="s">
        <v>5150</v>
      </c>
      <c r="C1385" t="s">
        <v>5151</v>
      </c>
      <c r="D1385" t="s">
        <v>5152</v>
      </c>
      <c r="E1385" t="s">
        <v>5150</v>
      </c>
      <c r="F1385" t="s">
        <v>28</v>
      </c>
      <c r="G1385" t="s">
        <v>5150</v>
      </c>
      <c r="H1385" t="str">
        <f>"vha-14"</f>
        <v>vha-14</v>
      </c>
      <c r="I1385" t="s">
        <v>5152</v>
      </c>
      <c r="J1385">
        <v>13.6749883822126</v>
      </c>
      <c r="K1385">
        <v>13.57367519218</v>
      </c>
      <c r="L1385">
        <v>13.4578829347648</v>
      </c>
      <c r="M1385">
        <v>14.0716018121621</v>
      </c>
      <c r="N1385">
        <v>13.879901928356</v>
      </c>
      <c r="O1385">
        <v>14.6230963442594</v>
      </c>
      <c r="P1385">
        <v>0.62268452520665596</v>
      </c>
      <c r="Q1385">
        <v>9.0161756277275504E-2</v>
      </c>
      <c r="R1385">
        <v>1.1552072941360401</v>
      </c>
      <c r="S1385">
        <v>13.526569796917</v>
      </c>
      <c r="T1385">
        <v>2.4576634146309702</v>
      </c>
      <c r="U1385">
        <v>-4.32790423997732</v>
      </c>
      <c r="V1385">
        <v>2.4420693549800102E-2</v>
      </c>
      <c r="W1385">
        <v>0.15215587438959</v>
      </c>
      <c r="X1385">
        <v>0</v>
      </c>
      <c r="Y1385">
        <v>0</v>
      </c>
    </row>
    <row r="1386" spans="1:25" x14ac:dyDescent="0.2">
      <c r="A1386" t="s">
        <v>5153</v>
      </c>
      <c r="B1386" t="s">
        <v>5154</v>
      </c>
      <c r="C1386" t="s">
        <v>5155</v>
      </c>
      <c r="D1386" t="s">
        <v>5156</v>
      </c>
      <c r="E1386" t="s">
        <v>5154</v>
      </c>
      <c r="F1386" t="s">
        <v>28</v>
      </c>
      <c r="G1386" t="s">
        <v>5154</v>
      </c>
      <c r="H1386" t="str">
        <f>"clu-1"</f>
        <v>clu-1</v>
      </c>
      <c r="I1386" t="s">
        <v>5156</v>
      </c>
      <c r="J1386">
        <v>17.457161408699299</v>
      </c>
      <c r="K1386">
        <v>17.302990560170599</v>
      </c>
      <c r="L1386">
        <v>17.256007151399899</v>
      </c>
      <c r="M1386">
        <v>17.3626986509496</v>
      </c>
      <c r="N1386">
        <v>17.437505080010698</v>
      </c>
      <c r="O1386">
        <v>17.1384058779106</v>
      </c>
      <c r="P1386">
        <v>-2.5849837132952299E-2</v>
      </c>
      <c r="Q1386">
        <v>-0.343979859138422</v>
      </c>
      <c r="R1386">
        <v>0.292280184872518</v>
      </c>
      <c r="S1386">
        <v>17.203982016518999</v>
      </c>
      <c r="T1386">
        <v>-0.17078340528777999</v>
      </c>
      <c r="U1386">
        <v>-7.0368136257792298</v>
      </c>
      <c r="V1386">
        <v>0.86631024042118898</v>
      </c>
      <c r="W1386">
        <v>0.94935342265210398</v>
      </c>
      <c r="X1386">
        <v>0</v>
      </c>
      <c r="Y1386">
        <v>0</v>
      </c>
    </row>
    <row r="1387" spans="1:25" x14ac:dyDescent="0.2">
      <c r="A1387" t="s">
        <v>5157</v>
      </c>
      <c r="B1387" t="s">
        <v>5158</v>
      </c>
      <c r="C1387" t="s">
        <v>5159</v>
      </c>
      <c r="D1387" t="s">
        <v>5160</v>
      </c>
      <c r="E1387" t="s">
        <v>5158</v>
      </c>
      <c r="F1387" t="s">
        <v>28</v>
      </c>
      <c r="G1387" t="s">
        <v>5158</v>
      </c>
      <c r="H1387" t="str">
        <f>"pri-1"</f>
        <v>pri-1</v>
      </c>
      <c r="I1387" t="s">
        <v>5160</v>
      </c>
      <c r="J1387">
        <v>12.4437808259904</v>
      </c>
      <c r="K1387">
        <v>12.6604058026436</v>
      </c>
      <c r="L1387">
        <v>12.606550854210401</v>
      </c>
      <c r="M1387">
        <v>12.413460508014699</v>
      </c>
      <c r="N1387">
        <v>13.1188597156494</v>
      </c>
      <c r="O1387">
        <v>12.0144646240144</v>
      </c>
      <c r="P1387">
        <v>-5.4650878388610401E-2</v>
      </c>
      <c r="Q1387">
        <v>-0.78547667979407199</v>
      </c>
      <c r="R1387">
        <v>0.676174923016851</v>
      </c>
      <c r="S1387">
        <v>12.5961572838404</v>
      </c>
      <c r="T1387">
        <v>-0.15784589367687499</v>
      </c>
      <c r="U1387">
        <v>-7.0389980417754501</v>
      </c>
      <c r="V1387">
        <v>0.87644942837391304</v>
      </c>
      <c r="W1387">
        <v>0.95415404480719801</v>
      </c>
      <c r="X1387">
        <v>0</v>
      </c>
      <c r="Y1387">
        <v>0</v>
      </c>
    </row>
    <row r="1388" spans="1:25" x14ac:dyDescent="0.2">
      <c r="A1388" t="s">
        <v>5161</v>
      </c>
      <c r="B1388" t="s">
        <v>5162</v>
      </c>
      <c r="C1388" t="s">
        <v>5163</v>
      </c>
      <c r="D1388" t="s">
        <v>5164</v>
      </c>
      <c r="E1388" t="s">
        <v>5162</v>
      </c>
      <c r="F1388" t="s">
        <v>28</v>
      </c>
      <c r="G1388" t="s">
        <v>5162</v>
      </c>
      <c r="H1388" t="str">
        <f>"tbg-1"</f>
        <v>tbg-1</v>
      </c>
      <c r="I1388" t="s">
        <v>5164</v>
      </c>
      <c r="J1388">
        <v>11.6685146507092</v>
      </c>
      <c r="K1388">
        <v>11.2160586081002</v>
      </c>
      <c r="L1388">
        <v>12.0032429232686</v>
      </c>
      <c r="M1388">
        <v>11.2144539395286</v>
      </c>
      <c r="N1388">
        <v>12.2286404923984</v>
      </c>
      <c r="O1388">
        <v>11.386820554995399</v>
      </c>
      <c r="P1388">
        <v>-1.9300398385208702E-2</v>
      </c>
      <c r="Q1388">
        <v>-0.71746613897721301</v>
      </c>
      <c r="R1388">
        <v>0.67886534220679595</v>
      </c>
      <c r="S1388">
        <v>12.074526471133501</v>
      </c>
      <c r="T1388">
        <v>-5.8352269630986199E-2</v>
      </c>
      <c r="U1388">
        <v>-7.0502966040271096</v>
      </c>
      <c r="V1388">
        <v>0.95415265092594903</v>
      </c>
      <c r="W1388">
        <v>0.97752358457809096</v>
      </c>
      <c r="X1388">
        <v>0</v>
      </c>
      <c r="Y1388">
        <v>0</v>
      </c>
    </row>
    <row r="1389" spans="1:25" x14ac:dyDescent="0.2">
      <c r="A1389" t="s">
        <v>5165</v>
      </c>
      <c r="B1389" t="s">
        <v>5166</v>
      </c>
      <c r="C1389" t="s">
        <v>5167</v>
      </c>
      <c r="D1389" t="s">
        <v>5168</v>
      </c>
      <c r="E1389" t="s">
        <v>5166</v>
      </c>
      <c r="F1389" t="s">
        <v>28</v>
      </c>
      <c r="G1389" t="s">
        <v>5166</v>
      </c>
      <c r="H1389" t="str">
        <f>"rpac-19"</f>
        <v>rpac-19</v>
      </c>
      <c r="I1389" t="s">
        <v>5168</v>
      </c>
      <c r="J1389">
        <v>12.402937557142</v>
      </c>
      <c r="K1389">
        <v>12.493590877124999</v>
      </c>
      <c r="L1389">
        <v>12.5729396837375</v>
      </c>
      <c r="M1389">
        <v>11.8144253787331</v>
      </c>
      <c r="N1389">
        <v>13.0207658143167</v>
      </c>
      <c r="O1389">
        <v>11.491303682157101</v>
      </c>
      <c r="P1389">
        <v>-0.38099108093256001</v>
      </c>
      <c r="Q1389">
        <v>-1.08349066884982</v>
      </c>
      <c r="R1389">
        <v>0.32150850698470101</v>
      </c>
      <c r="S1389">
        <v>12.331681592403401</v>
      </c>
      <c r="T1389">
        <v>-1.14477134035469</v>
      </c>
      <c r="U1389">
        <v>-6.3887488487717103</v>
      </c>
      <c r="V1389">
        <v>0.268263001598607</v>
      </c>
      <c r="W1389">
        <v>0.54419765271746201</v>
      </c>
      <c r="X1389">
        <v>0</v>
      </c>
      <c r="Y1389">
        <v>0</v>
      </c>
    </row>
    <row r="1390" spans="1:25" x14ac:dyDescent="0.2">
      <c r="A1390" t="s">
        <v>5169</v>
      </c>
      <c r="B1390" t="s">
        <v>5170</v>
      </c>
      <c r="C1390" t="s">
        <v>5171</v>
      </c>
      <c r="D1390" t="s">
        <v>5172</v>
      </c>
      <c r="E1390" t="s">
        <v>5170</v>
      </c>
      <c r="F1390" t="s">
        <v>28</v>
      </c>
      <c r="G1390" t="s">
        <v>5170</v>
      </c>
      <c r="H1390" t="str">
        <f>"ubc-7"</f>
        <v>ubc-7</v>
      </c>
      <c r="I1390" t="s">
        <v>5172</v>
      </c>
      <c r="J1390" t="s">
        <v>29</v>
      </c>
      <c r="K1390" t="s">
        <v>29</v>
      </c>
      <c r="L1390" t="s">
        <v>29</v>
      </c>
      <c r="M1390" t="s">
        <v>29</v>
      </c>
      <c r="N1390">
        <v>11.7076559493257</v>
      </c>
      <c r="O1390">
        <v>12.786498287024701</v>
      </c>
      <c r="P1390" t="s">
        <v>29</v>
      </c>
      <c r="Q1390" t="s">
        <v>29</v>
      </c>
      <c r="R1390" t="s">
        <v>29</v>
      </c>
      <c r="S1390">
        <v>12.6423784396312</v>
      </c>
      <c r="T1390" t="s">
        <v>29</v>
      </c>
      <c r="U1390" t="s">
        <v>29</v>
      </c>
      <c r="V1390" t="s">
        <v>29</v>
      </c>
      <c r="W1390" t="s">
        <v>29</v>
      </c>
      <c r="X1390" t="s">
        <v>29</v>
      </c>
      <c r="Y1390" t="s">
        <v>29</v>
      </c>
    </row>
    <row r="1391" spans="1:25" x14ac:dyDescent="0.2">
      <c r="A1391" t="s">
        <v>5173</v>
      </c>
      <c r="B1391" t="s">
        <v>5174</v>
      </c>
      <c r="C1391" t="s">
        <v>5175</v>
      </c>
      <c r="D1391" t="s">
        <v>5176</v>
      </c>
      <c r="E1391" t="s">
        <v>5174</v>
      </c>
      <c r="F1391" t="s">
        <v>28</v>
      </c>
      <c r="G1391" t="s">
        <v>5174</v>
      </c>
      <c r="H1391" t="str">
        <f>"mtss-1"</f>
        <v>mtss-1</v>
      </c>
      <c r="I1391" t="s">
        <v>5176</v>
      </c>
      <c r="J1391">
        <v>13.8958723586594</v>
      </c>
      <c r="K1391">
        <v>14.115482416385801</v>
      </c>
      <c r="L1391">
        <v>13.3847692401185</v>
      </c>
      <c r="M1391">
        <v>13.607592646023299</v>
      </c>
      <c r="N1391">
        <v>11.9706214620631</v>
      </c>
      <c r="O1391">
        <v>12.996215260536999</v>
      </c>
      <c r="P1391">
        <v>-0.94056488218010303</v>
      </c>
      <c r="Q1391">
        <v>-2.0807467059447302</v>
      </c>
      <c r="R1391">
        <v>0.199616941584525</v>
      </c>
      <c r="S1391">
        <v>12.7704903769419</v>
      </c>
      <c r="T1391">
        <v>-1.7412641523308201</v>
      </c>
      <c r="U1391">
        <v>-5.5870145870002901</v>
      </c>
      <c r="V1391">
        <v>9.9813932767798999E-2</v>
      </c>
      <c r="W1391">
        <v>0.32672482939733299</v>
      </c>
      <c r="X1391">
        <v>0</v>
      </c>
      <c r="Y1391">
        <v>0</v>
      </c>
    </row>
    <row r="1392" spans="1:25" x14ac:dyDescent="0.2">
      <c r="A1392" t="s">
        <v>5177</v>
      </c>
      <c r="B1392" t="s">
        <v>5178</v>
      </c>
      <c r="C1392" t="s">
        <v>5179</v>
      </c>
      <c r="D1392" t="s">
        <v>5180</v>
      </c>
      <c r="E1392" t="s">
        <v>5178</v>
      </c>
      <c r="F1392" t="s">
        <v>28</v>
      </c>
      <c r="G1392" t="s">
        <v>5178</v>
      </c>
      <c r="H1392" t="str">
        <f>"mog-1"</f>
        <v>mog-1</v>
      </c>
      <c r="I1392" t="s">
        <v>5180</v>
      </c>
      <c r="J1392">
        <v>13.9651486347969</v>
      </c>
      <c r="K1392">
        <v>14.416020289018601</v>
      </c>
      <c r="L1392">
        <v>14.594733593613199</v>
      </c>
      <c r="M1392">
        <v>13.8594938688508</v>
      </c>
      <c r="N1392">
        <v>14.362732221789001</v>
      </c>
      <c r="O1392">
        <v>14.3335473203165</v>
      </c>
      <c r="P1392">
        <v>-0.14004303549077299</v>
      </c>
      <c r="Q1392">
        <v>-0.57856392051845895</v>
      </c>
      <c r="R1392">
        <v>0.29847784953691198</v>
      </c>
      <c r="S1392">
        <v>14.761099614867801</v>
      </c>
      <c r="T1392">
        <v>-0.67121823570262495</v>
      </c>
      <c r="U1392">
        <v>-6.8189226529799098</v>
      </c>
      <c r="V1392">
        <v>0.51065356579439303</v>
      </c>
      <c r="W1392">
        <v>0.75959181996093506</v>
      </c>
      <c r="X1392">
        <v>0</v>
      </c>
      <c r="Y1392">
        <v>0</v>
      </c>
    </row>
    <row r="1393" spans="1:25" x14ac:dyDescent="0.2">
      <c r="A1393" t="s">
        <v>5181</v>
      </c>
      <c r="B1393" t="s">
        <v>5182</v>
      </c>
      <c r="C1393" t="s">
        <v>5183</v>
      </c>
      <c r="D1393" t="s">
        <v>5184</v>
      </c>
      <c r="E1393" t="s">
        <v>5182</v>
      </c>
      <c r="F1393" t="s">
        <v>28</v>
      </c>
      <c r="G1393" t="s">
        <v>5182</v>
      </c>
      <c r="H1393" t="str">
        <f>"ttr-2"</f>
        <v>ttr-2</v>
      </c>
      <c r="I1393" t="s">
        <v>5184</v>
      </c>
      <c r="J1393">
        <v>12.506978104855</v>
      </c>
      <c r="K1393">
        <v>13.0792998657321</v>
      </c>
      <c r="L1393">
        <v>13.315510477941199</v>
      </c>
      <c r="M1393">
        <v>12.661396308531399</v>
      </c>
      <c r="N1393">
        <v>12.302745675211</v>
      </c>
      <c r="O1393">
        <v>12.070906722101499</v>
      </c>
      <c r="P1393">
        <v>-0.62224658089478702</v>
      </c>
      <c r="Q1393">
        <v>-1.80838496718951</v>
      </c>
      <c r="R1393">
        <v>0.56389180539993999</v>
      </c>
      <c r="S1393">
        <v>12.3846028775137</v>
      </c>
      <c r="T1393">
        <v>-1.1026042728463901</v>
      </c>
      <c r="U1393">
        <v>-6.4358245423453999</v>
      </c>
      <c r="V1393">
        <v>0.284807371938327</v>
      </c>
      <c r="W1393">
        <v>0.56479847139968797</v>
      </c>
      <c r="X1393">
        <v>0</v>
      </c>
      <c r="Y1393">
        <v>0</v>
      </c>
    </row>
    <row r="1394" spans="1:25" x14ac:dyDescent="0.2">
      <c r="A1394" t="s">
        <v>5185</v>
      </c>
      <c r="B1394" t="s">
        <v>5186</v>
      </c>
      <c r="C1394" t="s">
        <v>5187</v>
      </c>
      <c r="D1394" t="s">
        <v>5188</v>
      </c>
      <c r="E1394" t="s">
        <v>5186</v>
      </c>
      <c r="F1394" t="s">
        <v>28</v>
      </c>
      <c r="G1394" t="s">
        <v>5186</v>
      </c>
      <c r="H1394" t="str">
        <f>"vms-1"</f>
        <v>vms-1</v>
      </c>
      <c r="I1394" t="s">
        <v>5188</v>
      </c>
      <c r="J1394">
        <v>11.3406354044476</v>
      </c>
      <c r="K1394" t="s">
        <v>29</v>
      </c>
      <c r="L1394">
        <v>11.754406054358901</v>
      </c>
      <c r="M1394" t="s">
        <v>29</v>
      </c>
      <c r="N1394" t="s">
        <v>29</v>
      </c>
      <c r="O1394" t="s">
        <v>29</v>
      </c>
      <c r="P1394" t="s">
        <v>29</v>
      </c>
      <c r="Q1394" t="s">
        <v>29</v>
      </c>
      <c r="R1394" t="s">
        <v>29</v>
      </c>
      <c r="S1394">
        <v>11.8940984194717</v>
      </c>
      <c r="T1394" t="s">
        <v>29</v>
      </c>
      <c r="U1394" t="s">
        <v>29</v>
      </c>
      <c r="V1394" t="s">
        <v>29</v>
      </c>
      <c r="W1394" t="s">
        <v>29</v>
      </c>
      <c r="X1394" t="s">
        <v>29</v>
      </c>
      <c r="Y1394" t="s">
        <v>29</v>
      </c>
    </row>
    <row r="1395" spans="1:25" x14ac:dyDescent="0.2">
      <c r="A1395" t="s">
        <v>5189</v>
      </c>
      <c r="B1395" t="s">
        <v>5190</v>
      </c>
      <c r="C1395" t="s">
        <v>5191</v>
      </c>
      <c r="D1395" t="s">
        <v>5192</v>
      </c>
      <c r="E1395" t="s">
        <v>5190</v>
      </c>
      <c r="F1395" t="s">
        <v>28</v>
      </c>
      <c r="G1395" t="s">
        <v>5190</v>
      </c>
      <c r="H1395" t="str">
        <f>"grp-1"</f>
        <v>grp-1</v>
      </c>
      <c r="I1395" t="s">
        <v>5192</v>
      </c>
      <c r="J1395">
        <v>10.729293133010801</v>
      </c>
      <c r="K1395" t="s">
        <v>29</v>
      </c>
      <c r="L1395" t="s">
        <v>29</v>
      </c>
      <c r="M1395">
        <v>11.748589241875999</v>
      </c>
      <c r="N1395">
        <v>11.769768037345001</v>
      </c>
      <c r="O1395">
        <v>11.4372377656717</v>
      </c>
      <c r="P1395">
        <v>0.92257188195338802</v>
      </c>
      <c r="Q1395">
        <v>-0.12522057642443901</v>
      </c>
      <c r="R1395">
        <v>1.9703643403312101</v>
      </c>
      <c r="S1395">
        <v>11.859313795534201</v>
      </c>
      <c r="T1395">
        <v>1.88980432535063</v>
      </c>
      <c r="U1395">
        <v>-5.0334291762957601</v>
      </c>
      <c r="V1395">
        <v>7.9829110686736496E-2</v>
      </c>
      <c r="W1395">
        <v>0.289269405539689</v>
      </c>
      <c r="X1395">
        <v>0</v>
      </c>
      <c r="Y1395">
        <v>0</v>
      </c>
    </row>
    <row r="1396" spans="1:25" x14ac:dyDescent="0.2">
      <c r="A1396" t="s">
        <v>5193</v>
      </c>
      <c r="B1396" t="s">
        <v>5194</v>
      </c>
      <c r="C1396" t="s">
        <v>5195</v>
      </c>
      <c r="D1396" t="s">
        <v>5196</v>
      </c>
      <c r="E1396" t="s">
        <v>5194</v>
      </c>
      <c r="F1396" t="s">
        <v>28</v>
      </c>
      <c r="G1396" t="s">
        <v>5194</v>
      </c>
      <c r="H1396" t="str">
        <f>"apc-2"</f>
        <v>apc-2</v>
      </c>
      <c r="I1396" t="s">
        <v>5196</v>
      </c>
      <c r="J1396" t="s">
        <v>29</v>
      </c>
      <c r="K1396" t="s">
        <v>29</v>
      </c>
      <c r="L1396" t="s">
        <v>29</v>
      </c>
      <c r="M1396" t="s">
        <v>29</v>
      </c>
      <c r="N1396" t="s">
        <v>29</v>
      </c>
      <c r="O1396" t="s">
        <v>29</v>
      </c>
      <c r="P1396" t="s">
        <v>29</v>
      </c>
      <c r="Q1396" t="s">
        <v>29</v>
      </c>
      <c r="R1396" t="s">
        <v>29</v>
      </c>
      <c r="S1396">
        <v>11.6133932399141</v>
      </c>
      <c r="T1396" t="s">
        <v>29</v>
      </c>
      <c r="U1396" t="s">
        <v>29</v>
      </c>
      <c r="V1396" t="s">
        <v>29</v>
      </c>
      <c r="W1396" t="s">
        <v>29</v>
      </c>
      <c r="X1396" t="s">
        <v>29</v>
      </c>
      <c r="Y1396" t="s">
        <v>29</v>
      </c>
    </row>
    <row r="1397" spans="1:25" x14ac:dyDescent="0.2">
      <c r="A1397" t="s">
        <v>5197</v>
      </c>
      <c r="B1397" t="s">
        <v>5198</v>
      </c>
      <c r="C1397" t="s">
        <v>5199</v>
      </c>
      <c r="D1397" t="s">
        <v>5200</v>
      </c>
      <c r="E1397" t="s">
        <v>5198</v>
      </c>
      <c r="F1397" t="s">
        <v>28</v>
      </c>
      <c r="G1397" t="s">
        <v>5198</v>
      </c>
      <c r="H1397" t="str">
        <f>"gpdh-2"</f>
        <v>gpdh-2</v>
      </c>
      <c r="I1397" t="s">
        <v>5200</v>
      </c>
      <c r="J1397">
        <v>15.620816166129201</v>
      </c>
      <c r="K1397">
        <v>15.378026457557899</v>
      </c>
      <c r="L1397">
        <v>15.4575255612585</v>
      </c>
      <c r="M1397">
        <v>15.308827848229701</v>
      </c>
      <c r="N1397">
        <v>15.5787783622498</v>
      </c>
      <c r="O1397">
        <v>15.600586159435601</v>
      </c>
      <c r="P1397">
        <v>1.06080616564785E-2</v>
      </c>
      <c r="Q1397">
        <v>-0.37089709538965698</v>
      </c>
      <c r="R1397">
        <v>0.39211321870261401</v>
      </c>
      <c r="S1397">
        <v>15.3115772250181</v>
      </c>
      <c r="T1397">
        <v>5.8442412525053798E-2</v>
      </c>
      <c r="U1397">
        <v>-7.0502966666822902</v>
      </c>
      <c r="V1397">
        <v>0.95404390227292701</v>
      </c>
      <c r="W1397">
        <v>0.97752358457809096</v>
      </c>
      <c r="X1397">
        <v>0</v>
      </c>
      <c r="Y1397">
        <v>0</v>
      </c>
    </row>
    <row r="1398" spans="1:25" x14ac:dyDescent="0.2">
      <c r="A1398" t="s">
        <v>5201</v>
      </c>
      <c r="B1398" t="s">
        <v>5202</v>
      </c>
      <c r="C1398" t="s">
        <v>5203</v>
      </c>
      <c r="D1398" t="s">
        <v>5204</v>
      </c>
      <c r="E1398" t="s">
        <v>5202</v>
      </c>
      <c r="F1398" t="s">
        <v>28</v>
      </c>
      <c r="G1398" t="s">
        <v>5202</v>
      </c>
      <c r="H1398" t="str">
        <f>"K11H3.3"</f>
        <v>K11H3.3</v>
      </c>
      <c r="I1398" t="s">
        <v>5204</v>
      </c>
      <c r="J1398">
        <v>17.028854126295201</v>
      </c>
      <c r="K1398">
        <v>16.964713728324199</v>
      </c>
      <c r="L1398">
        <v>16.896106608518799</v>
      </c>
      <c r="M1398">
        <v>16.986237261537301</v>
      </c>
      <c r="N1398">
        <v>16.946758049638799</v>
      </c>
      <c r="O1398">
        <v>16.451331743192899</v>
      </c>
      <c r="P1398">
        <v>-0.16844913625640601</v>
      </c>
      <c r="Q1398">
        <v>-0.49744950323158799</v>
      </c>
      <c r="R1398">
        <v>0.160551230718776</v>
      </c>
      <c r="S1398">
        <v>16.618010067977799</v>
      </c>
      <c r="T1398">
        <v>-1.07613044730277</v>
      </c>
      <c r="U1398">
        <v>-6.4641583057384704</v>
      </c>
      <c r="V1398">
        <v>0.29616388326035697</v>
      </c>
      <c r="W1398">
        <v>0.57432495597687905</v>
      </c>
      <c r="X1398">
        <v>0</v>
      </c>
      <c r="Y1398">
        <v>0</v>
      </c>
    </row>
    <row r="1399" spans="1:25" x14ac:dyDescent="0.2">
      <c r="A1399" t="s">
        <v>5205</v>
      </c>
      <c r="B1399" t="s">
        <v>5206</v>
      </c>
      <c r="C1399" t="s">
        <v>5207</v>
      </c>
      <c r="D1399" t="s">
        <v>5208</v>
      </c>
      <c r="E1399" t="s">
        <v>5206</v>
      </c>
      <c r="F1399" t="s">
        <v>28</v>
      </c>
      <c r="G1399" t="s">
        <v>5206</v>
      </c>
      <c r="H1399" t="str">
        <f>"K12H4.3"</f>
        <v>K12H4.3</v>
      </c>
      <c r="I1399" t="s">
        <v>5208</v>
      </c>
      <c r="J1399">
        <v>15.2381207356826</v>
      </c>
      <c r="K1399">
        <v>15.2732959965793</v>
      </c>
      <c r="L1399">
        <v>15.14300086615</v>
      </c>
      <c r="M1399">
        <v>15.308163085154799</v>
      </c>
      <c r="N1399">
        <v>15.2618016045834</v>
      </c>
      <c r="O1399">
        <v>14.719049766463399</v>
      </c>
      <c r="P1399">
        <v>-0.121801047403407</v>
      </c>
      <c r="Q1399">
        <v>-0.50478456945581496</v>
      </c>
      <c r="R1399">
        <v>0.26118247464900102</v>
      </c>
      <c r="S1399">
        <v>14.8939745754346</v>
      </c>
      <c r="T1399">
        <v>-0.66844156499068696</v>
      </c>
      <c r="U1399">
        <v>-6.8208240309249097</v>
      </c>
      <c r="V1399">
        <v>0.51238257155076405</v>
      </c>
      <c r="W1399">
        <v>0.76053261901594305</v>
      </c>
      <c r="X1399">
        <v>0</v>
      </c>
      <c r="Y1399">
        <v>0</v>
      </c>
    </row>
    <row r="1400" spans="1:25" x14ac:dyDescent="0.2">
      <c r="A1400" t="s">
        <v>5209</v>
      </c>
      <c r="B1400" t="s">
        <v>5210</v>
      </c>
      <c r="C1400" t="s">
        <v>5211</v>
      </c>
      <c r="D1400" t="s">
        <v>5212</v>
      </c>
      <c r="E1400" t="s">
        <v>5210</v>
      </c>
      <c r="F1400" t="s">
        <v>28</v>
      </c>
      <c r="G1400" t="s">
        <v>5210</v>
      </c>
      <c r="H1400" t="str">
        <f>"spcs-3"</f>
        <v>spcs-3</v>
      </c>
      <c r="I1400" t="s">
        <v>5212</v>
      </c>
      <c r="J1400">
        <v>13.6777642484913</v>
      </c>
      <c r="K1400">
        <v>13.804572733276199</v>
      </c>
      <c r="L1400">
        <v>14.161381309584</v>
      </c>
      <c r="M1400">
        <v>13.170494463576</v>
      </c>
      <c r="N1400">
        <v>13.746211105433501</v>
      </c>
      <c r="O1400">
        <v>14.369522305373099</v>
      </c>
      <c r="P1400">
        <v>-0.11916347232298601</v>
      </c>
      <c r="Q1400">
        <v>-0.83197708071684395</v>
      </c>
      <c r="R1400">
        <v>0.59365013607087103</v>
      </c>
      <c r="S1400">
        <v>13.4716110084407</v>
      </c>
      <c r="T1400">
        <v>-0.35458200975523901</v>
      </c>
      <c r="U1400">
        <v>-6.9860208473752499</v>
      </c>
      <c r="V1400">
        <v>0.72756328501241496</v>
      </c>
      <c r="W1400">
        <v>0.88207560709031296</v>
      </c>
      <c r="X1400">
        <v>0</v>
      </c>
      <c r="Y1400">
        <v>0</v>
      </c>
    </row>
    <row r="1401" spans="1:25" x14ac:dyDescent="0.2">
      <c r="A1401" t="s">
        <v>5213</v>
      </c>
      <c r="B1401" t="s">
        <v>5214</v>
      </c>
      <c r="C1401" t="s">
        <v>5215</v>
      </c>
      <c r="D1401" t="s">
        <v>5216</v>
      </c>
      <c r="E1401" t="s">
        <v>5214</v>
      </c>
      <c r="F1401" t="s">
        <v>28</v>
      </c>
      <c r="G1401" t="s">
        <v>5214</v>
      </c>
      <c r="H1401" t="str">
        <f>"dcr-1"</f>
        <v>dcr-1</v>
      </c>
      <c r="I1401" t="s">
        <v>5216</v>
      </c>
      <c r="J1401">
        <v>14.182833812895099</v>
      </c>
      <c r="K1401">
        <v>14.1641729588441</v>
      </c>
      <c r="L1401">
        <v>13.971575668826199</v>
      </c>
      <c r="M1401">
        <v>14.192912592656899</v>
      </c>
      <c r="N1401">
        <v>14.338908397275601</v>
      </c>
      <c r="O1401">
        <v>14.0783368715644</v>
      </c>
      <c r="P1401">
        <v>9.7191806977118503E-2</v>
      </c>
      <c r="Q1401">
        <v>-0.89743996858416697</v>
      </c>
      <c r="R1401">
        <v>1.0918235825384</v>
      </c>
      <c r="S1401">
        <v>14.3588262545705</v>
      </c>
      <c r="T1401">
        <v>0.20538079950636401</v>
      </c>
      <c r="U1401">
        <v>-7.0300069715485698</v>
      </c>
      <c r="V1401">
        <v>0.83959281108400996</v>
      </c>
      <c r="W1401">
        <v>0.93659067784277195</v>
      </c>
      <c r="X1401">
        <v>0</v>
      </c>
      <c r="Y1401">
        <v>0</v>
      </c>
    </row>
    <row r="1402" spans="1:25" x14ac:dyDescent="0.2">
      <c r="A1402" t="s">
        <v>5217</v>
      </c>
      <c r="B1402" t="s">
        <v>5218</v>
      </c>
      <c r="C1402" t="s">
        <v>5219</v>
      </c>
      <c r="D1402" t="s">
        <v>5220</v>
      </c>
      <c r="E1402" t="s">
        <v>5218</v>
      </c>
      <c r="F1402" t="s">
        <v>28</v>
      </c>
      <c r="G1402" t="s">
        <v>5218</v>
      </c>
      <c r="H1402" t="str">
        <f>"R05D3.12"</f>
        <v>R05D3.12</v>
      </c>
      <c r="I1402" t="s">
        <v>5220</v>
      </c>
      <c r="J1402" t="s">
        <v>29</v>
      </c>
      <c r="K1402">
        <v>11.468713827162199</v>
      </c>
      <c r="L1402" t="s">
        <v>29</v>
      </c>
      <c r="M1402">
        <v>11.8828286846792</v>
      </c>
      <c r="N1402">
        <v>12.4046789962643</v>
      </c>
      <c r="O1402">
        <v>11.875036648113101</v>
      </c>
      <c r="P1402">
        <v>0.58546761585668206</v>
      </c>
      <c r="Q1402">
        <v>-0.667158040947189</v>
      </c>
      <c r="R1402">
        <v>1.8380932726605499</v>
      </c>
      <c r="S1402">
        <v>11.825864244051401</v>
      </c>
      <c r="T1402">
        <v>1.01935765218955</v>
      </c>
      <c r="U1402">
        <v>-6.1774106021002604</v>
      </c>
      <c r="V1402">
        <v>0.32831859090045901</v>
      </c>
      <c r="W1402">
        <v>0.60848776455734299</v>
      </c>
      <c r="X1402">
        <v>0</v>
      </c>
      <c r="Y1402">
        <v>0</v>
      </c>
    </row>
    <row r="1403" spans="1:25" x14ac:dyDescent="0.2">
      <c r="A1403" t="s">
        <v>5221</v>
      </c>
      <c r="B1403" t="s">
        <v>5222</v>
      </c>
      <c r="C1403" t="s">
        <v>5223</v>
      </c>
      <c r="D1403" t="s">
        <v>5224</v>
      </c>
      <c r="E1403" t="s">
        <v>5222</v>
      </c>
      <c r="F1403" t="s">
        <v>28</v>
      </c>
      <c r="G1403" t="s">
        <v>5222</v>
      </c>
      <c r="H1403" t="str">
        <f>"rfp-1"</f>
        <v>rfp-1</v>
      </c>
      <c r="I1403" t="s">
        <v>5224</v>
      </c>
      <c r="J1403">
        <v>11.248834907491201</v>
      </c>
      <c r="K1403">
        <v>11.0183464851442</v>
      </c>
      <c r="L1403">
        <v>10.9646998386904</v>
      </c>
      <c r="M1403" t="s">
        <v>29</v>
      </c>
      <c r="N1403" t="s">
        <v>29</v>
      </c>
      <c r="O1403" t="s">
        <v>29</v>
      </c>
      <c r="P1403" t="s">
        <v>29</v>
      </c>
      <c r="Q1403" t="s">
        <v>29</v>
      </c>
      <c r="R1403" t="s">
        <v>29</v>
      </c>
      <c r="S1403">
        <v>11.744753317930099</v>
      </c>
      <c r="T1403" t="s">
        <v>29</v>
      </c>
      <c r="U1403" t="s">
        <v>29</v>
      </c>
      <c r="V1403" t="s">
        <v>29</v>
      </c>
      <c r="W1403" t="s">
        <v>29</v>
      </c>
      <c r="X1403" t="s">
        <v>29</v>
      </c>
      <c r="Y1403" t="s">
        <v>29</v>
      </c>
    </row>
    <row r="1404" spans="1:25" x14ac:dyDescent="0.2">
      <c r="A1404" t="s">
        <v>5225</v>
      </c>
      <c r="B1404" t="s">
        <v>5226</v>
      </c>
      <c r="C1404" t="s">
        <v>5227</v>
      </c>
      <c r="D1404" t="s">
        <v>5228</v>
      </c>
      <c r="E1404" t="s">
        <v>5226</v>
      </c>
      <c r="F1404" t="s">
        <v>28</v>
      </c>
      <c r="G1404" t="s">
        <v>5226</v>
      </c>
      <c r="H1404" t="str">
        <f>"unc-116"</f>
        <v>unc-116</v>
      </c>
      <c r="I1404" t="s">
        <v>5228</v>
      </c>
      <c r="J1404">
        <v>15.678768075947501</v>
      </c>
      <c r="K1404">
        <v>15.5785606488355</v>
      </c>
      <c r="L1404">
        <v>15.2494201854489</v>
      </c>
      <c r="M1404">
        <v>16.117818409610599</v>
      </c>
      <c r="N1404">
        <v>16.242902521686801</v>
      </c>
      <c r="O1404">
        <v>15.9491262752659</v>
      </c>
      <c r="P1404">
        <v>0.60103276544380801</v>
      </c>
      <c r="Q1404">
        <v>0.20576963291342301</v>
      </c>
      <c r="R1404">
        <v>0.99629589797419205</v>
      </c>
      <c r="S1404">
        <v>15.374018506470099</v>
      </c>
      <c r="T1404">
        <v>3.1959822105553899</v>
      </c>
      <c r="U1404">
        <v>-2.8253071896497102</v>
      </c>
      <c r="V1404">
        <v>5.0347236773924803E-3</v>
      </c>
      <c r="W1404">
        <v>5.4792611525869901E-2</v>
      </c>
      <c r="X1404">
        <v>0</v>
      </c>
      <c r="Y1404">
        <v>0</v>
      </c>
    </row>
    <row r="1405" spans="1:25" x14ac:dyDescent="0.2">
      <c r="A1405" t="s">
        <v>5229</v>
      </c>
      <c r="B1405" t="s">
        <v>5230</v>
      </c>
      <c r="C1405" t="s">
        <v>5231</v>
      </c>
      <c r="D1405" t="s">
        <v>5232</v>
      </c>
      <c r="E1405" t="s">
        <v>5230</v>
      </c>
      <c r="F1405" t="s">
        <v>28</v>
      </c>
      <c r="G1405" t="s">
        <v>5230</v>
      </c>
      <c r="H1405" t="str">
        <f>"R05D3.9/R05D3.10"</f>
        <v>R05D3.9/R05D3.10</v>
      </c>
      <c r="I1405" t="s">
        <v>5232</v>
      </c>
      <c r="J1405">
        <v>12.385141535916</v>
      </c>
      <c r="K1405">
        <v>12.1926400769373</v>
      </c>
      <c r="L1405">
        <v>12.752592349375901</v>
      </c>
      <c r="M1405">
        <v>12.3825263509934</v>
      </c>
      <c r="N1405">
        <v>12.518611153090999</v>
      </c>
      <c r="O1405">
        <v>12.4648595783651</v>
      </c>
      <c r="P1405">
        <v>1.18743734067408E-2</v>
      </c>
      <c r="Q1405">
        <v>-0.43641811084409499</v>
      </c>
      <c r="R1405">
        <v>0.46016685765757698</v>
      </c>
      <c r="S1405">
        <v>12.7803970924232</v>
      </c>
      <c r="T1405">
        <v>5.59112571171912E-2</v>
      </c>
      <c r="U1405">
        <v>-7.0504432045322298</v>
      </c>
      <c r="V1405">
        <v>0.95606839143724898</v>
      </c>
      <c r="W1405">
        <v>0.97800897382483798</v>
      </c>
      <c r="X1405">
        <v>0</v>
      </c>
      <c r="Y1405">
        <v>0</v>
      </c>
    </row>
    <row r="1406" spans="1:25" x14ac:dyDescent="0.2">
      <c r="A1406" t="s">
        <v>5233</v>
      </c>
      <c r="B1406" t="s">
        <v>5234</v>
      </c>
      <c r="C1406" t="s">
        <v>5235</v>
      </c>
      <c r="D1406" t="s">
        <v>5236</v>
      </c>
      <c r="E1406" t="s">
        <v>5234</v>
      </c>
      <c r="F1406" t="s">
        <v>28</v>
      </c>
      <c r="G1406" t="s">
        <v>5234</v>
      </c>
      <c r="H1406" t="str">
        <f>"met-2"</f>
        <v>met-2</v>
      </c>
      <c r="I1406" t="s">
        <v>5236</v>
      </c>
      <c r="J1406">
        <v>11.0095918363564</v>
      </c>
      <c r="K1406">
        <v>11.3690473152629</v>
      </c>
      <c r="L1406">
        <v>11.219486572823801</v>
      </c>
      <c r="M1406">
        <v>12.1450751773961</v>
      </c>
      <c r="N1406">
        <v>12.251923418252</v>
      </c>
      <c r="O1406">
        <v>12.323387490599099</v>
      </c>
      <c r="P1406">
        <v>1.0407534539347101</v>
      </c>
      <c r="Q1406">
        <v>0.44760805908109502</v>
      </c>
      <c r="R1406">
        <v>1.6338988487883199</v>
      </c>
      <c r="S1406">
        <v>12.3666838250537</v>
      </c>
      <c r="T1406">
        <v>3.7037077566334</v>
      </c>
      <c r="U1406">
        <v>-1.78697614088278</v>
      </c>
      <c r="V1406">
        <v>1.7794623378069E-3</v>
      </c>
      <c r="W1406">
        <v>2.5939589445653399E-2</v>
      </c>
      <c r="X1406">
        <v>1</v>
      </c>
      <c r="Y1406">
        <v>1</v>
      </c>
    </row>
    <row r="1407" spans="1:25" x14ac:dyDescent="0.2">
      <c r="A1407" t="s">
        <v>5237</v>
      </c>
      <c r="B1407" t="s">
        <v>5238</v>
      </c>
      <c r="C1407" t="s">
        <v>5239</v>
      </c>
      <c r="D1407" t="s">
        <v>5240</v>
      </c>
      <c r="E1407" t="s">
        <v>5238</v>
      </c>
      <c r="F1407" t="s">
        <v>28</v>
      </c>
      <c r="G1407" t="s">
        <v>5238</v>
      </c>
      <c r="H1407" t="str">
        <f>"cbp-1"</f>
        <v>cbp-1</v>
      </c>
      <c r="I1407" t="s">
        <v>5240</v>
      </c>
      <c r="J1407">
        <v>11.3175618342609</v>
      </c>
      <c r="K1407">
        <v>11.787044413182601</v>
      </c>
      <c r="L1407">
        <v>11.5336452321161</v>
      </c>
      <c r="M1407">
        <v>10.864878619697301</v>
      </c>
      <c r="N1407">
        <v>10.531444544851301</v>
      </c>
      <c r="O1407">
        <v>11.737803020586799</v>
      </c>
      <c r="P1407">
        <v>-0.50137509814139503</v>
      </c>
      <c r="Q1407">
        <v>-1.20367164281759</v>
      </c>
      <c r="R1407">
        <v>0.20092144653480001</v>
      </c>
      <c r="S1407">
        <v>12.2961069912264</v>
      </c>
      <c r="T1407">
        <v>-1.50692709423496</v>
      </c>
      <c r="U1407">
        <v>-5.9325331655461904</v>
      </c>
      <c r="V1407">
        <v>0.15029883049978199</v>
      </c>
      <c r="W1407">
        <v>0.402122908413103</v>
      </c>
      <c r="X1407">
        <v>0</v>
      </c>
      <c r="Y1407">
        <v>0</v>
      </c>
    </row>
    <row r="1408" spans="1:25" x14ac:dyDescent="0.2">
      <c r="A1408" t="s">
        <v>5241</v>
      </c>
      <c r="B1408" t="s">
        <v>5242</v>
      </c>
      <c r="C1408" t="s">
        <v>5243</v>
      </c>
      <c r="D1408" t="s">
        <v>5244</v>
      </c>
      <c r="E1408" t="s">
        <v>5242</v>
      </c>
      <c r="F1408" t="s">
        <v>28</v>
      </c>
      <c r="G1408" t="s">
        <v>5242</v>
      </c>
      <c r="H1408" t="str">
        <f>"usp-46"</f>
        <v>usp-46</v>
      </c>
      <c r="I1408" t="s">
        <v>5244</v>
      </c>
      <c r="J1408">
        <v>13.3591026563076</v>
      </c>
      <c r="K1408">
        <v>13.007645823341701</v>
      </c>
      <c r="L1408">
        <v>13.2555780041695</v>
      </c>
      <c r="M1408">
        <v>13.9273034280106</v>
      </c>
      <c r="N1408">
        <v>13.6435282846068</v>
      </c>
      <c r="O1408">
        <v>12.686072127817599</v>
      </c>
      <c r="P1408">
        <v>0.211525785538766</v>
      </c>
      <c r="Q1408">
        <v>-0.49376616005048002</v>
      </c>
      <c r="R1408">
        <v>0.91681773112801301</v>
      </c>
      <c r="S1408">
        <v>13.210485731814799</v>
      </c>
      <c r="T1408">
        <v>0.63612713593801795</v>
      </c>
      <c r="U1408">
        <v>-6.8412995686060203</v>
      </c>
      <c r="V1408">
        <v>0.53374697693141304</v>
      </c>
      <c r="W1408">
        <v>0.77492902906669103</v>
      </c>
      <c r="X1408">
        <v>0</v>
      </c>
      <c r="Y1408">
        <v>0</v>
      </c>
    </row>
    <row r="1409" spans="1:25" x14ac:dyDescent="0.2">
      <c r="A1409" t="s">
        <v>5245</v>
      </c>
      <c r="B1409" t="s">
        <v>5246</v>
      </c>
      <c r="C1409" t="s">
        <v>5247</v>
      </c>
      <c r="D1409" t="s">
        <v>5248</v>
      </c>
      <c r="E1409" t="s">
        <v>5246</v>
      </c>
      <c r="F1409" t="s">
        <v>28</v>
      </c>
      <c r="G1409" t="s">
        <v>5246</v>
      </c>
      <c r="H1409" t="str">
        <f>"sqv-3"</f>
        <v>sqv-3</v>
      </c>
      <c r="I1409" t="s">
        <v>5248</v>
      </c>
      <c r="J1409">
        <v>13.005401326404799</v>
      </c>
      <c r="K1409">
        <v>13.323869782933601</v>
      </c>
      <c r="L1409">
        <v>13.2235468624354</v>
      </c>
      <c r="M1409">
        <v>13.260165948187</v>
      </c>
      <c r="N1409">
        <v>12.0253599655833</v>
      </c>
      <c r="O1409" t="s">
        <v>29</v>
      </c>
      <c r="P1409">
        <v>-0.54150970037276702</v>
      </c>
      <c r="Q1409">
        <v>-1.22181405084721</v>
      </c>
      <c r="R1409">
        <v>0.13879465010167799</v>
      </c>
      <c r="S1409">
        <v>12.715760432952001</v>
      </c>
      <c r="T1409">
        <v>-1.7084209378480499</v>
      </c>
      <c r="U1409">
        <v>-5.5357733567029603</v>
      </c>
      <c r="V1409">
        <v>0.10978986020588399</v>
      </c>
      <c r="W1409">
        <v>0.34241702703680399</v>
      </c>
      <c r="X1409">
        <v>0</v>
      </c>
      <c r="Y1409">
        <v>0</v>
      </c>
    </row>
    <row r="1410" spans="1:25" x14ac:dyDescent="0.2">
      <c r="A1410" t="s">
        <v>5249</v>
      </c>
      <c r="B1410" t="s">
        <v>5250</v>
      </c>
      <c r="C1410" t="s">
        <v>5251</v>
      </c>
      <c r="D1410" t="s">
        <v>5252</v>
      </c>
      <c r="E1410" t="s">
        <v>5250</v>
      </c>
      <c r="F1410" t="s">
        <v>28</v>
      </c>
      <c r="G1410" t="s">
        <v>5250</v>
      </c>
      <c r="H1410" t="str">
        <f>"alx-1"</f>
        <v>alx-1</v>
      </c>
      <c r="I1410" t="s">
        <v>5252</v>
      </c>
      <c r="J1410">
        <v>12.076039040162</v>
      </c>
      <c r="K1410" t="s">
        <v>29</v>
      </c>
      <c r="L1410" t="s">
        <v>29</v>
      </c>
      <c r="M1410">
        <v>13.014865715197899</v>
      </c>
      <c r="N1410">
        <v>13.2322167971321</v>
      </c>
      <c r="O1410">
        <v>12.9977065711566</v>
      </c>
      <c r="P1410">
        <v>1.00555732100023</v>
      </c>
      <c r="Q1410">
        <v>-0.117024743616819</v>
      </c>
      <c r="R1410">
        <v>2.1281393856172701</v>
      </c>
      <c r="S1410">
        <v>11.970170698086701</v>
      </c>
      <c r="T1410">
        <v>1.91042652259376</v>
      </c>
      <c r="U1410">
        <v>-4.9957387523731001</v>
      </c>
      <c r="V1410">
        <v>7.5523155199298295E-2</v>
      </c>
      <c r="W1410">
        <v>0.28172435448719801</v>
      </c>
      <c r="X1410">
        <v>0</v>
      </c>
      <c r="Y1410">
        <v>0</v>
      </c>
    </row>
    <row r="1411" spans="1:25" x14ac:dyDescent="0.2">
      <c r="A1411" t="s">
        <v>5253</v>
      </c>
      <c r="B1411" t="s">
        <v>5254</v>
      </c>
      <c r="C1411" t="s">
        <v>5255</v>
      </c>
      <c r="D1411" t="s">
        <v>5256</v>
      </c>
      <c r="E1411" t="s">
        <v>5254</v>
      </c>
      <c r="F1411" t="s">
        <v>28</v>
      </c>
      <c r="G1411" t="s">
        <v>5254</v>
      </c>
      <c r="H1411" t="str">
        <f>"cdk-1"</f>
        <v>cdk-1</v>
      </c>
      <c r="I1411" t="s">
        <v>5256</v>
      </c>
      <c r="J1411">
        <v>15.842264184717401</v>
      </c>
      <c r="K1411">
        <v>15.8023995485744</v>
      </c>
      <c r="L1411">
        <v>15.8056358507013</v>
      </c>
      <c r="M1411">
        <v>15.7144742395009</v>
      </c>
      <c r="N1411">
        <v>16.0894799770441</v>
      </c>
      <c r="O1411">
        <v>15.8825778528717</v>
      </c>
      <c r="P1411">
        <v>7.8744161807859897E-2</v>
      </c>
      <c r="Q1411">
        <v>-0.34654318012897201</v>
      </c>
      <c r="R1411">
        <v>0.50403150374469197</v>
      </c>
      <c r="S1411">
        <v>15.9522526535194</v>
      </c>
      <c r="T1411">
        <v>0.38916020267596002</v>
      </c>
      <c r="U1411">
        <v>-6.9730556779196098</v>
      </c>
      <c r="V1411">
        <v>0.70174964722584299</v>
      </c>
      <c r="W1411">
        <v>0.86708447318506898</v>
      </c>
      <c r="X1411">
        <v>0</v>
      </c>
      <c r="Y1411">
        <v>0</v>
      </c>
    </row>
    <row r="1412" spans="1:25" x14ac:dyDescent="0.2">
      <c r="A1412" t="s">
        <v>5257</v>
      </c>
      <c r="B1412" t="s">
        <v>5258</v>
      </c>
      <c r="C1412" t="s">
        <v>5259</v>
      </c>
      <c r="D1412" t="s">
        <v>5260</v>
      </c>
      <c r="E1412" t="s">
        <v>5258</v>
      </c>
      <c r="F1412" t="s">
        <v>28</v>
      </c>
      <c r="G1412" t="s">
        <v>5258</v>
      </c>
      <c r="H1412" t="str">
        <f>"T05G5.5"</f>
        <v>T05G5.5</v>
      </c>
      <c r="I1412" t="s">
        <v>5260</v>
      </c>
      <c r="J1412">
        <v>12.391707495822599</v>
      </c>
      <c r="K1412">
        <v>12.513948042363999</v>
      </c>
      <c r="L1412">
        <v>12.235560685586799</v>
      </c>
      <c r="M1412">
        <v>12.7785229730192</v>
      </c>
      <c r="N1412">
        <v>12.757172565205501</v>
      </c>
      <c r="O1412">
        <v>12.420499421321299</v>
      </c>
      <c r="P1412">
        <v>0.27165957859088002</v>
      </c>
      <c r="Q1412">
        <v>-0.21947405761525701</v>
      </c>
      <c r="R1412">
        <v>0.76279321479701701</v>
      </c>
      <c r="S1412">
        <v>12.080359190275701</v>
      </c>
      <c r="T1412">
        <v>1.1732076167249299</v>
      </c>
      <c r="U1412">
        <v>-6.3559061781846902</v>
      </c>
      <c r="V1412">
        <v>0.257994196040565</v>
      </c>
      <c r="W1412">
        <v>0.53484480455771</v>
      </c>
      <c r="X1412">
        <v>0</v>
      </c>
      <c r="Y1412">
        <v>0</v>
      </c>
    </row>
    <row r="1413" spans="1:25" x14ac:dyDescent="0.2">
      <c r="A1413" t="s">
        <v>5261</v>
      </c>
      <c r="B1413" t="s">
        <v>5262</v>
      </c>
      <c r="C1413" t="s">
        <v>5263</v>
      </c>
      <c r="D1413" t="s">
        <v>5264</v>
      </c>
      <c r="E1413" t="s">
        <v>5262</v>
      </c>
      <c r="F1413" t="s">
        <v>28</v>
      </c>
      <c r="G1413" t="s">
        <v>5262</v>
      </c>
      <c r="H1413" t="str">
        <f>"ech-6"</f>
        <v>ech-6</v>
      </c>
      <c r="I1413" t="s">
        <v>5264</v>
      </c>
      <c r="J1413">
        <v>14.0390969873517</v>
      </c>
      <c r="K1413">
        <v>14.022945809387201</v>
      </c>
      <c r="L1413">
        <v>14.3860402620878</v>
      </c>
      <c r="M1413">
        <v>14.2564806387914</v>
      </c>
      <c r="N1413">
        <v>14.336263132204801</v>
      </c>
      <c r="O1413">
        <v>15.459216386610199</v>
      </c>
      <c r="P1413">
        <v>0.53462569959325601</v>
      </c>
      <c r="Q1413">
        <v>-0.14985063872473001</v>
      </c>
      <c r="R1413">
        <v>1.2191020379112401</v>
      </c>
      <c r="S1413">
        <v>14.102422870866</v>
      </c>
      <c r="T1413">
        <v>1.64869911618825</v>
      </c>
      <c r="U1413">
        <v>-5.7278139301245599</v>
      </c>
      <c r="V1413">
        <v>0.11767785967241701</v>
      </c>
      <c r="W1413">
        <v>0.35290720882152199</v>
      </c>
      <c r="X1413">
        <v>0</v>
      </c>
      <c r="Y1413">
        <v>0</v>
      </c>
    </row>
    <row r="1414" spans="1:25" x14ac:dyDescent="0.2">
      <c r="A1414" t="s">
        <v>5265</v>
      </c>
      <c r="B1414" t="s">
        <v>5266</v>
      </c>
      <c r="C1414" t="s">
        <v>5267</v>
      </c>
      <c r="D1414" t="s">
        <v>4445</v>
      </c>
      <c r="E1414" t="s">
        <v>5266</v>
      </c>
      <c r="F1414" t="s">
        <v>28</v>
      </c>
      <c r="G1414" t="s">
        <v>5266</v>
      </c>
      <c r="H1414" t="str">
        <f>"rmd-1"</f>
        <v>rmd-1</v>
      </c>
      <c r="I1414" t="s">
        <v>4445</v>
      </c>
      <c r="J1414" t="s">
        <v>29</v>
      </c>
      <c r="K1414" t="s">
        <v>29</v>
      </c>
      <c r="L1414">
        <v>10.858343183553</v>
      </c>
      <c r="M1414" t="s">
        <v>29</v>
      </c>
      <c r="N1414" t="s">
        <v>29</v>
      </c>
      <c r="O1414" t="s">
        <v>29</v>
      </c>
      <c r="P1414" t="s">
        <v>29</v>
      </c>
      <c r="Q1414" t="s">
        <v>29</v>
      </c>
      <c r="R1414" t="s">
        <v>29</v>
      </c>
      <c r="S1414">
        <v>12.397035295987701</v>
      </c>
      <c r="T1414" t="s">
        <v>29</v>
      </c>
      <c r="U1414" t="s">
        <v>29</v>
      </c>
      <c r="V1414" t="s">
        <v>29</v>
      </c>
      <c r="W1414" t="s">
        <v>29</v>
      </c>
      <c r="X1414" t="s">
        <v>29</v>
      </c>
      <c r="Y1414" t="s">
        <v>29</v>
      </c>
    </row>
    <row r="1415" spans="1:25" x14ac:dyDescent="0.2">
      <c r="A1415" t="s">
        <v>5268</v>
      </c>
      <c r="B1415" t="s">
        <v>5269</v>
      </c>
      <c r="C1415" t="s">
        <v>5270</v>
      </c>
      <c r="D1415" t="s">
        <v>5271</v>
      </c>
      <c r="E1415" t="s">
        <v>5269</v>
      </c>
      <c r="F1415" t="s">
        <v>28</v>
      </c>
      <c r="G1415" t="s">
        <v>5269</v>
      </c>
      <c r="H1415" t="str">
        <f>"iff-1"</f>
        <v>iff-1</v>
      </c>
      <c r="I1415" t="s">
        <v>5271</v>
      </c>
      <c r="J1415">
        <v>18.784250631812501</v>
      </c>
      <c r="K1415">
        <v>18.3609309181033</v>
      </c>
      <c r="L1415">
        <v>18.8269715603316</v>
      </c>
      <c r="M1415">
        <v>18.612115757856799</v>
      </c>
      <c r="N1415">
        <v>18.834148805672001</v>
      </c>
      <c r="O1415">
        <v>18.367550685060699</v>
      </c>
      <c r="P1415">
        <v>-5.2779287219298303E-2</v>
      </c>
      <c r="Q1415">
        <v>-0.46692464189232502</v>
      </c>
      <c r="R1415">
        <v>0.36136606745372901</v>
      </c>
      <c r="S1415">
        <v>18.5562186729506</v>
      </c>
      <c r="T1415">
        <v>-0.26785714749376999</v>
      </c>
      <c r="U1415">
        <v>-7.01456193439423</v>
      </c>
      <c r="V1415">
        <v>0.79187230944798503</v>
      </c>
      <c r="W1415">
        <v>0.91517844850619501</v>
      </c>
      <c r="X1415">
        <v>0</v>
      </c>
      <c r="Y1415">
        <v>0</v>
      </c>
    </row>
    <row r="1416" spans="1:25" x14ac:dyDescent="0.2">
      <c r="A1416" t="s">
        <v>5272</v>
      </c>
      <c r="B1416" t="s">
        <v>5273</v>
      </c>
      <c r="C1416" t="s">
        <v>5274</v>
      </c>
      <c r="D1416" t="s">
        <v>5275</v>
      </c>
      <c r="E1416" t="s">
        <v>5273</v>
      </c>
      <c r="F1416" t="s">
        <v>28</v>
      </c>
      <c r="G1416" t="s">
        <v>5273</v>
      </c>
      <c r="H1416" t="str">
        <f>"T16H12.3"</f>
        <v>T16H12.3</v>
      </c>
      <c r="I1416" t="s">
        <v>5275</v>
      </c>
      <c r="J1416">
        <v>12.5367688330959</v>
      </c>
      <c r="K1416" t="s">
        <v>29</v>
      </c>
      <c r="L1416">
        <v>9.82776533137827</v>
      </c>
      <c r="M1416" t="s">
        <v>29</v>
      </c>
      <c r="N1416">
        <v>10.300476787724101</v>
      </c>
      <c r="O1416" t="s">
        <v>29</v>
      </c>
      <c r="P1416">
        <v>-0.88179029451304003</v>
      </c>
      <c r="Q1416">
        <v>-2.7557753246184098</v>
      </c>
      <c r="R1416">
        <v>0.99219473559233096</v>
      </c>
      <c r="S1416">
        <v>11.279373501684701</v>
      </c>
      <c r="T1416">
        <v>-1.0368761628691401</v>
      </c>
      <c r="U1416">
        <v>-6.1010787308773002</v>
      </c>
      <c r="V1416">
        <v>0.32225905114666697</v>
      </c>
      <c r="W1416">
        <v>0.60127921584360899</v>
      </c>
      <c r="X1416">
        <v>0</v>
      </c>
      <c r="Y1416">
        <v>0</v>
      </c>
    </row>
    <row r="1417" spans="1:25" x14ac:dyDescent="0.2">
      <c r="A1417" t="s">
        <v>5276</v>
      </c>
      <c r="B1417" t="s">
        <v>5277</v>
      </c>
      <c r="C1417" t="s">
        <v>5278</v>
      </c>
      <c r="D1417" t="s">
        <v>5279</v>
      </c>
      <c r="E1417" t="s">
        <v>5277</v>
      </c>
      <c r="F1417" t="s">
        <v>28</v>
      </c>
      <c r="G1417" t="s">
        <v>5277</v>
      </c>
      <c r="H1417" t="str">
        <f>"chc-1"</f>
        <v>chc-1</v>
      </c>
      <c r="I1417" t="s">
        <v>5279</v>
      </c>
      <c r="J1417">
        <v>17.966067193990799</v>
      </c>
      <c r="K1417">
        <v>17.7987405077746</v>
      </c>
      <c r="L1417">
        <v>17.783158464207801</v>
      </c>
      <c r="M1417">
        <v>17.733397389085201</v>
      </c>
      <c r="N1417">
        <v>17.973659702937599</v>
      </c>
      <c r="O1417">
        <v>17.727348502981499</v>
      </c>
      <c r="P1417">
        <v>-3.7853523656270503E-2</v>
      </c>
      <c r="Q1417">
        <v>-0.36111944985188699</v>
      </c>
      <c r="R1417">
        <v>0.28541240253934602</v>
      </c>
      <c r="S1417">
        <v>17.5244923090636</v>
      </c>
      <c r="T1417">
        <v>-0.24611546021533601</v>
      </c>
      <c r="U1417">
        <v>-7.0203964237087</v>
      </c>
      <c r="V1417">
        <v>0.80839369878870904</v>
      </c>
      <c r="W1417">
        <v>0.91833642628581302</v>
      </c>
      <c r="X1417">
        <v>0</v>
      </c>
      <c r="Y1417">
        <v>0</v>
      </c>
    </row>
    <row r="1418" spans="1:25" x14ac:dyDescent="0.2">
      <c r="A1418" t="s">
        <v>5280</v>
      </c>
      <c r="B1418" t="s">
        <v>5281</v>
      </c>
      <c r="C1418" t="s">
        <v>5282</v>
      </c>
      <c r="D1418" t="s">
        <v>5283</v>
      </c>
      <c r="E1418" t="s">
        <v>5281</v>
      </c>
      <c r="F1418" t="s">
        <v>28</v>
      </c>
      <c r="G1418" t="s">
        <v>5281</v>
      </c>
      <c r="H1418" t="str">
        <f>"cts-1"</f>
        <v>cts-1</v>
      </c>
      <c r="I1418" t="s">
        <v>5283</v>
      </c>
      <c r="J1418">
        <v>15.1634724221892</v>
      </c>
      <c r="K1418">
        <v>15.3662191094036</v>
      </c>
      <c r="L1418">
        <v>15.2000300079716</v>
      </c>
      <c r="M1418">
        <v>15.4174475792137</v>
      </c>
      <c r="N1418">
        <v>14.8987399305226</v>
      </c>
      <c r="O1418">
        <v>16.619739049248999</v>
      </c>
      <c r="P1418">
        <v>0.40206833980696499</v>
      </c>
      <c r="Q1418">
        <v>-0.213553741704992</v>
      </c>
      <c r="R1418">
        <v>1.01769042131892</v>
      </c>
      <c r="S1418">
        <v>15.160000370015901</v>
      </c>
      <c r="T1418">
        <v>1.3727081141677</v>
      </c>
      <c r="U1418">
        <v>-6.11354331723164</v>
      </c>
      <c r="V1418">
        <v>0.18680302222614401</v>
      </c>
      <c r="W1418">
        <v>0.45039110104366298</v>
      </c>
      <c r="X1418">
        <v>0</v>
      </c>
      <c r="Y1418">
        <v>0</v>
      </c>
    </row>
    <row r="1419" spans="1:25" x14ac:dyDescent="0.2">
      <c r="A1419" t="s">
        <v>5284</v>
      </c>
      <c r="B1419" t="s">
        <v>5285</v>
      </c>
      <c r="C1419" t="s">
        <v>5286</v>
      </c>
      <c r="D1419" t="s">
        <v>5287</v>
      </c>
      <c r="E1419" t="s">
        <v>5285</v>
      </c>
      <c r="F1419" t="s">
        <v>28</v>
      </c>
      <c r="G1419" t="s">
        <v>5285</v>
      </c>
      <c r="H1419" t="str">
        <f>"mua-3"</f>
        <v>mua-3</v>
      </c>
      <c r="I1419" t="s">
        <v>5287</v>
      </c>
      <c r="J1419" t="s">
        <v>29</v>
      </c>
      <c r="K1419" t="s">
        <v>29</v>
      </c>
      <c r="L1419">
        <v>11.864568973610901</v>
      </c>
      <c r="M1419" t="s">
        <v>29</v>
      </c>
      <c r="N1419">
        <v>11.816396133612001</v>
      </c>
      <c r="O1419">
        <v>11.058305816046399</v>
      </c>
      <c r="P1419">
        <v>-0.42721799878170302</v>
      </c>
      <c r="Q1419">
        <v>-1.8285603425878501</v>
      </c>
      <c r="R1419">
        <v>0.97412434502444001</v>
      </c>
      <c r="S1419">
        <v>11.3344308910054</v>
      </c>
      <c r="T1419">
        <v>-0.66489077702812005</v>
      </c>
      <c r="U1419">
        <v>-6.4198352669569196</v>
      </c>
      <c r="V1419">
        <v>0.51880352629708104</v>
      </c>
      <c r="W1419">
        <v>0.76423117907229499</v>
      </c>
      <c r="X1419">
        <v>0</v>
      </c>
      <c r="Y1419">
        <v>0</v>
      </c>
    </row>
    <row r="1420" spans="1:25" x14ac:dyDescent="0.2">
      <c r="A1420" t="s">
        <v>5288</v>
      </c>
      <c r="B1420" t="s">
        <v>5289</v>
      </c>
      <c r="C1420" t="s">
        <v>5290</v>
      </c>
      <c r="D1420" t="s">
        <v>5291</v>
      </c>
      <c r="E1420" t="s">
        <v>5289</v>
      </c>
      <c r="F1420" t="s">
        <v>28</v>
      </c>
      <c r="G1420" t="s">
        <v>5289</v>
      </c>
      <c r="H1420" t="str">
        <f>"T26G10.1"</f>
        <v>T26G10.1</v>
      </c>
      <c r="I1420" t="s">
        <v>5291</v>
      </c>
      <c r="J1420">
        <v>15.0004177798534</v>
      </c>
      <c r="K1420">
        <v>14.805471176744399</v>
      </c>
      <c r="L1420">
        <v>15.165467883918801</v>
      </c>
      <c r="M1420">
        <v>14.854244941982</v>
      </c>
      <c r="N1420">
        <v>14.889640532869899</v>
      </c>
      <c r="O1420">
        <v>15.001418251023701</v>
      </c>
      <c r="P1420">
        <v>-7.5351038213673505E-2</v>
      </c>
      <c r="Q1420">
        <v>-0.48222151794026402</v>
      </c>
      <c r="R1420">
        <v>0.33151944151291701</v>
      </c>
      <c r="S1420">
        <v>15.2883815728791</v>
      </c>
      <c r="T1420">
        <v>-0.39091566377294801</v>
      </c>
      <c r="U1420">
        <v>-6.97211454382869</v>
      </c>
      <c r="V1420">
        <v>0.70074517568500805</v>
      </c>
      <c r="W1420">
        <v>0.86634680914856199</v>
      </c>
      <c r="X1420">
        <v>0</v>
      </c>
      <c r="Y1420">
        <v>0</v>
      </c>
    </row>
    <row r="1421" spans="1:25" x14ac:dyDescent="0.2">
      <c r="A1421" t="s">
        <v>5292</v>
      </c>
      <c r="B1421" t="s">
        <v>5293</v>
      </c>
      <c r="C1421" t="s">
        <v>5294</v>
      </c>
      <c r="D1421" t="s">
        <v>5295</v>
      </c>
      <c r="E1421" t="s">
        <v>5293</v>
      </c>
      <c r="F1421" t="s">
        <v>28</v>
      </c>
      <c r="G1421" t="s">
        <v>5293</v>
      </c>
      <c r="H1421" t="str">
        <f>"ZK1098.1"</f>
        <v>ZK1098.1</v>
      </c>
      <c r="I1421" t="s">
        <v>5295</v>
      </c>
      <c r="J1421">
        <v>12.7782995917766</v>
      </c>
      <c r="K1421">
        <v>12.4916105461242</v>
      </c>
      <c r="L1421">
        <v>12.511943595864301</v>
      </c>
      <c r="M1421" t="s">
        <v>29</v>
      </c>
      <c r="N1421">
        <v>12.1638040693025</v>
      </c>
      <c r="O1421">
        <v>12.325869595531399</v>
      </c>
      <c r="P1421">
        <v>-0.34911441217139899</v>
      </c>
      <c r="Q1421">
        <v>-0.90032423455987198</v>
      </c>
      <c r="R1421">
        <v>0.202095410217074</v>
      </c>
      <c r="S1421">
        <v>12.4063587004425</v>
      </c>
      <c r="T1421">
        <v>-1.3508043037177699</v>
      </c>
      <c r="U1421">
        <v>-6.0319309587749501</v>
      </c>
      <c r="V1421">
        <v>0.196923045437567</v>
      </c>
      <c r="W1421">
        <v>0.45705248919675001</v>
      </c>
      <c r="X1421">
        <v>0</v>
      </c>
      <c r="Y1421">
        <v>0</v>
      </c>
    </row>
    <row r="1422" spans="1:25" x14ac:dyDescent="0.2">
      <c r="A1422" t="s">
        <v>5296</v>
      </c>
      <c r="B1422" t="s">
        <v>5297</v>
      </c>
      <c r="C1422" t="s">
        <v>5298</v>
      </c>
      <c r="D1422" t="s">
        <v>5299</v>
      </c>
      <c r="E1422" t="s">
        <v>5297</v>
      </c>
      <c r="F1422" t="s">
        <v>28</v>
      </c>
      <c r="G1422" t="s">
        <v>5297</v>
      </c>
      <c r="H1422" t="str">
        <f>"ZK1098.2"</f>
        <v>ZK1098.2</v>
      </c>
      <c r="I1422" t="s">
        <v>5299</v>
      </c>
      <c r="J1422">
        <v>12.219273521582799</v>
      </c>
      <c r="K1422">
        <v>12.5346785841156</v>
      </c>
      <c r="L1422">
        <v>12.040433127452401</v>
      </c>
      <c r="M1422">
        <v>11.432953026228001</v>
      </c>
      <c r="N1422" t="s">
        <v>29</v>
      </c>
      <c r="O1422">
        <v>12.042452204819799</v>
      </c>
      <c r="P1422">
        <v>-0.52709246219302097</v>
      </c>
      <c r="Q1422">
        <v>-1.3586711013035699</v>
      </c>
      <c r="R1422">
        <v>0.304486176917524</v>
      </c>
      <c r="S1422">
        <v>12.565104918908499</v>
      </c>
      <c r="T1422">
        <v>-1.34441395047649</v>
      </c>
      <c r="U1422">
        <v>-6.0404464892337204</v>
      </c>
      <c r="V1422">
        <v>0.197688157205167</v>
      </c>
      <c r="W1422">
        <v>0.45817468913505299</v>
      </c>
      <c r="X1422">
        <v>0</v>
      </c>
      <c r="Y1422">
        <v>0</v>
      </c>
    </row>
    <row r="1423" spans="1:25" x14ac:dyDescent="0.2">
      <c r="A1423" t="s">
        <v>5300</v>
      </c>
      <c r="B1423" t="s">
        <v>5301</v>
      </c>
      <c r="C1423" t="s">
        <v>5302</v>
      </c>
      <c r="D1423" t="s">
        <v>5303</v>
      </c>
      <c r="E1423" t="s">
        <v>5301</v>
      </c>
      <c r="F1423" t="s">
        <v>28</v>
      </c>
      <c r="G1423" t="s">
        <v>5301</v>
      </c>
      <c r="H1423" t="str">
        <f>"ZK1098.3"</f>
        <v>ZK1098.3</v>
      </c>
      <c r="I1423" t="s">
        <v>5303</v>
      </c>
      <c r="J1423">
        <v>10.381484453453</v>
      </c>
      <c r="K1423">
        <v>11.308186372548199</v>
      </c>
      <c r="L1423">
        <v>11.481880316404901</v>
      </c>
      <c r="M1423">
        <v>11.565791792925401</v>
      </c>
      <c r="N1423" t="s">
        <v>29</v>
      </c>
      <c r="O1423">
        <v>10.836639811353299</v>
      </c>
      <c r="P1423">
        <v>0.14403208800397099</v>
      </c>
      <c r="Q1423">
        <v>-0.75628978181439499</v>
      </c>
      <c r="R1423">
        <v>1.04435395782234</v>
      </c>
      <c r="S1423">
        <v>11.493571521526</v>
      </c>
      <c r="T1423">
        <v>0.343362885251973</v>
      </c>
      <c r="U1423">
        <v>-6.8790858453274799</v>
      </c>
      <c r="V1423">
        <v>0.73646531036388296</v>
      </c>
      <c r="W1423">
        <v>0.88810989029481802</v>
      </c>
      <c r="X1423">
        <v>0</v>
      </c>
      <c r="Y1423">
        <v>0</v>
      </c>
    </row>
    <row r="1424" spans="1:25" x14ac:dyDescent="0.2">
      <c r="A1424" t="s">
        <v>5304</v>
      </c>
      <c r="B1424" t="s">
        <v>5305</v>
      </c>
      <c r="C1424" t="s">
        <v>5306</v>
      </c>
      <c r="D1424" t="s">
        <v>5307</v>
      </c>
      <c r="E1424" t="s">
        <v>5305</v>
      </c>
      <c r="F1424" t="s">
        <v>28</v>
      </c>
      <c r="G1424" t="s">
        <v>5305</v>
      </c>
      <c r="H1424" t="str">
        <f>"ZK1098.4"</f>
        <v>ZK1098.4</v>
      </c>
      <c r="I1424" t="s">
        <v>5307</v>
      </c>
      <c r="J1424">
        <v>13.576514536373599</v>
      </c>
      <c r="K1424">
        <v>13.065677510159199</v>
      </c>
      <c r="L1424">
        <v>13.161280274831601</v>
      </c>
      <c r="M1424">
        <v>13.005912223738999</v>
      </c>
      <c r="N1424">
        <v>13.339148489584399</v>
      </c>
      <c r="O1424">
        <v>13.213726309484001</v>
      </c>
      <c r="P1424">
        <v>-8.1561766185700393E-2</v>
      </c>
      <c r="Q1424">
        <v>-0.61703706614824305</v>
      </c>
      <c r="R1424">
        <v>0.45391353377684202</v>
      </c>
      <c r="S1424">
        <v>13.169426784087699</v>
      </c>
      <c r="T1424">
        <v>-0.32151200371236699</v>
      </c>
      <c r="U1424">
        <v>-6.9979110812131804</v>
      </c>
      <c r="V1424">
        <v>0.75176588927858101</v>
      </c>
      <c r="W1424">
        <v>0.89454285513642895</v>
      </c>
      <c r="X1424">
        <v>0</v>
      </c>
      <c r="Y1424">
        <v>0</v>
      </c>
    </row>
    <row r="1425" spans="1:25" x14ac:dyDescent="0.2">
      <c r="A1425" t="s">
        <v>5308</v>
      </c>
      <c r="B1425" t="s">
        <v>5309</v>
      </c>
      <c r="C1425" t="s">
        <v>5310</v>
      </c>
      <c r="D1425" t="s">
        <v>5311</v>
      </c>
      <c r="E1425" t="s">
        <v>5309</v>
      </c>
      <c r="F1425" t="s">
        <v>28</v>
      </c>
      <c r="G1425" t="s">
        <v>5309</v>
      </c>
      <c r="H1425" t="str">
        <f>"mut-7"</f>
        <v>mut-7</v>
      </c>
      <c r="I1425" t="s">
        <v>5311</v>
      </c>
      <c r="J1425">
        <v>11.1094021693815</v>
      </c>
      <c r="K1425">
        <v>13.9055362694316</v>
      </c>
      <c r="L1425" t="s">
        <v>29</v>
      </c>
      <c r="M1425">
        <v>10.0555877437282</v>
      </c>
      <c r="N1425" t="s">
        <v>29</v>
      </c>
      <c r="O1425">
        <v>10.8642484207053</v>
      </c>
      <c r="P1425">
        <v>-2.0475511371898198</v>
      </c>
      <c r="Q1425">
        <v>-3.3432277135178499</v>
      </c>
      <c r="R1425">
        <v>-0.75187456086180304</v>
      </c>
      <c r="S1425">
        <v>11.3114123519118</v>
      </c>
      <c r="T1425">
        <v>-3.3917984881965801</v>
      </c>
      <c r="U1425">
        <v>-2.4262746032775402</v>
      </c>
      <c r="V1425">
        <v>4.42548947340775E-3</v>
      </c>
      <c r="W1425">
        <v>5.0176107130553302E-2</v>
      </c>
      <c r="X1425">
        <v>-1</v>
      </c>
      <c r="Y1425">
        <v>-1</v>
      </c>
    </row>
    <row r="1426" spans="1:25" x14ac:dyDescent="0.2">
      <c r="A1426" t="s">
        <v>5312</v>
      </c>
      <c r="B1426" t="s">
        <v>5313</v>
      </c>
      <c r="C1426" t="s">
        <v>5314</v>
      </c>
      <c r="D1426" t="s">
        <v>5315</v>
      </c>
      <c r="E1426" t="s">
        <v>5313</v>
      </c>
      <c r="F1426" t="s">
        <v>28</v>
      </c>
      <c r="G1426" t="s">
        <v>5313</v>
      </c>
      <c r="H1426" t="str">
        <f>"ncl-1"</f>
        <v>ncl-1</v>
      </c>
      <c r="I1426" t="s">
        <v>5315</v>
      </c>
      <c r="J1426">
        <v>13.5707364851429</v>
      </c>
      <c r="K1426">
        <v>13.4122966883589</v>
      </c>
      <c r="L1426">
        <v>13.514034460547499</v>
      </c>
      <c r="M1426">
        <v>13.3789396311454</v>
      </c>
      <c r="N1426">
        <v>14.2088806104003</v>
      </c>
      <c r="O1426">
        <v>14.118076014880501</v>
      </c>
      <c r="P1426">
        <v>0.40294287412559598</v>
      </c>
      <c r="Q1426">
        <v>-0.223377742584384</v>
      </c>
      <c r="R1426">
        <v>1.02926349083558</v>
      </c>
      <c r="S1426">
        <v>14.833021216763999</v>
      </c>
      <c r="T1426">
        <v>1.3579906673939699</v>
      </c>
      <c r="U1426">
        <v>-6.1323251221890702</v>
      </c>
      <c r="V1426">
        <v>0.192327068861217</v>
      </c>
      <c r="W1426">
        <v>0.45448967470907897</v>
      </c>
      <c r="X1426">
        <v>0</v>
      </c>
      <c r="Y1426">
        <v>0</v>
      </c>
    </row>
    <row r="1427" spans="1:25" x14ac:dyDescent="0.2">
      <c r="A1427" t="s">
        <v>5316</v>
      </c>
      <c r="B1427" t="s">
        <v>5317</v>
      </c>
      <c r="C1427" t="s">
        <v>5318</v>
      </c>
      <c r="D1427" t="s">
        <v>5319</v>
      </c>
      <c r="E1427" t="s">
        <v>5317</v>
      </c>
      <c r="F1427" t="s">
        <v>28</v>
      </c>
      <c r="G1427" t="s">
        <v>5317</v>
      </c>
      <c r="H1427" t="str">
        <f>"ZK1236.1"</f>
        <v>ZK1236.1</v>
      </c>
      <c r="I1427" t="s">
        <v>5319</v>
      </c>
      <c r="J1427" t="s">
        <v>29</v>
      </c>
      <c r="K1427" t="s">
        <v>29</v>
      </c>
      <c r="L1427" t="s">
        <v>29</v>
      </c>
      <c r="M1427" t="s">
        <v>29</v>
      </c>
      <c r="N1427" t="s">
        <v>29</v>
      </c>
      <c r="O1427" t="s">
        <v>29</v>
      </c>
      <c r="P1427" t="s">
        <v>29</v>
      </c>
      <c r="Q1427" t="s">
        <v>29</v>
      </c>
      <c r="R1427" t="s">
        <v>29</v>
      </c>
      <c r="S1427">
        <v>10.9337187004444</v>
      </c>
      <c r="T1427" t="s">
        <v>29</v>
      </c>
      <c r="U1427" t="s">
        <v>29</v>
      </c>
      <c r="V1427" t="s">
        <v>29</v>
      </c>
      <c r="W1427" t="s">
        <v>29</v>
      </c>
      <c r="X1427" t="s">
        <v>29</v>
      </c>
      <c r="Y1427" t="s">
        <v>29</v>
      </c>
    </row>
    <row r="1428" spans="1:25" x14ac:dyDescent="0.2">
      <c r="A1428" t="s">
        <v>5320</v>
      </c>
      <c r="B1428" t="s">
        <v>5321</v>
      </c>
      <c r="C1428" t="s">
        <v>5322</v>
      </c>
      <c r="D1428" t="s">
        <v>5323</v>
      </c>
      <c r="E1428" t="s">
        <v>5321</v>
      </c>
      <c r="F1428" t="s">
        <v>28</v>
      </c>
      <c r="G1428" t="s">
        <v>5321</v>
      </c>
      <c r="H1428" t="str">
        <f>"cec-1"</f>
        <v>cec-1</v>
      </c>
      <c r="I1428" t="s">
        <v>5323</v>
      </c>
      <c r="J1428">
        <v>10.7779050513243</v>
      </c>
      <c r="K1428">
        <v>11.0352653297149</v>
      </c>
      <c r="L1428">
        <v>10.9242290521826</v>
      </c>
      <c r="M1428">
        <v>11.445897358348899</v>
      </c>
      <c r="N1428">
        <v>11.9668509526634</v>
      </c>
      <c r="O1428">
        <v>11.986946833847799</v>
      </c>
      <c r="P1428">
        <v>0.88743190387945603</v>
      </c>
      <c r="Q1428">
        <v>0.349570906451459</v>
      </c>
      <c r="R1428">
        <v>1.42529290130745</v>
      </c>
      <c r="S1428">
        <v>12.3259376296505</v>
      </c>
      <c r="T1428">
        <v>3.4826914373366802</v>
      </c>
      <c r="U1428">
        <v>-2.2575475625182402</v>
      </c>
      <c r="V1428">
        <v>2.87089543474346E-3</v>
      </c>
      <c r="W1428">
        <v>3.7283189370747601E-2</v>
      </c>
      <c r="X1428">
        <v>0</v>
      </c>
      <c r="Y1428">
        <v>0</v>
      </c>
    </row>
    <row r="1429" spans="1:25" x14ac:dyDescent="0.2">
      <c r="A1429" t="s">
        <v>5324</v>
      </c>
      <c r="B1429" t="s">
        <v>5325</v>
      </c>
      <c r="C1429" t="s">
        <v>5326</v>
      </c>
      <c r="D1429" t="s">
        <v>5327</v>
      </c>
      <c r="E1429" t="s">
        <v>5325</v>
      </c>
      <c r="F1429" t="s">
        <v>28</v>
      </c>
      <c r="G1429" t="s">
        <v>5325</v>
      </c>
      <c r="H1429" t="str">
        <f>"sor-1"</f>
        <v>sor-1</v>
      </c>
      <c r="I1429" t="s">
        <v>5327</v>
      </c>
      <c r="J1429" t="s">
        <v>29</v>
      </c>
      <c r="K1429" t="s">
        <v>29</v>
      </c>
      <c r="L1429">
        <v>12.022385591601299</v>
      </c>
      <c r="M1429" t="s">
        <v>29</v>
      </c>
      <c r="N1429" t="s">
        <v>29</v>
      </c>
      <c r="O1429" t="s">
        <v>29</v>
      </c>
      <c r="P1429" t="s">
        <v>29</v>
      </c>
      <c r="Q1429" t="s">
        <v>29</v>
      </c>
      <c r="R1429" t="s">
        <v>29</v>
      </c>
      <c r="S1429">
        <v>12.4490383231858</v>
      </c>
      <c r="T1429" t="s">
        <v>29</v>
      </c>
      <c r="U1429" t="s">
        <v>29</v>
      </c>
      <c r="V1429" t="s">
        <v>29</v>
      </c>
      <c r="W1429" t="s">
        <v>29</v>
      </c>
      <c r="X1429" t="s">
        <v>29</v>
      </c>
      <c r="Y1429" t="s">
        <v>29</v>
      </c>
    </row>
    <row r="1430" spans="1:25" x14ac:dyDescent="0.2">
      <c r="A1430" t="s">
        <v>5328</v>
      </c>
      <c r="B1430" t="s">
        <v>5329</v>
      </c>
      <c r="C1430" t="s">
        <v>5330</v>
      </c>
      <c r="D1430" t="s">
        <v>5331</v>
      </c>
      <c r="E1430" t="s">
        <v>5329</v>
      </c>
      <c r="F1430" t="s">
        <v>28</v>
      </c>
      <c r="G1430" t="s">
        <v>5329</v>
      </c>
      <c r="H1430" t="str">
        <f>"ubxn-4"</f>
        <v>ubxn-4</v>
      </c>
      <c r="I1430" t="s">
        <v>5331</v>
      </c>
      <c r="J1430">
        <v>12.0366127147262</v>
      </c>
      <c r="K1430">
        <v>12.177036584503099</v>
      </c>
      <c r="L1430">
        <v>12.250601847150801</v>
      </c>
      <c r="M1430">
        <v>11.408724401060701</v>
      </c>
      <c r="N1430">
        <v>11.552411424085101</v>
      </c>
      <c r="O1430">
        <v>12.015344464664</v>
      </c>
      <c r="P1430">
        <v>-0.495923618856763</v>
      </c>
      <c r="Q1430">
        <v>-1.10168429565465</v>
      </c>
      <c r="R1430">
        <v>0.109837057941126</v>
      </c>
      <c r="S1430">
        <v>11.9756585316065</v>
      </c>
      <c r="T1430">
        <v>-1.7280795393472299</v>
      </c>
      <c r="U1430">
        <v>-5.6073993133839597</v>
      </c>
      <c r="V1430">
        <v>0.102205436973225</v>
      </c>
      <c r="W1430">
        <v>0.32979981917923201</v>
      </c>
      <c r="X1430">
        <v>0</v>
      </c>
      <c r="Y1430">
        <v>0</v>
      </c>
    </row>
    <row r="1431" spans="1:25" x14ac:dyDescent="0.2">
      <c r="A1431" t="s">
        <v>5332</v>
      </c>
      <c r="B1431" t="s">
        <v>5333</v>
      </c>
      <c r="C1431" t="s">
        <v>5334</v>
      </c>
      <c r="D1431" t="s">
        <v>5335</v>
      </c>
      <c r="E1431" t="s">
        <v>5333</v>
      </c>
      <c r="F1431" t="s">
        <v>28</v>
      </c>
      <c r="G1431" t="s">
        <v>5333</v>
      </c>
      <c r="H1431" t="str">
        <f>"ZK512.2"</f>
        <v>ZK512.2</v>
      </c>
      <c r="I1431" t="s">
        <v>5335</v>
      </c>
      <c r="J1431">
        <v>16.143824754425498</v>
      </c>
      <c r="K1431">
        <v>16.176145350667699</v>
      </c>
      <c r="L1431">
        <v>16.324283953537499</v>
      </c>
      <c r="M1431">
        <v>16.136309574990602</v>
      </c>
      <c r="N1431">
        <v>16.0727467307861</v>
      </c>
      <c r="O1431">
        <v>15.9769126993704</v>
      </c>
      <c r="P1431">
        <v>-0.15276168449452501</v>
      </c>
      <c r="Q1431">
        <v>-0.47349118545472102</v>
      </c>
      <c r="R1431">
        <v>0.16796781646567099</v>
      </c>
      <c r="S1431">
        <v>16.353824737526899</v>
      </c>
      <c r="T1431">
        <v>-1.0010782904490101</v>
      </c>
      <c r="U1431">
        <v>-6.5411750159748703</v>
      </c>
      <c r="V1431">
        <v>0.33013422313843699</v>
      </c>
      <c r="W1431">
        <v>0.60991589806289903</v>
      </c>
      <c r="X1431">
        <v>0</v>
      </c>
      <c r="Y1431">
        <v>0</v>
      </c>
    </row>
    <row r="1432" spans="1:25" x14ac:dyDescent="0.2">
      <c r="A1432" t="s">
        <v>5336</v>
      </c>
      <c r="B1432" t="s">
        <v>5337</v>
      </c>
      <c r="C1432" t="s">
        <v>5338</v>
      </c>
      <c r="D1432" t="s">
        <v>5339</v>
      </c>
      <c r="E1432" t="s">
        <v>5337</v>
      </c>
      <c r="F1432" t="s">
        <v>28</v>
      </c>
      <c r="G1432" t="s">
        <v>5337</v>
      </c>
      <c r="H1432" t="str">
        <f>"ZK512.4"</f>
        <v>ZK512.4</v>
      </c>
      <c r="I1432" t="s">
        <v>5339</v>
      </c>
      <c r="J1432">
        <v>12.9403941778247</v>
      </c>
      <c r="K1432">
        <v>12.943970656505501</v>
      </c>
      <c r="L1432">
        <v>13.2046260012202</v>
      </c>
      <c r="M1432">
        <v>12.658020223010199</v>
      </c>
      <c r="N1432" t="s">
        <v>29</v>
      </c>
      <c r="O1432">
        <v>11.6051910338794</v>
      </c>
      <c r="P1432">
        <v>-0.89805798340534804</v>
      </c>
      <c r="Q1432">
        <v>-1.9176659285851101</v>
      </c>
      <c r="R1432">
        <v>0.121549961774413</v>
      </c>
      <c r="S1432">
        <v>12.1757004339568</v>
      </c>
      <c r="T1432">
        <v>-1.89044070401549</v>
      </c>
      <c r="U1432">
        <v>-5.2543374102493701</v>
      </c>
      <c r="V1432">
        <v>7.9738378312299393E-2</v>
      </c>
      <c r="W1432">
        <v>0.289269405539689</v>
      </c>
      <c r="X1432">
        <v>0</v>
      </c>
      <c r="Y1432">
        <v>0</v>
      </c>
    </row>
    <row r="1433" spans="1:25" x14ac:dyDescent="0.2">
      <c r="A1433" t="s">
        <v>5340</v>
      </c>
      <c r="B1433" t="s">
        <v>5341</v>
      </c>
      <c r="C1433" t="s">
        <v>5342</v>
      </c>
      <c r="D1433" t="s">
        <v>5343</v>
      </c>
      <c r="E1433" t="s">
        <v>5341</v>
      </c>
      <c r="F1433" t="s">
        <v>28</v>
      </c>
      <c r="G1433" t="s">
        <v>5341</v>
      </c>
      <c r="H1433" t="str">
        <f>"sec-16A.1"</f>
        <v>sec-16A.1</v>
      </c>
      <c r="I1433" t="s">
        <v>5343</v>
      </c>
      <c r="J1433">
        <v>12.6535651937567</v>
      </c>
      <c r="K1433">
        <v>12.9605201569263</v>
      </c>
      <c r="L1433">
        <v>13.151254488527</v>
      </c>
      <c r="M1433">
        <v>12.657891484312101</v>
      </c>
      <c r="N1433">
        <v>12.381984753055301</v>
      </c>
      <c r="O1433">
        <v>12.6460464524251</v>
      </c>
      <c r="P1433">
        <v>-0.35980571647251097</v>
      </c>
      <c r="Q1433">
        <v>-0.75368574284004797</v>
      </c>
      <c r="R1433">
        <v>3.4074309895025301E-2</v>
      </c>
      <c r="S1433">
        <v>13.0772788859923</v>
      </c>
      <c r="T1433">
        <v>-1.91997959787477</v>
      </c>
      <c r="U1433">
        <v>-5.2967855848161403</v>
      </c>
      <c r="V1433">
        <v>7.0945586563084306E-2</v>
      </c>
      <c r="W1433">
        <v>0.27113561454301999</v>
      </c>
      <c r="X1433">
        <v>0</v>
      </c>
      <c r="Y1433">
        <v>0</v>
      </c>
    </row>
    <row r="1434" spans="1:25" x14ac:dyDescent="0.2">
      <c r="A1434" t="s">
        <v>5344</v>
      </c>
      <c r="B1434" t="s">
        <v>5345</v>
      </c>
      <c r="C1434" t="s">
        <v>5346</v>
      </c>
      <c r="D1434" t="s">
        <v>5347</v>
      </c>
      <c r="E1434" t="s">
        <v>5345</v>
      </c>
      <c r="F1434" t="s">
        <v>28</v>
      </c>
      <c r="G1434" t="s">
        <v>5345</v>
      </c>
      <c r="H1434" t="str">
        <f>"ZK512.8"</f>
        <v>ZK512.8</v>
      </c>
      <c r="I1434" t="s">
        <v>5347</v>
      </c>
      <c r="J1434">
        <v>14.069039568972199</v>
      </c>
      <c r="K1434">
        <v>11.9003557015628</v>
      </c>
      <c r="L1434">
        <v>14.0597286911282</v>
      </c>
      <c r="M1434">
        <v>12.802830447747001</v>
      </c>
      <c r="N1434">
        <v>15.6303791323827</v>
      </c>
      <c r="O1434">
        <v>14.964612803449601</v>
      </c>
      <c r="P1434">
        <v>1.12289947397201</v>
      </c>
      <c r="Q1434">
        <v>-0.45651874452562902</v>
      </c>
      <c r="R1434">
        <v>2.7023176924696499</v>
      </c>
      <c r="S1434">
        <v>13.403013063076401</v>
      </c>
      <c r="T1434">
        <v>1.50069953603436</v>
      </c>
      <c r="U1434">
        <v>-5.94120878505744</v>
      </c>
      <c r="V1434">
        <v>0.15188989553913401</v>
      </c>
      <c r="W1434">
        <v>0.40314006532164898</v>
      </c>
      <c r="X1434">
        <v>0</v>
      </c>
      <c r="Y1434">
        <v>0</v>
      </c>
    </row>
    <row r="1435" spans="1:25" x14ac:dyDescent="0.2">
      <c r="A1435" t="s">
        <v>5348</v>
      </c>
      <c r="B1435" t="s">
        <v>5349</v>
      </c>
      <c r="C1435" t="s">
        <v>5350</v>
      </c>
      <c r="D1435" t="s">
        <v>5351</v>
      </c>
      <c r="E1435" t="s">
        <v>5349</v>
      </c>
      <c r="F1435" t="s">
        <v>28</v>
      </c>
      <c r="G1435" t="s">
        <v>5349</v>
      </c>
      <c r="H1435" t="str">
        <f>"mcm-6"</f>
        <v>mcm-6</v>
      </c>
      <c r="I1435" t="s">
        <v>5351</v>
      </c>
      <c r="J1435">
        <v>14.7213391023891</v>
      </c>
      <c r="K1435">
        <v>14.613912644734301</v>
      </c>
      <c r="L1435">
        <v>14.8542318820933</v>
      </c>
      <c r="M1435">
        <v>14.372558242301601</v>
      </c>
      <c r="N1435">
        <v>14.7031433108352</v>
      </c>
      <c r="O1435">
        <v>14.4739025762448</v>
      </c>
      <c r="P1435">
        <v>-0.21329316661176601</v>
      </c>
      <c r="Q1435">
        <v>-0.55603598030343404</v>
      </c>
      <c r="R1435">
        <v>0.129449647079901</v>
      </c>
      <c r="S1435">
        <v>14.6559787681218</v>
      </c>
      <c r="T1435">
        <v>-1.3079799821331599</v>
      </c>
      <c r="U1435">
        <v>-6.1961158279026902</v>
      </c>
      <c r="V1435">
        <v>0.20743373079455599</v>
      </c>
      <c r="W1435">
        <v>0.47175090486071902</v>
      </c>
      <c r="X1435">
        <v>0</v>
      </c>
      <c r="Y1435">
        <v>0</v>
      </c>
    </row>
    <row r="1436" spans="1:25" x14ac:dyDescent="0.2">
      <c r="A1436" t="s">
        <v>5352</v>
      </c>
      <c r="B1436" t="s">
        <v>5353</v>
      </c>
      <c r="C1436" t="s">
        <v>5354</v>
      </c>
      <c r="D1436" t="s">
        <v>5355</v>
      </c>
      <c r="E1436" t="s">
        <v>5353</v>
      </c>
      <c r="F1436" t="s">
        <v>28</v>
      </c>
      <c r="G1436" t="s">
        <v>5353</v>
      </c>
      <c r="H1436" t="str">
        <f>"riok-3"</f>
        <v>riok-3</v>
      </c>
      <c r="I1436" t="s">
        <v>5355</v>
      </c>
      <c r="J1436">
        <v>11.374852988188699</v>
      </c>
      <c r="K1436">
        <v>12.295418322624201</v>
      </c>
      <c r="L1436">
        <v>11.414124790993901</v>
      </c>
      <c r="M1436" t="s">
        <v>29</v>
      </c>
      <c r="N1436">
        <v>10.3555463135278</v>
      </c>
      <c r="O1436">
        <v>11.8150035461813</v>
      </c>
      <c r="P1436">
        <v>-0.60952377074771202</v>
      </c>
      <c r="Q1436">
        <v>-1.5049050248021001</v>
      </c>
      <c r="R1436">
        <v>0.28585748330667998</v>
      </c>
      <c r="S1436">
        <v>12.2192343122304</v>
      </c>
      <c r="T1436">
        <v>-1.44388358625549</v>
      </c>
      <c r="U1436">
        <v>-5.9104714363359996</v>
      </c>
      <c r="V1436">
        <v>0.16819293753675699</v>
      </c>
      <c r="W1436">
        <v>0.424592566908152</v>
      </c>
      <c r="X1436">
        <v>0</v>
      </c>
      <c r="Y1436">
        <v>0</v>
      </c>
    </row>
    <row r="1437" spans="1:25" x14ac:dyDescent="0.2">
      <c r="A1437" t="s">
        <v>5356</v>
      </c>
      <c r="B1437" t="s">
        <v>5357</v>
      </c>
      <c r="C1437" t="s">
        <v>5358</v>
      </c>
      <c r="D1437" t="s">
        <v>5359</v>
      </c>
      <c r="E1437" t="s">
        <v>5357</v>
      </c>
      <c r="F1437" t="s">
        <v>28</v>
      </c>
      <c r="G1437" t="s">
        <v>5357</v>
      </c>
      <c r="H1437" t="str">
        <f>"panl-3"</f>
        <v>panl-3</v>
      </c>
      <c r="I1437" t="s">
        <v>5359</v>
      </c>
      <c r="J1437">
        <v>11.603543570277999</v>
      </c>
      <c r="K1437">
        <v>10.788808355569101</v>
      </c>
      <c r="L1437">
        <v>12.0450956405534</v>
      </c>
      <c r="M1437">
        <v>12.45834754859</v>
      </c>
      <c r="N1437">
        <v>12.634356360616099</v>
      </c>
      <c r="O1437">
        <v>12.457503699937901</v>
      </c>
      <c r="P1437">
        <v>1.0375866809145</v>
      </c>
      <c r="Q1437">
        <v>0.40512047606259699</v>
      </c>
      <c r="R1437">
        <v>1.6700528857664001</v>
      </c>
      <c r="S1437">
        <v>13.2733923117424</v>
      </c>
      <c r="T1437">
        <v>3.4628770887317599</v>
      </c>
      <c r="U1437">
        <v>-2.2995418817759301</v>
      </c>
      <c r="V1437">
        <v>2.99652496450353E-3</v>
      </c>
      <c r="W1437">
        <v>3.7940436710095303E-2</v>
      </c>
      <c r="X1437">
        <v>1</v>
      </c>
      <c r="Y1437">
        <v>1</v>
      </c>
    </row>
    <row r="1438" spans="1:25" x14ac:dyDescent="0.2">
      <c r="A1438" t="s">
        <v>5360</v>
      </c>
      <c r="B1438" t="s">
        <v>5361</v>
      </c>
      <c r="C1438" t="s">
        <v>5362</v>
      </c>
      <c r="D1438" t="s">
        <v>5363</v>
      </c>
      <c r="E1438" t="s">
        <v>5361</v>
      </c>
      <c r="F1438" t="s">
        <v>28</v>
      </c>
      <c r="G1438" t="s">
        <v>5361</v>
      </c>
      <c r="H1438" t="str">
        <f>"ZK632.11"</f>
        <v>ZK632.11</v>
      </c>
      <c r="I1438" t="s">
        <v>5363</v>
      </c>
      <c r="J1438" t="s">
        <v>29</v>
      </c>
      <c r="K1438" t="s">
        <v>29</v>
      </c>
      <c r="L1438" t="s">
        <v>29</v>
      </c>
      <c r="M1438" t="s">
        <v>29</v>
      </c>
      <c r="N1438" t="s">
        <v>29</v>
      </c>
      <c r="O1438" t="s">
        <v>29</v>
      </c>
      <c r="P1438" t="s">
        <v>29</v>
      </c>
      <c r="Q1438" t="s">
        <v>29</v>
      </c>
      <c r="R1438" t="s">
        <v>29</v>
      </c>
      <c r="S1438">
        <v>13.184883410418401</v>
      </c>
      <c r="T1438" t="s">
        <v>29</v>
      </c>
      <c r="U1438" t="s">
        <v>29</v>
      </c>
      <c r="V1438" t="s">
        <v>29</v>
      </c>
      <c r="W1438" t="s">
        <v>29</v>
      </c>
      <c r="X1438" t="s">
        <v>29</v>
      </c>
      <c r="Y1438" t="s">
        <v>29</v>
      </c>
    </row>
    <row r="1439" spans="1:25" x14ac:dyDescent="0.2">
      <c r="A1439" t="s">
        <v>5364</v>
      </c>
      <c r="B1439" t="s">
        <v>5365</v>
      </c>
      <c r="C1439" t="s">
        <v>5366</v>
      </c>
      <c r="D1439" t="s">
        <v>5367</v>
      </c>
      <c r="E1439" t="s">
        <v>5365</v>
      </c>
      <c r="F1439" t="s">
        <v>28</v>
      </c>
      <c r="G1439" t="s">
        <v>5365</v>
      </c>
      <c r="H1439" t="str">
        <f>"ZK632.12"</f>
        <v>ZK632.12</v>
      </c>
      <c r="I1439" t="s">
        <v>5367</v>
      </c>
      <c r="J1439">
        <v>13.1045490389122</v>
      </c>
      <c r="K1439">
        <v>13.2654241781848</v>
      </c>
      <c r="L1439">
        <v>12.5127631027589</v>
      </c>
      <c r="M1439">
        <v>13.1449011166539</v>
      </c>
      <c r="N1439">
        <v>12.858628029222601</v>
      </c>
      <c r="O1439">
        <v>12.988713603902299</v>
      </c>
      <c r="P1439">
        <v>3.6502143307615101E-2</v>
      </c>
      <c r="Q1439">
        <v>-0.43954247936015001</v>
      </c>
      <c r="R1439">
        <v>0.51254676597537996</v>
      </c>
      <c r="S1439">
        <v>12.89858132779</v>
      </c>
      <c r="T1439">
        <v>0.16185298567369899</v>
      </c>
      <c r="U1439">
        <v>-7.0383256048365501</v>
      </c>
      <c r="V1439">
        <v>0.87334147868734702</v>
      </c>
      <c r="W1439">
        <v>0.952363663421122</v>
      </c>
      <c r="X1439">
        <v>0</v>
      </c>
      <c r="Y1439">
        <v>0</v>
      </c>
    </row>
    <row r="1440" spans="1:25" x14ac:dyDescent="0.2">
      <c r="A1440" t="s">
        <v>5368</v>
      </c>
      <c r="B1440" t="s">
        <v>5369</v>
      </c>
      <c r="C1440" t="s">
        <v>5370</v>
      </c>
      <c r="D1440" t="s">
        <v>5371</v>
      </c>
      <c r="E1440" t="s">
        <v>5369</v>
      </c>
      <c r="F1440" t="s">
        <v>28</v>
      </c>
      <c r="G1440" t="s">
        <v>5369</v>
      </c>
      <c r="H1440" t="str">
        <f>"rpl-35"</f>
        <v>rpl-35</v>
      </c>
      <c r="I1440" t="s">
        <v>5371</v>
      </c>
      <c r="J1440">
        <v>17.872241258641399</v>
      </c>
      <c r="K1440">
        <v>17.730761876539901</v>
      </c>
      <c r="L1440">
        <v>17.740456333802399</v>
      </c>
      <c r="M1440">
        <v>16.685112870099001</v>
      </c>
      <c r="N1440">
        <v>16.917160325959401</v>
      </c>
      <c r="O1440">
        <v>17.402938025437699</v>
      </c>
      <c r="P1440">
        <v>-0.77941608249585703</v>
      </c>
      <c r="Q1440">
        <v>-1.5583389521414099</v>
      </c>
      <c r="R1440">
        <v>-4.93212850301461E-4</v>
      </c>
      <c r="S1440">
        <v>17.584602406868498</v>
      </c>
      <c r="T1440">
        <v>-2.1031363069125502</v>
      </c>
      <c r="U1440">
        <v>-4.9824518723597304</v>
      </c>
      <c r="V1440">
        <v>4.9869907758259197E-2</v>
      </c>
      <c r="W1440">
        <v>0.22163202151963601</v>
      </c>
      <c r="X1440">
        <v>0</v>
      </c>
      <c r="Y1440">
        <v>0</v>
      </c>
    </row>
    <row r="1441" spans="1:25" x14ac:dyDescent="0.2">
      <c r="A1441" t="s">
        <v>5372</v>
      </c>
      <c r="B1441" t="s">
        <v>5373</v>
      </c>
      <c r="C1441" t="s">
        <v>5374</v>
      </c>
      <c r="D1441" t="s">
        <v>5375</v>
      </c>
      <c r="E1441" t="s">
        <v>5373</v>
      </c>
      <c r="F1441" t="s">
        <v>28</v>
      </c>
      <c r="G1441" t="s">
        <v>5373</v>
      </c>
      <c r="H1441" t="str">
        <f>"coq-5"</f>
        <v>coq-5</v>
      </c>
      <c r="I1441" t="s">
        <v>5375</v>
      </c>
      <c r="J1441">
        <v>12.8980796098416</v>
      </c>
      <c r="K1441">
        <v>12.714976519029101</v>
      </c>
      <c r="L1441">
        <v>13.299953898422499</v>
      </c>
      <c r="M1441">
        <v>12.261313170097299</v>
      </c>
      <c r="N1441">
        <v>13.245618189911101</v>
      </c>
      <c r="O1441">
        <v>12.7495591239391</v>
      </c>
      <c r="P1441">
        <v>-0.218839847781892</v>
      </c>
      <c r="Q1441">
        <v>-0.67832748250209696</v>
      </c>
      <c r="R1441">
        <v>0.24064778693831401</v>
      </c>
      <c r="S1441">
        <v>13.1219294785634</v>
      </c>
      <c r="T1441">
        <v>-1.00531598616642</v>
      </c>
      <c r="U1441">
        <v>-6.5361739902291802</v>
      </c>
      <c r="V1441">
        <v>0.32892682391233602</v>
      </c>
      <c r="W1441">
        <v>0.60883269909598503</v>
      </c>
      <c r="X1441">
        <v>0</v>
      </c>
      <c r="Y1441">
        <v>0</v>
      </c>
    </row>
    <row r="1442" spans="1:25" x14ac:dyDescent="0.2">
      <c r="A1442" t="s">
        <v>5376</v>
      </c>
      <c r="B1442" t="s">
        <v>5377</v>
      </c>
      <c r="C1442" t="s">
        <v>5378</v>
      </c>
      <c r="D1442" t="s">
        <v>5379</v>
      </c>
      <c r="E1442" t="s">
        <v>5377</v>
      </c>
      <c r="F1442" t="s">
        <v>28</v>
      </c>
      <c r="G1442" t="s">
        <v>5377</v>
      </c>
      <c r="H1442" t="str">
        <f>"ZK686.2"</f>
        <v>ZK686.2</v>
      </c>
      <c r="I1442" t="s">
        <v>5379</v>
      </c>
      <c r="J1442">
        <v>14.523516025477401</v>
      </c>
      <c r="K1442">
        <v>14.4598595610874</v>
      </c>
      <c r="L1442">
        <v>14.5308875221886</v>
      </c>
      <c r="M1442">
        <v>14.333361611937001</v>
      </c>
      <c r="N1442">
        <v>14.782155079802999</v>
      </c>
      <c r="O1442">
        <v>14.6213144641856</v>
      </c>
      <c r="P1442">
        <v>7.4189349057391496E-2</v>
      </c>
      <c r="Q1442">
        <v>-0.36030674306602001</v>
      </c>
      <c r="R1442">
        <v>0.50868544118080306</v>
      </c>
      <c r="S1442">
        <v>15.0472622105454</v>
      </c>
      <c r="T1442">
        <v>0.35887912633223501</v>
      </c>
      <c r="U1442">
        <v>-6.9848335705148097</v>
      </c>
      <c r="V1442">
        <v>0.72388482667236997</v>
      </c>
      <c r="W1442">
        <v>0.88056868261379095</v>
      </c>
      <c r="X1442">
        <v>0</v>
      </c>
      <c r="Y1442">
        <v>0</v>
      </c>
    </row>
    <row r="1443" spans="1:25" x14ac:dyDescent="0.2">
      <c r="A1443" t="s">
        <v>5380</v>
      </c>
      <c r="B1443" t="s">
        <v>5381</v>
      </c>
      <c r="C1443" t="s">
        <v>5382</v>
      </c>
      <c r="D1443" t="s">
        <v>5383</v>
      </c>
      <c r="E1443" t="s">
        <v>5381</v>
      </c>
      <c r="F1443" t="s">
        <v>28</v>
      </c>
      <c r="G1443" t="s">
        <v>5381</v>
      </c>
      <c r="H1443" t="str">
        <f>"ZK686.3"</f>
        <v>ZK686.3</v>
      </c>
      <c r="I1443" t="s">
        <v>5383</v>
      </c>
      <c r="J1443">
        <v>14.6788911677958</v>
      </c>
      <c r="K1443">
        <v>14.4244151977441</v>
      </c>
      <c r="L1443">
        <v>14.9113589654265</v>
      </c>
      <c r="M1443">
        <v>14.165469536224601</v>
      </c>
      <c r="N1443">
        <v>14.631011603158001</v>
      </c>
      <c r="O1443">
        <v>15.0915792745985</v>
      </c>
      <c r="P1443">
        <v>-4.2201638995091897E-2</v>
      </c>
      <c r="Q1443">
        <v>-0.59799829713483699</v>
      </c>
      <c r="R1443">
        <v>0.513595019144653</v>
      </c>
      <c r="S1443">
        <v>14.8429074222325</v>
      </c>
      <c r="T1443">
        <v>-0.159590082812783</v>
      </c>
      <c r="U1443">
        <v>-7.03874862568175</v>
      </c>
      <c r="V1443">
        <v>0.87499146724864096</v>
      </c>
      <c r="W1443">
        <v>0.95320463154572399</v>
      </c>
      <c r="X1443">
        <v>0</v>
      </c>
      <c r="Y1443">
        <v>0</v>
      </c>
    </row>
    <row r="1444" spans="1:25" x14ac:dyDescent="0.2">
      <c r="A1444" t="s">
        <v>5384</v>
      </c>
      <c r="B1444" t="s">
        <v>5385</v>
      </c>
      <c r="C1444" t="s">
        <v>5386</v>
      </c>
      <c r="D1444" t="s">
        <v>5387</v>
      </c>
      <c r="E1444" t="s">
        <v>5385</v>
      </c>
      <c r="F1444" t="s">
        <v>28</v>
      </c>
      <c r="G1444" t="s">
        <v>5385</v>
      </c>
      <c r="H1444" t="str">
        <f>"ZK688.5"</f>
        <v>ZK688.5</v>
      </c>
      <c r="I1444" t="s">
        <v>5387</v>
      </c>
      <c r="J1444">
        <v>11.9766867037461</v>
      </c>
      <c r="K1444">
        <v>12.1525892035366</v>
      </c>
      <c r="L1444">
        <v>11.9404951545544</v>
      </c>
      <c r="M1444" t="s">
        <v>29</v>
      </c>
      <c r="N1444">
        <v>11.9437210979508</v>
      </c>
      <c r="O1444">
        <v>11.850736271716301</v>
      </c>
      <c r="P1444">
        <v>-0.12602833577884101</v>
      </c>
      <c r="Q1444">
        <v>-0.64522796254821302</v>
      </c>
      <c r="R1444">
        <v>0.393171290990531</v>
      </c>
      <c r="S1444">
        <v>12.2737027584713</v>
      </c>
      <c r="T1444">
        <v>-0.51769674648208797</v>
      </c>
      <c r="U1444">
        <v>-6.8010116678768</v>
      </c>
      <c r="V1444">
        <v>0.61227294577069002</v>
      </c>
      <c r="W1444">
        <v>0.81693613892442596</v>
      </c>
      <c r="X1444">
        <v>0</v>
      </c>
      <c r="Y1444">
        <v>0</v>
      </c>
    </row>
    <row r="1445" spans="1:25" x14ac:dyDescent="0.2">
      <c r="A1445" t="s">
        <v>5388</v>
      </c>
      <c r="B1445" t="s">
        <v>5389</v>
      </c>
      <c r="C1445" t="s">
        <v>5390</v>
      </c>
      <c r="D1445" t="s">
        <v>5391</v>
      </c>
      <c r="E1445" t="s">
        <v>5389</v>
      </c>
      <c r="F1445" t="s">
        <v>28</v>
      </c>
      <c r="G1445" t="s">
        <v>5389</v>
      </c>
      <c r="H1445" t="str">
        <f>"gly-3"</f>
        <v>gly-3</v>
      </c>
      <c r="I1445" t="s">
        <v>5391</v>
      </c>
      <c r="J1445">
        <v>12.474902891052199</v>
      </c>
      <c r="K1445">
        <v>12.681404287923501</v>
      </c>
      <c r="L1445">
        <v>12.789250158690299</v>
      </c>
      <c r="M1445" t="s">
        <v>29</v>
      </c>
      <c r="N1445">
        <v>12.6069377286777</v>
      </c>
      <c r="O1445">
        <v>12.0471324442534</v>
      </c>
      <c r="P1445">
        <v>-0.32148402608983601</v>
      </c>
      <c r="Q1445">
        <v>-0.86605571151594696</v>
      </c>
      <c r="R1445">
        <v>0.223087659336275</v>
      </c>
      <c r="S1445">
        <v>12.302567413440499</v>
      </c>
      <c r="T1445">
        <v>-1.2590586109676301</v>
      </c>
      <c r="U1445">
        <v>-6.1454011926173697</v>
      </c>
      <c r="V1445">
        <v>0.227383900885333</v>
      </c>
      <c r="W1445">
        <v>0.49691552282127099</v>
      </c>
      <c r="X1445">
        <v>0</v>
      </c>
      <c r="Y1445">
        <v>0</v>
      </c>
    </row>
    <row r="1446" spans="1:25" x14ac:dyDescent="0.2">
      <c r="A1446" t="s">
        <v>5392</v>
      </c>
      <c r="B1446" t="s">
        <v>5393</v>
      </c>
      <c r="C1446" t="s">
        <v>5394</v>
      </c>
      <c r="D1446" t="s">
        <v>5395</v>
      </c>
      <c r="E1446" t="s">
        <v>5393</v>
      </c>
      <c r="F1446" t="s">
        <v>28</v>
      </c>
      <c r="G1446" t="s">
        <v>5393</v>
      </c>
      <c r="H1446" t="str">
        <f>"cap-1"</f>
        <v>cap-1</v>
      </c>
      <c r="I1446" t="s">
        <v>5395</v>
      </c>
      <c r="J1446" t="s">
        <v>29</v>
      </c>
      <c r="K1446" t="s">
        <v>29</v>
      </c>
      <c r="L1446" t="s">
        <v>29</v>
      </c>
      <c r="M1446">
        <v>13.6570456642055</v>
      </c>
      <c r="N1446">
        <v>13.449432348755201</v>
      </c>
      <c r="O1446" t="s">
        <v>29</v>
      </c>
      <c r="P1446" t="s">
        <v>29</v>
      </c>
      <c r="Q1446" t="s">
        <v>29</v>
      </c>
      <c r="R1446" t="s">
        <v>29</v>
      </c>
      <c r="S1446">
        <v>12.7230443166992</v>
      </c>
      <c r="T1446" t="s">
        <v>29</v>
      </c>
      <c r="U1446" t="s">
        <v>29</v>
      </c>
      <c r="V1446" t="s">
        <v>29</v>
      </c>
      <c r="W1446" t="s">
        <v>29</v>
      </c>
      <c r="X1446" t="s">
        <v>29</v>
      </c>
      <c r="Y1446" t="s">
        <v>29</v>
      </c>
    </row>
    <row r="1447" spans="1:25" x14ac:dyDescent="0.2">
      <c r="A1447" t="s">
        <v>5396</v>
      </c>
      <c r="B1447" t="s">
        <v>5397</v>
      </c>
      <c r="C1447" t="s">
        <v>5398</v>
      </c>
      <c r="D1447" t="s">
        <v>5399</v>
      </c>
      <c r="E1447" t="s">
        <v>5397</v>
      </c>
      <c r="F1447" t="s">
        <v>28</v>
      </c>
      <c r="G1447" t="s">
        <v>5397</v>
      </c>
      <c r="H1447" t="str">
        <f>"cap-2"</f>
        <v>cap-2</v>
      </c>
      <c r="I1447" t="s">
        <v>5399</v>
      </c>
      <c r="J1447">
        <v>12.130570048104699</v>
      </c>
      <c r="K1447">
        <v>11.972404075172999</v>
      </c>
      <c r="L1447">
        <v>12.278055350509799</v>
      </c>
      <c r="M1447">
        <v>13.309647384069899</v>
      </c>
      <c r="N1447">
        <v>12.5854415958443</v>
      </c>
      <c r="O1447">
        <v>12.4385861092094</v>
      </c>
      <c r="P1447">
        <v>0.65088187177872703</v>
      </c>
      <c r="Q1447">
        <v>9.7177617467924596E-2</v>
      </c>
      <c r="R1447">
        <v>1.2045861260895301</v>
      </c>
      <c r="S1447">
        <v>12.579746409443599</v>
      </c>
      <c r="T1447">
        <v>2.4706818714373102</v>
      </c>
      <c r="U1447">
        <v>-4.3028616558945698</v>
      </c>
      <c r="V1447">
        <v>2.3772502647285299E-2</v>
      </c>
      <c r="W1447">
        <v>0.150028673516901</v>
      </c>
      <c r="X1447">
        <v>0</v>
      </c>
      <c r="Y1447">
        <v>0</v>
      </c>
    </row>
    <row r="1448" spans="1:25" x14ac:dyDescent="0.2">
      <c r="A1448" t="s">
        <v>5400</v>
      </c>
      <c r="B1448" t="s">
        <v>5401</v>
      </c>
      <c r="C1448" t="s">
        <v>5402</v>
      </c>
      <c r="D1448" t="s">
        <v>5403</v>
      </c>
      <c r="E1448" t="s">
        <v>5401</v>
      </c>
      <c r="F1448" t="s">
        <v>28</v>
      </c>
      <c r="G1448" t="s">
        <v>5401</v>
      </c>
      <c r="H1448" t="str">
        <f>"glh-1"</f>
        <v>glh-1</v>
      </c>
      <c r="I1448" t="s">
        <v>5403</v>
      </c>
      <c r="J1448">
        <v>17.125136152379</v>
      </c>
      <c r="K1448">
        <v>16.668558976045102</v>
      </c>
      <c r="L1448">
        <v>17.138788059697202</v>
      </c>
      <c r="M1448">
        <v>16.250904685861599</v>
      </c>
      <c r="N1448">
        <v>16.9242268199853</v>
      </c>
      <c r="O1448">
        <v>16.575827264407099</v>
      </c>
      <c r="P1448">
        <v>-0.39384147262244801</v>
      </c>
      <c r="Q1448">
        <v>-1.09355659612671</v>
      </c>
      <c r="R1448">
        <v>0.30587365088181401</v>
      </c>
      <c r="S1448">
        <v>17.647209853199399</v>
      </c>
      <c r="T1448">
        <v>-1.18302166765948</v>
      </c>
      <c r="U1448">
        <v>-6.3461063514520104</v>
      </c>
      <c r="V1448">
        <v>0.252279879967862</v>
      </c>
      <c r="W1448">
        <v>0.52723345192617499</v>
      </c>
      <c r="X1448">
        <v>0</v>
      </c>
      <c r="Y1448">
        <v>0</v>
      </c>
    </row>
    <row r="1449" spans="1:25" x14ac:dyDescent="0.2">
      <c r="A1449" t="s">
        <v>5404</v>
      </c>
      <c r="B1449" t="s">
        <v>5405</v>
      </c>
      <c r="C1449" t="s">
        <v>5406</v>
      </c>
      <c r="D1449" t="s">
        <v>5407</v>
      </c>
      <c r="E1449" t="s">
        <v>5405</v>
      </c>
      <c r="F1449" t="s">
        <v>28</v>
      </c>
      <c r="G1449" t="s">
        <v>5405</v>
      </c>
      <c r="H1449" t="str">
        <f>"tba-2"</f>
        <v>tba-2</v>
      </c>
      <c r="I1449" t="s">
        <v>5407</v>
      </c>
      <c r="J1449">
        <v>16.5215059980546</v>
      </c>
      <c r="K1449">
        <v>16.512687001854601</v>
      </c>
      <c r="L1449">
        <v>16.440364138264101</v>
      </c>
      <c r="M1449">
        <v>16.4795321156851</v>
      </c>
      <c r="N1449">
        <v>16.533961056563399</v>
      </c>
      <c r="O1449">
        <v>16.451261487904802</v>
      </c>
      <c r="P1449">
        <v>-3.2674926733449201E-3</v>
      </c>
      <c r="Q1449">
        <v>-0.388623008214318</v>
      </c>
      <c r="R1449">
        <v>0.382088022867628</v>
      </c>
      <c r="S1449">
        <v>16.325637696001898</v>
      </c>
      <c r="T1449">
        <v>-1.78215533992051E-2</v>
      </c>
      <c r="U1449">
        <v>-7.0519199971694402</v>
      </c>
      <c r="V1449">
        <v>0.985978410365972</v>
      </c>
      <c r="W1449">
        <v>0.99287037126153599</v>
      </c>
      <c r="X1449">
        <v>0</v>
      </c>
      <c r="Y1449">
        <v>0</v>
      </c>
    </row>
    <row r="1450" spans="1:25" x14ac:dyDescent="0.2">
      <c r="A1450" t="s">
        <v>5408</v>
      </c>
      <c r="B1450" t="s">
        <v>5409</v>
      </c>
      <c r="C1450" t="s">
        <v>5410</v>
      </c>
      <c r="D1450" t="s">
        <v>5411</v>
      </c>
      <c r="E1450" t="s">
        <v>5409</v>
      </c>
      <c r="F1450" t="s">
        <v>28</v>
      </c>
      <c r="G1450" t="s">
        <v>5409</v>
      </c>
      <c r="H1450" t="str">
        <f>"T01G9.2"</f>
        <v>T01G9.2</v>
      </c>
      <c r="I1450" t="s">
        <v>5411</v>
      </c>
      <c r="J1450">
        <v>11.4297831056051</v>
      </c>
      <c r="K1450" t="s">
        <v>29</v>
      </c>
      <c r="L1450">
        <v>11.736906389936999</v>
      </c>
      <c r="M1450">
        <v>12.298875009949599</v>
      </c>
      <c r="N1450" t="s">
        <v>29</v>
      </c>
      <c r="O1450">
        <v>12.387450576119299</v>
      </c>
      <c r="P1450">
        <v>0.759818045263431</v>
      </c>
      <c r="Q1450">
        <v>-0.27488626812990602</v>
      </c>
      <c r="R1450">
        <v>1.79452235865677</v>
      </c>
      <c r="S1450">
        <v>11.781597187713301</v>
      </c>
      <c r="T1450">
        <v>1.5761053268728999</v>
      </c>
      <c r="U1450">
        <v>-5.6408380363711297</v>
      </c>
      <c r="V1450">
        <v>0.13748973040646301</v>
      </c>
      <c r="W1450">
        <v>0.38355251082414998</v>
      </c>
      <c r="X1450">
        <v>0</v>
      </c>
      <c r="Y1450">
        <v>0</v>
      </c>
    </row>
    <row r="1451" spans="1:25" x14ac:dyDescent="0.2">
      <c r="A1451" t="s">
        <v>5412</v>
      </c>
      <c r="B1451" t="s">
        <v>5413</v>
      </c>
      <c r="C1451" t="s">
        <v>5414</v>
      </c>
      <c r="D1451" t="s">
        <v>5415</v>
      </c>
      <c r="E1451" t="s">
        <v>5413</v>
      </c>
      <c r="F1451" t="s">
        <v>28</v>
      </c>
      <c r="G1451" t="s">
        <v>5413</v>
      </c>
      <c r="H1451" t="str">
        <f>"hsp-16.11"</f>
        <v>hsp-16.11</v>
      </c>
      <c r="I1451" t="s">
        <v>5415</v>
      </c>
      <c r="J1451">
        <v>17.097010548011099</v>
      </c>
      <c r="K1451">
        <v>17.099342514273999</v>
      </c>
      <c r="L1451">
        <v>16.864731999881499</v>
      </c>
      <c r="M1451">
        <v>13.3893052857554</v>
      </c>
      <c r="N1451">
        <v>13.495913452315101</v>
      </c>
      <c r="O1451">
        <v>11.8431626314157</v>
      </c>
      <c r="P1451">
        <v>-4.1109012308934503</v>
      </c>
      <c r="Q1451">
        <v>-5.0409187916790001</v>
      </c>
      <c r="R1451">
        <v>-3.1808836701079</v>
      </c>
      <c r="S1451">
        <v>14.478980771689899</v>
      </c>
      <c r="T1451">
        <v>-9.2904854298053898</v>
      </c>
      <c r="U1451">
        <v>9.2643549777137508</v>
      </c>
      <c r="V1451" s="2">
        <v>2.88155063534863E-8</v>
      </c>
      <c r="W1451" s="2">
        <v>3.9069024030935202E-6</v>
      </c>
      <c r="X1451">
        <v>-1</v>
      </c>
      <c r="Y1451">
        <v>-1</v>
      </c>
    </row>
    <row r="1452" spans="1:25" x14ac:dyDescent="0.2">
      <c r="A1452" t="s">
        <v>5416</v>
      </c>
      <c r="B1452" t="s">
        <v>5417</v>
      </c>
      <c r="C1452" t="s">
        <v>5418</v>
      </c>
      <c r="D1452" t="s">
        <v>5419</v>
      </c>
      <c r="E1452" t="s">
        <v>5417</v>
      </c>
      <c r="F1452" t="s">
        <v>28</v>
      </c>
      <c r="G1452" t="s">
        <v>5417</v>
      </c>
      <c r="H1452" t="str">
        <f>"emb-5"</f>
        <v>emb-5</v>
      </c>
      <c r="I1452" t="s">
        <v>5419</v>
      </c>
      <c r="J1452">
        <v>13.434834057309301</v>
      </c>
      <c r="K1452">
        <v>13.410018770041599</v>
      </c>
      <c r="L1452">
        <v>13.156916122154099</v>
      </c>
      <c r="M1452">
        <v>13.2739668755683</v>
      </c>
      <c r="N1452">
        <v>13.1381479616724</v>
      </c>
      <c r="O1452">
        <v>13.5298298180029</v>
      </c>
      <c r="P1452">
        <v>-1.9941431420470199E-2</v>
      </c>
      <c r="Q1452">
        <v>-0.479607037901712</v>
      </c>
      <c r="R1452">
        <v>0.43972417506077199</v>
      </c>
      <c r="S1452">
        <v>13.400574647608201</v>
      </c>
      <c r="T1452">
        <v>-9.1572344332278996E-2</v>
      </c>
      <c r="U1452">
        <v>-7.0476792449513104</v>
      </c>
      <c r="V1452">
        <v>0.92811481938933305</v>
      </c>
      <c r="W1452">
        <v>0.97388235134585399</v>
      </c>
      <c r="X1452">
        <v>0</v>
      </c>
      <c r="Y1452">
        <v>0</v>
      </c>
    </row>
    <row r="1453" spans="1:25" x14ac:dyDescent="0.2">
      <c r="A1453" t="s">
        <v>5420</v>
      </c>
      <c r="B1453" t="s">
        <v>5421</v>
      </c>
      <c r="C1453" t="s">
        <v>5422</v>
      </c>
      <c r="D1453" t="s">
        <v>5423</v>
      </c>
      <c r="E1453" t="s">
        <v>5421</v>
      </c>
      <c r="F1453" t="s">
        <v>28</v>
      </c>
      <c r="G1453" t="s">
        <v>5421</v>
      </c>
      <c r="H1453" t="str">
        <f>"kup-1"</f>
        <v>kup-1</v>
      </c>
      <c r="I1453" t="s">
        <v>5423</v>
      </c>
      <c r="J1453">
        <v>11.5411033204738</v>
      </c>
      <c r="K1453">
        <v>11.5268668477172</v>
      </c>
      <c r="L1453">
        <v>10.8321448707123</v>
      </c>
      <c r="M1453" t="s">
        <v>29</v>
      </c>
      <c r="N1453">
        <v>11.6877515823334</v>
      </c>
      <c r="O1453">
        <v>10.6490680697048</v>
      </c>
      <c r="P1453">
        <v>-0.131628520282002</v>
      </c>
      <c r="Q1453">
        <v>-1.08647370982966</v>
      </c>
      <c r="R1453">
        <v>0.82321666926565795</v>
      </c>
      <c r="S1453">
        <v>11.878005104496101</v>
      </c>
      <c r="T1453">
        <v>-0.29400765657771799</v>
      </c>
      <c r="U1453">
        <v>-6.8958657685829401</v>
      </c>
      <c r="V1453">
        <v>0.772809370597905</v>
      </c>
      <c r="W1453">
        <v>0.90371123001283504</v>
      </c>
      <c r="X1453">
        <v>0</v>
      </c>
      <c r="Y1453">
        <v>0</v>
      </c>
    </row>
    <row r="1454" spans="1:25" x14ac:dyDescent="0.2">
      <c r="A1454" t="s">
        <v>5424</v>
      </c>
      <c r="B1454" t="s">
        <v>5425</v>
      </c>
      <c r="C1454" t="s">
        <v>5426</v>
      </c>
      <c r="D1454" t="s">
        <v>5427</v>
      </c>
      <c r="E1454" t="s">
        <v>5425</v>
      </c>
      <c r="F1454" t="s">
        <v>28</v>
      </c>
      <c r="G1454" t="s">
        <v>5425</v>
      </c>
      <c r="H1454" t="str">
        <f>"pgp-1"</f>
        <v>pgp-1</v>
      </c>
      <c r="I1454" t="s">
        <v>5427</v>
      </c>
      <c r="J1454">
        <v>13.7252290720667</v>
      </c>
      <c r="K1454">
        <v>13.515850861082299</v>
      </c>
      <c r="L1454">
        <v>13.259197634420801</v>
      </c>
      <c r="M1454">
        <v>13.666983404393999</v>
      </c>
      <c r="N1454">
        <v>13.0234673739395</v>
      </c>
      <c r="O1454">
        <v>13.5347328947118</v>
      </c>
      <c r="P1454">
        <v>-9.1697964841522206E-2</v>
      </c>
      <c r="Q1454">
        <v>-0.729249572717931</v>
      </c>
      <c r="R1454">
        <v>0.54585364303488704</v>
      </c>
      <c r="S1454">
        <v>12.831798426188699</v>
      </c>
      <c r="T1454">
        <v>-0.30229910735737903</v>
      </c>
      <c r="U1454">
        <v>-7.0043177753202901</v>
      </c>
      <c r="V1454">
        <v>0.76590948363899902</v>
      </c>
      <c r="W1454">
        <v>0.90111683213701999</v>
      </c>
      <c r="X1454">
        <v>0</v>
      </c>
      <c r="Y1454">
        <v>0</v>
      </c>
    </row>
    <row r="1455" spans="1:25" x14ac:dyDescent="0.2">
      <c r="A1455" t="s">
        <v>5428</v>
      </c>
      <c r="B1455" t="s">
        <v>5429</v>
      </c>
      <c r="C1455" t="s">
        <v>5430</v>
      </c>
      <c r="D1455" t="s">
        <v>5431</v>
      </c>
      <c r="E1455" t="s">
        <v>5429</v>
      </c>
      <c r="F1455" t="s">
        <v>28</v>
      </c>
      <c r="G1455" t="s">
        <v>5429</v>
      </c>
      <c r="H1455" t="str">
        <f>"tpa-1"</f>
        <v>tpa-1</v>
      </c>
      <c r="I1455" t="s">
        <v>5431</v>
      </c>
      <c r="J1455">
        <v>13.212600033161999</v>
      </c>
      <c r="K1455">
        <v>13.4127089736167</v>
      </c>
      <c r="L1455">
        <v>13.113645098381101</v>
      </c>
      <c r="M1455">
        <v>14.1183687914922</v>
      </c>
      <c r="N1455">
        <v>14.109598498241301</v>
      </c>
      <c r="O1455">
        <v>13.627902775184699</v>
      </c>
      <c r="P1455">
        <v>0.70563865325274799</v>
      </c>
      <c r="Q1455">
        <v>0.33020667770798701</v>
      </c>
      <c r="R1455">
        <v>1.08107062879751</v>
      </c>
      <c r="S1455">
        <v>13.5014284517526</v>
      </c>
      <c r="T1455">
        <v>3.96735549189673</v>
      </c>
      <c r="U1455">
        <v>-1.22236784985935</v>
      </c>
      <c r="V1455">
        <v>1.0058109881175201E-3</v>
      </c>
      <c r="W1455">
        <v>1.83871289625528E-2</v>
      </c>
      <c r="X1455">
        <v>0</v>
      </c>
      <c r="Y1455">
        <v>0</v>
      </c>
    </row>
    <row r="1456" spans="1:25" x14ac:dyDescent="0.2">
      <c r="A1456" t="s">
        <v>5432</v>
      </c>
      <c r="B1456" t="s">
        <v>5433</v>
      </c>
      <c r="C1456" t="s">
        <v>5434</v>
      </c>
      <c r="D1456" t="s">
        <v>5435</v>
      </c>
      <c r="E1456" t="s">
        <v>5433</v>
      </c>
      <c r="F1456" t="s">
        <v>28</v>
      </c>
      <c r="G1456" t="s">
        <v>5433</v>
      </c>
      <c r="H1456" t="str">
        <f>"mei-1"</f>
        <v>mei-1</v>
      </c>
      <c r="I1456" t="s">
        <v>5435</v>
      </c>
      <c r="J1456">
        <v>12.1050061900135</v>
      </c>
      <c r="K1456" t="s">
        <v>29</v>
      </c>
      <c r="L1456">
        <v>11.6919421675485</v>
      </c>
      <c r="M1456" t="s">
        <v>29</v>
      </c>
      <c r="N1456">
        <v>13.3379162148366</v>
      </c>
      <c r="O1456" t="s">
        <v>29</v>
      </c>
      <c r="P1456">
        <v>1.4394420360556499</v>
      </c>
      <c r="Q1456">
        <v>0.47898616838458702</v>
      </c>
      <c r="R1456">
        <v>2.3998979037266999</v>
      </c>
      <c r="S1456">
        <v>12.942185242361299</v>
      </c>
      <c r="T1456">
        <v>3.2404402022924601</v>
      </c>
      <c r="U1456">
        <v>-2.6045609940281</v>
      </c>
      <c r="V1456">
        <v>6.5065108027736497E-3</v>
      </c>
      <c r="W1456">
        <v>6.5346253556251399E-2</v>
      </c>
      <c r="X1456">
        <v>1</v>
      </c>
      <c r="Y1456">
        <v>0</v>
      </c>
    </row>
    <row r="1457" spans="1:25" x14ac:dyDescent="0.2">
      <c r="A1457" t="s">
        <v>5436</v>
      </c>
      <c r="B1457" t="s">
        <v>5437</v>
      </c>
      <c r="C1457" t="s">
        <v>5438</v>
      </c>
      <c r="D1457" t="s">
        <v>5439</v>
      </c>
      <c r="E1457" t="s">
        <v>5437</v>
      </c>
      <c r="F1457" t="s">
        <v>28</v>
      </c>
      <c r="G1457" t="s">
        <v>5437</v>
      </c>
      <c r="H1457" t="str">
        <f>"unc-18"</f>
        <v>unc-18</v>
      </c>
      <c r="I1457" t="s">
        <v>5439</v>
      </c>
      <c r="J1457">
        <v>14.5406045842605</v>
      </c>
      <c r="K1457">
        <v>14.4679218406333</v>
      </c>
      <c r="L1457">
        <v>14.368004542773299</v>
      </c>
      <c r="M1457">
        <v>14.803551583873499</v>
      </c>
      <c r="N1457">
        <v>14.931573831997101</v>
      </c>
      <c r="O1457">
        <v>14.691696455995601</v>
      </c>
      <c r="P1457">
        <v>0.35009696806638502</v>
      </c>
      <c r="Q1457">
        <v>3.8045195046570203E-2</v>
      </c>
      <c r="R1457">
        <v>0.66214874108620003</v>
      </c>
      <c r="S1457">
        <v>14.946529143150499</v>
      </c>
      <c r="T1457">
        <v>2.35805650849059</v>
      </c>
      <c r="U1457">
        <v>-4.5173075944810499</v>
      </c>
      <c r="V1457">
        <v>2.9957379817609899E-2</v>
      </c>
      <c r="W1457">
        <v>0.17012177949489199</v>
      </c>
      <c r="X1457">
        <v>0</v>
      </c>
      <c r="Y1457">
        <v>0</v>
      </c>
    </row>
    <row r="1458" spans="1:25" x14ac:dyDescent="0.2">
      <c r="A1458" t="s">
        <v>5440</v>
      </c>
      <c r="B1458" t="s">
        <v>5441</v>
      </c>
      <c r="C1458" t="s">
        <v>5442</v>
      </c>
      <c r="D1458" t="s">
        <v>5443</v>
      </c>
      <c r="E1458" t="s">
        <v>5441</v>
      </c>
      <c r="F1458" t="s">
        <v>28</v>
      </c>
      <c r="G1458" t="s">
        <v>5441</v>
      </c>
      <c r="H1458" t="str">
        <f>"pkc-1"</f>
        <v>pkc-1</v>
      </c>
      <c r="I1458" t="s">
        <v>5443</v>
      </c>
      <c r="J1458">
        <v>14.935817283471399</v>
      </c>
      <c r="K1458">
        <v>14.9286548400479</v>
      </c>
      <c r="L1458">
        <v>14.761866448974599</v>
      </c>
      <c r="M1458">
        <v>14.7274422950088</v>
      </c>
      <c r="N1458">
        <v>14.9655250475342</v>
      </c>
      <c r="O1458">
        <v>14.7722218536541</v>
      </c>
      <c r="P1458">
        <v>-5.3716458765649101E-2</v>
      </c>
      <c r="Q1458">
        <v>-0.43006238327190999</v>
      </c>
      <c r="R1458">
        <v>0.32262946574061202</v>
      </c>
      <c r="S1458">
        <v>14.600914912638901</v>
      </c>
      <c r="T1458">
        <v>-0.29999406997497102</v>
      </c>
      <c r="U1458">
        <v>-7.0050416417403003</v>
      </c>
      <c r="V1458">
        <v>0.76763855521936697</v>
      </c>
      <c r="W1458">
        <v>0.90111683213701999</v>
      </c>
      <c r="X1458">
        <v>0</v>
      </c>
      <c r="Y1458">
        <v>0</v>
      </c>
    </row>
    <row r="1459" spans="1:25" x14ac:dyDescent="0.2">
      <c r="A1459" t="s">
        <v>5444</v>
      </c>
      <c r="B1459" t="s">
        <v>5445</v>
      </c>
      <c r="C1459" t="s">
        <v>5446</v>
      </c>
      <c r="D1459" t="s">
        <v>5447</v>
      </c>
      <c r="E1459" t="s">
        <v>5445</v>
      </c>
      <c r="F1459" t="s">
        <v>28</v>
      </c>
      <c r="G1459" t="s">
        <v>5445</v>
      </c>
      <c r="H1459" t="str">
        <f>"let-70"</f>
        <v>let-70</v>
      </c>
      <c r="I1459" t="s">
        <v>5447</v>
      </c>
      <c r="J1459">
        <v>16.3843894297509</v>
      </c>
      <c r="K1459">
        <v>16.340438243762399</v>
      </c>
      <c r="L1459">
        <v>16.047327920448499</v>
      </c>
      <c r="M1459">
        <v>16.146347873556401</v>
      </c>
      <c r="N1459">
        <v>15.3182901975585</v>
      </c>
      <c r="O1459">
        <v>16.0133391479004</v>
      </c>
      <c r="P1459">
        <v>-0.43139279164884797</v>
      </c>
      <c r="Q1459">
        <v>-1.06080111452586</v>
      </c>
      <c r="R1459">
        <v>0.19801553122816101</v>
      </c>
      <c r="S1459">
        <v>15.5245237465484</v>
      </c>
      <c r="T1459">
        <v>-1.4405651882875301</v>
      </c>
      <c r="U1459">
        <v>-6.0235373319934196</v>
      </c>
      <c r="V1459">
        <v>0.166975600019241</v>
      </c>
      <c r="W1459">
        <v>0.423831135562383</v>
      </c>
      <c r="X1459">
        <v>0</v>
      </c>
      <c r="Y1459">
        <v>0</v>
      </c>
    </row>
    <row r="1460" spans="1:25" x14ac:dyDescent="0.2">
      <c r="A1460" t="s">
        <v>5448</v>
      </c>
      <c r="B1460" t="s">
        <v>5449</v>
      </c>
      <c r="C1460" t="s">
        <v>5450</v>
      </c>
      <c r="D1460" t="s">
        <v>5451</v>
      </c>
      <c r="E1460" t="s">
        <v>5449</v>
      </c>
      <c r="F1460" t="s">
        <v>28</v>
      </c>
      <c r="G1460" t="s">
        <v>5449</v>
      </c>
      <c r="H1460" t="str">
        <f>"unc-101"</f>
        <v>unc-101</v>
      </c>
      <c r="I1460" t="s">
        <v>5451</v>
      </c>
      <c r="J1460">
        <v>14.7424268263588</v>
      </c>
      <c r="K1460">
        <v>14.8784369302172</v>
      </c>
      <c r="L1460">
        <v>14.777148700716999</v>
      </c>
      <c r="M1460">
        <v>14.9242479633789</v>
      </c>
      <c r="N1460">
        <v>15.0036627572265</v>
      </c>
      <c r="O1460">
        <v>14.791929406476701</v>
      </c>
      <c r="P1460">
        <v>0.107275889929696</v>
      </c>
      <c r="Q1460">
        <v>-0.42037096529060802</v>
      </c>
      <c r="R1460">
        <v>0.63492274514999902</v>
      </c>
      <c r="S1460">
        <v>14.541526116825199</v>
      </c>
      <c r="T1460">
        <v>0.42731809641845098</v>
      </c>
      <c r="U1460">
        <v>-6.9568805103714801</v>
      </c>
      <c r="V1460">
        <v>0.67424519206539901</v>
      </c>
      <c r="W1460">
        <v>0.85541145012261999</v>
      </c>
      <c r="X1460">
        <v>0</v>
      </c>
      <c r="Y1460">
        <v>0</v>
      </c>
    </row>
    <row r="1461" spans="1:25" x14ac:dyDescent="0.2">
      <c r="A1461" t="s">
        <v>5452</v>
      </c>
      <c r="B1461" t="s">
        <v>5453</v>
      </c>
      <c r="C1461" t="s">
        <v>5454</v>
      </c>
      <c r="D1461" t="s">
        <v>5455</v>
      </c>
      <c r="E1461" t="s">
        <v>5453</v>
      </c>
      <c r="F1461" t="s">
        <v>28</v>
      </c>
      <c r="G1461" t="s">
        <v>5453</v>
      </c>
      <c r="H1461" t="str">
        <f>"dpy-23"</f>
        <v>dpy-23</v>
      </c>
      <c r="I1461" t="s">
        <v>5455</v>
      </c>
      <c r="J1461">
        <v>15.542352817323501</v>
      </c>
      <c r="K1461">
        <v>15.601496462697099</v>
      </c>
      <c r="L1461">
        <v>15.6866365550382</v>
      </c>
      <c r="M1461">
        <v>15.6583816448276</v>
      </c>
      <c r="N1461">
        <v>15.5312195056107</v>
      </c>
      <c r="O1461">
        <v>15.616988401497499</v>
      </c>
      <c r="P1461">
        <v>-7.9654277076421903E-3</v>
      </c>
      <c r="Q1461">
        <v>-0.343258522851836</v>
      </c>
      <c r="R1461">
        <v>0.32732766743655101</v>
      </c>
      <c r="S1461">
        <v>15.5962695584185</v>
      </c>
      <c r="T1461">
        <v>-4.9931774867075299E-2</v>
      </c>
      <c r="U1461">
        <v>-7.0507799477906197</v>
      </c>
      <c r="V1461">
        <v>0.96072985836508495</v>
      </c>
      <c r="W1461">
        <v>0.97877738231683997</v>
      </c>
      <c r="X1461">
        <v>0</v>
      </c>
      <c r="Y1461">
        <v>0</v>
      </c>
    </row>
    <row r="1462" spans="1:25" x14ac:dyDescent="0.2">
      <c r="A1462" t="s">
        <v>5456</v>
      </c>
      <c r="B1462" t="s">
        <v>5457</v>
      </c>
      <c r="C1462" t="s">
        <v>5458</v>
      </c>
      <c r="D1462" t="s">
        <v>5459</v>
      </c>
      <c r="E1462" t="s">
        <v>5457</v>
      </c>
      <c r="F1462" t="s">
        <v>28</v>
      </c>
      <c r="G1462" t="s">
        <v>5457</v>
      </c>
      <c r="H1462" t="str">
        <f>"dpy-10"</f>
        <v>dpy-10</v>
      </c>
      <c r="I1462" t="s">
        <v>5459</v>
      </c>
      <c r="J1462">
        <v>11.3311051831511</v>
      </c>
      <c r="K1462">
        <v>10.7540497081488</v>
      </c>
      <c r="L1462" t="s">
        <v>29</v>
      </c>
      <c r="M1462">
        <v>11.395154260012401</v>
      </c>
      <c r="N1462" t="s">
        <v>29</v>
      </c>
      <c r="O1462" t="s">
        <v>29</v>
      </c>
      <c r="P1462">
        <v>0.35257681436245197</v>
      </c>
      <c r="Q1462">
        <v>-1.3014606656315999</v>
      </c>
      <c r="R1462">
        <v>2.0066142943565</v>
      </c>
      <c r="S1462">
        <v>11.5202718287037</v>
      </c>
      <c r="T1462">
        <v>0.50560564873580904</v>
      </c>
      <c r="U1462">
        <v>-6.5098772705767498</v>
      </c>
      <c r="V1462">
        <v>0.62889168256613803</v>
      </c>
      <c r="W1462">
        <v>0.82884306807218</v>
      </c>
      <c r="X1462">
        <v>0</v>
      </c>
      <c r="Y1462">
        <v>0</v>
      </c>
    </row>
    <row r="1463" spans="1:25" x14ac:dyDescent="0.2">
      <c r="A1463" t="s">
        <v>5460</v>
      </c>
      <c r="B1463" t="s">
        <v>5461</v>
      </c>
      <c r="C1463" t="s">
        <v>5462</v>
      </c>
      <c r="D1463" t="s">
        <v>5463</v>
      </c>
      <c r="E1463" t="s">
        <v>5461</v>
      </c>
      <c r="F1463" t="s">
        <v>28</v>
      </c>
      <c r="G1463" t="s">
        <v>5461</v>
      </c>
      <c r="H1463" t="str">
        <f>"lec-1"</f>
        <v>lec-1</v>
      </c>
      <c r="I1463" t="s">
        <v>5463</v>
      </c>
      <c r="J1463">
        <v>12.777948663475399</v>
      </c>
      <c r="K1463">
        <v>12.701584177042699</v>
      </c>
      <c r="L1463">
        <v>13.1993468937816</v>
      </c>
      <c r="M1463">
        <v>14.3233935081309</v>
      </c>
      <c r="N1463">
        <v>13.5104967860974</v>
      </c>
      <c r="O1463">
        <v>15.497367601563701</v>
      </c>
      <c r="P1463">
        <v>1.5507927204974601</v>
      </c>
      <c r="Q1463">
        <v>0.52958358487304202</v>
      </c>
      <c r="R1463">
        <v>2.5720018561218798</v>
      </c>
      <c r="S1463">
        <v>13.245585672355</v>
      </c>
      <c r="T1463">
        <v>3.1917699058309799</v>
      </c>
      <c r="U1463">
        <v>-2.8342511090125901</v>
      </c>
      <c r="V1463">
        <v>5.0814469066709101E-3</v>
      </c>
      <c r="W1463">
        <v>5.5116760781023899E-2</v>
      </c>
      <c r="X1463">
        <v>1</v>
      </c>
      <c r="Y1463">
        <v>0</v>
      </c>
    </row>
    <row r="1464" spans="1:25" x14ac:dyDescent="0.2">
      <c r="A1464" t="s">
        <v>5464</v>
      </c>
      <c r="B1464" t="s">
        <v>5465</v>
      </c>
      <c r="C1464" t="s">
        <v>5466</v>
      </c>
      <c r="D1464" t="s">
        <v>5467</v>
      </c>
      <c r="E1464" t="s">
        <v>5465</v>
      </c>
      <c r="F1464" t="s">
        <v>28</v>
      </c>
      <c r="G1464" t="s">
        <v>5465</v>
      </c>
      <c r="H1464" t="str">
        <f>"ubl-1"</f>
        <v>ubl-1</v>
      </c>
      <c r="I1464" t="s">
        <v>5467</v>
      </c>
      <c r="J1464">
        <v>20.033628292707998</v>
      </c>
      <c r="K1464">
        <v>19.930741747855201</v>
      </c>
      <c r="L1464">
        <v>20.135556291262901</v>
      </c>
      <c r="M1464">
        <v>19.602955324024698</v>
      </c>
      <c r="N1464">
        <v>18.636089014873999</v>
      </c>
      <c r="O1464">
        <v>18.737261683560799</v>
      </c>
      <c r="P1464">
        <v>-1.0412067697888701</v>
      </c>
      <c r="Q1464">
        <v>-2.38146752203882</v>
      </c>
      <c r="R1464">
        <v>0.29905398246107401</v>
      </c>
      <c r="S1464">
        <v>19.456148552541801</v>
      </c>
      <c r="T1464">
        <v>-1.63282708697568</v>
      </c>
      <c r="U1464">
        <v>-5.75034102307513</v>
      </c>
      <c r="V1464">
        <v>0.119976312252213</v>
      </c>
      <c r="W1464">
        <v>0.35750374284224601</v>
      </c>
      <c r="X1464">
        <v>0</v>
      </c>
      <c r="Y1464">
        <v>0</v>
      </c>
    </row>
    <row r="1465" spans="1:25" x14ac:dyDescent="0.2">
      <c r="A1465" t="s">
        <v>5468</v>
      </c>
      <c r="B1465" t="s">
        <v>5469</v>
      </c>
      <c r="C1465" t="s">
        <v>5470</v>
      </c>
      <c r="D1465" t="s">
        <v>5471</v>
      </c>
      <c r="E1465" t="s">
        <v>5469</v>
      </c>
      <c r="F1465" t="s">
        <v>28</v>
      </c>
      <c r="G1465" t="s">
        <v>5469</v>
      </c>
      <c r="H1465" t="str">
        <f>"unc-87"</f>
        <v>unc-87</v>
      </c>
      <c r="I1465" t="s">
        <v>5471</v>
      </c>
      <c r="J1465">
        <v>15.382652045119301</v>
      </c>
      <c r="K1465">
        <v>15.5291302044104</v>
      </c>
      <c r="L1465">
        <v>15.9994566501567</v>
      </c>
      <c r="M1465">
        <v>16.004925428925699</v>
      </c>
      <c r="N1465">
        <v>15.211167037033899</v>
      </c>
      <c r="O1465">
        <v>16.024755682538899</v>
      </c>
      <c r="P1465">
        <v>0.109869749604041</v>
      </c>
      <c r="Q1465">
        <v>-0.77666895680218395</v>
      </c>
      <c r="R1465">
        <v>0.99640845601026495</v>
      </c>
      <c r="S1465">
        <v>15.7223979434916</v>
      </c>
      <c r="T1465">
        <v>0.26047913810953799</v>
      </c>
      <c r="U1465">
        <v>-7.0165967761840999</v>
      </c>
      <c r="V1465">
        <v>0.79746788749446795</v>
      </c>
      <c r="W1465">
        <v>0.91517844850619501</v>
      </c>
      <c r="X1465">
        <v>0</v>
      </c>
      <c r="Y1465">
        <v>0</v>
      </c>
    </row>
    <row r="1466" spans="1:25" x14ac:dyDescent="0.2">
      <c r="A1466" t="s">
        <v>5472</v>
      </c>
      <c r="B1466" t="s">
        <v>5473</v>
      </c>
      <c r="C1466" t="s">
        <v>5474</v>
      </c>
      <c r="D1466" t="s">
        <v>5475</v>
      </c>
      <c r="E1466" t="s">
        <v>5473</v>
      </c>
      <c r="F1466" t="s">
        <v>28</v>
      </c>
      <c r="G1466" t="s">
        <v>5473</v>
      </c>
      <c r="H1466" t="str">
        <f>"dyn-1"</f>
        <v>dyn-1</v>
      </c>
      <c r="I1466" t="s">
        <v>5475</v>
      </c>
      <c r="J1466">
        <v>15.0805969961134</v>
      </c>
      <c r="K1466">
        <v>15.0355834103287</v>
      </c>
      <c r="L1466">
        <v>15.020117397619799</v>
      </c>
      <c r="M1466">
        <v>14.8694554511387</v>
      </c>
      <c r="N1466">
        <v>15.1903236986359</v>
      </c>
      <c r="O1466">
        <v>15.1808342280184</v>
      </c>
      <c r="P1466">
        <v>3.4771857910385499E-2</v>
      </c>
      <c r="Q1466">
        <v>-0.31399671680243701</v>
      </c>
      <c r="R1466">
        <v>0.38354043262320803</v>
      </c>
      <c r="S1466">
        <v>15.075118257473701</v>
      </c>
      <c r="T1466">
        <v>0.20954777937816199</v>
      </c>
      <c r="U1466">
        <v>-7.0291030562390597</v>
      </c>
      <c r="V1466">
        <v>0.836387720608324</v>
      </c>
      <c r="W1466">
        <v>0.93397585547683204</v>
      </c>
      <c r="X1466">
        <v>0</v>
      </c>
      <c r="Y1466">
        <v>0</v>
      </c>
    </row>
    <row r="1467" spans="1:25" x14ac:dyDescent="0.2">
      <c r="A1467" t="s">
        <v>5476</v>
      </c>
      <c r="B1467" t="s">
        <v>5477</v>
      </c>
      <c r="C1467" t="s">
        <v>5478</v>
      </c>
      <c r="D1467" t="s">
        <v>5479</v>
      </c>
      <c r="E1467" t="s">
        <v>5477</v>
      </c>
      <c r="F1467" t="s">
        <v>28</v>
      </c>
      <c r="G1467" t="s">
        <v>5477</v>
      </c>
      <c r="H1467" t="str">
        <f>"F01G4.6"</f>
        <v>F01G4.6</v>
      </c>
      <c r="I1467" t="s">
        <v>5479</v>
      </c>
      <c r="J1467">
        <v>19.847964898876999</v>
      </c>
      <c r="K1467">
        <v>19.663138646677101</v>
      </c>
      <c r="L1467">
        <v>19.789510656817399</v>
      </c>
      <c r="M1467">
        <v>19.389548358242902</v>
      </c>
      <c r="N1467">
        <v>19.790519565561599</v>
      </c>
      <c r="O1467">
        <v>19.470487028501001</v>
      </c>
      <c r="P1467">
        <v>-0.21668641668866001</v>
      </c>
      <c r="Q1467">
        <v>-0.61052111894942895</v>
      </c>
      <c r="R1467">
        <v>0.17714828557210899</v>
      </c>
      <c r="S1467">
        <v>19.681040171789999</v>
      </c>
      <c r="T1467">
        <v>-1.15640569052946</v>
      </c>
      <c r="U1467">
        <v>-6.3764027737082998</v>
      </c>
      <c r="V1467">
        <v>0.26272056428550999</v>
      </c>
      <c r="W1467">
        <v>0.53936448970665596</v>
      </c>
      <c r="X1467">
        <v>0</v>
      </c>
      <c r="Y1467">
        <v>0</v>
      </c>
    </row>
    <row r="1468" spans="1:25" x14ac:dyDescent="0.2">
      <c r="A1468" t="s">
        <v>5480</v>
      </c>
      <c r="B1468" t="s">
        <v>5481</v>
      </c>
      <c r="C1468" t="s">
        <v>5482</v>
      </c>
      <c r="D1468" t="s">
        <v>5483</v>
      </c>
      <c r="E1468" t="s">
        <v>5481</v>
      </c>
      <c r="F1468" t="s">
        <v>28</v>
      </c>
      <c r="G1468" t="s">
        <v>5481</v>
      </c>
      <c r="H1468" t="str">
        <f>"trd-1"</f>
        <v>trd-1</v>
      </c>
      <c r="I1468" t="s">
        <v>5483</v>
      </c>
      <c r="J1468">
        <v>12.097215377526799</v>
      </c>
      <c r="K1468" t="s">
        <v>29</v>
      </c>
      <c r="L1468">
        <v>12.9788026256956</v>
      </c>
      <c r="M1468">
        <v>12.4538506076975</v>
      </c>
      <c r="N1468">
        <v>12.306125681160401</v>
      </c>
      <c r="O1468">
        <v>12.7840837092744</v>
      </c>
      <c r="P1468">
        <v>-2.3322335567090801E-2</v>
      </c>
      <c r="Q1468">
        <v>-0.646390882481782</v>
      </c>
      <c r="R1468">
        <v>0.59974621134760098</v>
      </c>
      <c r="S1468">
        <v>12.960855380257501</v>
      </c>
      <c r="T1468">
        <v>-7.9832148489190305E-2</v>
      </c>
      <c r="U1468">
        <v>-6.9380631318723296</v>
      </c>
      <c r="V1468">
        <v>0.93743346533243699</v>
      </c>
      <c r="W1468">
        <v>0.97535311084156295</v>
      </c>
      <c r="X1468">
        <v>0</v>
      </c>
      <c r="Y1468">
        <v>0</v>
      </c>
    </row>
    <row r="1469" spans="1:25" x14ac:dyDescent="0.2">
      <c r="A1469" t="s">
        <v>5484</v>
      </c>
      <c r="B1469" t="s">
        <v>5485</v>
      </c>
      <c r="C1469" t="s">
        <v>5486</v>
      </c>
      <c r="D1469" t="s">
        <v>5487</v>
      </c>
      <c r="E1469" t="s">
        <v>5485</v>
      </c>
      <c r="F1469" t="s">
        <v>28</v>
      </c>
      <c r="G1469" t="s">
        <v>5485</v>
      </c>
      <c r="H1469" t="str">
        <f>"T20B12.3"</f>
        <v>T20B12.3</v>
      </c>
      <c r="I1469" t="s">
        <v>5487</v>
      </c>
      <c r="J1469">
        <v>11.3645507403529</v>
      </c>
      <c r="K1469">
        <v>10.874028277838701</v>
      </c>
      <c r="L1469">
        <v>11.722876702438001</v>
      </c>
      <c r="M1469">
        <v>11.609262151062</v>
      </c>
      <c r="N1469">
        <v>11.5923096687883</v>
      </c>
      <c r="O1469">
        <v>11.310583312214099</v>
      </c>
      <c r="P1469">
        <v>0.183566470478288</v>
      </c>
      <c r="Q1469">
        <v>-0.45607795931894002</v>
      </c>
      <c r="R1469">
        <v>0.82321090027551702</v>
      </c>
      <c r="S1469">
        <v>12.1091700426944</v>
      </c>
      <c r="T1469">
        <v>0.60870135026462102</v>
      </c>
      <c r="U1469">
        <v>-6.8588785894383903</v>
      </c>
      <c r="V1469">
        <v>0.55132306943043197</v>
      </c>
      <c r="W1469">
        <v>0.78026605923509895</v>
      </c>
      <c r="X1469">
        <v>0</v>
      </c>
      <c r="Y1469">
        <v>0</v>
      </c>
    </row>
    <row r="1470" spans="1:25" x14ac:dyDescent="0.2">
      <c r="A1470" t="s">
        <v>5488</v>
      </c>
      <c r="B1470" t="s">
        <v>5489</v>
      </c>
      <c r="C1470" t="s">
        <v>5490</v>
      </c>
      <c r="D1470" t="s">
        <v>5491</v>
      </c>
      <c r="E1470" t="s">
        <v>5489</v>
      </c>
      <c r="F1470" t="s">
        <v>28</v>
      </c>
      <c r="G1470" t="s">
        <v>5489</v>
      </c>
      <c r="H1470" t="str">
        <f>"T20B12.7"</f>
        <v>T20B12.7</v>
      </c>
      <c r="I1470" t="s">
        <v>5491</v>
      </c>
      <c r="J1470">
        <v>12.7392208838763</v>
      </c>
      <c r="K1470">
        <v>12.3115623343392</v>
      </c>
      <c r="L1470">
        <v>12.281807489023</v>
      </c>
      <c r="M1470">
        <v>14.702912651739901</v>
      </c>
      <c r="N1470">
        <v>14.5361120359856</v>
      </c>
      <c r="O1470">
        <v>14.1813452731275</v>
      </c>
      <c r="P1470">
        <v>2.02925975120487</v>
      </c>
      <c r="Q1470">
        <v>1.5045998922049499</v>
      </c>
      <c r="R1470">
        <v>2.5539196102047801</v>
      </c>
      <c r="S1470">
        <v>13.8409278618642</v>
      </c>
      <c r="T1470">
        <v>8.1292843824249896</v>
      </c>
      <c r="U1470">
        <v>7.30154619886933</v>
      </c>
      <c r="V1470" s="2">
        <v>2.0325203482081999E-7</v>
      </c>
      <c r="W1470" s="2">
        <v>1.6131271251388899E-5</v>
      </c>
      <c r="X1470">
        <v>1</v>
      </c>
      <c r="Y1470">
        <v>1</v>
      </c>
    </row>
    <row r="1471" spans="1:25" x14ac:dyDescent="0.2">
      <c r="A1471" t="s">
        <v>5492</v>
      </c>
      <c r="B1471" t="s">
        <v>5493</v>
      </c>
      <c r="C1471" t="s">
        <v>5494</v>
      </c>
      <c r="D1471" t="s">
        <v>5495</v>
      </c>
      <c r="E1471" t="s">
        <v>5493</v>
      </c>
      <c r="F1471" t="s">
        <v>28</v>
      </c>
      <c r="G1471" t="s">
        <v>5493</v>
      </c>
      <c r="H1471" t="str">
        <f>"hmg-4"</f>
        <v>hmg-4</v>
      </c>
      <c r="I1471" t="s">
        <v>5495</v>
      </c>
      <c r="J1471">
        <v>12.070061675382</v>
      </c>
      <c r="K1471">
        <v>11.8893445510428</v>
      </c>
      <c r="L1471">
        <v>11.9947787748634</v>
      </c>
      <c r="M1471">
        <v>12.155461208563199</v>
      </c>
      <c r="N1471">
        <v>11.919711215114599</v>
      </c>
      <c r="O1471">
        <v>12.209436731744001</v>
      </c>
      <c r="P1471">
        <v>0.110141384711207</v>
      </c>
      <c r="Q1471">
        <v>-0.37804930948176002</v>
      </c>
      <c r="R1471">
        <v>0.59833207890417495</v>
      </c>
      <c r="S1471">
        <v>12.0571985281137</v>
      </c>
      <c r="T1471">
        <v>0.47622374790369298</v>
      </c>
      <c r="U1471">
        <v>-6.9336611549329303</v>
      </c>
      <c r="V1471">
        <v>0.64001526364628702</v>
      </c>
      <c r="W1471">
        <v>0.835047982319575</v>
      </c>
      <c r="X1471">
        <v>0</v>
      </c>
      <c r="Y1471">
        <v>0</v>
      </c>
    </row>
    <row r="1472" spans="1:25" x14ac:dyDescent="0.2">
      <c r="A1472" t="s">
        <v>5496</v>
      </c>
      <c r="B1472" t="s">
        <v>5497</v>
      </c>
      <c r="C1472" t="s">
        <v>5498</v>
      </c>
      <c r="D1472" t="s">
        <v>5499</v>
      </c>
      <c r="E1472" t="s">
        <v>5497</v>
      </c>
      <c r="F1472" t="s">
        <v>28</v>
      </c>
      <c r="G1472" t="s">
        <v>5497</v>
      </c>
      <c r="H1472" t="str">
        <f>"isw-1"</f>
        <v>isw-1</v>
      </c>
      <c r="I1472" t="s">
        <v>5499</v>
      </c>
      <c r="J1472">
        <v>14.463643874374901</v>
      </c>
      <c r="K1472">
        <v>14.5934087257675</v>
      </c>
      <c r="L1472">
        <v>14.6563078060694</v>
      </c>
      <c r="M1472">
        <v>14.3576020103869</v>
      </c>
      <c r="N1472">
        <v>14.582716681779599</v>
      </c>
      <c r="O1472">
        <v>14.4930347950146</v>
      </c>
      <c r="P1472">
        <v>-9.3335639676858803E-2</v>
      </c>
      <c r="Q1472">
        <v>-0.42190125479587498</v>
      </c>
      <c r="R1472">
        <v>0.23522997544215701</v>
      </c>
      <c r="S1472">
        <v>14.6168825268501</v>
      </c>
      <c r="T1472">
        <v>-0.597059907723685</v>
      </c>
      <c r="U1472">
        <v>-6.8671178381330096</v>
      </c>
      <c r="V1472">
        <v>0.55794684467597799</v>
      </c>
      <c r="W1472">
        <v>0.78425876137176298</v>
      </c>
      <c r="X1472">
        <v>0</v>
      </c>
      <c r="Y1472">
        <v>0</v>
      </c>
    </row>
    <row r="1473" spans="1:25" x14ac:dyDescent="0.2">
      <c r="A1473" t="s">
        <v>5500</v>
      </c>
      <c r="B1473" t="s">
        <v>5501</v>
      </c>
      <c r="C1473" t="s">
        <v>5502</v>
      </c>
      <c r="D1473" t="s">
        <v>5503</v>
      </c>
      <c r="E1473" t="s">
        <v>5501</v>
      </c>
      <c r="F1473" t="s">
        <v>28</v>
      </c>
      <c r="G1473" t="s">
        <v>5501</v>
      </c>
      <c r="H1473" t="str">
        <f>"F37A4.1"</f>
        <v>F37A4.1</v>
      </c>
      <c r="I1473" t="s">
        <v>5503</v>
      </c>
      <c r="J1473">
        <v>13.323412251244999</v>
      </c>
      <c r="K1473">
        <v>13.357235306444</v>
      </c>
      <c r="L1473">
        <v>13.681642989893399</v>
      </c>
      <c r="M1473">
        <v>13.3035662140874</v>
      </c>
      <c r="N1473">
        <v>13.4575618544823</v>
      </c>
      <c r="O1473">
        <v>13.0236101763282</v>
      </c>
      <c r="P1473">
        <v>-0.19251743422824699</v>
      </c>
      <c r="Q1473">
        <v>-0.61528378289841501</v>
      </c>
      <c r="R1473">
        <v>0.230248914441921</v>
      </c>
      <c r="S1473">
        <v>13.653800178249901</v>
      </c>
      <c r="T1473">
        <v>-0.96121306918211702</v>
      </c>
      <c r="U1473">
        <v>-6.5792811482940703</v>
      </c>
      <c r="V1473">
        <v>0.35000102118542398</v>
      </c>
      <c r="W1473">
        <v>0.63089945029888495</v>
      </c>
      <c r="X1473">
        <v>0</v>
      </c>
      <c r="Y1473">
        <v>0</v>
      </c>
    </row>
    <row r="1474" spans="1:25" x14ac:dyDescent="0.2">
      <c r="A1474" t="s">
        <v>5504</v>
      </c>
      <c r="B1474" t="s">
        <v>5505</v>
      </c>
      <c r="C1474" t="s">
        <v>5506</v>
      </c>
      <c r="D1474" t="s">
        <v>5507</v>
      </c>
      <c r="E1474" t="s">
        <v>5505</v>
      </c>
      <c r="F1474" t="s">
        <v>28</v>
      </c>
      <c r="G1474" t="s">
        <v>5505</v>
      </c>
      <c r="H1474" t="str">
        <f>"F37A4.4"</f>
        <v>F37A4.4</v>
      </c>
      <c r="I1474" t="s">
        <v>5507</v>
      </c>
      <c r="J1474">
        <v>14.374343506476499</v>
      </c>
      <c r="K1474" t="s">
        <v>29</v>
      </c>
      <c r="L1474" t="s">
        <v>29</v>
      </c>
      <c r="M1474" t="s">
        <v>29</v>
      </c>
      <c r="N1474">
        <v>15.182703301636099</v>
      </c>
      <c r="O1474" t="s">
        <v>29</v>
      </c>
      <c r="P1474">
        <v>0.808359795159589</v>
      </c>
      <c r="Q1474">
        <v>-1.39549943043244</v>
      </c>
      <c r="R1474">
        <v>3.01221902075162</v>
      </c>
      <c r="S1474">
        <v>13.857724949571301</v>
      </c>
      <c r="T1474">
        <v>0.80825527663753804</v>
      </c>
      <c r="U1474">
        <v>-6.17147206535485</v>
      </c>
      <c r="V1474">
        <v>0.43623663020777098</v>
      </c>
      <c r="W1474">
        <v>0.70393597244008699</v>
      </c>
      <c r="X1474">
        <v>0</v>
      </c>
      <c r="Y1474">
        <v>0</v>
      </c>
    </row>
    <row r="1475" spans="1:25" x14ac:dyDescent="0.2">
      <c r="A1475" t="s">
        <v>5508</v>
      </c>
      <c r="B1475" t="s">
        <v>5509</v>
      </c>
      <c r="C1475" t="s">
        <v>5510</v>
      </c>
      <c r="D1475" t="s">
        <v>5511</v>
      </c>
      <c r="E1475" t="s">
        <v>5509</v>
      </c>
      <c r="F1475" t="s">
        <v>28</v>
      </c>
      <c r="G1475" t="s">
        <v>5509</v>
      </c>
      <c r="H1475" t="str">
        <f>"bath-41"</f>
        <v>bath-41</v>
      </c>
      <c r="I1475" t="s">
        <v>5511</v>
      </c>
      <c r="J1475" t="s">
        <v>29</v>
      </c>
      <c r="K1475" t="s">
        <v>29</v>
      </c>
      <c r="L1475">
        <v>10.373529227660599</v>
      </c>
      <c r="M1475">
        <v>9.7022706975082205</v>
      </c>
      <c r="N1475" t="s">
        <v>29</v>
      </c>
      <c r="O1475" t="s">
        <v>29</v>
      </c>
      <c r="P1475">
        <v>-0.67125853015238601</v>
      </c>
      <c r="Q1475">
        <v>-1.5351777539984901</v>
      </c>
      <c r="R1475">
        <v>0.19266069369371999</v>
      </c>
      <c r="S1475">
        <v>10.8804231592708</v>
      </c>
      <c r="T1475">
        <v>-1.73373840689939</v>
      </c>
      <c r="U1475">
        <v>-5.1008579449246296</v>
      </c>
      <c r="V1475">
        <v>0.11394954819325299</v>
      </c>
      <c r="W1475">
        <v>0.34678170162170102</v>
      </c>
      <c r="X1475">
        <v>0</v>
      </c>
      <c r="Y1475">
        <v>0</v>
      </c>
    </row>
    <row r="1476" spans="1:25" x14ac:dyDescent="0.2">
      <c r="A1476" t="s">
        <v>5512</v>
      </c>
      <c r="B1476" t="s">
        <v>5513</v>
      </c>
      <c r="C1476" t="s">
        <v>5514</v>
      </c>
      <c r="D1476" t="s">
        <v>5515</v>
      </c>
      <c r="E1476" t="s">
        <v>5513</v>
      </c>
      <c r="F1476" t="s">
        <v>28</v>
      </c>
      <c r="G1476" t="s">
        <v>5513</v>
      </c>
      <c r="H1476" t="str">
        <f>"par-5"</f>
        <v>par-5</v>
      </c>
      <c r="I1476" t="s">
        <v>5515</v>
      </c>
      <c r="J1476">
        <v>18.548221683150199</v>
      </c>
      <c r="K1476">
        <v>18.5109826145023</v>
      </c>
      <c r="L1476">
        <v>18.400188637367702</v>
      </c>
      <c r="M1476">
        <v>18.365028157239902</v>
      </c>
      <c r="N1476">
        <v>18.153937211934199</v>
      </c>
      <c r="O1476">
        <v>18.104353115869198</v>
      </c>
      <c r="P1476">
        <v>-0.27869148332564497</v>
      </c>
      <c r="Q1476">
        <v>-0.61434746995659195</v>
      </c>
      <c r="R1476">
        <v>5.6964503305302297E-2</v>
      </c>
      <c r="S1476">
        <v>18.123364543582301</v>
      </c>
      <c r="T1476">
        <v>-1.74510600416322</v>
      </c>
      <c r="U1476">
        <v>-5.5791287858049001</v>
      </c>
      <c r="V1476">
        <v>9.8114298556526397E-2</v>
      </c>
      <c r="W1476">
        <v>0.322814891307317</v>
      </c>
      <c r="X1476">
        <v>0</v>
      </c>
      <c r="Y1476">
        <v>0</v>
      </c>
    </row>
    <row r="1477" spans="1:25" x14ac:dyDescent="0.2">
      <c r="A1477" t="s">
        <v>5516</v>
      </c>
      <c r="B1477" t="s">
        <v>5517</v>
      </c>
      <c r="C1477" t="s">
        <v>5518</v>
      </c>
      <c r="D1477" t="s">
        <v>5519</v>
      </c>
      <c r="E1477" t="s">
        <v>5517</v>
      </c>
      <c r="F1477" t="s">
        <v>28</v>
      </c>
      <c r="G1477" t="s">
        <v>5517</v>
      </c>
      <c r="H1477" t="str">
        <f>"ceh-18"</f>
        <v>ceh-18</v>
      </c>
      <c r="I1477" t="s">
        <v>5519</v>
      </c>
      <c r="J1477" t="s">
        <v>29</v>
      </c>
      <c r="K1477" t="s">
        <v>29</v>
      </c>
      <c r="L1477" t="s">
        <v>29</v>
      </c>
      <c r="M1477" t="s">
        <v>29</v>
      </c>
      <c r="N1477" t="s">
        <v>29</v>
      </c>
      <c r="O1477" t="s">
        <v>29</v>
      </c>
      <c r="P1477" t="s">
        <v>29</v>
      </c>
      <c r="Q1477" t="s">
        <v>29</v>
      </c>
      <c r="R1477" t="s">
        <v>29</v>
      </c>
      <c r="S1477">
        <v>11.4746461387543</v>
      </c>
      <c r="T1477" t="s">
        <v>29</v>
      </c>
      <c r="U1477" t="s">
        <v>29</v>
      </c>
      <c r="V1477" t="s">
        <v>29</v>
      </c>
      <c r="W1477" t="s">
        <v>29</v>
      </c>
      <c r="X1477" t="s">
        <v>29</v>
      </c>
      <c r="Y1477" t="s">
        <v>29</v>
      </c>
    </row>
    <row r="1478" spans="1:25" x14ac:dyDescent="0.2">
      <c r="A1478" t="s">
        <v>5520</v>
      </c>
      <c r="B1478" t="s">
        <v>5521</v>
      </c>
      <c r="C1478" t="s">
        <v>5522</v>
      </c>
      <c r="D1478" t="s">
        <v>5523</v>
      </c>
      <c r="E1478" t="s">
        <v>5521</v>
      </c>
      <c r="F1478" t="s">
        <v>28</v>
      </c>
      <c r="G1478" t="s">
        <v>5521</v>
      </c>
      <c r="H1478" t="str">
        <f>"tbb-4"</f>
        <v>tbb-4</v>
      </c>
      <c r="I1478" t="s">
        <v>5523</v>
      </c>
      <c r="J1478">
        <v>13.004426500781999</v>
      </c>
      <c r="K1478">
        <v>13.9572049503802</v>
      </c>
      <c r="L1478">
        <v>13.6296380764571</v>
      </c>
      <c r="M1478">
        <v>16.1045531650295</v>
      </c>
      <c r="N1478">
        <v>15.095880628370301</v>
      </c>
      <c r="O1478">
        <v>14.641667905192</v>
      </c>
      <c r="P1478">
        <v>1.7502773903241799</v>
      </c>
      <c r="Q1478">
        <v>0.93019845704931903</v>
      </c>
      <c r="R1478">
        <v>2.5703563235990301</v>
      </c>
      <c r="S1478">
        <v>13.7885208208903</v>
      </c>
      <c r="T1478">
        <v>4.5050668548674304</v>
      </c>
      <c r="U1478">
        <v>-7.0738206799553005E-2</v>
      </c>
      <c r="V1478">
        <v>3.1685838372150801E-4</v>
      </c>
      <c r="W1478">
        <v>7.5813027987484396E-3</v>
      </c>
      <c r="X1478">
        <v>1</v>
      </c>
      <c r="Y1478">
        <v>1</v>
      </c>
    </row>
    <row r="1479" spans="1:25" x14ac:dyDescent="0.2">
      <c r="A1479" t="s">
        <v>5524</v>
      </c>
      <c r="B1479" t="s">
        <v>5525</v>
      </c>
      <c r="C1479" t="s">
        <v>5526</v>
      </c>
      <c r="D1479" t="s">
        <v>5527</v>
      </c>
      <c r="E1479" t="s">
        <v>5525</v>
      </c>
      <c r="F1479" t="s">
        <v>28</v>
      </c>
      <c r="G1479" t="s">
        <v>5525</v>
      </c>
      <c r="H1479" t="str">
        <f>"memb-1"</f>
        <v>memb-1</v>
      </c>
      <c r="I1479" t="s">
        <v>5527</v>
      </c>
      <c r="J1479" t="s">
        <v>29</v>
      </c>
      <c r="K1479" t="s">
        <v>29</v>
      </c>
      <c r="L1479" t="s">
        <v>29</v>
      </c>
      <c r="M1479" t="s">
        <v>29</v>
      </c>
      <c r="N1479" t="s">
        <v>29</v>
      </c>
      <c r="O1479">
        <v>8.5458071497908303</v>
      </c>
      <c r="P1479" t="s">
        <v>29</v>
      </c>
      <c r="Q1479" t="s">
        <v>29</v>
      </c>
      <c r="R1479" t="s">
        <v>29</v>
      </c>
      <c r="S1479">
        <v>9.2514011166469992</v>
      </c>
      <c r="T1479" t="s">
        <v>29</v>
      </c>
      <c r="U1479" t="s">
        <v>29</v>
      </c>
      <c r="V1479" t="s">
        <v>29</v>
      </c>
      <c r="W1479" t="s">
        <v>29</v>
      </c>
      <c r="X1479" t="s">
        <v>29</v>
      </c>
      <c r="Y1479" t="s">
        <v>29</v>
      </c>
    </row>
    <row r="1480" spans="1:25" x14ac:dyDescent="0.2">
      <c r="A1480" t="s">
        <v>5528</v>
      </c>
      <c r="B1480" t="s">
        <v>5529</v>
      </c>
      <c r="C1480" t="s">
        <v>5530</v>
      </c>
      <c r="D1480" t="s">
        <v>5531</v>
      </c>
      <c r="E1480" t="s">
        <v>5529</v>
      </c>
      <c r="F1480" t="s">
        <v>28</v>
      </c>
      <c r="G1480" t="s">
        <v>5529</v>
      </c>
      <c r="H1480" t="str">
        <f>"D1044.6"</f>
        <v>D1044.6</v>
      </c>
      <c r="I1480" t="s">
        <v>5531</v>
      </c>
      <c r="J1480" t="s">
        <v>29</v>
      </c>
      <c r="K1480" t="s">
        <v>29</v>
      </c>
      <c r="L1480">
        <v>11.012243720824101</v>
      </c>
      <c r="M1480">
        <v>10.861782984455999</v>
      </c>
      <c r="N1480" t="s">
        <v>29</v>
      </c>
      <c r="O1480" t="s">
        <v>29</v>
      </c>
      <c r="P1480">
        <v>-0.150460736368149</v>
      </c>
      <c r="Q1480">
        <v>-1.0171214213367099</v>
      </c>
      <c r="R1480">
        <v>0.71619994860040703</v>
      </c>
      <c r="S1480">
        <v>11.787071881752199</v>
      </c>
      <c r="T1480">
        <v>-0.387383374194126</v>
      </c>
      <c r="U1480">
        <v>-6.4298682780881702</v>
      </c>
      <c r="V1480">
        <v>0.70667402170127103</v>
      </c>
      <c r="W1480">
        <v>0.86869816049085902</v>
      </c>
      <c r="X1480">
        <v>0</v>
      </c>
      <c r="Y1480">
        <v>0</v>
      </c>
    </row>
    <row r="1481" spans="1:25" x14ac:dyDescent="0.2">
      <c r="A1481" t="s">
        <v>5532</v>
      </c>
      <c r="B1481" t="s">
        <v>5533</v>
      </c>
      <c r="C1481" t="s">
        <v>5534</v>
      </c>
      <c r="D1481" t="s">
        <v>5535</v>
      </c>
      <c r="E1481" t="s">
        <v>5533</v>
      </c>
      <c r="F1481" t="s">
        <v>28</v>
      </c>
      <c r="G1481" t="s">
        <v>5533</v>
      </c>
      <c r="H1481" t="str">
        <f>"mev-1"</f>
        <v>mev-1</v>
      </c>
      <c r="I1481" t="s">
        <v>5535</v>
      </c>
      <c r="J1481">
        <v>13.9417610255396</v>
      </c>
      <c r="K1481">
        <v>14.066176618698499</v>
      </c>
      <c r="L1481">
        <v>14.095688288903</v>
      </c>
      <c r="M1481">
        <v>14.3446138041336</v>
      </c>
      <c r="N1481">
        <v>13.644782468019599</v>
      </c>
      <c r="O1481">
        <v>14.594396436490999</v>
      </c>
      <c r="P1481">
        <v>0.16005559183434301</v>
      </c>
      <c r="Q1481">
        <v>-0.53410774733906996</v>
      </c>
      <c r="R1481">
        <v>0.85421893100775703</v>
      </c>
      <c r="S1481">
        <v>13.861947974302501</v>
      </c>
      <c r="T1481">
        <v>0.48462039941916402</v>
      </c>
      <c r="U1481">
        <v>-6.9298129882875799</v>
      </c>
      <c r="V1481">
        <v>0.63382427056705803</v>
      </c>
      <c r="W1481">
        <v>0.83161504181452395</v>
      </c>
      <c r="X1481">
        <v>0</v>
      </c>
      <c r="Y1481">
        <v>0</v>
      </c>
    </row>
    <row r="1482" spans="1:25" x14ac:dyDescent="0.2">
      <c r="A1482" t="s">
        <v>5536</v>
      </c>
      <c r="B1482" t="s">
        <v>5537</v>
      </c>
      <c r="C1482" t="s">
        <v>5538</v>
      </c>
      <c r="D1482" t="s">
        <v>5539</v>
      </c>
      <c r="E1482" t="s">
        <v>5537</v>
      </c>
      <c r="F1482" t="s">
        <v>28</v>
      </c>
      <c r="G1482" t="s">
        <v>5537</v>
      </c>
      <c r="H1482" t="str">
        <f>"cct-1"</f>
        <v>cct-1</v>
      </c>
      <c r="I1482" t="s">
        <v>5539</v>
      </c>
      <c r="J1482">
        <v>18.041835035461901</v>
      </c>
      <c r="K1482">
        <v>17.7683807160745</v>
      </c>
      <c r="L1482">
        <v>17.873024263320801</v>
      </c>
      <c r="M1482">
        <v>17.6179322836126</v>
      </c>
      <c r="N1482">
        <v>17.762759079972799</v>
      </c>
      <c r="O1482">
        <v>17.493531782671202</v>
      </c>
      <c r="P1482">
        <v>-0.269672289533545</v>
      </c>
      <c r="Q1482">
        <v>-0.66114521380302105</v>
      </c>
      <c r="R1482">
        <v>0.12180063473593</v>
      </c>
      <c r="S1482">
        <v>17.3526892792197</v>
      </c>
      <c r="T1482">
        <v>-1.44786178513778</v>
      </c>
      <c r="U1482">
        <v>-6.01365375754437</v>
      </c>
      <c r="V1482">
        <v>0.16494955179755599</v>
      </c>
      <c r="W1482">
        <v>0.42097713062686098</v>
      </c>
      <c r="X1482">
        <v>0</v>
      </c>
      <c r="Y1482">
        <v>0</v>
      </c>
    </row>
    <row r="1483" spans="1:25" x14ac:dyDescent="0.2">
      <c r="A1483" t="s">
        <v>5540</v>
      </c>
      <c r="B1483" t="s">
        <v>5541</v>
      </c>
      <c r="C1483" t="s">
        <v>5542</v>
      </c>
      <c r="D1483" t="s">
        <v>5543</v>
      </c>
      <c r="E1483" t="s">
        <v>5541</v>
      </c>
      <c r="F1483" t="s">
        <v>28</v>
      </c>
      <c r="G1483" t="s">
        <v>5541</v>
      </c>
      <c r="H1483" t="str">
        <f>"ggtb-1"</f>
        <v>ggtb-1</v>
      </c>
      <c r="I1483" t="s">
        <v>5543</v>
      </c>
      <c r="J1483">
        <v>11.7503499124409</v>
      </c>
      <c r="K1483">
        <v>11.9351601880944</v>
      </c>
      <c r="L1483">
        <v>11.817088839154501</v>
      </c>
      <c r="M1483">
        <v>11.661161771442799</v>
      </c>
      <c r="N1483">
        <v>11.8984460599039</v>
      </c>
      <c r="O1483">
        <v>11.710598855879599</v>
      </c>
      <c r="P1483">
        <v>-7.7464084154504703E-2</v>
      </c>
      <c r="Q1483">
        <v>-0.72505881096651303</v>
      </c>
      <c r="R1483">
        <v>0.57013064265750402</v>
      </c>
      <c r="S1483">
        <v>11.534115066018201</v>
      </c>
      <c r="T1483">
        <v>-0.253715276096461</v>
      </c>
      <c r="U1483">
        <v>-7.0181961438408598</v>
      </c>
      <c r="V1483">
        <v>0.80296812532472595</v>
      </c>
      <c r="W1483">
        <v>0.91705516264973796</v>
      </c>
      <c r="X1483">
        <v>0</v>
      </c>
      <c r="Y1483">
        <v>0</v>
      </c>
    </row>
    <row r="1484" spans="1:25" x14ac:dyDescent="0.2">
      <c r="A1484" t="s">
        <v>5544</v>
      </c>
      <c r="B1484" t="s">
        <v>5545</v>
      </c>
      <c r="C1484" t="s">
        <v>5546</v>
      </c>
      <c r="D1484" t="s">
        <v>5547</v>
      </c>
      <c r="E1484" t="s">
        <v>5545</v>
      </c>
      <c r="F1484" t="s">
        <v>28</v>
      </c>
      <c r="G1484" t="s">
        <v>5545</v>
      </c>
      <c r="H1484" t="str">
        <f>"cpg-2"</f>
        <v>cpg-2</v>
      </c>
      <c r="I1484" t="s">
        <v>5547</v>
      </c>
      <c r="J1484">
        <v>13.182022838070001</v>
      </c>
      <c r="K1484">
        <v>13.590883989244301</v>
      </c>
      <c r="L1484">
        <v>14.2761494265454</v>
      </c>
      <c r="M1484">
        <v>13.8604134102776</v>
      </c>
      <c r="N1484">
        <v>14.964474298478001</v>
      </c>
      <c r="O1484">
        <v>13.62803417069</v>
      </c>
      <c r="P1484">
        <v>0.46795520852867201</v>
      </c>
      <c r="Q1484">
        <v>-0.759388092510626</v>
      </c>
      <c r="R1484">
        <v>1.69529850956797</v>
      </c>
      <c r="S1484">
        <v>14.117243264886399</v>
      </c>
      <c r="T1484">
        <v>0.80136568575781897</v>
      </c>
      <c r="U1484">
        <v>-6.7214808812655598</v>
      </c>
      <c r="V1484">
        <v>0.433432368712655</v>
      </c>
      <c r="W1484">
        <v>0.70238492419869603</v>
      </c>
      <c r="X1484">
        <v>0</v>
      </c>
      <c r="Y1484">
        <v>0</v>
      </c>
    </row>
    <row r="1485" spans="1:25" x14ac:dyDescent="0.2">
      <c r="A1485" t="s">
        <v>5548</v>
      </c>
      <c r="B1485" t="s">
        <v>5549</v>
      </c>
      <c r="C1485" t="s">
        <v>5550</v>
      </c>
      <c r="D1485" t="s">
        <v>5551</v>
      </c>
      <c r="E1485" t="s">
        <v>5549</v>
      </c>
      <c r="F1485" t="s">
        <v>28</v>
      </c>
      <c r="G1485" t="s">
        <v>5549</v>
      </c>
      <c r="H1485" t="str">
        <f>"nhr-10"</f>
        <v>nhr-10</v>
      </c>
      <c r="I1485" t="s">
        <v>5551</v>
      </c>
      <c r="J1485">
        <v>11.1984246727708</v>
      </c>
      <c r="K1485">
        <v>12.161810945608799</v>
      </c>
      <c r="L1485">
        <v>12.2536959016906</v>
      </c>
      <c r="M1485">
        <v>12.8226373262503</v>
      </c>
      <c r="N1485">
        <v>15.052713148913901</v>
      </c>
      <c r="O1485">
        <v>12.771508869665499</v>
      </c>
      <c r="P1485">
        <v>1.6776426082531699</v>
      </c>
      <c r="Q1485">
        <v>0.319354253697964</v>
      </c>
      <c r="R1485">
        <v>3.0359309628083899</v>
      </c>
      <c r="S1485">
        <v>12.4787322366226</v>
      </c>
      <c r="T1485">
        <v>2.6197328156859898</v>
      </c>
      <c r="U1485">
        <v>-4.0469172615925704</v>
      </c>
      <c r="V1485">
        <v>1.8653525297310701E-2</v>
      </c>
      <c r="W1485">
        <v>0.132819630891573</v>
      </c>
      <c r="X1485">
        <v>1</v>
      </c>
      <c r="Y1485">
        <v>0</v>
      </c>
    </row>
    <row r="1486" spans="1:25" x14ac:dyDescent="0.2">
      <c r="A1486" t="s">
        <v>5552</v>
      </c>
      <c r="B1486" t="s">
        <v>5553</v>
      </c>
      <c r="C1486" t="s">
        <v>5554</v>
      </c>
      <c r="D1486" t="s">
        <v>5555</v>
      </c>
      <c r="E1486" t="s">
        <v>5553</v>
      </c>
      <c r="F1486" t="s">
        <v>28</v>
      </c>
      <c r="G1486" t="s">
        <v>5553</v>
      </c>
      <c r="H1486" t="str">
        <f>"kin-19"</f>
        <v>kin-19</v>
      </c>
      <c r="I1486" t="s">
        <v>5555</v>
      </c>
      <c r="J1486">
        <v>17.690003704679398</v>
      </c>
      <c r="K1486">
        <v>17.7806749332286</v>
      </c>
      <c r="L1486">
        <v>17.6312692430112</v>
      </c>
      <c r="M1486">
        <v>17.7941830534327</v>
      </c>
      <c r="N1486">
        <v>17.797399902756499</v>
      </c>
      <c r="O1486">
        <v>17.428566399519902</v>
      </c>
      <c r="P1486">
        <v>-2.7266175070092699E-2</v>
      </c>
      <c r="Q1486">
        <v>-0.33645455741721297</v>
      </c>
      <c r="R1486">
        <v>0.28192220727702699</v>
      </c>
      <c r="S1486">
        <v>17.478257359205099</v>
      </c>
      <c r="T1486">
        <v>-0.18535041594377399</v>
      </c>
      <c r="U1486">
        <v>-7.0340997375109904</v>
      </c>
      <c r="V1486">
        <v>0.85503881300840401</v>
      </c>
      <c r="W1486">
        <v>0.94313111037049002</v>
      </c>
      <c r="X1486">
        <v>0</v>
      </c>
      <c r="Y1486">
        <v>0</v>
      </c>
    </row>
    <row r="1487" spans="1:25" x14ac:dyDescent="0.2">
      <c r="A1487" t="s">
        <v>5556</v>
      </c>
      <c r="B1487" t="s">
        <v>5557</v>
      </c>
      <c r="C1487" t="s">
        <v>5558</v>
      </c>
      <c r="D1487" t="s">
        <v>5559</v>
      </c>
      <c r="E1487" t="s">
        <v>5557</v>
      </c>
      <c r="F1487" t="s">
        <v>28</v>
      </c>
      <c r="G1487" t="s">
        <v>5557</v>
      </c>
      <c r="H1487" t="str">
        <f>"ced-3"</f>
        <v>ced-3</v>
      </c>
      <c r="I1487" t="s">
        <v>5559</v>
      </c>
      <c r="J1487">
        <v>10.138039787616201</v>
      </c>
      <c r="K1487" t="s">
        <v>29</v>
      </c>
      <c r="L1487">
        <v>10.625313975576599</v>
      </c>
      <c r="M1487" t="s">
        <v>29</v>
      </c>
      <c r="N1487" t="s">
        <v>29</v>
      </c>
      <c r="O1487">
        <v>13.1748705445345</v>
      </c>
      <c r="P1487">
        <v>2.79319366293816</v>
      </c>
      <c r="Q1487">
        <v>2.1287087838151502</v>
      </c>
      <c r="R1487">
        <v>3.45767854206118</v>
      </c>
      <c r="S1487">
        <v>11.553159474795301</v>
      </c>
      <c r="T1487">
        <v>9.2628288301460007</v>
      </c>
      <c r="U1487">
        <v>5.6124791923864299</v>
      </c>
      <c r="V1487" s="2">
        <v>1.6979672593005701E-6</v>
      </c>
      <c r="W1487" s="2">
        <v>9.0247904686146694E-5</v>
      </c>
      <c r="X1487">
        <v>1</v>
      </c>
      <c r="Y1487">
        <v>1</v>
      </c>
    </row>
    <row r="1488" spans="1:25" x14ac:dyDescent="0.2">
      <c r="A1488" t="s">
        <v>5560</v>
      </c>
      <c r="B1488" t="s">
        <v>5561</v>
      </c>
      <c r="C1488" t="s">
        <v>5562</v>
      </c>
      <c r="D1488" t="s">
        <v>5563</v>
      </c>
      <c r="E1488" t="s">
        <v>5561</v>
      </c>
      <c r="F1488" t="s">
        <v>28</v>
      </c>
      <c r="G1488" t="s">
        <v>5561</v>
      </c>
      <c r="H1488" t="str">
        <f>"cpr-5"</f>
        <v>cpr-5</v>
      </c>
      <c r="I1488" t="s">
        <v>5563</v>
      </c>
      <c r="J1488">
        <v>12.0436093282456</v>
      </c>
      <c r="K1488">
        <v>11.781250585805401</v>
      </c>
      <c r="L1488">
        <v>11.9911329790366</v>
      </c>
      <c r="M1488">
        <v>11.1507818687649</v>
      </c>
      <c r="N1488">
        <v>10.943115517028</v>
      </c>
      <c r="O1488">
        <v>12.1953893326707</v>
      </c>
      <c r="P1488">
        <v>-0.50890205820800505</v>
      </c>
      <c r="Q1488">
        <v>-1.21047490442092</v>
      </c>
      <c r="R1488">
        <v>0.192670788004909</v>
      </c>
      <c r="S1488">
        <v>12.270967929802501</v>
      </c>
      <c r="T1488">
        <v>-1.5385477004777799</v>
      </c>
      <c r="U1488">
        <v>-5.8885966497211699</v>
      </c>
      <c r="V1488">
        <v>0.14358280703541601</v>
      </c>
      <c r="W1488">
        <v>0.39097778585208598</v>
      </c>
      <c r="X1488">
        <v>0</v>
      </c>
      <c r="Y1488">
        <v>0</v>
      </c>
    </row>
    <row r="1489" spans="1:25" x14ac:dyDescent="0.2">
      <c r="A1489" t="s">
        <v>5564</v>
      </c>
      <c r="B1489" t="s">
        <v>5565</v>
      </c>
      <c r="C1489" t="s">
        <v>5566</v>
      </c>
      <c r="D1489" t="s">
        <v>5567</v>
      </c>
      <c r="E1489" t="s">
        <v>5565</v>
      </c>
      <c r="F1489" t="s">
        <v>28</v>
      </c>
      <c r="G1489" t="s">
        <v>5565</v>
      </c>
      <c r="H1489" t="str">
        <f>"aak-1"</f>
        <v>aak-1</v>
      </c>
      <c r="I1489" t="s">
        <v>5567</v>
      </c>
      <c r="J1489">
        <v>11.7625829885986</v>
      </c>
      <c r="K1489">
        <v>12.214545169029</v>
      </c>
      <c r="L1489">
        <v>11.898708095339099</v>
      </c>
      <c r="M1489" t="s">
        <v>29</v>
      </c>
      <c r="N1489" t="s">
        <v>29</v>
      </c>
      <c r="O1489" t="s">
        <v>29</v>
      </c>
      <c r="P1489" t="s">
        <v>29</v>
      </c>
      <c r="Q1489" t="s">
        <v>29</v>
      </c>
      <c r="R1489" t="s">
        <v>29</v>
      </c>
      <c r="S1489">
        <v>11.924493591578701</v>
      </c>
      <c r="T1489" t="s">
        <v>29</v>
      </c>
      <c r="U1489" t="s">
        <v>29</v>
      </c>
      <c r="V1489" t="s">
        <v>29</v>
      </c>
      <c r="W1489" t="s">
        <v>29</v>
      </c>
      <c r="X1489" t="s">
        <v>29</v>
      </c>
      <c r="Y1489" t="s">
        <v>29</v>
      </c>
    </row>
    <row r="1490" spans="1:25" x14ac:dyDescent="0.2">
      <c r="A1490" t="s">
        <v>5568</v>
      </c>
      <c r="B1490" t="s">
        <v>5569</v>
      </c>
      <c r="C1490" t="s">
        <v>5570</v>
      </c>
      <c r="D1490" t="s">
        <v>5571</v>
      </c>
      <c r="E1490" t="s">
        <v>5569</v>
      </c>
      <c r="F1490" t="s">
        <v>28</v>
      </c>
      <c r="G1490" t="s">
        <v>5569</v>
      </c>
      <c r="H1490" t="str">
        <f>"sma-3"</f>
        <v>sma-3</v>
      </c>
      <c r="I1490" t="s">
        <v>5571</v>
      </c>
      <c r="J1490">
        <v>12.1654429387482</v>
      </c>
      <c r="K1490" t="s">
        <v>29</v>
      </c>
      <c r="L1490" t="s">
        <v>29</v>
      </c>
      <c r="M1490" t="s">
        <v>29</v>
      </c>
      <c r="N1490" t="s">
        <v>29</v>
      </c>
      <c r="O1490" t="s">
        <v>29</v>
      </c>
      <c r="P1490" t="s">
        <v>29</v>
      </c>
      <c r="Q1490" t="s">
        <v>29</v>
      </c>
      <c r="R1490" t="s">
        <v>29</v>
      </c>
      <c r="S1490">
        <v>12.3280244375352</v>
      </c>
      <c r="T1490" t="s">
        <v>29</v>
      </c>
      <c r="U1490" t="s">
        <v>29</v>
      </c>
      <c r="V1490" t="s">
        <v>29</v>
      </c>
      <c r="W1490" t="s">
        <v>29</v>
      </c>
      <c r="X1490" t="s">
        <v>29</v>
      </c>
      <c r="Y1490" t="s">
        <v>29</v>
      </c>
    </row>
    <row r="1491" spans="1:25" x14ac:dyDescent="0.2">
      <c r="A1491" t="s">
        <v>5572</v>
      </c>
      <c r="B1491" t="s">
        <v>5573</v>
      </c>
      <c r="C1491" t="s">
        <v>5574</v>
      </c>
      <c r="D1491" t="s">
        <v>5575</v>
      </c>
      <c r="E1491" t="s">
        <v>5573</v>
      </c>
      <c r="F1491" t="s">
        <v>28</v>
      </c>
      <c r="G1491" t="s">
        <v>5573</v>
      </c>
      <c r="H1491" t="str">
        <f>"T09A5.5"</f>
        <v>T09A5.5</v>
      </c>
      <c r="I1491" t="s">
        <v>5575</v>
      </c>
      <c r="J1491">
        <v>12.8271057906697</v>
      </c>
      <c r="K1491">
        <v>13.233785435055401</v>
      </c>
      <c r="L1491">
        <v>13.3051087831789</v>
      </c>
      <c r="M1491" t="s">
        <v>29</v>
      </c>
      <c r="N1491">
        <v>12.2503679450144</v>
      </c>
      <c r="O1491">
        <v>13.0009243451735</v>
      </c>
      <c r="P1491">
        <v>-0.49635385787407499</v>
      </c>
      <c r="Q1491">
        <v>-1.3001687052168001</v>
      </c>
      <c r="R1491">
        <v>0.30746098946865502</v>
      </c>
      <c r="S1491">
        <v>13.1864228066321</v>
      </c>
      <c r="T1491">
        <v>-1.31697334092686</v>
      </c>
      <c r="U1491">
        <v>-6.0745073556307396</v>
      </c>
      <c r="V1491">
        <v>0.20775016799797499</v>
      </c>
      <c r="W1491">
        <v>0.47175090486071902</v>
      </c>
      <c r="X1491">
        <v>0</v>
      </c>
      <c r="Y1491">
        <v>0</v>
      </c>
    </row>
    <row r="1492" spans="1:25" x14ac:dyDescent="0.2">
      <c r="A1492" t="s">
        <v>5576</v>
      </c>
      <c r="B1492" t="s">
        <v>5577</v>
      </c>
      <c r="C1492" t="s">
        <v>5578</v>
      </c>
      <c r="D1492" t="s">
        <v>5579</v>
      </c>
      <c r="E1492" t="s">
        <v>5577</v>
      </c>
      <c r="F1492" t="s">
        <v>28</v>
      </c>
      <c r="G1492" t="s">
        <v>5577</v>
      </c>
      <c r="H1492" t="str">
        <f>"cec-3"</f>
        <v>cec-3</v>
      </c>
      <c r="I1492" t="s">
        <v>5579</v>
      </c>
      <c r="J1492" t="s">
        <v>29</v>
      </c>
      <c r="K1492" t="s">
        <v>29</v>
      </c>
      <c r="L1492">
        <v>11.5311295313244</v>
      </c>
      <c r="M1492" t="s">
        <v>29</v>
      </c>
      <c r="N1492" t="s">
        <v>29</v>
      </c>
      <c r="O1492" t="s">
        <v>29</v>
      </c>
      <c r="P1492" t="s">
        <v>29</v>
      </c>
      <c r="Q1492" t="s">
        <v>29</v>
      </c>
      <c r="R1492" t="s">
        <v>29</v>
      </c>
      <c r="S1492">
        <v>11.549057411228899</v>
      </c>
      <c r="T1492" t="s">
        <v>29</v>
      </c>
      <c r="U1492" t="s">
        <v>29</v>
      </c>
      <c r="V1492" t="s">
        <v>29</v>
      </c>
      <c r="W1492" t="s">
        <v>29</v>
      </c>
      <c r="X1492" t="s">
        <v>29</v>
      </c>
      <c r="Y1492" t="s">
        <v>29</v>
      </c>
    </row>
    <row r="1493" spans="1:25" x14ac:dyDescent="0.2">
      <c r="A1493" t="s">
        <v>5580</v>
      </c>
      <c r="B1493" t="s">
        <v>5581</v>
      </c>
      <c r="C1493" t="s">
        <v>5582</v>
      </c>
      <c r="D1493" t="s">
        <v>5583</v>
      </c>
      <c r="E1493" t="s">
        <v>5581</v>
      </c>
      <c r="F1493" t="s">
        <v>28</v>
      </c>
      <c r="G1493" t="s">
        <v>5581</v>
      </c>
      <c r="H1493" t="str">
        <f>"lin-5"</f>
        <v>lin-5</v>
      </c>
      <c r="I1493" t="s">
        <v>5583</v>
      </c>
      <c r="J1493" t="s">
        <v>29</v>
      </c>
      <c r="K1493">
        <v>11.156008284176901</v>
      </c>
      <c r="L1493">
        <v>10.676683099110001</v>
      </c>
      <c r="M1493">
        <v>11.6695106613103</v>
      </c>
      <c r="N1493" t="s">
        <v>29</v>
      </c>
      <c r="O1493">
        <v>11.3839634945837</v>
      </c>
      <c r="P1493">
        <v>0.61039138630356704</v>
      </c>
      <c r="Q1493">
        <v>4.2860867721702202E-2</v>
      </c>
      <c r="R1493">
        <v>1.1779219048854299</v>
      </c>
      <c r="S1493">
        <v>11.7893543623487</v>
      </c>
      <c r="T1493">
        <v>2.3456552819058998</v>
      </c>
      <c r="U1493">
        <v>-4.4325887177458103</v>
      </c>
      <c r="V1493">
        <v>3.7175504976602297E-2</v>
      </c>
      <c r="W1493">
        <v>0.19154155693620001</v>
      </c>
      <c r="X1493">
        <v>0</v>
      </c>
      <c r="Y1493">
        <v>0</v>
      </c>
    </row>
    <row r="1494" spans="1:25" x14ac:dyDescent="0.2">
      <c r="A1494" t="s">
        <v>5584</v>
      </c>
      <c r="B1494" t="s">
        <v>5585</v>
      </c>
      <c r="C1494" t="s">
        <v>5586</v>
      </c>
      <c r="D1494" t="s">
        <v>5587</v>
      </c>
      <c r="E1494" t="s">
        <v>5585</v>
      </c>
      <c r="F1494" t="s">
        <v>28</v>
      </c>
      <c r="G1494" t="s">
        <v>5585</v>
      </c>
      <c r="H1494" t="str">
        <f>"ostb-1"</f>
        <v>ostb-1</v>
      </c>
      <c r="I1494" t="s">
        <v>5587</v>
      </c>
      <c r="J1494">
        <v>16.357912243311201</v>
      </c>
      <c r="K1494">
        <v>16.212600631901001</v>
      </c>
      <c r="L1494">
        <v>16.4019135834099</v>
      </c>
      <c r="M1494">
        <v>15.8036394282794</v>
      </c>
      <c r="N1494">
        <v>15.888452580436301</v>
      </c>
      <c r="O1494">
        <v>16.021959173628101</v>
      </c>
      <c r="P1494">
        <v>-0.41945842542607698</v>
      </c>
      <c r="Q1494">
        <v>-0.79980374148850097</v>
      </c>
      <c r="R1494">
        <v>-3.9113109363653302E-2</v>
      </c>
      <c r="S1494">
        <v>15.944554320823199</v>
      </c>
      <c r="T1494">
        <v>-2.3179462609194399</v>
      </c>
      <c r="U1494">
        <v>-4.5924304134513996</v>
      </c>
      <c r="V1494">
        <v>3.2501505688448E-2</v>
      </c>
      <c r="W1494">
        <v>0.177449495822499</v>
      </c>
      <c r="X1494">
        <v>0</v>
      </c>
      <c r="Y1494">
        <v>0</v>
      </c>
    </row>
    <row r="1495" spans="1:25" x14ac:dyDescent="0.2">
      <c r="A1495" t="s">
        <v>5588</v>
      </c>
      <c r="B1495" t="s">
        <v>5589</v>
      </c>
      <c r="C1495" t="s">
        <v>5590</v>
      </c>
      <c r="D1495" t="s">
        <v>5591</v>
      </c>
      <c r="E1495" t="s">
        <v>5589</v>
      </c>
      <c r="F1495" t="s">
        <v>28</v>
      </c>
      <c r="G1495" t="s">
        <v>5589</v>
      </c>
      <c r="H1495" t="str">
        <f>"C01G6.5"</f>
        <v>C01G6.5</v>
      </c>
      <c r="I1495" t="s">
        <v>5591</v>
      </c>
      <c r="J1495">
        <v>11.212604078759901</v>
      </c>
      <c r="K1495">
        <v>10.9465123171529</v>
      </c>
      <c r="L1495">
        <v>11.5419069045385</v>
      </c>
      <c r="M1495">
        <v>11.1355810592566</v>
      </c>
      <c r="N1495">
        <v>10.6616166251493</v>
      </c>
      <c r="O1495">
        <v>11.212404376178499</v>
      </c>
      <c r="P1495">
        <v>-0.23047374662227499</v>
      </c>
      <c r="Q1495">
        <v>-0.78576586547290606</v>
      </c>
      <c r="R1495">
        <v>0.32481837222835602</v>
      </c>
      <c r="S1495">
        <v>11.735509587123699</v>
      </c>
      <c r="T1495">
        <v>-0.88033806752089605</v>
      </c>
      <c r="U1495">
        <v>-6.6529605182107101</v>
      </c>
      <c r="V1495">
        <v>0.39179254390034501</v>
      </c>
      <c r="W1495">
        <v>0.667242504847816</v>
      </c>
      <c r="X1495">
        <v>0</v>
      </c>
      <c r="Y1495">
        <v>0</v>
      </c>
    </row>
    <row r="1496" spans="1:25" x14ac:dyDescent="0.2">
      <c r="A1496" t="s">
        <v>5592</v>
      </c>
      <c r="B1496" t="s">
        <v>5593</v>
      </c>
      <c r="C1496" t="s">
        <v>5594</v>
      </c>
      <c r="D1496" t="s">
        <v>5595</v>
      </c>
      <c r="E1496" t="s">
        <v>5593</v>
      </c>
      <c r="F1496" t="s">
        <v>28</v>
      </c>
      <c r="G1496" t="s">
        <v>5593</v>
      </c>
      <c r="H1496" t="str">
        <f>"rpt-3"</f>
        <v>rpt-3</v>
      </c>
      <c r="I1496" t="s">
        <v>5595</v>
      </c>
      <c r="J1496">
        <v>15.439615317388601</v>
      </c>
      <c r="K1496">
        <v>15.2215876907929</v>
      </c>
      <c r="L1496">
        <v>15.214386715982799</v>
      </c>
      <c r="M1496">
        <v>15.029286713705</v>
      </c>
      <c r="N1496">
        <v>15.2902806511597</v>
      </c>
      <c r="O1496">
        <v>15.245258332630501</v>
      </c>
      <c r="P1496">
        <v>-0.1035880088897</v>
      </c>
      <c r="Q1496">
        <v>-0.43296361678297002</v>
      </c>
      <c r="R1496">
        <v>0.22578759900357001</v>
      </c>
      <c r="S1496">
        <v>15.222345116648899</v>
      </c>
      <c r="T1496">
        <v>-0.66101385797767898</v>
      </c>
      <c r="U1496">
        <v>-6.8258734366719098</v>
      </c>
      <c r="V1496">
        <v>0.51702397902859398</v>
      </c>
      <c r="W1496">
        <v>0.76292552972592698</v>
      </c>
      <c r="X1496">
        <v>0</v>
      </c>
      <c r="Y1496">
        <v>0</v>
      </c>
    </row>
    <row r="1497" spans="1:25" x14ac:dyDescent="0.2">
      <c r="A1497" t="s">
        <v>5596</v>
      </c>
      <c r="B1497" t="s">
        <v>5597</v>
      </c>
      <c r="C1497" t="s">
        <v>5598</v>
      </c>
      <c r="D1497" t="s">
        <v>5599</v>
      </c>
      <c r="E1497" t="s">
        <v>5597</v>
      </c>
      <c r="F1497" t="s">
        <v>28</v>
      </c>
      <c r="G1497" t="s">
        <v>5597</v>
      </c>
      <c r="H1497" t="str">
        <f>"nmt-1"</f>
        <v>nmt-1</v>
      </c>
      <c r="I1497" t="s">
        <v>5599</v>
      </c>
      <c r="J1497">
        <v>14.340003765414201</v>
      </c>
      <c r="K1497">
        <v>14.2410711451026</v>
      </c>
      <c r="L1497">
        <v>14.044062929748801</v>
      </c>
      <c r="M1497">
        <v>14.745408762684599</v>
      </c>
      <c r="N1497">
        <v>14.2633878808454</v>
      </c>
      <c r="O1497">
        <v>14.671464526645201</v>
      </c>
      <c r="P1497">
        <v>0.351707776636564</v>
      </c>
      <c r="Q1497">
        <v>-0.19698763470233499</v>
      </c>
      <c r="R1497">
        <v>0.90040318797546404</v>
      </c>
      <c r="S1497">
        <v>14.148468160089701</v>
      </c>
      <c r="T1497">
        <v>1.34723437686127</v>
      </c>
      <c r="U1497">
        <v>-6.1464276518049399</v>
      </c>
      <c r="V1497">
        <v>0.19471764504365699</v>
      </c>
      <c r="W1497">
        <v>0.45657835652040002</v>
      </c>
      <c r="X1497">
        <v>0</v>
      </c>
      <c r="Y1497">
        <v>0</v>
      </c>
    </row>
    <row r="1498" spans="1:25" x14ac:dyDescent="0.2">
      <c r="A1498" t="s">
        <v>5600</v>
      </c>
      <c r="B1498" t="s">
        <v>5601</v>
      </c>
      <c r="C1498" t="s">
        <v>5602</v>
      </c>
      <c r="D1498" t="s">
        <v>5603</v>
      </c>
      <c r="E1498" t="s">
        <v>5601</v>
      </c>
      <c r="F1498" t="s">
        <v>28</v>
      </c>
      <c r="G1498" t="s">
        <v>5601</v>
      </c>
      <c r="H1498" t="str">
        <f>"kin-18"</f>
        <v>kin-18</v>
      </c>
      <c r="I1498" t="s">
        <v>5603</v>
      </c>
      <c r="J1498">
        <v>13.6038932502024</v>
      </c>
      <c r="K1498">
        <v>12.8430774106124</v>
      </c>
      <c r="L1498">
        <v>13.4359174778262</v>
      </c>
      <c r="M1498">
        <v>13.715265020459</v>
      </c>
      <c r="N1498">
        <v>13.8863397272808</v>
      </c>
      <c r="O1498">
        <v>13.929172037351201</v>
      </c>
      <c r="P1498">
        <v>0.54929621548335705</v>
      </c>
      <c r="Q1498">
        <v>-6.12780940423003E-2</v>
      </c>
      <c r="R1498">
        <v>1.15987052500902</v>
      </c>
      <c r="S1498">
        <v>13.450779563249499</v>
      </c>
      <c r="T1498">
        <v>1.89896995277938</v>
      </c>
      <c r="U1498">
        <v>-5.3351146793983597</v>
      </c>
      <c r="V1498">
        <v>7.4781977742481603E-2</v>
      </c>
      <c r="W1498">
        <v>0.28009938192123102</v>
      </c>
      <c r="X1498">
        <v>0</v>
      </c>
      <c r="Y1498">
        <v>0</v>
      </c>
    </row>
    <row r="1499" spans="1:25" x14ac:dyDescent="0.2">
      <c r="A1499" t="s">
        <v>5604</v>
      </c>
      <c r="B1499" t="s">
        <v>5605</v>
      </c>
      <c r="C1499" t="s">
        <v>5606</v>
      </c>
      <c r="D1499" t="s">
        <v>5607</v>
      </c>
      <c r="E1499" t="s">
        <v>5605</v>
      </c>
      <c r="F1499" t="s">
        <v>28</v>
      </c>
      <c r="G1499" t="s">
        <v>5605</v>
      </c>
      <c r="H1499" t="str">
        <f>"cct-6"</f>
        <v>cct-6</v>
      </c>
      <c r="I1499" t="s">
        <v>5607</v>
      </c>
      <c r="J1499">
        <v>17.8781539712365</v>
      </c>
      <c r="K1499">
        <v>17.700132535684499</v>
      </c>
      <c r="L1499">
        <v>17.702631515966701</v>
      </c>
      <c r="M1499">
        <v>17.808908398363201</v>
      </c>
      <c r="N1499">
        <v>17.6944732690541</v>
      </c>
      <c r="O1499">
        <v>17.505946971672302</v>
      </c>
      <c r="P1499">
        <v>-9.0529794599362404E-2</v>
      </c>
      <c r="Q1499">
        <v>-0.42336647724657001</v>
      </c>
      <c r="R1499">
        <v>0.242306888047846</v>
      </c>
      <c r="S1499">
        <v>17.390382375637401</v>
      </c>
      <c r="T1499">
        <v>-0.57167982165997799</v>
      </c>
      <c r="U1499">
        <v>-6.8823696304262096</v>
      </c>
      <c r="V1499">
        <v>0.57465014980849105</v>
      </c>
      <c r="W1499">
        <v>0.79503043685239305</v>
      </c>
      <c r="X1499">
        <v>0</v>
      </c>
      <c r="Y1499">
        <v>0</v>
      </c>
    </row>
    <row r="1500" spans="1:25" x14ac:dyDescent="0.2">
      <c r="A1500" t="s">
        <v>5608</v>
      </c>
      <c r="B1500" t="s">
        <v>5609</v>
      </c>
      <c r="C1500" t="s">
        <v>5610</v>
      </c>
      <c r="D1500" t="s">
        <v>5611</v>
      </c>
      <c r="E1500" t="s">
        <v>5609</v>
      </c>
      <c r="F1500" t="s">
        <v>28</v>
      </c>
      <c r="G1500" t="s">
        <v>5609</v>
      </c>
      <c r="H1500" t="str">
        <f>"cdk-12"</f>
        <v>cdk-12</v>
      </c>
      <c r="I1500" t="s">
        <v>5611</v>
      </c>
      <c r="J1500">
        <v>15.0602669751585</v>
      </c>
      <c r="K1500">
        <v>15.373970878219501</v>
      </c>
      <c r="L1500">
        <v>15.424660404629</v>
      </c>
      <c r="M1500">
        <v>15.2344860226418</v>
      </c>
      <c r="N1500">
        <v>14.8280369656049</v>
      </c>
      <c r="O1500">
        <v>15.1311418392477</v>
      </c>
      <c r="P1500">
        <v>-0.22174447683753801</v>
      </c>
      <c r="Q1500">
        <v>-0.62717989714875699</v>
      </c>
      <c r="R1500">
        <v>0.18369094347368101</v>
      </c>
      <c r="S1500">
        <v>15.4097827088675</v>
      </c>
      <c r="T1500">
        <v>-1.14953880653847</v>
      </c>
      <c r="U1500">
        <v>-6.3841231027326604</v>
      </c>
      <c r="V1500">
        <v>0.26546612655475199</v>
      </c>
      <c r="W1500">
        <v>0.54253072011360703</v>
      </c>
      <c r="X1500">
        <v>0</v>
      </c>
      <c r="Y1500">
        <v>0</v>
      </c>
    </row>
    <row r="1501" spans="1:25" x14ac:dyDescent="0.2">
      <c r="A1501" t="s">
        <v>5612</v>
      </c>
      <c r="B1501" t="s">
        <v>5613</v>
      </c>
      <c r="C1501" t="s">
        <v>5614</v>
      </c>
      <c r="D1501" t="s">
        <v>5615</v>
      </c>
      <c r="E1501" t="s">
        <v>5613</v>
      </c>
      <c r="F1501" t="s">
        <v>28</v>
      </c>
      <c r="G1501" t="s">
        <v>5613</v>
      </c>
      <c r="H1501" t="str">
        <f>"lcmt-1"</f>
        <v>lcmt-1</v>
      </c>
      <c r="I1501" t="s">
        <v>5615</v>
      </c>
      <c r="J1501">
        <v>14.7821877222311</v>
      </c>
      <c r="K1501">
        <v>14.8720414087955</v>
      </c>
      <c r="L1501">
        <v>14.753355308002</v>
      </c>
      <c r="M1501">
        <v>14.7233150045054</v>
      </c>
      <c r="N1501">
        <v>14.9076076427034</v>
      </c>
      <c r="O1501">
        <v>14.843475393447299</v>
      </c>
      <c r="P1501">
        <v>2.2271200542528301E-2</v>
      </c>
      <c r="Q1501">
        <v>-0.35807939108558501</v>
      </c>
      <c r="R1501">
        <v>0.40262179217064098</v>
      </c>
      <c r="S1501">
        <v>14.628166543041599</v>
      </c>
      <c r="T1501">
        <v>0.12306995607521599</v>
      </c>
      <c r="U1501">
        <v>-7.0441522432102097</v>
      </c>
      <c r="V1501">
        <v>0.90342338967838798</v>
      </c>
      <c r="W1501">
        <v>0.96733784469018502</v>
      </c>
      <c r="X1501">
        <v>0</v>
      </c>
      <c r="Y1501">
        <v>0</v>
      </c>
    </row>
    <row r="1502" spans="1:25" x14ac:dyDescent="0.2">
      <c r="A1502" t="s">
        <v>5616</v>
      </c>
      <c r="B1502" t="s">
        <v>5617</v>
      </c>
      <c r="C1502" t="s">
        <v>5618</v>
      </c>
      <c r="D1502" t="s">
        <v>5619</v>
      </c>
      <c r="E1502" t="s">
        <v>5617</v>
      </c>
      <c r="F1502" t="s">
        <v>28</v>
      </c>
      <c r="G1502" t="s">
        <v>5617</v>
      </c>
      <c r="H1502" t="str">
        <f>"B0285.6"</f>
        <v>B0285.6</v>
      </c>
      <c r="I1502" t="s">
        <v>5619</v>
      </c>
      <c r="J1502">
        <v>12.7719258568538</v>
      </c>
      <c r="K1502">
        <v>11.9099840568239</v>
      </c>
      <c r="L1502">
        <v>12.2427503440239</v>
      </c>
      <c r="M1502" t="s">
        <v>29</v>
      </c>
      <c r="N1502" t="s">
        <v>29</v>
      </c>
      <c r="O1502" t="s">
        <v>29</v>
      </c>
      <c r="P1502" t="s">
        <v>29</v>
      </c>
      <c r="Q1502" t="s">
        <v>29</v>
      </c>
      <c r="R1502" t="s">
        <v>29</v>
      </c>
      <c r="S1502">
        <v>12.2831669306085</v>
      </c>
      <c r="T1502" t="s">
        <v>29</v>
      </c>
      <c r="U1502" t="s">
        <v>29</v>
      </c>
      <c r="V1502" t="s">
        <v>29</v>
      </c>
      <c r="W1502" t="s">
        <v>29</v>
      </c>
      <c r="X1502" t="s">
        <v>29</v>
      </c>
      <c r="Y1502" t="s">
        <v>29</v>
      </c>
    </row>
    <row r="1503" spans="1:25" x14ac:dyDescent="0.2">
      <c r="A1503" t="s">
        <v>5620</v>
      </c>
      <c r="B1503" t="s">
        <v>5621</v>
      </c>
      <c r="C1503" t="s">
        <v>5622</v>
      </c>
      <c r="D1503" t="s">
        <v>5623</v>
      </c>
      <c r="E1503" t="s">
        <v>5621</v>
      </c>
      <c r="F1503" t="s">
        <v>28</v>
      </c>
      <c r="G1503" t="s">
        <v>5621</v>
      </c>
      <c r="H1503" t="str">
        <f>"ckb-2"</f>
        <v>ckb-2</v>
      </c>
      <c r="I1503" t="s">
        <v>5623</v>
      </c>
      <c r="J1503">
        <v>14.224690108505399</v>
      </c>
      <c r="K1503">
        <v>14.364985531137901</v>
      </c>
      <c r="L1503">
        <v>14.0495912316623</v>
      </c>
      <c r="M1503">
        <v>14.0646167359928</v>
      </c>
      <c r="N1503">
        <v>14.2857708557243</v>
      </c>
      <c r="O1503">
        <v>14.0195464080983</v>
      </c>
      <c r="P1503">
        <v>-8.9777623830077105E-2</v>
      </c>
      <c r="Q1503">
        <v>-0.58152473079191902</v>
      </c>
      <c r="R1503">
        <v>0.401969483131765</v>
      </c>
      <c r="S1503">
        <v>13.9269079955608</v>
      </c>
      <c r="T1503">
        <v>-0.38372386148590798</v>
      </c>
      <c r="U1503">
        <v>-6.9752392580122402</v>
      </c>
      <c r="V1503">
        <v>0.70570407772845001</v>
      </c>
      <c r="W1503">
        <v>0.86851780216655705</v>
      </c>
      <c r="X1503">
        <v>0</v>
      </c>
      <c r="Y1503">
        <v>0</v>
      </c>
    </row>
    <row r="1504" spans="1:25" x14ac:dyDescent="0.2">
      <c r="A1504" t="s">
        <v>5624</v>
      </c>
      <c r="B1504" t="s">
        <v>5625</v>
      </c>
      <c r="C1504" t="s">
        <v>5626</v>
      </c>
      <c r="D1504" t="s">
        <v>5627</v>
      </c>
      <c r="E1504" t="s">
        <v>5625</v>
      </c>
      <c r="F1504" t="s">
        <v>28</v>
      </c>
      <c r="G1504" t="s">
        <v>5625</v>
      </c>
      <c r="H1504" t="str">
        <f>"atp-2"</f>
        <v>atp-2</v>
      </c>
      <c r="I1504" t="s">
        <v>5627</v>
      </c>
      <c r="J1504">
        <v>19.528068025698399</v>
      </c>
      <c r="K1504">
        <v>19.342304250301702</v>
      </c>
      <c r="L1504">
        <v>19.3991905854405</v>
      </c>
      <c r="M1504">
        <v>19.036900919482498</v>
      </c>
      <c r="N1504">
        <v>19.2649949776855</v>
      </c>
      <c r="O1504">
        <v>19.440471089353299</v>
      </c>
      <c r="P1504">
        <v>-0.17573195830643901</v>
      </c>
      <c r="Q1504">
        <v>-0.54975078027749102</v>
      </c>
      <c r="R1504">
        <v>0.19828686366461201</v>
      </c>
      <c r="S1504">
        <v>19.5485092000104</v>
      </c>
      <c r="T1504">
        <v>-0.98752887670577905</v>
      </c>
      <c r="U1504">
        <v>-6.5545509008272198</v>
      </c>
      <c r="V1504">
        <v>0.336548679941786</v>
      </c>
      <c r="W1504">
        <v>0.61489579142648598</v>
      </c>
      <c r="X1504">
        <v>0</v>
      </c>
      <c r="Y1504">
        <v>0</v>
      </c>
    </row>
    <row r="1505" spans="1:25" x14ac:dyDescent="0.2">
      <c r="A1505" t="s">
        <v>5628</v>
      </c>
      <c r="B1505" t="s">
        <v>5629</v>
      </c>
      <c r="C1505" t="s">
        <v>5630</v>
      </c>
      <c r="D1505" t="s">
        <v>5631</v>
      </c>
      <c r="E1505" t="s">
        <v>5629</v>
      </c>
      <c r="F1505" t="s">
        <v>28</v>
      </c>
      <c r="G1505" t="s">
        <v>5629</v>
      </c>
      <c r="H1505" t="str">
        <f>"alh-9"</f>
        <v>alh-9</v>
      </c>
      <c r="I1505" t="s">
        <v>5631</v>
      </c>
      <c r="J1505">
        <v>10.971626345700001</v>
      </c>
      <c r="K1505">
        <v>11.7214302127792</v>
      </c>
      <c r="L1505">
        <v>12.645706012313701</v>
      </c>
      <c r="M1505">
        <v>13.812883079477899</v>
      </c>
      <c r="N1505">
        <v>13.7047664409181</v>
      </c>
      <c r="O1505">
        <v>13.930730702434399</v>
      </c>
      <c r="P1505">
        <v>2.0365392173458301</v>
      </c>
      <c r="Q1505">
        <v>1.3752806025950799</v>
      </c>
      <c r="R1505">
        <v>2.6977978320965801</v>
      </c>
      <c r="S1505">
        <v>13.0816921511689</v>
      </c>
      <c r="T1505">
        <v>6.50086949727981</v>
      </c>
      <c r="U1505">
        <v>3.9977604622566001</v>
      </c>
      <c r="V1505" s="2">
        <v>5.6024327402021704E-6</v>
      </c>
      <c r="W1505">
        <v>2.5676501600870201E-4</v>
      </c>
      <c r="X1505">
        <v>1</v>
      </c>
      <c r="Y1505">
        <v>1</v>
      </c>
    </row>
    <row r="1506" spans="1:25" x14ac:dyDescent="0.2">
      <c r="A1506" t="s">
        <v>5632</v>
      </c>
      <c r="B1506" t="s">
        <v>5633</v>
      </c>
      <c r="C1506" t="s">
        <v>5634</v>
      </c>
      <c r="D1506" t="s">
        <v>5635</v>
      </c>
      <c r="E1506" t="s">
        <v>5633</v>
      </c>
      <c r="F1506" t="s">
        <v>28</v>
      </c>
      <c r="G1506" t="s">
        <v>5633</v>
      </c>
      <c r="H1506" t="str">
        <f>"aldo-2"</f>
        <v>aldo-2</v>
      </c>
      <c r="I1506" t="s">
        <v>5635</v>
      </c>
      <c r="J1506">
        <v>14.4703821797707</v>
      </c>
      <c r="K1506">
        <v>13.5247751416188</v>
      </c>
      <c r="L1506">
        <v>13.9129046498284</v>
      </c>
      <c r="M1506">
        <v>19.5433180653128</v>
      </c>
      <c r="N1506">
        <v>19.347771586315702</v>
      </c>
      <c r="O1506">
        <v>19.069419987040099</v>
      </c>
      <c r="P1506">
        <v>5.35081588915022</v>
      </c>
      <c r="Q1506">
        <v>4.70649139305673</v>
      </c>
      <c r="R1506">
        <v>5.9951403852437197</v>
      </c>
      <c r="S1506">
        <v>17.6200378439462</v>
      </c>
      <c r="T1506">
        <v>17.4545187220039</v>
      </c>
      <c r="U1506">
        <v>19.154863746212101</v>
      </c>
      <c r="V1506" s="2">
        <v>1.10581840798639E-12</v>
      </c>
      <c r="W1506" s="2">
        <v>1.1994443665292401E-9</v>
      </c>
      <c r="X1506">
        <v>1</v>
      </c>
      <c r="Y1506">
        <v>1</v>
      </c>
    </row>
    <row r="1507" spans="1:25" x14ac:dyDescent="0.2">
      <c r="A1507" t="s">
        <v>5636</v>
      </c>
      <c r="B1507" t="s">
        <v>5637</v>
      </c>
      <c r="C1507" t="s">
        <v>5638</v>
      </c>
      <c r="D1507" t="s">
        <v>5639</v>
      </c>
      <c r="E1507" t="s">
        <v>5637</v>
      </c>
      <c r="F1507" t="s">
        <v>28</v>
      </c>
      <c r="G1507" t="s">
        <v>5637</v>
      </c>
      <c r="H1507" t="str">
        <f>"gop-3"</f>
        <v>gop-3</v>
      </c>
      <c r="I1507" t="s">
        <v>5639</v>
      </c>
      <c r="J1507">
        <v>14.836036472908001</v>
      </c>
      <c r="K1507">
        <v>14.7532039517806</v>
      </c>
      <c r="L1507">
        <v>14.6793317344813</v>
      </c>
      <c r="M1507">
        <v>14.4963562562567</v>
      </c>
      <c r="N1507">
        <v>14.210016671232401</v>
      </c>
      <c r="O1507">
        <v>13.864916670284099</v>
      </c>
      <c r="P1507">
        <v>-0.565760853798846</v>
      </c>
      <c r="Q1507">
        <v>-0.97367999422645302</v>
      </c>
      <c r="R1507">
        <v>-0.15784171337123901</v>
      </c>
      <c r="S1507">
        <v>14.230961402749999</v>
      </c>
      <c r="T1507">
        <v>-2.9150856780048602</v>
      </c>
      <c r="U1507">
        <v>-3.4139857331840102</v>
      </c>
      <c r="V1507">
        <v>9.2797331357286107E-3</v>
      </c>
      <c r="W1507">
        <v>8.3185266180883996E-2</v>
      </c>
      <c r="X1507">
        <v>0</v>
      </c>
      <c r="Y1507">
        <v>0</v>
      </c>
    </row>
    <row r="1508" spans="1:25" x14ac:dyDescent="0.2">
      <c r="A1508" t="s">
        <v>5640</v>
      </c>
      <c r="B1508" t="s">
        <v>5641</v>
      </c>
      <c r="C1508" t="s">
        <v>5642</v>
      </c>
      <c r="D1508" t="s">
        <v>5643</v>
      </c>
      <c r="E1508" t="s">
        <v>5641</v>
      </c>
      <c r="F1508" t="s">
        <v>28</v>
      </c>
      <c r="G1508" t="s">
        <v>5641</v>
      </c>
      <c r="H1508" t="str">
        <f>"gop-2"</f>
        <v>gop-2</v>
      </c>
      <c r="I1508" t="s">
        <v>5643</v>
      </c>
      <c r="J1508">
        <v>13.995154940130901</v>
      </c>
      <c r="K1508">
        <v>14.1981593159589</v>
      </c>
      <c r="L1508">
        <v>13.8630576013884</v>
      </c>
      <c r="M1508">
        <v>15.0651400521103</v>
      </c>
      <c r="N1508">
        <v>14.820700467007899</v>
      </c>
      <c r="O1508">
        <v>14.721642224795101</v>
      </c>
      <c r="P1508">
        <v>0.85037029547838305</v>
      </c>
      <c r="Q1508">
        <v>0.44075636026665799</v>
      </c>
      <c r="R1508">
        <v>1.2599842306901099</v>
      </c>
      <c r="S1508">
        <v>14.240005659699699</v>
      </c>
      <c r="T1508">
        <v>4.3634084807815103</v>
      </c>
      <c r="U1508">
        <v>-0.279758786904311</v>
      </c>
      <c r="V1508">
        <v>3.7926392400210201E-4</v>
      </c>
      <c r="W1508">
        <v>8.7526582177506404E-3</v>
      </c>
      <c r="X1508">
        <v>0</v>
      </c>
      <c r="Y1508">
        <v>0</v>
      </c>
    </row>
    <row r="1509" spans="1:25" x14ac:dyDescent="0.2">
      <c r="A1509" t="s">
        <v>5644</v>
      </c>
      <c r="B1509" t="s">
        <v>5645</v>
      </c>
      <c r="C1509" t="s">
        <v>5646</v>
      </c>
      <c r="D1509" t="s">
        <v>5647</v>
      </c>
      <c r="E1509" t="s">
        <v>5645</v>
      </c>
      <c r="F1509" t="s">
        <v>28</v>
      </c>
      <c r="G1509" t="s">
        <v>5645</v>
      </c>
      <c r="H1509" t="str">
        <f>"gop-1"</f>
        <v>gop-1</v>
      </c>
      <c r="I1509" t="s">
        <v>5647</v>
      </c>
      <c r="J1509">
        <v>12.8661609823451</v>
      </c>
      <c r="K1509">
        <v>13.424020592111299</v>
      </c>
      <c r="L1509">
        <v>13.259688651482</v>
      </c>
      <c r="M1509">
        <v>12.2574176818609</v>
      </c>
      <c r="N1509" t="s">
        <v>29</v>
      </c>
      <c r="O1509" t="s">
        <v>29</v>
      </c>
      <c r="P1509">
        <v>-0.925872393451876</v>
      </c>
      <c r="Q1509">
        <v>-1.5492111053070901</v>
      </c>
      <c r="R1509">
        <v>-0.302533681596658</v>
      </c>
      <c r="S1509">
        <v>13.153973382433</v>
      </c>
      <c r="T1509">
        <v>-3.1880045212647601</v>
      </c>
      <c r="U1509">
        <v>-2.6998358280335899</v>
      </c>
      <c r="V1509">
        <v>6.6290669164333097E-3</v>
      </c>
      <c r="W1509">
        <v>6.6168661797773004E-2</v>
      </c>
      <c r="X1509">
        <v>0</v>
      </c>
      <c r="Y1509">
        <v>0</v>
      </c>
    </row>
    <row r="1510" spans="1:25" x14ac:dyDescent="0.2">
      <c r="A1510" t="s">
        <v>5648</v>
      </c>
      <c r="B1510" t="s">
        <v>5649</v>
      </c>
      <c r="C1510" t="s">
        <v>5650</v>
      </c>
      <c r="D1510" t="s">
        <v>5651</v>
      </c>
      <c r="E1510" t="s">
        <v>5649</v>
      </c>
      <c r="F1510" t="s">
        <v>28</v>
      </c>
      <c r="G1510" t="s">
        <v>5649</v>
      </c>
      <c r="H1510" t="str">
        <f>"sumv-1"</f>
        <v>sumv-1</v>
      </c>
      <c r="I1510" t="s">
        <v>5651</v>
      </c>
      <c r="J1510">
        <v>11.4034134056505</v>
      </c>
      <c r="K1510">
        <v>12.094027263406799</v>
      </c>
      <c r="L1510">
        <v>11.8433296355481</v>
      </c>
      <c r="M1510">
        <v>11.5171485763458</v>
      </c>
      <c r="N1510">
        <v>10.4855652137969</v>
      </c>
      <c r="O1510">
        <v>10.985324708656099</v>
      </c>
      <c r="P1510">
        <v>-0.78424393526888503</v>
      </c>
      <c r="Q1510">
        <v>-1.31933920939866</v>
      </c>
      <c r="R1510">
        <v>-0.249148661139107</v>
      </c>
      <c r="S1510">
        <v>11.8347421106384</v>
      </c>
      <c r="T1510">
        <v>-3.1086339329096302</v>
      </c>
      <c r="U1510">
        <v>-3.0774105197702402</v>
      </c>
      <c r="V1510">
        <v>6.79884273771329E-3</v>
      </c>
      <c r="W1510">
        <v>6.7095585090966595E-2</v>
      </c>
      <c r="X1510">
        <v>0</v>
      </c>
      <c r="Y1510">
        <v>0</v>
      </c>
    </row>
    <row r="1511" spans="1:25" x14ac:dyDescent="0.2">
      <c r="A1511" t="s">
        <v>5652</v>
      </c>
      <c r="B1511" t="s">
        <v>5653</v>
      </c>
      <c r="C1511" t="s">
        <v>5654</v>
      </c>
      <c r="D1511" t="s">
        <v>5655</v>
      </c>
      <c r="E1511" t="s">
        <v>5653</v>
      </c>
      <c r="F1511" t="s">
        <v>28</v>
      </c>
      <c r="G1511" t="s">
        <v>5653</v>
      </c>
      <c r="H1511" t="str">
        <f>"rps-0"</f>
        <v>rps-0</v>
      </c>
      <c r="I1511" t="s">
        <v>5655</v>
      </c>
      <c r="J1511">
        <v>17.872028581569001</v>
      </c>
      <c r="K1511">
        <v>17.722326462793301</v>
      </c>
      <c r="L1511">
        <v>18.085209020100098</v>
      </c>
      <c r="M1511">
        <v>17.989027907332598</v>
      </c>
      <c r="N1511">
        <v>17.946036302026702</v>
      </c>
      <c r="O1511">
        <v>18.252520371451801</v>
      </c>
      <c r="P1511">
        <v>0.16934017211624</v>
      </c>
      <c r="Q1511">
        <v>-0.19057383367158401</v>
      </c>
      <c r="R1511">
        <v>0.52925417790406304</v>
      </c>
      <c r="S1511">
        <v>18.272392976544101</v>
      </c>
      <c r="T1511">
        <v>0.98890315568603904</v>
      </c>
      <c r="U1511">
        <v>-6.5532016565537399</v>
      </c>
      <c r="V1511">
        <v>0.33589413860470901</v>
      </c>
      <c r="W1511">
        <v>0.61438984093295301</v>
      </c>
      <c r="X1511">
        <v>0</v>
      </c>
      <c r="Y1511">
        <v>0</v>
      </c>
    </row>
    <row r="1512" spans="1:25" x14ac:dyDescent="0.2">
      <c r="A1512" t="s">
        <v>5656</v>
      </c>
      <c r="B1512" t="s">
        <v>5657</v>
      </c>
      <c r="C1512" t="s">
        <v>5658</v>
      </c>
      <c r="D1512" t="s">
        <v>5659</v>
      </c>
      <c r="E1512" t="s">
        <v>5657</v>
      </c>
      <c r="F1512" t="s">
        <v>28</v>
      </c>
      <c r="G1512" t="s">
        <v>5657</v>
      </c>
      <c r="H1512" t="str">
        <f>"stt-3"</f>
        <v>stt-3</v>
      </c>
      <c r="I1512" t="s">
        <v>5659</v>
      </c>
      <c r="J1512">
        <v>17.764056638871299</v>
      </c>
      <c r="K1512">
        <v>17.797239175213502</v>
      </c>
      <c r="L1512">
        <v>17.715633597937</v>
      </c>
      <c r="M1512">
        <v>17.9109831958603</v>
      </c>
      <c r="N1512">
        <v>17.631812885202699</v>
      </c>
      <c r="O1512">
        <v>17.370423084486902</v>
      </c>
      <c r="P1512">
        <v>-0.121236748823993</v>
      </c>
      <c r="Q1512">
        <v>-0.51298842857824201</v>
      </c>
      <c r="R1512">
        <v>0.27051493093025702</v>
      </c>
      <c r="S1512">
        <v>17.8409269219683</v>
      </c>
      <c r="T1512">
        <v>-0.65045300936150996</v>
      </c>
      <c r="U1512">
        <v>-6.8329602506635601</v>
      </c>
      <c r="V1512">
        <v>0.52366372599815603</v>
      </c>
      <c r="W1512">
        <v>0.76860702047722096</v>
      </c>
      <c r="X1512">
        <v>0</v>
      </c>
      <c r="Y1512">
        <v>0</v>
      </c>
    </row>
    <row r="1513" spans="1:25" x14ac:dyDescent="0.2">
      <c r="A1513" t="s">
        <v>5660</v>
      </c>
      <c r="B1513" t="s">
        <v>5661</v>
      </c>
      <c r="C1513" t="s">
        <v>5662</v>
      </c>
      <c r="D1513" t="s">
        <v>5663</v>
      </c>
      <c r="E1513" t="s">
        <v>5661</v>
      </c>
      <c r="F1513" t="s">
        <v>28</v>
      </c>
      <c r="G1513" t="s">
        <v>5661</v>
      </c>
      <c r="H1513" t="str">
        <f>"cct-2"</f>
        <v>cct-2</v>
      </c>
      <c r="I1513" t="s">
        <v>5663</v>
      </c>
      <c r="J1513">
        <v>15.544192681416501</v>
      </c>
      <c r="K1513">
        <v>15.1906608002972</v>
      </c>
      <c r="L1513">
        <v>15.4968884973842</v>
      </c>
      <c r="M1513">
        <v>15.0876916521919</v>
      </c>
      <c r="N1513">
        <v>15.1932847190284</v>
      </c>
      <c r="O1513">
        <v>15.6154355981935</v>
      </c>
      <c r="P1513">
        <v>-0.111776669894686</v>
      </c>
      <c r="Q1513">
        <v>-0.53353408509755895</v>
      </c>
      <c r="R1513">
        <v>0.30998074530818598</v>
      </c>
      <c r="S1513">
        <v>15.4582862486147</v>
      </c>
      <c r="T1513">
        <v>-0.55703303636222901</v>
      </c>
      <c r="U1513">
        <v>-6.8908808190949502</v>
      </c>
      <c r="V1513">
        <v>0.58440525980963398</v>
      </c>
      <c r="W1513">
        <v>0.80219222675694601</v>
      </c>
      <c r="X1513">
        <v>0</v>
      </c>
      <c r="Y1513">
        <v>0</v>
      </c>
    </row>
    <row r="1514" spans="1:25" x14ac:dyDescent="0.2">
      <c r="A1514" t="s">
        <v>5664</v>
      </c>
      <c r="B1514" t="s">
        <v>5665</v>
      </c>
      <c r="C1514" t="s">
        <v>5666</v>
      </c>
      <c r="D1514" t="s">
        <v>5667</v>
      </c>
      <c r="E1514" t="s">
        <v>5665</v>
      </c>
      <c r="F1514" t="s">
        <v>28</v>
      </c>
      <c r="G1514" t="s">
        <v>5665</v>
      </c>
      <c r="H1514" t="str">
        <f>"cct-4"</f>
        <v>cct-4</v>
      </c>
      <c r="I1514" t="s">
        <v>5667</v>
      </c>
      <c r="J1514">
        <v>14.937484830213799</v>
      </c>
      <c r="K1514">
        <v>14.724903988925</v>
      </c>
      <c r="L1514">
        <v>15.0981237846109</v>
      </c>
      <c r="M1514">
        <v>14.483678844901799</v>
      </c>
      <c r="N1514">
        <v>14.827217535144401</v>
      </c>
      <c r="O1514">
        <v>14.958438587239799</v>
      </c>
      <c r="P1514">
        <v>-0.16372587882124501</v>
      </c>
      <c r="Q1514">
        <v>-0.596022535815111</v>
      </c>
      <c r="R1514">
        <v>0.26857077817262198</v>
      </c>
      <c r="S1514">
        <v>15.1133668507895</v>
      </c>
      <c r="T1514">
        <v>-0.79602730741743299</v>
      </c>
      <c r="U1514">
        <v>-6.7257948736200097</v>
      </c>
      <c r="V1514">
        <v>0.43644932684978699</v>
      </c>
      <c r="W1514">
        <v>0.70393597244008699</v>
      </c>
      <c r="X1514">
        <v>0</v>
      </c>
      <c r="Y1514">
        <v>0</v>
      </c>
    </row>
    <row r="1515" spans="1:25" x14ac:dyDescent="0.2">
      <c r="A1515" t="s">
        <v>5668</v>
      </c>
      <c r="B1515" t="s">
        <v>5669</v>
      </c>
      <c r="C1515" t="s">
        <v>5670</v>
      </c>
      <c r="D1515" t="s">
        <v>5671</v>
      </c>
      <c r="E1515" t="s">
        <v>5669</v>
      </c>
      <c r="F1515" t="s">
        <v>28</v>
      </c>
      <c r="G1515" t="s">
        <v>5669</v>
      </c>
      <c r="H1515" t="str">
        <f>"cct-5"</f>
        <v>cct-5</v>
      </c>
      <c r="I1515" t="s">
        <v>5671</v>
      </c>
      <c r="J1515">
        <v>14.8930118292594</v>
      </c>
      <c r="K1515">
        <v>14.600909047935</v>
      </c>
      <c r="L1515">
        <v>14.918155973118299</v>
      </c>
      <c r="M1515">
        <v>14.3392827403986</v>
      </c>
      <c r="N1515">
        <v>14.876640338638</v>
      </c>
      <c r="O1515">
        <v>14.7904518720828</v>
      </c>
      <c r="P1515">
        <v>-0.13523396639777199</v>
      </c>
      <c r="Q1515">
        <v>-0.51716383332064197</v>
      </c>
      <c r="R1515">
        <v>0.24669590052509799</v>
      </c>
      <c r="S1515">
        <v>14.6797911955445</v>
      </c>
      <c r="T1515">
        <v>-0.74420858846110005</v>
      </c>
      <c r="U1515">
        <v>-6.7662689553638504</v>
      </c>
      <c r="V1515">
        <v>0.46641115359330299</v>
      </c>
      <c r="W1515">
        <v>0.73153117908080401</v>
      </c>
      <c r="X1515">
        <v>0</v>
      </c>
      <c r="Y1515">
        <v>0</v>
      </c>
    </row>
    <row r="1516" spans="1:25" x14ac:dyDescent="0.2">
      <c r="A1516" t="s">
        <v>5672</v>
      </c>
      <c r="B1516" t="s">
        <v>5673</v>
      </c>
      <c r="C1516" t="s">
        <v>5674</v>
      </c>
      <c r="D1516" t="s">
        <v>5675</v>
      </c>
      <c r="E1516" t="s">
        <v>5673</v>
      </c>
      <c r="F1516" t="s">
        <v>28</v>
      </c>
      <c r="G1516" t="s">
        <v>5673</v>
      </c>
      <c r="H1516" t="str">
        <f>"rpl-6"</f>
        <v>rpl-6</v>
      </c>
      <c r="I1516" t="s">
        <v>5675</v>
      </c>
      <c r="J1516">
        <v>21.186681059009299</v>
      </c>
      <c r="K1516">
        <v>21.2439646041705</v>
      </c>
      <c r="L1516">
        <v>21.263867063700602</v>
      </c>
      <c r="M1516">
        <v>21.195000079913001</v>
      </c>
      <c r="N1516">
        <v>21.3327054919205</v>
      </c>
      <c r="O1516">
        <v>20.872482421392998</v>
      </c>
      <c r="P1516">
        <v>-9.8108244551312396E-2</v>
      </c>
      <c r="Q1516">
        <v>-0.53694602765515298</v>
      </c>
      <c r="R1516">
        <v>0.34072953855252802</v>
      </c>
      <c r="S1516">
        <v>21.0421389456403</v>
      </c>
      <c r="T1516">
        <v>-0.46988762295205599</v>
      </c>
      <c r="U1516">
        <v>-6.9370893368779498</v>
      </c>
      <c r="V1516">
        <v>0.64411066792966298</v>
      </c>
      <c r="W1516">
        <v>0.837704281951688</v>
      </c>
      <c r="X1516">
        <v>0</v>
      </c>
      <c r="Y1516">
        <v>0</v>
      </c>
    </row>
    <row r="1517" spans="1:25" x14ac:dyDescent="0.2">
      <c r="A1517" t="s">
        <v>5676</v>
      </c>
      <c r="B1517" t="s">
        <v>5677</v>
      </c>
      <c r="C1517" t="s">
        <v>5678</v>
      </c>
      <c r="D1517" t="s">
        <v>5679</v>
      </c>
      <c r="E1517" t="s">
        <v>5677</v>
      </c>
      <c r="F1517" t="s">
        <v>28</v>
      </c>
      <c r="G1517" t="s">
        <v>5677</v>
      </c>
      <c r="H1517" t="str">
        <f>"C05D11.1"</f>
        <v>C05D11.1</v>
      </c>
      <c r="I1517" t="s">
        <v>5679</v>
      </c>
      <c r="J1517">
        <v>11.0975074795717</v>
      </c>
      <c r="K1517">
        <v>11.3616161734451</v>
      </c>
      <c r="L1517">
        <v>11.986003258012101</v>
      </c>
      <c r="M1517">
        <v>11.845962163843399</v>
      </c>
      <c r="N1517">
        <v>12.592461307367101</v>
      </c>
      <c r="O1517">
        <v>11.555213333200401</v>
      </c>
      <c r="P1517">
        <v>0.51616996446065899</v>
      </c>
      <c r="Q1517">
        <v>-0.14642477602705101</v>
      </c>
      <c r="R1517">
        <v>1.17876470494837</v>
      </c>
      <c r="S1517">
        <v>12.300742414117799</v>
      </c>
      <c r="T1517">
        <v>1.65232043971309</v>
      </c>
      <c r="U1517">
        <v>-5.7237308101359003</v>
      </c>
      <c r="V1517">
        <v>0.118082328033303</v>
      </c>
      <c r="W1517">
        <v>0.35348656432416597</v>
      </c>
      <c r="X1517">
        <v>0</v>
      </c>
      <c r="Y1517">
        <v>0</v>
      </c>
    </row>
    <row r="1518" spans="1:25" x14ac:dyDescent="0.2">
      <c r="A1518" t="s">
        <v>5680</v>
      </c>
      <c r="B1518" t="s">
        <v>5681</v>
      </c>
      <c r="C1518" t="s">
        <v>5682</v>
      </c>
      <c r="D1518" t="s">
        <v>5683</v>
      </c>
      <c r="E1518" t="s">
        <v>5681</v>
      </c>
      <c r="F1518" t="s">
        <v>28</v>
      </c>
      <c r="G1518" t="s">
        <v>5681</v>
      </c>
      <c r="H1518" t="str">
        <f>"rps-14"</f>
        <v>rps-14</v>
      </c>
      <c r="I1518" t="s">
        <v>5683</v>
      </c>
      <c r="J1518">
        <v>22.388012525095299</v>
      </c>
      <c r="K1518">
        <v>22.467444666873099</v>
      </c>
      <c r="L1518">
        <v>22.4610362335819</v>
      </c>
      <c r="M1518">
        <v>22.507404606550299</v>
      </c>
      <c r="N1518">
        <v>22.114671577715701</v>
      </c>
      <c r="O1518">
        <v>21.886974877327301</v>
      </c>
      <c r="P1518">
        <v>-0.26914745465231599</v>
      </c>
      <c r="Q1518">
        <v>-0.71705652914687401</v>
      </c>
      <c r="R1518">
        <v>0.17876161984224101</v>
      </c>
      <c r="S1518">
        <v>22.113799850500801</v>
      </c>
      <c r="T1518">
        <v>-1.26296969265979</v>
      </c>
      <c r="U1518">
        <v>-6.25159459822562</v>
      </c>
      <c r="V1518">
        <v>0.22280907375885001</v>
      </c>
      <c r="W1518">
        <v>0.49070828443176601</v>
      </c>
      <c r="X1518">
        <v>0</v>
      </c>
      <c r="Y1518">
        <v>0</v>
      </c>
    </row>
    <row r="1519" spans="1:25" x14ac:dyDescent="0.2">
      <c r="A1519" t="s">
        <v>5684</v>
      </c>
      <c r="B1519" t="s">
        <v>5685</v>
      </c>
      <c r="C1519" t="s">
        <v>5686</v>
      </c>
      <c r="D1519" t="s">
        <v>5687</v>
      </c>
      <c r="E1519" t="s">
        <v>5685</v>
      </c>
      <c r="F1519" t="s">
        <v>28</v>
      </c>
      <c r="G1519" t="s">
        <v>5685</v>
      </c>
      <c r="H1519" t="str">
        <f>"rps-3"</f>
        <v>rps-3</v>
      </c>
      <c r="I1519" t="s">
        <v>5687</v>
      </c>
      <c r="J1519">
        <v>21.072654963019701</v>
      </c>
      <c r="K1519">
        <v>21.0948950637667</v>
      </c>
      <c r="L1519">
        <v>21.032983099033</v>
      </c>
      <c r="M1519">
        <v>20.975823293049999</v>
      </c>
      <c r="N1519">
        <v>20.514314148247401</v>
      </c>
      <c r="O1519">
        <v>20.194416644419402</v>
      </c>
      <c r="P1519">
        <v>-0.50532634670087595</v>
      </c>
      <c r="Q1519">
        <v>-1.0328027252480201</v>
      </c>
      <c r="R1519">
        <v>2.21500318462713E-2</v>
      </c>
      <c r="S1519">
        <v>20.592446792400501</v>
      </c>
      <c r="T1519">
        <v>-2.0135454610929902</v>
      </c>
      <c r="U1519">
        <v>-5.1384527056262304</v>
      </c>
      <c r="V1519">
        <v>5.9346550347455201E-2</v>
      </c>
      <c r="W1519">
        <v>0.24548128779488201</v>
      </c>
      <c r="X1519">
        <v>0</v>
      </c>
      <c r="Y1519">
        <v>0</v>
      </c>
    </row>
    <row r="1520" spans="1:25" x14ac:dyDescent="0.2">
      <c r="A1520" t="s">
        <v>5688</v>
      </c>
      <c r="B1520" t="s">
        <v>5689</v>
      </c>
      <c r="C1520" t="s">
        <v>5690</v>
      </c>
      <c r="D1520" t="s">
        <v>5691</v>
      </c>
      <c r="E1520" t="s">
        <v>5689</v>
      </c>
      <c r="F1520" t="s">
        <v>28</v>
      </c>
      <c r="G1520" t="s">
        <v>5689</v>
      </c>
      <c r="H1520" t="str">
        <f>"rps-1"</f>
        <v>rps-1</v>
      </c>
      <c r="I1520" t="s">
        <v>5691</v>
      </c>
      <c r="J1520">
        <v>20.945620111662901</v>
      </c>
      <c r="K1520">
        <v>20.827611864077799</v>
      </c>
      <c r="L1520">
        <v>20.978100629397598</v>
      </c>
      <c r="M1520">
        <v>20.9049997210128</v>
      </c>
      <c r="N1520">
        <v>20.5317066645182</v>
      </c>
      <c r="O1520">
        <v>20.3010790776741</v>
      </c>
      <c r="P1520">
        <v>-0.33784904731112397</v>
      </c>
      <c r="Q1520">
        <v>-0.71795857389767104</v>
      </c>
      <c r="R1520">
        <v>4.2260479275422598E-2</v>
      </c>
      <c r="S1520">
        <v>20.698496247480101</v>
      </c>
      <c r="T1520">
        <v>-1.8681272584194299</v>
      </c>
      <c r="U1520">
        <v>-5.3824052478425797</v>
      </c>
      <c r="V1520">
        <v>7.8207882281641994E-2</v>
      </c>
      <c r="W1520">
        <v>0.28755756942877198</v>
      </c>
      <c r="X1520">
        <v>0</v>
      </c>
      <c r="Y1520">
        <v>0</v>
      </c>
    </row>
    <row r="1521" spans="1:25" x14ac:dyDescent="0.2">
      <c r="A1521" t="s">
        <v>5692</v>
      </c>
      <c r="B1521" t="s">
        <v>5693</v>
      </c>
      <c r="C1521" t="s">
        <v>5694</v>
      </c>
      <c r="D1521" t="s">
        <v>5695</v>
      </c>
      <c r="E1521" t="s">
        <v>5693</v>
      </c>
      <c r="F1521" t="s">
        <v>28</v>
      </c>
      <c r="G1521" t="s">
        <v>5693</v>
      </c>
      <c r="H1521" t="str">
        <f>"rps-8"</f>
        <v>rps-8</v>
      </c>
      <c r="I1521" t="s">
        <v>5695</v>
      </c>
      <c r="J1521">
        <v>20.141698490414498</v>
      </c>
      <c r="K1521">
        <v>20.3210400494381</v>
      </c>
      <c r="L1521">
        <v>20.339678904581799</v>
      </c>
      <c r="M1521">
        <v>20.156183162685998</v>
      </c>
      <c r="N1521">
        <v>19.8875223195489</v>
      </c>
      <c r="O1521">
        <v>19.600692430116901</v>
      </c>
      <c r="P1521">
        <v>-0.38600651069421199</v>
      </c>
      <c r="Q1521">
        <v>-0.76161857411376399</v>
      </c>
      <c r="R1521">
        <v>-1.0394447274661199E-2</v>
      </c>
      <c r="S1521">
        <v>20.0162771219712</v>
      </c>
      <c r="T1521">
        <v>-2.1599694622504502</v>
      </c>
      <c r="U1521">
        <v>-4.8813802319892803</v>
      </c>
      <c r="V1521">
        <v>4.4593942198791398E-2</v>
      </c>
      <c r="W1521">
        <v>0.209694635715126</v>
      </c>
      <c r="X1521">
        <v>0</v>
      </c>
      <c r="Y1521">
        <v>0</v>
      </c>
    </row>
    <row r="1522" spans="1:25" x14ac:dyDescent="0.2">
      <c r="A1522" t="s">
        <v>5696</v>
      </c>
      <c r="B1522" t="s">
        <v>5697</v>
      </c>
      <c r="C1522" t="s">
        <v>5698</v>
      </c>
      <c r="D1522" t="s">
        <v>5699</v>
      </c>
      <c r="E1522" t="s">
        <v>5697</v>
      </c>
      <c r="F1522" t="s">
        <v>28</v>
      </c>
      <c r="G1522" t="s">
        <v>5697</v>
      </c>
      <c r="H1522" t="str">
        <f>"rpl-23"</f>
        <v>rpl-23</v>
      </c>
      <c r="I1522" t="s">
        <v>5699</v>
      </c>
      <c r="J1522">
        <v>21.226216979359901</v>
      </c>
      <c r="K1522">
        <v>21.206042134982201</v>
      </c>
      <c r="L1522">
        <v>21.203273304040401</v>
      </c>
      <c r="M1522">
        <v>21.2029054628286</v>
      </c>
      <c r="N1522">
        <v>21.231309318050801</v>
      </c>
      <c r="O1522">
        <v>20.641422675872199</v>
      </c>
      <c r="P1522">
        <v>-0.18663165387698299</v>
      </c>
      <c r="Q1522">
        <v>-0.60108682328761698</v>
      </c>
      <c r="R1522">
        <v>0.22782351553365099</v>
      </c>
      <c r="S1522">
        <v>20.807530542674801</v>
      </c>
      <c r="T1522">
        <v>-0.94645562559456198</v>
      </c>
      <c r="U1522">
        <v>-6.5940966800740801</v>
      </c>
      <c r="V1522">
        <v>0.356522192989496</v>
      </c>
      <c r="W1522">
        <v>0.63568395396592903</v>
      </c>
      <c r="X1522">
        <v>0</v>
      </c>
      <c r="Y1522">
        <v>0</v>
      </c>
    </row>
    <row r="1523" spans="1:25" x14ac:dyDescent="0.2">
      <c r="A1523" t="s">
        <v>5700</v>
      </c>
      <c r="B1523" t="s">
        <v>5701</v>
      </c>
      <c r="C1523" t="s">
        <v>5702</v>
      </c>
      <c r="D1523" t="s">
        <v>5703</v>
      </c>
      <c r="E1523" t="s">
        <v>5701</v>
      </c>
      <c r="F1523" t="s">
        <v>28</v>
      </c>
      <c r="G1523" t="s">
        <v>5701</v>
      </c>
      <c r="H1523" t="str">
        <f>"rpl-25.1"</f>
        <v>rpl-25.1</v>
      </c>
      <c r="I1523" t="s">
        <v>5703</v>
      </c>
      <c r="J1523">
        <v>12.237496734370801</v>
      </c>
      <c r="K1523">
        <v>12.294649569956</v>
      </c>
      <c r="L1523">
        <v>12.768964512584301</v>
      </c>
      <c r="M1523">
        <v>11.861883553262301</v>
      </c>
      <c r="N1523">
        <v>10.3615765961482</v>
      </c>
      <c r="O1523">
        <v>12.266679474021499</v>
      </c>
      <c r="P1523">
        <v>-0.93699039782635696</v>
      </c>
      <c r="Q1523">
        <v>-2.4742042247590699</v>
      </c>
      <c r="R1523">
        <v>0.60022342910635695</v>
      </c>
      <c r="S1523">
        <v>13.215169458736501</v>
      </c>
      <c r="T1523">
        <v>-1.2811305019207899</v>
      </c>
      <c r="U1523">
        <v>-6.2294040070848302</v>
      </c>
      <c r="V1523">
        <v>0.21650184865416</v>
      </c>
      <c r="W1523">
        <v>0.48319411215407099</v>
      </c>
      <c r="X1523">
        <v>0</v>
      </c>
      <c r="Y1523">
        <v>0</v>
      </c>
    </row>
    <row r="1524" spans="1:25" x14ac:dyDescent="0.2">
      <c r="A1524" t="s">
        <v>5704</v>
      </c>
      <c r="B1524" t="s">
        <v>5705</v>
      </c>
      <c r="C1524" t="s">
        <v>5706</v>
      </c>
      <c r="D1524" t="s">
        <v>5707</v>
      </c>
      <c r="E1524" t="s">
        <v>5705</v>
      </c>
      <c r="F1524" t="s">
        <v>28</v>
      </c>
      <c r="G1524" t="s">
        <v>5705</v>
      </c>
      <c r="H1524" t="str">
        <f>"rpl-36.A"</f>
        <v>rpl-36.A</v>
      </c>
      <c r="I1524" t="s">
        <v>5707</v>
      </c>
      <c r="J1524">
        <v>18.102656214091699</v>
      </c>
      <c r="K1524">
        <v>17.638803132370899</v>
      </c>
      <c r="L1524">
        <v>17.592742512514199</v>
      </c>
      <c r="M1524">
        <v>17.188209231729399</v>
      </c>
      <c r="N1524">
        <v>17.547313495665399</v>
      </c>
      <c r="O1524">
        <v>17.7991497523115</v>
      </c>
      <c r="P1524">
        <v>-0.26650979309017198</v>
      </c>
      <c r="Q1524">
        <v>-1.3901535189087699</v>
      </c>
      <c r="R1524">
        <v>0.85713393272842098</v>
      </c>
      <c r="S1524">
        <v>17.2853004934803</v>
      </c>
      <c r="T1524">
        <v>-0.49851364969619399</v>
      </c>
      <c r="U1524">
        <v>-6.9227509281781296</v>
      </c>
      <c r="V1524">
        <v>0.62419386186581105</v>
      </c>
      <c r="W1524">
        <v>0.82566131158997902</v>
      </c>
      <c r="X1524">
        <v>0</v>
      </c>
      <c r="Y1524">
        <v>0</v>
      </c>
    </row>
    <row r="1525" spans="1:25" x14ac:dyDescent="0.2">
      <c r="A1525" t="s">
        <v>5708</v>
      </c>
      <c r="B1525" t="s">
        <v>5709</v>
      </c>
      <c r="C1525" t="s">
        <v>5710</v>
      </c>
      <c r="D1525" t="s">
        <v>5711</v>
      </c>
      <c r="E1525" t="s">
        <v>5709</v>
      </c>
      <c r="F1525" t="s">
        <v>28</v>
      </c>
      <c r="G1525" t="s">
        <v>5709</v>
      </c>
      <c r="H1525" t="str">
        <f>"C36E8.1"</f>
        <v>C36E8.1</v>
      </c>
      <c r="I1525" t="s">
        <v>5711</v>
      </c>
      <c r="J1525" t="s">
        <v>29</v>
      </c>
      <c r="K1525" t="s">
        <v>29</v>
      </c>
      <c r="L1525" t="s">
        <v>29</v>
      </c>
      <c r="M1525" t="s">
        <v>29</v>
      </c>
      <c r="N1525" t="s">
        <v>29</v>
      </c>
      <c r="O1525" t="s">
        <v>29</v>
      </c>
      <c r="P1525" t="s">
        <v>29</v>
      </c>
      <c r="Q1525" t="s">
        <v>29</v>
      </c>
      <c r="R1525" t="s">
        <v>29</v>
      </c>
      <c r="S1525">
        <v>10.358873211494</v>
      </c>
      <c r="T1525" t="s">
        <v>29</v>
      </c>
      <c r="U1525" t="s">
        <v>29</v>
      </c>
      <c r="V1525" t="s">
        <v>29</v>
      </c>
      <c r="W1525" t="s">
        <v>29</v>
      </c>
      <c r="X1525" t="s">
        <v>29</v>
      </c>
      <c r="Y1525" t="s">
        <v>29</v>
      </c>
    </row>
    <row r="1526" spans="1:25" x14ac:dyDescent="0.2">
      <c r="A1526" t="s">
        <v>5712</v>
      </c>
      <c r="B1526" t="s">
        <v>5713</v>
      </c>
      <c r="C1526" t="s">
        <v>5714</v>
      </c>
      <c r="D1526" t="s">
        <v>5715</v>
      </c>
      <c r="E1526" t="s">
        <v>5713</v>
      </c>
      <c r="F1526" t="s">
        <v>28</v>
      </c>
      <c r="G1526" t="s">
        <v>5713</v>
      </c>
      <c r="H1526" t="str">
        <f>"erd-2.1"</f>
        <v>erd-2.1</v>
      </c>
      <c r="I1526" t="s">
        <v>5715</v>
      </c>
      <c r="J1526">
        <v>12.1902214637621</v>
      </c>
      <c r="K1526">
        <v>12.079261790757</v>
      </c>
      <c r="L1526">
        <v>12.7766289412516</v>
      </c>
      <c r="M1526">
        <v>12.5740732278864</v>
      </c>
      <c r="N1526">
        <v>13.9254072062886</v>
      </c>
      <c r="O1526">
        <v>12.7566878002536</v>
      </c>
      <c r="P1526">
        <v>0.73668534621924997</v>
      </c>
      <c r="Q1526">
        <v>-5.4362758827638302E-2</v>
      </c>
      <c r="R1526">
        <v>1.52773345126614</v>
      </c>
      <c r="S1526">
        <v>13.993850231601201</v>
      </c>
      <c r="T1526">
        <v>1.9752799999884301</v>
      </c>
      <c r="U1526">
        <v>-5.2129703978486299</v>
      </c>
      <c r="V1526">
        <v>6.5865161391127802E-2</v>
      </c>
      <c r="W1526">
        <v>0.26105387961842902</v>
      </c>
      <c r="X1526">
        <v>0</v>
      </c>
      <c r="Y1526">
        <v>0</v>
      </c>
    </row>
    <row r="1527" spans="1:25" x14ac:dyDescent="0.2">
      <c r="A1527" t="s">
        <v>5716</v>
      </c>
      <c r="B1527" t="s">
        <v>5717</v>
      </c>
      <c r="C1527" t="s">
        <v>5718</v>
      </c>
      <c r="D1527" t="s">
        <v>5719</v>
      </c>
      <c r="E1527" t="s">
        <v>5717</v>
      </c>
      <c r="F1527" t="s">
        <v>28</v>
      </c>
      <c r="G1527" t="s">
        <v>5717</v>
      </c>
      <c r="H1527" t="str">
        <f>"gsp-2"</f>
        <v>gsp-2</v>
      </c>
      <c r="I1527" t="s">
        <v>5719</v>
      </c>
      <c r="J1527">
        <v>13.630179762734899</v>
      </c>
      <c r="K1527">
        <v>13.969715753179001</v>
      </c>
      <c r="L1527">
        <v>13.586748976985501</v>
      </c>
      <c r="M1527">
        <v>13.8678128857375</v>
      </c>
      <c r="N1527">
        <v>13.767277592646</v>
      </c>
      <c r="O1527">
        <v>14.0437307103295</v>
      </c>
      <c r="P1527">
        <v>0.164058898604587</v>
      </c>
      <c r="Q1527">
        <v>-0.35355967499843</v>
      </c>
      <c r="R1527">
        <v>0.681677472207604</v>
      </c>
      <c r="S1527">
        <v>14.0838822074427</v>
      </c>
      <c r="T1527">
        <v>0.66616598447514297</v>
      </c>
      <c r="U1527">
        <v>-6.8223766893503699</v>
      </c>
      <c r="V1527">
        <v>0.51380202082229698</v>
      </c>
      <c r="W1527">
        <v>0.76099762210093502</v>
      </c>
      <c r="X1527">
        <v>0</v>
      </c>
      <c r="Y1527">
        <v>0</v>
      </c>
    </row>
    <row r="1528" spans="1:25" x14ac:dyDescent="0.2">
      <c r="A1528" t="s">
        <v>5720</v>
      </c>
      <c r="B1528" t="s">
        <v>5721</v>
      </c>
      <c r="C1528" t="s">
        <v>5722</v>
      </c>
      <c r="D1528" t="s">
        <v>5723</v>
      </c>
      <c r="E1528" t="s">
        <v>5721</v>
      </c>
      <c r="F1528" t="s">
        <v>28</v>
      </c>
      <c r="G1528" t="s">
        <v>5721</v>
      </c>
      <c r="H1528" t="str">
        <f>"dpy-27"</f>
        <v>dpy-27</v>
      </c>
      <c r="I1528" t="s">
        <v>5723</v>
      </c>
      <c r="J1528">
        <v>11.4981758012244</v>
      </c>
      <c r="K1528">
        <v>11.553407448387301</v>
      </c>
      <c r="L1528">
        <v>10.835202712289</v>
      </c>
      <c r="M1528">
        <v>11.8697138245345</v>
      </c>
      <c r="N1528">
        <v>12.152935534231601</v>
      </c>
      <c r="O1528">
        <v>11.665961404352201</v>
      </c>
      <c r="P1528">
        <v>0.60060826707250903</v>
      </c>
      <c r="Q1528">
        <v>6.8592563392720199E-2</v>
      </c>
      <c r="R1528">
        <v>1.1326239707523</v>
      </c>
      <c r="S1528">
        <v>11.447018149262201</v>
      </c>
      <c r="T1528">
        <v>2.4077337469198401</v>
      </c>
      <c r="U1528">
        <v>-4.4621835972373196</v>
      </c>
      <c r="V1528">
        <v>2.9479224147809902E-2</v>
      </c>
      <c r="W1528">
        <v>0.168402971180802</v>
      </c>
      <c r="X1528">
        <v>0</v>
      </c>
      <c r="Y1528">
        <v>0</v>
      </c>
    </row>
    <row r="1529" spans="1:25" x14ac:dyDescent="0.2">
      <c r="A1529" t="s">
        <v>5724</v>
      </c>
      <c r="B1529" t="s">
        <v>5725</v>
      </c>
      <c r="C1529" t="s">
        <v>5726</v>
      </c>
      <c r="D1529" t="s">
        <v>5727</v>
      </c>
      <c r="E1529" t="s">
        <v>5725</v>
      </c>
      <c r="F1529" t="s">
        <v>28</v>
      </c>
      <c r="G1529" t="s">
        <v>5725</v>
      </c>
      <c r="H1529" t="str">
        <f>"mag-1"</f>
        <v>mag-1</v>
      </c>
      <c r="I1529" t="s">
        <v>5727</v>
      </c>
      <c r="J1529" t="s">
        <v>29</v>
      </c>
      <c r="K1529" t="s">
        <v>29</v>
      </c>
      <c r="L1529" t="s">
        <v>29</v>
      </c>
      <c r="M1529" t="s">
        <v>29</v>
      </c>
      <c r="N1529" t="s">
        <v>29</v>
      </c>
      <c r="O1529">
        <v>12.5701051540445</v>
      </c>
      <c r="P1529" t="s">
        <v>29</v>
      </c>
      <c r="Q1529" t="s">
        <v>29</v>
      </c>
      <c r="R1529" t="s">
        <v>29</v>
      </c>
      <c r="S1529">
        <v>12.4361245801582</v>
      </c>
      <c r="T1529" t="s">
        <v>29</v>
      </c>
      <c r="U1529" t="s">
        <v>29</v>
      </c>
      <c r="V1529" t="s">
        <v>29</v>
      </c>
      <c r="W1529" t="s">
        <v>29</v>
      </c>
      <c r="X1529" t="s">
        <v>29</v>
      </c>
      <c r="Y1529" t="s">
        <v>29</v>
      </c>
    </row>
    <row r="1530" spans="1:25" x14ac:dyDescent="0.2">
      <c r="A1530" t="s">
        <v>5728</v>
      </c>
      <c r="B1530" t="s">
        <v>5729</v>
      </c>
      <c r="C1530" t="s">
        <v>5730</v>
      </c>
      <c r="D1530" t="s">
        <v>5731</v>
      </c>
      <c r="E1530" t="s">
        <v>5729</v>
      </c>
      <c r="F1530" t="s">
        <v>28</v>
      </c>
      <c r="G1530" t="s">
        <v>5729</v>
      </c>
      <c r="H1530" t="str">
        <f>"rps-5"</f>
        <v>rps-5</v>
      </c>
      <c r="I1530" t="s">
        <v>5731</v>
      </c>
      <c r="J1530">
        <v>16.259868032634699</v>
      </c>
      <c r="K1530">
        <v>16.513193720220901</v>
      </c>
      <c r="L1530">
        <v>16.867326069933402</v>
      </c>
      <c r="M1530">
        <v>16.539408620462702</v>
      </c>
      <c r="N1530">
        <v>16.259164762386298</v>
      </c>
      <c r="O1530">
        <v>16.5493895191372</v>
      </c>
      <c r="P1530">
        <v>-9.7474973600938597E-2</v>
      </c>
      <c r="Q1530">
        <v>-0.59276266049277804</v>
      </c>
      <c r="R1530">
        <v>0.39781271329090101</v>
      </c>
      <c r="S1530">
        <v>16.961205091435101</v>
      </c>
      <c r="T1530">
        <v>-0.413645313327202</v>
      </c>
      <c r="U1530">
        <v>-6.9628469557835597</v>
      </c>
      <c r="V1530">
        <v>0.68404891226180697</v>
      </c>
      <c r="W1530">
        <v>0.85743265042369798</v>
      </c>
      <c r="X1530">
        <v>0</v>
      </c>
      <c r="Y1530">
        <v>0</v>
      </c>
    </row>
    <row r="1531" spans="1:25" x14ac:dyDescent="0.2">
      <c r="A1531" t="s">
        <v>5732</v>
      </c>
      <c r="B1531" t="s">
        <v>5733</v>
      </c>
      <c r="C1531" t="s">
        <v>5734</v>
      </c>
      <c r="D1531" t="s">
        <v>5735</v>
      </c>
      <c r="E1531" t="s">
        <v>5733</v>
      </c>
      <c r="F1531" t="s">
        <v>28</v>
      </c>
      <c r="G1531" t="s">
        <v>5733</v>
      </c>
      <c r="H1531" t="str">
        <f>"imp-2"</f>
        <v>imp-2</v>
      </c>
      <c r="I1531" t="s">
        <v>5735</v>
      </c>
      <c r="J1531">
        <v>15.7779454488167</v>
      </c>
      <c r="K1531">
        <v>15.689184277641999</v>
      </c>
      <c r="L1531">
        <v>15.572724385480999</v>
      </c>
      <c r="M1531">
        <v>15.7158962141662</v>
      </c>
      <c r="N1531">
        <v>15.801483554580599</v>
      </c>
      <c r="O1531">
        <v>15.638847671535499</v>
      </c>
      <c r="P1531">
        <v>3.8791109447552999E-2</v>
      </c>
      <c r="Q1531">
        <v>-0.42077173675174601</v>
      </c>
      <c r="R1531">
        <v>0.49835395564685198</v>
      </c>
      <c r="S1531">
        <v>15.826395704027201</v>
      </c>
      <c r="T1531">
        <v>0.17741069756774999</v>
      </c>
      <c r="U1531">
        <v>-7.03560636529481</v>
      </c>
      <c r="V1531">
        <v>0.861178464490991</v>
      </c>
      <c r="W1531">
        <v>0.94575589721690401</v>
      </c>
      <c r="X1531">
        <v>0</v>
      </c>
      <c r="Y1531">
        <v>0</v>
      </c>
    </row>
    <row r="1532" spans="1:25" x14ac:dyDescent="0.2">
      <c r="A1532" t="s">
        <v>5736</v>
      </c>
      <c r="B1532" t="s">
        <v>5737</v>
      </c>
      <c r="C1532" t="s">
        <v>5738</v>
      </c>
      <c r="D1532" t="s">
        <v>5739</v>
      </c>
      <c r="E1532" t="s">
        <v>5737</v>
      </c>
      <c r="F1532" t="s">
        <v>28</v>
      </c>
      <c r="G1532" t="s">
        <v>5737</v>
      </c>
      <c r="H1532" t="str">
        <f>"rpl-33"</f>
        <v>rpl-33</v>
      </c>
      <c r="I1532" t="s">
        <v>5739</v>
      </c>
      <c r="J1532">
        <v>20.123095664327899</v>
      </c>
      <c r="K1532">
        <v>20.101518516146101</v>
      </c>
      <c r="L1532">
        <v>19.992096622216501</v>
      </c>
      <c r="M1532">
        <v>19.874365102253801</v>
      </c>
      <c r="N1532">
        <v>19.674629345913399</v>
      </c>
      <c r="O1532">
        <v>19.390869715852698</v>
      </c>
      <c r="P1532">
        <v>-0.42561554622354297</v>
      </c>
      <c r="Q1532">
        <v>-0.97533319975888799</v>
      </c>
      <c r="R1532">
        <v>0.124102107311801</v>
      </c>
      <c r="S1532">
        <v>19.493548000991499</v>
      </c>
      <c r="T1532">
        <v>-1.62731006999707</v>
      </c>
      <c r="U1532">
        <v>-5.7585393654713899</v>
      </c>
      <c r="V1532">
        <v>0.12114999356253001</v>
      </c>
      <c r="W1532">
        <v>0.36016845418031501</v>
      </c>
      <c r="X1532">
        <v>0</v>
      </c>
      <c r="Y1532">
        <v>0</v>
      </c>
    </row>
    <row r="1533" spans="1:25" x14ac:dyDescent="0.2">
      <c r="A1533" t="s">
        <v>5740</v>
      </c>
      <c r="B1533" t="s">
        <v>5741</v>
      </c>
      <c r="C1533" t="s">
        <v>5742</v>
      </c>
      <c r="D1533" t="s">
        <v>5743</v>
      </c>
      <c r="E1533" t="s">
        <v>5741</v>
      </c>
      <c r="F1533" t="s">
        <v>28</v>
      </c>
      <c r="G1533" t="s">
        <v>5741</v>
      </c>
      <c r="H1533" t="str">
        <f>"rpl-36"</f>
        <v>rpl-36</v>
      </c>
      <c r="I1533" t="s">
        <v>5743</v>
      </c>
      <c r="J1533">
        <v>15.0468750797281</v>
      </c>
      <c r="K1533">
        <v>15.638629325296799</v>
      </c>
      <c r="L1533">
        <v>15.3098066413379</v>
      </c>
      <c r="M1533">
        <v>15.286088421833799</v>
      </c>
      <c r="N1533">
        <v>14.7530891214872</v>
      </c>
      <c r="O1533">
        <v>16.5387776079601</v>
      </c>
      <c r="P1533">
        <v>0.19421470163943</v>
      </c>
      <c r="Q1533">
        <v>-0.62875941779925903</v>
      </c>
      <c r="R1533">
        <v>1.0171888210781199</v>
      </c>
      <c r="S1533">
        <v>15.3540299928562</v>
      </c>
      <c r="T1533">
        <v>0.496007721377144</v>
      </c>
      <c r="U1533">
        <v>-6.9240390676433199</v>
      </c>
      <c r="V1533">
        <v>0.62592582471835301</v>
      </c>
      <c r="W1533">
        <v>0.82694382201929395</v>
      </c>
      <c r="X1533">
        <v>0</v>
      </c>
      <c r="Y1533">
        <v>0</v>
      </c>
    </row>
    <row r="1534" spans="1:25" x14ac:dyDescent="0.2">
      <c r="A1534" t="s">
        <v>5744</v>
      </c>
      <c r="B1534" t="s">
        <v>5745</v>
      </c>
      <c r="C1534" t="s">
        <v>5746</v>
      </c>
      <c r="D1534" t="s">
        <v>5747</v>
      </c>
      <c r="E1534" t="s">
        <v>5745</v>
      </c>
      <c r="F1534" t="s">
        <v>28</v>
      </c>
      <c r="G1534" t="s">
        <v>5745</v>
      </c>
      <c r="H1534" t="str">
        <f>"elo-3"</f>
        <v>elo-3</v>
      </c>
      <c r="I1534" t="s">
        <v>5747</v>
      </c>
      <c r="J1534">
        <v>14.74854248199</v>
      </c>
      <c r="K1534">
        <v>15.0510377691306</v>
      </c>
      <c r="L1534">
        <v>15.186858919414</v>
      </c>
      <c r="M1534" t="s">
        <v>29</v>
      </c>
      <c r="N1534">
        <v>14.064066836028401</v>
      </c>
      <c r="O1534" t="s">
        <v>29</v>
      </c>
      <c r="P1534">
        <v>-0.93141288748312201</v>
      </c>
      <c r="Q1534">
        <v>-1.62464095553673</v>
      </c>
      <c r="R1534">
        <v>-0.238184819429508</v>
      </c>
      <c r="S1534">
        <v>15.180311961025801</v>
      </c>
      <c r="T1534">
        <v>-2.8837525863612399</v>
      </c>
      <c r="U1534">
        <v>-3.28055040849567</v>
      </c>
      <c r="V1534">
        <v>1.2097397512261999E-2</v>
      </c>
      <c r="W1534">
        <v>0.10042074363495</v>
      </c>
      <c r="X1534">
        <v>0</v>
      </c>
      <c r="Y1534">
        <v>0</v>
      </c>
    </row>
    <row r="1535" spans="1:25" x14ac:dyDescent="0.2">
      <c r="A1535" t="s">
        <v>5748</v>
      </c>
      <c r="B1535" t="s">
        <v>5749</v>
      </c>
      <c r="C1535" t="s">
        <v>5750</v>
      </c>
      <c r="D1535" t="s">
        <v>5751</v>
      </c>
      <c r="E1535" t="s">
        <v>5749</v>
      </c>
      <c r="F1535" t="s">
        <v>28</v>
      </c>
      <c r="G1535" t="s">
        <v>5749</v>
      </c>
      <c r="H1535" t="str">
        <f>"rps-12"</f>
        <v>rps-12</v>
      </c>
      <c r="I1535" t="s">
        <v>5751</v>
      </c>
      <c r="J1535">
        <v>14.984446231114401</v>
      </c>
      <c r="K1535">
        <v>14.54155879706</v>
      </c>
      <c r="L1535">
        <v>15.078970260043601</v>
      </c>
      <c r="M1535">
        <v>14.250309605880201</v>
      </c>
      <c r="N1535">
        <v>14.606091509495499</v>
      </c>
      <c r="O1535">
        <v>15.185416470867199</v>
      </c>
      <c r="P1535">
        <v>-0.187719233991677</v>
      </c>
      <c r="Q1535">
        <v>-0.797907046434426</v>
      </c>
      <c r="R1535">
        <v>0.422468578451072</v>
      </c>
      <c r="S1535">
        <v>14.9590266468101</v>
      </c>
      <c r="T1535">
        <v>-0.64660306287459401</v>
      </c>
      <c r="U1535">
        <v>-6.8355166773932003</v>
      </c>
      <c r="V1535">
        <v>0.52609600297072101</v>
      </c>
      <c r="W1535">
        <v>0.770341181469824</v>
      </c>
      <c r="X1535">
        <v>0</v>
      </c>
      <c r="Y1535">
        <v>0</v>
      </c>
    </row>
    <row r="1536" spans="1:25" x14ac:dyDescent="0.2">
      <c r="A1536" t="s">
        <v>5752</v>
      </c>
      <c r="B1536" t="s">
        <v>5753</v>
      </c>
      <c r="C1536" t="s">
        <v>5754</v>
      </c>
      <c r="D1536" t="s">
        <v>5755</v>
      </c>
      <c r="E1536" t="s">
        <v>5753</v>
      </c>
      <c r="F1536" t="s">
        <v>28</v>
      </c>
      <c r="G1536" t="s">
        <v>5753</v>
      </c>
      <c r="H1536" t="str">
        <f>"rps-21"</f>
        <v>rps-21</v>
      </c>
      <c r="I1536" t="s">
        <v>5755</v>
      </c>
      <c r="J1536">
        <v>17.710208335565898</v>
      </c>
      <c r="K1536">
        <v>17.3886866306046</v>
      </c>
      <c r="L1536">
        <v>17.897845416359502</v>
      </c>
      <c r="M1536">
        <v>18.290960443671999</v>
      </c>
      <c r="N1536">
        <v>18.2087019992024</v>
      </c>
      <c r="O1536">
        <v>18.014602383625601</v>
      </c>
      <c r="P1536">
        <v>0.50584148132335804</v>
      </c>
      <c r="Q1536">
        <v>2.9952467897072801E-2</v>
      </c>
      <c r="R1536">
        <v>0.98173049474964402</v>
      </c>
      <c r="S1536">
        <v>17.757421173774599</v>
      </c>
      <c r="T1536">
        <v>2.2340931406632998</v>
      </c>
      <c r="U1536">
        <v>-4.7472225970409498</v>
      </c>
      <c r="V1536">
        <v>3.848057435702E-2</v>
      </c>
      <c r="W1536">
        <v>0.193832490646661</v>
      </c>
      <c r="X1536">
        <v>0</v>
      </c>
      <c r="Y1536">
        <v>0</v>
      </c>
    </row>
    <row r="1537" spans="1:25" x14ac:dyDescent="0.2">
      <c r="A1537" t="s">
        <v>5756</v>
      </c>
      <c r="B1537" t="s">
        <v>5757</v>
      </c>
      <c r="C1537" t="s">
        <v>5758</v>
      </c>
      <c r="D1537" t="s">
        <v>5759</v>
      </c>
      <c r="E1537" t="s">
        <v>5757</v>
      </c>
      <c r="F1537" t="s">
        <v>28</v>
      </c>
      <c r="G1537" t="s">
        <v>5757</v>
      </c>
      <c r="H1537" t="str">
        <f>"mrps-18C"</f>
        <v>mrps-18C</v>
      </c>
      <c r="I1537" t="s">
        <v>5759</v>
      </c>
      <c r="J1537">
        <v>15.898310506899</v>
      </c>
      <c r="K1537">
        <v>16.0681921030876</v>
      </c>
      <c r="L1537">
        <v>15.9977593046896</v>
      </c>
      <c r="M1537">
        <v>15.563125964066799</v>
      </c>
      <c r="N1537">
        <v>15.0637088906402</v>
      </c>
      <c r="O1537">
        <v>15.1915048910575</v>
      </c>
      <c r="P1537">
        <v>-0.71530738963720697</v>
      </c>
      <c r="Q1537">
        <v>-1.15620193432788</v>
      </c>
      <c r="R1537">
        <v>-0.27441284494653001</v>
      </c>
      <c r="S1537">
        <v>16.022463423841099</v>
      </c>
      <c r="T1537">
        <v>-3.4099695396768301</v>
      </c>
      <c r="U1537">
        <v>-2.3672171764737899</v>
      </c>
      <c r="V1537">
        <v>3.1427199609664301E-3</v>
      </c>
      <c r="W1537">
        <v>3.8930466698189503E-2</v>
      </c>
      <c r="X1537">
        <v>0</v>
      </c>
      <c r="Y1537">
        <v>0</v>
      </c>
    </row>
    <row r="1538" spans="1:25" x14ac:dyDescent="0.2">
      <c r="A1538" t="s">
        <v>5760</v>
      </c>
      <c r="B1538" t="s">
        <v>5761</v>
      </c>
      <c r="C1538" t="s">
        <v>5762</v>
      </c>
      <c r="D1538" t="s">
        <v>5763</v>
      </c>
      <c r="E1538" t="s">
        <v>5761</v>
      </c>
      <c r="F1538" t="s">
        <v>28</v>
      </c>
      <c r="G1538" t="s">
        <v>5761</v>
      </c>
      <c r="H1538" t="str">
        <f>"rpl-5"</f>
        <v>rpl-5</v>
      </c>
      <c r="I1538" t="s">
        <v>5763</v>
      </c>
      <c r="J1538">
        <v>20.4598629460144</v>
      </c>
      <c r="K1538">
        <v>20.805224989174999</v>
      </c>
      <c r="L1538">
        <v>20.903160912192199</v>
      </c>
      <c r="M1538">
        <v>20.663046748538498</v>
      </c>
      <c r="N1538">
        <v>20.128190059183002</v>
      </c>
      <c r="O1538">
        <v>19.868715870810998</v>
      </c>
      <c r="P1538">
        <v>-0.50276538961635697</v>
      </c>
      <c r="Q1538">
        <v>-0.98852573285934098</v>
      </c>
      <c r="R1538">
        <v>-1.70050463733732E-2</v>
      </c>
      <c r="S1538">
        <v>20.461093915146801</v>
      </c>
      <c r="T1538">
        <v>-2.1753834972481099</v>
      </c>
      <c r="U1538">
        <v>-4.8536961722482896</v>
      </c>
      <c r="V1538">
        <v>4.3253743129497799E-2</v>
      </c>
      <c r="W1538">
        <v>0.20607273813087301</v>
      </c>
      <c r="X1538">
        <v>0</v>
      </c>
      <c r="Y1538">
        <v>0</v>
      </c>
    </row>
    <row r="1539" spans="1:25" x14ac:dyDescent="0.2">
      <c r="A1539" t="s">
        <v>5764</v>
      </c>
      <c r="B1539" t="s">
        <v>5765</v>
      </c>
      <c r="C1539" t="s">
        <v>5766</v>
      </c>
      <c r="D1539" t="s">
        <v>5767</v>
      </c>
      <c r="E1539" t="s">
        <v>5765</v>
      </c>
      <c r="F1539" t="s">
        <v>28</v>
      </c>
      <c r="G1539" t="s">
        <v>5765</v>
      </c>
      <c r="H1539" t="str">
        <f>"F08C6.2"</f>
        <v>F08C6.2</v>
      </c>
      <c r="I1539" t="s">
        <v>5767</v>
      </c>
      <c r="J1539">
        <v>11.416239243928899</v>
      </c>
      <c r="K1539" t="s">
        <v>29</v>
      </c>
      <c r="L1539">
        <v>11.988915813853399</v>
      </c>
      <c r="M1539">
        <v>11.501852308235099</v>
      </c>
      <c r="N1539">
        <v>11.346548410657601</v>
      </c>
      <c r="O1539">
        <v>11.5389796473304</v>
      </c>
      <c r="P1539">
        <v>-0.24011740681681501</v>
      </c>
      <c r="Q1539">
        <v>-0.916344243650419</v>
      </c>
      <c r="R1539">
        <v>0.43610943001678998</v>
      </c>
      <c r="S1539">
        <v>12.1129369520708</v>
      </c>
      <c r="T1539">
        <v>-0.75730852916163205</v>
      </c>
      <c r="U1539">
        <v>-6.64396941732568</v>
      </c>
      <c r="V1539">
        <v>0.46067816691373198</v>
      </c>
      <c r="W1539">
        <v>0.72628234260527302</v>
      </c>
      <c r="X1539">
        <v>0</v>
      </c>
      <c r="Y1539">
        <v>0</v>
      </c>
    </row>
    <row r="1540" spans="1:25" x14ac:dyDescent="0.2">
      <c r="A1540" t="s">
        <v>5768</v>
      </c>
      <c r="B1540" t="s">
        <v>5769</v>
      </c>
      <c r="C1540" t="s">
        <v>5770</v>
      </c>
      <c r="D1540" t="s">
        <v>5771</v>
      </c>
      <c r="E1540" t="s">
        <v>5769</v>
      </c>
      <c r="F1540" t="s">
        <v>28</v>
      </c>
      <c r="G1540" t="s">
        <v>5769</v>
      </c>
      <c r="H1540" t="str">
        <f>"fem-2"</f>
        <v>fem-2</v>
      </c>
      <c r="I1540" t="s">
        <v>5771</v>
      </c>
      <c r="J1540" t="s">
        <v>29</v>
      </c>
      <c r="K1540" t="s">
        <v>29</v>
      </c>
      <c r="L1540" t="s">
        <v>29</v>
      </c>
      <c r="M1540" t="s">
        <v>29</v>
      </c>
      <c r="N1540" t="s">
        <v>29</v>
      </c>
      <c r="O1540" t="s">
        <v>29</v>
      </c>
      <c r="P1540" t="s">
        <v>29</v>
      </c>
      <c r="Q1540" t="s">
        <v>29</v>
      </c>
      <c r="R1540" t="s">
        <v>29</v>
      </c>
      <c r="S1540">
        <v>11.843247402132199</v>
      </c>
      <c r="T1540" t="s">
        <v>29</v>
      </c>
      <c r="U1540" t="s">
        <v>29</v>
      </c>
      <c r="V1540" t="s">
        <v>29</v>
      </c>
      <c r="W1540" t="s">
        <v>29</v>
      </c>
      <c r="X1540" t="s">
        <v>29</v>
      </c>
      <c r="Y1540" t="s">
        <v>29</v>
      </c>
    </row>
    <row r="1541" spans="1:25" x14ac:dyDescent="0.2">
      <c r="A1541" t="s">
        <v>5772</v>
      </c>
      <c r="B1541" t="s">
        <v>5773</v>
      </c>
      <c r="C1541" t="s">
        <v>5774</v>
      </c>
      <c r="D1541" t="s">
        <v>5775</v>
      </c>
      <c r="E1541" t="s">
        <v>5773</v>
      </c>
      <c r="F1541" t="s">
        <v>28</v>
      </c>
      <c r="G1541" t="s">
        <v>5773</v>
      </c>
      <c r="H1541" t="str">
        <f>"ppm-1.G"</f>
        <v>ppm-1.G</v>
      </c>
      <c r="I1541" t="s">
        <v>5775</v>
      </c>
      <c r="J1541">
        <v>11.554726040117</v>
      </c>
      <c r="K1541">
        <v>12.0251857427085</v>
      </c>
      <c r="L1541">
        <v>11.741966294790201</v>
      </c>
      <c r="M1541">
        <v>12.105017295800399</v>
      </c>
      <c r="N1541">
        <v>12.831419121070899</v>
      </c>
      <c r="O1541">
        <v>12.697576936117001</v>
      </c>
      <c r="P1541">
        <v>0.77071175845753404</v>
      </c>
      <c r="Q1541">
        <v>8.2001294403309902E-2</v>
      </c>
      <c r="R1541">
        <v>1.4594222225117599</v>
      </c>
      <c r="S1541">
        <v>13.279457053923499</v>
      </c>
      <c r="T1541">
        <v>2.3520568603338998</v>
      </c>
      <c r="U1541">
        <v>-4.5285874700204998</v>
      </c>
      <c r="V1541">
        <v>3.0325751005991001E-2</v>
      </c>
      <c r="W1541">
        <v>0.171319433634539</v>
      </c>
      <c r="X1541">
        <v>0</v>
      </c>
      <c r="Y1541">
        <v>0</v>
      </c>
    </row>
    <row r="1542" spans="1:25" x14ac:dyDescent="0.2">
      <c r="A1542" t="s">
        <v>5776</v>
      </c>
      <c r="B1542" t="s">
        <v>5777</v>
      </c>
      <c r="C1542" t="s">
        <v>5778</v>
      </c>
      <c r="D1542" t="s">
        <v>5779</v>
      </c>
      <c r="E1542" t="s">
        <v>5777</v>
      </c>
      <c r="F1542" t="s">
        <v>28</v>
      </c>
      <c r="G1542" t="s">
        <v>5777</v>
      </c>
      <c r="H1542" t="str">
        <f>"ppm-2"</f>
        <v>ppm-2</v>
      </c>
      <c r="I1542" t="s">
        <v>5779</v>
      </c>
      <c r="J1542">
        <v>12.3838679814468</v>
      </c>
      <c r="K1542">
        <v>11.9523509593563</v>
      </c>
      <c r="L1542">
        <v>12.5078029546171</v>
      </c>
      <c r="M1542">
        <v>11.7567743900062</v>
      </c>
      <c r="N1542" t="s">
        <v>29</v>
      </c>
      <c r="O1542">
        <v>13.4065476374259</v>
      </c>
      <c r="P1542">
        <v>0.30032038190929999</v>
      </c>
      <c r="Q1542">
        <v>-0.88834196253591702</v>
      </c>
      <c r="R1542">
        <v>1.4889827263545199</v>
      </c>
      <c r="S1542">
        <v>12.230198308207299</v>
      </c>
      <c r="T1542">
        <v>0.54227326739341397</v>
      </c>
      <c r="U1542">
        <v>-6.7869087489851401</v>
      </c>
      <c r="V1542">
        <v>0.596220582398448</v>
      </c>
      <c r="W1542">
        <v>0.80686135298032302</v>
      </c>
      <c r="X1542">
        <v>0</v>
      </c>
      <c r="Y1542">
        <v>0</v>
      </c>
    </row>
    <row r="1543" spans="1:25" x14ac:dyDescent="0.2">
      <c r="A1543" t="s">
        <v>5780</v>
      </c>
      <c r="B1543" t="s">
        <v>5781</v>
      </c>
      <c r="C1543" t="s">
        <v>5782</v>
      </c>
      <c r="D1543" t="s">
        <v>5783</v>
      </c>
      <c r="E1543" t="s">
        <v>5781</v>
      </c>
      <c r="F1543" t="s">
        <v>28</v>
      </c>
      <c r="G1543" t="s">
        <v>5781</v>
      </c>
      <c r="H1543" t="str">
        <f>"egl-10"</f>
        <v>egl-10</v>
      </c>
      <c r="I1543" t="s">
        <v>5783</v>
      </c>
      <c r="J1543">
        <v>12.497029216299</v>
      </c>
      <c r="K1543">
        <v>12.172439662365999</v>
      </c>
      <c r="L1543">
        <v>11.667997275170899</v>
      </c>
      <c r="M1543" t="s">
        <v>29</v>
      </c>
      <c r="N1543">
        <v>12.1870661358272</v>
      </c>
      <c r="O1543" t="s">
        <v>29</v>
      </c>
      <c r="P1543">
        <v>7.4577417881878105E-2</v>
      </c>
      <c r="Q1543">
        <v>-0.72704924547206695</v>
      </c>
      <c r="R1543">
        <v>0.87620408123582305</v>
      </c>
      <c r="S1543">
        <v>11.819062869153999</v>
      </c>
      <c r="T1543">
        <v>0.202899137543608</v>
      </c>
      <c r="U1543">
        <v>-6.6872205752388503</v>
      </c>
      <c r="V1543">
        <v>0.84264307162025598</v>
      </c>
      <c r="W1543">
        <v>0.93851878414099799</v>
      </c>
      <c r="X1543">
        <v>0</v>
      </c>
      <c r="Y1543">
        <v>0</v>
      </c>
    </row>
    <row r="1544" spans="1:25" x14ac:dyDescent="0.2">
      <c r="A1544" t="s">
        <v>5784</v>
      </c>
      <c r="B1544" t="s">
        <v>5785</v>
      </c>
      <c r="C1544" t="s">
        <v>5786</v>
      </c>
      <c r="D1544" t="s">
        <v>5787</v>
      </c>
      <c r="E1544" t="s">
        <v>5785</v>
      </c>
      <c r="F1544" t="s">
        <v>28</v>
      </c>
      <c r="G1544" t="s">
        <v>5785</v>
      </c>
      <c r="H1544" t="str">
        <f>"phb-2"</f>
        <v>phb-2</v>
      </c>
      <c r="I1544" t="s">
        <v>5787</v>
      </c>
      <c r="J1544">
        <v>16.189167021868499</v>
      </c>
      <c r="K1544">
        <v>16.129370649979499</v>
      </c>
      <c r="L1544">
        <v>16.2565267877373</v>
      </c>
      <c r="M1544">
        <v>15.8727800785301</v>
      </c>
      <c r="N1544">
        <v>15.812909177294801</v>
      </c>
      <c r="O1544">
        <v>16.228139253650099</v>
      </c>
      <c r="P1544">
        <v>-0.22041198337008999</v>
      </c>
      <c r="Q1544">
        <v>-0.585741314492214</v>
      </c>
      <c r="R1544">
        <v>0.14491734775203499</v>
      </c>
      <c r="S1544">
        <v>15.9179950257477</v>
      </c>
      <c r="T1544">
        <v>-1.26806984192173</v>
      </c>
      <c r="U1544">
        <v>-6.2453894134585299</v>
      </c>
      <c r="V1544">
        <v>0.221023540301822</v>
      </c>
      <c r="W1544">
        <v>0.48869811751942899</v>
      </c>
      <c r="X1544">
        <v>0</v>
      </c>
      <c r="Y1544">
        <v>0</v>
      </c>
    </row>
    <row r="1545" spans="1:25" x14ac:dyDescent="0.2">
      <c r="A1545" t="s">
        <v>5788</v>
      </c>
      <c r="B1545" t="s">
        <v>5789</v>
      </c>
      <c r="C1545" t="s">
        <v>5790</v>
      </c>
      <c r="D1545" t="s">
        <v>5791</v>
      </c>
      <c r="E1545" t="s">
        <v>5789</v>
      </c>
      <c r="F1545" t="s">
        <v>28</v>
      </c>
      <c r="G1545" t="s">
        <v>5789</v>
      </c>
      <c r="H1545" t="str">
        <f>"hsp-60"</f>
        <v>hsp-60</v>
      </c>
      <c r="I1545" t="s">
        <v>5791</v>
      </c>
      <c r="J1545">
        <v>12.6218276506059</v>
      </c>
      <c r="K1545">
        <v>13.0095419002015</v>
      </c>
      <c r="L1545">
        <v>13.0960734241685</v>
      </c>
      <c r="M1545">
        <v>13.194558886407201</v>
      </c>
      <c r="N1545">
        <v>13.491044446055399</v>
      </c>
      <c r="O1545">
        <v>14.8769970891626</v>
      </c>
      <c r="P1545">
        <v>0.94505248221646099</v>
      </c>
      <c r="Q1545">
        <v>0.232095197813589</v>
      </c>
      <c r="R1545">
        <v>1.6580097666193301</v>
      </c>
      <c r="S1545">
        <v>13.1824413550373</v>
      </c>
      <c r="T1545">
        <v>2.7860244898183302</v>
      </c>
      <c r="U1545">
        <v>-3.6782669237811301</v>
      </c>
      <c r="V1545">
        <v>1.22434829518362E-2</v>
      </c>
      <c r="W1545">
        <v>0.101117496257043</v>
      </c>
      <c r="X1545">
        <v>0</v>
      </c>
      <c r="Y1545">
        <v>0</v>
      </c>
    </row>
    <row r="1546" spans="1:25" x14ac:dyDescent="0.2">
      <c r="A1546" t="s">
        <v>5792</v>
      </c>
      <c r="B1546" t="s">
        <v>5793</v>
      </c>
      <c r="C1546" t="s">
        <v>5794</v>
      </c>
      <c r="D1546" t="s">
        <v>5795</v>
      </c>
      <c r="E1546" t="s">
        <v>5793</v>
      </c>
      <c r="F1546" t="s">
        <v>28</v>
      </c>
      <c r="G1546" t="s">
        <v>5796</v>
      </c>
      <c r="H1546" t="str">
        <f>"sams-3"</f>
        <v>sams-3</v>
      </c>
      <c r="I1546" t="s">
        <v>5797</v>
      </c>
      <c r="J1546">
        <v>16.2715180155609</v>
      </c>
      <c r="K1546">
        <v>15.428312070732</v>
      </c>
      <c r="L1546">
        <v>15.454598626364801</v>
      </c>
      <c r="M1546">
        <v>16.178492735563999</v>
      </c>
      <c r="N1546">
        <v>15.9574011437652</v>
      </c>
      <c r="O1546">
        <v>16.097126406184199</v>
      </c>
      <c r="P1546">
        <v>0.35953052428521698</v>
      </c>
      <c r="Q1546">
        <v>-0.20203623399106899</v>
      </c>
      <c r="R1546">
        <v>0.92109728256150403</v>
      </c>
      <c r="S1546">
        <v>15.900059163850701</v>
      </c>
      <c r="T1546">
        <v>1.34563380588515</v>
      </c>
      <c r="U1546">
        <v>-6.1484771284124502</v>
      </c>
      <c r="V1546">
        <v>0.19522372855119599</v>
      </c>
      <c r="W1546">
        <v>0.45657835652040002</v>
      </c>
      <c r="X1546">
        <v>0</v>
      </c>
      <c r="Y1546">
        <v>0</v>
      </c>
    </row>
    <row r="1547" spans="1:25" x14ac:dyDescent="0.2">
      <c r="A1547" t="s">
        <v>5798</v>
      </c>
      <c r="B1547" t="s">
        <v>5799</v>
      </c>
      <c r="C1547" t="s">
        <v>5800</v>
      </c>
      <c r="D1547" t="s">
        <v>5801</v>
      </c>
      <c r="E1547" t="s">
        <v>5799</v>
      </c>
      <c r="F1547" t="s">
        <v>28</v>
      </c>
      <c r="G1547" t="s">
        <v>5799</v>
      </c>
      <c r="H1547" t="str">
        <f>"mel-32"</f>
        <v>mel-32</v>
      </c>
      <c r="I1547" t="s">
        <v>5801</v>
      </c>
      <c r="J1547">
        <v>12.856247446339999</v>
      </c>
      <c r="K1547">
        <v>12.9346661067563</v>
      </c>
      <c r="L1547">
        <v>13.4490495730895</v>
      </c>
      <c r="M1547">
        <v>13.32218313201</v>
      </c>
      <c r="N1547">
        <v>13.369801486583301</v>
      </c>
      <c r="O1547">
        <v>14.851158893708</v>
      </c>
      <c r="P1547">
        <v>0.76772679537180399</v>
      </c>
      <c r="Q1547">
        <v>0.13502913871566999</v>
      </c>
      <c r="R1547">
        <v>1.4004244520279401</v>
      </c>
      <c r="S1547">
        <v>13.728575273435</v>
      </c>
      <c r="T1547">
        <v>2.55036879481866</v>
      </c>
      <c r="U1547">
        <v>-4.1482000559319898</v>
      </c>
      <c r="V1547">
        <v>2.0144798816181499E-2</v>
      </c>
      <c r="W1547">
        <v>0.13705974115599701</v>
      </c>
      <c r="X1547">
        <v>0</v>
      </c>
      <c r="Y1547">
        <v>0</v>
      </c>
    </row>
    <row r="1548" spans="1:25" x14ac:dyDescent="0.2">
      <c r="A1548" t="s">
        <v>5802</v>
      </c>
      <c r="B1548" t="s">
        <v>5803</v>
      </c>
      <c r="C1548" t="s">
        <v>5804</v>
      </c>
      <c r="D1548" t="s">
        <v>5805</v>
      </c>
      <c r="E1548" t="s">
        <v>5803</v>
      </c>
      <c r="F1548" t="s">
        <v>28</v>
      </c>
      <c r="G1548" t="s">
        <v>5803</v>
      </c>
      <c r="H1548" t="str">
        <f>"pelo-1"</f>
        <v>pelo-1</v>
      </c>
      <c r="I1548" t="s">
        <v>5805</v>
      </c>
      <c r="J1548">
        <v>12.872331652137101</v>
      </c>
      <c r="K1548">
        <v>13.376746227934101</v>
      </c>
      <c r="L1548" t="s">
        <v>29</v>
      </c>
      <c r="M1548">
        <v>13.0109637608469</v>
      </c>
      <c r="N1548">
        <v>13.0044414966482</v>
      </c>
      <c r="O1548">
        <v>13.124263255065699</v>
      </c>
      <c r="P1548">
        <v>-7.7982769182026998E-2</v>
      </c>
      <c r="Q1548">
        <v>-0.67399250503077701</v>
      </c>
      <c r="R1548">
        <v>0.51802696666672299</v>
      </c>
      <c r="S1548">
        <v>13.306325290549699</v>
      </c>
      <c r="T1548">
        <v>-0.27905313428948197</v>
      </c>
      <c r="U1548">
        <v>-6.9003713907966402</v>
      </c>
      <c r="V1548">
        <v>0.78404125382776602</v>
      </c>
      <c r="W1548">
        <v>0.91120060174744399</v>
      </c>
      <c r="X1548">
        <v>0</v>
      </c>
      <c r="Y1548">
        <v>0</v>
      </c>
    </row>
    <row r="1549" spans="1:25" x14ac:dyDescent="0.2">
      <c r="A1549" t="s">
        <v>5806</v>
      </c>
      <c r="B1549" t="s">
        <v>5807</v>
      </c>
      <c r="C1549" t="s">
        <v>5808</v>
      </c>
      <c r="D1549" t="s">
        <v>5809</v>
      </c>
      <c r="E1549" t="s">
        <v>5807</v>
      </c>
      <c r="F1549" t="s">
        <v>28</v>
      </c>
      <c r="G1549" t="s">
        <v>5807</v>
      </c>
      <c r="H1549" t="str">
        <f>"rpl-3"</f>
        <v>rpl-3</v>
      </c>
      <c r="I1549" t="s">
        <v>5809</v>
      </c>
      <c r="J1549">
        <v>20.554915314857201</v>
      </c>
      <c r="K1549">
        <v>20.556144608098901</v>
      </c>
      <c r="L1549">
        <v>20.6207925085338</v>
      </c>
      <c r="M1549">
        <v>20.374738168753801</v>
      </c>
      <c r="N1549">
        <v>20.1897557759379</v>
      </c>
      <c r="O1549">
        <v>19.967973976939302</v>
      </c>
      <c r="P1549">
        <v>-0.39979483661964499</v>
      </c>
      <c r="Q1549">
        <v>-0.72852062813302099</v>
      </c>
      <c r="R1549">
        <v>-7.1069045106268797E-2</v>
      </c>
      <c r="S1549">
        <v>20.5931491729207</v>
      </c>
      <c r="T1549">
        <v>-2.55620637888366</v>
      </c>
      <c r="U1549">
        <v>-4.1367798273193701</v>
      </c>
      <c r="V1549">
        <v>1.9900721099860502E-2</v>
      </c>
      <c r="W1549">
        <v>0.13606918984371799</v>
      </c>
      <c r="X1549">
        <v>0</v>
      </c>
      <c r="Y1549">
        <v>0</v>
      </c>
    </row>
    <row r="1550" spans="1:25" x14ac:dyDescent="0.2">
      <c r="A1550" t="s">
        <v>5810</v>
      </c>
      <c r="B1550" t="s">
        <v>5811</v>
      </c>
      <c r="C1550" t="s">
        <v>5812</v>
      </c>
      <c r="D1550" t="s">
        <v>5813</v>
      </c>
      <c r="E1550" t="s">
        <v>5811</v>
      </c>
      <c r="F1550" t="s">
        <v>28</v>
      </c>
      <c r="G1550" t="s">
        <v>5811</v>
      </c>
      <c r="H1550" t="str">
        <f>"rps-2"</f>
        <v>rps-2</v>
      </c>
      <c r="I1550" t="s">
        <v>5813</v>
      </c>
      <c r="J1550">
        <v>20.1784214477366</v>
      </c>
      <c r="K1550">
        <v>20.102653023024999</v>
      </c>
      <c r="L1550">
        <v>20.4159951657461</v>
      </c>
      <c r="M1550">
        <v>19.828679816771899</v>
      </c>
      <c r="N1550">
        <v>19.734775522669299</v>
      </c>
      <c r="O1550">
        <v>19.455192518105299</v>
      </c>
      <c r="P1550">
        <v>-0.55947392632041104</v>
      </c>
      <c r="Q1550">
        <v>-0.91321045143885704</v>
      </c>
      <c r="R1550">
        <v>-0.20573740120196499</v>
      </c>
      <c r="S1550">
        <v>20.205460000996499</v>
      </c>
      <c r="T1550">
        <v>-3.32424067668342</v>
      </c>
      <c r="U1550">
        <v>-2.55156436009913</v>
      </c>
      <c r="V1550">
        <v>3.7974178144162098E-3</v>
      </c>
      <c r="W1550">
        <v>4.4771005681559298E-2</v>
      </c>
      <c r="X1550">
        <v>0</v>
      </c>
      <c r="Y1550">
        <v>0</v>
      </c>
    </row>
    <row r="1551" spans="1:25" x14ac:dyDescent="0.2">
      <c r="A1551" t="s">
        <v>5814</v>
      </c>
      <c r="B1551" t="s">
        <v>5815</v>
      </c>
      <c r="C1551" t="s">
        <v>5816</v>
      </c>
      <c r="D1551" t="s">
        <v>5817</v>
      </c>
      <c r="E1551" t="s">
        <v>5815</v>
      </c>
      <c r="F1551" t="s">
        <v>28</v>
      </c>
      <c r="G1551" t="s">
        <v>5815</v>
      </c>
      <c r="H1551" t="str">
        <f>"rps-13"</f>
        <v>rps-13</v>
      </c>
      <c r="I1551" t="s">
        <v>5817</v>
      </c>
      <c r="J1551">
        <v>14.9594783573082</v>
      </c>
      <c r="K1551">
        <v>15.1872903823729</v>
      </c>
      <c r="L1551">
        <v>15.3526874818689</v>
      </c>
      <c r="M1551">
        <v>15.078540565656301</v>
      </c>
      <c r="N1551">
        <v>14.7751346227511</v>
      </c>
      <c r="O1551">
        <v>15.981646975642899</v>
      </c>
      <c r="P1551">
        <v>0.111955314166741</v>
      </c>
      <c r="Q1551">
        <v>-0.61612697627382096</v>
      </c>
      <c r="R1551">
        <v>0.84003760460730204</v>
      </c>
      <c r="S1551">
        <v>15.3108962075689</v>
      </c>
      <c r="T1551">
        <v>0.32318913973361801</v>
      </c>
      <c r="U1551">
        <v>-6.9975076511623397</v>
      </c>
      <c r="V1551">
        <v>0.75029804213141904</v>
      </c>
      <c r="W1551">
        <v>0.89443416483633298</v>
      </c>
      <c r="X1551">
        <v>0</v>
      </c>
      <c r="Y1551">
        <v>0</v>
      </c>
    </row>
    <row r="1552" spans="1:25" x14ac:dyDescent="0.2">
      <c r="A1552" t="s">
        <v>5818</v>
      </c>
      <c r="B1552" t="s">
        <v>5819</v>
      </c>
      <c r="C1552" t="s">
        <v>5820</v>
      </c>
      <c r="D1552" t="s">
        <v>5821</v>
      </c>
      <c r="E1552" t="s">
        <v>5819</v>
      </c>
      <c r="F1552" t="s">
        <v>28</v>
      </c>
      <c r="G1552" t="s">
        <v>5819</v>
      </c>
      <c r="H1552" t="str">
        <f>"goa-1"</f>
        <v>goa-1</v>
      </c>
      <c r="I1552" t="s">
        <v>5821</v>
      </c>
      <c r="J1552">
        <v>18.2922753791057</v>
      </c>
      <c r="K1552">
        <v>18.245623430474101</v>
      </c>
      <c r="L1552">
        <v>17.5219797222476</v>
      </c>
      <c r="M1552">
        <v>18.030950359260402</v>
      </c>
      <c r="N1552">
        <v>17.107575883485499</v>
      </c>
      <c r="O1552">
        <v>17.487593309524701</v>
      </c>
      <c r="P1552">
        <v>-0.47791965985224</v>
      </c>
      <c r="Q1552">
        <v>-1.0650586713117101</v>
      </c>
      <c r="R1552">
        <v>0.109219351607229</v>
      </c>
      <c r="S1552">
        <v>16.860028997422798</v>
      </c>
      <c r="T1552">
        <v>-1.7108284827914699</v>
      </c>
      <c r="U1552">
        <v>-5.63226682387194</v>
      </c>
      <c r="V1552">
        <v>0.104391721359523</v>
      </c>
      <c r="W1552">
        <v>0.33417018412997301</v>
      </c>
      <c r="X1552">
        <v>0</v>
      </c>
      <c r="Y1552">
        <v>0</v>
      </c>
    </row>
    <row r="1553" spans="1:25" x14ac:dyDescent="0.2">
      <c r="A1553" t="s">
        <v>5822</v>
      </c>
      <c r="B1553" t="s">
        <v>5823</v>
      </c>
      <c r="C1553" t="s">
        <v>5824</v>
      </c>
      <c r="D1553" t="s">
        <v>5825</v>
      </c>
      <c r="E1553" t="s">
        <v>5823</v>
      </c>
      <c r="F1553" t="s">
        <v>28</v>
      </c>
      <c r="G1553" t="s">
        <v>5823</v>
      </c>
      <c r="H1553" t="str">
        <f>"cyn-1"</f>
        <v>cyn-1</v>
      </c>
      <c r="I1553" t="s">
        <v>5825</v>
      </c>
      <c r="J1553">
        <v>11.9179254364195</v>
      </c>
      <c r="K1553">
        <v>11.508017937220499</v>
      </c>
      <c r="L1553">
        <v>11.362643847918999</v>
      </c>
      <c r="M1553">
        <v>9.8855105653418196</v>
      </c>
      <c r="N1553">
        <v>11.0744405103082</v>
      </c>
      <c r="O1553">
        <v>10.2435624049083</v>
      </c>
      <c r="P1553">
        <v>-1.19502458033357</v>
      </c>
      <c r="Q1553">
        <v>-1.95079587341631</v>
      </c>
      <c r="R1553">
        <v>-0.43925328725083401</v>
      </c>
      <c r="S1553">
        <v>11.5722826057204</v>
      </c>
      <c r="T1553">
        <v>-3.3537908561372198</v>
      </c>
      <c r="U1553">
        <v>-2.5755142718532702</v>
      </c>
      <c r="V1553">
        <v>4.0656913435463803E-3</v>
      </c>
      <c r="W1553">
        <v>4.6914041247872101E-2</v>
      </c>
      <c r="X1553">
        <v>-1</v>
      </c>
      <c r="Y1553">
        <v>-1</v>
      </c>
    </row>
    <row r="1554" spans="1:25" x14ac:dyDescent="0.2">
      <c r="A1554" t="s">
        <v>5826</v>
      </c>
      <c r="B1554" t="s">
        <v>5827</v>
      </c>
      <c r="C1554" t="s">
        <v>5828</v>
      </c>
      <c r="D1554" t="s">
        <v>5829</v>
      </c>
      <c r="E1554" t="s">
        <v>5827</v>
      </c>
      <c r="F1554" t="s">
        <v>28</v>
      </c>
      <c r="G1554" t="s">
        <v>5827</v>
      </c>
      <c r="H1554" t="str">
        <f>"cyn-2"</f>
        <v>cyn-2</v>
      </c>
      <c r="I1554" t="s">
        <v>5829</v>
      </c>
      <c r="J1554">
        <v>13.035190657645201</v>
      </c>
      <c r="K1554" t="s">
        <v>29</v>
      </c>
      <c r="L1554">
        <v>13.7036335708436</v>
      </c>
      <c r="M1554" t="s">
        <v>29</v>
      </c>
      <c r="N1554">
        <v>13.782721011517999</v>
      </c>
      <c r="O1554" t="s">
        <v>29</v>
      </c>
      <c r="P1554">
        <v>0.41330889727355602</v>
      </c>
      <c r="Q1554">
        <v>-0.55108937848359896</v>
      </c>
      <c r="R1554">
        <v>1.37770717303071</v>
      </c>
      <c r="S1554">
        <v>13.874572920157201</v>
      </c>
      <c r="T1554">
        <v>0.944378350505794</v>
      </c>
      <c r="U1554">
        <v>-6.1912033039981296</v>
      </c>
      <c r="V1554">
        <v>0.36544838668042201</v>
      </c>
      <c r="W1554">
        <v>0.64162948020251098</v>
      </c>
      <c r="X1554">
        <v>0</v>
      </c>
      <c r="Y1554">
        <v>0</v>
      </c>
    </row>
    <row r="1555" spans="1:25" x14ac:dyDescent="0.2">
      <c r="A1555" t="s">
        <v>5830</v>
      </c>
      <c r="B1555" t="s">
        <v>5831</v>
      </c>
      <c r="C1555" t="s">
        <v>5832</v>
      </c>
      <c r="D1555" t="s">
        <v>5833</v>
      </c>
      <c r="E1555" t="s">
        <v>5831</v>
      </c>
      <c r="F1555" t="s">
        <v>28</v>
      </c>
      <c r="G1555" t="s">
        <v>5831</v>
      </c>
      <c r="H1555" t="str">
        <f>"cyn-3"</f>
        <v>cyn-3</v>
      </c>
      <c r="I1555" t="s">
        <v>5833</v>
      </c>
      <c r="J1555">
        <v>14.121046520197901</v>
      </c>
      <c r="K1555">
        <v>14.2863120576346</v>
      </c>
      <c r="L1555">
        <v>13.957314108392399</v>
      </c>
      <c r="M1555">
        <v>13.7097796021595</v>
      </c>
      <c r="N1555">
        <v>13.6823469804105</v>
      </c>
      <c r="O1555">
        <v>14.022981798475101</v>
      </c>
      <c r="P1555">
        <v>-0.31652143505991698</v>
      </c>
      <c r="Q1555">
        <v>-0.66375102045361101</v>
      </c>
      <c r="R1555">
        <v>3.0708150333777402E-2</v>
      </c>
      <c r="S1555">
        <v>13.789105117765301</v>
      </c>
      <c r="T1555">
        <v>-1.91592682245734</v>
      </c>
      <c r="U1555">
        <v>-5.3035333495663499</v>
      </c>
      <c r="V1555">
        <v>7.1490827452522498E-2</v>
      </c>
      <c r="W1555">
        <v>0.27231546530400202</v>
      </c>
      <c r="X1555">
        <v>0</v>
      </c>
      <c r="Y1555">
        <v>0</v>
      </c>
    </row>
    <row r="1556" spans="1:25" x14ac:dyDescent="0.2">
      <c r="A1556" t="s">
        <v>5834</v>
      </c>
      <c r="B1556" t="s">
        <v>5835</v>
      </c>
      <c r="C1556" t="s">
        <v>5836</v>
      </c>
      <c r="D1556" t="s">
        <v>5837</v>
      </c>
      <c r="E1556" t="s">
        <v>5835</v>
      </c>
      <c r="F1556" t="s">
        <v>28</v>
      </c>
      <c r="G1556" t="s">
        <v>5835</v>
      </c>
      <c r="H1556" t="str">
        <f>"cyn-4"</f>
        <v>cyn-4</v>
      </c>
      <c r="I1556" t="s">
        <v>5837</v>
      </c>
      <c r="J1556">
        <v>11.8886348080805</v>
      </c>
      <c r="K1556">
        <v>12.3903203849499</v>
      </c>
      <c r="L1556">
        <v>11.9712895119234</v>
      </c>
      <c r="M1556">
        <v>11.543623026994</v>
      </c>
      <c r="N1556">
        <v>12.030057549409401</v>
      </c>
      <c r="O1556">
        <v>12.1400344818673</v>
      </c>
      <c r="P1556">
        <v>-0.17884321556098601</v>
      </c>
      <c r="Q1556">
        <v>-0.73712307160334301</v>
      </c>
      <c r="R1556">
        <v>0.37943664048136999</v>
      </c>
      <c r="S1556">
        <v>12.833299646165701</v>
      </c>
      <c r="T1556">
        <v>-0.67619277344386197</v>
      </c>
      <c r="U1556">
        <v>-6.8149332573274304</v>
      </c>
      <c r="V1556">
        <v>0.508070010860876</v>
      </c>
      <c r="W1556">
        <v>0.75825766635258696</v>
      </c>
      <c r="X1556">
        <v>0</v>
      </c>
      <c r="Y1556">
        <v>0</v>
      </c>
    </row>
    <row r="1557" spans="1:25" x14ac:dyDescent="0.2">
      <c r="A1557" t="s">
        <v>5838</v>
      </c>
      <c r="B1557" t="s">
        <v>5839</v>
      </c>
      <c r="C1557" t="s">
        <v>5840</v>
      </c>
      <c r="D1557" t="s">
        <v>5841</v>
      </c>
      <c r="E1557" t="s">
        <v>5839</v>
      </c>
      <c r="F1557" t="s">
        <v>28</v>
      </c>
      <c r="G1557" t="s">
        <v>5839</v>
      </c>
      <c r="H1557" t="str">
        <f>"cyn-5"</f>
        <v>cyn-5</v>
      </c>
      <c r="I1557" t="s">
        <v>5841</v>
      </c>
      <c r="J1557">
        <v>15.5940342250968</v>
      </c>
      <c r="K1557">
        <v>15.373365399540299</v>
      </c>
      <c r="L1557">
        <v>15.4550501257878</v>
      </c>
      <c r="M1557">
        <v>15.405489356499499</v>
      </c>
      <c r="N1557">
        <v>15.227829823862701</v>
      </c>
      <c r="O1557">
        <v>15.9310327838334</v>
      </c>
      <c r="P1557">
        <v>4.7300737923571E-2</v>
      </c>
      <c r="Q1557">
        <v>-0.45445841817051003</v>
      </c>
      <c r="R1557">
        <v>0.54905989401765198</v>
      </c>
      <c r="S1557">
        <v>15.0658755624086</v>
      </c>
      <c r="T1557">
        <v>0.198136790117873</v>
      </c>
      <c r="U1557">
        <v>-7.0315353510346599</v>
      </c>
      <c r="V1557">
        <v>0.84517148964912903</v>
      </c>
      <c r="W1557">
        <v>0.93943584999755902</v>
      </c>
      <c r="X1557">
        <v>0</v>
      </c>
      <c r="Y1557">
        <v>0</v>
      </c>
    </row>
    <row r="1558" spans="1:25" x14ac:dyDescent="0.2">
      <c r="A1558" t="s">
        <v>5842</v>
      </c>
      <c r="B1558" t="s">
        <v>5843</v>
      </c>
      <c r="C1558" t="s">
        <v>5844</v>
      </c>
      <c r="D1558" t="s">
        <v>5845</v>
      </c>
      <c r="E1558" t="s">
        <v>5843</v>
      </c>
      <c r="F1558" t="s">
        <v>28</v>
      </c>
      <c r="G1558" t="s">
        <v>5843</v>
      </c>
      <c r="H1558" t="str">
        <f>"cyn-7"</f>
        <v>cyn-7</v>
      </c>
      <c r="I1558" t="s">
        <v>5845</v>
      </c>
      <c r="J1558">
        <v>13.6399806587126</v>
      </c>
      <c r="K1558">
        <v>13.519830910845</v>
      </c>
      <c r="L1558">
        <v>13.7387665098335</v>
      </c>
      <c r="M1558">
        <v>13.699199831152599</v>
      </c>
      <c r="N1558">
        <v>13.7221469581931</v>
      </c>
      <c r="O1558">
        <v>15.419044764252099</v>
      </c>
      <c r="P1558">
        <v>0.64727115806889302</v>
      </c>
      <c r="Q1558">
        <v>-3.4870229103687901E-2</v>
      </c>
      <c r="R1558">
        <v>1.32941254524147</v>
      </c>
      <c r="S1558">
        <v>13.980678551176601</v>
      </c>
      <c r="T1558">
        <v>1.99436373617573</v>
      </c>
      <c r="U1558">
        <v>-5.1713035243076497</v>
      </c>
      <c r="V1558">
        <v>6.1575434332109401E-2</v>
      </c>
      <c r="W1558">
        <v>0.25014539739910602</v>
      </c>
      <c r="X1558">
        <v>0</v>
      </c>
      <c r="Y1558">
        <v>0</v>
      </c>
    </row>
    <row r="1559" spans="1:25" x14ac:dyDescent="0.2">
      <c r="A1559" t="s">
        <v>5846</v>
      </c>
      <c r="B1559" t="s">
        <v>5847</v>
      </c>
      <c r="C1559" t="s">
        <v>5848</v>
      </c>
      <c r="D1559" t="s">
        <v>5849</v>
      </c>
      <c r="E1559" t="s">
        <v>5847</v>
      </c>
      <c r="F1559" t="s">
        <v>28</v>
      </c>
      <c r="G1559" t="s">
        <v>5847</v>
      </c>
      <c r="H1559" t="str">
        <f>"cyn-8"</f>
        <v>cyn-8</v>
      </c>
      <c r="I1559" t="s">
        <v>5849</v>
      </c>
      <c r="J1559">
        <v>13.048270451261599</v>
      </c>
      <c r="K1559">
        <v>13.651011400873299</v>
      </c>
      <c r="L1559">
        <v>13.588387788816901</v>
      </c>
      <c r="M1559">
        <v>13.3552742194943</v>
      </c>
      <c r="N1559">
        <v>12.484042599317201</v>
      </c>
      <c r="O1559">
        <v>13.2804713878415</v>
      </c>
      <c r="P1559">
        <v>-0.38929381143291603</v>
      </c>
      <c r="Q1559">
        <v>-0.93589389475495</v>
      </c>
      <c r="R1559">
        <v>0.157306271889118</v>
      </c>
      <c r="S1559">
        <v>13.7617695809443</v>
      </c>
      <c r="T1559">
        <v>-1.4969259577565801</v>
      </c>
      <c r="U1559">
        <v>-5.9461788437693599</v>
      </c>
      <c r="V1559">
        <v>0.151842612113433</v>
      </c>
      <c r="W1559">
        <v>0.40314006532164898</v>
      </c>
      <c r="X1559">
        <v>0</v>
      </c>
      <c r="Y1559">
        <v>0</v>
      </c>
    </row>
    <row r="1560" spans="1:25" x14ac:dyDescent="0.2">
      <c r="A1560" t="s">
        <v>5850</v>
      </c>
      <c r="B1560" t="s">
        <v>5851</v>
      </c>
      <c r="C1560" t="s">
        <v>5852</v>
      </c>
      <c r="D1560" t="s">
        <v>5853</v>
      </c>
      <c r="E1560" t="s">
        <v>5851</v>
      </c>
      <c r="F1560" t="s">
        <v>28</v>
      </c>
      <c r="G1560" t="s">
        <v>5851</v>
      </c>
      <c r="H1560" t="str">
        <f>"sel-12"</f>
        <v>sel-12</v>
      </c>
      <c r="I1560" t="s">
        <v>5853</v>
      </c>
      <c r="J1560">
        <v>13.886346413030701</v>
      </c>
      <c r="K1560">
        <v>14.1531601747647</v>
      </c>
      <c r="L1560">
        <v>13.710833905649899</v>
      </c>
      <c r="M1560">
        <v>14.4625355061672</v>
      </c>
      <c r="N1560">
        <v>14.191705511531</v>
      </c>
      <c r="O1560">
        <v>14.1906479565005</v>
      </c>
      <c r="P1560">
        <v>0.36484949358445101</v>
      </c>
      <c r="Q1560">
        <v>-6.1487336278396497E-2</v>
      </c>
      <c r="R1560">
        <v>0.791186323447299</v>
      </c>
      <c r="S1560">
        <v>13.993624679521099</v>
      </c>
      <c r="T1560">
        <v>1.8063874585945701</v>
      </c>
      <c r="U1560">
        <v>-5.4847707665052203</v>
      </c>
      <c r="V1560">
        <v>8.8702930713458999E-2</v>
      </c>
      <c r="W1560">
        <v>0.30511557773953002</v>
      </c>
      <c r="X1560">
        <v>0</v>
      </c>
      <c r="Y1560">
        <v>0</v>
      </c>
    </row>
    <row r="1561" spans="1:25" x14ac:dyDescent="0.2">
      <c r="A1561" t="s">
        <v>5854</v>
      </c>
      <c r="B1561" t="s">
        <v>5855</v>
      </c>
      <c r="C1561" t="s">
        <v>5856</v>
      </c>
      <c r="D1561" t="s">
        <v>5857</v>
      </c>
      <c r="E1561" t="s">
        <v>5855</v>
      </c>
      <c r="F1561" t="s">
        <v>28</v>
      </c>
      <c r="G1561" t="s">
        <v>5855</v>
      </c>
      <c r="H1561" t="str">
        <f>"tba-8"</f>
        <v>tba-8</v>
      </c>
      <c r="I1561" t="s">
        <v>5857</v>
      </c>
      <c r="J1561" t="s">
        <v>29</v>
      </c>
      <c r="K1561" t="s">
        <v>29</v>
      </c>
      <c r="L1561" t="s">
        <v>29</v>
      </c>
      <c r="M1561" t="s">
        <v>29</v>
      </c>
      <c r="N1561" t="s">
        <v>29</v>
      </c>
      <c r="O1561">
        <v>11.489508259361299</v>
      </c>
      <c r="P1561" t="s">
        <v>29</v>
      </c>
      <c r="Q1561" t="s">
        <v>29</v>
      </c>
      <c r="R1561" t="s">
        <v>29</v>
      </c>
      <c r="S1561">
        <v>12.5020221092066</v>
      </c>
      <c r="T1561" t="s">
        <v>29</v>
      </c>
      <c r="U1561" t="s">
        <v>29</v>
      </c>
      <c r="V1561" t="s">
        <v>29</v>
      </c>
      <c r="W1561" t="s">
        <v>29</v>
      </c>
      <c r="X1561" t="s">
        <v>29</v>
      </c>
      <c r="Y1561" t="s">
        <v>29</v>
      </c>
    </row>
    <row r="1562" spans="1:25" x14ac:dyDescent="0.2">
      <c r="A1562" t="s">
        <v>5858</v>
      </c>
      <c r="B1562" t="s">
        <v>5859</v>
      </c>
      <c r="C1562" t="s">
        <v>5860</v>
      </c>
      <c r="D1562" t="s">
        <v>5861</v>
      </c>
      <c r="E1562" t="s">
        <v>5859</v>
      </c>
      <c r="F1562" t="s">
        <v>28</v>
      </c>
      <c r="G1562" t="s">
        <v>5859</v>
      </c>
      <c r="H1562" t="str">
        <f>"tbb-2"</f>
        <v>tbb-2</v>
      </c>
      <c r="I1562" t="s">
        <v>5861</v>
      </c>
      <c r="J1562">
        <v>19.759557722333199</v>
      </c>
      <c r="K1562">
        <v>19.7862827264216</v>
      </c>
      <c r="L1562">
        <v>19.698993460095402</v>
      </c>
      <c r="M1562">
        <v>19.759435872190998</v>
      </c>
      <c r="N1562">
        <v>19.886429640919399</v>
      </c>
      <c r="O1562">
        <v>19.655389315450901</v>
      </c>
      <c r="P1562">
        <v>1.8806973237040801E-2</v>
      </c>
      <c r="Q1562">
        <v>-0.31855299531199699</v>
      </c>
      <c r="R1562">
        <v>0.356166941786078</v>
      </c>
      <c r="S1562">
        <v>19.528006125351698</v>
      </c>
      <c r="T1562">
        <v>0.117170389111608</v>
      </c>
      <c r="U1562">
        <v>-7.0448944028718801</v>
      </c>
      <c r="V1562">
        <v>0.90803007462280805</v>
      </c>
      <c r="W1562">
        <v>0.96798538961646996</v>
      </c>
      <c r="X1562">
        <v>0</v>
      </c>
      <c r="Y1562">
        <v>0</v>
      </c>
    </row>
    <row r="1563" spans="1:25" x14ac:dyDescent="0.2">
      <c r="A1563" t="s">
        <v>5862</v>
      </c>
      <c r="B1563" t="s">
        <v>5863</v>
      </c>
      <c r="C1563" t="s">
        <v>5864</v>
      </c>
      <c r="D1563" t="s">
        <v>5865</v>
      </c>
      <c r="E1563" t="s">
        <v>5863</v>
      </c>
      <c r="F1563" t="s">
        <v>28</v>
      </c>
      <c r="G1563" t="s">
        <v>5863</v>
      </c>
      <c r="H1563" t="str">
        <f>"T24H10.1"</f>
        <v>T24H10.1</v>
      </c>
      <c r="I1563" t="s">
        <v>5865</v>
      </c>
      <c r="J1563">
        <v>13.8819634992181</v>
      </c>
      <c r="K1563">
        <v>13.296928345672899</v>
      </c>
      <c r="L1563">
        <v>13.5117903006944</v>
      </c>
      <c r="M1563">
        <v>12.5520348741021</v>
      </c>
      <c r="N1563">
        <v>13.3601900826778</v>
      </c>
      <c r="O1563">
        <v>13.9165402011455</v>
      </c>
      <c r="P1563">
        <v>-0.287305662553342</v>
      </c>
      <c r="Q1563">
        <v>-1.2839255489769199</v>
      </c>
      <c r="R1563">
        <v>0.70931422387023801</v>
      </c>
      <c r="S1563">
        <v>13.644336112341</v>
      </c>
      <c r="T1563">
        <v>-0.61483168810992705</v>
      </c>
      <c r="U1563">
        <v>-6.8543860433004102</v>
      </c>
      <c r="V1563">
        <v>0.54794419514276504</v>
      </c>
      <c r="W1563">
        <v>0.77920996104149098</v>
      </c>
      <c r="X1563">
        <v>0</v>
      </c>
      <c r="Y1563">
        <v>0</v>
      </c>
    </row>
    <row r="1564" spans="1:25" x14ac:dyDescent="0.2">
      <c r="A1564" t="s">
        <v>5866</v>
      </c>
      <c r="B1564" t="s">
        <v>5867</v>
      </c>
      <c r="C1564" t="s">
        <v>5868</v>
      </c>
      <c r="D1564" t="s">
        <v>5869</v>
      </c>
      <c r="E1564" t="s">
        <v>5867</v>
      </c>
      <c r="F1564" t="s">
        <v>28</v>
      </c>
      <c r="G1564" t="s">
        <v>5867</v>
      </c>
      <c r="H1564" t="str">
        <f>"tars-1"</f>
        <v>tars-1</v>
      </c>
      <c r="I1564" t="s">
        <v>5869</v>
      </c>
      <c r="J1564">
        <v>13.781736238840301</v>
      </c>
      <c r="K1564">
        <v>13.6980508271159</v>
      </c>
      <c r="L1564">
        <v>13.9270113639457</v>
      </c>
      <c r="M1564">
        <v>13.2253009739942</v>
      </c>
      <c r="N1564">
        <v>13.2847161162217</v>
      </c>
      <c r="O1564">
        <v>13.939140806646799</v>
      </c>
      <c r="P1564">
        <v>-0.31921351101305001</v>
      </c>
      <c r="Q1564">
        <v>-0.71856495901486805</v>
      </c>
      <c r="R1564">
        <v>8.01379369887677E-2</v>
      </c>
      <c r="S1564">
        <v>13.7932727818669</v>
      </c>
      <c r="T1564">
        <v>-1.68003571657188</v>
      </c>
      <c r="U1564">
        <v>-5.6793573138294402</v>
      </c>
      <c r="V1564">
        <v>0.110323109872142</v>
      </c>
      <c r="W1564">
        <v>0.34241702703680399</v>
      </c>
      <c r="X1564">
        <v>0</v>
      </c>
      <c r="Y1564">
        <v>0</v>
      </c>
    </row>
    <row r="1565" spans="1:25" x14ac:dyDescent="0.2">
      <c r="A1565" t="s">
        <v>5870</v>
      </c>
      <c r="B1565" t="s">
        <v>5871</v>
      </c>
      <c r="C1565" t="s">
        <v>5872</v>
      </c>
      <c r="D1565" t="s">
        <v>5873</v>
      </c>
      <c r="E1565" t="s">
        <v>5871</v>
      </c>
      <c r="F1565" t="s">
        <v>28</v>
      </c>
      <c r="G1565" t="s">
        <v>5871</v>
      </c>
      <c r="H1565" t="str">
        <f>"alh-8"</f>
        <v>alh-8</v>
      </c>
      <c r="I1565" t="s">
        <v>5873</v>
      </c>
      <c r="J1565">
        <v>15.937674774788301</v>
      </c>
      <c r="K1565">
        <v>15.7861137654331</v>
      </c>
      <c r="L1565">
        <v>16.212431733868399</v>
      </c>
      <c r="M1565">
        <v>16.116745168035401</v>
      </c>
      <c r="N1565">
        <v>16.5565794747674</v>
      </c>
      <c r="O1565">
        <v>16.737389720830699</v>
      </c>
      <c r="P1565">
        <v>0.49149802984790503</v>
      </c>
      <c r="Q1565">
        <v>5.8000613884032298E-2</v>
      </c>
      <c r="R1565">
        <v>0.92499544581177895</v>
      </c>
      <c r="S1565">
        <v>16.081683009902999</v>
      </c>
      <c r="T1565">
        <v>2.3830205166971199</v>
      </c>
      <c r="U1565">
        <v>-4.4702130836424798</v>
      </c>
      <c r="V1565">
        <v>2.84689694625096E-2</v>
      </c>
      <c r="W1565">
        <v>0.16691536329911</v>
      </c>
      <c r="X1565">
        <v>0</v>
      </c>
      <c r="Y1565">
        <v>0</v>
      </c>
    </row>
    <row r="1566" spans="1:25" x14ac:dyDescent="0.2">
      <c r="A1566" t="s">
        <v>5874</v>
      </c>
      <c r="B1566" t="s">
        <v>5875</v>
      </c>
      <c r="C1566" t="s">
        <v>5876</v>
      </c>
      <c r="D1566" t="s">
        <v>5877</v>
      </c>
      <c r="E1566" t="s">
        <v>5875</v>
      </c>
      <c r="F1566" t="s">
        <v>28</v>
      </c>
      <c r="G1566" t="s">
        <v>5875</v>
      </c>
      <c r="H1566" t="str">
        <f>"ctsa-1.1"</f>
        <v>ctsa-1.1</v>
      </c>
      <c r="I1566" t="s">
        <v>5877</v>
      </c>
      <c r="J1566">
        <v>14.2249857682892</v>
      </c>
      <c r="K1566">
        <v>13.938957830988301</v>
      </c>
      <c r="L1566">
        <v>14.0369171870403</v>
      </c>
      <c r="M1566">
        <v>14.1991177864577</v>
      </c>
      <c r="N1566">
        <v>13.3551803183126</v>
      </c>
      <c r="O1566">
        <v>14.3903499751161</v>
      </c>
      <c r="P1566">
        <v>-8.5404235477170701E-2</v>
      </c>
      <c r="Q1566">
        <v>-0.74346149689985097</v>
      </c>
      <c r="R1566">
        <v>0.57265302594550904</v>
      </c>
      <c r="S1566">
        <v>13.9678970155186</v>
      </c>
      <c r="T1566">
        <v>-0.27277730650547</v>
      </c>
      <c r="U1566">
        <v>-7.0131736321789804</v>
      </c>
      <c r="V1566">
        <v>0.78814723580429302</v>
      </c>
      <c r="W1566">
        <v>0.91268010865023896</v>
      </c>
      <c r="X1566">
        <v>0</v>
      </c>
      <c r="Y1566">
        <v>0</v>
      </c>
    </row>
    <row r="1567" spans="1:25" x14ac:dyDescent="0.2">
      <c r="A1567" t="s">
        <v>5878</v>
      </c>
      <c r="B1567" t="s">
        <v>5879</v>
      </c>
      <c r="C1567" t="s">
        <v>5880</v>
      </c>
      <c r="D1567" t="s">
        <v>5881</v>
      </c>
      <c r="E1567" t="s">
        <v>5879</v>
      </c>
      <c r="F1567" t="s">
        <v>28</v>
      </c>
      <c r="G1567" t="s">
        <v>5879</v>
      </c>
      <c r="H1567" t="str">
        <f>"rpl-39"</f>
        <v>rpl-39</v>
      </c>
      <c r="I1567" t="s">
        <v>5881</v>
      </c>
      <c r="J1567">
        <v>21.0881654064038</v>
      </c>
      <c r="K1567">
        <v>20.811589421604001</v>
      </c>
      <c r="L1567">
        <v>20.698153370718799</v>
      </c>
      <c r="M1567">
        <v>20.461954754951499</v>
      </c>
      <c r="N1567">
        <v>20.296000693230098</v>
      </c>
      <c r="O1567">
        <v>20.235750794250698</v>
      </c>
      <c r="P1567">
        <v>-0.53473398543144401</v>
      </c>
      <c r="Q1567">
        <v>-1.65993485782655</v>
      </c>
      <c r="R1567">
        <v>0.59046688696366501</v>
      </c>
      <c r="S1567">
        <v>19.996959807090001</v>
      </c>
      <c r="T1567">
        <v>-0.998849921546488</v>
      </c>
      <c r="U1567">
        <v>-6.5433860423458299</v>
      </c>
      <c r="V1567">
        <v>0.33118321987507598</v>
      </c>
      <c r="W1567">
        <v>0.61122402832197698</v>
      </c>
      <c r="X1567">
        <v>0</v>
      </c>
      <c r="Y1567">
        <v>0</v>
      </c>
    </row>
    <row r="1568" spans="1:25" x14ac:dyDescent="0.2">
      <c r="A1568" t="s">
        <v>5882</v>
      </c>
      <c r="B1568" t="s">
        <v>5883</v>
      </c>
      <c r="C1568" t="s">
        <v>5884</v>
      </c>
      <c r="D1568" t="s">
        <v>5885</v>
      </c>
      <c r="E1568" t="s">
        <v>5883</v>
      </c>
      <c r="F1568" t="s">
        <v>28</v>
      </c>
      <c r="G1568" t="s">
        <v>5883</v>
      </c>
      <c r="H1568" t="str">
        <f>"rpl-22"</f>
        <v>rpl-22</v>
      </c>
      <c r="I1568" t="s">
        <v>5885</v>
      </c>
      <c r="J1568">
        <v>21.652938987634698</v>
      </c>
      <c r="K1568">
        <v>21.5080073357956</v>
      </c>
      <c r="L1568">
        <v>21.603546180955199</v>
      </c>
      <c r="M1568">
        <v>21.6315053752393</v>
      </c>
      <c r="N1568">
        <v>21.341036250088798</v>
      </c>
      <c r="O1568">
        <v>21.044541214938501</v>
      </c>
      <c r="P1568">
        <v>-0.24913655470629001</v>
      </c>
      <c r="Q1568">
        <v>-0.64083676661516198</v>
      </c>
      <c r="R1568">
        <v>0.14256365720258199</v>
      </c>
      <c r="S1568">
        <v>21.3547623997786</v>
      </c>
      <c r="T1568">
        <v>-1.3368299320088299</v>
      </c>
      <c r="U1568">
        <v>-6.1597146606290503</v>
      </c>
      <c r="V1568">
        <v>0.198026154605697</v>
      </c>
      <c r="W1568">
        <v>0.45830519707463502</v>
      </c>
      <c r="X1568">
        <v>0</v>
      </c>
      <c r="Y1568">
        <v>0</v>
      </c>
    </row>
    <row r="1569" spans="1:25" x14ac:dyDescent="0.2">
      <c r="A1569" t="s">
        <v>5886</v>
      </c>
      <c r="B1569" t="s">
        <v>5887</v>
      </c>
      <c r="C1569" t="s">
        <v>5888</v>
      </c>
      <c r="D1569" t="s">
        <v>5889</v>
      </c>
      <c r="E1569" t="s">
        <v>5887</v>
      </c>
      <c r="F1569" t="s">
        <v>28</v>
      </c>
      <c r="G1569" t="s">
        <v>5887</v>
      </c>
      <c r="H1569" t="str">
        <f>"rps-25"</f>
        <v>rps-25</v>
      </c>
      <c r="I1569" t="s">
        <v>5889</v>
      </c>
      <c r="J1569">
        <v>16.519532153491301</v>
      </c>
      <c r="K1569">
        <v>16.510775570846999</v>
      </c>
      <c r="L1569">
        <v>16.650663654602202</v>
      </c>
      <c r="M1569">
        <v>16.503604557764302</v>
      </c>
      <c r="N1569">
        <v>15.745557624621499</v>
      </c>
      <c r="O1569">
        <v>16.817319682287</v>
      </c>
      <c r="P1569">
        <v>-0.20482983808919999</v>
      </c>
      <c r="Q1569">
        <v>-0.86053302283086697</v>
      </c>
      <c r="R1569">
        <v>0.45087334665246698</v>
      </c>
      <c r="S1569">
        <v>16.512395664175202</v>
      </c>
      <c r="T1569">
        <v>-0.65656607953240098</v>
      </c>
      <c r="U1569">
        <v>-6.8288713537480303</v>
      </c>
      <c r="V1569">
        <v>0.51981457664450204</v>
      </c>
      <c r="W1569">
        <v>0.76469806007594998</v>
      </c>
      <c r="X1569">
        <v>0</v>
      </c>
      <c r="Y1569">
        <v>0</v>
      </c>
    </row>
    <row r="1570" spans="1:25" x14ac:dyDescent="0.2">
      <c r="A1570" t="s">
        <v>5890</v>
      </c>
      <c r="B1570" t="s">
        <v>5891</v>
      </c>
      <c r="C1570" t="s">
        <v>5892</v>
      </c>
      <c r="D1570" t="s">
        <v>5893</v>
      </c>
      <c r="E1570" t="s">
        <v>5891</v>
      </c>
      <c r="F1570" t="s">
        <v>28</v>
      </c>
      <c r="G1570" t="s">
        <v>5891</v>
      </c>
      <c r="H1570" t="str">
        <f>"dad-1"</f>
        <v>dad-1</v>
      </c>
      <c r="I1570" t="s">
        <v>5893</v>
      </c>
      <c r="J1570">
        <v>16.269517904333899</v>
      </c>
      <c r="K1570">
        <v>16.294337282233499</v>
      </c>
      <c r="L1570">
        <v>16.301153888692699</v>
      </c>
      <c r="M1570">
        <v>16.199313580085999</v>
      </c>
      <c r="N1570">
        <v>15.9522812437004</v>
      </c>
      <c r="O1570">
        <v>15.922842507967401</v>
      </c>
      <c r="P1570">
        <v>-0.263523914502102</v>
      </c>
      <c r="Q1570">
        <v>-0.70760470993279301</v>
      </c>
      <c r="R1570">
        <v>0.18055688092858899</v>
      </c>
      <c r="S1570">
        <v>16.2790490105406</v>
      </c>
      <c r="T1570">
        <v>-1.2472415032027799</v>
      </c>
      <c r="U1570">
        <v>-6.2705988418513403</v>
      </c>
      <c r="V1570">
        <v>0.22838599518052299</v>
      </c>
      <c r="W1570">
        <v>0.49861477645011598</v>
      </c>
      <c r="X1570">
        <v>0</v>
      </c>
      <c r="Y1570">
        <v>0</v>
      </c>
    </row>
    <row r="1571" spans="1:25" x14ac:dyDescent="0.2">
      <c r="A1571" t="s">
        <v>5894</v>
      </c>
      <c r="B1571" t="s">
        <v>5895</v>
      </c>
      <c r="C1571" t="s">
        <v>5896</v>
      </c>
      <c r="D1571" t="s">
        <v>5897</v>
      </c>
      <c r="E1571" t="s">
        <v>5895</v>
      </c>
      <c r="F1571" t="s">
        <v>28</v>
      </c>
      <c r="G1571" t="s">
        <v>5895</v>
      </c>
      <c r="H1571" t="str">
        <f>"T05H10.6"</f>
        <v>T05H10.6</v>
      </c>
      <c r="I1571" t="s">
        <v>5897</v>
      </c>
      <c r="J1571">
        <v>15.887092203182601</v>
      </c>
      <c r="K1571">
        <v>15.499240580509801</v>
      </c>
      <c r="L1571">
        <v>15.600658608611599</v>
      </c>
      <c r="M1571">
        <v>15.3820906302265</v>
      </c>
      <c r="N1571">
        <v>14.989262711006599</v>
      </c>
      <c r="O1571">
        <v>15.306762657857799</v>
      </c>
      <c r="P1571">
        <v>-0.43629179773768501</v>
      </c>
      <c r="Q1571">
        <v>-0.87686107501272303</v>
      </c>
      <c r="R1571">
        <v>4.2774795373539702E-3</v>
      </c>
      <c r="S1571">
        <v>15.253065013195499</v>
      </c>
      <c r="T1571">
        <v>-2.08139905376001</v>
      </c>
      <c r="U1571">
        <v>-5.0206829208499704</v>
      </c>
      <c r="V1571">
        <v>5.2033736893903101E-2</v>
      </c>
      <c r="W1571">
        <v>0.226663694582009</v>
      </c>
      <c r="X1571">
        <v>0</v>
      </c>
      <c r="Y1571">
        <v>0</v>
      </c>
    </row>
    <row r="1572" spans="1:25" x14ac:dyDescent="0.2">
      <c r="A1572" t="s">
        <v>5898</v>
      </c>
      <c r="B1572" t="s">
        <v>5899</v>
      </c>
      <c r="C1572" t="s">
        <v>5900</v>
      </c>
      <c r="D1572" t="s">
        <v>5901</v>
      </c>
      <c r="E1572" t="s">
        <v>5899</v>
      </c>
      <c r="F1572" t="s">
        <v>28</v>
      </c>
      <c r="G1572" t="s">
        <v>5899</v>
      </c>
      <c r="H1572" t="str">
        <f>"eft-4"</f>
        <v>eft-4</v>
      </c>
      <c r="I1572" t="s">
        <v>5901</v>
      </c>
      <c r="J1572">
        <v>23.6017625211175</v>
      </c>
      <c r="K1572">
        <v>23.488789039128701</v>
      </c>
      <c r="L1572">
        <v>23.599896966073</v>
      </c>
      <c r="M1572">
        <v>23.4723733282407</v>
      </c>
      <c r="N1572">
        <v>23.778652999907401</v>
      </c>
      <c r="O1572">
        <v>23.472142315921602</v>
      </c>
      <c r="P1572">
        <v>1.0906705916859501E-2</v>
      </c>
      <c r="Q1572">
        <v>-0.40264990147401702</v>
      </c>
      <c r="R1572">
        <v>0.42446331330773601</v>
      </c>
      <c r="S1572">
        <v>23.197718228250299</v>
      </c>
      <c r="T1572">
        <v>5.54308007463504E-2</v>
      </c>
      <c r="U1572">
        <v>-7.0504763572767901</v>
      </c>
      <c r="V1572">
        <v>0.956409449217418</v>
      </c>
      <c r="W1572">
        <v>0.97805039212868605</v>
      </c>
      <c r="X1572">
        <v>0</v>
      </c>
      <c r="Y1572">
        <v>0</v>
      </c>
    </row>
    <row r="1573" spans="1:25" x14ac:dyDescent="0.2">
      <c r="A1573" t="s">
        <v>5902</v>
      </c>
      <c r="B1573" t="s">
        <v>5903</v>
      </c>
      <c r="C1573" t="s">
        <v>5904</v>
      </c>
      <c r="D1573" t="s">
        <v>5905</v>
      </c>
      <c r="E1573" t="s">
        <v>5903</v>
      </c>
      <c r="F1573" t="s">
        <v>28</v>
      </c>
      <c r="G1573" t="s">
        <v>5903</v>
      </c>
      <c r="H1573" t="str">
        <f>"mlc-3"</f>
        <v>mlc-3</v>
      </c>
      <c r="I1573" t="s">
        <v>5905</v>
      </c>
      <c r="J1573" t="s">
        <v>29</v>
      </c>
      <c r="K1573">
        <v>11.9931959125798</v>
      </c>
      <c r="L1573" t="s">
        <v>29</v>
      </c>
      <c r="M1573">
        <v>12.816104737284901</v>
      </c>
      <c r="N1573">
        <v>10.944257013297401</v>
      </c>
      <c r="O1573">
        <v>15.011150796272901</v>
      </c>
      <c r="P1573">
        <v>0.93064160303864796</v>
      </c>
      <c r="Q1573">
        <v>-2.1624447083398</v>
      </c>
      <c r="R1573">
        <v>4.0237279144170897</v>
      </c>
      <c r="S1573">
        <v>12.016812054073201</v>
      </c>
      <c r="T1573">
        <v>0.71366424410387197</v>
      </c>
      <c r="U1573">
        <v>-6.4320954808746098</v>
      </c>
      <c r="V1573">
        <v>0.49887220363144302</v>
      </c>
      <c r="W1573">
        <v>0.75049937615197204</v>
      </c>
      <c r="X1573">
        <v>0</v>
      </c>
      <c r="Y1573">
        <v>0</v>
      </c>
    </row>
    <row r="1574" spans="1:25" x14ac:dyDescent="0.2">
      <c r="A1574" t="s">
        <v>5906</v>
      </c>
      <c r="B1574" t="s">
        <v>5907</v>
      </c>
      <c r="C1574" t="s">
        <v>5908</v>
      </c>
      <c r="D1574" t="s">
        <v>5909</v>
      </c>
      <c r="E1574" t="s">
        <v>5907</v>
      </c>
      <c r="F1574" t="s">
        <v>28</v>
      </c>
      <c r="G1574" t="s">
        <v>5907</v>
      </c>
      <c r="H1574" t="str">
        <f>"rfc-4"</f>
        <v>rfc-4</v>
      </c>
      <c r="I1574" t="s">
        <v>5909</v>
      </c>
      <c r="J1574">
        <v>11.2549169836091</v>
      </c>
      <c r="K1574" t="s">
        <v>29</v>
      </c>
      <c r="L1574" t="s">
        <v>29</v>
      </c>
      <c r="M1574" t="s">
        <v>29</v>
      </c>
      <c r="N1574" t="s">
        <v>29</v>
      </c>
      <c r="O1574" t="s">
        <v>29</v>
      </c>
      <c r="P1574" t="s">
        <v>29</v>
      </c>
      <c r="Q1574" t="s">
        <v>29</v>
      </c>
      <c r="R1574" t="s">
        <v>29</v>
      </c>
      <c r="S1574">
        <v>11.7576953989819</v>
      </c>
      <c r="T1574" t="s">
        <v>29</v>
      </c>
      <c r="U1574" t="s">
        <v>29</v>
      </c>
      <c r="V1574" t="s">
        <v>29</v>
      </c>
      <c r="W1574" t="s">
        <v>29</v>
      </c>
      <c r="X1574" t="s">
        <v>29</v>
      </c>
      <c r="Y1574" t="s">
        <v>29</v>
      </c>
    </row>
    <row r="1575" spans="1:25" x14ac:dyDescent="0.2">
      <c r="A1575" t="s">
        <v>5910</v>
      </c>
      <c r="B1575" t="s">
        <v>5911</v>
      </c>
      <c r="C1575" t="s">
        <v>5912</v>
      </c>
      <c r="D1575" t="s">
        <v>5913</v>
      </c>
      <c r="E1575" t="s">
        <v>5911</v>
      </c>
      <c r="F1575" t="s">
        <v>28</v>
      </c>
      <c r="G1575" t="s">
        <v>5911</v>
      </c>
      <c r="H1575" t="str">
        <f>"cdgs-1"</f>
        <v>cdgs-1</v>
      </c>
      <c r="I1575" t="s">
        <v>5913</v>
      </c>
      <c r="J1575">
        <v>13.6797055678886</v>
      </c>
      <c r="K1575">
        <v>13.769902162174301</v>
      </c>
      <c r="L1575">
        <v>13.8051242101411</v>
      </c>
      <c r="M1575">
        <v>13.361600519078101</v>
      </c>
      <c r="N1575">
        <v>13.6258982179738</v>
      </c>
      <c r="O1575">
        <v>13.337347662971</v>
      </c>
      <c r="P1575">
        <v>-0.30996184672698002</v>
      </c>
      <c r="Q1575">
        <v>-0.88128515456579104</v>
      </c>
      <c r="R1575">
        <v>0.26136146111183201</v>
      </c>
      <c r="S1575">
        <v>13.9398293973529</v>
      </c>
      <c r="T1575">
        <v>-1.1451867403731499</v>
      </c>
      <c r="U1575">
        <v>-6.3882850459825997</v>
      </c>
      <c r="V1575">
        <v>0.26809566699169701</v>
      </c>
      <c r="W1575">
        <v>0.54419765271746201</v>
      </c>
      <c r="X1575">
        <v>0</v>
      </c>
      <c r="Y1575">
        <v>0</v>
      </c>
    </row>
    <row r="1576" spans="1:25" x14ac:dyDescent="0.2">
      <c r="A1576" t="s">
        <v>5914</v>
      </c>
      <c r="B1576" t="s">
        <v>5915</v>
      </c>
      <c r="C1576" t="s">
        <v>5916</v>
      </c>
      <c r="D1576" t="s">
        <v>5917</v>
      </c>
      <c r="E1576" t="s">
        <v>5915</v>
      </c>
      <c r="F1576" t="s">
        <v>28</v>
      </c>
      <c r="G1576" t="s">
        <v>5915</v>
      </c>
      <c r="H1576" t="str">
        <f>"arx-2"</f>
        <v>arx-2</v>
      </c>
      <c r="I1576" t="s">
        <v>5917</v>
      </c>
      <c r="J1576">
        <v>13.5245857388601</v>
      </c>
      <c r="K1576">
        <v>13.5063353293675</v>
      </c>
      <c r="L1576">
        <v>13.5094516450486</v>
      </c>
      <c r="M1576">
        <v>13.415800009880201</v>
      </c>
      <c r="N1576">
        <v>13.685288362298801</v>
      </c>
      <c r="O1576">
        <v>13.7348958388611</v>
      </c>
      <c r="P1576">
        <v>9.8537165921360498E-2</v>
      </c>
      <c r="Q1576">
        <v>-0.29815535545712601</v>
      </c>
      <c r="R1576">
        <v>0.49522968729984701</v>
      </c>
      <c r="S1576">
        <v>13.7487158212419</v>
      </c>
      <c r="T1576">
        <v>0.52208181620440997</v>
      </c>
      <c r="U1576">
        <v>-6.9103275518797904</v>
      </c>
      <c r="V1576">
        <v>0.60801608433737397</v>
      </c>
      <c r="W1576">
        <v>0.81404604878396503</v>
      </c>
      <c r="X1576">
        <v>0</v>
      </c>
      <c r="Y1576">
        <v>0</v>
      </c>
    </row>
    <row r="1577" spans="1:25" x14ac:dyDescent="0.2">
      <c r="A1577" t="s">
        <v>5918</v>
      </c>
      <c r="B1577" t="s">
        <v>5919</v>
      </c>
      <c r="C1577" t="s">
        <v>5920</v>
      </c>
      <c r="D1577" t="s">
        <v>5921</v>
      </c>
      <c r="E1577" t="s">
        <v>5919</v>
      </c>
      <c r="F1577" t="s">
        <v>28</v>
      </c>
      <c r="G1577" t="s">
        <v>5919</v>
      </c>
      <c r="H1577" t="str">
        <f>"acly-1"</f>
        <v>acly-1</v>
      </c>
      <c r="I1577" t="s">
        <v>5921</v>
      </c>
      <c r="J1577">
        <v>16.176996885521898</v>
      </c>
      <c r="K1577">
        <v>15.8983656279435</v>
      </c>
      <c r="L1577">
        <v>15.683452471761001</v>
      </c>
      <c r="M1577">
        <v>15.778822643763499</v>
      </c>
      <c r="N1577">
        <v>15.3221453631818</v>
      </c>
      <c r="O1577">
        <v>15.8429850922257</v>
      </c>
      <c r="P1577">
        <v>-0.27162062868512599</v>
      </c>
      <c r="Q1577">
        <v>-0.73163399910556104</v>
      </c>
      <c r="R1577">
        <v>0.18839274173530901</v>
      </c>
      <c r="S1577">
        <v>15.5494915241007</v>
      </c>
      <c r="T1577">
        <v>-1.24103722525488</v>
      </c>
      <c r="U1577">
        <v>-6.2780404972982202</v>
      </c>
      <c r="V1577">
        <v>0.23061537533773199</v>
      </c>
      <c r="W1577">
        <v>0.50128418927787499</v>
      </c>
      <c r="X1577">
        <v>0</v>
      </c>
      <c r="Y1577">
        <v>0</v>
      </c>
    </row>
    <row r="1578" spans="1:25" x14ac:dyDescent="0.2">
      <c r="A1578" t="s">
        <v>5922</v>
      </c>
      <c r="B1578" t="s">
        <v>5923</v>
      </c>
      <c r="C1578" t="s">
        <v>5924</v>
      </c>
      <c r="D1578" t="s">
        <v>5925</v>
      </c>
      <c r="E1578" t="s">
        <v>5923</v>
      </c>
      <c r="F1578" t="s">
        <v>28</v>
      </c>
      <c r="G1578" t="s">
        <v>5923</v>
      </c>
      <c r="H1578" t="str">
        <f>"suca-1"</f>
        <v>suca-1</v>
      </c>
      <c r="I1578" t="s">
        <v>5925</v>
      </c>
      <c r="J1578">
        <v>19.709393101081101</v>
      </c>
      <c r="K1578">
        <v>19.682767574802799</v>
      </c>
      <c r="L1578">
        <v>19.5547411744347</v>
      </c>
      <c r="M1578">
        <v>20.424005244764501</v>
      </c>
      <c r="N1578">
        <v>20.541822073399999</v>
      </c>
      <c r="O1578">
        <v>20.351820050289302</v>
      </c>
      <c r="P1578">
        <v>0.79024850604506403</v>
      </c>
      <c r="Q1578">
        <v>0.32721745453880702</v>
      </c>
      <c r="R1578">
        <v>1.25327955755132</v>
      </c>
      <c r="S1578">
        <v>19.6591438897653</v>
      </c>
      <c r="T1578">
        <v>3.5871214443386599</v>
      </c>
      <c r="U1578">
        <v>-1.98343678957138</v>
      </c>
      <c r="V1578">
        <v>2.1228042436192999E-3</v>
      </c>
      <c r="W1578">
        <v>2.9519679524517999E-2</v>
      </c>
      <c r="X1578">
        <v>0</v>
      </c>
      <c r="Y1578">
        <v>0</v>
      </c>
    </row>
    <row r="1579" spans="1:25" x14ac:dyDescent="0.2">
      <c r="A1579" t="s">
        <v>5926</v>
      </c>
      <c r="B1579" t="s">
        <v>5927</v>
      </c>
      <c r="C1579" t="s">
        <v>5928</v>
      </c>
      <c r="D1579" t="s">
        <v>5929</v>
      </c>
      <c r="E1579" t="s">
        <v>5927</v>
      </c>
      <c r="F1579" t="s">
        <v>28</v>
      </c>
      <c r="G1579" t="s">
        <v>5927</v>
      </c>
      <c r="H1579" t="str">
        <f>"sucg-1"</f>
        <v>sucg-1</v>
      </c>
      <c r="I1579" t="s">
        <v>5929</v>
      </c>
      <c r="J1579">
        <v>13.2695642581784</v>
      </c>
      <c r="K1579">
        <v>13.0105289253269</v>
      </c>
      <c r="L1579">
        <v>13.2204050831728</v>
      </c>
      <c r="M1579">
        <v>12.3896741882482</v>
      </c>
      <c r="N1579">
        <v>13.0116152552126</v>
      </c>
      <c r="O1579">
        <v>13.294439619536501</v>
      </c>
      <c r="P1579">
        <v>-0.26825640122691802</v>
      </c>
      <c r="Q1579">
        <v>-0.73835354854010604</v>
      </c>
      <c r="R1579">
        <v>0.20184074608627101</v>
      </c>
      <c r="S1579">
        <v>12.8547775600716</v>
      </c>
      <c r="T1579">
        <v>-1.2045157730476099</v>
      </c>
      <c r="U1579">
        <v>-6.3205774339511702</v>
      </c>
      <c r="V1579">
        <v>0.24499337877593999</v>
      </c>
      <c r="W1579">
        <v>0.51917993631945203</v>
      </c>
      <c r="X1579">
        <v>0</v>
      </c>
      <c r="Y1579">
        <v>0</v>
      </c>
    </row>
    <row r="1580" spans="1:25" x14ac:dyDescent="0.2">
      <c r="A1580" t="s">
        <v>5930</v>
      </c>
      <c r="B1580" t="s">
        <v>5931</v>
      </c>
      <c r="C1580" t="s">
        <v>5932</v>
      </c>
      <c r="D1580" t="s">
        <v>3133</v>
      </c>
      <c r="E1580" t="s">
        <v>5931</v>
      </c>
      <c r="F1580" t="s">
        <v>28</v>
      </c>
      <c r="G1580" t="s">
        <v>5931</v>
      </c>
      <c r="H1580" t="str">
        <f>"sucl-1"</f>
        <v>sucl-1</v>
      </c>
      <c r="I1580" t="s">
        <v>3133</v>
      </c>
      <c r="J1580">
        <v>15.0857453439883</v>
      </c>
      <c r="K1580">
        <v>15.1968513494291</v>
      </c>
      <c r="L1580">
        <v>14.8300950540446</v>
      </c>
      <c r="M1580">
        <v>15.054309747689899</v>
      </c>
      <c r="N1580">
        <v>14.7415712107621</v>
      </c>
      <c r="O1580">
        <v>14.9681153994238</v>
      </c>
      <c r="P1580">
        <v>-0.11623179652875699</v>
      </c>
      <c r="Q1580">
        <v>-0.78572454863270202</v>
      </c>
      <c r="R1580">
        <v>0.55326095557518895</v>
      </c>
      <c r="S1580">
        <v>14.9106029375689</v>
      </c>
      <c r="T1580">
        <v>-0.36489808479068198</v>
      </c>
      <c r="U1580">
        <v>-6.98256725690461</v>
      </c>
      <c r="V1580">
        <v>0.71946425362355404</v>
      </c>
      <c r="W1580">
        <v>0.87696920983197002</v>
      </c>
      <c r="X1580">
        <v>0</v>
      </c>
      <c r="Y1580">
        <v>0</v>
      </c>
    </row>
    <row r="1581" spans="1:25" x14ac:dyDescent="0.2">
      <c r="A1581" t="s">
        <v>5933</v>
      </c>
      <c r="B1581" t="s">
        <v>5934</v>
      </c>
      <c r="C1581" t="s">
        <v>5935</v>
      </c>
      <c r="D1581" t="s">
        <v>5936</v>
      </c>
      <c r="E1581" t="s">
        <v>5934</v>
      </c>
      <c r="F1581" t="s">
        <v>28</v>
      </c>
      <c r="G1581" t="s">
        <v>5934</v>
      </c>
      <c r="H1581" t="str">
        <f>"algn-11"</f>
        <v>algn-11</v>
      </c>
      <c r="I1581" t="s">
        <v>5936</v>
      </c>
      <c r="J1581">
        <v>11.320081391239301</v>
      </c>
      <c r="K1581">
        <v>11.374125092778099</v>
      </c>
      <c r="L1581">
        <v>11.9018723673328</v>
      </c>
      <c r="M1581">
        <v>10.2262167645905</v>
      </c>
      <c r="N1581">
        <v>11.242172108254399</v>
      </c>
      <c r="O1581">
        <v>10.265726064038899</v>
      </c>
      <c r="P1581">
        <v>-0.95398797148875003</v>
      </c>
      <c r="Q1581">
        <v>-1.6403112783101601</v>
      </c>
      <c r="R1581">
        <v>-0.26766466466733901</v>
      </c>
      <c r="S1581">
        <v>11.2626238274656</v>
      </c>
      <c r="T1581">
        <v>-2.94824575129272</v>
      </c>
      <c r="U1581">
        <v>-3.40097601169143</v>
      </c>
      <c r="V1581">
        <v>9.4962731763810898E-3</v>
      </c>
      <c r="W1581">
        <v>8.4428614524437298E-2</v>
      </c>
      <c r="X1581">
        <v>0</v>
      </c>
      <c r="Y1581">
        <v>0</v>
      </c>
    </row>
    <row r="1582" spans="1:25" x14ac:dyDescent="0.2">
      <c r="A1582" t="s">
        <v>5937</v>
      </c>
      <c r="B1582" t="s">
        <v>5938</v>
      </c>
      <c r="C1582" t="s">
        <v>5939</v>
      </c>
      <c r="D1582" t="s">
        <v>5940</v>
      </c>
      <c r="E1582" t="s">
        <v>5938</v>
      </c>
      <c r="F1582" t="s">
        <v>28</v>
      </c>
      <c r="G1582" t="s">
        <v>5938</v>
      </c>
      <c r="H1582" t="str">
        <f>"F44G4.1"</f>
        <v>F44G4.1</v>
      </c>
      <c r="I1582" t="s">
        <v>5940</v>
      </c>
      <c r="J1582">
        <v>13.9368678783148</v>
      </c>
      <c r="K1582">
        <v>13.856733804487501</v>
      </c>
      <c r="L1582">
        <v>13.7591645730219</v>
      </c>
      <c r="M1582">
        <v>13.8167364050526</v>
      </c>
      <c r="N1582">
        <v>13.8980276597988</v>
      </c>
      <c r="O1582">
        <v>13.945256271245499</v>
      </c>
      <c r="P1582">
        <v>3.5751360090911198E-2</v>
      </c>
      <c r="Q1582">
        <v>-0.32148401432434698</v>
      </c>
      <c r="R1582">
        <v>0.392986734506169</v>
      </c>
      <c r="S1582">
        <v>14.056733994304601</v>
      </c>
      <c r="T1582">
        <v>0.21124581998435399</v>
      </c>
      <c r="U1582">
        <v>-7.0286581030481097</v>
      </c>
      <c r="V1582">
        <v>0.83522254707213806</v>
      </c>
      <c r="W1582">
        <v>0.93299490840121402</v>
      </c>
      <c r="X1582">
        <v>0</v>
      </c>
      <c r="Y1582">
        <v>0</v>
      </c>
    </row>
    <row r="1583" spans="1:25" x14ac:dyDescent="0.2">
      <c r="A1583" t="s">
        <v>5941</v>
      </c>
      <c r="B1583" t="s">
        <v>5942</v>
      </c>
      <c r="C1583" t="s">
        <v>5943</v>
      </c>
      <c r="D1583" t="s">
        <v>5944</v>
      </c>
      <c r="E1583" t="s">
        <v>5942</v>
      </c>
      <c r="F1583" t="s">
        <v>28</v>
      </c>
      <c r="G1583" t="s">
        <v>5942</v>
      </c>
      <c r="H1583" t="str">
        <f>"eef-1G"</f>
        <v>eef-1G</v>
      </c>
      <c r="I1583" t="s">
        <v>5944</v>
      </c>
      <c r="J1583">
        <v>17.5525553468641</v>
      </c>
      <c r="K1583">
        <v>17.175004338615501</v>
      </c>
      <c r="L1583">
        <v>17.270201491673401</v>
      </c>
      <c r="M1583">
        <v>16.742218250391101</v>
      </c>
      <c r="N1583">
        <v>16.481872470815901</v>
      </c>
      <c r="O1583">
        <v>17.017899044469399</v>
      </c>
      <c r="P1583">
        <v>-0.58525713715886596</v>
      </c>
      <c r="Q1583">
        <v>-0.95433224629296998</v>
      </c>
      <c r="R1583">
        <v>-0.216182028024762</v>
      </c>
      <c r="S1583">
        <v>16.7005288317823</v>
      </c>
      <c r="T1583">
        <v>-3.33291681871217</v>
      </c>
      <c r="U1583">
        <v>-2.5329543487833601</v>
      </c>
      <c r="V1583">
        <v>3.7254722896853899E-3</v>
      </c>
      <c r="W1583">
        <v>4.42367101496123E-2</v>
      </c>
      <c r="X1583">
        <v>0</v>
      </c>
      <c r="Y1583">
        <v>0</v>
      </c>
    </row>
    <row r="1584" spans="1:25" x14ac:dyDescent="0.2">
      <c r="A1584" t="s">
        <v>5945</v>
      </c>
      <c r="B1584" t="s">
        <v>5946</v>
      </c>
      <c r="C1584" t="s">
        <v>5947</v>
      </c>
      <c r="D1584" t="s">
        <v>5948</v>
      </c>
      <c r="E1584" t="s">
        <v>5946</v>
      </c>
      <c r="F1584" t="s">
        <v>28</v>
      </c>
      <c r="G1584" t="s">
        <v>5946</v>
      </c>
      <c r="H1584" t="str">
        <f>"bcat-1"</f>
        <v>bcat-1</v>
      </c>
      <c r="I1584" t="s">
        <v>5948</v>
      </c>
      <c r="J1584">
        <v>14.0142703225858</v>
      </c>
      <c r="K1584">
        <v>13.9776348015541</v>
      </c>
      <c r="L1584">
        <v>14.2985163921091</v>
      </c>
      <c r="M1584">
        <v>13.914875297648599</v>
      </c>
      <c r="N1584">
        <v>14.462192580690401</v>
      </c>
      <c r="O1584">
        <v>14.165607698659301</v>
      </c>
      <c r="P1584">
        <v>8.4084686916392898E-2</v>
      </c>
      <c r="Q1584">
        <v>-0.634087120425186</v>
      </c>
      <c r="R1584">
        <v>0.80225649425797196</v>
      </c>
      <c r="S1584">
        <v>13.929559887799</v>
      </c>
      <c r="T1584">
        <v>0.24608269377658601</v>
      </c>
      <c r="U1584">
        <v>-7.0204048468706501</v>
      </c>
      <c r="V1584">
        <v>0.80841867015278401</v>
      </c>
      <c r="W1584">
        <v>0.91833642628581302</v>
      </c>
      <c r="X1584">
        <v>0</v>
      </c>
      <c r="Y1584">
        <v>0</v>
      </c>
    </row>
    <row r="1585" spans="1:25" x14ac:dyDescent="0.2">
      <c r="A1585" t="s">
        <v>5949</v>
      </c>
      <c r="B1585" t="s">
        <v>5950</v>
      </c>
      <c r="C1585" t="s">
        <v>5951</v>
      </c>
      <c r="D1585" t="s">
        <v>5952</v>
      </c>
      <c r="E1585" t="s">
        <v>5950</v>
      </c>
      <c r="F1585" t="s">
        <v>28</v>
      </c>
      <c r="G1585" t="s">
        <v>5950</v>
      </c>
      <c r="H1585" t="str">
        <f>"cdc-48.1"</f>
        <v>cdc-48.1</v>
      </c>
      <c r="I1585" t="s">
        <v>5952</v>
      </c>
      <c r="J1585">
        <v>14.1212994008919</v>
      </c>
      <c r="K1585">
        <v>13.986673391709999</v>
      </c>
      <c r="L1585">
        <v>14.026689709351601</v>
      </c>
      <c r="M1585">
        <v>13.8109454122436</v>
      </c>
      <c r="N1585">
        <v>14.5136002067393</v>
      </c>
      <c r="O1585">
        <v>14.262184232067799</v>
      </c>
      <c r="P1585">
        <v>0.150689116365715</v>
      </c>
      <c r="Q1585">
        <v>-0.3173460851205</v>
      </c>
      <c r="R1585">
        <v>0.61872431785193005</v>
      </c>
      <c r="S1585">
        <v>14.213278783082799</v>
      </c>
      <c r="T1585">
        <v>0.67669953997110899</v>
      </c>
      <c r="U1585">
        <v>-6.8151472405774003</v>
      </c>
      <c r="V1585">
        <v>0.50725015080384805</v>
      </c>
      <c r="W1585">
        <v>0.75821405060343505</v>
      </c>
      <c r="X1585">
        <v>0</v>
      </c>
      <c r="Y1585">
        <v>0</v>
      </c>
    </row>
    <row r="1586" spans="1:25" x14ac:dyDescent="0.2">
      <c r="A1586" t="s">
        <v>5953</v>
      </c>
      <c r="B1586" t="s">
        <v>5954</v>
      </c>
      <c r="C1586" t="s">
        <v>5955</v>
      </c>
      <c r="D1586" t="s">
        <v>5956</v>
      </c>
      <c r="E1586" t="s">
        <v>5954</v>
      </c>
      <c r="F1586" t="s">
        <v>28</v>
      </c>
      <c r="G1586" t="s">
        <v>5954</v>
      </c>
      <c r="H1586" t="str">
        <f>"cdc-48.2"</f>
        <v>cdc-48.2</v>
      </c>
      <c r="I1586" t="s">
        <v>5956</v>
      </c>
      <c r="J1586">
        <v>16.281687499314302</v>
      </c>
      <c r="K1586">
        <v>16.163597428706801</v>
      </c>
      <c r="L1586">
        <v>16.268361303348801</v>
      </c>
      <c r="M1586">
        <v>16.039423712786601</v>
      </c>
      <c r="N1586">
        <v>16.308650944512699</v>
      </c>
      <c r="O1586">
        <v>16.4798368255077</v>
      </c>
      <c r="P1586">
        <v>3.8088417145683499E-2</v>
      </c>
      <c r="Q1586">
        <v>-0.32406361651607102</v>
      </c>
      <c r="R1586">
        <v>0.40024045080743798</v>
      </c>
      <c r="S1586">
        <v>16.316861226319698</v>
      </c>
      <c r="T1586">
        <v>0.221052031114048</v>
      </c>
      <c r="U1586">
        <v>-7.0265137482028504</v>
      </c>
      <c r="V1586">
        <v>0.82755453074575702</v>
      </c>
      <c r="W1586">
        <v>0.93082006327227595</v>
      </c>
      <c r="X1586">
        <v>0</v>
      </c>
      <c r="Y1586">
        <v>0</v>
      </c>
    </row>
    <row r="1587" spans="1:25" x14ac:dyDescent="0.2">
      <c r="A1587" t="s">
        <v>5957</v>
      </c>
      <c r="B1587" t="s">
        <v>5958</v>
      </c>
      <c r="C1587" t="s">
        <v>5959</v>
      </c>
      <c r="D1587" t="s">
        <v>5960</v>
      </c>
      <c r="E1587" t="s">
        <v>5958</v>
      </c>
      <c r="F1587" t="s">
        <v>28</v>
      </c>
      <c r="G1587" t="s">
        <v>5958</v>
      </c>
      <c r="H1587" t="str">
        <f>"ymel-1"</f>
        <v>ymel-1</v>
      </c>
      <c r="I1587" t="s">
        <v>5960</v>
      </c>
      <c r="J1587">
        <v>12.6531711938635</v>
      </c>
      <c r="K1587">
        <v>12.6652192937559</v>
      </c>
      <c r="L1587">
        <v>12.532896191053201</v>
      </c>
      <c r="M1587">
        <v>12.405329120435701</v>
      </c>
      <c r="N1587">
        <v>13.5423249566634</v>
      </c>
      <c r="O1587">
        <v>12.9690512265135</v>
      </c>
      <c r="P1587">
        <v>0.35513954164667</v>
      </c>
      <c r="Q1587">
        <v>-0.19201108339631301</v>
      </c>
      <c r="R1587">
        <v>0.90229016668965401</v>
      </c>
      <c r="S1587">
        <v>12.730731286149901</v>
      </c>
      <c r="T1587">
        <v>1.3767074417190801</v>
      </c>
      <c r="U1587">
        <v>-6.1078686542166398</v>
      </c>
      <c r="V1587">
        <v>0.18768602735562601</v>
      </c>
      <c r="W1587">
        <v>0.45039110104366298</v>
      </c>
      <c r="X1587">
        <v>0</v>
      </c>
      <c r="Y1587">
        <v>0</v>
      </c>
    </row>
    <row r="1588" spans="1:25" x14ac:dyDescent="0.2">
      <c r="A1588" t="s">
        <v>5961</v>
      </c>
      <c r="B1588" t="s">
        <v>5962</v>
      </c>
      <c r="C1588" t="s">
        <v>5963</v>
      </c>
      <c r="D1588" t="s">
        <v>5964</v>
      </c>
      <c r="E1588" t="s">
        <v>5962</v>
      </c>
      <c r="F1588" t="s">
        <v>28</v>
      </c>
      <c r="G1588" t="s">
        <v>5962</v>
      </c>
      <c r="H1588" t="str">
        <f>"mspn-1"</f>
        <v>mspn-1</v>
      </c>
      <c r="I1588" t="s">
        <v>5964</v>
      </c>
      <c r="J1588" t="s">
        <v>29</v>
      </c>
      <c r="K1588" t="s">
        <v>29</v>
      </c>
      <c r="L1588" t="s">
        <v>29</v>
      </c>
      <c r="M1588" t="s">
        <v>29</v>
      </c>
      <c r="N1588" t="s">
        <v>29</v>
      </c>
      <c r="O1588" t="s">
        <v>29</v>
      </c>
      <c r="P1588" t="s">
        <v>29</v>
      </c>
      <c r="Q1588" t="s">
        <v>29</v>
      </c>
      <c r="R1588" t="s">
        <v>29</v>
      </c>
      <c r="S1588">
        <v>12.757369242060699</v>
      </c>
      <c r="T1588" t="s">
        <v>29</v>
      </c>
      <c r="U1588" t="s">
        <v>29</v>
      </c>
      <c r="V1588" t="s">
        <v>29</v>
      </c>
      <c r="W1588" t="s">
        <v>29</v>
      </c>
      <c r="X1588" t="s">
        <v>29</v>
      </c>
      <c r="Y1588" t="s">
        <v>29</v>
      </c>
    </row>
    <row r="1589" spans="1:25" x14ac:dyDescent="0.2">
      <c r="A1589" t="s">
        <v>5965</v>
      </c>
      <c r="B1589" t="s">
        <v>5966</v>
      </c>
      <c r="C1589" t="s">
        <v>5967</v>
      </c>
      <c r="D1589" t="s">
        <v>5968</v>
      </c>
      <c r="E1589" t="s">
        <v>5966</v>
      </c>
      <c r="F1589" t="s">
        <v>28</v>
      </c>
      <c r="G1589" t="s">
        <v>5966</v>
      </c>
      <c r="H1589" t="str">
        <f>"lex-1"</f>
        <v>lex-1</v>
      </c>
      <c r="I1589" t="s">
        <v>5968</v>
      </c>
      <c r="J1589">
        <v>13.0795814686995</v>
      </c>
      <c r="K1589">
        <v>13.1749969630993</v>
      </c>
      <c r="L1589">
        <v>13.4713155988954</v>
      </c>
      <c r="M1589">
        <v>13.0178488834609</v>
      </c>
      <c r="N1589">
        <v>13.5570646498425</v>
      </c>
      <c r="O1589">
        <v>13.081311937128399</v>
      </c>
      <c r="P1589">
        <v>-2.3222853420792298E-2</v>
      </c>
      <c r="Q1589">
        <v>-0.49161225601025299</v>
      </c>
      <c r="R1589">
        <v>0.44516654916866799</v>
      </c>
      <c r="S1589">
        <v>13.9526597687557</v>
      </c>
      <c r="T1589">
        <v>-0.10465465096762901</v>
      </c>
      <c r="U1589">
        <v>-7.0463304834390001</v>
      </c>
      <c r="V1589">
        <v>0.91788224002204399</v>
      </c>
      <c r="W1589">
        <v>0.97097266687745498</v>
      </c>
      <c r="X1589">
        <v>0</v>
      </c>
      <c r="Y1589">
        <v>0</v>
      </c>
    </row>
    <row r="1590" spans="1:25" x14ac:dyDescent="0.2">
      <c r="A1590" t="s">
        <v>5969</v>
      </c>
      <c r="B1590" t="s">
        <v>5970</v>
      </c>
      <c r="C1590" t="s">
        <v>5971</v>
      </c>
      <c r="D1590" t="s">
        <v>5972</v>
      </c>
      <c r="E1590" t="s">
        <v>5970</v>
      </c>
      <c r="F1590" t="s">
        <v>28</v>
      </c>
      <c r="G1590" t="s">
        <v>5970</v>
      </c>
      <c r="H1590" t="str">
        <f>"alh-13"</f>
        <v>alh-13</v>
      </c>
      <c r="I1590" t="s">
        <v>5972</v>
      </c>
      <c r="J1590">
        <v>16.9386076855067</v>
      </c>
      <c r="K1590">
        <v>16.8843536210045</v>
      </c>
      <c r="L1590">
        <v>16.7637501646978</v>
      </c>
      <c r="M1590">
        <v>16.516262689209402</v>
      </c>
      <c r="N1590">
        <v>16.605311756941699</v>
      </c>
      <c r="O1590">
        <v>16.6954699849924</v>
      </c>
      <c r="P1590">
        <v>-0.25655568002183998</v>
      </c>
      <c r="Q1590">
        <v>-0.57229020493008798</v>
      </c>
      <c r="R1590">
        <v>5.9178844886407303E-2</v>
      </c>
      <c r="S1590">
        <v>16.529796825983698</v>
      </c>
      <c r="T1590">
        <v>-1.70785923968454</v>
      </c>
      <c r="U1590">
        <v>-5.6368343978713504</v>
      </c>
      <c r="V1590">
        <v>0.10495145011953801</v>
      </c>
      <c r="W1590">
        <v>0.33481570459703702</v>
      </c>
      <c r="X1590">
        <v>0</v>
      </c>
      <c r="Y1590">
        <v>0</v>
      </c>
    </row>
    <row r="1591" spans="1:25" x14ac:dyDescent="0.2">
      <c r="A1591" t="s">
        <v>5973</v>
      </c>
      <c r="B1591" t="s">
        <v>5974</v>
      </c>
      <c r="C1591" t="s">
        <v>5975</v>
      </c>
      <c r="D1591" t="s">
        <v>5976</v>
      </c>
      <c r="E1591" t="s">
        <v>5974</v>
      </c>
      <c r="F1591" t="s">
        <v>28</v>
      </c>
      <c r="G1591" t="s">
        <v>5974</v>
      </c>
      <c r="H1591" t="str">
        <f>"vit-1"</f>
        <v>vit-1</v>
      </c>
      <c r="I1591" t="s">
        <v>5976</v>
      </c>
      <c r="J1591">
        <v>16.8087423819841</v>
      </c>
      <c r="K1591">
        <v>16.464960856388402</v>
      </c>
      <c r="L1591">
        <v>17.215112766124399</v>
      </c>
      <c r="M1591">
        <v>16.5577457011421</v>
      </c>
      <c r="N1591">
        <v>16.821486222555698</v>
      </c>
      <c r="O1591">
        <v>16.268439106771901</v>
      </c>
      <c r="P1591">
        <v>-0.28038165800907999</v>
      </c>
      <c r="Q1591">
        <v>-0.67868713390209501</v>
      </c>
      <c r="R1591">
        <v>0.11792381788393499</v>
      </c>
      <c r="S1591">
        <v>17.168108250842199</v>
      </c>
      <c r="T1591">
        <v>-1.4795370177556999</v>
      </c>
      <c r="U1591">
        <v>-5.9702937256462096</v>
      </c>
      <c r="V1591">
        <v>0.156386075871674</v>
      </c>
      <c r="W1591">
        <v>0.40743017685062299</v>
      </c>
      <c r="X1591">
        <v>0</v>
      </c>
      <c r="Y1591">
        <v>0</v>
      </c>
    </row>
    <row r="1592" spans="1:25" x14ac:dyDescent="0.2">
      <c r="A1592" t="s">
        <v>5977</v>
      </c>
      <c r="B1592" t="s">
        <v>5978</v>
      </c>
      <c r="C1592" t="s">
        <v>5979</v>
      </c>
      <c r="D1592" t="s">
        <v>5980</v>
      </c>
      <c r="E1592" t="s">
        <v>5978</v>
      </c>
      <c r="F1592" t="s">
        <v>28</v>
      </c>
      <c r="G1592" t="s">
        <v>5978</v>
      </c>
      <c r="H1592" t="str">
        <f>"gex-3"</f>
        <v>gex-3</v>
      </c>
      <c r="I1592" t="s">
        <v>5980</v>
      </c>
      <c r="J1592">
        <v>12.9893942897451</v>
      </c>
      <c r="K1592">
        <v>11.4636860561876</v>
      </c>
      <c r="L1592">
        <v>11.664030904922701</v>
      </c>
      <c r="M1592">
        <v>11.7793108323052</v>
      </c>
      <c r="N1592">
        <v>12.2542133550537</v>
      </c>
      <c r="O1592">
        <v>10.8280228624951</v>
      </c>
      <c r="P1592">
        <v>-0.41852140033383201</v>
      </c>
      <c r="Q1592">
        <v>-1.23700681001811</v>
      </c>
      <c r="R1592">
        <v>0.39996400935044102</v>
      </c>
      <c r="S1592">
        <v>11.859543009924</v>
      </c>
      <c r="T1592">
        <v>-1.0793361941794599</v>
      </c>
      <c r="U1592">
        <v>-6.4599969068576497</v>
      </c>
      <c r="V1592">
        <v>0.29560633065217001</v>
      </c>
      <c r="W1592">
        <v>0.57358556943480099</v>
      </c>
      <c r="X1592">
        <v>0</v>
      </c>
      <c r="Y1592">
        <v>0</v>
      </c>
    </row>
    <row r="1593" spans="1:25" x14ac:dyDescent="0.2">
      <c r="A1593" t="s">
        <v>5981</v>
      </c>
      <c r="B1593" t="s">
        <v>5982</v>
      </c>
      <c r="C1593" t="s">
        <v>5983</v>
      </c>
      <c r="D1593" t="s">
        <v>5984</v>
      </c>
      <c r="E1593" t="s">
        <v>5982</v>
      </c>
      <c r="F1593" t="s">
        <v>28</v>
      </c>
      <c r="G1593" t="s">
        <v>5982</v>
      </c>
      <c r="H1593" t="str">
        <f>"cth-2"</f>
        <v>cth-2</v>
      </c>
      <c r="I1593" t="s">
        <v>5984</v>
      </c>
      <c r="J1593">
        <v>14.2888939522712</v>
      </c>
      <c r="K1593">
        <v>14.2323091508638</v>
      </c>
      <c r="L1593">
        <v>14.4361205984516</v>
      </c>
      <c r="M1593">
        <v>14.0463155999677</v>
      </c>
      <c r="N1593">
        <v>13.9537986687033</v>
      </c>
      <c r="O1593">
        <v>13.8322510602883</v>
      </c>
      <c r="P1593">
        <v>-0.374986124209091</v>
      </c>
      <c r="Q1593">
        <v>-0.81162589107098204</v>
      </c>
      <c r="R1593">
        <v>6.1653642652800801E-2</v>
      </c>
      <c r="S1593">
        <v>14.490827103760701</v>
      </c>
      <c r="T1593">
        <v>-1.80502999981956</v>
      </c>
      <c r="U1593">
        <v>-5.4844573791468303</v>
      </c>
      <c r="V1593">
        <v>8.7924510872712802E-2</v>
      </c>
      <c r="W1593">
        <v>0.30307876947013501</v>
      </c>
      <c r="X1593">
        <v>0</v>
      </c>
      <c r="Y1593">
        <v>0</v>
      </c>
    </row>
    <row r="1594" spans="1:25" x14ac:dyDescent="0.2">
      <c r="A1594" t="s">
        <v>5985</v>
      </c>
      <c r="B1594" t="s">
        <v>5986</v>
      </c>
      <c r="C1594" t="s">
        <v>5987</v>
      </c>
      <c r="D1594" t="s">
        <v>5988</v>
      </c>
      <c r="E1594" t="s">
        <v>5986</v>
      </c>
      <c r="F1594" t="s">
        <v>28</v>
      </c>
      <c r="G1594" t="s">
        <v>5986</v>
      </c>
      <c r="H1594" t="str">
        <f>"F13E6.1"</f>
        <v>F13E6.1</v>
      </c>
      <c r="I1594" t="s">
        <v>5988</v>
      </c>
      <c r="J1594" t="s">
        <v>29</v>
      </c>
      <c r="K1594" t="s">
        <v>29</v>
      </c>
      <c r="L1594" t="s">
        <v>29</v>
      </c>
      <c r="M1594">
        <v>13.855884865617</v>
      </c>
      <c r="N1594">
        <v>13.398046632123799</v>
      </c>
      <c r="O1594">
        <v>13.338877371432</v>
      </c>
      <c r="P1594" t="s">
        <v>29</v>
      </c>
      <c r="Q1594" t="s">
        <v>29</v>
      </c>
      <c r="R1594" t="s">
        <v>29</v>
      </c>
      <c r="S1594">
        <v>12.088738712292701</v>
      </c>
      <c r="T1594" t="s">
        <v>29</v>
      </c>
      <c r="U1594" t="s">
        <v>29</v>
      </c>
      <c r="V1594" t="s">
        <v>29</v>
      </c>
      <c r="W1594" t="s">
        <v>29</v>
      </c>
      <c r="X1594" t="s">
        <v>29</v>
      </c>
      <c r="Y1594" t="s">
        <v>29</v>
      </c>
    </row>
    <row r="1595" spans="1:25" x14ac:dyDescent="0.2">
      <c r="A1595" t="s">
        <v>5989</v>
      </c>
      <c r="B1595" t="s">
        <v>5990</v>
      </c>
      <c r="C1595" t="s">
        <v>5991</v>
      </c>
      <c r="D1595" t="s">
        <v>5992</v>
      </c>
      <c r="E1595" t="s">
        <v>5990</v>
      </c>
      <c r="F1595" t="s">
        <v>28</v>
      </c>
      <c r="G1595" t="s">
        <v>5990</v>
      </c>
      <c r="H1595" t="str">
        <f>"smo-1"</f>
        <v>smo-1</v>
      </c>
      <c r="I1595" t="s">
        <v>5992</v>
      </c>
      <c r="J1595">
        <v>11.0987097954712</v>
      </c>
      <c r="K1595" t="s">
        <v>29</v>
      </c>
      <c r="L1595">
        <v>11.8371485164914</v>
      </c>
      <c r="M1595">
        <v>11.125510986063301</v>
      </c>
      <c r="N1595">
        <v>11.4465650423599</v>
      </c>
      <c r="O1595">
        <v>12.3352626864662</v>
      </c>
      <c r="P1595">
        <v>0.16785041564857101</v>
      </c>
      <c r="Q1595">
        <v>-0.92121126359447503</v>
      </c>
      <c r="R1595">
        <v>1.2569120948916199</v>
      </c>
      <c r="S1595">
        <v>12.777591174947</v>
      </c>
      <c r="T1595">
        <v>0.328708965863931</v>
      </c>
      <c r="U1595">
        <v>-6.8845162730337401</v>
      </c>
      <c r="V1595">
        <v>0.74695165955161702</v>
      </c>
      <c r="W1595">
        <v>0.89235361033480298</v>
      </c>
      <c r="X1595">
        <v>0</v>
      </c>
      <c r="Y1595">
        <v>0</v>
      </c>
    </row>
    <row r="1596" spans="1:25" x14ac:dyDescent="0.2">
      <c r="A1596" t="s">
        <v>5993</v>
      </c>
      <c r="B1596" t="s">
        <v>5994</v>
      </c>
      <c r="C1596" t="s">
        <v>5995</v>
      </c>
      <c r="D1596" t="s">
        <v>5996</v>
      </c>
      <c r="E1596" t="s">
        <v>5994</v>
      </c>
      <c r="F1596" t="s">
        <v>28</v>
      </c>
      <c r="G1596" t="s">
        <v>5994</v>
      </c>
      <c r="H1596" t="str">
        <f>"asp-3"</f>
        <v>asp-3</v>
      </c>
      <c r="I1596" t="s">
        <v>5996</v>
      </c>
      <c r="J1596">
        <v>11.5535124192598</v>
      </c>
      <c r="K1596">
        <v>11.242654385003799</v>
      </c>
      <c r="L1596">
        <v>11.9809318206337</v>
      </c>
      <c r="M1596">
        <v>12.0420807910709</v>
      </c>
      <c r="N1596" t="s">
        <v>29</v>
      </c>
      <c r="O1596">
        <v>12.1118975714691</v>
      </c>
      <c r="P1596">
        <v>0.48462297297090601</v>
      </c>
      <c r="Q1596">
        <v>-0.216101564540916</v>
      </c>
      <c r="R1596">
        <v>1.18534751048273</v>
      </c>
      <c r="S1596">
        <v>12.0989967249293</v>
      </c>
      <c r="T1596">
        <v>1.4750212523311801</v>
      </c>
      <c r="U1596">
        <v>-5.8685211320458297</v>
      </c>
      <c r="V1596">
        <v>0.161029839365811</v>
      </c>
      <c r="W1596">
        <v>0.41380823509628401</v>
      </c>
      <c r="X1596">
        <v>0</v>
      </c>
      <c r="Y1596">
        <v>0</v>
      </c>
    </row>
    <row r="1597" spans="1:25" x14ac:dyDescent="0.2">
      <c r="A1597" t="s">
        <v>5997</v>
      </c>
      <c r="B1597" t="s">
        <v>5998</v>
      </c>
      <c r="C1597" t="s">
        <v>5999</v>
      </c>
      <c r="D1597" t="s">
        <v>6000</v>
      </c>
      <c r="E1597" t="s">
        <v>5998</v>
      </c>
      <c r="F1597" t="s">
        <v>28</v>
      </c>
      <c r="G1597" t="s">
        <v>5998</v>
      </c>
      <c r="H1597" t="str">
        <f>"arx-6"</f>
        <v>arx-6</v>
      </c>
      <c r="I1597" t="s">
        <v>6000</v>
      </c>
      <c r="J1597">
        <v>15.689890819857901</v>
      </c>
      <c r="K1597">
        <v>15.586847790647999</v>
      </c>
      <c r="L1597">
        <v>15.479028056647101</v>
      </c>
      <c r="M1597">
        <v>15.008815053150499</v>
      </c>
      <c r="N1597">
        <v>15.099521741502</v>
      </c>
      <c r="O1597">
        <v>14.9836507280719</v>
      </c>
      <c r="P1597">
        <v>-0.55459304814288801</v>
      </c>
      <c r="Q1597">
        <v>-0.84476130549953898</v>
      </c>
      <c r="R1597">
        <v>-0.26442479078623599</v>
      </c>
      <c r="S1597">
        <v>15.0488696245766</v>
      </c>
      <c r="T1597">
        <v>-4.0171406063085104</v>
      </c>
      <c r="U1597">
        <v>-1.04166015983074</v>
      </c>
      <c r="V1597">
        <v>8.1661266120761403E-4</v>
      </c>
      <c r="W1597">
        <v>1.58170095212475E-2</v>
      </c>
      <c r="X1597">
        <v>0</v>
      </c>
      <c r="Y1597">
        <v>0</v>
      </c>
    </row>
    <row r="1598" spans="1:25" x14ac:dyDescent="0.2">
      <c r="A1598" t="s">
        <v>6001</v>
      </c>
      <c r="B1598" t="s">
        <v>6002</v>
      </c>
      <c r="C1598" t="s">
        <v>6003</v>
      </c>
      <c r="D1598" t="s">
        <v>6004</v>
      </c>
      <c r="E1598" t="s">
        <v>6002</v>
      </c>
      <c r="F1598" t="s">
        <v>28</v>
      </c>
      <c r="G1598" t="s">
        <v>6002</v>
      </c>
      <c r="H1598" t="str">
        <f>"rpl-12"</f>
        <v>rpl-12</v>
      </c>
      <c r="I1598" t="s">
        <v>6004</v>
      </c>
      <c r="J1598">
        <v>14.6086018768193</v>
      </c>
      <c r="K1598">
        <v>14.963402727037399</v>
      </c>
      <c r="L1598">
        <v>15.3302612597523</v>
      </c>
      <c r="M1598">
        <v>14.7829120724608</v>
      </c>
      <c r="N1598">
        <v>14.6276743477632</v>
      </c>
      <c r="O1598">
        <v>15.954058444264501</v>
      </c>
      <c r="P1598">
        <v>0.154126333626492</v>
      </c>
      <c r="Q1598">
        <v>-0.71616520667734795</v>
      </c>
      <c r="R1598">
        <v>1.02441787393033</v>
      </c>
      <c r="S1598">
        <v>15.264596057150399</v>
      </c>
      <c r="T1598">
        <v>0.37222419441547799</v>
      </c>
      <c r="U1598">
        <v>-6.97975866704616</v>
      </c>
      <c r="V1598">
        <v>0.71409738301335002</v>
      </c>
      <c r="W1598">
        <v>0.873674761132195</v>
      </c>
      <c r="X1598">
        <v>0</v>
      </c>
      <c r="Y1598">
        <v>0</v>
      </c>
    </row>
    <row r="1599" spans="1:25" x14ac:dyDescent="0.2">
      <c r="A1599" t="s">
        <v>6005</v>
      </c>
      <c r="B1599" t="s">
        <v>6006</v>
      </c>
      <c r="C1599" t="s">
        <v>6007</v>
      </c>
      <c r="D1599" t="s">
        <v>6008</v>
      </c>
      <c r="E1599" t="s">
        <v>6006</v>
      </c>
      <c r="F1599" t="s">
        <v>28</v>
      </c>
      <c r="G1599" t="s">
        <v>6006</v>
      </c>
      <c r="H1599" t="str">
        <f>"his-67"</f>
        <v>his-67</v>
      </c>
      <c r="I1599" t="s">
        <v>6008</v>
      </c>
      <c r="J1599">
        <v>18.221761992707499</v>
      </c>
      <c r="K1599">
        <v>18.728575537074601</v>
      </c>
      <c r="L1599">
        <v>18.623623033785499</v>
      </c>
      <c r="M1599">
        <v>18.594780479728499</v>
      </c>
      <c r="N1599">
        <v>17.709319556119699</v>
      </c>
      <c r="O1599">
        <v>18.896684288486199</v>
      </c>
      <c r="P1599">
        <v>-0.12439207974442799</v>
      </c>
      <c r="Q1599">
        <v>-0.92295497548995797</v>
      </c>
      <c r="R1599">
        <v>0.67417081600110096</v>
      </c>
      <c r="S1599">
        <v>18.352833711731101</v>
      </c>
      <c r="T1599">
        <v>-0.32739806986550302</v>
      </c>
      <c r="U1599">
        <v>-6.99608111798391</v>
      </c>
      <c r="V1599">
        <v>0.74716578661547295</v>
      </c>
      <c r="W1599">
        <v>0.89235361033480298</v>
      </c>
      <c r="X1599">
        <v>0</v>
      </c>
      <c r="Y1599">
        <v>0</v>
      </c>
    </row>
    <row r="1600" spans="1:25" x14ac:dyDescent="0.2">
      <c r="A1600" t="s">
        <v>6009</v>
      </c>
      <c r="B1600" t="s">
        <v>6010</v>
      </c>
      <c r="C1600" t="s">
        <v>6011</v>
      </c>
      <c r="D1600" t="s">
        <v>6012</v>
      </c>
      <c r="E1600" t="s">
        <v>6010</v>
      </c>
      <c r="F1600" t="s">
        <v>28</v>
      </c>
      <c r="G1600" t="s">
        <v>6010</v>
      </c>
      <c r="H1600" t="str">
        <f>"eif-2Bgamma"</f>
        <v>eif-2Bgamma</v>
      </c>
      <c r="I1600" t="s">
        <v>6012</v>
      </c>
      <c r="J1600" t="s">
        <v>29</v>
      </c>
      <c r="K1600" t="s">
        <v>29</v>
      </c>
      <c r="L1600">
        <v>11.062487126470501</v>
      </c>
      <c r="M1600" t="s">
        <v>29</v>
      </c>
      <c r="N1600" t="s">
        <v>29</v>
      </c>
      <c r="O1600" t="s">
        <v>29</v>
      </c>
      <c r="P1600" t="s">
        <v>29</v>
      </c>
      <c r="Q1600" t="s">
        <v>29</v>
      </c>
      <c r="R1600" t="s">
        <v>29</v>
      </c>
      <c r="S1600">
        <v>12.5906656675319</v>
      </c>
      <c r="T1600" t="s">
        <v>29</v>
      </c>
      <c r="U1600" t="s">
        <v>29</v>
      </c>
      <c r="V1600" t="s">
        <v>29</v>
      </c>
      <c r="W1600" t="s">
        <v>29</v>
      </c>
      <c r="X1600" t="s">
        <v>29</v>
      </c>
      <c r="Y1600" t="s">
        <v>29</v>
      </c>
    </row>
    <row r="1601" spans="1:25" x14ac:dyDescent="0.2">
      <c r="A1601" t="s">
        <v>6013</v>
      </c>
      <c r="B1601" t="s">
        <v>6014</v>
      </c>
      <c r="C1601" t="s">
        <v>6015</v>
      </c>
      <c r="D1601" t="s">
        <v>6016</v>
      </c>
      <c r="E1601" t="s">
        <v>6014</v>
      </c>
      <c r="F1601" t="s">
        <v>28</v>
      </c>
      <c r="G1601" t="s">
        <v>6014</v>
      </c>
      <c r="H1601" t="str">
        <f>"cdc-14"</f>
        <v>cdc-14</v>
      </c>
      <c r="I1601" t="s">
        <v>6016</v>
      </c>
      <c r="J1601">
        <v>13.243309867012</v>
      </c>
      <c r="K1601">
        <v>13.604331562137901</v>
      </c>
      <c r="L1601">
        <v>13.725254241239201</v>
      </c>
      <c r="M1601">
        <v>13.2302368367043</v>
      </c>
      <c r="N1601">
        <v>12.4900333162831</v>
      </c>
      <c r="O1601">
        <v>13.5052218560126</v>
      </c>
      <c r="P1601">
        <v>-0.44913455379634498</v>
      </c>
      <c r="Q1601">
        <v>-0.94659676834449902</v>
      </c>
      <c r="R1601">
        <v>4.8327660751809602E-2</v>
      </c>
      <c r="S1601">
        <v>13.2415650704261</v>
      </c>
      <c r="T1601">
        <v>-1.90575199339058</v>
      </c>
      <c r="U1601">
        <v>-5.3239601431712602</v>
      </c>
      <c r="V1601">
        <v>7.38429470225382E-2</v>
      </c>
      <c r="W1601">
        <v>0.27778606891484298</v>
      </c>
      <c r="X1601">
        <v>0</v>
      </c>
      <c r="Y1601">
        <v>0</v>
      </c>
    </row>
    <row r="1602" spans="1:25" x14ac:dyDescent="0.2">
      <c r="A1602" t="s">
        <v>6017</v>
      </c>
      <c r="B1602" t="s">
        <v>6018</v>
      </c>
      <c r="C1602" t="s">
        <v>6019</v>
      </c>
      <c r="D1602" t="s">
        <v>6020</v>
      </c>
      <c r="E1602" t="s">
        <v>6018</v>
      </c>
      <c r="F1602" t="s">
        <v>28</v>
      </c>
      <c r="G1602" t="s">
        <v>6018</v>
      </c>
      <c r="H1602" t="str">
        <f>"snap-29"</f>
        <v>snap-29</v>
      </c>
      <c r="I1602" t="s">
        <v>6020</v>
      </c>
      <c r="J1602" t="s">
        <v>29</v>
      </c>
      <c r="K1602" t="s">
        <v>29</v>
      </c>
      <c r="L1602">
        <v>11.6064249704422</v>
      </c>
      <c r="M1602">
        <v>14.688724892270599</v>
      </c>
      <c r="N1602">
        <v>14.389873513635299</v>
      </c>
      <c r="O1602">
        <v>14.1914441515636</v>
      </c>
      <c r="P1602">
        <v>2.8169225487142699</v>
      </c>
      <c r="Q1602">
        <v>1.99413812015991</v>
      </c>
      <c r="R1602">
        <v>3.6397069772686401</v>
      </c>
      <c r="S1602">
        <v>13.029214159653201</v>
      </c>
      <c r="T1602">
        <v>7.3481960551442302</v>
      </c>
      <c r="U1602">
        <v>4.6949348836871003</v>
      </c>
      <c r="V1602" s="2">
        <v>3.79413878611824E-6</v>
      </c>
      <c r="W1602">
        <v>1.8364150846733799E-4</v>
      </c>
      <c r="X1602">
        <v>1</v>
      </c>
      <c r="Y1602">
        <v>1</v>
      </c>
    </row>
    <row r="1603" spans="1:25" x14ac:dyDescent="0.2">
      <c r="A1603" t="s">
        <v>6021</v>
      </c>
      <c r="B1603" t="s">
        <v>6022</v>
      </c>
      <c r="C1603" t="s">
        <v>6023</v>
      </c>
      <c r="D1603" t="s">
        <v>6024</v>
      </c>
      <c r="E1603" t="s">
        <v>6022</v>
      </c>
      <c r="F1603" t="s">
        <v>28</v>
      </c>
      <c r="G1603" t="s">
        <v>6022</v>
      </c>
      <c r="H1603" t="str">
        <f>"acly-2"</f>
        <v>acly-2</v>
      </c>
      <c r="I1603" t="s">
        <v>6024</v>
      </c>
      <c r="J1603">
        <v>13.066939003681901</v>
      </c>
      <c r="K1603">
        <v>12.740926175281601</v>
      </c>
      <c r="L1603">
        <v>12.7990560559585</v>
      </c>
      <c r="M1603">
        <v>13.145408203657</v>
      </c>
      <c r="N1603">
        <v>13.350031167088</v>
      </c>
      <c r="O1603">
        <v>13.523806654225099</v>
      </c>
      <c r="P1603">
        <v>0.47077493001606602</v>
      </c>
      <c r="Q1603">
        <v>8.3673316182573898E-2</v>
      </c>
      <c r="R1603">
        <v>0.85787654384955903</v>
      </c>
      <c r="S1603">
        <v>13.0666412558242</v>
      </c>
      <c r="T1603">
        <v>2.55611776525329</v>
      </c>
      <c r="U1603">
        <v>-4.1369532744574604</v>
      </c>
      <c r="V1603">
        <v>1.9904405152307899E-2</v>
      </c>
      <c r="W1603">
        <v>0.13606918984371799</v>
      </c>
      <c r="X1603">
        <v>0</v>
      </c>
      <c r="Y1603">
        <v>0</v>
      </c>
    </row>
    <row r="1604" spans="1:25" x14ac:dyDescent="0.2">
      <c r="A1604" t="s">
        <v>6025</v>
      </c>
      <c r="B1604" t="s">
        <v>6026</v>
      </c>
      <c r="C1604" t="s">
        <v>6027</v>
      </c>
      <c r="D1604" t="s">
        <v>1965</v>
      </c>
      <c r="E1604" t="s">
        <v>6026</v>
      </c>
      <c r="F1604" t="s">
        <v>28</v>
      </c>
      <c r="G1604" t="s">
        <v>6026</v>
      </c>
      <c r="H1604" t="str">
        <f>"eat-6"</f>
        <v>eat-6</v>
      </c>
      <c r="I1604" t="s">
        <v>1965</v>
      </c>
      <c r="J1604">
        <v>19.4554449110903</v>
      </c>
      <c r="K1604">
        <v>19.378624474367999</v>
      </c>
      <c r="L1604">
        <v>19.078325682219599</v>
      </c>
      <c r="M1604">
        <v>19.281100273768001</v>
      </c>
      <c r="N1604">
        <v>19.020307036048901</v>
      </c>
      <c r="O1604">
        <v>18.970094337589401</v>
      </c>
      <c r="P1604">
        <v>-0.213631140090492</v>
      </c>
      <c r="Q1604">
        <v>-0.53700046292527004</v>
      </c>
      <c r="R1604">
        <v>0.109738182744287</v>
      </c>
      <c r="S1604">
        <v>18.8878363625765</v>
      </c>
      <c r="T1604">
        <v>-1.38853954942577</v>
      </c>
      <c r="U1604">
        <v>-6.0928556747370601</v>
      </c>
      <c r="V1604">
        <v>0.18201554757132801</v>
      </c>
      <c r="W1604">
        <v>0.44526141853962697</v>
      </c>
      <c r="X1604">
        <v>0</v>
      </c>
      <c r="Y1604">
        <v>0</v>
      </c>
    </row>
    <row r="1605" spans="1:25" x14ac:dyDescent="0.2">
      <c r="A1605" t="s">
        <v>6028</v>
      </c>
      <c r="B1605" t="s">
        <v>6029</v>
      </c>
      <c r="C1605" t="s">
        <v>6030</v>
      </c>
      <c r="D1605" t="s">
        <v>1866</v>
      </c>
      <c r="E1605" t="s">
        <v>6029</v>
      </c>
      <c r="F1605" t="s">
        <v>28</v>
      </c>
      <c r="G1605" t="s">
        <v>6029</v>
      </c>
      <c r="H1605" t="str">
        <f>"wht-2"</f>
        <v>wht-2</v>
      </c>
      <c r="I1605" t="s">
        <v>1866</v>
      </c>
      <c r="J1605">
        <v>12.2589190911067</v>
      </c>
      <c r="K1605">
        <v>12.817540908312701</v>
      </c>
      <c r="L1605">
        <v>12.470514156407299</v>
      </c>
      <c r="M1605">
        <v>11.0756874222844</v>
      </c>
      <c r="N1605">
        <v>12.3233195889777</v>
      </c>
      <c r="O1605" t="s">
        <v>29</v>
      </c>
      <c r="P1605">
        <v>-0.81615454631117101</v>
      </c>
      <c r="Q1605">
        <v>-1.6920643696436199</v>
      </c>
      <c r="R1605">
        <v>5.9755277021277899E-2</v>
      </c>
      <c r="S1605">
        <v>12.1855370269784</v>
      </c>
      <c r="T1605">
        <v>-1.98725964293007</v>
      </c>
      <c r="U1605">
        <v>-5.09162498984435</v>
      </c>
      <c r="V1605">
        <v>6.5603046367398596E-2</v>
      </c>
      <c r="W1605">
        <v>0.26096859765221903</v>
      </c>
      <c r="X1605">
        <v>0</v>
      </c>
      <c r="Y1605">
        <v>0</v>
      </c>
    </row>
    <row r="1606" spans="1:25" x14ac:dyDescent="0.2">
      <c r="A1606" t="s">
        <v>6031</v>
      </c>
      <c r="B1606" t="s">
        <v>6032</v>
      </c>
      <c r="C1606" t="s">
        <v>6033</v>
      </c>
      <c r="D1606" t="s">
        <v>6034</v>
      </c>
      <c r="E1606" t="s">
        <v>6032</v>
      </c>
      <c r="F1606" t="s">
        <v>28</v>
      </c>
      <c r="G1606" t="s">
        <v>6032</v>
      </c>
      <c r="H1606" t="str">
        <f>"catp-8"</f>
        <v>catp-8</v>
      </c>
      <c r="I1606" t="s">
        <v>6034</v>
      </c>
      <c r="J1606">
        <v>14.619667456631101</v>
      </c>
      <c r="K1606">
        <v>14.447402953904099</v>
      </c>
      <c r="L1606">
        <v>14.681371402781901</v>
      </c>
      <c r="M1606">
        <v>14.1620917677824</v>
      </c>
      <c r="N1606">
        <v>14.362550911122799</v>
      </c>
      <c r="O1606">
        <v>13.869910587172701</v>
      </c>
      <c r="P1606">
        <v>-0.451296182413088</v>
      </c>
      <c r="Q1606">
        <v>-0.88009229095234298</v>
      </c>
      <c r="R1606">
        <v>-2.2500073873833799E-2</v>
      </c>
      <c r="S1606">
        <v>14.5455433830461</v>
      </c>
      <c r="T1606">
        <v>-2.2120927764537401</v>
      </c>
      <c r="U1606">
        <v>-4.7873102206232696</v>
      </c>
      <c r="V1606">
        <v>4.0209378896236797E-2</v>
      </c>
      <c r="W1606">
        <v>0.19861627151863301</v>
      </c>
      <c r="X1606">
        <v>0</v>
      </c>
      <c r="Y1606">
        <v>0</v>
      </c>
    </row>
    <row r="1607" spans="1:25" x14ac:dyDescent="0.2">
      <c r="A1607" t="s">
        <v>6035</v>
      </c>
      <c r="B1607" t="s">
        <v>6036</v>
      </c>
      <c r="C1607" t="s">
        <v>6037</v>
      </c>
      <c r="D1607" t="s">
        <v>6038</v>
      </c>
      <c r="E1607" t="s">
        <v>6036</v>
      </c>
      <c r="F1607" t="s">
        <v>28</v>
      </c>
      <c r="G1607" t="s">
        <v>6036</v>
      </c>
      <c r="H1607" t="str">
        <f>"figo-1"</f>
        <v>figo-1</v>
      </c>
      <c r="I1607" t="s">
        <v>6038</v>
      </c>
      <c r="J1607">
        <v>12.2447063349993</v>
      </c>
      <c r="K1607">
        <v>12.1598183201237</v>
      </c>
      <c r="L1607">
        <v>11.7178385206801</v>
      </c>
      <c r="M1607">
        <v>12.394827409351</v>
      </c>
      <c r="N1607" t="s">
        <v>29</v>
      </c>
      <c r="O1607">
        <v>12.459291858432699</v>
      </c>
      <c r="P1607">
        <v>0.38627190862415101</v>
      </c>
      <c r="Q1607">
        <v>-0.23321095139308201</v>
      </c>
      <c r="R1607">
        <v>1.0057547686413799</v>
      </c>
      <c r="S1607">
        <v>12.328605147846901</v>
      </c>
      <c r="T1607">
        <v>1.3298585095722</v>
      </c>
      <c r="U1607">
        <v>-6.0583912624057703</v>
      </c>
      <c r="V1607">
        <v>0.20357148996298399</v>
      </c>
      <c r="W1607">
        <v>0.466822852952467</v>
      </c>
      <c r="X1607">
        <v>0</v>
      </c>
      <c r="Y1607">
        <v>0</v>
      </c>
    </row>
    <row r="1608" spans="1:25" x14ac:dyDescent="0.2">
      <c r="A1608" t="s">
        <v>6039</v>
      </c>
      <c r="B1608" t="s">
        <v>6040</v>
      </c>
      <c r="C1608" t="s">
        <v>6041</v>
      </c>
      <c r="D1608" t="s">
        <v>6042</v>
      </c>
      <c r="E1608" t="s">
        <v>6040</v>
      </c>
      <c r="F1608" t="s">
        <v>28</v>
      </c>
      <c r="G1608" t="s">
        <v>6040</v>
      </c>
      <c r="H1608" t="str">
        <f>"pafo-1"</f>
        <v>pafo-1</v>
      </c>
      <c r="I1608" t="s">
        <v>6042</v>
      </c>
      <c r="J1608" t="s">
        <v>29</v>
      </c>
      <c r="K1608" t="s">
        <v>29</v>
      </c>
      <c r="L1608" t="s">
        <v>29</v>
      </c>
      <c r="M1608" t="s">
        <v>29</v>
      </c>
      <c r="N1608">
        <v>10.9515943292201</v>
      </c>
      <c r="O1608">
        <v>11.327933623780099</v>
      </c>
      <c r="P1608" t="s">
        <v>29</v>
      </c>
      <c r="Q1608" t="s">
        <v>29</v>
      </c>
      <c r="R1608" t="s">
        <v>29</v>
      </c>
      <c r="S1608">
        <v>13.055078838923899</v>
      </c>
      <c r="T1608" t="s">
        <v>29</v>
      </c>
      <c r="U1608" t="s">
        <v>29</v>
      </c>
      <c r="V1608" t="s">
        <v>29</v>
      </c>
      <c r="W1608" t="s">
        <v>29</v>
      </c>
      <c r="X1608" t="s">
        <v>29</v>
      </c>
      <c r="Y1608" t="s">
        <v>29</v>
      </c>
    </row>
    <row r="1609" spans="1:25" x14ac:dyDescent="0.2">
      <c r="A1609" t="s">
        <v>6043</v>
      </c>
      <c r="B1609" t="s">
        <v>6044</v>
      </c>
      <c r="C1609" t="s">
        <v>6045</v>
      </c>
      <c r="D1609" t="s">
        <v>6046</v>
      </c>
      <c r="E1609" t="s">
        <v>6044</v>
      </c>
      <c r="F1609" t="s">
        <v>28</v>
      </c>
      <c r="G1609" t="s">
        <v>6044</v>
      </c>
      <c r="H1609" t="str">
        <f>"prg-1"</f>
        <v>prg-1</v>
      </c>
      <c r="I1609" t="s">
        <v>6046</v>
      </c>
      <c r="J1609">
        <v>14.4979789582991</v>
      </c>
      <c r="K1609">
        <v>14.368445124898599</v>
      </c>
      <c r="L1609">
        <v>14.5612230087805</v>
      </c>
      <c r="M1609">
        <v>14.1479720055756</v>
      </c>
      <c r="N1609">
        <v>14.1577021875657</v>
      </c>
      <c r="O1609">
        <v>13.857720367926399</v>
      </c>
      <c r="P1609">
        <v>-0.421417510303497</v>
      </c>
      <c r="Q1609">
        <v>-0.78734385152047504</v>
      </c>
      <c r="R1609">
        <v>-5.5491169086519597E-2</v>
      </c>
      <c r="S1609">
        <v>14.5377309923563</v>
      </c>
      <c r="T1609">
        <v>-2.4309102051937099</v>
      </c>
      <c r="U1609">
        <v>-4.3913923728786903</v>
      </c>
      <c r="V1609">
        <v>2.6495119365207102E-2</v>
      </c>
      <c r="W1609">
        <v>0.15906848415937999</v>
      </c>
      <c r="X1609">
        <v>0</v>
      </c>
      <c r="Y1609">
        <v>0</v>
      </c>
    </row>
    <row r="1610" spans="1:25" x14ac:dyDescent="0.2">
      <c r="A1610" t="s">
        <v>6047</v>
      </c>
      <c r="B1610" t="s">
        <v>6048</v>
      </c>
      <c r="C1610" t="s">
        <v>14404</v>
      </c>
      <c r="D1610" t="s">
        <v>6049</v>
      </c>
      <c r="E1610" t="s">
        <v>6048</v>
      </c>
      <c r="F1610" t="s">
        <v>28</v>
      </c>
      <c r="G1610" t="s">
        <v>6048</v>
      </c>
      <c r="H1610" t="str">
        <f>"D2030.2"</f>
        <v>D2030.2</v>
      </c>
      <c r="I1610" t="s">
        <v>6049</v>
      </c>
      <c r="J1610">
        <v>14.1001057079338</v>
      </c>
      <c r="K1610">
        <v>14.504868686391699</v>
      </c>
      <c r="L1610">
        <v>14.298052839880301</v>
      </c>
      <c r="M1610">
        <v>14.3526549694359</v>
      </c>
      <c r="N1610">
        <v>14.880594049119299</v>
      </c>
      <c r="O1610">
        <v>14.910723024964</v>
      </c>
      <c r="P1610">
        <v>0.41364826977110702</v>
      </c>
      <c r="Q1610">
        <v>-0.14268072061623999</v>
      </c>
      <c r="R1610">
        <v>0.96997726015845398</v>
      </c>
      <c r="S1610">
        <v>14.987797695996701</v>
      </c>
      <c r="T1610">
        <v>1.5694574053011401</v>
      </c>
      <c r="U1610">
        <v>-5.8439222190751101</v>
      </c>
      <c r="V1610">
        <v>0.13507940046276301</v>
      </c>
      <c r="W1610">
        <v>0.37939762056670201</v>
      </c>
      <c r="X1610">
        <v>0</v>
      </c>
      <c r="Y1610">
        <v>0</v>
      </c>
    </row>
    <row r="1611" spans="1:25" x14ac:dyDescent="0.2">
      <c r="A1611" t="s">
        <v>6050</v>
      </c>
      <c r="B1611" t="s">
        <v>6051</v>
      </c>
      <c r="C1611" t="s">
        <v>14405</v>
      </c>
      <c r="D1611" t="s">
        <v>6052</v>
      </c>
      <c r="E1611" t="s">
        <v>6051</v>
      </c>
      <c r="F1611" t="s">
        <v>28</v>
      </c>
      <c r="G1611" t="s">
        <v>6051</v>
      </c>
      <c r="H1611" t="str">
        <f>"D2030.3"</f>
        <v>D2030.3</v>
      </c>
      <c r="I1611" t="s">
        <v>6052</v>
      </c>
      <c r="J1611">
        <v>13.400588938810699</v>
      </c>
      <c r="K1611">
        <v>13.289442973392701</v>
      </c>
      <c r="L1611">
        <v>12.639794313016001</v>
      </c>
      <c r="M1611">
        <v>13.1607590944927</v>
      </c>
      <c r="N1611">
        <v>12.652257593704499</v>
      </c>
      <c r="O1611">
        <v>13.0330240340299</v>
      </c>
      <c r="P1611">
        <v>-0.16126183433081401</v>
      </c>
      <c r="Q1611">
        <v>-0.64015212448994896</v>
      </c>
      <c r="R1611">
        <v>0.317628455828321</v>
      </c>
      <c r="S1611">
        <v>12.9817750337349</v>
      </c>
      <c r="T1611">
        <v>-0.71079698532012803</v>
      </c>
      <c r="U1611">
        <v>-6.7904055688003098</v>
      </c>
      <c r="V1611">
        <v>0.486907535943091</v>
      </c>
      <c r="W1611">
        <v>0.74195019062289802</v>
      </c>
      <c r="X1611">
        <v>0</v>
      </c>
      <c r="Y1611">
        <v>0</v>
      </c>
    </row>
    <row r="1612" spans="1:25" x14ac:dyDescent="0.2">
      <c r="A1612" t="s">
        <v>6053</v>
      </c>
      <c r="B1612" t="s">
        <v>6054</v>
      </c>
      <c r="C1612" t="s">
        <v>14406</v>
      </c>
      <c r="D1612" t="s">
        <v>6055</v>
      </c>
      <c r="E1612" t="s">
        <v>6054</v>
      </c>
      <c r="F1612" t="s">
        <v>28</v>
      </c>
      <c r="G1612" t="s">
        <v>6054</v>
      </c>
      <c r="H1612" t="str">
        <f>"D2030.8"</f>
        <v>D2030.8</v>
      </c>
      <c r="I1612" t="s">
        <v>6055</v>
      </c>
      <c r="J1612" t="s">
        <v>29</v>
      </c>
      <c r="K1612" t="s">
        <v>29</v>
      </c>
      <c r="L1612" t="s">
        <v>29</v>
      </c>
      <c r="M1612" t="s">
        <v>29</v>
      </c>
      <c r="N1612" t="s">
        <v>29</v>
      </c>
      <c r="O1612" t="s">
        <v>29</v>
      </c>
      <c r="P1612" t="s">
        <v>29</v>
      </c>
      <c r="Q1612" t="s">
        <v>29</v>
      </c>
      <c r="R1612" t="s">
        <v>29</v>
      </c>
      <c r="S1612">
        <v>11.1927257706673</v>
      </c>
      <c r="T1612" t="s">
        <v>29</v>
      </c>
      <c r="U1612" t="s">
        <v>29</v>
      </c>
      <c r="V1612" t="s">
        <v>29</v>
      </c>
      <c r="W1612" t="s">
        <v>29</v>
      </c>
      <c r="X1612" t="s">
        <v>29</v>
      </c>
      <c r="Y1612" t="s">
        <v>29</v>
      </c>
    </row>
    <row r="1613" spans="1:25" x14ac:dyDescent="0.2">
      <c r="A1613" t="s">
        <v>6056</v>
      </c>
      <c r="B1613" t="s">
        <v>6057</v>
      </c>
      <c r="C1613" t="s">
        <v>6058</v>
      </c>
      <c r="D1613" t="s">
        <v>6059</v>
      </c>
      <c r="E1613" t="s">
        <v>6057</v>
      </c>
      <c r="F1613" t="s">
        <v>28</v>
      </c>
      <c r="G1613" t="s">
        <v>6057</v>
      </c>
      <c r="H1613" t="str">
        <f>"gpdh-3"</f>
        <v>gpdh-3</v>
      </c>
      <c r="I1613" t="s">
        <v>6059</v>
      </c>
      <c r="J1613">
        <v>13.723809660218301</v>
      </c>
      <c r="K1613">
        <v>13.5890230147228</v>
      </c>
      <c r="L1613">
        <v>13.344105719600901</v>
      </c>
      <c r="M1613">
        <v>13.4728307738139</v>
      </c>
      <c r="N1613">
        <v>13.28034452334</v>
      </c>
      <c r="O1613">
        <v>13.9154981706047</v>
      </c>
      <c r="P1613">
        <v>3.9116910722025696E-3</v>
      </c>
      <c r="Q1613">
        <v>-0.46339284899069999</v>
      </c>
      <c r="R1613">
        <v>0.47121623113510502</v>
      </c>
      <c r="S1613">
        <v>13.274755215140001</v>
      </c>
      <c r="T1613">
        <v>1.7593695109959801E-2</v>
      </c>
      <c r="U1613">
        <v>-7.05192422610964</v>
      </c>
      <c r="V1613">
        <v>0.98615766438761099</v>
      </c>
      <c r="W1613">
        <v>0.99287037126153599</v>
      </c>
      <c r="X1613">
        <v>0</v>
      </c>
      <c r="Y1613">
        <v>0</v>
      </c>
    </row>
    <row r="1614" spans="1:25" x14ac:dyDescent="0.2">
      <c r="A1614" t="s">
        <v>6060</v>
      </c>
      <c r="B1614" t="s">
        <v>6061</v>
      </c>
      <c r="C1614" t="s">
        <v>6062</v>
      </c>
      <c r="D1614" t="s">
        <v>6063</v>
      </c>
      <c r="E1614" t="s">
        <v>6061</v>
      </c>
      <c r="F1614" t="s">
        <v>28</v>
      </c>
      <c r="G1614" t="s">
        <v>6061</v>
      </c>
      <c r="H1614" t="str">
        <f>"F10C2.4"</f>
        <v>F10C2.4</v>
      </c>
      <c r="I1614" t="s">
        <v>6063</v>
      </c>
      <c r="J1614">
        <v>14.854863675806101</v>
      </c>
      <c r="K1614">
        <v>14.665120239024599</v>
      </c>
      <c r="L1614">
        <v>14.561794876822701</v>
      </c>
      <c r="M1614">
        <v>14.7977604561347</v>
      </c>
      <c r="N1614">
        <v>14.794282165265001</v>
      </c>
      <c r="O1614">
        <v>14.234079300499401</v>
      </c>
      <c r="P1614">
        <v>-8.5218956584743197E-2</v>
      </c>
      <c r="Q1614">
        <v>-0.46635807646223498</v>
      </c>
      <c r="R1614">
        <v>0.29592016329274901</v>
      </c>
      <c r="S1614">
        <v>14.631546998417001</v>
      </c>
      <c r="T1614">
        <v>-0.47424440451731997</v>
      </c>
      <c r="U1614">
        <v>-6.9342732610472604</v>
      </c>
      <c r="V1614">
        <v>0.64177497121125804</v>
      </c>
      <c r="W1614">
        <v>0.83600310501258301</v>
      </c>
      <c r="X1614">
        <v>0</v>
      </c>
      <c r="Y1614">
        <v>0</v>
      </c>
    </row>
    <row r="1615" spans="1:25" x14ac:dyDescent="0.2">
      <c r="A1615" t="s">
        <v>6064</v>
      </c>
      <c r="B1615" t="s">
        <v>6065</v>
      </c>
      <c r="C1615" t="s">
        <v>6066</v>
      </c>
      <c r="D1615" t="s">
        <v>6067</v>
      </c>
      <c r="E1615" t="s">
        <v>6065</v>
      </c>
      <c r="F1615" t="s">
        <v>28</v>
      </c>
      <c r="G1615" t="s">
        <v>6065</v>
      </c>
      <c r="H1615" t="str">
        <f>"dars-2"</f>
        <v>dars-2</v>
      </c>
      <c r="I1615" t="s">
        <v>6067</v>
      </c>
      <c r="J1615">
        <v>12.4563604138402</v>
      </c>
      <c r="K1615">
        <v>13.100645638263</v>
      </c>
      <c r="L1615">
        <v>12.942159939932599</v>
      </c>
      <c r="M1615">
        <v>13.7564867286862</v>
      </c>
      <c r="N1615">
        <v>12.9242053204831</v>
      </c>
      <c r="O1615">
        <v>13.6329405360891</v>
      </c>
      <c r="P1615">
        <v>0.60482219774088897</v>
      </c>
      <c r="Q1615">
        <v>1.2451901986883699E-2</v>
      </c>
      <c r="R1615">
        <v>1.1971924934948901</v>
      </c>
      <c r="S1615">
        <v>13.364775512174599</v>
      </c>
      <c r="T1615">
        <v>2.1551845362988602</v>
      </c>
      <c r="U1615">
        <v>-4.8969129165349301</v>
      </c>
      <c r="V1615">
        <v>4.5868679584927602E-2</v>
      </c>
      <c r="W1615">
        <v>0.21288574976334501</v>
      </c>
      <c r="X1615">
        <v>0</v>
      </c>
      <c r="Y1615">
        <v>0</v>
      </c>
    </row>
    <row r="1616" spans="1:25" x14ac:dyDescent="0.2">
      <c r="A1616" t="s">
        <v>6068</v>
      </c>
      <c r="B1616" t="s">
        <v>6069</v>
      </c>
      <c r="C1616" t="s">
        <v>6070</v>
      </c>
      <c r="D1616" t="s">
        <v>6071</v>
      </c>
      <c r="E1616" t="s">
        <v>6069</v>
      </c>
      <c r="F1616" t="s">
        <v>28</v>
      </c>
      <c r="G1616" t="s">
        <v>6069</v>
      </c>
      <c r="H1616" t="str">
        <f>"smgl-1"</f>
        <v>smgl-1</v>
      </c>
      <c r="I1616" t="s">
        <v>6071</v>
      </c>
      <c r="J1616">
        <v>12.822589567675401</v>
      </c>
      <c r="K1616" t="s">
        <v>29</v>
      </c>
      <c r="L1616">
        <v>12.789136493795899</v>
      </c>
      <c r="M1616" t="s">
        <v>29</v>
      </c>
      <c r="N1616">
        <v>13.2467128690176</v>
      </c>
      <c r="O1616">
        <v>13.416247716535601</v>
      </c>
      <c r="P1616">
        <v>0.52561726204094905</v>
      </c>
      <c r="Q1616">
        <v>-1.22938834477685E-2</v>
      </c>
      <c r="R1616">
        <v>1.06352840752967</v>
      </c>
      <c r="S1616">
        <v>12.7964861030836</v>
      </c>
      <c r="T1616">
        <v>2.1127412958305101</v>
      </c>
      <c r="U1616">
        <v>-4.8123660005044604</v>
      </c>
      <c r="V1616">
        <v>5.4703462524047598E-2</v>
      </c>
      <c r="W1616">
        <v>0.234525780043809</v>
      </c>
      <c r="X1616">
        <v>0</v>
      </c>
      <c r="Y1616">
        <v>0</v>
      </c>
    </row>
    <row r="1617" spans="1:25" x14ac:dyDescent="0.2">
      <c r="A1617" t="s">
        <v>6072</v>
      </c>
      <c r="B1617" t="s">
        <v>6073</v>
      </c>
      <c r="C1617" t="s">
        <v>6074</v>
      </c>
      <c r="D1617" t="s">
        <v>6075</v>
      </c>
      <c r="E1617" t="s">
        <v>6073</v>
      </c>
      <c r="F1617" t="s">
        <v>28</v>
      </c>
      <c r="G1617" t="s">
        <v>6073</v>
      </c>
      <c r="H1617" t="str">
        <f>"F26E4.3"</f>
        <v>F26E4.3</v>
      </c>
      <c r="I1617" t="s">
        <v>6075</v>
      </c>
      <c r="J1617">
        <v>13.2637279617259</v>
      </c>
      <c r="K1617">
        <v>13.0263045755965</v>
      </c>
      <c r="L1617">
        <v>13.697830781830501</v>
      </c>
      <c r="M1617">
        <v>14.4664346180741</v>
      </c>
      <c r="N1617">
        <v>13.635836535168901</v>
      </c>
      <c r="O1617">
        <v>14.224071778511099</v>
      </c>
      <c r="P1617">
        <v>0.77949320420038004</v>
      </c>
      <c r="Q1617">
        <v>0.105632227124922</v>
      </c>
      <c r="R1617">
        <v>1.4533541812758399</v>
      </c>
      <c r="S1617">
        <v>13.003106499039699</v>
      </c>
      <c r="T1617">
        <v>2.4312775453552402</v>
      </c>
      <c r="U1617">
        <v>-4.3784606541915796</v>
      </c>
      <c r="V1617">
        <v>2.5785705102693901E-2</v>
      </c>
      <c r="W1617">
        <v>0.156542321649563</v>
      </c>
      <c r="X1617">
        <v>0</v>
      </c>
      <c r="Y1617">
        <v>0</v>
      </c>
    </row>
    <row r="1618" spans="1:25" x14ac:dyDescent="0.2">
      <c r="A1618" t="s">
        <v>6076</v>
      </c>
      <c r="B1618" t="s">
        <v>6077</v>
      </c>
      <c r="C1618" t="s">
        <v>14407</v>
      </c>
      <c r="D1618" t="s">
        <v>6078</v>
      </c>
      <c r="E1618" t="s">
        <v>6077</v>
      </c>
      <c r="F1618" t="s">
        <v>28</v>
      </c>
      <c r="G1618" t="s">
        <v>6077</v>
      </c>
      <c r="H1618" t="str">
        <f>"F36A2.7"</f>
        <v>F36A2.7</v>
      </c>
      <c r="I1618" t="s">
        <v>6078</v>
      </c>
      <c r="J1618">
        <v>15.801561369123901</v>
      </c>
      <c r="K1618">
        <v>15.535411771954699</v>
      </c>
      <c r="L1618">
        <v>15.428180963518001</v>
      </c>
      <c r="M1618">
        <v>15.6228019275454</v>
      </c>
      <c r="N1618">
        <v>15.696949174184599</v>
      </c>
      <c r="O1618">
        <v>15.6161690134605</v>
      </c>
      <c r="P1618">
        <v>5.6922003531319397E-2</v>
      </c>
      <c r="Q1618">
        <v>-0.29053681168599099</v>
      </c>
      <c r="R1618">
        <v>0.40438081874863002</v>
      </c>
      <c r="S1618">
        <v>15.206886901945101</v>
      </c>
      <c r="T1618">
        <v>0.34432563463508598</v>
      </c>
      <c r="U1618">
        <v>-6.9901597999171701</v>
      </c>
      <c r="V1618">
        <v>0.73461464603902604</v>
      </c>
      <c r="W1618">
        <v>0.88707514562901901</v>
      </c>
      <c r="X1618">
        <v>0</v>
      </c>
      <c r="Y1618">
        <v>0</v>
      </c>
    </row>
    <row r="1619" spans="1:25" x14ac:dyDescent="0.2">
      <c r="A1619" t="s">
        <v>6079</v>
      </c>
      <c r="B1619" t="s">
        <v>6080</v>
      </c>
      <c r="C1619" t="s">
        <v>14408</v>
      </c>
      <c r="D1619" t="s">
        <v>2043</v>
      </c>
      <c r="E1619" t="s">
        <v>6080</v>
      </c>
      <c r="F1619" t="s">
        <v>28</v>
      </c>
      <c r="G1619" t="s">
        <v>6080</v>
      </c>
      <c r="H1619" t="str">
        <f>"F49C12.9"</f>
        <v>F49C12.9</v>
      </c>
      <c r="I1619" t="s">
        <v>2043</v>
      </c>
      <c r="J1619">
        <v>12.2167559126644</v>
      </c>
      <c r="K1619">
        <v>12.4594684183898</v>
      </c>
      <c r="L1619">
        <v>11.8890862429778</v>
      </c>
      <c r="M1619">
        <v>11.2322377938599</v>
      </c>
      <c r="N1619">
        <v>12.300609603123799</v>
      </c>
      <c r="O1619">
        <v>12.249778925960101</v>
      </c>
      <c r="P1619">
        <v>-0.26089475036273102</v>
      </c>
      <c r="Q1619">
        <v>-0.84534727911574703</v>
      </c>
      <c r="R1619">
        <v>0.32355777839028599</v>
      </c>
      <c r="S1619">
        <v>12.253760097950099</v>
      </c>
      <c r="T1619">
        <v>-0.94224992504237404</v>
      </c>
      <c r="U1619">
        <v>-6.5972840742083099</v>
      </c>
      <c r="V1619">
        <v>0.35934406334160701</v>
      </c>
      <c r="W1619">
        <v>0.63722375047062096</v>
      </c>
      <c r="X1619">
        <v>0</v>
      </c>
      <c r="Y1619">
        <v>0</v>
      </c>
    </row>
    <row r="1620" spans="1:25" x14ac:dyDescent="0.2">
      <c r="A1620" t="s">
        <v>6081</v>
      </c>
      <c r="B1620" t="s">
        <v>6082</v>
      </c>
      <c r="C1620" t="s">
        <v>6083</v>
      </c>
      <c r="D1620" t="s">
        <v>6084</v>
      </c>
      <c r="E1620" t="s">
        <v>6082</v>
      </c>
      <c r="F1620" t="s">
        <v>28</v>
      </c>
      <c r="G1620" t="s">
        <v>6082</v>
      </c>
      <c r="H1620" t="str">
        <f>"rde-12"</f>
        <v>rde-12</v>
      </c>
      <c r="I1620" t="s">
        <v>6084</v>
      </c>
      <c r="J1620">
        <v>17.100837852439302</v>
      </c>
      <c r="K1620">
        <v>17.333450728764799</v>
      </c>
      <c r="L1620">
        <v>17.5424694797154</v>
      </c>
      <c r="M1620">
        <v>16.9684411008731</v>
      </c>
      <c r="N1620">
        <v>16.8259892629343</v>
      </c>
      <c r="O1620">
        <v>17.136607302199302</v>
      </c>
      <c r="P1620">
        <v>-0.34857346497090802</v>
      </c>
      <c r="Q1620">
        <v>-0.76245317615767405</v>
      </c>
      <c r="R1620">
        <v>6.5306246215858302E-2</v>
      </c>
      <c r="S1620">
        <v>17.426646912341901</v>
      </c>
      <c r="T1620">
        <v>-1.77016071928362</v>
      </c>
      <c r="U1620">
        <v>-5.5398175273029899</v>
      </c>
      <c r="V1620">
        <v>9.3735286903843903E-2</v>
      </c>
      <c r="W1620">
        <v>0.31555247989627</v>
      </c>
      <c r="X1620">
        <v>0</v>
      </c>
      <c r="Y1620">
        <v>0</v>
      </c>
    </row>
    <row r="1621" spans="1:25" x14ac:dyDescent="0.2">
      <c r="A1621" t="s">
        <v>6085</v>
      </c>
      <c r="B1621" t="s">
        <v>6086</v>
      </c>
      <c r="C1621" t="s">
        <v>6087</v>
      </c>
      <c r="D1621" t="s">
        <v>522</v>
      </c>
      <c r="E1621" t="s">
        <v>6086</v>
      </c>
      <c r="F1621" t="s">
        <v>28</v>
      </c>
      <c r="G1621" t="s">
        <v>6086</v>
      </c>
      <c r="H1621" t="str">
        <f>"mip-2"</f>
        <v>mip-2</v>
      </c>
      <c r="I1621" t="s">
        <v>522</v>
      </c>
      <c r="J1621">
        <v>11.178177646133401</v>
      </c>
      <c r="K1621">
        <v>13.769119696879599</v>
      </c>
      <c r="L1621">
        <v>12.009181239338499</v>
      </c>
      <c r="M1621">
        <v>11.2426587602271</v>
      </c>
      <c r="N1621">
        <v>11.4712518037569</v>
      </c>
      <c r="O1621" t="s">
        <v>29</v>
      </c>
      <c r="P1621">
        <v>-0.96187091212514098</v>
      </c>
      <c r="Q1621">
        <v>-2.1398465985695401</v>
      </c>
      <c r="R1621">
        <v>0.21610477431926201</v>
      </c>
      <c r="S1621">
        <v>12.345475047614901</v>
      </c>
      <c r="T1621">
        <v>-1.75255783042775</v>
      </c>
      <c r="U1621">
        <v>-5.4691650797423197</v>
      </c>
      <c r="V1621">
        <v>0.101703711220494</v>
      </c>
      <c r="W1621">
        <v>0.32979981917923201</v>
      </c>
      <c r="X1621">
        <v>0</v>
      </c>
      <c r="Y1621">
        <v>0</v>
      </c>
    </row>
    <row r="1622" spans="1:25" x14ac:dyDescent="0.2">
      <c r="A1622" t="s">
        <v>6088</v>
      </c>
      <c r="B1622" t="s">
        <v>6089</v>
      </c>
      <c r="C1622" t="s">
        <v>6090</v>
      </c>
      <c r="D1622" t="s">
        <v>6091</v>
      </c>
      <c r="E1622" t="s">
        <v>6089</v>
      </c>
      <c r="F1622" t="s">
        <v>28</v>
      </c>
      <c r="G1622" t="s">
        <v>6089</v>
      </c>
      <c r="H1622" t="str">
        <f>"ifa-4"</f>
        <v>ifa-4</v>
      </c>
      <c r="I1622" t="s">
        <v>6091</v>
      </c>
      <c r="J1622">
        <v>14.4079249711926</v>
      </c>
      <c r="K1622">
        <v>14.5114313801165</v>
      </c>
      <c r="L1622">
        <v>15.115647740279901</v>
      </c>
      <c r="M1622">
        <v>15.4546064075431</v>
      </c>
      <c r="N1622">
        <v>14.66840538536</v>
      </c>
      <c r="O1622">
        <v>15.6115697984806</v>
      </c>
      <c r="P1622">
        <v>0.56652583326487305</v>
      </c>
      <c r="Q1622">
        <v>-0.52500596202175198</v>
      </c>
      <c r="R1622">
        <v>1.6580576285515001</v>
      </c>
      <c r="S1622">
        <v>14.8819558676865</v>
      </c>
      <c r="T1622">
        <v>1.0908771390761101</v>
      </c>
      <c r="U1622">
        <v>-6.4484498633790404</v>
      </c>
      <c r="V1622">
        <v>0.28979797081092001</v>
      </c>
      <c r="W1622">
        <v>0.56910235185198099</v>
      </c>
      <c r="X1622">
        <v>0</v>
      </c>
      <c r="Y1622">
        <v>0</v>
      </c>
    </row>
    <row r="1623" spans="1:25" x14ac:dyDescent="0.2">
      <c r="A1623" t="s">
        <v>6092</v>
      </c>
      <c r="B1623" t="s">
        <v>6093</v>
      </c>
      <c r="C1623" t="s">
        <v>6094</v>
      </c>
      <c r="D1623" t="s">
        <v>6095</v>
      </c>
      <c r="E1623" t="s">
        <v>6093</v>
      </c>
      <c r="F1623" t="s">
        <v>28</v>
      </c>
      <c r="G1623" t="s">
        <v>6093</v>
      </c>
      <c r="H1623" t="str">
        <f>"ifa-1"</f>
        <v>ifa-1</v>
      </c>
      <c r="I1623" t="s">
        <v>6095</v>
      </c>
      <c r="J1623" t="s">
        <v>29</v>
      </c>
      <c r="K1623">
        <v>12.579571397792501</v>
      </c>
      <c r="L1623">
        <v>12.5257720586707</v>
      </c>
      <c r="M1623">
        <v>13.1975461969725</v>
      </c>
      <c r="N1623" t="s">
        <v>29</v>
      </c>
      <c r="O1623">
        <v>13.147861752716601</v>
      </c>
      <c r="P1623">
        <v>0.62003224661295098</v>
      </c>
      <c r="Q1623">
        <v>-0.56543028061783196</v>
      </c>
      <c r="R1623">
        <v>1.8054947738437299</v>
      </c>
      <c r="S1623">
        <v>12.670739223345899</v>
      </c>
      <c r="T1623">
        <v>1.12258268503833</v>
      </c>
      <c r="U1623">
        <v>-6.2120477274464596</v>
      </c>
      <c r="V1623">
        <v>0.28063830819899899</v>
      </c>
      <c r="W1623">
        <v>0.56024359195064</v>
      </c>
      <c r="X1623">
        <v>0</v>
      </c>
      <c r="Y1623">
        <v>0</v>
      </c>
    </row>
    <row r="1624" spans="1:25" x14ac:dyDescent="0.2">
      <c r="A1624" t="s">
        <v>6096</v>
      </c>
      <c r="B1624" t="s">
        <v>6097</v>
      </c>
      <c r="C1624" t="s">
        <v>14162</v>
      </c>
      <c r="D1624" t="s">
        <v>3609</v>
      </c>
      <c r="E1624" t="s">
        <v>6097</v>
      </c>
      <c r="F1624" t="s">
        <v>28</v>
      </c>
      <c r="G1624" t="s">
        <v>6097</v>
      </c>
      <c r="H1624" t="str">
        <f>"K02B12.7"</f>
        <v>K02B12.7</v>
      </c>
      <c r="I1624" t="s">
        <v>3609</v>
      </c>
      <c r="J1624" t="s">
        <v>29</v>
      </c>
      <c r="K1624" t="s">
        <v>29</v>
      </c>
      <c r="L1624" t="s">
        <v>29</v>
      </c>
      <c r="M1624">
        <v>15.026697247799</v>
      </c>
      <c r="N1624">
        <v>14.705502181361201</v>
      </c>
      <c r="O1624">
        <v>14.3077383152837</v>
      </c>
      <c r="P1624" t="s">
        <v>29</v>
      </c>
      <c r="Q1624" t="s">
        <v>29</v>
      </c>
      <c r="R1624" t="s">
        <v>29</v>
      </c>
      <c r="S1624">
        <v>13.2037119621637</v>
      </c>
      <c r="T1624" t="s">
        <v>29</v>
      </c>
      <c r="U1624" t="s">
        <v>29</v>
      </c>
      <c r="V1624" t="s">
        <v>29</v>
      </c>
      <c r="W1624" t="s">
        <v>29</v>
      </c>
      <c r="X1624" t="s">
        <v>29</v>
      </c>
      <c r="Y1624" t="s">
        <v>29</v>
      </c>
    </row>
    <row r="1625" spans="1:25" x14ac:dyDescent="0.2">
      <c r="A1625" t="s">
        <v>6098</v>
      </c>
      <c r="B1625" t="s">
        <v>6099</v>
      </c>
      <c r="C1625" t="s">
        <v>6100</v>
      </c>
      <c r="D1625" t="s">
        <v>6101</v>
      </c>
      <c r="E1625" t="s">
        <v>6099</v>
      </c>
      <c r="F1625" t="s">
        <v>28</v>
      </c>
      <c r="G1625" t="s">
        <v>6099</v>
      </c>
      <c r="H1625" t="str">
        <f>"ate-1"</f>
        <v>ate-1</v>
      </c>
      <c r="I1625" t="s">
        <v>6101</v>
      </c>
      <c r="J1625">
        <v>12.129917388255601</v>
      </c>
      <c r="K1625">
        <v>12.143525211194101</v>
      </c>
      <c r="L1625">
        <v>11.997444191509199</v>
      </c>
      <c r="M1625">
        <v>11.796988977519</v>
      </c>
      <c r="N1625">
        <v>12.1995227094197</v>
      </c>
      <c r="O1625">
        <v>11.5925684709092</v>
      </c>
      <c r="P1625">
        <v>-0.227268877703699</v>
      </c>
      <c r="Q1625">
        <v>-0.73306332652556205</v>
      </c>
      <c r="R1625">
        <v>0.27852557111816501</v>
      </c>
      <c r="S1625">
        <v>12.3140222316762</v>
      </c>
      <c r="T1625">
        <v>-0.94845323440252605</v>
      </c>
      <c r="U1625">
        <v>-6.5914303182726899</v>
      </c>
      <c r="V1625">
        <v>0.35626906905891598</v>
      </c>
      <c r="W1625">
        <v>0.635580894033834</v>
      </c>
      <c r="X1625">
        <v>0</v>
      </c>
      <c r="Y1625">
        <v>0</v>
      </c>
    </row>
    <row r="1626" spans="1:25" x14ac:dyDescent="0.2">
      <c r="A1626" t="s">
        <v>6102</v>
      </c>
      <c r="B1626" t="s">
        <v>6103</v>
      </c>
      <c r="C1626" t="s">
        <v>6104</v>
      </c>
      <c r="D1626" t="s">
        <v>6105</v>
      </c>
      <c r="E1626" t="s">
        <v>6103</v>
      </c>
      <c r="F1626" t="s">
        <v>28</v>
      </c>
      <c r="G1626" t="s">
        <v>6103</v>
      </c>
      <c r="H1626" t="str">
        <f>"lin-53"</f>
        <v>lin-53</v>
      </c>
      <c r="I1626" t="s">
        <v>6105</v>
      </c>
      <c r="J1626">
        <v>13.7386390557645</v>
      </c>
      <c r="K1626">
        <v>13.829782720651099</v>
      </c>
      <c r="L1626">
        <v>13.7977003345187</v>
      </c>
      <c r="M1626">
        <v>13.4354123846951</v>
      </c>
      <c r="N1626">
        <v>14.013786635255901</v>
      </c>
      <c r="O1626">
        <v>13.9952502311316</v>
      </c>
      <c r="P1626">
        <v>2.6109046716094E-2</v>
      </c>
      <c r="Q1626">
        <v>-0.629591268342518</v>
      </c>
      <c r="R1626">
        <v>0.68180936177470597</v>
      </c>
      <c r="S1626">
        <v>14.3901774414402</v>
      </c>
      <c r="T1626">
        <v>8.3690880324115299E-2</v>
      </c>
      <c r="U1626">
        <v>-7.0484165379642603</v>
      </c>
      <c r="V1626">
        <v>0.93423132031298906</v>
      </c>
      <c r="W1626">
        <v>0.97535311084156295</v>
      </c>
      <c r="X1626">
        <v>0</v>
      </c>
      <c r="Y1626">
        <v>0</v>
      </c>
    </row>
    <row r="1627" spans="1:25" x14ac:dyDescent="0.2">
      <c r="A1627" t="s">
        <v>6106</v>
      </c>
      <c r="B1627" t="s">
        <v>6107</v>
      </c>
      <c r="C1627" t="s">
        <v>6108</v>
      </c>
      <c r="D1627" t="s">
        <v>6109</v>
      </c>
      <c r="E1627" t="s">
        <v>6107</v>
      </c>
      <c r="F1627" t="s">
        <v>28</v>
      </c>
      <c r="G1627" t="s">
        <v>6107</v>
      </c>
      <c r="H1627" t="str">
        <f>"rba-1"</f>
        <v>rba-1</v>
      </c>
      <c r="I1627" t="s">
        <v>6109</v>
      </c>
      <c r="J1627" t="s">
        <v>29</v>
      </c>
      <c r="K1627" t="s">
        <v>29</v>
      </c>
      <c r="L1627" t="s">
        <v>29</v>
      </c>
      <c r="M1627" t="s">
        <v>29</v>
      </c>
      <c r="N1627" t="s">
        <v>29</v>
      </c>
      <c r="O1627" t="s">
        <v>29</v>
      </c>
      <c r="P1627" t="s">
        <v>29</v>
      </c>
      <c r="Q1627" t="s">
        <v>29</v>
      </c>
      <c r="R1627" t="s">
        <v>29</v>
      </c>
      <c r="S1627">
        <v>11.753403746665199</v>
      </c>
      <c r="T1627" t="s">
        <v>29</v>
      </c>
      <c r="U1627" t="s">
        <v>29</v>
      </c>
      <c r="V1627" t="s">
        <v>29</v>
      </c>
      <c r="W1627" t="s">
        <v>29</v>
      </c>
      <c r="X1627" t="s">
        <v>29</v>
      </c>
      <c r="Y1627" t="s">
        <v>29</v>
      </c>
    </row>
    <row r="1628" spans="1:25" x14ac:dyDescent="0.2">
      <c r="A1628" t="s">
        <v>6110</v>
      </c>
      <c r="B1628" t="s">
        <v>6111</v>
      </c>
      <c r="C1628" t="s">
        <v>14409</v>
      </c>
      <c r="D1628" t="s">
        <v>6112</v>
      </c>
      <c r="E1628" t="s">
        <v>6111</v>
      </c>
      <c r="F1628" t="s">
        <v>28</v>
      </c>
      <c r="G1628" t="s">
        <v>6111</v>
      </c>
      <c r="H1628" t="str">
        <f>"K07A12.1"</f>
        <v>K07A12.1</v>
      </c>
      <c r="I1628" t="s">
        <v>6112</v>
      </c>
      <c r="J1628">
        <v>12.865849005044099</v>
      </c>
      <c r="K1628">
        <v>12.9279500853527</v>
      </c>
      <c r="L1628">
        <v>12.902283330141399</v>
      </c>
      <c r="M1628">
        <v>12.630038286378801</v>
      </c>
      <c r="N1628">
        <v>12.660286273220301</v>
      </c>
      <c r="O1628">
        <v>12.3451993161295</v>
      </c>
      <c r="P1628">
        <v>-0.35351951493655798</v>
      </c>
      <c r="Q1628">
        <v>-0.70069005006520202</v>
      </c>
      <c r="R1628">
        <v>-6.3489798079133198E-3</v>
      </c>
      <c r="S1628">
        <v>12.750343703805999</v>
      </c>
      <c r="T1628">
        <v>-2.1494163442683001</v>
      </c>
      <c r="U1628">
        <v>-4.9071366219722501</v>
      </c>
      <c r="V1628">
        <v>4.6387459789170402E-2</v>
      </c>
      <c r="W1628">
        <v>0.21350041605935</v>
      </c>
      <c r="X1628">
        <v>0</v>
      </c>
      <c r="Y1628">
        <v>0</v>
      </c>
    </row>
    <row r="1629" spans="1:25" x14ac:dyDescent="0.2">
      <c r="A1629" t="s">
        <v>6113</v>
      </c>
      <c r="B1629" t="s">
        <v>6114</v>
      </c>
      <c r="C1629" t="s">
        <v>6115</v>
      </c>
      <c r="D1629" t="s">
        <v>6116</v>
      </c>
      <c r="E1629" t="s">
        <v>6114</v>
      </c>
      <c r="F1629" t="s">
        <v>28</v>
      </c>
      <c r="G1629" t="s">
        <v>6114</v>
      </c>
      <c r="H1629" t="str">
        <f>"asg-1"</f>
        <v>asg-1</v>
      </c>
      <c r="I1629" t="s">
        <v>6116</v>
      </c>
      <c r="J1629">
        <v>14.539394741397899</v>
      </c>
      <c r="K1629">
        <v>13.9519922057837</v>
      </c>
      <c r="L1629">
        <v>13.809588540418799</v>
      </c>
      <c r="M1629">
        <v>12.5859871078643</v>
      </c>
      <c r="N1629">
        <v>13.3567198601715</v>
      </c>
      <c r="O1629">
        <v>12.9236453851824</v>
      </c>
      <c r="P1629">
        <v>-1.14487437812745</v>
      </c>
      <c r="Q1629">
        <v>-1.75581828149421</v>
      </c>
      <c r="R1629">
        <v>-0.533930474760686</v>
      </c>
      <c r="S1629">
        <v>13.153935838595901</v>
      </c>
      <c r="T1629">
        <v>-3.9747153371300601</v>
      </c>
      <c r="U1629">
        <v>-1.28387245119771</v>
      </c>
      <c r="V1629">
        <v>1.1010584053301701E-3</v>
      </c>
      <c r="W1629">
        <v>1.9552191962291701E-2</v>
      </c>
      <c r="X1629">
        <v>-1</v>
      </c>
      <c r="Y1629">
        <v>-1</v>
      </c>
    </row>
    <row r="1630" spans="1:25" x14ac:dyDescent="0.2">
      <c r="A1630" t="s">
        <v>6117</v>
      </c>
      <c r="B1630" t="s">
        <v>6118</v>
      </c>
      <c r="C1630" t="s">
        <v>6119</v>
      </c>
      <c r="D1630" t="s">
        <v>3566</v>
      </c>
      <c r="E1630" t="s">
        <v>6118</v>
      </c>
      <c r="F1630" t="s">
        <v>28</v>
      </c>
      <c r="G1630" t="s">
        <v>6118</v>
      </c>
      <c r="H1630" t="str">
        <f>"hbs-1"</f>
        <v>hbs-1</v>
      </c>
      <c r="I1630" t="s">
        <v>3566</v>
      </c>
      <c r="J1630">
        <v>13.177984118282501</v>
      </c>
      <c r="K1630">
        <v>13.152919185256501</v>
      </c>
      <c r="L1630">
        <v>12.927650182774499</v>
      </c>
      <c r="M1630">
        <v>13.6861540831282</v>
      </c>
      <c r="N1630">
        <v>13.4308308539451</v>
      </c>
      <c r="O1630">
        <v>13.4283570534127</v>
      </c>
      <c r="P1630">
        <v>0.42892950139082198</v>
      </c>
      <c r="Q1630">
        <v>7.1168205887262706E-2</v>
      </c>
      <c r="R1630">
        <v>0.78669079689438204</v>
      </c>
      <c r="S1630">
        <v>12.891002508626899</v>
      </c>
      <c r="T1630">
        <v>2.53071113692297</v>
      </c>
      <c r="U1630">
        <v>-4.2011056496050996</v>
      </c>
      <c r="V1630">
        <v>2.1617358102071299E-2</v>
      </c>
      <c r="W1630">
        <v>0.14268333319298199</v>
      </c>
      <c r="X1630">
        <v>0</v>
      </c>
      <c r="Y1630">
        <v>0</v>
      </c>
    </row>
    <row r="1631" spans="1:25" x14ac:dyDescent="0.2">
      <c r="A1631" t="s">
        <v>6120</v>
      </c>
      <c r="B1631" t="s">
        <v>6121</v>
      </c>
      <c r="C1631" t="s">
        <v>6122</v>
      </c>
      <c r="D1631" t="s">
        <v>6123</v>
      </c>
      <c r="E1631" t="s">
        <v>6121</v>
      </c>
      <c r="F1631" t="s">
        <v>28</v>
      </c>
      <c r="G1631" t="s">
        <v>6121</v>
      </c>
      <c r="H1631" t="str">
        <f>"pah-1"</f>
        <v>pah-1</v>
      </c>
      <c r="I1631" t="s">
        <v>6123</v>
      </c>
      <c r="J1631">
        <v>14.1130694635717</v>
      </c>
      <c r="K1631">
        <v>13.960931823667</v>
      </c>
      <c r="L1631">
        <v>14.1483473511094</v>
      </c>
      <c r="M1631">
        <v>16.109776095594999</v>
      </c>
      <c r="N1631">
        <v>16.4386002018231</v>
      </c>
      <c r="O1631">
        <v>15.829866857923401</v>
      </c>
      <c r="P1631">
        <v>2.0519648389978</v>
      </c>
      <c r="Q1631">
        <v>1.4717692916145</v>
      </c>
      <c r="R1631">
        <v>2.6321603863810901</v>
      </c>
      <c r="S1631">
        <v>15.288984956741601</v>
      </c>
      <c r="T1631">
        <v>7.4334091230023596</v>
      </c>
      <c r="U1631">
        <v>6.0381694401340598</v>
      </c>
      <c r="V1631" s="2">
        <v>7.1173938034916299E-7</v>
      </c>
      <c r="W1631" s="2">
        <v>4.21090898846577E-5</v>
      </c>
      <c r="X1631">
        <v>1</v>
      </c>
      <c r="Y1631">
        <v>1</v>
      </c>
    </row>
    <row r="1632" spans="1:25" x14ac:dyDescent="0.2">
      <c r="A1632" t="s">
        <v>6124</v>
      </c>
      <c r="B1632" t="s">
        <v>6125</v>
      </c>
      <c r="C1632" t="s">
        <v>14410</v>
      </c>
      <c r="D1632" t="s">
        <v>6126</v>
      </c>
      <c r="E1632" t="s">
        <v>6125</v>
      </c>
      <c r="F1632" t="s">
        <v>28</v>
      </c>
      <c r="G1632" t="s">
        <v>6125</v>
      </c>
      <c r="H1632" t="str">
        <f>"M04C9.3"</f>
        <v>M04C9.3</v>
      </c>
      <c r="I1632" t="s">
        <v>6126</v>
      </c>
      <c r="J1632">
        <v>11.9758408909323</v>
      </c>
      <c r="K1632">
        <v>12.440037239444701</v>
      </c>
      <c r="L1632">
        <v>12.436651693561499</v>
      </c>
      <c r="M1632">
        <v>13.002807344460701</v>
      </c>
      <c r="N1632">
        <v>13.092122681064501</v>
      </c>
      <c r="O1632">
        <v>12.844615169473601</v>
      </c>
      <c r="P1632">
        <v>0.69567179035340498</v>
      </c>
      <c r="Q1632">
        <v>0.274550326570347</v>
      </c>
      <c r="R1632">
        <v>1.11679325413646</v>
      </c>
      <c r="S1632">
        <v>13.2181495815978</v>
      </c>
      <c r="T1632">
        <v>3.5038583897715099</v>
      </c>
      <c r="U1632">
        <v>-2.2651480236276602</v>
      </c>
      <c r="V1632">
        <v>2.9645742830907399E-3</v>
      </c>
      <c r="W1632">
        <v>3.7830293008538303E-2</v>
      </c>
      <c r="X1632">
        <v>0</v>
      </c>
      <c r="Y1632">
        <v>0</v>
      </c>
    </row>
    <row r="1633" spans="1:25" x14ac:dyDescent="0.2">
      <c r="A1633" t="s">
        <v>6127</v>
      </c>
      <c r="B1633" t="s">
        <v>6128</v>
      </c>
      <c r="C1633" t="s">
        <v>6129</v>
      </c>
      <c r="D1633" t="s">
        <v>6130</v>
      </c>
      <c r="E1633" t="s">
        <v>6128</v>
      </c>
      <c r="F1633" t="s">
        <v>28</v>
      </c>
      <c r="G1633" t="s">
        <v>6128</v>
      </c>
      <c r="H1633" t="str">
        <f>"hmp-1"</f>
        <v>hmp-1</v>
      </c>
      <c r="I1633" t="s">
        <v>6130</v>
      </c>
      <c r="J1633">
        <v>11.2773298610255</v>
      </c>
      <c r="K1633">
        <v>10.974568725354599</v>
      </c>
      <c r="L1633" t="s">
        <v>29</v>
      </c>
      <c r="M1633">
        <v>11.998070363469401</v>
      </c>
      <c r="N1633">
        <v>11.497863981931401</v>
      </c>
      <c r="O1633">
        <v>11.814889860393899</v>
      </c>
      <c r="P1633">
        <v>0.64432544207481601</v>
      </c>
      <c r="Q1633">
        <v>-8.2386055503431699E-3</v>
      </c>
      <c r="R1633">
        <v>1.2968894896999801</v>
      </c>
      <c r="S1633">
        <v>12.0177573527027</v>
      </c>
      <c r="T1633">
        <v>2.1058321079489901</v>
      </c>
      <c r="U1633">
        <v>-4.8918968771664897</v>
      </c>
      <c r="V1633">
        <v>5.2601450895180098E-2</v>
      </c>
      <c r="W1633">
        <v>0.22770480438687701</v>
      </c>
      <c r="X1633">
        <v>0</v>
      </c>
      <c r="Y1633">
        <v>0</v>
      </c>
    </row>
    <row r="1634" spans="1:25" x14ac:dyDescent="0.2">
      <c r="A1634" t="s">
        <v>6131</v>
      </c>
      <c r="B1634" t="s">
        <v>6132</v>
      </c>
      <c r="C1634" t="s">
        <v>6133</v>
      </c>
      <c r="D1634" t="s">
        <v>6134</v>
      </c>
      <c r="E1634" t="s">
        <v>6132</v>
      </c>
      <c r="F1634" t="s">
        <v>28</v>
      </c>
      <c r="G1634" t="s">
        <v>6132</v>
      </c>
      <c r="H1634" t="str">
        <f>"clic-1"</f>
        <v>clic-1</v>
      </c>
      <c r="I1634" t="s">
        <v>6134</v>
      </c>
      <c r="J1634" t="s">
        <v>29</v>
      </c>
      <c r="K1634" t="s">
        <v>29</v>
      </c>
      <c r="L1634" t="s">
        <v>29</v>
      </c>
      <c r="M1634">
        <v>14.858452966252701</v>
      </c>
      <c r="N1634">
        <v>14.340317962842599</v>
      </c>
      <c r="O1634">
        <v>14.729120488643</v>
      </c>
      <c r="P1634" t="s">
        <v>29</v>
      </c>
      <c r="Q1634" t="s">
        <v>29</v>
      </c>
      <c r="R1634" t="s">
        <v>29</v>
      </c>
      <c r="S1634">
        <v>13.2659525533885</v>
      </c>
      <c r="T1634" t="s">
        <v>29</v>
      </c>
      <c r="U1634" t="s">
        <v>29</v>
      </c>
      <c r="V1634" t="s">
        <v>29</v>
      </c>
      <c r="W1634" t="s">
        <v>29</v>
      </c>
      <c r="X1634" t="s">
        <v>29</v>
      </c>
      <c r="Y1634" t="s">
        <v>29</v>
      </c>
    </row>
    <row r="1635" spans="1:25" x14ac:dyDescent="0.2">
      <c r="A1635" t="s">
        <v>6135</v>
      </c>
      <c r="B1635" t="s">
        <v>6136</v>
      </c>
      <c r="C1635" t="s">
        <v>6137</v>
      </c>
      <c r="D1635" t="s">
        <v>6138</v>
      </c>
      <c r="E1635" t="s">
        <v>6136</v>
      </c>
      <c r="F1635" t="s">
        <v>28</v>
      </c>
      <c r="G1635" t="s">
        <v>6136</v>
      </c>
      <c r="H1635" t="str">
        <f>"T24B1.1"</f>
        <v>T24B1.1</v>
      </c>
      <c r="I1635" t="s">
        <v>6138</v>
      </c>
      <c r="J1635">
        <v>10.7071110297013</v>
      </c>
      <c r="K1635" t="s">
        <v>29</v>
      </c>
      <c r="L1635" t="s">
        <v>29</v>
      </c>
      <c r="M1635">
        <v>12.4035084590538</v>
      </c>
      <c r="N1635">
        <v>12.2384286332999</v>
      </c>
      <c r="O1635">
        <v>12.1533996820654</v>
      </c>
      <c r="P1635">
        <v>1.5580012284384299</v>
      </c>
      <c r="Q1635">
        <v>0.37717707390106497</v>
      </c>
      <c r="R1635">
        <v>2.7388253829757998</v>
      </c>
      <c r="S1635">
        <v>11.519984389708901</v>
      </c>
      <c r="T1635">
        <v>2.8527900549488101</v>
      </c>
      <c r="U1635">
        <v>-3.3735855714456702</v>
      </c>
      <c r="V1635">
        <v>1.3677018830357299E-2</v>
      </c>
      <c r="W1635">
        <v>0.10828471842818201</v>
      </c>
      <c r="X1635">
        <v>1</v>
      </c>
      <c r="Y1635">
        <v>0</v>
      </c>
    </row>
    <row r="1636" spans="1:25" x14ac:dyDescent="0.2">
      <c r="A1636" t="s">
        <v>6139</v>
      </c>
      <c r="B1636" t="s">
        <v>6140</v>
      </c>
      <c r="C1636" t="s">
        <v>6141</v>
      </c>
      <c r="D1636" t="s">
        <v>6142</v>
      </c>
      <c r="E1636" t="s">
        <v>6140</v>
      </c>
      <c r="F1636" t="s">
        <v>28</v>
      </c>
      <c r="G1636" t="s">
        <v>6140</v>
      </c>
      <c r="H1636" t="str">
        <f>"uaf-1"</f>
        <v>uaf-1</v>
      </c>
      <c r="I1636" t="s">
        <v>6142</v>
      </c>
      <c r="J1636">
        <v>13.1845357371392</v>
      </c>
      <c r="K1636">
        <v>13.1762240892034</v>
      </c>
      <c r="L1636">
        <v>13.1871483710218</v>
      </c>
      <c r="M1636">
        <v>12.5721345916586</v>
      </c>
      <c r="N1636">
        <v>11.852438532939701</v>
      </c>
      <c r="O1636">
        <v>13.6285889817075</v>
      </c>
      <c r="P1636">
        <v>-0.49824869701956398</v>
      </c>
      <c r="Q1636">
        <v>-1.23620866831943</v>
      </c>
      <c r="R1636">
        <v>0.23971127428030201</v>
      </c>
      <c r="S1636">
        <v>13.505438570921999</v>
      </c>
      <c r="T1636">
        <v>-1.4190767330682501</v>
      </c>
      <c r="U1636">
        <v>-6.0524144993173401</v>
      </c>
      <c r="V1636">
        <v>0.17306038892709499</v>
      </c>
      <c r="W1636">
        <v>0.43242610723413899</v>
      </c>
      <c r="X1636">
        <v>0</v>
      </c>
      <c r="Y1636">
        <v>0</v>
      </c>
    </row>
    <row r="1637" spans="1:25" x14ac:dyDescent="0.2">
      <c r="A1637" t="s">
        <v>6143</v>
      </c>
      <c r="B1637" t="s">
        <v>6144</v>
      </c>
      <c r="C1637" t="s">
        <v>6145</v>
      </c>
      <c r="D1637" t="s">
        <v>6146</v>
      </c>
      <c r="E1637" t="s">
        <v>6144</v>
      </c>
      <c r="F1637" t="s">
        <v>28</v>
      </c>
      <c r="G1637" t="s">
        <v>6144</v>
      </c>
      <c r="H1637" t="str">
        <f>"pkc-2"</f>
        <v>pkc-2</v>
      </c>
      <c r="I1637" t="s">
        <v>6146</v>
      </c>
      <c r="J1637">
        <v>13.2501538563782</v>
      </c>
      <c r="K1637">
        <v>13.419497642131001</v>
      </c>
      <c r="L1637">
        <v>13.2978377007917</v>
      </c>
      <c r="M1637">
        <v>13.9446189019045</v>
      </c>
      <c r="N1637">
        <v>13.3925195640639</v>
      </c>
      <c r="O1637">
        <v>13.250868242475599</v>
      </c>
      <c r="P1637">
        <v>0.20683916971437799</v>
      </c>
      <c r="Q1637">
        <v>-0.166030369697619</v>
      </c>
      <c r="R1637">
        <v>0.57970870912637495</v>
      </c>
      <c r="S1637">
        <v>12.9173896484622</v>
      </c>
      <c r="T1637">
        <v>1.1709164103152201</v>
      </c>
      <c r="U1637">
        <v>-6.3592779278251204</v>
      </c>
      <c r="V1637">
        <v>0.25788301916496997</v>
      </c>
      <c r="W1637">
        <v>0.53484480455771</v>
      </c>
      <c r="X1637">
        <v>0</v>
      </c>
      <c r="Y1637">
        <v>0</v>
      </c>
    </row>
    <row r="1638" spans="1:25" x14ac:dyDescent="0.2">
      <c r="A1638" t="s">
        <v>6147</v>
      </c>
      <c r="B1638" t="s">
        <v>6148</v>
      </c>
      <c r="C1638" t="s">
        <v>6149</v>
      </c>
      <c r="D1638" t="s">
        <v>6150</v>
      </c>
      <c r="E1638" t="s">
        <v>6148</v>
      </c>
      <c r="F1638" t="s">
        <v>28</v>
      </c>
      <c r="G1638" t="s">
        <v>6148</v>
      </c>
      <c r="H1638" t="str">
        <f>"rps-29"</f>
        <v>rps-29</v>
      </c>
      <c r="I1638" t="s">
        <v>6150</v>
      </c>
      <c r="J1638">
        <v>13.9927017373684</v>
      </c>
      <c r="K1638">
        <v>14.3453640417172</v>
      </c>
      <c r="L1638">
        <v>13.853178955633799</v>
      </c>
      <c r="M1638">
        <v>13.8751075703276</v>
      </c>
      <c r="N1638">
        <v>13.925552865381899</v>
      </c>
      <c r="O1638">
        <v>13.9432097278094</v>
      </c>
      <c r="P1638">
        <v>-0.149124857066816</v>
      </c>
      <c r="Q1638">
        <v>-0.71522672917868202</v>
      </c>
      <c r="R1638">
        <v>0.41697701504505003</v>
      </c>
      <c r="S1638">
        <v>13.9061762135486</v>
      </c>
      <c r="T1638">
        <v>-0.55366613724886704</v>
      </c>
      <c r="U1638">
        <v>-6.8928071660470396</v>
      </c>
      <c r="V1638">
        <v>0.58665947245044603</v>
      </c>
      <c r="W1638">
        <v>0.80243376349464202</v>
      </c>
      <c r="X1638">
        <v>0</v>
      </c>
      <c r="Y1638">
        <v>0</v>
      </c>
    </row>
    <row r="1639" spans="1:25" x14ac:dyDescent="0.2">
      <c r="A1639" t="s">
        <v>6151</v>
      </c>
      <c r="B1639" t="s">
        <v>6152</v>
      </c>
      <c r="C1639" t="s">
        <v>6153</v>
      </c>
      <c r="D1639" t="s">
        <v>6154</v>
      </c>
      <c r="E1639" t="s">
        <v>6152</v>
      </c>
      <c r="F1639" t="s">
        <v>28</v>
      </c>
      <c r="G1639" t="s">
        <v>6152</v>
      </c>
      <c r="H1639" t="str">
        <f>"misc-1"</f>
        <v>misc-1</v>
      </c>
      <c r="I1639" t="s">
        <v>6154</v>
      </c>
      <c r="J1639">
        <v>15.722092969218201</v>
      </c>
      <c r="K1639">
        <v>15.7361692209033</v>
      </c>
      <c r="L1639">
        <v>15.447120360617401</v>
      </c>
      <c r="M1639">
        <v>15.7802822386972</v>
      </c>
      <c r="N1639">
        <v>15.849707346802299</v>
      </c>
      <c r="O1639">
        <v>15.519430661570199</v>
      </c>
      <c r="P1639">
        <v>8.1345898776934406E-2</v>
      </c>
      <c r="Q1639">
        <v>-0.28926853460294499</v>
      </c>
      <c r="R1639">
        <v>0.45196033215681403</v>
      </c>
      <c r="S1639">
        <v>15.288703349970101</v>
      </c>
      <c r="T1639">
        <v>0.46132378482112302</v>
      </c>
      <c r="U1639">
        <v>-6.9412182156357503</v>
      </c>
      <c r="V1639">
        <v>0.65012429332060695</v>
      </c>
      <c r="W1639">
        <v>0.84115485107962396</v>
      </c>
      <c r="X1639">
        <v>0</v>
      </c>
      <c r="Y1639">
        <v>0</v>
      </c>
    </row>
    <row r="1640" spans="1:25" x14ac:dyDescent="0.2">
      <c r="A1640" t="s">
        <v>6155</v>
      </c>
      <c r="B1640" t="s">
        <v>6156</v>
      </c>
      <c r="C1640" t="s">
        <v>6157</v>
      </c>
      <c r="D1640" t="s">
        <v>6158</v>
      </c>
      <c r="E1640" t="s">
        <v>6156</v>
      </c>
      <c r="F1640" t="s">
        <v>28</v>
      </c>
      <c r="G1640" t="s">
        <v>6156</v>
      </c>
      <c r="H1640" t="str">
        <f>"djr-1.1"</f>
        <v>djr-1.1</v>
      </c>
      <c r="I1640" t="s">
        <v>6158</v>
      </c>
      <c r="J1640">
        <v>11.954392303345401</v>
      </c>
      <c r="K1640">
        <v>11.767434993957</v>
      </c>
      <c r="L1640">
        <v>12.0886308799074</v>
      </c>
      <c r="M1640">
        <v>12.607730353496301</v>
      </c>
      <c r="N1640">
        <v>12.647957325884899</v>
      </c>
      <c r="O1640">
        <v>11.5839239913153</v>
      </c>
      <c r="P1640">
        <v>0.34305116449552903</v>
      </c>
      <c r="Q1640">
        <v>-0.203276010255006</v>
      </c>
      <c r="R1640">
        <v>0.88937833924606402</v>
      </c>
      <c r="S1640">
        <v>12.4738104437224</v>
      </c>
      <c r="T1640">
        <v>1.3254278989812001</v>
      </c>
      <c r="U1640">
        <v>-6.1738048263170997</v>
      </c>
      <c r="V1640">
        <v>0.20267420617804199</v>
      </c>
      <c r="W1640">
        <v>0.46574990600519001</v>
      </c>
      <c r="X1640">
        <v>0</v>
      </c>
      <c r="Y1640">
        <v>0</v>
      </c>
    </row>
    <row r="1641" spans="1:25" x14ac:dyDescent="0.2">
      <c r="A1641" t="s">
        <v>6159</v>
      </c>
      <c r="B1641" t="s">
        <v>6160</v>
      </c>
      <c r="C1641" t="s">
        <v>6161</v>
      </c>
      <c r="D1641" t="s">
        <v>6162</v>
      </c>
      <c r="E1641" t="s">
        <v>6160</v>
      </c>
      <c r="F1641" t="s">
        <v>28</v>
      </c>
      <c r="G1641" t="s">
        <v>6160</v>
      </c>
      <c r="H1641" t="str">
        <f>"dhs-1"</f>
        <v>dhs-1</v>
      </c>
      <c r="I1641" t="s">
        <v>6162</v>
      </c>
      <c r="J1641">
        <v>13.5440167119911</v>
      </c>
      <c r="K1641">
        <v>13.227326002098801</v>
      </c>
      <c r="L1641">
        <v>13.494647806874299</v>
      </c>
      <c r="M1641">
        <v>14.048724846627101</v>
      </c>
      <c r="N1641">
        <v>13.7028334760038</v>
      </c>
      <c r="O1641">
        <v>13.087242381331601</v>
      </c>
      <c r="P1641">
        <v>0.190936727666115</v>
      </c>
      <c r="Q1641">
        <v>-0.36428394582470702</v>
      </c>
      <c r="R1641">
        <v>0.74615740115693696</v>
      </c>
      <c r="S1641">
        <v>13.5502286954674</v>
      </c>
      <c r="T1641">
        <v>0.72589509161203303</v>
      </c>
      <c r="U1641">
        <v>-6.7793428010684904</v>
      </c>
      <c r="V1641">
        <v>0.47783915457610798</v>
      </c>
      <c r="W1641">
        <v>0.73726344665275301</v>
      </c>
      <c r="X1641">
        <v>0</v>
      </c>
      <c r="Y1641">
        <v>0</v>
      </c>
    </row>
    <row r="1642" spans="1:25" x14ac:dyDescent="0.2">
      <c r="A1642" t="s">
        <v>6163</v>
      </c>
      <c r="B1642" t="s">
        <v>6164</v>
      </c>
      <c r="C1642" t="s">
        <v>6165</v>
      </c>
      <c r="D1642" t="s">
        <v>6166</v>
      </c>
      <c r="E1642" t="s">
        <v>6164</v>
      </c>
      <c r="F1642" t="s">
        <v>28</v>
      </c>
      <c r="G1642" t="s">
        <v>6164</v>
      </c>
      <c r="H1642" t="str">
        <f>"hpo-32"</f>
        <v>hpo-32</v>
      </c>
      <c r="I1642" t="s">
        <v>6166</v>
      </c>
      <c r="J1642">
        <v>10.278048381543201</v>
      </c>
      <c r="K1642" t="s">
        <v>29</v>
      </c>
      <c r="L1642">
        <v>10.6908846224902</v>
      </c>
      <c r="M1642" t="s">
        <v>29</v>
      </c>
      <c r="N1642" t="s">
        <v>29</v>
      </c>
      <c r="O1642" t="s">
        <v>29</v>
      </c>
      <c r="P1642" t="s">
        <v>29</v>
      </c>
      <c r="Q1642" t="s">
        <v>29</v>
      </c>
      <c r="R1642" t="s">
        <v>29</v>
      </c>
      <c r="S1642">
        <v>10.924349429478401</v>
      </c>
      <c r="T1642" t="s">
        <v>29</v>
      </c>
      <c r="U1642" t="s">
        <v>29</v>
      </c>
      <c r="V1642" t="s">
        <v>29</v>
      </c>
      <c r="W1642" t="s">
        <v>29</v>
      </c>
      <c r="X1642" t="s">
        <v>29</v>
      </c>
      <c r="Y1642" t="s">
        <v>29</v>
      </c>
    </row>
    <row r="1643" spans="1:25" x14ac:dyDescent="0.2">
      <c r="A1643" t="s">
        <v>6167</v>
      </c>
      <c r="B1643" t="s">
        <v>6168</v>
      </c>
      <c r="C1643" t="s">
        <v>6169</v>
      </c>
      <c r="D1643" t="s">
        <v>6170</v>
      </c>
      <c r="E1643" t="s">
        <v>6168</v>
      </c>
      <c r="F1643" t="s">
        <v>28</v>
      </c>
      <c r="G1643" t="s">
        <v>6168</v>
      </c>
      <c r="H1643" t="str">
        <f>"C07D8.6"</f>
        <v>C07D8.6</v>
      </c>
      <c r="I1643" t="s">
        <v>6170</v>
      </c>
      <c r="J1643" t="s">
        <v>29</v>
      </c>
      <c r="K1643" t="s">
        <v>29</v>
      </c>
      <c r="L1643" t="s">
        <v>29</v>
      </c>
      <c r="M1643">
        <v>11.3556771855776</v>
      </c>
      <c r="N1643" t="s">
        <v>29</v>
      </c>
      <c r="O1643">
        <v>13.651341944868401</v>
      </c>
      <c r="P1643" t="s">
        <v>29</v>
      </c>
      <c r="Q1643" t="s">
        <v>29</v>
      </c>
      <c r="R1643" t="s">
        <v>29</v>
      </c>
      <c r="S1643">
        <v>12.6474347050824</v>
      </c>
      <c r="T1643" t="s">
        <v>29</v>
      </c>
      <c r="U1643" t="s">
        <v>29</v>
      </c>
      <c r="V1643" t="s">
        <v>29</v>
      </c>
      <c r="W1643" t="s">
        <v>29</v>
      </c>
      <c r="X1643" t="s">
        <v>29</v>
      </c>
      <c r="Y1643" t="s">
        <v>29</v>
      </c>
    </row>
    <row r="1644" spans="1:25" x14ac:dyDescent="0.2">
      <c r="A1644" t="s">
        <v>6171</v>
      </c>
      <c r="B1644" t="s">
        <v>6172</v>
      </c>
      <c r="C1644" t="s">
        <v>6173</v>
      </c>
      <c r="D1644" t="s">
        <v>2795</v>
      </c>
      <c r="E1644" t="s">
        <v>6172</v>
      </c>
      <c r="F1644" t="s">
        <v>28</v>
      </c>
      <c r="G1644" t="s">
        <v>6172</v>
      </c>
      <c r="H1644" t="str">
        <f>"ugt-28"</f>
        <v>ugt-28</v>
      </c>
      <c r="I1644" t="s">
        <v>2795</v>
      </c>
      <c r="J1644" t="s">
        <v>29</v>
      </c>
      <c r="K1644" t="s">
        <v>29</v>
      </c>
      <c r="L1644" t="s">
        <v>29</v>
      </c>
      <c r="M1644" t="s">
        <v>29</v>
      </c>
      <c r="N1644" t="s">
        <v>29</v>
      </c>
      <c r="O1644" t="s">
        <v>29</v>
      </c>
      <c r="P1644" t="s">
        <v>29</v>
      </c>
      <c r="Q1644" t="s">
        <v>29</v>
      </c>
      <c r="R1644" t="s">
        <v>29</v>
      </c>
      <c r="S1644">
        <v>11.3688077101407</v>
      </c>
      <c r="T1644" t="s">
        <v>29</v>
      </c>
      <c r="U1644" t="s">
        <v>29</v>
      </c>
      <c r="V1644" t="s">
        <v>29</v>
      </c>
      <c r="W1644" t="s">
        <v>29</v>
      </c>
      <c r="X1644" t="s">
        <v>29</v>
      </c>
      <c r="Y1644" t="s">
        <v>29</v>
      </c>
    </row>
    <row r="1645" spans="1:25" x14ac:dyDescent="0.2">
      <c r="A1645" t="s">
        <v>6174</v>
      </c>
      <c r="B1645" t="s">
        <v>6175</v>
      </c>
      <c r="C1645" t="s">
        <v>6176</v>
      </c>
      <c r="D1645" t="s">
        <v>6177</v>
      </c>
      <c r="E1645" t="s">
        <v>6175</v>
      </c>
      <c r="F1645" t="s">
        <v>28</v>
      </c>
      <c r="G1645" t="s">
        <v>6175</v>
      </c>
      <c r="H1645" t="str">
        <f>"C16C8.16"</f>
        <v>C16C8.16</v>
      </c>
      <c r="I1645" t="s">
        <v>6177</v>
      </c>
      <c r="J1645" t="s">
        <v>29</v>
      </c>
      <c r="K1645" t="s">
        <v>29</v>
      </c>
      <c r="L1645" t="s">
        <v>29</v>
      </c>
      <c r="M1645" t="s">
        <v>29</v>
      </c>
      <c r="N1645" t="s">
        <v>29</v>
      </c>
      <c r="O1645" t="s">
        <v>29</v>
      </c>
      <c r="P1645" t="s">
        <v>29</v>
      </c>
      <c r="Q1645" t="s">
        <v>29</v>
      </c>
      <c r="R1645" t="s">
        <v>29</v>
      </c>
      <c r="S1645">
        <v>9.6422864141220508</v>
      </c>
      <c r="T1645" t="s">
        <v>29</v>
      </c>
      <c r="U1645" t="s">
        <v>29</v>
      </c>
      <c r="V1645" t="s">
        <v>29</v>
      </c>
      <c r="W1645" t="s">
        <v>29</v>
      </c>
      <c r="X1645" t="s">
        <v>29</v>
      </c>
      <c r="Y1645" t="s">
        <v>29</v>
      </c>
    </row>
    <row r="1646" spans="1:25" x14ac:dyDescent="0.2">
      <c r="A1646" t="s">
        <v>6178</v>
      </c>
      <c r="B1646" t="s">
        <v>6179</v>
      </c>
      <c r="C1646" t="s">
        <v>6180</v>
      </c>
      <c r="D1646" t="s">
        <v>6181</v>
      </c>
      <c r="E1646" t="s">
        <v>6179</v>
      </c>
      <c r="F1646" t="s">
        <v>28</v>
      </c>
      <c r="G1646" t="s">
        <v>6179</v>
      </c>
      <c r="H1646" t="str">
        <f>"C17H11.2"</f>
        <v>C17H11.2</v>
      </c>
      <c r="I1646" t="s">
        <v>6181</v>
      </c>
      <c r="J1646" t="s">
        <v>29</v>
      </c>
      <c r="K1646" t="s">
        <v>29</v>
      </c>
      <c r="L1646" t="s">
        <v>29</v>
      </c>
      <c r="M1646" t="s">
        <v>29</v>
      </c>
      <c r="N1646" t="s">
        <v>29</v>
      </c>
      <c r="O1646" t="s">
        <v>29</v>
      </c>
      <c r="P1646" t="s">
        <v>29</v>
      </c>
      <c r="Q1646" t="s">
        <v>29</v>
      </c>
      <c r="R1646" t="s">
        <v>29</v>
      </c>
      <c r="S1646">
        <v>11.910180277812801</v>
      </c>
      <c r="T1646" t="s">
        <v>29</v>
      </c>
      <c r="U1646" t="s">
        <v>29</v>
      </c>
      <c r="V1646" t="s">
        <v>29</v>
      </c>
      <c r="W1646" t="s">
        <v>29</v>
      </c>
      <c r="X1646" t="s">
        <v>29</v>
      </c>
      <c r="Y1646" t="s">
        <v>29</v>
      </c>
    </row>
    <row r="1647" spans="1:25" x14ac:dyDescent="0.2">
      <c r="A1647" t="s">
        <v>6182</v>
      </c>
      <c r="B1647" t="s">
        <v>6183</v>
      </c>
      <c r="C1647" t="s">
        <v>6184</v>
      </c>
      <c r="D1647" t="s">
        <v>6185</v>
      </c>
      <c r="E1647" t="s">
        <v>6183</v>
      </c>
      <c r="F1647" t="s">
        <v>28</v>
      </c>
      <c r="G1647" t="s">
        <v>6183</v>
      </c>
      <c r="H1647" t="str">
        <f>"sptl-1"</f>
        <v>sptl-1</v>
      </c>
      <c r="I1647" t="s">
        <v>6185</v>
      </c>
      <c r="J1647">
        <v>15.4987270717447</v>
      </c>
      <c r="K1647">
        <v>15.535495829122199</v>
      </c>
      <c r="L1647">
        <v>15.2390805369558</v>
      </c>
      <c r="M1647">
        <v>14.891176073622599</v>
      </c>
      <c r="N1647">
        <v>14.9756331597262</v>
      </c>
      <c r="O1647">
        <v>15.069392457433301</v>
      </c>
      <c r="P1647">
        <v>-0.44570058234685</v>
      </c>
      <c r="Q1647">
        <v>-0.86522227766604098</v>
      </c>
      <c r="R1647">
        <v>-2.6178887027659699E-2</v>
      </c>
      <c r="S1647">
        <v>15.190524563117799</v>
      </c>
      <c r="T1647">
        <v>-2.2329617801092199</v>
      </c>
      <c r="U1647">
        <v>-4.7492895237852499</v>
      </c>
      <c r="V1647">
        <v>3.8567780138539703E-2</v>
      </c>
      <c r="W1647">
        <v>0.19397149392706101</v>
      </c>
      <c r="X1647">
        <v>0</v>
      </c>
      <c r="Y1647">
        <v>0</v>
      </c>
    </row>
    <row r="1648" spans="1:25" x14ac:dyDescent="0.2">
      <c r="A1648" t="s">
        <v>6186</v>
      </c>
      <c r="B1648" t="s">
        <v>6187</v>
      </c>
      <c r="C1648" t="s">
        <v>6188</v>
      </c>
      <c r="D1648" t="s">
        <v>666</v>
      </c>
      <c r="E1648" t="s">
        <v>6187</v>
      </c>
      <c r="F1648" t="s">
        <v>28</v>
      </c>
      <c r="G1648" t="s">
        <v>6187</v>
      </c>
      <c r="H1648" t="str">
        <f>"pqn-15"</f>
        <v>pqn-15</v>
      </c>
      <c r="I1648" t="s">
        <v>666</v>
      </c>
      <c r="J1648">
        <v>12.256481511274099</v>
      </c>
      <c r="K1648">
        <v>10.9312457801362</v>
      </c>
      <c r="L1648">
        <v>11.2676349344828</v>
      </c>
      <c r="M1648">
        <v>11.360462898422799</v>
      </c>
      <c r="N1648">
        <v>11.6661692426618</v>
      </c>
      <c r="O1648">
        <v>12.874541977768599</v>
      </c>
      <c r="P1648">
        <v>0.48193729765335802</v>
      </c>
      <c r="Q1648">
        <v>-0.46222334436937301</v>
      </c>
      <c r="R1648">
        <v>1.42609793967609</v>
      </c>
      <c r="S1648">
        <v>11.5144851181318</v>
      </c>
      <c r="T1648">
        <v>1.08266519453285</v>
      </c>
      <c r="U1648">
        <v>-6.4556052551368603</v>
      </c>
      <c r="V1648">
        <v>0.29510841652908598</v>
      </c>
      <c r="W1648">
        <v>0.57330315664814702</v>
      </c>
      <c r="X1648">
        <v>0</v>
      </c>
      <c r="Y1648">
        <v>0</v>
      </c>
    </row>
    <row r="1649" spans="1:25" x14ac:dyDescent="0.2">
      <c r="A1649" t="s">
        <v>6189</v>
      </c>
      <c r="B1649" t="s">
        <v>6190</v>
      </c>
      <c r="C1649" t="s">
        <v>6191</v>
      </c>
      <c r="D1649" t="s">
        <v>4483</v>
      </c>
      <c r="E1649" t="s">
        <v>6190</v>
      </c>
      <c r="F1649" t="s">
        <v>28</v>
      </c>
      <c r="G1649" t="s">
        <v>6190</v>
      </c>
      <c r="H1649" t="str">
        <f>"C32E12.1"</f>
        <v>C32E12.1</v>
      </c>
      <c r="I1649" t="s">
        <v>4483</v>
      </c>
      <c r="J1649">
        <v>14.3877815722782</v>
      </c>
      <c r="K1649">
        <v>12.105102823490499</v>
      </c>
      <c r="L1649">
        <v>13.4196915320623</v>
      </c>
      <c r="M1649">
        <v>11.3210917186593</v>
      </c>
      <c r="N1649">
        <v>12.5963202683341</v>
      </c>
      <c r="O1649">
        <v>12.075091760481399</v>
      </c>
      <c r="P1649">
        <v>-1.30669072678537</v>
      </c>
      <c r="Q1649">
        <v>-2.3241279541194499</v>
      </c>
      <c r="R1649">
        <v>-0.28925349945128798</v>
      </c>
      <c r="S1649">
        <v>12.415405123631301</v>
      </c>
      <c r="T1649">
        <v>-2.75649416644004</v>
      </c>
      <c r="U1649">
        <v>-3.8332551147110001</v>
      </c>
      <c r="V1649">
        <v>1.5533001220816399E-2</v>
      </c>
      <c r="W1649">
        <v>0.11646171883073</v>
      </c>
      <c r="X1649">
        <v>-1</v>
      </c>
      <c r="Y1649">
        <v>0</v>
      </c>
    </row>
    <row r="1650" spans="1:25" x14ac:dyDescent="0.2">
      <c r="A1650" t="s">
        <v>6192</v>
      </c>
      <c r="B1650" t="s">
        <v>6193</v>
      </c>
      <c r="C1650" t="s">
        <v>6194</v>
      </c>
      <c r="D1650" t="s">
        <v>433</v>
      </c>
      <c r="E1650" t="s">
        <v>6193</v>
      </c>
      <c r="F1650" t="s">
        <v>28</v>
      </c>
      <c r="G1650" t="s">
        <v>6193</v>
      </c>
      <c r="H1650" t="str">
        <f>"pmlr-1"</f>
        <v>pmlr-1</v>
      </c>
      <c r="I1650" t="s">
        <v>433</v>
      </c>
      <c r="J1650">
        <v>12.135398896731701</v>
      </c>
      <c r="K1650">
        <v>12.083456860135501</v>
      </c>
      <c r="L1650">
        <v>12.1798085317931</v>
      </c>
      <c r="M1650">
        <v>11.412448804195201</v>
      </c>
      <c r="N1650" t="s">
        <v>29</v>
      </c>
      <c r="O1650">
        <v>12.112260228949401</v>
      </c>
      <c r="P1650">
        <v>-0.37053357964778899</v>
      </c>
      <c r="Q1650">
        <v>-1.0176102113519001</v>
      </c>
      <c r="R1650">
        <v>0.27654305205632101</v>
      </c>
      <c r="S1650">
        <v>12.114176281727699</v>
      </c>
      <c r="T1650">
        <v>-1.22127498530362</v>
      </c>
      <c r="U1650">
        <v>-6.1902664805230696</v>
      </c>
      <c r="V1650">
        <v>0.24096089528453099</v>
      </c>
      <c r="W1650">
        <v>0.51449262024663001</v>
      </c>
      <c r="X1650">
        <v>0</v>
      </c>
      <c r="Y1650">
        <v>0</v>
      </c>
    </row>
    <row r="1651" spans="1:25" x14ac:dyDescent="0.2">
      <c r="A1651" t="s">
        <v>6195</v>
      </c>
      <c r="B1651" t="s">
        <v>6196</v>
      </c>
      <c r="C1651" t="s">
        <v>6197</v>
      </c>
      <c r="D1651" t="s">
        <v>6198</v>
      </c>
      <c r="E1651" t="s">
        <v>6196</v>
      </c>
      <c r="F1651" t="s">
        <v>28</v>
      </c>
      <c r="G1651" t="s">
        <v>6196</v>
      </c>
      <c r="H1651" t="str">
        <f>"rpl-13"</f>
        <v>rpl-13</v>
      </c>
      <c r="I1651" t="s">
        <v>6198</v>
      </c>
      <c r="J1651">
        <v>17.568428399757298</v>
      </c>
      <c r="K1651">
        <v>17.5098576667516</v>
      </c>
      <c r="L1651">
        <v>17.623542720592202</v>
      </c>
      <c r="M1651">
        <v>17.0686902287162</v>
      </c>
      <c r="N1651">
        <v>17.093731480332799</v>
      </c>
      <c r="O1651">
        <v>17.187651050437701</v>
      </c>
      <c r="P1651">
        <v>-0.45058534253813298</v>
      </c>
      <c r="Q1651">
        <v>-0.74448863837046597</v>
      </c>
      <c r="R1651">
        <v>-0.15668204670580099</v>
      </c>
      <c r="S1651">
        <v>17.5038185944642</v>
      </c>
      <c r="T1651">
        <v>-3.2222936611453301</v>
      </c>
      <c r="U1651">
        <v>-2.7693705211324899</v>
      </c>
      <c r="V1651">
        <v>4.7522578191031197E-3</v>
      </c>
      <c r="W1651">
        <v>5.2877673627475197E-2</v>
      </c>
      <c r="X1651">
        <v>0</v>
      </c>
      <c r="Y1651">
        <v>0</v>
      </c>
    </row>
    <row r="1652" spans="1:25" x14ac:dyDescent="0.2">
      <c r="A1652" t="s">
        <v>6199</v>
      </c>
      <c r="B1652" t="s">
        <v>6200</v>
      </c>
      <c r="C1652" t="s">
        <v>6201</v>
      </c>
      <c r="D1652" t="s">
        <v>6202</v>
      </c>
      <c r="E1652" t="s">
        <v>6200</v>
      </c>
      <c r="F1652" t="s">
        <v>28</v>
      </c>
      <c r="G1652" t="s">
        <v>6200</v>
      </c>
      <c r="H1652" t="str">
        <f>"ubr-1"</f>
        <v>ubr-1</v>
      </c>
      <c r="I1652" t="s">
        <v>6202</v>
      </c>
      <c r="J1652">
        <v>13.382368001258101</v>
      </c>
      <c r="K1652">
        <v>13.2972842054927</v>
      </c>
      <c r="L1652">
        <v>13.221004107151501</v>
      </c>
      <c r="M1652">
        <v>13.5010900877562</v>
      </c>
      <c r="N1652">
        <v>13.183055085693599</v>
      </c>
      <c r="O1652">
        <v>12.875267743415399</v>
      </c>
      <c r="P1652">
        <v>-0.11374779901241699</v>
      </c>
      <c r="Q1652">
        <v>-0.50904983696052297</v>
      </c>
      <c r="R1652">
        <v>0.28155423893568898</v>
      </c>
      <c r="S1652">
        <v>13.0933036705157</v>
      </c>
      <c r="T1652">
        <v>-0.60738485930965203</v>
      </c>
      <c r="U1652">
        <v>-6.8602475630255002</v>
      </c>
      <c r="V1652">
        <v>0.55167239371530696</v>
      </c>
      <c r="W1652">
        <v>0.78026605923509895</v>
      </c>
      <c r="X1652">
        <v>0</v>
      </c>
      <c r="Y1652">
        <v>0</v>
      </c>
    </row>
    <row r="1653" spans="1:25" x14ac:dyDescent="0.2">
      <c r="A1653" t="s">
        <v>6203</v>
      </c>
      <c r="B1653" t="s">
        <v>6204</v>
      </c>
      <c r="C1653" t="s">
        <v>6205</v>
      </c>
      <c r="D1653" t="s">
        <v>6206</v>
      </c>
      <c r="E1653" t="s">
        <v>6204</v>
      </c>
      <c r="F1653" t="s">
        <v>28</v>
      </c>
      <c r="G1653" t="s">
        <v>6204</v>
      </c>
      <c r="H1653" t="str">
        <f>"C37H5.5"</f>
        <v>C37H5.5</v>
      </c>
      <c r="I1653" t="s">
        <v>6206</v>
      </c>
      <c r="J1653">
        <v>12.7200571058412</v>
      </c>
      <c r="K1653">
        <v>12.8050671197879</v>
      </c>
      <c r="L1653">
        <v>13.290343492758</v>
      </c>
      <c r="M1653">
        <v>12.7200581731284</v>
      </c>
      <c r="N1653">
        <v>13.1894737550999</v>
      </c>
      <c r="O1653">
        <v>12.9167104971144</v>
      </c>
      <c r="P1653">
        <v>3.5915689852270599E-3</v>
      </c>
      <c r="Q1653">
        <v>-0.40705196426514501</v>
      </c>
      <c r="R1653">
        <v>0.41423510223559901</v>
      </c>
      <c r="S1653">
        <v>13.1117387977554</v>
      </c>
      <c r="T1653">
        <v>1.8551061038310199E-2</v>
      </c>
      <c r="U1653">
        <v>-7.0519048911084603</v>
      </c>
      <c r="V1653">
        <v>0.985430113281895</v>
      </c>
      <c r="W1653">
        <v>0.99275219461897402</v>
      </c>
      <c r="X1653">
        <v>0</v>
      </c>
      <c r="Y1653">
        <v>0</v>
      </c>
    </row>
    <row r="1654" spans="1:25" x14ac:dyDescent="0.2">
      <c r="A1654" t="s">
        <v>6207</v>
      </c>
      <c r="B1654" t="s">
        <v>6208</v>
      </c>
      <c r="C1654" t="s">
        <v>6209</v>
      </c>
      <c r="D1654" t="s">
        <v>6210</v>
      </c>
      <c r="E1654" t="s">
        <v>6208</v>
      </c>
      <c r="F1654" t="s">
        <v>28</v>
      </c>
      <c r="G1654" t="s">
        <v>6208</v>
      </c>
      <c r="H1654" t="str">
        <f>"exoc-7"</f>
        <v>exoc-7</v>
      </c>
      <c r="I1654" t="s">
        <v>6210</v>
      </c>
      <c r="J1654" t="s">
        <v>29</v>
      </c>
      <c r="K1654">
        <v>13.9436071254087</v>
      </c>
      <c r="L1654">
        <v>12.953035403566799</v>
      </c>
      <c r="M1654">
        <v>14.2556835599813</v>
      </c>
      <c r="N1654">
        <v>15.2616290953474</v>
      </c>
      <c r="O1654">
        <v>14.313193933527</v>
      </c>
      <c r="P1654">
        <v>1.1618475984641401</v>
      </c>
      <c r="Q1654">
        <v>0.167472474854445</v>
      </c>
      <c r="R1654">
        <v>2.1562227220738399</v>
      </c>
      <c r="S1654">
        <v>13.593272514801299</v>
      </c>
      <c r="T1654">
        <v>2.5077879223514898</v>
      </c>
      <c r="U1654">
        <v>-4.1916447334897997</v>
      </c>
      <c r="V1654">
        <v>2.5195060058828499E-2</v>
      </c>
      <c r="W1654">
        <v>0.15506560069082501</v>
      </c>
      <c r="X1654">
        <v>1</v>
      </c>
      <c r="Y1654">
        <v>0</v>
      </c>
    </row>
    <row r="1655" spans="1:25" x14ac:dyDescent="0.2">
      <c r="A1655" t="s">
        <v>6211</v>
      </c>
      <c r="B1655" t="s">
        <v>6212</v>
      </c>
      <c r="C1655" t="s">
        <v>6213</v>
      </c>
      <c r="D1655" t="s">
        <v>6214</v>
      </c>
      <c r="E1655" t="s">
        <v>6212</v>
      </c>
      <c r="F1655" t="s">
        <v>28</v>
      </c>
      <c r="G1655" t="s">
        <v>6212</v>
      </c>
      <c r="H1655" t="str">
        <f>"cogc-5"</f>
        <v>cogc-5</v>
      </c>
      <c r="I1655" t="s">
        <v>6214</v>
      </c>
      <c r="J1655" t="s">
        <v>29</v>
      </c>
      <c r="K1655">
        <v>12.9873481325551</v>
      </c>
      <c r="L1655" t="s">
        <v>29</v>
      </c>
      <c r="M1655">
        <v>13.1688083891773</v>
      </c>
      <c r="N1655">
        <v>12.8303263500234</v>
      </c>
      <c r="O1655" t="s">
        <v>29</v>
      </c>
      <c r="P1655">
        <v>1.22192370452758E-2</v>
      </c>
      <c r="Q1655">
        <v>-0.70117780883232905</v>
      </c>
      <c r="R1655">
        <v>0.72561628292288105</v>
      </c>
      <c r="S1655">
        <v>12.318812849889101</v>
      </c>
      <c r="T1655">
        <v>3.82190311677277E-2</v>
      </c>
      <c r="U1655">
        <v>-6.6503991833902099</v>
      </c>
      <c r="V1655">
        <v>0.970273122518304</v>
      </c>
      <c r="W1655">
        <v>0.98357281640952099</v>
      </c>
      <c r="X1655">
        <v>0</v>
      </c>
      <c r="Y1655">
        <v>0</v>
      </c>
    </row>
    <row r="1656" spans="1:25" x14ac:dyDescent="0.2">
      <c r="A1656" t="s">
        <v>6215</v>
      </c>
      <c r="B1656" t="s">
        <v>6216</v>
      </c>
      <c r="C1656" t="s">
        <v>6217</v>
      </c>
      <c r="D1656" t="s">
        <v>6218</v>
      </c>
      <c r="E1656" t="s">
        <v>6216</v>
      </c>
      <c r="F1656" t="s">
        <v>28</v>
      </c>
      <c r="G1656" t="s">
        <v>6216</v>
      </c>
      <c r="H1656" t="str">
        <f>"C43E11.9"</f>
        <v>C43E11.9</v>
      </c>
      <c r="I1656" t="s">
        <v>6218</v>
      </c>
      <c r="J1656">
        <v>12.109421597856899</v>
      </c>
      <c r="K1656">
        <v>13.4467035080902</v>
      </c>
      <c r="L1656">
        <v>13.2815944614073</v>
      </c>
      <c r="M1656" t="s">
        <v>29</v>
      </c>
      <c r="N1656" t="s">
        <v>29</v>
      </c>
      <c r="O1656" t="s">
        <v>29</v>
      </c>
      <c r="P1656" t="s">
        <v>29</v>
      </c>
      <c r="Q1656" t="s">
        <v>29</v>
      </c>
      <c r="R1656" t="s">
        <v>29</v>
      </c>
      <c r="S1656">
        <v>13.3806279994369</v>
      </c>
      <c r="T1656" t="s">
        <v>29</v>
      </c>
      <c r="U1656" t="s">
        <v>29</v>
      </c>
      <c r="V1656" t="s">
        <v>29</v>
      </c>
      <c r="W1656" t="s">
        <v>29</v>
      </c>
      <c r="X1656" t="s">
        <v>29</v>
      </c>
      <c r="Y1656" t="s">
        <v>29</v>
      </c>
    </row>
    <row r="1657" spans="1:25" x14ac:dyDescent="0.2">
      <c r="A1657" t="s">
        <v>6219</v>
      </c>
      <c r="B1657" t="s">
        <v>6220</v>
      </c>
      <c r="C1657" t="s">
        <v>6221</v>
      </c>
      <c r="D1657" t="s">
        <v>6222</v>
      </c>
      <c r="E1657" t="s">
        <v>6220</v>
      </c>
      <c r="F1657" t="s">
        <v>28</v>
      </c>
      <c r="G1657" t="s">
        <v>6220</v>
      </c>
      <c r="H1657" t="str">
        <f>"cdc-6"</f>
        <v>cdc-6</v>
      </c>
      <c r="I1657" t="s">
        <v>6222</v>
      </c>
      <c r="J1657" t="s">
        <v>29</v>
      </c>
      <c r="K1657" t="s">
        <v>29</v>
      </c>
      <c r="L1657">
        <v>11.033165445703499</v>
      </c>
      <c r="M1657" t="s">
        <v>29</v>
      </c>
      <c r="N1657">
        <v>11.6380475818835</v>
      </c>
      <c r="O1657" t="s">
        <v>29</v>
      </c>
      <c r="P1657">
        <v>0.60488213617998599</v>
      </c>
      <c r="Q1657">
        <v>-0.60849297280081005</v>
      </c>
      <c r="R1657">
        <v>1.8182572451607799</v>
      </c>
      <c r="S1657">
        <v>11.735614818409299</v>
      </c>
      <c r="T1657">
        <v>1.1297438408852001</v>
      </c>
      <c r="U1657">
        <v>-5.8620853363059302</v>
      </c>
      <c r="V1657">
        <v>0.28812739396925802</v>
      </c>
      <c r="W1657">
        <v>0.56684796854653297</v>
      </c>
      <c r="X1657">
        <v>0</v>
      </c>
      <c r="Y1657">
        <v>0</v>
      </c>
    </row>
    <row r="1658" spans="1:25" x14ac:dyDescent="0.2">
      <c r="A1658" t="s">
        <v>6223</v>
      </c>
      <c r="B1658" t="s">
        <v>6224</v>
      </c>
      <c r="C1658" t="s">
        <v>6225</v>
      </c>
      <c r="D1658" t="s">
        <v>138</v>
      </c>
      <c r="E1658" t="s">
        <v>6224</v>
      </c>
      <c r="F1658" t="s">
        <v>28</v>
      </c>
      <c r="G1658" t="s">
        <v>6224</v>
      </c>
      <c r="H1658" t="str">
        <f>"acin-1"</f>
        <v>acin-1</v>
      </c>
      <c r="I1658" t="s">
        <v>138</v>
      </c>
      <c r="J1658">
        <v>13.7610607969402</v>
      </c>
      <c r="K1658">
        <v>14.3792969217854</v>
      </c>
      <c r="L1658">
        <v>14.2584581124132</v>
      </c>
      <c r="M1658">
        <v>13.3685376343731</v>
      </c>
      <c r="N1658">
        <v>12.730137513708099</v>
      </c>
      <c r="O1658">
        <v>13.798196090708</v>
      </c>
      <c r="P1658">
        <v>-0.83398153078321602</v>
      </c>
      <c r="Q1658">
        <v>-1.5953445505466299</v>
      </c>
      <c r="R1658">
        <v>-7.2618511019798798E-2</v>
      </c>
      <c r="S1658">
        <v>13.661298634985901</v>
      </c>
      <c r="T1658">
        <v>-2.3022748391336401</v>
      </c>
      <c r="U1658">
        <v>-4.6215950878575098</v>
      </c>
      <c r="V1658">
        <v>3.3548986807693297E-2</v>
      </c>
      <c r="W1658">
        <v>0.18164459745795999</v>
      </c>
      <c r="X1658">
        <v>0</v>
      </c>
      <c r="Y1658">
        <v>0</v>
      </c>
    </row>
    <row r="1659" spans="1:25" x14ac:dyDescent="0.2">
      <c r="A1659" t="s">
        <v>6226</v>
      </c>
      <c r="B1659" t="s">
        <v>6227</v>
      </c>
      <c r="C1659" t="s">
        <v>6228</v>
      </c>
      <c r="D1659" t="s">
        <v>6229</v>
      </c>
      <c r="E1659" t="s">
        <v>6227</v>
      </c>
      <c r="F1659" t="s">
        <v>28</v>
      </c>
      <c r="G1659" t="s">
        <v>6227</v>
      </c>
      <c r="H1659" t="str">
        <f>"syf-1"</f>
        <v>syf-1</v>
      </c>
      <c r="I1659" t="s">
        <v>6229</v>
      </c>
      <c r="J1659">
        <v>15.089342187276999</v>
      </c>
      <c r="K1659">
        <v>15.014630899786001</v>
      </c>
      <c r="L1659">
        <v>14.7655468660276</v>
      </c>
      <c r="M1659">
        <v>15.1084533317545</v>
      </c>
      <c r="N1659">
        <v>15.016353271823901</v>
      </c>
      <c r="O1659">
        <v>14.622379612758699</v>
      </c>
      <c r="P1659">
        <v>-4.0777912251162E-2</v>
      </c>
      <c r="Q1659">
        <v>-0.39648208797067103</v>
      </c>
      <c r="R1659">
        <v>0.31492626346834701</v>
      </c>
      <c r="S1659">
        <v>14.8835480310488</v>
      </c>
      <c r="T1659">
        <v>-0.24095089100716299</v>
      </c>
      <c r="U1659">
        <v>-7.0217103125006703</v>
      </c>
      <c r="V1659">
        <v>0.81233222508182701</v>
      </c>
      <c r="W1659">
        <v>0.91987238465779397</v>
      </c>
      <c r="X1659">
        <v>0</v>
      </c>
      <c r="Y1659">
        <v>0</v>
      </c>
    </row>
    <row r="1660" spans="1:25" x14ac:dyDescent="0.2">
      <c r="A1660" t="s">
        <v>6230</v>
      </c>
      <c r="B1660" t="s">
        <v>6231</v>
      </c>
      <c r="C1660" t="s">
        <v>14411</v>
      </c>
      <c r="D1660" t="s">
        <v>1128</v>
      </c>
      <c r="E1660" t="s">
        <v>6231</v>
      </c>
      <c r="F1660" t="s">
        <v>28</v>
      </c>
      <c r="G1660" t="s">
        <v>6231</v>
      </c>
      <c r="H1660" t="str">
        <f>"D2092.4"</f>
        <v>D2092.4</v>
      </c>
      <c r="I1660" t="s">
        <v>1128</v>
      </c>
      <c r="J1660">
        <v>15.4383436395764</v>
      </c>
      <c r="K1660">
        <v>15.3346176275037</v>
      </c>
      <c r="L1660">
        <v>15.3770504608993</v>
      </c>
      <c r="M1660">
        <v>15.3128962886491</v>
      </c>
      <c r="N1660">
        <v>16.032781076628201</v>
      </c>
      <c r="O1660">
        <v>15.837454247510699</v>
      </c>
      <c r="P1660">
        <v>0.34437329493621499</v>
      </c>
      <c r="Q1660">
        <v>-0.113688118669903</v>
      </c>
      <c r="R1660">
        <v>0.80243470854233301</v>
      </c>
      <c r="S1660">
        <v>15.0206940622499</v>
      </c>
      <c r="T1660">
        <v>1.5869226910218499</v>
      </c>
      <c r="U1660">
        <v>-5.81869244694935</v>
      </c>
      <c r="V1660">
        <v>0.13106768482425299</v>
      </c>
      <c r="W1660">
        <v>0.37508091002549998</v>
      </c>
      <c r="X1660">
        <v>0</v>
      </c>
      <c r="Y1660">
        <v>0</v>
      </c>
    </row>
    <row r="1661" spans="1:25" x14ac:dyDescent="0.2">
      <c r="A1661" t="s">
        <v>6232</v>
      </c>
      <c r="B1661" t="s">
        <v>6233</v>
      </c>
      <c r="C1661" t="s">
        <v>6234</v>
      </c>
      <c r="D1661" t="s">
        <v>6235</v>
      </c>
      <c r="E1661" t="s">
        <v>6233</v>
      </c>
      <c r="F1661" t="s">
        <v>28</v>
      </c>
      <c r="G1661" t="s">
        <v>6233</v>
      </c>
      <c r="H1661" t="str">
        <f>"ppfr-2"</f>
        <v>ppfr-2</v>
      </c>
      <c r="I1661" t="s">
        <v>6235</v>
      </c>
      <c r="J1661" t="s">
        <v>29</v>
      </c>
      <c r="K1661" t="s">
        <v>29</v>
      </c>
      <c r="L1661" t="s">
        <v>29</v>
      </c>
      <c r="M1661" t="s">
        <v>29</v>
      </c>
      <c r="N1661" t="s">
        <v>29</v>
      </c>
      <c r="O1661">
        <v>9.9644871717739107</v>
      </c>
      <c r="P1661" t="s">
        <v>29</v>
      </c>
      <c r="Q1661" t="s">
        <v>29</v>
      </c>
      <c r="R1661" t="s">
        <v>29</v>
      </c>
      <c r="S1661">
        <v>10.226087369159499</v>
      </c>
      <c r="T1661" t="s">
        <v>29</v>
      </c>
      <c r="U1661" t="s">
        <v>29</v>
      </c>
      <c r="V1661" t="s">
        <v>29</v>
      </c>
      <c r="W1661" t="s">
        <v>29</v>
      </c>
      <c r="X1661" t="s">
        <v>29</v>
      </c>
      <c r="Y1661" t="s">
        <v>29</v>
      </c>
    </row>
    <row r="1662" spans="1:25" x14ac:dyDescent="0.2">
      <c r="A1662" t="s">
        <v>6236</v>
      </c>
      <c r="B1662" t="s">
        <v>6237</v>
      </c>
      <c r="C1662" t="s">
        <v>6238</v>
      </c>
      <c r="D1662" t="s">
        <v>6239</v>
      </c>
      <c r="E1662" t="s">
        <v>6237</v>
      </c>
      <c r="F1662" t="s">
        <v>28</v>
      </c>
      <c r="G1662" t="s">
        <v>6237</v>
      </c>
      <c r="H1662" t="str">
        <f>"grsp-4"</f>
        <v>grsp-4</v>
      </c>
      <c r="I1662" t="s">
        <v>6239</v>
      </c>
      <c r="J1662">
        <v>12.083711155764499</v>
      </c>
      <c r="K1662" t="s">
        <v>29</v>
      </c>
      <c r="L1662">
        <v>11.7376607800795</v>
      </c>
      <c r="M1662" t="s">
        <v>29</v>
      </c>
      <c r="N1662">
        <v>10.207459769751001</v>
      </c>
      <c r="O1662">
        <v>12.5420473482947</v>
      </c>
      <c r="P1662">
        <v>-0.53593240889918004</v>
      </c>
      <c r="Q1662">
        <v>-1.89864177682594</v>
      </c>
      <c r="R1662">
        <v>0.82677695902757697</v>
      </c>
      <c r="S1662">
        <v>11.8507361670655</v>
      </c>
      <c r="T1662">
        <v>-0.86663150352207396</v>
      </c>
      <c r="U1662">
        <v>-6.4592056520234298</v>
      </c>
      <c r="V1662">
        <v>0.40482568260503199</v>
      </c>
      <c r="W1662">
        <v>0.67692845385240097</v>
      </c>
      <c r="X1662">
        <v>0</v>
      </c>
      <c r="Y1662">
        <v>0</v>
      </c>
    </row>
    <row r="1663" spans="1:25" x14ac:dyDescent="0.2">
      <c r="A1663" t="s">
        <v>6240</v>
      </c>
      <c r="B1663" t="s">
        <v>6241</v>
      </c>
      <c r="C1663" t="s">
        <v>6242</v>
      </c>
      <c r="D1663" t="s">
        <v>6243</v>
      </c>
      <c r="E1663" t="s">
        <v>6241</v>
      </c>
      <c r="F1663" t="s">
        <v>28</v>
      </c>
      <c r="G1663" t="s">
        <v>6241</v>
      </c>
      <c r="H1663" t="str">
        <f>"srpa-72"</f>
        <v>srpa-72</v>
      </c>
      <c r="I1663" t="s">
        <v>6243</v>
      </c>
      <c r="J1663">
        <v>15.913492695839601</v>
      </c>
      <c r="K1663">
        <v>15.7419787661385</v>
      </c>
      <c r="L1663">
        <v>15.9560305383431</v>
      </c>
      <c r="M1663">
        <v>15.2233139812217</v>
      </c>
      <c r="N1663">
        <v>15.8142966425187</v>
      </c>
      <c r="O1663">
        <v>15.823406952945399</v>
      </c>
      <c r="P1663">
        <v>-0.250161474545116</v>
      </c>
      <c r="Q1663">
        <v>-0.70009885627718904</v>
      </c>
      <c r="R1663">
        <v>0.19977590718695601</v>
      </c>
      <c r="S1663">
        <v>15.692572917288301</v>
      </c>
      <c r="T1663">
        <v>-1.1685864991470201</v>
      </c>
      <c r="U1663">
        <v>-6.36261092361549</v>
      </c>
      <c r="V1663">
        <v>0.25790280905190799</v>
      </c>
      <c r="W1663">
        <v>0.53484480455771</v>
      </c>
      <c r="X1663">
        <v>0</v>
      </c>
      <c r="Y1663">
        <v>0</v>
      </c>
    </row>
    <row r="1664" spans="1:25" x14ac:dyDescent="0.2">
      <c r="A1664" t="s">
        <v>6244</v>
      </c>
      <c r="B1664" t="s">
        <v>6245</v>
      </c>
      <c r="C1664" t="s">
        <v>6246</v>
      </c>
      <c r="D1664" t="s">
        <v>308</v>
      </c>
      <c r="E1664" t="s">
        <v>6245</v>
      </c>
      <c r="F1664" t="s">
        <v>28</v>
      </c>
      <c r="G1664" t="s">
        <v>6245</v>
      </c>
      <c r="H1664" t="str">
        <f>"dnj-9"</f>
        <v>dnj-9</v>
      </c>
      <c r="I1664" t="s">
        <v>308</v>
      </c>
      <c r="J1664">
        <v>14.8434832546615</v>
      </c>
      <c r="K1664">
        <v>14.5843452815164</v>
      </c>
      <c r="L1664">
        <v>14.394278826154</v>
      </c>
      <c r="M1664">
        <v>14.6553944521165</v>
      </c>
      <c r="N1664">
        <v>13.966276864500299</v>
      </c>
      <c r="O1664">
        <v>14.158255459811</v>
      </c>
      <c r="P1664">
        <v>-0.34739352863473599</v>
      </c>
      <c r="Q1664">
        <v>-0.77817000039426998</v>
      </c>
      <c r="R1664">
        <v>8.3382943124797299E-2</v>
      </c>
      <c r="S1664">
        <v>14.1747899998809</v>
      </c>
      <c r="T1664">
        <v>-1.70223596568429</v>
      </c>
      <c r="U1664">
        <v>-5.6470415981642903</v>
      </c>
      <c r="V1664">
        <v>0.107037549675383</v>
      </c>
      <c r="W1664">
        <v>0.33831349181262699</v>
      </c>
      <c r="X1664">
        <v>0</v>
      </c>
      <c r="Y1664">
        <v>0</v>
      </c>
    </row>
    <row r="1665" spans="1:25" x14ac:dyDescent="0.2">
      <c r="A1665" t="s">
        <v>6247</v>
      </c>
      <c r="B1665" t="s">
        <v>6248</v>
      </c>
      <c r="C1665" t="s">
        <v>6249</v>
      </c>
      <c r="D1665" t="s">
        <v>3312</v>
      </c>
      <c r="E1665" t="s">
        <v>6248</v>
      </c>
      <c r="F1665" t="s">
        <v>28</v>
      </c>
      <c r="G1665" t="s">
        <v>6248</v>
      </c>
      <c r="H1665" t="str">
        <f>"col-20"</f>
        <v>col-20</v>
      </c>
      <c r="I1665" t="s">
        <v>3312</v>
      </c>
      <c r="J1665">
        <v>12.741232556550599</v>
      </c>
      <c r="K1665" t="s">
        <v>29</v>
      </c>
      <c r="L1665">
        <v>14.4316138079043</v>
      </c>
      <c r="M1665">
        <v>11.6676588294282</v>
      </c>
      <c r="N1665" t="s">
        <v>29</v>
      </c>
      <c r="O1665" t="s">
        <v>29</v>
      </c>
      <c r="P1665">
        <v>-1.91876435279919</v>
      </c>
      <c r="Q1665">
        <v>-3.70315313882094</v>
      </c>
      <c r="R1665">
        <v>-0.134375566777446</v>
      </c>
      <c r="S1665">
        <v>13.154820109294301</v>
      </c>
      <c r="T1665">
        <v>-2.32498095981778</v>
      </c>
      <c r="U1665">
        <v>-4.2664540576665502</v>
      </c>
      <c r="V1665">
        <v>3.7052959641170301E-2</v>
      </c>
      <c r="W1665">
        <v>0.19154155693620001</v>
      </c>
      <c r="X1665">
        <v>-1</v>
      </c>
      <c r="Y1665">
        <v>0</v>
      </c>
    </row>
    <row r="1666" spans="1:25" x14ac:dyDescent="0.2">
      <c r="A1666" t="s">
        <v>6250</v>
      </c>
      <c r="B1666" t="s">
        <v>6251</v>
      </c>
      <c r="C1666" t="s">
        <v>14412</v>
      </c>
      <c r="D1666" t="s">
        <v>1954</v>
      </c>
      <c r="E1666" t="s">
        <v>6251</v>
      </c>
      <c r="F1666" t="s">
        <v>28</v>
      </c>
      <c r="G1666" t="s">
        <v>6251</v>
      </c>
      <c r="H1666" t="str">
        <f>"F25B4.7"</f>
        <v>F25B4.7</v>
      </c>
      <c r="I1666" t="s">
        <v>1954</v>
      </c>
      <c r="J1666">
        <v>13.238770569752999</v>
      </c>
      <c r="K1666">
        <v>13.441294491692201</v>
      </c>
      <c r="L1666">
        <v>13.160590349392001</v>
      </c>
      <c r="M1666">
        <v>12.9843391302361</v>
      </c>
      <c r="N1666">
        <v>12.9307469798878</v>
      </c>
      <c r="O1666">
        <v>12.6429221654657</v>
      </c>
      <c r="P1666">
        <v>-0.42754904508251801</v>
      </c>
      <c r="Q1666">
        <v>-1.0834391240816801</v>
      </c>
      <c r="R1666">
        <v>0.22834103391664301</v>
      </c>
      <c r="S1666">
        <v>12.937476280438</v>
      </c>
      <c r="T1666">
        <v>-1.3700846231085599</v>
      </c>
      <c r="U1666">
        <v>-6.1169530547556903</v>
      </c>
      <c r="V1666">
        <v>0.187606043107368</v>
      </c>
      <c r="W1666">
        <v>0.45039110104366298</v>
      </c>
      <c r="X1666">
        <v>0</v>
      </c>
      <c r="Y1666">
        <v>0</v>
      </c>
    </row>
    <row r="1667" spans="1:25" x14ac:dyDescent="0.2">
      <c r="A1667" t="s">
        <v>6252</v>
      </c>
      <c r="B1667" t="s">
        <v>6253</v>
      </c>
      <c r="C1667" t="s">
        <v>6254</v>
      </c>
      <c r="D1667" t="s">
        <v>6255</v>
      </c>
      <c r="E1667" t="s">
        <v>6253</v>
      </c>
      <c r="F1667" t="s">
        <v>28</v>
      </c>
      <c r="G1667" t="s">
        <v>6253</v>
      </c>
      <c r="H1667" t="str">
        <f>"ima-2"</f>
        <v>ima-2</v>
      </c>
      <c r="I1667" t="s">
        <v>6255</v>
      </c>
      <c r="J1667">
        <v>13.0377896428176</v>
      </c>
      <c r="K1667">
        <v>12.5447082057961</v>
      </c>
      <c r="L1667">
        <v>13.4831828729143</v>
      </c>
      <c r="M1667">
        <v>12.3716327327279</v>
      </c>
      <c r="N1667">
        <v>13.208125421677799</v>
      </c>
      <c r="O1667">
        <v>12.8357813873599</v>
      </c>
      <c r="P1667">
        <v>-0.21671372658749499</v>
      </c>
      <c r="Q1667">
        <v>-0.88664722731003398</v>
      </c>
      <c r="R1667">
        <v>0.45321977413504499</v>
      </c>
      <c r="S1667">
        <v>13.606722943129499</v>
      </c>
      <c r="T1667">
        <v>-0.68281764871642303</v>
      </c>
      <c r="U1667">
        <v>-6.8103270247533798</v>
      </c>
      <c r="V1667">
        <v>0.50397813227898602</v>
      </c>
      <c r="W1667">
        <v>0.75573495043125405</v>
      </c>
      <c r="X1667">
        <v>0</v>
      </c>
      <c r="Y1667">
        <v>0</v>
      </c>
    </row>
    <row r="1668" spans="1:25" x14ac:dyDescent="0.2">
      <c r="A1668" t="s">
        <v>6256</v>
      </c>
      <c r="B1668" t="s">
        <v>6257</v>
      </c>
      <c r="C1668" t="s">
        <v>6258</v>
      </c>
      <c r="D1668" t="s">
        <v>6259</v>
      </c>
      <c r="E1668" t="s">
        <v>6257</v>
      </c>
      <c r="F1668" t="s">
        <v>28</v>
      </c>
      <c r="G1668" t="s">
        <v>6257</v>
      </c>
      <c r="H1668" t="str">
        <f>"hrpk-1"</f>
        <v>hrpk-1</v>
      </c>
      <c r="I1668" t="s">
        <v>6259</v>
      </c>
      <c r="J1668">
        <v>15.7611383020818</v>
      </c>
      <c r="K1668">
        <v>15.6654289681594</v>
      </c>
      <c r="L1668">
        <v>15.784604694910801</v>
      </c>
      <c r="M1668">
        <v>15.1599633951522</v>
      </c>
      <c r="N1668">
        <v>15.662250480550099</v>
      </c>
      <c r="O1668">
        <v>15.4594303131126</v>
      </c>
      <c r="P1668">
        <v>-0.30984259211232501</v>
      </c>
      <c r="Q1668">
        <v>-0.84784239849034104</v>
      </c>
      <c r="R1668">
        <v>0.22815721426569099</v>
      </c>
      <c r="S1668">
        <v>15.4691436284158</v>
      </c>
      <c r="T1668">
        <v>-1.2104629778696201</v>
      </c>
      <c r="U1668">
        <v>-6.31425531164437</v>
      </c>
      <c r="V1668">
        <v>0.24184730564826801</v>
      </c>
      <c r="W1668">
        <v>0.51537074825112295</v>
      </c>
      <c r="X1668">
        <v>0</v>
      </c>
      <c r="Y1668">
        <v>0</v>
      </c>
    </row>
    <row r="1669" spans="1:25" x14ac:dyDescent="0.2">
      <c r="A1669" t="s">
        <v>6260</v>
      </c>
      <c r="B1669" t="s">
        <v>6261</v>
      </c>
      <c r="C1669" t="s">
        <v>14413</v>
      </c>
      <c r="D1669" t="s">
        <v>6262</v>
      </c>
      <c r="E1669" t="s">
        <v>6261</v>
      </c>
      <c r="F1669" t="s">
        <v>28</v>
      </c>
      <c r="G1669" t="s">
        <v>6261</v>
      </c>
      <c r="H1669" t="str">
        <f>"F27C1.6"</f>
        <v>F27C1.6</v>
      </c>
      <c r="I1669" t="s">
        <v>6262</v>
      </c>
      <c r="J1669" t="s">
        <v>29</v>
      </c>
      <c r="K1669" t="s">
        <v>29</v>
      </c>
      <c r="L1669" t="s">
        <v>29</v>
      </c>
      <c r="M1669" t="s">
        <v>29</v>
      </c>
      <c r="N1669" t="s">
        <v>29</v>
      </c>
      <c r="O1669" t="s">
        <v>29</v>
      </c>
      <c r="P1669" t="s">
        <v>29</v>
      </c>
      <c r="Q1669" t="s">
        <v>29</v>
      </c>
      <c r="R1669" t="s">
        <v>29</v>
      </c>
      <c r="S1669">
        <v>11.032902874057401</v>
      </c>
      <c r="T1669" t="s">
        <v>29</v>
      </c>
      <c r="U1669" t="s">
        <v>29</v>
      </c>
      <c r="V1669" t="s">
        <v>29</v>
      </c>
      <c r="W1669" t="s">
        <v>29</v>
      </c>
      <c r="X1669" t="s">
        <v>29</v>
      </c>
      <c r="Y1669" t="s">
        <v>29</v>
      </c>
    </row>
    <row r="1670" spans="1:25" x14ac:dyDescent="0.2">
      <c r="A1670" t="s">
        <v>6263</v>
      </c>
      <c r="B1670" t="s">
        <v>6264</v>
      </c>
      <c r="C1670" t="s">
        <v>6265</v>
      </c>
      <c r="D1670" t="s">
        <v>6266</v>
      </c>
      <c r="E1670" t="s">
        <v>6264</v>
      </c>
      <c r="F1670" t="s">
        <v>28</v>
      </c>
      <c r="G1670" t="s">
        <v>6264</v>
      </c>
      <c r="H1670" t="str">
        <f>"dpy-5"</f>
        <v>dpy-5</v>
      </c>
      <c r="I1670" t="s">
        <v>6266</v>
      </c>
      <c r="J1670" t="s">
        <v>29</v>
      </c>
      <c r="K1670" t="s">
        <v>29</v>
      </c>
      <c r="L1670">
        <v>10.090521367058299</v>
      </c>
      <c r="M1670" t="s">
        <v>29</v>
      </c>
      <c r="N1670" t="s">
        <v>29</v>
      </c>
      <c r="O1670">
        <v>9.9312357199294592</v>
      </c>
      <c r="P1670">
        <v>-0.159285647128874</v>
      </c>
      <c r="Q1670">
        <v>-1.53078977161202</v>
      </c>
      <c r="R1670">
        <v>1.2122184773542699</v>
      </c>
      <c r="S1670">
        <v>10.9567852604671</v>
      </c>
      <c r="T1670">
        <v>-0.28541356468088802</v>
      </c>
      <c r="U1670">
        <v>-6.4637910840061803</v>
      </c>
      <c r="V1670">
        <v>0.78508957412779601</v>
      </c>
      <c r="W1670">
        <v>0.91120060174744399</v>
      </c>
      <c r="X1670">
        <v>0</v>
      </c>
      <c r="Y1670">
        <v>0</v>
      </c>
    </row>
    <row r="1671" spans="1:25" x14ac:dyDescent="0.2">
      <c r="A1671" t="s">
        <v>6267</v>
      </c>
      <c r="B1671" t="s">
        <v>6268</v>
      </c>
      <c r="C1671" t="s">
        <v>6269</v>
      </c>
      <c r="D1671" t="s">
        <v>878</v>
      </c>
      <c r="E1671" t="s">
        <v>6268</v>
      </c>
      <c r="F1671" t="s">
        <v>28</v>
      </c>
      <c r="G1671" t="s">
        <v>6268</v>
      </c>
      <c r="H1671" t="str">
        <f>"math-26"</f>
        <v>math-26</v>
      </c>
      <c r="I1671" t="s">
        <v>878</v>
      </c>
      <c r="J1671">
        <v>12.878107845178601</v>
      </c>
      <c r="K1671">
        <v>13.0795253582183</v>
      </c>
      <c r="L1671">
        <v>12.5842328153037</v>
      </c>
      <c r="M1671">
        <v>12.494014284149999</v>
      </c>
      <c r="N1671">
        <v>12.7625019935263</v>
      </c>
      <c r="O1671">
        <v>12.658582389319699</v>
      </c>
      <c r="P1671">
        <v>-0.20892245056820399</v>
      </c>
      <c r="Q1671">
        <v>-0.62892085230771499</v>
      </c>
      <c r="R1671">
        <v>0.21107595117130601</v>
      </c>
      <c r="S1671">
        <v>12.6707599233581</v>
      </c>
      <c r="T1671">
        <v>-1.05508391787967</v>
      </c>
      <c r="U1671">
        <v>-6.4846093271004399</v>
      </c>
      <c r="V1671">
        <v>0.30716101667523699</v>
      </c>
      <c r="W1671">
        <v>0.58690660496842095</v>
      </c>
      <c r="X1671">
        <v>0</v>
      </c>
      <c r="Y1671">
        <v>0</v>
      </c>
    </row>
    <row r="1672" spans="1:25" x14ac:dyDescent="0.2">
      <c r="A1672" t="s">
        <v>6270</v>
      </c>
      <c r="B1672" t="s">
        <v>6271</v>
      </c>
      <c r="C1672" t="s">
        <v>6272</v>
      </c>
      <c r="D1672" t="s">
        <v>6273</v>
      </c>
      <c r="E1672" t="s">
        <v>6271</v>
      </c>
      <c r="F1672" t="s">
        <v>28</v>
      </c>
      <c r="G1672" t="s">
        <v>6271</v>
      </c>
      <c r="H1672" t="str">
        <f>"vha-10"</f>
        <v>vha-10</v>
      </c>
      <c r="I1672" t="s">
        <v>6273</v>
      </c>
      <c r="J1672">
        <v>11.4620113410319</v>
      </c>
      <c r="K1672">
        <v>11.7880770133056</v>
      </c>
      <c r="L1672">
        <v>10.858656167758699</v>
      </c>
      <c r="M1672">
        <v>12.502802450880299</v>
      </c>
      <c r="N1672">
        <v>12.8698641418846</v>
      </c>
      <c r="O1672">
        <v>14.583859384149999</v>
      </c>
      <c r="P1672">
        <v>1.94926048493958</v>
      </c>
      <c r="Q1672">
        <v>0.77503030144106599</v>
      </c>
      <c r="R1672">
        <v>3.1234906684380901</v>
      </c>
      <c r="S1672">
        <v>11.9596607884733</v>
      </c>
      <c r="T1672">
        <v>3.5040206136685801</v>
      </c>
      <c r="U1672">
        <v>-2.2123017118274801</v>
      </c>
      <c r="V1672">
        <v>2.7415036539535399E-3</v>
      </c>
      <c r="W1672">
        <v>3.5983231873012202E-2</v>
      </c>
      <c r="X1672">
        <v>1</v>
      </c>
      <c r="Y1672">
        <v>1</v>
      </c>
    </row>
    <row r="1673" spans="1:25" x14ac:dyDescent="0.2">
      <c r="A1673" t="s">
        <v>6274</v>
      </c>
      <c r="B1673" t="s">
        <v>6275</v>
      </c>
      <c r="C1673" t="s">
        <v>6276</v>
      </c>
      <c r="D1673" t="s">
        <v>3358</v>
      </c>
      <c r="E1673" t="s">
        <v>6275</v>
      </c>
      <c r="F1673" t="s">
        <v>28</v>
      </c>
      <c r="G1673" t="s">
        <v>6275</v>
      </c>
      <c r="H1673" t="str">
        <f>"xrep-4"</f>
        <v>xrep-4</v>
      </c>
      <c r="I1673" t="s">
        <v>3358</v>
      </c>
      <c r="J1673">
        <v>12.4948253370779</v>
      </c>
      <c r="K1673" t="s">
        <v>29</v>
      </c>
      <c r="L1673">
        <v>11.1425590818892</v>
      </c>
      <c r="M1673" t="s">
        <v>29</v>
      </c>
      <c r="N1673" t="s">
        <v>29</v>
      </c>
      <c r="O1673" t="s">
        <v>29</v>
      </c>
      <c r="P1673" t="s">
        <v>29</v>
      </c>
      <c r="Q1673" t="s">
        <v>29</v>
      </c>
      <c r="R1673" t="s">
        <v>29</v>
      </c>
      <c r="S1673">
        <v>11.343780699326601</v>
      </c>
      <c r="T1673" t="s">
        <v>29</v>
      </c>
      <c r="U1673" t="s">
        <v>29</v>
      </c>
      <c r="V1673" t="s">
        <v>29</v>
      </c>
      <c r="W1673" t="s">
        <v>29</v>
      </c>
      <c r="X1673" t="s">
        <v>29</v>
      </c>
      <c r="Y1673" t="s">
        <v>29</v>
      </c>
    </row>
    <row r="1674" spans="1:25" x14ac:dyDescent="0.2">
      <c r="A1674" t="s">
        <v>6277</v>
      </c>
      <c r="B1674" t="s">
        <v>6278</v>
      </c>
      <c r="C1674" t="s">
        <v>6279</v>
      </c>
      <c r="D1674" t="s">
        <v>1510</v>
      </c>
      <c r="E1674" t="s">
        <v>6278</v>
      </c>
      <c r="F1674" t="s">
        <v>28</v>
      </c>
      <c r="G1674" t="s">
        <v>6278</v>
      </c>
      <c r="H1674" t="str">
        <f>"cey-2"</f>
        <v>cey-2</v>
      </c>
      <c r="I1674" t="s">
        <v>1510</v>
      </c>
      <c r="J1674" t="s">
        <v>29</v>
      </c>
      <c r="K1674">
        <v>11.312197446968</v>
      </c>
      <c r="L1674">
        <v>11.5098434241612</v>
      </c>
      <c r="M1674" t="s">
        <v>29</v>
      </c>
      <c r="N1674">
        <v>11.682602953380099</v>
      </c>
      <c r="O1674">
        <v>12.405403475826001</v>
      </c>
      <c r="P1674">
        <v>0.63298277903843003</v>
      </c>
      <c r="Q1674">
        <v>-8.5908659074584601E-2</v>
      </c>
      <c r="R1674">
        <v>1.35187421715145</v>
      </c>
      <c r="S1674">
        <v>11.8959312625775</v>
      </c>
      <c r="T1674">
        <v>1.9402436769707001</v>
      </c>
      <c r="U1674">
        <v>-5.1085522891681103</v>
      </c>
      <c r="V1674">
        <v>7.8663093277811902E-2</v>
      </c>
      <c r="W1674">
        <v>0.2882957919145</v>
      </c>
      <c r="X1674">
        <v>0</v>
      </c>
      <c r="Y1674">
        <v>0</v>
      </c>
    </row>
    <row r="1675" spans="1:25" x14ac:dyDescent="0.2">
      <c r="A1675" t="s">
        <v>6280</v>
      </c>
      <c r="B1675" t="s">
        <v>6281</v>
      </c>
      <c r="C1675" t="s">
        <v>6282</v>
      </c>
      <c r="D1675" t="s">
        <v>6283</v>
      </c>
      <c r="E1675" t="s">
        <v>6281</v>
      </c>
      <c r="F1675" t="s">
        <v>28</v>
      </c>
      <c r="G1675" t="s">
        <v>6281</v>
      </c>
      <c r="H1675" t="str">
        <f>"F46F11.1"</f>
        <v>F46F11.1</v>
      </c>
      <c r="I1675" t="s">
        <v>6283</v>
      </c>
      <c r="J1675" t="s">
        <v>29</v>
      </c>
      <c r="K1675">
        <v>11.070689215886601</v>
      </c>
      <c r="L1675">
        <v>10.627808762578701</v>
      </c>
      <c r="M1675">
        <v>11.9636089549247</v>
      </c>
      <c r="N1675">
        <v>12.228705101062401</v>
      </c>
      <c r="O1675">
        <v>11.8817599947969</v>
      </c>
      <c r="P1675">
        <v>1.1754423610286699</v>
      </c>
      <c r="Q1675">
        <v>0.52057016649325205</v>
      </c>
      <c r="R1675">
        <v>1.8303145555640801</v>
      </c>
      <c r="S1675">
        <v>11.3102225208989</v>
      </c>
      <c r="T1675">
        <v>3.8524470634066201</v>
      </c>
      <c r="U1675">
        <v>-1.60235295154882</v>
      </c>
      <c r="V1675">
        <v>1.7817361520899399E-3</v>
      </c>
      <c r="W1675">
        <v>2.5939589445653399E-2</v>
      </c>
      <c r="X1675">
        <v>1</v>
      </c>
      <c r="Y1675">
        <v>1</v>
      </c>
    </row>
    <row r="1676" spans="1:25" x14ac:dyDescent="0.2">
      <c r="A1676" t="s">
        <v>6284</v>
      </c>
      <c r="B1676" t="s">
        <v>6285</v>
      </c>
      <c r="C1676" t="s">
        <v>14414</v>
      </c>
      <c r="D1676" t="s">
        <v>4052</v>
      </c>
      <c r="E1676" t="s">
        <v>6285</v>
      </c>
      <c r="F1676" t="s">
        <v>28</v>
      </c>
      <c r="G1676" t="s">
        <v>6285</v>
      </c>
      <c r="H1676" t="str">
        <f>"F53E10.1"</f>
        <v>F53E10.1</v>
      </c>
      <c r="I1676" t="s">
        <v>4052</v>
      </c>
      <c r="J1676">
        <v>12.9524998013489</v>
      </c>
      <c r="K1676">
        <v>13.086640792434</v>
      </c>
      <c r="L1676">
        <v>12.886445172267999</v>
      </c>
      <c r="M1676">
        <v>12.7854390374792</v>
      </c>
      <c r="N1676">
        <v>12.9630897982076</v>
      </c>
      <c r="O1676">
        <v>12.7840855780429</v>
      </c>
      <c r="P1676">
        <v>-0.13099045077378199</v>
      </c>
      <c r="Q1676">
        <v>-0.59108101488452203</v>
      </c>
      <c r="R1676">
        <v>0.32910011333695899</v>
      </c>
      <c r="S1676">
        <v>12.6612289210961</v>
      </c>
      <c r="T1676">
        <v>-0.60096104758555802</v>
      </c>
      <c r="U1676">
        <v>-6.8642412509380701</v>
      </c>
      <c r="V1676">
        <v>0.55584347042559301</v>
      </c>
      <c r="W1676">
        <v>0.78231602628238806</v>
      </c>
      <c r="X1676">
        <v>0</v>
      </c>
      <c r="Y1676">
        <v>0</v>
      </c>
    </row>
    <row r="1677" spans="1:25" x14ac:dyDescent="0.2">
      <c r="A1677" t="s">
        <v>6286</v>
      </c>
      <c r="B1677" t="s">
        <v>6287</v>
      </c>
      <c r="C1677" t="s">
        <v>14415</v>
      </c>
      <c r="D1677" t="s">
        <v>1296</v>
      </c>
      <c r="E1677" t="s">
        <v>6287</v>
      </c>
      <c r="F1677" t="s">
        <v>28</v>
      </c>
      <c r="G1677" t="s">
        <v>6287</v>
      </c>
      <c r="H1677" t="str">
        <f>"F55F8.2"</f>
        <v>F55F8.2</v>
      </c>
      <c r="I1677" t="s">
        <v>1296</v>
      </c>
      <c r="J1677">
        <v>15.0653185149497</v>
      </c>
      <c r="K1677">
        <v>15.1682756525635</v>
      </c>
      <c r="L1677">
        <v>15.321274999520201</v>
      </c>
      <c r="M1677">
        <v>14.855742746666801</v>
      </c>
      <c r="N1677">
        <v>15.5040414834728</v>
      </c>
      <c r="O1677">
        <v>15.3798869956234</v>
      </c>
      <c r="P1677">
        <v>6.1600686243206602E-2</v>
      </c>
      <c r="Q1677">
        <v>-0.42381652568325201</v>
      </c>
      <c r="R1677">
        <v>0.54701789816966495</v>
      </c>
      <c r="S1677">
        <v>15.637065108332701</v>
      </c>
      <c r="T1677">
        <v>0.26672448913101299</v>
      </c>
      <c r="U1677">
        <v>-7.0148779830058201</v>
      </c>
      <c r="V1677">
        <v>0.79273058473041402</v>
      </c>
      <c r="W1677">
        <v>0.91517844850619501</v>
      </c>
      <c r="X1677">
        <v>0</v>
      </c>
      <c r="Y1677">
        <v>0</v>
      </c>
    </row>
    <row r="1678" spans="1:25" x14ac:dyDescent="0.2">
      <c r="A1678" t="s">
        <v>6288</v>
      </c>
      <c r="B1678" t="s">
        <v>6289</v>
      </c>
      <c r="C1678" t="s">
        <v>6290</v>
      </c>
      <c r="D1678" t="s">
        <v>6291</v>
      </c>
      <c r="E1678" t="s">
        <v>6289</v>
      </c>
      <c r="F1678" t="s">
        <v>28</v>
      </c>
      <c r="G1678" t="s">
        <v>6289</v>
      </c>
      <c r="H1678" t="str">
        <f>"F55F8.3"</f>
        <v>F55F8.3</v>
      </c>
      <c r="I1678" t="s">
        <v>6291</v>
      </c>
      <c r="J1678">
        <v>14.536871430195299</v>
      </c>
      <c r="K1678">
        <v>14.4626829067054</v>
      </c>
      <c r="L1678">
        <v>14.2028073491883</v>
      </c>
      <c r="M1678">
        <v>14.433610831746</v>
      </c>
      <c r="N1678">
        <v>13.914999457079301</v>
      </c>
      <c r="O1678">
        <v>13.809240799525201</v>
      </c>
      <c r="P1678">
        <v>-0.34817019924618198</v>
      </c>
      <c r="Q1678">
        <v>-0.83400189509957301</v>
      </c>
      <c r="R1678">
        <v>0.13766149660721</v>
      </c>
      <c r="S1678">
        <v>14.1857983986483</v>
      </c>
      <c r="T1678">
        <v>-1.50625417691026</v>
      </c>
      <c r="U1678">
        <v>-5.93315245987477</v>
      </c>
      <c r="V1678">
        <v>0.149450579049657</v>
      </c>
      <c r="W1678">
        <v>0.40091688724450503</v>
      </c>
      <c r="X1678">
        <v>0</v>
      </c>
      <c r="Y1678">
        <v>0</v>
      </c>
    </row>
    <row r="1679" spans="1:25" x14ac:dyDescent="0.2">
      <c r="A1679" t="s">
        <v>6292</v>
      </c>
      <c r="B1679" t="s">
        <v>6293</v>
      </c>
      <c r="C1679" t="s">
        <v>6294</v>
      </c>
      <c r="D1679" t="s">
        <v>6295</v>
      </c>
      <c r="E1679" t="s">
        <v>6293</v>
      </c>
      <c r="F1679" t="s">
        <v>28</v>
      </c>
      <c r="G1679" t="s">
        <v>6293</v>
      </c>
      <c r="H1679" t="str">
        <f>"wdr-12"</f>
        <v>wdr-12</v>
      </c>
      <c r="I1679" t="s">
        <v>6295</v>
      </c>
      <c r="J1679">
        <v>11.961334427365101</v>
      </c>
      <c r="K1679">
        <v>11.1513148615989</v>
      </c>
      <c r="L1679">
        <v>11.2576708082957</v>
      </c>
      <c r="M1679" t="s">
        <v>29</v>
      </c>
      <c r="N1679" t="s">
        <v>29</v>
      </c>
      <c r="O1679">
        <v>11.7985037761414</v>
      </c>
      <c r="P1679">
        <v>0.34173041038819602</v>
      </c>
      <c r="Q1679">
        <v>-0.47851288097502598</v>
      </c>
      <c r="R1679">
        <v>1.16197370175142</v>
      </c>
      <c r="S1679">
        <v>12.1571603136635</v>
      </c>
      <c r="T1679">
        <v>0.89419622868723003</v>
      </c>
      <c r="U1679">
        <v>-6.2987286173842501</v>
      </c>
      <c r="V1679">
        <v>0.38644370960775298</v>
      </c>
      <c r="W1679">
        <v>0.66183570055980501</v>
      </c>
      <c r="X1679">
        <v>0</v>
      </c>
      <c r="Y1679">
        <v>0</v>
      </c>
    </row>
    <row r="1680" spans="1:25" x14ac:dyDescent="0.2">
      <c r="A1680" t="s">
        <v>6296</v>
      </c>
      <c r="B1680" t="s">
        <v>6297</v>
      </c>
      <c r="C1680" t="s">
        <v>6298</v>
      </c>
      <c r="D1680" t="s">
        <v>6299</v>
      </c>
      <c r="E1680" t="s">
        <v>6297</v>
      </c>
      <c r="F1680" t="s">
        <v>28</v>
      </c>
      <c r="G1680" t="s">
        <v>6297</v>
      </c>
      <c r="H1680" t="str">
        <f>"spd-5"</f>
        <v>spd-5</v>
      </c>
      <c r="I1680" t="s">
        <v>6299</v>
      </c>
      <c r="J1680">
        <v>13.758039892349499</v>
      </c>
      <c r="K1680">
        <v>13.7986821739196</v>
      </c>
      <c r="L1680" t="s">
        <v>29</v>
      </c>
      <c r="M1680">
        <v>13.285839482884899</v>
      </c>
      <c r="N1680">
        <v>13.870247724944401</v>
      </c>
      <c r="O1680">
        <v>13.011372530353601</v>
      </c>
      <c r="P1680">
        <v>-0.389207787073587</v>
      </c>
      <c r="Q1680">
        <v>-1.1642758305879699</v>
      </c>
      <c r="R1680">
        <v>0.38586025644079702</v>
      </c>
      <c r="S1680">
        <v>13.765759918176499</v>
      </c>
      <c r="T1680">
        <v>-1.07778859233964</v>
      </c>
      <c r="U1680">
        <v>-6.3491802748655903</v>
      </c>
      <c r="V1680">
        <v>0.299484185100303</v>
      </c>
      <c r="W1680">
        <v>0.57835106131536196</v>
      </c>
      <c r="X1680">
        <v>0</v>
      </c>
      <c r="Y1680">
        <v>0</v>
      </c>
    </row>
    <row r="1681" spans="1:25" x14ac:dyDescent="0.2">
      <c r="A1681" t="s">
        <v>6300</v>
      </c>
      <c r="B1681" t="s">
        <v>6301</v>
      </c>
      <c r="C1681" t="s">
        <v>6302</v>
      </c>
      <c r="D1681" t="s">
        <v>6303</v>
      </c>
      <c r="E1681" t="s">
        <v>6301</v>
      </c>
      <c r="F1681" t="s">
        <v>28</v>
      </c>
      <c r="G1681" t="s">
        <v>6301</v>
      </c>
      <c r="H1681" t="str">
        <f>"fncm-1"</f>
        <v>fncm-1</v>
      </c>
      <c r="I1681" t="s">
        <v>6303</v>
      </c>
      <c r="J1681" t="s">
        <v>29</v>
      </c>
      <c r="K1681" t="s">
        <v>29</v>
      </c>
      <c r="L1681" t="s">
        <v>29</v>
      </c>
      <c r="M1681" t="s">
        <v>29</v>
      </c>
      <c r="N1681" t="s">
        <v>29</v>
      </c>
      <c r="O1681" t="s">
        <v>29</v>
      </c>
      <c r="P1681" t="s">
        <v>29</v>
      </c>
      <c r="Q1681" t="s">
        <v>29</v>
      </c>
      <c r="R1681" t="s">
        <v>29</v>
      </c>
      <c r="S1681">
        <v>10.753083697306</v>
      </c>
      <c r="T1681" t="s">
        <v>29</v>
      </c>
      <c r="U1681" t="s">
        <v>29</v>
      </c>
      <c r="V1681" t="s">
        <v>29</v>
      </c>
      <c r="W1681" t="s">
        <v>29</v>
      </c>
      <c r="X1681" t="s">
        <v>29</v>
      </c>
      <c r="Y1681" t="s">
        <v>29</v>
      </c>
    </row>
    <row r="1682" spans="1:25" x14ac:dyDescent="0.2">
      <c r="A1682" t="s">
        <v>6304</v>
      </c>
      <c r="B1682" t="s">
        <v>6305</v>
      </c>
      <c r="C1682" t="s">
        <v>6306</v>
      </c>
      <c r="D1682" t="s">
        <v>6307</v>
      </c>
      <c r="E1682" t="s">
        <v>6305</v>
      </c>
      <c r="F1682" t="s">
        <v>28</v>
      </c>
      <c r="G1682" t="s">
        <v>6305</v>
      </c>
      <c r="H1682" t="str">
        <f>"mrpl-24"</f>
        <v>mrpl-24</v>
      </c>
      <c r="I1682" t="s">
        <v>6307</v>
      </c>
      <c r="J1682" t="s">
        <v>29</v>
      </c>
      <c r="K1682" t="s">
        <v>29</v>
      </c>
      <c r="L1682">
        <v>10.5043290314856</v>
      </c>
      <c r="M1682" t="s">
        <v>29</v>
      </c>
      <c r="N1682">
        <v>10.0594357457671</v>
      </c>
      <c r="O1682" t="s">
        <v>29</v>
      </c>
      <c r="P1682">
        <v>-0.44489328571848902</v>
      </c>
      <c r="Q1682">
        <v>-1.6193163597244</v>
      </c>
      <c r="R1682">
        <v>0.72952978828742399</v>
      </c>
      <c r="S1682">
        <v>11.423506144697001</v>
      </c>
      <c r="T1682">
        <v>-0.83475488552537003</v>
      </c>
      <c r="U1682">
        <v>-6.1496064085899196</v>
      </c>
      <c r="V1682">
        <v>0.42178262273391798</v>
      </c>
      <c r="W1682">
        <v>0.69511111750879495</v>
      </c>
      <c r="X1682">
        <v>0</v>
      </c>
      <c r="Y1682">
        <v>0</v>
      </c>
    </row>
    <row r="1683" spans="1:25" x14ac:dyDescent="0.2">
      <c r="A1683" t="s">
        <v>6308</v>
      </c>
      <c r="B1683" t="s">
        <v>6309</v>
      </c>
      <c r="C1683" t="s">
        <v>14416</v>
      </c>
      <c r="D1683" t="s">
        <v>304</v>
      </c>
      <c r="E1683" t="s">
        <v>6309</v>
      </c>
      <c r="F1683" t="s">
        <v>28</v>
      </c>
      <c r="G1683" t="s">
        <v>6309</v>
      </c>
      <c r="H1683" t="str">
        <f>"F59A3.12"</f>
        <v>F59A3.12</v>
      </c>
      <c r="I1683" t="s">
        <v>304</v>
      </c>
      <c r="J1683" t="s">
        <v>29</v>
      </c>
      <c r="K1683">
        <v>12.405359199396299</v>
      </c>
      <c r="L1683">
        <v>11.2212358689652</v>
      </c>
      <c r="M1683" t="s">
        <v>29</v>
      </c>
      <c r="N1683" t="s">
        <v>29</v>
      </c>
      <c r="O1683" t="s">
        <v>29</v>
      </c>
      <c r="P1683" t="s">
        <v>29</v>
      </c>
      <c r="Q1683" t="s">
        <v>29</v>
      </c>
      <c r="R1683" t="s">
        <v>29</v>
      </c>
      <c r="S1683">
        <v>12.522075958958601</v>
      </c>
      <c r="T1683" t="s">
        <v>29</v>
      </c>
      <c r="U1683" t="s">
        <v>29</v>
      </c>
      <c r="V1683" t="s">
        <v>29</v>
      </c>
      <c r="W1683" t="s">
        <v>29</v>
      </c>
      <c r="X1683" t="s">
        <v>29</v>
      </c>
      <c r="Y1683" t="s">
        <v>29</v>
      </c>
    </row>
    <row r="1684" spans="1:25" x14ac:dyDescent="0.2">
      <c r="A1684" t="s">
        <v>6310</v>
      </c>
      <c r="B1684" t="s">
        <v>6311</v>
      </c>
      <c r="C1684" t="s">
        <v>14417</v>
      </c>
      <c r="D1684" t="s">
        <v>6312</v>
      </c>
      <c r="E1684" t="s">
        <v>6311</v>
      </c>
      <c r="F1684" t="s">
        <v>28</v>
      </c>
      <c r="G1684" t="s">
        <v>6311</v>
      </c>
      <c r="H1684" t="str">
        <f>"K11H12.8"</f>
        <v>K11H12.8</v>
      </c>
      <c r="I1684" t="s">
        <v>6312</v>
      </c>
      <c r="J1684">
        <v>13.4206296122249</v>
      </c>
      <c r="K1684">
        <v>11.744707234728001</v>
      </c>
      <c r="L1684">
        <v>11.821358466309</v>
      </c>
      <c r="M1684" t="s">
        <v>29</v>
      </c>
      <c r="N1684" t="s">
        <v>29</v>
      </c>
      <c r="O1684">
        <v>12.942247576357699</v>
      </c>
      <c r="P1684">
        <v>0.613349138603692</v>
      </c>
      <c r="Q1684">
        <v>-1.0718414742436599</v>
      </c>
      <c r="R1684">
        <v>2.2985397514510399</v>
      </c>
      <c r="S1684">
        <v>12.378012636514899</v>
      </c>
      <c r="T1684">
        <v>0.82482731302568602</v>
      </c>
      <c r="U1684">
        <v>-6.35004625514234</v>
      </c>
      <c r="V1684">
        <v>0.43103234535162799</v>
      </c>
      <c r="W1684">
        <v>0.70023926698661898</v>
      </c>
      <c r="X1684">
        <v>0</v>
      </c>
      <c r="Y1684">
        <v>0</v>
      </c>
    </row>
    <row r="1685" spans="1:25" x14ac:dyDescent="0.2">
      <c r="A1685" t="s">
        <v>6313</v>
      </c>
      <c r="B1685" t="s">
        <v>6314</v>
      </c>
      <c r="C1685" t="s">
        <v>6315</v>
      </c>
      <c r="D1685" t="s">
        <v>6316</v>
      </c>
      <c r="E1685" t="s">
        <v>6314</v>
      </c>
      <c r="F1685" t="s">
        <v>28</v>
      </c>
      <c r="G1685" t="s">
        <v>6314</v>
      </c>
      <c r="H1685" t="str">
        <f>"rpl-15"</f>
        <v>rpl-15</v>
      </c>
      <c r="I1685" t="s">
        <v>6316</v>
      </c>
      <c r="J1685">
        <v>21.551596497522102</v>
      </c>
      <c r="K1685">
        <v>21.895718041979102</v>
      </c>
      <c r="L1685">
        <v>21.978778010451599</v>
      </c>
      <c r="M1685">
        <v>21.762285464146899</v>
      </c>
      <c r="N1685">
        <v>21.449180835172299</v>
      </c>
      <c r="O1685">
        <v>21.511594623157901</v>
      </c>
      <c r="P1685">
        <v>-0.234343875825267</v>
      </c>
      <c r="Q1685">
        <v>-0.66386696966199699</v>
      </c>
      <c r="R1685">
        <v>0.19517921801146201</v>
      </c>
      <c r="S1685">
        <v>22.134639267221001</v>
      </c>
      <c r="T1685">
        <v>-1.14672584938535</v>
      </c>
      <c r="U1685">
        <v>-6.3872742315983499</v>
      </c>
      <c r="V1685">
        <v>0.26659699491753402</v>
      </c>
      <c r="W1685">
        <v>0.54253072011360703</v>
      </c>
      <c r="X1685">
        <v>0</v>
      </c>
      <c r="Y1685">
        <v>0</v>
      </c>
    </row>
    <row r="1686" spans="1:25" x14ac:dyDescent="0.2">
      <c r="A1686" t="s">
        <v>6317</v>
      </c>
      <c r="B1686" t="s">
        <v>6318</v>
      </c>
      <c r="C1686" t="s">
        <v>6319</v>
      </c>
      <c r="D1686" t="s">
        <v>6320</v>
      </c>
      <c r="E1686" t="s">
        <v>6318</v>
      </c>
      <c r="F1686" t="s">
        <v>28</v>
      </c>
      <c r="G1686" t="s">
        <v>6318</v>
      </c>
      <c r="H1686" t="str">
        <f>"K11H12.1"</f>
        <v>K11H12.1</v>
      </c>
      <c r="I1686" t="s">
        <v>6320</v>
      </c>
      <c r="J1686">
        <v>12.981081388729899</v>
      </c>
      <c r="K1686">
        <v>12.504516439388</v>
      </c>
      <c r="L1686">
        <v>12.5449415761837</v>
      </c>
      <c r="M1686">
        <v>12.765636619945001</v>
      </c>
      <c r="N1686">
        <v>12.999761915630801</v>
      </c>
      <c r="O1686">
        <v>12.668636588222901</v>
      </c>
      <c r="P1686">
        <v>0.134498573165684</v>
      </c>
      <c r="Q1686">
        <v>-0.46367223977849698</v>
      </c>
      <c r="R1686">
        <v>0.73266938610986598</v>
      </c>
      <c r="S1686">
        <v>12.6618506072623</v>
      </c>
      <c r="T1686">
        <v>0.47691610526252198</v>
      </c>
      <c r="U1686">
        <v>-6.9329515803400596</v>
      </c>
      <c r="V1686">
        <v>0.639912600864603</v>
      </c>
      <c r="W1686">
        <v>0.835047982319575</v>
      </c>
      <c r="X1686">
        <v>0</v>
      </c>
      <c r="Y1686">
        <v>0</v>
      </c>
    </row>
    <row r="1687" spans="1:25" x14ac:dyDescent="0.2">
      <c r="A1687" t="s">
        <v>6321</v>
      </c>
      <c r="B1687" t="s">
        <v>6322</v>
      </c>
      <c r="C1687" t="s">
        <v>6323</v>
      </c>
      <c r="D1687" t="s">
        <v>6324</v>
      </c>
      <c r="E1687" t="s">
        <v>6322</v>
      </c>
      <c r="F1687" t="s">
        <v>28</v>
      </c>
      <c r="G1687" t="s">
        <v>6322</v>
      </c>
      <c r="H1687" t="str">
        <f>"ostd-1"</f>
        <v>ostd-1</v>
      </c>
      <c r="I1687" t="s">
        <v>6324</v>
      </c>
      <c r="J1687">
        <v>15.8470236087953</v>
      </c>
      <c r="K1687">
        <v>15.636076320866</v>
      </c>
      <c r="L1687">
        <v>15.658902382878001</v>
      </c>
      <c r="M1687">
        <v>15.818721204210499</v>
      </c>
      <c r="N1687">
        <v>16.058524542356999</v>
      </c>
      <c r="O1687">
        <v>15.660171350158899</v>
      </c>
      <c r="P1687">
        <v>0.13180492806237401</v>
      </c>
      <c r="Q1687">
        <v>-0.20369438594689099</v>
      </c>
      <c r="R1687">
        <v>0.46730424207164001</v>
      </c>
      <c r="S1687">
        <v>15.568473573565599</v>
      </c>
      <c r="T1687">
        <v>0.825719469864161</v>
      </c>
      <c r="U1687">
        <v>-6.7014607456539101</v>
      </c>
      <c r="V1687">
        <v>0.419835837935084</v>
      </c>
      <c r="W1687">
        <v>0.693123194642701</v>
      </c>
      <c r="X1687">
        <v>0</v>
      </c>
      <c r="Y1687">
        <v>0</v>
      </c>
    </row>
    <row r="1688" spans="1:25" x14ac:dyDescent="0.2">
      <c r="A1688" t="s">
        <v>6325</v>
      </c>
      <c r="B1688" t="s">
        <v>6326</v>
      </c>
      <c r="C1688" t="s">
        <v>6327</v>
      </c>
      <c r="D1688" t="s">
        <v>603</v>
      </c>
      <c r="E1688" t="s">
        <v>6326</v>
      </c>
      <c r="F1688" t="s">
        <v>28</v>
      </c>
      <c r="G1688" t="s">
        <v>6326</v>
      </c>
      <c r="H1688" t="str">
        <f>"fubl-4"</f>
        <v>fubl-4</v>
      </c>
      <c r="I1688" t="s">
        <v>603</v>
      </c>
      <c r="J1688">
        <v>11.6008076384331</v>
      </c>
      <c r="K1688" t="s">
        <v>29</v>
      </c>
      <c r="L1688">
        <v>12.3070881163574</v>
      </c>
      <c r="M1688">
        <v>14.0999710241981</v>
      </c>
      <c r="N1688">
        <v>11.3927942034114</v>
      </c>
      <c r="O1688" t="s">
        <v>29</v>
      </c>
      <c r="P1688">
        <v>0.79243473640949302</v>
      </c>
      <c r="Q1688">
        <v>-0.77558989380703802</v>
      </c>
      <c r="R1688">
        <v>2.3604593666260199</v>
      </c>
      <c r="S1688">
        <v>13.2025424731592</v>
      </c>
      <c r="T1688">
        <v>1.07783487122074</v>
      </c>
      <c r="U1688">
        <v>-6.2611105070631901</v>
      </c>
      <c r="V1688">
        <v>0.29825420311282902</v>
      </c>
      <c r="W1688">
        <v>0.57734632773893302</v>
      </c>
      <c r="X1688">
        <v>0</v>
      </c>
      <c r="Y1688">
        <v>0</v>
      </c>
    </row>
    <row r="1689" spans="1:25" x14ac:dyDescent="0.2">
      <c r="A1689" t="s">
        <v>6328</v>
      </c>
      <c r="B1689" t="s">
        <v>6329</v>
      </c>
      <c r="C1689" t="s">
        <v>6330</v>
      </c>
      <c r="D1689" t="s">
        <v>1510</v>
      </c>
      <c r="E1689" t="s">
        <v>6329</v>
      </c>
      <c r="F1689" t="s">
        <v>28</v>
      </c>
      <c r="G1689" t="s">
        <v>6329</v>
      </c>
      <c r="H1689" t="str">
        <f>"cey-3"</f>
        <v>cey-3</v>
      </c>
      <c r="I1689" t="s">
        <v>1510</v>
      </c>
      <c r="J1689">
        <v>12.608650707239301</v>
      </c>
      <c r="K1689" t="s">
        <v>29</v>
      </c>
      <c r="L1689">
        <v>12.795211398964</v>
      </c>
      <c r="M1689">
        <v>13.5297125131443</v>
      </c>
      <c r="N1689">
        <v>12.9861693795719</v>
      </c>
      <c r="O1689">
        <v>13.068059868503701</v>
      </c>
      <c r="P1689">
        <v>0.492716200638323</v>
      </c>
      <c r="Q1689">
        <v>-0.45236446979328798</v>
      </c>
      <c r="R1689">
        <v>1.43779687106993</v>
      </c>
      <c r="S1689">
        <v>13.379628206565799</v>
      </c>
      <c r="T1689">
        <v>1.1058023061662801</v>
      </c>
      <c r="U1689">
        <v>-6.3213045654417099</v>
      </c>
      <c r="V1689">
        <v>0.28526871256243502</v>
      </c>
      <c r="W1689">
        <v>0.56532545108292598</v>
      </c>
      <c r="X1689">
        <v>0</v>
      </c>
      <c r="Y1689">
        <v>0</v>
      </c>
    </row>
    <row r="1690" spans="1:25" x14ac:dyDescent="0.2">
      <c r="A1690" t="s">
        <v>6331</v>
      </c>
      <c r="B1690" t="s">
        <v>6332</v>
      </c>
      <c r="C1690" t="s">
        <v>6333</v>
      </c>
      <c r="D1690" t="s">
        <v>1035</v>
      </c>
      <c r="E1690" t="s">
        <v>6332</v>
      </c>
      <c r="F1690" t="s">
        <v>28</v>
      </c>
      <c r="G1690" t="s">
        <v>6332</v>
      </c>
      <c r="H1690" t="str">
        <f>"klp-15"</f>
        <v>klp-15</v>
      </c>
      <c r="I1690" t="s">
        <v>1035</v>
      </c>
      <c r="J1690">
        <v>13.0763235132113</v>
      </c>
      <c r="K1690">
        <v>13.171106324607299</v>
      </c>
      <c r="L1690">
        <v>13.7467104915824</v>
      </c>
      <c r="M1690">
        <v>12.8344074407234</v>
      </c>
      <c r="N1690">
        <v>14.205412046301101</v>
      </c>
      <c r="O1690" t="s">
        <v>29</v>
      </c>
      <c r="P1690">
        <v>0.188529633711848</v>
      </c>
      <c r="Q1690">
        <v>-0.52336201563867002</v>
      </c>
      <c r="R1690">
        <v>0.90042128306236702</v>
      </c>
      <c r="S1690">
        <v>14.115816609419699</v>
      </c>
      <c r="T1690">
        <v>0.56840464452017503</v>
      </c>
      <c r="U1690">
        <v>-6.7718330502505699</v>
      </c>
      <c r="V1690">
        <v>0.57883120574250202</v>
      </c>
      <c r="W1690">
        <v>0.79911614063898995</v>
      </c>
      <c r="X1690">
        <v>0</v>
      </c>
      <c r="Y1690">
        <v>0</v>
      </c>
    </row>
    <row r="1691" spans="1:25" x14ac:dyDescent="0.2">
      <c r="A1691" t="s">
        <v>6334</v>
      </c>
      <c r="B1691" t="s">
        <v>6335</v>
      </c>
      <c r="C1691" t="s">
        <v>6336</v>
      </c>
      <c r="D1691" t="s">
        <v>6337</v>
      </c>
      <c r="E1691" t="s">
        <v>6335</v>
      </c>
      <c r="F1691" t="s">
        <v>28</v>
      </c>
      <c r="G1691" t="s">
        <v>6335</v>
      </c>
      <c r="H1691" t="str">
        <f>"ctnb-1"</f>
        <v>ctnb-1</v>
      </c>
      <c r="I1691" t="s">
        <v>6337</v>
      </c>
      <c r="J1691" t="s">
        <v>29</v>
      </c>
      <c r="K1691" t="s">
        <v>29</v>
      </c>
      <c r="L1691" t="s">
        <v>29</v>
      </c>
      <c r="M1691" t="s">
        <v>29</v>
      </c>
      <c r="N1691">
        <v>10.246437006970799</v>
      </c>
      <c r="O1691">
        <v>10.7945472508463</v>
      </c>
      <c r="P1691" t="s">
        <v>29</v>
      </c>
      <c r="Q1691" t="s">
        <v>29</v>
      </c>
      <c r="R1691" t="s">
        <v>29</v>
      </c>
      <c r="S1691">
        <v>11.264564892661401</v>
      </c>
      <c r="T1691" t="s">
        <v>29</v>
      </c>
      <c r="U1691" t="s">
        <v>29</v>
      </c>
      <c r="V1691" t="s">
        <v>29</v>
      </c>
      <c r="W1691" t="s">
        <v>29</v>
      </c>
      <c r="X1691" t="s">
        <v>29</v>
      </c>
      <c r="Y1691" t="s">
        <v>29</v>
      </c>
    </row>
    <row r="1692" spans="1:25" x14ac:dyDescent="0.2">
      <c r="A1692" t="s">
        <v>6338</v>
      </c>
      <c r="B1692" t="s">
        <v>6339</v>
      </c>
      <c r="C1692" t="s">
        <v>14418</v>
      </c>
      <c r="D1692" t="s">
        <v>6340</v>
      </c>
      <c r="E1692" t="s">
        <v>6339</v>
      </c>
      <c r="F1692" t="s">
        <v>28</v>
      </c>
      <c r="G1692" t="s">
        <v>6339</v>
      </c>
      <c r="H1692" t="str">
        <f>"M01E11.1"</f>
        <v>M01E11.1</v>
      </c>
      <c r="I1692" t="s">
        <v>6340</v>
      </c>
      <c r="J1692">
        <v>12.2549064021674</v>
      </c>
      <c r="K1692">
        <v>12.9089155086043</v>
      </c>
      <c r="L1692">
        <v>13.253641746667</v>
      </c>
      <c r="M1692">
        <v>12.3977077659223</v>
      </c>
      <c r="N1692" t="s">
        <v>29</v>
      </c>
      <c r="O1692">
        <v>12.5937286219418</v>
      </c>
      <c r="P1692">
        <v>-0.31010302521420602</v>
      </c>
      <c r="Q1692">
        <v>-0.90274735256338701</v>
      </c>
      <c r="R1692">
        <v>0.28254130213497503</v>
      </c>
      <c r="S1692">
        <v>13.554956543793301</v>
      </c>
      <c r="T1692">
        <v>-1.1159724596626399</v>
      </c>
      <c r="U1692">
        <v>-6.3093376470167799</v>
      </c>
      <c r="V1692">
        <v>0.282114501650503</v>
      </c>
      <c r="W1692">
        <v>0.56229356684593701</v>
      </c>
      <c r="X1692">
        <v>0</v>
      </c>
      <c r="Y1692">
        <v>0</v>
      </c>
    </row>
    <row r="1693" spans="1:25" x14ac:dyDescent="0.2">
      <c r="A1693" t="s">
        <v>6341</v>
      </c>
      <c r="B1693" t="s">
        <v>6342</v>
      </c>
      <c r="C1693" t="s">
        <v>6343</v>
      </c>
      <c r="D1693" t="s">
        <v>214</v>
      </c>
      <c r="E1693" t="s">
        <v>6342</v>
      </c>
      <c r="F1693" t="s">
        <v>28</v>
      </c>
      <c r="G1693" t="s">
        <v>6342</v>
      </c>
      <c r="H1693" t="str">
        <f>"rbx-2"</f>
        <v>rbx-2</v>
      </c>
      <c r="I1693" t="s">
        <v>214</v>
      </c>
      <c r="J1693" t="s">
        <v>29</v>
      </c>
      <c r="K1693" t="s">
        <v>29</v>
      </c>
      <c r="L1693" t="s">
        <v>29</v>
      </c>
      <c r="M1693">
        <v>9.8455390191188208</v>
      </c>
      <c r="N1693">
        <v>9.4858914029812897</v>
      </c>
      <c r="O1693" t="s">
        <v>29</v>
      </c>
      <c r="P1693" t="s">
        <v>29</v>
      </c>
      <c r="Q1693" t="s">
        <v>29</v>
      </c>
      <c r="R1693" t="s">
        <v>29</v>
      </c>
      <c r="S1693">
        <v>9.5266009522981108</v>
      </c>
      <c r="T1693" t="s">
        <v>29</v>
      </c>
      <c r="U1693" t="s">
        <v>29</v>
      </c>
      <c r="V1693" t="s">
        <v>29</v>
      </c>
      <c r="W1693" t="s">
        <v>29</v>
      </c>
      <c r="X1693" t="s">
        <v>29</v>
      </c>
      <c r="Y1693" t="s">
        <v>29</v>
      </c>
    </row>
    <row r="1694" spans="1:25" x14ac:dyDescent="0.2">
      <c r="A1694" t="s">
        <v>6344</v>
      </c>
      <c r="B1694" t="s">
        <v>6345</v>
      </c>
      <c r="C1694" t="s">
        <v>6346</v>
      </c>
      <c r="D1694" t="s">
        <v>6347</v>
      </c>
      <c r="E1694" t="s">
        <v>6345</v>
      </c>
      <c r="F1694" t="s">
        <v>28</v>
      </c>
      <c r="G1694" t="s">
        <v>6345</v>
      </c>
      <c r="H1694" t="str">
        <f>"eppl-1"</f>
        <v>eppl-1</v>
      </c>
      <c r="I1694" t="s">
        <v>6347</v>
      </c>
      <c r="J1694">
        <v>12.121889138834099</v>
      </c>
      <c r="K1694">
        <v>12.2006373694323</v>
      </c>
      <c r="L1694">
        <v>12.5332076054664</v>
      </c>
      <c r="M1694">
        <v>12.710589008559699</v>
      </c>
      <c r="N1694">
        <v>12.727111713715001</v>
      </c>
      <c r="O1694">
        <v>11.6819648845392</v>
      </c>
      <c r="P1694">
        <v>8.7977164360363999E-2</v>
      </c>
      <c r="Q1694">
        <v>-0.48704091983620201</v>
      </c>
      <c r="R1694">
        <v>0.66299524855692904</v>
      </c>
      <c r="S1694">
        <v>12.693345646183101</v>
      </c>
      <c r="T1694">
        <v>0.32157403100856902</v>
      </c>
      <c r="U1694">
        <v>-6.9980502171408503</v>
      </c>
      <c r="V1694">
        <v>0.75150118554145096</v>
      </c>
      <c r="W1694">
        <v>0.89454285513642895</v>
      </c>
      <c r="X1694">
        <v>0</v>
      </c>
      <c r="Y1694">
        <v>0</v>
      </c>
    </row>
    <row r="1695" spans="1:25" x14ac:dyDescent="0.2">
      <c r="A1695" t="s">
        <v>6348</v>
      </c>
      <c r="B1695" t="s">
        <v>6349</v>
      </c>
      <c r="C1695" t="s">
        <v>6350</v>
      </c>
      <c r="D1695" t="s">
        <v>6351</v>
      </c>
      <c r="E1695" t="s">
        <v>6349</v>
      </c>
      <c r="F1695" t="s">
        <v>28</v>
      </c>
      <c r="G1695" t="s">
        <v>6349</v>
      </c>
      <c r="H1695" t="str">
        <f>"T01D1.4"</f>
        <v>T01D1.4</v>
      </c>
      <c r="I1695" t="s">
        <v>6351</v>
      </c>
      <c r="J1695">
        <v>12.416653272133299</v>
      </c>
      <c r="K1695" t="s">
        <v>29</v>
      </c>
      <c r="L1695" t="s">
        <v>29</v>
      </c>
      <c r="M1695" t="s">
        <v>29</v>
      </c>
      <c r="N1695" t="s">
        <v>29</v>
      </c>
      <c r="O1695">
        <v>11.41052068209</v>
      </c>
      <c r="P1695">
        <v>-1.0061325900432501</v>
      </c>
      <c r="Q1695">
        <v>-2.2209268557813902</v>
      </c>
      <c r="R1695">
        <v>0.208661675694882</v>
      </c>
      <c r="S1695">
        <v>11.8908815687487</v>
      </c>
      <c r="T1695">
        <v>-1.8480740711572601</v>
      </c>
      <c r="U1695">
        <v>-4.9354793315107903</v>
      </c>
      <c r="V1695">
        <v>9.4658307998753702E-2</v>
      </c>
      <c r="W1695">
        <v>0.316891084596651</v>
      </c>
      <c r="X1695">
        <v>0</v>
      </c>
      <c r="Y1695">
        <v>0</v>
      </c>
    </row>
    <row r="1696" spans="1:25" x14ac:dyDescent="0.2">
      <c r="A1696" t="s">
        <v>6352</v>
      </c>
      <c r="B1696" t="s">
        <v>6353</v>
      </c>
      <c r="C1696" t="s">
        <v>6354</v>
      </c>
      <c r="D1696" t="s">
        <v>6355</v>
      </c>
      <c r="E1696" t="s">
        <v>6353</v>
      </c>
      <c r="F1696" t="s">
        <v>28</v>
      </c>
      <c r="G1696" t="s">
        <v>6353</v>
      </c>
      <c r="H1696" t="str">
        <f>"gsp-4"</f>
        <v>gsp-4</v>
      </c>
      <c r="I1696" t="s">
        <v>6355</v>
      </c>
      <c r="J1696">
        <v>12.9346847065401</v>
      </c>
      <c r="K1696" t="s">
        <v>29</v>
      </c>
      <c r="L1696">
        <v>12.7227134685929</v>
      </c>
      <c r="M1696" t="s">
        <v>29</v>
      </c>
      <c r="N1696">
        <v>14.0124072722507</v>
      </c>
      <c r="O1696">
        <v>12.5730846282549</v>
      </c>
      <c r="P1696">
        <v>0.464046862686262</v>
      </c>
      <c r="Q1696">
        <v>-0.34136698017330303</v>
      </c>
      <c r="R1696">
        <v>1.26946070554583</v>
      </c>
      <c r="S1696">
        <v>12.7941388112169</v>
      </c>
      <c r="T1696">
        <v>1.24574741775616</v>
      </c>
      <c r="U1696">
        <v>-6.07084783776493</v>
      </c>
      <c r="V1696">
        <v>0.23501691748091399</v>
      </c>
      <c r="W1696">
        <v>0.50678929720536503</v>
      </c>
      <c r="X1696">
        <v>0</v>
      </c>
      <c r="Y1696">
        <v>0</v>
      </c>
    </row>
    <row r="1697" spans="1:25" x14ac:dyDescent="0.2">
      <c r="A1697" t="s">
        <v>6356</v>
      </c>
      <c r="B1697" t="s">
        <v>6357</v>
      </c>
      <c r="C1697" t="s">
        <v>6358</v>
      </c>
      <c r="D1697" t="s">
        <v>6359</v>
      </c>
      <c r="E1697" t="s">
        <v>6357</v>
      </c>
      <c r="F1697" t="s">
        <v>28</v>
      </c>
      <c r="G1697" t="s">
        <v>6357</v>
      </c>
      <c r="H1697" t="str">
        <f>"tfbm-1"</f>
        <v>tfbm-1</v>
      </c>
      <c r="I1697" t="s">
        <v>6359</v>
      </c>
      <c r="J1697">
        <v>13.1467754228253</v>
      </c>
      <c r="K1697">
        <v>13.444741956575999</v>
      </c>
      <c r="L1697">
        <v>12.7931153919713</v>
      </c>
      <c r="M1697">
        <v>13.3039232765069</v>
      </c>
      <c r="N1697">
        <v>12.645595417755899</v>
      </c>
      <c r="O1697">
        <v>13.477338663569199</v>
      </c>
      <c r="P1697">
        <v>1.40748621531248E-2</v>
      </c>
      <c r="Q1697">
        <v>-0.67114808471514897</v>
      </c>
      <c r="R1697">
        <v>0.69929780902139804</v>
      </c>
      <c r="S1697">
        <v>12.620565805718799</v>
      </c>
      <c r="T1697">
        <v>4.3172258124462903E-2</v>
      </c>
      <c r="U1697">
        <v>-7.0511097206955702</v>
      </c>
      <c r="V1697">
        <v>0.96604229671145103</v>
      </c>
      <c r="W1697">
        <v>0.98234426046845602</v>
      </c>
      <c r="X1697">
        <v>0</v>
      </c>
      <c r="Y1697">
        <v>0</v>
      </c>
    </row>
    <row r="1698" spans="1:25" x14ac:dyDescent="0.2">
      <c r="A1698" t="s">
        <v>6360</v>
      </c>
      <c r="B1698" t="s">
        <v>6361</v>
      </c>
      <c r="C1698" t="s">
        <v>6362</v>
      </c>
      <c r="D1698" t="s">
        <v>6363</v>
      </c>
      <c r="E1698" t="s">
        <v>6361</v>
      </c>
      <c r="F1698" t="s">
        <v>28</v>
      </c>
      <c r="G1698" t="s">
        <v>6361</v>
      </c>
      <c r="H1698" t="str">
        <f>"guk-1"</f>
        <v>guk-1</v>
      </c>
      <c r="I1698" t="s">
        <v>6363</v>
      </c>
      <c r="J1698">
        <v>14.3216655199433</v>
      </c>
      <c r="K1698">
        <v>14.394999992308099</v>
      </c>
      <c r="L1698">
        <v>14.1423901270045</v>
      </c>
      <c r="M1698">
        <v>14.3501268453071</v>
      </c>
      <c r="N1698">
        <v>13.3186907216649</v>
      </c>
      <c r="O1698">
        <v>13.9445742454173</v>
      </c>
      <c r="P1698">
        <v>-0.415221275622212</v>
      </c>
      <c r="Q1698">
        <v>-1.02486245483028</v>
      </c>
      <c r="R1698">
        <v>0.19441990358585701</v>
      </c>
      <c r="S1698">
        <v>13.5501838711104</v>
      </c>
      <c r="T1698">
        <v>-1.4446240267210899</v>
      </c>
      <c r="U1698">
        <v>-6.0181163365550496</v>
      </c>
      <c r="V1698">
        <v>0.1679877083171</v>
      </c>
      <c r="W1698">
        <v>0.42440372893155598</v>
      </c>
      <c r="X1698">
        <v>0</v>
      </c>
      <c r="Y1698">
        <v>0</v>
      </c>
    </row>
    <row r="1699" spans="1:25" x14ac:dyDescent="0.2">
      <c r="A1699" t="s">
        <v>6364</v>
      </c>
      <c r="B1699" t="s">
        <v>6365</v>
      </c>
      <c r="C1699" t="s">
        <v>6366</v>
      </c>
      <c r="D1699" t="s">
        <v>6367</v>
      </c>
      <c r="E1699" t="s">
        <v>6365</v>
      </c>
      <c r="F1699" t="s">
        <v>28</v>
      </c>
      <c r="G1699" t="s">
        <v>6365</v>
      </c>
      <c r="H1699" t="str">
        <f>"pgk-1"</f>
        <v>pgk-1</v>
      </c>
      <c r="I1699" t="s">
        <v>6367</v>
      </c>
      <c r="J1699">
        <v>14.144147364268299</v>
      </c>
      <c r="K1699">
        <v>14.064153029951401</v>
      </c>
      <c r="L1699">
        <v>13.917402325133301</v>
      </c>
      <c r="M1699">
        <v>13.853653276454899</v>
      </c>
      <c r="N1699">
        <v>13.4897244751445</v>
      </c>
      <c r="O1699">
        <v>14.3089390809596</v>
      </c>
      <c r="P1699">
        <v>-0.15779529559799099</v>
      </c>
      <c r="Q1699">
        <v>-0.68158261525447805</v>
      </c>
      <c r="R1699">
        <v>0.36599202405849601</v>
      </c>
      <c r="S1699">
        <v>13.5226752108192</v>
      </c>
      <c r="T1699">
        <v>-0.63318640850096297</v>
      </c>
      <c r="U1699">
        <v>-6.8443123190578401</v>
      </c>
      <c r="V1699">
        <v>0.53462098536643099</v>
      </c>
      <c r="W1699">
        <v>0.77492902906669103</v>
      </c>
      <c r="X1699">
        <v>0</v>
      </c>
      <c r="Y1699">
        <v>0</v>
      </c>
    </row>
    <row r="1700" spans="1:25" x14ac:dyDescent="0.2">
      <c r="A1700" t="s">
        <v>6368</v>
      </c>
      <c r="B1700" t="s">
        <v>6369</v>
      </c>
      <c r="C1700" t="s">
        <v>6370</v>
      </c>
      <c r="D1700" t="s">
        <v>6371</v>
      </c>
      <c r="E1700" t="s">
        <v>6369</v>
      </c>
      <c r="F1700" t="s">
        <v>28</v>
      </c>
      <c r="G1700" t="s">
        <v>6369</v>
      </c>
      <c r="H1700" t="str">
        <f>"hum-6"</f>
        <v>hum-6</v>
      </c>
      <c r="I1700" t="s">
        <v>6371</v>
      </c>
      <c r="J1700">
        <v>13.158999098837301</v>
      </c>
      <c r="K1700">
        <v>13.133487299321001</v>
      </c>
      <c r="L1700">
        <v>12.916633352921799</v>
      </c>
      <c r="M1700">
        <v>13.128884143573799</v>
      </c>
      <c r="N1700">
        <v>12.707423213183</v>
      </c>
      <c r="O1700">
        <v>13.0491652682656</v>
      </c>
      <c r="P1700">
        <v>-0.10788237535258501</v>
      </c>
      <c r="Q1700">
        <v>-0.49603230565908302</v>
      </c>
      <c r="R1700">
        <v>0.28026755495391298</v>
      </c>
      <c r="S1700">
        <v>12.985799629922999</v>
      </c>
      <c r="T1700">
        <v>-0.58952267948943804</v>
      </c>
      <c r="U1700">
        <v>-6.8707322010523404</v>
      </c>
      <c r="V1700">
        <v>0.56379703665774095</v>
      </c>
      <c r="W1700">
        <v>0.78738006750398604</v>
      </c>
      <c r="X1700">
        <v>0</v>
      </c>
      <c r="Y1700">
        <v>0</v>
      </c>
    </row>
    <row r="1701" spans="1:25" x14ac:dyDescent="0.2">
      <c r="A1701" t="s">
        <v>6372</v>
      </c>
      <c r="B1701" t="s">
        <v>6373</v>
      </c>
      <c r="C1701" t="s">
        <v>6374</v>
      </c>
      <c r="D1701" t="s">
        <v>6375</v>
      </c>
      <c r="E1701" t="s">
        <v>6373</v>
      </c>
      <c r="F1701" t="s">
        <v>28</v>
      </c>
      <c r="G1701" t="s">
        <v>6373</v>
      </c>
      <c r="H1701" t="str">
        <f>"T19B4.3"</f>
        <v>T19B4.3</v>
      </c>
      <c r="I1701" t="s">
        <v>6375</v>
      </c>
      <c r="J1701">
        <v>13.007710524014101</v>
      </c>
      <c r="K1701">
        <v>12.7942744760994</v>
      </c>
      <c r="L1701">
        <v>13.263821802701701</v>
      </c>
      <c r="M1701">
        <v>12.1285428185502</v>
      </c>
      <c r="N1701">
        <v>13.011546645019701</v>
      </c>
      <c r="O1701">
        <v>13.3070472258678</v>
      </c>
      <c r="P1701">
        <v>-0.20622337112585301</v>
      </c>
      <c r="Q1701">
        <v>-0.79385111090495697</v>
      </c>
      <c r="R1701">
        <v>0.38140436865325</v>
      </c>
      <c r="S1701">
        <v>12.814485653257099</v>
      </c>
      <c r="T1701">
        <v>-0.74436359159869003</v>
      </c>
      <c r="U1701">
        <v>-6.7647969139326598</v>
      </c>
      <c r="V1701">
        <v>0.46751942443322397</v>
      </c>
      <c r="W1701">
        <v>0.73153117908080401</v>
      </c>
      <c r="X1701">
        <v>0</v>
      </c>
      <c r="Y1701">
        <v>0</v>
      </c>
    </row>
    <row r="1702" spans="1:25" x14ac:dyDescent="0.2">
      <c r="A1702" t="s">
        <v>6376</v>
      </c>
      <c r="B1702" t="s">
        <v>6377</v>
      </c>
      <c r="C1702" t="s">
        <v>6378</v>
      </c>
      <c r="D1702" t="s">
        <v>6379</v>
      </c>
      <c r="E1702" t="s">
        <v>6377</v>
      </c>
      <c r="F1702" t="s">
        <v>28</v>
      </c>
      <c r="G1702" t="s">
        <v>6377</v>
      </c>
      <c r="H1702" t="str">
        <f>"npp-7"</f>
        <v>npp-7</v>
      </c>
      <c r="I1702" t="s">
        <v>6379</v>
      </c>
      <c r="J1702">
        <v>10.941041152332</v>
      </c>
      <c r="K1702">
        <v>10.354914204574101</v>
      </c>
      <c r="L1702">
        <v>11.3880190006918</v>
      </c>
      <c r="M1702">
        <v>10.7131598949771</v>
      </c>
      <c r="N1702">
        <v>11.0953192959473</v>
      </c>
      <c r="O1702">
        <v>11.027001260642701</v>
      </c>
      <c r="P1702">
        <v>5.0502031323086199E-2</v>
      </c>
      <c r="Q1702">
        <v>-0.53583708818495202</v>
      </c>
      <c r="R1702">
        <v>0.63684115083112403</v>
      </c>
      <c r="S1702">
        <v>11.2929255508219</v>
      </c>
      <c r="T1702">
        <v>0.18268778332070801</v>
      </c>
      <c r="U1702">
        <v>-7.0344980294948503</v>
      </c>
      <c r="V1702">
        <v>0.85735277018051903</v>
      </c>
      <c r="W1702">
        <v>0.94410352425292998</v>
      </c>
      <c r="X1702">
        <v>0</v>
      </c>
      <c r="Y1702">
        <v>0</v>
      </c>
    </row>
    <row r="1703" spans="1:25" x14ac:dyDescent="0.2">
      <c r="A1703" t="s">
        <v>6380</v>
      </c>
      <c r="B1703" t="s">
        <v>6381</v>
      </c>
      <c r="C1703" t="s">
        <v>14419</v>
      </c>
      <c r="D1703" t="s">
        <v>214</v>
      </c>
      <c r="E1703" t="s">
        <v>6381</v>
      </c>
      <c r="F1703" t="s">
        <v>28</v>
      </c>
      <c r="G1703" t="s">
        <v>6381</v>
      </c>
      <c r="H1703" t="str">
        <f>"T20F5.6"</f>
        <v>T20F5.6</v>
      </c>
      <c r="I1703" t="s">
        <v>214</v>
      </c>
      <c r="J1703" t="s">
        <v>29</v>
      </c>
      <c r="K1703" t="s">
        <v>29</v>
      </c>
      <c r="L1703" t="s">
        <v>29</v>
      </c>
      <c r="M1703" t="s">
        <v>29</v>
      </c>
      <c r="N1703" t="s">
        <v>29</v>
      </c>
      <c r="O1703" t="s">
        <v>29</v>
      </c>
      <c r="P1703" t="s">
        <v>29</v>
      </c>
      <c r="Q1703" t="s">
        <v>29</v>
      </c>
      <c r="R1703" t="s">
        <v>29</v>
      </c>
      <c r="S1703">
        <v>10.7360996371035</v>
      </c>
      <c r="T1703" t="s">
        <v>29</v>
      </c>
      <c r="U1703" t="s">
        <v>29</v>
      </c>
      <c r="V1703" t="s">
        <v>29</v>
      </c>
      <c r="W1703" t="s">
        <v>29</v>
      </c>
      <c r="X1703" t="s">
        <v>29</v>
      </c>
      <c r="Y1703" t="s">
        <v>29</v>
      </c>
    </row>
    <row r="1704" spans="1:25" x14ac:dyDescent="0.2">
      <c r="A1704" t="s">
        <v>6382</v>
      </c>
      <c r="B1704" t="s">
        <v>6383</v>
      </c>
      <c r="C1704" t="s">
        <v>14420</v>
      </c>
      <c r="D1704" t="s">
        <v>214</v>
      </c>
      <c r="E1704" t="s">
        <v>6383</v>
      </c>
      <c r="F1704" t="s">
        <v>28</v>
      </c>
      <c r="G1704" t="s">
        <v>6383</v>
      </c>
      <c r="H1704" t="str">
        <f>"T20F5.7"</f>
        <v>T20F5.7</v>
      </c>
      <c r="I1704" t="s">
        <v>214</v>
      </c>
      <c r="J1704">
        <v>12.1171307509693</v>
      </c>
      <c r="K1704">
        <v>11.4809325543598</v>
      </c>
      <c r="L1704">
        <v>12.0114829522315</v>
      </c>
      <c r="M1704" t="s">
        <v>29</v>
      </c>
      <c r="N1704">
        <v>11.7263075804774</v>
      </c>
      <c r="O1704">
        <v>10.927928568652201</v>
      </c>
      <c r="P1704">
        <v>-0.54273067795539198</v>
      </c>
      <c r="Q1704">
        <v>-1.32418129988338</v>
      </c>
      <c r="R1704">
        <v>0.23871994397259499</v>
      </c>
      <c r="S1704">
        <v>12.5245211750472</v>
      </c>
      <c r="T1704">
        <v>-1.49064669834769</v>
      </c>
      <c r="U1704">
        <v>-5.8475199271998601</v>
      </c>
      <c r="V1704">
        <v>0.15840293314329301</v>
      </c>
      <c r="W1704">
        <v>0.41038466914671601</v>
      </c>
      <c r="X1704">
        <v>0</v>
      </c>
      <c r="Y1704">
        <v>0</v>
      </c>
    </row>
    <row r="1705" spans="1:25" x14ac:dyDescent="0.2">
      <c r="A1705" t="s">
        <v>6384</v>
      </c>
      <c r="B1705" t="s">
        <v>6385</v>
      </c>
      <c r="C1705" t="s">
        <v>14421</v>
      </c>
      <c r="D1705" t="s">
        <v>2592</v>
      </c>
      <c r="E1705" t="s">
        <v>6385</v>
      </c>
      <c r="F1705" t="s">
        <v>28</v>
      </c>
      <c r="G1705" t="s">
        <v>6385</v>
      </c>
      <c r="H1705" t="str">
        <f>"T23B3.1"</f>
        <v>T23B3.1</v>
      </c>
      <c r="I1705" t="s">
        <v>2592</v>
      </c>
      <c r="J1705">
        <v>12.6216189274709</v>
      </c>
      <c r="K1705">
        <v>12.4174106324094</v>
      </c>
      <c r="L1705">
        <v>12.4646200660994</v>
      </c>
      <c r="M1705">
        <v>12.530651895320499</v>
      </c>
      <c r="N1705">
        <v>12.0777146225241</v>
      </c>
      <c r="O1705">
        <v>12.092442471103301</v>
      </c>
      <c r="P1705">
        <v>-0.26761354567725498</v>
      </c>
      <c r="Q1705">
        <v>-0.95871463238643995</v>
      </c>
      <c r="R1705">
        <v>0.42348754103192998</v>
      </c>
      <c r="S1705">
        <v>13.0757220187086</v>
      </c>
      <c r="T1705">
        <v>-0.82132689823910199</v>
      </c>
      <c r="U1705">
        <v>-6.7036089392456599</v>
      </c>
      <c r="V1705">
        <v>0.423608422488021</v>
      </c>
      <c r="W1705">
        <v>0.69582120483393295</v>
      </c>
      <c r="X1705">
        <v>0</v>
      </c>
      <c r="Y1705">
        <v>0</v>
      </c>
    </row>
    <row r="1706" spans="1:25" x14ac:dyDescent="0.2">
      <c r="A1706" t="s">
        <v>6386</v>
      </c>
      <c r="B1706" t="s">
        <v>6387</v>
      </c>
      <c r="C1706" t="s">
        <v>14422</v>
      </c>
      <c r="D1706" t="s">
        <v>1747</v>
      </c>
      <c r="E1706" t="s">
        <v>6387</v>
      </c>
      <c r="F1706" t="s">
        <v>28</v>
      </c>
      <c r="G1706" t="s">
        <v>6387</v>
      </c>
      <c r="H1706" t="str">
        <f>"T23H2.3"</f>
        <v>T23H2.3</v>
      </c>
      <c r="I1706" t="s">
        <v>1747</v>
      </c>
      <c r="J1706">
        <v>11.8305161893673</v>
      </c>
      <c r="K1706">
        <v>12.071341428419201</v>
      </c>
      <c r="L1706">
        <v>11.9666244608421</v>
      </c>
      <c r="M1706">
        <v>12.6177485548115</v>
      </c>
      <c r="N1706">
        <v>13.0255829055149</v>
      </c>
      <c r="O1706">
        <v>12.5909803929954</v>
      </c>
      <c r="P1706">
        <v>0.78860992489771098</v>
      </c>
      <c r="Q1706">
        <v>0.36081730216680002</v>
      </c>
      <c r="R1706">
        <v>1.21640254762862</v>
      </c>
      <c r="S1706">
        <v>12.9761658489384</v>
      </c>
      <c r="T1706">
        <v>3.8911588521415399</v>
      </c>
      <c r="U1706">
        <v>-1.3857503481812901</v>
      </c>
      <c r="V1706">
        <v>1.1859577847916599E-3</v>
      </c>
      <c r="W1706">
        <v>2.0311087535326702E-2</v>
      </c>
      <c r="X1706">
        <v>0</v>
      </c>
      <c r="Y1706">
        <v>0</v>
      </c>
    </row>
    <row r="1707" spans="1:25" x14ac:dyDescent="0.2">
      <c r="A1707" t="s">
        <v>6388</v>
      </c>
      <c r="B1707" t="s">
        <v>6389</v>
      </c>
      <c r="C1707" t="s">
        <v>6390</v>
      </c>
      <c r="D1707" t="s">
        <v>6391</v>
      </c>
      <c r="E1707" t="s">
        <v>6389</v>
      </c>
      <c r="F1707" t="s">
        <v>28</v>
      </c>
      <c r="G1707" t="s">
        <v>6389</v>
      </c>
      <c r="H1707" t="str">
        <f>"npp-12"</f>
        <v>npp-12</v>
      </c>
      <c r="I1707" t="s">
        <v>6391</v>
      </c>
      <c r="J1707">
        <v>13.2879064703491</v>
      </c>
      <c r="K1707">
        <v>13.0764269651396</v>
      </c>
      <c r="L1707">
        <v>12.805309024202399</v>
      </c>
      <c r="M1707">
        <v>13.063604094682301</v>
      </c>
      <c r="N1707">
        <v>12.746893531623099</v>
      </c>
      <c r="O1707">
        <v>13.1140535380974</v>
      </c>
      <c r="P1707">
        <v>-8.1697098429451401E-2</v>
      </c>
      <c r="Q1707">
        <v>-0.59163965559176901</v>
      </c>
      <c r="R1707">
        <v>0.42824545873286601</v>
      </c>
      <c r="S1707">
        <v>12.6060781784275</v>
      </c>
      <c r="T1707">
        <v>-0.338170241791245</v>
      </c>
      <c r="U1707">
        <v>-6.9921712875193798</v>
      </c>
      <c r="V1707">
        <v>0.73940074350239304</v>
      </c>
      <c r="W1707">
        <v>0.89012579332474595</v>
      </c>
      <c r="X1707">
        <v>0</v>
      </c>
      <c r="Y1707">
        <v>0</v>
      </c>
    </row>
    <row r="1708" spans="1:25" x14ac:dyDescent="0.2">
      <c r="A1708" t="s">
        <v>6392</v>
      </c>
      <c r="B1708" t="s">
        <v>6393</v>
      </c>
      <c r="C1708" t="s">
        <v>6394</v>
      </c>
      <c r="D1708" t="s">
        <v>6395</v>
      </c>
      <c r="E1708" t="s">
        <v>6393</v>
      </c>
      <c r="F1708" t="s">
        <v>28</v>
      </c>
      <c r="G1708" t="s">
        <v>6393</v>
      </c>
      <c r="H1708" t="str">
        <f>"nmrk-1"</f>
        <v>nmrk-1</v>
      </c>
      <c r="I1708" t="s">
        <v>6395</v>
      </c>
      <c r="J1708">
        <v>11.5845669582973</v>
      </c>
      <c r="K1708">
        <v>10.9129513447715</v>
      </c>
      <c r="L1708" t="s">
        <v>29</v>
      </c>
      <c r="M1708">
        <v>12.0045360433251</v>
      </c>
      <c r="N1708">
        <v>11.640999675546199</v>
      </c>
      <c r="O1708">
        <v>10.8335072953693</v>
      </c>
      <c r="P1708">
        <v>0.244255186545807</v>
      </c>
      <c r="Q1708">
        <v>-0.47571120964469898</v>
      </c>
      <c r="R1708">
        <v>0.96422158273631398</v>
      </c>
      <c r="S1708">
        <v>11.6266634026458</v>
      </c>
      <c r="T1708">
        <v>0.72355770670604203</v>
      </c>
      <c r="U1708">
        <v>-6.6694459584351504</v>
      </c>
      <c r="V1708">
        <v>0.48054705148951099</v>
      </c>
      <c r="W1708">
        <v>0.73863963417424106</v>
      </c>
      <c r="X1708">
        <v>0</v>
      </c>
      <c r="Y1708">
        <v>0</v>
      </c>
    </row>
    <row r="1709" spans="1:25" x14ac:dyDescent="0.2">
      <c r="A1709" t="s">
        <v>6396</v>
      </c>
      <c r="B1709" t="s">
        <v>6397</v>
      </c>
      <c r="C1709" t="s">
        <v>6398</v>
      </c>
      <c r="D1709" t="s">
        <v>6399</v>
      </c>
      <c r="E1709" t="s">
        <v>6397</v>
      </c>
      <c r="F1709" t="s">
        <v>28</v>
      </c>
      <c r="G1709" t="s">
        <v>6397</v>
      </c>
      <c r="H1709" t="str">
        <f>"W09C3.4"</f>
        <v>W09C3.4</v>
      </c>
      <c r="I1709" t="s">
        <v>6399</v>
      </c>
      <c r="J1709">
        <v>12.522663674332</v>
      </c>
      <c r="K1709" t="s">
        <v>29</v>
      </c>
      <c r="L1709">
        <v>12.7222805941899</v>
      </c>
      <c r="M1709">
        <v>12.7150872188416</v>
      </c>
      <c r="N1709">
        <v>12.4458393648501</v>
      </c>
      <c r="O1709" t="s">
        <v>29</v>
      </c>
      <c r="P1709">
        <v>-4.2008842415059498E-2</v>
      </c>
      <c r="Q1709">
        <v>-0.81227243390913495</v>
      </c>
      <c r="R1709">
        <v>0.72825474907901599</v>
      </c>
      <c r="S1709">
        <v>13.012609969245</v>
      </c>
      <c r="T1709">
        <v>-0.12017912492850499</v>
      </c>
      <c r="U1709">
        <v>-6.8433938294683303</v>
      </c>
      <c r="V1709">
        <v>0.90652879612923398</v>
      </c>
      <c r="W1709">
        <v>0.96798538961646996</v>
      </c>
      <c r="X1709">
        <v>0</v>
      </c>
      <c r="Y1709">
        <v>0</v>
      </c>
    </row>
    <row r="1710" spans="1:25" x14ac:dyDescent="0.2">
      <c r="A1710" t="s">
        <v>6400</v>
      </c>
      <c r="B1710" t="s">
        <v>6401</v>
      </c>
      <c r="C1710" t="s">
        <v>14423</v>
      </c>
      <c r="D1710" t="s">
        <v>878</v>
      </c>
      <c r="E1710" t="s">
        <v>6401</v>
      </c>
      <c r="F1710" t="s">
        <v>28</v>
      </c>
      <c r="G1710" t="s">
        <v>6401</v>
      </c>
      <c r="H1710" t="str">
        <f>"ZC204.12"</f>
        <v>ZC204.12</v>
      </c>
      <c r="I1710" t="s">
        <v>878</v>
      </c>
      <c r="J1710">
        <v>12.878159797001601</v>
      </c>
      <c r="K1710">
        <v>12.0645425923556</v>
      </c>
      <c r="L1710" t="s">
        <v>29</v>
      </c>
      <c r="M1710">
        <v>12.446292904995801</v>
      </c>
      <c r="N1710">
        <v>11.7573649444222</v>
      </c>
      <c r="O1710">
        <v>12.137499734876499</v>
      </c>
      <c r="P1710">
        <v>-0.35763199991380101</v>
      </c>
      <c r="Q1710">
        <v>-1.5945665152709501</v>
      </c>
      <c r="R1710">
        <v>0.87930251544335003</v>
      </c>
      <c r="S1710">
        <v>11.900791525210201</v>
      </c>
      <c r="T1710">
        <v>-0.63057199017560595</v>
      </c>
      <c r="U1710">
        <v>-6.7314059089307996</v>
      </c>
      <c r="V1710">
        <v>0.54024632216339696</v>
      </c>
      <c r="W1710">
        <v>0.77501266500839605</v>
      </c>
      <c r="X1710">
        <v>0</v>
      </c>
      <c r="Y1710">
        <v>0</v>
      </c>
    </row>
    <row r="1711" spans="1:25" x14ac:dyDescent="0.2">
      <c r="A1711" t="s">
        <v>6402</v>
      </c>
      <c r="B1711" t="s">
        <v>6403</v>
      </c>
      <c r="C1711" t="s">
        <v>6404</v>
      </c>
      <c r="D1711" t="s">
        <v>6405</v>
      </c>
      <c r="E1711" t="s">
        <v>6403</v>
      </c>
      <c r="F1711" t="s">
        <v>28</v>
      </c>
      <c r="G1711" t="s">
        <v>6403</v>
      </c>
      <c r="H1711" t="str">
        <f>"rab-5"</f>
        <v>rab-5</v>
      </c>
      <c r="I1711" t="s">
        <v>6405</v>
      </c>
      <c r="J1711">
        <v>14.861298590822299</v>
      </c>
      <c r="K1711">
        <v>15.033304651754399</v>
      </c>
      <c r="L1711">
        <v>14.730852839327801</v>
      </c>
      <c r="M1711">
        <v>14.9524421772705</v>
      </c>
      <c r="N1711">
        <v>14.632440799930301</v>
      </c>
      <c r="O1711">
        <v>14.443326363263701</v>
      </c>
      <c r="P1711">
        <v>-0.199082247146665</v>
      </c>
      <c r="Q1711">
        <v>-0.65140487907627098</v>
      </c>
      <c r="R1711">
        <v>0.25324038478294097</v>
      </c>
      <c r="S1711">
        <v>14.4584111671819</v>
      </c>
      <c r="T1711">
        <v>-0.92507454161488001</v>
      </c>
      <c r="U1711">
        <v>-6.6140816925486297</v>
      </c>
      <c r="V1711">
        <v>0.36723469921061502</v>
      </c>
      <c r="W1711">
        <v>0.64280888178124895</v>
      </c>
      <c r="X1711">
        <v>0</v>
      </c>
      <c r="Y1711">
        <v>0</v>
      </c>
    </row>
    <row r="1712" spans="1:25" x14ac:dyDescent="0.2">
      <c r="A1712" t="s">
        <v>6406</v>
      </c>
      <c r="B1712" t="s">
        <v>6407</v>
      </c>
      <c r="C1712" t="s">
        <v>6408</v>
      </c>
      <c r="D1712" t="s">
        <v>6409</v>
      </c>
      <c r="E1712" t="s">
        <v>6407</v>
      </c>
      <c r="F1712" t="s">
        <v>28</v>
      </c>
      <c r="G1712" t="s">
        <v>6407</v>
      </c>
      <c r="H1712" t="str">
        <f>"maph-1.1"</f>
        <v>maph-1.1</v>
      </c>
      <c r="I1712" t="s">
        <v>6409</v>
      </c>
      <c r="J1712">
        <v>15.880407349276799</v>
      </c>
      <c r="K1712">
        <v>16.1930051931582</v>
      </c>
      <c r="L1712">
        <v>15.4491047577431</v>
      </c>
      <c r="M1712">
        <v>15.371367595109</v>
      </c>
      <c r="N1712">
        <v>15.191985096637801</v>
      </c>
      <c r="O1712">
        <v>15.4507862571767</v>
      </c>
      <c r="P1712">
        <v>-0.50279278375154102</v>
      </c>
      <c r="Q1712">
        <v>-1.0787981050202</v>
      </c>
      <c r="R1712">
        <v>7.3212537517120604E-2</v>
      </c>
      <c r="S1712">
        <v>15.549729553657</v>
      </c>
      <c r="T1712">
        <v>-1.84252145445661</v>
      </c>
      <c r="U1712">
        <v>-5.4269495443494398</v>
      </c>
      <c r="V1712">
        <v>8.3018693544490804E-2</v>
      </c>
      <c r="W1712">
        <v>0.29442344043886498</v>
      </c>
      <c r="X1712">
        <v>0</v>
      </c>
      <c r="Y1712">
        <v>0</v>
      </c>
    </row>
    <row r="1713" spans="1:25" x14ac:dyDescent="0.2">
      <c r="A1713" t="s">
        <v>6410</v>
      </c>
      <c r="B1713" t="s">
        <v>6411</v>
      </c>
      <c r="C1713" t="s">
        <v>6412</v>
      </c>
      <c r="D1713" t="s">
        <v>534</v>
      </c>
      <c r="E1713" t="s">
        <v>6411</v>
      </c>
      <c r="F1713" t="s">
        <v>28</v>
      </c>
      <c r="G1713" t="s">
        <v>6411</v>
      </c>
      <c r="H1713" t="str">
        <f>"thoc-3"</f>
        <v>thoc-3</v>
      </c>
      <c r="I1713" t="s">
        <v>534</v>
      </c>
      <c r="J1713">
        <v>14.1721641001318</v>
      </c>
      <c r="K1713">
        <v>14.1740496091259</v>
      </c>
      <c r="L1713">
        <v>13.6755457610245</v>
      </c>
      <c r="M1713">
        <v>14.294091010186399</v>
      </c>
      <c r="N1713">
        <v>14.1401018814051</v>
      </c>
      <c r="O1713">
        <v>14.0967124341788</v>
      </c>
      <c r="P1713">
        <v>0.16971528516267001</v>
      </c>
      <c r="Q1713">
        <v>-0.213618588000036</v>
      </c>
      <c r="R1713">
        <v>0.55304915832537704</v>
      </c>
      <c r="S1713">
        <v>13.789226368844099</v>
      </c>
      <c r="T1713">
        <v>0.93453113311091396</v>
      </c>
      <c r="U1713">
        <v>-6.6045196546145002</v>
      </c>
      <c r="V1713">
        <v>0.36319561456625399</v>
      </c>
      <c r="W1713">
        <v>0.63985049477168898</v>
      </c>
      <c r="X1713">
        <v>0</v>
      </c>
      <c r="Y1713">
        <v>0</v>
      </c>
    </row>
    <row r="1714" spans="1:25" x14ac:dyDescent="0.2">
      <c r="A1714" t="s">
        <v>6413</v>
      </c>
      <c r="B1714" t="s">
        <v>6414</v>
      </c>
      <c r="C1714" t="s">
        <v>6415</v>
      </c>
      <c r="D1714" t="s">
        <v>6416</v>
      </c>
      <c r="E1714" t="s">
        <v>6414</v>
      </c>
      <c r="F1714" t="s">
        <v>28</v>
      </c>
      <c r="G1714" t="s">
        <v>6414</v>
      </c>
      <c r="H1714" t="str">
        <f>"snpc-4"</f>
        <v>snpc-4</v>
      </c>
      <c r="I1714" t="s">
        <v>6416</v>
      </c>
      <c r="J1714" t="s">
        <v>29</v>
      </c>
      <c r="K1714" t="s">
        <v>29</v>
      </c>
      <c r="L1714" t="s">
        <v>29</v>
      </c>
      <c r="M1714" t="s">
        <v>29</v>
      </c>
      <c r="N1714" t="s">
        <v>29</v>
      </c>
      <c r="O1714" t="s">
        <v>29</v>
      </c>
      <c r="P1714" t="s">
        <v>29</v>
      </c>
      <c r="Q1714" t="s">
        <v>29</v>
      </c>
      <c r="R1714" t="s">
        <v>29</v>
      </c>
      <c r="S1714">
        <v>13.1429132251701</v>
      </c>
      <c r="T1714" t="s">
        <v>29</v>
      </c>
      <c r="U1714" t="s">
        <v>29</v>
      </c>
      <c r="V1714" t="s">
        <v>29</v>
      </c>
      <c r="W1714" t="s">
        <v>29</v>
      </c>
      <c r="X1714" t="s">
        <v>29</v>
      </c>
      <c r="Y1714" t="s">
        <v>29</v>
      </c>
    </row>
    <row r="1715" spans="1:25" x14ac:dyDescent="0.2">
      <c r="A1715" t="s">
        <v>6417</v>
      </c>
      <c r="B1715" t="s">
        <v>6418</v>
      </c>
      <c r="C1715" t="s">
        <v>6419</v>
      </c>
      <c r="D1715" t="s">
        <v>6420</v>
      </c>
      <c r="E1715" t="s">
        <v>6418</v>
      </c>
      <c r="F1715" t="s">
        <v>28</v>
      </c>
      <c r="G1715" t="s">
        <v>6418</v>
      </c>
      <c r="H1715" t="str">
        <f>"spd-2"</f>
        <v>spd-2</v>
      </c>
      <c r="I1715" t="s">
        <v>6420</v>
      </c>
      <c r="J1715">
        <v>12.4273964295532</v>
      </c>
      <c r="K1715" t="s">
        <v>29</v>
      </c>
      <c r="L1715">
        <v>10.250996518756599</v>
      </c>
      <c r="M1715">
        <v>13.2572597976182</v>
      </c>
      <c r="N1715">
        <v>13.193386285289399</v>
      </c>
      <c r="O1715" t="s">
        <v>29</v>
      </c>
      <c r="P1715">
        <v>1.88612656729891</v>
      </c>
      <c r="Q1715">
        <v>0.80509573501867204</v>
      </c>
      <c r="R1715">
        <v>2.9671573995791598</v>
      </c>
      <c r="S1715">
        <v>12.633503514622999</v>
      </c>
      <c r="T1715">
        <v>3.8052024194481202</v>
      </c>
      <c r="U1715">
        <v>-1.80271809686282</v>
      </c>
      <c r="V1715">
        <v>2.5443270081171002E-3</v>
      </c>
      <c r="W1715">
        <v>3.41832837715738E-2</v>
      </c>
      <c r="X1715">
        <v>1</v>
      </c>
      <c r="Y1715">
        <v>1</v>
      </c>
    </row>
    <row r="1716" spans="1:25" x14ac:dyDescent="0.2">
      <c r="A1716" t="s">
        <v>6421</v>
      </c>
      <c r="B1716" t="s">
        <v>6422</v>
      </c>
      <c r="C1716" t="s">
        <v>6423</v>
      </c>
      <c r="D1716" t="s">
        <v>6424</v>
      </c>
      <c r="E1716" t="s">
        <v>6422</v>
      </c>
      <c r="F1716" t="s">
        <v>28</v>
      </c>
      <c r="G1716" t="s">
        <v>6422</v>
      </c>
      <c r="H1716" t="str">
        <f>"fasn-1"</f>
        <v>fasn-1</v>
      </c>
      <c r="I1716" t="s">
        <v>6424</v>
      </c>
      <c r="J1716">
        <v>17.8525942227587</v>
      </c>
      <c r="K1716">
        <v>17.698651814408201</v>
      </c>
      <c r="L1716">
        <v>17.683063491481398</v>
      </c>
      <c r="M1716">
        <v>17.754711871028402</v>
      </c>
      <c r="N1716">
        <v>17.7934003744355</v>
      </c>
      <c r="O1716">
        <v>17.550897976674001</v>
      </c>
      <c r="P1716">
        <v>-4.5099768836799101E-2</v>
      </c>
      <c r="Q1716">
        <v>-0.39041476654921498</v>
      </c>
      <c r="R1716">
        <v>0.30021522887561702</v>
      </c>
      <c r="S1716">
        <v>17.506700906648099</v>
      </c>
      <c r="T1716">
        <v>-0.27450571337500901</v>
      </c>
      <c r="U1716">
        <v>-7.0126799866382896</v>
      </c>
      <c r="V1716">
        <v>0.78683989390354003</v>
      </c>
      <c r="W1716">
        <v>0.91244922502322401</v>
      </c>
      <c r="X1716">
        <v>0</v>
      </c>
      <c r="Y1716">
        <v>0</v>
      </c>
    </row>
    <row r="1717" spans="1:25" x14ac:dyDescent="0.2">
      <c r="A1717" t="s">
        <v>6425</v>
      </c>
      <c r="B1717" t="s">
        <v>6426</v>
      </c>
      <c r="C1717" t="s">
        <v>6427</v>
      </c>
      <c r="D1717" t="s">
        <v>1382</v>
      </c>
      <c r="E1717" t="s">
        <v>6426</v>
      </c>
      <c r="F1717" t="s">
        <v>28</v>
      </c>
      <c r="G1717" t="s">
        <v>6426</v>
      </c>
      <c r="H1717" t="str">
        <f>"tba-6"</f>
        <v>tba-6</v>
      </c>
      <c r="I1717" t="s">
        <v>1382</v>
      </c>
      <c r="J1717">
        <v>12.9621305448988</v>
      </c>
      <c r="K1717">
        <v>13.223491888212999</v>
      </c>
      <c r="L1717">
        <v>11.969276190735499</v>
      </c>
      <c r="M1717" t="s">
        <v>29</v>
      </c>
      <c r="N1717">
        <v>13.073774994753901</v>
      </c>
      <c r="O1717">
        <v>12.0647604672307</v>
      </c>
      <c r="P1717">
        <v>-0.14903181029008999</v>
      </c>
      <c r="Q1717">
        <v>-3.7921722581905999</v>
      </c>
      <c r="R1717">
        <v>3.4941086376104198</v>
      </c>
      <c r="S1717">
        <v>13.0167258346507</v>
      </c>
      <c r="T1717">
        <v>-8.7245827973478393E-2</v>
      </c>
      <c r="U1717">
        <v>-6.9374085867258497</v>
      </c>
      <c r="V1717">
        <v>0.93163821436389405</v>
      </c>
      <c r="W1717">
        <v>0.97477516062382996</v>
      </c>
      <c r="X1717">
        <v>0</v>
      </c>
      <c r="Y1717">
        <v>0</v>
      </c>
    </row>
    <row r="1718" spans="1:25" x14ac:dyDescent="0.2">
      <c r="A1718" t="s">
        <v>6428</v>
      </c>
      <c r="B1718" t="s">
        <v>6429</v>
      </c>
      <c r="C1718" t="s">
        <v>6430</v>
      </c>
      <c r="D1718" t="s">
        <v>6431</v>
      </c>
      <c r="E1718" t="s">
        <v>6429</v>
      </c>
      <c r="F1718" t="s">
        <v>28</v>
      </c>
      <c r="G1718" t="s">
        <v>6429</v>
      </c>
      <c r="H1718" t="str">
        <f>"mec-12"</f>
        <v>mec-12</v>
      </c>
      <c r="I1718" t="s">
        <v>6431</v>
      </c>
      <c r="J1718">
        <v>15.640271434490799</v>
      </c>
      <c r="K1718">
        <v>16.301491845687501</v>
      </c>
      <c r="L1718">
        <v>15.5062987208737</v>
      </c>
      <c r="M1718">
        <v>16.149557555881099</v>
      </c>
      <c r="N1718">
        <v>16.315443781758901</v>
      </c>
      <c r="O1718">
        <v>16.116048162399402</v>
      </c>
      <c r="P1718">
        <v>0.37766249966249499</v>
      </c>
      <c r="Q1718">
        <v>-5.9514050229455197E-2</v>
      </c>
      <c r="R1718">
        <v>0.81483904955444597</v>
      </c>
      <c r="S1718">
        <v>15.5795668511955</v>
      </c>
      <c r="T1718">
        <v>1.81568087080951</v>
      </c>
      <c r="U1718">
        <v>-5.4673988723301603</v>
      </c>
      <c r="V1718">
        <v>8.6213560113850896E-2</v>
      </c>
      <c r="W1718">
        <v>0.30188911217609299</v>
      </c>
      <c r="X1718">
        <v>0</v>
      </c>
      <c r="Y1718">
        <v>0</v>
      </c>
    </row>
    <row r="1719" spans="1:25" x14ac:dyDescent="0.2">
      <c r="A1719" t="s">
        <v>6432</v>
      </c>
      <c r="B1719" t="s">
        <v>6433</v>
      </c>
      <c r="C1719" t="s">
        <v>6434</v>
      </c>
      <c r="D1719" t="s">
        <v>6435</v>
      </c>
      <c r="E1719" t="s">
        <v>6433</v>
      </c>
      <c r="F1719" t="s">
        <v>28</v>
      </c>
      <c r="G1719" t="s">
        <v>6433</v>
      </c>
      <c r="H1719" t="str">
        <f>"rla-1"</f>
        <v>rla-1</v>
      </c>
      <c r="I1719" t="s">
        <v>6435</v>
      </c>
      <c r="J1719">
        <v>14.041065096353901</v>
      </c>
      <c r="K1719">
        <v>14.512620650546699</v>
      </c>
      <c r="L1719">
        <v>15.0941503742847</v>
      </c>
      <c r="M1719">
        <v>15.0761743144247</v>
      </c>
      <c r="N1719">
        <v>15.4418449276735</v>
      </c>
      <c r="O1719">
        <v>16.7441415233626</v>
      </c>
      <c r="P1719">
        <v>1.20477488142514</v>
      </c>
      <c r="Q1719">
        <v>0.306227993626079</v>
      </c>
      <c r="R1719">
        <v>2.1033217692242001</v>
      </c>
      <c r="S1719">
        <v>15.133063056028</v>
      </c>
      <c r="T1719">
        <v>2.8181082614734598</v>
      </c>
      <c r="U1719">
        <v>-3.6129852983285899</v>
      </c>
      <c r="V1719">
        <v>1.1431317161881199E-2</v>
      </c>
      <c r="W1719">
        <v>9.5869860940106397E-2</v>
      </c>
      <c r="X1719">
        <v>1</v>
      </c>
      <c r="Y1719">
        <v>0</v>
      </c>
    </row>
    <row r="1720" spans="1:25" x14ac:dyDescent="0.2">
      <c r="A1720" t="s">
        <v>6436</v>
      </c>
      <c r="B1720" t="s">
        <v>6437</v>
      </c>
      <c r="C1720" t="s">
        <v>6438</v>
      </c>
      <c r="D1720" t="s">
        <v>6439</v>
      </c>
      <c r="E1720" t="s">
        <v>6437</v>
      </c>
      <c r="F1720" t="s">
        <v>28</v>
      </c>
      <c r="G1720" t="s">
        <v>6437</v>
      </c>
      <c r="H1720" t="str">
        <f>"rpl-27"</f>
        <v>rpl-27</v>
      </c>
      <c r="I1720" t="s">
        <v>6439</v>
      </c>
      <c r="J1720">
        <v>18.851282016066801</v>
      </c>
      <c r="K1720">
        <v>18.895557049042999</v>
      </c>
      <c r="L1720">
        <v>18.902896279960299</v>
      </c>
      <c r="M1720">
        <v>18.907333413396799</v>
      </c>
      <c r="N1720">
        <v>18.973650497215399</v>
      </c>
      <c r="O1720">
        <v>18.554331258546998</v>
      </c>
      <c r="P1720">
        <v>-7.1473391970279507E-2</v>
      </c>
      <c r="Q1720">
        <v>-0.48855252756607198</v>
      </c>
      <c r="R1720">
        <v>0.345605743625513</v>
      </c>
      <c r="S1720">
        <v>18.537973645371299</v>
      </c>
      <c r="T1720">
        <v>-0.36017904449411198</v>
      </c>
      <c r="U1720">
        <v>-6.9843472581446502</v>
      </c>
      <c r="V1720">
        <v>0.72292925941794395</v>
      </c>
      <c r="W1720">
        <v>0.87985583094242303</v>
      </c>
      <c r="X1720">
        <v>0</v>
      </c>
      <c r="Y1720">
        <v>0</v>
      </c>
    </row>
    <row r="1721" spans="1:25" x14ac:dyDescent="0.2">
      <c r="A1721" t="s">
        <v>6440</v>
      </c>
      <c r="B1721" t="s">
        <v>6441</v>
      </c>
      <c r="C1721" t="s">
        <v>6442</v>
      </c>
      <c r="D1721" t="s">
        <v>6443</v>
      </c>
      <c r="E1721" t="s">
        <v>6441</v>
      </c>
      <c r="F1721" t="s">
        <v>28</v>
      </c>
      <c r="G1721" t="s">
        <v>6441</v>
      </c>
      <c r="H1721" t="str">
        <f>"ola-1"</f>
        <v>ola-1</v>
      </c>
      <c r="I1721" t="s">
        <v>6443</v>
      </c>
      <c r="J1721">
        <v>18.365809119272601</v>
      </c>
      <c r="K1721">
        <v>18.2005294731105</v>
      </c>
      <c r="L1721">
        <v>18.272603513750699</v>
      </c>
      <c r="M1721">
        <v>18.078030863123701</v>
      </c>
      <c r="N1721">
        <v>17.989099828545001</v>
      </c>
      <c r="O1721">
        <v>17.947258197607599</v>
      </c>
      <c r="P1721">
        <v>-0.27485107228580602</v>
      </c>
      <c r="Q1721">
        <v>-0.59073650740117101</v>
      </c>
      <c r="R1721">
        <v>4.1034362829559197E-2</v>
      </c>
      <c r="S1721">
        <v>18.0564347186309</v>
      </c>
      <c r="T1721">
        <v>-1.82877529807892</v>
      </c>
      <c r="U1721">
        <v>-5.4463325069936097</v>
      </c>
      <c r="V1721">
        <v>8.41501207025806E-2</v>
      </c>
      <c r="W1721">
        <v>0.29698968846659102</v>
      </c>
      <c r="X1721">
        <v>0</v>
      </c>
      <c r="Y1721">
        <v>0</v>
      </c>
    </row>
    <row r="1722" spans="1:25" x14ac:dyDescent="0.2">
      <c r="A1722" t="s">
        <v>6444</v>
      </c>
      <c r="B1722" t="s">
        <v>6445</v>
      </c>
      <c r="C1722" t="s">
        <v>6446</v>
      </c>
      <c r="D1722" t="s">
        <v>6447</v>
      </c>
      <c r="E1722" t="s">
        <v>6445</v>
      </c>
      <c r="F1722" t="s">
        <v>28</v>
      </c>
      <c r="G1722" t="s">
        <v>6445</v>
      </c>
      <c r="H1722" t="str">
        <f>"snr-2"</f>
        <v>snr-2</v>
      </c>
      <c r="I1722" t="s">
        <v>6447</v>
      </c>
      <c r="J1722">
        <v>13.728717330991101</v>
      </c>
      <c r="K1722">
        <v>13.814711999208701</v>
      </c>
      <c r="L1722">
        <v>13.6260547036606</v>
      </c>
      <c r="M1722">
        <v>13.32945016099</v>
      </c>
      <c r="N1722">
        <v>13.5787315822746</v>
      </c>
      <c r="O1722">
        <v>13.629631199568101</v>
      </c>
      <c r="P1722">
        <v>-0.21055703034253201</v>
      </c>
      <c r="Q1722">
        <v>-0.64576028841929201</v>
      </c>
      <c r="R1722">
        <v>0.22464622773422799</v>
      </c>
      <c r="S1722">
        <v>13.2245887881991</v>
      </c>
      <c r="T1722">
        <v>-1.02123954146077</v>
      </c>
      <c r="U1722">
        <v>-6.5201885702285303</v>
      </c>
      <c r="V1722">
        <v>0.32154255863255399</v>
      </c>
      <c r="W1722">
        <v>0.60028656671849101</v>
      </c>
      <c r="X1722">
        <v>0</v>
      </c>
      <c r="Y1722">
        <v>0</v>
      </c>
    </row>
    <row r="1723" spans="1:25" x14ac:dyDescent="0.2">
      <c r="A1723" t="s">
        <v>6448</v>
      </c>
      <c r="B1723" t="s">
        <v>6449</v>
      </c>
      <c r="C1723" t="s">
        <v>14424</v>
      </c>
      <c r="D1723" t="s">
        <v>107</v>
      </c>
      <c r="E1723" t="s">
        <v>6449</v>
      </c>
      <c r="F1723" t="s">
        <v>28</v>
      </c>
      <c r="G1723" t="s">
        <v>6449</v>
      </c>
      <c r="H1723" t="str">
        <f>"F32H5.4"</f>
        <v>F32H5.4</v>
      </c>
      <c r="I1723" t="s">
        <v>107</v>
      </c>
      <c r="J1723" t="s">
        <v>29</v>
      </c>
      <c r="K1723">
        <v>10.588340036639901</v>
      </c>
      <c r="L1723" t="s">
        <v>29</v>
      </c>
      <c r="M1723" t="s">
        <v>29</v>
      </c>
      <c r="N1723" t="s">
        <v>29</v>
      </c>
      <c r="O1723">
        <v>11.765545749486</v>
      </c>
      <c r="P1723">
        <v>1.1772057128461</v>
      </c>
      <c r="Q1723">
        <v>-0.108789703786252</v>
      </c>
      <c r="R1723">
        <v>2.4632011294784499</v>
      </c>
      <c r="S1723">
        <v>11.039527291019599</v>
      </c>
      <c r="T1723">
        <v>2.2496140913215501</v>
      </c>
      <c r="U1723">
        <v>-4.4371083386855696</v>
      </c>
      <c r="V1723">
        <v>6.6258496754679402E-2</v>
      </c>
      <c r="W1723">
        <v>0.261656733543358</v>
      </c>
      <c r="X1723">
        <v>0</v>
      </c>
      <c r="Y1723">
        <v>0</v>
      </c>
    </row>
    <row r="1724" spans="1:25" x14ac:dyDescent="0.2">
      <c r="A1724" t="s">
        <v>6450</v>
      </c>
      <c r="B1724" t="s">
        <v>6451</v>
      </c>
      <c r="C1724" t="s">
        <v>14425</v>
      </c>
      <c r="D1724" t="s">
        <v>6170</v>
      </c>
      <c r="E1724" t="s">
        <v>6451</v>
      </c>
      <c r="F1724" t="s">
        <v>28</v>
      </c>
      <c r="G1724" t="s">
        <v>6451</v>
      </c>
      <c r="H1724" t="str">
        <f>"F53F1.2"</f>
        <v>F53F1.2</v>
      </c>
      <c r="I1724" t="s">
        <v>6170</v>
      </c>
      <c r="J1724" t="s">
        <v>29</v>
      </c>
      <c r="K1724" t="s">
        <v>29</v>
      </c>
      <c r="L1724" t="s">
        <v>29</v>
      </c>
      <c r="M1724" t="s">
        <v>29</v>
      </c>
      <c r="N1724">
        <v>15.4232074406239</v>
      </c>
      <c r="O1724" t="s">
        <v>29</v>
      </c>
      <c r="P1724" t="s">
        <v>29</v>
      </c>
      <c r="Q1724" t="s">
        <v>29</v>
      </c>
      <c r="R1724" t="s">
        <v>29</v>
      </c>
      <c r="S1724">
        <v>13.506186460093099</v>
      </c>
      <c r="T1724" t="s">
        <v>29</v>
      </c>
      <c r="U1724" t="s">
        <v>29</v>
      </c>
      <c r="V1724" t="s">
        <v>29</v>
      </c>
      <c r="W1724" t="s">
        <v>29</v>
      </c>
      <c r="X1724" t="s">
        <v>29</v>
      </c>
      <c r="Y1724" t="s">
        <v>29</v>
      </c>
    </row>
    <row r="1725" spans="1:25" x14ac:dyDescent="0.2">
      <c r="A1725" t="s">
        <v>6452</v>
      </c>
      <c r="B1725" t="s">
        <v>6453</v>
      </c>
      <c r="C1725" t="s">
        <v>6454</v>
      </c>
      <c r="D1725" t="s">
        <v>6455</v>
      </c>
      <c r="E1725" t="s">
        <v>6453</v>
      </c>
      <c r="F1725" t="s">
        <v>28</v>
      </c>
      <c r="G1725" t="s">
        <v>6453</v>
      </c>
      <c r="H1725" t="str">
        <f>"cpz-2"</f>
        <v>cpz-2</v>
      </c>
      <c r="I1725" t="s">
        <v>6455</v>
      </c>
      <c r="J1725">
        <v>14.325666591068</v>
      </c>
      <c r="K1725">
        <v>13.8591989453036</v>
      </c>
      <c r="L1725">
        <v>13.017863127219201</v>
      </c>
      <c r="M1725" t="s">
        <v>29</v>
      </c>
      <c r="N1725">
        <v>13.024559394501701</v>
      </c>
      <c r="O1725">
        <v>13.8621370660666</v>
      </c>
      <c r="P1725">
        <v>-0.29089465757944299</v>
      </c>
      <c r="Q1725">
        <v>-1.3921664528664499</v>
      </c>
      <c r="R1725">
        <v>0.81037713770756103</v>
      </c>
      <c r="S1725">
        <v>13.565403341135999</v>
      </c>
      <c r="T1725">
        <v>-0.56026147263583403</v>
      </c>
      <c r="U1725">
        <v>-6.7777655716094403</v>
      </c>
      <c r="V1725">
        <v>0.58311209439272005</v>
      </c>
      <c r="W1725">
        <v>0.80164995321914501</v>
      </c>
      <c r="X1725">
        <v>0</v>
      </c>
      <c r="Y1725">
        <v>0</v>
      </c>
    </row>
    <row r="1726" spans="1:25" x14ac:dyDescent="0.2">
      <c r="A1726" t="s">
        <v>6456</v>
      </c>
      <c r="B1726" t="s">
        <v>6457</v>
      </c>
      <c r="C1726" t="s">
        <v>14426</v>
      </c>
      <c r="D1726" t="s">
        <v>6458</v>
      </c>
      <c r="E1726" t="s">
        <v>6457</v>
      </c>
      <c r="F1726" t="s">
        <v>28</v>
      </c>
      <c r="G1726" t="s">
        <v>6457</v>
      </c>
      <c r="H1726" t="str">
        <f>"T10G3.3"</f>
        <v>T10G3.3</v>
      </c>
      <c r="I1726" t="s">
        <v>6458</v>
      </c>
      <c r="J1726" t="s">
        <v>29</v>
      </c>
      <c r="K1726" t="s">
        <v>29</v>
      </c>
      <c r="L1726" t="s">
        <v>29</v>
      </c>
      <c r="M1726">
        <v>13.519836767643</v>
      </c>
      <c r="N1726">
        <v>13.0422908583047</v>
      </c>
      <c r="O1726">
        <v>12.7870155375305</v>
      </c>
      <c r="P1726" t="s">
        <v>29</v>
      </c>
      <c r="Q1726" t="s">
        <v>29</v>
      </c>
      <c r="R1726" t="s">
        <v>29</v>
      </c>
      <c r="S1726">
        <v>12.616666857075</v>
      </c>
      <c r="T1726" t="s">
        <v>29</v>
      </c>
      <c r="U1726" t="s">
        <v>29</v>
      </c>
      <c r="V1726" t="s">
        <v>29</v>
      </c>
      <c r="W1726" t="s">
        <v>29</v>
      </c>
      <c r="X1726" t="s">
        <v>29</v>
      </c>
      <c r="Y1726" t="s">
        <v>29</v>
      </c>
    </row>
    <row r="1727" spans="1:25" x14ac:dyDescent="0.2">
      <c r="A1727" t="s">
        <v>6459</v>
      </c>
      <c r="B1727" t="s">
        <v>6460</v>
      </c>
      <c r="C1727" t="s">
        <v>6461</v>
      </c>
      <c r="D1727" t="s">
        <v>6462</v>
      </c>
      <c r="E1727" t="s">
        <v>6460</v>
      </c>
      <c r="F1727" t="s">
        <v>28</v>
      </c>
      <c r="G1727" t="s">
        <v>6460</v>
      </c>
      <c r="H1727" t="str">
        <f>"let-502"</f>
        <v>let-502</v>
      </c>
      <c r="I1727" t="s">
        <v>6462</v>
      </c>
      <c r="J1727">
        <v>13.8453881650633</v>
      </c>
      <c r="K1727">
        <v>13.635649773754899</v>
      </c>
      <c r="L1727">
        <v>13.686741582922499</v>
      </c>
      <c r="M1727">
        <v>13.4897945376699</v>
      </c>
      <c r="N1727">
        <v>13.528434237721299</v>
      </c>
      <c r="O1727">
        <v>13.447701208617399</v>
      </c>
      <c r="P1727">
        <v>-0.23394984591071699</v>
      </c>
      <c r="Q1727">
        <v>-0.52661200943105801</v>
      </c>
      <c r="R1727">
        <v>5.8712317609624802E-2</v>
      </c>
      <c r="S1727">
        <v>13.605267638429901</v>
      </c>
      <c r="T1727">
        <v>-1.6873539706826901</v>
      </c>
      <c r="U1727">
        <v>-5.6696785670507497</v>
      </c>
      <c r="V1727">
        <v>0.109908707316968</v>
      </c>
      <c r="W1727">
        <v>0.34241702703680399</v>
      </c>
      <c r="X1727">
        <v>0</v>
      </c>
      <c r="Y1727">
        <v>0</v>
      </c>
    </row>
    <row r="1728" spans="1:25" x14ac:dyDescent="0.2">
      <c r="A1728" t="s">
        <v>6463</v>
      </c>
      <c r="B1728" t="s">
        <v>6464</v>
      </c>
      <c r="C1728" t="s">
        <v>6465</v>
      </c>
      <c r="D1728" t="s">
        <v>6466</v>
      </c>
      <c r="E1728" t="s">
        <v>6464</v>
      </c>
      <c r="F1728" t="s">
        <v>28</v>
      </c>
      <c r="G1728" t="s">
        <v>6464</v>
      </c>
      <c r="H1728" t="str">
        <f>"ucr-1"</f>
        <v>ucr-1</v>
      </c>
      <c r="I1728" t="s">
        <v>6466</v>
      </c>
      <c r="J1728">
        <v>18.016131714232301</v>
      </c>
      <c r="K1728">
        <v>18.248762778690701</v>
      </c>
      <c r="L1728">
        <v>18.1931663425379</v>
      </c>
      <c r="M1728">
        <v>17.7431294730644</v>
      </c>
      <c r="N1728">
        <v>18.083581175897599</v>
      </c>
      <c r="O1728">
        <v>18.0348714511038</v>
      </c>
      <c r="P1728">
        <v>-0.19882624513168101</v>
      </c>
      <c r="Q1728">
        <v>-0.65037901101337603</v>
      </c>
      <c r="R1728">
        <v>0.25272652075001401</v>
      </c>
      <c r="S1728">
        <v>18.1914326072128</v>
      </c>
      <c r="T1728">
        <v>-0.92546013786203596</v>
      </c>
      <c r="U1728">
        <v>-6.6137249407851</v>
      </c>
      <c r="V1728">
        <v>0.367039594825397</v>
      </c>
      <c r="W1728">
        <v>0.64280888178124895</v>
      </c>
      <c r="X1728">
        <v>0</v>
      </c>
      <c r="Y1728">
        <v>0</v>
      </c>
    </row>
    <row r="1729" spans="1:25" x14ac:dyDescent="0.2">
      <c r="A1729" t="s">
        <v>6467</v>
      </c>
      <c r="B1729" t="s">
        <v>6468</v>
      </c>
      <c r="C1729" t="s">
        <v>6469</v>
      </c>
      <c r="D1729" t="s">
        <v>6470</v>
      </c>
      <c r="E1729" t="s">
        <v>6468</v>
      </c>
      <c r="F1729" t="s">
        <v>28</v>
      </c>
      <c r="G1729" t="s">
        <v>6468</v>
      </c>
      <c r="H1729" t="str">
        <f>"hipr-1"</f>
        <v>hipr-1</v>
      </c>
      <c r="I1729" t="s">
        <v>6470</v>
      </c>
      <c r="J1729">
        <v>12.863884885052499</v>
      </c>
      <c r="K1729">
        <v>12.5042647240567</v>
      </c>
      <c r="L1729">
        <v>12.537959764995</v>
      </c>
      <c r="M1729">
        <v>12.518015451482899</v>
      </c>
      <c r="N1729">
        <v>12.459774044728899</v>
      </c>
      <c r="O1729">
        <v>13.0984888132714</v>
      </c>
      <c r="P1729">
        <v>5.6722978459689002E-2</v>
      </c>
      <c r="Q1729">
        <v>-0.45390556173330399</v>
      </c>
      <c r="R1729">
        <v>0.56735151865268196</v>
      </c>
      <c r="S1729">
        <v>12.6356528025534</v>
      </c>
      <c r="T1729">
        <v>0.23561529105459</v>
      </c>
      <c r="U1729">
        <v>-7.0228509367027803</v>
      </c>
      <c r="V1729">
        <v>0.81674008614013704</v>
      </c>
      <c r="W1729">
        <v>0.92152296820388502</v>
      </c>
      <c r="X1729">
        <v>0</v>
      </c>
      <c r="Y1729">
        <v>0</v>
      </c>
    </row>
    <row r="1730" spans="1:25" x14ac:dyDescent="0.2">
      <c r="A1730" t="s">
        <v>6471</v>
      </c>
      <c r="B1730" t="s">
        <v>6472</v>
      </c>
      <c r="C1730" t="s">
        <v>6473</v>
      </c>
      <c r="D1730" t="s">
        <v>6474</v>
      </c>
      <c r="E1730" t="s">
        <v>6472</v>
      </c>
      <c r="F1730" t="s">
        <v>28</v>
      </c>
      <c r="G1730" t="s">
        <v>6472</v>
      </c>
      <c r="H1730" t="str">
        <f>"sma-2"</f>
        <v>sma-2</v>
      </c>
      <c r="I1730" t="s">
        <v>6474</v>
      </c>
      <c r="J1730" t="s">
        <v>29</v>
      </c>
      <c r="K1730">
        <v>11.408325630613399</v>
      </c>
      <c r="L1730" t="s">
        <v>29</v>
      </c>
      <c r="M1730">
        <v>12.1939081879268</v>
      </c>
      <c r="N1730">
        <v>12.2287329035476</v>
      </c>
      <c r="O1730">
        <v>11.4681977072491</v>
      </c>
      <c r="P1730">
        <v>0.55528730229448398</v>
      </c>
      <c r="Q1730">
        <v>-0.74582068298970605</v>
      </c>
      <c r="R1730">
        <v>1.85639528757867</v>
      </c>
      <c r="S1730">
        <v>11.333676258879899</v>
      </c>
      <c r="T1730">
        <v>0.98643872216085704</v>
      </c>
      <c r="U1730">
        <v>-6.2002387631321998</v>
      </c>
      <c r="V1730">
        <v>0.35317977954649299</v>
      </c>
      <c r="W1730">
        <v>0.63354300035517597</v>
      </c>
      <c r="X1730">
        <v>0</v>
      </c>
      <c r="Y1730">
        <v>0</v>
      </c>
    </row>
    <row r="1731" spans="1:25" x14ac:dyDescent="0.2">
      <c r="A1731" t="s">
        <v>6475</v>
      </c>
      <c r="B1731" t="s">
        <v>6476</v>
      </c>
      <c r="C1731" t="s">
        <v>6477</v>
      </c>
      <c r="D1731" t="s">
        <v>6478</v>
      </c>
      <c r="E1731" t="s">
        <v>6476</v>
      </c>
      <c r="F1731" t="s">
        <v>28</v>
      </c>
      <c r="G1731" t="s">
        <v>6476</v>
      </c>
      <c r="H1731" t="str">
        <f>"ZK370.4"</f>
        <v>ZK370.4</v>
      </c>
      <c r="I1731" t="s">
        <v>6478</v>
      </c>
      <c r="J1731">
        <v>12.6732702301339</v>
      </c>
      <c r="K1731">
        <v>12.980941578023399</v>
      </c>
      <c r="L1731">
        <v>12.6825459731312</v>
      </c>
      <c r="M1731">
        <v>12.7327021309135</v>
      </c>
      <c r="N1731">
        <v>13.133113326369401</v>
      </c>
      <c r="O1731">
        <v>12.656447194537099</v>
      </c>
      <c r="P1731">
        <v>6.1834956843823001E-2</v>
      </c>
      <c r="Q1731">
        <v>-0.34476692347807902</v>
      </c>
      <c r="R1731">
        <v>0.46843683716572498</v>
      </c>
      <c r="S1731">
        <v>12.8809495675004</v>
      </c>
      <c r="T1731">
        <v>0.32100714012711601</v>
      </c>
      <c r="U1731">
        <v>-6.9980805688781302</v>
      </c>
      <c r="V1731">
        <v>0.75214174912515996</v>
      </c>
      <c r="W1731">
        <v>0.89454285513642895</v>
      </c>
      <c r="X1731">
        <v>0</v>
      </c>
      <c r="Y1731">
        <v>0</v>
      </c>
    </row>
    <row r="1732" spans="1:25" x14ac:dyDescent="0.2">
      <c r="A1732" t="s">
        <v>6479</v>
      </c>
      <c r="B1732" t="s">
        <v>6480</v>
      </c>
      <c r="C1732" t="s">
        <v>6481</v>
      </c>
      <c r="D1732" t="s">
        <v>6482</v>
      </c>
      <c r="E1732" t="s">
        <v>6480</v>
      </c>
      <c r="F1732" t="s">
        <v>28</v>
      </c>
      <c r="G1732" t="s">
        <v>6480</v>
      </c>
      <c r="H1732" t="str">
        <f>"pdhk-2"</f>
        <v>pdhk-2</v>
      </c>
      <c r="I1732" t="s">
        <v>6482</v>
      </c>
      <c r="J1732">
        <v>14.6936131698402</v>
      </c>
      <c r="K1732">
        <v>14.5698999069898</v>
      </c>
      <c r="L1732">
        <v>14.5649523747648</v>
      </c>
      <c r="M1732">
        <v>14.4598196743801</v>
      </c>
      <c r="N1732">
        <v>15.0798764135467</v>
      </c>
      <c r="O1732">
        <v>14.6959127902006</v>
      </c>
      <c r="P1732">
        <v>0.135714475510891</v>
      </c>
      <c r="Q1732">
        <v>-0.78940150756272898</v>
      </c>
      <c r="R1732">
        <v>1.0608304585845101</v>
      </c>
      <c r="S1732">
        <v>14.3378949615457</v>
      </c>
      <c r="T1732">
        <v>0.30833476995743198</v>
      </c>
      <c r="U1732">
        <v>-7.0023963803135798</v>
      </c>
      <c r="V1732">
        <v>0.76138798400559304</v>
      </c>
      <c r="W1732">
        <v>0.89933527288875903</v>
      </c>
      <c r="X1732">
        <v>0</v>
      </c>
      <c r="Y1732">
        <v>0</v>
      </c>
    </row>
    <row r="1733" spans="1:25" x14ac:dyDescent="0.2">
      <c r="A1733" t="s">
        <v>6483</v>
      </c>
      <c r="B1733" t="s">
        <v>6484</v>
      </c>
      <c r="C1733" t="s">
        <v>6485</v>
      </c>
      <c r="D1733" t="s">
        <v>6486</v>
      </c>
      <c r="E1733" t="s">
        <v>6484</v>
      </c>
      <c r="F1733" t="s">
        <v>28</v>
      </c>
      <c r="G1733" t="s">
        <v>6484</v>
      </c>
      <c r="H1733" t="str">
        <f>"ugtp-1"</f>
        <v>ugtp-1</v>
      </c>
      <c r="I1733" t="s">
        <v>6486</v>
      </c>
      <c r="J1733">
        <v>10.146685084359399</v>
      </c>
      <c r="K1733">
        <v>10.7058294005561</v>
      </c>
      <c r="L1733">
        <v>9.7976755284417791</v>
      </c>
      <c r="M1733" t="s">
        <v>29</v>
      </c>
      <c r="N1733">
        <v>10.8817493461613</v>
      </c>
      <c r="O1733">
        <v>10.789745265978601</v>
      </c>
      <c r="P1733">
        <v>0.61901730161749702</v>
      </c>
      <c r="Q1733">
        <v>-0.190129694529278</v>
      </c>
      <c r="R1733">
        <v>1.4281642977642699</v>
      </c>
      <c r="S1733">
        <v>11.1423901751687</v>
      </c>
      <c r="T1733">
        <v>1.6541032159253699</v>
      </c>
      <c r="U1733">
        <v>-5.6180862581600701</v>
      </c>
      <c r="V1733">
        <v>0.12222933987773101</v>
      </c>
      <c r="W1733">
        <v>0.36190561598010701</v>
      </c>
      <c r="X1733">
        <v>0</v>
      </c>
      <c r="Y1733">
        <v>0</v>
      </c>
    </row>
    <row r="1734" spans="1:25" x14ac:dyDescent="0.2">
      <c r="A1734" t="s">
        <v>6487</v>
      </c>
      <c r="B1734" t="s">
        <v>6488</v>
      </c>
      <c r="C1734" t="s">
        <v>6489</v>
      </c>
      <c r="D1734" t="s">
        <v>6490</v>
      </c>
      <c r="E1734" t="s">
        <v>6488</v>
      </c>
      <c r="F1734" t="s">
        <v>28</v>
      </c>
      <c r="G1734" t="s">
        <v>6488</v>
      </c>
      <c r="H1734" t="str">
        <f>"tomm-70"</f>
        <v>tomm-70</v>
      </c>
      <c r="I1734" t="s">
        <v>6490</v>
      </c>
      <c r="J1734">
        <v>14.6715276446172</v>
      </c>
      <c r="K1734">
        <v>14.274778386949301</v>
      </c>
      <c r="L1734">
        <v>14.6217054482506</v>
      </c>
      <c r="M1734">
        <v>14.180801394318699</v>
      </c>
      <c r="N1734">
        <v>14.9250198959235</v>
      </c>
      <c r="O1734">
        <v>14.695649549295201</v>
      </c>
      <c r="P1734">
        <v>7.7819786573453301E-2</v>
      </c>
      <c r="Q1734">
        <v>-0.66024524874786406</v>
      </c>
      <c r="R1734">
        <v>0.81588482189477096</v>
      </c>
      <c r="S1734">
        <v>15.452358207055999</v>
      </c>
      <c r="T1734">
        <v>0.22160926673620299</v>
      </c>
      <c r="U1734">
        <v>-7.0263848346640003</v>
      </c>
      <c r="V1734">
        <v>0.82712726478119103</v>
      </c>
      <c r="W1734">
        <v>0.930661175517979</v>
      </c>
      <c r="X1734">
        <v>0</v>
      </c>
      <c r="Y1734">
        <v>0</v>
      </c>
    </row>
    <row r="1735" spans="1:25" x14ac:dyDescent="0.2">
      <c r="A1735" t="s">
        <v>6491</v>
      </c>
      <c r="B1735" t="s">
        <v>6492</v>
      </c>
      <c r="C1735" t="s">
        <v>6493</v>
      </c>
      <c r="D1735" t="s">
        <v>6494</v>
      </c>
      <c r="E1735" t="s">
        <v>6492</v>
      </c>
      <c r="F1735" t="s">
        <v>28</v>
      </c>
      <c r="G1735" t="s">
        <v>6492</v>
      </c>
      <c r="H1735" t="str">
        <f>"ced-10"</f>
        <v>ced-10</v>
      </c>
      <c r="I1735" t="s">
        <v>6494</v>
      </c>
      <c r="J1735">
        <v>15.376938842799101</v>
      </c>
      <c r="K1735">
        <v>15.603424766032401</v>
      </c>
      <c r="L1735">
        <v>15.464432163647301</v>
      </c>
      <c r="M1735">
        <v>15.2755028098432</v>
      </c>
      <c r="N1735">
        <v>15.1800463654967</v>
      </c>
      <c r="O1735">
        <v>14.9286771395874</v>
      </c>
      <c r="P1735">
        <v>-0.35352315251715899</v>
      </c>
      <c r="Q1735">
        <v>-0.73548742121862798</v>
      </c>
      <c r="R1735">
        <v>2.8441116184310299E-2</v>
      </c>
      <c r="S1735">
        <v>15.211161939673101</v>
      </c>
      <c r="T1735">
        <v>-1.94530470093834</v>
      </c>
      <c r="U1735">
        <v>-5.25440934456722</v>
      </c>
      <c r="V1735">
        <v>6.7621519498414703E-2</v>
      </c>
      <c r="W1735">
        <v>0.263521466404601</v>
      </c>
      <c r="X1735">
        <v>0</v>
      </c>
      <c r="Y1735">
        <v>0</v>
      </c>
    </row>
    <row r="1736" spans="1:25" x14ac:dyDescent="0.2">
      <c r="A1736" t="s">
        <v>6495</v>
      </c>
      <c r="B1736" t="s">
        <v>6496</v>
      </c>
      <c r="C1736" t="s">
        <v>6497</v>
      </c>
      <c r="D1736" t="s">
        <v>6498</v>
      </c>
      <c r="E1736" t="s">
        <v>6496</v>
      </c>
      <c r="F1736" t="s">
        <v>28</v>
      </c>
      <c r="G1736" t="s">
        <v>6496</v>
      </c>
      <c r="H1736" t="str">
        <f>"ctr-9"</f>
        <v>ctr-9</v>
      </c>
      <c r="I1736" t="s">
        <v>6498</v>
      </c>
      <c r="J1736">
        <v>13.364216196947099</v>
      </c>
      <c r="K1736">
        <v>13.5098330752583</v>
      </c>
      <c r="L1736">
        <v>12.8323646824592</v>
      </c>
      <c r="M1736">
        <v>13.029820777394001</v>
      </c>
      <c r="N1736">
        <v>13.2746376251869</v>
      </c>
      <c r="O1736">
        <v>13.4349380362766</v>
      </c>
      <c r="P1736">
        <v>1.0994161397656301E-2</v>
      </c>
      <c r="Q1736">
        <v>-0.57999368684894603</v>
      </c>
      <c r="R1736">
        <v>0.60198200964425896</v>
      </c>
      <c r="S1736">
        <v>13.364225782442</v>
      </c>
      <c r="T1736">
        <v>3.9099938139270797E-2</v>
      </c>
      <c r="U1736">
        <v>-7.05128528555844</v>
      </c>
      <c r="V1736">
        <v>0.96924362035203704</v>
      </c>
      <c r="W1736">
        <v>0.98314175206531396</v>
      </c>
      <c r="X1736">
        <v>0</v>
      </c>
      <c r="Y1736">
        <v>0</v>
      </c>
    </row>
    <row r="1737" spans="1:25" x14ac:dyDescent="0.2">
      <c r="A1737" t="s">
        <v>6499</v>
      </c>
      <c r="B1737" t="s">
        <v>6500</v>
      </c>
      <c r="C1737" t="s">
        <v>6501</v>
      </c>
      <c r="D1737" t="s">
        <v>6502</v>
      </c>
      <c r="E1737" t="s">
        <v>6500</v>
      </c>
      <c r="F1737" t="s">
        <v>28</v>
      </c>
      <c r="G1737" t="s">
        <v>6500</v>
      </c>
      <c r="H1737" t="str">
        <f>"bre-3"</f>
        <v>bre-3</v>
      </c>
      <c r="I1737" t="s">
        <v>6502</v>
      </c>
      <c r="J1737" t="s">
        <v>29</v>
      </c>
      <c r="K1737" t="s">
        <v>29</v>
      </c>
      <c r="L1737">
        <v>11.659893475585401</v>
      </c>
      <c r="M1737" t="s">
        <v>29</v>
      </c>
      <c r="N1737">
        <v>10.1486627022206</v>
      </c>
      <c r="O1737">
        <v>10.8939448003085</v>
      </c>
      <c r="P1737">
        <v>-1.13858972432084</v>
      </c>
      <c r="Q1737">
        <v>-2.0270881984843498</v>
      </c>
      <c r="R1737">
        <v>-0.25009125015732497</v>
      </c>
      <c r="S1737">
        <v>11.773036963516599</v>
      </c>
      <c r="T1737">
        <v>-2.8238281743054001</v>
      </c>
      <c r="U1737">
        <v>-3.4555668177608498</v>
      </c>
      <c r="V1737">
        <v>1.6695178341493502E-2</v>
      </c>
      <c r="W1737">
        <v>0.12126363911433</v>
      </c>
      <c r="X1737">
        <v>-1</v>
      </c>
      <c r="Y1737">
        <v>0</v>
      </c>
    </row>
    <row r="1738" spans="1:25" x14ac:dyDescent="0.2">
      <c r="A1738" t="s">
        <v>6503</v>
      </c>
      <c r="B1738" t="s">
        <v>6504</v>
      </c>
      <c r="C1738" t="s">
        <v>6505</v>
      </c>
      <c r="D1738" t="s">
        <v>6506</v>
      </c>
      <c r="E1738" t="s">
        <v>6504</v>
      </c>
      <c r="F1738" t="s">
        <v>28</v>
      </c>
      <c r="G1738" t="s">
        <v>6504</v>
      </c>
      <c r="H1738" t="str">
        <f>"spk-1"</f>
        <v>spk-1</v>
      </c>
      <c r="I1738" t="s">
        <v>6506</v>
      </c>
      <c r="J1738">
        <v>11.2608229600214</v>
      </c>
      <c r="K1738" t="s">
        <v>29</v>
      </c>
      <c r="L1738">
        <v>11.387234452959699</v>
      </c>
      <c r="M1738">
        <v>11.640124372321401</v>
      </c>
      <c r="N1738">
        <v>12.1605073597344</v>
      </c>
      <c r="O1738">
        <v>11.3339569258619</v>
      </c>
      <c r="P1738">
        <v>0.38750084614865798</v>
      </c>
      <c r="Q1738">
        <v>-0.28670841638349998</v>
      </c>
      <c r="R1738">
        <v>1.0617101086808201</v>
      </c>
      <c r="S1738">
        <v>11.888923276181799</v>
      </c>
      <c r="T1738">
        <v>1.2335871399612199</v>
      </c>
      <c r="U1738">
        <v>-6.1749222330525999</v>
      </c>
      <c r="V1738">
        <v>0.23781706498632599</v>
      </c>
      <c r="W1738">
        <v>0.51113390321367702</v>
      </c>
      <c r="X1738">
        <v>0</v>
      </c>
      <c r="Y1738">
        <v>0</v>
      </c>
    </row>
    <row r="1739" spans="1:25" x14ac:dyDescent="0.2">
      <c r="A1739" t="s">
        <v>6507</v>
      </c>
      <c r="B1739" t="s">
        <v>6508</v>
      </c>
      <c r="C1739" t="s">
        <v>6509</v>
      </c>
      <c r="D1739" t="s">
        <v>6510</v>
      </c>
      <c r="E1739" t="s">
        <v>6508</v>
      </c>
      <c r="F1739" t="s">
        <v>28</v>
      </c>
      <c r="G1739" t="s">
        <v>6508</v>
      </c>
      <c r="H1739" t="str">
        <f>"B0464.6"</f>
        <v>B0464.6</v>
      </c>
      <c r="I1739" t="s">
        <v>6510</v>
      </c>
      <c r="J1739">
        <v>14.5438073000528</v>
      </c>
      <c r="K1739">
        <v>13.9727792171291</v>
      </c>
      <c r="L1739">
        <v>14.502187251893799</v>
      </c>
      <c r="M1739">
        <v>14.0598332442912</v>
      </c>
      <c r="N1739">
        <v>14.181474433872401</v>
      </c>
      <c r="O1739">
        <v>14.3296890466783</v>
      </c>
      <c r="P1739">
        <v>-0.14925901474456199</v>
      </c>
      <c r="Q1739">
        <v>-0.54119305602269896</v>
      </c>
      <c r="R1739">
        <v>0.24267502653357501</v>
      </c>
      <c r="S1739">
        <v>14.544931647526999</v>
      </c>
      <c r="T1739">
        <v>-0.80385477909164804</v>
      </c>
      <c r="U1739">
        <v>-6.7187665867834898</v>
      </c>
      <c r="V1739">
        <v>0.43264633145106601</v>
      </c>
      <c r="W1739">
        <v>0.70181015081842901</v>
      </c>
      <c r="X1739">
        <v>0</v>
      </c>
      <c r="Y1739">
        <v>0</v>
      </c>
    </row>
    <row r="1740" spans="1:25" x14ac:dyDescent="0.2">
      <c r="A1740" t="s">
        <v>6511</v>
      </c>
      <c r="B1740" t="s">
        <v>6512</v>
      </c>
      <c r="C1740" t="s">
        <v>6513</v>
      </c>
      <c r="D1740" t="s">
        <v>6514</v>
      </c>
      <c r="E1740" t="s">
        <v>6512</v>
      </c>
      <c r="F1740" t="s">
        <v>28</v>
      </c>
      <c r="G1740" t="s">
        <v>6512</v>
      </c>
      <c r="H1740" t="str">
        <f>"C38C10.2"</f>
        <v>C38C10.2</v>
      </c>
      <c r="I1740" t="s">
        <v>6514</v>
      </c>
      <c r="J1740">
        <v>13.155119878993901</v>
      </c>
      <c r="K1740">
        <v>12.5213295406994</v>
      </c>
      <c r="L1740">
        <v>12.8149500019897</v>
      </c>
      <c r="M1740">
        <v>12.2742610564139</v>
      </c>
      <c r="N1740" t="s">
        <v>29</v>
      </c>
      <c r="O1740" t="s">
        <v>29</v>
      </c>
      <c r="P1740">
        <v>-0.55620541748039898</v>
      </c>
      <c r="Q1740">
        <v>-1.4031561582655001</v>
      </c>
      <c r="R1740">
        <v>0.29074532330469799</v>
      </c>
      <c r="S1740">
        <v>12.714518709214801</v>
      </c>
      <c r="T1740">
        <v>-1.4006146616573401</v>
      </c>
      <c r="U1740">
        <v>-5.7411220736174604</v>
      </c>
      <c r="V1740">
        <v>0.18181645562922799</v>
      </c>
      <c r="W1740">
        <v>0.44516986201467801</v>
      </c>
      <c r="X1740">
        <v>0</v>
      </c>
      <c r="Y1740">
        <v>0</v>
      </c>
    </row>
    <row r="1741" spans="1:25" x14ac:dyDescent="0.2">
      <c r="A1741" t="s">
        <v>6515</v>
      </c>
      <c r="B1741" t="s">
        <v>6516</v>
      </c>
      <c r="C1741" t="s">
        <v>6517</v>
      </c>
      <c r="D1741" t="s">
        <v>6518</v>
      </c>
      <c r="E1741" t="s">
        <v>6516</v>
      </c>
      <c r="F1741" t="s">
        <v>28</v>
      </c>
      <c r="G1741" t="s">
        <v>6516</v>
      </c>
      <c r="H1741" t="str">
        <f>"C38C10.3"</f>
        <v>C38C10.3</v>
      </c>
      <c r="I1741" t="s">
        <v>6518</v>
      </c>
      <c r="J1741">
        <v>11.4558623909269</v>
      </c>
      <c r="K1741" t="s">
        <v>29</v>
      </c>
      <c r="L1741">
        <v>12.384277111809499</v>
      </c>
      <c r="M1741" t="s">
        <v>29</v>
      </c>
      <c r="N1741">
        <v>12.154630089521</v>
      </c>
      <c r="O1741" t="s">
        <v>29</v>
      </c>
      <c r="P1741">
        <v>0.23456033815274999</v>
      </c>
      <c r="Q1741">
        <v>-0.97389425843555499</v>
      </c>
      <c r="R1741">
        <v>1.4430149347410599</v>
      </c>
      <c r="S1741">
        <v>12.033919077976099</v>
      </c>
      <c r="T1741">
        <v>0.41967344074365398</v>
      </c>
      <c r="U1741">
        <v>-6.5584936829970903</v>
      </c>
      <c r="V1741">
        <v>0.68163171820206303</v>
      </c>
      <c r="W1741">
        <v>0.85722167970248597</v>
      </c>
      <c r="X1741">
        <v>0</v>
      </c>
      <c r="Y1741">
        <v>0</v>
      </c>
    </row>
    <row r="1742" spans="1:25" x14ac:dyDescent="0.2">
      <c r="A1742" t="s">
        <v>6519</v>
      </c>
      <c r="B1742" t="s">
        <v>6520</v>
      </c>
      <c r="C1742" t="s">
        <v>6521</v>
      </c>
      <c r="D1742" t="s">
        <v>6522</v>
      </c>
      <c r="E1742" t="s">
        <v>6520</v>
      </c>
      <c r="F1742" t="s">
        <v>28</v>
      </c>
      <c r="G1742" t="s">
        <v>6520</v>
      </c>
      <c r="H1742" t="str">
        <f>"rgr-1"</f>
        <v>rgr-1</v>
      </c>
      <c r="I1742" t="s">
        <v>6522</v>
      </c>
      <c r="J1742">
        <v>13.2594126491075</v>
      </c>
      <c r="K1742">
        <v>13.071836736626601</v>
      </c>
      <c r="L1742">
        <v>12.8120415819906</v>
      </c>
      <c r="M1742">
        <v>13.5809462799852</v>
      </c>
      <c r="N1742">
        <v>13.360212758871601</v>
      </c>
      <c r="O1742">
        <v>13.3260956233048</v>
      </c>
      <c r="P1742">
        <v>0.37465456481225001</v>
      </c>
      <c r="Q1742">
        <v>1.07159513600563E-2</v>
      </c>
      <c r="R1742">
        <v>0.73859317826444304</v>
      </c>
      <c r="S1742">
        <v>13.1085786620991</v>
      </c>
      <c r="T1742">
        <v>2.1636918311147699</v>
      </c>
      <c r="U1742">
        <v>-4.87470521921143</v>
      </c>
      <c r="V1742">
        <v>4.4266857822449601E-2</v>
      </c>
      <c r="W1742">
        <v>0.20858981988523501</v>
      </c>
      <c r="X1742">
        <v>0</v>
      </c>
      <c r="Y1742">
        <v>0</v>
      </c>
    </row>
    <row r="1743" spans="1:25" x14ac:dyDescent="0.2">
      <c r="A1743" t="s">
        <v>6523</v>
      </c>
      <c r="B1743" t="s">
        <v>6524</v>
      </c>
      <c r="C1743" t="s">
        <v>6525</v>
      </c>
      <c r="D1743" t="s">
        <v>6526</v>
      </c>
      <c r="E1743" t="s">
        <v>6524</v>
      </c>
      <c r="F1743" t="s">
        <v>28</v>
      </c>
      <c r="G1743" t="s">
        <v>6524</v>
      </c>
      <c r="H1743" t="str">
        <f>"elo-4"</f>
        <v>elo-4</v>
      </c>
      <c r="I1743" t="s">
        <v>6526</v>
      </c>
      <c r="J1743">
        <v>13.8916771556366</v>
      </c>
      <c r="K1743">
        <v>13.7371518774886</v>
      </c>
      <c r="L1743">
        <v>13.8602467982167</v>
      </c>
      <c r="M1743">
        <v>13.7645537035791</v>
      </c>
      <c r="N1743">
        <v>13.1105748881207</v>
      </c>
      <c r="O1743">
        <v>13.486211549575399</v>
      </c>
      <c r="P1743">
        <v>-0.375911896688917</v>
      </c>
      <c r="Q1743">
        <v>-0.84183603540373697</v>
      </c>
      <c r="R1743">
        <v>9.0012242025902897E-2</v>
      </c>
      <c r="S1743">
        <v>13.9844443965815</v>
      </c>
      <c r="T1743">
        <v>-1.7112772981646101</v>
      </c>
      <c r="U1743">
        <v>-5.63503634337716</v>
      </c>
      <c r="V1743">
        <v>0.106469912341628</v>
      </c>
      <c r="W1743">
        <v>0.33734478554981101</v>
      </c>
      <c r="X1743">
        <v>0</v>
      </c>
      <c r="Y1743">
        <v>0</v>
      </c>
    </row>
    <row r="1744" spans="1:25" x14ac:dyDescent="0.2">
      <c r="A1744" t="s">
        <v>6527</v>
      </c>
      <c r="B1744" t="s">
        <v>6528</v>
      </c>
      <c r="C1744" t="s">
        <v>6529</v>
      </c>
      <c r="D1744" t="s">
        <v>6530</v>
      </c>
      <c r="E1744" t="s">
        <v>6528</v>
      </c>
      <c r="F1744" t="s">
        <v>28</v>
      </c>
      <c r="G1744" t="s">
        <v>6528</v>
      </c>
      <c r="H1744" t="str">
        <f>"dars-1"</f>
        <v>dars-1</v>
      </c>
      <c r="I1744" t="s">
        <v>6530</v>
      </c>
      <c r="J1744">
        <v>18.3065928110389</v>
      </c>
      <c r="K1744">
        <v>18.1960325170547</v>
      </c>
      <c r="L1744">
        <v>18.222764150212502</v>
      </c>
      <c r="M1744">
        <v>18.0663505604577</v>
      </c>
      <c r="N1744">
        <v>18.2509733955341</v>
      </c>
      <c r="O1744">
        <v>17.864920296481301</v>
      </c>
      <c r="P1744">
        <v>-0.181048408610998</v>
      </c>
      <c r="Q1744">
        <v>-0.51550226133499799</v>
      </c>
      <c r="R1744">
        <v>0.153405444113002</v>
      </c>
      <c r="S1744">
        <v>17.8931511931827</v>
      </c>
      <c r="T1744">
        <v>-1.1377609444049399</v>
      </c>
      <c r="U1744">
        <v>-6.3972724463429902</v>
      </c>
      <c r="V1744">
        <v>0.270225072161838</v>
      </c>
      <c r="W1744">
        <v>0.54615676075442299</v>
      </c>
      <c r="X1744">
        <v>0</v>
      </c>
      <c r="Y1744">
        <v>0</v>
      </c>
    </row>
    <row r="1745" spans="1:25" x14ac:dyDescent="0.2">
      <c r="A1745" t="s">
        <v>6531</v>
      </c>
      <c r="B1745" t="s">
        <v>6532</v>
      </c>
      <c r="C1745" t="s">
        <v>6533</v>
      </c>
      <c r="D1745" t="s">
        <v>6534</v>
      </c>
      <c r="E1745" t="s">
        <v>6532</v>
      </c>
      <c r="F1745" t="s">
        <v>28</v>
      </c>
      <c r="G1745" t="s">
        <v>6532</v>
      </c>
      <c r="H1745" t="str">
        <f>"ufc-1"</f>
        <v>ufc-1</v>
      </c>
      <c r="I1745" t="s">
        <v>6534</v>
      </c>
      <c r="J1745">
        <v>14.270243412223801</v>
      </c>
      <c r="K1745">
        <v>14.331609024610801</v>
      </c>
      <c r="L1745">
        <v>14.056510442616201</v>
      </c>
      <c r="M1745">
        <v>13.989894720912901</v>
      </c>
      <c r="N1745">
        <v>13.753824464222401</v>
      </c>
      <c r="O1745">
        <v>13.956331388293901</v>
      </c>
      <c r="P1745">
        <v>-0.319437435340507</v>
      </c>
      <c r="Q1745">
        <v>-0.66803853286416204</v>
      </c>
      <c r="R1745">
        <v>2.91636621831468E-2</v>
      </c>
      <c r="S1745">
        <v>13.778769613484201</v>
      </c>
      <c r="T1745">
        <v>-1.9259702457858501</v>
      </c>
      <c r="U1745">
        <v>-5.2867942115471704</v>
      </c>
      <c r="V1745">
        <v>7.0146408072770103E-2</v>
      </c>
      <c r="W1745">
        <v>0.26980663341465</v>
      </c>
      <c r="X1745">
        <v>0</v>
      </c>
      <c r="Y1745">
        <v>0</v>
      </c>
    </row>
    <row r="1746" spans="1:25" x14ac:dyDescent="0.2">
      <c r="A1746" t="s">
        <v>6535</v>
      </c>
      <c r="B1746" t="s">
        <v>6536</v>
      </c>
      <c r="C1746" t="s">
        <v>6537</v>
      </c>
      <c r="D1746" t="s">
        <v>6538</v>
      </c>
      <c r="E1746" t="s">
        <v>6536</v>
      </c>
      <c r="F1746" t="s">
        <v>28</v>
      </c>
      <c r="G1746" t="s">
        <v>6536</v>
      </c>
      <c r="H1746" t="str">
        <f>"nhl-1"</f>
        <v>nhl-1</v>
      </c>
      <c r="I1746" t="s">
        <v>6538</v>
      </c>
      <c r="J1746">
        <v>12.4434429258337</v>
      </c>
      <c r="K1746">
        <v>12.7471781549984</v>
      </c>
      <c r="L1746">
        <v>12.9256649692301</v>
      </c>
      <c r="M1746">
        <v>11.9469239843471</v>
      </c>
      <c r="N1746" t="s">
        <v>29</v>
      </c>
      <c r="O1746" t="s">
        <v>29</v>
      </c>
      <c r="P1746">
        <v>-0.75850469900690998</v>
      </c>
      <c r="Q1746">
        <v>-1.5501781883810499</v>
      </c>
      <c r="R1746">
        <v>3.3168790367227002E-2</v>
      </c>
      <c r="S1746">
        <v>13.511027272439501</v>
      </c>
      <c r="T1746">
        <v>-2.0563832910093001</v>
      </c>
      <c r="U1746">
        <v>-4.7634017406057199</v>
      </c>
      <c r="V1746">
        <v>5.9032881901256697E-2</v>
      </c>
      <c r="W1746">
        <v>0.24532949898683201</v>
      </c>
      <c r="X1746">
        <v>0</v>
      </c>
      <c r="Y1746">
        <v>0</v>
      </c>
    </row>
    <row r="1747" spans="1:25" x14ac:dyDescent="0.2">
      <c r="A1747" t="s">
        <v>6539</v>
      </c>
      <c r="B1747" t="s">
        <v>6540</v>
      </c>
      <c r="C1747" t="s">
        <v>6541</v>
      </c>
      <c r="D1747" t="s">
        <v>6542</v>
      </c>
      <c r="E1747" t="s">
        <v>6540</v>
      </c>
      <c r="F1747" t="s">
        <v>28</v>
      </c>
      <c r="G1747" t="s">
        <v>6540</v>
      </c>
      <c r="H1747" t="str">
        <f>"rnr-1"</f>
        <v>rnr-1</v>
      </c>
      <c r="I1747" t="s">
        <v>6542</v>
      </c>
      <c r="J1747">
        <v>15.868031247820101</v>
      </c>
      <c r="K1747">
        <v>15.567291538662801</v>
      </c>
      <c r="L1747">
        <v>15.709242267891</v>
      </c>
      <c r="M1747">
        <v>14.978337110273801</v>
      </c>
      <c r="N1747">
        <v>15.9149853174266</v>
      </c>
      <c r="O1747">
        <v>15.3659972909175</v>
      </c>
      <c r="P1747">
        <v>-0.29508177858532197</v>
      </c>
      <c r="Q1747">
        <v>-0.74783411820591195</v>
      </c>
      <c r="R1747">
        <v>0.157670561035268</v>
      </c>
      <c r="S1747">
        <v>15.513764341246</v>
      </c>
      <c r="T1747">
        <v>-1.3698537482380699</v>
      </c>
      <c r="U1747">
        <v>-6.1172528691555197</v>
      </c>
      <c r="V1747">
        <v>0.18767684349178701</v>
      </c>
      <c r="W1747">
        <v>0.45039110104366298</v>
      </c>
      <c r="X1747">
        <v>0</v>
      </c>
      <c r="Y1747">
        <v>0</v>
      </c>
    </row>
    <row r="1748" spans="1:25" x14ac:dyDescent="0.2">
      <c r="A1748" t="s">
        <v>6543</v>
      </c>
      <c r="B1748" t="s">
        <v>6544</v>
      </c>
      <c r="C1748" t="s">
        <v>6545</v>
      </c>
      <c r="D1748" t="s">
        <v>6546</v>
      </c>
      <c r="E1748" t="s">
        <v>6544</v>
      </c>
      <c r="F1748" t="s">
        <v>28</v>
      </c>
      <c r="G1748" t="s">
        <v>6544</v>
      </c>
      <c r="H1748" t="str">
        <f>"T23G5.2"</f>
        <v>T23G5.2</v>
      </c>
      <c r="I1748" t="s">
        <v>6546</v>
      </c>
      <c r="J1748" t="s">
        <v>29</v>
      </c>
      <c r="K1748">
        <v>13.484194759884801</v>
      </c>
      <c r="L1748" t="s">
        <v>29</v>
      </c>
      <c r="M1748">
        <v>12.848231137955599</v>
      </c>
      <c r="N1748" t="s">
        <v>29</v>
      </c>
      <c r="O1748">
        <v>13.351670953711499</v>
      </c>
      <c r="P1748">
        <v>-0.38424371405117902</v>
      </c>
      <c r="Q1748">
        <v>-1.5569087319942101</v>
      </c>
      <c r="R1748">
        <v>0.78842130389185505</v>
      </c>
      <c r="S1748">
        <v>12.882046798012601</v>
      </c>
      <c r="T1748">
        <v>-0.71462435656571399</v>
      </c>
      <c r="U1748">
        <v>-6.38468762483045</v>
      </c>
      <c r="V1748">
        <v>0.48862915135367901</v>
      </c>
      <c r="W1748">
        <v>0.74195019062289802</v>
      </c>
      <c r="X1748">
        <v>0</v>
      </c>
      <c r="Y1748">
        <v>0</v>
      </c>
    </row>
    <row r="1749" spans="1:25" x14ac:dyDescent="0.2">
      <c r="A1749" t="s">
        <v>6547</v>
      </c>
      <c r="B1749" t="s">
        <v>6548</v>
      </c>
      <c r="C1749" t="s">
        <v>6549</v>
      </c>
      <c r="D1749" t="s">
        <v>6550</v>
      </c>
      <c r="E1749" t="s">
        <v>6548</v>
      </c>
      <c r="F1749" t="s">
        <v>28</v>
      </c>
      <c r="G1749" t="s">
        <v>6548</v>
      </c>
      <c r="H1749" t="str">
        <f>"saeg-2"</f>
        <v>saeg-2</v>
      </c>
      <c r="I1749" t="s">
        <v>6550</v>
      </c>
      <c r="J1749" t="s">
        <v>29</v>
      </c>
      <c r="K1749" t="s">
        <v>29</v>
      </c>
      <c r="L1749" t="s">
        <v>29</v>
      </c>
      <c r="M1749" t="s">
        <v>29</v>
      </c>
      <c r="N1749" t="s">
        <v>29</v>
      </c>
      <c r="O1749" t="s">
        <v>29</v>
      </c>
      <c r="P1749" t="s">
        <v>29</v>
      </c>
      <c r="Q1749" t="s">
        <v>29</v>
      </c>
      <c r="R1749" t="s">
        <v>29</v>
      </c>
      <c r="S1749">
        <v>11.9454178421032</v>
      </c>
      <c r="T1749" t="s">
        <v>29</v>
      </c>
      <c r="U1749" t="s">
        <v>29</v>
      </c>
      <c r="V1749" t="s">
        <v>29</v>
      </c>
      <c r="W1749" t="s">
        <v>29</v>
      </c>
      <c r="X1749" t="s">
        <v>29</v>
      </c>
      <c r="Y1749" t="s">
        <v>29</v>
      </c>
    </row>
    <row r="1750" spans="1:25" x14ac:dyDescent="0.2">
      <c r="A1750" t="s">
        <v>6551</v>
      </c>
      <c r="B1750" t="s">
        <v>6552</v>
      </c>
      <c r="C1750" t="s">
        <v>6553</v>
      </c>
      <c r="D1750" t="s">
        <v>6554</v>
      </c>
      <c r="E1750" t="s">
        <v>6552</v>
      </c>
      <c r="F1750" t="s">
        <v>28</v>
      </c>
      <c r="G1750" t="s">
        <v>6552</v>
      </c>
      <c r="H1750" t="str">
        <f>"rpn-3"</f>
        <v>rpn-3</v>
      </c>
      <c r="I1750" t="s">
        <v>6554</v>
      </c>
      <c r="J1750">
        <v>15.391884235158299</v>
      </c>
      <c r="K1750">
        <v>15.073095567518401</v>
      </c>
      <c r="L1750">
        <v>15.231534937234301</v>
      </c>
      <c r="M1750">
        <v>14.490761216805801</v>
      </c>
      <c r="N1750">
        <v>14.9523800006331</v>
      </c>
      <c r="O1750">
        <v>14.8242353161701</v>
      </c>
      <c r="P1750">
        <v>-0.476379402100649</v>
      </c>
      <c r="Q1750">
        <v>-0.87672205967763694</v>
      </c>
      <c r="R1750">
        <v>-7.6036744523661395E-2</v>
      </c>
      <c r="S1750">
        <v>15.0179446034098</v>
      </c>
      <c r="T1750">
        <v>-2.5009995889301901</v>
      </c>
      <c r="U1750">
        <v>-4.2442940069008497</v>
      </c>
      <c r="V1750">
        <v>2.2325178533737298E-2</v>
      </c>
      <c r="W1750">
        <v>0.145292261897563</v>
      </c>
      <c r="X1750">
        <v>0</v>
      </c>
      <c r="Y1750">
        <v>0</v>
      </c>
    </row>
    <row r="1751" spans="1:25" x14ac:dyDescent="0.2">
      <c r="A1751" t="s">
        <v>6555</v>
      </c>
      <c r="B1751" t="s">
        <v>6556</v>
      </c>
      <c r="C1751" t="s">
        <v>6557</v>
      </c>
      <c r="D1751" t="s">
        <v>6558</v>
      </c>
      <c r="E1751" t="s">
        <v>6556</v>
      </c>
      <c r="F1751" t="s">
        <v>28</v>
      </c>
      <c r="G1751" t="s">
        <v>6556</v>
      </c>
      <c r="H1751" t="str">
        <f>"hsp-110"</f>
        <v>hsp-110</v>
      </c>
      <c r="I1751" t="s">
        <v>6558</v>
      </c>
      <c r="J1751">
        <v>12.5433118159154</v>
      </c>
      <c r="K1751">
        <v>12.4495156606667</v>
      </c>
      <c r="L1751">
        <v>12.6924178846989</v>
      </c>
      <c r="M1751">
        <v>12.352771995287201</v>
      </c>
      <c r="N1751">
        <v>12.166791300130701</v>
      </c>
      <c r="O1751">
        <v>13.383915737694601</v>
      </c>
      <c r="P1751">
        <v>7.2744557277150804E-2</v>
      </c>
      <c r="Q1751">
        <v>-0.47984312216001201</v>
      </c>
      <c r="R1751">
        <v>0.62533223671431404</v>
      </c>
      <c r="S1751">
        <v>12.375754261158599</v>
      </c>
      <c r="T1751">
        <v>0.27668895343213701</v>
      </c>
      <c r="U1751">
        <v>-7.0120520185196504</v>
      </c>
      <c r="V1751">
        <v>0.78518945522428796</v>
      </c>
      <c r="W1751">
        <v>0.91120060174744399</v>
      </c>
      <c r="X1751">
        <v>0</v>
      </c>
      <c r="Y1751">
        <v>0</v>
      </c>
    </row>
    <row r="1752" spans="1:25" x14ac:dyDescent="0.2">
      <c r="A1752" t="s">
        <v>6559</v>
      </c>
      <c r="B1752" t="s">
        <v>6560</v>
      </c>
      <c r="C1752" t="s">
        <v>6561</v>
      </c>
      <c r="D1752" t="s">
        <v>6562</v>
      </c>
      <c r="E1752" t="s">
        <v>6560</v>
      </c>
      <c r="F1752" t="s">
        <v>28</v>
      </c>
      <c r="G1752" t="s">
        <v>6560</v>
      </c>
      <c r="H1752" t="str">
        <f>"cdc-42"</f>
        <v>cdc-42</v>
      </c>
      <c r="I1752" t="s">
        <v>6562</v>
      </c>
      <c r="J1752">
        <v>15.234354438813201</v>
      </c>
      <c r="K1752">
        <v>15.5733390174733</v>
      </c>
      <c r="L1752">
        <v>15.254126306970001</v>
      </c>
      <c r="M1752">
        <v>15.7780824289857</v>
      </c>
      <c r="N1752">
        <v>15.6768598390578</v>
      </c>
      <c r="O1752">
        <v>15.3903890215134</v>
      </c>
      <c r="P1752">
        <v>0.261170508766771</v>
      </c>
      <c r="Q1752">
        <v>-0.45046486222459597</v>
      </c>
      <c r="R1752">
        <v>0.97280587975813704</v>
      </c>
      <c r="S1752">
        <v>15.0769095469925</v>
      </c>
      <c r="T1752">
        <v>0.77136356653962102</v>
      </c>
      <c r="U1752">
        <v>-6.74537664949779</v>
      </c>
      <c r="V1752">
        <v>0.45055761118413301</v>
      </c>
      <c r="W1752">
        <v>0.71804460921119695</v>
      </c>
      <c r="X1752">
        <v>0</v>
      </c>
      <c r="Y1752">
        <v>0</v>
      </c>
    </row>
    <row r="1753" spans="1:25" x14ac:dyDescent="0.2">
      <c r="A1753" t="s">
        <v>6563</v>
      </c>
      <c r="B1753" t="s">
        <v>6564</v>
      </c>
      <c r="C1753" t="s">
        <v>6565</v>
      </c>
      <c r="D1753" t="s">
        <v>6566</v>
      </c>
      <c r="E1753" t="s">
        <v>6564</v>
      </c>
      <c r="F1753" t="s">
        <v>28</v>
      </c>
      <c r="G1753" t="s">
        <v>6564</v>
      </c>
      <c r="H1753" t="str">
        <f>"unc-52"</f>
        <v>unc-52</v>
      </c>
      <c r="I1753" t="s">
        <v>6566</v>
      </c>
      <c r="J1753">
        <v>17.292001208186001</v>
      </c>
      <c r="K1753">
        <v>17.150912322377099</v>
      </c>
      <c r="L1753">
        <v>17.997807327331401</v>
      </c>
      <c r="M1753">
        <v>18.4597158450363</v>
      </c>
      <c r="N1753">
        <v>18.092088787114601</v>
      </c>
      <c r="O1753">
        <v>18.435773705917502</v>
      </c>
      <c r="P1753">
        <v>0.84895249339131995</v>
      </c>
      <c r="Q1753">
        <v>-3.3411185227041201E-2</v>
      </c>
      <c r="R1753">
        <v>1.7313161720096799</v>
      </c>
      <c r="S1753">
        <v>17.2639735405068</v>
      </c>
      <c r="T1753">
        <v>2.0222194292881301</v>
      </c>
      <c r="U1753">
        <v>-5.1235327811113196</v>
      </c>
      <c r="V1753">
        <v>5.8362700717343299E-2</v>
      </c>
      <c r="W1753">
        <v>0.244651095913205</v>
      </c>
      <c r="X1753">
        <v>0</v>
      </c>
      <c r="Y1753">
        <v>0</v>
      </c>
    </row>
    <row r="1754" spans="1:25" x14ac:dyDescent="0.2">
      <c r="A1754" t="s">
        <v>6567</v>
      </c>
      <c r="B1754" t="s">
        <v>6568</v>
      </c>
      <c r="C1754" t="s">
        <v>6569</v>
      </c>
      <c r="D1754" t="s">
        <v>6570</v>
      </c>
      <c r="E1754" t="s">
        <v>6568</v>
      </c>
      <c r="F1754" t="s">
        <v>28</v>
      </c>
      <c r="G1754" t="s">
        <v>6568</v>
      </c>
      <c r="H1754" t="str">
        <f>"lin-45"</f>
        <v>lin-45</v>
      </c>
      <c r="I1754" t="s">
        <v>6570</v>
      </c>
      <c r="J1754">
        <v>13.5156611855344</v>
      </c>
      <c r="K1754">
        <v>14.1322663281651</v>
      </c>
      <c r="L1754">
        <v>13.3295226091772</v>
      </c>
      <c r="M1754">
        <v>14.203911073466299</v>
      </c>
      <c r="N1754">
        <v>14.015947960410299</v>
      </c>
      <c r="O1754">
        <v>14.2010806932654</v>
      </c>
      <c r="P1754">
        <v>0.48116320142178498</v>
      </c>
      <c r="Q1754">
        <v>2.7948408211398998E-3</v>
      </c>
      <c r="R1754">
        <v>0.95953156202242895</v>
      </c>
      <c r="S1754">
        <v>13.6122788393387</v>
      </c>
      <c r="T1754">
        <v>2.1231465452450502</v>
      </c>
      <c r="U1754">
        <v>-4.9535004860357699</v>
      </c>
      <c r="V1754">
        <v>4.8818840125127903E-2</v>
      </c>
      <c r="W1754">
        <v>0.22014808273857001</v>
      </c>
      <c r="X1754">
        <v>0</v>
      </c>
      <c r="Y1754">
        <v>0</v>
      </c>
    </row>
    <row r="1755" spans="1:25" x14ac:dyDescent="0.2">
      <c r="A1755" t="s">
        <v>6571</v>
      </c>
      <c r="B1755" t="s">
        <v>6572</v>
      </c>
      <c r="C1755" t="s">
        <v>6573</v>
      </c>
      <c r="D1755" t="s">
        <v>6574</v>
      </c>
      <c r="E1755" t="s">
        <v>6572</v>
      </c>
      <c r="F1755" t="s">
        <v>28</v>
      </c>
      <c r="G1755" t="s">
        <v>6572</v>
      </c>
      <c r="H1755" t="str">
        <f>"unc-60"</f>
        <v>unc-60</v>
      </c>
      <c r="I1755" t="s">
        <v>6574</v>
      </c>
      <c r="J1755">
        <v>17.217743818774601</v>
      </c>
      <c r="K1755">
        <v>17.052069667373399</v>
      </c>
      <c r="L1755">
        <v>17.0438268231885</v>
      </c>
      <c r="M1755">
        <v>17.1921418580344</v>
      </c>
      <c r="N1755">
        <v>17.438313803035498</v>
      </c>
      <c r="O1755">
        <v>17.1389723684815</v>
      </c>
      <c r="P1755">
        <v>0.15192924007164199</v>
      </c>
      <c r="Q1755">
        <v>-0.29394198302300001</v>
      </c>
      <c r="R1755">
        <v>0.59780046316628399</v>
      </c>
      <c r="S1755">
        <v>16.7082925136848</v>
      </c>
      <c r="T1755">
        <v>0.71618370452206903</v>
      </c>
      <c r="U1755">
        <v>-6.7870921373094601</v>
      </c>
      <c r="V1755">
        <v>0.48312013498322998</v>
      </c>
      <c r="W1755">
        <v>0.74014732544040995</v>
      </c>
      <c r="X1755">
        <v>0</v>
      </c>
      <c r="Y1755">
        <v>0</v>
      </c>
    </row>
    <row r="1756" spans="1:25" x14ac:dyDescent="0.2">
      <c r="A1756" t="s">
        <v>6575</v>
      </c>
      <c r="B1756" t="s">
        <v>6576</v>
      </c>
      <c r="C1756" t="s">
        <v>6577</v>
      </c>
      <c r="D1756" t="s">
        <v>6578</v>
      </c>
      <c r="E1756" t="s">
        <v>6576</v>
      </c>
      <c r="F1756" t="s">
        <v>28</v>
      </c>
      <c r="G1756" t="s">
        <v>6576</v>
      </c>
      <c r="H1756" t="str">
        <f>"dig-1"</f>
        <v>dig-1</v>
      </c>
      <c r="I1756" t="s">
        <v>6578</v>
      </c>
      <c r="J1756">
        <v>12.160714641754099</v>
      </c>
      <c r="K1756">
        <v>12.7534524333575</v>
      </c>
      <c r="L1756">
        <v>12.542511959235901</v>
      </c>
      <c r="M1756">
        <v>12.909909535636899</v>
      </c>
      <c r="N1756">
        <v>12.5235547089164</v>
      </c>
      <c r="O1756">
        <v>12.970079775862899</v>
      </c>
      <c r="P1756">
        <v>0.315621662022885</v>
      </c>
      <c r="Q1756">
        <v>-0.18853074076454701</v>
      </c>
      <c r="R1756">
        <v>0.81977406481031601</v>
      </c>
      <c r="S1756">
        <v>12.252279312048699</v>
      </c>
      <c r="T1756">
        <v>1.3214628980865799</v>
      </c>
      <c r="U1756">
        <v>-6.1788000157673899</v>
      </c>
      <c r="V1756">
        <v>0.203963809866059</v>
      </c>
      <c r="W1756">
        <v>0.46739312486208101</v>
      </c>
      <c r="X1756">
        <v>0</v>
      </c>
      <c r="Y1756">
        <v>0</v>
      </c>
    </row>
    <row r="1757" spans="1:25" x14ac:dyDescent="0.2">
      <c r="A1757" t="s">
        <v>6579</v>
      </c>
      <c r="B1757" t="s">
        <v>6580</v>
      </c>
      <c r="C1757" t="s">
        <v>6581</v>
      </c>
      <c r="D1757" t="s">
        <v>6582</v>
      </c>
      <c r="E1757" t="s">
        <v>6580</v>
      </c>
      <c r="F1757" t="s">
        <v>28</v>
      </c>
      <c r="G1757" t="s">
        <v>6580</v>
      </c>
      <c r="H1757" t="str">
        <f>"B0495.5"</f>
        <v>B0495.5</v>
      </c>
      <c r="I1757" t="s">
        <v>6582</v>
      </c>
      <c r="J1757">
        <v>13.2266500423789</v>
      </c>
      <c r="K1757">
        <v>13.515651209129601</v>
      </c>
      <c r="L1757">
        <v>13.356110290746701</v>
      </c>
      <c r="M1757">
        <v>13.296801856567599</v>
      </c>
      <c r="N1757">
        <v>12.9996839251944</v>
      </c>
      <c r="O1757">
        <v>12.9546824305318</v>
      </c>
      <c r="P1757">
        <v>-0.28241444332045901</v>
      </c>
      <c r="Q1757">
        <v>-0.65868001254018105</v>
      </c>
      <c r="R1757">
        <v>9.3851125899263102E-2</v>
      </c>
      <c r="S1757">
        <v>13.0188198376622</v>
      </c>
      <c r="T1757">
        <v>-1.59199593414757</v>
      </c>
      <c r="U1757">
        <v>-5.8122032953910301</v>
      </c>
      <c r="V1757">
        <v>0.131074831616039</v>
      </c>
      <c r="W1757">
        <v>0.37508091002549998</v>
      </c>
      <c r="X1757">
        <v>0</v>
      </c>
      <c r="Y1757">
        <v>0</v>
      </c>
    </row>
    <row r="1758" spans="1:25" x14ac:dyDescent="0.2">
      <c r="A1758" t="s">
        <v>6583</v>
      </c>
      <c r="B1758" t="s">
        <v>6584</v>
      </c>
      <c r="C1758" t="s">
        <v>6585</v>
      </c>
      <c r="D1758" t="s">
        <v>6586</v>
      </c>
      <c r="E1758" t="s">
        <v>6584</v>
      </c>
      <c r="F1758" t="s">
        <v>28</v>
      </c>
      <c r="G1758" t="s">
        <v>6584</v>
      </c>
      <c r="H1758" t="str">
        <f>"B0495.7"</f>
        <v>B0495.7</v>
      </c>
      <c r="I1758" t="s">
        <v>6586</v>
      </c>
      <c r="J1758">
        <v>13.745385219685501</v>
      </c>
      <c r="K1758">
        <v>13.787592433341899</v>
      </c>
      <c r="L1758">
        <v>13.739403086185201</v>
      </c>
      <c r="M1758">
        <v>13.1147259767425</v>
      </c>
      <c r="N1758">
        <v>12.901800014075</v>
      </c>
      <c r="O1758">
        <v>13.723337982811501</v>
      </c>
      <c r="P1758">
        <v>-0.51083892186122304</v>
      </c>
      <c r="Q1758">
        <v>-1.1300898644230799</v>
      </c>
      <c r="R1758">
        <v>0.108412020700629</v>
      </c>
      <c r="S1758">
        <v>14.0100020057524</v>
      </c>
      <c r="T1758">
        <v>-1.7338431878890499</v>
      </c>
      <c r="U1758">
        <v>-5.59667138510014</v>
      </c>
      <c r="V1758">
        <v>0.10013989075938801</v>
      </c>
      <c r="W1758">
        <v>0.32672482939733299</v>
      </c>
      <c r="X1758">
        <v>0</v>
      </c>
      <c r="Y1758">
        <v>0</v>
      </c>
    </row>
    <row r="1759" spans="1:25" x14ac:dyDescent="0.2">
      <c r="A1759" t="s">
        <v>6587</v>
      </c>
      <c r="B1759" t="s">
        <v>6588</v>
      </c>
      <c r="C1759" t="s">
        <v>6589</v>
      </c>
      <c r="D1759" t="s">
        <v>6590</v>
      </c>
      <c r="E1759" t="s">
        <v>6588</v>
      </c>
      <c r="F1759" t="s">
        <v>28</v>
      </c>
      <c r="G1759" t="s">
        <v>6588</v>
      </c>
      <c r="H1759" t="str">
        <f>"B0495.8"</f>
        <v>B0495.8</v>
      </c>
      <c r="I1759" t="s">
        <v>6590</v>
      </c>
      <c r="J1759">
        <v>10.3969736333996</v>
      </c>
      <c r="K1759">
        <v>10.801047175078001</v>
      </c>
      <c r="L1759">
        <v>10.9357183806669</v>
      </c>
      <c r="M1759">
        <v>10.238199191013599</v>
      </c>
      <c r="N1759">
        <v>10.3390329002758</v>
      </c>
      <c r="O1759">
        <v>11.139133510950799</v>
      </c>
      <c r="P1759">
        <v>-0.13912452896809799</v>
      </c>
      <c r="Q1759">
        <v>-0.67041349377941095</v>
      </c>
      <c r="R1759">
        <v>0.39216443584321398</v>
      </c>
      <c r="S1759">
        <v>11.9077380204821</v>
      </c>
      <c r="T1759">
        <v>-0.55274258423775602</v>
      </c>
      <c r="U1759">
        <v>-6.8929161756277697</v>
      </c>
      <c r="V1759">
        <v>0.587679105747829</v>
      </c>
      <c r="W1759">
        <v>0.80281604118532202</v>
      </c>
      <c r="X1759">
        <v>0</v>
      </c>
      <c r="Y1759">
        <v>0</v>
      </c>
    </row>
    <row r="1760" spans="1:25" x14ac:dyDescent="0.2">
      <c r="A1760" t="s">
        <v>6591</v>
      </c>
      <c r="B1760" t="s">
        <v>6592</v>
      </c>
      <c r="C1760" t="s">
        <v>6593</v>
      </c>
      <c r="D1760" t="s">
        <v>6594</v>
      </c>
      <c r="E1760" t="s">
        <v>6592</v>
      </c>
      <c r="F1760" t="s">
        <v>28</v>
      </c>
      <c r="G1760" t="s">
        <v>6592</v>
      </c>
      <c r="H1760" t="str">
        <f>"cpna-2"</f>
        <v>cpna-2</v>
      </c>
      <c r="I1760" t="s">
        <v>6594</v>
      </c>
      <c r="J1760">
        <v>11.790709234765499</v>
      </c>
      <c r="K1760">
        <v>12.7399557203192</v>
      </c>
      <c r="L1760">
        <v>12.877516824141599</v>
      </c>
      <c r="M1760">
        <v>12.5891652825766</v>
      </c>
      <c r="N1760">
        <v>10.9470688577674</v>
      </c>
      <c r="O1760">
        <v>12.503508721421399</v>
      </c>
      <c r="P1760">
        <v>-0.456146305820257</v>
      </c>
      <c r="Q1760">
        <v>-1.2226956609666899</v>
      </c>
      <c r="R1760">
        <v>0.31040304932617802</v>
      </c>
      <c r="S1760">
        <v>12.291988967889999</v>
      </c>
      <c r="T1760">
        <v>-1.2621575490647099</v>
      </c>
      <c r="U1760">
        <v>-6.2514577765001098</v>
      </c>
      <c r="V1760">
        <v>0.225097871587328</v>
      </c>
      <c r="W1760">
        <v>0.49357713891183702</v>
      </c>
      <c r="X1760">
        <v>0</v>
      </c>
      <c r="Y1760">
        <v>0</v>
      </c>
    </row>
    <row r="1761" spans="1:25" x14ac:dyDescent="0.2">
      <c r="A1761" t="s">
        <v>6595</v>
      </c>
      <c r="B1761" t="s">
        <v>6596</v>
      </c>
      <c r="C1761" t="s">
        <v>6597</v>
      </c>
      <c r="D1761" t="s">
        <v>6598</v>
      </c>
      <c r="E1761" t="s">
        <v>6596</v>
      </c>
      <c r="F1761" t="s">
        <v>28</v>
      </c>
      <c r="G1761" t="s">
        <v>6596</v>
      </c>
      <c r="H1761" t="str">
        <f>"nrf-6"</f>
        <v>nrf-6</v>
      </c>
      <c r="I1761" t="s">
        <v>6598</v>
      </c>
      <c r="J1761">
        <v>13.615334003097599</v>
      </c>
      <c r="K1761">
        <v>13.319645531172901</v>
      </c>
      <c r="L1761">
        <v>13.4628920556776</v>
      </c>
      <c r="M1761">
        <v>13.0951897247053</v>
      </c>
      <c r="N1761">
        <v>13.0765921637618</v>
      </c>
      <c r="O1761">
        <v>12.409404956961</v>
      </c>
      <c r="P1761">
        <v>-0.60556158150664896</v>
      </c>
      <c r="Q1761">
        <v>-1.15024277655428</v>
      </c>
      <c r="R1761">
        <v>-6.0880386459021801E-2</v>
      </c>
      <c r="S1761">
        <v>13.785635140082499</v>
      </c>
      <c r="T1761">
        <v>-2.34674524211123</v>
      </c>
      <c r="U1761">
        <v>-4.5490123573996204</v>
      </c>
      <c r="V1761">
        <v>3.1396069227132103E-2</v>
      </c>
      <c r="W1761">
        <v>0.17411873557863</v>
      </c>
      <c r="X1761">
        <v>0</v>
      </c>
      <c r="Y1761">
        <v>0</v>
      </c>
    </row>
    <row r="1762" spans="1:25" x14ac:dyDescent="0.2">
      <c r="A1762" t="s">
        <v>6599</v>
      </c>
      <c r="B1762" t="s">
        <v>6600</v>
      </c>
      <c r="C1762" t="s">
        <v>6601</v>
      </c>
      <c r="D1762" t="s">
        <v>6602</v>
      </c>
      <c r="E1762" t="s">
        <v>6600</v>
      </c>
      <c r="F1762" t="s">
        <v>28</v>
      </c>
      <c r="G1762" t="s">
        <v>6600</v>
      </c>
      <c r="H1762" t="str">
        <f>"egl-27"</f>
        <v>egl-27</v>
      </c>
      <c r="I1762" t="s">
        <v>6602</v>
      </c>
      <c r="J1762" t="s">
        <v>29</v>
      </c>
      <c r="K1762" t="s">
        <v>29</v>
      </c>
      <c r="L1762">
        <v>9.5310998758811802</v>
      </c>
      <c r="M1762" t="s">
        <v>29</v>
      </c>
      <c r="N1762" t="s">
        <v>29</v>
      </c>
      <c r="O1762" t="s">
        <v>29</v>
      </c>
      <c r="P1762" t="s">
        <v>29</v>
      </c>
      <c r="Q1762" t="s">
        <v>29</v>
      </c>
      <c r="R1762" t="s">
        <v>29</v>
      </c>
      <c r="S1762">
        <v>10.4816962588185</v>
      </c>
      <c r="T1762" t="s">
        <v>29</v>
      </c>
      <c r="U1762" t="s">
        <v>29</v>
      </c>
      <c r="V1762" t="s">
        <v>29</v>
      </c>
      <c r="W1762" t="s">
        <v>29</v>
      </c>
      <c r="X1762" t="s">
        <v>29</v>
      </c>
      <c r="Y1762" t="s">
        <v>29</v>
      </c>
    </row>
    <row r="1763" spans="1:25" x14ac:dyDescent="0.2">
      <c r="A1763" t="s">
        <v>6603</v>
      </c>
      <c r="B1763" t="s">
        <v>6604</v>
      </c>
      <c r="C1763" t="s">
        <v>6605</v>
      </c>
      <c r="D1763" t="s">
        <v>6606</v>
      </c>
      <c r="E1763" t="s">
        <v>6604</v>
      </c>
      <c r="F1763" t="s">
        <v>28</v>
      </c>
      <c r="G1763" t="s">
        <v>6604</v>
      </c>
      <c r="H1763" t="str">
        <f>"copd-1"</f>
        <v>copd-1</v>
      </c>
      <c r="I1763" t="s">
        <v>6606</v>
      </c>
      <c r="J1763">
        <v>16.4583466546379</v>
      </c>
      <c r="K1763">
        <v>16.458415230622101</v>
      </c>
      <c r="L1763">
        <v>16.4837135191691</v>
      </c>
      <c r="M1763">
        <v>16.499686280719001</v>
      </c>
      <c r="N1763">
        <v>16.583744162977201</v>
      </c>
      <c r="O1763">
        <v>16.378970511046401</v>
      </c>
      <c r="P1763">
        <v>2.0641850104521402E-2</v>
      </c>
      <c r="Q1763">
        <v>-0.34363513850966398</v>
      </c>
      <c r="R1763">
        <v>0.38491883871870702</v>
      </c>
      <c r="S1763">
        <v>16.197048750167799</v>
      </c>
      <c r="T1763">
        <v>0.119099351141329</v>
      </c>
      <c r="U1763">
        <v>-7.0446557455326397</v>
      </c>
      <c r="V1763">
        <v>0.90652346407009698</v>
      </c>
      <c r="W1763">
        <v>0.96798538961646996</v>
      </c>
      <c r="X1763">
        <v>0</v>
      </c>
      <c r="Y1763">
        <v>0</v>
      </c>
    </row>
    <row r="1764" spans="1:25" x14ac:dyDescent="0.2">
      <c r="A1764" t="s">
        <v>6607</v>
      </c>
      <c r="B1764" t="s">
        <v>6608</v>
      </c>
      <c r="C1764" t="s">
        <v>6609</v>
      </c>
      <c r="D1764" t="s">
        <v>6610</v>
      </c>
      <c r="E1764" t="s">
        <v>6608</v>
      </c>
      <c r="F1764" t="s">
        <v>28</v>
      </c>
      <c r="G1764" t="s">
        <v>6608</v>
      </c>
      <c r="H1764" t="str">
        <f>"gyf-1"</f>
        <v>gyf-1</v>
      </c>
      <c r="I1764" t="s">
        <v>6610</v>
      </c>
      <c r="J1764">
        <v>12.7378412868691</v>
      </c>
      <c r="K1764">
        <v>13.5451585930698</v>
      </c>
      <c r="L1764">
        <v>13.788551890981299</v>
      </c>
      <c r="M1764">
        <v>14.2373163028607</v>
      </c>
      <c r="N1764">
        <v>13.721193992873101</v>
      </c>
      <c r="O1764">
        <v>13.923898312274501</v>
      </c>
      <c r="P1764">
        <v>0.60361894569602403</v>
      </c>
      <c r="Q1764">
        <v>-2.65258989382871E-2</v>
      </c>
      <c r="R1764">
        <v>1.23376379033033</v>
      </c>
      <c r="S1764">
        <v>14.195897657819</v>
      </c>
      <c r="T1764">
        <v>2.0133301075120502</v>
      </c>
      <c r="U1764">
        <v>-5.1388226199157696</v>
      </c>
      <c r="V1764">
        <v>5.9371165794275399E-2</v>
      </c>
      <c r="W1764">
        <v>0.24548128779488201</v>
      </c>
      <c r="X1764">
        <v>0</v>
      </c>
      <c r="Y1764">
        <v>0</v>
      </c>
    </row>
    <row r="1765" spans="1:25" x14ac:dyDescent="0.2">
      <c r="A1765" t="s">
        <v>6611</v>
      </c>
      <c r="B1765" t="s">
        <v>6612</v>
      </c>
      <c r="C1765" t="s">
        <v>6613</v>
      </c>
      <c r="D1765" t="s">
        <v>6614</v>
      </c>
      <c r="E1765" t="s">
        <v>6612</v>
      </c>
      <c r="F1765" t="s">
        <v>28</v>
      </c>
      <c r="G1765" t="s">
        <v>6612</v>
      </c>
      <c r="H1765" t="str">
        <f>"C16C10.3"</f>
        <v>C16C10.3</v>
      </c>
      <c r="I1765" t="s">
        <v>6614</v>
      </c>
      <c r="J1765">
        <v>13.8745038356801</v>
      </c>
      <c r="K1765">
        <v>12.973264973396899</v>
      </c>
      <c r="L1765">
        <v>13.896829402739</v>
      </c>
      <c r="M1765">
        <v>12.9993175154474</v>
      </c>
      <c r="N1765">
        <v>13.5840806381864</v>
      </c>
      <c r="O1765">
        <v>14.1345123465236</v>
      </c>
      <c r="P1765">
        <v>-8.8959038862341799E-3</v>
      </c>
      <c r="Q1765">
        <v>-1.0091617141295</v>
      </c>
      <c r="R1765">
        <v>0.99136990635703204</v>
      </c>
      <c r="S1765">
        <v>14.4033830235572</v>
      </c>
      <c r="T1765">
        <v>-1.8772610553132799E-2</v>
      </c>
      <c r="U1765">
        <v>-7.0519011800356299</v>
      </c>
      <c r="V1765">
        <v>0.98524242155262898</v>
      </c>
      <c r="W1765">
        <v>0.99275219461897402</v>
      </c>
      <c r="X1765">
        <v>0</v>
      </c>
      <c r="Y1765">
        <v>0</v>
      </c>
    </row>
    <row r="1766" spans="1:25" x14ac:dyDescent="0.2">
      <c r="A1766" t="s">
        <v>6615</v>
      </c>
      <c r="B1766" t="s">
        <v>6616</v>
      </c>
      <c r="C1766" t="s">
        <v>6617</v>
      </c>
      <c r="D1766" t="s">
        <v>6618</v>
      </c>
      <c r="E1766" t="s">
        <v>6616</v>
      </c>
      <c r="F1766" t="s">
        <v>28</v>
      </c>
      <c r="G1766" t="s">
        <v>6616</v>
      </c>
      <c r="H1766" t="str">
        <f>"C16C10.4"</f>
        <v>C16C10.4</v>
      </c>
      <c r="I1766" t="s">
        <v>6618</v>
      </c>
      <c r="J1766">
        <v>11.696517872402501</v>
      </c>
      <c r="K1766">
        <v>11.770971238009199</v>
      </c>
      <c r="L1766">
        <v>12.287848544006801</v>
      </c>
      <c r="M1766" t="s">
        <v>29</v>
      </c>
      <c r="N1766" t="s">
        <v>29</v>
      </c>
      <c r="O1766">
        <v>11.8147662866782</v>
      </c>
      <c r="P1766">
        <v>-0.10367959812800499</v>
      </c>
      <c r="Q1766">
        <v>-1.28523620027664</v>
      </c>
      <c r="R1766">
        <v>1.07787700402063</v>
      </c>
      <c r="S1766">
        <v>12.568553673917</v>
      </c>
      <c r="T1766">
        <v>-0.18972563644736901</v>
      </c>
      <c r="U1766">
        <v>-6.6900873523320001</v>
      </c>
      <c r="V1766">
        <v>0.85247801584671401</v>
      </c>
      <c r="W1766">
        <v>0.94163856896361797</v>
      </c>
      <c r="X1766">
        <v>0</v>
      </c>
      <c r="Y1766">
        <v>0</v>
      </c>
    </row>
    <row r="1767" spans="1:25" x14ac:dyDescent="0.2">
      <c r="A1767" t="s">
        <v>6619</v>
      </c>
      <c r="B1767" t="s">
        <v>6620</v>
      </c>
      <c r="C1767" t="s">
        <v>6621</v>
      </c>
      <c r="D1767" t="s">
        <v>6622</v>
      </c>
      <c r="E1767" t="s">
        <v>6620</v>
      </c>
      <c r="F1767" t="s">
        <v>28</v>
      </c>
      <c r="G1767" t="s">
        <v>6620</v>
      </c>
      <c r="H1767" t="str">
        <f>"rnf-121"</f>
        <v>rnf-121</v>
      </c>
      <c r="I1767" t="s">
        <v>6622</v>
      </c>
      <c r="J1767" t="s">
        <v>29</v>
      </c>
      <c r="K1767" t="s">
        <v>29</v>
      </c>
      <c r="L1767" t="s">
        <v>29</v>
      </c>
      <c r="M1767" t="s">
        <v>29</v>
      </c>
      <c r="N1767" t="s">
        <v>29</v>
      </c>
      <c r="O1767" t="s">
        <v>29</v>
      </c>
      <c r="P1767" t="s">
        <v>29</v>
      </c>
      <c r="Q1767" t="s">
        <v>29</v>
      </c>
      <c r="R1767" t="s">
        <v>29</v>
      </c>
      <c r="S1767">
        <v>11.4514401523702</v>
      </c>
      <c r="T1767" t="s">
        <v>29</v>
      </c>
      <c r="U1767" t="s">
        <v>29</v>
      </c>
      <c r="V1767" t="s">
        <v>29</v>
      </c>
      <c r="W1767" t="s">
        <v>29</v>
      </c>
      <c r="X1767" t="s">
        <v>29</v>
      </c>
      <c r="Y1767" t="s">
        <v>29</v>
      </c>
    </row>
    <row r="1768" spans="1:25" x14ac:dyDescent="0.2">
      <c r="A1768" t="s">
        <v>6623</v>
      </c>
      <c r="B1768" t="s">
        <v>6624</v>
      </c>
      <c r="C1768" t="s">
        <v>6625</v>
      </c>
      <c r="D1768" t="s">
        <v>6626</v>
      </c>
      <c r="E1768" t="s">
        <v>6624</v>
      </c>
      <c r="F1768" t="s">
        <v>28</v>
      </c>
      <c r="G1768" t="s">
        <v>6624</v>
      </c>
      <c r="H1768" t="str">
        <f>"har-1"</f>
        <v>har-1</v>
      </c>
      <c r="I1768" t="s">
        <v>6626</v>
      </c>
      <c r="J1768">
        <v>12.906320235164801</v>
      </c>
      <c r="K1768" t="s">
        <v>29</v>
      </c>
      <c r="L1768">
        <v>12.576459639980699</v>
      </c>
      <c r="M1768">
        <v>11.9340477961135</v>
      </c>
      <c r="N1768">
        <v>12.3377606413388</v>
      </c>
      <c r="O1768">
        <v>12.9487157509909</v>
      </c>
      <c r="P1768">
        <v>-0.33454854142498802</v>
      </c>
      <c r="Q1768">
        <v>-1.1765081538626101</v>
      </c>
      <c r="R1768">
        <v>0.50741107101263105</v>
      </c>
      <c r="S1768">
        <v>12.477276210883</v>
      </c>
      <c r="T1768">
        <v>-0.85912256434085399</v>
      </c>
      <c r="U1768">
        <v>-6.5583739056771497</v>
      </c>
      <c r="V1768">
        <v>0.40596074789104603</v>
      </c>
      <c r="W1768">
        <v>0.677781566771403</v>
      </c>
      <c r="X1768">
        <v>0</v>
      </c>
      <c r="Y1768">
        <v>0</v>
      </c>
    </row>
    <row r="1769" spans="1:25" x14ac:dyDescent="0.2">
      <c r="A1769" t="s">
        <v>6627</v>
      </c>
      <c r="B1769" t="s">
        <v>6628</v>
      </c>
      <c r="C1769" t="s">
        <v>6629</v>
      </c>
      <c r="D1769" t="s">
        <v>6630</v>
      </c>
      <c r="E1769" t="s">
        <v>6628</v>
      </c>
      <c r="F1769" t="s">
        <v>28</v>
      </c>
      <c r="G1769" t="s">
        <v>6628</v>
      </c>
      <c r="H1769" t="str">
        <f>"C30G12.6"</f>
        <v>C30G12.6</v>
      </c>
      <c r="I1769" t="s">
        <v>6630</v>
      </c>
      <c r="J1769" t="s">
        <v>29</v>
      </c>
      <c r="K1769" t="s">
        <v>29</v>
      </c>
      <c r="L1769" t="s">
        <v>29</v>
      </c>
      <c r="M1769" t="s">
        <v>29</v>
      </c>
      <c r="N1769" t="s">
        <v>29</v>
      </c>
      <c r="O1769" t="s">
        <v>29</v>
      </c>
      <c r="P1769" t="s">
        <v>29</v>
      </c>
      <c r="Q1769" t="s">
        <v>29</v>
      </c>
      <c r="R1769" t="s">
        <v>29</v>
      </c>
      <c r="S1769">
        <v>11.2485984535156</v>
      </c>
      <c r="T1769" t="s">
        <v>29</v>
      </c>
      <c r="U1769" t="s">
        <v>29</v>
      </c>
      <c r="V1769" t="s">
        <v>29</v>
      </c>
      <c r="W1769" t="s">
        <v>29</v>
      </c>
      <c r="X1769" t="s">
        <v>29</v>
      </c>
      <c r="Y1769" t="s">
        <v>29</v>
      </c>
    </row>
    <row r="1770" spans="1:25" x14ac:dyDescent="0.2">
      <c r="A1770" t="s">
        <v>6631</v>
      </c>
      <c r="B1770" t="s">
        <v>6632</v>
      </c>
      <c r="C1770" t="s">
        <v>6633</v>
      </c>
      <c r="D1770" t="s">
        <v>6634</v>
      </c>
      <c r="E1770" t="s">
        <v>6632</v>
      </c>
      <c r="F1770" t="s">
        <v>28</v>
      </c>
      <c r="G1770" t="s">
        <v>6632</v>
      </c>
      <c r="H1770" t="str">
        <f>"sel-8"</f>
        <v>sel-8</v>
      </c>
      <c r="I1770" t="s">
        <v>6634</v>
      </c>
      <c r="J1770">
        <v>11.1475779039627</v>
      </c>
      <c r="K1770">
        <v>10.8822233185215</v>
      </c>
      <c r="L1770">
        <v>10.640036110457</v>
      </c>
      <c r="M1770">
        <v>10.5657699909058</v>
      </c>
      <c r="N1770">
        <v>10.284922977596899</v>
      </c>
      <c r="O1770">
        <v>10.269761265883</v>
      </c>
      <c r="P1770">
        <v>-0.51646103285184697</v>
      </c>
      <c r="Q1770">
        <v>-1.0569986102350899</v>
      </c>
      <c r="R1770">
        <v>2.40765445313974E-2</v>
      </c>
      <c r="S1770">
        <v>10.9617389881005</v>
      </c>
      <c r="T1770">
        <v>-2.0507067521464801</v>
      </c>
      <c r="U1770">
        <v>-5.0994648220539798</v>
      </c>
      <c r="V1770">
        <v>5.96508179695543E-2</v>
      </c>
      <c r="W1770">
        <v>0.24601237220903699</v>
      </c>
      <c r="X1770">
        <v>0</v>
      </c>
      <c r="Y1770">
        <v>0</v>
      </c>
    </row>
    <row r="1771" spans="1:25" x14ac:dyDescent="0.2">
      <c r="A1771" t="s">
        <v>6635</v>
      </c>
      <c r="B1771" t="s">
        <v>6636</v>
      </c>
      <c r="C1771" t="s">
        <v>6637</v>
      </c>
      <c r="D1771" t="s">
        <v>6638</v>
      </c>
      <c r="E1771" t="s">
        <v>6636</v>
      </c>
      <c r="F1771" t="s">
        <v>28</v>
      </c>
      <c r="G1771" t="s">
        <v>6636</v>
      </c>
      <c r="H1771" t="str">
        <f>"mrps-31"</f>
        <v>mrps-31</v>
      </c>
      <c r="I1771" t="s">
        <v>6638</v>
      </c>
      <c r="J1771">
        <v>10.9694161524561</v>
      </c>
      <c r="K1771">
        <v>10.0926110664935</v>
      </c>
      <c r="L1771">
        <v>11.456546005754999</v>
      </c>
      <c r="M1771" t="s">
        <v>29</v>
      </c>
      <c r="N1771" t="s">
        <v>29</v>
      </c>
      <c r="O1771">
        <v>12.2053075429299</v>
      </c>
      <c r="P1771">
        <v>1.36578313469502</v>
      </c>
      <c r="Q1771">
        <v>0.32868971549540599</v>
      </c>
      <c r="R1771">
        <v>2.4028765538946399</v>
      </c>
      <c r="S1771">
        <v>12.1981733761044</v>
      </c>
      <c r="T1771">
        <v>2.84741724855949</v>
      </c>
      <c r="U1771">
        <v>-3.38347061386489</v>
      </c>
      <c r="V1771">
        <v>1.38181640585974E-2</v>
      </c>
      <c r="W1771">
        <v>0.10854338249715099</v>
      </c>
      <c r="X1771">
        <v>1</v>
      </c>
      <c r="Y1771">
        <v>0</v>
      </c>
    </row>
    <row r="1772" spans="1:25" x14ac:dyDescent="0.2">
      <c r="A1772" t="s">
        <v>6639</v>
      </c>
      <c r="B1772" t="s">
        <v>6640</v>
      </c>
      <c r="C1772" t="s">
        <v>6641</v>
      </c>
      <c r="D1772" t="s">
        <v>6642</v>
      </c>
      <c r="E1772" t="s">
        <v>6640</v>
      </c>
      <c r="F1772" t="s">
        <v>28</v>
      </c>
      <c r="G1772" t="s">
        <v>6640</v>
      </c>
      <c r="H1772" t="str">
        <f>"C45G9.5"</f>
        <v>C45G9.5</v>
      </c>
      <c r="I1772" t="s">
        <v>6642</v>
      </c>
      <c r="J1772" t="s">
        <v>29</v>
      </c>
      <c r="K1772" t="s">
        <v>29</v>
      </c>
      <c r="L1772">
        <v>11.4113345734795</v>
      </c>
      <c r="M1772">
        <v>11.3019496520064</v>
      </c>
      <c r="N1772">
        <v>12.197995921352</v>
      </c>
      <c r="O1772">
        <v>11.702219237456699</v>
      </c>
      <c r="P1772">
        <v>0.32272036345891703</v>
      </c>
      <c r="Q1772">
        <v>-0.64844600079318004</v>
      </c>
      <c r="R1772">
        <v>1.29388672771101</v>
      </c>
      <c r="S1772">
        <v>12.085702044101399</v>
      </c>
      <c r="T1772">
        <v>0.71322183476571399</v>
      </c>
      <c r="U1772">
        <v>-6.4453702536625599</v>
      </c>
      <c r="V1772">
        <v>0.48751503877817998</v>
      </c>
      <c r="W1772">
        <v>0.74195019062289802</v>
      </c>
      <c r="X1772">
        <v>0</v>
      </c>
      <c r="Y1772">
        <v>0</v>
      </c>
    </row>
    <row r="1773" spans="1:25" x14ac:dyDescent="0.2">
      <c r="A1773" t="s">
        <v>6643</v>
      </c>
      <c r="B1773" t="s">
        <v>6644</v>
      </c>
      <c r="C1773" t="s">
        <v>6645</v>
      </c>
      <c r="D1773" t="s">
        <v>6646</v>
      </c>
      <c r="E1773" t="s">
        <v>6644</v>
      </c>
      <c r="F1773" t="s">
        <v>28</v>
      </c>
      <c r="G1773" t="s">
        <v>6644</v>
      </c>
      <c r="H1773" t="str">
        <f>"C45G9.10"</f>
        <v>C45G9.10</v>
      </c>
      <c r="I1773" t="s">
        <v>6646</v>
      </c>
      <c r="J1773" t="s">
        <v>29</v>
      </c>
      <c r="K1773" t="s">
        <v>29</v>
      </c>
      <c r="L1773" t="s">
        <v>29</v>
      </c>
      <c r="M1773" t="s">
        <v>29</v>
      </c>
      <c r="N1773" t="s">
        <v>29</v>
      </c>
      <c r="O1773" t="s">
        <v>29</v>
      </c>
      <c r="P1773" t="s">
        <v>29</v>
      </c>
      <c r="Q1773" t="s">
        <v>29</v>
      </c>
      <c r="R1773" t="s">
        <v>29</v>
      </c>
      <c r="S1773">
        <v>11.2299431657733</v>
      </c>
      <c r="T1773" t="s">
        <v>29</v>
      </c>
      <c r="U1773" t="s">
        <v>29</v>
      </c>
      <c r="V1773" t="s">
        <v>29</v>
      </c>
      <c r="W1773" t="s">
        <v>29</v>
      </c>
      <c r="X1773" t="s">
        <v>29</v>
      </c>
      <c r="Y1773" t="s">
        <v>29</v>
      </c>
    </row>
    <row r="1774" spans="1:25" x14ac:dyDescent="0.2">
      <c r="A1774" t="s">
        <v>6647</v>
      </c>
      <c r="B1774" t="s">
        <v>6648</v>
      </c>
      <c r="C1774" t="s">
        <v>6649</v>
      </c>
      <c r="D1774" t="s">
        <v>6650</v>
      </c>
      <c r="E1774" t="s">
        <v>6648</v>
      </c>
      <c r="F1774" t="s">
        <v>28</v>
      </c>
      <c r="G1774" t="s">
        <v>6648</v>
      </c>
      <c r="H1774" t="str">
        <f>"akap-1"</f>
        <v>akap-1</v>
      </c>
      <c r="I1774" t="s">
        <v>6650</v>
      </c>
      <c r="J1774">
        <v>15.849899872766199</v>
      </c>
      <c r="K1774">
        <v>15.659225981018</v>
      </c>
      <c r="L1774">
        <v>15.5605354874964</v>
      </c>
      <c r="M1774">
        <v>15.725198211412</v>
      </c>
      <c r="N1774">
        <v>15.5274272126518</v>
      </c>
      <c r="O1774">
        <v>15.344205199863801</v>
      </c>
      <c r="P1774">
        <v>-0.15761023911766101</v>
      </c>
      <c r="Q1774">
        <v>-0.63237568766263996</v>
      </c>
      <c r="R1774">
        <v>0.31715520942731801</v>
      </c>
      <c r="S1774">
        <v>15.2294542428524</v>
      </c>
      <c r="T1774">
        <v>-0.69774677169235599</v>
      </c>
      <c r="U1774">
        <v>-6.8003797352312798</v>
      </c>
      <c r="V1774">
        <v>0.49430261284744398</v>
      </c>
      <c r="W1774">
        <v>0.74707882127523595</v>
      </c>
      <c r="X1774">
        <v>0</v>
      </c>
      <c r="Y1774">
        <v>0</v>
      </c>
    </row>
    <row r="1775" spans="1:25" x14ac:dyDescent="0.2">
      <c r="A1775" t="s">
        <v>6651</v>
      </c>
      <c r="B1775" t="s">
        <v>6652</v>
      </c>
      <c r="C1775" t="s">
        <v>6653</v>
      </c>
      <c r="D1775" t="s">
        <v>6654</v>
      </c>
      <c r="E1775" t="s">
        <v>6652</v>
      </c>
      <c r="F1775" t="s">
        <v>28</v>
      </c>
      <c r="G1775" t="s">
        <v>6652</v>
      </c>
      <c r="H1775" t="str">
        <f>"C56G2.3"</f>
        <v>C56G2.3</v>
      </c>
      <c r="I1775" t="s">
        <v>6654</v>
      </c>
      <c r="J1775">
        <v>12.4324698543215</v>
      </c>
      <c r="K1775">
        <v>12.2531710384419</v>
      </c>
      <c r="L1775">
        <v>12.756178579820601</v>
      </c>
      <c r="M1775" t="s">
        <v>29</v>
      </c>
      <c r="N1775">
        <v>12.8036929921949</v>
      </c>
      <c r="O1775" t="s">
        <v>29</v>
      </c>
      <c r="P1775">
        <v>0.32308650133361499</v>
      </c>
      <c r="Q1775">
        <v>-0.283106719177452</v>
      </c>
      <c r="R1775">
        <v>0.92927972184468099</v>
      </c>
      <c r="S1775">
        <v>12.974611546590401</v>
      </c>
      <c r="T1775">
        <v>1.1439304780831701</v>
      </c>
      <c r="U1775">
        <v>-6.0491029780838002</v>
      </c>
      <c r="V1775">
        <v>0.27197742035279898</v>
      </c>
      <c r="W1775">
        <v>0.54833613743990595</v>
      </c>
      <c r="X1775">
        <v>0</v>
      </c>
      <c r="Y1775">
        <v>0</v>
      </c>
    </row>
    <row r="1776" spans="1:25" x14ac:dyDescent="0.2">
      <c r="A1776" t="s">
        <v>6655</v>
      </c>
      <c r="B1776" t="s">
        <v>6656</v>
      </c>
      <c r="C1776" t="s">
        <v>6657</v>
      </c>
      <c r="D1776" t="s">
        <v>6658</v>
      </c>
      <c r="E1776" t="s">
        <v>6656</v>
      </c>
      <c r="F1776" t="s">
        <v>28</v>
      </c>
      <c r="G1776" t="s">
        <v>6656</v>
      </c>
      <c r="H1776" t="str">
        <f>"rpn-13"</f>
        <v>rpn-13</v>
      </c>
      <c r="I1776" t="s">
        <v>6658</v>
      </c>
      <c r="J1776">
        <v>12.5360010684406</v>
      </c>
      <c r="K1776" t="s">
        <v>29</v>
      </c>
      <c r="L1776">
        <v>12.1342308184333</v>
      </c>
      <c r="M1776" t="s">
        <v>29</v>
      </c>
      <c r="N1776">
        <v>12.8315505761324</v>
      </c>
      <c r="O1776">
        <v>12.059448828371099</v>
      </c>
      <c r="P1776">
        <v>0.110383758814738</v>
      </c>
      <c r="Q1776">
        <v>-0.62804936000698097</v>
      </c>
      <c r="R1776">
        <v>0.84881687763645697</v>
      </c>
      <c r="S1776">
        <v>12.2229073960099</v>
      </c>
      <c r="T1776">
        <v>0.34550928566245898</v>
      </c>
      <c r="U1776">
        <v>-6.7851792109656399</v>
      </c>
      <c r="V1776">
        <v>0.73873681123988799</v>
      </c>
      <c r="W1776">
        <v>0.88965565646728195</v>
      </c>
      <c r="X1776">
        <v>0</v>
      </c>
      <c r="Y1776">
        <v>0</v>
      </c>
    </row>
    <row r="1777" spans="1:25" x14ac:dyDescent="0.2">
      <c r="A1777" t="s">
        <v>6659</v>
      </c>
      <c r="B1777" t="s">
        <v>6660</v>
      </c>
      <c r="C1777" t="s">
        <v>6661</v>
      </c>
      <c r="D1777" t="s">
        <v>6662</v>
      </c>
      <c r="E1777" t="s">
        <v>6660</v>
      </c>
      <c r="F1777" t="s">
        <v>28</v>
      </c>
      <c r="G1777" t="s">
        <v>6660</v>
      </c>
      <c r="H1777" t="str">
        <f>"tofu-6"</f>
        <v>tofu-6</v>
      </c>
      <c r="I1777" t="s">
        <v>6662</v>
      </c>
      <c r="J1777">
        <v>13.0728191442954</v>
      </c>
      <c r="K1777">
        <v>12.8553231030413</v>
      </c>
      <c r="L1777">
        <v>13.365733616051701</v>
      </c>
      <c r="M1777">
        <v>12.2060417166307</v>
      </c>
      <c r="N1777">
        <v>13.3078611074632</v>
      </c>
      <c r="O1777">
        <v>12.5020685108205</v>
      </c>
      <c r="P1777">
        <v>-0.42596817615799398</v>
      </c>
      <c r="Q1777">
        <v>-0.99167279497304095</v>
      </c>
      <c r="R1777">
        <v>0.13973644265705301</v>
      </c>
      <c r="S1777">
        <v>13.358237322735301</v>
      </c>
      <c r="T1777">
        <v>-1.58941549626247</v>
      </c>
      <c r="U1777">
        <v>-5.81507458848127</v>
      </c>
      <c r="V1777">
        <v>0.13050338939154499</v>
      </c>
      <c r="W1777">
        <v>0.374477979788438</v>
      </c>
      <c r="X1777">
        <v>0</v>
      </c>
      <c r="Y1777">
        <v>0</v>
      </c>
    </row>
    <row r="1778" spans="1:25" x14ac:dyDescent="0.2">
      <c r="A1778" t="s">
        <v>6663</v>
      </c>
      <c r="B1778" t="s">
        <v>6664</v>
      </c>
      <c r="C1778" t="s">
        <v>6665</v>
      </c>
      <c r="D1778" t="s">
        <v>6666</v>
      </c>
      <c r="E1778" t="s">
        <v>6664</v>
      </c>
      <c r="F1778" t="s">
        <v>28</v>
      </c>
      <c r="G1778" t="s">
        <v>6664</v>
      </c>
      <c r="H1778" t="str">
        <f>"EEED8.3"</f>
        <v>EEED8.3</v>
      </c>
      <c r="I1778" t="s">
        <v>6666</v>
      </c>
      <c r="J1778" t="s">
        <v>29</v>
      </c>
      <c r="K1778" t="s">
        <v>29</v>
      </c>
      <c r="L1778" t="s">
        <v>29</v>
      </c>
      <c r="M1778" t="s">
        <v>29</v>
      </c>
      <c r="N1778" t="s">
        <v>29</v>
      </c>
      <c r="O1778" t="s">
        <v>29</v>
      </c>
      <c r="P1778" t="s">
        <v>29</v>
      </c>
      <c r="Q1778" t="s">
        <v>29</v>
      </c>
      <c r="R1778" t="s">
        <v>29</v>
      </c>
      <c r="S1778">
        <v>9.8988125165082703</v>
      </c>
      <c r="T1778" t="s">
        <v>29</v>
      </c>
      <c r="U1778" t="s">
        <v>29</v>
      </c>
      <c r="V1778" t="s">
        <v>29</v>
      </c>
      <c r="W1778" t="s">
        <v>29</v>
      </c>
      <c r="X1778" t="s">
        <v>29</v>
      </c>
      <c r="Y1778" t="s">
        <v>29</v>
      </c>
    </row>
    <row r="1779" spans="1:25" x14ac:dyDescent="0.2">
      <c r="A1779" t="s">
        <v>6667</v>
      </c>
      <c r="B1779" t="s">
        <v>6668</v>
      </c>
      <c r="C1779" t="s">
        <v>6669</v>
      </c>
      <c r="D1779" t="s">
        <v>6670</v>
      </c>
      <c r="E1779" t="s">
        <v>6668</v>
      </c>
      <c r="F1779" t="s">
        <v>28</v>
      </c>
      <c r="G1779" t="s">
        <v>6668</v>
      </c>
      <c r="H1779" t="str">
        <f>"EEED8.10"</f>
        <v>EEED8.10</v>
      </c>
      <c r="I1779" t="s">
        <v>6670</v>
      </c>
      <c r="J1779">
        <v>12.8275343609992</v>
      </c>
      <c r="K1779">
        <v>12.741681777020499</v>
      </c>
      <c r="L1779">
        <v>12.937333788368001</v>
      </c>
      <c r="M1779">
        <v>13.395411098554799</v>
      </c>
      <c r="N1779">
        <v>14.3090241998793</v>
      </c>
      <c r="O1779">
        <v>13.561697472356</v>
      </c>
      <c r="P1779">
        <v>0.91986094813413599</v>
      </c>
      <c r="Q1779">
        <v>0.41806626888530901</v>
      </c>
      <c r="R1779">
        <v>1.4216556273829599</v>
      </c>
      <c r="S1779">
        <v>13.321395858247801</v>
      </c>
      <c r="T1779">
        <v>3.8694224123319998</v>
      </c>
      <c r="U1779">
        <v>-1.4323365287044401</v>
      </c>
      <c r="V1779">
        <v>1.2430604113255199E-3</v>
      </c>
      <c r="W1779">
        <v>2.0850095765222901E-2</v>
      </c>
      <c r="X1779">
        <v>0</v>
      </c>
      <c r="Y1779">
        <v>0</v>
      </c>
    </row>
    <row r="1780" spans="1:25" x14ac:dyDescent="0.2">
      <c r="A1780" t="s">
        <v>6671</v>
      </c>
      <c r="B1780" t="s">
        <v>6672</v>
      </c>
      <c r="C1780" t="s">
        <v>6673</v>
      </c>
      <c r="D1780" t="s">
        <v>6674</v>
      </c>
      <c r="E1780" t="s">
        <v>6672</v>
      </c>
      <c r="F1780" t="s">
        <v>28</v>
      </c>
      <c r="G1780" t="s">
        <v>6672</v>
      </c>
      <c r="H1780" t="str">
        <f>"F10B5.2"</f>
        <v>F10B5.2</v>
      </c>
      <c r="I1780" t="s">
        <v>6674</v>
      </c>
      <c r="J1780">
        <v>13.8316981534765</v>
      </c>
      <c r="K1780" t="s">
        <v>29</v>
      </c>
      <c r="L1780">
        <v>12.9740311583323</v>
      </c>
      <c r="M1780">
        <v>12.450530328450601</v>
      </c>
      <c r="N1780" t="s">
        <v>29</v>
      </c>
      <c r="O1780" t="s">
        <v>29</v>
      </c>
      <c r="P1780">
        <v>-0.95233432745380098</v>
      </c>
      <c r="Q1780">
        <v>-2.3421216744039999</v>
      </c>
      <c r="R1780">
        <v>0.43745301949639798</v>
      </c>
      <c r="S1780">
        <v>13.390470966641001</v>
      </c>
      <c r="T1780">
        <v>-1.5099715996166501</v>
      </c>
      <c r="U1780">
        <v>-5.5414001092407501</v>
      </c>
      <c r="V1780">
        <v>0.15949467306523399</v>
      </c>
      <c r="W1780">
        <v>0.41124854687343199</v>
      </c>
      <c r="X1780">
        <v>0</v>
      </c>
      <c r="Y1780">
        <v>0</v>
      </c>
    </row>
    <row r="1781" spans="1:25" x14ac:dyDescent="0.2">
      <c r="A1781" t="s">
        <v>6675</v>
      </c>
      <c r="B1781" t="s">
        <v>6676</v>
      </c>
      <c r="C1781" t="s">
        <v>6677</v>
      </c>
      <c r="D1781" t="s">
        <v>6678</v>
      </c>
      <c r="E1781" t="s">
        <v>6676</v>
      </c>
      <c r="F1781" t="s">
        <v>28</v>
      </c>
      <c r="G1781" t="s">
        <v>6676</v>
      </c>
      <c r="H1781" t="str">
        <f>"fbf-2"</f>
        <v>fbf-2</v>
      </c>
      <c r="I1781" t="s">
        <v>6678</v>
      </c>
      <c r="J1781">
        <v>13.0246151045805</v>
      </c>
      <c r="K1781">
        <v>12.1320154328432</v>
      </c>
      <c r="L1781">
        <v>13.1443083609096</v>
      </c>
      <c r="M1781">
        <v>12.6319063712996</v>
      </c>
      <c r="N1781">
        <v>12.477714743327301</v>
      </c>
      <c r="O1781">
        <v>12.106541792406601</v>
      </c>
      <c r="P1781">
        <v>-0.36159199709991802</v>
      </c>
      <c r="Q1781">
        <v>-1.12196467793296</v>
      </c>
      <c r="R1781">
        <v>0.39878068373312803</v>
      </c>
      <c r="S1781">
        <v>13.729590005595499</v>
      </c>
      <c r="T1781">
        <v>-1.00378873664116</v>
      </c>
      <c r="U1781">
        <v>-6.5376954822390401</v>
      </c>
      <c r="V1781">
        <v>0.32964131359878202</v>
      </c>
      <c r="W1781">
        <v>0.60946183775592999</v>
      </c>
      <c r="X1781">
        <v>0</v>
      </c>
      <c r="Y1781">
        <v>0</v>
      </c>
    </row>
    <row r="1782" spans="1:25" x14ac:dyDescent="0.2">
      <c r="A1782" t="s">
        <v>6679</v>
      </c>
      <c r="B1782" t="s">
        <v>6680</v>
      </c>
      <c r="C1782" t="s">
        <v>6681</v>
      </c>
      <c r="D1782" t="s">
        <v>6682</v>
      </c>
      <c r="E1782" t="s">
        <v>6680</v>
      </c>
      <c r="F1782" t="s">
        <v>28</v>
      </c>
      <c r="G1782" t="s">
        <v>6680</v>
      </c>
      <c r="H1782" t="str">
        <f>"F25B5.5"</f>
        <v>F25B5.5</v>
      </c>
      <c r="I1782" t="s">
        <v>6682</v>
      </c>
      <c r="J1782">
        <v>13.437443601533399</v>
      </c>
      <c r="K1782">
        <v>13.4250167802311</v>
      </c>
      <c r="L1782">
        <v>13.1336786591968</v>
      </c>
      <c r="M1782">
        <v>13.0080706243108</v>
      </c>
      <c r="N1782">
        <v>14.137848670792801</v>
      </c>
      <c r="O1782">
        <v>14.4406637936381</v>
      </c>
      <c r="P1782">
        <v>0.53014801592677196</v>
      </c>
      <c r="Q1782">
        <v>-0.25604762425428901</v>
      </c>
      <c r="R1782">
        <v>1.3163436561078301</v>
      </c>
      <c r="S1782">
        <v>13.552768610841399</v>
      </c>
      <c r="T1782">
        <v>1.42336578638559</v>
      </c>
      <c r="U1782">
        <v>-6.04662990135055</v>
      </c>
      <c r="V1782">
        <v>0.17283494727357901</v>
      </c>
      <c r="W1782">
        <v>0.43242610723413899</v>
      </c>
      <c r="X1782">
        <v>0</v>
      </c>
      <c r="Y1782">
        <v>0</v>
      </c>
    </row>
    <row r="1783" spans="1:25" x14ac:dyDescent="0.2">
      <c r="A1783" t="s">
        <v>6683</v>
      </c>
      <c r="B1783" t="s">
        <v>6684</v>
      </c>
      <c r="C1783" t="s">
        <v>6685</v>
      </c>
      <c r="D1783" t="s">
        <v>6686</v>
      </c>
      <c r="E1783" t="s">
        <v>6684</v>
      </c>
      <c r="F1783" t="s">
        <v>28</v>
      </c>
      <c r="G1783" t="s">
        <v>6684</v>
      </c>
      <c r="H1783" t="str">
        <f>"pcf-11"</f>
        <v>pcf-11</v>
      </c>
      <c r="I1783" t="s">
        <v>6686</v>
      </c>
      <c r="J1783">
        <v>10.965180903619901</v>
      </c>
      <c r="K1783">
        <v>10.840473298108799</v>
      </c>
      <c r="L1783">
        <v>11.314138638813199</v>
      </c>
      <c r="M1783">
        <v>11.518169617370701</v>
      </c>
      <c r="N1783">
        <v>12.139571578021901</v>
      </c>
      <c r="O1783">
        <v>11.457243444119101</v>
      </c>
      <c r="P1783">
        <v>0.66506393298993105</v>
      </c>
      <c r="Q1783">
        <v>0.22281336321408801</v>
      </c>
      <c r="R1783">
        <v>1.10731450276577</v>
      </c>
      <c r="S1783">
        <v>11.4865196167726</v>
      </c>
      <c r="T1783">
        <v>3.2072779686255899</v>
      </c>
      <c r="U1783">
        <v>-2.9191407608170299</v>
      </c>
      <c r="V1783">
        <v>5.9195531055240003E-3</v>
      </c>
      <c r="W1783">
        <v>6.1737903222356103E-2</v>
      </c>
      <c r="X1783">
        <v>0</v>
      </c>
      <c r="Y1783">
        <v>0</v>
      </c>
    </row>
    <row r="1784" spans="1:25" x14ac:dyDescent="0.2">
      <c r="A1784" t="s">
        <v>6687</v>
      </c>
      <c r="B1784" t="s">
        <v>6688</v>
      </c>
      <c r="C1784" t="s">
        <v>6689</v>
      </c>
      <c r="D1784" t="s">
        <v>6690</v>
      </c>
      <c r="E1784" t="s">
        <v>6688</v>
      </c>
      <c r="F1784" t="s">
        <v>28</v>
      </c>
      <c r="G1784" t="s">
        <v>6688</v>
      </c>
      <c r="H1784" t="str">
        <f>"smcr-8"</f>
        <v>smcr-8</v>
      </c>
      <c r="I1784" t="s">
        <v>6690</v>
      </c>
      <c r="J1784">
        <v>10.566944265418099</v>
      </c>
      <c r="K1784">
        <v>10.701803347173501</v>
      </c>
      <c r="L1784">
        <v>11.874768332339899</v>
      </c>
      <c r="M1784">
        <v>12.435195446290299</v>
      </c>
      <c r="N1784">
        <v>12.809181769807999</v>
      </c>
      <c r="O1784">
        <v>11.661828579193401</v>
      </c>
      <c r="P1784">
        <v>1.25422995012005</v>
      </c>
      <c r="Q1784">
        <v>0.46690235930788498</v>
      </c>
      <c r="R1784">
        <v>2.04155754093222</v>
      </c>
      <c r="S1784">
        <v>11.8339912566052</v>
      </c>
      <c r="T1784">
        <v>3.3788680019213202</v>
      </c>
      <c r="U1784">
        <v>-2.5237868277398601</v>
      </c>
      <c r="V1784">
        <v>3.8568082491800102E-3</v>
      </c>
      <c r="W1784">
        <v>4.5144079290761599E-2</v>
      </c>
      <c r="X1784">
        <v>1</v>
      </c>
      <c r="Y1784">
        <v>1</v>
      </c>
    </row>
    <row r="1785" spans="1:25" x14ac:dyDescent="0.2">
      <c r="A1785" t="s">
        <v>6691</v>
      </c>
      <c r="B1785" t="s">
        <v>6692</v>
      </c>
      <c r="C1785" t="s">
        <v>6693</v>
      </c>
      <c r="D1785" t="s">
        <v>6694</v>
      </c>
      <c r="E1785" t="s">
        <v>6692</v>
      </c>
      <c r="F1785" t="s">
        <v>28</v>
      </c>
      <c r="G1785" t="s">
        <v>6692</v>
      </c>
      <c r="H1785" t="str">
        <f>"ufd-2"</f>
        <v>ufd-2</v>
      </c>
      <c r="I1785" t="s">
        <v>6694</v>
      </c>
      <c r="J1785">
        <v>13.637591259580001</v>
      </c>
      <c r="K1785">
        <v>13.700818571668201</v>
      </c>
      <c r="L1785">
        <v>13.5610632040729</v>
      </c>
      <c r="M1785">
        <v>13.433570314150799</v>
      </c>
      <c r="N1785">
        <v>13.8789203587024</v>
      </c>
      <c r="O1785">
        <v>13.3389998765107</v>
      </c>
      <c r="P1785">
        <v>-8.2660828652400695E-2</v>
      </c>
      <c r="Q1785">
        <v>-0.43840010479695801</v>
      </c>
      <c r="R1785">
        <v>0.27307844749215698</v>
      </c>
      <c r="S1785">
        <v>13.569534009511599</v>
      </c>
      <c r="T1785">
        <v>-0.48838290158275099</v>
      </c>
      <c r="U1785">
        <v>-6.9279196575871804</v>
      </c>
      <c r="V1785">
        <v>0.63120945540357498</v>
      </c>
      <c r="W1785">
        <v>0.82954586748111203</v>
      </c>
      <c r="X1785">
        <v>0</v>
      </c>
      <c r="Y1785">
        <v>0</v>
      </c>
    </row>
    <row r="1786" spans="1:25" x14ac:dyDescent="0.2">
      <c r="A1786" t="s">
        <v>6695</v>
      </c>
      <c r="B1786" t="s">
        <v>6696</v>
      </c>
      <c r="C1786" t="s">
        <v>6697</v>
      </c>
      <c r="D1786" t="s">
        <v>6698</v>
      </c>
      <c r="E1786" t="s">
        <v>6696</v>
      </c>
      <c r="F1786" t="s">
        <v>28</v>
      </c>
      <c r="G1786" t="s">
        <v>6696</v>
      </c>
      <c r="H1786" t="str">
        <f>"ulp-1"</f>
        <v>ulp-1</v>
      </c>
      <c r="I1786" t="s">
        <v>6698</v>
      </c>
      <c r="J1786">
        <v>11.184564242395799</v>
      </c>
      <c r="K1786" t="s">
        <v>29</v>
      </c>
      <c r="L1786" t="s">
        <v>29</v>
      </c>
      <c r="M1786" t="s">
        <v>29</v>
      </c>
      <c r="N1786" t="s">
        <v>29</v>
      </c>
      <c r="O1786" t="s">
        <v>29</v>
      </c>
      <c r="P1786" t="s">
        <v>29</v>
      </c>
      <c r="Q1786" t="s">
        <v>29</v>
      </c>
      <c r="R1786" t="s">
        <v>29</v>
      </c>
      <c r="S1786">
        <v>11.884219659207499</v>
      </c>
      <c r="T1786" t="s">
        <v>29</v>
      </c>
      <c r="U1786" t="s">
        <v>29</v>
      </c>
      <c r="V1786" t="s">
        <v>29</v>
      </c>
      <c r="W1786" t="s">
        <v>29</v>
      </c>
      <c r="X1786" t="s">
        <v>29</v>
      </c>
      <c r="Y1786" t="s">
        <v>29</v>
      </c>
    </row>
    <row r="1787" spans="1:25" x14ac:dyDescent="0.2">
      <c r="A1787" t="s">
        <v>6699</v>
      </c>
      <c r="B1787" t="s">
        <v>6700</v>
      </c>
      <c r="C1787" t="s">
        <v>6701</v>
      </c>
      <c r="D1787" t="s">
        <v>6702</v>
      </c>
      <c r="E1787" t="s">
        <v>6700</v>
      </c>
      <c r="F1787" t="s">
        <v>28</v>
      </c>
      <c r="G1787" t="s">
        <v>6700</v>
      </c>
      <c r="H1787" t="str">
        <f>"ZK1307.1"</f>
        <v>ZK1307.1</v>
      </c>
      <c r="I1787" t="s">
        <v>6702</v>
      </c>
      <c r="J1787">
        <v>12.5254271454058</v>
      </c>
      <c r="K1787" t="s">
        <v>29</v>
      </c>
      <c r="L1787">
        <v>13.030604311559401</v>
      </c>
      <c r="M1787">
        <v>15.5027783454754</v>
      </c>
      <c r="N1787">
        <v>15.4485369161435</v>
      </c>
      <c r="O1787">
        <v>15.067821657670599</v>
      </c>
      <c r="P1787">
        <v>2.56169657794723</v>
      </c>
      <c r="Q1787">
        <v>1.5745680826592301</v>
      </c>
      <c r="R1787">
        <v>3.54882507323524</v>
      </c>
      <c r="S1787">
        <v>14.489197881360599</v>
      </c>
      <c r="T1787">
        <v>5.5043181617506001</v>
      </c>
      <c r="U1787">
        <v>1.92422419616712</v>
      </c>
      <c r="V1787" s="2">
        <v>4.9192666560620697E-5</v>
      </c>
      <c r="W1787">
        <v>1.7785881887584401E-3</v>
      </c>
      <c r="X1787">
        <v>1</v>
      </c>
      <c r="Y1787">
        <v>1</v>
      </c>
    </row>
    <row r="1788" spans="1:25" x14ac:dyDescent="0.2">
      <c r="A1788" t="s">
        <v>6703</v>
      </c>
      <c r="B1788" t="s">
        <v>6704</v>
      </c>
      <c r="C1788" t="s">
        <v>6705</v>
      </c>
      <c r="D1788" t="s">
        <v>6706</v>
      </c>
      <c r="E1788" t="s">
        <v>6704</v>
      </c>
      <c r="F1788" t="s">
        <v>28</v>
      </c>
      <c r="G1788" t="s">
        <v>6704</v>
      </c>
      <c r="H1788" t="str">
        <f>"aqp-10"</f>
        <v>aqp-10</v>
      </c>
      <c r="I1788" t="s">
        <v>6706</v>
      </c>
      <c r="J1788">
        <v>16.069509969994801</v>
      </c>
      <c r="K1788">
        <v>16.5221149452831</v>
      </c>
      <c r="L1788">
        <v>16.4436693082028</v>
      </c>
      <c r="M1788">
        <v>16.4784513662301</v>
      </c>
      <c r="N1788">
        <v>16.435088709594801</v>
      </c>
      <c r="O1788">
        <v>16.012166136472501</v>
      </c>
      <c r="P1788">
        <v>-3.65293370611042E-2</v>
      </c>
      <c r="Q1788">
        <v>-0.78172425923417599</v>
      </c>
      <c r="R1788">
        <v>0.70866558511196798</v>
      </c>
      <c r="S1788">
        <v>16.500595997039699</v>
      </c>
      <c r="T1788">
        <v>-0.103030170113761</v>
      </c>
      <c r="U1788">
        <v>-7.0465250544148601</v>
      </c>
      <c r="V1788">
        <v>0.91908484975957705</v>
      </c>
      <c r="W1788">
        <v>0.97132254014863995</v>
      </c>
      <c r="X1788">
        <v>0</v>
      </c>
      <c r="Y1788">
        <v>0</v>
      </c>
    </row>
    <row r="1789" spans="1:25" x14ac:dyDescent="0.2">
      <c r="A1789" t="s">
        <v>6707</v>
      </c>
      <c r="B1789" t="s">
        <v>6708</v>
      </c>
      <c r="C1789" t="s">
        <v>6709</v>
      </c>
      <c r="D1789" t="s">
        <v>6710</v>
      </c>
      <c r="E1789" t="s">
        <v>6708</v>
      </c>
      <c r="F1789" t="s">
        <v>28</v>
      </c>
      <c r="G1789" t="s">
        <v>6708</v>
      </c>
      <c r="H1789" t="str">
        <f>"npp-24"</f>
        <v>npp-24</v>
      </c>
      <c r="I1789" t="s">
        <v>6710</v>
      </c>
      <c r="J1789">
        <v>13.481084197691899</v>
      </c>
      <c r="K1789">
        <v>13.4643747708402</v>
      </c>
      <c r="L1789">
        <v>13.3051135676941</v>
      </c>
      <c r="M1789">
        <v>13.310951115456399</v>
      </c>
      <c r="N1789">
        <v>13.4935025792454</v>
      </c>
      <c r="O1789">
        <v>13.464193750219801</v>
      </c>
      <c r="P1789">
        <v>6.02496956514109E-3</v>
      </c>
      <c r="Q1789">
        <v>-0.33949682271084303</v>
      </c>
      <c r="R1789">
        <v>0.35154676184112499</v>
      </c>
      <c r="S1789">
        <v>13.188968971687499</v>
      </c>
      <c r="T1789">
        <v>3.6985282770810902E-2</v>
      </c>
      <c r="U1789">
        <v>-7.0513648273133702</v>
      </c>
      <c r="V1789">
        <v>0.97095725836367497</v>
      </c>
      <c r="W1789">
        <v>0.983653461617497</v>
      </c>
      <c r="X1789">
        <v>0</v>
      </c>
      <c r="Y1789">
        <v>0</v>
      </c>
    </row>
    <row r="1790" spans="1:25" x14ac:dyDescent="0.2">
      <c r="A1790" t="s">
        <v>6711</v>
      </c>
      <c r="B1790" t="s">
        <v>6712</v>
      </c>
      <c r="C1790" t="s">
        <v>6713</v>
      </c>
      <c r="D1790" t="s">
        <v>6714</v>
      </c>
      <c r="E1790" t="s">
        <v>6712</v>
      </c>
      <c r="F1790" t="s">
        <v>28</v>
      </c>
      <c r="G1790" t="s">
        <v>6712</v>
      </c>
      <c r="H1790" t="str">
        <f>"fzy-1"</f>
        <v>fzy-1</v>
      </c>
      <c r="I1790" t="s">
        <v>6714</v>
      </c>
      <c r="J1790">
        <v>13.8034848860569</v>
      </c>
      <c r="K1790">
        <v>13.752762125555799</v>
      </c>
      <c r="L1790">
        <v>13.744109438041299</v>
      </c>
      <c r="M1790">
        <v>13.7940759572995</v>
      </c>
      <c r="N1790">
        <v>13.330752436936301</v>
      </c>
      <c r="O1790">
        <v>13.1486817623089</v>
      </c>
      <c r="P1790">
        <v>-0.34228209770312301</v>
      </c>
      <c r="Q1790">
        <v>-0.70940366958936896</v>
      </c>
      <c r="R1790">
        <v>2.4839474183123201E-2</v>
      </c>
      <c r="S1790">
        <v>13.4931027414813</v>
      </c>
      <c r="T1790">
        <v>-1.9595971262717</v>
      </c>
      <c r="U1790">
        <v>-5.2303351717428903</v>
      </c>
      <c r="V1790">
        <v>6.5807532089379894E-2</v>
      </c>
      <c r="W1790">
        <v>0.26105387961842902</v>
      </c>
      <c r="X1790">
        <v>0</v>
      </c>
      <c r="Y1790">
        <v>0</v>
      </c>
    </row>
    <row r="1791" spans="1:25" x14ac:dyDescent="0.2">
      <c r="A1791" t="s">
        <v>6715</v>
      </c>
      <c r="B1791" t="s">
        <v>6716</v>
      </c>
      <c r="C1791" t="s">
        <v>6717</v>
      </c>
      <c r="D1791" t="s">
        <v>6718</v>
      </c>
      <c r="E1791" t="s">
        <v>6716</v>
      </c>
      <c r="F1791" t="s">
        <v>28</v>
      </c>
      <c r="G1791" t="s">
        <v>6716</v>
      </c>
      <c r="H1791" t="str">
        <f>"sahd-1"</f>
        <v>sahd-1</v>
      </c>
      <c r="I1791" t="s">
        <v>6718</v>
      </c>
      <c r="J1791">
        <v>13.108874902194801</v>
      </c>
      <c r="K1791">
        <v>13.8445263450227</v>
      </c>
      <c r="L1791">
        <v>13.2009884608585</v>
      </c>
      <c r="M1791">
        <v>12.981352346558101</v>
      </c>
      <c r="N1791">
        <v>13.481669611067399</v>
      </c>
      <c r="O1791">
        <v>12.8517340610499</v>
      </c>
      <c r="P1791">
        <v>-0.27987789646686201</v>
      </c>
      <c r="Q1791">
        <v>-0.78289377250685399</v>
      </c>
      <c r="R1791">
        <v>0.223137979573129</v>
      </c>
      <c r="S1791">
        <v>13.0816646851538</v>
      </c>
      <c r="T1791">
        <v>-1.17445646243254</v>
      </c>
      <c r="U1791">
        <v>-6.3552440797935699</v>
      </c>
      <c r="V1791">
        <v>0.25650121374721002</v>
      </c>
      <c r="W1791">
        <v>0.53366684752776195</v>
      </c>
      <c r="X1791">
        <v>0</v>
      </c>
      <c r="Y1791">
        <v>0</v>
      </c>
    </row>
    <row r="1792" spans="1:25" x14ac:dyDescent="0.2">
      <c r="A1792" t="s">
        <v>6719</v>
      </c>
      <c r="B1792" t="s">
        <v>6720</v>
      </c>
      <c r="C1792" t="s">
        <v>6721</v>
      </c>
      <c r="D1792" t="s">
        <v>3358</v>
      </c>
      <c r="E1792" t="s">
        <v>6720</v>
      </c>
      <c r="F1792" t="s">
        <v>28</v>
      </c>
      <c r="G1792" t="s">
        <v>6720</v>
      </c>
      <c r="H1792" t="str">
        <f>"skpt-1"</f>
        <v>skpt-1</v>
      </c>
      <c r="I1792" t="s">
        <v>3358</v>
      </c>
      <c r="J1792">
        <v>11.3100960990029</v>
      </c>
      <c r="K1792" t="s">
        <v>29</v>
      </c>
      <c r="L1792">
        <v>11.946097919939801</v>
      </c>
      <c r="M1792" t="s">
        <v>29</v>
      </c>
      <c r="N1792">
        <v>11.749692796446601</v>
      </c>
      <c r="O1792">
        <v>11.466556920617901</v>
      </c>
      <c r="P1792">
        <v>-1.99721509391271E-2</v>
      </c>
      <c r="Q1792">
        <v>-0.84448002664692801</v>
      </c>
      <c r="R1792">
        <v>0.80453572476867397</v>
      </c>
      <c r="S1792">
        <v>11.9982126974185</v>
      </c>
      <c r="T1792">
        <v>-5.2829322803444899E-2</v>
      </c>
      <c r="U1792">
        <v>-6.8496904097233804</v>
      </c>
      <c r="V1792">
        <v>0.95874475118702096</v>
      </c>
      <c r="W1792">
        <v>0.97837628243144903</v>
      </c>
      <c r="X1792">
        <v>0</v>
      </c>
      <c r="Y1792">
        <v>0</v>
      </c>
    </row>
    <row r="1793" spans="1:25" x14ac:dyDescent="0.2">
      <c r="A1793" t="s">
        <v>6722</v>
      </c>
      <c r="B1793" t="s">
        <v>6723</v>
      </c>
      <c r="C1793" t="s">
        <v>6724</v>
      </c>
      <c r="D1793" t="s">
        <v>6725</v>
      </c>
      <c r="E1793" t="s">
        <v>6723</v>
      </c>
      <c r="F1793" t="s">
        <v>28</v>
      </c>
      <c r="G1793" t="s">
        <v>6723</v>
      </c>
      <c r="H1793" t="str">
        <f>"cid-1"</f>
        <v>cid-1</v>
      </c>
      <c r="I1793" t="s">
        <v>6725</v>
      </c>
      <c r="J1793">
        <v>14.1798527774185</v>
      </c>
      <c r="K1793">
        <v>14.1340291027483</v>
      </c>
      <c r="L1793">
        <v>14.1188513521762</v>
      </c>
      <c r="M1793">
        <v>14.143071070111001</v>
      </c>
      <c r="N1793">
        <v>14.301707235617499</v>
      </c>
      <c r="O1793">
        <v>14.1649389154207</v>
      </c>
      <c r="P1793">
        <v>5.8994662935399199E-2</v>
      </c>
      <c r="Q1793">
        <v>-0.34223926909838798</v>
      </c>
      <c r="R1793">
        <v>0.460228594969187</v>
      </c>
      <c r="S1793">
        <v>14.475279938462901</v>
      </c>
      <c r="T1793">
        <v>0.30903493943145599</v>
      </c>
      <c r="U1793">
        <v>-7.0021710553943404</v>
      </c>
      <c r="V1793">
        <v>0.76086403420626403</v>
      </c>
      <c r="W1793">
        <v>0.89933527288875903</v>
      </c>
      <c r="X1793">
        <v>0</v>
      </c>
      <c r="Y1793">
        <v>0</v>
      </c>
    </row>
    <row r="1794" spans="1:25" x14ac:dyDescent="0.2">
      <c r="A1794" t="s">
        <v>6726</v>
      </c>
      <c r="B1794" t="s">
        <v>6727</v>
      </c>
      <c r="C1794" t="s">
        <v>6728</v>
      </c>
      <c r="D1794" t="s">
        <v>6729</v>
      </c>
      <c r="E1794" t="s">
        <v>6727</v>
      </c>
      <c r="F1794" t="s">
        <v>28</v>
      </c>
      <c r="G1794" t="s">
        <v>6727</v>
      </c>
      <c r="H1794" t="str">
        <f>"R06F6.8"</f>
        <v>R06F6.8</v>
      </c>
      <c r="I1794" t="s">
        <v>6729</v>
      </c>
      <c r="J1794">
        <v>11.9658841376583</v>
      </c>
      <c r="K1794">
        <v>10.729286832097801</v>
      </c>
      <c r="L1794">
        <v>11.486265209060999</v>
      </c>
      <c r="M1794">
        <v>11.8363586054259</v>
      </c>
      <c r="N1794">
        <v>12.010322179419401</v>
      </c>
      <c r="O1794">
        <v>11.782121261456901</v>
      </c>
      <c r="P1794">
        <v>0.48245528916166702</v>
      </c>
      <c r="Q1794">
        <v>-1.5705101806732201E-3</v>
      </c>
      <c r="R1794">
        <v>0.96648108850400705</v>
      </c>
      <c r="S1794">
        <v>11.957923328106499</v>
      </c>
      <c r="T1794">
        <v>2.11416116447199</v>
      </c>
      <c r="U1794">
        <v>-4.9762443725390497</v>
      </c>
      <c r="V1794">
        <v>5.0662400588369599E-2</v>
      </c>
      <c r="W1794">
        <v>0.224232741398805</v>
      </c>
      <c r="X1794">
        <v>0</v>
      </c>
      <c r="Y1794">
        <v>0</v>
      </c>
    </row>
    <row r="1795" spans="1:25" x14ac:dyDescent="0.2">
      <c r="A1795" t="s">
        <v>6730</v>
      </c>
      <c r="B1795" t="s">
        <v>6731</v>
      </c>
      <c r="C1795" t="s">
        <v>6732</v>
      </c>
      <c r="D1795" t="s">
        <v>6733</v>
      </c>
      <c r="E1795" t="s">
        <v>6731</v>
      </c>
      <c r="F1795" t="s">
        <v>28</v>
      </c>
      <c r="G1795" t="s">
        <v>6731</v>
      </c>
      <c r="H1795" t="str">
        <f>"pgam-5"</f>
        <v>pgam-5</v>
      </c>
      <c r="I1795" t="s">
        <v>6733</v>
      </c>
      <c r="J1795">
        <v>11.3883188531071</v>
      </c>
      <c r="K1795" t="s">
        <v>29</v>
      </c>
      <c r="L1795">
        <v>12.518480286633601</v>
      </c>
      <c r="M1795">
        <v>12.423269425498701</v>
      </c>
      <c r="N1795">
        <v>12.887603897630701</v>
      </c>
      <c r="O1795">
        <v>13.4744707017124</v>
      </c>
      <c r="P1795">
        <v>0.97504843841025701</v>
      </c>
      <c r="Q1795">
        <v>0.170763051418554</v>
      </c>
      <c r="R1795">
        <v>1.7793338254019599</v>
      </c>
      <c r="S1795">
        <v>12.8742572788962</v>
      </c>
      <c r="T1795">
        <v>2.5855778512594298</v>
      </c>
      <c r="U1795">
        <v>-4.0275011808199501</v>
      </c>
      <c r="V1795">
        <v>2.0771297486931899E-2</v>
      </c>
      <c r="W1795">
        <v>0.139360416541188</v>
      </c>
      <c r="X1795">
        <v>0</v>
      </c>
      <c r="Y1795">
        <v>0</v>
      </c>
    </row>
    <row r="1796" spans="1:25" x14ac:dyDescent="0.2">
      <c r="A1796" t="s">
        <v>6734</v>
      </c>
      <c r="B1796" t="s">
        <v>6735</v>
      </c>
      <c r="C1796" t="s">
        <v>6736</v>
      </c>
      <c r="D1796" t="s">
        <v>6737</v>
      </c>
      <c r="E1796" t="s">
        <v>6735</v>
      </c>
      <c r="F1796" t="s">
        <v>28</v>
      </c>
      <c r="G1796" t="s">
        <v>6735</v>
      </c>
      <c r="H1796" t="str">
        <f>"mex-6"</f>
        <v>mex-6</v>
      </c>
      <c r="I1796" t="s">
        <v>6737</v>
      </c>
      <c r="J1796">
        <v>11.9172959066197</v>
      </c>
      <c r="K1796" t="s">
        <v>29</v>
      </c>
      <c r="L1796">
        <v>12.474483984620001</v>
      </c>
      <c r="M1796" t="s">
        <v>29</v>
      </c>
      <c r="N1796">
        <v>10.959251657505</v>
      </c>
      <c r="O1796" t="s">
        <v>29</v>
      </c>
      <c r="P1796">
        <v>-1.2366382881148199</v>
      </c>
      <c r="Q1796">
        <v>-1.9818706691385499</v>
      </c>
      <c r="R1796">
        <v>-0.491405907091092</v>
      </c>
      <c r="S1796">
        <v>13.382268463050099</v>
      </c>
      <c r="T1796">
        <v>-3.6566101879808999</v>
      </c>
      <c r="U1796">
        <v>-2.0069600324095198</v>
      </c>
      <c r="V1796">
        <v>3.83592416934909E-3</v>
      </c>
      <c r="W1796">
        <v>4.5061722913581001E-2</v>
      </c>
      <c r="X1796">
        <v>-1</v>
      </c>
      <c r="Y1796">
        <v>-1</v>
      </c>
    </row>
    <row r="1797" spans="1:25" x14ac:dyDescent="0.2">
      <c r="A1797" t="s">
        <v>6738</v>
      </c>
      <c r="B1797" t="s">
        <v>6739</v>
      </c>
      <c r="C1797" t="s">
        <v>6740</v>
      </c>
      <c r="D1797" t="s">
        <v>6741</v>
      </c>
      <c r="E1797" t="s">
        <v>6739</v>
      </c>
      <c r="F1797" t="s">
        <v>28</v>
      </c>
      <c r="G1797" t="s">
        <v>6739</v>
      </c>
      <c r="H1797" t="str">
        <f>"cdk-11.1"</f>
        <v>cdk-11.1</v>
      </c>
      <c r="I1797" t="s">
        <v>6741</v>
      </c>
      <c r="J1797" t="s">
        <v>29</v>
      </c>
      <c r="K1797" t="s">
        <v>29</v>
      </c>
      <c r="L1797" t="s">
        <v>29</v>
      </c>
      <c r="M1797" t="s">
        <v>29</v>
      </c>
      <c r="N1797" t="s">
        <v>29</v>
      </c>
      <c r="O1797" t="s">
        <v>29</v>
      </c>
      <c r="P1797" t="s">
        <v>29</v>
      </c>
      <c r="Q1797" t="s">
        <v>29</v>
      </c>
      <c r="R1797" t="s">
        <v>29</v>
      </c>
      <c r="S1797">
        <v>12.691733815594599</v>
      </c>
      <c r="T1797" t="s">
        <v>29</v>
      </c>
      <c r="U1797" t="s">
        <v>29</v>
      </c>
      <c r="V1797" t="s">
        <v>29</v>
      </c>
      <c r="W1797" t="s">
        <v>29</v>
      </c>
      <c r="X1797" t="s">
        <v>29</v>
      </c>
      <c r="Y1797" t="s">
        <v>29</v>
      </c>
    </row>
    <row r="1798" spans="1:25" x14ac:dyDescent="0.2">
      <c r="A1798" t="s">
        <v>6742</v>
      </c>
      <c r="B1798" t="s">
        <v>6743</v>
      </c>
      <c r="C1798" t="s">
        <v>6744</v>
      </c>
      <c r="D1798" t="s">
        <v>6745</v>
      </c>
      <c r="E1798" t="s">
        <v>6743</v>
      </c>
      <c r="F1798" t="s">
        <v>28</v>
      </c>
      <c r="G1798" t="s">
        <v>6743</v>
      </c>
      <c r="H1798" t="str">
        <f>"C08B11.3"</f>
        <v>C08B11.3</v>
      </c>
      <c r="I1798" t="s">
        <v>6745</v>
      </c>
      <c r="J1798">
        <v>13.149920330439899</v>
      </c>
      <c r="K1798">
        <v>13.248018226035599</v>
      </c>
      <c r="L1798">
        <v>13.0874619063101</v>
      </c>
      <c r="M1798">
        <v>13.116116475610299</v>
      </c>
      <c r="N1798">
        <v>13.5039002279107</v>
      </c>
      <c r="O1798">
        <v>13.062322812846199</v>
      </c>
      <c r="P1798">
        <v>6.5646351193871397E-2</v>
      </c>
      <c r="Q1798">
        <v>-0.37425711820385199</v>
      </c>
      <c r="R1798">
        <v>0.50554982059159403</v>
      </c>
      <c r="S1798">
        <v>13.360352185017399</v>
      </c>
      <c r="T1798">
        <v>0.31499467914997298</v>
      </c>
      <c r="U1798">
        <v>-7.0000787828713698</v>
      </c>
      <c r="V1798">
        <v>0.756622799164263</v>
      </c>
      <c r="W1798">
        <v>0.89802799950078505</v>
      </c>
      <c r="X1798">
        <v>0</v>
      </c>
      <c r="Y1798">
        <v>0</v>
      </c>
    </row>
    <row r="1799" spans="1:25" x14ac:dyDescent="0.2">
      <c r="A1799" t="s">
        <v>6746</v>
      </c>
      <c r="B1799" t="s">
        <v>6747</v>
      </c>
      <c r="C1799" t="s">
        <v>6748</v>
      </c>
      <c r="D1799" t="s">
        <v>6749</v>
      </c>
      <c r="E1799" t="s">
        <v>6747</v>
      </c>
      <c r="F1799" t="s">
        <v>28</v>
      </c>
      <c r="G1799" t="s">
        <v>6747</v>
      </c>
      <c r="H1799" t="str">
        <f>"sap-49"</f>
        <v>sap-49</v>
      </c>
      <c r="I1799" t="s">
        <v>6749</v>
      </c>
      <c r="J1799">
        <v>11.173645008817701</v>
      </c>
      <c r="K1799">
        <v>12.454680311186999</v>
      </c>
      <c r="L1799">
        <v>11.6758353926077</v>
      </c>
      <c r="M1799" t="s">
        <v>29</v>
      </c>
      <c r="N1799" t="s">
        <v>29</v>
      </c>
      <c r="O1799" t="s">
        <v>29</v>
      </c>
      <c r="P1799" t="s">
        <v>29</v>
      </c>
      <c r="Q1799" t="s">
        <v>29</v>
      </c>
      <c r="R1799" t="s">
        <v>29</v>
      </c>
      <c r="S1799">
        <v>12.570620226338001</v>
      </c>
      <c r="T1799" t="s">
        <v>29</v>
      </c>
      <c r="U1799" t="s">
        <v>29</v>
      </c>
      <c r="V1799" t="s">
        <v>29</v>
      </c>
      <c r="W1799" t="s">
        <v>29</v>
      </c>
      <c r="X1799" t="s">
        <v>29</v>
      </c>
      <c r="Y1799" t="s">
        <v>29</v>
      </c>
    </row>
    <row r="1800" spans="1:25" x14ac:dyDescent="0.2">
      <c r="A1800" t="s">
        <v>6750</v>
      </c>
      <c r="B1800" t="s">
        <v>6751</v>
      </c>
      <c r="C1800" t="s">
        <v>6752</v>
      </c>
      <c r="D1800" t="s">
        <v>6753</v>
      </c>
      <c r="E1800" t="s">
        <v>6751</v>
      </c>
      <c r="F1800" t="s">
        <v>28</v>
      </c>
      <c r="G1800" t="s">
        <v>6751</v>
      </c>
      <c r="H1800" t="str">
        <f>"arp-6"</f>
        <v>arp-6</v>
      </c>
      <c r="I1800" t="s">
        <v>6753</v>
      </c>
      <c r="J1800" t="s">
        <v>29</v>
      </c>
      <c r="K1800" t="s">
        <v>29</v>
      </c>
      <c r="L1800" t="s">
        <v>29</v>
      </c>
      <c r="M1800" t="s">
        <v>29</v>
      </c>
      <c r="N1800" t="s">
        <v>29</v>
      </c>
      <c r="O1800" t="s">
        <v>29</v>
      </c>
      <c r="P1800" t="s">
        <v>29</v>
      </c>
      <c r="Q1800" t="s">
        <v>29</v>
      </c>
      <c r="R1800" t="s">
        <v>29</v>
      </c>
      <c r="S1800">
        <v>11.1903512473575</v>
      </c>
      <c r="T1800" t="s">
        <v>29</v>
      </c>
      <c r="U1800" t="s">
        <v>29</v>
      </c>
      <c r="V1800" t="s">
        <v>29</v>
      </c>
      <c r="W1800" t="s">
        <v>29</v>
      </c>
      <c r="X1800" t="s">
        <v>29</v>
      </c>
      <c r="Y1800" t="s">
        <v>29</v>
      </c>
    </row>
    <row r="1801" spans="1:25" x14ac:dyDescent="0.2">
      <c r="A1801" t="s">
        <v>6754</v>
      </c>
      <c r="B1801" t="s">
        <v>6755</v>
      </c>
      <c r="C1801" t="s">
        <v>6756</v>
      </c>
      <c r="D1801" t="s">
        <v>6757</v>
      </c>
      <c r="E1801" t="s">
        <v>6755</v>
      </c>
      <c r="F1801" t="s">
        <v>28</v>
      </c>
      <c r="G1801" t="s">
        <v>6755</v>
      </c>
      <c r="H1801" t="str">
        <f>"ubh-4"</f>
        <v>ubh-4</v>
      </c>
      <c r="I1801" t="s">
        <v>6757</v>
      </c>
      <c r="J1801">
        <v>15.033986693059999</v>
      </c>
      <c r="K1801">
        <v>14.792880947625701</v>
      </c>
      <c r="L1801">
        <v>15.015965504734901</v>
      </c>
      <c r="M1801">
        <v>14.989479282975401</v>
      </c>
      <c r="N1801">
        <v>14.9559720898765</v>
      </c>
      <c r="O1801">
        <v>14.9704140511205</v>
      </c>
      <c r="P1801">
        <v>2.4344092850615302E-2</v>
      </c>
      <c r="Q1801">
        <v>-0.35740864184044402</v>
      </c>
      <c r="R1801">
        <v>0.40609682754167498</v>
      </c>
      <c r="S1801">
        <v>15.059825494517799</v>
      </c>
      <c r="T1801">
        <v>0.13403059702983799</v>
      </c>
      <c r="U1801">
        <v>-7.0426768135679998</v>
      </c>
      <c r="V1801">
        <v>0.89487424827941897</v>
      </c>
      <c r="W1801">
        <v>0.96310377651960599</v>
      </c>
      <c r="X1801">
        <v>0</v>
      </c>
      <c r="Y1801">
        <v>0</v>
      </c>
    </row>
    <row r="1802" spans="1:25" x14ac:dyDescent="0.2">
      <c r="A1802" t="s">
        <v>6758</v>
      </c>
      <c r="B1802" t="s">
        <v>6759</v>
      </c>
      <c r="C1802" t="s">
        <v>6760</v>
      </c>
      <c r="D1802" t="s">
        <v>6761</v>
      </c>
      <c r="E1802" t="s">
        <v>6759</v>
      </c>
      <c r="F1802" t="s">
        <v>28</v>
      </c>
      <c r="G1802" t="s">
        <v>6759</v>
      </c>
      <c r="H1802" t="str">
        <f>"dnj-5"</f>
        <v>dnj-5</v>
      </c>
      <c r="I1802" t="s">
        <v>6761</v>
      </c>
      <c r="J1802">
        <v>11.6729810329679</v>
      </c>
      <c r="K1802">
        <v>12.3744138847263</v>
      </c>
      <c r="L1802">
        <v>13.6956003953653</v>
      </c>
      <c r="M1802">
        <v>13.798344440347799</v>
      </c>
      <c r="N1802">
        <v>13.0774144268673</v>
      </c>
      <c r="O1802">
        <v>13.5570983840871</v>
      </c>
      <c r="P1802">
        <v>0.896620646080864</v>
      </c>
      <c r="Q1802">
        <v>-0.33069526969629198</v>
      </c>
      <c r="R1802">
        <v>2.1239365618580202</v>
      </c>
      <c r="S1802">
        <v>13.1652087181214</v>
      </c>
      <c r="T1802">
        <v>1.5420639410589601</v>
      </c>
      <c r="U1802">
        <v>-5.8830744784557103</v>
      </c>
      <c r="V1802">
        <v>0.141579619232481</v>
      </c>
      <c r="W1802">
        <v>0.38763317207745701</v>
      </c>
      <c r="X1802">
        <v>0</v>
      </c>
      <c r="Y1802">
        <v>0</v>
      </c>
    </row>
    <row r="1803" spans="1:25" x14ac:dyDescent="0.2">
      <c r="A1803" t="s">
        <v>6762</v>
      </c>
      <c r="B1803" t="s">
        <v>6763</v>
      </c>
      <c r="C1803" t="s">
        <v>6764</v>
      </c>
      <c r="D1803" t="s">
        <v>6765</v>
      </c>
      <c r="E1803" t="s">
        <v>6763</v>
      </c>
      <c r="F1803" t="s">
        <v>28</v>
      </c>
      <c r="G1803" t="s">
        <v>6763</v>
      </c>
      <c r="H1803" t="str">
        <f>"C05C10.2"</f>
        <v>C05C10.2</v>
      </c>
      <c r="I1803" t="s">
        <v>6765</v>
      </c>
      <c r="J1803">
        <v>11.2445386126453</v>
      </c>
      <c r="K1803">
        <v>11.0979819446109</v>
      </c>
      <c r="L1803">
        <v>11.410969665029899</v>
      </c>
      <c r="M1803">
        <v>9.9690857599742202</v>
      </c>
      <c r="N1803">
        <v>11.4834289139612</v>
      </c>
      <c r="O1803">
        <v>11.2717044205402</v>
      </c>
      <c r="P1803">
        <v>-0.34309037593680197</v>
      </c>
      <c r="Q1803">
        <v>-1.0379661271971901</v>
      </c>
      <c r="R1803">
        <v>0.35178537532358201</v>
      </c>
      <c r="S1803">
        <v>11.7252083990829</v>
      </c>
      <c r="T1803">
        <v>-1.04725130211342</v>
      </c>
      <c r="U1803">
        <v>-6.4927276483431102</v>
      </c>
      <c r="V1803">
        <v>0.310648098588518</v>
      </c>
      <c r="W1803">
        <v>0.58907279301109505</v>
      </c>
      <c r="X1803">
        <v>0</v>
      </c>
      <c r="Y1803">
        <v>0</v>
      </c>
    </row>
    <row r="1804" spans="1:25" x14ac:dyDescent="0.2">
      <c r="A1804" t="s">
        <v>6766</v>
      </c>
      <c r="B1804" t="s">
        <v>6767</v>
      </c>
      <c r="C1804" t="s">
        <v>6768</v>
      </c>
      <c r="D1804" t="s">
        <v>6769</v>
      </c>
      <c r="E1804" t="s">
        <v>6767</v>
      </c>
      <c r="F1804" t="s">
        <v>28</v>
      </c>
      <c r="G1804" t="s">
        <v>6767</v>
      </c>
      <c r="H1804" t="str">
        <f>"C05C10.3"</f>
        <v>C05C10.3</v>
      </c>
      <c r="I1804" t="s">
        <v>6769</v>
      </c>
      <c r="J1804">
        <v>15.5000321497433</v>
      </c>
      <c r="K1804">
        <v>15.2887788118892</v>
      </c>
      <c r="L1804">
        <v>15.4775470137872</v>
      </c>
      <c r="M1804">
        <v>15.159695676035099</v>
      </c>
      <c r="N1804">
        <v>15.3241407083017</v>
      </c>
      <c r="O1804">
        <v>15.423397182470101</v>
      </c>
      <c r="P1804">
        <v>-0.11970813620427</v>
      </c>
      <c r="Q1804">
        <v>-0.49656698479503603</v>
      </c>
      <c r="R1804">
        <v>0.25715071238649501</v>
      </c>
      <c r="S1804">
        <v>15.504801955860399</v>
      </c>
      <c r="T1804">
        <v>-0.66763249325151897</v>
      </c>
      <c r="U1804">
        <v>-6.8213766480895197</v>
      </c>
      <c r="V1804">
        <v>0.51288699550179095</v>
      </c>
      <c r="W1804">
        <v>0.76053261901594305</v>
      </c>
      <c r="X1804">
        <v>0</v>
      </c>
      <c r="Y1804">
        <v>0</v>
      </c>
    </row>
    <row r="1805" spans="1:25" x14ac:dyDescent="0.2">
      <c r="A1805" t="s">
        <v>6770</v>
      </c>
      <c r="B1805" t="s">
        <v>6771</v>
      </c>
      <c r="C1805" t="s">
        <v>6772</v>
      </c>
      <c r="D1805" t="s">
        <v>6773</v>
      </c>
      <c r="E1805" t="s">
        <v>6771</v>
      </c>
      <c r="F1805" t="s">
        <v>28</v>
      </c>
      <c r="G1805" t="s">
        <v>6771</v>
      </c>
      <c r="H1805" t="str">
        <f>"col-39"</f>
        <v>col-39</v>
      </c>
      <c r="I1805" t="s">
        <v>6773</v>
      </c>
      <c r="J1805" t="s">
        <v>29</v>
      </c>
      <c r="K1805">
        <v>11.4706792241945</v>
      </c>
      <c r="L1805">
        <v>12.015391516702101</v>
      </c>
      <c r="M1805" t="s">
        <v>29</v>
      </c>
      <c r="N1805">
        <v>9.8289085666823901</v>
      </c>
      <c r="O1805" t="s">
        <v>29</v>
      </c>
      <c r="P1805">
        <v>-1.9141268037659001</v>
      </c>
      <c r="Q1805">
        <v>-2.6552252914052801</v>
      </c>
      <c r="R1805">
        <v>-1.17302831612651</v>
      </c>
      <c r="S1805">
        <v>11.6313301138653</v>
      </c>
      <c r="T1805">
        <v>-5.5844707713086299</v>
      </c>
      <c r="U1805">
        <v>1.6188732613215999</v>
      </c>
      <c r="V1805" s="2">
        <v>9.1234911769590195E-5</v>
      </c>
      <c r="W1805">
        <v>2.89869847716489E-3</v>
      </c>
      <c r="X1805">
        <v>-1</v>
      </c>
      <c r="Y1805">
        <v>-1</v>
      </c>
    </row>
    <row r="1806" spans="1:25" x14ac:dyDescent="0.2">
      <c r="A1806" t="s">
        <v>6774</v>
      </c>
      <c r="B1806" t="s">
        <v>6775</v>
      </c>
      <c r="C1806" t="s">
        <v>6776</v>
      </c>
      <c r="D1806" t="s">
        <v>6777</v>
      </c>
      <c r="E1806" t="s">
        <v>6775</v>
      </c>
      <c r="F1806" t="s">
        <v>28</v>
      </c>
      <c r="G1806" t="s">
        <v>6775</v>
      </c>
      <c r="H1806" t="str">
        <f>"C16C10.2"</f>
        <v>C16C10.2</v>
      </c>
      <c r="I1806" t="s">
        <v>6777</v>
      </c>
      <c r="J1806" t="s">
        <v>29</v>
      </c>
      <c r="K1806" t="s">
        <v>29</v>
      </c>
      <c r="L1806">
        <v>10.8528105195204</v>
      </c>
      <c r="M1806" t="s">
        <v>29</v>
      </c>
      <c r="N1806" t="s">
        <v>29</v>
      </c>
      <c r="O1806" t="s">
        <v>29</v>
      </c>
      <c r="P1806" t="s">
        <v>29</v>
      </c>
      <c r="Q1806" t="s">
        <v>29</v>
      </c>
      <c r="R1806" t="s">
        <v>29</v>
      </c>
      <c r="S1806">
        <v>12.355522348865801</v>
      </c>
      <c r="T1806" t="s">
        <v>29</v>
      </c>
      <c r="U1806" t="s">
        <v>29</v>
      </c>
      <c r="V1806" t="s">
        <v>29</v>
      </c>
      <c r="W1806" t="s">
        <v>29</v>
      </c>
      <c r="X1806" t="s">
        <v>29</v>
      </c>
      <c r="Y1806" t="s">
        <v>29</v>
      </c>
    </row>
    <row r="1807" spans="1:25" x14ac:dyDescent="0.2">
      <c r="A1807" t="s">
        <v>6778</v>
      </c>
      <c r="B1807" t="s">
        <v>6779</v>
      </c>
      <c r="C1807" t="s">
        <v>6780</v>
      </c>
      <c r="D1807" t="s">
        <v>6781</v>
      </c>
      <c r="E1807" t="s">
        <v>6779</v>
      </c>
      <c r="F1807" t="s">
        <v>28</v>
      </c>
      <c r="G1807" t="s">
        <v>6779</v>
      </c>
      <c r="H1807" t="str">
        <f>"C16C10.8"</f>
        <v>C16C10.8</v>
      </c>
      <c r="I1807" t="s">
        <v>6781</v>
      </c>
      <c r="J1807" t="s">
        <v>29</v>
      </c>
      <c r="K1807" t="s">
        <v>29</v>
      </c>
      <c r="L1807" t="s">
        <v>29</v>
      </c>
      <c r="M1807" t="s">
        <v>29</v>
      </c>
      <c r="N1807" t="s">
        <v>29</v>
      </c>
      <c r="O1807" t="s">
        <v>29</v>
      </c>
      <c r="P1807" t="s">
        <v>29</v>
      </c>
      <c r="Q1807" t="s">
        <v>29</v>
      </c>
      <c r="R1807" t="s">
        <v>29</v>
      </c>
      <c r="S1807">
        <v>13.2910608164353</v>
      </c>
      <c r="T1807" t="s">
        <v>29</v>
      </c>
      <c r="U1807" t="s">
        <v>29</v>
      </c>
      <c r="V1807" t="s">
        <v>29</v>
      </c>
      <c r="W1807" t="s">
        <v>29</v>
      </c>
      <c r="X1807" t="s">
        <v>29</v>
      </c>
      <c r="Y1807" t="s">
        <v>29</v>
      </c>
    </row>
    <row r="1808" spans="1:25" x14ac:dyDescent="0.2">
      <c r="A1808" t="s">
        <v>6782</v>
      </c>
      <c r="B1808" t="s">
        <v>6783</v>
      </c>
      <c r="C1808" t="s">
        <v>6784</v>
      </c>
      <c r="D1808" t="s">
        <v>6785</v>
      </c>
      <c r="E1808" t="s">
        <v>6783</v>
      </c>
      <c r="F1808" t="s">
        <v>28</v>
      </c>
      <c r="G1808" t="s">
        <v>6783</v>
      </c>
      <c r="H1808" t="str">
        <f>"tdo-2"</f>
        <v>tdo-2</v>
      </c>
      <c r="I1808" t="s">
        <v>6785</v>
      </c>
      <c r="J1808">
        <v>12.4614333638552</v>
      </c>
      <c r="K1808">
        <v>12.601271399343601</v>
      </c>
      <c r="L1808">
        <v>13.832710655138801</v>
      </c>
      <c r="M1808">
        <v>16.409823596609598</v>
      </c>
      <c r="N1808">
        <v>16.448871337967802</v>
      </c>
      <c r="O1808">
        <v>15.9969353365403</v>
      </c>
      <c r="P1808">
        <v>3.3200716175933902</v>
      </c>
      <c r="Q1808">
        <v>2.41751179488918</v>
      </c>
      <c r="R1808">
        <v>4.2226314402976</v>
      </c>
      <c r="S1808">
        <v>14.862413876385</v>
      </c>
      <c r="T1808">
        <v>7.7315037006492204</v>
      </c>
      <c r="U1808">
        <v>6.5875583212097002</v>
      </c>
      <c r="V1808" s="2">
        <v>4.1281459870545801E-7</v>
      </c>
      <c r="W1808" s="2">
        <v>2.7414259269133901E-5</v>
      </c>
      <c r="X1808">
        <v>1</v>
      </c>
      <c r="Y1808">
        <v>1</v>
      </c>
    </row>
    <row r="1809" spans="1:25" x14ac:dyDescent="0.2">
      <c r="A1809" t="s">
        <v>6786</v>
      </c>
      <c r="B1809" t="s">
        <v>6787</v>
      </c>
      <c r="C1809" t="s">
        <v>6788</v>
      </c>
      <c r="D1809" t="s">
        <v>6789</v>
      </c>
      <c r="E1809" t="s">
        <v>6787</v>
      </c>
      <c r="F1809" t="s">
        <v>28</v>
      </c>
      <c r="G1809" t="s">
        <v>6787</v>
      </c>
      <c r="H1809" t="str">
        <f>"C28H8.3"</f>
        <v>C28H8.3</v>
      </c>
      <c r="I1809" t="s">
        <v>6789</v>
      </c>
      <c r="J1809">
        <v>17.196659865704</v>
      </c>
      <c r="K1809">
        <v>16.974915183106901</v>
      </c>
      <c r="L1809">
        <v>16.9622738685519</v>
      </c>
      <c r="M1809">
        <v>17.0902359790662</v>
      </c>
      <c r="N1809">
        <v>17.445539235466999</v>
      </c>
      <c r="O1809">
        <v>17.036294304783301</v>
      </c>
      <c r="P1809">
        <v>0.14607353398453399</v>
      </c>
      <c r="Q1809">
        <v>-0.191989957766624</v>
      </c>
      <c r="R1809">
        <v>0.48413702573569301</v>
      </c>
      <c r="S1809">
        <v>16.957170355173101</v>
      </c>
      <c r="T1809">
        <v>0.90816712493028995</v>
      </c>
      <c r="U1809">
        <v>-6.6295913912471303</v>
      </c>
      <c r="V1809">
        <v>0.375858474694237</v>
      </c>
      <c r="W1809">
        <v>0.65092880840919398</v>
      </c>
      <c r="X1809">
        <v>0</v>
      </c>
      <c r="Y1809">
        <v>0</v>
      </c>
    </row>
    <row r="1810" spans="1:25" x14ac:dyDescent="0.2">
      <c r="A1810" t="s">
        <v>6790</v>
      </c>
      <c r="B1810" t="s">
        <v>6791</v>
      </c>
      <c r="C1810" t="s">
        <v>6792</v>
      </c>
      <c r="D1810" t="s">
        <v>3246</v>
      </c>
      <c r="E1810" t="s">
        <v>6791</v>
      </c>
      <c r="F1810" t="s">
        <v>28</v>
      </c>
      <c r="G1810" t="s">
        <v>6791</v>
      </c>
      <c r="H1810" t="str">
        <f>"C30G12.2"</f>
        <v>C30G12.2</v>
      </c>
      <c r="I1810" t="s">
        <v>3246</v>
      </c>
      <c r="J1810">
        <v>15.4869846887437</v>
      </c>
      <c r="K1810">
        <v>14.7691192606794</v>
      </c>
      <c r="L1810">
        <v>15.7795224839174</v>
      </c>
      <c r="M1810">
        <v>14.876562402610601</v>
      </c>
      <c r="N1810">
        <v>15.277491774885901</v>
      </c>
      <c r="O1810">
        <v>14.667807347358499</v>
      </c>
      <c r="P1810">
        <v>-0.40458830282849501</v>
      </c>
      <c r="Q1810">
        <v>-0.97052394988791901</v>
      </c>
      <c r="R1810">
        <v>0.161347344230929</v>
      </c>
      <c r="S1810">
        <v>14.9296655676248</v>
      </c>
      <c r="T1810">
        <v>-1.5025840888003299</v>
      </c>
      <c r="U1810">
        <v>-5.9382850272082299</v>
      </c>
      <c r="V1810">
        <v>0.15038795100949701</v>
      </c>
      <c r="W1810">
        <v>0.402122908413103</v>
      </c>
      <c r="X1810">
        <v>0</v>
      </c>
      <c r="Y1810">
        <v>0</v>
      </c>
    </row>
    <row r="1811" spans="1:25" x14ac:dyDescent="0.2">
      <c r="A1811" t="s">
        <v>6793</v>
      </c>
      <c r="B1811" t="s">
        <v>6794</v>
      </c>
      <c r="C1811" t="s">
        <v>6795</v>
      </c>
      <c r="D1811" t="s">
        <v>6796</v>
      </c>
      <c r="E1811" t="s">
        <v>6794</v>
      </c>
      <c r="F1811" t="s">
        <v>28</v>
      </c>
      <c r="G1811" t="s">
        <v>6794</v>
      </c>
      <c r="H1811" t="str">
        <f>"puf-8"</f>
        <v>puf-8</v>
      </c>
      <c r="I1811" t="s">
        <v>6796</v>
      </c>
      <c r="J1811" t="s">
        <v>29</v>
      </c>
      <c r="K1811" t="s">
        <v>29</v>
      </c>
      <c r="L1811" t="s">
        <v>29</v>
      </c>
      <c r="M1811" t="s">
        <v>29</v>
      </c>
      <c r="N1811" t="s">
        <v>29</v>
      </c>
      <c r="O1811" t="s">
        <v>29</v>
      </c>
      <c r="P1811" t="s">
        <v>29</v>
      </c>
      <c r="Q1811" t="s">
        <v>29</v>
      </c>
      <c r="R1811" t="s">
        <v>29</v>
      </c>
      <c r="S1811">
        <v>13.246720639092599</v>
      </c>
      <c r="T1811" t="s">
        <v>29</v>
      </c>
      <c r="U1811" t="s">
        <v>29</v>
      </c>
      <c r="V1811" t="s">
        <v>29</v>
      </c>
      <c r="W1811" t="s">
        <v>29</v>
      </c>
      <c r="X1811" t="s">
        <v>29</v>
      </c>
      <c r="Y1811" t="s">
        <v>29</v>
      </c>
    </row>
    <row r="1812" spans="1:25" x14ac:dyDescent="0.2">
      <c r="A1812" t="s">
        <v>6797</v>
      </c>
      <c r="B1812" t="s">
        <v>6798</v>
      </c>
      <c r="C1812" t="s">
        <v>6799</v>
      </c>
      <c r="D1812" t="s">
        <v>297</v>
      </c>
      <c r="E1812" t="s">
        <v>6798</v>
      </c>
      <c r="F1812" t="s">
        <v>28</v>
      </c>
      <c r="G1812" t="s">
        <v>6798</v>
      </c>
      <c r="H1812" t="str">
        <f>"C34C12.2"</f>
        <v>C34C12.2</v>
      </c>
      <c r="I1812" t="s">
        <v>297</v>
      </c>
      <c r="J1812" t="s">
        <v>29</v>
      </c>
      <c r="K1812" t="s">
        <v>29</v>
      </c>
      <c r="L1812" t="s">
        <v>29</v>
      </c>
      <c r="M1812" t="s">
        <v>29</v>
      </c>
      <c r="N1812">
        <v>10.9967850538784</v>
      </c>
      <c r="O1812" t="s">
        <v>29</v>
      </c>
      <c r="P1812" t="s">
        <v>29</v>
      </c>
      <c r="Q1812" t="s">
        <v>29</v>
      </c>
      <c r="R1812" t="s">
        <v>29</v>
      </c>
      <c r="S1812">
        <v>12.423550488088299</v>
      </c>
      <c r="T1812" t="s">
        <v>29</v>
      </c>
      <c r="U1812" t="s">
        <v>29</v>
      </c>
      <c r="V1812" t="s">
        <v>29</v>
      </c>
      <c r="W1812" t="s">
        <v>29</v>
      </c>
      <c r="X1812" t="s">
        <v>29</v>
      </c>
      <c r="Y1812" t="s">
        <v>29</v>
      </c>
    </row>
    <row r="1813" spans="1:25" x14ac:dyDescent="0.2">
      <c r="A1813" t="s">
        <v>6800</v>
      </c>
      <c r="B1813" t="s">
        <v>6801</v>
      </c>
      <c r="C1813" t="s">
        <v>6802</v>
      </c>
      <c r="D1813" t="s">
        <v>6803</v>
      </c>
      <c r="E1813" t="s">
        <v>6801</v>
      </c>
      <c r="F1813" t="s">
        <v>28</v>
      </c>
      <c r="G1813" t="s">
        <v>6801</v>
      </c>
      <c r="H1813" t="str">
        <f>"ire-1"</f>
        <v>ire-1</v>
      </c>
      <c r="I1813" t="s">
        <v>6803</v>
      </c>
      <c r="J1813" t="s">
        <v>29</v>
      </c>
      <c r="K1813" t="s">
        <v>29</v>
      </c>
      <c r="L1813" t="s">
        <v>29</v>
      </c>
      <c r="M1813" t="s">
        <v>29</v>
      </c>
      <c r="N1813" t="s">
        <v>29</v>
      </c>
      <c r="O1813" t="s">
        <v>29</v>
      </c>
      <c r="P1813" t="s">
        <v>29</v>
      </c>
      <c r="Q1813" t="s">
        <v>29</v>
      </c>
      <c r="R1813" t="s">
        <v>29</v>
      </c>
      <c r="S1813">
        <v>12.0958387099022</v>
      </c>
      <c r="T1813" t="s">
        <v>29</v>
      </c>
      <c r="U1813" t="s">
        <v>29</v>
      </c>
      <c r="V1813" t="s">
        <v>29</v>
      </c>
      <c r="W1813" t="s">
        <v>29</v>
      </c>
      <c r="X1813" t="s">
        <v>29</v>
      </c>
      <c r="Y1813" t="s">
        <v>29</v>
      </c>
    </row>
    <row r="1814" spans="1:25" x14ac:dyDescent="0.2">
      <c r="A1814" t="s">
        <v>6804</v>
      </c>
      <c r="B1814" t="s">
        <v>6805</v>
      </c>
      <c r="C1814" t="s">
        <v>6806</v>
      </c>
      <c r="D1814" t="s">
        <v>6807</v>
      </c>
      <c r="E1814" t="s">
        <v>6805</v>
      </c>
      <c r="F1814" t="s">
        <v>28</v>
      </c>
      <c r="G1814" t="s">
        <v>6805</v>
      </c>
      <c r="H1814" t="str">
        <f>"ctns-1"</f>
        <v>ctns-1</v>
      </c>
      <c r="I1814" t="s">
        <v>6807</v>
      </c>
      <c r="J1814">
        <v>12.675470943982999</v>
      </c>
      <c r="K1814" t="s">
        <v>29</v>
      </c>
      <c r="L1814">
        <v>12.639913112045299</v>
      </c>
      <c r="M1814">
        <v>11.151783835677101</v>
      </c>
      <c r="N1814" t="s">
        <v>29</v>
      </c>
      <c r="O1814" t="s">
        <v>29</v>
      </c>
      <c r="P1814">
        <v>-1.5059081923370501</v>
      </c>
      <c r="Q1814">
        <v>-2.74314687515376</v>
      </c>
      <c r="R1814">
        <v>-0.26866950952033802</v>
      </c>
      <c r="S1814">
        <v>12.4946659183748</v>
      </c>
      <c r="T1814">
        <v>-2.6545445510187</v>
      </c>
      <c r="U1814">
        <v>-3.7137694914502202</v>
      </c>
      <c r="V1814">
        <v>2.1136741510902401E-2</v>
      </c>
      <c r="W1814">
        <v>0.14065226355107699</v>
      </c>
      <c r="X1814">
        <v>-1</v>
      </c>
      <c r="Y1814">
        <v>0</v>
      </c>
    </row>
    <row r="1815" spans="1:25" x14ac:dyDescent="0.2">
      <c r="A1815" t="s">
        <v>6808</v>
      </c>
      <c r="B1815" t="s">
        <v>6809</v>
      </c>
      <c r="C1815" t="s">
        <v>6810</v>
      </c>
      <c r="D1815" t="s">
        <v>6811</v>
      </c>
      <c r="E1815" t="s">
        <v>6809</v>
      </c>
      <c r="F1815" t="s">
        <v>28</v>
      </c>
      <c r="G1815" t="s">
        <v>6809</v>
      </c>
      <c r="H1815" t="str">
        <f>"ifp-1"</f>
        <v>ifp-1</v>
      </c>
      <c r="I1815" t="s">
        <v>6811</v>
      </c>
      <c r="J1815">
        <v>13.1611982343839</v>
      </c>
      <c r="K1815">
        <v>13.624849079251</v>
      </c>
      <c r="L1815">
        <v>15.380514501470101</v>
      </c>
      <c r="M1815">
        <v>14.021519270330501</v>
      </c>
      <c r="N1815">
        <v>14.965356289810099</v>
      </c>
      <c r="O1815">
        <v>14.452776968442601</v>
      </c>
      <c r="P1815">
        <v>0.424363571159388</v>
      </c>
      <c r="Q1815">
        <v>-0.79344060463781796</v>
      </c>
      <c r="R1815">
        <v>1.6421677469565901</v>
      </c>
      <c r="S1815">
        <v>14.0516844308482</v>
      </c>
      <c r="T1815">
        <v>0.73240811862085398</v>
      </c>
      <c r="U1815">
        <v>-6.7751287106465004</v>
      </c>
      <c r="V1815">
        <v>0.47340407619785702</v>
      </c>
      <c r="W1815">
        <v>0.73434291086317804</v>
      </c>
      <c r="X1815">
        <v>0</v>
      </c>
      <c r="Y1815">
        <v>0</v>
      </c>
    </row>
    <row r="1816" spans="1:25" x14ac:dyDescent="0.2">
      <c r="A1816" t="s">
        <v>6812</v>
      </c>
      <c r="B1816" t="s">
        <v>6813</v>
      </c>
      <c r="C1816" t="s">
        <v>6814</v>
      </c>
      <c r="D1816" t="s">
        <v>6815</v>
      </c>
      <c r="E1816" t="s">
        <v>6813</v>
      </c>
      <c r="F1816" t="s">
        <v>28</v>
      </c>
      <c r="G1816" t="s">
        <v>6813</v>
      </c>
      <c r="H1816" t="str">
        <f>"C45G9.9"</f>
        <v>C45G9.9</v>
      </c>
      <c r="I1816" t="s">
        <v>6815</v>
      </c>
      <c r="J1816">
        <v>13.981621705739601</v>
      </c>
      <c r="K1816">
        <v>11.906986875152199</v>
      </c>
      <c r="L1816">
        <v>14.1589647655425</v>
      </c>
      <c r="M1816">
        <v>13.147707564377299</v>
      </c>
      <c r="N1816">
        <v>15.125601247753799</v>
      </c>
      <c r="O1816">
        <v>14.5069351261857</v>
      </c>
      <c r="P1816">
        <v>0.91089019729416199</v>
      </c>
      <c r="Q1816">
        <v>-0.468372374716371</v>
      </c>
      <c r="R1816">
        <v>2.2901527693046901</v>
      </c>
      <c r="S1816">
        <v>13.0967715750169</v>
      </c>
      <c r="T1816">
        <v>1.40077572490073</v>
      </c>
      <c r="U1816">
        <v>-6.0764463184364503</v>
      </c>
      <c r="V1816">
        <v>0.180500920768533</v>
      </c>
      <c r="W1816">
        <v>0.44395313392351199</v>
      </c>
      <c r="X1816">
        <v>0</v>
      </c>
      <c r="Y1816">
        <v>0</v>
      </c>
    </row>
    <row r="1817" spans="1:25" x14ac:dyDescent="0.2">
      <c r="A1817" t="s">
        <v>6816</v>
      </c>
      <c r="B1817" t="s">
        <v>6817</v>
      </c>
      <c r="C1817" t="s">
        <v>6818</v>
      </c>
      <c r="D1817" t="s">
        <v>3919</v>
      </c>
      <c r="E1817" t="s">
        <v>6817</v>
      </c>
      <c r="F1817" t="s">
        <v>28</v>
      </c>
      <c r="G1817" t="s">
        <v>6817</v>
      </c>
      <c r="H1817" t="str">
        <f>"sdha-1"</f>
        <v>sdha-1</v>
      </c>
      <c r="I1817" t="s">
        <v>3919</v>
      </c>
      <c r="J1817">
        <v>14.95241366316</v>
      </c>
      <c r="K1817">
        <v>14.9512385001675</v>
      </c>
      <c r="L1817">
        <v>14.839848479669699</v>
      </c>
      <c r="M1817">
        <v>14.4409332095472</v>
      </c>
      <c r="N1817">
        <v>14.2869651866248</v>
      </c>
      <c r="O1817">
        <v>14.718661561330499</v>
      </c>
      <c r="P1817">
        <v>-0.43231356183157899</v>
      </c>
      <c r="Q1817">
        <v>-0.84118654431170803</v>
      </c>
      <c r="R1817">
        <v>-2.3440579351450001E-2</v>
      </c>
      <c r="S1817">
        <v>14.8055170793562</v>
      </c>
      <c r="T1817">
        <v>-2.2223013940140799</v>
      </c>
      <c r="U1817">
        <v>-4.7687365328096796</v>
      </c>
      <c r="V1817">
        <v>3.9398475562019301E-2</v>
      </c>
      <c r="W1817">
        <v>0.19662981515155001</v>
      </c>
      <c r="X1817">
        <v>0</v>
      </c>
      <c r="Y1817">
        <v>0</v>
      </c>
    </row>
    <row r="1818" spans="1:25" x14ac:dyDescent="0.2">
      <c r="A1818" t="s">
        <v>6819</v>
      </c>
      <c r="B1818" t="s">
        <v>6820</v>
      </c>
      <c r="C1818" t="s">
        <v>6821</v>
      </c>
      <c r="D1818" t="s">
        <v>6822</v>
      </c>
      <c r="E1818" t="s">
        <v>6820</v>
      </c>
      <c r="F1818" t="s">
        <v>28</v>
      </c>
      <c r="G1818" t="s">
        <v>6820</v>
      </c>
      <c r="H1818" t="str">
        <f>"F25B5.6"</f>
        <v>F25B5.6</v>
      </c>
      <c r="I1818" t="s">
        <v>6822</v>
      </c>
      <c r="J1818">
        <v>13.306788826489001</v>
      </c>
      <c r="K1818">
        <v>13.457426981523099</v>
      </c>
      <c r="L1818">
        <v>13.2610998181603</v>
      </c>
      <c r="M1818">
        <v>14.2232571736717</v>
      </c>
      <c r="N1818">
        <v>14.5275000417539</v>
      </c>
      <c r="O1818">
        <v>14.261233373002799</v>
      </c>
      <c r="P1818">
        <v>0.99555832075199502</v>
      </c>
      <c r="Q1818">
        <v>0.51283456824739604</v>
      </c>
      <c r="R1818">
        <v>1.47828207325659</v>
      </c>
      <c r="S1818">
        <v>14.214810013398001</v>
      </c>
      <c r="T1818">
        <v>4.3347150211859899</v>
      </c>
      <c r="U1818">
        <v>-0.34285574209549602</v>
      </c>
      <c r="V1818">
        <v>4.04068127070845E-4</v>
      </c>
      <c r="W1818">
        <v>9.1946691292904299E-3</v>
      </c>
      <c r="X1818">
        <v>0</v>
      </c>
      <c r="Y1818">
        <v>0</v>
      </c>
    </row>
    <row r="1819" spans="1:25" x14ac:dyDescent="0.2">
      <c r="A1819" t="s">
        <v>6823</v>
      </c>
      <c r="B1819" t="s">
        <v>6824</v>
      </c>
      <c r="C1819" t="s">
        <v>6825</v>
      </c>
      <c r="D1819" t="s">
        <v>6826</v>
      </c>
      <c r="E1819" t="s">
        <v>6824</v>
      </c>
      <c r="F1819" t="s">
        <v>28</v>
      </c>
      <c r="G1819" t="s">
        <v>6824</v>
      </c>
      <c r="H1819" t="str">
        <f>"mlc-4"</f>
        <v>mlc-4</v>
      </c>
      <c r="I1819" t="s">
        <v>6826</v>
      </c>
      <c r="J1819" t="s">
        <v>29</v>
      </c>
      <c r="K1819">
        <v>13.4188667285907</v>
      </c>
      <c r="L1819">
        <v>12.0096905786723</v>
      </c>
      <c r="M1819">
        <v>12.8492683816247</v>
      </c>
      <c r="N1819">
        <v>12.367675300314399</v>
      </c>
      <c r="O1819">
        <v>11.622072789100899</v>
      </c>
      <c r="P1819">
        <v>-0.43460649661814799</v>
      </c>
      <c r="Q1819">
        <v>-1.70516235901664</v>
      </c>
      <c r="R1819">
        <v>0.83594936578034795</v>
      </c>
      <c r="S1819">
        <v>12.4812001483815</v>
      </c>
      <c r="T1819">
        <v>-0.72552432766764896</v>
      </c>
      <c r="U1819">
        <v>-6.6687760747659803</v>
      </c>
      <c r="V1819">
        <v>0.47867719029709199</v>
      </c>
      <c r="W1819">
        <v>0.73773658901059702</v>
      </c>
      <c r="X1819">
        <v>0</v>
      </c>
      <c r="Y1819">
        <v>0</v>
      </c>
    </row>
    <row r="1820" spans="1:25" x14ac:dyDescent="0.2">
      <c r="A1820" t="s">
        <v>6827</v>
      </c>
      <c r="B1820" t="s">
        <v>6828</v>
      </c>
      <c r="C1820" t="s">
        <v>6829</v>
      </c>
      <c r="D1820" t="s">
        <v>6830</v>
      </c>
      <c r="E1820" t="s">
        <v>6828</v>
      </c>
      <c r="F1820" t="s">
        <v>28</v>
      </c>
      <c r="G1820" t="s">
        <v>6828</v>
      </c>
      <c r="H1820" t="str">
        <f>"rsp-4"</f>
        <v>rsp-4</v>
      </c>
      <c r="I1820" t="s">
        <v>6830</v>
      </c>
      <c r="J1820">
        <v>12.908904928448001</v>
      </c>
      <c r="K1820">
        <v>13.521369424284799</v>
      </c>
      <c r="L1820">
        <v>12.9428158918387</v>
      </c>
      <c r="M1820">
        <v>13.4446314784163</v>
      </c>
      <c r="N1820">
        <v>13.2086819609431</v>
      </c>
      <c r="O1820">
        <v>13.882224599734</v>
      </c>
      <c r="P1820">
        <v>0.38748259817396802</v>
      </c>
      <c r="Q1820">
        <v>-0.29107065684363298</v>
      </c>
      <c r="R1820">
        <v>1.0660358531915699</v>
      </c>
      <c r="S1820">
        <v>13.013306777511801</v>
      </c>
      <c r="T1820">
        <v>1.21789506541394</v>
      </c>
      <c r="U1820">
        <v>-6.3034418791148603</v>
      </c>
      <c r="V1820">
        <v>0.24220552304773799</v>
      </c>
      <c r="W1820">
        <v>0.515458974491392</v>
      </c>
      <c r="X1820">
        <v>0</v>
      </c>
      <c r="Y1820">
        <v>0</v>
      </c>
    </row>
    <row r="1821" spans="1:25" x14ac:dyDescent="0.2">
      <c r="A1821" t="s">
        <v>6831</v>
      </c>
      <c r="B1821" t="s">
        <v>6832</v>
      </c>
      <c r="C1821" t="s">
        <v>6833</v>
      </c>
      <c r="D1821" t="s">
        <v>6834</v>
      </c>
      <c r="E1821" t="s">
        <v>6832</v>
      </c>
      <c r="F1821" t="s">
        <v>28</v>
      </c>
      <c r="G1821" t="s">
        <v>6832</v>
      </c>
      <c r="H1821" t="str">
        <f>"ttll-12"</f>
        <v>ttll-12</v>
      </c>
      <c r="I1821" t="s">
        <v>6834</v>
      </c>
      <c r="J1821">
        <v>14.4221429581403</v>
      </c>
      <c r="K1821">
        <v>14.429770305857801</v>
      </c>
      <c r="L1821">
        <v>14.8246852797018</v>
      </c>
      <c r="M1821">
        <v>14.2688351935338</v>
      </c>
      <c r="N1821">
        <v>14.3140930140744</v>
      </c>
      <c r="O1821">
        <v>14.2446499143535</v>
      </c>
      <c r="P1821">
        <v>-0.28300680724609101</v>
      </c>
      <c r="Q1821">
        <v>-0.69199004900411498</v>
      </c>
      <c r="R1821">
        <v>0.12597643451193299</v>
      </c>
      <c r="S1821">
        <v>14.6008121470391</v>
      </c>
      <c r="T1821">
        <v>-1.4606339202272001</v>
      </c>
      <c r="U1821">
        <v>-5.9963647234620998</v>
      </c>
      <c r="V1821">
        <v>0.162463285563716</v>
      </c>
      <c r="W1821">
        <v>0.41593668861080302</v>
      </c>
      <c r="X1821">
        <v>0</v>
      </c>
      <c r="Y1821">
        <v>0</v>
      </c>
    </row>
    <row r="1822" spans="1:25" x14ac:dyDescent="0.2">
      <c r="A1822" t="s">
        <v>6835</v>
      </c>
      <c r="B1822" t="s">
        <v>6836</v>
      </c>
      <c r="C1822" t="s">
        <v>6837</v>
      </c>
      <c r="D1822" t="s">
        <v>6838</v>
      </c>
      <c r="E1822" t="s">
        <v>6836</v>
      </c>
      <c r="F1822" t="s">
        <v>28</v>
      </c>
      <c r="G1822" t="s">
        <v>6836</v>
      </c>
      <c r="H1822" t="str">
        <f>"let-767"</f>
        <v>let-767</v>
      </c>
      <c r="I1822" t="s">
        <v>6838</v>
      </c>
      <c r="J1822">
        <v>18.773794930679401</v>
      </c>
      <c r="K1822">
        <v>18.5641082004758</v>
      </c>
      <c r="L1822">
        <v>18.485508430688199</v>
      </c>
      <c r="M1822">
        <v>18.172577378755001</v>
      </c>
      <c r="N1822">
        <v>18.383933780758898</v>
      </c>
      <c r="O1822">
        <v>18.0641409634163</v>
      </c>
      <c r="P1822">
        <v>-0.40091981297108997</v>
      </c>
      <c r="Q1822">
        <v>-0.71296971590267999</v>
      </c>
      <c r="R1822">
        <v>-8.8869910039499095E-2</v>
      </c>
      <c r="S1822">
        <v>18.070192025668</v>
      </c>
      <c r="T1822">
        <v>-2.7003868249165199</v>
      </c>
      <c r="U1822">
        <v>-3.8510625058487902</v>
      </c>
      <c r="V1822">
        <v>1.4691473467719899E-2</v>
      </c>
      <c r="W1822">
        <v>0.11194822343324</v>
      </c>
      <c r="X1822">
        <v>0</v>
      </c>
      <c r="Y1822">
        <v>0</v>
      </c>
    </row>
    <row r="1823" spans="1:25" x14ac:dyDescent="0.2">
      <c r="A1823" t="s">
        <v>6839</v>
      </c>
      <c r="B1823" t="s">
        <v>6840</v>
      </c>
      <c r="C1823" t="s">
        <v>6841</v>
      </c>
      <c r="D1823" t="s">
        <v>6842</v>
      </c>
      <c r="E1823" t="s">
        <v>6840</v>
      </c>
      <c r="F1823" t="s">
        <v>28</v>
      </c>
      <c r="G1823" t="s">
        <v>6840</v>
      </c>
      <c r="H1823" t="str">
        <f>"E02H1.1"</f>
        <v>E02H1.1</v>
      </c>
      <c r="I1823" t="s">
        <v>6842</v>
      </c>
      <c r="J1823">
        <v>13.4886363749231</v>
      </c>
      <c r="K1823">
        <v>13.3329230113129</v>
      </c>
      <c r="L1823">
        <v>13.5946951182296</v>
      </c>
      <c r="M1823">
        <v>13.178613213575799</v>
      </c>
      <c r="N1823">
        <v>13.4124540467401</v>
      </c>
      <c r="O1823">
        <v>12.9603728457669</v>
      </c>
      <c r="P1823">
        <v>-0.28827146612759003</v>
      </c>
      <c r="Q1823">
        <v>-0.67775632281007403</v>
      </c>
      <c r="R1823">
        <v>0.10121339055489401</v>
      </c>
      <c r="S1823">
        <v>13.2046564224525</v>
      </c>
      <c r="T1823">
        <v>-1.5698588654110199</v>
      </c>
      <c r="U1823">
        <v>-5.8440747407183</v>
      </c>
      <c r="V1823">
        <v>0.13613863627931899</v>
      </c>
      <c r="W1823">
        <v>0.38123504514019402</v>
      </c>
      <c r="X1823">
        <v>0</v>
      </c>
      <c r="Y1823">
        <v>0</v>
      </c>
    </row>
    <row r="1824" spans="1:25" x14ac:dyDescent="0.2">
      <c r="A1824" t="s">
        <v>6843</v>
      </c>
      <c r="B1824" t="s">
        <v>6844</v>
      </c>
      <c r="C1824" t="s">
        <v>6845</v>
      </c>
      <c r="D1824" t="s">
        <v>6846</v>
      </c>
      <c r="E1824" t="s">
        <v>6844</v>
      </c>
      <c r="F1824" t="s">
        <v>28</v>
      </c>
      <c r="G1824" t="s">
        <v>6844</v>
      </c>
      <c r="H1824" t="str">
        <f>"eral-1"</f>
        <v>eral-1</v>
      </c>
      <c r="I1824" t="s">
        <v>6846</v>
      </c>
      <c r="J1824">
        <v>13.8849317424745</v>
      </c>
      <c r="K1824">
        <v>14.299776761534799</v>
      </c>
      <c r="L1824">
        <v>14.1505162309721</v>
      </c>
      <c r="M1824">
        <v>13.492025858149001</v>
      </c>
      <c r="N1824">
        <v>14.1419149162108</v>
      </c>
      <c r="O1824">
        <v>13.2706451802848</v>
      </c>
      <c r="P1824">
        <v>-0.47687959344563102</v>
      </c>
      <c r="Q1824">
        <v>-1.17984974421891</v>
      </c>
      <c r="R1824">
        <v>0.22609055732764899</v>
      </c>
      <c r="S1824">
        <v>14.2526109703782</v>
      </c>
      <c r="T1824">
        <v>-1.43886942361044</v>
      </c>
      <c r="U1824">
        <v>-6.0258504171724301</v>
      </c>
      <c r="V1824">
        <v>0.169588156624882</v>
      </c>
      <c r="W1824">
        <v>0.42712063595771299</v>
      </c>
      <c r="X1824">
        <v>0</v>
      </c>
      <c r="Y1824">
        <v>0</v>
      </c>
    </row>
    <row r="1825" spans="1:25" x14ac:dyDescent="0.2">
      <c r="A1825" t="s">
        <v>6847</v>
      </c>
      <c r="B1825" t="s">
        <v>6848</v>
      </c>
      <c r="C1825" t="s">
        <v>6849</v>
      </c>
      <c r="D1825" t="s">
        <v>6850</v>
      </c>
      <c r="E1825" t="s">
        <v>6848</v>
      </c>
      <c r="F1825" t="s">
        <v>28</v>
      </c>
      <c r="G1825" t="s">
        <v>6848</v>
      </c>
      <c r="H1825" t="str">
        <f>"tag-124"</f>
        <v>tag-124</v>
      </c>
      <c r="I1825" t="s">
        <v>6850</v>
      </c>
      <c r="J1825">
        <v>12.1679369890612</v>
      </c>
      <c r="K1825">
        <v>12.5483193604011</v>
      </c>
      <c r="L1825">
        <v>12.3832741621958</v>
      </c>
      <c r="M1825">
        <v>11.4890204264911</v>
      </c>
      <c r="N1825">
        <v>12.7316457858312</v>
      </c>
      <c r="O1825">
        <v>14.633114021883401</v>
      </c>
      <c r="P1825">
        <v>0.58474990751586198</v>
      </c>
      <c r="Q1825">
        <v>-0.54987164865910698</v>
      </c>
      <c r="R1825">
        <v>1.7193714636908299</v>
      </c>
      <c r="S1825">
        <v>13.3517434827946</v>
      </c>
      <c r="T1825">
        <v>1.0878503221036899</v>
      </c>
      <c r="U1825">
        <v>-6.45093171807145</v>
      </c>
      <c r="V1825">
        <v>0.29193715107684098</v>
      </c>
      <c r="W1825">
        <v>0.57073294396640095</v>
      </c>
      <c r="X1825">
        <v>0</v>
      </c>
      <c r="Y1825">
        <v>0</v>
      </c>
    </row>
    <row r="1826" spans="1:25" x14ac:dyDescent="0.2">
      <c r="A1826" t="s">
        <v>6851</v>
      </c>
      <c r="B1826" t="s">
        <v>6852</v>
      </c>
      <c r="C1826" t="s">
        <v>6853</v>
      </c>
      <c r="D1826" t="s">
        <v>6854</v>
      </c>
      <c r="E1826" t="s">
        <v>6852</v>
      </c>
      <c r="F1826" t="s">
        <v>28</v>
      </c>
      <c r="G1826" t="s">
        <v>6852</v>
      </c>
      <c r="H1826" t="str">
        <f>"E02H1.6"</f>
        <v>E02H1.6</v>
      </c>
      <c r="I1826" t="s">
        <v>6854</v>
      </c>
      <c r="J1826" t="s">
        <v>29</v>
      </c>
      <c r="K1826" t="s">
        <v>29</v>
      </c>
      <c r="L1826">
        <v>10.7255395012292</v>
      </c>
      <c r="M1826" t="s">
        <v>29</v>
      </c>
      <c r="N1826" t="s">
        <v>29</v>
      </c>
      <c r="O1826">
        <v>9.1800949405472796</v>
      </c>
      <c r="P1826">
        <v>-1.5454445606819101</v>
      </c>
      <c r="Q1826">
        <v>-2.8349538400556402</v>
      </c>
      <c r="R1826">
        <v>-0.25593528130819099</v>
      </c>
      <c r="S1826">
        <v>11.522870846650299</v>
      </c>
      <c r="T1826">
        <v>-2.6742120973132399</v>
      </c>
      <c r="U1826">
        <v>-3.6319346100351799</v>
      </c>
      <c r="V1826">
        <v>2.3523403516549201E-2</v>
      </c>
      <c r="W1826">
        <v>0.14950225594306901</v>
      </c>
      <c r="X1826">
        <v>-1</v>
      </c>
      <c r="Y1826">
        <v>0</v>
      </c>
    </row>
    <row r="1827" spans="1:25" x14ac:dyDescent="0.2">
      <c r="A1827" t="s">
        <v>6855</v>
      </c>
      <c r="B1827" t="s">
        <v>6856</v>
      </c>
      <c r="C1827" t="s">
        <v>6857</v>
      </c>
      <c r="D1827" t="s">
        <v>6858</v>
      </c>
      <c r="E1827" t="s">
        <v>6856</v>
      </c>
      <c r="F1827" t="s">
        <v>28</v>
      </c>
      <c r="G1827" t="s">
        <v>6856</v>
      </c>
      <c r="H1827" t="str">
        <f>"EEED8.2"</f>
        <v>EEED8.2</v>
      </c>
      <c r="I1827" t="s">
        <v>6858</v>
      </c>
      <c r="J1827">
        <v>10.1524930149574</v>
      </c>
      <c r="K1827">
        <v>10.0604851167577</v>
      </c>
      <c r="L1827">
        <v>10.046570889634401</v>
      </c>
      <c r="M1827" t="s">
        <v>29</v>
      </c>
      <c r="N1827">
        <v>9.7689029803335004</v>
      </c>
      <c r="O1827" t="s">
        <v>29</v>
      </c>
      <c r="P1827">
        <v>-0.317613360116351</v>
      </c>
      <c r="Q1827">
        <v>-1.3170486665567001</v>
      </c>
      <c r="R1827">
        <v>0.68182194632399795</v>
      </c>
      <c r="S1827">
        <v>10.490729755846701</v>
      </c>
      <c r="T1827">
        <v>-0.70910568197715496</v>
      </c>
      <c r="U1827">
        <v>-6.4431862399503101</v>
      </c>
      <c r="V1827">
        <v>0.49462701434703699</v>
      </c>
      <c r="W1827">
        <v>0.74722205417142895</v>
      </c>
      <c r="X1827">
        <v>0</v>
      </c>
      <c r="Y1827">
        <v>0</v>
      </c>
    </row>
    <row r="1828" spans="1:25" x14ac:dyDescent="0.2">
      <c r="A1828" t="s">
        <v>6859</v>
      </c>
      <c r="B1828" t="s">
        <v>6860</v>
      </c>
      <c r="C1828" t="s">
        <v>6861</v>
      </c>
      <c r="D1828" t="s">
        <v>6862</v>
      </c>
      <c r="E1828" t="s">
        <v>6860</v>
      </c>
      <c r="F1828" t="s">
        <v>28</v>
      </c>
      <c r="G1828" t="s">
        <v>6860</v>
      </c>
      <c r="H1828" t="str">
        <f>"mog-5"</f>
        <v>mog-5</v>
      </c>
      <c r="I1828" t="s">
        <v>6862</v>
      </c>
      <c r="J1828">
        <v>14.442534151710699</v>
      </c>
      <c r="K1828">
        <v>14.5633414034999</v>
      </c>
      <c r="L1828">
        <v>14.630548652737399</v>
      </c>
      <c r="M1828">
        <v>14.3693556429045</v>
      </c>
      <c r="N1828">
        <v>14.269442693893099</v>
      </c>
      <c r="O1828">
        <v>14.3709542188742</v>
      </c>
      <c r="P1828">
        <v>-0.20889055075872601</v>
      </c>
      <c r="Q1828">
        <v>-0.71774280075697605</v>
      </c>
      <c r="R1828">
        <v>0.29996169923952398</v>
      </c>
      <c r="S1828">
        <v>14.656683469774</v>
      </c>
      <c r="T1828">
        <v>-0.86281881892151102</v>
      </c>
      <c r="U1828">
        <v>-6.6698988157742303</v>
      </c>
      <c r="V1828">
        <v>0.39965318185689402</v>
      </c>
      <c r="W1828">
        <v>0.67368914417875303</v>
      </c>
      <c r="X1828">
        <v>0</v>
      </c>
      <c r="Y1828">
        <v>0</v>
      </c>
    </row>
    <row r="1829" spans="1:25" x14ac:dyDescent="0.2">
      <c r="A1829" t="s">
        <v>6863</v>
      </c>
      <c r="B1829" t="s">
        <v>6864</v>
      </c>
      <c r="C1829" t="s">
        <v>6865</v>
      </c>
      <c r="D1829" t="s">
        <v>6866</v>
      </c>
      <c r="E1829" t="s">
        <v>6864</v>
      </c>
      <c r="F1829" t="s">
        <v>28</v>
      </c>
      <c r="G1829" t="s">
        <v>6864</v>
      </c>
      <c r="H1829" t="str">
        <f>"F07F6.4"</f>
        <v>F07F6.4</v>
      </c>
      <c r="I1829" t="s">
        <v>6866</v>
      </c>
      <c r="J1829">
        <v>14.1980517960254</v>
      </c>
      <c r="K1829">
        <v>14.063770152484199</v>
      </c>
      <c r="L1829">
        <v>13.7699777867577</v>
      </c>
      <c r="M1829">
        <v>15.2812964067633</v>
      </c>
      <c r="N1829">
        <v>14.9167046856084</v>
      </c>
      <c r="O1829">
        <v>14.6206794133575</v>
      </c>
      <c r="P1829">
        <v>0.92896025682063799</v>
      </c>
      <c r="Q1829">
        <v>0.21757577787431101</v>
      </c>
      <c r="R1829">
        <v>1.64034473576696</v>
      </c>
      <c r="S1829">
        <v>13.899691796130901</v>
      </c>
      <c r="T1829">
        <v>2.7564033044841301</v>
      </c>
      <c r="U1829">
        <v>-3.7588429172906999</v>
      </c>
      <c r="V1829">
        <v>1.3541180527405E-2</v>
      </c>
      <c r="W1829">
        <v>0.108262902791587</v>
      </c>
      <c r="X1829">
        <v>0</v>
      </c>
      <c r="Y1829">
        <v>0</v>
      </c>
    </row>
    <row r="1830" spans="1:25" x14ac:dyDescent="0.2">
      <c r="A1830" t="s">
        <v>6867</v>
      </c>
      <c r="B1830" t="s">
        <v>6868</v>
      </c>
      <c r="C1830" t="s">
        <v>6869</v>
      </c>
      <c r="D1830" t="s">
        <v>6870</v>
      </c>
      <c r="E1830" t="s">
        <v>6868</v>
      </c>
      <c r="F1830" t="s">
        <v>28</v>
      </c>
      <c r="G1830" t="s">
        <v>6868</v>
      </c>
      <c r="H1830" t="str">
        <f>"rpl-10"</f>
        <v>rpl-10</v>
      </c>
      <c r="I1830" t="s">
        <v>6870</v>
      </c>
      <c r="J1830">
        <v>21.128464736999799</v>
      </c>
      <c r="K1830">
        <v>20.9444299617866</v>
      </c>
      <c r="L1830">
        <v>21.185201294728198</v>
      </c>
      <c r="M1830">
        <v>20.634414489418401</v>
      </c>
      <c r="N1830">
        <v>20.709541908288202</v>
      </c>
      <c r="O1830">
        <v>20.618739617155299</v>
      </c>
      <c r="P1830">
        <v>-0.43179999288424797</v>
      </c>
      <c r="Q1830">
        <v>-0.76829145032343904</v>
      </c>
      <c r="R1830">
        <v>-9.5308535445056505E-2</v>
      </c>
      <c r="S1830">
        <v>21.151149589712301</v>
      </c>
      <c r="T1830">
        <v>-2.69712516280903</v>
      </c>
      <c r="U1830">
        <v>-3.85760022986284</v>
      </c>
      <c r="V1830">
        <v>1.47934038341405E-2</v>
      </c>
      <c r="W1830">
        <v>0.11194822343324</v>
      </c>
      <c r="X1830">
        <v>0</v>
      </c>
      <c r="Y1830">
        <v>0</v>
      </c>
    </row>
    <row r="1831" spans="1:25" x14ac:dyDescent="0.2">
      <c r="A1831" t="s">
        <v>6871</v>
      </c>
      <c r="B1831" t="s">
        <v>6872</v>
      </c>
      <c r="C1831" t="s">
        <v>6873</v>
      </c>
      <c r="D1831" t="s">
        <v>6874</v>
      </c>
      <c r="E1831" t="s">
        <v>6872</v>
      </c>
      <c r="F1831" t="s">
        <v>28</v>
      </c>
      <c r="G1831" t="s">
        <v>6872</v>
      </c>
      <c r="H1831" t="str">
        <f>"grk-1"</f>
        <v>grk-1</v>
      </c>
      <c r="I1831" t="s">
        <v>6874</v>
      </c>
      <c r="J1831">
        <v>12.8002566757047</v>
      </c>
      <c r="K1831">
        <v>12.4577530950534</v>
      </c>
      <c r="L1831">
        <v>12.201699476841499</v>
      </c>
      <c r="M1831">
        <v>13.194732115449</v>
      </c>
      <c r="N1831">
        <v>13.1520149340041</v>
      </c>
      <c r="O1831">
        <v>12.734103429179299</v>
      </c>
      <c r="P1831">
        <v>0.54038041034422202</v>
      </c>
      <c r="Q1831">
        <v>1.1267161683972101E-2</v>
      </c>
      <c r="R1831">
        <v>1.0694936590044699</v>
      </c>
      <c r="S1831">
        <v>12.389185304053299</v>
      </c>
      <c r="T1831">
        <v>2.1557628017504902</v>
      </c>
      <c r="U1831">
        <v>-4.8958871286763497</v>
      </c>
      <c r="V1831">
        <v>4.5816966239339403E-2</v>
      </c>
      <c r="W1831">
        <v>0.21288574976334501</v>
      </c>
      <c r="X1831">
        <v>0</v>
      </c>
      <c r="Y1831">
        <v>0</v>
      </c>
    </row>
    <row r="1832" spans="1:25" x14ac:dyDescent="0.2">
      <c r="A1832" t="s">
        <v>6875</v>
      </c>
      <c r="B1832" t="s">
        <v>6876</v>
      </c>
      <c r="C1832" t="s">
        <v>6877</v>
      </c>
      <c r="D1832" t="s">
        <v>6878</v>
      </c>
      <c r="E1832" t="s">
        <v>6876</v>
      </c>
      <c r="F1832" t="s">
        <v>28</v>
      </c>
      <c r="G1832" t="s">
        <v>6876</v>
      </c>
      <c r="H1832" t="str">
        <f>"tpp-2"</f>
        <v>tpp-2</v>
      </c>
      <c r="I1832" t="s">
        <v>6878</v>
      </c>
      <c r="J1832">
        <v>12.6191430459775</v>
      </c>
      <c r="K1832">
        <v>12.4429570103231</v>
      </c>
      <c r="L1832">
        <v>12.7518848440927</v>
      </c>
      <c r="M1832">
        <v>12.3808203111798</v>
      </c>
      <c r="N1832">
        <v>12.770014742191901</v>
      </c>
      <c r="O1832">
        <v>13.324772247330801</v>
      </c>
      <c r="P1832">
        <v>0.22054080010303601</v>
      </c>
      <c r="Q1832">
        <v>-0.26878371850538801</v>
      </c>
      <c r="R1832">
        <v>0.70986531871145997</v>
      </c>
      <c r="S1832">
        <v>13.006147725296101</v>
      </c>
      <c r="T1832">
        <v>0.95135363401917195</v>
      </c>
      <c r="U1832">
        <v>-6.5886815185911303</v>
      </c>
      <c r="V1832">
        <v>0.35483755815069201</v>
      </c>
      <c r="W1832">
        <v>0.63476713261261697</v>
      </c>
      <c r="X1832">
        <v>0</v>
      </c>
      <c r="Y1832">
        <v>0</v>
      </c>
    </row>
    <row r="1833" spans="1:25" x14ac:dyDescent="0.2">
      <c r="A1833" t="s">
        <v>6879</v>
      </c>
      <c r="B1833" t="s">
        <v>6880</v>
      </c>
      <c r="C1833" t="s">
        <v>6881</v>
      </c>
      <c r="D1833" t="s">
        <v>6882</v>
      </c>
      <c r="E1833" t="s">
        <v>6880</v>
      </c>
      <c r="F1833" t="s">
        <v>28</v>
      </c>
      <c r="G1833" t="s">
        <v>6880</v>
      </c>
      <c r="H1833" t="str">
        <f>"paa-1"</f>
        <v>paa-1</v>
      </c>
      <c r="I1833" t="s">
        <v>6882</v>
      </c>
      <c r="J1833">
        <v>11.780314212102301</v>
      </c>
      <c r="K1833">
        <v>12.243308115126</v>
      </c>
      <c r="L1833">
        <v>12.495622890098399</v>
      </c>
      <c r="M1833">
        <v>12.3472556490602</v>
      </c>
      <c r="N1833">
        <v>13.246060371849801</v>
      </c>
      <c r="O1833">
        <v>13.3191493420748</v>
      </c>
      <c r="P1833">
        <v>0.79774004855270597</v>
      </c>
      <c r="Q1833">
        <v>0.12627508660364201</v>
      </c>
      <c r="R1833">
        <v>1.46920501050177</v>
      </c>
      <c r="S1833">
        <v>12.8379911879166</v>
      </c>
      <c r="T1833">
        <v>2.50777202262113</v>
      </c>
      <c r="U1833">
        <v>-4.2451524047557303</v>
      </c>
      <c r="V1833">
        <v>2.2656873785527901E-2</v>
      </c>
      <c r="W1833">
        <v>0.14657150556283799</v>
      </c>
      <c r="X1833">
        <v>0</v>
      </c>
      <c r="Y1833">
        <v>0</v>
      </c>
    </row>
    <row r="1834" spans="1:25" x14ac:dyDescent="0.2">
      <c r="A1834" t="s">
        <v>6883</v>
      </c>
      <c r="B1834" t="s">
        <v>6884</v>
      </c>
      <c r="C1834" t="s">
        <v>6885</v>
      </c>
      <c r="D1834" t="s">
        <v>6886</v>
      </c>
      <c r="E1834" t="s">
        <v>6884</v>
      </c>
      <c r="F1834" t="s">
        <v>28</v>
      </c>
      <c r="G1834" t="s">
        <v>6884</v>
      </c>
      <c r="H1834" t="str">
        <f>"F58F12.1"</f>
        <v>F58F12.1</v>
      </c>
      <c r="I1834" t="s">
        <v>6886</v>
      </c>
      <c r="J1834">
        <v>14.715289545969799</v>
      </c>
      <c r="K1834">
        <v>14.3444814951447</v>
      </c>
      <c r="L1834">
        <v>14.4643716882003</v>
      </c>
      <c r="M1834">
        <v>14.0747364592205</v>
      </c>
      <c r="N1834">
        <v>13.7855840281185</v>
      </c>
      <c r="O1834">
        <v>14.1609998527833</v>
      </c>
      <c r="P1834">
        <v>-0.50094079639755396</v>
      </c>
      <c r="Q1834">
        <v>-1.0480359730354001</v>
      </c>
      <c r="R1834">
        <v>4.61543802402909E-2</v>
      </c>
      <c r="S1834">
        <v>14.100059138208501</v>
      </c>
      <c r="T1834">
        <v>-1.92449164113182</v>
      </c>
      <c r="U1834">
        <v>-5.2892621633843602</v>
      </c>
      <c r="V1834">
        <v>7.0342912056736998E-2</v>
      </c>
      <c r="W1834">
        <v>0.26998204161698203</v>
      </c>
      <c r="X1834">
        <v>0</v>
      </c>
      <c r="Y1834">
        <v>0</v>
      </c>
    </row>
    <row r="1835" spans="1:25" x14ac:dyDescent="0.2">
      <c r="A1835" t="s">
        <v>6887</v>
      </c>
      <c r="B1835" t="s">
        <v>6888</v>
      </c>
      <c r="C1835" t="s">
        <v>6889</v>
      </c>
      <c r="D1835" t="s">
        <v>6890</v>
      </c>
      <c r="E1835" t="s">
        <v>6888</v>
      </c>
      <c r="F1835" t="s">
        <v>28</v>
      </c>
      <c r="G1835" t="s">
        <v>6888</v>
      </c>
      <c r="H1835" t="str">
        <f>"sdhb-1"</f>
        <v>sdhb-1</v>
      </c>
      <c r="I1835" t="s">
        <v>6890</v>
      </c>
      <c r="J1835">
        <v>12.759909173449399</v>
      </c>
      <c r="K1835">
        <v>13.028538882440699</v>
      </c>
      <c r="L1835">
        <v>13.0035601390222</v>
      </c>
      <c r="M1835">
        <v>12.725675856226999</v>
      </c>
      <c r="N1835">
        <v>12.550319192270299</v>
      </c>
      <c r="O1835">
        <v>13.428799621380699</v>
      </c>
      <c r="P1835">
        <v>-2.9071175011447199E-2</v>
      </c>
      <c r="Q1835">
        <v>-0.71559264942951395</v>
      </c>
      <c r="R1835">
        <v>0.65745029940661903</v>
      </c>
      <c r="S1835">
        <v>13.0023783662922</v>
      </c>
      <c r="T1835">
        <v>-8.9816884995997201E-2</v>
      </c>
      <c r="U1835">
        <v>-7.0478317171695402</v>
      </c>
      <c r="V1835">
        <v>0.92955475481472805</v>
      </c>
      <c r="W1835">
        <v>0.97388235134585399</v>
      </c>
      <c r="X1835">
        <v>0</v>
      </c>
      <c r="Y1835">
        <v>0</v>
      </c>
    </row>
    <row r="1836" spans="1:25" x14ac:dyDescent="0.2">
      <c r="A1836" t="s">
        <v>6891</v>
      </c>
      <c r="B1836" t="s">
        <v>6892</v>
      </c>
      <c r="C1836" t="s">
        <v>6893</v>
      </c>
      <c r="D1836" t="s">
        <v>6894</v>
      </c>
      <c r="E1836" t="s">
        <v>6892</v>
      </c>
      <c r="F1836" t="s">
        <v>28</v>
      </c>
      <c r="G1836" t="s">
        <v>6892</v>
      </c>
      <c r="H1836" t="str">
        <f>"disl-2"</f>
        <v>disl-2</v>
      </c>
      <c r="I1836" t="s">
        <v>6894</v>
      </c>
      <c r="J1836">
        <v>14.802422216469401</v>
      </c>
      <c r="K1836">
        <v>14.5517617149847</v>
      </c>
      <c r="L1836">
        <v>14.2262061431402</v>
      </c>
      <c r="M1836">
        <v>14.2724697916144</v>
      </c>
      <c r="N1836">
        <v>13.891156780893199</v>
      </c>
      <c r="O1836">
        <v>13.9130479702602</v>
      </c>
      <c r="P1836">
        <v>-0.50123851060881497</v>
      </c>
      <c r="Q1836">
        <v>-0.928828981431428</v>
      </c>
      <c r="R1836">
        <v>-7.3648039786201006E-2</v>
      </c>
      <c r="S1836">
        <v>14.0303063349329</v>
      </c>
      <c r="T1836">
        <v>-2.4743801666519398</v>
      </c>
      <c r="U1836">
        <v>-4.3089441870126501</v>
      </c>
      <c r="V1836">
        <v>2.4254945899649501E-2</v>
      </c>
      <c r="W1836">
        <v>0.151488664025834</v>
      </c>
      <c r="X1836">
        <v>0</v>
      </c>
      <c r="Y1836">
        <v>0</v>
      </c>
    </row>
    <row r="1837" spans="1:25" x14ac:dyDescent="0.2">
      <c r="A1837" t="s">
        <v>6895</v>
      </c>
      <c r="B1837" t="s">
        <v>6896</v>
      </c>
      <c r="C1837" t="s">
        <v>6897</v>
      </c>
      <c r="D1837" t="s">
        <v>6898</v>
      </c>
      <c r="E1837" t="s">
        <v>6896</v>
      </c>
      <c r="F1837" t="s">
        <v>28</v>
      </c>
      <c r="G1837" t="s">
        <v>6896</v>
      </c>
      <c r="H1837" t="str">
        <f>"gmps-1"</f>
        <v>gmps-1</v>
      </c>
      <c r="I1837" t="s">
        <v>6898</v>
      </c>
      <c r="J1837">
        <v>13.821153525905499</v>
      </c>
      <c r="K1837">
        <v>13.5469380312658</v>
      </c>
      <c r="L1837">
        <v>13.5928086015562</v>
      </c>
      <c r="M1837">
        <v>13.6408641064163</v>
      </c>
      <c r="N1837">
        <v>13.378988942998401</v>
      </c>
      <c r="O1837">
        <v>13.8763525586914</v>
      </c>
      <c r="P1837">
        <v>-2.1564850207125699E-2</v>
      </c>
      <c r="Q1837">
        <v>-0.41685447268974002</v>
      </c>
      <c r="R1837">
        <v>0.373724772275489</v>
      </c>
      <c r="S1837">
        <v>13.472366844877101</v>
      </c>
      <c r="T1837">
        <v>-0.115154535005154</v>
      </c>
      <c r="U1837">
        <v>-7.0451180459699998</v>
      </c>
      <c r="V1837">
        <v>0.90968018483317903</v>
      </c>
      <c r="W1837">
        <v>0.96798538961646996</v>
      </c>
      <c r="X1837">
        <v>0</v>
      </c>
      <c r="Y1837">
        <v>0</v>
      </c>
    </row>
    <row r="1838" spans="1:25" x14ac:dyDescent="0.2">
      <c r="A1838" t="s">
        <v>6899</v>
      </c>
      <c r="B1838" t="s">
        <v>6900</v>
      </c>
      <c r="C1838" t="s">
        <v>6901</v>
      </c>
      <c r="D1838" t="s">
        <v>6902</v>
      </c>
      <c r="E1838" t="s">
        <v>6900</v>
      </c>
      <c r="F1838" t="s">
        <v>28</v>
      </c>
      <c r="G1838" t="s">
        <v>6900</v>
      </c>
      <c r="H1838" t="str">
        <f>"lec-3"</f>
        <v>lec-3</v>
      </c>
      <c r="I1838" t="s">
        <v>6902</v>
      </c>
      <c r="J1838">
        <v>14.688059120730999</v>
      </c>
      <c r="K1838">
        <v>15.289807078558001</v>
      </c>
      <c r="L1838">
        <v>14.3500093854</v>
      </c>
      <c r="M1838">
        <v>15.4840210719662</v>
      </c>
      <c r="N1838">
        <v>13.7470175465988</v>
      </c>
      <c r="O1838">
        <v>14.7269649636231</v>
      </c>
      <c r="P1838">
        <v>-0.123290667500342</v>
      </c>
      <c r="Q1838">
        <v>-1.1131879819558499</v>
      </c>
      <c r="R1838">
        <v>0.86660664695516398</v>
      </c>
      <c r="S1838">
        <v>14.096437252176299</v>
      </c>
      <c r="T1838">
        <v>-0.26177765379851198</v>
      </c>
      <c r="U1838">
        <v>-7.0162427368531501</v>
      </c>
      <c r="V1838">
        <v>0.79648224690032698</v>
      </c>
      <c r="W1838">
        <v>0.91517844850619501</v>
      </c>
      <c r="X1838">
        <v>0</v>
      </c>
      <c r="Y1838">
        <v>0</v>
      </c>
    </row>
    <row r="1839" spans="1:25" x14ac:dyDescent="0.2">
      <c r="A1839" t="s">
        <v>6903</v>
      </c>
      <c r="B1839" t="s">
        <v>6904</v>
      </c>
      <c r="C1839" t="s">
        <v>6905</v>
      </c>
      <c r="D1839" t="s">
        <v>6906</v>
      </c>
      <c r="E1839" t="s">
        <v>6904</v>
      </c>
      <c r="F1839" t="s">
        <v>28</v>
      </c>
      <c r="G1839" t="s">
        <v>6904</v>
      </c>
      <c r="H1839" t="str">
        <f>"metr-1"</f>
        <v>metr-1</v>
      </c>
      <c r="I1839" t="s">
        <v>6906</v>
      </c>
      <c r="J1839">
        <v>13.545616726241599</v>
      </c>
      <c r="K1839">
        <v>14.195004419733699</v>
      </c>
      <c r="L1839">
        <v>13.870492633648199</v>
      </c>
      <c r="M1839">
        <v>14.765550170116001</v>
      </c>
      <c r="N1839">
        <v>15.4460891027319</v>
      </c>
      <c r="O1839">
        <v>15.142258646573801</v>
      </c>
      <c r="P1839">
        <v>1.2475947132661001</v>
      </c>
      <c r="Q1839">
        <v>0.75129890109393305</v>
      </c>
      <c r="R1839">
        <v>1.7438905254382699</v>
      </c>
      <c r="S1839">
        <v>15.218898201967299</v>
      </c>
      <c r="T1839">
        <v>5.2835452149821602</v>
      </c>
      <c r="U1839">
        <v>1.72095635028981</v>
      </c>
      <c r="V1839" s="2">
        <v>5.1435773559988497E-5</v>
      </c>
      <c r="W1839">
        <v>1.7851387209320501E-3</v>
      </c>
      <c r="X1839">
        <v>1</v>
      </c>
      <c r="Y1839">
        <v>1</v>
      </c>
    </row>
    <row r="1840" spans="1:25" x14ac:dyDescent="0.2">
      <c r="A1840" t="s">
        <v>6907</v>
      </c>
      <c r="B1840" t="s">
        <v>6908</v>
      </c>
      <c r="C1840" t="s">
        <v>6909</v>
      </c>
      <c r="D1840" t="s">
        <v>6910</v>
      </c>
      <c r="E1840" t="s">
        <v>6908</v>
      </c>
      <c r="F1840" t="s">
        <v>28</v>
      </c>
      <c r="G1840" t="s">
        <v>6908</v>
      </c>
      <c r="H1840" t="str">
        <f>"rnp-7"</f>
        <v>rnp-7</v>
      </c>
      <c r="I1840" t="s">
        <v>6910</v>
      </c>
      <c r="J1840">
        <v>16.142365095872101</v>
      </c>
      <c r="K1840">
        <v>16.448249299085202</v>
      </c>
      <c r="L1840">
        <v>16.140465135962</v>
      </c>
      <c r="M1840">
        <v>16.1301192458779</v>
      </c>
      <c r="N1840">
        <v>15.3393345858809</v>
      </c>
      <c r="O1840">
        <v>15.932868442852101</v>
      </c>
      <c r="P1840">
        <v>-0.44291908543611103</v>
      </c>
      <c r="Q1840">
        <v>-0.94728268746295596</v>
      </c>
      <c r="R1840">
        <v>6.1444516590733703E-2</v>
      </c>
      <c r="S1840">
        <v>16.270018776439201</v>
      </c>
      <c r="T1840">
        <v>-1.8457512446900499</v>
      </c>
      <c r="U1840">
        <v>-5.4188680734946697</v>
      </c>
      <c r="V1840">
        <v>8.1539663558688399E-2</v>
      </c>
      <c r="W1840">
        <v>0.29285879163352302</v>
      </c>
      <c r="X1840">
        <v>0</v>
      </c>
      <c r="Y1840">
        <v>0</v>
      </c>
    </row>
    <row r="1841" spans="1:25" x14ac:dyDescent="0.2">
      <c r="A1841" t="s">
        <v>6911</v>
      </c>
      <c r="B1841" t="s">
        <v>6912</v>
      </c>
      <c r="C1841" t="s">
        <v>6913</v>
      </c>
      <c r="D1841" t="s">
        <v>6914</v>
      </c>
      <c r="E1841" t="s">
        <v>6912</v>
      </c>
      <c r="F1841" t="s">
        <v>28</v>
      </c>
      <c r="G1841" t="s">
        <v>6912</v>
      </c>
      <c r="H1841" t="str">
        <f>"hira-1"</f>
        <v>hira-1</v>
      </c>
      <c r="I1841" t="s">
        <v>6914</v>
      </c>
      <c r="J1841" t="s">
        <v>29</v>
      </c>
      <c r="K1841" t="s">
        <v>29</v>
      </c>
      <c r="L1841" t="s">
        <v>29</v>
      </c>
      <c r="M1841" t="s">
        <v>29</v>
      </c>
      <c r="N1841" t="s">
        <v>29</v>
      </c>
      <c r="O1841">
        <v>10.758067067499701</v>
      </c>
      <c r="P1841" t="s">
        <v>29</v>
      </c>
      <c r="Q1841" t="s">
        <v>29</v>
      </c>
      <c r="R1841" t="s">
        <v>29</v>
      </c>
      <c r="S1841">
        <v>12.2457544308288</v>
      </c>
      <c r="T1841" t="s">
        <v>29</v>
      </c>
      <c r="U1841" t="s">
        <v>29</v>
      </c>
      <c r="V1841" t="s">
        <v>29</v>
      </c>
      <c r="W1841" t="s">
        <v>29</v>
      </c>
      <c r="X1841" t="s">
        <v>29</v>
      </c>
      <c r="Y1841" t="s">
        <v>29</v>
      </c>
    </row>
    <row r="1842" spans="1:25" x14ac:dyDescent="0.2">
      <c r="A1842" t="s">
        <v>6915</v>
      </c>
      <c r="B1842" t="s">
        <v>6916</v>
      </c>
      <c r="C1842" t="s">
        <v>6917</v>
      </c>
      <c r="D1842" t="s">
        <v>6918</v>
      </c>
      <c r="E1842" t="s">
        <v>6916</v>
      </c>
      <c r="F1842" t="s">
        <v>28</v>
      </c>
      <c r="G1842" t="s">
        <v>6916</v>
      </c>
      <c r="H1842" t="str">
        <f>"emb-8"</f>
        <v>emb-8</v>
      </c>
      <c r="I1842" t="s">
        <v>6918</v>
      </c>
      <c r="J1842">
        <v>12.945996784768001</v>
      </c>
      <c r="K1842">
        <v>13.0665958732358</v>
      </c>
      <c r="L1842">
        <v>13.0532564361739</v>
      </c>
      <c r="M1842">
        <v>12.7434733284915</v>
      </c>
      <c r="N1842">
        <v>12.959920582232799</v>
      </c>
      <c r="O1842">
        <v>13.657719797962599</v>
      </c>
      <c r="P1842">
        <v>9.8421538169802106E-2</v>
      </c>
      <c r="Q1842">
        <v>-0.42970246537513002</v>
      </c>
      <c r="R1842">
        <v>0.62654554171473498</v>
      </c>
      <c r="S1842">
        <v>12.954955580305301</v>
      </c>
      <c r="T1842">
        <v>0.39337273413308899</v>
      </c>
      <c r="U1842">
        <v>-6.9711106872172399</v>
      </c>
      <c r="V1842">
        <v>0.69896392018118003</v>
      </c>
      <c r="W1842">
        <v>0.86611903894499598</v>
      </c>
      <c r="X1842">
        <v>0</v>
      </c>
      <c r="Y1842">
        <v>0</v>
      </c>
    </row>
    <row r="1843" spans="1:25" x14ac:dyDescent="0.2">
      <c r="A1843" t="s">
        <v>6919</v>
      </c>
      <c r="B1843" t="s">
        <v>6920</v>
      </c>
      <c r="C1843" t="s">
        <v>6921</v>
      </c>
      <c r="D1843" t="s">
        <v>6922</v>
      </c>
      <c r="E1843" t="s">
        <v>6920</v>
      </c>
      <c r="F1843" t="s">
        <v>28</v>
      </c>
      <c r="G1843" t="s">
        <v>6920</v>
      </c>
      <c r="H1843" t="str">
        <f>"mix-1"</f>
        <v>mix-1</v>
      </c>
      <c r="I1843" t="s">
        <v>6922</v>
      </c>
      <c r="J1843">
        <v>13.2511962052382</v>
      </c>
      <c r="K1843">
        <v>13.313421040152001</v>
      </c>
      <c r="L1843">
        <v>13.408641036718601</v>
      </c>
      <c r="M1843">
        <v>13.375505489554699</v>
      </c>
      <c r="N1843">
        <v>13.8353157269301</v>
      </c>
      <c r="O1843">
        <v>13.5382469038453</v>
      </c>
      <c r="P1843">
        <v>0.25860327940713101</v>
      </c>
      <c r="Q1843">
        <v>-0.45632345634627902</v>
      </c>
      <c r="R1843">
        <v>0.97353001516054105</v>
      </c>
      <c r="S1843">
        <v>13.5971328468819</v>
      </c>
      <c r="T1843">
        <v>0.76026500900100602</v>
      </c>
      <c r="U1843">
        <v>-6.75400035824903</v>
      </c>
      <c r="V1843">
        <v>0.45699679743341298</v>
      </c>
      <c r="W1843">
        <v>0.72398616302255403</v>
      </c>
      <c r="X1843">
        <v>0</v>
      </c>
      <c r="Y1843">
        <v>0</v>
      </c>
    </row>
    <row r="1844" spans="1:25" x14ac:dyDescent="0.2">
      <c r="A1844" t="s">
        <v>6923</v>
      </c>
      <c r="B1844" t="s">
        <v>6924</v>
      </c>
      <c r="C1844" t="s">
        <v>14427</v>
      </c>
      <c r="D1844" t="s">
        <v>6925</v>
      </c>
      <c r="E1844" t="s">
        <v>6924</v>
      </c>
      <c r="F1844" t="s">
        <v>28</v>
      </c>
      <c r="G1844" t="s">
        <v>6924</v>
      </c>
      <c r="H1844" t="str">
        <f>"M106.2"</f>
        <v>M106.2</v>
      </c>
      <c r="I1844" t="s">
        <v>6925</v>
      </c>
      <c r="J1844" t="s">
        <v>29</v>
      </c>
      <c r="K1844" t="s">
        <v>29</v>
      </c>
      <c r="L1844">
        <v>13.110537833445299</v>
      </c>
      <c r="M1844" t="s">
        <v>29</v>
      </c>
      <c r="N1844" t="s">
        <v>29</v>
      </c>
      <c r="O1844">
        <v>9.7942114064885804</v>
      </c>
      <c r="P1844">
        <v>-3.3163264269567501</v>
      </c>
      <c r="Q1844">
        <v>-4.2923981897994503</v>
      </c>
      <c r="R1844">
        <v>-2.3402546641140498</v>
      </c>
      <c r="S1844">
        <v>12.0395048926936</v>
      </c>
      <c r="T1844">
        <v>-7.5812778405016097</v>
      </c>
      <c r="U1844">
        <v>3.2922409965022101</v>
      </c>
      <c r="V1844" s="2">
        <v>1.9957456443474999E-5</v>
      </c>
      <c r="W1844">
        <v>8.0174769465515697E-4</v>
      </c>
      <c r="X1844">
        <v>-1</v>
      </c>
      <c r="Y1844">
        <v>-1</v>
      </c>
    </row>
    <row r="1845" spans="1:25" x14ac:dyDescent="0.2">
      <c r="A1845" t="s">
        <v>6926</v>
      </c>
      <c r="B1845" t="s">
        <v>6927</v>
      </c>
      <c r="C1845" t="s">
        <v>6928</v>
      </c>
      <c r="D1845" t="s">
        <v>6929</v>
      </c>
      <c r="E1845" t="s">
        <v>6927</v>
      </c>
      <c r="F1845" t="s">
        <v>28</v>
      </c>
      <c r="G1845" t="s">
        <v>6927</v>
      </c>
      <c r="H1845" t="str">
        <f>"cdl-1"</f>
        <v>cdl-1</v>
      </c>
      <c r="I1845" t="s">
        <v>6929</v>
      </c>
      <c r="J1845">
        <v>12.979984425482099</v>
      </c>
      <c r="K1845">
        <v>12.5521452931489</v>
      </c>
      <c r="L1845">
        <v>13.149253035687201</v>
      </c>
      <c r="M1845">
        <v>11.0099531515017</v>
      </c>
      <c r="N1845">
        <v>12.650906664735601</v>
      </c>
      <c r="O1845">
        <v>12.767467623984601</v>
      </c>
      <c r="P1845">
        <v>-0.75101843803212098</v>
      </c>
      <c r="Q1845">
        <v>-1.5069953898885899</v>
      </c>
      <c r="R1845">
        <v>4.9585138243468697E-3</v>
      </c>
      <c r="S1845">
        <v>13.5157687430127</v>
      </c>
      <c r="T1845">
        <v>-2.09696922842932</v>
      </c>
      <c r="U1845">
        <v>-4.99937425083926</v>
      </c>
      <c r="V1845">
        <v>5.13571079811087E-2</v>
      </c>
      <c r="W1845">
        <v>0.22434019978251299</v>
      </c>
      <c r="X1845">
        <v>0</v>
      </c>
      <c r="Y1845">
        <v>0</v>
      </c>
    </row>
    <row r="1846" spans="1:25" x14ac:dyDescent="0.2">
      <c r="A1846" t="s">
        <v>6930</v>
      </c>
      <c r="B1846" t="s">
        <v>6931</v>
      </c>
      <c r="C1846" t="s">
        <v>6932</v>
      </c>
      <c r="D1846" t="s">
        <v>6933</v>
      </c>
      <c r="E1846" t="s">
        <v>6931</v>
      </c>
      <c r="F1846" t="s">
        <v>28</v>
      </c>
      <c r="G1846" t="s">
        <v>6931</v>
      </c>
      <c r="H1846" t="str">
        <f>"vps-11"</f>
        <v>vps-11</v>
      </c>
      <c r="I1846" t="s">
        <v>6933</v>
      </c>
      <c r="J1846">
        <v>12.388436278835901</v>
      </c>
      <c r="K1846">
        <v>12.2297930348136</v>
      </c>
      <c r="L1846">
        <v>13.1552455952835</v>
      </c>
      <c r="M1846">
        <v>13.0744741561445</v>
      </c>
      <c r="N1846">
        <v>13.101286742391</v>
      </c>
      <c r="O1846">
        <v>12.930334854484499</v>
      </c>
      <c r="P1846">
        <v>0.44420694802895599</v>
      </c>
      <c r="Q1846">
        <v>-0.19164701611246099</v>
      </c>
      <c r="R1846">
        <v>1.0800609121703699</v>
      </c>
      <c r="S1846">
        <v>12.830101663759701</v>
      </c>
      <c r="T1846">
        <v>1.46831919824597</v>
      </c>
      <c r="U1846">
        <v>-5.9857338437265799</v>
      </c>
      <c r="V1846">
        <v>0.15937608176345799</v>
      </c>
      <c r="W1846">
        <v>0.41124854687343199</v>
      </c>
      <c r="X1846">
        <v>0</v>
      </c>
      <c r="Y1846">
        <v>0</v>
      </c>
    </row>
    <row r="1847" spans="1:25" x14ac:dyDescent="0.2">
      <c r="A1847" t="s">
        <v>6934</v>
      </c>
      <c r="B1847" t="s">
        <v>6935</v>
      </c>
      <c r="C1847" t="s">
        <v>6936</v>
      </c>
      <c r="D1847" t="s">
        <v>6937</v>
      </c>
      <c r="E1847" t="s">
        <v>6935</v>
      </c>
      <c r="F1847" t="s">
        <v>28</v>
      </c>
      <c r="G1847" t="s">
        <v>6935</v>
      </c>
      <c r="H1847" t="str">
        <f>"npp-19"</f>
        <v>npp-19</v>
      </c>
      <c r="I1847" t="s">
        <v>6937</v>
      </c>
      <c r="J1847">
        <v>14.3258560269625</v>
      </c>
      <c r="K1847">
        <v>14.248531402427</v>
      </c>
      <c r="L1847">
        <v>14.2096501526634</v>
      </c>
      <c r="M1847">
        <v>13.645970644477501</v>
      </c>
      <c r="N1847">
        <v>13.781978860664299</v>
      </c>
      <c r="O1847">
        <v>13.8583170838598</v>
      </c>
      <c r="P1847">
        <v>-0.49925699768376902</v>
      </c>
      <c r="Q1847">
        <v>-0.89615220884054203</v>
      </c>
      <c r="R1847">
        <v>-0.102361786526996</v>
      </c>
      <c r="S1847">
        <v>13.918604926843599</v>
      </c>
      <c r="T1847">
        <v>-2.6680737603009499</v>
      </c>
      <c r="U1847">
        <v>-3.95355826113299</v>
      </c>
      <c r="V1847">
        <v>1.6906161351886301E-2</v>
      </c>
      <c r="W1847">
        <v>0.122522603650419</v>
      </c>
      <c r="X1847">
        <v>0</v>
      </c>
      <c r="Y1847">
        <v>0</v>
      </c>
    </row>
    <row r="1848" spans="1:25" x14ac:dyDescent="0.2">
      <c r="A1848" t="s">
        <v>6938</v>
      </c>
      <c r="B1848" t="s">
        <v>6939</v>
      </c>
      <c r="C1848" t="s">
        <v>6940</v>
      </c>
      <c r="D1848" t="s">
        <v>6941</v>
      </c>
      <c r="E1848" t="s">
        <v>6939</v>
      </c>
      <c r="F1848" t="s">
        <v>28</v>
      </c>
      <c r="G1848" t="s">
        <v>6939</v>
      </c>
      <c r="H1848" t="str">
        <f>"ech-4"</f>
        <v>ech-4</v>
      </c>
      <c r="I1848" t="s">
        <v>6941</v>
      </c>
      <c r="J1848">
        <v>12.818581236973101</v>
      </c>
      <c r="K1848">
        <v>12.961246800290301</v>
      </c>
      <c r="L1848">
        <v>12.5555868799231</v>
      </c>
      <c r="M1848">
        <v>11.362187473727699</v>
      </c>
      <c r="N1848">
        <v>11.745904346419101</v>
      </c>
      <c r="O1848">
        <v>13.083358133203999</v>
      </c>
      <c r="P1848">
        <v>-0.714654987945192</v>
      </c>
      <c r="Q1848">
        <v>-1.42594281904787</v>
      </c>
      <c r="R1848">
        <v>-3.3671568425125398E-3</v>
      </c>
      <c r="S1848">
        <v>12.755183393725201</v>
      </c>
      <c r="T1848">
        <v>-2.1310840581497499</v>
      </c>
      <c r="U1848">
        <v>-4.9467757843152196</v>
      </c>
      <c r="V1848">
        <v>4.90478386591819E-2</v>
      </c>
      <c r="W1848">
        <v>0.220749193633441</v>
      </c>
      <c r="X1848">
        <v>0</v>
      </c>
      <c r="Y1848">
        <v>0</v>
      </c>
    </row>
    <row r="1849" spans="1:25" x14ac:dyDescent="0.2">
      <c r="A1849" t="s">
        <v>6942</v>
      </c>
      <c r="B1849" t="s">
        <v>6943</v>
      </c>
      <c r="C1849" t="s">
        <v>6944</v>
      </c>
      <c r="D1849" t="s">
        <v>6945</v>
      </c>
      <c r="E1849" t="s">
        <v>6943</v>
      </c>
      <c r="F1849" t="s">
        <v>28</v>
      </c>
      <c r="G1849" t="s">
        <v>6943</v>
      </c>
      <c r="H1849" t="str">
        <f>"gst-36"</f>
        <v>gst-36</v>
      </c>
      <c r="I1849" t="s">
        <v>6945</v>
      </c>
      <c r="J1849">
        <v>10.9691918970328</v>
      </c>
      <c r="K1849" t="s">
        <v>29</v>
      </c>
      <c r="L1849" t="s">
        <v>29</v>
      </c>
      <c r="M1849" t="s">
        <v>29</v>
      </c>
      <c r="N1849">
        <v>10.8468176605494</v>
      </c>
      <c r="O1849">
        <v>9.9998105357472191</v>
      </c>
      <c r="P1849">
        <v>-0.54587779888453303</v>
      </c>
      <c r="Q1849">
        <v>-1.5658108858537001</v>
      </c>
      <c r="R1849">
        <v>0.47405528808463698</v>
      </c>
      <c r="S1849">
        <v>10.792828909760701</v>
      </c>
      <c r="T1849">
        <v>-1.1793737150664301</v>
      </c>
      <c r="U1849">
        <v>-5.9490161281446197</v>
      </c>
      <c r="V1849">
        <v>0.26336208431848002</v>
      </c>
      <c r="W1849">
        <v>0.53969451578310801</v>
      </c>
      <c r="X1849">
        <v>0</v>
      </c>
      <c r="Y1849">
        <v>0</v>
      </c>
    </row>
    <row r="1850" spans="1:25" x14ac:dyDescent="0.2">
      <c r="A1850" t="s">
        <v>6946</v>
      </c>
      <c r="B1850" t="s">
        <v>6947</v>
      </c>
      <c r="C1850" t="s">
        <v>6948</v>
      </c>
      <c r="D1850" t="s">
        <v>6949</v>
      </c>
      <c r="E1850" t="s">
        <v>6947</v>
      </c>
      <c r="F1850" t="s">
        <v>28</v>
      </c>
      <c r="G1850" t="s">
        <v>6947</v>
      </c>
      <c r="H1850" t="str">
        <f>"ptc-1"</f>
        <v>ptc-1</v>
      </c>
      <c r="I1850" t="s">
        <v>6949</v>
      </c>
      <c r="J1850" t="s">
        <v>29</v>
      </c>
      <c r="K1850" t="s">
        <v>29</v>
      </c>
      <c r="L1850">
        <v>10.440413268314201</v>
      </c>
      <c r="M1850" t="s">
        <v>29</v>
      </c>
      <c r="N1850" t="s">
        <v>29</v>
      </c>
      <c r="O1850" t="s">
        <v>29</v>
      </c>
      <c r="P1850" t="s">
        <v>29</v>
      </c>
      <c r="Q1850" t="s">
        <v>29</v>
      </c>
      <c r="R1850" t="s">
        <v>29</v>
      </c>
      <c r="S1850">
        <v>11.650388812658401</v>
      </c>
      <c r="T1850" t="s">
        <v>29</v>
      </c>
      <c r="U1850" t="s">
        <v>29</v>
      </c>
      <c r="V1850" t="s">
        <v>29</v>
      </c>
      <c r="W1850" t="s">
        <v>29</v>
      </c>
      <c r="X1850" t="s">
        <v>29</v>
      </c>
      <c r="Y1850" t="s">
        <v>29</v>
      </c>
    </row>
    <row r="1851" spans="1:25" x14ac:dyDescent="0.2">
      <c r="A1851" t="s">
        <v>6950</v>
      </c>
      <c r="B1851" t="s">
        <v>6951</v>
      </c>
      <c r="C1851" t="s">
        <v>6952</v>
      </c>
      <c r="D1851" t="s">
        <v>6953</v>
      </c>
      <c r="E1851" t="s">
        <v>6951</v>
      </c>
      <c r="F1851" t="s">
        <v>28</v>
      </c>
      <c r="G1851" t="s">
        <v>6951</v>
      </c>
      <c r="H1851" t="str">
        <f>"puf-12"</f>
        <v>puf-12</v>
      </c>
      <c r="I1851" t="s">
        <v>6953</v>
      </c>
      <c r="J1851">
        <v>14.489155758124999</v>
      </c>
      <c r="K1851">
        <v>13.951242919407299</v>
      </c>
      <c r="L1851">
        <v>14.495697496080799</v>
      </c>
      <c r="M1851">
        <v>13.5991352934111</v>
      </c>
      <c r="N1851">
        <v>14.634570032363399</v>
      </c>
      <c r="O1851">
        <v>14.367853578112401</v>
      </c>
      <c r="P1851">
        <v>-0.111512423242072</v>
      </c>
      <c r="Q1851">
        <v>-0.78284582519650203</v>
      </c>
      <c r="R1851">
        <v>0.55982097871235803</v>
      </c>
      <c r="S1851">
        <v>15.1525417836142</v>
      </c>
      <c r="T1851">
        <v>-0.349122236228182</v>
      </c>
      <c r="U1851">
        <v>-6.9884283808712198</v>
      </c>
      <c r="V1851">
        <v>0.73107191859324006</v>
      </c>
      <c r="W1851">
        <v>0.88460317123366805</v>
      </c>
      <c r="X1851">
        <v>0</v>
      </c>
      <c r="Y1851">
        <v>0</v>
      </c>
    </row>
    <row r="1852" spans="1:25" x14ac:dyDescent="0.2">
      <c r="A1852" t="s">
        <v>6954</v>
      </c>
      <c r="B1852" t="s">
        <v>6955</v>
      </c>
      <c r="C1852" t="s">
        <v>6956</v>
      </c>
      <c r="D1852" t="s">
        <v>3591</v>
      </c>
      <c r="E1852" t="s">
        <v>6955</v>
      </c>
      <c r="F1852" t="s">
        <v>28</v>
      </c>
      <c r="G1852" t="s">
        <v>6955</v>
      </c>
      <c r="H1852" t="str">
        <f>"pssy-1"</f>
        <v>pssy-1</v>
      </c>
      <c r="I1852" t="s">
        <v>3591</v>
      </c>
      <c r="J1852">
        <v>12.617113801865001</v>
      </c>
      <c r="K1852">
        <v>12.6451603452421</v>
      </c>
      <c r="L1852">
        <v>12.9412094934507</v>
      </c>
      <c r="M1852">
        <v>11.6957060843368</v>
      </c>
      <c r="N1852">
        <v>12.010567276306601</v>
      </c>
      <c r="O1852">
        <v>12.010562020639901</v>
      </c>
      <c r="P1852">
        <v>-0.82888275309146797</v>
      </c>
      <c r="Q1852">
        <v>-1.32858571842063</v>
      </c>
      <c r="R1852">
        <v>-0.329179787762302</v>
      </c>
      <c r="S1852">
        <v>12.8215583250488</v>
      </c>
      <c r="T1852">
        <v>-3.5182824856383799</v>
      </c>
      <c r="U1852">
        <v>-2.2352238661984201</v>
      </c>
      <c r="V1852">
        <v>2.8758698623410099E-3</v>
      </c>
      <c r="W1852">
        <v>3.7283189370747601E-2</v>
      </c>
      <c r="X1852">
        <v>0</v>
      </c>
      <c r="Y1852">
        <v>0</v>
      </c>
    </row>
    <row r="1853" spans="1:25" x14ac:dyDescent="0.2">
      <c r="A1853" t="s">
        <v>6957</v>
      </c>
      <c r="B1853" t="s">
        <v>6958</v>
      </c>
      <c r="C1853" t="s">
        <v>6959</v>
      </c>
      <c r="D1853" t="s">
        <v>6960</v>
      </c>
      <c r="E1853" t="s">
        <v>6958</v>
      </c>
      <c r="F1853" t="s">
        <v>28</v>
      </c>
      <c r="G1853" t="s">
        <v>6958</v>
      </c>
      <c r="H1853" t="str">
        <f>"ZK1128.1"</f>
        <v>ZK1128.1</v>
      </c>
      <c r="I1853" t="s">
        <v>6960</v>
      </c>
      <c r="J1853">
        <v>13.191698137588</v>
      </c>
      <c r="K1853">
        <v>12.476670415707501</v>
      </c>
      <c r="L1853">
        <v>13.3358864255545</v>
      </c>
      <c r="M1853">
        <v>13.103273110197801</v>
      </c>
      <c r="N1853">
        <v>12.702474734765801</v>
      </c>
      <c r="O1853">
        <v>12.8534040959062</v>
      </c>
      <c r="P1853">
        <v>-0.115034345993378</v>
      </c>
      <c r="Q1853">
        <v>-0.64357593427298498</v>
      </c>
      <c r="R1853">
        <v>0.41350724228622898</v>
      </c>
      <c r="S1853">
        <v>12.9102118173181</v>
      </c>
      <c r="T1853">
        <v>-0.459407811537274</v>
      </c>
      <c r="U1853">
        <v>-6.9418257692284504</v>
      </c>
      <c r="V1853">
        <v>0.65179734137031298</v>
      </c>
      <c r="W1853">
        <v>0.84198036872528703</v>
      </c>
      <c r="X1853">
        <v>0</v>
      </c>
      <c r="Y1853">
        <v>0</v>
      </c>
    </row>
    <row r="1854" spans="1:25" x14ac:dyDescent="0.2">
      <c r="A1854" t="s">
        <v>6961</v>
      </c>
      <c r="B1854" t="s">
        <v>6962</v>
      </c>
      <c r="C1854" t="s">
        <v>6963</v>
      </c>
      <c r="D1854" t="s">
        <v>6964</v>
      </c>
      <c r="E1854" t="s">
        <v>6962</v>
      </c>
      <c r="F1854" t="s">
        <v>28</v>
      </c>
      <c r="G1854" t="s">
        <v>6962</v>
      </c>
      <c r="H1854" t="str">
        <f>"gtf-2h3"</f>
        <v>gtf-2h3</v>
      </c>
      <c r="I1854" t="s">
        <v>6964</v>
      </c>
      <c r="J1854">
        <v>10.6756034699282</v>
      </c>
      <c r="K1854">
        <v>10.169374247017901</v>
      </c>
      <c r="L1854">
        <v>10.944200305678599</v>
      </c>
      <c r="M1854" t="s">
        <v>29</v>
      </c>
      <c r="N1854">
        <v>10.2309654431357</v>
      </c>
      <c r="O1854" t="s">
        <v>29</v>
      </c>
      <c r="P1854">
        <v>-0.36542723107256098</v>
      </c>
      <c r="Q1854">
        <v>-1.16795150380544</v>
      </c>
      <c r="R1854">
        <v>0.43709704166031899</v>
      </c>
      <c r="S1854">
        <v>10.7797623979994</v>
      </c>
      <c r="T1854">
        <v>-0.98453231379210204</v>
      </c>
      <c r="U1854">
        <v>-6.21324161973111</v>
      </c>
      <c r="V1854">
        <v>0.34296692357826802</v>
      </c>
      <c r="W1854">
        <v>0.622775875738662</v>
      </c>
      <c r="X1854">
        <v>0</v>
      </c>
      <c r="Y1854">
        <v>0</v>
      </c>
    </row>
    <row r="1855" spans="1:25" x14ac:dyDescent="0.2">
      <c r="A1855" t="s">
        <v>6965</v>
      </c>
      <c r="B1855" t="s">
        <v>6966</v>
      </c>
      <c r="C1855" t="s">
        <v>6967</v>
      </c>
      <c r="D1855" t="s">
        <v>6968</v>
      </c>
      <c r="E1855" t="s">
        <v>6966</v>
      </c>
      <c r="F1855" t="s">
        <v>28</v>
      </c>
      <c r="G1855" t="s">
        <v>6966</v>
      </c>
      <c r="H1855" t="str">
        <f>"ham-3"</f>
        <v>ham-3</v>
      </c>
      <c r="I1855" t="s">
        <v>6968</v>
      </c>
      <c r="J1855">
        <v>12.5615698292142</v>
      </c>
      <c r="K1855">
        <v>12.2126909069689</v>
      </c>
      <c r="L1855">
        <v>12.166414851763699</v>
      </c>
      <c r="M1855">
        <v>11.956557280897</v>
      </c>
      <c r="N1855">
        <v>11.4750728621002</v>
      </c>
      <c r="O1855">
        <v>11.537541842036701</v>
      </c>
      <c r="P1855">
        <v>-0.65716786763759805</v>
      </c>
      <c r="Q1855">
        <v>-1.05082614786057</v>
      </c>
      <c r="R1855">
        <v>-0.26350958741462599</v>
      </c>
      <c r="S1855">
        <v>12.0970238014828</v>
      </c>
      <c r="T1855">
        <v>-3.5408412768092301</v>
      </c>
      <c r="U1855">
        <v>-2.18839591433479</v>
      </c>
      <c r="V1855">
        <v>2.7424220972670599E-3</v>
      </c>
      <c r="W1855">
        <v>3.5983231873012202E-2</v>
      </c>
      <c r="X1855">
        <v>0</v>
      </c>
      <c r="Y1855">
        <v>0</v>
      </c>
    </row>
    <row r="1856" spans="1:25" x14ac:dyDescent="0.2">
      <c r="A1856" t="s">
        <v>6969</v>
      </c>
      <c r="B1856" t="s">
        <v>6970</v>
      </c>
      <c r="C1856" t="s">
        <v>6971</v>
      </c>
      <c r="D1856" t="s">
        <v>6972</v>
      </c>
      <c r="E1856" t="s">
        <v>6970</v>
      </c>
      <c r="F1856" t="s">
        <v>28</v>
      </c>
      <c r="G1856" t="s">
        <v>6970</v>
      </c>
      <c r="H1856" t="str">
        <f>"ZK1307.9"</f>
        <v>ZK1307.9</v>
      </c>
      <c r="I1856" t="s">
        <v>6972</v>
      </c>
      <c r="J1856" t="s">
        <v>29</v>
      </c>
      <c r="K1856" t="s">
        <v>29</v>
      </c>
      <c r="L1856" t="s">
        <v>29</v>
      </c>
      <c r="M1856" t="s">
        <v>29</v>
      </c>
      <c r="N1856" t="s">
        <v>29</v>
      </c>
      <c r="O1856" t="s">
        <v>29</v>
      </c>
      <c r="P1856" t="s">
        <v>29</v>
      </c>
      <c r="Q1856" t="s">
        <v>29</v>
      </c>
      <c r="R1856" t="s">
        <v>29</v>
      </c>
      <c r="S1856">
        <v>12.097889402192299</v>
      </c>
      <c r="T1856" t="s">
        <v>29</v>
      </c>
      <c r="U1856" t="s">
        <v>29</v>
      </c>
      <c r="V1856" t="s">
        <v>29</v>
      </c>
      <c r="W1856" t="s">
        <v>29</v>
      </c>
      <c r="X1856" t="s">
        <v>29</v>
      </c>
      <c r="Y1856" t="s">
        <v>29</v>
      </c>
    </row>
    <row r="1857" spans="1:25" x14ac:dyDescent="0.2">
      <c r="A1857" t="s">
        <v>6973</v>
      </c>
      <c r="B1857" t="s">
        <v>6974</v>
      </c>
      <c r="C1857" t="s">
        <v>14428</v>
      </c>
      <c r="D1857" t="s">
        <v>6975</v>
      </c>
      <c r="E1857" t="s">
        <v>6974</v>
      </c>
      <c r="F1857" t="s">
        <v>28</v>
      </c>
      <c r="G1857" t="s">
        <v>6974</v>
      </c>
      <c r="H1857" t="str">
        <f>"ZK1320.9"</f>
        <v>ZK1320.9</v>
      </c>
      <c r="I1857" t="s">
        <v>6975</v>
      </c>
      <c r="J1857">
        <v>12.3888256674394</v>
      </c>
      <c r="K1857">
        <v>11.9700463528097</v>
      </c>
      <c r="L1857">
        <v>11.9640909642173</v>
      </c>
      <c r="M1857">
        <v>12.848898216550101</v>
      </c>
      <c r="N1857">
        <v>12.126624562418799</v>
      </c>
      <c r="O1857">
        <v>12.443087307471799</v>
      </c>
      <c r="P1857">
        <v>0.36521570065804498</v>
      </c>
      <c r="Q1857">
        <v>-0.134263549539577</v>
      </c>
      <c r="R1857">
        <v>0.86469495085566594</v>
      </c>
      <c r="S1857">
        <v>11.989338421796401</v>
      </c>
      <c r="T1857">
        <v>1.55089186640161</v>
      </c>
      <c r="U1857">
        <v>-5.8711229140551104</v>
      </c>
      <c r="V1857">
        <v>0.14060805207580099</v>
      </c>
      <c r="W1857">
        <v>0.38677888604987698</v>
      </c>
      <c r="X1857">
        <v>0</v>
      </c>
      <c r="Y1857">
        <v>0</v>
      </c>
    </row>
    <row r="1858" spans="1:25" x14ac:dyDescent="0.2">
      <c r="A1858" t="s">
        <v>6976</v>
      </c>
      <c r="B1858" t="s">
        <v>6977</v>
      </c>
      <c r="C1858" t="s">
        <v>6978</v>
      </c>
      <c r="D1858" t="s">
        <v>6979</v>
      </c>
      <c r="E1858" t="s">
        <v>6977</v>
      </c>
      <c r="F1858" t="s">
        <v>28</v>
      </c>
      <c r="G1858" t="s">
        <v>6977</v>
      </c>
      <c r="H1858" t="str">
        <f>"cyp-44A1"</f>
        <v>cyp-44A1</v>
      </c>
      <c r="I1858" t="s">
        <v>6979</v>
      </c>
      <c r="J1858">
        <v>10.526580405224401</v>
      </c>
      <c r="K1858" t="s">
        <v>29</v>
      </c>
      <c r="L1858">
        <v>10.4564049637161</v>
      </c>
      <c r="M1858" t="s">
        <v>29</v>
      </c>
      <c r="N1858">
        <v>10.336061907006799</v>
      </c>
      <c r="O1858">
        <v>9.2101384122603598</v>
      </c>
      <c r="P1858">
        <v>-0.71839252483663796</v>
      </c>
      <c r="Q1858">
        <v>-1.5196701542661399</v>
      </c>
      <c r="R1858">
        <v>8.2885104592868103E-2</v>
      </c>
      <c r="S1858">
        <v>10.851889633722299</v>
      </c>
      <c r="T1858">
        <v>-1.93850100769193</v>
      </c>
      <c r="U1858">
        <v>-5.0966315115267999</v>
      </c>
      <c r="V1858">
        <v>7.4766060291787298E-2</v>
      </c>
      <c r="W1858">
        <v>0.28009938192123102</v>
      </c>
      <c r="X1858">
        <v>0</v>
      </c>
      <c r="Y1858">
        <v>0</v>
      </c>
    </row>
    <row r="1859" spans="1:25" x14ac:dyDescent="0.2">
      <c r="A1859" t="s">
        <v>6980</v>
      </c>
      <c r="B1859" t="s">
        <v>6981</v>
      </c>
      <c r="C1859" t="s">
        <v>6982</v>
      </c>
      <c r="D1859" t="s">
        <v>6983</v>
      </c>
      <c r="E1859" t="s">
        <v>6981</v>
      </c>
      <c r="F1859" t="s">
        <v>28</v>
      </c>
      <c r="G1859" t="s">
        <v>6981</v>
      </c>
      <c r="H1859" t="str">
        <f>"K02C4.3"</f>
        <v>K02C4.3</v>
      </c>
      <c r="I1859" t="s">
        <v>6983</v>
      </c>
      <c r="J1859">
        <v>11.752020706658501</v>
      </c>
      <c r="K1859">
        <v>12.219091169347299</v>
      </c>
      <c r="L1859">
        <v>12.198473056035301</v>
      </c>
      <c r="M1859">
        <v>12.1103967434744</v>
      </c>
      <c r="N1859">
        <v>12.420181602444099</v>
      </c>
      <c r="O1859">
        <v>11.585632547688</v>
      </c>
      <c r="P1859">
        <v>-1.7791346144877099E-2</v>
      </c>
      <c r="Q1859">
        <v>-0.53853983865043797</v>
      </c>
      <c r="R1859">
        <v>0.50295714636068301</v>
      </c>
      <c r="S1859">
        <v>12.1068295371332</v>
      </c>
      <c r="T1859">
        <v>-7.2115862342380502E-2</v>
      </c>
      <c r="U1859">
        <v>-7.0493528316993999</v>
      </c>
      <c r="V1859">
        <v>0.94335654814692804</v>
      </c>
      <c r="W1859">
        <v>0.97576384643441005</v>
      </c>
      <c r="X1859">
        <v>0</v>
      </c>
      <c r="Y1859">
        <v>0</v>
      </c>
    </row>
    <row r="1860" spans="1:25" x14ac:dyDescent="0.2">
      <c r="A1860" t="s">
        <v>6984</v>
      </c>
      <c r="B1860" t="s">
        <v>6985</v>
      </c>
      <c r="C1860" t="s">
        <v>6986</v>
      </c>
      <c r="D1860" t="s">
        <v>6987</v>
      </c>
      <c r="E1860" t="s">
        <v>6985</v>
      </c>
      <c r="F1860" t="s">
        <v>28</v>
      </c>
      <c r="G1860" t="s">
        <v>6985</v>
      </c>
      <c r="H1860" t="str">
        <f>"C53C9.2"</f>
        <v>C53C9.2</v>
      </c>
      <c r="I1860" t="s">
        <v>6987</v>
      </c>
      <c r="J1860">
        <v>13.909281422493001</v>
      </c>
      <c r="K1860">
        <v>13.577777128031</v>
      </c>
      <c r="L1860">
        <v>13.3828661767312</v>
      </c>
      <c r="M1860">
        <v>13.625638590645099</v>
      </c>
      <c r="N1860">
        <v>13.3995689618807</v>
      </c>
      <c r="O1860">
        <v>13.68898938137</v>
      </c>
      <c r="P1860">
        <v>-5.1909264453106702E-2</v>
      </c>
      <c r="Q1860">
        <v>-0.47806784650584799</v>
      </c>
      <c r="R1860">
        <v>0.37424931759963398</v>
      </c>
      <c r="S1860">
        <v>13.109149369818301</v>
      </c>
      <c r="T1860">
        <v>-0.25711277128561399</v>
      </c>
      <c r="U1860">
        <v>-7.0174019631142697</v>
      </c>
      <c r="V1860">
        <v>0.80019683598199798</v>
      </c>
      <c r="W1860">
        <v>0.91646490881679299</v>
      </c>
      <c r="X1860">
        <v>0</v>
      </c>
      <c r="Y1860">
        <v>0</v>
      </c>
    </row>
    <row r="1861" spans="1:25" x14ac:dyDescent="0.2">
      <c r="A1861" t="s">
        <v>6988</v>
      </c>
      <c r="B1861" t="s">
        <v>6989</v>
      </c>
      <c r="C1861" t="s">
        <v>6990</v>
      </c>
      <c r="D1861" t="s">
        <v>6991</v>
      </c>
      <c r="E1861" t="s">
        <v>6989</v>
      </c>
      <c r="F1861" t="s">
        <v>28</v>
      </c>
      <c r="G1861" t="s">
        <v>6989</v>
      </c>
      <c r="H1861" t="str">
        <f>"sfxn-2"</f>
        <v>sfxn-2</v>
      </c>
      <c r="I1861" t="s">
        <v>6991</v>
      </c>
      <c r="J1861">
        <v>13.5916224527481</v>
      </c>
      <c r="K1861">
        <v>13.402013087847299</v>
      </c>
      <c r="L1861">
        <v>13.4424533517433</v>
      </c>
      <c r="M1861">
        <v>13.7448143024377</v>
      </c>
      <c r="N1861">
        <v>12.921558448714199</v>
      </c>
      <c r="O1861">
        <v>13.295325975379599</v>
      </c>
      <c r="P1861">
        <v>-0.158130055269043</v>
      </c>
      <c r="Q1861">
        <v>-0.60889879858674301</v>
      </c>
      <c r="R1861">
        <v>0.292638688048658</v>
      </c>
      <c r="S1861">
        <v>13.202034030763</v>
      </c>
      <c r="T1861">
        <v>-0.74047541158464603</v>
      </c>
      <c r="U1861">
        <v>-6.7684523095911597</v>
      </c>
      <c r="V1861">
        <v>0.46917811024635497</v>
      </c>
      <c r="W1861">
        <v>0.73153117908080401</v>
      </c>
      <c r="X1861">
        <v>0</v>
      </c>
      <c r="Y1861">
        <v>0</v>
      </c>
    </row>
    <row r="1862" spans="1:25" x14ac:dyDescent="0.2">
      <c r="A1862" t="s">
        <v>6992</v>
      </c>
      <c r="B1862" t="s">
        <v>6993</v>
      </c>
      <c r="C1862" t="s">
        <v>6994</v>
      </c>
      <c r="D1862" t="s">
        <v>6995</v>
      </c>
      <c r="E1862" t="s">
        <v>6993</v>
      </c>
      <c r="F1862" t="s">
        <v>28</v>
      </c>
      <c r="G1862" t="s">
        <v>6993</v>
      </c>
      <c r="H1862" t="str">
        <f>"C17G10.1"</f>
        <v>C17G10.1</v>
      </c>
      <c r="I1862" t="s">
        <v>6995</v>
      </c>
      <c r="J1862">
        <v>13.592923351315299</v>
      </c>
      <c r="K1862">
        <v>13.1956342773712</v>
      </c>
      <c r="L1862">
        <v>13.332250905651801</v>
      </c>
      <c r="M1862">
        <v>13.5718857875954</v>
      </c>
      <c r="N1862">
        <v>12.668696011471701</v>
      </c>
      <c r="O1862">
        <v>13.2853075548178</v>
      </c>
      <c r="P1862">
        <v>-0.198306393484417</v>
      </c>
      <c r="Q1862">
        <v>-0.65188730443795095</v>
      </c>
      <c r="R1862">
        <v>0.255274517469117</v>
      </c>
      <c r="S1862">
        <v>12.840562098064</v>
      </c>
      <c r="T1862">
        <v>-0.92285179339405299</v>
      </c>
      <c r="U1862">
        <v>-6.6153658095826398</v>
      </c>
      <c r="V1862">
        <v>0.36907680594700698</v>
      </c>
      <c r="W1862">
        <v>0.64494338293488795</v>
      </c>
      <c r="X1862">
        <v>0</v>
      </c>
      <c r="Y1862">
        <v>0</v>
      </c>
    </row>
    <row r="1863" spans="1:25" x14ac:dyDescent="0.2">
      <c r="A1863" t="s">
        <v>6996</v>
      </c>
      <c r="B1863" t="s">
        <v>6997</v>
      </c>
      <c r="C1863" t="s">
        <v>6998</v>
      </c>
      <c r="D1863" t="s">
        <v>6999</v>
      </c>
      <c r="E1863" t="s">
        <v>6997</v>
      </c>
      <c r="F1863" t="s">
        <v>28</v>
      </c>
      <c r="G1863" t="s">
        <v>6997</v>
      </c>
      <c r="H1863" t="str">
        <f>"lys-8"</f>
        <v>lys-8</v>
      </c>
      <c r="I1863" t="s">
        <v>6999</v>
      </c>
      <c r="J1863" t="s">
        <v>29</v>
      </c>
      <c r="K1863" t="s">
        <v>29</v>
      </c>
      <c r="L1863" t="s">
        <v>29</v>
      </c>
      <c r="M1863" t="s">
        <v>29</v>
      </c>
      <c r="N1863" t="s">
        <v>29</v>
      </c>
      <c r="O1863" t="s">
        <v>29</v>
      </c>
      <c r="P1863" t="s">
        <v>29</v>
      </c>
      <c r="Q1863" t="s">
        <v>29</v>
      </c>
      <c r="R1863" t="s">
        <v>29</v>
      </c>
      <c r="S1863">
        <v>13.1262191349846</v>
      </c>
      <c r="T1863" t="s">
        <v>29</v>
      </c>
      <c r="U1863" t="s">
        <v>29</v>
      </c>
      <c r="V1863" t="s">
        <v>29</v>
      </c>
      <c r="W1863" t="s">
        <v>29</v>
      </c>
      <c r="X1863" t="s">
        <v>29</v>
      </c>
      <c r="Y1863" t="s">
        <v>29</v>
      </c>
    </row>
    <row r="1864" spans="1:25" x14ac:dyDescent="0.2">
      <c r="A1864" t="s">
        <v>7000</v>
      </c>
      <c r="B1864" t="s">
        <v>7001</v>
      </c>
      <c r="C1864" t="s">
        <v>7002</v>
      </c>
      <c r="D1864" t="s">
        <v>7003</v>
      </c>
      <c r="E1864" t="s">
        <v>7001</v>
      </c>
      <c r="F1864" t="s">
        <v>28</v>
      </c>
      <c r="G1864" t="s">
        <v>7001</v>
      </c>
      <c r="H1864" t="str">
        <f>"dhs-6"</f>
        <v>dhs-6</v>
      </c>
      <c r="I1864" t="s">
        <v>7003</v>
      </c>
      <c r="J1864">
        <v>13.834139939857</v>
      </c>
      <c r="K1864">
        <v>13.5325729113836</v>
      </c>
      <c r="L1864">
        <v>13.614637708815399</v>
      </c>
      <c r="M1864">
        <v>13.512575050515901</v>
      </c>
      <c r="N1864">
        <v>13.692293791865501</v>
      </c>
      <c r="O1864">
        <v>13.954888805283</v>
      </c>
      <c r="P1864">
        <v>5.9469029202819698E-2</v>
      </c>
      <c r="Q1864">
        <v>-0.29891052990044298</v>
      </c>
      <c r="R1864">
        <v>0.41784858830608201</v>
      </c>
      <c r="S1864">
        <v>13.545575967501501</v>
      </c>
      <c r="T1864">
        <v>0.34877081103972002</v>
      </c>
      <c r="U1864">
        <v>-6.9885560362363099</v>
      </c>
      <c r="V1864">
        <v>0.73133126797831904</v>
      </c>
      <c r="W1864">
        <v>0.88460317123366805</v>
      </c>
      <c r="X1864">
        <v>0</v>
      </c>
      <c r="Y1864">
        <v>0</v>
      </c>
    </row>
    <row r="1865" spans="1:25" x14ac:dyDescent="0.2">
      <c r="A1865" t="s">
        <v>7004</v>
      </c>
      <c r="B1865" t="s">
        <v>7005</v>
      </c>
      <c r="C1865" t="s">
        <v>7006</v>
      </c>
      <c r="D1865" t="s">
        <v>7007</v>
      </c>
      <c r="E1865" t="s">
        <v>7005</v>
      </c>
      <c r="F1865" t="s">
        <v>28</v>
      </c>
      <c r="G1865" t="s">
        <v>7005</v>
      </c>
      <c r="H1865" t="str">
        <f>"lin-23"</f>
        <v>lin-23</v>
      </c>
      <c r="I1865" t="s">
        <v>7007</v>
      </c>
      <c r="J1865">
        <v>13.63141074845</v>
      </c>
      <c r="K1865">
        <v>13.7633152770407</v>
      </c>
      <c r="L1865">
        <v>13.465911065561199</v>
      </c>
      <c r="M1865">
        <v>13.7234046931991</v>
      </c>
      <c r="N1865">
        <v>13.1635639475828</v>
      </c>
      <c r="O1865">
        <v>13.266412208339601</v>
      </c>
      <c r="P1865">
        <v>-0.23575208064348099</v>
      </c>
      <c r="Q1865">
        <v>-0.65550359409174097</v>
      </c>
      <c r="R1865">
        <v>0.18399943280477901</v>
      </c>
      <c r="S1865">
        <v>13.242206124716599</v>
      </c>
      <c r="T1865">
        <v>-1.1855319884734301</v>
      </c>
      <c r="U1865">
        <v>-6.3425570519994201</v>
      </c>
      <c r="V1865">
        <v>0.25221427179037897</v>
      </c>
      <c r="W1865">
        <v>0.52723345192617499</v>
      </c>
      <c r="X1865">
        <v>0</v>
      </c>
      <c r="Y1865">
        <v>0</v>
      </c>
    </row>
    <row r="1866" spans="1:25" x14ac:dyDescent="0.2">
      <c r="A1866" t="s">
        <v>7008</v>
      </c>
      <c r="B1866" t="s">
        <v>7009</v>
      </c>
      <c r="C1866" t="s">
        <v>7010</v>
      </c>
      <c r="D1866" t="s">
        <v>7011</v>
      </c>
      <c r="E1866" t="s">
        <v>7009</v>
      </c>
      <c r="F1866" t="s">
        <v>28</v>
      </c>
      <c r="G1866" t="s">
        <v>7009</v>
      </c>
      <c r="H1866" t="str">
        <f>"ani-2"</f>
        <v>ani-2</v>
      </c>
      <c r="I1866" t="s">
        <v>7011</v>
      </c>
      <c r="J1866">
        <v>13.573245780889</v>
      </c>
      <c r="K1866">
        <v>13.4404975803879</v>
      </c>
      <c r="L1866">
        <v>13.639955258270399</v>
      </c>
      <c r="M1866">
        <v>13.120915265249799</v>
      </c>
      <c r="N1866">
        <v>13.4711589382299</v>
      </c>
      <c r="O1866">
        <v>12.8275341533766</v>
      </c>
      <c r="P1866">
        <v>-0.411363420897013</v>
      </c>
      <c r="Q1866">
        <v>-0.98514995644488601</v>
      </c>
      <c r="R1866">
        <v>0.16242311465086101</v>
      </c>
      <c r="S1866">
        <v>13.910644309191101</v>
      </c>
      <c r="T1866">
        <v>-1.5133010421774</v>
      </c>
      <c r="U1866">
        <v>-5.92362531041206</v>
      </c>
      <c r="V1866">
        <v>0.14868473761523801</v>
      </c>
      <c r="W1866">
        <v>0.399521169446724</v>
      </c>
      <c r="X1866">
        <v>0</v>
      </c>
      <c r="Y1866">
        <v>0</v>
      </c>
    </row>
    <row r="1867" spans="1:25" x14ac:dyDescent="0.2">
      <c r="A1867" t="s">
        <v>7012</v>
      </c>
      <c r="B1867" t="s">
        <v>7013</v>
      </c>
      <c r="C1867" t="s">
        <v>7014</v>
      </c>
      <c r="D1867" t="s">
        <v>7015</v>
      </c>
      <c r="E1867" t="s">
        <v>7013</v>
      </c>
      <c r="F1867" t="s">
        <v>28</v>
      </c>
      <c r="G1867" t="s">
        <v>7013</v>
      </c>
      <c r="H1867" t="str">
        <f>"lars-1"</f>
        <v>lars-1</v>
      </c>
      <c r="I1867" t="s">
        <v>7015</v>
      </c>
      <c r="J1867">
        <v>16.643555325865801</v>
      </c>
      <c r="K1867">
        <v>16.534528445448501</v>
      </c>
      <c r="L1867">
        <v>16.569762931984101</v>
      </c>
      <c r="M1867">
        <v>16.714319653217501</v>
      </c>
      <c r="N1867">
        <v>17.009101144580701</v>
      </c>
      <c r="O1867">
        <v>16.725300669891698</v>
      </c>
      <c r="P1867">
        <v>0.23362492146380401</v>
      </c>
      <c r="Q1867">
        <v>-8.7133282826186598E-2</v>
      </c>
      <c r="R1867">
        <v>0.554383125753794</v>
      </c>
      <c r="S1867">
        <v>16.487272832035899</v>
      </c>
      <c r="T1867">
        <v>1.53085447496072</v>
      </c>
      <c r="U1867">
        <v>-5.8985003184380496</v>
      </c>
      <c r="V1867">
        <v>0.143291700622692</v>
      </c>
      <c r="W1867">
        <v>0.390839223659881</v>
      </c>
      <c r="X1867">
        <v>0</v>
      </c>
      <c r="Y1867">
        <v>0</v>
      </c>
    </row>
    <row r="1868" spans="1:25" x14ac:dyDescent="0.2">
      <c r="A1868" t="s">
        <v>7016</v>
      </c>
      <c r="B1868" t="s">
        <v>7017</v>
      </c>
      <c r="C1868" t="s">
        <v>14429</v>
      </c>
      <c r="D1868" t="s">
        <v>368</v>
      </c>
      <c r="E1868" t="s">
        <v>7017</v>
      </c>
      <c r="F1868" t="s">
        <v>28</v>
      </c>
      <c r="G1868" t="s">
        <v>7017</v>
      </c>
      <c r="H1868" t="str">
        <f>"K07A1.17"</f>
        <v>K07A1.17</v>
      </c>
      <c r="I1868" t="s">
        <v>368</v>
      </c>
      <c r="J1868">
        <v>11.9169558668217</v>
      </c>
      <c r="K1868" t="s">
        <v>29</v>
      </c>
      <c r="L1868">
        <v>12.4994288607322</v>
      </c>
      <c r="M1868" t="s">
        <v>29</v>
      </c>
      <c r="N1868" t="s">
        <v>29</v>
      </c>
      <c r="O1868" t="s">
        <v>29</v>
      </c>
      <c r="P1868" t="s">
        <v>29</v>
      </c>
      <c r="Q1868" t="s">
        <v>29</v>
      </c>
      <c r="R1868" t="s">
        <v>29</v>
      </c>
      <c r="S1868">
        <v>12.6626029497899</v>
      </c>
      <c r="T1868" t="s">
        <v>29</v>
      </c>
      <c r="U1868" t="s">
        <v>29</v>
      </c>
      <c r="V1868" t="s">
        <v>29</v>
      </c>
      <c r="W1868" t="s">
        <v>29</v>
      </c>
      <c r="X1868" t="s">
        <v>29</v>
      </c>
      <c r="Y1868" t="s">
        <v>29</v>
      </c>
    </row>
    <row r="1869" spans="1:25" x14ac:dyDescent="0.2">
      <c r="A1869" t="s">
        <v>7018</v>
      </c>
      <c r="B1869" t="s">
        <v>7019</v>
      </c>
      <c r="C1869" t="s">
        <v>7020</v>
      </c>
      <c r="D1869" t="s">
        <v>7021</v>
      </c>
      <c r="E1869" t="s">
        <v>7019</v>
      </c>
      <c r="F1869" t="s">
        <v>28</v>
      </c>
      <c r="G1869" t="s">
        <v>7019</v>
      </c>
      <c r="H1869" t="str">
        <f>"che-10"</f>
        <v>che-10</v>
      </c>
      <c r="I1869" t="s">
        <v>7021</v>
      </c>
      <c r="J1869">
        <v>12.594757543619099</v>
      </c>
      <c r="K1869">
        <v>14.0176007970187</v>
      </c>
      <c r="L1869">
        <v>12.1162979179832</v>
      </c>
      <c r="M1869">
        <v>12.730205581088599</v>
      </c>
      <c r="N1869">
        <v>12.513883454131699</v>
      </c>
      <c r="O1869">
        <v>13.127882245483899</v>
      </c>
      <c r="P1869">
        <v>-0.118894992638943</v>
      </c>
      <c r="Q1869">
        <v>-1.10253726306842</v>
      </c>
      <c r="R1869">
        <v>0.86474727779053795</v>
      </c>
      <c r="S1869">
        <v>12.505275776064201</v>
      </c>
      <c r="T1869">
        <v>-0.25942885182324799</v>
      </c>
      <c r="U1869">
        <v>-7.0163649211013803</v>
      </c>
      <c r="V1869">
        <v>0.79910849812154405</v>
      </c>
      <c r="W1869">
        <v>0.91595165960416303</v>
      </c>
      <c r="X1869">
        <v>0</v>
      </c>
      <c r="Y1869">
        <v>0</v>
      </c>
    </row>
    <row r="1870" spans="1:25" x14ac:dyDescent="0.2">
      <c r="A1870" t="s">
        <v>7022</v>
      </c>
      <c r="B1870" t="s">
        <v>7023</v>
      </c>
      <c r="C1870" t="s">
        <v>7024</v>
      </c>
      <c r="D1870" t="s">
        <v>7025</v>
      </c>
      <c r="E1870" t="s">
        <v>7023</v>
      </c>
      <c r="F1870" t="s">
        <v>28</v>
      </c>
      <c r="G1870" t="s">
        <v>7023</v>
      </c>
      <c r="H1870" t="str">
        <f>"tax-6"</f>
        <v>tax-6</v>
      </c>
      <c r="I1870" t="s">
        <v>7025</v>
      </c>
      <c r="J1870">
        <v>12.6551417606989</v>
      </c>
      <c r="K1870">
        <v>13.243100943012401</v>
      </c>
      <c r="L1870">
        <v>12.872474932960699</v>
      </c>
      <c r="M1870">
        <v>12.9356819506257</v>
      </c>
      <c r="N1870">
        <v>12.7614586013352</v>
      </c>
      <c r="O1870">
        <v>13.5437922850184</v>
      </c>
      <c r="P1870">
        <v>0.15673840010245299</v>
      </c>
      <c r="Q1870">
        <v>-0.45708780507297297</v>
      </c>
      <c r="R1870">
        <v>0.77056460527787896</v>
      </c>
      <c r="S1870">
        <v>12.862389910357701</v>
      </c>
      <c r="T1870">
        <v>0.53668875695584495</v>
      </c>
      <c r="U1870">
        <v>-6.9023486086398496</v>
      </c>
      <c r="V1870">
        <v>0.598092363282135</v>
      </c>
      <c r="W1870">
        <v>0.80772623300037905</v>
      </c>
      <c r="X1870">
        <v>0</v>
      </c>
      <c r="Y1870">
        <v>0</v>
      </c>
    </row>
    <row r="1871" spans="1:25" x14ac:dyDescent="0.2">
      <c r="A1871" t="s">
        <v>7026</v>
      </c>
      <c r="B1871" t="s">
        <v>7027</v>
      </c>
      <c r="C1871" t="s">
        <v>14430</v>
      </c>
      <c r="D1871" t="s">
        <v>2355</v>
      </c>
      <c r="E1871" t="s">
        <v>7027</v>
      </c>
      <c r="F1871" t="s">
        <v>28</v>
      </c>
      <c r="G1871" t="s">
        <v>7027</v>
      </c>
      <c r="H1871" t="str">
        <f>"F40F8.11"</f>
        <v>F40F8.11</v>
      </c>
      <c r="I1871" t="s">
        <v>2355</v>
      </c>
      <c r="J1871">
        <v>12.082257872563501</v>
      </c>
      <c r="K1871">
        <v>11.9827992392282</v>
      </c>
      <c r="L1871">
        <v>12.1065386428014</v>
      </c>
      <c r="M1871">
        <v>11.8159824447559</v>
      </c>
      <c r="N1871">
        <v>12.1189374847448</v>
      </c>
      <c r="O1871">
        <v>12.1345903402961</v>
      </c>
      <c r="P1871">
        <v>-3.40284949320857E-2</v>
      </c>
      <c r="Q1871">
        <v>-0.42331309307037901</v>
      </c>
      <c r="R1871">
        <v>0.35525610320620699</v>
      </c>
      <c r="S1871">
        <v>12.6227883532175</v>
      </c>
      <c r="T1871">
        <v>-0.18451238925687999</v>
      </c>
      <c r="U1871">
        <v>-7.0342070383559099</v>
      </c>
      <c r="V1871">
        <v>0.85580815114257902</v>
      </c>
      <c r="W1871">
        <v>0.94313111037049002</v>
      </c>
      <c r="X1871">
        <v>0</v>
      </c>
      <c r="Y1871">
        <v>0</v>
      </c>
    </row>
    <row r="1872" spans="1:25" x14ac:dyDescent="0.2">
      <c r="A1872" t="s">
        <v>7028</v>
      </c>
      <c r="B1872" t="s">
        <v>7029</v>
      </c>
      <c r="C1872" t="s">
        <v>14431</v>
      </c>
      <c r="D1872" t="s">
        <v>7030</v>
      </c>
      <c r="E1872" t="s">
        <v>7029</v>
      </c>
      <c r="F1872" t="s">
        <v>28</v>
      </c>
      <c r="G1872" t="s">
        <v>7029</v>
      </c>
      <c r="H1872" t="str">
        <f>"M106.3"</f>
        <v>M106.3</v>
      </c>
      <c r="I1872" t="s">
        <v>7030</v>
      </c>
      <c r="J1872">
        <v>13.325558394116999</v>
      </c>
      <c r="K1872">
        <v>13.1464943892804</v>
      </c>
      <c r="L1872">
        <v>13.678940077342601</v>
      </c>
      <c r="M1872">
        <v>13.447980844658501</v>
      </c>
      <c r="N1872">
        <v>14.755439290541499</v>
      </c>
      <c r="O1872">
        <v>14.7732267232974</v>
      </c>
      <c r="P1872">
        <v>0.94188466591911002</v>
      </c>
      <c r="Q1872">
        <v>0.239502169233794</v>
      </c>
      <c r="R1872">
        <v>1.6442671626044301</v>
      </c>
      <c r="S1872">
        <v>13.528076897592401</v>
      </c>
      <c r="T1872">
        <v>2.8442880451438999</v>
      </c>
      <c r="U1872">
        <v>-3.60810360185013</v>
      </c>
      <c r="V1872">
        <v>1.1776476281552E-2</v>
      </c>
      <c r="W1872">
        <v>9.8258086718384804E-2</v>
      </c>
      <c r="X1872">
        <v>0</v>
      </c>
      <c r="Y1872">
        <v>0</v>
      </c>
    </row>
    <row r="1873" spans="1:25" x14ac:dyDescent="0.2">
      <c r="A1873" t="s">
        <v>7031</v>
      </c>
      <c r="B1873" t="s">
        <v>7032</v>
      </c>
      <c r="C1873" t="s">
        <v>14432</v>
      </c>
      <c r="D1873" t="s">
        <v>368</v>
      </c>
      <c r="E1873" t="s">
        <v>7032</v>
      </c>
      <c r="F1873" t="s">
        <v>28</v>
      </c>
      <c r="G1873" t="s">
        <v>7032</v>
      </c>
      <c r="H1873" t="str">
        <f>"Y49A10A.2"</f>
        <v>Y49A10A.2</v>
      </c>
      <c r="I1873" t="s">
        <v>368</v>
      </c>
      <c r="J1873" t="s">
        <v>29</v>
      </c>
      <c r="K1873" t="s">
        <v>29</v>
      </c>
      <c r="L1873">
        <v>10.6043059987761</v>
      </c>
      <c r="M1873" t="s">
        <v>29</v>
      </c>
      <c r="N1873" t="s">
        <v>29</v>
      </c>
      <c r="O1873">
        <v>11.2111460534688</v>
      </c>
      <c r="P1873">
        <v>0.60684005469270397</v>
      </c>
      <c r="Q1873">
        <v>-0.44115392762039801</v>
      </c>
      <c r="R1873">
        <v>1.6548340370058101</v>
      </c>
      <c r="S1873">
        <v>10.418052385006799</v>
      </c>
      <c r="T1873">
        <v>1.49814204121515</v>
      </c>
      <c r="U1873">
        <v>-5.4268268202189498</v>
      </c>
      <c r="V1873">
        <v>0.19559108660354399</v>
      </c>
      <c r="W1873">
        <v>0.45657835652040002</v>
      </c>
      <c r="X1873">
        <v>0</v>
      </c>
      <c r="Y1873">
        <v>0</v>
      </c>
    </row>
    <row r="1874" spans="1:25" x14ac:dyDescent="0.2">
      <c r="A1874" t="s">
        <v>7033</v>
      </c>
      <c r="B1874" t="s">
        <v>7034</v>
      </c>
      <c r="C1874" t="s">
        <v>7035</v>
      </c>
      <c r="D1874" t="s">
        <v>2879</v>
      </c>
      <c r="E1874" t="s">
        <v>7034</v>
      </c>
      <c r="F1874" t="s">
        <v>28</v>
      </c>
      <c r="G1874" t="s">
        <v>7034</v>
      </c>
      <c r="H1874" t="str">
        <f>"R144.6"</f>
        <v>R144.6</v>
      </c>
      <c r="I1874" t="s">
        <v>2879</v>
      </c>
      <c r="J1874" t="s">
        <v>29</v>
      </c>
      <c r="K1874">
        <v>12.686057911215</v>
      </c>
      <c r="L1874">
        <v>11.3881723230242</v>
      </c>
      <c r="M1874">
        <v>12.629413406402101</v>
      </c>
      <c r="N1874" t="s">
        <v>29</v>
      </c>
      <c r="O1874" t="s">
        <v>29</v>
      </c>
      <c r="P1874">
        <v>0.59229828928254202</v>
      </c>
      <c r="Q1874">
        <v>-0.78119792842013402</v>
      </c>
      <c r="R1874">
        <v>1.9657945069852201</v>
      </c>
      <c r="S1874">
        <v>12.6586503254101</v>
      </c>
      <c r="T1874">
        <v>0.95025618233478504</v>
      </c>
      <c r="U1874">
        <v>-6.1856860947026897</v>
      </c>
      <c r="V1874">
        <v>0.36258580122810002</v>
      </c>
      <c r="W1874">
        <v>0.63948736975405795</v>
      </c>
      <c r="X1874">
        <v>0</v>
      </c>
      <c r="Y1874">
        <v>0</v>
      </c>
    </row>
    <row r="1875" spans="1:25" x14ac:dyDescent="0.2">
      <c r="A1875" t="s">
        <v>7036</v>
      </c>
      <c r="B1875" t="s">
        <v>7037</v>
      </c>
      <c r="C1875" t="s">
        <v>7038</v>
      </c>
      <c r="D1875" t="s">
        <v>7039</v>
      </c>
      <c r="E1875" t="s">
        <v>7037</v>
      </c>
      <c r="F1875" t="s">
        <v>28</v>
      </c>
      <c r="G1875" t="s">
        <v>7037</v>
      </c>
      <c r="H1875" t="str">
        <f>"T19C3.4"</f>
        <v>T19C3.4</v>
      </c>
      <c r="I1875" t="s">
        <v>7039</v>
      </c>
      <c r="J1875">
        <v>11.6202341031212</v>
      </c>
      <c r="K1875">
        <v>11.934430819817001</v>
      </c>
      <c r="L1875">
        <v>12.602618217023601</v>
      </c>
      <c r="M1875">
        <v>12.1300359956169</v>
      </c>
      <c r="N1875">
        <v>12.222589109504399</v>
      </c>
      <c r="O1875">
        <v>11.9633584928837</v>
      </c>
      <c r="P1875">
        <v>5.2900152681076E-2</v>
      </c>
      <c r="Q1875">
        <v>-0.50379070011789695</v>
      </c>
      <c r="R1875">
        <v>0.60959100548004796</v>
      </c>
      <c r="S1875">
        <v>12.582299845263201</v>
      </c>
      <c r="T1875">
        <v>0.20058241382720801</v>
      </c>
      <c r="U1875">
        <v>-7.0309609080265201</v>
      </c>
      <c r="V1875">
        <v>0.84341985800464103</v>
      </c>
      <c r="W1875">
        <v>0.93880663024225997</v>
      </c>
      <c r="X1875">
        <v>0</v>
      </c>
      <c r="Y1875">
        <v>0</v>
      </c>
    </row>
    <row r="1876" spans="1:25" x14ac:dyDescent="0.2">
      <c r="A1876" t="s">
        <v>7040</v>
      </c>
      <c r="B1876" t="s">
        <v>7041</v>
      </c>
      <c r="C1876" t="s">
        <v>7042</v>
      </c>
      <c r="D1876" t="s">
        <v>7043</v>
      </c>
      <c r="E1876" t="s">
        <v>7041</v>
      </c>
      <c r="F1876" t="s">
        <v>28</v>
      </c>
      <c r="G1876" t="s">
        <v>7041</v>
      </c>
      <c r="H1876" t="str">
        <f>"snr-3"</f>
        <v>snr-3</v>
      </c>
      <c r="I1876" t="s">
        <v>7043</v>
      </c>
      <c r="J1876">
        <v>14.668662452007</v>
      </c>
      <c r="K1876">
        <v>15.324900993056101</v>
      </c>
      <c r="L1876">
        <v>15.253942050432901</v>
      </c>
      <c r="M1876">
        <v>14.733342864990201</v>
      </c>
      <c r="N1876">
        <v>15.3202961179668</v>
      </c>
      <c r="O1876">
        <v>15.5488395186561</v>
      </c>
      <c r="P1876">
        <v>0.118324335372355</v>
      </c>
      <c r="Q1876">
        <v>-0.58180854501330903</v>
      </c>
      <c r="R1876">
        <v>0.81845721575802</v>
      </c>
      <c r="S1876">
        <v>15.402443075349201</v>
      </c>
      <c r="T1876">
        <v>0.35521076002870899</v>
      </c>
      <c r="U1876">
        <v>-6.9861965960638699</v>
      </c>
      <c r="V1876">
        <v>0.72658395158329903</v>
      </c>
      <c r="W1876">
        <v>0.88154518212231703</v>
      </c>
      <c r="X1876">
        <v>0</v>
      </c>
      <c r="Y1876">
        <v>0</v>
      </c>
    </row>
    <row r="1877" spans="1:25" x14ac:dyDescent="0.2">
      <c r="A1877" t="s">
        <v>7044</v>
      </c>
      <c r="B1877" t="s">
        <v>7045</v>
      </c>
      <c r="C1877" t="s">
        <v>7046</v>
      </c>
      <c r="D1877" t="s">
        <v>7047</v>
      </c>
      <c r="E1877" t="s">
        <v>7045</v>
      </c>
      <c r="F1877" t="s">
        <v>28</v>
      </c>
      <c r="G1877" t="s">
        <v>7045</v>
      </c>
      <c r="H1877" t="str">
        <f>"rsp-5"</f>
        <v>rsp-5</v>
      </c>
      <c r="I1877" t="s">
        <v>7047</v>
      </c>
      <c r="J1877">
        <v>14.3056082887163</v>
      </c>
      <c r="K1877">
        <v>13.3365117896626</v>
      </c>
      <c r="L1877">
        <v>14.4287405559124</v>
      </c>
      <c r="M1877">
        <v>14.4238231114957</v>
      </c>
      <c r="N1877">
        <v>14.102356693920701</v>
      </c>
      <c r="O1877" t="s">
        <v>29</v>
      </c>
      <c r="P1877">
        <v>0.23946969127777401</v>
      </c>
      <c r="Q1877">
        <v>-0.45504947534300999</v>
      </c>
      <c r="R1877">
        <v>0.93398885789855801</v>
      </c>
      <c r="S1877">
        <v>14.057576103717</v>
      </c>
      <c r="T1877">
        <v>0.73133414189631396</v>
      </c>
      <c r="U1877">
        <v>-6.66446430432842</v>
      </c>
      <c r="V1877">
        <v>0.47521933730924998</v>
      </c>
      <c r="W1877">
        <v>0.73595499432160905</v>
      </c>
      <c r="X1877">
        <v>0</v>
      </c>
      <c r="Y1877">
        <v>0</v>
      </c>
    </row>
    <row r="1878" spans="1:25" x14ac:dyDescent="0.2">
      <c r="A1878" t="s">
        <v>7048</v>
      </c>
      <c r="B1878" t="s">
        <v>7049</v>
      </c>
      <c r="C1878" t="s">
        <v>7050</v>
      </c>
      <c r="D1878" t="s">
        <v>7051</v>
      </c>
      <c r="E1878" t="s">
        <v>7049</v>
      </c>
      <c r="F1878" t="s">
        <v>28</v>
      </c>
      <c r="G1878" t="s">
        <v>7049</v>
      </c>
      <c r="H1878" t="str">
        <f>"vhp-1"</f>
        <v>vhp-1</v>
      </c>
      <c r="I1878" t="s">
        <v>7051</v>
      </c>
      <c r="J1878">
        <v>11.992319459789099</v>
      </c>
      <c r="K1878">
        <v>12.818152795585201</v>
      </c>
      <c r="L1878">
        <v>10.430246131467401</v>
      </c>
      <c r="M1878">
        <v>12.9952560727247</v>
      </c>
      <c r="N1878">
        <v>12.510687164338</v>
      </c>
      <c r="O1878">
        <v>11.6554324369769</v>
      </c>
      <c r="P1878">
        <v>0.64021909573265201</v>
      </c>
      <c r="Q1878">
        <v>-0.31669774937035799</v>
      </c>
      <c r="R1878">
        <v>1.59713594083566</v>
      </c>
      <c r="S1878">
        <v>12.2436779259213</v>
      </c>
      <c r="T1878">
        <v>1.41222676143766</v>
      </c>
      <c r="U1878">
        <v>-6.0614561684214703</v>
      </c>
      <c r="V1878">
        <v>0.17603777464609799</v>
      </c>
      <c r="W1878">
        <v>0.43660588315427201</v>
      </c>
      <c r="X1878">
        <v>0</v>
      </c>
      <c r="Y1878">
        <v>0</v>
      </c>
    </row>
    <row r="1879" spans="1:25" x14ac:dyDescent="0.2">
      <c r="A1879" t="s">
        <v>7052</v>
      </c>
      <c r="B1879" t="s">
        <v>7053</v>
      </c>
      <c r="C1879" t="s">
        <v>7054</v>
      </c>
      <c r="D1879" t="s">
        <v>7055</v>
      </c>
      <c r="E1879" t="s">
        <v>7053</v>
      </c>
      <c r="F1879" t="s">
        <v>28</v>
      </c>
      <c r="G1879" t="s">
        <v>7053</v>
      </c>
      <c r="H1879" t="str">
        <f>"gars-1"</f>
        <v>gars-1</v>
      </c>
      <c r="I1879" t="s">
        <v>7055</v>
      </c>
      <c r="J1879">
        <v>16.268754869403502</v>
      </c>
      <c r="K1879">
        <v>15.8637325553261</v>
      </c>
      <c r="L1879">
        <v>16.084426472224699</v>
      </c>
      <c r="M1879">
        <v>15.370881464046599</v>
      </c>
      <c r="N1879">
        <v>15.7760199404093</v>
      </c>
      <c r="O1879">
        <v>15.558832127094201</v>
      </c>
      <c r="P1879">
        <v>-0.50372678846805397</v>
      </c>
      <c r="Q1879">
        <v>-0.96607493331459104</v>
      </c>
      <c r="R1879">
        <v>-4.1378643621516401E-2</v>
      </c>
      <c r="S1879">
        <v>15.623288071602699</v>
      </c>
      <c r="T1879">
        <v>-2.2899101455305502</v>
      </c>
      <c r="U1879">
        <v>-4.6445306424648303</v>
      </c>
      <c r="V1879">
        <v>3.4397455204038398E-2</v>
      </c>
      <c r="W1879">
        <v>0.183987556156714</v>
      </c>
      <c r="X1879">
        <v>0</v>
      </c>
      <c r="Y1879">
        <v>0</v>
      </c>
    </row>
    <row r="1880" spans="1:25" x14ac:dyDescent="0.2">
      <c r="A1880" t="s">
        <v>7056</v>
      </c>
      <c r="B1880" t="s">
        <v>7057</v>
      </c>
      <c r="C1880" t="s">
        <v>7058</v>
      </c>
      <c r="D1880" t="s">
        <v>7059</v>
      </c>
      <c r="E1880" t="s">
        <v>7057</v>
      </c>
      <c r="F1880" t="s">
        <v>28</v>
      </c>
      <c r="G1880" t="s">
        <v>7057</v>
      </c>
      <c r="H1880" t="str">
        <f>"unc-50"</f>
        <v>unc-50</v>
      </c>
      <c r="I1880" t="s">
        <v>7059</v>
      </c>
      <c r="J1880">
        <v>14.7171737118944</v>
      </c>
      <c r="K1880">
        <v>14.802326074575401</v>
      </c>
      <c r="L1880">
        <v>14.9031416354076</v>
      </c>
      <c r="M1880">
        <v>14.353405083881601</v>
      </c>
      <c r="N1880">
        <v>14.164725697947601</v>
      </c>
      <c r="O1880">
        <v>14.514876365227799</v>
      </c>
      <c r="P1880">
        <v>-0.46321142494009299</v>
      </c>
      <c r="Q1880">
        <v>-0.99395880748750298</v>
      </c>
      <c r="R1880">
        <v>6.7535957607316899E-2</v>
      </c>
      <c r="S1880">
        <v>14.7119587468499</v>
      </c>
      <c r="T1880">
        <v>-1.8343572251648601</v>
      </c>
      <c r="U1880">
        <v>-5.4373208682423098</v>
      </c>
      <c r="V1880">
        <v>8.3283775612784897E-2</v>
      </c>
      <c r="W1880">
        <v>0.29457109330869802</v>
      </c>
      <c r="X1880">
        <v>0</v>
      </c>
      <c r="Y1880">
        <v>0</v>
      </c>
    </row>
    <row r="1881" spans="1:25" x14ac:dyDescent="0.2">
      <c r="A1881" t="s">
        <v>7060</v>
      </c>
      <c r="B1881" t="s">
        <v>7061</v>
      </c>
      <c r="C1881" t="s">
        <v>14433</v>
      </c>
      <c r="D1881" t="s">
        <v>7062</v>
      </c>
      <c r="E1881" t="s">
        <v>7061</v>
      </c>
      <c r="F1881" t="s">
        <v>28</v>
      </c>
      <c r="G1881" t="s">
        <v>7061</v>
      </c>
      <c r="H1881" t="str">
        <f>"T10F2.2"</f>
        <v>T10F2.2</v>
      </c>
      <c r="I1881" t="s">
        <v>7062</v>
      </c>
      <c r="J1881">
        <v>15.7744179715193</v>
      </c>
      <c r="K1881">
        <v>15.5669814721868</v>
      </c>
      <c r="L1881">
        <v>15.541520385731699</v>
      </c>
      <c r="M1881">
        <v>15.5782349912258</v>
      </c>
      <c r="N1881">
        <v>15.710137280624</v>
      </c>
      <c r="O1881">
        <v>15.2757364717757</v>
      </c>
      <c r="P1881">
        <v>-0.10627036193742299</v>
      </c>
      <c r="Q1881">
        <v>-0.67454440273624805</v>
      </c>
      <c r="R1881">
        <v>0.46200367886140298</v>
      </c>
      <c r="S1881">
        <v>15.2147965633071</v>
      </c>
      <c r="T1881">
        <v>-0.39304914443914102</v>
      </c>
      <c r="U1881">
        <v>-6.9714751044025096</v>
      </c>
      <c r="V1881">
        <v>0.69892616779541605</v>
      </c>
      <c r="W1881">
        <v>0.86611903894499598</v>
      </c>
      <c r="X1881">
        <v>0</v>
      </c>
      <c r="Y1881">
        <v>0</v>
      </c>
    </row>
    <row r="1882" spans="1:25" x14ac:dyDescent="0.2">
      <c r="A1882" t="s">
        <v>7063</v>
      </c>
      <c r="B1882" t="s">
        <v>7064</v>
      </c>
      <c r="C1882" t="s">
        <v>7065</v>
      </c>
      <c r="D1882" t="s">
        <v>7066</v>
      </c>
      <c r="E1882" t="s">
        <v>7064</v>
      </c>
      <c r="F1882" t="s">
        <v>28</v>
      </c>
      <c r="G1882" t="s">
        <v>7064</v>
      </c>
      <c r="H1882" t="str">
        <f>"C23G10.2"</f>
        <v>C23G10.2</v>
      </c>
      <c r="I1882" t="s">
        <v>7066</v>
      </c>
      <c r="J1882" t="s">
        <v>29</v>
      </c>
      <c r="K1882" t="s">
        <v>29</v>
      </c>
      <c r="L1882" t="s">
        <v>29</v>
      </c>
      <c r="M1882">
        <v>12.244201991136901</v>
      </c>
      <c r="N1882">
        <v>12.673584310520299</v>
      </c>
      <c r="O1882">
        <v>12.3292508629727</v>
      </c>
      <c r="P1882" t="s">
        <v>29</v>
      </c>
      <c r="Q1882" t="s">
        <v>29</v>
      </c>
      <c r="R1882" t="s">
        <v>29</v>
      </c>
      <c r="S1882">
        <v>12.4109265870279</v>
      </c>
      <c r="T1882" t="s">
        <v>29</v>
      </c>
      <c r="U1882" t="s">
        <v>29</v>
      </c>
      <c r="V1882" t="s">
        <v>29</v>
      </c>
      <c r="W1882" t="s">
        <v>29</v>
      </c>
      <c r="X1882" t="s">
        <v>29</v>
      </c>
      <c r="Y1882" t="s">
        <v>29</v>
      </c>
    </row>
    <row r="1883" spans="1:25" x14ac:dyDescent="0.2">
      <c r="A1883" t="s">
        <v>7067</v>
      </c>
      <c r="B1883" t="s">
        <v>7068</v>
      </c>
      <c r="C1883" t="s">
        <v>7069</v>
      </c>
      <c r="D1883" t="s">
        <v>7070</v>
      </c>
      <c r="E1883" t="s">
        <v>7068</v>
      </c>
      <c r="F1883" t="s">
        <v>28</v>
      </c>
      <c r="G1883" t="s">
        <v>7068</v>
      </c>
      <c r="H1883" t="str">
        <f>"F52C9.3"</f>
        <v>F52C9.3</v>
      </c>
      <c r="I1883" t="s">
        <v>7070</v>
      </c>
      <c r="J1883">
        <v>14.1584220516276</v>
      </c>
      <c r="K1883">
        <v>13.960481091697901</v>
      </c>
      <c r="L1883">
        <v>14.295566758885901</v>
      </c>
      <c r="M1883">
        <v>13.910822580288301</v>
      </c>
      <c r="N1883">
        <v>13.9587993061105</v>
      </c>
      <c r="O1883">
        <v>13.8577780795928</v>
      </c>
      <c r="P1883">
        <v>-0.22902331207326801</v>
      </c>
      <c r="Q1883">
        <v>-0.57057152284858204</v>
      </c>
      <c r="R1883">
        <v>0.112524898702046</v>
      </c>
      <c r="S1883">
        <v>14.0905096885367</v>
      </c>
      <c r="T1883">
        <v>-1.4093543152938399</v>
      </c>
      <c r="U1883">
        <v>-6.0653664448919899</v>
      </c>
      <c r="V1883">
        <v>0.17587196766378499</v>
      </c>
      <c r="W1883">
        <v>0.436527370540013</v>
      </c>
      <c r="X1883">
        <v>0</v>
      </c>
      <c r="Y1883">
        <v>0</v>
      </c>
    </row>
    <row r="1884" spans="1:25" x14ac:dyDescent="0.2">
      <c r="A1884" t="s">
        <v>7071</v>
      </c>
      <c r="B1884" t="s">
        <v>7072</v>
      </c>
      <c r="C1884" t="s">
        <v>7073</v>
      </c>
      <c r="D1884" t="s">
        <v>7074</v>
      </c>
      <c r="E1884" t="s">
        <v>7072</v>
      </c>
      <c r="F1884" t="s">
        <v>28</v>
      </c>
      <c r="G1884" t="s">
        <v>7072</v>
      </c>
      <c r="H1884" t="str">
        <f>"pqe-1"</f>
        <v>pqe-1</v>
      </c>
      <c r="I1884" t="s">
        <v>7074</v>
      </c>
      <c r="J1884">
        <v>12.6393252836298</v>
      </c>
      <c r="K1884">
        <v>13.429319869489101</v>
      </c>
      <c r="L1884">
        <v>12.7620584787642</v>
      </c>
      <c r="M1884">
        <v>12.1710523527824</v>
      </c>
      <c r="N1884">
        <v>11.6769626050095</v>
      </c>
      <c r="O1884">
        <v>12.068670187981899</v>
      </c>
      <c r="P1884">
        <v>-0.97133949536972097</v>
      </c>
      <c r="Q1884">
        <v>-1.4901613202024</v>
      </c>
      <c r="R1884">
        <v>-0.45251767053703801</v>
      </c>
      <c r="S1884">
        <v>12.8725181219832</v>
      </c>
      <c r="T1884">
        <v>-3.9710224354744299</v>
      </c>
      <c r="U1884">
        <v>-1.29158339099707</v>
      </c>
      <c r="V1884">
        <v>1.10961691404936E-3</v>
      </c>
      <c r="W1884">
        <v>1.9552191962291701E-2</v>
      </c>
      <c r="X1884">
        <v>0</v>
      </c>
      <c r="Y1884">
        <v>0</v>
      </c>
    </row>
    <row r="1885" spans="1:25" x14ac:dyDescent="0.2">
      <c r="A1885" t="s">
        <v>7075</v>
      </c>
      <c r="B1885" t="s">
        <v>7076</v>
      </c>
      <c r="C1885" t="s">
        <v>7077</v>
      </c>
      <c r="D1885" t="s">
        <v>7078</v>
      </c>
      <c r="E1885" t="s">
        <v>7076</v>
      </c>
      <c r="F1885" t="s">
        <v>28</v>
      </c>
      <c r="G1885" t="s">
        <v>7076</v>
      </c>
      <c r="H1885" t="str">
        <f>"mrps-16"</f>
        <v>mrps-16</v>
      </c>
      <c r="I1885" t="s">
        <v>7078</v>
      </c>
      <c r="J1885">
        <v>12.1843446595831</v>
      </c>
      <c r="K1885">
        <v>12.328135967242901</v>
      </c>
      <c r="L1885">
        <v>12.232688788720299</v>
      </c>
      <c r="M1885" t="s">
        <v>29</v>
      </c>
      <c r="N1885">
        <v>11.6154459370815</v>
      </c>
      <c r="O1885">
        <v>9.9096153266597007</v>
      </c>
      <c r="P1885">
        <v>-1.4858591733115001</v>
      </c>
      <c r="Q1885">
        <v>-2.4380522539915801</v>
      </c>
      <c r="R1885">
        <v>-0.53366609263142495</v>
      </c>
      <c r="S1885">
        <v>11.8957138270963</v>
      </c>
      <c r="T1885">
        <v>-3.3492265198333602</v>
      </c>
      <c r="U1885">
        <v>-2.58866404314655</v>
      </c>
      <c r="V1885">
        <v>4.8152467806283203E-3</v>
      </c>
      <c r="W1885">
        <v>5.2991593037138102E-2</v>
      </c>
      <c r="X1885">
        <v>-1</v>
      </c>
      <c r="Y1885">
        <v>-1</v>
      </c>
    </row>
    <row r="1886" spans="1:25" x14ac:dyDescent="0.2">
      <c r="A1886" t="s">
        <v>7079</v>
      </c>
      <c r="B1886" t="s">
        <v>7080</v>
      </c>
      <c r="C1886" t="s">
        <v>7081</v>
      </c>
      <c r="D1886" t="s">
        <v>7082</v>
      </c>
      <c r="E1886" t="s">
        <v>7080</v>
      </c>
      <c r="F1886" t="s">
        <v>28</v>
      </c>
      <c r="G1886" t="s">
        <v>7080</v>
      </c>
      <c r="H1886" t="str">
        <f>"dhs-5"</f>
        <v>dhs-5</v>
      </c>
      <c r="I1886" t="s">
        <v>7082</v>
      </c>
      <c r="J1886">
        <v>11.7779609262232</v>
      </c>
      <c r="K1886">
        <v>11.079678626473299</v>
      </c>
      <c r="L1886">
        <v>12.622147968556</v>
      </c>
      <c r="M1886" t="s">
        <v>29</v>
      </c>
      <c r="N1886">
        <v>12.5402195975346</v>
      </c>
      <c r="O1886" t="s">
        <v>29</v>
      </c>
      <c r="P1886">
        <v>0.71362375711714099</v>
      </c>
      <c r="Q1886">
        <v>-0.307469596208162</v>
      </c>
      <c r="R1886">
        <v>1.7347171104424399</v>
      </c>
      <c r="S1886">
        <v>12.545792151970801</v>
      </c>
      <c r="T1886">
        <v>1.50001548779167</v>
      </c>
      <c r="U1886">
        <v>-5.6089815929877398</v>
      </c>
      <c r="V1886">
        <v>0.155986376677097</v>
      </c>
      <c r="W1886">
        <v>0.40726596050769998</v>
      </c>
      <c r="X1886">
        <v>0</v>
      </c>
      <c r="Y1886">
        <v>0</v>
      </c>
    </row>
    <row r="1887" spans="1:25" x14ac:dyDescent="0.2">
      <c r="A1887" t="s">
        <v>7083</v>
      </c>
      <c r="B1887" t="s">
        <v>7084</v>
      </c>
      <c r="C1887" t="s">
        <v>7085</v>
      </c>
      <c r="D1887" t="s">
        <v>7086</v>
      </c>
      <c r="E1887" t="s">
        <v>7084</v>
      </c>
      <c r="F1887" t="s">
        <v>28</v>
      </c>
      <c r="G1887" t="s">
        <v>7084</v>
      </c>
      <c r="H1887" t="str">
        <f>"F46H5.3"</f>
        <v>F46H5.3</v>
      </c>
      <c r="I1887" t="s">
        <v>7086</v>
      </c>
      <c r="J1887">
        <v>19.060795034109699</v>
      </c>
      <c r="K1887">
        <v>18.756522690348099</v>
      </c>
      <c r="L1887">
        <v>18.720044999987898</v>
      </c>
      <c r="M1887">
        <v>18.422805465970701</v>
      </c>
      <c r="N1887">
        <v>18.1339988474809</v>
      </c>
      <c r="O1887">
        <v>18.769337095354398</v>
      </c>
      <c r="P1887">
        <v>-0.40374043854657099</v>
      </c>
      <c r="Q1887">
        <v>-0.79814709099996595</v>
      </c>
      <c r="R1887">
        <v>-9.3337860931749801E-3</v>
      </c>
      <c r="S1887">
        <v>18.473765612008801</v>
      </c>
      <c r="T1887">
        <v>-2.1515454861422998</v>
      </c>
      <c r="U1887">
        <v>-4.8964614839769096</v>
      </c>
      <c r="V1887">
        <v>4.5342336143392802E-2</v>
      </c>
      <c r="W1887">
        <v>0.211381034112608</v>
      </c>
      <c r="X1887">
        <v>0</v>
      </c>
      <c r="Y1887">
        <v>0</v>
      </c>
    </row>
    <row r="1888" spans="1:25" x14ac:dyDescent="0.2">
      <c r="A1888" t="s">
        <v>7087</v>
      </c>
      <c r="B1888" t="s">
        <v>7088</v>
      </c>
      <c r="C1888" t="s">
        <v>7089</v>
      </c>
      <c r="D1888" t="s">
        <v>7090</v>
      </c>
      <c r="E1888" t="s">
        <v>7088</v>
      </c>
      <c r="F1888" t="s">
        <v>28</v>
      </c>
      <c r="G1888" t="s">
        <v>7088</v>
      </c>
      <c r="H1888" t="str">
        <f>"pacs-1"</f>
        <v>pacs-1</v>
      </c>
      <c r="I1888" t="s">
        <v>7090</v>
      </c>
      <c r="J1888">
        <v>13.2110510177904</v>
      </c>
      <c r="K1888">
        <v>13.386440500865</v>
      </c>
      <c r="L1888">
        <v>13.1813954225779</v>
      </c>
      <c r="M1888" t="s">
        <v>29</v>
      </c>
      <c r="N1888" t="s">
        <v>29</v>
      </c>
      <c r="O1888">
        <v>13.568952312073201</v>
      </c>
      <c r="P1888">
        <v>0.30932333166213899</v>
      </c>
      <c r="Q1888">
        <v>-0.75781757947478401</v>
      </c>
      <c r="R1888">
        <v>1.3764642427990601</v>
      </c>
      <c r="S1888">
        <v>13.055598573420999</v>
      </c>
      <c r="T1888">
        <v>0.63217296891690999</v>
      </c>
      <c r="U1888">
        <v>-6.4992681798787197</v>
      </c>
      <c r="V1888">
        <v>0.53923495702577895</v>
      </c>
      <c r="W1888">
        <v>0.77501266500839605</v>
      </c>
      <c r="X1888">
        <v>0</v>
      </c>
      <c r="Y1888">
        <v>0</v>
      </c>
    </row>
    <row r="1889" spans="1:25" x14ac:dyDescent="0.2">
      <c r="A1889" t="s">
        <v>7091</v>
      </c>
      <c r="B1889" t="s">
        <v>7092</v>
      </c>
      <c r="C1889" t="s">
        <v>7093</v>
      </c>
      <c r="D1889" t="s">
        <v>7094</v>
      </c>
      <c r="E1889" t="s">
        <v>7092</v>
      </c>
      <c r="F1889" t="s">
        <v>28</v>
      </c>
      <c r="G1889" t="s">
        <v>7092</v>
      </c>
      <c r="H1889" t="str">
        <f>"dpy-18"</f>
        <v>dpy-18</v>
      </c>
      <c r="I1889" t="s">
        <v>7094</v>
      </c>
      <c r="J1889">
        <v>15.237618356576</v>
      </c>
      <c r="K1889">
        <v>14.6649757752234</v>
      </c>
      <c r="L1889">
        <v>14.9358742763098</v>
      </c>
      <c r="M1889">
        <v>14.606425931760301</v>
      </c>
      <c r="N1889">
        <v>14.130289883326</v>
      </c>
      <c r="O1889">
        <v>14.5380752799545</v>
      </c>
      <c r="P1889">
        <v>-0.52122577102280199</v>
      </c>
      <c r="Q1889">
        <v>-1.0588953986193099</v>
      </c>
      <c r="R1889">
        <v>1.64438565737027E-2</v>
      </c>
      <c r="S1889">
        <v>14.539661692229</v>
      </c>
      <c r="T1889">
        <v>-2.0375247331596298</v>
      </c>
      <c r="U1889">
        <v>-5.09710894192109</v>
      </c>
      <c r="V1889">
        <v>5.6662479728932999E-2</v>
      </c>
      <c r="W1889">
        <v>0.239797660873003</v>
      </c>
      <c r="X1889">
        <v>0</v>
      </c>
      <c r="Y1889">
        <v>0</v>
      </c>
    </row>
    <row r="1890" spans="1:25" x14ac:dyDescent="0.2">
      <c r="A1890" t="s">
        <v>7095</v>
      </c>
      <c r="B1890" t="s">
        <v>7096</v>
      </c>
      <c r="C1890" t="s">
        <v>7097</v>
      </c>
      <c r="D1890" t="s">
        <v>7098</v>
      </c>
      <c r="E1890" t="s">
        <v>7096</v>
      </c>
      <c r="F1890" t="s">
        <v>28</v>
      </c>
      <c r="G1890" t="s">
        <v>7096</v>
      </c>
      <c r="H1890" t="str">
        <f>"rpb-2"</f>
        <v>rpb-2</v>
      </c>
      <c r="I1890" t="s">
        <v>7098</v>
      </c>
      <c r="J1890">
        <v>14.904385914761599</v>
      </c>
      <c r="K1890">
        <v>14.8777524191783</v>
      </c>
      <c r="L1890">
        <v>14.7325810363106</v>
      </c>
      <c r="M1890">
        <v>14.845117761999701</v>
      </c>
      <c r="N1890">
        <v>15.2132929042674</v>
      </c>
      <c r="O1890">
        <v>14.8891749196547</v>
      </c>
      <c r="P1890">
        <v>0.14428873855708699</v>
      </c>
      <c r="Q1890">
        <v>-0.30660281542142498</v>
      </c>
      <c r="R1890">
        <v>0.59518029253560001</v>
      </c>
      <c r="S1890">
        <v>14.865486237724999</v>
      </c>
      <c r="T1890">
        <v>0.67259378429461902</v>
      </c>
      <c r="U1890">
        <v>-6.8179779449704698</v>
      </c>
      <c r="V1890">
        <v>0.50979825287209402</v>
      </c>
      <c r="W1890">
        <v>0.75921442327038602</v>
      </c>
      <c r="X1890">
        <v>0</v>
      </c>
      <c r="Y1890">
        <v>0</v>
      </c>
    </row>
    <row r="1891" spans="1:25" x14ac:dyDescent="0.2">
      <c r="A1891" t="s">
        <v>7099</v>
      </c>
      <c r="B1891" t="s">
        <v>7100</v>
      </c>
      <c r="C1891" t="s">
        <v>7101</v>
      </c>
      <c r="D1891" t="s">
        <v>7102</v>
      </c>
      <c r="E1891" t="s">
        <v>7100</v>
      </c>
      <c r="F1891" t="s">
        <v>28</v>
      </c>
      <c r="G1891" t="s">
        <v>7100</v>
      </c>
      <c r="H1891" t="str">
        <f>"cyb-1"</f>
        <v>cyb-1</v>
      </c>
      <c r="I1891" t="s">
        <v>7102</v>
      </c>
      <c r="J1891" t="s">
        <v>29</v>
      </c>
      <c r="K1891" t="s">
        <v>29</v>
      </c>
      <c r="L1891" t="s">
        <v>29</v>
      </c>
      <c r="M1891" t="s">
        <v>29</v>
      </c>
      <c r="N1891" t="s">
        <v>29</v>
      </c>
      <c r="O1891" t="s">
        <v>29</v>
      </c>
      <c r="P1891" t="s">
        <v>29</v>
      </c>
      <c r="Q1891" t="s">
        <v>29</v>
      </c>
      <c r="R1891" t="s">
        <v>29</v>
      </c>
      <c r="S1891">
        <v>10.090798263938799</v>
      </c>
      <c r="T1891" t="s">
        <v>29</v>
      </c>
      <c r="U1891" t="s">
        <v>29</v>
      </c>
      <c r="V1891" t="s">
        <v>29</v>
      </c>
      <c r="W1891" t="s">
        <v>29</v>
      </c>
      <c r="X1891" t="s">
        <v>29</v>
      </c>
      <c r="Y1891" t="s">
        <v>29</v>
      </c>
    </row>
    <row r="1892" spans="1:25" x14ac:dyDescent="0.2">
      <c r="A1892" t="s">
        <v>7103</v>
      </c>
      <c r="B1892" t="s">
        <v>7104</v>
      </c>
      <c r="C1892" t="s">
        <v>7105</v>
      </c>
      <c r="D1892" t="s">
        <v>7106</v>
      </c>
      <c r="E1892" t="s">
        <v>7104</v>
      </c>
      <c r="F1892" t="s">
        <v>28</v>
      </c>
      <c r="G1892" t="s">
        <v>7104</v>
      </c>
      <c r="H1892" t="str">
        <f>"egl-15"</f>
        <v>egl-15</v>
      </c>
      <c r="I1892" t="s">
        <v>7106</v>
      </c>
      <c r="J1892" t="s">
        <v>29</v>
      </c>
      <c r="K1892" t="s">
        <v>29</v>
      </c>
      <c r="L1892" t="s">
        <v>29</v>
      </c>
      <c r="M1892">
        <v>12.0627218424637</v>
      </c>
      <c r="N1892">
        <v>10.5746252938551</v>
      </c>
      <c r="O1892">
        <v>11.5693056440101</v>
      </c>
      <c r="P1892" t="s">
        <v>29</v>
      </c>
      <c r="Q1892" t="s">
        <v>29</v>
      </c>
      <c r="R1892" t="s">
        <v>29</v>
      </c>
      <c r="S1892">
        <v>11.017882371172201</v>
      </c>
      <c r="T1892" t="s">
        <v>29</v>
      </c>
      <c r="U1892" t="s">
        <v>29</v>
      </c>
      <c r="V1892" t="s">
        <v>29</v>
      </c>
      <c r="W1892" t="s">
        <v>29</v>
      </c>
      <c r="X1892" t="s">
        <v>29</v>
      </c>
      <c r="Y1892" t="s">
        <v>29</v>
      </c>
    </row>
    <row r="1893" spans="1:25" x14ac:dyDescent="0.2">
      <c r="A1893" t="s">
        <v>7107</v>
      </c>
      <c r="B1893" t="s">
        <v>7108</v>
      </c>
      <c r="C1893" t="s">
        <v>7109</v>
      </c>
      <c r="D1893" t="s">
        <v>7110</v>
      </c>
      <c r="E1893" t="s">
        <v>7108</v>
      </c>
      <c r="F1893" t="s">
        <v>28</v>
      </c>
      <c r="G1893" t="s">
        <v>7108</v>
      </c>
      <c r="H1893" t="str">
        <f>"tpi-1"</f>
        <v>tpi-1</v>
      </c>
      <c r="I1893" t="s">
        <v>7110</v>
      </c>
      <c r="J1893">
        <v>10.8877461352658</v>
      </c>
      <c r="K1893">
        <v>10.934396286304599</v>
      </c>
      <c r="L1893">
        <v>11.0753584758206</v>
      </c>
      <c r="M1893" t="s">
        <v>29</v>
      </c>
      <c r="N1893">
        <v>10.531542461184401</v>
      </c>
      <c r="O1893">
        <v>12.9885246697797</v>
      </c>
      <c r="P1893">
        <v>0.79419993301844005</v>
      </c>
      <c r="Q1893">
        <v>-0.56602372120753097</v>
      </c>
      <c r="R1893">
        <v>2.15442358724441</v>
      </c>
      <c r="S1893">
        <v>11.0186962622465</v>
      </c>
      <c r="T1893">
        <v>1.27339909145941</v>
      </c>
      <c r="U1893">
        <v>-6.1255130771370796</v>
      </c>
      <c r="V1893">
        <v>0.227198566085523</v>
      </c>
      <c r="W1893">
        <v>0.49691552282127099</v>
      </c>
      <c r="X1893">
        <v>0</v>
      </c>
      <c r="Y1893">
        <v>0</v>
      </c>
    </row>
    <row r="1894" spans="1:25" x14ac:dyDescent="0.2">
      <c r="A1894" t="s">
        <v>7111</v>
      </c>
      <c r="B1894" t="s">
        <v>7112</v>
      </c>
      <c r="C1894" t="s">
        <v>7113</v>
      </c>
      <c r="D1894" t="s">
        <v>7114</v>
      </c>
      <c r="E1894" t="s">
        <v>7112</v>
      </c>
      <c r="F1894" t="s">
        <v>28</v>
      </c>
      <c r="G1894" t="s">
        <v>7112</v>
      </c>
      <c r="H1894" t="str">
        <f>"icl-1"</f>
        <v>icl-1</v>
      </c>
      <c r="I1894" t="s">
        <v>7114</v>
      </c>
      <c r="J1894">
        <v>15.5506519782317</v>
      </c>
      <c r="K1894">
        <v>15.5370340437563</v>
      </c>
      <c r="L1894">
        <v>14.977263275177901</v>
      </c>
      <c r="M1894">
        <v>15.704390754673099</v>
      </c>
      <c r="N1894">
        <v>15.7510017743493</v>
      </c>
      <c r="O1894">
        <v>15.8158637734125</v>
      </c>
      <c r="P1894">
        <v>0.40210233508965798</v>
      </c>
      <c r="Q1894">
        <v>-7.3004691478726305E-2</v>
      </c>
      <c r="R1894">
        <v>0.87720936165804297</v>
      </c>
      <c r="S1894">
        <v>14.910610906572201</v>
      </c>
      <c r="T1894">
        <v>1.77884314641041</v>
      </c>
      <c r="U1894">
        <v>-5.5261031163908303</v>
      </c>
      <c r="V1894">
        <v>9.2257962966638393E-2</v>
      </c>
      <c r="W1894">
        <v>0.31271605363900101</v>
      </c>
      <c r="X1894">
        <v>0</v>
      </c>
      <c r="Y1894">
        <v>0</v>
      </c>
    </row>
    <row r="1895" spans="1:25" x14ac:dyDescent="0.2">
      <c r="A1895" t="s">
        <v>7115</v>
      </c>
      <c r="B1895" t="s">
        <v>7116</v>
      </c>
      <c r="C1895" t="s">
        <v>7117</v>
      </c>
      <c r="D1895" t="s">
        <v>7118</v>
      </c>
      <c r="E1895" t="s">
        <v>7116</v>
      </c>
      <c r="F1895" t="s">
        <v>28</v>
      </c>
      <c r="G1895" t="s">
        <v>7116</v>
      </c>
      <c r="H1895" t="str">
        <f>"mek-2"</f>
        <v>mek-2</v>
      </c>
      <c r="I1895" t="s">
        <v>7118</v>
      </c>
      <c r="J1895">
        <v>13.7773354685417</v>
      </c>
      <c r="K1895">
        <v>13.755661204346101</v>
      </c>
      <c r="L1895">
        <v>13.340454596693601</v>
      </c>
      <c r="M1895">
        <v>13.229318856149099</v>
      </c>
      <c r="N1895">
        <v>13.288995821593801</v>
      </c>
      <c r="O1895">
        <v>12.516317569674801</v>
      </c>
      <c r="P1895">
        <v>-0.61293967405456895</v>
      </c>
      <c r="Q1895">
        <v>-1.0903294266514301</v>
      </c>
      <c r="R1895">
        <v>-0.135549921457707</v>
      </c>
      <c r="S1895">
        <v>13.097600075894</v>
      </c>
      <c r="T1895">
        <v>-2.6985915353631</v>
      </c>
      <c r="U1895">
        <v>-3.8546614171470499</v>
      </c>
      <c r="V1895">
        <v>1.4747494833107999E-2</v>
      </c>
      <c r="W1895">
        <v>0.11194822343324</v>
      </c>
      <c r="X1895">
        <v>0</v>
      </c>
      <c r="Y1895">
        <v>0</v>
      </c>
    </row>
    <row r="1896" spans="1:25" x14ac:dyDescent="0.2">
      <c r="A1896" t="s">
        <v>7119</v>
      </c>
      <c r="B1896" t="s">
        <v>7120</v>
      </c>
      <c r="C1896" t="s">
        <v>7121</v>
      </c>
      <c r="D1896" t="s">
        <v>7122</v>
      </c>
      <c r="E1896" t="s">
        <v>7120</v>
      </c>
      <c r="F1896" t="s">
        <v>28</v>
      </c>
      <c r="G1896" t="s">
        <v>7120</v>
      </c>
      <c r="H1896" t="str">
        <f>"mes-3"</f>
        <v>mes-3</v>
      </c>
      <c r="I1896" t="s">
        <v>7122</v>
      </c>
      <c r="J1896">
        <v>9.9781910763115302</v>
      </c>
      <c r="K1896">
        <v>10.5195226640057</v>
      </c>
      <c r="L1896" t="s">
        <v>29</v>
      </c>
      <c r="M1896" t="s">
        <v>29</v>
      </c>
      <c r="N1896" t="s">
        <v>29</v>
      </c>
      <c r="O1896" t="s">
        <v>29</v>
      </c>
      <c r="P1896" t="s">
        <v>29</v>
      </c>
      <c r="Q1896" t="s">
        <v>29</v>
      </c>
      <c r="R1896" t="s">
        <v>29</v>
      </c>
      <c r="S1896">
        <v>11.732909839210301</v>
      </c>
      <c r="T1896" t="s">
        <v>29</v>
      </c>
      <c r="U1896" t="s">
        <v>29</v>
      </c>
      <c r="V1896" t="s">
        <v>29</v>
      </c>
      <c r="W1896" t="s">
        <v>29</v>
      </c>
      <c r="X1896" t="s">
        <v>29</v>
      </c>
      <c r="Y1896" t="s">
        <v>29</v>
      </c>
    </row>
    <row r="1897" spans="1:25" x14ac:dyDescent="0.2">
      <c r="A1897" t="s">
        <v>7123</v>
      </c>
      <c r="B1897" t="s">
        <v>7124</v>
      </c>
      <c r="C1897" t="s">
        <v>7125</v>
      </c>
      <c r="D1897" t="s">
        <v>7126</v>
      </c>
      <c r="E1897" t="s">
        <v>7124</v>
      </c>
      <c r="F1897" t="s">
        <v>28</v>
      </c>
      <c r="G1897" t="s">
        <v>7124</v>
      </c>
      <c r="H1897" t="str">
        <f>"rnp-1"</f>
        <v>rnp-1</v>
      </c>
      <c r="I1897" t="s">
        <v>7126</v>
      </c>
      <c r="J1897">
        <v>11.6433187239776</v>
      </c>
      <c r="K1897">
        <v>11.377703428692801</v>
      </c>
      <c r="L1897">
        <v>11.6506833085084</v>
      </c>
      <c r="M1897">
        <v>11.263645676892001</v>
      </c>
      <c r="N1897">
        <v>12.216309976442099</v>
      </c>
      <c r="O1897">
        <v>11.4442208097355</v>
      </c>
      <c r="P1897">
        <v>8.4157000630261394E-2</v>
      </c>
      <c r="Q1897">
        <v>-0.65273049814458395</v>
      </c>
      <c r="R1897">
        <v>0.82104449940510704</v>
      </c>
      <c r="S1897">
        <v>11.546884600532699</v>
      </c>
      <c r="T1897">
        <v>0.243573852809956</v>
      </c>
      <c r="U1897">
        <v>-7.0207261299971204</v>
      </c>
      <c r="V1897">
        <v>0.81088367578933895</v>
      </c>
      <c r="W1897">
        <v>0.91969866888062402</v>
      </c>
      <c r="X1897">
        <v>0</v>
      </c>
      <c r="Y1897">
        <v>0</v>
      </c>
    </row>
    <row r="1898" spans="1:25" x14ac:dyDescent="0.2">
      <c r="A1898" t="s">
        <v>7127</v>
      </c>
      <c r="B1898" t="s">
        <v>7128</v>
      </c>
      <c r="C1898" t="s">
        <v>7129</v>
      </c>
      <c r="D1898" t="s">
        <v>7130</v>
      </c>
      <c r="E1898" t="s">
        <v>7128</v>
      </c>
      <c r="F1898" t="s">
        <v>28</v>
      </c>
      <c r="G1898" t="s">
        <v>7128</v>
      </c>
      <c r="H1898" t="str">
        <f>"sur-2"</f>
        <v>sur-2</v>
      </c>
      <c r="I1898" t="s">
        <v>7130</v>
      </c>
      <c r="J1898">
        <v>11.692642084478701</v>
      </c>
      <c r="K1898">
        <v>11.3519408493498</v>
      </c>
      <c r="L1898">
        <v>11.930332966712999</v>
      </c>
      <c r="M1898">
        <v>12.1666390005684</v>
      </c>
      <c r="N1898">
        <v>12.2290413156716</v>
      </c>
      <c r="O1898">
        <v>11.794526602232001</v>
      </c>
      <c r="P1898">
        <v>0.40509700597681703</v>
      </c>
      <c r="Q1898">
        <v>-0.19264525246227401</v>
      </c>
      <c r="R1898">
        <v>1.0028392644159101</v>
      </c>
      <c r="S1898">
        <v>12.217020405590601</v>
      </c>
      <c r="T1898">
        <v>1.4305237957992001</v>
      </c>
      <c r="U1898">
        <v>-6.0370542514918304</v>
      </c>
      <c r="V1898">
        <v>0.17080197434458999</v>
      </c>
      <c r="W1898">
        <v>0.428850018917668</v>
      </c>
      <c r="X1898">
        <v>0</v>
      </c>
      <c r="Y1898">
        <v>0</v>
      </c>
    </row>
    <row r="1899" spans="1:25" x14ac:dyDescent="0.2">
      <c r="A1899" t="s">
        <v>7131</v>
      </c>
      <c r="B1899" t="s">
        <v>7132</v>
      </c>
      <c r="C1899" t="s">
        <v>7133</v>
      </c>
      <c r="D1899" t="s">
        <v>7134</v>
      </c>
      <c r="E1899" t="s">
        <v>7132</v>
      </c>
      <c r="F1899" t="s">
        <v>28</v>
      </c>
      <c r="G1899" t="s">
        <v>7132</v>
      </c>
      <c r="H1899" t="str">
        <f>"glt-1"</f>
        <v>glt-1</v>
      </c>
      <c r="I1899" t="s">
        <v>7134</v>
      </c>
      <c r="J1899">
        <v>15.2142776097196</v>
      </c>
      <c r="K1899">
        <v>15.2881966883582</v>
      </c>
      <c r="L1899">
        <v>15.1248828268228</v>
      </c>
      <c r="M1899">
        <v>15.602564916207699</v>
      </c>
      <c r="N1899">
        <v>15.634498112514001</v>
      </c>
      <c r="O1899">
        <v>15.028197396146901</v>
      </c>
      <c r="P1899">
        <v>0.21263443332263199</v>
      </c>
      <c r="Q1899">
        <v>-0.26942510280962401</v>
      </c>
      <c r="R1899">
        <v>0.69469396945488904</v>
      </c>
      <c r="S1899">
        <v>14.9787115282705</v>
      </c>
      <c r="T1899">
        <v>0.92709754006620404</v>
      </c>
      <c r="U1899">
        <v>-6.6122085208368402</v>
      </c>
      <c r="V1899">
        <v>0.36621188174303698</v>
      </c>
      <c r="W1899">
        <v>0.642054667668018</v>
      </c>
      <c r="X1899">
        <v>0</v>
      </c>
      <c r="Y1899">
        <v>0</v>
      </c>
    </row>
    <row r="1900" spans="1:25" x14ac:dyDescent="0.2">
      <c r="A1900" t="s">
        <v>7135</v>
      </c>
      <c r="B1900" t="s">
        <v>7136</v>
      </c>
      <c r="C1900" t="s">
        <v>7137</v>
      </c>
      <c r="D1900" t="s">
        <v>7138</v>
      </c>
      <c r="E1900" t="s">
        <v>7136</v>
      </c>
      <c r="F1900" t="s">
        <v>28</v>
      </c>
      <c r="G1900" t="s">
        <v>7136</v>
      </c>
      <c r="H1900" t="str">
        <f>"B0252.5"</f>
        <v>B0252.5</v>
      </c>
      <c r="I1900" t="s">
        <v>7138</v>
      </c>
      <c r="J1900">
        <v>15.2228836275516</v>
      </c>
      <c r="K1900">
        <v>13.269244470559</v>
      </c>
      <c r="L1900">
        <v>14.811560695441701</v>
      </c>
      <c r="M1900">
        <v>13.6300607503495</v>
      </c>
      <c r="N1900">
        <v>15.8756651908982</v>
      </c>
      <c r="O1900">
        <v>15.7606363559493</v>
      </c>
      <c r="P1900">
        <v>0.65422450121490905</v>
      </c>
      <c r="Q1900">
        <v>-0.650405078454527</v>
      </c>
      <c r="R1900">
        <v>1.95885408088434</v>
      </c>
      <c r="S1900">
        <v>14.1455236407205</v>
      </c>
      <c r="T1900">
        <v>1.0584969157709501</v>
      </c>
      <c r="U1900">
        <v>-6.4819229765299999</v>
      </c>
      <c r="V1900">
        <v>0.30472881238197602</v>
      </c>
      <c r="W1900">
        <v>0.584130557143271</v>
      </c>
      <c r="X1900">
        <v>0</v>
      </c>
      <c r="Y1900">
        <v>0</v>
      </c>
    </row>
    <row r="1901" spans="1:25" x14ac:dyDescent="0.2">
      <c r="A1901" t="s">
        <v>7139</v>
      </c>
      <c r="B1901" t="s">
        <v>7140</v>
      </c>
      <c r="C1901" t="s">
        <v>7141</v>
      </c>
      <c r="D1901" t="s">
        <v>7142</v>
      </c>
      <c r="E1901" t="s">
        <v>7140</v>
      </c>
      <c r="F1901" t="s">
        <v>28</v>
      </c>
      <c r="G1901" t="s">
        <v>7140</v>
      </c>
      <c r="H1901" t="str">
        <f>"sid-3"</f>
        <v>sid-3</v>
      </c>
      <c r="I1901" t="s">
        <v>7142</v>
      </c>
      <c r="J1901">
        <v>11.454827975641001</v>
      </c>
      <c r="K1901">
        <v>11.9803341932758</v>
      </c>
      <c r="L1901">
        <v>11.480565743811001</v>
      </c>
      <c r="M1901">
        <v>12.919636810951999</v>
      </c>
      <c r="N1901">
        <v>13.346792382277499</v>
      </c>
      <c r="O1901">
        <v>11.468259815424</v>
      </c>
      <c r="P1901">
        <v>0.93965369864192105</v>
      </c>
      <c r="Q1901">
        <v>0.14047327020063899</v>
      </c>
      <c r="R1901">
        <v>1.7388341270832</v>
      </c>
      <c r="S1901">
        <v>12.1429390817905</v>
      </c>
      <c r="T1901">
        <v>2.49386257391577</v>
      </c>
      <c r="U1901">
        <v>-4.2867717312574998</v>
      </c>
      <c r="V1901">
        <v>2.40506761824133E-2</v>
      </c>
      <c r="W1901">
        <v>0.150562467549398</v>
      </c>
      <c r="X1901">
        <v>0</v>
      </c>
      <c r="Y1901">
        <v>0</v>
      </c>
    </row>
    <row r="1902" spans="1:25" x14ac:dyDescent="0.2">
      <c r="A1902" t="s">
        <v>7143</v>
      </c>
      <c r="B1902" t="s">
        <v>7144</v>
      </c>
      <c r="C1902" t="s">
        <v>7145</v>
      </c>
      <c r="D1902" t="s">
        <v>7146</v>
      </c>
      <c r="E1902" t="s">
        <v>7144</v>
      </c>
      <c r="F1902" t="s">
        <v>28</v>
      </c>
      <c r="G1902" t="s">
        <v>7144</v>
      </c>
      <c r="H1902" t="str">
        <f>"ugt-46"</f>
        <v>ugt-46</v>
      </c>
      <c r="I1902" t="s">
        <v>7146</v>
      </c>
      <c r="J1902">
        <v>13.437502333639401</v>
      </c>
      <c r="K1902">
        <v>13.337749124601901</v>
      </c>
      <c r="L1902">
        <v>13.395785813458501</v>
      </c>
      <c r="M1902">
        <v>13.3358842804332</v>
      </c>
      <c r="N1902">
        <v>13.063835715825901</v>
      </c>
      <c r="O1902">
        <v>13.529815775759699</v>
      </c>
      <c r="P1902">
        <v>-8.0500499893677399E-2</v>
      </c>
      <c r="Q1902">
        <v>-0.48639219932531003</v>
      </c>
      <c r="R1902">
        <v>0.32539119953795598</v>
      </c>
      <c r="S1902">
        <v>13.2541212634987</v>
      </c>
      <c r="T1902">
        <v>-0.418637781647487</v>
      </c>
      <c r="U1902">
        <v>-6.9604306625510901</v>
      </c>
      <c r="V1902">
        <v>0.68075440902893103</v>
      </c>
      <c r="W1902">
        <v>0.85722167970248597</v>
      </c>
      <c r="X1902">
        <v>0</v>
      </c>
      <c r="Y1902">
        <v>0</v>
      </c>
    </row>
    <row r="1903" spans="1:25" x14ac:dyDescent="0.2">
      <c r="A1903" t="s">
        <v>7147</v>
      </c>
      <c r="B1903" t="s">
        <v>7148</v>
      </c>
      <c r="C1903" t="s">
        <v>7149</v>
      </c>
      <c r="D1903" t="s">
        <v>7150</v>
      </c>
      <c r="E1903" t="s">
        <v>7148</v>
      </c>
      <c r="F1903" t="s">
        <v>28</v>
      </c>
      <c r="G1903" t="s">
        <v>7148</v>
      </c>
      <c r="H1903" t="str">
        <f>"arf-1.2"</f>
        <v>arf-1.2</v>
      </c>
      <c r="I1903" t="s">
        <v>7150</v>
      </c>
      <c r="J1903">
        <v>17.8177277174827</v>
      </c>
      <c r="K1903">
        <v>17.7997106925711</v>
      </c>
      <c r="L1903">
        <v>17.566837089152401</v>
      </c>
      <c r="M1903">
        <v>17.4725935520935</v>
      </c>
      <c r="N1903">
        <v>17.3329357369152</v>
      </c>
      <c r="O1903">
        <v>17.319154886029299</v>
      </c>
      <c r="P1903">
        <v>-0.35319710805608301</v>
      </c>
      <c r="Q1903">
        <v>-0.76343774845916101</v>
      </c>
      <c r="R1903">
        <v>5.7043532346994899E-2</v>
      </c>
      <c r="S1903">
        <v>17.230795464830798</v>
      </c>
      <c r="T1903">
        <v>-1.8095515957217101</v>
      </c>
      <c r="U1903">
        <v>-5.4772239929720197</v>
      </c>
      <c r="V1903">
        <v>8.7194566366355697E-2</v>
      </c>
      <c r="W1903">
        <v>0.30270763337215301</v>
      </c>
      <c r="X1903">
        <v>0</v>
      </c>
      <c r="Y1903">
        <v>0</v>
      </c>
    </row>
    <row r="1904" spans="1:25" x14ac:dyDescent="0.2">
      <c r="A1904" t="s">
        <v>7151</v>
      </c>
      <c r="B1904" t="s">
        <v>7152</v>
      </c>
      <c r="C1904" t="s">
        <v>7153</v>
      </c>
      <c r="D1904" t="s">
        <v>7154</v>
      </c>
      <c r="E1904" t="s">
        <v>7152</v>
      </c>
      <c r="F1904" t="s">
        <v>28</v>
      </c>
      <c r="G1904" t="s">
        <v>7152</v>
      </c>
      <c r="H1904" t="str">
        <f>"B0361.6"</f>
        <v>B0361.6</v>
      </c>
      <c r="I1904" t="s">
        <v>7154</v>
      </c>
      <c r="J1904">
        <v>13.608906540398699</v>
      </c>
      <c r="K1904">
        <v>13.133433945645599</v>
      </c>
      <c r="L1904">
        <v>12.7976856737881</v>
      </c>
      <c r="M1904">
        <v>13.077069077744</v>
      </c>
      <c r="N1904">
        <v>13.3209330788694</v>
      </c>
      <c r="O1904">
        <v>12.7870834210529</v>
      </c>
      <c r="P1904">
        <v>-0.11831352738867</v>
      </c>
      <c r="Q1904">
        <v>-0.74103077764638003</v>
      </c>
      <c r="R1904">
        <v>0.50440372286904001</v>
      </c>
      <c r="S1904">
        <v>12.826091306299601</v>
      </c>
      <c r="T1904">
        <v>-0.40298885529909001</v>
      </c>
      <c r="U1904">
        <v>-6.96684964345953</v>
      </c>
      <c r="V1904">
        <v>0.69232489217457205</v>
      </c>
      <c r="W1904">
        <v>0.86173712320696905</v>
      </c>
      <c r="X1904">
        <v>0</v>
      </c>
      <c r="Y1904">
        <v>0</v>
      </c>
    </row>
    <row r="1905" spans="1:25" x14ac:dyDescent="0.2">
      <c r="A1905" t="s">
        <v>7155</v>
      </c>
      <c r="B1905" t="s">
        <v>7156</v>
      </c>
      <c r="C1905" t="s">
        <v>7157</v>
      </c>
      <c r="D1905" t="s">
        <v>7158</v>
      </c>
      <c r="E1905" t="s">
        <v>7156</v>
      </c>
      <c r="F1905" t="s">
        <v>28</v>
      </c>
      <c r="G1905" t="s">
        <v>7156</v>
      </c>
      <c r="H1905" t="str">
        <f>"wrm-1"</f>
        <v>wrm-1</v>
      </c>
      <c r="I1905" t="s">
        <v>7158</v>
      </c>
      <c r="J1905">
        <v>9.88061967931292</v>
      </c>
      <c r="K1905">
        <v>9.7598688446794899</v>
      </c>
      <c r="L1905">
        <v>10.607441639100101</v>
      </c>
      <c r="M1905" t="s">
        <v>29</v>
      </c>
      <c r="N1905" t="s">
        <v>29</v>
      </c>
      <c r="O1905">
        <v>9.9491807384580007</v>
      </c>
      <c r="P1905">
        <v>-0.133462649239485</v>
      </c>
      <c r="Q1905">
        <v>-0.92513788111132</v>
      </c>
      <c r="R1905">
        <v>0.65821258263235005</v>
      </c>
      <c r="S1905">
        <v>10.9436724981375</v>
      </c>
      <c r="T1905">
        <v>-0.36766957741302397</v>
      </c>
      <c r="U1905">
        <v>-6.63737997750217</v>
      </c>
      <c r="V1905">
        <v>0.71957830063041195</v>
      </c>
      <c r="W1905">
        <v>0.87696920983197002</v>
      </c>
      <c r="X1905">
        <v>0</v>
      </c>
      <c r="Y1905">
        <v>0</v>
      </c>
    </row>
    <row r="1906" spans="1:25" x14ac:dyDescent="0.2">
      <c r="A1906" t="s">
        <v>7159</v>
      </c>
      <c r="B1906" t="s">
        <v>7160</v>
      </c>
      <c r="C1906" t="s">
        <v>7161</v>
      </c>
      <c r="D1906" t="s">
        <v>7162</v>
      </c>
      <c r="E1906" t="s">
        <v>7160</v>
      </c>
      <c r="F1906" t="s">
        <v>28</v>
      </c>
      <c r="G1906" t="s">
        <v>7160</v>
      </c>
      <c r="H1906" t="str">
        <f>"pdi-6"</f>
        <v>pdi-6</v>
      </c>
      <c r="I1906" t="s">
        <v>7162</v>
      </c>
      <c r="J1906">
        <v>14.7792263527787</v>
      </c>
      <c r="K1906">
        <v>14.8551086827873</v>
      </c>
      <c r="L1906">
        <v>14.7717070642158</v>
      </c>
      <c r="M1906">
        <v>14.3593344445254</v>
      </c>
      <c r="N1906">
        <v>13.466978613287001</v>
      </c>
      <c r="O1906">
        <v>14.8389965162851</v>
      </c>
      <c r="P1906">
        <v>-0.58024417522809701</v>
      </c>
      <c r="Q1906">
        <v>-1.1533061229406401</v>
      </c>
      <c r="R1906">
        <v>-7.1822275155553096E-3</v>
      </c>
      <c r="S1906">
        <v>14.5212483382647</v>
      </c>
      <c r="T1906">
        <v>-2.1281475288648002</v>
      </c>
      <c r="U1906">
        <v>-4.9381685997103899</v>
      </c>
      <c r="V1906">
        <v>4.7481645831107901E-2</v>
      </c>
      <c r="W1906">
        <v>0.21624114188516</v>
      </c>
      <c r="X1906">
        <v>0</v>
      </c>
      <c r="Y1906">
        <v>0</v>
      </c>
    </row>
    <row r="1907" spans="1:25" x14ac:dyDescent="0.2">
      <c r="A1907" t="s">
        <v>7163</v>
      </c>
      <c r="B1907" t="s">
        <v>7164</v>
      </c>
      <c r="C1907" t="s">
        <v>7165</v>
      </c>
      <c r="D1907" t="s">
        <v>7166</v>
      </c>
      <c r="E1907" t="s">
        <v>7164</v>
      </c>
      <c r="F1907" t="s">
        <v>28</v>
      </c>
      <c r="G1907" t="s">
        <v>7164</v>
      </c>
      <c r="H1907" t="str">
        <f>"gly-13"</f>
        <v>gly-13</v>
      </c>
      <c r="I1907" t="s">
        <v>7166</v>
      </c>
      <c r="J1907">
        <v>12.0575689942268</v>
      </c>
      <c r="K1907">
        <v>12.338814963354499</v>
      </c>
      <c r="L1907">
        <v>12.614180000496701</v>
      </c>
      <c r="M1907">
        <v>12.230691987086001</v>
      </c>
      <c r="N1907">
        <v>12.1926033018452</v>
      </c>
      <c r="O1907">
        <v>12.1952638421941</v>
      </c>
      <c r="P1907">
        <v>-0.130668275650905</v>
      </c>
      <c r="Q1907">
        <v>-0.78200136131048703</v>
      </c>
      <c r="R1907">
        <v>0.52066481000867704</v>
      </c>
      <c r="S1907">
        <v>12.0511610857539</v>
      </c>
      <c r="T1907">
        <v>-0.42786683674894899</v>
      </c>
      <c r="U1907">
        <v>-6.9557187943237704</v>
      </c>
      <c r="V1907">
        <v>0.67486989940710096</v>
      </c>
      <c r="W1907">
        <v>0.85541145012261999</v>
      </c>
      <c r="X1907">
        <v>0</v>
      </c>
      <c r="Y1907">
        <v>0</v>
      </c>
    </row>
    <row r="1908" spans="1:25" x14ac:dyDescent="0.2">
      <c r="A1908" t="s">
        <v>7167</v>
      </c>
      <c r="B1908" t="s">
        <v>7168</v>
      </c>
      <c r="C1908" t="s">
        <v>7169</v>
      </c>
      <c r="D1908" t="s">
        <v>7170</v>
      </c>
      <c r="E1908" t="s">
        <v>7168</v>
      </c>
      <c r="F1908" t="s">
        <v>28</v>
      </c>
      <c r="G1908" t="s">
        <v>7168</v>
      </c>
      <c r="H1908" t="str">
        <f>"B0416.5"</f>
        <v>B0416.5</v>
      </c>
      <c r="I1908" t="s">
        <v>7170</v>
      </c>
      <c r="J1908">
        <v>15.2621389758815</v>
      </c>
      <c r="K1908">
        <v>15.3937649378371</v>
      </c>
      <c r="L1908">
        <v>15.319446783827001</v>
      </c>
      <c r="M1908">
        <v>15.3185054232325</v>
      </c>
      <c r="N1908">
        <v>15.2658500334491</v>
      </c>
      <c r="O1908">
        <v>15.201378523796899</v>
      </c>
      <c r="P1908">
        <v>-6.3205572355716597E-2</v>
      </c>
      <c r="Q1908">
        <v>-0.46209272000023599</v>
      </c>
      <c r="R1908">
        <v>0.33568157528880299</v>
      </c>
      <c r="S1908">
        <v>15.4096219669602</v>
      </c>
      <c r="T1908">
        <v>-0.33304110454188701</v>
      </c>
      <c r="U1908">
        <v>-6.99413991197979</v>
      </c>
      <c r="V1908">
        <v>0.74297339340530799</v>
      </c>
      <c r="W1908">
        <v>0.89145848898999702</v>
      </c>
      <c r="X1908">
        <v>0</v>
      </c>
      <c r="Y1908">
        <v>0</v>
      </c>
    </row>
    <row r="1909" spans="1:25" x14ac:dyDescent="0.2">
      <c r="A1909" t="s">
        <v>7171</v>
      </c>
      <c r="B1909" t="s">
        <v>7172</v>
      </c>
      <c r="C1909" t="s">
        <v>7173</v>
      </c>
      <c r="D1909" t="s">
        <v>7174</v>
      </c>
      <c r="E1909" t="s">
        <v>7172</v>
      </c>
      <c r="F1909" t="s">
        <v>28</v>
      </c>
      <c r="G1909" t="s">
        <v>7172</v>
      </c>
      <c r="H1909" t="str">
        <f>"lin-13"</f>
        <v>lin-13</v>
      </c>
      <c r="I1909" t="s">
        <v>7174</v>
      </c>
      <c r="J1909">
        <v>14.656701919659801</v>
      </c>
      <c r="K1909">
        <v>15.0071547342381</v>
      </c>
      <c r="L1909">
        <v>15.135666617435</v>
      </c>
      <c r="M1909">
        <v>14.159633104423801</v>
      </c>
      <c r="N1909">
        <v>13.9809022737562</v>
      </c>
      <c r="O1909">
        <v>14.533570003056401</v>
      </c>
      <c r="P1909">
        <v>-0.70847263003213701</v>
      </c>
      <c r="Q1909">
        <v>-1.0948370394229301</v>
      </c>
      <c r="R1909">
        <v>-0.32210822064134398</v>
      </c>
      <c r="S1909">
        <v>15.0242189700007</v>
      </c>
      <c r="T1909">
        <v>-3.8705793602482599</v>
      </c>
      <c r="U1909">
        <v>-1.42985722241017</v>
      </c>
      <c r="V1909">
        <v>1.23995261627272E-3</v>
      </c>
      <c r="W1909">
        <v>2.0850095765222901E-2</v>
      </c>
      <c r="X1909">
        <v>0</v>
      </c>
      <c r="Y1909">
        <v>0</v>
      </c>
    </row>
    <row r="1910" spans="1:25" x14ac:dyDescent="0.2">
      <c r="A1910" t="s">
        <v>7175</v>
      </c>
      <c r="B1910" t="s">
        <v>7176</v>
      </c>
      <c r="C1910" t="s">
        <v>7177</v>
      </c>
      <c r="D1910" t="s">
        <v>7178</v>
      </c>
      <c r="E1910" t="s">
        <v>7176</v>
      </c>
      <c r="F1910" t="s">
        <v>28</v>
      </c>
      <c r="G1910" t="s">
        <v>7176</v>
      </c>
      <c r="H1910" t="str">
        <f>"C03B1.7"</f>
        <v>C03B1.7</v>
      </c>
      <c r="I1910" t="s">
        <v>7178</v>
      </c>
      <c r="J1910" t="s">
        <v>29</v>
      </c>
      <c r="K1910" t="s">
        <v>29</v>
      </c>
      <c r="L1910" t="s">
        <v>29</v>
      </c>
      <c r="M1910" t="s">
        <v>29</v>
      </c>
      <c r="N1910" t="s">
        <v>29</v>
      </c>
      <c r="O1910" t="s">
        <v>29</v>
      </c>
      <c r="P1910" t="s">
        <v>29</v>
      </c>
      <c r="Q1910" t="s">
        <v>29</v>
      </c>
      <c r="R1910" t="s">
        <v>29</v>
      </c>
      <c r="S1910">
        <v>10.782003568131</v>
      </c>
      <c r="T1910" t="s">
        <v>29</v>
      </c>
      <c r="U1910" t="s">
        <v>29</v>
      </c>
      <c r="V1910" t="s">
        <v>29</v>
      </c>
      <c r="W1910" t="s">
        <v>29</v>
      </c>
      <c r="X1910" t="s">
        <v>29</v>
      </c>
      <c r="Y1910" t="s">
        <v>29</v>
      </c>
    </row>
    <row r="1911" spans="1:25" x14ac:dyDescent="0.2">
      <c r="A1911" t="s">
        <v>7179</v>
      </c>
      <c r="B1911" t="s">
        <v>7180</v>
      </c>
      <c r="C1911" t="s">
        <v>7181</v>
      </c>
      <c r="D1911" t="s">
        <v>7182</v>
      </c>
      <c r="E1911" t="s">
        <v>7180</v>
      </c>
      <c r="F1911" t="s">
        <v>28</v>
      </c>
      <c r="G1911" t="s">
        <v>7180</v>
      </c>
      <c r="H1911" t="str">
        <f>"dhs-27"</f>
        <v>dhs-27</v>
      </c>
      <c r="I1911" t="s">
        <v>7182</v>
      </c>
      <c r="J1911">
        <v>12.8384326457531</v>
      </c>
      <c r="K1911">
        <v>13.206047269742101</v>
      </c>
      <c r="L1911">
        <v>13.5826254578723</v>
      </c>
      <c r="M1911">
        <v>14.0082309567476</v>
      </c>
      <c r="N1911">
        <v>13.5477120835686</v>
      </c>
      <c r="O1911" t="s">
        <v>29</v>
      </c>
      <c r="P1911">
        <v>0.56893639570224896</v>
      </c>
      <c r="Q1911">
        <v>8.8577144841846797E-2</v>
      </c>
      <c r="R1911">
        <v>1.04929564656265</v>
      </c>
      <c r="S1911">
        <v>13.652495125696101</v>
      </c>
      <c r="T1911">
        <v>2.5121587958047802</v>
      </c>
      <c r="U1911">
        <v>-4.1476397933550899</v>
      </c>
      <c r="V1911">
        <v>2.31828506938952E-2</v>
      </c>
      <c r="W1911">
        <v>0.14879091944365799</v>
      </c>
      <c r="X1911">
        <v>0</v>
      </c>
      <c r="Y1911">
        <v>0</v>
      </c>
    </row>
    <row r="1912" spans="1:25" x14ac:dyDescent="0.2">
      <c r="A1912" t="s">
        <v>7183</v>
      </c>
      <c r="B1912" t="s">
        <v>7184</v>
      </c>
      <c r="C1912" t="s">
        <v>7185</v>
      </c>
      <c r="D1912" t="s">
        <v>7186</v>
      </c>
      <c r="E1912" t="s">
        <v>7184</v>
      </c>
      <c r="F1912" t="s">
        <v>28</v>
      </c>
      <c r="G1912" t="s">
        <v>7184</v>
      </c>
      <c r="H1912" t="str">
        <f>"vps-16"</f>
        <v>vps-16</v>
      </c>
      <c r="I1912" t="s">
        <v>7186</v>
      </c>
      <c r="J1912">
        <v>13.126964394053999</v>
      </c>
      <c r="K1912">
        <v>13.122594689309</v>
      </c>
      <c r="L1912">
        <v>12.787581033880899</v>
      </c>
      <c r="M1912">
        <v>12.984210063418001</v>
      </c>
      <c r="N1912">
        <v>13.119893563836101</v>
      </c>
      <c r="O1912">
        <v>13.089809905109099</v>
      </c>
      <c r="P1912">
        <v>5.22578050397264E-2</v>
      </c>
      <c r="Q1912">
        <v>-0.31679882370103202</v>
      </c>
      <c r="R1912">
        <v>0.421314433780485</v>
      </c>
      <c r="S1912">
        <v>12.7305123230216</v>
      </c>
      <c r="T1912">
        <v>0.30199500509217397</v>
      </c>
      <c r="U1912">
        <v>-7.00393021531697</v>
      </c>
      <c r="V1912">
        <v>0.766831581871808</v>
      </c>
      <c r="W1912">
        <v>0.90111683213701999</v>
      </c>
      <c r="X1912">
        <v>0</v>
      </c>
      <c r="Y1912">
        <v>0</v>
      </c>
    </row>
    <row r="1913" spans="1:25" x14ac:dyDescent="0.2">
      <c r="A1913" t="s">
        <v>7187</v>
      </c>
      <c r="B1913" t="s">
        <v>7188</v>
      </c>
      <c r="C1913" t="s">
        <v>7189</v>
      </c>
      <c r="D1913" t="s">
        <v>7190</v>
      </c>
      <c r="E1913" t="s">
        <v>7188</v>
      </c>
      <c r="F1913" t="s">
        <v>28</v>
      </c>
      <c r="G1913" t="s">
        <v>7188</v>
      </c>
      <c r="H1913" t="str">
        <f>"txdc-9"</f>
        <v>txdc-9</v>
      </c>
      <c r="I1913" t="s">
        <v>7190</v>
      </c>
      <c r="J1913">
        <v>13.8671670626384</v>
      </c>
      <c r="K1913">
        <v>14.046311058760701</v>
      </c>
      <c r="L1913">
        <v>14.2131528897745</v>
      </c>
      <c r="M1913">
        <v>13.6892709017062</v>
      </c>
      <c r="N1913">
        <v>14.367295276485301</v>
      </c>
      <c r="O1913">
        <v>14.1071766321051</v>
      </c>
      <c r="P1913">
        <v>1.23705997076655E-2</v>
      </c>
      <c r="Q1913">
        <v>-0.37375957604527799</v>
      </c>
      <c r="R1913">
        <v>0.39850077546060902</v>
      </c>
      <c r="S1913">
        <v>13.65263095593</v>
      </c>
      <c r="T1913">
        <v>6.7624960511482202E-2</v>
      </c>
      <c r="U1913">
        <v>-7.0496826484585799</v>
      </c>
      <c r="V1913">
        <v>0.94687805028199301</v>
      </c>
      <c r="W1913">
        <v>0.976007926071499</v>
      </c>
      <c r="X1913">
        <v>0</v>
      </c>
      <c r="Y1913">
        <v>0</v>
      </c>
    </row>
    <row r="1914" spans="1:25" x14ac:dyDescent="0.2">
      <c r="A1914" t="s">
        <v>7191</v>
      </c>
      <c r="B1914" t="s">
        <v>7192</v>
      </c>
      <c r="C1914" t="s">
        <v>7193</v>
      </c>
      <c r="D1914" t="s">
        <v>7194</v>
      </c>
      <c r="E1914" t="s">
        <v>7192</v>
      </c>
      <c r="F1914" t="s">
        <v>28</v>
      </c>
      <c r="G1914" t="s">
        <v>7192</v>
      </c>
      <c r="H1914" t="str">
        <f>"popl-1"</f>
        <v>popl-1</v>
      </c>
      <c r="I1914" t="s">
        <v>7194</v>
      </c>
      <c r="J1914">
        <v>13.531026267378801</v>
      </c>
      <c r="K1914">
        <v>13.5856830329998</v>
      </c>
      <c r="L1914">
        <v>13.470781174293901</v>
      </c>
      <c r="M1914">
        <v>13.4747801306199</v>
      </c>
      <c r="N1914">
        <v>13.0122271720691</v>
      </c>
      <c r="O1914">
        <v>12.6585300978715</v>
      </c>
      <c r="P1914">
        <v>-0.48065102470397703</v>
      </c>
      <c r="Q1914">
        <v>-1.0767604242883999</v>
      </c>
      <c r="R1914">
        <v>0.115458374880442</v>
      </c>
      <c r="S1914">
        <v>14.2332899688694</v>
      </c>
      <c r="T1914">
        <v>-1.694713994427</v>
      </c>
      <c r="U1914">
        <v>-5.6569871542049297</v>
      </c>
      <c r="V1914">
        <v>0.107460594436373</v>
      </c>
      <c r="W1914">
        <v>0.33831349181262699</v>
      </c>
      <c r="X1914">
        <v>0</v>
      </c>
      <c r="Y1914">
        <v>0</v>
      </c>
    </row>
    <row r="1915" spans="1:25" x14ac:dyDescent="0.2">
      <c r="A1915" t="s">
        <v>7195</v>
      </c>
      <c r="B1915" t="s">
        <v>7196</v>
      </c>
      <c r="C1915" t="s">
        <v>7197</v>
      </c>
      <c r="D1915" t="s">
        <v>7198</v>
      </c>
      <c r="E1915" t="s">
        <v>7196</v>
      </c>
      <c r="F1915" t="s">
        <v>28</v>
      </c>
      <c r="G1915" t="s">
        <v>7196</v>
      </c>
      <c r="H1915" t="str">
        <f>"mrps-17"</f>
        <v>mrps-17</v>
      </c>
      <c r="I1915" t="s">
        <v>7198</v>
      </c>
      <c r="J1915">
        <v>12.6090947848716</v>
      </c>
      <c r="K1915">
        <v>12.5531810601628</v>
      </c>
      <c r="L1915">
        <v>12.524119704558601</v>
      </c>
      <c r="M1915" t="s">
        <v>29</v>
      </c>
      <c r="N1915">
        <v>12.5841771198847</v>
      </c>
      <c r="O1915">
        <v>12.2914157923519</v>
      </c>
      <c r="P1915">
        <v>-0.124335393746017</v>
      </c>
      <c r="Q1915">
        <v>-0.64098130211850002</v>
      </c>
      <c r="R1915">
        <v>0.39231051462646499</v>
      </c>
      <c r="S1915">
        <v>12.6696702294605</v>
      </c>
      <c r="T1915">
        <v>-0.51044776845303996</v>
      </c>
      <c r="U1915">
        <v>-6.8053485502768698</v>
      </c>
      <c r="V1915">
        <v>0.61675318528863399</v>
      </c>
      <c r="W1915">
        <v>0.81948340748436699</v>
      </c>
      <c r="X1915">
        <v>0</v>
      </c>
      <c r="Y1915">
        <v>0</v>
      </c>
    </row>
    <row r="1916" spans="1:25" x14ac:dyDescent="0.2">
      <c r="A1916" t="s">
        <v>7199</v>
      </c>
      <c r="B1916" t="s">
        <v>7200</v>
      </c>
      <c r="C1916" t="s">
        <v>7201</v>
      </c>
      <c r="D1916" t="s">
        <v>7202</v>
      </c>
      <c r="E1916" t="s">
        <v>7200</v>
      </c>
      <c r="F1916" t="s">
        <v>28</v>
      </c>
      <c r="G1916" t="s">
        <v>7200</v>
      </c>
      <c r="H1916" t="str">
        <f>"let-721"</f>
        <v>let-721</v>
      </c>
      <c r="I1916" t="s">
        <v>7202</v>
      </c>
      <c r="J1916">
        <v>12.3698809235025</v>
      </c>
      <c r="K1916">
        <v>12.7979025755603</v>
      </c>
      <c r="L1916">
        <v>13.0349622238696</v>
      </c>
      <c r="M1916">
        <v>10.8131822361193</v>
      </c>
      <c r="N1916">
        <v>13.176099658801601</v>
      </c>
      <c r="O1916">
        <v>13.5378633826579</v>
      </c>
      <c r="P1916">
        <v>-0.22520014845123801</v>
      </c>
      <c r="Q1916">
        <v>-1.22837624765658</v>
      </c>
      <c r="R1916">
        <v>0.77797595075410197</v>
      </c>
      <c r="S1916">
        <v>12.9993404627998</v>
      </c>
      <c r="T1916">
        <v>-0.47385068101391298</v>
      </c>
      <c r="U1916">
        <v>-6.9348306679805702</v>
      </c>
      <c r="V1916">
        <v>0.64167205965538299</v>
      </c>
      <c r="W1916">
        <v>0.83600310501258301</v>
      </c>
      <c r="X1916">
        <v>0</v>
      </c>
      <c r="Y1916">
        <v>0</v>
      </c>
    </row>
    <row r="1917" spans="1:25" x14ac:dyDescent="0.2">
      <c r="A1917" t="s">
        <v>7203</v>
      </c>
      <c r="B1917" t="s">
        <v>7204</v>
      </c>
      <c r="C1917" t="s">
        <v>7205</v>
      </c>
      <c r="D1917" t="s">
        <v>7206</v>
      </c>
      <c r="E1917" t="s">
        <v>7204</v>
      </c>
      <c r="F1917" t="s">
        <v>28</v>
      </c>
      <c r="G1917" t="s">
        <v>7204</v>
      </c>
      <c r="H1917" t="str">
        <f>"sor-3"</f>
        <v>sor-3</v>
      </c>
      <c r="I1917" t="s">
        <v>7206</v>
      </c>
      <c r="J1917">
        <v>13.302825935860501</v>
      </c>
      <c r="K1917">
        <v>13.9023973148587</v>
      </c>
      <c r="L1917">
        <v>13.4985261658393</v>
      </c>
      <c r="M1917">
        <v>13.477841480457601</v>
      </c>
      <c r="N1917">
        <v>13.7296411780894</v>
      </c>
      <c r="O1917">
        <v>13.543008096366799</v>
      </c>
      <c r="P1917">
        <v>1.55804461184612E-2</v>
      </c>
      <c r="Q1917">
        <v>-0.375952429713512</v>
      </c>
      <c r="R1917">
        <v>0.40711332195043398</v>
      </c>
      <c r="S1917">
        <v>13.736443870707401</v>
      </c>
      <c r="T1917">
        <v>8.39965923561104E-2</v>
      </c>
      <c r="U1917">
        <v>-7.0483781464049304</v>
      </c>
      <c r="V1917">
        <v>0.93404639545407397</v>
      </c>
      <c r="W1917">
        <v>0.97535311084156295</v>
      </c>
      <c r="X1917">
        <v>0</v>
      </c>
      <c r="Y1917">
        <v>0</v>
      </c>
    </row>
    <row r="1918" spans="1:25" x14ac:dyDescent="0.2">
      <c r="A1918" t="s">
        <v>7207</v>
      </c>
      <c r="B1918" t="s">
        <v>7208</v>
      </c>
      <c r="C1918" t="s">
        <v>7209</v>
      </c>
      <c r="D1918" t="s">
        <v>7210</v>
      </c>
      <c r="E1918" t="s">
        <v>7208</v>
      </c>
      <c r="F1918" t="s">
        <v>28</v>
      </c>
      <c r="G1918" t="s">
        <v>7208</v>
      </c>
      <c r="H1918" t="str">
        <f>"sodh-1"</f>
        <v>sodh-1</v>
      </c>
      <c r="I1918" t="s">
        <v>7210</v>
      </c>
      <c r="J1918">
        <v>15.390750124306599</v>
      </c>
      <c r="K1918">
        <v>16.145588328132401</v>
      </c>
      <c r="L1918">
        <v>14.028495461305599</v>
      </c>
      <c r="M1918">
        <v>16.1898086072243</v>
      </c>
      <c r="N1918">
        <v>16.5438592521126</v>
      </c>
      <c r="O1918">
        <v>17.068325215018799</v>
      </c>
      <c r="P1918">
        <v>1.4123863868703801</v>
      </c>
      <c r="Q1918">
        <v>0.44124919118168798</v>
      </c>
      <c r="R1918">
        <v>2.3835235825590799</v>
      </c>
      <c r="S1918">
        <v>14.267635090486101</v>
      </c>
      <c r="T1918">
        <v>3.05678890063025</v>
      </c>
      <c r="U1918">
        <v>-3.1190925283406701</v>
      </c>
      <c r="V1918">
        <v>6.8250272480362504E-3</v>
      </c>
      <c r="W1918">
        <v>6.7095585090966595E-2</v>
      </c>
      <c r="X1918">
        <v>1</v>
      </c>
      <c r="Y1918">
        <v>0</v>
      </c>
    </row>
    <row r="1919" spans="1:25" x14ac:dyDescent="0.2">
      <c r="A1919" t="s">
        <v>7211</v>
      </c>
      <c r="B1919" t="s">
        <v>7212</v>
      </c>
      <c r="C1919" t="s">
        <v>7213</v>
      </c>
      <c r="D1919" t="s">
        <v>7214</v>
      </c>
      <c r="E1919" t="s">
        <v>7212</v>
      </c>
      <c r="F1919" t="s">
        <v>28</v>
      </c>
      <c r="G1919" t="s">
        <v>7212</v>
      </c>
      <c r="H1919" t="str">
        <f>"H24K24.3"</f>
        <v>H24K24.3</v>
      </c>
      <c r="I1919" t="s">
        <v>7214</v>
      </c>
      <c r="J1919">
        <v>12.5731976862692</v>
      </c>
      <c r="K1919">
        <v>12.664647902074501</v>
      </c>
      <c r="L1919">
        <v>12.3852416052398</v>
      </c>
      <c r="M1919">
        <v>12.468851437601</v>
      </c>
      <c r="N1919">
        <v>12.109687231938899</v>
      </c>
      <c r="O1919">
        <v>13.3552158934761</v>
      </c>
      <c r="P1919">
        <v>0.103555789810809</v>
      </c>
      <c r="Q1919">
        <v>-0.68338044940786002</v>
      </c>
      <c r="R1919">
        <v>0.89049202902947799</v>
      </c>
      <c r="S1919">
        <v>12.1794589678364</v>
      </c>
      <c r="T1919">
        <v>0.27776968928679702</v>
      </c>
      <c r="U1919">
        <v>-7.0116181355182299</v>
      </c>
      <c r="V1919">
        <v>0.78455961645921302</v>
      </c>
      <c r="W1919">
        <v>0.91120060174744399</v>
      </c>
      <c r="X1919">
        <v>0</v>
      </c>
      <c r="Y1919">
        <v>0</v>
      </c>
    </row>
    <row r="1920" spans="1:25" x14ac:dyDescent="0.2">
      <c r="A1920" t="s">
        <v>7215</v>
      </c>
      <c r="B1920" t="s">
        <v>7216</v>
      </c>
      <c r="C1920" t="s">
        <v>7217</v>
      </c>
      <c r="D1920" t="s">
        <v>7218</v>
      </c>
      <c r="E1920" t="s">
        <v>7216</v>
      </c>
      <c r="F1920" t="s">
        <v>28</v>
      </c>
      <c r="G1920" t="s">
        <v>7216</v>
      </c>
      <c r="H1920" t="str">
        <f>"let-858"</f>
        <v>let-858</v>
      </c>
      <c r="I1920" t="s">
        <v>7218</v>
      </c>
      <c r="J1920">
        <v>13.5793828618789</v>
      </c>
      <c r="K1920">
        <v>14.3644942705999</v>
      </c>
      <c r="L1920">
        <v>14.3149091196666</v>
      </c>
      <c r="M1920">
        <v>13.837962041102699</v>
      </c>
      <c r="N1920">
        <v>13.9538237598611</v>
      </c>
      <c r="O1920">
        <v>14.0937769721178</v>
      </c>
      <c r="P1920">
        <v>-0.124407826354584</v>
      </c>
      <c r="Q1920">
        <v>-0.82114320515816197</v>
      </c>
      <c r="R1920">
        <v>0.57232755244899303</v>
      </c>
      <c r="S1920">
        <v>14.613458824346299</v>
      </c>
      <c r="T1920">
        <v>-0.37529463121751899</v>
      </c>
      <c r="U1920">
        <v>-6.9785652168100203</v>
      </c>
      <c r="V1920">
        <v>0.711852619508346</v>
      </c>
      <c r="W1920">
        <v>0.87182071769675495</v>
      </c>
      <c r="X1920">
        <v>0</v>
      </c>
      <c r="Y1920">
        <v>0</v>
      </c>
    </row>
    <row r="1921" spans="1:25" x14ac:dyDescent="0.2">
      <c r="A1921" t="s">
        <v>7219</v>
      </c>
      <c r="B1921" t="s">
        <v>7220</v>
      </c>
      <c r="C1921" t="s">
        <v>7221</v>
      </c>
      <c r="D1921" t="s">
        <v>7222</v>
      </c>
      <c r="E1921" t="s">
        <v>7220</v>
      </c>
      <c r="F1921" t="s">
        <v>28</v>
      </c>
      <c r="G1921" t="s">
        <v>7220</v>
      </c>
      <c r="H1921" t="str">
        <f>"gld-1"</f>
        <v>gld-1</v>
      </c>
      <c r="I1921" t="s">
        <v>7222</v>
      </c>
      <c r="J1921">
        <v>14.283215638323901</v>
      </c>
      <c r="K1921">
        <v>14.281619467052</v>
      </c>
      <c r="L1921">
        <v>14.9145278093052</v>
      </c>
      <c r="M1921">
        <v>13.516871179192</v>
      </c>
      <c r="N1921">
        <v>14.2736828373236</v>
      </c>
      <c r="O1921">
        <v>14.158673390413</v>
      </c>
      <c r="P1921">
        <v>-0.51004516925085097</v>
      </c>
      <c r="Q1921">
        <v>-1.3541321695750701</v>
      </c>
      <c r="R1921">
        <v>0.33404183107336299</v>
      </c>
      <c r="S1921">
        <v>15.480322176860099</v>
      </c>
      <c r="T1921">
        <v>-1.2700298836294901</v>
      </c>
      <c r="U1921">
        <v>-6.2429991478854099</v>
      </c>
      <c r="V1921">
        <v>0.22034030917826</v>
      </c>
      <c r="W1921">
        <v>0.48807853374136101</v>
      </c>
      <c r="X1921">
        <v>0</v>
      </c>
      <c r="Y1921">
        <v>0</v>
      </c>
    </row>
    <row r="1922" spans="1:25" x14ac:dyDescent="0.2">
      <c r="A1922" t="s">
        <v>7223</v>
      </c>
      <c r="B1922" t="s">
        <v>7224</v>
      </c>
      <c r="C1922" t="s">
        <v>7225</v>
      </c>
      <c r="D1922" t="s">
        <v>7226</v>
      </c>
      <c r="E1922" t="s">
        <v>7224</v>
      </c>
      <c r="F1922" t="s">
        <v>28</v>
      </c>
      <c r="G1922" t="s">
        <v>7224</v>
      </c>
      <c r="H1922" t="str">
        <f>"ccf-1"</f>
        <v>ccf-1</v>
      </c>
      <c r="I1922" t="s">
        <v>7226</v>
      </c>
      <c r="J1922">
        <v>14.228326954144</v>
      </c>
      <c r="K1922">
        <v>14.248012718961</v>
      </c>
      <c r="L1922">
        <v>14.261948278528401</v>
      </c>
      <c r="M1922">
        <v>14.0093618274412</v>
      </c>
      <c r="N1922">
        <v>13.8568270815475</v>
      </c>
      <c r="O1922">
        <v>14.1392679638282</v>
      </c>
      <c r="P1922">
        <v>-0.24427702627213699</v>
      </c>
      <c r="Q1922">
        <v>-0.73619033344573603</v>
      </c>
      <c r="R1922">
        <v>0.247636280901463</v>
      </c>
      <c r="S1922">
        <v>14.000366243669101</v>
      </c>
      <c r="T1922">
        <v>-1.0437261542540199</v>
      </c>
      <c r="U1922">
        <v>-6.4980149648814596</v>
      </c>
      <c r="V1922">
        <v>0.31050751803187499</v>
      </c>
      <c r="W1922">
        <v>0.58907279301109505</v>
      </c>
      <c r="X1922">
        <v>0</v>
      </c>
      <c r="Y1922">
        <v>0</v>
      </c>
    </row>
    <row r="1923" spans="1:25" x14ac:dyDescent="0.2">
      <c r="A1923" t="s">
        <v>7227</v>
      </c>
      <c r="B1923" t="s">
        <v>7228</v>
      </c>
      <c r="C1923" t="s">
        <v>7229</v>
      </c>
      <c r="D1923" t="s">
        <v>7230</v>
      </c>
      <c r="E1923" t="s">
        <v>7228</v>
      </c>
      <c r="F1923" t="s">
        <v>28</v>
      </c>
      <c r="G1923" t="s">
        <v>7228</v>
      </c>
      <c r="H1923" t="str">
        <f>"snr-1"</f>
        <v>snr-1</v>
      </c>
      <c r="I1923" t="s">
        <v>7230</v>
      </c>
      <c r="J1923">
        <v>11.0154678968523</v>
      </c>
      <c r="K1923">
        <v>12.036688539931401</v>
      </c>
      <c r="L1923">
        <v>13.2435371510108</v>
      </c>
      <c r="M1923">
        <v>12.438136973209</v>
      </c>
      <c r="N1923">
        <v>12.127685738051801</v>
      </c>
      <c r="O1923">
        <v>11.886197053921499</v>
      </c>
      <c r="P1923">
        <v>5.2108725795921601E-2</v>
      </c>
      <c r="Q1923">
        <v>-0.91708078289243</v>
      </c>
      <c r="R1923">
        <v>1.02129823448427</v>
      </c>
      <c r="S1923">
        <v>12.589944925999401</v>
      </c>
      <c r="T1923">
        <v>0.11348847556984901</v>
      </c>
      <c r="U1923">
        <v>-7.04531814846204</v>
      </c>
      <c r="V1923">
        <v>0.91098096253816296</v>
      </c>
      <c r="W1923">
        <v>0.96810321753729001</v>
      </c>
      <c r="X1923">
        <v>0</v>
      </c>
      <c r="Y1923">
        <v>0</v>
      </c>
    </row>
    <row r="1924" spans="1:25" x14ac:dyDescent="0.2">
      <c r="A1924" t="s">
        <v>7231</v>
      </c>
      <c r="B1924" t="s">
        <v>7232</v>
      </c>
      <c r="C1924" t="s">
        <v>7233</v>
      </c>
      <c r="D1924" t="s">
        <v>7234</v>
      </c>
      <c r="E1924" t="s">
        <v>7232</v>
      </c>
      <c r="F1924" t="s">
        <v>28</v>
      </c>
      <c r="G1924" t="s">
        <v>7232</v>
      </c>
      <c r="H1924" t="str">
        <f>"par-3"</f>
        <v>par-3</v>
      </c>
      <c r="I1924" t="s">
        <v>7234</v>
      </c>
      <c r="J1924">
        <v>12.0330060007266</v>
      </c>
      <c r="K1924">
        <v>12.288258855572</v>
      </c>
      <c r="L1924">
        <v>12.8928534718526</v>
      </c>
      <c r="M1924">
        <v>12.879673515547999</v>
      </c>
      <c r="N1924">
        <v>11.6648198301784</v>
      </c>
      <c r="O1924">
        <v>11.9939890929488</v>
      </c>
      <c r="P1924">
        <v>-0.225211963158616</v>
      </c>
      <c r="Q1924">
        <v>-0.85113726441889903</v>
      </c>
      <c r="R1924">
        <v>0.40071333810166698</v>
      </c>
      <c r="S1924">
        <v>12.6203055607743</v>
      </c>
      <c r="T1924">
        <v>-0.76316506045634402</v>
      </c>
      <c r="U1924">
        <v>-6.7503639661645796</v>
      </c>
      <c r="V1924">
        <v>0.45654311438980699</v>
      </c>
      <c r="W1924">
        <v>0.72383996829478503</v>
      </c>
      <c r="X1924">
        <v>0</v>
      </c>
      <c r="Y1924">
        <v>0</v>
      </c>
    </row>
    <row r="1925" spans="1:25" x14ac:dyDescent="0.2">
      <c r="A1925" t="s">
        <v>7235</v>
      </c>
      <c r="B1925" t="s">
        <v>7236</v>
      </c>
      <c r="C1925" t="s">
        <v>7237</v>
      </c>
      <c r="D1925" t="s">
        <v>7238</v>
      </c>
      <c r="E1925" t="s">
        <v>7236</v>
      </c>
      <c r="F1925" t="s">
        <v>28</v>
      </c>
      <c r="G1925" t="s">
        <v>7236</v>
      </c>
      <c r="H1925" t="str">
        <f>"usp-14"</f>
        <v>usp-14</v>
      </c>
      <c r="I1925" t="s">
        <v>7238</v>
      </c>
      <c r="J1925">
        <v>14.369751896301899</v>
      </c>
      <c r="K1925">
        <v>13.8827255902976</v>
      </c>
      <c r="L1925">
        <v>13.816577028334301</v>
      </c>
      <c r="M1925">
        <v>13.7795832004239</v>
      </c>
      <c r="N1925">
        <v>13.3924987123414</v>
      </c>
      <c r="O1925">
        <v>13.7235449661703</v>
      </c>
      <c r="P1925">
        <v>-0.39114254533272003</v>
      </c>
      <c r="Q1925">
        <v>-0.92127411107472001</v>
      </c>
      <c r="R1925">
        <v>0.13898902040928099</v>
      </c>
      <c r="S1925">
        <v>13.7234993009465</v>
      </c>
      <c r="T1925">
        <v>-1.5507575578264301</v>
      </c>
      <c r="U1925">
        <v>-5.8701501612597102</v>
      </c>
      <c r="V1925">
        <v>0.13846474246010301</v>
      </c>
      <c r="W1925">
        <v>0.38444050508974098</v>
      </c>
      <c r="X1925">
        <v>0</v>
      </c>
      <c r="Y1925">
        <v>0</v>
      </c>
    </row>
    <row r="1926" spans="1:25" x14ac:dyDescent="0.2">
      <c r="A1926" t="s">
        <v>7239</v>
      </c>
      <c r="B1926" t="s">
        <v>7240</v>
      </c>
      <c r="C1926" t="s">
        <v>7241</v>
      </c>
      <c r="D1926" t="s">
        <v>7242</v>
      </c>
      <c r="E1926" t="s">
        <v>7240</v>
      </c>
      <c r="F1926" t="s">
        <v>28</v>
      </c>
      <c r="G1926" t="s">
        <v>7240</v>
      </c>
      <c r="H1926" t="str">
        <f>"cul-1"</f>
        <v>cul-1</v>
      </c>
      <c r="I1926" t="s">
        <v>7242</v>
      </c>
      <c r="J1926">
        <v>15.3272322039691</v>
      </c>
      <c r="K1926">
        <v>15.2189103463107</v>
      </c>
      <c r="L1926">
        <v>15.2206213615643</v>
      </c>
      <c r="M1926">
        <v>15.384318461846799</v>
      </c>
      <c r="N1926">
        <v>15.4416007393611</v>
      </c>
      <c r="O1926">
        <v>15.013591400878701</v>
      </c>
      <c r="P1926">
        <v>2.4248896747510101E-2</v>
      </c>
      <c r="Q1926">
        <v>-0.45841125121708198</v>
      </c>
      <c r="R1926">
        <v>0.50690904471210196</v>
      </c>
      <c r="S1926">
        <v>15.098680731180799</v>
      </c>
      <c r="T1926">
        <v>0.105594927352783</v>
      </c>
      <c r="U1926">
        <v>-7.0462448138962497</v>
      </c>
      <c r="V1926">
        <v>0.91707840120470396</v>
      </c>
      <c r="W1926">
        <v>0.97088414008469803</v>
      </c>
      <c r="X1926">
        <v>0</v>
      </c>
      <c r="Y1926">
        <v>0</v>
      </c>
    </row>
    <row r="1927" spans="1:25" x14ac:dyDescent="0.2">
      <c r="A1927" t="s">
        <v>7243</v>
      </c>
      <c r="B1927" t="s">
        <v>7244</v>
      </c>
      <c r="C1927" t="s">
        <v>7245</v>
      </c>
      <c r="D1927" t="s">
        <v>7246</v>
      </c>
      <c r="E1927" t="s">
        <v>7244</v>
      </c>
      <c r="F1927" t="s">
        <v>28</v>
      </c>
      <c r="G1927" t="s">
        <v>7244</v>
      </c>
      <c r="H1927" t="str">
        <f>"cul-2"</f>
        <v>cul-2</v>
      </c>
      <c r="I1927" t="s">
        <v>7246</v>
      </c>
      <c r="J1927">
        <v>11.743298674171999</v>
      </c>
      <c r="K1927">
        <v>12.2768642188777</v>
      </c>
      <c r="L1927">
        <v>12.0153025316271</v>
      </c>
      <c r="M1927">
        <v>12.3831179443472</v>
      </c>
      <c r="N1927">
        <v>11.707191991469299</v>
      </c>
      <c r="O1927">
        <v>12.3239966241375</v>
      </c>
      <c r="P1927">
        <v>0.126280378425706</v>
      </c>
      <c r="Q1927">
        <v>-0.32760076800506099</v>
      </c>
      <c r="R1927">
        <v>0.58016152485647299</v>
      </c>
      <c r="S1927">
        <v>12.1003696650699</v>
      </c>
      <c r="T1927">
        <v>0.58727801706488403</v>
      </c>
      <c r="U1927">
        <v>-6.8726123169713604</v>
      </c>
      <c r="V1927">
        <v>0.56478371042742403</v>
      </c>
      <c r="W1927">
        <v>0.78823873615756102</v>
      </c>
      <c r="X1927">
        <v>0</v>
      </c>
      <c r="Y1927">
        <v>0</v>
      </c>
    </row>
    <row r="1928" spans="1:25" x14ac:dyDescent="0.2">
      <c r="A1928" t="s">
        <v>7247</v>
      </c>
      <c r="B1928" t="s">
        <v>7248</v>
      </c>
      <c r="C1928" t="s">
        <v>7249</v>
      </c>
      <c r="D1928" t="s">
        <v>7250</v>
      </c>
      <c r="E1928" t="s">
        <v>7248</v>
      </c>
      <c r="F1928" t="s">
        <v>28</v>
      </c>
      <c r="G1928" t="s">
        <v>7248</v>
      </c>
      <c r="H1928" t="str">
        <f>"cul-3"</f>
        <v>cul-3</v>
      </c>
      <c r="I1928" t="s">
        <v>7250</v>
      </c>
      <c r="J1928">
        <v>13.0774528069391</v>
      </c>
      <c r="K1928">
        <v>13.0529567995044</v>
      </c>
      <c r="L1928">
        <v>12.5375816571045</v>
      </c>
      <c r="M1928">
        <v>12.559102688434599</v>
      </c>
      <c r="N1928">
        <v>12.802531546938599</v>
      </c>
      <c r="O1928">
        <v>12.7404587461851</v>
      </c>
      <c r="P1928">
        <v>-0.188632760663202</v>
      </c>
      <c r="Q1928">
        <v>-0.56099466119974695</v>
      </c>
      <c r="R1928">
        <v>0.18372913987334299</v>
      </c>
      <c r="S1928">
        <v>12.917988542745</v>
      </c>
      <c r="T1928">
        <v>-1.0693057338606899</v>
      </c>
      <c r="U1928">
        <v>-6.4705970101913604</v>
      </c>
      <c r="V1928">
        <v>0.29997204316192599</v>
      </c>
      <c r="W1928">
        <v>0.57894960168974396</v>
      </c>
      <c r="X1928">
        <v>0</v>
      </c>
      <c r="Y1928">
        <v>0</v>
      </c>
    </row>
    <row r="1929" spans="1:25" x14ac:dyDescent="0.2">
      <c r="A1929" t="s">
        <v>7251</v>
      </c>
      <c r="B1929" t="s">
        <v>7252</v>
      </c>
      <c r="C1929" t="s">
        <v>7253</v>
      </c>
      <c r="D1929" t="s">
        <v>7254</v>
      </c>
      <c r="E1929" t="s">
        <v>7252</v>
      </c>
      <c r="F1929" t="s">
        <v>28</v>
      </c>
      <c r="G1929" t="s">
        <v>7252</v>
      </c>
      <c r="H1929" t="str">
        <f>"lin-24"</f>
        <v>lin-24</v>
      </c>
      <c r="I1929" t="s">
        <v>7254</v>
      </c>
      <c r="J1929">
        <v>14.4606646097221</v>
      </c>
      <c r="K1929">
        <v>14.578661268985799</v>
      </c>
      <c r="L1929">
        <v>14.4612558518015</v>
      </c>
      <c r="M1929">
        <v>15.135581609954899</v>
      </c>
      <c r="N1929">
        <v>14.9329008885387</v>
      </c>
      <c r="O1929">
        <v>14.811050705648199</v>
      </c>
      <c r="P1929">
        <v>0.45965049121079099</v>
      </c>
      <c r="Q1929">
        <v>-0.129321152423957</v>
      </c>
      <c r="R1929">
        <v>1.04862213484554</v>
      </c>
      <c r="S1929">
        <v>14.4434332272763</v>
      </c>
      <c r="T1929">
        <v>1.6403097100625701</v>
      </c>
      <c r="U1929">
        <v>-5.7391890540511801</v>
      </c>
      <c r="V1929">
        <v>0.118399921686572</v>
      </c>
      <c r="W1929">
        <v>0.35378635919936102</v>
      </c>
      <c r="X1929">
        <v>0</v>
      </c>
      <c r="Y1929">
        <v>0</v>
      </c>
    </row>
    <row r="1930" spans="1:25" x14ac:dyDescent="0.2">
      <c r="A1930" t="s">
        <v>7255</v>
      </c>
      <c r="B1930" t="s">
        <v>7256</v>
      </c>
      <c r="C1930" t="s">
        <v>7257</v>
      </c>
      <c r="D1930" t="s">
        <v>368</v>
      </c>
      <c r="E1930" t="s">
        <v>7256</v>
      </c>
      <c r="F1930" t="s">
        <v>28</v>
      </c>
      <c r="G1930" t="s">
        <v>7256</v>
      </c>
      <c r="H1930" t="str">
        <f>"B0001.2"</f>
        <v>B0001.2</v>
      </c>
      <c r="I1930" t="s">
        <v>368</v>
      </c>
      <c r="J1930">
        <v>10.840530384011601</v>
      </c>
      <c r="K1930">
        <v>11.139465962722401</v>
      </c>
      <c r="L1930">
        <v>10.5466779644872</v>
      </c>
      <c r="M1930">
        <v>10.6041042766121</v>
      </c>
      <c r="N1930">
        <v>11.1378289520446</v>
      </c>
      <c r="O1930">
        <v>11.078078973222899</v>
      </c>
      <c r="P1930">
        <v>9.7779296886120207E-2</v>
      </c>
      <c r="Q1930">
        <v>-0.39503121454054502</v>
      </c>
      <c r="R1930">
        <v>0.59058980831278496</v>
      </c>
      <c r="S1930">
        <v>11.8006111269132</v>
      </c>
      <c r="T1930">
        <v>0.42083948188998099</v>
      </c>
      <c r="U1930">
        <v>-6.9591740989327997</v>
      </c>
      <c r="V1930">
        <v>0.67950725395309297</v>
      </c>
      <c r="W1930">
        <v>0.85722167970248597</v>
      </c>
      <c r="X1930">
        <v>0</v>
      </c>
      <c r="Y1930">
        <v>0</v>
      </c>
    </row>
    <row r="1931" spans="1:25" x14ac:dyDescent="0.2">
      <c r="A1931" t="s">
        <v>7258</v>
      </c>
      <c r="B1931" t="s">
        <v>7259</v>
      </c>
      <c r="C1931" t="s">
        <v>7260</v>
      </c>
      <c r="D1931" t="s">
        <v>7261</v>
      </c>
      <c r="E1931" t="s">
        <v>7259</v>
      </c>
      <c r="F1931" t="s">
        <v>28</v>
      </c>
      <c r="G1931" t="s">
        <v>7259</v>
      </c>
      <c r="H1931" t="str">
        <f>"B0001.5"</f>
        <v>B0001.5</v>
      </c>
      <c r="I1931" t="s">
        <v>7261</v>
      </c>
      <c r="J1931" t="s">
        <v>29</v>
      </c>
      <c r="K1931" t="s">
        <v>29</v>
      </c>
      <c r="L1931">
        <v>11.5521621172867</v>
      </c>
      <c r="M1931" t="s">
        <v>29</v>
      </c>
      <c r="N1931" t="s">
        <v>29</v>
      </c>
      <c r="O1931">
        <v>11.1592453344439</v>
      </c>
      <c r="P1931">
        <v>-0.39291678284279302</v>
      </c>
      <c r="Q1931">
        <v>-1.47597004176767</v>
      </c>
      <c r="R1931">
        <v>0.69013647608208595</v>
      </c>
      <c r="S1931">
        <v>11.798577054087</v>
      </c>
      <c r="T1931">
        <v>-0.79121730708272298</v>
      </c>
      <c r="U1931">
        <v>-6.1867345162663199</v>
      </c>
      <c r="V1931">
        <v>0.44430794715668898</v>
      </c>
      <c r="W1931">
        <v>0.71185527328797005</v>
      </c>
      <c r="X1931">
        <v>0</v>
      </c>
      <c r="Y1931">
        <v>0</v>
      </c>
    </row>
    <row r="1932" spans="1:25" x14ac:dyDescent="0.2">
      <c r="A1932" t="s">
        <v>7262</v>
      </c>
      <c r="B1932" t="s">
        <v>7263</v>
      </c>
      <c r="C1932" t="s">
        <v>7264</v>
      </c>
      <c r="D1932" t="s">
        <v>2982</v>
      </c>
      <c r="E1932" t="s">
        <v>7263</v>
      </c>
      <c r="F1932" t="s">
        <v>28</v>
      </c>
      <c r="G1932" t="s">
        <v>7263</v>
      </c>
      <c r="H1932" t="str">
        <f>"eri-12"</f>
        <v>eri-12</v>
      </c>
      <c r="I1932" t="s">
        <v>2982</v>
      </c>
      <c r="J1932">
        <v>10.4399149218153</v>
      </c>
      <c r="K1932">
        <v>10.803306937276099</v>
      </c>
      <c r="L1932">
        <v>10.6687671604057</v>
      </c>
      <c r="M1932" t="s">
        <v>29</v>
      </c>
      <c r="N1932">
        <v>10.453440945378</v>
      </c>
      <c r="O1932" t="s">
        <v>29</v>
      </c>
      <c r="P1932">
        <v>-0.183888727787686</v>
      </c>
      <c r="Q1932">
        <v>-1.33128123653056</v>
      </c>
      <c r="R1932">
        <v>0.96350378095518496</v>
      </c>
      <c r="S1932">
        <v>10.4213813631329</v>
      </c>
      <c r="T1932">
        <v>-0.34953294055254303</v>
      </c>
      <c r="U1932">
        <v>-6.6442523289414996</v>
      </c>
      <c r="V1932">
        <v>0.73279933414893295</v>
      </c>
      <c r="W1932">
        <v>0.88578344476992099</v>
      </c>
      <c r="X1932">
        <v>0</v>
      </c>
      <c r="Y1932">
        <v>0</v>
      </c>
    </row>
    <row r="1933" spans="1:25" x14ac:dyDescent="0.2">
      <c r="A1933" t="s">
        <v>7265</v>
      </c>
      <c r="B1933" t="s">
        <v>7266</v>
      </c>
      <c r="C1933" t="s">
        <v>7267</v>
      </c>
      <c r="D1933" t="s">
        <v>7268</v>
      </c>
      <c r="E1933" t="s">
        <v>7266</v>
      </c>
      <c r="F1933" t="s">
        <v>28</v>
      </c>
      <c r="G1933" t="s">
        <v>7266</v>
      </c>
      <c r="H1933" t="str">
        <f>"asps-1"</f>
        <v>asps-1</v>
      </c>
      <c r="I1933" t="s">
        <v>7268</v>
      </c>
      <c r="J1933">
        <v>11.4351803452045</v>
      </c>
      <c r="K1933">
        <v>11.975862612872</v>
      </c>
      <c r="L1933">
        <v>12.019695178117001</v>
      </c>
      <c r="M1933">
        <v>11.4060890033007</v>
      </c>
      <c r="N1933">
        <v>12.1137704615434</v>
      </c>
      <c r="O1933">
        <v>11.3039161902553</v>
      </c>
      <c r="P1933">
        <v>-0.20232082703134499</v>
      </c>
      <c r="Q1933">
        <v>-0.78680801825612401</v>
      </c>
      <c r="R1933">
        <v>0.38216636419343403</v>
      </c>
      <c r="S1933">
        <v>11.7306234719473</v>
      </c>
      <c r="T1933">
        <v>-0.74843284421146905</v>
      </c>
      <c r="U1933">
        <v>-6.7588778948868802</v>
      </c>
      <c r="V1933">
        <v>0.46763113868476902</v>
      </c>
      <c r="W1933">
        <v>0.73153117908080401</v>
      </c>
      <c r="X1933">
        <v>0</v>
      </c>
      <c r="Y1933">
        <v>0</v>
      </c>
    </row>
    <row r="1934" spans="1:25" x14ac:dyDescent="0.2">
      <c r="A1934" t="s">
        <v>7269</v>
      </c>
      <c r="B1934" t="s">
        <v>7270</v>
      </c>
      <c r="C1934" t="s">
        <v>7271</v>
      </c>
      <c r="D1934" t="s">
        <v>7272</v>
      </c>
      <c r="E1934" t="s">
        <v>7270</v>
      </c>
      <c r="F1934" t="s">
        <v>28</v>
      </c>
      <c r="G1934" t="s">
        <v>7270</v>
      </c>
      <c r="H1934" t="str">
        <f>"B0024.11"</f>
        <v>B0024.11</v>
      </c>
      <c r="I1934" t="s">
        <v>7272</v>
      </c>
      <c r="J1934">
        <v>16.058262058236298</v>
      </c>
      <c r="K1934">
        <v>16.030612530754802</v>
      </c>
      <c r="L1934">
        <v>15.729059808717</v>
      </c>
      <c r="M1934">
        <v>16.383516857789601</v>
      </c>
      <c r="N1934">
        <v>15.8733411305613</v>
      </c>
      <c r="O1934">
        <v>15.712804914241</v>
      </c>
      <c r="P1934">
        <v>5.0576168294595499E-2</v>
      </c>
      <c r="Q1934">
        <v>-0.437035681513952</v>
      </c>
      <c r="R1934">
        <v>0.53818801810314298</v>
      </c>
      <c r="S1934">
        <v>15.3363863055447</v>
      </c>
      <c r="T1934">
        <v>0.21800386113787101</v>
      </c>
      <c r="U1934">
        <v>-7.0272132138972703</v>
      </c>
      <c r="V1934">
        <v>0.82989272275536996</v>
      </c>
      <c r="W1934">
        <v>0.931542394832789</v>
      </c>
      <c r="X1934">
        <v>0</v>
      </c>
      <c r="Y1934">
        <v>0</v>
      </c>
    </row>
    <row r="1935" spans="1:25" x14ac:dyDescent="0.2">
      <c r="A1935" t="s">
        <v>7273</v>
      </c>
      <c r="B1935" t="s">
        <v>7274</v>
      </c>
      <c r="C1935" t="s">
        <v>7275</v>
      </c>
      <c r="D1935" t="s">
        <v>7276</v>
      </c>
      <c r="E1935" t="s">
        <v>7274</v>
      </c>
      <c r="F1935" t="s">
        <v>28</v>
      </c>
      <c r="G1935" t="s">
        <v>7274</v>
      </c>
      <c r="H1935" t="str">
        <f>"B0024.13"</f>
        <v>B0024.13</v>
      </c>
      <c r="I1935" t="s">
        <v>7276</v>
      </c>
      <c r="J1935">
        <v>11.234825325599299</v>
      </c>
      <c r="K1935">
        <v>11.7291307526763</v>
      </c>
      <c r="L1935">
        <v>11.892217249845899</v>
      </c>
      <c r="M1935" t="s">
        <v>29</v>
      </c>
      <c r="N1935" t="s">
        <v>29</v>
      </c>
      <c r="O1935" t="s">
        <v>29</v>
      </c>
      <c r="P1935" t="s">
        <v>29</v>
      </c>
      <c r="Q1935" t="s">
        <v>29</v>
      </c>
      <c r="R1935" t="s">
        <v>29</v>
      </c>
      <c r="S1935">
        <v>11.676860629239499</v>
      </c>
      <c r="T1935" t="s">
        <v>29</v>
      </c>
      <c r="U1935" t="s">
        <v>29</v>
      </c>
      <c r="V1935" t="s">
        <v>29</v>
      </c>
      <c r="W1935" t="s">
        <v>29</v>
      </c>
      <c r="X1935" t="s">
        <v>29</v>
      </c>
      <c r="Y1935" t="s">
        <v>29</v>
      </c>
    </row>
    <row r="1936" spans="1:25" x14ac:dyDescent="0.2">
      <c r="A1936" t="s">
        <v>7277</v>
      </c>
      <c r="B1936" t="s">
        <v>7278</v>
      </c>
      <c r="C1936" t="s">
        <v>7279</v>
      </c>
      <c r="D1936" t="s">
        <v>7280</v>
      </c>
      <c r="E1936" t="s">
        <v>7278</v>
      </c>
      <c r="F1936" t="s">
        <v>28</v>
      </c>
      <c r="G1936" t="s">
        <v>7278</v>
      </c>
      <c r="H1936" t="str">
        <f>"sart-3"</f>
        <v>sart-3</v>
      </c>
      <c r="I1936" t="s">
        <v>7280</v>
      </c>
      <c r="J1936">
        <v>14.7692449316832</v>
      </c>
      <c r="K1936">
        <v>14.5051633947224</v>
      </c>
      <c r="L1936">
        <v>14.534603223214001</v>
      </c>
      <c r="M1936">
        <v>14.6118068460275</v>
      </c>
      <c r="N1936">
        <v>14.695235559759199</v>
      </c>
      <c r="O1936">
        <v>14.293265334653499</v>
      </c>
      <c r="P1936">
        <v>-6.9567936393090293E-2</v>
      </c>
      <c r="Q1936">
        <v>-0.51135898340214603</v>
      </c>
      <c r="R1936">
        <v>0.37222311061596502</v>
      </c>
      <c r="S1936">
        <v>14.200108050376199</v>
      </c>
      <c r="T1936">
        <v>-0.33096702302286102</v>
      </c>
      <c r="U1936">
        <v>-6.9948572052379197</v>
      </c>
      <c r="V1936">
        <v>0.74451334216787002</v>
      </c>
      <c r="W1936">
        <v>0.89231912169953898</v>
      </c>
      <c r="X1936">
        <v>0</v>
      </c>
      <c r="Y1936">
        <v>0</v>
      </c>
    </row>
    <row r="1937" spans="1:25" x14ac:dyDescent="0.2">
      <c r="A1937" t="s">
        <v>7281</v>
      </c>
      <c r="B1937" t="s">
        <v>7282</v>
      </c>
      <c r="C1937" t="s">
        <v>7283</v>
      </c>
      <c r="D1937" t="s">
        <v>7284</v>
      </c>
      <c r="E1937" t="s">
        <v>7282</v>
      </c>
      <c r="F1937" t="s">
        <v>28</v>
      </c>
      <c r="G1937" t="s">
        <v>7282</v>
      </c>
      <c r="H1937" t="str">
        <f>"leo-1"</f>
        <v>leo-1</v>
      </c>
      <c r="I1937" t="s">
        <v>7284</v>
      </c>
      <c r="J1937">
        <v>11.2976045866214</v>
      </c>
      <c r="K1937">
        <v>11.4760607321083</v>
      </c>
      <c r="L1937" t="s">
        <v>29</v>
      </c>
      <c r="M1937" t="s">
        <v>29</v>
      </c>
      <c r="N1937">
        <v>11.9341633359225</v>
      </c>
      <c r="O1937">
        <v>11.6963292754807</v>
      </c>
      <c r="P1937">
        <v>0.42841364633677198</v>
      </c>
      <c r="Q1937">
        <v>-0.56196015838854796</v>
      </c>
      <c r="R1937">
        <v>1.4187874510620899</v>
      </c>
      <c r="S1937">
        <v>12.098182521762601</v>
      </c>
      <c r="T1937">
        <v>0.93530099354717</v>
      </c>
      <c r="U1937">
        <v>-6.4003422979679501</v>
      </c>
      <c r="V1937">
        <v>0.366818816326624</v>
      </c>
      <c r="W1937">
        <v>0.64277244390244104</v>
      </c>
      <c r="X1937">
        <v>0</v>
      </c>
      <c r="Y1937">
        <v>0</v>
      </c>
    </row>
    <row r="1938" spans="1:25" x14ac:dyDescent="0.2">
      <c r="A1938" t="s">
        <v>7285</v>
      </c>
      <c r="B1938" t="s">
        <v>7286</v>
      </c>
      <c r="C1938" t="s">
        <v>7287</v>
      </c>
      <c r="D1938" t="s">
        <v>7288</v>
      </c>
      <c r="E1938" t="s">
        <v>7286</v>
      </c>
      <c r="F1938" t="s">
        <v>28</v>
      </c>
      <c r="G1938" t="s">
        <v>7286</v>
      </c>
      <c r="H1938" t="str">
        <f>"B0035.3"</f>
        <v>B0035.3</v>
      </c>
      <c r="I1938" t="s">
        <v>7288</v>
      </c>
      <c r="J1938">
        <v>14.1166329038759</v>
      </c>
      <c r="K1938">
        <v>13.974024440518299</v>
      </c>
      <c r="L1938">
        <v>14.1962612942218</v>
      </c>
      <c r="M1938" t="s">
        <v>29</v>
      </c>
      <c r="N1938">
        <v>14.0632810160555</v>
      </c>
      <c r="O1938">
        <v>13.9372181668812</v>
      </c>
      <c r="P1938">
        <v>-9.53899547369748E-2</v>
      </c>
      <c r="Q1938">
        <v>-0.78459022096185305</v>
      </c>
      <c r="R1938">
        <v>0.59381031148790298</v>
      </c>
      <c r="S1938">
        <v>14.273144151955901</v>
      </c>
      <c r="T1938">
        <v>-0.295188077126804</v>
      </c>
      <c r="U1938">
        <v>-6.8955002223375601</v>
      </c>
      <c r="V1938">
        <v>0.77192498759806605</v>
      </c>
      <c r="W1938">
        <v>0.90354097469212502</v>
      </c>
      <c r="X1938">
        <v>0</v>
      </c>
      <c r="Y1938">
        <v>0</v>
      </c>
    </row>
    <row r="1939" spans="1:25" x14ac:dyDescent="0.2">
      <c r="A1939" t="s">
        <v>7289</v>
      </c>
      <c r="B1939" t="s">
        <v>7290</v>
      </c>
      <c r="C1939" t="s">
        <v>7291</v>
      </c>
      <c r="D1939" t="s">
        <v>7292</v>
      </c>
      <c r="E1939" t="s">
        <v>7290</v>
      </c>
      <c r="F1939" t="s">
        <v>28</v>
      </c>
      <c r="G1939" t="s">
        <v>7290</v>
      </c>
      <c r="H1939" t="str">
        <f>"dnj-1"</f>
        <v>dnj-1</v>
      </c>
      <c r="I1939" t="s">
        <v>7292</v>
      </c>
      <c r="J1939">
        <v>11.5311808469145</v>
      </c>
      <c r="K1939">
        <v>11.7602675900074</v>
      </c>
      <c r="L1939">
        <v>11.388280206750601</v>
      </c>
      <c r="M1939">
        <v>11.207579366693899</v>
      </c>
      <c r="N1939">
        <v>11.754169544692999</v>
      </c>
      <c r="O1939" t="s">
        <v>29</v>
      </c>
      <c r="P1939">
        <v>-7.9035092197431198E-2</v>
      </c>
      <c r="Q1939">
        <v>-0.64305359971239895</v>
      </c>
      <c r="R1939">
        <v>0.48498341531753703</v>
      </c>
      <c r="S1939">
        <v>11.867914397296399</v>
      </c>
      <c r="T1939">
        <v>-0.29886029106247702</v>
      </c>
      <c r="U1939">
        <v>-6.8943537761512301</v>
      </c>
      <c r="V1939">
        <v>0.769175823268061</v>
      </c>
      <c r="W1939">
        <v>0.90194527168081895</v>
      </c>
      <c r="X1939">
        <v>0</v>
      </c>
      <c r="Y1939">
        <v>0</v>
      </c>
    </row>
    <row r="1940" spans="1:25" x14ac:dyDescent="0.2">
      <c r="A1940" t="s">
        <v>7293</v>
      </c>
      <c r="B1940" t="s">
        <v>7294</v>
      </c>
      <c r="C1940" t="s">
        <v>7295</v>
      </c>
      <c r="D1940" t="s">
        <v>7296</v>
      </c>
      <c r="E1940" t="s">
        <v>7294</v>
      </c>
      <c r="F1940" t="s">
        <v>28</v>
      </c>
      <c r="G1940" t="s">
        <v>7294</v>
      </c>
      <c r="H1940" t="str">
        <f>"mttu-1"</f>
        <v>mttu-1</v>
      </c>
      <c r="I1940" t="s">
        <v>7296</v>
      </c>
      <c r="J1940">
        <v>12.3989618539949</v>
      </c>
      <c r="K1940">
        <v>12.7261106119517</v>
      </c>
      <c r="L1940">
        <v>12.4159131061192</v>
      </c>
      <c r="M1940" t="s">
        <v>29</v>
      </c>
      <c r="N1940">
        <v>11.890175379402001</v>
      </c>
      <c r="O1940">
        <v>11.558873831147199</v>
      </c>
      <c r="P1940">
        <v>-0.789137252080645</v>
      </c>
      <c r="Q1940">
        <v>-1.8367650159735001</v>
      </c>
      <c r="R1940">
        <v>0.25849051181221</v>
      </c>
      <c r="S1940">
        <v>12.042731767073899</v>
      </c>
      <c r="T1940">
        <v>-1.6065237547929001</v>
      </c>
      <c r="U1940">
        <v>-5.6840427726772198</v>
      </c>
      <c r="V1940">
        <v>0.12914584447837299</v>
      </c>
      <c r="W1940">
        <v>0.373379079676044</v>
      </c>
      <c r="X1940">
        <v>0</v>
      </c>
      <c r="Y1940">
        <v>0</v>
      </c>
    </row>
    <row r="1941" spans="1:25" x14ac:dyDescent="0.2">
      <c r="A1941" t="s">
        <v>7297</v>
      </c>
      <c r="B1941" t="s">
        <v>7298</v>
      </c>
      <c r="C1941" t="s">
        <v>7299</v>
      </c>
      <c r="D1941" t="s">
        <v>7300</v>
      </c>
      <c r="E1941" t="s">
        <v>7298</v>
      </c>
      <c r="F1941" t="s">
        <v>28</v>
      </c>
      <c r="G1941" t="s">
        <v>7298</v>
      </c>
      <c r="H1941" t="str">
        <f>"pmk-1"</f>
        <v>pmk-1</v>
      </c>
      <c r="I1941" t="s">
        <v>7300</v>
      </c>
      <c r="J1941">
        <v>14.420824864440601</v>
      </c>
      <c r="K1941">
        <v>14.2498957247648</v>
      </c>
      <c r="L1941">
        <v>14.055377530164</v>
      </c>
      <c r="M1941">
        <v>14.054394360368899</v>
      </c>
      <c r="N1941">
        <v>14.0465456028011</v>
      </c>
      <c r="O1941">
        <v>14.1118457368413</v>
      </c>
      <c r="P1941">
        <v>-0.17110413978603101</v>
      </c>
      <c r="Q1941">
        <v>-0.49923810213632103</v>
      </c>
      <c r="R1941">
        <v>0.15702982256425899</v>
      </c>
      <c r="S1941">
        <v>13.848531069497</v>
      </c>
      <c r="T1941">
        <v>-1.1006756215084099</v>
      </c>
      <c r="U1941">
        <v>-6.4371597322192802</v>
      </c>
      <c r="V1941">
        <v>0.28647324988595502</v>
      </c>
      <c r="W1941">
        <v>0.56576912881200803</v>
      </c>
      <c r="X1941">
        <v>0</v>
      </c>
      <c r="Y1941">
        <v>0</v>
      </c>
    </row>
    <row r="1942" spans="1:25" x14ac:dyDescent="0.2">
      <c r="A1942" t="s">
        <v>7301</v>
      </c>
      <c r="B1942" t="s">
        <v>7302</v>
      </c>
      <c r="C1942" t="s">
        <v>7303</v>
      </c>
      <c r="D1942" t="s">
        <v>7304</v>
      </c>
      <c r="E1942" t="s">
        <v>7302</v>
      </c>
      <c r="F1942" t="s">
        <v>28</v>
      </c>
      <c r="G1942" t="s">
        <v>7302</v>
      </c>
      <c r="H1942" t="str">
        <f>"faah-1"</f>
        <v>faah-1</v>
      </c>
      <c r="I1942" t="s">
        <v>7304</v>
      </c>
      <c r="J1942" t="s">
        <v>29</v>
      </c>
      <c r="K1942">
        <v>12.973954214826099</v>
      </c>
      <c r="L1942" t="s">
        <v>29</v>
      </c>
      <c r="M1942" t="s">
        <v>29</v>
      </c>
      <c r="N1942" t="s">
        <v>29</v>
      </c>
      <c r="O1942" t="s">
        <v>29</v>
      </c>
      <c r="P1942" t="s">
        <v>29</v>
      </c>
      <c r="Q1942" t="s">
        <v>29</v>
      </c>
      <c r="R1942" t="s">
        <v>29</v>
      </c>
      <c r="S1942">
        <v>11.530651043338899</v>
      </c>
      <c r="T1942" t="s">
        <v>29</v>
      </c>
      <c r="U1942" t="s">
        <v>29</v>
      </c>
      <c r="V1942" t="s">
        <v>29</v>
      </c>
      <c r="W1942" t="s">
        <v>29</v>
      </c>
      <c r="X1942" t="s">
        <v>29</v>
      </c>
      <c r="Y1942" t="s">
        <v>29</v>
      </c>
    </row>
    <row r="1943" spans="1:25" x14ac:dyDescent="0.2">
      <c r="A1943" t="s">
        <v>7305</v>
      </c>
      <c r="B1943" t="s">
        <v>7306</v>
      </c>
      <c r="C1943" t="s">
        <v>7307</v>
      </c>
      <c r="D1943" t="s">
        <v>7308</v>
      </c>
      <c r="E1943" t="s">
        <v>7306</v>
      </c>
      <c r="F1943" t="s">
        <v>28</v>
      </c>
      <c r="G1943" t="s">
        <v>7309</v>
      </c>
      <c r="H1943" t="str">
        <f>"col-144"</f>
        <v>col-144</v>
      </c>
      <c r="I1943" t="s">
        <v>3312</v>
      </c>
      <c r="J1943">
        <v>13.2678271346528</v>
      </c>
      <c r="K1943">
        <v>13.0300977470582</v>
      </c>
      <c r="L1943">
        <v>13.131607485937099</v>
      </c>
      <c r="M1943">
        <v>12.669611037252899</v>
      </c>
      <c r="N1943">
        <v>12.9023735983893</v>
      </c>
      <c r="O1943">
        <v>13.111755194283001</v>
      </c>
      <c r="P1943">
        <v>-0.248597512574285</v>
      </c>
      <c r="Q1943">
        <v>-0.79635877881263295</v>
      </c>
      <c r="R1943">
        <v>0.299163753664062</v>
      </c>
      <c r="S1943">
        <v>12.73414497029</v>
      </c>
      <c r="T1943">
        <v>-0.96262024214969799</v>
      </c>
      <c r="U1943">
        <v>-6.5770548139690499</v>
      </c>
      <c r="V1943">
        <v>0.35015501144430999</v>
      </c>
      <c r="W1943">
        <v>0.63089945029888495</v>
      </c>
      <c r="X1943">
        <v>0</v>
      </c>
      <c r="Y1943">
        <v>0</v>
      </c>
    </row>
    <row r="1944" spans="1:25" x14ac:dyDescent="0.2">
      <c r="A1944" t="s">
        <v>7310</v>
      </c>
      <c r="B1944" t="s">
        <v>7311</v>
      </c>
      <c r="C1944" t="s">
        <v>7312</v>
      </c>
      <c r="D1944" t="s">
        <v>458</v>
      </c>
      <c r="E1944" t="s">
        <v>7311</v>
      </c>
      <c r="F1944" t="s">
        <v>28</v>
      </c>
      <c r="G1944" t="s">
        <v>7311</v>
      </c>
      <c r="H1944" t="str">
        <f>"ttr-18"</f>
        <v>ttr-18</v>
      </c>
      <c r="I1944" t="s">
        <v>458</v>
      </c>
      <c r="J1944" t="s">
        <v>29</v>
      </c>
      <c r="K1944" t="s">
        <v>29</v>
      </c>
      <c r="L1944">
        <v>14.8797668972891</v>
      </c>
      <c r="M1944" t="s">
        <v>29</v>
      </c>
      <c r="N1944">
        <v>14.9063679520418</v>
      </c>
      <c r="O1944">
        <v>14.837846332318801</v>
      </c>
      <c r="P1944">
        <v>-7.6597551088326598E-3</v>
      </c>
      <c r="Q1944">
        <v>-1.2950772784564999</v>
      </c>
      <c r="R1944">
        <v>1.2797577682388299</v>
      </c>
      <c r="S1944">
        <v>14.3619498999404</v>
      </c>
      <c r="T1944">
        <v>-1.28641979215982E-2</v>
      </c>
      <c r="U1944">
        <v>-6.6511024141282196</v>
      </c>
      <c r="V1944">
        <v>0.98993303713300596</v>
      </c>
      <c r="W1944">
        <v>0.99510617901071896</v>
      </c>
      <c r="X1944">
        <v>0</v>
      </c>
      <c r="Y1944">
        <v>0</v>
      </c>
    </row>
    <row r="1945" spans="1:25" x14ac:dyDescent="0.2">
      <c r="A1945" t="s">
        <v>7313</v>
      </c>
      <c r="B1945" t="s">
        <v>7314</v>
      </c>
      <c r="C1945" t="s">
        <v>7315</v>
      </c>
      <c r="D1945" t="s">
        <v>7316</v>
      </c>
      <c r="E1945" t="s">
        <v>7314</v>
      </c>
      <c r="F1945" t="s">
        <v>28</v>
      </c>
      <c r="G1945" t="s">
        <v>7314</v>
      </c>
      <c r="H1945" t="str">
        <f>"hacl-1"</f>
        <v>hacl-1</v>
      </c>
      <c r="I1945" t="s">
        <v>7316</v>
      </c>
      <c r="J1945">
        <v>13.399309505526499</v>
      </c>
      <c r="K1945">
        <v>12.302792946543899</v>
      </c>
      <c r="L1945">
        <v>13.0402221832063</v>
      </c>
      <c r="M1945">
        <v>13.2462173267183</v>
      </c>
      <c r="N1945">
        <v>14.1910426203789</v>
      </c>
      <c r="O1945">
        <v>14.3554070847982</v>
      </c>
      <c r="P1945">
        <v>1.0167807988729001</v>
      </c>
      <c r="Q1945">
        <v>0.37119647870976302</v>
      </c>
      <c r="R1945">
        <v>1.66236511903604</v>
      </c>
      <c r="S1945">
        <v>13.282200500145899</v>
      </c>
      <c r="T1945">
        <v>3.3405955045143401</v>
      </c>
      <c r="U1945">
        <v>-2.6027079886769502</v>
      </c>
      <c r="V1945">
        <v>4.1800747075638398E-3</v>
      </c>
      <c r="W1945">
        <v>4.7726186310220201E-2</v>
      </c>
      <c r="X1945">
        <v>1</v>
      </c>
      <c r="Y1945">
        <v>1</v>
      </c>
    </row>
    <row r="1946" spans="1:25" x14ac:dyDescent="0.2">
      <c r="A1946" t="s">
        <v>7317</v>
      </c>
      <c r="B1946" t="s">
        <v>7318</v>
      </c>
      <c r="C1946" t="s">
        <v>7319</v>
      </c>
      <c r="D1946" t="s">
        <v>7320</v>
      </c>
      <c r="E1946" t="s">
        <v>7318</v>
      </c>
      <c r="F1946" t="s">
        <v>28</v>
      </c>
      <c r="G1946" t="s">
        <v>7318</v>
      </c>
      <c r="H1946" t="str">
        <f>"B0334.5"</f>
        <v>B0334.5</v>
      </c>
      <c r="I1946" t="s">
        <v>7320</v>
      </c>
      <c r="J1946" t="s">
        <v>29</v>
      </c>
      <c r="K1946">
        <v>11.9280959421103</v>
      </c>
      <c r="L1946">
        <v>11.602620129489001</v>
      </c>
      <c r="M1946" t="s">
        <v>29</v>
      </c>
      <c r="N1946">
        <v>10.7415728895895</v>
      </c>
      <c r="O1946">
        <v>11.9824710107986</v>
      </c>
      <c r="P1946">
        <v>-0.403336085605636</v>
      </c>
      <c r="Q1946">
        <v>-1.22206046107269</v>
      </c>
      <c r="R1946">
        <v>0.41538828986142301</v>
      </c>
      <c r="S1946">
        <v>12.326475155167699</v>
      </c>
      <c r="T1946">
        <v>-1.0651643018099399</v>
      </c>
      <c r="U1946">
        <v>-6.2720235704917702</v>
      </c>
      <c r="V1946">
        <v>0.30634038792990698</v>
      </c>
      <c r="W1946">
        <v>0.58602682088413804</v>
      </c>
      <c r="X1946">
        <v>0</v>
      </c>
      <c r="Y1946">
        <v>0</v>
      </c>
    </row>
    <row r="1947" spans="1:25" x14ac:dyDescent="0.2">
      <c r="A1947" t="s">
        <v>7321</v>
      </c>
      <c r="B1947" t="s">
        <v>7322</v>
      </c>
      <c r="C1947" t="s">
        <v>7323</v>
      </c>
      <c r="D1947" t="s">
        <v>7324</v>
      </c>
      <c r="E1947" t="s">
        <v>7322</v>
      </c>
      <c r="F1947" t="s">
        <v>28</v>
      </c>
      <c r="G1947" t="s">
        <v>7322</v>
      </c>
      <c r="H1947" t="str">
        <f>"unc-44"</f>
        <v>unc-44</v>
      </c>
      <c r="I1947" t="s">
        <v>7324</v>
      </c>
      <c r="J1947">
        <v>14.065735244931201</v>
      </c>
      <c r="K1947">
        <v>14.250317975367301</v>
      </c>
      <c r="L1947">
        <v>14.1527623780438</v>
      </c>
      <c r="M1947">
        <v>15.040459183056999</v>
      </c>
      <c r="N1947">
        <v>15.3056995731858</v>
      </c>
      <c r="O1947">
        <v>15.3111323474758</v>
      </c>
      <c r="P1947">
        <v>1.06282516845874</v>
      </c>
      <c r="Q1947">
        <v>0.70080621912763696</v>
      </c>
      <c r="R1947">
        <v>1.4248441177898501</v>
      </c>
      <c r="S1947">
        <v>14.1723608343599</v>
      </c>
      <c r="T1947">
        <v>6.1705381226171401</v>
      </c>
      <c r="U1947">
        <v>3.5744749830168399</v>
      </c>
      <c r="V1947" s="2">
        <v>8.1722831564971194E-6</v>
      </c>
      <c r="W1947">
        <v>3.5935958636813001E-4</v>
      </c>
      <c r="X1947">
        <v>1</v>
      </c>
      <c r="Y1947">
        <v>1</v>
      </c>
    </row>
    <row r="1948" spans="1:25" x14ac:dyDescent="0.2">
      <c r="A1948" t="s">
        <v>7325</v>
      </c>
      <c r="B1948" t="s">
        <v>7326</v>
      </c>
      <c r="C1948" t="s">
        <v>7327</v>
      </c>
      <c r="D1948" t="s">
        <v>3358</v>
      </c>
      <c r="E1948" t="s">
        <v>7326</v>
      </c>
      <c r="F1948" t="s">
        <v>28</v>
      </c>
      <c r="G1948" t="s">
        <v>7326</v>
      </c>
      <c r="H1948" t="str">
        <f>"B0393.3"</f>
        <v>B0393.3</v>
      </c>
      <c r="I1948" t="s">
        <v>3358</v>
      </c>
      <c r="J1948" t="s">
        <v>29</v>
      </c>
      <c r="K1948" t="s">
        <v>29</v>
      </c>
      <c r="L1948" t="s">
        <v>29</v>
      </c>
      <c r="M1948" t="s">
        <v>29</v>
      </c>
      <c r="N1948">
        <v>10.1351804031261</v>
      </c>
      <c r="O1948" t="s">
        <v>29</v>
      </c>
      <c r="P1948" t="s">
        <v>29</v>
      </c>
      <c r="Q1948" t="s">
        <v>29</v>
      </c>
      <c r="R1948" t="s">
        <v>29</v>
      </c>
      <c r="S1948">
        <v>10.9787723270793</v>
      </c>
      <c r="T1948" t="s">
        <v>29</v>
      </c>
      <c r="U1948" t="s">
        <v>29</v>
      </c>
      <c r="V1948" t="s">
        <v>29</v>
      </c>
      <c r="W1948" t="s">
        <v>29</v>
      </c>
      <c r="X1948" t="s">
        <v>29</v>
      </c>
      <c r="Y1948" t="s">
        <v>29</v>
      </c>
    </row>
    <row r="1949" spans="1:25" x14ac:dyDescent="0.2">
      <c r="A1949" t="s">
        <v>7328</v>
      </c>
      <c r="B1949" t="s">
        <v>7329</v>
      </c>
      <c r="C1949" t="s">
        <v>7330</v>
      </c>
      <c r="D1949" t="s">
        <v>214</v>
      </c>
      <c r="E1949" t="s">
        <v>7329</v>
      </c>
      <c r="F1949" t="s">
        <v>28</v>
      </c>
      <c r="G1949" t="s">
        <v>7329</v>
      </c>
      <c r="H1949" t="str">
        <f>"gex-5"</f>
        <v>gex-5</v>
      </c>
      <c r="I1949" t="s">
        <v>214</v>
      </c>
      <c r="J1949" t="s">
        <v>29</v>
      </c>
      <c r="K1949" t="s">
        <v>29</v>
      </c>
      <c r="L1949">
        <v>11.6405675397903</v>
      </c>
      <c r="M1949" t="s">
        <v>29</v>
      </c>
      <c r="N1949">
        <v>10.7647457489781</v>
      </c>
      <c r="O1949" t="s">
        <v>29</v>
      </c>
      <c r="P1949">
        <v>-0.87582179081223199</v>
      </c>
      <c r="Q1949">
        <v>-2.3175945176333799</v>
      </c>
      <c r="R1949">
        <v>0.56595093600891599</v>
      </c>
      <c r="S1949">
        <v>11.665305624368299</v>
      </c>
      <c r="T1949">
        <v>-1.3554572688397599</v>
      </c>
      <c r="U1949">
        <v>-5.6042064874745403</v>
      </c>
      <c r="V1949">
        <v>0.20540138804799901</v>
      </c>
      <c r="W1949">
        <v>0.46936494721666799</v>
      </c>
      <c r="X1949">
        <v>0</v>
      </c>
      <c r="Y1949">
        <v>0</v>
      </c>
    </row>
    <row r="1950" spans="1:25" x14ac:dyDescent="0.2">
      <c r="A1950" t="s">
        <v>7331</v>
      </c>
      <c r="B1950" t="s">
        <v>7332</v>
      </c>
      <c r="C1950" t="s">
        <v>7333</v>
      </c>
      <c r="D1950" t="s">
        <v>2025</v>
      </c>
      <c r="E1950" t="s">
        <v>7332</v>
      </c>
      <c r="F1950" t="s">
        <v>28</v>
      </c>
      <c r="G1950" t="s">
        <v>7332</v>
      </c>
      <c r="H1950" t="str">
        <f>"B0395.3"</f>
        <v>B0395.3</v>
      </c>
      <c r="I1950" t="s">
        <v>2025</v>
      </c>
      <c r="J1950">
        <v>14.9373194904452</v>
      </c>
      <c r="K1950">
        <v>14.691027623073801</v>
      </c>
      <c r="L1950">
        <v>14.4794501665297</v>
      </c>
      <c r="M1950">
        <v>14.8183273660692</v>
      </c>
      <c r="N1950">
        <v>14.7275583673753</v>
      </c>
      <c r="O1950">
        <v>14.358370278966399</v>
      </c>
      <c r="P1950">
        <v>-6.7847089212625306E-2</v>
      </c>
      <c r="Q1950">
        <v>-0.52117199181750695</v>
      </c>
      <c r="R1950">
        <v>0.38547781339225601</v>
      </c>
      <c r="S1950">
        <v>14.362423559087199</v>
      </c>
      <c r="T1950">
        <v>-0.31456772136383099</v>
      </c>
      <c r="U1950">
        <v>-7.0003727433949097</v>
      </c>
      <c r="V1950">
        <v>0.75672795778461999</v>
      </c>
      <c r="W1950">
        <v>0.89802799950078505</v>
      </c>
      <c r="X1950">
        <v>0</v>
      </c>
      <c r="Y1950">
        <v>0</v>
      </c>
    </row>
    <row r="1951" spans="1:25" x14ac:dyDescent="0.2">
      <c r="A1951" t="s">
        <v>7334</v>
      </c>
      <c r="B1951" t="s">
        <v>7335</v>
      </c>
      <c r="C1951" t="s">
        <v>7336</v>
      </c>
      <c r="D1951" t="s">
        <v>7337</v>
      </c>
      <c r="E1951" t="s">
        <v>7335</v>
      </c>
      <c r="F1951" t="s">
        <v>28</v>
      </c>
      <c r="G1951" t="s">
        <v>7335</v>
      </c>
      <c r="H1951" t="str">
        <f>"pigm-1"</f>
        <v>pigm-1</v>
      </c>
      <c r="I1951" t="s">
        <v>7337</v>
      </c>
      <c r="J1951">
        <v>13.0255326593755</v>
      </c>
      <c r="K1951">
        <v>13.468887266177701</v>
      </c>
      <c r="L1951" t="s">
        <v>29</v>
      </c>
      <c r="M1951">
        <v>12.905330173537401</v>
      </c>
      <c r="N1951">
        <v>12.8622471116557</v>
      </c>
      <c r="O1951">
        <v>13.2290416498642</v>
      </c>
      <c r="P1951">
        <v>-0.24833698442416399</v>
      </c>
      <c r="Q1951">
        <v>-0.81098528157046001</v>
      </c>
      <c r="R1951">
        <v>0.31431131272213297</v>
      </c>
      <c r="S1951">
        <v>12.8287079351215</v>
      </c>
      <c r="T1951">
        <v>-0.95431475522010001</v>
      </c>
      <c r="U1951">
        <v>-6.4718071790285903</v>
      </c>
      <c r="V1951">
        <v>0.35747255067783201</v>
      </c>
      <c r="W1951">
        <v>0.63610643999038996</v>
      </c>
      <c r="X1951">
        <v>0</v>
      </c>
      <c r="Y1951">
        <v>0</v>
      </c>
    </row>
    <row r="1952" spans="1:25" x14ac:dyDescent="0.2">
      <c r="A1952" t="s">
        <v>7338</v>
      </c>
      <c r="B1952" t="s">
        <v>7339</v>
      </c>
      <c r="C1952" t="s">
        <v>7340</v>
      </c>
      <c r="D1952" t="s">
        <v>7341</v>
      </c>
      <c r="E1952" t="s">
        <v>7339</v>
      </c>
      <c r="F1952" t="s">
        <v>28</v>
      </c>
      <c r="G1952" t="s">
        <v>7339</v>
      </c>
      <c r="H1952" t="str">
        <f>"tes-1"</f>
        <v>tes-1</v>
      </c>
      <c r="I1952" t="s">
        <v>7341</v>
      </c>
      <c r="J1952" t="s">
        <v>29</v>
      </c>
      <c r="K1952" t="s">
        <v>29</v>
      </c>
      <c r="L1952" t="s">
        <v>29</v>
      </c>
      <c r="M1952">
        <v>14.0406292074662</v>
      </c>
      <c r="N1952">
        <v>13.497787380905899</v>
      </c>
      <c r="O1952">
        <v>13.2877962834934</v>
      </c>
      <c r="P1952" t="s">
        <v>29</v>
      </c>
      <c r="Q1952" t="s">
        <v>29</v>
      </c>
      <c r="R1952" t="s">
        <v>29</v>
      </c>
      <c r="S1952">
        <v>12.561808211427</v>
      </c>
      <c r="T1952" t="s">
        <v>29</v>
      </c>
      <c r="U1952" t="s">
        <v>29</v>
      </c>
      <c r="V1952" t="s">
        <v>29</v>
      </c>
      <c r="W1952" t="s">
        <v>29</v>
      </c>
      <c r="X1952" t="s">
        <v>29</v>
      </c>
      <c r="Y1952" t="s">
        <v>29</v>
      </c>
    </row>
    <row r="1953" spans="1:25" x14ac:dyDescent="0.2">
      <c r="A1953" t="s">
        <v>7342</v>
      </c>
      <c r="B1953" t="s">
        <v>7343</v>
      </c>
      <c r="C1953" t="s">
        <v>7344</v>
      </c>
      <c r="D1953" t="s">
        <v>2720</v>
      </c>
      <c r="E1953" t="s">
        <v>7343</v>
      </c>
      <c r="F1953" t="s">
        <v>28</v>
      </c>
      <c r="G1953" t="s">
        <v>7343</v>
      </c>
      <c r="H1953" t="str">
        <f>"fask-1"</f>
        <v>fask-1</v>
      </c>
      <c r="I1953" t="s">
        <v>2720</v>
      </c>
      <c r="J1953">
        <v>12.7303828193879</v>
      </c>
      <c r="K1953">
        <v>13.160892224903099</v>
      </c>
      <c r="L1953">
        <v>13.255683116546299</v>
      </c>
      <c r="M1953">
        <v>13.1516836325975</v>
      </c>
      <c r="N1953">
        <v>13.796647286890501</v>
      </c>
      <c r="O1953">
        <v>13.245132605018901</v>
      </c>
      <c r="P1953">
        <v>0.34883512122322802</v>
      </c>
      <c r="Q1953">
        <v>-0.181690680923181</v>
      </c>
      <c r="R1953">
        <v>0.879360923369638</v>
      </c>
      <c r="S1953">
        <v>13.3844819884578</v>
      </c>
      <c r="T1953">
        <v>1.3879176744452899</v>
      </c>
      <c r="U1953">
        <v>-6.09349272441073</v>
      </c>
      <c r="V1953">
        <v>0.18319496864045301</v>
      </c>
      <c r="W1953">
        <v>0.44680524789279302</v>
      </c>
      <c r="X1953">
        <v>0</v>
      </c>
      <c r="Y1953">
        <v>0</v>
      </c>
    </row>
    <row r="1954" spans="1:25" x14ac:dyDescent="0.2">
      <c r="A1954" t="s">
        <v>7345</v>
      </c>
      <c r="B1954" t="s">
        <v>7346</v>
      </c>
      <c r="C1954" t="s">
        <v>7347</v>
      </c>
      <c r="D1954" t="s">
        <v>2787</v>
      </c>
      <c r="E1954" t="s">
        <v>7346</v>
      </c>
      <c r="F1954" t="s">
        <v>28</v>
      </c>
      <c r="G1954" t="s">
        <v>7346</v>
      </c>
      <c r="H1954" t="str">
        <f>"C01B10.8"</f>
        <v>C01B10.8</v>
      </c>
      <c r="I1954" t="s">
        <v>2787</v>
      </c>
      <c r="J1954">
        <v>13.825407025573901</v>
      </c>
      <c r="K1954">
        <v>13.5745928595762</v>
      </c>
      <c r="L1954">
        <v>13.762796537804199</v>
      </c>
      <c r="M1954">
        <v>13.5597982401483</v>
      </c>
      <c r="N1954">
        <v>14.065783903860501</v>
      </c>
      <c r="O1954">
        <v>13.577629448538501</v>
      </c>
      <c r="P1954">
        <v>1.34717231976751E-2</v>
      </c>
      <c r="Q1954">
        <v>-0.39424465334384701</v>
      </c>
      <c r="R1954">
        <v>0.42118809973919702</v>
      </c>
      <c r="S1954">
        <v>13.835715542997001</v>
      </c>
      <c r="T1954">
        <v>6.9745309863921398E-2</v>
      </c>
      <c r="U1954">
        <v>-7.0495295677761201</v>
      </c>
      <c r="V1954">
        <v>0.94521525081651003</v>
      </c>
      <c r="W1954">
        <v>0.97576384643441005</v>
      </c>
      <c r="X1954">
        <v>0</v>
      </c>
      <c r="Y1954">
        <v>0</v>
      </c>
    </row>
    <row r="1955" spans="1:25" x14ac:dyDescent="0.2">
      <c r="A1955" t="s">
        <v>7348</v>
      </c>
      <c r="B1955" t="s">
        <v>7349</v>
      </c>
      <c r="C1955" t="s">
        <v>7350</v>
      </c>
      <c r="D1955" t="s">
        <v>7351</v>
      </c>
      <c r="E1955" t="s">
        <v>7349</v>
      </c>
      <c r="F1955" t="s">
        <v>28</v>
      </c>
      <c r="G1955" t="s">
        <v>7349</v>
      </c>
      <c r="H1955" t="str">
        <f>"C01B10.9"</f>
        <v>C01B10.9</v>
      </c>
      <c r="I1955" t="s">
        <v>7351</v>
      </c>
      <c r="J1955" t="s">
        <v>29</v>
      </c>
      <c r="K1955" t="s">
        <v>29</v>
      </c>
      <c r="L1955">
        <v>10.9347777281902</v>
      </c>
      <c r="M1955" t="s">
        <v>29</v>
      </c>
      <c r="N1955">
        <v>11.9981791877512</v>
      </c>
      <c r="O1955">
        <v>11.697337795076299</v>
      </c>
      <c r="P1955">
        <v>0.91298076322355604</v>
      </c>
      <c r="Q1955">
        <v>-0.20663778623229201</v>
      </c>
      <c r="R1955">
        <v>2.0325993126794</v>
      </c>
      <c r="S1955">
        <v>10.937775535060499</v>
      </c>
      <c r="T1955">
        <v>1.88476519555834</v>
      </c>
      <c r="U1955">
        <v>-5.0314638159774097</v>
      </c>
      <c r="V1955">
        <v>9.6687190717870602E-2</v>
      </c>
      <c r="W1955">
        <v>0.32104093734280698</v>
      </c>
      <c r="X1955">
        <v>0</v>
      </c>
      <c r="Y1955">
        <v>0</v>
      </c>
    </row>
    <row r="1956" spans="1:25" x14ac:dyDescent="0.2">
      <c r="A1956" t="s">
        <v>7352</v>
      </c>
      <c r="B1956" t="s">
        <v>7353</v>
      </c>
      <c r="C1956" t="s">
        <v>7354</v>
      </c>
      <c r="D1956" t="s">
        <v>7355</v>
      </c>
      <c r="E1956" t="s">
        <v>7353</v>
      </c>
      <c r="F1956" t="s">
        <v>28</v>
      </c>
      <c r="G1956" t="s">
        <v>7353</v>
      </c>
      <c r="H1956" t="str">
        <f>"C01B10.3"</f>
        <v>C01B10.3</v>
      </c>
      <c r="I1956" t="s">
        <v>7355</v>
      </c>
      <c r="J1956" t="s">
        <v>29</v>
      </c>
      <c r="K1956" t="s">
        <v>29</v>
      </c>
      <c r="L1956" t="s">
        <v>29</v>
      </c>
      <c r="M1956" t="s">
        <v>29</v>
      </c>
      <c r="N1956">
        <v>14.0752864713037</v>
      </c>
      <c r="O1956">
        <v>13.5073719972467</v>
      </c>
      <c r="P1956" t="s">
        <v>29</v>
      </c>
      <c r="Q1956" t="s">
        <v>29</v>
      </c>
      <c r="R1956" t="s">
        <v>29</v>
      </c>
      <c r="S1956">
        <v>13.0155882462479</v>
      </c>
      <c r="T1956" t="s">
        <v>29</v>
      </c>
      <c r="U1956" t="s">
        <v>29</v>
      </c>
      <c r="V1956" t="s">
        <v>29</v>
      </c>
      <c r="W1956" t="s">
        <v>29</v>
      </c>
      <c r="X1956" t="s">
        <v>29</v>
      </c>
      <c r="Y1956" t="s">
        <v>29</v>
      </c>
    </row>
    <row r="1957" spans="1:25" x14ac:dyDescent="0.2">
      <c r="A1957" t="s">
        <v>7356</v>
      </c>
      <c r="B1957" t="s">
        <v>7357</v>
      </c>
      <c r="C1957" t="s">
        <v>7358</v>
      </c>
      <c r="D1957" t="s">
        <v>7359</v>
      </c>
      <c r="E1957" t="s">
        <v>7357</v>
      </c>
      <c r="F1957" t="s">
        <v>28</v>
      </c>
      <c r="G1957" t="s">
        <v>7357</v>
      </c>
      <c r="H1957" t="str">
        <f>"rml-4"</f>
        <v>rml-4</v>
      </c>
      <c r="I1957" t="s">
        <v>7359</v>
      </c>
      <c r="J1957">
        <v>14.514409798551201</v>
      </c>
      <c r="K1957">
        <v>14.2476380276744</v>
      </c>
      <c r="L1957">
        <v>14.039417039939901</v>
      </c>
      <c r="M1957">
        <v>14.490439775597</v>
      </c>
      <c r="N1957">
        <v>14.2505039871275</v>
      </c>
      <c r="O1957">
        <v>14.577773600215201</v>
      </c>
      <c r="P1957">
        <v>0.17241749892466099</v>
      </c>
      <c r="Q1957">
        <v>-0.33751189787396102</v>
      </c>
      <c r="R1957">
        <v>0.682346895723283</v>
      </c>
      <c r="S1957">
        <v>14.0441040205431</v>
      </c>
      <c r="T1957">
        <v>0.71066316360951598</v>
      </c>
      <c r="U1957">
        <v>-6.7911051669508202</v>
      </c>
      <c r="V1957">
        <v>0.48645277127727299</v>
      </c>
      <c r="W1957">
        <v>0.74195019062289802</v>
      </c>
      <c r="X1957">
        <v>0</v>
      </c>
      <c r="Y1957">
        <v>0</v>
      </c>
    </row>
    <row r="1958" spans="1:25" x14ac:dyDescent="0.2">
      <c r="A1958" t="s">
        <v>7360</v>
      </c>
      <c r="B1958" t="s">
        <v>7361</v>
      </c>
      <c r="C1958" t="s">
        <v>7362</v>
      </c>
      <c r="D1958" t="s">
        <v>1128</v>
      </c>
      <c r="E1958" t="s">
        <v>7361</v>
      </c>
      <c r="F1958" t="s">
        <v>28</v>
      </c>
      <c r="G1958" t="s">
        <v>7361</v>
      </c>
      <c r="H1958" t="str">
        <f>"sco-1"</f>
        <v>sco-1</v>
      </c>
      <c r="I1958" t="s">
        <v>1128</v>
      </c>
      <c r="J1958">
        <v>14.005204724776901</v>
      </c>
      <c r="K1958">
        <v>13.6101167328376</v>
      </c>
      <c r="L1958">
        <v>13.957947035992801</v>
      </c>
      <c r="M1958">
        <v>14.2409624077376</v>
      </c>
      <c r="N1958">
        <v>14.44390200001</v>
      </c>
      <c r="O1958">
        <v>14.021652403318001</v>
      </c>
      <c r="P1958">
        <v>0.37774943915279202</v>
      </c>
      <c r="Q1958">
        <v>-1.7443865185178299E-2</v>
      </c>
      <c r="R1958">
        <v>0.77294274349076197</v>
      </c>
      <c r="S1958">
        <v>13.914360755843401</v>
      </c>
      <c r="T1958">
        <v>2.0090315802024801</v>
      </c>
      <c r="U1958">
        <v>-5.14620103224921</v>
      </c>
      <c r="V1958">
        <v>5.9864424169385297E-2</v>
      </c>
      <c r="W1958">
        <v>0.246269072373173</v>
      </c>
      <c r="X1958">
        <v>0</v>
      </c>
      <c r="Y1958">
        <v>0</v>
      </c>
    </row>
    <row r="1959" spans="1:25" x14ac:dyDescent="0.2">
      <c r="A1959" t="s">
        <v>7363</v>
      </c>
      <c r="B1959" t="s">
        <v>7364</v>
      </c>
      <c r="C1959" t="s">
        <v>7365</v>
      </c>
      <c r="D1959" t="s">
        <v>7366</v>
      </c>
      <c r="E1959" t="s">
        <v>7364</v>
      </c>
      <c r="F1959" t="s">
        <v>28</v>
      </c>
      <c r="G1959" t="s">
        <v>7364</v>
      </c>
      <c r="H1959" t="str">
        <f>"gtf-2f1"</f>
        <v>gtf-2f1</v>
      </c>
      <c r="I1959" t="s">
        <v>7366</v>
      </c>
      <c r="J1959" t="s">
        <v>29</v>
      </c>
      <c r="K1959" t="s">
        <v>29</v>
      </c>
      <c r="L1959" t="s">
        <v>29</v>
      </c>
      <c r="M1959" t="s">
        <v>29</v>
      </c>
      <c r="N1959" t="s">
        <v>29</v>
      </c>
      <c r="O1959" t="s">
        <v>29</v>
      </c>
      <c r="P1959" t="s">
        <v>29</v>
      </c>
      <c r="Q1959" t="s">
        <v>29</v>
      </c>
      <c r="R1959" t="s">
        <v>29</v>
      </c>
      <c r="S1959">
        <v>12.783370848529501</v>
      </c>
      <c r="T1959" t="s">
        <v>29</v>
      </c>
      <c r="U1959" t="s">
        <v>29</v>
      </c>
      <c r="V1959" t="s">
        <v>29</v>
      </c>
      <c r="W1959" t="s">
        <v>29</v>
      </c>
      <c r="X1959" t="s">
        <v>29</v>
      </c>
      <c r="Y1959" t="s">
        <v>29</v>
      </c>
    </row>
    <row r="1960" spans="1:25" x14ac:dyDescent="0.2">
      <c r="A1960" t="s">
        <v>7367</v>
      </c>
      <c r="B1960" t="s">
        <v>7368</v>
      </c>
      <c r="C1960" t="s">
        <v>7369</v>
      </c>
      <c r="D1960" t="s">
        <v>674</v>
      </c>
      <c r="E1960" t="s">
        <v>7368</v>
      </c>
      <c r="F1960" t="s">
        <v>28</v>
      </c>
      <c r="G1960" t="s">
        <v>7368</v>
      </c>
      <c r="H1960" t="str">
        <f>"cpna-3"</f>
        <v>cpna-3</v>
      </c>
      <c r="I1960" t="s">
        <v>674</v>
      </c>
      <c r="J1960">
        <v>13.530914980891</v>
      </c>
      <c r="K1960">
        <v>13.448147438771599</v>
      </c>
      <c r="L1960">
        <v>13.1134365317752</v>
      </c>
      <c r="M1960">
        <v>13.6749803777689</v>
      </c>
      <c r="N1960">
        <v>13.9709246029407</v>
      </c>
      <c r="O1960">
        <v>13.899800431353301</v>
      </c>
      <c r="P1960">
        <v>0.48440215354173499</v>
      </c>
      <c r="Q1960">
        <v>-0.16622351692974</v>
      </c>
      <c r="R1960">
        <v>1.1350278240132099</v>
      </c>
      <c r="S1960">
        <v>12.966565135421799</v>
      </c>
      <c r="T1960">
        <v>1.5791536943697599</v>
      </c>
      <c r="U1960">
        <v>-5.8307321493979698</v>
      </c>
      <c r="V1960">
        <v>0.13399262988510999</v>
      </c>
      <c r="W1960">
        <v>0.37911920018163497</v>
      </c>
      <c r="X1960">
        <v>0</v>
      </c>
      <c r="Y1960">
        <v>0</v>
      </c>
    </row>
    <row r="1961" spans="1:25" x14ac:dyDescent="0.2">
      <c r="A1961" t="s">
        <v>7370</v>
      </c>
      <c r="B1961" t="s">
        <v>7371</v>
      </c>
      <c r="C1961" t="s">
        <v>7372</v>
      </c>
      <c r="D1961" t="s">
        <v>4425</v>
      </c>
      <c r="E1961" t="s">
        <v>7371</v>
      </c>
      <c r="F1961" t="s">
        <v>28</v>
      </c>
      <c r="G1961" t="s">
        <v>7371</v>
      </c>
      <c r="H1961" t="str">
        <f>"aly-1"</f>
        <v>aly-1</v>
      </c>
      <c r="I1961" t="s">
        <v>4425</v>
      </c>
      <c r="J1961">
        <v>14.2024385510492</v>
      </c>
      <c r="K1961">
        <v>15.300142863925601</v>
      </c>
      <c r="L1961">
        <v>14.7965019600411</v>
      </c>
      <c r="M1961">
        <v>15.2910368511291</v>
      </c>
      <c r="N1961">
        <v>15.1826850677023</v>
      </c>
      <c r="O1961">
        <v>15.343949652498999</v>
      </c>
      <c r="P1961">
        <v>0.50619606543820495</v>
      </c>
      <c r="Q1961">
        <v>-2.58010302436548E-2</v>
      </c>
      <c r="R1961">
        <v>1.0381931611200601</v>
      </c>
      <c r="S1961">
        <v>15.1550352065591</v>
      </c>
      <c r="T1961">
        <v>2.0084430279824002</v>
      </c>
      <c r="U1961">
        <v>-5.1520062236292796</v>
      </c>
      <c r="V1961">
        <v>6.0856841463294502E-2</v>
      </c>
      <c r="W1961">
        <v>0.248779098142664</v>
      </c>
      <c r="X1961">
        <v>0</v>
      </c>
      <c r="Y1961">
        <v>0</v>
      </c>
    </row>
    <row r="1962" spans="1:25" x14ac:dyDescent="0.2">
      <c r="A1962" t="s">
        <v>7373</v>
      </c>
      <c r="B1962" t="s">
        <v>7374</v>
      </c>
      <c r="C1962" t="s">
        <v>7375</v>
      </c>
      <c r="D1962" t="s">
        <v>7376</v>
      </c>
      <c r="E1962" t="s">
        <v>7374</v>
      </c>
      <c r="F1962" t="s">
        <v>28</v>
      </c>
      <c r="G1962" t="s">
        <v>7374</v>
      </c>
      <c r="H1962" t="str">
        <f>"ddi-1"</f>
        <v>ddi-1</v>
      </c>
      <c r="I1962" t="s">
        <v>7376</v>
      </c>
      <c r="J1962">
        <v>13.4370672773214</v>
      </c>
      <c r="K1962">
        <v>13.1941297398659</v>
      </c>
      <c r="L1962">
        <v>13.0288243766962</v>
      </c>
      <c r="M1962">
        <v>13.350808331137699</v>
      </c>
      <c r="N1962">
        <v>13.129353374104999</v>
      </c>
      <c r="O1962">
        <v>13.222057767869501</v>
      </c>
      <c r="P1962">
        <v>1.40660264095285E-2</v>
      </c>
      <c r="Q1962">
        <v>-0.56823739247675897</v>
      </c>
      <c r="R1962">
        <v>0.59636944529581604</v>
      </c>
      <c r="S1962">
        <v>13.2083127862455</v>
      </c>
      <c r="T1962">
        <v>5.0770869553762803E-2</v>
      </c>
      <c r="U1962">
        <v>-7.0507356712226503</v>
      </c>
      <c r="V1962">
        <v>0.96007052404784599</v>
      </c>
      <c r="W1962">
        <v>0.97871851041719604</v>
      </c>
      <c r="X1962">
        <v>0</v>
      </c>
      <c r="Y1962">
        <v>0</v>
      </c>
    </row>
    <row r="1963" spans="1:25" x14ac:dyDescent="0.2">
      <c r="A1963" t="s">
        <v>7377</v>
      </c>
      <c r="B1963" t="s">
        <v>7378</v>
      </c>
      <c r="C1963" t="s">
        <v>7379</v>
      </c>
      <c r="D1963" t="s">
        <v>379</v>
      </c>
      <c r="E1963" t="s">
        <v>7378</v>
      </c>
      <c r="F1963" t="s">
        <v>28</v>
      </c>
      <c r="G1963" t="s">
        <v>7378</v>
      </c>
      <c r="H1963" t="str">
        <f>"aqp-2"</f>
        <v>aqp-2</v>
      </c>
      <c r="I1963" t="s">
        <v>379</v>
      </c>
      <c r="J1963">
        <v>15.140444403556099</v>
      </c>
      <c r="K1963">
        <v>15.8745368514068</v>
      </c>
      <c r="L1963">
        <v>15.425876158847901</v>
      </c>
      <c r="M1963">
        <v>15.7216997289884</v>
      </c>
      <c r="N1963">
        <v>14.1881389875129</v>
      </c>
      <c r="O1963">
        <v>15.7646052701787</v>
      </c>
      <c r="P1963">
        <v>-0.255471142376896</v>
      </c>
      <c r="Q1963">
        <v>-1.05562401337038</v>
      </c>
      <c r="R1963">
        <v>0.54468172861658704</v>
      </c>
      <c r="S1963">
        <v>15.924277335966901</v>
      </c>
      <c r="T1963">
        <v>-0.67106006612958502</v>
      </c>
      <c r="U1963">
        <v>-6.8190311638451702</v>
      </c>
      <c r="V1963">
        <v>0.51075196744761098</v>
      </c>
      <c r="W1963">
        <v>0.75959181996093506</v>
      </c>
      <c r="X1963">
        <v>0</v>
      </c>
      <c r="Y1963">
        <v>0</v>
      </c>
    </row>
    <row r="1964" spans="1:25" x14ac:dyDescent="0.2">
      <c r="A1964" t="s">
        <v>7380</v>
      </c>
      <c r="B1964" t="s">
        <v>7381</v>
      </c>
      <c r="C1964" t="s">
        <v>7382</v>
      </c>
      <c r="D1964" t="s">
        <v>7383</v>
      </c>
      <c r="E1964" t="s">
        <v>7381</v>
      </c>
      <c r="F1964" t="s">
        <v>28</v>
      </c>
      <c r="G1964" t="s">
        <v>7381</v>
      </c>
      <c r="H1964" t="str">
        <f>"mtrr-1"</f>
        <v>mtrr-1</v>
      </c>
      <c r="I1964" t="s">
        <v>7383</v>
      </c>
      <c r="J1964">
        <v>12.0659673534549</v>
      </c>
      <c r="K1964" t="s">
        <v>29</v>
      </c>
      <c r="L1964">
        <v>11.7629091246757</v>
      </c>
      <c r="M1964">
        <v>11.771382874162899</v>
      </c>
      <c r="N1964">
        <v>12.214606989515399</v>
      </c>
      <c r="O1964">
        <v>12.9861614717954</v>
      </c>
      <c r="P1964">
        <v>0.40961220609264398</v>
      </c>
      <c r="Q1964">
        <v>-0.22177768714545601</v>
      </c>
      <c r="R1964">
        <v>1.0410020993307501</v>
      </c>
      <c r="S1964">
        <v>11.8896433169008</v>
      </c>
      <c r="T1964">
        <v>1.38362012352652</v>
      </c>
      <c r="U1964">
        <v>-5.9898299524099103</v>
      </c>
      <c r="V1964">
        <v>0.18686066942625701</v>
      </c>
      <c r="W1964">
        <v>0.45039110104366298</v>
      </c>
      <c r="X1964">
        <v>0</v>
      </c>
      <c r="Y1964">
        <v>0</v>
      </c>
    </row>
    <row r="1965" spans="1:25" x14ac:dyDescent="0.2">
      <c r="A1965" t="s">
        <v>7384</v>
      </c>
      <c r="B1965" t="s">
        <v>7385</v>
      </c>
      <c r="C1965" t="s">
        <v>7386</v>
      </c>
      <c r="D1965" t="s">
        <v>7387</v>
      </c>
      <c r="E1965" t="s">
        <v>7385</v>
      </c>
      <c r="F1965" t="s">
        <v>28</v>
      </c>
      <c r="G1965" t="s">
        <v>7385</v>
      </c>
      <c r="H1965" t="str">
        <f>"acs-7"</f>
        <v>acs-7</v>
      </c>
      <c r="I1965" t="s">
        <v>7387</v>
      </c>
      <c r="J1965">
        <v>14.316544291224099</v>
      </c>
      <c r="K1965">
        <v>13.9979405964029</v>
      </c>
      <c r="L1965">
        <v>13.563616884843199</v>
      </c>
      <c r="M1965">
        <v>14.9288836047252</v>
      </c>
      <c r="N1965">
        <v>14.9630565379318</v>
      </c>
      <c r="O1965">
        <v>14.861432217143401</v>
      </c>
      <c r="P1965">
        <v>0.95842352911006901</v>
      </c>
      <c r="Q1965">
        <v>0.47204130803956901</v>
      </c>
      <c r="R1965">
        <v>1.44480575018057</v>
      </c>
      <c r="S1965">
        <v>14.125291223478399</v>
      </c>
      <c r="T1965">
        <v>4.1416394482845797</v>
      </c>
      <c r="U1965">
        <v>-0.76771961385649101</v>
      </c>
      <c r="V1965">
        <v>6.1948971456300098E-4</v>
      </c>
      <c r="W1965">
        <v>1.26781102590441E-2</v>
      </c>
      <c r="X1965">
        <v>0</v>
      </c>
      <c r="Y1965">
        <v>0</v>
      </c>
    </row>
    <row r="1966" spans="1:25" x14ac:dyDescent="0.2">
      <c r="A1966" t="s">
        <v>7388</v>
      </c>
      <c r="B1966" t="s">
        <v>7389</v>
      </c>
      <c r="C1966" t="s">
        <v>7390</v>
      </c>
      <c r="D1966" t="s">
        <v>412</v>
      </c>
      <c r="E1966" t="s">
        <v>7389</v>
      </c>
      <c r="F1966" t="s">
        <v>28</v>
      </c>
      <c r="G1966" t="s">
        <v>7389</v>
      </c>
      <c r="H1966" t="str">
        <f>"mlt-2"</f>
        <v>mlt-2</v>
      </c>
      <c r="I1966" t="s">
        <v>412</v>
      </c>
      <c r="J1966">
        <v>11.158376817069801</v>
      </c>
      <c r="K1966">
        <v>10.668773969975501</v>
      </c>
      <c r="L1966">
        <v>11.1675085806671</v>
      </c>
      <c r="M1966">
        <v>14.5298592376732</v>
      </c>
      <c r="N1966">
        <v>14.493729083061201</v>
      </c>
      <c r="O1966">
        <v>14.115066827630001</v>
      </c>
      <c r="P1966">
        <v>3.3813319268839899</v>
      </c>
      <c r="Q1966">
        <v>2.8486279349802301</v>
      </c>
      <c r="R1966">
        <v>3.91403591878775</v>
      </c>
      <c r="S1966">
        <v>14.211371030596</v>
      </c>
      <c r="T1966">
        <v>13.3983669235433</v>
      </c>
      <c r="U1966">
        <v>14.2256476752525</v>
      </c>
      <c r="V1966" s="2">
        <v>1.99054474992054E-10</v>
      </c>
      <c r="W1966" s="2">
        <v>6.4772326162414303E-8</v>
      </c>
      <c r="X1966">
        <v>1</v>
      </c>
      <c r="Y1966">
        <v>1</v>
      </c>
    </row>
    <row r="1967" spans="1:25" x14ac:dyDescent="0.2">
      <c r="A1967" t="s">
        <v>7391</v>
      </c>
      <c r="B1967" t="s">
        <v>7392</v>
      </c>
      <c r="C1967" t="s">
        <v>7393</v>
      </c>
      <c r="D1967" t="s">
        <v>1210</v>
      </c>
      <c r="E1967" t="s">
        <v>7392</v>
      </c>
      <c r="F1967" t="s">
        <v>28</v>
      </c>
      <c r="G1967" t="s">
        <v>7392</v>
      </c>
      <c r="H1967" t="str">
        <f>"C01H6.4"</f>
        <v>C01H6.4</v>
      </c>
      <c r="I1967" t="s">
        <v>1210</v>
      </c>
      <c r="J1967">
        <v>13.6296467011617</v>
      </c>
      <c r="K1967">
        <v>13.588196613498299</v>
      </c>
      <c r="L1967">
        <v>13.4110875857394</v>
      </c>
      <c r="M1967" t="s">
        <v>29</v>
      </c>
      <c r="N1967">
        <v>13.604511308567499</v>
      </c>
      <c r="O1967">
        <v>12.808625447473901</v>
      </c>
      <c r="P1967">
        <v>-0.33640858877906199</v>
      </c>
      <c r="Q1967">
        <v>-0.92105088844713501</v>
      </c>
      <c r="R1967">
        <v>0.248233710889011</v>
      </c>
      <c r="S1967">
        <v>13.5221387822323</v>
      </c>
      <c r="T1967">
        <v>-1.2204679271235199</v>
      </c>
      <c r="U1967">
        <v>-6.1919818522639902</v>
      </c>
      <c r="V1967">
        <v>0.24008499551809301</v>
      </c>
      <c r="W1967">
        <v>0.51411975465742199</v>
      </c>
      <c r="X1967">
        <v>0</v>
      </c>
      <c r="Y1967">
        <v>0</v>
      </c>
    </row>
    <row r="1968" spans="1:25" x14ac:dyDescent="0.2">
      <c r="A1968" t="s">
        <v>7394</v>
      </c>
      <c r="B1968" t="s">
        <v>7395</v>
      </c>
      <c r="C1968" t="s">
        <v>7396</v>
      </c>
      <c r="D1968" t="s">
        <v>901</v>
      </c>
      <c r="E1968" t="s">
        <v>7395</v>
      </c>
      <c r="F1968" t="s">
        <v>28</v>
      </c>
      <c r="G1968" t="s">
        <v>7395</v>
      </c>
      <c r="H1968" t="str">
        <f>"nhr-17"</f>
        <v>nhr-17</v>
      </c>
      <c r="I1968" t="s">
        <v>901</v>
      </c>
      <c r="J1968">
        <v>10.8520177367646</v>
      </c>
      <c r="K1968">
        <v>10.834702399697701</v>
      </c>
      <c r="L1968" t="s">
        <v>29</v>
      </c>
      <c r="M1968" t="s">
        <v>29</v>
      </c>
      <c r="N1968" t="s">
        <v>29</v>
      </c>
      <c r="O1968" t="s">
        <v>29</v>
      </c>
      <c r="P1968" t="s">
        <v>29</v>
      </c>
      <c r="Q1968" t="s">
        <v>29</v>
      </c>
      <c r="R1968" t="s">
        <v>29</v>
      </c>
      <c r="S1968">
        <v>10.8161940683912</v>
      </c>
      <c r="T1968" t="s">
        <v>29</v>
      </c>
      <c r="U1968" t="s">
        <v>29</v>
      </c>
      <c r="V1968" t="s">
        <v>29</v>
      </c>
      <c r="W1968" t="s">
        <v>29</v>
      </c>
      <c r="X1968" t="s">
        <v>29</v>
      </c>
      <c r="Y1968" t="s">
        <v>29</v>
      </c>
    </row>
    <row r="1969" spans="1:25" x14ac:dyDescent="0.2">
      <c r="A1969" t="s">
        <v>7397</v>
      </c>
      <c r="B1969" t="s">
        <v>7398</v>
      </c>
      <c r="C1969" t="s">
        <v>7399</v>
      </c>
      <c r="D1969" t="s">
        <v>7400</v>
      </c>
      <c r="E1969" t="s">
        <v>7398</v>
      </c>
      <c r="F1969" t="s">
        <v>28</v>
      </c>
      <c r="G1969" t="s">
        <v>7398</v>
      </c>
      <c r="H1969" t="str">
        <f>"C03A3.2"</f>
        <v>C03A3.2</v>
      </c>
      <c r="I1969" t="s">
        <v>7400</v>
      </c>
      <c r="J1969">
        <v>11.4177179786731</v>
      </c>
      <c r="K1969">
        <v>11.993357892055201</v>
      </c>
      <c r="L1969">
        <v>12.5440623118213</v>
      </c>
      <c r="M1969" t="s">
        <v>29</v>
      </c>
      <c r="N1969" t="s">
        <v>29</v>
      </c>
      <c r="O1969" t="s">
        <v>29</v>
      </c>
      <c r="P1969" t="s">
        <v>29</v>
      </c>
      <c r="Q1969" t="s">
        <v>29</v>
      </c>
      <c r="R1969" t="s">
        <v>29</v>
      </c>
      <c r="S1969">
        <v>12.3080269647653</v>
      </c>
      <c r="T1969" t="s">
        <v>29</v>
      </c>
      <c r="U1969" t="s">
        <v>29</v>
      </c>
      <c r="V1969" t="s">
        <v>29</v>
      </c>
      <c r="W1969" t="s">
        <v>29</v>
      </c>
      <c r="X1969" t="s">
        <v>29</v>
      </c>
      <c r="Y1969" t="s">
        <v>29</v>
      </c>
    </row>
    <row r="1970" spans="1:25" x14ac:dyDescent="0.2">
      <c r="A1970" t="s">
        <v>7401</v>
      </c>
      <c r="B1970" t="s">
        <v>7402</v>
      </c>
      <c r="C1970" t="s">
        <v>7403</v>
      </c>
      <c r="D1970" t="s">
        <v>7404</v>
      </c>
      <c r="E1970" t="s">
        <v>7402</v>
      </c>
      <c r="F1970" t="s">
        <v>28</v>
      </c>
      <c r="G1970" t="s">
        <v>7402</v>
      </c>
      <c r="H1970" t="str">
        <f>"npp-14"</f>
        <v>npp-14</v>
      </c>
      <c r="I1970" t="s">
        <v>7404</v>
      </c>
      <c r="J1970" t="s">
        <v>29</v>
      </c>
      <c r="K1970" t="s">
        <v>29</v>
      </c>
      <c r="L1970" t="s">
        <v>29</v>
      </c>
      <c r="M1970">
        <v>12.532395299677299</v>
      </c>
      <c r="N1970">
        <v>12.3592906917828</v>
      </c>
      <c r="O1970">
        <v>11.453290975989599</v>
      </c>
      <c r="P1970" t="s">
        <v>29</v>
      </c>
      <c r="Q1970" t="s">
        <v>29</v>
      </c>
      <c r="R1970" t="s">
        <v>29</v>
      </c>
      <c r="S1970">
        <v>11.533093593386599</v>
      </c>
      <c r="T1970" t="s">
        <v>29</v>
      </c>
      <c r="U1970" t="s">
        <v>29</v>
      </c>
      <c r="V1970" t="s">
        <v>29</v>
      </c>
      <c r="W1970" t="s">
        <v>29</v>
      </c>
      <c r="X1970" t="s">
        <v>29</v>
      </c>
      <c r="Y1970" t="s">
        <v>29</v>
      </c>
    </row>
    <row r="1971" spans="1:25" x14ac:dyDescent="0.2">
      <c r="A1971" t="s">
        <v>7405</v>
      </c>
      <c r="B1971" t="s">
        <v>7406</v>
      </c>
      <c r="C1971" t="s">
        <v>7407</v>
      </c>
      <c r="D1971" t="s">
        <v>7408</v>
      </c>
      <c r="E1971" t="s">
        <v>7406</v>
      </c>
      <c r="F1971" t="s">
        <v>28</v>
      </c>
      <c r="G1971" t="s">
        <v>7406</v>
      </c>
      <c r="H1971" t="str">
        <f>"rpl-24.2"</f>
        <v>rpl-24.2</v>
      </c>
      <c r="I1971" t="s">
        <v>7408</v>
      </c>
      <c r="J1971">
        <v>12.088852171273899</v>
      </c>
      <c r="K1971">
        <v>12.662694666695</v>
      </c>
      <c r="L1971">
        <v>12.234336233531801</v>
      </c>
      <c r="M1971">
        <v>12.7135267928491</v>
      </c>
      <c r="N1971">
        <v>11.2114859769841</v>
      </c>
      <c r="O1971">
        <v>11.6987195922901</v>
      </c>
      <c r="P1971">
        <v>-0.45405023645911402</v>
      </c>
      <c r="Q1971">
        <v>-1.2433569537921201</v>
      </c>
      <c r="R1971">
        <v>0.33525648087388699</v>
      </c>
      <c r="S1971">
        <v>12.9703818702062</v>
      </c>
      <c r="T1971">
        <v>-1.22013430312121</v>
      </c>
      <c r="U1971">
        <v>-6.30159010955441</v>
      </c>
      <c r="V1971">
        <v>0.24020797322763199</v>
      </c>
      <c r="W1971">
        <v>0.51411975465742199</v>
      </c>
      <c r="X1971">
        <v>0</v>
      </c>
      <c r="Y1971">
        <v>0</v>
      </c>
    </row>
    <row r="1972" spans="1:25" x14ac:dyDescent="0.2">
      <c r="A1972" t="s">
        <v>7409</v>
      </c>
      <c r="B1972" t="s">
        <v>7410</v>
      </c>
      <c r="C1972" t="s">
        <v>7411</v>
      </c>
      <c r="D1972" t="s">
        <v>7412</v>
      </c>
      <c r="E1972" t="s">
        <v>7410</v>
      </c>
      <c r="F1972" t="s">
        <v>28</v>
      </c>
      <c r="G1972" t="s">
        <v>7410</v>
      </c>
      <c r="H1972" t="str">
        <f>"cel-1"</f>
        <v>cel-1</v>
      </c>
      <c r="I1972" t="s">
        <v>7412</v>
      </c>
      <c r="J1972">
        <v>11.5755671516182</v>
      </c>
      <c r="K1972">
        <v>11.9072777471203</v>
      </c>
      <c r="L1972">
        <v>11.9600308189555</v>
      </c>
      <c r="M1972">
        <v>11.958438014519</v>
      </c>
      <c r="N1972">
        <v>12.2786653681075</v>
      </c>
      <c r="O1972">
        <v>11.4725421980598</v>
      </c>
      <c r="P1972">
        <v>8.8923287664087497E-2</v>
      </c>
      <c r="Q1972">
        <v>-0.36132522184918098</v>
      </c>
      <c r="R1972">
        <v>0.53917179717735597</v>
      </c>
      <c r="S1972">
        <v>12.084533018118799</v>
      </c>
      <c r="T1972">
        <v>0.418902311704268</v>
      </c>
      <c r="U1972">
        <v>-6.9600227994220099</v>
      </c>
      <c r="V1972">
        <v>0.68089342238948503</v>
      </c>
      <c r="W1972">
        <v>0.85722167970248597</v>
      </c>
      <c r="X1972">
        <v>0</v>
      </c>
      <c r="Y1972">
        <v>0</v>
      </c>
    </row>
    <row r="1973" spans="1:25" x14ac:dyDescent="0.2">
      <c r="A1973" t="s">
        <v>7413</v>
      </c>
      <c r="B1973" t="s">
        <v>7414</v>
      </c>
      <c r="C1973" t="s">
        <v>7415</v>
      </c>
      <c r="D1973" t="s">
        <v>211</v>
      </c>
      <c r="E1973" t="s">
        <v>7414</v>
      </c>
      <c r="F1973" t="s">
        <v>28</v>
      </c>
      <c r="G1973" t="s">
        <v>7414</v>
      </c>
      <c r="H1973" t="str">
        <f>"C04B4.2"</f>
        <v>C04B4.2</v>
      </c>
      <c r="I1973" t="s">
        <v>211</v>
      </c>
      <c r="J1973" t="s">
        <v>29</v>
      </c>
      <c r="K1973" t="s">
        <v>29</v>
      </c>
      <c r="L1973" t="s">
        <v>29</v>
      </c>
      <c r="M1973" t="s">
        <v>29</v>
      </c>
      <c r="N1973">
        <v>11.5565006125259</v>
      </c>
      <c r="O1973" t="s">
        <v>29</v>
      </c>
      <c r="P1973" t="s">
        <v>29</v>
      </c>
      <c r="Q1973" t="s">
        <v>29</v>
      </c>
      <c r="R1973" t="s">
        <v>29</v>
      </c>
      <c r="S1973">
        <v>13.0816839059981</v>
      </c>
      <c r="T1973" t="s">
        <v>29</v>
      </c>
      <c r="U1973" t="s">
        <v>29</v>
      </c>
      <c r="V1973" t="s">
        <v>29</v>
      </c>
      <c r="W1973" t="s">
        <v>29</v>
      </c>
      <c r="X1973" t="s">
        <v>29</v>
      </c>
      <c r="Y1973" t="s">
        <v>29</v>
      </c>
    </row>
    <row r="1974" spans="1:25" x14ac:dyDescent="0.2">
      <c r="A1974" t="s">
        <v>7416</v>
      </c>
      <c r="B1974" t="s">
        <v>7417</v>
      </c>
      <c r="C1974" t="s">
        <v>7418</v>
      </c>
      <c r="D1974" t="s">
        <v>3617</v>
      </c>
      <c r="E1974" t="s">
        <v>7417</v>
      </c>
      <c r="F1974" t="s">
        <v>28</v>
      </c>
      <c r="G1974" t="s">
        <v>7417</v>
      </c>
      <c r="H1974" t="str">
        <f>"C04B4.4"</f>
        <v>C04B4.4</v>
      </c>
      <c r="I1974" t="s">
        <v>3617</v>
      </c>
      <c r="J1974" t="s">
        <v>29</v>
      </c>
      <c r="K1974" t="s">
        <v>29</v>
      </c>
      <c r="L1974" t="s">
        <v>29</v>
      </c>
      <c r="M1974" t="s">
        <v>29</v>
      </c>
      <c r="N1974" t="s">
        <v>29</v>
      </c>
      <c r="O1974" t="s">
        <v>29</v>
      </c>
      <c r="P1974" t="s">
        <v>29</v>
      </c>
      <c r="Q1974" t="s">
        <v>29</v>
      </c>
      <c r="R1974" t="s">
        <v>29</v>
      </c>
      <c r="S1974">
        <v>10.719109690541099</v>
      </c>
      <c r="T1974" t="s">
        <v>29</v>
      </c>
      <c r="U1974" t="s">
        <v>29</v>
      </c>
      <c r="V1974" t="s">
        <v>29</v>
      </c>
      <c r="W1974" t="s">
        <v>29</v>
      </c>
      <c r="X1974" t="s">
        <v>29</v>
      </c>
      <c r="Y1974" t="s">
        <v>29</v>
      </c>
    </row>
    <row r="1975" spans="1:25" x14ac:dyDescent="0.2">
      <c r="A1975" t="s">
        <v>7419</v>
      </c>
      <c r="B1975" t="s">
        <v>7420</v>
      </c>
      <c r="C1975" t="s">
        <v>7421</v>
      </c>
      <c r="D1975" t="s">
        <v>7422</v>
      </c>
      <c r="E1975" t="s">
        <v>7420</v>
      </c>
      <c r="F1975" t="s">
        <v>28</v>
      </c>
      <c r="G1975" t="s">
        <v>7420</v>
      </c>
      <c r="H1975" t="str">
        <f>"arrd-25"</f>
        <v>arrd-25</v>
      </c>
      <c r="I1975" t="s">
        <v>7422</v>
      </c>
      <c r="J1975">
        <v>13.615903602785499</v>
      </c>
      <c r="K1975">
        <v>13.5449298300046</v>
      </c>
      <c r="L1975">
        <v>13.3245858773185</v>
      </c>
      <c r="M1975">
        <v>14.7273759905184</v>
      </c>
      <c r="N1975">
        <v>14.4656026345535</v>
      </c>
      <c r="O1975">
        <v>14.4114254998889</v>
      </c>
      <c r="P1975">
        <v>1.0396616049507199</v>
      </c>
      <c r="Q1975">
        <v>0.51460913274247999</v>
      </c>
      <c r="R1975">
        <v>1.56471407715897</v>
      </c>
      <c r="S1975">
        <v>13.7770408059519</v>
      </c>
      <c r="T1975">
        <v>4.1796441794273003</v>
      </c>
      <c r="U1975">
        <v>-0.76700227735600901</v>
      </c>
      <c r="V1975">
        <v>6.3626509138307505E-4</v>
      </c>
      <c r="W1975">
        <v>1.2940041296003299E-2</v>
      </c>
      <c r="X1975">
        <v>1</v>
      </c>
      <c r="Y1975">
        <v>1</v>
      </c>
    </row>
    <row r="1976" spans="1:25" x14ac:dyDescent="0.2">
      <c r="A1976" t="s">
        <v>7423</v>
      </c>
      <c r="B1976" t="s">
        <v>7424</v>
      </c>
      <c r="C1976" t="s">
        <v>7425</v>
      </c>
      <c r="D1976" t="s">
        <v>7426</v>
      </c>
      <c r="E1976" t="s">
        <v>7424</v>
      </c>
      <c r="F1976" t="s">
        <v>28</v>
      </c>
      <c r="G1976" t="s">
        <v>7424</v>
      </c>
      <c r="H1976" t="str">
        <f>"spch-1"</f>
        <v>spch-1</v>
      </c>
      <c r="I1976" t="s">
        <v>7426</v>
      </c>
      <c r="J1976">
        <v>14.8690179855891</v>
      </c>
      <c r="K1976">
        <v>13.5583342272833</v>
      </c>
      <c r="L1976">
        <v>14.661281708124299</v>
      </c>
      <c r="M1976">
        <v>15.117725272355701</v>
      </c>
      <c r="N1976">
        <v>14.9679941186573</v>
      </c>
      <c r="O1976">
        <v>13.2342233356125</v>
      </c>
      <c r="P1976">
        <v>7.7102935209637694E-2</v>
      </c>
      <c r="Q1976">
        <v>-1.1736291607532501</v>
      </c>
      <c r="R1976">
        <v>1.32783503117253</v>
      </c>
      <c r="S1976">
        <v>14.6565877428786</v>
      </c>
      <c r="T1976">
        <v>0.12956841013621201</v>
      </c>
      <c r="U1976">
        <v>-7.0432926296387599</v>
      </c>
      <c r="V1976">
        <v>0.89835315198316101</v>
      </c>
      <c r="W1976">
        <v>0.96438222116194405</v>
      </c>
      <c r="X1976">
        <v>0</v>
      </c>
      <c r="Y1976">
        <v>0</v>
      </c>
    </row>
    <row r="1977" spans="1:25" x14ac:dyDescent="0.2">
      <c r="A1977" t="s">
        <v>7427</v>
      </c>
      <c r="B1977" t="s">
        <v>7428</v>
      </c>
      <c r="C1977" t="s">
        <v>7429</v>
      </c>
      <c r="D1977" t="s">
        <v>2221</v>
      </c>
      <c r="E1977" t="s">
        <v>7428</v>
      </c>
      <c r="F1977" t="s">
        <v>28</v>
      </c>
      <c r="G1977" t="s">
        <v>7430</v>
      </c>
      <c r="H1977" t="str">
        <f>"ttbk-5"</f>
        <v>ttbk-5</v>
      </c>
      <c r="I1977" t="s">
        <v>2221</v>
      </c>
      <c r="J1977" t="s">
        <v>29</v>
      </c>
      <c r="K1977" t="s">
        <v>29</v>
      </c>
      <c r="L1977" t="s">
        <v>29</v>
      </c>
      <c r="M1977" t="s">
        <v>29</v>
      </c>
      <c r="N1977" t="s">
        <v>29</v>
      </c>
      <c r="O1977" t="s">
        <v>29</v>
      </c>
      <c r="P1977" t="s">
        <v>29</v>
      </c>
      <c r="Q1977" t="s">
        <v>29</v>
      </c>
      <c r="R1977" t="s">
        <v>29</v>
      </c>
      <c r="S1977">
        <v>11.1911916137761</v>
      </c>
      <c r="T1977" t="s">
        <v>29</v>
      </c>
      <c r="U1977" t="s">
        <v>29</v>
      </c>
      <c r="V1977" t="s">
        <v>29</v>
      </c>
      <c r="W1977" t="s">
        <v>29</v>
      </c>
      <c r="X1977" t="s">
        <v>29</v>
      </c>
      <c r="Y1977" t="s">
        <v>29</v>
      </c>
    </row>
    <row r="1978" spans="1:25" x14ac:dyDescent="0.2">
      <c r="A1978" t="s">
        <v>7431</v>
      </c>
      <c r="B1978" t="s">
        <v>7432</v>
      </c>
      <c r="C1978" t="s">
        <v>7433</v>
      </c>
      <c r="D1978" t="s">
        <v>7434</v>
      </c>
      <c r="E1978" t="s">
        <v>7432</v>
      </c>
      <c r="F1978" t="s">
        <v>28</v>
      </c>
      <c r="G1978" t="s">
        <v>7432</v>
      </c>
      <c r="H1978" t="str">
        <f>"dis-3"</f>
        <v>dis-3</v>
      </c>
      <c r="I1978" t="s">
        <v>7434</v>
      </c>
      <c r="J1978">
        <v>15.551289759909601</v>
      </c>
      <c r="K1978">
        <v>15.4982760986413</v>
      </c>
      <c r="L1978">
        <v>15.3010419583479</v>
      </c>
      <c r="M1978">
        <v>15.4963742151466</v>
      </c>
      <c r="N1978">
        <v>15.377069342645701</v>
      </c>
      <c r="O1978">
        <v>15.092347532805199</v>
      </c>
      <c r="P1978">
        <v>-0.128272242100408</v>
      </c>
      <c r="Q1978">
        <v>-0.49435626501637903</v>
      </c>
      <c r="R1978">
        <v>0.23781178081556301</v>
      </c>
      <c r="S1978">
        <v>15.376596660985999</v>
      </c>
      <c r="T1978">
        <v>-0.73645196247490796</v>
      </c>
      <c r="U1978">
        <v>-6.77210760637933</v>
      </c>
      <c r="V1978">
        <v>0.471000677886661</v>
      </c>
      <c r="W1978">
        <v>0.73296805635733797</v>
      </c>
      <c r="X1978">
        <v>0</v>
      </c>
      <c r="Y1978">
        <v>0</v>
      </c>
    </row>
    <row r="1979" spans="1:25" x14ac:dyDescent="0.2">
      <c r="A1979" t="s">
        <v>7435</v>
      </c>
      <c r="B1979" t="s">
        <v>7436</v>
      </c>
      <c r="C1979" t="s">
        <v>7437</v>
      </c>
      <c r="D1979" t="s">
        <v>59</v>
      </c>
      <c r="E1979" t="s">
        <v>7436</v>
      </c>
      <c r="F1979" t="s">
        <v>28</v>
      </c>
      <c r="G1979" t="s">
        <v>7438</v>
      </c>
      <c r="H1979" t="str">
        <f>"pgp-5"</f>
        <v>pgp-5</v>
      </c>
      <c r="I1979" t="s">
        <v>59</v>
      </c>
      <c r="J1979">
        <v>12.528210891629699</v>
      </c>
      <c r="K1979">
        <v>12.757812126829499</v>
      </c>
      <c r="L1979">
        <v>12.0520076393975</v>
      </c>
      <c r="M1979">
        <v>12.835978997788001</v>
      </c>
      <c r="N1979">
        <v>12.9155594069298</v>
      </c>
      <c r="O1979">
        <v>12.081659132461899</v>
      </c>
      <c r="P1979">
        <v>0.165055626440997</v>
      </c>
      <c r="Q1979">
        <v>-0.46572684448853202</v>
      </c>
      <c r="R1979">
        <v>0.79583809737052702</v>
      </c>
      <c r="S1979">
        <v>12.3440210174708</v>
      </c>
      <c r="T1979">
        <v>0.55807468528315896</v>
      </c>
      <c r="U1979">
        <v>-6.8888417981989898</v>
      </c>
      <c r="V1979">
        <v>0.58508478977600098</v>
      </c>
      <c r="W1979">
        <v>0.80221954550929897</v>
      </c>
      <c r="X1979">
        <v>0</v>
      </c>
      <c r="Y1979">
        <v>0</v>
      </c>
    </row>
    <row r="1980" spans="1:25" x14ac:dyDescent="0.2">
      <c r="A1980" t="s">
        <v>7439</v>
      </c>
      <c r="B1980" t="s">
        <v>7440</v>
      </c>
      <c r="C1980" t="s">
        <v>7441</v>
      </c>
      <c r="D1980" t="s">
        <v>7442</v>
      </c>
      <c r="E1980" t="s">
        <v>7440</v>
      </c>
      <c r="F1980" t="s">
        <v>28</v>
      </c>
      <c r="G1980" t="s">
        <v>7440</v>
      </c>
      <c r="H1980" t="str">
        <f>"C05C12.5"</f>
        <v>C05C12.5</v>
      </c>
      <c r="I1980" t="s">
        <v>7442</v>
      </c>
      <c r="J1980">
        <v>14.7044970945797</v>
      </c>
      <c r="K1980">
        <v>12.797142542227601</v>
      </c>
      <c r="L1980">
        <v>14.174496722640701</v>
      </c>
      <c r="M1980">
        <v>14.423199101752401</v>
      </c>
      <c r="N1980">
        <v>15.821341575994399</v>
      </c>
      <c r="O1980">
        <v>15.0869046077369</v>
      </c>
      <c r="P1980">
        <v>1.2184363086785499</v>
      </c>
      <c r="Q1980">
        <v>5.5943047037484199E-2</v>
      </c>
      <c r="R1980">
        <v>2.38092957031962</v>
      </c>
      <c r="S1980">
        <v>13.817161734820401</v>
      </c>
      <c r="T1980">
        <v>2.2123936393327801</v>
      </c>
      <c r="U1980">
        <v>-4.79468760361428</v>
      </c>
      <c r="V1980">
        <v>4.1004559611000697E-2</v>
      </c>
      <c r="W1980">
        <v>0.20034359906035501</v>
      </c>
      <c r="X1980">
        <v>1</v>
      </c>
      <c r="Y1980">
        <v>0</v>
      </c>
    </row>
    <row r="1981" spans="1:25" x14ac:dyDescent="0.2">
      <c r="A1981" t="s">
        <v>7443</v>
      </c>
      <c r="B1981" t="s">
        <v>7444</v>
      </c>
      <c r="C1981" t="s">
        <v>7445</v>
      </c>
      <c r="D1981" t="s">
        <v>7446</v>
      </c>
      <c r="E1981" t="s">
        <v>7444</v>
      </c>
      <c r="F1981" t="s">
        <v>28</v>
      </c>
      <c r="G1981" t="s">
        <v>7444</v>
      </c>
      <c r="H1981" t="str">
        <f>"C05G5.2"</f>
        <v>C05G5.2</v>
      </c>
      <c r="I1981" t="s">
        <v>7446</v>
      </c>
      <c r="J1981" t="s">
        <v>29</v>
      </c>
      <c r="K1981" t="s">
        <v>29</v>
      </c>
      <c r="L1981">
        <v>11.9073197186835</v>
      </c>
      <c r="M1981" t="s">
        <v>29</v>
      </c>
      <c r="N1981" t="s">
        <v>29</v>
      </c>
      <c r="O1981" t="s">
        <v>29</v>
      </c>
      <c r="P1981" t="s">
        <v>29</v>
      </c>
      <c r="Q1981" t="s">
        <v>29</v>
      </c>
      <c r="R1981" t="s">
        <v>29</v>
      </c>
      <c r="S1981">
        <v>11.987944933693701</v>
      </c>
      <c r="T1981" t="s">
        <v>29</v>
      </c>
      <c r="U1981" t="s">
        <v>29</v>
      </c>
      <c r="V1981" t="s">
        <v>29</v>
      </c>
      <c r="W1981" t="s">
        <v>29</v>
      </c>
      <c r="X1981" t="s">
        <v>29</v>
      </c>
      <c r="Y1981" t="s">
        <v>29</v>
      </c>
    </row>
    <row r="1982" spans="1:25" x14ac:dyDescent="0.2">
      <c r="A1982" t="s">
        <v>7447</v>
      </c>
      <c r="B1982" t="s">
        <v>7448</v>
      </c>
      <c r="C1982" t="s">
        <v>7449</v>
      </c>
      <c r="D1982" t="s">
        <v>7450</v>
      </c>
      <c r="E1982" t="s">
        <v>7448</v>
      </c>
      <c r="F1982" t="s">
        <v>28</v>
      </c>
      <c r="G1982" t="s">
        <v>7448</v>
      </c>
      <c r="H1982" t="str">
        <f>"erp-44.2"</f>
        <v>erp-44.2</v>
      </c>
      <c r="I1982" t="s">
        <v>7450</v>
      </c>
      <c r="J1982">
        <v>12.9094270497196</v>
      </c>
      <c r="K1982">
        <v>12.052246930964101</v>
      </c>
      <c r="L1982">
        <v>12.3646707601076</v>
      </c>
      <c r="M1982" t="s">
        <v>29</v>
      </c>
      <c r="N1982" t="s">
        <v>29</v>
      </c>
      <c r="O1982" t="s">
        <v>29</v>
      </c>
      <c r="P1982" t="s">
        <v>29</v>
      </c>
      <c r="Q1982" t="s">
        <v>29</v>
      </c>
      <c r="R1982" t="s">
        <v>29</v>
      </c>
      <c r="S1982">
        <v>12.205712663605899</v>
      </c>
      <c r="T1982" t="s">
        <v>29</v>
      </c>
      <c r="U1982" t="s">
        <v>29</v>
      </c>
      <c r="V1982" t="s">
        <v>29</v>
      </c>
      <c r="W1982" t="s">
        <v>29</v>
      </c>
      <c r="X1982" t="s">
        <v>29</v>
      </c>
      <c r="Y1982" t="s">
        <v>29</v>
      </c>
    </row>
    <row r="1983" spans="1:25" x14ac:dyDescent="0.2">
      <c r="A1983" t="s">
        <v>7451</v>
      </c>
      <c r="B1983" t="s">
        <v>7452</v>
      </c>
      <c r="C1983" t="s">
        <v>7453</v>
      </c>
      <c r="D1983" t="s">
        <v>7454</v>
      </c>
      <c r="E1983" t="s">
        <v>7452</v>
      </c>
      <c r="F1983" t="s">
        <v>28</v>
      </c>
      <c r="G1983" t="s">
        <v>7452</v>
      </c>
      <c r="H1983" t="str">
        <f>"mthf-1"</f>
        <v>mthf-1</v>
      </c>
      <c r="I1983" t="s">
        <v>7454</v>
      </c>
      <c r="J1983">
        <v>13.465907171226601</v>
      </c>
      <c r="K1983">
        <v>13.127124894258801</v>
      </c>
      <c r="L1983">
        <v>13.307128624552099</v>
      </c>
      <c r="M1983">
        <v>13.8596704390272</v>
      </c>
      <c r="N1983">
        <v>14.581610330138099</v>
      </c>
      <c r="O1983">
        <v>14.2053213483389</v>
      </c>
      <c r="P1983">
        <v>0.91548047582229597</v>
      </c>
      <c r="Q1983">
        <v>0.47101779195208399</v>
      </c>
      <c r="R1983">
        <v>1.35994315969251</v>
      </c>
      <c r="S1983">
        <v>13.8498389807545</v>
      </c>
      <c r="T1983">
        <v>4.3291864992506799</v>
      </c>
      <c r="U1983">
        <v>-0.355014958192926</v>
      </c>
      <c r="V1983">
        <v>4.0903256973679299E-4</v>
      </c>
      <c r="W1983">
        <v>9.2429998744689105E-3</v>
      </c>
      <c r="X1983">
        <v>0</v>
      </c>
      <c r="Y1983">
        <v>0</v>
      </c>
    </row>
    <row r="1984" spans="1:25" x14ac:dyDescent="0.2">
      <c r="A1984" t="s">
        <v>7455</v>
      </c>
      <c r="B1984" t="s">
        <v>7456</v>
      </c>
      <c r="C1984" t="s">
        <v>7457</v>
      </c>
      <c r="D1984" t="s">
        <v>7458</v>
      </c>
      <c r="E1984" t="s">
        <v>7456</v>
      </c>
      <c r="F1984" t="s">
        <v>28</v>
      </c>
      <c r="G1984" t="s">
        <v>7456</v>
      </c>
      <c r="H1984" t="str">
        <f>"stdh-1"</f>
        <v>stdh-1</v>
      </c>
      <c r="I1984" t="s">
        <v>7458</v>
      </c>
      <c r="J1984">
        <v>13.9526261084564</v>
      </c>
      <c r="K1984">
        <v>13.997419832870101</v>
      </c>
      <c r="L1984">
        <v>13.605975578064299</v>
      </c>
      <c r="M1984">
        <v>13.4845585063358</v>
      </c>
      <c r="N1984">
        <v>13.4209312446112</v>
      </c>
      <c r="O1984">
        <v>13.569213795785201</v>
      </c>
      <c r="P1984">
        <v>-0.36043932421952701</v>
      </c>
      <c r="Q1984">
        <v>-0.69766154487760301</v>
      </c>
      <c r="R1984">
        <v>-2.32171035614517E-2</v>
      </c>
      <c r="S1984">
        <v>13.3162275942001</v>
      </c>
      <c r="T1984">
        <v>-2.2465107233189601</v>
      </c>
      <c r="U1984">
        <v>-4.7244980283427997</v>
      </c>
      <c r="V1984">
        <v>3.7535297732147997E-2</v>
      </c>
      <c r="W1984">
        <v>0.19234623436285</v>
      </c>
      <c r="X1984">
        <v>0</v>
      </c>
      <c r="Y1984">
        <v>0</v>
      </c>
    </row>
    <row r="1985" spans="1:25" x14ac:dyDescent="0.2">
      <c r="A1985" t="s">
        <v>7459</v>
      </c>
      <c r="B1985" t="s">
        <v>7460</v>
      </c>
      <c r="C1985" t="s">
        <v>7461</v>
      </c>
      <c r="D1985" t="s">
        <v>828</v>
      </c>
      <c r="E1985" t="s">
        <v>7460</v>
      </c>
      <c r="F1985" t="s">
        <v>28</v>
      </c>
      <c r="G1985" t="s">
        <v>7460</v>
      </c>
      <c r="H1985" t="str">
        <f>"C06E7.4"</f>
        <v>C06E7.4</v>
      </c>
      <c r="I1985" t="s">
        <v>828</v>
      </c>
      <c r="J1985">
        <v>11.6126332881098</v>
      </c>
      <c r="K1985" t="s">
        <v>29</v>
      </c>
      <c r="L1985" t="s">
        <v>29</v>
      </c>
      <c r="M1985" t="s">
        <v>29</v>
      </c>
      <c r="N1985" t="s">
        <v>29</v>
      </c>
      <c r="O1985">
        <v>12.2190852794653</v>
      </c>
      <c r="P1985">
        <v>0.60645199135544403</v>
      </c>
      <c r="Q1985">
        <v>-1.6341865954586701</v>
      </c>
      <c r="R1985">
        <v>2.8470905781695599</v>
      </c>
      <c r="S1985">
        <v>11.097824846663199</v>
      </c>
      <c r="T1985">
        <v>0.64198980263098904</v>
      </c>
      <c r="U1985">
        <v>-6.2860107560320104</v>
      </c>
      <c r="V1985">
        <v>0.54162661467491802</v>
      </c>
      <c r="W1985">
        <v>0.77538627547390304</v>
      </c>
      <c r="X1985">
        <v>0</v>
      </c>
      <c r="Y1985">
        <v>0</v>
      </c>
    </row>
    <row r="1986" spans="1:25" x14ac:dyDescent="0.2">
      <c r="A1986" t="s">
        <v>7462</v>
      </c>
      <c r="B1986" t="s">
        <v>7463</v>
      </c>
      <c r="C1986" t="s">
        <v>7464</v>
      </c>
      <c r="D1986" t="s">
        <v>7465</v>
      </c>
      <c r="E1986" t="s">
        <v>7463</v>
      </c>
      <c r="F1986" t="s">
        <v>28</v>
      </c>
      <c r="G1986" t="s">
        <v>7463</v>
      </c>
      <c r="H1986" t="str">
        <f>"ain-1"</f>
        <v>ain-1</v>
      </c>
      <c r="I1986" t="s">
        <v>7465</v>
      </c>
      <c r="J1986">
        <v>15.475027939466299</v>
      </c>
      <c r="K1986">
        <v>16.181106988948802</v>
      </c>
      <c r="L1986">
        <v>16.232538469067901</v>
      </c>
      <c r="M1986">
        <v>15.343127825497</v>
      </c>
      <c r="N1986">
        <v>15.5126744418773</v>
      </c>
      <c r="O1986">
        <v>15.7502457379486</v>
      </c>
      <c r="P1986">
        <v>-0.42754179738667197</v>
      </c>
      <c r="Q1986">
        <v>-0.88336508636349698</v>
      </c>
      <c r="R1986">
        <v>2.8281491590152998E-2</v>
      </c>
      <c r="S1986">
        <v>16.238777424799899</v>
      </c>
      <c r="T1986">
        <v>-1.9713992245913801</v>
      </c>
      <c r="U1986">
        <v>-5.2103702862469499</v>
      </c>
      <c r="V1986">
        <v>6.4342544277647407E-2</v>
      </c>
      <c r="W1986">
        <v>0.25729711127284499</v>
      </c>
      <c r="X1986">
        <v>0</v>
      </c>
      <c r="Y1986">
        <v>0</v>
      </c>
    </row>
    <row r="1987" spans="1:25" x14ac:dyDescent="0.2">
      <c r="A1987" t="s">
        <v>7466</v>
      </c>
      <c r="B1987" t="s">
        <v>7467</v>
      </c>
      <c r="C1987" t="s">
        <v>7468</v>
      </c>
      <c r="D1987" t="s">
        <v>7469</v>
      </c>
      <c r="E1987" t="s">
        <v>7467</v>
      </c>
      <c r="F1987" t="s">
        <v>28</v>
      </c>
      <c r="G1987" t="s">
        <v>7467</v>
      </c>
      <c r="H1987" t="str">
        <f>"gldi-4"</f>
        <v>gldi-4</v>
      </c>
      <c r="I1987" t="s">
        <v>7469</v>
      </c>
      <c r="J1987" t="s">
        <v>29</v>
      </c>
      <c r="K1987" t="s">
        <v>29</v>
      </c>
      <c r="L1987" t="s">
        <v>29</v>
      </c>
      <c r="M1987" t="s">
        <v>29</v>
      </c>
      <c r="N1987" t="s">
        <v>29</v>
      </c>
      <c r="O1987" t="s">
        <v>29</v>
      </c>
      <c r="P1987" t="s">
        <v>29</v>
      </c>
      <c r="Q1987" t="s">
        <v>29</v>
      </c>
      <c r="R1987" t="s">
        <v>29</v>
      </c>
      <c r="S1987">
        <v>11.723807070822</v>
      </c>
      <c r="T1987" t="s">
        <v>29</v>
      </c>
      <c r="U1987" t="s">
        <v>29</v>
      </c>
      <c r="V1987" t="s">
        <v>29</v>
      </c>
      <c r="W1987" t="s">
        <v>29</v>
      </c>
      <c r="X1987" t="s">
        <v>29</v>
      </c>
      <c r="Y1987" t="s">
        <v>29</v>
      </c>
    </row>
    <row r="1988" spans="1:25" x14ac:dyDescent="0.2">
      <c r="A1988" t="s">
        <v>7470</v>
      </c>
      <c r="B1988" t="s">
        <v>7471</v>
      </c>
      <c r="C1988" t="s">
        <v>7472</v>
      </c>
      <c r="D1988" t="s">
        <v>7473</v>
      </c>
      <c r="E1988" t="s">
        <v>7471</v>
      </c>
      <c r="F1988" t="s">
        <v>28</v>
      </c>
      <c r="G1988" t="s">
        <v>7471</v>
      </c>
      <c r="H1988" t="str">
        <f>"ufl-1"</f>
        <v>ufl-1</v>
      </c>
      <c r="I1988" t="s">
        <v>7473</v>
      </c>
      <c r="J1988">
        <v>10.978791947680699</v>
      </c>
      <c r="K1988">
        <v>15.0273907408392</v>
      </c>
      <c r="L1988">
        <v>10.2537998675494</v>
      </c>
      <c r="M1988" t="s">
        <v>29</v>
      </c>
      <c r="N1988">
        <v>11.140890740257801</v>
      </c>
      <c r="O1988" t="s">
        <v>29</v>
      </c>
      <c r="P1988">
        <v>-0.94577011176535397</v>
      </c>
      <c r="Q1988">
        <v>-3.47152530177177</v>
      </c>
      <c r="R1988">
        <v>1.57998507824106</v>
      </c>
      <c r="S1988">
        <v>11.6630084576729</v>
      </c>
      <c r="T1988">
        <v>-0.80368566866748004</v>
      </c>
      <c r="U1988">
        <v>-6.3758248046187402</v>
      </c>
      <c r="V1988">
        <v>0.43511263472599998</v>
      </c>
      <c r="W1988">
        <v>0.70393597244008699</v>
      </c>
      <c r="X1988">
        <v>0</v>
      </c>
      <c r="Y1988">
        <v>0</v>
      </c>
    </row>
    <row r="1989" spans="1:25" x14ac:dyDescent="0.2">
      <c r="A1989" t="s">
        <v>7474</v>
      </c>
      <c r="B1989" t="s">
        <v>7475</v>
      </c>
      <c r="C1989" t="s">
        <v>7476</v>
      </c>
      <c r="D1989" t="s">
        <v>7477</v>
      </c>
      <c r="E1989" t="s">
        <v>7475</v>
      </c>
      <c r="F1989" t="s">
        <v>28</v>
      </c>
      <c r="G1989" t="s">
        <v>7475</v>
      </c>
      <c r="H1989" t="str">
        <f>"T25B9.9"</f>
        <v>T25B9.9</v>
      </c>
      <c r="I1989" t="s">
        <v>7477</v>
      </c>
      <c r="J1989">
        <v>17.1228889311285</v>
      </c>
      <c r="K1989">
        <v>16.935714523674999</v>
      </c>
      <c r="L1989">
        <v>16.9118908877808</v>
      </c>
      <c r="M1989">
        <v>16.8601745475186</v>
      </c>
      <c r="N1989">
        <v>16.470939378738901</v>
      </c>
      <c r="O1989">
        <v>16.5844572638721</v>
      </c>
      <c r="P1989">
        <v>-0.351641050818227</v>
      </c>
      <c r="Q1989">
        <v>-0.70456536451110496</v>
      </c>
      <c r="R1989">
        <v>1.2832628746510301E-3</v>
      </c>
      <c r="S1989">
        <v>16.647694781355401</v>
      </c>
      <c r="T1989">
        <v>-2.0941631030174501</v>
      </c>
      <c r="U1989">
        <v>-4.9982627958633499</v>
      </c>
      <c r="V1989">
        <v>5.0753034302699999E-2</v>
      </c>
      <c r="W1989">
        <v>0.224232741398805</v>
      </c>
      <c r="X1989">
        <v>0</v>
      </c>
      <c r="Y1989">
        <v>0</v>
      </c>
    </row>
    <row r="1990" spans="1:25" x14ac:dyDescent="0.2">
      <c r="A1990" t="s">
        <v>7478</v>
      </c>
      <c r="B1990" t="s">
        <v>7479</v>
      </c>
      <c r="C1990" t="s">
        <v>7480</v>
      </c>
      <c r="D1990" t="s">
        <v>7481</v>
      </c>
      <c r="E1990" t="s">
        <v>7479</v>
      </c>
      <c r="F1990" t="s">
        <v>28</v>
      </c>
      <c r="G1990" t="s">
        <v>7479</v>
      </c>
      <c r="H1990" t="str">
        <f>"atp-5"</f>
        <v>atp-5</v>
      </c>
      <c r="I1990" t="s">
        <v>7481</v>
      </c>
      <c r="J1990">
        <v>13.6934868766441</v>
      </c>
      <c r="K1990">
        <v>13.507981759087601</v>
      </c>
      <c r="L1990">
        <v>14.1537793145273</v>
      </c>
      <c r="M1990">
        <v>12.616238199726</v>
      </c>
      <c r="N1990">
        <v>12.4616476776798</v>
      </c>
      <c r="O1990">
        <v>14.165176418471599</v>
      </c>
      <c r="P1990">
        <v>-0.70406188479388598</v>
      </c>
      <c r="Q1990">
        <v>-1.53308474319846</v>
      </c>
      <c r="R1990">
        <v>0.124960973610686</v>
      </c>
      <c r="S1990">
        <v>13.835044117594601</v>
      </c>
      <c r="T1990">
        <v>-1.7926451962638801</v>
      </c>
      <c r="U1990">
        <v>-5.5065588552369</v>
      </c>
      <c r="V1990">
        <v>9.0952904794249806E-2</v>
      </c>
      <c r="W1990">
        <v>0.30925888422203701</v>
      </c>
      <c r="X1990">
        <v>0</v>
      </c>
      <c r="Y1990">
        <v>0</v>
      </c>
    </row>
    <row r="1991" spans="1:25" x14ac:dyDescent="0.2">
      <c r="A1991" t="s">
        <v>7482</v>
      </c>
      <c r="B1991" t="s">
        <v>7483</v>
      </c>
      <c r="C1991" t="s">
        <v>7484</v>
      </c>
      <c r="D1991" t="s">
        <v>1095</v>
      </c>
      <c r="E1991" t="s">
        <v>7483</v>
      </c>
      <c r="F1991" t="s">
        <v>28</v>
      </c>
      <c r="G1991" t="s">
        <v>7483</v>
      </c>
      <c r="H1991" t="str">
        <f>"jmjd-5"</f>
        <v>jmjd-5</v>
      </c>
      <c r="I1991" t="s">
        <v>1095</v>
      </c>
      <c r="J1991">
        <v>14.208577121859699</v>
      </c>
      <c r="K1991">
        <v>13.8851118629519</v>
      </c>
      <c r="L1991">
        <v>14.343481557216</v>
      </c>
      <c r="M1991">
        <v>13.976624435267</v>
      </c>
      <c r="N1991">
        <v>13.0093979459583</v>
      </c>
      <c r="O1991">
        <v>13.7499334631823</v>
      </c>
      <c r="P1991">
        <v>-0.56707156587332697</v>
      </c>
      <c r="Q1991">
        <v>-1.0412259889272799</v>
      </c>
      <c r="R1991">
        <v>-9.2917142819372994E-2</v>
      </c>
      <c r="S1991">
        <v>13.965026425132899</v>
      </c>
      <c r="T1991">
        <v>-2.5366911578651199</v>
      </c>
      <c r="U1991">
        <v>-4.2057076916141201</v>
      </c>
      <c r="V1991">
        <v>2.2065868106399499E-2</v>
      </c>
      <c r="W1991">
        <v>0.14447149862821701</v>
      </c>
      <c r="X1991">
        <v>0</v>
      </c>
      <c r="Y1991">
        <v>0</v>
      </c>
    </row>
    <row r="1992" spans="1:25" x14ac:dyDescent="0.2">
      <c r="A1992" t="s">
        <v>7485</v>
      </c>
      <c r="B1992" t="s">
        <v>7486</v>
      </c>
      <c r="C1992" t="s">
        <v>7487</v>
      </c>
      <c r="D1992" t="s">
        <v>7488</v>
      </c>
      <c r="E1992" t="s">
        <v>7486</v>
      </c>
      <c r="F1992" t="s">
        <v>28</v>
      </c>
      <c r="G1992" t="s">
        <v>7486</v>
      </c>
      <c r="H1992" t="str">
        <f>"pdi-2"</f>
        <v>pdi-2</v>
      </c>
      <c r="I1992" t="s">
        <v>7488</v>
      </c>
      <c r="J1992">
        <v>10.5759071151017</v>
      </c>
      <c r="K1992">
        <v>10.8542196896541</v>
      </c>
      <c r="L1992">
        <v>12.135029977878199</v>
      </c>
      <c r="M1992" t="s">
        <v>29</v>
      </c>
      <c r="N1992">
        <v>12.0182797091847</v>
      </c>
      <c r="O1992">
        <v>13.6356720933593</v>
      </c>
      <c r="P1992">
        <v>1.63859030706061</v>
      </c>
      <c r="Q1992">
        <v>0.28849137009611397</v>
      </c>
      <c r="R1992">
        <v>2.9886892440251098</v>
      </c>
      <c r="S1992">
        <v>11.648208180732301</v>
      </c>
      <c r="T1992">
        <v>2.62417038896232</v>
      </c>
      <c r="U1992">
        <v>-4.0025349965799197</v>
      </c>
      <c r="V1992">
        <v>2.1134629606440501E-2</v>
      </c>
      <c r="W1992">
        <v>0.14065226355107699</v>
      </c>
      <c r="X1992">
        <v>1</v>
      </c>
      <c r="Y1992">
        <v>0</v>
      </c>
    </row>
    <row r="1993" spans="1:25" x14ac:dyDescent="0.2">
      <c r="A1993" t="s">
        <v>7489</v>
      </c>
      <c r="B1993" t="s">
        <v>7490</v>
      </c>
      <c r="C1993" t="s">
        <v>7491</v>
      </c>
      <c r="D1993" t="s">
        <v>7492</v>
      </c>
      <c r="E1993" t="s">
        <v>7490</v>
      </c>
      <c r="F1993" t="s">
        <v>28</v>
      </c>
      <c r="G1993" t="s">
        <v>7490</v>
      </c>
      <c r="H1993" t="str">
        <f>"nhr-35"</f>
        <v>nhr-35</v>
      </c>
      <c r="I1993" t="s">
        <v>7492</v>
      </c>
      <c r="J1993" t="s">
        <v>29</v>
      </c>
      <c r="K1993">
        <v>10.7781414591049</v>
      </c>
      <c r="L1993">
        <v>11.5525629092377</v>
      </c>
      <c r="M1993" t="s">
        <v>29</v>
      </c>
      <c r="N1993" t="s">
        <v>29</v>
      </c>
      <c r="O1993">
        <v>11.974610237330801</v>
      </c>
      <c r="P1993">
        <v>0.80925805315953503</v>
      </c>
      <c r="Q1993">
        <v>-0.63911669438386298</v>
      </c>
      <c r="R1993">
        <v>2.2576328007029298</v>
      </c>
      <c r="S1993">
        <v>12.15739446715</v>
      </c>
      <c r="T1993">
        <v>1.2185717286970199</v>
      </c>
      <c r="U1993">
        <v>-5.9058920367397203</v>
      </c>
      <c r="V1993">
        <v>0.24662343581952401</v>
      </c>
      <c r="W1993">
        <v>0.52111211698489002</v>
      </c>
      <c r="X1993">
        <v>0</v>
      </c>
      <c r="Y1993">
        <v>0</v>
      </c>
    </row>
    <row r="1994" spans="1:25" x14ac:dyDescent="0.2">
      <c r="A1994" t="s">
        <v>7493</v>
      </c>
      <c r="B1994" t="s">
        <v>7494</v>
      </c>
      <c r="C1994" t="s">
        <v>7495</v>
      </c>
      <c r="D1994" t="s">
        <v>7496</v>
      </c>
      <c r="E1994" t="s">
        <v>7494</v>
      </c>
      <c r="F1994" t="s">
        <v>28</v>
      </c>
      <c r="G1994" t="s">
        <v>7494</v>
      </c>
      <c r="H1994" t="str">
        <f>"stip-1"</f>
        <v>stip-1</v>
      </c>
      <c r="I1994" t="s">
        <v>7496</v>
      </c>
      <c r="J1994" t="s">
        <v>29</v>
      </c>
      <c r="K1994" t="s">
        <v>29</v>
      </c>
      <c r="L1994" t="s">
        <v>29</v>
      </c>
      <c r="M1994" t="s">
        <v>29</v>
      </c>
      <c r="N1994" t="s">
        <v>29</v>
      </c>
      <c r="O1994" t="s">
        <v>29</v>
      </c>
      <c r="P1994" t="s">
        <v>29</v>
      </c>
      <c r="Q1994" t="s">
        <v>29</v>
      </c>
      <c r="R1994" t="s">
        <v>29</v>
      </c>
      <c r="S1994">
        <v>11.3086502128122</v>
      </c>
      <c r="T1994" t="s">
        <v>29</v>
      </c>
      <c r="U1994" t="s">
        <v>29</v>
      </c>
      <c r="V1994" t="s">
        <v>29</v>
      </c>
      <c r="W1994" t="s">
        <v>29</v>
      </c>
      <c r="X1994" t="s">
        <v>29</v>
      </c>
      <c r="Y1994" t="s">
        <v>29</v>
      </c>
    </row>
    <row r="1995" spans="1:25" x14ac:dyDescent="0.2">
      <c r="A1995" t="s">
        <v>7497</v>
      </c>
      <c r="B1995" t="s">
        <v>7498</v>
      </c>
      <c r="C1995" t="s">
        <v>7499</v>
      </c>
      <c r="D1995" t="s">
        <v>7500</v>
      </c>
      <c r="E1995" t="s">
        <v>7498</v>
      </c>
      <c r="F1995" t="s">
        <v>28</v>
      </c>
      <c r="G1995" t="s">
        <v>7498</v>
      </c>
      <c r="H1995" t="str">
        <f>"hgrs-1"</f>
        <v>hgrs-1</v>
      </c>
      <c r="I1995" t="s">
        <v>7500</v>
      </c>
      <c r="J1995">
        <v>9.8104947158931708</v>
      </c>
      <c r="K1995">
        <v>10.2922969435452</v>
      </c>
      <c r="L1995">
        <v>10.7928929494407</v>
      </c>
      <c r="M1995">
        <v>10.4082599419046</v>
      </c>
      <c r="N1995">
        <v>11.385790846447501</v>
      </c>
      <c r="O1995">
        <v>9.9173124075554693</v>
      </c>
      <c r="P1995">
        <v>0.27189286234286097</v>
      </c>
      <c r="Q1995">
        <v>-0.66578448038664895</v>
      </c>
      <c r="R1995">
        <v>1.20957020507237</v>
      </c>
      <c r="S1995">
        <v>10.8720331851186</v>
      </c>
      <c r="T1995">
        <v>0.61206056339223402</v>
      </c>
      <c r="U1995">
        <v>-6.8573151252799098</v>
      </c>
      <c r="V1995">
        <v>0.54864697004756602</v>
      </c>
      <c r="W1995">
        <v>0.77926549128536904</v>
      </c>
      <c r="X1995">
        <v>0</v>
      </c>
      <c r="Y1995">
        <v>0</v>
      </c>
    </row>
    <row r="1996" spans="1:25" x14ac:dyDescent="0.2">
      <c r="A1996" t="s">
        <v>7501</v>
      </c>
      <c r="B1996" t="s">
        <v>7502</v>
      </c>
      <c r="C1996" t="s">
        <v>7503</v>
      </c>
      <c r="D1996" t="s">
        <v>7504</v>
      </c>
      <c r="E1996" t="s">
        <v>7502</v>
      </c>
      <c r="F1996" t="s">
        <v>28</v>
      </c>
      <c r="G1996" t="s">
        <v>7502</v>
      </c>
      <c r="H1996" t="str">
        <f>"cpg-1"</f>
        <v>cpg-1</v>
      </c>
      <c r="I1996" t="s">
        <v>7504</v>
      </c>
      <c r="J1996">
        <v>13.5335207986721</v>
      </c>
      <c r="K1996">
        <v>14.608846353802999</v>
      </c>
      <c r="L1996">
        <v>16.3404661440246</v>
      </c>
      <c r="M1996">
        <v>15.5188994542162</v>
      </c>
      <c r="N1996">
        <v>15.505305626542</v>
      </c>
      <c r="O1996">
        <v>14.828184101197801</v>
      </c>
      <c r="P1996">
        <v>0.456518628485444</v>
      </c>
      <c r="Q1996">
        <v>-1.13147969266931</v>
      </c>
      <c r="R1996">
        <v>2.0445169496402</v>
      </c>
      <c r="S1996">
        <v>15.453104608611699</v>
      </c>
      <c r="T1996">
        <v>0.60422818279392099</v>
      </c>
      <c r="U1996">
        <v>-6.8626948800253702</v>
      </c>
      <c r="V1996">
        <v>0.553276013856974</v>
      </c>
      <c r="W1996">
        <v>0.78140631470945998</v>
      </c>
      <c r="X1996">
        <v>0</v>
      </c>
      <c r="Y1996">
        <v>0</v>
      </c>
    </row>
    <row r="1997" spans="1:25" x14ac:dyDescent="0.2">
      <c r="A1997" t="s">
        <v>7505</v>
      </c>
      <c r="B1997" t="s">
        <v>7506</v>
      </c>
      <c r="C1997" t="s">
        <v>7507</v>
      </c>
      <c r="D1997" t="s">
        <v>7508</v>
      </c>
      <c r="E1997" t="s">
        <v>7506</v>
      </c>
      <c r="F1997" t="s">
        <v>28</v>
      </c>
      <c r="G1997" t="s">
        <v>7506</v>
      </c>
      <c r="H1997" t="str">
        <f>"C08B6.3"</f>
        <v>C08B6.3</v>
      </c>
      <c r="I1997" t="s">
        <v>7508</v>
      </c>
      <c r="J1997" t="s">
        <v>29</v>
      </c>
      <c r="K1997" t="s">
        <v>29</v>
      </c>
      <c r="L1997" t="s">
        <v>29</v>
      </c>
      <c r="M1997" t="s">
        <v>29</v>
      </c>
      <c r="N1997" t="s">
        <v>29</v>
      </c>
      <c r="O1997" t="s">
        <v>29</v>
      </c>
      <c r="P1997" t="s">
        <v>29</v>
      </c>
      <c r="Q1997" t="s">
        <v>29</v>
      </c>
      <c r="R1997" t="s">
        <v>29</v>
      </c>
      <c r="S1997">
        <v>12.360122921740899</v>
      </c>
      <c r="T1997" t="s">
        <v>29</v>
      </c>
      <c r="U1997" t="s">
        <v>29</v>
      </c>
      <c r="V1997" t="s">
        <v>29</v>
      </c>
      <c r="W1997" t="s">
        <v>29</v>
      </c>
      <c r="X1997" t="s">
        <v>29</v>
      </c>
      <c r="Y1997" t="s">
        <v>29</v>
      </c>
    </row>
    <row r="1998" spans="1:25" x14ac:dyDescent="0.2">
      <c r="A1998" t="s">
        <v>7509</v>
      </c>
      <c r="B1998" t="s">
        <v>7510</v>
      </c>
      <c r="C1998" t="s">
        <v>7511</v>
      </c>
      <c r="D1998" t="s">
        <v>7512</v>
      </c>
      <c r="E1998" t="s">
        <v>7510</v>
      </c>
      <c r="F1998" t="s">
        <v>28</v>
      </c>
      <c r="G1998" t="s">
        <v>7510</v>
      </c>
      <c r="H1998" t="str">
        <f>"C08B6.8"</f>
        <v>C08B6.8</v>
      </c>
      <c r="I1998" t="s">
        <v>7512</v>
      </c>
      <c r="J1998">
        <v>13.516804315803601</v>
      </c>
      <c r="K1998">
        <v>13.5313763828881</v>
      </c>
      <c r="L1998">
        <v>13.6608455938721</v>
      </c>
      <c r="M1998">
        <v>13.7281630490852</v>
      </c>
      <c r="N1998">
        <v>13.018020551207799</v>
      </c>
      <c r="O1998">
        <v>12.880334147091499</v>
      </c>
      <c r="P1998">
        <v>-0.36083618172644399</v>
      </c>
      <c r="Q1998">
        <v>-1.0300227193495599</v>
      </c>
      <c r="R1998">
        <v>0.30835035589667098</v>
      </c>
      <c r="S1998">
        <v>13.3485437359027</v>
      </c>
      <c r="T1998">
        <v>-1.1437007685473799</v>
      </c>
      <c r="U1998">
        <v>-6.3891432427269104</v>
      </c>
      <c r="V1998">
        <v>0.269680545737644</v>
      </c>
      <c r="W1998">
        <v>0.545734139197945</v>
      </c>
      <c r="X1998">
        <v>0</v>
      </c>
      <c r="Y1998">
        <v>0</v>
      </c>
    </row>
    <row r="1999" spans="1:25" x14ac:dyDescent="0.2">
      <c r="A1999" t="s">
        <v>7513</v>
      </c>
      <c r="B1999" t="s">
        <v>7514</v>
      </c>
      <c r="C1999" t="s">
        <v>7515</v>
      </c>
      <c r="D1999" t="s">
        <v>7516</v>
      </c>
      <c r="E1999" t="s">
        <v>7514</v>
      </c>
      <c r="F1999" t="s">
        <v>28</v>
      </c>
      <c r="G1999" t="s">
        <v>7514</v>
      </c>
      <c r="H1999" t="str">
        <f>"aos-1"</f>
        <v>aos-1</v>
      </c>
      <c r="I1999" t="s">
        <v>7516</v>
      </c>
      <c r="J1999">
        <v>13.343924299698299</v>
      </c>
      <c r="K1999">
        <v>13.224851868902199</v>
      </c>
      <c r="L1999">
        <v>13.151185592537599</v>
      </c>
      <c r="M1999">
        <v>13.120044719919999</v>
      </c>
      <c r="N1999">
        <v>13.2095754876387</v>
      </c>
      <c r="O1999">
        <v>12.968079190712601</v>
      </c>
      <c r="P1999">
        <v>-0.14075412095560799</v>
      </c>
      <c r="Q1999">
        <v>-0.51195094881571401</v>
      </c>
      <c r="R1999">
        <v>0.230442706904499</v>
      </c>
      <c r="S1999">
        <v>12.9928625334713</v>
      </c>
      <c r="T1999">
        <v>-0.79698358354933996</v>
      </c>
      <c r="U1999">
        <v>-6.7250240713276801</v>
      </c>
      <c r="V1999">
        <v>0.43590792808491902</v>
      </c>
      <c r="W1999">
        <v>0.70393597244008699</v>
      </c>
      <c r="X1999">
        <v>0</v>
      </c>
      <c r="Y1999">
        <v>0</v>
      </c>
    </row>
    <row r="2000" spans="1:25" x14ac:dyDescent="0.2">
      <c r="A2000" t="s">
        <v>7517</v>
      </c>
      <c r="B2000" t="s">
        <v>7518</v>
      </c>
      <c r="C2000" t="s">
        <v>7519</v>
      </c>
      <c r="D2000" t="s">
        <v>7520</v>
      </c>
      <c r="E2000" t="s">
        <v>7518</v>
      </c>
      <c r="F2000" t="s">
        <v>28</v>
      </c>
      <c r="G2000" t="s">
        <v>7518</v>
      </c>
      <c r="H2000" t="str">
        <f>"C08F8.2"</f>
        <v>C08F8.2</v>
      </c>
      <c r="I2000" t="s">
        <v>7520</v>
      </c>
      <c r="J2000">
        <v>11.2300397070674</v>
      </c>
      <c r="K2000">
        <v>10.6727694933401</v>
      </c>
      <c r="L2000">
        <v>11.0007740056787</v>
      </c>
      <c r="M2000" t="s">
        <v>29</v>
      </c>
      <c r="N2000" t="s">
        <v>29</v>
      </c>
      <c r="O2000">
        <v>11.1346530156745</v>
      </c>
      <c r="P2000">
        <v>0.16679194697906599</v>
      </c>
      <c r="Q2000">
        <v>-0.67542560518759398</v>
      </c>
      <c r="R2000">
        <v>1.0090094991457299</v>
      </c>
      <c r="S2000">
        <v>11.102210489514899</v>
      </c>
      <c r="T2000">
        <v>0.42505260583558402</v>
      </c>
      <c r="U2000">
        <v>-6.61437101915093</v>
      </c>
      <c r="V2000">
        <v>0.67730709589507998</v>
      </c>
      <c r="W2000">
        <v>0.85590574370586003</v>
      </c>
      <c r="X2000">
        <v>0</v>
      </c>
      <c r="Y2000">
        <v>0</v>
      </c>
    </row>
    <row r="2001" spans="1:25" x14ac:dyDescent="0.2">
      <c r="A2001" t="s">
        <v>7521</v>
      </c>
      <c r="B2001" t="s">
        <v>7522</v>
      </c>
      <c r="C2001" t="s">
        <v>7523</v>
      </c>
      <c r="D2001" t="s">
        <v>603</v>
      </c>
      <c r="E2001" t="s">
        <v>7522</v>
      </c>
      <c r="F2001" t="s">
        <v>28</v>
      </c>
      <c r="G2001" t="s">
        <v>7522</v>
      </c>
      <c r="H2001" t="str">
        <f>"vgln-1"</f>
        <v>vgln-1</v>
      </c>
      <c r="I2001" t="s">
        <v>603</v>
      </c>
      <c r="J2001">
        <v>18.076481267950399</v>
      </c>
      <c r="K2001">
        <v>17.8722657181419</v>
      </c>
      <c r="L2001">
        <v>18.182830261130299</v>
      </c>
      <c r="M2001">
        <v>18.6757879826596</v>
      </c>
      <c r="N2001">
        <v>18.625725550861201</v>
      </c>
      <c r="O2001">
        <v>18.480853779766701</v>
      </c>
      <c r="P2001">
        <v>0.55026335535494697</v>
      </c>
      <c r="Q2001">
        <v>7.5193882155305106E-2</v>
      </c>
      <c r="R2001">
        <v>1.02533282855459</v>
      </c>
      <c r="S2001">
        <v>18.304323427999201</v>
      </c>
      <c r="T2001">
        <v>2.43447870816764</v>
      </c>
      <c r="U2001">
        <v>-4.3723415165414599</v>
      </c>
      <c r="V2001">
        <v>2.56163645077871E-2</v>
      </c>
      <c r="W2001">
        <v>0.15580495347353099</v>
      </c>
      <c r="X2001">
        <v>0</v>
      </c>
      <c r="Y2001">
        <v>0</v>
      </c>
    </row>
    <row r="2002" spans="1:25" x14ac:dyDescent="0.2">
      <c r="A2002" t="s">
        <v>7524</v>
      </c>
      <c r="B2002" t="s">
        <v>7525</v>
      </c>
      <c r="C2002" t="s">
        <v>7526</v>
      </c>
      <c r="D2002" t="s">
        <v>7527</v>
      </c>
      <c r="E2002" t="s">
        <v>7525</v>
      </c>
      <c r="F2002" t="s">
        <v>28</v>
      </c>
      <c r="G2002" t="s">
        <v>7525</v>
      </c>
      <c r="H2002" t="str">
        <f>"C09B8.4"</f>
        <v>C09B8.4</v>
      </c>
      <c r="I2002" t="s">
        <v>7527</v>
      </c>
      <c r="J2002">
        <v>12.310237783550299</v>
      </c>
      <c r="K2002">
        <v>12.483556701025901</v>
      </c>
      <c r="L2002">
        <v>12.341196766595599</v>
      </c>
      <c r="M2002">
        <v>10.3696504950732</v>
      </c>
      <c r="N2002">
        <v>12.481507652500399</v>
      </c>
      <c r="O2002">
        <v>11.3392590225387</v>
      </c>
      <c r="P2002">
        <v>-0.98152469368648099</v>
      </c>
      <c r="Q2002">
        <v>-1.85171087985691</v>
      </c>
      <c r="R2002">
        <v>-0.11133850751605499</v>
      </c>
      <c r="S2002">
        <v>12.455248854880701</v>
      </c>
      <c r="T2002">
        <v>-2.3808885072450101</v>
      </c>
      <c r="U2002">
        <v>-4.4853994175810303</v>
      </c>
      <c r="V2002">
        <v>2.93134840153551E-2</v>
      </c>
      <c r="W2002">
        <v>0.16822941267366101</v>
      </c>
      <c r="X2002">
        <v>0</v>
      </c>
      <c r="Y2002">
        <v>0</v>
      </c>
    </row>
    <row r="2003" spans="1:25" x14ac:dyDescent="0.2">
      <c r="A2003" t="s">
        <v>7528</v>
      </c>
      <c r="B2003" t="s">
        <v>7529</v>
      </c>
      <c r="C2003" t="s">
        <v>7530</v>
      </c>
      <c r="D2003" t="s">
        <v>7531</v>
      </c>
      <c r="E2003" t="s">
        <v>7529</v>
      </c>
      <c r="F2003" t="s">
        <v>28</v>
      </c>
      <c r="G2003" t="s">
        <v>7529</v>
      </c>
      <c r="H2003" t="str">
        <f>"ipp-5"</f>
        <v>ipp-5</v>
      </c>
      <c r="I2003" t="s">
        <v>7531</v>
      </c>
      <c r="J2003">
        <v>12.7590916279252</v>
      </c>
      <c r="K2003">
        <v>12.4988062551587</v>
      </c>
      <c r="L2003">
        <v>12.8969457837024</v>
      </c>
      <c r="M2003" t="s">
        <v>29</v>
      </c>
      <c r="N2003">
        <v>12.634913471806399</v>
      </c>
      <c r="O2003">
        <v>12.684028438974901</v>
      </c>
      <c r="P2003">
        <v>-5.8810266871494897E-2</v>
      </c>
      <c r="Q2003">
        <v>-0.82963330572268301</v>
      </c>
      <c r="R2003">
        <v>0.71201277197969304</v>
      </c>
      <c r="S2003">
        <v>12.219232642524799</v>
      </c>
      <c r="T2003">
        <v>-0.162719675447386</v>
      </c>
      <c r="U2003">
        <v>-6.9274461017954296</v>
      </c>
      <c r="V2003">
        <v>0.87292617904385295</v>
      </c>
      <c r="W2003">
        <v>0.95222989829322702</v>
      </c>
      <c r="X2003">
        <v>0</v>
      </c>
      <c r="Y2003">
        <v>0</v>
      </c>
    </row>
    <row r="2004" spans="1:25" x14ac:dyDescent="0.2">
      <c r="A2004" t="s">
        <v>7532</v>
      </c>
      <c r="B2004" t="s">
        <v>7533</v>
      </c>
      <c r="C2004" t="s">
        <v>7534</v>
      </c>
      <c r="D2004" t="s">
        <v>204</v>
      </c>
      <c r="E2004" t="s">
        <v>7533</v>
      </c>
      <c r="F2004" t="s">
        <v>28</v>
      </c>
      <c r="G2004" t="s">
        <v>7533</v>
      </c>
      <c r="H2004" t="str">
        <f>"hsp-25"</f>
        <v>hsp-25</v>
      </c>
      <c r="I2004" t="s">
        <v>204</v>
      </c>
      <c r="J2004" t="s">
        <v>29</v>
      </c>
      <c r="K2004" t="s">
        <v>29</v>
      </c>
      <c r="L2004">
        <v>12.760210401977901</v>
      </c>
      <c r="M2004" t="s">
        <v>29</v>
      </c>
      <c r="N2004">
        <v>13.030525155264</v>
      </c>
      <c r="O2004" t="s">
        <v>29</v>
      </c>
      <c r="P2004">
        <v>0.27031475328613702</v>
      </c>
      <c r="Q2004">
        <v>-0.75629979763426303</v>
      </c>
      <c r="R2004">
        <v>1.29692930420654</v>
      </c>
      <c r="S2004">
        <v>12.5299986389069</v>
      </c>
      <c r="T2004">
        <v>0.59671456565686698</v>
      </c>
      <c r="U2004">
        <v>-6.3201807305494597</v>
      </c>
      <c r="V2004">
        <v>0.56557360426411596</v>
      </c>
      <c r="W2004">
        <v>0.78823873615756102</v>
      </c>
      <c r="X2004">
        <v>0</v>
      </c>
      <c r="Y2004">
        <v>0</v>
      </c>
    </row>
    <row r="2005" spans="1:25" x14ac:dyDescent="0.2">
      <c r="A2005" t="s">
        <v>7535</v>
      </c>
      <c r="B2005" t="s">
        <v>7536</v>
      </c>
      <c r="C2005" t="s">
        <v>7537</v>
      </c>
      <c r="D2005" t="s">
        <v>7538</v>
      </c>
      <c r="E2005" t="s">
        <v>7536</v>
      </c>
      <c r="F2005" t="s">
        <v>28</v>
      </c>
      <c r="G2005" t="s">
        <v>7536</v>
      </c>
      <c r="H2005" t="str">
        <f>"pak-1"</f>
        <v>pak-1</v>
      </c>
      <c r="I2005" t="s">
        <v>7538</v>
      </c>
      <c r="J2005">
        <v>12.4633006639323</v>
      </c>
      <c r="K2005">
        <v>11.8588009957128</v>
      </c>
      <c r="L2005">
        <v>12.3276865534744</v>
      </c>
      <c r="M2005">
        <v>12.1502088075834</v>
      </c>
      <c r="N2005">
        <v>12.568750971142901</v>
      </c>
      <c r="O2005">
        <v>11.734021665607999</v>
      </c>
      <c r="P2005">
        <v>-6.56022562617391E-2</v>
      </c>
      <c r="Q2005">
        <v>-0.65107839091084896</v>
      </c>
      <c r="R2005">
        <v>0.51987387838737098</v>
      </c>
      <c r="S2005">
        <v>11.9245678435804</v>
      </c>
      <c r="T2005">
        <v>-0.23766165069936501</v>
      </c>
      <c r="U2005">
        <v>-7.02234181072075</v>
      </c>
      <c r="V2005">
        <v>0.81517983777749004</v>
      </c>
      <c r="W2005">
        <v>0.92079610218973995</v>
      </c>
      <c r="X2005">
        <v>0</v>
      </c>
      <c r="Y2005">
        <v>0</v>
      </c>
    </row>
    <row r="2006" spans="1:25" x14ac:dyDescent="0.2">
      <c r="A2006" t="s">
        <v>7539</v>
      </c>
      <c r="B2006" t="s">
        <v>7540</v>
      </c>
      <c r="C2006" t="s">
        <v>7541</v>
      </c>
      <c r="D2006" t="s">
        <v>7542</v>
      </c>
      <c r="E2006" t="s">
        <v>7540</v>
      </c>
      <c r="F2006" t="s">
        <v>28</v>
      </c>
      <c r="G2006" t="s">
        <v>7540</v>
      </c>
      <c r="H2006" t="str">
        <f>"dgk-1"</f>
        <v>dgk-1</v>
      </c>
      <c r="I2006" t="s">
        <v>7542</v>
      </c>
      <c r="J2006">
        <v>11.9369578798088</v>
      </c>
      <c r="K2006">
        <v>11.4553125292712</v>
      </c>
      <c r="L2006">
        <v>11.5608197377435</v>
      </c>
      <c r="M2006">
        <v>11.9834422445605</v>
      </c>
      <c r="N2006" t="s">
        <v>29</v>
      </c>
      <c r="O2006" t="s">
        <v>29</v>
      </c>
      <c r="P2006">
        <v>0.33241219561936802</v>
      </c>
      <c r="Q2006">
        <v>-0.282165149223287</v>
      </c>
      <c r="R2006">
        <v>0.94698954046202199</v>
      </c>
      <c r="S2006">
        <v>11.488690805923</v>
      </c>
      <c r="T2006">
        <v>1.16946612514529</v>
      </c>
      <c r="U2006">
        <v>-6.0195659628305798</v>
      </c>
      <c r="V2006">
        <v>0.26337888477676002</v>
      </c>
      <c r="W2006">
        <v>0.53969451578310801</v>
      </c>
      <c r="X2006">
        <v>0</v>
      </c>
      <c r="Y2006">
        <v>0</v>
      </c>
    </row>
    <row r="2007" spans="1:25" x14ac:dyDescent="0.2">
      <c r="A2007" t="s">
        <v>7543</v>
      </c>
      <c r="B2007" t="s">
        <v>7544</v>
      </c>
      <c r="C2007" t="s">
        <v>7545</v>
      </c>
      <c r="D2007" t="s">
        <v>7546</v>
      </c>
      <c r="E2007" t="s">
        <v>7544</v>
      </c>
      <c r="F2007" t="s">
        <v>28</v>
      </c>
      <c r="G2007" t="s">
        <v>7544</v>
      </c>
      <c r="H2007" t="str">
        <f>"C09G9.1"</f>
        <v>C09G9.1</v>
      </c>
      <c r="I2007" t="s">
        <v>7546</v>
      </c>
      <c r="J2007">
        <v>13.0728897434568</v>
      </c>
      <c r="K2007">
        <v>13.449581631220299</v>
      </c>
      <c r="L2007">
        <v>13.2998407122502</v>
      </c>
      <c r="M2007">
        <v>13.1363553561226</v>
      </c>
      <c r="N2007">
        <v>13.559881534938899</v>
      </c>
      <c r="O2007">
        <v>13.024345558515</v>
      </c>
      <c r="P2007">
        <v>-3.3909879116938803E-2</v>
      </c>
      <c r="Q2007">
        <v>-0.54329259051947998</v>
      </c>
      <c r="R2007">
        <v>0.475472832285603</v>
      </c>
      <c r="S2007">
        <v>13.399262269157401</v>
      </c>
      <c r="T2007">
        <v>-0.141198983628293</v>
      </c>
      <c r="U2007">
        <v>-7.0415751661796699</v>
      </c>
      <c r="V2007">
        <v>0.889486758080693</v>
      </c>
      <c r="W2007">
        <v>0.96108441898279395</v>
      </c>
      <c r="X2007">
        <v>0</v>
      </c>
      <c r="Y2007">
        <v>0</v>
      </c>
    </row>
    <row r="2008" spans="1:25" x14ac:dyDescent="0.2">
      <c r="A2008" t="s">
        <v>7547</v>
      </c>
      <c r="B2008" t="s">
        <v>7548</v>
      </c>
      <c r="C2008" t="s">
        <v>7549</v>
      </c>
      <c r="D2008" t="s">
        <v>534</v>
      </c>
      <c r="E2008" t="s">
        <v>7548</v>
      </c>
      <c r="F2008" t="s">
        <v>28</v>
      </c>
      <c r="G2008" t="s">
        <v>7548</v>
      </c>
      <c r="H2008" t="str">
        <f>"npp-23"</f>
        <v>npp-23</v>
      </c>
      <c r="I2008" t="s">
        <v>534</v>
      </c>
      <c r="J2008">
        <v>14.4690225831232</v>
      </c>
      <c r="K2008">
        <v>14.356405910861801</v>
      </c>
      <c r="L2008">
        <v>14.157252083796701</v>
      </c>
      <c r="M2008">
        <v>14.0929226901878</v>
      </c>
      <c r="N2008">
        <v>13.978965524354701</v>
      </c>
      <c r="O2008">
        <v>13.792717798054699</v>
      </c>
      <c r="P2008">
        <v>-0.372691521728161</v>
      </c>
      <c r="Q2008">
        <v>-0.81432712723910095</v>
      </c>
      <c r="R2008">
        <v>6.8944083782779594E-2</v>
      </c>
      <c r="S2008">
        <v>14.0918248849318</v>
      </c>
      <c r="T2008">
        <v>-1.7812933499399</v>
      </c>
      <c r="U2008">
        <v>-5.5244718916093101</v>
      </c>
      <c r="V2008">
        <v>9.2849080498532299E-2</v>
      </c>
      <c r="W2008">
        <v>0.31400361816359901</v>
      </c>
      <c r="X2008">
        <v>0</v>
      </c>
      <c r="Y2008">
        <v>0</v>
      </c>
    </row>
    <row r="2009" spans="1:25" x14ac:dyDescent="0.2">
      <c r="A2009" t="s">
        <v>7550</v>
      </c>
      <c r="B2009" t="s">
        <v>7551</v>
      </c>
      <c r="C2009" t="s">
        <v>7552</v>
      </c>
      <c r="D2009" t="s">
        <v>7553</v>
      </c>
      <c r="E2009" t="s">
        <v>7551</v>
      </c>
      <c r="F2009" t="s">
        <v>28</v>
      </c>
      <c r="G2009" t="s">
        <v>7551</v>
      </c>
      <c r="H2009" t="str">
        <f>"nuo-1"</f>
        <v>nuo-1</v>
      </c>
      <c r="I2009" t="s">
        <v>7553</v>
      </c>
      <c r="J2009">
        <v>13.22948068991</v>
      </c>
      <c r="K2009">
        <v>13.4784614968487</v>
      </c>
      <c r="L2009">
        <v>13.0174017211761</v>
      </c>
      <c r="M2009">
        <v>12.8687668781757</v>
      </c>
      <c r="N2009">
        <v>13.081044953472899</v>
      </c>
      <c r="O2009">
        <v>13.1073687136359</v>
      </c>
      <c r="P2009">
        <v>-0.22272112088346499</v>
      </c>
      <c r="Q2009">
        <v>-0.61259416533623101</v>
      </c>
      <c r="R2009">
        <v>0.167151923569301</v>
      </c>
      <c r="S2009">
        <v>13.281675102818999</v>
      </c>
      <c r="T2009">
        <v>-1.20068948502263</v>
      </c>
      <c r="U2009">
        <v>-6.3256705653604</v>
      </c>
      <c r="V2009">
        <v>0.24552459117161499</v>
      </c>
      <c r="W2009">
        <v>0.51980287551882698</v>
      </c>
      <c r="X2009">
        <v>0</v>
      </c>
      <c r="Y2009">
        <v>0</v>
      </c>
    </row>
    <row r="2010" spans="1:25" x14ac:dyDescent="0.2">
      <c r="A2010" t="s">
        <v>7554</v>
      </c>
      <c r="B2010" t="s">
        <v>7555</v>
      </c>
      <c r="C2010" t="s">
        <v>7556</v>
      </c>
      <c r="D2010" t="s">
        <v>3617</v>
      </c>
      <c r="E2010" t="s">
        <v>7555</v>
      </c>
      <c r="F2010" t="s">
        <v>28</v>
      </c>
      <c r="G2010" t="s">
        <v>7555</v>
      </c>
      <c r="H2010" t="str">
        <f>"apc-17"</f>
        <v>apc-17</v>
      </c>
      <c r="I2010" t="s">
        <v>3617</v>
      </c>
      <c r="J2010">
        <v>10.734389588838599</v>
      </c>
      <c r="K2010" t="s">
        <v>29</v>
      </c>
      <c r="L2010">
        <v>12.076821595395099</v>
      </c>
      <c r="M2010">
        <v>11.8698856777035</v>
      </c>
      <c r="N2010">
        <v>13.373681963916701</v>
      </c>
      <c r="O2010">
        <v>11.9114686609748</v>
      </c>
      <c r="P2010">
        <v>0.97940650874815705</v>
      </c>
      <c r="Q2010">
        <v>-3.8340181437050501E-2</v>
      </c>
      <c r="R2010">
        <v>1.99715319893337</v>
      </c>
      <c r="S2010">
        <v>12.6217293010055</v>
      </c>
      <c r="T2010">
        <v>2.0654523485934702</v>
      </c>
      <c r="U2010">
        <v>-4.9682658018218904</v>
      </c>
      <c r="V2010">
        <v>5.8057866115715402E-2</v>
      </c>
      <c r="W2010">
        <v>0.244398830970942</v>
      </c>
      <c r="X2010">
        <v>0</v>
      </c>
      <c r="Y2010">
        <v>0</v>
      </c>
    </row>
    <row r="2011" spans="1:25" x14ac:dyDescent="0.2">
      <c r="A2011" t="s">
        <v>7557</v>
      </c>
      <c r="B2011" t="s">
        <v>7558</v>
      </c>
      <c r="C2011" t="s">
        <v>7559</v>
      </c>
      <c r="D2011" t="s">
        <v>7560</v>
      </c>
      <c r="E2011" t="s">
        <v>7558</v>
      </c>
      <c r="F2011" t="s">
        <v>28</v>
      </c>
      <c r="G2011" t="s">
        <v>7561</v>
      </c>
      <c r="H2011" t="str">
        <f>"C10C5.3"</f>
        <v>C10C5.3</v>
      </c>
      <c r="I2011" t="s">
        <v>7560</v>
      </c>
      <c r="J2011" t="s">
        <v>29</v>
      </c>
      <c r="K2011" t="s">
        <v>29</v>
      </c>
      <c r="L2011" t="s">
        <v>29</v>
      </c>
      <c r="M2011" t="s">
        <v>29</v>
      </c>
      <c r="N2011">
        <v>11.980491872975399</v>
      </c>
      <c r="O2011" t="s">
        <v>29</v>
      </c>
      <c r="P2011" t="s">
        <v>29</v>
      </c>
      <c r="Q2011" t="s">
        <v>29</v>
      </c>
      <c r="R2011" t="s">
        <v>29</v>
      </c>
      <c r="S2011">
        <v>12.117121190353201</v>
      </c>
      <c r="T2011" t="s">
        <v>29</v>
      </c>
      <c r="U2011" t="s">
        <v>29</v>
      </c>
      <c r="V2011" t="s">
        <v>29</v>
      </c>
      <c r="W2011" t="s">
        <v>29</v>
      </c>
      <c r="X2011" t="s">
        <v>29</v>
      </c>
      <c r="Y2011" t="s">
        <v>29</v>
      </c>
    </row>
    <row r="2012" spans="1:25" x14ac:dyDescent="0.2">
      <c r="A2012" t="s">
        <v>7562</v>
      </c>
      <c r="B2012" t="s">
        <v>7563</v>
      </c>
      <c r="C2012" t="s">
        <v>7564</v>
      </c>
      <c r="D2012" t="s">
        <v>603</v>
      </c>
      <c r="E2012" t="s">
        <v>7563</v>
      </c>
      <c r="F2012" t="s">
        <v>28</v>
      </c>
      <c r="G2012" t="s">
        <v>7563</v>
      </c>
      <c r="H2012" t="str">
        <f>"fubl-1"</f>
        <v>fubl-1</v>
      </c>
      <c r="I2012" t="s">
        <v>603</v>
      </c>
      <c r="J2012">
        <v>13.5788138089956</v>
      </c>
      <c r="K2012">
        <v>13.457425514935499</v>
      </c>
      <c r="L2012">
        <v>13.5151261604274</v>
      </c>
      <c r="M2012">
        <v>13.073663984954001</v>
      </c>
      <c r="N2012">
        <v>12.8510676489862</v>
      </c>
      <c r="O2012">
        <v>13.3947566392214</v>
      </c>
      <c r="P2012">
        <v>-0.41062573706566702</v>
      </c>
      <c r="Q2012">
        <v>-0.82200615159822998</v>
      </c>
      <c r="R2012">
        <v>7.5467746689639203E-4</v>
      </c>
      <c r="S2012">
        <v>13.572941181645501</v>
      </c>
      <c r="T2012">
        <v>-2.1069419400748699</v>
      </c>
      <c r="U2012">
        <v>-4.98193671472022</v>
      </c>
      <c r="V2012">
        <v>5.0376230713224897E-2</v>
      </c>
      <c r="W2012">
        <v>0.223330047330836</v>
      </c>
      <c r="X2012">
        <v>0</v>
      </c>
      <c r="Y2012">
        <v>0</v>
      </c>
    </row>
    <row r="2013" spans="1:25" x14ac:dyDescent="0.2">
      <c r="A2013" t="s">
        <v>7565</v>
      </c>
      <c r="B2013" t="s">
        <v>7566</v>
      </c>
      <c r="C2013" t="s">
        <v>7567</v>
      </c>
      <c r="D2013" t="s">
        <v>7568</v>
      </c>
      <c r="E2013" t="s">
        <v>7566</v>
      </c>
      <c r="F2013" t="s">
        <v>28</v>
      </c>
      <c r="G2013" t="s">
        <v>7566</v>
      </c>
      <c r="H2013" t="str">
        <f>"daf-36"</f>
        <v>daf-36</v>
      </c>
      <c r="I2013" t="s">
        <v>7568</v>
      </c>
      <c r="J2013">
        <v>13.495257537762599</v>
      </c>
      <c r="K2013">
        <v>13.258016781939901</v>
      </c>
      <c r="L2013">
        <v>13.270934204600399</v>
      </c>
      <c r="M2013">
        <v>13.1294835697585</v>
      </c>
      <c r="N2013" t="s">
        <v>29</v>
      </c>
      <c r="O2013">
        <v>12.1999494636932</v>
      </c>
      <c r="P2013">
        <v>-0.67668632470845802</v>
      </c>
      <c r="Q2013">
        <v>-1.25007654424183</v>
      </c>
      <c r="R2013">
        <v>-0.103296105175082</v>
      </c>
      <c r="S2013">
        <v>13.1531670123655</v>
      </c>
      <c r="T2013">
        <v>-2.5169739739176502</v>
      </c>
      <c r="U2013">
        <v>-4.15577101592456</v>
      </c>
      <c r="V2013">
        <v>2.3790656279877399E-2</v>
      </c>
      <c r="W2013">
        <v>0.150028673516901</v>
      </c>
      <c r="X2013">
        <v>0</v>
      </c>
      <c r="Y2013">
        <v>0</v>
      </c>
    </row>
    <row r="2014" spans="1:25" x14ac:dyDescent="0.2">
      <c r="A2014" t="s">
        <v>7569</v>
      </c>
      <c r="B2014" t="s">
        <v>7570</v>
      </c>
      <c r="C2014" t="s">
        <v>7571</v>
      </c>
      <c r="D2014" t="s">
        <v>7572</v>
      </c>
      <c r="E2014" t="s">
        <v>7570</v>
      </c>
      <c r="F2014" t="s">
        <v>28</v>
      </c>
      <c r="G2014" t="s">
        <v>7570</v>
      </c>
      <c r="H2014" t="str">
        <f>"akt-1"</f>
        <v>akt-1</v>
      </c>
      <c r="I2014" t="s">
        <v>7572</v>
      </c>
      <c r="J2014">
        <v>15.2111837544313</v>
      </c>
      <c r="K2014">
        <v>15.264219421424</v>
      </c>
      <c r="L2014">
        <v>14.7785197179162</v>
      </c>
      <c r="M2014">
        <v>15.3987432503455</v>
      </c>
      <c r="N2014">
        <v>15.4187139337775</v>
      </c>
      <c r="O2014">
        <v>15.318284367461301</v>
      </c>
      <c r="P2014">
        <v>0.29393955260423099</v>
      </c>
      <c r="Q2014">
        <v>-0.106852710960747</v>
      </c>
      <c r="R2014">
        <v>0.69473181616920798</v>
      </c>
      <c r="S2014">
        <v>14.911452748114</v>
      </c>
      <c r="T2014">
        <v>1.5414562825368501</v>
      </c>
      <c r="U2014">
        <v>-5.8834338046314798</v>
      </c>
      <c r="V2014">
        <v>0.140703345496099</v>
      </c>
      <c r="W2014">
        <v>0.38677888604987698</v>
      </c>
      <c r="X2014">
        <v>0</v>
      </c>
      <c r="Y2014">
        <v>0</v>
      </c>
    </row>
    <row r="2015" spans="1:25" x14ac:dyDescent="0.2">
      <c r="A2015" t="s">
        <v>7573</v>
      </c>
      <c r="B2015" t="s">
        <v>7574</v>
      </c>
      <c r="C2015" t="s">
        <v>7575</v>
      </c>
      <c r="D2015" t="s">
        <v>7576</v>
      </c>
      <c r="E2015" t="s">
        <v>7574</v>
      </c>
      <c r="F2015" t="s">
        <v>28</v>
      </c>
      <c r="G2015" t="s">
        <v>7574</v>
      </c>
      <c r="H2015" t="str">
        <f>"wdr-5.1"</f>
        <v>wdr-5.1</v>
      </c>
      <c r="I2015" t="s">
        <v>7576</v>
      </c>
      <c r="J2015">
        <v>12.683505096581801</v>
      </c>
      <c r="K2015">
        <v>12.452053513888</v>
      </c>
      <c r="L2015">
        <v>12.3984591737442</v>
      </c>
      <c r="M2015">
        <v>12.2252019698109</v>
      </c>
      <c r="N2015">
        <v>11.921725021826701</v>
      </c>
      <c r="O2015">
        <v>12.587971856168901</v>
      </c>
      <c r="P2015">
        <v>-0.26637297880245803</v>
      </c>
      <c r="Q2015">
        <v>-0.78669105202730405</v>
      </c>
      <c r="R2015">
        <v>0.253945094422387</v>
      </c>
      <c r="S2015">
        <v>12.595216242870601</v>
      </c>
      <c r="T2015">
        <v>-1.08061569044743</v>
      </c>
      <c r="U2015">
        <v>-6.4586385511656497</v>
      </c>
      <c r="V2015">
        <v>0.29505278825147302</v>
      </c>
      <c r="W2015">
        <v>0.57330315664814702</v>
      </c>
      <c r="X2015">
        <v>0</v>
      </c>
      <c r="Y2015">
        <v>0</v>
      </c>
    </row>
    <row r="2016" spans="1:25" x14ac:dyDescent="0.2">
      <c r="A2016" t="s">
        <v>7577</v>
      </c>
      <c r="B2016" t="s">
        <v>7578</v>
      </c>
      <c r="C2016" t="s">
        <v>7579</v>
      </c>
      <c r="D2016" t="s">
        <v>7580</v>
      </c>
      <c r="E2016" t="s">
        <v>7578</v>
      </c>
      <c r="F2016" t="s">
        <v>28</v>
      </c>
      <c r="G2016" t="s">
        <v>7578</v>
      </c>
      <c r="H2016" t="str">
        <f>"pdi-1"</f>
        <v>pdi-1</v>
      </c>
      <c r="I2016" t="s">
        <v>7580</v>
      </c>
      <c r="J2016" t="s">
        <v>29</v>
      </c>
      <c r="K2016">
        <v>14.2549302293497</v>
      </c>
      <c r="L2016">
        <v>11.881528859479999</v>
      </c>
      <c r="M2016">
        <v>11.8911325541018</v>
      </c>
      <c r="N2016" t="s">
        <v>29</v>
      </c>
      <c r="O2016">
        <v>13.359119367861</v>
      </c>
      <c r="P2016">
        <v>-0.44310358343343198</v>
      </c>
      <c r="Q2016">
        <v>-1.7976733881745599</v>
      </c>
      <c r="R2016">
        <v>0.91146622130770005</v>
      </c>
      <c r="S2016">
        <v>11.998714701971799</v>
      </c>
      <c r="T2016">
        <v>-0.70209481326830503</v>
      </c>
      <c r="U2016">
        <v>-6.5944575930446003</v>
      </c>
      <c r="V2016">
        <v>0.49421378105643199</v>
      </c>
      <c r="W2016">
        <v>0.74707882127523595</v>
      </c>
      <c r="X2016">
        <v>0</v>
      </c>
      <c r="Y2016">
        <v>0</v>
      </c>
    </row>
    <row r="2017" spans="1:25" x14ac:dyDescent="0.2">
      <c r="A2017" t="s">
        <v>7581</v>
      </c>
      <c r="B2017" t="s">
        <v>7582</v>
      </c>
      <c r="C2017" t="s">
        <v>7583</v>
      </c>
      <c r="D2017" t="s">
        <v>7584</v>
      </c>
      <c r="E2017" t="s">
        <v>7582</v>
      </c>
      <c r="F2017" t="s">
        <v>28</v>
      </c>
      <c r="G2017" t="s">
        <v>7582</v>
      </c>
      <c r="H2017" t="str">
        <f>"nrde-1"</f>
        <v>nrde-1</v>
      </c>
      <c r="I2017" t="s">
        <v>7584</v>
      </c>
      <c r="J2017" t="s">
        <v>29</v>
      </c>
      <c r="K2017" t="s">
        <v>29</v>
      </c>
      <c r="L2017" t="s">
        <v>29</v>
      </c>
      <c r="M2017" t="s">
        <v>29</v>
      </c>
      <c r="N2017">
        <v>12.3833413060479</v>
      </c>
      <c r="O2017" t="s">
        <v>29</v>
      </c>
      <c r="P2017" t="s">
        <v>29</v>
      </c>
      <c r="Q2017" t="s">
        <v>29</v>
      </c>
      <c r="R2017" t="s">
        <v>29</v>
      </c>
      <c r="S2017">
        <v>12.339375513359</v>
      </c>
      <c r="T2017" t="s">
        <v>29</v>
      </c>
      <c r="U2017" t="s">
        <v>29</v>
      </c>
      <c r="V2017" t="s">
        <v>29</v>
      </c>
      <c r="W2017" t="s">
        <v>29</v>
      </c>
      <c r="X2017" t="s">
        <v>29</v>
      </c>
      <c r="Y2017" t="s">
        <v>29</v>
      </c>
    </row>
    <row r="2018" spans="1:25" x14ac:dyDescent="0.2">
      <c r="A2018" t="s">
        <v>7585</v>
      </c>
      <c r="B2018" t="s">
        <v>7586</v>
      </c>
      <c r="C2018" t="s">
        <v>7587</v>
      </c>
      <c r="D2018" t="s">
        <v>7588</v>
      </c>
      <c r="E2018" t="s">
        <v>7586</v>
      </c>
      <c r="F2018" t="s">
        <v>28</v>
      </c>
      <c r="G2018" t="s">
        <v>7586</v>
      </c>
      <c r="H2018" t="str">
        <f>"C14C10.5"</f>
        <v>C14C10.5</v>
      </c>
      <c r="I2018" t="s">
        <v>7588</v>
      </c>
      <c r="J2018">
        <v>14.831129991942101</v>
      </c>
      <c r="K2018">
        <v>14.6620844116794</v>
      </c>
      <c r="L2018">
        <v>14.522072895140701</v>
      </c>
      <c r="M2018">
        <v>14.3205329125714</v>
      </c>
      <c r="N2018">
        <v>14.781496375692701</v>
      </c>
      <c r="O2018">
        <v>14.3652072750074</v>
      </c>
      <c r="P2018">
        <v>-0.18268357849689901</v>
      </c>
      <c r="Q2018">
        <v>-0.56211117534996702</v>
      </c>
      <c r="R2018">
        <v>0.196744018356169</v>
      </c>
      <c r="S2018">
        <v>14.5181667724466</v>
      </c>
      <c r="T2018">
        <v>-1.01195944494329</v>
      </c>
      <c r="U2018">
        <v>-6.5303154072556202</v>
      </c>
      <c r="V2018">
        <v>0.32504551750100302</v>
      </c>
      <c r="W2018">
        <v>0.60509045420381102</v>
      </c>
      <c r="X2018">
        <v>0</v>
      </c>
      <c r="Y2018">
        <v>0</v>
      </c>
    </row>
    <row r="2019" spans="1:25" x14ac:dyDescent="0.2">
      <c r="A2019" t="s">
        <v>7589</v>
      </c>
      <c r="B2019" t="s">
        <v>7590</v>
      </c>
      <c r="C2019" t="s">
        <v>7591</v>
      </c>
      <c r="D2019" t="s">
        <v>7592</v>
      </c>
      <c r="E2019" t="s">
        <v>7590</v>
      </c>
      <c r="F2019" t="s">
        <v>28</v>
      </c>
      <c r="G2019" t="s">
        <v>7590</v>
      </c>
      <c r="H2019" t="str">
        <f>"C14C10.2"</f>
        <v>C14C10.2</v>
      </c>
      <c r="I2019" t="s">
        <v>7592</v>
      </c>
      <c r="J2019">
        <v>11.8051384119735</v>
      </c>
      <c r="K2019">
        <v>11.9208710317151</v>
      </c>
      <c r="L2019">
        <v>11.306858972956899</v>
      </c>
      <c r="M2019">
        <v>11.1281983879074</v>
      </c>
      <c r="N2019">
        <v>11.9948044286208</v>
      </c>
      <c r="O2019">
        <v>11.953854135888299</v>
      </c>
      <c r="P2019">
        <v>1.4662845257047899E-2</v>
      </c>
      <c r="Q2019">
        <v>-0.57422305837051402</v>
      </c>
      <c r="R2019">
        <v>0.60354874888460996</v>
      </c>
      <c r="S2019">
        <v>12.2060698436387</v>
      </c>
      <c r="T2019">
        <v>5.2812487383155401E-2</v>
      </c>
      <c r="U2019">
        <v>-7.0506151418372802</v>
      </c>
      <c r="V2019">
        <v>0.95853936151123298</v>
      </c>
      <c r="W2019">
        <v>0.97837628243144903</v>
      </c>
      <c r="X2019">
        <v>0</v>
      </c>
      <c r="Y2019">
        <v>0</v>
      </c>
    </row>
    <row r="2020" spans="1:25" x14ac:dyDescent="0.2">
      <c r="A2020" t="s">
        <v>7593</v>
      </c>
      <c r="B2020" t="s">
        <v>7594</v>
      </c>
      <c r="C2020" t="s">
        <v>7595</v>
      </c>
      <c r="D2020" t="s">
        <v>7596</v>
      </c>
      <c r="E2020" t="s">
        <v>7594</v>
      </c>
      <c r="F2020" t="s">
        <v>28</v>
      </c>
      <c r="G2020" t="s">
        <v>7594</v>
      </c>
      <c r="H2020" t="str">
        <f>"mma-1"</f>
        <v>mma-1</v>
      </c>
      <c r="I2020" t="s">
        <v>7596</v>
      </c>
      <c r="J2020">
        <v>13.4027329400254</v>
      </c>
      <c r="K2020">
        <v>13.506464157270599</v>
      </c>
      <c r="L2020">
        <v>13.255266583252901</v>
      </c>
      <c r="M2020">
        <v>12.866438734471799</v>
      </c>
      <c r="N2020">
        <v>13.311361304099499</v>
      </c>
      <c r="O2020">
        <v>13.482899819464301</v>
      </c>
      <c r="P2020">
        <v>-0.16792127417111599</v>
      </c>
      <c r="Q2020">
        <v>-0.66776918019185705</v>
      </c>
      <c r="R2020">
        <v>0.33192663184962601</v>
      </c>
      <c r="S2020">
        <v>13.8850251019726</v>
      </c>
      <c r="T2020">
        <v>-0.70911693466889403</v>
      </c>
      <c r="U2020">
        <v>-6.7916230565815496</v>
      </c>
      <c r="V2020">
        <v>0.48792286432399601</v>
      </c>
      <c r="W2020">
        <v>0.74195019062289802</v>
      </c>
      <c r="X2020">
        <v>0</v>
      </c>
      <c r="Y2020">
        <v>0</v>
      </c>
    </row>
    <row r="2021" spans="1:25" x14ac:dyDescent="0.2">
      <c r="A2021" t="s">
        <v>7597</v>
      </c>
      <c r="B2021" t="s">
        <v>7598</v>
      </c>
      <c r="C2021" t="s">
        <v>7599</v>
      </c>
      <c r="D2021" t="s">
        <v>2791</v>
      </c>
      <c r="E2021" t="s">
        <v>7598</v>
      </c>
      <c r="F2021" t="s">
        <v>28</v>
      </c>
      <c r="G2021" t="s">
        <v>7598</v>
      </c>
      <c r="H2021" t="str">
        <f>"mut-14"</f>
        <v>mut-14</v>
      </c>
      <c r="I2021" t="s">
        <v>2791</v>
      </c>
      <c r="J2021">
        <v>12.038587780759499</v>
      </c>
      <c r="K2021" t="s">
        <v>29</v>
      </c>
      <c r="L2021">
        <v>12.530814946174299</v>
      </c>
      <c r="M2021">
        <v>12.2705599241577</v>
      </c>
      <c r="N2021">
        <v>11.519946850830101</v>
      </c>
      <c r="O2021" t="s">
        <v>29</v>
      </c>
      <c r="P2021">
        <v>-0.38944797597295999</v>
      </c>
      <c r="Q2021">
        <v>-1.10651087059413</v>
      </c>
      <c r="R2021">
        <v>0.32761491864820702</v>
      </c>
      <c r="S2021">
        <v>12.1940304356742</v>
      </c>
      <c r="T2021">
        <v>-1.1656927461080999</v>
      </c>
      <c r="U2021">
        <v>-6.1643074732371499</v>
      </c>
      <c r="V2021">
        <v>0.26335910936432599</v>
      </c>
      <c r="W2021">
        <v>0.53969451578310801</v>
      </c>
      <c r="X2021">
        <v>0</v>
      </c>
      <c r="Y2021">
        <v>0</v>
      </c>
    </row>
    <row r="2022" spans="1:25" x14ac:dyDescent="0.2">
      <c r="A2022" t="s">
        <v>7600</v>
      </c>
      <c r="B2022" t="s">
        <v>7601</v>
      </c>
      <c r="C2022" t="s">
        <v>7602</v>
      </c>
      <c r="D2022" t="s">
        <v>7603</v>
      </c>
      <c r="E2022" t="s">
        <v>7601</v>
      </c>
      <c r="F2022" t="s">
        <v>28</v>
      </c>
      <c r="G2022" t="s">
        <v>7601</v>
      </c>
      <c r="H2022" t="str">
        <f>"got-2.2"</f>
        <v>got-2.2</v>
      </c>
      <c r="I2022" t="s">
        <v>7603</v>
      </c>
      <c r="J2022">
        <v>13.461934210153</v>
      </c>
      <c r="K2022">
        <v>13.2478450434438</v>
      </c>
      <c r="L2022">
        <v>12.912370288251299</v>
      </c>
      <c r="M2022">
        <v>13.842798125138099</v>
      </c>
      <c r="N2022">
        <v>13.409568088655</v>
      </c>
      <c r="O2022">
        <v>15.834041921471901</v>
      </c>
      <c r="P2022">
        <v>1.1547528644723499</v>
      </c>
      <c r="Q2022">
        <v>0.16345742944544001</v>
      </c>
      <c r="R2022">
        <v>2.1460482994992498</v>
      </c>
      <c r="S2022">
        <v>13.3323752891173</v>
      </c>
      <c r="T2022">
        <v>2.4588721903638802</v>
      </c>
      <c r="U2022">
        <v>-4.3384363073398902</v>
      </c>
      <c r="V2022">
        <v>2.5032805988953102E-2</v>
      </c>
      <c r="W2022">
        <v>0.15456688935114499</v>
      </c>
      <c r="X2022">
        <v>1</v>
      </c>
      <c r="Y2022">
        <v>0</v>
      </c>
    </row>
    <row r="2023" spans="1:25" x14ac:dyDescent="0.2">
      <c r="A2023" t="s">
        <v>7604</v>
      </c>
      <c r="B2023" t="s">
        <v>7605</v>
      </c>
      <c r="C2023" t="s">
        <v>7606</v>
      </c>
      <c r="D2023" t="s">
        <v>7607</v>
      </c>
      <c r="E2023" t="s">
        <v>7605</v>
      </c>
      <c r="F2023" t="s">
        <v>28</v>
      </c>
      <c r="G2023" t="s">
        <v>7605</v>
      </c>
      <c r="H2023" t="str">
        <f>"flu-2"</f>
        <v>flu-2</v>
      </c>
      <c r="I2023" t="s">
        <v>7607</v>
      </c>
      <c r="J2023">
        <v>11.141284353545499</v>
      </c>
      <c r="K2023">
        <v>10.290348927629401</v>
      </c>
      <c r="L2023">
        <v>11.9000913725729</v>
      </c>
      <c r="M2023">
        <v>12.458239592823899</v>
      </c>
      <c r="N2023">
        <v>12.6283466627654</v>
      </c>
      <c r="O2023">
        <v>12.585921904179701</v>
      </c>
      <c r="P2023">
        <v>1.44692783534043</v>
      </c>
      <c r="Q2023">
        <v>0.83699684881188696</v>
      </c>
      <c r="R2023">
        <v>2.0568588218689698</v>
      </c>
      <c r="S2023">
        <v>11.9295005116025</v>
      </c>
      <c r="T2023">
        <v>5.0074449913609396</v>
      </c>
      <c r="U2023">
        <v>0.99249196491733904</v>
      </c>
      <c r="V2023">
        <v>1.09856667379088E-4</v>
      </c>
      <c r="W2023">
        <v>3.3606027482851802E-3</v>
      </c>
      <c r="X2023">
        <v>1</v>
      </c>
      <c r="Y2023">
        <v>1</v>
      </c>
    </row>
    <row r="2024" spans="1:25" x14ac:dyDescent="0.2">
      <c r="A2024" t="s">
        <v>7608</v>
      </c>
      <c r="B2024" t="s">
        <v>7609</v>
      </c>
      <c r="C2024" t="s">
        <v>7610</v>
      </c>
      <c r="D2024" t="s">
        <v>7611</v>
      </c>
      <c r="E2024" t="s">
        <v>7609</v>
      </c>
      <c r="F2024" t="s">
        <v>28</v>
      </c>
      <c r="G2024" t="s">
        <v>7609</v>
      </c>
      <c r="H2024" t="str">
        <f>"prx-3"</f>
        <v>prx-3</v>
      </c>
      <c r="I2024" t="s">
        <v>7611</v>
      </c>
      <c r="J2024">
        <v>11.9380314500737</v>
      </c>
      <c r="K2024">
        <v>11.201480658116999</v>
      </c>
      <c r="L2024">
        <v>12.1515726634888</v>
      </c>
      <c r="M2024" t="s">
        <v>29</v>
      </c>
      <c r="N2024">
        <v>12.2344120500088</v>
      </c>
      <c r="O2024" t="s">
        <v>29</v>
      </c>
      <c r="P2024">
        <v>0.47071712611565703</v>
      </c>
      <c r="Q2024">
        <v>-0.49770944242625997</v>
      </c>
      <c r="R2024">
        <v>1.43914369465757</v>
      </c>
      <c r="S2024">
        <v>11.903903948046599</v>
      </c>
      <c r="T2024">
        <v>1.0509463550510501</v>
      </c>
      <c r="U2024">
        <v>-6.1468885898099597</v>
      </c>
      <c r="V2024">
        <v>0.31258025028932301</v>
      </c>
      <c r="W2024">
        <v>0.59053765206259601</v>
      </c>
      <c r="X2024">
        <v>0</v>
      </c>
      <c r="Y2024">
        <v>0</v>
      </c>
    </row>
    <row r="2025" spans="1:25" x14ac:dyDescent="0.2">
      <c r="A2025" t="s">
        <v>7612</v>
      </c>
      <c r="B2025" t="s">
        <v>7613</v>
      </c>
      <c r="C2025" t="s">
        <v>7614</v>
      </c>
      <c r="D2025" t="s">
        <v>7615</v>
      </c>
      <c r="E2025" t="s">
        <v>7613</v>
      </c>
      <c r="F2025" t="s">
        <v>28</v>
      </c>
      <c r="G2025" t="s">
        <v>7613</v>
      </c>
      <c r="H2025" t="str">
        <f>"nnt-1"</f>
        <v>nnt-1</v>
      </c>
      <c r="I2025" t="s">
        <v>7615</v>
      </c>
      <c r="J2025">
        <v>13.901372238331801</v>
      </c>
      <c r="K2025">
        <v>13.9237639728685</v>
      </c>
      <c r="L2025">
        <v>12.6808095362027</v>
      </c>
      <c r="M2025">
        <v>14.327197537387001</v>
      </c>
      <c r="N2025">
        <v>14.0568647643672</v>
      </c>
      <c r="O2025">
        <v>13.944245989152099</v>
      </c>
      <c r="P2025">
        <v>0.60745418116776595</v>
      </c>
      <c r="Q2025">
        <v>-1.9392216236739701E-2</v>
      </c>
      <c r="R2025">
        <v>1.23430057857227</v>
      </c>
      <c r="S2025">
        <v>13.0363958252846</v>
      </c>
      <c r="T2025">
        <v>2.0367836712248999</v>
      </c>
      <c r="U2025">
        <v>-5.0983912000364304</v>
      </c>
      <c r="V2025">
        <v>5.6743761177692698E-2</v>
      </c>
      <c r="W2025">
        <v>0.239797660873003</v>
      </c>
      <c r="X2025">
        <v>0</v>
      </c>
      <c r="Y2025">
        <v>0</v>
      </c>
    </row>
    <row r="2026" spans="1:25" x14ac:dyDescent="0.2">
      <c r="A2026" t="s">
        <v>7616</v>
      </c>
      <c r="B2026" t="s">
        <v>7617</v>
      </c>
      <c r="C2026" t="s">
        <v>7618</v>
      </c>
      <c r="D2026" t="s">
        <v>7619</v>
      </c>
      <c r="E2026" t="s">
        <v>7617</v>
      </c>
      <c r="F2026" t="s">
        <v>28</v>
      </c>
      <c r="G2026" t="s">
        <v>7617</v>
      </c>
      <c r="H2026" t="str">
        <f>"thoc-2"</f>
        <v>thoc-2</v>
      </c>
      <c r="I2026" t="s">
        <v>7619</v>
      </c>
      <c r="J2026">
        <v>14.2212887096264</v>
      </c>
      <c r="K2026">
        <v>14.402259486186299</v>
      </c>
      <c r="L2026">
        <v>14.1173711047508</v>
      </c>
      <c r="M2026">
        <v>14.3278170490871</v>
      </c>
      <c r="N2026">
        <v>14.690850289214699</v>
      </c>
      <c r="O2026">
        <v>14.171717975563</v>
      </c>
      <c r="P2026">
        <v>0.14982200443378901</v>
      </c>
      <c r="Q2026">
        <v>-0.26684778845486801</v>
      </c>
      <c r="R2026">
        <v>0.56649179732244503</v>
      </c>
      <c r="S2026">
        <v>14.3514825832781</v>
      </c>
      <c r="T2026">
        <v>0.75898571054224695</v>
      </c>
      <c r="U2026">
        <v>-6.7543344410520696</v>
      </c>
      <c r="V2026">
        <v>0.45832009061113099</v>
      </c>
      <c r="W2026">
        <v>0.72467131916842498</v>
      </c>
      <c r="X2026">
        <v>0</v>
      </c>
      <c r="Y2026">
        <v>0</v>
      </c>
    </row>
    <row r="2027" spans="1:25" x14ac:dyDescent="0.2">
      <c r="A2027" t="s">
        <v>7620</v>
      </c>
      <c r="B2027" t="s">
        <v>7621</v>
      </c>
      <c r="C2027" t="s">
        <v>7622</v>
      </c>
      <c r="D2027" t="s">
        <v>7623</v>
      </c>
      <c r="E2027" t="s">
        <v>7621</v>
      </c>
      <c r="F2027" t="s">
        <v>28</v>
      </c>
      <c r="G2027" t="s">
        <v>7621</v>
      </c>
      <c r="H2027" t="str">
        <f>"nfx-1"</f>
        <v>nfx-1</v>
      </c>
      <c r="I2027" t="s">
        <v>7623</v>
      </c>
      <c r="J2027">
        <v>12.255651789623199</v>
      </c>
      <c r="K2027">
        <v>12.3026080523458</v>
      </c>
      <c r="L2027">
        <v>12.9990139062803</v>
      </c>
      <c r="M2027">
        <v>12.5485454840244</v>
      </c>
      <c r="N2027">
        <v>12.1892824757889</v>
      </c>
      <c r="O2027">
        <v>12.594552965878</v>
      </c>
      <c r="P2027">
        <v>-7.4964274186019295E-2</v>
      </c>
      <c r="Q2027">
        <v>-0.53862715953525697</v>
      </c>
      <c r="R2027">
        <v>0.38869861116321802</v>
      </c>
      <c r="S2027">
        <v>13.1529704220402</v>
      </c>
      <c r="T2027">
        <v>-0.34127307067031898</v>
      </c>
      <c r="U2027">
        <v>-6.9910705722312896</v>
      </c>
      <c r="V2027">
        <v>0.73710554163959896</v>
      </c>
      <c r="W2027">
        <v>0.88810989029481802</v>
      </c>
      <c r="X2027">
        <v>0</v>
      </c>
      <c r="Y2027">
        <v>0</v>
      </c>
    </row>
    <row r="2028" spans="1:25" x14ac:dyDescent="0.2">
      <c r="A2028" t="s">
        <v>7624</v>
      </c>
      <c r="B2028" t="s">
        <v>7625</v>
      </c>
      <c r="C2028" t="s">
        <v>7626</v>
      </c>
      <c r="D2028" t="s">
        <v>7627</v>
      </c>
      <c r="E2028" t="s">
        <v>7625</v>
      </c>
      <c r="F2028" t="s">
        <v>28</v>
      </c>
      <c r="G2028" t="s">
        <v>7625</v>
      </c>
      <c r="H2028" t="str">
        <f>"C16A3.6"</f>
        <v>C16A3.6</v>
      </c>
      <c r="I2028" t="s">
        <v>7627</v>
      </c>
      <c r="J2028" t="s">
        <v>29</v>
      </c>
      <c r="K2028" t="s">
        <v>29</v>
      </c>
      <c r="L2028" t="s">
        <v>29</v>
      </c>
      <c r="M2028" t="s">
        <v>29</v>
      </c>
      <c r="N2028">
        <v>12.7562143231628</v>
      </c>
      <c r="O2028" t="s">
        <v>29</v>
      </c>
      <c r="P2028" t="s">
        <v>29</v>
      </c>
      <c r="Q2028" t="s">
        <v>29</v>
      </c>
      <c r="R2028" t="s">
        <v>29</v>
      </c>
      <c r="S2028">
        <v>12.4182814241854</v>
      </c>
      <c r="T2028" t="s">
        <v>29</v>
      </c>
      <c r="U2028" t="s">
        <v>29</v>
      </c>
      <c r="V2028" t="s">
        <v>29</v>
      </c>
      <c r="W2028" t="s">
        <v>29</v>
      </c>
      <c r="X2028" t="s">
        <v>29</v>
      </c>
      <c r="Y2028" t="s">
        <v>29</v>
      </c>
    </row>
    <row r="2029" spans="1:25" x14ac:dyDescent="0.2">
      <c r="A2029" t="s">
        <v>7628</v>
      </c>
      <c r="B2029" t="s">
        <v>7629</v>
      </c>
      <c r="C2029" t="s">
        <v>7630</v>
      </c>
      <c r="D2029" t="s">
        <v>7631</v>
      </c>
      <c r="E2029" t="s">
        <v>7629</v>
      </c>
      <c r="F2029" t="s">
        <v>28</v>
      </c>
      <c r="G2029" t="s">
        <v>7629</v>
      </c>
      <c r="H2029" t="str">
        <f>"C16A3.5"</f>
        <v>C16A3.5</v>
      </c>
      <c r="I2029" t="s">
        <v>7631</v>
      </c>
      <c r="J2029">
        <v>14.5123248179136</v>
      </c>
      <c r="K2029">
        <v>14.430057218659201</v>
      </c>
      <c r="L2029">
        <v>14.4163291359915</v>
      </c>
      <c r="M2029">
        <v>14.1299462331695</v>
      </c>
      <c r="N2029">
        <v>14.1518687379843</v>
      </c>
      <c r="O2029">
        <v>14.4222022926945</v>
      </c>
      <c r="P2029">
        <v>-0.21823130290532999</v>
      </c>
      <c r="Q2029">
        <v>-0.57361455558928198</v>
      </c>
      <c r="R2029">
        <v>0.137151949778621</v>
      </c>
      <c r="S2029">
        <v>14.484350191123999</v>
      </c>
      <c r="T2029">
        <v>-1.2906622290808201</v>
      </c>
      <c r="U2029">
        <v>-6.2176519375942698</v>
      </c>
      <c r="V2029">
        <v>0.21324774658521001</v>
      </c>
      <c r="W2029">
        <v>0.47988116693518201</v>
      </c>
      <c r="X2029">
        <v>0</v>
      </c>
      <c r="Y2029">
        <v>0</v>
      </c>
    </row>
    <row r="2030" spans="1:25" x14ac:dyDescent="0.2">
      <c r="A2030" t="s">
        <v>7632</v>
      </c>
      <c r="B2030" t="s">
        <v>7633</v>
      </c>
      <c r="C2030" t="s">
        <v>7634</v>
      </c>
      <c r="D2030" t="s">
        <v>130</v>
      </c>
      <c r="E2030" t="s">
        <v>7633</v>
      </c>
      <c r="F2030" t="s">
        <v>28</v>
      </c>
      <c r="G2030" t="s">
        <v>7633</v>
      </c>
      <c r="H2030" t="str">
        <f>"znf-622"</f>
        <v>znf-622</v>
      </c>
      <c r="I2030" t="s">
        <v>130</v>
      </c>
      <c r="J2030" t="s">
        <v>29</v>
      </c>
      <c r="K2030" t="s">
        <v>29</v>
      </c>
      <c r="L2030">
        <v>11.1773887485997</v>
      </c>
      <c r="M2030">
        <v>12.298113056039</v>
      </c>
      <c r="N2030">
        <v>11.960020873446901</v>
      </c>
      <c r="O2030">
        <v>12.636084833700901</v>
      </c>
      <c r="P2030">
        <v>1.12068417246258</v>
      </c>
      <c r="Q2030">
        <v>0.138754453359165</v>
      </c>
      <c r="R2030">
        <v>2.102613891566</v>
      </c>
      <c r="S2030">
        <v>12.6451274302751</v>
      </c>
      <c r="T2030">
        <v>2.4207635062838699</v>
      </c>
      <c r="U2030">
        <v>-4.1032641224154203</v>
      </c>
      <c r="V2030">
        <v>2.7835067678994199E-2</v>
      </c>
      <c r="W2030">
        <v>0.16392249791683899</v>
      </c>
      <c r="X2030">
        <v>1</v>
      </c>
      <c r="Y2030">
        <v>0</v>
      </c>
    </row>
    <row r="2031" spans="1:25" x14ac:dyDescent="0.2">
      <c r="A2031" t="s">
        <v>7635</v>
      </c>
      <c r="B2031" t="s">
        <v>7636</v>
      </c>
      <c r="C2031" t="s">
        <v>7637</v>
      </c>
      <c r="D2031" t="s">
        <v>7638</v>
      </c>
      <c r="E2031" t="s">
        <v>7636</v>
      </c>
      <c r="F2031" t="s">
        <v>28</v>
      </c>
      <c r="G2031" t="s">
        <v>7636</v>
      </c>
      <c r="H2031" t="str">
        <f>"let-716"</f>
        <v>let-716</v>
      </c>
      <c r="I2031" t="s">
        <v>7638</v>
      </c>
      <c r="J2031">
        <v>16.258141806965401</v>
      </c>
      <c r="K2031">
        <v>16.268581917667401</v>
      </c>
      <c r="L2031">
        <v>16.641035740211901</v>
      </c>
      <c r="M2031">
        <v>16.253694480338901</v>
      </c>
      <c r="N2031">
        <v>16.795244944417401</v>
      </c>
      <c r="O2031">
        <v>16.681637086805701</v>
      </c>
      <c r="P2031">
        <v>0.18760568223909099</v>
      </c>
      <c r="Q2031">
        <v>-0.319760205326104</v>
      </c>
      <c r="R2031">
        <v>0.69497156980428698</v>
      </c>
      <c r="S2031">
        <v>17.1928543191116</v>
      </c>
      <c r="T2031">
        <v>0.77717216396716204</v>
      </c>
      <c r="U2031">
        <v>-6.7408167113647899</v>
      </c>
      <c r="V2031">
        <v>0.44720990780620401</v>
      </c>
      <c r="W2031">
        <v>0.71513276831266004</v>
      </c>
      <c r="X2031">
        <v>0</v>
      </c>
      <c r="Y2031">
        <v>0</v>
      </c>
    </row>
    <row r="2032" spans="1:25" x14ac:dyDescent="0.2">
      <c r="A2032" t="s">
        <v>7639</v>
      </c>
      <c r="B2032" t="s">
        <v>7640</v>
      </c>
      <c r="C2032" t="s">
        <v>7641</v>
      </c>
      <c r="D2032" t="s">
        <v>7642</v>
      </c>
      <c r="E2032" t="s">
        <v>7640</v>
      </c>
      <c r="F2032" t="s">
        <v>28</v>
      </c>
      <c r="G2032" t="s">
        <v>7640</v>
      </c>
      <c r="H2032" t="str">
        <f>"oatr-1"</f>
        <v>oatr-1</v>
      </c>
      <c r="I2032" t="s">
        <v>7642</v>
      </c>
      <c r="J2032">
        <v>14.9731801709961</v>
      </c>
      <c r="K2032">
        <v>14.618706476444199</v>
      </c>
      <c r="L2032">
        <v>14.8346363230294</v>
      </c>
      <c r="M2032">
        <v>14.343031566814799</v>
      </c>
      <c r="N2032">
        <v>14.867896442731601</v>
      </c>
      <c r="O2032">
        <v>15.2028741117848</v>
      </c>
      <c r="P2032">
        <v>-4.2402830461405498E-3</v>
      </c>
      <c r="Q2032">
        <v>-0.445902133172217</v>
      </c>
      <c r="R2032">
        <v>0.43742156707993601</v>
      </c>
      <c r="S2032">
        <v>14.8404702955697</v>
      </c>
      <c r="T2032">
        <v>-2.01788993081192E-2</v>
      </c>
      <c r="U2032">
        <v>-7.0518730523894098</v>
      </c>
      <c r="V2032">
        <v>0.98412395491144</v>
      </c>
      <c r="W2032">
        <v>0.99235802580781696</v>
      </c>
      <c r="X2032">
        <v>0</v>
      </c>
      <c r="Y2032">
        <v>0</v>
      </c>
    </row>
    <row r="2033" spans="1:25" x14ac:dyDescent="0.2">
      <c r="A2033" t="s">
        <v>7643</v>
      </c>
      <c r="B2033" t="s">
        <v>7644</v>
      </c>
      <c r="C2033" t="s">
        <v>7645</v>
      </c>
      <c r="D2033" t="s">
        <v>7646</v>
      </c>
      <c r="E2033" t="s">
        <v>7644</v>
      </c>
      <c r="F2033" t="s">
        <v>28</v>
      </c>
      <c r="G2033" t="s">
        <v>7644</v>
      </c>
      <c r="H2033" t="str">
        <f>"dim-1"</f>
        <v>dim-1</v>
      </c>
      <c r="I2033" t="s">
        <v>7646</v>
      </c>
      <c r="J2033">
        <v>15.321260817747399</v>
      </c>
      <c r="K2033">
        <v>15.510198364785399</v>
      </c>
      <c r="L2033">
        <v>15.429115302771899</v>
      </c>
      <c r="M2033">
        <v>15.6366851814229</v>
      </c>
      <c r="N2033">
        <v>15.1974273001686</v>
      </c>
      <c r="O2033">
        <v>15.892866951600499</v>
      </c>
      <c r="P2033">
        <v>0.155468315962461</v>
      </c>
      <c r="Q2033">
        <v>-0.38792109789530399</v>
      </c>
      <c r="R2033">
        <v>0.69885772982022498</v>
      </c>
      <c r="S2033">
        <v>15.190960309489901</v>
      </c>
      <c r="T2033">
        <v>0.60134434890711796</v>
      </c>
      <c r="U2033">
        <v>-6.8644803520261304</v>
      </c>
      <c r="V2033">
        <v>0.55515261000433103</v>
      </c>
      <c r="W2033">
        <v>0.78231602628238806</v>
      </c>
      <c r="X2033">
        <v>0</v>
      </c>
      <c r="Y2033">
        <v>0</v>
      </c>
    </row>
    <row r="2034" spans="1:25" x14ac:dyDescent="0.2">
      <c r="A2034" t="s">
        <v>7647</v>
      </c>
      <c r="B2034" t="s">
        <v>7648</v>
      </c>
      <c r="C2034" t="s">
        <v>7649</v>
      </c>
      <c r="D2034" t="s">
        <v>368</v>
      </c>
      <c r="E2034" t="s">
        <v>7648</v>
      </c>
      <c r="F2034" t="s">
        <v>28</v>
      </c>
      <c r="G2034" t="s">
        <v>7648</v>
      </c>
      <c r="H2034" t="str">
        <f>"C18B2.3"</f>
        <v>C18B2.3</v>
      </c>
      <c r="I2034" t="s">
        <v>368</v>
      </c>
      <c r="J2034">
        <v>16.659983017257801</v>
      </c>
      <c r="K2034">
        <v>17.081037158069499</v>
      </c>
      <c r="L2034">
        <v>17.191320216299601</v>
      </c>
      <c r="M2034">
        <v>16.774441765947198</v>
      </c>
      <c r="N2034">
        <v>16.504939512667502</v>
      </c>
      <c r="O2034">
        <v>16.885568237220099</v>
      </c>
      <c r="P2034">
        <v>-0.25579695859736501</v>
      </c>
      <c r="Q2034">
        <v>-0.61013416998733505</v>
      </c>
      <c r="R2034">
        <v>9.8540252792604602E-2</v>
      </c>
      <c r="S2034">
        <v>16.8786400060884</v>
      </c>
      <c r="T2034">
        <v>-1.51729884287476</v>
      </c>
      <c r="U2034">
        <v>-5.9176483365295098</v>
      </c>
      <c r="V2034">
        <v>0.14665883076274</v>
      </c>
      <c r="W2034">
        <v>0.396698117457986</v>
      </c>
      <c r="X2034">
        <v>0</v>
      </c>
      <c r="Y2034">
        <v>0</v>
      </c>
    </row>
    <row r="2035" spans="1:25" x14ac:dyDescent="0.2">
      <c r="A2035" t="s">
        <v>7650</v>
      </c>
      <c r="B2035" t="s">
        <v>7651</v>
      </c>
      <c r="C2035" t="s">
        <v>7652</v>
      </c>
      <c r="D2035" t="s">
        <v>7653</v>
      </c>
      <c r="E2035" t="s">
        <v>7651</v>
      </c>
      <c r="F2035" t="s">
        <v>28</v>
      </c>
      <c r="G2035" t="s">
        <v>7651</v>
      </c>
      <c r="H2035" t="str">
        <f>"C18B2.4"</f>
        <v>C18B2.4</v>
      </c>
      <c r="I2035" t="s">
        <v>7653</v>
      </c>
      <c r="J2035">
        <v>14.6534609936761</v>
      </c>
      <c r="K2035">
        <v>14.4226440456722</v>
      </c>
      <c r="L2035">
        <v>14.4092910591823</v>
      </c>
      <c r="M2035">
        <v>14.1445951972314</v>
      </c>
      <c r="N2035">
        <v>13.554973500051201</v>
      </c>
      <c r="O2035">
        <v>13.893213672283</v>
      </c>
      <c r="P2035">
        <v>-0.63087124298830599</v>
      </c>
      <c r="Q2035">
        <v>-1.2335689723876999</v>
      </c>
      <c r="R2035">
        <v>-2.8173513588914401E-2</v>
      </c>
      <c r="S2035">
        <v>13.867207206008899</v>
      </c>
      <c r="T2035">
        <v>-2.2000557659329001</v>
      </c>
      <c r="U2035">
        <v>-4.8091481769115001</v>
      </c>
      <c r="V2035">
        <v>4.11852262089029E-2</v>
      </c>
      <c r="W2035">
        <v>0.20092462681224901</v>
      </c>
      <c r="X2035">
        <v>0</v>
      </c>
      <c r="Y2035">
        <v>0</v>
      </c>
    </row>
    <row r="2036" spans="1:25" x14ac:dyDescent="0.2">
      <c r="A2036" t="s">
        <v>7654</v>
      </c>
      <c r="B2036" t="s">
        <v>7655</v>
      </c>
      <c r="C2036" t="s">
        <v>7656</v>
      </c>
      <c r="D2036" t="s">
        <v>7657</v>
      </c>
      <c r="E2036" t="s">
        <v>7655</v>
      </c>
      <c r="F2036" t="s">
        <v>28</v>
      </c>
      <c r="G2036" t="s">
        <v>7655</v>
      </c>
      <c r="H2036" t="str">
        <f>"tomm-40"</f>
        <v>tomm-40</v>
      </c>
      <c r="I2036" t="s">
        <v>7657</v>
      </c>
      <c r="J2036">
        <v>12.812868861822301</v>
      </c>
      <c r="K2036">
        <v>13.1541288065002</v>
      </c>
      <c r="L2036">
        <v>13.4458384358204</v>
      </c>
      <c r="M2036">
        <v>12.583240207847</v>
      </c>
      <c r="N2036">
        <v>12.721905030032399</v>
      </c>
      <c r="O2036">
        <v>12.7866465048726</v>
      </c>
      <c r="P2036">
        <v>-0.44034812046369098</v>
      </c>
      <c r="Q2036">
        <v>-0.87924984379305005</v>
      </c>
      <c r="R2036">
        <v>-1.44639713433126E-3</v>
      </c>
      <c r="S2036">
        <v>13.6560766918233</v>
      </c>
      <c r="T2036">
        <v>-2.1087319298141902</v>
      </c>
      <c r="U2036">
        <v>-4.9725717662752897</v>
      </c>
      <c r="V2036">
        <v>4.9326294643381702E-2</v>
      </c>
      <c r="W2036">
        <v>0.22139001761319199</v>
      </c>
      <c r="X2036">
        <v>0</v>
      </c>
      <c r="Y2036">
        <v>0</v>
      </c>
    </row>
    <row r="2037" spans="1:25" x14ac:dyDescent="0.2">
      <c r="A2037" t="s">
        <v>7658</v>
      </c>
      <c r="B2037" t="s">
        <v>7659</v>
      </c>
      <c r="C2037" t="s">
        <v>7660</v>
      </c>
      <c r="D2037" t="s">
        <v>7661</v>
      </c>
      <c r="E2037" t="s">
        <v>7659</v>
      </c>
      <c r="F2037" t="s">
        <v>28</v>
      </c>
      <c r="G2037" t="s">
        <v>7659</v>
      </c>
      <c r="H2037" t="str">
        <f>"C18E9.2"</f>
        <v>C18E9.2</v>
      </c>
      <c r="I2037" t="s">
        <v>7661</v>
      </c>
      <c r="J2037">
        <v>13.1349733623993</v>
      </c>
      <c r="K2037">
        <v>11.7692964315411</v>
      </c>
      <c r="L2037">
        <v>12.4461146982007</v>
      </c>
      <c r="M2037">
        <v>11.946226291860199</v>
      </c>
      <c r="N2037" t="s">
        <v>29</v>
      </c>
      <c r="O2037">
        <v>12.9505403847533</v>
      </c>
      <c r="P2037">
        <v>-1.7448257402623601E-3</v>
      </c>
      <c r="Q2037">
        <v>-0.90643608323601099</v>
      </c>
      <c r="R2037">
        <v>0.90294643175548595</v>
      </c>
      <c r="S2037">
        <v>12.453130635184699</v>
      </c>
      <c r="T2037">
        <v>-4.1133273362842001E-3</v>
      </c>
      <c r="U2037">
        <v>-6.94142282366351</v>
      </c>
      <c r="V2037">
        <v>0.99677263385589199</v>
      </c>
      <c r="W2037">
        <v>0.99789441091558195</v>
      </c>
      <c r="X2037">
        <v>0</v>
      </c>
      <c r="Y2037">
        <v>0</v>
      </c>
    </row>
    <row r="2038" spans="1:25" x14ac:dyDescent="0.2">
      <c r="A2038" t="s">
        <v>7662</v>
      </c>
      <c r="B2038" t="s">
        <v>7663</v>
      </c>
      <c r="C2038" t="s">
        <v>7664</v>
      </c>
      <c r="D2038" t="s">
        <v>7665</v>
      </c>
      <c r="E2038" t="s">
        <v>7663</v>
      </c>
      <c r="F2038" t="s">
        <v>28</v>
      </c>
      <c r="G2038" t="s">
        <v>7663</v>
      </c>
      <c r="H2038" t="str">
        <f>"rpn-2"</f>
        <v>rpn-2</v>
      </c>
      <c r="I2038" t="s">
        <v>7665</v>
      </c>
      <c r="J2038">
        <v>16.563474377455499</v>
      </c>
      <c r="K2038">
        <v>16.3503390504601</v>
      </c>
      <c r="L2038">
        <v>16.2565150529528</v>
      </c>
      <c r="M2038">
        <v>16.254276963517601</v>
      </c>
      <c r="N2038">
        <v>16.1334451361326</v>
      </c>
      <c r="O2038">
        <v>16.052267414347</v>
      </c>
      <c r="P2038">
        <v>-0.243446322290403</v>
      </c>
      <c r="Q2038">
        <v>-0.58880756281674496</v>
      </c>
      <c r="R2038">
        <v>0.10191491823594</v>
      </c>
      <c r="S2038">
        <v>15.874211056459901</v>
      </c>
      <c r="T2038">
        <v>-1.4815698640341399</v>
      </c>
      <c r="U2038">
        <v>-5.9674859127687103</v>
      </c>
      <c r="V2038">
        <v>0.15584921064031401</v>
      </c>
      <c r="W2038">
        <v>0.40726596050769998</v>
      </c>
      <c r="X2038">
        <v>0</v>
      </c>
      <c r="Y2038">
        <v>0</v>
      </c>
    </row>
    <row r="2039" spans="1:25" x14ac:dyDescent="0.2">
      <c r="A2039" t="s">
        <v>7666</v>
      </c>
      <c r="B2039" t="s">
        <v>7667</v>
      </c>
      <c r="C2039" t="s">
        <v>7668</v>
      </c>
      <c r="D2039" t="s">
        <v>2432</v>
      </c>
      <c r="E2039" t="s">
        <v>7667</v>
      </c>
      <c r="F2039" t="s">
        <v>28</v>
      </c>
      <c r="G2039" t="s">
        <v>7667</v>
      </c>
      <c r="H2039" t="str">
        <f>"C25A11.2"</f>
        <v>C25A11.2</v>
      </c>
      <c r="I2039" t="s">
        <v>2432</v>
      </c>
      <c r="J2039">
        <v>12.054704858616899</v>
      </c>
      <c r="K2039">
        <v>13.3650004782846</v>
      </c>
      <c r="L2039">
        <v>12.2722671924985</v>
      </c>
      <c r="M2039">
        <v>12.0712260078336</v>
      </c>
      <c r="N2039">
        <v>11.5192969393581</v>
      </c>
      <c r="O2039">
        <v>10.499896802893</v>
      </c>
      <c r="P2039">
        <v>-1.2005175931051</v>
      </c>
      <c r="Q2039">
        <v>-2.0005099441152199</v>
      </c>
      <c r="R2039">
        <v>-0.40052524209498302</v>
      </c>
      <c r="S2039">
        <v>12.0366057665131</v>
      </c>
      <c r="T2039">
        <v>-3.2005476700684898</v>
      </c>
      <c r="U2039">
        <v>-2.9325953704512502</v>
      </c>
      <c r="V2039">
        <v>6.0014516872168603E-3</v>
      </c>
      <c r="W2039">
        <v>6.2193387866890701E-2</v>
      </c>
      <c r="X2039">
        <v>-1</v>
      </c>
      <c r="Y2039">
        <v>0</v>
      </c>
    </row>
    <row r="2040" spans="1:25" x14ac:dyDescent="0.2">
      <c r="A2040" t="s">
        <v>7669</v>
      </c>
      <c r="B2040" t="s">
        <v>7670</v>
      </c>
      <c r="C2040" t="s">
        <v>7671</v>
      </c>
      <c r="D2040" t="s">
        <v>7672</v>
      </c>
      <c r="E2040" t="s">
        <v>7670</v>
      </c>
      <c r="F2040" t="s">
        <v>28</v>
      </c>
      <c r="G2040" t="s">
        <v>7670</v>
      </c>
      <c r="H2040" t="str">
        <f>"dpyd-1"</f>
        <v>dpyd-1</v>
      </c>
      <c r="I2040" t="s">
        <v>7672</v>
      </c>
      <c r="J2040" t="s">
        <v>29</v>
      </c>
      <c r="K2040" t="s">
        <v>29</v>
      </c>
      <c r="L2040">
        <v>10.6628819817112</v>
      </c>
      <c r="M2040">
        <v>13.129981241787901</v>
      </c>
      <c r="N2040">
        <v>13.1631653783157</v>
      </c>
      <c r="O2040">
        <v>13.045091692478801</v>
      </c>
      <c r="P2040">
        <v>2.4498641224829698</v>
      </c>
      <c r="Q2040">
        <v>1.3251625990651801</v>
      </c>
      <c r="R2040">
        <v>3.57456564590075</v>
      </c>
      <c r="S2040">
        <v>12.1805536826806</v>
      </c>
      <c r="T2040">
        <v>4.6201305133667097</v>
      </c>
      <c r="U2040">
        <v>0.31919592588307</v>
      </c>
      <c r="V2040">
        <v>2.8843857975769299E-4</v>
      </c>
      <c r="W2040">
        <v>7.3895894970338197E-3</v>
      </c>
      <c r="X2040">
        <v>1</v>
      </c>
      <c r="Y2040">
        <v>1</v>
      </c>
    </row>
    <row r="2041" spans="1:25" x14ac:dyDescent="0.2">
      <c r="A2041" t="s">
        <v>7673</v>
      </c>
      <c r="B2041" t="s">
        <v>7674</v>
      </c>
      <c r="C2041" t="s">
        <v>7675</v>
      </c>
      <c r="D2041" t="s">
        <v>7676</v>
      </c>
      <c r="E2041" t="s">
        <v>7674</v>
      </c>
      <c r="F2041" t="s">
        <v>28</v>
      </c>
      <c r="G2041" t="s">
        <v>7674</v>
      </c>
      <c r="H2041" t="str">
        <f>"C25G4.3"</f>
        <v>C25G4.3</v>
      </c>
      <c r="I2041" t="s">
        <v>7676</v>
      </c>
      <c r="J2041">
        <v>13.329055382335101</v>
      </c>
      <c r="K2041">
        <v>13.6680299215991</v>
      </c>
      <c r="L2041">
        <v>13.3302299532691</v>
      </c>
      <c r="M2041">
        <v>13.561051379737</v>
      </c>
      <c r="N2041">
        <v>13.684128417916501</v>
      </c>
      <c r="O2041">
        <v>13.509599863038</v>
      </c>
      <c r="P2041">
        <v>0.14248813449603601</v>
      </c>
      <c r="Q2041">
        <v>-0.43786463593363001</v>
      </c>
      <c r="R2041">
        <v>0.72284090492570197</v>
      </c>
      <c r="S2041">
        <v>13.710352398068199</v>
      </c>
      <c r="T2041">
        <v>0.51824682696727098</v>
      </c>
      <c r="U2041">
        <v>-6.9120112971106398</v>
      </c>
      <c r="V2041">
        <v>0.61100659854359896</v>
      </c>
      <c r="W2041">
        <v>0.81651559411124097</v>
      </c>
      <c r="X2041">
        <v>0</v>
      </c>
      <c r="Y2041">
        <v>0</v>
      </c>
    </row>
    <row r="2042" spans="1:25" x14ac:dyDescent="0.2">
      <c r="A2042" t="s">
        <v>7677</v>
      </c>
      <c r="B2042" t="s">
        <v>7678</v>
      </c>
      <c r="C2042" t="s">
        <v>7679</v>
      </c>
      <c r="D2042" t="s">
        <v>7680</v>
      </c>
      <c r="E2042" t="s">
        <v>7678</v>
      </c>
      <c r="F2042" t="s">
        <v>28</v>
      </c>
      <c r="G2042" t="s">
        <v>7678</v>
      </c>
      <c r="H2042" t="str">
        <f>"eif-2d"</f>
        <v>eif-2d</v>
      </c>
      <c r="I2042" t="s">
        <v>7680</v>
      </c>
      <c r="J2042">
        <v>13.076040540404099</v>
      </c>
      <c r="K2042">
        <v>13.0879996202871</v>
      </c>
      <c r="L2042">
        <v>13.1729633013822</v>
      </c>
      <c r="M2042">
        <v>12.6774742231828</v>
      </c>
      <c r="N2042">
        <v>13.421787683578399</v>
      </c>
      <c r="O2042">
        <v>12.4383189601591</v>
      </c>
      <c r="P2042">
        <v>-0.26647419838438502</v>
      </c>
      <c r="Q2042">
        <v>-0.79603899425430402</v>
      </c>
      <c r="R2042">
        <v>0.26309059748553398</v>
      </c>
      <c r="S2042">
        <v>12.9813496035292</v>
      </c>
      <c r="T2042">
        <v>-1.0731925858200499</v>
      </c>
      <c r="U2042">
        <v>-6.46466611817028</v>
      </c>
      <c r="V2042">
        <v>0.30026441974650298</v>
      </c>
      <c r="W2042">
        <v>0.57917037454363995</v>
      </c>
      <c r="X2042">
        <v>0</v>
      </c>
      <c r="Y2042">
        <v>0</v>
      </c>
    </row>
    <row r="2043" spans="1:25" x14ac:dyDescent="0.2">
      <c r="A2043" t="s">
        <v>7681</v>
      </c>
      <c r="B2043" t="s">
        <v>7682</v>
      </c>
      <c r="C2043" t="s">
        <v>7683</v>
      </c>
      <c r="D2043" t="s">
        <v>7684</v>
      </c>
      <c r="E2043" t="s">
        <v>7682</v>
      </c>
      <c r="F2043" t="s">
        <v>28</v>
      </c>
      <c r="G2043" t="s">
        <v>7682</v>
      </c>
      <c r="H2043" t="str">
        <f>"dnc-4"</f>
        <v>dnc-4</v>
      </c>
      <c r="I2043" t="s">
        <v>7684</v>
      </c>
      <c r="J2043" t="s">
        <v>29</v>
      </c>
      <c r="K2043">
        <v>12.0667754619835</v>
      </c>
      <c r="L2043" t="s">
        <v>29</v>
      </c>
      <c r="M2043">
        <v>13.7921844135802</v>
      </c>
      <c r="N2043">
        <v>14.273450325278301</v>
      </c>
      <c r="O2043">
        <v>14.080884377241199</v>
      </c>
      <c r="P2043">
        <v>1.9820642433830999</v>
      </c>
      <c r="Q2043">
        <v>0.92830420602797104</v>
      </c>
      <c r="R2043">
        <v>3.0358242807382201</v>
      </c>
      <c r="S2043">
        <v>13.0240655204788</v>
      </c>
      <c r="T2043">
        <v>4.0115998675446898</v>
      </c>
      <c r="U2043">
        <v>-1.0112651506383299</v>
      </c>
      <c r="V2043">
        <v>1.1469618195242301E-3</v>
      </c>
      <c r="W2043">
        <v>1.9928451938042199E-2</v>
      </c>
      <c r="X2043">
        <v>1</v>
      </c>
      <c r="Y2043">
        <v>1</v>
      </c>
    </row>
    <row r="2044" spans="1:25" x14ac:dyDescent="0.2">
      <c r="A2044" t="s">
        <v>7685</v>
      </c>
      <c r="B2044" t="s">
        <v>7686</v>
      </c>
      <c r="C2044" t="s">
        <v>7687</v>
      </c>
      <c r="D2044" t="s">
        <v>7688</v>
      </c>
      <c r="E2044" t="s">
        <v>7686</v>
      </c>
      <c r="F2044" t="s">
        <v>28</v>
      </c>
      <c r="G2044" t="s">
        <v>7686</v>
      </c>
      <c r="H2044" t="str">
        <f>"ran-3"</f>
        <v>ran-3</v>
      </c>
      <c r="I2044" t="s">
        <v>7688</v>
      </c>
      <c r="J2044">
        <v>12.6908332643996</v>
      </c>
      <c r="K2044">
        <v>12.272332400441799</v>
      </c>
      <c r="L2044">
        <v>12.6228648873706</v>
      </c>
      <c r="M2044">
        <v>12.5858762660206</v>
      </c>
      <c r="N2044">
        <v>12.0237767773946</v>
      </c>
      <c r="O2044">
        <v>12.609868276379499</v>
      </c>
      <c r="P2044">
        <v>-0.122169744139093</v>
      </c>
      <c r="Q2044">
        <v>-0.68013136542754604</v>
      </c>
      <c r="R2044">
        <v>0.43579187714936002</v>
      </c>
      <c r="S2044">
        <v>12.7238642396511</v>
      </c>
      <c r="T2044">
        <v>-0.46020554793831397</v>
      </c>
      <c r="U2044">
        <v>-6.94175187869729</v>
      </c>
      <c r="V2044">
        <v>0.65091137319507797</v>
      </c>
      <c r="W2044">
        <v>0.84150401604163005</v>
      </c>
      <c r="X2044">
        <v>0</v>
      </c>
      <c r="Y2044">
        <v>0</v>
      </c>
    </row>
    <row r="2045" spans="1:25" x14ac:dyDescent="0.2">
      <c r="A2045" t="s">
        <v>7689</v>
      </c>
      <c r="B2045" t="s">
        <v>7690</v>
      </c>
      <c r="C2045" t="s">
        <v>7691</v>
      </c>
      <c r="D2045" t="s">
        <v>7692</v>
      </c>
      <c r="E2045" t="s">
        <v>7690</v>
      </c>
      <c r="F2045" t="s">
        <v>28</v>
      </c>
      <c r="G2045" t="s">
        <v>7690</v>
      </c>
      <c r="H2045" t="str">
        <f>"hel-1"</f>
        <v>hel-1</v>
      </c>
      <c r="I2045" t="s">
        <v>7692</v>
      </c>
      <c r="J2045">
        <v>17.6720662464611</v>
      </c>
      <c r="K2045">
        <v>17.6754021684498</v>
      </c>
      <c r="L2045">
        <v>17.490758134222901</v>
      </c>
      <c r="M2045">
        <v>17.567972349488599</v>
      </c>
      <c r="N2045">
        <v>17.901265146056101</v>
      </c>
      <c r="O2045">
        <v>17.839914144264899</v>
      </c>
      <c r="P2045">
        <v>0.156975030225219</v>
      </c>
      <c r="Q2045">
        <v>-0.17268988040615299</v>
      </c>
      <c r="R2045">
        <v>0.48663994085659001</v>
      </c>
      <c r="S2045">
        <v>17.540570734473899</v>
      </c>
      <c r="T2045">
        <v>1.0008070707056</v>
      </c>
      <c r="U2045">
        <v>-6.5414443601613401</v>
      </c>
      <c r="V2045">
        <v>0.33026177393571898</v>
      </c>
      <c r="W2045">
        <v>0.60991589806289903</v>
      </c>
      <c r="X2045">
        <v>0</v>
      </c>
      <c r="Y2045">
        <v>0</v>
      </c>
    </row>
    <row r="2046" spans="1:25" x14ac:dyDescent="0.2">
      <c r="A2046" t="s">
        <v>7693</v>
      </c>
      <c r="B2046" t="s">
        <v>7694</v>
      </c>
      <c r="C2046" t="s">
        <v>7695</v>
      </c>
      <c r="D2046" t="s">
        <v>7696</v>
      </c>
      <c r="E2046" t="s">
        <v>7694</v>
      </c>
      <c r="F2046" t="s">
        <v>28</v>
      </c>
      <c r="G2046" t="s">
        <v>7694</v>
      </c>
      <c r="H2046" t="str">
        <f>"ula-1"</f>
        <v>ula-1</v>
      </c>
      <c r="I2046" t="s">
        <v>7696</v>
      </c>
      <c r="J2046">
        <v>13.0613275468175</v>
      </c>
      <c r="K2046">
        <v>13.194190906383</v>
      </c>
      <c r="L2046">
        <v>12.5261270026655</v>
      </c>
      <c r="M2046" t="s">
        <v>29</v>
      </c>
      <c r="N2046">
        <v>12.8066083229045</v>
      </c>
      <c r="O2046">
        <v>12.918048866092001</v>
      </c>
      <c r="P2046">
        <v>-6.4886557457075597E-2</v>
      </c>
      <c r="Q2046">
        <v>-0.59234044496586002</v>
      </c>
      <c r="R2046">
        <v>0.46256733005170902</v>
      </c>
      <c r="S2046">
        <v>12.820898862866899</v>
      </c>
      <c r="T2046">
        <v>-0.26092744735993101</v>
      </c>
      <c r="U2046">
        <v>-6.9056573558120897</v>
      </c>
      <c r="V2046">
        <v>0.79749887335899705</v>
      </c>
      <c r="W2046">
        <v>0.91517844850619501</v>
      </c>
      <c r="X2046">
        <v>0</v>
      </c>
      <c r="Y2046">
        <v>0</v>
      </c>
    </row>
    <row r="2047" spans="1:25" x14ac:dyDescent="0.2">
      <c r="A2047" t="s">
        <v>7697</v>
      </c>
      <c r="B2047" t="s">
        <v>7698</v>
      </c>
      <c r="C2047" t="s">
        <v>7699</v>
      </c>
      <c r="D2047" t="s">
        <v>7700</v>
      </c>
      <c r="E2047" t="s">
        <v>7698</v>
      </c>
      <c r="F2047" t="s">
        <v>28</v>
      </c>
      <c r="G2047" t="s">
        <v>7698</v>
      </c>
      <c r="H2047" t="str">
        <f>"mmab-1"</f>
        <v>mmab-1</v>
      </c>
      <c r="I2047" t="s">
        <v>7700</v>
      </c>
      <c r="J2047">
        <v>10.3887887804357</v>
      </c>
      <c r="K2047">
        <v>10.549701282196599</v>
      </c>
      <c r="L2047">
        <v>10.9437874275942</v>
      </c>
      <c r="M2047" t="s">
        <v>29</v>
      </c>
      <c r="N2047">
        <v>9.0882306187711706</v>
      </c>
      <c r="O2047" t="s">
        <v>29</v>
      </c>
      <c r="P2047">
        <v>-1.5391952113043299</v>
      </c>
      <c r="Q2047">
        <v>-2.3910593170549599</v>
      </c>
      <c r="R2047">
        <v>-0.68733110555370003</v>
      </c>
      <c r="S2047">
        <v>10.719861243147999</v>
      </c>
      <c r="T2047">
        <v>-3.9406548399963999</v>
      </c>
      <c r="U2047">
        <v>-1.4451894220541599</v>
      </c>
      <c r="V2047">
        <v>1.9929882486853698E-3</v>
      </c>
      <c r="W2047">
        <v>2.8319579743328299E-2</v>
      </c>
      <c r="X2047">
        <v>-1</v>
      </c>
      <c r="Y2047">
        <v>-1</v>
      </c>
    </row>
    <row r="2048" spans="1:25" x14ac:dyDescent="0.2">
      <c r="A2048" t="s">
        <v>7701</v>
      </c>
      <c r="B2048" t="s">
        <v>7702</v>
      </c>
      <c r="C2048" t="s">
        <v>7703</v>
      </c>
      <c r="D2048" t="s">
        <v>7704</v>
      </c>
      <c r="E2048" t="s">
        <v>7702</v>
      </c>
      <c r="F2048" t="s">
        <v>28</v>
      </c>
      <c r="G2048" t="s">
        <v>7702</v>
      </c>
      <c r="H2048" t="str">
        <f>"ntl-9"</f>
        <v>ntl-9</v>
      </c>
      <c r="I2048" t="s">
        <v>7704</v>
      </c>
      <c r="J2048">
        <v>12.4390664579365</v>
      </c>
      <c r="K2048" t="s">
        <v>29</v>
      </c>
      <c r="L2048">
        <v>12.6760808498255</v>
      </c>
      <c r="M2048">
        <v>11.955275030836599</v>
      </c>
      <c r="N2048">
        <v>12.5507166666704</v>
      </c>
      <c r="O2048">
        <v>12.2011173753877</v>
      </c>
      <c r="P2048">
        <v>-0.321870629582728</v>
      </c>
      <c r="Q2048">
        <v>-1.02979947148373</v>
      </c>
      <c r="R2048">
        <v>0.38605821231827597</v>
      </c>
      <c r="S2048">
        <v>12.2315290125772</v>
      </c>
      <c r="T2048">
        <v>-0.96969096459396298</v>
      </c>
      <c r="U2048">
        <v>-6.45951277110749</v>
      </c>
      <c r="V2048">
        <v>0.34768411909107499</v>
      </c>
      <c r="W2048">
        <v>0.62853562417908804</v>
      </c>
      <c r="X2048">
        <v>0</v>
      </c>
      <c r="Y2048">
        <v>0</v>
      </c>
    </row>
    <row r="2049" spans="1:25" x14ac:dyDescent="0.2">
      <c r="A2049" t="s">
        <v>7705</v>
      </c>
      <c r="B2049" t="s">
        <v>7706</v>
      </c>
      <c r="C2049" t="s">
        <v>7707</v>
      </c>
      <c r="D2049" t="s">
        <v>6177</v>
      </c>
      <c r="E2049" t="s">
        <v>7706</v>
      </c>
      <c r="F2049" t="s">
        <v>28</v>
      </c>
      <c r="G2049" t="s">
        <v>7706</v>
      </c>
      <c r="H2049" t="str">
        <f>"rps-30"</f>
        <v>rps-30</v>
      </c>
      <c r="I2049" t="s">
        <v>6177</v>
      </c>
      <c r="J2049">
        <v>24.044121097090301</v>
      </c>
      <c r="K2049">
        <v>20.5340981416423</v>
      </c>
      <c r="L2049">
        <v>19.092954921651899</v>
      </c>
      <c r="M2049">
        <v>17.5110237788059</v>
      </c>
      <c r="N2049">
        <v>19.2102567805366</v>
      </c>
      <c r="O2049">
        <v>22.789358669960599</v>
      </c>
      <c r="P2049">
        <v>-1.3868449770271301</v>
      </c>
      <c r="Q2049">
        <v>-6.5754458828753704</v>
      </c>
      <c r="R2049">
        <v>3.8017559288211</v>
      </c>
      <c r="S2049">
        <v>19.530598584859501</v>
      </c>
      <c r="T2049">
        <v>-0.564847765880089</v>
      </c>
      <c r="U2049">
        <v>-6.8858172846921297</v>
      </c>
      <c r="V2049">
        <v>0.57971174035751005</v>
      </c>
      <c r="W2049">
        <v>0.799653244223542</v>
      </c>
      <c r="X2049">
        <v>0</v>
      </c>
      <c r="Y2049">
        <v>0</v>
      </c>
    </row>
    <row r="2050" spans="1:25" x14ac:dyDescent="0.2">
      <c r="A2050" t="s">
        <v>7708</v>
      </c>
      <c r="B2050" t="s">
        <v>7709</v>
      </c>
      <c r="C2050" t="s">
        <v>7710</v>
      </c>
      <c r="D2050" t="s">
        <v>7711</v>
      </c>
      <c r="E2050" t="s">
        <v>7709</v>
      </c>
      <c r="F2050" t="s">
        <v>28</v>
      </c>
      <c r="G2050" t="s">
        <v>7709</v>
      </c>
      <c r="H2050" t="str">
        <f>"C26F1.3"</f>
        <v>C26F1.3</v>
      </c>
      <c r="I2050" t="s">
        <v>7711</v>
      </c>
      <c r="J2050" t="s">
        <v>29</v>
      </c>
      <c r="K2050" t="s">
        <v>29</v>
      </c>
      <c r="L2050">
        <v>11.1403473209508</v>
      </c>
      <c r="M2050" t="s">
        <v>29</v>
      </c>
      <c r="N2050" t="s">
        <v>29</v>
      </c>
      <c r="O2050">
        <v>11.165509383619399</v>
      </c>
      <c r="P2050">
        <v>2.5162062668613299E-2</v>
      </c>
      <c r="Q2050">
        <v>-0.99576838421397795</v>
      </c>
      <c r="R2050">
        <v>1.0460925095511999</v>
      </c>
      <c r="S2050">
        <v>12.072009491946099</v>
      </c>
      <c r="T2050">
        <v>5.4994210828458297E-2</v>
      </c>
      <c r="U2050">
        <v>-6.5084418415917602</v>
      </c>
      <c r="V2050">
        <v>0.95723760396433999</v>
      </c>
      <c r="W2050">
        <v>0.97837628243144903</v>
      </c>
      <c r="X2050">
        <v>0</v>
      </c>
      <c r="Y2050">
        <v>0</v>
      </c>
    </row>
    <row r="2051" spans="1:25" x14ac:dyDescent="0.2">
      <c r="A2051" t="s">
        <v>7712</v>
      </c>
      <c r="B2051" t="s">
        <v>7713</v>
      </c>
      <c r="C2051" t="s">
        <v>7714</v>
      </c>
      <c r="D2051" t="s">
        <v>7715</v>
      </c>
      <c r="E2051" t="s">
        <v>7713</v>
      </c>
      <c r="F2051" t="s">
        <v>28</v>
      </c>
      <c r="G2051" t="s">
        <v>7713</v>
      </c>
      <c r="H2051" t="str">
        <f>"smc-5"</f>
        <v>smc-5</v>
      </c>
      <c r="I2051" t="s">
        <v>7715</v>
      </c>
      <c r="J2051">
        <v>12.1869977131601</v>
      </c>
      <c r="K2051">
        <v>12.0059525045585</v>
      </c>
      <c r="L2051">
        <v>12.231222204826899</v>
      </c>
      <c r="M2051">
        <v>11.2260556823892</v>
      </c>
      <c r="N2051">
        <v>11.7915023357055</v>
      </c>
      <c r="O2051">
        <v>12.250478640212201</v>
      </c>
      <c r="P2051">
        <v>-0.38537858807950298</v>
      </c>
      <c r="Q2051">
        <v>-1.9725131484248899</v>
      </c>
      <c r="R2051">
        <v>1.2017559722658799</v>
      </c>
      <c r="S2051">
        <v>12.241152750535401</v>
      </c>
      <c r="T2051">
        <v>-0.51253537519745296</v>
      </c>
      <c r="U2051">
        <v>-6.9150580028733097</v>
      </c>
      <c r="V2051">
        <v>0.61491180867995399</v>
      </c>
      <c r="W2051">
        <v>0.81837342553970205</v>
      </c>
      <c r="X2051">
        <v>0</v>
      </c>
      <c r="Y2051">
        <v>0</v>
      </c>
    </row>
    <row r="2052" spans="1:25" x14ac:dyDescent="0.2">
      <c r="A2052" t="s">
        <v>7716</v>
      </c>
      <c r="B2052" t="s">
        <v>7717</v>
      </c>
      <c r="C2052" t="s">
        <v>7718</v>
      </c>
      <c r="D2052" t="s">
        <v>7719</v>
      </c>
      <c r="E2052" t="s">
        <v>7717</v>
      </c>
      <c r="F2052" t="s">
        <v>28</v>
      </c>
      <c r="G2052" t="s">
        <v>7717</v>
      </c>
      <c r="H2052" t="str">
        <f>"rad-26"</f>
        <v>rad-26</v>
      </c>
      <c r="I2052" t="s">
        <v>7719</v>
      </c>
      <c r="J2052">
        <v>11.683981549702199</v>
      </c>
      <c r="K2052">
        <v>12.797782109174801</v>
      </c>
      <c r="L2052">
        <v>12.558681268887</v>
      </c>
      <c r="M2052">
        <v>12.4022999291155</v>
      </c>
      <c r="N2052">
        <v>12.432563311531901</v>
      </c>
      <c r="O2052">
        <v>12.5341695635643</v>
      </c>
      <c r="P2052">
        <v>0.109529292149237</v>
      </c>
      <c r="Q2052">
        <v>-0.460715275185623</v>
      </c>
      <c r="R2052">
        <v>0.67977385948409597</v>
      </c>
      <c r="S2052">
        <v>12.8043726290508</v>
      </c>
      <c r="T2052">
        <v>0.40543303984705498</v>
      </c>
      <c r="U2052">
        <v>-6.9660938557839502</v>
      </c>
      <c r="V2052">
        <v>0.69024715306246498</v>
      </c>
      <c r="W2052">
        <v>0.86122094941152605</v>
      </c>
      <c r="X2052">
        <v>0</v>
      </c>
      <c r="Y2052">
        <v>0</v>
      </c>
    </row>
    <row r="2053" spans="1:25" x14ac:dyDescent="0.2">
      <c r="A2053" t="s">
        <v>7720</v>
      </c>
      <c r="B2053" t="s">
        <v>7721</v>
      </c>
      <c r="C2053" t="s">
        <v>7722</v>
      </c>
      <c r="D2053" t="s">
        <v>7723</v>
      </c>
      <c r="E2053" t="s">
        <v>7721</v>
      </c>
      <c r="F2053" t="s">
        <v>28</v>
      </c>
      <c r="G2053" t="s">
        <v>7721</v>
      </c>
      <c r="H2053" t="str">
        <f>"C27B7.5"</f>
        <v>C27B7.5</v>
      </c>
      <c r="I2053" t="s">
        <v>7723</v>
      </c>
      <c r="J2053">
        <v>13.8711010472379</v>
      </c>
      <c r="K2053">
        <v>13.9952555987895</v>
      </c>
      <c r="L2053">
        <v>14.6795069052166</v>
      </c>
      <c r="M2053">
        <v>13.4494592710298</v>
      </c>
      <c r="N2053">
        <v>13.702597539284501</v>
      </c>
      <c r="O2053">
        <v>13.581713044503299</v>
      </c>
      <c r="P2053">
        <v>-0.60403123214214505</v>
      </c>
      <c r="Q2053">
        <v>-1.1139195247051299</v>
      </c>
      <c r="R2053">
        <v>-9.41429395791583E-2</v>
      </c>
      <c r="S2053">
        <v>14.42989551366</v>
      </c>
      <c r="T2053">
        <v>-2.5005432333467801</v>
      </c>
      <c r="U2053">
        <v>-4.2589953524365098</v>
      </c>
      <c r="V2053">
        <v>2.29941456494278E-2</v>
      </c>
      <c r="W2053">
        <v>0.14816425731334301</v>
      </c>
      <c r="X2053">
        <v>0</v>
      </c>
      <c r="Y2053">
        <v>0</v>
      </c>
    </row>
    <row r="2054" spans="1:25" x14ac:dyDescent="0.2">
      <c r="A2054" t="s">
        <v>7724</v>
      </c>
      <c r="B2054" t="s">
        <v>7725</v>
      </c>
      <c r="C2054" t="s">
        <v>7726</v>
      </c>
      <c r="D2054" t="s">
        <v>7727</v>
      </c>
      <c r="E2054" t="s">
        <v>7725</v>
      </c>
      <c r="F2054" t="s">
        <v>28</v>
      </c>
      <c r="G2054" t="s">
        <v>7725</v>
      </c>
      <c r="H2054" t="str">
        <f>"rap-1"</f>
        <v>rap-1</v>
      </c>
      <c r="I2054" t="s">
        <v>7727</v>
      </c>
      <c r="J2054">
        <v>13.434441899243801</v>
      </c>
      <c r="K2054">
        <v>13.931391330982599</v>
      </c>
      <c r="L2054">
        <v>12.7612419097879</v>
      </c>
      <c r="M2054">
        <v>14.1765834456526</v>
      </c>
      <c r="N2054">
        <v>13.7038355309035</v>
      </c>
      <c r="O2054">
        <v>13.855871218857301</v>
      </c>
      <c r="P2054">
        <v>0.53640501846639699</v>
      </c>
      <c r="Q2054">
        <v>-0.173341463770813</v>
      </c>
      <c r="R2054">
        <v>1.2461515007036099</v>
      </c>
      <c r="S2054">
        <v>13.435202534891999</v>
      </c>
      <c r="T2054">
        <v>1.58848126431935</v>
      </c>
      <c r="U2054">
        <v>-5.8156548342422303</v>
      </c>
      <c r="V2054">
        <v>0.12968882469935</v>
      </c>
      <c r="W2054">
        <v>0.37345790758556202</v>
      </c>
      <c r="X2054">
        <v>0</v>
      </c>
      <c r="Y2054">
        <v>0</v>
      </c>
    </row>
    <row r="2055" spans="1:25" x14ac:dyDescent="0.2">
      <c r="A2055" t="s">
        <v>7728</v>
      </c>
      <c r="B2055" t="s">
        <v>7729</v>
      </c>
      <c r="C2055" t="s">
        <v>7730</v>
      </c>
      <c r="D2055" t="s">
        <v>7731</v>
      </c>
      <c r="E2055" t="s">
        <v>7729</v>
      </c>
      <c r="F2055" t="s">
        <v>28</v>
      </c>
      <c r="G2055" t="s">
        <v>7729</v>
      </c>
      <c r="H2055" t="str">
        <f>"C27F2.4"</f>
        <v>C27F2.4</v>
      </c>
      <c r="I2055" t="s">
        <v>7731</v>
      </c>
      <c r="J2055">
        <v>14.1357788420055</v>
      </c>
      <c r="K2055">
        <v>13.9857193516542</v>
      </c>
      <c r="L2055">
        <v>13.715969469332499</v>
      </c>
      <c r="M2055">
        <v>14.2272889407179</v>
      </c>
      <c r="N2055">
        <v>13.7474122471773</v>
      </c>
      <c r="O2055">
        <v>13.815076013140301</v>
      </c>
      <c r="P2055">
        <v>-1.58968206522303E-2</v>
      </c>
      <c r="Q2055">
        <v>-0.59931121559818101</v>
      </c>
      <c r="R2055">
        <v>0.56751757429371996</v>
      </c>
      <c r="S2055">
        <v>13.162861465641701</v>
      </c>
      <c r="T2055">
        <v>-5.8113193224238698E-2</v>
      </c>
      <c r="U2055">
        <v>-7.0502979431121302</v>
      </c>
      <c r="V2055">
        <v>0.95443092245892103</v>
      </c>
      <c r="W2055">
        <v>0.97752358457809096</v>
      </c>
      <c r="X2055">
        <v>0</v>
      </c>
      <c r="Y2055">
        <v>0</v>
      </c>
    </row>
    <row r="2056" spans="1:25" x14ac:dyDescent="0.2">
      <c r="A2056" t="s">
        <v>7732</v>
      </c>
      <c r="B2056" t="s">
        <v>7733</v>
      </c>
      <c r="C2056" t="s">
        <v>7734</v>
      </c>
      <c r="D2056" t="s">
        <v>7735</v>
      </c>
      <c r="E2056" t="s">
        <v>7733</v>
      </c>
      <c r="F2056" t="s">
        <v>28</v>
      </c>
      <c r="G2056" t="s">
        <v>7733</v>
      </c>
      <c r="H2056" t="str">
        <f>"vps-22"</f>
        <v>vps-22</v>
      </c>
      <c r="I2056" t="s">
        <v>7735</v>
      </c>
      <c r="J2056">
        <v>12.3348130138156</v>
      </c>
      <c r="K2056" t="s">
        <v>29</v>
      </c>
      <c r="L2056">
        <v>12.990291226197799</v>
      </c>
      <c r="M2056" t="s">
        <v>29</v>
      </c>
      <c r="N2056">
        <v>12.732056771563901</v>
      </c>
      <c r="O2056" t="s">
        <v>29</v>
      </c>
      <c r="P2056">
        <v>6.9504651557208405E-2</v>
      </c>
      <c r="Q2056">
        <v>-0.83047406264671098</v>
      </c>
      <c r="R2056">
        <v>0.96948336576112804</v>
      </c>
      <c r="S2056">
        <v>12.557951087882101</v>
      </c>
      <c r="T2056">
        <v>0.17018031606471501</v>
      </c>
      <c r="U2056">
        <v>-6.6356601593162203</v>
      </c>
      <c r="V2056">
        <v>0.86798727980070101</v>
      </c>
      <c r="W2056">
        <v>0.95002711351210301</v>
      </c>
      <c r="X2056">
        <v>0</v>
      </c>
      <c r="Y2056">
        <v>0</v>
      </c>
    </row>
    <row r="2057" spans="1:25" x14ac:dyDescent="0.2">
      <c r="A2057" t="s">
        <v>7736</v>
      </c>
      <c r="B2057" t="s">
        <v>7737</v>
      </c>
      <c r="C2057" t="s">
        <v>7738</v>
      </c>
      <c r="D2057" t="s">
        <v>7739</v>
      </c>
      <c r="E2057" t="s">
        <v>7737</v>
      </c>
      <c r="F2057" t="s">
        <v>28</v>
      </c>
      <c r="G2057" t="s">
        <v>7737</v>
      </c>
      <c r="H2057" t="str">
        <f>"tmem-131"</f>
        <v>tmem-131</v>
      </c>
      <c r="I2057" t="s">
        <v>7739</v>
      </c>
      <c r="J2057" t="s">
        <v>29</v>
      </c>
      <c r="K2057" t="s">
        <v>29</v>
      </c>
      <c r="L2057" t="s">
        <v>29</v>
      </c>
      <c r="M2057">
        <v>11.1868509040295</v>
      </c>
      <c r="N2057" t="s">
        <v>29</v>
      </c>
      <c r="O2057" t="s">
        <v>29</v>
      </c>
      <c r="P2057" t="s">
        <v>29</v>
      </c>
      <c r="Q2057" t="s">
        <v>29</v>
      </c>
      <c r="R2057" t="s">
        <v>29</v>
      </c>
      <c r="S2057">
        <v>11.2248332565383</v>
      </c>
      <c r="T2057" t="s">
        <v>29</v>
      </c>
      <c r="U2057" t="s">
        <v>29</v>
      </c>
      <c r="V2057" t="s">
        <v>29</v>
      </c>
      <c r="W2057" t="s">
        <v>29</v>
      </c>
      <c r="X2057" t="s">
        <v>29</v>
      </c>
      <c r="Y2057" t="s">
        <v>29</v>
      </c>
    </row>
    <row r="2058" spans="1:25" x14ac:dyDescent="0.2">
      <c r="A2058" t="s">
        <v>7740</v>
      </c>
      <c r="B2058" t="s">
        <v>7741</v>
      </c>
      <c r="C2058" t="s">
        <v>7742</v>
      </c>
      <c r="D2058" t="s">
        <v>7743</v>
      </c>
      <c r="E2058" t="s">
        <v>7741</v>
      </c>
      <c r="F2058" t="s">
        <v>28</v>
      </c>
      <c r="G2058" t="s">
        <v>7741</v>
      </c>
      <c r="H2058" t="str">
        <f>"fust-1"</f>
        <v>fust-1</v>
      </c>
      <c r="I2058" t="s">
        <v>7743</v>
      </c>
      <c r="J2058">
        <v>11.9404981170435</v>
      </c>
      <c r="K2058">
        <v>12.178763874637101</v>
      </c>
      <c r="L2058">
        <v>12.080043156363701</v>
      </c>
      <c r="M2058">
        <v>12.0611002516408</v>
      </c>
      <c r="N2058">
        <v>11.499778533788</v>
      </c>
      <c r="O2058">
        <v>12.5939772324537</v>
      </c>
      <c r="P2058">
        <v>-1.4816376720588701E-2</v>
      </c>
      <c r="Q2058">
        <v>-1.1346498540257299</v>
      </c>
      <c r="R2058">
        <v>1.1050171005845499</v>
      </c>
      <c r="S2058">
        <v>12.501967020485299</v>
      </c>
      <c r="T2058">
        <v>-2.7808725067450701E-2</v>
      </c>
      <c r="U2058">
        <v>-7.0516811795403003</v>
      </c>
      <c r="V2058">
        <v>0.97812248708524296</v>
      </c>
      <c r="W2058">
        <v>0.98875755606566695</v>
      </c>
      <c r="X2058">
        <v>0</v>
      </c>
      <c r="Y2058">
        <v>0</v>
      </c>
    </row>
    <row r="2059" spans="1:25" x14ac:dyDescent="0.2">
      <c r="A2059" t="s">
        <v>7744</v>
      </c>
      <c r="B2059" t="s">
        <v>7745</v>
      </c>
      <c r="C2059" t="s">
        <v>7746</v>
      </c>
      <c r="D2059" t="s">
        <v>7747</v>
      </c>
      <c r="E2059" t="s">
        <v>7745</v>
      </c>
      <c r="F2059" t="s">
        <v>28</v>
      </c>
      <c r="G2059" t="s">
        <v>7745</v>
      </c>
      <c r="H2059" t="str">
        <f>"sec-15"</f>
        <v>sec-15</v>
      </c>
      <c r="I2059" t="s">
        <v>7747</v>
      </c>
      <c r="J2059">
        <v>11.573159980081201</v>
      </c>
      <c r="K2059" t="s">
        <v>29</v>
      </c>
      <c r="L2059">
        <v>11.3414898539778</v>
      </c>
      <c r="M2059" t="s">
        <v>29</v>
      </c>
      <c r="N2059">
        <v>12.330294305995199</v>
      </c>
      <c r="O2059" t="s">
        <v>29</v>
      </c>
      <c r="P2059">
        <v>0.87296938896568399</v>
      </c>
      <c r="Q2059">
        <v>5.2082736962973601E-2</v>
      </c>
      <c r="R2059">
        <v>1.69385604096839</v>
      </c>
      <c r="S2059">
        <v>11.9128970190612</v>
      </c>
      <c r="T2059">
        <v>2.3433842931503701</v>
      </c>
      <c r="U2059">
        <v>-4.2725914996029397</v>
      </c>
      <c r="V2059">
        <v>3.91463551615778E-2</v>
      </c>
      <c r="W2059">
        <v>0.19590534612881</v>
      </c>
      <c r="X2059">
        <v>0</v>
      </c>
      <c r="Y2059">
        <v>0</v>
      </c>
    </row>
    <row r="2060" spans="1:25" x14ac:dyDescent="0.2">
      <c r="A2060" t="s">
        <v>7748</v>
      </c>
      <c r="B2060" t="s">
        <v>7749</v>
      </c>
      <c r="C2060" t="s">
        <v>7750</v>
      </c>
      <c r="D2060" t="s">
        <v>7751</v>
      </c>
      <c r="E2060" t="s">
        <v>7749</v>
      </c>
      <c r="F2060" t="s">
        <v>28</v>
      </c>
      <c r="G2060" t="s">
        <v>7749</v>
      </c>
      <c r="H2060" t="str">
        <f>"C29F5.1"</f>
        <v>C29F5.1</v>
      </c>
      <c r="I2060" t="s">
        <v>7751</v>
      </c>
      <c r="J2060">
        <v>15.365959849085501</v>
      </c>
      <c r="K2060">
        <v>15.467739750056801</v>
      </c>
      <c r="L2060">
        <v>15.155703400630699</v>
      </c>
      <c r="M2060">
        <v>15.109593204054701</v>
      </c>
      <c r="N2060">
        <v>14.5592199657801</v>
      </c>
      <c r="O2060">
        <v>14.6839225914033</v>
      </c>
      <c r="P2060">
        <v>-0.54555574617832303</v>
      </c>
      <c r="Q2060">
        <v>-1.0131880186218101</v>
      </c>
      <c r="R2060">
        <v>-7.7923473734831994E-2</v>
      </c>
      <c r="S2060">
        <v>14.6980970511061</v>
      </c>
      <c r="T2060">
        <v>-2.4520378647201699</v>
      </c>
      <c r="U2060">
        <v>-4.3387056097732604</v>
      </c>
      <c r="V2060">
        <v>2.4705898815597802E-2</v>
      </c>
      <c r="W2060">
        <v>0.15312951380181899</v>
      </c>
      <c r="X2060">
        <v>0</v>
      </c>
      <c r="Y2060">
        <v>0</v>
      </c>
    </row>
    <row r="2061" spans="1:25" x14ac:dyDescent="0.2">
      <c r="A2061" t="s">
        <v>7752</v>
      </c>
      <c r="B2061" t="s">
        <v>7753</v>
      </c>
      <c r="C2061" t="s">
        <v>7754</v>
      </c>
      <c r="D2061" t="s">
        <v>7755</v>
      </c>
      <c r="E2061" t="s">
        <v>7753</v>
      </c>
      <c r="F2061" t="s">
        <v>28</v>
      </c>
      <c r="G2061" t="s">
        <v>7753</v>
      </c>
      <c r="H2061" t="str">
        <f>"C29H12.2"</f>
        <v>C29H12.2</v>
      </c>
      <c r="I2061" t="s">
        <v>7755</v>
      </c>
      <c r="J2061">
        <v>16.465328120066101</v>
      </c>
      <c r="K2061">
        <v>15.130379410817699</v>
      </c>
      <c r="L2061">
        <v>14.714899514053799</v>
      </c>
      <c r="M2061">
        <v>14.1782445089022</v>
      </c>
      <c r="N2061">
        <v>14.4788997619101</v>
      </c>
      <c r="O2061">
        <v>15.6940859105508</v>
      </c>
      <c r="P2061">
        <v>-0.65312562119149598</v>
      </c>
      <c r="Q2061">
        <v>-1.66409634012912</v>
      </c>
      <c r="R2061">
        <v>0.35784509774612699</v>
      </c>
      <c r="S2061">
        <v>15.268585813761</v>
      </c>
      <c r="T2061">
        <v>-1.35784643638616</v>
      </c>
      <c r="U2061">
        <v>-6.1327891596822397</v>
      </c>
      <c r="V2061">
        <v>0.191388605132159</v>
      </c>
      <c r="W2061">
        <v>0.45360467468545601</v>
      </c>
      <c r="X2061">
        <v>0</v>
      </c>
      <c r="Y2061">
        <v>0</v>
      </c>
    </row>
    <row r="2062" spans="1:25" x14ac:dyDescent="0.2">
      <c r="A2062" t="s">
        <v>7756</v>
      </c>
      <c r="B2062" t="s">
        <v>7757</v>
      </c>
      <c r="C2062" t="s">
        <v>7758</v>
      </c>
      <c r="D2062" t="s">
        <v>7759</v>
      </c>
      <c r="E2062" t="s">
        <v>7757</v>
      </c>
      <c r="F2062" t="s">
        <v>28</v>
      </c>
      <c r="G2062" t="s">
        <v>7757</v>
      </c>
      <c r="H2062" t="str">
        <f>"rars-2"</f>
        <v>rars-2</v>
      </c>
      <c r="I2062" t="s">
        <v>7759</v>
      </c>
      <c r="J2062">
        <v>15.768788923807501</v>
      </c>
      <c r="K2062">
        <v>16.250008666093201</v>
      </c>
      <c r="L2062">
        <v>14.9276397031846</v>
      </c>
      <c r="M2062">
        <v>14.9484476728632</v>
      </c>
      <c r="N2062">
        <v>17.3020313437639</v>
      </c>
      <c r="O2062">
        <v>15.230050607006801</v>
      </c>
      <c r="P2062">
        <v>0.178030776849535</v>
      </c>
      <c r="Q2062">
        <v>-1.39487708826512</v>
      </c>
      <c r="R2062">
        <v>1.7509386419641899</v>
      </c>
      <c r="S2062">
        <v>15.382065814901599</v>
      </c>
      <c r="T2062">
        <v>0.23789445317286501</v>
      </c>
      <c r="U2062">
        <v>-7.0224748445499703</v>
      </c>
      <c r="V2062">
        <v>0.81466551772130902</v>
      </c>
      <c r="W2062">
        <v>0.92079610218973995</v>
      </c>
      <c r="X2062">
        <v>0</v>
      </c>
      <c r="Y2062">
        <v>0</v>
      </c>
    </row>
    <row r="2063" spans="1:25" x14ac:dyDescent="0.2">
      <c r="A2063" t="s">
        <v>7760</v>
      </c>
      <c r="B2063" t="s">
        <v>7761</v>
      </c>
      <c r="C2063" t="s">
        <v>7762</v>
      </c>
      <c r="D2063" t="s">
        <v>93</v>
      </c>
      <c r="E2063" t="s">
        <v>7761</v>
      </c>
      <c r="F2063" t="s">
        <v>28</v>
      </c>
      <c r="G2063" t="s">
        <v>7761</v>
      </c>
      <c r="H2063" t="str">
        <f>"rbmx-2"</f>
        <v>rbmx-2</v>
      </c>
      <c r="I2063" t="s">
        <v>93</v>
      </c>
      <c r="J2063">
        <v>13.6718791084031</v>
      </c>
      <c r="K2063">
        <v>13.4638767077408</v>
      </c>
      <c r="L2063">
        <v>13.894337320598201</v>
      </c>
      <c r="M2063">
        <v>14.1401137606251</v>
      </c>
      <c r="N2063">
        <v>13.6374520387857</v>
      </c>
      <c r="O2063">
        <v>13.383889719646101</v>
      </c>
      <c r="P2063">
        <v>4.3787460771579099E-2</v>
      </c>
      <c r="Q2063">
        <v>-0.55898468618192398</v>
      </c>
      <c r="R2063">
        <v>0.64655960772508203</v>
      </c>
      <c r="S2063">
        <v>12.9481700973187</v>
      </c>
      <c r="T2063">
        <v>0.15333687153186401</v>
      </c>
      <c r="U2063">
        <v>-7.0397346112913803</v>
      </c>
      <c r="V2063">
        <v>0.87994916552806801</v>
      </c>
      <c r="W2063">
        <v>0.95657638191348704</v>
      </c>
      <c r="X2063">
        <v>0</v>
      </c>
      <c r="Y2063">
        <v>0</v>
      </c>
    </row>
    <row r="2064" spans="1:25" x14ac:dyDescent="0.2">
      <c r="A2064" t="s">
        <v>7763</v>
      </c>
      <c r="B2064" t="s">
        <v>7764</v>
      </c>
      <c r="C2064" t="s">
        <v>7765</v>
      </c>
      <c r="D2064" t="s">
        <v>7766</v>
      </c>
      <c r="E2064" t="s">
        <v>7764</v>
      </c>
      <c r="F2064" t="s">
        <v>28</v>
      </c>
      <c r="G2064" t="s">
        <v>7764</v>
      </c>
      <c r="H2064" t="str">
        <f>"szy-4"</f>
        <v>szy-4</v>
      </c>
      <c r="I2064" t="s">
        <v>7766</v>
      </c>
      <c r="J2064" t="s">
        <v>29</v>
      </c>
      <c r="K2064" t="s">
        <v>29</v>
      </c>
      <c r="L2064" t="s">
        <v>29</v>
      </c>
      <c r="M2064" t="s">
        <v>29</v>
      </c>
      <c r="N2064" t="s">
        <v>29</v>
      </c>
      <c r="O2064" t="s">
        <v>29</v>
      </c>
      <c r="P2064" t="s">
        <v>29</v>
      </c>
      <c r="Q2064" t="s">
        <v>29</v>
      </c>
      <c r="R2064" t="s">
        <v>29</v>
      </c>
      <c r="S2064">
        <v>11.778877295398599</v>
      </c>
      <c r="T2064" t="s">
        <v>29</v>
      </c>
      <c r="U2064" t="s">
        <v>29</v>
      </c>
      <c r="V2064" t="s">
        <v>29</v>
      </c>
      <c r="W2064" t="s">
        <v>29</v>
      </c>
      <c r="X2064" t="s">
        <v>29</v>
      </c>
      <c r="Y2064" t="s">
        <v>29</v>
      </c>
    </row>
    <row r="2065" spans="1:25" x14ac:dyDescent="0.2">
      <c r="A2065" t="s">
        <v>7767</v>
      </c>
      <c r="B2065" t="s">
        <v>7768</v>
      </c>
      <c r="C2065" t="s">
        <v>7769</v>
      </c>
      <c r="D2065" t="s">
        <v>360</v>
      </c>
      <c r="E2065" t="s">
        <v>7768</v>
      </c>
      <c r="F2065" t="s">
        <v>28</v>
      </c>
      <c r="G2065" t="s">
        <v>7768</v>
      </c>
      <c r="H2065" t="str">
        <f>"C32D5.11"</f>
        <v>C32D5.11</v>
      </c>
      <c r="I2065" t="s">
        <v>360</v>
      </c>
      <c r="J2065" t="s">
        <v>29</v>
      </c>
      <c r="K2065" t="s">
        <v>29</v>
      </c>
      <c r="L2065" t="s">
        <v>29</v>
      </c>
      <c r="M2065" t="s">
        <v>29</v>
      </c>
      <c r="N2065" t="s">
        <v>29</v>
      </c>
      <c r="O2065" t="s">
        <v>29</v>
      </c>
      <c r="P2065" t="s">
        <v>29</v>
      </c>
      <c r="Q2065" t="s">
        <v>29</v>
      </c>
      <c r="R2065" t="s">
        <v>29</v>
      </c>
      <c r="S2065">
        <v>11.385011781539101</v>
      </c>
      <c r="T2065" t="s">
        <v>29</v>
      </c>
      <c r="U2065" t="s">
        <v>29</v>
      </c>
      <c r="V2065" t="s">
        <v>29</v>
      </c>
      <c r="W2065" t="s">
        <v>29</v>
      </c>
      <c r="X2065" t="s">
        <v>29</v>
      </c>
      <c r="Y2065" t="s">
        <v>29</v>
      </c>
    </row>
    <row r="2066" spans="1:25" x14ac:dyDescent="0.2">
      <c r="A2066" t="s">
        <v>7770</v>
      </c>
      <c r="B2066" t="s">
        <v>7771</v>
      </c>
      <c r="C2066" t="s">
        <v>7772</v>
      </c>
      <c r="D2066" t="s">
        <v>7773</v>
      </c>
      <c r="E2066" t="s">
        <v>7771</v>
      </c>
      <c r="F2066" t="s">
        <v>28</v>
      </c>
      <c r="G2066" t="s">
        <v>7771</v>
      </c>
      <c r="H2066" t="str">
        <f>"C33A12.1"</f>
        <v>C33A12.1</v>
      </c>
      <c r="I2066" t="s">
        <v>7773</v>
      </c>
      <c r="J2066" t="s">
        <v>29</v>
      </c>
      <c r="K2066">
        <v>13.5855565595801</v>
      </c>
      <c r="L2066">
        <v>10.5080761468344</v>
      </c>
      <c r="M2066" t="s">
        <v>29</v>
      </c>
      <c r="N2066" t="s">
        <v>29</v>
      </c>
      <c r="O2066" t="s">
        <v>29</v>
      </c>
      <c r="P2066" t="s">
        <v>29</v>
      </c>
      <c r="Q2066" t="s">
        <v>29</v>
      </c>
      <c r="R2066" t="s">
        <v>29</v>
      </c>
      <c r="S2066">
        <v>12.1698656138558</v>
      </c>
      <c r="T2066" t="s">
        <v>29</v>
      </c>
      <c r="U2066" t="s">
        <v>29</v>
      </c>
      <c r="V2066" t="s">
        <v>29</v>
      </c>
      <c r="W2066" t="s">
        <v>29</v>
      </c>
      <c r="X2066" t="s">
        <v>29</v>
      </c>
      <c r="Y2066" t="s">
        <v>29</v>
      </c>
    </row>
    <row r="2067" spans="1:25" x14ac:dyDescent="0.2">
      <c r="A2067" t="s">
        <v>7774</v>
      </c>
      <c r="B2067" t="s">
        <v>7775</v>
      </c>
      <c r="C2067" t="s">
        <v>14434</v>
      </c>
      <c r="D2067" t="s">
        <v>7776</v>
      </c>
      <c r="E2067" t="s">
        <v>7775</v>
      </c>
      <c r="F2067" t="s">
        <v>28</v>
      </c>
      <c r="G2067" t="s">
        <v>7777</v>
      </c>
      <c r="H2067" t="str">
        <f>"C33F10.12"</f>
        <v>C33F10.12</v>
      </c>
      <c r="I2067" t="s">
        <v>5479</v>
      </c>
      <c r="J2067">
        <v>13.494289557556</v>
      </c>
      <c r="K2067">
        <v>13.044340679784799</v>
      </c>
      <c r="L2067">
        <v>13.5287072582126</v>
      </c>
      <c r="M2067">
        <v>14.304781770543901</v>
      </c>
      <c r="N2067">
        <v>12.888911004612</v>
      </c>
      <c r="O2067">
        <v>13.9450625618886</v>
      </c>
      <c r="P2067">
        <v>0.35713928049709398</v>
      </c>
      <c r="Q2067">
        <v>-0.79117848829622905</v>
      </c>
      <c r="R2067">
        <v>1.50545704929042</v>
      </c>
      <c r="S2067">
        <v>13.496828322873601</v>
      </c>
      <c r="T2067">
        <v>0.65368428964434</v>
      </c>
      <c r="U2067">
        <v>-6.8308034605661296</v>
      </c>
      <c r="V2067">
        <v>0.52162714558561196</v>
      </c>
      <c r="W2067">
        <v>0.766325374943159</v>
      </c>
      <c r="X2067">
        <v>0</v>
      </c>
      <c r="Y2067">
        <v>0</v>
      </c>
    </row>
    <row r="2068" spans="1:25" x14ac:dyDescent="0.2">
      <c r="A2068" t="s">
        <v>7778</v>
      </c>
      <c r="B2068" t="s">
        <v>7779</v>
      </c>
      <c r="C2068" t="s">
        <v>7780</v>
      </c>
      <c r="D2068" t="s">
        <v>7781</v>
      </c>
      <c r="E2068" t="s">
        <v>7779</v>
      </c>
      <c r="F2068" t="s">
        <v>28</v>
      </c>
      <c r="G2068" t="s">
        <v>7779</v>
      </c>
      <c r="H2068" t="str">
        <f>"rpap-3"</f>
        <v>rpap-3</v>
      </c>
      <c r="I2068" t="s">
        <v>7781</v>
      </c>
      <c r="J2068">
        <v>11.891846811835901</v>
      </c>
      <c r="K2068" t="s">
        <v>29</v>
      </c>
      <c r="L2068" t="s">
        <v>29</v>
      </c>
      <c r="M2068" t="s">
        <v>29</v>
      </c>
      <c r="N2068" t="s">
        <v>29</v>
      </c>
      <c r="O2068" t="s">
        <v>29</v>
      </c>
      <c r="P2068" t="s">
        <v>29</v>
      </c>
      <c r="Q2068" t="s">
        <v>29</v>
      </c>
      <c r="R2068" t="s">
        <v>29</v>
      </c>
      <c r="S2068">
        <v>12.1973212492898</v>
      </c>
      <c r="T2068" t="s">
        <v>29</v>
      </c>
      <c r="U2068" t="s">
        <v>29</v>
      </c>
      <c r="V2068" t="s">
        <v>29</v>
      </c>
      <c r="W2068" t="s">
        <v>29</v>
      </c>
      <c r="X2068" t="s">
        <v>29</v>
      </c>
      <c r="Y2068" t="s">
        <v>29</v>
      </c>
    </row>
    <row r="2069" spans="1:25" x14ac:dyDescent="0.2">
      <c r="A2069" t="s">
        <v>7782</v>
      </c>
      <c r="B2069" t="s">
        <v>7783</v>
      </c>
      <c r="C2069" t="s">
        <v>7784</v>
      </c>
      <c r="D2069" t="s">
        <v>7785</v>
      </c>
      <c r="E2069" t="s">
        <v>7783</v>
      </c>
      <c r="F2069" t="s">
        <v>28</v>
      </c>
      <c r="G2069" t="s">
        <v>7783</v>
      </c>
      <c r="H2069" t="str">
        <f>"sec-10"</f>
        <v>sec-10</v>
      </c>
      <c r="I2069" t="s">
        <v>7785</v>
      </c>
      <c r="J2069" t="s">
        <v>29</v>
      </c>
      <c r="K2069" t="s">
        <v>29</v>
      </c>
      <c r="L2069" t="s">
        <v>29</v>
      </c>
      <c r="M2069" t="s">
        <v>29</v>
      </c>
      <c r="N2069">
        <v>11.963263694135801</v>
      </c>
      <c r="O2069">
        <v>10.5632424985212</v>
      </c>
      <c r="P2069" t="s">
        <v>29</v>
      </c>
      <c r="Q2069" t="s">
        <v>29</v>
      </c>
      <c r="R2069" t="s">
        <v>29</v>
      </c>
      <c r="S2069">
        <v>11.628759123469001</v>
      </c>
      <c r="T2069" t="s">
        <v>29</v>
      </c>
      <c r="U2069" t="s">
        <v>29</v>
      </c>
      <c r="V2069" t="s">
        <v>29</v>
      </c>
      <c r="W2069" t="s">
        <v>29</v>
      </c>
      <c r="X2069" t="s">
        <v>29</v>
      </c>
      <c r="Y2069" t="s">
        <v>29</v>
      </c>
    </row>
    <row r="2070" spans="1:25" x14ac:dyDescent="0.2">
      <c r="A2070" t="s">
        <v>7786</v>
      </c>
      <c r="B2070" t="s">
        <v>7787</v>
      </c>
      <c r="C2070" t="s">
        <v>7788</v>
      </c>
      <c r="D2070" t="s">
        <v>7789</v>
      </c>
      <c r="E2070" t="s">
        <v>7787</v>
      </c>
      <c r="F2070" t="s">
        <v>28</v>
      </c>
      <c r="G2070" t="s">
        <v>7787</v>
      </c>
      <c r="H2070" t="str">
        <f>"rsp-6"</f>
        <v>rsp-6</v>
      </c>
      <c r="I2070" t="s">
        <v>7789</v>
      </c>
      <c r="J2070">
        <v>10.5681288341466</v>
      </c>
      <c r="K2070">
        <v>11.517007361498599</v>
      </c>
      <c r="L2070">
        <v>11.663305151307499</v>
      </c>
      <c r="M2070">
        <v>11.7205544310007</v>
      </c>
      <c r="N2070" t="s">
        <v>29</v>
      </c>
      <c r="O2070">
        <v>11.801345725114199</v>
      </c>
      <c r="P2070">
        <v>0.51146962907319504</v>
      </c>
      <c r="Q2070">
        <v>-0.88710690533169201</v>
      </c>
      <c r="R2070">
        <v>1.9100461634780801</v>
      </c>
      <c r="S2070">
        <v>11.5423642295123</v>
      </c>
      <c r="T2070">
        <v>0.78492020036105403</v>
      </c>
      <c r="U2070">
        <v>-6.6213486646098803</v>
      </c>
      <c r="V2070">
        <v>0.44567753770656199</v>
      </c>
      <c r="W2070">
        <v>0.71334712626520103</v>
      </c>
      <c r="X2070">
        <v>0</v>
      </c>
      <c r="Y2070">
        <v>0</v>
      </c>
    </row>
    <row r="2071" spans="1:25" x14ac:dyDescent="0.2">
      <c r="A2071" t="s">
        <v>7790</v>
      </c>
      <c r="B2071" t="s">
        <v>7791</v>
      </c>
      <c r="C2071" t="s">
        <v>7792</v>
      </c>
      <c r="D2071" t="s">
        <v>7793</v>
      </c>
      <c r="E2071" t="s">
        <v>7791</v>
      </c>
      <c r="F2071" t="s">
        <v>28</v>
      </c>
      <c r="G2071" t="s">
        <v>7791</v>
      </c>
      <c r="H2071" t="str">
        <f>"zgpa-1"</f>
        <v>zgpa-1</v>
      </c>
      <c r="I2071" t="s">
        <v>7793</v>
      </c>
      <c r="J2071">
        <v>11.1082357309005</v>
      </c>
      <c r="K2071" t="s">
        <v>29</v>
      </c>
      <c r="L2071">
        <v>11.103706817315199</v>
      </c>
      <c r="M2071" t="s">
        <v>29</v>
      </c>
      <c r="N2071" t="s">
        <v>29</v>
      </c>
      <c r="O2071" t="s">
        <v>29</v>
      </c>
      <c r="P2071" t="s">
        <v>29</v>
      </c>
      <c r="Q2071" t="s">
        <v>29</v>
      </c>
      <c r="R2071" t="s">
        <v>29</v>
      </c>
      <c r="S2071">
        <v>11.615501231414401</v>
      </c>
      <c r="T2071" t="s">
        <v>29</v>
      </c>
      <c r="U2071" t="s">
        <v>29</v>
      </c>
      <c r="V2071" t="s">
        <v>29</v>
      </c>
      <c r="W2071" t="s">
        <v>29</v>
      </c>
      <c r="X2071" t="s">
        <v>29</v>
      </c>
      <c r="Y2071" t="s">
        <v>29</v>
      </c>
    </row>
    <row r="2072" spans="1:25" x14ac:dyDescent="0.2">
      <c r="A2072" t="s">
        <v>7794</v>
      </c>
      <c r="B2072" t="s">
        <v>7795</v>
      </c>
      <c r="C2072" t="s">
        <v>7796</v>
      </c>
      <c r="D2072" t="s">
        <v>7797</v>
      </c>
      <c r="E2072" t="s">
        <v>7795</v>
      </c>
      <c r="F2072" t="s">
        <v>28</v>
      </c>
      <c r="G2072" t="s">
        <v>7795</v>
      </c>
      <c r="H2072" t="str">
        <f>"C34D4.4"</f>
        <v>C34D4.4</v>
      </c>
      <c r="I2072" t="s">
        <v>7797</v>
      </c>
      <c r="J2072">
        <v>11.529718304080401</v>
      </c>
      <c r="K2072">
        <v>11.3102722764687</v>
      </c>
      <c r="L2072">
        <v>11.9013781132163</v>
      </c>
      <c r="M2072" t="s">
        <v>29</v>
      </c>
      <c r="N2072">
        <v>11.7782297177166</v>
      </c>
      <c r="O2072">
        <v>10.990981579359101</v>
      </c>
      <c r="P2072">
        <v>-0.19585058271729</v>
      </c>
      <c r="Q2072">
        <v>-0.84170998536873898</v>
      </c>
      <c r="R2072">
        <v>0.45000881993415998</v>
      </c>
      <c r="S2072">
        <v>11.7565597870432</v>
      </c>
      <c r="T2072">
        <v>-0.64673816088501002</v>
      </c>
      <c r="U2072">
        <v>-6.7233767488323002</v>
      </c>
      <c r="V2072">
        <v>0.52764244112889502</v>
      </c>
      <c r="W2072">
        <v>0.77097392286214494</v>
      </c>
      <c r="X2072">
        <v>0</v>
      </c>
      <c r="Y2072">
        <v>0</v>
      </c>
    </row>
    <row r="2073" spans="1:25" x14ac:dyDescent="0.2">
      <c r="A2073" t="s">
        <v>7798</v>
      </c>
      <c r="B2073" t="s">
        <v>7799</v>
      </c>
      <c r="C2073" t="s">
        <v>7800</v>
      </c>
      <c r="D2073" t="s">
        <v>7801</v>
      </c>
      <c r="E2073" t="s">
        <v>7799</v>
      </c>
      <c r="F2073" t="s">
        <v>28</v>
      </c>
      <c r="G2073" t="s">
        <v>7799</v>
      </c>
      <c r="H2073" t="str">
        <f>"rsd-3"</f>
        <v>rsd-3</v>
      </c>
      <c r="I2073" t="s">
        <v>7801</v>
      </c>
      <c r="J2073" t="s">
        <v>29</v>
      </c>
      <c r="K2073" t="s">
        <v>29</v>
      </c>
      <c r="L2073">
        <v>11.0015702905054</v>
      </c>
      <c r="M2073">
        <v>16.107674007560401</v>
      </c>
      <c r="N2073">
        <v>16.268349521450201</v>
      </c>
      <c r="O2073">
        <v>15.5262947960034</v>
      </c>
      <c r="P2073">
        <v>4.9658691511659496</v>
      </c>
      <c r="Q2073">
        <v>3.70623822942559</v>
      </c>
      <c r="R2073">
        <v>6.2255000729063097</v>
      </c>
      <c r="S2073">
        <v>14.0983303239032</v>
      </c>
      <c r="T2073">
        <v>8.4080166772712897</v>
      </c>
      <c r="U2073">
        <v>6.6556065565200102</v>
      </c>
      <c r="V2073" s="2">
        <v>4.8850881149599597E-7</v>
      </c>
      <c r="W2073" s="2">
        <v>3.1168777894273902E-5</v>
      </c>
      <c r="X2073">
        <v>1</v>
      </c>
      <c r="Y2073">
        <v>1</v>
      </c>
    </row>
    <row r="2074" spans="1:25" x14ac:dyDescent="0.2">
      <c r="A2074" t="s">
        <v>7802</v>
      </c>
      <c r="B2074" t="s">
        <v>7803</v>
      </c>
      <c r="C2074" t="s">
        <v>7804</v>
      </c>
      <c r="D2074" t="s">
        <v>7805</v>
      </c>
      <c r="E2074" t="s">
        <v>7803</v>
      </c>
      <c r="F2074" t="s">
        <v>28</v>
      </c>
      <c r="G2074" t="s">
        <v>7803</v>
      </c>
      <c r="H2074" t="str">
        <f>"C35A5.8"</f>
        <v>C35A5.8</v>
      </c>
      <c r="I2074" t="s">
        <v>7805</v>
      </c>
      <c r="J2074">
        <v>14.8709006474806</v>
      </c>
      <c r="K2074">
        <v>14.7099745836578</v>
      </c>
      <c r="L2074">
        <v>14.9154597264078</v>
      </c>
      <c r="M2074">
        <v>14.6160996568358</v>
      </c>
      <c r="N2074">
        <v>15.132282525963999</v>
      </c>
      <c r="O2074">
        <v>14.6652713702012</v>
      </c>
      <c r="P2074">
        <v>-2.7560468181750501E-2</v>
      </c>
      <c r="Q2074">
        <v>-0.41584093831553298</v>
      </c>
      <c r="R2074">
        <v>0.36072000195203202</v>
      </c>
      <c r="S2074">
        <v>15.038860512621399</v>
      </c>
      <c r="T2074">
        <v>-0.14918788503081701</v>
      </c>
      <c r="U2074">
        <v>-7.0404296442045098</v>
      </c>
      <c r="V2074">
        <v>0.88307381544300401</v>
      </c>
      <c r="W2074">
        <v>0.95847683935165195</v>
      </c>
      <c r="X2074">
        <v>0</v>
      </c>
      <c r="Y2074">
        <v>0</v>
      </c>
    </row>
    <row r="2075" spans="1:25" x14ac:dyDescent="0.2">
      <c r="A2075" t="s">
        <v>7806</v>
      </c>
      <c r="B2075" t="s">
        <v>7807</v>
      </c>
      <c r="C2075" t="s">
        <v>7808</v>
      </c>
      <c r="D2075" t="s">
        <v>3312</v>
      </c>
      <c r="E2075" t="s">
        <v>7807</v>
      </c>
      <c r="F2075" t="s">
        <v>28</v>
      </c>
      <c r="G2075" t="s">
        <v>7807</v>
      </c>
      <c r="H2075" t="str">
        <f>"col-175"</f>
        <v>col-175</v>
      </c>
      <c r="I2075" t="s">
        <v>3312</v>
      </c>
      <c r="J2075">
        <v>12.2247105949094</v>
      </c>
      <c r="K2075">
        <v>12.221335004273</v>
      </c>
      <c r="L2075">
        <v>12.6195727913108</v>
      </c>
      <c r="M2075">
        <v>10.069303169714001</v>
      </c>
      <c r="N2075" t="s">
        <v>29</v>
      </c>
      <c r="O2075">
        <v>11.0705612110108</v>
      </c>
      <c r="P2075">
        <v>-1.7852739398020401</v>
      </c>
      <c r="Q2075">
        <v>-2.47494276161884</v>
      </c>
      <c r="R2075">
        <v>-1.09560511798523</v>
      </c>
      <c r="S2075">
        <v>12.263498723267199</v>
      </c>
      <c r="T2075">
        <v>-5.4905241008329098</v>
      </c>
      <c r="U2075">
        <v>1.89716877124951</v>
      </c>
      <c r="V2075" s="2">
        <v>5.0532423446142798E-5</v>
      </c>
      <c r="W2075">
        <v>1.7851387209320501E-3</v>
      </c>
      <c r="X2075">
        <v>-1</v>
      </c>
      <c r="Y2075">
        <v>-1</v>
      </c>
    </row>
    <row r="2076" spans="1:25" x14ac:dyDescent="0.2">
      <c r="A2076" t="s">
        <v>7809</v>
      </c>
      <c r="B2076" t="s">
        <v>7810</v>
      </c>
      <c r="C2076" t="s">
        <v>7811</v>
      </c>
      <c r="D2076" t="s">
        <v>7812</v>
      </c>
      <c r="E2076" t="s">
        <v>7810</v>
      </c>
      <c r="F2076" t="s">
        <v>28</v>
      </c>
      <c r="G2076" t="s">
        <v>7810</v>
      </c>
      <c r="H2076" t="str">
        <f>"C35D10.10"</f>
        <v>C35D10.10</v>
      </c>
      <c r="I2076" t="s">
        <v>7812</v>
      </c>
      <c r="J2076">
        <v>12.6055602881359</v>
      </c>
      <c r="K2076">
        <v>12.2198362960444</v>
      </c>
      <c r="L2076">
        <v>12.8453018288777</v>
      </c>
      <c r="M2076">
        <v>12.4083459601925</v>
      </c>
      <c r="N2076" t="s">
        <v>29</v>
      </c>
      <c r="O2076" t="s">
        <v>29</v>
      </c>
      <c r="P2076">
        <v>-0.148553510826885</v>
      </c>
      <c r="Q2076">
        <v>-0.96491647125021196</v>
      </c>
      <c r="R2076">
        <v>0.66780944959644295</v>
      </c>
      <c r="S2076">
        <v>12.579438265423301</v>
      </c>
      <c r="T2076">
        <v>-0.38809784751680698</v>
      </c>
      <c r="U2076">
        <v>-6.6303804721902297</v>
      </c>
      <c r="V2076">
        <v>0.70343395472274794</v>
      </c>
      <c r="W2076">
        <v>0.86788140819986703</v>
      </c>
      <c r="X2076">
        <v>0</v>
      </c>
      <c r="Y2076">
        <v>0</v>
      </c>
    </row>
    <row r="2077" spans="1:25" x14ac:dyDescent="0.2">
      <c r="A2077" t="s">
        <v>7813</v>
      </c>
      <c r="B2077" t="s">
        <v>7814</v>
      </c>
      <c r="C2077" t="s">
        <v>7815</v>
      </c>
      <c r="D2077" t="s">
        <v>7816</v>
      </c>
      <c r="E2077" t="s">
        <v>7814</v>
      </c>
      <c r="F2077" t="s">
        <v>28</v>
      </c>
      <c r="G2077" t="s">
        <v>7814</v>
      </c>
      <c r="H2077" t="str">
        <f>"coq-8"</f>
        <v>coq-8</v>
      </c>
      <c r="I2077" t="s">
        <v>7816</v>
      </c>
      <c r="J2077">
        <v>11.682433650772101</v>
      </c>
      <c r="K2077">
        <v>11.816184200640199</v>
      </c>
      <c r="L2077">
        <v>12.231727580980699</v>
      </c>
      <c r="M2077">
        <v>11.942452081596</v>
      </c>
      <c r="N2077">
        <v>12.351403474074001</v>
      </c>
      <c r="O2077">
        <v>12.3497986398667</v>
      </c>
      <c r="P2077">
        <v>0.30443625438122102</v>
      </c>
      <c r="Q2077">
        <v>-0.20980088816996501</v>
      </c>
      <c r="R2077">
        <v>0.81867339693240704</v>
      </c>
      <c r="S2077">
        <v>12.1158818594233</v>
      </c>
      <c r="T2077">
        <v>1.2496343116455899</v>
      </c>
      <c r="U2077">
        <v>-6.2671668553124498</v>
      </c>
      <c r="V2077">
        <v>0.228467926148471</v>
      </c>
      <c r="W2077">
        <v>0.49861477645011598</v>
      </c>
      <c r="X2077">
        <v>0</v>
      </c>
      <c r="Y2077">
        <v>0</v>
      </c>
    </row>
    <row r="2078" spans="1:25" x14ac:dyDescent="0.2">
      <c r="A2078" t="s">
        <v>7817</v>
      </c>
      <c r="B2078" t="s">
        <v>7818</v>
      </c>
      <c r="C2078" t="s">
        <v>7819</v>
      </c>
      <c r="D2078" t="s">
        <v>595</v>
      </c>
      <c r="E2078" t="s">
        <v>7818</v>
      </c>
      <c r="F2078" t="s">
        <v>28</v>
      </c>
      <c r="G2078" t="s">
        <v>7818</v>
      </c>
      <c r="H2078" t="str">
        <f>"maph-1.3"</f>
        <v>maph-1.3</v>
      </c>
      <c r="I2078" t="s">
        <v>595</v>
      </c>
      <c r="J2078">
        <v>12.9173693556068</v>
      </c>
      <c r="K2078">
        <v>13.489522416460501</v>
      </c>
      <c r="L2078">
        <v>13.871862240606299</v>
      </c>
      <c r="M2078">
        <v>11.496903126732899</v>
      </c>
      <c r="N2078">
        <v>10.073417730085801</v>
      </c>
      <c r="O2078">
        <v>11.8900212930648</v>
      </c>
      <c r="P2078">
        <v>-2.27280395426342</v>
      </c>
      <c r="Q2078">
        <v>-3.3738990844530998</v>
      </c>
      <c r="R2078">
        <v>-1.1717088240737401</v>
      </c>
      <c r="S2078">
        <v>12.9317354190944</v>
      </c>
      <c r="T2078">
        <v>-4.3781099517712603</v>
      </c>
      <c r="U2078">
        <v>-0.44342420122343001</v>
      </c>
      <c r="V2078">
        <v>4.7487967593107602E-4</v>
      </c>
      <c r="W2078">
        <v>1.03708621844277E-2</v>
      </c>
      <c r="X2078">
        <v>-1</v>
      </c>
      <c r="Y2078">
        <v>-1</v>
      </c>
    </row>
    <row r="2079" spans="1:25" x14ac:dyDescent="0.2">
      <c r="A2079" t="s">
        <v>7820</v>
      </c>
      <c r="B2079" t="s">
        <v>7821</v>
      </c>
      <c r="C2079" t="s">
        <v>7822</v>
      </c>
      <c r="D2079" t="s">
        <v>7823</v>
      </c>
      <c r="E2079" t="s">
        <v>7821</v>
      </c>
      <c r="F2079" t="s">
        <v>28</v>
      </c>
      <c r="G2079" t="s">
        <v>7821</v>
      </c>
      <c r="H2079" t="str">
        <f>"acs-19"</f>
        <v>acs-19</v>
      </c>
      <c r="I2079" t="s">
        <v>7823</v>
      </c>
      <c r="J2079">
        <v>17.709918326630198</v>
      </c>
      <c r="K2079">
        <v>17.731216852628901</v>
      </c>
      <c r="L2079">
        <v>17.015259400289199</v>
      </c>
      <c r="M2079">
        <v>17.262292581690101</v>
      </c>
      <c r="N2079">
        <v>17.018513341589799</v>
      </c>
      <c r="O2079">
        <v>16.891787084179999</v>
      </c>
      <c r="P2079">
        <v>-0.42793385736279499</v>
      </c>
      <c r="Q2079">
        <v>-0.84877249412810796</v>
      </c>
      <c r="R2079">
        <v>-7.0952205974827397E-3</v>
      </c>
      <c r="S2079">
        <v>16.5866949506038</v>
      </c>
      <c r="T2079">
        <v>-2.1372412931145299</v>
      </c>
      <c r="U2079">
        <v>-4.9219907832134799</v>
      </c>
      <c r="V2079">
        <v>4.6639477395031499E-2</v>
      </c>
      <c r="W2079">
        <v>0.214357146106543</v>
      </c>
      <c r="X2079">
        <v>0</v>
      </c>
      <c r="Y2079">
        <v>0</v>
      </c>
    </row>
    <row r="2080" spans="1:25" x14ac:dyDescent="0.2">
      <c r="A2080" t="s">
        <v>7824</v>
      </c>
      <c r="B2080" t="s">
        <v>7825</v>
      </c>
      <c r="C2080" t="s">
        <v>7826</v>
      </c>
      <c r="D2080" t="s">
        <v>7827</v>
      </c>
      <c r="E2080" t="s">
        <v>7825</v>
      </c>
      <c r="F2080" t="s">
        <v>28</v>
      </c>
      <c r="G2080" t="s">
        <v>7825</v>
      </c>
      <c r="H2080" t="str">
        <f>"mel-28"</f>
        <v>mel-28</v>
      </c>
      <c r="I2080" t="s">
        <v>7827</v>
      </c>
      <c r="J2080">
        <v>13.3350332784985</v>
      </c>
      <c r="K2080">
        <v>13.253310501572701</v>
      </c>
      <c r="L2080">
        <v>13.1580356457162</v>
      </c>
      <c r="M2080">
        <v>13.385776268143999</v>
      </c>
      <c r="N2080">
        <v>13.225027556129501</v>
      </c>
      <c r="O2080">
        <v>12.987800652767399</v>
      </c>
      <c r="P2080">
        <v>-4.9258316248881301E-2</v>
      </c>
      <c r="Q2080">
        <v>-0.44837618296282</v>
      </c>
      <c r="R2080">
        <v>0.34985955046505801</v>
      </c>
      <c r="S2080">
        <v>13.517475954382</v>
      </c>
      <c r="T2080">
        <v>-0.26051240377746598</v>
      </c>
      <c r="U2080">
        <v>-7.0164805410991198</v>
      </c>
      <c r="V2080">
        <v>0.79761711123649903</v>
      </c>
      <c r="W2080">
        <v>0.91517844850619501</v>
      </c>
      <c r="X2080">
        <v>0</v>
      </c>
      <c r="Y2080">
        <v>0</v>
      </c>
    </row>
    <row r="2081" spans="1:25" x14ac:dyDescent="0.2">
      <c r="A2081" t="s">
        <v>7828</v>
      </c>
      <c r="B2081" t="s">
        <v>7829</v>
      </c>
      <c r="C2081" t="s">
        <v>7830</v>
      </c>
      <c r="D2081" t="s">
        <v>522</v>
      </c>
      <c r="E2081" t="s">
        <v>7829</v>
      </c>
      <c r="F2081" t="s">
        <v>28</v>
      </c>
      <c r="G2081" t="s">
        <v>7829</v>
      </c>
      <c r="H2081" t="str">
        <f>"mip-1"</f>
        <v>mip-1</v>
      </c>
      <c r="I2081" t="s">
        <v>522</v>
      </c>
      <c r="J2081">
        <v>10.0033074843442</v>
      </c>
      <c r="K2081">
        <v>13.5031469415605</v>
      </c>
      <c r="L2081">
        <v>10.8325749351255</v>
      </c>
      <c r="M2081" t="s">
        <v>29</v>
      </c>
      <c r="N2081">
        <v>12.0934282423325</v>
      </c>
      <c r="O2081" t="s">
        <v>29</v>
      </c>
      <c r="P2081">
        <v>0.64708512198912005</v>
      </c>
      <c r="Q2081">
        <v>-1.36716601414802</v>
      </c>
      <c r="R2081">
        <v>2.6613362581262598</v>
      </c>
      <c r="S2081">
        <v>12.2367924788616</v>
      </c>
      <c r="T2081">
        <v>0.69460042009789402</v>
      </c>
      <c r="U2081">
        <v>-6.4577626278610802</v>
      </c>
      <c r="V2081">
        <v>0.49963011135358998</v>
      </c>
      <c r="W2081">
        <v>0.750945211244611</v>
      </c>
      <c r="X2081">
        <v>0</v>
      </c>
      <c r="Y2081">
        <v>0</v>
      </c>
    </row>
    <row r="2082" spans="1:25" x14ac:dyDescent="0.2">
      <c r="A2082" t="s">
        <v>7831</v>
      </c>
      <c r="B2082" t="s">
        <v>7832</v>
      </c>
      <c r="C2082" t="s">
        <v>7833</v>
      </c>
      <c r="D2082" t="s">
        <v>7834</v>
      </c>
      <c r="E2082" t="s">
        <v>7832</v>
      </c>
      <c r="F2082" t="s">
        <v>28</v>
      </c>
      <c r="G2082" t="s">
        <v>7832</v>
      </c>
      <c r="H2082" t="str">
        <f>"C38H2.2"</f>
        <v>C38H2.2</v>
      </c>
      <c r="I2082" t="s">
        <v>7834</v>
      </c>
      <c r="J2082">
        <v>10.7100836404323</v>
      </c>
      <c r="K2082" t="s">
        <v>29</v>
      </c>
      <c r="L2082" t="s">
        <v>29</v>
      </c>
      <c r="M2082" t="s">
        <v>29</v>
      </c>
      <c r="N2082">
        <v>9.4433237965307892</v>
      </c>
      <c r="O2082" t="s">
        <v>29</v>
      </c>
      <c r="P2082">
        <v>-1.26675984390152</v>
      </c>
      <c r="Q2082">
        <v>-2.3690096315301701</v>
      </c>
      <c r="R2082">
        <v>-0.164510056272861</v>
      </c>
      <c r="S2082">
        <v>10.3621358667852</v>
      </c>
      <c r="T2082">
        <v>-2.9733895143590598</v>
      </c>
      <c r="U2082">
        <v>-3.5821801692839701</v>
      </c>
      <c r="V2082">
        <v>3.1860580843759499E-2</v>
      </c>
      <c r="W2082">
        <v>0.176017538311704</v>
      </c>
      <c r="X2082">
        <v>-1</v>
      </c>
      <c r="Y2082">
        <v>0</v>
      </c>
    </row>
    <row r="2083" spans="1:25" x14ac:dyDescent="0.2">
      <c r="A2083" t="s">
        <v>7835</v>
      </c>
      <c r="B2083" t="s">
        <v>7836</v>
      </c>
      <c r="C2083" t="s">
        <v>7837</v>
      </c>
      <c r="D2083" t="s">
        <v>1350</v>
      </c>
      <c r="E2083" t="s">
        <v>7836</v>
      </c>
      <c r="F2083" t="s">
        <v>28</v>
      </c>
      <c r="G2083" t="s">
        <v>7836</v>
      </c>
      <c r="H2083" t="str">
        <f>"C39D10.7"</f>
        <v>C39D10.7</v>
      </c>
      <c r="I2083" t="s">
        <v>1350</v>
      </c>
      <c r="J2083">
        <v>14.513682428659701</v>
      </c>
      <c r="K2083">
        <v>15.0638764844701</v>
      </c>
      <c r="L2083">
        <v>16.122713744334501</v>
      </c>
      <c r="M2083">
        <v>15.713567065504</v>
      </c>
      <c r="N2083">
        <v>15.8145092328083</v>
      </c>
      <c r="O2083">
        <v>15.1568264703296</v>
      </c>
      <c r="P2083">
        <v>0.32821003705919299</v>
      </c>
      <c r="Q2083">
        <v>-0.84056885888575195</v>
      </c>
      <c r="R2083">
        <v>1.4969889330041399</v>
      </c>
      <c r="S2083">
        <v>15.566768076894499</v>
      </c>
      <c r="T2083">
        <v>0.59021740206491102</v>
      </c>
      <c r="U2083">
        <v>-6.8712924770730099</v>
      </c>
      <c r="V2083">
        <v>0.56242475580612195</v>
      </c>
      <c r="W2083">
        <v>0.78663205870769404</v>
      </c>
      <c r="X2083">
        <v>0</v>
      </c>
      <c r="Y2083">
        <v>0</v>
      </c>
    </row>
    <row r="2084" spans="1:25" x14ac:dyDescent="0.2">
      <c r="A2084" t="s">
        <v>7838</v>
      </c>
      <c r="B2084" t="s">
        <v>7839</v>
      </c>
      <c r="C2084" t="s">
        <v>7840</v>
      </c>
      <c r="D2084" t="s">
        <v>7841</v>
      </c>
      <c r="E2084" t="s">
        <v>7839</v>
      </c>
      <c r="F2084" t="s">
        <v>28</v>
      </c>
      <c r="G2084" t="s">
        <v>7839</v>
      </c>
      <c r="H2084" t="str">
        <f>"rfc-3"</f>
        <v>rfc-3</v>
      </c>
      <c r="I2084" t="s">
        <v>7841</v>
      </c>
      <c r="J2084">
        <v>13.725529968129401</v>
      </c>
      <c r="K2084">
        <v>13.441506370977599</v>
      </c>
      <c r="L2084">
        <v>13.7825133302496</v>
      </c>
      <c r="M2084">
        <v>13.2526989523247</v>
      </c>
      <c r="N2084">
        <v>13.9502087586275</v>
      </c>
      <c r="O2084">
        <v>13.4344405554444</v>
      </c>
      <c r="P2084">
        <v>-0.104067134319969</v>
      </c>
      <c r="Q2084">
        <v>-0.53906005998480899</v>
      </c>
      <c r="R2084">
        <v>0.33092579134487099</v>
      </c>
      <c r="S2084">
        <v>14.0130958584129</v>
      </c>
      <c r="T2084">
        <v>-0.50283316539450096</v>
      </c>
      <c r="U2084">
        <v>-6.9205157224513796</v>
      </c>
      <c r="V2084">
        <v>0.62121373552054804</v>
      </c>
      <c r="W2084">
        <v>0.82265958239192805</v>
      </c>
      <c r="X2084">
        <v>0</v>
      </c>
      <c r="Y2084">
        <v>0</v>
      </c>
    </row>
    <row r="2085" spans="1:25" x14ac:dyDescent="0.2">
      <c r="A2085" t="s">
        <v>7842</v>
      </c>
      <c r="B2085" t="s">
        <v>7843</v>
      </c>
      <c r="C2085" t="s">
        <v>7844</v>
      </c>
      <c r="D2085" t="s">
        <v>2221</v>
      </c>
      <c r="E2085" t="s">
        <v>7843</v>
      </c>
      <c r="F2085" t="s">
        <v>28</v>
      </c>
      <c r="G2085" t="s">
        <v>7843</v>
      </c>
      <c r="H2085" t="str">
        <f>"ttbk-8.2"</f>
        <v>ttbk-8.2</v>
      </c>
      <c r="I2085" t="s">
        <v>2221</v>
      </c>
      <c r="J2085">
        <v>14.169345698813199</v>
      </c>
      <c r="K2085">
        <v>14.1526520067444</v>
      </c>
      <c r="L2085">
        <v>14.317257204809399</v>
      </c>
      <c r="M2085">
        <v>12.6499049931826</v>
      </c>
      <c r="N2085">
        <v>13.3883918685073</v>
      </c>
      <c r="O2085">
        <v>13.418618432534601</v>
      </c>
      <c r="P2085">
        <v>-1.0607798720475099</v>
      </c>
      <c r="Q2085">
        <v>-1.62015271011053</v>
      </c>
      <c r="R2085">
        <v>-0.50140703398448705</v>
      </c>
      <c r="S2085">
        <v>13.5772808517222</v>
      </c>
      <c r="T2085">
        <v>-4.0028923388523898</v>
      </c>
      <c r="U2085">
        <v>-1.14614164998299</v>
      </c>
      <c r="V2085">
        <v>9.3147375675374099E-4</v>
      </c>
      <c r="W2085">
        <v>1.7419629910785502E-2</v>
      </c>
      <c r="X2085">
        <v>-1</v>
      </c>
      <c r="Y2085">
        <v>-1</v>
      </c>
    </row>
    <row r="2086" spans="1:25" x14ac:dyDescent="0.2">
      <c r="A2086" t="s">
        <v>7845</v>
      </c>
      <c r="B2086" t="s">
        <v>7846</v>
      </c>
      <c r="C2086" t="s">
        <v>7847</v>
      </c>
      <c r="D2086" t="s">
        <v>1292</v>
      </c>
      <c r="E2086" t="s">
        <v>7846</v>
      </c>
      <c r="F2086" t="s">
        <v>28</v>
      </c>
      <c r="G2086" t="s">
        <v>7846</v>
      </c>
      <c r="H2086" t="str">
        <f>"rpc-1"</f>
        <v>rpc-1</v>
      </c>
      <c r="I2086" t="s">
        <v>1292</v>
      </c>
      <c r="J2086" t="s">
        <v>29</v>
      </c>
      <c r="K2086" t="s">
        <v>29</v>
      </c>
      <c r="L2086">
        <v>11.7064817527642</v>
      </c>
      <c r="M2086" t="s">
        <v>29</v>
      </c>
      <c r="N2086" t="s">
        <v>29</v>
      </c>
      <c r="O2086" t="s">
        <v>29</v>
      </c>
      <c r="P2086" t="s">
        <v>29</v>
      </c>
      <c r="Q2086" t="s">
        <v>29</v>
      </c>
      <c r="R2086" t="s">
        <v>29</v>
      </c>
      <c r="S2086">
        <v>11.6313592633593</v>
      </c>
      <c r="T2086" t="s">
        <v>29</v>
      </c>
      <c r="U2086" t="s">
        <v>29</v>
      </c>
      <c r="V2086" t="s">
        <v>29</v>
      </c>
      <c r="W2086" t="s">
        <v>29</v>
      </c>
      <c r="X2086" t="s">
        <v>29</v>
      </c>
      <c r="Y2086" t="s">
        <v>29</v>
      </c>
    </row>
    <row r="2087" spans="1:25" x14ac:dyDescent="0.2">
      <c r="A2087" t="s">
        <v>7848</v>
      </c>
      <c r="B2087" t="s">
        <v>7849</v>
      </c>
      <c r="C2087" t="s">
        <v>7850</v>
      </c>
      <c r="D2087" t="s">
        <v>1866</v>
      </c>
      <c r="E2087" t="s">
        <v>7849</v>
      </c>
      <c r="F2087" t="s">
        <v>28</v>
      </c>
      <c r="G2087" t="s">
        <v>7849</v>
      </c>
      <c r="H2087" t="str">
        <f>"pmp-1"</f>
        <v>pmp-1</v>
      </c>
      <c r="I2087" t="s">
        <v>1866</v>
      </c>
      <c r="J2087">
        <v>15.176437492416699</v>
      </c>
      <c r="K2087">
        <v>15.232784034941799</v>
      </c>
      <c r="L2087">
        <v>15.173187258056201</v>
      </c>
      <c r="M2087">
        <v>15.2369660705619</v>
      </c>
      <c r="N2087">
        <v>15.1205291912896</v>
      </c>
      <c r="O2087">
        <v>14.9483917898015</v>
      </c>
      <c r="P2087">
        <v>-9.2173911253915705E-2</v>
      </c>
      <c r="Q2087">
        <v>-0.443758814288229</v>
      </c>
      <c r="R2087">
        <v>0.259410991780398</v>
      </c>
      <c r="S2087">
        <v>15.2647072481682</v>
      </c>
      <c r="T2087">
        <v>-0.55102374147816802</v>
      </c>
      <c r="U2087">
        <v>-6.8943110912201604</v>
      </c>
      <c r="V2087">
        <v>0.58843167328921298</v>
      </c>
      <c r="W2087">
        <v>0.80336802302937005</v>
      </c>
      <c r="X2087">
        <v>0</v>
      </c>
      <c r="Y2087">
        <v>0</v>
      </c>
    </row>
    <row r="2088" spans="1:25" x14ac:dyDescent="0.2">
      <c r="A2088" t="s">
        <v>7851</v>
      </c>
      <c r="B2088" t="s">
        <v>7852</v>
      </c>
      <c r="C2088" t="s">
        <v>7853</v>
      </c>
      <c r="D2088" t="s">
        <v>7854</v>
      </c>
      <c r="E2088" t="s">
        <v>7852</v>
      </c>
      <c r="F2088" t="s">
        <v>28</v>
      </c>
      <c r="G2088" t="s">
        <v>7852</v>
      </c>
      <c r="H2088" t="str">
        <f>"pmp-2"</f>
        <v>pmp-2</v>
      </c>
      <c r="I2088" t="s">
        <v>7854</v>
      </c>
      <c r="J2088">
        <v>15.4607389758227</v>
      </c>
      <c r="K2088">
        <v>15.7847656568693</v>
      </c>
      <c r="L2088">
        <v>15.964743618495699</v>
      </c>
      <c r="M2088">
        <v>15.833793951560899</v>
      </c>
      <c r="N2088">
        <v>15.9008849473467</v>
      </c>
      <c r="O2088">
        <v>15.757256424053301</v>
      </c>
      <c r="P2088">
        <v>9.3895690591063299E-2</v>
      </c>
      <c r="Q2088">
        <v>-0.34975548968528303</v>
      </c>
      <c r="R2088">
        <v>0.53754687086741004</v>
      </c>
      <c r="S2088">
        <v>16.1691667024525</v>
      </c>
      <c r="T2088">
        <v>0.444832523116725</v>
      </c>
      <c r="U2088">
        <v>-6.94896014696881</v>
      </c>
      <c r="V2088">
        <v>0.66177432047964002</v>
      </c>
      <c r="W2088">
        <v>0.84746699678896098</v>
      </c>
      <c r="X2088">
        <v>0</v>
      </c>
      <c r="Y2088">
        <v>0</v>
      </c>
    </row>
    <row r="2089" spans="1:25" x14ac:dyDescent="0.2">
      <c r="A2089" t="s">
        <v>7855</v>
      </c>
      <c r="B2089" t="s">
        <v>7856</v>
      </c>
      <c r="C2089" t="s">
        <v>7857</v>
      </c>
      <c r="D2089" t="s">
        <v>6975</v>
      </c>
      <c r="E2089" t="s">
        <v>7856</v>
      </c>
      <c r="F2089" t="s">
        <v>28</v>
      </c>
      <c r="G2089" t="s">
        <v>7856</v>
      </c>
      <c r="H2089" t="str">
        <f>"acer-1"</f>
        <v>acer-1</v>
      </c>
      <c r="I2089" t="s">
        <v>6975</v>
      </c>
      <c r="J2089">
        <v>19.3171502354033</v>
      </c>
      <c r="K2089">
        <v>19.463831648768299</v>
      </c>
      <c r="L2089">
        <v>18.911649119084199</v>
      </c>
      <c r="M2089">
        <v>18.996343299154201</v>
      </c>
      <c r="N2089">
        <v>19.639620242759602</v>
      </c>
      <c r="O2089">
        <v>19.290137524367299</v>
      </c>
      <c r="P2089">
        <v>7.7823354341791898E-2</v>
      </c>
      <c r="Q2089">
        <v>-0.518812653591743</v>
      </c>
      <c r="R2089">
        <v>0.67445936227532699</v>
      </c>
      <c r="S2089">
        <v>18.625158758736902</v>
      </c>
      <c r="T2089">
        <v>0.27415299757492101</v>
      </c>
      <c r="U2089">
        <v>-7.0127809759227002</v>
      </c>
      <c r="V2089">
        <v>0.78710663019059302</v>
      </c>
      <c r="W2089">
        <v>0.91244922502322401</v>
      </c>
      <c r="X2089">
        <v>0</v>
      </c>
      <c r="Y2089">
        <v>0</v>
      </c>
    </row>
    <row r="2090" spans="1:25" x14ac:dyDescent="0.2">
      <c r="A2090" t="s">
        <v>7858</v>
      </c>
      <c r="B2090" t="s">
        <v>7859</v>
      </c>
      <c r="C2090" t="s">
        <v>7860</v>
      </c>
      <c r="D2090" t="s">
        <v>7861</v>
      </c>
      <c r="E2090" t="s">
        <v>7859</v>
      </c>
      <c r="F2090" t="s">
        <v>28</v>
      </c>
      <c r="G2090" t="s">
        <v>7859</v>
      </c>
      <c r="H2090" t="str">
        <f>"C44B7.11"</f>
        <v>C44B7.11</v>
      </c>
      <c r="I2090" t="s">
        <v>7861</v>
      </c>
      <c r="J2090">
        <v>12.5411249823623</v>
      </c>
      <c r="K2090" t="s">
        <v>29</v>
      </c>
      <c r="L2090" t="s">
        <v>29</v>
      </c>
      <c r="M2090" t="s">
        <v>29</v>
      </c>
      <c r="N2090" t="s">
        <v>29</v>
      </c>
      <c r="O2090" t="s">
        <v>29</v>
      </c>
      <c r="P2090" t="s">
        <v>29</v>
      </c>
      <c r="Q2090" t="s">
        <v>29</v>
      </c>
      <c r="R2090" t="s">
        <v>29</v>
      </c>
      <c r="S2090">
        <v>12.2643037383649</v>
      </c>
      <c r="T2090" t="s">
        <v>29</v>
      </c>
      <c r="U2090" t="s">
        <v>29</v>
      </c>
      <c r="V2090" t="s">
        <v>29</v>
      </c>
      <c r="W2090" t="s">
        <v>29</v>
      </c>
      <c r="X2090" t="s">
        <v>29</v>
      </c>
      <c r="Y2090" t="s">
        <v>29</v>
      </c>
    </row>
    <row r="2091" spans="1:25" x14ac:dyDescent="0.2">
      <c r="A2091" t="s">
        <v>7862</v>
      </c>
      <c r="B2091" t="s">
        <v>7863</v>
      </c>
      <c r="C2091" t="s">
        <v>7864</v>
      </c>
      <c r="D2091" t="s">
        <v>844</v>
      </c>
      <c r="E2091" t="s">
        <v>7863</v>
      </c>
      <c r="F2091" t="s">
        <v>28</v>
      </c>
      <c r="G2091" t="s">
        <v>7863</v>
      </c>
      <c r="H2091" t="str">
        <f>"athp-1"</f>
        <v>athp-1</v>
      </c>
      <c r="I2091" t="s">
        <v>844</v>
      </c>
      <c r="J2091" t="s">
        <v>29</v>
      </c>
      <c r="K2091" t="s">
        <v>29</v>
      </c>
      <c r="L2091" t="s">
        <v>29</v>
      </c>
      <c r="M2091" t="s">
        <v>29</v>
      </c>
      <c r="N2091" t="s">
        <v>29</v>
      </c>
      <c r="O2091" t="s">
        <v>29</v>
      </c>
      <c r="P2091" t="s">
        <v>29</v>
      </c>
      <c r="Q2091" t="s">
        <v>29</v>
      </c>
      <c r="R2091" t="s">
        <v>29</v>
      </c>
      <c r="S2091">
        <v>10.5806043231508</v>
      </c>
      <c r="T2091" t="s">
        <v>29</v>
      </c>
      <c r="U2091" t="s">
        <v>29</v>
      </c>
      <c r="V2091" t="s">
        <v>29</v>
      </c>
      <c r="W2091" t="s">
        <v>29</v>
      </c>
      <c r="X2091" t="s">
        <v>29</v>
      </c>
      <c r="Y2091" t="s">
        <v>29</v>
      </c>
    </row>
    <row r="2092" spans="1:25" x14ac:dyDescent="0.2">
      <c r="A2092" t="s">
        <v>7865</v>
      </c>
      <c r="B2092" t="s">
        <v>7866</v>
      </c>
      <c r="C2092" t="s">
        <v>7867</v>
      </c>
      <c r="D2092" t="s">
        <v>7868</v>
      </c>
      <c r="E2092" t="s">
        <v>7866</v>
      </c>
      <c r="F2092" t="s">
        <v>28</v>
      </c>
      <c r="G2092" t="s">
        <v>7866</v>
      </c>
      <c r="H2092" t="str">
        <f>"abhd-3.2"</f>
        <v>abhd-3.2</v>
      </c>
      <c r="I2092" t="s">
        <v>7868</v>
      </c>
      <c r="J2092">
        <v>13.5731965243549</v>
      </c>
      <c r="K2092">
        <v>12.8611433662099</v>
      </c>
      <c r="L2092">
        <v>13.377288818971699</v>
      </c>
      <c r="M2092">
        <v>13.380391290942599</v>
      </c>
      <c r="N2092">
        <v>13.216509198820001</v>
      </c>
      <c r="O2092">
        <v>12.854645344573701</v>
      </c>
      <c r="P2092">
        <v>-0.12002762506671701</v>
      </c>
      <c r="Q2092">
        <v>-0.63838687985451603</v>
      </c>
      <c r="R2092">
        <v>0.39833162972108199</v>
      </c>
      <c r="S2092">
        <v>13.6348856962037</v>
      </c>
      <c r="T2092">
        <v>-0.49113387069140702</v>
      </c>
      <c r="U2092">
        <v>-6.9257968564534096</v>
      </c>
      <c r="V2092">
        <v>0.63004382643213797</v>
      </c>
      <c r="W2092">
        <v>0.82954586748111203</v>
      </c>
      <c r="X2092">
        <v>0</v>
      </c>
      <c r="Y2092">
        <v>0</v>
      </c>
    </row>
    <row r="2093" spans="1:25" x14ac:dyDescent="0.2">
      <c r="A2093" t="s">
        <v>7869</v>
      </c>
      <c r="B2093" t="s">
        <v>7870</v>
      </c>
      <c r="C2093" t="s">
        <v>7871</v>
      </c>
      <c r="D2093" t="s">
        <v>796</v>
      </c>
      <c r="E2093" t="s">
        <v>7870</v>
      </c>
      <c r="F2093" t="s">
        <v>28</v>
      </c>
      <c r="G2093" t="s">
        <v>7870</v>
      </c>
      <c r="H2093" t="str">
        <f>"C44C1.1"</f>
        <v>C44C1.1</v>
      </c>
      <c r="I2093" t="s">
        <v>796</v>
      </c>
      <c r="J2093">
        <v>13.950608881211201</v>
      </c>
      <c r="K2093">
        <v>14.478287326392101</v>
      </c>
      <c r="L2093">
        <v>14.714965676618601</v>
      </c>
      <c r="M2093">
        <v>14.936746092775</v>
      </c>
      <c r="N2093">
        <v>14.2173686600735</v>
      </c>
      <c r="O2093">
        <v>13.3221262239403</v>
      </c>
      <c r="P2093">
        <v>-0.22254030247769699</v>
      </c>
      <c r="Q2093">
        <v>-0.87279472394219304</v>
      </c>
      <c r="R2093">
        <v>0.42771411898680001</v>
      </c>
      <c r="S2093">
        <v>14.7580505920011</v>
      </c>
      <c r="T2093">
        <v>-0.72239606767880005</v>
      </c>
      <c r="U2093">
        <v>-6.7819260812508704</v>
      </c>
      <c r="V2093">
        <v>0.47993176894308798</v>
      </c>
      <c r="W2093">
        <v>0.73804252180567498</v>
      </c>
      <c r="X2093">
        <v>0</v>
      </c>
      <c r="Y2093">
        <v>0</v>
      </c>
    </row>
    <row r="2094" spans="1:25" x14ac:dyDescent="0.2">
      <c r="A2094" t="s">
        <v>7872</v>
      </c>
      <c r="B2094" t="s">
        <v>7873</v>
      </c>
      <c r="C2094" t="s">
        <v>7874</v>
      </c>
      <c r="D2094" t="s">
        <v>7003</v>
      </c>
      <c r="E2094" t="s">
        <v>7873</v>
      </c>
      <c r="F2094" t="s">
        <v>28</v>
      </c>
      <c r="G2094" t="s">
        <v>7873</v>
      </c>
      <c r="H2094" t="str">
        <f>"dhs-18"</f>
        <v>dhs-18</v>
      </c>
      <c r="I2094" t="s">
        <v>7003</v>
      </c>
      <c r="J2094">
        <v>15.113764310856901</v>
      </c>
      <c r="K2094">
        <v>15.3892834014681</v>
      </c>
      <c r="L2094">
        <v>14.700271461320799</v>
      </c>
      <c r="M2094">
        <v>14.8935526533978</v>
      </c>
      <c r="N2094">
        <v>15.6398112204824</v>
      </c>
      <c r="O2094">
        <v>15.3765258079225</v>
      </c>
      <c r="P2094">
        <v>0.235523502718962</v>
      </c>
      <c r="Q2094">
        <v>-0.70557058843863496</v>
      </c>
      <c r="R2094">
        <v>1.17661759387656</v>
      </c>
      <c r="S2094">
        <v>14.304307980955899</v>
      </c>
      <c r="T2094">
        <v>0.53082422547556496</v>
      </c>
      <c r="U2094">
        <v>-6.9047471608306701</v>
      </c>
      <c r="V2094">
        <v>0.60287919831025505</v>
      </c>
      <c r="W2094">
        <v>0.80985940123530897</v>
      </c>
      <c r="X2094">
        <v>0</v>
      </c>
      <c r="Y2094">
        <v>0</v>
      </c>
    </row>
    <row r="2095" spans="1:25" x14ac:dyDescent="0.2">
      <c r="A2095" t="s">
        <v>7875</v>
      </c>
      <c r="B2095" t="s">
        <v>7876</v>
      </c>
      <c r="C2095" t="s">
        <v>7877</v>
      </c>
      <c r="D2095" t="s">
        <v>368</v>
      </c>
      <c r="E2095" t="s">
        <v>7876</v>
      </c>
      <c r="F2095" t="s">
        <v>28</v>
      </c>
      <c r="G2095" t="s">
        <v>7876</v>
      </c>
      <c r="H2095" t="str">
        <f>"C46A5.6"</f>
        <v>C46A5.6</v>
      </c>
      <c r="I2095" t="s">
        <v>368</v>
      </c>
      <c r="J2095">
        <v>12.3326070048226</v>
      </c>
      <c r="K2095">
        <v>11.435231265504999</v>
      </c>
      <c r="L2095">
        <v>12.6946190689101</v>
      </c>
      <c r="M2095" t="s">
        <v>29</v>
      </c>
      <c r="N2095">
        <v>13.3280923740065</v>
      </c>
      <c r="O2095" t="s">
        <v>29</v>
      </c>
      <c r="P2095">
        <v>1.17393992759392</v>
      </c>
      <c r="Q2095">
        <v>0.244549269321269</v>
      </c>
      <c r="R2095">
        <v>2.1033305858665798</v>
      </c>
      <c r="S2095">
        <v>13.582260967933999</v>
      </c>
      <c r="T2095">
        <v>2.7110620884141898</v>
      </c>
      <c r="U2095">
        <v>-3.6042829259140201</v>
      </c>
      <c r="V2095">
        <v>1.69769872002376E-2</v>
      </c>
      <c r="W2095">
        <v>0.122762480776829</v>
      </c>
      <c r="X2095">
        <v>1</v>
      </c>
      <c r="Y2095">
        <v>0</v>
      </c>
    </row>
    <row r="2096" spans="1:25" x14ac:dyDescent="0.2">
      <c r="A2096" t="s">
        <v>7878</v>
      </c>
      <c r="B2096" t="s">
        <v>7879</v>
      </c>
      <c r="C2096" t="s">
        <v>7880</v>
      </c>
      <c r="D2096" t="s">
        <v>107</v>
      </c>
      <c r="E2096" t="s">
        <v>7879</v>
      </c>
      <c r="F2096" t="s">
        <v>28</v>
      </c>
      <c r="G2096" t="s">
        <v>7879</v>
      </c>
      <c r="H2096" t="str">
        <f>"C46C2.2"</f>
        <v>C46C2.2</v>
      </c>
      <c r="I2096" t="s">
        <v>107</v>
      </c>
      <c r="J2096">
        <v>11.9893727264483</v>
      </c>
      <c r="K2096">
        <v>12.4164965004711</v>
      </c>
      <c r="L2096">
        <v>12.521605089193001</v>
      </c>
      <c r="M2096" t="s">
        <v>29</v>
      </c>
      <c r="N2096" t="s">
        <v>29</v>
      </c>
      <c r="O2096">
        <v>12.2730816992811</v>
      </c>
      <c r="P2096">
        <v>-3.6076406089735599E-2</v>
      </c>
      <c r="Q2096">
        <v>-0.78234800011120798</v>
      </c>
      <c r="R2096">
        <v>0.71019518793173597</v>
      </c>
      <c r="S2096">
        <v>12.1876367715335</v>
      </c>
      <c r="T2096">
        <v>-0.11173572916252</v>
      </c>
      <c r="U2096">
        <v>-6.7022461943311704</v>
      </c>
      <c r="V2096">
        <v>0.91382140163667502</v>
      </c>
      <c r="W2096">
        <v>0.96842015096093803</v>
      </c>
      <c r="X2096">
        <v>0</v>
      </c>
      <c r="Y2096">
        <v>0</v>
      </c>
    </row>
    <row r="2097" spans="1:25" x14ac:dyDescent="0.2">
      <c r="A2097" t="s">
        <v>7881</v>
      </c>
      <c r="B2097" t="s">
        <v>7882</v>
      </c>
      <c r="C2097" t="s">
        <v>7883</v>
      </c>
      <c r="D2097" t="s">
        <v>7884</v>
      </c>
      <c r="E2097" t="s">
        <v>7882</v>
      </c>
      <c r="F2097" t="s">
        <v>28</v>
      </c>
      <c r="G2097" t="s">
        <v>7882</v>
      </c>
      <c r="H2097" t="str">
        <f>"C47D12.2"</f>
        <v>C47D12.2</v>
      </c>
      <c r="I2097" t="s">
        <v>7884</v>
      </c>
      <c r="J2097">
        <v>12.9053376533624</v>
      </c>
      <c r="K2097">
        <v>13.416576915222</v>
      </c>
      <c r="L2097">
        <v>13.1353651055821</v>
      </c>
      <c r="M2097">
        <v>13.1076867467628</v>
      </c>
      <c r="N2097">
        <v>13.661734272372501</v>
      </c>
      <c r="O2097">
        <v>13.0094426590481</v>
      </c>
      <c r="P2097">
        <v>0.10719466800562701</v>
      </c>
      <c r="Q2097">
        <v>-0.332024027604852</v>
      </c>
      <c r="R2097">
        <v>0.54641336361610704</v>
      </c>
      <c r="S2097">
        <v>13.275140924772099</v>
      </c>
      <c r="T2097">
        <v>0.515160289827851</v>
      </c>
      <c r="U2097">
        <v>-6.9136618355875896</v>
      </c>
      <c r="V2097">
        <v>0.61311553252316997</v>
      </c>
      <c r="W2097">
        <v>0.81741973687568803</v>
      </c>
      <c r="X2097">
        <v>0</v>
      </c>
      <c r="Y2097">
        <v>0</v>
      </c>
    </row>
    <row r="2098" spans="1:25" x14ac:dyDescent="0.2">
      <c r="A2098" t="s">
        <v>7885</v>
      </c>
      <c r="B2098" t="s">
        <v>7886</v>
      </c>
      <c r="C2098" t="s">
        <v>7887</v>
      </c>
      <c r="D2098" t="s">
        <v>7888</v>
      </c>
      <c r="E2098" t="s">
        <v>7886</v>
      </c>
      <c r="F2098" t="s">
        <v>28</v>
      </c>
      <c r="G2098" t="s">
        <v>7886</v>
      </c>
      <c r="H2098" t="str">
        <f>"rrp-1"</f>
        <v>rrp-1</v>
      </c>
      <c r="I2098" t="s">
        <v>7888</v>
      </c>
      <c r="J2098" t="s">
        <v>29</v>
      </c>
      <c r="K2098" t="s">
        <v>29</v>
      </c>
      <c r="L2098" t="s">
        <v>29</v>
      </c>
      <c r="M2098" t="s">
        <v>29</v>
      </c>
      <c r="N2098" t="s">
        <v>29</v>
      </c>
      <c r="O2098" t="s">
        <v>29</v>
      </c>
      <c r="P2098" t="s">
        <v>29</v>
      </c>
      <c r="Q2098" t="s">
        <v>29</v>
      </c>
      <c r="R2098" t="s">
        <v>29</v>
      </c>
      <c r="S2098">
        <v>11.8396681647094</v>
      </c>
      <c r="T2098" t="s">
        <v>29</v>
      </c>
      <c r="U2098" t="s">
        <v>29</v>
      </c>
      <c r="V2098" t="s">
        <v>29</v>
      </c>
      <c r="W2098" t="s">
        <v>29</v>
      </c>
      <c r="X2098" t="s">
        <v>29</v>
      </c>
      <c r="Y2098" t="s">
        <v>29</v>
      </c>
    </row>
    <row r="2099" spans="1:25" x14ac:dyDescent="0.2">
      <c r="A2099" t="s">
        <v>7889</v>
      </c>
      <c r="B2099" t="s">
        <v>7890</v>
      </c>
      <c r="C2099" t="s">
        <v>7891</v>
      </c>
      <c r="D2099" t="s">
        <v>7892</v>
      </c>
      <c r="E2099" t="s">
        <v>7890</v>
      </c>
      <c r="F2099" t="s">
        <v>28</v>
      </c>
      <c r="G2099" t="s">
        <v>7890</v>
      </c>
      <c r="H2099" t="str">
        <f>"sars-1"</f>
        <v>sars-1</v>
      </c>
      <c r="I2099" t="s">
        <v>7892</v>
      </c>
      <c r="J2099">
        <v>17.295358129334002</v>
      </c>
      <c r="K2099">
        <v>17.089714765522299</v>
      </c>
      <c r="L2099">
        <v>17.307439945447399</v>
      </c>
      <c r="M2099">
        <v>17.070768711183401</v>
      </c>
      <c r="N2099">
        <v>16.5267855191622</v>
      </c>
      <c r="O2099">
        <v>16.592075502342801</v>
      </c>
      <c r="P2099">
        <v>-0.50096103587180396</v>
      </c>
      <c r="Q2099">
        <v>-0.91180455062597499</v>
      </c>
      <c r="R2099">
        <v>-9.0117521117631993E-2</v>
      </c>
      <c r="S2099">
        <v>16.813399573721199</v>
      </c>
      <c r="T2099">
        <v>-2.5628313359413801</v>
      </c>
      <c r="U2099">
        <v>-4.1238047107780798</v>
      </c>
      <c r="V2099">
        <v>1.9627113604107401E-2</v>
      </c>
      <c r="W2099">
        <v>0.13606918984371799</v>
      </c>
      <c r="X2099">
        <v>0</v>
      </c>
      <c r="Y2099">
        <v>0</v>
      </c>
    </row>
    <row r="2100" spans="1:25" x14ac:dyDescent="0.2">
      <c r="A2100" t="s">
        <v>7893</v>
      </c>
      <c r="B2100" t="s">
        <v>7894</v>
      </c>
      <c r="C2100" t="s">
        <v>7895</v>
      </c>
      <c r="D2100" t="s">
        <v>1954</v>
      </c>
      <c r="E2100" t="s">
        <v>7894</v>
      </c>
      <c r="F2100" t="s">
        <v>28</v>
      </c>
      <c r="G2100" t="s">
        <v>7894</v>
      </c>
      <c r="H2100" t="str">
        <f>"C47E12.2"</f>
        <v>C47E12.2</v>
      </c>
      <c r="I2100" t="s">
        <v>1954</v>
      </c>
      <c r="J2100">
        <v>13.423316710378501</v>
      </c>
      <c r="K2100">
        <v>13.867476900300799</v>
      </c>
      <c r="L2100">
        <v>13.890018059672601</v>
      </c>
      <c r="M2100">
        <v>13.920520179731099</v>
      </c>
      <c r="N2100">
        <v>13.8499332793655</v>
      </c>
      <c r="O2100">
        <v>13.529982267846901</v>
      </c>
      <c r="P2100">
        <v>3.9874685530493899E-2</v>
      </c>
      <c r="Q2100">
        <v>-0.47736889681127698</v>
      </c>
      <c r="R2100">
        <v>0.55711826787226404</v>
      </c>
      <c r="S2100">
        <v>13.927065091830601</v>
      </c>
      <c r="T2100">
        <v>0.16272421056342901</v>
      </c>
      <c r="U2100">
        <v>-7.0381771791053103</v>
      </c>
      <c r="V2100">
        <v>0.87266602623935097</v>
      </c>
      <c r="W2100">
        <v>0.95222989829322702</v>
      </c>
      <c r="X2100">
        <v>0</v>
      </c>
      <c r="Y2100">
        <v>0</v>
      </c>
    </row>
    <row r="2101" spans="1:25" x14ac:dyDescent="0.2">
      <c r="A2101" t="s">
        <v>7896</v>
      </c>
      <c r="B2101" t="s">
        <v>7897</v>
      </c>
      <c r="C2101" t="s">
        <v>7898</v>
      </c>
      <c r="D2101" t="s">
        <v>7899</v>
      </c>
      <c r="E2101" t="s">
        <v>7897</v>
      </c>
      <c r="F2101" t="s">
        <v>28</v>
      </c>
      <c r="G2101" t="s">
        <v>7897</v>
      </c>
      <c r="H2101" t="str">
        <f>"unc-112"</f>
        <v>unc-112</v>
      </c>
      <c r="I2101" t="s">
        <v>7899</v>
      </c>
      <c r="J2101">
        <v>15.5140849966446</v>
      </c>
      <c r="K2101">
        <v>15.5329538881552</v>
      </c>
      <c r="L2101">
        <v>15.2256023470143</v>
      </c>
      <c r="M2101">
        <v>15.5986902348585</v>
      </c>
      <c r="N2101">
        <v>15.208420270116999</v>
      </c>
      <c r="O2101">
        <v>15.0501926877062</v>
      </c>
      <c r="P2101">
        <v>-0.13844601304413701</v>
      </c>
      <c r="Q2101">
        <v>-0.51325371621821803</v>
      </c>
      <c r="R2101">
        <v>0.23636169012994501</v>
      </c>
      <c r="S2101">
        <v>14.8144351734935</v>
      </c>
      <c r="T2101">
        <v>-0.77636233680885902</v>
      </c>
      <c r="U2101">
        <v>-6.7414543698675198</v>
      </c>
      <c r="V2101">
        <v>0.447675717247705</v>
      </c>
      <c r="W2101">
        <v>0.71548957953046699</v>
      </c>
      <c r="X2101">
        <v>0</v>
      </c>
      <c r="Y2101">
        <v>0</v>
      </c>
    </row>
    <row r="2102" spans="1:25" x14ac:dyDescent="0.2">
      <c r="A2102" t="s">
        <v>7900</v>
      </c>
      <c r="B2102" t="s">
        <v>7901</v>
      </c>
      <c r="C2102" t="s">
        <v>7902</v>
      </c>
      <c r="D2102" t="s">
        <v>7903</v>
      </c>
      <c r="E2102" t="s">
        <v>7901</v>
      </c>
      <c r="F2102" t="s">
        <v>28</v>
      </c>
      <c r="G2102" t="s">
        <v>7901</v>
      </c>
      <c r="H2102" t="str">
        <f>"daf-21"</f>
        <v>daf-21</v>
      </c>
      <c r="I2102" t="s">
        <v>7903</v>
      </c>
      <c r="J2102">
        <v>20.583272019368401</v>
      </c>
      <c r="K2102">
        <v>20.4582060538342</v>
      </c>
      <c r="L2102">
        <v>20.477431458558002</v>
      </c>
      <c r="M2102">
        <v>20.4031948400639</v>
      </c>
      <c r="N2102">
        <v>20.665385352724101</v>
      </c>
      <c r="O2102">
        <v>20.523339849797001</v>
      </c>
      <c r="P2102">
        <v>2.4336836941461801E-2</v>
      </c>
      <c r="Q2102">
        <v>-0.33272652384794599</v>
      </c>
      <c r="R2102">
        <v>0.38140019773087003</v>
      </c>
      <c r="S2102">
        <v>20.188470371794899</v>
      </c>
      <c r="T2102">
        <v>0.14325551724475299</v>
      </c>
      <c r="U2102">
        <v>-7.0413377393930503</v>
      </c>
      <c r="V2102">
        <v>0.887689159541725</v>
      </c>
      <c r="W2102">
        <v>0.96040055954866699</v>
      </c>
      <c r="X2102">
        <v>0</v>
      </c>
      <c r="Y2102">
        <v>0</v>
      </c>
    </row>
    <row r="2103" spans="1:25" x14ac:dyDescent="0.2">
      <c r="A2103" t="s">
        <v>7904</v>
      </c>
      <c r="B2103" t="s">
        <v>7905</v>
      </c>
      <c r="C2103" t="s">
        <v>7906</v>
      </c>
      <c r="D2103" t="s">
        <v>7907</v>
      </c>
      <c r="E2103" t="s">
        <v>7905</v>
      </c>
      <c r="F2103" t="s">
        <v>28</v>
      </c>
      <c r="G2103" t="s">
        <v>7905</v>
      </c>
      <c r="H2103" t="str">
        <f>"C47E8.4"</f>
        <v>C47E8.4</v>
      </c>
      <c r="I2103" t="s">
        <v>7907</v>
      </c>
      <c r="J2103" t="s">
        <v>29</v>
      </c>
      <c r="K2103" t="s">
        <v>29</v>
      </c>
      <c r="L2103" t="s">
        <v>29</v>
      </c>
      <c r="M2103" t="s">
        <v>29</v>
      </c>
      <c r="N2103" t="s">
        <v>29</v>
      </c>
      <c r="O2103">
        <v>12.842353168417301</v>
      </c>
      <c r="P2103" t="s">
        <v>29</v>
      </c>
      <c r="Q2103" t="s">
        <v>29</v>
      </c>
      <c r="R2103" t="s">
        <v>29</v>
      </c>
      <c r="S2103">
        <v>13.072844436074901</v>
      </c>
      <c r="T2103" t="s">
        <v>29</v>
      </c>
      <c r="U2103" t="s">
        <v>29</v>
      </c>
      <c r="V2103" t="s">
        <v>29</v>
      </c>
      <c r="W2103" t="s">
        <v>29</v>
      </c>
      <c r="X2103" t="s">
        <v>29</v>
      </c>
      <c r="Y2103" t="s">
        <v>29</v>
      </c>
    </row>
    <row r="2104" spans="1:25" x14ac:dyDescent="0.2">
      <c r="A2104" t="s">
        <v>7908</v>
      </c>
      <c r="B2104" t="s">
        <v>7909</v>
      </c>
      <c r="C2104" t="s">
        <v>7910</v>
      </c>
      <c r="D2104" t="s">
        <v>7911</v>
      </c>
      <c r="E2104" t="s">
        <v>7909</v>
      </c>
      <c r="F2104" t="s">
        <v>28</v>
      </c>
      <c r="G2104" t="s">
        <v>7909</v>
      </c>
      <c r="H2104" t="str">
        <f>"pitr-1"</f>
        <v>pitr-1</v>
      </c>
      <c r="I2104" t="s">
        <v>7911</v>
      </c>
      <c r="J2104" t="s">
        <v>29</v>
      </c>
      <c r="K2104" t="s">
        <v>29</v>
      </c>
      <c r="L2104" t="s">
        <v>29</v>
      </c>
      <c r="M2104" t="s">
        <v>29</v>
      </c>
      <c r="N2104" t="s">
        <v>29</v>
      </c>
      <c r="O2104" t="s">
        <v>29</v>
      </c>
      <c r="P2104" t="s">
        <v>29</v>
      </c>
      <c r="Q2104" t="s">
        <v>29</v>
      </c>
      <c r="R2104" t="s">
        <v>29</v>
      </c>
      <c r="S2104">
        <v>11.309782782745399</v>
      </c>
      <c r="T2104" t="s">
        <v>29</v>
      </c>
      <c r="U2104" t="s">
        <v>29</v>
      </c>
      <c r="V2104" t="s">
        <v>29</v>
      </c>
      <c r="W2104" t="s">
        <v>29</v>
      </c>
      <c r="X2104" t="s">
        <v>29</v>
      </c>
      <c r="Y2104" t="s">
        <v>29</v>
      </c>
    </row>
    <row r="2105" spans="1:25" x14ac:dyDescent="0.2">
      <c r="A2105" t="s">
        <v>7912</v>
      </c>
      <c r="B2105" t="s">
        <v>7913</v>
      </c>
      <c r="C2105" t="s">
        <v>7914</v>
      </c>
      <c r="D2105" t="s">
        <v>7915</v>
      </c>
      <c r="E2105" t="s">
        <v>7913</v>
      </c>
      <c r="F2105" t="s">
        <v>28</v>
      </c>
      <c r="G2105" t="s">
        <v>7913</v>
      </c>
      <c r="H2105" t="str">
        <f>"nuaf-1"</f>
        <v>nuaf-1</v>
      </c>
      <c r="I2105" t="s">
        <v>7915</v>
      </c>
      <c r="J2105" t="s">
        <v>29</v>
      </c>
      <c r="K2105" t="s">
        <v>29</v>
      </c>
      <c r="L2105">
        <v>11.5800766930629</v>
      </c>
      <c r="M2105">
        <v>12.1602884329824</v>
      </c>
      <c r="N2105">
        <v>12.3729304552368</v>
      </c>
      <c r="O2105">
        <v>12.3592523446481</v>
      </c>
      <c r="P2105">
        <v>0.71741371789292396</v>
      </c>
      <c r="Q2105">
        <v>-0.132692107186234</v>
      </c>
      <c r="R2105">
        <v>1.5675195429720801</v>
      </c>
      <c r="S2105">
        <v>12.9117954942139</v>
      </c>
      <c r="T2105">
        <v>1.84052489944952</v>
      </c>
      <c r="U2105">
        <v>-5.1201926550943799</v>
      </c>
      <c r="V2105">
        <v>9.0759952266499994E-2</v>
      </c>
      <c r="W2105">
        <v>0.30892561158492798</v>
      </c>
      <c r="X2105">
        <v>0</v>
      </c>
      <c r="Y2105">
        <v>0</v>
      </c>
    </row>
    <row r="2106" spans="1:25" x14ac:dyDescent="0.2">
      <c r="A2106" t="s">
        <v>7916</v>
      </c>
      <c r="B2106" t="s">
        <v>7917</v>
      </c>
      <c r="C2106" t="s">
        <v>7918</v>
      </c>
      <c r="D2106" t="s">
        <v>3455</v>
      </c>
      <c r="E2106" t="s">
        <v>7917</v>
      </c>
      <c r="F2106" t="s">
        <v>28</v>
      </c>
      <c r="G2106" t="s">
        <v>7917</v>
      </c>
      <c r="H2106" t="str">
        <f>"C50F4.1"</f>
        <v>C50F4.1</v>
      </c>
      <c r="I2106" t="s">
        <v>3455</v>
      </c>
      <c r="J2106">
        <v>13.106090301244199</v>
      </c>
      <c r="K2106">
        <v>13.2785935241854</v>
      </c>
      <c r="L2106">
        <v>12.758587285033901</v>
      </c>
      <c r="M2106">
        <v>13.1190806577651</v>
      </c>
      <c r="N2106">
        <v>13.2108605209175</v>
      </c>
      <c r="O2106">
        <v>13.1365153879639</v>
      </c>
      <c r="P2106">
        <v>0.107728485394341</v>
      </c>
      <c r="Q2106">
        <v>-0.740859932315305</v>
      </c>
      <c r="R2106">
        <v>0.95631690310398798</v>
      </c>
      <c r="S2106">
        <v>12.6647645421567</v>
      </c>
      <c r="T2106">
        <v>0.269266908347982</v>
      </c>
      <c r="U2106">
        <v>-7.0139239613960402</v>
      </c>
      <c r="V2106">
        <v>0.791188341118092</v>
      </c>
      <c r="W2106">
        <v>0.91517844850619501</v>
      </c>
      <c r="X2106">
        <v>0</v>
      </c>
      <c r="Y2106">
        <v>0</v>
      </c>
    </row>
    <row r="2107" spans="1:25" x14ac:dyDescent="0.2">
      <c r="A2107" t="s">
        <v>7919</v>
      </c>
      <c r="B2107" t="s">
        <v>7920</v>
      </c>
      <c r="C2107" t="s">
        <v>7921</v>
      </c>
      <c r="D2107" t="s">
        <v>7922</v>
      </c>
      <c r="E2107" t="s">
        <v>7920</v>
      </c>
      <c r="F2107" t="s">
        <v>28</v>
      </c>
      <c r="G2107" t="s">
        <v>7920</v>
      </c>
      <c r="H2107" t="str">
        <f>"C51E3.6"</f>
        <v>C51E3.6</v>
      </c>
      <c r="I2107" t="s">
        <v>7922</v>
      </c>
      <c r="J2107">
        <v>10.5889254810615</v>
      </c>
      <c r="K2107">
        <v>10.5877842608402</v>
      </c>
      <c r="L2107">
        <v>11.6877332472534</v>
      </c>
      <c r="M2107" t="s">
        <v>29</v>
      </c>
      <c r="N2107">
        <v>10.3652379332305</v>
      </c>
      <c r="O2107">
        <v>10.776283194571301</v>
      </c>
      <c r="P2107">
        <v>-0.38405376581745898</v>
      </c>
      <c r="Q2107">
        <v>-1.6889596353391001</v>
      </c>
      <c r="R2107">
        <v>0.92085210370418302</v>
      </c>
      <c r="S2107">
        <v>11.083120294456499</v>
      </c>
      <c r="T2107">
        <v>-0.66698666083688496</v>
      </c>
      <c r="U2107">
        <v>-6.70224506151893</v>
      </c>
      <c r="V2107">
        <v>0.52170454726718696</v>
      </c>
      <c r="W2107">
        <v>0.766325374943159</v>
      </c>
      <c r="X2107">
        <v>0</v>
      </c>
      <c r="Y2107">
        <v>0</v>
      </c>
    </row>
    <row r="2108" spans="1:25" x14ac:dyDescent="0.2">
      <c r="A2108" t="s">
        <v>7923</v>
      </c>
      <c r="B2108" t="s">
        <v>7924</v>
      </c>
      <c r="C2108" t="s">
        <v>7925</v>
      </c>
      <c r="D2108" t="s">
        <v>7926</v>
      </c>
      <c r="E2108" t="s">
        <v>7924</v>
      </c>
      <c r="F2108" t="s">
        <v>28</v>
      </c>
      <c r="G2108" t="s">
        <v>7924</v>
      </c>
      <c r="H2108" t="str">
        <f>"sqv-7"</f>
        <v>sqv-7</v>
      </c>
      <c r="I2108" t="s">
        <v>7926</v>
      </c>
      <c r="J2108">
        <v>13.99776125679</v>
      </c>
      <c r="K2108">
        <v>14.2648655532691</v>
      </c>
      <c r="L2108">
        <v>14.405344195202799</v>
      </c>
      <c r="M2108">
        <v>14.2397829550998</v>
      </c>
      <c r="N2108">
        <v>13.9631328674075</v>
      </c>
      <c r="O2108">
        <v>14.3606181679098</v>
      </c>
      <c r="P2108">
        <v>-3.4812338281607701E-2</v>
      </c>
      <c r="Q2108">
        <v>-0.44998903559196002</v>
      </c>
      <c r="R2108">
        <v>0.38036435902874399</v>
      </c>
      <c r="S2108">
        <v>14.502948937959101</v>
      </c>
      <c r="T2108">
        <v>-0.17699061502038901</v>
      </c>
      <c r="U2108">
        <v>-7.03563372648133</v>
      </c>
      <c r="V2108">
        <v>0.86162020465561695</v>
      </c>
      <c r="W2108">
        <v>0.945921776636092</v>
      </c>
      <c r="X2108">
        <v>0</v>
      </c>
      <c r="Y2108">
        <v>0</v>
      </c>
    </row>
    <row r="2109" spans="1:25" x14ac:dyDescent="0.2">
      <c r="A2109" t="s">
        <v>7927</v>
      </c>
      <c r="B2109" t="s">
        <v>7928</v>
      </c>
      <c r="C2109" t="s">
        <v>7929</v>
      </c>
      <c r="D2109" t="s">
        <v>7930</v>
      </c>
      <c r="E2109" t="s">
        <v>7928</v>
      </c>
      <c r="F2109" t="s">
        <v>28</v>
      </c>
      <c r="G2109" t="s">
        <v>7928</v>
      </c>
      <c r="H2109" t="str">
        <f>"rpt-1"</f>
        <v>rpt-1</v>
      </c>
      <c r="I2109" t="s">
        <v>7930</v>
      </c>
      <c r="J2109">
        <v>15.366900848283899</v>
      </c>
      <c r="K2109">
        <v>15.1332256848266</v>
      </c>
      <c r="L2109">
        <v>15.1238180282791</v>
      </c>
      <c r="M2109">
        <v>14.841513140338201</v>
      </c>
      <c r="N2109">
        <v>15.179877352408001</v>
      </c>
      <c r="O2109">
        <v>15.050188802718999</v>
      </c>
      <c r="P2109">
        <v>-0.18412175530814601</v>
      </c>
      <c r="Q2109">
        <v>-0.50227933853485995</v>
      </c>
      <c r="R2109">
        <v>0.134035827918568</v>
      </c>
      <c r="S2109">
        <v>15.1476882090214</v>
      </c>
      <c r="T2109">
        <v>-1.21634098498615</v>
      </c>
      <c r="U2109">
        <v>-6.3073521484947896</v>
      </c>
      <c r="V2109">
        <v>0.239656041751381</v>
      </c>
      <c r="W2109">
        <v>0.51411975465742199</v>
      </c>
      <c r="X2109">
        <v>0</v>
      </c>
      <c r="Y2109">
        <v>0</v>
      </c>
    </row>
    <row r="2110" spans="1:25" x14ac:dyDescent="0.2">
      <c r="A2110" t="s">
        <v>7931</v>
      </c>
      <c r="B2110" t="s">
        <v>7932</v>
      </c>
      <c r="C2110" t="s">
        <v>7933</v>
      </c>
      <c r="D2110" t="s">
        <v>107</v>
      </c>
      <c r="E2110" t="s">
        <v>7932</v>
      </c>
      <c r="F2110" t="s">
        <v>28</v>
      </c>
      <c r="G2110" t="s">
        <v>7932</v>
      </c>
      <c r="H2110" t="str">
        <f>"C53B4.3"</f>
        <v>C53B4.3</v>
      </c>
      <c r="I2110" t="s">
        <v>107</v>
      </c>
      <c r="J2110">
        <v>12.5667354498012</v>
      </c>
      <c r="K2110" t="s">
        <v>29</v>
      </c>
      <c r="L2110">
        <v>12.3424718431557</v>
      </c>
      <c r="M2110" t="s">
        <v>29</v>
      </c>
      <c r="N2110" t="s">
        <v>29</v>
      </c>
      <c r="O2110" t="s">
        <v>29</v>
      </c>
      <c r="P2110" t="s">
        <v>29</v>
      </c>
      <c r="Q2110" t="s">
        <v>29</v>
      </c>
      <c r="R2110" t="s">
        <v>29</v>
      </c>
      <c r="S2110">
        <v>12.3448499394446</v>
      </c>
      <c r="T2110" t="s">
        <v>29</v>
      </c>
      <c r="U2110" t="s">
        <v>29</v>
      </c>
      <c r="V2110" t="s">
        <v>29</v>
      </c>
      <c r="W2110" t="s">
        <v>29</v>
      </c>
      <c r="X2110" t="s">
        <v>29</v>
      </c>
      <c r="Y2110" t="s">
        <v>29</v>
      </c>
    </row>
    <row r="2111" spans="1:25" x14ac:dyDescent="0.2">
      <c r="A2111" t="s">
        <v>7934</v>
      </c>
      <c r="B2111" t="s">
        <v>7935</v>
      </c>
      <c r="C2111" t="s">
        <v>7936</v>
      </c>
      <c r="D2111" t="s">
        <v>3312</v>
      </c>
      <c r="E2111" t="s">
        <v>7935</v>
      </c>
      <c r="F2111" t="s">
        <v>28</v>
      </c>
      <c r="G2111" t="s">
        <v>7935</v>
      </c>
      <c r="H2111" t="str">
        <f>"col-119"</f>
        <v>col-119</v>
      </c>
      <c r="I2111" t="s">
        <v>3312</v>
      </c>
      <c r="J2111">
        <v>17.890084684440101</v>
      </c>
      <c r="K2111">
        <v>14.5575932782242</v>
      </c>
      <c r="L2111">
        <v>14.392120603320301</v>
      </c>
      <c r="M2111" t="s">
        <v>29</v>
      </c>
      <c r="N2111" t="s">
        <v>29</v>
      </c>
      <c r="O2111">
        <v>16.087339414881601</v>
      </c>
      <c r="P2111">
        <v>0.474073226220037</v>
      </c>
      <c r="Q2111">
        <v>-1.9590270045351299</v>
      </c>
      <c r="R2111">
        <v>2.9071734569752001</v>
      </c>
      <c r="S2111">
        <v>14.9319181050707</v>
      </c>
      <c r="T2111">
        <v>0.418193541776191</v>
      </c>
      <c r="U2111">
        <v>-6.6173867331742802</v>
      </c>
      <c r="V2111">
        <v>0.68219677188259198</v>
      </c>
      <c r="W2111">
        <v>0.85722167970248597</v>
      </c>
      <c r="X2111">
        <v>0</v>
      </c>
      <c r="Y2111">
        <v>0</v>
      </c>
    </row>
    <row r="2112" spans="1:25" x14ac:dyDescent="0.2">
      <c r="A2112" t="s">
        <v>7937</v>
      </c>
      <c r="B2112" t="s">
        <v>7938</v>
      </c>
      <c r="C2112" t="s">
        <v>7939</v>
      </c>
      <c r="D2112" t="s">
        <v>7940</v>
      </c>
      <c r="E2112" t="s">
        <v>7938</v>
      </c>
      <c r="F2112" t="s">
        <v>28</v>
      </c>
      <c r="G2112" t="s">
        <v>7938</v>
      </c>
      <c r="H2112" t="str">
        <f>"bre-1"</f>
        <v>bre-1</v>
      </c>
      <c r="I2112" t="s">
        <v>7940</v>
      </c>
      <c r="J2112">
        <v>15.45107001469</v>
      </c>
      <c r="K2112">
        <v>15.4705925105942</v>
      </c>
      <c r="L2112">
        <v>15.322241059268199</v>
      </c>
      <c r="M2112">
        <v>15.521216569576501</v>
      </c>
      <c r="N2112">
        <v>14.9290031519996</v>
      </c>
      <c r="O2112">
        <v>14.681523963843199</v>
      </c>
      <c r="P2112">
        <v>-0.37071996637771298</v>
      </c>
      <c r="Q2112">
        <v>-0.95285852747626598</v>
      </c>
      <c r="R2112">
        <v>0.21141859472083999</v>
      </c>
      <c r="S2112">
        <v>14.8290592016779</v>
      </c>
      <c r="T2112">
        <v>-1.3384807271022601</v>
      </c>
      <c r="U2112">
        <v>-6.1576121215594801</v>
      </c>
      <c r="V2112">
        <v>0.19749825790706799</v>
      </c>
      <c r="W2112">
        <v>0.45806082054853903</v>
      </c>
      <c r="X2112">
        <v>0</v>
      </c>
      <c r="Y2112">
        <v>0</v>
      </c>
    </row>
    <row r="2113" spans="1:25" x14ac:dyDescent="0.2">
      <c r="A2113" t="s">
        <v>7941</v>
      </c>
      <c r="B2113" t="s">
        <v>7942</v>
      </c>
      <c r="C2113" t="s">
        <v>7943</v>
      </c>
      <c r="D2113" t="s">
        <v>7944</v>
      </c>
      <c r="E2113" t="s">
        <v>7942</v>
      </c>
      <c r="F2113" t="s">
        <v>28</v>
      </c>
      <c r="G2113" t="s">
        <v>7942</v>
      </c>
      <c r="H2113" t="str">
        <f>"asg-2"</f>
        <v>asg-2</v>
      </c>
      <c r="I2113" t="s">
        <v>7944</v>
      </c>
      <c r="J2113">
        <v>15.552093242911599</v>
      </c>
      <c r="K2113">
        <v>15.269361441431901</v>
      </c>
      <c r="L2113">
        <v>15.1873087291678</v>
      </c>
      <c r="M2113">
        <v>15.2630539545001</v>
      </c>
      <c r="N2113">
        <v>14.5768613637721</v>
      </c>
      <c r="O2113">
        <v>15.0011025175887</v>
      </c>
      <c r="P2113">
        <v>-0.38924852588347703</v>
      </c>
      <c r="Q2113">
        <v>-0.93696173783171899</v>
      </c>
      <c r="R2113">
        <v>0.15846468606476399</v>
      </c>
      <c r="S2113">
        <v>14.6516848751537</v>
      </c>
      <c r="T2113">
        <v>-1.5001123019032501</v>
      </c>
      <c r="U2113">
        <v>-5.9420254484404804</v>
      </c>
      <c r="V2113">
        <v>0.15204064562713801</v>
      </c>
      <c r="W2113">
        <v>0.40321129655314503</v>
      </c>
      <c r="X2113">
        <v>0</v>
      </c>
      <c r="Y2113">
        <v>0</v>
      </c>
    </row>
    <row r="2114" spans="1:25" x14ac:dyDescent="0.2">
      <c r="A2114" t="s">
        <v>7945</v>
      </c>
      <c r="B2114" t="s">
        <v>7946</v>
      </c>
      <c r="C2114" t="s">
        <v>7947</v>
      </c>
      <c r="D2114" t="s">
        <v>7948</v>
      </c>
      <c r="E2114" t="s">
        <v>7946</v>
      </c>
      <c r="F2114" t="s">
        <v>28</v>
      </c>
      <c r="G2114" t="s">
        <v>7946</v>
      </c>
      <c r="H2114" t="str">
        <f>"C53B7.2"</f>
        <v>C53B7.2</v>
      </c>
      <c r="I2114" t="s">
        <v>7948</v>
      </c>
      <c r="J2114">
        <v>11.884824053336599</v>
      </c>
      <c r="K2114">
        <v>10.6148377849951</v>
      </c>
      <c r="L2114">
        <v>11.603878338024799</v>
      </c>
      <c r="M2114">
        <v>12.303721875988099</v>
      </c>
      <c r="N2114">
        <v>11.6372551120957</v>
      </c>
      <c r="O2114">
        <v>10.9113500176699</v>
      </c>
      <c r="P2114">
        <v>0.249595609799073</v>
      </c>
      <c r="Q2114">
        <v>-0.69726975141839098</v>
      </c>
      <c r="R2114">
        <v>1.1964609710165399</v>
      </c>
      <c r="S2114">
        <v>11.5104109320477</v>
      </c>
      <c r="T2114">
        <v>0.56577089953912396</v>
      </c>
      <c r="U2114">
        <v>-6.8837258620496797</v>
      </c>
      <c r="V2114">
        <v>0.58057181769005295</v>
      </c>
      <c r="W2114">
        <v>0.79970129340233898</v>
      </c>
      <c r="X2114">
        <v>0</v>
      </c>
      <c r="Y2114">
        <v>0</v>
      </c>
    </row>
    <row r="2115" spans="1:25" x14ac:dyDescent="0.2">
      <c r="A2115" t="s">
        <v>7949</v>
      </c>
      <c r="B2115" t="s">
        <v>7950</v>
      </c>
      <c r="C2115" t="s">
        <v>7951</v>
      </c>
      <c r="D2115" t="s">
        <v>1075</v>
      </c>
      <c r="E2115" t="s">
        <v>7950</v>
      </c>
      <c r="F2115" t="s">
        <v>28</v>
      </c>
      <c r="G2115" t="s">
        <v>7950</v>
      </c>
      <c r="H2115" t="str">
        <f>"C53D6.7"</f>
        <v>C53D6.7</v>
      </c>
      <c r="I2115" t="s">
        <v>1075</v>
      </c>
      <c r="J2115">
        <v>15.051300660115601</v>
      </c>
      <c r="K2115">
        <v>14.5542101626591</v>
      </c>
      <c r="L2115">
        <v>14.3219724767436</v>
      </c>
      <c r="M2115">
        <v>14.388443095109499</v>
      </c>
      <c r="N2115">
        <v>13.7700650700266</v>
      </c>
      <c r="O2115">
        <v>13.943232823432799</v>
      </c>
      <c r="P2115">
        <v>-0.60858077031649105</v>
      </c>
      <c r="Q2115">
        <v>-1.09247204090465</v>
      </c>
      <c r="R2115">
        <v>-0.124689499728335</v>
      </c>
      <c r="S2115">
        <v>13.802877572737099</v>
      </c>
      <c r="T2115">
        <v>-2.6434003991307899</v>
      </c>
      <c r="U2115">
        <v>-3.9648061203967302</v>
      </c>
      <c r="V2115">
        <v>1.6572662770905699E-2</v>
      </c>
      <c r="W2115">
        <v>0.12126363911433</v>
      </c>
      <c r="X2115">
        <v>0</v>
      </c>
      <c r="Y2115">
        <v>0</v>
      </c>
    </row>
    <row r="2116" spans="1:25" x14ac:dyDescent="0.2">
      <c r="A2116" t="s">
        <v>7952</v>
      </c>
      <c r="B2116" t="s">
        <v>7953</v>
      </c>
      <c r="C2116" t="s">
        <v>7954</v>
      </c>
      <c r="D2116" t="s">
        <v>3563</v>
      </c>
      <c r="E2116" t="s">
        <v>7953</v>
      </c>
      <c r="F2116" t="s">
        <v>28</v>
      </c>
      <c r="G2116" t="s">
        <v>7953</v>
      </c>
      <c r="H2116" t="str">
        <f>"ben-1"</f>
        <v>ben-1</v>
      </c>
      <c r="I2116" t="s">
        <v>3563</v>
      </c>
      <c r="J2116">
        <v>14.014380339133201</v>
      </c>
      <c r="K2116">
        <v>14.1717215662795</v>
      </c>
      <c r="L2116">
        <v>13.9449220716987</v>
      </c>
      <c r="M2116">
        <v>14.3911516959948</v>
      </c>
      <c r="N2116">
        <v>14.018191623461</v>
      </c>
      <c r="O2116">
        <v>14.3078264478607</v>
      </c>
      <c r="P2116">
        <v>0.19538193006833099</v>
      </c>
      <c r="Q2116">
        <v>-0.17015568441748599</v>
      </c>
      <c r="R2116">
        <v>0.56091954455414805</v>
      </c>
      <c r="S2116">
        <v>13.7887267070339</v>
      </c>
      <c r="T2116">
        <v>1.12342694303075</v>
      </c>
      <c r="U2116">
        <v>-6.4131175687340702</v>
      </c>
      <c r="V2116">
        <v>0.27610214732815602</v>
      </c>
      <c r="W2116">
        <v>0.55459036259618599</v>
      </c>
      <c r="X2116">
        <v>0</v>
      </c>
      <c r="Y2116">
        <v>0</v>
      </c>
    </row>
    <row r="2117" spans="1:25" x14ac:dyDescent="0.2">
      <c r="A2117" t="s">
        <v>7955</v>
      </c>
      <c r="B2117" t="s">
        <v>7956</v>
      </c>
      <c r="C2117" t="s">
        <v>7957</v>
      </c>
      <c r="D2117" t="s">
        <v>7958</v>
      </c>
      <c r="E2117" t="s">
        <v>7956</v>
      </c>
      <c r="F2117" t="s">
        <v>28</v>
      </c>
      <c r="G2117" t="s">
        <v>7956</v>
      </c>
      <c r="H2117" t="str">
        <f>"lam-2"</f>
        <v>lam-2</v>
      </c>
      <c r="I2117" t="s">
        <v>7958</v>
      </c>
      <c r="J2117">
        <v>13.032802229447601</v>
      </c>
      <c r="K2117">
        <v>13.287666904498099</v>
      </c>
      <c r="L2117">
        <v>13.9514186842325</v>
      </c>
      <c r="M2117">
        <v>13.8563612221682</v>
      </c>
      <c r="N2117">
        <v>14.011269844203399</v>
      </c>
      <c r="O2117">
        <v>13.9135621068022</v>
      </c>
      <c r="P2117">
        <v>0.50310178499853098</v>
      </c>
      <c r="Q2117">
        <v>-4.6385749910863597E-2</v>
      </c>
      <c r="R2117">
        <v>1.0525893199079299</v>
      </c>
      <c r="S2117">
        <v>13.455028086484001</v>
      </c>
      <c r="T2117">
        <v>1.92437863422911</v>
      </c>
      <c r="U2117">
        <v>-5.2894507332009004</v>
      </c>
      <c r="V2117">
        <v>7.0357950611924E-2</v>
      </c>
      <c r="W2117">
        <v>0.26998204161698203</v>
      </c>
      <c r="X2117">
        <v>0</v>
      </c>
      <c r="Y2117">
        <v>0</v>
      </c>
    </row>
    <row r="2118" spans="1:25" x14ac:dyDescent="0.2">
      <c r="A2118" t="s">
        <v>7959</v>
      </c>
      <c r="B2118" t="s">
        <v>7960</v>
      </c>
      <c r="C2118" t="s">
        <v>7961</v>
      </c>
      <c r="D2118" t="s">
        <v>7962</v>
      </c>
      <c r="E2118" t="s">
        <v>7960</v>
      </c>
      <c r="F2118" t="s">
        <v>28</v>
      </c>
      <c r="G2118" t="s">
        <v>7960</v>
      </c>
      <c r="H2118" t="str">
        <f>"rfc-1"</f>
        <v>rfc-1</v>
      </c>
      <c r="I2118" t="s">
        <v>7962</v>
      </c>
      <c r="J2118" t="s">
        <v>29</v>
      </c>
      <c r="K2118">
        <v>10.460338186029301</v>
      </c>
      <c r="L2118">
        <v>11.327522030513</v>
      </c>
      <c r="M2118">
        <v>11.468524320388701</v>
      </c>
      <c r="N2118" t="s">
        <v>29</v>
      </c>
      <c r="O2118">
        <v>10.820684230537401</v>
      </c>
      <c r="P2118">
        <v>0.25067416719189101</v>
      </c>
      <c r="Q2118">
        <v>-0.98839007078769103</v>
      </c>
      <c r="R2118">
        <v>1.4897384051714699</v>
      </c>
      <c r="S2118">
        <v>11.3035836493258</v>
      </c>
      <c r="T2118">
        <v>0.44122566951452902</v>
      </c>
      <c r="U2118">
        <v>-6.7476753682596602</v>
      </c>
      <c r="V2118">
        <v>0.66696277141051796</v>
      </c>
      <c r="W2118">
        <v>0.85063296703903801</v>
      </c>
      <c r="X2118">
        <v>0</v>
      </c>
      <c r="Y2118">
        <v>0</v>
      </c>
    </row>
    <row r="2119" spans="1:25" x14ac:dyDescent="0.2">
      <c r="A2119" t="s">
        <v>7963</v>
      </c>
      <c r="B2119" t="s">
        <v>7964</v>
      </c>
      <c r="C2119" t="s">
        <v>7965</v>
      </c>
      <c r="D2119" t="s">
        <v>7966</v>
      </c>
      <c r="E2119" t="s">
        <v>7964</v>
      </c>
      <c r="F2119" t="s">
        <v>28</v>
      </c>
      <c r="G2119" t="s">
        <v>7964</v>
      </c>
      <c r="H2119" t="str">
        <f>"rskn-2"</f>
        <v>rskn-2</v>
      </c>
      <c r="I2119" t="s">
        <v>7966</v>
      </c>
      <c r="J2119">
        <v>14.4137742967105</v>
      </c>
      <c r="K2119">
        <v>14.3942305253388</v>
      </c>
      <c r="L2119">
        <v>14.058381787298</v>
      </c>
      <c r="M2119">
        <v>14.3233512656213</v>
      </c>
      <c r="N2119">
        <v>14.4920284574308</v>
      </c>
      <c r="O2119">
        <v>14.417531516135901</v>
      </c>
      <c r="P2119">
        <v>0.122174876613521</v>
      </c>
      <c r="Q2119">
        <v>-0.28567008775320002</v>
      </c>
      <c r="R2119">
        <v>0.53001984098024102</v>
      </c>
      <c r="S2119">
        <v>13.983945190503</v>
      </c>
      <c r="T2119">
        <v>0.62962116380432898</v>
      </c>
      <c r="U2119">
        <v>-6.8466199713061799</v>
      </c>
      <c r="V2119">
        <v>0.53689902145889201</v>
      </c>
      <c r="W2119">
        <v>0.77501266500839605</v>
      </c>
      <c r="X2119">
        <v>0</v>
      </c>
      <c r="Y2119">
        <v>0</v>
      </c>
    </row>
    <row r="2120" spans="1:25" x14ac:dyDescent="0.2">
      <c r="A2120" t="s">
        <v>7967</v>
      </c>
      <c r="B2120" t="s">
        <v>7968</v>
      </c>
      <c r="C2120" t="s">
        <v>7969</v>
      </c>
      <c r="D2120" t="s">
        <v>141</v>
      </c>
      <c r="E2120" t="s">
        <v>7968</v>
      </c>
      <c r="F2120" t="s">
        <v>28</v>
      </c>
      <c r="G2120" t="s">
        <v>7968</v>
      </c>
      <c r="H2120" t="str">
        <f>"C54G4.7"</f>
        <v>C54G4.7</v>
      </c>
      <c r="I2120" t="s">
        <v>141</v>
      </c>
      <c r="J2120">
        <v>14.7729102065303</v>
      </c>
      <c r="K2120">
        <v>14.8400116337555</v>
      </c>
      <c r="L2120">
        <v>14.7210098719339</v>
      </c>
      <c r="M2120">
        <v>14.725257259919299</v>
      </c>
      <c r="N2120">
        <v>15.427711612805499</v>
      </c>
      <c r="O2120">
        <v>15.1619377115343</v>
      </c>
      <c r="P2120">
        <v>0.32699162401314102</v>
      </c>
      <c r="Q2120">
        <v>-0.15536657486845901</v>
      </c>
      <c r="R2120">
        <v>0.809349822894741</v>
      </c>
      <c r="S2120">
        <v>14.796718206164201</v>
      </c>
      <c r="T2120">
        <v>1.4378596391341301</v>
      </c>
      <c r="U2120">
        <v>-6.02720510601453</v>
      </c>
      <c r="V2120">
        <v>0.16987028266222001</v>
      </c>
      <c r="W2120">
        <v>0.42750030919014897</v>
      </c>
      <c r="X2120">
        <v>0</v>
      </c>
      <c r="Y2120">
        <v>0</v>
      </c>
    </row>
    <row r="2121" spans="1:25" x14ac:dyDescent="0.2">
      <c r="A2121" t="s">
        <v>7970</v>
      </c>
      <c r="B2121" t="s">
        <v>7971</v>
      </c>
      <c r="C2121" t="s">
        <v>7972</v>
      </c>
      <c r="D2121" t="s">
        <v>7973</v>
      </c>
      <c r="E2121" t="s">
        <v>7971</v>
      </c>
      <c r="F2121" t="s">
        <v>28</v>
      </c>
      <c r="G2121" t="s">
        <v>7971</v>
      </c>
      <c r="H2121" t="str">
        <f>"cyc-1"</f>
        <v>cyc-1</v>
      </c>
      <c r="I2121" t="s">
        <v>7973</v>
      </c>
      <c r="J2121">
        <v>13.7302597823584</v>
      </c>
      <c r="K2121">
        <v>13.9177684322333</v>
      </c>
      <c r="L2121">
        <v>13.3301712450831</v>
      </c>
      <c r="M2121">
        <v>13.790118284130999</v>
      </c>
      <c r="N2121">
        <v>13.7325041864519</v>
      </c>
      <c r="O2121">
        <v>13.637098995260301</v>
      </c>
      <c r="P2121">
        <v>6.0507335389489797E-2</v>
      </c>
      <c r="Q2121">
        <v>-0.377703601653604</v>
      </c>
      <c r="R2121">
        <v>0.49871827243258399</v>
      </c>
      <c r="S2121">
        <v>13.430198361847699</v>
      </c>
      <c r="T2121">
        <v>0.29021331129962702</v>
      </c>
      <c r="U2121">
        <v>-7.0080521290485498</v>
      </c>
      <c r="V2121">
        <v>0.77498924400064995</v>
      </c>
      <c r="W2121">
        <v>0.90517408470140603</v>
      </c>
      <c r="X2121">
        <v>0</v>
      </c>
      <c r="Y2121">
        <v>0</v>
      </c>
    </row>
    <row r="2122" spans="1:25" x14ac:dyDescent="0.2">
      <c r="A2122" t="s">
        <v>7974</v>
      </c>
      <c r="B2122" t="s">
        <v>7975</v>
      </c>
      <c r="C2122" t="s">
        <v>7976</v>
      </c>
      <c r="D2122" t="s">
        <v>2720</v>
      </c>
      <c r="E2122" t="s">
        <v>7975</v>
      </c>
      <c r="F2122" t="s">
        <v>28</v>
      </c>
      <c r="G2122" t="s">
        <v>7975</v>
      </c>
      <c r="H2122" t="str">
        <f>"C54G4.9"</f>
        <v>C54G4.9</v>
      </c>
      <c r="I2122" t="s">
        <v>2720</v>
      </c>
      <c r="J2122">
        <v>12.0865008784415</v>
      </c>
      <c r="K2122">
        <v>12.5143937858273</v>
      </c>
      <c r="L2122">
        <v>12.2646110617102</v>
      </c>
      <c r="M2122">
        <v>12.789261151656801</v>
      </c>
      <c r="N2122">
        <v>13.0699766541701</v>
      </c>
      <c r="O2122">
        <v>12.096702975087799</v>
      </c>
      <c r="P2122">
        <v>0.36347835164526598</v>
      </c>
      <c r="Q2122">
        <v>-0.368954251881705</v>
      </c>
      <c r="R2122">
        <v>1.0959109551722399</v>
      </c>
      <c r="S2122">
        <v>12.6805838753494</v>
      </c>
      <c r="T2122">
        <v>1.04751655372941</v>
      </c>
      <c r="U2122">
        <v>-6.4933255746537002</v>
      </c>
      <c r="V2122">
        <v>0.30961674349133</v>
      </c>
      <c r="W2122">
        <v>0.58883277809514201</v>
      </c>
      <c r="X2122">
        <v>0</v>
      </c>
      <c r="Y2122">
        <v>0</v>
      </c>
    </row>
    <row r="2123" spans="1:25" x14ac:dyDescent="0.2">
      <c r="A2123" t="s">
        <v>7977</v>
      </c>
      <c r="B2123" t="s">
        <v>7978</v>
      </c>
      <c r="C2123" t="s">
        <v>7979</v>
      </c>
      <c r="D2123" t="s">
        <v>7980</v>
      </c>
      <c r="E2123" t="s">
        <v>7978</v>
      </c>
      <c r="F2123" t="s">
        <v>28</v>
      </c>
      <c r="G2123" t="s">
        <v>7978</v>
      </c>
      <c r="H2123" t="str">
        <f>"sft-4"</f>
        <v>sft-4</v>
      </c>
      <c r="I2123" t="s">
        <v>7980</v>
      </c>
      <c r="J2123">
        <v>15.1891926563335</v>
      </c>
      <c r="K2123">
        <v>15.502302640121201</v>
      </c>
      <c r="L2123">
        <v>15.7820514873764</v>
      </c>
      <c r="M2123">
        <v>15.167659674469199</v>
      </c>
      <c r="N2123">
        <v>14.955312148159001</v>
      </c>
      <c r="O2123">
        <v>15.1170777650535</v>
      </c>
      <c r="P2123">
        <v>-0.41116573204982398</v>
      </c>
      <c r="Q2123">
        <v>-0.76984003212367402</v>
      </c>
      <c r="R2123">
        <v>-5.2491431975974202E-2</v>
      </c>
      <c r="S2123">
        <v>15.7387003632406</v>
      </c>
      <c r="T2123">
        <v>-2.40940144008409</v>
      </c>
      <c r="U2123">
        <v>-4.4201695752419701</v>
      </c>
      <c r="V2123">
        <v>2.6971335470577399E-2</v>
      </c>
      <c r="W2123">
        <v>0.160547374987489</v>
      </c>
      <c r="X2123">
        <v>0</v>
      </c>
      <c r="Y2123">
        <v>0</v>
      </c>
    </row>
    <row r="2124" spans="1:25" x14ac:dyDescent="0.2">
      <c r="A2124" t="s">
        <v>7981</v>
      </c>
      <c r="B2124" t="s">
        <v>7982</v>
      </c>
      <c r="C2124" t="s">
        <v>7983</v>
      </c>
      <c r="D2124" t="s">
        <v>7984</v>
      </c>
      <c r="E2124" t="s">
        <v>7982</v>
      </c>
      <c r="F2124" t="s">
        <v>28</v>
      </c>
      <c r="G2124" t="s">
        <v>7982</v>
      </c>
      <c r="H2124" t="str">
        <f>"C56A3.5"</f>
        <v>C56A3.5</v>
      </c>
      <c r="I2124" t="s">
        <v>7984</v>
      </c>
      <c r="J2124" t="s">
        <v>29</v>
      </c>
      <c r="K2124" t="s">
        <v>29</v>
      </c>
      <c r="L2124" t="s">
        <v>29</v>
      </c>
      <c r="M2124" t="s">
        <v>29</v>
      </c>
      <c r="N2124" t="s">
        <v>29</v>
      </c>
      <c r="O2124" t="s">
        <v>29</v>
      </c>
      <c r="P2124" t="s">
        <v>29</v>
      </c>
      <c r="Q2124" t="s">
        <v>29</v>
      </c>
      <c r="R2124" t="s">
        <v>29</v>
      </c>
      <c r="S2124">
        <v>12.425381014727501</v>
      </c>
      <c r="T2124" t="s">
        <v>29</v>
      </c>
      <c r="U2124" t="s">
        <v>29</v>
      </c>
      <c r="V2124" t="s">
        <v>29</v>
      </c>
      <c r="W2124" t="s">
        <v>29</v>
      </c>
      <c r="X2124" t="s">
        <v>29</v>
      </c>
      <c r="Y2124" t="s">
        <v>29</v>
      </c>
    </row>
    <row r="2125" spans="1:25" x14ac:dyDescent="0.2">
      <c r="A2125" t="s">
        <v>7985</v>
      </c>
      <c r="B2125" t="s">
        <v>7986</v>
      </c>
      <c r="C2125" t="s">
        <v>7987</v>
      </c>
      <c r="D2125" t="s">
        <v>7988</v>
      </c>
      <c r="E2125" t="s">
        <v>7986</v>
      </c>
      <c r="F2125" t="s">
        <v>28</v>
      </c>
      <c r="G2125" t="s">
        <v>7986</v>
      </c>
      <c r="H2125" t="str">
        <f>"icd-1"</f>
        <v>icd-1</v>
      </c>
      <c r="I2125" t="s">
        <v>7988</v>
      </c>
      <c r="J2125">
        <v>10.971345158400601</v>
      </c>
      <c r="K2125">
        <v>12.3330689177018</v>
      </c>
      <c r="L2125">
        <v>12.990161993270601</v>
      </c>
      <c r="M2125">
        <v>13.272076378245499</v>
      </c>
      <c r="N2125">
        <v>13.0257326971049</v>
      </c>
      <c r="O2125">
        <v>14.500787779566</v>
      </c>
      <c r="P2125">
        <v>1.50134026184778</v>
      </c>
      <c r="Q2125">
        <v>0.477733960662796</v>
      </c>
      <c r="R2125">
        <v>2.5249465630327599</v>
      </c>
      <c r="S2125">
        <v>12.7565678690145</v>
      </c>
      <c r="T2125">
        <v>3.0827527498121299</v>
      </c>
      <c r="U2125">
        <v>-3.0645811773862901</v>
      </c>
      <c r="V2125">
        <v>6.4495753337469996E-3</v>
      </c>
      <c r="W2125">
        <v>6.49749787492655E-2</v>
      </c>
      <c r="X2125">
        <v>1</v>
      </c>
      <c r="Y2125">
        <v>0</v>
      </c>
    </row>
    <row r="2126" spans="1:25" x14ac:dyDescent="0.2">
      <c r="A2126" t="s">
        <v>7989</v>
      </c>
      <c r="B2126" t="s">
        <v>7990</v>
      </c>
      <c r="C2126" t="s">
        <v>7991</v>
      </c>
      <c r="D2126" t="s">
        <v>7992</v>
      </c>
      <c r="E2126" t="s">
        <v>7990</v>
      </c>
      <c r="F2126" t="s">
        <v>28</v>
      </c>
      <c r="G2126" t="s">
        <v>7990</v>
      </c>
      <c r="H2126" t="str">
        <f>"vps-32.1"</f>
        <v>vps-32.1</v>
      </c>
      <c r="I2126" t="s">
        <v>7992</v>
      </c>
      <c r="J2126" t="s">
        <v>29</v>
      </c>
      <c r="K2126" t="s">
        <v>29</v>
      </c>
      <c r="L2126" t="s">
        <v>29</v>
      </c>
      <c r="M2126">
        <v>12.127012501089901</v>
      </c>
      <c r="N2126">
        <v>11.7390051512919</v>
      </c>
      <c r="O2126">
        <v>11.8378111754814</v>
      </c>
      <c r="P2126" t="s">
        <v>29</v>
      </c>
      <c r="Q2126" t="s">
        <v>29</v>
      </c>
      <c r="R2126" t="s">
        <v>29</v>
      </c>
      <c r="S2126">
        <v>11.6735211576555</v>
      </c>
      <c r="T2126" t="s">
        <v>29</v>
      </c>
      <c r="U2126" t="s">
        <v>29</v>
      </c>
      <c r="V2126" t="s">
        <v>29</v>
      </c>
      <c r="W2126" t="s">
        <v>29</v>
      </c>
      <c r="X2126" t="s">
        <v>29</v>
      </c>
      <c r="Y2126" t="s">
        <v>29</v>
      </c>
    </row>
    <row r="2127" spans="1:25" x14ac:dyDescent="0.2">
      <c r="A2127" t="s">
        <v>7993</v>
      </c>
      <c r="B2127" t="s">
        <v>7994</v>
      </c>
      <c r="C2127" t="s">
        <v>7995</v>
      </c>
      <c r="D2127" t="s">
        <v>7996</v>
      </c>
      <c r="E2127" t="s">
        <v>7994</v>
      </c>
      <c r="F2127" t="s">
        <v>28</v>
      </c>
      <c r="G2127" t="s">
        <v>7994</v>
      </c>
      <c r="H2127" t="str">
        <f>"vps-33.2"</f>
        <v>vps-33.2</v>
      </c>
      <c r="I2127" t="s">
        <v>7996</v>
      </c>
      <c r="J2127">
        <v>11.7023919132117</v>
      </c>
      <c r="K2127">
        <v>13.0697542835577</v>
      </c>
      <c r="L2127" t="s">
        <v>29</v>
      </c>
      <c r="M2127">
        <v>12.8895940725358</v>
      </c>
      <c r="N2127">
        <v>12.192674801897599</v>
      </c>
      <c r="O2127">
        <v>12.361796896484</v>
      </c>
      <c r="P2127">
        <v>9.52821585878105E-2</v>
      </c>
      <c r="Q2127">
        <v>-0.95134931701930503</v>
      </c>
      <c r="R2127">
        <v>1.1419136341949301</v>
      </c>
      <c r="S2127">
        <v>12.173250575318001</v>
      </c>
      <c r="T2127">
        <v>0.193093353877892</v>
      </c>
      <c r="U2127">
        <v>-6.9218211601582604</v>
      </c>
      <c r="V2127">
        <v>0.849331583266838</v>
      </c>
      <c r="W2127">
        <v>0.94093204807378505</v>
      </c>
      <c r="X2127">
        <v>0</v>
      </c>
      <c r="Y2127">
        <v>0</v>
      </c>
    </row>
    <row r="2128" spans="1:25" x14ac:dyDescent="0.2">
      <c r="A2128" t="s">
        <v>7997</v>
      </c>
      <c r="B2128" t="s">
        <v>7998</v>
      </c>
      <c r="C2128" t="s">
        <v>7999</v>
      </c>
      <c r="D2128" t="s">
        <v>8000</v>
      </c>
      <c r="E2128" t="s">
        <v>7998</v>
      </c>
      <c r="F2128" t="s">
        <v>28</v>
      </c>
      <c r="G2128" t="s">
        <v>7998</v>
      </c>
      <c r="H2128" t="str">
        <f>"epg-5"</f>
        <v>epg-5</v>
      </c>
      <c r="I2128" t="s">
        <v>8000</v>
      </c>
      <c r="J2128">
        <v>12.5068159506662</v>
      </c>
      <c r="K2128">
        <v>12.4171194023378</v>
      </c>
      <c r="L2128">
        <v>12.198998272862999</v>
      </c>
      <c r="M2128">
        <v>12.1822496403403</v>
      </c>
      <c r="N2128">
        <v>12.7690084258151</v>
      </c>
      <c r="O2128">
        <v>11.964597574461401</v>
      </c>
      <c r="P2128">
        <v>-6.9025995083345407E-2</v>
      </c>
      <c r="Q2128">
        <v>-0.55854609579572601</v>
      </c>
      <c r="R2128">
        <v>0.420494105629035</v>
      </c>
      <c r="S2128">
        <v>12.267639791666801</v>
      </c>
      <c r="T2128">
        <v>-0.29908296432118903</v>
      </c>
      <c r="U2128">
        <v>-7.0050297103258696</v>
      </c>
      <c r="V2128">
        <v>0.76875175079048796</v>
      </c>
      <c r="W2128">
        <v>0.90177296217456604</v>
      </c>
      <c r="X2128">
        <v>0</v>
      </c>
      <c r="Y2128">
        <v>0</v>
      </c>
    </row>
    <row r="2129" spans="1:25" x14ac:dyDescent="0.2">
      <c r="A2129" t="s">
        <v>8001</v>
      </c>
      <c r="B2129" t="s">
        <v>8002</v>
      </c>
      <c r="C2129" t="s">
        <v>8003</v>
      </c>
      <c r="D2129" t="s">
        <v>8004</v>
      </c>
      <c r="E2129" t="s">
        <v>8002</v>
      </c>
      <c r="F2129" t="s">
        <v>28</v>
      </c>
      <c r="G2129" t="s">
        <v>8002</v>
      </c>
      <c r="H2129" t="str">
        <f>"cgp-1"</f>
        <v>cgp-1</v>
      </c>
      <c r="I2129" t="s">
        <v>8004</v>
      </c>
      <c r="J2129">
        <v>14.472900933005899</v>
      </c>
      <c r="K2129">
        <v>14.3737810857128</v>
      </c>
      <c r="L2129">
        <v>14.3098362039041</v>
      </c>
      <c r="M2129">
        <v>14.178919317659499</v>
      </c>
      <c r="N2129">
        <v>14.3829230999147</v>
      </c>
      <c r="O2129">
        <v>14.161453675361701</v>
      </c>
      <c r="P2129">
        <v>-0.14440737656231301</v>
      </c>
      <c r="Q2129">
        <v>-0.65140257339798002</v>
      </c>
      <c r="R2129">
        <v>0.36258782027335401</v>
      </c>
      <c r="S2129">
        <v>13.980039584050999</v>
      </c>
      <c r="T2129">
        <v>-0.601222944837006</v>
      </c>
      <c r="U2129">
        <v>-6.8640792243354003</v>
      </c>
      <c r="V2129">
        <v>0.55567308875819599</v>
      </c>
      <c r="W2129">
        <v>0.78231602628238806</v>
      </c>
      <c r="X2129">
        <v>0</v>
      </c>
      <c r="Y2129">
        <v>0</v>
      </c>
    </row>
    <row r="2130" spans="1:25" x14ac:dyDescent="0.2">
      <c r="A2130" t="s">
        <v>8005</v>
      </c>
      <c r="B2130" t="s">
        <v>8006</v>
      </c>
      <c r="C2130" t="s">
        <v>8007</v>
      </c>
      <c r="D2130" t="s">
        <v>8008</v>
      </c>
      <c r="E2130" t="s">
        <v>8006</v>
      </c>
      <c r="F2130" t="s">
        <v>28</v>
      </c>
      <c r="G2130" t="s">
        <v>8006</v>
      </c>
      <c r="H2130" t="str">
        <f>"acs-22"</f>
        <v>acs-22</v>
      </c>
      <c r="I2130" t="s">
        <v>8008</v>
      </c>
      <c r="J2130">
        <v>14.7920785600922</v>
      </c>
      <c r="K2130">
        <v>14.662194489368201</v>
      </c>
      <c r="L2130">
        <v>14.5515314033261</v>
      </c>
      <c r="M2130">
        <v>14.7424082974957</v>
      </c>
      <c r="N2130">
        <v>14.837229085116601</v>
      </c>
      <c r="O2130">
        <v>14.565777554170401</v>
      </c>
      <c r="P2130">
        <v>4.6536827998719901E-2</v>
      </c>
      <c r="Q2130">
        <v>-0.351698135487717</v>
      </c>
      <c r="R2130">
        <v>0.444771791485157</v>
      </c>
      <c r="S2130">
        <v>14.433812250730499</v>
      </c>
      <c r="T2130">
        <v>0.24561218257578801</v>
      </c>
      <c r="U2130">
        <v>-7.0205256768197204</v>
      </c>
      <c r="V2130">
        <v>0.80877727096983598</v>
      </c>
      <c r="W2130">
        <v>0.91833642628581302</v>
      </c>
      <c r="X2130">
        <v>0</v>
      </c>
      <c r="Y2130">
        <v>0</v>
      </c>
    </row>
    <row r="2131" spans="1:25" x14ac:dyDescent="0.2">
      <c r="A2131" t="s">
        <v>8009</v>
      </c>
      <c r="B2131" t="s">
        <v>8010</v>
      </c>
      <c r="C2131" t="s">
        <v>8011</v>
      </c>
      <c r="D2131" t="s">
        <v>8012</v>
      </c>
      <c r="E2131" t="s">
        <v>8010</v>
      </c>
      <c r="F2131" t="s">
        <v>28</v>
      </c>
      <c r="G2131" t="s">
        <v>8010</v>
      </c>
      <c r="H2131" t="str">
        <f>"snap-1"</f>
        <v>snap-1</v>
      </c>
      <c r="I2131" t="s">
        <v>8012</v>
      </c>
      <c r="J2131">
        <v>13.950868715654501</v>
      </c>
      <c r="K2131">
        <v>13.659667420356399</v>
      </c>
      <c r="L2131">
        <v>14.058966226928501</v>
      </c>
      <c r="M2131">
        <v>13.7575164381912</v>
      </c>
      <c r="N2131">
        <v>13.894279119156099</v>
      </c>
      <c r="O2131">
        <v>13.747431646615899</v>
      </c>
      <c r="P2131">
        <v>-9.0091719658722993E-2</v>
      </c>
      <c r="Q2131">
        <v>-0.54667639391855505</v>
      </c>
      <c r="R2131">
        <v>0.36649295460110998</v>
      </c>
      <c r="S2131">
        <v>13.5078223940861</v>
      </c>
      <c r="T2131">
        <v>-0.41649861354547602</v>
      </c>
      <c r="U2131">
        <v>-6.9613601695475298</v>
      </c>
      <c r="V2131">
        <v>0.682288546560333</v>
      </c>
      <c r="W2131">
        <v>0.85722167970248597</v>
      </c>
      <c r="X2131">
        <v>0</v>
      </c>
      <c r="Y2131">
        <v>0</v>
      </c>
    </row>
    <row r="2132" spans="1:25" x14ac:dyDescent="0.2">
      <c r="A2132" t="s">
        <v>8013</v>
      </c>
      <c r="B2132" t="s">
        <v>8014</v>
      </c>
      <c r="C2132" t="s">
        <v>14435</v>
      </c>
      <c r="D2132" t="s">
        <v>8015</v>
      </c>
      <c r="E2132" t="s">
        <v>8014</v>
      </c>
      <c r="F2132" t="s">
        <v>28</v>
      </c>
      <c r="G2132" t="s">
        <v>8014</v>
      </c>
      <c r="H2132" t="str">
        <f>"D1014.4"</f>
        <v>D1014.4</v>
      </c>
      <c r="I2132" t="s">
        <v>8015</v>
      </c>
      <c r="J2132" t="s">
        <v>29</v>
      </c>
      <c r="K2132">
        <v>15.1095109712408</v>
      </c>
      <c r="L2132">
        <v>14.8968378428516</v>
      </c>
      <c r="M2132">
        <v>16.109799456702302</v>
      </c>
      <c r="N2132">
        <v>16.188630674722901</v>
      </c>
      <c r="O2132">
        <v>15.586073383473</v>
      </c>
      <c r="P2132">
        <v>0.95832676458656396</v>
      </c>
      <c r="Q2132">
        <v>0.186649434712016</v>
      </c>
      <c r="R2132">
        <v>1.7300040944611099</v>
      </c>
      <c r="S2132">
        <v>14.7840897183076</v>
      </c>
      <c r="T2132">
        <v>2.62136736777224</v>
      </c>
      <c r="U2132">
        <v>-3.9212698918341</v>
      </c>
      <c r="V2132">
        <v>1.79356141733732E-2</v>
      </c>
      <c r="W2132">
        <v>0.12883551549703401</v>
      </c>
      <c r="X2132">
        <v>0</v>
      </c>
      <c r="Y2132">
        <v>0</v>
      </c>
    </row>
    <row r="2133" spans="1:25" x14ac:dyDescent="0.2">
      <c r="A2133" t="s">
        <v>8016</v>
      </c>
      <c r="B2133" t="s">
        <v>8017</v>
      </c>
      <c r="C2133" t="s">
        <v>8018</v>
      </c>
      <c r="D2133" t="s">
        <v>8019</v>
      </c>
      <c r="E2133" t="s">
        <v>8017</v>
      </c>
      <c r="F2133" t="s">
        <v>28</v>
      </c>
      <c r="G2133" t="s">
        <v>8017</v>
      </c>
      <c r="H2133" t="str">
        <f>"slc-25a26"</f>
        <v>slc-25a26</v>
      </c>
      <c r="I2133" t="s">
        <v>8019</v>
      </c>
      <c r="J2133">
        <v>13.4330032865244</v>
      </c>
      <c r="K2133">
        <v>13.1342216584405</v>
      </c>
      <c r="L2133">
        <v>13.4097751393469</v>
      </c>
      <c r="M2133">
        <v>12.9202107527439</v>
      </c>
      <c r="N2133" t="s">
        <v>29</v>
      </c>
      <c r="O2133" t="s">
        <v>29</v>
      </c>
      <c r="P2133">
        <v>-0.405455942026689</v>
      </c>
      <c r="Q2133">
        <v>-1.7872771301247199</v>
      </c>
      <c r="R2133">
        <v>0.97636524607134201</v>
      </c>
      <c r="S2133">
        <v>12.5074024713931</v>
      </c>
      <c r="T2133">
        <v>-0.62977253198564298</v>
      </c>
      <c r="U2133">
        <v>-6.5026688474957703</v>
      </c>
      <c r="V2133">
        <v>0.539061775624879</v>
      </c>
      <c r="W2133">
        <v>0.77501266500839605</v>
      </c>
      <c r="X2133">
        <v>0</v>
      </c>
      <c r="Y2133">
        <v>0</v>
      </c>
    </row>
    <row r="2134" spans="1:25" x14ac:dyDescent="0.2">
      <c r="A2134" t="s">
        <v>8020</v>
      </c>
      <c r="B2134" t="s">
        <v>8021</v>
      </c>
      <c r="C2134" t="s">
        <v>8022</v>
      </c>
      <c r="D2134" t="s">
        <v>8023</v>
      </c>
      <c r="E2134" t="s">
        <v>8021</v>
      </c>
      <c r="F2134" t="s">
        <v>28</v>
      </c>
      <c r="G2134" t="s">
        <v>8021</v>
      </c>
      <c r="H2134" t="str">
        <f>"prp-38"</f>
        <v>prp-38</v>
      </c>
      <c r="I2134" t="s">
        <v>8023</v>
      </c>
      <c r="J2134">
        <v>14.154741305515699</v>
      </c>
      <c r="K2134">
        <v>14.6315362400499</v>
      </c>
      <c r="L2134">
        <v>14.4940919806984</v>
      </c>
      <c r="M2134">
        <v>14.507063905005699</v>
      </c>
      <c r="N2134">
        <v>14.1795915204232</v>
      </c>
      <c r="O2134">
        <v>14.459928601303501</v>
      </c>
      <c r="P2134">
        <v>-4.4595166510486499E-2</v>
      </c>
      <c r="Q2134">
        <v>-0.41125350580719899</v>
      </c>
      <c r="R2134">
        <v>0.32206317278622598</v>
      </c>
      <c r="S2134">
        <v>14.498559480153499</v>
      </c>
      <c r="T2134">
        <v>-0.256729772484383</v>
      </c>
      <c r="U2134">
        <v>-7.0175050168948703</v>
      </c>
      <c r="V2134">
        <v>0.80048761460767903</v>
      </c>
      <c r="W2134">
        <v>0.91646490881679299</v>
      </c>
      <c r="X2134">
        <v>0</v>
      </c>
      <c r="Y2134">
        <v>0</v>
      </c>
    </row>
    <row r="2135" spans="1:25" x14ac:dyDescent="0.2">
      <c r="A2135" t="s">
        <v>8024</v>
      </c>
      <c r="B2135" t="s">
        <v>8025</v>
      </c>
      <c r="C2135" t="s">
        <v>14436</v>
      </c>
      <c r="D2135" t="s">
        <v>8026</v>
      </c>
      <c r="E2135" t="s">
        <v>8025</v>
      </c>
      <c r="F2135" t="s">
        <v>28</v>
      </c>
      <c r="G2135" t="s">
        <v>8025</v>
      </c>
      <c r="H2135" t="str">
        <f>"D1054.10"</f>
        <v>D1054.10</v>
      </c>
      <c r="I2135" t="s">
        <v>8026</v>
      </c>
      <c r="J2135">
        <v>13.5253889533957</v>
      </c>
      <c r="K2135">
        <v>14.162905968514499</v>
      </c>
      <c r="L2135">
        <v>15.6476830223899</v>
      </c>
      <c r="M2135">
        <v>14.921773975723401</v>
      </c>
      <c r="N2135">
        <v>14.577260900380599</v>
      </c>
      <c r="O2135">
        <v>13.967591865310199</v>
      </c>
      <c r="P2135">
        <v>4.3549599038058801E-2</v>
      </c>
      <c r="Q2135">
        <v>-1.13024261306396</v>
      </c>
      <c r="R2135">
        <v>1.21734181114008</v>
      </c>
      <c r="S2135">
        <v>14.568232226460401</v>
      </c>
      <c r="T2135">
        <v>7.7980398503339904E-2</v>
      </c>
      <c r="U2135">
        <v>-7.04890018640556</v>
      </c>
      <c r="V2135">
        <v>0.93870897047964896</v>
      </c>
      <c r="W2135">
        <v>0.97558575213694598</v>
      </c>
      <c r="X2135">
        <v>0</v>
      </c>
      <c r="Y2135">
        <v>0</v>
      </c>
    </row>
    <row r="2136" spans="1:25" x14ac:dyDescent="0.2">
      <c r="A2136" t="s">
        <v>8027</v>
      </c>
      <c r="B2136" t="s">
        <v>8028</v>
      </c>
      <c r="C2136" t="s">
        <v>14437</v>
      </c>
      <c r="D2136" t="s">
        <v>3246</v>
      </c>
      <c r="E2136" t="s">
        <v>8028</v>
      </c>
      <c r="F2136" t="s">
        <v>28</v>
      </c>
      <c r="G2136" t="s">
        <v>8028</v>
      </c>
      <c r="H2136" t="str">
        <f>"D1054.8"</f>
        <v>D1054.8</v>
      </c>
      <c r="I2136" t="s">
        <v>3246</v>
      </c>
      <c r="J2136">
        <v>12.538931416779899</v>
      </c>
      <c r="K2136">
        <v>12.470901392132401</v>
      </c>
      <c r="L2136">
        <v>12.8849518918028</v>
      </c>
      <c r="M2136">
        <v>13.169483720612201</v>
      </c>
      <c r="N2136">
        <v>13.389770336515801</v>
      </c>
      <c r="O2136">
        <v>13.3430622162443</v>
      </c>
      <c r="P2136">
        <v>0.66917719088574601</v>
      </c>
      <c r="Q2136">
        <v>0.23026438494731899</v>
      </c>
      <c r="R2136">
        <v>1.10808999682417</v>
      </c>
      <c r="S2136">
        <v>12.7841382395765</v>
      </c>
      <c r="T2136">
        <v>3.23379441817475</v>
      </c>
      <c r="U2136">
        <v>-2.8221161381850002</v>
      </c>
      <c r="V2136">
        <v>5.2312157617017303E-3</v>
      </c>
      <c r="W2136">
        <v>5.6365483737011397E-2</v>
      </c>
      <c r="X2136">
        <v>0</v>
      </c>
      <c r="Y2136">
        <v>0</v>
      </c>
    </row>
    <row r="2137" spans="1:25" x14ac:dyDescent="0.2">
      <c r="A2137" t="s">
        <v>8029</v>
      </c>
      <c r="B2137" t="s">
        <v>8030</v>
      </c>
      <c r="C2137" t="s">
        <v>8031</v>
      </c>
      <c r="D2137" t="s">
        <v>8032</v>
      </c>
      <c r="E2137" t="s">
        <v>8030</v>
      </c>
      <c r="F2137" t="s">
        <v>28</v>
      </c>
      <c r="G2137" t="s">
        <v>8030</v>
      </c>
      <c r="H2137" t="str">
        <f>"ule-3"</f>
        <v>ule-3</v>
      </c>
      <c r="I2137" t="s">
        <v>8032</v>
      </c>
      <c r="J2137">
        <v>14.9685444036442</v>
      </c>
      <c r="K2137">
        <v>15.232185726265101</v>
      </c>
      <c r="L2137">
        <v>16.436739337217801</v>
      </c>
      <c r="M2137">
        <v>15.9747941947986</v>
      </c>
      <c r="N2137">
        <v>16.193210843257098</v>
      </c>
      <c r="O2137">
        <v>15.276591751796399</v>
      </c>
      <c r="P2137">
        <v>0.26904244090828999</v>
      </c>
      <c r="Q2137">
        <v>-0.80417855254121795</v>
      </c>
      <c r="R2137">
        <v>1.3422634343577999</v>
      </c>
      <c r="S2137">
        <v>15.767497993161999</v>
      </c>
      <c r="T2137">
        <v>0.52689508605047297</v>
      </c>
      <c r="U2137">
        <v>-6.9077219038452</v>
      </c>
      <c r="V2137">
        <v>0.60473722281021902</v>
      </c>
      <c r="W2137">
        <v>0.81080136919013202</v>
      </c>
      <c r="X2137">
        <v>0</v>
      </c>
      <c r="Y2137">
        <v>0</v>
      </c>
    </row>
    <row r="2138" spans="1:25" x14ac:dyDescent="0.2">
      <c r="A2138" t="s">
        <v>8033</v>
      </c>
      <c r="B2138" t="s">
        <v>8034</v>
      </c>
      <c r="C2138" t="s">
        <v>8035</v>
      </c>
      <c r="D2138" t="s">
        <v>8036</v>
      </c>
      <c r="E2138" t="s">
        <v>8034</v>
      </c>
      <c r="F2138" t="s">
        <v>28</v>
      </c>
      <c r="G2138" t="s">
        <v>8034</v>
      </c>
      <c r="H2138" t="str">
        <f>"eat-3"</f>
        <v>eat-3</v>
      </c>
      <c r="I2138" t="s">
        <v>8036</v>
      </c>
      <c r="J2138">
        <v>13.145174520042399</v>
      </c>
      <c r="K2138">
        <v>13.099905727327901</v>
      </c>
      <c r="L2138">
        <v>13.139593545046001</v>
      </c>
      <c r="M2138">
        <v>13.3197328689385</v>
      </c>
      <c r="N2138">
        <v>13.2688320418623</v>
      </c>
      <c r="O2138">
        <v>13.683971154579099</v>
      </c>
      <c r="P2138">
        <v>0.29595409098787201</v>
      </c>
      <c r="Q2138">
        <v>-1.08873417438258</v>
      </c>
      <c r="R2138">
        <v>1.6806423563583199</v>
      </c>
      <c r="S2138">
        <v>13.4279179849611</v>
      </c>
      <c r="T2138">
        <v>0.45115144115250699</v>
      </c>
      <c r="U2138">
        <v>-6.9457297208430004</v>
      </c>
      <c r="V2138">
        <v>0.65761732056864997</v>
      </c>
      <c r="W2138">
        <v>0.84547086571726005</v>
      </c>
      <c r="X2138">
        <v>0</v>
      </c>
      <c r="Y2138">
        <v>0</v>
      </c>
    </row>
    <row r="2139" spans="1:25" x14ac:dyDescent="0.2">
      <c r="A2139" t="s">
        <v>8037</v>
      </c>
      <c r="B2139" t="s">
        <v>8038</v>
      </c>
      <c r="C2139" t="s">
        <v>8039</v>
      </c>
      <c r="D2139" t="s">
        <v>8040</v>
      </c>
      <c r="E2139" t="s">
        <v>8038</v>
      </c>
      <c r="F2139" t="s">
        <v>28</v>
      </c>
      <c r="G2139" t="s">
        <v>8038</v>
      </c>
      <c r="H2139" t="str">
        <f>"eif-3.F"</f>
        <v>eif-3.F</v>
      </c>
      <c r="I2139" t="s">
        <v>8040</v>
      </c>
      <c r="J2139">
        <v>15.3767589026127</v>
      </c>
      <c r="K2139">
        <v>15.063894425273199</v>
      </c>
      <c r="L2139">
        <v>15.4509564533881</v>
      </c>
      <c r="M2139">
        <v>15.324470958637001</v>
      </c>
      <c r="N2139">
        <v>15.4263879179871</v>
      </c>
      <c r="O2139">
        <v>15.015940363249401</v>
      </c>
      <c r="P2139">
        <v>-4.1603513800135203E-2</v>
      </c>
      <c r="Q2139">
        <v>-0.400435821054898</v>
      </c>
      <c r="R2139">
        <v>0.31722879345462801</v>
      </c>
      <c r="S2139">
        <v>15.195440261214999</v>
      </c>
      <c r="T2139">
        <v>-0.24368622930303299</v>
      </c>
      <c r="U2139">
        <v>-7.0210178781631702</v>
      </c>
      <c r="V2139">
        <v>0.81024559293841203</v>
      </c>
      <c r="W2139">
        <v>0.91929538334086203</v>
      </c>
      <c r="X2139">
        <v>0</v>
      </c>
      <c r="Y2139">
        <v>0</v>
      </c>
    </row>
    <row r="2140" spans="1:25" x14ac:dyDescent="0.2">
      <c r="A2140" t="s">
        <v>8041</v>
      </c>
      <c r="B2140" t="s">
        <v>8042</v>
      </c>
      <c r="C2140" t="s">
        <v>8043</v>
      </c>
      <c r="D2140" t="s">
        <v>8044</v>
      </c>
      <c r="E2140" t="s">
        <v>8042</v>
      </c>
      <c r="F2140" t="s">
        <v>28</v>
      </c>
      <c r="G2140" t="s">
        <v>8042</v>
      </c>
      <c r="H2140" t="str">
        <f>"scp-1"</f>
        <v>scp-1</v>
      </c>
      <c r="I2140" t="s">
        <v>8044</v>
      </c>
      <c r="J2140">
        <v>12.7786500578025</v>
      </c>
      <c r="K2140">
        <v>12.2700268024252</v>
      </c>
      <c r="L2140">
        <v>12.355016814104101</v>
      </c>
      <c r="M2140" t="s">
        <v>29</v>
      </c>
      <c r="N2140">
        <v>11.3484936370784</v>
      </c>
      <c r="O2140">
        <v>11.745103255427599</v>
      </c>
      <c r="P2140">
        <v>-0.92109944519091502</v>
      </c>
      <c r="Q2140">
        <v>-1.59185037172424</v>
      </c>
      <c r="R2140">
        <v>-0.250348518657591</v>
      </c>
      <c r="S2140">
        <v>12.2988309198113</v>
      </c>
      <c r="T2140">
        <v>-2.9473867869698198</v>
      </c>
      <c r="U2140">
        <v>-3.3672555146500001</v>
      </c>
      <c r="V2140">
        <v>1.0671145358206E-2</v>
      </c>
      <c r="W2140">
        <v>9.21058540997408E-2</v>
      </c>
      <c r="X2140">
        <v>0</v>
      </c>
      <c r="Y2140">
        <v>0</v>
      </c>
    </row>
    <row r="2141" spans="1:25" x14ac:dyDescent="0.2">
      <c r="A2141" t="s">
        <v>8045</v>
      </c>
      <c r="B2141" t="s">
        <v>8046</v>
      </c>
      <c r="C2141" t="s">
        <v>8047</v>
      </c>
      <c r="D2141" t="s">
        <v>8048</v>
      </c>
      <c r="E2141" t="s">
        <v>8046</v>
      </c>
      <c r="F2141" t="s">
        <v>28</v>
      </c>
      <c r="G2141" t="s">
        <v>8046</v>
      </c>
      <c r="H2141" t="str">
        <f>"rab-39"</f>
        <v>rab-39</v>
      </c>
      <c r="I2141" t="s">
        <v>8048</v>
      </c>
      <c r="J2141">
        <v>13.868356047574499</v>
      </c>
      <c r="K2141">
        <v>13.622665437936901</v>
      </c>
      <c r="L2141">
        <v>13.5614852213916</v>
      </c>
      <c r="M2141">
        <v>13.410962649036501</v>
      </c>
      <c r="N2141">
        <v>13.4588294828214</v>
      </c>
      <c r="O2141">
        <v>13.379873372745401</v>
      </c>
      <c r="P2141">
        <v>-0.26761373409987499</v>
      </c>
      <c r="Q2141">
        <v>-0.63640296645127303</v>
      </c>
      <c r="R2141">
        <v>0.101175498251523</v>
      </c>
      <c r="S2141">
        <v>13.2885125044631</v>
      </c>
      <c r="T2141">
        <v>-1.53914556547629</v>
      </c>
      <c r="U2141">
        <v>-5.8877527174436803</v>
      </c>
      <c r="V2141">
        <v>0.14343752060481299</v>
      </c>
      <c r="W2141">
        <v>0.39090928982249801</v>
      </c>
      <c r="X2141">
        <v>0</v>
      </c>
      <c r="Y2141">
        <v>0</v>
      </c>
    </row>
    <row r="2142" spans="1:25" x14ac:dyDescent="0.2">
      <c r="A2142" t="s">
        <v>8049</v>
      </c>
      <c r="B2142" t="s">
        <v>8050</v>
      </c>
      <c r="C2142" t="s">
        <v>8051</v>
      </c>
      <c r="D2142" t="s">
        <v>8052</v>
      </c>
      <c r="E2142" t="s">
        <v>8050</v>
      </c>
      <c r="F2142" t="s">
        <v>28</v>
      </c>
      <c r="G2142" t="s">
        <v>8050</v>
      </c>
      <c r="H2142" t="str">
        <f>"ecps-1"</f>
        <v>ecps-1</v>
      </c>
      <c r="I2142" t="s">
        <v>8052</v>
      </c>
      <c r="J2142">
        <v>13.6818913888218</v>
      </c>
      <c r="K2142">
        <v>13.812036116267301</v>
      </c>
      <c r="L2142">
        <v>13.6076659730236</v>
      </c>
      <c r="M2142">
        <v>13.810950325476799</v>
      </c>
      <c r="N2142">
        <v>14.024989545754201</v>
      </c>
      <c r="O2142">
        <v>13.7795881186393</v>
      </c>
      <c r="P2142">
        <v>0.17131150391918801</v>
      </c>
      <c r="Q2142">
        <v>-0.46773646017860099</v>
      </c>
      <c r="R2142">
        <v>0.810359468016978</v>
      </c>
      <c r="S2142">
        <v>13.7647907573157</v>
      </c>
      <c r="T2142">
        <v>0.56343728835473805</v>
      </c>
      <c r="U2142">
        <v>-6.8871855542382203</v>
      </c>
      <c r="V2142">
        <v>0.58012958622799204</v>
      </c>
      <c r="W2142">
        <v>0.79970129340233898</v>
      </c>
      <c r="X2142">
        <v>0</v>
      </c>
      <c r="Y2142">
        <v>0</v>
      </c>
    </row>
    <row r="2143" spans="1:25" x14ac:dyDescent="0.2">
      <c r="A2143" t="s">
        <v>8053</v>
      </c>
      <c r="B2143" t="s">
        <v>8054</v>
      </c>
      <c r="C2143" t="s">
        <v>8055</v>
      </c>
      <c r="D2143" t="s">
        <v>8056</v>
      </c>
      <c r="E2143" t="s">
        <v>8054</v>
      </c>
      <c r="F2143" t="s">
        <v>28</v>
      </c>
      <c r="G2143" t="s">
        <v>8054</v>
      </c>
      <c r="H2143" t="str">
        <f>"pyr-1"</f>
        <v>pyr-1</v>
      </c>
      <c r="I2143" t="s">
        <v>8056</v>
      </c>
      <c r="J2143">
        <v>15.9756180792708</v>
      </c>
      <c r="K2143">
        <v>15.7577798297912</v>
      </c>
      <c r="L2143">
        <v>16.041416623046899</v>
      </c>
      <c r="M2143">
        <v>16.035714794172002</v>
      </c>
      <c r="N2143">
        <v>16.658440910088</v>
      </c>
      <c r="O2143">
        <v>16.2487914930085</v>
      </c>
      <c r="P2143">
        <v>0.38937755505319799</v>
      </c>
      <c r="Q2143">
        <v>-0.11739728416093299</v>
      </c>
      <c r="R2143">
        <v>0.89615239426732796</v>
      </c>
      <c r="S2143">
        <v>15.8769609283788</v>
      </c>
      <c r="T2143">
        <v>1.6149102179243999</v>
      </c>
      <c r="U2143">
        <v>-5.7768906055993803</v>
      </c>
      <c r="V2143">
        <v>0.123823520087141</v>
      </c>
      <c r="W2143">
        <v>0.36430536560900101</v>
      </c>
      <c r="X2143">
        <v>0</v>
      </c>
      <c r="Y2143">
        <v>0</v>
      </c>
    </row>
    <row r="2144" spans="1:25" x14ac:dyDescent="0.2">
      <c r="A2144" t="s">
        <v>8057</v>
      </c>
      <c r="B2144" t="s">
        <v>8058</v>
      </c>
      <c r="C2144" t="s">
        <v>8059</v>
      </c>
      <c r="D2144" t="s">
        <v>8060</v>
      </c>
      <c r="E2144" t="s">
        <v>8058</v>
      </c>
      <c r="F2144" t="s">
        <v>28</v>
      </c>
      <c r="G2144" t="s">
        <v>8058</v>
      </c>
      <c r="H2144" t="str">
        <f>"eif-2bepsilon"</f>
        <v>eif-2bepsilon</v>
      </c>
      <c r="I2144" t="s">
        <v>8060</v>
      </c>
      <c r="J2144">
        <v>13.1029593658637</v>
      </c>
      <c r="K2144">
        <v>12.9424347783723</v>
      </c>
      <c r="L2144">
        <v>13.102783046228399</v>
      </c>
      <c r="M2144">
        <v>12.7127384048073</v>
      </c>
      <c r="N2144">
        <v>13.2919033975503</v>
      </c>
      <c r="O2144">
        <v>12.540155018108001</v>
      </c>
      <c r="P2144">
        <v>-0.20112678999959999</v>
      </c>
      <c r="Q2144">
        <v>-0.64630063616283595</v>
      </c>
      <c r="R2144">
        <v>0.24404705616363501</v>
      </c>
      <c r="S2144">
        <v>13.132745171403601</v>
      </c>
      <c r="T2144">
        <v>-0.95365281199279694</v>
      </c>
      <c r="U2144">
        <v>-6.5864971634403497</v>
      </c>
      <c r="V2144">
        <v>0.35370560177655802</v>
      </c>
      <c r="W2144">
        <v>0.63378746045204803</v>
      </c>
      <c r="X2144">
        <v>0</v>
      </c>
      <c r="Y2144">
        <v>0</v>
      </c>
    </row>
    <row r="2145" spans="1:25" x14ac:dyDescent="0.2">
      <c r="A2145" t="s">
        <v>8061</v>
      </c>
      <c r="B2145" t="s">
        <v>8062</v>
      </c>
      <c r="C2145" t="s">
        <v>8063</v>
      </c>
      <c r="D2145" t="s">
        <v>8064</v>
      </c>
      <c r="E2145" t="s">
        <v>8062</v>
      </c>
      <c r="F2145" t="s">
        <v>28</v>
      </c>
      <c r="G2145" t="s">
        <v>8062</v>
      </c>
      <c r="H2145" t="str">
        <f>"nap-1"</f>
        <v>nap-1</v>
      </c>
      <c r="I2145" t="s">
        <v>8064</v>
      </c>
      <c r="J2145">
        <v>12.6789625809438</v>
      </c>
      <c r="K2145">
        <v>12.5725581685767</v>
      </c>
      <c r="L2145">
        <v>12.714227230652901</v>
      </c>
      <c r="M2145">
        <v>16.732523456716301</v>
      </c>
      <c r="N2145">
        <v>16.8619554576625</v>
      </c>
      <c r="O2145">
        <v>16.498158937412899</v>
      </c>
      <c r="P2145">
        <v>4.0422966238727698</v>
      </c>
      <c r="Q2145">
        <v>3.3242894687626698</v>
      </c>
      <c r="R2145">
        <v>4.7603037789828599</v>
      </c>
      <c r="S2145">
        <v>15.491970214146001</v>
      </c>
      <c r="T2145">
        <v>11.8329197707421</v>
      </c>
      <c r="U2145">
        <v>12.9922803212161</v>
      </c>
      <c r="V2145" s="2">
        <v>6.7815685661724099E-10</v>
      </c>
      <c r="W2145" s="2">
        <v>1.8389353428604199E-7</v>
      </c>
      <c r="X2145">
        <v>1</v>
      </c>
      <c r="Y2145">
        <v>1</v>
      </c>
    </row>
    <row r="2146" spans="1:25" x14ac:dyDescent="0.2">
      <c r="A2146" t="s">
        <v>8065</v>
      </c>
      <c r="B2146" t="s">
        <v>8066</v>
      </c>
      <c r="C2146" t="s">
        <v>8067</v>
      </c>
      <c r="D2146" t="s">
        <v>8068</v>
      </c>
      <c r="E2146" t="s">
        <v>8066</v>
      </c>
      <c r="F2146" t="s">
        <v>28</v>
      </c>
      <c r="G2146" t="s">
        <v>8066</v>
      </c>
      <c r="H2146" t="str">
        <f>"glna-2"</f>
        <v>glna-2</v>
      </c>
      <c r="I2146" t="s">
        <v>8068</v>
      </c>
      <c r="J2146" t="s">
        <v>29</v>
      </c>
      <c r="K2146" t="s">
        <v>29</v>
      </c>
      <c r="L2146" t="s">
        <v>29</v>
      </c>
      <c r="M2146">
        <v>13.950090145314199</v>
      </c>
      <c r="N2146">
        <v>14.413422151482701</v>
      </c>
      <c r="O2146">
        <v>14.417934543252599</v>
      </c>
      <c r="P2146" t="s">
        <v>29</v>
      </c>
      <c r="Q2146" t="s">
        <v>29</v>
      </c>
      <c r="R2146" t="s">
        <v>29</v>
      </c>
      <c r="S2146">
        <v>13.6990273465762</v>
      </c>
      <c r="T2146" t="s">
        <v>29</v>
      </c>
      <c r="U2146" t="s">
        <v>29</v>
      </c>
      <c r="V2146" t="s">
        <v>29</v>
      </c>
      <c r="W2146" t="s">
        <v>29</v>
      </c>
      <c r="X2146" t="s">
        <v>29</v>
      </c>
      <c r="Y2146" t="s">
        <v>29</v>
      </c>
    </row>
    <row r="2147" spans="1:25" x14ac:dyDescent="0.2">
      <c r="A2147" t="s">
        <v>8069</v>
      </c>
      <c r="B2147" t="s">
        <v>8070</v>
      </c>
      <c r="C2147" t="s">
        <v>14438</v>
      </c>
      <c r="D2147" t="s">
        <v>3358</v>
      </c>
      <c r="E2147" t="s">
        <v>8070</v>
      </c>
      <c r="F2147" t="s">
        <v>28</v>
      </c>
      <c r="G2147" t="s">
        <v>8070</v>
      </c>
      <c r="H2147" t="str">
        <f>"DH11.2"</f>
        <v>DH11.2</v>
      </c>
      <c r="I2147" t="s">
        <v>3358</v>
      </c>
      <c r="J2147" t="s">
        <v>29</v>
      </c>
      <c r="K2147" t="s">
        <v>29</v>
      </c>
      <c r="L2147">
        <v>12.3053299836963</v>
      </c>
      <c r="M2147" t="s">
        <v>29</v>
      </c>
      <c r="N2147">
        <v>13.257378095772699</v>
      </c>
      <c r="O2147">
        <v>12.729537510311401</v>
      </c>
      <c r="P2147">
        <v>0.68812781934572698</v>
      </c>
      <c r="Q2147">
        <v>-0.25178841208267</v>
      </c>
      <c r="R2147">
        <v>1.6280440507741201</v>
      </c>
      <c r="S2147">
        <v>12.3914636366463</v>
      </c>
      <c r="T2147">
        <v>1.61327223494689</v>
      </c>
      <c r="U2147">
        <v>-5.4003839022001001</v>
      </c>
      <c r="V2147">
        <v>0.13524930542635999</v>
      </c>
      <c r="W2147">
        <v>0.37939762056670201</v>
      </c>
      <c r="X2147">
        <v>0</v>
      </c>
      <c r="Y2147">
        <v>0</v>
      </c>
    </row>
    <row r="2148" spans="1:25" x14ac:dyDescent="0.2">
      <c r="A2148" t="s">
        <v>8071</v>
      </c>
      <c r="B2148" t="s">
        <v>8072</v>
      </c>
      <c r="C2148" t="s">
        <v>8073</v>
      </c>
      <c r="D2148" t="s">
        <v>8074</v>
      </c>
      <c r="E2148" t="s">
        <v>8072</v>
      </c>
      <c r="F2148" t="s">
        <v>28</v>
      </c>
      <c r="G2148" t="s">
        <v>8072</v>
      </c>
      <c r="H2148" t="str">
        <f>"dhc-1"</f>
        <v>dhc-1</v>
      </c>
      <c r="I2148" t="s">
        <v>8074</v>
      </c>
      <c r="J2148">
        <v>15.5492276851033</v>
      </c>
      <c r="K2148">
        <v>15.4861616704274</v>
      </c>
      <c r="L2148">
        <v>15.3848292665571</v>
      </c>
      <c r="M2148">
        <v>15.448260064747</v>
      </c>
      <c r="N2148">
        <v>15.6740854816076</v>
      </c>
      <c r="O2148">
        <v>15.2951453069224</v>
      </c>
      <c r="P2148">
        <v>-9.0925627024418499E-4</v>
      </c>
      <c r="Q2148">
        <v>-0.30269754853120501</v>
      </c>
      <c r="R2148">
        <v>0.30087903599071703</v>
      </c>
      <c r="S2148">
        <v>15.362457851866401</v>
      </c>
      <c r="T2148">
        <v>-6.3325179612787798E-3</v>
      </c>
      <c r="U2148">
        <v>-7.0520654270424696</v>
      </c>
      <c r="V2148">
        <v>0.99501747673694396</v>
      </c>
      <c r="W2148">
        <v>0.99716257138959596</v>
      </c>
      <c r="X2148">
        <v>0</v>
      </c>
      <c r="Y2148">
        <v>0</v>
      </c>
    </row>
    <row r="2149" spans="1:25" x14ac:dyDescent="0.2">
      <c r="A2149" t="s">
        <v>8075</v>
      </c>
      <c r="B2149" t="s">
        <v>8076</v>
      </c>
      <c r="C2149" t="s">
        <v>8077</v>
      </c>
      <c r="D2149" t="s">
        <v>2655</v>
      </c>
      <c r="E2149" t="s">
        <v>8076</v>
      </c>
      <c r="F2149" t="s">
        <v>28</v>
      </c>
      <c r="G2149" t="s">
        <v>8076</v>
      </c>
      <c r="H2149" t="str">
        <f>"rcq-5"</f>
        <v>rcq-5</v>
      </c>
      <c r="I2149" t="s">
        <v>2655</v>
      </c>
      <c r="J2149" t="s">
        <v>29</v>
      </c>
      <c r="K2149" t="s">
        <v>29</v>
      </c>
      <c r="L2149" t="s">
        <v>29</v>
      </c>
      <c r="M2149" t="s">
        <v>29</v>
      </c>
      <c r="N2149">
        <v>10.4664656554008</v>
      </c>
      <c r="O2149" t="s">
        <v>29</v>
      </c>
      <c r="P2149" t="s">
        <v>29</v>
      </c>
      <c r="Q2149" t="s">
        <v>29</v>
      </c>
      <c r="R2149" t="s">
        <v>29</v>
      </c>
      <c r="S2149">
        <v>11.4303589563381</v>
      </c>
      <c r="T2149" t="s">
        <v>29</v>
      </c>
      <c r="U2149" t="s">
        <v>29</v>
      </c>
      <c r="V2149" t="s">
        <v>29</v>
      </c>
      <c r="W2149" t="s">
        <v>29</v>
      </c>
      <c r="X2149" t="s">
        <v>29</v>
      </c>
      <c r="Y2149" t="s">
        <v>29</v>
      </c>
    </row>
    <row r="2150" spans="1:25" x14ac:dyDescent="0.2">
      <c r="A2150" t="s">
        <v>8078</v>
      </c>
      <c r="B2150" t="s">
        <v>8079</v>
      </c>
      <c r="C2150" t="s">
        <v>8080</v>
      </c>
      <c r="D2150" t="s">
        <v>8081</v>
      </c>
      <c r="E2150" t="s">
        <v>8079</v>
      </c>
      <c r="F2150" t="s">
        <v>28</v>
      </c>
      <c r="G2150" t="s">
        <v>8079</v>
      </c>
      <c r="H2150" t="str">
        <f>"eif-2A"</f>
        <v>eif-2A</v>
      </c>
      <c r="I2150" t="s">
        <v>8081</v>
      </c>
      <c r="J2150">
        <v>12.369600254961799</v>
      </c>
      <c r="K2150">
        <v>12.343046050931701</v>
      </c>
      <c r="L2150">
        <v>12.295926181980001</v>
      </c>
      <c r="M2150">
        <v>13.992212105983</v>
      </c>
      <c r="N2150">
        <v>14.001098773257</v>
      </c>
      <c r="O2150">
        <v>14.244564083874</v>
      </c>
      <c r="P2150">
        <v>1.7431008250801701</v>
      </c>
      <c r="Q2150">
        <v>1.2858582480803999</v>
      </c>
      <c r="R2150">
        <v>2.20034340207993</v>
      </c>
      <c r="S2150">
        <v>13.866750275147901</v>
      </c>
      <c r="T2150">
        <v>8.0125058176815607</v>
      </c>
      <c r="U2150">
        <v>7.09418940964283</v>
      </c>
      <c r="V2150" s="2">
        <v>2.4971297613862999E-7</v>
      </c>
      <c r="W2150" s="2">
        <v>1.8894487042728599E-5</v>
      </c>
      <c r="X2150">
        <v>1</v>
      </c>
      <c r="Y2150">
        <v>1</v>
      </c>
    </row>
    <row r="2151" spans="1:25" x14ac:dyDescent="0.2">
      <c r="A2151" t="s">
        <v>8082</v>
      </c>
      <c r="B2151" t="s">
        <v>8083</v>
      </c>
      <c r="C2151" t="s">
        <v>8084</v>
      </c>
      <c r="D2151" t="s">
        <v>8085</v>
      </c>
      <c r="E2151" t="s">
        <v>8083</v>
      </c>
      <c r="F2151" t="s">
        <v>28</v>
      </c>
      <c r="G2151" t="s">
        <v>8083</v>
      </c>
      <c r="H2151" t="str">
        <f>"acdh-12"</f>
        <v>acdh-12</v>
      </c>
      <c r="I2151" t="s">
        <v>8085</v>
      </c>
      <c r="J2151">
        <v>17.098367815091699</v>
      </c>
      <c r="K2151">
        <v>16.9685985416852</v>
      </c>
      <c r="L2151">
        <v>17.018888318247399</v>
      </c>
      <c r="M2151">
        <v>16.4979704746703</v>
      </c>
      <c r="N2151">
        <v>16.872667245741798</v>
      </c>
      <c r="O2151">
        <v>16.858887716028899</v>
      </c>
      <c r="P2151">
        <v>-0.28544307952776998</v>
      </c>
      <c r="Q2151">
        <v>-0.75240634481511304</v>
      </c>
      <c r="R2151">
        <v>0.18152018575957299</v>
      </c>
      <c r="S2151">
        <v>17.1772338349884</v>
      </c>
      <c r="T2151">
        <v>-1.28478161746915</v>
      </c>
      <c r="U2151">
        <v>-6.2249109316995304</v>
      </c>
      <c r="V2151">
        <v>0.215250812856211</v>
      </c>
      <c r="W2151">
        <v>0.48191167431887</v>
      </c>
      <c r="X2151">
        <v>0</v>
      </c>
      <c r="Y2151">
        <v>0</v>
      </c>
    </row>
    <row r="2152" spans="1:25" x14ac:dyDescent="0.2">
      <c r="A2152" t="s">
        <v>8086</v>
      </c>
      <c r="B2152" t="s">
        <v>8087</v>
      </c>
      <c r="C2152" t="s">
        <v>8088</v>
      </c>
      <c r="D2152" t="s">
        <v>2795</v>
      </c>
      <c r="E2152" t="s">
        <v>8087</v>
      </c>
      <c r="F2152" t="s">
        <v>28</v>
      </c>
      <c r="G2152" t="s">
        <v>8087</v>
      </c>
      <c r="H2152" t="str">
        <f>"ugt-57"</f>
        <v>ugt-57</v>
      </c>
      <c r="I2152" t="s">
        <v>2795</v>
      </c>
      <c r="J2152" t="s">
        <v>29</v>
      </c>
      <c r="K2152">
        <v>13.107505120877001</v>
      </c>
      <c r="L2152">
        <v>13.3212420105784</v>
      </c>
      <c r="M2152" t="s">
        <v>29</v>
      </c>
      <c r="N2152" t="s">
        <v>29</v>
      </c>
      <c r="O2152">
        <v>12.4777380422885</v>
      </c>
      <c r="P2152">
        <v>-0.73663552343920302</v>
      </c>
      <c r="Q2152">
        <v>-1.8100570701766701</v>
      </c>
      <c r="R2152">
        <v>0.33678602329826601</v>
      </c>
      <c r="S2152">
        <v>12.940569258979799</v>
      </c>
      <c r="T2152">
        <v>-1.5122028182331799</v>
      </c>
      <c r="U2152">
        <v>-5.5384169459698898</v>
      </c>
      <c r="V2152">
        <v>0.158933548309862</v>
      </c>
      <c r="W2152">
        <v>0.41104734767064599</v>
      </c>
      <c r="X2152">
        <v>0</v>
      </c>
      <c r="Y2152">
        <v>0</v>
      </c>
    </row>
    <row r="2153" spans="1:25" x14ac:dyDescent="0.2">
      <c r="A2153" t="s">
        <v>8089</v>
      </c>
      <c r="B2153" t="s">
        <v>8090</v>
      </c>
      <c r="C2153" t="s">
        <v>14439</v>
      </c>
      <c r="D2153" t="s">
        <v>1919</v>
      </c>
      <c r="E2153" t="s">
        <v>8090</v>
      </c>
      <c r="F2153" t="s">
        <v>28</v>
      </c>
      <c r="G2153" t="s">
        <v>8090</v>
      </c>
      <c r="H2153" t="str">
        <f>"F01F1.11"</f>
        <v>F01F1.11</v>
      </c>
      <c r="I2153" t="s">
        <v>1919</v>
      </c>
      <c r="J2153">
        <v>10.926912749450199</v>
      </c>
      <c r="K2153">
        <v>10.872295335958</v>
      </c>
      <c r="L2153">
        <v>11.2238903703653</v>
      </c>
      <c r="M2153">
        <v>11.019555857317901</v>
      </c>
      <c r="N2153">
        <v>11.1678686822929</v>
      </c>
      <c r="O2153" t="s">
        <v>29</v>
      </c>
      <c r="P2153">
        <v>8.6012784547527601E-2</v>
      </c>
      <c r="Q2153">
        <v>-0.71627840307045798</v>
      </c>
      <c r="R2153">
        <v>0.88830397216551304</v>
      </c>
      <c r="S2153">
        <v>11.1956580138569</v>
      </c>
      <c r="T2153">
        <v>0.230103316616423</v>
      </c>
      <c r="U2153">
        <v>-6.9133666906226301</v>
      </c>
      <c r="V2153">
        <v>0.82136453407390198</v>
      </c>
      <c r="W2153">
        <v>0.92589527307943997</v>
      </c>
      <c r="X2153">
        <v>0</v>
      </c>
      <c r="Y2153">
        <v>0</v>
      </c>
    </row>
    <row r="2154" spans="1:25" x14ac:dyDescent="0.2">
      <c r="A2154" t="s">
        <v>8091</v>
      </c>
      <c r="B2154" t="s">
        <v>8092</v>
      </c>
      <c r="C2154" t="s">
        <v>8093</v>
      </c>
      <c r="D2154" t="s">
        <v>8094</v>
      </c>
      <c r="E2154" t="s">
        <v>8092</v>
      </c>
      <c r="F2154" t="s">
        <v>28</v>
      </c>
      <c r="G2154" t="s">
        <v>8092</v>
      </c>
      <c r="H2154" t="str">
        <f>"sur-7"</f>
        <v>sur-7</v>
      </c>
      <c r="I2154" t="s">
        <v>8094</v>
      </c>
      <c r="J2154">
        <v>11.8917419125469</v>
      </c>
      <c r="K2154">
        <v>11.5133957911428</v>
      </c>
      <c r="L2154">
        <v>12.1613716939695</v>
      </c>
      <c r="M2154" t="s">
        <v>29</v>
      </c>
      <c r="N2154">
        <v>11.345626038194601</v>
      </c>
      <c r="O2154" t="s">
        <v>29</v>
      </c>
      <c r="P2154">
        <v>-0.509877094358542</v>
      </c>
      <c r="Q2154">
        <v>-1.6561605286121901</v>
      </c>
      <c r="R2154">
        <v>0.63640633989510298</v>
      </c>
      <c r="S2154">
        <v>12.0190865681838</v>
      </c>
      <c r="T2154">
        <v>-0.95469660652662403</v>
      </c>
      <c r="U2154">
        <v>-6.2431245082372699</v>
      </c>
      <c r="V2154">
        <v>0.356046229292526</v>
      </c>
      <c r="W2154">
        <v>0.63553177735484401</v>
      </c>
      <c r="X2154">
        <v>0</v>
      </c>
      <c r="Y2154">
        <v>0</v>
      </c>
    </row>
    <row r="2155" spans="1:25" x14ac:dyDescent="0.2">
      <c r="A2155" t="s">
        <v>8095</v>
      </c>
      <c r="B2155" t="s">
        <v>8096</v>
      </c>
      <c r="C2155" t="s">
        <v>8097</v>
      </c>
      <c r="D2155" t="s">
        <v>8098</v>
      </c>
      <c r="E2155" t="s">
        <v>8096</v>
      </c>
      <c r="F2155" t="s">
        <v>28</v>
      </c>
      <c r="G2155" t="s">
        <v>8096</v>
      </c>
      <c r="H2155" t="str">
        <f>"skih-2"</f>
        <v>skih-2</v>
      </c>
      <c r="I2155" t="s">
        <v>8098</v>
      </c>
      <c r="J2155">
        <v>12.123640722239999</v>
      </c>
      <c r="K2155">
        <v>12.0290831250881</v>
      </c>
      <c r="L2155">
        <v>12.074542727467801</v>
      </c>
      <c r="M2155">
        <v>11.901715005622901</v>
      </c>
      <c r="N2155">
        <v>12.9728276213547</v>
      </c>
      <c r="O2155">
        <v>12.2776263870741</v>
      </c>
      <c r="P2155">
        <v>0.30830081308527602</v>
      </c>
      <c r="Q2155">
        <v>-0.163004049896873</v>
      </c>
      <c r="R2155">
        <v>0.77960567606742603</v>
      </c>
      <c r="S2155">
        <v>12.4594708416265</v>
      </c>
      <c r="T2155">
        <v>1.3874657748654999</v>
      </c>
      <c r="U2155">
        <v>-6.09387575097373</v>
      </c>
      <c r="V2155">
        <v>0.18444619711600199</v>
      </c>
      <c r="W2155">
        <v>0.44783395955828897</v>
      </c>
      <c r="X2155">
        <v>0</v>
      </c>
      <c r="Y2155">
        <v>0</v>
      </c>
    </row>
    <row r="2156" spans="1:25" x14ac:dyDescent="0.2">
      <c r="A2156" t="s">
        <v>8099</v>
      </c>
      <c r="B2156" t="s">
        <v>8100</v>
      </c>
      <c r="C2156" t="s">
        <v>14440</v>
      </c>
      <c r="D2156" t="s">
        <v>8101</v>
      </c>
      <c r="E2156" t="s">
        <v>8100</v>
      </c>
      <c r="F2156" t="s">
        <v>28</v>
      </c>
      <c r="G2156" t="s">
        <v>8100</v>
      </c>
      <c r="H2156" t="str">
        <f>"F02E8.4"</f>
        <v>F02E8.4</v>
      </c>
      <c r="I2156" t="s">
        <v>8101</v>
      </c>
      <c r="J2156" t="s">
        <v>29</v>
      </c>
      <c r="K2156">
        <v>11.143202300855901</v>
      </c>
      <c r="L2156">
        <v>11.0541862061127</v>
      </c>
      <c r="M2156" t="s">
        <v>29</v>
      </c>
      <c r="N2156">
        <v>11.446985294150799</v>
      </c>
      <c r="O2156">
        <v>10.2386318842475</v>
      </c>
      <c r="P2156">
        <v>-0.255885664285119</v>
      </c>
      <c r="Q2156">
        <v>-1.13727191869162</v>
      </c>
      <c r="R2156">
        <v>0.62550059012138304</v>
      </c>
      <c r="S2156">
        <v>11.862946502580501</v>
      </c>
      <c r="T2156">
        <v>-0.623119834199793</v>
      </c>
      <c r="U2156">
        <v>-6.6482137447851199</v>
      </c>
      <c r="V2156">
        <v>0.54329866868082899</v>
      </c>
      <c r="W2156">
        <v>0.77675477499447099</v>
      </c>
      <c r="X2156">
        <v>0</v>
      </c>
      <c r="Y2156">
        <v>0</v>
      </c>
    </row>
    <row r="2157" spans="1:25" x14ac:dyDescent="0.2">
      <c r="A2157" t="s">
        <v>8102</v>
      </c>
      <c r="B2157" t="s">
        <v>8103</v>
      </c>
      <c r="C2157" t="s">
        <v>8104</v>
      </c>
      <c r="D2157" t="s">
        <v>3206</v>
      </c>
      <c r="E2157" t="s">
        <v>8103</v>
      </c>
      <c r="F2157" t="s">
        <v>28</v>
      </c>
      <c r="G2157" t="s">
        <v>8103</v>
      </c>
      <c r="H2157" t="str">
        <f>"aps-2"</f>
        <v>aps-2</v>
      </c>
      <c r="I2157" t="s">
        <v>3206</v>
      </c>
      <c r="J2157">
        <v>14.919407199716501</v>
      </c>
      <c r="K2157">
        <v>15.083091985812301</v>
      </c>
      <c r="L2157">
        <v>14.891544168103101</v>
      </c>
      <c r="M2157">
        <v>14.798566290357501</v>
      </c>
      <c r="N2157">
        <v>14.934501722881899</v>
      </c>
      <c r="O2157">
        <v>15.0785811543316</v>
      </c>
      <c r="P2157">
        <v>-2.7464728686972299E-2</v>
      </c>
      <c r="Q2157">
        <v>-0.450431934529958</v>
      </c>
      <c r="R2157">
        <v>0.395502477156014</v>
      </c>
      <c r="S2157">
        <v>14.5893925796092</v>
      </c>
      <c r="T2157">
        <v>-0.136477522486388</v>
      </c>
      <c r="U2157">
        <v>-7.04233028576125</v>
      </c>
      <c r="V2157">
        <v>0.89296745181756099</v>
      </c>
      <c r="W2157">
        <v>0.96247634588086906</v>
      </c>
      <c r="X2157">
        <v>0</v>
      </c>
      <c r="Y2157">
        <v>0</v>
      </c>
    </row>
    <row r="2158" spans="1:25" x14ac:dyDescent="0.2">
      <c r="A2158" t="s">
        <v>8105</v>
      </c>
      <c r="B2158" t="s">
        <v>8106</v>
      </c>
      <c r="C2158" t="s">
        <v>8107</v>
      </c>
      <c r="D2158" t="s">
        <v>8108</v>
      </c>
      <c r="E2158" t="s">
        <v>8106</v>
      </c>
      <c r="F2158" t="s">
        <v>28</v>
      </c>
      <c r="G2158" t="s">
        <v>8106</v>
      </c>
      <c r="H2158" t="str">
        <f>"atg-16.1"</f>
        <v>atg-16.1</v>
      </c>
      <c r="I2158" t="s">
        <v>8108</v>
      </c>
      <c r="J2158">
        <v>10.831997964446201</v>
      </c>
      <c r="K2158">
        <v>10.7107202778752</v>
      </c>
      <c r="L2158">
        <v>10.897376588109999</v>
      </c>
      <c r="M2158">
        <v>10.789603910516799</v>
      </c>
      <c r="N2158" t="s">
        <v>29</v>
      </c>
      <c r="O2158" t="s">
        <v>29</v>
      </c>
      <c r="P2158">
        <v>-2.37610329602926E-2</v>
      </c>
      <c r="Q2158">
        <v>-0.753751119619816</v>
      </c>
      <c r="R2158">
        <v>0.70622905369922995</v>
      </c>
      <c r="S2158">
        <v>10.6037665249626</v>
      </c>
      <c r="T2158">
        <v>-6.9861876577052895E-2</v>
      </c>
      <c r="U2158">
        <v>-6.7065938425477096</v>
      </c>
      <c r="V2158">
        <v>0.94529907647189604</v>
      </c>
      <c r="W2158">
        <v>0.97576384643441005</v>
      </c>
      <c r="X2158">
        <v>0</v>
      </c>
      <c r="Y2158">
        <v>0</v>
      </c>
    </row>
    <row r="2159" spans="1:25" x14ac:dyDescent="0.2">
      <c r="A2159" t="s">
        <v>8109</v>
      </c>
      <c r="B2159" t="s">
        <v>8110</v>
      </c>
      <c r="C2159" t="s">
        <v>8111</v>
      </c>
      <c r="D2159" t="s">
        <v>8112</v>
      </c>
      <c r="E2159" t="s">
        <v>8110</v>
      </c>
      <c r="F2159" t="s">
        <v>28</v>
      </c>
      <c r="G2159" t="s">
        <v>8110</v>
      </c>
      <c r="H2159" t="str">
        <f>"asb-2"</f>
        <v>asb-2</v>
      </c>
      <c r="I2159" t="s">
        <v>8112</v>
      </c>
      <c r="J2159">
        <v>15.248678653862701</v>
      </c>
      <c r="K2159">
        <v>14.6768990485243</v>
      </c>
      <c r="L2159">
        <v>14.7731752693663</v>
      </c>
      <c r="M2159">
        <v>14.6675297158964</v>
      </c>
      <c r="N2159">
        <v>14.233594311021699</v>
      </c>
      <c r="O2159">
        <v>14.8379382403654</v>
      </c>
      <c r="P2159">
        <v>-0.31989690148990302</v>
      </c>
      <c r="Q2159">
        <v>-0.73535309929047699</v>
      </c>
      <c r="R2159">
        <v>9.5559296310670297E-2</v>
      </c>
      <c r="S2159">
        <v>14.483287133261401</v>
      </c>
      <c r="T2159">
        <v>-1.61836808186688</v>
      </c>
      <c r="U2159">
        <v>-5.7717835918663196</v>
      </c>
      <c r="V2159">
        <v>0.123072991884528</v>
      </c>
      <c r="W2159">
        <v>0.36341153864996001</v>
      </c>
      <c r="X2159">
        <v>0</v>
      </c>
      <c r="Y2159">
        <v>0</v>
      </c>
    </row>
    <row r="2160" spans="1:25" x14ac:dyDescent="0.2">
      <c r="A2160" t="s">
        <v>8113</v>
      </c>
      <c r="B2160" t="s">
        <v>8114</v>
      </c>
      <c r="C2160" t="s">
        <v>8115</v>
      </c>
      <c r="D2160" t="s">
        <v>8116</v>
      </c>
      <c r="E2160" t="s">
        <v>8114</v>
      </c>
      <c r="F2160" t="s">
        <v>28</v>
      </c>
      <c r="G2160" t="s">
        <v>8114</v>
      </c>
      <c r="H2160" t="str">
        <f>"gfat-1"</f>
        <v>gfat-1</v>
      </c>
      <c r="I2160" t="s">
        <v>8116</v>
      </c>
      <c r="J2160">
        <v>14.9342122182869</v>
      </c>
      <c r="K2160">
        <v>14.771390619658799</v>
      </c>
      <c r="L2160">
        <v>14.9746097826197</v>
      </c>
      <c r="M2160">
        <v>14.7957078301176</v>
      </c>
      <c r="N2160">
        <v>15.6997184251022</v>
      </c>
      <c r="O2160">
        <v>15.246884743630099</v>
      </c>
      <c r="P2160">
        <v>0.35403279276145799</v>
      </c>
      <c r="Q2160">
        <v>-0.15306291124382301</v>
      </c>
      <c r="R2160">
        <v>0.86112849676673997</v>
      </c>
      <c r="S2160">
        <v>14.9768678358438</v>
      </c>
      <c r="T2160">
        <v>1.4736813005666201</v>
      </c>
      <c r="U2160">
        <v>-5.9785292463712398</v>
      </c>
      <c r="V2160">
        <v>0.158955363016308</v>
      </c>
      <c r="W2160">
        <v>0.41104734767064599</v>
      </c>
      <c r="X2160">
        <v>0</v>
      </c>
      <c r="Y2160">
        <v>0</v>
      </c>
    </row>
    <row r="2161" spans="1:25" x14ac:dyDescent="0.2">
      <c r="A2161" t="s">
        <v>8117</v>
      </c>
      <c r="B2161" t="s">
        <v>8118</v>
      </c>
      <c r="C2161" t="s">
        <v>8119</v>
      </c>
      <c r="D2161" t="s">
        <v>8120</v>
      </c>
      <c r="E2161" t="s">
        <v>8118</v>
      </c>
      <c r="F2161" t="s">
        <v>28</v>
      </c>
      <c r="G2161" t="s">
        <v>8118</v>
      </c>
      <c r="H2161" t="str">
        <f>"npp-5"</f>
        <v>npp-5</v>
      </c>
      <c r="I2161" t="s">
        <v>8120</v>
      </c>
      <c r="J2161">
        <v>13.9407351457901</v>
      </c>
      <c r="K2161">
        <v>13.912328844384801</v>
      </c>
      <c r="L2161">
        <v>13.878145206656701</v>
      </c>
      <c r="M2161">
        <v>13.868714049395701</v>
      </c>
      <c r="N2161">
        <v>14.0458073507937</v>
      </c>
      <c r="O2161">
        <v>13.880108185918999</v>
      </c>
      <c r="P2161">
        <v>2.1140129758931502E-2</v>
      </c>
      <c r="Q2161">
        <v>-0.41831899186237798</v>
      </c>
      <c r="R2161">
        <v>0.46059925138024099</v>
      </c>
      <c r="S2161">
        <v>13.7298977811289</v>
      </c>
      <c r="T2161">
        <v>0.101107105724329</v>
      </c>
      <c r="U2161">
        <v>-7.0467306650545796</v>
      </c>
      <c r="V2161">
        <v>0.92058966008389898</v>
      </c>
      <c r="W2161">
        <v>0.97210472750093202</v>
      </c>
      <c r="X2161">
        <v>0</v>
      </c>
      <c r="Y2161">
        <v>0</v>
      </c>
    </row>
    <row r="2162" spans="1:25" x14ac:dyDescent="0.2">
      <c r="A2162" t="s">
        <v>8121</v>
      </c>
      <c r="B2162" t="s">
        <v>8122</v>
      </c>
      <c r="C2162" t="s">
        <v>14441</v>
      </c>
      <c r="D2162" t="s">
        <v>1027</v>
      </c>
      <c r="E2162" t="s">
        <v>8122</v>
      </c>
      <c r="F2162" t="s">
        <v>28</v>
      </c>
      <c r="G2162" t="s">
        <v>8122</v>
      </c>
      <c r="H2162" t="str">
        <f>"F07A11.4"</f>
        <v>F07A11.4</v>
      </c>
      <c r="I2162" t="s">
        <v>1027</v>
      </c>
      <c r="J2162">
        <v>13.1597133173378</v>
      </c>
      <c r="K2162">
        <v>13.562023076185399</v>
      </c>
      <c r="L2162">
        <v>13.726356671016999</v>
      </c>
      <c r="M2162">
        <v>13.0148235413</v>
      </c>
      <c r="N2162">
        <v>12.1791023059609</v>
      </c>
      <c r="O2162">
        <v>12.949356160183299</v>
      </c>
      <c r="P2162">
        <v>-0.76827035236535901</v>
      </c>
      <c r="Q2162">
        <v>-1.2200538049017899</v>
      </c>
      <c r="R2162">
        <v>-0.31648689982893402</v>
      </c>
      <c r="S2162">
        <v>13.1921216438149</v>
      </c>
      <c r="T2162">
        <v>-3.5894984258434302</v>
      </c>
      <c r="U2162">
        <v>-2.03058701557651</v>
      </c>
      <c r="V2162">
        <v>2.2786278865425699E-3</v>
      </c>
      <c r="W2162">
        <v>3.1418030266141997E-2</v>
      </c>
      <c r="X2162">
        <v>0</v>
      </c>
      <c r="Y2162">
        <v>0</v>
      </c>
    </row>
    <row r="2163" spans="1:25" x14ac:dyDescent="0.2">
      <c r="A2163" t="s">
        <v>8123</v>
      </c>
      <c r="B2163" t="s">
        <v>8124</v>
      </c>
      <c r="C2163" t="s">
        <v>8125</v>
      </c>
      <c r="D2163" t="s">
        <v>8126</v>
      </c>
      <c r="E2163" t="s">
        <v>8124</v>
      </c>
      <c r="F2163" t="s">
        <v>28</v>
      </c>
      <c r="G2163" t="s">
        <v>8124</v>
      </c>
      <c r="H2163" t="str">
        <f>"rpl-11.2"</f>
        <v>rpl-11.2</v>
      </c>
      <c r="I2163" t="s">
        <v>8126</v>
      </c>
      <c r="J2163">
        <v>19.1335193906868</v>
      </c>
      <c r="K2163">
        <v>19.328801003910701</v>
      </c>
      <c r="L2163">
        <v>19.470335644393099</v>
      </c>
      <c r="M2163">
        <v>19.141427120361701</v>
      </c>
      <c r="N2163">
        <v>18.6869746565851</v>
      </c>
      <c r="O2163">
        <v>18.547527102955701</v>
      </c>
      <c r="P2163">
        <v>-0.51890905302933998</v>
      </c>
      <c r="Q2163">
        <v>-0.91970690716995895</v>
      </c>
      <c r="R2163">
        <v>-0.118111198888721</v>
      </c>
      <c r="S2163">
        <v>19.068127830073301</v>
      </c>
      <c r="T2163">
        <v>-2.7211869093910499</v>
      </c>
      <c r="U2163">
        <v>-3.80929383497865</v>
      </c>
      <c r="V2163">
        <v>1.4057068019256099E-2</v>
      </c>
      <c r="W2163">
        <v>0.10941391110061199</v>
      </c>
      <c r="X2163">
        <v>0</v>
      </c>
      <c r="Y2163">
        <v>0</v>
      </c>
    </row>
    <row r="2164" spans="1:25" x14ac:dyDescent="0.2">
      <c r="A2164" t="s">
        <v>8127</v>
      </c>
      <c r="B2164" t="s">
        <v>8128</v>
      </c>
      <c r="C2164" t="s">
        <v>8129</v>
      </c>
      <c r="D2164" t="s">
        <v>8130</v>
      </c>
      <c r="E2164" t="s">
        <v>8128</v>
      </c>
      <c r="F2164" t="s">
        <v>28</v>
      </c>
      <c r="G2164" t="s">
        <v>8128</v>
      </c>
      <c r="H2164" t="str">
        <f>"prx-12"</f>
        <v>prx-12</v>
      </c>
      <c r="I2164" t="s">
        <v>8130</v>
      </c>
      <c r="J2164">
        <v>10.787921941769399</v>
      </c>
      <c r="K2164">
        <v>11.087804206287201</v>
      </c>
      <c r="L2164">
        <v>11.295887469111101</v>
      </c>
      <c r="M2164" t="s">
        <v>29</v>
      </c>
      <c r="N2164">
        <v>11.338174315920099</v>
      </c>
      <c r="O2164">
        <v>11.524880505238899</v>
      </c>
      <c r="P2164">
        <v>0.37432287152357402</v>
      </c>
      <c r="Q2164">
        <v>-0.355997809878005</v>
      </c>
      <c r="R2164">
        <v>1.1046435529251499</v>
      </c>
      <c r="S2164">
        <v>12.3287134306327</v>
      </c>
      <c r="T2164">
        <v>1.10820475416334</v>
      </c>
      <c r="U2164">
        <v>-6.3154544026948196</v>
      </c>
      <c r="V2164">
        <v>0.28801579898337198</v>
      </c>
      <c r="W2164">
        <v>0.56684796854653297</v>
      </c>
      <c r="X2164">
        <v>0</v>
      </c>
      <c r="Y2164">
        <v>0</v>
      </c>
    </row>
    <row r="2165" spans="1:25" x14ac:dyDescent="0.2">
      <c r="A2165" t="s">
        <v>8131</v>
      </c>
      <c r="B2165" t="s">
        <v>8132</v>
      </c>
      <c r="C2165" t="s">
        <v>8133</v>
      </c>
      <c r="D2165" t="s">
        <v>8134</v>
      </c>
      <c r="E2165" t="s">
        <v>8132</v>
      </c>
      <c r="F2165" t="s">
        <v>28</v>
      </c>
      <c r="G2165" t="s">
        <v>8132</v>
      </c>
      <c r="H2165" t="str">
        <f>"pek-1"</f>
        <v>pek-1</v>
      </c>
      <c r="I2165" t="s">
        <v>8134</v>
      </c>
      <c r="J2165">
        <v>11.716334729034701</v>
      </c>
      <c r="K2165" t="s">
        <v>29</v>
      </c>
      <c r="L2165">
        <v>11.5187211855773</v>
      </c>
      <c r="M2165">
        <v>11.5715478552808</v>
      </c>
      <c r="N2165">
        <v>11.821687166081199</v>
      </c>
      <c r="O2165" t="s">
        <v>29</v>
      </c>
      <c r="P2165">
        <v>7.9089553374984703E-2</v>
      </c>
      <c r="Q2165">
        <v>-0.95758180277195704</v>
      </c>
      <c r="R2165">
        <v>1.1157609095219301</v>
      </c>
      <c r="S2165">
        <v>11.5934488435967</v>
      </c>
      <c r="T2165">
        <v>0.168114710662673</v>
      </c>
      <c r="U2165">
        <v>-6.8359474006150096</v>
      </c>
      <c r="V2165">
        <v>0.86957312824588195</v>
      </c>
      <c r="W2165">
        <v>0.95060863732646494</v>
      </c>
      <c r="X2165">
        <v>0</v>
      </c>
      <c r="Y2165">
        <v>0</v>
      </c>
    </row>
    <row r="2166" spans="1:25" x14ac:dyDescent="0.2">
      <c r="A2166" t="s">
        <v>8135</v>
      </c>
      <c r="B2166" t="s">
        <v>8136</v>
      </c>
      <c r="C2166" t="s">
        <v>8137</v>
      </c>
      <c r="D2166" t="s">
        <v>8138</v>
      </c>
      <c r="E2166" t="s">
        <v>8136</v>
      </c>
      <c r="F2166" t="s">
        <v>28</v>
      </c>
      <c r="G2166" t="s">
        <v>8136</v>
      </c>
      <c r="H2166" t="str">
        <f>"pole-2"</f>
        <v>pole-2</v>
      </c>
      <c r="I2166" t="s">
        <v>8138</v>
      </c>
      <c r="J2166" t="s">
        <v>29</v>
      </c>
      <c r="K2166" t="s">
        <v>29</v>
      </c>
      <c r="L2166" t="s">
        <v>29</v>
      </c>
      <c r="M2166" t="s">
        <v>29</v>
      </c>
      <c r="N2166" t="s">
        <v>29</v>
      </c>
      <c r="O2166" t="s">
        <v>29</v>
      </c>
      <c r="P2166" t="s">
        <v>29</v>
      </c>
      <c r="Q2166" t="s">
        <v>29</v>
      </c>
      <c r="R2166" t="s">
        <v>29</v>
      </c>
      <c r="S2166">
        <v>12.0134033175979</v>
      </c>
      <c r="T2166" t="s">
        <v>29</v>
      </c>
      <c r="U2166" t="s">
        <v>29</v>
      </c>
      <c r="V2166" t="s">
        <v>29</v>
      </c>
      <c r="W2166" t="s">
        <v>29</v>
      </c>
      <c r="X2166" t="s">
        <v>29</v>
      </c>
      <c r="Y2166" t="s">
        <v>29</v>
      </c>
    </row>
    <row r="2167" spans="1:25" x14ac:dyDescent="0.2">
      <c r="A2167" t="s">
        <v>8139</v>
      </c>
      <c r="B2167" t="s">
        <v>8140</v>
      </c>
      <c r="C2167" t="s">
        <v>8141</v>
      </c>
      <c r="D2167" t="s">
        <v>8142</v>
      </c>
      <c r="E2167" t="s">
        <v>8140</v>
      </c>
      <c r="F2167" t="s">
        <v>28</v>
      </c>
      <c r="G2167" t="s">
        <v>8140</v>
      </c>
      <c r="H2167" t="str">
        <f>"sto-1"</f>
        <v>sto-1</v>
      </c>
      <c r="I2167" t="s">
        <v>8142</v>
      </c>
      <c r="J2167">
        <v>15.443533958079501</v>
      </c>
      <c r="K2167">
        <v>15.9518848665807</v>
      </c>
      <c r="L2167">
        <v>15.738565499434101</v>
      </c>
      <c r="M2167">
        <v>16.013495976418199</v>
      </c>
      <c r="N2167">
        <v>16.3552830947384</v>
      </c>
      <c r="O2167">
        <v>16.253307528716299</v>
      </c>
      <c r="P2167">
        <v>0.496034091926221</v>
      </c>
      <c r="Q2167">
        <v>-6.53272851192509E-2</v>
      </c>
      <c r="R2167">
        <v>1.05739546897169</v>
      </c>
      <c r="S2167">
        <v>16.319544550058399</v>
      </c>
      <c r="T2167">
        <v>1.8572121253639799</v>
      </c>
      <c r="U2167">
        <v>-5.40022899564228</v>
      </c>
      <c r="V2167">
        <v>7.9817833723796403E-2</v>
      </c>
      <c r="W2167">
        <v>0.289269405539689</v>
      </c>
      <c r="X2167">
        <v>0</v>
      </c>
      <c r="Y2167">
        <v>0</v>
      </c>
    </row>
    <row r="2168" spans="1:25" x14ac:dyDescent="0.2">
      <c r="A2168" t="s">
        <v>8143</v>
      </c>
      <c r="B2168" t="s">
        <v>8144</v>
      </c>
      <c r="C2168" t="s">
        <v>8145</v>
      </c>
      <c r="D2168" t="s">
        <v>8146</v>
      </c>
      <c r="E2168" t="s">
        <v>8144</v>
      </c>
      <c r="F2168" t="s">
        <v>28</v>
      </c>
      <c r="G2168" t="s">
        <v>8144</v>
      </c>
      <c r="H2168" t="str">
        <f>"apy-1"</f>
        <v>apy-1</v>
      </c>
      <c r="I2168" t="s">
        <v>8146</v>
      </c>
      <c r="J2168">
        <v>13.3761631685132</v>
      </c>
      <c r="K2168">
        <v>13.6218682317276</v>
      </c>
      <c r="L2168">
        <v>13.4964872510467</v>
      </c>
      <c r="M2168">
        <v>13.649456301655601</v>
      </c>
      <c r="N2168" t="s">
        <v>29</v>
      </c>
      <c r="O2168">
        <v>12.653904241522101</v>
      </c>
      <c r="P2168">
        <v>-0.34649261217365901</v>
      </c>
      <c r="Q2168">
        <v>-1.38008682202555</v>
      </c>
      <c r="R2168">
        <v>0.68710159767823498</v>
      </c>
      <c r="S2168">
        <v>13.521234475699</v>
      </c>
      <c r="T2168">
        <v>-0.71103903118520895</v>
      </c>
      <c r="U2168">
        <v>-6.6793861648244901</v>
      </c>
      <c r="V2168">
        <v>0.48736380857077799</v>
      </c>
      <c r="W2168">
        <v>0.74195019062289802</v>
      </c>
      <c r="X2168">
        <v>0</v>
      </c>
      <c r="Y2168">
        <v>0</v>
      </c>
    </row>
    <row r="2169" spans="1:25" x14ac:dyDescent="0.2">
      <c r="A2169" t="s">
        <v>8147</v>
      </c>
      <c r="B2169" t="s">
        <v>8148</v>
      </c>
      <c r="C2169" t="s">
        <v>14442</v>
      </c>
      <c r="D2169" t="s">
        <v>8149</v>
      </c>
      <c r="E2169" t="s">
        <v>8148</v>
      </c>
      <c r="F2169" t="s">
        <v>28</v>
      </c>
      <c r="G2169" t="s">
        <v>8148</v>
      </c>
      <c r="H2169" t="str">
        <f>"F08G12.1"</f>
        <v>F08G12.1</v>
      </c>
      <c r="I2169" t="s">
        <v>8149</v>
      </c>
      <c r="J2169">
        <v>13.042089379358099</v>
      </c>
      <c r="K2169">
        <v>12.474340606517201</v>
      </c>
      <c r="L2169">
        <v>12.4176302257143</v>
      </c>
      <c r="M2169">
        <v>12.232793169758001</v>
      </c>
      <c r="N2169">
        <v>11.990514973925499</v>
      </c>
      <c r="O2169" t="s">
        <v>29</v>
      </c>
      <c r="P2169">
        <v>-0.53303266535478</v>
      </c>
      <c r="Q2169">
        <v>-1.15564595722716</v>
      </c>
      <c r="R2169">
        <v>8.9580626517596407E-2</v>
      </c>
      <c r="S2169">
        <v>12.707515485902</v>
      </c>
      <c r="T2169">
        <v>-1.9787965655414199</v>
      </c>
      <c r="U2169">
        <v>-5.1702726732532103</v>
      </c>
      <c r="V2169">
        <v>8.3681150134518698E-2</v>
      </c>
      <c r="W2169">
        <v>0.29565522533954802</v>
      </c>
      <c r="X2169">
        <v>0</v>
      </c>
      <c r="Y2169">
        <v>0</v>
      </c>
    </row>
    <row r="2170" spans="1:25" x14ac:dyDescent="0.2">
      <c r="A2170" t="s">
        <v>8150</v>
      </c>
      <c r="B2170" t="s">
        <v>8151</v>
      </c>
      <c r="C2170" t="s">
        <v>8152</v>
      </c>
      <c r="D2170" t="s">
        <v>49</v>
      </c>
      <c r="E2170" t="s">
        <v>8151</v>
      </c>
      <c r="F2170" t="s">
        <v>28</v>
      </c>
      <c r="G2170" t="s">
        <v>8151</v>
      </c>
      <c r="H2170" t="str">
        <f>"ugt-65"</f>
        <v>ugt-65</v>
      </c>
      <c r="I2170" t="s">
        <v>49</v>
      </c>
      <c r="J2170">
        <v>11.100682317648999</v>
      </c>
      <c r="K2170" t="s">
        <v>29</v>
      </c>
      <c r="L2170" t="s">
        <v>29</v>
      </c>
      <c r="M2170">
        <v>11.9226051442214</v>
      </c>
      <c r="N2170">
        <v>11.6462236739685</v>
      </c>
      <c r="O2170">
        <v>11.297517160399799</v>
      </c>
      <c r="P2170">
        <v>0.52143300854760899</v>
      </c>
      <c r="Q2170">
        <v>-0.56242488831114501</v>
      </c>
      <c r="R2170">
        <v>1.60529090540636</v>
      </c>
      <c r="S2170">
        <v>11.3198590617455</v>
      </c>
      <c r="T2170">
        <v>1.0325665850296899</v>
      </c>
      <c r="U2170">
        <v>-6.1668996695121203</v>
      </c>
      <c r="V2170">
        <v>0.31944511699901301</v>
      </c>
      <c r="W2170">
        <v>0.597291793918591</v>
      </c>
      <c r="X2170">
        <v>0</v>
      </c>
      <c r="Y2170">
        <v>0</v>
      </c>
    </row>
    <row r="2171" spans="1:25" x14ac:dyDescent="0.2">
      <c r="A2171" t="s">
        <v>8153</v>
      </c>
      <c r="B2171" t="s">
        <v>8154</v>
      </c>
      <c r="C2171" t="s">
        <v>8155</v>
      </c>
      <c r="D2171" t="s">
        <v>8156</v>
      </c>
      <c r="E2171" t="s">
        <v>8154</v>
      </c>
      <c r="F2171" t="s">
        <v>28</v>
      </c>
      <c r="G2171" t="s">
        <v>8154</v>
      </c>
      <c r="H2171" t="str">
        <f>"dhs-25"</f>
        <v>dhs-25</v>
      </c>
      <c r="I2171" t="s">
        <v>8156</v>
      </c>
      <c r="J2171">
        <v>16.395564713902601</v>
      </c>
      <c r="K2171">
        <v>16.0686179746987</v>
      </c>
      <c r="L2171">
        <v>16.445279922712299</v>
      </c>
      <c r="M2171">
        <v>15.6733136570406</v>
      </c>
      <c r="N2171">
        <v>16.334724798009201</v>
      </c>
      <c r="O2171">
        <v>15.881306783907601</v>
      </c>
      <c r="P2171">
        <v>-0.34003912411874598</v>
      </c>
      <c r="Q2171">
        <v>-0.74883616992360102</v>
      </c>
      <c r="R2171">
        <v>6.8757921686108406E-2</v>
      </c>
      <c r="S2171">
        <v>15.725952496717101</v>
      </c>
      <c r="T2171">
        <v>-1.7482907239632</v>
      </c>
      <c r="U2171">
        <v>-5.5741538034943403</v>
      </c>
      <c r="V2171">
        <v>9.7548011817643193E-2</v>
      </c>
      <c r="W2171">
        <v>0.32225505629909801</v>
      </c>
      <c r="X2171">
        <v>0</v>
      </c>
      <c r="Y2171">
        <v>0</v>
      </c>
    </row>
    <row r="2172" spans="1:25" x14ac:dyDescent="0.2">
      <c r="A2172" t="s">
        <v>8157</v>
      </c>
      <c r="B2172" t="s">
        <v>8158</v>
      </c>
      <c r="C2172" t="s">
        <v>14443</v>
      </c>
      <c r="D2172" t="s">
        <v>8159</v>
      </c>
      <c r="E2172" t="s">
        <v>8158</v>
      </c>
      <c r="F2172" t="s">
        <v>28</v>
      </c>
      <c r="G2172" t="s">
        <v>8158</v>
      </c>
      <c r="H2172" t="str">
        <f>"F09E5.7"</f>
        <v>F09E5.7</v>
      </c>
      <c r="I2172" t="s">
        <v>8159</v>
      </c>
      <c r="J2172">
        <v>11.657620033902299</v>
      </c>
      <c r="K2172">
        <v>12.495327265539</v>
      </c>
      <c r="L2172">
        <v>11.725252522814101</v>
      </c>
      <c r="M2172" t="s">
        <v>29</v>
      </c>
      <c r="N2172">
        <v>12.093413600061901</v>
      </c>
      <c r="O2172">
        <v>12.579260506567801</v>
      </c>
      <c r="P2172">
        <v>0.37693711256304302</v>
      </c>
      <c r="Q2172">
        <v>-0.31712600798301599</v>
      </c>
      <c r="R2172">
        <v>1.0710002331091</v>
      </c>
      <c r="S2172">
        <v>12.191392123277501</v>
      </c>
      <c r="T2172">
        <v>1.15191241951876</v>
      </c>
      <c r="U2172">
        <v>-6.2705924576867202</v>
      </c>
      <c r="V2172">
        <v>0.266388923260653</v>
      </c>
      <c r="W2172">
        <v>0.54253072011360703</v>
      </c>
      <c r="X2172">
        <v>0</v>
      </c>
      <c r="Y2172">
        <v>0</v>
      </c>
    </row>
    <row r="2173" spans="1:25" x14ac:dyDescent="0.2">
      <c r="A2173" t="s">
        <v>8160</v>
      </c>
      <c r="B2173" t="s">
        <v>8161</v>
      </c>
      <c r="C2173" t="s">
        <v>14444</v>
      </c>
      <c r="D2173" t="s">
        <v>8162</v>
      </c>
      <c r="E2173" t="s">
        <v>8161</v>
      </c>
      <c r="F2173" t="s">
        <v>28</v>
      </c>
      <c r="G2173" t="s">
        <v>8161</v>
      </c>
      <c r="H2173" t="str">
        <f>"F09E5.11"</f>
        <v>F09E5.11</v>
      </c>
      <c r="I2173" t="s">
        <v>8162</v>
      </c>
      <c r="J2173">
        <v>13.7752394240957</v>
      </c>
      <c r="K2173">
        <v>13.4593812591831</v>
      </c>
      <c r="L2173">
        <v>13.704455826526999</v>
      </c>
      <c r="M2173">
        <v>13.612300515762</v>
      </c>
      <c r="N2173">
        <v>12.9000504170799</v>
      </c>
      <c r="O2173">
        <v>12.9246139080915</v>
      </c>
      <c r="P2173">
        <v>-0.50070388962414303</v>
      </c>
      <c r="Q2173">
        <v>-1.00016022185535</v>
      </c>
      <c r="R2173">
        <v>-1.24755739294019E-3</v>
      </c>
      <c r="S2173">
        <v>13.2787033995389</v>
      </c>
      <c r="T2173">
        <v>-2.1263412842420002</v>
      </c>
      <c r="U2173">
        <v>-4.95504770530441</v>
      </c>
      <c r="V2173">
        <v>4.9495497179724297E-2</v>
      </c>
      <c r="W2173">
        <v>0.221597972104256</v>
      </c>
      <c r="X2173">
        <v>0</v>
      </c>
      <c r="Y2173">
        <v>0</v>
      </c>
    </row>
    <row r="2174" spans="1:25" x14ac:dyDescent="0.2">
      <c r="A2174" t="s">
        <v>8163</v>
      </c>
      <c r="B2174" t="s">
        <v>8164</v>
      </c>
      <c r="C2174" t="s">
        <v>8165</v>
      </c>
      <c r="D2174" t="s">
        <v>8166</v>
      </c>
      <c r="E2174" t="s">
        <v>8164</v>
      </c>
      <c r="F2174" t="s">
        <v>28</v>
      </c>
      <c r="G2174" t="s">
        <v>8164</v>
      </c>
      <c r="H2174" t="str">
        <f>"sec-6"</f>
        <v>sec-6</v>
      </c>
      <c r="I2174" t="s">
        <v>8166</v>
      </c>
      <c r="J2174" t="s">
        <v>29</v>
      </c>
      <c r="K2174">
        <v>12.834371302891901</v>
      </c>
      <c r="L2174" t="s">
        <v>29</v>
      </c>
      <c r="M2174">
        <v>16.370907169575901</v>
      </c>
      <c r="N2174">
        <v>17.226127672750401</v>
      </c>
      <c r="O2174">
        <v>16.6741761702106</v>
      </c>
      <c r="P2174">
        <v>3.9226990346203898</v>
      </c>
      <c r="Q2174">
        <v>2.4766966833614399</v>
      </c>
      <c r="R2174">
        <v>5.3687013858793504</v>
      </c>
      <c r="S2174">
        <v>15.4185054469765</v>
      </c>
      <c r="T2174">
        <v>5.7539425217246096</v>
      </c>
      <c r="U2174">
        <v>2.5489396515280598</v>
      </c>
      <c r="V2174" s="2">
        <v>3.0379267484903701E-5</v>
      </c>
      <c r="W2174">
        <v>1.17683495709377E-3</v>
      </c>
      <c r="X2174">
        <v>1</v>
      </c>
      <c r="Y2174">
        <v>1</v>
      </c>
    </row>
    <row r="2175" spans="1:25" x14ac:dyDescent="0.2">
      <c r="A2175" t="s">
        <v>8167</v>
      </c>
      <c r="B2175" t="s">
        <v>8168</v>
      </c>
      <c r="C2175" t="s">
        <v>8169</v>
      </c>
      <c r="D2175" t="s">
        <v>8170</v>
      </c>
      <c r="E2175" t="s">
        <v>8168</v>
      </c>
      <c r="F2175" t="s">
        <v>28</v>
      </c>
      <c r="G2175" t="s">
        <v>8168</v>
      </c>
      <c r="H2175" t="str">
        <f>"F09E5.3"</f>
        <v>F09E5.3</v>
      </c>
      <c r="I2175" t="s">
        <v>8170</v>
      </c>
      <c r="J2175">
        <v>12.485211819350701</v>
      </c>
      <c r="K2175">
        <v>12.2322828231237</v>
      </c>
      <c r="L2175">
        <v>12.487547817792301</v>
      </c>
      <c r="M2175">
        <v>12.863385870235</v>
      </c>
      <c r="N2175">
        <v>12.6988330254599</v>
      </c>
      <c r="O2175">
        <v>13.875141258311</v>
      </c>
      <c r="P2175">
        <v>0.74410589791306403</v>
      </c>
      <c r="Q2175">
        <v>0.10181356581904701</v>
      </c>
      <c r="R2175">
        <v>1.3863982300070801</v>
      </c>
      <c r="S2175">
        <v>13.039228194901201</v>
      </c>
      <c r="T2175">
        <v>2.4349750900140301</v>
      </c>
      <c r="U2175">
        <v>-4.3713923059061202</v>
      </c>
      <c r="V2175">
        <v>2.5590199648355402E-2</v>
      </c>
      <c r="W2175">
        <v>0.15580495347353099</v>
      </c>
      <c r="X2175">
        <v>0</v>
      </c>
      <c r="Y2175">
        <v>0</v>
      </c>
    </row>
    <row r="2176" spans="1:25" x14ac:dyDescent="0.2">
      <c r="A2176" t="s">
        <v>8171</v>
      </c>
      <c r="B2176" t="s">
        <v>8172</v>
      </c>
      <c r="C2176" t="s">
        <v>8173</v>
      </c>
      <c r="D2176" t="s">
        <v>1135</v>
      </c>
      <c r="E2176" t="s">
        <v>8172</v>
      </c>
      <c r="F2176" t="s">
        <v>28</v>
      </c>
      <c r="G2176" t="s">
        <v>8172</v>
      </c>
      <c r="H2176" t="str">
        <f>"algn-2"</f>
        <v>algn-2</v>
      </c>
      <c r="I2176" t="s">
        <v>1135</v>
      </c>
      <c r="J2176">
        <v>12.757666914868199</v>
      </c>
      <c r="K2176">
        <v>12.419015395601299</v>
      </c>
      <c r="L2176">
        <v>12.879955878069699</v>
      </c>
      <c r="M2176">
        <v>12.783923258422</v>
      </c>
      <c r="N2176">
        <v>12.7425285080165</v>
      </c>
      <c r="O2176">
        <v>12.6193405900878</v>
      </c>
      <c r="P2176">
        <v>2.97180559956889E-2</v>
      </c>
      <c r="Q2176">
        <v>-0.57397495589054603</v>
      </c>
      <c r="R2176">
        <v>0.63341106788192303</v>
      </c>
      <c r="S2176">
        <v>12.626019167249799</v>
      </c>
      <c r="T2176">
        <v>0.103909262202727</v>
      </c>
      <c r="U2176">
        <v>-7.0464121572629903</v>
      </c>
      <c r="V2176">
        <v>0.91846487948588096</v>
      </c>
      <c r="W2176">
        <v>0.97098268935901699</v>
      </c>
      <c r="X2176">
        <v>0</v>
      </c>
      <c r="Y2176">
        <v>0</v>
      </c>
    </row>
    <row r="2177" spans="1:25" x14ac:dyDescent="0.2">
      <c r="A2177" t="s">
        <v>8174</v>
      </c>
      <c r="B2177" t="s">
        <v>8175</v>
      </c>
      <c r="C2177" t="s">
        <v>8176</v>
      </c>
      <c r="D2177" t="s">
        <v>8177</v>
      </c>
      <c r="E2177" t="s">
        <v>8175</v>
      </c>
      <c r="F2177" t="s">
        <v>28</v>
      </c>
      <c r="G2177" t="s">
        <v>8175</v>
      </c>
      <c r="H2177" t="str">
        <f>"pkc-3"</f>
        <v>pkc-3</v>
      </c>
      <c r="I2177" t="s">
        <v>8177</v>
      </c>
      <c r="J2177">
        <v>14.0739419767851</v>
      </c>
      <c r="K2177">
        <v>14.0961878733637</v>
      </c>
      <c r="L2177">
        <v>13.7611658660309</v>
      </c>
      <c r="M2177">
        <v>14.1671653086134</v>
      </c>
      <c r="N2177">
        <v>14.2276480983681</v>
      </c>
      <c r="O2177">
        <v>14.0858076609038</v>
      </c>
      <c r="P2177">
        <v>0.18310845056852501</v>
      </c>
      <c r="Q2177">
        <v>-0.31675215264636702</v>
      </c>
      <c r="R2177">
        <v>0.68296905378341799</v>
      </c>
      <c r="S2177">
        <v>13.691879910520999</v>
      </c>
      <c r="T2177">
        <v>0.77323141786804805</v>
      </c>
      <c r="U2177">
        <v>-6.7432477028676701</v>
      </c>
      <c r="V2177">
        <v>0.45006921669289501</v>
      </c>
      <c r="W2177">
        <v>0.71795406903487702</v>
      </c>
      <c r="X2177">
        <v>0</v>
      </c>
      <c r="Y2177">
        <v>0</v>
      </c>
    </row>
    <row r="2178" spans="1:25" x14ac:dyDescent="0.2">
      <c r="A2178" t="s">
        <v>8178</v>
      </c>
      <c r="B2178" t="s">
        <v>8179</v>
      </c>
      <c r="C2178" t="s">
        <v>8180</v>
      </c>
      <c r="D2178" t="s">
        <v>8181</v>
      </c>
      <c r="E2178" t="s">
        <v>8179</v>
      </c>
      <c r="F2178" t="s">
        <v>28</v>
      </c>
      <c r="G2178" t="s">
        <v>8179</v>
      </c>
      <c r="H2178" t="str">
        <f>"hach-1"</f>
        <v>hach-1</v>
      </c>
      <c r="I2178" t="s">
        <v>8181</v>
      </c>
      <c r="J2178">
        <v>18.096322559500699</v>
      </c>
      <c r="K2178">
        <v>17.612583217300301</v>
      </c>
      <c r="L2178">
        <v>17.882274068242602</v>
      </c>
      <c r="M2178">
        <v>17.4027998884524</v>
      </c>
      <c r="N2178">
        <v>17.704417412125899</v>
      </c>
      <c r="O2178">
        <v>17.3733730176946</v>
      </c>
      <c r="P2178">
        <v>-0.37019650892357298</v>
      </c>
      <c r="Q2178">
        <v>-0.76007187424778999</v>
      </c>
      <c r="R2178">
        <v>1.9678856400642899E-2</v>
      </c>
      <c r="S2178">
        <v>17.416682257308899</v>
      </c>
      <c r="T2178">
        <v>-1.9957173702375</v>
      </c>
      <c r="U2178">
        <v>-5.1689917867699</v>
      </c>
      <c r="V2178">
        <v>6.1415712012180497E-2</v>
      </c>
      <c r="W2178">
        <v>0.25012105993446199</v>
      </c>
      <c r="X2178">
        <v>0</v>
      </c>
      <c r="Y2178">
        <v>0</v>
      </c>
    </row>
    <row r="2179" spans="1:25" x14ac:dyDescent="0.2">
      <c r="A2179" t="s">
        <v>8182</v>
      </c>
      <c r="B2179" t="s">
        <v>8183</v>
      </c>
      <c r="C2179" t="s">
        <v>8184</v>
      </c>
      <c r="D2179" t="s">
        <v>8185</v>
      </c>
      <c r="E2179" t="s">
        <v>8183</v>
      </c>
      <c r="F2179" t="s">
        <v>28</v>
      </c>
      <c r="G2179" t="s">
        <v>8183</v>
      </c>
      <c r="H2179" t="str">
        <f>"ifb-2"</f>
        <v>ifb-2</v>
      </c>
      <c r="I2179" t="s">
        <v>8185</v>
      </c>
      <c r="J2179">
        <v>15.975475030728999</v>
      </c>
      <c r="K2179">
        <v>16.658464202169402</v>
      </c>
      <c r="L2179">
        <v>18.342505839140099</v>
      </c>
      <c r="M2179">
        <v>16.7085972812751</v>
      </c>
      <c r="N2179">
        <v>17.8473181709562</v>
      </c>
      <c r="O2179">
        <v>17.0846291538247</v>
      </c>
      <c r="P2179">
        <v>0.22136651133917701</v>
      </c>
      <c r="Q2179">
        <v>-0.96866890910386005</v>
      </c>
      <c r="R2179">
        <v>1.41140193178221</v>
      </c>
      <c r="S2179">
        <v>16.918899931148299</v>
      </c>
      <c r="T2179">
        <v>0.39097100074268898</v>
      </c>
      <c r="U2179">
        <v>-6.97232164138003</v>
      </c>
      <c r="V2179">
        <v>0.70043439838334498</v>
      </c>
      <c r="W2179">
        <v>0.86634680914856199</v>
      </c>
      <c r="X2179">
        <v>0</v>
      </c>
      <c r="Y2179">
        <v>0</v>
      </c>
    </row>
    <row r="2180" spans="1:25" x14ac:dyDescent="0.2">
      <c r="A2180" t="s">
        <v>8186</v>
      </c>
      <c r="B2180" t="s">
        <v>8187</v>
      </c>
      <c r="C2180" t="s">
        <v>8188</v>
      </c>
      <c r="D2180" t="s">
        <v>8189</v>
      </c>
      <c r="E2180" t="s">
        <v>8187</v>
      </c>
      <c r="F2180" t="s">
        <v>28</v>
      </c>
      <c r="G2180" t="s">
        <v>8187</v>
      </c>
      <c r="H2180" t="str">
        <f>"ifb-1"</f>
        <v>ifb-1</v>
      </c>
      <c r="I2180" t="s">
        <v>8189</v>
      </c>
      <c r="J2180">
        <v>14.315746940918601</v>
      </c>
      <c r="K2180">
        <v>14.547533623940501</v>
      </c>
      <c r="L2180">
        <v>15.135385251682999</v>
      </c>
      <c r="M2180">
        <v>16.4089283277611</v>
      </c>
      <c r="N2180">
        <v>16.1333275465248</v>
      </c>
      <c r="O2180">
        <v>16.443235555453199</v>
      </c>
      <c r="P2180">
        <v>1.6622752043989799</v>
      </c>
      <c r="Q2180">
        <v>0.91687400203123703</v>
      </c>
      <c r="R2180">
        <v>2.40767640676673</v>
      </c>
      <c r="S2180">
        <v>15.5475500270692</v>
      </c>
      <c r="T2180">
        <v>4.6871122120862703</v>
      </c>
      <c r="U2180">
        <v>0.43013138660282402</v>
      </c>
      <c r="V2180">
        <v>1.8626366554403399E-4</v>
      </c>
      <c r="W2180">
        <v>5.1803586981221204E-3</v>
      </c>
      <c r="X2180">
        <v>1</v>
      </c>
      <c r="Y2180">
        <v>1</v>
      </c>
    </row>
    <row r="2181" spans="1:25" x14ac:dyDescent="0.2">
      <c r="A2181" t="s">
        <v>8190</v>
      </c>
      <c r="B2181" t="s">
        <v>8191</v>
      </c>
      <c r="C2181" t="s">
        <v>8192</v>
      </c>
      <c r="D2181" t="s">
        <v>8193</v>
      </c>
      <c r="E2181" t="s">
        <v>8191</v>
      </c>
      <c r="F2181" t="s">
        <v>28</v>
      </c>
      <c r="G2181" t="s">
        <v>8191</v>
      </c>
      <c r="H2181" t="str">
        <f>"nemp-1"</f>
        <v>nemp-1</v>
      </c>
      <c r="I2181" t="s">
        <v>8193</v>
      </c>
      <c r="J2181">
        <v>13.1576874749222</v>
      </c>
      <c r="K2181">
        <v>13.5618594695776</v>
      </c>
      <c r="L2181">
        <v>13.8294285500473</v>
      </c>
      <c r="M2181">
        <v>13.187470946621399</v>
      </c>
      <c r="N2181">
        <v>12.2871513183423</v>
      </c>
      <c r="O2181">
        <v>13.4601817091099</v>
      </c>
      <c r="P2181">
        <v>-0.538057173491158</v>
      </c>
      <c r="Q2181">
        <v>-1.14106552992098</v>
      </c>
      <c r="R2181">
        <v>6.4951182938665197E-2</v>
      </c>
      <c r="S2181">
        <v>13.935465144511401</v>
      </c>
      <c r="T2181">
        <v>-1.8754159636788099</v>
      </c>
      <c r="U2181">
        <v>-5.37046423392737</v>
      </c>
      <c r="V2181">
        <v>7.7148850444137704E-2</v>
      </c>
      <c r="W2181">
        <v>0.285275408346846</v>
      </c>
      <c r="X2181">
        <v>0</v>
      </c>
      <c r="Y2181">
        <v>0</v>
      </c>
    </row>
    <row r="2182" spans="1:25" x14ac:dyDescent="0.2">
      <c r="A2182" t="s">
        <v>8194</v>
      </c>
      <c r="B2182" t="s">
        <v>8195</v>
      </c>
      <c r="C2182" t="s">
        <v>8196</v>
      </c>
      <c r="D2182" t="s">
        <v>8197</v>
      </c>
      <c r="E2182" t="s">
        <v>8195</v>
      </c>
      <c r="F2182" t="s">
        <v>28</v>
      </c>
      <c r="G2182" t="s">
        <v>8195</v>
      </c>
      <c r="H2182" t="str">
        <f>"mat-3"</f>
        <v>mat-3</v>
      </c>
      <c r="I2182" t="s">
        <v>8197</v>
      </c>
      <c r="J2182">
        <v>12.776820640312801</v>
      </c>
      <c r="K2182">
        <v>12.683494915898001</v>
      </c>
      <c r="L2182">
        <v>12.934545051904699</v>
      </c>
      <c r="M2182">
        <v>12.351876793689501</v>
      </c>
      <c r="N2182">
        <v>12.5654407801759</v>
      </c>
      <c r="O2182">
        <v>12.354346848424401</v>
      </c>
      <c r="P2182">
        <v>-0.37439872860856799</v>
      </c>
      <c r="Q2182">
        <v>-0.87717390395383898</v>
      </c>
      <c r="R2182">
        <v>0.12837644673670201</v>
      </c>
      <c r="S2182">
        <v>13.2738273868065</v>
      </c>
      <c r="T2182">
        <v>-1.57946522662003</v>
      </c>
      <c r="U2182">
        <v>-5.8302839573801801</v>
      </c>
      <c r="V2182">
        <v>0.13392120212834699</v>
      </c>
      <c r="W2182">
        <v>0.37911920018163497</v>
      </c>
      <c r="X2182">
        <v>0</v>
      </c>
      <c r="Y2182">
        <v>0</v>
      </c>
    </row>
    <row r="2183" spans="1:25" x14ac:dyDescent="0.2">
      <c r="A2183" t="s">
        <v>8198</v>
      </c>
      <c r="B2183" t="s">
        <v>8199</v>
      </c>
      <c r="C2183" t="s">
        <v>14445</v>
      </c>
      <c r="D2183" t="s">
        <v>8200</v>
      </c>
      <c r="E2183" t="s">
        <v>8199</v>
      </c>
      <c r="F2183" t="s">
        <v>28</v>
      </c>
      <c r="G2183" t="s">
        <v>8199</v>
      </c>
      <c r="H2183" t="str">
        <f>"F10E7.5"</f>
        <v>F10E7.5</v>
      </c>
      <c r="I2183" t="s">
        <v>8200</v>
      </c>
      <c r="J2183">
        <v>14.840249271812899</v>
      </c>
      <c r="K2183">
        <v>14.26649213874</v>
      </c>
      <c r="L2183">
        <v>14.498964487976099</v>
      </c>
      <c r="M2183">
        <v>13.694506123018799</v>
      </c>
      <c r="N2183">
        <v>14.2855182653333</v>
      </c>
      <c r="O2183">
        <v>14.3783512765679</v>
      </c>
      <c r="P2183">
        <v>-0.415776744536341</v>
      </c>
      <c r="Q2183">
        <v>-0.93885929860384998</v>
      </c>
      <c r="R2183">
        <v>0.107305809531168</v>
      </c>
      <c r="S2183">
        <v>14.6809679564057</v>
      </c>
      <c r="T2183">
        <v>-1.67779915759716</v>
      </c>
      <c r="U2183">
        <v>-5.68413805514502</v>
      </c>
      <c r="V2183">
        <v>0.11178687578468401</v>
      </c>
      <c r="W2183">
        <v>0.34411407745613198</v>
      </c>
      <c r="X2183">
        <v>0</v>
      </c>
      <c r="Y2183">
        <v>0</v>
      </c>
    </row>
    <row r="2184" spans="1:25" x14ac:dyDescent="0.2">
      <c r="A2184" t="s">
        <v>8201</v>
      </c>
      <c r="B2184" t="s">
        <v>8202</v>
      </c>
      <c r="C2184" t="s">
        <v>8203</v>
      </c>
      <c r="D2184" t="s">
        <v>8204</v>
      </c>
      <c r="E2184" t="s">
        <v>8202</v>
      </c>
      <c r="F2184" t="s">
        <v>28</v>
      </c>
      <c r="G2184" t="s">
        <v>8202</v>
      </c>
      <c r="H2184" t="str">
        <f>"spon-1"</f>
        <v>spon-1</v>
      </c>
      <c r="I2184" t="s">
        <v>8204</v>
      </c>
      <c r="J2184">
        <v>11.381612840815899</v>
      </c>
      <c r="K2184">
        <v>11.9748419695834</v>
      </c>
      <c r="L2184">
        <v>13.0497611860904</v>
      </c>
      <c r="M2184">
        <v>12.0457921493032</v>
      </c>
      <c r="N2184">
        <v>11.9729803484672</v>
      </c>
      <c r="O2184">
        <v>11.3209964671299</v>
      </c>
      <c r="P2184">
        <v>-0.35548234386313599</v>
      </c>
      <c r="Q2184">
        <v>-1.1842183391248</v>
      </c>
      <c r="R2184">
        <v>0.47325365139852699</v>
      </c>
      <c r="S2184">
        <v>13.105893156677601</v>
      </c>
      <c r="T2184">
        <v>-0.91483640477295403</v>
      </c>
      <c r="U2184">
        <v>-6.6209028027895602</v>
      </c>
      <c r="V2184">
        <v>0.37485024837012099</v>
      </c>
      <c r="W2184">
        <v>0.65048184635139705</v>
      </c>
      <c r="X2184">
        <v>0</v>
      </c>
      <c r="Y2184">
        <v>0</v>
      </c>
    </row>
    <row r="2185" spans="1:25" x14ac:dyDescent="0.2">
      <c r="A2185" t="s">
        <v>8205</v>
      </c>
      <c r="B2185" t="s">
        <v>8206</v>
      </c>
      <c r="C2185" t="s">
        <v>8207</v>
      </c>
      <c r="D2185" t="s">
        <v>8208</v>
      </c>
      <c r="E2185" t="s">
        <v>8206</v>
      </c>
      <c r="F2185" t="s">
        <v>28</v>
      </c>
      <c r="G2185" t="s">
        <v>8206</v>
      </c>
      <c r="H2185" t="str">
        <f>"pfas-1"</f>
        <v>pfas-1</v>
      </c>
      <c r="I2185" t="s">
        <v>8208</v>
      </c>
      <c r="J2185">
        <v>13.3230458934542</v>
      </c>
      <c r="K2185">
        <v>12.643119119460801</v>
      </c>
      <c r="L2185">
        <v>12.985196984781201</v>
      </c>
      <c r="M2185">
        <v>11.306791212027701</v>
      </c>
      <c r="N2185">
        <v>15.8651767227799</v>
      </c>
      <c r="O2185">
        <v>15.353957392896399</v>
      </c>
      <c r="P2185">
        <v>1.1915211100026299</v>
      </c>
      <c r="Q2185">
        <v>-0.50175563794814204</v>
      </c>
      <c r="R2185">
        <v>2.8847978579534002</v>
      </c>
      <c r="S2185">
        <v>12.911833262484</v>
      </c>
      <c r="T2185">
        <v>1.49253088305766</v>
      </c>
      <c r="U2185">
        <v>-5.9528199721493502</v>
      </c>
      <c r="V2185">
        <v>0.15514170419814399</v>
      </c>
      <c r="W2185">
        <v>0.40713930788971803</v>
      </c>
      <c r="X2185">
        <v>0</v>
      </c>
      <c r="Y2185">
        <v>0</v>
      </c>
    </row>
    <row r="2186" spans="1:25" x14ac:dyDescent="0.2">
      <c r="A2186" t="s">
        <v>8209</v>
      </c>
      <c r="B2186" t="s">
        <v>8210</v>
      </c>
      <c r="C2186" t="s">
        <v>8211</v>
      </c>
      <c r="D2186" t="s">
        <v>8212</v>
      </c>
      <c r="E2186" t="s">
        <v>8210</v>
      </c>
      <c r="F2186" t="s">
        <v>28</v>
      </c>
      <c r="G2186" t="s">
        <v>8210</v>
      </c>
      <c r="H2186" t="str">
        <f>"sel-2"</f>
        <v>sel-2</v>
      </c>
      <c r="I2186" t="s">
        <v>8212</v>
      </c>
      <c r="J2186">
        <v>14.061762642173401</v>
      </c>
      <c r="K2186">
        <v>13.8857625126934</v>
      </c>
      <c r="L2186">
        <v>13.670674778634501</v>
      </c>
      <c r="M2186">
        <v>14.0367593086045</v>
      </c>
      <c r="N2186">
        <v>14.3651602730309</v>
      </c>
      <c r="O2186">
        <v>14.253930024525699</v>
      </c>
      <c r="P2186">
        <v>0.34588322421991402</v>
      </c>
      <c r="Q2186">
        <v>-0.207650279143925</v>
      </c>
      <c r="R2186">
        <v>0.89941672758375402</v>
      </c>
      <c r="S2186">
        <v>13.997632572434901</v>
      </c>
      <c r="T2186">
        <v>1.3133428061174499</v>
      </c>
      <c r="U2186">
        <v>-6.1893987026236301</v>
      </c>
      <c r="V2186">
        <v>0.20565881452717499</v>
      </c>
      <c r="W2186">
        <v>0.46936494721666799</v>
      </c>
      <c r="X2186">
        <v>0</v>
      </c>
      <c r="Y2186">
        <v>0</v>
      </c>
    </row>
    <row r="2187" spans="1:25" x14ac:dyDescent="0.2">
      <c r="A2187" t="s">
        <v>8213</v>
      </c>
      <c r="B2187" t="s">
        <v>8214</v>
      </c>
      <c r="C2187" t="s">
        <v>8215</v>
      </c>
      <c r="D2187" t="s">
        <v>8216</v>
      </c>
      <c r="E2187" t="s">
        <v>8214</v>
      </c>
      <c r="F2187" t="s">
        <v>28</v>
      </c>
      <c r="G2187" t="s">
        <v>8214</v>
      </c>
      <c r="H2187" t="str">
        <f>"cdh-4"</f>
        <v>cdh-4</v>
      </c>
      <c r="I2187" t="s">
        <v>8216</v>
      </c>
      <c r="J2187">
        <v>14.5542209850446</v>
      </c>
      <c r="K2187">
        <v>15.2061225633931</v>
      </c>
      <c r="L2187">
        <v>14.442703894447</v>
      </c>
      <c r="M2187">
        <v>14.7012371706838</v>
      </c>
      <c r="N2187">
        <v>13.5260022249314</v>
      </c>
      <c r="O2187">
        <v>14.0567460314464</v>
      </c>
      <c r="P2187">
        <v>-0.63968733860771498</v>
      </c>
      <c r="Q2187">
        <v>-1.9067625036276801</v>
      </c>
      <c r="R2187">
        <v>0.62738782641225399</v>
      </c>
      <c r="S2187">
        <v>13.833854658101099</v>
      </c>
      <c r="T2187">
        <v>-1.06565196280037</v>
      </c>
      <c r="U2187">
        <v>-6.4744368384150297</v>
      </c>
      <c r="V2187">
        <v>0.30157392856509402</v>
      </c>
      <c r="W2187">
        <v>0.58080043719351504</v>
      </c>
      <c r="X2187">
        <v>0</v>
      </c>
      <c r="Y2187">
        <v>0</v>
      </c>
    </row>
    <row r="2188" spans="1:25" x14ac:dyDescent="0.2">
      <c r="A2188" t="s">
        <v>8217</v>
      </c>
      <c r="B2188" t="s">
        <v>8218</v>
      </c>
      <c r="C2188" t="s">
        <v>8219</v>
      </c>
      <c r="D2188" t="s">
        <v>8220</v>
      </c>
      <c r="E2188" t="s">
        <v>8218</v>
      </c>
      <c r="F2188" t="s">
        <v>28</v>
      </c>
      <c r="G2188" t="s">
        <v>8218</v>
      </c>
      <c r="H2188" t="str">
        <f>"rpn-5"</f>
        <v>rpn-5</v>
      </c>
      <c r="I2188" t="s">
        <v>8220</v>
      </c>
      <c r="J2188">
        <v>17.9055342381324</v>
      </c>
      <c r="K2188">
        <v>17.663784282368699</v>
      </c>
      <c r="L2188">
        <v>17.5467701459749</v>
      </c>
      <c r="M2188">
        <v>17.5826270411801</v>
      </c>
      <c r="N2188">
        <v>17.307152153887198</v>
      </c>
      <c r="O2188">
        <v>17.104421344682599</v>
      </c>
      <c r="P2188">
        <v>-0.37396270890869898</v>
      </c>
      <c r="Q2188">
        <v>-0.76414210112654901</v>
      </c>
      <c r="R2188">
        <v>1.6216683309150499E-2</v>
      </c>
      <c r="S2188">
        <v>17.068956417778899</v>
      </c>
      <c r="T2188">
        <v>-2.0144499533396298</v>
      </c>
      <c r="U2188">
        <v>-5.1368987822684602</v>
      </c>
      <c r="V2188">
        <v>5.9243264935891798E-2</v>
      </c>
      <c r="W2188">
        <v>0.24548128779488201</v>
      </c>
      <c r="X2188">
        <v>0</v>
      </c>
      <c r="Y2188">
        <v>0</v>
      </c>
    </row>
    <row r="2189" spans="1:25" x14ac:dyDescent="0.2">
      <c r="A2189" t="s">
        <v>8221</v>
      </c>
      <c r="B2189" t="s">
        <v>8222</v>
      </c>
      <c r="C2189" t="s">
        <v>8223</v>
      </c>
      <c r="D2189" t="s">
        <v>8224</v>
      </c>
      <c r="E2189" t="s">
        <v>8222</v>
      </c>
      <c r="F2189" t="s">
        <v>28</v>
      </c>
      <c r="G2189" t="s">
        <v>8222</v>
      </c>
      <c r="H2189" t="str">
        <f>"tsn-1"</f>
        <v>tsn-1</v>
      </c>
      <c r="I2189" t="s">
        <v>8224</v>
      </c>
      <c r="J2189">
        <v>18.959359490869399</v>
      </c>
      <c r="K2189">
        <v>18.808062511193199</v>
      </c>
      <c r="L2189">
        <v>18.897653205000498</v>
      </c>
      <c r="M2189">
        <v>18.629624837166201</v>
      </c>
      <c r="N2189">
        <v>18.9622783340699</v>
      </c>
      <c r="O2189">
        <v>18.7663871499715</v>
      </c>
      <c r="P2189">
        <v>-0.102261628618507</v>
      </c>
      <c r="Q2189">
        <v>-0.45592664485763601</v>
      </c>
      <c r="R2189">
        <v>0.25140338762062198</v>
      </c>
      <c r="S2189">
        <v>18.537682301184599</v>
      </c>
      <c r="T2189">
        <v>-0.60773341481295196</v>
      </c>
      <c r="U2189">
        <v>-6.8605136446203501</v>
      </c>
      <c r="V2189">
        <v>0.550999608184219</v>
      </c>
      <c r="W2189">
        <v>0.78026605923509895</v>
      </c>
      <c r="X2189">
        <v>0</v>
      </c>
      <c r="Y2189">
        <v>0</v>
      </c>
    </row>
    <row r="2190" spans="1:25" x14ac:dyDescent="0.2">
      <c r="A2190" t="s">
        <v>8225</v>
      </c>
      <c r="B2190" t="s">
        <v>8226</v>
      </c>
      <c r="C2190" t="s">
        <v>8227</v>
      </c>
      <c r="D2190" t="s">
        <v>8228</v>
      </c>
      <c r="E2190" t="s">
        <v>8226</v>
      </c>
      <c r="F2190" t="s">
        <v>28</v>
      </c>
      <c r="G2190" t="s">
        <v>8226</v>
      </c>
      <c r="H2190" t="str">
        <f>"tag-151"</f>
        <v>tag-151</v>
      </c>
      <c r="I2190" t="s">
        <v>8228</v>
      </c>
      <c r="J2190">
        <v>12.763648616137001</v>
      </c>
      <c r="K2190">
        <v>13.1665604120642</v>
      </c>
      <c r="L2190">
        <v>13.000997826430501</v>
      </c>
      <c r="M2190">
        <v>12.502872347998499</v>
      </c>
      <c r="N2190">
        <v>13.289648852368501</v>
      </c>
      <c r="O2190">
        <v>13.407577125129</v>
      </c>
      <c r="P2190">
        <v>8.9630490288110196E-2</v>
      </c>
      <c r="Q2190">
        <v>-0.553356615766188</v>
      </c>
      <c r="R2190">
        <v>0.73261759634240797</v>
      </c>
      <c r="S2190">
        <v>14.126689469620301</v>
      </c>
      <c r="T2190">
        <v>0.29298542833005797</v>
      </c>
      <c r="U2190">
        <v>-7.0072089140666298</v>
      </c>
      <c r="V2190">
        <v>0.77290361190095902</v>
      </c>
      <c r="W2190">
        <v>0.90371123001283504</v>
      </c>
      <c r="X2190">
        <v>0</v>
      </c>
      <c r="Y2190">
        <v>0</v>
      </c>
    </row>
    <row r="2191" spans="1:25" x14ac:dyDescent="0.2">
      <c r="A2191" t="s">
        <v>8229</v>
      </c>
      <c r="B2191" t="s">
        <v>8230</v>
      </c>
      <c r="C2191" t="s">
        <v>8231</v>
      </c>
      <c r="D2191" t="s">
        <v>8232</v>
      </c>
      <c r="E2191" t="s">
        <v>8230</v>
      </c>
      <c r="F2191" t="s">
        <v>28</v>
      </c>
      <c r="G2191" t="s">
        <v>8230</v>
      </c>
      <c r="H2191" t="str">
        <f>"F11A10.5"</f>
        <v>F11A10.5</v>
      </c>
      <c r="I2191" t="s">
        <v>8232</v>
      </c>
      <c r="J2191">
        <v>12.1467258989423</v>
      </c>
      <c r="K2191">
        <v>12.577782284225</v>
      </c>
      <c r="L2191">
        <v>12.5482801658257</v>
      </c>
      <c r="M2191">
        <v>12.557778250515801</v>
      </c>
      <c r="N2191">
        <v>12.316944807417601</v>
      </c>
      <c r="O2191">
        <v>12.435179996256499</v>
      </c>
      <c r="P2191">
        <v>1.2371568398961599E-2</v>
      </c>
      <c r="Q2191">
        <v>-0.44379063769710397</v>
      </c>
      <c r="R2191">
        <v>0.46853377449502698</v>
      </c>
      <c r="S2191">
        <v>12.6764417192495</v>
      </c>
      <c r="T2191">
        <v>5.7524783134117102E-2</v>
      </c>
      <c r="U2191">
        <v>-7.0503408976736202</v>
      </c>
      <c r="V2191">
        <v>0.95484411347893905</v>
      </c>
      <c r="W2191">
        <v>0.97752358457809096</v>
      </c>
      <c r="X2191">
        <v>0</v>
      </c>
      <c r="Y2191">
        <v>0</v>
      </c>
    </row>
    <row r="2192" spans="1:25" x14ac:dyDescent="0.2">
      <c r="A2192" t="s">
        <v>8233</v>
      </c>
      <c r="B2192" t="s">
        <v>8234</v>
      </c>
      <c r="C2192" t="s">
        <v>8235</v>
      </c>
      <c r="D2192" t="s">
        <v>8236</v>
      </c>
      <c r="E2192" t="s">
        <v>8234</v>
      </c>
      <c r="F2192" t="s">
        <v>28</v>
      </c>
      <c r="G2192" t="s">
        <v>8234</v>
      </c>
      <c r="H2192" t="str">
        <f>"mon-2"</f>
        <v>mon-2</v>
      </c>
      <c r="I2192" t="s">
        <v>8236</v>
      </c>
      <c r="J2192">
        <v>10.945705678353599</v>
      </c>
      <c r="K2192">
        <v>11.3603417950916</v>
      </c>
      <c r="L2192">
        <v>11.487471603971001</v>
      </c>
      <c r="M2192">
        <v>11.430335247264599</v>
      </c>
      <c r="N2192">
        <v>12.1373653682294</v>
      </c>
      <c r="O2192">
        <v>11.273207975822199</v>
      </c>
      <c r="P2192">
        <v>0.34912983796663999</v>
      </c>
      <c r="Q2192">
        <v>-0.295968040543376</v>
      </c>
      <c r="R2192">
        <v>0.99422771647665598</v>
      </c>
      <c r="S2192">
        <v>11.717164106361899</v>
      </c>
      <c r="T2192">
        <v>1.1479180451817299</v>
      </c>
      <c r="U2192">
        <v>-6.38443660385866</v>
      </c>
      <c r="V2192">
        <v>0.26798625584457297</v>
      </c>
      <c r="W2192">
        <v>0.54419765271746201</v>
      </c>
      <c r="X2192">
        <v>0</v>
      </c>
      <c r="Y2192">
        <v>0</v>
      </c>
    </row>
    <row r="2193" spans="1:25" x14ac:dyDescent="0.2">
      <c r="A2193" t="s">
        <v>8237</v>
      </c>
      <c r="B2193" t="s">
        <v>8238</v>
      </c>
      <c r="C2193" t="s">
        <v>8239</v>
      </c>
      <c r="D2193" t="s">
        <v>8240</v>
      </c>
      <c r="E2193" t="s">
        <v>8238</v>
      </c>
      <c r="F2193" t="s">
        <v>28</v>
      </c>
      <c r="G2193" t="s">
        <v>8238</v>
      </c>
      <c r="H2193" t="str">
        <f>"acs-14"</f>
        <v>acs-14</v>
      </c>
      <c r="I2193" t="s">
        <v>8240</v>
      </c>
      <c r="J2193">
        <v>13.377723765011099</v>
      </c>
      <c r="K2193">
        <v>13.552644850593699</v>
      </c>
      <c r="L2193">
        <v>13.4075732729018</v>
      </c>
      <c r="M2193">
        <v>13.3773179910027</v>
      </c>
      <c r="N2193">
        <v>13.506820867359201</v>
      </c>
      <c r="O2193">
        <v>13.4117288698679</v>
      </c>
      <c r="P2193">
        <v>-1.4024720092242799E-2</v>
      </c>
      <c r="Q2193">
        <v>-0.49045758846318599</v>
      </c>
      <c r="R2193">
        <v>0.46240814827870003</v>
      </c>
      <c r="S2193">
        <v>13.23181050514</v>
      </c>
      <c r="T2193">
        <v>-6.1870695821475197E-2</v>
      </c>
      <c r="U2193">
        <v>-7.0500805515383096</v>
      </c>
      <c r="V2193">
        <v>0.95135160627658</v>
      </c>
      <c r="W2193">
        <v>0.97752358457809096</v>
      </c>
      <c r="X2193">
        <v>0</v>
      </c>
      <c r="Y2193">
        <v>0</v>
      </c>
    </row>
    <row r="2194" spans="1:25" x14ac:dyDescent="0.2">
      <c r="A2194" t="s">
        <v>8241</v>
      </c>
      <c r="B2194" t="s">
        <v>8242</v>
      </c>
      <c r="C2194" t="s">
        <v>8243</v>
      </c>
      <c r="D2194" t="s">
        <v>674</v>
      </c>
      <c r="E2194" t="s">
        <v>8242</v>
      </c>
      <c r="F2194" t="s">
        <v>28</v>
      </c>
      <c r="G2194" t="s">
        <v>8242</v>
      </c>
      <c r="H2194" t="str">
        <f>"vwa-8"</f>
        <v>vwa-8</v>
      </c>
      <c r="I2194" t="s">
        <v>674</v>
      </c>
      <c r="J2194">
        <v>15.089022443467901</v>
      </c>
      <c r="K2194">
        <v>14.9171859208475</v>
      </c>
      <c r="L2194">
        <v>15.0084295477221</v>
      </c>
      <c r="M2194">
        <v>15.1902227006094</v>
      </c>
      <c r="N2194">
        <v>16.0094717780688</v>
      </c>
      <c r="O2194">
        <v>15.3706583276087</v>
      </c>
      <c r="P2194">
        <v>0.51857163141647999</v>
      </c>
      <c r="Q2194">
        <v>1.30013789645769E-2</v>
      </c>
      <c r="R2194">
        <v>1.02414188386838</v>
      </c>
      <c r="S2194">
        <v>15.075849710441499</v>
      </c>
      <c r="T2194">
        <v>2.15585603411155</v>
      </c>
      <c r="U2194">
        <v>-4.8887487071275499</v>
      </c>
      <c r="V2194">
        <v>4.4957959887221698E-2</v>
      </c>
      <c r="W2194">
        <v>0.21049381506909301</v>
      </c>
      <c r="X2194">
        <v>0</v>
      </c>
      <c r="Y2194">
        <v>0</v>
      </c>
    </row>
    <row r="2195" spans="1:25" x14ac:dyDescent="0.2">
      <c r="A2195" t="s">
        <v>8244</v>
      </c>
      <c r="B2195" t="s">
        <v>8245</v>
      </c>
      <c r="C2195" t="s">
        <v>8246</v>
      </c>
      <c r="D2195" t="s">
        <v>8247</v>
      </c>
      <c r="E2195" t="s">
        <v>8245</v>
      </c>
      <c r="F2195" t="s">
        <v>28</v>
      </c>
      <c r="G2195" t="s">
        <v>8245</v>
      </c>
      <c r="H2195" t="str">
        <f>"rfl-1"</f>
        <v>rfl-1</v>
      </c>
      <c r="I2195" t="s">
        <v>8247</v>
      </c>
      <c r="J2195">
        <v>12.924882327835901</v>
      </c>
      <c r="K2195">
        <v>13.394033228403201</v>
      </c>
      <c r="L2195">
        <v>13.1495588132048</v>
      </c>
      <c r="M2195">
        <v>13.571858981937099</v>
      </c>
      <c r="N2195">
        <v>14.3992623850587</v>
      </c>
      <c r="O2195">
        <v>13.6767296977961</v>
      </c>
      <c r="P2195">
        <v>0.72645889844931799</v>
      </c>
      <c r="Q2195">
        <v>8.1320822021484399E-2</v>
      </c>
      <c r="R2195">
        <v>1.3715969748771499</v>
      </c>
      <c r="S2195">
        <v>13.463934819367299</v>
      </c>
      <c r="T2195">
        <v>2.3768861827527799</v>
      </c>
      <c r="U2195">
        <v>-4.4928798133018599</v>
      </c>
      <c r="V2195">
        <v>2.95507364917756E-2</v>
      </c>
      <c r="W2195">
        <v>0.168402971180802</v>
      </c>
      <c r="X2195">
        <v>0</v>
      </c>
      <c r="Y2195">
        <v>0</v>
      </c>
    </row>
    <row r="2196" spans="1:25" x14ac:dyDescent="0.2">
      <c r="A2196" t="s">
        <v>8248</v>
      </c>
      <c r="B2196" t="s">
        <v>8249</v>
      </c>
      <c r="C2196" t="s">
        <v>8250</v>
      </c>
      <c r="D2196" t="s">
        <v>8251</v>
      </c>
      <c r="E2196" t="s">
        <v>8249</v>
      </c>
      <c r="F2196" t="s">
        <v>28</v>
      </c>
      <c r="G2196" t="s">
        <v>8249</v>
      </c>
      <c r="H2196" t="str">
        <f>"F12F6.7"</f>
        <v>F12F6.7</v>
      </c>
      <c r="I2196" t="s">
        <v>8251</v>
      </c>
      <c r="J2196" t="s">
        <v>29</v>
      </c>
      <c r="K2196" t="s">
        <v>29</v>
      </c>
      <c r="L2196" t="s">
        <v>29</v>
      </c>
      <c r="M2196" t="s">
        <v>29</v>
      </c>
      <c r="N2196" t="s">
        <v>29</v>
      </c>
      <c r="O2196" t="s">
        <v>29</v>
      </c>
      <c r="P2196" t="s">
        <v>29</v>
      </c>
      <c r="Q2196" t="s">
        <v>29</v>
      </c>
      <c r="R2196" t="s">
        <v>29</v>
      </c>
      <c r="S2196">
        <v>10.6944707943818</v>
      </c>
      <c r="T2196" t="s">
        <v>29</v>
      </c>
      <c r="U2196" t="s">
        <v>29</v>
      </c>
      <c r="V2196" t="s">
        <v>29</v>
      </c>
      <c r="W2196" t="s">
        <v>29</v>
      </c>
      <c r="X2196" t="s">
        <v>29</v>
      </c>
      <c r="Y2196" t="s">
        <v>29</v>
      </c>
    </row>
    <row r="2197" spans="1:25" x14ac:dyDescent="0.2">
      <c r="A2197" t="s">
        <v>8252</v>
      </c>
      <c r="B2197" t="s">
        <v>8253</v>
      </c>
      <c r="C2197" t="s">
        <v>8254</v>
      </c>
      <c r="D2197" t="s">
        <v>8255</v>
      </c>
      <c r="E2197" t="s">
        <v>8253</v>
      </c>
      <c r="F2197" t="s">
        <v>28</v>
      </c>
      <c r="G2197" t="s">
        <v>8253</v>
      </c>
      <c r="H2197" t="str">
        <f>"sec-24.1"</f>
        <v>sec-24.1</v>
      </c>
      <c r="I2197" t="s">
        <v>8255</v>
      </c>
      <c r="J2197">
        <v>15.2494695131402</v>
      </c>
      <c r="K2197">
        <v>15.1722703168707</v>
      </c>
      <c r="L2197">
        <v>15.1011930032662</v>
      </c>
      <c r="M2197">
        <v>15.151723192188401</v>
      </c>
      <c r="N2197">
        <v>15.156771958630999</v>
      </c>
      <c r="O2197">
        <v>15.1422663735414</v>
      </c>
      <c r="P2197">
        <v>-2.4057102972090402E-2</v>
      </c>
      <c r="Q2197">
        <v>-0.31922560057780103</v>
      </c>
      <c r="R2197">
        <v>0.27111139463362</v>
      </c>
      <c r="S2197">
        <v>15.0015650344598</v>
      </c>
      <c r="T2197">
        <v>-0.17130334188348001</v>
      </c>
      <c r="U2197">
        <v>-7.0367205672734698</v>
      </c>
      <c r="V2197">
        <v>0.86590740838658897</v>
      </c>
      <c r="W2197">
        <v>0.94935342265210398</v>
      </c>
      <c r="X2197">
        <v>0</v>
      </c>
      <c r="Y2197">
        <v>0</v>
      </c>
    </row>
    <row r="2198" spans="1:25" x14ac:dyDescent="0.2">
      <c r="A2198" t="s">
        <v>8256</v>
      </c>
      <c r="B2198" t="s">
        <v>8257</v>
      </c>
      <c r="C2198" t="s">
        <v>8258</v>
      </c>
      <c r="D2198" t="s">
        <v>8259</v>
      </c>
      <c r="E2198" t="s">
        <v>8257</v>
      </c>
      <c r="F2198" t="s">
        <v>28</v>
      </c>
      <c r="G2198" t="s">
        <v>8257</v>
      </c>
      <c r="H2198" t="str">
        <f>"F13B12.1"</f>
        <v>F13B12.1</v>
      </c>
      <c r="I2198" t="s">
        <v>8259</v>
      </c>
      <c r="J2198" t="s">
        <v>29</v>
      </c>
      <c r="K2198" t="s">
        <v>29</v>
      </c>
      <c r="L2198" t="s">
        <v>29</v>
      </c>
      <c r="M2198" t="s">
        <v>29</v>
      </c>
      <c r="N2198" t="s">
        <v>29</v>
      </c>
      <c r="O2198" t="s">
        <v>29</v>
      </c>
      <c r="P2198" t="s">
        <v>29</v>
      </c>
      <c r="Q2198" t="s">
        <v>29</v>
      </c>
      <c r="R2198" t="s">
        <v>29</v>
      </c>
      <c r="S2198">
        <v>11.0133342712427</v>
      </c>
      <c r="T2198" t="s">
        <v>29</v>
      </c>
      <c r="U2198" t="s">
        <v>29</v>
      </c>
      <c r="V2198" t="s">
        <v>29</v>
      </c>
      <c r="W2198" t="s">
        <v>29</v>
      </c>
      <c r="X2198" t="s">
        <v>29</v>
      </c>
      <c r="Y2198" t="s">
        <v>29</v>
      </c>
    </row>
    <row r="2199" spans="1:25" x14ac:dyDescent="0.2">
      <c r="A2199" t="s">
        <v>8260</v>
      </c>
      <c r="B2199" t="s">
        <v>8261</v>
      </c>
      <c r="C2199" t="s">
        <v>14446</v>
      </c>
      <c r="D2199" t="s">
        <v>2641</v>
      </c>
      <c r="E2199" t="s">
        <v>8261</v>
      </c>
      <c r="F2199" t="s">
        <v>28</v>
      </c>
      <c r="G2199" t="s">
        <v>8261</v>
      </c>
      <c r="H2199" t="str">
        <f>"F13D12.5"</f>
        <v>F13D12.5</v>
      </c>
      <c r="I2199" t="s">
        <v>2641</v>
      </c>
      <c r="J2199" t="s">
        <v>29</v>
      </c>
      <c r="K2199" t="s">
        <v>29</v>
      </c>
      <c r="L2199" t="s">
        <v>29</v>
      </c>
      <c r="M2199" t="s">
        <v>29</v>
      </c>
      <c r="N2199" t="s">
        <v>29</v>
      </c>
      <c r="O2199" t="s">
        <v>29</v>
      </c>
      <c r="P2199" t="s">
        <v>29</v>
      </c>
      <c r="Q2199" t="s">
        <v>29</v>
      </c>
      <c r="R2199" t="s">
        <v>29</v>
      </c>
      <c r="S2199">
        <v>9.6549121485701193</v>
      </c>
      <c r="T2199" t="s">
        <v>29</v>
      </c>
      <c r="U2199" t="s">
        <v>29</v>
      </c>
      <c r="V2199" t="s">
        <v>29</v>
      </c>
      <c r="W2199" t="s">
        <v>29</v>
      </c>
      <c r="X2199" t="s">
        <v>29</v>
      </c>
      <c r="Y2199" t="s">
        <v>29</v>
      </c>
    </row>
    <row r="2200" spans="1:25" x14ac:dyDescent="0.2">
      <c r="A2200" t="s">
        <v>8262</v>
      </c>
      <c r="B2200" t="s">
        <v>8263</v>
      </c>
      <c r="C2200" t="s">
        <v>8264</v>
      </c>
      <c r="D2200" t="s">
        <v>8265</v>
      </c>
      <c r="E2200" t="s">
        <v>8263</v>
      </c>
      <c r="F2200" t="s">
        <v>28</v>
      </c>
      <c r="G2200" t="s">
        <v>8263</v>
      </c>
      <c r="H2200" t="str">
        <f>"dylt-1"</f>
        <v>dylt-1</v>
      </c>
      <c r="I2200" t="s">
        <v>8265</v>
      </c>
      <c r="J2200">
        <v>14.1399297535724</v>
      </c>
      <c r="K2200">
        <v>14.2337122275843</v>
      </c>
      <c r="L2200">
        <v>14.1729508652853</v>
      </c>
      <c r="M2200">
        <v>14.2477948845276</v>
      </c>
      <c r="N2200">
        <v>14.6090876821617</v>
      </c>
      <c r="O2200">
        <v>14.3280941902576</v>
      </c>
      <c r="P2200">
        <v>0.21279463683496</v>
      </c>
      <c r="Q2200">
        <v>-0.85504772431435705</v>
      </c>
      <c r="R2200">
        <v>1.28063699798428</v>
      </c>
      <c r="S2200">
        <v>13.8376791302596</v>
      </c>
      <c r="T2200">
        <v>0.41883796991073202</v>
      </c>
      <c r="U2200">
        <v>-6.9606034167780599</v>
      </c>
      <c r="V2200">
        <v>0.68031871715203496</v>
      </c>
      <c r="W2200">
        <v>0.85722167970248597</v>
      </c>
      <c r="X2200">
        <v>0</v>
      </c>
      <c r="Y2200">
        <v>0</v>
      </c>
    </row>
    <row r="2201" spans="1:25" x14ac:dyDescent="0.2">
      <c r="A2201" t="s">
        <v>8266</v>
      </c>
      <c r="B2201" t="s">
        <v>8267</v>
      </c>
      <c r="C2201" t="s">
        <v>14447</v>
      </c>
      <c r="D2201" t="s">
        <v>1434</v>
      </c>
      <c r="E2201" t="s">
        <v>8267</v>
      </c>
      <c r="F2201" t="s">
        <v>28</v>
      </c>
      <c r="G2201" t="s">
        <v>8267</v>
      </c>
      <c r="H2201" t="str">
        <f>"F13G3.7"</f>
        <v>F13G3.7</v>
      </c>
      <c r="I2201" t="s">
        <v>1434</v>
      </c>
      <c r="J2201">
        <v>12.880574722319199</v>
      </c>
      <c r="K2201">
        <v>12.544086764852</v>
      </c>
      <c r="L2201">
        <v>11.803244000832599</v>
      </c>
      <c r="M2201">
        <v>12.8491595087817</v>
      </c>
      <c r="N2201" t="s">
        <v>29</v>
      </c>
      <c r="O2201">
        <v>13.1224451765429</v>
      </c>
      <c r="P2201">
        <v>0.57650051332771901</v>
      </c>
      <c r="Q2201">
        <v>-0.31623995857513698</v>
      </c>
      <c r="R2201">
        <v>1.4692409852305801</v>
      </c>
      <c r="S2201">
        <v>12.349354689751101</v>
      </c>
      <c r="T2201">
        <v>1.37726046323565</v>
      </c>
      <c r="U2201">
        <v>-5.9980501139242302</v>
      </c>
      <c r="V2201">
        <v>0.18877738821102999</v>
      </c>
      <c r="W2201">
        <v>0.45056514652806701</v>
      </c>
      <c r="X2201">
        <v>0</v>
      </c>
      <c r="Y2201">
        <v>0</v>
      </c>
    </row>
    <row r="2202" spans="1:25" x14ac:dyDescent="0.2">
      <c r="A2202" t="s">
        <v>8268</v>
      </c>
      <c r="B2202" t="s">
        <v>8269</v>
      </c>
      <c r="C2202" t="s">
        <v>8270</v>
      </c>
      <c r="D2202" t="s">
        <v>8271</v>
      </c>
      <c r="E2202" t="s">
        <v>8269</v>
      </c>
      <c r="F2202" t="s">
        <v>28</v>
      </c>
      <c r="G2202" t="s">
        <v>8269</v>
      </c>
      <c r="H2202" t="str">
        <f>"mogs-1"</f>
        <v>mogs-1</v>
      </c>
      <c r="I2202" t="s">
        <v>8271</v>
      </c>
      <c r="J2202">
        <v>13.2833429769888</v>
      </c>
      <c r="K2202">
        <v>12.909844260337501</v>
      </c>
      <c r="L2202">
        <v>12.745439980685999</v>
      </c>
      <c r="M2202" t="s">
        <v>29</v>
      </c>
      <c r="N2202">
        <v>12.836020715078099</v>
      </c>
      <c r="O2202">
        <v>12.749377088216599</v>
      </c>
      <c r="P2202">
        <v>-0.18684350435672001</v>
      </c>
      <c r="Q2202">
        <v>-0.85761380660107001</v>
      </c>
      <c r="R2202">
        <v>0.48392679788762999</v>
      </c>
      <c r="S2202">
        <v>12.7464558273045</v>
      </c>
      <c r="T2202">
        <v>-0.59408116510264697</v>
      </c>
      <c r="U2202">
        <v>-6.7570398945098802</v>
      </c>
      <c r="V2202">
        <v>0.56137299934837004</v>
      </c>
      <c r="W2202">
        <v>0.78663205870769404</v>
      </c>
      <c r="X2202">
        <v>0</v>
      </c>
      <c r="Y2202">
        <v>0</v>
      </c>
    </row>
    <row r="2203" spans="1:25" x14ac:dyDescent="0.2">
      <c r="A2203" t="s">
        <v>8272</v>
      </c>
      <c r="B2203" t="s">
        <v>8273</v>
      </c>
      <c r="C2203" t="s">
        <v>14448</v>
      </c>
      <c r="D2203" t="s">
        <v>8274</v>
      </c>
      <c r="E2203" t="s">
        <v>8273</v>
      </c>
      <c r="F2203" t="s">
        <v>28</v>
      </c>
      <c r="G2203" t="s">
        <v>8273</v>
      </c>
      <c r="H2203" t="str">
        <f>"F13H8.5"</f>
        <v>F13H8.5</v>
      </c>
      <c r="I2203" t="s">
        <v>8274</v>
      </c>
      <c r="J2203" t="s">
        <v>29</v>
      </c>
      <c r="K2203" t="s">
        <v>29</v>
      </c>
      <c r="L2203">
        <v>10.234109166516401</v>
      </c>
      <c r="M2203" t="s">
        <v>29</v>
      </c>
      <c r="N2203">
        <v>11.320992348532</v>
      </c>
      <c r="O2203" t="s">
        <v>29</v>
      </c>
      <c r="P2203">
        <v>1.08688318201562</v>
      </c>
      <c r="Q2203">
        <v>-0.600357395204831</v>
      </c>
      <c r="R2203">
        <v>2.7741237592360801</v>
      </c>
      <c r="S2203">
        <v>11.3151651124045</v>
      </c>
      <c r="T2203">
        <v>1.4373838062720099</v>
      </c>
      <c r="U2203">
        <v>-5.5017128505257</v>
      </c>
      <c r="V2203">
        <v>0.18146915425751101</v>
      </c>
      <c r="W2203">
        <v>0.44492525311738801</v>
      </c>
      <c r="X2203">
        <v>0</v>
      </c>
      <c r="Y2203">
        <v>0</v>
      </c>
    </row>
    <row r="2204" spans="1:25" x14ac:dyDescent="0.2">
      <c r="A2204" t="s">
        <v>8275</v>
      </c>
      <c r="B2204" t="s">
        <v>8276</v>
      </c>
      <c r="C2204" t="s">
        <v>14449</v>
      </c>
      <c r="D2204" t="s">
        <v>4588</v>
      </c>
      <c r="E2204" t="s">
        <v>8276</v>
      </c>
      <c r="F2204" t="s">
        <v>28</v>
      </c>
      <c r="G2204" t="s">
        <v>8276</v>
      </c>
      <c r="H2204" t="str">
        <f>"F13H8.2"</f>
        <v>F13H8.2</v>
      </c>
      <c r="I2204" t="s">
        <v>4588</v>
      </c>
      <c r="J2204" t="s">
        <v>29</v>
      </c>
      <c r="K2204">
        <v>10.6820423030586</v>
      </c>
      <c r="L2204">
        <v>10.6923777017916</v>
      </c>
      <c r="M2204" t="s">
        <v>29</v>
      </c>
      <c r="N2204" t="s">
        <v>29</v>
      </c>
      <c r="O2204" t="s">
        <v>29</v>
      </c>
      <c r="P2204" t="s">
        <v>29</v>
      </c>
      <c r="Q2204" t="s">
        <v>29</v>
      </c>
      <c r="R2204" t="s">
        <v>29</v>
      </c>
      <c r="S2204">
        <v>11.026907111275399</v>
      </c>
      <c r="T2204" t="s">
        <v>29</v>
      </c>
      <c r="U2204" t="s">
        <v>29</v>
      </c>
      <c r="V2204" t="s">
        <v>29</v>
      </c>
      <c r="W2204" t="s">
        <v>29</v>
      </c>
      <c r="X2204" t="s">
        <v>29</v>
      </c>
      <c r="Y2204" t="s">
        <v>29</v>
      </c>
    </row>
    <row r="2205" spans="1:25" x14ac:dyDescent="0.2">
      <c r="A2205" t="s">
        <v>8277</v>
      </c>
      <c r="B2205" t="s">
        <v>8278</v>
      </c>
      <c r="C2205" t="s">
        <v>8279</v>
      </c>
      <c r="D2205" t="s">
        <v>3609</v>
      </c>
      <c r="E2205" t="s">
        <v>8278</v>
      </c>
      <c r="F2205" t="s">
        <v>28</v>
      </c>
      <c r="G2205" t="s">
        <v>8278</v>
      </c>
      <c r="H2205" t="str">
        <f>"git-1"</f>
        <v>git-1</v>
      </c>
      <c r="I2205" t="s">
        <v>3609</v>
      </c>
      <c r="J2205">
        <v>11.769247454296901</v>
      </c>
      <c r="K2205">
        <v>10.804567942790399</v>
      </c>
      <c r="L2205">
        <v>10.6752071033831</v>
      </c>
      <c r="M2205" t="s">
        <v>29</v>
      </c>
      <c r="N2205">
        <v>11.9516204395135</v>
      </c>
      <c r="O2205" t="s">
        <v>29</v>
      </c>
      <c r="P2205">
        <v>0.86861293935668504</v>
      </c>
      <c r="Q2205">
        <v>-0.11064367971706</v>
      </c>
      <c r="R2205">
        <v>1.8478695584304301</v>
      </c>
      <c r="S2205">
        <v>11.3851290599568</v>
      </c>
      <c r="T2205">
        <v>1.9178605383502201</v>
      </c>
      <c r="U2205">
        <v>-4.9945526291197302</v>
      </c>
      <c r="V2205">
        <v>7.7544976887421999E-2</v>
      </c>
      <c r="W2205">
        <v>0.28641470464434898</v>
      </c>
      <c r="X2205">
        <v>0</v>
      </c>
      <c r="Y2205">
        <v>0</v>
      </c>
    </row>
    <row r="2206" spans="1:25" x14ac:dyDescent="0.2">
      <c r="A2206" t="s">
        <v>8280</v>
      </c>
      <c r="B2206" t="s">
        <v>8281</v>
      </c>
      <c r="C2206" t="s">
        <v>8282</v>
      </c>
      <c r="D2206" t="s">
        <v>8283</v>
      </c>
      <c r="E2206" t="s">
        <v>8281</v>
      </c>
      <c r="F2206" t="s">
        <v>28</v>
      </c>
      <c r="G2206" t="s">
        <v>8281</v>
      </c>
      <c r="H2206" t="str">
        <f>"mboa-7"</f>
        <v>mboa-7</v>
      </c>
      <c r="I2206" t="s">
        <v>8283</v>
      </c>
      <c r="J2206">
        <v>13.4544384778645</v>
      </c>
      <c r="K2206">
        <v>13.6088786983068</v>
      </c>
      <c r="L2206">
        <v>13.7373637556062</v>
      </c>
      <c r="M2206">
        <v>13.499573707664</v>
      </c>
      <c r="N2206">
        <v>13.177215293119501</v>
      </c>
      <c r="O2206">
        <v>13.29534052921</v>
      </c>
      <c r="P2206">
        <v>-0.276183800594625</v>
      </c>
      <c r="Q2206">
        <v>-0.74242245104627602</v>
      </c>
      <c r="R2206">
        <v>0.190054849857027</v>
      </c>
      <c r="S2206">
        <v>13.7699004267775</v>
      </c>
      <c r="T2206">
        <v>-1.24503752706477</v>
      </c>
      <c r="U2206">
        <v>-6.2732459450628602</v>
      </c>
      <c r="V2206">
        <v>0.22917603394053901</v>
      </c>
      <c r="W2206">
        <v>0.49978963595119102</v>
      </c>
      <c r="X2206">
        <v>0</v>
      </c>
      <c r="Y2206">
        <v>0</v>
      </c>
    </row>
    <row r="2207" spans="1:25" x14ac:dyDescent="0.2">
      <c r="A2207" t="s">
        <v>8284</v>
      </c>
      <c r="B2207" t="s">
        <v>8285</v>
      </c>
      <c r="C2207" t="s">
        <v>8286</v>
      </c>
      <c r="D2207" t="s">
        <v>3312</v>
      </c>
      <c r="E2207" t="s">
        <v>8285</v>
      </c>
      <c r="F2207" t="s">
        <v>28</v>
      </c>
      <c r="G2207" t="s">
        <v>8285</v>
      </c>
      <c r="H2207" t="str">
        <f>"col-184"</f>
        <v>col-184</v>
      </c>
      <c r="I2207" t="s">
        <v>3312</v>
      </c>
      <c r="J2207">
        <v>11.957658463531001</v>
      </c>
      <c r="K2207">
        <v>11.8454925082836</v>
      </c>
      <c r="L2207">
        <v>13.975949155939899</v>
      </c>
      <c r="M2207">
        <v>12.473959918812101</v>
      </c>
      <c r="N2207" t="s">
        <v>29</v>
      </c>
      <c r="O2207">
        <v>11.5289641873511</v>
      </c>
      <c r="P2207">
        <v>-0.59157132283657199</v>
      </c>
      <c r="Q2207">
        <v>-2.7028911713334498</v>
      </c>
      <c r="R2207">
        <v>1.51974852566031</v>
      </c>
      <c r="S2207">
        <v>13.168856137828101</v>
      </c>
      <c r="T2207">
        <v>-0.59142965323915797</v>
      </c>
      <c r="U2207">
        <v>-6.7597741914739302</v>
      </c>
      <c r="V2207">
        <v>0.56206314649041</v>
      </c>
      <c r="W2207">
        <v>0.78663205870769404</v>
      </c>
      <c r="X2207">
        <v>0</v>
      </c>
      <c r="Y2207">
        <v>0</v>
      </c>
    </row>
    <row r="2208" spans="1:25" x14ac:dyDescent="0.2">
      <c r="A2208" t="s">
        <v>8287</v>
      </c>
      <c r="B2208" t="s">
        <v>8288</v>
      </c>
      <c r="C2208" t="s">
        <v>8289</v>
      </c>
      <c r="D2208" t="s">
        <v>1382</v>
      </c>
      <c r="E2208" t="s">
        <v>8288</v>
      </c>
      <c r="F2208" t="s">
        <v>28</v>
      </c>
      <c r="G2208" t="s">
        <v>8288</v>
      </c>
      <c r="H2208" t="str">
        <f>"tba-5"</f>
        <v>tba-5</v>
      </c>
      <c r="I2208" t="s">
        <v>1382</v>
      </c>
      <c r="J2208">
        <v>11.9074199935491</v>
      </c>
      <c r="K2208">
        <v>11.8330683460663</v>
      </c>
      <c r="L2208" t="s">
        <v>29</v>
      </c>
      <c r="M2208" t="s">
        <v>29</v>
      </c>
      <c r="N2208">
        <v>9.6883548338491696</v>
      </c>
      <c r="O2208" t="s">
        <v>29</v>
      </c>
      <c r="P2208">
        <v>-2.1818893359585401</v>
      </c>
      <c r="Q2208">
        <v>-4.2985169046377996</v>
      </c>
      <c r="R2208">
        <v>-6.5261767279289506E-2</v>
      </c>
      <c r="S2208">
        <v>10.7321951478764</v>
      </c>
      <c r="T2208">
        <v>-2.3826156102266101</v>
      </c>
      <c r="U2208">
        <v>-4.2937248343999697</v>
      </c>
      <c r="V2208">
        <v>4.4763867644552299E-2</v>
      </c>
      <c r="W2208">
        <v>0.209887068177771</v>
      </c>
      <c r="X2208">
        <v>-1</v>
      </c>
      <c r="Y2208">
        <v>0</v>
      </c>
    </row>
    <row r="2209" spans="1:25" x14ac:dyDescent="0.2">
      <c r="A2209" t="s">
        <v>8290</v>
      </c>
      <c r="B2209" t="s">
        <v>8291</v>
      </c>
      <c r="C2209" t="s">
        <v>8292</v>
      </c>
      <c r="D2209" t="s">
        <v>8293</v>
      </c>
      <c r="E2209" t="s">
        <v>8291</v>
      </c>
      <c r="F2209" t="s">
        <v>28</v>
      </c>
      <c r="G2209" t="s">
        <v>8291</v>
      </c>
      <c r="H2209" t="str">
        <f>"rsd-6"</f>
        <v>rsd-6</v>
      </c>
      <c r="I2209" t="s">
        <v>8293</v>
      </c>
      <c r="J2209">
        <v>12.6556693176314</v>
      </c>
      <c r="K2209">
        <v>13.170677569994499</v>
      </c>
      <c r="L2209">
        <v>13.339866617428299</v>
      </c>
      <c r="M2209">
        <v>12.437203856224601</v>
      </c>
      <c r="N2209">
        <v>12.340441866447501</v>
      </c>
      <c r="O2209">
        <v>12.809225551829501</v>
      </c>
      <c r="P2209">
        <v>-0.52644741018423602</v>
      </c>
      <c r="Q2209">
        <v>-1.0270385800808499</v>
      </c>
      <c r="R2209">
        <v>-2.5856240287622099E-2</v>
      </c>
      <c r="S2209">
        <v>13.3461430667251</v>
      </c>
      <c r="T2209">
        <v>-2.2103666637894102</v>
      </c>
      <c r="U2209">
        <v>-4.7904459485111497</v>
      </c>
      <c r="V2209">
        <v>4.03479976441809E-2</v>
      </c>
      <c r="W2209">
        <v>0.198927855051765</v>
      </c>
      <c r="X2209">
        <v>0</v>
      </c>
      <c r="Y2209">
        <v>0</v>
      </c>
    </row>
    <row r="2210" spans="1:25" x14ac:dyDescent="0.2">
      <c r="A2210" t="s">
        <v>8294</v>
      </c>
      <c r="B2210" t="s">
        <v>8295</v>
      </c>
      <c r="C2210" t="s">
        <v>8296</v>
      </c>
      <c r="D2210" t="s">
        <v>8297</v>
      </c>
      <c r="E2210" t="s">
        <v>8295</v>
      </c>
      <c r="F2210" t="s">
        <v>28</v>
      </c>
      <c r="G2210" t="s">
        <v>8295</v>
      </c>
      <c r="H2210" t="str">
        <f>"tbcd-1"</f>
        <v>tbcd-1</v>
      </c>
      <c r="I2210" t="s">
        <v>8297</v>
      </c>
      <c r="J2210">
        <v>11.9137623880271</v>
      </c>
      <c r="K2210">
        <v>11.9935795253664</v>
      </c>
      <c r="L2210">
        <v>11.8756239236633</v>
      </c>
      <c r="M2210" t="s">
        <v>29</v>
      </c>
      <c r="N2210">
        <v>12.468225675614301</v>
      </c>
      <c r="O2210" t="s">
        <v>29</v>
      </c>
      <c r="P2210">
        <v>0.54057039659531902</v>
      </c>
      <c r="Q2210">
        <v>-0.25915097211218402</v>
      </c>
      <c r="R2210">
        <v>1.3402917653028199</v>
      </c>
      <c r="S2210">
        <v>12.928558007175599</v>
      </c>
      <c r="T2210">
        <v>1.4615066724653001</v>
      </c>
      <c r="U2210">
        <v>-5.6610504719436703</v>
      </c>
      <c r="V2210">
        <v>0.16781409128722799</v>
      </c>
      <c r="W2210">
        <v>0.42429452451331701</v>
      </c>
      <c r="X2210">
        <v>0</v>
      </c>
      <c r="Y2210">
        <v>0</v>
      </c>
    </row>
    <row r="2211" spans="1:25" x14ac:dyDescent="0.2">
      <c r="A2211" t="s">
        <v>8298</v>
      </c>
      <c r="B2211" t="s">
        <v>8299</v>
      </c>
      <c r="C2211" t="s">
        <v>8300</v>
      </c>
      <c r="D2211" t="s">
        <v>901</v>
      </c>
      <c r="E2211" t="s">
        <v>8299</v>
      </c>
      <c r="F2211" t="s">
        <v>28</v>
      </c>
      <c r="G2211" t="s">
        <v>8299</v>
      </c>
      <c r="H2211" t="str">
        <f>"nhr-45"</f>
        <v>nhr-45</v>
      </c>
      <c r="I2211" t="s">
        <v>901</v>
      </c>
      <c r="J2211">
        <v>12.276350625943101</v>
      </c>
      <c r="K2211">
        <v>12.8927028390441</v>
      </c>
      <c r="L2211">
        <v>11.648485981646701</v>
      </c>
      <c r="M2211">
        <v>12.274372534128499</v>
      </c>
      <c r="N2211">
        <v>11.1919333853316</v>
      </c>
      <c r="O2211">
        <v>12.3338896134387</v>
      </c>
      <c r="P2211">
        <v>-0.33911463791170599</v>
      </c>
      <c r="Q2211">
        <v>-1.0620854742711101</v>
      </c>
      <c r="R2211">
        <v>0.38385619844769903</v>
      </c>
      <c r="S2211">
        <v>12.664621838874</v>
      </c>
      <c r="T2211">
        <v>-0.99009250036061702</v>
      </c>
      <c r="U2211">
        <v>-6.5512482862176302</v>
      </c>
      <c r="V2211">
        <v>0.33609778876137603</v>
      </c>
      <c r="W2211">
        <v>0.61441696889298703</v>
      </c>
      <c r="X2211">
        <v>0</v>
      </c>
      <c r="Y2211">
        <v>0</v>
      </c>
    </row>
    <row r="2212" spans="1:25" x14ac:dyDescent="0.2">
      <c r="A2212" t="s">
        <v>8301</v>
      </c>
      <c r="B2212" t="s">
        <v>8302</v>
      </c>
      <c r="C2212" t="s">
        <v>14450</v>
      </c>
      <c r="D2212" t="s">
        <v>8303</v>
      </c>
      <c r="E2212" t="s">
        <v>8302</v>
      </c>
      <c r="F2212" t="s">
        <v>28</v>
      </c>
      <c r="G2212" t="s">
        <v>8302</v>
      </c>
      <c r="H2212" t="str">
        <f>"F17C11.6"</f>
        <v>F17C11.6</v>
      </c>
      <c r="I2212" t="s">
        <v>8303</v>
      </c>
      <c r="J2212" t="s">
        <v>29</v>
      </c>
      <c r="K2212" t="s">
        <v>29</v>
      </c>
      <c r="L2212" t="s">
        <v>29</v>
      </c>
      <c r="M2212" t="s">
        <v>29</v>
      </c>
      <c r="N2212" t="s">
        <v>29</v>
      </c>
      <c r="O2212" t="s">
        <v>29</v>
      </c>
      <c r="P2212" t="s">
        <v>29</v>
      </c>
      <c r="Q2212" t="s">
        <v>29</v>
      </c>
      <c r="R2212" t="s">
        <v>29</v>
      </c>
      <c r="S2212">
        <v>9.8787707794100292</v>
      </c>
      <c r="T2212" t="s">
        <v>29</v>
      </c>
      <c r="U2212" t="s">
        <v>29</v>
      </c>
      <c r="V2212" t="s">
        <v>29</v>
      </c>
      <c r="W2212" t="s">
        <v>29</v>
      </c>
      <c r="X2212" t="s">
        <v>29</v>
      </c>
      <c r="Y2212" t="s">
        <v>29</v>
      </c>
    </row>
    <row r="2213" spans="1:25" x14ac:dyDescent="0.2">
      <c r="A2213" t="s">
        <v>8304</v>
      </c>
      <c r="B2213" t="s">
        <v>8305</v>
      </c>
      <c r="C2213" t="s">
        <v>8306</v>
      </c>
      <c r="D2213" t="s">
        <v>8307</v>
      </c>
      <c r="E2213" t="s">
        <v>8305</v>
      </c>
      <c r="F2213" t="s">
        <v>28</v>
      </c>
      <c r="G2213" t="s">
        <v>8305</v>
      </c>
      <c r="H2213" t="str">
        <f>"pigt-1"</f>
        <v>pigt-1</v>
      </c>
      <c r="I2213" t="s">
        <v>8307</v>
      </c>
      <c r="J2213">
        <v>14.558418868805701</v>
      </c>
      <c r="K2213">
        <v>14.6275214114814</v>
      </c>
      <c r="L2213">
        <v>14.2237455992704</v>
      </c>
      <c r="M2213">
        <v>14.8598156683949</v>
      </c>
      <c r="N2213">
        <v>14.300805269964901</v>
      </c>
      <c r="O2213">
        <v>14.0987636645004</v>
      </c>
      <c r="P2213">
        <v>-5.0100425565778699E-2</v>
      </c>
      <c r="Q2213">
        <v>-0.58220229312953498</v>
      </c>
      <c r="R2213">
        <v>0.48200144199797801</v>
      </c>
      <c r="S2213">
        <v>13.917681675149201</v>
      </c>
      <c r="T2213">
        <v>-0.19789697002626999</v>
      </c>
      <c r="U2213">
        <v>-7.0315850153333797</v>
      </c>
      <c r="V2213">
        <v>0.84535632331413602</v>
      </c>
      <c r="W2213">
        <v>0.93943584999755902</v>
      </c>
      <c r="X2213">
        <v>0</v>
      </c>
      <c r="Y2213">
        <v>0</v>
      </c>
    </row>
    <row r="2214" spans="1:25" x14ac:dyDescent="0.2">
      <c r="A2214" t="s">
        <v>8308</v>
      </c>
      <c r="B2214" t="s">
        <v>8309</v>
      </c>
      <c r="C2214" t="s">
        <v>8310</v>
      </c>
      <c r="D2214" t="s">
        <v>8311</v>
      </c>
      <c r="E2214" t="s">
        <v>8309</v>
      </c>
      <c r="F2214" t="s">
        <v>28</v>
      </c>
      <c r="G2214" t="s">
        <v>8309</v>
      </c>
      <c r="H2214" t="str">
        <f>"vps-36"</f>
        <v>vps-36</v>
      </c>
      <c r="I2214" t="s">
        <v>8311</v>
      </c>
      <c r="J2214">
        <v>12.058485911798501</v>
      </c>
      <c r="K2214">
        <v>12.030333085473799</v>
      </c>
      <c r="L2214">
        <v>12.497715538377999</v>
      </c>
      <c r="M2214">
        <v>11.930288402706701</v>
      </c>
      <c r="N2214">
        <v>11.5538744007769</v>
      </c>
      <c r="O2214">
        <v>12.367016431259399</v>
      </c>
      <c r="P2214">
        <v>-0.24511843363577099</v>
      </c>
      <c r="Q2214">
        <v>-0.81295075398083405</v>
      </c>
      <c r="R2214">
        <v>0.32271388670929202</v>
      </c>
      <c r="S2214">
        <v>12.3784468632588</v>
      </c>
      <c r="T2214">
        <v>-0.91118356429790903</v>
      </c>
      <c r="U2214">
        <v>-6.6260785371477899</v>
      </c>
      <c r="V2214">
        <v>0.375016577675237</v>
      </c>
      <c r="W2214">
        <v>0.65048184635139705</v>
      </c>
      <c r="X2214">
        <v>0</v>
      </c>
      <c r="Y2214">
        <v>0</v>
      </c>
    </row>
    <row r="2215" spans="1:25" x14ac:dyDescent="0.2">
      <c r="A2215" t="s">
        <v>8312</v>
      </c>
      <c r="B2215" t="s">
        <v>8313</v>
      </c>
      <c r="C2215" t="s">
        <v>8314</v>
      </c>
      <c r="D2215" t="s">
        <v>8315</v>
      </c>
      <c r="E2215" t="s">
        <v>8313</v>
      </c>
      <c r="F2215" t="s">
        <v>28</v>
      </c>
      <c r="G2215" t="s">
        <v>8313</v>
      </c>
      <c r="H2215" t="str">
        <f>"ctf-4"</f>
        <v>ctf-4</v>
      </c>
      <c r="I2215" t="s">
        <v>8315</v>
      </c>
      <c r="J2215">
        <v>10.8736632881186</v>
      </c>
      <c r="K2215">
        <v>12.154208244924</v>
      </c>
      <c r="L2215" t="s">
        <v>29</v>
      </c>
      <c r="M2215" t="s">
        <v>29</v>
      </c>
      <c r="N2215" t="s">
        <v>29</v>
      </c>
      <c r="O2215" t="s">
        <v>29</v>
      </c>
      <c r="P2215" t="s">
        <v>29</v>
      </c>
      <c r="Q2215" t="s">
        <v>29</v>
      </c>
      <c r="R2215" t="s">
        <v>29</v>
      </c>
      <c r="S2215">
        <v>11.9769594694685</v>
      </c>
      <c r="T2215" t="s">
        <v>29</v>
      </c>
      <c r="U2215" t="s">
        <v>29</v>
      </c>
      <c r="V2215" t="s">
        <v>29</v>
      </c>
      <c r="W2215" t="s">
        <v>29</v>
      </c>
      <c r="X2215" t="s">
        <v>29</v>
      </c>
      <c r="Y2215" t="s">
        <v>29</v>
      </c>
    </row>
    <row r="2216" spans="1:25" x14ac:dyDescent="0.2">
      <c r="A2216" t="s">
        <v>8316</v>
      </c>
      <c r="B2216" t="s">
        <v>8317</v>
      </c>
      <c r="C2216" t="s">
        <v>8318</v>
      </c>
      <c r="D2216" t="s">
        <v>8319</v>
      </c>
      <c r="E2216" t="s">
        <v>8317</v>
      </c>
      <c r="F2216" t="s">
        <v>28</v>
      </c>
      <c r="G2216" t="s">
        <v>8317</v>
      </c>
      <c r="H2216" t="str">
        <f>"acy-1"</f>
        <v>acy-1</v>
      </c>
      <c r="I2216" t="s">
        <v>8319</v>
      </c>
      <c r="J2216">
        <v>12.4316141482081</v>
      </c>
      <c r="K2216">
        <v>12.680961587805401</v>
      </c>
      <c r="L2216" t="s">
        <v>29</v>
      </c>
      <c r="M2216">
        <v>12.567317732610499</v>
      </c>
      <c r="N2216" t="s">
        <v>29</v>
      </c>
      <c r="O2216" t="s">
        <v>29</v>
      </c>
      <c r="P2216">
        <v>1.1029864603811401E-2</v>
      </c>
      <c r="Q2216">
        <v>-0.97579206091186199</v>
      </c>
      <c r="R2216">
        <v>0.99785179011948499</v>
      </c>
      <c r="S2216">
        <v>12.0234238422711</v>
      </c>
      <c r="T2216">
        <v>2.4940105228481502E-2</v>
      </c>
      <c r="U2216">
        <v>-6.6508532969134597</v>
      </c>
      <c r="V2216">
        <v>0.98059852593074104</v>
      </c>
      <c r="W2216">
        <v>0.98941631112515704</v>
      </c>
      <c r="X2216">
        <v>0</v>
      </c>
      <c r="Y2216">
        <v>0</v>
      </c>
    </row>
    <row r="2217" spans="1:25" x14ac:dyDescent="0.2">
      <c r="A2217" t="s">
        <v>8320</v>
      </c>
      <c r="B2217" t="s">
        <v>8321</v>
      </c>
      <c r="C2217" t="s">
        <v>8322</v>
      </c>
      <c r="D2217" t="s">
        <v>8323</v>
      </c>
      <c r="E2217" t="s">
        <v>8321</v>
      </c>
      <c r="F2217" t="s">
        <v>28</v>
      </c>
      <c r="G2217" t="s">
        <v>8321</v>
      </c>
      <c r="H2217" t="str">
        <f>"snx-17"</f>
        <v>snx-17</v>
      </c>
      <c r="I2217" t="s">
        <v>8323</v>
      </c>
      <c r="J2217">
        <v>11.322031025862501</v>
      </c>
      <c r="K2217">
        <v>11.5091986159043</v>
      </c>
      <c r="L2217">
        <v>11.4547738132819</v>
      </c>
      <c r="M2217">
        <v>11.929790512835201</v>
      </c>
      <c r="N2217">
        <v>12.423616441550999</v>
      </c>
      <c r="O2217" t="s">
        <v>29</v>
      </c>
      <c r="P2217">
        <v>0.74803565884351997</v>
      </c>
      <c r="Q2217">
        <v>0.20920488177528501</v>
      </c>
      <c r="R2217">
        <v>1.2868664359117501</v>
      </c>
      <c r="S2217">
        <v>11.186699796914899</v>
      </c>
      <c r="T2217">
        <v>2.9796263075481</v>
      </c>
      <c r="U2217">
        <v>-3.30543465722267</v>
      </c>
      <c r="V2217">
        <v>1.0013106857694E-2</v>
      </c>
      <c r="W2217">
        <v>8.77559373435738E-2</v>
      </c>
      <c r="X2217">
        <v>0</v>
      </c>
      <c r="Y2217">
        <v>0</v>
      </c>
    </row>
    <row r="2218" spans="1:25" x14ac:dyDescent="0.2">
      <c r="A2218" t="s">
        <v>8324</v>
      </c>
      <c r="B2218" t="s">
        <v>8325</v>
      </c>
      <c r="C2218" t="s">
        <v>8326</v>
      </c>
      <c r="D2218" t="s">
        <v>8327</v>
      </c>
      <c r="E2218" t="s">
        <v>8325</v>
      </c>
      <c r="F2218" t="s">
        <v>28</v>
      </c>
      <c r="G2218" t="s">
        <v>8325</v>
      </c>
      <c r="H2218" t="str">
        <f>"rpa-1"</f>
        <v>rpa-1</v>
      </c>
      <c r="I2218" t="s">
        <v>8327</v>
      </c>
      <c r="J2218">
        <v>13.548963344950099</v>
      </c>
      <c r="K2218">
        <v>13.475171362767901</v>
      </c>
      <c r="L2218">
        <v>13.5667628762468</v>
      </c>
      <c r="M2218">
        <v>12.8739045387365</v>
      </c>
      <c r="N2218">
        <v>12.245246101029799</v>
      </c>
      <c r="O2218">
        <v>13.3048413630402</v>
      </c>
      <c r="P2218">
        <v>-0.72230186038609101</v>
      </c>
      <c r="Q2218">
        <v>-1.3712134516697101</v>
      </c>
      <c r="R2218">
        <v>-7.33902691024753E-2</v>
      </c>
      <c r="S2218">
        <v>13.8952013558903</v>
      </c>
      <c r="T2218">
        <v>-2.3395143571386199</v>
      </c>
      <c r="U2218">
        <v>-4.5521198170157096</v>
      </c>
      <c r="V2218">
        <v>3.1109516943956798E-2</v>
      </c>
      <c r="W2218">
        <v>0.17333967146512899</v>
      </c>
      <c r="X2218">
        <v>0</v>
      </c>
      <c r="Y2218">
        <v>0</v>
      </c>
    </row>
    <row r="2219" spans="1:25" x14ac:dyDescent="0.2">
      <c r="A2219" t="s">
        <v>8328</v>
      </c>
      <c r="B2219" t="s">
        <v>8329</v>
      </c>
      <c r="C2219" t="s">
        <v>8330</v>
      </c>
      <c r="D2219" t="s">
        <v>8331</v>
      </c>
      <c r="E2219" t="s">
        <v>8329</v>
      </c>
      <c r="F2219" t="s">
        <v>28</v>
      </c>
      <c r="G2219" t="s">
        <v>8329</v>
      </c>
      <c r="H2219" t="str">
        <f>"utp-20"</f>
        <v>utp-20</v>
      </c>
      <c r="I2219" t="s">
        <v>8331</v>
      </c>
      <c r="J2219">
        <v>14.027525381921301</v>
      </c>
      <c r="K2219">
        <v>14.1687388170836</v>
      </c>
      <c r="L2219">
        <v>14.1123174667256</v>
      </c>
      <c r="M2219">
        <v>13.9586278915401</v>
      </c>
      <c r="N2219">
        <v>14.288058803116501</v>
      </c>
      <c r="O2219">
        <v>14.1194268895407</v>
      </c>
      <c r="P2219">
        <v>1.91773061556209E-2</v>
      </c>
      <c r="Q2219">
        <v>-0.45699272812938402</v>
      </c>
      <c r="R2219">
        <v>0.495347340440626</v>
      </c>
      <c r="S2219">
        <v>14.710733775799399</v>
      </c>
      <c r="T2219">
        <v>8.4648263495744502E-2</v>
      </c>
      <c r="U2219">
        <v>-7.04833211087458</v>
      </c>
      <c r="V2219">
        <v>0.93348084274963405</v>
      </c>
      <c r="W2219">
        <v>0.97535311084156295</v>
      </c>
      <c r="X2219">
        <v>0</v>
      </c>
      <c r="Y2219">
        <v>0</v>
      </c>
    </row>
    <row r="2220" spans="1:25" x14ac:dyDescent="0.2">
      <c r="A2220" t="s">
        <v>8332</v>
      </c>
      <c r="B2220" t="s">
        <v>8333</v>
      </c>
      <c r="C2220" t="s">
        <v>8334</v>
      </c>
      <c r="D2220" t="s">
        <v>1866</v>
      </c>
      <c r="E2220" t="s">
        <v>8333</v>
      </c>
      <c r="F2220" t="s">
        <v>28</v>
      </c>
      <c r="G2220" t="s">
        <v>8333</v>
      </c>
      <c r="H2220" t="str">
        <f>"abcf-1"</f>
        <v>abcf-1</v>
      </c>
      <c r="I2220" t="s">
        <v>1866</v>
      </c>
      <c r="J2220">
        <v>16.897460262417201</v>
      </c>
      <c r="K2220">
        <v>16.6769851823701</v>
      </c>
      <c r="L2220">
        <v>16.717603795869799</v>
      </c>
      <c r="M2220">
        <v>16.796945856745101</v>
      </c>
      <c r="N2220">
        <v>16.5438710666056</v>
      </c>
      <c r="O2220">
        <v>16.321352989069101</v>
      </c>
      <c r="P2220">
        <v>-0.20995977607909599</v>
      </c>
      <c r="Q2220">
        <v>-0.54922733960322401</v>
      </c>
      <c r="R2220">
        <v>0.12930778744503299</v>
      </c>
      <c r="S2220">
        <v>16.2258630427655</v>
      </c>
      <c r="T2220">
        <v>-1.30072735621177</v>
      </c>
      <c r="U2220">
        <v>-6.2051639460452304</v>
      </c>
      <c r="V2220">
        <v>0.20985326681920999</v>
      </c>
      <c r="W2220">
        <v>0.47561998677432299</v>
      </c>
      <c r="X2220">
        <v>0</v>
      </c>
      <c r="Y2220">
        <v>0</v>
      </c>
    </row>
    <row r="2221" spans="1:25" x14ac:dyDescent="0.2">
      <c r="A2221" t="s">
        <v>8335</v>
      </c>
      <c r="B2221" t="s">
        <v>8336</v>
      </c>
      <c r="C2221" t="s">
        <v>8337</v>
      </c>
      <c r="D2221" t="s">
        <v>8338</v>
      </c>
      <c r="E2221" t="s">
        <v>8336</v>
      </c>
      <c r="F2221" t="s">
        <v>28</v>
      </c>
      <c r="G2221" t="s">
        <v>8336</v>
      </c>
      <c r="H2221" t="str">
        <f>"scc-3"</f>
        <v>scc-3</v>
      </c>
      <c r="I2221" t="s">
        <v>8338</v>
      </c>
      <c r="J2221">
        <v>14.636446321447799</v>
      </c>
      <c r="K2221">
        <v>14.811046074231401</v>
      </c>
      <c r="L2221">
        <v>14.473170172781099</v>
      </c>
      <c r="M2221">
        <v>14.7221964063332</v>
      </c>
      <c r="N2221">
        <v>14.6096108832042</v>
      </c>
      <c r="O2221">
        <v>14.694231991081899</v>
      </c>
      <c r="P2221">
        <v>3.5125570719628699E-2</v>
      </c>
      <c r="Q2221">
        <v>-0.40741309937827402</v>
      </c>
      <c r="R2221">
        <v>0.47766424081753101</v>
      </c>
      <c r="S2221">
        <v>14.776091042019299</v>
      </c>
      <c r="T2221">
        <v>0.166826360825509</v>
      </c>
      <c r="U2221">
        <v>-7.0375126204182399</v>
      </c>
      <c r="V2221">
        <v>0.86937727310662105</v>
      </c>
      <c r="W2221">
        <v>0.95060863732646494</v>
      </c>
      <c r="X2221">
        <v>0</v>
      </c>
      <c r="Y2221">
        <v>0</v>
      </c>
    </row>
    <row r="2222" spans="1:25" x14ac:dyDescent="0.2">
      <c r="A2222" t="s">
        <v>8339</v>
      </c>
      <c r="B2222" t="s">
        <v>8340</v>
      </c>
      <c r="C2222" t="s">
        <v>8341</v>
      </c>
      <c r="D2222" t="s">
        <v>8342</v>
      </c>
      <c r="E2222" t="s">
        <v>8340</v>
      </c>
      <c r="F2222" t="s">
        <v>28</v>
      </c>
      <c r="G2222" t="s">
        <v>8340</v>
      </c>
      <c r="H2222" t="str">
        <f>"ddo-2"</f>
        <v>ddo-2</v>
      </c>
      <c r="I2222" t="s">
        <v>8342</v>
      </c>
      <c r="J2222">
        <v>12.103474301589101</v>
      </c>
      <c r="K2222">
        <v>12.120614073504401</v>
      </c>
      <c r="L2222">
        <v>12.4083481422097</v>
      </c>
      <c r="M2222">
        <v>11.332962650821999</v>
      </c>
      <c r="N2222">
        <v>11.1082896705117</v>
      </c>
      <c r="O2222" t="s">
        <v>29</v>
      </c>
      <c r="P2222">
        <v>-0.99018601176754095</v>
      </c>
      <c r="Q2222">
        <v>-1.6273378846058799</v>
      </c>
      <c r="R2222">
        <v>-0.35303413892920399</v>
      </c>
      <c r="S2222">
        <v>11.6877075893398</v>
      </c>
      <c r="T2222">
        <v>-3.3355366398639301</v>
      </c>
      <c r="U2222">
        <v>-2.6154074959501998</v>
      </c>
      <c r="V2222">
        <v>4.9477513922658502E-3</v>
      </c>
      <c r="W2222">
        <v>5.4026788692728499E-2</v>
      </c>
      <c r="X2222">
        <v>0</v>
      </c>
      <c r="Y2222">
        <v>0</v>
      </c>
    </row>
    <row r="2223" spans="1:25" x14ac:dyDescent="0.2">
      <c r="A2223" t="s">
        <v>8343</v>
      </c>
      <c r="B2223" t="s">
        <v>8344</v>
      </c>
      <c r="C2223" t="s">
        <v>8345</v>
      </c>
      <c r="D2223" t="s">
        <v>8346</v>
      </c>
      <c r="E2223" t="s">
        <v>8344</v>
      </c>
      <c r="F2223" t="s">
        <v>28</v>
      </c>
      <c r="G2223" t="s">
        <v>8344</v>
      </c>
      <c r="H2223" t="str">
        <f>"pab-2"</f>
        <v>pab-2</v>
      </c>
      <c r="I2223" t="s">
        <v>8346</v>
      </c>
      <c r="J2223">
        <v>16.571064901715001</v>
      </c>
      <c r="K2223">
        <v>16.913671039001301</v>
      </c>
      <c r="L2223">
        <v>17.219493651585999</v>
      </c>
      <c r="M2223">
        <v>16.379420133766299</v>
      </c>
      <c r="N2223">
        <v>16.2284574986246</v>
      </c>
      <c r="O2223">
        <v>16.594007797594202</v>
      </c>
      <c r="P2223">
        <v>-0.50078138743904099</v>
      </c>
      <c r="Q2223">
        <v>-1.2281092865180601</v>
      </c>
      <c r="R2223">
        <v>0.22654651163998099</v>
      </c>
      <c r="S2223">
        <v>17.1780238999124</v>
      </c>
      <c r="T2223">
        <v>-1.4471396588232099</v>
      </c>
      <c r="U2223">
        <v>-6.0146336676641203</v>
      </c>
      <c r="V2223">
        <v>0.165149165346031</v>
      </c>
      <c r="W2223">
        <v>0.42115625708149301</v>
      </c>
      <c r="X2223">
        <v>0</v>
      </c>
      <c r="Y2223">
        <v>0</v>
      </c>
    </row>
    <row r="2224" spans="1:25" x14ac:dyDescent="0.2">
      <c r="A2224" t="s">
        <v>8347</v>
      </c>
      <c r="B2224" t="s">
        <v>8348</v>
      </c>
      <c r="C2224" t="s">
        <v>8349</v>
      </c>
      <c r="D2224" t="s">
        <v>8350</v>
      </c>
      <c r="E2224" t="s">
        <v>8348</v>
      </c>
      <c r="F2224" t="s">
        <v>28</v>
      </c>
      <c r="G2224" t="s">
        <v>8348</v>
      </c>
      <c r="H2224" t="str">
        <f>"tofu-2"</f>
        <v>tofu-2</v>
      </c>
      <c r="I2224" t="s">
        <v>8350</v>
      </c>
      <c r="J2224">
        <v>12.3676744728005</v>
      </c>
      <c r="K2224" t="s">
        <v>29</v>
      </c>
      <c r="L2224" t="s">
        <v>29</v>
      </c>
      <c r="M2224" t="s">
        <v>29</v>
      </c>
      <c r="N2224" t="s">
        <v>29</v>
      </c>
      <c r="O2224" t="s">
        <v>29</v>
      </c>
      <c r="P2224" t="s">
        <v>29</v>
      </c>
      <c r="Q2224" t="s">
        <v>29</v>
      </c>
      <c r="R2224" t="s">
        <v>29</v>
      </c>
      <c r="S2224">
        <v>13.1429938789032</v>
      </c>
      <c r="T2224" t="s">
        <v>29</v>
      </c>
      <c r="U2224" t="s">
        <v>29</v>
      </c>
      <c r="V2224" t="s">
        <v>29</v>
      </c>
      <c r="W2224" t="s">
        <v>29</v>
      </c>
      <c r="X2224" t="s">
        <v>29</v>
      </c>
      <c r="Y2224" t="s">
        <v>29</v>
      </c>
    </row>
    <row r="2225" spans="1:25" x14ac:dyDescent="0.2">
      <c r="A2225" t="s">
        <v>8351</v>
      </c>
      <c r="B2225" t="s">
        <v>8352</v>
      </c>
      <c r="C2225" t="s">
        <v>8353</v>
      </c>
      <c r="D2225" t="s">
        <v>8354</v>
      </c>
      <c r="E2225" t="s">
        <v>8352</v>
      </c>
      <c r="F2225" t="s">
        <v>28</v>
      </c>
      <c r="G2225" t="s">
        <v>8352</v>
      </c>
      <c r="H2225" t="str">
        <f>"vha-12"</f>
        <v>vha-12</v>
      </c>
      <c r="I2225" t="s">
        <v>8354</v>
      </c>
      <c r="J2225">
        <v>14.7498243439261</v>
      </c>
      <c r="K2225">
        <v>14.7225572743531</v>
      </c>
      <c r="L2225">
        <v>14.951628725478001</v>
      </c>
      <c r="M2225">
        <v>15.762184906627001</v>
      </c>
      <c r="N2225">
        <v>15.898105921528</v>
      </c>
      <c r="O2225">
        <v>16.864102654424698</v>
      </c>
      <c r="P2225">
        <v>1.36679437960749</v>
      </c>
      <c r="Q2225">
        <v>0.88071729721411696</v>
      </c>
      <c r="R2225">
        <v>1.8528714620008699</v>
      </c>
      <c r="S2225">
        <v>15.472851874608599</v>
      </c>
      <c r="T2225">
        <v>5.9100417930305902</v>
      </c>
      <c r="U2225">
        <v>3.0397906169260902</v>
      </c>
      <c r="V2225" s="2">
        <v>1.38848003149027E-5</v>
      </c>
      <c r="W2225">
        <v>5.7191316740118098E-4</v>
      </c>
      <c r="X2225">
        <v>1</v>
      </c>
      <c r="Y2225">
        <v>1</v>
      </c>
    </row>
    <row r="2226" spans="1:25" x14ac:dyDescent="0.2">
      <c r="A2226" t="s">
        <v>8355</v>
      </c>
      <c r="B2226" t="s">
        <v>8356</v>
      </c>
      <c r="C2226" t="s">
        <v>8357</v>
      </c>
      <c r="D2226" t="s">
        <v>8358</v>
      </c>
      <c r="E2226" t="s">
        <v>8356</v>
      </c>
      <c r="F2226" t="s">
        <v>28</v>
      </c>
      <c r="G2226" t="s">
        <v>8356</v>
      </c>
      <c r="H2226" t="str">
        <f>"czw-1"</f>
        <v>czw-1</v>
      </c>
      <c r="I2226" t="s">
        <v>8358</v>
      </c>
      <c r="J2226">
        <v>13.887751776217399</v>
      </c>
      <c r="K2226">
        <v>13.907398466590999</v>
      </c>
      <c r="L2226">
        <v>13.848803057645901</v>
      </c>
      <c r="M2226">
        <v>15.5884027108767</v>
      </c>
      <c r="N2226">
        <v>15.8645799415069</v>
      </c>
      <c r="O2226">
        <v>15.3555470677118</v>
      </c>
      <c r="P2226">
        <v>1.7215254732137</v>
      </c>
      <c r="Q2226">
        <v>1.19736142223687</v>
      </c>
      <c r="R2226">
        <v>2.2456895241905301</v>
      </c>
      <c r="S2226">
        <v>14.8877173074267</v>
      </c>
      <c r="T2226">
        <v>6.9030136833913804</v>
      </c>
      <c r="U2226">
        <v>5.0300928908495601</v>
      </c>
      <c r="V2226" s="2">
        <v>1.9323912358788699E-6</v>
      </c>
      <c r="W2226" s="2">
        <v>9.9809540976981398E-5</v>
      </c>
      <c r="X2226">
        <v>1</v>
      </c>
      <c r="Y2226">
        <v>1</v>
      </c>
    </row>
    <row r="2227" spans="1:25" x14ac:dyDescent="0.2">
      <c r="A2227" t="s">
        <v>8359</v>
      </c>
      <c r="B2227" t="s">
        <v>8360</v>
      </c>
      <c r="C2227" t="s">
        <v>14451</v>
      </c>
      <c r="D2227" t="s">
        <v>8361</v>
      </c>
      <c r="E2227" t="s">
        <v>8360</v>
      </c>
      <c r="F2227" t="s">
        <v>28</v>
      </c>
      <c r="G2227" t="s">
        <v>8360</v>
      </c>
      <c r="H2227" t="str">
        <f>"F20D6.6"</f>
        <v>F20D6.6</v>
      </c>
      <c r="I2227" t="s">
        <v>8361</v>
      </c>
      <c r="J2227">
        <v>12.1492482125441</v>
      </c>
      <c r="K2227" t="s">
        <v>29</v>
      </c>
      <c r="L2227">
        <v>12.2745950446779</v>
      </c>
      <c r="M2227">
        <v>12.6118290615031</v>
      </c>
      <c r="N2227">
        <v>12.1966753734433</v>
      </c>
      <c r="O2227">
        <v>12.602662951540101</v>
      </c>
      <c r="P2227">
        <v>0.25846750021786702</v>
      </c>
      <c r="Q2227">
        <v>-0.70052520179025102</v>
      </c>
      <c r="R2227">
        <v>1.2174602022259799</v>
      </c>
      <c r="S2227">
        <v>12.2922569268621</v>
      </c>
      <c r="T2227">
        <v>0.58780821709312803</v>
      </c>
      <c r="U2227">
        <v>-6.7585331555895998</v>
      </c>
      <c r="V2227">
        <v>0.56765286594762399</v>
      </c>
      <c r="W2227">
        <v>0.78971225704290104</v>
      </c>
      <c r="X2227">
        <v>0</v>
      </c>
      <c r="Y2227">
        <v>0</v>
      </c>
    </row>
    <row r="2228" spans="1:25" x14ac:dyDescent="0.2">
      <c r="A2228" t="s">
        <v>8362</v>
      </c>
      <c r="B2228" t="s">
        <v>8363</v>
      </c>
      <c r="C2228" t="s">
        <v>14452</v>
      </c>
      <c r="D2228" t="s">
        <v>531</v>
      </c>
      <c r="E2228" t="s">
        <v>8363</v>
      </c>
      <c r="F2228" t="s">
        <v>28</v>
      </c>
      <c r="G2228" t="s">
        <v>8363</v>
      </c>
      <c r="H2228" t="str">
        <f>"F21C10.9"</f>
        <v>F21C10.9</v>
      </c>
      <c r="I2228" t="s">
        <v>531</v>
      </c>
      <c r="J2228">
        <v>14.714428053293901</v>
      </c>
      <c r="K2228">
        <v>14.5677453834713</v>
      </c>
      <c r="L2228">
        <v>14.474898536895999</v>
      </c>
      <c r="M2228">
        <v>15.058044185711299</v>
      </c>
      <c r="N2228">
        <v>15.452371693191999</v>
      </c>
      <c r="O2228">
        <v>14.7245914262526</v>
      </c>
      <c r="P2228">
        <v>0.49264511049829501</v>
      </c>
      <c r="Q2228">
        <v>5.9309047002161303E-2</v>
      </c>
      <c r="R2228">
        <v>0.92598117399442803</v>
      </c>
      <c r="S2228">
        <v>14.769861959736099</v>
      </c>
      <c r="T2228">
        <v>2.3894715066684702</v>
      </c>
      <c r="U2228">
        <v>-4.4580017998578203</v>
      </c>
      <c r="V2228">
        <v>2.8095732737611699E-2</v>
      </c>
      <c r="W2228">
        <v>0.165024394094203</v>
      </c>
      <c r="X2228">
        <v>0</v>
      </c>
      <c r="Y2228">
        <v>0</v>
      </c>
    </row>
    <row r="2229" spans="1:25" x14ac:dyDescent="0.2">
      <c r="A2229" t="s">
        <v>8364</v>
      </c>
      <c r="B2229" t="s">
        <v>8365</v>
      </c>
      <c r="C2229" t="s">
        <v>14453</v>
      </c>
      <c r="D2229" t="s">
        <v>1151</v>
      </c>
      <c r="E2229" t="s">
        <v>8365</v>
      </c>
      <c r="F2229" t="s">
        <v>28</v>
      </c>
      <c r="G2229" t="s">
        <v>8365</v>
      </c>
      <c r="H2229" t="str">
        <f>"F21C10.7"</f>
        <v>F21C10.7</v>
      </c>
      <c r="I2229" t="s">
        <v>1151</v>
      </c>
      <c r="J2229" t="s">
        <v>29</v>
      </c>
      <c r="K2229">
        <v>13.0801951953583</v>
      </c>
      <c r="L2229">
        <v>12.883446810174901</v>
      </c>
      <c r="M2229">
        <v>13.321160568542201</v>
      </c>
      <c r="N2229">
        <v>13.355758999836301</v>
      </c>
      <c r="O2229">
        <v>12.7881620419711</v>
      </c>
      <c r="P2229">
        <v>0.17320620068322201</v>
      </c>
      <c r="Q2229">
        <v>-0.93455864553617995</v>
      </c>
      <c r="R2229">
        <v>1.2809710469026201</v>
      </c>
      <c r="S2229">
        <v>13.0644754370255</v>
      </c>
      <c r="T2229">
        <v>0.33347053183161302</v>
      </c>
      <c r="U2229">
        <v>-6.8828616316234799</v>
      </c>
      <c r="V2229">
        <v>0.74342716496179895</v>
      </c>
      <c r="W2229">
        <v>0.89167415952292495</v>
      </c>
      <c r="X2229">
        <v>0</v>
      </c>
      <c r="Y2229">
        <v>0</v>
      </c>
    </row>
    <row r="2230" spans="1:25" x14ac:dyDescent="0.2">
      <c r="A2230" t="s">
        <v>8366</v>
      </c>
      <c r="B2230" t="s">
        <v>8367</v>
      </c>
      <c r="C2230" t="s">
        <v>8368</v>
      </c>
      <c r="D2230" t="s">
        <v>828</v>
      </c>
      <c r="E2230" t="s">
        <v>8367</v>
      </c>
      <c r="F2230" t="s">
        <v>28</v>
      </c>
      <c r="G2230" t="s">
        <v>8367</v>
      </c>
      <c r="H2230" t="str">
        <f>"rde-2"</f>
        <v>rde-2</v>
      </c>
      <c r="I2230" t="s">
        <v>828</v>
      </c>
      <c r="J2230">
        <v>11.083662298668401</v>
      </c>
      <c r="K2230">
        <v>11.915766748818299</v>
      </c>
      <c r="L2230">
        <v>12.020893987660299</v>
      </c>
      <c r="M2230">
        <v>11.706098886955401</v>
      </c>
      <c r="N2230">
        <v>12.031465610659801</v>
      </c>
      <c r="O2230">
        <v>11.613394324077699</v>
      </c>
      <c r="P2230">
        <v>0.11021192884865599</v>
      </c>
      <c r="Q2230">
        <v>-0.54830063929070905</v>
      </c>
      <c r="R2230">
        <v>0.76872449698802103</v>
      </c>
      <c r="S2230">
        <v>12.250988095729999</v>
      </c>
      <c r="T2230">
        <v>0.35694897634742101</v>
      </c>
      <c r="U2230">
        <v>-6.9848914907311999</v>
      </c>
      <c r="V2230">
        <v>0.72613649919668299</v>
      </c>
      <c r="W2230">
        <v>0.881330909506157</v>
      </c>
      <c r="X2230">
        <v>0</v>
      </c>
      <c r="Y2230">
        <v>0</v>
      </c>
    </row>
    <row r="2231" spans="1:25" x14ac:dyDescent="0.2">
      <c r="A2231" t="s">
        <v>8369</v>
      </c>
      <c r="B2231" t="s">
        <v>8370</v>
      </c>
      <c r="C2231" t="s">
        <v>14454</v>
      </c>
      <c r="D2231" t="s">
        <v>8371</v>
      </c>
      <c r="E2231" t="s">
        <v>8370</v>
      </c>
      <c r="F2231" t="s">
        <v>28</v>
      </c>
      <c r="G2231" t="s">
        <v>8370</v>
      </c>
      <c r="H2231" t="str">
        <f>"F21D5.1"</f>
        <v>F21D5.1</v>
      </c>
      <c r="I2231" t="s">
        <v>8371</v>
      </c>
      <c r="J2231">
        <v>14.255795125286999</v>
      </c>
      <c r="K2231">
        <v>14.0057338381118</v>
      </c>
      <c r="L2231">
        <v>14.191117283340301</v>
      </c>
      <c r="M2231">
        <v>13.649547435662701</v>
      </c>
      <c r="N2231">
        <v>14.343381775652301</v>
      </c>
      <c r="O2231">
        <v>14.2991610173588</v>
      </c>
      <c r="P2231">
        <v>-5.3518672688438698E-2</v>
      </c>
      <c r="Q2231">
        <v>-0.51233564138769905</v>
      </c>
      <c r="R2231">
        <v>0.40529829601082101</v>
      </c>
      <c r="S2231">
        <v>14.289512905251099</v>
      </c>
      <c r="T2231">
        <v>-0.245164946875569</v>
      </c>
      <c r="U2231">
        <v>-7.0206403165657303</v>
      </c>
      <c r="V2231">
        <v>0.80911817276011899</v>
      </c>
      <c r="W2231">
        <v>0.91833642628581302</v>
      </c>
      <c r="X2231">
        <v>0</v>
      </c>
      <c r="Y2231">
        <v>0</v>
      </c>
    </row>
    <row r="2232" spans="1:25" x14ac:dyDescent="0.2">
      <c r="A2232" t="s">
        <v>8372</v>
      </c>
      <c r="B2232" t="s">
        <v>8373</v>
      </c>
      <c r="C2232" t="s">
        <v>8374</v>
      </c>
      <c r="D2232" t="s">
        <v>8375</v>
      </c>
      <c r="E2232" t="s">
        <v>8373</v>
      </c>
      <c r="F2232" t="s">
        <v>28</v>
      </c>
      <c r="G2232" t="s">
        <v>8373</v>
      </c>
      <c r="H2232" t="str">
        <f>"F21D5.5"</f>
        <v>F21D5.5</v>
      </c>
      <c r="I2232" t="s">
        <v>8375</v>
      </c>
      <c r="J2232" t="s">
        <v>29</v>
      </c>
      <c r="K2232" t="s">
        <v>29</v>
      </c>
      <c r="L2232">
        <v>12.3651638819879</v>
      </c>
      <c r="M2232" t="s">
        <v>29</v>
      </c>
      <c r="N2232">
        <v>12.198819777921599</v>
      </c>
      <c r="O2232" t="s">
        <v>29</v>
      </c>
      <c r="P2232">
        <v>-0.16634410406629699</v>
      </c>
      <c r="Q2232">
        <v>-2.0023700099639599</v>
      </c>
      <c r="R2232">
        <v>1.6696818018313599</v>
      </c>
      <c r="S2232">
        <v>13.054980623754901</v>
      </c>
      <c r="T2232">
        <v>-0.202160125250849</v>
      </c>
      <c r="U2232">
        <v>-6.4881057938823501</v>
      </c>
      <c r="V2232">
        <v>0.84388733664985005</v>
      </c>
      <c r="W2232">
        <v>0.93880663024225997</v>
      </c>
      <c r="X2232">
        <v>0</v>
      </c>
      <c r="Y2232">
        <v>0</v>
      </c>
    </row>
    <row r="2233" spans="1:25" x14ac:dyDescent="0.2">
      <c r="A2233" t="s">
        <v>8376</v>
      </c>
      <c r="B2233" t="s">
        <v>8377</v>
      </c>
      <c r="C2233" t="s">
        <v>8378</v>
      </c>
      <c r="D2233" t="s">
        <v>8116</v>
      </c>
      <c r="E2233" t="s">
        <v>8377</v>
      </c>
      <c r="F2233" t="s">
        <v>28</v>
      </c>
      <c r="G2233" t="s">
        <v>8377</v>
      </c>
      <c r="H2233" t="str">
        <f>"gfat-2"</f>
        <v>gfat-2</v>
      </c>
      <c r="I2233" t="s">
        <v>8116</v>
      </c>
      <c r="J2233">
        <v>14.944307426778201</v>
      </c>
      <c r="K2233">
        <v>14.6574824334519</v>
      </c>
      <c r="L2233">
        <v>15.1048761995965</v>
      </c>
      <c r="M2233">
        <v>14.7000203280089</v>
      </c>
      <c r="N2233">
        <v>15.715172482861499</v>
      </c>
      <c r="O2233">
        <v>15.0464305428773</v>
      </c>
      <c r="P2233">
        <v>0.25165243130703802</v>
      </c>
      <c r="Q2233">
        <v>-0.33078819689782102</v>
      </c>
      <c r="R2233">
        <v>0.83409305951189705</v>
      </c>
      <c r="S2233">
        <v>15.1563603087071</v>
      </c>
      <c r="T2233">
        <v>0.90811736884986605</v>
      </c>
      <c r="U2233">
        <v>-6.6296366496821397</v>
      </c>
      <c r="V2233">
        <v>0.37588405208892101</v>
      </c>
      <c r="W2233">
        <v>0.65092880840919398</v>
      </c>
      <c r="X2233">
        <v>0</v>
      </c>
      <c r="Y2233">
        <v>0</v>
      </c>
    </row>
    <row r="2234" spans="1:25" x14ac:dyDescent="0.2">
      <c r="A2234" t="s">
        <v>8379</v>
      </c>
      <c r="B2234" t="s">
        <v>8380</v>
      </c>
      <c r="C2234" t="s">
        <v>8381</v>
      </c>
      <c r="D2234" t="s">
        <v>8382</v>
      </c>
      <c r="E2234" t="s">
        <v>8380</v>
      </c>
      <c r="F2234" t="s">
        <v>28</v>
      </c>
      <c r="G2234" t="s">
        <v>8380</v>
      </c>
      <c r="H2234" t="str">
        <f>"eif-3.G"</f>
        <v>eif-3.G</v>
      </c>
      <c r="I2234" t="s">
        <v>8382</v>
      </c>
      <c r="J2234">
        <v>17.396665569181099</v>
      </c>
      <c r="K2234">
        <v>17.5316416280826</v>
      </c>
      <c r="L2234">
        <v>17.518639176784401</v>
      </c>
      <c r="M2234">
        <v>17.310700930405599</v>
      </c>
      <c r="N2234">
        <v>16.9623175451162</v>
      </c>
      <c r="O2234">
        <v>17.161933227620398</v>
      </c>
      <c r="P2234">
        <v>-0.33733155696859601</v>
      </c>
      <c r="Q2234">
        <v>-0.74048635228040904</v>
      </c>
      <c r="R2234">
        <v>6.5823238343216406E-2</v>
      </c>
      <c r="S2234">
        <v>17.483970142122999</v>
      </c>
      <c r="T2234">
        <v>-1.7586428637970899</v>
      </c>
      <c r="U2234">
        <v>-5.5579381473238199</v>
      </c>
      <c r="V2234">
        <v>9.57267996392068E-2</v>
      </c>
      <c r="W2234">
        <v>0.31882805120366298</v>
      </c>
      <c r="X2234">
        <v>0</v>
      </c>
      <c r="Y2234">
        <v>0</v>
      </c>
    </row>
    <row r="2235" spans="1:25" x14ac:dyDescent="0.2">
      <c r="A2235" t="s">
        <v>8383</v>
      </c>
      <c r="B2235" t="s">
        <v>8384</v>
      </c>
      <c r="C2235" t="s">
        <v>8385</v>
      </c>
      <c r="D2235" t="s">
        <v>8386</v>
      </c>
      <c r="E2235" t="s">
        <v>8384</v>
      </c>
      <c r="F2235" t="s">
        <v>28</v>
      </c>
      <c r="G2235" t="s">
        <v>8384</v>
      </c>
      <c r="H2235" t="str">
        <f>"fars-3"</f>
        <v>fars-3</v>
      </c>
      <c r="I2235" t="s">
        <v>8386</v>
      </c>
      <c r="J2235">
        <v>16.976881104194302</v>
      </c>
      <c r="K2235">
        <v>16.789122203746</v>
      </c>
      <c r="L2235">
        <v>17.028130419739401</v>
      </c>
      <c r="M2235">
        <v>16.738901863922301</v>
      </c>
      <c r="N2235">
        <v>16.833492158718801</v>
      </c>
      <c r="O2235">
        <v>16.830550894338099</v>
      </c>
      <c r="P2235">
        <v>-0.13039627023347899</v>
      </c>
      <c r="Q2235">
        <v>-0.50043554365635901</v>
      </c>
      <c r="R2235">
        <v>0.23964300318939999</v>
      </c>
      <c r="S2235">
        <v>16.8359435039511</v>
      </c>
      <c r="T2235">
        <v>-0.74064460366888496</v>
      </c>
      <c r="U2235">
        <v>-6.7689588176679498</v>
      </c>
      <c r="V2235">
        <v>0.46851657751097803</v>
      </c>
      <c r="W2235">
        <v>0.73153117908080401</v>
      </c>
      <c r="X2235">
        <v>0</v>
      </c>
      <c r="Y2235">
        <v>0</v>
      </c>
    </row>
    <row r="2236" spans="1:25" x14ac:dyDescent="0.2">
      <c r="A2236" t="s">
        <v>8387</v>
      </c>
      <c r="B2236" t="s">
        <v>8388</v>
      </c>
      <c r="C2236" t="s">
        <v>8389</v>
      </c>
      <c r="D2236" t="s">
        <v>8390</v>
      </c>
      <c r="E2236" t="s">
        <v>8388</v>
      </c>
      <c r="F2236" t="s">
        <v>28</v>
      </c>
      <c r="G2236" t="s">
        <v>8388</v>
      </c>
      <c r="H2236" t="str">
        <f>"F22B5.10"</f>
        <v>F22B5.10</v>
      </c>
      <c r="I2236" t="s">
        <v>8390</v>
      </c>
      <c r="J2236">
        <v>17.055074734464402</v>
      </c>
      <c r="K2236">
        <v>17.240210872717</v>
      </c>
      <c r="L2236">
        <v>17.112081020131502</v>
      </c>
      <c r="M2236">
        <v>16.7107174486543</v>
      </c>
      <c r="N2236">
        <v>16.977025949610301</v>
      </c>
      <c r="O2236">
        <v>16.460374995944001</v>
      </c>
      <c r="P2236">
        <v>-0.41974941103479302</v>
      </c>
      <c r="Q2236">
        <v>-0.93336913089786799</v>
      </c>
      <c r="R2236">
        <v>9.3870308828281096E-2</v>
      </c>
      <c r="S2236">
        <v>16.863835127374202</v>
      </c>
      <c r="T2236">
        <v>-1.7176747002580499</v>
      </c>
      <c r="U2236">
        <v>-5.6217136740551297</v>
      </c>
      <c r="V2236">
        <v>0.10311094464824801</v>
      </c>
      <c r="W2236">
        <v>0.33154448012391002</v>
      </c>
      <c r="X2236">
        <v>0</v>
      </c>
      <c r="Y2236">
        <v>0</v>
      </c>
    </row>
    <row r="2237" spans="1:25" x14ac:dyDescent="0.2">
      <c r="A2237" t="s">
        <v>8391</v>
      </c>
      <c r="B2237" t="s">
        <v>8392</v>
      </c>
      <c r="C2237" t="s">
        <v>8393</v>
      </c>
      <c r="D2237" t="s">
        <v>8394</v>
      </c>
      <c r="E2237" t="s">
        <v>8392</v>
      </c>
      <c r="F2237" t="s">
        <v>28</v>
      </c>
      <c r="G2237" t="s">
        <v>8392</v>
      </c>
      <c r="H2237" t="str">
        <f>"nars-1"</f>
        <v>nars-1</v>
      </c>
      <c r="I2237" t="s">
        <v>8394</v>
      </c>
      <c r="J2237">
        <v>17.2214720535247</v>
      </c>
      <c r="K2237">
        <v>16.9044466176233</v>
      </c>
      <c r="L2237">
        <v>16.912218944554599</v>
      </c>
      <c r="M2237">
        <v>16.7959015779401</v>
      </c>
      <c r="N2237">
        <v>16.936290384924401</v>
      </c>
      <c r="O2237">
        <v>16.5405114597162</v>
      </c>
      <c r="P2237">
        <v>-0.25514473104062002</v>
      </c>
      <c r="Q2237">
        <v>-0.65410973476480605</v>
      </c>
      <c r="R2237">
        <v>0.14382027268356701</v>
      </c>
      <c r="S2237">
        <v>16.670764040940298</v>
      </c>
      <c r="T2237">
        <v>-1.3441394117087699</v>
      </c>
      <c r="U2237">
        <v>-6.1503888572650904</v>
      </c>
      <c r="V2237">
        <v>0.19569718448783899</v>
      </c>
      <c r="W2237">
        <v>0.45657835652040002</v>
      </c>
      <c r="X2237">
        <v>0</v>
      </c>
      <c r="Y2237">
        <v>0</v>
      </c>
    </row>
    <row r="2238" spans="1:25" x14ac:dyDescent="0.2">
      <c r="A2238" t="s">
        <v>8395</v>
      </c>
      <c r="B2238" t="s">
        <v>8396</v>
      </c>
      <c r="C2238" t="s">
        <v>8397</v>
      </c>
      <c r="D2238" t="s">
        <v>8398</v>
      </c>
      <c r="E2238" t="s">
        <v>8396</v>
      </c>
      <c r="F2238" t="s">
        <v>28</v>
      </c>
      <c r="G2238" t="s">
        <v>8396</v>
      </c>
      <c r="H2238" t="str">
        <f>"prpf-4"</f>
        <v>prpf-4</v>
      </c>
      <c r="I2238" t="s">
        <v>8398</v>
      </c>
      <c r="J2238">
        <v>13.879435377317099</v>
      </c>
      <c r="K2238">
        <v>14.0415893622057</v>
      </c>
      <c r="L2238">
        <v>14.405570790073799</v>
      </c>
      <c r="M2238">
        <v>14.0951457915247</v>
      </c>
      <c r="N2238">
        <v>13.4905003704863</v>
      </c>
      <c r="O2238">
        <v>14.127301080574201</v>
      </c>
      <c r="P2238">
        <v>-0.20454942900380299</v>
      </c>
      <c r="Q2238">
        <v>-0.89360174644143298</v>
      </c>
      <c r="R2238">
        <v>0.48450288843382699</v>
      </c>
      <c r="S2238">
        <v>14.105158587720201</v>
      </c>
      <c r="T2238">
        <v>-0.62660821886000995</v>
      </c>
      <c r="U2238">
        <v>-6.8480539267610396</v>
      </c>
      <c r="V2238">
        <v>0.53929135036874598</v>
      </c>
      <c r="W2238">
        <v>0.77501266500839605</v>
      </c>
      <c r="X2238">
        <v>0</v>
      </c>
      <c r="Y2238">
        <v>0</v>
      </c>
    </row>
    <row r="2239" spans="1:25" x14ac:dyDescent="0.2">
      <c r="A2239" t="s">
        <v>8399</v>
      </c>
      <c r="B2239" t="s">
        <v>8400</v>
      </c>
      <c r="C2239" t="s">
        <v>8401</v>
      </c>
      <c r="D2239" t="s">
        <v>8293</v>
      </c>
      <c r="E2239" t="s">
        <v>8400</v>
      </c>
      <c r="F2239" t="s">
        <v>28</v>
      </c>
      <c r="G2239" t="s">
        <v>8400</v>
      </c>
      <c r="H2239" t="str">
        <f>"ekl-1"</f>
        <v>ekl-1</v>
      </c>
      <c r="I2239" t="s">
        <v>8293</v>
      </c>
      <c r="J2239">
        <v>11.7062673929944</v>
      </c>
      <c r="K2239">
        <v>11.9044890306486</v>
      </c>
      <c r="L2239">
        <v>11.824680702812</v>
      </c>
      <c r="M2239">
        <v>12.3905075394658</v>
      </c>
      <c r="N2239">
        <v>13.242718299675399</v>
      </c>
      <c r="O2239">
        <v>12.606572842750101</v>
      </c>
      <c r="P2239">
        <v>0.934787185145456</v>
      </c>
      <c r="Q2239">
        <v>0.343075487076201</v>
      </c>
      <c r="R2239">
        <v>1.5264988832147099</v>
      </c>
      <c r="S2239">
        <v>13.342610149041599</v>
      </c>
      <c r="T2239">
        <v>3.3346680455798898</v>
      </c>
      <c r="U2239">
        <v>-2.5702719950085098</v>
      </c>
      <c r="V2239">
        <v>3.9519147752479101E-3</v>
      </c>
      <c r="W2239">
        <v>4.5967890191251401E-2</v>
      </c>
      <c r="X2239">
        <v>0</v>
      </c>
      <c r="Y2239">
        <v>0</v>
      </c>
    </row>
    <row r="2240" spans="1:25" x14ac:dyDescent="0.2">
      <c r="A2240" t="s">
        <v>8402</v>
      </c>
      <c r="B2240" t="s">
        <v>8403</v>
      </c>
      <c r="C2240" t="s">
        <v>8404</v>
      </c>
      <c r="D2240" t="s">
        <v>8405</v>
      </c>
      <c r="E2240" t="s">
        <v>8403</v>
      </c>
      <c r="F2240" t="s">
        <v>28</v>
      </c>
      <c r="G2240" t="s">
        <v>8403</v>
      </c>
      <c r="H2240" t="str">
        <f>"hil-3"</f>
        <v>hil-3</v>
      </c>
      <c r="I2240" t="s">
        <v>8405</v>
      </c>
      <c r="J2240">
        <v>13.4250853190703</v>
      </c>
      <c r="K2240">
        <v>14.223307977350199</v>
      </c>
      <c r="L2240">
        <v>13.839870461746299</v>
      </c>
      <c r="M2240">
        <v>14.5538284506947</v>
      </c>
      <c r="N2240">
        <v>12.725818302417199</v>
      </c>
      <c r="O2240">
        <v>14.1699301580773</v>
      </c>
      <c r="P2240">
        <v>-1.28956156592448E-2</v>
      </c>
      <c r="Q2240">
        <v>-1.1249120226432101</v>
      </c>
      <c r="R2240">
        <v>1.0991207913247201</v>
      </c>
      <c r="S2240">
        <v>13.3147583623233</v>
      </c>
      <c r="T2240">
        <v>-2.5073682971213901E-2</v>
      </c>
      <c r="U2240">
        <v>-7.0517502161346597</v>
      </c>
      <c r="V2240">
        <v>0.98038005621065905</v>
      </c>
      <c r="W2240">
        <v>0.98941631112515704</v>
      </c>
      <c r="X2240">
        <v>0</v>
      </c>
      <c r="Y2240">
        <v>0</v>
      </c>
    </row>
    <row r="2241" spans="1:25" x14ac:dyDescent="0.2">
      <c r="A2241" t="s">
        <v>8406</v>
      </c>
      <c r="B2241" t="s">
        <v>8407</v>
      </c>
      <c r="C2241" t="s">
        <v>8408</v>
      </c>
      <c r="D2241" t="s">
        <v>8409</v>
      </c>
      <c r="E2241" t="s">
        <v>8407</v>
      </c>
      <c r="F2241" t="s">
        <v>28</v>
      </c>
      <c r="G2241" t="s">
        <v>8407</v>
      </c>
      <c r="H2241" t="str">
        <f>"inx-3"</f>
        <v>inx-3</v>
      </c>
      <c r="I2241" t="s">
        <v>8409</v>
      </c>
      <c r="J2241" t="s">
        <v>29</v>
      </c>
      <c r="K2241">
        <v>10.052753544091001</v>
      </c>
      <c r="L2241">
        <v>11.138580239153301</v>
      </c>
      <c r="M2241" t="s">
        <v>29</v>
      </c>
      <c r="N2241">
        <v>9.5662735457128303</v>
      </c>
      <c r="O2241">
        <v>11.4179252878775</v>
      </c>
      <c r="P2241">
        <v>-0.103567474826988</v>
      </c>
      <c r="Q2241">
        <v>-1.1562732424907001</v>
      </c>
      <c r="R2241">
        <v>0.94913829283672602</v>
      </c>
      <c r="S2241">
        <v>11.383620538674901</v>
      </c>
      <c r="T2241">
        <v>-0.21271770045279301</v>
      </c>
      <c r="U2241">
        <v>-6.82711772868777</v>
      </c>
      <c r="V2241">
        <v>0.83487295475971501</v>
      </c>
      <c r="W2241">
        <v>0.93292465480361098</v>
      </c>
      <c r="X2241">
        <v>0</v>
      </c>
      <c r="Y2241">
        <v>0</v>
      </c>
    </row>
    <row r="2242" spans="1:25" x14ac:dyDescent="0.2">
      <c r="A2242" t="s">
        <v>8410</v>
      </c>
      <c r="B2242" t="s">
        <v>8411</v>
      </c>
      <c r="C2242" t="s">
        <v>8412</v>
      </c>
      <c r="D2242" t="s">
        <v>8413</v>
      </c>
      <c r="E2242" t="s">
        <v>8411</v>
      </c>
      <c r="F2242" t="s">
        <v>28</v>
      </c>
      <c r="G2242" t="s">
        <v>8411</v>
      </c>
      <c r="H2242" t="str">
        <f>"dlat-1"</f>
        <v>dlat-1</v>
      </c>
      <c r="I2242" t="s">
        <v>8413</v>
      </c>
      <c r="J2242">
        <v>13.243757569248499</v>
      </c>
      <c r="K2242">
        <v>13.1765946294038</v>
      </c>
      <c r="L2242">
        <v>13.085204652761201</v>
      </c>
      <c r="M2242">
        <v>13.1425183051708</v>
      </c>
      <c r="N2242">
        <v>13.1087688178268</v>
      </c>
      <c r="O2242">
        <v>13.7633073483745</v>
      </c>
      <c r="P2242">
        <v>0.169679206652884</v>
      </c>
      <c r="Q2242">
        <v>-0.34071030281731901</v>
      </c>
      <c r="R2242">
        <v>0.68006871612308695</v>
      </c>
      <c r="S2242">
        <v>13.114267194074699</v>
      </c>
      <c r="T2242">
        <v>0.69874610296186102</v>
      </c>
      <c r="U2242">
        <v>-6.7996679131916302</v>
      </c>
      <c r="V2242">
        <v>0.49369266140367501</v>
      </c>
      <c r="W2242">
        <v>0.74685072998956703</v>
      </c>
      <c r="X2242">
        <v>0</v>
      </c>
      <c r="Y2242">
        <v>0</v>
      </c>
    </row>
    <row r="2243" spans="1:25" x14ac:dyDescent="0.2">
      <c r="A2243" t="s">
        <v>8414</v>
      </c>
      <c r="B2243" t="s">
        <v>8415</v>
      </c>
      <c r="C2243" t="s">
        <v>8416</v>
      </c>
      <c r="D2243" t="s">
        <v>8417</v>
      </c>
      <c r="E2243" t="s">
        <v>8415</v>
      </c>
      <c r="F2243" t="s">
        <v>28</v>
      </c>
      <c r="G2243" t="s">
        <v>8415</v>
      </c>
      <c r="H2243" t="str">
        <f>"fntb-1"</f>
        <v>fntb-1</v>
      </c>
      <c r="I2243" t="s">
        <v>8417</v>
      </c>
      <c r="J2243" t="s">
        <v>29</v>
      </c>
      <c r="K2243">
        <v>13.0508053410784</v>
      </c>
      <c r="L2243" t="s">
        <v>29</v>
      </c>
      <c r="M2243">
        <v>12.6414405956029</v>
      </c>
      <c r="N2243" t="s">
        <v>29</v>
      </c>
      <c r="O2243" t="s">
        <v>29</v>
      </c>
      <c r="P2243">
        <v>-0.409364745475507</v>
      </c>
      <c r="Q2243">
        <v>-1.4607713491247201</v>
      </c>
      <c r="R2243">
        <v>0.64204185817370896</v>
      </c>
      <c r="S2243">
        <v>12.5978594958346</v>
      </c>
      <c r="T2243">
        <v>-0.86877362649251</v>
      </c>
      <c r="U2243">
        <v>-6.1186473363068803</v>
      </c>
      <c r="V2243">
        <v>0.40554990058218598</v>
      </c>
      <c r="W2243">
        <v>0.67744321175278899</v>
      </c>
      <c r="X2243">
        <v>0</v>
      </c>
      <c r="Y2243">
        <v>0</v>
      </c>
    </row>
    <row r="2244" spans="1:25" x14ac:dyDescent="0.2">
      <c r="A2244" t="s">
        <v>8418</v>
      </c>
      <c r="B2244" t="s">
        <v>8419</v>
      </c>
      <c r="C2244" t="s">
        <v>8420</v>
      </c>
      <c r="D2244" t="s">
        <v>8421</v>
      </c>
      <c r="E2244" t="s">
        <v>8419</v>
      </c>
      <c r="F2244" t="s">
        <v>28</v>
      </c>
      <c r="G2244" t="s">
        <v>8419</v>
      </c>
      <c r="H2244" t="str">
        <f>"F23B12.7"</f>
        <v>F23B12.7</v>
      </c>
      <c r="I2244" t="s">
        <v>8421</v>
      </c>
      <c r="J2244">
        <v>13.214673700341001</v>
      </c>
      <c r="K2244">
        <v>13.2598030071164</v>
      </c>
      <c r="L2244">
        <v>13.2312466231716</v>
      </c>
      <c r="M2244">
        <v>12.757901687413501</v>
      </c>
      <c r="N2244">
        <v>13.10761531412</v>
      </c>
      <c r="O2244">
        <v>13.168333419410899</v>
      </c>
      <c r="P2244">
        <v>-0.22395763656151699</v>
      </c>
      <c r="Q2244">
        <v>-0.82296365245057101</v>
      </c>
      <c r="R2244">
        <v>0.37504837932753698</v>
      </c>
      <c r="S2244">
        <v>14.0651724248129</v>
      </c>
      <c r="T2244">
        <v>-0.78919568997454803</v>
      </c>
      <c r="U2244">
        <v>-6.7305955801451702</v>
      </c>
      <c r="V2244">
        <v>0.44093285719901998</v>
      </c>
      <c r="W2244">
        <v>0.70854099621017896</v>
      </c>
      <c r="X2244">
        <v>0</v>
      </c>
      <c r="Y2244">
        <v>0</v>
      </c>
    </row>
    <row r="2245" spans="1:25" x14ac:dyDescent="0.2">
      <c r="A2245" t="s">
        <v>8422</v>
      </c>
      <c r="B2245" t="s">
        <v>8423</v>
      </c>
      <c r="C2245" t="s">
        <v>8424</v>
      </c>
      <c r="D2245" t="s">
        <v>8425</v>
      </c>
      <c r="E2245" t="s">
        <v>8423</v>
      </c>
      <c r="F2245" t="s">
        <v>28</v>
      </c>
      <c r="G2245" t="s">
        <v>8423</v>
      </c>
      <c r="H2245" t="str">
        <f>"ppm-1.A"</f>
        <v>ppm-1.A</v>
      </c>
      <c r="I2245" t="s">
        <v>8425</v>
      </c>
      <c r="J2245">
        <v>12.114816076976201</v>
      </c>
      <c r="K2245">
        <v>11.7769841705336</v>
      </c>
      <c r="L2245">
        <v>12.595836681226899</v>
      </c>
      <c r="M2245" t="s">
        <v>29</v>
      </c>
      <c r="N2245">
        <v>12.0939050986445</v>
      </c>
      <c r="O2245">
        <v>13.2283526098315</v>
      </c>
      <c r="P2245">
        <v>0.49858321132576899</v>
      </c>
      <c r="Q2245">
        <v>-0.12673653974752699</v>
      </c>
      <c r="R2245">
        <v>1.1239029623990699</v>
      </c>
      <c r="S2245">
        <v>12.490718435773299</v>
      </c>
      <c r="T2245">
        <v>1.7005018550298701</v>
      </c>
      <c r="U2245">
        <v>-5.5454649797594504</v>
      </c>
      <c r="V2245">
        <v>0.109814456173317</v>
      </c>
      <c r="W2245">
        <v>0.34241702703680399</v>
      </c>
      <c r="X2245">
        <v>0</v>
      </c>
      <c r="Y2245">
        <v>0</v>
      </c>
    </row>
    <row r="2246" spans="1:25" x14ac:dyDescent="0.2">
      <c r="A2246" t="s">
        <v>8426</v>
      </c>
      <c r="B2246" t="s">
        <v>8427</v>
      </c>
      <c r="C2246" t="s">
        <v>8428</v>
      </c>
      <c r="D2246" t="s">
        <v>8429</v>
      </c>
      <c r="E2246" t="s">
        <v>8427</v>
      </c>
      <c r="F2246" t="s">
        <v>28</v>
      </c>
      <c r="G2246" t="s">
        <v>8427</v>
      </c>
      <c r="H2246" t="str">
        <f>"ifd-2"</f>
        <v>ifd-2</v>
      </c>
      <c r="I2246" t="s">
        <v>8429</v>
      </c>
      <c r="J2246">
        <v>13.2954472249186</v>
      </c>
      <c r="K2246">
        <v>12.5330099082312</v>
      </c>
      <c r="L2246">
        <v>13.8393586527105</v>
      </c>
      <c r="M2246">
        <v>12.72493363755</v>
      </c>
      <c r="N2246">
        <v>13.6323504879542</v>
      </c>
      <c r="O2246">
        <v>13.3895082089601</v>
      </c>
      <c r="P2246">
        <v>2.6325516201355401E-2</v>
      </c>
      <c r="Q2246">
        <v>-0.83275324685330598</v>
      </c>
      <c r="R2246">
        <v>0.88540427925601695</v>
      </c>
      <c r="S2246">
        <v>12.7684901008681</v>
      </c>
      <c r="T2246">
        <v>6.5356008179818501E-2</v>
      </c>
      <c r="U2246">
        <v>-7.0498244184545298</v>
      </c>
      <c r="V2246">
        <v>0.948759661591149</v>
      </c>
      <c r="W2246">
        <v>0.97698225911949299</v>
      </c>
      <c r="X2246">
        <v>0</v>
      </c>
      <c r="Y2246">
        <v>0</v>
      </c>
    </row>
    <row r="2247" spans="1:25" x14ac:dyDescent="0.2">
      <c r="A2247" t="s">
        <v>8430</v>
      </c>
      <c r="B2247" t="s">
        <v>8431</v>
      </c>
      <c r="C2247" t="s">
        <v>14164</v>
      </c>
      <c r="D2247" t="s">
        <v>8432</v>
      </c>
      <c r="E2247" t="s">
        <v>8431</v>
      </c>
      <c r="F2247" t="s">
        <v>28</v>
      </c>
      <c r="G2247" t="s">
        <v>8431</v>
      </c>
      <c r="H2247" t="str">
        <f>"F25H8.2"</f>
        <v>F25H8.2</v>
      </c>
      <c r="I2247" t="s">
        <v>8432</v>
      </c>
      <c r="J2247" t="s">
        <v>29</v>
      </c>
      <c r="K2247" t="s">
        <v>29</v>
      </c>
      <c r="L2247" t="s">
        <v>29</v>
      </c>
      <c r="M2247">
        <v>14.6681073964786</v>
      </c>
      <c r="N2247">
        <v>13.9631214983878</v>
      </c>
      <c r="O2247">
        <v>13.4484249167028</v>
      </c>
      <c r="P2247" t="s">
        <v>29</v>
      </c>
      <c r="Q2247" t="s">
        <v>29</v>
      </c>
      <c r="R2247" t="s">
        <v>29</v>
      </c>
      <c r="S2247">
        <v>13.6208200565141</v>
      </c>
      <c r="T2247" t="s">
        <v>29</v>
      </c>
      <c r="U2247" t="s">
        <v>29</v>
      </c>
      <c r="V2247" t="s">
        <v>29</v>
      </c>
      <c r="W2247" t="s">
        <v>29</v>
      </c>
      <c r="X2247" t="s">
        <v>29</v>
      </c>
      <c r="Y2247" t="s">
        <v>29</v>
      </c>
    </row>
    <row r="2248" spans="1:25" x14ac:dyDescent="0.2">
      <c r="A2248" t="s">
        <v>8433</v>
      </c>
      <c r="B2248" t="s">
        <v>8434</v>
      </c>
      <c r="C2248" t="s">
        <v>8435</v>
      </c>
      <c r="D2248" t="s">
        <v>8436</v>
      </c>
      <c r="E2248" t="s">
        <v>8434</v>
      </c>
      <c r="F2248" t="s">
        <v>28</v>
      </c>
      <c r="G2248" t="s">
        <v>8434</v>
      </c>
      <c r="H2248" t="str">
        <f>"gon-1"</f>
        <v>gon-1</v>
      </c>
      <c r="I2248" t="s">
        <v>8436</v>
      </c>
      <c r="J2248" t="s">
        <v>29</v>
      </c>
      <c r="K2248" t="s">
        <v>29</v>
      </c>
      <c r="L2248" t="s">
        <v>29</v>
      </c>
      <c r="M2248" t="s">
        <v>29</v>
      </c>
      <c r="N2248" t="s">
        <v>29</v>
      </c>
      <c r="O2248" t="s">
        <v>29</v>
      </c>
      <c r="P2248" t="s">
        <v>29</v>
      </c>
      <c r="Q2248" t="s">
        <v>29</v>
      </c>
      <c r="R2248" t="s">
        <v>29</v>
      </c>
      <c r="S2248">
        <v>11.024768222979199</v>
      </c>
      <c r="T2248" t="s">
        <v>29</v>
      </c>
      <c r="U2248" t="s">
        <v>29</v>
      </c>
      <c r="V2248" t="s">
        <v>29</v>
      </c>
      <c r="W2248" t="s">
        <v>29</v>
      </c>
      <c r="X2248" t="s">
        <v>29</v>
      </c>
      <c r="Y2248" t="s">
        <v>29</v>
      </c>
    </row>
    <row r="2249" spans="1:25" x14ac:dyDescent="0.2">
      <c r="A2249" t="s">
        <v>8437</v>
      </c>
      <c r="B2249" t="s">
        <v>8438</v>
      </c>
      <c r="C2249" t="s">
        <v>8439</v>
      </c>
      <c r="D2249" t="s">
        <v>8440</v>
      </c>
      <c r="E2249" t="s">
        <v>8438</v>
      </c>
      <c r="F2249" t="s">
        <v>28</v>
      </c>
      <c r="G2249" t="s">
        <v>8438</v>
      </c>
      <c r="H2249" t="str">
        <f>"nonu-1"</f>
        <v>nonu-1</v>
      </c>
      <c r="I2249" t="s">
        <v>8440</v>
      </c>
      <c r="J2249" t="s">
        <v>29</v>
      </c>
      <c r="K2249" t="s">
        <v>29</v>
      </c>
      <c r="L2249" t="s">
        <v>29</v>
      </c>
      <c r="M2249" t="s">
        <v>29</v>
      </c>
      <c r="N2249" t="s">
        <v>29</v>
      </c>
      <c r="O2249" t="s">
        <v>29</v>
      </c>
      <c r="P2249" t="s">
        <v>29</v>
      </c>
      <c r="Q2249" t="s">
        <v>29</v>
      </c>
      <c r="R2249" t="s">
        <v>29</v>
      </c>
      <c r="S2249">
        <v>10.6687681266955</v>
      </c>
      <c r="T2249" t="s">
        <v>29</v>
      </c>
      <c r="U2249" t="s">
        <v>29</v>
      </c>
      <c r="V2249" t="s">
        <v>29</v>
      </c>
      <c r="W2249" t="s">
        <v>29</v>
      </c>
      <c r="X2249" t="s">
        <v>29</v>
      </c>
      <c r="Y2249" t="s">
        <v>29</v>
      </c>
    </row>
    <row r="2250" spans="1:25" x14ac:dyDescent="0.2">
      <c r="A2250" t="s">
        <v>8441</v>
      </c>
      <c r="B2250" t="s">
        <v>8442</v>
      </c>
      <c r="C2250" t="s">
        <v>8443</v>
      </c>
      <c r="D2250" t="s">
        <v>3312</v>
      </c>
      <c r="E2250" t="s">
        <v>8442</v>
      </c>
      <c r="F2250" t="s">
        <v>28</v>
      </c>
      <c r="G2250" t="s">
        <v>8442</v>
      </c>
      <c r="H2250" t="str">
        <f>"col-140"</f>
        <v>col-140</v>
      </c>
      <c r="I2250" t="s">
        <v>3312</v>
      </c>
      <c r="J2250">
        <v>13.998661741674001</v>
      </c>
      <c r="K2250">
        <v>13.2145625979946</v>
      </c>
      <c r="L2250">
        <v>14.857153904479899</v>
      </c>
      <c r="M2250">
        <v>13.074678481030499</v>
      </c>
      <c r="N2250">
        <v>12.2513613303594</v>
      </c>
      <c r="O2250">
        <v>13.001639075344899</v>
      </c>
      <c r="P2250">
        <v>-1.24756645247126</v>
      </c>
      <c r="Q2250">
        <v>-2.4314862036790998</v>
      </c>
      <c r="R2250">
        <v>-6.3646701263416094E-2</v>
      </c>
      <c r="S2250">
        <v>14.451598292973699</v>
      </c>
      <c r="T2250">
        <v>-2.2147970436765698</v>
      </c>
      <c r="U2250">
        <v>-4.7823947495438297</v>
      </c>
      <c r="V2250">
        <v>3.9993088115712401E-2</v>
      </c>
      <c r="W2250">
        <v>0.19807839989121501</v>
      </c>
      <c r="X2250">
        <v>-1</v>
      </c>
      <c r="Y2250">
        <v>0</v>
      </c>
    </row>
    <row r="2251" spans="1:25" x14ac:dyDescent="0.2">
      <c r="A2251" t="s">
        <v>8444</v>
      </c>
      <c r="B2251" t="s">
        <v>8445</v>
      </c>
      <c r="C2251" t="s">
        <v>14455</v>
      </c>
      <c r="D2251" t="s">
        <v>758</v>
      </c>
      <c r="E2251" t="s">
        <v>8445</v>
      </c>
      <c r="F2251" t="s">
        <v>28</v>
      </c>
      <c r="G2251" t="s">
        <v>8445</v>
      </c>
      <c r="H2251" t="str">
        <f>"F26F4.5"</f>
        <v>F26F4.5</v>
      </c>
      <c r="I2251" t="s">
        <v>758</v>
      </c>
      <c r="J2251" t="s">
        <v>29</v>
      </c>
      <c r="K2251" t="s">
        <v>29</v>
      </c>
      <c r="L2251" t="s">
        <v>29</v>
      </c>
      <c r="M2251" t="s">
        <v>29</v>
      </c>
      <c r="N2251" t="s">
        <v>29</v>
      </c>
      <c r="O2251" t="s">
        <v>29</v>
      </c>
      <c r="P2251" t="s">
        <v>29</v>
      </c>
      <c r="Q2251" t="s">
        <v>29</v>
      </c>
      <c r="R2251" t="s">
        <v>29</v>
      </c>
      <c r="S2251">
        <v>11.7703602050152</v>
      </c>
      <c r="T2251" t="s">
        <v>29</v>
      </c>
      <c r="U2251" t="s">
        <v>29</v>
      </c>
      <c r="V2251" t="s">
        <v>29</v>
      </c>
      <c r="W2251" t="s">
        <v>29</v>
      </c>
      <c r="X2251" t="s">
        <v>29</v>
      </c>
      <c r="Y2251" t="s">
        <v>29</v>
      </c>
    </row>
    <row r="2252" spans="1:25" x14ac:dyDescent="0.2">
      <c r="A2252" t="s">
        <v>8446</v>
      </c>
      <c r="B2252" t="s">
        <v>8447</v>
      </c>
      <c r="C2252" t="s">
        <v>8448</v>
      </c>
      <c r="D2252" t="s">
        <v>360</v>
      </c>
      <c r="E2252" t="s">
        <v>8447</v>
      </c>
      <c r="F2252" t="s">
        <v>28</v>
      </c>
      <c r="G2252" t="s">
        <v>8447</v>
      </c>
      <c r="H2252" t="str">
        <f>"nhl-2"</f>
        <v>nhl-2</v>
      </c>
      <c r="I2252" t="s">
        <v>360</v>
      </c>
      <c r="J2252" t="s">
        <v>29</v>
      </c>
      <c r="K2252" t="s">
        <v>29</v>
      </c>
      <c r="L2252" t="s">
        <v>29</v>
      </c>
      <c r="M2252">
        <v>11.695580363887601</v>
      </c>
      <c r="N2252">
        <v>12.387852394415299</v>
      </c>
      <c r="O2252">
        <v>11.8694296705174</v>
      </c>
      <c r="P2252" t="s">
        <v>29</v>
      </c>
      <c r="Q2252" t="s">
        <v>29</v>
      </c>
      <c r="R2252" t="s">
        <v>29</v>
      </c>
      <c r="S2252">
        <v>11.7826955264552</v>
      </c>
      <c r="T2252" t="s">
        <v>29</v>
      </c>
      <c r="U2252" t="s">
        <v>29</v>
      </c>
      <c r="V2252" t="s">
        <v>29</v>
      </c>
      <c r="W2252" t="s">
        <v>29</v>
      </c>
      <c r="X2252" t="s">
        <v>29</v>
      </c>
      <c r="Y2252" t="s">
        <v>29</v>
      </c>
    </row>
    <row r="2253" spans="1:25" x14ac:dyDescent="0.2">
      <c r="A2253" t="s">
        <v>8449</v>
      </c>
      <c r="B2253" t="s">
        <v>8450</v>
      </c>
      <c r="C2253" t="s">
        <v>8451</v>
      </c>
      <c r="D2253" t="s">
        <v>7751</v>
      </c>
      <c r="E2253" t="s">
        <v>8450</v>
      </c>
      <c r="F2253" t="s">
        <v>28</v>
      </c>
      <c r="G2253" t="s">
        <v>8450</v>
      </c>
      <c r="H2253" t="str">
        <f>"tag-340"</f>
        <v>tag-340</v>
      </c>
      <c r="I2253" t="s">
        <v>7751</v>
      </c>
      <c r="J2253">
        <v>12.143654598683799</v>
      </c>
      <c r="K2253">
        <v>11.976823446933</v>
      </c>
      <c r="L2253">
        <v>11.9731763180457</v>
      </c>
      <c r="M2253">
        <v>11.3988475762453</v>
      </c>
      <c r="N2253">
        <v>11.4714851508395</v>
      </c>
      <c r="O2253">
        <v>10.8003363812927</v>
      </c>
      <c r="P2253">
        <v>-0.80766175176169397</v>
      </c>
      <c r="Q2253">
        <v>-1.22935105550973</v>
      </c>
      <c r="R2253">
        <v>-0.38597244801365399</v>
      </c>
      <c r="S2253">
        <v>11.6868381875059</v>
      </c>
      <c r="T2253">
        <v>-4.0624353368923396</v>
      </c>
      <c r="U2253">
        <v>-1.1007482114657501</v>
      </c>
      <c r="V2253">
        <v>9.1626157350299404E-4</v>
      </c>
      <c r="W2253">
        <v>1.7334390466155501E-2</v>
      </c>
      <c r="X2253">
        <v>0</v>
      </c>
      <c r="Y2253">
        <v>0</v>
      </c>
    </row>
    <row r="2254" spans="1:25" x14ac:dyDescent="0.2">
      <c r="A2254" t="s">
        <v>8452</v>
      </c>
      <c r="B2254" t="s">
        <v>8453</v>
      </c>
      <c r="C2254" t="s">
        <v>8454</v>
      </c>
      <c r="D2254" t="s">
        <v>8455</v>
      </c>
      <c r="E2254" t="s">
        <v>8453</v>
      </c>
      <c r="F2254" t="s">
        <v>28</v>
      </c>
      <c r="G2254" t="s">
        <v>8453</v>
      </c>
      <c r="H2254" t="str">
        <f>"rom-1"</f>
        <v>rom-1</v>
      </c>
      <c r="I2254" t="s">
        <v>8455</v>
      </c>
      <c r="J2254">
        <v>13.8478441559019</v>
      </c>
      <c r="K2254">
        <v>13.8921788715062</v>
      </c>
      <c r="L2254">
        <v>13.882029870307299</v>
      </c>
      <c r="M2254">
        <v>13.864706933582999</v>
      </c>
      <c r="N2254">
        <v>13.6746570500079</v>
      </c>
      <c r="O2254">
        <v>13.5570937909949</v>
      </c>
      <c r="P2254">
        <v>-0.175198374376514</v>
      </c>
      <c r="Q2254">
        <v>-0.52560902516526797</v>
      </c>
      <c r="R2254">
        <v>0.17521227641223999</v>
      </c>
      <c r="S2254">
        <v>13.7027206860908</v>
      </c>
      <c r="T2254">
        <v>-1.06047956388215</v>
      </c>
      <c r="U2254">
        <v>-6.47898632629889</v>
      </c>
      <c r="V2254">
        <v>0.30477546061411798</v>
      </c>
      <c r="W2254">
        <v>0.584130557143271</v>
      </c>
      <c r="X2254">
        <v>0</v>
      </c>
      <c r="Y2254">
        <v>0</v>
      </c>
    </row>
    <row r="2255" spans="1:25" x14ac:dyDescent="0.2">
      <c r="A2255" t="s">
        <v>8456</v>
      </c>
      <c r="B2255" t="s">
        <v>8457</v>
      </c>
      <c r="C2255" t="s">
        <v>14456</v>
      </c>
      <c r="D2255" t="s">
        <v>1281</v>
      </c>
      <c r="E2255" t="s">
        <v>8457</v>
      </c>
      <c r="F2255" t="s">
        <v>28</v>
      </c>
      <c r="G2255" t="s">
        <v>8457</v>
      </c>
      <c r="H2255" t="str">
        <f>"F26F4.2"</f>
        <v>F26F4.2</v>
      </c>
      <c r="I2255" t="s">
        <v>1281</v>
      </c>
      <c r="J2255">
        <v>15.0342060469734</v>
      </c>
      <c r="K2255">
        <v>14.354353899962399</v>
      </c>
      <c r="L2255">
        <v>14.594763677407901</v>
      </c>
      <c r="M2255">
        <v>12.962765009889299</v>
      </c>
      <c r="N2255">
        <v>15.5930412933048</v>
      </c>
      <c r="O2255">
        <v>15.183295451603099</v>
      </c>
      <c r="P2255">
        <v>-8.1407289848836897E-2</v>
      </c>
      <c r="Q2255">
        <v>-1.35976150905631</v>
      </c>
      <c r="R2255">
        <v>1.1969469293586401</v>
      </c>
      <c r="S2255">
        <v>14.072753441652599</v>
      </c>
      <c r="T2255">
        <v>-0.134419445876301</v>
      </c>
      <c r="U2255">
        <v>-7.0425928024509803</v>
      </c>
      <c r="V2255">
        <v>0.89465922749508098</v>
      </c>
      <c r="W2255">
        <v>0.96310377651960599</v>
      </c>
      <c r="X2255">
        <v>0</v>
      </c>
      <c r="Y2255">
        <v>0</v>
      </c>
    </row>
    <row r="2256" spans="1:25" x14ac:dyDescent="0.2">
      <c r="A2256" t="s">
        <v>8458</v>
      </c>
      <c r="B2256" t="s">
        <v>8459</v>
      </c>
      <c r="C2256" t="s">
        <v>8460</v>
      </c>
      <c r="D2256" t="s">
        <v>8461</v>
      </c>
      <c r="E2256" t="s">
        <v>8459</v>
      </c>
      <c r="F2256" t="s">
        <v>28</v>
      </c>
      <c r="G2256" t="s">
        <v>8459</v>
      </c>
      <c r="H2256" t="str">
        <f>"cee-1"</f>
        <v>cee-1</v>
      </c>
      <c r="I2256" t="s">
        <v>8461</v>
      </c>
      <c r="J2256">
        <v>13.020108261205101</v>
      </c>
      <c r="K2256">
        <v>12.830084911770401</v>
      </c>
      <c r="L2256">
        <v>13.2000025097066</v>
      </c>
      <c r="M2256">
        <v>12.354554246695299</v>
      </c>
      <c r="N2256">
        <v>13.304463330090799</v>
      </c>
      <c r="O2256">
        <v>13.1432225737582</v>
      </c>
      <c r="P2256">
        <v>-8.2651844045960501E-2</v>
      </c>
      <c r="Q2256">
        <v>-0.62282941298497996</v>
      </c>
      <c r="R2256">
        <v>0.45752572489305898</v>
      </c>
      <c r="S2256">
        <v>13.324487450483501</v>
      </c>
      <c r="T2256">
        <v>-0.32297284915136099</v>
      </c>
      <c r="U2256">
        <v>-6.9974191791198104</v>
      </c>
      <c r="V2256">
        <v>0.75067868402905402</v>
      </c>
      <c r="W2256">
        <v>0.89443416483633298</v>
      </c>
      <c r="X2256">
        <v>0</v>
      </c>
      <c r="Y2256">
        <v>0</v>
      </c>
    </row>
    <row r="2257" spans="1:25" x14ac:dyDescent="0.2">
      <c r="A2257" t="s">
        <v>8462</v>
      </c>
      <c r="B2257" t="s">
        <v>8463</v>
      </c>
      <c r="C2257" t="s">
        <v>8464</v>
      </c>
      <c r="D2257" t="s">
        <v>8465</v>
      </c>
      <c r="E2257" t="s">
        <v>8463</v>
      </c>
      <c r="F2257" t="s">
        <v>28</v>
      </c>
      <c r="G2257" t="s">
        <v>8463</v>
      </c>
      <c r="H2257" t="str">
        <f>"rars-1"</f>
        <v>rars-1</v>
      </c>
      <c r="I2257" t="s">
        <v>8465</v>
      </c>
      <c r="J2257">
        <v>16.0253861619193</v>
      </c>
      <c r="K2257">
        <v>15.6740294612054</v>
      </c>
      <c r="L2257">
        <v>15.9158081043311</v>
      </c>
      <c r="M2257">
        <v>15.680444738266001</v>
      </c>
      <c r="N2257">
        <v>16.069308278740301</v>
      </c>
      <c r="O2257">
        <v>15.8184536280804</v>
      </c>
      <c r="P2257">
        <v>-1.56723607897504E-2</v>
      </c>
      <c r="Q2257">
        <v>-0.349241542751489</v>
      </c>
      <c r="R2257">
        <v>0.31789682117198798</v>
      </c>
      <c r="S2257">
        <v>15.8919739137141</v>
      </c>
      <c r="T2257">
        <v>-9.8750889026485697E-2</v>
      </c>
      <c r="U2257">
        <v>-7.0469773125713804</v>
      </c>
      <c r="V2257">
        <v>0.92243383525376499</v>
      </c>
      <c r="W2257">
        <v>0.97233550369800803</v>
      </c>
      <c r="X2257">
        <v>0</v>
      </c>
      <c r="Y2257">
        <v>0</v>
      </c>
    </row>
    <row r="2258" spans="1:25" x14ac:dyDescent="0.2">
      <c r="A2258" t="s">
        <v>8466</v>
      </c>
      <c r="B2258" t="s">
        <v>8467</v>
      </c>
      <c r="C2258" t="s">
        <v>8468</v>
      </c>
      <c r="D2258" t="s">
        <v>8469</v>
      </c>
      <c r="E2258" t="s">
        <v>8467</v>
      </c>
      <c r="F2258" t="s">
        <v>28</v>
      </c>
      <c r="G2258" t="s">
        <v>8467</v>
      </c>
      <c r="H2258" t="str">
        <f>"rpb-8"</f>
        <v>rpb-8</v>
      </c>
      <c r="I2258" t="s">
        <v>8469</v>
      </c>
      <c r="J2258">
        <v>15.075033193911899</v>
      </c>
      <c r="K2258">
        <v>15.217460102057901</v>
      </c>
      <c r="L2258">
        <v>14.910295713660799</v>
      </c>
      <c r="M2258">
        <v>15.285022056758701</v>
      </c>
      <c r="N2258">
        <v>14.866047346607999</v>
      </c>
      <c r="O2258">
        <v>14.8440442373604</v>
      </c>
      <c r="P2258">
        <v>-6.9225122967823793E-2</v>
      </c>
      <c r="Q2258">
        <v>-0.57268555661685405</v>
      </c>
      <c r="R2258">
        <v>0.43423531068120702</v>
      </c>
      <c r="S2258">
        <v>14.4742827598254</v>
      </c>
      <c r="T2258">
        <v>-0.288995382313878</v>
      </c>
      <c r="U2258">
        <v>-7.0084200846909797</v>
      </c>
      <c r="V2258">
        <v>0.77590612467925302</v>
      </c>
      <c r="W2258">
        <v>0.90559488153023304</v>
      </c>
      <c r="X2258">
        <v>0</v>
      </c>
      <c r="Y2258">
        <v>0</v>
      </c>
    </row>
    <row r="2259" spans="1:25" x14ac:dyDescent="0.2">
      <c r="A2259" t="s">
        <v>8470</v>
      </c>
      <c r="B2259" t="s">
        <v>8471</v>
      </c>
      <c r="C2259" t="s">
        <v>14457</v>
      </c>
      <c r="D2259" t="s">
        <v>8472</v>
      </c>
      <c r="E2259" t="s">
        <v>8471</v>
      </c>
      <c r="F2259" t="s">
        <v>28</v>
      </c>
      <c r="G2259" t="s">
        <v>8471</v>
      </c>
      <c r="H2259" t="str">
        <f>"F26G1.1"</f>
        <v>F26G1.1</v>
      </c>
      <c r="I2259" t="s">
        <v>8472</v>
      </c>
      <c r="J2259" t="s">
        <v>29</v>
      </c>
      <c r="K2259" t="s">
        <v>29</v>
      </c>
      <c r="L2259" t="s">
        <v>29</v>
      </c>
      <c r="M2259">
        <v>10.8507651680124</v>
      </c>
      <c r="N2259" t="s">
        <v>29</v>
      </c>
      <c r="O2259" t="s">
        <v>29</v>
      </c>
      <c r="P2259" t="s">
        <v>29</v>
      </c>
      <c r="Q2259" t="s">
        <v>29</v>
      </c>
      <c r="R2259" t="s">
        <v>29</v>
      </c>
      <c r="S2259">
        <v>11.6341006120829</v>
      </c>
      <c r="T2259" t="s">
        <v>29</v>
      </c>
      <c r="U2259" t="s">
        <v>29</v>
      </c>
      <c r="V2259" t="s">
        <v>29</v>
      </c>
      <c r="W2259" t="s">
        <v>29</v>
      </c>
      <c r="X2259" t="s">
        <v>29</v>
      </c>
      <c r="Y2259" t="s">
        <v>29</v>
      </c>
    </row>
    <row r="2260" spans="1:25" x14ac:dyDescent="0.2">
      <c r="A2260" t="s">
        <v>8473</v>
      </c>
      <c r="B2260" t="s">
        <v>8474</v>
      </c>
      <c r="C2260" t="s">
        <v>8475</v>
      </c>
      <c r="D2260" t="s">
        <v>104</v>
      </c>
      <c r="E2260" t="s">
        <v>8474</v>
      </c>
      <c r="F2260" t="s">
        <v>28</v>
      </c>
      <c r="G2260" t="s">
        <v>8474</v>
      </c>
      <c r="H2260" t="str">
        <f>"aat-1"</f>
        <v>aat-1</v>
      </c>
      <c r="I2260" t="s">
        <v>104</v>
      </c>
      <c r="J2260">
        <v>11.198818726966699</v>
      </c>
      <c r="K2260">
        <v>11.396922771083901</v>
      </c>
      <c r="L2260">
        <v>12.0570196440608</v>
      </c>
      <c r="M2260">
        <v>11.8700926575029</v>
      </c>
      <c r="N2260">
        <v>11.995125460067699</v>
      </c>
      <c r="O2260">
        <v>11.451615490088001</v>
      </c>
      <c r="P2260">
        <v>0.221357488515698</v>
      </c>
      <c r="Q2260">
        <v>-0.395076167931389</v>
      </c>
      <c r="R2260">
        <v>0.83779114496278595</v>
      </c>
      <c r="S2260">
        <v>11.7813602608372</v>
      </c>
      <c r="T2260">
        <v>0.76165343656846896</v>
      </c>
      <c r="U2260">
        <v>-6.7515367380717999</v>
      </c>
      <c r="V2260">
        <v>0.457419693091351</v>
      </c>
      <c r="W2260">
        <v>0.72422381637401001</v>
      </c>
      <c r="X2260">
        <v>0</v>
      </c>
      <c r="Y2260">
        <v>0</v>
      </c>
    </row>
    <row r="2261" spans="1:25" x14ac:dyDescent="0.2">
      <c r="A2261" t="s">
        <v>8476</v>
      </c>
      <c r="B2261" t="s">
        <v>8477</v>
      </c>
      <c r="C2261" t="s">
        <v>8478</v>
      </c>
      <c r="D2261" t="s">
        <v>8479</v>
      </c>
      <c r="E2261" t="s">
        <v>8477</v>
      </c>
      <c r="F2261" t="s">
        <v>28</v>
      </c>
      <c r="G2261" t="s">
        <v>8477</v>
      </c>
      <c r="H2261" t="str">
        <f>"pcca-1"</f>
        <v>pcca-1</v>
      </c>
      <c r="I2261" t="s">
        <v>8479</v>
      </c>
      <c r="J2261">
        <v>23.993677741887499</v>
      </c>
      <c r="K2261">
        <v>24.033517166340101</v>
      </c>
      <c r="L2261">
        <v>23.661010157707199</v>
      </c>
      <c r="M2261">
        <v>23.9671684075191</v>
      </c>
      <c r="N2261">
        <v>23.2887760695106</v>
      </c>
      <c r="O2261">
        <v>23.138726445820701</v>
      </c>
      <c r="P2261">
        <v>-0.43117804769478602</v>
      </c>
      <c r="Q2261">
        <v>-1.1167745178841799</v>
      </c>
      <c r="R2261">
        <v>0.25441842249461</v>
      </c>
      <c r="S2261">
        <v>22.770621715683699</v>
      </c>
      <c r="T2261">
        <v>-1.32184515024182</v>
      </c>
      <c r="U2261">
        <v>-6.1787029107877398</v>
      </c>
      <c r="V2261">
        <v>0.20286939598822901</v>
      </c>
      <c r="W2261">
        <v>0.46586945274925701</v>
      </c>
      <c r="X2261">
        <v>0</v>
      </c>
      <c r="Y2261">
        <v>0</v>
      </c>
    </row>
    <row r="2262" spans="1:25" x14ac:dyDescent="0.2">
      <c r="A2262" t="s">
        <v>8480</v>
      </c>
      <c r="B2262" t="s">
        <v>8481</v>
      </c>
      <c r="C2262" t="s">
        <v>8482</v>
      </c>
      <c r="D2262" t="s">
        <v>8483</v>
      </c>
      <c r="E2262" t="s">
        <v>8481</v>
      </c>
      <c r="F2262" t="s">
        <v>28</v>
      </c>
      <c r="G2262" t="s">
        <v>8481</v>
      </c>
      <c r="H2262" t="str">
        <f>"dhs-29"</f>
        <v>dhs-29</v>
      </c>
      <c r="I2262" t="s">
        <v>8483</v>
      </c>
      <c r="J2262">
        <v>12.564314796333401</v>
      </c>
      <c r="K2262">
        <v>12.675036915569301</v>
      </c>
      <c r="L2262">
        <v>12.8624085841676</v>
      </c>
      <c r="M2262">
        <v>12.2365946866943</v>
      </c>
      <c r="N2262">
        <v>12.2047295877954</v>
      </c>
      <c r="O2262">
        <v>11.301063665679999</v>
      </c>
      <c r="P2262">
        <v>-0.78645745196686101</v>
      </c>
      <c r="Q2262">
        <v>-1.3801782494853101</v>
      </c>
      <c r="R2262">
        <v>-0.19273665444841401</v>
      </c>
      <c r="S2262">
        <v>12.536986001002701</v>
      </c>
      <c r="T2262">
        <v>-2.8095870957906701</v>
      </c>
      <c r="U2262">
        <v>-3.6767247139912098</v>
      </c>
      <c r="V2262">
        <v>1.2649909679643001E-2</v>
      </c>
      <c r="W2262">
        <v>0.103946480044339</v>
      </c>
      <c r="X2262">
        <v>0</v>
      </c>
      <c r="Y2262">
        <v>0</v>
      </c>
    </row>
    <row r="2263" spans="1:25" x14ac:dyDescent="0.2">
      <c r="A2263" t="s">
        <v>8484</v>
      </c>
      <c r="B2263" t="s">
        <v>8485</v>
      </c>
      <c r="C2263" t="s">
        <v>8486</v>
      </c>
      <c r="D2263" t="s">
        <v>8487</v>
      </c>
      <c r="E2263" t="s">
        <v>8485</v>
      </c>
      <c r="F2263" t="s">
        <v>28</v>
      </c>
      <c r="G2263" t="s">
        <v>8485</v>
      </c>
      <c r="H2263" t="str">
        <f>"vrk-1"</f>
        <v>vrk-1</v>
      </c>
      <c r="I2263" t="s">
        <v>8487</v>
      </c>
      <c r="J2263">
        <v>13.472571250360099</v>
      </c>
      <c r="K2263">
        <v>13.272660801192201</v>
      </c>
      <c r="L2263">
        <v>13.0665039318936</v>
      </c>
      <c r="M2263">
        <v>13.4949532418613</v>
      </c>
      <c r="N2263">
        <v>13.024626076047101</v>
      </c>
      <c r="O2263">
        <v>13.237841370468701</v>
      </c>
      <c r="P2263">
        <v>-1.81050983562407E-2</v>
      </c>
      <c r="Q2263">
        <v>-0.55463952146316298</v>
      </c>
      <c r="R2263">
        <v>0.51842932475068204</v>
      </c>
      <c r="S2263">
        <v>12.9689487427974</v>
      </c>
      <c r="T2263">
        <v>-7.1573594341169805E-2</v>
      </c>
      <c r="U2263">
        <v>-7.0493843406352203</v>
      </c>
      <c r="V2263">
        <v>0.94383409275366204</v>
      </c>
      <c r="W2263">
        <v>0.97576384643441005</v>
      </c>
      <c r="X2263">
        <v>0</v>
      </c>
      <c r="Y2263">
        <v>0</v>
      </c>
    </row>
    <row r="2264" spans="1:25" x14ac:dyDescent="0.2">
      <c r="A2264" t="s">
        <v>8488</v>
      </c>
      <c r="B2264" t="s">
        <v>8489</v>
      </c>
      <c r="C2264" t="s">
        <v>8490</v>
      </c>
      <c r="D2264" t="s">
        <v>8491</v>
      </c>
      <c r="E2264" t="s">
        <v>8489</v>
      </c>
      <c r="F2264" t="s">
        <v>28</v>
      </c>
      <c r="G2264" t="s">
        <v>8489</v>
      </c>
      <c r="H2264" t="str">
        <f>"rgl-1"</f>
        <v>rgl-1</v>
      </c>
      <c r="I2264" t="s">
        <v>8491</v>
      </c>
      <c r="J2264" t="s">
        <v>29</v>
      </c>
      <c r="K2264" t="s">
        <v>29</v>
      </c>
      <c r="L2264" t="s">
        <v>29</v>
      </c>
      <c r="M2264" t="s">
        <v>29</v>
      </c>
      <c r="N2264" t="s">
        <v>29</v>
      </c>
      <c r="O2264" t="s">
        <v>29</v>
      </c>
      <c r="P2264" t="s">
        <v>29</v>
      </c>
      <c r="Q2264" t="s">
        <v>29</v>
      </c>
      <c r="R2264" t="s">
        <v>29</v>
      </c>
      <c r="S2264">
        <v>10.812891833016</v>
      </c>
      <c r="T2264" t="s">
        <v>29</v>
      </c>
      <c r="U2264" t="s">
        <v>29</v>
      </c>
      <c r="V2264" t="s">
        <v>29</v>
      </c>
      <c r="W2264" t="s">
        <v>29</v>
      </c>
      <c r="X2264" t="s">
        <v>29</v>
      </c>
      <c r="Y2264" t="s">
        <v>29</v>
      </c>
    </row>
    <row r="2265" spans="1:25" x14ac:dyDescent="0.2">
      <c r="A2265" t="s">
        <v>8492</v>
      </c>
      <c r="B2265" t="s">
        <v>8493</v>
      </c>
      <c r="C2265" t="s">
        <v>8494</v>
      </c>
      <c r="D2265" t="s">
        <v>8495</v>
      </c>
      <c r="E2265" t="s">
        <v>8493</v>
      </c>
      <c r="F2265" t="s">
        <v>28</v>
      </c>
      <c r="G2265" t="s">
        <v>8493</v>
      </c>
      <c r="H2265" t="str">
        <f>"cpf-1"</f>
        <v>cpf-1</v>
      </c>
      <c r="I2265" t="s">
        <v>8495</v>
      </c>
      <c r="J2265" t="s">
        <v>29</v>
      </c>
      <c r="K2265" t="s">
        <v>29</v>
      </c>
      <c r="L2265">
        <v>12.968326545180201</v>
      </c>
      <c r="M2265" t="s">
        <v>29</v>
      </c>
      <c r="N2265" t="s">
        <v>29</v>
      </c>
      <c r="O2265" t="s">
        <v>29</v>
      </c>
      <c r="P2265" t="s">
        <v>29</v>
      </c>
      <c r="Q2265" t="s">
        <v>29</v>
      </c>
      <c r="R2265" t="s">
        <v>29</v>
      </c>
      <c r="S2265">
        <v>13.1131333063403</v>
      </c>
      <c r="T2265" t="s">
        <v>29</v>
      </c>
      <c r="U2265" t="s">
        <v>29</v>
      </c>
      <c r="V2265" t="s">
        <v>29</v>
      </c>
      <c r="W2265" t="s">
        <v>29</v>
      </c>
      <c r="X2265" t="s">
        <v>29</v>
      </c>
      <c r="Y2265" t="s">
        <v>29</v>
      </c>
    </row>
    <row r="2266" spans="1:25" x14ac:dyDescent="0.2">
      <c r="A2266" t="s">
        <v>8496</v>
      </c>
      <c r="B2266" t="s">
        <v>8497</v>
      </c>
      <c r="C2266" t="s">
        <v>8498</v>
      </c>
      <c r="D2266" t="s">
        <v>8499</v>
      </c>
      <c r="E2266" t="s">
        <v>8497</v>
      </c>
      <c r="F2266" t="s">
        <v>28</v>
      </c>
      <c r="G2266" t="s">
        <v>8497</v>
      </c>
      <c r="H2266" t="str">
        <f>"suf-1"</f>
        <v>suf-1</v>
      </c>
      <c r="I2266" t="s">
        <v>8499</v>
      </c>
      <c r="J2266">
        <v>13.102463852303799</v>
      </c>
      <c r="K2266">
        <v>13.495851703604099</v>
      </c>
      <c r="L2266">
        <v>13.3100697230183</v>
      </c>
      <c r="M2266">
        <v>13.578375692439799</v>
      </c>
      <c r="N2266">
        <v>13.1030029944259</v>
      </c>
      <c r="O2266">
        <v>12.9926221470848</v>
      </c>
      <c r="P2266">
        <v>-7.8128148325220095E-2</v>
      </c>
      <c r="Q2266">
        <v>-0.46252744707499399</v>
      </c>
      <c r="R2266">
        <v>0.306271150424554</v>
      </c>
      <c r="S2266">
        <v>13.227864157955</v>
      </c>
      <c r="T2266">
        <v>-0.42901745067698599</v>
      </c>
      <c r="U2266">
        <v>-6.9558543311410101</v>
      </c>
      <c r="V2266">
        <v>0.67333101403630302</v>
      </c>
      <c r="W2266">
        <v>0.85541145012261999</v>
      </c>
      <c r="X2266">
        <v>0</v>
      </c>
      <c r="Y2266">
        <v>0</v>
      </c>
    </row>
    <row r="2267" spans="1:25" x14ac:dyDescent="0.2">
      <c r="A2267" t="s">
        <v>8500</v>
      </c>
      <c r="B2267" t="s">
        <v>8501</v>
      </c>
      <c r="C2267" t="s">
        <v>8502</v>
      </c>
      <c r="D2267" t="s">
        <v>8503</v>
      </c>
      <c r="E2267" t="s">
        <v>8501</v>
      </c>
      <c r="F2267" t="s">
        <v>28</v>
      </c>
      <c r="G2267" t="s">
        <v>8501</v>
      </c>
      <c r="H2267" t="str">
        <f>"rpl-26"</f>
        <v>rpl-26</v>
      </c>
      <c r="I2267" t="s">
        <v>8503</v>
      </c>
      <c r="J2267">
        <v>19.416785299369501</v>
      </c>
      <c r="K2267">
        <v>19.3384209204402</v>
      </c>
      <c r="L2267">
        <v>19.342515205473099</v>
      </c>
      <c r="M2267">
        <v>19.164689640060601</v>
      </c>
      <c r="N2267">
        <v>19.0612292077281</v>
      </c>
      <c r="O2267">
        <v>18.7268566702434</v>
      </c>
      <c r="P2267">
        <v>-0.38164863575025298</v>
      </c>
      <c r="Q2267">
        <v>-0.72206908764001498</v>
      </c>
      <c r="R2267">
        <v>-4.1228183860490798E-2</v>
      </c>
      <c r="S2267">
        <v>19.109978034129298</v>
      </c>
      <c r="T2267">
        <v>-2.3563542580738202</v>
      </c>
      <c r="U2267">
        <v>-4.5205095020550496</v>
      </c>
      <c r="V2267">
        <v>3.00614699476223E-2</v>
      </c>
      <c r="W2267">
        <v>0.17012177949489199</v>
      </c>
      <c r="X2267">
        <v>0</v>
      </c>
      <c r="Y2267">
        <v>0</v>
      </c>
    </row>
    <row r="2268" spans="1:25" x14ac:dyDescent="0.2">
      <c r="A2268" t="s">
        <v>8504</v>
      </c>
      <c r="B2268" t="s">
        <v>8505</v>
      </c>
      <c r="C2268" t="s">
        <v>8506</v>
      </c>
      <c r="D2268" t="s">
        <v>8507</v>
      </c>
      <c r="E2268" t="s">
        <v>8505</v>
      </c>
      <c r="F2268" t="s">
        <v>28</v>
      </c>
      <c r="G2268" t="s">
        <v>8505</v>
      </c>
      <c r="H2268" t="str">
        <f>"wdr-46"</f>
        <v>wdr-46</v>
      </c>
      <c r="I2268" t="s">
        <v>8507</v>
      </c>
      <c r="J2268">
        <v>13.3546161207216</v>
      </c>
      <c r="K2268">
        <v>13.504317060200201</v>
      </c>
      <c r="L2268">
        <v>13.239362417057301</v>
      </c>
      <c r="M2268">
        <v>12.6389015050753</v>
      </c>
      <c r="N2268">
        <v>12.7365808023951</v>
      </c>
      <c r="O2268">
        <v>13.2941432154515</v>
      </c>
      <c r="P2268">
        <v>-0.47622335835237101</v>
      </c>
      <c r="Q2268">
        <v>-0.94549225396412895</v>
      </c>
      <c r="R2268">
        <v>-6.9544627406126804E-3</v>
      </c>
      <c r="S2268">
        <v>13.4059215097218</v>
      </c>
      <c r="T2268">
        <v>-2.1420960360308001</v>
      </c>
      <c r="U2268">
        <v>-4.9200889700258097</v>
      </c>
      <c r="V2268">
        <v>4.70535830399934E-2</v>
      </c>
      <c r="W2268">
        <v>0.21595537265463799</v>
      </c>
      <c r="X2268">
        <v>0</v>
      </c>
      <c r="Y2268">
        <v>0</v>
      </c>
    </row>
    <row r="2269" spans="1:25" x14ac:dyDescent="0.2">
      <c r="A2269" t="s">
        <v>8508</v>
      </c>
      <c r="B2269" t="s">
        <v>8509</v>
      </c>
      <c r="C2269" t="s">
        <v>8510</v>
      </c>
      <c r="D2269" t="s">
        <v>8511</v>
      </c>
      <c r="E2269" t="s">
        <v>8509</v>
      </c>
      <c r="F2269" t="s">
        <v>28</v>
      </c>
      <c r="G2269" t="s">
        <v>8509</v>
      </c>
      <c r="H2269" t="str">
        <f>"rps-23"</f>
        <v>rps-23</v>
      </c>
      <c r="I2269" t="s">
        <v>8511</v>
      </c>
      <c r="J2269">
        <v>20.015747563193699</v>
      </c>
      <c r="K2269">
        <v>19.930160878436201</v>
      </c>
      <c r="L2269">
        <v>19.881139083721798</v>
      </c>
      <c r="M2269">
        <v>19.817343796801499</v>
      </c>
      <c r="N2269">
        <v>19.724587046946802</v>
      </c>
      <c r="O2269">
        <v>19.505480948639899</v>
      </c>
      <c r="P2269">
        <v>-0.25987857765453598</v>
      </c>
      <c r="Q2269">
        <v>-0.77895523836986702</v>
      </c>
      <c r="R2269">
        <v>0.259198083060794</v>
      </c>
      <c r="S2269">
        <v>19.9320040993459</v>
      </c>
      <c r="T2269">
        <v>-1.05228042663768</v>
      </c>
      <c r="U2269">
        <v>-6.4891659519125504</v>
      </c>
      <c r="V2269">
        <v>0.306673428905963</v>
      </c>
      <c r="W2269">
        <v>0.58631923481786297</v>
      </c>
      <c r="X2269">
        <v>0</v>
      </c>
      <c r="Y2269">
        <v>0</v>
      </c>
    </row>
    <row r="2270" spans="1:25" x14ac:dyDescent="0.2">
      <c r="A2270" t="s">
        <v>8512</v>
      </c>
      <c r="B2270" t="s">
        <v>8513</v>
      </c>
      <c r="C2270" t="s">
        <v>8514</v>
      </c>
      <c r="D2270" t="s">
        <v>8008</v>
      </c>
      <c r="E2270" t="s">
        <v>8513</v>
      </c>
      <c r="F2270" t="s">
        <v>28</v>
      </c>
      <c r="G2270" t="s">
        <v>8513</v>
      </c>
      <c r="H2270" t="str">
        <f>"acs-20"</f>
        <v>acs-20</v>
      </c>
      <c r="I2270" t="s">
        <v>8008</v>
      </c>
      <c r="J2270">
        <v>12.955766021353501</v>
      </c>
      <c r="K2270">
        <v>13.312022551519499</v>
      </c>
      <c r="L2270">
        <v>12.8205434271807</v>
      </c>
      <c r="M2270">
        <v>13.004560122646501</v>
      </c>
      <c r="N2270">
        <v>12.7558463775284</v>
      </c>
      <c r="O2270">
        <v>12.821540009206</v>
      </c>
      <c r="P2270">
        <v>-0.168795163557592</v>
      </c>
      <c r="Q2270">
        <v>-0.61438987518658605</v>
      </c>
      <c r="R2270">
        <v>0.276799548071402</v>
      </c>
      <c r="S2270">
        <v>12.766798422840999</v>
      </c>
      <c r="T2270">
        <v>-0.79959484206475995</v>
      </c>
      <c r="U2270">
        <v>-6.7222248936728901</v>
      </c>
      <c r="V2270">
        <v>0.43504421430744</v>
      </c>
      <c r="W2270">
        <v>0.70393597244008699</v>
      </c>
      <c r="X2270">
        <v>0</v>
      </c>
      <c r="Y2270">
        <v>0</v>
      </c>
    </row>
    <row r="2271" spans="1:25" x14ac:dyDescent="0.2">
      <c r="A2271" t="s">
        <v>8515</v>
      </c>
      <c r="B2271" t="s">
        <v>8516</v>
      </c>
      <c r="C2271" t="s">
        <v>8517</v>
      </c>
      <c r="D2271" t="s">
        <v>8518</v>
      </c>
      <c r="E2271" t="s">
        <v>8516</v>
      </c>
      <c r="F2271" t="s">
        <v>28</v>
      </c>
      <c r="G2271" t="s">
        <v>8516</v>
      </c>
      <c r="H2271" t="str">
        <f>"hum-1"</f>
        <v>hum-1</v>
      </c>
      <c r="I2271" t="s">
        <v>8518</v>
      </c>
      <c r="J2271">
        <v>14.5473081269347</v>
      </c>
      <c r="K2271">
        <v>14.561675641384101</v>
      </c>
      <c r="L2271">
        <v>14.3331574949384</v>
      </c>
      <c r="M2271">
        <v>14.782251404182601</v>
      </c>
      <c r="N2271">
        <v>14.992861258622099</v>
      </c>
      <c r="O2271">
        <v>14.732261647356401</v>
      </c>
      <c r="P2271">
        <v>0.35507768230133502</v>
      </c>
      <c r="Q2271">
        <v>-0.17084209914272799</v>
      </c>
      <c r="R2271">
        <v>0.880997463745398</v>
      </c>
      <c r="S2271">
        <v>14.5277447962031</v>
      </c>
      <c r="T2271">
        <v>1.4190457042967499</v>
      </c>
      <c r="U2271">
        <v>-6.0524559478590403</v>
      </c>
      <c r="V2271">
        <v>0.173069303659975</v>
      </c>
      <c r="W2271">
        <v>0.43242610723413899</v>
      </c>
      <c r="X2271">
        <v>0</v>
      </c>
      <c r="Y2271">
        <v>0</v>
      </c>
    </row>
    <row r="2272" spans="1:25" x14ac:dyDescent="0.2">
      <c r="A2272" t="s">
        <v>8519</v>
      </c>
      <c r="B2272" t="s">
        <v>8520</v>
      </c>
      <c r="C2272" t="s">
        <v>8521</v>
      </c>
      <c r="D2272" t="s">
        <v>8522</v>
      </c>
      <c r="E2272" t="s">
        <v>8520</v>
      </c>
      <c r="F2272" t="s">
        <v>28</v>
      </c>
      <c r="G2272" t="s">
        <v>8520</v>
      </c>
      <c r="H2272" t="str">
        <f>"sqv-4"</f>
        <v>sqv-4</v>
      </c>
      <c r="I2272" t="s">
        <v>8522</v>
      </c>
      <c r="J2272">
        <v>15.717928971600699</v>
      </c>
      <c r="K2272">
        <v>15.571001386628801</v>
      </c>
      <c r="L2272">
        <v>16.017398387800501</v>
      </c>
      <c r="M2272">
        <v>15.4884677490206</v>
      </c>
      <c r="N2272">
        <v>16.301991792168501</v>
      </c>
      <c r="O2272">
        <v>15.888184222871701</v>
      </c>
      <c r="P2272">
        <v>0.124105006010279</v>
      </c>
      <c r="Q2272">
        <v>-0.34653323877076098</v>
      </c>
      <c r="R2272">
        <v>0.59474325079131796</v>
      </c>
      <c r="S2272">
        <v>16.029793448464101</v>
      </c>
      <c r="T2272">
        <v>0.55423582865988397</v>
      </c>
      <c r="U2272">
        <v>-6.8924820141289196</v>
      </c>
      <c r="V2272">
        <v>0.586277744205837</v>
      </c>
      <c r="W2272">
        <v>0.80224885603271401</v>
      </c>
      <c r="X2272">
        <v>0</v>
      </c>
      <c r="Y2272">
        <v>0</v>
      </c>
    </row>
    <row r="2273" spans="1:25" x14ac:dyDescent="0.2">
      <c r="A2273" t="s">
        <v>8523</v>
      </c>
      <c r="B2273" t="s">
        <v>8524</v>
      </c>
      <c r="C2273" t="s">
        <v>8525</v>
      </c>
      <c r="D2273" t="s">
        <v>8526</v>
      </c>
      <c r="E2273" t="s">
        <v>8524</v>
      </c>
      <c r="F2273" t="s">
        <v>28</v>
      </c>
      <c r="G2273" t="s">
        <v>8524</v>
      </c>
      <c r="H2273" t="str">
        <f>"tut-2"</f>
        <v>tut-2</v>
      </c>
      <c r="I2273" t="s">
        <v>8526</v>
      </c>
      <c r="J2273">
        <v>12.858930232012201</v>
      </c>
      <c r="K2273" t="s">
        <v>29</v>
      </c>
      <c r="L2273">
        <v>13.0313328258643</v>
      </c>
      <c r="M2273" t="s">
        <v>29</v>
      </c>
      <c r="N2273">
        <v>12.6802687613845</v>
      </c>
      <c r="O2273" t="s">
        <v>29</v>
      </c>
      <c r="P2273">
        <v>-0.26486276755370097</v>
      </c>
      <c r="Q2273">
        <v>-0.88145505964390902</v>
      </c>
      <c r="R2273">
        <v>0.35172952453650602</v>
      </c>
      <c r="S2273">
        <v>12.896386652475799</v>
      </c>
      <c r="T2273">
        <v>-0.93684519528663102</v>
      </c>
      <c r="U2273">
        <v>-6.1999751621205998</v>
      </c>
      <c r="V2273">
        <v>0.36747013141021101</v>
      </c>
      <c r="W2273">
        <v>0.64287516538108902</v>
      </c>
      <c r="X2273">
        <v>0</v>
      </c>
      <c r="Y2273">
        <v>0</v>
      </c>
    </row>
    <row r="2274" spans="1:25" x14ac:dyDescent="0.2">
      <c r="A2274" t="s">
        <v>8527</v>
      </c>
      <c r="B2274" t="s">
        <v>8528</v>
      </c>
      <c r="C2274" t="s">
        <v>14458</v>
      </c>
      <c r="D2274" t="s">
        <v>323</v>
      </c>
      <c r="E2274" t="s">
        <v>8528</v>
      </c>
      <c r="F2274" t="s">
        <v>28</v>
      </c>
      <c r="G2274" t="s">
        <v>8528</v>
      </c>
      <c r="H2274" t="str">
        <f>"F31F6.1"</f>
        <v>F31F6.1</v>
      </c>
      <c r="I2274" t="s">
        <v>323</v>
      </c>
      <c r="J2274" t="s">
        <v>29</v>
      </c>
      <c r="K2274" t="s">
        <v>29</v>
      </c>
      <c r="L2274" t="s">
        <v>29</v>
      </c>
      <c r="M2274" t="s">
        <v>29</v>
      </c>
      <c r="N2274" t="s">
        <v>29</v>
      </c>
      <c r="O2274" t="s">
        <v>29</v>
      </c>
      <c r="P2274" t="s">
        <v>29</v>
      </c>
      <c r="Q2274" t="s">
        <v>29</v>
      </c>
      <c r="R2274" t="s">
        <v>29</v>
      </c>
      <c r="S2274">
        <v>11.222992523784001</v>
      </c>
      <c r="T2274" t="s">
        <v>29</v>
      </c>
      <c r="U2274" t="s">
        <v>29</v>
      </c>
      <c r="V2274" t="s">
        <v>29</v>
      </c>
      <c r="W2274" t="s">
        <v>29</v>
      </c>
      <c r="X2274" t="s">
        <v>29</v>
      </c>
      <c r="Y2274" t="s">
        <v>29</v>
      </c>
    </row>
    <row r="2275" spans="1:25" x14ac:dyDescent="0.2">
      <c r="A2275" t="s">
        <v>8529</v>
      </c>
      <c r="B2275" t="s">
        <v>8530</v>
      </c>
      <c r="C2275" t="s">
        <v>8531</v>
      </c>
      <c r="D2275" t="s">
        <v>8532</v>
      </c>
      <c r="E2275" t="s">
        <v>8530</v>
      </c>
      <c r="F2275" t="s">
        <v>28</v>
      </c>
      <c r="G2275" t="s">
        <v>8530</v>
      </c>
      <c r="H2275" t="str">
        <f>"lsm-4"</f>
        <v>lsm-4</v>
      </c>
      <c r="I2275" t="s">
        <v>8532</v>
      </c>
      <c r="J2275">
        <v>12.909083083827699</v>
      </c>
      <c r="K2275">
        <v>12.360720397797699</v>
      </c>
      <c r="L2275" t="s">
        <v>29</v>
      </c>
      <c r="M2275" t="s">
        <v>29</v>
      </c>
      <c r="N2275">
        <v>13.589507899376301</v>
      </c>
      <c r="O2275">
        <v>12.6764700792895</v>
      </c>
      <c r="P2275">
        <v>0.49808724852022801</v>
      </c>
      <c r="Q2275">
        <v>-0.44100989380394201</v>
      </c>
      <c r="R2275">
        <v>1.4371843908444</v>
      </c>
      <c r="S2275">
        <v>11.884025541608301</v>
      </c>
      <c r="T2275">
        <v>1.25805149664724</v>
      </c>
      <c r="U2275">
        <v>-6.0453998290156399</v>
      </c>
      <c r="V2275">
        <v>0.24930024407550599</v>
      </c>
      <c r="W2275">
        <v>0.52370754952982401</v>
      </c>
      <c r="X2275">
        <v>0</v>
      </c>
      <c r="Y2275">
        <v>0</v>
      </c>
    </row>
    <row r="2276" spans="1:25" x14ac:dyDescent="0.2">
      <c r="A2276" t="s">
        <v>8533</v>
      </c>
      <c r="B2276" t="s">
        <v>8534</v>
      </c>
      <c r="C2276" t="s">
        <v>14459</v>
      </c>
      <c r="D2276" t="s">
        <v>8535</v>
      </c>
      <c r="E2276" t="s">
        <v>8534</v>
      </c>
      <c r="F2276" t="s">
        <v>28</v>
      </c>
      <c r="G2276" t="s">
        <v>8534</v>
      </c>
      <c r="H2276" t="str">
        <f>"F32D8.4"</f>
        <v>F32D8.4</v>
      </c>
      <c r="I2276" t="s">
        <v>8535</v>
      </c>
      <c r="J2276">
        <v>13.2107834055025</v>
      </c>
      <c r="K2276">
        <v>13.7208014434619</v>
      </c>
      <c r="L2276">
        <v>13.258586451609901</v>
      </c>
      <c r="M2276">
        <v>13.4573095259619</v>
      </c>
      <c r="N2276">
        <v>13.517266891318499</v>
      </c>
      <c r="O2276">
        <v>13.570822108930701</v>
      </c>
      <c r="P2276">
        <v>0.11840907521223799</v>
      </c>
      <c r="Q2276">
        <v>-0.27751005933734901</v>
      </c>
      <c r="R2276">
        <v>0.51432820976182403</v>
      </c>
      <c r="S2276">
        <v>13.277846135481401</v>
      </c>
      <c r="T2276">
        <v>0.63434866114993305</v>
      </c>
      <c r="U2276">
        <v>-6.8424618515843001</v>
      </c>
      <c r="V2276">
        <v>0.534877258538349</v>
      </c>
      <c r="W2276">
        <v>0.77492902906669103</v>
      </c>
      <c r="X2276">
        <v>0</v>
      </c>
      <c r="Y2276">
        <v>0</v>
      </c>
    </row>
    <row r="2277" spans="1:25" x14ac:dyDescent="0.2">
      <c r="A2277" t="s">
        <v>8536</v>
      </c>
      <c r="B2277" t="s">
        <v>8537</v>
      </c>
      <c r="C2277" t="s">
        <v>8538</v>
      </c>
      <c r="D2277" t="s">
        <v>8539</v>
      </c>
      <c r="E2277" t="s">
        <v>8537</v>
      </c>
      <c r="F2277" t="s">
        <v>28</v>
      </c>
      <c r="G2277" t="s">
        <v>8537</v>
      </c>
      <c r="H2277" t="str">
        <f>"sec-61.G"</f>
        <v>sec-61.G</v>
      </c>
      <c r="I2277" t="s">
        <v>8539</v>
      </c>
      <c r="J2277">
        <v>13.5123519323185</v>
      </c>
      <c r="K2277">
        <v>14.399471657741699</v>
      </c>
      <c r="L2277">
        <v>14.5374665576593</v>
      </c>
      <c r="M2277">
        <v>14.037028964058701</v>
      </c>
      <c r="N2277">
        <v>13.639835189218299</v>
      </c>
      <c r="O2277">
        <v>14.1773728410791</v>
      </c>
      <c r="P2277">
        <v>-0.198351051121124</v>
      </c>
      <c r="Q2277">
        <v>-0.92000603244638501</v>
      </c>
      <c r="R2277">
        <v>0.52330393020413701</v>
      </c>
      <c r="S2277">
        <v>14.537708812765</v>
      </c>
      <c r="T2277">
        <v>-0.57769339974572698</v>
      </c>
      <c r="U2277">
        <v>-6.87881350613464</v>
      </c>
      <c r="V2277">
        <v>0.57066930608421895</v>
      </c>
      <c r="W2277">
        <v>0.79228175446260796</v>
      </c>
      <c r="X2277">
        <v>0</v>
      </c>
      <c r="Y2277">
        <v>0</v>
      </c>
    </row>
    <row r="2278" spans="1:25" x14ac:dyDescent="0.2">
      <c r="A2278" t="s">
        <v>8540</v>
      </c>
      <c r="B2278" t="s">
        <v>8541</v>
      </c>
      <c r="C2278" t="s">
        <v>8542</v>
      </c>
      <c r="D2278" t="s">
        <v>8543</v>
      </c>
      <c r="E2278" t="s">
        <v>8541</v>
      </c>
      <c r="F2278" t="s">
        <v>28</v>
      </c>
      <c r="G2278" t="s">
        <v>8541</v>
      </c>
      <c r="H2278" t="str">
        <f>"ima-3"</f>
        <v>ima-3</v>
      </c>
      <c r="I2278" t="s">
        <v>8543</v>
      </c>
      <c r="J2278">
        <v>16.255476680953201</v>
      </c>
      <c r="K2278">
        <v>16.318266709624201</v>
      </c>
      <c r="L2278">
        <v>16.325307718867101</v>
      </c>
      <c r="M2278">
        <v>16.898090880735499</v>
      </c>
      <c r="N2278">
        <v>16.832026589625801</v>
      </c>
      <c r="O2278">
        <v>16.349334772046099</v>
      </c>
      <c r="P2278">
        <v>0.39346704432100299</v>
      </c>
      <c r="Q2278">
        <v>-9.1534105011320505E-2</v>
      </c>
      <c r="R2278">
        <v>0.87846819365332696</v>
      </c>
      <c r="S2278">
        <v>16.352062882389198</v>
      </c>
      <c r="T2278">
        <v>1.70513240636578</v>
      </c>
      <c r="U2278">
        <v>-5.6410240596555301</v>
      </c>
      <c r="V2278">
        <v>0.105467757502039</v>
      </c>
      <c r="W2278">
        <v>0.33598199429888698</v>
      </c>
      <c r="X2278">
        <v>0</v>
      </c>
      <c r="Y2278">
        <v>0</v>
      </c>
    </row>
    <row r="2279" spans="1:25" x14ac:dyDescent="0.2">
      <c r="A2279" t="s">
        <v>8544</v>
      </c>
      <c r="B2279" t="s">
        <v>8545</v>
      </c>
      <c r="C2279" t="s">
        <v>8546</v>
      </c>
      <c r="D2279" t="s">
        <v>8547</v>
      </c>
      <c r="E2279" t="s">
        <v>8545</v>
      </c>
      <c r="F2279" t="s">
        <v>28</v>
      </c>
      <c r="G2279" t="s">
        <v>8545</v>
      </c>
      <c r="H2279" t="str">
        <f>"cec-4"</f>
        <v>cec-4</v>
      </c>
      <c r="I2279" t="s">
        <v>8547</v>
      </c>
      <c r="J2279">
        <v>10.7714048159953</v>
      </c>
      <c r="K2279" t="s">
        <v>29</v>
      </c>
      <c r="L2279">
        <v>10.756736470652401</v>
      </c>
      <c r="M2279">
        <v>10.0956698409097</v>
      </c>
      <c r="N2279" t="s">
        <v>29</v>
      </c>
      <c r="O2279">
        <v>10.2316516392907</v>
      </c>
      <c r="P2279">
        <v>-0.60040990322362797</v>
      </c>
      <c r="Q2279">
        <v>-1.1803966431653099</v>
      </c>
      <c r="R2279">
        <v>-2.0423163281944899E-2</v>
      </c>
      <c r="S2279">
        <v>11.5913101593767</v>
      </c>
      <c r="T2279">
        <v>-2.2218855021758501</v>
      </c>
      <c r="U2279">
        <v>-4.6160062060324796</v>
      </c>
      <c r="V2279">
        <v>4.3420193299603803E-2</v>
      </c>
      <c r="W2279">
        <v>0.20650322591946799</v>
      </c>
      <c r="X2279">
        <v>0</v>
      </c>
      <c r="Y2279">
        <v>0</v>
      </c>
    </row>
    <row r="2280" spans="1:25" x14ac:dyDescent="0.2">
      <c r="A2280" t="s">
        <v>8548</v>
      </c>
      <c r="B2280" t="s">
        <v>8549</v>
      </c>
      <c r="C2280" t="s">
        <v>8550</v>
      </c>
      <c r="D2280" t="s">
        <v>3680</v>
      </c>
      <c r="E2280" t="s">
        <v>8549</v>
      </c>
      <c r="F2280" t="s">
        <v>28</v>
      </c>
      <c r="G2280" t="s">
        <v>8549</v>
      </c>
      <c r="H2280" t="str">
        <f>"cec-5"</f>
        <v>cec-5</v>
      </c>
      <c r="I2280" t="s">
        <v>3680</v>
      </c>
      <c r="J2280">
        <v>13.963365427567799</v>
      </c>
      <c r="K2280">
        <v>15.030845387482501</v>
      </c>
      <c r="L2280">
        <v>15.3090003240954</v>
      </c>
      <c r="M2280">
        <v>15.756419847223301</v>
      </c>
      <c r="N2280">
        <v>14.756701528811501</v>
      </c>
      <c r="O2280">
        <v>15.312612101577001</v>
      </c>
      <c r="P2280">
        <v>0.50750744615532295</v>
      </c>
      <c r="Q2280">
        <v>-0.28403844605116402</v>
      </c>
      <c r="R2280">
        <v>1.2990533383618099</v>
      </c>
      <c r="S2280">
        <v>15.6141989929801</v>
      </c>
      <c r="T2280">
        <v>1.3475932666356001</v>
      </c>
      <c r="U2280">
        <v>-6.1459678333504604</v>
      </c>
      <c r="V2280">
        <v>0.19460431139690701</v>
      </c>
      <c r="W2280">
        <v>0.45657835652040002</v>
      </c>
      <c r="X2280">
        <v>0</v>
      </c>
      <c r="Y2280">
        <v>0</v>
      </c>
    </row>
    <row r="2281" spans="1:25" x14ac:dyDescent="0.2">
      <c r="A2281" t="s">
        <v>8551</v>
      </c>
      <c r="B2281" t="s">
        <v>8552</v>
      </c>
      <c r="C2281" t="s">
        <v>8553</v>
      </c>
      <c r="D2281" t="s">
        <v>8554</v>
      </c>
      <c r="E2281" t="s">
        <v>8552</v>
      </c>
      <c r="F2281" t="s">
        <v>28</v>
      </c>
      <c r="G2281" t="s">
        <v>8552</v>
      </c>
      <c r="H2281" t="str">
        <f>"nol-10"</f>
        <v>nol-10</v>
      </c>
      <c r="I2281" t="s">
        <v>8554</v>
      </c>
      <c r="J2281">
        <v>12.1515905215656</v>
      </c>
      <c r="K2281">
        <v>12.093400980200199</v>
      </c>
      <c r="L2281">
        <v>12.426109126619201</v>
      </c>
      <c r="M2281">
        <v>11.6308511556567</v>
      </c>
      <c r="N2281">
        <v>11.8165128921021</v>
      </c>
      <c r="O2281">
        <v>12.0664785834038</v>
      </c>
      <c r="P2281">
        <v>-0.38575266574080302</v>
      </c>
      <c r="Q2281">
        <v>-0.80157670310822404</v>
      </c>
      <c r="R2281">
        <v>3.0071371626618E-2</v>
      </c>
      <c r="S2281">
        <v>12.4716731016927</v>
      </c>
      <c r="T2281">
        <v>-1.95816533594551</v>
      </c>
      <c r="U2281">
        <v>-5.2369019487850403</v>
      </c>
      <c r="V2281">
        <v>6.6933654674090695E-2</v>
      </c>
      <c r="W2281">
        <v>0.26209640470456202</v>
      </c>
      <c r="X2281">
        <v>0</v>
      </c>
      <c r="Y2281">
        <v>0</v>
      </c>
    </row>
    <row r="2282" spans="1:25" x14ac:dyDescent="0.2">
      <c r="A2282" t="s">
        <v>8555</v>
      </c>
      <c r="B2282" t="s">
        <v>8556</v>
      </c>
      <c r="C2282" t="s">
        <v>14460</v>
      </c>
      <c r="D2282" t="s">
        <v>8557</v>
      </c>
      <c r="E2282" t="s">
        <v>8556</v>
      </c>
      <c r="F2282" t="s">
        <v>28</v>
      </c>
      <c r="G2282" t="s">
        <v>8556</v>
      </c>
      <c r="H2282" t="str">
        <f>"F33G12.3"</f>
        <v>F33G12.3</v>
      </c>
      <c r="I2282" t="s">
        <v>8557</v>
      </c>
      <c r="J2282">
        <v>12.471454706886099</v>
      </c>
      <c r="K2282">
        <v>12.572958841063301</v>
      </c>
      <c r="L2282">
        <v>12.093112967982099</v>
      </c>
      <c r="M2282">
        <v>12.1338406040965</v>
      </c>
      <c r="N2282">
        <v>12.575524544871</v>
      </c>
      <c r="O2282">
        <v>12.755576231109499</v>
      </c>
      <c r="P2282">
        <v>0.10913828804852301</v>
      </c>
      <c r="Q2282">
        <v>-0.43962661777448098</v>
      </c>
      <c r="R2282">
        <v>0.65790319387152796</v>
      </c>
      <c r="S2282">
        <v>12.526263758114601</v>
      </c>
      <c r="T2282">
        <v>0.41979843996374899</v>
      </c>
      <c r="U2282">
        <v>-6.9599243841587501</v>
      </c>
      <c r="V2282">
        <v>0.67992262700601303</v>
      </c>
      <c r="W2282">
        <v>0.85722167970248597</v>
      </c>
      <c r="X2282">
        <v>0</v>
      </c>
      <c r="Y2282">
        <v>0</v>
      </c>
    </row>
    <row r="2283" spans="1:25" x14ac:dyDescent="0.2">
      <c r="A2283" t="s">
        <v>8558</v>
      </c>
      <c r="B2283" t="s">
        <v>8559</v>
      </c>
      <c r="C2283" t="s">
        <v>14461</v>
      </c>
      <c r="D2283" t="s">
        <v>130</v>
      </c>
      <c r="E2283" t="s">
        <v>8559</v>
      </c>
      <c r="F2283" t="s">
        <v>28</v>
      </c>
      <c r="G2283" t="s">
        <v>8559</v>
      </c>
      <c r="H2283" t="str">
        <f>"F33H1.4"</f>
        <v>F33H1.4</v>
      </c>
      <c r="I2283" t="s">
        <v>130</v>
      </c>
      <c r="J2283" t="s">
        <v>29</v>
      </c>
      <c r="K2283" t="s">
        <v>29</v>
      </c>
      <c r="L2283">
        <v>12.2819969722749</v>
      </c>
      <c r="M2283" t="s">
        <v>29</v>
      </c>
      <c r="N2283" t="s">
        <v>29</v>
      </c>
      <c r="O2283" t="s">
        <v>29</v>
      </c>
      <c r="P2283" t="s">
        <v>29</v>
      </c>
      <c r="Q2283" t="s">
        <v>29</v>
      </c>
      <c r="R2283" t="s">
        <v>29</v>
      </c>
      <c r="S2283">
        <v>13.212882004881401</v>
      </c>
      <c r="T2283" t="s">
        <v>29</v>
      </c>
      <c r="U2283" t="s">
        <v>29</v>
      </c>
      <c r="V2283" t="s">
        <v>29</v>
      </c>
      <c r="W2283" t="s">
        <v>29</v>
      </c>
      <c r="X2283" t="s">
        <v>29</v>
      </c>
      <c r="Y2283" t="s">
        <v>29</v>
      </c>
    </row>
    <row r="2284" spans="1:25" x14ac:dyDescent="0.2">
      <c r="A2284" t="s">
        <v>8560</v>
      </c>
      <c r="B2284" t="s">
        <v>8561</v>
      </c>
      <c r="C2284" t="s">
        <v>14462</v>
      </c>
      <c r="D2284" t="s">
        <v>130</v>
      </c>
      <c r="E2284" t="s">
        <v>8561</v>
      </c>
      <c r="F2284" t="s">
        <v>28</v>
      </c>
      <c r="G2284" t="s">
        <v>8561</v>
      </c>
      <c r="H2284" t="str">
        <f>"F34D10.4"</f>
        <v>F34D10.4</v>
      </c>
      <c r="I2284" t="s">
        <v>130</v>
      </c>
      <c r="J2284">
        <v>13.0147144913378</v>
      </c>
      <c r="K2284">
        <v>13.050677390946699</v>
      </c>
      <c r="L2284">
        <v>13.408580090188099</v>
      </c>
      <c r="M2284">
        <v>12.583800336606499</v>
      </c>
      <c r="N2284">
        <v>12.475340661976899</v>
      </c>
      <c r="O2284">
        <v>13.0055253064077</v>
      </c>
      <c r="P2284">
        <v>-0.46976855582714999</v>
      </c>
      <c r="Q2284">
        <v>-1.0970008842846699</v>
      </c>
      <c r="R2284">
        <v>0.15746377263036901</v>
      </c>
      <c r="S2284">
        <v>13.0926447734567</v>
      </c>
      <c r="T2284">
        <v>-1.5809040878738301</v>
      </c>
      <c r="U2284">
        <v>-5.82741006957444</v>
      </c>
      <c r="V2284">
        <v>0.13243862080189001</v>
      </c>
      <c r="W2284">
        <v>0.37670915392425802</v>
      </c>
      <c r="X2284">
        <v>0</v>
      </c>
      <c r="Y2284">
        <v>0</v>
      </c>
    </row>
    <row r="2285" spans="1:25" x14ac:dyDescent="0.2">
      <c r="A2285" t="s">
        <v>8562</v>
      </c>
      <c r="B2285" t="s">
        <v>8563</v>
      </c>
      <c r="C2285" t="s">
        <v>14463</v>
      </c>
      <c r="D2285" t="s">
        <v>319</v>
      </c>
      <c r="E2285" t="s">
        <v>8563</v>
      </c>
      <c r="F2285" t="s">
        <v>28</v>
      </c>
      <c r="G2285" t="s">
        <v>8563</v>
      </c>
      <c r="H2285" t="str">
        <f>"F10G7.5"</f>
        <v>F10G7.5</v>
      </c>
      <c r="I2285" t="s">
        <v>319</v>
      </c>
      <c r="J2285">
        <v>12.3940238463941</v>
      </c>
      <c r="K2285">
        <v>11.802148891227599</v>
      </c>
      <c r="L2285">
        <v>12.537250935060801</v>
      </c>
      <c r="M2285">
        <v>11.693928512638401</v>
      </c>
      <c r="N2285">
        <v>11.6586238829144</v>
      </c>
      <c r="O2285">
        <v>11.936518665152001</v>
      </c>
      <c r="P2285">
        <v>-0.481450870659275</v>
      </c>
      <c r="Q2285">
        <v>-1.06177100838139</v>
      </c>
      <c r="R2285">
        <v>9.8869267062835206E-2</v>
      </c>
      <c r="S2285">
        <v>12.3081162257833</v>
      </c>
      <c r="T2285">
        <v>-1.75968067637384</v>
      </c>
      <c r="U2285">
        <v>-5.5606286649363401</v>
      </c>
      <c r="V2285">
        <v>9.7690483972983105E-2</v>
      </c>
      <c r="W2285">
        <v>0.32239841262483498</v>
      </c>
      <c r="X2285">
        <v>0</v>
      </c>
      <c r="Y2285">
        <v>0</v>
      </c>
    </row>
    <row r="2286" spans="1:25" x14ac:dyDescent="0.2">
      <c r="A2286" t="s">
        <v>8564</v>
      </c>
      <c r="B2286" t="s">
        <v>8565</v>
      </c>
      <c r="C2286" t="s">
        <v>14464</v>
      </c>
      <c r="D2286" t="s">
        <v>8566</v>
      </c>
      <c r="E2286" t="s">
        <v>8565</v>
      </c>
      <c r="F2286" t="s">
        <v>28</v>
      </c>
      <c r="G2286" t="s">
        <v>8565</v>
      </c>
      <c r="H2286" t="str">
        <f>"D2021.4"</f>
        <v>D2021.4</v>
      </c>
      <c r="I2286" t="s">
        <v>8566</v>
      </c>
      <c r="J2286">
        <v>11.8389992757988</v>
      </c>
      <c r="K2286">
        <v>11.483928298671399</v>
      </c>
      <c r="L2286">
        <v>11.9611481926468</v>
      </c>
      <c r="M2286">
        <v>11.813160169453999</v>
      </c>
      <c r="N2286">
        <v>11.889762097003601</v>
      </c>
      <c r="O2286">
        <v>12.2460659308466</v>
      </c>
      <c r="P2286">
        <v>0.22163747672905601</v>
      </c>
      <c r="Q2286">
        <v>-0.41479596537750901</v>
      </c>
      <c r="R2286">
        <v>0.85807091883562103</v>
      </c>
      <c r="S2286">
        <v>11.557435636037701</v>
      </c>
      <c r="T2286">
        <v>0.74744991691204898</v>
      </c>
      <c r="U2286">
        <v>-6.7607040799644</v>
      </c>
      <c r="V2286">
        <v>0.46725355911586203</v>
      </c>
      <c r="W2286">
        <v>0.73153117908080401</v>
      </c>
      <c r="X2286">
        <v>0</v>
      </c>
      <c r="Y2286">
        <v>0</v>
      </c>
    </row>
    <row r="2287" spans="1:25" x14ac:dyDescent="0.2">
      <c r="A2287" t="s">
        <v>8567</v>
      </c>
      <c r="B2287" t="s">
        <v>8568</v>
      </c>
      <c r="C2287" t="s">
        <v>8569</v>
      </c>
      <c r="D2287" t="s">
        <v>8570</v>
      </c>
      <c r="E2287" t="s">
        <v>8568</v>
      </c>
      <c r="F2287" t="s">
        <v>28</v>
      </c>
      <c r="G2287" t="s">
        <v>8568</v>
      </c>
      <c r="H2287" t="str">
        <f>"rps-24"</f>
        <v>rps-24</v>
      </c>
      <c r="I2287" t="s">
        <v>8570</v>
      </c>
      <c r="J2287">
        <v>18.685152560784399</v>
      </c>
      <c r="K2287">
        <v>18.909484105060201</v>
      </c>
      <c r="L2287">
        <v>18.965408623928301</v>
      </c>
      <c r="M2287">
        <v>18.8289950306912</v>
      </c>
      <c r="N2287">
        <v>18.751235020152102</v>
      </c>
      <c r="O2287">
        <v>18.341057897754901</v>
      </c>
      <c r="P2287">
        <v>-0.21291911372488301</v>
      </c>
      <c r="Q2287">
        <v>-0.59061567952170801</v>
      </c>
      <c r="R2287">
        <v>0.164777452071942</v>
      </c>
      <c r="S2287">
        <v>18.769800792319302</v>
      </c>
      <c r="T2287">
        <v>-1.1848520570727701</v>
      </c>
      <c r="U2287">
        <v>-6.3440011920484896</v>
      </c>
      <c r="V2287">
        <v>0.25157356269592002</v>
      </c>
      <c r="W2287">
        <v>0.52678273681629495</v>
      </c>
      <c r="X2287">
        <v>0</v>
      </c>
      <c r="Y2287">
        <v>0</v>
      </c>
    </row>
    <row r="2288" spans="1:25" x14ac:dyDescent="0.2">
      <c r="A2288" t="s">
        <v>8571</v>
      </c>
      <c r="B2288" t="s">
        <v>8572</v>
      </c>
      <c r="C2288" t="s">
        <v>8573</v>
      </c>
      <c r="D2288" t="s">
        <v>8574</v>
      </c>
      <c r="E2288" t="s">
        <v>8572</v>
      </c>
      <c r="F2288" t="s">
        <v>28</v>
      </c>
      <c r="G2288" t="s">
        <v>8572</v>
      </c>
      <c r="H2288" t="str">
        <f>"sas-5"</f>
        <v>sas-5</v>
      </c>
      <c r="I2288" t="s">
        <v>8574</v>
      </c>
      <c r="J2288">
        <v>11.88901382907</v>
      </c>
      <c r="K2288">
        <v>12.4371464076176</v>
      </c>
      <c r="L2288">
        <v>12.1942763807209</v>
      </c>
      <c r="M2288" t="s">
        <v>29</v>
      </c>
      <c r="N2288">
        <v>12.473144182925299</v>
      </c>
      <c r="O2288" t="s">
        <v>29</v>
      </c>
      <c r="P2288">
        <v>0.299665310455833</v>
      </c>
      <c r="Q2288">
        <v>-0.26888336286258702</v>
      </c>
      <c r="R2288">
        <v>0.86821398377425296</v>
      </c>
      <c r="S2288">
        <v>13.013080400243799</v>
      </c>
      <c r="T2288">
        <v>1.14951285818585</v>
      </c>
      <c r="U2288">
        <v>-6.0404335736880101</v>
      </c>
      <c r="V2288">
        <v>0.27293278197672899</v>
      </c>
      <c r="W2288">
        <v>0.54992153099212204</v>
      </c>
      <c r="X2288">
        <v>0</v>
      </c>
      <c r="Y2288">
        <v>0</v>
      </c>
    </row>
    <row r="2289" spans="1:25" x14ac:dyDescent="0.2">
      <c r="A2289" t="s">
        <v>8575</v>
      </c>
      <c r="B2289" t="s">
        <v>8576</v>
      </c>
      <c r="C2289" t="s">
        <v>8577</v>
      </c>
      <c r="D2289" t="s">
        <v>8578</v>
      </c>
      <c r="E2289" t="s">
        <v>8576</v>
      </c>
      <c r="F2289" t="s">
        <v>28</v>
      </c>
      <c r="G2289" t="s">
        <v>8576</v>
      </c>
      <c r="H2289" t="str">
        <f>"dhs-20"</f>
        <v>dhs-20</v>
      </c>
      <c r="I2289" t="s">
        <v>8578</v>
      </c>
      <c r="J2289">
        <v>15.0339239542334</v>
      </c>
      <c r="K2289">
        <v>14.7376120962995</v>
      </c>
      <c r="L2289">
        <v>14.3446120390853</v>
      </c>
      <c r="M2289">
        <v>14.8335393728097</v>
      </c>
      <c r="N2289">
        <v>14.9169063868906</v>
      </c>
      <c r="O2289">
        <v>14.659432356506301</v>
      </c>
      <c r="P2289">
        <v>9.7910008862758205E-2</v>
      </c>
      <c r="Q2289">
        <v>-0.29738339868456198</v>
      </c>
      <c r="R2289">
        <v>0.49320341641007798</v>
      </c>
      <c r="S2289">
        <v>14.266591514644301</v>
      </c>
      <c r="T2289">
        <v>0.522826427028243</v>
      </c>
      <c r="U2289">
        <v>-6.9095447459985397</v>
      </c>
      <c r="V2289">
        <v>0.60788398114280495</v>
      </c>
      <c r="W2289">
        <v>0.81404604878396503</v>
      </c>
      <c r="X2289">
        <v>0</v>
      </c>
      <c r="Y2289">
        <v>0</v>
      </c>
    </row>
    <row r="2290" spans="1:25" x14ac:dyDescent="0.2">
      <c r="A2290" t="s">
        <v>8579</v>
      </c>
      <c r="B2290" t="s">
        <v>8580</v>
      </c>
      <c r="C2290" t="s">
        <v>8581</v>
      </c>
      <c r="D2290" t="s">
        <v>8582</v>
      </c>
      <c r="E2290" t="s">
        <v>8580</v>
      </c>
      <c r="F2290" t="s">
        <v>28</v>
      </c>
      <c r="G2290" t="s">
        <v>8580</v>
      </c>
      <c r="H2290" t="str">
        <f>"F35C8.5"</f>
        <v>F35C8.5</v>
      </c>
      <c r="I2290" t="s">
        <v>8582</v>
      </c>
      <c r="J2290">
        <v>14.038239870105899</v>
      </c>
      <c r="K2290">
        <v>14.2492020766219</v>
      </c>
      <c r="L2290">
        <v>14.083357914311</v>
      </c>
      <c r="M2290">
        <v>13.902604101600501</v>
      </c>
      <c r="N2290">
        <v>13.490393165493799</v>
      </c>
      <c r="O2290">
        <v>13.305238193343101</v>
      </c>
      <c r="P2290">
        <v>-0.55752146686709902</v>
      </c>
      <c r="Q2290">
        <v>-1.04115454620088</v>
      </c>
      <c r="R2290">
        <v>-7.3888387533317404E-2</v>
      </c>
      <c r="S2290">
        <v>14.0164108554793</v>
      </c>
      <c r="T2290">
        <v>-2.43329973832539</v>
      </c>
      <c r="U2290">
        <v>-4.3868781462156701</v>
      </c>
      <c r="V2290">
        <v>2.6367078671610301E-2</v>
      </c>
      <c r="W2290">
        <v>0.15902322689510101</v>
      </c>
      <c r="X2290">
        <v>0</v>
      </c>
      <c r="Y2290">
        <v>0</v>
      </c>
    </row>
    <row r="2291" spans="1:25" x14ac:dyDescent="0.2">
      <c r="A2291" t="s">
        <v>8583</v>
      </c>
      <c r="B2291" t="s">
        <v>8584</v>
      </c>
      <c r="C2291" t="s">
        <v>14465</v>
      </c>
      <c r="D2291" t="s">
        <v>8585</v>
      </c>
      <c r="E2291" t="s">
        <v>8584</v>
      </c>
      <c r="F2291" t="s">
        <v>28</v>
      </c>
      <c r="G2291" t="s">
        <v>8584</v>
      </c>
      <c r="H2291" t="str">
        <f>"F35D11.4"</f>
        <v>F35D11.4</v>
      </c>
      <c r="I2291" t="s">
        <v>8585</v>
      </c>
      <c r="J2291">
        <v>16.670032797751801</v>
      </c>
      <c r="K2291" t="s">
        <v>29</v>
      </c>
      <c r="L2291" t="s">
        <v>29</v>
      </c>
      <c r="M2291" t="s">
        <v>29</v>
      </c>
      <c r="N2291">
        <v>15.4173676570305</v>
      </c>
      <c r="O2291" t="s">
        <v>29</v>
      </c>
      <c r="P2291">
        <v>-1.2526651407212901</v>
      </c>
      <c r="Q2291">
        <v>-3.8653821967219701</v>
      </c>
      <c r="R2291">
        <v>1.36005191527938</v>
      </c>
      <c r="S2291">
        <v>15.1178018714483</v>
      </c>
      <c r="T2291">
        <v>-1.05650195477841</v>
      </c>
      <c r="U2291">
        <v>-5.9431942874764596</v>
      </c>
      <c r="V2291">
        <v>0.31360281062453599</v>
      </c>
      <c r="W2291">
        <v>0.59095856748367503</v>
      </c>
      <c r="X2291">
        <v>0</v>
      </c>
      <c r="Y2291">
        <v>0</v>
      </c>
    </row>
    <row r="2292" spans="1:25" x14ac:dyDescent="0.2">
      <c r="A2292" t="s">
        <v>8586</v>
      </c>
      <c r="B2292" t="s">
        <v>8587</v>
      </c>
      <c r="C2292" t="s">
        <v>8588</v>
      </c>
      <c r="D2292" t="s">
        <v>2334</v>
      </c>
      <c r="E2292" t="s">
        <v>8587</v>
      </c>
      <c r="F2292" t="s">
        <v>28</v>
      </c>
      <c r="G2292" t="s">
        <v>8587</v>
      </c>
      <c r="H2292" t="str">
        <f>"clec-139"</f>
        <v>clec-139</v>
      </c>
      <c r="I2292" t="s">
        <v>2334</v>
      </c>
      <c r="J2292">
        <v>12.9820510509314</v>
      </c>
      <c r="K2292">
        <v>17.196929098030999</v>
      </c>
      <c r="L2292" t="s">
        <v>29</v>
      </c>
      <c r="M2292">
        <v>11.2038397516095</v>
      </c>
      <c r="N2292">
        <v>13.664910885953301</v>
      </c>
      <c r="O2292">
        <v>13.918950613462201</v>
      </c>
      <c r="P2292">
        <v>-2.1602563241395298</v>
      </c>
      <c r="Q2292">
        <v>-4.6828237133307802</v>
      </c>
      <c r="R2292">
        <v>0.362311065051731</v>
      </c>
      <c r="S2292">
        <v>13.6107255130211</v>
      </c>
      <c r="T2292">
        <v>-1.8677017283420301</v>
      </c>
      <c r="U2292">
        <v>-5.3006613723927201</v>
      </c>
      <c r="V2292">
        <v>8.6627788574990094E-2</v>
      </c>
      <c r="W2292">
        <v>0.30188911217609299</v>
      </c>
      <c r="X2292">
        <v>0</v>
      </c>
      <c r="Y2292">
        <v>0</v>
      </c>
    </row>
    <row r="2293" spans="1:25" x14ac:dyDescent="0.2">
      <c r="A2293" t="s">
        <v>8589</v>
      </c>
      <c r="B2293" t="s">
        <v>8590</v>
      </c>
      <c r="C2293" t="s">
        <v>8591</v>
      </c>
      <c r="D2293" t="s">
        <v>8592</v>
      </c>
      <c r="E2293" t="s">
        <v>8590</v>
      </c>
      <c r="F2293" t="s">
        <v>28</v>
      </c>
      <c r="G2293" t="s">
        <v>8590</v>
      </c>
      <c r="H2293" t="str">
        <f>"mlcd-1"</f>
        <v>mlcd-1</v>
      </c>
      <c r="I2293" t="s">
        <v>8592</v>
      </c>
      <c r="J2293">
        <v>14.056774565879</v>
      </c>
      <c r="K2293">
        <v>14.3215042641694</v>
      </c>
      <c r="L2293">
        <v>13.6367805119992</v>
      </c>
      <c r="M2293">
        <v>14.1136634253615</v>
      </c>
      <c r="N2293">
        <v>14.477401381914399</v>
      </c>
      <c r="O2293">
        <v>13.966677630406</v>
      </c>
      <c r="P2293">
        <v>0.180894365211415</v>
      </c>
      <c r="Q2293">
        <v>-0.36027140220391302</v>
      </c>
      <c r="R2293">
        <v>0.72206013262674296</v>
      </c>
      <c r="S2293">
        <v>13.662688299460701</v>
      </c>
      <c r="T2293">
        <v>0.70899676272460299</v>
      </c>
      <c r="U2293">
        <v>-6.79103477628977</v>
      </c>
      <c r="V2293">
        <v>0.48859599751148303</v>
      </c>
      <c r="W2293">
        <v>0.74195019062289802</v>
      </c>
      <c r="X2293">
        <v>0</v>
      </c>
      <c r="Y2293">
        <v>0</v>
      </c>
    </row>
    <row r="2294" spans="1:25" x14ac:dyDescent="0.2">
      <c r="A2294" t="s">
        <v>8593</v>
      </c>
      <c r="B2294" t="s">
        <v>8594</v>
      </c>
      <c r="C2294" t="s">
        <v>8595</v>
      </c>
      <c r="D2294" t="s">
        <v>8596</v>
      </c>
      <c r="E2294" t="s">
        <v>8594</v>
      </c>
      <c r="F2294" t="s">
        <v>28</v>
      </c>
      <c r="G2294" t="s">
        <v>8594</v>
      </c>
      <c r="H2294" t="str">
        <f>"idhg-1"</f>
        <v>idhg-1</v>
      </c>
      <c r="I2294" t="s">
        <v>8596</v>
      </c>
      <c r="J2294">
        <v>13.279787778586799</v>
      </c>
      <c r="K2294">
        <v>13.2268797601873</v>
      </c>
      <c r="L2294">
        <v>13.230118869960901</v>
      </c>
      <c r="M2294">
        <v>12.541856118514</v>
      </c>
      <c r="N2294">
        <v>13.449697211954099</v>
      </c>
      <c r="O2294">
        <v>13.6303827977437</v>
      </c>
      <c r="P2294">
        <v>-3.82834268410654E-2</v>
      </c>
      <c r="Q2294">
        <v>-0.78637995950483897</v>
      </c>
      <c r="R2294">
        <v>0.70981310582270896</v>
      </c>
      <c r="S2294">
        <v>13.362078554402</v>
      </c>
      <c r="T2294">
        <v>-0.10755873278334201</v>
      </c>
      <c r="U2294">
        <v>-7.0460255850429503</v>
      </c>
      <c r="V2294">
        <v>0.91554247321169202</v>
      </c>
      <c r="W2294">
        <v>0.96978359629910404</v>
      </c>
      <c r="X2294">
        <v>0</v>
      </c>
      <c r="Y2294">
        <v>0</v>
      </c>
    </row>
    <row r="2295" spans="1:25" x14ac:dyDescent="0.2">
      <c r="A2295" t="s">
        <v>8597</v>
      </c>
      <c r="B2295" t="s">
        <v>8598</v>
      </c>
      <c r="C2295" t="s">
        <v>8599</v>
      </c>
      <c r="D2295" t="s">
        <v>8600</v>
      </c>
      <c r="E2295" t="s">
        <v>8598</v>
      </c>
      <c r="F2295" t="s">
        <v>28</v>
      </c>
      <c r="G2295" t="s">
        <v>8598</v>
      </c>
      <c r="H2295" t="str">
        <f>"asb-1"</f>
        <v>asb-1</v>
      </c>
      <c r="I2295" t="s">
        <v>8600</v>
      </c>
      <c r="J2295">
        <v>15.0710860439786</v>
      </c>
      <c r="K2295">
        <v>14.4102487464733</v>
      </c>
      <c r="L2295">
        <v>14.8462071013396</v>
      </c>
      <c r="M2295">
        <v>14.5409705617505</v>
      </c>
      <c r="N2295">
        <v>15.1021596421706</v>
      </c>
      <c r="O2295">
        <v>14.860499547550299</v>
      </c>
      <c r="P2295">
        <v>5.8695953226660401E-2</v>
      </c>
      <c r="Q2295">
        <v>-0.40980198984760802</v>
      </c>
      <c r="R2295">
        <v>0.52719389630092905</v>
      </c>
      <c r="S2295">
        <v>14.725735888130499</v>
      </c>
      <c r="T2295">
        <v>0.264454209678257</v>
      </c>
      <c r="U2295">
        <v>-7.0153971412656499</v>
      </c>
      <c r="V2295">
        <v>0.794628989993718</v>
      </c>
      <c r="W2295">
        <v>0.91517844850619501</v>
      </c>
      <c r="X2295">
        <v>0</v>
      </c>
      <c r="Y2295">
        <v>0</v>
      </c>
    </row>
    <row r="2296" spans="1:25" x14ac:dyDescent="0.2">
      <c r="A2296" t="s">
        <v>8601</v>
      </c>
      <c r="B2296" t="s">
        <v>8602</v>
      </c>
      <c r="C2296" t="s">
        <v>8603</v>
      </c>
      <c r="D2296" t="s">
        <v>8604</v>
      </c>
      <c r="E2296" t="s">
        <v>8602</v>
      </c>
      <c r="F2296" t="s">
        <v>28</v>
      </c>
      <c r="G2296" t="s">
        <v>8602</v>
      </c>
      <c r="H2296" t="str">
        <f>"mab-21"</f>
        <v>mab-21</v>
      </c>
      <c r="I2296" t="s">
        <v>8604</v>
      </c>
      <c r="J2296">
        <v>11.5957432570018</v>
      </c>
      <c r="K2296" t="s">
        <v>29</v>
      </c>
      <c r="L2296">
        <v>9.9154819430485706</v>
      </c>
      <c r="M2296">
        <v>11.479469498631699</v>
      </c>
      <c r="N2296" t="s">
        <v>29</v>
      </c>
      <c r="O2296">
        <v>11.052507733689399</v>
      </c>
      <c r="P2296">
        <v>0.51037601613540895</v>
      </c>
      <c r="Q2296">
        <v>-0.75517593822765305</v>
      </c>
      <c r="R2296">
        <v>1.7759279704984701</v>
      </c>
      <c r="S2296">
        <v>10.656793074265099</v>
      </c>
      <c r="T2296">
        <v>0.95656347277978404</v>
      </c>
      <c r="U2296">
        <v>-6.3650331355261596</v>
      </c>
      <c r="V2296">
        <v>0.37111529007197802</v>
      </c>
      <c r="W2296">
        <v>0.64676515938118095</v>
      </c>
      <c r="X2296">
        <v>0</v>
      </c>
      <c r="Y2296">
        <v>0</v>
      </c>
    </row>
    <row r="2297" spans="1:25" x14ac:dyDescent="0.2">
      <c r="A2297" t="s">
        <v>8605</v>
      </c>
      <c r="B2297" t="s">
        <v>8606</v>
      </c>
      <c r="C2297" t="s">
        <v>8607</v>
      </c>
      <c r="D2297" t="s">
        <v>8608</v>
      </c>
      <c r="E2297" t="s">
        <v>8606</v>
      </c>
      <c r="F2297" t="s">
        <v>28</v>
      </c>
      <c r="G2297" t="s">
        <v>8606</v>
      </c>
      <c r="H2297" t="str">
        <f>"erh-2"</f>
        <v>erh-2</v>
      </c>
      <c r="I2297" t="s">
        <v>8608</v>
      </c>
      <c r="J2297" t="s">
        <v>29</v>
      </c>
      <c r="K2297" t="s">
        <v>29</v>
      </c>
      <c r="L2297" t="s">
        <v>29</v>
      </c>
      <c r="M2297" t="s">
        <v>29</v>
      </c>
      <c r="N2297" t="s">
        <v>29</v>
      </c>
      <c r="O2297" t="s">
        <v>29</v>
      </c>
      <c r="P2297" t="s">
        <v>29</v>
      </c>
      <c r="Q2297" t="s">
        <v>29</v>
      </c>
      <c r="R2297" t="s">
        <v>29</v>
      </c>
      <c r="S2297">
        <v>11.8018180292047</v>
      </c>
      <c r="T2297" t="s">
        <v>29</v>
      </c>
      <c r="U2297" t="s">
        <v>29</v>
      </c>
      <c r="V2297" t="s">
        <v>29</v>
      </c>
      <c r="W2297" t="s">
        <v>29</v>
      </c>
      <c r="X2297" t="s">
        <v>29</v>
      </c>
      <c r="Y2297" t="s">
        <v>29</v>
      </c>
    </row>
    <row r="2298" spans="1:25" x14ac:dyDescent="0.2">
      <c r="A2298" t="s">
        <v>8609</v>
      </c>
      <c r="B2298" t="s">
        <v>8610</v>
      </c>
      <c r="C2298" t="s">
        <v>14466</v>
      </c>
      <c r="D2298" t="s">
        <v>8611</v>
      </c>
      <c r="E2298" t="s">
        <v>8610</v>
      </c>
      <c r="F2298" t="s">
        <v>28</v>
      </c>
      <c r="G2298" t="s">
        <v>8610</v>
      </c>
      <c r="H2298" t="str">
        <f>"F35G12.12"</f>
        <v>F35G12.12</v>
      </c>
      <c r="I2298" t="s">
        <v>8611</v>
      </c>
      <c r="J2298">
        <v>13.442768941167399</v>
      </c>
      <c r="K2298">
        <v>13.1518654567023</v>
      </c>
      <c r="L2298">
        <v>13.5041647821966</v>
      </c>
      <c r="M2298">
        <v>12.3591859624572</v>
      </c>
      <c r="N2298">
        <v>13.3884672492807</v>
      </c>
      <c r="O2298">
        <v>13.024105852758501</v>
      </c>
      <c r="P2298">
        <v>-0.44234670518999197</v>
      </c>
      <c r="Q2298">
        <v>-1.0444104912979</v>
      </c>
      <c r="R2298">
        <v>0.15971708091791401</v>
      </c>
      <c r="S2298">
        <v>13.9110832034286</v>
      </c>
      <c r="T2298">
        <v>-1.5583672807340601</v>
      </c>
      <c r="U2298">
        <v>-5.8604912368533801</v>
      </c>
      <c r="V2298">
        <v>0.13883196681358301</v>
      </c>
      <c r="W2298">
        <v>0.384907036577538</v>
      </c>
      <c r="X2298">
        <v>0</v>
      </c>
      <c r="Y2298">
        <v>0</v>
      </c>
    </row>
    <row r="2299" spans="1:25" x14ac:dyDescent="0.2">
      <c r="A2299" t="s">
        <v>8612</v>
      </c>
      <c r="B2299" t="s">
        <v>8613</v>
      </c>
      <c r="C2299" t="s">
        <v>8614</v>
      </c>
      <c r="D2299" t="s">
        <v>8615</v>
      </c>
      <c r="E2299" t="s">
        <v>8613</v>
      </c>
      <c r="F2299" t="s">
        <v>28</v>
      </c>
      <c r="G2299" t="s">
        <v>8613</v>
      </c>
      <c r="H2299" t="str">
        <f>"wdr-48"</f>
        <v>wdr-48</v>
      </c>
      <c r="I2299" t="s">
        <v>8615</v>
      </c>
      <c r="J2299" t="s">
        <v>29</v>
      </c>
      <c r="K2299" t="s">
        <v>29</v>
      </c>
      <c r="L2299" t="s">
        <v>29</v>
      </c>
      <c r="M2299" t="s">
        <v>29</v>
      </c>
      <c r="N2299" t="s">
        <v>29</v>
      </c>
      <c r="O2299">
        <v>12.9590644141174</v>
      </c>
      <c r="P2299" t="s">
        <v>29</v>
      </c>
      <c r="Q2299" t="s">
        <v>29</v>
      </c>
      <c r="R2299" t="s">
        <v>29</v>
      </c>
      <c r="S2299">
        <v>13.310380943836099</v>
      </c>
      <c r="T2299" t="s">
        <v>29</v>
      </c>
      <c r="U2299" t="s">
        <v>29</v>
      </c>
      <c r="V2299" t="s">
        <v>29</v>
      </c>
      <c r="W2299" t="s">
        <v>29</v>
      </c>
      <c r="X2299" t="s">
        <v>29</v>
      </c>
      <c r="Y2299" t="s">
        <v>29</v>
      </c>
    </row>
    <row r="2300" spans="1:25" x14ac:dyDescent="0.2">
      <c r="A2300" t="s">
        <v>8616</v>
      </c>
      <c r="B2300" t="s">
        <v>8617</v>
      </c>
      <c r="C2300" t="s">
        <v>8618</v>
      </c>
      <c r="D2300" t="s">
        <v>8619</v>
      </c>
      <c r="E2300" t="s">
        <v>8617</v>
      </c>
      <c r="F2300" t="s">
        <v>28</v>
      </c>
      <c r="G2300" t="s">
        <v>8617</v>
      </c>
      <c r="H2300" t="str">
        <f>"smc-4"</f>
        <v>smc-4</v>
      </c>
      <c r="I2300" t="s">
        <v>8619</v>
      </c>
      <c r="J2300">
        <v>13.8411252756907</v>
      </c>
      <c r="K2300">
        <v>13.2077728874714</v>
      </c>
      <c r="L2300">
        <v>13.5544818927007</v>
      </c>
      <c r="M2300">
        <v>13.6192226835103</v>
      </c>
      <c r="N2300">
        <v>13.9554132634658</v>
      </c>
      <c r="O2300">
        <v>13.6526482269342</v>
      </c>
      <c r="P2300">
        <v>0.20796803934917699</v>
      </c>
      <c r="Q2300">
        <v>-0.76886234811299203</v>
      </c>
      <c r="R2300">
        <v>1.1847984268113501</v>
      </c>
      <c r="S2300">
        <v>14.1474042336712</v>
      </c>
      <c r="T2300">
        <v>0.44747620820788497</v>
      </c>
      <c r="U2300">
        <v>-6.94773758951687</v>
      </c>
      <c r="V2300">
        <v>0.65990062858971898</v>
      </c>
      <c r="W2300">
        <v>0.84643062778646405</v>
      </c>
      <c r="X2300">
        <v>0</v>
      </c>
      <c r="Y2300">
        <v>0</v>
      </c>
    </row>
    <row r="2301" spans="1:25" x14ac:dyDescent="0.2">
      <c r="A2301" t="s">
        <v>8620</v>
      </c>
      <c r="B2301" t="s">
        <v>8621</v>
      </c>
      <c r="C2301" t="s">
        <v>8622</v>
      </c>
      <c r="D2301" t="s">
        <v>8623</v>
      </c>
      <c r="E2301" t="s">
        <v>8621</v>
      </c>
      <c r="F2301" t="s">
        <v>28</v>
      </c>
      <c r="G2301" t="s">
        <v>8621</v>
      </c>
      <c r="H2301" t="str">
        <f>"phy-2"</f>
        <v>phy-2</v>
      </c>
      <c r="I2301" t="s">
        <v>8623</v>
      </c>
      <c r="J2301">
        <v>15.4757936556205</v>
      </c>
      <c r="K2301">
        <v>14.942649843088001</v>
      </c>
      <c r="L2301">
        <v>15.2535145299529</v>
      </c>
      <c r="M2301">
        <v>15.360680539812501</v>
      </c>
      <c r="N2301">
        <v>14.774573081061</v>
      </c>
      <c r="O2301">
        <v>15.0988688496642</v>
      </c>
      <c r="P2301">
        <v>-0.14594518604126699</v>
      </c>
      <c r="Q2301">
        <v>-0.67890065497158203</v>
      </c>
      <c r="R2301">
        <v>0.38701028288904799</v>
      </c>
      <c r="S2301">
        <v>14.559434850028</v>
      </c>
      <c r="T2301">
        <v>-0.57556100804628496</v>
      </c>
      <c r="U2301">
        <v>-6.8800785965328499</v>
      </c>
      <c r="V2301">
        <v>0.57207926536836196</v>
      </c>
      <c r="W2301">
        <v>0.79315974840590098</v>
      </c>
      <c r="X2301">
        <v>0</v>
      </c>
      <c r="Y2301">
        <v>0</v>
      </c>
    </row>
    <row r="2302" spans="1:25" x14ac:dyDescent="0.2">
      <c r="A2302" t="s">
        <v>8624</v>
      </c>
      <c r="B2302" t="s">
        <v>8625</v>
      </c>
      <c r="C2302" t="s">
        <v>8626</v>
      </c>
      <c r="D2302" t="s">
        <v>8627</v>
      </c>
      <c r="E2302" t="s">
        <v>8625</v>
      </c>
      <c r="F2302" t="s">
        <v>28</v>
      </c>
      <c r="G2302" t="s">
        <v>8625</v>
      </c>
      <c r="H2302" t="str">
        <f>"nprl-3"</f>
        <v>nprl-3</v>
      </c>
      <c r="I2302" t="s">
        <v>8627</v>
      </c>
      <c r="J2302">
        <v>10.1018611835631</v>
      </c>
      <c r="K2302" t="s">
        <v>29</v>
      </c>
      <c r="L2302" t="s">
        <v>29</v>
      </c>
      <c r="M2302">
        <v>11.2995481367113</v>
      </c>
      <c r="N2302">
        <v>12.520952084144801</v>
      </c>
      <c r="O2302" t="s">
        <v>29</v>
      </c>
      <c r="P2302">
        <v>1.80838892686496</v>
      </c>
      <c r="Q2302">
        <v>0.55764860361715096</v>
      </c>
      <c r="R2302">
        <v>3.05912925011277</v>
      </c>
      <c r="S2302">
        <v>11.939623460759</v>
      </c>
      <c r="T2302">
        <v>3.1533320148372002</v>
      </c>
      <c r="U2302">
        <v>-2.8216119329488198</v>
      </c>
      <c r="V2302">
        <v>8.4054317313086695E-3</v>
      </c>
      <c r="W2302">
        <v>7.7923859981989793E-2</v>
      </c>
      <c r="X2302">
        <v>1</v>
      </c>
      <c r="Y2302">
        <v>0</v>
      </c>
    </row>
    <row r="2303" spans="1:25" x14ac:dyDescent="0.2">
      <c r="A2303" t="s">
        <v>8628</v>
      </c>
      <c r="B2303" t="s">
        <v>8629</v>
      </c>
      <c r="C2303" t="s">
        <v>8630</v>
      </c>
      <c r="D2303" t="s">
        <v>8631</v>
      </c>
      <c r="E2303" t="s">
        <v>8629</v>
      </c>
      <c r="F2303" t="s">
        <v>28</v>
      </c>
      <c r="G2303" t="s">
        <v>8629</v>
      </c>
      <c r="H2303" t="str">
        <f>"pifk-1"</f>
        <v>pifk-1</v>
      </c>
      <c r="I2303" t="s">
        <v>8631</v>
      </c>
      <c r="J2303">
        <v>11.0561894321312</v>
      </c>
      <c r="K2303">
        <v>10.9496425991794</v>
      </c>
      <c r="L2303">
        <v>11.580942302842899</v>
      </c>
      <c r="M2303">
        <v>11.610285473620801</v>
      </c>
      <c r="N2303">
        <v>12.3134496593987</v>
      </c>
      <c r="O2303">
        <v>11.2915484896398</v>
      </c>
      <c r="P2303">
        <v>0.54283642950190503</v>
      </c>
      <c r="Q2303">
        <v>-6.2037816131202198E-2</v>
      </c>
      <c r="R2303">
        <v>1.1477106751350099</v>
      </c>
      <c r="S2303">
        <v>11.362091784247401</v>
      </c>
      <c r="T2303">
        <v>1.8943224444301201</v>
      </c>
      <c r="U2303">
        <v>-5.3427436996227398</v>
      </c>
      <c r="V2303">
        <v>7.5431588630914606E-2</v>
      </c>
      <c r="W2303">
        <v>0.28172435448719801</v>
      </c>
      <c r="X2303">
        <v>0</v>
      </c>
      <c r="Y2303">
        <v>0</v>
      </c>
    </row>
    <row r="2304" spans="1:25" x14ac:dyDescent="0.2">
      <c r="A2304" t="s">
        <v>8632</v>
      </c>
      <c r="B2304" t="s">
        <v>8633</v>
      </c>
      <c r="C2304" t="s">
        <v>8634</v>
      </c>
      <c r="D2304" t="s">
        <v>8635</v>
      </c>
      <c r="E2304" t="s">
        <v>8633</v>
      </c>
      <c r="F2304" t="s">
        <v>28</v>
      </c>
      <c r="G2304" t="s">
        <v>8633</v>
      </c>
      <c r="H2304" t="str">
        <f>"ugt-58"</f>
        <v>ugt-58</v>
      </c>
      <c r="I2304" t="s">
        <v>8635</v>
      </c>
      <c r="J2304">
        <v>13.370297517992199</v>
      </c>
      <c r="K2304">
        <v>12.2977998388853</v>
      </c>
      <c r="L2304">
        <v>13.0861319079187</v>
      </c>
      <c r="M2304">
        <v>13.1921820285304</v>
      </c>
      <c r="N2304">
        <v>12.438579283585799</v>
      </c>
      <c r="O2304">
        <v>13.061474715526099</v>
      </c>
      <c r="P2304">
        <v>-2.066441238461E-2</v>
      </c>
      <c r="Q2304">
        <v>-0.66942615699517705</v>
      </c>
      <c r="R2304">
        <v>0.62809733222595698</v>
      </c>
      <c r="S2304">
        <v>12.6952735322112</v>
      </c>
      <c r="T2304">
        <v>-6.69468797500051E-2</v>
      </c>
      <c r="U2304">
        <v>-7.0497379455183804</v>
      </c>
      <c r="V2304">
        <v>0.94736629941999895</v>
      </c>
      <c r="W2304">
        <v>0.97616527495651495</v>
      </c>
      <c r="X2304">
        <v>0</v>
      </c>
      <c r="Y2304">
        <v>0</v>
      </c>
    </row>
    <row r="2305" spans="1:25" x14ac:dyDescent="0.2">
      <c r="A2305" t="s">
        <v>8636</v>
      </c>
      <c r="B2305" t="s">
        <v>8637</v>
      </c>
      <c r="C2305" t="s">
        <v>8638</v>
      </c>
      <c r="D2305" t="s">
        <v>8639</v>
      </c>
      <c r="E2305" t="s">
        <v>8637</v>
      </c>
      <c r="F2305" t="s">
        <v>28</v>
      </c>
      <c r="G2305" t="s">
        <v>8637</v>
      </c>
      <c r="H2305" t="str">
        <f>"hrg-4"</f>
        <v>hrg-4</v>
      </c>
      <c r="I2305" t="s">
        <v>8639</v>
      </c>
      <c r="J2305">
        <v>13.890380502597599</v>
      </c>
      <c r="K2305">
        <v>14.096812948244599</v>
      </c>
      <c r="L2305">
        <v>13.9450373494884</v>
      </c>
      <c r="M2305">
        <v>14.2959011001211</v>
      </c>
      <c r="N2305">
        <v>13.8332443748712</v>
      </c>
      <c r="O2305">
        <v>13.8200031964366</v>
      </c>
      <c r="P2305">
        <v>5.6392903660746896E-3</v>
      </c>
      <c r="Q2305">
        <v>-0.44415616108081601</v>
      </c>
      <c r="R2305">
        <v>0.455434741812965</v>
      </c>
      <c r="S2305">
        <v>13.571952151816999</v>
      </c>
      <c r="T2305">
        <v>2.6464239043377202E-2</v>
      </c>
      <c r="U2305">
        <v>-7.0517182692109497</v>
      </c>
      <c r="V2305">
        <v>0.97919713420455301</v>
      </c>
      <c r="W2305">
        <v>0.98922926876796502</v>
      </c>
      <c r="X2305">
        <v>0</v>
      </c>
      <c r="Y2305">
        <v>0</v>
      </c>
    </row>
    <row r="2306" spans="1:25" x14ac:dyDescent="0.2">
      <c r="A2306" t="s">
        <v>8640</v>
      </c>
      <c r="B2306" t="s">
        <v>8641</v>
      </c>
      <c r="C2306" t="s">
        <v>8642</v>
      </c>
      <c r="D2306" t="s">
        <v>8643</v>
      </c>
      <c r="E2306" t="s">
        <v>8641</v>
      </c>
      <c r="F2306" t="s">
        <v>28</v>
      </c>
      <c r="G2306" t="s">
        <v>8641</v>
      </c>
      <c r="H2306" t="str">
        <f>"gcs-1"</f>
        <v>gcs-1</v>
      </c>
      <c r="I2306" t="s">
        <v>8643</v>
      </c>
      <c r="J2306">
        <v>13.914772591357</v>
      </c>
      <c r="K2306">
        <v>13.7871035494961</v>
      </c>
      <c r="L2306">
        <v>13.7087102529149</v>
      </c>
      <c r="M2306">
        <v>13.9888900901349</v>
      </c>
      <c r="N2306">
        <v>13.7248822022932</v>
      </c>
      <c r="O2306">
        <v>13.9438597785472</v>
      </c>
      <c r="P2306">
        <v>8.2348559069098201E-2</v>
      </c>
      <c r="Q2306">
        <v>-0.29011704235415198</v>
      </c>
      <c r="R2306">
        <v>0.45481416049234802</v>
      </c>
      <c r="S2306">
        <v>13.7486270252959</v>
      </c>
      <c r="T2306">
        <v>0.46668070710154602</v>
      </c>
      <c r="U2306">
        <v>-6.9383296630233398</v>
      </c>
      <c r="V2306">
        <v>0.64668970399705605</v>
      </c>
      <c r="W2306">
        <v>0.83938105177759104</v>
      </c>
      <c r="X2306">
        <v>0</v>
      </c>
      <c r="Y2306">
        <v>0</v>
      </c>
    </row>
    <row r="2307" spans="1:25" x14ac:dyDescent="0.2">
      <c r="A2307" t="s">
        <v>8644</v>
      </c>
      <c r="B2307" t="s">
        <v>8645</v>
      </c>
      <c r="C2307" t="s">
        <v>8646</v>
      </c>
      <c r="D2307" t="s">
        <v>8647</v>
      </c>
      <c r="E2307" t="s">
        <v>8645</v>
      </c>
      <c r="F2307" t="s">
        <v>28</v>
      </c>
      <c r="G2307" t="s">
        <v>8645</v>
      </c>
      <c r="H2307" t="str">
        <f>"acs-4"</f>
        <v>acs-4</v>
      </c>
      <c r="I2307" t="s">
        <v>8647</v>
      </c>
      <c r="J2307">
        <v>17.861264737707099</v>
      </c>
      <c r="K2307">
        <v>17.510712501189499</v>
      </c>
      <c r="L2307">
        <v>17.732091004609099</v>
      </c>
      <c r="M2307">
        <v>17.632640280879301</v>
      </c>
      <c r="N2307">
        <v>17.969247353631101</v>
      </c>
      <c r="O2307">
        <v>17.5456667378227</v>
      </c>
      <c r="P2307">
        <v>1.4495376275768E-2</v>
      </c>
      <c r="Q2307">
        <v>-0.41750984626594301</v>
      </c>
      <c r="R2307">
        <v>0.446500598817479</v>
      </c>
      <c r="S2307">
        <v>17.495289975103201</v>
      </c>
      <c r="T2307">
        <v>7.0523362262007797E-2</v>
      </c>
      <c r="U2307">
        <v>-7.0494803529541699</v>
      </c>
      <c r="V2307">
        <v>0.94455925858815803</v>
      </c>
      <c r="W2307">
        <v>0.97576384643441005</v>
      </c>
      <c r="X2307">
        <v>0</v>
      </c>
      <c r="Y2307">
        <v>0</v>
      </c>
    </row>
    <row r="2308" spans="1:25" x14ac:dyDescent="0.2">
      <c r="A2308" t="s">
        <v>8648</v>
      </c>
      <c r="B2308" t="s">
        <v>8649</v>
      </c>
      <c r="C2308" t="s">
        <v>8650</v>
      </c>
      <c r="D2308" t="s">
        <v>8651</v>
      </c>
      <c r="E2308" t="s">
        <v>8649</v>
      </c>
      <c r="F2308" t="s">
        <v>28</v>
      </c>
      <c r="G2308" t="s">
        <v>8649</v>
      </c>
      <c r="H2308" t="str">
        <f>"epg-4"</f>
        <v>epg-4</v>
      </c>
      <c r="I2308" t="s">
        <v>8651</v>
      </c>
      <c r="J2308">
        <v>12.1960673700718</v>
      </c>
      <c r="K2308">
        <v>12.093878560502</v>
      </c>
      <c r="L2308">
        <v>12.185822916506201</v>
      </c>
      <c r="M2308">
        <v>12.490524025824801</v>
      </c>
      <c r="N2308">
        <v>12.0262794672335</v>
      </c>
      <c r="O2308">
        <v>12.0967207303588</v>
      </c>
      <c r="P2308">
        <v>4.5918458779056003E-2</v>
      </c>
      <c r="Q2308">
        <v>-0.39747556464207101</v>
      </c>
      <c r="R2308">
        <v>0.48931248220018297</v>
      </c>
      <c r="S2308">
        <v>12.476713949903599</v>
      </c>
      <c r="T2308">
        <v>0.218598652794814</v>
      </c>
      <c r="U2308">
        <v>-7.0270011370205196</v>
      </c>
      <c r="V2308">
        <v>0.82958147563176499</v>
      </c>
      <c r="W2308">
        <v>0.931542394832789</v>
      </c>
      <c r="X2308">
        <v>0</v>
      </c>
      <c r="Y2308">
        <v>0</v>
      </c>
    </row>
    <row r="2309" spans="1:25" x14ac:dyDescent="0.2">
      <c r="A2309" t="s">
        <v>8652</v>
      </c>
      <c r="B2309" t="s">
        <v>8653</v>
      </c>
      <c r="C2309" t="s">
        <v>8654</v>
      </c>
      <c r="D2309" t="s">
        <v>8655</v>
      </c>
      <c r="E2309" t="s">
        <v>8653</v>
      </c>
      <c r="F2309" t="s">
        <v>28</v>
      </c>
      <c r="G2309" t="s">
        <v>8653</v>
      </c>
      <c r="H2309" t="str">
        <f>"mus-101"</f>
        <v>mus-101</v>
      </c>
      <c r="I2309" t="s">
        <v>8655</v>
      </c>
      <c r="J2309" t="s">
        <v>29</v>
      </c>
      <c r="K2309" t="s">
        <v>29</v>
      </c>
      <c r="L2309">
        <v>10.296514823464401</v>
      </c>
      <c r="M2309" t="s">
        <v>29</v>
      </c>
      <c r="N2309">
        <v>10.7982542703396</v>
      </c>
      <c r="O2309" t="s">
        <v>29</v>
      </c>
      <c r="P2309">
        <v>0.50173944687516903</v>
      </c>
      <c r="Q2309">
        <v>-0.539666027662699</v>
      </c>
      <c r="R2309">
        <v>1.5431449214130399</v>
      </c>
      <c r="S2309">
        <v>11.809915941441799</v>
      </c>
      <c r="T2309">
        <v>1.0750416263518101</v>
      </c>
      <c r="U2309">
        <v>-5.9221064906405401</v>
      </c>
      <c r="V2309">
        <v>0.30787023940485397</v>
      </c>
      <c r="W2309">
        <v>0.58757170617207899</v>
      </c>
      <c r="X2309">
        <v>0</v>
      </c>
      <c r="Y2309">
        <v>0</v>
      </c>
    </row>
    <row r="2310" spans="1:25" x14ac:dyDescent="0.2">
      <c r="A2310" t="s">
        <v>8656</v>
      </c>
      <c r="B2310" t="s">
        <v>8657</v>
      </c>
      <c r="C2310" t="s">
        <v>8658</v>
      </c>
      <c r="D2310" t="s">
        <v>3312</v>
      </c>
      <c r="E2310" t="s">
        <v>8657</v>
      </c>
      <c r="F2310" t="s">
        <v>28</v>
      </c>
      <c r="G2310" t="s">
        <v>8657</v>
      </c>
      <c r="H2310" t="str">
        <f>"col-81"</f>
        <v>col-81</v>
      </c>
      <c r="I2310" t="s">
        <v>3312</v>
      </c>
      <c r="J2310" t="s">
        <v>29</v>
      </c>
      <c r="K2310" t="s">
        <v>29</v>
      </c>
      <c r="L2310">
        <v>12.1061405245175</v>
      </c>
      <c r="M2310" t="s">
        <v>29</v>
      </c>
      <c r="N2310" t="s">
        <v>29</v>
      </c>
      <c r="O2310" t="s">
        <v>29</v>
      </c>
      <c r="P2310" t="s">
        <v>29</v>
      </c>
      <c r="Q2310" t="s">
        <v>29</v>
      </c>
      <c r="R2310" t="s">
        <v>29</v>
      </c>
      <c r="S2310">
        <v>12.0455670919818</v>
      </c>
      <c r="T2310" t="s">
        <v>29</v>
      </c>
      <c r="U2310" t="s">
        <v>29</v>
      </c>
      <c r="V2310" t="s">
        <v>29</v>
      </c>
      <c r="W2310" t="s">
        <v>29</v>
      </c>
      <c r="X2310" t="s">
        <v>29</v>
      </c>
      <c r="Y2310" t="s">
        <v>29</v>
      </c>
    </row>
    <row r="2311" spans="1:25" x14ac:dyDescent="0.2">
      <c r="A2311" t="s">
        <v>8659</v>
      </c>
      <c r="B2311" t="s">
        <v>8660</v>
      </c>
      <c r="C2311" t="s">
        <v>8661</v>
      </c>
      <c r="D2311" t="s">
        <v>8662</v>
      </c>
      <c r="E2311" t="s">
        <v>8660</v>
      </c>
      <c r="F2311" t="s">
        <v>28</v>
      </c>
      <c r="G2311" t="s">
        <v>8660</v>
      </c>
      <c r="H2311" t="str">
        <f>"F38B2.4"</f>
        <v>F38B2.4</v>
      </c>
      <c r="I2311" t="s">
        <v>8662</v>
      </c>
      <c r="J2311">
        <v>13.1196534858896</v>
      </c>
      <c r="K2311">
        <v>13.0120792793048</v>
      </c>
      <c r="L2311">
        <v>12.731450404804599</v>
      </c>
      <c r="M2311">
        <v>12.760548577057101</v>
      </c>
      <c r="N2311">
        <v>12.446693296438401</v>
      </c>
      <c r="O2311">
        <v>13.615167738267701</v>
      </c>
      <c r="P2311">
        <v>-1.35911860785498E-2</v>
      </c>
      <c r="Q2311">
        <v>-0.58128808662739895</v>
      </c>
      <c r="R2311">
        <v>0.55410571447029899</v>
      </c>
      <c r="S2311">
        <v>12.664260326458701</v>
      </c>
      <c r="T2311">
        <v>-5.0319156048595597E-2</v>
      </c>
      <c r="U2311">
        <v>-7.0507595984849596</v>
      </c>
      <c r="V2311">
        <v>0.96042546271496199</v>
      </c>
      <c r="W2311">
        <v>0.97877370988865797</v>
      </c>
      <c r="X2311">
        <v>0</v>
      </c>
      <c r="Y2311">
        <v>0</v>
      </c>
    </row>
    <row r="2312" spans="1:25" x14ac:dyDescent="0.2">
      <c r="A2312" t="s">
        <v>8663</v>
      </c>
      <c r="B2312" t="s">
        <v>8664</v>
      </c>
      <c r="C2312" t="s">
        <v>14467</v>
      </c>
      <c r="D2312" t="s">
        <v>8665</v>
      </c>
      <c r="E2312" t="s">
        <v>8664</v>
      </c>
      <c r="F2312" t="s">
        <v>28</v>
      </c>
      <c r="G2312" t="s">
        <v>8664</v>
      </c>
      <c r="H2312" t="str">
        <f>"F38B6.4"</f>
        <v>F38B6.4</v>
      </c>
      <c r="I2312" t="s">
        <v>8665</v>
      </c>
      <c r="J2312">
        <v>12.5265915953884</v>
      </c>
      <c r="K2312">
        <v>13.092417322127901</v>
      </c>
      <c r="L2312">
        <v>13.4986803758903</v>
      </c>
      <c r="M2312">
        <v>12.824900755000501</v>
      </c>
      <c r="N2312">
        <v>13.4706313987508</v>
      </c>
      <c r="O2312">
        <v>12.728167835694199</v>
      </c>
      <c r="P2312">
        <v>-3.1329767987022798E-2</v>
      </c>
      <c r="Q2312">
        <v>-0.59714767274459801</v>
      </c>
      <c r="R2312">
        <v>0.53448813677055296</v>
      </c>
      <c r="S2312">
        <v>13.1359411453695</v>
      </c>
      <c r="T2312">
        <v>-0.116378567106697</v>
      </c>
      <c r="U2312">
        <v>-7.0449912432183401</v>
      </c>
      <c r="V2312">
        <v>0.90864862940053903</v>
      </c>
      <c r="W2312">
        <v>0.96798538961646996</v>
      </c>
      <c r="X2312">
        <v>0</v>
      </c>
      <c r="Y2312">
        <v>0</v>
      </c>
    </row>
    <row r="2313" spans="1:25" x14ac:dyDescent="0.2">
      <c r="A2313" t="s">
        <v>8666</v>
      </c>
      <c r="B2313" t="s">
        <v>8667</v>
      </c>
      <c r="C2313" t="s">
        <v>8668</v>
      </c>
      <c r="D2313" t="s">
        <v>8669</v>
      </c>
      <c r="E2313" t="s">
        <v>8667</v>
      </c>
      <c r="F2313" t="s">
        <v>28</v>
      </c>
      <c r="G2313" t="s">
        <v>8667</v>
      </c>
      <c r="H2313" t="str">
        <f>"mpdu-1"</f>
        <v>mpdu-1</v>
      </c>
      <c r="I2313" t="s">
        <v>8669</v>
      </c>
      <c r="J2313">
        <v>15.555124917128699</v>
      </c>
      <c r="K2313">
        <v>16.009401247259401</v>
      </c>
      <c r="L2313">
        <v>15.5046335417449</v>
      </c>
      <c r="M2313">
        <v>15.552053731615199</v>
      </c>
      <c r="N2313">
        <v>14.630814153272899</v>
      </c>
      <c r="O2313">
        <v>14.9966119200066</v>
      </c>
      <c r="P2313">
        <v>-0.62989330041273595</v>
      </c>
      <c r="Q2313">
        <v>-1.70292602368936</v>
      </c>
      <c r="R2313">
        <v>0.44313942286388502</v>
      </c>
      <c r="S2313">
        <v>15.199123017812701</v>
      </c>
      <c r="T2313">
        <v>-1.2390933776698601</v>
      </c>
      <c r="U2313">
        <v>-6.2797915955973798</v>
      </c>
      <c r="V2313">
        <v>0.232249245794757</v>
      </c>
      <c r="W2313">
        <v>0.50248606769690096</v>
      </c>
      <c r="X2313">
        <v>0</v>
      </c>
      <c r="Y2313">
        <v>0</v>
      </c>
    </row>
    <row r="2314" spans="1:25" x14ac:dyDescent="0.2">
      <c r="A2314" t="s">
        <v>8670</v>
      </c>
      <c r="B2314" t="s">
        <v>8671</v>
      </c>
      <c r="C2314" t="s">
        <v>8672</v>
      </c>
      <c r="D2314" t="s">
        <v>8673</v>
      </c>
      <c r="E2314" t="s">
        <v>8671</v>
      </c>
      <c r="F2314" t="s">
        <v>28</v>
      </c>
      <c r="G2314" t="s">
        <v>8671</v>
      </c>
      <c r="H2314" t="str">
        <f>"cpin-1"</f>
        <v>cpin-1</v>
      </c>
      <c r="I2314" t="s">
        <v>8673</v>
      </c>
      <c r="J2314" t="s">
        <v>29</v>
      </c>
      <c r="K2314" t="s">
        <v>29</v>
      </c>
      <c r="L2314" t="s">
        <v>29</v>
      </c>
      <c r="M2314">
        <v>12.6344564300359</v>
      </c>
      <c r="N2314">
        <v>13.118274306077801</v>
      </c>
      <c r="O2314">
        <v>12.2831637932156</v>
      </c>
      <c r="P2314" t="s">
        <v>29</v>
      </c>
      <c r="Q2314" t="s">
        <v>29</v>
      </c>
      <c r="R2314" t="s">
        <v>29</v>
      </c>
      <c r="S2314">
        <v>12.394622865463299</v>
      </c>
      <c r="T2314" t="s">
        <v>29</v>
      </c>
      <c r="U2314" t="s">
        <v>29</v>
      </c>
      <c r="V2314" t="s">
        <v>29</v>
      </c>
      <c r="W2314" t="s">
        <v>29</v>
      </c>
      <c r="X2314" t="s">
        <v>29</v>
      </c>
      <c r="Y2314" t="s">
        <v>29</v>
      </c>
    </row>
    <row r="2315" spans="1:25" x14ac:dyDescent="0.2">
      <c r="A2315" t="s">
        <v>8674</v>
      </c>
      <c r="B2315" t="s">
        <v>8675</v>
      </c>
      <c r="C2315" t="s">
        <v>8676</v>
      </c>
      <c r="D2315" t="s">
        <v>8677</v>
      </c>
      <c r="E2315" t="s">
        <v>8675</v>
      </c>
      <c r="F2315" t="s">
        <v>28</v>
      </c>
      <c r="G2315" t="s">
        <v>8675</v>
      </c>
      <c r="H2315" t="str">
        <f>"copb-2"</f>
        <v>copb-2</v>
      </c>
      <c r="I2315" t="s">
        <v>8677</v>
      </c>
      <c r="J2315">
        <v>16.748979094871501</v>
      </c>
      <c r="K2315">
        <v>16.910451459421399</v>
      </c>
      <c r="L2315">
        <v>16.496510067304399</v>
      </c>
      <c r="M2315">
        <v>17.004320290845499</v>
      </c>
      <c r="N2315">
        <v>16.647863458846</v>
      </c>
      <c r="O2315">
        <v>16.638844731578601</v>
      </c>
      <c r="P2315">
        <v>4.5029286557575397E-2</v>
      </c>
      <c r="Q2315">
        <v>-0.337693844940333</v>
      </c>
      <c r="R2315">
        <v>0.42775241805548397</v>
      </c>
      <c r="S2315">
        <v>16.400467326184501</v>
      </c>
      <c r="T2315">
        <v>0.24728790072696599</v>
      </c>
      <c r="U2315">
        <v>-7.0200942952716101</v>
      </c>
      <c r="V2315">
        <v>0.80750031933892297</v>
      </c>
      <c r="W2315">
        <v>0.91833642628581302</v>
      </c>
      <c r="X2315">
        <v>0</v>
      </c>
      <c r="Y2315">
        <v>0</v>
      </c>
    </row>
    <row r="2316" spans="1:25" x14ac:dyDescent="0.2">
      <c r="A2316" t="s">
        <v>8678</v>
      </c>
      <c r="B2316" t="s">
        <v>8679</v>
      </c>
      <c r="C2316" t="s">
        <v>8680</v>
      </c>
      <c r="D2316" t="s">
        <v>8681</v>
      </c>
      <c r="E2316" t="s">
        <v>8679</v>
      </c>
      <c r="F2316" t="s">
        <v>28</v>
      </c>
      <c r="G2316" t="s">
        <v>8679</v>
      </c>
      <c r="H2316" t="str">
        <f>"twf-2"</f>
        <v>twf-2</v>
      </c>
      <c r="I2316" t="s">
        <v>8681</v>
      </c>
      <c r="J2316">
        <v>14.4168712536848</v>
      </c>
      <c r="K2316">
        <v>14.5053918121266</v>
      </c>
      <c r="L2316">
        <v>14.6335160281121</v>
      </c>
      <c r="M2316">
        <v>14.5324797690762</v>
      </c>
      <c r="N2316">
        <v>14.4306399219318</v>
      </c>
      <c r="O2316">
        <v>14.199640549008</v>
      </c>
      <c r="P2316">
        <v>-0.13100628463587299</v>
      </c>
      <c r="Q2316">
        <v>-0.48615081018477302</v>
      </c>
      <c r="R2316">
        <v>0.224138240913026</v>
      </c>
      <c r="S2316">
        <v>14.2705746903888</v>
      </c>
      <c r="T2316">
        <v>-0.78241386053686102</v>
      </c>
      <c r="U2316">
        <v>-6.7352415515054904</v>
      </c>
      <c r="V2316">
        <v>0.445471726767661</v>
      </c>
      <c r="W2316">
        <v>0.71334712626520103</v>
      </c>
      <c r="X2316">
        <v>0</v>
      </c>
      <c r="Y2316">
        <v>0</v>
      </c>
    </row>
    <row r="2317" spans="1:25" x14ac:dyDescent="0.2">
      <c r="A2317" t="s">
        <v>8682</v>
      </c>
      <c r="B2317" t="s">
        <v>8683</v>
      </c>
      <c r="C2317" t="s">
        <v>8684</v>
      </c>
      <c r="D2317" t="s">
        <v>8685</v>
      </c>
      <c r="E2317" t="s">
        <v>8683</v>
      </c>
      <c r="F2317" t="s">
        <v>28</v>
      </c>
      <c r="G2317" t="s">
        <v>8683</v>
      </c>
      <c r="H2317" t="str">
        <f>"csq-1"</f>
        <v>csq-1</v>
      </c>
      <c r="I2317" t="s">
        <v>8685</v>
      </c>
      <c r="J2317">
        <v>14.471282683611401</v>
      </c>
      <c r="K2317">
        <v>13.917407034607599</v>
      </c>
      <c r="L2317">
        <v>14.423467673825</v>
      </c>
      <c r="M2317">
        <v>13.9942864270529</v>
      </c>
      <c r="N2317">
        <v>14.367561270151199</v>
      </c>
      <c r="O2317">
        <v>14.6051379536936</v>
      </c>
      <c r="P2317">
        <v>5.1609419617919997E-2</v>
      </c>
      <c r="Q2317">
        <v>-0.58623851575665697</v>
      </c>
      <c r="R2317">
        <v>0.68945735499249605</v>
      </c>
      <c r="S2317">
        <v>13.858641353597401</v>
      </c>
      <c r="T2317">
        <v>0.17006084560000401</v>
      </c>
      <c r="U2317">
        <v>-7.0369424816815602</v>
      </c>
      <c r="V2317">
        <v>0.86687012163658095</v>
      </c>
      <c r="W2317">
        <v>0.94935342265210398</v>
      </c>
      <c r="X2317">
        <v>0</v>
      </c>
      <c r="Y2317">
        <v>0</v>
      </c>
    </row>
    <row r="2318" spans="1:25" x14ac:dyDescent="0.2">
      <c r="A2318" t="s">
        <v>8686</v>
      </c>
      <c r="B2318" t="s">
        <v>8687</v>
      </c>
      <c r="C2318" t="s">
        <v>8688</v>
      </c>
      <c r="D2318" t="s">
        <v>8689</v>
      </c>
      <c r="E2318" t="s">
        <v>8687</v>
      </c>
      <c r="F2318" t="s">
        <v>28</v>
      </c>
      <c r="G2318" t="s">
        <v>8687</v>
      </c>
      <c r="H2318" t="str">
        <f>"rps-11"</f>
        <v>rps-11</v>
      </c>
      <c r="I2318" t="s">
        <v>8689</v>
      </c>
      <c r="J2318">
        <v>20.489020789753901</v>
      </c>
      <c r="K2318">
        <v>20.519285838108502</v>
      </c>
      <c r="L2318">
        <v>20.5687639560667</v>
      </c>
      <c r="M2318">
        <v>20.717869700447199</v>
      </c>
      <c r="N2318">
        <v>20.4324275309509</v>
      </c>
      <c r="O2318">
        <v>19.991124343523602</v>
      </c>
      <c r="P2318">
        <v>-0.145216336335796</v>
      </c>
      <c r="Q2318">
        <v>-0.52458943461768304</v>
      </c>
      <c r="R2318">
        <v>0.234156761946091</v>
      </c>
      <c r="S2318">
        <v>20.4793438435604</v>
      </c>
      <c r="T2318">
        <v>-0.80452854470387702</v>
      </c>
      <c r="U2318">
        <v>-6.7189122935968797</v>
      </c>
      <c r="V2318">
        <v>0.43165108574002697</v>
      </c>
      <c r="W2318">
        <v>0.70089452744413505</v>
      </c>
      <c r="X2318">
        <v>0</v>
      </c>
      <c r="Y2318">
        <v>0</v>
      </c>
    </row>
    <row r="2319" spans="1:25" x14ac:dyDescent="0.2">
      <c r="A2319" t="s">
        <v>8690</v>
      </c>
      <c r="B2319" t="s">
        <v>8691</v>
      </c>
      <c r="C2319" t="s">
        <v>14468</v>
      </c>
      <c r="D2319" t="s">
        <v>8692</v>
      </c>
      <c r="E2319" t="s">
        <v>8691</v>
      </c>
      <c r="F2319" t="s">
        <v>28</v>
      </c>
      <c r="G2319" t="s">
        <v>8691</v>
      </c>
      <c r="H2319" t="str">
        <f>"F40F4.7"</f>
        <v>F40F4.7</v>
      </c>
      <c r="I2319" t="s">
        <v>8692</v>
      </c>
      <c r="J2319">
        <v>13.355679012068</v>
      </c>
      <c r="K2319">
        <v>13.112607751592501</v>
      </c>
      <c r="L2319">
        <v>12.9451408697456</v>
      </c>
      <c r="M2319">
        <v>13.4933373941823</v>
      </c>
      <c r="N2319">
        <v>13.0785272038208</v>
      </c>
      <c r="O2319">
        <v>13.239621439174099</v>
      </c>
      <c r="P2319">
        <v>0.13268613459036899</v>
      </c>
      <c r="Q2319">
        <v>-0.24928368115357299</v>
      </c>
      <c r="R2319">
        <v>0.51465595033431</v>
      </c>
      <c r="S2319">
        <v>12.5430771387175</v>
      </c>
      <c r="T2319">
        <v>0.73324061058367596</v>
      </c>
      <c r="U2319">
        <v>-6.7738815936366397</v>
      </c>
      <c r="V2319">
        <v>0.47346386815947999</v>
      </c>
      <c r="W2319">
        <v>0.73434291086317804</v>
      </c>
      <c r="X2319">
        <v>0</v>
      </c>
      <c r="Y2319">
        <v>0</v>
      </c>
    </row>
    <row r="2320" spans="1:25" x14ac:dyDescent="0.2">
      <c r="A2320" t="s">
        <v>8693</v>
      </c>
      <c r="B2320" t="s">
        <v>8694</v>
      </c>
      <c r="C2320" t="s">
        <v>8695</v>
      </c>
      <c r="D2320" t="s">
        <v>8696</v>
      </c>
      <c r="E2320" t="s">
        <v>8694</v>
      </c>
      <c r="F2320" t="s">
        <v>28</v>
      </c>
      <c r="G2320" t="s">
        <v>8694</v>
      </c>
      <c r="H2320" t="str">
        <f>"rps-9"</f>
        <v>rps-9</v>
      </c>
      <c r="I2320" t="s">
        <v>8696</v>
      </c>
      <c r="J2320">
        <v>18.107487112648599</v>
      </c>
      <c r="K2320">
        <v>18.1669769584642</v>
      </c>
      <c r="L2320">
        <v>18.272884935137199</v>
      </c>
      <c r="M2320">
        <v>17.974076704495999</v>
      </c>
      <c r="N2320">
        <v>17.827075930520198</v>
      </c>
      <c r="O2320">
        <v>17.840616206664698</v>
      </c>
      <c r="P2320">
        <v>-0.30186005485633399</v>
      </c>
      <c r="Q2320">
        <v>-0.76586562406081204</v>
      </c>
      <c r="R2320">
        <v>0.162145514348144</v>
      </c>
      <c r="S2320">
        <v>18.025641216652399</v>
      </c>
      <c r="T2320">
        <v>-1.36733511308113</v>
      </c>
      <c r="U2320">
        <v>-6.1205209169373997</v>
      </c>
      <c r="V2320">
        <v>0.18845060240755701</v>
      </c>
      <c r="W2320">
        <v>0.45056514652806701</v>
      </c>
      <c r="X2320">
        <v>0</v>
      </c>
      <c r="Y2320">
        <v>0</v>
      </c>
    </row>
    <row r="2321" spans="1:25" x14ac:dyDescent="0.2">
      <c r="A2321" t="s">
        <v>8697</v>
      </c>
      <c r="B2321" t="s">
        <v>8698</v>
      </c>
      <c r="C2321" t="s">
        <v>8699</v>
      </c>
      <c r="D2321" t="s">
        <v>8700</v>
      </c>
      <c r="E2321" t="s">
        <v>8698</v>
      </c>
      <c r="F2321" t="s">
        <v>28</v>
      </c>
      <c r="G2321" t="s">
        <v>8698</v>
      </c>
      <c r="H2321" t="str">
        <f>"slcr-46.3"</f>
        <v>slcr-46.3</v>
      </c>
      <c r="I2321" t="s">
        <v>8700</v>
      </c>
      <c r="J2321">
        <v>10.809563587745901</v>
      </c>
      <c r="K2321">
        <v>11.0178937008508</v>
      </c>
      <c r="L2321">
        <v>11.296899269520001</v>
      </c>
      <c r="M2321" t="s">
        <v>29</v>
      </c>
      <c r="N2321">
        <v>10.049678876125601</v>
      </c>
      <c r="O2321">
        <v>10.2398830926951</v>
      </c>
      <c r="P2321">
        <v>-0.89667120162860803</v>
      </c>
      <c r="Q2321">
        <v>-1.5126677576074901</v>
      </c>
      <c r="R2321">
        <v>-0.28067464564973099</v>
      </c>
      <c r="S2321">
        <v>10.7968646666754</v>
      </c>
      <c r="T2321">
        <v>-3.1746799576717</v>
      </c>
      <c r="U2321">
        <v>-3.03430873976912</v>
      </c>
      <c r="V2321">
        <v>8.0800853923605996E-3</v>
      </c>
      <c r="W2321">
        <v>7.5771175408476693E-2</v>
      </c>
      <c r="X2321">
        <v>0</v>
      </c>
      <c r="Y2321">
        <v>0</v>
      </c>
    </row>
    <row r="2322" spans="1:25" x14ac:dyDescent="0.2">
      <c r="A2322" t="s">
        <v>8701</v>
      </c>
      <c r="B2322" t="s">
        <v>8702</v>
      </c>
      <c r="C2322" t="s">
        <v>8703</v>
      </c>
      <c r="D2322" t="s">
        <v>8704</v>
      </c>
      <c r="E2322" t="s">
        <v>8702</v>
      </c>
      <c r="F2322" t="s">
        <v>28</v>
      </c>
      <c r="G2322" t="s">
        <v>8702</v>
      </c>
      <c r="H2322" t="str">
        <f>"eas-1"</f>
        <v>eas-1</v>
      </c>
      <c r="I2322" t="s">
        <v>8704</v>
      </c>
      <c r="J2322">
        <v>15.6158765121711</v>
      </c>
      <c r="K2322">
        <v>15.8121806425538</v>
      </c>
      <c r="L2322">
        <v>15.7001714646207</v>
      </c>
      <c r="M2322">
        <v>15.4029827266473</v>
      </c>
      <c r="N2322">
        <v>15.404534748236101</v>
      </c>
      <c r="O2322">
        <v>15.259868741928001</v>
      </c>
      <c r="P2322">
        <v>-0.35361413417802201</v>
      </c>
      <c r="Q2322">
        <v>-1.22499592852925</v>
      </c>
      <c r="R2322">
        <v>0.51776766017320197</v>
      </c>
      <c r="S2322">
        <v>15.208598492149701</v>
      </c>
      <c r="T2322">
        <v>-0.85658634473865503</v>
      </c>
      <c r="U2322">
        <v>-6.6745562260569899</v>
      </c>
      <c r="V2322">
        <v>0.40365994364028202</v>
      </c>
      <c r="W2322">
        <v>0.67647874428407795</v>
      </c>
      <c r="X2322">
        <v>0</v>
      </c>
      <c r="Y2322">
        <v>0</v>
      </c>
    </row>
    <row r="2323" spans="1:25" x14ac:dyDescent="0.2">
      <c r="A2323" t="s">
        <v>8705</v>
      </c>
      <c r="B2323" t="s">
        <v>8706</v>
      </c>
      <c r="C2323" t="s">
        <v>8707</v>
      </c>
      <c r="D2323" t="s">
        <v>8708</v>
      </c>
      <c r="E2323" t="s">
        <v>8706</v>
      </c>
      <c r="F2323" t="s">
        <v>28</v>
      </c>
      <c r="G2323" t="s">
        <v>8706</v>
      </c>
      <c r="H2323" t="str">
        <f>"acs-11"</f>
        <v>acs-11</v>
      </c>
      <c r="I2323" t="s">
        <v>8708</v>
      </c>
      <c r="J2323" t="s">
        <v>29</v>
      </c>
      <c r="K2323" t="s">
        <v>29</v>
      </c>
      <c r="L2323" t="s">
        <v>29</v>
      </c>
      <c r="M2323" t="s">
        <v>29</v>
      </c>
      <c r="N2323" t="s">
        <v>29</v>
      </c>
      <c r="O2323" t="s">
        <v>29</v>
      </c>
      <c r="P2323" t="s">
        <v>29</v>
      </c>
      <c r="Q2323" t="s">
        <v>29</v>
      </c>
      <c r="R2323" t="s">
        <v>29</v>
      </c>
      <c r="S2323">
        <v>12.147148823373</v>
      </c>
      <c r="T2323" t="s">
        <v>29</v>
      </c>
      <c r="U2323" t="s">
        <v>29</v>
      </c>
      <c r="V2323" t="s">
        <v>29</v>
      </c>
      <c r="W2323" t="s">
        <v>29</v>
      </c>
      <c r="X2323" t="s">
        <v>29</v>
      </c>
      <c r="Y2323" t="s">
        <v>29</v>
      </c>
    </row>
    <row r="2324" spans="1:25" x14ac:dyDescent="0.2">
      <c r="A2324" t="s">
        <v>8709</v>
      </c>
      <c r="B2324" t="s">
        <v>8710</v>
      </c>
      <c r="C2324" t="s">
        <v>8711</v>
      </c>
      <c r="D2324" t="s">
        <v>8712</v>
      </c>
      <c r="E2324" t="s">
        <v>8710</v>
      </c>
      <c r="F2324" t="s">
        <v>28</v>
      </c>
      <c r="G2324" t="s">
        <v>8710</v>
      </c>
      <c r="H2324" t="str">
        <f>"fip-5"</f>
        <v>fip-5</v>
      </c>
      <c r="I2324" t="s">
        <v>8712</v>
      </c>
      <c r="J2324">
        <v>15.5776693083194</v>
      </c>
      <c r="K2324">
        <v>15.7550259658132</v>
      </c>
      <c r="L2324">
        <v>15.3932501488857</v>
      </c>
      <c r="M2324">
        <v>15.983977809523401</v>
      </c>
      <c r="N2324">
        <v>15.4706965588204</v>
      </c>
      <c r="O2324">
        <v>15.2645510839845</v>
      </c>
      <c r="P2324">
        <v>-2.23999023003074E-3</v>
      </c>
      <c r="Q2324">
        <v>-0.63861772172880604</v>
      </c>
      <c r="R2324">
        <v>0.634137741268744</v>
      </c>
      <c r="S2324">
        <v>14.9364069961978</v>
      </c>
      <c r="T2324">
        <v>-7.4298691122430599E-3</v>
      </c>
      <c r="U2324">
        <v>-7.0520574219437302</v>
      </c>
      <c r="V2324">
        <v>0.99415890354166103</v>
      </c>
      <c r="W2324">
        <v>0.99691620096288602</v>
      </c>
      <c r="X2324">
        <v>0</v>
      </c>
      <c r="Y2324">
        <v>0</v>
      </c>
    </row>
    <row r="2325" spans="1:25" x14ac:dyDescent="0.2">
      <c r="A2325" t="s">
        <v>8713</v>
      </c>
      <c r="B2325" t="s">
        <v>8714</v>
      </c>
      <c r="C2325" t="s">
        <v>8715</v>
      </c>
      <c r="D2325" t="s">
        <v>8716</v>
      </c>
      <c r="E2325" t="s">
        <v>8714</v>
      </c>
      <c r="F2325" t="s">
        <v>28</v>
      </c>
      <c r="G2325" t="s">
        <v>8714</v>
      </c>
      <c r="H2325" t="str">
        <f>"fipr-21"</f>
        <v>fipr-21</v>
      </c>
      <c r="I2325" t="s">
        <v>8716</v>
      </c>
      <c r="J2325">
        <v>17.6610718863678</v>
      </c>
      <c r="K2325">
        <v>17.6561510425901</v>
      </c>
      <c r="L2325">
        <v>17.843895355479599</v>
      </c>
      <c r="M2325">
        <v>18.014411940281502</v>
      </c>
      <c r="N2325">
        <v>17.9097539952628</v>
      </c>
      <c r="O2325">
        <v>17.609805228710599</v>
      </c>
      <c r="P2325">
        <v>0.124284293272531</v>
      </c>
      <c r="Q2325">
        <v>-0.31948652430031299</v>
      </c>
      <c r="R2325">
        <v>0.56805511084537497</v>
      </c>
      <c r="S2325">
        <v>17.297368348757399</v>
      </c>
      <c r="T2325">
        <v>0.58864033910183899</v>
      </c>
      <c r="U2325">
        <v>-6.8722480893432802</v>
      </c>
      <c r="V2325">
        <v>0.5634594925234</v>
      </c>
      <c r="W2325">
        <v>0.787363040168224</v>
      </c>
      <c r="X2325">
        <v>0</v>
      </c>
      <c r="Y2325">
        <v>0</v>
      </c>
    </row>
    <row r="2326" spans="1:25" x14ac:dyDescent="0.2">
      <c r="A2326" t="s">
        <v>8717</v>
      </c>
      <c r="B2326" t="s">
        <v>8718</v>
      </c>
      <c r="C2326" t="s">
        <v>8719</v>
      </c>
      <c r="D2326" t="s">
        <v>8720</v>
      </c>
      <c r="E2326" t="s">
        <v>8718</v>
      </c>
      <c r="F2326" t="s">
        <v>28</v>
      </c>
      <c r="G2326" t="s">
        <v>8718</v>
      </c>
      <c r="H2326" t="str">
        <f>"elo-5"</f>
        <v>elo-5</v>
      </c>
      <c r="I2326" t="s">
        <v>8720</v>
      </c>
      <c r="J2326">
        <v>11.8997256420959</v>
      </c>
      <c r="K2326">
        <v>12.2454785317393</v>
      </c>
      <c r="L2326">
        <v>12.596785696753701</v>
      </c>
      <c r="M2326">
        <v>11.7688658597559</v>
      </c>
      <c r="N2326">
        <v>11.467161866904799</v>
      </c>
      <c r="O2326">
        <v>11.4986402089544</v>
      </c>
      <c r="P2326">
        <v>-0.66910731165791004</v>
      </c>
      <c r="Q2326">
        <v>-1.13427303820098</v>
      </c>
      <c r="R2326">
        <v>-0.20394158511483801</v>
      </c>
      <c r="S2326">
        <v>12.336054571397</v>
      </c>
      <c r="T2326">
        <v>-3.0232953801676499</v>
      </c>
      <c r="U2326">
        <v>-3.1892026539318099</v>
      </c>
      <c r="V2326">
        <v>7.3409105493087096E-3</v>
      </c>
      <c r="W2326">
        <v>7.06725530397945E-2</v>
      </c>
      <c r="X2326">
        <v>0</v>
      </c>
      <c r="Y2326">
        <v>0</v>
      </c>
    </row>
    <row r="2327" spans="1:25" x14ac:dyDescent="0.2">
      <c r="A2327" t="s">
        <v>8721</v>
      </c>
      <c r="B2327" t="s">
        <v>8722</v>
      </c>
      <c r="C2327" t="s">
        <v>8723</v>
      </c>
      <c r="D2327" t="s">
        <v>8724</v>
      </c>
      <c r="E2327" t="s">
        <v>8722</v>
      </c>
      <c r="F2327" t="s">
        <v>28</v>
      </c>
      <c r="G2327" t="s">
        <v>8722</v>
      </c>
      <c r="H2327" t="str">
        <f>"elo-6"</f>
        <v>elo-6</v>
      </c>
      <c r="I2327" t="s">
        <v>8724</v>
      </c>
      <c r="J2327">
        <v>12.536231173199299</v>
      </c>
      <c r="K2327">
        <v>12.9800772798844</v>
      </c>
      <c r="L2327">
        <v>12.906458499334899</v>
      </c>
      <c r="M2327">
        <v>13.506221799070699</v>
      </c>
      <c r="N2327">
        <v>13.5414825103064</v>
      </c>
      <c r="O2327" t="s">
        <v>29</v>
      </c>
      <c r="P2327">
        <v>0.71626317054895206</v>
      </c>
      <c r="Q2327">
        <v>-0.89471885365147696</v>
      </c>
      <c r="R2327">
        <v>2.3272451947493802</v>
      </c>
      <c r="S2327">
        <v>14.882531290738999</v>
      </c>
      <c r="T2327">
        <v>0.94304291400948204</v>
      </c>
      <c r="U2327">
        <v>-6.4858700194996901</v>
      </c>
      <c r="V2327">
        <v>0.35977301784611199</v>
      </c>
      <c r="W2327">
        <v>0.63727983593274296</v>
      </c>
      <c r="X2327">
        <v>0</v>
      </c>
      <c r="Y2327">
        <v>0</v>
      </c>
    </row>
    <row r="2328" spans="1:25" x14ac:dyDescent="0.2">
      <c r="A2328" t="s">
        <v>8725</v>
      </c>
      <c r="B2328" t="s">
        <v>8726</v>
      </c>
      <c r="C2328" t="s">
        <v>8727</v>
      </c>
      <c r="D2328" t="s">
        <v>1866</v>
      </c>
      <c r="E2328" t="s">
        <v>8726</v>
      </c>
      <c r="F2328" t="s">
        <v>28</v>
      </c>
      <c r="G2328" t="s">
        <v>8726</v>
      </c>
      <c r="H2328" t="str">
        <f>"abcf-3"</f>
        <v>abcf-3</v>
      </c>
      <c r="I2328" t="s">
        <v>1866</v>
      </c>
      <c r="J2328">
        <v>15.299005851354799</v>
      </c>
      <c r="K2328">
        <v>15.3434018135976</v>
      </c>
      <c r="L2328">
        <v>15.3598076140998</v>
      </c>
      <c r="M2328">
        <v>15.3260435733831</v>
      </c>
      <c r="N2328">
        <v>15.662281359625201</v>
      </c>
      <c r="O2328">
        <v>15.194750523358699</v>
      </c>
      <c r="P2328">
        <v>6.0286725771598902E-2</v>
      </c>
      <c r="Q2328">
        <v>-0.32632571696392099</v>
      </c>
      <c r="R2328">
        <v>0.44689916850711903</v>
      </c>
      <c r="S2328">
        <v>15.193597353349601</v>
      </c>
      <c r="T2328">
        <v>0.32774674217403099</v>
      </c>
      <c r="U2328">
        <v>-6.9959621244530297</v>
      </c>
      <c r="V2328">
        <v>0.74690650953880899</v>
      </c>
      <c r="W2328">
        <v>0.89235361033480298</v>
      </c>
      <c r="X2328">
        <v>0</v>
      </c>
      <c r="Y2328">
        <v>0</v>
      </c>
    </row>
    <row r="2329" spans="1:25" x14ac:dyDescent="0.2">
      <c r="A2329" t="s">
        <v>8728</v>
      </c>
      <c r="B2329" t="s">
        <v>8729</v>
      </c>
      <c r="C2329" t="s">
        <v>14172</v>
      </c>
      <c r="D2329" t="s">
        <v>8730</v>
      </c>
      <c r="E2329" t="s">
        <v>8729</v>
      </c>
      <c r="F2329" t="s">
        <v>28</v>
      </c>
      <c r="G2329" t="s">
        <v>8729</v>
      </c>
      <c r="H2329" t="str">
        <f>"F42A10.5"</f>
        <v>F42A10.5</v>
      </c>
      <c r="I2329" t="s">
        <v>8730</v>
      </c>
      <c r="J2329">
        <v>9.9566818556722403</v>
      </c>
      <c r="K2329" t="s">
        <v>29</v>
      </c>
      <c r="L2329">
        <v>10.8966645353281</v>
      </c>
      <c r="M2329">
        <v>14.2114512041002</v>
      </c>
      <c r="N2329">
        <v>13.8025087953468</v>
      </c>
      <c r="O2329">
        <v>13.8528985370636</v>
      </c>
      <c r="P2329">
        <v>3.5289463166700301</v>
      </c>
      <c r="Q2329">
        <v>2.6626048906877902</v>
      </c>
      <c r="R2329">
        <v>4.3952877426522701</v>
      </c>
      <c r="S2329">
        <v>12.113361906856699</v>
      </c>
      <c r="T2329">
        <v>8.6875551788058605</v>
      </c>
      <c r="U2329">
        <v>7.0262467342878896</v>
      </c>
      <c r="V2329" s="2">
        <v>3.2438538707275802E-7</v>
      </c>
      <c r="W2329" s="2">
        <v>2.3178650069634401E-5</v>
      </c>
      <c r="X2329">
        <v>1</v>
      </c>
      <c r="Y2329">
        <v>1</v>
      </c>
    </row>
    <row r="2330" spans="1:25" x14ac:dyDescent="0.2">
      <c r="A2330" t="s">
        <v>8731</v>
      </c>
      <c r="B2330" t="s">
        <v>8732</v>
      </c>
      <c r="C2330" t="s">
        <v>8733</v>
      </c>
      <c r="D2330" t="s">
        <v>270</v>
      </c>
      <c r="E2330" t="s">
        <v>8732</v>
      </c>
      <c r="F2330" t="s">
        <v>28</v>
      </c>
      <c r="G2330" t="s">
        <v>8732</v>
      </c>
      <c r="H2330" t="str">
        <f>"grl-4"</f>
        <v>grl-4</v>
      </c>
      <c r="I2330" t="s">
        <v>270</v>
      </c>
      <c r="J2330">
        <v>12.6870250297541</v>
      </c>
      <c r="K2330">
        <v>12.3136348602927</v>
      </c>
      <c r="L2330">
        <v>13.1636671632105</v>
      </c>
      <c r="M2330" t="s">
        <v>29</v>
      </c>
      <c r="N2330">
        <v>11.1955026781726</v>
      </c>
      <c r="O2330">
        <v>11.7196556343814</v>
      </c>
      <c r="P2330">
        <v>-1.26386319480874</v>
      </c>
      <c r="Q2330">
        <v>-1.8375253157109099</v>
      </c>
      <c r="R2330">
        <v>-0.69020107390656504</v>
      </c>
      <c r="S2330">
        <v>12.7858348973236</v>
      </c>
      <c r="T2330">
        <v>-4.6987841864072601</v>
      </c>
      <c r="U2330">
        <v>0.17705485908736701</v>
      </c>
      <c r="V2330">
        <v>2.9067838218203097E-4</v>
      </c>
      <c r="W2330">
        <v>7.3895894970338197E-3</v>
      </c>
      <c r="X2330">
        <v>-1</v>
      </c>
      <c r="Y2330">
        <v>-1</v>
      </c>
    </row>
    <row r="2331" spans="1:25" x14ac:dyDescent="0.2">
      <c r="A2331" t="s">
        <v>8734</v>
      </c>
      <c r="B2331" t="s">
        <v>8735</v>
      </c>
      <c r="C2331" t="s">
        <v>14469</v>
      </c>
      <c r="D2331" t="s">
        <v>66</v>
      </c>
      <c r="E2331" t="s">
        <v>8735</v>
      </c>
      <c r="F2331" t="s">
        <v>28</v>
      </c>
      <c r="G2331" t="s">
        <v>8735</v>
      </c>
      <c r="H2331" t="str">
        <f>"F42C5.9"</f>
        <v>F42C5.9</v>
      </c>
      <c r="I2331" t="s">
        <v>66</v>
      </c>
      <c r="J2331">
        <v>15.887106188730201</v>
      </c>
      <c r="K2331">
        <v>15.976665566415299</v>
      </c>
      <c r="L2331">
        <v>15.6302108606709</v>
      </c>
      <c r="M2331">
        <v>16.0818110051727</v>
      </c>
      <c r="N2331">
        <v>15.652470312182301</v>
      </c>
      <c r="O2331">
        <v>15.702694188426401</v>
      </c>
      <c r="P2331">
        <v>-1.9002370011669701E-2</v>
      </c>
      <c r="Q2331">
        <v>-0.44767695387293799</v>
      </c>
      <c r="R2331">
        <v>0.40967221384959801</v>
      </c>
      <c r="S2331">
        <v>15.261761363777699</v>
      </c>
      <c r="T2331">
        <v>-9.3169239078748398E-2</v>
      </c>
      <c r="U2331">
        <v>-7.04753841474884</v>
      </c>
      <c r="V2331">
        <v>0.92680429593756397</v>
      </c>
      <c r="W2331">
        <v>0.97381253745584595</v>
      </c>
      <c r="X2331">
        <v>0</v>
      </c>
      <c r="Y2331">
        <v>0</v>
      </c>
    </row>
    <row r="2332" spans="1:25" x14ac:dyDescent="0.2">
      <c r="A2332" t="s">
        <v>8736</v>
      </c>
      <c r="B2332" t="s">
        <v>8737</v>
      </c>
      <c r="C2332" t="s">
        <v>8738</v>
      </c>
      <c r="D2332" t="s">
        <v>8739</v>
      </c>
      <c r="E2332" t="s">
        <v>8737</v>
      </c>
      <c r="F2332" t="s">
        <v>28</v>
      </c>
      <c r="G2332" t="s">
        <v>8737</v>
      </c>
      <c r="H2332" t="str">
        <f>"ifo-1"</f>
        <v>ifo-1</v>
      </c>
      <c r="I2332" t="s">
        <v>8739</v>
      </c>
      <c r="J2332" t="s">
        <v>29</v>
      </c>
      <c r="K2332">
        <v>10.9771856988517</v>
      </c>
      <c r="L2332">
        <v>13.103572853307501</v>
      </c>
      <c r="M2332">
        <v>11.562029566630899</v>
      </c>
      <c r="N2332">
        <v>11.9457136133167</v>
      </c>
      <c r="O2332">
        <v>11.489506884106399</v>
      </c>
      <c r="P2332">
        <v>-0.374629254728292</v>
      </c>
      <c r="Q2332">
        <v>-1.60079229031999</v>
      </c>
      <c r="R2332">
        <v>0.85153378086340903</v>
      </c>
      <c r="S2332">
        <v>11.7803718923321</v>
      </c>
      <c r="T2332">
        <v>-0.64804176857168905</v>
      </c>
      <c r="U2332">
        <v>-6.7231846029842401</v>
      </c>
      <c r="V2332">
        <v>0.52620907873726697</v>
      </c>
      <c r="W2332">
        <v>0.770341181469824</v>
      </c>
      <c r="X2332">
        <v>0</v>
      </c>
      <c r="Y2332">
        <v>0</v>
      </c>
    </row>
    <row r="2333" spans="1:25" x14ac:dyDescent="0.2">
      <c r="A2333" t="s">
        <v>8740</v>
      </c>
      <c r="B2333" t="s">
        <v>8741</v>
      </c>
      <c r="C2333" t="s">
        <v>8742</v>
      </c>
      <c r="D2333" t="s">
        <v>8743</v>
      </c>
      <c r="E2333" t="s">
        <v>8741</v>
      </c>
      <c r="F2333" t="s">
        <v>28</v>
      </c>
      <c r="G2333" t="s">
        <v>8741</v>
      </c>
      <c r="H2333" t="str">
        <f>"tni-1"</f>
        <v>tni-1</v>
      </c>
      <c r="I2333" t="s">
        <v>8743</v>
      </c>
      <c r="J2333">
        <v>13.271353763424001</v>
      </c>
      <c r="K2333" t="s">
        <v>29</v>
      </c>
      <c r="L2333">
        <v>12.7515827250848</v>
      </c>
      <c r="M2333">
        <v>13.271557761221599</v>
      </c>
      <c r="N2333" t="s">
        <v>29</v>
      </c>
      <c r="O2333">
        <v>14.0565320724118</v>
      </c>
      <c r="P2333">
        <v>0.65257667256229401</v>
      </c>
      <c r="Q2333">
        <v>-0.32230397275068501</v>
      </c>
      <c r="R2333">
        <v>1.62745731787527</v>
      </c>
      <c r="S2333">
        <v>13.050845639551101</v>
      </c>
      <c r="T2333">
        <v>1.4367195112175699</v>
      </c>
      <c r="U2333">
        <v>-5.8318096964465198</v>
      </c>
      <c r="V2333">
        <v>0.172931153355838</v>
      </c>
      <c r="W2333">
        <v>0.43242610723413899</v>
      </c>
      <c r="X2333">
        <v>0</v>
      </c>
      <c r="Y2333">
        <v>0</v>
      </c>
    </row>
    <row r="2334" spans="1:25" x14ac:dyDescent="0.2">
      <c r="A2334" t="s">
        <v>8744</v>
      </c>
      <c r="B2334" t="s">
        <v>8745</v>
      </c>
      <c r="C2334" t="s">
        <v>14470</v>
      </c>
      <c r="D2334" t="s">
        <v>8746</v>
      </c>
      <c r="E2334" t="s">
        <v>8745</v>
      </c>
      <c r="F2334" t="s">
        <v>28</v>
      </c>
      <c r="G2334" t="s">
        <v>8745</v>
      </c>
      <c r="H2334" t="str">
        <f>"F42F12.3"</f>
        <v>F42F12.3</v>
      </c>
      <c r="I2334" t="s">
        <v>8746</v>
      </c>
      <c r="J2334">
        <v>13.6420805034049</v>
      </c>
      <c r="K2334">
        <v>13.8645554931676</v>
      </c>
      <c r="L2334">
        <v>13.9555827056121</v>
      </c>
      <c r="M2334">
        <v>13.485835037621101</v>
      </c>
      <c r="N2334">
        <v>13.7994107135597</v>
      </c>
      <c r="O2334">
        <v>13.6831442572539</v>
      </c>
      <c r="P2334">
        <v>-0.16460956458329401</v>
      </c>
      <c r="Q2334">
        <v>-0.64971034388006099</v>
      </c>
      <c r="R2334">
        <v>0.32049121471347197</v>
      </c>
      <c r="S2334">
        <v>13.957216975094999</v>
      </c>
      <c r="T2334">
        <v>-0.71320701632717398</v>
      </c>
      <c r="U2334">
        <v>-6.7892596148689703</v>
      </c>
      <c r="V2334">
        <v>0.48491542600246101</v>
      </c>
      <c r="W2334">
        <v>0.741501314009402</v>
      </c>
      <c r="X2334">
        <v>0</v>
      </c>
      <c r="Y2334">
        <v>0</v>
      </c>
    </row>
    <row r="2335" spans="1:25" x14ac:dyDescent="0.2">
      <c r="A2335" t="s">
        <v>8747</v>
      </c>
      <c r="B2335" t="s">
        <v>8748</v>
      </c>
      <c r="C2335" t="s">
        <v>8749</v>
      </c>
      <c r="D2335" t="s">
        <v>8750</v>
      </c>
      <c r="E2335" t="s">
        <v>8748</v>
      </c>
      <c r="F2335" t="s">
        <v>28</v>
      </c>
      <c r="G2335" t="s">
        <v>8748</v>
      </c>
      <c r="H2335" t="str">
        <f>"sip-1"</f>
        <v>sip-1</v>
      </c>
      <c r="I2335" t="s">
        <v>8750</v>
      </c>
      <c r="J2335">
        <v>16.280260827442302</v>
      </c>
      <c r="K2335">
        <v>15.992934463363101</v>
      </c>
      <c r="L2335">
        <v>16.432687528173201</v>
      </c>
      <c r="M2335">
        <v>15.491020073863099</v>
      </c>
      <c r="N2335">
        <v>16.527688641206002</v>
      </c>
      <c r="O2335">
        <v>16.439373218317101</v>
      </c>
      <c r="P2335">
        <v>-8.2600295197476498E-2</v>
      </c>
      <c r="Q2335">
        <v>-0.74874622432665106</v>
      </c>
      <c r="R2335">
        <v>0.583545633931698</v>
      </c>
      <c r="S2335">
        <v>16.605747424561201</v>
      </c>
      <c r="T2335">
        <v>-0.26061819603418102</v>
      </c>
      <c r="U2335">
        <v>-7.0165589456751398</v>
      </c>
      <c r="V2335">
        <v>0.79736231853702999</v>
      </c>
      <c r="W2335">
        <v>0.91517844850619501</v>
      </c>
      <c r="X2335">
        <v>0</v>
      </c>
      <c r="Y2335">
        <v>0</v>
      </c>
    </row>
    <row r="2336" spans="1:25" x14ac:dyDescent="0.2">
      <c r="A2336" t="s">
        <v>8751</v>
      </c>
      <c r="B2336" t="s">
        <v>8752</v>
      </c>
      <c r="C2336" t="s">
        <v>8753</v>
      </c>
      <c r="D2336" t="s">
        <v>8754</v>
      </c>
      <c r="E2336" t="s">
        <v>8752</v>
      </c>
      <c r="F2336" t="s">
        <v>28</v>
      </c>
      <c r="G2336" t="s">
        <v>8752</v>
      </c>
      <c r="H2336" t="str">
        <f>"sly-1"</f>
        <v>sly-1</v>
      </c>
      <c r="I2336" t="s">
        <v>8754</v>
      </c>
      <c r="J2336">
        <v>12.358151439156901</v>
      </c>
      <c r="K2336">
        <v>12.435713751454101</v>
      </c>
      <c r="L2336">
        <v>12.3426351442452</v>
      </c>
      <c r="M2336">
        <v>13.1405200772942</v>
      </c>
      <c r="N2336">
        <v>13.4466645592603</v>
      </c>
      <c r="O2336">
        <v>13.625195782094099</v>
      </c>
      <c r="P2336">
        <v>1.0252933612641699</v>
      </c>
      <c r="Q2336">
        <v>0.55119222718015604</v>
      </c>
      <c r="R2336">
        <v>1.4993944953481899</v>
      </c>
      <c r="S2336">
        <v>12.6645709560268</v>
      </c>
      <c r="T2336">
        <v>4.5869782512845498</v>
      </c>
      <c r="U2336">
        <v>-1.11614190944183E-2</v>
      </c>
      <c r="V2336">
        <v>3.0872894556491801E-4</v>
      </c>
      <c r="W2336">
        <v>7.55393022853803E-3</v>
      </c>
      <c r="X2336">
        <v>1</v>
      </c>
      <c r="Y2336">
        <v>1</v>
      </c>
    </row>
    <row r="2337" spans="1:25" x14ac:dyDescent="0.2">
      <c r="A2337" t="s">
        <v>8755</v>
      </c>
      <c r="B2337" t="s">
        <v>8756</v>
      </c>
      <c r="C2337" t="s">
        <v>8757</v>
      </c>
      <c r="D2337" t="s">
        <v>8758</v>
      </c>
      <c r="E2337" t="s">
        <v>8756</v>
      </c>
      <c r="F2337" t="s">
        <v>28</v>
      </c>
      <c r="G2337" t="s">
        <v>8756</v>
      </c>
      <c r="H2337" t="str">
        <f>"rab-33"</f>
        <v>rab-33</v>
      </c>
      <c r="I2337" t="s">
        <v>8758</v>
      </c>
      <c r="J2337">
        <v>13.7190446062536</v>
      </c>
      <c r="K2337">
        <v>14.0028129905256</v>
      </c>
      <c r="L2337">
        <v>13.8530812507995</v>
      </c>
      <c r="M2337">
        <v>13.8594301369466</v>
      </c>
      <c r="N2337">
        <v>13.5353960848394</v>
      </c>
      <c r="O2337">
        <v>13.0526173442938</v>
      </c>
      <c r="P2337">
        <v>-0.375831760499658</v>
      </c>
      <c r="Q2337">
        <v>-0.85266668858335803</v>
      </c>
      <c r="R2337">
        <v>0.101003167584043</v>
      </c>
      <c r="S2337">
        <v>13.3228240326375</v>
      </c>
      <c r="T2337">
        <v>-1.67176392075071</v>
      </c>
      <c r="U2337">
        <v>-5.6947195263750396</v>
      </c>
      <c r="V2337">
        <v>0.11413743160320899</v>
      </c>
      <c r="W2337">
        <v>0.34678170162170102</v>
      </c>
      <c r="X2337">
        <v>0</v>
      </c>
      <c r="Y2337">
        <v>0</v>
      </c>
    </row>
    <row r="2338" spans="1:25" x14ac:dyDescent="0.2">
      <c r="A2338" t="s">
        <v>8759</v>
      </c>
      <c r="B2338" t="s">
        <v>8760</v>
      </c>
      <c r="C2338" t="s">
        <v>8761</v>
      </c>
      <c r="D2338" t="s">
        <v>8762</v>
      </c>
      <c r="E2338" t="s">
        <v>8760</v>
      </c>
      <c r="F2338" t="s">
        <v>28</v>
      </c>
      <c r="G2338" t="s">
        <v>8760</v>
      </c>
      <c r="H2338" t="str">
        <f>"patr-1"</f>
        <v>patr-1</v>
      </c>
      <c r="I2338" t="s">
        <v>8762</v>
      </c>
      <c r="J2338">
        <v>14.010181173393001</v>
      </c>
      <c r="K2338">
        <v>14.0970307779368</v>
      </c>
      <c r="L2338">
        <v>13.7389172047664</v>
      </c>
      <c r="M2338">
        <v>15.4651490170023</v>
      </c>
      <c r="N2338">
        <v>15.4508670797967</v>
      </c>
      <c r="O2338">
        <v>15.0344372827534</v>
      </c>
      <c r="P2338">
        <v>1.3681080744854399</v>
      </c>
      <c r="Q2338">
        <v>0.93830603963151904</v>
      </c>
      <c r="R2338">
        <v>1.7979101093393599</v>
      </c>
      <c r="S2338">
        <v>14.4836078319662</v>
      </c>
      <c r="T2338">
        <v>6.6902824310878701</v>
      </c>
      <c r="U2338">
        <v>4.6148254351947804</v>
      </c>
      <c r="V2338" s="2">
        <v>2.91562959460499E-6</v>
      </c>
      <c r="W2338">
        <v>1.4824154220069799E-4</v>
      </c>
      <c r="X2338">
        <v>1</v>
      </c>
      <c r="Y2338">
        <v>1</v>
      </c>
    </row>
    <row r="2339" spans="1:25" x14ac:dyDescent="0.2">
      <c r="A2339" t="s">
        <v>8763</v>
      </c>
      <c r="B2339" t="s">
        <v>8764</v>
      </c>
      <c r="C2339" t="s">
        <v>8765</v>
      </c>
      <c r="D2339" t="s">
        <v>8766</v>
      </c>
      <c r="E2339" t="s">
        <v>8764</v>
      </c>
      <c r="F2339" t="s">
        <v>28</v>
      </c>
      <c r="G2339" t="s">
        <v>8764</v>
      </c>
      <c r="H2339" t="str">
        <f>"sptl-2"</f>
        <v>sptl-2</v>
      </c>
      <c r="I2339" t="s">
        <v>8766</v>
      </c>
      <c r="J2339">
        <v>12.8592760271338</v>
      </c>
      <c r="K2339">
        <v>12.432764071246201</v>
      </c>
      <c r="L2339">
        <v>12.668905197927399</v>
      </c>
      <c r="M2339">
        <v>12.289848843467301</v>
      </c>
      <c r="N2339">
        <v>12.2476695740657</v>
      </c>
      <c r="O2339">
        <v>11.9895120838242</v>
      </c>
      <c r="P2339">
        <v>-0.47797159831677</v>
      </c>
      <c r="Q2339">
        <v>-0.91162311107064498</v>
      </c>
      <c r="R2339">
        <v>-4.4320085562896197E-2</v>
      </c>
      <c r="S2339">
        <v>12.4933811670409</v>
      </c>
      <c r="T2339">
        <v>-2.3265438289573299</v>
      </c>
      <c r="U2339">
        <v>-4.5864321797274599</v>
      </c>
      <c r="V2339">
        <v>3.2692574583508098E-2</v>
      </c>
      <c r="W2339">
        <v>0.17819369798113099</v>
      </c>
      <c r="X2339">
        <v>0</v>
      </c>
      <c r="Y2339">
        <v>0</v>
      </c>
    </row>
    <row r="2340" spans="1:25" x14ac:dyDescent="0.2">
      <c r="A2340" t="s">
        <v>8767</v>
      </c>
      <c r="B2340" t="s">
        <v>8768</v>
      </c>
      <c r="C2340" t="s">
        <v>14471</v>
      </c>
      <c r="D2340" t="s">
        <v>8769</v>
      </c>
      <c r="E2340" t="s">
        <v>8768</v>
      </c>
      <c r="F2340" t="s">
        <v>28</v>
      </c>
      <c r="G2340" t="s">
        <v>8768</v>
      </c>
      <c r="H2340" t="str">
        <f>"F43H9.3"</f>
        <v>F43H9.3</v>
      </c>
      <c r="I2340" t="s">
        <v>8769</v>
      </c>
      <c r="J2340">
        <v>11.4687166826957</v>
      </c>
      <c r="K2340">
        <v>11.4743825194615</v>
      </c>
      <c r="L2340">
        <v>11.981720229251099</v>
      </c>
      <c r="M2340">
        <v>11.715239805696701</v>
      </c>
      <c r="N2340">
        <v>12.531166289076699</v>
      </c>
      <c r="O2340">
        <v>11.9762418959724</v>
      </c>
      <c r="P2340">
        <v>0.43260951977917</v>
      </c>
      <c r="Q2340">
        <v>-0.11329782538006999</v>
      </c>
      <c r="R2340">
        <v>0.97851686493840995</v>
      </c>
      <c r="S2340">
        <v>12.279445267401501</v>
      </c>
      <c r="T2340">
        <v>1.6901246666774301</v>
      </c>
      <c r="U2340">
        <v>-5.6689168973535402</v>
      </c>
      <c r="V2340">
        <v>0.111817844566431</v>
      </c>
      <c r="W2340">
        <v>0.34411407745613198</v>
      </c>
      <c r="X2340">
        <v>0</v>
      </c>
      <c r="Y2340">
        <v>0</v>
      </c>
    </row>
    <row r="2341" spans="1:25" x14ac:dyDescent="0.2">
      <c r="A2341" t="s">
        <v>8770</v>
      </c>
      <c r="B2341" t="s">
        <v>8771</v>
      </c>
      <c r="C2341" t="s">
        <v>8772</v>
      </c>
      <c r="D2341" t="s">
        <v>1281</v>
      </c>
      <c r="E2341" t="s">
        <v>8771</v>
      </c>
      <c r="F2341" t="s">
        <v>28</v>
      </c>
      <c r="G2341" t="s">
        <v>8771</v>
      </c>
      <c r="H2341" t="str">
        <f>"magu-4"</f>
        <v>magu-4</v>
      </c>
      <c r="I2341" t="s">
        <v>1281</v>
      </c>
      <c r="J2341">
        <v>12.819017722582</v>
      </c>
      <c r="K2341">
        <v>12.7294851942873</v>
      </c>
      <c r="L2341">
        <v>12.640594066610101</v>
      </c>
      <c r="M2341">
        <v>12.530092817348701</v>
      </c>
      <c r="N2341">
        <v>11.036994841106401</v>
      </c>
      <c r="O2341">
        <v>12.434594980151401</v>
      </c>
      <c r="P2341">
        <v>-0.72913811495762304</v>
      </c>
      <c r="Q2341">
        <v>-1.37350423991495</v>
      </c>
      <c r="R2341">
        <v>-8.4771990000296601E-2</v>
      </c>
      <c r="S2341">
        <v>12.5071863682866</v>
      </c>
      <c r="T2341">
        <v>-2.4000850400107301</v>
      </c>
      <c r="U2341">
        <v>-4.4621425873701801</v>
      </c>
      <c r="V2341">
        <v>2.9003735956929299E-2</v>
      </c>
      <c r="W2341">
        <v>0.16822941267366101</v>
      </c>
      <c r="X2341">
        <v>0</v>
      </c>
      <c r="Y2341">
        <v>0</v>
      </c>
    </row>
    <row r="2342" spans="1:25" x14ac:dyDescent="0.2">
      <c r="A2342" t="s">
        <v>8773</v>
      </c>
      <c r="B2342" t="s">
        <v>8774</v>
      </c>
      <c r="C2342" t="s">
        <v>8775</v>
      </c>
      <c r="D2342" t="s">
        <v>8776</v>
      </c>
      <c r="E2342" t="s">
        <v>8774</v>
      </c>
      <c r="F2342" t="s">
        <v>28</v>
      </c>
      <c r="G2342" t="s">
        <v>8774</v>
      </c>
      <c r="H2342" t="str">
        <f>"egg-3"</f>
        <v>egg-3</v>
      </c>
      <c r="I2342" t="s">
        <v>8776</v>
      </c>
      <c r="J2342" t="s">
        <v>29</v>
      </c>
      <c r="K2342" t="s">
        <v>29</v>
      </c>
      <c r="L2342">
        <v>11.446270075490499</v>
      </c>
      <c r="M2342" t="s">
        <v>29</v>
      </c>
      <c r="N2342" t="s">
        <v>29</v>
      </c>
      <c r="O2342">
        <v>11.6424700310861</v>
      </c>
      <c r="P2342">
        <v>0.19619995559567499</v>
      </c>
      <c r="Q2342">
        <v>-0.61979037881911903</v>
      </c>
      <c r="R2342">
        <v>1.01219029001047</v>
      </c>
      <c r="S2342">
        <v>12.5017532113134</v>
      </c>
      <c r="T2342">
        <v>0.53651365609553903</v>
      </c>
      <c r="U2342">
        <v>-6.3573027313896002</v>
      </c>
      <c r="V2342">
        <v>0.60345560454705405</v>
      </c>
      <c r="W2342">
        <v>0.80985940123530897</v>
      </c>
      <c r="X2342">
        <v>0</v>
      </c>
      <c r="Y2342">
        <v>0</v>
      </c>
    </row>
    <row r="2343" spans="1:25" x14ac:dyDescent="0.2">
      <c r="A2343" t="s">
        <v>8777</v>
      </c>
      <c r="B2343" t="s">
        <v>8778</v>
      </c>
      <c r="C2343" t="s">
        <v>8779</v>
      </c>
      <c r="D2343" t="s">
        <v>8780</v>
      </c>
      <c r="E2343" t="s">
        <v>8778</v>
      </c>
      <c r="F2343" t="s">
        <v>28</v>
      </c>
      <c r="G2343" t="s">
        <v>8778</v>
      </c>
      <c r="H2343" t="str">
        <f>"cnep-1"</f>
        <v>cnep-1</v>
      </c>
      <c r="I2343" t="s">
        <v>8780</v>
      </c>
      <c r="J2343">
        <v>13.956386772339901</v>
      </c>
      <c r="K2343">
        <v>14.3828436473322</v>
      </c>
      <c r="L2343">
        <v>13.575921070579099</v>
      </c>
      <c r="M2343">
        <v>14.107666739322999</v>
      </c>
      <c r="N2343">
        <v>13.7592522381217</v>
      </c>
      <c r="O2343">
        <v>13.629442016703299</v>
      </c>
      <c r="P2343">
        <v>-0.13959683203442999</v>
      </c>
      <c r="Q2343">
        <v>-0.71590858991831796</v>
      </c>
      <c r="R2343">
        <v>0.43671492584945898</v>
      </c>
      <c r="S2343">
        <v>13.9283529314575</v>
      </c>
      <c r="T2343">
        <v>-0.51129093826177896</v>
      </c>
      <c r="U2343">
        <v>-6.9157174918915398</v>
      </c>
      <c r="V2343">
        <v>0.61576428107633996</v>
      </c>
      <c r="W2343">
        <v>0.81917292339428005</v>
      </c>
      <c r="X2343">
        <v>0</v>
      </c>
      <c r="Y2343">
        <v>0</v>
      </c>
    </row>
    <row r="2344" spans="1:25" x14ac:dyDescent="0.2">
      <c r="A2344" t="s">
        <v>8781</v>
      </c>
      <c r="B2344" t="s">
        <v>8782</v>
      </c>
      <c r="C2344" t="s">
        <v>8783</v>
      </c>
      <c r="D2344" t="s">
        <v>7751</v>
      </c>
      <c r="E2344" t="s">
        <v>8782</v>
      </c>
      <c r="F2344" t="s">
        <v>28</v>
      </c>
      <c r="G2344" t="s">
        <v>8782</v>
      </c>
      <c r="H2344" t="str">
        <f>"gei-1"</f>
        <v>gei-1</v>
      </c>
      <c r="I2344" t="s">
        <v>7751</v>
      </c>
      <c r="J2344">
        <v>13.681476423617699</v>
      </c>
      <c r="K2344">
        <v>14.063362360532899</v>
      </c>
      <c r="L2344">
        <v>13.940222502290601</v>
      </c>
      <c r="M2344">
        <v>13.693829533315</v>
      </c>
      <c r="N2344">
        <v>13.6753682132459</v>
      </c>
      <c r="O2344">
        <v>13.955592190771</v>
      </c>
      <c r="P2344">
        <v>-0.120090449703094</v>
      </c>
      <c r="Q2344">
        <v>-0.51755939356041802</v>
      </c>
      <c r="R2344">
        <v>0.27737849415422999</v>
      </c>
      <c r="S2344">
        <v>13.654846355116</v>
      </c>
      <c r="T2344">
        <v>-0.64084765595347104</v>
      </c>
      <c r="U2344">
        <v>-6.8381995899160204</v>
      </c>
      <c r="V2344">
        <v>0.53075335423183201</v>
      </c>
      <c r="W2344">
        <v>0.77317525993383995</v>
      </c>
      <c r="X2344">
        <v>0</v>
      </c>
      <c r="Y2344">
        <v>0</v>
      </c>
    </row>
    <row r="2345" spans="1:25" x14ac:dyDescent="0.2">
      <c r="A2345" t="s">
        <v>8784</v>
      </c>
      <c r="B2345" t="s">
        <v>8785</v>
      </c>
      <c r="C2345" t="s">
        <v>14472</v>
      </c>
      <c r="D2345" t="s">
        <v>8786</v>
      </c>
      <c r="E2345" t="s">
        <v>8785</v>
      </c>
      <c r="F2345" t="s">
        <v>28</v>
      </c>
      <c r="G2345" t="s">
        <v>8785</v>
      </c>
      <c r="H2345" t="str">
        <f>"F46B6.4"</f>
        <v>F46B6.4</v>
      </c>
      <c r="I2345" t="s">
        <v>8786</v>
      </c>
      <c r="J2345">
        <v>12.141604892187701</v>
      </c>
      <c r="K2345">
        <v>12.1220572924989</v>
      </c>
      <c r="L2345">
        <v>11.9371987384216</v>
      </c>
      <c r="M2345" t="s">
        <v>29</v>
      </c>
      <c r="N2345">
        <v>11.099615557708301</v>
      </c>
      <c r="O2345">
        <v>12.101518674364</v>
      </c>
      <c r="P2345">
        <v>-0.46638652499991001</v>
      </c>
      <c r="Q2345">
        <v>-1.1319164574387901</v>
      </c>
      <c r="R2345">
        <v>0.19914340743897299</v>
      </c>
      <c r="S2345">
        <v>12.131084630183301</v>
      </c>
      <c r="T2345">
        <v>-1.51518494252436</v>
      </c>
      <c r="U2345">
        <v>-5.8144122572594998</v>
      </c>
      <c r="V2345">
        <v>0.15384819622725801</v>
      </c>
      <c r="W2345">
        <v>0.40569046233670703</v>
      </c>
      <c r="X2345">
        <v>0</v>
      </c>
      <c r="Y2345">
        <v>0</v>
      </c>
    </row>
    <row r="2346" spans="1:25" x14ac:dyDescent="0.2">
      <c r="A2346" t="s">
        <v>8787</v>
      </c>
      <c r="B2346" t="s">
        <v>8788</v>
      </c>
      <c r="C2346" t="s">
        <v>8789</v>
      </c>
      <c r="D2346" t="s">
        <v>8790</v>
      </c>
      <c r="E2346" t="s">
        <v>8788</v>
      </c>
      <c r="F2346" t="s">
        <v>28</v>
      </c>
      <c r="G2346" t="s">
        <v>8788</v>
      </c>
      <c r="H2346" t="str">
        <f>"ztf-7"</f>
        <v>ztf-7</v>
      </c>
      <c r="I2346" t="s">
        <v>8790</v>
      </c>
      <c r="J2346">
        <v>13.795238453707</v>
      </c>
      <c r="K2346">
        <v>14.065911636088501</v>
      </c>
      <c r="L2346">
        <v>13.7020280392298</v>
      </c>
      <c r="M2346">
        <v>14.3909919600514</v>
      </c>
      <c r="N2346">
        <v>14.1760948672287</v>
      </c>
      <c r="O2346">
        <v>14.277270608713399</v>
      </c>
      <c r="P2346">
        <v>0.427059768989412</v>
      </c>
      <c r="Q2346">
        <v>2.0454161333864601E-2</v>
      </c>
      <c r="R2346">
        <v>0.83366537664495999</v>
      </c>
      <c r="S2346">
        <v>13.8070218148913</v>
      </c>
      <c r="T2346">
        <v>2.20753607827556</v>
      </c>
      <c r="U2346">
        <v>-4.79558510183195</v>
      </c>
      <c r="V2346">
        <v>4.0576264729151899E-2</v>
      </c>
      <c r="W2346">
        <v>0.19929276699842499</v>
      </c>
      <c r="X2346">
        <v>0</v>
      </c>
      <c r="Y2346">
        <v>0</v>
      </c>
    </row>
    <row r="2347" spans="1:25" x14ac:dyDescent="0.2">
      <c r="A2347" t="s">
        <v>8791</v>
      </c>
      <c r="B2347" t="s">
        <v>8792</v>
      </c>
      <c r="C2347" t="s">
        <v>8793</v>
      </c>
      <c r="D2347" t="s">
        <v>2180</v>
      </c>
      <c r="E2347" t="s">
        <v>8792</v>
      </c>
      <c r="F2347" t="s">
        <v>28</v>
      </c>
      <c r="G2347" t="s">
        <v>8792</v>
      </c>
      <c r="H2347" t="str">
        <f>"hum-4"</f>
        <v>hum-4</v>
      </c>
      <c r="I2347" t="s">
        <v>2180</v>
      </c>
      <c r="J2347">
        <v>15.0941003776624</v>
      </c>
      <c r="K2347">
        <v>15.4381186131133</v>
      </c>
      <c r="L2347">
        <v>15.057902420109601</v>
      </c>
      <c r="M2347">
        <v>15.5286810392885</v>
      </c>
      <c r="N2347">
        <v>15.115070422649101</v>
      </c>
      <c r="O2347">
        <v>15.3082099929025</v>
      </c>
      <c r="P2347">
        <v>0.12061334798491601</v>
      </c>
      <c r="Q2347">
        <v>-0.27606058086082502</v>
      </c>
      <c r="R2347">
        <v>0.51728727683065701</v>
      </c>
      <c r="S2347">
        <v>15.1311342842579</v>
      </c>
      <c r="T2347">
        <v>0.63907853101712797</v>
      </c>
      <c r="U2347">
        <v>-6.8404712713061002</v>
      </c>
      <c r="V2347">
        <v>0.53086781124943605</v>
      </c>
      <c r="W2347">
        <v>0.77317525993383995</v>
      </c>
      <c r="X2347">
        <v>0</v>
      </c>
      <c r="Y2347">
        <v>0</v>
      </c>
    </row>
    <row r="2348" spans="1:25" x14ac:dyDescent="0.2">
      <c r="A2348" t="s">
        <v>8794</v>
      </c>
      <c r="B2348" t="s">
        <v>8795</v>
      </c>
      <c r="C2348" t="s">
        <v>8796</v>
      </c>
      <c r="D2348" t="s">
        <v>8797</v>
      </c>
      <c r="E2348" t="s">
        <v>8795</v>
      </c>
      <c r="F2348" t="s">
        <v>28</v>
      </c>
      <c r="G2348" t="s">
        <v>8795</v>
      </c>
      <c r="H2348" t="str">
        <f>"kin-20"</f>
        <v>kin-20</v>
      </c>
      <c r="I2348" t="s">
        <v>8797</v>
      </c>
      <c r="J2348">
        <v>13.509976409863301</v>
      </c>
      <c r="K2348">
        <v>13.5431673456398</v>
      </c>
      <c r="L2348">
        <v>13.4137781267537</v>
      </c>
      <c r="M2348">
        <v>13.2348179982634</v>
      </c>
      <c r="N2348">
        <v>13.2262232313618</v>
      </c>
      <c r="O2348">
        <v>13.020103136743501</v>
      </c>
      <c r="P2348">
        <v>-0.32859250529606299</v>
      </c>
      <c r="Q2348">
        <v>-0.86685921184547998</v>
      </c>
      <c r="R2348">
        <v>0.20967420125335401</v>
      </c>
      <c r="S2348">
        <v>13.2486625842226</v>
      </c>
      <c r="T2348">
        <v>-1.2830767888352701</v>
      </c>
      <c r="U2348">
        <v>-6.2270102207852496</v>
      </c>
      <c r="V2348">
        <v>0.21583425835589201</v>
      </c>
      <c r="W2348">
        <v>0.48236584937505</v>
      </c>
      <c r="X2348">
        <v>0</v>
      </c>
      <c r="Y2348">
        <v>0</v>
      </c>
    </row>
    <row r="2349" spans="1:25" x14ac:dyDescent="0.2">
      <c r="A2349" t="s">
        <v>8798</v>
      </c>
      <c r="B2349" t="s">
        <v>8799</v>
      </c>
      <c r="C2349" t="s">
        <v>8800</v>
      </c>
      <c r="D2349" t="s">
        <v>8801</v>
      </c>
      <c r="E2349" t="s">
        <v>8799</v>
      </c>
      <c r="F2349" t="s">
        <v>28</v>
      </c>
      <c r="G2349" t="s">
        <v>8799</v>
      </c>
      <c r="H2349" t="str">
        <f>"sir-2.2"</f>
        <v>sir-2.2</v>
      </c>
      <c r="I2349" t="s">
        <v>8801</v>
      </c>
      <c r="J2349">
        <v>15.112276495764901</v>
      </c>
      <c r="K2349">
        <v>15.6552973283532</v>
      </c>
      <c r="L2349">
        <v>15.566521811986</v>
      </c>
      <c r="M2349">
        <v>14.6300765650273</v>
      </c>
      <c r="N2349">
        <v>14.9454524759769</v>
      </c>
      <c r="O2349">
        <v>14.922200654026399</v>
      </c>
      <c r="P2349">
        <v>-0.61212198035781296</v>
      </c>
      <c r="Q2349">
        <v>-1.1811492950217899</v>
      </c>
      <c r="R2349">
        <v>-4.3094665693840101E-2</v>
      </c>
      <c r="S2349">
        <v>15.431619964212301</v>
      </c>
      <c r="T2349">
        <v>-2.2609833995774902</v>
      </c>
      <c r="U2349">
        <v>-4.6979243653003797</v>
      </c>
      <c r="V2349">
        <v>3.6460643944871099E-2</v>
      </c>
      <c r="W2349">
        <v>0.19047932039846399</v>
      </c>
      <c r="X2349">
        <v>0</v>
      </c>
      <c r="Y2349">
        <v>0</v>
      </c>
    </row>
    <row r="2350" spans="1:25" x14ac:dyDescent="0.2">
      <c r="A2350" t="s">
        <v>8802</v>
      </c>
      <c r="B2350" t="s">
        <v>8803</v>
      </c>
      <c r="C2350" t="s">
        <v>8804</v>
      </c>
      <c r="D2350" t="s">
        <v>323</v>
      </c>
      <c r="E2350" t="s">
        <v>8803</v>
      </c>
      <c r="F2350" t="s">
        <v>28</v>
      </c>
      <c r="G2350" t="s">
        <v>8803</v>
      </c>
      <c r="H2350" t="str">
        <f>"gakh-1"</f>
        <v>gakh-1</v>
      </c>
      <c r="I2350" t="s">
        <v>323</v>
      </c>
      <c r="J2350">
        <v>10.996683621467</v>
      </c>
      <c r="K2350">
        <v>10.907850042309899</v>
      </c>
      <c r="L2350">
        <v>11.100535440992701</v>
      </c>
      <c r="M2350">
        <v>12.5752689547625</v>
      </c>
      <c r="N2350">
        <v>12.8210694469975</v>
      </c>
      <c r="O2350">
        <v>12.1691184337436</v>
      </c>
      <c r="P2350">
        <v>1.5201292435779801</v>
      </c>
      <c r="Q2350">
        <v>0.89857648843035698</v>
      </c>
      <c r="R2350">
        <v>2.1416819987256099</v>
      </c>
      <c r="S2350">
        <v>11.738941370002101</v>
      </c>
      <c r="T2350">
        <v>5.1874275927402804</v>
      </c>
      <c r="U2350">
        <v>1.21195144257688</v>
      </c>
      <c r="V2350" s="2">
        <v>9.1753516640437395E-5</v>
      </c>
      <c r="W2350">
        <v>2.89869847716489E-3</v>
      </c>
      <c r="X2350">
        <v>1</v>
      </c>
      <c r="Y2350">
        <v>1</v>
      </c>
    </row>
    <row r="2351" spans="1:25" x14ac:dyDescent="0.2">
      <c r="A2351" t="s">
        <v>8805</v>
      </c>
      <c r="B2351" t="s">
        <v>8806</v>
      </c>
      <c r="C2351" t="s">
        <v>8807</v>
      </c>
      <c r="D2351" t="s">
        <v>8808</v>
      </c>
      <c r="E2351" t="s">
        <v>8806</v>
      </c>
      <c r="F2351" t="s">
        <v>28</v>
      </c>
      <c r="G2351" t="s">
        <v>8806</v>
      </c>
      <c r="H2351" t="str">
        <f>"dpy-22"</f>
        <v>dpy-22</v>
      </c>
      <c r="I2351" t="s">
        <v>8808</v>
      </c>
      <c r="J2351">
        <v>12.369544698637499</v>
      </c>
      <c r="K2351">
        <v>12.514963675044999</v>
      </c>
      <c r="L2351">
        <v>12.466613432640001</v>
      </c>
      <c r="M2351">
        <v>12.3798903586917</v>
      </c>
      <c r="N2351">
        <v>11.4613748045956</v>
      </c>
      <c r="O2351">
        <v>11.819379532200999</v>
      </c>
      <c r="P2351">
        <v>-0.56349237027808396</v>
      </c>
      <c r="Q2351">
        <v>-1.0309785604192601</v>
      </c>
      <c r="R2351">
        <v>-9.6006180136905303E-2</v>
      </c>
      <c r="S2351">
        <v>12.3870319322836</v>
      </c>
      <c r="T2351">
        <v>-2.5566353164528501</v>
      </c>
      <c r="U2351">
        <v>-4.1677609382616598</v>
      </c>
      <c r="V2351">
        <v>2.11957507586268E-2</v>
      </c>
      <c r="W2351">
        <v>0.14075708769096201</v>
      </c>
      <c r="X2351">
        <v>0</v>
      </c>
      <c r="Y2351">
        <v>0</v>
      </c>
    </row>
    <row r="2352" spans="1:25" x14ac:dyDescent="0.2">
      <c r="A2352" t="s">
        <v>8809</v>
      </c>
      <c r="B2352" t="s">
        <v>8810</v>
      </c>
      <c r="C2352" t="s">
        <v>8811</v>
      </c>
      <c r="D2352" t="s">
        <v>8812</v>
      </c>
      <c r="E2352" t="s">
        <v>8810</v>
      </c>
      <c r="F2352" t="s">
        <v>28</v>
      </c>
      <c r="G2352" t="s">
        <v>8810</v>
      </c>
      <c r="H2352" t="str">
        <f>"rrc-1"</f>
        <v>rrc-1</v>
      </c>
      <c r="I2352" t="s">
        <v>8812</v>
      </c>
      <c r="J2352" t="s">
        <v>29</v>
      </c>
      <c r="K2352" t="s">
        <v>29</v>
      </c>
      <c r="L2352" t="s">
        <v>29</v>
      </c>
      <c r="M2352" t="s">
        <v>29</v>
      </c>
      <c r="N2352" t="s">
        <v>29</v>
      </c>
      <c r="O2352" t="s">
        <v>29</v>
      </c>
      <c r="P2352" t="s">
        <v>29</v>
      </c>
      <c r="Q2352" t="s">
        <v>29</v>
      </c>
      <c r="R2352" t="s">
        <v>29</v>
      </c>
      <c r="S2352">
        <v>10.945536744263</v>
      </c>
      <c r="T2352" t="s">
        <v>29</v>
      </c>
      <c r="U2352" t="s">
        <v>29</v>
      </c>
      <c r="V2352" t="s">
        <v>29</v>
      </c>
      <c r="W2352" t="s">
        <v>29</v>
      </c>
      <c r="X2352" t="s">
        <v>29</v>
      </c>
      <c r="Y2352" t="s">
        <v>29</v>
      </c>
    </row>
    <row r="2353" spans="1:25" x14ac:dyDescent="0.2">
      <c r="A2353" t="s">
        <v>8813</v>
      </c>
      <c r="B2353" t="s">
        <v>8814</v>
      </c>
      <c r="C2353" t="s">
        <v>8815</v>
      </c>
      <c r="D2353" t="s">
        <v>8816</v>
      </c>
      <c r="E2353" t="s">
        <v>8814</v>
      </c>
      <c r="F2353" t="s">
        <v>28</v>
      </c>
      <c r="G2353" t="s">
        <v>8814</v>
      </c>
      <c r="H2353" t="str">
        <f>"haly-1"</f>
        <v>haly-1</v>
      </c>
      <c r="I2353" t="s">
        <v>8816</v>
      </c>
      <c r="J2353">
        <v>11.082089749399101</v>
      </c>
      <c r="K2353">
        <v>11.719066979549201</v>
      </c>
      <c r="L2353">
        <v>11.7918116422248</v>
      </c>
      <c r="M2353">
        <v>12.9030850370486</v>
      </c>
      <c r="N2353">
        <v>13.8652200923009</v>
      </c>
      <c r="O2353">
        <v>12.6710584381141</v>
      </c>
      <c r="P2353">
        <v>1.6154650654301801</v>
      </c>
      <c r="Q2353">
        <v>0.79179981194289895</v>
      </c>
      <c r="R2353">
        <v>2.4391303189174698</v>
      </c>
      <c r="S2353">
        <v>12.548210965682999</v>
      </c>
      <c r="T2353">
        <v>4.1399666096957599</v>
      </c>
      <c r="U2353">
        <v>-0.85209265763277398</v>
      </c>
      <c r="V2353">
        <v>6.9301679570027799E-4</v>
      </c>
      <c r="W2353">
        <v>1.38348260933049E-2</v>
      </c>
      <c r="X2353">
        <v>1</v>
      </c>
      <c r="Y2353">
        <v>1</v>
      </c>
    </row>
    <row r="2354" spans="1:25" x14ac:dyDescent="0.2">
      <c r="A2354" t="s">
        <v>8817</v>
      </c>
      <c r="B2354" t="s">
        <v>8818</v>
      </c>
      <c r="C2354" t="s">
        <v>8819</v>
      </c>
      <c r="D2354" t="s">
        <v>8820</v>
      </c>
      <c r="E2354" t="s">
        <v>8818</v>
      </c>
      <c r="F2354" t="s">
        <v>28</v>
      </c>
      <c r="G2354" t="s">
        <v>8818</v>
      </c>
      <c r="H2354" t="str">
        <f>"acbp-3"</f>
        <v>acbp-3</v>
      </c>
      <c r="I2354" t="s">
        <v>8820</v>
      </c>
      <c r="J2354" t="s">
        <v>29</v>
      </c>
      <c r="K2354" t="s">
        <v>29</v>
      </c>
      <c r="L2354" t="s">
        <v>29</v>
      </c>
      <c r="M2354">
        <v>17.3414222232377</v>
      </c>
      <c r="N2354">
        <v>17.369246383196099</v>
      </c>
      <c r="O2354">
        <v>16.723265254384</v>
      </c>
      <c r="P2354" t="s">
        <v>29</v>
      </c>
      <c r="Q2354" t="s">
        <v>29</v>
      </c>
      <c r="R2354" t="s">
        <v>29</v>
      </c>
      <c r="S2354">
        <v>15.7842783248035</v>
      </c>
      <c r="T2354" t="s">
        <v>29</v>
      </c>
      <c r="U2354" t="s">
        <v>29</v>
      </c>
      <c r="V2354" t="s">
        <v>29</v>
      </c>
      <c r="W2354" t="s">
        <v>29</v>
      </c>
      <c r="X2354" t="s">
        <v>29</v>
      </c>
      <c r="Y2354" t="s">
        <v>29</v>
      </c>
    </row>
    <row r="2355" spans="1:25" x14ac:dyDescent="0.2">
      <c r="A2355" t="s">
        <v>8821</v>
      </c>
      <c r="B2355" t="s">
        <v>8822</v>
      </c>
      <c r="C2355" t="s">
        <v>8823</v>
      </c>
      <c r="D2355" t="s">
        <v>8220</v>
      </c>
      <c r="E2355" t="s">
        <v>8822</v>
      </c>
      <c r="F2355" t="s">
        <v>28</v>
      </c>
      <c r="G2355" t="s">
        <v>8822</v>
      </c>
      <c r="H2355" t="str">
        <f>"pqn-39"</f>
        <v>pqn-39</v>
      </c>
      <c r="I2355" t="s">
        <v>8220</v>
      </c>
      <c r="J2355">
        <v>12.575894321477101</v>
      </c>
      <c r="K2355">
        <v>12.9170719428024</v>
      </c>
      <c r="L2355">
        <v>13.151348169626999</v>
      </c>
      <c r="M2355">
        <v>12.528166083355201</v>
      </c>
      <c r="N2355">
        <v>11.9473745282001</v>
      </c>
      <c r="O2355">
        <v>12.8834305740396</v>
      </c>
      <c r="P2355">
        <v>-0.42844774943722402</v>
      </c>
      <c r="Q2355">
        <v>-1.05338514728307</v>
      </c>
      <c r="R2355">
        <v>0.19648964840861799</v>
      </c>
      <c r="S2355">
        <v>12.965251141555999</v>
      </c>
      <c r="T2355">
        <v>-1.44714272042221</v>
      </c>
      <c r="U2355">
        <v>-6.0146776671031601</v>
      </c>
      <c r="V2355">
        <v>0.16615725108835999</v>
      </c>
      <c r="W2355">
        <v>0.42339521929641499</v>
      </c>
      <c r="X2355">
        <v>0</v>
      </c>
      <c r="Y2355">
        <v>0</v>
      </c>
    </row>
    <row r="2356" spans="1:25" x14ac:dyDescent="0.2">
      <c r="A2356" t="s">
        <v>8824</v>
      </c>
      <c r="B2356" t="s">
        <v>8825</v>
      </c>
      <c r="C2356" t="s">
        <v>14473</v>
      </c>
      <c r="D2356" t="s">
        <v>8826</v>
      </c>
      <c r="E2356" t="s">
        <v>8825</v>
      </c>
      <c r="F2356" t="s">
        <v>28</v>
      </c>
      <c r="G2356" t="s">
        <v>8825</v>
      </c>
      <c r="H2356" t="str">
        <f>"F49C12.6"</f>
        <v>F49C12.6</v>
      </c>
      <c r="I2356" t="s">
        <v>8826</v>
      </c>
      <c r="J2356">
        <v>11.8179628826321</v>
      </c>
      <c r="K2356">
        <v>12.855432042317799</v>
      </c>
      <c r="L2356" t="s">
        <v>29</v>
      </c>
      <c r="M2356" t="s">
        <v>29</v>
      </c>
      <c r="N2356" t="s">
        <v>29</v>
      </c>
      <c r="O2356" t="s">
        <v>29</v>
      </c>
      <c r="P2356" t="s">
        <v>29</v>
      </c>
      <c r="Q2356" t="s">
        <v>29</v>
      </c>
      <c r="R2356" t="s">
        <v>29</v>
      </c>
      <c r="S2356">
        <v>12.722442015876601</v>
      </c>
      <c r="T2356" t="s">
        <v>29</v>
      </c>
      <c r="U2356" t="s">
        <v>29</v>
      </c>
      <c r="V2356" t="s">
        <v>29</v>
      </c>
      <c r="W2356" t="s">
        <v>29</v>
      </c>
      <c r="X2356" t="s">
        <v>29</v>
      </c>
      <c r="Y2356" t="s">
        <v>29</v>
      </c>
    </row>
    <row r="2357" spans="1:25" x14ac:dyDescent="0.2">
      <c r="A2357" t="s">
        <v>8827</v>
      </c>
      <c r="B2357" t="s">
        <v>8828</v>
      </c>
      <c r="C2357" t="s">
        <v>8829</v>
      </c>
      <c r="D2357" t="s">
        <v>8830</v>
      </c>
      <c r="E2357" t="s">
        <v>8828</v>
      </c>
      <c r="F2357" t="s">
        <v>28</v>
      </c>
      <c r="G2357" t="s">
        <v>8828</v>
      </c>
      <c r="H2357" t="str">
        <f>"rpn-7"</f>
        <v>rpn-7</v>
      </c>
      <c r="I2357" t="s">
        <v>8830</v>
      </c>
      <c r="J2357">
        <v>17.775211120713699</v>
      </c>
      <c r="K2357">
        <v>17.7067390986685</v>
      </c>
      <c r="L2357">
        <v>17.6456169163983</v>
      </c>
      <c r="M2357">
        <v>17.460278326096599</v>
      </c>
      <c r="N2357">
        <v>17.317558254807601</v>
      </c>
      <c r="O2357">
        <v>17.040930721755601</v>
      </c>
      <c r="P2357">
        <v>-0.43626661104023501</v>
      </c>
      <c r="Q2357">
        <v>-0.76777960315856597</v>
      </c>
      <c r="R2357">
        <v>-0.104753618921905</v>
      </c>
      <c r="S2357">
        <v>17.441405128188901</v>
      </c>
      <c r="T2357">
        <v>-2.76594752271675</v>
      </c>
      <c r="U2357">
        <v>-3.7189703337445201</v>
      </c>
      <c r="V2357">
        <v>1.2779602498538401E-2</v>
      </c>
      <c r="W2357">
        <v>0.104747673879707</v>
      </c>
      <c r="X2357">
        <v>0</v>
      </c>
      <c r="Y2357">
        <v>0</v>
      </c>
    </row>
    <row r="2358" spans="1:25" x14ac:dyDescent="0.2">
      <c r="A2358" t="s">
        <v>8831</v>
      </c>
      <c r="B2358" t="s">
        <v>8832</v>
      </c>
      <c r="C2358" t="s">
        <v>8833</v>
      </c>
      <c r="D2358" t="s">
        <v>8834</v>
      </c>
      <c r="E2358" t="s">
        <v>8832</v>
      </c>
      <c r="F2358" t="s">
        <v>28</v>
      </c>
      <c r="G2358" t="s">
        <v>8832</v>
      </c>
      <c r="H2358" t="str">
        <f>"skpo-1"</f>
        <v>skpo-1</v>
      </c>
      <c r="I2358" t="s">
        <v>8834</v>
      </c>
      <c r="J2358">
        <v>13.783151294437999</v>
      </c>
      <c r="K2358">
        <v>14.203159870643301</v>
      </c>
      <c r="L2358">
        <v>14.5691027379136</v>
      </c>
      <c r="M2358">
        <v>14.2172750560779</v>
      </c>
      <c r="N2358">
        <v>14.4409317838759</v>
      </c>
      <c r="O2358">
        <v>14.1067073503272</v>
      </c>
      <c r="P2358">
        <v>6.9833429095366398E-2</v>
      </c>
      <c r="Q2358">
        <v>-0.50751840413717197</v>
      </c>
      <c r="R2358">
        <v>0.64718526232790496</v>
      </c>
      <c r="S2358">
        <v>14.495018887978601</v>
      </c>
      <c r="T2358">
        <v>0.25422328844555098</v>
      </c>
      <c r="U2358">
        <v>-7.0182779406622799</v>
      </c>
      <c r="V2358">
        <v>0.80222128757835498</v>
      </c>
      <c r="W2358">
        <v>0.91658288966993196</v>
      </c>
      <c r="X2358">
        <v>0</v>
      </c>
      <c r="Y2358">
        <v>0</v>
      </c>
    </row>
    <row r="2359" spans="1:25" x14ac:dyDescent="0.2">
      <c r="A2359" t="s">
        <v>8835</v>
      </c>
      <c r="B2359" t="s">
        <v>8836</v>
      </c>
      <c r="C2359" t="s">
        <v>8837</v>
      </c>
      <c r="D2359" t="s">
        <v>8838</v>
      </c>
      <c r="E2359" t="s">
        <v>8836</v>
      </c>
      <c r="F2359" t="s">
        <v>28</v>
      </c>
      <c r="G2359" t="s">
        <v>8836</v>
      </c>
      <c r="H2359" t="str">
        <f>"gpb-2"</f>
        <v>gpb-2</v>
      </c>
      <c r="I2359" t="s">
        <v>8838</v>
      </c>
      <c r="J2359">
        <v>13.939703254501399</v>
      </c>
      <c r="K2359">
        <v>14.159638689810601</v>
      </c>
      <c r="L2359">
        <v>13.597627595521001</v>
      </c>
      <c r="M2359">
        <v>13.81037564184</v>
      </c>
      <c r="N2359">
        <v>14.017026156426001</v>
      </c>
      <c r="O2359">
        <v>14.111620138360699</v>
      </c>
      <c r="P2359">
        <v>8.0684132264556396E-2</v>
      </c>
      <c r="Q2359">
        <v>-0.44353612870489501</v>
      </c>
      <c r="R2359">
        <v>0.60490439323400802</v>
      </c>
      <c r="S2359">
        <v>13.239133149147801</v>
      </c>
      <c r="T2359">
        <v>0.32488102261754997</v>
      </c>
      <c r="U2359">
        <v>-6.9967733337131097</v>
      </c>
      <c r="V2359">
        <v>0.74925937721941605</v>
      </c>
      <c r="W2359">
        <v>0.89405574384744302</v>
      </c>
      <c r="X2359">
        <v>0</v>
      </c>
      <c r="Y2359">
        <v>0</v>
      </c>
    </row>
    <row r="2360" spans="1:25" x14ac:dyDescent="0.2">
      <c r="A2360" t="s">
        <v>8839</v>
      </c>
      <c r="B2360" t="s">
        <v>8840</v>
      </c>
      <c r="C2360" t="s">
        <v>8841</v>
      </c>
      <c r="D2360" t="s">
        <v>1047</v>
      </c>
      <c r="E2360" t="s">
        <v>8840</v>
      </c>
      <c r="F2360" t="s">
        <v>28</v>
      </c>
      <c r="G2360" t="s">
        <v>8840</v>
      </c>
      <c r="H2360" t="str">
        <f>"nmy-1"</f>
        <v>nmy-1</v>
      </c>
      <c r="I2360" t="s">
        <v>1047</v>
      </c>
      <c r="J2360">
        <v>14.510198984958601</v>
      </c>
      <c r="K2360">
        <v>14.670405118758399</v>
      </c>
      <c r="L2360">
        <v>14.6328905404298</v>
      </c>
      <c r="M2360">
        <v>14.8131908236839</v>
      </c>
      <c r="N2360">
        <v>14.5769649281263</v>
      </c>
      <c r="O2360">
        <v>14.4517013651149</v>
      </c>
      <c r="P2360">
        <v>9.45415759273871E-3</v>
      </c>
      <c r="Q2360">
        <v>-0.56420050767547303</v>
      </c>
      <c r="R2360">
        <v>0.58310882286095</v>
      </c>
      <c r="S2360">
        <v>14.7137508550628</v>
      </c>
      <c r="T2360">
        <v>3.4638958114454499E-2</v>
      </c>
      <c r="U2360">
        <v>-7.0514576618931004</v>
      </c>
      <c r="V2360">
        <v>0.97275109228827905</v>
      </c>
      <c r="W2360">
        <v>0.98485751534102695</v>
      </c>
      <c r="X2360">
        <v>0</v>
      </c>
      <c r="Y2360">
        <v>0</v>
      </c>
    </row>
    <row r="2361" spans="1:25" x14ac:dyDescent="0.2">
      <c r="A2361" t="s">
        <v>8842</v>
      </c>
      <c r="B2361" t="s">
        <v>8843</v>
      </c>
      <c r="C2361" t="s">
        <v>14474</v>
      </c>
      <c r="D2361" t="s">
        <v>323</v>
      </c>
      <c r="E2361" t="s">
        <v>8843</v>
      </c>
      <c r="F2361" t="s">
        <v>28</v>
      </c>
      <c r="G2361" t="s">
        <v>8843</v>
      </c>
      <c r="H2361" t="str">
        <f>"F52B5.2"</f>
        <v>F52B5.2</v>
      </c>
      <c r="I2361" t="s">
        <v>323</v>
      </c>
      <c r="J2361">
        <v>10.7573177091252</v>
      </c>
      <c r="K2361">
        <v>13.268159947480701</v>
      </c>
      <c r="L2361">
        <v>11.1117711699016</v>
      </c>
      <c r="M2361">
        <v>10.5519484709725</v>
      </c>
      <c r="N2361">
        <v>11.6499162146337</v>
      </c>
      <c r="O2361">
        <v>11.440734342498301</v>
      </c>
      <c r="P2361">
        <v>-0.49821659946764801</v>
      </c>
      <c r="Q2361">
        <v>-1.6310360042696901</v>
      </c>
      <c r="R2361">
        <v>0.63460280533439095</v>
      </c>
      <c r="S2361">
        <v>11.8878812105448</v>
      </c>
      <c r="T2361">
        <v>-0.93283974864409902</v>
      </c>
      <c r="U2361">
        <v>-6.6052292264533001</v>
      </c>
      <c r="V2361">
        <v>0.36485717133548701</v>
      </c>
      <c r="W2361">
        <v>0.64147845941040205</v>
      </c>
      <c r="X2361">
        <v>0</v>
      </c>
      <c r="Y2361">
        <v>0</v>
      </c>
    </row>
    <row r="2362" spans="1:25" x14ac:dyDescent="0.2">
      <c r="A2362" t="s">
        <v>8844</v>
      </c>
      <c r="B2362" t="s">
        <v>8845</v>
      </c>
      <c r="C2362" t="s">
        <v>14475</v>
      </c>
      <c r="D2362" t="s">
        <v>2791</v>
      </c>
      <c r="E2362" t="s">
        <v>8845</v>
      </c>
      <c r="F2362" t="s">
        <v>28</v>
      </c>
      <c r="G2362" t="s">
        <v>8845</v>
      </c>
      <c r="H2362" t="str">
        <f>"F52B5.3"</f>
        <v>F52B5.3</v>
      </c>
      <c r="I2362" t="s">
        <v>2791</v>
      </c>
      <c r="J2362">
        <v>14.2795093657243</v>
      </c>
      <c r="K2362">
        <v>14.3168814897065</v>
      </c>
      <c r="L2362">
        <v>14.952153116347899</v>
      </c>
      <c r="M2362">
        <v>14.1195001109849</v>
      </c>
      <c r="N2362">
        <v>14.3979197137095</v>
      </c>
      <c r="O2362">
        <v>14.450291611990099</v>
      </c>
      <c r="P2362">
        <v>-0.19361084503138701</v>
      </c>
      <c r="Q2362">
        <v>-1.03630942380348</v>
      </c>
      <c r="R2362">
        <v>0.64908773374071005</v>
      </c>
      <c r="S2362">
        <v>15.125816807232001</v>
      </c>
      <c r="T2362">
        <v>-0.482891912812146</v>
      </c>
      <c r="U2362">
        <v>-6.93067800057079</v>
      </c>
      <c r="V2362">
        <v>0.63502718088219501</v>
      </c>
      <c r="W2362">
        <v>0.83221040942032398</v>
      </c>
      <c r="X2362">
        <v>0</v>
      </c>
      <c r="Y2362">
        <v>0</v>
      </c>
    </row>
    <row r="2363" spans="1:25" x14ac:dyDescent="0.2">
      <c r="A2363" t="s">
        <v>8846</v>
      </c>
      <c r="B2363" t="s">
        <v>8847</v>
      </c>
      <c r="C2363" t="s">
        <v>8848</v>
      </c>
      <c r="D2363" t="s">
        <v>8849</v>
      </c>
      <c r="E2363" t="s">
        <v>8847</v>
      </c>
      <c r="F2363" t="s">
        <v>28</v>
      </c>
      <c r="G2363" t="s">
        <v>8847</v>
      </c>
      <c r="H2363" t="str">
        <f>"rpl-25.2"</f>
        <v>rpl-25.2</v>
      </c>
      <c r="I2363" t="s">
        <v>8849</v>
      </c>
      <c r="J2363">
        <v>13.4932927527404</v>
      </c>
      <c r="K2363">
        <v>14.1298724634799</v>
      </c>
      <c r="L2363">
        <v>14.3929872639702</v>
      </c>
      <c r="M2363">
        <v>13.156066275664299</v>
      </c>
      <c r="N2363">
        <v>12.605302592527799</v>
      </c>
      <c r="O2363">
        <v>15.0484622117085</v>
      </c>
      <c r="P2363">
        <v>-0.40210713342996701</v>
      </c>
      <c r="Q2363">
        <v>-1.47199510042279</v>
      </c>
      <c r="R2363">
        <v>0.667780833562859</v>
      </c>
      <c r="S2363">
        <v>14.7142264242573</v>
      </c>
      <c r="T2363">
        <v>-0.78994342330617195</v>
      </c>
      <c r="U2363">
        <v>-6.7306785737492802</v>
      </c>
      <c r="V2363">
        <v>0.43990357719391099</v>
      </c>
      <c r="W2363">
        <v>0.707585882446359</v>
      </c>
      <c r="X2363">
        <v>0</v>
      </c>
      <c r="Y2363">
        <v>0</v>
      </c>
    </row>
    <row r="2364" spans="1:25" x14ac:dyDescent="0.2">
      <c r="A2364" t="s">
        <v>8850</v>
      </c>
      <c r="B2364" t="s">
        <v>8851</v>
      </c>
      <c r="C2364" t="s">
        <v>8852</v>
      </c>
      <c r="D2364" t="s">
        <v>8853</v>
      </c>
      <c r="E2364" t="s">
        <v>8851</v>
      </c>
      <c r="F2364" t="s">
        <v>28</v>
      </c>
      <c r="G2364" t="s">
        <v>8851</v>
      </c>
      <c r="H2364" t="str">
        <f>"ftt-2"</f>
        <v>ftt-2</v>
      </c>
      <c r="I2364" t="s">
        <v>8853</v>
      </c>
      <c r="J2364">
        <v>15.9363699467423</v>
      </c>
      <c r="K2364">
        <v>16.124514113163102</v>
      </c>
      <c r="L2364">
        <v>15.756842000808</v>
      </c>
      <c r="M2364">
        <v>16.378200006289401</v>
      </c>
      <c r="N2364">
        <v>15.519920144893799</v>
      </c>
      <c r="O2364">
        <v>16.739218335692499</v>
      </c>
      <c r="P2364">
        <v>0.27320414205409999</v>
      </c>
      <c r="Q2364">
        <v>-0.35791965955709998</v>
      </c>
      <c r="R2364">
        <v>0.90432794366529901</v>
      </c>
      <c r="S2364">
        <v>15.544311458633899</v>
      </c>
      <c r="T2364">
        <v>0.90984043441971596</v>
      </c>
      <c r="U2364">
        <v>-6.6280680231996802</v>
      </c>
      <c r="V2364">
        <v>0.37499897981299402</v>
      </c>
      <c r="W2364">
        <v>0.65048184635139705</v>
      </c>
      <c r="X2364">
        <v>0</v>
      </c>
      <c r="Y2364">
        <v>0</v>
      </c>
    </row>
    <row r="2365" spans="1:25" x14ac:dyDescent="0.2">
      <c r="A2365" t="s">
        <v>8854</v>
      </c>
      <c r="B2365" t="s">
        <v>8855</v>
      </c>
      <c r="C2365" t="s">
        <v>8856</v>
      </c>
      <c r="D2365" t="s">
        <v>8857</v>
      </c>
      <c r="E2365" t="s">
        <v>8855</v>
      </c>
      <c r="F2365" t="s">
        <v>28</v>
      </c>
      <c r="G2365" t="s">
        <v>8855</v>
      </c>
      <c r="H2365" t="str">
        <f>"vha-18"</f>
        <v>vha-18</v>
      </c>
      <c r="I2365" t="s">
        <v>8857</v>
      </c>
      <c r="J2365" t="s">
        <v>29</v>
      </c>
      <c r="K2365" t="s">
        <v>29</v>
      </c>
      <c r="L2365">
        <v>12.059500169765601</v>
      </c>
      <c r="M2365" t="s">
        <v>29</v>
      </c>
      <c r="N2365" t="s">
        <v>29</v>
      </c>
      <c r="O2365">
        <v>9.2882223353021605</v>
      </c>
      <c r="P2365">
        <v>-2.7712778344634601</v>
      </c>
      <c r="Q2365">
        <v>-4.2222345631907103</v>
      </c>
      <c r="R2365">
        <v>-1.3203211057362001</v>
      </c>
      <c r="S2365">
        <v>11.062536845894099</v>
      </c>
      <c r="T2365">
        <v>-4.16553338794985</v>
      </c>
      <c r="U2365">
        <v>-0.91062101735496304</v>
      </c>
      <c r="V2365">
        <v>1.33421972277329E-3</v>
      </c>
      <c r="W2365">
        <v>2.16809063155942E-2</v>
      </c>
      <c r="X2365">
        <v>-1</v>
      </c>
      <c r="Y2365">
        <v>-1</v>
      </c>
    </row>
    <row r="2366" spans="1:25" x14ac:dyDescent="0.2">
      <c r="A2366" t="s">
        <v>8858</v>
      </c>
      <c r="B2366" t="s">
        <v>8859</v>
      </c>
      <c r="C2366" t="s">
        <v>8860</v>
      </c>
      <c r="D2366" t="s">
        <v>8861</v>
      </c>
      <c r="E2366" t="s">
        <v>8859</v>
      </c>
      <c r="F2366" t="s">
        <v>28</v>
      </c>
      <c r="G2366" t="s">
        <v>8859</v>
      </c>
      <c r="H2366" t="str">
        <f>"pccb-1"</f>
        <v>pccb-1</v>
      </c>
      <c r="I2366" t="s">
        <v>8861</v>
      </c>
      <c r="J2366">
        <v>18.371108740974201</v>
      </c>
      <c r="K2366">
        <v>18.0671571526949</v>
      </c>
      <c r="L2366">
        <v>17.9769733511908</v>
      </c>
      <c r="M2366">
        <v>18.0243854212131</v>
      </c>
      <c r="N2366">
        <v>19.017506817153599</v>
      </c>
      <c r="O2366">
        <v>18.5353127905673</v>
      </c>
      <c r="P2366">
        <v>0.38732192802465398</v>
      </c>
      <c r="Q2366">
        <v>-0.20903196413560801</v>
      </c>
      <c r="R2366">
        <v>0.98367582018491695</v>
      </c>
      <c r="S2366">
        <v>17.730734651597398</v>
      </c>
      <c r="T2366">
        <v>1.3650876579340701</v>
      </c>
      <c r="U2366">
        <v>-6.1234329859998402</v>
      </c>
      <c r="V2366">
        <v>0.18914320533415499</v>
      </c>
      <c r="W2366">
        <v>0.45056514652806701</v>
      </c>
      <c r="X2366">
        <v>0</v>
      </c>
      <c r="Y2366">
        <v>0</v>
      </c>
    </row>
    <row r="2367" spans="1:25" x14ac:dyDescent="0.2">
      <c r="A2367" t="s">
        <v>8862</v>
      </c>
      <c r="B2367" t="s">
        <v>8863</v>
      </c>
      <c r="C2367" t="s">
        <v>8864</v>
      </c>
      <c r="D2367" t="s">
        <v>8865</v>
      </c>
      <c r="E2367" t="s">
        <v>8863</v>
      </c>
      <c r="F2367" t="s">
        <v>28</v>
      </c>
      <c r="G2367" t="s">
        <v>8863</v>
      </c>
      <c r="H2367" t="str">
        <f>"sec-3"</f>
        <v>sec-3</v>
      </c>
      <c r="I2367" t="s">
        <v>8865</v>
      </c>
      <c r="J2367">
        <v>12.5498820923747</v>
      </c>
      <c r="K2367">
        <v>12.612096808144999</v>
      </c>
      <c r="L2367">
        <v>12.470115023653801</v>
      </c>
      <c r="M2367">
        <v>12.985228637333201</v>
      </c>
      <c r="N2367">
        <v>12.653641294107</v>
      </c>
      <c r="O2367">
        <v>12.2639392317441</v>
      </c>
      <c r="P2367">
        <v>9.0238413003577406E-2</v>
      </c>
      <c r="Q2367">
        <v>-0.385022046590212</v>
      </c>
      <c r="R2367">
        <v>0.56549887259736697</v>
      </c>
      <c r="S2367">
        <v>12.6074852175463</v>
      </c>
      <c r="T2367">
        <v>0.40272565363412399</v>
      </c>
      <c r="U2367">
        <v>-6.9669603802616704</v>
      </c>
      <c r="V2367">
        <v>0.692514621138975</v>
      </c>
      <c r="W2367">
        <v>0.86173712320696905</v>
      </c>
      <c r="X2367">
        <v>0</v>
      </c>
      <c r="Y2367">
        <v>0</v>
      </c>
    </row>
    <row r="2368" spans="1:25" x14ac:dyDescent="0.2">
      <c r="A2368" t="s">
        <v>8866</v>
      </c>
      <c r="B2368" t="s">
        <v>8867</v>
      </c>
      <c r="C2368" t="s">
        <v>8868</v>
      </c>
      <c r="D2368" t="s">
        <v>8869</v>
      </c>
      <c r="E2368" t="s">
        <v>8867</v>
      </c>
      <c r="F2368" t="s">
        <v>28</v>
      </c>
      <c r="G2368" t="s">
        <v>8867</v>
      </c>
      <c r="H2368" t="str">
        <f>"mtcu-2"</f>
        <v>mtcu-2</v>
      </c>
      <c r="I2368" t="s">
        <v>8869</v>
      </c>
      <c r="J2368">
        <v>11.831123434940601</v>
      </c>
      <c r="K2368">
        <v>10.4329491858956</v>
      </c>
      <c r="L2368" t="s">
        <v>29</v>
      </c>
      <c r="M2368">
        <v>12.0448687516558</v>
      </c>
      <c r="N2368">
        <v>11.343606441411501</v>
      </c>
      <c r="O2368">
        <v>11.9780305155689</v>
      </c>
      <c r="P2368">
        <v>0.65679892579396804</v>
      </c>
      <c r="Q2368">
        <v>-0.538934039850688</v>
      </c>
      <c r="R2368">
        <v>1.85253189143862</v>
      </c>
      <c r="S2368">
        <v>11.876714476831401</v>
      </c>
      <c r="T2368">
        <v>1.17893571345732</v>
      </c>
      <c r="U2368">
        <v>-6.2382421713107998</v>
      </c>
      <c r="V2368">
        <v>0.25821794344196702</v>
      </c>
      <c r="W2368">
        <v>0.53484480455771</v>
      </c>
      <c r="X2368">
        <v>0</v>
      </c>
      <c r="Y2368">
        <v>0</v>
      </c>
    </row>
    <row r="2369" spans="1:25" x14ac:dyDescent="0.2">
      <c r="A2369" t="s">
        <v>8870</v>
      </c>
      <c r="B2369" t="s">
        <v>8871</v>
      </c>
      <c r="C2369" t="s">
        <v>8872</v>
      </c>
      <c r="D2369" t="s">
        <v>8873</v>
      </c>
      <c r="E2369" t="s">
        <v>8871</v>
      </c>
      <c r="F2369" t="s">
        <v>28</v>
      </c>
      <c r="G2369" t="s">
        <v>8871</v>
      </c>
      <c r="H2369" t="str">
        <f>"ttc-36"</f>
        <v>ttc-36</v>
      </c>
      <c r="I2369" t="s">
        <v>8873</v>
      </c>
      <c r="J2369">
        <v>12.280125187660801</v>
      </c>
      <c r="K2369" t="s">
        <v>29</v>
      </c>
      <c r="L2369" t="s">
        <v>29</v>
      </c>
      <c r="M2369">
        <v>15.2935782270395</v>
      </c>
      <c r="N2369">
        <v>14.7197507577275</v>
      </c>
      <c r="O2369">
        <v>14.3697824533721</v>
      </c>
      <c r="P2369">
        <v>2.51424529171888</v>
      </c>
      <c r="Q2369">
        <v>1.51639714772699</v>
      </c>
      <c r="R2369">
        <v>3.51209343571076</v>
      </c>
      <c r="S2369">
        <v>13.3373956550498</v>
      </c>
      <c r="T2369">
        <v>5.5522739352109403</v>
      </c>
      <c r="U2369">
        <v>1.03637147595162</v>
      </c>
      <c r="V2369">
        <v>1.78285368740453E-4</v>
      </c>
      <c r="W2369">
        <v>5.0889525428195904E-3</v>
      </c>
      <c r="X2369">
        <v>1</v>
      </c>
      <c r="Y2369">
        <v>1</v>
      </c>
    </row>
    <row r="2370" spans="1:25" x14ac:dyDescent="0.2">
      <c r="A2370" t="s">
        <v>8874</v>
      </c>
      <c r="B2370" t="s">
        <v>8875</v>
      </c>
      <c r="C2370" t="s">
        <v>8876</v>
      </c>
      <c r="D2370" t="s">
        <v>8877</v>
      </c>
      <c r="E2370" t="s">
        <v>8875</v>
      </c>
      <c r="F2370" t="s">
        <v>28</v>
      </c>
      <c r="G2370" t="s">
        <v>8875</v>
      </c>
      <c r="H2370" t="str">
        <f>"lec-2"</f>
        <v>lec-2</v>
      </c>
      <c r="I2370" t="s">
        <v>8877</v>
      </c>
      <c r="J2370">
        <v>12.8190894392477</v>
      </c>
      <c r="K2370">
        <v>12.002261491499199</v>
      </c>
      <c r="L2370">
        <v>12.582329626200501</v>
      </c>
      <c r="M2370">
        <v>13.904971673057601</v>
      </c>
      <c r="N2370">
        <v>13.3324408418272</v>
      </c>
      <c r="O2370">
        <v>13.801908198004501</v>
      </c>
      <c r="P2370">
        <v>1.2118800519806201</v>
      </c>
      <c r="Q2370">
        <v>0.40330047603750602</v>
      </c>
      <c r="R2370">
        <v>2.0204596279237399</v>
      </c>
      <c r="S2370">
        <v>12.5408771313835</v>
      </c>
      <c r="T2370">
        <v>3.1501365725570198</v>
      </c>
      <c r="U2370">
        <v>-2.9224787314154299</v>
      </c>
      <c r="V2370">
        <v>5.5666830379580701E-3</v>
      </c>
      <c r="W2370">
        <v>5.9390120018083803E-2</v>
      </c>
      <c r="X2370">
        <v>1</v>
      </c>
      <c r="Y2370">
        <v>0</v>
      </c>
    </row>
    <row r="2371" spans="1:25" x14ac:dyDescent="0.2">
      <c r="A2371" t="s">
        <v>8878</v>
      </c>
      <c r="B2371" t="s">
        <v>8879</v>
      </c>
      <c r="C2371" t="s">
        <v>8880</v>
      </c>
      <c r="D2371" t="s">
        <v>8881</v>
      </c>
      <c r="E2371" t="s">
        <v>8879</v>
      </c>
      <c r="F2371" t="s">
        <v>28</v>
      </c>
      <c r="G2371" t="s">
        <v>8879</v>
      </c>
      <c r="H2371" t="str">
        <f>"F53B1.2"</f>
        <v>F53B1.2</v>
      </c>
      <c r="I2371" t="s">
        <v>8881</v>
      </c>
      <c r="J2371">
        <v>12.026276015356</v>
      </c>
      <c r="K2371">
        <v>12.071327533015101</v>
      </c>
      <c r="L2371">
        <v>12.0451049712869</v>
      </c>
      <c r="M2371" t="s">
        <v>29</v>
      </c>
      <c r="N2371">
        <v>11.5483405594745</v>
      </c>
      <c r="O2371">
        <v>11.1997773704792</v>
      </c>
      <c r="P2371">
        <v>-0.673510541575848</v>
      </c>
      <c r="Q2371">
        <v>-1.4967294346990601</v>
      </c>
      <c r="R2371">
        <v>0.149708351547364</v>
      </c>
      <c r="S2371">
        <v>11.881259299099399</v>
      </c>
      <c r="T2371">
        <v>-1.7559856450851301</v>
      </c>
      <c r="U2371">
        <v>-5.4639467465977098</v>
      </c>
      <c r="V2371">
        <v>0.10109828182353001</v>
      </c>
      <c r="W2371">
        <v>0.328973809053767</v>
      </c>
      <c r="X2371">
        <v>0</v>
      </c>
      <c r="Y2371">
        <v>0</v>
      </c>
    </row>
    <row r="2372" spans="1:25" x14ac:dyDescent="0.2">
      <c r="A2372" t="s">
        <v>8882</v>
      </c>
      <c r="B2372" t="s">
        <v>8883</v>
      </c>
      <c r="C2372" t="s">
        <v>8884</v>
      </c>
      <c r="D2372" t="s">
        <v>7359</v>
      </c>
      <c r="E2372" t="s">
        <v>8883</v>
      </c>
      <c r="F2372" t="s">
        <v>28</v>
      </c>
      <c r="G2372" t="s">
        <v>8883</v>
      </c>
      <c r="H2372" t="str">
        <f>"bus-5"</f>
        <v>bus-5</v>
      </c>
      <c r="I2372" t="s">
        <v>7359</v>
      </c>
      <c r="J2372">
        <v>12.947049006344299</v>
      </c>
      <c r="K2372">
        <v>13.169271456672201</v>
      </c>
      <c r="L2372">
        <v>13.3355043324127</v>
      </c>
      <c r="M2372">
        <v>13.0730095214732</v>
      </c>
      <c r="N2372">
        <v>12.818576339767899</v>
      </c>
      <c r="O2372">
        <v>12.838920940237999</v>
      </c>
      <c r="P2372">
        <v>-0.240439331316743</v>
      </c>
      <c r="Q2372">
        <v>-1.0729518791885</v>
      </c>
      <c r="R2372">
        <v>0.59207321655501199</v>
      </c>
      <c r="S2372">
        <v>13.096248161904899</v>
      </c>
      <c r="T2372">
        <v>-0.60702592105615205</v>
      </c>
      <c r="U2372">
        <v>-6.8609548788237404</v>
      </c>
      <c r="V2372">
        <v>0.55145867331309795</v>
      </c>
      <c r="W2372">
        <v>0.78026605923509895</v>
      </c>
      <c r="X2372">
        <v>0</v>
      </c>
      <c r="Y2372">
        <v>0</v>
      </c>
    </row>
    <row r="2373" spans="1:25" x14ac:dyDescent="0.2">
      <c r="A2373" t="s">
        <v>8885</v>
      </c>
      <c r="B2373" t="s">
        <v>8886</v>
      </c>
      <c r="C2373" t="s">
        <v>8887</v>
      </c>
      <c r="D2373" t="s">
        <v>8888</v>
      </c>
      <c r="E2373" t="s">
        <v>8886</v>
      </c>
      <c r="F2373" t="s">
        <v>28</v>
      </c>
      <c r="G2373" t="s">
        <v>8886</v>
      </c>
      <c r="H2373" t="str">
        <f>"tra-4"</f>
        <v>tra-4</v>
      </c>
      <c r="I2373" t="s">
        <v>8888</v>
      </c>
      <c r="J2373" t="s">
        <v>29</v>
      </c>
      <c r="K2373" t="s">
        <v>29</v>
      </c>
      <c r="L2373" t="s">
        <v>29</v>
      </c>
      <c r="M2373" t="s">
        <v>29</v>
      </c>
      <c r="N2373" t="s">
        <v>29</v>
      </c>
      <c r="O2373" t="s">
        <v>29</v>
      </c>
      <c r="P2373" t="s">
        <v>29</v>
      </c>
      <c r="Q2373" t="s">
        <v>29</v>
      </c>
      <c r="R2373" t="s">
        <v>29</v>
      </c>
      <c r="S2373">
        <v>12.4676439024384</v>
      </c>
      <c r="T2373" t="s">
        <v>29</v>
      </c>
      <c r="U2373" t="s">
        <v>29</v>
      </c>
      <c r="V2373" t="s">
        <v>29</v>
      </c>
      <c r="W2373" t="s">
        <v>29</v>
      </c>
      <c r="X2373" t="s">
        <v>29</v>
      </c>
      <c r="Y2373" t="s">
        <v>29</v>
      </c>
    </row>
    <row r="2374" spans="1:25" x14ac:dyDescent="0.2">
      <c r="A2374" t="s">
        <v>8889</v>
      </c>
      <c r="B2374" t="s">
        <v>8890</v>
      </c>
      <c r="C2374" t="s">
        <v>14476</v>
      </c>
      <c r="D2374" t="s">
        <v>8891</v>
      </c>
      <c r="E2374" t="s">
        <v>8890</v>
      </c>
      <c r="F2374" t="s">
        <v>28</v>
      </c>
      <c r="G2374" t="s">
        <v>8890</v>
      </c>
      <c r="H2374" t="str">
        <f>"F53B3.6"</f>
        <v>F53B3.6</v>
      </c>
      <c r="I2374" t="s">
        <v>8891</v>
      </c>
      <c r="J2374">
        <v>16.317695298472501</v>
      </c>
      <c r="K2374">
        <v>16.716121608531701</v>
      </c>
      <c r="L2374">
        <v>16.714589195899102</v>
      </c>
      <c r="M2374">
        <v>16.805756765044801</v>
      </c>
      <c r="N2374">
        <v>15.6280849216798</v>
      </c>
      <c r="O2374">
        <v>16.372305859917098</v>
      </c>
      <c r="P2374">
        <v>-0.31408618542045402</v>
      </c>
      <c r="Q2374">
        <v>-0.85151864729902105</v>
      </c>
      <c r="R2374">
        <v>0.223346276458113</v>
      </c>
      <c r="S2374">
        <v>16.450509365845502</v>
      </c>
      <c r="T2374">
        <v>-1.2283367717363201</v>
      </c>
      <c r="U2374">
        <v>-6.2931765497500303</v>
      </c>
      <c r="V2374">
        <v>0.235231324542959</v>
      </c>
      <c r="W2374">
        <v>0.50686344200719402</v>
      </c>
      <c r="X2374">
        <v>0</v>
      </c>
      <c r="Y2374">
        <v>0</v>
      </c>
    </row>
    <row r="2375" spans="1:25" x14ac:dyDescent="0.2">
      <c r="A2375" t="s">
        <v>8892</v>
      </c>
      <c r="B2375" t="s">
        <v>8893</v>
      </c>
      <c r="C2375" t="s">
        <v>8894</v>
      </c>
      <c r="D2375" t="s">
        <v>8895</v>
      </c>
      <c r="E2375" t="s">
        <v>8893</v>
      </c>
      <c r="F2375" t="s">
        <v>28</v>
      </c>
      <c r="G2375" t="s">
        <v>8893</v>
      </c>
      <c r="H2375" t="str">
        <f>"F53F4.10"</f>
        <v>F53F4.10</v>
      </c>
      <c r="I2375" t="s">
        <v>8895</v>
      </c>
      <c r="J2375">
        <v>13.4843386077824</v>
      </c>
      <c r="K2375">
        <v>12.9873695900543</v>
      </c>
      <c r="L2375">
        <v>11.9952888178656</v>
      </c>
      <c r="M2375" t="s">
        <v>29</v>
      </c>
      <c r="N2375">
        <v>13.0203464390113</v>
      </c>
      <c r="O2375">
        <v>14.341804734439201</v>
      </c>
      <c r="P2375">
        <v>0.85874324815781999</v>
      </c>
      <c r="Q2375">
        <v>-0.48072050420613199</v>
      </c>
      <c r="R2375">
        <v>2.1982070005217702</v>
      </c>
      <c r="S2375">
        <v>13.564412160260099</v>
      </c>
      <c r="T2375">
        <v>1.3598214882901001</v>
      </c>
      <c r="U2375">
        <v>-6.0207899523239599</v>
      </c>
      <c r="V2375">
        <v>0.19286384897835501</v>
      </c>
      <c r="W2375">
        <v>0.45509714617517499</v>
      </c>
      <c r="X2375">
        <v>0</v>
      </c>
      <c r="Y2375">
        <v>0</v>
      </c>
    </row>
    <row r="2376" spans="1:25" x14ac:dyDescent="0.2">
      <c r="A2376" t="s">
        <v>8896</v>
      </c>
      <c r="B2376" t="s">
        <v>8897</v>
      </c>
      <c r="C2376" t="s">
        <v>14477</v>
      </c>
      <c r="D2376" t="s">
        <v>8898</v>
      </c>
      <c r="E2376" t="s">
        <v>8897</v>
      </c>
      <c r="F2376" t="s">
        <v>28</v>
      </c>
      <c r="G2376" t="s">
        <v>8897</v>
      </c>
      <c r="H2376" t="str">
        <f>"F53F4.11"</f>
        <v>F53F4.11</v>
      </c>
      <c r="I2376" t="s">
        <v>8898</v>
      </c>
      <c r="J2376">
        <v>14.4529679618245</v>
      </c>
      <c r="K2376">
        <v>13.909515846433001</v>
      </c>
      <c r="L2376">
        <v>14.406508032697801</v>
      </c>
      <c r="M2376">
        <v>13.9657565805802</v>
      </c>
      <c r="N2376">
        <v>14.360408141805999</v>
      </c>
      <c r="O2376">
        <v>13.7797922483616</v>
      </c>
      <c r="P2376">
        <v>-0.22101162340247901</v>
      </c>
      <c r="Q2376">
        <v>-0.66546516901987096</v>
      </c>
      <c r="R2376">
        <v>0.22344192221491299</v>
      </c>
      <c r="S2376">
        <v>14.543846887713</v>
      </c>
      <c r="T2376">
        <v>-1.0496360848347099</v>
      </c>
      <c r="U2376">
        <v>-6.4911326540321497</v>
      </c>
      <c r="V2376">
        <v>0.30866885364303798</v>
      </c>
      <c r="W2376">
        <v>0.58771705661465501</v>
      </c>
      <c r="X2376">
        <v>0</v>
      </c>
      <c r="Y2376">
        <v>0</v>
      </c>
    </row>
    <row r="2377" spans="1:25" x14ac:dyDescent="0.2">
      <c r="A2377" t="s">
        <v>8899</v>
      </c>
      <c r="B2377" t="s">
        <v>8900</v>
      </c>
      <c r="C2377" t="s">
        <v>14478</v>
      </c>
      <c r="D2377" t="s">
        <v>1128</v>
      </c>
      <c r="E2377" t="s">
        <v>8900</v>
      </c>
      <c r="F2377" t="s">
        <v>28</v>
      </c>
      <c r="G2377" t="s">
        <v>8900</v>
      </c>
      <c r="H2377" t="str">
        <f>"F53F4.12"</f>
        <v>F53F4.12</v>
      </c>
      <c r="I2377" t="s">
        <v>1128</v>
      </c>
      <c r="J2377" t="s">
        <v>29</v>
      </c>
      <c r="K2377" t="s">
        <v>29</v>
      </c>
      <c r="L2377" t="s">
        <v>29</v>
      </c>
      <c r="M2377" t="s">
        <v>29</v>
      </c>
      <c r="N2377" t="s">
        <v>29</v>
      </c>
      <c r="O2377" t="s">
        <v>29</v>
      </c>
      <c r="P2377" t="s">
        <v>29</v>
      </c>
      <c r="Q2377" t="s">
        <v>29</v>
      </c>
      <c r="R2377" t="s">
        <v>29</v>
      </c>
      <c r="S2377">
        <v>11.387821536834601</v>
      </c>
      <c r="T2377" t="s">
        <v>29</v>
      </c>
      <c r="U2377" t="s">
        <v>29</v>
      </c>
      <c r="V2377" t="s">
        <v>29</v>
      </c>
      <c r="W2377" t="s">
        <v>29</v>
      </c>
      <c r="X2377" t="s">
        <v>29</v>
      </c>
      <c r="Y2377" t="s">
        <v>29</v>
      </c>
    </row>
    <row r="2378" spans="1:25" x14ac:dyDescent="0.2">
      <c r="A2378" t="s">
        <v>8901</v>
      </c>
      <c r="B2378" t="s">
        <v>8902</v>
      </c>
      <c r="C2378" t="s">
        <v>14479</v>
      </c>
      <c r="D2378" t="s">
        <v>107</v>
      </c>
      <c r="E2378" t="s">
        <v>8902</v>
      </c>
      <c r="F2378" t="s">
        <v>28</v>
      </c>
      <c r="G2378" t="s">
        <v>8902</v>
      </c>
      <c r="H2378" t="str">
        <f>"F53H8.3"</f>
        <v>F53H8.3</v>
      </c>
      <c r="I2378" t="s">
        <v>107</v>
      </c>
      <c r="J2378" t="s">
        <v>29</v>
      </c>
      <c r="K2378" t="s">
        <v>29</v>
      </c>
      <c r="L2378" t="s">
        <v>29</v>
      </c>
      <c r="M2378" t="s">
        <v>29</v>
      </c>
      <c r="N2378" t="s">
        <v>29</v>
      </c>
      <c r="O2378" t="s">
        <v>29</v>
      </c>
      <c r="P2378" t="s">
        <v>29</v>
      </c>
      <c r="Q2378" t="s">
        <v>29</v>
      </c>
      <c r="R2378" t="s">
        <v>29</v>
      </c>
      <c r="S2378">
        <v>11.8939339877585</v>
      </c>
      <c r="T2378" t="s">
        <v>29</v>
      </c>
      <c r="U2378" t="s">
        <v>29</v>
      </c>
      <c r="V2378" t="s">
        <v>29</v>
      </c>
      <c r="W2378" t="s">
        <v>29</v>
      </c>
      <c r="X2378" t="s">
        <v>29</v>
      </c>
      <c r="Y2378" t="s">
        <v>29</v>
      </c>
    </row>
    <row r="2379" spans="1:25" x14ac:dyDescent="0.2">
      <c r="A2379" t="s">
        <v>8903</v>
      </c>
      <c r="B2379" t="s">
        <v>8904</v>
      </c>
      <c r="C2379" t="s">
        <v>8905</v>
      </c>
      <c r="D2379" t="s">
        <v>8906</v>
      </c>
      <c r="E2379" t="s">
        <v>8904</v>
      </c>
      <c r="F2379" t="s">
        <v>28</v>
      </c>
      <c r="G2379" t="s">
        <v>8904</v>
      </c>
      <c r="H2379" t="str">
        <f>"apm-3"</f>
        <v>apm-3</v>
      </c>
      <c r="I2379" t="s">
        <v>8906</v>
      </c>
      <c r="J2379">
        <v>13.3192182576331</v>
      </c>
      <c r="K2379">
        <v>13.371271891769601</v>
      </c>
      <c r="L2379">
        <v>12.957631482431101</v>
      </c>
      <c r="M2379">
        <v>13.5665721536704</v>
      </c>
      <c r="N2379">
        <v>13.2434529546427</v>
      </c>
      <c r="O2379">
        <v>12.6800198304999</v>
      </c>
      <c r="P2379">
        <v>-5.2692231006954401E-2</v>
      </c>
      <c r="Q2379">
        <v>-0.67043254292088905</v>
      </c>
      <c r="R2379">
        <v>0.56504808090698</v>
      </c>
      <c r="S2379">
        <v>12.892007022392701</v>
      </c>
      <c r="T2379">
        <v>-0.18092149755585299</v>
      </c>
      <c r="U2379">
        <v>-7.0348361360983898</v>
      </c>
      <c r="V2379">
        <v>0.85871595214402396</v>
      </c>
      <c r="W2379">
        <v>0.94424907039645001</v>
      </c>
      <c r="X2379">
        <v>0</v>
      </c>
      <c r="Y2379">
        <v>0</v>
      </c>
    </row>
    <row r="2380" spans="1:25" x14ac:dyDescent="0.2">
      <c r="A2380" t="s">
        <v>8907</v>
      </c>
      <c r="B2380" t="s">
        <v>8908</v>
      </c>
      <c r="C2380" t="s">
        <v>8909</v>
      </c>
      <c r="D2380" t="s">
        <v>8910</v>
      </c>
      <c r="E2380" t="s">
        <v>8908</v>
      </c>
      <c r="F2380" t="s">
        <v>28</v>
      </c>
      <c r="G2380" t="s">
        <v>8908</v>
      </c>
      <c r="H2380" t="str">
        <f>"unc-84"</f>
        <v>unc-84</v>
      </c>
      <c r="I2380" t="s">
        <v>8910</v>
      </c>
      <c r="J2380">
        <v>14.1145347601969</v>
      </c>
      <c r="K2380">
        <v>14.913674638019801</v>
      </c>
      <c r="L2380">
        <v>14.529016303234901</v>
      </c>
      <c r="M2380">
        <v>14.3683890404905</v>
      </c>
      <c r="N2380">
        <v>13.8208140415424</v>
      </c>
      <c r="O2380">
        <v>14.3805655520425</v>
      </c>
      <c r="P2380">
        <v>-0.32915235579209001</v>
      </c>
      <c r="Q2380">
        <v>-0.83386963647035395</v>
      </c>
      <c r="R2380">
        <v>0.17556492488617401</v>
      </c>
      <c r="S2380">
        <v>14.863990330161</v>
      </c>
      <c r="T2380">
        <v>-1.37069650808975</v>
      </c>
      <c r="U2380">
        <v>-6.1161582625355999</v>
      </c>
      <c r="V2380">
        <v>0.18741850517235201</v>
      </c>
      <c r="W2380">
        <v>0.45039110104366298</v>
      </c>
      <c r="X2380">
        <v>0</v>
      </c>
      <c r="Y2380">
        <v>0</v>
      </c>
    </row>
    <row r="2381" spans="1:25" x14ac:dyDescent="0.2">
      <c r="A2381" t="s">
        <v>8911</v>
      </c>
      <c r="B2381" t="s">
        <v>8912</v>
      </c>
      <c r="C2381" t="s">
        <v>8913</v>
      </c>
      <c r="D2381" t="s">
        <v>8914</v>
      </c>
      <c r="E2381" t="s">
        <v>8912</v>
      </c>
      <c r="F2381" t="s">
        <v>28</v>
      </c>
      <c r="G2381" t="s">
        <v>8912</v>
      </c>
      <c r="H2381" t="str">
        <f>"atad-3"</f>
        <v>atad-3</v>
      </c>
      <c r="I2381" t="s">
        <v>8914</v>
      </c>
      <c r="J2381">
        <v>13.4646455044929</v>
      </c>
      <c r="K2381">
        <v>13.594875774184199</v>
      </c>
      <c r="L2381">
        <v>13.522992456269399</v>
      </c>
      <c r="M2381">
        <v>13.474127086197299</v>
      </c>
      <c r="N2381">
        <v>13.697042877939699</v>
      </c>
      <c r="O2381">
        <v>14.204457373416799</v>
      </c>
      <c r="P2381">
        <v>0.26437120086909999</v>
      </c>
      <c r="Q2381">
        <v>-0.17014537594568699</v>
      </c>
      <c r="R2381">
        <v>0.69888777768388699</v>
      </c>
      <c r="S2381">
        <v>13.685629489419201</v>
      </c>
      <c r="T2381">
        <v>1.2904979652783299</v>
      </c>
      <c r="U2381">
        <v>-6.2168669463578601</v>
      </c>
      <c r="V2381">
        <v>0.21533484156718999</v>
      </c>
      <c r="W2381">
        <v>0.48191167431887</v>
      </c>
      <c r="X2381">
        <v>0</v>
      </c>
      <c r="Y2381">
        <v>0</v>
      </c>
    </row>
    <row r="2382" spans="1:25" x14ac:dyDescent="0.2">
      <c r="A2382" t="s">
        <v>8915</v>
      </c>
      <c r="B2382" t="s">
        <v>8916</v>
      </c>
      <c r="C2382" t="s">
        <v>8917</v>
      </c>
      <c r="D2382" t="s">
        <v>8918</v>
      </c>
      <c r="E2382" t="s">
        <v>8916</v>
      </c>
      <c r="F2382" t="s">
        <v>28</v>
      </c>
      <c r="G2382" t="s">
        <v>8916</v>
      </c>
      <c r="H2382" t="str">
        <f>"iff-2"</f>
        <v>iff-2</v>
      </c>
      <c r="I2382" t="s">
        <v>8918</v>
      </c>
      <c r="J2382">
        <v>16.735701048629998</v>
      </c>
      <c r="K2382">
        <v>16.580791496130502</v>
      </c>
      <c r="L2382">
        <v>16.5414992116009</v>
      </c>
      <c r="M2382">
        <v>16.548926985093502</v>
      </c>
      <c r="N2382">
        <v>16.130424940554398</v>
      </c>
      <c r="O2382">
        <v>16.255075369352099</v>
      </c>
      <c r="P2382">
        <v>-0.30785482045377299</v>
      </c>
      <c r="Q2382">
        <v>-0.78734115289803197</v>
      </c>
      <c r="R2382">
        <v>0.17163151199048499</v>
      </c>
      <c r="S2382">
        <v>16.002558336424499</v>
      </c>
      <c r="T2382">
        <v>-1.34946690789793</v>
      </c>
      <c r="U2382">
        <v>-6.1435656589044996</v>
      </c>
      <c r="V2382">
        <v>0.19401348773449001</v>
      </c>
      <c r="W2382">
        <v>0.45592304187821298</v>
      </c>
      <c r="X2382">
        <v>0</v>
      </c>
      <c r="Y2382">
        <v>0</v>
      </c>
    </row>
    <row r="2383" spans="1:25" x14ac:dyDescent="0.2">
      <c r="A2383" t="s">
        <v>8919</v>
      </c>
      <c r="B2383" t="s">
        <v>8920</v>
      </c>
      <c r="C2383" t="s">
        <v>8921</v>
      </c>
      <c r="D2383" t="s">
        <v>8922</v>
      </c>
      <c r="E2383" t="s">
        <v>8920</v>
      </c>
      <c r="F2383" t="s">
        <v>28</v>
      </c>
      <c r="G2383" t="s">
        <v>8920</v>
      </c>
      <c r="H2383" t="str">
        <f>"stc-1"</f>
        <v>stc-1</v>
      </c>
      <c r="I2383" t="s">
        <v>8922</v>
      </c>
      <c r="J2383">
        <v>13.948931432955099</v>
      </c>
      <c r="K2383">
        <v>13.696038381363</v>
      </c>
      <c r="L2383">
        <v>13.382207765751801</v>
      </c>
      <c r="M2383">
        <v>13.4992633138</v>
      </c>
      <c r="N2383">
        <v>13.235029626843</v>
      </c>
      <c r="O2383" t="s">
        <v>29</v>
      </c>
      <c r="P2383">
        <v>-0.308579389701782</v>
      </c>
      <c r="Q2383">
        <v>-1.379214119847</v>
      </c>
      <c r="R2383">
        <v>0.76205534044343504</v>
      </c>
      <c r="S2383">
        <v>13.1910157953559</v>
      </c>
      <c r="T2383">
        <v>-0.61470563502430098</v>
      </c>
      <c r="U2383">
        <v>-6.7441780874627897</v>
      </c>
      <c r="V2383">
        <v>0.54802523970246197</v>
      </c>
      <c r="W2383">
        <v>0.77920996104149098</v>
      </c>
      <c r="X2383">
        <v>0</v>
      </c>
      <c r="Y2383">
        <v>0</v>
      </c>
    </row>
    <row r="2384" spans="1:25" x14ac:dyDescent="0.2">
      <c r="A2384" t="s">
        <v>8923</v>
      </c>
      <c r="B2384" t="s">
        <v>8924</v>
      </c>
      <c r="C2384" t="s">
        <v>8925</v>
      </c>
      <c r="D2384" t="s">
        <v>8926</v>
      </c>
      <c r="E2384" t="s">
        <v>8924</v>
      </c>
      <c r="F2384" t="s">
        <v>28</v>
      </c>
      <c r="G2384" t="s">
        <v>8924</v>
      </c>
      <c r="H2384" t="str">
        <f>"puf-5"</f>
        <v>puf-5</v>
      </c>
      <c r="I2384" t="s">
        <v>8926</v>
      </c>
      <c r="J2384">
        <v>12.5419874411939</v>
      </c>
      <c r="K2384">
        <v>12.4353138530604</v>
      </c>
      <c r="L2384">
        <v>13.2843517288713</v>
      </c>
      <c r="M2384">
        <v>12.3851795770703</v>
      </c>
      <c r="N2384">
        <v>13.1121855116416</v>
      </c>
      <c r="O2384">
        <v>12.8532713088048</v>
      </c>
      <c r="P2384">
        <v>2.9661124797044601E-2</v>
      </c>
      <c r="Q2384">
        <v>-0.75808880065741902</v>
      </c>
      <c r="R2384">
        <v>0.81741105025150795</v>
      </c>
      <c r="S2384">
        <v>14.0621041546349</v>
      </c>
      <c r="T2384">
        <v>7.94784261537477E-2</v>
      </c>
      <c r="U2384">
        <v>-7.0487662814761798</v>
      </c>
      <c r="V2384">
        <v>0.93758590372231398</v>
      </c>
      <c r="W2384">
        <v>0.97535311084156295</v>
      </c>
      <c r="X2384">
        <v>0</v>
      </c>
      <c r="Y2384">
        <v>0</v>
      </c>
    </row>
    <row r="2385" spans="1:25" x14ac:dyDescent="0.2">
      <c r="A2385" t="s">
        <v>8927</v>
      </c>
      <c r="B2385" t="s">
        <v>8928</v>
      </c>
      <c r="C2385" t="s">
        <v>8929</v>
      </c>
      <c r="D2385" t="s">
        <v>8930</v>
      </c>
      <c r="E2385" t="s">
        <v>8928</v>
      </c>
      <c r="F2385" t="s">
        <v>28</v>
      </c>
      <c r="G2385" t="s">
        <v>8928</v>
      </c>
      <c r="H2385" t="str">
        <f>"arl-1"</f>
        <v>arl-1</v>
      </c>
      <c r="I2385" t="s">
        <v>8930</v>
      </c>
      <c r="J2385">
        <v>16.722984754016501</v>
      </c>
      <c r="K2385">
        <v>16.8070878550324</v>
      </c>
      <c r="L2385">
        <v>16.347547944263301</v>
      </c>
      <c r="M2385">
        <v>16.7128416491047</v>
      </c>
      <c r="N2385">
        <v>16.579016259802401</v>
      </c>
      <c r="O2385">
        <v>16.311947404228199</v>
      </c>
      <c r="P2385">
        <v>-9.1271746725599498E-2</v>
      </c>
      <c r="Q2385">
        <v>-0.44074736561806799</v>
      </c>
      <c r="R2385">
        <v>0.25820387216686902</v>
      </c>
      <c r="S2385">
        <v>16.2687894647019</v>
      </c>
      <c r="T2385">
        <v>-0.54892371320700795</v>
      </c>
      <c r="U2385">
        <v>-6.8955013679019297</v>
      </c>
      <c r="V2385">
        <v>0.58984203186862505</v>
      </c>
      <c r="W2385">
        <v>0.80369478292283902</v>
      </c>
      <c r="X2385">
        <v>0</v>
      </c>
      <c r="Y2385">
        <v>0</v>
      </c>
    </row>
    <row r="2386" spans="1:25" x14ac:dyDescent="0.2">
      <c r="A2386" t="s">
        <v>8931</v>
      </c>
      <c r="B2386" t="s">
        <v>8932</v>
      </c>
      <c r="C2386" t="s">
        <v>14480</v>
      </c>
      <c r="D2386" t="s">
        <v>8933</v>
      </c>
      <c r="E2386" t="s">
        <v>8932</v>
      </c>
      <c r="F2386" t="s">
        <v>28</v>
      </c>
      <c r="G2386" t="s">
        <v>8932</v>
      </c>
      <c r="H2386" t="str">
        <f>"F54C9.9"</f>
        <v>F54C9.9</v>
      </c>
      <c r="I2386" t="s">
        <v>8933</v>
      </c>
      <c r="J2386">
        <v>13.717226211162201</v>
      </c>
      <c r="K2386">
        <v>13.951017679990001</v>
      </c>
      <c r="L2386">
        <v>14.063799040151</v>
      </c>
      <c r="M2386">
        <v>13.657083412391501</v>
      </c>
      <c r="N2386">
        <v>14.495292166676</v>
      </c>
      <c r="O2386">
        <v>14.294903861367001</v>
      </c>
      <c r="P2386">
        <v>0.23841216971045601</v>
      </c>
      <c r="Q2386">
        <v>-0.48618074049287402</v>
      </c>
      <c r="R2386">
        <v>0.96300507991378503</v>
      </c>
      <c r="S2386">
        <v>14.8205628969407</v>
      </c>
      <c r="T2386">
        <v>0.69451935448213697</v>
      </c>
      <c r="U2386">
        <v>-6.8020871948647201</v>
      </c>
      <c r="V2386">
        <v>0.49679708736919198</v>
      </c>
      <c r="W2386">
        <v>0.74910923183473099</v>
      </c>
      <c r="X2386">
        <v>0</v>
      </c>
      <c r="Y2386">
        <v>0</v>
      </c>
    </row>
    <row r="2387" spans="1:25" x14ac:dyDescent="0.2">
      <c r="A2387" t="s">
        <v>8934</v>
      </c>
      <c r="B2387" t="s">
        <v>8935</v>
      </c>
      <c r="C2387" t="s">
        <v>8936</v>
      </c>
      <c r="D2387" t="s">
        <v>8937</v>
      </c>
      <c r="E2387" t="s">
        <v>8935</v>
      </c>
      <c r="F2387" t="s">
        <v>28</v>
      </c>
      <c r="G2387" t="s">
        <v>8935</v>
      </c>
      <c r="H2387" t="str">
        <f>"nhr-7"</f>
        <v>nhr-7</v>
      </c>
      <c r="I2387" t="s">
        <v>8937</v>
      </c>
      <c r="J2387">
        <v>16.344902990318801</v>
      </c>
      <c r="K2387">
        <v>16.684040257113899</v>
      </c>
      <c r="L2387">
        <v>16.075252067787002</v>
      </c>
      <c r="M2387">
        <v>17.261614975099601</v>
      </c>
      <c r="N2387">
        <v>16.929030865709901</v>
      </c>
      <c r="O2387">
        <v>17.075676598243401</v>
      </c>
      <c r="P2387">
        <v>0.72070904127773305</v>
      </c>
      <c r="Q2387">
        <v>-0.23447256096298399</v>
      </c>
      <c r="R2387">
        <v>1.67589064351845</v>
      </c>
      <c r="S2387">
        <v>16.1314405497914</v>
      </c>
      <c r="T2387">
        <v>1.5858661692087199</v>
      </c>
      <c r="U2387">
        <v>-5.8194644265495503</v>
      </c>
      <c r="V2387">
        <v>0.130281717745523</v>
      </c>
      <c r="W2387">
        <v>0.374477979788438</v>
      </c>
      <c r="X2387">
        <v>0</v>
      </c>
      <c r="Y2387">
        <v>0</v>
      </c>
    </row>
    <row r="2388" spans="1:25" x14ac:dyDescent="0.2">
      <c r="A2388" t="s">
        <v>8938</v>
      </c>
      <c r="B2388" t="s">
        <v>8939</v>
      </c>
      <c r="C2388" t="s">
        <v>8940</v>
      </c>
      <c r="D2388" t="s">
        <v>308</v>
      </c>
      <c r="E2388" t="s">
        <v>8939</v>
      </c>
      <c r="F2388" t="s">
        <v>28</v>
      </c>
      <c r="G2388" t="s">
        <v>8939</v>
      </c>
      <c r="H2388" t="str">
        <f>"dnj-13"</f>
        <v>dnj-13</v>
      </c>
      <c r="I2388" t="s">
        <v>308</v>
      </c>
      <c r="J2388" t="s">
        <v>29</v>
      </c>
      <c r="K2388" t="s">
        <v>29</v>
      </c>
      <c r="L2388" t="s">
        <v>29</v>
      </c>
      <c r="M2388" t="s">
        <v>29</v>
      </c>
      <c r="N2388" t="s">
        <v>29</v>
      </c>
      <c r="O2388" t="s">
        <v>29</v>
      </c>
      <c r="P2388" t="s">
        <v>29</v>
      </c>
      <c r="Q2388" t="s">
        <v>29</v>
      </c>
      <c r="R2388" t="s">
        <v>29</v>
      </c>
      <c r="S2388">
        <v>10.749067693539899</v>
      </c>
      <c r="T2388" t="s">
        <v>29</v>
      </c>
      <c r="U2388" t="s">
        <v>29</v>
      </c>
      <c r="V2388" t="s">
        <v>29</v>
      </c>
      <c r="W2388" t="s">
        <v>29</v>
      </c>
      <c r="X2388" t="s">
        <v>29</v>
      </c>
      <c r="Y2388" t="s">
        <v>29</v>
      </c>
    </row>
    <row r="2389" spans="1:25" x14ac:dyDescent="0.2">
      <c r="A2389" t="s">
        <v>8941</v>
      </c>
      <c r="B2389" t="s">
        <v>8942</v>
      </c>
      <c r="C2389" t="s">
        <v>8943</v>
      </c>
      <c r="D2389" t="s">
        <v>8944</v>
      </c>
      <c r="E2389" t="s">
        <v>8942</v>
      </c>
      <c r="F2389" t="s">
        <v>28</v>
      </c>
      <c r="G2389" t="s">
        <v>8942</v>
      </c>
      <c r="H2389" t="str">
        <f>"cox-6A"</f>
        <v>cox-6A</v>
      </c>
      <c r="I2389" t="s">
        <v>8944</v>
      </c>
      <c r="J2389">
        <v>15.477225704727299</v>
      </c>
      <c r="K2389">
        <v>15.160954038786301</v>
      </c>
      <c r="L2389">
        <v>15.2945161584417</v>
      </c>
      <c r="M2389">
        <v>15.117812655507301</v>
      </c>
      <c r="N2389">
        <v>15.061215834420601</v>
      </c>
      <c r="O2389">
        <v>15.5846252345791</v>
      </c>
      <c r="P2389">
        <v>-5.6347392482777502E-2</v>
      </c>
      <c r="Q2389">
        <v>-0.44088304986059701</v>
      </c>
      <c r="R2389">
        <v>0.32818826489504199</v>
      </c>
      <c r="S2389">
        <v>15.129728173837901</v>
      </c>
      <c r="T2389">
        <v>-0.30798510919712502</v>
      </c>
      <c r="U2389">
        <v>-7.0025087170193299</v>
      </c>
      <c r="V2389">
        <v>0.761649686135068</v>
      </c>
      <c r="W2389">
        <v>0.89933527288875903</v>
      </c>
      <c r="X2389">
        <v>0</v>
      </c>
      <c r="Y2389">
        <v>0</v>
      </c>
    </row>
    <row r="2390" spans="1:25" x14ac:dyDescent="0.2">
      <c r="A2390" t="s">
        <v>8945</v>
      </c>
      <c r="B2390" t="s">
        <v>8946</v>
      </c>
      <c r="C2390" t="s">
        <v>8947</v>
      </c>
      <c r="D2390" t="s">
        <v>8948</v>
      </c>
      <c r="E2390" t="s">
        <v>8946</v>
      </c>
      <c r="F2390" t="s">
        <v>28</v>
      </c>
      <c r="G2390" t="s">
        <v>8946</v>
      </c>
      <c r="H2390" t="str">
        <f>"alh-1"</f>
        <v>alh-1</v>
      </c>
      <c r="I2390" t="s">
        <v>8948</v>
      </c>
      <c r="J2390">
        <v>15.1634139143599</v>
      </c>
      <c r="K2390">
        <v>15.262225957592801</v>
      </c>
      <c r="L2390">
        <v>15.0941133491319</v>
      </c>
      <c r="M2390">
        <v>15.338400321017</v>
      </c>
      <c r="N2390">
        <v>15.3399289403122</v>
      </c>
      <c r="O2390">
        <v>16.063420448701098</v>
      </c>
      <c r="P2390">
        <v>0.40733216298192998</v>
      </c>
      <c r="Q2390">
        <v>-7.5179169222829495E-2</v>
      </c>
      <c r="R2390">
        <v>0.88984349518669004</v>
      </c>
      <c r="S2390">
        <v>15.0199286245922</v>
      </c>
      <c r="T2390">
        <v>1.7743271538513301</v>
      </c>
      <c r="U2390">
        <v>-5.5332422424196199</v>
      </c>
      <c r="V2390">
        <v>9.3023813125294993E-2</v>
      </c>
      <c r="W2390">
        <v>0.31400361816359901</v>
      </c>
      <c r="X2390">
        <v>0</v>
      </c>
      <c r="Y2390">
        <v>0</v>
      </c>
    </row>
    <row r="2391" spans="1:25" x14ac:dyDescent="0.2">
      <c r="A2391" t="s">
        <v>8949</v>
      </c>
      <c r="B2391" t="s">
        <v>8950</v>
      </c>
      <c r="C2391" t="s">
        <v>8951</v>
      </c>
      <c r="D2391" t="s">
        <v>8952</v>
      </c>
      <c r="E2391" t="s">
        <v>8950</v>
      </c>
      <c r="F2391" t="s">
        <v>28</v>
      </c>
      <c r="G2391" t="s">
        <v>8950</v>
      </c>
      <c r="H2391" t="str">
        <f>"pst-2"</f>
        <v>pst-2</v>
      </c>
      <c r="I2391" t="s">
        <v>8952</v>
      </c>
      <c r="J2391">
        <v>13.018484000485399</v>
      </c>
      <c r="K2391">
        <v>13.7355461769423</v>
      </c>
      <c r="L2391">
        <v>13.402459108948101</v>
      </c>
      <c r="M2391">
        <v>12.4318848305932</v>
      </c>
      <c r="N2391">
        <v>12.663355721605299</v>
      </c>
      <c r="O2391">
        <v>13.1946554653516</v>
      </c>
      <c r="P2391">
        <v>-0.622197756275225</v>
      </c>
      <c r="Q2391">
        <v>-1.25109557592139</v>
      </c>
      <c r="R2391">
        <v>6.7000633709431998E-3</v>
      </c>
      <c r="S2391">
        <v>13.8028886169119</v>
      </c>
      <c r="T2391">
        <v>-2.0883263327365</v>
      </c>
      <c r="U2391">
        <v>-5.0144475204438699</v>
      </c>
      <c r="V2391">
        <v>5.2221248344013399E-2</v>
      </c>
      <c r="W2391">
        <v>0.226873086931135</v>
      </c>
      <c r="X2391">
        <v>0</v>
      </c>
      <c r="Y2391">
        <v>0</v>
      </c>
    </row>
    <row r="2392" spans="1:25" x14ac:dyDescent="0.2">
      <c r="A2392" t="s">
        <v>8953</v>
      </c>
      <c r="B2392" t="s">
        <v>8954</v>
      </c>
      <c r="C2392" t="s">
        <v>8955</v>
      </c>
      <c r="D2392" t="s">
        <v>8956</v>
      </c>
      <c r="E2392" t="s">
        <v>8954</v>
      </c>
      <c r="F2392" t="s">
        <v>28</v>
      </c>
      <c r="G2392" t="s">
        <v>8954</v>
      </c>
      <c r="H2392" t="str">
        <f>"syx-5"</f>
        <v>syx-5</v>
      </c>
      <c r="I2392" t="s">
        <v>8956</v>
      </c>
      <c r="J2392" t="s">
        <v>29</v>
      </c>
      <c r="K2392" t="s">
        <v>29</v>
      </c>
      <c r="L2392">
        <v>12.790054353161</v>
      </c>
      <c r="M2392">
        <v>14.064115749876301</v>
      </c>
      <c r="N2392">
        <v>13.5574745143666</v>
      </c>
      <c r="O2392">
        <v>13.7511442215818</v>
      </c>
      <c r="P2392">
        <v>1.00085714211396</v>
      </c>
      <c r="Q2392">
        <v>0.19594558927326799</v>
      </c>
      <c r="R2392">
        <v>1.8057686949546501</v>
      </c>
      <c r="S2392">
        <v>13.2370944991264</v>
      </c>
      <c r="T2392">
        <v>2.6687987442459802</v>
      </c>
      <c r="U2392">
        <v>-3.6826552890086699</v>
      </c>
      <c r="V2392">
        <v>1.8436957614121799E-2</v>
      </c>
      <c r="W2392">
        <v>0.13156548262357901</v>
      </c>
      <c r="X2392">
        <v>1</v>
      </c>
      <c r="Y2392">
        <v>0</v>
      </c>
    </row>
    <row r="2393" spans="1:25" x14ac:dyDescent="0.2">
      <c r="A2393" t="s">
        <v>8957</v>
      </c>
      <c r="B2393" t="s">
        <v>8958</v>
      </c>
      <c r="C2393" t="s">
        <v>8959</v>
      </c>
      <c r="D2393" t="s">
        <v>8960</v>
      </c>
      <c r="E2393" t="s">
        <v>8958</v>
      </c>
      <c r="F2393" t="s">
        <v>28</v>
      </c>
      <c r="G2393" t="s">
        <v>8958</v>
      </c>
      <c r="H2393" t="str">
        <f>"sel-11"</f>
        <v>sel-11</v>
      </c>
      <c r="I2393" t="s">
        <v>8960</v>
      </c>
      <c r="J2393">
        <v>14.0491919498496</v>
      </c>
      <c r="K2393">
        <v>13.877831178929901</v>
      </c>
      <c r="L2393">
        <v>13.6813133676766</v>
      </c>
      <c r="M2393">
        <v>13.7520875679963</v>
      </c>
      <c r="N2393">
        <v>13.1717595780444</v>
      </c>
      <c r="O2393">
        <v>13.2347211606094</v>
      </c>
      <c r="P2393">
        <v>-0.48325606326867498</v>
      </c>
      <c r="Q2393">
        <v>-0.996486988611469</v>
      </c>
      <c r="R2393">
        <v>2.997486207412E-2</v>
      </c>
      <c r="S2393">
        <v>13.651442824005301</v>
      </c>
      <c r="T2393">
        <v>-1.9875337286988299</v>
      </c>
      <c r="U2393">
        <v>-5.18747396556489</v>
      </c>
      <c r="V2393">
        <v>6.3320945446439403E-2</v>
      </c>
      <c r="W2393">
        <v>0.25532386181253303</v>
      </c>
      <c r="X2393">
        <v>0</v>
      </c>
      <c r="Y2393">
        <v>0</v>
      </c>
    </row>
    <row r="2394" spans="1:25" x14ac:dyDescent="0.2">
      <c r="A2394" t="s">
        <v>8961</v>
      </c>
      <c r="B2394" t="s">
        <v>8962</v>
      </c>
      <c r="C2394" t="s">
        <v>8963</v>
      </c>
      <c r="D2394" t="s">
        <v>8964</v>
      </c>
      <c r="E2394" t="s">
        <v>8962</v>
      </c>
      <c r="F2394" t="s">
        <v>28</v>
      </c>
      <c r="G2394" t="s">
        <v>8962</v>
      </c>
      <c r="H2394" t="str">
        <f>"F55A11.4"</f>
        <v>F55A11.4</v>
      </c>
      <c r="I2394" t="s">
        <v>8964</v>
      </c>
      <c r="J2394">
        <v>12.6049851720951</v>
      </c>
      <c r="K2394">
        <v>12.426191311247999</v>
      </c>
      <c r="L2394">
        <v>12.3208571350153</v>
      </c>
      <c r="M2394">
        <v>12.6963544678531</v>
      </c>
      <c r="N2394">
        <v>12.870958921582201</v>
      </c>
      <c r="O2394">
        <v>12.369655311280599</v>
      </c>
      <c r="P2394">
        <v>0.19497836078585501</v>
      </c>
      <c r="Q2394">
        <v>-0.224887154267295</v>
      </c>
      <c r="R2394">
        <v>0.61484387583900502</v>
      </c>
      <c r="S2394">
        <v>12.280072778151499</v>
      </c>
      <c r="T2394">
        <v>0.99041638081262595</v>
      </c>
      <c r="U2394">
        <v>-6.5490518809170801</v>
      </c>
      <c r="V2394">
        <v>0.33778791978622802</v>
      </c>
      <c r="W2394">
        <v>0.61646768983981304</v>
      </c>
      <c r="X2394">
        <v>0</v>
      </c>
      <c r="Y2394">
        <v>0</v>
      </c>
    </row>
    <row r="2395" spans="1:25" x14ac:dyDescent="0.2">
      <c r="A2395" t="s">
        <v>8965</v>
      </c>
      <c r="B2395" t="s">
        <v>8966</v>
      </c>
      <c r="C2395" t="s">
        <v>8967</v>
      </c>
      <c r="D2395" t="s">
        <v>8968</v>
      </c>
      <c r="E2395" t="s">
        <v>8966</v>
      </c>
      <c r="F2395" t="s">
        <v>28</v>
      </c>
      <c r="G2395" t="s">
        <v>8966</v>
      </c>
      <c r="H2395" t="str">
        <f>"capg-2"</f>
        <v>capg-2</v>
      </c>
      <c r="I2395" t="s">
        <v>8968</v>
      </c>
      <c r="J2395">
        <v>11.540473615692401</v>
      </c>
      <c r="K2395">
        <v>11.1144326848649</v>
      </c>
      <c r="L2395">
        <v>11.5775014167781</v>
      </c>
      <c r="M2395">
        <v>11.2058969074477</v>
      </c>
      <c r="N2395">
        <v>11.891834665784399</v>
      </c>
      <c r="O2395">
        <v>11.135065824023799</v>
      </c>
      <c r="P2395">
        <v>1.2989330682522401E-4</v>
      </c>
      <c r="Q2395">
        <v>-0.63927472768108096</v>
      </c>
      <c r="R2395">
        <v>0.63953451429473096</v>
      </c>
      <c r="S2395">
        <v>11.986145344321899</v>
      </c>
      <c r="T2395">
        <v>4.2880616019074798E-4</v>
      </c>
      <c r="U2395">
        <v>-7.0520863457201504</v>
      </c>
      <c r="V2395">
        <v>0.99966288471130604</v>
      </c>
      <c r="W2395">
        <v>0.99966288471130604</v>
      </c>
      <c r="X2395">
        <v>0</v>
      </c>
      <c r="Y2395">
        <v>0</v>
      </c>
    </row>
    <row r="2396" spans="1:25" x14ac:dyDescent="0.2">
      <c r="A2396" t="s">
        <v>8969</v>
      </c>
      <c r="B2396" t="s">
        <v>8970</v>
      </c>
      <c r="C2396" t="s">
        <v>8971</v>
      </c>
      <c r="D2396" t="s">
        <v>8972</v>
      </c>
      <c r="E2396" t="s">
        <v>8970</v>
      </c>
      <c r="F2396" t="s">
        <v>28</v>
      </c>
      <c r="G2396" t="s">
        <v>8970</v>
      </c>
      <c r="H2396" t="str">
        <f>"tsfm-1"</f>
        <v>tsfm-1</v>
      </c>
      <c r="I2396" t="s">
        <v>8972</v>
      </c>
      <c r="J2396">
        <v>12.7476796224752</v>
      </c>
      <c r="K2396">
        <v>13.165537812543599</v>
      </c>
      <c r="L2396">
        <v>13.312071480161199</v>
      </c>
      <c r="M2396">
        <v>11.2931855381877</v>
      </c>
      <c r="N2396">
        <v>12.406816176370601</v>
      </c>
      <c r="O2396">
        <v>12.02418864387</v>
      </c>
      <c r="P2396">
        <v>-1.16703285225054</v>
      </c>
      <c r="Q2396">
        <v>-1.80610643190216</v>
      </c>
      <c r="R2396">
        <v>-0.52795927259892095</v>
      </c>
      <c r="S2396">
        <v>13.6052194104593</v>
      </c>
      <c r="T2396">
        <v>-3.8546258662464501</v>
      </c>
      <c r="U2396">
        <v>-1.4640419231886099</v>
      </c>
      <c r="V2396">
        <v>1.28350349846252E-3</v>
      </c>
      <c r="W2396">
        <v>2.1218036823962699E-2</v>
      </c>
      <c r="X2396">
        <v>-1</v>
      </c>
      <c r="Y2396">
        <v>-1</v>
      </c>
    </row>
    <row r="2397" spans="1:25" x14ac:dyDescent="0.2">
      <c r="A2397" t="s">
        <v>8973</v>
      </c>
      <c r="B2397" t="s">
        <v>8974</v>
      </c>
      <c r="C2397" t="s">
        <v>8975</v>
      </c>
      <c r="D2397" t="s">
        <v>8976</v>
      </c>
      <c r="E2397" t="s">
        <v>8974</v>
      </c>
      <c r="F2397" t="s">
        <v>28</v>
      </c>
      <c r="G2397" t="s">
        <v>8974</v>
      </c>
      <c r="H2397" t="str">
        <f>"srpa-68"</f>
        <v>srpa-68</v>
      </c>
      <c r="I2397" t="s">
        <v>8976</v>
      </c>
      <c r="J2397">
        <v>15.6719013501517</v>
      </c>
      <c r="K2397">
        <v>15.424463408146799</v>
      </c>
      <c r="L2397">
        <v>15.525846535486799</v>
      </c>
      <c r="M2397">
        <v>15.4972220313599</v>
      </c>
      <c r="N2397">
        <v>15.452401064935801</v>
      </c>
      <c r="O2397">
        <v>15.257772929366601</v>
      </c>
      <c r="P2397">
        <v>-0.138271756041007</v>
      </c>
      <c r="Q2397">
        <v>-0.48844457901099397</v>
      </c>
      <c r="R2397">
        <v>0.21190106692898</v>
      </c>
      <c r="S2397">
        <v>15.227540259289601</v>
      </c>
      <c r="T2397">
        <v>-0.82993399518270705</v>
      </c>
      <c r="U2397">
        <v>-6.6979398019257896</v>
      </c>
      <c r="V2397">
        <v>0.41751078741862102</v>
      </c>
      <c r="W2397">
        <v>0.69103769189226505</v>
      </c>
      <c r="X2397">
        <v>0</v>
      </c>
      <c r="Y2397">
        <v>0</v>
      </c>
    </row>
    <row r="2398" spans="1:25" x14ac:dyDescent="0.2">
      <c r="A2398" t="s">
        <v>8977</v>
      </c>
      <c r="B2398" t="s">
        <v>8978</v>
      </c>
      <c r="C2398" t="s">
        <v>14481</v>
      </c>
      <c r="D2398" t="s">
        <v>368</v>
      </c>
      <c r="E2398" t="s">
        <v>8978</v>
      </c>
      <c r="F2398" t="s">
        <v>28</v>
      </c>
      <c r="G2398" t="s">
        <v>8978</v>
      </c>
      <c r="H2398" t="str">
        <f>"F55D12.1"</f>
        <v>F55D12.1</v>
      </c>
      <c r="I2398" t="s">
        <v>368</v>
      </c>
      <c r="J2398">
        <v>12.147782360216</v>
      </c>
      <c r="K2398" t="s">
        <v>29</v>
      </c>
      <c r="L2398">
        <v>11.9745965304484</v>
      </c>
      <c r="M2398">
        <v>12.0610333733063</v>
      </c>
      <c r="N2398">
        <v>12.4414863055993</v>
      </c>
      <c r="O2398">
        <v>11.9970223373832</v>
      </c>
      <c r="P2398">
        <v>0.10532456009739</v>
      </c>
      <c r="Q2398">
        <v>-0.69632786991848905</v>
      </c>
      <c r="R2398">
        <v>0.90697699011326904</v>
      </c>
      <c r="S2398">
        <v>11.829796337949499</v>
      </c>
      <c r="T2398">
        <v>0.28951510937897001</v>
      </c>
      <c r="U2398">
        <v>-6.8962699612468601</v>
      </c>
      <c r="V2398">
        <v>0.77762234993462998</v>
      </c>
      <c r="W2398">
        <v>0.90629768147825396</v>
      </c>
      <c r="X2398">
        <v>0</v>
      </c>
      <c r="Y2398">
        <v>0</v>
      </c>
    </row>
    <row r="2399" spans="1:25" x14ac:dyDescent="0.2">
      <c r="A2399" t="s">
        <v>8979</v>
      </c>
      <c r="B2399" t="s">
        <v>8980</v>
      </c>
      <c r="C2399" t="s">
        <v>8981</v>
      </c>
      <c r="D2399" t="s">
        <v>8982</v>
      </c>
      <c r="E2399" t="s">
        <v>8980</v>
      </c>
      <c r="F2399" t="s">
        <v>28</v>
      </c>
      <c r="G2399" t="s">
        <v>8980</v>
      </c>
      <c r="H2399" t="str">
        <f>"drd-5"</f>
        <v>drd-5</v>
      </c>
      <c r="I2399" t="s">
        <v>8982</v>
      </c>
      <c r="J2399" t="s">
        <v>29</v>
      </c>
      <c r="K2399" t="s">
        <v>29</v>
      </c>
      <c r="L2399" t="s">
        <v>29</v>
      </c>
      <c r="M2399" t="s">
        <v>29</v>
      </c>
      <c r="N2399">
        <v>12.579571081801999</v>
      </c>
      <c r="O2399" t="s">
        <v>29</v>
      </c>
      <c r="P2399" t="s">
        <v>29</v>
      </c>
      <c r="Q2399" t="s">
        <v>29</v>
      </c>
      <c r="R2399" t="s">
        <v>29</v>
      </c>
      <c r="S2399">
        <v>11.6738337863237</v>
      </c>
      <c r="T2399" t="s">
        <v>29</v>
      </c>
      <c r="U2399" t="s">
        <v>29</v>
      </c>
      <c r="V2399" t="s">
        <v>29</v>
      </c>
      <c r="W2399" t="s">
        <v>29</v>
      </c>
      <c r="X2399" t="s">
        <v>29</v>
      </c>
      <c r="Y2399" t="s">
        <v>29</v>
      </c>
    </row>
    <row r="2400" spans="1:25" x14ac:dyDescent="0.2">
      <c r="A2400" t="s">
        <v>8983</v>
      </c>
      <c r="B2400" t="s">
        <v>8984</v>
      </c>
      <c r="C2400" t="s">
        <v>8985</v>
      </c>
      <c r="D2400" t="s">
        <v>8986</v>
      </c>
      <c r="E2400" t="s">
        <v>8984</v>
      </c>
      <c r="F2400" t="s">
        <v>28</v>
      </c>
      <c r="G2400" t="s">
        <v>8984</v>
      </c>
      <c r="H2400" t="str">
        <f>"plk-3"</f>
        <v>plk-3</v>
      </c>
      <c r="I2400" t="s">
        <v>8986</v>
      </c>
      <c r="J2400">
        <v>10.6226094289526</v>
      </c>
      <c r="K2400" t="s">
        <v>29</v>
      </c>
      <c r="L2400" t="s">
        <v>29</v>
      </c>
      <c r="M2400" t="s">
        <v>29</v>
      </c>
      <c r="N2400" t="s">
        <v>29</v>
      </c>
      <c r="O2400" t="s">
        <v>29</v>
      </c>
      <c r="P2400" t="s">
        <v>29</v>
      </c>
      <c r="Q2400" t="s">
        <v>29</v>
      </c>
      <c r="R2400" t="s">
        <v>29</v>
      </c>
      <c r="S2400">
        <v>11.335545579065201</v>
      </c>
      <c r="T2400" t="s">
        <v>29</v>
      </c>
      <c r="U2400" t="s">
        <v>29</v>
      </c>
      <c r="V2400" t="s">
        <v>29</v>
      </c>
      <c r="W2400" t="s">
        <v>29</v>
      </c>
      <c r="X2400" t="s">
        <v>29</v>
      </c>
      <c r="Y2400" t="s">
        <v>29</v>
      </c>
    </row>
    <row r="2401" spans="1:25" x14ac:dyDescent="0.2">
      <c r="A2401" t="s">
        <v>8987</v>
      </c>
      <c r="B2401" t="s">
        <v>8988</v>
      </c>
      <c r="C2401" t="s">
        <v>8989</v>
      </c>
      <c r="D2401" t="s">
        <v>1434</v>
      </c>
      <c r="E2401" t="s">
        <v>8988</v>
      </c>
      <c r="F2401" t="s">
        <v>28</v>
      </c>
      <c r="G2401" t="s">
        <v>8988</v>
      </c>
      <c r="H2401" t="str">
        <f>"slc-25a18.2"</f>
        <v>slc-25a18.2</v>
      </c>
      <c r="I2401" t="s">
        <v>1434</v>
      </c>
      <c r="J2401" t="s">
        <v>29</v>
      </c>
      <c r="K2401" t="s">
        <v>29</v>
      </c>
      <c r="L2401">
        <v>10.895193879129099</v>
      </c>
      <c r="M2401">
        <v>11.707117265491499</v>
      </c>
      <c r="N2401">
        <v>12.9569990335771</v>
      </c>
      <c r="O2401">
        <v>11.480258969065</v>
      </c>
      <c r="P2401">
        <v>1.1529312102487901</v>
      </c>
      <c r="Q2401">
        <v>-0.136110948909069</v>
      </c>
      <c r="R2401">
        <v>2.4419733694066501</v>
      </c>
      <c r="S2401">
        <v>11.9700503990071</v>
      </c>
      <c r="T2401">
        <v>1.9196770245369099</v>
      </c>
      <c r="U2401">
        <v>-4.9859493793060601</v>
      </c>
      <c r="V2401">
        <v>7.5669049115491993E-2</v>
      </c>
      <c r="W2401">
        <v>0.28172435448719801</v>
      </c>
      <c r="X2401">
        <v>0</v>
      </c>
      <c r="Y2401">
        <v>0</v>
      </c>
    </row>
    <row r="2402" spans="1:25" x14ac:dyDescent="0.2">
      <c r="A2402" t="s">
        <v>8990</v>
      </c>
      <c r="B2402" t="s">
        <v>8991</v>
      </c>
      <c r="C2402" t="s">
        <v>8992</v>
      </c>
      <c r="D2402" t="s">
        <v>8993</v>
      </c>
      <c r="E2402" t="s">
        <v>8991</v>
      </c>
      <c r="F2402" t="s">
        <v>28</v>
      </c>
      <c r="G2402" t="s">
        <v>8991</v>
      </c>
      <c r="H2402" t="str">
        <f>"rod-1"</f>
        <v>rod-1</v>
      </c>
      <c r="I2402" t="s">
        <v>8993</v>
      </c>
      <c r="J2402">
        <v>15.0184161862881</v>
      </c>
      <c r="K2402">
        <v>14.6151549143959</v>
      </c>
      <c r="L2402">
        <v>14.7961935779197</v>
      </c>
      <c r="M2402">
        <v>14.145449146635</v>
      </c>
      <c r="N2402">
        <v>15.0111797237654</v>
      </c>
      <c r="O2402">
        <v>14.303255307547699</v>
      </c>
      <c r="P2402">
        <v>-0.32329350021852898</v>
      </c>
      <c r="Q2402">
        <v>-0.75526177952568796</v>
      </c>
      <c r="R2402">
        <v>0.10867477908863001</v>
      </c>
      <c r="S2402">
        <v>14.693045681024399</v>
      </c>
      <c r="T2402">
        <v>-1.5730322623044599</v>
      </c>
      <c r="U2402">
        <v>-5.8380919636072397</v>
      </c>
      <c r="V2402">
        <v>0.13322458795016001</v>
      </c>
      <c r="W2402">
        <v>0.378613807152682</v>
      </c>
      <c r="X2402">
        <v>0</v>
      </c>
      <c r="Y2402">
        <v>0</v>
      </c>
    </row>
    <row r="2403" spans="1:25" x14ac:dyDescent="0.2">
      <c r="A2403" t="s">
        <v>8994</v>
      </c>
      <c r="B2403" t="s">
        <v>8995</v>
      </c>
      <c r="C2403" t="s">
        <v>8996</v>
      </c>
      <c r="D2403" t="s">
        <v>8997</v>
      </c>
      <c r="E2403" t="s">
        <v>8995</v>
      </c>
      <c r="F2403" t="s">
        <v>28</v>
      </c>
      <c r="G2403" t="s">
        <v>8995</v>
      </c>
      <c r="H2403" t="str">
        <f>"daz-1"</f>
        <v>daz-1</v>
      </c>
      <c r="I2403" t="s">
        <v>8997</v>
      </c>
      <c r="J2403">
        <v>13.9331562788376</v>
      </c>
      <c r="K2403">
        <v>14.1678668874238</v>
      </c>
      <c r="L2403">
        <v>14.726454979332299</v>
      </c>
      <c r="M2403">
        <v>13.1235197230646</v>
      </c>
      <c r="N2403">
        <v>13.336317335750801</v>
      </c>
      <c r="O2403">
        <v>13.1778970617152</v>
      </c>
      <c r="P2403">
        <v>-1.0632480083543501</v>
      </c>
      <c r="Q2403">
        <v>-1.6575910183103799</v>
      </c>
      <c r="R2403">
        <v>-0.46890499839832001</v>
      </c>
      <c r="S2403">
        <v>14.425859764827599</v>
      </c>
      <c r="T2403">
        <v>-3.7761342990252098</v>
      </c>
      <c r="U2403">
        <v>-1.6321136436752799</v>
      </c>
      <c r="V2403">
        <v>1.5211887352154501E-3</v>
      </c>
      <c r="W2403">
        <v>2.31305988055658E-2</v>
      </c>
      <c r="X2403">
        <v>-1</v>
      </c>
      <c r="Y2403">
        <v>-1</v>
      </c>
    </row>
    <row r="2404" spans="1:25" x14ac:dyDescent="0.2">
      <c r="A2404" t="s">
        <v>8998</v>
      </c>
      <c r="B2404" t="s">
        <v>8999</v>
      </c>
      <c r="C2404" t="s">
        <v>14482</v>
      </c>
      <c r="D2404" t="s">
        <v>2955</v>
      </c>
      <c r="E2404" t="s">
        <v>8999</v>
      </c>
      <c r="F2404" t="s">
        <v>28</v>
      </c>
      <c r="G2404" t="s">
        <v>8999</v>
      </c>
      <c r="H2404" t="str">
        <f>"F56D2.2"</f>
        <v>F56D2.2</v>
      </c>
      <c r="I2404" t="s">
        <v>2955</v>
      </c>
      <c r="J2404" t="s">
        <v>29</v>
      </c>
      <c r="K2404" t="s">
        <v>29</v>
      </c>
      <c r="L2404" t="s">
        <v>29</v>
      </c>
      <c r="M2404" t="s">
        <v>29</v>
      </c>
      <c r="N2404" t="s">
        <v>29</v>
      </c>
      <c r="O2404" t="s">
        <v>29</v>
      </c>
      <c r="P2404" t="s">
        <v>29</v>
      </c>
      <c r="Q2404" t="s">
        <v>29</v>
      </c>
      <c r="R2404" t="s">
        <v>29</v>
      </c>
      <c r="S2404">
        <v>11.670829851443401</v>
      </c>
      <c r="T2404" t="s">
        <v>29</v>
      </c>
      <c r="U2404" t="s">
        <v>29</v>
      </c>
      <c r="V2404" t="s">
        <v>29</v>
      </c>
      <c r="W2404" t="s">
        <v>29</v>
      </c>
      <c r="X2404" t="s">
        <v>29</v>
      </c>
      <c r="Y2404" t="s">
        <v>29</v>
      </c>
    </row>
    <row r="2405" spans="1:25" x14ac:dyDescent="0.2">
      <c r="A2405" t="s">
        <v>9000</v>
      </c>
      <c r="B2405" t="s">
        <v>9001</v>
      </c>
      <c r="C2405" t="s">
        <v>9002</v>
      </c>
      <c r="D2405" t="s">
        <v>9003</v>
      </c>
      <c r="E2405" t="s">
        <v>9001</v>
      </c>
      <c r="F2405" t="s">
        <v>28</v>
      </c>
      <c r="G2405" t="s">
        <v>9001</v>
      </c>
      <c r="H2405" t="str">
        <f>"ddx-15"</f>
        <v>ddx-15</v>
      </c>
      <c r="I2405" t="s">
        <v>9003</v>
      </c>
      <c r="J2405">
        <v>13.844553447205501</v>
      </c>
      <c r="K2405">
        <v>13.7937312184517</v>
      </c>
      <c r="L2405">
        <v>13.890226657497699</v>
      </c>
      <c r="M2405">
        <v>13.7418001509446</v>
      </c>
      <c r="N2405">
        <v>13.6355644586308</v>
      </c>
      <c r="O2405">
        <v>13.749140851342</v>
      </c>
      <c r="P2405">
        <v>-0.134001954079183</v>
      </c>
      <c r="Q2405">
        <v>-0.54753175014898403</v>
      </c>
      <c r="R2405">
        <v>0.27952784199061798</v>
      </c>
      <c r="S2405">
        <v>13.9864415092137</v>
      </c>
      <c r="T2405">
        <v>-0.68107797703808703</v>
      </c>
      <c r="U2405">
        <v>-6.8121105127921098</v>
      </c>
      <c r="V2405">
        <v>0.50454083787133297</v>
      </c>
      <c r="W2405">
        <v>0.75623025630277096</v>
      </c>
      <c r="X2405">
        <v>0</v>
      </c>
      <c r="Y2405">
        <v>0</v>
      </c>
    </row>
    <row r="2406" spans="1:25" x14ac:dyDescent="0.2">
      <c r="A2406" t="s">
        <v>9004</v>
      </c>
      <c r="B2406" t="s">
        <v>9005</v>
      </c>
      <c r="C2406" t="s">
        <v>14483</v>
      </c>
      <c r="D2406" t="s">
        <v>9006</v>
      </c>
      <c r="E2406" t="s">
        <v>9005</v>
      </c>
      <c r="F2406" t="s">
        <v>28</v>
      </c>
      <c r="G2406" t="s">
        <v>9005</v>
      </c>
      <c r="H2406" t="str">
        <f>"F56D3.1"</f>
        <v>F56D3.1</v>
      </c>
      <c r="I2406" t="s">
        <v>9006</v>
      </c>
      <c r="J2406" t="s">
        <v>29</v>
      </c>
      <c r="K2406">
        <v>11.538132160841799</v>
      </c>
      <c r="L2406">
        <v>11.9777785015304</v>
      </c>
      <c r="M2406">
        <v>11.3593938475895</v>
      </c>
      <c r="N2406">
        <v>10.3032702304211</v>
      </c>
      <c r="O2406">
        <v>10.335479390973299</v>
      </c>
      <c r="P2406">
        <v>-1.09190750819143</v>
      </c>
      <c r="Q2406">
        <v>-2.23441396502631</v>
      </c>
      <c r="R2406">
        <v>5.05989486434444E-2</v>
      </c>
      <c r="S2406">
        <v>12.1023077268389</v>
      </c>
      <c r="T2406">
        <v>-2.0173311857912202</v>
      </c>
      <c r="U2406">
        <v>-5.0301188807927701</v>
      </c>
      <c r="V2406">
        <v>5.9835868215448999E-2</v>
      </c>
      <c r="W2406">
        <v>0.246269072373173</v>
      </c>
      <c r="X2406">
        <v>0</v>
      </c>
      <c r="Y2406">
        <v>0</v>
      </c>
    </row>
    <row r="2407" spans="1:25" x14ac:dyDescent="0.2">
      <c r="A2407" t="s">
        <v>9007</v>
      </c>
      <c r="B2407" t="s">
        <v>9008</v>
      </c>
      <c r="C2407" t="s">
        <v>9009</v>
      </c>
      <c r="D2407" t="s">
        <v>9010</v>
      </c>
      <c r="E2407" t="s">
        <v>9008</v>
      </c>
      <c r="F2407" t="s">
        <v>28</v>
      </c>
      <c r="G2407" t="s">
        <v>9008</v>
      </c>
      <c r="H2407" t="str">
        <f>"ifet-1"</f>
        <v>ifet-1</v>
      </c>
      <c r="I2407" t="s">
        <v>9010</v>
      </c>
      <c r="J2407">
        <v>12.308095348641301</v>
      </c>
      <c r="K2407">
        <v>12.123183395569701</v>
      </c>
      <c r="L2407">
        <v>12.607815726309401</v>
      </c>
      <c r="M2407">
        <v>12.904851042077199</v>
      </c>
      <c r="N2407">
        <v>13.411167883057299</v>
      </c>
      <c r="O2407">
        <v>12.6277759493739</v>
      </c>
      <c r="P2407">
        <v>0.63490013466267603</v>
      </c>
      <c r="Q2407">
        <v>-3.8757807401339499E-3</v>
      </c>
      <c r="R2407">
        <v>1.27367605006549</v>
      </c>
      <c r="S2407">
        <v>13.4067784890924</v>
      </c>
      <c r="T2407">
        <v>2.0980068379197001</v>
      </c>
      <c r="U2407">
        <v>-4.9975622094569303</v>
      </c>
      <c r="V2407">
        <v>5.1254246505534402E-2</v>
      </c>
      <c r="W2407">
        <v>0.22434019978251299</v>
      </c>
      <c r="X2407">
        <v>0</v>
      </c>
      <c r="Y2407">
        <v>0</v>
      </c>
    </row>
    <row r="2408" spans="1:25" x14ac:dyDescent="0.2">
      <c r="A2408" t="s">
        <v>9011</v>
      </c>
      <c r="B2408" t="s">
        <v>9012</v>
      </c>
      <c r="C2408" t="s">
        <v>9013</v>
      </c>
      <c r="D2408" t="s">
        <v>3312</v>
      </c>
      <c r="E2408" t="s">
        <v>9012</v>
      </c>
      <c r="F2408" t="s">
        <v>28</v>
      </c>
      <c r="G2408" t="s">
        <v>9014</v>
      </c>
      <c r="H2408" t="str">
        <f>"col-160"</f>
        <v>col-160</v>
      </c>
      <c r="I2408" t="s">
        <v>3312</v>
      </c>
      <c r="J2408">
        <v>13.133227139610501</v>
      </c>
      <c r="K2408">
        <v>12.2605482395754</v>
      </c>
      <c r="L2408">
        <v>14.282662845990099</v>
      </c>
      <c r="M2408">
        <v>11.026528412352601</v>
      </c>
      <c r="N2408" t="s">
        <v>29</v>
      </c>
      <c r="O2408" t="s">
        <v>29</v>
      </c>
      <c r="P2408">
        <v>-2.1989509960393798</v>
      </c>
      <c r="Q2408">
        <v>-3.50362759065756</v>
      </c>
      <c r="R2408">
        <v>-0.89427440142119796</v>
      </c>
      <c r="S2408">
        <v>14.5595703323298</v>
      </c>
      <c r="T2408">
        <v>-3.5946307539464302</v>
      </c>
      <c r="U2408">
        <v>-1.84505609095413</v>
      </c>
      <c r="V2408">
        <v>2.6811681592853499E-3</v>
      </c>
      <c r="W2408">
        <v>3.5610290572712401E-2</v>
      </c>
      <c r="X2408">
        <v>-1</v>
      </c>
      <c r="Y2408">
        <v>-1</v>
      </c>
    </row>
    <row r="2409" spans="1:25" x14ac:dyDescent="0.2">
      <c r="A2409" t="s">
        <v>9015</v>
      </c>
      <c r="B2409" t="s">
        <v>9016</v>
      </c>
      <c r="C2409" t="s">
        <v>9017</v>
      </c>
      <c r="D2409" t="s">
        <v>9018</v>
      </c>
      <c r="E2409" t="s">
        <v>9016</v>
      </c>
      <c r="F2409" t="s">
        <v>28</v>
      </c>
      <c r="G2409" t="s">
        <v>9016</v>
      </c>
      <c r="H2409" t="str">
        <f>"sun-1"</f>
        <v>sun-1</v>
      </c>
      <c r="I2409" t="s">
        <v>9018</v>
      </c>
      <c r="J2409" t="s">
        <v>29</v>
      </c>
      <c r="K2409">
        <v>12.6011356649107</v>
      </c>
      <c r="L2409">
        <v>11.675697417100199</v>
      </c>
      <c r="M2409" t="s">
        <v>29</v>
      </c>
      <c r="N2409" t="s">
        <v>29</v>
      </c>
      <c r="O2409" t="s">
        <v>29</v>
      </c>
      <c r="P2409" t="s">
        <v>29</v>
      </c>
      <c r="Q2409" t="s">
        <v>29</v>
      </c>
      <c r="R2409" t="s">
        <v>29</v>
      </c>
      <c r="S2409">
        <v>12.5877189960081</v>
      </c>
      <c r="T2409" t="s">
        <v>29</v>
      </c>
      <c r="U2409" t="s">
        <v>29</v>
      </c>
      <c r="V2409" t="s">
        <v>29</v>
      </c>
      <c r="W2409" t="s">
        <v>29</v>
      </c>
      <c r="X2409" t="s">
        <v>29</v>
      </c>
      <c r="Y2409" t="s">
        <v>29</v>
      </c>
    </row>
    <row r="2410" spans="1:25" x14ac:dyDescent="0.2">
      <c r="A2410" t="s">
        <v>9019</v>
      </c>
      <c r="B2410" t="s">
        <v>9020</v>
      </c>
      <c r="C2410" t="s">
        <v>9021</v>
      </c>
      <c r="D2410" t="s">
        <v>9022</v>
      </c>
      <c r="E2410" t="s">
        <v>9020</v>
      </c>
      <c r="F2410" t="s">
        <v>28</v>
      </c>
      <c r="G2410" t="s">
        <v>9020</v>
      </c>
      <c r="H2410" t="str">
        <f>"byn-1"</f>
        <v>byn-1</v>
      </c>
      <c r="I2410" t="s">
        <v>9022</v>
      </c>
      <c r="J2410">
        <v>11.6518127704416</v>
      </c>
      <c r="K2410">
        <v>11.735604782256299</v>
      </c>
      <c r="L2410">
        <v>12.2208996682189</v>
      </c>
      <c r="M2410" t="s">
        <v>29</v>
      </c>
      <c r="N2410">
        <v>12.7846326358066</v>
      </c>
      <c r="O2410">
        <v>12.489747410594401</v>
      </c>
      <c r="P2410">
        <v>0.76775094956158796</v>
      </c>
      <c r="Q2410">
        <v>-3.08216155547851E-2</v>
      </c>
      <c r="R2410">
        <v>1.5663235146779599</v>
      </c>
      <c r="S2410">
        <v>13.411983536021699</v>
      </c>
      <c r="T2410">
        <v>2.0391797329132202</v>
      </c>
      <c r="U2410">
        <v>-4.9985680551098399</v>
      </c>
      <c r="V2410">
        <v>5.8418531507240398E-2</v>
      </c>
      <c r="W2410">
        <v>0.244651095913205</v>
      </c>
      <c r="X2410">
        <v>0</v>
      </c>
      <c r="Y2410">
        <v>0</v>
      </c>
    </row>
    <row r="2411" spans="1:25" x14ac:dyDescent="0.2">
      <c r="A2411" t="s">
        <v>9023</v>
      </c>
      <c r="B2411" t="s">
        <v>9024</v>
      </c>
      <c r="C2411" t="s">
        <v>9025</v>
      </c>
      <c r="D2411" t="s">
        <v>9026</v>
      </c>
      <c r="E2411" t="s">
        <v>9024</v>
      </c>
      <c r="F2411" t="s">
        <v>28</v>
      </c>
      <c r="G2411" t="s">
        <v>9024</v>
      </c>
      <c r="H2411" t="str">
        <f>"let-711"</f>
        <v>let-711</v>
      </c>
      <c r="I2411" t="s">
        <v>9026</v>
      </c>
      <c r="J2411">
        <v>14.9796379324449</v>
      </c>
      <c r="K2411">
        <v>15.012845294619</v>
      </c>
      <c r="L2411">
        <v>15.1031798139568</v>
      </c>
      <c r="M2411">
        <v>14.9960616105199</v>
      </c>
      <c r="N2411">
        <v>15.332645723570099</v>
      </c>
      <c r="O2411">
        <v>14.828027129352799</v>
      </c>
      <c r="P2411">
        <v>2.03571408073469E-2</v>
      </c>
      <c r="Q2411">
        <v>-0.42757511895144701</v>
      </c>
      <c r="R2411">
        <v>0.46828940056614099</v>
      </c>
      <c r="S2411">
        <v>15.479803467759099</v>
      </c>
      <c r="T2411">
        <v>9.5520580391283194E-2</v>
      </c>
      <c r="U2411">
        <v>-7.0473060176814997</v>
      </c>
      <c r="V2411">
        <v>0.92496288287760398</v>
      </c>
      <c r="W2411">
        <v>0.97369392663454402</v>
      </c>
      <c r="X2411">
        <v>0</v>
      </c>
      <c r="Y2411">
        <v>0</v>
      </c>
    </row>
    <row r="2412" spans="1:25" x14ac:dyDescent="0.2">
      <c r="A2412" t="s">
        <v>9027</v>
      </c>
      <c r="B2412" t="s">
        <v>9028</v>
      </c>
      <c r="C2412" t="s">
        <v>9029</v>
      </c>
      <c r="D2412" t="s">
        <v>9030</v>
      </c>
      <c r="E2412" t="s">
        <v>9028</v>
      </c>
      <c r="F2412" t="s">
        <v>28</v>
      </c>
      <c r="G2412" t="s">
        <v>9028</v>
      </c>
      <c r="H2412" t="str">
        <f>"rpn-6.1"</f>
        <v>rpn-6.1</v>
      </c>
      <c r="I2412" t="s">
        <v>9030</v>
      </c>
      <c r="J2412">
        <v>13.7109596019852</v>
      </c>
      <c r="K2412">
        <v>13.771969466021501</v>
      </c>
      <c r="L2412">
        <v>13.8170552814328</v>
      </c>
      <c r="M2412">
        <v>13.542857678087699</v>
      </c>
      <c r="N2412">
        <v>13.851497552587899</v>
      </c>
      <c r="O2412">
        <v>13.8285396601846</v>
      </c>
      <c r="P2412">
        <v>-2.5696486193124798E-2</v>
      </c>
      <c r="Q2412">
        <v>-0.49103703584158098</v>
      </c>
      <c r="R2412">
        <v>0.43964406345533202</v>
      </c>
      <c r="S2412">
        <v>13.8023476207293</v>
      </c>
      <c r="T2412">
        <v>-0.11656089016903599</v>
      </c>
      <c r="U2412">
        <v>-7.0449468691750203</v>
      </c>
      <c r="V2412">
        <v>0.90858237692120103</v>
      </c>
      <c r="W2412">
        <v>0.96798538961646996</v>
      </c>
      <c r="X2412">
        <v>0</v>
      </c>
      <c r="Y2412">
        <v>0</v>
      </c>
    </row>
    <row r="2413" spans="1:25" x14ac:dyDescent="0.2">
      <c r="A2413" t="s">
        <v>9031</v>
      </c>
      <c r="B2413" t="s">
        <v>9032</v>
      </c>
      <c r="C2413" t="s">
        <v>9033</v>
      </c>
      <c r="D2413" t="s">
        <v>1912</v>
      </c>
      <c r="E2413" t="s">
        <v>9032</v>
      </c>
      <c r="F2413" t="s">
        <v>28</v>
      </c>
      <c r="G2413" t="s">
        <v>9032</v>
      </c>
      <c r="H2413" t="str">
        <f>"mrp-2"</f>
        <v>mrp-2</v>
      </c>
      <c r="I2413" t="s">
        <v>1912</v>
      </c>
      <c r="J2413">
        <v>11.7047134774699</v>
      </c>
      <c r="K2413">
        <v>11.5891079047689</v>
      </c>
      <c r="L2413">
        <v>11.2128822366723</v>
      </c>
      <c r="M2413">
        <v>12.2874125579497</v>
      </c>
      <c r="N2413">
        <v>10.220846625972699</v>
      </c>
      <c r="O2413">
        <v>11.3560345647163</v>
      </c>
      <c r="P2413">
        <v>-0.21413662342412501</v>
      </c>
      <c r="Q2413">
        <v>-1.0413348910604401</v>
      </c>
      <c r="R2413">
        <v>0.61306164421218601</v>
      </c>
      <c r="S2413">
        <v>11.3901310734206</v>
      </c>
      <c r="T2413">
        <v>-0.55210660138544498</v>
      </c>
      <c r="U2413">
        <v>-6.8922794283052404</v>
      </c>
      <c r="V2413">
        <v>0.58906419914652097</v>
      </c>
      <c r="W2413">
        <v>0.80336802302937005</v>
      </c>
      <c r="X2413">
        <v>0</v>
      </c>
      <c r="Y2413">
        <v>0</v>
      </c>
    </row>
    <row r="2414" spans="1:25" x14ac:dyDescent="0.2">
      <c r="A2414" t="s">
        <v>9034</v>
      </c>
      <c r="B2414" t="s">
        <v>9035</v>
      </c>
      <c r="C2414" t="s">
        <v>9036</v>
      </c>
      <c r="D2414" t="s">
        <v>6999</v>
      </c>
      <c r="E2414" t="s">
        <v>9035</v>
      </c>
      <c r="F2414" t="s">
        <v>28</v>
      </c>
      <c r="G2414" t="s">
        <v>9035</v>
      </c>
      <c r="H2414" t="str">
        <f>"lys-4"</f>
        <v>lys-4</v>
      </c>
      <c r="I2414" t="s">
        <v>6999</v>
      </c>
      <c r="J2414">
        <v>15.5098076866211</v>
      </c>
      <c r="K2414">
        <v>15.0028937655728</v>
      </c>
      <c r="L2414">
        <v>15.240850343925899</v>
      </c>
      <c r="M2414">
        <v>14.1751313616854</v>
      </c>
      <c r="N2414">
        <v>14.7345144757795</v>
      </c>
      <c r="O2414">
        <v>15.352033449996201</v>
      </c>
      <c r="P2414">
        <v>-0.49729083621956399</v>
      </c>
      <c r="Q2414">
        <v>-1.1057555324647601</v>
      </c>
      <c r="R2414">
        <v>0.111173860025627</v>
      </c>
      <c r="S2414">
        <v>15.2915444246383</v>
      </c>
      <c r="T2414">
        <v>-1.72514293706283</v>
      </c>
      <c r="U2414">
        <v>-5.6119249016295401</v>
      </c>
      <c r="V2414">
        <v>0.10274481619173</v>
      </c>
      <c r="W2414">
        <v>0.33069399791087101</v>
      </c>
      <c r="X2414">
        <v>0</v>
      </c>
      <c r="Y2414">
        <v>0</v>
      </c>
    </row>
    <row r="2415" spans="1:25" x14ac:dyDescent="0.2">
      <c r="A2415" t="s">
        <v>9037</v>
      </c>
      <c r="B2415" t="s">
        <v>9038</v>
      </c>
      <c r="C2415" t="s">
        <v>14484</v>
      </c>
      <c r="D2415" t="s">
        <v>9039</v>
      </c>
      <c r="E2415" t="s">
        <v>9038</v>
      </c>
      <c r="F2415" t="s">
        <v>28</v>
      </c>
      <c r="G2415" t="s">
        <v>9038</v>
      </c>
      <c r="H2415" t="str">
        <f>"F58B3.6"</f>
        <v>F58B3.6</v>
      </c>
      <c r="I2415" t="s">
        <v>9039</v>
      </c>
      <c r="J2415">
        <v>12.886762867759799</v>
      </c>
      <c r="K2415">
        <v>13.333328643312701</v>
      </c>
      <c r="L2415">
        <v>12.648284789562499</v>
      </c>
      <c r="M2415">
        <v>12.8651461166526</v>
      </c>
      <c r="N2415">
        <v>11.8472855590986</v>
      </c>
      <c r="O2415">
        <v>12.0641429832162</v>
      </c>
      <c r="P2415">
        <v>-0.69726721388916602</v>
      </c>
      <c r="Q2415">
        <v>-1.49063993412236</v>
      </c>
      <c r="R2415">
        <v>9.6105506344030603E-2</v>
      </c>
      <c r="S2415">
        <v>12.1959731339938</v>
      </c>
      <c r="T2415">
        <v>-1.8641098926606099</v>
      </c>
      <c r="U2415">
        <v>-5.3954310810749302</v>
      </c>
      <c r="V2415">
        <v>8.0883175848658895E-2</v>
      </c>
      <c r="W2415">
        <v>0.29178919535647002</v>
      </c>
      <c r="X2415">
        <v>0</v>
      </c>
      <c r="Y2415">
        <v>0</v>
      </c>
    </row>
    <row r="2416" spans="1:25" x14ac:dyDescent="0.2">
      <c r="A2416" t="s">
        <v>9040</v>
      </c>
      <c r="B2416" t="s">
        <v>9041</v>
      </c>
      <c r="C2416" t="s">
        <v>14485</v>
      </c>
      <c r="D2416" t="s">
        <v>8554</v>
      </c>
      <c r="E2416" t="s">
        <v>9041</v>
      </c>
      <c r="F2416" t="s">
        <v>28</v>
      </c>
      <c r="G2416" t="s">
        <v>9041</v>
      </c>
      <c r="H2416" t="str">
        <f>"F58B3.4"</f>
        <v>F58B3.4</v>
      </c>
      <c r="I2416" t="s">
        <v>8554</v>
      </c>
      <c r="J2416">
        <v>11.971657460970899</v>
      </c>
      <c r="K2416">
        <v>11.2401829802651</v>
      </c>
      <c r="L2416" t="s">
        <v>29</v>
      </c>
      <c r="M2416">
        <v>11.262075257557299</v>
      </c>
      <c r="N2416">
        <v>12.6943595158797</v>
      </c>
      <c r="O2416">
        <v>12.165121903623699</v>
      </c>
      <c r="P2416">
        <v>0.434598671735557</v>
      </c>
      <c r="Q2416">
        <v>-0.375286968198695</v>
      </c>
      <c r="R2416">
        <v>1.2444843116698101</v>
      </c>
      <c r="S2416">
        <v>12.3573245372682</v>
      </c>
      <c r="T2416">
        <v>1.14447497779201</v>
      </c>
      <c r="U2416">
        <v>-6.2779910852859899</v>
      </c>
      <c r="V2416">
        <v>0.270485334895466</v>
      </c>
      <c r="W2416">
        <v>0.54634343870257296</v>
      </c>
      <c r="X2416">
        <v>0</v>
      </c>
      <c r="Y2416">
        <v>0</v>
      </c>
    </row>
    <row r="2417" spans="1:25" x14ac:dyDescent="0.2">
      <c r="A2417" t="s">
        <v>9042</v>
      </c>
      <c r="B2417" t="s">
        <v>9043</v>
      </c>
      <c r="C2417" t="s">
        <v>9044</v>
      </c>
      <c r="D2417" t="s">
        <v>9045</v>
      </c>
      <c r="E2417" t="s">
        <v>9043</v>
      </c>
      <c r="F2417" t="s">
        <v>28</v>
      </c>
      <c r="G2417" t="s">
        <v>9043</v>
      </c>
      <c r="H2417" t="str">
        <f>"mars-1"</f>
        <v>mars-1</v>
      </c>
      <c r="I2417" t="s">
        <v>9045</v>
      </c>
      <c r="J2417">
        <v>15.015552396095201</v>
      </c>
      <c r="K2417">
        <v>14.7209118723326</v>
      </c>
      <c r="L2417">
        <v>14.785523477118399</v>
      </c>
      <c r="M2417">
        <v>14.3763368483917</v>
      </c>
      <c r="N2417">
        <v>15.109790149241499</v>
      </c>
      <c r="O2417">
        <v>14.9663708464011</v>
      </c>
      <c r="P2417">
        <v>-2.31633005039775E-2</v>
      </c>
      <c r="Q2417">
        <v>-0.42715408157259499</v>
      </c>
      <c r="R2417">
        <v>0.38082748056464</v>
      </c>
      <c r="S2417">
        <v>14.7252803967502</v>
      </c>
      <c r="T2417">
        <v>-0.120509559733149</v>
      </c>
      <c r="U2417">
        <v>-7.0444788081334</v>
      </c>
      <c r="V2417">
        <v>0.90542225519601904</v>
      </c>
      <c r="W2417">
        <v>0.96798538961646996</v>
      </c>
      <c r="X2417">
        <v>0</v>
      </c>
      <c r="Y2417">
        <v>0</v>
      </c>
    </row>
    <row r="2418" spans="1:25" x14ac:dyDescent="0.2">
      <c r="A2418" t="s">
        <v>9046</v>
      </c>
      <c r="B2418" t="s">
        <v>9047</v>
      </c>
      <c r="C2418" t="s">
        <v>14486</v>
      </c>
      <c r="D2418" t="s">
        <v>3455</v>
      </c>
      <c r="E2418" t="s">
        <v>9047</v>
      </c>
      <c r="F2418" t="s">
        <v>28</v>
      </c>
      <c r="G2418" t="s">
        <v>9047</v>
      </c>
      <c r="H2418" t="str">
        <f>"F58B4.5"</f>
        <v>F58B4.5</v>
      </c>
      <c r="I2418" t="s">
        <v>3455</v>
      </c>
      <c r="J2418" t="s">
        <v>29</v>
      </c>
      <c r="K2418" t="s">
        <v>29</v>
      </c>
      <c r="L2418">
        <v>11.639677363391099</v>
      </c>
      <c r="M2418" t="s">
        <v>29</v>
      </c>
      <c r="N2418" t="s">
        <v>29</v>
      </c>
      <c r="O2418" t="s">
        <v>29</v>
      </c>
      <c r="P2418" t="s">
        <v>29</v>
      </c>
      <c r="Q2418" t="s">
        <v>29</v>
      </c>
      <c r="R2418" t="s">
        <v>29</v>
      </c>
      <c r="S2418">
        <v>10.7723865986517</v>
      </c>
      <c r="T2418" t="s">
        <v>29</v>
      </c>
      <c r="U2418" t="s">
        <v>29</v>
      </c>
      <c r="V2418" t="s">
        <v>29</v>
      </c>
      <c r="W2418" t="s">
        <v>29</v>
      </c>
      <c r="X2418" t="s">
        <v>29</v>
      </c>
      <c r="Y2418" t="s">
        <v>29</v>
      </c>
    </row>
    <row r="2419" spans="1:25" x14ac:dyDescent="0.2">
      <c r="A2419" t="s">
        <v>9048</v>
      </c>
      <c r="B2419" t="s">
        <v>9049</v>
      </c>
      <c r="C2419" t="s">
        <v>14487</v>
      </c>
      <c r="D2419" t="s">
        <v>9050</v>
      </c>
      <c r="E2419" t="s">
        <v>9049</v>
      </c>
      <c r="F2419" t="s">
        <v>28</v>
      </c>
      <c r="G2419" t="s">
        <v>9049</v>
      </c>
      <c r="H2419" t="str">
        <f>"F58F9.4"</f>
        <v>F58F9.4</v>
      </c>
      <c r="I2419" t="s">
        <v>9050</v>
      </c>
      <c r="J2419">
        <v>14.034977352058901</v>
      </c>
      <c r="K2419">
        <v>13.884689021789701</v>
      </c>
      <c r="L2419">
        <v>13.0132233344852</v>
      </c>
      <c r="M2419">
        <v>13.521041902585001</v>
      </c>
      <c r="N2419">
        <v>14.210637442905799</v>
      </c>
      <c r="O2419">
        <v>13.8346380247922</v>
      </c>
      <c r="P2419">
        <v>0.21114255398307299</v>
      </c>
      <c r="Q2419">
        <v>-0.49633321040075001</v>
      </c>
      <c r="R2419">
        <v>0.918618318366896</v>
      </c>
      <c r="S2419">
        <v>13.687337823325301</v>
      </c>
      <c r="T2419">
        <v>0.63301460937410103</v>
      </c>
      <c r="U2419">
        <v>-6.8433316619900904</v>
      </c>
      <c r="V2419">
        <v>0.535725962409487</v>
      </c>
      <c r="W2419">
        <v>0.77501266500839605</v>
      </c>
      <c r="X2419">
        <v>0</v>
      </c>
      <c r="Y2419">
        <v>0</v>
      </c>
    </row>
    <row r="2420" spans="1:25" x14ac:dyDescent="0.2">
      <c r="A2420" t="s">
        <v>9051</v>
      </c>
      <c r="B2420" t="s">
        <v>9052</v>
      </c>
      <c r="C2420" t="s">
        <v>14488</v>
      </c>
      <c r="D2420" t="s">
        <v>9053</v>
      </c>
      <c r="E2420" t="s">
        <v>9052</v>
      </c>
      <c r="F2420" t="s">
        <v>28</v>
      </c>
      <c r="G2420" t="s">
        <v>9052</v>
      </c>
      <c r="H2420" t="str">
        <f>"F58F9.3"</f>
        <v>F58F9.3</v>
      </c>
      <c r="I2420" t="s">
        <v>9053</v>
      </c>
      <c r="J2420">
        <v>13.813130683451099</v>
      </c>
      <c r="K2420">
        <v>13.953398230824</v>
      </c>
      <c r="L2420">
        <v>13.486637414334201</v>
      </c>
      <c r="M2420">
        <v>13.6000661497742</v>
      </c>
      <c r="N2420">
        <v>13.4035179835126</v>
      </c>
      <c r="O2420">
        <v>13.342081087514099</v>
      </c>
      <c r="P2420">
        <v>-0.30250036926944701</v>
      </c>
      <c r="Q2420">
        <v>-0.67063833067881795</v>
      </c>
      <c r="R2420">
        <v>6.5637592139923401E-2</v>
      </c>
      <c r="S2420">
        <v>13.4846050182448</v>
      </c>
      <c r="T2420">
        <v>-1.74286936370095</v>
      </c>
      <c r="U2420">
        <v>-5.5866310862592199</v>
      </c>
      <c r="V2420">
        <v>0.100665256823173</v>
      </c>
      <c r="W2420">
        <v>0.32789263834094601</v>
      </c>
      <c r="X2420">
        <v>0</v>
      </c>
      <c r="Y2420">
        <v>0</v>
      </c>
    </row>
    <row r="2421" spans="1:25" x14ac:dyDescent="0.2">
      <c r="A2421" t="s">
        <v>9054</v>
      </c>
      <c r="B2421" t="s">
        <v>9055</v>
      </c>
      <c r="C2421" t="s">
        <v>9056</v>
      </c>
      <c r="D2421" t="s">
        <v>9057</v>
      </c>
      <c r="E2421" t="s">
        <v>9055</v>
      </c>
      <c r="F2421" t="s">
        <v>28</v>
      </c>
      <c r="G2421" t="s">
        <v>9055</v>
      </c>
      <c r="H2421" t="str">
        <f>"myo-5"</f>
        <v>myo-5</v>
      </c>
      <c r="I2421" t="s">
        <v>9057</v>
      </c>
      <c r="J2421">
        <v>14.4765402508375</v>
      </c>
      <c r="K2421">
        <v>14.3881813401913</v>
      </c>
      <c r="L2421">
        <v>13.894054249317</v>
      </c>
      <c r="M2421">
        <v>14.623120875958</v>
      </c>
      <c r="N2421">
        <v>13.679203983022701</v>
      </c>
      <c r="O2421">
        <v>14.0188416084611</v>
      </c>
      <c r="P2421">
        <v>-0.145869790968019</v>
      </c>
      <c r="Q2421">
        <v>-0.83677526861754103</v>
      </c>
      <c r="R2421">
        <v>0.54503568668150204</v>
      </c>
      <c r="S2421">
        <v>13.710996730523201</v>
      </c>
      <c r="T2421">
        <v>-0.44375089080019098</v>
      </c>
      <c r="U2421">
        <v>-6.9494582995802396</v>
      </c>
      <c r="V2421">
        <v>0.66254158358272797</v>
      </c>
      <c r="W2421">
        <v>0.84778227014478902</v>
      </c>
      <c r="X2421">
        <v>0</v>
      </c>
      <c r="Y2421">
        <v>0</v>
      </c>
    </row>
    <row r="2422" spans="1:25" x14ac:dyDescent="0.2">
      <c r="A2422" t="s">
        <v>9058</v>
      </c>
      <c r="B2422" t="s">
        <v>9059</v>
      </c>
      <c r="C2422" t="s">
        <v>9060</v>
      </c>
      <c r="D2422" t="s">
        <v>9061</v>
      </c>
      <c r="E2422" t="s">
        <v>9059</v>
      </c>
      <c r="F2422" t="s">
        <v>28</v>
      </c>
      <c r="G2422" t="s">
        <v>9059</v>
      </c>
      <c r="H2422" t="str">
        <f>"kin-29"</f>
        <v>kin-29</v>
      </c>
      <c r="I2422" t="s">
        <v>9061</v>
      </c>
      <c r="J2422">
        <v>13.405373966808201</v>
      </c>
      <c r="K2422">
        <v>13.0207204336304</v>
      </c>
      <c r="L2422">
        <v>13.0223940929574</v>
      </c>
      <c r="M2422">
        <v>14.3219380934977</v>
      </c>
      <c r="N2422">
        <v>14.4703595084725</v>
      </c>
      <c r="O2422">
        <v>13.8840475347493</v>
      </c>
      <c r="P2422">
        <v>1.07595221444117</v>
      </c>
      <c r="Q2422">
        <v>0.480461453783806</v>
      </c>
      <c r="R2422">
        <v>1.67144297509853</v>
      </c>
      <c r="S2422">
        <v>13.812011157397199</v>
      </c>
      <c r="T2422">
        <v>3.8138882990450198</v>
      </c>
      <c r="U2422">
        <v>-1.5512988217337</v>
      </c>
      <c r="V2422">
        <v>1.4018061295630799E-3</v>
      </c>
      <c r="W2422">
        <v>2.2207865418359798E-2</v>
      </c>
      <c r="X2422">
        <v>1</v>
      </c>
      <c r="Y2422">
        <v>1</v>
      </c>
    </row>
    <row r="2423" spans="1:25" x14ac:dyDescent="0.2">
      <c r="A2423" t="s">
        <v>9062</v>
      </c>
      <c r="B2423" t="s">
        <v>9063</v>
      </c>
      <c r="C2423" t="s">
        <v>9064</v>
      </c>
      <c r="D2423" t="s">
        <v>9065</v>
      </c>
      <c r="E2423" t="s">
        <v>9063</v>
      </c>
      <c r="F2423" t="s">
        <v>28</v>
      </c>
      <c r="G2423" t="s">
        <v>9063</v>
      </c>
      <c r="H2423" t="str">
        <f>"cri-3"</f>
        <v>cri-3</v>
      </c>
      <c r="I2423" t="s">
        <v>9065</v>
      </c>
      <c r="J2423" t="s">
        <v>29</v>
      </c>
      <c r="K2423">
        <v>11.110050034855499</v>
      </c>
      <c r="L2423" t="s">
        <v>29</v>
      </c>
      <c r="M2423" t="s">
        <v>29</v>
      </c>
      <c r="N2423" t="s">
        <v>29</v>
      </c>
      <c r="O2423">
        <v>13.5260443905996</v>
      </c>
      <c r="P2423">
        <v>2.4159943557440302</v>
      </c>
      <c r="Q2423">
        <v>1.08168462823324</v>
      </c>
      <c r="R2423">
        <v>3.75030408325483</v>
      </c>
      <c r="S2423">
        <v>11.2569160731178</v>
      </c>
      <c r="T2423">
        <v>4.1850916659341202</v>
      </c>
      <c r="U2423">
        <v>-1.5205424815533599</v>
      </c>
      <c r="V2423">
        <v>3.14892453823225E-3</v>
      </c>
      <c r="W2423">
        <v>3.8930466698189503E-2</v>
      </c>
      <c r="X2423">
        <v>1</v>
      </c>
      <c r="Y2423">
        <v>1</v>
      </c>
    </row>
    <row r="2424" spans="1:25" x14ac:dyDescent="0.2">
      <c r="A2424" t="s">
        <v>9066</v>
      </c>
      <c r="B2424" t="s">
        <v>9067</v>
      </c>
      <c r="C2424" t="s">
        <v>9068</v>
      </c>
      <c r="D2424" t="s">
        <v>2221</v>
      </c>
      <c r="E2424" t="s">
        <v>9067</v>
      </c>
      <c r="F2424" t="s">
        <v>28</v>
      </c>
      <c r="G2424" t="s">
        <v>9067</v>
      </c>
      <c r="H2424" t="str">
        <f>"citk-2"</f>
        <v>citk-2</v>
      </c>
      <c r="I2424" t="s">
        <v>2221</v>
      </c>
      <c r="J2424">
        <v>11.426367199090601</v>
      </c>
      <c r="K2424">
        <v>10.9591025715421</v>
      </c>
      <c r="L2424">
        <v>12.4637811924974</v>
      </c>
      <c r="M2424">
        <v>12.167126049019201</v>
      </c>
      <c r="N2424">
        <v>11.801441438768601</v>
      </c>
      <c r="O2424">
        <v>11.8830332818928</v>
      </c>
      <c r="P2424">
        <v>0.33411660218349598</v>
      </c>
      <c r="Q2424">
        <v>-0.41617620276490203</v>
      </c>
      <c r="R2424">
        <v>1.0844094071318899</v>
      </c>
      <c r="S2424">
        <v>12.1885564254383</v>
      </c>
      <c r="T2424">
        <v>0.93997713089341595</v>
      </c>
      <c r="U2424">
        <v>-6.5994201510304604</v>
      </c>
      <c r="V2424">
        <v>0.36047523319178898</v>
      </c>
      <c r="W2424">
        <v>0.63768229378045305</v>
      </c>
      <c r="X2424">
        <v>0</v>
      </c>
      <c r="Y2424">
        <v>0</v>
      </c>
    </row>
    <row r="2425" spans="1:25" x14ac:dyDescent="0.2">
      <c r="A2425" t="s">
        <v>9069</v>
      </c>
      <c r="B2425" t="s">
        <v>9070</v>
      </c>
      <c r="C2425" t="s">
        <v>9071</v>
      </c>
      <c r="D2425" t="s">
        <v>9072</v>
      </c>
      <c r="E2425" t="s">
        <v>9070</v>
      </c>
      <c r="F2425" t="s">
        <v>28</v>
      </c>
      <c r="G2425" t="s">
        <v>9070</v>
      </c>
      <c r="H2425" t="str">
        <f>"nsy-1"</f>
        <v>nsy-1</v>
      </c>
      <c r="I2425" t="s">
        <v>9072</v>
      </c>
      <c r="J2425">
        <v>12.3405199119542</v>
      </c>
      <c r="K2425">
        <v>12.7070657086725</v>
      </c>
      <c r="L2425">
        <v>12.1667198725644</v>
      </c>
      <c r="M2425">
        <v>13.049808805773999</v>
      </c>
      <c r="N2425">
        <v>12.691813561927001</v>
      </c>
      <c r="O2425">
        <v>12.4925795897145</v>
      </c>
      <c r="P2425">
        <v>0.33996548807479199</v>
      </c>
      <c r="Q2425">
        <v>-0.121146101921226</v>
      </c>
      <c r="R2425">
        <v>0.80107707807081097</v>
      </c>
      <c r="S2425">
        <v>12.527760537723699</v>
      </c>
      <c r="T2425">
        <v>1.5637896087785099</v>
      </c>
      <c r="U2425">
        <v>-5.8527560655055799</v>
      </c>
      <c r="V2425">
        <v>0.13755555627897501</v>
      </c>
      <c r="W2425">
        <v>0.38355251082414998</v>
      </c>
      <c r="X2425">
        <v>0</v>
      </c>
      <c r="Y2425">
        <v>0</v>
      </c>
    </row>
    <row r="2426" spans="1:25" x14ac:dyDescent="0.2">
      <c r="A2426" t="s">
        <v>9073</v>
      </c>
      <c r="B2426" t="s">
        <v>9074</v>
      </c>
      <c r="C2426" t="s">
        <v>9075</v>
      </c>
      <c r="D2426" t="s">
        <v>9076</v>
      </c>
      <c r="E2426" t="s">
        <v>9074</v>
      </c>
      <c r="F2426" t="s">
        <v>28</v>
      </c>
      <c r="G2426" t="s">
        <v>9074</v>
      </c>
      <c r="H2426" t="str">
        <f>"ver-3"</f>
        <v>ver-3</v>
      </c>
      <c r="I2426" t="s">
        <v>9076</v>
      </c>
      <c r="J2426">
        <v>12.604638631578901</v>
      </c>
      <c r="K2426" t="s">
        <v>29</v>
      </c>
      <c r="L2426">
        <v>12.8329625114684</v>
      </c>
      <c r="M2426">
        <v>12.5920908307797</v>
      </c>
      <c r="N2426">
        <v>14.4121053434471</v>
      </c>
      <c r="O2426">
        <v>11.318389441687801</v>
      </c>
      <c r="P2426">
        <v>5.5394633781210303E-2</v>
      </c>
      <c r="Q2426">
        <v>-1.5346468903950901</v>
      </c>
      <c r="R2426">
        <v>1.6454361579575101</v>
      </c>
      <c r="S2426">
        <v>12.516312468939301</v>
      </c>
      <c r="T2426">
        <v>7.532627195114E-2</v>
      </c>
      <c r="U2426">
        <v>-6.9384034192593296</v>
      </c>
      <c r="V2426">
        <v>0.94111118404018701</v>
      </c>
      <c r="W2426">
        <v>0.97576384643441005</v>
      </c>
      <c r="X2426">
        <v>0</v>
      </c>
      <c r="Y2426">
        <v>0</v>
      </c>
    </row>
    <row r="2427" spans="1:25" x14ac:dyDescent="0.2">
      <c r="A2427" t="s">
        <v>9077</v>
      </c>
      <c r="B2427" t="s">
        <v>9078</v>
      </c>
      <c r="C2427" t="s">
        <v>9079</v>
      </c>
      <c r="D2427" t="s">
        <v>9080</v>
      </c>
      <c r="E2427" t="s">
        <v>9078</v>
      </c>
      <c r="F2427" t="s">
        <v>28</v>
      </c>
      <c r="G2427" t="s">
        <v>9078</v>
      </c>
      <c r="H2427" t="str">
        <f>"syd-2"</f>
        <v>syd-2</v>
      </c>
      <c r="I2427" t="s">
        <v>9080</v>
      </c>
      <c r="J2427">
        <v>12.5992400060242</v>
      </c>
      <c r="K2427">
        <v>12.9714965897561</v>
      </c>
      <c r="L2427">
        <v>12.8372113898091</v>
      </c>
      <c r="M2427">
        <v>12.579599229697299</v>
      </c>
      <c r="N2427">
        <v>12.6865434670146</v>
      </c>
      <c r="O2427">
        <v>12.8860868746542</v>
      </c>
      <c r="P2427">
        <v>-8.5239471407753301E-2</v>
      </c>
      <c r="Q2427">
        <v>-0.51857587979342501</v>
      </c>
      <c r="R2427">
        <v>0.34809693697791799</v>
      </c>
      <c r="S2427">
        <v>12.917177271042799</v>
      </c>
      <c r="T2427">
        <v>-0.41520787467063303</v>
      </c>
      <c r="U2427">
        <v>-6.9619187625268202</v>
      </c>
      <c r="V2427">
        <v>0.68321491383554001</v>
      </c>
      <c r="W2427">
        <v>0.85743265042369798</v>
      </c>
      <c r="X2427">
        <v>0</v>
      </c>
      <c r="Y2427">
        <v>0</v>
      </c>
    </row>
    <row r="2428" spans="1:25" x14ac:dyDescent="0.2">
      <c r="A2428" t="s">
        <v>9081</v>
      </c>
      <c r="B2428" t="s">
        <v>9082</v>
      </c>
      <c r="C2428" t="s">
        <v>9083</v>
      </c>
      <c r="D2428" t="s">
        <v>9084</v>
      </c>
      <c r="E2428" t="s">
        <v>9082</v>
      </c>
      <c r="F2428" t="s">
        <v>28</v>
      </c>
      <c r="G2428" t="s">
        <v>9082</v>
      </c>
      <c r="H2428" t="str">
        <f>"vps-35"</f>
        <v>vps-35</v>
      </c>
      <c r="I2428" t="s">
        <v>9084</v>
      </c>
      <c r="J2428">
        <v>16.854756615791299</v>
      </c>
      <c r="K2428">
        <v>16.5808652091836</v>
      </c>
      <c r="L2428">
        <v>16.875018436014201</v>
      </c>
      <c r="M2428">
        <v>16.348790775754502</v>
      </c>
      <c r="N2428">
        <v>16.7505488845031</v>
      </c>
      <c r="O2428">
        <v>16.023898656282601</v>
      </c>
      <c r="P2428">
        <v>-0.39580064814960603</v>
      </c>
      <c r="Q2428">
        <v>-0.84613398436283105</v>
      </c>
      <c r="R2428">
        <v>5.45326880636181E-2</v>
      </c>
      <c r="S2428">
        <v>16.193274830972701</v>
      </c>
      <c r="T2428">
        <v>-1.8472893103669901</v>
      </c>
      <c r="U2428">
        <v>-5.41637121686475</v>
      </c>
      <c r="V2428">
        <v>8.1306707413822094E-2</v>
      </c>
      <c r="W2428">
        <v>0.29266817027054998</v>
      </c>
      <c r="X2428">
        <v>0</v>
      </c>
      <c r="Y2428">
        <v>0</v>
      </c>
    </row>
    <row r="2429" spans="1:25" x14ac:dyDescent="0.2">
      <c r="A2429" t="s">
        <v>9085</v>
      </c>
      <c r="B2429" t="s">
        <v>9086</v>
      </c>
      <c r="C2429" t="s">
        <v>9087</v>
      </c>
      <c r="D2429" t="s">
        <v>9088</v>
      </c>
      <c r="E2429" t="s">
        <v>9086</v>
      </c>
      <c r="F2429" t="s">
        <v>28</v>
      </c>
      <c r="G2429" t="s">
        <v>9086</v>
      </c>
      <c r="H2429" t="str">
        <f>"cgt-3"</f>
        <v>cgt-3</v>
      </c>
      <c r="I2429" t="s">
        <v>9088</v>
      </c>
      <c r="J2429" t="s">
        <v>29</v>
      </c>
      <c r="K2429" t="s">
        <v>29</v>
      </c>
      <c r="L2429" t="s">
        <v>29</v>
      </c>
      <c r="M2429" t="s">
        <v>29</v>
      </c>
      <c r="N2429">
        <v>11.0821449841866</v>
      </c>
      <c r="O2429" t="s">
        <v>29</v>
      </c>
      <c r="P2429" t="s">
        <v>29</v>
      </c>
      <c r="Q2429" t="s">
        <v>29</v>
      </c>
      <c r="R2429" t="s">
        <v>29</v>
      </c>
      <c r="S2429">
        <v>11.096263229088301</v>
      </c>
      <c r="T2429" t="s">
        <v>29</v>
      </c>
      <c r="U2429" t="s">
        <v>29</v>
      </c>
      <c r="V2429" t="s">
        <v>29</v>
      </c>
      <c r="W2429" t="s">
        <v>29</v>
      </c>
      <c r="X2429" t="s">
        <v>29</v>
      </c>
      <c r="Y2429" t="s">
        <v>29</v>
      </c>
    </row>
    <row r="2430" spans="1:25" x14ac:dyDescent="0.2">
      <c r="A2430" t="s">
        <v>9089</v>
      </c>
      <c r="B2430" t="s">
        <v>9090</v>
      </c>
      <c r="C2430" t="s">
        <v>9091</v>
      </c>
      <c r="D2430" t="s">
        <v>9092</v>
      </c>
      <c r="E2430" t="s">
        <v>9090</v>
      </c>
      <c r="F2430" t="s">
        <v>28</v>
      </c>
      <c r="G2430" t="s">
        <v>9090</v>
      </c>
      <c r="H2430" t="str">
        <f>"ifc-2"</f>
        <v>ifc-2</v>
      </c>
      <c r="I2430" t="s">
        <v>9092</v>
      </c>
      <c r="J2430">
        <v>16.155980106966702</v>
      </c>
      <c r="K2430">
        <v>16.6816530590993</v>
      </c>
      <c r="L2430">
        <v>18.343370997535398</v>
      </c>
      <c r="M2430">
        <v>17.1245437512097</v>
      </c>
      <c r="N2430">
        <v>17.8090818460918</v>
      </c>
      <c r="O2430">
        <v>17.301475574154399</v>
      </c>
      <c r="P2430">
        <v>0.35136566928478502</v>
      </c>
      <c r="Q2430">
        <v>-0.80450860569355798</v>
      </c>
      <c r="R2430">
        <v>1.5072399442631299</v>
      </c>
      <c r="S2430">
        <v>17.033298035678499</v>
      </c>
      <c r="T2430">
        <v>0.63891228784402998</v>
      </c>
      <c r="U2430">
        <v>-6.8405801103840602</v>
      </c>
      <c r="V2430">
        <v>0.53097350582133296</v>
      </c>
      <c r="W2430">
        <v>0.77317525993383995</v>
      </c>
      <c r="X2430">
        <v>0</v>
      </c>
      <c r="Y2430">
        <v>0</v>
      </c>
    </row>
    <row r="2431" spans="1:25" x14ac:dyDescent="0.2">
      <c r="A2431" t="s">
        <v>9093</v>
      </c>
      <c r="B2431" t="s">
        <v>9094</v>
      </c>
      <c r="C2431" t="s">
        <v>9095</v>
      </c>
      <c r="D2431" t="s">
        <v>9096</v>
      </c>
      <c r="E2431" t="s">
        <v>9094</v>
      </c>
      <c r="F2431" t="s">
        <v>28</v>
      </c>
      <c r="G2431" t="s">
        <v>9094</v>
      </c>
      <c r="H2431" t="str">
        <f>"srdh-1"</f>
        <v>srdh-1</v>
      </c>
      <c r="I2431" t="s">
        <v>9096</v>
      </c>
      <c r="J2431">
        <v>15.780635064642601</v>
      </c>
      <c r="K2431">
        <v>15.7201130750675</v>
      </c>
      <c r="L2431">
        <v>15.874993707122</v>
      </c>
      <c r="M2431">
        <v>15.835381033572601</v>
      </c>
      <c r="N2431">
        <v>15.682501754046999</v>
      </c>
      <c r="O2431">
        <v>15.098971312169001</v>
      </c>
      <c r="P2431">
        <v>-0.25296258234782298</v>
      </c>
      <c r="Q2431">
        <v>-0.64481109061670905</v>
      </c>
      <c r="R2431">
        <v>0.138885925921062</v>
      </c>
      <c r="S2431">
        <v>15.425418734157599</v>
      </c>
      <c r="T2431">
        <v>-1.3568461335709501</v>
      </c>
      <c r="U2431">
        <v>-6.1340784483014597</v>
      </c>
      <c r="V2431">
        <v>0.19170045158836699</v>
      </c>
      <c r="W2431">
        <v>0.45366783234076102</v>
      </c>
      <c r="X2431">
        <v>0</v>
      </c>
      <c r="Y2431">
        <v>0</v>
      </c>
    </row>
    <row r="2432" spans="1:25" x14ac:dyDescent="0.2">
      <c r="A2432" t="s">
        <v>9097</v>
      </c>
      <c r="B2432" t="s">
        <v>9098</v>
      </c>
      <c r="C2432" t="s">
        <v>9099</v>
      </c>
      <c r="D2432" t="s">
        <v>9100</v>
      </c>
      <c r="E2432" t="s">
        <v>9098</v>
      </c>
      <c r="F2432" t="s">
        <v>28</v>
      </c>
      <c r="G2432" t="s">
        <v>9098</v>
      </c>
      <c r="H2432" t="str">
        <f>"nst-1"</f>
        <v>nst-1</v>
      </c>
      <c r="I2432" t="s">
        <v>9100</v>
      </c>
      <c r="J2432">
        <v>15.473744116138</v>
      </c>
      <c r="K2432">
        <v>15.5412682375524</v>
      </c>
      <c r="L2432">
        <v>15.815078929179901</v>
      </c>
      <c r="M2432">
        <v>15.236166970682101</v>
      </c>
      <c r="N2432">
        <v>15.499999585583801</v>
      </c>
      <c r="O2432">
        <v>15.4529296801025</v>
      </c>
      <c r="P2432">
        <v>-0.21366501550063299</v>
      </c>
      <c r="Q2432">
        <v>-0.62426129710743095</v>
      </c>
      <c r="R2432">
        <v>0.19693126610616599</v>
      </c>
      <c r="S2432">
        <v>15.9099614157468</v>
      </c>
      <c r="T2432">
        <v>-1.0937320026164301</v>
      </c>
      <c r="U2432">
        <v>-6.44538720195529</v>
      </c>
      <c r="V2432">
        <v>0.28857720534495102</v>
      </c>
      <c r="W2432">
        <v>0.56738986476886499</v>
      </c>
      <c r="X2432">
        <v>0</v>
      </c>
      <c r="Y2432">
        <v>0</v>
      </c>
    </row>
    <row r="2433" spans="1:25" x14ac:dyDescent="0.2">
      <c r="A2433" t="s">
        <v>9101</v>
      </c>
      <c r="B2433" t="s">
        <v>9102</v>
      </c>
      <c r="C2433" t="s">
        <v>9103</v>
      </c>
      <c r="D2433" t="s">
        <v>9104</v>
      </c>
      <c r="E2433" t="s">
        <v>9102</v>
      </c>
      <c r="F2433" t="s">
        <v>28</v>
      </c>
      <c r="G2433" t="s">
        <v>9102</v>
      </c>
      <c r="H2433" t="str">
        <f>"miga-1"</f>
        <v>miga-1</v>
      </c>
      <c r="I2433" t="s">
        <v>9104</v>
      </c>
      <c r="J2433">
        <v>13.578048898851501</v>
      </c>
      <c r="K2433">
        <v>13.0411173924733</v>
      </c>
      <c r="L2433">
        <v>13.065631915255199</v>
      </c>
      <c r="M2433">
        <v>12.806131793976</v>
      </c>
      <c r="N2433">
        <v>14.1436344239271</v>
      </c>
      <c r="O2433">
        <v>13.7475143565173</v>
      </c>
      <c r="P2433">
        <v>0.33749412261353101</v>
      </c>
      <c r="Q2433">
        <v>-0.37694329129071702</v>
      </c>
      <c r="R2433">
        <v>1.0519315365177799</v>
      </c>
      <c r="S2433">
        <v>13.332670732174901</v>
      </c>
      <c r="T2433">
        <v>0.997130584771174</v>
      </c>
      <c r="U2433">
        <v>-6.54430455877666</v>
      </c>
      <c r="V2433">
        <v>0.33276898514666903</v>
      </c>
      <c r="W2433">
        <v>0.61122402832197698</v>
      </c>
      <c r="X2433">
        <v>0</v>
      </c>
      <c r="Y2433">
        <v>0</v>
      </c>
    </row>
    <row r="2434" spans="1:25" x14ac:dyDescent="0.2">
      <c r="A2434" t="s">
        <v>9105</v>
      </c>
      <c r="B2434" t="s">
        <v>9106</v>
      </c>
      <c r="C2434" t="s">
        <v>14489</v>
      </c>
      <c r="D2434" t="s">
        <v>9107</v>
      </c>
      <c r="E2434" t="s">
        <v>9106</v>
      </c>
      <c r="F2434" t="s">
        <v>28</v>
      </c>
      <c r="G2434" t="s">
        <v>9106</v>
      </c>
      <c r="H2434" t="str">
        <f>"K01H12.4"</f>
        <v>K01H12.4</v>
      </c>
      <c r="I2434" t="s">
        <v>9107</v>
      </c>
      <c r="J2434">
        <v>15.1453549684376</v>
      </c>
      <c r="K2434">
        <v>13.6482146011941</v>
      </c>
      <c r="L2434">
        <v>14.820287197073901</v>
      </c>
      <c r="M2434">
        <v>13.6928843297847</v>
      </c>
      <c r="N2434">
        <v>16.195262677405101</v>
      </c>
      <c r="O2434">
        <v>15.7389875067789</v>
      </c>
      <c r="P2434">
        <v>0.67109258242106595</v>
      </c>
      <c r="Q2434">
        <v>-0.60325860153079702</v>
      </c>
      <c r="R2434">
        <v>1.94544376637293</v>
      </c>
      <c r="S2434">
        <v>14.1183098214706</v>
      </c>
      <c r="T2434">
        <v>1.1115866567811501</v>
      </c>
      <c r="U2434">
        <v>-6.4253334334072303</v>
      </c>
      <c r="V2434">
        <v>0.28188448001504901</v>
      </c>
      <c r="W2434">
        <v>0.56229356684593701</v>
      </c>
      <c r="X2434">
        <v>0</v>
      </c>
      <c r="Y2434">
        <v>0</v>
      </c>
    </row>
    <row r="2435" spans="1:25" x14ac:dyDescent="0.2">
      <c r="A2435" t="s">
        <v>9108</v>
      </c>
      <c r="B2435" t="s">
        <v>9109</v>
      </c>
      <c r="C2435" t="s">
        <v>9110</v>
      </c>
      <c r="D2435" t="s">
        <v>9111</v>
      </c>
      <c r="E2435" t="s">
        <v>9109</v>
      </c>
      <c r="F2435" t="s">
        <v>28</v>
      </c>
      <c r="G2435" t="s">
        <v>9109</v>
      </c>
      <c r="H2435" t="str">
        <f>"dcaf-1"</f>
        <v>dcaf-1</v>
      </c>
      <c r="I2435" t="s">
        <v>9111</v>
      </c>
      <c r="J2435">
        <v>12.190277099803801</v>
      </c>
      <c r="K2435">
        <v>12.647840169494</v>
      </c>
      <c r="L2435">
        <v>12.356715725822401</v>
      </c>
      <c r="M2435">
        <v>12.844982650437199</v>
      </c>
      <c r="N2435">
        <v>12.6908526655027</v>
      </c>
      <c r="O2435">
        <v>12.8405630062902</v>
      </c>
      <c r="P2435">
        <v>0.39385510903661602</v>
      </c>
      <c r="Q2435">
        <v>-0.10422635562308501</v>
      </c>
      <c r="R2435">
        <v>0.89193657369631796</v>
      </c>
      <c r="S2435">
        <v>12.6778258702924</v>
      </c>
      <c r="T2435">
        <v>1.6691144469599399</v>
      </c>
      <c r="U2435">
        <v>-5.6972300535135503</v>
      </c>
      <c r="V2435">
        <v>0.113517891511315</v>
      </c>
      <c r="W2435">
        <v>0.34651709097356298</v>
      </c>
      <c r="X2435">
        <v>0</v>
      </c>
      <c r="Y2435">
        <v>0</v>
      </c>
    </row>
    <row r="2436" spans="1:25" x14ac:dyDescent="0.2">
      <c r="A2436" t="s">
        <v>9112</v>
      </c>
      <c r="B2436" t="s">
        <v>9113</v>
      </c>
      <c r="C2436" t="s">
        <v>9114</v>
      </c>
      <c r="D2436" t="s">
        <v>534</v>
      </c>
      <c r="E2436" t="s">
        <v>9113</v>
      </c>
      <c r="F2436" t="s">
        <v>28</v>
      </c>
      <c r="G2436" t="s">
        <v>9113</v>
      </c>
      <c r="H2436" t="str">
        <f>"sec-12"</f>
        <v>sec-12</v>
      </c>
      <c r="I2436" t="s">
        <v>534</v>
      </c>
      <c r="J2436">
        <v>14.284891616365901</v>
      </c>
      <c r="K2436">
        <v>14.0303505346408</v>
      </c>
      <c r="L2436">
        <v>14.018187044885201</v>
      </c>
      <c r="M2436">
        <v>14.436148275734899</v>
      </c>
      <c r="N2436">
        <v>14.367604424810899</v>
      </c>
      <c r="O2436">
        <v>14.061124673582601</v>
      </c>
      <c r="P2436">
        <v>0.177149392745516</v>
      </c>
      <c r="Q2436">
        <v>-0.155364032865768</v>
      </c>
      <c r="R2436">
        <v>0.50966281835680105</v>
      </c>
      <c r="S2436">
        <v>14.0565443305244</v>
      </c>
      <c r="T2436">
        <v>1.12455446942311</v>
      </c>
      <c r="U2436">
        <v>-6.4111470768339398</v>
      </c>
      <c r="V2436">
        <v>0.27650170481451197</v>
      </c>
      <c r="W2436">
        <v>0.55505030688860102</v>
      </c>
      <c r="X2436">
        <v>0</v>
      </c>
      <c r="Y2436">
        <v>0</v>
      </c>
    </row>
    <row r="2437" spans="1:25" x14ac:dyDescent="0.2">
      <c r="A2437" t="s">
        <v>9115</v>
      </c>
      <c r="B2437" t="s">
        <v>9116</v>
      </c>
      <c r="C2437" t="s">
        <v>9117</v>
      </c>
      <c r="D2437" t="s">
        <v>9118</v>
      </c>
      <c r="E2437" t="s">
        <v>9116</v>
      </c>
      <c r="F2437" t="s">
        <v>28</v>
      </c>
      <c r="G2437" t="s">
        <v>9116</v>
      </c>
      <c r="H2437" t="str">
        <f>"mcu-1"</f>
        <v>mcu-1</v>
      </c>
      <c r="I2437" t="s">
        <v>9118</v>
      </c>
      <c r="J2437">
        <v>13.0897370391923</v>
      </c>
      <c r="K2437">
        <v>13.282596452648599</v>
      </c>
      <c r="L2437">
        <v>13.156643870766001</v>
      </c>
      <c r="M2437">
        <v>13.639978729693601</v>
      </c>
      <c r="N2437">
        <v>13.587465593732301</v>
      </c>
      <c r="O2437">
        <v>13.0258363775039</v>
      </c>
      <c r="P2437">
        <v>0.241434446107649</v>
      </c>
      <c r="Q2437">
        <v>-0.44723858606298</v>
      </c>
      <c r="R2437">
        <v>0.930107478278277</v>
      </c>
      <c r="S2437">
        <v>12.774532586817999</v>
      </c>
      <c r="T2437">
        <v>0.73684928862517896</v>
      </c>
      <c r="U2437">
        <v>-6.7718099246542902</v>
      </c>
      <c r="V2437">
        <v>0.47076492792311597</v>
      </c>
      <c r="W2437">
        <v>0.73295171074728305</v>
      </c>
      <c r="X2437">
        <v>0</v>
      </c>
      <c r="Y2437">
        <v>0</v>
      </c>
    </row>
    <row r="2438" spans="1:25" x14ac:dyDescent="0.2">
      <c r="A2438" t="s">
        <v>9119</v>
      </c>
      <c r="B2438" t="s">
        <v>9120</v>
      </c>
      <c r="C2438" t="s">
        <v>9121</v>
      </c>
      <c r="D2438" t="s">
        <v>9122</v>
      </c>
      <c r="E2438" t="s">
        <v>9120</v>
      </c>
      <c r="F2438" t="s">
        <v>28</v>
      </c>
      <c r="G2438" t="s">
        <v>9120</v>
      </c>
      <c r="H2438" t="str">
        <f>"K02F3.2"</f>
        <v>K02F3.2</v>
      </c>
      <c r="I2438" t="s">
        <v>9122</v>
      </c>
      <c r="J2438">
        <v>16.158707511814601</v>
      </c>
      <c r="K2438">
        <v>15.948988562567299</v>
      </c>
      <c r="L2438">
        <v>15.754782348686501</v>
      </c>
      <c r="M2438">
        <v>15.8441759853488</v>
      </c>
      <c r="N2438">
        <v>15.8717955602412</v>
      </c>
      <c r="O2438">
        <v>15.7216615522011</v>
      </c>
      <c r="P2438">
        <v>-0.14161510842574501</v>
      </c>
      <c r="Q2438">
        <v>-0.54287292789914299</v>
      </c>
      <c r="R2438">
        <v>0.25964271104765402</v>
      </c>
      <c r="S2438">
        <v>15.4413468335764</v>
      </c>
      <c r="T2438">
        <v>-0.74178593358004996</v>
      </c>
      <c r="U2438">
        <v>-6.7680987374858699</v>
      </c>
      <c r="V2438">
        <v>0.46784171585280498</v>
      </c>
      <c r="W2438">
        <v>0.73153117908080401</v>
      </c>
      <c r="X2438">
        <v>0</v>
      </c>
      <c r="Y2438">
        <v>0</v>
      </c>
    </row>
    <row r="2439" spans="1:25" x14ac:dyDescent="0.2">
      <c r="A2439" t="s">
        <v>9123</v>
      </c>
      <c r="B2439" t="s">
        <v>9124</v>
      </c>
      <c r="C2439" t="s">
        <v>9125</v>
      </c>
      <c r="D2439" t="s">
        <v>9126</v>
      </c>
      <c r="E2439" t="s">
        <v>9124</v>
      </c>
      <c r="F2439" t="s">
        <v>28</v>
      </c>
      <c r="G2439" t="s">
        <v>9124</v>
      </c>
      <c r="H2439" t="str">
        <f>"moma-1"</f>
        <v>moma-1</v>
      </c>
      <c r="I2439" t="s">
        <v>9126</v>
      </c>
      <c r="J2439">
        <v>13.7423670968879</v>
      </c>
      <c r="K2439">
        <v>13.181106529944101</v>
      </c>
      <c r="L2439">
        <v>13.532044455687499</v>
      </c>
      <c r="M2439">
        <v>13.416887168101701</v>
      </c>
      <c r="N2439">
        <v>13.5244164768531</v>
      </c>
      <c r="O2439">
        <v>13.8141183693001</v>
      </c>
      <c r="P2439">
        <v>9.9967977245155396E-2</v>
      </c>
      <c r="Q2439">
        <v>-0.78281323917635603</v>
      </c>
      <c r="R2439">
        <v>0.98274919366666702</v>
      </c>
      <c r="S2439">
        <v>13.4613438513063</v>
      </c>
      <c r="T2439">
        <v>0.239032984521488</v>
      </c>
      <c r="U2439">
        <v>-7.0221003872171401</v>
      </c>
      <c r="V2439">
        <v>0.81395550565278796</v>
      </c>
      <c r="W2439">
        <v>0.92061564664378603</v>
      </c>
      <c r="X2439">
        <v>0</v>
      </c>
      <c r="Y2439">
        <v>0</v>
      </c>
    </row>
    <row r="2440" spans="1:25" x14ac:dyDescent="0.2">
      <c r="A2440" t="s">
        <v>9127</v>
      </c>
      <c r="B2440" t="s">
        <v>9128</v>
      </c>
      <c r="C2440" t="s">
        <v>9129</v>
      </c>
      <c r="D2440" t="s">
        <v>93</v>
      </c>
      <c r="E2440" t="s">
        <v>9128</v>
      </c>
      <c r="F2440" t="s">
        <v>28</v>
      </c>
      <c r="G2440" t="s">
        <v>9128</v>
      </c>
      <c r="H2440" t="str">
        <f>"rnp-5"</f>
        <v>rnp-5</v>
      </c>
      <c r="I2440" t="s">
        <v>93</v>
      </c>
      <c r="J2440">
        <v>14.741313997230501</v>
      </c>
      <c r="K2440">
        <v>15.494328709533599</v>
      </c>
      <c r="L2440">
        <v>15.2317725626182</v>
      </c>
      <c r="M2440">
        <v>15.0630649589545</v>
      </c>
      <c r="N2440">
        <v>14.2654575562966</v>
      </c>
      <c r="O2440">
        <v>14.950727884659701</v>
      </c>
      <c r="P2440">
        <v>-0.396054956490554</v>
      </c>
      <c r="Q2440">
        <v>-1.22283707526186</v>
      </c>
      <c r="R2440">
        <v>0.43072716228075503</v>
      </c>
      <c r="S2440">
        <v>15.716896017194101</v>
      </c>
      <c r="T2440">
        <v>-1.00683172246374</v>
      </c>
      <c r="U2440">
        <v>-6.53544602283473</v>
      </c>
      <c r="V2440">
        <v>0.32743662141201701</v>
      </c>
      <c r="W2440">
        <v>0.60745653710074299</v>
      </c>
      <c r="X2440">
        <v>0</v>
      </c>
      <c r="Y2440">
        <v>0</v>
      </c>
    </row>
    <row r="2441" spans="1:25" x14ac:dyDescent="0.2">
      <c r="A2441" t="s">
        <v>9130</v>
      </c>
      <c r="B2441" t="s">
        <v>9131</v>
      </c>
      <c r="C2441" t="s">
        <v>9132</v>
      </c>
      <c r="D2441" t="s">
        <v>9133</v>
      </c>
      <c r="E2441" t="s">
        <v>9131</v>
      </c>
      <c r="F2441" t="s">
        <v>28</v>
      </c>
      <c r="G2441" t="s">
        <v>9131</v>
      </c>
      <c r="H2441" t="str">
        <f>"dhhc-10"</f>
        <v>dhhc-10</v>
      </c>
      <c r="I2441" t="s">
        <v>9133</v>
      </c>
      <c r="J2441">
        <v>13.1452407887876</v>
      </c>
      <c r="K2441">
        <v>13.2398491594808</v>
      </c>
      <c r="L2441">
        <v>13.202881308368701</v>
      </c>
      <c r="M2441">
        <v>13.1369857046358</v>
      </c>
      <c r="N2441">
        <v>13.2514842162958</v>
      </c>
      <c r="O2441">
        <v>12.7616206401353</v>
      </c>
      <c r="P2441">
        <v>-0.145960231856751</v>
      </c>
      <c r="Q2441">
        <v>-0.61159269489096901</v>
      </c>
      <c r="R2441">
        <v>0.31967223117746602</v>
      </c>
      <c r="S2441">
        <v>13.0866731246002</v>
      </c>
      <c r="T2441">
        <v>-0.664876255587175</v>
      </c>
      <c r="U2441">
        <v>-6.8220833089149702</v>
      </c>
      <c r="V2441">
        <v>0.51566105061637002</v>
      </c>
      <c r="W2441">
        <v>0.76201682956660699</v>
      </c>
      <c r="X2441">
        <v>0</v>
      </c>
      <c r="Y2441">
        <v>0</v>
      </c>
    </row>
    <row r="2442" spans="1:25" x14ac:dyDescent="0.2">
      <c r="A2442" t="s">
        <v>9134</v>
      </c>
      <c r="B2442" t="s">
        <v>9135</v>
      </c>
      <c r="C2442" t="s">
        <v>9136</v>
      </c>
      <c r="D2442" t="s">
        <v>9137</v>
      </c>
      <c r="E2442" t="s">
        <v>9135</v>
      </c>
      <c r="F2442" t="s">
        <v>28</v>
      </c>
      <c r="G2442" t="s">
        <v>9135</v>
      </c>
      <c r="H2442" t="str">
        <f>"sur-5"</f>
        <v>sur-5</v>
      </c>
      <c r="I2442" t="s">
        <v>9137</v>
      </c>
      <c r="J2442">
        <v>14.117112843562699</v>
      </c>
      <c r="K2442">
        <v>14.2893450397363</v>
      </c>
      <c r="L2442">
        <v>14.319272303921901</v>
      </c>
      <c r="M2442">
        <v>13.8969710770621</v>
      </c>
      <c r="N2442">
        <v>14.3783693276376</v>
      </c>
      <c r="O2442">
        <v>14.1372865814271</v>
      </c>
      <c r="P2442">
        <v>-0.104367733698016</v>
      </c>
      <c r="Q2442">
        <v>-0.70008589375170205</v>
      </c>
      <c r="R2442">
        <v>0.49135042635567</v>
      </c>
      <c r="S2442">
        <v>14.8800150333691</v>
      </c>
      <c r="T2442">
        <v>-0.36980725473758402</v>
      </c>
      <c r="U2442">
        <v>-6.98048388281752</v>
      </c>
      <c r="V2442">
        <v>0.71612078617610098</v>
      </c>
      <c r="W2442">
        <v>0.87472111044182899</v>
      </c>
      <c r="X2442">
        <v>0</v>
      </c>
      <c r="Y2442">
        <v>0</v>
      </c>
    </row>
    <row r="2443" spans="1:25" x14ac:dyDescent="0.2">
      <c r="A2443" t="s">
        <v>9138</v>
      </c>
      <c r="B2443" t="s">
        <v>9139</v>
      </c>
      <c r="C2443" t="s">
        <v>14490</v>
      </c>
      <c r="D2443" t="s">
        <v>9140</v>
      </c>
      <c r="E2443" t="s">
        <v>9139</v>
      </c>
      <c r="F2443" t="s">
        <v>28</v>
      </c>
      <c r="G2443" t="s">
        <v>9139</v>
      </c>
      <c r="H2443" t="str">
        <f>"K03B4.1"</f>
        <v>K03B4.1</v>
      </c>
      <c r="I2443" t="s">
        <v>9140</v>
      </c>
      <c r="J2443">
        <v>12.3308395771998</v>
      </c>
      <c r="K2443">
        <v>12.587841530921599</v>
      </c>
      <c r="L2443">
        <v>12.7571335308514</v>
      </c>
      <c r="M2443">
        <v>11.904340648642901</v>
      </c>
      <c r="N2443">
        <v>12.545263181570499</v>
      </c>
      <c r="O2443">
        <v>12.396851566086699</v>
      </c>
      <c r="P2443">
        <v>-0.27645308089091403</v>
      </c>
      <c r="Q2443">
        <v>-0.85641393069901695</v>
      </c>
      <c r="R2443">
        <v>0.303507768917189</v>
      </c>
      <c r="S2443">
        <v>12.579278988478199</v>
      </c>
      <c r="T2443">
        <v>-1.00617325646044</v>
      </c>
      <c r="U2443">
        <v>-6.5353190534230201</v>
      </c>
      <c r="V2443">
        <v>0.32852624915419498</v>
      </c>
      <c r="W2443">
        <v>0.60848776455734299</v>
      </c>
      <c r="X2443">
        <v>0</v>
      </c>
      <c r="Y2443">
        <v>0</v>
      </c>
    </row>
    <row r="2444" spans="1:25" x14ac:dyDescent="0.2">
      <c r="A2444" t="s">
        <v>9141</v>
      </c>
      <c r="B2444" t="s">
        <v>9142</v>
      </c>
      <c r="C2444" t="s">
        <v>14491</v>
      </c>
      <c r="D2444" t="s">
        <v>368</v>
      </c>
      <c r="E2444" t="s">
        <v>9142</v>
      </c>
      <c r="F2444" t="s">
        <v>28</v>
      </c>
      <c r="G2444" t="s">
        <v>9142</v>
      </c>
      <c r="H2444" t="str">
        <f>"K03B8.6"</f>
        <v>K03B8.6</v>
      </c>
      <c r="I2444" t="s">
        <v>368</v>
      </c>
      <c r="J2444">
        <v>15.262843720087901</v>
      </c>
      <c r="K2444">
        <v>15.436486517431399</v>
      </c>
      <c r="L2444">
        <v>14.7944310051199</v>
      </c>
      <c r="M2444">
        <v>15.284625170926001</v>
      </c>
      <c r="N2444">
        <v>14.4251682396396</v>
      </c>
      <c r="O2444">
        <v>14.7241543538517</v>
      </c>
      <c r="P2444">
        <v>-0.35327115940729598</v>
      </c>
      <c r="Q2444">
        <v>-0.82769341035848498</v>
      </c>
      <c r="R2444">
        <v>0.121151091543894</v>
      </c>
      <c r="S2444">
        <v>14.3371028837245</v>
      </c>
      <c r="T2444">
        <v>-1.5650767760490101</v>
      </c>
      <c r="U2444">
        <v>-5.8495814226251097</v>
      </c>
      <c r="V2444">
        <v>0.13507670039853401</v>
      </c>
      <c r="W2444">
        <v>0.37939762056670201</v>
      </c>
      <c r="X2444">
        <v>0</v>
      </c>
      <c r="Y2444">
        <v>0</v>
      </c>
    </row>
    <row r="2445" spans="1:25" x14ac:dyDescent="0.2">
      <c r="A2445" t="s">
        <v>9143</v>
      </c>
      <c r="B2445" t="s">
        <v>9144</v>
      </c>
      <c r="C2445" t="s">
        <v>9145</v>
      </c>
      <c r="D2445" t="s">
        <v>9146</v>
      </c>
      <c r="E2445" t="s">
        <v>9144</v>
      </c>
      <c r="F2445" t="s">
        <v>28</v>
      </c>
      <c r="G2445" t="s">
        <v>9144</v>
      </c>
      <c r="H2445" t="str">
        <f>"unc-1"</f>
        <v>unc-1</v>
      </c>
      <c r="I2445" t="s">
        <v>9146</v>
      </c>
      <c r="J2445">
        <v>14.6011660210117</v>
      </c>
      <c r="K2445">
        <v>14.555738238675101</v>
      </c>
      <c r="L2445">
        <v>14.0629289436439</v>
      </c>
      <c r="M2445">
        <v>14.664452228031999</v>
      </c>
      <c r="N2445">
        <v>14.389432823330701</v>
      </c>
      <c r="O2445">
        <v>14.2856951534987</v>
      </c>
      <c r="P2445">
        <v>3.9915667176924102E-2</v>
      </c>
      <c r="Q2445">
        <v>-0.46269718884451699</v>
      </c>
      <c r="R2445">
        <v>0.54252852319836498</v>
      </c>
      <c r="S2445">
        <v>13.6677004327777</v>
      </c>
      <c r="T2445">
        <v>0.16763311411277201</v>
      </c>
      <c r="U2445">
        <v>-7.0373260317776101</v>
      </c>
      <c r="V2445">
        <v>0.86886210737275804</v>
      </c>
      <c r="W2445">
        <v>0.95060863732646494</v>
      </c>
      <c r="X2445">
        <v>0</v>
      </c>
      <c r="Y2445">
        <v>0</v>
      </c>
    </row>
    <row r="2446" spans="1:25" x14ac:dyDescent="0.2">
      <c r="A2446" t="s">
        <v>9147</v>
      </c>
      <c r="B2446" t="s">
        <v>9148</v>
      </c>
      <c r="C2446" t="s">
        <v>9149</v>
      </c>
      <c r="D2446" t="s">
        <v>9150</v>
      </c>
      <c r="E2446" t="s">
        <v>9148</v>
      </c>
      <c r="F2446" t="s">
        <v>28</v>
      </c>
      <c r="G2446" t="s">
        <v>9148</v>
      </c>
      <c r="H2446" t="str">
        <f>"pfn-3"</f>
        <v>pfn-3</v>
      </c>
      <c r="I2446" t="s">
        <v>9150</v>
      </c>
      <c r="J2446">
        <v>14.1997093252116</v>
      </c>
      <c r="K2446">
        <v>14.177648375351501</v>
      </c>
      <c r="L2446">
        <v>13.814993769643801</v>
      </c>
      <c r="M2446">
        <v>14.2197180860757</v>
      </c>
      <c r="N2446">
        <v>14.1325568697712</v>
      </c>
      <c r="O2446">
        <v>14.6222835547582</v>
      </c>
      <c r="P2446">
        <v>0.26073568013273501</v>
      </c>
      <c r="Q2446">
        <v>-0.27492072607637003</v>
      </c>
      <c r="R2446">
        <v>0.796392086341839</v>
      </c>
      <c r="S2446">
        <v>14.0808469685311</v>
      </c>
      <c r="T2446">
        <v>1.02307312355435</v>
      </c>
      <c r="U2446">
        <v>-6.5191158325888798</v>
      </c>
      <c r="V2446">
        <v>0.31990551987063198</v>
      </c>
      <c r="W2446">
        <v>0.59757322712918204</v>
      </c>
      <c r="X2446">
        <v>0</v>
      </c>
      <c r="Y2446">
        <v>0</v>
      </c>
    </row>
    <row r="2447" spans="1:25" x14ac:dyDescent="0.2">
      <c r="A2447" t="s">
        <v>9151</v>
      </c>
      <c r="B2447" t="s">
        <v>9152</v>
      </c>
      <c r="C2447" t="s">
        <v>14492</v>
      </c>
      <c r="D2447" t="s">
        <v>9153</v>
      </c>
      <c r="E2447" t="s">
        <v>9152</v>
      </c>
      <c r="F2447" t="s">
        <v>28</v>
      </c>
      <c r="G2447" t="s">
        <v>9152</v>
      </c>
      <c r="H2447" t="str">
        <f>"K04C2.2"</f>
        <v>K04C2.2</v>
      </c>
      <c r="I2447" t="s">
        <v>9153</v>
      </c>
      <c r="J2447">
        <v>14.759956855812501</v>
      </c>
      <c r="K2447">
        <v>14.726547432942199</v>
      </c>
      <c r="L2447">
        <v>14.9265936295517</v>
      </c>
      <c r="M2447">
        <v>14.637956320080001</v>
      </c>
      <c r="N2447">
        <v>15.2130859298006</v>
      </c>
      <c r="O2447">
        <v>15.0449170380667</v>
      </c>
      <c r="P2447">
        <v>0.16095378988033501</v>
      </c>
      <c r="Q2447">
        <v>-0.21461032235646199</v>
      </c>
      <c r="R2447">
        <v>0.53651790211713102</v>
      </c>
      <c r="S2447">
        <v>15.2512215979682</v>
      </c>
      <c r="T2447">
        <v>0.90462197762032903</v>
      </c>
      <c r="U2447">
        <v>-6.6320485710015804</v>
      </c>
      <c r="V2447">
        <v>0.37838494844802001</v>
      </c>
      <c r="W2447">
        <v>0.65353772430795498</v>
      </c>
      <c r="X2447">
        <v>0</v>
      </c>
      <c r="Y2447">
        <v>0</v>
      </c>
    </row>
    <row r="2448" spans="1:25" x14ac:dyDescent="0.2">
      <c r="A2448" t="s">
        <v>9154</v>
      </c>
      <c r="B2448" t="s">
        <v>9155</v>
      </c>
      <c r="C2448" t="s">
        <v>9156</v>
      </c>
      <c r="D2448" t="s">
        <v>9157</v>
      </c>
      <c r="E2448" t="s">
        <v>9155</v>
      </c>
      <c r="F2448" t="s">
        <v>28</v>
      </c>
      <c r="G2448" t="s">
        <v>9155</v>
      </c>
      <c r="H2448" t="str">
        <f>"rack-1"</f>
        <v>rack-1</v>
      </c>
      <c r="I2448" t="s">
        <v>9157</v>
      </c>
      <c r="J2448">
        <v>20.127065093132298</v>
      </c>
      <c r="K2448">
        <v>20.355345803601999</v>
      </c>
      <c r="L2448">
        <v>20.344139839899299</v>
      </c>
      <c r="M2448">
        <v>20.136366875468699</v>
      </c>
      <c r="N2448">
        <v>19.244348964340301</v>
      </c>
      <c r="O2448">
        <v>19.388824829628899</v>
      </c>
      <c r="P2448">
        <v>-0.68567002239852604</v>
      </c>
      <c r="Q2448">
        <v>-1.20920263213946</v>
      </c>
      <c r="R2448">
        <v>-0.16213741265758899</v>
      </c>
      <c r="S2448">
        <v>19.804940523496199</v>
      </c>
      <c r="T2448">
        <v>-2.7527320378951901</v>
      </c>
      <c r="U2448">
        <v>-3.7456995704363298</v>
      </c>
      <c r="V2448">
        <v>1.31447130528125E-2</v>
      </c>
      <c r="W2448">
        <v>0.10619374516475499</v>
      </c>
      <c r="X2448">
        <v>0</v>
      </c>
      <c r="Y2448">
        <v>0</v>
      </c>
    </row>
    <row r="2449" spans="1:25" x14ac:dyDescent="0.2">
      <c r="A2449" t="s">
        <v>9158</v>
      </c>
      <c r="B2449" t="s">
        <v>9159</v>
      </c>
      <c r="C2449" t="s">
        <v>9160</v>
      </c>
      <c r="D2449" t="s">
        <v>9161</v>
      </c>
      <c r="E2449" t="s">
        <v>9159</v>
      </c>
      <c r="F2449" t="s">
        <v>28</v>
      </c>
      <c r="G2449" t="s">
        <v>9159</v>
      </c>
      <c r="H2449" t="str">
        <f>"gta-1"</f>
        <v>gta-1</v>
      </c>
      <c r="I2449" t="s">
        <v>9161</v>
      </c>
      <c r="J2449">
        <v>12.344997992928599</v>
      </c>
      <c r="K2449">
        <v>12.6375616430135</v>
      </c>
      <c r="L2449">
        <v>12.764134528003201</v>
      </c>
      <c r="M2449">
        <v>12.4242766799479</v>
      </c>
      <c r="N2449">
        <v>12.5187273719296</v>
      </c>
      <c r="O2449">
        <v>13.4743792125927</v>
      </c>
      <c r="P2449">
        <v>0.22356303350830201</v>
      </c>
      <c r="Q2449">
        <v>-0.32714005815145503</v>
      </c>
      <c r="R2449">
        <v>0.77426612516805904</v>
      </c>
      <c r="S2449">
        <v>12.8014554957581</v>
      </c>
      <c r="T2449">
        <v>0.85324743700374905</v>
      </c>
      <c r="U2449">
        <v>-6.6781639808766897</v>
      </c>
      <c r="V2449">
        <v>0.40479869025265097</v>
      </c>
      <c r="W2449">
        <v>0.67692845385240097</v>
      </c>
      <c r="X2449">
        <v>0</v>
      </c>
      <c r="Y2449">
        <v>0</v>
      </c>
    </row>
    <row r="2450" spans="1:25" x14ac:dyDescent="0.2">
      <c r="A2450" t="s">
        <v>9162</v>
      </c>
      <c r="B2450" t="s">
        <v>9163</v>
      </c>
      <c r="C2450" t="s">
        <v>9164</v>
      </c>
      <c r="D2450" t="s">
        <v>9165</v>
      </c>
      <c r="E2450" t="s">
        <v>9163</v>
      </c>
      <c r="F2450" t="s">
        <v>28</v>
      </c>
      <c r="G2450" t="s">
        <v>9163</v>
      </c>
      <c r="H2450" t="str">
        <f>"pept-1"</f>
        <v>pept-1</v>
      </c>
      <c r="I2450" t="s">
        <v>9165</v>
      </c>
      <c r="J2450">
        <v>13.4116224175082</v>
      </c>
      <c r="K2450">
        <v>13.0846117796707</v>
      </c>
      <c r="L2450">
        <v>13.3711498210904</v>
      </c>
      <c r="M2450">
        <v>13.337152940161801</v>
      </c>
      <c r="N2450">
        <v>13.0372725012909</v>
      </c>
      <c r="O2450">
        <v>13.1176626065712</v>
      </c>
      <c r="P2450">
        <v>-0.12509865674843801</v>
      </c>
      <c r="Q2450">
        <v>-0.58169826618651399</v>
      </c>
      <c r="R2450">
        <v>0.33150095268963697</v>
      </c>
      <c r="S2450">
        <v>13.0259552917456</v>
      </c>
      <c r="T2450">
        <v>-0.58112109468426498</v>
      </c>
      <c r="U2450">
        <v>-6.8758105436338299</v>
      </c>
      <c r="V2450">
        <v>0.56930814635794003</v>
      </c>
      <c r="W2450">
        <v>0.79119785052815395</v>
      </c>
      <c r="X2450">
        <v>0</v>
      </c>
      <c r="Y2450">
        <v>0</v>
      </c>
    </row>
    <row r="2451" spans="1:25" x14ac:dyDescent="0.2">
      <c r="A2451" t="s">
        <v>9166</v>
      </c>
      <c r="B2451" t="s">
        <v>9167</v>
      </c>
      <c r="C2451" t="s">
        <v>9168</v>
      </c>
      <c r="D2451" t="s">
        <v>9169</v>
      </c>
      <c r="E2451" t="s">
        <v>9167</v>
      </c>
      <c r="F2451" t="s">
        <v>28</v>
      </c>
      <c r="G2451" t="s">
        <v>9167</v>
      </c>
      <c r="H2451" t="str">
        <f>"aho-3"</f>
        <v>aho-3</v>
      </c>
      <c r="I2451" t="s">
        <v>9169</v>
      </c>
      <c r="J2451">
        <v>12.4963410088793</v>
      </c>
      <c r="K2451">
        <v>12.7159954856329</v>
      </c>
      <c r="L2451">
        <v>12.5450797918459</v>
      </c>
      <c r="M2451">
        <v>12.017756751628299</v>
      </c>
      <c r="N2451">
        <v>11.396809958402599</v>
      </c>
      <c r="O2451">
        <v>11.7999874154028</v>
      </c>
      <c r="P2451">
        <v>-0.84762072030809699</v>
      </c>
      <c r="Q2451">
        <v>-1.3651673829613999</v>
      </c>
      <c r="R2451">
        <v>-0.33007405765478898</v>
      </c>
      <c r="S2451">
        <v>12.185139134485899</v>
      </c>
      <c r="T2451">
        <v>-3.4737741735466101</v>
      </c>
      <c r="U2451">
        <v>-2.32751350294307</v>
      </c>
      <c r="V2451">
        <v>3.1584644155875901E-3</v>
      </c>
      <c r="W2451">
        <v>3.8930466698189503E-2</v>
      </c>
      <c r="X2451">
        <v>0</v>
      </c>
      <c r="Y2451">
        <v>0</v>
      </c>
    </row>
    <row r="2452" spans="1:25" x14ac:dyDescent="0.2">
      <c r="A2452" t="s">
        <v>9170</v>
      </c>
      <c r="B2452" t="s">
        <v>9171</v>
      </c>
      <c r="C2452" t="s">
        <v>9172</v>
      </c>
      <c r="D2452" t="s">
        <v>9173</v>
      </c>
      <c r="E2452" t="s">
        <v>9171</v>
      </c>
      <c r="F2452" t="s">
        <v>28</v>
      </c>
      <c r="G2452" t="s">
        <v>9171</v>
      </c>
      <c r="H2452" t="str">
        <f>"vacl-14"</f>
        <v>vacl-14</v>
      </c>
      <c r="I2452" t="s">
        <v>9173</v>
      </c>
      <c r="J2452">
        <v>12.470671596013901</v>
      </c>
      <c r="K2452">
        <v>12.5872368067742</v>
      </c>
      <c r="L2452">
        <v>12.4674429658916</v>
      </c>
      <c r="M2452">
        <v>12.074137171836901</v>
      </c>
      <c r="N2452">
        <v>12.937028156229101</v>
      </c>
      <c r="O2452">
        <v>12.362309549483401</v>
      </c>
      <c r="P2452">
        <v>-5.0625497043414597E-2</v>
      </c>
      <c r="Q2452">
        <v>-0.67946260721948204</v>
      </c>
      <c r="R2452">
        <v>0.57821161313265301</v>
      </c>
      <c r="S2452">
        <v>12.6715091856722</v>
      </c>
      <c r="T2452">
        <v>-0.169934340378469</v>
      </c>
      <c r="U2452">
        <v>-7.0369183463498501</v>
      </c>
      <c r="V2452">
        <v>0.86708001601784002</v>
      </c>
      <c r="W2452">
        <v>0.94935342265210398</v>
      </c>
      <c r="X2452">
        <v>0</v>
      </c>
      <c r="Y2452">
        <v>0</v>
      </c>
    </row>
    <row r="2453" spans="1:25" x14ac:dyDescent="0.2">
      <c r="A2453" t="s">
        <v>9174</v>
      </c>
      <c r="B2453" t="s">
        <v>9175</v>
      </c>
      <c r="C2453" s="3">
        <v>45383</v>
      </c>
      <c r="D2453" t="s">
        <v>9176</v>
      </c>
      <c r="E2453" t="s">
        <v>9175</v>
      </c>
      <c r="F2453" t="s">
        <v>28</v>
      </c>
      <c r="G2453" t="s">
        <v>9175</v>
      </c>
      <c r="H2453" t="str">
        <f>"apr-1"</f>
        <v>apr-1</v>
      </c>
      <c r="I2453" t="s">
        <v>9176</v>
      </c>
      <c r="J2453" t="s">
        <v>29</v>
      </c>
      <c r="K2453" t="s">
        <v>29</v>
      </c>
      <c r="L2453" t="s">
        <v>29</v>
      </c>
      <c r="M2453" t="s">
        <v>29</v>
      </c>
      <c r="N2453" t="s">
        <v>29</v>
      </c>
      <c r="O2453" t="s">
        <v>29</v>
      </c>
      <c r="P2453" t="s">
        <v>29</v>
      </c>
      <c r="Q2453" t="s">
        <v>29</v>
      </c>
      <c r="R2453" t="s">
        <v>29</v>
      </c>
      <c r="S2453">
        <v>12.24477572412</v>
      </c>
      <c r="T2453" t="s">
        <v>29</v>
      </c>
      <c r="U2453" t="s">
        <v>29</v>
      </c>
      <c r="V2453" t="s">
        <v>29</v>
      </c>
      <c r="W2453" t="s">
        <v>29</v>
      </c>
      <c r="X2453" t="s">
        <v>29</v>
      </c>
      <c r="Y2453" t="s">
        <v>29</v>
      </c>
    </row>
    <row r="2454" spans="1:25" x14ac:dyDescent="0.2">
      <c r="A2454" t="s">
        <v>9177</v>
      </c>
      <c r="B2454" t="s">
        <v>9178</v>
      </c>
      <c r="C2454" t="s">
        <v>9179</v>
      </c>
      <c r="D2454" t="s">
        <v>9180</v>
      </c>
      <c r="E2454" t="s">
        <v>9178</v>
      </c>
      <c r="F2454" t="s">
        <v>28</v>
      </c>
      <c r="G2454" t="s">
        <v>9178</v>
      </c>
      <c r="H2454" t="str">
        <f>"eif-2beta"</f>
        <v>eif-2beta</v>
      </c>
      <c r="I2454" t="s">
        <v>9180</v>
      </c>
      <c r="J2454">
        <v>14.7737439149883</v>
      </c>
      <c r="K2454">
        <v>15.1263841550645</v>
      </c>
      <c r="L2454">
        <v>15.1370283899277</v>
      </c>
      <c r="M2454">
        <v>14.244937105942499</v>
      </c>
      <c r="N2454">
        <v>15.3032649269575</v>
      </c>
      <c r="O2454">
        <v>14.873259958850699</v>
      </c>
      <c r="P2454">
        <v>-0.205231489409957</v>
      </c>
      <c r="Q2454">
        <v>-0.69845312052681296</v>
      </c>
      <c r="R2454">
        <v>0.28799014170689802</v>
      </c>
      <c r="S2454">
        <v>14.883276556902199</v>
      </c>
      <c r="T2454">
        <v>-0.87456963576317803</v>
      </c>
      <c r="U2454">
        <v>-6.6596357906785801</v>
      </c>
      <c r="V2454">
        <v>0.39339469148990702</v>
      </c>
      <c r="W2454">
        <v>0.669161696867829</v>
      </c>
      <c r="X2454">
        <v>0</v>
      </c>
      <c r="Y2454">
        <v>0</v>
      </c>
    </row>
    <row r="2455" spans="1:25" x14ac:dyDescent="0.2">
      <c r="A2455" t="s">
        <v>9181</v>
      </c>
      <c r="B2455" t="s">
        <v>9182</v>
      </c>
      <c r="C2455" t="s">
        <v>9183</v>
      </c>
      <c r="D2455" t="s">
        <v>9184</v>
      </c>
      <c r="E2455" t="s">
        <v>9182</v>
      </c>
      <c r="F2455" t="s">
        <v>28</v>
      </c>
      <c r="G2455" t="s">
        <v>9182</v>
      </c>
      <c r="H2455" t="str">
        <f>"nuo-4"</f>
        <v>nuo-4</v>
      </c>
      <c r="I2455" t="s">
        <v>9184</v>
      </c>
      <c r="J2455">
        <v>11.7285224186483</v>
      </c>
      <c r="K2455">
        <v>11.8275841619768</v>
      </c>
      <c r="L2455">
        <v>11.9751904792485</v>
      </c>
      <c r="M2455">
        <v>11.4162746459457</v>
      </c>
      <c r="N2455">
        <v>11.9685028719896</v>
      </c>
      <c r="O2455">
        <v>11.967411535268999</v>
      </c>
      <c r="P2455">
        <v>-5.9702668889775302E-2</v>
      </c>
      <c r="Q2455">
        <v>-0.462204621003446</v>
      </c>
      <c r="R2455">
        <v>0.34279928322389502</v>
      </c>
      <c r="S2455">
        <v>12.4539789662277</v>
      </c>
      <c r="T2455">
        <v>-0.31309473744499999</v>
      </c>
      <c r="U2455">
        <v>-7.0007024569543104</v>
      </c>
      <c r="V2455">
        <v>0.75804068113507295</v>
      </c>
      <c r="W2455">
        <v>0.89860268721804304</v>
      </c>
      <c r="X2455">
        <v>0</v>
      </c>
      <c r="Y2455">
        <v>0</v>
      </c>
    </row>
    <row r="2456" spans="1:25" x14ac:dyDescent="0.2">
      <c r="A2456" t="s">
        <v>9185</v>
      </c>
      <c r="B2456" t="s">
        <v>9186</v>
      </c>
      <c r="C2456" t="s">
        <v>14493</v>
      </c>
      <c r="D2456" t="s">
        <v>9187</v>
      </c>
      <c r="E2456" t="s">
        <v>9186</v>
      </c>
      <c r="F2456" t="s">
        <v>28</v>
      </c>
      <c r="G2456" t="s">
        <v>9186</v>
      </c>
      <c r="H2456" t="str">
        <f>"K04G7.1"</f>
        <v>K04G7.1</v>
      </c>
      <c r="I2456" t="s">
        <v>9187</v>
      </c>
      <c r="J2456">
        <v>13.351197599442401</v>
      </c>
      <c r="K2456">
        <v>12.8554438679257</v>
      </c>
      <c r="L2456">
        <v>12.614644896112299</v>
      </c>
      <c r="M2456">
        <v>13.129666128898601</v>
      </c>
      <c r="N2456">
        <v>13.143800068309</v>
      </c>
      <c r="O2456">
        <v>13.7391028793784</v>
      </c>
      <c r="P2456">
        <v>0.39709423770188201</v>
      </c>
      <c r="Q2456">
        <v>-0.18374872825948099</v>
      </c>
      <c r="R2456">
        <v>0.97793720366324499</v>
      </c>
      <c r="S2456">
        <v>13.320456403536101</v>
      </c>
      <c r="T2456">
        <v>1.44306157847028</v>
      </c>
      <c r="U2456">
        <v>-6.0201913873200699</v>
      </c>
      <c r="V2456">
        <v>0.167288168578134</v>
      </c>
      <c r="W2456">
        <v>0.42395303781405702</v>
      </c>
      <c r="X2456">
        <v>0</v>
      </c>
      <c r="Y2456">
        <v>0</v>
      </c>
    </row>
    <row r="2457" spans="1:25" x14ac:dyDescent="0.2">
      <c r="A2457" t="s">
        <v>9188</v>
      </c>
      <c r="B2457" t="s">
        <v>9189</v>
      </c>
      <c r="C2457" t="s">
        <v>9190</v>
      </c>
      <c r="D2457" t="s">
        <v>9191</v>
      </c>
      <c r="E2457" t="s">
        <v>9189</v>
      </c>
      <c r="F2457" t="s">
        <v>28</v>
      </c>
      <c r="G2457" t="s">
        <v>9189</v>
      </c>
      <c r="H2457" t="str">
        <f>"acdh-8"</f>
        <v>acdh-8</v>
      </c>
      <c r="I2457" t="s">
        <v>9191</v>
      </c>
      <c r="J2457">
        <v>13.0995231024717</v>
      </c>
      <c r="K2457">
        <v>12.9155989556608</v>
      </c>
      <c r="L2457">
        <v>12.6188576437335</v>
      </c>
      <c r="M2457" t="s">
        <v>29</v>
      </c>
      <c r="N2457">
        <v>12.819176259058599</v>
      </c>
      <c r="O2457">
        <v>12.182625890259899</v>
      </c>
      <c r="P2457">
        <v>-0.37709215929611001</v>
      </c>
      <c r="Q2457">
        <v>-0.97535313019676495</v>
      </c>
      <c r="R2457">
        <v>0.22116881160454499</v>
      </c>
      <c r="S2457">
        <v>12.5819991549916</v>
      </c>
      <c r="T2457">
        <v>-1.3369228952268899</v>
      </c>
      <c r="U2457">
        <v>-6.0499391607044002</v>
      </c>
      <c r="V2457">
        <v>0.200068443938936</v>
      </c>
      <c r="W2457">
        <v>0.46106424686777497</v>
      </c>
      <c r="X2457">
        <v>0</v>
      </c>
      <c r="Y2457">
        <v>0</v>
      </c>
    </row>
    <row r="2458" spans="1:25" x14ac:dyDescent="0.2">
      <c r="A2458" t="s">
        <v>9192</v>
      </c>
      <c r="B2458" t="s">
        <v>9193</v>
      </c>
      <c r="C2458" t="s">
        <v>9194</v>
      </c>
      <c r="D2458" t="s">
        <v>9195</v>
      </c>
      <c r="E2458" t="s">
        <v>9193</v>
      </c>
      <c r="F2458" t="s">
        <v>28</v>
      </c>
      <c r="G2458" t="s">
        <v>9193</v>
      </c>
      <c r="H2458" t="str">
        <f>"cogc-6"</f>
        <v>cogc-6</v>
      </c>
      <c r="I2458" t="s">
        <v>9195</v>
      </c>
      <c r="J2458">
        <v>10.9785201391502</v>
      </c>
      <c r="K2458" t="s">
        <v>29</v>
      </c>
      <c r="L2458" t="s">
        <v>29</v>
      </c>
      <c r="M2458">
        <v>12.535910013713</v>
      </c>
      <c r="N2458">
        <v>13.3406898320899</v>
      </c>
      <c r="O2458">
        <v>12.144617390414799</v>
      </c>
      <c r="P2458">
        <v>1.69521893958908</v>
      </c>
      <c r="Q2458">
        <v>0.49904916738511701</v>
      </c>
      <c r="R2458">
        <v>2.8913887117930499</v>
      </c>
      <c r="S2458">
        <v>11.6811256378989</v>
      </c>
      <c r="T2458">
        <v>3.0417594448696899</v>
      </c>
      <c r="U2458">
        <v>-2.9802984553943501</v>
      </c>
      <c r="V2458">
        <v>8.8558877417241992E-3</v>
      </c>
      <c r="W2458">
        <v>8.0494577406621595E-2</v>
      </c>
      <c r="X2458">
        <v>1</v>
      </c>
      <c r="Y2458">
        <v>0</v>
      </c>
    </row>
    <row r="2459" spans="1:25" x14ac:dyDescent="0.2">
      <c r="A2459" t="s">
        <v>9196</v>
      </c>
      <c r="B2459" t="s">
        <v>9197</v>
      </c>
      <c r="C2459" t="s">
        <v>14494</v>
      </c>
      <c r="D2459" t="s">
        <v>9198</v>
      </c>
      <c r="E2459" t="s">
        <v>9197</v>
      </c>
      <c r="F2459" t="s">
        <v>28</v>
      </c>
      <c r="G2459" t="s">
        <v>9197</v>
      </c>
      <c r="H2459" t="str">
        <f>"K07C5.3"</f>
        <v>K07C5.3</v>
      </c>
      <c r="I2459" t="s">
        <v>9198</v>
      </c>
      <c r="J2459" t="s">
        <v>29</v>
      </c>
      <c r="K2459">
        <v>11.083233579298099</v>
      </c>
      <c r="L2459" t="s">
        <v>29</v>
      </c>
      <c r="M2459" t="s">
        <v>29</v>
      </c>
      <c r="N2459" t="s">
        <v>29</v>
      </c>
      <c r="O2459" t="s">
        <v>29</v>
      </c>
      <c r="P2459" t="s">
        <v>29</v>
      </c>
      <c r="Q2459" t="s">
        <v>29</v>
      </c>
      <c r="R2459" t="s">
        <v>29</v>
      </c>
      <c r="S2459">
        <v>12.317302723824801</v>
      </c>
      <c r="T2459" t="s">
        <v>29</v>
      </c>
      <c r="U2459" t="s">
        <v>29</v>
      </c>
      <c r="V2459" t="s">
        <v>29</v>
      </c>
      <c r="W2459" t="s">
        <v>29</v>
      </c>
      <c r="X2459" t="s">
        <v>29</v>
      </c>
      <c r="Y2459" t="s">
        <v>29</v>
      </c>
    </row>
    <row r="2460" spans="1:25" x14ac:dyDescent="0.2">
      <c r="A2460" t="s">
        <v>9199</v>
      </c>
      <c r="B2460" t="s">
        <v>9200</v>
      </c>
      <c r="C2460" t="s">
        <v>9201</v>
      </c>
      <c r="D2460" t="s">
        <v>9202</v>
      </c>
      <c r="E2460" t="s">
        <v>9200</v>
      </c>
      <c r="F2460" t="s">
        <v>28</v>
      </c>
      <c r="G2460" t="s">
        <v>9200</v>
      </c>
      <c r="H2460" t="str">
        <f>"nol-56"</f>
        <v>nol-56</v>
      </c>
      <c r="I2460" t="s">
        <v>9202</v>
      </c>
      <c r="J2460">
        <v>18.5224575353907</v>
      </c>
      <c r="K2460">
        <v>18.417494974097401</v>
      </c>
      <c r="L2460">
        <v>18.5979210505803</v>
      </c>
      <c r="M2460">
        <v>18.368062826327598</v>
      </c>
      <c r="N2460">
        <v>18.611184680095</v>
      </c>
      <c r="O2460">
        <v>18.511923046914799</v>
      </c>
      <c r="P2460">
        <v>-1.5567668910350101E-2</v>
      </c>
      <c r="Q2460">
        <v>-0.55428565207162594</v>
      </c>
      <c r="R2460">
        <v>0.52315031425092595</v>
      </c>
      <c r="S2460">
        <v>18.294880401976599</v>
      </c>
      <c r="T2460">
        <v>-6.0737180363282697E-2</v>
      </c>
      <c r="U2460">
        <v>-7.0501533694173499</v>
      </c>
      <c r="V2460">
        <v>0.952241712428054</v>
      </c>
      <c r="W2460">
        <v>0.97752358457809096</v>
      </c>
      <c r="X2460">
        <v>0</v>
      </c>
      <c r="Y2460">
        <v>0</v>
      </c>
    </row>
    <row r="2461" spans="1:25" x14ac:dyDescent="0.2">
      <c r="A2461" t="s">
        <v>9203</v>
      </c>
      <c r="B2461" t="s">
        <v>9204</v>
      </c>
      <c r="C2461" t="s">
        <v>9205</v>
      </c>
      <c r="D2461" t="s">
        <v>9206</v>
      </c>
      <c r="E2461" t="s">
        <v>9204</v>
      </c>
      <c r="F2461" t="s">
        <v>28</v>
      </c>
      <c r="G2461" t="s">
        <v>9204</v>
      </c>
      <c r="H2461" t="str">
        <f>"K07C5.6"</f>
        <v>K07C5.6</v>
      </c>
      <c r="I2461" t="s">
        <v>9206</v>
      </c>
      <c r="J2461">
        <v>12.104606004655601</v>
      </c>
      <c r="K2461">
        <v>12.386099731618399</v>
      </c>
      <c r="L2461">
        <v>12.647213024991499</v>
      </c>
      <c r="M2461">
        <v>13.4071335904466</v>
      </c>
      <c r="N2461">
        <v>11.3723358287981</v>
      </c>
      <c r="O2461">
        <v>12.6766559129704</v>
      </c>
      <c r="P2461">
        <v>0.106068856983235</v>
      </c>
      <c r="Q2461">
        <v>-0.74941038274423699</v>
      </c>
      <c r="R2461">
        <v>0.96154809671070696</v>
      </c>
      <c r="S2461">
        <v>13.055070683923301</v>
      </c>
      <c r="T2461">
        <v>0.262983162612351</v>
      </c>
      <c r="U2461">
        <v>-7.0156804916206399</v>
      </c>
      <c r="V2461">
        <v>0.79594193057181395</v>
      </c>
      <c r="W2461">
        <v>0.91517844850619501</v>
      </c>
      <c r="X2461">
        <v>0</v>
      </c>
      <c r="Y2461">
        <v>0</v>
      </c>
    </row>
    <row r="2462" spans="1:25" x14ac:dyDescent="0.2">
      <c r="A2462" t="s">
        <v>9207</v>
      </c>
      <c r="B2462" t="s">
        <v>9208</v>
      </c>
      <c r="C2462" t="s">
        <v>9209</v>
      </c>
      <c r="D2462" t="s">
        <v>9210</v>
      </c>
      <c r="E2462" t="s">
        <v>9208</v>
      </c>
      <c r="F2462" t="s">
        <v>28</v>
      </c>
      <c r="G2462" t="s">
        <v>9208</v>
      </c>
      <c r="H2462" t="str">
        <f>"mup-4"</f>
        <v>mup-4</v>
      </c>
      <c r="I2462" t="s">
        <v>9210</v>
      </c>
      <c r="J2462">
        <v>12.903329338878001</v>
      </c>
      <c r="K2462">
        <v>12.419992373610899</v>
      </c>
      <c r="L2462">
        <v>13.1414070870796</v>
      </c>
      <c r="M2462">
        <v>13.628604893235501</v>
      </c>
      <c r="N2462">
        <v>13.7492355992658</v>
      </c>
      <c r="O2462">
        <v>13.8916062012386</v>
      </c>
      <c r="P2462">
        <v>0.93490596472384402</v>
      </c>
      <c r="Q2462">
        <v>0.338405141572859</v>
      </c>
      <c r="R2462">
        <v>1.5314067878748301</v>
      </c>
      <c r="S2462">
        <v>13.2024789707966</v>
      </c>
      <c r="T2462">
        <v>3.2941957035864302</v>
      </c>
      <c r="U2462">
        <v>-2.6159234859743101</v>
      </c>
      <c r="V2462">
        <v>4.0572874862106999E-3</v>
      </c>
      <c r="W2462">
        <v>4.6914041247872101E-2</v>
      </c>
      <c r="X2462">
        <v>0</v>
      </c>
      <c r="Y2462">
        <v>0</v>
      </c>
    </row>
    <row r="2463" spans="1:25" x14ac:dyDescent="0.2">
      <c r="A2463" t="s">
        <v>9211</v>
      </c>
      <c r="B2463" t="s">
        <v>9212</v>
      </c>
      <c r="C2463" t="s">
        <v>14178</v>
      </c>
      <c r="D2463" t="s">
        <v>9213</v>
      </c>
      <c r="E2463" t="s">
        <v>9212</v>
      </c>
      <c r="F2463" t="s">
        <v>28</v>
      </c>
      <c r="G2463" t="s">
        <v>9212</v>
      </c>
      <c r="H2463" t="str">
        <f>"K07E3.4"</f>
        <v>K07E3.4</v>
      </c>
      <c r="I2463" t="s">
        <v>9213</v>
      </c>
      <c r="J2463">
        <v>11.489625096168201</v>
      </c>
      <c r="K2463">
        <v>11.257303900766599</v>
      </c>
      <c r="L2463">
        <v>11.596108234036</v>
      </c>
      <c r="M2463">
        <v>14.006645664278899</v>
      </c>
      <c r="N2463">
        <v>14.1940277285241</v>
      </c>
      <c r="O2463">
        <v>14.414380871466101</v>
      </c>
      <c r="P2463">
        <v>2.7573390110994702</v>
      </c>
      <c r="Q2463">
        <v>2.2319565360920501</v>
      </c>
      <c r="R2463">
        <v>3.2827214861068899</v>
      </c>
      <c r="S2463">
        <v>12.9303117910381</v>
      </c>
      <c r="T2463">
        <v>11.0308021824442</v>
      </c>
      <c r="U2463">
        <v>11.893440666678099</v>
      </c>
      <c r="V2463" s="2">
        <v>2.0621378291495501E-9</v>
      </c>
      <c r="W2463" s="2">
        <v>4.4734643307017501E-7</v>
      </c>
      <c r="X2463">
        <v>1</v>
      </c>
      <c r="Y2463">
        <v>1</v>
      </c>
    </row>
    <row r="2464" spans="1:25" x14ac:dyDescent="0.2">
      <c r="A2464" t="s">
        <v>9214</v>
      </c>
      <c r="B2464" t="s">
        <v>9215</v>
      </c>
      <c r="C2464" t="s">
        <v>9216</v>
      </c>
      <c r="D2464" t="s">
        <v>9217</v>
      </c>
      <c r="E2464" t="s">
        <v>9215</v>
      </c>
      <c r="F2464" t="s">
        <v>28</v>
      </c>
      <c r="G2464" t="s">
        <v>9215</v>
      </c>
      <c r="H2464" t="str">
        <f>"dao-3"</f>
        <v>dao-3</v>
      </c>
      <c r="I2464" t="s">
        <v>9217</v>
      </c>
      <c r="J2464">
        <v>15.272953282075299</v>
      </c>
      <c r="K2464">
        <v>14.881193324149001</v>
      </c>
      <c r="L2464">
        <v>14.8861421768668</v>
      </c>
      <c r="M2464">
        <v>15.1960634258716</v>
      </c>
      <c r="N2464">
        <v>15.050967813769899</v>
      </c>
      <c r="O2464">
        <v>14.945235726141499</v>
      </c>
      <c r="P2464">
        <v>5.0659394230644098E-2</v>
      </c>
      <c r="Q2464">
        <v>-0.37029696059876499</v>
      </c>
      <c r="R2464">
        <v>0.47161574906005299</v>
      </c>
      <c r="S2464">
        <v>14.7034776188745</v>
      </c>
      <c r="T2464">
        <v>0.25293878925687102</v>
      </c>
      <c r="U2464">
        <v>-7.0186181102176999</v>
      </c>
      <c r="V2464">
        <v>0.80319828320582498</v>
      </c>
      <c r="W2464">
        <v>0.91705516264973796</v>
      </c>
      <c r="X2464">
        <v>0</v>
      </c>
      <c r="Y2464">
        <v>0</v>
      </c>
    </row>
    <row r="2465" spans="1:25" x14ac:dyDescent="0.2">
      <c r="A2465" t="s">
        <v>9218</v>
      </c>
      <c r="B2465" t="s">
        <v>9219</v>
      </c>
      <c r="C2465" t="s">
        <v>9220</v>
      </c>
      <c r="D2465" t="s">
        <v>9221</v>
      </c>
      <c r="E2465" t="s">
        <v>9219</v>
      </c>
      <c r="F2465" t="s">
        <v>28</v>
      </c>
      <c r="G2465" t="s">
        <v>9219</v>
      </c>
      <c r="H2465" t="str">
        <f>"catp-5"</f>
        <v>catp-5</v>
      </c>
      <c r="I2465" t="s">
        <v>9221</v>
      </c>
      <c r="J2465" t="s">
        <v>29</v>
      </c>
      <c r="K2465" t="s">
        <v>29</v>
      </c>
      <c r="L2465" t="s">
        <v>29</v>
      </c>
      <c r="M2465" t="s">
        <v>29</v>
      </c>
      <c r="N2465" t="s">
        <v>29</v>
      </c>
      <c r="O2465" t="s">
        <v>29</v>
      </c>
      <c r="P2465" t="s">
        <v>29</v>
      </c>
      <c r="Q2465" t="s">
        <v>29</v>
      </c>
      <c r="R2465" t="s">
        <v>29</v>
      </c>
      <c r="S2465">
        <v>10.989799007241899</v>
      </c>
      <c r="T2465" t="s">
        <v>29</v>
      </c>
      <c r="U2465" t="s">
        <v>29</v>
      </c>
      <c r="V2465" t="s">
        <v>29</v>
      </c>
      <c r="W2465" t="s">
        <v>29</v>
      </c>
      <c r="X2465" t="s">
        <v>29</v>
      </c>
      <c r="Y2465" t="s">
        <v>29</v>
      </c>
    </row>
    <row r="2466" spans="1:25" x14ac:dyDescent="0.2">
      <c r="A2466" t="s">
        <v>9222</v>
      </c>
      <c r="B2466" t="s">
        <v>9223</v>
      </c>
      <c r="C2466" t="s">
        <v>14495</v>
      </c>
      <c r="D2466" t="s">
        <v>8101</v>
      </c>
      <c r="E2466" t="s">
        <v>9223</v>
      </c>
      <c r="F2466" t="s">
        <v>28</v>
      </c>
      <c r="G2466" t="s">
        <v>9223</v>
      </c>
      <c r="H2466" t="str">
        <f>"K07E3.2"</f>
        <v>K07E3.2</v>
      </c>
      <c r="I2466" t="s">
        <v>8101</v>
      </c>
      <c r="J2466" t="s">
        <v>29</v>
      </c>
      <c r="K2466" t="s">
        <v>29</v>
      </c>
      <c r="L2466">
        <v>12.939247707777</v>
      </c>
      <c r="M2466">
        <v>14.138292337860801</v>
      </c>
      <c r="N2466" t="s">
        <v>29</v>
      </c>
      <c r="O2466">
        <v>12.2480563349886</v>
      </c>
      <c r="P2466">
        <v>0.253926628647692</v>
      </c>
      <c r="Q2466">
        <v>-1.1618993785076801</v>
      </c>
      <c r="R2466">
        <v>1.6697526358030701</v>
      </c>
      <c r="S2466">
        <v>13.1947724828253</v>
      </c>
      <c r="T2466">
        <v>0.39520829771760302</v>
      </c>
      <c r="U2466">
        <v>-6.56792860184476</v>
      </c>
      <c r="V2466">
        <v>0.70031698535711395</v>
      </c>
      <c r="W2466">
        <v>0.86634680914856199</v>
      </c>
      <c r="X2466">
        <v>0</v>
      </c>
      <c r="Y2466">
        <v>0</v>
      </c>
    </row>
    <row r="2467" spans="1:25" x14ac:dyDescent="0.2">
      <c r="A2467" t="s">
        <v>9224</v>
      </c>
      <c r="B2467" t="s">
        <v>9225</v>
      </c>
      <c r="C2467" t="s">
        <v>14496</v>
      </c>
      <c r="D2467" t="s">
        <v>115</v>
      </c>
      <c r="E2467" t="s">
        <v>9225</v>
      </c>
      <c r="F2467" t="s">
        <v>28</v>
      </c>
      <c r="G2467" t="s">
        <v>9225</v>
      </c>
      <c r="H2467" t="str">
        <f>"K07E3.1"</f>
        <v>K07E3.1</v>
      </c>
      <c r="I2467" t="s">
        <v>115</v>
      </c>
      <c r="J2467">
        <v>10.026678517033</v>
      </c>
      <c r="K2467">
        <v>13.352472469918499</v>
      </c>
      <c r="L2467">
        <v>11.7865907121503</v>
      </c>
      <c r="M2467">
        <v>10.279377997984501</v>
      </c>
      <c r="N2467">
        <v>11.076522159081801</v>
      </c>
      <c r="O2467" t="s">
        <v>29</v>
      </c>
      <c r="P2467">
        <v>-1.04396382116747</v>
      </c>
      <c r="Q2467">
        <v>-2.5372411016230898</v>
      </c>
      <c r="R2467">
        <v>0.44931345928814997</v>
      </c>
      <c r="S2467">
        <v>11.5654464977028</v>
      </c>
      <c r="T2467">
        <v>-1.51158382224053</v>
      </c>
      <c r="U2467">
        <v>-5.8193453288182901</v>
      </c>
      <c r="V2467">
        <v>0.154753248278723</v>
      </c>
      <c r="W2467">
        <v>0.40675853788284799</v>
      </c>
      <c r="X2467">
        <v>0</v>
      </c>
      <c r="Y2467">
        <v>0</v>
      </c>
    </row>
    <row r="2468" spans="1:25" x14ac:dyDescent="0.2">
      <c r="A2468" t="s">
        <v>9226</v>
      </c>
      <c r="B2468" t="s">
        <v>9227</v>
      </c>
      <c r="C2468" t="s">
        <v>9228</v>
      </c>
      <c r="D2468" t="s">
        <v>9229</v>
      </c>
      <c r="E2468" t="s">
        <v>9227</v>
      </c>
      <c r="F2468" t="s">
        <v>28</v>
      </c>
      <c r="G2468" t="s">
        <v>9227</v>
      </c>
      <c r="H2468" t="str">
        <f>"crml-1"</f>
        <v>crml-1</v>
      </c>
      <c r="I2468" t="s">
        <v>9229</v>
      </c>
      <c r="J2468">
        <v>13.2034578050588</v>
      </c>
      <c r="K2468">
        <v>13.059046387472</v>
      </c>
      <c r="L2468">
        <v>12.776155931813699</v>
      </c>
      <c r="M2468">
        <v>13.483492335184099</v>
      </c>
      <c r="N2468">
        <v>12.9530405688957</v>
      </c>
      <c r="O2468">
        <v>12.837537781880799</v>
      </c>
      <c r="P2468">
        <v>7.8470187205350997E-2</v>
      </c>
      <c r="Q2468">
        <v>-0.37445642502017201</v>
      </c>
      <c r="R2468">
        <v>0.53139679943087403</v>
      </c>
      <c r="S2468">
        <v>12.751585414892901</v>
      </c>
      <c r="T2468">
        <v>0.36570160210484598</v>
      </c>
      <c r="U2468">
        <v>-6.9820586785015202</v>
      </c>
      <c r="V2468">
        <v>0.71912628985127902</v>
      </c>
      <c r="W2468">
        <v>0.87696920983197002</v>
      </c>
      <c r="X2468">
        <v>0</v>
      </c>
      <c r="Y2468">
        <v>0</v>
      </c>
    </row>
    <row r="2469" spans="1:25" x14ac:dyDescent="0.2">
      <c r="A2469" t="s">
        <v>9230</v>
      </c>
      <c r="B2469" t="s">
        <v>9231</v>
      </c>
      <c r="C2469" t="s">
        <v>9232</v>
      </c>
      <c r="D2469" t="s">
        <v>9233</v>
      </c>
      <c r="E2469" t="s">
        <v>9231</v>
      </c>
      <c r="F2469" t="s">
        <v>28</v>
      </c>
      <c r="G2469" t="s">
        <v>9231</v>
      </c>
      <c r="H2469" t="str">
        <f>"xpa-1"</f>
        <v>xpa-1</v>
      </c>
      <c r="I2469" t="s">
        <v>9233</v>
      </c>
      <c r="J2469" t="s">
        <v>29</v>
      </c>
      <c r="K2469" t="s">
        <v>29</v>
      </c>
      <c r="L2469">
        <v>10.214401711978599</v>
      </c>
      <c r="M2469">
        <v>10.4917031686527</v>
      </c>
      <c r="N2469" t="s">
        <v>29</v>
      </c>
      <c r="O2469" t="s">
        <v>29</v>
      </c>
      <c r="P2469">
        <v>0.27730145667409001</v>
      </c>
      <c r="Q2469">
        <v>-0.63835092664677495</v>
      </c>
      <c r="R2469">
        <v>1.19295383999496</v>
      </c>
      <c r="S2469">
        <v>11.2530904571046</v>
      </c>
      <c r="T2469">
        <v>0.66049043592662904</v>
      </c>
      <c r="U2469">
        <v>-6.2829741265318502</v>
      </c>
      <c r="V2469">
        <v>0.52152492916369098</v>
      </c>
      <c r="W2469">
        <v>0.766325374943159</v>
      </c>
      <c r="X2469">
        <v>0</v>
      </c>
      <c r="Y2469">
        <v>0</v>
      </c>
    </row>
    <row r="2470" spans="1:25" x14ac:dyDescent="0.2">
      <c r="A2470" t="s">
        <v>9234</v>
      </c>
      <c r="B2470" t="s">
        <v>9235</v>
      </c>
      <c r="C2470" t="s">
        <v>9236</v>
      </c>
      <c r="D2470" t="s">
        <v>9237</v>
      </c>
      <c r="E2470" t="s">
        <v>9235</v>
      </c>
      <c r="F2470" t="s">
        <v>28</v>
      </c>
      <c r="G2470" t="s">
        <v>9235</v>
      </c>
      <c r="H2470" t="str">
        <f>"mek-1"</f>
        <v>mek-1</v>
      </c>
      <c r="I2470" t="s">
        <v>9237</v>
      </c>
      <c r="J2470">
        <v>14.541289627861801</v>
      </c>
      <c r="K2470">
        <v>14.643160056228799</v>
      </c>
      <c r="L2470">
        <v>14.500920421796099</v>
      </c>
      <c r="M2470">
        <v>14.7766236646984</v>
      </c>
      <c r="N2470">
        <v>14.525116556076901</v>
      </c>
      <c r="O2470">
        <v>14.1880992657193</v>
      </c>
      <c r="P2470">
        <v>-6.5176873130676299E-2</v>
      </c>
      <c r="Q2470">
        <v>-0.45715047458659003</v>
      </c>
      <c r="R2470">
        <v>0.32679672832523698</v>
      </c>
      <c r="S2470">
        <v>14.1836256587716</v>
      </c>
      <c r="T2470">
        <v>-0.34948554299618401</v>
      </c>
      <c r="U2470">
        <v>-6.9882962762043697</v>
      </c>
      <c r="V2470">
        <v>0.73080383576376695</v>
      </c>
      <c r="W2470">
        <v>0.88460317123366805</v>
      </c>
      <c r="X2470">
        <v>0</v>
      </c>
      <c r="Y2470">
        <v>0</v>
      </c>
    </row>
    <row r="2471" spans="1:25" x14ac:dyDescent="0.2">
      <c r="A2471" t="s">
        <v>9238</v>
      </c>
      <c r="B2471" t="s">
        <v>9239</v>
      </c>
      <c r="C2471" t="s">
        <v>14497</v>
      </c>
      <c r="D2471" t="s">
        <v>319</v>
      </c>
      <c r="E2471" t="s">
        <v>9239</v>
      </c>
      <c r="F2471" t="s">
        <v>28</v>
      </c>
      <c r="G2471" t="s">
        <v>9239</v>
      </c>
      <c r="H2471" t="str">
        <f>"K08C7.1"</f>
        <v>K08C7.1</v>
      </c>
      <c r="I2471" t="s">
        <v>319</v>
      </c>
      <c r="J2471" t="s">
        <v>29</v>
      </c>
      <c r="K2471">
        <v>12.6595311833513</v>
      </c>
      <c r="L2471" t="s">
        <v>29</v>
      </c>
      <c r="M2471">
        <v>12.7057395311672</v>
      </c>
      <c r="N2471" t="s">
        <v>29</v>
      </c>
      <c r="O2471" t="s">
        <v>29</v>
      </c>
      <c r="P2471">
        <v>4.6208347815930799E-2</v>
      </c>
      <c r="Q2471">
        <v>-1.0810371232264999</v>
      </c>
      <c r="R2471">
        <v>1.1734538188583601</v>
      </c>
      <c r="S2471">
        <v>12.924172352286799</v>
      </c>
      <c r="T2471">
        <v>9.1467926029286301E-2</v>
      </c>
      <c r="U2471">
        <v>-6.5055664429532198</v>
      </c>
      <c r="V2471">
        <v>0.92894598121901995</v>
      </c>
      <c r="W2471">
        <v>0.97388235134585399</v>
      </c>
      <c r="X2471">
        <v>0</v>
      </c>
      <c r="Y2471">
        <v>0</v>
      </c>
    </row>
    <row r="2472" spans="1:25" x14ac:dyDescent="0.2">
      <c r="A2472" t="s">
        <v>9240</v>
      </c>
      <c r="B2472" t="s">
        <v>9241</v>
      </c>
      <c r="C2472" t="s">
        <v>9242</v>
      </c>
      <c r="D2472" t="s">
        <v>9243</v>
      </c>
      <c r="E2472" t="s">
        <v>9241</v>
      </c>
      <c r="F2472" t="s">
        <v>28</v>
      </c>
      <c r="G2472" t="s">
        <v>9241</v>
      </c>
      <c r="H2472" t="str">
        <f>"epi-1"</f>
        <v>epi-1</v>
      </c>
      <c r="I2472" t="s">
        <v>9243</v>
      </c>
      <c r="J2472">
        <v>12.463780239940601</v>
      </c>
      <c r="K2472">
        <v>13.3093690868754</v>
      </c>
      <c r="L2472">
        <v>13.776759160427201</v>
      </c>
      <c r="M2472">
        <v>13.588551292485301</v>
      </c>
      <c r="N2472">
        <v>13.6635995753921</v>
      </c>
      <c r="O2472">
        <v>13.668323068159999</v>
      </c>
      <c r="P2472">
        <v>0.45685514959803403</v>
      </c>
      <c r="Q2472">
        <v>-0.109816571759124</v>
      </c>
      <c r="R2472">
        <v>1.0235268709551899</v>
      </c>
      <c r="S2472">
        <v>13.259884742518601</v>
      </c>
      <c r="T2472">
        <v>1.69449189996426</v>
      </c>
      <c r="U2472">
        <v>-5.6573266802909696</v>
      </c>
      <c r="V2472">
        <v>0.10750342671612</v>
      </c>
      <c r="W2472">
        <v>0.33831349181262699</v>
      </c>
      <c r="X2472">
        <v>0</v>
      </c>
      <c r="Y2472">
        <v>0</v>
      </c>
    </row>
    <row r="2473" spans="1:25" x14ac:dyDescent="0.2">
      <c r="A2473" t="s">
        <v>9244</v>
      </c>
      <c r="B2473" t="s">
        <v>9245</v>
      </c>
      <c r="C2473" t="s">
        <v>9246</v>
      </c>
      <c r="D2473" t="s">
        <v>93</v>
      </c>
      <c r="E2473" t="s">
        <v>9245</v>
      </c>
      <c r="F2473" t="s">
        <v>28</v>
      </c>
      <c r="G2473" t="s">
        <v>9245</v>
      </c>
      <c r="H2473" t="str">
        <f>"rnp-3"</f>
        <v>rnp-3</v>
      </c>
      <c r="I2473" t="s">
        <v>93</v>
      </c>
      <c r="J2473" t="s">
        <v>29</v>
      </c>
      <c r="K2473" t="s">
        <v>29</v>
      </c>
      <c r="L2473" t="s">
        <v>29</v>
      </c>
      <c r="M2473" t="s">
        <v>29</v>
      </c>
      <c r="N2473" t="s">
        <v>29</v>
      </c>
      <c r="O2473" t="s">
        <v>29</v>
      </c>
      <c r="P2473" t="s">
        <v>29</v>
      </c>
      <c r="Q2473" t="s">
        <v>29</v>
      </c>
      <c r="R2473" t="s">
        <v>29</v>
      </c>
      <c r="S2473">
        <v>12.2904765659693</v>
      </c>
      <c r="T2473" t="s">
        <v>29</v>
      </c>
      <c r="U2473" t="s">
        <v>29</v>
      </c>
      <c r="V2473" t="s">
        <v>29</v>
      </c>
      <c r="W2473" t="s">
        <v>29</v>
      </c>
      <c r="X2473" t="s">
        <v>29</v>
      </c>
      <c r="Y2473" t="s">
        <v>29</v>
      </c>
    </row>
    <row r="2474" spans="1:25" x14ac:dyDescent="0.2">
      <c r="A2474" t="s">
        <v>9247</v>
      </c>
      <c r="B2474" t="s">
        <v>9248</v>
      </c>
      <c r="C2474" t="s">
        <v>9249</v>
      </c>
      <c r="D2474" t="s">
        <v>9250</v>
      </c>
      <c r="E2474" t="s">
        <v>9248</v>
      </c>
      <c r="F2474" t="s">
        <v>28</v>
      </c>
      <c r="G2474" t="s">
        <v>9248</v>
      </c>
      <c r="H2474" t="str">
        <f>"spt-5"</f>
        <v>spt-5</v>
      </c>
      <c r="I2474" t="s">
        <v>9250</v>
      </c>
      <c r="J2474">
        <v>14.447082361066601</v>
      </c>
      <c r="K2474">
        <v>14.615341096892401</v>
      </c>
      <c r="L2474">
        <v>14.4928001354772</v>
      </c>
      <c r="M2474">
        <v>14.570979314749099</v>
      </c>
      <c r="N2474">
        <v>14.452227872165199</v>
      </c>
      <c r="O2474">
        <v>14.438306377389299</v>
      </c>
      <c r="P2474">
        <v>-3.1236676377499599E-2</v>
      </c>
      <c r="Q2474">
        <v>-0.46163660159109199</v>
      </c>
      <c r="R2474">
        <v>0.399163248836093</v>
      </c>
      <c r="S2474">
        <v>14.5728818970235</v>
      </c>
      <c r="T2474">
        <v>-0.15254049246054299</v>
      </c>
      <c r="U2474">
        <v>-7.0399001919418502</v>
      </c>
      <c r="V2474">
        <v>0.880467401879517</v>
      </c>
      <c r="W2474">
        <v>0.95657638191348704</v>
      </c>
      <c r="X2474">
        <v>0</v>
      </c>
      <c r="Y2474">
        <v>0</v>
      </c>
    </row>
    <row r="2475" spans="1:25" x14ac:dyDescent="0.2">
      <c r="A2475" t="s">
        <v>9251</v>
      </c>
      <c r="B2475" t="s">
        <v>9252</v>
      </c>
      <c r="C2475" t="s">
        <v>9253</v>
      </c>
      <c r="D2475" t="s">
        <v>9254</v>
      </c>
      <c r="E2475" t="s">
        <v>9252</v>
      </c>
      <c r="F2475" t="s">
        <v>28</v>
      </c>
      <c r="G2475" t="s">
        <v>9252</v>
      </c>
      <c r="H2475" t="str">
        <f>"let-99"</f>
        <v>let-99</v>
      </c>
      <c r="I2475" t="s">
        <v>9254</v>
      </c>
      <c r="J2475" t="s">
        <v>29</v>
      </c>
      <c r="K2475" t="s">
        <v>29</v>
      </c>
      <c r="L2475" t="s">
        <v>29</v>
      </c>
      <c r="M2475" t="s">
        <v>29</v>
      </c>
      <c r="N2475" t="s">
        <v>29</v>
      </c>
      <c r="O2475" t="s">
        <v>29</v>
      </c>
      <c r="P2475" t="s">
        <v>29</v>
      </c>
      <c r="Q2475" t="s">
        <v>29</v>
      </c>
      <c r="R2475" t="s">
        <v>29</v>
      </c>
      <c r="S2475">
        <v>11.3712057110898</v>
      </c>
      <c r="T2475" t="s">
        <v>29</v>
      </c>
      <c r="U2475" t="s">
        <v>29</v>
      </c>
      <c r="V2475" t="s">
        <v>29</v>
      </c>
      <c r="W2475" t="s">
        <v>29</v>
      </c>
      <c r="X2475" t="s">
        <v>29</v>
      </c>
      <c r="Y2475" t="s">
        <v>29</v>
      </c>
    </row>
    <row r="2476" spans="1:25" x14ac:dyDescent="0.2">
      <c r="A2476" t="s">
        <v>9255</v>
      </c>
      <c r="B2476" t="s">
        <v>9256</v>
      </c>
      <c r="C2476" t="s">
        <v>9257</v>
      </c>
      <c r="D2476" t="s">
        <v>9258</v>
      </c>
      <c r="E2476" t="s">
        <v>9256</v>
      </c>
      <c r="F2476" t="s">
        <v>28</v>
      </c>
      <c r="G2476" t="s">
        <v>9256</v>
      </c>
      <c r="H2476" t="str">
        <f>"eak-7"</f>
        <v>eak-7</v>
      </c>
      <c r="I2476" t="s">
        <v>9258</v>
      </c>
      <c r="J2476" t="s">
        <v>29</v>
      </c>
      <c r="K2476" t="s">
        <v>29</v>
      </c>
      <c r="L2476">
        <v>11.6549161721115</v>
      </c>
      <c r="M2476" t="s">
        <v>29</v>
      </c>
      <c r="N2476">
        <v>12.9655680965305</v>
      </c>
      <c r="O2476" t="s">
        <v>29</v>
      </c>
      <c r="P2476">
        <v>1.31065192441904</v>
      </c>
      <c r="Q2476">
        <v>-7.7102796853405504E-3</v>
      </c>
      <c r="R2476">
        <v>2.6290141285234201</v>
      </c>
      <c r="S2476">
        <v>12.045269883994701</v>
      </c>
      <c r="T2476">
        <v>2.25297789596417</v>
      </c>
      <c r="U2476">
        <v>-4.33725394800289</v>
      </c>
      <c r="V2476">
        <v>5.1089963877319601E-2</v>
      </c>
      <c r="W2476">
        <v>0.22434019978251299</v>
      </c>
      <c r="X2476">
        <v>1</v>
      </c>
      <c r="Y2476">
        <v>0</v>
      </c>
    </row>
    <row r="2477" spans="1:25" x14ac:dyDescent="0.2">
      <c r="A2477" t="s">
        <v>9259</v>
      </c>
      <c r="B2477" t="s">
        <v>9260</v>
      </c>
      <c r="C2477" t="s">
        <v>9261</v>
      </c>
      <c r="D2477" t="s">
        <v>9262</v>
      </c>
      <c r="E2477" t="s">
        <v>9260</v>
      </c>
      <c r="F2477" t="s">
        <v>28</v>
      </c>
      <c r="G2477" t="s">
        <v>9260</v>
      </c>
      <c r="H2477" t="str">
        <f>"cul-6"</f>
        <v>cul-6</v>
      </c>
      <c r="I2477" t="s">
        <v>9262</v>
      </c>
      <c r="J2477">
        <v>9.9566377093243101</v>
      </c>
      <c r="K2477" t="s">
        <v>29</v>
      </c>
      <c r="L2477" t="s">
        <v>29</v>
      </c>
      <c r="M2477">
        <v>9.5220147131453796</v>
      </c>
      <c r="N2477" t="s">
        <v>29</v>
      </c>
      <c r="O2477" t="s">
        <v>29</v>
      </c>
      <c r="P2477">
        <v>-0.43462299617893102</v>
      </c>
      <c r="Q2477">
        <v>-1.43968821009653</v>
      </c>
      <c r="R2477">
        <v>0.57044221773866699</v>
      </c>
      <c r="S2477">
        <v>9.9577191886599792</v>
      </c>
      <c r="T2477">
        <v>-1.0627070038797299</v>
      </c>
      <c r="U2477">
        <v>-5.9201113337458198</v>
      </c>
      <c r="V2477">
        <v>0.32949748868163697</v>
      </c>
      <c r="W2477">
        <v>0.60946183775592999</v>
      </c>
      <c r="X2477">
        <v>0</v>
      </c>
      <c r="Y2477">
        <v>0</v>
      </c>
    </row>
    <row r="2478" spans="1:25" x14ac:dyDescent="0.2">
      <c r="A2478" t="s">
        <v>9263</v>
      </c>
      <c r="B2478" t="s">
        <v>9264</v>
      </c>
      <c r="C2478" t="s">
        <v>9265</v>
      </c>
      <c r="D2478" t="s">
        <v>9266</v>
      </c>
      <c r="E2478" t="s">
        <v>9264</v>
      </c>
      <c r="F2478" t="s">
        <v>28</v>
      </c>
      <c r="G2478" t="s">
        <v>9264</v>
      </c>
      <c r="H2478" t="str">
        <f>"gtbp-1"</f>
        <v>gtbp-1</v>
      </c>
      <c r="I2478" t="s">
        <v>9266</v>
      </c>
      <c r="J2478">
        <v>15.1804963247587</v>
      </c>
      <c r="K2478">
        <v>15.3751580753529</v>
      </c>
      <c r="L2478">
        <v>15.666884829892799</v>
      </c>
      <c r="M2478">
        <v>15.311303109015199</v>
      </c>
      <c r="N2478">
        <v>15.6540012072564</v>
      </c>
      <c r="O2478">
        <v>15.867858740573499</v>
      </c>
      <c r="P2478">
        <v>0.20354127561353</v>
      </c>
      <c r="Q2478">
        <v>-0.48094838902362902</v>
      </c>
      <c r="R2478">
        <v>0.88803094025068796</v>
      </c>
      <c r="S2478">
        <v>15.0832074345472</v>
      </c>
      <c r="T2478">
        <v>0.62499725534898098</v>
      </c>
      <c r="U2478">
        <v>-6.8495942932068301</v>
      </c>
      <c r="V2478">
        <v>0.53986137235028397</v>
      </c>
      <c r="W2478">
        <v>0.77501266500839605</v>
      </c>
      <c r="X2478">
        <v>0</v>
      </c>
      <c r="Y2478">
        <v>0</v>
      </c>
    </row>
    <row r="2479" spans="1:25" x14ac:dyDescent="0.2">
      <c r="A2479" t="s">
        <v>9267</v>
      </c>
      <c r="B2479" t="s">
        <v>9268</v>
      </c>
      <c r="C2479" t="s">
        <v>14498</v>
      </c>
      <c r="D2479" t="s">
        <v>9269</v>
      </c>
      <c r="E2479" t="s">
        <v>9268</v>
      </c>
      <c r="F2479" t="s">
        <v>28</v>
      </c>
      <c r="G2479" t="s">
        <v>9268</v>
      </c>
      <c r="H2479" t="str">
        <f>"K08F4.3"</f>
        <v>K08F4.3</v>
      </c>
      <c r="I2479" t="s">
        <v>9269</v>
      </c>
      <c r="J2479">
        <v>13.517377122648799</v>
      </c>
      <c r="K2479">
        <v>13.075298516293801</v>
      </c>
      <c r="L2479">
        <v>14.108529020261299</v>
      </c>
      <c r="M2479">
        <v>13.651898857930799</v>
      </c>
      <c r="N2479">
        <v>14.1350309082775</v>
      </c>
      <c r="O2479">
        <v>13.642878578083099</v>
      </c>
      <c r="P2479">
        <v>0.242867895029168</v>
      </c>
      <c r="Q2479">
        <v>-0.38806887473561402</v>
      </c>
      <c r="R2479">
        <v>0.87380466479394903</v>
      </c>
      <c r="S2479">
        <v>13.8321143619259</v>
      </c>
      <c r="T2479">
        <v>0.81645790934687401</v>
      </c>
      <c r="U2479">
        <v>-6.7076442901958</v>
      </c>
      <c r="V2479">
        <v>0.42630586221079197</v>
      </c>
      <c r="W2479">
        <v>0.69633750496314994</v>
      </c>
      <c r="X2479">
        <v>0</v>
      </c>
      <c r="Y2479">
        <v>0</v>
      </c>
    </row>
    <row r="2480" spans="1:25" x14ac:dyDescent="0.2">
      <c r="A2480" t="s">
        <v>9270</v>
      </c>
      <c r="B2480" t="s">
        <v>9271</v>
      </c>
      <c r="C2480" t="s">
        <v>14499</v>
      </c>
      <c r="D2480" t="s">
        <v>107</v>
      </c>
      <c r="E2480" t="s">
        <v>9271</v>
      </c>
      <c r="F2480" t="s">
        <v>28</v>
      </c>
      <c r="G2480" t="s">
        <v>9271</v>
      </c>
      <c r="H2480" t="str">
        <f>"K09C4.5"</f>
        <v>K09C4.5</v>
      </c>
      <c r="I2480" t="s">
        <v>107</v>
      </c>
      <c r="J2480">
        <v>12.552069962303401</v>
      </c>
      <c r="K2480">
        <v>12.4964347783009</v>
      </c>
      <c r="L2480">
        <v>12.2516846274999</v>
      </c>
      <c r="M2480">
        <v>12.5838809572735</v>
      </c>
      <c r="N2480">
        <v>13.250187055344</v>
      </c>
      <c r="O2480">
        <v>12.581054187007</v>
      </c>
      <c r="P2480">
        <v>0.371644277173452</v>
      </c>
      <c r="Q2480">
        <v>-0.184479335813026</v>
      </c>
      <c r="R2480">
        <v>0.92776789015993</v>
      </c>
      <c r="S2480">
        <v>12.4863327803498</v>
      </c>
      <c r="T2480">
        <v>1.41744313163392</v>
      </c>
      <c r="U2480">
        <v>-6.0544379160013904</v>
      </c>
      <c r="V2480">
        <v>0.175657636172869</v>
      </c>
      <c r="W2480">
        <v>0.43632820466146099</v>
      </c>
      <c r="X2480">
        <v>0</v>
      </c>
      <c r="Y2480">
        <v>0</v>
      </c>
    </row>
    <row r="2481" spans="1:25" x14ac:dyDescent="0.2">
      <c r="A2481" t="s">
        <v>9272</v>
      </c>
      <c r="B2481" t="s">
        <v>9273</v>
      </c>
      <c r="C2481" t="s">
        <v>9274</v>
      </c>
      <c r="D2481" t="s">
        <v>9275</v>
      </c>
      <c r="E2481" t="s">
        <v>9273</v>
      </c>
      <c r="F2481" t="s">
        <v>28</v>
      </c>
      <c r="G2481" t="s">
        <v>9273</v>
      </c>
      <c r="H2481" t="str">
        <f>"gpcp-1"</f>
        <v>gpcp-1</v>
      </c>
      <c r="I2481" t="s">
        <v>9275</v>
      </c>
      <c r="J2481">
        <v>11.965706017983299</v>
      </c>
      <c r="K2481">
        <v>12.068131270966999</v>
      </c>
      <c r="L2481">
        <v>12.329205139358301</v>
      </c>
      <c r="M2481">
        <v>11.772788997730199</v>
      </c>
      <c r="N2481">
        <v>12.576002646445</v>
      </c>
      <c r="O2481">
        <v>11.9245674183597</v>
      </c>
      <c r="P2481">
        <v>-2.9894455257931399E-2</v>
      </c>
      <c r="Q2481">
        <v>-0.69804000922438103</v>
      </c>
      <c r="R2481">
        <v>0.63825109870851804</v>
      </c>
      <c r="S2481">
        <v>11.7858114493408</v>
      </c>
      <c r="T2481">
        <v>-9.4900629018088101E-2</v>
      </c>
      <c r="U2481">
        <v>-7.04733658244007</v>
      </c>
      <c r="V2481">
        <v>0.92557983127838095</v>
      </c>
      <c r="W2481">
        <v>0.97369392663454402</v>
      </c>
      <c r="X2481">
        <v>0</v>
      </c>
      <c r="Y2481">
        <v>0</v>
      </c>
    </row>
    <row r="2482" spans="1:25" x14ac:dyDescent="0.2">
      <c r="A2482" t="s">
        <v>9276</v>
      </c>
      <c r="B2482" t="s">
        <v>9277</v>
      </c>
      <c r="C2482" t="s">
        <v>9278</v>
      </c>
      <c r="D2482" t="s">
        <v>9279</v>
      </c>
      <c r="E2482" t="s">
        <v>9277</v>
      </c>
      <c r="F2482" t="s">
        <v>28</v>
      </c>
      <c r="G2482" t="s">
        <v>9277</v>
      </c>
      <c r="H2482" t="str">
        <f>"spc-1"</f>
        <v>spc-1</v>
      </c>
      <c r="I2482" t="s">
        <v>9279</v>
      </c>
      <c r="J2482" t="s">
        <v>29</v>
      </c>
      <c r="K2482" t="s">
        <v>29</v>
      </c>
      <c r="L2482">
        <v>10.7629725379456</v>
      </c>
      <c r="M2482">
        <v>11.909773898339701</v>
      </c>
      <c r="N2482">
        <v>11.5241324008327</v>
      </c>
      <c r="O2482">
        <v>11.9312681483374</v>
      </c>
      <c r="P2482">
        <v>1.02541894455767</v>
      </c>
      <c r="Q2482">
        <v>0.10333156762151199</v>
      </c>
      <c r="R2482">
        <v>1.94750632149383</v>
      </c>
      <c r="S2482">
        <v>10.793141776840599</v>
      </c>
      <c r="T2482">
        <v>2.404454174559</v>
      </c>
      <c r="U2482">
        <v>-4.1809368741235797</v>
      </c>
      <c r="V2482">
        <v>3.1957401616348698E-2</v>
      </c>
      <c r="W2482">
        <v>0.17625319467728601</v>
      </c>
      <c r="X2482">
        <v>1</v>
      </c>
      <c r="Y2482">
        <v>0</v>
      </c>
    </row>
    <row r="2483" spans="1:25" x14ac:dyDescent="0.2">
      <c r="A2483" t="s">
        <v>9280</v>
      </c>
      <c r="B2483" t="s">
        <v>9281</v>
      </c>
      <c r="C2483" t="s">
        <v>9282</v>
      </c>
      <c r="D2483" t="s">
        <v>828</v>
      </c>
      <c r="E2483" t="s">
        <v>9281</v>
      </c>
      <c r="F2483" t="s">
        <v>28</v>
      </c>
      <c r="G2483" t="s">
        <v>9281</v>
      </c>
      <c r="H2483" t="str">
        <f>"shc-3"</f>
        <v>shc-3</v>
      </c>
      <c r="I2483" t="s">
        <v>828</v>
      </c>
      <c r="J2483">
        <v>12.0836762729543</v>
      </c>
      <c r="K2483" t="s">
        <v>29</v>
      </c>
      <c r="L2483">
        <v>11.4895531241438</v>
      </c>
      <c r="M2483" t="s">
        <v>29</v>
      </c>
      <c r="N2483" t="s">
        <v>29</v>
      </c>
      <c r="O2483">
        <v>11.7415328210833</v>
      </c>
      <c r="P2483">
        <v>-4.5081877465714001E-2</v>
      </c>
      <c r="Q2483">
        <v>-1.0602145560309399</v>
      </c>
      <c r="R2483">
        <v>0.97005080109951103</v>
      </c>
      <c r="S2483">
        <v>12.439246743379901</v>
      </c>
      <c r="T2483">
        <v>-9.7860375757501797E-2</v>
      </c>
      <c r="U2483">
        <v>-6.6460501818557498</v>
      </c>
      <c r="V2483">
        <v>0.92382028870180499</v>
      </c>
      <c r="W2483">
        <v>0.97316646792996897</v>
      </c>
      <c r="X2483">
        <v>0</v>
      </c>
      <c r="Y2483">
        <v>0</v>
      </c>
    </row>
    <row r="2484" spans="1:25" x14ac:dyDescent="0.2">
      <c r="A2484" t="s">
        <v>9283</v>
      </c>
      <c r="B2484" t="s">
        <v>9284</v>
      </c>
      <c r="C2484" t="s">
        <v>9285</v>
      </c>
      <c r="D2484" t="s">
        <v>338</v>
      </c>
      <c r="E2484" t="s">
        <v>9284</v>
      </c>
      <c r="F2484" t="s">
        <v>28</v>
      </c>
      <c r="G2484" t="s">
        <v>9284</v>
      </c>
      <c r="H2484" t="str">
        <f>"pix-1"</f>
        <v>pix-1</v>
      </c>
      <c r="I2484" t="s">
        <v>338</v>
      </c>
      <c r="J2484">
        <v>12.9474108656635</v>
      </c>
      <c r="K2484">
        <v>13.0187184958437</v>
      </c>
      <c r="L2484">
        <v>12.6647322028789</v>
      </c>
      <c r="M2484">
        <v>13.6580033994814</v>
      </c>
      <c r="N2484">
        <v>13.785451105761</v>
      </c>
      <c r="O2484">
        <v>13.410704762362499</v>
      </c>
      <c r="P2484">
        <v>0.74109923440627801</v>
      </c>
      <c r="Q2484">
        <v>0.23242665783205499</v>
      </c>
      <c r="R2484">
        <v>1.2497718109805001</v>
      </c>
      <c r="S2484">
        <v>12.9413812868317</v>
      </c>
      <c r="T2484">
        <v>3.0621788536573602</v>
      </c>
      <c r="U2484">
        <v>-3.1077877730044299</v>
      </c>
      <c r="V2484">
        <v>6.7453744912908103E-3</v>
      </c>
      <c r="W2484">
        <v>6.6919050593476498E-2</v>
      </c>
      <c r="X2484">
        <v>0</v>
      </c>
      <c r="Y2484">
        <v>0</v>
      </c>
    </row>
    <row r="2485" spans="1:25" x14ac:dyDescent="0.2">
      <c r="A2485" t="s">
        <v>9286</v>
      </c>
      <c r="B2485" t="s">
        <v>9287</v>
      </c>
      <c r="C2485" t="s">
        <v>9288</v>
      </c>
      <c r="D2485" t="s">
        <v>9289</v>
      </c>
      <c r="E2485" t="s">
        <v>9287</v>
      </c>
      <c r="F2485" t="s">
        <v>28</v>
      </c>
      <c r="G2485" t="s">
        <v>9287</v>
      </c>
      <c r="H2485" t="str">
        <f>"npp-3"</f>
        <v>npp-3</v>
      </c>
      <c r="I2485" t="s">
        <v>9289</v>
      </c>
      <c r="J2485">
        <v>14.349003331474499</v>
      </c>
      <c r="K2485">
        <v>14.390120620277701</v>
      </c>
      <c r="L2485">
        <v>14.4247918856266</v>
      </c>
      <c r="M2485">
        <v>14.277355980693301</v>
      </c>
      <c r="N2485">
        <v>14.7625179158898</v>
      </c>
      <c r="O2485">
        <v>14.168974164919801</v>
      </c>
      <c r="P2485">
        <v>1.4977408041382E-2</v>
      </c>
      <c r="Q2485">
        <v>-0.37974824025319998</v>
      </c>
      <c r="R2485">
        <v>0.40970305633596399</v>
      </c>
      <c r="S2485">
        <v>14.558583767203601</v>
      </c>
      <c r="T2485">
        <v>7.9750575962942494E-2</v>
      </c>
      <c r="U2485">
        <v>-7.0487539128468297</v>
      </c>
      <c r="V2485">
        <v>0.93732072302486102</v>
      </c>
      <c r="W2485">
        <v>0.97535311084156295</v>
      </c>
      <c r="X2485">
        <v>0</v>
      </c>
      <c r="Y2485">
        <v>0</v>
      </c>
    </row>
    <row r="2486" spans="1:25" x14ac:dyDescent="0.2">
      <c r="A2486" t="s">
        <v>9290</v>
      </c>
      <c r="B2486" t="s">
        <v>9291</v>
      </c>
      <c r="C2486" t="s">
        <v>9292</v>
      </c>
      <c r="D2486" t="s">
        <v>9293</v>
      </c>
      <c r="E2486" t="s">
        <v>9291</v>
      </c>
      <c r="F2486" t="s">
        <v>28</v>
      </c>
      <c r="G2486" t="s">
        <v>9291</v>
      </c>
      <c r="H2486" t="str">
        <f>"lmn-1"</f>
        <v>lmn-1</v>
      </c>
      <c r="I2486" t="s">
        <v>9293</v>
      </c>
      <c r="J2486">
        <v>11.116556631181799</v>
      </c>
      <c r="K2486">
        <v>11.9625778959035</v>
      </c>
      <c r="L2486">
        <v>11.606690078745901</v>
      </c>
      <c r="M2486">
        <v>12.264306506033201</v>
      </c>
      <c r="N2486">
        <v>12.0560097780461</v>
      </c>
      <c r="O2486">
        <v>13.056658462433701</v>
      </c>
      <c r="P2486">
        <v>0.89705004689392398</v>
      </c>
      <c r="Q2486">
        <v>0.285020821330564</v>
      </c>
      <c r="R2486">
        <v>1.5090792724572799</v>
      </c>
      <c r="S2486">
        <v>12.034039215969299</v>
      </c>
      <c r="T2486">
        <v>3.0938163150804399</v>
      </c>
      <c r="U2486">
        <v>-3.0729716687852799</v>
      </c>
      <c r="V2486">
        <v>6.6284319426615796E-3</v>
      </c>
      <c r="W2486">
        <v>6.6168661797773004E-2</v>
      </c>
      <c r="X2486">
        <v>0</v>
      </c>
      <c r="Y2486">
        <v>0</v>
      </c>
    </row>
    <row r="2487" spans="1:25" x14ac:dyDescent="0.2">
      <c r="A2487" t="s">
        <v>9294</v>
      </c>
      <c r="B2487" t="s">
        <v>9295</v>
      </c>
      <c r="C2487" t="s">
        <v>9296</v>
      </c>
      <c r="D2487" t="s">
        <v>9297</v>
      </c>
      <c r="E2487" t="s">
        <v>9295</v>
      </c>
      <c r="F2487" t="s">
        <v>28</v>
      </c>
      <c r="G2487" t="s">
        <v>9295</v>
      </c>
      <c r="H2487" t="str">
        <f>"cogc-2"</f>
        <v>cogc-2</v>
      </c>
      <c r="I2487" t="s">
        <v>9297</v>
      </c>
      <c r="J2487">
        <v>11.859491956746901</v>
      </c>
      <c r="K2487" t="s">
        <v>29</v>
      </c>
      <c r="L2487" t="s">
        <v>29</v>
      </c>
      <c r="M2487" t="s">
        <v>29</v>
      </c>
      <c r="N2487">
        <v>12.6555768411454</v>
      </c>
      <c r="O2487" t="s">
        <v>29</v>
      </c>
      <c r="P2487">
        <v>0.79608488439856395</v>
      </c>
      <c r="Q2487">
        <v>-0.50395142152029304</v>
      </c>
      <c r="R2487">
        <v>2.0961211903174202</v>
      </c>
      <c r="S2487">
        <v>11.5058185692791</v>
      </c>
      <c r="T2487">
        <v>1.34937167716494</v>
      </c>
      <c r="U2487">
        <v>-5.6124756339406696</v>
      </c>
      <c r="V2487">
        <v>0.20459013387589101</v>
      </c>
      <c r="W2487">
        <v>0.46849844872072399</v>
      </c>
      <c r="X2487">
        <v>0</v>
      </c>
      <c r="Y2487">
        <v>0</v>
      </c>
    </row>
    <row r="2488" spans="1:25" x14ac:dyDescent="0.2">
      <c r="A2488" t="s">
        <v>9298</v>
      </c>
      <c r="B2488" t="s">
        <v>9299</v>
      </c>
      <c r="C2488" t="s">
        <v>9300</v>
      </c>
      <c r="D2488" t="s">
        <v>9301</v>
      </c>
      <c r="E2488" t="s">
        <v>9299</v>
      </c>
      <c r="F2488" t="s">
        <v>28</v>
      </c>
      <c r="G2488" t="s">
        <v>9299</v>
      </c>
      <c r="H2488" t="str">
        <f>"lin-14"</f>
        <v>lin-14</v>
      </c>
      <c r="I2488" t="s">
        <v>9301</v>
      </c>
      <c r="J2488" t="s">
        <v>29</v>
      </c>
      <c r="K2488" t="s">
        <v>29</v>
      </c>
      <c r="L2488" t="s">
        <v>29</v>
      </c>
      <c r="M2488" t="s">
        <v>29</v>
      </c>
      <c r="N2488" t="s">
        <v>29</v>
      </c>
      <c r="O2488" t="s">
        <v>29</v>
      </c>
      <c r="P2488" t="s">
        <v>29</v>
      </c>
      <c r="Q2488" t="s">
        <v>29</v>
      </c>
      <c r="R2488" t="s">
        <v>29</v>
      </c>
      <c r="S2488">
        <v>11.8111976655495</v>
      </c>
      <c r="T2488" t="s">
        <v>29</v>
      </c>
      <c r="U2488" t="s">
        <v>29</v>
      </c>
      <c r="V2488" t="s">
        <v>29</v>
      </c>
      <c r="W2488" t="s">
        <v>29</v>
      </c>
      <c r="X2488" t="s">
        <v>29</v>
      </c>
      <c r="Y2488" t="s">
        <v>29</v>
      </c>
    </row>
    <row r="2489" spans="1:25" x14ac:dyDescent="0.2">
      <c r="A2489" t="s">
        <v>9302</v>
      </c>
      <c r="B2489" t="s">
        <v>9303</v>
      </c>
      <c r="C2489" t="s">
        <v>9304</v>
      </c>
      <c r="D2489" t="s">
        <v>9305</v>
      </c>
      <c r="E2489" t="s">
        <v>9303</v>
      </c>
      <c r="F2489" t="s">
        <v>28</v>
      </c>
      <c r="G2489" t="s">
        <v>9303</v>
      </c>
      <c r="H2489" t="str">
        <f>"M01F1.3"</f>
        <v>M01F1.3</v>
      </c>
      <c r="I2489" t="s">
        <v>9305</v>
      </c>
      <c r="J2489">
        <v>13.7100661364201</v>
      </c>
      <c r="K2489">
        <v>13.2537297483813</v>
      </c>
      <c r="L2489">
        <v>13.1495632288397</v>
      </c>
      <c r="M2489">
        <v>13.6549551838113</v>
      </c>
      <c r="N2489">
        <v>13.4485500984766</v>
      </c>
      <c r="O2489">
        <v>13.1017504766704</v>
      </c>
      <c r="P2489">
        <v>3.0632215105738301E-2</v>
      </c>
      <c r="Q2489">
        <v>-0.48815928986407398</v>
      </c>
      <c r="R2489">
        <v>0.54942372007555096</v>
      </c>
      <c r="S2489">
        <v>13.5251963984493</v>
      </c>
      <c r="T2489">
        <v>0.124633720675737</v>
      </c>
      <c r="U2489">
        <v>-7.0439241439608899</v>
      </c>
      <c r="V2489">
        <v>0.90228443804506098</v>
      </c>
      <c r="W2489">
        <v>0.96643632699099002</v>
      </c>
      <c r="X2489">
        <v>0</v>
      </c>
      <c r="Y2489">
        <v>0</v>
      </c>
    </row>
    <row r="2490" spans="1:25" x14ac:dyDescent="0.2">
      <c r="A2490" t="s">
        <v>9306</v>
      </c>
      <c r="B2490" t="s">
        <v>9307</v>
      </c>
      <c r="C2490" t="s">
        <v>14500</v>
      </c>
      <c r="D2490" t="s">
        <v>9308</v>
      </c>
      <c r="E2490" t="s">
        <v>9307</v>
      </c>
      <c r="F2490" t="s">
        <v>28</v>
      </c>
      <c r="G2490" t="s">
        <v>9307</v>
      </c>
      <c r="H2490" t="str">
        <f>"M01F1.4"</f>
        <v>M01F1.4</v>
      </c>
      <c r="I2490" t="s">
        <v>9308</v>
      </c>
      <c r="J2490">
        <v>12.2259242777574</v>
      </c>
      <c r="K2490">
        <v>12.7560991618258</v>
      </c>
      <c r="L2490">
        <v>12.2343388178582</v>
      </c>
      <c r="M2490">
        <v>11.4838975268729</v>
      </c>
      <c r="N2490">
        <v>11.237912356648099</v>
      </c>
      <c r="O2490">
        <v>11.979840253214</v>
      </c>
      <c r="P2490">
        <v>-0.83823737356876504</v>
      </c>
      <c r="Q2490">
        <v>-1.5001806630145</v>
      </c>
      <c r="R2490">
        <v>-0.17629408412302799</v>
      </c>
      <c r="S2490">
        <v>12.6945547392608</v>
      </c>
      <c r="T2490">
        <v>-2.6859366567504099</v>
      </c>
      <c r="U2490">
        <v>-3.9188975514546902</v>
      </c>
      <c r="V2490">
        <v>1.63011489083601E-2</v>
      </c>
      <c r="W2490">
        <v>0.120008910741637</v>
      </c>
      <c r="X2490">
        <v>0</v>
      </c>
      <c r="Y2490">
        <v>0</v>
      </c>
    </row>
    <row r="2491" spans="1:25" x14ac:dyDescent="0.2">
      <c r="A2491" t="s">
        <v>9309</v>
      </c>
      <c r="B2491" t="s">
        <v>9310</v>
      </c>
      <c r="C2491" t="s">
        <v>9311</v>
      </c>
      <c r="D2491" t="s">
        <v>9312</v>
      </c>
      <c r="E2491" t="s">
        <v>9310</v>
      </c>
      <c r="F2491" t="s">
        <v>28</v>
      </c>
      <c r="G2491" t="s">
        <v>9310</v>
      </c>
      <c r="H2491" t="str">
        <f>"mrpl-35"</f>
        <v>mrpl-35</v>
      </c>
      <c r="I2491" t="s">
        <v>9312</v>
      </c>
      <c r="J2491">
        <v>13.3318404776718</v>
      </c>
      <c r="K2491">
        <v>13.3310673398961</v>
      </c>
      <c r="L2491">
        <v>13.1435076746676</v>
      </c>
      <c r="M2491" t="s">
        <v>29</v>
      </c>
      <c r="N2491" t="s">
        <v>29</v>
      </c>
      <c r="O2491" t="s">
        <v>29</v>
      </c>
      <c r="P2491" t="s">
        <v>29</v>
      </c>
      <c r="Q2491" t="s">
        <v>29</v>
      </c>
      <c r="R2491" t="s">
        <v>29</v>
      </c>
      <c r="S2491">
        <v>13.3316393770618</v>
      </c>
      <c r="T2491" t="s">
        <v>29</v>
      </c>
      <c r="U2491" t="s">
        <v>29</v>
      </c>
      <c r="V2491" t="s">
        <v>29</v>
      </c>
      <c r="W2491" t="s">
        <v>29</v>
      </c>
      <c r="X2491" t="s">
        <v>29</v>
      </c>
      <c r="Y2491" t="s">
        <v>29</v>
      </c>
    </row>
    <row r="2492" spans="1:25" x14ac:dyDescent="0.2">
      <c r="A2492" t="s">
        <v>9313</v>
      </c>
      <c r="B2492" t="s">
        <v>9314</v>
      </c>
      <c r="C2492" t="s">
        <v>9315</v>
      </c>
      <c r="D2492" t="s">
        <v>3282</v>
      </c>
      <c r="E2492" t="s">
        <v>9314</v>
      </c>
      <c r="F2492" t="s">
        <v>28</v>
      </c>
      <c r="G2492" t="s">
        <v>9314</v>
      </c>
      <c r="H2492" t="str">
        <f>"asns-2"</f>
        <v>asns-2</v>
      </c>
      <c r="I2492" t="s">
        <v>3282</v>
      </c>
      <c r="J2492">
        <v>12.5460263109059</v>
      </c>
      <c r="K2492">
        <v>12.509031950239899</v>
      </c>
      <c r="L2492">
        <v>12.892094863020199</v>
      </c>
      <c r="M2492">
        <v>13.3245943068509</v>
      </c>
      <c r="N2492">
        <v>12.994418646228601</v>
      </c>
      <c r="O2492">
        <v>13.017693717995799</v>
      </c>
      <c r="P2492">
        <v>0.46318451563645802</v>
      </c>
      <c r="Q2492">
        <v>-0.174548460692248</v>
      </c>
      <c r="R2492">
        <v>1.1009174919651601</v>
      </c>
      <c r="S2492">
        <v>12.630752609784301</v>
      </c>
      <c r="T2492">
        <v>1.53308124665732</v>
      </c>
      <c r="U2492">
        <v>-5.8958004209984303</v>
      </c>
      <c r="V2492">
        <v>0.14376741119397499</v>
      </c>
      <c r="W2492">
        <v>0.39115314048929301</v>
      </c>
      <c r="X2492">
        <v>0</v>
      </c>
      <c r="Y2492">
        <v>0</v>
      </c>
    </row>
    <row r="2493" spans="1:25" x14ac:dyDescent="0.2">
      <c r="A2493" t="s">
        <v>9316</v>
      </c>
      <c r="B2493" t="s">
        <v>9317</v>
      </c>
      <c r="C2493" t="s">
        <v>9318</v>
      </c>
      <c r="D2493" t="s">
        <v>9319</v>
      </c>
      <c r="E2493" t="s">
        <v>9317</v>
      </c>
      <c r="F2493" t="s">
        <v>28</v>
      </c>
      <c r="G2493" t="s">
        <v>9317</v>
      </c>
      <c r="H2493" t="str">
        <f>"atg-2"</f>
        <v>atg-2</v>
      </c>
      <c r="I2493" t="s">
        <v>9319</v>
      </c>
      <c r="J2493">
        <v>12.3090918939946</v>
      </c>
      <c r="K2493" t="s">
        <v>29</v>
      </c>
      <c r="L2493" t="s">
        <v>29</v>
      </c>
      <c r="M2493">
        <v>12.993505180122</v>
      </c>
      <c r="N2493">
        <v>13.199467542293601</v>
      </c>
      <c r="O2493">
        <v>12.937516934694999</v>
      </c>
      <c r="P2493">
        <v>0.73440465837560398</v>
      </c>
      <c r="Q2493">
        <v>-9.9642147646843607E-2</v>
      </c>
      <c r="R2493">
        <v>1.5684514643980501</v>
      </c>
      <c r="S2493">
        <v>12.497576448656799</v>
      </c>
      <c r="T2493">
        <v>1.87796115691157</v>
      </c>
      <c r="U2493">
        <v>-5.0476698880269701</v>
      </c>
      <c r="V2493">
        <v>8.0106556132777104E-2</v>
      </c>
      <c r="W2493">
        <v>0.28995071019959601</v>
      </c>
      <c r="X2493">
        <v>0</v>
      </c>
      <c r="Y2493">
        <v>0</v>
      </c>
    </row>
    <row r="2494" spans="1:25" x14ac:dyDescent="0.2">
      <c r="A2494" t="s">
        <v>9320</v>
      </c>
      <c r="B2494" t="s">
        <v>9321</v>
      </c>
      <c r="C2494" t="s">
        <v>9322</v>
      </c>
      <c r="D2494" t="s">
        <v>9323</v>
      </c>
      <c r="E2494" t="s">
        <v>9321</v>
      </c>
      <c r="F2494" t="s">
        <v>28</v>
      </c>
      <c r="G2494" t="s">
        <v>9321</v>
      </c>
      <c r="H2494" t="str">
        <f>"dhs-28"</f>
        <v>dhs-28</v>
      </c>
      <c r="I2494" t="s">
        <v>9323</v>
      </c>
      <c r="J2494">
        <v>18.778681754390899</v>
      </c>
      <c r="K2494">
        <v>18.654279831061999</v>
      </c>
      <c r="L2494">
        <v>18.422155790842002</v>
      </c>
      <c r="M2494">
        <v>18.833461156488301</v>
      </c>
      <c r="N2494">
        <v>18.574526014381899</v>
      </c>
      <c r="O2494">
        <v>18.546051511738199</v>
      </c>
      <c r="P2494">
        <v>3.2973768771164202E-2</v>
      </c>
      <c r="Q2494">
        <v>-0.32992692286446001</v>
      </c>
      <c r="R2494">
        <v>0.39587446040678897</v>
      </c>
      <c r="S2494">
        <v>17.8664789496945</v>
      </c>
      <c r="T2494">
        <v>0.19097358698636899</v>
      </c>
      <c r="U2494">
        <v>-7.0329929547073897</v>
      </c>
      <c r="V2494">
        <v>0.85069624128691801</v>
      </c>
      <c r="W2494">
        <v>0.94093204807378505</v>
      </c>
      <c r="X2494">
        <v>0</v>
      </c>
      <c r="Y2494">
        <v>0</v>
      </c>
    </row>
    <row r="2495" spans="1:25" x14ac:dyDescent="0.2">
      <c r="A2495" t="s">
        <v>9324</v>
      </c>
      <c r="B2495" t="s">
        <v>9325</v>
      </c>
      <c r="C2495" t="s">
        <v>9326</v>
      </c>
      <c r="D2495" t="s">
        <v>9327</v>
      </c>
      <c r="E2495" t="s">
        <v>9325</v>
      </c>
      <c r="F2495" t="s">
        <v>28</v>
      </c>
      <c r="G2495" t="s">
        <v>9325</v>
      </c>
      <c r="H2495" t="str">
        <f>"prp-3"</f>
        <v>prp-3</v>
      </c>
      <c r="I2495" t="s">
        <v>9327</v>
      </c>
      <c r="J2495">
        <v>13.6120617314859</v>
      </c>
      <c r="K2495">
        <v>13.3950588505864</v>
      </c>
      <c r="L2495">
        <v>13.3096305823856</v>
      </c>
      <c r="M2495">
        <v>13.7520508736345</v>
      </c>
      <c r="N2495">
        <v>13.9140709633025</v>
      </c>
      <c r="O2495">
        <v>13.481598831710601</v>
      </c>
      <c r="P2495">
        <v>0.276989834729923</v>
      </c>
      <c r="Q2495">
        <v>-0.17170743948168801</v>
      </c>
      <c r="R2495">
        <v>0.72568710894153399</v>
      </c>
      <c r="S2495">
        <v>13.024834241350799</v>
      </c>
      <c r="T2495">
        <v>1.3030479972032101</v>
      </c>
      <c r="U2495">
        <v>-6.2018399789973797</v>
      </c>
      <c r="V2495">
        <v>0.21003869729400801</v>
      </c>
      <c r="W2495">
        <v>0.47561998677432299</v>
      </c>
      <c r="X2495">
        <v>0</v>
      </c>
      <c r="Y2495">
        <v>0</v>
      </c>
    </row>
    <row r="2496" spans="1:25" x14ac:dyDescent="0.2">
      <c r="A2496" t="s">
        <v>9328</v>
      </c>
      <c r="B2496" t="s">
        <v>9329</v>
      </c>
      <c r="C2496" t="s">
        <v>9330</v>
      </c>
      <c r="D2496" t="s">
        <v>9331</v>
      </c>
      <c r="E2496" t="s">
        <v>9329</v>
      </c>
      <c r="F2496" t="s">
        <v>28</v>
      </c>
      <c r="G2496" t="s">
        <v>9329</v>
      </c>
      <c r="H2496" t="str">
        <f>"mep-1"</f>
        <v>mep-1</v>
      </c>
      <c r="I2496" t="s">
        <v>9331</v>
      </c>
      <c r="J2496">
        <v>11.3303709584969</v>
      </c>
      <c r="K2496">
        <v>11.1331293555715</v>
      </c>
      <c r="L2496">
        <v>11.7363708030379</v>
      </c>
      <c r="M2496">
        <v>10.5900792396946</v>
      </c>
      <c r="N2496">
        <v>10.274755340175</v>
      </c>
      <c r="O2496">
        <v>10.826986072561001</v>
      </c>
      <c r="P2496">
        <v>-0.83601682155859103</v>
      </c>
      <c r="Q2496">
        <v>-1.4531003533612501</v>
      </c>
      <c r="R2496">
        <v>-0.21893328975593401</v>
      </c>
      <c r="S2496">
        <v>11.781337484744</v>
      </c>
      <c r="T2496">
        <v>-2.8597039329548202</v>
      </c>
      <c r="U2496">
        <v>-3.5516274617436001</v>
      </c>
      <c r="V2496">
        <v>1.0898882249360401E-2</v>
      </c>
      <c r="W2496">
        <v>9.2949207173924006E-2</v>
      </c>
      <c r="X2496">
        <v>0</v>
      </c>
      <c r="Y2496">
        <v>0</v>
      </c>
    </row>
    <row r="2497" spans="1:25" x14ac:dyDescent="0.2">
      <c r="A2497" t="s">
        <v>9332</v>
      </c>
      <c r="B2497" t="s">
        <v>9333</v>
      </c>
      <c r="C2497" t="s">
        <v>14501</v>
      </c>
      <c r="D2497" t="s">
        <v>9334</v>
      </c>
      <c r="E2497" t="s">
        <v>9333</v>
      </c>
      <c r="F2497" t="s">
        <v>28</v>
      </c>
      <c r="G2497" t="s">
        <v>9333</v>
      </c>
      <c r="H2497" t="str">
        <f>"M04B2.4"</f>
        <v>M04B2.4</v>
      </c>
      <c r="I2497" t="s">
        <v>9334</v>
      </c>
      <c r="J2497">
        <v>14.598622019684999</v>
      </c>
      <c r="K2497">
        <v>14.7000482356147</v>
      </c>
      <c r="L2497">
        <v>14.7163975634205</v>
      </c>
      <c r="M2497">
        <v>13.9446616578579</v>
      </c>
      <c r="N2497">
        <v>14.337421158015299</v>
      </c>
      <c r="O2497">
        <v>14.4077002521369</v>
      </c>
      <c r="P2497">
        <v>-0.44176158357003098</v>
      </c>
      <c r="Q2497">
        <v>-1.0357034193140799</v>
      </c>
      <c r="R2497">
        <v>0.15218025217401401</v>
      </c>
      <c r="S2497">
        <v>14.824498699151899</v>
      </c>
      <c r="T2497">
        <v>-1.5699797192730001</v>
      </c>
      <c r="U2497">
        <v>-5.8431707068301302</v>
      </c>
      <c r="V2497">
        <v>0.13495794212636</v>
      </c>
      <c r="W2497">
        <v>0.37939762056670201</v>
      </c>
      <c r="X2497">
        <v>0</v>
      </c>
      <c r="Y2497">
        <v>0</v>
      </c>
    </row>
    <row r="2498" spans="1:25" x14ac:dyDescent="0.2">
      <c r="A2498" t="s">
        <v>9335</v>
      </c>
      <c r="B2498" t="s">
        <v>9336</v>
      </c>
      <c r="C2498" t="s">
        <v>9337</v>
      </c>
      <c r="D2498" t="s">
        <v>9338</v>
      </c>
      <c r="E2498" t="s">
        <v>9336</v>
      </c>
      <c r="F2498" t="s">
        <v>28</v>
      </c>
      <c r="G2498" t="s">
        <v>9336</v>
      </c>
      <c r="H2498" t="str">
        <f>"lact-4"</f>
        <v>lact-4</v>
      </c>
      <c r="I2498" t="s">
        <v>9338</v>
      </c>
      <c r="J2498">
        <v>12.8342943214413</v>
      </c>
      <c r="K2498">
        <v>13.420002324897199</v>
      </c>
      <c r="L2498">
        <v>12.460232502980899</v>
      </c>
      <c r="M2498" t="s">
        <v>29</v>
      </c>
      <c r="N2498" t="s">
        <v>29</v>
      </c>
      <c r="O2498">
        <v>11.359841041006</v>
      </c>
      <c r="P2498">
        <v>-1.5450020087670799</v>
      </c>
      <c r="Q2498">
        <v>-2.3851744543970299</v>
      </c>
      <c r="R2498">
        <v>-0.70482956313712097</v>
      </c>
      <c r="S2498">
        <v>12.0499989880527</v>
      </c>
      <c r="T2498">
        <v>-4.0521760695326297</v>
      </c>
      <c r="U2498">
        <v>-1.3718710056461501</v>
      </c>
      <c r="V2498">
        <v>1.94567448684865E-3</v>
      </c>
      <c r="W2498">
        <v>2.78908580625793E-2</v>
      </c>
      <c r="X2498">
        <v>-1</v>
      </c>
      <c r="Y2498">
        <v>-1</v>
      </c>
    </row>
    <row r="2499" spans="1:25" x14ac:dyDescent="0.2">
      <c r="A2499" t="s">
        <v>9339</v>
      </c>
      <c r="B2499" t="s">
        <v>9340</v>
      </c>
      <c r="C2499" t="s">
        <v>9341</v>
      </c>
      <c r="D2499" t="s">
        <v>9342</v>
      </c>
      <c r="E2499" t="s">
        <v>9340</v>
      </c>
      <c r="F2499" t="s">
        <v>28</v>
      </c>
      <c r="G2499" t="s">
        <v>9340</v>
      </c>
      <c r="H2499" t="str">
        <f>"gss-1"</f>
        <v>gss-1</v>
      </c>
      <c r="I2499" t="s">
        <v>9342</v>
      </c>
      <c r="J2499" t="s">
        <v>29</v>
      </c>
      <c r="K2499" t="s">
        <v>29</v>
      </c>
      <c r="L2499" t="s">
        <v>29</v>
      </c>
      <c r="M2499" t="s">
        <v>29</v>
      </c>
      <c r="N2499">
        <v>11.4893196441284</v>
      </c>
      <c r="O2499" t="s">
        <v>29</v>
      </c>
      <c r="P2499" t="s">
        <v>29</v>
      </c>
      <c r="Q2499" t="s">
        <v>29</v>
      </c>
      <c r="R2499" t="s">
        <v>29</v>
      </c>
      <c r="S2499">
        <v>11.8953376148882</v>
      </c>
      <c r="T2499" t="s">
        <v>29</v>
      </c>
      <c r="U2499" t="s">
        <v>29</v>
      </c>
      <c r="V2499" t="s">
        <v>29</v>
      </c>
      <c r="W2499" t="s">
        <v>29</v>
      </c>
      <c r="X2499" t="s">
        <v>29</v>
      </c>
      <c r="Y2499" t="s">
        <v>29</v>
      </c>
    </row>
    <row r="2500" spans="1:25" x14ac:dyDescent="0.2">
      <c r="A2500" t="s">
        <v>9343</v>
      </c>
      <c r="B2500" t="s">
        <v>9344</v>
      </c>
      <c r="C2500" t="s">
        <v>14502</v>
      </c>
      <c r="D2500" t="s">
        <v>9345</v>
      </c>
      <c r="E2500" t="s">
        <v>9344</v>
      </c>
      <c r="F2500" t="s">
        <v>28</v>
      </c>
      <c r="G2500" t="s">
        <v>9344</v>
      </c>
      <c r="H2500" t="str">
        <f>"M176.4"</f>
        <v>M176.4</v>
      </c>
      <c r="I2500" t="s">
        <v>9345</v>
      </c>
      <c r="J2500">
        <v>13.3460801872902</v>
      </c>
      <c r="K2500" t="s">
        <v>29</v>
      </c>
      <c r="L2500">
        <v>13.2092835173555</v>
      </c>
      <c r="M2500">
        <v>13.8551793857413</v>
      </c>
      <c r="N2500">
        <v>13.1785430300495</v>
      </c>
      <c r="O2500">
        <v>13.187359006716701</v>
      </c>
      <c r="P2500">
        <v>0.12934528851296201</v>
      </c>
      <c r="Q2500">
        <v>-0.366340850663328</v>
      </c>
      <c r="R2500">
        <v>0.62503142768925202</v>
      </c>
      <c r="S2500">
        <v>13.713589418647899</v>
      </c>
      <c r="T2500">
        <v>0.55652598218132499</v>
      </c>
      <c r="U2500">
        <v>-6.7793831490645804</v>
      </c>
      <c r="V2500">
        <v>0.58611611173656197</v>
      </c>
      <c r="W2500">
        <v>0.80224885603271401</v>
      </c>
      <c r="X2500">
        <v>0</v>
      </c>
      <c r="Y2500">
        <v>0</v>
      </c>
    </row>
    <row r="2501" spans="1:25" x14ac:dyDescent="0.2">
      <c r="A2501" t="s">
        <v>9346</v>
      </c>
      <c r="B2501" t="s">
        <v>9347</v>
      </c>
      <c r="C2501" t="s">
        <v>14503</v>
      </c>
      <c r="D2501" t="s">
        <v>9348</v>
      </c>
      <c r="E2501" t="s">
        <v>9347</v>
      </c>
      <c r="F2501" t="s">
        <v>28</v>
      </c>
      <c r="G2501" t="s">
        <v>9347</v>
      </c>
      <c r="H2501" t="str">
        <f>"M18.3"</f>
        <v>M18.3</v>
      </c>
      <c r="I2501" t="s">
        <v>9348</v>
      </c>
      <c r="J2501">
        <v>11.2974753336263</v>
      </c>
      <c r="K2501">
        <v>10.8849468675969</v>
      </c>
      <c r="L2501">
        <v>10.536091933434699</v>
      </c>
      <c r="M2501" t="s">
        <v>29</v>
      </c>
      <c r="N2501">
        <v>10.971660507566201</v>
      </c>
      <c r="O2501">
        <v>12.0994233016627</v>
      </c>
      <c r="P2501">
        <v>0.62937052639513003</v>
      </c>
      <c r="Q2501">
        <v>-0.150459429154916</v>
      </c>
      <c r="R2501">
        <v>1.40920048194518</v>
      </c>
      <c r="S2501">
        <v>12.0571489545608</v>
      </c>
      <c r="T2501">
        <v>1.72126640744213</v>
      </c>
      <c r="U2501">
        <v>-5.5141275446811902</v>
      </c>
      <c r="V2501">
        <v>0.10589946037382</v>
      </c>
      <c r="W2501">
        <v>0.33664859265182701</v>
      </c>
      <c r="X2501">
        <v>0</v>
      </c>
      <c r="Y2501">
        <v>0</v>
      </c>
    </row>
    <row r="2502" spans="1:25" x14ac:dyDescent="0.2">
      <c r="A2502" t="s">
        <v>9349</v>
      </c>
      <c r="B2502" t="s">
        <v>9350</v>
      </c>
      <c r="C2502" t="s">
        <v>9351</v>
      </c>
      <c r="D2502" t="s">
        <v>4425</v>
      </c>
      <c r="E2502" t="s">
        <v>9350</v>
      </c>
      <c r="F2502" t="s">
        <v>28</v>
      </c>
      <c r="G2502" t="s">
        <v>9350</v>
      </c>
      <c r="H2502" t="str">
        <f>"aly-3"</f>
        <v>aly-3</v>
      </c>
      <c r="I2502" t="s">
        <v>4425</v>
      </c>
      <c r="J2502">
        <v>12.2156402041217</v>
      </c>
      <c r="K2502">
        <v>12.730334815039299</v>
      </c>
      <c r="L2502">
        <v>12.702842715550499</v>
      </c>
      <c r="M2502">
        <v>12.885664858322899</v>
      </c>
      <c r="N2502">
        <v>11.831359191005401</v>
      </c>
      <c r="O2502">
        <v>12.756613042942099</v>
      </c>
      <c r="P2502">
        <v>-5.8393547480299901E-2</v>
      </c>
      <c r="Q2502">
        <v>-0.70870325281698798</v>
      </c>
      <c r="R2502">
        <v>0.59191615785638796</v>
      </c>
      <c r="S2502">
        <v>12.8964170186874</v>
      </c>
      <c r="T2502">
        <v>-0.18953727725061101</v>
      </c>
      <c r="U2502">
        <v>-7.0332210016617402</v>
      </c>
      <c r="V2502">
        <v>0.85193016116905995</v>
      </c>
      <c r="W2502">
        <v>0.94163748112911705</v>
      </c>
      <c r="X2502">
        <v>0</v>
      </c>
      <c r="Y2502">
        <v>0</v>
      </c>
    </row>
    <row r="2503" spans="1:25" x14ac:dyDescent="0.2">
      <c r="A2503" t="s">
        <v>9352</v>
      </c>
      <c r="B2503" t="s">
        <v>9353</v>
      </c>
      <c r="C2503" t="s">
        <v>9354</v>
      </c>
      <c r="D2503" t="s">
        <v>9338</v>
      </c>
      <c r="E2503" t="s">
        <v>9353</v>
      </c>
      <c r="F2503" t="s">
        <v>28</v>
      </c>
      <c r="G2503" t="s">
        <v>9353</v>
      </c>
      <c r="H2503" t="str">
        <f>"lact-3"</f>
        <v>lact-3</v>
      </c>
      <c r="I2503" t="s">
        <v>9338</v>
      </c>
      <c r="J2503">
        <v>12.5275450287781</v>
      </c>
      <c r="K2503">
        <v>12.059046919434101</v>
      </c>
      <c r="L2503">
        <v>11.7361188543696</v>
      </c>
      <c r="M2503">
        <v>12.7118554584336</v>
      </c>
      <c r="N2503">
        <v>12.6973706514367</v>
      </c>
      <c r="O2503">
        <v>12.943555279287301</v>
      </c>
      <c r="P2503">
        <v>0.67669019552527498</v>
      </c>
      <c r="Q2503">
        <v>3.9598004675540102E-2</v>
      </c>
      <c r="R2503">
        <v>1.31378238637501</v>
      </c>
      <c r="S2503">
        <v>12.1424188590741</v>
      </c>
      <c r="T2503">
        <v>2.2653181685613601</v>
      </c>
      <c r="U2503">
        <v>-4.7193967286702598</v>
      </c>
      <c r="V2503">
        <v>3.8843768591431703E-2</v>
      </c>
      <c r="W2503">
        <v>0.194757508469212</v>
      </c>
      <c r="X2503">
        <v>0</v>
      </c>
      <c r="Y2503">
        <v>0</v>
      </c>
    </row>
    <row r="2504" spans="1:25" x14ac:dyDescent="0.2">
      <c r="A2504" t="s">
        <v>9355</v>
      </c>
      <c r="B2504" t="s">
        <v>9356</v>
      </c>
      <c r="C2504" t="s">
        <v>9357</v>
      </c>
      <c r="D2504" t="s">
        <v>4483</v>
      </c>
      <c r="E2504" t="s">
        <v>9356</v>
      </c>
      <c r="F2504" t="s">
        <v>28</v>
      </c>
      <c r="G2504" t="s">
        <v>9356</v>
      </c>
      <c r="H2504" t="str">
        <f>"bcc-1"</f>
        <v>bcc-1</v>
      </c>
      <c r="I2504" t="s">
        <v>4483</v>
      </c>
      <c r="J2504">
        <v>12.1590463259011</v>
      </c>
      <c r="K2504">
        <v>12.1598157288987</v>
      </c>
      <c r="L2504">
        <v>12.947951243612399</v>
      </c>
      <c r="M2504">
        <v>17.762933952999401</v>
      </c>
      <c r="N2504">
        <v>17.8611711852433</v>
      </c>
      <c r="O2504">
        <v>17.7423445606093</v>
      </c>
      <c r="P2504">
        <v>5.3665454668133004</v>
      </c>
      <c r="Q2504">
        <v>4.5230096643906004</v>
      </c>
      <c r="R2504">
        <v>6.2100812692359897</v>
      </c>
      <c r="S2504">
        <v>14.833225655547199</v>
      </c>
      <c r="T2504">
        <v>13.371613225806099</v>
      </c>
      <c r="U2504">
        <v>14.9259281301564</v>
      </c>
      <c r="V2504" s="2">
        <v>9.4002778299361898E-11</v>
      </c>
      <c r="W2504" s="2">
        <v>4.3700307708351098E-8</v>
      </c>
      <c r="X2504">
        <v>1</v>
      </c>
      <c r="Y2504">
        <v>1</v>
      </c>
    </row>
    <row r="2505" spans="1:25" x14ac:dyDescent="0.2">
      <c r="A2505" t="s">
        <v>9358</v>
      </c>
      <c r="B2505" t="s">
        <v>9359</v>
      </c>
      <c r="C2505" t="s">
        <v>9360</v>
      </c>
      <c r="D2505" t="s">
        <v>4334</v>
      </c>
      <c r="E2505" t="s">
        <v>9359</v>
      </c>
      <c r="F2505" t="s">
        <v>28</v>
      </c>
      <c r="G2505" t="s">
        <v>9359</v>
      </c>
      <c r="H2505" t="str">
        <f>"mrps-34"</f>
        <v>mrps-34</v>
      </c>
      <c r="I2505" t="s">
        <v>4334</v>
      </c>
      <c r="J2505" t="s">
        <v>29</v>
      </c>
      <c r="K2505" t="s">
        <v>29</v>
      </c>
      <c r="L2505" t="s">
        <v>29</v>
      </c>
      <c r="M2505" t="s">
        <v>29</v>
      </c>
      <c r="N2505" t="s">
        <v>29</v>
      </c>
      <c r="O2505" t="s">
        <v>29</v>
      </c>
      <c r="P2505" t="s">
        <v>29</v>
      </c>
      <c r="Q2505" t="s">
        <v>29</v>
      </c>
      <c r="R2505" t="s">
        <v>29</v>
      </c>
      <c r="S2505">
        <v>12.4656687592162</v>
      </c>
      <c r="T2505" t="s">
        <v>29</v>
      </c>
      <c r="U2505" t="s">
        <v>29</v>
      </c>
      <c r="V2505" t="s">
        <v>29</v>
      </c>
      <c r="W2505" t="s">
        <v>29</v>
      </c>
      <c r="X2505" t="s">
        <v>29</v>
      </c>
      <c r="Y2505" t="s">
        <v>29</v>
      </c>
    </row>
    <row r="2506" spans="1:25" x14ac:dyDescent="0.2">
      <c r="A2506" t="s">
        <v>9361</v>
      </c>
      <c r="B2506" t="s">
        <v>9362</v>
      </c>
      <c r="C2506" t="s">
        <v>9363</v>
      </c>
      <c r="D2506" t="s">
        <v>49</v>
      </c>
      <c r="E2506" t="s">
        <v>9362</v>
      </c>
      <c r="F2506" t="s">
        <v>28</v>
      </c>
      <c r="G2506" t="s">
        <v>9362</v>
      </c>
      <c r="H2506" t="str">
        <f>"ugt-62"</f>
        <v>ugt-62</v>
      </c>
      <c r="I2506" t="s">
        <v>49</v>
      </c>
      <c r="J2506">
        <v>13.868711985463101</v>
      </c>
      <c r="K2506">
        <v>13.893054074811401</v>
      </c>
      <c r="L2506">
        <v>13.3976875626562</v>
      </c>
      <c r="M2506">
        <v>13.761021655974</v>
      </c>
      <c r="N2506">
        <v>12.776633833313401</v>
      </c>
      <c r="O2506">
        <v>13.715770728388801</v>
      </c>
      <c r="P2506">
        <v>-0.30200913508483201</v>
      </c>
      <c r="Q2506">
        <v>-0.80218153887991195</v>
      </c>
      <c r="R2506">
        <v>0.198163268710248</v>
      </c>
      <c r="S2506">
        <v>13.6675646419373</v>
      </c>
      <c r="T2506">
        <v>-1.2745308914898901</v>
      </c>
      <c r="U2506">
        <v>-6.2369973699869901</v>
      </c>
      <c r="V2506">
        <v>0.21972685412954199</v>
      </c>
      <c r="W2506">
        <v>0.487659214475821</v>
      </c>
      <c r="X2506">
        <v>0</v>
      </c>
      <c r="Y2506">
        <v>0</v>
      </c>
    </row>
    <row r="2507" spans="1:25" x14ac:dyDescent="0.2">
      <c r="A2507" t="s">
        <v>9364</v>
      </c>
      <c r="B2507" t="s">
        <v>9365</v>
      </c>
      <c r="C2507" t="s">
        <v>9366</v>
      </c>
      <c r="D2507" t="s">
        <v>9367</v>
      </c>
      <c r="E2507" t="s">
        <v>9365</v>
      </c>
      <c r="F2507" t="s">
        <v>28</v>
      </c>
      <c r="G2507" t="s">
        <v>9365</v>
      </c>
      <c r="H2507" t="str">
        <f>"inpp-4B"</f>
        <v>inpp-4B</v>
      </c>
      <c r="I2507" t="s">
        <v>9367</v>
      </c>
      <c r="J2507">
        <v>13.4005726099883</v>
      </c>
      <c r="K2507">
        <v>13.2363618371822</v>
      </c>
      <c r="L2507">
        <v>12.9115515739835</v>
      </c>
      <c r="M2507">
        <v>13.093515987805199</v>
      </c>
      <c r="N2507">
        <v>12.892969906849</v>
      </c>
      <c r="O2507">
        <v>13.493438179023601</v>
      </c>
      <c r="P2507">
        <v>-2.28539824920517E-2</v>
      </c>
      <c r="Q2507">
        <v>-0.46139377632732098</v>
      </c>
      <c r="R2507">
        <v>0.41568581134321703</v>
      </c>
      <c r="S2507">
        <v>12.7864152234333</v>
      </c>
      <c r="T2507">
        <v>-0.110535660847395</v>
      </c>
      <c r="U2507">
        <v>-7.0456432178159698</v>
      </c>
      <c r="V2507">
        <v>0.91336820317260103</v>
      </c>
      <c r="W2507">
        <v>0.96842015096093803</v>
      </c>
      <c r="X2507">
        <v>0</v>
      </c>
      <c r="Y2507">
        <v>0</v>
      </c>
    </row>
    <row r="2508" spans="1:25" x14ac:dyDescent="0.2">
      <c r="A2508" t="s">
        <v>9368</v>
      </c>
      <c r="B2508" t="s">
        <v>9369</v>
      </c>
      <c r="C2508" t="s">
        <v>9370</v>
      </c>
      <c r="D2508" t="s">
        <v>9371</v>
      </c>
      <c r="E2508" t="s">
        <v>9369</v>
      </c>
      <c r="F2508" t="s">
        <v>28</v>
      </c>
      <c r="G2508" t="s">
        <v>9369</v>
      </c>
      <c r="H2508" t="str">
        <f>"cor-1"</f>
        <v>cor-1</v>
      </c>
      <c r="I2508" t="s">
        <v>9371</v>
      </c>
      <c r="J2508">
        <v>11.8643326818527</v>
      </c>
      <c r="K2508">
        <v>12.5157308947452</v>
      </c>
      <c r="L2508">
        <v>12.4173679569962</v>
      </c>
      <c r="M2508">
        <v>11.6994976496179</v>
      </c>
      <c r="N2508">
        <v>10.856316721470099</v>
      </c>
      <c r="O2508">
        <v>11.7587923413925</v>
      </c>
      <c r="P2508">
        <v>-0.82760827370457002</v>
      </c>
      <c r="Q2508">
        <v>-2.0213244177495802</v>
      </c>
      <c r="R2508">
        <v>0.36610787034044001</v>
      </c>
      <c r="S2508">
        <v>12.336390146649199</v>
      </c>
      <c r="T2508">
        <v>-1.4634361184731099</v>
      </c>
      <c r="U2508">
        <v>-5.9925445142347504</v>
      </c>
      <c r="V2508">
        <v>0.161704560486404</v>
      </c>
      <c r="W2508">
        <v>0.41464668228743701</v>
      </c>
      <c r="X2508">
        <v>0</v>
      </c>
      <c r="Y2508">
        <v>0</v>
      </c>
    </row>
    <row r="2509" spans="1:25" x14ac:dyDescent="0.2">
      <c r="A2509" t="s">
        <v>9372</v>
      </c>
      <c r="B2509" t="s">
        <v>9373</v>
      </c>
      <c r="C2509" t="s">
        <v>9374</v>
      </c>
      <c r="D2509" t="s">
        <v>9375</v>
      </c>
      <c r="E2509" t="s">
        <v>9373</v>
      </c>
      <c r="F2509" t="s">
        <v>28</v>
      </c>
      <c r="G2509" t="s">
        <v>9373</v>
      </c>
      <c r="H2509" t="str">
        <f>"hrg-1"</f>
        <v>hrg-1</v>
      </c>
      <c r="I2509" t="s">
        <v>9375</v>
      </c>
      <c r="J2509" t="s">
        <v>29</v>
      </c>
      <c r="K2509" t="s">
        <v>29</v>
      </c>
      <c r="L2509" t="s">
        <v>29</v>
      </c>
      <c r="M2509">
        <v>12.695143141461299</v>
      </c>
      <c r="N2509">
        <v>12.2017565799722</v>
      </c>
      <c r="O2509" t="s">
        <v>29</v>
      </c>
      <c r="P2509" t="s">
        <v>29</v>
      </c>
      <c r="Q2509" t="s">
        <v>29</v>
      </c>
      <c r="R2509" t="s">
        <v>29</v>
      </c>
      <c r="S2509">
        <v>11.8877274799493</v>
      </c>
      <c r="T2509" t="s">
        <v>29</v>
      </c>
      <c r="U2509" t="s">
        <v>29</v>
      </c>
      <c r="V2509" t="s">
        <v>29</v>
      </c>
      <c r="W2509" t="s">
        <v>29</v>
      </c>
      <c r="X2509" t="s">
        <v>29</v>
      </c>
      <c r="Y2509" t="s">
        <v>29</v>
      </c>
    </row>
    <row r="2510" spans="1:25" x14ac:dyDescent="0.2">
      <c r="A2510" t="s">
        <v>9376</v>
      </c>
      <c r="B2510" t="s">
        <v>9377</v>
      </c>
      <c r="C2510" t="s">
        <v>14504</v>
      </c>
      <c r="D2510" t="s">
        <v>9378</v>
      </c>
      <c r="E2510" t="s">
        <v>9377</v>
      </c>
      <c r="F2510" t="s">
        <v>28</v>
      </c>
      <c r="G2510" t="s">
        <v>9377</v>
      </c>
      <c r="H2510" t="str">
        <f>"R02F2.7"</f>
        <v>R02F2.7</v>
      </c>
      <c r="I2510" t="s">
        <v>9378</v>
      </c>
      <c r="J2510">
        <v>11.416770161316601</v>
      </c>
      <c r="K2510">
        <v>12.4128686758553</v>
      </c>
      <c r="L2510">
        <v>12.3523415917397</v>
      </c>
      <c r="M2510" t="s">
        <v>29</v>
      </c>
      <c r="N2510">
        <v>12.7144329065148</v>
      </c>
      <c r="O2510">
        <v>11.289676073812201</v>
      </c>
      <c r="P2510">
        <v>-5.8605652807072403E-2</v>
      </c>
      <c r="Q2510">
        <v>-1.18936010696658</v>
      </c>
      <c r="R2510">
        <v>1.0721488013524301</v>
      </c>
      <c r="S2510">
        <v>12.021809209537899</v>
      </c>
      <c r="T2510">
        <v>-0.110538306473476</v>
      </c>
      <c r="U2510">
        <v>-6.9349746583165004</v>
      </c>
      <c r="V2510">
        <v>0.91345811804335197</v>
      </c>
      <c r="W2510">
        <v>0.96842015096093803</v>
      </c>
      <c r="X2510">
        <v>0</v>
      </c>
      <c r="Y2510">
        <v>0</v>
      </c>
    </row>
    <row r="2511" spans="1:25" x14ac:dyDescent="0.2">
      <c r="A2511" t="s">
        <v>9379</v>
      </c>
      <c r="B2511" t="s">
        <v>9380</v>
      </c>
      <c r="C2511" t="s">
        <v>9381</v>
      </c>
      <c r="D2511" t="s">
        <v>9382</v>
      </c>
      <c r="E2511" t="s">
        <v>9380</v>
      </c>
      <c r="F2511" t="s">
        <v>28</v>
      </c>
      <c r="G2511" t="s">
        <v>9380</v>
      </c>
      <c r="H2511" t="str">
        <f>"osg-1"</f>
        <v>osg-1</v>
      </c>
      <c r="I2511" t="s">
        <v>9382</v>
      </c>
      <c r="J2511" t="s">
        <v>29</v>
      </c>
      <c r="K2511" t="s">
        <v>29</v>
      </c>
      <c r="L2511" t="s">
        <v>29</v>
      </c>
      <c r="M2511" t="s">
        <v>29</v>
      </c>
      <c r="N2511">
        <v>14.9054176322364</v>
      </c>
      <c r="O2511" t="s">
        <v>29</v>
      </c>
      <c r="P2511" t="s">
        <v>29</v>
      </c>
      <c r="Q2511" t="s">
        <v>29</v>
      </c>
      <c r="R2511" t="s">
        <v>29</v>
      </c>
      <c r="S2511">
        <v>11.7413693750504</v>
      </c>
      <c r="T2511" t="s">
        <v>29</v>
      </c>
      <c r="U2511" t="s">
        <v>29</v>
      </c>
      <c r="V2511" t="s">
        <v>29</v>
      </c>
      <c r="W2511" t="s">
        <v>29</v>
      </c>
      <c r="X2511" t="s">
        <v>29</v>
      </c>
      <c r="Y2511" t="s">
        <v>29</v>
      </c>
    </row>
    <row r="2512" spans="1:25" x14ac:dyDescent="0.2">
      <c r="A2512" t="s">
        <v>9383</v>
      </c>
      <c r="B2512" t="s">
        <v>9384</v>
      </c>
      <c r="C2512" t="s">
        <v>9385</v>
      </c>
      <c r="D2512" t="s">
        <v>9386</v>
      </c>
      <c r="E2512" t="s">
        <v>9384</v>
      </c>
      <c r="F2512" t="s">
        <v>28</v>
      </c>
      <c r="G2512" t="s">
        <v>9384</v>
      </c>
      <c r="H2512" t="str">
        <f>"nrde-3"</f>
        <v>nrde-3</v>
      </c>
      <c r="I2512" t="s">
        <v>9386</v>
      </c>
      <c r="J2512">
        <v>13.3750516129784</v>
      </c>
      <c r="K2512">
        <v>13.2416930275661</v>
      </c>
      <c r="L2512">
        <v>13.5918949532178</v>
      </c>
      <c r="M2512">
        <v>13.441552414138499</v>
      </c>
      <c r="N2512">
        <v>13.833730503525601</v>
      </c>
      <c r="O2512">
        <v>13.736004129513001</v>
      </c>
      <c r="P2512">
        <v>0.26754915113831002</v>
      </c>
      <c r="Q2512">
        <v>-0.169589128353103</v>
      </c>
      <c r="R2512">
        <v>0.70468743062972194</v>
      </c>
      <c r="S2512">
        <v>13.6528651285374</v>
      </c>
      <c r="T2512">
        <v>1.2919174132034099</v>
      </c>
      <c r="U2512">
        <v>-6.2156381716986804</v>
      </c>
      <c r="V2512">
        <v>0.21377927708814601</v>
      </c>
      <c r="W2512">
        <v>0.48041282295913601</v>
      </c>
      <c r="X2512">
        <v>0</v>
      </c>
      <c r="Y2512">
        <v>0</v>
      </c>
    </row>
    <row r="2513" spans="1:25" x14ac:dyDescent="0.2">
      <c r="A2513" t="s">
        <v>9387</v>
      </c>
      <c r="B2513" t="s">
        <v>9388</v>
      </c>
      <c r="C2513" t="s">
        <v>9389</v>
      </c>
      <c r="D2513" t="s">
        <v>9390</v>
      </c>
      <c r="E2513" t="s">
        <v>9388</v>
      </c>
      <c r="F2513" t="s">
        <v>28</v>
      </c>
      <c r="G2513" t="s">
        <v>9388</v>
      </c>
      <c r="H2513" t="str">
        <f>"ife-2"</f>
        <v>ife-2</v>
      </c>
      <c r="I2513" t="s">
        <v>9390</v>
      </c>
      <c r="J2513">
        <v>14.0686888834874</v>
      </c>
      <c r="K2513">
        <v>14.043546524526599</v>
      </c>
      <c r="L2513">
        <v>14.0107952360518</v>
      </c>
      <c r="M2513">
        <v>13.839806448260299</v>
      </c>
      <c r="N2513">
        <v>13.8381692579781</v>
      </c>
      <c r="O2513">
        <v>14.1072268232203</v>
      </c>
      <c r="P2513">
        <v>-0.112609371535699</v>
      </c>
      <c r="Q2513">
        <v>-0.46743325619237103</v>
      </c>
      <c r="R2513">
        <v>0.242214513120972</v>
      </c>
      <c r="S2513">
        <v>14.0228422413988</v>
      </c>
      <c r="T2513">
        <v>-0.66704356915632601</v>
      </c>
      <c r="U2513">
        <v>-6.82177849836697</v>
      </c>
      <c r="V2513">
        <v>0.51325434276552295</v>
      </c>
      <c r="W2513">
        <v>0.76053261901594305</v>
      </c>
      <c r="X2513">
        <v>0</v>
      </c>
      <c r="Y2513">
        <v>0</v>
      </c>
    </row>
    <row r="2514" spans="1:25" x14ac:dyDescent="0.2">
      <c r="A2514" t="s">
        <v>9391</v>
      </c>
      <c r="B2514" t="s">
        <v>9392</v>
      </c>
      <c r="C2514" t="s">
        <v>9393</v>
      </c>
      <c r="D2514" t="s">
        <v>9394</v>
      </c>
      <c r="E2514" t="s">
        <v>9392</v>
      </c>
      <c r="F2514" t="s">
        <v>28</v>
      </c>
      <c r="G2514" t="s">
        <v>9392</v>
      </c>
      <c r="H2514" t="str">
        <f>"ddx-52"</f>
        <v>ddx-52</v>
      </c>
      <c r="I2514" t="s">
        <v>9394</v>
      </c>
      <c r="J2514">
        <v>13.796030810060699</v>
      </c>
      <c r="K2514">
        <v>13.4923600261072</v>
      </c>
      <c r="L2514">
        <v>13.770090198077</v>
      </c>
      <c r="M2514">
        <v>13.3677082555211</v>
      </c>
      <c r="N2514">
        <v>13.8927506520057</v>
      </c>
      <c r="O2514">
        <v>13.540779062835201</v>
      </c>
      <c r="P2514">
        <v>-8.5747687960957095E-2</v>
      </c>
      <c r="Q2514">
        <v>-0.43639186948801001</v>
      </c>
      <c r="R2514">
        <v>0.26489649356609501</v>
      </c>
      <c r="S2514">
        <v>13.6380150779483</v>
      </c>
      <c r="T2514">
        <v>-0.51398245598564196</v>
      </c>
      <c r="U2514">
        <v>-6.9146597557348297</v>
      </c>
      <c r="V2514">
        <v>0.61355281249385896</v>
      </c>
      <c r="W2514">
        <v>0.817567916402545</v>
      </c>
      <c r="X2514">
        <v>0</v>
      </c>
      <c r="Y2514">
        <v>0</v>
      </c>
    </row>
    <row r="2515" spans="1:25" x14ac:dyDescent="0.2">
      <c r="A2515" t="s">
        <v>9395</v>
      </c>
      <c r="B2515" t="s">
        <v>9396</v>
      </c>
      <c r="C2515" t="s">
        <v>9397</v>
      </c>
      <c r="D2515" t="s">
        <v>9398</v>
      </c>
      <c r="E2515" t="s">
        <v>9396</v>
      </c>
      <c r="F2515" t="s">
        <v>28</v>
      </c>
      <c r="G2515" t="s">
        <v>9396</v>
      </c>
      <c r="H2515" t="str">
        <f>"tmem-208"</f>
        <v>tmem-208</v>
      </c>
      <c r="I2515" t="s">
        <v>9398</v>
      </c>
      <c r="J2515" t="s">
        <v>29</v>
      </c>
      <c r="K2515" t="s">
        <v>29</v>
      </c>
      <c r="L2515" t="s">
        <v>29</v>
      </c>
      <c r="M2515" t="s">
        <v>29</v>
      </c>
      <c r="N2515">
        <v>12.3193967298514</v>
      </c>
      <c r="O2515" t="s">
        <v>29</v>
      </c>
      <c r="P2515" t="s">
        <v>29</v>
      </c>
      <c r="Q2515" t="s">
        <v>29</v>
      </c>
      <c r="R2515" t="s">
        <v>29</v>
      </c>
      <c r="S2515">
        <v>12.500758162189101</v>
      </c>
      <c r="T2515" t="s">
        <v>29</v>
      </c>
      <c r="U2515" t="s">
        <v>29</v>
      </c>
      <c r="V2515" t="s">
        <v>29</v>
      </c>
      <c r="W2515" t="s">
        <v>29</v>
      </c>
      <c r="X2515" t="s">
        <v>29</v>
      </c>
      <c r="Y2515" t="s">
        <v>29</v>
      </c>
    </row>
    <row r="2516" spans="1:25" x14ac:dyDescent="0.2">
      <c r="A2516" t="s">
        <v>9399</v>
      </c>
      <c r="B2516" t="s">
        <v>9400</v>
      </c>
      <c r="C2516" t="s">
        <v>9401</v>
      </c>
      <c r="D2516" t="s">
        <v>9402</v>
      </c>
      <c r="E2516" t="s">
        <v>9400</v>
      </c>
      <c r="F2516" t="s">
        <v>28</v>
      </c>
      <c r="G2516" t="s">
        <v>9400</v>
      </c>
      <c r="H2516" t="str">
        <f>"edc-3"</f>
        <v>edc-3</v>
      </c>
      <c r="I2516" t="s">
        <v>9402</v>
      </c>
      <c r="J2516">
        <v>12.525600098484899</v>
      </c>
      <c r="K2516">
        <v>12.4126845062992</v>
      </c>
      <c r="L2516">
        <v>12.7432573310506</v>
      </c>
      <c r="M2516">
        <v>13.152084428178799</v>
      </c>
      <c r="N2516">
        <v>13.177006738378401</v>
      </c>
      <c r="O2516">
        <v>12.866902754383499</v>
      </c>
      <c r="P2516">
        <v>0.50481732836861304</v>
      </c>
      <c r="Q2516">
        <v>2.9171489186643602E-2</v>
      </c>
      <c r="R2516">
        <v>0.98046316755058305</v>
      </c>
      <c r="S2516">
        <v>13.641542092118501</v>
      </c>
      <c r="T2516">
        <v>2.2307097486208298</v>
      </c>
      <c r="U2516">
        <v>-4.7534021019408597</v>
      </c>
      <c r="V2516">
        <v>3.8741910120714103E-2</v>
      </c>
      <c r="W2516">
        <v>0.19454656718025301</v>
      </c>
      <c r="X2516">
        <v>0</v>
      </c>
      <c r="Y2516">
        <v>0</v>
      </c>
    </row>
    <row r="2517" spans="1:25" x14ac:dyDescent="0.2">
      <c r="A2517" t="s">
        <v>9403</v>
      </c>
      <c r="B2517" t="s">
        <v>9404</v>
      </c>
      <c r="C2517" t="s">
        <v>14505</v>
      </c>
      <c r="D2517" t="s">
        <v>9405</v>
      </c>
      <c r="E2517" t="s">
        <v>9404</v>
      </c>
      <c r="F2517" t="s">
        <v>28</v>
      </c>
      <c r="G2517" t="s">
        <v>9404</v>
      </c>
      <c r="H2517" t="str">
        <f>"R05F9.6"</f>
        <v>R05F9.6</v>
      </c>
      <c r="I2517" t="s">
        <v>9405</v>
      </c>
      <c r="J2517">
        <v>15.063625598701099</v>
      </c>
      <c r="K2517">
        <v>14.7313261656605</v>
      </c>
      <c r="L2517">
        <v>14.8739185980534</v>
      </c>
      <c r="M2517">
        <v>14.794595149386399</v>
      </c>
      <c r="N2517">
        <v>14.418798156173899</v>
      </c>
      <c r="O2517">
        <v>15.1250684772073</v>
      </c>
      <c r="P2517">
        <v>-0.11013619321576899</v>
      </c>
      <c r="Q2517">
        <v>-0.71170734911268796</v>
      </c>
      <c r="R2517">
        <v>0.49143496268115</v>
      </c>
      <c r="S2517">
        <v>14.7795563589591</v>
      </c>
      <c r="T2517">
        <v>-0.384800448809207</v>
      </c>
      <c r="U2517">
        <v>-6.9748092308915801</v>
      </c>
      <c r="V2517">
        <v>0.70492027101175503</v>
      </c>
      <c r="W2517">
        <v>0.86788140819986703</v>
      </c>
      <c r="X2517">
        <v>0</v>
      </c>
      <c r="Y2517">
        <v>0</v>
      </c>
    </row>
    <row r="2518" spans="1:25" x14ac:dyDescent="0.2">
      <c r="A2518" t="s">
        <v>9406</v>
      </c>
      <c r="B2518" t="s">
        <v>9407</v>
      </c>
      <c r="C2518" t="s">
        <v>9408</v>
      </c>
      <c r="D2518" t="s">
        <v>9409</v>
      </c>
      <c r="E2518" t="s">
        <v>9407</v>
      </c>
      <c r="F2518" t="s">
        <v>28</v>
      </c>
      <c r="G2518" t="s">
        <v>9407</v>
      </c>
      <c r="H2518" t="str">
        <f>"vdac-1"</f>
        <v>vdac-1</v>
      </c>
      <c r="I2518" t="s">
        <v>9409</v>
      </c>
      <c r="J2518">
        <v>17.6811679796308</v>
      </c>
      <c r="K2518">
        <v>17.942653127507199</v>
      </c>
      <c r="L2518">
        <v>18.5880838475736</v>
      </c>
      <c r="M2518">
        <v>17.374503086293799</v>
      </c>
      <c r="N2518">
        <v>17.622285338573501</v>
      </c>
      <c r="O2518">
        <v>17.6832348471616</v>
      </c>
      <c r="P2518">
        <v>-0.51062722756092405</v>
      </c>
      <c r="Q2518">
        <v>-1.1072832990338599</v>
      </c>
      <c r="R2518">
        <v>8.6028843912008907E-2</v>
      </c>
      <c r="S2518">
        <v>18.292481589411501</v>
      </c>
      <c r="T2518">
        <v>-1.79875666977106</v>
      </c>
      <c r="U2518">
        <v>-5.4944724137397998</v>
      </c>
      <c r="V2518">
        <v>8.8946098768831097E-2</v>
      </c>
      <c r="W2518">
        <v>0.30562893916977502</v>
      </c>
      <c r="X2518">
        <v>0</v>
      </c>
      <c r="Y2518">
        <v>0</v>
      </c>
    </row>
    <row r="2519" spans="1:25" x14ac:dyDescent="0.2">
      <c r="A2519" t="s">
        <v>9410</v>
      </c>
      <c r="B2519" t="s">
        <v>9411</v>
      </c>
      <c r="C2519" t="s">
        <v>9412</v>
      </c>
      <c r="D2519" t="s">
        <v>9413</v>
      </c>
      <c r="E2519" t="s">
        <v>9411</v>
      </c>
      <c r="F2519" t="s">
        <v>28</v>
      </c>
      <c r="G2519" t="s">
        <v>9411</v>
      </c>
      <c r="H2519" t="str">
        <f>"plc-4"</f>
        <v>plc-4</v>
      </c>
      <c r="I2519" t="s">
        <v>9413</v>
      </c>
      <c r="J2519">
        <v>14.2261764626233</v>
      </c>
      <c r="K2519">
        <v>14.1212111431115</v>
      </c>
      <c r="L2519">
        <v>13.705721418459399</v>
      </c>
      <c r="M2519">
        <v>14.240764362306299</v>
      </c>
      <c r="N2519">
        <v>14.4467972498806</v>
      </c>
      <c r="O2519">
        <v>14.0839859784942</v>
      </c>
      <c r="P2519">
        <v>0.23947952216231799</v>
      </c>
      <c r="Q2519">
        <v>-0.19683200379516599</v>
      </c>
      <c r="R2519">
        <v>0.67579104811980195</v>
      </c>
      <c r="S2519">
        <v>13.6993298688582</v>
      </c>
      <c r="T2519">
        <v>1.1536238080108401</v>
      </c>
      <c r="U2519">
        <v>-6.3795351681376404</v>
      </c>
      <c r="V2519">
        <v>0.26383026042563601</v>
      </c>
      <c r="W2519">
        <v>0.54000390968960699</v>
      </c>
      <c r="X2519">
        <v>0</v>
      </c>
      <c r="Y2519">
        <v>0</v>
      </c>
    </row>
    <row r="2520" spans="1:25" x14ac:dyDescent="0.2">
      <c r="A2520" t="s">
        <v>9414</v>
      </c>
      <c r="B2520" t="s">
        <v>9415</v>
      </c>
      <c r="C2520" t="s">
        <v>9416</v>
      </c>
      <c r="D2520" t="s">
        <v>9417</v>
      </c>
      <c r="E2520" t="s">
        <v>9415</v>
      </c>
      <c r="F2520" t="s">
        <v>28</v>
      </c>
      <c r="G2520" t="s">
        <v>9415</v>
      </c>
      <c r="H2520" t="str">
        <f>"R05G6.4"</f>
        <v>R05G6.4</v>
      </c>
      <c r="I2520" t="s">
        <v>9417</v>
      </c>
      <c r="J2520">
        <v>12.179307337627399</v>
      </c>
      <c r="K2520">
        <v>11.849736085773699</v>
      </c>
      <c r="L2520">
        <v>12.0397667025746</v>
      </c>
      <c r="M2520">
        <v>11.3325743474566</v>
      </c>
      <c r="N2520">
        <v>12.0073240965471</v>
      </c>
      <c r="O2520">
        <v>12.6214551302924</v>
      </c>
      <c r="P2520">
        <v>-3.5818850559858E-2</v>
      </c>
      <c r="Q2520">
        <v>-0.69435583803913004</v>
      </c>
      <c r="R2520">
        <v>0.62271813691941402</v>
      </c>
      <c r="S2520">
        <v>13.0592170858203</v>
      </c>
      <c r="T2520">
        <v>-0.115366841373373</v>
      </c>
      <c r="U2520">
        <v>-7.0450679240370802</v>
      </c>
      <c r="V2520">
        <v>0.90959922822841199</v>
      </c>
      <c r="W2520">
        <v>0.96798538961646996</v>
      </c>
      <c r="X2520">
        <v>0</v>
      </c>
      <c r="Y2520">
        <v>0</v>
      </c>
    </row>
    <row r="2521" spans="1:25" x14ac:dyDescent="0.2">
      <c r="A2521" t="s">
        <v>9418</v>
      </c>
      <c r="B2521" t="s">
        <v>9419</v>
      </c>
      <c r="C2521" t="s">
        <v>14506</v>
      </c>
      <c r="D2521" t="s">
        <v>4039</v>
      </c>
      <c r="E2521" t="s">
        <v>9419</v>
      </c>
      <c r="F2521" t="s">
        <v>28</v>
      </c>
      <c r="G2521" t="s">
        <v>9419</v>
      </c>
      <c r="H2521" t="str">
        <f>"R05H5.3"</f>
        <v>R05H5.3</v>
      </c>
      <c r="I2521" t="s">
        <v>4039</v>
      </c>
      <c r="J2521">
        <v>11.438568951862001</v>
      </c>
      <c r="K2521" t="s">
        <v>29</v>
      </c>
      <c r="L2521">
        <v>11.9017993292802</v>
      </c>
      <c r="M2521">
        <v>11.528453801041</v>
      </c>
      <c r="N2521">
        <v>11.4170058936948</v>
      </c>
      <c r="O2521">
        <v>11.95158733079</v>
      </c>
      <c r="P2521">
        <v>-3.7835132062536303E-2</v>
      </c>
      <c r="Q2521">
        <v>-0.58105870109138702</v>
      </c>
      <c r="R2521">
        <v>0.50538843696631397</v>
      </c>
      <c r="S2521">
        <v>12.088817550303901</v>
      </c>
      <c r="T2521">
        <v>-0.14948876102324701</v>
      </c>
      <c r="U2521">
        <v>-6.9295735596803798</v>
      </c>
      <c r="V2521">
        <v>0.88331604270893704</v>
      </c>
      <c r="W2521">
        <v>0.95847683935165195</v>
      </c>
      <c r="X2521">
        <v>0</v>
      </c>
      <c r="Y2521">
        <v>0</v>
      </c>
    </row>
    <row r="2522" spans="1:25" x14ac:dyDescent="0.2">
      <c r="A2522" t="s">
        <v>9420</v>
      </c>
      <c r="B2522" t="s">
        <v>9421</v>
      </c>
      <c r="C2522" t="s">
        <v>9422</v>
      </c>
      <c r="D2522" t="s">
        <v>9423</v>
      </c>
      <c r="E2522" t="s">
        <v>9421</v>
      </c>
      <c r="F2522" t="s">
        <v>28</v>
      </c>
      <c r="G2522" t="s">
        <v>9421</v>
      </c>
      <c r="H2522" t="str">
        <f>"wago-1"</f>
        <v>wago-1</v>
      </c>
      <c r="I2522" t="s">
        <v>9423</v>
      </c>
      <c r="J2522">
        <v>12.2086898888668</v>
      </c>
      <c r="K2522">
        <v>12.2407268434372</v>
      </c>
      <c r="L2522">
        <v>12.2048249150613</v>
      </c>
      <c r="M2522">
        <v>10.6280749285255</v>
      </c>
      <c r="N2522">
        <v>11.705278981912899</v>
      </c>
      <c r="O2522">
        <v>11.792508489755001</v>
      </c>
      <c r="P2522">
        <v>-0.84279308239066897</v>
      </c>
      <c r="Q2522">
        <v>-1.5484585035168099</v>
      </c>
      <c r="R2522">
        <v>-0.137127661264527</v>
      </c>
      <c r="S2522">
        <v>12.380908530067201</v>
      </c>
      <c r="T2522">
        <v>-2.5209958960499002</v>
      </c>
      <c r="U2522">
        <v>-4.2197824006572997</v>
      </c>
      <c r="V2522">
        <v>2.2051976482458699E-2</v>
      </c>
      <c r="W2522">
        <v>0.14447149862821701</v>
      </c>
      <c r="X2522">
        <v>0</v>
      </c>
      <c r="Y2522">
        <v>0</v>
      </c>
    </row>
    <row r="2523" spans="1:25" x14ac:dyDescent="0.2">
      <c r="A2523" t="s">
        <v>9424</v>
      </c>
      <c r="B2523" t="s">
        <v>9425</v>
      </c>
      <c r="C2523" t="s">
        <v>9426</v>
      </c>
      <c r="D2523" t="s">
        <v>9427</v>
      </c>
      <c r="E2523" t="s">
        <v>9425</v>
      </c>
      <c r="F2523" t="s">
        <v>28</v>
      </c>
      <c r="G2523" t="s">
        <v>9425</v>
      </c>
      <c r="H2523" t="str">
        <f>"dhp-1"</f>
        <v>dhp-1</v>
      </c>
      <c r="I2523" t="s">
        <v>9427</v>
      </c>
      <c r="J2523" t="s">
        <v>29</v>
      </c>
      <c r="K2523" t="s">
        <v>29</v>
      </c>
      <c r="L2523" t="s">
        <v>29</v>
      </c>
      <c r="M2523">
        <v>13.676614373315701</v>
      </c>
      <c r="N2523">
        <v>13.6694407400353</v>
      </c>
      <c r="O2523">
        <v>12.933502334258</v>
      </c>
      <c r="P2523" t="s">
        <v>29</v>
      </c>
      <c r="Q2523" t="s">
        <v>29</v>
      </c>
      <c r="R2523" t="s">
        <v>29</v>
      </c>
      <c r="S2523">
        <v>12.775188211087601</v>
      </c>
      <c r="T2523" t="s">
        <v>29</v>
      </c>
      <c r="U2523" t="s">
        <v>29</v>
      </c>
      <c r="V2523" t="s">
        <v>29</v>
      </c>
      <c r="W2523" t="s">
        <v>29</v>
      </c>
      <c r="X2523" t="s">
        <v>29</v>
      </c>
      <c r="Y2523" t="s">
        <v>29</v>
      </c>
    </row>
    <row r="2524" spans="1:25" x14ac:dyDescent="0.2">
      <c r="A2524" t="s">
        <v>9428</v>
      </c>
      <c r="B2524" t="s">
        <v>9429</v>
      </c>
      <c r="C2524" t="s">
        <v>9430</v>
      </c>
      <c r="D2524" t="s">
        <v>9431</v>
      </c>
      <c r="E2524" t="s">
        <v>9429</v>
      </c>
      <c r="F2524" t="s">
        <v>28</v>
      </c>
      <c r="G2524" t="s">
        <v>9429</v>
      </c>
      <c r="H2524" t="str">
        <f>"bub-1"</f>
        <v>bub-1</v>
      </c>
      <c r="I2524" t="s">
        <v>9431</v>
      </c>
      <c r="J2524">
        <v>12.340597534543001</v>
      </c>
      <c r="K2524">
        <v>12.1325031356553</v>
      </c>
      <c r="L2524">
        <v>12.402291479972201</v>
      </c>
      <c r="M2524">
        <v>11.5416021171691</v>
      </c>
      <c r="N2524">
        <v>11.908990968817999</v>
      </c>
      <c r="O2524">
        <v>11.9634654347013</v>
      </c>
      <c r="P2524">
        <v>-0.48711120982738298</v>
      </c>
      <c r="Q2524">
        <v>-0.92192914515286095</v>
      </c>
      <c r="R2524">
        <v>-5.2293274501904602E-2</v>
      </c>
      <c r="S2524">
        <v>12.3280631512496</v>
      </c>
      <c r="T2524">
        <v>-2.3761300371048</v>
      </c>
      <c r="U2524">
        <v>-4.5064471316374402</v>
      </c>
      <c r="V2524">
        <v>3.0415370788294E-2</v>
      </c>
      <c r="W2524">
        <v>0.17152793162063901</v>
      </c>
      <c r="X2524">
        <v>0</v>
      </c>
      <c r="Y2524">
        <v>0</v>
      </c>
    </row>
    <row r="2525" spans="1:25" x14ac:dyDescent="0.2">
      <c r="A2525" t="s">
        <v>9432</v>
      </c>
      <c r="B2525" t="s">
        <v>9433</v>
      </c>
      <c r="C2525" t="s">
        <v>9434</v>
      </c>
      <c r="D2525" t="s">
        <v>130</v>
      </c>
      <c r="E2525" t="s">
        <v>9433</v>
      </c>
      <c r="F2525" t="s">
        <v>28</v>
      </c>
      <c r="G2525" t="s">
        <v>9433</v>
      </c>
      <c r="H2525" t="str">
        <f>"ztf-15"</f>
        <v>ztf-15</v>
      </c>
      <c r="I2525" t="s">
        <v>130</v>
      </c>
      <c r="J2525" t="s">
        <v>29</v>
      </c>
      <c r="K2525" t="s">
        <v>29</v>
      </c>
      <c r="L2525" t="s">
        <v>29</v>
      </c>
      <c r="M2525" t="s">
        <v>29</v>
      </c>
      <c r="N2525" t="s">
        <v>29</v>
      </c>
      <c r="O2525" t="s">
        <v>29</v>
      </c>
      <c r="P2525" t="s">
        <v>29</v>
      </c>
      <c r="Q2525" t="s">
        <v>29</v>
      </c>
      <c r="R2525" t="s">
        <v>29</v>
      </c>
      <c r="S2525">
        <v>10.085795438411701</v>
      </c>
      <c r="T2525" t="s">
        <v>29</v>
      </c>
      <c r="U2525" t="s">
        <v>29</v>
      </c>
      <c r="V2525" t="s">
        <v>29</v>
      </c>
      <c r="W2525" t="s">
        <v>29</v>
      </c>
      <c r="X2525" t="s">
        <v>29</v>
      </c>
      <c r="Y2525" t="s">
        <v>29</v>
      </c>
    </row>
    <row r="2526" spans="1:25" x14ac:dyDescent="0.2">
      <c r="A2526" t="s">
        <v>9435</v>
      </c>
      <c r="B2526" t="s">
        <v>9436</v>
      </c>
      <c r="C2526" t="s">
        <v>9437</v>
      </c>
      <c r="D2526" t="s">
        <v>666</v>
      </c>
      <c r="E2526" t="s">
        <v>9436</v>
      </c>
      <c r="F2526" t="s">
        <v>28</v>
      </c>
      <c r="G2526" t="s">
        <v>9436</v>
      </c>
      <c r="H2526" t="str">
        <f>"pqn-53"</f>
        <v>pqn-53</v>
      </c>
      <c r="I2526" t="s">
        <v>666</v>
      </c>
      <c r="J2526">
        <v>17.238451452817799</v>
      </c>
      <c r="K2526">
        <v>17.5975065161294</v>
      </c>
      <c r="L2526">
        <v>17.545060076062999</v>
      </c>
      <c r="M2526">
        <v>17.593495672485101</v>
      </c>
      <c r="N2526">
        <v>17.1254598348272</v>
      </c>
      <c r="O2526">
        <v>17.602750154725602</v>
      </c>
      <c r="P2526">
        <v>-1.9770794324095699E-2</v>
      </c>
      <c r="Q2526">
        <v>-0.58057936130313803</v>
      </c>
      <c r="R2526">
        <v>0.54103777265494701</v>
      </c>
      <c r="S2526">
        <v>17.283558261066101</v>
      </c>
      <c r="T2526">
        <v>-7.4097233249899003E-2</v>
      </c>
      <c r="U2526">
        <v>-7.0492095675748496</v>
      </c>
      <c r="V2526">
        <v>0.94175501387529603</v>
      </c>
      <c r="W2526">
        <v>0.97576384643441005</v>
      </c>
      <c r="X2526">
        <v>0</v>
      </c>
      <c r="Y2526">
        <v>0</v>
      </c>
    </row>
    <row r="2527" spans="1:25" x14ac:dyDescent="0.2">
      <c r="A2527" t="s">
        <v>9438</v>
      </c>
      <c r="B2527" t="s">
        <v>9439</v>
      </c>
      <c r="C2527" t="s">
        <v>9440</v>
      </c>
      <c r="D2527" t="s">
        <v>9441</v>
      </c>
      <c r="E2527" t="s">
        <v>9439</v>
      </c>
      <c r="F2527" t="s">
        <v>28</v>
      </c>
      <c r="G2527" t="s">
        <v>9439</v>
      </c>
      <c r="H2527" t="str">
        <f>"kmo-1"</f>
        <v>kmo-1</v>
      </c>
      <c r="I2527" t="s">
        <v>9441</v>
      </c>
      <c r="J2527" t="s">
        <v>29</v>
      </c>
      <c r="K2527" t="s">
        <v>29</v>
      </c>
      <c r="L2527" t="s">
        <v>29</v>
      </c>
      <c r="M2527">
        <v>11.760886374411299</v>
      </c>
      <c r="N2527" t="s">
        <v>29</v>
      </c>
      <c r="O2527">
        <v>11.362828183478699</v>
      </c>
      <c r="P2527" t="s">
        <v>29</v>
      </c>
      <c r="Q2527" t="s">
        <v>29</v>
      </c>
      <c r="R2527" t="s">
        <v>29</v>
      </c>
      <c r="S2527">
        <v>11.899659199055099</v>
      </c>
      <c r="T2527" t="s">
        <v>29</v>
      </c>
      <c r="U2527" t="s">
        <v>29</v>
      </c>
      <c r="V2527" t="s">
        <v>29</v>
      </c>
      <c r="W2527" t="s">
        <v>29</v>
      </c>
      <c r="X2527" t="s">
        <v>29</v>
      </c>
      <c r="Y2527" t="s">
        <v>29</v>
      </c>
    </row>
    <row r="2528" spans="1:25" x14ac:dyDescent="0.2">
      <c r="A2528" t="s">
        <v>9442</v>
      </c>
      <c r="B2528" t="s">
        <v>9443</v>
      </c>
      <c r="C2528" t="s">
        <v>14507</v>
      </c>
      <c r="D2528" t="s">
        <v>1434</v>
      </c>
      <c r="E2528" t="s">
        <v>9443</v>
      </c>
      <c r="F2528" t="s">
        <v>28</v>
      </c>
      <c r="G2528" t="s">
        <v>9443</v>
      </c>
      <c r="H2528" t="str">
        <f>"R07B7.10"</f>
        <v>R07B7.10</v>
      </c>
      <c r="I2528" t="s">
        <v>1434</v>
      </c>
      <c r="J2528">
        <v>13.6326889261369</v>
      </c>
      <c r="K2528">
        <v>13.8971267108058</v>
      </c>
      <c r="L2528">
        <v>13.9238746586233</v>
      </c>
      <c r="M2528">
        <v>13.433005320022</v>
      </c>
      <c r="N2528">
        <v>13.564983688596</v>
      </c>
      <c r="O2528">
        <v>13.163404741615199</v>
      </c>
      <c r="P2528">
        <v>-0.430765515110972</v>
      </c>
      <c r="Q2528">
        <v>-0.88099714144938601</v>
      </c>
      <c r="R2528">
        <v>1.9466111227443E-2</v>
      </c>
      <c r="S2528">
        <v>13.432388587367701</v>
      </c>
      <c r="T2528">
        <v>-2.0293383369316702</v>
      </c>
      <c r="U2528">
        <v>-5.12193922488217</v>
      </c>
      <c r="V2528">
        <v>5.9513206981369297E-2</v>
      </c>
      <c r="W2528">
        <v>0.245756314108345</v>
      </c>
      <c r="X2528">
        <v>0</v>
      </c>
      <c r="Y2528">
        <v>0</v>
      </c>
    </row>
    <row r="2529" spans="1:25" x14ac:dyDescent="0.2">
      <c r="A2529" t="s">
        <v>9444</v>
      </c>
      <c r="B2529" t="s">
        <v>9445</v>
      </c>
      <c r="C2529" t="s">
        <v>9446</v>
      </c>
      <c r="D2529" t="s">
        <v>312</v>
      </c>
      <c r="E2529" t="s">
        <v>9445</v>
      </c>
      <c r="F2529" t="s">
        <v>28</v>
      </c>
      <c r="G2529" t="s">
        <v>9445</v>
      </c>
      <c r="H2529" t="str">
        <f>"acl-5"</f>
        <v>acl-5</v>
      </c>
      <c r="I2529" t="s">
        <v>312</v>
      </c>
      <c r="J2529">
        <v>12.915033924500801</v>
      </c>
      <c r="K2529">
        <v>12.4772641695593</v>
      </c>
      <c r="L2529">
        <v>12.932845278673</v>
      </c>
      <c r="M2529">
        <v>13.4438397008088</v>
      </c>
      <c r="N2529">
        <v>13.0582819961329</v>
      </c>
      <c r="O2529">
        <v>13.1969292985804</v>
      </c>
      <c r="P2529">
        <v>0.45796920759635601</v>
      </c>
      <c r="Q2529">
        <v>-8.3986045338592705E-2</v>
      </c>
      <c r="R2529">
        <v>0.99992446053130501</v>
      </c>
      <c r="S2529">
        <v>13.0172064088722</v>
      </c>
      <c r="T2529">
        <v>1.7837043090334901</v>
      </c>
      <c r="U2529">
        <v>-5.5206739055248004</v>
      </c>
      <c r="V2529">
        <v>9.2443492049677195E-2</v>
      </c>
      <c r="W2529">
        <v>0.31301885861565998</v>
      </c>
      <c r="X2529">
        <v>0</v>
      </c>
      <c r="Y2529">
        <v>0</v>
      </c>
    </row>
    <row r="2530" spans="1:25" x14ac:dyDescent="0.2">
      <c r="A2530" t="s">
        <v>9447</v>
      </c>
      <c r="B2530" t="s">
        <v>9448</v>
      </c>
      <c r="C2530" t="s">
        <v>14508</v>
      </c>
      <c r="D2530" t="s">
        <v>674</v>
      </c>
      <c r="E2530" t="s">
        <v>9448</v>
      </c>
      <c r="F2530" t="s">
        <v>28</v>
      </c>
      <c r="G2530" t="s">
        <v>9448</v>
      </c>
      <c r="H2530" t="str">
        <f>"R07E4.5"</f>
        <v>R07E4.5</v>
      </c>
      <c r="I2530" t="s">
        <v>674</v>
      </c>
      <c r="J2530">
        <v>12.6953127906796</v>
      </c>
      <c r="K2530">
        <v>13.429967903512599</v>
      </c>
      <c r="L2530">
        <v>12.9793282845693</v>
      </c>
      <c r="M2530">
        <v>13.3198761976052</v>
      </c>
      <c r="N2530">
        <v>12.8689581844072</v>
      </c>
      <c r="O2530">
        <v>12.346884443672399</v>
      </c>
      <c r="P2530">
        <v>-0.18963005102558</v>
      </c>
      <c r="Q2530">
        <v>-0.67976207754835105</v>
      </c>
      <c r="R2530">
        <v>0.30050197549719199</v>
      </c>
      <c r="S2530">
        <v>13.348201402252601</v>
      </c>
      <c r="T2530">
        <v>-0.82062285893706199</v>
      </c>
      <c r="U2530">
        <v>-6.7041937998874896</v>
      </c>
      <c r="V2530">
        <v>0.42399778465224203</v>
      </c>
      <c r="W2530">
        <v>0.69610938004964396</v>
      </c>
      <c r="X2530">
        <v>0</v>
      </c>
      <c r="Y2530">
        <v>0</v>
      </c>
    </row>
    <row r="2531" spans="1:25" x14ac:dyDescent="0.2">
      <c r="A2531" t="s">
        <v>9449</v>
      </c>
      <c r="B2531" t="s">
        <v>9450</v>
      </c>
      <c r="C2531" t="s">
        <v>9451</v>
      </c>
      <c r="D2531" t="s">
        <v>9452</v>
      </c>
      <c r="E2531" t="s">
        <v>9450</v>
      </c>
      <c r="F2531" t="s">
        <v>28</v>
      </c>
      <c r="G2531" t="s">
        <v>9450</v>
      </c>
      <c r="H2531" t="str">
        <f>"prdx-3"</f>
        <v>prdx-3</v>
      </c>
      <c r="I2531" t="s">
        <v>9452</v>
      </c>
      <c r="J2531">
        <v>13.721305556923999</v>
      </c>
      <c r="K2531">
        <v>14.0450597445762</v>
      </c>
      <c r="L2531">
        <v>12.5854238628988</v>
      </c>
      <c r="M2531">
        <v>13.4389125347064</v>
      </c>
      <c r="N2531">
        <v>14.1721077220887</v>
      </c>
      <c r="O2531">
        <v>14.490182661985299</v>
      </c>
      <c r="P2531">
        <v>0.583137918127134</v>
      </c>
      <c r="Q2531">
        <v>-0.14290252368335299</v>
      </c>
      <c r="R2531">
        <v>1.3091783599376201</v>
      </c>
      <c r="S2531">
        <v>13.714560461184499</v>
      </c>
      <c r="T2531">
        <v>1.6881187078795801</v>
      </c>
      <c r="U2531">
        <v>-5.6670559861760497</v>
      </c>
      <c r="V2531">
        <v>0.108738800428987</v>
      </c>
      <c r="W2531">
        <v>0.341540595169812</v>
      </c>
      <c r="X2531">
        <v>0</v>
      </c>
      <c r="Y2531">
        <v>0</v>
      </c>
    </row>
    <row r="2532" spans="1:25" x14ac:dyDescent="0.2">
      <c r="A2532" t="s">
        <v>9453</v>
      </c>
      <c r="B2532" t="s">
        <v>9454</v>
      </c>
      <c r="C2532" t="s">
        <v>9455</v>
      </c>
      <c r="D2532" t="s">
        <v>9456</v>
      </c>
      <c r="E2532" t="s">
        <v>9454</v>
      </c>
      <c r="F2532" t="s">
        <v>28</v>
      </c>
      <c r="G2532" t="s">
        <v>9454</v>
      </c>
      <c r="H2532" t="str">
        <f>"R07E5.1"</f>
        <v>R07E5.1</v>
      </c>
      <c r="I2532" t="s">
        <v>9456</v>
      </c>
      <c r="J2532" t="s">
        <v>29</v>
      </c>
      <c r="K2532" t="s">
        <v>29</v>
      </c>
      <c r="L2532" t="s">
        <v>29</v>
      </c>
      <c r="M2532" t="s">
        <v>29</v>
      </c>
      <c r="N2532" t="s">
        <v>29</v>
      </c>
      <c r="O2532">
        <v>9.8187968666706205</v>
      </c>
      <c r="P2532" t="s">
        <v>29</v>
      </c>
      <c r="Q2532" t="s">
        <v>29</v>
      </c>
      <c r="R2532" t="s">
        <v>29</v>
      </c>
      <c r="S2532">
        <v>11.593327143068599</v>
      </c>
      <c r="T2532" t="s">
        <v>29</v>
      </c>
      <c r="U2532" t="s">
        <v>29</v>
      </c>
      <c r="V2532" t="s">
        <v>29</v>
      </c>
      <c r="W2532" t="s">
        <v>29</v>
      </c>
      <c r="X2532" t="s">
        <v>29</v>
      </c>
      <c r="Y2532" t="s">
        <v>29</v>
      </c>
    </row>
    <row r="2533" spans="1:25" x14ac:dyDescent="0.2">
      <c r="A2533" t="s">
        <v>9457</v>
      </c>
      <c r="B2533" t="s">
        <v>9458</v>
      </c>
      <c r="C2533" t="s">
        <v>9459</v>
      </c>
      <c r="D2533" t="s">
        <v>9460</v>
      </c>
      <c r="E2533" t="s">
        <v>9458</v>
      </c>
      <c r="F2533" t="s">
        <v>28</v>
      </c>
      <c r="G2533" t="s">
        <v>9458</v>
      </c>
      <c r="H2533" t="str">
        <f>"mpc-1"</f>
        <v>mpc-1</v>
      </c>
      <c r="I2533" t="s">
        <v>9460</v>
      </c>
      <c r="J2533">
        <v>13.352425435549</v>
      </c>
      <c r="K2533">
        <v>13.327233760661899</v>
      </c>
      <c r="L2533">
        <v>13.562181446055201</v>
      </c>
      <c r="M2533">
        <v>13.691189801900601</v>
      </c>
      <c r="N2533">
        <v>12.758428079242901</v>
      </c>
      <c r="O2533">
        <v>12.4653217416411</v>
      </c>
      <c r="P2533">
        <v>-0.44230033982713302</v>
      </c>
      <c r="Q2533">
        <v>-1.3898936414601499</v>
      </c>
      <c r="R2533">
        <v>0.50529296180588101</v>
      </c>
      <c r="S2533">
        <v>12.5739703862107</v>
      </c>
      <c r="T2533">
        <v>-0.98524741501507396</v>
      </c>
      <c r="U2533">
        <v>-6.5560029871013299</v>
      </c>
      <c r="V2533">
        <v>0.33840291117154297</v>
      </c>
      <c r="W2533">
        <v>0.61655267242564504</v>
      </c>
      <c r="X2533">
        <v>0</v>
      </c>
      <c r="Y2533">
        <v>0</v>
      </c>
    </row>
    <row r="2534" spans="1:25" x14ac:dyDescent="0.2">
      <c r="A2534" t="s">
        <v>9461</v>
      </c>
      <c r="B2534" t="s">
        <v>9462</v>
      </c>
      <c r="C2534" t="s">
        <v>9463</v>
      </c>
      <c r="D2534" t="s">
        <v>9464</v>
      </c>
      <c r="E2534" t="s">
        <v>9462</v>
      </c>
      <c r="F2534" t="s">
        <v>28</v>
      </c>
      <c r="G2534" t="s">
        <v>9462</v>
      </c>
      <c r="H2534" t="str">
        <f>"cku-80"</f>
        <v>cku-80</v>
      </c>
      <c r="I2534" t="s">
        <v>9464</v>
      </c>
      <c r="J2534">
        <v>11.696515478305599</v>
      </c>
      <c r="K2534">
        <v>11.5289575546955</v>
      </c>
      <c r="L2534">
        <v>11.4871711240019</v>
      </c>
      <c r="M2534" t="s">
        <v>29</v>
      </c>
      <c r="N2534" t="s">
        <v>29</v>
      </c>
      <c r="O2534" t="s">
        <v>29</v>
      </c>
      <c r="P2534" t="s">
        <v>29</v>
      </c>
      <c r="Q2534" t="s">
        <v>29</v>
      </c>
      <c r="R2534" t="s">
        <v>29</v>
      </c>
      <c r="S2534">
        <v>12.2908469053296</v>
      </c>
      <c r="T2534" t="s">
        <v>29</v>
      </c>
      <c r="U2534" t="s">
        <v>29</v>
      </c>
      <c r="V2534" t="s">
        <v>29</v>
      </c>
      <c r="W2534" t="s">
        <v>29</v>
      </c>
      <c r="X2534" t="s">
        <v>29</v>
      </c>
      <c r="Y2534" t="s">
        <v>29</v>
      </c>
    </row>
    <row r="2535" spans="1:25" x14ac:dyDescent="0.2">
      <c r="A2535" t="s">
        <v>9465</v>
      </c>
      <c r="B2535" t="s">
        <v>9466</v>
      </c>
      <c r="C2535" t="s">
        <v>9467</v>
      </c>
      <c r="D2535" t="s">
        <v>9468</v>
      </c>
      <c r="E2535" t="s">
        <v>9466</v>
      </c>
      <c r="F2535" t="s">
        <v>28</v>
      </c>
      <c r="G2535" t="s">
        <v>9466</v>
      </c>
      <c r="H2535" t="str">
        <f>"snfc-5"</f>
        <v>snfc-5</v>
      </c>
      <c r="I2535" t="s">
        <v>9468</v>
      </c>
      <c r="J2535">
        <v>15.051703948550299</v>
      </c>
      <c r="K2535">
        <v>15.2133149165821</v>
      </c>
      <c r="L2535">
        <v>15.0097004123042</v>
      </c>
      <c r="M2535">
        <v>15.203525801384901</v>
      </c>
      <c r="N2535">
        <v>14.8905726349193</v>
      </c>
      <c r="O2535">
        <v>14.828670315503301</v>
      </c>
      <c r="P2535">
        <v>-0.117316841876349</v>
      </c>
      <c r="Q2535">
        <v>-0.49062459304665601</v>
      </c>
      <c r="R2535">
        <v>0.25599090929395901</v>
      </c>
      <c r="S2535">
        <v>14.8152563675881</v>
      </c>
      <c r="T2535">
        <v>-0.66051984313866596</v>
      </c>
      <c r="U2535">
        <v>-6.8262073667793102</v>
      </c>
      <c r="V2535">
        <v>0.51733351444633702</v>
      </c>
      <c r="W2535">
        <v>0.76292552972592698</v>
      </c>
      <c r="X2535">
        <v>0</v>
      </c>
      <c r="Y2535">
        <v>0</v>
      </c>
    </row>
    <row r="2536" spans="1:25" x14ac:dyDescent="0.2">
      <c r="A2536" t="s">
        <v>9469</v>
      </c>
      <c r="B2536" t="s">
        <v>9470</v>
      </c>
      <c r="C2536" t="s">
        <v>9471</v>
      </c>
      <c r="D2536" t="s">
        <v>2432</v>
      </c>
      <c r="E2536" t="s">
        <v>9470</v>
      </c>
      <c r="F2536" t="s">
        <v>28</v>
      </c>
      <c r="G2536" t="s">
        <v>9470</v>
      </c>
      <c r="H2536" t="str">
        <f>"ivns-1"</f>
        <v>ivns-1</v>
      </c>
      <c r="I2536" t="s">
        <v>2432</v>
      </c>
      <c r="J2536">
        <v>12.767921153455299</v>
      </c>
      <c r="K2536">
        <v>12.8428017920839</v>
      </c>
      <c r="L2536">
        <v>13.0138894181816</v>
      </c>
      <c r="M2536">
        <v>15.4988817594447</v>
      </c>
      <c r="N2536">
        <v>16.5215899383101</v>
      </c>
      <c r="O2536">
        <v>15.491824512367501</v>
      </c>
      <c r="P2536">
        <v>2.9625612821338501</v>
      </c>
      <c r="Q2536">
        <v>2.2695108967566702</v>
      </c>
      <c r="R2536">
        <v>3.6556116675110299</v>
      </c>
      <c r="S2536">
        <v>14.574981395530999</v>
      </c>
      <c r="T2536">
        <v>8.9845234493093304</v>
      </c>
      <c r="U2536">
        <v>8.7642850980843896</v>
      </c>
      <c r="V2536" s="2">
        <v>4.7445956079803897E-8</v>
      </c>
      <c r="W2536" s="2">
        <v>5.5138978958457899E-6</v>
      </c>
      <c r="X2536">
        <v>1</v>
      </c>
      <c r="Y2536">
        <v>1</v>
      </c>
    </row>
    <row r="2537" spans="1:25" x14ac:dyDescent="0.2">
      <c r="A2537" t="s">
        <v>9472</v>
      </c>
      <c r="B2537" t="s">
        <v>9473</v>
      </c>
      <c r="C2537" t="s">
        <v>14509</v>
      </c>
      <c r="D2537" t="s">
        <v>66</v>
      </c>
      <c r="E2537" t="s">
        <v>9473</v>
      </c>
      <c r="F2537" t="s">
        <v>28</v>
      </c>
      <c r="G2537" t="s">
        <v>9473</v>
      </c>
      <c r="H2537" t="str">
        <f>"R09E10.6"</f>
        <v>R09E10.6</v>
      </c>
      <c r="I2537" t="s">
        <v>66</v>
      </c>
      <c r="J2537" t="s">
        <v>29</v>
      </c>
      <c r="K2537" t="s">
        <v>29</v>
      </c>
      <c r="L2537" t="s">
        <v>29</v>
      </c>
      <c r="M2537" t="s">
        <v>29</v>
      </c>
      <c r="N2537">
        <v>11.9601881975459</v>
      </c>
      <c r="O2537" t="s">
        <v>29</v>
      </c>
      <c r="P2537" t="s">
        <v>29</v>
      </c>
      <c r="Q2537" t="s">
        <v>29</v>
      </c>
      <c r="R2537" t="s">
        <v>29</v>
      </c>
      <c r="S2537">
        <v>12.921820916992299</v>
      </c>
      <c r="T2537" t="s">
        <v>29</v>
      </c>
      <c r="U2537" t="s">
        <v>29</v>
      </c>
      <c r="V2537" t="s">
        <v>29</v>
      </c>
      <c r="W2537" t="s">
        <v>29</v>
      </c>
      <c r="X2537" t="s">
        <v>29</v>
      </c>
      <c r="Y2537" t="s">
        <v>29</v>
      </c>
    </row>
    <row r="2538" spans="1:25" x14ac:dyDescent="0.2">
      <c r="A2538" t="s">
        <v>9474</v>
      </c>
      <c r="B2538" t="s">
        <v>9475</v>
      </c>
      <c r="C2538" t="s">
        <v>9476</v>
      </c>
      <c r="D2538" t="s">
        <v>8008</v>
      </c>
      <c r="E2538" t="s">
        <v>9475</v>
      </c>
      <c r="F2538" t="s">
        <v>28</v>
      </c>
      <c r="G2538" t="s">
        <v>9475</v>
      </c>
      <c r="H2538" t="str">
        <f>"acs-18"</f>
        <v>acs-18</v>
      </c>
      <c r="I2538" t="s">
        <v>8008</v>
      </c>
      <c r="J2538" t="s">
        <v>29</v>
      </c>
      <c r="K2538" t="s">
        <v>29</v>
      </c>
      <c r="L2538">
        <v>10.1035906939253</v>
      </c>
      <c r="M2538" t="s">
        <v>29</v>
      </c>
      <c r="N2538">
        <v>11.2216384921922</v>
      </c>
      <c r="O2538" t="s">
        <v>29</v>
      </c>
      <c r="P2538">
        <v>1.11804779826686</v>
      </c>
      <c r="Q2538">
        <v>-0.23619218451405199</v>
      </c>
      <c r="R2538">
        <v>2.4722877810477599</v>
      </c>
      <c r="S2538">
        <v>10.8540785391657</v>
      </c>
      <c r="T2538">
        <v>1.8421781604405101</v>
      </c>
      <c r="U2538">
        <v>-4.9441330770510499</v>
      </c>
      <c r="V2538">
        <v>9.5574474279270294E-2</v>
      </c>
      <c r="W2538">
        <v>0.318693241150169</v>
      </c>
      <c r="X2538">
        <v>0</v>
      </c>
      <c r="Y2538">
        <v>0</v>
      </c>
    </row>
    <row r="2539" spans="1:25" x14ac:dyDescent="0.2">
      <c r="A2539" t="s">
        <v>9477</v>
      </c>
      <c r="B2539" t="s">
        <v>9478</v>
      </c>
      <c r="C2539" t="s">
        <v>9479</v>
      </c>
      <c r="D2539" t="s">
        <v>9480</v>
      </c>
      <c r="E2539" t="s">
        <v>9478</v>
      </c>
      <c r="F2539" t="s">
        <v>28</v>
      </c>
      <c r="G2539" t="s">
        <v>9478</v>
      </c>
      <c r="H2539" t="str">
        <f>"R09E10.5"</f>
        <v>R09E10.5</v>
      </c>
      <c r="I2539" t="s">
        <v>9480</v>
      </c>
      <c r="J2539">
        <v>12.261454430515901</v>
      </c>
      <c r="K2539">
        <v>12.718548400893599</v>
      </c>
      <c r="L2539">
        <v>12.9820640998117</v>
      </c>
      <c r="M2539">
        <v>14.0202449103731</v>
      </c>
      <c r="N2539">
        <v>13.886840497760801</v>
      </c>
      <c r="O2539">
        <v>14.259759074561099</v>
      </c>
      <c r="P2539">
        <v>1.40159251715794</v>
      </c>
      <c r="Q2539">
        <v>0.62433011819193096</v>
      </c>
      <c r="R2539">
        <v>2.1788549161239401</v>
      </c>
      <c r="S2539">
        <v>12.844444346542801</v>
      </c>
      <c r="T2539">
        <v>3.7900647072812199</v>
      </c>
      <c r="U2539">
        <v>-1.54025455350644</v>
      </c>
      <c r="V2539">
        <v>1.35255807684869E-3</v>
      </c>
      <c r="W2539">
        <v>2.16809063155942E-2</v>
      </c>
      <c r="X2539">
        <v>1</v>
      </c>
      <c r="Y2539">
        <v>1</v>
      </c>
    </row>
    <row r="2540" spans="1:25" x14ac:dyDescent="0.2">
      <c r="A2540" t="s">
        <v>9481</v>
      </c>
      <c r="B2540" t="s">
        <v>9482</v>
      </c>
      <c r="C2540" t="s">
        <v>9483</v>
      </c>
      <c r="D2540" t="s">
        <v>9484</v>
      </c>
      <c r="E2540" t="s">
        <v>9482</v>
      </c>
      <c r="F2540" t="s">
        <v>28</v>
      </c>
      <c r="G2540" t="s">
        <v>9482</v>
      </c>
      <c r="H2540" t="str">
        <f>"ebax-1"</f>
        <v>ebax-1</v>
      </c>
      <c r="I2540" t="s">
        <v>9484</v>
      </c>
      <c r="J2540">
        <v>10.9786759020938</v>
      </c>
      <c r="K2540" t="s">
        <v>29</v>
      </c>
      <c r="L2540">
        <v>10.8048016193219</v>
      </c>
      <c r="M2540">
        <v>10.082650177707</v>
      </c>
      <c r="N2540">
        <v>11.415679842582399</v>
      </c>
      <c r="O2540" t="s">
        <v>29</v>
      </c>
      <c r="P2540">
        <v>-0.14257375056316099</v>
      </c>
      <c r="Q2540">
        <v>-0.86017977464831397</v>
      </c>
      <c r="R2540">
        <v>0.57503227352199304</v>
      </c>
      <c r="S2540">
        <v>11.2840697336433</v>
      </c>
      <c r="T2540">
        <v>-0.42642768368982897</v>
      </c>
      <c r="U2540">
        <v>-6.7554245956141097</v>
      </c>
      <c r="V2540">
        <v>0.67632863949752398</v>
      </c>
      <c r="W2540">
        <v>0.85541145012261999</v>
      </c>
      <c r="X2540">
        <v>0</v>
      </c>
      <c r="Y2540">
        <v>0</v>
      </c>
    </row>
    <row r="2541" spans="1:25" x14ac:dyDescent="0.2">
      <c r="A2541" t="s">
        <v>9485</v>
      </c>
      <c r="B2541" t="s">
        <v>9486</v>
      </c>
      <c r="C2541" t="s">
        <v>9487</v>
      </c>
      <c r="D2541" t="s">
        <v>9488</v>
      </c>
      <c r="E2541" t="s">
        <v>9486</v>
      </c>
      <c r="F2541" t="s">
        <v>28</v>
      </c>
      <c r="G2541" t="s">
        <v>9486</v>
      </c>
      <c r="H2541" t="str">
        <f>"nhr-1"</f>
        <v>nhr-1</v>
      </c>
      <c r="I2541" t="s">
        <v>9488</v>
      </c>
      <c r="J2541">
        <v>12.5101919419429</v>
      </c>
      <c r="K2541">
        <v>12.7241076983839</v>
      </c>
      <c r="L2541">
        <v>12.6147020324115</v>
      </c>
      <c r="M2541">
        <v>13.304752348131199</v>
      </c>
      <c r="N2541">
        <v>13.674456114662</v>
      </c>
      <c r="O2541">
        <v>12.8487119141513</v>
      </c>
      <c r="P2541">
        <v>0.65963956806876001</v>
      </c>
      <c r="Q2541">
        <v>0.19398588131156</v>
      </c>
      <c r="R2541">
        <v>1.12529325482596</v>
      </c>
      <c r="S2541">
        <v>12.880949443924299</v>
      </c>
      <c r="T2541">
        <v>2.9773930207263</v>
      </c>
      <c r="U2541">
        <v>-3.2848871009536902</v>
      </c>
      <c r="V2541">
        <v>8.1098930515107904E-3</v>
      </c>
      <c r="W2541">
        <v>7.5832160889701503E-2</v>
      </c>
      <c r="X2541">
        <v>0</v>
      </c>
      <c r="Y2541">
        <v>0</v>
      </c>
    </row>
    <row r="2542" spans="1:25" x14ac:dyDescent="0.2">
      <c r="A2542" t="s">
        <v>9489</v>
      </c>
      <c r="B2542" t="s">
        <v>9490</v>
      </c>
      <c r="C2542" t="s">
        <v>14165</v>
      </c>
      <c r="D2542" t="s">
        <v>9491</v>
      </c>
      <c r="E2542" t="s">
        <v>9490</v>
      </c>
      <c r="F2542" t="s">
        <v>28</v>
      </c>
      <c r="G2542" t="s">
        <v>9490</v>
      </c>
      <c r="H2542" t="str">
        <f>"R102.2"</f>
        <v>R102.2</v>
      </c>
      <c r="I2542" t="s">
        <v>9491</v>
      </c>
      <c r="J2542" t="s">
        <v>29</v>
      </c>
      <c r="K2542" t="s">
        <v>29</v>
      </c>
      <c r="L2542" t="s">
        <v>29</v>
      </c>
      <c r="M2542">
        <v>10.2253572951943</v>
      </c>
      <c r="N2542">
        <v>9.5360657443959607</v>
      </c>
      <c r="O2542">
        <v>11.4687405399462</v>
      </c>
      <c r="P2542" t="s">
        <v>29</v>
      </c>
      <c r="Q2542" t="s">
        <v>29</v>
      </c>
      <c r="R2542" t="s">
        <v>29</v>
      </c>
      <c r="S2542">
        <v>14.235836862154001</v>
      </c>
      <c r="T2542" t="s">
        <v>29</v>
      </c>
      <c r="U2542" t="s">
        <v>29</v>
      </c>
      <c r="V2542" t="s">
        <v>29</v>
      </c>
      <c r="W2542" t="s">
        <v>29</v>
      </c>
      <c r="X2542" t="s">
        <v>29</v>
      </c>
      <c r="Y2542" t="s">
        <v>29</v>
      </c>
    </row>
    <row r="2543" spans="1:25" x14ac:dyDescent="0.2">
      <c r="A2543" t="s">
        <v>9492</v>
      </c>
      <c r="B2543" t="s">
        <v>9493</v>
      </c>
      <c r="C2543" t="s">
        <v>9494</v>
      </c>
      <c r="D2543" t="s">
        <v>9495</v>
      </c>
      <c r="E2543" t="s">
        <v>9493</v>
      </c>
      <c r="F2543" t="s">
        <v>28</v>
      </c>
      <c r="G2543" t="s">
        <v>9493</v>
      </c>
      <c r="H2543" t="str">
        <f>"vha-1"</f>
        <v>vha-1</v>
      </c>
      <c r="I2543" t="s">
        <v>9495</v>
      </c>
      <c r="J2543">
        <v>12.599508184212301</v>
      </c>
      <c r="K2543" t="s">
        <v>29</v>
      </c>
      <c r="L2543">
        <v>14.2140281205157</v>
      </c>
      <c r="M2543" t="s">
        <v>29</v>
      </c>
      <c r="N2543">
        <v>13.6424325451275</v>
      </c>
      <c r="O2543">
        <v>13.738638842956099</v>
      </c>
      <c r="P2543">
        <v>0.283767541677795</v>
      </c>
      <c r="Q2543">
        <v>-0.98488272336085303</v>
      </c>
      <c r="R2543">
        <v>1.55241780671644</v>
      </c>
      <c r="S2543">
        <v>13.5285582238714</v>
      </c>
      <c r="T2543">
        <v>0.50690328826505804</v>
      </c>
      <c r="U2543">
        <v>-6.7118611089128004</v>
      </c>
      <c r="V2543">
        <v>0.62454926237617503</v>
      </c>
      <c r="W2543">
        <v>0.82579573334907497</v>
      </c>
      <c r="X2543">
        <v>0</v>
      </c>
      <c r="Y2543">
        <v>0</v>
      </c>
    </row>
    <row r="2544" spans="1:25" x14ac:dyDescent="0.2">
      <c r="A2544" t="s">
        <v>9496</v>
      </c>
      <c r="B2544" t="s">
        <v>9497</v>
      </c>
      <c r="C2544" t="s">
        <v>14510</v>
      </c>
      <c r="D2544" t="s">
        <v>2432</v>
      </c>
      <c r="E2544" t="s">
        <v>9497</v>
      </c>
      <c r="F2544" t="s">
        <v>28</v>
      </c>
      <c r="G2544" t="s">
        <v>9497</v>
      </c>
      <c r="H2544" t="str">
        <f>"R10E4.1"</f>
        <v>R10E4.1</v>
      </c>
      <c r="I2544" t="s">
        <v>2432</v>
      </c>
      <c r="J2544">
        <v>14.2898471609615</v>
      </c>
      <c r="K2544">
        <v>14.6529014299519</v>
      </c>
      <c r="L2544">
        <v>13.717721327553299</v>
      </c>
      <c r="M2544">
        <v>14.651308384054801</v>
      </c>
      <c r="N2544">
        <v>13.9558983359927</v>
      </c>
      <c r="O2544">
        <v>13.882527738578601</v>
      </c>
      <c r="P2544">
        <v>-5.69118199468601E-2</v>
      </c>
      <c r="Q2544">
        <v>-0.66661809142353101</v>
      </c>
      <c r="R2544">
        <v>0.55279445152981099</v>
      </c>
      <c r="S2544">
        <v>13.6155854659224</v>
      </c>
      <c r="T2544">
        <v>-0.19702975838959999</v>
      </c>
      <c r="U2544">
        <v>-7.0317017623398597</v>
      </c>
      <c r="V2544">
        <v>0.84615506649904204</v>
      </c>
      <c r="W2544">
        <v>0.93943584999755902</v>
      </c>
      <c r="X2544">
        <v>0</v>
      </c>
      <c r="Y2544">
        <v>0</v>
      </c>
    </row>
    <row r="2545" spans="1:25" x14ac:dyDescent="0.2">
      <c r="A2545" t="s">
        <v>9498</v>
      </c>
      <c r="B2545" t="s">
        <v>9499</v>
      </c>
      <c r="C2545" t="s">
        <v>9500</v>
      </c>
      <c r="D2545" t="s">
        <v>9501</v>
      </c>
      <c r="E2545" t="s">
        <v>9499</v>
      </c>
      <c r="F2545" t="s">
        <v>28</v>
      </c>
      <c r="G2545" t="s">
        <v>9499</v>
      </c>
      <c r="H2545" t="str">
        <f>"mcm-5"</f>
        <v>mcm-5</v>
      </c>
      <c r="I2545" t="s">
        <v>9501</v>
      </c>
      <c r="J2545">
        <v>16.348737311583601</v>
      </c>
      <c r="K2545">
        <v>16.1134723135253</v>
      </c>
      <c r="L2545">
        <v>16.233924155870302</v>
      </c>
      <c r="M2545">
        <v>15.9896439808964</v>
      </c>
      <c r="N2545">
        <v>16.396348082858601</v>
      </c>
      <c r="O2545">
        <v>15.896386965493599</v>
      </c>
      <c r="P2545">
        <v>-0.137918250576885</v>
      </c>
      <c r="Q2545">
        <v>-0.51620808350632097</v>
      </c>
      <c r="R2545">
        <v>0.24037158235255199</v>
      </c>
      <c r="S2545">
        <v>16.016180753123699</v>
      </c>
      <c r="T2545">
        <v>-0.76628369315975997</v>
      </c>
      <c r="U2545">
        <v>-6.7493382885809901</v>
      </c>
      <c r="V2545">
        <v>0.45349791897533798</v>
      </c>
      <c r="W2545">
        <v>0.72019630470753904</v>
      </c>
      <c r="X2545">
        <v>0</v>
      </c>
      <c r="Y2545">
        <v>0</v>
      </c>
    </row>
    <row r="2546" spans="1:25" x14ac:dyDescent="0.2">
      <c r="A2546" t="s">
        <v>9502</v>
      </c>
      <c r="B2546" t="s">
        <v>9503</v>
      </c>
      <c r="C2546" t="s">
        <v>14511</v>
      </c>
      <c r="D2546" t="s">
        <v>9504</v>
      </c>
      <c r="E2546" t="s">
        <v>9503</v>
      </c>
      <c r="F2546" t="s">
        <v>28</v>
      </c>
      <c r="G2546" t="s">
        <v>9503</v>
      </c>
      <c r="H2546" t="str">
        <f>"R10E4.9"</f>
        <v>R10E4.9</v>
      </c>
      <c r="I2546" t="s">
        <v>9504</v>
      </c>
      <c r="J2546">
        <v>14.408271617264999</v>
      </c>
      <c r="K2546">
        <v>14.583472015895101</v>
      </c>
      <c r="L2546">
        <v>14.552138226278</v>
      </c>
      <c r="M2546">
        <v>14.176746760438</v>
      </c>
      <c r="N2546">
        <v>13.973540448351701</v>
      </c>
      <c r="O2546">
        <v>14.116808457167</v>
      </c>
      <c r="P2546">
        <v>-0.42559539782711697</v>
      </c>
      <c r="Q2546">
        <v>-0.94488685272126305</v>
      </c>
      <c r="R2546">
        <v>9.3696057067030394E-2</v>
      </c>
      <c r="S2546">
        <v>14.374430083092699</v>
      </c>
      <c r="T2546">
        <v>-1.73834221382474</v>
      </c>
      <c r="U2546">
        <v>-5.5936045071798004</v>
      </c>
      <c r="V2546">
        <v>0.10147974271540799</v>
      </c>
      <c r="W2546">
        <v>0.329555970854229</v>
      </c>
      <c r="X2546">
        <v>0</v>
      </c>
      <c r="Y2546">
        <v>0</v>
      </c>
    </row>
    <row r="2547" spans="1:25" x14ac:dyDescent="0.2">
      <c r="A2547" t="s">
        <v>9505</v>
      </c>
      <c r="B2547" t="s">
        <v>9506</v>
      </c>
      <c r="C2547" t="s">
        <v>14512</v>
      </c>
      <c r="D2547" t="s">
        <v>3883</v>
      </c>
      <c r="E2547" t="s">
        <v>9506</v>
      </c>
      <c r="F2547" t="s">
        <v>28</v>
      </c>
      <c r="G2547" t="s">
        <v>9506</v>
      </c>
      <c r="H2547" t="str">
        <f>"R10E9.2"</f>
        <v>R10E9.2</v>
      </c>
      <c r="I2547" t="s">
        <v>3883</v>
      </c>
      <c r="J2547">
        <v>12.915674268384601</v>
      </c>
      <c r="K2547">
        <v>12.697236785317401</v>
      </c>
      <c r="L2547">
        <v>13.496825295462999</v>
      </c>
      <c r="M2547">
        <v>12.8858048971745</v>
      </c>
      <c r="N2547" t="s">
        <v>29</v>
      </c>
      <c r="O2547">
        <v>12.001692953939701</v>
      </c>
      <c r="P2547">
        <v>-0.59282985749791794</v>
      </c>
      <c r="Q2547">
        <v>-2.6077592297974399</v>
      </c>
      <c r="R2547">
        <v>1.4220995148016</v>
      </c>
      <c r="S2547">
        <v>12.985877759061699</v>
      </c>
      <c r="T2547">
        <v>-0.656503629055741</v>
      </c>
      <c r="U2547">
        <v>-6.7113507132316004</v>
      </c>
      <c r="V2547">
        <v>0.52647213262166004</v>
      </c>
      <c r="W2547">
        <v>0.770341181469824</v>
      </c>
      <c r="X2547">
        <v>0</v>
      </c>
      <c r="Y2547">
        <v>0</v>
      </c>
    </row>
    <row r="2548" spans="1:25" x14ac:dyDescent="0.2">
      <c r="A2548" t="s">
        <v>9507</v>
      </c>
      <c r="B2548" t="s">
        <v>9508</v>
      </c>
      <c r="C2548" t="s">
        <v>9509</v>
      </c>
      <c r="D2548" t="s">
        <v>9510</v>
      </c>
      <c r="E2548" t="s">
        <v>9508</v>
      </c>
      <c r="F2548" t="s">
        <v>28</v>
      </c>
      <c r="G2548" t="s">
        <v>9508</v>
      </c>
      <c r="H2548" t="str">
        <f>"gpa-7"</f>
        <v>gpa-7</v>
      </c>
      <c r="I2548" t="s">
        <v>9510</v>
      </c>
      <c r="J2548">
        <v>14.3619690357556</v>
      </c>
      <c r="K2548">
        <v>14.5868387342733</v>
      </c>
      <c r="L2548">
        <v>14.0982186085935</v>
      </c>
      <c r="M2548">
        <v>14.686917982506101</v>
      </c>
      <c r="N2548">
        <v>14.375294696679999</v>
      </c>
      <c r="O2548">
        <v>14.5070704279208</v>
      </c>
      <c r="P2548">
        <v>0.17408557616151801</v>
      </c>
      <c r="Q2548">
        <v>-0.34638977606011501</v>
      </c>
      <c r="R2548">
        <v>0.69456092838315198</v>
      </c>
      <c r="S2548">
        <v>13.8860839523516</v>
      </c>
      <c r="T2548">
        <v>0.70299969173667398</v>
      </c>
      <c r="U2548">
        <v>-6.7966273052047601</v>
      </c>
      <c r="V2548">
        <v>0.49110134152154999</v>
      </c>
      <c r="W2548">
        <v>0.74466158681785899</v>
      </c>
      <c r="X2548">
        <v>0</v>
      </c>
      <c r="Y2548">
        <v>0</v>
      </c>
    </row>
    <row r="2549" spans="1:25" x14ac:dyDescent="0.2">
      <c r="A2549" t="s">
        <v>9511</v>
      </c>
      <c r="B2549" t="s">
        <v>9512</v>
      </c>
      <c r="C2549" t="s">
        <v>9513</v>
      </c>
      <c r="D2549" t="s">
        <v>9514</v>
      </c>
      <c r="E2549" t="s">
        <v>9512</v>
      </c>
      <c r="F2549" t="s">
        <v>28</v>
      </c>
      <c r="G2549" t="s">
        <v>9512</v>
      </c>
      <c r="H2549" t="str">
        <f>"mask-1"</f>
        <v>mask-1</v>
      </c>
      <c r="I2549" t="s">
        <v>9514</v>
      </c>
      <c r="J2549">
        <v>10.693298322541899</v>
      </c>
      <c r="K2549">
        <v>9.8785940519485802</v>
      </c>
      <c r="L2549">
        <v>11.205195578796999</v>
      </c>
      <c r="M2549">
        <v>11.996922699157899</v>
      </c>
      <c r="N2549">
        <v>12.580251115252199</v>
      </c>
      <c r="O2549">
        <v>12.05506230191</v>
      </c>
      <c r="P2549">
        <v>1.6183827210108599</v>
      </c>
      <c r="Q2549">
        <v>0.87030324689074601</v>
      </c>
      <c r="R2549">
        <v>2.3664621951309699</v>
      </c>
      <c r="S2549">
        <v>12.1795921277531</v>
      </c>
      <c r="T2549">
        <v>4.5665004776902398</v>
      </c>
      <c r="U2549">
        <v>6.01969489025551E-2</v>
      </c>
      <c r="V2549">
        <v>2.78021120965266E-4</v>
      </c>
      <c r="W2549">
        <v>7.2374458209678002E-3</v>
      </c>
      <c r="X2549">
        <v>1</v>
      </c>
      <c r="Y2549">
        <v>1</v>
      </c>
    </row>
    <row r="2550" spans="1:25" x14ac:dyDescent="0.2">
      <c r="A2550" t="s">
        <v>9515</v>
      </c>
      <c r="B2550" t="s">
        <v>9516</v>
      </c>
      <c r="C2550" t="s">
        <v>9517</v>
      </c>
      <c r="D2550" t="s">
        <v>9518</v>
      </c>
      <c r="E2550" t="s">
        <v>9516</v>
      </c>
      <c r="F2550" t="s">
        <v>28</v>
      </c>
      <c r="G2550" t="s">
        <v>9516</v>
      </c>
      <c r="H2550" t="str">
        <f>"sir-2.1"</f>
        <v>sir-2.1</v>
      </c>
      <c r="I2550" t="s">
        <v>9518</v>
      </c>
      <c r="J2550" t="s">
        <v>29</v>
      </c>
      <c r="K2550" t="s">
        <v>29</v>
      </c>
      <c r="L2550" t="s">
        <v>29</v>
      </c>
      <c r="M2550" t="s">
        <v>29</v>
      </c>
      <c r="N2550">
        <v>10.9027956574048</v>
      </c>
      <c r="O2550">
        <v>11.383113069350401</v>
      </c>
      <c r="P2550" t="s">
        <v>29</v>
      </c>
      <c r="Q2550" t="s">
        <v>29</v>
      </c>
      <c r="R2550" t="s">
        <v>29</v>
      </c>
      <c r="S2550">
        <v>10.7386239041483</v>
      </c>
      <c r="T2550" t="s">
        <v>29</v>
      </c>
      <c r="U2550" t="s">
        <v>29</v>
      </c>
      <c r="V2550" t="s">
        <v>29</v>
      </c>
      <c r="W2550" t="s">
        <v>29</v>
      </c>
      <c r="X2550" t="s">
        <v>29</v>
      </c>
      <c r="Y2550" t="s">
        <v>29</v>
      </c>
    </row>
    <row r="2551" spans="1:25" x14ac:dyDescent="0.2">
      <c r="A2551" t="s">
        <v>9519</v>
      </c>
      <c r="B2551" t="s">
        <v>9520</v>
      </c>
      <c r="C2551" t="s">
        <v>9521</v>
      </c>
      <c r="D2551" t="s">
        <v>9522</v>
      </c>
      <c r="E2551" t="s">
        <v>9520</v>
      </c>
      <c r="F2551" t="s">
        <v>28</v>
      </c>
      <c r="G2551" t="s">
        <v>9520</v>
      </c>
      <c r="H2551" t="str">
        <f>"gkow-1"</f>
        <v>gkow-1</v>
      </c>
      <c r="I2551" t="s">
        <v>9522</v>
      </c>
      <c r="J2551" t="s">
        <v>29</v>
      </c>
      <c r="K2551" t="s">
        <v>29</v>
      </c>
      <c r="L2551" t="s">
        <v>29</v>
      </c>
      <c r="M2551" t="s">
        <v>29</v>
      </c>
      <c r="N2551" t="s">
        <v>29</v>
      </c>
      <c r="O2551" t="s">
        <v>29</v>
      </c>
      <c r="P2551" t="s">
        <v>29</v>
      </c>
      <c r="Q2551" t="s">
        <v>29</v>
      </c>
      <c r="R2551" t="s">
        <v>29</v>
      </c>
      <c r="S2551">
        <v>10.7542120289456</v>
      </c>
      <c r="T2551" t="s">
        <v>29</v>
      </c>
      <c r="U2551" t="s">
        <v>29</v>
      </c>
      <c r="V2551" t="s">
        <v>29</v>
      </c>
      <c r="W2551" t="s">
        <v>29</v>
      </c>
      <c r="X2551" t="s">
        <v>29</v>
      </c>
      <c r="Y2551" t="s">
        <v>29</v>
      </c>
    </row>
    <row r="2552" spans="1:25" x14ac:dyDescent="0.2">
      <c r="A2552" t="s">
        <v>9523</v>
      </c>
      <c r="B2552" t="s">
        <v>9524</v>
      </c>
      <c r="C2552" t="s">
        <v>9525</v>
      </c>
      <c r="D2552" t="s">
        <v>9526</v>
      </c>
      <c r="E2552" t="s">
        <v>9524</v>
      </c>
      <c r="F2552" t="s">
        <v>28</v>
      </c>
      <c r="G2552" t="s">
        <v>9524</v>
      </c>
      <c r="H2552" t="str">
        <f>"iars-1"</f>
        <v>iars-1</v>
      </c>
      <c r="I2552" t="s">
        <v>9526</v>
      </c>
      <c r="J2552">
        <v>14.760434980443399</v>
      </c>
      <c r="K2552">
        <v>14.5107638118517</v>
      </c>
      <c r="L2552">
        <v>14.67699880853</v>
      </c>
      <c r="M2552">
        <v>14.812044401515699</v>
      </c>
      <c r="N2552">
        <v>14.953990393463799</v>
      </c>
      <c r="O2552">
        <v>14.8919239482648</v>
      </c>
      <c r="P2552">
        <v>0.236587047473099</v>
      </c>
      <c r="Q2552">
        <v>-0.10178168185851599</v>
      </c>
      <c r="R2552">
        <v>0.57495577680471399</v>
      </c>
      <c r="S2552">
        <v>14.551290119548399</v>
      </c>
      <c r="T2552">
        <v>1.46958008200135</v>
      </c>
      <c r="U2552">
        <v>-5.9840029587765802</v>
      </c>
      <c r="V2552">
        <v>0.159037679999184</v>
      </c>
      <c r="W2552">
        <v>0.41104734767064599</v>
      </c>
      <c r="X2552">
        <v>0</v>
      </c>
      <c r="Y2552">
        <v>0</v>
      </c>
    </row>
    <row r="2553" spans="1:25" x14ac:dyDescent="0.2">
      <c r="A2553" t="s">
        <v>9527</v>
      </c>
      <c r="B2553" t="s">
        <v>9528</v>
      </c>
      <c r="C2553" t="s">
        <v>9529</v>
      </c>
      <c r="D2553" t="s">
        <v>9530</v>
      </c>
      <c r="E2553" t="s">
        <v>9528</v>
      </c>
      <c r="F2553" t="s">
        <v>28</v>
      </c>
      <c r="G2553" t="s">
        <v>9528</v>
      </c>
      <c r="H2553" t="str">
        <f>"rpl-28"</f>
        <v>rpl-28</v>
      </c>
      <c r="I2553" t="s">
        <v>9530</v>
      </c>
      <c r="J2553">
        <v>17.836305550322699</v>
      </c>
      <c r="K2553">
        <v>17.961786616203</v>
      </c>
      <c r="L2553">
        <v>17.802036155588901</v>
      </c>
      <c r="M2553">
        <v>17.949688039568301</v>
      </c>
      <c r="N2553">
        <v>18.101132944655099</v>
      </c>
      <c r="O2553">
        <v>18.403562430562399</v>
      </c>
      <c r="P2553">
        <v>0.28475169755707003</v>
      </c>
      <c r="Q2553">
        <v>-0.21773544721563701</v>
      </c>
      <c r="R2553">
        <v>0.78723884232977603</v>
      </c>
      <c r="S2553">
        <v>17.681833295748302</v>
      </c>
      <c r="T2553">
        <v>1.19106065719054</v>
      </c>
      <c r="U2553">
        <v>-6.3368399108162397</v>
      </c>
      <c r="V2553">
        <v>0.24918891785807101</v>
      </c>
      <c r="W2553">
        <v>0.52370754952982401</v>
      </c>
      <c r="X2553">
        <v>0</v>
      </c>
      <c r="Y2553">
        <v>0</v>
      </c>
    </row>
    <row r="2554" spans="1:25" x14ac:dyDescent="0.2">
      <c r="A2554" t="s">
        <v>9531</v>
      </c>
      <c r="B2554" t="s">
        <v>9532</v>
      </c>
      <c r="C2554" t="s">
        <v>9533</v>
      </c>
      <c r="D2554" t="s">
        <v>9534</v>
      </c>
      <c r="E2554" t="s">
        <v>9532</v>
      </c>
      <c r="F2554" t="s">
        <v>28</v>
      </c>
      <c r="G2554" t="s">
        <v>9532</v>
      </c>
      <c r="H2554" t="str">
        <f>"mrpl-49"</f>
        <v>mrpl-49</v>
      </c>
      <c r="I2554" t="s">
        <v>9534</v>
      </c>
      <c r="J2554">
        <v>11.631381344952301</v>
      </c>
      <c r="K2554">
        <v>12.1789617829061</v>
      </c>
      <c r="L2554">
        <v>12.238041562214701</v>
      </c>
      <c r="M2554" t="s">
        <v>29</v>
      </c>
      <c r="N2554" t="s">
        <v>29</v>
      </c>
      <c r="O2554">
        <v>11.872274998232101</v>
      </c>
      <c r="P2554">
        <v>-0.14385323179224799</v>
      </c>
      <c r="Q2554">
        <v>-1.08237908192368</v>
      </c>
      <c r="R2554">
        <v>0.79467261833918701</v>
      </c>
      <c r="S2554">
        <v>12.666124952137</v>
      </c>
      <c r="T2554">
        <v>-0.33140619964601498</v>
      </c>
      <c r="U2554">
        <v>-6.6511108421212004</v>
      </c>
      <c r="V2554">
        <v>0.74566175435529503</v>
      </c>
      <c r="W2554">
        <v>0.89235361033480298</v>
      </c>
      <c r="X2554">
        <v>0</v>
      </c>
      <c r="Y2554">
        <v>0</v>
      </c>
    </row>
    <row r="2555" spans="1:25" x14ac:dyDescent="0.2">
      <c r="A2555" t="s">
        <v>9535</v>
      </c>
      <c r="B2555" t="s">
        <v>9536</v>
      </c>
      <c r="C2555" t="s">
        <v>9537</v>
      </c>
      <c r="D2555" t="s">
        <v>9538</v>
      </c>
      <c r="E2555" t="s">
        <v>9536</v>
      </c>
      <c r="F2555" t="s">
        <v>28</v>
      </c>
      <c r="G2555" t="s">
        <v>9536</v>
      </c>
      <c r="H2555" t="str">
        <f>"mdt-15"</f>
        <v>mdt-15</v>
      </c>
      <c r="I2555" t="s">
        <v>9538</v>
      </c>
      <c r="J2555">
        <v>12.299616769008299</v>
      </c>
      <c r="K2555">
        <v>13.7255339086442</v>
      </c>
      <c r="L2555">
        <v>13.671864224066899</v>
      </c>
      <c r="M2555">
        <v>13.4601868473358</v>
      </c>
      <c r="N2555" t="s">
        <v>29</v>
      </c>
      <c r="O2555">
        <v>12.1161301880298</v>
      </c>
      <c r="P2555">
        <v>-0.44417978289037002</v>
      </c>
      <c r="Q2555">
        <v>-1.37618519334505</v>
      </c>
      <c r="R2555">
        <v>0.48782562756431302</v>
      </c>
      <c r="S2555">
        <v>13.9458216644638</v>
      </c>
      <c r="T2555">
        <v>-1.01085737459247</v>
      </c>
      <c r="U2555">
        <v>-6.4200885604516396</v>
      </c>
      <c r="V2555">
        <v>0.32722597794151498</v>
      </c>
      <c r="W2555">
        <v>0.60745432897150597</v>
      </c>
      <c r="X2555">
        <v>0</v>
      </c>
      <c r="Y2555">
        <v>0</v>
      </c>
    </row>
    <row r="2556" spans="1:25" x14ac:dyDescent="0.2">
      <c r="A2556" t="s">
        <v>9539</v>
      </c>
      <c r="B2556" t="s">
        <v>9540</v>
      </c>
      <c r="C2556" t="s">
        <v>9541</v>
      </c>
      <c r="D2556" t="s">
        <v>9542</v>
      </c>
      <c r="E2556" t="s">
        <v>9540</v>
      </c>
      <c r="F2556" t="s">
        <v>28</v>
      </c>
      <c r="G2556" t="s">
        <v>9540</v>
      </c>
      <c r="H2556" t="str">
        <f>"ran-5"</f>
        <v>ran-5</v>
      </c>
      <c r="I2556" t="s">
        <v>9542</v>
      </c>
      <c r="J2556">
        <v>13.251257869272299</v>
      </c>
      <c r="K2556">
        <v>13.3272240297607</v>
      </c>
      <c r="L2556">
        <v>13.339235410466699</v>
      </c>
      <c r="M2556">
        <v>13.055210188043301</v>
      </c>
      <c r="N2556">
        <v>12.8939366500629</v>
      </c>
      <c r="O2556">
        <v>12.0985920838413</v>
      </c>
      <c r="P2556">
        <v>-0.62332612918408103</v>
      </c>
      <c r="Q2556">
        <v>-1.0545885715616099</v>
      </c>
      <c r="R2556">
        <v>-0.192063686806554</v>
      </c>
      <c r="S2556">
        <v>12.7502258105885</v>
      </c>
      <c r="T2556">
        <v>-3.0378491717654099</v>
      </c>
      <c r="U2556">
        <v>-3.15876758030489</v>
      </c>
      <c r="V2556">
        <v>7.1122465179746198E-3</v>
      </c>
      <c r="W2556">
        <v>6.9210622666700097E-2</v>
      </c>
      <c r="X2556">
        <v>0</v>
      </c>
      <c r="Y2556">
        <v>0</v>
      </c>
    </row>
    <row r="2557" spans="1:25" x14ac:dyDescent="0.2">
      <c r="A2557" t="s">
        <v>9543</v>
      </c>
      <c r="B2557" t="s">
        <v>9544</v>
      </c>
      <c r="C2557" t="s">
        <v>9545</v>
      </c>
      <c r="D2557" t="s">
        <v>9546</v>
      </c>
      <c r="E2557" t="s">
        <v>9544</v>
      </c>
      <c r="F2557" t="s">
        <v>28</v>
      </c>
      <c r="G2557" t="s">
        <v>9544</v>
      </c>
      <c r="H2557" t="str">
        <f>"gldc-1"</f>
        <v>gldc-1</v>
      </c>
      <c r="I2557" t="s">
        <v>9546</v>
      </c>
      <c r="J2557">
        <v>16.564257547878601</v>
      </c>
      <c r="K2557">
        <v>16.401002614649499</v>
      </c>
      <c r="L2557">
        <v>16.568986907223</v>
      </c>
      <c r="M2557">
        <v>15.946568357344701</v>
      </c>
      <c r="N2557">
        <v>16.693202506258199</v>
      </c>
      <c r="O2557">
        <v>16.328672977918501</v>
      </c>
      <c r="P2557">
        <v>-0.18860107607656901</v>
      </c>
      <c r="Q2557">
        <v>-0.82005333851879103</v>
      </c>
      <c r="R2557">
        <v>0.44285118636565202</v>
      </c>
      <c r="S2557">
        <v>16.576172294722799</v>
      </c>
      <c r="T2557">
        <v>-0.62776363714059402</v>
      </c>
      <c r="U2557">
        <v>-6.84781734272386</v>
      </c>
      <c r="V2557">
        <v>0.53808799659839601</v>
      </c>
      <c r="W2557">
        <v>0.77501266500839605</v>
      </c>
      <c r="X2557">
        <v>0</v>
      </c>
      <c r="Y2557">
        <v>0</v>
      </c>
    </row>
    <row r="2558" spans="1:25" x14ac:dyDescent="0.2">
      <c r="A2558" t="s">
        <v>9547</v>
      </c>
      <c r="B2558" t="s">
        <v>9548</v>
      </c>
      <c r="C2558" t="s">
        <v>9549</v>
      </c>
      <c r="D2558" t="s">
        <v>9550</v>
      </c>
      <c r="E2558" t="s">
        <v>9548</v>
      </c>
      <c r="F2558" t="s">
        <v>28</v>
      </c>
      <c r="G2558" t="s">
        <v>9548</v>
      </c>
      <c r="H2558" t="str">
        <f>"asp-4"</f>
        <v>asp-4</v>
      </c>
      <c r="I2558" t="s">
        <v>9550</v>
      </c>
      <c r="J2558">
        <v>12.664437186124699</v>
      </c>
      <c r="K2558">
        <v>12.387981889834499</v>
      </c>
      <c r="L2558">
        <v>12.8725559280527</v>
      </c>
      <c r="M2558" t="s">
        <v>29</v>
      </c>
      <c r="N2558">
        <v>12.577959177658199</v>
      </c>
      <c r="O2558">
        <v>14.1349906950079</v>
      </c>
      <c r="P2558">
        <v>0.71481660166236505</v>
      </c>
      <c r="Q2558">
        <v>-0.18935128744433299</v>
      </c>
      <c r="R2558">
        <v>1.61898449076906</v>
      </c>
      <c r="S2558">
        <v>12.7004900524925</v>
      </c>
      <c r="T2558">
        <v>1.67685334280679</v>
      </c>
      <c r="U2558">
        <v>-5.5791462179188001</v>
      </c>
      <c r="V2558">
        <v>0.113123797620303</v>
      </c>
      <c r="W2558">
        <v>0.34563834502954499</v>
      </c>
      <c r="X2558">
        <v>0</v>
      </c>
      <c r="Y2558">
        <v>0</v>
      </c>
    </row>
    <row r="2559" spans="1:25" x14ac:dyDescent="0.2">
      <c r="A2559" t="s">
        <v>9551</v>
      </c>
      <c r="B2559" t="s">
        <v>9552</v>
      </c>
      <c r="C2559" t="s">
        <v>9553</v>
      </c>
      <c r="D2559" t="s">
        <v>9554</v>
      </c>
      <c r="E2559" t="s">
        <v>9552</v>
      </c>
      <c r="F2559" t="s">
        <v>28</v>
      </c>
      <c r="G2559" t="s">
        <v>9552</v>
      </c>
      <c r="H2559" t="str">
        <f>"miz-1"</f>
        <v>miz-1</v>
      </c>
      <c r="I2559" t="s">
        <v>9554</v>
      </c>
      <c r="J2559">
        <v>13.239225343601101</v>
      </c>
      <c r="K2559">
        <v>13.3495867558089</v>
      </c>
      <c r="L2559">
        <v>13.2386049248937</v>
      </c>
      <c r="M2559">
        <v>12.477385768048601</v>
      </c>
      <c r="N2559">
        <v>12.3848077457447</v>
      </c>
      <c r="O2559">
        <v>12.615417303431901</v>
      </c>
      <c r="P2559">
        <v>-0.78326873569285005</v>
      </c>
      <c r="Q2559">
        <v>-1.1966581999785599</v>
      </c>
      <c r="R2559">
        <v>-0.369879271407142</v>
      </c>
      <c r="S2559">
        <v>13.220679518182299</v>
      </c>
      <c r="T2559">
        <v>-3.9994604011066199</v>
      </c>
      <c r="U2559">
        <v>-1.1535035977246899</v>
      </c>
      <c r="V2559">
        <v>9.3840467460236398E-4</v>
      </c>
      <c r="W2559">
        <v>1.7448964635177699E-2</v>
      </c>
      <c r="X2559">
        <v>0</v>
      </c>
      <c r="Y2559">
        <v>0</v>
      </c>
    </row>
    <row r="2560" spans="1:25" x14ac:dyDescent="0.2">
      <c r="A2560" t="s">
        <v>9555</v>
      </c>
      <c r="B2560" t="s">
        <v>9556</v>
      </c>
      <c r="C2560" t="s">
        <v>9557</v>
      </c>
      <c r="D2560" t="s">
        <v>9558</v>
      </c>
      <c r="E2560" t="s">
        <v>9556</v>
      </c>
      <c r="F2560" t="s">
        <v>28</v>
      </c>
      <c r="G2560" t="s">
        <v>9556</v>
      </c>
      <c r="H2560" t="str">
        <f>"cra-1"</f>
        <v>cra-1</v>
      </c>
      <c r="I2560" t="s">
        <v>9558</v>
      </c>
      <c r="J2560">
        <v>13.0844148028795</v>
      </c>
      <c r="K2560">
        <v>12.531929434141899</v>
      </c>
      <c r="L2560">
        <v>12.741818136514301</v>
      </c>
      <c r="M2560">
        <v>12.1642634066634</v>
      </c>
      <c r="N2560">
        <v>13.106204015885</v>
      </c>
      <c r="O2560">
        <v>12.6111228911323</v>
      </c>
      <c r="P2560">
        <v>-0.158857353284999</v>
      </c>
      <c r="Q2560">
        <v>-0.65103848501436001</v>
      </c>
      <c r="R2560">
        <v>0.33332377844436301</v>
      </c>
      <c r="S2560">
        <v>13.0527308588889</v>
      </c>
      <c r="T2560">
        <v>-0.67838287341437098</v>
      </c>
      <c r="U2560">
        <v>-6.8139819407896303</v>
      </c>
      <c r="V2560">
        <v>0.50620754785995403</v>
      </c>
      <c r="W2560">
        <v>0.75733521194622999</v>
      </c>
      <c r="X2560">
        <v>0</v>
      </c>
      <c r="Y2560">
        <v>0</v>
      </c>
    </row>
    <row r="2561" spans="1:25" x14ac:dyDescent="0.2">
      <c r="A2561" t="s">
        <v>9559</v>
      </c>
      <c r="B2561" t="s">
        <v>9560</v>
      </c>
      <c r="C2561" t="s">
        <v>9561</v>
      </c>
      <c r="D2561" t="s">
        <v>9562</v>
      </c>
      <c r="E2561" t="s">
        <v>9560</v>
      </c>
      <c r="F2561" t="s">
        <v>28</v>
      </c>
      <c r="G2561" t="s">
        <v>9560</v>
      </c>
      <c r="H2561" t="str">
        <f>"R151.6"</f>
        <v>R151.6</v>
      </c>
      <c r="I2561" t="s">
        <v>9562</v>
      </c>
      <c r="J2561">
        <v>12.5268607565921</v>
      </c>
      <c r="K2561">
        <v>13.1834162755235</v>
      </c>
      <c r="L2561">
        <v>13.2991701936296</v>
      </c>
      <c r="M2561">
        <v>13.311651810435199</v>
      </c>
      <c r="N2561">
        <v>13.1757736891701</v>
      </c>
      <c r="O2561">
        <v>13.098464918046099</v>
      </c>
      <c r="P2561">
        <v>0.19214773063542301</v>
      </c>
      <c r="Q2561">
        <v>-0.24287480568126599</v>
      </c>
      <c r="R2561">
        <v>0.62717026695211098</v>
      </c>
      <c r="S2561">
        <v>13.4453623089671</v>
      </c>
      <c r="T2561">
        <v>0.92835913798900405</v>
      </c>
      <c r="U2561">
        <v>-6.6110384788153</v>
      </c>
      <c r="V2561">
        <v>0.36557500193468201</v>
      </c>
      <c r="W2561">
        <v>0.64162948020251098</v>
      </c>
      <c r="X2561">
        <v>0</v>
      </c>
      <c r="Y2561">
        <v>0</v>
      </c>
    </row>
    <row r="2562" spans="1:25" x14ac:dyDescent="0.2">
      <c r="A2562" t="s">
        <v>9563</v>
      </c>
      <c r="B2562" t="s">
        <v>9564</v>
      </c>
      <c r="C2562" t="s">
        <v>14513</v>
      </c>
      <c r="D2562" t="s">
        <v>9565</v>
      </c>
      <c r="E2562" t="s">
        <v>9564</v>
      </c>
      <c r="F2562" t="s">
        <v>28</v>
      </c>
      <c r="G2562" t="s">
        <v>9564</v>
      </c>
      <c r="H2562" t="str">
        <f>"R166.2"</f>
        <v>R166.2</v>
      </c>
      <c r="I2562" t="s">
        <v>9565</v>
      </c>
      <c r="J2562">
        <v>13.5031683520365</v>
      </c>
      <c r="K2562">
        <v>13.6209632164318</v>
      </c>
      <c r="L2562">
        <v>13.7442108761083</v>
      </c>
      <c r="M2562">
        <v>12.934362876787601</v>
      </c>
      <c r="N2562">
        <v>13.0427667707135</v>
      </c>
      <c r="O2562">
        <v>13.007754922096799</v>
      </c>
      <c r="P2562">
        <v>-0.62781929165954498</v>
      </c>
      <c r="Q2562">
        <v>-1.04922685944594</v>
      </c>
      <c r="R2562">
        <v>-0.20641172387315099</v>
      </c>
      <c r="S2562">
        <v>13.735179341921301</v>
      </c>
      <c r="T2562">
        <v>-3.13130116216329</v>
      </c>
      <c r="U2562">
        <v>-2.9622885050103802</v>
      </c>
      <c r="V2562">
        <v>5.8008288669608001E-3</v>
      </c>
      <c r="W2562">
        <v>6.1087045738156799E-2</v>
      </c>
      <c r="X2562">
        <v>0</v>
      </c>
      <c r="Y2562">
        <v>0</v>
      </c>
    </row>
    <row r="2563" spans="1:25" x14ac:dyDescent="0.2">
      <c r="A2563" t="s">
        <v>9566</v>
      </c>
      <c r="B2563" t="s">
        <v>9567</v>
      </c>
      <c r="C2563" t="s">
        <v>9568</v>
      </c>
      <c r="D2563" t="s">
        <v>9569</v>
      </c>
      <c r="E2563" t="s">
        <v>9567</v>
      </c>
      <c r="F2563" t="s">
        <v>28</v>
      </c>
      <c r="G2563" t="s">
        <v>9567</v>
      </c>
      <c r="H2563" t="str">
        <f>"R166.3"</f>
        <v>R166.3</v>
      </c>
      <c r="I2563" t="s">
        <v>9569</v>
      </c>
      <c r="J2563">
        <v>12.5102134323038</v>
      </c>
      <c r="K2563" t="s">
        <v>29</v>
      </c>
      <c r="L2563">
        <v>12.7268085439167</v>
      </c>
      <c r="M2563" t="s">
        <v>29</v>
      </c>
      <c r="N2563" t="s">
        <v>29</v>
      </c>
      <c r="O2563" t="s">
        <v>29</v>
      </c>
      <c r="P2563" t="s">
        <v>29</v>
      </c>
      <c r="Q2563" t="s">
        <v>29</v>
      </c>
      <c r="R2563" t="s">
        <v>29</v>
      </c>
      <c r="S2563">
        <v>12.415779860060599</v>
      </c>
      <c r="T2563" t="s">
        <v>29</v>
      </c>
      <c r="U2563" t="s">
        <v>29</v>
      </c>
      <c r="V2563" t="s">
        <v>29</v>
      </c>
      <c r="W2563" t="s">
        <v>29</v>
      </c>
      <c r="X2563" t="s">
        <v>29</v>
      </c>
      <c r="Y2563" t="s">
        <v>29</v>
      </c>
    </row>
    <row r="2564" spans="1:25" x14ac:dyDescent="0.2">
      <c r="A2564" t="s">
        <v>9570</v>
      </c>
      <c r="B2564" t="s">
        <v>9571</v>
      </c>
      <c r="C2564" t="s">
        <v>9572</v>
      </c>
      <c r="D2564" t="s">
        <v>9573</v>
      </c>
      <c r="E2564" t="s">
        <v>9571</v>
      </c>
      <c r="F2564" t="s">
        <v>28</v>
      </c>
      <c r="G2564" t="s">
        <v>9571</v>
      </c>
      <c r="H2564" t="str">
        <f>"pro-1"</f>
        <v>pro-1</v>
      </c>
      <c r="I2564" t="s">
        <v>9573</v>
      </c>
      <c r="J2564">
        <v>12.8176349833471</v>
      </c>
      <c r="K2564">
        <v>12.9765511962802</v>
      </c>
      <c r="L2564">
        <v>12.936150674967999</v>
      </c>
      <c r="M2564">
        <v>12.236658319395399</v>
      </c>
      <c r="N2564">
        <v>12.3550901686215</v>
      </c>
      <c r="O2564">
        <v>12.4185712524739</v>
      </c>
      <c r="P2564">
        <v>-0.57333903803480601</v>
      </c>
      <c r="Q2564">
        <v>-1.1539558377880299</v>
      </c>
      <c r="R2564">
        <v>7.2777617184214298E-3</v>
      </c>
      <c r="S2564">
        <v>12.753196976234801</v>
      </c>
      <c r="T2564">
        <v>-2.0843561540005302</v>
      </c>
      <c r="U2564">
        <v>-5.02135931772977</v>
      </c>
      <c r="V2564">
        <v>5.2622622279942098E-2</v>
      </c>
      <c r="W2564">
        <v>0.22770480438687701</v>
      </c>
      <c r="X2564">
        <v>0</v>
      </c>
      <c r="Y2564">
        <v>0</v>
      </c>
    </row>
    <row r="2565" spans="1:25" x14ac:dyDescent="0.2">
      <c r="A2565" t="s">
        <v>9574</v>
      </c>
      <c r="B2565" t="s">
        <v>9575</v>
      </c>
      <c r="C2565" t="s">
        <v>14514</v>
      </c>
      <c r="D2565" t="s">
        <v>9576</v>
      </c>
      <c r="E2565" t="s">
        <v>9575</v>
      </c>
      <c r="F2565" t="s">
        <v>28</v>
      </c>
      <c r="G2565" t="s">
        <v>9575</v>
      </c>
      <c r="H2565" t="str">
        <f>"R186.3"</f>
        <v>R186.3</v>
      </c>
      <c r="I2565" t="s">
        <v>9576</v>
      </c>
      <c r="J2565">
        <v>13.770322835393699</v>
      </c>
      <c r="K2565">
        <v>13.684077058863499</v>
      </c>
      <c r="L2565">
        <v>13.6072506002388</v>
      </c>
      <c r="M2565">
        <v>13.9627178519235</v>
      </c>
      <c r="N2565">
        <v>13.7547287452223</v>
      </c>
      <c r="O2565">
        <v>13.4017225408515</v>
      </c>
      <c r="P2565">
        <v>1.9172881167083499E-2</v>
      </c>
      <c r="Q2565">
        <v>-0.32663035119723999</v>
      </c>
      <c r="R2565">
        <v>0.36497611353140702</v>
      </c>
      <c r="S2565">
        <v>13.3509139196953</v>
      </c>
      <c r="T2565">
        <v>0.11653351471124899</v>
      </c>
      <c r="U2565">
        <v>-7.0449723446224404</v>
      </c>
      <c r="V2565">
        <v>0.908527582829183</v>
      </c>
      <c r="W2565">
        <v>0.96798538961646996</v>
      </c>
      <c r="X2565">
        <v>0</v>
      </c>
      <c r="Y2565">
        <v>0</v>
      </c>
    </row>
    <row r="2566" spans="1:25" x14ac:dyDescent="0.2">
      <c r="A2566" t="s">
        <v>9577</v>
      </c>
      <c r="B2566" t="s">
        <v>9578</v>
      </c>
      <c r="C2566" t="s">
        <v>14515</v>
      </c>
      <c r="D2566" t="s">
        <v>412</v>
      </c>
      <c r="E2566" t="s">
        <v>9578</v>
      </c>
      <c r="F2566" t="s">
        <v>28</v>
      </c>
      <c r="G2566" t="s">
        <v>9578</v>
      </c>
      <c r="H2566" t="str">
        <f>"R31.2"</f>
        <v>R31.2</v>
      </c>
      <c r="I2566" t="s">
        <v>412</v>
      </c>
      <c r="J2566" t="s">
        <v>29</v>
      </c>
      <c r="K2566" t="s">
        <v>29</v>
      </c>
      <c r="L2566" t="s">
        <v>29</v>
      </c>
      <c r="M2566" t="s">
        <v>29</v>
      </c>
      <c r="N2566">
        <v>14.622743391808401</v>
      </c>
      <c r="O2566" t="s">
        <v>29</v>
      </c>
      <c r="P2566" t="s">
        <v>29</v>
      </c>
      <c r="Q2566" t="s">
        <v>29</v>
      </c>
      <c r="R2566" t="s">
        <v>29</v>
      </c>
      <c r="S2566">
        <v>13.4713410570762</v>
      </c>
      <c r="T2566" t="s">
        <v>29</v>
      </c>
      <c r="U2566" t="s">
        <v>29</v>
      </c>
      <c r="V2566" t="s">
        <v>29</v>
      </c>
      <c r="W2566" t="s">
        <v>29</v>
      </c>
      <c r="X2566" t="s">
        <v>29</v>
      </c>
      <c r="Y2566" t="s">
        <v>29</v>
      </c>
    </row>
    <row r="2567" spans="1:25" x14ac:dyDescent="0.2">
      <c r="A2567" t="s">
        <v>9579</v>
      </c>
      <c r="B2567" t="s">
        <v>9580</v>
      </c>
      <c r="C2567" t="s">
        <v>9581</v>
      </c>
      <c r="D2567" t="s">
        <v>9582</v>
      </c>
      <c r="E2567" t="s">
        <v>9580</v>
      </c>
      <c r="F2567" t="s">
        <v>28</v>
      </c>
      <c r="G2567" t="s">
        <v>9580</v>
      </c>
      <c r="H2567" t="str">
        <f>"R53.4"</f>
        <v>R53.4</v>
      </c>
      <c r="I2567" t="s">
        <v>9582</v>
      </c>
      <c r="J2567">
        <v>17.642868988276099</v>
      </c>
      <c r="K2567">
        <v>17.509350836156099</v>
      </c>
      <c r="L2567">
        <v>17.5584159835457</v>
      </c>
      <c r="M2567">
        <v>17.141620425841701</v>
      </c>
      <c r="N2567">
        <v>17.112583078650701</v>
      </c>
      <c r="O2567">
        <v>16.966405567165701</v>
      </c>
      <c r="P2567">
        <v>-0.49667557877324198</v>
      </c>
      <c r="Q2567">
        <v>-0.95390988421588896</v>
      </c>
      <c r="R2567">
        <v>-3.9441273330596202E-2</v>
      </c>
      <c r="S2567">
        <v>17.548609781461199</v>
      </c>
      <c r="T2567">
        <v>-2.2831082976119199</v>
      </c>
      <c r="U2567">
        <v>-4.6571189860464202</v>
      </c>
      <c r="V2567">
        <v>3.4872635567818798E-2</v>
      </c>
      <c r="W2567">
        <v>0.18572104114186999</v>
      </c>
      <c r="X2567">
        <v>0</v>
      </c>
      <c r="Y2567">
        <v>0</v>
      </c>
    </row>
    <row r="2568" spans="1:25" x14ac:dyDescent="0.2">
      <c r="A2568" t="s">
        <v>9583</v>
      </c>
      <c r="B2568" t="s">
        <v>9584</v>
      </c>
      <c r="C2568" t="s">
        <v>9585</v>
      </c>
      <c r="D2568" t="s">
        <v>9586</v>
      </c>
      <c r="E2568" t="s">
        <v>9584</v>
      </c>
      <c r="F2568" t="s">
        <v>28</v>
      </c>
      <c r="G2568" t="s">
        <v>9584</v>
      </c>
      <c r="H2568" t="str">
        <f>"R74.7"</f>
        <v>R74.7</v>
      </c>
      <c r="I2568" t="s">
        <v>9586</v>
      </c>
      <c r="J2568" t="s">
        <v>29</v>
      </c>
      <c r="K2568" t="s">
        <v>29</v>
      </c>
      <c r="L2568" t="s">
        <v>29</v>
      </c>
      <c r="M2568">
        <v>12.0918802020503</v>
      </c>
      <c r="N2568">
        <v>13.313880515798401</v>
      </c>
      <c r="O2568">
        <v>11.424761538800899</v>
      </c>
      <c r="P2568" t="s">
        <v>29</v>
      </c>
      <c r="Q2568" t="s">
        <v>29</v>
      </c>
      <c r="R2568" t="s">
        <v>29</v>
      </c>
      <c r="S2568">
        <v>11.9855463174598</v>
      </c>
      <c r="T2568" t="s">
        <v>29</v>
      </c>
      <c r="U2568" t="s">
        <v>29</v>
      </c>
      <c r="V2568" t="s">
        <v>29</v>
      </c>
      <c r="W2568" t="s">
        <v>29</v>
      </c>
      <c r="X2568" t="s">
        <v>29</v>
      </c>
      <c r="Y2568" t="s">
        <v>29</v>
      </c>
    </row>
    <row r="2569" spans="1:25" x14ac:dyDescent="0.2">
      <c r="A2569" t="s">
        <v>9587</v>
      </c>
      <c r="B2569" t="s">
        <v>9588</v>
      </c>
      <c r="C2569" t="s">
        <v>9589</v>
      </c>
      <c r="D2569" t="s">
        <v>9590</v>
      </c>
      <c r="E2569" t="s">
        <v>9588</v>
      </c>
      <c r="F2569" t="s">
        <v>28</v>
      </c>
      <c r="G2569" t="s">
        <v>9588</v>
      </c>
      <c r="H2569" t="str">
        <f>"tra-3"</f>
        <v>tra-3</v>
      </c>
      <c r="I2569" t="s">
        <v>9590</v>
      </c>
      <c r="J2569">
        <v>13.2837023801687</v>
      </c>
      <c r="K2569">
        <v>13.529391297078201</v>
      </c>
      <c r="L2569">
        <v>13.401348395034599</v>
      </c>
      <c r="M2569">
        <v>13.605531719680901</v>
      </c>
      <c r="N2569">
        <v>13.456641171054599</v>
      </c>
      <c r="O2569">
        <v>13.3558748548524</v>
      </c>
      <c r="P2569">
        <v>6.78685577687652E-2</v>
      </c>
      <c r="Q2569">
        <v>-0.31395926042509797</v>
      </c>
      <c r="R2569">
        <v>0.44969637596262901</v>
      </c>
      <c r="S2569">
        <v>13.117217194293801</v>
      </c>
      <c r="T2569">
        <v>0.37358855898158</v>
      </c>
      <c r="U2569">
        <v>-6.9792295426913604</v>
      </c>
      <c r="V2569">
        <v>0.713099577519828</v>
      </c>
      <c r="W2569">
        <v>0.87299699971765199</v>
      </c>
      <c r="X2569">
        <v>0</v>
      </c>
      <c r="Y2569">
        <v>0</v>
      </c>
    </row>
    <row r="2570" spans="1:25" x14ac:dyDescent="0.2">
      <c r="A2570" t="s">
        <v>9591</v>
      </c>
      <c r="B2570" t="s">
        <v>9592</v>
      </c>
      <c r="C2570" t="s">
        <v>9593</v>
      </c>
      <c r="D2570" t="s">
        <v>9594</v>
      </c>
      <c r="E2570" t="s">
        <v>9592</v>
      </c>
      <c r="F2570" t="s">
        <v>28</v>
      </c>
      <c r="G2570" t="s">
        <v>9592</v>
      </c>
      <c r="H2570" t="str">
        <f>"hrp-1"</f>
        <v>hrp-1</v>
      </c>
      <c r="I2570" t="s">
        <v>9594</v>
      </c>
      <c r="J2570">
        <v>13.4155172128691</v>
      </c>
      <c r="K2570">
        <v>13.9506185422921</v>
      </c>
      <c r="L2570">
        <v>13.547363620504999</v>
      </c>
      <c r="M2570">
        <v>12.344333654165901</v>
      </c>
      <c r="N2570">
        <v>12.109368430874801</v>
      </c>
      <c r="O2570">
        <v>13.261933046059401</v>
      </c>
      <c r="P2570">
        <v>-1.06595474818867</v>
      </c>
      <c r="Q2570">
        <v>-1.77780408329549</v>
      </c>
      <c r="R2570">
        <v>-0.354105413081854</v>
      </c>
      <c r="S2570">
        <v>13.719059871035</v>
      </c>
      <c r="T2570">
        <v>-3.14733664159911</v>
      </c>
      <c r="U2570">
        <v>-2.9284007908548202</v>
      </c>
      <c r="V2570">
        <v>5.6008955099427996E-3</v>
      </c>
      <c r="W2570">
        <v>5.9559849638411398E-2</v>
      </c>
      <c r="X2570">
        <v>-1</v>
      </c>
      <c r="Y2570">
        <v>0</v>
      </c>
    </row>
    <row r="2571" spans="1:25" x14ac:dyDescent="0.2">
      <c r="A2571" t="s">
        <v>9595</v>
      </c>
      <c r="B2571" t="s">
        <v>9596</v>
      </c>
      <c r="C2571" t="s">
        <v>9597</v>
      </c>
      <c r="D2571" t="s">
        <v>9598</v>
      </c>
      <c r="E2571" t="s">
        <v>9596</v>
      </c>
      <c r="F2571" t="s">
        <v>28</v>
      </c>
      <c r="G2571" t="s">
        <v>9596</v>
      </c>
      <c r="H2571" t="str">
        <f>"rho-1"</f>
        <v>rho-1</v>
      </c>
      <c r="I2571" t="s">
        <v>9598</v>
      </c>
      <c r="J2571">
        <v>14.083841502460601</v>
      </c>
      <c r="K2571">
        <v>14.150501320912801</v>
      </c>
      <c r="L2571">
        <v>13.8660960926335</v>
      </c>
      <c r="M2571">
        <v>13.902863761856301</v>
      </c>
      <c r="N2571">
        <v>14.0931930643822</v>
      </c>
      <c r="O2571">
        <v>13.8559390501231</v>
      </c>
      <c r="P2571">
        <v>-8.2814346548438805E-2</v>
      </c>
      <c r="Q2571">
        <v>-0.50077880012736098</v>
      </c>
      <c r="R2571">
        <v>0.33515010703048298</v>
      </c>
      <c r="S2571">
        <v>13.731648036810901</v>
      </c>
      <c r="T2571">
        <v>-0.41644604738526803</v>
      </c>
      <c r="U2571">
        <v>-6.96164028038993</v>
      </c>
      <c r="V2571">
        <v>0.68203593032371801</v>
      </c>
      <c r="W2571">
        <v>0.85722167970248597</v>
      </c>
      <c r="X2571">
        <v>0</v>
      </c>
      <c r="Y2571">
        <v>0</v>
      </c>
    </row>
    <row r="2572" spans="1:25" x14ac:dyDescent="0.2">
      <c r="A2572" t="s">
        <v>9599</v>
      </c>
      <c r="B2572" t="s">
        <v>9600</v>
      </c>
      <c r="C2572" t="s">
        <v>14516</v>
      </c>
      <c r="D2572" t="s">
        <v>9601</v>
      </c>
      <c r="E2572" t="s">
        <v>9600</v>
      </c>
      <c r="F2572" t="s">
        <v>28</v>
      </c>
      <c r="G2572" t="s">
        <v>9600</v>
      </c>
      <c r="H2572" t="str">
        <f>"T01B7.5"</f>
        <v>T01B7.5</v>
      </c>
      <c r="I2572" t="s">
        <v>9601</v>
      </c>
      <c r="J2572" t="s">
        <v>29</v>
      </c>
      <c r="K2572" t="s">
        <v>29</v>
      </c>
      <c r="L2572" t="s">
        <v>29</v>
      </c>
      <c r="M2572" t="s">
        <v>29</v>
      </c>
      <c r="N2572" t="s">
        <v>29</v>
      </c>
      <c r="O2572" t="s">
        <v>29</v>
      </c>
      <c r="P2572" t="s">
        <v>29</v>
      </c>
      <c r="Q2572" t="s">
        <v>29</v>
      </c>
      <c r="R2572" t="s">
        <v>29</v>
      </c>
      <c r="S2572">
        <v>12.4472430686669</v>
      </c>
      <c r="T2572" t="s">
        <v>29</v>
      </c>
      <c r="U2572" t="s">
        <v>29</v>
      </c>
      <c r="V2572" t="s">
        <v>29</v>
      </c>
      <c r="W2572" t="s">
        <v>29</v>
      </c>
      <c r="X2572" t="s">
        <v>29</v>
      </c>
      <c r="Y2572" t="s">
        <v>29</v>
      </c>
    </row>
    <row r="2573" spans="1:25" x14ac:dyDescent="0.2">
      <c r="A2573" t="s">
        <v>9602</v>
      </c>
      <c r="B2573" t="s">
        <v>9603</v>
      </c>
      <c r="C2573" t="s">
        <v>9604</v>
      </c>
      <c r="D2573" t="s">
        <v>9605</v>
      </c>
      <c r="E2573" t="s">
        <v>9603</v>
      </c>
      <c r="F2573" t="s">
        <v>28</v>
      </c>
      <c r="G2573" t="s">
        <v>9603</v>
      </c>
      <c r="H2573" t="str">
        <f>"trcs-2"</f>
        <v>trcs-2</v>
      </c>
      <c r="I2573" t="s">
        <v>9605</v>
      </c>
      <c r="J2573">
        <v>13.671075495182199</v>
      </c>
      <c r="K2573">
        <v>13.7925760897886</v>
      </c>
      <c r="L2573">
        <v>13.921775922683899</v>
      </c>
      <c r="M2573">
        <v>14.7091517721255</v>
      </c>
      <c r="N2573">
        <v>13.95614087993</v>
      </c>
      <c r="O2573">
        <v>14.3985267793406</v>
      </c>
      <c r="P2573">
        <v>0.55946397458045605</v>
      </c>
      <c r="Q2573">
        <v>4.5837327352907499E-2</v>
      </c>
      <c r="R2573">
        <v>1.0730906218080101</v>
      </c>
      <c r="S2573">
        <v>14.4857918636101</v>
      </c>
      <c r="T2573">
        <v>2.3103304870615702</v>
      </c>
      <c r="U2573">
        <v>-4.6270496793225</v>
      </c>
      <c r="V2573">
        <v>3.4632338851510902E-2</v>
      </c>
      <c r="W2573">
        <v>0.18474365675871501</v>
      </c>
      <c r="X2573">
        <v>0</v>
      </c>
      <c r="Y2573">
        <v>0</v>
      </c>
    </row>
    <row r="2574" spans="1:25" x14ac:dyDescent="0.2">
      <c r="A2574" t="s">
        <v>9606</v>
      </c>
      <c r="B2574" t="s">
        <v>9607</v>
      </c>
      <c r="C2574" t="s">
        <v>9608</v>
      </c>
      <c r="D2574" t="s">
        <v>9609</v>
      </c>
      <c r="E2574" t="s">
        <v>9607</v>
      </c>
      <c r="F2574" t="s">
        <v>28</v>
      </c>
      <c r="G2574" t="s">
        <v>9607</v>
      </c>
      <c r="H2574" t="str">
        <f>"fib-1"</f>
        <v>fib-1</v>
      </c>
      <c r="I2574" t="s">
        <v>9609</v>
      </c>
      <c r="J2574">
        <v>20.566636590562499</v>
      </c>
      <c r="K2574">
        <v>20.5720996150046</v>
      </c>
      <c r="L2574">
        <v>20.898950814189998</v>
      </c>
      <c r="M2574">
        <v>20.161776962808499</v>
      </c>
      <c r="N2574">
        <v>20.3420636264803</v>
      </c>
      <c r="O2574">
        <v>20.283238546023199</v>
      </c>
      <c r="P2574">
        <v>-0.41686929481503299</v>
      </c>
      <c r="Q2574">
        <v>-0.95678942026484803</v>
      </c>
      <c r="R2574">
        <v>0.123050830634782</v>
      </c>
      <c r="S2574">
        <v>20.4353350347569</v>
      </c>
      <c r="T2574">
        <v>-1.62279217444367</v>
      </c>
      <c r="U2574">
        <v>-5.7652377069570502</v>
      </c>
      <c r="V2574">
        <v>0.122118368732948</v>
      </c>
      <c r="W2574">
        <v>0.36190561598010701</v>
      </c>
      <c r="X2574">
        <v>0</v>
      </c>
      <c r="Y2574">
        <v>0</v>
      </c>
    </row>
    <row r="2575" spans="1:25" x14ac:dyDescent="0.2">
      <c r="A2575" t="s">
        <v>9610</v>
      </c>
      <c r="B2575" t="s">
        <v>9611</v>
      </c>
      <c r="C2575" t="s">
        <v>9612</v>
      </c>
      <c r="D2575" t="s">
        <v>9613</v>
      </c>
      <c r="E2575" t="s">
        <v>9611</v>
      </c>
      <c r="F2575" t="s">
        <v>28</v>
      </c>
      <c r="G2575" t="s">
        <v>9611</v>
      </c>
      <c r="H2575" t="str">
        <f>"rps-16"</f>
        <v>rps-16</v>
      </c>
      <c r="I2575" t="s">
        <v>9613</v>
      </c>
      <c r="J2575">
        <v>17.5144074861681</v>
      </c>
      <c r="K2575">
        <v>17.542746667160799</v>
      </c>
      <c r="L2575">
        <v>17.912243019963899</v>
      </c>
      <c r="M2575">
        <v>17.2666312882413</v>
      </c>
      <c r="N2575">
        <v>16.456938922548101</v>
      </c>
      <c r="O2575">
        <v>16.756253563093502</v>
      </c>
      <c r="P2575">
        <v>-0.82985779980329999</v>
      </c>
      <c r="Q2575">
        <v>-1.40441662005574</v>
      </c>
      <c r="R2575">
        <v>-0.25529897955085901</v>
      </c>
      <c r="S2575">
        <v>17.526461355677402</v>
      </c>
      <c r="T2575">
        <v>-3.03571989869979</v>
      </c>
      <c r="U2575">
        <v>-3.1632232048778599</v>
      </c>
      <c r="V2575">
        <v>7.1452629474032699E-3</v>
      </c>
      <c r="W2575">
        <v>6.9210622666700097E-2</v>
      </c>
      <c r="X2575">
        <v>0</v>
      </c>
      <c r="Y2575">
        <v>0</v>
      </c>
    </row>
    <row r="2576" spans="1:25" x14ac:dyDescent="0.2">
      <c r="A2576" t="s">
        <v>9614</v>
      </c>
      <c r="B2576" t="s">
        <v>9615</v>
      </c>
      <c r="C2576" t="s">
        <v>9616</v>
      </c>
      <c r="D2576" t="s">
        <v>4383</v>
      </c>
      <c r="E2576" t="s">
        <v>9615</v>
      </c>
      <c r="F2576" t="s">
        <v>28</v>
      </c>
      <c r="G2576" t="s">
        <v>9615</v>
      </c>
      <c r="H2576" t="str">
        <f>"mut-15"</f>
        <v>mut-15</v>
      </c>
      <c r="I2576" t="s">
        <v>4383</v>
      </c>
      <c r="J2576">
        <v>12.404954273890899</v>
      </c>
      <c r="K2576" t="s">
        <v>29</v>
      </c>
      <c r="L2576" t="s">
        <v>29</v>
      </c>
      <c r="M2576" t="s">
        <v>29</v>
      </c>
      <c r="N2576" t="s">
        <v>29</v>
      </c>
      <c r="O2576">
        <v>12.695572838887299</v>
      </c>
      <c r="P2576">
        <v>0.290618564996453</v>
      </c>
      <c r="Q2576">
        <v>-1.2149154502953801</v>
      </c>
      <c r="R2576">
        <v>1.7961525802882901</v>
      </c>
      <c r="S2576">
        <v>12.129347875060301</v>
      </c>
      <c r="T2576">
        <v>0.44616807678857201</v>
      </c>
      <c r="U2576">
        <v>-6.4017549919659196</v>
      </c>
      <c r="V2576">
        <v>0.66745846240477602</v>
      </c>
      <c r="W2576">
        <v>0.85063296703903801</v>
      </c>
      <c r="X2576">
        <v>0</v>
      </c>
      <c r="Y2576">
        <v>0</v>
      </c>
    </row>
    <row r="2577" spans="1:25" x14ac:dyDescent="0.2">
      <c r="A2577" t="s">
        <v>9617</v>
      </c>
      <c r="B2577" t="s">
        <v>9618</v>
      </c>
      <c r="C2577" t="s">
        <v>9619</v>
      </c>
      <c r="D2577" t="s">
        <v>9620</v>
      </c>
      <c r="E2577" t="s">
        <v>9618</v>
      </c>
      <c r="F2577" t="s">
        <v>28</v>
      </c>
      <c r="G2577" t="s">
        <v>9618</v>
      </c>
      <c r="H2577" t="str">
        <f>"got-1.2"</f>
        <v>got-1.2</v>
      </c>
      <c r="I2577" t="s">
        <v>9620</v>
      </c>
      <c r="J2577">
        <v>13.851728637053</v>
      </c>
      <c r="K2577">
        <v>13.477848895881801</v>
      </c>
      <c r="L2577">
        <v>13.625221662801501</v>
      </c>
      <c r="M2577">
        <v>13.821869378012099</v>
      </c>
      <c r="N2577">
        <v>13.2390381583227</v>
      </c>
      <c r="O2577">
        <v>14.558830479617701</v>
      </c>
      <c r="P2577">
        <v>0.22164627340537299</v>
      </c>
      <c r="Q2577">
        <v>-0.46107485259919501</v>
      </c>
      <c r="R2577">
        <v>0.90436739940994004</v>
      </c>
      <c r="S2577">
        <v>13.3656536987335</v>
      </c>
      <c r="T2577">
        <v>0.68235378537452096</v>
      </c>
      <c r="U2577">
        <v>-6.8112221601522602</v>
      </c>
      <c r="V2577">
        <v>0.50375294725210595</v>
      </c>
      <c r="W2577">
        <v>0.75573495043125405</v>
      </c>
      <c r="X2577">
        <v>0</v>
      </c>
      <c r="Y2577">
        <v>0</v>
      </c>
    </row>
    <row r="2578" spans="1:25" x14ac:dyDescent="0.2">
      <c r="A2578" t="s">
        <v>9621</v>
      </c>
      <c r="B2578" t="s">
        <v>9622</v>
      </c>
      <c r="C2578" t="s">
        <v>9623</v>
      </c>
      <c r="D2578" t="s">
        <v>9624</v>
      </c>
      <c r="E2578" t="s">
        <v>9622</v>
      </c>
      <c r="F2578" t="s">
        <v>28</v>
      </c>
      <c r="G2578" t="s">
        <v>9622</v>
      </c>
      <c r="H2578" t="str">
        <f>"plc-3"</f>
        <v>plc-3</v>
      </c>
      <c r="I2578" t="s">
        <v>9624</v>
      </c>
      <c r="J2578">
        <v>12.1779015459213</v>
      </c>
      <c r="K2578">
        <v>12.5066963707581</v>
      </c>
      <c r="L2578">
        <v>11.9663194381986</v>
      </c>
      <c r="M2578" t="s">
        <v>29</v>
      </c>
      <c r="N2578" t="s">
        <v>29</v>
      </c>
      <c r="O2578">
        <v>11.989599925720601</v>
      </c>
      <c r="P2578">
        <v>-0.22737252590545501</v>
      </c>
      <c r="Q2578">
        <v>-0.98652275757411501</v>
      </c>
      <c r="R2578">
        <v>0.53177770576320504</v>
      </c>
      <c r="S2578">
        <v>11.9742259528006</v>
      </c>
      <c r="T2578">
        <v>-0.64283890157384804</v>
      </c>
      <c r="U2578">
        <v>-6.4941385481072897</v>
      </c>
      <c r="V2578">
        <v>0.53079404797729801</v>
      </c>
      <c r="W2578">
        <v>0.77317525993383995</v>
      </c>
      <c r="X2578">
        <v>0</v>
      </c>
      <c r="Y2578">
        <v>0</v>
      </c>
    </row>
    <row r="2579" spans="1:25" x14ac:dyDescent="0.2">
      <c r="A2579" t="s">
        <v>9625</v>
      </c>
      <c r="B2579" t="s">
        <v>9626</v>
      </c>
      <c r="C2579" t="s">
        <v>9627</v>
      </c>
      <c r="D2579" t="s">
        <v>9628</v>
      </c>
      <c r="E2579" t="s">
        <v>9626</v>
      </c>
      <c r="F2579" t="s">
        <v>28</v>
      </c>
      <c r="G2579" t="s">
        <v>9626</v>
      </c>
      <c r="H2579" t="str">
        <f>"npp-2"</f>
        <v>npp-2</v>
      </c>
      <c r="I2579" t="s">
        <v>9628</v>
      </c>
      <c r="J2579">
        <v>14.122812983522101</v>
      </c>
      <c r="K2579">
        <v>14.2608116895429</v>
      </c>
      <c r="L2579">
        <v>13.7844626116129</v>
      </c>
      <c r="M2579">
        <v>13.6985006862321</v>
      </c>
      <c r="N2579">
        <v>13.9005814146969</v>
      </c>
      <c r="O2579">
        <v>13.8740586103985</v>
      </c>
      <c r="P2579">
        <v>-0.231648857783496</v>
      </c>
      <c r="Q2579">
        <v>-0.63286859611628699</v>
      </c>
      <c r="R2579">
        <v>0.16957088054929501</v>
      </c>
      <c r="S2579">
        <v>13.9306530526987</v>
      </c>
      <c r="T2579">
        <v>-1.2135016912043199</v>
      </c>
      <c r="U2579">
        <v>-6.3106901657214802</v>
      </c>
      <c r="V2579">
        <v>0.240712599121296</v>
      </c>
      <c r="W2579">
        <v>0.51429993272534202</v>
      </c>
      <c r="X2579">
        <v>0</v>
      </c>
      <c r="Y2579">
        <v>0</v>
      </c>
    </row>
    <row r="2580" spans="1:25" x14ac:dyDescent="0.2">
      <c r="A2580" t="s">
        <v>9629</v>
      </c>
      <c r="B2580" t="s">
        <v>9630</v>
      </c>
      <c r="C2580" t="s">
        <v>14517</v>
      </c>
      <c r="D2580" t="s">
        <v>9631</v>
      </c>
      <c r="E2580" t="s">
        <v>9630</v>
      </c>
      <c r="F2580" t="s">
        <v>28</v>
      </c>
      <c r="G2580" t="s">
        <v>9630</v>
      </c>
      <c r="H2580" t="str">
        <f>"T01H3.2"</f>
        <v>T01H3.2</v>
      </c>
      <c r="I2580" t="s">
        <v>9631</v>
      </c>
      <c r="J2580">
        <v>11.0818603481457</v>
      </c>
      <c r="K2580">
        <v>10.9661387358785</v>
      </c>
      <c r="L2580">
        <v>11.940630849654401</v>
      </c>
      <c r="M2580">
        <v>11.346843902473401</v>
      </c>
      <c r="N2580">
        <v>12.780699633874001</v>
      </c>
      <c r="O2580">
        <v>11.7445146705835</v>
      </c>
      <c r="P2580">
        <v>0.62780942441741905</v>
      </c>
      <c r="Q2580">
        <v>-0.20100384751352901</v>
      </c>
      <c r="R2580">
        <v>1.4566226963483699</v>
      </c>
      <c r="S2580">
        <v>11.5584183413508</v>
      </c>
      <c r="T2580">
        <v>1.60664772639432</v>
      </c>
      <c r="U2580">
        <v>-5.7909313609146498</v>
      </c>
      <c r="V2580">
        <v>0.127812022746879</v>
      </c>
      <c r="W2580">
        <v>0.37133957323066402</v>
      </c>
      <c r="X2580">
        <v>0</v>
      </c>
      <c r="Y2580">
        <v>0</v>
      </c>
    </row>
    <row r="2581" spans="1:25" x14ac:dyDescent="0.2">
      <c r="A2581" t="s">
        <v>9632</v>
      </c>
      <c r="B2581" t="s">
        <v>9633</v>
      </c>
      <c r="C2581" t="s">
        <v>14518</v>
      </c>
      <c r="D2581" t="s">
        <v>319</v>
      </c>
      <c r="E2581" t="s">
        <v>9633</v>
      </c>
      <c r="F2581" t="s">
        <v>28</v>
      </c>
      <c r="G2581" t="s">
        <v>9633</v>
      </c>
      <c r="H2581" t="str">
        <f>"T01H3.3"</f>
        <v>T01H3.3</v>
      </c>
      <c r="I2581" t="s">
        <v>319</v>
      </c>
      <c r="J2581">
        <v>13.328645229436299</v>
      </c>
      <c r="K2581">
        <v>13.184518653139699</v>
      </c>
      <c r="L2581">
        <v>13.264113380631001</v>
      </c>
      <c r="M2581">
        <v>12.7280773576237</v>
      </c>
      <c r="N2581">
        <v>12.477927011207001</v>
      </c>
      <c r="O2581">
        <v>12.506655417336299</v>
      </c>
      <c r="P2581">
        <v>-0.68820582568000299</v>
      </c>
      <c r="Q2581">
        <v>-1.3539081969661699</v>
      </c>
      <c r="R2581">
        <v>-2.25034543938325E-2</v>
      </c>
      <c r="S2581">
        <v>13.1006388880702</v>
      </c>
      <c r="T2581">
        <v>-2.17285504041523</v>
      </c>
      <c r="U2581">
        <v>-4.8582451765943198</v>
      </c>
      <c r="V2581">
        <v>4.3471023280527203E-2</v>
      </c>
      <c r="W2581">
        <v>0.20650322591946799</v>
      </c>
      <c r="X2581">
        <v>0</v>
      </c>
      <c r="Y2581">
        <v>0</v>
      </c>
    </row>
    <row r="2582" spans="1:25" x14ac:dyDescent="0.2">
      <c r="A2582" t="s">
        <v>9634</v>
      </c>
      <c r="B2582" t="s">
        <v>9635</v>
      </c>
      <c r="C2582" t="s">
        <v>9636</v>
      </c>
      <c r="D2582" t="s">
        <v>9637</v>
      </c>
      <c r="E2582" t="s">
        <v>9635</v>
      </c>
      <c r="F2582" t="s">
        <v>28</v>
      </c>
      <c r="G2582" t="s">
        <v>9635</v>
      </c>
      <c r="H2582" t="str">
        <f>"perm-1"</f>
        <v>perm-1</v>
      </c>
      <c r="I2582" t="s">
        <v>9637</v>
      </c>
      <c r="J2582">
        <v>12.5886466694157</v>
      </c>
      <c r="K2582">
        <v>12.515006039947799</v>
      </c>
      <c r="L2582">
        <v>12.5717766882074</v>
      </c>
      <c r="M2582" t="s">
        <v>29</v>
      </c>
      <c r="N2582">
        <v>12.647587552369799</v>
      </c>
      <c r="O2582">
        <v>11.7590568601654</v>
      </c>
      <c r="P2582">
        <v>-0.35515425958941699</v>
      </c>
      <c r="Q2582">
        <v>-1.03399831999028</v>
      </c>
      <c r="R2582">
        <v>0.32368980081144799</v>
      </c>
      <c r="S2582">
        <v>12.6085685140816</v>
      </c>
      <c r="T2582">
        <v>-1.11580579133627</v>
      </c>
      <c r="U2582">
        <v>-6.3095189877584801</v>
      </c>
      <c r="V2582">
        <v>0.28218358778715902</v>
      </c>
      <c r="W2582">
        <v>0.56229356684593701</v>
      </c>
      <c r="X2582">
        <v>0</v>
      </c>
      <c r="Y2582">
        <v>0</v>
      </c>
    </row>
    <row r="2583" spans="1:25" x14ac:dyDescent="0.2">
      <c r="A2583" t="s">
        <v>9638</v>
      </c>
      <c r="B2583" t="s">
        <v>9639</v>
      </c>
      <c r="C2583" t="s">
        <v>9640</v>
      </c>
      <c r="D2583" t="s">
        <v>9641</v>
      </c>
      <c r="E2583" t="s">
        <v>9639</v>
      </c>
      <c r="F2583" t="s">
        <v>28</v>
      </c>
      <c r="G2583" t="s">
        <v>9639</v>
      </c>
      <c r="H2583" t="str">
        <f>"kars-1"</f>
        <v>kars-1</v>
      </c>
      <c r="I2583" t="s">
        <v>9641</v>
      </c>
      <c r="J2583">
        <v>14.731201937743</v>
      </c>
      <c r="K2583">
        <v>14.615041352638899</v>
      </c>
      <c r="L2583">
        <v>14.763127669617001</v>
      </c>
      <c r="M2583">
        <v>14.545715732316401</v>
      </c>
      <c r="N2583">
        <v>14.072925830421299</v>
      </c>
      <c r="O2583">
        <v>14.470082551386399</v>
      </c>
      <c r="P2583">
        <v>-0.34021561529164401</v>
      </c>
      <c r="Q2583">
        <v>-0.79840643407146705</v>
      </c>
      <c r="R2583">
        <v>0.117975203488179</v>
      </c>
      <c r="S2583">
        <v>14.195302330487699</v>
      </c>
      <c r="T2583">
        <v>-1.56063151849469</v>
      </c>
      <c r="U2583">
        <v>-5.8559821352553296</v>
      </c>
      <c r="V2583">
        <v>0.13612096907393001</v>
      </c>
      <c r="W2583">
        <v>0.38123504514019402</v>
      </c>
      <c r="X2583">
        <v>0</v>
      </c>
      <c r="Y2583">
        <v>0</v>
      </c>
    </row>
    <row r="2584" spans="1:25" x14ac:dyDescent="0.2">
      <c r="A2584" t="s">
        <v>9642</v>
      </c>
      <c r="B2584" t="s">
        <v>9643</v>
      </c>
      <c r="C2584" t="s">
        <v>14166</v>
      </c>
      <c r="D2584" t="s">
        <v>9644</v>
      </c>
      <c r="E2584" t="s">
        <v>9643</v>
      </c>
      <c r="F2584" t="s">
        <v>28</v>
      </c>
      <c r="G2584" t="s">
        <v>9643</v>
      </c>
      <c r="H2584" t="str">
        <f>"T02G5.7"</f>
        <v>T02G5.7</v>
      </c>
      <c r="I2584" t="s">
        <v>9644</v>
      </c>
      <c r="J2584" t="s">
        <v>29</v>
      </c>
      <c r="K2584" t="s">
        <v>29</v>
      </c>
      <c r="L2584" t="s">
        <v>29</v>
      </c>
      <c r="M2584">
        <v>13.4622728199113</v>
      </c>
      <c r="N2584">
        <v>13.301678478744799</v>
      </c>
      <c r="O2584">
        <v>13.9236721961275</v>
      </c>
      <c r="P2584" t="s">
        <v>29</v>
      </c>
      <c r="Q2584" t="s">
        <v>29</v>
      </c>
      <c r="R2584" t="s">
        <v>29</v>
      </c>
      <c r="S2584">
        <v>12.68927215239</v>
      </c>
      <c r="T2584" t="s">
        <v>29</v>
      </c>
      <c r="U2584" t="s">
        <v>29</v>
      </c>
      <c r="V2584" t="s">
        <v>29</v>
      </c>
      <c r="W2584" t="s">
        <v>29</v>
      </c>
      <c r="X2584" t="s">
        <v>29</v>
      </c>
      <c r="Y2584" t="s">
        <v>29</v>
      </c>
    </row>
    <row r="2585" spans="1:25" x14ac:dyDescent="0.2">
      <c r="A2585" t="s">
        <v>9645</v>
      </c>
      <c r="B2585" t="s">
        <v>9646</v>
      </c>
      <c r="C2585" t="s">
        <v>9647</v>
      </c>
      <c r="D2585" t="s">
        <v>107</v>
      </c>
      <c r="E2585" t="s">
        <v>9646</v>
      </c>
      <c r="F2585" t="s">
        <v>28</v>
      </c>
      <c r="G2585" t="s">
        <v>9646</v>
      </c>
      <c r="H2585" t="str">
        <f>"mct-5"</f>
        <v>mct-5</v>
      </c>
      <c r="I2585" t="s">
        <v>107</v>
      </c>
      <c r="J2585">
        <v>13.2016363692802</v>
      </c>
      <c r="K2585">
        <v>13.0089457584796</v>
      </c>
      <c r="L2585">
        <v>13.6576638622497</v>
      </c>
      <c r="M2585">
        <v>13.0677187182376</v>
      </c>
      <c r="N2585">
        <v>12.4674567282332</v>
      </c>
      <c r="O2585">
        <v>12.7529181609116</v>
      </c>
      <c r="P2585">
        <v>-0.52671746087567906</v>
      </c>
      <c r="Q2585">
        <v>-0.98400881491026304</v>
      </c>
      <c r="R2585">
        <v>-6.9426106841094307E-2</v>
      </c>
      <c r="S2585">
        <v>13.4574586506627</v>
      </c>
      <c r="T2585">
        <v>-2.4312786616538502</v>
      </c>
      <c r="U2585">
        <v>-4.39069643493543</v>
      </c>
      <c r="V2585">
        <v>2.64753379159644E-2</v>
      </c>
      <c r="W2585">
        <v>0.15906848415937999</v>
      </c>
      <c r="X2585">
        <v>0</v>
      </c>
      <c r="Y2585">
        <v>0</v>
      </c>
    </row>
    <row r="2586" spans="1:25" x14ac:dyDescent="0.2">
      <c r="A2586" t="s">
        <v>9648</v>
      </c>
      <c r="B2586" t="s">
        <v>9649</v>
      </c>
      <c r="C2586" t="s">
        <v>9650</v>
      </c>
      <c r="D2586" t="s">
        <v>9651</v>
      </c>
      <c r="E2586" t="s">
        <v>9649</v>
      </c>
      <c r="F2586" t="s">
        <v>28</v>
      </c>
      <c r="G2586" t="s">
        <v>9649</v>
      </c>
      <c r="H2586" t="str">
        <f>"mmaa-1"</f>
        <v>mmaa-1</v>
      </c>
      <c r="I2586" t="s">
        <v>9651</v>
      </c>
      <c r="J2586">
        <v>14.3344138934669</v>
      </c>
      <c r="K2586">
        <v>14.325476022457201</v>
      </c>
      <c r="L2586">
        <v>14.390744533837299</v>
      </c>
      <c r="M2586">
        <v>14.284890205170599</v>
      </c>
      <c r="N2586">
        <v>14.8178571316342</v>
      </c>
      <c r="O2586">
        <v>14.3709303300386</v>
      </c>
      <c r="P2586">
        <v>0.14101440569402601</v>
      </c>
      <c r="Q2586">
        <v>-0.28243492789591002</v>
      </c>
      <c r="R2586">
        <v>0.56446373928396198</v>
      </c>
      <c r="S2586">
        <v>14.182572454451901</v>
      </c>
      <c r="T2586">
        <v>0.69992989111186599</v>
      </c>
      <c r="U2586">
        <v>-6.79882345524915</v>
      </c>
      <c r="V2586">
        <v>0.49297069118577502</v>
      </c>
      <c r="W2586">
        <v>0.74645259614635295</v>
      </c>
      <c r="X2586">
        <v>0</v>
      </c>
      <c r="Y2586">
        <v>0</v>
      </c>
    </row>
    <row r="2587" spans="1:25" x14ac:dyDescent="0.2">
      <c r="A2587" t="s">
        <v>9652</v>
      </c>
      <c r="B2587" t="s">
        <v>9653</v>
      </c>
      <c r="C2587" t="s">
        <v>9654</v>
      </c>
      <c r="D2587" t="s">
        <v>9655</v>
      </c>
      <c r="E2587" t="s">
        <v>9653</v>
      </c>
      <c r="F2587" t="s">
        <v>28</v>
      </c>
      <c r="G2587" t="s">
        <v>9653</v>
      </c>
      <c r="H2587" t="str">
        <f>"metl-9"</f>
        <v>metl-9</v>
      </c>
      <c r="I2587" t="s">
        <v>9655</v>
      </c>
      <c r="J2587" t="s">
        <v>29</v>
      </c>
      <c r="K2587" t="s">
        <v>29</v>
      </c>
      <c r="L2587" t="s">
        <v>29</v>
      </c>
      <c r="M2587">
        <v>11.587582417415801</v>
      </c>
      <c r="N2587" t="s">
        <v>29</v>
      </c>
      <c r="O2587" t="s">
        <v>29</v>
      </c>
      <c r="P2587" t="s">
        <v>29</v>
      </c>
      <c r="Q2587" t="s">
        <v>29</v>
      </c>
      <c r="R2587" t="s">
        <v>29</v>
      </c>
      <c r="S2587">
        <v>12.0334999783773</v>
      </c>
      <c r="T2587" t="s">
        <v>29</v>
      </c>
      <c r="U2587" t="s">
        <v>29</v>
      </c>
      <c r="V2587" t="s">
        <v>29</v>
      </c>
      <c r="W2587" t="s">
        <v>29</v>
      </c>
      <c r="X2587" t="s">
        <v>29</v>
      </c>
      <c r="Y2587" t="s">
        <v>29</v>
      </c>
    </row>
    <row r="2588" spans="1:25" x14ac:dyDescent="0.2">
      <c r="A2588" t="s">
        <v>9656</v>
      </c>
      <c r="B2588" t="s">
        <v>9657</v>
      </c>
      <c r="C2588" t="s">
        <v>9658</v>
      </c>
      <c r="D2588" t="s">
        <v>9659</v>
      </c>
      <c r="E2588" t="s">
        <v>9657</v>
      </c>
      <c r="F2588" t="s">
        <v>28</v>
      </c>
      <c r="G2588" t="s">
        <v>9657</v>
      </c>
      <c r="H2588" t="str">
        <f>"nhr-40"</f>
        <v>nhr-40</v>
      </c>
      <c r="I2588" t="s">
        <v>9659</v>
      </c>
      <c r="J2588">
        <v>11.334408680669499</v>
      </c>
      <c r="K2588">
        <v>11.3336569791428</v>
      </c>
      <c r="L2588" t="s">
        <v>29</v>
      </c>
      <c r="M2588">
        <v>11.0774309742855</v>
      </c>
      <c r="N2588">
        <v>11.835488916582401</v>
      </c>
      <c r="O2588">
        <v>11.903946028594101</v>
      </c>
      <c r="P2588">
        <v>0.271589143247915</v>
      </c>
      <c r="Q2588">
        <v>-0.44232675709456798</v>
      </c>
      <c r="R2588">
        <v>0.98550504359039803</v>
      </c>
      <c r="S2588">
        <v>11.8818134245753</v>
      </c>
      <c r="T2588">
        <v>0.81650198181286404</v>
      </c>
      <c r="U2588">
        <v>-6.5956851803281404</v>
      </c>
      <c r="V2588">
        <v>0.42799010993594799</v>
      </c>
      <c r="W2588">
        <v>0.69733391430561797</v>
      </c>
      <c r="X2588">
        <v>0</v>
      </c>
      <c r="Y2588">
        <v>0</v>
      </c>
    </row>
    <row r="2589" spans="1:25" x14ac:dyDescent="0.2">
      <c r="A2589" t="s">
        <v>9660</v>
      </c>
      <c r="B2589" t="s">
        <v>9661</v>
      </c>
      <c r="C2589" t="s">
        <v>9662</v>
      </c>
      <c r="D2589" t="s">
        <v>93</v>
      </c>
      <c r="E2589" t="s">
        <v>9661</v>
      </c>
      <c r="F2589" t="s">
        <v>28</v>
      </c>
      <c r="G2589" t="s">
        <v>9661</v>
      </c>
      <c r="H2589" t="str">
        <f>"nifk-1"</f>
        <v>nifk-1</v>
      </c>
      <c r="I2589" t="s">
        <v>93</v>
      </c>
      <c r="J2589">
        <v>16.709558144671401</v>
      </c>
      <c r="K2589">
        <v>16.930285772781399</v>
      </c>
      <c r="L2589">
        <v>16.9301978691561</v>
      </c>
      <c r="M2589">
        <v>16.983930973006402</v>
      </c>
      <c r="N2589">
        <v>16.982052175526501</v>
      </c>
      <c r="O2589">
        <v>16.761135766307198</v>
      </c>
      <c r="P2589">
        <v>5.2359042743709901E-2</v>
      </c>
      <c r="Q2589">
        <v>-0.33047276664188002</v>
      </c>
      <c r="R2589">
        <v>0.43519085212929998</v>
      </c>
      <c r="S2589">
        <v>16.937782634743701</v>
      </c>
      <c r="T2589">
        <v>0.287459188408072</v>
      </c>
      <c r="U2589">
        <v>-7.0088820069725504</v>
      </c>
      <c r="V2589">
        <v>0.77706308501952703</v>
      </c>
      <c r="W2589">
        <v>0.90629508195467401</v>
      </c>
      <c r="X2589">
        <v>0</v>
      </c>
      <c r="Y2589">
        <v>0</v>
      </c>
    </row>
    <row r="2590" spans="1:25" x14ac:dyDescent="0.2">
      <c r="A2590" t="s">
        <v>9663</v>
      </c>
      <c r="B2590" t="s">
        <v>9664</v>
      </c>
      <c r="C2590" t="s">
        <v>14519</v>
      </c>
      <c r="D2590" t="s">
        <v>9665</v>
      </c>
      <c r="E2590" t="s">
        <v>9664</v>
      </c>
      <c r="F2590" t="s">
        <v>28</v>
      </c>
      <c r="G2590" t="s">
        <v>9664</v>
      </c>
      <c r="H2590" t="str">
        <f>"T04A8.7"</f>
        <v>T04A8.7</v>
      </c>
      <c r="I2590" t="s">
        <v>9665</v>
      </c>
      <c r="J2590">
        <v>12.825369921163301</v>
      </c>
      <c r="K2590">
        <v>12.8486701706991</v>
      </c>
      <c r="L2590">
        <v>12.6011046210015</v>
      </c>
      <c r="M2590">
        <v>13.070756974857099</v>
      </c>
      <c r="N2590">
        <v>13.0292211147432</v>
      </c>
      <c r="O2590">
        <v>13.483986359208</v>
      </c>
      <c r="P2590">
        <v>0.43627324531480499</v>
      </c>
      <c r="Q2590">
        <v>-9.6060745390572397E-2</v>
      </c>
      <c r="R2590">
        <v>0.96860723602018195</v>
      </c>
      <c r="S2590">
        <v>13.3356204649749</v>
      </c>
      <c r="T2590">
        <v>1.7225304024593799</v>
      </c>
      <c r="U2590">
        <v>-5.6142105680802104</v>
      </c>
      <c r="V2590">
        <v>0.102210787028337</v>
      </c>
      <c r="W2590">
        <v>0.32979981917923201</v>
      </c>
      <c r="X2590">
        <v>0</v>
      </c>
      <c r="Y2590">
        <v>0</v>
      </c>
    </row>
    <row r="2591" spans="1:25" x14ac:dyDescent="0.2">
      <c r="A2591" t="s">
        <v>9666</v>
      </c>
      <c r="B2591" t="s">
        <v>9667</v>
      </c>
      <c r="C2591" t="s">
        <v>9668</v>
      </c>
      <c r="D2591" t="s">
        <v>9669</v>
      </c>
      <c r="E2591" t="s">
        <v>9667</v>
      </c>
      <c r="F2591" t="s">
        <v>28</v>
      </c>
      <c r="G2591" t="s">
        <v>9667</v>
      </c>
      <c r="H2591" t="str">
        <f>"mrpl-16"</f>
        <v>mrpl-16</v>
      </c>
      <c r="I2591" t="s">
        <v>9669</v>
      </c>
      <c r="J2591">
        <v>13.916143923104601</v>
      </c>
      <c r="K2591">
        <v>14.8973576914448</v>
      </c>
      <c r="L2591">
        <v>14.5207902181579</v>
      </c>
      <c r="M2591" t="s">
        <v>29</v>
      </c>
      <c r="N2591">
        <v>14.131522918307001</v>
      </c>
      <c r="O2591">
        <v>13.9920954797552</v>
      </c>
      <c r="P2591">
        <v>-0.38295474520466899</v>
      </c>
      <c r="Q2591">
        <v>-1.15504734950502</v>
      </c>
      <c r="R2591">
        <v>0.38913785909568099</v>
      </c>
      <c r="S2591">
        <v>14.6078150525206</v>
      </c>
      <c r="T2591">
        <v>-1.05202871160968</v>
      </c>
      <c r="U2591">
        <v>-6.3781969091789898</v>
      </c>
      <c r="V2591">
        <v>0.30851780103811999</v>
      </c>
      <c r="W2591">
        <v>0.58771705661465501</v>
      </c>
      <c r="X2591">
        <v>0</v>
      </c>
      <c r="Y2591">
        <v>0</v>
      </c>
    </row>
    <row r="2592" spans="1:25" x14ac:dyDescent="0.2">
      <c r="A2592" t="s">
        <v>9670</v>
      </c>
      <c r="B2592" t="s">
        <v>9671</v>
      </c>
      <c r="C2592" t="s">
        <v>14520</v>
      </c>
      <c r="D2592" t="s">
        <v>9672</v>
      </c>
      <c r="E2592" t="s">
        <v>9671</v>
      </c>
      <c r="F2592" t="s">
        <v>28</v>
      </c>
      <c r="G2592" t="s">
        <v>9671</v>
      </c>
      <c r="H2592" t="str">
        <f>"T04A8.8"</f>
        <v>T04A8.8</v>
      </c>
      <c r="I2592" t="s">
        <v>9672</v>
      </c>
      <c r="J2592" t="s">
        <v>29</v>
      </c>
      <c r="K2592" t="s">
        <v>29</v>
      </c>
      <c r="L2592" t="s">
        <v>29</v>
      </c>
      <c r="M2592">
        <v>12.760299344145601</v>
      </c>
      <c r="N2592" t="s">
        <v>29</v>
      </c>
      <c r="O2592" t="s">
        <v>29</v>
      </c>
      <c r="P2592" t="s">
        <v>29</v>
      </c>
      <c r="Q2592" t="s">
        <v>29</v>
      </c>
      <c r="R2592" t="s">
        <v>29</v>
      </c>
      <c r="S2592">
        <v>12.4940005240181</v>
      </c>
      <c r="T2592" t="s">
        <v>29</v>
      </c>
      <c r="U2592" t="s">
        <v>29</v>
      </c>
      <c r="V2592" t="s">
        <v>29</v>
      </c>
      <c r="W2592" t="s">
        <v>29</v>
      </c>
      <c r="X2592" t="s">
        <v>29</v>
      </c>
      <c r="Y2592" t="s">
        <v>29</v>
      </c>
    </row>
    <row r="2593" spans="1:25" x14ac:dyDescent="0.2">
      <c r="A2593" t="s">
        <v>9673</v>
      </c>
      <c r="B2593" t="s">
        <v>9674</v>
      </c>
      <c r="C2593" t="s">
        <v>14521</v>
      </c>
      <c r="D2593" t="s">
        <v>9675</v>
      </c>
      <c r="E2593" t="s">
        <v>9674</v>
      </c>
      <c r="F2593" t="s">
        <v>28</v>
      </c>
      <c r="G2593" t="s">
        <v>9674</v>
      </c>
      <c r="H2593" t="str">
        <f>"T04F3.3"</f>
        <v>T04F3.3</v>
      </c>
      <c r="I2593" t="s">
        <v>9675</v>
      </c>
      <c r="J2593" t="s">
        <v>29</v>
      </c>
      <c r="K2593" t="s">
        <v>29</v>
      </c>
      <c r="L2593" t="s">
        <v>29</v>
      </c>
      <c r="M2593" t="s">
        <v>29</v>
      </c>
      <c r="N2593">
        <v>12.0148093721157</v>
      </c>
      <c r="O2593" t="s">
        <v>29</v>
      </c>
      <c r="P2593" t="s">
        <v>29</v>
      </c>
      <c r="Q2593" t="s">
        <v>29</v>
      </c>
      <c r="R2593" t="s">
        <v>29</v>
      </c>
      <c r="S2593">
        <v>11.194064094623201</v>
      </c>
      <c r="T2593" t="s">
        <v>29</v>
      </c>
      <c r="U2593" t="s">
        <v>29</v>
      </c>
      <c r="V2593" t="s">
        <v>29</v>
      </c>
      <c r="W2593" t="s">
        <v>29</v>
      </c>
      <c r="X2593" t="s">
        <v>29</v>
      </c>
      <c r="Y2593" t="s">
        <v>29</v>
      </c>
    </row>
    <row r="2594" spans="1:25" x14ac:dyDescent="0.2">
      <c r="A2594" t="s">
        <v>9676</v>
      </c>
      <c r="B2594" t="s">
        <v>9677</v>
      </c>
      <c r="C2594" t="s">
        <v>9678</v>
      </c>
      <c r="D2594" t="s">
        <v>6991</v>
      </c>
      <c r="E2594" t="s">
        <v>9677</v>
      </c>
      <c r="F2594" t="s">
        <v>28</v>
      </c>
      <c r="G2594" t="s">
        <v>9677</v>
      </c>
      <c r="H2594" t="str">
        <f>"sfxn-1.5"</f>
        <v>sfxn-1.5</v>
      </c>
      <c r="I2594" t="s">
        <v>6991</v>
      </c>
      <c r="J2594">
        <v>15.5261774097354</v>
      </c>
      <c r="K2594">
        <v>15.1768694482122</v>
      </c>
      <c r="L2594">
        <v>15.412800058103</v>
      </c>
      <c r="M2594">
        <v>15.6205446305497</v>
      </c>
      <c r="N2594">
        <v>15.296960371527501</v>
      </c>
      <c r="O2594">
        <v>14.7802528984085</v>
      </c>
      <c r="P2594">
        <v>-0.13936300518832201</v>
      </c>
      <c r="Q2594">
        <v>-0.71538729372882903</v>
      </c>
      <c r="R2594">
        <v>0.43666128335218501</v>
      </c>
      <c r="S2594">
        <v>14.7457427124068</v>
      </c>
      <c r="T2594">
        <v>-0.50850967433263805</v>
      </c>
      <c r="U2594">
        <v>-6.9175498237464303</v>
      </c>
      <c r="V2594">
        <v>0.61730763304277603</v>
      </c>
      <c r="W2594">
        <v>0.81975612182429702</v>
      </c>
      <c r="X2594">
        <v>0</v>
      </c>
      <c r="Y2594">
        <v>0</v>
      </c>
    </row>
    <row r="2595" spans="1:25" x14ac:dyDescent="0.2">
      <c r="A2595" t="s">
        <v>9679</v>
      </c>
      <c r="B2595" t="s">
        <v>9680</v>
      </c>
      <c r="C2595" t="s">
        <v>9681</v>
      </c>
      <c r="D2595" t="s">
        <v>9682</v>
      </c>
      <c r="E2595" t="s">
        <v>9680</v>
      </c>
      <c r="F2595" t="s">
        <v>28</v>
      </c>
      <c r="G2595" t="s">
        <v>9680</v>
      </c>
      <c r="H2595" t="str">
        <f>"sto-4"</f>
        <v>sto-4</v>
      </c>
      <c r="I2595" t="s">
        <v>9682</v>
      </c>
      <c r="J2595">
        <v>15.311633442604601</v>
      </c>
      <c r="K2595">
        <v>15.672715775215</v>
      </c>
      <c r="L2595">
        <v>15.0750658502024</v>
      </c>
      <c r="M2595">
        <v>15.755719962789501</v>
      </c>
      <c r="N2595">
        <v>15.724409068699501</v>
      </c>
      <c r="O2595">
        <v>15.9296461003354</v>
      </c>
      <c r="P2595">
        <v>0.45012002126746098</v>
      </c>
      <c r="Q2595">
        <v>-0.17836967019833</v>
      </c>
      <c r="R2595">
        <v>1.0786097127332499</v>
      </c>
      <c r="S2595">
        <v>15.2225793949994</v>
      </c>
      <c r="T2595">
        <v>1.51175072347845</v>
      </c>
      <c r="U2595">
        <v>-5.92579457443109</v>
      </c>
      <c r="V2595">
        <v>0.14907599548622699</v>
      </c>
      <c r="W2595">
        <v>0.40024198788133802</v>
      </c>
      <c r="X2595">
        <v>0</v>
      </c>
      <c r="Y2595">
        <v>0</v>
      </c>
    </row>
    <row r="2596" spans="1:25" x14ac:dyDescent="0.2">
      <c r="A2596" t="s">
        <v>9683</v>
      </c>
      <c r="B2596" t="s">
        <v>9684</v>
      </c>
      <c r="C2596" t="s">
        <v>9685</v>
      </c>
      <c r="D2596" t="s">
        <v>9269</v>
      </c>
      <c r="E2596" t="s">
        <v>9684</v>
      </c>
      <c r="F2596" t="s">
        <v>28</v>
      </c>
      <c r="G2596" t="s">
        <v>9684</v>
      </c>
      <c r="H2596" t="str">
        <f>"trap-2"</f>
        <v>trap-2</v>
      </c>
      <c r="I2596" t="s">
        <v>9269</v>
      </c>
      <c r="J2596">
        <v>16.886739828882799</v>
      </c>
      <c r="K2596">
        <v>16.993171466213699</v>
      </c>
      <c r="L2596">
        <v>16.811537847476401</v>
      </c>
      <c r="M2596">
        <v>16.858047661626301</v>
      </c>
      <c r="N2596">
        <v>16.185640823794099</v>
      </c>
      <c r="O2596">
        <v>16.420426885550999</v>
      </c>
      <c r="P2596">
        <v>-0.40911125720047498</v>
      </c>
      <c r="Q2596">
        <v>-0.83881577730406198</v>
      </c>
      <c r="R2596">
        <v>2.0593262903111201E-2</v>
      </c>
      <c r="S2596">
        <v>16.248202455313098</v>
      </c>
      <c r="T2596">
        <v>-2.0010780163153301</v>
      </c>
      <c r="U2596">
        <v>-5.1598271341277497</v>
      </c>
      <c r="V2596">
        <v>6.0786830482914597E-2</v>
      </c>
      <c r="W2596">
        <v>0.248779098142664</v>
      </c>
      <c r="X2596">
        <v>0</v>
      </c>
      <c r="Y2596">
        <v>0</v>
      </c>
    </row>
    <row r="2597" spans="1:25" x14ac:dyDescent="0.2">
      <c r="A2597" t="s">
        <v>9686</v>
      </c>
      <c r="B2597" t="s">
        <v>9687</v>
      </c>
      <c r="C2597" t="s">
        <v>14522</v>
      </c>
      <c r="D2597" t="s">
        <v>9688</v>
      </c>
      <c r="E2597" t="s">
        <v>9687</v>
      </c>
      <c r="F2597" t="s">
        <v>28</v>
      </c>
      <c r="G2597" t="s">
        <v>9687</v>
      </c>
      <c r="H2597" t="str">
        <f>"T04G9.4"</f>
        <v>T04G9.4</v>
      </c>
      <c r="I2597" t="s">
        <v>9688</v>
      </c>
      <c r="J2597">
        <v>14.0833965455849</v>
      </c>
      <c r="K2597">
        <v>14.1446312345139</v>
      </c>
      <c r="L2597">
        <v>13.8017407863359</v>
      </c>
      <c r="M2597">
        <v>14.045894394934599</v>
      </c>
      <c r="N2597">
        <v>13.795817517909301</v>
      </c>
      <c r="O2597">
        <v>13.942325958828899</v>
      </c>
      <c r="P2597">
        <v>-8.1910231587318805E-2</v>
      </c>
      <c r="Q2597">
        <v>-0.50815282210604895</v>
      </c>
      <c r="R2597">
        <v>0.34433235893141201</v>
      </c>
      <c r="S2597">
        <v>13.732616117064399</v>
      </c>
      <c r="T2597">
        <v>-0.403899973208319</v>
      </c>
      <c r="U2597">
        <v>-6.9669833902674503</v>
      </c>
      <c r="V2597">
        <v>0.69107215109535503</v>
      </c>
      <c r="W2597">
        <v>0.86125958623679999</v>
      </c>
      <c r="X2597">
        <v>0</v>
      </c>
      <c r="Y2597">
        <v>0</v>
      </c>
    </row>
    <row r="2598" spans="1:25" x14ac:dyDescent="0.2">
      <c r="A2598" t="s">
        <v>9689</v>
      </c>
      <c r="B2598" t="s">
        <v>9690</v>
      </c>
      <c r="C2598" t="s">
        <v>9691</v>
      </c>
      <c r="D2598" t="s">
        <v>3312</v>
      </c>
      <c r="E2598" t="s">
        <v>9690</v>
      </c>
      <c r="F2598" t="s">
        <v>28</v>
      </c>
      <c r="G2598" t="s">
        <v>9690</v>
      </c>
      <c r="H2598" t="str">
        <f>"col-122"</f>
        <v>col-122</v>
      </c>
      <c r="I2598" t="s">
        <v>3312</v>
      </c>
      <c r="J2598">
        <v>11.4157235623725</v>
      </c>
      <c r="K2598">
        <v>11.161341523537001</v>
      </c>
      <c r="L2598">
        <v>12.234710194855801</v>
      </c>
      <c r="M2598">
        <v>11.1711728219042</v>
      </c>
      <c r="N2598">
        <v>11.1092213253932</v>
      </c>
      <c r="O2598">
        <v>10.951259829032001</v>
      </c>
      <c r="P2598">
        <v>-0.52670710147865796</v>
      </c>
      <c r="Q2598">
        <v>-1.7574597368068201</v>
      </c>
      <c r="R2598">
        <v>0.70404553384950197</v>
      </c>
      <c r="S2598">
        <v>12.4215214621415</v>
      </c>
      <c r="T2598">
        <v>-0.89947876033490703</v>
      </c>
      <c r="U2598">
        <v>-6.6374601001303501</v>
      </c>
      <c r="V2598">
        <v>0.3803424562644</v>
      </c>
      <c r="W2598">
        <v>0.65622182008714602</v>
      </c>
      <c r="X2598">
        <v>0</v>
      </c>
      <c r="Y2598">
        <v>0</v>
      </c>
    </row>
    <row r="2599" spans="1:25" x14ac:dyDescent="0.2">
      <c r="A2599" t="s">
        <v>9692</v>
      </c>
      <c r="B2599" t="s">
        <v>9693</v>
      </c>
      <c r="C2599" t="s">
        <v>9694</v>
      </c>
      <c r="D2599" t="s">
        <v>458</v>
      </c>
      <c r="E2599" t="s">
        <v>9693</v>
      </c>
      <c r="F2599" t="s">
        <v>28</v>
      </c>
      <c r="G2599" t="s">
        <v>9693</v>
      </c>
      <c r="H2599" t="str">
        <f>"ttr-14"</f>
        <v>ttr-14</v>
      </c>
      <c r="I2599" t="s">
        <v>458</v>
      </c>
      <c r="J2599">
        <v>12.8982151599891</v>
      </c>
      <c r="K2599">
        <v>13.200635362635699</v>
      </c>
      <c r="L2599" t="s">
        <v>29</v>
      </c>
      <c r="M2599" t="s">
        <v>29</v>
      </c>
      <c r="N2599">
        <v>13.031320001059999</v>
      </c>
      <c r="O2599">
        <v>12.3585373232793</v>
      </c>
      <c r="P2599">
        <v>-0.35449659914276099</v>
      </c>
      <c r="Q2599">
        <v>-1.3146850377052199</v>
      </c>
      <c r="R2599">
        <v>0.60569183941969695</v>
      </c>
      <c r="S2599">
        <v>12.4086692828262</v>
      </c>
      <c r="T2599">
        <v>-0.85333844542065096</v>
      </c>
      <c r="U2599">
        <v>-6.4633055932971502</v>
      </c>
      <c r="V2599">
        <v>0.41860695567976203</v>
      </c>
      <c r="W2599">
        <v>0.69154720631705402</v>
      </c>
      <c r="X2599">
        <v>0</v>
      </c>
      <c r="Y2599">
        <v>0</v>
      </c>
    </row>
    <row r="2600" spans="1:25" x14ac:dyDescent="0.2">
      <c r="A2600" t="s">
        <v>9695</v>
      </c>
      <c r="B2600" t="s">
        <v>9696</v>
      </c>
      <c r="C2600" t="s">
        <v>14523</v>
      </c>
      <c r="D2600" t="s">
        <v>9697</v>
      </c>
      <c r="E2600" t="s">
        <v>9696</v>
      </c>
      <c r="F2600" t="s">
        <v>28</v>
      </c>
      <c r="G2600" t="s">
        <v>9696</v>
      </c>
      <c r="H2600" t="str">
        <f>"T05B9.1"</f>
        <v>T05B9.1</v>
      </c>
      <c r="I2600" t="s">
        <v>9697</v>
      </c>
      <c r="J2600">
        <v>12.1860432970792</v>
      </c>
      <c r="K2600">
        <v>11.5266978946275</v>
      </c>
      <c r="L2600">
        <v>12.1071009986705</v>
      </c>
      <c r="M2600">
        <v>10.340012013054</v>
      </c>
      <c r="N2600">
        <v>10.9337852437039</v>
      </c>
      <c r="O2600">
        <v>10.3153831231004</v>
      </c>
      <c r="P2600">
        <v>-1.4102206035063001</v>
      </c>
      <c r="Q2600">
        <v>-2.02110306997985</v>
      </c>
      <c r="R2600">
        <v>-0.79933813703274204</v>
      </c>
      <c r="S2600">
        <v>12.552693605219799</v>
      </c>
      <c r="T2600">
        <v>-4.8964229527580301</v>
      </c>
      <c r="U2600">
        <v>0.62334564568026596</v>
      </c>
      <c r="V2600">
        <v>1.64387161221401E-4</v>
      </c>
      <c r="W2600">
        <v>4.7760341304860501E-3</v>
      </c>
      <c r="X2600">
        <v>-1</v>
      </c>
      <c r="Y2600">
        <v>-1</v>
      </c>
    </row>
    <row r="2601" spans="1:25" x14ac:dyDescent="0.2">
      <c r="A2601" t="s">
        <v>9698</v>
      </c>
      <c r="B2601" t="s">
        <v>9699</v>
      </c>
      <c r="C2601" t="s">
        <v>9700</v>
      </c>
      <c r="D2601" t="s">
        <v>9701</v>
      </c>
      <c r="E2601" t="s">
        <v>9699</v>
      </c>
      <c r="F2601" t="s">
        <v>28</v>
      </c>
      <c r="G2601" t="s">
        <v>9699</v>
      </c>
      <c r="H2601" t="str">
        <f>"mig-5"</f>
        <v>mig-5</v>
      </c>
      <c r="I2601" t="s">
        <v>9701</v>
      </c>
      <c r="J2601">
        <v>10.060921385396799</v>
      </c>
      <c r="K2601" t="s">
        <v>29</v>
      </c>
      <c r="L2601">
        <v>10.929340590606801</v>
      </c>
      <c r="M2601" t="s">
        <v>29</v>
      </c>
      <c r="N2601" t="s">
        <v>29</v>
      </c>
      <c r="O2601">
        <v>12.640612457456299</v>
      </c>
      <c r="P2601">
        <v>2.1454814694545599</v>
      </c>
      <c r="Q2601">
        <v>1.03847138361104</v>
      </c>
      <c r="R2601">
        <v>3.2524915552980902</v>
      </c>
      <c r="S2601">
        <v>11.730786887923699</v>
      </c>
      <c r="T2601">
        <v>4.2707178823735896</v>
      </c>
      <c r="U2601">
        <v>-0.96202297350408295</v>
      </c>
      <c r="V2601">
        <v>1.3477390722221501E-3</v>
      </c>
      <c r="W2601">
        <v>2.16809063155942E-2</v>
      </c>
      <c r="X2601">
        <v>1</v>
      </c>
      <c r="Y2601">
        <v>1</v>
      </c>
    </row>
    <row r="2602" spans="1:25" x14ac:dyDescent="0.2">
      <c r="A2602" t="s">
        <v>9702</v>
      </c>
      <c r="B2602" t="s">
        <v>9703</v>
      </c>
      <c r="C2602" t="s">
        <v>9704</v>
      </c>
      <c r="D2602" t="s">
        <v>9705</v>
      </c>
      <c r="E2602" t="s">
        <v>9703</v>
      </c>
      <c r="F2602" t="s">
        <v>28</v>
      </c>
      <c r="G2602" t="s">
        <v>9703</v>
      </c>
      <c r="H2602" t="str">
        <f>"decr-1.3"</f>
        <v>decr-1.3</v>
      </c>
      <c r="I2602" t="s">
        <v>9705</v>
      </c>
      <c r="J2602" t="s">
        <v>29</v>
      </c>
      <c r="K2602">
        <v>12.6884993784897</v>
      </c>
      <c r="L2602">
        <v>12.7118709096302</v>
      </c>
      <c r="M2602" t="s">
        <v>29</v>
      </c>
      <c r="N2602">
        <v>12.7070990438562</v>
      </c>
      <c r="O2602" t="s">
        <v>29</v>
      </c>
      <c r="P2602">
        <v>6.9138997962667802E-3</v>
      </c>
      <c r="Q2602">
        <v>-0.99281191343585795</v>
      </c>
      <c r="R2602">
        <v>1.0066397130283899</v>
      </c>
      <c r="S2602">
        <v>13.0154504948189</v>
      </c>
      <c r="T2602">
        <v>1.5431532773883301E-2</v>
      </c>
      <c r="U2602">
        <v>-6.6510611632969399</v>
      </c>
      <c r="V2602">
        <v>0.98799461469813898</v>
      </c>
      <c r="W2602">
        <v>0.99379736513995198</v>
      </c>
      <c r="X2602">
        <v>0</v>
      </c>
      <c r="Y2602">
        <v>0</v>
      </c>
    </row>
    <row r="2603" spans="1:25" x14ac:dyDescent="0.2">
      <c r="A2603" t="s">
        <v>9706</v>
      </c>
      <c r="B2603" t="s">
        <v>9707</v>
      </c>
      <c r="C2603" t="s">
        <v>9708</v>
      </c>
      <c r="D2603" t="s">
        <v>9709</v>
      </c>
      <c r="E2603" t="s">
        <v>9707</v>
      </c>
      <c r="F2603" t="s">
        <v>28</v>
      </c>
      <c r="G2603" t="s">
        <v>9707</v>
      </c>
      <c r="H2603" t="str">
        <f>"enpl-1"</f>
        <v>enpl-1</v>
      </c>
      <c r="I2603" t="s">
        <v>9709</v>
      </c>
      <c r="J2603">
        <v>18.036903212487999</v>
      </c>
      <c r="K2603">
        <v>17.977979652473401</v>
      </c>
      <c r="L2603">
        <v>17.870628783230799</v>
      </c>
      <c r="M2603">
        <v>17.875036090163199</v>
      </c>
      <c r="N2603">
        <v>17.706925371532499</v>
      </c>
      <c r="O2603">
        <v>17.8040988217525</v>
      </c>
      <c r="P2603">
        <v>-0.16648378824801199</v>
      </c>
      <c r="Q2603">
        <v>-0.57038250303608395</v>
      </c>
      <c r="R2603">
        <v>0.23741492654006</v>
      </c>
      <c r="S2603">
        <v>17.347212707729799</v>
      </c>
      <c r="T2603">
        <v>-0.86634723042056805</v>
      </c>
      <c r="U2603">
        <v>-6.6668305408611204</v>
      </c>
      <c r="V2603">
        <v>0.39776714953402498</v>
      </c>
      <c r="W2603">
        <v>0.67168360383171599</v>
      </c>
      <c r="X2603">
        <v>0</v>
      </c>
      <c r="Y2603">
        <v>0</v>
      </c>
    </row>
    <row r="2604" spans="1:25" x14ac:dyDescent="0.2">
      <c r="A2604" t="s">
        <v>9710</v>
      </c>
      <c r="B2604" t="s">
        <v>9711</v>
      </c>
      <c r="C2604" t="s">
        <v>14524</v>
      </c>
      <c r="D2604" t="s">
        <v>9712</v>
      </c>
      <c r="E2604" t="s">
        <v>9711</v>
      </c>
      <c r="F2604" t="s">
        <v>28</v>
      </c>
      <c r="G2604" t="s">
        <v>9711</v>
      </c>
      <c r="H2604" t="str">
        <f>"T05H10.1"</f>
        <v>T05H10.1</v>
      </c>
      <c r="I2604" t="s">
        <v>9712</v>
      </c>
      <c r="J2604">
        <v>14.126517446460101</v>
      </c>
      <c r="K2604">
        <v>13.9957175627853</v>
      </c>
      <c r="L2604">
        <v>13.704211821731</v>
      </c>
      <c r="M2604">
        <v>14.6250385333688</v>
      </c>
      <c r="N2604">
        <v>14.3769249098595</v>
      </c>
      <c r="O2604">
        <v>14.442430663386601</v>
      </c>
      <c r="P2604">
        <v>0.53931575854616498</v>
      </c>
      <c r="Q2604">
        <v>0.14663721653570899</v>
      </c>
      <c r="R2604">
        <v>0.93199430055662102</v>
      </c>
      <c r="S2604">
        <v>14.3092781789834</v>
      </c>
      <c r="T2604">
        <v>2.8866787398171101</v>
      </c>
      <c r="U2604">
        <v>-3.4725292667479399</v>
      </c>
      <c r="V2604">
        <v>9.8657795634117199E-3</v>
      </c>
      <c r="W2604">
        <v>8.7237083422124301E-2</v>
      </c>
      <c r="X2604">
        <v>0</v>
      </c>
      <c r="Y2604">
        <v>0</v>
      </c>
    </row>
    <row r="2605" spans="1:25" x14ac:dyDescent="0.2">
      <c r="A2605" t="s">
        <v>9713</v>
      </c>
      <c r="B2605" t="s">
        <v>9714</v>
      </c>
      <c r="C2605" t="s">
        <v>9715</v>
      </c>
      <c r="D2605" t="s">
        <v>9716</v>
      </c>
      <c r="E2605" t="s">
        <v>9714</v>
      </c>
      <c r="F2605" t="s">
        <v>28</v>
      </c>
      <c r="G2605" t="s">
        <v>9714</v>
      </c>
      <c r="H2605" t="str">
        <f>"cox-15"</f>
        <v>cox-15</v>
      </c>
      <c r="I2605" t="s">
        <v>9716</v>
      </c>
      <c r="J2605">
        <v>14.1105731819874</v>
      </c>
      <c r="K2605">
        <v>14.553930535590601</v>
      </c>
      <c r="L2605">
        <v>14.851099832412</v>
      </c>
      <c r="M2605">
        <v>13.6781408171659</v>
      </c>
      <c r="N2605">
        <v>12.616416603838401</v>
      </c>
      <c r="O2605">
        <v>13.2473543420321</v>
      </c>
      <c r="P2605">
        <v>-1.3245639289845501</v>
      </c>
      <c r="Q2605">
        <v>-1.93553292587751</v>
      </c>
      <c r="R2605">
        <v>-0.71359493209158498</v>
      </c>
      <c r="S2605">
        <v>14.737436368440401</v>
      </c>
      <c r="T2605">
        <v>-4.5566562208573398</v>
      </c>
      <c r="U2605">
        <v>0.14456238879754399</v>
      </c>
      <c r="V2605">
        <v>2.4785837542224098E-4</v>
      </c>
      <c r="W2605">
        <v>6.7039846728934298E-3</v>
      </c>
      <c r="X2605">
        <v>-1</v>
      </c>
      <c r="Y2605">
        <v>-1</v>
      </c>
    </row>
    <row r="2606" spans="1:25" x14ac:dyDescent="0.2">
      <c r="A2606" t="s">
        <v>9717</v>
      </c>
      <c r="B2606" t="s">
        <v>9718</v>
      </c>
      <c r="C2606" t="s">
        <v>9719</v>
      </c>
      <c r="D2606" t="s">
        <v>9720</v>
      </c>
      <c r="E2606" t="s">
        <v>9718</v>
      </c>
      <c r="F2606" t="s">
        <v>28</v>
      </c>
      <c r="G2606" t="s">
        <v>9718</v>
      </c>
      <c r="H2606" t="str">
        <f>"rpn-9"</f>
        <v>rpn-9</v>
      </c>
      <c r="I2606" t="s">
        <v>9720</v>
      </c>
      <c r="J2606">
        <v>14.454659406507099</v>
      </c>
      <c r="K2606">
        <v>14.4499670047528</v>
      </c>
      <c r="L2606">
        <v>14.6092079171116</v>
      </c>
      <c r="M2606">
        <v>14.2135825402055</v>
      </c>
      <c r="N2606">
        <v>14.2442473714308</v>
      </c>
      <c r="O2606">
        <v>14.6148009919762</v>
      </c>
      <c r="P2606">
        <v>-0.14706780825302199</v>
      </c>
      <c r="Q2606">
        <v>-0.60542752823985202</v>
      </c>
      <c r="R2606">
        <v>0.31129191173380799</v>
      </c>
      <c r="S2606">
        <v>14.8038950880476</v>
      </c>
      <c r="T2606">
        <v>-0.674378456356173</v>
      </c>
      <c r="U2606">
        <v>-6.8167495175458699</v>
      </c>
      <c r="V2606">
        <v>0.50868976203063898</v>
      </c>
      <c r="W2606">
        <v>0.75825766635258696</v>
      </c>
      <c r="X2606">
        <v>0</v>
      </c>
      <c r="Y2606">
        <v>0</v>
      </c>
    </row>
    <row r="2607" spans="1:25" x14ac:dyDescent="0.2">
      <c r="A2607" t="s">
        <v>9721</v>
      </c>
      <c r="B2607" t="s">
        <v>9722</v>
      </c>
      <c r="C2607" t="s">
        <v>14525</v>
      </c>
      <c r="D2607" t="s">
        <v>9723</v>
      </c>
      <c r="E2607" t="s">
        <v>9722</v>
      </c>
      <c r="F2607" t="s">
        <v>28</v>
      </c>
      <c r="G2607" t="s">
        <v>9722</v>
      </c>
      <c r="H2607" t="str">
        <f>"T06D8.9"</f>
        <v>T06D8.9</v>
      </c>
      <c r="I2607" t="s">
        <v>9723</v>
      </c>
      <c r="J2607">
        <v>11.1551667887798</v>
      </c>
      <c r="K2607">
        <v>11.8944652834719</v>
      </c>
      <c r="L2607">
        <v>11.8897257500319</v>
      </c>
      <c r="M2607">
        <v>11.511085282246899</v>
      </c>
      <c r="N2607" t="s">
        <v>29</v>
      </c>
      <c r="O2607">
        <v>11.247743393373399</v>
      </c>
      <c r="P2607">
        <v>-0.267038269617764</v>
      </c>
      <c r="Q2607">
        <v>-0.93944653508781695</v>
      </c>
      <c r="R2607">
        <v>0.405369995852289</v>
      </c>
      <c r="S2607">
        <v>12.313116576327801</v>
      </c>
      <c r="T2607">
        <v>-0.84699738149234605</v>
      </c>
      <c r="U2607">
        <v>-6.5710865617430203</v>
      </c>
      <c r="V2607">
        <v>0.41039957498809998</v>
      </c>
      <c r="W2607">
        <v>0.68204301175243998</v>
      </c>
      <c r="X2607">
        <v>0</v>
      </c>
      <c r="Y2607">
        <v>0</v>
      </c>
    </row>
    <row r="2608" spans="1:25" x14ac:dyDescent="0.2">
      <c r="A2608" t="s">
        <v>9724</v>
      </c>
      <c r="B2608" t="s">
        <v>9725</v>
      </c>
      <c r="C2608" t="s">
        <v>9726</v>
      </c>
      <c r="D2608" t="s">
        <v>4592</v>
      </c>
      <c r="E2608" t="s">
        <v>9725</v>
      </c>
      <c r="F2608" t="s">
        <v>28</v>
      </c>
      <c r="G2608" t="s">
        <v>9725</v>
      </c>
      <c r="H2608" t="str">
        <f>"hcp-2"</f>
        <v>hcp-2</v>
      </c>
      <c r="I2608" t="s">
        <v>4592</v>
      </c>
      <c r="J2608" t="s">
        <v>29</v>
      </c>
      <c r="K2608" t="s">
        <v>29</v>
      </c>
      <c r="L2608">
        <v>12.6456845292147</v>
      </c>
      <c r="M2608" t="s">
        <v>29</v>
      </c>
      <c r="N2608">
        <v>12.721064984748599</v>
      </c>
      <c r="O2608" t="s">
        <v>29</v>
      </c>
      <c r="P2608">
        <v>7.53804555338764E-2</v>
      </c>
      <c r="Q2608">
        <v>-1.20911899605388</v>
      </c>
      <c r="R2608">
        <v>1.3598799071216301</v>
      </c>
      <c r="S2608">
        <v>12.419187579756899</v>
      </c>
      <c r="T2608">
        <v>0.13094584570682599</v>
      </c>
      <c r="U2608">
        <v>-6.5008437219619797</v>
      </c>
      <c r="V2608">
        <v>0.89844212391269396</v>
      </c>
      <c r="W2608">
        <v>0.96438222116194405</v>
      </c>
      <c r="X2608">
        <v>0</v>
      </c>
      <c r="Y2608">
        <v>0</v>
      </c>
    </row>
    <row r="2609" spans="1:25" x14ac:dyDescent="0.2">
      <c r="A2609" t="s">
        <v>9727</v>
      </c>
      <c r="B2609" t="s">
        <v>9728</v>
      </c>
      <c r="C2609" t="s">
        <v>9729</v>
      </c>
      <c r="D2609" t="s">
        <v>1744</v>
      </c>
      <c r="E2609" t="s">
        <v>9728</v>
      </c>
      <c r="F2609" t="s">
        <v>28</v>
      </c>
      <c r="G2609" t="s">
        <v>9728</v>
      </c>
      <c r="H2609" t="str">
        <f>"atl-1"</f>
        <v>atl-1</v>
      </c>
      <c r="I2609" t="s">
        <v>1744</v>
      </c>
      <c r="J2609">
        <v>11.034294074899099</v>
      </c>
      <c r="K2609">
        <v>10.265350915791799</v>
      </c>
      <c r="L2609">
        <v>11.0487894110802</v>
      </c>
      <c r="M2609" t="s">
        <v>29</v>
      </c>
      <c r="N2609">
        <v>10.118968063651799</v>
      </c>
      <c r="O2609">
        <v>11.403838420204799</v>
      </c>
      <c r="P2609">
        <v>-2.14082253287575E-2</v>
      </c>
      <c r="Q2609">
        <v>-0.89760406300476903</v>
      </c>
      <c r="R2609">
        <v>0.85478761234725398</v>
      </c>
      <c r="S2609">
        <v>11.0871128596162</v>
      </c>
      <c r="T2609">
        <v>-5.21100016951654E-2</v>
      </c>
      <c r="U2609">
        <v>-6.9399962973018399</v>
      </c>
      <c r="V2609">
        <v>0.95913347908921998</v>
      </c>
      <c r="W2609">
        <v>0.97837628243144903</v>
      </c>
      <c r="X2609">
        <v>0</v>
      </c>
      <c r="Y2609">
        <v>0</v>
      </c>
    </row>
    <row r="2610" spans="1:25" x14ac:dyDescent="0.2">
      <c r="A2610" t="s">
        <v>9730</v>
      </c>
      <c r="B2610" t="s">
        <v>9731</v>
      </c>
      <c r="C2610" t="s">
        <v>9732</v>
      </c>
      <c r="D2610" t="s">
        <v>9733</v>
      </c>
      <c r="E2610" t="s">
        <v>9731</v>
      </c>
      <c r="F2610" t="s">
        <v>28</v>
      </c>
      <c r="G2610" t="s">
        <v>9731</v>
      </c>
      <c r="H2610" t="str">
        <f>"acl-2"</f>
        <v>acl-2</v>
      </c>
      <c r="I2610" t="s">
        <v>9733</v>
      </c>
      <c r="J2610">
        <v>14.3907287832356</v>
      </c>
      <c r="K2610">
        <v>14.0444003622596</v>
      </c>
      <c r="L2610">
        <v>14.2860046994415</v>
      </c>
      <c r="M2610">
        <v>13.8279415930896</v>
      </c>
      <c r="N2610">
        <v>13.6676318160868</v>
      </c>
      <c r="O2610">
        <v>13.167504450244</v>
      </c>
      <c r="P2610">
        <v>-0.68601866183878901</v>
      </c>
      <c r="Q2610">
        <v>-1.1327345734830201</v>
      </c>
      <c r="R2610">
        <v>-0.23930275019455899</v>
      </c>
      <c r="S2610">
        <v>14.007537576448099</v>
      </c>
      <c r="T2610">
        <v>-3.2277286803689398</v>
      </c>
      <c r="U2610">
        <v>-2.75780118206124</v>
      </c>
      <c r="V2610">
        <v>4.6958768222072102E-3</v>
      </c>
      <c r="W2610">
        <v>5.2690976480904303E-2</v>
      </c>
      <c r="X2610">
        <v>0</v>
      </c>
      <c r="Y2610">
        <v>0</v>
      </c>
    </row>
    <row r="2611" spans="1:25" x14ac:dyDescent="0.2">
      <c r="A2611" t="s">
        <v>9734</v>
      </c>
      <c r="B2611" t="s">
        <v>9735</v>
      </c>
      <c r="C2611" t="s">
        <v>9736</v>
      </c>
      <c r="D2611" t="s">
        <v>9737</v>
      </c>
      <c r="E2611" t="s">
        <v>9735</v>
      </c>
      <c r="F2611" t="s">
        <v>28</v>
      </c>
      <c r="G2611" t="s">
        <v>9735</v>
      </c>
      <c r="H2611" t="str">
        <f>"anmt-3"</f>
        <v>anmt-3</v>
      </c>
      <c r="I2611" t="s">
        <v>9737</v>
      </c>
      <c r="J2611">
        <v>13.0200914685984</v>
      </c>
      <c r="K2611">
        <v>12.8767291512565</v>
      </c>
      <c r="L2611">
        <v>12.668535355561101</v>
      </c>
      <c r="M2611">
        <v>13.0465720686075</v>
      </c>
      <c r="N2611">
        <v>12.272749574265699</v>
      </c>
      <c r="O2611">
        <v>12.969246672807699</v>
      </c>
      <c r="P2611">
        <v>-9.2262553244996298E-2</v>
      </c>
      <c r="Q2611">
        <v>-0.71223762262014101</v>
      </c>
      <c r="R2611">
        <v>0.52771251613014902</v>
      </c>
      <c r="S2611">
        <v>12.0691303970489</v>
      </c>
      <c r="T2611">
        <v>-0.32176476706391499</v>
      </c>
      <c r="U2611">
        <v>-6.9969380863565904</v>
      </c>
      <c r="V2611">
        <v>0.75278724425312205</v>
      </c>
      <c r="W2611">
        <v>0.89498344640104499</v>
      </c>
      <c r="X2611">
        <v>0</v>
      </c>
      <c r="Y2611">
        <v>0</v>
      </c>
    </row>
    <row r="2612" spans="1:25" x14ac:dyDescent="0.2">
      <c r="A2612" t="s">
        <v>9738</v>
      </c>
      <c r="B2612" t="s">
        <v>9739</v>
      </c>
      <c r="C2612" t="s">
        <v>9740</v>
      </c>
      <c r="D2612" t="s">
        <v>9741</v>
      </c>
      <c r="E2612" t="s">
        <v>9739</v>
      </c>
      <c r="F2612" t="s">
        <v>28</v>
      </c>
      <c r="G2612" t="s">
        <v>9739</v>
      </c>
      <c r="H2612" t="str">
        <f>"T07D4.2"</f>
        <v>T07D4.2</v>
      </c>
      <c r="I2612" t="s">
        <v>9741</v>
      </c>
      <c r="J2612">
        <v>15.768711626206199</v>
      </c>
      <c r="K2612">
        <v>15.421562875882101</v>
      </c>
      <c r="L2612">
        <v>15.677943647582801</v>
      </c>
      <c r="M2612">
        <v>15.2008285087971</v>
      </c>
      <c r="N2612">
        <v>15.595418644131801</v>
      </c>
      <c r="O2612">
        <v>15.3635135461356</v>
      </c>
      <c r="P2612">
        <v>-0.23615248353552201</v>
      </c>
      <c r="Q2612">
        <v>-0.68088789144119399</v>
      </c>
      <c r="R2612">
        <v>0.208582924370151</v>
      </c>
      <c r="S2612">
        <v>15.3451782762858</v>
      </c>
      <c r="T2612">
        <v>-1.12083277756632</v>
      </c>
      <c r="U2612">
        <v>-6.4152329757593103</v>
      </c>
      <c r="V2612">
        <v>0.27803865954676898</v>
      </c>
      <c r="W2612">
        <v>0.55744781156203704</v>
      </c>
      <c r="X2612">
        <v>0</v>
      </c>
      <c r="Y2612">
        <v>0</v>
      </c>
    </row>
    <row r="2613" spans="1:25" x14ac:dyDescent="0.2">
      <c r="A2613" t="s">
        <v>9742</v>
      </c>
      <c r="B2613" t="s">
        <v>9743</v>
      </c>
      <c r="C2613" t="s">
        <v>9744</v>
      </c>
      <c r="D2613" t="s">
        <v>9745</v>
      </c>
      <c r="E2613" t="s">
        <v>9743</v>
      </c>
      <c r="F2613" t="s">
        <v>28</v>
      </c>
      <c r="G2613" t="s">
        <v>9743</v>
      </c>
      <c r="H2613" t="str">
        <f>"rha-1"</f>
        <v>rha-1</v>
      </c>
      <c r="I2613" t="s">
        <v>9745</v>
      </c>
      <c r="J2613">
        <v>14.797430381781499</v>
      </c>
      <c r="K2613">
        <v>14.7670373636421</v>
      </c>
      <c r="L2613">
        <v>14.788028493855</v>
      </c>
      <c r="M2613">
        <v>14.743587785595</v>
      </c>
      <c r="N2613">
        <v>14.620232969144</v>
      </c>
      <c r="O2613">
        <v>14.4978175226817</v>
      </c>
      <c r="P2613">
        <v>-0.16361932061927401</v>
      </c>
      <c r="Q2613">
        <v>-0.56932453078715395</v>
      </c>
      <c r="R2613">
        <v>0.24208588954860599</v>
      </c>
      <c r="S2613">
        <v>14.855783571806599</v>
      </c>
      <c r="T2613">
        <v>-0.847649896142051</v>
      </c>
      <c r="U2613">
        <v>-6.6829582565869501</v>
      </c>
      <c r="V2613">
        <v>0.40782773513050302</v>
      </c>
      <c r="W2613">
        <v>0.67915632042715302</v>
      </c>
      <c r="X2613">
        <v>0</v>
      </c>
      <c r="Y2613">
        <v>0</v>
      </c>
    </row>
    <row r="2614" spans="1:25" x14ac:dyDescent="0.2">
      <c r="A2614" t="s">
        <v>9746</v>
      </c>
      <c r="B2614" t="s">
        <v>9747</v>
      </c>
      <c r="C2614" t="s">
        <v>9748</v>
      </c>
      <c r="D2614" t="s">
        <v>2791</v>
      </c>
      <c r="E2614" t="s">
        <v>9747</v>
      </c>
      <c r="F2614" t="s">
        <v>28</v>
      </c>
      <c r="G2614" t="s">
        <v>9747</v>
      </c>
      <c r="H2614" t="str">
        <f>"ddx-19"</f>
        <v>ddx-19</v>
      </c>
      <c r="I2614" t="s">
        <v>2791</v>
      </c>
      <c r="J2614">
        <v>13.1107561351572</v>
      </c>
      <c r="K2614">
        <v>12.7129066316354</v>
      </c>
      <c r="L2614">
        <v>13.3307117537674</v>
      </c>
      <c r="M2614">
        <v>13.678476499476799</v>
      </c>
      <c r="N2614">
        <v>13.7694338766116</v>
      </c>
      <c r="O2614">
        <v>13.8150256218641</v>
      </c>
      <c r="P2614">
        <v>0.70285382579754696</v>
      </c>
      <c r="Q2614">
        <v>-0.40338460136502202</v>
      </c>
      <c r="R2614">
        <v>1.8090922529601201</v>
      </c>
      <c r="S2614">
        <v>13.9503549169851</v>
      </c>
      <c r="T2614">
        <v>1.33539204842571</v>
      </c>
      <c r="U2614">
        <v>-6.1615442970333598</v>
      </c>
      <c r="V2614">
        <v>0.19848687800751999</v>
      </c>
      <c r="W2614">
        <v>0.45880495615254302</v>
      </c>
      <c r="X2614">
        <v>0</v>
      </c>
      <c r="Y2614">
        <v>0</v>
      </c>
    </row>
    <row r="2615" spans="1:25" x14ac:dyDescent="0.2">
      <c r="A2615" t="s">
        <v>9749</v>
      </c>
      <c r="B2615" t="s">
        <v>9750</v>
      </c>
      <c r="C2615" t="s">
        <v>9751</v>
      </c>
      <c r="D2615" t="s">
        <v>9752</v>
      </c>
      <c r="E2615" t="s">
        <v>9750</v>
      </c>
      <c r="F2615" t="s">
        <v>28</v>
      </c>
      <c r="G2615" t="s">
        <v>9750</v>
      </c>
      <c r="H2615" t="str">
        <f>"epg-7"</f>
        <v>epg-7</v>
      </c>
      <c r="I2615" t="s">
        <v>9752</v>
      </c>
      <c r="J2615">
        <v>11.878314992858501</v>
      </c>
      <c r="K2615">
        <v>11.614385977042399</v>
      </c>
      <c r="L2615">
        <v>11.9107458578793</v>
      </c>
      <c r="M2615">
        <v>11.286333146455201</v>
      </c>
      <c r="N2615">
        <v>12.727513993813099</v>
      </c>
      <c r="O2615">
        <v>11.2586990920156</v>
      </c>
      <c r="P2615">
        <v>-4.3633531832122999E-2</v>
      </c>
      <c r="Q2615">
        <v>-1.4022882209771099</v>
      </c>
      <c r="R2615">
        <v>1.3150211573128701</v>
      </c>
      <c r="S2615">
        <v>11.7289792200534</v>
      </c>
      <c r="T2615">
        <v>-6.7789321746392406E-2</v>
      </c>
      <c r="U2615">
        <v>-7.0496709511064299</v>
      </c>
      <c r="V2615">
        <v>0.94674914740618699</v>
      </c>
      <c r="W2615">
        <v>0.976007926071499</v>
      </c>
      <c r="X2615">
        <v>0</v>
      </c>
      <c r="Y2615">
        <v>0</v>
      </c>
    </row>
    <row r="2616" spans="1:25" x14ac:dyDescent="0.2">
      <c r="A2616" t="s">
        <v>9753</v>
      </c>
      <c r="B2616" t="s">
        <v>9754</v>
      </c>
      <c r="C2616" t="s">
        <v>9755</v>
      </c>
      <c r="D2616" t="s">
        <v>9756</v>
      </c>
      <c r="E2616" t="s">
        <v>9754</v>
      </c>
      <c r="F2616" t="s">
        <v>28</v>
      </c>
      <c r="G2616" t="s">
        <v>9754</v>
      </c>
      <c r="H2616" t="str">
        <f>"acdh-10"</f>
        <v>acdh-10</v>
      </c>
      <c r="I2616" t="s">
        <v>9756</v>
      </c>
      <c r="J2616">
        <v>17.819380705017</v>
      </c>
      <c r="K2616">
        <v>17.860025473818901</v>
      </c>
      <c r="L2616">
        <v>17.604049080128501</v>
      </c>
      <c r="M2616">
        <v>17.539386038574101</v>
      </c>
      <c r="N2616">
        <v>17.3978096984773</v>
      </c>
      <c r="O2616">
        <v>17.525557911587399</v>
      </c>
      <c r="P2616">
        <v>-0.27356720344186802</v>
      </c>
      <c r="Q2616">
        <v>-0.60036785828146699</v>
      </c>
      <c r="R2616">
        <v>5.3233451397731502E-2</v>
      </c>
      <c r="S2616">
        <v>17.222417305552501</v>
      </c>
      <c r="T2616">
        <v>-1.75943661592437</v>
      </c>
      <c r="U2616">
        <v>-5.5566920293853999</v>
      </c>
      <c r="V2616">
        <v>9.5588384561329107E-2</v>
      </c>
      <c r="W2616">
        <v>0.318693241150169</v>
      </c>
      <c r="X2616">
        <v>0</v>
      </c>
      <c r="Y2616">
        <v>0</v>
      </c>
    </row>
    <row r="2617" spans="1:25" x14ac:dyDescent="0.2">
      <c r="A2617" t="s">
        <v>9757</v>
      </c>
      <c r="B2617" t="s">
        <v>9758</v>
      </c>
      <c r="C2617" t="s">
        <v>9759</v>
      </c>
      <c r="D2617" t="s">
        <v>6170</v>
      </c>
      <c r="E2617" t="s">
        <v>9758</v>
      </c>
      <c r="F2617" t="s">
        <v>28</v>
      </c>
      <c r="G2617" t="s">
        <v>9758</v>
      </c>
      <c r="H2617" t="str">
        <f>"exc-15"</f>
        <v>exc-15</v>
      </c>
      <c r="I2617" t="s">
        <v>6170</v>
      </c>
      <c r="J2617">
        <v>10.441976319323301</v>
      </c>
      <c r="K2617" t="s">
        <v>29</v>
      </c>
      <c r="L2617" t="s">
        <v>29</v>
      </c>
      <c r="M2617">
        <v>12.3098079015538</v>
      </c>
      <c r="N2617">
        <v>12.9576784160868</v>
      </c>
      <c r="O2617">
        <v>13.271890798734001</v>
      </c>
      <c r="P2617">
        <v>2.4044827194682399</v>
      </c>
      <c r="Q2617">
        <v>1.44363565784472</v>
      </c>
      <c r="R2617">
        <v>3.36532978109175</v>
      </c>
      <c r="S2617">
        <v>12.447943927549201</v>
      </c>
      <c r="T2617">
        <v>5.3078290091099101</v>
      </c>
      <c r="U2617">
        <v>1.6894826071059801</v>
      </c>
      <c r="V2617" s="2">
        <v>7.22972465094079E-5</v>
      </c>
      <c r="W2617">
        <v>2.40056367491442E-3</v>
      </c>
      <c r="X2617">
        <v>1</v>
      </c>
      <c r="Y2617">
        <v>1</v>
      </c>
    </row>
    <row r="2618" spans="1:25" x14ac:dyDescent="0.2">
      <c r="A2618" t="s">
        <v>9760</v>
      </c>
      <c r="B2618" t="s">
        <v>9761</v>
      </c>
      <c r="C2618" t="s">
        <v>9762</v>
      </c>
      <c r="D2618" t="s">
        <v>9763</v>
      </c>
      <c r="E2618" t="s">
        <v>9761</v>
      </c>
      <c r="F2618" t="s">
        <v>28</v>
      </c>
      <c r="G2618" t="s">
        <v>9761</v>
      </c>
      <c r="H2618" t="str">
        <f>"him-17"</f>
        <v>him-17</v>
      </c>
      <c r="I2618" t="s">
        <v>9763</v>
      </c>
      <c r="J2618">
        <v>11.8147115580175</v>
      </c>
      <c r="K2618">
        <v>11.0150229283594</v>
      </c>
      <c r="L2618">
        <v>11.771235612377099</v>
      </c>
      <c r="M2618" t="s">
        <v>29</v>
      </c>
      <c r="N2618">
        <v>12.454305736997499</v>
      </c>
      <c r="O2618">
        <v>11.9070030547995</v>
      </c>
      <c r="P2618">
        <v>0.64699769631385695</v>
      </c>
      <c r="Q2618">
        <v>-5.0033595812629297E-2</v>
      </c>
      <c r="R2618">
        <v>1.34402898844034</v>
      </c>
      <c r="S2618">
        <v>12.891190575138101</v>
      </c>
      <c r="T2618">
        <v>1.97966663981785</v>
      </c>
      <c r="U2618">
        <v>-5.1041916756620704</v>
      </c>
      <c r="V2618">
        <v>6.6527954971194098E-2</v>
      </c>
      <c r="W2618">
        <v>0.26187216934255902</v>
      </c>
      <c r="X2618">
        <v>0</v>
      </c>
      <c r="Y2618">
        <v>0</v>
      </c>
    </row>
    <row r="2619" spans="1:25" x14ac:dyDescent="0.2">
      <c r="A2619" t="s">
        <v>9764</v>
      </c>
      <c r="B2619" t="s">
        <v>9765</v>
      </c>
      <c r="C2619" t="s">
        <v>9766</v>
      </c>
      <c r="D2619" t="s">
        <v>9767</v>
      </c>
      <c r="E2619" t="s">
        <v>9765</v>
      </c>
      <c r="F2619" t="s">
        <v>28</v>
      </c>
      <c r="G2619" t="s">
        <v>9765</v>
      </c>
      <c r="H2619" t="str">
        <f>"cni-1"</f>
        <v>cni-1</v>
      </c>
      <c r="I2619" t="s">
        <v>9767</v>
      </c>
      <c r="J2619">
        <v>14.8735496416909</v>
      </c>
      <c r="K2619">
        <v>15.1261801691579</v>
      </c>
      <c r="L2619">
        <v>15.476545211537299</v>
      </c>
      <c r="M2619">
        <v>14.907091383632199</v>
      </c>
      <c r="N2619">
        <v>14.8908699048436</v>
      </c>
      <c r="O2619">
        <v>15.092214411444001</v>
      </c>
      <c r="P2619">
        <v>-0.195366440822067</v>
      </c>
      <c r="Q2619">
        <v>-0.751785995536431</v>
      </c>
      <c r="R2619">
        <v>0.361053113892297</v>
      </c>
      <c r="S2619">
        <v>15.3872335200882</v>
      </c>
      <c r="T2619">
        <v>-0.74113546103064798</v>
      </c>
      <c r="U2619">
        <v>-6.7679544959868903</v>
      </c>
      <c r="V2619">
        <v>0.46878827752367003</v>
      </c>
      <c r="W2619">
        <v>0.73153117908080401</v>
      </c>
      <c r="X2619">
        <v>0</v>
      </c>
      <c r="Y2619">
        <v>0</v>
      </c>
    </row>
    <row r="2620" spans="1:25" x14ac:dyDescent="0.2">
      <c r="A2620" t="s">
        <v>9768</v>
      </c>
      <c r="B2620" t="s">
        <v>9769</v>
      </c>
      <c r="C2620" t="s">
        <v>9770</v>
      </c>
      <c r="D2620" t="s">
        <v>9771</v>
      </c>
      <c r="E2620" t="s">
        <v>9769</v>
      </c>
      <c r="F2620" t="s">
        <v>28</v>
      </c>
      <c r="G2620" t="s">
        <v>9769</v>
      </c>
      <c r="H2620" t="str">
        <f>"unc-10"</f>
        <v>unc-10</v>
      </c>
      <c r="I2620" t="s">
        <v>9771</v>
      </c>
      <c r="J2620" t="s">
        <v>29</v>
      </c>
      <c r="K2620" t="s">
        <v>29</v>
      </c>
      <c r="L2620" t="s">
        <v>29</v>
      </c>
      <c r="M2620" t="s">
        <v>29</v>
      </c>
      <c r="N2620" t="s">
        <v>29</v>
      </c>
      <c r="O2620" t="s">
        <v>29</v>
      </c>
      <c r="P2620" t="s">
        <v>29</v>
      </c>
      <c r="Q2620" t="s">
        <v>29</v>
      </c>
      <c r="R2620" t="s">
        <v>29</v>
      </c>
      <c r="S2620">
        <v>12.9900359945476</v>
      </c>
      <c r="T2620" t="s">
        <v>29</v>
      </c>
      <c r="U2620" t="s">
        <v>29</v>
      </c>
      <c r="V2620" t="s">
        <v>29</v>
      </c>
      <c r="W2620" t="s">
        <v>29</v>
      </c>
      <c r="X2620" t="s">
        <v>29</v>
      </c>
      <c r="Y2620" t="s">
        <v>29</v>
      </c>
    </row>
    <row r="2621" spans="1:25" x14ac:dyDescent="0.2">
      <c r="A2621" t="s">
        <v>9772</v>
      </c>
      <c r="B2621" t="s">
        <v>9773</v>
      </c>
      <c r="C2621" t="s">
        <v>9774</v>
      </c>
      <c r="D2621" t="s">
        <v>9775</v>
      </c>
      <c r="E2621" t="s">
        <v>9773</v>
      </c>
      <c r="F2621" t="s">
        <v>28</v>
      </c>
      <c r="G2621" t="s">
        <v>9773</v>
      </c>
      <c r="H2621" t="str">
        <f>"ucr-2.2"</f>
        <v>ucr-2.2</v>
      </c>
      <c r="I2621" t="s">
        <v>9775</v>
      </c>
      <c r="J2621">
        <v>14.203801744935699</v>
      </c>
      <c r="K2621">
        <v>14.43007823738</v>
      </c>
      <c r="L2621">
        <v>14.4857498611703</v>
      </c>
      <c r="M2621">
        <v>13.659630781513201</v>
      </c>
      <c r="N2621">
        <v>13.6224909065688</v>
      </c>
      <c r="O2621">
        <v>13.8629980848445</v>
      </c>
      <c r="P2621">
        <v>-0.65817002351981602</v>
      </c>
      <c r="Q2621">
        <v>-1.2727273469634801</v>
      </c>
      <c r="R2621">
        <v>-4.3612700076151499E-2</v>
      </c>
      <c r="S2621">
        <v>14.5315934333057</v>
      </c>
      <c r="T2621">
        <v>-2.2509622577397002</v>
      </c>
      <c r="U2621">
        <v>-4.7163345165202797</v>
      </c>
      <c r="V2621">
        <v>3.7201679159089798E-2</v>
      </c>
      <c r="W2621">
        <v>0.19154155693620001</v>
      </c>
      <c r="X2621">
        <v>0</v>
      </c>
      <c r="Y2621">
        <v>0</v>
      </c>
    </row>
    <row r="2622" spans="1:25" x14ac:dyDescent="0.2">
      <c r="A2622" t="s">
        <v>9776</v>
      </c>
      <c r="B2622" t="s">
        <v>9777</v>
      </c>
      <c r="C2622" t="s">
        <v>9778</v>
      </c>
      <c r="D2622" t="s">
        <v>3312</v>
      </c>
      <c r="E2622" t="s">
        <v>9777</v>
      </c>
      <c r="F2622" t="s">
        <v>28</v>
      </c>
      <c r="G2622" t="s">
        <v>9777</v>
      </c>
      <c r="H2622" t="str">
        <f>"col-167"</f>
        <v>col-167</v>
      </c>
      <c r="I2622" t="s">
        <v>3312</v>
      </c>
      <c r="J2622">
        <v>13.9770707350267</v>
      </c>
      <c r="K2622">
        <v>13.285830730563299</v>
      </c>
      <c r="L2622">
        <v>13.8450132861756</v>
      </c>
      <c r="M2622">
        <v>12.8360138917187</v>
      </c>
      <c r="N2622">
        <v>12.454550804954399</v>
      </c>
      <c r="O2622">
        <v>13.371854727194201</v>
      </c>
      <c r="P2622">
        <v>-0.81516510929945696</v>
      </c>
      <c r="Q2622">
        <v>-1.3267716228383</v>
      </c>
      <c r="R2622">
        <v>-0.303558595760613</v>
      </c>
      <c r="S2622">
        <v>13.6263527154433</v>
      </c>
      <c r="T2622">
        <v>-3.36325294221606</v>
      </c>
      <c r="U2622">
        <v>-2.5100721637448999</v>
      </c>
      <c r="V2622">
        <v>3.7156885909474099E-3</v>
      </c>
      <c r="W2622">
        <v>4.42367101496123E-2</v>
      </c>
      <c r="X2622">
        <v>0</v>
      </c>
      <c r="Y2622">
        <v>0</v>
      </c>
    </row>
    <row r="2623" spans="1:25" x14ac:dyDescent="0.2">
      <c r="A2623" t="s">
        <v>9779</v>
      </c>
      <c r="B2623" t="s">
        <v>9780</v>
      </c>
      <c r="C2623" t="s">
        <v>9781</v>
      </c>
      <c r="D2623" t="s">
        <v>3246</v>
      </c>
      <c r="E2623" t="s">
        <v>9780</v>
      </c>
      <c r="F2623" t="s">
        <v>28</v>
      </c>
      <c r="G2623" t="s">
        <v>9780</v>
      </c>
      <c r="H2623" t="str">
        <f>"dhs-19"</f>
        <v>dhs-19</v>
      </c>
      <c r="I2623" t="s">
        <v>3246</v>
      </c>
      <c r="J2623">
        <v>15.4129520784176</v>
      </c>
      <c r="K2623">
        <v>15.205411470928899</v>
      </c>
      <c r="L2623">
        <v>15.478202128740399</v>
      </c>
      <c r="M2623">
        <v>15.3080622014059</v>
      </c>
      <c r="N2623">
        <v>15.467950769191001</v>
      </c>
      <c r="O2623">
        <v>15.1102944364153</v>
      </c>
      <c r="P2623">
        <v>-7.0086090358216793E-2</v>
      </c>
      <c r="Q2623">
        <v>-0.465969941671312</v>
      </c>
      <c r="R2623">
        <v>0.325797760954879</v>
      </c>
      <c r="S2623">
        <v>15.1816386147534</v>
      </c>
      <c r="T2623">
        <v>-0.37209733603498302</v>
      </c>
      <c r="U2623">
        <v>-6.9798077680925497</v>
      </c>
      <c r="V2623">
        <v>0.71419018580566596</v>
      </c>
      <c r="W2623">
        <v>0.873674761132195</v>
      </c>
      <c r="X2623">
        <v>0</v>
      </c>
      <c r="Y2623">
        <v>0</v>
      </c>
    </row>
    <row r="2624" spans="1:25" x14ac:dyDescent="0.2">
      <c r="A2624" t="s">
        <v>9782</v>
      </c>
      <c r="B2624" t="s">
        <v>9783</v>
      </c>
      <c r="C2624" t="s">
        <v>9784</v>
      </c>
      <c r="D2624" t="s">
        <v>9785</v>
      </c>
      <c r="E2624" t="s">
        <v>9783</v>
      </c>
      <c r="F2624" t="s">
        <v>28</v>
      </c>
      <c r="G2624" t="s">
        <v>9783</v>
      </c>
      <c r="H2624" t="str">
        <f>"rbm-22"</f>
        <v>rbm-22</v>
      </c>
      <c r="I2624" t="s">
        <v>9785</v>
      </c>
      <c r="J2624">
        <v>13.2460678809655</v>
      </c>
      <c r="K2624">
        <v>12.826516507658299</v>
      </c>
      <c r="L2624">
        <v>13.317786311600999</v>
      </c>
      <c r="M2624">
        <v>13.2570833016626</v>
      </c>
      <c r="N2624">
        <v>13.2407352787734</v>
      </c>
      <c r="O2624">
        <v>12.687591233439999</v>
      </c>
      <c r="P2624">
        <v>-6.8320295449605994E-2</v>
      </c>
      <c r="Q2624">
        <v>-0.56532976052518902</v>
      </c>
      <c r="R2624">
        <v>0.42868916962597697</v>
      </c>
      <c r="S2624">
        <v>13.5652510439905</v>
      </c>
      <c r="T2624">
        <v>-0.29156447418972498</v>
      </c>
      <c r="U2624">
        <v>-7.0073595774382698</v>
      </c>
      <c r="V2624">
        <v>0.77439031287357496</v>
      </c>
      <c r="W2624">
        <v>0.90479930990686297</v>
      </c>
      <c r="X2624">
        <v>0</v>
      </c>
      <c r="Y2624">
        <v>0</v>
      </c>
    </row>
    <row r="2625" spans="1:25" x14ac:dyDescent="0.2">
      <c r="A2625" t="s">
        <v>9786</v>
      </c>
      <c r="B2625" t="s">
        <v>9787</v>
      </c>
      <c r="C2625" t="s">
        <v>9788</v>
      </c>
      <c r="D2625" t="s">
        <v>9789</v>
      </c>
      <c r="E2625" t="s">
        <v>9787</v>
      </c>
      <c r="F2625" t="s">
        <v>28</v>
      </c>
      <c r="G2625" t="s">
        <v>9787</v>
      </c>
      <c r="H2625" t="str">
        <f>"tebp-2"</f>
        <v>tebp-2</v>
      </c>
      <c r="I2625" t="s">
        <v>9789</v>
      </c>
      <c r="J2625" t="s">
        <v>29</v>
      </c>
      <c r="K2625" t="s">
        <v>29</v>
      </c>
      <c r="L2625" t="s">
        <v>29</v>
      </c>
      <c r="M2625" t="s">
        <v>29</v>
      </c>
      <c r="N2625" t="s">
        <v>29</v>
      </c>
      <c r="O2625" t="s">
        <v>29</v>
      </c>
      <c r="P2625" t="s">
        <v>29</v>
      </c>
      <c r="Q2625" t="s">
        <v>29</v>
      </c>
      <c r="R2625" t="s">
        <v>29</v>
      </c>
      <c r="S2625">
        <v>11.0605769979075</v>
      </c>
      <c r="T2625" t="s">
        <v>29</v>
      </c>
      <c r="U2625" t="s">
        <v>29</v>
      </c>
      <c r="V2625" t="s">
        <v>29</v>
      </c>
      <c r="W2625" t="s">
        <v>29</v>
      </c>
      <c r="X2625" t="s">
        <v>29</v>
      </c>
      <c r="Y2625" t="s">
        <v>29</v>
      </c>
    </row>
    <row r="2626" spans="1:25" x14ac:dyDescent="0.2">
      <c r="A2626" t="s">
        <v>9790</v>
      </c>
      <c r="B2626" t="s">
        <v>9791</v>
      </c>
      <c r="C2626" t="s">
        <v>9792</v>
      </c>
      <c r="D2626" t="s">
        <v>3680</v>
      </c>
      <c r="E2626" t="s">
        <v>9791</v>
      </c>
      <c r="F2626" t="s">
        <v>28</v>
      </c>
      <c r="G2626" t="s">
        <v>9791</v>
      </c>
      <c r="H2626" t="str">
        <f>"cec-6"</f>
        <v>cec-6</v>
      </c>
      <c r="I2626" t="s">
        <v>3680</v>
      </c>
      <c r="J2626" t="s">
        <v>29</v>
      </c>
      <c r="K2626" t="s">
        <v>29</v>
      </c>
      <c r="L2626" t="s">
        <v>29</v>
      </c>
      <c r="M2626" t="s">
        <v>29</v>
      </c>
      <c r="N2626" t="s">
        <v>29</v>
      </c>
      <c r="O2626" t="s">
        <v>29</v>
      </c>
      <c r="P2626" t="s">
        <v>29</v>
      </c>
      <c r="Q2626" t="s">
        <v>29</v>
      </c>
      <c r="R2626" t="s">
        <v>29</v>
      </c>
      <c r="S2626">
        <v>11.759444597322601</v>
      </c>
      <c r="T2626" t="s">
        <v>29</v>
      </c>
      <c r="U2626" t="s">
        <v>29</v>
      </c>
      <c r="V2626" t="s">
        <v>29</v>
      </c>
      <c r="W2626" t="s">
        <v>29</v>
      </c>
      <c r="X2626" t="s">
        <v>29</v>
      </c>
      <c r="Y2626" t="s">
        <v>29</v>
      </c>
    </row>
    <row r="2627" spans="1:25" x14ac:dyDescent="0.2">
      <c r="A2627" t="s">
        <v>9793</v>
      </c>
      <c r="B2627" t="s">
        <v>9794</v>
      </c>
      <c r="C2627" t="s">
        <v>9795</v>
      </c>
      <c r="D2627" t="s">
        <v>9796</v>
      </c>
      <c r="E2627" t="s">
        <v>9794</v>
      </c>
      <c r="F2627" t="s">
        <v>28</v>
      </c>
      <c r="G2627" t="s">
        <v>9794</v>
      </c>
      <c r="H2627" t="str">
        <f>"ari-2"</f>
        <v>ari-2</v>
      </c>
      <c r="I2627" t="s">
        <v>9796</v>
      </c>
      <c r="J2627" t="s">
        <v>29</v>
      </c>
      <c r="K2627" t="s">
        <v>29</v>
      </c>
      <c r="L2627" t="s">
        <v>29</v>
      </c>
      <c r="M2627" t="s">
        <v>29</v>
      </c>
      <c r="N2627" t="s">
        <v>29</v>
      </c>
      <c r="O2627">
        <v>10.7705935777029</v>
      </c>
      <c r="P2627" t="s">
        <v>29</v>
      </c>
      <c r="Q2627" t="s">
        <v>29</v>
      </c>
      <c r="R2627" t="s">
        <v>29</v>
      </c>
      <c r="S2627">
        <v>11.1750600371704</v>
      </c>
      <c r="T2627" t="s">
        <v>29</v>
      </c>
      <c r="U2627" t="s">
        <v>29</v>
      </c>
      <c r="V2627" t="s">
        <v>29</v>
      </c>
      <c r="W2627" t="s">
        <v>29</v>
      </c>
      <c r="X2627" t="s">
        <v>29</v>
      </c>
      <c r="Y2627" t="s">
        <v>29</v>
      </c>
    </row>
    <row r="2628" spans="1:25" x14ac:dyDescent="0.2">
      <c r="A2628" t="s">
        <v>9797</v>
      </c>
      <c r="B2628" t="s">
        <v>9798</v>
      </c>
      <c r="C2628" t="s">
        <v>9799</v>
      </c>
      <c r="D2628" t="s">
        <v>7469</v>
      </c>
      <c r="E2628" t="s">
        <v>9798</v>
      </c>
      <c r="F2628" t="s">
        <v>28</v>
      </c>
      <c r="G2628" t="s">
        <v>9798</v>
      </c>
      <c r="H2628" t="str">
        <f>"sqst-1"</f>
        <v>sqst-1</v>
      </c>
      <c r="I2628" t="s">
        <v>7469</v>
      </c>
      <c r="J2628">
        <v>10.1296427632373</v>
      </c>
      <c r="K2628">
        <v>12.1239599765162</v>
      </c>
      <c r="L2628">
        <v>11.3562568510447</v>
      </c>
      <c r="M2628" t="s">
        <v>29</v>
      </c>
      <c r="N2628" t="s">
        <v>29</v>
      </c>
      <c r="O2628" t="s">
        <v>29</v>
      </c>
      <c r="P2628" t="s">
        <v>29</v>
      </c>
      <c r="Q2628" t="s">
        <v>29</v>
      </c>
      <c r="R2628" t="s">
        <v>29</v>
      </c>
      <c r="S2628">
        <v>10.5962791974759</v>
      </c>
      <c r="T2628" t="s">
        <v>29</v>
      </c>
      <c r="U2628" t="s">
        <v>29</v>
      </c>
      <c r="V2628" t="s">
        <v>29</v>
      </c>
      <c r="W2628" t="s">
        <v>29</v>
      </c>
      <c r="X2628" t="s">
        <v>29</v>
      </c>
      <c r="Y2628" t="s">
        <v>29</v>
      </c>
    </row>
    <row r="2629" spans="1:25" x14ac:dyDescent="0.2">
      <c r="A2629" t="s">
        <v>9800</v>
      </c>
      <c r="B2629" t="s">
        <v>9801</v>
      </c>
      <c r="C2629" t="s">
        <v>9802</v>
      </c>
      <c r="D2629" t="s">
        <v>9803</v>
      </c>
      <c r="E2629" t="s">
        <v>9801</v>
      </c>
      <c r="F2629" t="s">
        <v>28</v>
      </c>
      <c r="G2629" t="s">
        <v>9801</v>
      </c>
      <c r="H2629" t="str">
        <f>"ssup-72"</f>
        <v>ssup-72</v>
      </c>
      <c r="I2629" t="s">
        <v>9803</v>
      </c>
      <c r="J2629" t="s">
        <v>29</v>
      </c>
      <c r="K2629">
        <v>11.8293124023005</v>
      </c>
      <c r="L2629">
        <v>12.020058581656</v>
      </c>
      <c r="M2629" t="s">
        <v>29</v>
      </c>
      <c r="N2629" t="s">
        <v>29</v>
      </c>
      <c r="O2629" t="s">
        <v>29</v>
      </c>
      <c r="P2629" t="s">
        <v>29</v>
      </c>
      <c r="Q2629" t="s">
        <v>29</v>
      </c>
      <c r="R2629" t="s">
        <v>29</v>
      </c>
      <c r="S2629">
        <v>12.6395701013824</v>
      </c>
      <c r="T2629" t="s">
        <v>29</v>
      </c>
      <c r="U2629" t="s">
        <v>29</v>
      </c>
      <c r="V2629" t="s">
        <v>29</v>
      </c>
      <c r="W2629" t="s">
        <v>29</v>
      </c>
      <c r="X2629" t="s">
        <v>29</v>
      </c>
      <c r="Y2629" t="s">
        <v>29</v>
      </c>
    </row>
    <row r="2630" spans="1:25" x14ac:dyDescent="0.2">
      <c r="A2630" t="s">
        <v>9804</v>
      </c>
      <c r="B2630" t="s">
        <v>9805</v>
      </c>
      <c r="C2630" t="s">
        <v>9806</v>
      </c>
      <c r="D2630" t="s">
        <v>9807</v>
      </c>
      <c r="E2630" t="s">
        <v>9805</v>
      </c>
      <c r="F2630" t="s">
        <v>28</v>
      </c>
      <c r="G2630" t="s">
        <v>9805</v>
      </c>
      <c r="H2630" t="str">
        <f>"bca-1"</f>
        <v>bca-1</v>
      </c>
      <c r="I2630" t="s">
        <v>9807</v>
      </c>
      <c r="J2630">
        <v>13.9537445093095</v>
      </c>
      <c r="K2630">
        <v>14.1364269638058</v>
      </c>
      <c r="L2630">
        <v>13.9812280500776</v>
      </c>
      <c r="M2630">
        <v>14.396408142300301</v>
      </c>
      <c r="N2630">
        <v>14.4801103074283</v>
      </c>
      <c r="O2630">
        <v>14.4520393269046</v>
      </c>
      <c r="P2630">
        <v>0.41905275114678803</v>
      </c>
      <c r="Q2630">
        <v>3.3164468168727597E-2</v>
      </c>
      <c r="R2630">
        <v>0.80494103412484896</v>
      </c>
      <c r="S2630">
        <v>13.8610823204013</v>
      </c>
      <c r="T2630">
        <v>2.3160541553109999</v>
      </c>
      <c r="U2630">
        <v>-4.6285932386746103</v>
      </c>
      <c r="V2630">
        <v>3.5225931055635401E-2</v>
      </c>
      <c r="W2630">
        <v>0.18699050514688001</v>
      </c>
      <c r="X2630">
        <v>0</v>
      </c>
      <c r="Y2630">
        <v>0</v>
      </c>
    </row>
    <row r="2631" spans="1:25" x14ac:dyDescent="0.2">
      <c r="A2631" t="s">
        <v>9808</v>
      </c>
      <c r="B2631" t="s">
        <v>9809</v>
      </c>
      <c r="C2631" t="s">
        <v>9810</v>
      </c>
      <c r="D2631" t="s">
        <v>9811</v>
      </c>
      <c r="E2631" t="s">
        <v>9809</v>
      </c>
      <c r="F2631" t="s">
        <v>28</v>
      </c>
      <c r="G2631" t="s">
        <v>9809</v>
      </c>
      <c r="H2631" t="str">
        <f>"mrps-18b"</f>
        <v>mrps-18b</v>
      </c>
      <c r="I2631" t="s">
        <v>9811</v>
      </c>
      <c r="J2631">
        <v>12.037505346827</v>
      </c>
      <c r="K2631">
        <v>12.1401525941284</v>
      </c>
      <c r="L2631">
        <v>12.4709363318399</v>
      </c>
      <c r="M2631" t="s">
        <v>29</v>
      </c>
      <c r="N2631">
        <v>12.085481841104199</v>
      </c>
      <c r="O2631" t="s">
        <v>29</v>
      </c>
      <c r="P2631">
        <v>-0.130716249827593</v>
      </c>
      <c r="Q2631">
        <v>-0.96892194703227696</v>
      </c>
      <c r="R2631">
        <v>0.70748944737709196</v>
      </c>
      <c r="S2631">
        <v>12.764362168473999</v>
      </c>
      <c r="T2631">
        <v>-0.337183423457668</v>
      </c>
      <c r="U2631">
        <v>-6.64907799576679</v>
      </c>
      <c r="V2631">
        <v>0.74140369980906196</v>
      </c>
      <c r="W2631">
        <v>0.89088908389168697</v>
      </c>
      <c r="X2631">
        <v>0</v>
      </c>
      <c r="Y2631">
        <v>0</v>
      </c>
    </row>
    <row r="2632" spans="1:25" x14ac:dyDescent="0.2">
      <c r="A2632" t="s">
        <v>9812</v>
      </c>
      <c r="B2632" t="s">
        <v>9813</v>
      </c>
      <c r="C2632" t="s">
        <v>14526</v>
      </c>
      <c r="D2632" t="s">
        <v>9814</v>
      </c>
      <c r="E2632" t="s">
        <v>9813</v>
      </c>
      <c r="F2632" t="s">
        <v>28</v>
      </c>
      <c r="G2632" t="s">
        <v>9813</v>
      </c>
      <c r="H2632" t="str">
        <f>"T14B4.1"</f>
        <v>T14B4.1</v>
      </c>
      <c r="I2632" t="s">
        <v>9814</v>
      </c>
      <c r="J2632">
        <v>13.4970802208687</v>
      </c>
      <c r="K2632">
        <v>13.8125389839274</v>
      </c>
      <c r="L2632">
        <v>13.5429280557408</v>
      </c>
      <c r="M2632">
        <v>13.2178291530471</v>
      </c>
      <c r="N2632">
        <v>13.036391618991599</v>
      </c>
      <c r="O2632">
        <v>12.328444699423301</v>
      </c>
      <c r="P2632">
        <v>-0.75662726302496197</v>
      </c>
      <c r="Q2632">
        <v>-1.34322542854086</v>
      </c>
      <c r="R2632">
        <v>-0.17002909750906001</v>
      </c>
      <c r="S2632">
        <v>13.2295413873691</v>
      </c>
      <c r="T2632">
        <v>-2.7226467570770199</v>
      </c>
      <c r="U2632">
        <v>-3.8259482732394798</v>
      </c>
      <c r="V2632">
        <v>1.45312112921823E-2</v>
      </c>
      <c r="W2632">
        <v>0.11099662334451001</v>
      </c>
      <c r="X2632">
        <v>0</v>
      </c>
      <c r="Y2632">
        <v>0</v>
      </c>
    </row>
    <row r="2633" spans="1:25" x14ac:dyDescent="0.2">
      <c r="A2633" t="s">
        <v>9815</v>
      </c>
      <c r="B2633" t="s">
        <v>9816</v>
      </c>
      <c r="C2633" t="s">
        <v>9817</v>
      </c>
      <c r="D2633" t="s">
        <v>9818</v>
      </c>
      <c r="E2633" t="s">
        <v>9816</v>
      </c>
      <c r="F2633" t="s">
        <v>28</v>
      </c>
      <c r="G2633" t="s">
        <v>9816</v>
      </c>
      <c r="H2633" t="str">
        <f>"vha-15"</f>
        <v>vha-15</v>
      </c>
      <c r="I2633" t="s">
        <v>9818</v>
      </c>
      <c r="J2633">
        <v>18.307585953442601</v>
      </c>
      <c r="K2633">
        <v>18.0635182334238</v>
      </c>
      <c r="L2633">
        <v>18.059218067839801</v>
      </c>
      <c r="M2633">
        <v>18.011592833003601</v>
      </c>
      <c r="N2633">
        <v>18.104289176218199</v>
      </c>
      <c r="O2633">
        <v>17.780008346705198</v>
      </c>
      <c r="P2633">
        <v>-0.17814396625971399</v>
      </c>
      <c r="Q2633">
        <v>-0.55407758134408802</v>
      </c>
      <c r="R2633">
        <v>0.19778964882465999</v>
      </c>
      <c r="S2633">
        <v>17.673387680268199</v>
      </c>
      <c r="T2633">
        <v>-0.99598424710579803</v>
      </c>
      <c r="U2633">
        <v>-6.5462229415866302</v>
      </c>
      <c r="V2633">
        <v>0.332535662237256</v>
      </c>
      <c r="W2633">
        <v>0.61122402832197698</v>
      </c>
      <c r="X2633">
        <v>0</v>
      </c>
      <c r="Y2633">
        <v>0</v>
      </c>
    </row>
    <row r="2634" spans="1:25" x14ac:dyDescent="0.2">
      <c r="A2634" t="s">
        <v>9819</v>
      </c>
      <c r="B2634" t="s">
        <v>9820</v>
      </c>
      <c r="C2634" t="s">
        <v>9821</v>
      </c>
      <c r="D2634" t="s">
        <v>9822</v>
      </c>
      <c r="E2634" t="s">
        <v>9820</v>
      </c>
      <c r="F2634" t="s">
        <v>28</v>
      </c>
      <c r="G2634" t="s">
        <v>9820</v>
      </c>
      <c r="H2634" t="str">
        <f>"copg-1"</f>
        <v>copg-1</v>
      </c>
      <c r="I2634" t="s">
        <v>9822</v>
      </c>
      <c r="J2634">
        <v>15.447819878622701</v>
      </c>
      <c r="K2634">
        <v>15.434697262086599</v>
      </c>
      <c r="L2634">
        <v>15.4688523899238</v>
      </c>
      <c r="M2634">
        <v>15.341681284786899</v>
      </c>
      <c r="N2634">
        <v>15.7377415510889</v>
      </c>
      <c r="O2634">
        <v>15.568515155462901</v>
      </c>
      <c r="P2634">
        <v>9.8856153568517499E-2</v>
      </c>
      <c r="Q2634">
        <v>-0.26108253057099401</v>
      </c>
      <c r="R2634">
        <v>0.45879483770802898</v>
      </c>
      <c r="S2634">
        <v>15.544508402591701</v>
      </c>
      <c r="T2634">
        <v>0.57725499137980496</v>
      </c>
      <c r="U2634">
        <v>-6.8790739699666199</v>
      </c>
      <c r="V2634">
        <v>0.57095903940221704</v>
      </c>
      <c r="W2634">
        <v>0.79228175446260796</v>
      </c>
      <c r="X2634">
        <v>0</v>
      </c>
      <c r="Y2634">
        <v>0</v>
      </c>
    </row>
    <row r="2635" spans="1:25" x14ac:dyDescent="0.2">
      <c r="A2635" t="s">
        <v>9823</v>
      </c>
      <c r="B2635" t="s">
        <v>9824</v>
      </c>
      <c r="C2635" t="s">
        <v>9825</v>
      </c>
      <c r="D2635" t="s">
        <v>368</v>
      </c>
      <c r="E2635" t="s">
        <v>9824</v>
      </c>
      <c r="F2635" t="s">
        <v>28</v>
      </c>
      <c r="G2635" t="s">
        <v>9824</v>
      </c>
      <c r="H2635" t="str">
        <f>"tag-18"</f>
        <v>tag-18</v>
      </c>
      <c r="I2635" t="s">
        <v>368</v>
      </c>
      <c r="J2635">
        <v>17.860990862824199</v>
      </c>
      <c r="K2635">
        <v>17.9510350147069</v>
      </c>
      <c r="L2635">
        <v>18.334469223568401</v>
      </c>
      <c r="M2635">
        <v>18.273495414517999</v>
      </c>
      <c r="N2635">
        <v>17.8106543307603</v>
      </c>
      <c r="O2635">
        <v>18.029211285940299</v>
      </c>
      <c r="P2635">
        <v>-1.1044689960264999E-2</v>
      </c>
      <c r="Q2635">
        <v>-0.45292728840624502</v>
      </c>
      <c r="R2635">
        <v>0.43083790848571502</v>
      </c>
      <c r="S2635">
        <v>18.3031648353275</v>
      </c>
      <c r="T2635">
        <v>-5.2533839524901899E-2</v>
      </c>
      <c r="U2635">
        <v>-7.0506402414522498</v>
      </c>
      <c r="V2635">
        <v>0.958685334661602</v>
      </c>
      <c r="W2635">
        <v>0.97837628243144903</v>
      </c>
      <c r="X2635">
        <v>0</v>
      </c>
      <c r="Y2635">
        <v>0</v>
      </c>
    </row>
    <row r="2636" spans="1:25" x14ac:dyDescent="0.2">
      <c r="A2636" t="s">
        <v>9826</v>
      </c>
      <c r="B2636" t="s">
        <v>9827</v>
      </c>
      <c r="C2636" t="s">
        <v>9828</v>
      </c>
      <c r="D2636" t="s">
        <v>9829</v>
      </c>
      <c r="E2636" t="s">
        <v>9827</v>
      </c>
      <c r="F2636" t="s">
        <v>28</v>
      </c>
      <c r="G2636" t="s">
        <v>9827</v>
      </c>
      <c r="H2636" t="str">
        <f>"chd-3"</f>
        <v>chd-3</v>
      </c>
      <c r="I2636" t="s">
        <v>9829</v>
      </c>
      <c r="J2636">
        <v>11.912984977562701</v>
      </c>
      <c r="K2636">
        <v>11.767126197006499</v>
      </c>
      <c r="L2636">
        <v>11.6968898445425</v>
      </c>
      <c r="M2636">
        <v>12.2999091264192</v>
      </c>
      <c r="N2636">
        <v>11.807483739159901</v>
      </c>
      <c r="O2636">
        <v>12.0374394468866</v>
      </c>
      <c r="P2636">
        <v>0.25594376445135403</v>
      </c>
      <c r="Q2636">
        <v>-0.32811759618914799</v>
      </c>
      <c r="R2636">
        <v>0.84000512509185599</v>
      </c>
      <c r="S2636">
        <v>11.6346728009453</v>
      </c>
      <c r="T2636">
        <v>0.93460410302270502</v>
      </c>
      <c r="U2636">
        <v>-6.6025983452180004</v>
      </c>
      <c r="V2636">
        <v>0.36489755020548698</v>
      </c>
      <c r="W2636">
        <v>0.64147845941040205</v>
      </c>
      <c r="X2636">
        <v>0</v>
      </c>
      <c r="Y2636">
        <v>0</v>
      </c>
    </row>
    <row r="2637" spans="1:25" x14ac:dyDescent="0.2">
      <c r="A2637" t="s">
        <v>9830</v>
      </c>
      <c r="B2637" t="s">
        <v>9831</v>
      </c>
      <c r="C2637" t="s">
        <v>9832</v>
      </c>
      <c r="D2637" t="s">
        <v>9833</v>
      </c>
      <c r="E2637" t="s">
        <v>9831</v>
      </c>
      <c r="F2637" t="s">
        <v>28</v>
      </c>
      <c r="G2637" t="s">
        <v>9831</v>
      </c>
      <c r="H2637" t="str">
        <f>"ekl-6"</f>
        <v>ekl-6</v>
      </c>
      <c r="I2637" t="s">
        <v>9833</v>
      </c>
      <c r="J2637">
        <v>15.2033462052809</v>
      </c>
      <c r="K2637">
        <v>15.072319960290599</v>
      </c>
      <c r="L2637">
        <v>14.953652419466801</v>
      </c>
      <c r="M2637">
        <v>15.059601644490799</v>
      </c>
      <c r="N2637">
        <v>15.0204633658239</v>
      </c>
      <c r="O2637">
        <v>14.383158567617199</v>
      </c>
      <c r="P2637">
        <v>-0.25536500236878201</v>
      </c>
      <c r="Q2637">
        <v>-0.71883710023799596</v>
      </c>
      <c r="R2637">
        <v>0.20810709550043199</v>
      </c>
      <c r="S2637">
        <v>15.007484540066599</v>
      </c>
      <c r="T2637">
        <v>-1.1580579615106701</v>
      </c>
      <c r="U2637">
        <v>-6.37453924915852</v>
      </c>
      <c r="V2637">
        <v>0.26206312928599801</v>
      </c>
      <c r="W2637">
        <v>0.53918098965557004</v>
      </c>
      <c r="X2637">
        <v>0</v>
      </c>
      <c r="Y2637">
        <v>0</v>
      </c>
    </row>
    <row r="2638" spans="1:25" x14ac:dyDescent="0.2">
      <c r="A2638" t="s">
        <v>9834</v>
      </c>
      <c r="B2638" t="s">
        <v>9835</v>
      </c>
      <c r="C2638" t="s">
        <v>14527</v>
      </c>
      <c r="D2638" t="s">
        <v>9836</v>
      </c>
      <c r="E2638" t="s">
        <v>9835</v>
      </c>
      <c r="F2638" t="s">
        <v>28</v>
      </c>
      <c r="G2638" t="s">
        <v>9835</v>
      </c>
      <c r="H2638" t="str">
        <f>"T16G12.6"</f>
        <v>T16G12.6</v>
      </c>
      <c r="I2638" t="s">
        <v>9836</v>
      </c>
      <c r="J2638">
        <v>11.6497836574045</v>
      </c>
      <c r="K2638">
        <v>11.629737208256801</v>
      </c>
      <c r="L2638">
        <v>11.3663842243421</v>
      </c>
      <c r="M2638">
        <v>11.3959654184544</v>
      </c>
      <c r="N2638">
        <v>11.614104218445</v>
      </c>
      <c r="O2638" t="s">
        <v>29</v>
      </c>
      <c r="P2638">
        <v>-4.3600211551444397E-2</v>
      </c>
      <c r="Q2638">
        <v>-0.55589232197265903</v>
      </c>
      <c r="R2638">
        <v>0.46869189886976997</v>
      </c>
      <c r="S2638">
        <v>11.7699139443883</v>
      </c>
      <c r="T2638">
        <v>-0.18151500618281299</v>
      </c>
      <c r="U2638">
        <v>-6.9240324164301397</v>
      </c>
      <c r="V2638">
        <v>0.85841035259430798</v>
      </c>
      <c r="W2638">
        <v>0.94424907039645001</v>
      </c>
      <c r="X2638">
        <v>0</v>
      </c>
      <c r="Y2638">
        <v>0</v>
      </c>
    </row>
    <row r="2639" spans="1:25" x14ac:dyDescent="0.2">
      <c r="A2639" t="s">
        <v>9837</v>
      </c>
      <c r="B2639" t="s">
        <v>9838</v>
      </c>
      <c r="C2639" t="s">
        <v>9839</v>
      </c>
      <c r="D2639" t="s">
        <v>9840</v>
      </c>
      <c r="E2639" t="s">
        <v>9838</v>
      </c>
      <c r="F2639" t="s">
        <v>28</v>
      </c>
      <c r="G2639" t="s">
        <v>9838</v>
      </c>
      <c r="H2639" t="str">
        <f>"idpp-1"</f>
        <v>idpp-1</v>
      </c>
      <c r="I2639" t="s">
        <v>9840</v>
      </c>
      <c r="J2639">
        <v>14.2246224099364</v>
      </c>
      <c r="K2639">
        <v>14.757468506452</v>
      </c>
      <c r="L2639">
        <v>15.0162946961459</v>
      </c>
      <c r="M2639">
        <v>14.820416788273899</v>
      </c>
      <c r="N2639">
        <v>13.1885447238034</v>
      </c>
      <c r="O2639">
        <v>14.126475309869599</v>
      </c>
      <c r="P2639">
        <v>-0.62098293019578998</v>
      </c>
      <c r="Q2639">
        <v>-1.45193990526714</v>
      </c>
      <c r="R2639">
        <v>0.20997404487555699</v>
      </c>
      <c r="S2639">
        <v>14.768301354776</v>
      </c>
      <c r="T2639">
        <v>-1.5707014251631199</v>
      </c>
      <c r="U2639">
        <v>-5.84146276201544</v>
      </c>
      <c r="V2639">
        <v>0.133765007534038</v>
      </c>
      <c r="W2639">
        <v>0.37911920018163497</v>
      </c>
      <c r="X2639">
        <v>0</v>
      </c>
      <c r="Y2639">
        <v>0</v>
      </c>
    </row>
    <row r="2640" spans="1:25" x14ac:dyDescent="0.2">
      <c r="A2640" t="s">
        <v>9841</v>
      </c>
      <c r="B2640" t="s">
        <v>9842</v>
      </c>
      <c r="C2640" t="s">
        <v>9843</v>
      </c>
      <c r="D2640" t="s">
        <v>581</v>
      </c>
      <c r="E2640" t="s">
        <v>9842</v>
      </c>
      <c r="F2640" t="s">
        <v>28</v>
      </c>
      <c r="G2640" t="s">
        <v>9842</v>
      </c>
      <c r="H2640" t="str">
        <f>"ttc-17"</f>
        <v>ttc-17</v>
      </c>
      <c r="I2640" t="s">
        <v>581</v>
      </c>
      <c r="J2640">
        <v>12.209569890097599</v>
      </c>
      <c r="K2640">
        <v>13.9193719080045</v>
      </c>
      <c r="L2640">
        <v>11.300194490858701</v>
      </c>
      <c r="M2640">
        <v>11.272327565680101</v>
      </c>
      <c r="N2640">
        <v>10.0521124708476</v>
      </c>
      <c r="O2640">
        <v>11.356989418503399</v>
      </c>
      <c r="P2640">
        <v>-1.5825689446432301</v>
      </c>
      <c r="Q2640">
        <v>-2.8344591305811502</v>
      </c>
      <c r="R2640">
        <v>-0.330678758705306</v>
      </c>
      <c r="S2640">
        <v>11.782743078493001</v>
      </c>
      <c r="T2640">
        <v>-2.69611250132562</v>
      </c>
      <c r="U2640">
        <v>-3.9218236288341299</v>
      </c>
      <c r="V2640">
        <v>1.6665958360419401E-2</v>
      </c>
      <c r="W2640">
        <v>0.12126363911433</v>
      </c>
      <c r="X2640">
        <v>-1</v>
      </c>
      <c r="Y2640">
        <v>0</v>
      </c>
    </row>
    <row r="2641" spans="1:25" x14ac:dyDescent="0.2">
      <c r="A2641" t="s">
        <v>9844</v>
      </c>
      <c r="B2641" t="s">
        <v>9845</v>
      </c>
      <c r="C2641" t="s">
        <v>9846</v>
      </c>
      <c r="D2641" t="s">
        <v>9847</v>
      </c>
      <c r="E2641" t="s">
        <v>9845</v>
      </c>
      <c r="F2641" t="s">
        <v>28</v>
      </c>
      <c r="G2641" t="s">
        <v>9845</v>
      </c>
      <c r="H2641" t="str">
        <f>"ima-1"</f>
        <v>ima-1</v>
      </c>
      <c r="I2641" t="s">
        <v>9847</v>
      </c>
      <c r="J2641" t="s">
        <v>29</v>
      </c>
      <c r="K2641" t="s">
        <v>29</v>
      </c>
      <c r="L2641">
        <v>12.139543612355901</v>
      </c>
      <c r="M2641" t="s">
        <v>29</v>
      </c>
      <c r="N2641" t="s">
        <v>29</v>
      </c>
      <c r="O2641" t="s">
        <v>29</v>
      </c>
      <c r="P2641" t="s">
        <v>29</v>
      </c>
      <c r="Q2641" t="s">
        <v>29</v>
      </c>
      <c r="R2641" t="s">
        <v>29</v>
      </c>
      <c r="S2641">
        <v>12.782357635380899</v>
      </c>
      <c r="T2641" t="s">
        <v>29</v>
      </c>
      <c r="U2641" t="s">
        <v>29</v>
      </c>
      <c r="V2641" t="s">
        <v>29</v>
      </c>
      <c r="W2641" t="s">
        <v>29</v>
      </c>
      <c r="X2641" t="s">
        <v>29</v>
      </c>
      <c r="Y2641" t="s">
        <v>29</v>
      </c>
    </row>
    <row r="2642" spans="1:25" x14ac:dyDescent="0.2">
      <c r="A2642" t="s">
        <v>9848</v>
      </c>
      <c r="B2642" t="s">
        <v>9849</v>
      </c>
      <c r="C2642" t="s">
        <v>9850</v>
      </c>
      <c r="D2642" t="s">
        <v>9851</v>
      </c>
      <c r="E2642" t="s">
        <v>9849</v>
      </c>
      <c r="F2642" t="s">
        <v>28</v>
      </c>
      <c r="G2642" t="s">
        <v>9849</v>
      </c>
      <c r="H2642" t="str">
        <f>"pgap-1"</f>
        <v>pgap-1</v>
      </c>
      <c r="I2642" t="s">
        <v>9851</v>
      </c>
      <c r="J2642">
        <v>13.895604744244499</v>
      </c>
      <c r="K2642">
        <v>13.8712503710747</v>
      </c>
      <c r="L2642">
        <v>14.093957638566501</v>
      </c>
      <c r="M2642">
        <v>13.8981166520784</v>
      </c>
      <c r="N2642">
        <v>14.270781984891199</v>
      </c>
      <c r="O2642">
        <v>13.8075951228865</v>
      </c>
      <c r="P2642">
        <v>3.8560335323511601E-2</v>
      </c>
      <c r="Q2642">
        <v>-0.337976708331793</v>
      </c>
      <c r="R2642">
        <v>0.41509737897881599</v>
      </c>
      <c r="S2642">
        <v>14.050826953345499</v>
      </c>
      <c r="T2642">
        <v>0.216163869818154</v>
      </c>
      <c r="U2642">
        <v>-7.0275560600920999</v>
      </c>
      <c r="V2642">
        <v>0.83144838918988995</v>
      </c>
      <c r="W2642">
        <v>0.93197831843744505</v>
      </c>
      <c r="X2642">
        <v>0</v>
      </c>
      <c r="Y2642">
        <v>0</v>
      </c>
    </row>
    <row r="2643" spans="1:25" x14ac:dyDescent="0.2">
      <c r="A2643" t="s">
        <v>9852</v>
      </c>
      <c r="B2643" t="s">
        <v>9853</v>
      </c>
      <c r="C2643" t="s">
        <v>9854</v>
      </c>
      <c r="D2643" t="s">
        <v>9855</v>
      </c>
      <c r="E2643" t="s">
        <v>9853</v>
      </c>
      <c r="F2643" t="s">
        <v>28</v>
      </c>
      <c r="G2643" t="s">
        <v>9853</v>
      </c>
      <c r="H2643" t="str">
        <f>"best-17"</f>
        <v>best-17</v>
      </c>
      <c r="I2643" t="s">
        <v>9855</v>
      </c>
      <c r="J2643" t="s">
        <v>29</v>
      </c>
      <c r="K2643" t="s">
        <v>29</v>
      </c>
      <c r="L2643" t="s">
        <v>29</v>
      </c>
      <c r="M2643" t="s">
        <v>29</v>
      </c>
      <c r="N2643" t="s">
        <v>29</v>
      </c>
      <c r="O2643" t="s">
        <v>29</v>
      </c>
      <c r="P2643" t="s">
        <v>29</v>
      </c>
      <c r="Q2643" t="s">
        <v>29</v>
      </c>
      <c r="R2643" t="s">
        <v>29</v>
      </c>
      <c r="S2643">
        <v>12.183345067556001</v>
      </c>
      <c r="T2643" t="s">
        <v>29</v>
      </c>
      <c r="U2643" t="s">
        <v>29</v>
      </c>
      <c r="V2643" t="s">
        <v>29</v>
      </c>
      <c r="W2643" t="s">
        <v>29</v>
      </c>
      <c r="X2643" t="s">
        <v>29</v>
      </c>
      <c r="Y2643" t="s">
        <v>29</v>
      </c>
    </row>
    <row r="2644" spans="1:25" x14ac:dyDescent="0.2">
      <c r="A2644" t="s">
        <v>9856</v>
      </c>
      <c r="B2644" t="s">
        <v>9857</v>
      </c>
      <c r="C2644" t="s">
        <v>14528</v>
      </c>
      <c r="D2644" t="s">
        <v>9858</v>
      </c>
      <c r="E2644" t="s">
        <v>9857</v>
      </c>
      <c r="F2644" t="s">
        <v>28</v>
      </c>
      <c r="G2644" t="s">
        <v>9857</v>
      </c>
      <c r="H2644" t="str">
        <f>"T19C4.1"</f>
        <v>T19C4.1</v>
      </c>
      <c r="I2644" t="s">
        <v>9858</v>
      </c>
      <c r="J2644">
        <v>14.1399730832894</v>
      </c>
      <c r="K2644">
        <v>14.683828250162399</v>
      </c>
      <c r="L2644">
        <v>14.664771716772499</v>
      </c>
      <c r="M2644">
        <v>14.4779454666768</v>
      </c>
      <c r="N2644">
        <v>13.919192188042</v>
      </c>
      <c r="O2644">
        <v>14.3264249414513</v>
      </c>
      <c r="P2644">
        <v>-0.25500348468470202</v>
      </c>
      <c r="Q2644">
        <v>-0.81049773012856297</v>
      </c>
      <c r="R2644">
        <v>0.30049076075915998</v>
      </c>
      <c r="S2644">
        <v>15.043964616784001</v>
      </c>
      <c r="T2644">
        <v>-0.96484836239799199</v>
      </c>
      <c r="U2644">
        <v>-6.5765748870988601</v>
      </c>
      <c r="V2644">
        <v>0.34747957317323203</v>
      </c>
      <c r="W2644">
        <v>0.62851502562851402</v>
      </c>
      <c r="X2644">
        <v>0</v>
      </c>
      <c r="Y2644">
        <v>0</v>
      </c>
    </row>
    <row r="2645" spans="1:25" x14ac:dyDescent="0.2">
      <c r="A2645" t="s">
        <v>9859</v>
      </c>
      <c r="B2645" t="s">
        <v>9860</v>
      </c>
      <c r="C2645" t="s">
        <v>9861</v>
      </c>
      <c r="D2645" t="s">
        <v>9862</v>
      </c>
      <c r="E2645" t="s">
        <v>9860</v>
      </c>
      <c r="F2645" t="s">
        <v>28</v>
      </c>
      <c r="G2645" t="s">
        <v>9860</v>
      </c>
      <c r="H2645" t="str">
        <f>"apa-2"</f>
        <v>apa-2</v>
      </c>
      <c r="I2645" t="s">
        <v>9862</v>
      </c>
      <c r="J2645">
        <v>15.039512048275499</v>
      </c>
      <c r="K2645">
        <v>14.9113899211193</v>
      </c>
      <c r="L2645">
        <v>14.6214183831301</v>
      </c>
      <c r="M2645">
        <v>14.9656429553641</v>
      </c>
      <c r="N2645">
        <v>15.208820973609299</v>
      </c>
      <c r="O2645">
        <v>15.0056501831346</v>
      </c>
      <c r="P2645">
        <v>0.20259791986102901</v>
      </c>
      <c r="Q2645">
        <v>-0.15060722959303399</v>
      </c>
      <c r="R2645">
        <v>0.55580306931509205</v>
      </c>
      <c r="S2645">
        <v>14.638623235421001</v>
      </c>
      <c r="T2645">
        <v>1.2055923083578</v>
      </c>
      <c r="U2645">
        <v>-6.3199539769698099</v>
      </c>
      <c r="V2645">
        <v>0.24367461043452501</v>
      </c>
      <c r="W2645">
        <v>0.51756996237202701</v>
      </c>
      <c r="X2645">
        <v>0</v>
      </c>
      <c r="Y2645">
        <v>0</v>
      </c>
    </row>
    <row r="2646" spans="1:25" x14ac:dyDescent="0.2">
      <c r="A2646" t="s">
        <v>9863</v>
      </c>
      <c r="B2646" t="s">
        <v>9864</v>
      </c>
      <c r="C2646" t="s">
        <v>9865</v>
      </c>
      <c r="D2646" t="s">
        <v>9866</v>
      </c>
      <c r="E2646" t="s">
        <v>9864</v>
      </c>
      <c r="F2646" t="s">
        <v>28</v>
      </c>
      <c r="G2646" t="s">
        <v>9864</v>
      </c>
      <c r="H2646" t="str">
        <f>"adr-2"</f>
        <v>adr-2</v>
      </c>
      <c r="I2646" t="s">
        <v>9866</v>
      </c>
      <c r="J2646">
        <v>13.1038052699184</v>
      </c>
      <c r="K2646">
        <v>12.9058430201957</v>
      </c>
      <c r="L2646">
        <v>12.9403877130569</v>
      </c>
      <c r="M2646">
        <v>12.883821521979501</v>
      </c>
      <c r="N2646">
        <v>13.3389849860077</v>
      </c>
      <c r="O2646">
        <v>12.6852187161305</v>
      </c>
      <c r="P2646">
        <v>-1.40035930177298E-2</v>
      </c>
      <c r="Q2646">
        <v>-0.41485561829652301</v>
      </c>
      <c r="R2646">
        <v>0.38684843226106302</v>
      </c>
      <c r="S2646">
        <v>13.0088595739127</v>
      </c>
      <c r="T2646">
        <v>-7.3740386822837997E-2</v>
      </c>
      <c r="U2646">
        <v>-7.0492283068647401</v>
      </c>
      <c r="V2646">
        <v>0.94208298468035101</v>
      </c>
      <c r="W2646">
        <v>0.97576384643441005</v>
      </c>
      <c r="X2646">
        <v>0</v>
      </c>
      <c r="Y2646">
        <v>0</v>
      </c>
    </row>
    <row r="2647" spans="1:25" x14ac:dyDescent="0.2">
      <c r="A2647" t="s">
        <v>9867</v>
      </c>
      <c r="B2647" t="s">
        <v>9868</v>
      </c>
      <c r="C2647" t="s">
        <v>9869</v>
      </c>
      <c r="D2647" t="s">
        <v>4188</v>
      </c>
      <c r="E2647" t="s">
        <v>9868</v>
      </c>
      <c r="F2647" t="s">
        <v>28</v>
      </c>
      <c r="G2647" t="s">
        <v>9868</v>
      </c>
      <c r="H2647" t="str">
        <f>"pars-1"</f>
        <v>pars-1</v>
      </c>
      <c r="I2647" t="s">
        <v>4188</v>
      </c>
      <c r="J2647">
        <v>17.247554212025101</v>
      </c>
      <c r="K2647">
        <v>17.051335871010298</v>
      </c>
      <c r="L2647">
        <v>17.1156801311066</v>
      </c>
      <c r="M2647">
        <v>16.987645840573499</v>
      </c>
      <c r="N2647">
        <v>17.126703851534</v>
      </c>
      <c r="O2647">
        <v>16.979704523631099</v>
      </c>
      <c r="P2647">
        <v>-0.106838666134443</v>
      </c>
      <c r="Q2647">
        <v>-0.46683548494065202</v>
      </c>
      <c r="R2647">
        <v>0.253158152671765</v>
      </c>
      <c r="S2647">
        <v>16.708720868533401</v>
      </c>
      <c r="T2647">
        <v>-0.62376687423039201</v>
      </c>
      <c r="U2647">
        <v>-6.8503822001686601</v>
      </c>
      <c r="V2647">
        <v>0.54065112156393902</v>
      </c>
      <c r="W2647">
        <v>0.77501266500839605</v>
      </c>
      <c r="X2647">
        <v>0</v>
      </c>
      <c r="Y2647">
        <v>0</v>
      </c>
    </row>
    <row r="2648" spans="1:25" x14ac:dyDescent="0.2">
      <c r="A2648" t="s">
        <v>9870</v>
      </c>
      <c r="B2648" t="s">
        <v>9871</v>
      </c>
      <c r="C2648" t="s">
        <v>9872</v>
      </c>
      <c r="D2648" t="s">
        <v>9873</v>
      </c>
      <c r="E2648" t="s">
        <v>9871</v>
      </c>
      <c r="F2648" t="s">
        <v>28</v>
      </c>
      <c r="G2648" t="s">
        <v>9871</v>
      </c>
      <c r="H2648" t="str">
        <f>"mrpl-50"</f>
        <v>mrpl-50</v>
      </c>
      <c r="I2648" t="s">
        <v>9873</v>
      </c>
      <c r="J2648" t="s">
        <v>29</v>
      </c>
      <c r="K2648" t="s">
        <v>29</v>
      </c>
      <c r="L2648" t="s">
        <v>29</v>
      </c>
      <c r="M2648" t="s">
        <v>29</v>
      </c>
      <c r="N2648" t="s">
        <v>29</v>
      </c>
      <c r="O2648" t="s">
        <v>29</v>
      </c>
      <c r="P2648" t="s">
        <v>29</v>
      </c>
      <c r="Q2648" t="s">
        <v>29</v>
      </c>
      <c r="R2648" t="s">
        <v>29</v>
      </c>
      <c r="S2648">
        <v>12.2366205670015</v>
      </c>
      <c r="T2648" t="s">
        <v>29</v>
      </c>
      <c r="U2648" t="s">
        <v>29</v>
      </c>
      <c r="V2648" t="s">
        <v>29</v>
      </c>
      <c r="W2648" t="s">
        <v>29</v>
      </c>
      <c r="X2648" t="s">
        <v>29</v>
      </c>
      <c r="Y2648" t="s">
        <v>29</v>
      </c>
    </row>
    <row r="2649" spans="1:25" x14ac:dyDescent="0.2">
      <c r="A2649" t="s">
        <v>9874</v>
      </c>
      <c r="B2649" t="s">
        <v>9875</v>
      </c>
      <c r="C2649" t="s">
        <v>14529</v>
      </c>
      <c r="D2649" t="s">
        <v>7619</v>
      </c>
      <c r="E2649" t="s">
        <v>9875</v>
      </c>
      <c r="F2649" t="s">
        <v>28</v>
      </c>
      <c r="G2649" t="s">
        <v>9875</v>
      </c>
      <c r="H2649" t="str">
        <f>"T21B10.3"</f>
        <v>T21B10.3</v>
      </c>
      <c r="I2649" t="s">
        <v>7619</v>
      </c>
      <c r="J2649">
        <v>14.3908880849366</v>
      </c>
      <c r="K2649">
        <v>14.9795816924776</v>
      </c>
      <c r="L2649">
        <v>15.1636244943577</v>
      </c>
      <c r="M2649">
        <v>14.3966690789224</v>
      </c>
      <c r="N2649">
        <v>14.373450231051001</v>
      </c>
      <c r="O2649">
        <v>14.5276524303759</v>
      </c>
      <c r="P2649">
        <v>-0.41210751047418598</v>
      </c>
      <c r="Q2649">
        <v>-0.88956493918149904</v>
      </c>
      <c r="R2649">
        <v>6.5349918233126095E-2</v>
      </c>
      <c r="S2649">
        <v>15.0918238357851</v>
      </c>
      <c r="T2649">
        <v>-1.81412992669546</v>
      </c>
      <c r="U2649">
        <v>-5.46988716515179</v>
      </c>
      <c r="V2649">
        <v>8.6460874422806699E-2</v>
      </c>
      <c r="W2649">
        <v>0.30188911217609299</v>
      </c>
      <c r="X2649">
        <v>0</v>
      </c>
      <c r="Y2649">
        <v>0</v>
      </c>
    </row>
    <row r="2650" spans="1:25" x14ac:dyDescent="0.2">
      <c r="A2650" t="s">
        <v>9876</v>
      </c>
      <c r="B2650" t="s">
        <v>9877</v>
      </c>
      <c r="C2650" t="s">
        <v>9878</v>
      </c>
      <c r="D2650" t="s">
        <v>9879</v>
      </c>
      <c r="E2650" t="s">
        <v>9877</v>
      </c>
      <c r="F2650" t="s">
        <v>28</v>
      </c>
      <c r="G2650" t="s">
        <v>9877</v>
      </c>
      <c r="H2650" t="str">
        <f>"pho-7"</f>
        <v>pho-7</v>
      </c>
      <c r="I2650" t="s">
        <v>9879</v>
      </c>
      <c r="J2650">
        <v>10.816245397876401</v>
      </c>
      <c r="K2650" t="s">
        <v>29</v>
      </c>
      <c r="L2650">
        <v>11.037533410927701</v>
      </c>
      <c r="M2650">
        <v>12.4412438100653</v>
      </c>
      <c r="N2650">
        <v>11.5503636604815</v>
      </c>
      <c r="O2650">
        <v>11.9106556980803</v>
      </c>
      <c r="P2650">
        <v>1.04053165180698</v>
      </c>
      <c r="Q2650">
        <v>0.374398334283645</v>
      </c>
      <c r="R2650">
        <v>1.70666496933032</v>
      </c>
      <c r="S2650">
        <v>11.584488621282601</v>
      </c>
      <c r="T2650">
        <v>3.3526331299450098</v>
      </c>
      <c r="U2650">
        <v>-2.5820075813216499</v>
      </c>
      <c r="V2650">
        <v>4.7828302092021097E-3</v>
      </c>
      <c r="W2650">
        <v>5.2936494900488601E-2</v>
      </c>
      <c r="X2650">
        <v>1</v>
      </c>
      <c r="Y2650">
        <v>1</v>
      </c>
    </row>
    <row r="2651" spans="1:25" x14ac:dyDescent="0.2">
      <c r="A2651" t="s">
        <v>9880</v>
      </c>
      <c r="B2651" t="s">
        <v>9881</v>
      </c>
      <c r="C2651" t="s">
        <v>14530</v>
      </c>
      <c r="D2651" t="s">
        <v>9006</v>
      </c>
      <c r="E2651" t="s">
        <v>9881</v>
      </c>
      <c r="F2651" t="s">
        <v>28</v>
      </c>
      <c r="G2651" t="s">
        <v>9881</v>
      </c>
      <c r="H2651" t="str">
        <f>"T21B6.3"</f>
        <v>T21B6.3</v>
      </c>
      <c r="I2651" t="s">
        <v>9006</v>
      </c>
      <c r="J2651">
        <v>13.681253706867899</v>
      </c>
      <c r="K2651">
        <v>14.2139875038359</v>
      </c>
      <c r="L2651">
        <v>15.052110458162399</v>
      </c>
      <c r="M2651">
        <v>14.978220218709399</v>
      </c>
      <c r="N2651">
        <v>14.0236795703075</v>
      </c>
      <c r="O2651">
        <v>14.274991714615799</v>
      </c>
      <c r="P2651">
        <v>0.109846611588859</v>
      </c>
      <c r="Q2651">
        <v>-1.16601425694614</v>
      </c>
      <c r="R2651">
        <v>1.38570748012385</v>
      </c>
      <c r="S2651">
        <v>13.945022434645599</v>
      </c>
      <c r="T2651">
        <v>0.180957197005506</v>
      </c>
      <c r="U2651">
        <v>-7.0349415074875097</v>
      </c>
      <c r="V2651">
        <v>0.85843486503626698</v>
      </c>
      <c r="W2651">
        <v>0.94424907039645001</v>
      </c>
      <c r="X2651">
        <v>0</v>
      </c>
      <c r="Y2651">
        <v>0</v>
      </c>
    </row>
    <row r="2652" spans="1:25" x14ac:dyDescent="0.2">
      <c r="A2652" t="s">
        <v>9882</v>
      </c>
      <c r="B2652" t="s">
        <v>9883</v>
      </c>
      <c r="C2652" t="s">
        <v>9884</v>
      </c>
      <c r="D2652" t="s">
        <v>9885</v>
      </c>
      <c r="E2652" t="s">
        <v>9883</v>
      </c>
      <c r="F2652" t="s">
        <v>28</v>
      </c>
      <c r="G2652" t="s">
        <v>9883</v>
      </c>
      <c r="H2652" t="str">
        <f>"hpd-1"</f>
        <v>hpd-1</v>
      </c>
      <c r="I2652" t="s">
        <v>9885</v>
      </c>
      <c r="J2652">
        <v>12.0996727023833</v>
      </c>
      <c r="K2652">
        <v>12.4119483496578</v>
      </c>
      <c r="L2652">
        <v>11.8867566762215</v>
      </c>
      <c r="M2652">
        <v>14.312658279199299</v>
      </c>
      <c r="N2652">
        <v>14.5057181617236</v>
      </c>
      <c r="O2652">
        <v>14.7734104812836</v>
      </c>
      <c r="P2652">
        <v>2.39780306464796</v>
      </c>
      <c r="Q2652">
        <v>1.86173025419642</v>
      </c>
      <c r="R2652">
        <v>2.9338758750995</v>
      </c>
      <c r="S2652">
        <v>13.542005789779401</v>
      </c>
      <c r="T2652">
        <v>9.4011773086350292</v>
      </c>
      <c r="U2652">
        <v>9.4423505139876092</v>
      </c>
      <c r="V2652" s="2">
        <v>2.4124395951831601E-8</v>
      </c>
      <c r="W2652" s="2">
        <v>3.4130775837939198E-6</v>
      </c>
      <c r="X2652">
        <v>1</v>
      </c>
      <c r="Y2652">
        <v>1</v>
      </c>
    </row>
    <row r="2653" spans="1:25" x14ac:dyDescent="0.2">
      <c r="A2653" t="s">
        <v>9886</v>
      </c>
      <c r="B2653" t="s">
        <v>9887</v>
      </c>
      <c r="C2653" t="s">
        <v>9888</v>
      </c>
      <c r="D2653" t="s">
        <v>9889</v>
      </c>
      <c r="E2653" t="s">
        <v>9887</v>
      </c>
      <c r="F2653" t="s">
        <v>28</v>
      </c>
      <c r="G2653" t="s">
        <v>9887</v>
      </c>
      <c r="H2653" t="str">
        <f>"scpl-4"</f>
        <v>scpl-4</v>
      </c>
      <c r="I2653" t="s">
        <v>9889</v>
      </c>
      <c r="J2653">
        <v>15.1669394866191</v>
      </c>
      <c r="K2653">
        <v>15.0473219815712</v>
      </c>
      <c r="L2653">
        <v>15.1057469535028</v>
      </c>
      <c r="M2653">
        <v>14.636568147956901</v>
      </c>
      <c r="N2653">
        <v>15.175343153108001</v>
      </c>
      <c r="O2653">
        <v>14.792476763423201</v>
      </c>
      <c r="P2653">
        <v>-0.238540119068373</v>
      </c>
      <c r="Q2653">
        <v>-0.64199746742765096</v>
      </c>
      <c r="R2653">
        <v>0.16491722929090499</v>
      </c>
      <c r="S2653">
        <v>14.8608624133978</v>
      </c>
      <c r="T2653">
        <v>-1.24267143368058</v>
      </c>
      <c r="U2653">
        <v>-6.2760833862030401</v>
      </c>
      <c r="V2653">
        <v>0.23002653324005701</v>
      </c>
      <c r="W2653">
        <v>0.500622384985424</v>
      </c>
      <c r="X2653">
        <v>0</v>
      </c>
      <c r="Y2653">
        <v>0</v>
      </c>
    </row>
    <row r="2654" spans="1:25" x14ac:dyDescent="0.2">
      <c r="A2654" t="s">
        <v>9890</v>
      </c>
      <c r="B2654" t="s">
        <v>9891</v>
      </c>
      <c r="C2654" t="s">
        <v>14531</v>
      </c>
      <c r="D2654" t="s">
        <v>9892</v>
      </c>
      <c r="E2654" t="s">
        <v>9891</v>
      </c>
      <c r="F2654" t="s">
        <v>28</v>
      </c>
      <c r="G2654" t="s">
        <v>9891</v>
      </c>
      <c r="H2654" t="str">
        <f>"T21C9.6"</f>
        <v>T21C9.6</v>
      </c>
      <c r="I2654" t="s">
        <v>9892</v>
      </c>
      <c r="J2654">
        <v>13.1650017618239</v>
      </c>
      <c r="K2654">
        <v>13.651506012766299</v>
      </c>
      <c r="L2654">
        <v>13.5657096874465</v>
      </c>
      <c r="M2654">
        <v>13.445248557982</v>
      </c>
      <c r="N2654">
        <v>13.755751077739401</v>
      </c>
      <c r="O2654">
        <v>13.3968201492816</v>
      </c>
      <c r="P2654">
        <v>7.18674409887647E-2</v>
      </c>
      <c r="Q2654">
        <v>-0.36018317549686102</v>
      </c>
      <c r="R2654">
        <v>0.50391805747439</v>
      </c>
      <c r="S2654">
        <v>13.444710971419401</v>
      </c>
      <c r="T2654">
        <v>0.351113529925007</v>
      </c>
      <c r="U2654">
        <v>-6.98751415048749</v>
      </c>
      <c r="V2654">
        <v>0.72984342710346095</v>
      </c>
      <c r="W2654">
        <v>0.88418112873963495</v>
      </c>
      <c r="X2654">
        <v>0</v>
      </c>
      <c r="Y2654">
        <v>0</v>
      </c>
    </row>
    <row r="2655" spans="1:25" x14ac:dyDescent="0.2">
      <c r="A2655" t="s">
        <v>9893</v>
      </c>
      <c r="B2655" t="s">
        <v>9894</v>
      </c>
      <c r="C2655" t="s">
        <v>14532</v>
      </c>
      <c r="D2655" t="s">
        <v>134</v>
      </c>
      <c r="E2655" t="s">
        <v>9894</v>
      </c>
      <c r="F2655" t="s">
        <v>28</v>
      </c>
      <c r="G2655" t="s">
        <v>9894</v>
      </c>
      <c r="H2655" t="str">
        <f>"T22C1.1"</f>
        <v>T22C1.1</v>
      </c>
      <c r="I2655" t="s">
        <v>134</v>
      </c>
      <c r="J2655" t="s">
        <v>29</v>
      </c>
      <c r="K2655" t="s">
        <v>29</v>
      </c>
      <c r="L2655" t="s">
        <v>29</v>
      </c>
      <c r="M2655" t="s">
        <v>29</v>
      </c>
      <c r="N2655">
        <v>11.0231160961845</v>
      </c>
      <c r="O2655" t="s">
        <v>29</v>
      </c>
      <c r="P2655" t="s">
        <v>29</v>
      </c>
      <c r="Q2655" t="s">
        <v>29</v>
      </c>
      <c r="R2655" t="s">
        <v>29</v>
      </c>
      <c r="S2655">
        <v>12.308691882552401</v>
      </c>
      <c r="T2655" t="s">
        <v>29</v>
      </c>
      <c r="U2655" t="s">
        <v>29</v>
      </c>
      <c r="V2655" t="s">
        <v>29</v>
      </c>
      <c r="W2655" t="s">
        <v>29</v>
      </c>
      <c r="X2655" t="s">
        <v>29</v>
      </c>
      <c r="Y2655" t="s">
        <v>29</v>
      </c>
    </row>
    <row r="2656" spans="1:25" x14ac:dyDescent="0.2">
      <c r="A2656" t="s">
        <v>9895</v>
      </c>
      <c r="B2656" t="s">
        <v>9896</v>
      </c>
      <c r="C2656" t="s">
        <v>9897</v>
      </c>
      <c r="D2656" t="s">
        <v>9898</v>
      </c>
      <c r="E2656" t="s">
        <v>9896</v>
      </c>
      <c r="F2656" t="s">
        <v>28</v>
      </c>
      <c r="G2656" t="s">
        <v>9896</v>
      </c>
      <c r="H2656" t="str">
        <f>"pigu-1"</f>
        <v>pigu-1</v>
      </c>
      <c r="I2656" t="s">
        <v>9898</v>
      </c>
      <c r="J2656">
        <v>13.100036419481899</v>
      </c>
      <c r="K2656">
        <v>13.0765675713028</v>
      </c>
      <c r="L2656">
        <v>13.264773257170599</v>
      </c>
      <c r="M2656">
        <v>13.2516998163431</v>
      </c>
      <c r="N2656">
        <v>13.1633947807184</v>
      </c>
      <c r="O2656">
        <v>10.937093753074601</v>
      </c>
      <c r="P2656">
        <v>-0.69639629927308999</v>
      </c>
      <c r="Q2656">
        <v>-1.6099690347396101</v>
      </c>
      <c r="R2656">
        <v>0.21717643619343099</v>
      </c>
      <c r="S2656">
        <v>13.210387949487799</v>
      </c>
      <c r="T2656">
        <v>-1.61682439877996</v>
      </c>
      <c r="U2656">
        <v>-5.7760742123545601</v>
      </c>
      <c r="V2656">
        <v>0.12558673097745701</v>
      </c>
      <c r="W2656">
        <v>0.36783008334891498</v>
      </c>
      <c r="X2656">
        <v>0</v>
      </c>
      <c r="Y2656">
        <v>0</v>
      </c>
    </row>
    <row r="2657" spans="1:25" x14ac:dyDescent="0.2">
      <c r="A2657" t="s">
        <v>9899</v>
      </c>
      <c r="B2657" t="s">
        <v>9900</v>
      </c>
      <c r="C2657" t="s">
        <v>14533</v>
      </c>
      <c r="D2657" t="s">
        <v>3883</v>
      </c>
      <c r="E2657" t="s">
        <v>9900</v>
      </c>
      <c r="F2657" t="s">
        <v>28</v>
      </c>
      <c r="G2657" t="s">
        <v>9900</v>
      </c>
      <c r="H2657" t="str">
        <f>"T23F11.2"</f>
        <v>T23F11.2</v>
      </c>
      <c r="I2657" t="s">
        <v>3883</v>
      </c>
      <c r="J2657">
        <v>15.527099107408</v>
      </c>
      <c r="K2657">
        <v>15.0121071193395</v>
      </c>
      <c r="L2657">
        <v>16.487843568711099</v>
      </c>
      <c r="M2657">
        <v>14.307267262929599</v>
      </c>
      <c r="N2657">
        <v>14.0953429639607</v>
      </c>
      <c r="O2657">
        <v>13.9229063949065</v>
      </c>
      <c r="P2657">
        <v>-1.56717772455393</v>
      </c>
      <c r="Q2657">
        <v>-2.6522548729086002</v>
      </c>
      <c r="R2657">
        <v>-0.48210057619926899</v>
      </c>
      <c r="S2657">
        <v>14.603961182175899</v>
      </c>
      <c r="T2657">
        <v>-3.0356391547001502</v>
      </c>
      <c r="U2657">
        <v>-3.1633921470647</v>
      </c>
      <c r="V2657">
        <v>7.1465178905996398E-3</v>
      </c>
      <c r="W2657">
        <v>6.9210622666700097E-2</v>
      </c>
      <c r="X2657">
        <v>-1</v>
      </c>
      <c r="Y2657">
        <v>0</v>
      </c>
    </row>
    <row r="2658" spans="1:25" x14ac:dyDescent="0.2">
      <c r="A2658" t="s">
        <v>9901</v>
      </c>
      <c r="B2658" t="s">
        <v>9902</v>
      </c>
      <c r="C2658" t="s">
        <v>9903</v>
      </c>
      <c r="D2658" t="s">
        <v>9904</v>
      </c>
      <c r="E2658" t="s">
        <v>9902</v>
      </c>
      <c r="F2658" t="s">
        <v>28</v>
      </c>
      <c r="G2658" t="s">
        <v>9902</v>
      </c>
      <c r="H2658" t="str">
        <f>"dpl-1"</f>
        <v>dpl-1</v>
      </c>
      <c r="I2658" t="s">
        <v>9904</v>
      </c>
      <c r="J2658">
        <v>12.8304214611719</v>
      </c>
      <c r="K2658">
        <v>12.962430448930499</v>
      </c>
      <c r="L2658">
        <v>12.991711939946899</v>
      </c>
      <c r="M2658">
        <v>13.8999281415166</v>
      </c>
      <c r="N2658">
        <v>11.7497658500857</v>
      </c>
      <c r="O2658">
        <v>13.1738659031558</v>
      </c>
      <c r="P2658">
        <v>1.29986815696022E-2</v>
      </c>
      <c r="Q2658">
        <v>-0.76148449859102796</v>
      </c>
      <c r="R2658">
        <v>0.78748186173023205</v>
      </c>
      <c r="S2658">
        <v>13.3213636736933</v>
      </c>
      <c r="T2658">
        <v>3.5598921784846402E-2</v>
      </c>
      <c r="U2658">
        <v>-7.05141790948952</v>
      </c>
      <c r="V2658">
        <v>0.97204540193104705</v>
      </c>
      <c r="W2658">
        <v>0.98444934263418205</v>
      </c>
      <c r="X2658">
        <v>0</v>
      </c>
      <c r="Y2658">
        <v>0</v>
      </c>
    </row>
    <row r="2659" spans="1:25" x14ac:dyDescent="0.2">
      <c r="A2659" t="s">
        <v>9905</v>
      </c>
      <c r="B2659" t="s">
        <v>9906</v>
      </c>
      <c r="C2659" t="s">
        <v>14534</v>
      </c>
      <c r="D2659" t="s">
        <v>9907</v>
      </c>
      <c r="E2659" t="s">
        <v>9906</v>
      </c>
      <c r="F2659" t="s">
        <v>28</v>
      </c>
      <c r="G2659" t="s">
        <v>9906</v>
      </c>
      <c r="H2659" t="str">
        <f>"T23G7.3"</f>
        <v>T23G7.3</v>
      </c>
      <c r="I2659" t="s">
        <v>9907</v>
      </c>
      <c r="J2659">
        <v>10.0139734553198</v>
      </c>
      <c r="K2659" t="s">
        <v>29</v>
      </c>
      <c r="L2659">
        <v>10.858760573873299</v>
      </c>
      <c r="M2659">
        <v>10.4241611700738</v>
      </c>
      <c r="N2659">
        <v>11.1472156667138</v>
      </c>
      <c r="O2659">
        <v>12.0938941401216</v>
      </c>
      <c r="P2659">
        <v>0.78538997770650099</v>
      </c>
      <c r="Q2659">
        <v>-0.29098246779782799</v>
      </c>
      <c r="R2659">
        <v>1.8617624232108301</v>
      </c>
      <c r="S2659">
        <v>11.957163500062601</v>
      </c>
      <c r="T2659">
        <v>1.55619633890614</v>
      </c>
      <c r="U2659">
        <v>-5.7559837103512699</v>
      </c>
      <c r="V2659">
        <v>0.140649984559959</v>
      </c>
      <c r="W2659">
        <v>0.38677888604987698</v>
      </c>
      <c r="X2659">
        <v>0</v>
      </c>
      <c r="Y2659">
        <v>0</v>
      </c>
    </row>
    <row r="2660" spans="1:25" x14ac:dyDescent="0.2">
      <c r="A2660" t="s">
        <v>9908</v>
      </c>
      <c r="B2660" t="s">
        <v>9909</v>
      </c>
      <c r="C2660" t="s">
        <v>9910</v>
      </c>
      <c r="D2660" t="s">
        <v>9911</v>
      </c>
      <c r="E2660" t="s">
        <v>9909</v>
      </c>
      <c r="F2660" t="s">
        <v>28</v>
      </c>
      <c r="G2660" t="s">
        <v>9909</v>
      </c>
      <c r="H2660" t="str">
        <f>"sec-5"</f>
        <v>sec-5</v>
      </c>
      <c r="I2660" t="s">
        <v>9911</v>
      </c>
      <c r="J2660">
        <v>13.185881268303699</v>
      </c>
      <c r="K2660">
        <v>13.1915376818953</v>
      </c>
      <c r="L2660">
        <v>12.791632518346599</v>
      </c>
      <c r="M2660">
        <v>12.9439939920494</v>
      </c>
      <c r="N2660">
        <v>13.2959595948908</v>
      </c>
      <c r="O2660">
        <v>13.3747780363411</v>
      </c>
      <c r="P2660">
        <v>0.14856005157857599</v>
      </c>
      <c r="Q2660">
        <v>-0.25773665540711999</v>
      </c>
      <c r="R2660">
        <v>0.55485675856427197</v>
      </c>
      <c r="S2660">
        <v>13.0933654912566</v>
      </c>
      <c r="T2660">
        <v>0.77180706951846501</v>
      </c>
      <c r="U2660">
        <v>-6.7443648473684901</v>
      </c>
      <c r="V2660">
        <v>0.45089002459780703</v>
      </c>
      <c r="W2660">
        <v>0.71815767990272295</v>
      </c>
      <c r="X2660">
        <v>0</v>
      </c>
      <c r="Y2660">
        <v>0</v>
      </c>
    </row>
    <row r="2661" spans="1:25" x14ac:dyDescent="0.2">
      <c r="A2661" t="s">
        <v>9912</v>
      </c>
      <c r="B2661" t="s">
        <v>9913</v>
      </c>
      <c r="C2661" t="s">
        <v>9914</v>
      </c>
      <c r="D2661" t="s">
        <v>9915</v>
      </c>
      <c r="E2661" t="s">
        <v>9913</v>
      </c>
      <c r="F2661" t="s">
        <v>28</v>
      </c>
      <c r="G2661" t="s">
        <v>9913</v>
      </c>
      <c r="H2661" t="str">
        <f>"rpl-32"</f>
        <v>rpl-32</v>
      </c>
      <c r="I2661" t="s">
        <v>9915</v>
      </c>
      <c r="J2661">
        <v>16.2216703235894</v>
      </c>
      <c r="K2661">
        <v>16.303394799231</v>
      </c>
      <c r="L2661">
        <v>16.195236931829299</v>
      </c>
      <c r="M2661">
        <v>15.9068111255083</v>
      </c>
      <c r="N2661">
        <v>15.6156599141478</v>
      </c>
      <c r="O2661">
        <v>16.025753823431401</v>
      </c>
      <c r="P2661">
        <v>-0.39069239718739202</v>
      </c>
      <c r="Q2661">
        <v>-0.82433316846658999</v>
      </c>
      <c r="R2661">
        <v>4.2948374091806497E-2</v>
      </c>
      <c r="S2661">
        <v>16.0517374203977</v>
      </c>
      <c r="T2661">
        <v>-1.89363976540018</v>
      </c>
      <c r="U2661">
        <v>-5.3404727142875696</v>
      </c>
      <c r="V2661">
        <v>7.4556275750838299E-2</v>
      </c>
      <c r="W2661">
        <v>0.28009938192123102</v>
      </c>
      <c r="X2661">
        <v>0</v>
      </c>
      <c r="Y2661">
        <v>0</v>
      </c>
    </row>
    <row r="2662" spans="1:25" x14ac:dyDescent="0.2">
      <c r="A2662" t="s">
        <v>9916</v>
      </c>
      <c r="B2662" t="s">
        <v>9917</v>
      </c>
      <c r="C2662" t="s">
        <v>9918</v>
      </c>
      <c r="D2662" t="s">
        <v>9919</v>
      </c>
      <c r="E2662" t="s">
        <v>9917</v>
      </c>
      <c r="F2662" t="s">
        <v>28</v>
      </c>
      <c r="G2662" t="s">
        <v>9917</v>
      </c>
      <c r="H2662" t="str">
        <f>"chmp-7"</f>
        <v>chmp-7</v>
      </c>
      <c r="I2662" t="s">
        <v>9919</v>
      </c>
      <c r="J2662" t="s">
        <v>29</v>
      </c>
      <c r="K2662" t="s">
        <v>29</v>
      </c>
      <c r="L2662" t="s">
        <v>29</v>
      </c>
      <c r="M2662" t="s">
        <v>29</v>
      </c>
      <c r="N2662" t="s">
        <v>29</v>
      </c>
      <c r="O2662" t="s">
        <v>29</v>
      </c>
      <c r="P2662" t="s">
        <v>29</v>
      </c>
      <c r="Q2662" t="s">
        <v>29</v>
      </c>
      <c r="R2662" t="s">
        <v>29</v>
      </c>
      <c r="S2662">
        <v>11.0023464188631</v>
      </c>
      <c r="T2662" t="s">
        <v>29</v>
      </c>
      <c r="U2662" t="s">
        <v>29</v>
      </c>
      <c r="V2662" t="s">
        <v>29</v>
      </c>
      <c r="W2662" t="s">
        <v>29</v>
      </c>
      <c r="X2662" t="s">
        <v>29</v>
      </c>
      <c r="Y2662" t="s">
        <v>29</v>
      </c>
    </row>
    <row r="2663" spans="1:25" x14ac:dyDescent="0.2">
      <c r="A2663" t="s">
        <v>9920</v>
      </c>
      <c r="B2663" t="s">
        <v>9921</v>
      </c>
      <c r="C2663" t="s">
        <v>14535</v>
      </c>
      <c r="D2663" t="s">
        <v>9922</v>
      </c>
      <c r="E2663" t="s">
        <v>9921</v>
      </c>
      <c r="F2663" t="s">
        <v>28</v>
      </c>
      <c r="G2663" t="s">
        <v>9921</v>
      </c>
      <c r="H2663" t="str">
        <f>"T24C12.3"</f>
        <v>T24C12.3</v>
      </c>
      <c r="I2663" t="s">
        <v>9922</v>
      </c>
      <c r="J2663">
        <v>13.395599404864999</v>
      </c>
      <c r="K2663">
        <v>13.4911429152823</v>
      </c>
      <c r="L2663">
        <v>12.9844307910737</v>
      </c>
      <c r="M2663">
        <v>13.212620992623201</v>
      </c>
      <c r="N2663">
        <v>13.486861595219001</v>
      </c>
      <c r="O2663">
        <v>13.1287544516907</v>
      </c>
      <c r="P2663">
        <v>-1.43120238960215E-2</v>
      </c>
      <c r="Q2663">
        <v>-0.49790595518078101</v>
      </c>
      <c r="R2663">
        <v>0.46928190738873798</v>
      </c>
      <c r="S2663">
        <v>13.0738464289372</v>
      </c>
      <c r="T2663">
        <v>-6.2469815551991902E-2</v>
      </c>
      <c r="U2663">
        <v>-7.05003512758661</v>
      </c>
      <c r="V2663">
        <v>0.950921804742488</v>
      </c>
      <c r="W2663">
        <v>0.97752358457809096</v>
      </c>
      <c r="X2663">
        <v>0</v>
      </c>
      <c r="Y2663">
        <v>0</v>
      </c>
    </row>
    <row r="2664" spans="1:25" x14ac:dyDescent="0.2">
      <c r="A2664" t="s">
        <v>9923</v>
      </c>
      <c r="B2664" t="s">
        <v>9924</v>
      </c>
      <c r="C2664" t="s">
        <v>9925</v>
      </c>
      <c r="D2664" t="s">
        <v>9926</v>
      </c>
      <c r="E2664" t="s">
        <v>9924</v>
      </c>
      <c r="F2664" t="s">
        <v>28</v>
      </c>
      <c r="G2664" t="s">
        <v>9924</v>
      </c>
      <c r="H2664" t="str">
        <f>"raga-1"</f>
        <v>raga-1</v>
      </c>
      <c r="I2664" t="s">
        <v>9926</v>
      </c>
      <c r="J2664">
        <v>15.6986134153163</v>
      </c>
      <c r="K2664">
        <v>15.503303592923199</v>
      </c>
      <c r="L2664">
        <v>15.588302760142</v>
      </c>
      <c r="M2664">
        <v>15.782858173093301</v>
      </c>
      <c r="N2664">
        <v>15.809194656123401</v>
      </c>
      <c r="O2664">
        <v>15.489665151722599</v>
      </c>
      <c r="P2664">
        <v>9.7166070852591005E-2</v>
      </c>
      <c r="Q2664">
        <v>-0.23227385588380201</v>
      </c>
      <c r="R2664">
        <v>0.42660599758898399</v>
      </c>
      <c r="S2664">
        <v>15.378626841765399</v>
      </c>
      <c r="T2664">
        <v>0.61991325391447205</v>
      </c>
      <c r="U2664">
        <v>-6.8528403492513004</v>
      </c>
      <c r="V2664">
        <v>0.54312871044971001</v>
      </c>
      <c r="W2664">
        <v>0.77675477499447099</v>
      </c>
      <c r="X2664">
        <v>0</v>
      </c>
      <c r="Y2664">
        <v>0</v>
      </c>
    </row>
    <row r="2665" spans="1:25" x14ac:dyDescent="0.2">
      <c r="A2665" t="s">
        <v>9927</v>
      </c>
      <c r="B2665" t="s">
        <v>9928</v>
      </c>
      <c r="C2665" t="s">
        <v>9929</v>
      </c>
      <c r="D2665" t="s">
        <v>9930</v>
      </c>
      <c r="E2665" t="s">
        <v>9928</v>
      </c>
      <c r="F2665" t="s">
        <v>28</v>
      </c>
      <c r="G2665" t="s">
        <v>9928</v>
      </c>
      <c r="H2665" t="str">
        <f>"rsf-1"</f>
        <v>rsf-1</v>
      </c>
      <c r="I2665" t="s">
        <v>9930</v>
      </c>
      <c r="J2665" t="s">
        <v>29</v>
      </c>
      <c r="K2665" t="s">
        <v>29</v>
      </c>
      <c r="L2665" t="s">
        <v>29</v>
      </c>
      <c r="M2665">
        <v>13.2105347576236</v>
      </c>
      <c r="N2665">
        <v>13.287301502273399</v>
      </c>
      <c r="O2665">
        <v>13.262007920178201</v>
      </c>
      <c r="P2665" t="s">
        <v>29</v>
      </c>
      <c r="Q2665" t="s">
        <v>29</v>
      </c>
      <c r="R2665" t="s">
        <v>29</v>
      </c>
      <c r="S2665">
        <v>11.972584493532199</v>
      </c>
      <c r="T2665" t="s">
        <v>29</v>
      </c>
      <c r="U2665" t="s">
        <v>29</v>
      </c>
      <c r="V2665" t="s">
        <v>29</v>
      </c>
      <c r="W2665" t="s">
        <v>29</v>
      </c>
      <c r="X2665" t="s">
        <v>29</v>
      </c>
      <c r="Y2665" t="s">
        <v>29</v>
      </c>
    </row>
    <row r="2666" spans="1:25" x14ac:dyDescent="0.2">
      <c r="A2666" t="s">
        <v>9931</v>
      </c>
      <c r="B2666" t="s">
        <v>9932</v>
      </c>
      <c r="C2666" t="s">
        <v>9933</v>
      </c>
      <c r="D2666" t="s">
        <v>9934</v>
      </c>
      <c r="E2666" t="s">
        <v>9932</v>
      </c>
      <c r="F2666" t="s">
        <v>28</v>
      </c>
      <c r="G2666" t="s">
        <v>9932</v>
      </c>
      <c r="H2666" t="str">
        <f>"samp-1"</f>
        <v>samp-1</v>
      </c>
      <c r="I2666" t="s">
        <v>9934</v>
      </c>
      <c r="J2666">
        <v>11.324142463898101</v>
      </c>
      <c r="K2666">
        <v>11.0142351459631</v>
      </c>
      <c r="L2666">
        <v>11.5698942178411</v>
      </c>
      <c r="M2666" t="s">
        <v>29</v>
      </c>
      <c r="N2666">
        <v>11.2646875883975</v>
      </c>
      <c r="O2666" t="s">
        <v>29</v>
      </c>
      <c r="P2666">
        <v>-3.80696875032722E-2</v>
      </c>
      <c r="Q2666">
        <v>-1.0445986415077899</v>
      </c>
      <c r="R2666">
        <v>0.96845926650124603</v>
      </c>
      <c r="S2666">
        <v>12.107934900851999</v>
      </c>
      <c r="T2666">
        <v>-8.1179230871506899E-2</v>
      </c>
      <c r="U2666">
        <v>-6.7056913753614298</v>
      </c>
      <c r="V2666">
        <v>0.93645712636369105</v>
      </c>
      <c r="W2666">
        <v>0.97535311084156295</v>
      </c>
      <c r="X2666">
        <v>0</v>
      </c>
      <c r="Y2666">
        <v>0</v>
      </c>
    </row>
    <row r="2667" spans="1:25" x14ac:dyDescent="0.2">
      <c r="A2667" t="s">
        <v>9935</v>
      </c>
      <c r="B2667" t="s">
        <v>9936</v>
      </c>
      <c r="C2667" t="s">
        <v>14536</v>
      </c>
      <c r="D2667" t="s">
        <v>9937</v>
      </c>
      <c r="E2667" t="s">
        <v>9936</v>
      </c>
      <c r="F2667" t="s">
        <v>28</v>
      </c>
      <c r="G2667" t="s">
        <v>9936</v>
      </c>
      <c r="H2667" t="str">
        <f>"T24G10.2"</f>
        <v>T24G10.2</v>
      </c>
      <c r="I2667" t="s">
        <v>9937</v>
      </c>
      <c r="J2667" t="s">
        <v>29</v>
      </c>
      <c r="K2667" t="s">
        <v>29</v>
      </c>
      <c r="L2667" t="s">
        <v>29</v>
      </c>
      <c r="M2667" t="s">
        <v>29</v>
      </c>
      <c r="N2667" t="s">
        <v>29</v>
      </c>
      <c r="O2667" t="s">
        <v>29</v>
      </c>
      <c r="P2667" t="s">
        <v>29</v>
      </c>
      <c r="Q2667" t="s">
        <v>29</v>
      </c>
      <c r="R2667" t="s">
        <v>29</v>
      </c>
      <c r="S2667">
        <v>12.7282763781265</v>
      </c>
      <c r="T2667" t="s">
        <v>29</v>
      </c>
      <c r="U2667" t="s">
        <v>29</v>
      </c>
      <c r="V2667" t="s">
        <v>29</v>
      </c>
      <c r="W2667" t="s">
        <v>29</v>
      </c>
      <c r="X2667" t="s">
        <v>29</v>
      </c>
      <c r="Y2667" t="s">
        <v>29</v>
      </c>
    </row>
    <row r="2668" spans="1:25" x14ac:dyDescent="0.2">
      <c r="A2668" t="s">
        <v>9938</v>
      </c>
      <c r="B2668" t="s">
        <v>9939</v>
      </c>
      <c r="C2668" t="s">
        <v>9940</v>
      </c>
      <c r="D2668" t="s">
        <v>308</v>
      </c>
      <c r="E2668" t="s">
        <v>9939</v>
      </c>
      <c r="F2668" t="s">
        <v>28</v>
      </c>
      <c r="G2668" t="s">
        <v>9939</v>
      </c>
      <c r="H2668" t="str">
        <f>"dnj-23"</f>
        <v>dnj-23</v>
      </c>
      <c r="I2668" t="s">
        <v>308</v>
      </c>
      <c r="J2668">
        <v>10.963853432453901</v>
      </c>
      <c r="K2668" t="s">
        <v>29</v>
      </c>
      <c r="L2668">
        <v>12.1636212218519</v>
      </c>
      <c r="M2668" t="s">
        <v>29</v>
      </c>
      <c r="N2668" t="s">
        <v>29</v>
      </c>
      <c r="O2668" t="s">
        <v>29</v>
      </c>
      <c r="P2668" t="s">
        <v>29</v>
      </c>
      <c r="Q2668" t="s">
        <v>29</v>
      </c>
      <c r="R2668" t="s">
        <v>29</v>
      </c>
      <c r="S2668">
        <v>11.709743010259601</v>
      </c>
      <c r="T2668" t="s">
        <v>29</v>
      </c>
      <c r="U2668" t="s">
        <v>29</v>
      </c>
      <c r="V2668" t="s">
        <v>29</v>
      </c>
      <c r="W2668" t="s">
        <v>29</v>
      </c>
      <c r="X2668" t="s">
        <v>29</v>
      </c>
      <c r="Y2668" t="s">
        <v>29</v>
      </c>
    </row>
    <row r="2669" spans="1:25" x14ac:dyDescent="0.2">
      <c r="A2669" t="s">
        <v>9941</v>
      </c>
      <c r="B2669" t="s">
        <v>9942</v>
      </c>
      <c r="C2669" t="s">
        <v>14537</v>
      </c>
      <c r="D2669" t="s">
        <v>9943</v>
      </c>
      <c r="E2669" t="s">
        <v>9942</v>
      </c>
      <c r="F2669" t="s">
        <v>28</v>
      </c>
      <c r="G2669" t="s">
        <v>9942</v>
      </c>
      <c r="H2669" t="str">
        <f>"T25B9.4"</f>
        <v>T25B9.4</v>
      </c>
      <c r="I2669" t="s">
        <v>9943</v>
      </c>
      <c r="J2669">
        <v>12.4395187927413</v>
      </c>
      <c r="K2669">
        <v>11.6238224862776</v>
      </c>
      <c r="L2669">
        <v>12.959954171180399</v>
      </c>
      <c r="M2669">
        <v>13.1812547911086</v>
      </c>
      <c r="N2669">
        <v>13.417004864510901</v>
      </c>
      <c r="O2669">
        <v>12.339459667295801</v>
      </c>
      <c r="P2669">
        <v>0.63814129090529403</v>
      </c>
      <c r="Q2669">
        <v>-0.290085822191472</v>
      </c>
      <c r="R2669">
        <v>1.56636840400206</v>
      </c>
      <c r="S2669">
        <v>12.6966170642915</v>
      </c>
      <c r="T2669">
        <v>1.46623709446169</v>
      </c>
      <c r="U2669">
        <v>-5.9890031617172097</v>
      </c>
      <c r="V2669">
        <v>0.16337622496582399</v>
      </c>
      <c r="W2669">
        <v>0.41794515411854599</v>
      </c>
      <c r="X2669">
        <v>0</v>
      </c>
      <c r="Y2669">
        <v>0</v>
      </c>
    </row>
    <row r="2670" spans="1:25" x14ac:dyDescent="0.2">
      <c r="A2670" t="s">
        <v>9944</v>
      </c>
      <c r="B2670" t="s">
        <v>9945</v>
      </c>
      <c r="C2670" t="s">
        <v>14538</v>
      </c>
      <c r="D2670" t="s">
        <v>9946</v>
      </c>
      <c r="E2670" t="s">
        <v>9945</v>
      </c>
      <c r="F2670" t="s">
        <v>28</v>
      </c>
      <c r="G2670" t="s">
        <v>9945</v>
      </c>
      <c r="H2670" t="str">
        <f>"T25B9.1"</f>
        <v>T25B9.1</v>
      </c>
      <c r="I2670" t="s">
        <v>9946</v>
      </c>
      <c r="J2670" t="s">
        <v>29</v>
      </c>
      <c r="K2670" t="s">
        <v>29</v>
      </c>
      <c r="L2670">
        <v>10.538270490401001</v>
      </c>
      <c r="M2670" t="s">
        <v>29</v>
      </c>
      <c r="N2670">
        <v>9.9626690781572993</v>
      </c>
      <c r="O2670" t="s">
        <v>29</v>
      </c>
      <c r="P2670">
        <v>-0.57560141224369799</v>
      </c>
      <c r="Q2670">
        <v>-1.5757761856675301</v>
      </c>
      <c r="R2670">
        <v>0.42457336118014</v>
      </c>
      <c r="S2670">
        <v>10.7457164635547</v>
      </c>
      <c r="T2670">
        <v>-1.3301838353609701</v>
      </c>
      <c r="U2670">
        <v>-5.63229365293925</v>
      </c>
      <c r="V2670">
        <v>0.220597862058067</v>
      </c>
      <c r="W2670">
        <v>0.48831662798431902</v>
      </c>
      <c r="X2670">
        <v>0</v>
      </c>
      <c r="Y2670">
        <v>0</v>
      </c>
    </row>
    <row r="2671" spans="1:25" x14ac:dyDescent="0.2">
      <c r="A2671" t="s">
        <v>9947</v>
      </c>
      <c r="B2671" t="s">
        <v>9948</v>
      </c>
      <c r="C2671" t="s">
        <v>9949</v>
      </c>
      <c r="D2671" t="s">
        <v>9950</v>
      </c>
      <c r="E2671" t="s">
        <v>9948</v>
      </c>
      <c r="F2671" t="s">
        <v>28</v>
      </c>
      <c r="G2671" t="s">
        <v>9948</v>
      </c>
      <c r="H2671" t="str">
        <f>"acdh-7"</f>
        <v>acdh-7</v>
      </c>
      <c r="I2671" t="s">
        <v>9950</v>
      </c>
      <c r="J2671">
        <v>15.6758048498024</v>
      </c>
      <c r="K2671">
        <v>15.659120299343501</v>
      </c>
      <c r="L2671">
        <v>15.529372912105799</v>
      </c>
      <c r="M2671">
        <v>15.224601480575901</v>
      </c>
      <c r="N2671">
        <v>15.4175047205078</v>
      </c>
      <c r="O2671">
        <v>15.394992719875599</v>
      </c>
      <c r="P2671">
        <v>-0.27573304676412702</v>
      </c>
      <c r="Q2671">
        <v>-0.57385713489253798</v>
      </c>
      <c r="R2671">
        <v>2.2391041364283101E-2</v>
      </c>
      <c r="S2671">
        <v>15.178421023966701</v>
      </c>
      <c r="T2671">
        <v>-1.9439463049180301</v>
      </c>
      <c r="U2671">
        <v>-5.2566914960644597</v>
      </c>
      <c r="V2671">
        <v>6.7796228215587007E-2</v>
      </c>
      <c r="W2671">
        <v>0.263886275853493</v>
      </c>
      <c r="X2671">
        <v>0</v>
      </c>
      <c r="Y2671">
        <v>0</v>
      </c>
    </row>
    <row r="2672" spans="1:25" x14ac:dyDescent="0.2">
      <c r="A2672" t="s">
        <v>9951</v>
      </c>
      <c r="B2672" t="s">
        <v>9952</v>
      </c>
      <c r="C2672" t="s">
        <v>9953</v>
      </c>
      <c r="D2672" t="s">
        <v>9954</v>
      </c>
      <c r="E2672" t="s">
        <v>9952</v>
      </c>
      <c r="F2672" t="s">
        <v>28</v>
      </c>
      <c r="G2672" t="s">
        <v>9952</v>
      </c>
      <c r="H2672" t="str">
        <f>"rab-6.2"</f>
        <v>rab-6.2</v>
      </c>
      <c r="I2672" t="s">
        <v>9954</v>
      </c>
      <c r="J2672">
        <v>16.470236509522302</v>
      </c>
      <c r="K2672">
        <v>16.613308725355999</v>
      </c>
      <c r="L2672">
        <v>16.461872735377</v>
      </c>
      <c r="M2672">
        <v>16.754153082323398</v>
      </c>
      <c r="N2672">
        <v>16.598216771992401</v>
      </c>
      <c r="O2672">
        <v>16.4411602746125</v>
      </c>
      <c r="P2672">
        <v>8.2704052891024601E-2</v>
      </c>
      <c r="Q2672">
        <v>-0.245379921733833</v>
      </c>
      <c r="R2672">
        <v>0.410788027515882</v>
      </c>
      <c r="S2672">
        <v>16.124369486127101</v>
      </c>
      <c r="T2672">
        <v>0.52982724629984201</v>
      </c>
      <c r="U2672">
        <v>-6.9061232290856598</v>
      </c>
      <c r="V2672">
        <v>0.60274402618852696</v>
      </c>
      <c r="W2672">
        <v>0.80985940123530897</v>
      </c>
      <c r="X2672">
        <v>0</v>
      </c>
      <c r="Y2672">
        <v>0</v>
      </c>
    </row>
    <row r="2673" spans="1:25" x14ac:dyDescent="0.2">
      <c r="A2673" t="s">
        <v>9955</v>
      </c>
      <c r="B2673" t="s">
        <v>9956</v>
      </c>
      <c r="C2673" t="s">
        <v>14539</v>
      </c>
      <c r="D2673" t="s">
        <v>9957</v>
      </c>
      <c r="E2673" t="s">
        <v>9956</v>
      </c>
      <c r="F2673" t="s">
        <v>28</v>
      </c>
      <c r="G2673" t="s">
        <v>9956</v>
      </c>
      <c r="H2673" t="str">
        <f>"T25G3.3"</f>
        <v>T25G3.3</v>
      </c>
      <c r="I2673" t="s">
        <v>9957</v>
      </c>
      <c r="J2673">
        <v>14.810458205974401</v>
      </c>
      <c r="K2673">
        <v>14.679762002639499</v>
      </c>
      <c r="L2673">
        <v>14.6390349906967</v>
      </c>
      <c r="M2673">
        <v>14.754457928561701</v>
      </c>
      <c r="N2673">
        <v>14.607338333907601</v>
      </c>
      <c r="O2673">
        <v>14.206083266123301</v>
      </c>
      <c r="P2673">
        <v>-0.187125223572643</v>
      </c>
      <c r="Q2673">
        <v>-0.57594251748375602</v>
      </c>
      <c r="R2673">
        <v>0.20169207033847</v>
      </c>
      <c r="S2673">
        <v>14.317308489701499</v>
      </c>
      <c r="T2673">
        <v>-1.01153117487109</v>
      </c>
      <c r="U2673">
        <v>-6.5307448079571202</v>
      </c>
      <c r="V2673">
        <v>0.32524475060604502</v>
      </c>
      <c r="W2673">
        <v>0.60511516207665506</v>
      </c>
      <c r="X2673">
        <v>0</v>
      </c>
      <c r="Y2673">
        <v>0</v>
      </c>
    </row>
    <row r="2674" spans="1:25" x14ac:dyDescent="0.2">
      <c r="A2674" t="s">
        <v>9958</v>
      </c>
      <c r="B2674" t="s">
        <v>9959</v>
      </c>
      <c r="C2674" t="s">
        <v>9960</v>
      </c>
      <c r="D2674" t="s">
        <v>9961</v>
      </c>
      <c r="E2674" t="s">
        <v>9959</v>
      </c>
      <c r="F2674" t="s">
        <v>28</v>
      </c>
      <c r="G2674" t="s">
        <v>9959</v>
      </c>
      <c r="H2674" t="str">
        <f>"algn-1"</f>
        <v>algn-1</v>
      </c>
      <c r="I2674" t="s">
        <v>9961</v>
      </c>
      <c r="J2674">
        <v>12.266592683811499</v>
      </c>
      <c r="K2674" t="s">
        <v>29</v>
      </c>
      <c r="L2674" t="s">
        <v>29</v>
      </c>
      <c r="M2674">
        <v>11.628324802092701</v>
      </c>
      <c r="N2674">
        <v>13.066643400839</v>
      </c>
      <c r="O2674" t="s">
        <v>29</v>
      </c>
      <c r="P2674">
        <v>8.0891417654360295E-2</v>
      </c>
      <c r="Q2674">
        <v>-1.33673532001919</v>
      </c>
      <c r="R2674">
        <v>1.4985181553279101</v>
      </c>
      <c r="S2674">
        <v>12.5500582699233</v>
      </c>
      <c r="T2674">
        <v>0.12732316955204401</v>
      </c>
      <c r="U2674">
        <v>-6.6424187872652798</v>
      </c>
      <c r="V2674">
        <v>0.90123487090504495</v>
      </c>
      <c r="W2674">
        <v>0.96626631628501303</v>
      </c>
      <c r="X2674">
        <v>0</v>
      </c>
      <c r="Y2674">
        <v>0</v>
      </c>
    </row>
    <row r="2675" spans="1:25" x14ac:dyDescent="0.2">
      <c r="A2675" t="s">
        <v>9962</v>
      </c>
      <c r="B2675" t="s">
        <v>9963</v>
      </c>
      <c r="C2675" t="s">
        <v>9964</v>
      </c>
      <c r="D2675" t="s">
        <v>9965</v>
      </c>
      <c r="E2675" t="s">
        <v>9963</v>
      </c>
      <c r="F2675" t="s">
        <v>28</v>
      </c>
      <c r="G2675" t="s">
        <v>9963</v>
      </c>
      <c r="H2675" t="str">
        <f>"dlc-1"</f>
        <v>dlc-1</v>
      </c>
      <c r="I2675" t="s">
        <v>9965</v>
      </c>
      <c r="J2675">
        <v>14.2376506587833</v>
      </c>
      <c r="K2675">
        <v>14.2821430809338</v>
      </c>
      <c r="L2675">
        <v>14.1201555803156</v>
      </c>
      <c r="M2675">
        <v>14.0626421132442</v>
      </c>
      <c r="N2675">
        <v>13.8547186301412</v>
      </c>
      <c r="O2675">
        <v>13.6386371429349</v>
      </c>
      <c r="P2675">
        <v>-0.36131714457082298</v>
      </c>
      <c r="Q2675">
        <v>-0.75812896476119596</v>
      </c>
      <c r="R2675">
        <v>3.5494675619550803E-2</v>
      </c>
      <c r="S2675">
        <v>13.745549076515401</v>
      </c>
      <c r="T2675">
        <v>-1.92200265020984</v>
      </c>
      <c r="U2675">
        <v>-5.2971286638454602</v>
      </c>
      <c r="V2675">
        <v>7.1635537277266598E-2</v>
      </c>
      <c r="W2675">
        <v>0.27231546530400202</v>
      </c>
      <c r="X2675">
        <v>0</v>
      </c>
      <c r="Y2675">
        <v>0</v>
      </c>
    </row>
    <row r="2676" spans="1:25" x14ac:dyDescent="0.2">
      <c r="A2676" t="s">
        <v>9966</v>
      </c>
      <c r="B2676" t="s">
        <v>9967</v>
      </c>
      <c r="C2676" t="s">
        <v>9968</v>
      </c>
      <c r="D2676" t="s">
        <v>9969</v>
      </c>
      <c r="E2676" t="s">
        <v>9967</v>
      </c>
      <c r="F2676" t="s">
        <v>28</v>
      </c>
      <c r="G2676" t="s">
        <v>9967</v>
      </c>
      <c r="H2676" t="str">
        <f>"nduf-2.2"</f>
        <v>nduf-2.2</v>
      </c>
      <c r="I2676" t="s">
        <v>9969</v>
      </c>
      <c r="J2676">
        <v>14.254301131419499</v>
      </c>
      <c r="K2676">
        <v>14.3926612148228</v>
      </c>
      <c r="L2676">
        <v>14.3038564721908</v>
      </c>
      <c r="M2676">
        <v>13.432608451299799</v>
      </c>
      <c r="N2676">
        <v>14.1620281357299</v>
      </c>
      <c r="O2676">
        <v>14.062171489569501</v>
      </c>
      <c r="P2676">
        <v>-0.43133691394465301</v>
      </c>
      <c r="Q2676">
        <v>-1.00333299888522</v>
      </c>
      <c r="R2676">
        <v>0.14065917099591699</v>
      </c>
      <c r="S2676">
        <v>14.5028894631192</v>
      </c>
      <c r="T2676">
        <v>-1.58495188858894</v>
      </c>
      <c r="U2676">
        <v>-5.8207952104442802</v>
      </c>
      <c r="V2676">
        <v>0.130489540757143</v>
      </c>
      <c r="W2676">
        <v>0.374477979788438</v>
      </c>
      <c r="X2676">
        <v>0</v>
      </c>
      <c r="Y2676">
        <v>0</v>
      </c>
    </row>
    <row r="2677" spans="1:25" x14ac:dyDescent="0.2">
      <c r="A2677" t="s">
        <v>9970</v>
      </c>
      <c r="B2677" t="s">
        <v>9971</v>
      </c>
      <c r="C2677" t="s">
        <v>14540</v>
      </c>
      <c r="D2677" t="s">
        <v>252</v>
      </c>
      <c r="E2677" t="s">
        <v>9971</v>
      </c>
      <c r="F2677" t="s">
        <v>28</v>
      </c>
      <c r="G2677" t="s">
        <v>9971</v>
      </c>
      <c r="H2677" t="str">
        <f>"T26A8.4"</f>
        <v>T26A8.4</v>
      </c>
      <c r="I2677" t="s">
        <v>252</v>
      </c>
      <c r="J2677">
        <v>11.634564042140401</v>
      </c>
      <c r="K2677" t="s">
        <v>29</v>
      </c>
      <c r="L2677" t="s">
        <v>29</v>
      </c>
      <c r="M2677" t="s">
        <v>29</v>
      </c>
      <c r="N2677" t="s">
        <v>29</v>
      </c>
      <c r="O2677" t="s">
        <v>29</v>
      </c>
      <c r="P2677" t="s">
        <v>29</v>
      </c>
      <c r="Q2677" t="s">
        <v>29</v>
      </c>
      <c r="R2677" t="s">
        <v>29</v>
      </c>
      <c r="S2677">
        <v>12.0799080412708</v>
      </c>
      <c r="T2677" t="s">
        <v>29</v>
      </c>
      <c r="U2677" t="s">
        <v>29</v>
      </c>
      <c r="V2677" t="s">
        <v>29</v>
      </c>
      <c r="W2677" t="s">
        <v>29</v>
      </c>
      <c r="X2677" t="s">
        <v>29</v>
      </c>
      <c r="Y2677" t="s">
        <v>29</v>
      </c>
    </row>
    <row r="2678" spans="1:25" x14ac:dyDescent="0.2">
      <c r="A2678" t="s">
        <v>9972</v>
      </c>
      <c r="B2678" t="s">
        <v>9973</v>
      </c>
      <c r="C2678" t="s">
        <v>14541</v>
      </c>
      <c r="D2678" t="s">
        <v>9974</v>
      </c>
      <c r="E2678" t="s">
        <v>9973</v>
      </c>
      <c r="F2678" t="s">
        <v>28</v>
      </c>
      <c r="G2678" t="s">
        <v>9973</v>
      </c>
      <c r="H2678" t="str">
        <f>"T26C5.3"</f>
        <v>T26C5.3</v>
      </c>
      <c r="I2678" t="s">
        <v>9974</v>
      </c>
      <c r="J2678">
        <v>13.3019406272327</v>
      </c>
      <c r="K2678">
        <v>13.9872648388949</v>
      </c>
      <c r="L2678">
        <v>13.9478952920037</v>
      </c>
      <c r="M2678">
        <v>13.087849552448599</v>
      </c>
      <c r="N2678">
        <v>13.545608512679401</v>
      </c>
      <c r="O2678">
        <v>13.418628544127101</v>
      </c>
      <c r="P2678">
        <v>-0.39500471629206801</v>
      </c>
      <c r="Q2678">
        <v>-0.88102759769900896</v>
      </c>
      <c r="R2678">
        <v>9.1018165114873498E-2</v>
      </c>
      <c r="S2678">
        <v>14.0041160704498</v>
      </c>
      <c r="T2678">
        <v>-1.71551918166018</v>
      </c>
      <c r="U2678">
        <v>-5.6267183326369103</v>
      </c>
      <c r="V2678">
        <v>0.104529785618565</v>
      </c>
      <c r="W2678">
        <v>0.33417018412997301</v>
      </c>
      <c r="X2678">
        <v>0</v>
      </c>
      <c r="Y2678">
        <v>0</v>
      </c>
    </row>
    <row r="2679" spans="1:25" x14ac:dyDescent="0.2">
      <c r="A2679" t="s">
        <v>9975</v>
      </c>
      <c r="B2679" t="s">
        <v>9976</v>
      </c>
      <c r="C2679" t="s">
        <v>9977</v>
      </c>
      <c r="D2679" t="s">
        <v>9978</v>
      </c>
      <c r="E2679" t="s">
        <v>9976</v>
      </c>
      <c r="F2679" t="s">
        <v>28</v>
      </c>
      <c r="G2679" t="s">
        <v>9976</v>
      </c>
      <c r="H2679" t="str">
        <f>"ckc-1"</f>
        <v>ckc-1</v>
      </c>
      <c r="I2679" t="s">
        <v>9978</v>
      </c>
      <c r="J2679">
        <v>15.0871862938522</v>
      </c>
      <c r="K2679">
        <v>15.124470119981501</v>
      </c>
      <c r="L2679">
        <v>15.080072500729299</v>
      </c>
      <c r="M2679">
        <v>15.141188753415699</v>
      </c>
      <c r="N2679">
        <v>15.269134575892</v>
      </c>
      <c r="O2679">
        <v>14.683999609368</v>
      </c>
      <c r="P2679">
        <v>-6.5801991962418399E-2</v>
      </c>
      <c r="Q2679">
        <v>-0.39975996175689998</v>
      </c>
      <c r="R2679">
        <v>0.26815597783206402</v>
      </c>
      <c r="S2679">
        <v>14.676167770215301</v>
      </c>
      <c r="T2679">
        <v>-0.41590796900063898</v>
      </c>
      <c r="U2679">
        <v>-6.9616159935200104</v>
      </c>
      <c r="V2679">
        <v>0.68271238927369504</v>
      </c>
      <c r="W2679">
        <v>0.85740876676827604</v>
      </c>
      <c r="X2679">
        <v>0</v>
      </c>
      <c r="Y2679">
        <v>0</v>
      </c>
    </row>
    <row r="2680" spans="1:25" x14ac:dyDescent="0.2">
      <c r="A2680" t="s">
        <v>9979</v>
      </c>
      <c r="B2680" t="s">
        <v>9980</v>
      </c>
      <c r="C2680" t="s">
        <v>9981</v>
      </c>
      <c r="D2680" t="s">
        <v>2692</v>
      </c>
      <c r="E2680" t="s">
        <v>9980</v>
      </c>
      <c r="F2680" t="s">
        <v>28</v>
      </c>
      <c r="G2680" t="s">
        <v>9980</v>
      </c>
      <c r="H2680" t="str">
        <f>"cgr-1"</f>
        <v>cgr-1</v>
      </c>
      <c r="I2680" t="s">
        <v>2692</v>
      </c>
      <c r="J2680">
        <v>13.069123905622799</v>
      </c>
      <c r="K2680">
        <v>13.1835285460572</v>
      </c>
      <c r="L2680">
        <v>13.063660555158901</v>
      </c>
      <c r="M2680">
        <v>12.5311245497284</v>
      </c>
      <c r="N2680">
        <v>13.0052706617483</v>
      </c>
      <c r="O2680">
        <v>12.775252211917699</v>
      </c>
      <c r="P2680">
        <v>-0.33488852781484402</v>
      </c>
      <c r="Q2680">
        <v>-0.94929212815668096</v>
      </c>
      <c r="R2680">
        <v>0.27951507252699398</v>
      </c>
      <c r="S2680">
        <v>13.432797449657301</v>
      </c>
      <c r="T2680">
        <v>-1.1505262490953301</v>
      </c>
      <c r="U2680">
        <v>-6.3823105750338804</v>
      </c>
      <c r="V2680">
        <v>0.26595172579993298</v>
      </c>
      <c r="W2680">
        <v>0.54253072011360703</v>
      </c>
      <c r="X2680">
        <v>0</v>
      </c>
      <c r="Y2680">
        <v>0</v>
      </c>
    </row>
    <row r="2681" spans="1:25" x14ac:dyDescent="0.2">
      <c r="A2681" t="s">
        <v>9982</v>
      </c>
      <c r="B2681" t="s">
        <v>9983</v>
      </c>
      <c r="C2681" t="s">
        <v>9984</v>
      </c>
      <c r="D2681" t="s">
        <v>9985</v>
      </c>
      <c r="E2681" t="s">
        <v>9983</v>
      </c>
      <c r="F2681" t="s">
        <v>28</v>
      </c>
      <c r="G2681" t="s">
        <v>9983</v>
      </c>
      <c r="H2681" t="str">
        <f>"T27F2.1"</f>
        <v>T27F2.1</v>
      </c>
      <c r="I2681" t="s">
        <v>9985</v>
      </c>
      <c r="J2681">
        <v>11.260509094034701</v>
      </c>
      <c r="K2681" t="s">
        <v>29</v>
      </c>
      <c r="L2681" t="s">
        <v>29</v>
      </c>
      <c r="M2681" t="s">
        <v>29</v>
      </c>
      <c r="N2681" t="s">
        <v>29</v>
      </c>
      <c r="O2681">
        <v>11.933879919304699</v>
      </c>
      <c r="P2681">
        <v>0.673370825270037</v>
      </c>
      <c r="Q2681">
        <v>-0.126533448235228</v>
      </c>
      <c r="R2681">
        <v>1.4732750987753001</v>
      </c>
      <c r="S2681">
        <v>11.7964226838812</v>
      </c>
      <c r="T2681">
        <v>1.87837876301329</v>
      </c>
      <c r="U2681">
        <v>-4.8907957463783198</v>
      </c>
      <c r="V2681">
        <v>9.0076322830061298E-2</v>
      </c>
      <c r="W2681">
        <v>0.30708241090792199</v>
      </c>
      <c r="X2681">
        <v>0</v>
      </c>
      <c r="Y2681">
        <v>0</v>
      </c>
    </row>
    <row r="2682" spans="1:25" x14ac:dyDescent="0.2">
      <c r="A2682" t="s">
        <v>9986</v>
      </c>
      <c r="B2682" t="s">
        <v>9987</v>
      </c>
      <c r="C2682" t="s">
        <v>14160</v>
      </c>
      <c r="D2682" t="s">
        <v>368</v>
      </c>
      <c r="E2682" t="s">
        <v>9987</v>
      </c>
      <c r="F2682" t="s">
        <v>28</v>
      </c>
      <c r="G2682" t="s">
        <v>9987</v>
      </c>
      <c r="H2682" t="str">
        <f>"T28F4.5"</f>
        <v>T28F4.5</v>
      </c>
      <c r="I2682" t="s">
        <v>368</v>
      </c>
      <c r="J2682" t="s">
        <v>29</v>
      </c>
      <c r="K2682" t="s">
        <v>29</v>
      </c>
      <c r="L2682" t="s">
        <v>29</v>
      </c>
      <c r="M2682">
        <v>12.957881010046799</v>
      </c>
      <c r="N2682">
        <v>11.9938763049875</v>
      </c>
      <c r="O2682">
        <v>11.4398566036133</v>
      </c>
      <c r="P2682" t="s">
        <v>29</v>
      </c>
      <c r="Q2682" t="s">
        <v>29</v>
      </c>
      <c r="R2682" t="s">
        <v>29</v>
      </c>
      <c r="S2682">
        <v>10.8848544728934</v>
      </c>
      <c r="T2682" t="s">
        <v>29</v>
      </c>
      <c r="U2682" t="s">
        <v>29</v>
      </c>
      <c r="V2682" t="s">
        <v>29</v>
      </c>
      <c r="W2682" t="s">
        <v>29</v>
      </c>
      <c r="X2682" t="s">
        <v>29</v>
      </c>
      <c r="Y2682" t="s">
        <v>29</v>
      </c>
    </row>
    <row r="2683" spans="1:25" x14ac:dyDescent="0.2">
      <c r="A2683" t="s">
        <v>9988</v>
      </c>
      <c r="B2683" t="s">
        <v>9989</v>
      </c>
      <c r="C2683" t="s">
        <v>9990</v>
      </c>
      <c r="D2683" t="s">
        <v>9991</v>
      </c>
      <c r="E2683" t="s">
        <v>9989</v>
      </c>
      <c r="F2683" t="s">
        <v>28</v>
      </c>
      <c r="G2683" t="s">
        <v>9989</v>
      </c>
      <c r="H2683" t="str">
        <f>"lev-11"</f>
        <v>lev-11</v>
      </c>
      <c r="I2683" t="s">
        <v>9991</v>
      </c>
      <c r="J2683">
        <v>14.481824415055099</v>
      </c>
      <c r="K2683">
        <v>14.3999767166232</v>
      </c>
      <c r="L2683">
        <v>14.5794936762859</v>
      </c>
      <c r="M2683">
        <v>15.106913172320899</v>
      </c>
      <c r="N2683">
        <v>13.863379156337199</v>
      </c>
      <c r="O2683">
        <v>15.8939445004172</v>
      </c>
      <c r="P2683">
        <v>0.46764734037037797</v>
      </c>
      <c r="Q2683">
        <v>-0.889254589548928</v>
      </c>
      <c r="R2683">
        <v>1.8245492702896899</v>
      </c>
      <c r="S2683">
        <v>13.8695074122608</v>
      </c>
      <c r="T2683">
        <v>0.72437344619600397</v>
      </c>
      <c r="U2683">
        <v>-6.7810848245748101</v>
      </c>
      <c r="V2683">
        <v>0.478201034566754</v>
      </c>
      <c r="W2683">
        <v>0.73747211681526803</v>
      </c>
      <c r="X2683">
        <v>0</v>
      </c>
      <c r="Y2683">
        <v>0</v>
      </c>
    </row>
    <row r="2684" spans="1:25" x14ac:dyDescent="0.2">
      <c r="A2684" t="s">
        <v>9992</v>
      </c>
      <c r="B2684" t="s">
        <v>9993</v>
      </c>
      <c r="C2684" t="s">
        <v>9994</v>
      </c>
      <c r="D2684" t="s">
        <v>9995</v>
      </c>
      <c r="E2684" t="s">
        <v>9993</v>
      </c>
      <c r="F2684" t="s">
        <v>28</v>
      </c>
      <c r="G2684" t="s">
        <v>9993</v>
      </c>
      <c r="H2684" t="str">
        <f>"soc-2"</f>
        <v>soc-2</v>
      </c>
      <c r="I2684" t="s">
        <v>9995</v>
      </c>
      <c r="J2684">
        <v>14.228891987264999</v>
      </c>
      <c r="K2684">
        <v>13.766181555562801</v>
      </c>
      <c r="L2684">
        <v>13.8166598806413</v>
      </c>
      <c r="M2684">
        <v>14.8578995923161</v>
      </c>
      <c r="N2684">
        <v>14.5099396042928</v>
      </c>
      <c r="O2684">
        <v>14.679351746723601</v>
      </c>
      <c r="P2684">
        <v>0.74515250662115096</v>
      </c>
      <c r="Q2684">
        <v>0.32934946151557898</v>
      </c>
      <c r="R2684">
        <v>1.16095555172672</v>
      </c>
      <c r="S2684">
        <v>13.846629829600399</v>
      </c>
      <c r="T2684">
        <v>3.7666044428354901</v>
      </c>
      <c r="U2684">
        <v>-1.5916329086226599</v>
      </c>
      <c r="V2684">
        <v>1.4249501243308201E-3</v>
      </c>
      <c r="W2684">
        <v>2.2292248579675399E-2</v>
      </c>
      <c r="X2684">
        <v>0</v>
      </c>
      <c r="Y2684">
        <v>0</v>
      </c>
    </row>
    <row r="2685" spans="1:25" x14ac:dyDescent="0.2">
      <c r="A2685" t="s">
        <v>9996</v>
      </c>
      <c r="B2685" t="s">
        <v>9997</v>
      </c>
      <c r="C2685" t="s">
        <v>9998</v>
      </c>
      <c r="D2685" t="s">
        <v>9999</v>
      </c>
      <c r="E2685" t="s">
        <v>9997</v>
      </c>
      <c r="F2685" t="s">
        <v>28</v>
      </c>
      <c r="G2685" t="s">
        <v>9997</v>
      </c>
      <c r="H2685" t="str">
        <f>"C37C3.2"</f>
        <v>C37C3.2</v>
      </c>
      <c r="I2685" t="s">
        <v>9999</v>
      </c>
      <c r="J2685" t="s">
        <v>29</v>
      </c>
      <c r="K2685" t="s">
        <v>29</v>
      </c>
      <c r="L2685" t="s">
        <v>29</v>
      </c>
      <c r="M2685">
        <v>12.5649104048222</v>
      </c>
      <c r="N2685" t="s">
        <v>29</v>
      </c>
      <c r="O2685">
        <v>11.0414003259251</v>
      </c>
      <c r="P2685" t="s">
        <v>29</v>
      </c>
      <c r="Q2685" t="s">
        <v>29</v>
      </c>
      <c r="R2685" t="s">
        <v>29</v>
      </c>
      <c r="S2685">
        <v>12.075004639967799</v>
      </c>
      <c r="T2685" t="s">
        <v>29</v>
      </c>
      <c r="U2685" t="s">
        <v>29</v>
      </c>
      <c r="V2685" t="s">
        <v>29</v>
      </c>
      <c r="W2685" t="s">
        <v>29</v>
      </c>
      <c r="X2685" t="s">
        <v>29</v>
      </c>
      <c r="Y2685" t="s">
        <v>29</v>
      </c>
    </row>
    <row r="2686" spans="1:25" x14ac:dyDescent="0.2">
      <c r="A2686" t="s">
        <v>10000</v>
      </c>
      <c r="B2686" t="s">
        <v>10001</v>
      </c>
      <c r="C2686" t="s">
        <v>14542</v>
      </c>
      <c r="D2686" t="s">
        <v>10002</v>
      </c>
      <c r="E2686" t="s">
        <v>10001</v>
      </c>
      <c r="F2686" t="s">
        <v>28</v>
      </c>
      <c r="G2686" t="s">
        <v>10001</v>
      </c>
      <c r="H2686" t="str">
        <f>"F08F3.4"</f>
        <v>F08F3.4</v>
      </c>
      <c r="I2686" t="s">
        <v>10002</v>
      </c>
      <c r="J2686">
        <v>13.6282637510571</v>
      </c>
      <c r="K2686">
        <v>13.5720446078673</v>
      </c>
      <c r="L2686">
        <v>14.461059063330501</v>
      </c>
      <c r="M2686">
        <v>13.7367456773661</v>
      </c>
      <c r="N2686">
        <v>14.150955450217699</v>
      </c>
      <c r="O2686">
        <v>13.8283771090081</v>
      </c>
      <c r="P2686">
        <v>1.82369381123344E-2</v>
      </c>
      <c r="Q2686">
        <v>-0.66332601496271104</v>
      </c>
      <c r="R2686">
        <v>0.69979989118737895</v>
      </c>
      <c r="S2686">
        <v>14.119294273528</v>
      </c>
      <c r="T2686">
        <v>5.6480165613774697E-2</v>
      </c>
      <c r="U2686">
        <v>-7.0504095970321696</v>
      </c>
      <c r="V2686">
        <v>0.95562187896052697</v>
      </c>
      <c r="W2686">
        <v>0.97785962079797295</v>
      </c>
      <c r="X2686">
        <v>0</v>
      </c>
      <c r="Y2686">
        <v>0</v>
      </c>
    </row>
    <row r="2687" spans="1:25" x14ac:dyDescent="0.2">
      <c r="A2687" t="s">
        <v>10003</v>
      </c>
      <c r="B2687" t="s">
        <v>10004</v>
      </c>
      <c r="C2687" t="s">
        <v>10005</v>
      </c>
      <c r="D2687" t="s">
        <v>10006</v>
      </c>
      <c r="E2687" t="s">
        <v>10004</v>
      </c>
      <c r="F2687" t="s">
        <v>28</v>
      </c>
      <c r="G2687" t="s">
        <v>10004</v>
      </c>
      <c r="H2687" t="str">
        <f>"acl-6"</f>
        <v>acl-6</v>
      </c>
      <c r="I2687" t="s">
        <v>10006</v>
      </c>
      <c r="J2687">
        <v>13.4054003315192</v>
      </c>
      <c r="K2687">
        <v>13.0160552476326</v>
      </c>
      <c r="L2687">
        <v>12.6062719630518</v>
      </c>
      <c r="M2687">
        <v>13.5307167112333</v>
      </c>
      <c r="N2687">
        <v>12.378624649045699</v>
      </c>
      <c r="O2687">
        <v>12.369981174855001</v>
      </c>
      <c r="P2687">
        <v>-0.249468335689883</v>
      </c>
      <c r="Q2687">
        <v>-0.96045886591881302</v>
      </c>
      <c r="R2687">
        <v>0.46152219453904603</v>
      </c>
      <c r="S2687">
        <v>12.6665726738778</v>
      </c>
      <c r="T2687">
        <v>-0.74421966786404503</v>
      </c>
      <c r="U2687">
        <v>-6.7649061039232503</v>
      </c>
      <c r="V2687">
        <v>0.467604061954845</v>
      </c>
      <c r="W2687">
        <v>0.73153117908080401</v>
      </c>
      <c r="X2687">
        <v>0</v>
      </c>
      <c r="Y2687">
        <v>0</v>
      </c>
    </row>
    <row r="2688" spans="1:25" x14ac:dyDescent="0.2">
      <c r="A2688" t="s">
        <v>10007</v>
      </c>
      <c r="B2688" t="s">
        <v>10008</v>
      </c>
      <c r="C2688" t="s">
        <v>10009</v>
      </c>
      <c r="D2688" t="s">
        <v>10010</v>
      </c>
      <c r="E2688" t="s">
        <v>10008</v>
      </c>
      <c r="F2688" t="s">
        <v>28</v>
      </c>
      <c r="G2688" t="s">
        <v>10008</v>
      </c>
      <c r="H2688" t="str">
        <f>"prp-39"</f>
        <v>prp-39</v>
      </c>
      <c r="I2688" t="s">
        <v>10010</v>
      </c>
      <c r="J2688">
        <v>14.814887286772199</v>
      </c>
      <c r="K2688">
        <v>15.026806501644399</v>
      </c>
      <c r="L2688">
        <v>14.8235043452058</v>
      </c>
      <c r="M2688">
        <v>14.9123489235624</v>
      </c>
      <c r="N2688">
        <v>14.5052209850351</v>
      </c>
      <c r="O2688">
        <v>14.9337626476994</v>
      </c>
      <c r="P2688">
        <v>-0.10462185910848</v>
      </c>
      <c r="Q2688">
        <v>-0.55390129426611001</v>
      </c>
      <c r="R2688">
        <v>0.34465757604914998</v>
      </c>
      <c r="S2688">
        <v>15.097805631930701</v>
      </c>
      <c r="T2688">
        <v>-0.48943881270912998</v>
      </c>
      <c r="U2688">
        <v>-6.9273857503302603</v>
      </c>
      <c r="V2688">
        <v>0.63047652954557298</v>
      </c>
      <c r="W2688">
        <v>0.82954586748111203</v>
      </c>
      <c r="X2688">
        <v>0</v>
      </c>
      <c r="Y2688">
        <v>0</v>
      </c>
    </row>
    <row r="2689" spans="1:25" x14ac:dyDescent="0.2">
      <c r="A2689" t="s">
        <v>10011</v>
      </c>
      <c r="B2689" t="s">
        <v>10012</v>
      </c>
      <c r="C2689" t="s">
        <v>10013</v>
      </c>
      <c r="D2689" t="s">
        <v>10014</v>
      </c>
      <c r="E2689" t="s">
        <v>10012</v>
      </c>
      <c r="F2689" t="s">
        <v>28</v>
      </c>
      <c r="G2689" t="s">
        <v>10012</v>
      </c>
      <c r="H2689" t="str">
        <f>"gcst-1"</f>
        <v>gcst-1</v>
      </c>
      <c r="I2689" t="s">
        <v>10014</v>
      </c>
      <c r="J2689">
        <v>16.758480596040201</v>
      </c>
      <c r="K2689">
        <v>16.7013512208962</v>
      </c>
      <c r="L2689">
        <v>16.6891100044739</v>
      </c>
      <c r="M2689">
        <v>16.541602108968899</v>
      </c>
      <c r="N2689">
        <v>16.830211419333899</v>
      </c>
      <c r="O2689">
        <v>16.520811772395799</v>
      </c>
      <c r="P2689">
        <v>-8.5438840237266306E-2</v>
      </c>
      <c r="Q2689">
        <v>-0.46432228783233698</v>
      </c>
      <c r="R2689">
        <v>0.29344460735780398</v>
      </c>
      <c r="S2689">
        <v>16.3523213142321</v>
      </c>
      <c r="T2689">
        <v>-0.47396058315647499</v>
      </c>
      <c r="U2689">
        <v>-6.9350996488894197</v>
      </c>
      <c r="V2689">
        <v>0.64125940559980299</v>
      </c>
      <c r="W2689">
        <v>0.83600084367858896</v>
      </c>
      <c r="X2689">
        <v>0</v>
      </c>
      <c r="Y2689">
        <v>0</v>
      </c>
    </row>
    <row r="2690" spans="1:25" x14ac:dyDescent="0.2">
      <c r="A2690" t="s">
        <v>10015</v>
      </c>
      <c r="B2690" t="s">
        <v>10016</v>
      </c>
      <c r="C2690" t="s">
        <v>14543</v>
      </c>
      <c r="D2690" t="s">
        <v>412</v>
      </c>
      <c r="E2690" t="s">
        <v>10016</v>
      </c>
      <c r="F2690" t="s">
        <v>28</v>
      </c>
      <c r="G2690" t="s">
        <v>10016</v>
      </c>
      <c r="H2690" t="str">
        <f>"F45F2.10"</f>
        <v>F45F2.10</v>
      </c>
      <c r="I2690" t="s">
        <v>412</v>
      </c>
      <c r="J2690">
        <v>12.459303890614301</v>
      </c>
      <c r="K2690">
        <v>13.220903286123599</v>
      </c>
      <c r="L2690">
        <v>12.1693223398147</v>
      </c>
      <c r="M2690">
        <v>13.2139714893056</v>
      </c>
      <c r="N2690">
        <v>12.6078637262471</v>
      </c>
      <c r="O2690">
        <v>12.931872107150101</v>
      </c>
      <c r="P2690">
        <v>0.30139260205003998</v>
      </c>
      <c r="Q2690">
        <v>-0.37688575000742403</v>
      </c>
      <c r="R2690">
        <v>0.97967095410750304</v>
      </c>
      <c r="S2690">
        <v>12.541713579894401</v>
      </c>
      <c r="T2690">
        <v>0.93793910873780995</v>
      </c>
      <c r="U2690">
        <v>-6.6013316304712504</v>
      </c>
      <c r="V2690">
        <v>0.36149162774134502</v>
      </c>
      <c r="W2690">
        <v>0.63859595910441702</v>
      </c>
      <c r="X2690">
        <v>0</v>
      </c>
      <c r="Y2690">
        <v>0</v>
      </c>
    </row>
    <row r="2691" spans="1:25" x14ac:dyDescent="0.2">
      <c r="A2691" t="s">
        <v>10017</v>
      </c>
      <c r="B2691" t="s">
        <v>10018</v>
      </c>
      <c r="C2691" t="s">
        <v>10019</v>
      </c>
      <c r="D2691" t="s">
        <v>10020</v>
      </c>
      <c r="E2691" t="s">
        <v>10018</v>
      </c>
      <c r="F2691" t="s">
        <v>28</v>
      </c>
      <c r="G2691" t="s">
        <v>10018</v>
      </c>
      <c r="H2691" t="str">
        <f>"sumv-2"</f>
        <v>sumv-2</v>
      </c>
      <c r="I2691" t="s">
        <v>10020</v>
      </c>
      <c r="J2691">
        <v>11.1403517114951</v>
      </c>
      <c r="K2691">
        <v>12.627407030373501</v>
      </c>
      <c r="L2691">
        <v>12.8440301172968</v>
      </c>
      <c r="M2691" t="s">
        <v>29</v>
      </c>
      <c r="N2691">
        <v>10.865031682326901</v>
      </c>
      <c r="O2691" t="s">
        <v>29</v>
      </c>
      <c r="P2691">
        <v>-1.3388979373949299</v>
      </c>
      <c r="Q2691">
        <v>-2.40222658431267</v>
      </c>
      <c r="R2691">
        <v>-0.27556929047718098</v>
      </c>
      <c r="S2691">
        <v>12.582898252855699</v>
      </c>
      <c r="T2691">
        <v>-2.7025382602685899</v>
      </c>
      <c r="U2691">
        <v>-3.6201189264141198</v>
      </c>
      <c r="V2691">
        <v>1.7262092191917201E-2</v>
      </c>
      <c r="W2691">
        <v>0.12427578851774899</v>
      </c>
      <c r="X2691">
        <v>-1</v>
      </c>
      <c r="Y2691">
        <v>0</v>
      </c>
    </row>
    <row r="2692" spans="1:25" x14ac:dyDescent="0.2">
      <c r="A2692" t="s">
        <v>10021</v>
      </c>
      <c r="B2692" t="s">
        <v>10022</v>
      </c>
      <c r="C2692" t="s">
        <v>10023</v>
      </c>
      <c r="D2692" t="s">
        <v>10024</v>
      </c>
      <c r="E2692" t="s">
        <v>10022</v>
      </c>
      <c r="F2692" t="s">
        <v>28</v>
      </c>
      <c r="G2692" t="s">
        <v>10022</v>
      </c>
      <c r="H2692" t="str">
        <f>"pmt-2"</f>
        <v>pmt-2</v>
      </c>
      <c r="I2692" t="s">
        <v>10024</v>
      </c>
      <c r="J2692">
        <v>11.9114440255166</v>
      </c>
      <c r="K2692">
        <v>12.139434846171101</v>
      </c>
      <c r="L2692">
        <v>12.773812559739</v>
      </c>
      <c r="M2692">
        <v>14.4414323530088</v>
      </c>
      <c r="N2692">
        <v>14.4723355240085</v>
      </c>
      <c r="O2692">
        <v>15.269492349619799</v>
      </c>
      <c r="P2692">
        <v>2.4528562650701402</v>
      </c>
      <c r="Q2692">
        <v>1.8842014567562799</v>
      </c>
      <c r="R2692">
        <v>3.0215110733839898</v>
      </c>
      <c r="S2692">
        <v>13.6643153541856</v>
      </c>
      <c r="T2692">
        <v>9.0660038085063892</v>
      </c>
      <c r="U2692">
        <v>8.8986269845031103</v>
      </c>
      <c r="V2692" s="2">
        <v>4.1500176539185199E-8</v>
      </c>
      <c r="W2692" s="2">
        <v>5.0426329092297497E-6</v>
      </c>
      <c r="X2692">
        <v>1</v>
      </c>
      <c r="Y2692">
        <v>1</v>
      </c>
    </row>
    <row r="2693" spans="1:25" x14ac:dyDescent="0.2">
      <c r="A2693" t="s">
        <v>10025</v>
      </c>
      <c r="B2693" t="s">
        <v>10026</v>
      </c>
      <c r="C2693" t="s">
        <v>14544</v>
      </c>
      <c r="D2693" t="s">
        <v>10027</v>
      </c>
      <c r="E2693" t="s">
        <v>10026</v>
      </c>
      <c r="F2693" t="s">
        <v>28</v>
      </c>
      <c r="G2693" t="s">
        <v>10026</v>
      </c>
      <c r="H2693" t="str">
        <f>"R09F10.1"</f>
        <v>R09F10.1</v>
      </c>
      <c r="I2693" t="s">
        <v>10027</v>
      </c>
      <c r="J2693">
        <v>19.626252781925299</v>
      </c>
      <c r="K2693">
        <v>20.177354087717699</v>
      </c>
      <c r="L2693">
        <v>19.333070317635698</v>
      </c>
      <c r="M2693">
        <v>19.407782574949099</v>
      </c>
      <c r="N2693">
        <v>18.981519411271002</v>
      </c>
      <c r="O2693">
        <v>18.890086206172899</v>
      </c>
      <c r="P2693">
        <v>-0.61909633162854805</v>
      </c>
      <c r="Q2693">
        <v>-1.58180701756459</v>
      </c>
      <c r="R2693">
        <v>0.34361435430749199</v>
      </c>
      <c r="S2693">
        <v>18.951419210917699</v>
      </c>
      <c r="T2693">
        <v>-1.3516210642081601</v>
      </c>
      <c r="U2693">
        <v>-6.1408004833989303</v>
      </c>
      <c r="V2693">
        <v>0.19333597494718699</v>
      </c>
      <c r="W2693">
        <v>0.45555051591466</v>
      </c>
      <c r="X2693">
        <v>0</v>
      </c>
      <c r="Y2693">
        <v>0</v>
      </c>
    </row>
    <row r="2694" spans="1:25" x14ac:dyDescent="0.2">
      <c r="A2694" t="s">
        <v>10028</v>
      </c>
      <c r="B2694" t="s">
        <v>10029</v>
      </c>
      <c r="C2694" t="s">
        <v>14545</v>
      </c>
      <c r="D2694" t="s">
        <v>3264</v>
      </c>
      <c r="E2694" t="s">
        <v>10029</v>
      </c>
      <c r="F2694" t="s">
        <v>28</v>
      </c>
      <c r="G2694" t="s">
        <v>10029</v>
      </c>
      <c r="H2694" t="str">
        <f>"T22B7.7"</f>
        <v>T22B7.7</v>
      </c>
      <c r="I2694" t="s">
        <v>3264</v>
      </c>
      <c r="J2694">
        <v>14.77006546664</v>
      </c>
      <c r="K2694">
        <v>14.208393281599699</v>
      </c>
      <c r="L2694">
        <v>14.985446092831801</v>
      </c>
      <c r="M2694">
        <v>14.7742345593109</v>
      </c>
      <c r="N2694">
        <v>15.2324952854564</v>
      </c>
      <c r="O2694">
        <v>14.436601855844501</v>
      </c>
      <c r="P2694">
        <v>0.15980895318012001</v>
      </c>
      <c r="Q2694">
        <v>-1.62091222505762</v>
      </c>
      <c r="R2694">
        <v>1.94053013141785</v>
      </c>
      <c r="S2694">
        <v>15.361843161924901</v>
      </c>
      <c r="T2694">
        <v>0.188624323858468</v>
      </c>
      <c r="U2694">
        <v>-7.0334593559817602</v>
      </c>
      <c r="V2694">
        <v>0.85250990294001805</v>
      </c>
      <c r="W2694">
        <v>0.94163856896361797</v>
      </c>
      <c r="X2694">
        <v>0</v>
      </c>
      <c r="Y2694">
        <v>0</v>
      </c>
    </row>
    <row r="2695" spans="1:25" x14ac:dyDescent="0.2">
      <c r="A2695" t="s">
        <v>10030</v>
      </c>
      <c r="B2695" t="s">
        <v>10031</v>
      </c>
      <c r="C2695" t="s">
        <v>10032</v>
      </c>
      <c r="D2695" t="s">
        <v>10033</v>
      </c>
      <c r="E2695" t="s">
        <v>10031</v>
      </c>
      <c r="F2695" t="s">
        <v>28</v>
      </c>
      <c r="G2695" t="s">
        <v>10031</v>
      </c>
      <c r="H2695" t="str">
        <f>"clik-1"</f>
        <v>clik-1</v>
      </c>
      <c r="I2695" t="s">
        <v>10033</v>
      </c>
      <c r="J2695">
        <v>12.287861907198799</v>
      </c>
      <c r="K2695">
        <v>11.872392554495001</v>
      </c>
      <c r="L2695">
        <v>12.507546479747001</v>
      </c>
      <c r="M2695">
        <v>13.247266578194999</v>
      </c>
      <c r="N2695">
        <v>11.711719134096899</v>
      </c>
      <c r="O2695">
        <v>12.9931119315443</v>
      </c>
      <c r="P2695">
        <v>0.42809890079843199</v>
      </c>
      <c r="Q2695">
        <v>-0.33799662084749199</v>
      </c>
      <c r="R2695">
        <v>1.1941944224443599</v>
      </c>
      <c r="S2695">
        <v>12.3805676872809</v>
      </c>
      <c r="T2695">
        <v>1.1852520603652701</v>
      </c>
      <c r="U2695">
        <v>-6.3421347610944601</v>
      </c>
      <c r="V2695">
        <v>0.25333603516582698</v>
      </c>
      <c r="W2695">
        <v>0.52843298617282097</v>
      </c>
      <c r="X2695">
        <v>0</v>
      </c>
      <c r="Y2695">
        <v>0</v>
      </c>
    </row>
    <row r="2696" spans="1:25" x14ac:dyDescent="0.2">
      <c r="A2696" t="s">
        <v>10034</v>
      </c>
      <c r="B2696" t="s">
        <v>10035</v>
      </c>
      <c r="C2696" t="s">
        <v>10036</v>
      </c>
      <c r="D2696" t="s">
        <v>312</v>
      </c>
      <c r="E2696" t="s">
        <v>10035</v>
      </c>
      <c r="F2696" t="s">
        <v>28</v>
      </c>
      <c r="G2696" t="s">
        <v>10035</v>
      </c>
      <c r="H2696" t="str">
        <f>"acl-9"</f>
        <v>acl-9</v>
      </c>
      <c r="I2696" t="s">
        <v>312</v>
      </c>
      <c r="J2696">
        <v>13.7309938336595</v>
      </c>
      <c r="K2696">
        <v>13.71103890741</v>
      </c>
      <c r="L2696">
        <v>13.6498210678298</v>
      </c>
      <c r="M2696">
        <v>13.6123101969856</v>
      </c>
      <c r="N2696">
        <v>13.6153973150489</v>
      </c>
      <c r="O2696">
        <v>13.1413742709593</v>
      </c>
      <c r="P2696">
        <v>-0.24092400863513699</v>
      </c>
      <c r="Q2696">
        <v>-0.72188496799333202</v>
      </c>
      <c r="R2696">
        <v>0.240036950723059</v>
      </c>
      <c r="S2696">
        <v>14.0521635733877</v>
      </c>
      <c r="T2696">
        <v>-1.05735364940893</v>
      </c>
      <c r="U2696">
        <v>-6.4831150602450096</v>
      </c>
      <c r="V2696">
        <v>0.30523512068978897</v>
      </c>
      <c r="W2696">
        <v>0.58459981325754795</v>
      </c>
      <c r="X2696">
        <v>0</v>
      </c>
      <c r="Y2696">
        <v>0</v>
      </c>
    </row>
    <row r="2697" spans="1:25" x14ac:dyDescent="0.2">
      <c r="A2697" t="s">
        <v>10037</v>
      </c>
      <c r="B2697" t="s">
        <v>10038</v>
      </c>
      <c r="C2697" t="s">
        <v>10039</v>
      </c>
      <c r="D2697" t="s">
        <v>158</v>
      </c>
      <c r="E2697" t="s">
        <v>10038</v>
      </c>
      <c r="F2697" t="s">
        <v>28</v>
      </c>
      <c r="G2697" t="s">
        <v>10038</v>
      </c>
      <c r="H2697" t="str">
        <f>"xpo-1"</f>
        <v>xpo-1</v>
      </c>
      <c r="I2697" t="s">
        <v>158</v>
      </c>
      <c r="J2697">
        <v>15.530336239844299</v>
      </c>
      <c r="K2697">
        <v>15.523408840658099</v>
      </c>
      <c r="L2697">
        <v>15.2545169776087</v>
      </c>
      <c r="M2697">
        <v>15.2937960861113</v>
      </c>
      <c r="N2697">
        <v>15.8584602197006</v>
      </c>
      <c r="O2697">
        <v>15.4293954959935</v>
      </c>
      <c r="P2697">
        <v>9.1129914564756803E-2</v>
      </c>
      <c r="Q2697">
        <v>-0.39394142406919103</v>
      </c>
      <c r="R2697">
        <v>0.57620125319870397</v>
      </c>
      <c r="S2697">
        <v>15.454944269517901</v>
      </c>
      <c r="T2697">
        <v>0.39486429218638203</v>
      </c>
      <c r="U2697">
        <v>-6.9707320911763402</v>
      </c>
      <c r="V2697">
        <v>0.697609863289538</v>
      </c>
      <c r="W2697">
        <v>0.865842761453545</v>
      </c>
      <c r="X2697">
        <v>0</v>
      </c>
      <c r="Y2697">
        <v>0</v>
      </c>
    </row>
    <row r="2698" spans="1:25" x14ac:dyDescent="0.2">
      <c r="A2698" t="s">
        <v>10040</v>
      </c>
      <c r="B2698" t="s">
        <v>10041</v>
      </c>
      <c r="C2698" t="s">
        <v>14546</v>
      </c>
      <c r="D2698" t="s">
        <v>10042</v>
      </c>
      <c r="E2698" t="s">
        <v>10041</v>
      </c>
      <c r="F2698" t="s">
        <v>28</v>
      </c>
      <c r="G2698" t="s">
        <v>10041</v>
      </c>
      <c r="H2698" t="str">
        <f>"ZK742.3"</f>
        <v>ZK742.3</v>
      </c>
      <c r="I2698" t="s">
        <v>10042</v>
      </c>
      <c r="J2698" t="s">
        <v>29</v>
      </c>
      <c r="K2698">
        <v>12.548426421259199</v>
      </c>
      <c r="L2698">
        <v>13.004267998369601</v>
      </c>
      <c r="M2698">
        <v>12.1684307949036</v>
      </c>
      <c r="N2698" t="s">
        <v>29</v>
      </c>
      <c r="O2698">
        <v>12.126563614943001</v>
      </c>
      <c r="P2698">
        <v>-0.62885000489107201</v>
      </c>
      <c r="Q2698">
        <v>-1.51805087860467</v>
      </c>
      <c r="R2698">
        <v>0.26035086882252501</v>
      </c>
      <c r="S2698">
        <v>12.3659175575389</v>
      </c>
      <c r="T2698">
        <v>-1.5290948735985099</v>
      </c>
      <c r="U2698">
        <v>-5.70731471571598</v>
      </c>
      <c r="V2698">
        <v>0.15039446205861901</v>
      </c>
      <c r="W2698">
        <v>0.402122908413103</v>
      </c>
      <c r="X2698">
        <v>0</v>
      </c>
      <c r="Y2698">
        <v>0</v>
      </c>
    </row>
    <row r="2699" spans="1:25" x14ac:dyDescent="0.2">
      <c r="A2699" t="s">
        <v>10043</v>
      </c>
      <c r="B2699" t="s">
        <v>10044</v>
      </c>
      <c r="C2699" t="s">
        <v>14547</v>
      </c>
      <c r="D2699" t="s">
        <v>10042</v>
      </c>
      <c r="E2699" t="s">
        <v>10044</v>
      </c>
      <c r="F2699" t="s">
        <v>28</v>
      </c>
      <c r="G2699" t="s">
        <v>10044</v>
      </c>
      <c r="H2699" t="str">
        <f>"ZK742.4"</f>
        <v>ZK742.4</v>
      </c>
      <c r="I2699" t="s">
        <v>10042</v>
      </c>
      <c r="J2699">
        <v>12.746211592708001</v>
      </c>
      <c r="K2699">
        <v>12.549037479938301</v>
      </c>
      <c r="L2699">
        <v>11.4981920496638</v>
      </c>
      <c r="M2699">
        <v>12.141906791936201</v>
      </c>
      <c r="N2699">
        <v>12.236393461391399</v>
      </c>
      <c r="O2699" t="s">
        <v>29</v>
      </c>
      <c r="P2699">
        <v>-7.5330247439561404E-2</v>
      </c>
      <c r="Q2699">
        <v>-0.85455263495930001</v>
      </c>
      <c r="R2699">
        <v>0.70389214008017698</v>
      </c>
      <c r="S2699">
        <v>12.1248339386166</v>
      </c>
      <c r="T2699">
        <v>-0.215712276837941</v>
      </c>
      <c r="U2699">
        <v>-6.9161093728092604</v>
      </c>
      <c r="V2699">
        <v>0.83359352133408704</v>
      </c>
      <c r="W2699">
        <v>0.93213516096945703</v>
      </c>
      <c r="X2699">
        <v>0</v>
      </c>
      <c r="Y2699">
        <v>0</v>
      </c>
    </row>
    <row r="2700" spans="1:25" x14ac:dyDescent="0.2">
      <c r="A2700" t="s">
        <v>10045</v>
      </c>
      <c r="B2700" t="s">
        <v>10046</v>
      </c>
      <c r="C2700" t="s">
        <v>10047</v>
      </c>
      <c r="D2700" t="s">
        <v>10048</v>
      </c>
      <c r="E2700" t="s">
        <v>10046</v>
      </c>
      <c r="F2700" t="s">
        <v>28</v>
      </c>
      <c r="G2700" t="s">
        <v>10046</v>
      </c>
      <c r="H2700" t="str">
        <f>"tofu-5"</f>
        <v>tofu-5</v>
      </c>
      <c r="I2700" t="s">
        <v>10048</v>
      </c>
      <c r="J2700" t="s">
        <v>29</v>
      </c>
      <c r="K2700" t="s">
        <v>29</v>
      </c>
      <c r="L2700" t="s">
        <v>29</v>
      </c>
      <c r="M2700" t="s">
        <v>29</v>
      </c>
      <c r="N2700" t="s">
        <v>29</v>
      </c>
      <c r="O2700" t="s">
        <v>29</v>
      </c>
      <c r="P2700" t="s">
        <v>29</v>
      </c>
      <c r="Q2700" t="s">
        <v>29</v>
      </c>
      <c r="R2700" t="s">
        <v>29</v>
      </c>
      <c r="S2700">
        <v>11.3896191804526</v>
      </c>
      <c r="T2700" t="s">
        <v>29</v>
      </c>
      <c r="U2700" t="s">
        <v>29</v>
      </c>
      <c r="V2700" t="s">
        <v>29</v>
      </c>
      <c r="W2700" t="s">
        <v>29</v>
      </c>
      <c r="X2700" t="s">
        <v>29</v>
      </c>
      <c r="Y2700" t="s">
        <v>29</v>
      </c>
    </row>
    <row r="2701" spans="1:25" x14ac:dyDescent="0.2">
      <c r="A2701" t="s">
        <v>10049</v>
      </c>
      <c r="B2701" t="s">
        <v>10050</v>
      </c>
      <c r="C2701" t="s">
        <v>10051</v>
      </c>
      <c r="D2701" t="s">
        <v>10052</v>
      </c>
      <c r="E2701" t="s">
        <v>10050</v>
      </c>
      <c r="F2701" t="s">
        <v>28</v>
      </c>
      <c r="G2701" t="s">
        <v>10050</v>
      </c>
      <c r="H2701" t="str">
        <f>"rsp-2"</f>
        <v>rsp-2</v>
      </c>
      <c r="I2701" t="s">
        <v>10052</v>
      </c>
      <c r="J2701">
        <v>15.689498331400801</v>
      </c>
      <c r="K2701">
        <v>15.3436290634905</v>
      </c>
      <c r="L2701">
        <v>15.629326170269399</v>
      </c>
      <c r="M2701">
        <v>15.5698494663921</v>
      </c>
      <c r="N2701">
        <v>15.739540053660001</v>
      </c>
      <c r="O2701">
        <v>15.9329687354748</v>
      </c>
      <c r="P2701">
        <v>0.193301563455373</v>
      </c>
      <c r="Q2701">
        <v>-0.30496684071131003</v>
      </c>
      <c r="R2701">
        <v>0.69156996762205603</v>
      </c>
      <c r="S2701">
        <v>15.7149698267249</v>
      </c>
      <c r="T2701">
        <v>0.81538840417903202</v>
      </c>
      <c r="U2701">
        <v>-6.7100213646316602</v>
      </c>
      <c r="V2701">
        <v>0.42557008799756602</v>
      </c>
      <c r="W2701">
        <v>0.69633750496314994</v>
      </c>
      <c r="X2701">
        <v>0</v>
      </c>
      <c r="Y2701">
        <v>0</v>
      </c>
    </row>
    <row r="2702" spans="1:25" x14ac:dyDescent="0.2">
      <c r="A2702" t="s">
        <v>10053</v>
      </c>
      <c r="B2702" t="s">
        <v>10054</v>
      </c>
      <c r="C2702" t="s">
        <v>10055</v>
      </c>
      <c r="D2702" t="s">
        <v>10056</v>
      </c>
      <c r="E2702" t="s">
        <v>10054</v>
      </c>
      <c r="F2702" t="s">
        <v>28</v>
      </c>
      <c r="G2702" t="s">
        <v>10054</v>
      </c>
      <c r="H2702" t="str">
        <f>"rsp-1"</f>
        <v>rsp-1</v>
      </c>
      <c r="I2702" t="s">
        <v>10056</v>
      </c>
      <c r="J2702">
        <v>12.018144898279401</v>
      </c>
      <c r="K2702">
        <v>12.3567437822255</v>
      </c>
      <c r="L2702">
        <v>12.066877319384201</v>
      </c>
      <c r="M2702">
        <v>11.974611621378999</v>
      </c>
      <c r="N2702">
        <v>12.0807741119967</v>
      </c>
      <c r="O2702">
        <v>13.131714399246601</v>
      </c>
      <c r="P2702">
        <v>0.24844471091110301</v>
      </c>
      <c r="Q2702">
        <v>-0.77347497567868495</v>
      </c>
      <c r="R2702">
        <v>1.27036439750089</v>
      </c>
      <c r="S2702">
        <v>12.853451061473301</v>
      </c>
      <c r="T2702">
        <v>0.51565890228093103</v>
      </c>
      <c r="U2702">
        <v>-6.9129767327832496</v>
      </c>
      <c r="V2702">
        <v>0.61319040495192201</v>
      </c>
      <c r="W2702">
        <v>0.81741973687568803</v>
      </c>
      <c r="X2702">
        <v>0</v>
      </c>
      <c r="Y2702">
        <v>0</v>
      </c>
    </row>
    <row r="2703" spans="1:25" x14ac:dyDescent="0.2">
      <c r="A2703" t="s">
        <v>10057</v>
      </c>
      <c r="B2703" t="s">
        <v>10058</v>
      </c>
      <c r="C2703" t="s">
        <v>10059</v>
      </c>
      <c r="D2703" t="s">
        <v>10060</v>
      </c>
      <c r="E2703" t="s">
        <v>10058</v>
      </c>
      <c r="F2703" t="s">
        <v>28</v>
      </c>
      <c r="G2703" t="s">
        <v>10058</v>
      </c>
      <c r="H2703" t="str">
        <f>"mfn-1"</f>
        <v>mfn-1</v>
      </c>
      <c r="I2703" t="s">
        <v>10060</v>
      </c>
      <c r="J2703">
        <v>12.7016250537134</v>
      </c>
      <c r="K2703">
        <v>12.501031732775701</v>
      </c>
      <c r="L2703">
        <v>12.903562971980801</v>
      </c>
      <c r="M2703">
        <v>12.1111906180464</v>
      </c>
      <c r="N2703">
        <v>13.0904447209137</v>
      </c>
      <c r="O2703">
        <v>12.7311162452323</v>
      </c>
      <c r="P2703">
        <v>-5.7822724759137897E-2</v>
      </c>
      <c r="Q2703">
        <v>-0.55318333206672898</v>
      </c>
      <c r="R2703">
        <v>0.43753788254845299</v>
      </c>
      <c r="S2703">
        <v>12.751431075775599</v>
      </c>
      <c r="T2703">
        <v>-0.24758630340007301</v>
      </c>
      <c r="U2703">
        <v>-7.0198106036900096</v>
      </c>
      <c r="V2703">
        <v>0.80762429463544805</v>
      </c>
      <c r="W2703">
        <v>0.91833642628581302</v>
      </c>
      <c r="X2703">
        <v>0</v>
      </c>
      <c r="Y2703">
        <v>0</v>
      </c>
    </row>
    <row r="2704" spans="1:25" x14ac:dyDescent="0.2">
      <c r="A2704" t="s">
        <v>10061</v>
      </c>
      <c r="B2704" t="s">
        <v>10062</v>
      </c>
      <c r="C2704" t="s">
        <v>10063</v>
      </c>
      <c r="D2704" t="s">
        <v>10064</v>
      </c>
      <c r="E2704" t="s">
        <v>10062</v>
      </c>
      <c r="F2704" t="s">
        <v>28</v>
      </c>
      <c r="G2704" t="s">
        <v>10062</v>
      </c>
      <c r="H2704" t="str">
        <f>"metl-1"</f>
        <v>metl-1</v>
      </c>
      <c r="I2704" t="s">
        <v>10064</v>
      </c>
      <c r="J2704" t="s">
        <v>29</v>
      </c>
      <c r="K2704" t="s">
        <v>29</v>
      </c>
      <c r="L2704" t="s">
        <v>29</v>
      </c>
      <c r="M2704" t="s">
        <v>29</v>
      </c>
      <c r="N2704" t="s">
        <v>29</v>
      </c>
      <c r="O2704" t="s">
        <v>29</v>
      </c>
      <c r="P2704" t="s">
        <v>29</v>
      </c>
      <c r="Q2704" t="s">
        <v>29</v>
      </c>
      <c r="R2704" t="s">
        <v>29</v>
      </c>
      <c r="S2704">
        <v>10.8824416291692</v>
      </c>
      <c r="T2704" t="s">
        <v>29</v>
      </c>
      <c r="U2704" t="s">
        <v>29</v>
      </c>
      <c r="V2704" t="s">
        <v>29</v>
      </c>
      <c r="W2704" t="s">
        <v>29</v>
      </c>
      <c r="X2704" t="s">
        <v>29</v>
      </c>
      <c r="Y2704" t="s">
        <v>29</v>
      </c>
    </row>
    <row r="2705" spans="1:25" x14ac:dyDescent="0.2">
      <c r="A2705" t="s">
        <v>10065</v>
      </c>
      <c r="B2705" t="s">
        <v>10066</v>
      </c>
      <c r="C2705" t="s">
        <v>14548</v>
      </c>
      <c r="D2705" t="s">
        <v>368</v>
      </c>
      <c r="E2705" t="s">
        <v>10066</v>
      </c>
      <c r="F2705" t="s">
        <v>28</v>
      </c>
      <c r="G2705" t="s">
        <v>10066</v>
      </c>
      <c r="H2705" t="str">
        <f>"W03C9.2"</f>
        <v>W03C9.2</v>
      </c>
      <c r="I2705" t="s">
        <v>368</v>
      </c>
      <c r="J2705" t="s">
        <v>29</v>
      </c>
      <c r="K2705" t="s">
        <v>29</v>
      </c>
      <c r="L2705" t="s">
        <v>29</v>
      </c>
      <c r="M2705" t="s">
        <v>29</v>
      </c>
      <c r="N2705" t="s">
        <v>29</v>
      </c>
      <c r="O2705" t="s">
        <v>29</v>
      </c>
      <c r="P2705" t="s">
        <v>29</v>
      </c>
      <c r="Q2705" t="s">
        <v>29</v>
      </c>
      <c r="R2705" t="s">
        <v>29</v>
      </c>
      <c r="S2705">
        <v>12.426038176705999</v>
      </c>
      <c r="T2705" t="s">
        <v>29</v>
      </c>
      <c r="U2705" t="s">
        <v>29</v>
      </c>
      <c r="V2705" t="s">
        <v>29</v>
      </c>
      <c r="W2705" t="s">
        <v>29</v>
      </c>
      <c r="X2705" t="s">
        <v>29</v>
      </c>
      <c r="Y2705" t="s">
        <v>29</v>
      </c>
    </row>
    <row r="2706" spans="1:25" x14ac:dyDescent="0.2">
      <c r="A2706" t="s">
        <v>10067</v>
      </c>
      <c r="B2706" t="s">
        <v>10068</v>
      </c>
      <c r="C2706" t="s">
        <v>10069</v>
      </c>
      <c r="D2706" t="s">
        <v>10070</v>
      </c>
      <c r="E2706" t="s">
        <v>10068</v>
      </c>
      <c r="F2706" t="s">
        <v>28</v>
      </c>
      <c r="G2706" t="s">
        <v>10068</v>
      </c>
      <c r="H2706" t="str">
        <f>"rab-7"</f>
        <v>rab-7</v>
      </c>
      <c r="I2706" t="s">
        <v>10070</v>
      </c>
      <c r="J2706">
        <v>16.829204830999199</v>
      </c>
      <c r="K2706">
        <v>16.786635674786002</v>
      </c>
      <c r="L2706">
        <v>16.564677607494399</v>
      </c>
      <c r="M2706">
        <v>16.8746862089546</v>
      </c>
      <c r="N2706">
        <v>16.537165049200901</v>
      </c>
      <c r="O2706">
        <v>16.378075413945002</v>
      </c>
      <c r="P2706">
        <v>-0.13019714705966801</v>
      </c>
      <c r="Q2706">
        <v>-0.60628809943413398</v>
      </c>
      <c r="R2706">
        <v>0.34589380531479702</v>
      </c>
      <c r="S2706">
        <v>16.295905851084999</v>
      </c>
      <c r="T2706">
        <v>-0.57478318264635697</v>
      </c>
      <c r="U2706">
        <v>-6.8805389375084802</v>
      </c>
      <c r="V2706">
        <v>0.57259401854698</v>
      </c>
      <c r="W2706">
        <v>0.79353532212601097</v>
      </c>
      <c r="X2706">
        <v>0</v>
      </c>
      <c r="Y2706">
        <v>0</v>
      </c>
    </row>
    <row r="2707" spans="1:25" x14ac:dyDescent="0.2">
      <c r="A2707" t="s">
        <v>10071</v>
      </c>
      <c r="B2707" t="s">
        <v>10072</v>
      </c>
      <c r="C2707" t="s">
        <v>10073</v>
      </c>
      <c r="D2707" t="s">
        <v>10074</v>
      </c>
      <c r="E2707" t="s">
        <v>10072</v>
      </c>
      <c r="F2707" t="s">
        <v>28</v>
      </c>
      <c r="G2707" t="s">
        <v>10072</v>
      </c>
      <c r="H2707" t="str">
        <f>"mrps-11"</f>
        <v>mrps-11</v>
      </c>
      <c r="I2707" t="s">
        <v>10074</v>
      </c>
      <c r="J2707">
        <v>14.360673508082</v>
      </c>
      <c r="K2707">
        <v>14.499940461733299</v>
      </c>
      <c r="L2707">
        <v>14.5283679401558</v>
      </c>
      <c r="M2707">
        <v>14.482128092373101</v>
      </c>
      <c r="N2707">
        <v>14.4864406495577</v>
      </c>
      <c r="O2707">
        <v>14.036464552191999</v>
      </c>
      <c r="P2707">
        <v>-0.127982871949401</v>
      </c>
      <c r="Q2707">
        <v>-0.68343762168497202</v>
      </c>
      <c r="R2707">
        <v>0.42747187778617102</v>
      </c>
      <c r="S2707">
        <v>14.233878006562099</v>
      </c>
      <c r="T2707">
        <v>-0.48427904788956</v>
      </c>
      <c r="U2707">
        <v>-6.9299840544558897</v>
      </c>
      <c r="V2707">
        <v>0.63406174515729397</v>
      </c>
      <c r="W2707">
        <v>0.83161504181452395</v>
      </c>
      <c r="X2707">
        <v>0</v>
      </c>
      <c r="Y2707">
        <v>0</v>
      </c>
    </row>
    <row r="2708" spans="1:25" x14ac:dyDescent="0.2">
      <c r="A2708" t="s">
        <v>10075</v>
      </c>
      <c r="B2708" t="s">
        <v>10076</v>
      </c>
      <c r="C2708" t="s">
        <v>10077</v>
      </c>
      <c r="D2708" t="s">
        <v>10078</v>
      </c>
      <c r="E2708" t="s">
        <v>10076</v>
      </c>
      <c r="F2708" t="s">
        <v>28</v>
      </c>
      <c r="G2708" t="s">
        <v>10076</v>
      </c>
      <c r="H2708" t="str">
        <f>"atn-1"</f>
        <v>atn-1</v>
      </c>
      <c r="I2708" t="s">
        <v>10078</v>
      </c>
      <c r="J2708">
        <v>11.994434392462599</v>
      </c>
      <c r="K2708">
        <v>12.5645498562592</v>
      </c>
      <c r="L2708">
        <v>12.8021193848235</v>
      </c>
      <c r="M2708">
        <v>13.027262752721899</v>
      </c>
      <c r="N2708">
        <v>12.299617023351701</v>
      </c>
      <c r="O2708">
        <v>13.340347127527799</v>
      </c>
      <c r="P2708">
        <v>0.43537442335201798</v>
      </c>
      <c r="Q2708">
        <v>-0.503748445458302</v>
      </c>
      <c r="R2708">
        <v>1.37449729216234</v>
      </c>
      <c r="S2708">
        <v>12.9063868342538</v>
      </c>
      <c r="T2708">
        <v>0.97439042828842204</v>
      </c>
      <c r="U2708">
        <v>-6.5673650447819298</v>
      </c>
      <c r="V2708">
        <v>0.342851201182298</v>
      </c>
      <c r="W2708">
        <v>0.622775875738662</v>
      </c>
      <c r="X2708">
        <v>0</v>
      </c>
      <c r="Y2708">
        <v>0</v>
      </c>
    </row>
    <row r="2709" spans="1:25" x14ac:dyDescent="0.2">
      <c r="A2709" t="s">
        <v>10079</v>
      </c>
      <c r="B2709" t="s">
        <v>10080</v>
      </c>
      <c r="C2709" t="s">
        <v>14549</v>
      </c>
      <c r="D2709" t="s">
        <v>130</v>
      </c>
      <c r="E2709" t="s">
        <v>10080</v>
      </c>
      <c r="F2709" t="s">
        <v>28</v>
      </c>
      <c r="G2709" t="s">
        <v>10080</v>
      </c>
      <c r="H2709" t="str">
        <f>"W04D2.4"</f>
        <v>W04D2.4</v>
      </c>
      <c r="I2709" t="s">
        <v>130</v>
      </c>
      <c r="J2709">
        <v>11.7264072121352</v>
      </c>
      <c r="K2709" t="s">
        <v>29</v>
      </c>
      <c r="L2709">
        <v>10.500686400114301</v>
      </c>
      <c r="M2709">
        <v>12.356056306669799</v>
      </c>
      <c r="N2709">
        <v>11.8997605600853</v>
      </c>
      <c r="O2709" t="s">
        <v>29</v>
      </c>
      <c r="P2709">
        <v>1.0143616272528</v>
      </c>
      <c r="Q2709">
        <v>0.19567389064417101</v>
      </c>
      <c r="R2709">
        <v>1.83304936386143</v>
      </c>
      <c r="S2709">
        <v>12.1193238302801</v>
      </c>
      <c r="T2709">
        <v>2.6789325009842502</v>
      </c>
      <c r="U2709">
        <v>-3.8194299444645599</v>
      </c>
      <c r="V2709">
        <v>1.9049394393172801E-2</v>
      </c>
      <c r="W2709">
        <v>0.13446145196395701</v>
      </c>
      <c r="X2709">
        <v>1</v>
      </c>
      <c r="Y2709">
        <v>0</v>
      </c>
    </row>
    <row r="2710" spans="1:25" x14ac:dyDescent="0.2">
      <c r="A2710" t="s">
        <v>10081</v>
      </c>
      <c r="B2710" t="s">
        <v>10082</v>
      </c>
      <c r="C2710" t="s">
        <v>10083</v>
      </c>
      <c r="D2710" t="s">
        <v>10084</v>
      </c>
      <c r="E2710" t="s">
        <v>10082</v>
      </c>
      <c r="F2710" t="s">
        <v>28</v>
      </c>
      <c r="G2710" t="s">
        <v>10082</v>
      </c>
      <c r="H2710" t="str">
        <f>"lpr-4"</f>
        <v>lpr-4</v>
      </c>
      <c r="I2710" t="s">
        <v>10084</v>
      </c>
      <c r="J2710">
        <v>14.021900658774801</v>
      </c>
      <c r="K2710">
        <v>10.374728907359501</v>
      </c>
      <c r="L2710">
        <v>12.864229351504401</v>
      </c>
      <c r="M2710">
        <v>12.2862131427524</v>
      </c>
      <c r="N2710" t="s">
        <v>29</v>
      </c>
      <c r="O2710" t="s">
        <v>29</v>
      </c>
      <c r="P2710">
        <v>-0.13407316312713899</v>
      </c>
      <c r="Q2710">
        <v>-2.4552048220149501</v>
      </c>
      <c r="R2710">
        <v>2.1870584957606698</v>
      </c>
      <c r="S2710">
        <v>12.7719237777366</v>
      </c>
      <c r="T2710">
        <v>-0.12597579071332399</v>
      </c>
      <c r="U2710">
        <v>-6.7007003304693402</v>
      </c>
      <c r="V2710">
        <v>0.90185530019577798</v>
      </c>
      <c r="W2710">
        <v>0.96643632699099002</v>
      </c>
      <c r="X2710">
        <v>0</v>
      </c>
      <c r="Y2710">
        <v>0</v>
      </c>
    </row>
    <row r="2711" spans="1:25" x14ac:dyDescent="0.2">
      <c r="A2711" t="s">
        <v>10085</v>
      </c>
      <c r="B2711" t="s">
        <v>10086</v>
      </c>
      <c r="C2711" t="s">
        <v>14550</v>
      </c>
      <c r="D2711" t="s">
        <v>10087</v>
      </c>
      <c r="E2711" t="s">
        <v>10086</v>
      </c>
      <c r="F2711" t="s">
        <v>28</v>
      </c>
      <c r="G2711" t="s">
        <v>10086</v>
      </c>
      <c r="H2711" t="str">
        <f>"W04G3.5"</f>
        <v>W04G3.5</v>
      </c>
      <c r="I2711" t="s">
        <v>10087</v>
      </c>
      <c r="J2711">
        <v>13.574914293940999</v>
      </c>
      <c r="K2711">
        <v>13.267246230264799</v>
      </c>
      <c r="L2711">
        <v>13.652754370663899</v>
      </c>
      <c r="M2711">
        <v>13.6801578004251</v>
      </c>
      <c r="N2711">
        <v>13.508771812571799</v>
      </c>
      <c r="O2711">
        <v>13.286239648958899</v>
      </c>
      <c r="P2711">
        <v>-6.5818776379504796E-3</v>
      </c>
      <c r="Q2711">
        <v>-0.51242744744729796</v>
      </c>
      <c r="R2711">
        <v>0.49926369217139699</v>
      </c>
      <c r="S2711">
        <v>13.6428492813291</v>
      </c>
      <c r="T2711">
        <v>-2.7347924138541299E-2</v>
      </c>
      <c r="U2711">
        <v>-7.0516944986964196</v>
      </c>
      <c r="V2711">
        <v>0.97848490940155397</v>
      </c>
      <c r="W2711">
        <v>0.98881673763747102</v>
      </c>
      <c r="X2711">
        <v>0</v>
      </c>
      <c r="Y2711">
        <v>0</v>
      </c>
    </row>
    <row r="2712" spans="1:25" x14ac:dyDescent="0.2">
      <c r="A2712" t="s">
        <v>10088</v>
      </c>
      <c r="B2712" t="s">
        <v>10089</v>
      </c>
      <c r="C2712" t="s">
        <v>14551</v>
      </c>
      <c r="D2712" t="s">
        <v>10090</v>
      </c>
      <c r="E2712" t="s">
        <v>10089</v>
      </c>
      <c r="F2712" t="s">
        <v>28</v>
      </c>
      <c r="G2712" t="s">
        <v>10089</v>
      </c>
      <c r="H2712" t="str">
        <f>"W05H9.2"</f>
        <v>W05H9.2</v>
      </c>
      <c r="I2712" t="s">
        <v>10090</v>
      </c>
      <c r="J2712">
        <v>11.5151347286338</v>
      </c>
      <c r="K2712">
        <v>10.6242672616194</v>
      </c>
      <c r="L2712">
        <v>11.096338985543801</v>
      </c>
      <c r="M2712" t="s">
        <v>29</v>
      </c>
      <c r="N2712">
        <v>12.4797487949048</v>
      </c>
      <c r="O2712" t="s">
        <v>29</v>
      </c>
      <c r="P2712">
        <v>1.40116846963915</v>
      </c>
      <c r="Q2712">
        <v>0.44277302667926799</v>
      </c>
      <c r="R2712">
        <v>2.35956391259904</v>
      </c>
      <c r="S2712">
        <v>12.1115293452426</v>
      </c>
      <c r="T2712">
        <v>3.1610608808055001</v>
      </c>
      <c r="U2712">
        <v>-2.8011427244813301</v>
      </c>
      <c r="V2712">
        <v>7.5765784115396804E-3</v>
      </c>
      <c r="W2712">
        <v>7.1878093735131501E-2</v>
      </c>
      <c r="X2712">
        <v>1</v>
      </c>
      <c r="Y2712">
        <v>0</v>
      </c>
    </row>
    <row r="2713" spans="1:25" x14ac:dyDescent="0.2">
      <c r="A2713" t="s">
        <v>10091</v>
      </c>
      <c r="B2713" t="s">
        <v>10092</v>
      </c>
      <c r="C2713" t="s">
        <v>10093</v>
      </c>
      <c r="D2713" t="s">
        <v>6796</v>
      </c>
      <c r="E2713" t="s">
        <v>10092</v>
      </c>
      <c r="F2713" t="s">
        <v>28</v>
      </c>
      <c r="G2713" t="s">
        <v>10092</v>
      </c>
      <c r="H2713" t="str">
        <f>"puf-9"</f>
        <v>puf-9</v>
      </c>
      <c r="I2713" t="s">
        <v>6796</v>
      </c>
      <c r="J2713" t="s">
        <v>29</v>
      </c>
      <c r="K2713" t="s">
        <v>29</v>
      </c>
      <c r="L2713" t="s">
        <v>29</v>
      </c>
      <c r="M2713">
        <v>13.345457398389</v>
      </c>
      <c r="N2713">
        <v>12.527498078601401</v>
      </c>
      <c r="O2713">
        <v>13.093603712046599</v>
      </c>
      <c r="P2713" t="s">
        <v>29</v>
      </c>
      <c r="Q2713" t="s">
        <v>29</v>
      </c>
      <c r="R2713" t="s">
        <v>29</v>
      </c>
      <c r="S2713">
        <v>12.7905711239393</v>
      </c>
      <c r="T2713" t="s">
        <v>29</v>
      </c>
      <c r="U2713" t="s">
        <v>29</v>
      </c>
      <c r="V2713" t="s">
        <v>29</v>
      </c>
      <c r="W2713" t="s">
        <v>29</v>
      </c>
      <c r="X2713" t="s">
        <v>29</v>
      </c>
      <c r="Y2713" t="s">
        <v>29</v>
      </c>
    </row>
    <row r="2714" spans="1:25" x14ac:dyDescent="0.2">
      <c r="A2714" t="s">
        <v>10094</v>
      </c>
      <c r="B2714" t="s">
        <v>10095</v>
      </c>
      <c r="C2714" t="s">
        <v>10096</v>
      </c>
      <c r="D2714" t="s">
        <v>10097</v>
      </c>
      <c r="E2714" t="s">
        <v>10095</v>
      </c>
      <c r="F2714" t="s">
        <v>28</v>
      </c>
      <c r="G2714" t="s">
        <v>10095</v>
      </c>
      <c r="H2714" t="str">
        <f>"atat-2"</f>
        <v>atat-2</v>
      </c>
      <c r="I2714" t="s">
        <v>10097</v>
      </c>
      <c r="J2714">
        <v>11.355025536448601</v>
      </c>
      <c r="K2714">
        <v>11.7412240080253</v>
      </c>
      <c r="L2714">
        <v>11.572356228087999</v>
      </c>
      <c r="M2714">
        <v>9.9895940933523306</v>
      </c>
      <c r="N2714">
        <v>11.590848559823099</v>
      </c>
      <c r="O2714">
        <v>11.640893557137</v>
      </c>
      <c r="P2714">
        <v>-0.48242318741651102</v>
      </c>
      <c r="Q2714">
        <v>-1.28802762769968</v>
      </c>
      <c r="R2714">
        <v>0.323181252866658</v>
      </c>
      <c r="S2714">
        <v>11.631639247427501</v>
      </c>
      <c r="T2714">
        <v>-1.27015245598904</v>
      </c>
      <c r="U2714">
        <v>-6.2417628723807796</v>
      </c>
      <c r="V2714">
        <v>0.22230917833983599</v>
      </c>
      <c r="W2714">
        <v>0.49021244048394902</v>
      </c>
      <c r="X2714">
        <v>0</v>
      </c>
      <c r="Y2714">
        <v>0</v>
      </c>
    </row>
    <row r="2715" spans="1:25" x14ac:dyDescent="0.2">
      <c r="A2715" t="s">
        <v>10098</v>
      </c>
      <c r="B2715" t="s">
        <v>10099</v>
      </c>
      <c r="C2715" t="s">
        <v>10100</v>
      </c>
      <c r="D2715" t="s">
        <v>10101</v>
      </c>
      <c r="E2715" t="s">
        <v>10099</v>
      </c>
      <c r="F2715" t="s">
        <v>28</v>
      </c>
      <c r="G2715" t="s">
        <v>10099</v>
      </c>
      <c r="H2715" t="str">
        <f>"vps-18"</f>
        <v>vps-18</v>
      </c>
      <c r="I2715" t="s">
        <v>10101</v>
      </c>
      <c r="J2715">
        <v>12.0790523854456</v>
      </c>
      <c r="K2715">
        <v>12.218639884957801</v>
      </c>
      <c r="L2715">
        <v>11.9699644238428</v>
      </c>
      <c r="M2715">
        <v>11.502707586998801</v>
      </c>
      <c r="N2715">
        <v>12.357284622193999</v>
      </c>
      <c r="O2715">
        <v>12.0430098569369</v>
      </c>
      <c r="P2715">
        <v>-0.121551542705502</v>
      </c>
      <c r="Q2715">
        <v>-0.61833911496871796</v>
      </c>
      <c r="R2715">
        <v>0.37523602955771301</v>
      </c>
      <c r="S2715">
        <v>12.377850980665601</v>
      </c>
      <c r="T2715">
        <v>-0.516463656214317</v>
      </c>
      <c r="U2715">
        <v>-6.9129660200096303</v>
      </c>
      <c r="V2715">
        <v>0.61222455542753396</v>
      </c>
      <c r="W2715">
        <v>0.81693613892442596</v>
      </c>
      <c r="X2715">
        <v>0</v>
      </c>
      <c r="Y2715">
        <v>0</v>
      </c>
    </row>
    <row r="2716" spans="1:25" x14ac:dyDescent="0.2">
      <c r="A2716" t="s">
        <v>10102</v>
      </c>
      <c r="B2716" t="s">
        <v>10103</v>
      </c>
      <c r="C2716" t="s">
        <v>14552</v>
      </c>
      <c r="D2716" t="s">
        <v>10104</v>
      </c>
      <c r="E2716" t="s">
        <v>10103</v>
      </c>
      <c r="F2716" t="s">
        <v>28</v>
      </c>
      <c r="G2716" t="s">
        <v>10103</v>
      </c>
      <c r="H2716" t="str">
        <f>"W06B4.1"</f>
        <v>W06B4.1</v>
      </c>
      <c r="I2716" t="s">
        <v>10104</v>
      </c>
      <c r="J2716">
        <v>11.779460308587799</v>
      </c>
      <c r="K2716">
        <v>11.6722523359548</v>
      </c>
      <c r="L2716">
        <v>11.917887091905801</v>
      </c>
      <c r="M2716">
        <v>12.611415445558899</v>
      </c>
      <c r="N2716">
        <v>12.912441976037901</v>
      </c>
      <c r="O2716">
        <v>12.1037857564723</v>
      </c>
      <c r="P2716">
        <v>0.75268114720693502</v>
      </c>
      <c r="Q2716">
        <v>0.186565120466437</v>
      </c>
      <c r="R2716">
        <v>1.31879717394743</v>
      </c>
      <c r="S2716">
        <v>12.6789880760413</v>
      </c>
      <c r="T2716">
        <v>2.8200390232129</v>
      </c>
      <c r="U2716">
        <v>-3.6560847925263098</v>
      </c>
      <c r="V2716">
        <v>1.23804267311048E-2</v>
      </c>
      <c r="W2716">
        <v>0.101989641982317</v>
      </c>
      <c r="X2716">
        <v>0</v>
      </c>
      <c r="Y2716">
        <v>0</v>
      </c>
    </row>
    <row r="2717" spans="1:25" x14ac:dyDescent="0.2">
      <c r="A2717" t="s">
        <v>10105</v>
      </c>
      <c r="B2717" t="s">
        <v>10106</v>
      </c>
      <c r="C2717" t="s">
        <v>10107</v>
      </c>
      <c r="D2717" t="s">
        <v>10108</v>
      </c>
      <c r="E2717" t="s">
        <v>10106</v>
      </c>
      <c r="F2717" t="s">
        <v>28</v>
      </c>
      <c r="G2717" t="s">
        <v>10106</v>
      </c>
      <c r="H2717" t="str">
        <f>"sbds-1"</f>
        <v>sbds-1</v>
      </c>
      <c r="I2717" t="s">
        <v>10108</v>
      </c>
      <c r="J2717">
        <v>13.375293834100701</v>
      </c>
      <c r="K2717">
        <v>13.3526765130078</v>
      </c>
      <c r="L2717">
        <v>13.2107924095732</v>
      </c>
      <c r="M2717">
        <v>12.769211125224601</v>
      </c>
      <c r="N2717">
        <v>13.1336149766951</v>
      </c>
      <c r="O2717">
        <v>12.6116875068801</v>
      </c>
      <c r="P2717">
        <v>-0.47474971596061399</v>
      </c>
      <c r="Q2717">
        <v>-0.93006617734053898</v>
      </c>
      <c r="R2717">
        <v>-1.9433254580689799E-2</v>
      </c>
      <c r="S2717">
        <v>12.254833539989599</v>
      </c>
      <c r="T2717">
        <v>-2.2237858755376001</v>
      </c>
      <c r="U2717">
        <v>-4.7930036772955997</v>
      </c>
      <c r="V2717">
        <v>4.2061226188924397E-2</v>
      </c>
      <c r="W2717">
        <v>0.202466316595799</v>
      </c>
      <c r="X2717">
        <v>0</v>
      </c>
      <c r="Y2717">
        <v>0</v>
      </c>
    </row>
    <row r="2718" spans="1:25" x14ac:dyDescent="0.2">
      <c r="A2718" t="s">
        <v>10109</v>
      </c>
      <c r="B2718" t="s">
        <v>10110</v>
      </c>
      <c r="C2718" t="s">
        <v>10111</v>
      </c>
      <c r="D2718" t="s">
        <v>323</v>
      </c>
      <c r="E2718" t="s">
        <v>10110</v>
      </c>
      <c r="F2718" t="s">
        <v>28</v>
      </c>
      <c r="G2718" t="s">
        <v>10110</v>
      </c>
      <c r="H2718" t="str">
        <f>"scyl-1"</f>
        <v>scyl-1</v>
      </c>
      <c r="I2718" t="s">
        <v>323</v>
      </c>
      <c r="J2718">
        <v>13.9945294542038</v>
      </c>
      <c r="K2718">
        <v>14.078463104956599</v>
      </c>
      <c r="L2718">
        <v>15.4410594275365</v>
      </c>
      <c r="M2718">
        <v>14.609775275111501</v>
      </c>
      <c r="N2718">
        <v>15.0913983963487</v>
      </c>
      <c r="O2718">
        <v>14.169410606740099</v>
      </c>
      <c r="P2718">
        <v>0.11884409716779799</v>
      </c>
      <c r="Q2718">
        <v>-0.859594600483233</v>
      </c>
      <c r="R2718">
        <v>1.09728279481883</v>
      </c>
      <c r="S2718">
        <v>13.9771071412788</v>
      </c>
      <c r="T2718">
        <v>0.25638582362816298</v>
      </c>
      <c r="U2718">
        <v>-7.0175974335730702</v>
      </c>
      <c r="V2718">
        <v>0.80074877162177005</v>
      </c>
      <c r="W2718">
        <v>0.91646490881679299</v>
      </c>
      <c r="X2718">
        <v>0</v>
      </c>
      <c r="Y2718">
        <v>0</v>
      </c>
    </row>
    <row r="2719" spans="1:25" x14ac:dyDescent="0.2">
      <c r="A2719" t="s">
        <v>10112</v>
      </c>
      <c r="B2719" t="s">
        <v>10113</v>
      </c>
      <c r="C2719" t="s">
        <v>10114</v>
      </c>
      <c r="D2719" t="s">
        <v>10115</v>
      </c>
      <c r="E2719" t="s">
        <v>10113</v>
      </c>
      <c r="F2719" t="s">
        <v>28</v>
      </c>
      <c r="G2719" t="s">
        <v>10113</v>
      </c>
      <c r="H2719" t="str">
        <f>"fat-3"</f>
        <v>fat-3</v>
      </c>
      <c r="I2719" t="s">
        <v>10115</v>
      </c>
      <c r="J2719" t="s">
        <v>29</v>
      </c>
      <c r="K2719" t="s">
        <v>29</v>
      </c>
      <c r="L2719" t="s">
        <v>29</v>
      </c>
      <c r="M2719" t="s">
        <v>29</v>
      </c>
      <c r="N2719" t="s">
        <v>29</v>
      </c>
      <c r="O2719" t="s">
        <v>29</v>
      </c>
      <c r="P2719" t="s">
        <v>29</v>
      </c>
      <c r="Q2719" t="s">
        <v>29</v>
      </c>
      <c r="R2719" t="s">
        <v>29</v>
      </c>
      <c r="S2719">
        <v>12.155148456781401</v>
      </c>
      <c r="T2719" t="s">
        <v>29</v>
      </c>
      <c r="U2719" t="s">
        <v>29</v>
      </c>
      <c r="V2719" t="s">
        <v>29</v>
      </c>
      <c r="W2719" t="s">
        <v>29</v>
      </c>
      <c r="X2719" t="s">
        <v>29</v>
      </c>
      <c r="Y2719" t="s">
        <v>29</v>
      </c>
    </row>
    <row r="2720" spans="1:25" x14ac:dyDescent="0.2">
      <c r="A2720" t="s">
        <v>10116</v>
      </c>
      <c r="B2720" t="s">
        <v>10117</v>
      </c>
      <c r="C2720" t="s">
        <v>10118</v>
      </c>
      <c r="D2720" t="s">
        <v>10119</v>
      </c>
      <c r="E2720" t="s">
        <v>10117</v>
      </c>
      <c r="F2720" t="s">
        <v>28</v>
      </c>
      <c r="G2720" t="s">
        <v>10117</v>
      </c>
      <c r="H2720" t="str">
        <f>"mtr-4"</f>
        <v>mtr-4</v>
      </c>
      <c r="I2720" t="s">
        <v>10119</v>
      </c>
      <c r="J2720">
        <v>14.923409687352001</v>
      </c>
      <c r="K2720">
        <v>14.839578598544</v>
      </c>
      <c r="L2720">
        <v>14.777432408603</v>
      </c>
      <c r="M2720">
        <v>14.8555914003797</v>
      </c>
      <c r="N2720">
        <v>15.1064461555899</v>
      </c>
      <c r="O2720">
        <v>14.8779224846733</v>
      </c>
      <c r="P2720">
        <v>9.9846448714657796E-2</v>
      </c>
      <c r="Q2720">
        <v>-0.36311744291444598</v>
      </c>
      <c r="R2720">
        <v>0.56281034034376198</v>
      </c>
      <c r="S2720">
        <v>14.6028342782393</v>
      </c>
      <c r="T2720">
        <v>0.45329195977628201</v>
      </c>
      <c r="U2720">
        <v>-6.94502320452386</v>
      </c>
      <c r="V2720">
        <v>0.65578691445788395</v>
      </c>
      <c r="W2720">
        <v>0.84449849303444602</v>
      </c>
      <c r="X2720">
        <v>0</v>
      </c>
      <c r="Y2720">
        <v>0</v>
      </c>
    </row>
    <row r="2721" spans="1:25" x14ac:dyDescent="0.2">
      <c r="A2721" t="s">
        <v>10120</v>
      </c>
      <c r="B2721" t="s">
        <v>10121</v>
      </c>
      <c r="C2721" t="s">
        <v>10122</v>
      </c>
      <c r="D2721" t="s">
        <v>10123</v>
      </c>
      <c r="E2721" t="s">
        <v>10121</v>
      </c>
      <c r="F2721" t="s">
        <v>28</v>
      </c>
      <c r="G2721" t="s">
        <v>10121</v>
      </c>
      <c r="H2721" t="str">
        <f>"zmp-4"</f>
        <v>zmp-4</v>
      </c>
      <c r="I2721" t="s">
        <v>10123</v>
      </c>
      <c r="J2721">
        <v>12.614835121168699</v>
      </c>
      <c r="K2721">
        <v>13.220051415755099</v>
      </c>
      <c r="L2721">
        <v>12.997225509504901</v>
      </c>
      <c r="M2721" t="s">
        <v>29</v>
      </c>
      <c r="N2721">
        <v>11.857231219679999</v>
      </c>
      <c r="O2721">
        <v>13.4990511366244</v>
      </c>
      <c r="P2721">
        <v>-0.26589617065739901</v>
      </c>
      <c r="Q2721">
        <v>-1.1174916412317</v>
      </c>
      <c r="R2721">
        <v>0.58569929991689695</v>
      </c>
      <c r="S2721">
        <v>13.046684367828901</v>
      </c>
      <c r="T2721">
        <v>-0.66591737380102001</v>
      </c>
      <c r="U2721">
        <v>-6.7104444831555101</v>
      </c>
      <c r="V2721">
        <v>0.51564523309570798</v>
      </c>
      <c r="W2721">
        <v>0.76201682956660699</v>
      </c>
      <c r="X2721">
        <v>0</v>
      </c>
      <c r="Y2721">
        <v>0</v>
      </c>
    </row>
    <row r="2722" spans="1:25" x14ac:dyDescent="0.2">
      <c r="A2722" t="s">
        <v>10124</v>
      </c>
      <c r="B2722" t="s">
        <v>10125</v>
      </c>
      <c r="C2722" t="s">
        <v>10126</v>
      </c>
      <c r="D2722" t="s">
        <v>10127</v>
      </c>
      <c r="E2722" t="s">
        <v>10125</v>
      </c>
      <c r="F2722" t="s">
        <v>28</v>
      </c>
      <c r="G2722" t="s">
        <v>10125</v>
      </c>
      <c r="H2722" t="str">
        <f>"wdr-4"</f>
        <v>wdr-4</v>
      </c>
      <c r="I2722" t="s">
        <v>10127</v>
      </c>
      <c r="J2722">
        <v>15.4089659271246</v>
      </c>
      <c r="K2722">
        <v>15.214179452479501</v>
      </c>
      <c r="L2722">
        <v>15.027242714918</v>
      </c>
      <c r="M2722">
        <v>14.9084142160723</v>
      </c>
      <c r="N2722">
        <v>15.0031086175597</v>
      </c>
      <c r="O2722">
        <v>15.243640550279601</v>
      </c>
      <c r="P2722">
        <v>-0.16507490353684201</v>
      </c>
      <c r="Q2722">
        <v>-0.56040642253331796</v>
      </c>
      <c r="R2722">
        <v>0.230256615459633</v>
      </c>
      <c r="S2722">
        <v>14.8779378672139</v>
      </c>
      <c r="T2722">
        <v>-0.87763134153352496</v>
      </c>
      <c r="U2722">
        <v>-6.6569408117961801</v>
      </c>
      <c r="V2722">
        <v>0.39177466039030001</v>
      </c>
      <c r="W2722">
        <v>0.667242504847816</v>
      </c>
      <c r="X2722">
        <v>0</v>
      </c>
      <c r="Y2722">
        <v>0</v>
      </c>
    </row>
    <row r="2723" spans="1:25" x14ac:dyDescent="0.2">
      <c r="A2723" t="s">
        <v>10128</v>
      </c>
      <c r="B2723" t="s">
        <v>10129</v>
      </c>
      <c r="C2723" t="s">
        <v>10130</v>
      </c>
      <c r="D2723" t="s">
        <v>10131</v>
      </c>
      <c r="E2723" t="s">
        <v>10129</v>
      </c>
      <c r="F2723" t="s">
        <v>28</v>
      </c>
      <c r="G2723" t="s">
        <v>10129</v>
      </c>
      <c r="H2723" t="str">
        <f>"ndx-3"</f>
        <v>ndx-3</v>
      </c>
      <c r="I2723" t="s">
        <v>10131</v>
      </c>
      <c r="J2723" t="s">
        <v>29</v>
      </c>
      <c r="K2723">
        <v>11.4818439895592</v>
      </c>
      <c r="L2723">
        <v>12.213841190405599</v>
      </c>
      <c r="M2723" t="s">
        <v>29</v>
      </c>
      <c r="N2723" t="s">
        <v>29</v>
      </c>
      <c r="O2723" t="s">
        <v>29</v>
      </c>
      <c r="P2723" t="s">
        <v>29</v>
      </c>
      <c r="Q2723" t="s">
        <v>29</v>
      </c>
      <c r="R2723" t="s">
        <v>29</v>
      </c>
      <c r="S2723">
        <v>11.4342147795063</v>
      </c>
      <c r="T2723" t="s">
        <v>29</v>
      </c>
      <c r="U2723" t="s">
        <v>29</v>
      </c>
      <c r="V2723" t="s">
        <v>29</v>
      </c>
      <c r="W2723" t="s">
        <v>29</v>
      </c>
      <c r="X2723" t="s">
        <v>29</v>
      </c>
      <c r="Y2723" t="s">
        <v>29</v>
      </c>
    </row>
    <row r="2724" spans="1:25" x14ac:dyDescent="0.2">
      <c r="A2724" t="s">
        <v>10132</v>
      </c>
      <c r="B2724" t="s">
        <v>10133</v>
      </c>
      <c r="C2724" t="s">
        <v>10134</v>
      </c>
      <c r="D2724" t="s">
        <v>10135</v>
      </c>
      <c r="E2724" t="s">
        <v>10133</v>
      </c>
      <c r="F2724" t="s">
        <v>28</v>
      </c>
      <c r="G2724" t="s">
        <v>10133</v>
      </c>
      <c r="H2724" t="str">
        <f>"pbs-3"</f>
        <v>pbs-3</v>
      </c>
      <c r="I2724" t="s">
        <v>10135</v>
      </c>
      <c r="J2724">
        <v>12.1283796939633</v>
      </c>
      <c r="K2724" t="s">
        <v>29</v>
      </c>
      <c r="L2724">
        <v>12.055119464022001</v>
      </c>
      <c r="M2724">
        <v>11.697151483859299</v>
      </c>
      <c r="N2724">
        <v>11.5108205895454</v>
      </c>
      <c r="O2724">
        <v>12.7878945125596</v>
      </c>
      <c r="P2724">
        <v>-9.3127383671212996E-2</v>
      </c>
      <c r="Q2724">
        <v>-0.84515097663628602</v>
      </c>
      <c r="R2724">
        <v>0.65889620929385995</v>
      </c>
      <c r="S2724">
        <v>11.945922753343</v>
      </c>
      <c r="T2724">
        <v>-0.26578950543677798</v>
      </c>
      <c r="U2724">
        <v>-6.9040105358570596</v>
      </c>
      <c r="V2724">
        <v>0.79430430247958705</v>
      </c>
      <c r="W2724">
        <v>0.91517844850619501</v>
      </c>
      <c r="X2724">
        <v>0</v>
      </c>
      <c r="Y2724">
        <v>0</v>
      </c>
    </row>
    <row r="2725" spans="1:25" x14ac:dyDescent="0.2">
      <c r="A2725" t="s">
        <v>10136</v>
      </c>
      <c r="B2725" t="s">
        <v>10137</v>
      </c>
      <c r="C2725" t="s">
        <v>10138</v>
      </c>
      <c r="D2725" t="s">
        <v>10139</v>
      </c>
      <c r="E2725" t="s">
        <v>10137</v>
      </c>
      <c r="F2725" t="s">
        <v>28</v>
      </c>
      <c r="G2725" t="s">
        <v>10137</v>
      </c>
      <c r="H2725" t="str">
        <f>"ulp-2"</f>
        <v>ulp-2</v>
      </c>
      <c r="I2725" t="s">
        <v>10139</v>
      </c>
      <c r="J2725">
        <v>14.921417741131</v>
      </c>
      <c r="K2725">
        <v>15.079335612542</v>
      </c>
      <c r="L2725">
        <v>15.030306237414401</v>
      </c>
      <c r="M2725">
        <v>15.084187000515501</v>
      </c>
      <c r="N2725">
        <v>15.061067634432799</v>
      </c>
      <c r="O2725">
        <v>14.922253296006</v>
      </c>
      <c r="P2725">
        <v>1.2149446622281301E-2</v>
      </c>
      <c r="Q2725">
        <v>-0.340406993550121</v>
      </c>
      <c r="R2725">
        <v>0.36470588679468402</v>
      </c>
      <c r="S2725">
        <v>14.9463157024441</v>
      </c>
      <c r="T2725">
        <v>7.24303123568691E-2</v>
      </c>
      <c r="U2725">
        <v>-7.0493375313749898</v>
      </c>
      <c r="V2725">
        <v>0.94306287130339195</v>
      </c>
      <c r="W2725">
        <v>0.97576384643441005</v>
      </c>
      <c r="X2725">
        <v>0</v>
      </c>
      <c r="Y2725">
        <v>0</v>
      </c>
    </row>
    <row r="2726" spans="1:25" x14ac:dyDescent="0.2">
      <c r="A2726" t="s">
        <v>10140</v>
      </c>
      <c r="B2726" t="s">
        <v>10141</v>
      </c>
      <c r="C2726" t="s">
        <v>10142</v>
      </c>
      <c r="D2726" t="s">
        <v>10143</v>
      </c>
      <c r="E2726" t="s">
        <v>10141</v>
      </c>
      <c r="F2726" t="s">
        <v>28</v>
      </c>
      <c r="G2726" t="s">
        <v>10141</v>
      </c>
      <c r="H2726" t="str">
        <f>"morc-1"</f>
        <v>morc-1</v>
      </c>
      <c r="I2726" t="s">
        <v>10143</v>
      </c>
      <c r="J2726">
        <v>13.244137251683499</v>
      </c>
      <c r="K2726">
        <v>13.0684631349882</v>
      </c>
      <c r="L2726">
        <v>13.079020945642799</v>
      </c>
      <c r="M2726">
        <v>12.574295303981</v>
      </c>
      <c r="N2726">
        <v>12.8363494803818</v>
      </c>
      <c r="O2726">
        <v>12.8602575824551</v>
      </c>
      <c r="P2726">
        <v>-0.37357298849881099</v>
      </c>
      <c r="Q2726">
        <v>-0.94377249573771804</v>
      </c>
      <c r="R2726">
        <v>0.19662651874009601</v>
      </c>
      <c r="S2726">
        <v>13.6787522925204</v>
      </c>
      <c r="T2726">
        <v>-1.38292504603139</v>
      </c>
      <c r="U2726">
        <v>-6.1000178576106601</v>
      </c>
      <c r="V2726">
        <v>0.18469366125606099</v>
      </c>
      <c r="W2726">
        <v>0.44783395955828897</v>
      </c>
      <c r="X2726">
        <v>0</v>
      </c>
      <c r="Y2726">
        <v>0</v>
      </c>
    </row>
    <row r="2727" spans="1:25" x14ac:dyDescent="0.2">
      <c r="A2727" t="s">
        <v>10144</v>
      </c>
      <c r="B2727" t="s">
        <v>10145</v>
      </c>
      <c r="C2727" t="s">
        <v>10146</v>
      </c>
      <c r="D2727" t="s">
        <v>10147</v>
      </c>
      <c r="E2727" t="s">
        <v>10145</v>
      </c>
      <c r="F2727" t="s">
        <v>28</v>
      </c>
      <c r="G2727" t="s">
        <v>10145</v>
      </c>
      <c r="H2727" t="str">
        <f>"wdr-5.3"</f>
        <v>wdr-5.3</v>
      </c>
      <c r="I2727" t="s">
        <v>10147</v>
      </c>
      <c r="J2727" t="s">
        <v>29</v>
      </c>
      <c r="K2727">
        <v>11.780477183985401</v>
      </c>
      <c r="L2727">
        <v>11.618984796869199</v>
      </c>
      <c r="M2727">
        <v>11.218193859753599</v>
      </c>
      <c r="N2727">
        <v>11.1233491335328</v>
      </c>
      <c r="O2727">
        <v>10.2140425320662</v>
      </c>
      <c r="P2727">
        <v>-0.84786914864309004</v>
      </c>
      <c r="Q2727">
        <v>-1.42973557351023</v>
      </c>
      <c r="R2727">
        <v>-0.26600272377595402</v>
      </c>
      <c r="S2727">
        <v>11.612743816948599</v>
      </c>
      <c r="T2727">
        <v>-3.1275007870503102</v>
      </c>
      <c r="U2727">
        <v>-3.0202111908739</v>
      </c>
      <c r="V2727">
        <v>7.4734411976742502E-3</v>
      </c>
      <c r="W2727">
        <v>7.1513309152964805E-2</v>
      </c>
      <c r="X2727">
        <v>0</v>
      </c>
      <c r="Y2727">
        <v>0</v>
      </c>
    </row>
    <row r="2728" spans="1:25" x14ac:dyDescent="0.2">
      <c r="A2728" t="s">
        <v>10148</v>
      </c>
      <c r="B2728" t="s">
        <v>10149</v>
      </c>
      <c r="C2728" t="s">
        <v>14553</v>
      </c>
      <c r="D2728" t="s">
        <v>3688</v>
      </c>
      <c r="E2728" t="s">
        <v>10149</v>
      </c>
      <c r="F2728" t="s">
        <v>28</v>
      </c>
      <c r="G2728" t="s">
        <v>10149</v>
      </c>
      <c r="H2728" t="str">
        <f>"ZC373.2"</f>
        <v>ZC373.2</v>
      </c>
      <c r="I2728" t="s">
        <v>3688</v>
      </c>
      <c r="J2728">
        <v>13.8270146709863</v>
      </c>
      <c r="K2728">
        <v>14.229949051707999</v>
      </c>
      <c r="L2728">
        <v>14.7545542134557</v>
      </c>
      <c r="M2728">
        <v>14.116767493526099</v>
      </c>
      <c r="N2728">
        <v>14.723168329579</v>
      </c>
      <c r="O2728">
        <v>14.2471851772038</v>
      </c>
      <c r="P2728">
        <v>9.1867688052985799E-2</v>
      </c>
      <c r="Q2728">
        <v>-0.79930372043051501</v>
      </c>
      <c r="R2728">
        <v>0.98303909653648602</v>
      </c>
      <c r="S2728">
        <v>14.5271770915635</v>
      </c>
      <c r="T2728">
        <v>0.21666764136224101</v>
      </c>
      <c r="U2728">
        <v>-7.0275167916125003</v>
      </c>
      <c r="V2728">
        <v>0.83091822831178597</v>
      </c>
      <c r="W2728">
        <v>0.93197831843744505</v>
      </c>
      <c r="X2728">
        <v>0</v>
      </c>
      <c r="Y2728">
        <v>0</v>
      </c>
    </row>
    <row r="2729" spans="1:25" x14ac:dyDescent="0.2">
      <c r="A2729" t="s">
        <v>10150</v>
      </c>
      <c r="B2729" t="s">
        <v>10151</v>
      </c>
      <c r="C2729" t="s">
        <v>10152</v>
      </c>
      <c r="D2729" t="s">
        <v>323</v>
      </c>
      <c r="E2729" t="s">
        <v>10151</v>
      </c>
      <c r="F2729" t="s">
        <v>28</v>
      </c>
      <c r="G2729" t="s">
        <v>10151</v>
      </c>
      <c r="H2729" t="str">
        <f>"mlck-1"</f>
        <v>mlck-1</v>
      </c>
      <c r="I2729" t="s">
        <v>323</v>
      </c>
      <c r="J2729">
        <v>13.895627105271499</v>
      </c>
      <c r="K2729" t="s">
        <v>29</v>
      </c>
      <c r="L2729">
        <v>15.2095540521905</v>
      </c>
      <c r="M2729">
        <v>15.515644040390701</v>
      </c>
      <c r="N2729">
        <v>14.3516068158191</v>
      </c>
      <c r="O2729">
        <v>14.939740866115701</v>
      </c>
      <c r="P2729">
        <v>0.38307332871084498</v>
      </c>
      <c r="Q2729">
        <v>-0.74641736345957499</v>
      </c>
      <c r="R2729">
        <v>1.5125640208812601</v>
      </c>
      <c r="S2729">
        <v>14.7230813261389</v>
      </c>
      <c r="T2729">
        <v>0.71936414715617003</v>
      </c>
      <c r="U2729">
        <v>-6.6733127280013198</v>
      </c>
      <c r="V2729">
        <v>0.48235998635391603</v>
      </c>
      <c r="W2729">
        <v>0.73976710642658505</v>
      </c>
      <c r="X2729">
        <v>0</v>
      </c>
      <c r="Y2729">
        <v>0</v>
      </c>
    </row>
    <row r="2730" spans="1:25" x14ac:dyDescent="0.2">
      <c r="A2730" t="s">
        <v>10153</v>
      </c>
      <c r="B2730" t="s">
        <v>10154</v>
      </c>
      <c r="C2730" t="s">
        <v>10155</v>
      </c>
      <c r="D2730" t="s">
        <v>10156</v>
      </c>
      <c r="E2730" t="s">
        <v>10154</v>
      </c>
      <c r="F2730" t="s">
        <v>28</v>
      </c>
      <c r="G2730" t="s">
        <v>10154</v>
      </c>
      <c r="H2730" t="str">
        <f>"ZC373.5"</f>
        <v>ZC373.5</v>
      </c>
      <c r="I2730" t="s">
        <v>10156</v>
      </c>
      <c r="J2730" t="s">
        <v>29</v>
      </c>
      <c r="K2730">
        <v>15.273965876534101</v>
      </c>
      <c r="L2730" t="s">
        <v>29</v>
      </c>
      <c r="M2730">
        <v>12.511001458561701</v>
      </c>
      <c r="N2730">
        <v>12.5705144445357</v>
      </c>
      <c r="O2730" t="s">
        <v>29</v>
      </c>
      <c r="P2730">
        <v>-2.7332079249853698</v>
      </c>
      <c r="Q2730">
        <v>-3.6284104925152301</v>
      </c>
      <c r="R2730">
        <v>-1.83800535745551</v>
      </c>
      <c r="S2730">
        <v>12.8922618417494</v>
      </c>
      <c r="T2730">
        <v>-6.7278925296737597</v>
      </c>
      <c r="U2730">
        <v>2.7106995324311201</v>
      </c>
      <c r="V2730" s="2">
        <v>3.40954464140543E-5</v>
      </c>
      <c r="W2730">
        <v>1.2900765422248E-3</v>
      </c>
      <c r="X2730">
        <v>-1</v>
      </c>
      <c r="Y2730">
        <v>-1</v>
      </c>
    </row>
    <row r="2731" spans="1:25" x14ac:dyDescent="0.2">
      <c r="A2731" t="s">
        <v>10157</v>
      </c>
      <c r="B2731" t="s">
        <v>10158</v>
      </c>
      <c r="C2731" t="s">
        <v>10159</v>
      </c>
      <c r="D2731" t="s">
        <v>3312</v>
      </c>
      <c r="E2731" t="s">
        <v>10158</v>
      </c>
      <c r="F2731" t="s">
        <v>28</v>
      </c>
      <c r="G2731" t="s">
        <v>10158</v>
      </c>
      <c r="H2731" t="str">
        <f>"col-176"</f>
        <v>col-176</v>
      </c>
      <c r="I2731" t="s">
        <v>3312</v>
      </c>
      <c r="J2731">
        <v>13.1514827942949</v>
      </c>
      <c r="K2731">
        <v>13.260585821303</v>
      </c>
      <c r="L2731">
        <v>14.1318849629097</v>
      </c>
      <c r="M2731">
        <v>13.6507346583087</v>
      </c>
      <c r="N2731">
        <v>14.4796702004598</v>
      </c>
      <c r="O2731">
        <v>13.7247224715427</v>
      </c>
      <c r="P2731">
        <v>0.4370579172679</v>
      </c>
      <c r="Q2731">
        <v>-0.21975442668950701</v>
      </c>
      <c r="R2731">
        <v>1.0938702612253099</v>
      </c>
      <c r="S2731">
        <v>14.279836583357</v>
      </c>
      <c r="T2731">
        <v>1.4045839413235199</v>
      </c>
      <c r="U2731">
        <v>-6.0715758668999698</v>
      </c>
      <c r="V2731">
        <v>0.178263122119418</v>
      </c>
      <c r="W2731">
        <v>0.44011244262260002</v>
      </c>
      <c r="X2731">
        <v>0</v>
      </c>
      <c r="Y2731">
        <v>0</v>
      </c>
    </row>
    <row r="2732" spans="1:25" x14ac:dyDescent="0.2">
      <c r="A2732" t="s">
        <v>10160</v>
      </c>
      <c r="B2732" t="s">
        <v>10161</v>
      </c>
      <c r="C2732" t="s">
        <v>10162</v>
      </c>
      <c r="D2732" t="s">
        <v>10163</v>
      </c>
      <c r="E2732" t="s">
        <v>10161</v>
      </c>
      <c r="F2732" t="s">
        <v>28</v>
      </c>
      <c r="G2732" t="s">
        <v>10161</v>
      </c>
      <c r="H2732" t="str">
        <f>"gck-2"</f>
        <v>gck-2</v>
      </c>
      <c r="I2732" t="s">
        <v>10163</v>
      </c>
      <c r="J2732" t="s">
        <v>29</v>
      </c>
      <c r="K2732">
        <v>12.073006111282499</v>
      </c>
      <c r="L2732" t="s">
        <v>29</v>
      </c>
      <c r="M2732" t="s">
        <v>29</v>
      </c>
      <c r="N2732">
        <v>10.719787336339399</v>
      </c>
      <c r="O2732" t="s">
        <v>29</v>
      </c>
      <c r="P2732">
        <v>-1.35321877494305</v>
      </c>
      <c r="Q2732">
        <v>-2.49133479829761</v>
      </c>
      <c r="R2732">
        <v>-0.21510275158849201</v>
      </c>
      <c r="S2732">
        <v>10.7918818600861</v>
      </c>
      <c r="T2732">
        <v>-2.7481927434177602</v>
      </c>
      <c r="U2732">
        <v>-3.6162367180309398</v>
      </c>
      <c r="V2732">
        <v>2.5444191260536299E-2</v>
      </c>
      <c r="W2732">
        <v>0.15563044804846801</v>
      </c>
      <c r="X2732">
        <v>-1</v>
      </c>
      <c r="Y2732">
        <v>0</v>
      </c>
    </row>
    <row r="2733" spans="1:25" x14ac:dyDescent="0.2">
      <c r="A2733" t="s">
        <v>10164</v>
      </c>
      <c r="B2733" t="s">
        <v>10165</v>
      </c>
      <c r="C2733" t="s">
        <v>10166</v>
      </c>
      <c r="D2733" t="s">
        <v>10167</v>
      </c>
      <c r="E2733" t="s">
        <v>10165</v>
      </c>
      <c r="F2733" t="s">
        <v>28</v>
      </c>
      <c r="G2733" t="s">
        <v>10165</v>
      </c>
      <c r="H2733" t="str">
        <f>"mppb-1"</f>
        <v>mppb-1</v>
      </c>
      <c r="I2733" t="s">
        <v>10167</v>
      </c>
      <c r="J2733" t="s">
        <v>29</v>
      </c>
      <c r="K2733" t="s">
        <v>29</v>
      </c>
      <c r="L2733">
        <v>13.1793573748936</v>
      </c>
      <c r="M2733" t="s">
        <v>29</v>
      </c>
      <c r="N2733">
        <v>13.215700903897099</v>
      </c>
      <c r="O2733">
        <v>13.7794742320692</v>
      </c>
      <c r="P2733">
        <v>0.31823019308952999</v>
      </c>
      <c r="Q2733">
        <v>-0.97722803190103602</v>
      </c>
      <c r="R2733">
        <v>1.6136884180801001</v>
      </c>
      <c r="S2733">
        <v>13.9248567418806</v>
      </c>
      <c r="T2733">
        <v>0.53575098982548897</v>
      </c>
      <c r="U2733">
        <v>-6.5000046724309799</v>
      </c>
      <c r="V2733">
        <v>0.60200459388537797</v>
      </c>
      <c r="W2733">
        <v>0.80985940123530897</v>
      </c>
      <c r="X2733">
        <v>0</v>
      </c>
      <c r="Y2733">
        <v>0</v>
      </c>
    </row>
    <row r="2734" spans="1:25" x14ac:dyDescent="0.2">
      <c r="A2734" t="s">
        <v>10168</v>
      </c>
      <c r="B2734" t="s">
        <v>10169</v>
      </c>
      <c r="C2734" t="s">
        <v>14182</v>
      </c>
      <c r="D2734" t="s">
        <v>3962</v>
      </c>
      <c r="E2734" t="s">
        <v>10169</v>
      </c>
      <c r="F2734" t="s">
        <v>28</v>
      </c>
      <c r="G2734" t="s">
        <v>10169</v>
      </c>
      <c r="H2734" t="str">
        <f>"ZC412.5"</f>
        <v>ZC412.5</v>
      </c>
      <c r="I2734" t="s">
        <v>3962</v>
      </c>
      <c r="J2734">
        <v>14.1232378360918</v>
      </c>
      <c r="K2734">
        <v>11.218990083294701</v>
      </c>
      <c r="L2734">
        <v>13.711320568067499</v>
      </c>
      <c r="M2734" t="s">
        <v>29</v>
      </c>
      <c r="N2734">
        <v>15.7664924710141</v>
      </c>
      <c r="O2734">
        <v>15.2170739916958</v>
      </c>
      <c r="P2734">
        <v>2.47393373553694</v>
      </c>
      <c r="Q2734">
        <v>0.92895760470686695</v>
      </c>
      <c r="R2734">
        <v>4.0189098663670197</v>
      </c>
      <c r="S2734">
        <v>13.1885993811657</v>
      </c>
      <c r="T2734">
        <v>3.3963764313326599</v>
      </c>
      <c r="U2734">
        <v>-2.3880672759616299</v>
      </c>
      <c r="V2734">
        <v>3.7173253527137099E-3</v>
      </c>
      <c r="W2734">
        <v>4.42367101496123E-2</v>
      </c>
      <c r="X2734">
        <v>1</v>
      </c>
      <c r="Y2734">
        <v>1</v>
      </c>
    </row>
    <row r="2735" spans="1:25" x14ac:dyDescent="0.2">
      <c r="A2735" t="s">
        <v>10170</v>
      </c>
      <c r="B2735" t="s">
        <v>10171</v>
      </c>
      <c r="C2735" t="s">
        <v>10172</v>
      </c>
      <c r="D2735" t="s">
        <v>10173</v>
      </c>
      <c r="E2735" t="s">
        <v>10171</v>
      </c>
      <c r="F2735" t="s">
        <v>28</v>
      </c>
      <c r="G2735" t="s">
        <v>10171</v>
      </c>
      <c r="H2735" t="str">
        <f>"rps-7"</f>
        <v>rps-7</v>
      </c>
      <c r="I2735" t="s">
        <v>10173</v>
      </c>
      <c r="J2735">
        <v>18.848661562467001</v>
      </c>
      <c r="K2735">
        <v>19.1973666998224</v>
      </c>
      <c r="L2735">
        <v>19.383652169292699</v>
      </c>
      <c r="M2735">
        <v>19.260325327983399</v>
      </c>
      <c r="N2735">
        <v>19.6187611270073</v>
      </c>
      <c r="O2735">
        <v>18.869944587140399</v>
      </c>
      <c r="P2735">
        <v>0.106450203516314</v>
      </c>
      <c r="Q2735">
        <v>-0.44645723686101202</v>
      </c>
      <c r="R2735">
        <v>0.65935764389363904</v>
      </c>
      <c r="S2735">
        <v>19.2477874421579</v>
      </c>
      <c r="T2735">
        <v>0.404656550471308</v>
      </c>
      <c r="U2735">
        <v>-6.9666657247402801</v>
      </c>
      <c r="V2735">
        <v>0.69052585848122605</v>
      </c>
      <c r="W2735">
        <v>0.86123846052047104</v>
      </c>
      <c r="X2735">
        <v>0</v>
      </c>
      <c r="Y2735">
        <v>0</v>
      </c>
    </row>
    <row r="2736" spans="1:25" x14ac:dyDescent="0.2">
      <c r="A2736" t="s">
        <v>10174</v>
      </c>
      <c r="B2736" t="s">
        <v>10175</v>
      </c>
      <c r="C2736" t="s">
        <v>10176</v>
      </c>
      <c r="D2736" t="s">
        <v>10177</v>
      </c>
      <c r="E2736" t="s">
        <v>10175</v>
      </c>
      <c r="F2736" t="s">
        <v>28</v>
      </c>
      <c r="G2736" t="s">
        <v>10175</v>
      </c>
      <c r="H2736" t="str">
        <f>"ZC434.4"</f>
        <v>ZC434.4</v>
      </c>
      <c r="I2736" t="s">
        <v>10177</v>
      </c>
      <c r="J2736">
        <v>12.0911579549969</v>
      </c>
      <c r="K2736">
        <v>12.519918353425</v>
      </c>
      <c r="L2736">
        <v>12.4635055015964</v>
      </c>
      <c r="M2736">
        <v>12.996273728725299</v>
      </c>
      <c r="N2736">
        <v>13.114302010835599</v>
      </c>
      <c r="O2736" t="s">
        <v>29</v>
      </c>
      <c r="P2736">
        <v>0.69709393310769696</v>
      </c>
      <c r="Q2736">
        <v>-0.20736733126788001</v>
      </c>
      <c r="R2736">
        <v>1.60155519748327</v>
      </c>
      <c r="S2736">
        <v>12.3281164670558</v>
      </c>
      <c r="T2736">
        <v>1.69835715188503</v>
      </c>
      <c r="U2736">
        <v>-5.5589402100091698</v>
      </c>
      <c r="V2736">
        <v>0.117780340743753</v>
      </c>
      <c r="W2736">
        <v>0.35290720882152199</v>
      </c>
      <c r="X2736">
        <v>0</v>
      </c>
      <c r="Y2736">
        <v>0</v>
      </c>
    </row>
    <row r="2737" spans="1:25" x14ac:dyDescent="0.2">
      <c r="A2737" t="s">
        <v>10178</v>
      </c>
      <c r="B2737" t="s">
        <v>10179</v>
      </c>
      <c r="C2737" t="s">
        <v>10180</v>
      </c>
      <c r="D2737" t="s">
        <v>10181</v>
      </c>
      <c r="E2737" t="s">
        <v>10179</v>
      </c>
      <c r="F2737" t="s">
        <v>28</v>
      </c>
      <c r="G2737" t="s">
        <v>10179</v>
      </c>
      <c r="H2737" t="str">
        <f>"ears-1"</f>
        <v>ears-1</v>
      </c>
      <c r="I2737" t="s">
        <v>10181</v>
      </c>
      <c r="J2737">
        <v>15.6164981985232</v>
      </c>
      <c r="K2737">
        <v>15.442637547690399</v>
      </c>
      <c r="L2737">
        <v>15.575948610813599</v>
      </c>
      <c r="M2737">
        <v>15.808664448578099</v>
      </c>
      <c r="N2737">
        <v>15.874480469495101</v>
      </c>
      <c r="O2737">
        <v>15.7615101905256</v>
      </c>
      <c r="P2737">
        <v>0.26985691719050398</v>
      </c>
      <c r="Q2737">
        <v>-5.9135512145147298E-2</v>
      </c>
      <c r="R2737">
        <v>0.59884934652615496</v>
      </c>
      <c r="S2737">
        <v>15.369227965579199</v>
      </c>
      <c r="T2737">
        <v>1.72401152064886</v>
      </c>
      <c r="U2737">
        <v>-5.6119189144235104</v>
      </c>
      <c r="V2737">
        <v>0.10193756887696</v>
      </c>
      <c r="W2737">
        <v>0.32979981917923201</v>
      </c>
      <c r="X2737">
        <v>0</v>
      </c>
      <c r="Y2737">
        <v>0</v>
      </c>
    </row>
    <row r="2738" spans="1:25" x14ac:dyDescent="0.2">
      <c r="A2738" t="s">
        <v>10182</v>
      </c>
      <c r="B2738" t="s">
        <v>10183</v>
      </c>
      <c r="C2738" t="s">
        <v>10184</v>
      </c>
      <c r="D2738" t="s">
        <v>10185</v>
      </c>
      <c r="E2738" t="s">
        <v>10183</v>
      </c>
      <c r="F2738" t="s">
        <v>28</v>
      </c>
      <c r="G2738" t="s">
        <v>10183</v>
      </c>
      <c r="H2738" t="str">
        <f>"coa-6"</f>
        <v>coa-6</v>
      </c>
      <c r="I2738" t="s">
        <v>10185</v>
      </c>
      <c r="J2738" t="s">
        <v>29</v>
      </c>
      <c r="K2738" t="s">
        <v>29</v>
      </c>
      <c r="L2738" t="s">
        <v>29</v>
      </c>
      <c r="M2738" t="s">
        <v>29</v>
      </c>
      <c r="N2738" t="s">
        <v>29</v>
      </c>
      <c r="O2738" t="s">
        <v>29</v>
      </c>
      <c r="P2738" t="s">
        <v>29</v>
      </c>
      <c r="Q2738" t="s">
        <v>29</v>
      </c>
      <c r="R2738" t="s">
        <v>29</v>
      </c>
      <c r="S2738">
        <v>11.823124495869999</v>
      </c>
      <c r="T2738" t="s">
        <v>29</v>
      </c>
      <c r="U2738" t="s">
        <v>29</v>
      </c>
      <c r="V2738" t="s">
        <v>29</v>
      </c>
      <c r="W2738" t="s">
        <v>29</v>
      </c>
      <c r="X2738" t="s">
        <v>29</v>
      </c>
      <c r="Y2738" t="s">
        <v>29</v>
      </c>
    </row>
    <row r="2739" spans="1:25" x14ac:dyDescent="0.2">
      <c r="A2739" t="s">
        <v>10186</v>
      </c>
      <c r="B2739" t="s">
        <v>10187</v>
      </c>
      <c r="C2739" t="s">
        <v>10188</v>
      </c>
      <c r="D2739" t="s">
        <v>10189</v>
      </c>
      <c r="E2739" t="s">
        <v>10187</v>
      </c>
      <c r="F2739" t="s">
        <v>28</v>
      </c>
      <c r="G2739" t="s">
        <v>10187</v>
      </c>
      <c r="H2739" t="str">
        <f>"rde-8"</f>
        <v>rde-8</v>
      </c>
      <c r="I2739" t="s">
        <v>10189</v>
      </c>
      <c r="J2739" t="s">
        <v>29</v>
      </c>
      <c r="K2739" t="s">
        <v>29</v>
      </c>
      <c r="L2739" t="s">
        <v>29</v>
      </c>
      <c r="M2739" t="s">
        <v>29</v>
      </c>
      <c r="N2739" t="s">
        <v>29</v>
      </c>
      <c r="O2739" t="s">
        <v>29</v>
      </c>
      <c r="P2739" t="s">
        <v>29</v>
      </c>
      <c r="Q2739" t="s">
        <v>29</v>
      </c>
      <c r="R2739" t="s">
        <v>29</v>
      </c>
      <c r="S2739">
        <v>10.6426849790133</v>
      </c>
      <c r="T2739" t="s">
        <v>29</v>
      </c>
      <c r="U2739" t="s">
        <v>29</v>
      </c>
      <c r="V2739" t="s">
        <v>29</v>
      </c>
      <c r="W2739" t="s">
        <v>29</v>
      </c>
      <c r="X2739" t="s">
        <v>29</v>
      </c>
      <c r="Y2739" t="s">
        <v>29</v>
      </c>
    </row>
    <row r="2740" spans="1:25" x14ac:dyDescent="0.2">
      <c r="A2740" t="s">
        <v>10190</v>
      </c>
      <c r="B2740" t="s">
        <v>10191</v>
      </c>
      <c r="C2740" t="s">
        <v>10192</v>
      </c>
      <c r="D2740" t="s">
        <v>10193</v>
      </c>
      <c r="E2740" t="s">
        <v>10191</v>
      </c>
      <c r="F2740" t="s">
        <v>28</v>
      </c>
      <c r="G2740" t="s">
        <v>10191</v>
      </c>
      <c r="H2740" t="str">
        <f>"mig-15"</f>
        <v>mig-15</v>
      </c>
      <c r="I2740" t="s">
        <v>10193</v>
      </c>
      <c r="J2740">
        <v>13.0746197261945</v>
      </c>
      <c r="K2740">
        <v>13.574315718762</v>
      </c>
      <c r="L2740">
        <v>13.2390816775721</v>
      </c>
      <c r="M2740">
        <v>13.677929895954801</v>
      </c>
      <c r="N2740">
        <v>13.2322869290126</v>
      </c>
      <c r="O2740">
        <v>13.6481052978039</v>
      </c>
      <c r="P2740">
        <v>0.22343500008091199</v>
      </c>
      <c r="Q2740">
        <v>-0.24541285820250699</v>
      </c>
      <c r="R2740">
        <v>0.69228285836433001</v>
      </c>
      <c r="S2740">
        <v>13.3624196908952</v>
      </c>
      <c r="T2740">
        <v>1.0108082961560201</v>
      </c>
      <c r="U2740">
        <v>-6.5298050566271897</v>
      </c>
      <c r="V2740">
        <v>0.32724875190136699</v>
      </c>
      <c r="W2740">
        <v>0.60745432897150597</v>
      </c>
      <c r="X2740">
        <v>0</v>
      </c>
      <c r="Y2740">
        <v>0</v>
      </c>
    </row>
    <row r="2741" spans="1:25" x14ac:dyDescent="0.2">
      <c r="A2741" t="s">
        <v>10194</v>
      </c>
      <c r="B2741" t="s">
        <v>10195</v>
      </c>
      <c r="C2741" t="s">
        <v>10196</v>
      </c>
      <c r="D2741" t="s">
        <v>10197</v>
      </c>
      <c r="E2741" t="s">
        <v>10195</v>
      </c>
      <c r="F2741" t="s">
        <v>28</v>
      </c>
      <c r="G2741" t="s">
        <v>10195</v>
      </c>
      <c r="H2741" t="str">
        <f>"cdk-11.2"</f>
        <v>cdk-11.2</v>
      </c>
      <c r="I2741" t="s">
        <v>10197</v>
      </c>
      <c r="J2741" t="s">
        <v>29</v>
      </c>
      <c r="K2741" t="s">
        <v>29</v>
      </c>
      <c r="L2741" t="s">
        <v>29</v>
      </c>
      <c r="M2741" t="s">
        <v>29</v>
      </c>
      <c r="N2741" t="s">
        <v>29</v>
      </c>
      <c r="O2741" t="s">
        <v>29</v>
      </c>
      <c r="P2741" t="s">
        <v>29</v>
      </c>
      <c r="Q2741" t="s">
        <v>29</v>
      </c>
      <c r="R2741" t="s">
        <v>29</v>
      </c>
      <c r="S2741">
        <v>11.5967951794551</v>
      </c>
      <c r="T2741" t="s">
        <v>29</v>
      </c>
      <c r="U2741" t="s">
        <v>29</v>
      </c>
      <c r="V2741" t="s">
        <v>29</v>
      </c>
      <c r="W2741" t="s">
        <v>29</v>
      </c>
      <c r="X2741" t="s">
        <v>29</v>
      </c>
      <c r="Y2741" t="s">
        <v>29</v>
      </c>
    </row>
    <row r="2742" spans="1:25" x14ac:dyDescent="0.2">
      <c r="A2742" t="s">
        <v>10198</v>
      </c>
      <c r="B2742" t="s">
        <v>10199</v>
      </c>
      <c r="C2742" t="s">
        <v>10200</v>
      </c>
      <c r="D2742" t="s">
        <v>10201</v>
      </c>
      <c r="E2742" t="s">
        <v>10199</v>
      </c>
      <c r="F2742" t="s">
        <v>28</v>
      </c>
      <c r="G2742" t="s">
        <v>10199</v>
      </c>
      <c r="H2742" t="str">
        <f>"oma-2"</f>
        <v>oma-2</v>
      </c>
      <c r="I2742" t="s">
        <v>10201</v>
      </c>
      <c r="J2742" t="s">
        <v>29</v>
      </c>
      <c r="K2742" t="s">
        <v>29</v>
      </c>
      <c r="L2742">
        <v>10.022872729746901</v>
      </c>
      <c r="M2742" t="s">
        <v>29</v>
      </c>
      <c r="N2742">
        <v>10.2652109577916</v>
      </c>
      <c r="O2742" t="s">
        <v>29</v>
      </c>
      <c r="P2742">
        <v>0.24233822804468699</v>
      </c>
      <c r="Q2742">
        <v>-0.79381000032291404</v>
      </c>
      <c r="R2742">
        <v>1.27848645641229</v>
      </c>
      <c r="S2742">
        <v>12.363900958078901</v>
      </c>
      <c r="T2742">
        <v>0.51538020342699298</v>
      </c>
      <c r="U2742">
        <v>-6.3699589053902397</v>
      </c>
      <c r="V2742">
        <v>0.61658309857125304</v>
      </c>
      <c r="W2742">
        <v>0.81948340748436699</v>
      </c>
      <c r="X2742">
        <v>0</v>
      </c>
      <c r="Y2742">
        <v>0</v>
      </c>
    </row>
    <row r="2743" spans="1:25" x14ac:dyDescent="0.2">
      <c r="A2743" t="s">
        <v>10202</v>
      </c>
      <c r="B2743" t="s">
        <v>10203</v>
      </c>
      <c r="C2743" t="s">
        <v>10204</v>
      </c>
      <c r="D2743" t="s">
        <v>10205</v>
      </c>
      <c r="E2743" t="s">
        <v>10203</v>
      </c>
      <c r="F2743" t="s">
        <v>28</v>
      </c>
      <c r="G2743" t="s">
        <v>10203</v>
      </c>
      <c r="H2743" t="str">
        <f>"vars-1"</f>
        <v>vars-1</v>
      </c>
      <c r="I2743" t="s">
        <v>10205</v>
      </c>
      <c r="J2743">
        <v>10.643463271397801</v>
      </c>
      <c r="K2743">
        <v>10.828096966938601</v>
      </c>
      <c r="L2743">
        <v>10.6102489936782</v>
      </c>
      <c r="M2743">
        <v>12.2267150418652</v>
      </c>
      <c r="N2743">
        <v>12.0532702221274</v>
      </c>
      <c r="O2743" t="s">
        <v>29</v>
      </c>
      <c r="P2743">
        <v>1.4460562213247901</v>
      </c>
      <c r="Q2743">
        <v>0.79266044692694104</v>
      </c>
      <c r="R2743">
        <v>2.0994519957226401</v>
      </c>
      <c r="S2743">
        <v>11.5176433846863</v>
      </c>
      <c r="T2743">
        <v>4.7500780919663903</v>
      </c>
      <c r="U2743">
        <v>0.132731073287984</v>
      </c>
      <c r="V2743">
        <v>3.1676565957155801E-4</v>
      </c>
      <c r="W2743">
        <v>7.5813027987484396E-3</v>
      </c>
      <c r="X2743">
        <v>1</v>
      </c>
      <c r="Y2743">
        <v>1</v>
      </c>
    </row>
    <row r="2744" spans="1:25" x14ac:dyDescent="0.2">
      <c r="A2744" t="s">
        <v>10206</v>
      </c>
      <c r="B2744" t="s">
        <v>10207</v>
      </c>
      <c r="C2744" t="s">
        <v>10208</v>
      </c>
      <c r="D2744" t="s">
        <v>10209</v>
      </c>
      <c r="E2744" t="s">
        <v>10207</v>
      </c>
      <c r="F2744" t="s">
        <v>28</v>
      </c>
      <c r="G2744" t="s">
        <v>10207</v>
      </c>
      <c r="H2744" t="str">
        <f>"algn-12"</f>
        <v>algn-12</v>
      </c>
      <c r="I2744" t="s">
        <v>10209</v>
      </c>
      <c r="J2744">
        <v>12.273134113273599</v>
      </c>
      <c r="K2744">
        <v>12.855507724533201</v>
      </c>
      <c r="L2744">
        <v>13.062816408923799</v>
      </c>
      <c r="M2744">
        <v>12.3487219014361</v>
      </c>
      <c r="N2744">
        <v>12.638740349772799</v>
      </c>
      <c r="O2744">
        <v>12.1386038267208</v>
      </c>
      <c r="P2744">
        <v>-0.35513072293362702</v>
      </c>
      <c r="Q2744">
        <v>-0.93687266407618097</v>
      </c>
      <c r="R2744">
        <v>0.22661121820892799</v>
      </c>
      <c r="S2744">
        <v>12.8509204512438</v>
      </c>
      <c r="T2744">
        <v>-1.3019654978425499</v>
      </c>
      <c r="U2744">
        <v>-6.2021329777974099</v>
      </c>
      <c r="V2744">
        <v>0.212703413860934</v>
      </c>
      <c r="W2744">
        <v>0.47931918885282399</v>
      </c>
      <c r="X2744">
        <v>0</v>
      </c>
      <c r="Y2744">
        <v>0</v>
      </c>
    </row>
    <row r="2745" spans="1:25" x14ac:dyDescent="0.2">
      <c r="A2745" t="s">
        <v>10210</v>
      </c>
      <c r="B2745" t="s">
        <v>10211</v>
      </c>
      <c r="C2745" t="s">
        <v>10212</v>
      </c>
      <c r="D2745" t="s">
        <v>10213</v>
      </c>
      <c r="E2745" t="s">
        <v>10211</v>
      </c>
      <c r="F2745" t="s">
        <v>28</v>
      </c>
      <c r="G2745" t="s">
        <v>10211</v>
      </c>
      <c r="H2745" t="str">
        <f>"sec-24.2"</f>
        <v>sec-24.2</v>
      </c>
      <c r="I2745" t="s">
        <v>10213</v>
      </c>
      <c r="J2745">
        <v>14.598737313545</v>
      </c>
      <c r="K2745">
        <v>14.476430518561701</v>
      </c>
      <c r="L2745">
        <v>14.389191516065001</v>
      </c>
      <c r="M2745">
        <v>14.3657465036052</v>
      </c>
      <c r="N2745">
        <v>14.342348273873201</v>
      </c>
      <c r="O2745">
        <v>14.3352924005678</v>
      </c>
      <c r="P2745">
        <v>-0.14032405670845399</v>
      </c>
      <c r="Q2745">
        <v>-0.491477053590405</v>
      </c>
      <c r="R2745">
        <v>0.21082894017349599</v>
      </c>
      <c r="S2745">
        <v>14.588747105001699</v>
      </c>
      <c r="T2745">
        <v>-0.843501317772131</v>
      </c>
      <c r="U2745">
        <v>-6.6857677097384096</v>
      </c>
      <c r="V2745">
        <v>0.410732152690365</v>
      </c>
      <c r="W2745">
        <v>0.68224728170211801</v>
      </c>
      <c r="X2745">
        <v>0</v>
      </c>
      <c r="Y2745">
        <v>0</v>
      </c>
    </row>
    <row r="2746" spans="1:25" x14ac:dyDescent="0.2">
      <c r="A2746" t="s">
        <v>10214</v>
      </c>
      <c r="B2746" t="s">
        <v>10215</v>
      </c>
      <c r="C2746" t="s">
        <v>10216</v>
      </c>
      <c r="D2746" t="s">
        <v>10217</v>
      </c>
      <c r="E2746" t="s">
        <v>10215</v>
      </c>
      <c r="F2746" t="s">
        <v>28</v>
      </c>
      <c r="G2746" t="s">
        <v>10215</v>
      </c>
      <c r="H2746" t="str">
        <f>"mmcm-1"</f>
        <v>mmcm-1</v>
      </c>
      <c r="I2746" t="s">
        <v>10217</v>
      </c>
      <c r="J2746">
        <v>17.500396041602301</v>
      </c>
      <c r="K2746">
        <v>17.4395086132212</v>
      </c>
      <c r="L2746">
        <v>17.065633011981099</v>
      </c>
      <c r="M2746">
        <v>17.398984967036</v>
      </c>
      <c r="N2746">
        <v>17.134161933508</v>
      </c>
      <c r="O2746">
        <v>17.0169891166721</v>
      </c>
      <c r="P2746">
        <v>-0.151800549862845</v>
      </c>
      <c r="Q2746">
        <v>-0.51754119611065297</v>
      </c>
      <c r="R2746">
        <v>0.213940096384963</v>
      </c>
      <c r="S2746">
        <v>16.710755007186499</v>
      </c>
      <c r="T2746">
        <v>-0.87235374516657904</v>
      </c>
      <c r="U2746">
        <v>-6.6615808751354901</v>
      </c>
      <c r="V2746">
        <v>0.39456992278958097</v>
      </c>
      <c r="W2746">
        <v>0.67010987930965404</v>
      </c>
      <c r="X2746">
        <v>0</v>
      </c>
      <c r="Y2746">
        <v>0</v>
      </c>
    </row>
    <row r="2747" spans="1:25" x14ac:dyDescent="0.2">
      <c r="A2747" t="s">
        <v>10218</v>
      </c>
      <c r="B2747" t="s">
        <v>10219</v>
      </c>
      <c r="C2747" t="s">
        <v>10220</v>
      </c>
      <c r="D2747" t="s">
        <v>10221</v>
      </c>
      <c r="E2747" t="s">
        <v>10219</v>
      </c>
      <c r="F2747" t="s">
        <v>28</v>
      </c>
      <c r="G2747" t="s">
        <v>10219</v>
      </c>
      <c r="H2747" t="str">
        <f>"ccdc-47"</f>
        <v>ccdc-47</v>
      </c>
      <c r="I2747" t="s">
        <v>10221</v>
      </c>
      <c r="J2747">
        <v>14.950294518992401</v>
      </c>
      <c r="K2747">
        <v>14.897003579927601</v>
      </c>
      <c r="L2747">
        <v>14.860017354021901</v>
      </c>
      <c r="M2747">
        <v>14.482586416320601</v>
      </c>
      <c r="N2747">
        <v>14.802109093159601</v>
      </c>
      <c r="O2747">
        <v>14.6726564286139</v>
      </c>
      <c r="P2747">
        <v>-0.24998783828255</v>
      </c>
      <c r="Q2747">
        <v>-0.58481299989173097</v>
      </c>
      <c r="R2747">
        <v>8.48373233266312E-2</v>
      </c>
      <c r="S2747">
        <v>14.631137857408101</v>
      </c>
      <c r="T2747">
        <v>-1.56925422685092</v>
      </c>
      <c r="U2747">
        <v>-5.8435537633742802</v>
      </c>
      <c r="V2747">
        <v>0.134101474925956</v>
      </c>
      <c r="W2747">
        <v>0.37911920018163497</v>
      </c>
      <c r="X2747">
        <v>0</v>
      </c>
      <c r="Y2747">
        <v>0</v>
      </c>
    </row>
    <row r="2748" spans="1:25" x14ac:dyDescent="0.2">
      <c r="A2748" t="s">
        <v>10222</v>
      </c>
      <c r="B2748" t="s">
        <v>10223</v>
      </c>
      <c r="C2748" t="s">
        <v>10224</v>
      </c>
      <c r="D2748" t="s">
        <v>10225</v>
      </c>
      <c r="E2748" t="s">
        <v>10223</v>
      </c>
      <c r="F2748" t="s">
        <v>28</v>
      </c>
      <c r="G2748" t="s">
        <v>10223</v>
      </c>
      <c r="H2748" t="str">
        <f>"ZK1127.5"</f>
        <v>ZK1127.5</v>
      </c>
      <c r="I2748" t="s">
        <v>10225</v>
      </c>
      <c r="J2748">
        <v>13.682917404514001</v>
      </c>
      <c r="K2748">
        <v>13.3522030296871</v>
      </c>
      <c r="L2748">
        <v>13.355154638183601</v>
      </c>
      <c r="M2748">
        <v>12.6230449257686</v>
      </c>
      <c r="N2748">
        <v>14.099104857535799</v>
      </c>
      <c r="O2748" t="s">
        <v>29</v>
      </c>
      <c r="P2748">
        <v>-0.102350132476017</v>
      </c>
      <c r="Q2748">
        <v>-0.84626971825340702</v>
      </c>
      <c r="R2748">
        <v>0.64156945330137205</v>
      </c>
      <c r="S2748">
        <v>13.1323682038078</v>
      </c>
      <c r="T2748">
        <v>-0.293429667889195</v>
      </c>
      <c r="U2748">
        <v>-6.8960442290352404</v>
      </c>
      <c r="V2748">
        <v>0.773242524418981</v>
      </c>
      <c r="W2748">
        <v>0.90378274944661097</v>
      </c>
      <c r="X2748">
        <v>0</v>
      </c>
      <c r="Y2748">
        <v>0</v>
      </c>
    </row>
    <row r="2749" spans="1:25" x14ac:dyDescent="0.2">
      <c r="A2749" t="s">
        <v>10226</v>
      </c>
      <c r="B2749" t="s">
        <v>10227</v>
      </c>
      <c r="C2749" t="s">
        <v>10228</v>
      </c>
      <c r="D2749" t="s">
        <v>10229</v>
      </c>
      <c r="E2749" t="s">
        <v>10227</v>
      </c>
      <c r="F2749" t="s">
        <v>28</v>
      </c>
      <c r="G2749" t="s">
        <v>10227</v>
      </c>
      <c r="H2749" t="str">
        <f>"ZK1127.4"</f>
        <v>ZK1127.4</v>
      </c>
      <c r="I2749" t="s">
        <v>10229</v>
      </c>
      <c r="J2749">
        <v>12.9585553284419</v>
      </c>
      <c r="K2749">
        <v>12.487208723631101</v>
      </c>
      <c r="L2749">
        <v>12.6869016023456</v>
      </c>
      <c r="M2749">
        <v>10.3616337755568</v>
      </c>
      <c r="N2749">
        <v>13.2952492447388</v>
      </c>
      <c r="O2749">
        <v>12.8227101755107</v>
      </c>
      <c r="P2749">
        <v>-0.55102415287072404</v>
      </c>
      <c r="Q2749">
        <v>-1.7600495245096499</v>
      </c>
      <c r="R2749">
        <v>0.65800121876820505</v>
      </c>
      <c r="S2749">
        <v>13.558636870488099</v>
      </c>
      <c r="T2749">
        <v>-0.96202250989662896</v>
      </c>
      <c r="U2749">
        <v>-6.5785055388774198</v>
      </c>
      <c r="V2749">
        <v>0.34960598594563502</v>
      </c>
      <c r="W2749">
        <v>0.63089945029888495</v>
      </c>
      <c r="X2749">
        <v>0</v>
      </c>
      <c r="Y2749">
        <v>0</v>
      </c>
    </row>
    <row r="2750" spans="1:25" x14ac:dyDescent="0.2">
      <c r="A2750" t="s">
        <v>10230</v>
      </c>
      <c r="B2750" t="s">
        <v>10231</v>
      </c>
      <c r="C2750" t="s">
        <v>10232</v>
      </c>
      <c r="D2750" t="s">
        <v>10233</v>
      </c>
      <c r="E2750" t="s">
        <v>10231</v>
      </c>
      <c r="F2750" t="s">
        <v>28</v>
      </c>
      <c r="G2750" t="s">
        <v>10231</v>
      </c>
      <c r="H2750" t="str">
        <f>"him-14"</f>
        <v>him-14</v>
      </c>
      <c r="I2750" t="s">
        <v>10233</v>
      </c>
      <c r="J2750" t="s">
        <v>29</v>
      </c>
      <c r="K2750" t="s">
        <v>29</v>
      </c>
      <c r="L2750">
        <v>9.9667640071658301</v>
      </c>
      <c r="M2750" t="s">
        <v>29</v>
      </c>
      <c r="N2750" t="s">
        <v>29</v>
      </c>
      <c r="O2750" t="s">
        <v>29</v>
      </c>
      <c r="P2750" t="s">
        <v>29</v>
      </c>
      <c r="Q2750" t="s">
        <v>29</v>
      </c>
      <c r="R2750" t="s">
        <v>29</v>
      </c>
      <c r="S2750">
        <v>10.8766010888274</v>
      </c>
      <c r="T2750" t="s">
        <v>29</v>
      </c>
      <c r="U2750" t="s">
        <v>29</v>
      </c>
      <c r="V2750" t="s">
        <v>29</v>
      </c>
      <c r="W2750" t="s">
        <v>29</v>
      </c>
      <c r="X2750" t="s">
        <v>29</v>
      </c>
      <c r="Y2750" t="s">
        <v>29</v>
      </c>
    </row>
    <row r="2751" spans="1:25" x14ac:dyDescent="0.2">
      <c r="A2751" t="s">
        <v>10234</v>
      </c>
      <c r="B2751" t="s">
        <v>10235</v>
      </c>
      <c r="C2751" t="s">
        <v>14554</v>
      </c>
      <c r="D2751" t="s">
        <v>3443</v>
      </c>
      <c r="E2751" t="s">
        <v>10235</v>
      </c>
      <c r="F2751" t="s">
        <v>28</v>
      </c>
      <c r="G2751" t="s">
        <v>10235</v>
      </c>
      <c r="H2751" t="str">
        <f>"ZK1248.5"</f>
        <v>ZK1248.5</v>
      </c>
      <c r="I2751" t="s">
        <v>3443</v>
      </c>
      <c r="J2751">
        <v>12.640202924143299</v>
      </c>
      <c r="K2751">
        <v>12.306636578592601</v>
      </c>
      <c r="L2751">
        <v>12.729526921817101</v>
      </c>
      <c r="M2751" t="s">
        <v>29</v>
      </c>
      <c r="N2751">
        <v>13.2232943467288</v>
      </c>
      <c r="O2751">
        <v>12.9637007842139</v>
      </c>
      <c r="P2751">
        <v>0.53470875728701595</v>
      </c>
      <c r="Q2751">
        <v>-2.2911683166070399E-2</v>
      </c>
      <c r="R2751">
        <v>1.0923291977401</v>
      </c>
      <c r="S2751">
        <v>13.0636484803169</v>
      </c>
      <c r="T2751">
        <v>2.0733177043172399</v>
      </c>
      <c r="U2751">
        <v>-4.9638217862780101</v>
      </c>
      <c r="V2751">
        <v>5.87483697239502E-2</v>
      </c>
      <c r="W2751">
        <v>0.245073093873968</v>
      </c>
      <c r="X2751">
        <v>0</v>
      </c>
      <c r="Y2751">
        <v>0</v>
      </c>
    </row>
    <row r="2752" spans="1:25" x14ac:dyDescent="0.2">
      <c r="A2752" t="s">
        <v>10236</v>
      </c>
      <c r="B2752" t="s">
        <v>10237</v>
      </c>
      <c r="C2752" t="s">
        <v>10238</v>
      </c>
      <c r="D2752" t="s">
        <v>66</v>
      </c>
      <c r="E2752" t="s">
        <v>10237</v>
      </c>
      <c r="F2752" t="s">
        <v>28</v>
      </c>
      <c r="G2752" t="s">
        <v>10237</v>
      </c>
      <c r="H2752" t="str">
        <f>"tbc-2"</f>
        <v>tbc-2</v>
      </c>
      <c r="I2752" t="s">
        <v>66</v>
      </c>
      <c r="J2752">
        <v>13.756562597023001</v>
      </c>
      <c r="K2752">
        <v>13.8544954216355</v>
      </c>
      <c r="L2752">
        <v>13.7627142167782</v>
      </c>
      <c r="M2752">
        <v>14.087235701638299</v>
      </c>
      <c r="N2752">
        <v>14.258916935290801</v>
      </c>
      <c r="O2752">
        <v>14.1093865231911</v>
      </c>
      <c r="P2752">
        <v>0.36058897489450498</v>
      </c>
      <c r="Q2752">
        <v>-0.17587754320240301</v>
      </c>
      <c r="R2752">
        <v>0.89705549299141196</v>
      </c>
      <c r="S2752">
        <v>13.902331104573999</v>
      </c>
      <c r="T2752">
        <v>1.4127403032385799</v>
      </c>
      <c r="U2752">
        <v>-6.0608637808697301</v>
      </c>
      <c r="V2752">
        <v>0.174888621976237</v>
      </c>
      <c r="W2752">
        <v>0.43573787106836698</v>
      </c>
      <c r="X2752">
        <v>0</v>
      </c>
      <c r="Y2752">
        <v>0</v>
      </c>
    </row>
    <row r="2753" spans="1:25" x14ac:dyDescent="0.2">
      <c r="A2753" t="s">
        <v>10239</v>
      </c>
      <c r="B2753" t="s">
        <v>10240</v>
      </c>
      <c r="C2753" t="s">
        <v>10241</v>
      </c>
      <c r="D2753" t="s">
        <v>10090</v>
      </c>
      <c r="E2753" t="s">
        <v>10240</v>
      </c>
      <c r="F2753" t="s">
        <v>28</v>
      </c>
      <c r="G2753" t="s">
        <v>10240</v>
      </c>
      <c r="H2753" t="str">
        <f>"gtap-1"</f>
        <v>gtap-1</v>
      </c>
      <c r="I2753" t="s">
        <v>10090</v>
      </c>
      <c r="J2753" t="s">
        <v>29</v>
      </c>
      <c r="K2753" t="s">
        <v>29</v>
      </c>
      <c r="L2753" t="s">
        <v>29</v>
      </c>
      <c r="M2753" t="s">
        <v>29</v>
      </c>
      <c r="N2753" t="s">
        <v>29</v>
      </c>
      <c r="O2753" t="s">
        <v>29</v>
      </c>
      <c r="P2753" t="s">
        <v>29</v>
      </c>
      <c r="Q2753" t="s">
        <v>29</v>
      </c>
      <c r="R2753" t="s">
        <v>29</v>
      </c>
      <c r="S2753">
        <v>10.2999873768134</v>
      </c>
      <c r="T2753" t="s">
        <v>29</v>
      </c>
      <c r="U2753" t="s">
        <v>29</v>
      </c>
      <c r="V2753" t="s">
        <v>29</v>
      </c>
      <c r="W2753" t="s">
        <v>29</v>
      </c>
      <c r="X2753" t="s">
        <v>29</v>
      </c>
      <c r="Y2753" t="s">
        <v>29</v>
      </c>
    </row>
    <row r="2754" spans="1:25" x14ac:dyDescent="0.2">
      <c r="A2754" t="s">
        <v>10242</v>
      </c>
      <c r="B2754" t="s">
        <v>10243</v>
      </c>
      <c r="C2754" t="s">
        <v>10244</v>
      </c>
      <c r="D2754" t="s">
        <v>10245</v>
      </c>
      <c r="E2754" t="s">
        <v>10243</v>
      </c>
      <c r="F2754" t="s">
        <v>28</v>
      </c>
      <c r="G2754" t="s">
        <v>10243</v>
      </c>
      <c r="H2754" t="str">
        <f>"fzo-1"</f>
        <v>fzo-1</v>
      </c>
      <c r="I2754" t="s">
        <v>10245</v>
      </c>
      <c r="J2754">
        <v>14.355474678010999</v>
      </c>
      <c r="K2754">
        <v>14.4292183684751</v>
      </c>
      <c r="L2754">
        <v>14.1869216769154</v>
      </c>
      <c r="M2754">
        <v>14.407976712983199</v>
      </c>
      <c r="N2754">
        <v>14.744847670395099</v>
      </c>
      <c r="O2754">
        <v>14.508421277372699</v>
      </c>
      <c r="P2754">
        <v>0.229876979116518</v>
      </c>
      <c r="Q2754">
        <v>-8.7592473957444794E-2</v>
      </c>
      <c r="R2754">
        <v>0.54734643219048196</v>
      </c>
      <c r="S2754">
        <v>14.239324540804899</v>
      </c>
      <c r="T2754">
        <v>1.5218997673634</v>
      </c>
      <c r="U2754">
        <v>-5.9111639717631004</v>
      </c>
      <c r="V2754">
        <v>0.14550869820606599</v>
      </c>
      <c r="W2754">
        <v>0.39413166186703402</v>
      </c>
      <c r="X2754">
        <v>0</v>
      </c>
      <c r="Y2754">
        <v>0</v>
      </c>
    </row>
    <row r="2755" spans="1:25" x14ac:dyDescent="0.2">
      <c r="A2755" t="s">
        <v>10246</v>
      </c>
      <c r="B2755" t="s">
        <v>10247</v>
      </c>
      <c r="C2755" t="s">
        <v>10248</v>
      </c>
      <c r="D2755" t="s">
        <v>10249</v>
      </c>
      <c r="E2755" t="s">
        <v>10247</v>
      </c>
      <c r="F2755" t="s">
        <v>28</v>
      </c>
      <c r="G2755" t="s">
        <v>10247</v>
      </c>
      <c r="H2755" t="str">
        <f>"rfth-1"</f>
        <v>rfth-1</v>
      </c>
      <c r="I2755" t="s">
        <v>10249</v>
      </c>
      <c r="J2755">
        <v>11.7067575679692</v>
      </c>
      <c r="K2755">
        <v>11.953856310234301</v>
      </c>
      <c r="L2755">
        <v>12.125189990705501</v>
      </c>
      <c r="M2755">
        <v>11.695190480499599</v>
      </c>
      <c r="N2755">
        <v>11.9550368734978</v>
      </c>
      <c r="O2755">
        <v>11.886066902972001</v>
      </c>
      <c r="P2755">
        <v>-8.3169870646521801E-2</v>
      </c>
      <c r="Q2755">
        <v>-0.47728708327088698</v>
      </c>
      <c r="R2755">
        <v>0.31094734197784302</v>
      </c>
      <c r="S2755">
        <v>12.3952015234686</v>
      </c>
      <c r="T2755">
        <v>-0.44544145950514702</v>
      </c>
      <c r="U2755">
        <v>-6.9483892131009499</v>
      </c>
      <c r="V2755">
        <v>0.66165564698426105</v>
      </c>
      <c r="W2755">
        <v>0.84746699678896098</v>
      </c>
      <c r="X2755">
        <v>0</v>
      </c>
      <c r="Y2755">
        <v>0</v>
      </c>
    </row>
    <row r="2756" spans="1:25" x14ac:dyDescent="0.2">
      <c r="A2756" t="s">
        <v>10250</v>
      </c>
      <c r="B2756" t="s">
        <v>10251</v>
      </c>
      <c r="C2756" t="s">
        <v>10252</v>
      </c>
      <c r="D2756" t="s">
        <v>10253</v>
      </c>
      <c r="E2756" t="s">
        <v>10251</v>
      </c>
      <c r="F2756" t="s">
        <v>28</v>
      </c>
      <c r="G2756" t="s">
        <v>10251</v>
      </c>
      <c r="H2756" t="str">
        <f>"sar-1"</f>
        <v>sar-1</v>
      </c>
      <c r="I2756" t="s">
        <v>10253</v>
      </c>
      <c r="J2756">
        <v>14.281528933007399</v>
      </c>
      <c r="K2756">
        <v>13.0334211083514</v>
      </c>
      <c r="L2756">
        <v>12.5584477883994</v>
      </c>
      <c r="M2756" t="s">
        <v>29</v>
      </c>
      <c r="N2756">
        <v>13.0181837873953</v>
      </c>
      <c r="O2756">
        <v>12.041956385123401</v>
      </c>
      <c r="P2756">
        <v>-0.76106252366004401</v>
      </c>
      <c r="Q2756">
        <v>-1.8749808015493501</v>
      </c>
      <c r="R2756">
        <v>0.35285575422926102</v>
      </c>
      <c r="S2756">
        <v>13.6877313374238</v>
      </c>
      <c r="T2756">
        <v>-1.4664217703468101</v>
      </c>
      <c r="U2756">
        <v>-5.8803440609990103</v>
      </c>
      <c r="V2756">
        <v>0.16479760141346</v>
      </c>
      <c r="W2756">
        <v>0.42091946232291899</v>
      </c>
      <c r="X2756">
        <v>0</v>
      </c>
      <c r="Y2756">
        <v>0</v>
      </c>
    </row>
    <row r="2757" spans="1:25" x14ac:dyDescent="0.2">
      <c r="A2757" t="s">
        <v>10254</v>
      </c>
      <c r="B2757" t="s">
        <v>10255</v>
      </c>
      <c r="C2757" t="s">
        <v>10256</v>
      </c>
      <c r="D2757" t="s">
        <v>10257</v>
      </c>
      <c r="E2757" t="s">
        <v>10255</v>
      </c>
      <c r="F2757" t="s">
        <v>28</v>
      </c>
      <c r="G2757" t="s">
        <v>10255</v>
      </c>
      <c r="H2757" t="str">
        <f>"rpn-12"</f>
        <v>rpn-12</v>
      </c>
      <c r="I2757" t="s">
        <v>10257</v>
      </c>
      <c r="J2757">
        <v>12.5857842266426</v>
      </c>
      <c r="K2757">
        <v>12.057532826977701</v>
      </c>
      <c r="L2757">
        <v>12.4456842032144</v>
      </c>
      <c r="M2757">
        <v>12.363897767868099</v>
      </c>
      <c r="N2757">
        <v>12.9141672663258</v>
      </c>
      <c r="O2757">
        <v>12.893980581173601</v>
      </c>
      <c r="P2757">
        <v>0.36101478617757399</v>
      </c>
      <c r="Q2757">
        <v>-6.9912659021114196E-2</v>
      </c>
      <c r="R2757">
        <v>0.79194223137626096</v>
      </c>
      <c r="S2757">
        <v>12.7431796787039</v>
      </c>
      <c r="T2757">
        <v>1.76836067447579</v>
      </c>
      <c r="U2757">
        <v>-5.5447848891408498</v>
      </c>
      <c r="V2757">
        <v>9.5051381228843504E-2</v>
      </c>
      <c r="W2757">
        <v>0.31787995325658502</v>
      </c>
      <c r="X2757">
        <v>0</v>
      </c>
      <c r="Y2757">
        <v>0</v>
      </c>
    </row>
    <row r="2758" spans="1:25" x14ac:dyDescent="0.2">
      <c r="A2758" t="s">
        <v>10258</v>
      </c>
      <c r="B2758" t="s">
        <v>10259</v>
      </c>
      <c r="C2758" t="s">
        <v>14555</v>
      </c>
      <c r="D2758" t="s">
        <v>10260</v>
      </c>
      <c r="E2758" t="s">
        <v>10259</v>
      </c>
      <c r="F2758" t="s">
        <v>28</v>
      </c>
      <c r="G2758" t="s">
        <v>10259</v>
      </c>
      <c r="H2758" t="str">
        <f>"ZK287.7"</f>
        <v>ZK287.7</v>
      </c>
      <c r="I2758" t="s">
        <v>10260</v>
      </c>
      <c r="J2758">
        <v>11.9978332852323</v>
      </c>
      <c r="K2758">
        <v>12.5933483360684</v>
      </c>
      <c r="L2758">
        <v>12.682262658902699</v>
      </c>
      <c r="M2758">
        <v>12.4756031007686</v>
      </c>
      <c r="N2758">
        <v>13.102852809050701</v>
      </c>
      <c r="O2758">
        <v>12.225983518895401</v>
      </c>
      <c r="P2758">
        <v>0.176998382837045</v>
      </c>
      <c r="Q2758">
        <v>-0.412684312017226</v>
      </c>
      <c r="R2758">
        <v>0.76668107769131599</v>
      </c>
      <c r="S2758">
        <v>12.7951898424761</v>
      </c>
      <c r="T2758">
        <v>0.63357922542245804</v>
      </c>
      <c r="U2758">
        <v>-6.8435425370624996</v>
      </c>
      <c r="V2758">
        <v>0.53483935519109405</v>
      </c>
      <c r="W2758">
        <v>0.77492902906669103</v>
      </c>
      <c r="X2758">
        <v>0</v>
      </c>
      <c r="Y2758">
        <v>0</v>
      </c>
    </row>
    <row r="2759" spans="1:25" x14ac:dyDescent="0.2">
      <c r="A2759" t="s">
        <v>10261</v>
      </c>
      <c r="B2759" t="s">
        <v>10262</v>
      </c>
      <c r="C2759" t="s">
        <v>10263</v>
      </c>
      <c r="D2759" t="s">
        <v>3566</v>
      </c>
      <c r="E2759" t="s">
        <v>10262</v>
      </c>
      <c r="F2759" t="s">
        <v>28</v>
      </c>
      <c r="G2759" t="s">
        <v>10262</v>
      </c>
      <c r="H2759" t="str">
        <f>"eftu-2"</f>
        <v>eftu-2</v>
      </c>
      <c r="I2759" t="s">
        <v>3566</v>
      </c>
      <c r="J2759">
        <v>15.025244277006999</v>
      </c>
      <c r="K2759">
        <v>14.8014044450362</v>
      </c>
      <c r="L2759">
        <v>14.4198903849549</v>
      </c>
      <c r="M2759">
        <v>15.505898545499599</v>
      </c>
      <c r="N2759">
        <v>14.981862409137401</v>
      </c>
      <c r="O2759">
        <v>14.735760386400999</v>
      </c>
      <c r="P2759">
        <v>0.325660744679928</v>
      </c>
      <c r="Q2759">
        <v>-0.17354052444012499</v>
      </c>
      <c r="R2759">
        <v>0.82486201379998103</v>
      </c>
      <c r="S2759">
        <v>15.0933827361985</v>
      </c>
      <c r="T2759">
        <v>1.37114139984355</v>
      </c>
      <c r="U2759">
        <v>-6.1155802017344296</v>
      </c>
      <c r="V2759">
        <v>0.18728224368233001</v>
      </c>
      <c r="W2759">
        <v>0.45039110104366298</v>
      </c>
      <c r="X2759">
        <v>0</v>
      </c>
      <c r="Y2759">
        <v>0</v>
      </c>
    </row>
    <row r="2760" spans="1:25" x14ac:dyDescent="0.2">
      <c r="A2760" t="s">
        <v>10264</v>
      </c>
      <c r="B2760" t="s">
        <v>10265</v>
      </c>
      <c r="C2760" t="s">
        <v>10266</v>
      </c>
      <c r="D2760" t="s">
        <v>368</v>
      </c>
      <c r="E2760" t="s">
        <v>10265</v>
      </c>
      <c r="F2760" t="s">
        <v>28</v>
      </c>
      <c r="G2760" t="s">
        <v>10265</v>
      </c>
      <c r="H2760" t="str">
        <f>"lin-37"</f>
        <v>lin-37</v>
      </c>
      <c r="I2760" t="s">
        <v>368</v>
      </c>
      <c r="J2760" t="s">
        <v>29</v>
      </c>
      <c r="K2760" t="s">
        <v>29</v>
      </c>
      <c r="L2760" t="s">
        <v>29</v>
      </c>
      <c r="M2760" t="s">
        <v>29</v>
      </c>
      <c r="N2760" t="s">
        <v>29</v>
      </c>
      <c r="O2760" t="s">
        <v>29</v>
      </c>
      <c r="P2760" t="s">
        <v>29</v>
      </c>
      <c r="Q2760" t="s">
        <v>29</v>
      </c>
      <c r="R2760" t="s">
        <v>29</v>
      </c>
      <c r="S2760">
        <v>11.1732699060654</v>
      </c>
      <c r="T2760" t="s">
        <v>29</v>
      </c>
      <c r="U2760" t="s">
        <v>29</v>
      </c>
      <c r="V2760" t="s">
        <v>29</v>
      </c>
      <c r="W2760" t="s">
        <v>29</v>
      </c>
      <c r="X2760" t="s">
        <v>29</v>
      </c>
      <c r="Y2760" t="s">
        <v>29</v>
      </c>
    </row>
    <row r="2761" spans="1:25" x14ac:dyDescent="0.2">
      <c r="A2761" t="s">
        <v>10267</v>
      </c>
      <c r="B2761" t="s">
        <v>10268</v>
      </c>
      <c r="C2761" t="s">
        <v>14556</v>
      </c>
      <c r="D2761" t="s">
        <v>10269</v>
      </c>
      <c r="E2761" t="s">
        <v>10268</v>
      </c>
      <c r="F2761" t="s">
        <v>28</v>
      </c>
      <c r="G2761" t="s">
        <v>10268</v>
      </c>
      <c r="H2761" t="str">
        <f>"ZK418.5"</f>
        <v>ZK418.5</v>
      </c>
      <c r="I2761" t="s">
        <v>10269</v>
      </c>
      <c r="J2761">
        <v>13.2074330299872</v>
      </c>
      <c r="K2761">
        <v>13.501494715125601</v>
      </c>
      <c r="L2761">
        <v>13.6965035316693</v>
      </c>
      <c r="M2761">
        <v>12.9779840640052</v>
      </c>
      <c r="N2761">
        <v>13.163457609628299</v>
      </c>
      <c r="O2761">
        <v>13.4111017144974</v>
      </c>
      <c r="P2761">
        <v>-0.28429596288376202</v>
      </c>
      <c r="Q2761">
        <v>-0.71590329674747399</v>
      </c>
      <c r="R2761">
        <v>0.14731137097995001</v>
      </c>
      <c r="S2761">
        <v>13.5744041508009</v>
      </c>
      <c r="T2761">
        <v>-1.39711259162334</v>
      </c>
      <c r="U2761">
        <v>-6.0812561495208302</v>
      </c>
      <c r="V2761">
        <v>0.18157982057157099</v>
      </c>
      <c r="W2761">
        <v>0.44492525311738801</v>
      </c>
      <c r="X2761">
        <v>0</v>
      </c>
      <c r="Y2761">
        <v>0</v>
      </c>
    </row>
    <row r="2762" spans="1:25" x14ac:dyDescent="0.2">
      <c r="A2762" t="s">
        <v>10270</v>
      </c>
      <c r="B2762" t="s">
        <v>10271</v>
      </c>
      <c r="C2762" t="s">
        <v>10272</v>
      </c>
      <c r="D2762" t="s">
        <v>603</v>
      </c>
      <c r="E2762" t="s">
        <v>10271</v>
      </c>
      <c r="F2762" t="s">
        <v>28</v>
      </c>
      <c r="G2762" t="s">
        <v>10271</v>
      </c>
      <c r="H2762" t="str">
        <f>"fubl-2"</f>
        <v>fubl-2</v>
      </c>
      <c r="I2762" t="s">
        <v>603</v>
      </c>
      <c r="J2762">
        <v>13.8132161871451</v>
      </c>
      <c r="K2762">
        <v>13.5591545022505</v>
      </c>
      <c r="L2762">
        <v>13.7250489808903</v>
      </c>
      <c r="M2762">
        <v>13.356962973481</v>
      </c>
      <c r="N2762">
        <v>12.436455130869</v>
      </c>
      <c r="O2762">
        <v>13.2641464977845</v>
      </c>
      <c r="P2762">
        <v>-0.67995168938378603</v>
      </c>
      <c r="Q2762">
        <v>-1.25919659064335</v>
      </c>
      <c r="R2762">
        <v>-0.100706788124227</v>
      </c>
      <c r="S2762">
        <v>13.5025820052923</v>
      </c>
      <c r="T2762">
        <v>-2.4672226913568198</v>
      </c>
      <c r="U2762">
        <v>-4.3095221065275799</v>
      </c>
      <c r="V2762">
        <v>2.39431393529866E-2</v>
      </c>
      <c r="W2762">
        <v>0.150562467549398</v>
      </c>
      <c r="X2762">
        <v>0</v>
      </c>
      <c r="Y2762">
        <v>0</v>
      </c>
    </row>
    <row r="2763" spans="1:25" x14ac:dyDescent="0.2">
      <c r="A2763" t="s">
        <v>10273</v>
      </c>
      <c r="B2763" t="s">
        <v>10274</v>
      </c>
      <c r="C2763" t="s">
        <v>10275</v>
      </c>
      <c r="D2763" t="s">
        <v>10276</v>
      </c>
      <c r="E2763" t="s">
        <v>10274</v>
      </c>
      <c r="F2763" t="s">
        <v>28</v>
      </c>
      <c r="G2763" t="s">
        <v>10274</v>
      </c>
      <c r="H2763" t="str">
        <f>"bpnt-1"</f>
        <v>bpnt-1</v>
      </c>
      <c r="I2763" t="s">
        <v>10276</v>
      </c>
      <c r="J2763">
        <v>14.571304173921201</v>
      </c>
      <c r="K2763" t="s">
        <v>29</v>
      </c>
      <c r="L2763" t="s">
        <v>29</v>
      </c>
      <c r="M2763">
        <v>14.315647031192</v>
      </c>
      <c r="N2763">
        <v>14.1519937185786</v>
      </c>
      <c r="O2763">
        <v>13.7411082908285</v>
      </c>
      <c r="P2763">
        <v>-0.50172116038817405</v>
      </c>
      <c r="Q2763">
        <v>-1.5186881759400499</v>
      </c>
      <c r="R2763">
        <v>0.51524585516369803</v>
      </c>
      <c r="S2763">
        <v>13.273694181779501</v>
      </c>
      <c r="T2763">
        <v>-1.04641770867743</v>
      </c>
      <c r="U2763">
        <v>-6.1548813329706302</v>
      </c>
      <c r="V2763">
        <v>0.31102089502921898</v>
      </c>
      <c r="W2763">
        <v>0.58934236491770498</v>
      </c>
      <c r="X2763">
        <v>0</v>
      </c>
      <c r="Y2763">
        <v>0</v>
      </c>
    </row>
    <row r="2764" spans="1:25" x14ac:dyDescent="0.2">
      <c r="A2764" t="s">
        <v>10277</v>
      </c>
      <c r="B2764" t="s">
        <v>10278</v>
      </c>
      <c r="C2764" t="s">
        <v>10279</v>
      </c>
      <c r="D2764" t="s">
        <v>10280</v>
      </c>
      <c r="E2764" t="s">
        <v>10278</v>
      </c>
      <c r="F2764" t="s">
        <v>28</v>
      </c>
      <c r="G2764" t="s">
        <v>10278</v>
      </c>
      <c r="H2764" t="str">
        <f>"dcaf-13"</f>
        <v>dcaf-13</v>
      </c>
      <c r="I2764" t="s">
        <v>10280</v>
      </c>
      <c r="J2764">
        <v>13.6939347780629</v>
      </c>
      <c r="K2764">
        <v>13.950328072529899</v>
      </c>
      <c r="L2764">
        <v>13.542542087323399</v>
      </c>
      <c r="M2764">
        <v>13.182819652851901</v>
      </c>
      <c r="N2764">
        <v>12.552781861157801</v>
      </c>
      <c r="O2764">
        <v>13.0971210389114</v>
      </c>
      <c r="P2764">
        <v>-0.78469412833172703</v>
      </c>
      <c r="Q2764">
        <v>-1.1941355675196199</v>
      </c>
      <c r="R2764">
        <v>-0.37525268914383803</v>
      </c>
      <c r="S2764">
        <v>13.745824571425301</v>
      </c>
      <c r="T2764">
        <v>-4.0453734604760703</v>
      </c>
      <c r="U2764">
        <v>-1.05500932112979</v>
      </c>
      <c r="V2764">
        <v>8.4983352887487101E-4</v>
      </c>
      <c r="W2764">
        <v>1.62668135468166E-2</v>
      </c>
      <c r="X2764">
        <v>0</v>
      </c>
      <c r="Y2764">
        <v>0</v>
      </c>
    </row>
    <row r="2765" spans="1:25" x14ac:dyDescent="0.2">
      <c r="A2765" t="s">
        <v>10281</v>
      </c>
      <c r="B2765" t="s">
        <v>10282</v>
      </c>
      <c r="C2765" t="s">
        <v>10283</v>
      </c>
      <c r="D2765" t="s">
        <v>10284</v>
      </c>
      <c r="E2765" t="s">
        <v>10282</v>
      </c>
      <c r="F2765" t="s">
        <v>28</v>
      </c>
      <c r="G2765" t="s">
        <v>10282</v>
      </c>
      <c r="H2765" t="str">
        <f>"toe-1"</f>
        <v>toe-1</v>
      </c>
      <c r="I2765" t="s">
        <v>10284</v>
      </c>
      <c r="J2765">
        <v>14.341034591048301</v>
      </c>
      <c r="K2765">
        <v>14.4208474949042</v>
      </c>
      <c r="L2765">
        <v>14.178735280548301</v>
      </c>
      <c r="M2765">
        <v>14.473532485114101</v>
      </c>
      <c r="N2765">
        <v>14.4768391839018</v>
      </c>
      <c r="O2765">
        <v>14.0141869155644</v>
      </c>
      <c r="P2765">
        <v>7.98040602653316E-3</v>
      </c>
      <c r="Q2765">
        <v>-0.30685799304743799</v>
      </c>
      <c r="R2765">
        <v>0.32281880510050398</v>
      </c>
      <c r="S2765">
        <v>14.232682825167901</v>
      </c>
      <c r="T2765">
        <v>5.3275778630519903E-2</v>
      </c>
      <c r="U2765">
        <v>-7.0505991066826699</v>
      </c>
      <c r="V2765">
        <v>0.95810242328624895</v>
      </c>
      <c r="W2765">
        <v>0.97837628243144903</v>
      </c>
      <c r="X2765">
        <v>0</v>
      </c>
      <c r="Y2765">
        <v>0</v>
      </c>
    </row>
    <row r="2766" spans="1:25" x14ac:dyDescent="0.2">
      <c r="A2766" t="s">
        <v>10285</v>
      </c>
      <c r="B2766" t="s">
        <v>10286</v>
      </c>
      <c r="C2766" t="s">
        <v>10287</v>
      </c>
      <c r="D2766" t="s">
        <v>10288</v>
      </c>
      <c r="E2766" t="s">
        <v>10286</v>
      </c>
      <c r="F2766" t="s">
        <v>28</v>
      </c>
      <c r="G2766" t="s">
        <v>10286</v>
      </c>
      <c r="H2766" t="str">
        <f>"aco-1"</f>
        <v>aco-1</v>
      </c>
      <c r="I2766" t="s">
        <v>10288</v>
      </c>
      <c r="J2766">
        <v>14.7522454361123</v>
      </c>
      <c r="K2766">
        <v>14.5179210229617</v>
      </c>
      <c r="L2766">
        <v>14.612232615031299</v>
      </c>
      <c r="M2766">
        <v>15.0595417192896</v>
      </c>
      <c r="N2766">
        <v>14.436734337597199</v>
      </c>
      <c r="O2766">
        <v>15.7150636286958</v>
      </c>
      <c r="P2766">
        <v>0.442980203825805</v>
      </c>
      <c r="Q2766">
        <v>-7.2203985568431897E-2</v>
      </c>
      <c r="R2766">
        <v>0.95816439322004099</v>
      </c>
      <c r="S2766">
        <v>14.7634474873184</v>
      </c>
      <c r="T2766">
        <v>1.80723365419368</v>
      </c>
      <c r="U2766">
        <v>-5.4809336577907599</v>
      </c>
      <c r="V2766">
        <v>8.7568098241879597E-2</v>
      </c>
      <c r="W2766">
        <v>0.30307876947013501</v>
      </c>
      <c r="X2766">
        <v>0</v>
      </c>
      <c r="Y2766">
        <v>0</v>
      </c>
    </row>
    <row r="2767" spans="1:25" x14ac:dyDescent="0.2">
      <c r="A2767" t="s">
        <v>10289</v>
      </c>
      <c r="B2767" t="s">
        <v>10290</v>
      </c>
      <c r="C2767" t="s">
        <v>10291</v>
      </c>
      <c r="D2767" t="s">
        <v>10292</v>
      </c>
      <c r="E2767" t="s">
        <v>10290</v>
      </c>
      <c r="F2767" t="s">
        <v>28</v>
      </c>
      <c r="G2767" t="s">
        <v>10290</v>
      </c>
      <c r="H2767" t="str">
        <f>"lars-2"</f>
        <v>lars-2</v>
      </c>
      <c r="I2767" t="s">
        <v>10292</v>
      </c>
      <c r="J2767">
        <v>13.764331365299901</v>
      </c>
      <c r="K2767">
        <v>13.8247795085794</v>
      </c>
      <c r="L2767">
        <v>13.6069925810028</v>
      </c>
      <c r="M2767">
        <v>13.5685996434453</v>
      </c>
      <c r="N2767">
        <v>13.598108928081</v>
      </c>
      <c r="O2767">
        <v>13.3834379665982</v>
      </c>
      <c r="P2767">
        <v>-0.215318972252559</v>
      </c>
      <c r="Q2767">
        <v>-0.62507345931797398</v>
      </c>
      <c r="R2767">
        <v>0.19443551481285501</v>
      </c>
      <c r="S2767">
        <v>13.3018598141278</v>
      </c>
      <c r="T2767">
        <v>-1.1044628013706701</v>
      </c>
      <c r="U2767">
        <v>-6.4338128588673298</v>
      </c>
      <c r="V2767">
        <v>0.28402228187192902</v>
      </c>
      <c r="W2767">
        <v>0.56457452975641897</v>
      </c>
      <c r="X2767">
        <v>0</v>
      </c>
      <c r="Y2767">
        <v>0</v>
      </c>
    </row>
    <row r="2768" spans="1:25" x14ac:dyDescent="0.2">
      <c r="A2768" t="s">
        <v>10293</v>
      </c>
      <c r="B2768" t="s">
        <v>10294</v>
      </c>
      <c r="C2768" t="s">
        <v>10295</v>
      </c>
      <c r="D2768" t="s">
        <v>107</v>
      </c>
      <c r="E2768" t="s">
        <v>10294</v>
      </c>
      <c r="F2768" t="s">
        <v>28</v>
      </c>
      <c r="G2768" t="s">
        <v>10294</v>
      </c>
      <c r="H2768" t="str">
        <f>"slc-17.1"</f>
        <v>slc-17.1</v>
      </c>
      <c r="I2768" t="s">
        <v>107</v>
      </c>
      <c r="J2768">
        <v>11.719473332268</v>
      </c>
      <c r="K2768" t="s">
        <v>29</v>
      </c>
      <c r="L2768" t="s">
        <v>29</v>
      </c>
      <c r="M2768" t="s">
        <v>29</v>
      </c>
      <c r="N2768" t="s">
        <v>29</v>
      </c>
      <c r="O2768" t="s">
        <v>29</v>
      </c>
      <c r="P2768" t="s">
        <v>29</v>
      </c>
      <c r="Q2768" t="s">
        <v>29</v>
      </c>
      <c r="R2768" t="s">
        <v>29</v>
      </c>
      <c r="S2768">
        <v>11.7453701286999</v>
      </c>
      <c r="T2768" t="s">
        <v>29</v>
      </c>
      <c r="U2768" t="s">
        <v>29</v>
      </c>
      <c r="V2768" t="s">
        <v>29</v>
      </c>
      <c r="W2768" t="s">
        <v>29</v>
      </c>
      <c r="X2768" t="s">
        <v>29</v>
      </c>
      <c r="Y2768" t="s">
        <v>29</v>
      </c>
    </row>
    <row r="2769" spans="1:25" x14ac:dyDescent="0.2">
      <c r="A2769" t="s">
        <v>10296</v>
      </c>
      <c r="B2769" t="s">
        <v>10297</v>
      </c>
      <c r="C2769" t="s">
        <v>10298</v>
      </c>
      <c r="D2769" t="s">
        <v>10299</v>
      </c>
      <c r="E2769" t="s">
        <v>10297</v>
      </c>
      <c r="F2769" t="s">
        <v>28</v>
      </c>
      <c r="G2769" t="s">
        <v>10297</v>
      </c>
      <c r="H2769" t="str">
        <f>"mdt-4"</f>
        <v>mdt-4</v>
      </c>
      <c r="I2769" t="s">
        <v>10299</v>
      </c>
      <c r="J2769" t="s">
        <v>29</v>
      </c>
      <c r="K2769" t="s">
        <v>29</v>
      </c>
      <c r="L2769" t="s">
        <v>29</v>
      </c>
      <c r="M2769">
        <v>14.288082302310199</v>
      </c>
      <c r="N2769">
        <v>14.110814469054599</v>
      </c>
      <c r="O2769">
        <v>13.811223370204701</v>
      </c>
      <c r="P2769" t="s">
        <v>29</v>
      </c>
      <c r="Q2769" t="s">
        <v>29</v>
      </c>
      <c r="R2769" t="s">
        <v>29</v>
      </c>
      <c r="S2769">
        <v>13.300590338104501</v>
      </c>
      <c r="T2769" t="s">
        <v>29</v>
      </c>
      <c r="U2769" t="s">
        <v>29</v>
      </c>
      <c r="V2769" t="s">
        <v>29</v>
      </c>
      <c r="W2769" t="s">
        <v>29</v>
      </c>
      <c r="X2769" t="s">
        <v>29</v>
      </c>
      <c r="Y2769" t="s">
        <v>29</v>
      </c>
    </row>
    <row r="2770" spans="1:25" x14ac:dyDescent="0.2">
      <c r="A2770" t="s">
        <v>10300</v>
      </c>
      <c r="B2770" t="s">
        <v>10301</v>
      </c>
      <c r="C2770" t="s">
        <v>10302</v>
      </c>
      <c r="D2770" t="s">
        <v>10303</v>
      </c>
      <c r="E2770" t="s">
        <v>10301</v>
      </c>
      <c r="F2770" t="s">
        <v>28</v>
      </c>
      <c r="G2770" t="s">
        <v>10301</v>
      </c>
      <c r="H2770" t="str">
        <f>"ZK546.14"</f>
        <v>ZK546.14</v>
      </c>
      <c r="I2770" t="s">
        <v>10303</v>
      </c>
      <c r="J2770" t="s">
        <v>29</v>
      </c>
      <c r="K2770" t="s">
        <v>29</v>
      </c>
      <c r="L2770" t="s">
        <v>29</v>
      </c>
      <c r="M2770" t="s">
        <v>29</v>
      </c>
      <c r="N2770" t="s">
        <v>29</v>
      </c>
      <c r="O2770" t="s">
        <v>29</v>
      </c>
      <c r="P2770" t="s">
        <v>29</v>
      </c>
      <c r="Q2770" t="s">
        <v>29</v>
      </c>
      <c r="R2770" t="s">
        <v>29</v>
      </c>
      <c r="S2770">
        <v>10.4125884876879</v>
      </c>
      <c r="T2770" t="s">
        <v>29</v>
      </c>
      <c r="U2770" t="s">
        <v>29</v>
      </c>
      <c r="V2770" t="s">
        <v>29</v>
      </c>
      <c r="W2770" t="s">
        <v>29</v>
      </c>
      <c r="X2770" t="s">
        <v>29</v>
      </c>
      <c r="Y2770" t="s">
        <v>29</v>
      </c>
    </row>
    <row r="2771" spans="1:25" x14ac:dyDescent="0.2">
      <c r="A2771" t="s">
        <v>10304</v>
      </c>
      <c r="B2771" t="s">
        <v>10305</v>
      </c>
      <c r="C2771" t="s">
        <v>14557</v>
      </c>
      <c r="D2771" t="s">
        <v>10306</v>
      </c>
      <c r="E2771" t="s">
        <v>10305</v>
      </c>
      <c r="F2771" t="s">
        <v>28</v>
      </c>
      <c r="G2771" t="s">
        <v>10305</v>
      </c>
      <c r="H2771" t="str">
        <f>"ZK546.2"</f>
        <v>ZK546.2</v>
      </c>
      <c r="I2771" t="s">
        <v>10306</v>
      </c>
      <c r="J2771">
        <v>13.191427099680601</v>
      </c>
      <c r="K2771">
        <v>13.0972098636196</v>
      </c>
      <c r="L2771">
        <v>13.3353055504314</v>
      </c>
      <c r="M2771">
        <v>13.2576280970399</v>
      </c>
      <c r="N2771">
        <v>12.771204529113399</v>
      </c>
      <c r="O2771">
        <v>13.592189843543601</v>
      </c>
      <c r="P2771">
        <v>-9.7334801157877805E-4</v>
      </c>
      <c r="Q2771">
        <v>-0.53691849632871003</v>
      </c>
      <c r="R2771">
        <v>0.53497180030555203</v>
      </c>
      <c r="S2771">
        <v>13.1502172070418</v>
      </c>
      <c r="T2771">
        <v>-3.85209804157961E-3</v>
      </c>
      <c r="U2771">
        <v>-7.0520786142006697</v>
      </c>
      <c r="V2771">
        <v>0.99697440992211295</v>
      </c>
      <c r="W2771">
        <v>0.99789441091558195</v>
      </c>
      <c r="X2771">
        <v>0</v>
      </c>
      <c r="Y2771">
        <v>0</v>
      </c>
    </row>
    <row r="2772" spans="1:25" x14ac:dyDescent="0.2">
      <c r="A2772" t="s">
        <v>10307</v>
      </c>
      <c r="B2772" t="s">
        <v>10308</v>
      </c>
      <c r="C2772" t="s">
        <v>10309</v>
      </c>
      <c r="D2772" t="s">
        <v>10310</v>
      </c>
      <c r="E2772" t="s">
        <v>10308</v>
      </c>
      <c r="F2772" t="s">
        <v>28</v>
      </c>
      <c r="G2772" t="s">
        <v>10308</v>
      </c>
      <c r="H2772" t="str">
        <f>"zyg-12"</f>
        <v>zyg-12</v>
      </c>
      <c r="I2772" t="s">
        <v>10310</v>
      </c>
      <c r="J2772" t="s">
        <v>29</v>
      </c>
      <c r="K2772" t="s">
        <v>29</v>
      </c>
      <c r="L2772" t="s">
        <v>29</v>
      </c>
      <c r="M2772" t="s">
        <v>29</v>
      </c>
      <c r="N2772">
        <v>12.930513158701601</v>
      </c>
      <c r="O2772" t="s">
        <v>29</v>
      </c>
      <c r="P2772" t="s">
        <v>29</v>
      </c>
      <c r="Q2772" t="s">
        <v>29</v>
      </c>
      <c r="R2772" t="s">
        <v>29</v>
      </c>
      <c r="S2772">
        <v>11.886951685204</v>
      </c>
      <c r="T2772" t="s">
        <v>29</v>
      </c>
      <c r="U2772" t="s">
        <v>29</v>
      </c>
      <c r="V2772" t="s">
        <v>29</v>
      </c>
      <c r="W2772" t="s">
        <v>29</v>
      </c>
      <c r="X2772" t="s">
        <v>29</v>
      </c>
      <c r="Y2772" t="s">
        <v>29</v>
      </c>
    </row>
    <row r="2773" spans="1:25" x14ac:dyDescent="0.2">
      <c r="A2773" t="s">
        <v>10311</v>
      </c>
      <c r="B2773" t="s">
        <v>10312</v>
      </c>
      <c r="C2773" t="s">
        <v>10313</v>
      </c>
      <c r="D2773" t="s">
        <v>682</v>
      </c>
      <c r="E2773" t="s">
        <v>10312</v>
      </c>
      <c r="F2773" t="s">
        <v>28</v>
      </c>
      <c r="G2773" t="s">
        <v>10312</v>
      </c>
      <c r="H2773" t="str">
        <f>"pyk-2"</f>
        <v>pyk-2</v>
      </c>
      <c r="I2773" t="s">
        <v>682</v>
      </c>
      <c r="J2773">
        <v>13.867227326853399</v>
      </c>
      <c r="K2773">
        <v>13.8816550279825</v>
      </c>
      <c r="L2773">
        <v>13.5167686554681</v>
      </c>
      <c r="M2773">
        <v>13.923750083271299</v>
      </c>
      <c r="N2773">
        <v>13.5748572237631</v>
      </c>
      <c r="O2773">
        <v>12.7740420492349</v>
      </c>
      <c r="P2773">
        <v>-0.33100055134490303</v>
      </c>
      <c r="Q2773">
        <v>-0.94530469889305202</v>
      </c>
      <c r="R2773">
        <v>0.28330359620324502</v>
      </c>
      <c r="S2773">
        <v>13.3571890906086</v>
      </c>
      <c r="T2773">
        <v>-1.14286464928617</v>
      </c>
      <c r="U2773">
        <v>-6.3900746412007496</v>
      </c>
      <c r="V2773">
        <v>0.27001741163057302</v>
      </c>
      <c r="W2773">
        <v>0.54607623209812495</v>
      </c>
      <c r="X2773">
        <v>0</v>
      </c>
      <c r="Y2773">
        <v>0</v>
      </c>
    </row>
    <row r="2774" spans="1:25" x14ac:dyDescent="0.2">
      <c r="A2774" t="s">
        <v>10314</v>
      </c>
      <c r="B2774" t="s">
        <v>10315</v>
      </c>
      <c r="C2774" t="s">
        <v>10316</v>
      </c>
      <c r="D2774" t="s">
        <v>10317</v>
      </c>
      <c r="E2774" t="s">
        <v>10315</v>
      </c>
      <c r="F2774" t="s">
        <v>28</v>
      </c>
      <c r="G2774" t="s">
        <v>10315</v>
      </c>
      <c r="H2774" t="str">
        <f>"rbr-2"</f>
        <v>rbr-2</v>
      </c>
      <c r="I2774" t="s">
        <v>10317</v>
      </c>
      <c r="J2774">
        <v>10.320905739700899</v>
      </c>
      <c r="K2774">
        <v>11.139836239744</v>
      </c>
      <c r="L2774">
        <v>11.447627898862001</v>
      </c>
      <c r="M2774" t="s">
        <v>29</v>
      </c>
      <c r="N2774" t="s">
        <v>29</v>
      </c>
      <c r="O2774">
        <v>10.4786006908048</v>
      </c>
      <c r="P2774">
        <v>-0.49085593529749999</v>
      </c>
      <c r="Q2774">
        <v>-1.7145031536080799</v>
      </c>
      <c r="R2774">
        <v>0.73279128301307905</v>
      </c>
      <c r="S2774">
        <v>11.344762278683</v>
      </c>
      <c r="T2774">
        <v>-0.86097335687719001</v>
      </c>
      <c r="U2774">
        <v>-6.3278856217341701</v>
      </c>
      <c r="V2774">
        <v>0.403865268700214</v>
      </c>
      <c r="W2774">
        <v>0.67647874428407795</v>
      </c>
      <c r="X2774">
        <v>0</v>
      </c>
      <c r="Y2774">
        <v>0</v>
      </c>
    </row>
    <row r="2775" spans="1:25" x14ac:dyDescent="0.2">
      <c r="A2775" t="s">
        <v>10318</v>
      </c>
      <c r="B2775" t="s">
        <v>10319</v>
      </c>
      <c r="C2775" t="s">
        <v>10320</v>
      </c>
      <c r="D2775" t="s">
        <v>10321</v>
      </c>
      <c r="E2775" t="s">
        <v>10319</v>
      </c>
      <c r="F2775" t="s">
        <v>28</v>
      </c>
      <c r="G2775" t="s">
        <v>10319</v>
      </c>
      <c r="H2775" t="str">
        <f>"unc-22"</f>
        <v>unc-22</v>
      </c>
      <c r="I2775" t="s">
        <v>10321</v>
      </c>
      <c r="J2775">
        <v>14.907963467374399</v>
      </c>
      <c r="K2775">
        <v>15.105570194660199</v>
      </c>
      <c r="L2775">
        <v>14.958579255953101</v>
      </c>
      <c r="M2775">
        <v>15.2930258692297</v>
      </c>
      <c r="N2775">
        <v>14.8511637486403</v>
      </c>
      <c r="O2775">
        <v>15.225981731670601</v>
      </c>
      <c r="P2775">
        <v>0.132686143850934</v>
      </c>
      <c r="Q2775">
        <v>-0.267719463368226</v>
      </c>
      <c r="R2775">
        <v>0.53309175107009399</v>
      </c>
      <c r="S2775">
        <v>14.803448690865901</v>
      </c>
      <c r="T2775">
        <v>0.69649489122910901</v>
      </c>
      <c r="U2775">
        <v>-6.8012700868090299</v>
      </c>
      <c r="V2775">
        <v>0.49506732717179602</v>
      </c>
      <c r="W2775">
        <v>0.74731922542549301</v>
      </c>
      <c r="X2775">
        <v>0</v>
      </c>
      <c r="Y2775">
        <v>0</v>
      </c>
    </row>
    <row r="2776" spans="1:25" x14ac:dyDescent="0.2">
      <c r="A2776" t="s">
        <v>10322</v>
      </c>
      <c r="B2776" t="s">
        <v>10323</v>
      </c>
      <c r="C2776" t="s">
        <v>10324</v>
      </c>
      <c r="D2776" t="s">
        <v>10325</v>
      </c>
      <c r="E2776" t="s">
        <v>10323</v>
      </c>
      <c r="F2776" t="s">
        <v>28</v>
      </c>
      <c r="G2776" t="s">
        <v>10323</v>
      </c>
      <c r="H2776" t="str">
        <f>"pmt-1"</f>
        <v>pmt-1</v>
      </c>
      <c r="I2776" t="s">
        <v>10325</v>
      </c>
      <c r="J2776">
        <v>15.2824603128247</v>
      </c>
      <c r="K2776">
        <v>15.066483987909701</v>
      </c>
      <c r="L2776">
        <v>15.094857625403399</v>
      </c>
      <c r="M2776">
        <v>15.136324610082101</v>
      </c>
      <c r="N2776">
        <v>15.044052052112001</v>
      </c>
      <c r="O2776">
        <v>14.660021151257</v>
      </c>
      <c r="P2776">
        <v>-0.20113470422890101</v>
      </c>
      <c r="Q2776">
        <v>-0.64722538694473097</v>
      </c>
      <c r="R2776">
        <v>0.24495597848692999</v>
      </c>
      <c r="S2776">
        <v>15.061275966696099</v>
      </c>
      <c r="T2776">
        <v>-0.94766834020198198</v>
      </c>
      <c r="U2776">
        <v>-6.5929507668319802</v>
      </c>
      <c r="V2776">
        <v>0.35592105596449602</v>
      </c>
      <c r="W2776">
        <v>0.63553177735484401</v>
      </c>
      <c r="X2776">
        <v>0</v>
      </c>
      <c r="Y2776">
        <v>0</v>
      </c>
    </row>
    <row r="2777" spans="1:25" x14ac:dyDescent="0.2">
      <c r="A2777" t="s">
        <v>10326</v>
      </c>
      <c r="B2777" t="s">
        <v>10327</v>
      </c>
      <c r="C2777" t="s">
        <v>10328</v>
      </c>
      <c r="D2777" t="s">
        <v>10329</v>
      </c>
      <c r="E2777" t="s">
        <v>10327</v>
      </c>
      <c r="F2777" t="s">
        <v>28</v>
      </c>
      <c r="G2777" t="s">
        <v>10327</v>
      </c>
      <c r="H2777" t="str">
        <f>"dbt-1"</f>
        <v>dbt-1</v>
      </c>
      <c r="I2777" t="s">
        <v>10329</v>
      </c>
      <c r="J2777">
        <v>15.4520094371713</v>
      </c>
      <c r="K2777">
        <v>15.4012791002719</v>
      </c>
      <c r="L2777">
        <v>15.732668859841899</v>
      </c>
      <c r="M2777">
        <v>16.15834910541</v>
      </c>
      <c r="N2777">
        <v>17.658793045100101</v>
      </c>
      <c r="O2777">
        <v>17.601645067212001</v>
      </c>
      <c r="P2777">
        <v>1.6109432734790301</v>
      </c>
      <c r="Q2777">
        <v>0.87756909452868004</v>
      </c>
      <c r="R2777">
        <v>2.3443174524293799</v>
      </c>
      <c r="S2777">
        <v>16.273590228113999</v>
      </c>
      <c r="T2777">
        <v>4.6168646834151099</v>
      </c>
      <c r="U2777">
        <v>0.27646457297656601</v>
      </c>
      <c r="V2777">
        <v>2.1720532678141499E-4</v>
      </c>
      <c r="W2777">
        <v>5.9393792718212199E-3</v>
      </c>
      <c r="X2777">
        <v>1</v>
      </c>
      <c r="Y2777">
        <v>1</v>
      </c>
    </row>
    <row r="2778" spans="1:25" x14ac:dyDescent="0.2">
      <c r="A2778" t="s">
        <v>10330</v>
      </c>
      <c r="B2778" t="s">
        <v>10331</v>
      </c>
      <c r="C2778" t="s">
        <v>10332</v>
      </c>
      <c r="D2778" t="s">
        <v>10333</v>
      </c>
      <c r="E2778" t="s">
        <v>10331</v>
      </c>
      <c r="F2778" t="s">
        <v>28</v>
      </c>
      <c r="G2778" t="s">
        <v>10331</v>
      </c>
      <c r="H2778" t="str">
        <f>"upp-1"</f>
        <v>upp-1</v>
      </c>
      <c r="I2778" t="s">
        <v>10333</v>
      </c>
      <c r="J2778" t="s">
        <v>29</v>
      </c>
      <c r="K2778" t="s">
        <v>29</v>
      </c>
      <c r="L2778">
        <v>11.8890857869977</v>
      </c>
      <c r="M2778">
        <v>13.9422762044707</v>
      </c>
      <c r="N2778">
        <v>13.380445143767201</v>
      </c>
      <c r="O2778">
        <v>13.836530520834801</v>
      </c>
      <c r="P2778">
        <v>1.8306648360265101</v>
      </c>
      <c r="Q2778">
        <v>1.101211708683</v>
      </c>
      <c r="R2778">
        <v>2.56011796337001</v>
      </c>
      <c r="S2778">
        <v>13.2072734059092</v>
      </c>
      <c r="T2778">
        <v>5.4262361885755501</v>
      </c>
      <c r="U2778">
        <v>1.32299059324426</v>
      </c>
      <c r="V2778">
        <v>1.19170472500402E-4</v>
      </c>
      <c r="W2778">
        <v>3.5905621992250699E-3</v>
      </c>
      <c r="X2778">
        <v>1</v>
      </c>
      <c r="Y2778">
        <v>1</v>
      </c>
    </row>
    <row r="2779" spans="1:25" x14ac:dyDescent="0.2">
      <c r="A2779" t="s">
        <v>10334</v>
      </c>
      <c r="B2779" t="s">
        <v>10335</v>
      </c>
      <c r="C2779" t="s">
        <v>14558</v>
      </c>
      <c r="D2779" t="s">
        <v>10336</v>
      </c>
      <c r="E2779" t="s">
        <v>10335</v>
      </c>
      <c r="F2779" t="s">
        <v>28</v>
      </c>
      <c r="G2779" t="s">
        <v>10335</v>
      </c>
      <c r="H2779" t="str">
        <f>"ZK792.5"</f>
        <v>ZK792.5</v>
      </c>
      <c r="I2779" t="s">
        <v>10336</v>
      </c>
      <c r="J2779">
        <v>13.754590215742001</v>
      </c>
      <c r="K2779" t="s">
        <v>29</v>
      </c>
      <c r="L2779">
        <v>13.541342363821199</v>
      </c>
      <c r="M2779">
        <v>14.5025638350552</v>
      </c>
      <c r="N2779" t="s">
        <v>29</v>
      </c>
      <c r="O2779">
        <v>13.8197601033835</v>
      </c>
      <c r="P2779">
        <v>0.51319567943768796</v>
      </c>
      <c r="Q2779">
        <v>-0.76940331288424302</v>
      </c>
      <c r="R2779">
        <v>1.79579467175962</v>
      </c>
      <c r="S2779">
        <v>13.068818224383801</v>
      </c>
      <c r="T2779">
        <v>0.85336279178623198</v>
      </c>
      <c r="U2779">
        <v>-6.4760901878413799</v>
      </c>
      <c r="V2779">
        <v>0.40697247456241697</v>
      </c>
      <c r="W2779">
        <v>0.67842645093550502</v>
      </c>
      <c r="X2779">
        <v>0</v>
      </c>
      <c r="Y2779">
        <v>0</v>
      </c>
    </row>
    <row r="2780" spans="1:25" x14ac:dyDescent="0.2">
      <c r="A2780" t="s">
        <v>10337</v>
      </c>
      <c r="B2780" t="s">
        <v>10338</v>
      </c>
      <c r="C2780" t="s">
        <v>14559</v>
      </c>
      <c r="D2780" t="s">
        <v>8716</v>
      </c>
      <c r="E2780" t="s">
        <v>10338</v>
      </c>
      <c r="F2780" t="s">
        <v>28</v>
      </c>
      <c r="G2780" t="s">
        <v>10338</v>
      </c>
      <c r="H2780" t="str">
        <f>"ZK813.3"</f>
        <v>ZK813.3</v>
      </c>
      <c r="I2780" t="s">
        <v>8716</v>
      </c>
      <c r="J2780">
        <v>16.178501935439801</v>
      </c>
      <c r="K2780">
        <v>14.4193990237658</v>
      </c>
      <c r="L2780">
        <v>16.6690597003189</v>
      </c>
      <c r="M2780">
        <v>16.4126270372902</v>
      </c>
      <c r="N2780">
        <v>15.3316501223354</v>
      </c>
      <c r="O2780">
        <v>15.976580436211901</v>
      </c>
      <c r="P2780">
        <v>0.151298978770988</v>
      </c>
      <c r="Q2780">
        <v>-1.1335823559526499</v>
      </c>
      <c r="R2780">
        <v>1.43618031349463</v>
      </c>
      <c r="S2780">
        <v>16.1146548563989</v>
      </c>
      <c r="T2780">
        <v>0.24749446432697</v>
      </c>
      <c r="U2780">
        <v>-7.0200409177508698</v>
      </c>
      <c r="V2780">
        <v>0.80734294964009401</v>
      </c>
      <c r="W2780">
        <v>0.91833642628581302</v>
      </c>
      <c r="X2780">
        <v>0</v>
      </c>
      <c r="Y2780">
        <v>0</v>
      </c>
    </row>
    <row r="2781" spans="1:25" x14ac:dyDescent="0.2">
      <c r="A2781" t="s">
        <v>10339</v>
      </c>
      <c r="B2781" t="s">
        <v>10340</v>
      </c>
      <c r="C2781" t="s">
        <v>14560</v>
      </c>
      <c r="D2781" t="s">
        <v>8716</v>
      </c>
      <c r="E2781" t="s">
        <v>10340</v>
      </c>
      <c r="F2781" t="s">
        <v>28</v>
      </c>
      <c r="G2781" t="s">
        <v>10340</v>
      </c>
      <c r="H2781" t="str">
        <f>"ZK813.1"</f>
        <v>ZK813.1</v>
      </c>
      <c r="I2781" t="s">
        <v>8716</v>
      </c>
      <c r="J2781">
        <v>15.334934143095801</v>
      </c>
      <c r="K2781">
        <v>15.0132871955007</v>
      </c>
      <c r="L2781">
        <v>16.081460216115801</v>
      </c>
      <c r="M2781">
        <v>15.152091777611</v>
      </c>
      <c r="N2781">
        <v>15.220421187961399</v>
      </c>
      <c r="O2781">
        <v>14.701884278313701</v>
      </c>
      <c r="P2781">
        <v>-0.451761436942068</v>
      </c>
      <c r="Q2781">
        <v>-1.32706415796467</v>
      </c>
      <c r="R2781">
        <v>0.42354128408053099</v>
      </c>
      <c r="S2781">
        <v>15.3459921136412</v>
      </c>
      <c r="T2781">
        <v>-1.08478429915649</v>
      </c>
      <c r="U2781">
        <v>-6.4549627651057904</v>
      </c>
      <c r="V2781">
        <v>0.29241593604867699</v>
      </c>
      <c r="W2781">
        <v>0.57073294396640095</v>
      </c>
      <c r="X2781">
        <v>0</v>
      </c>
      <c r="Y2781">
        <v>0</v>
      </c>
    </row>
    <row r="2782" spans="1:25" x14ac:dyDescent="0.2">
      <c r="A2782" t="s">
        <v>10341</v>
      </c>
      <c r="B2782" t="s">
        <v>10342</v>
      </c>
      <c r="C2782" t="s">
        <v>14181</v>
      </c>
      <c r="D2782" t="s">
        <v>10343</v>
      </c>
      <c r="E2782" t="s">
        <v>10342</v>
      </c>
      <c r="F2782" t="s">
        <v>28</v>
      </c>
      <c r="G2782" t="s">
        <v>10342</v>
      </c>
      <c r="H2782" t="str">
        <f>"ZK822.1"</f>
        <v>ZK822.1</v>
      </c>
      <c r="I2782" t="s">
        <v>10343</v>
      </c>
      <c r="J2782">
        <v>10.8044806880278</v>
      </c>
      <c r="K2782">
        <v>9.1915806324417701</v>
      </c>
      <c r="L2782">
        <v>10.203156143106501</v>
      </c>
      <c r="M2782">
        <v>11.709193152064101</v>
      </c>
      <c r="N2782">
        <v>12.187305020137</v>
      </c>
      <c r="O2782">
        <v>11.901728126636</v>
      </c>
      <c r="P2782">
        <v>1.8663362784203299</v>
      </c>
      <c r="Q2782">
        <v>1.1410995284254599</v>
      </c>
      <c r="R2782">
        <v>2.5915730284151999</v>
      </c>
      <c r="S2782">
        <v>11.4408274831861</v>
      </c>
      <c r="T2782">
        <v>5.45832794071399</v>
      </c>
      <c r="U2782">
        <v>1.7516384206003099</v>
      </c>
      <c r="V2782" s="2">
        <v>5.38083049510386E-5</v>
      </c>
      <c r="W2782">
        <v>1.84307604537557E-3</v>
      </c>
      <c r="X2782">
        <v>1</v>
      </c>
      <c r="Y2782">
        <v>1</v>
      </c>
    </row>
    <row r="2783" spans="1:25" x14ac:dyDescent="0.2">
      <c r="A2783" t="s">
        <v>10344</v>
      </c>
      <c r="B2783" t="s">
        <v>10345</v>
      </c>
      <c r="C2783" t="s">
        <v>10346</v>
      </c>
      <c r="D2783" t="s">
        <v>10347</v>
      </c>
      <c r="E2783" t="s">
        <v>10345</v>
      </c>
      <c r="F2783" t="s">
        <v>28</v>
      </c>
      <c r="G2783" t="s">
        <v>10345</v>
      </c>
      <c r="H2783" t="str">
        <f>"slc-5A12"</f>
        <v>slc-5A12</v>
      </c>
      <c r="I2783" t="s">
        <v>10347</v>
      </c>
      <c r="J2783">
        <v>14.1912069006101</v>
      </c>
      <c r="K2783">
        <v>13.334286021971501</v>
      </c>
      <c r="L2783">
        <v>14.006682375873799</v>
      </c>
      <c r="M2783">
        <v>14.1641075337047</v>
      </c>
      <c r="N2783">
        <v>14.1300521053818</v>
      </c>
      <c r="O2783">
        <v>13.9304810036683</v>
      </c>
      <c r="P2783">
        <v>0.23082178143314799</v>
      </c>
      <c r="Q2783">
        <v>-0.321395549172728</v>
      </c>
      <c r="R2783">
        <v>0.78303911203902399</v>
      </c>
      <c r="S2783">
        <v>14.1345505999619</v>
      </c>
      <c r="T2783">
        <v>0.88230099577051502</v>
      </c>
      <c r="U2783">
        <v>-6.6520636836050002</v>
      </c>
      <c r="V2783">
        <v>0.38999495644710802</v>
      </c>
      <c r="W2783">
        <v>0.66546596134184</v>
      </c>
      <c r="X2783">
        <v>0</v>
      </c>
      <c r="Y2783">
        <v>0</v>
      </c>
    </row>
    <row r="2784" spans="1:25" x14ac:dyDescent="0.2">
      <c r="A2784" t="s">
        <v>10348</v>
      </c>
      <c r="B2784" t="s">
        <v>10349</v>
      </c>
      <c r="C2784" t="s">
        <v>10350</v>
      </c>
      <c r="D2784" t="s">
        <v>10351</v>
      </c>
      <c r="E2784" t="s">
        <v>10349</v>
      </c>
      <c r="F2784" t="s">
        <v>28</v>
      </c>
      <c r="G2784" t="s">
        <v>10349</v>
      </c>
      <c r="H2784" t="str">
        <f>"gdh-1"</f>
        <v>gdh-1</v>
      </c>
      <c r="I2784" t="s">
        <v>10351</v>
      </c>
      <c r="J2784">
        <v>14.200244308100499</v>
      </c>
      <c r="K2784">
        <v>14.287830840607301</v>
      </c>
      <c r="L2784">
        <v>14.658406694233699</v>
      </c>
      <c r="M2784">
        <v>14.1394605634757</v>
      </c>
      <c r="N2784">
        <v>14.398068972395899</v>
      </c>
      <c r="O2784">
        <v>15.779355950255701</v>
      </c>
      <c r="P2784">
        <v>0.39013454772863199</v>
      </c>
      <c r="Q2784">
        <v>-0.241995444182102</v>
      </c>
      <c r="R2784">
        <v>1.0222645396393699</v>
      </c>
      <c r="S2784">
        <v>14.544222913157601</v>
      </c>
      <c r="T2784">
        <v>1.2971808454834901</v>
      </c>
      <c r="U2784">
        <v>-6.20957332110493</v>
      </c>
      <c r="V2784">
        <v>0.211044458680092</v>
      </c>
      <c r="W2784">
        <v>0.47657090114158301</v>
      </c>
      <c r="X2784">
        <v>0</v>
      </c>
      <c r="Y2784">
        <v>0</v>
      </c>
    </row>
    <row r="2785" spans="1:25" x14ac:dyDescent="0.2">
      <c r="A2785" t="s">
        <v>10352</v>
      </c>
      <c r="B2785" t="s">
        <v>10353</v>
      </c>
      <c r="C2785" t="s">
        <v>14561</v>
      </c>
      <c r="D2785" t="s">
        <v>4084</v>
      </c>
      <c r="E2785" t="s">
        <v>10353</v>
      </c>
      <c r="F2785" t="s">
        <v>28</v>
      </c>
      <c r="G2785" t="s">
        <v>10353</v>
      </c>
      <c r="H2785" t="str">
        <f>"ZK829.7"</f>
        <v>ZK829.7</v>
      </c>
      <c r="I2785" t="s">
        <v>4084</v>
      </c>
      <c r="J2785">
        <v>14.7784807558086</v>
      </c>
      <c r="K2785">
        <v>14.4578582826088</v>
      </c>
      <c r="L2785">
        <v>13.969378509094099</v>
      </c>
      <c r="M2785">
        <v>15.0656925854242</v>
      </c>
      <c r="N2785">
        <v>14.9543914706836</v>
      </c>
      <c r="O2785">
        <v>14.911127619604899</v>
      </c>
      <c r="P2785">
        <v>0.57516470940039899</v>
      </c>
      <c r="Q2785">
        <v>6.49560390952552E-2</v>
      </c>
      <c r="R2785">
        <v>1.08537337970554</v>
      </c>
      <c r="S2785">
        <v>14.4225803003477</v>
      </c>
      <c r="T2785">
        <v>2.3693919553442702</v>
      </c>
      <c r="U2785">
        <v>-4.4959551326786</v>
      </c>
      <c r="V2785">
        <v>2.9272757234594202E-2</v>
      </c>
      <c r="W2785">
        <v>0.16822941267366101</v>
      </c>
      <c r="X2785">
        <v>0</v>
      </c>
      <c r="Y2785">
        <v>0</v>
      </c>
    </row>
    <row r="2786" spans="1:25" x14ac:dyDescent="0.2">
      <c r="A2786" t="s">
        <v>10354</v>
      </c>
      <c r="B2786" t="s">
        <v>10355</v>
      </c>
      <c r="C2786" t="s">
        <v>10356</v>
      </c>
      <c r="D2786" t="s">
        <v>10357</v>
      </c>
      <c r="E2786" t="s">
        <v>10355</v>
      </c>
      <c r="F2786" t="s">
        <v>28</v>
      </c>
      <c r="G2786" t="s">
        <v>10355</v>
      </c>
      <c r="H2786" t="str">
        <f>"ogdh-2"</f>
        <v>ogdh-2</v>
      </c>
      <c r="I2786" t="s">
        <v>10357</v>
      </c>
      <c r="J2786">
        <v>12.663117557504201</v>
      </c>
      <c r="K2786">
        <v>12.302680604715199</v>
      </c>
      <c r="L2786">
        <v>12.4008405268288</v>
      </c>
      <c r="M2786">
        <v>13.2785483706535</v>
      </c>
      <c r="N2786">
        <v>12.6520590369869</v>
      </c>
      <c r="O2786">
        <v>13.037817199609</v>
      </c>
      <c r="P2786">
        <v>0.53392863940035395</v>
      </c>
      <c r="Q2786">
        <v>-0.347607574787903</v>
      </c>
      <c r="R2786">
        <v>1.4154648535886101</v>
      </c>
      <c r="S2786">
        <v>12.7634343863302</v>
      </c>
      <c r="T2786">
        <v>1.28467297521962</v>
      </c>
      <c r="U2786">
        <v>-6.2240275146264903</v>
      </c>
      <c r="V2786">
        <v>0.21731375002327599</v>
      </c>
      <c r="W2786">
        <v>0.48434174149023301</v>
      </c>
      <c r="X2786">
        <v>0</v>
      </c>
      <c r="Y2786">
        <v>0</v>
      </c>
    </row>
    <row r="2787" spans="1:25" x14ac:dyDescent="0.2">
      <c r="A2787" t="s">
        <v>10358</v>
      </c>
      <c r="B2787" t="s">
        <v>10359</v>
      </c>
      <c r="C2787" t="s">
        <v>14562</v>
      </c>
      <c r="D2787" t="s">
        <v>10360</v>
      </c>
      <c r="E2787" t="s">
        <v>10359</v>
      </c>
      <c r="F2787" t="s">
        <v>28</v>
      </c>
      <c r="G2787" t="s">
        <v>10359</v>
      </c>
      <c r="H2787" t="str">
        <f>"ZK84.1"</f>
        <v>ZK84.1</v>
      </c>
      <c r="I2787" t="s">
        <v>10360</v>
      </c>
      <c r="J2787">
        <v>10.2267915065284</v>
      </c>
      <c r="K2787">
        <v>11.615035721284899</v>
      </c>
      <c r="L2787">
        <v>11.823338370779</v>
      </c>
      <c r="M2787" t="s">
        <v>29</v>
      </c>
      <c r="N2787">
        <v>10.898453513014699</v>
      </c>
      <c r="O2787">
        <v>10.6419605733056</v>
      </c>
      <c r="P2787">
        <v>-0.451514823037311</v>
      </c>
      <c r="Q2787">
        <v>-1.72004366799304</v>
      </c>
      <c r="R2787">
        <v>0.81701402191841399</v>
      </c>
      <c r="S2787">
        <v>10.9623607189131</v>
      </c>
      <c r="T2787">
        <v>-0.77627692711225205</v>
      </c>
      <c r="U2787">
        <v>-6.6257952892896901</v>
      </c>
      <c r="V2787">
        <v>0.45274508560806198</v>
      </c>
      <c r="W2787">
        <v>0.71970322841652901</v>
      </c>
      <c r="X2787">
        <v>0</v>
      </c>
      <c r="Y2787">
        <v>0</v>
      </c>
    </row>
    <row r="2788" spans="1:25" x14ac:dyDescent="0.2">
      <c r="A2788" t="s">
        <v>10361</v>
      </c>
      <c r="B2788" t="s">
        <v>10362</v>
      </c>
      <c r="C2788" t="s">
        <v>10363</v>
      </c>
      <c r="D2788" t="s">
        <v>10364</v>
      </c>
      <c r="E2788" t="s">
        <v>10362</v>
      </c>
      <c r="F2788" t="s">
        <v>28</v>
      </c>
      <c r="G2788" t="s">
        <v>10362</v>
      </c>
      <c r="H2788" t="str">
        <f>"cul-5"</f>
        <v>cul-5</v>
      </c>
      <c r="I2788" t="s">
        <v>10364</v>
      </c>
      <c r="J2788">
        <v>13.0186569988334</v>
      </c>
      <c r="K2788">
        <v>12.976551963813</v>
      </c>
      <c r="L2788">
        <v>13.1220508217339</v>
      </c>
      <c r="M2788">
        <v>13.052293007967</v>
      </c>
      <c r="N2788">
        <v>13.2336899866864</v>
      </c>
      <c r="O2788">
        <v>13.1602773746922</v>
      </c>
      <c r="P2788">
        <v>0.109666861655086</v>
      </c>
      <c r="Q2788">
        <v>-0.33601568772532697</v>
      </c>
      <c r="R2788">
        <v>0.55534941103549795</v>
      </c>
      <c r="S2788">
        <v>13.0917965732797</v>
      </c>
      <c r="T2788">
        <v>0.51718068717227805</v>
      </c>
      <c r="U2788">
        <v>-6.91295693059367</v>
      </c>
      <c r="V2788">
        <v>0.61136361331901101</v>
      </c>
      <c r="W2788">
        <v>0.81665730613303</v>
      </c>
      <c r="X2788">
        <v>0</v>
      </c>
      <c r="Y2788">
        <v>0</v>
      </c>
    </row>
    <row r="2789" spans="1:25" x14ac:dyDescent="0.2">
      <c r="A2789" t="s">
        <v>10365</v>
      </c>
      <c r="B2789" t="s">
        <v>10366</v>
      </c>
      <c r="C2789" t="s">
        <v>10367</v>
      </c>
      <c r="D2789" t="s">
        <v>10368</v>
      </c>
      <c r="E2789" t="s">
        <v>10366</v>
      </c>
      <c r="F2789" t="s">
        <v>28</v>
      </c>
      <c r="G2789" t="s">
        <v>10366</v>
      </c>
      <c r="H2789" t="str">
        <f>"elpc-3"</f>
        <v>elpc-3</v>
      </c>
      <c r="I2789" t="s">
        <v>10368</v>
      </c>
      <c r="J2789">
        <v>10.9004207523106</v>
      </c>
      <c r="K2789">
        <v>10.6088151566313</v>
      </c>
      <c r="L2789">
        <v>11.0410139688525</v>
      </c>
      <c r="M2789">
        <v>10.7209773648901</v>
      </c>
      <c r="N2789">
        <v>10.9084084862896</v>
      </c>
      <c r="O2789">
        <v>10.5893561787805</v>
      </c>
      <c r="P2789">
        <v>-0.110502615944783</v>
      </c>
      <c r="Q2789">
        <v>-0.68258462907634798</v>
      </c>
      <c r="R2789">
        <v>0.46157939718678098</v>
      </c>
      <c r="S2789">
        <v>11.1461918839349</v>
      </c>
      <c r="T2789">
        <v>-0.40772212506973099</v>
      </c>
      <c r="U2789">
        <v>-6.9651248687864102</v>
      </c>
      <c r="V2789">
        <v>0.68859768501474805</v>
      </c>
      <c r="W2789">
        <v>0.86071781854856699</v>
      </c>
      <c r="X2789">
        <v>0</v>
      </c>
      <c r="Y2789">
        <v>0</v>
      </c>
    </row>
    <row r="2790" spans="1:25" x14ac:dyDescent="0.2">
      <c r="A2790" t="s">
        <v>10369</v>
      </c>
      <c r="B2790" t="s">
        <v>10370</v>
      </c>
      <c r="C2790" t="s">
        <v>10371</v>
      </c>
      <c r="D2790" t="s">
        <v>10372</v>
      </c>
      <c r="E2790" t="s">
        <v>10370</v>
      </c>
      <c r="F2790" t="s">
        <v>28</v>
      </c>
      <c r="G2790" t="s">
        <v>10370</v>
      </c>
      <c r="H2790" t="str">
        <f>"usip-1"</f>
        <v>usip-1</v>
      </c>
      <c r="I2790" t="s">
        <v>10372</v>
      </c>
      <c r="J2790">
        <v>13.642672363804699</v>
      </c>
      <c r="K2790">
        <v>13.595544441507201</v>
      </c>
      <c r="L2790">
        <v>13.5970580350267</v>
      </c>
      <c r="M2790">
        <v>13.2046423692835</v>
      </c>
      <c r="N2790">
        <v>13.4090998906854</v>
      </c>
      <c r="O2790">
        <v>13.2350441079198</v>
      </c>
      <c r="P2790">
        <v>-0.32882949081663998</v>
      </c>
      <c r="Q2790">
        <v>-0.68421642668030203</v>
      </c>
      <c r="R2790">
        <v>2.6557445047022499E-2</v>
      </c>
      <c r="S2790">
        <v>13.3065332323054</v>
      </c>
      <c r="T2790">
        <v>-1.9530767683782699</v>
      </c>
      <c r="U2790">
        <v>-5.2454194341675402</v>
      </c>
      <c r="V2790">
        <v>6.7578099245178602E-2</v>
      </c>
      <c r="W2790">
        <v>0.263521466404601</v>
      </c>
      <c r="X2790">
        <v>0</v>
      </c>
      <c r="Y2790">
        <v>0</v>
      </c>
    </row>
    <row r="2791" spans="1:25" x14ac:dyDescent="0.2">
      <c r="A2791" t="s">
        <v>10373</v>
      </c>
      <c r="B2791" t="s">
        <v>10374</v>
      </c>
      <c r="C2791" t="s">
        <v>14563</v>
      </c>
      <c r="D2791" t="s">
        <v>10375</v>
      </c>
      <c r="E2791" t="s">
        <v>10374</v>
      </c>
      <c r="F2791" t="s">
        <v>28</v>
      </c>
      <c r="G2791" t="s">
        <v>10374</v>
      </c>
      <c r="H2791" t="str">
        <f>"ZK899.2"</f>
        <v>ZK899.2</v>
      </c>
      <c r="I2791" t="s">
        <v>10375</v>
      </c>
      <c r="J2791">
        <v>13.3716209216397</v>
      </c>
      <c r="K2791">
        <v>13.833431781215699</v>
      </c>
      <c r="L2791">
        <v>13.6426178944092</v>
      </c>
      <c r="M2791">
        <v>13.459044889109199</v>
      </c>
      <c r="N2791">
        <v>13.4058683311706</v>
      </c>
      <c r="O2791">
        <v>12.891602378629999</v>
      </c>
      <c r="P2791">
        <v>-0.36371833278492399</v>
      </c>
      <c r="Q2791">
        <v>-0.908647775931678</v>
      </c>
      <c r="R2791">
        <v>0.18121111036183099</v>
      </c>
      <c r="S2791">
        <v>13.6741311490768</v>
      </c>
      <c r="T2791">
        <v>-1.4028700091847499</v>
      </c>
      <c r="U2791">
        <v>-6.0739651310835603</v>
      </c>
      <c r="V2791">
        <v>0.177767601485877</v>
      </c>
      <c r="W2791">
        <v>0.43989032337265699</v>
      </c>
      <c r="X2791">
        <v>0</v>
      </c>
      <c r="Y2791">
        <v>0</v>
      </c>
    </row>
    <row r="2792" spans="1:25" x14ac:dyDescent="0.2">
      <c r="A2792" t="s">
        <v>10376</v>
      </c>
      <c r="B2792" t="s">
        <v>10377</v>
      </c>
      <c r="C2792" t="s">
        <v>10378</v>
      </c>
      <c r="D2792" t="s">
        <v>2221</v>
      </c>
      <c r="E2792" t="s">
        <v>10377</v>
      </c>
      <c r="F2792" t="s">
        <v>28</v>
      </c>
      <c r="G2792" t="s">
        <v>10377</v>
      </c>
      <c r="H2792" t="str">
        <f>"vps-15"</f>
        <v>vps-15</v>
      </c>
      <c r="I2792" t="s">
        <v>2221</v>
      </c>
      <c r="J2792">
        <v>12.1157820782018</v>
      </c>
      <c r="K2792">
        <v>11.963676173789599</v>
      </c>
      <c r="L2792">
        <v>11.733794188061999</v>
      </c>
      <c r="M2792">
        <v>11.493575001314101</v>
      </c>
      <c r="N2792">
        <v>12.161496638575301</v>
      </c>
      <c r="O2792">
        <v>11.706339694509101</v>
      </c>
      <c r="P2792">
        <v>-0.15061370188497</v>
      </c>
      <c r="Q2792">
        <v>-0.59011622447630996</v>
      </c>
      <c r="R2792">
        <v>0.28888882070637101</v>
      </c>
      <c r="S2792">
        <v>11.8248868493031</v>
      </c>
      <c r="T2792">
        <v>-0.72335772542977494</v>
      </c>
      <c r="U2792">
        <v>-6.7812172713371304</v>
      </c>
      <c r="V2792">
        <v>0.47935610045365001</v>
      </c>
      <c r="W2792">
        <v>0.73779317270922695</v>
      </c>
      <c r="X2792">
        <v>0</v>
      </c>
      <c r="Y2792">
        <v>0</v>
      </c>
    </row>
    <row r="2793" spans="1:25" x14ac:dyDescent="0.2">
      <c r="A2793" t="s">
        <v>10379</v>
      </c>
      <c r="B2793" t="s">
        <v>10380</v>
      </c>
      <c r="C2793" t="s">
        <v>10381</v>
      </c>
      <c r="D2793" t="s">
        <v>10382</v>
      </c>
      <c r="E2793" t="s">
        <v>10380</v>
      </c>
      <c r="F2793" t="s">
        <v>28</v>
      </c>
      <c r="G2793" t="s">
        <v>10380</v>
      </c>
      <c r="H2793" t="str">
        <f>"top-2"</f>
        <v>top-2</v>
      </c>
      <c r="I2793" t="s">
        <v>10382</v>
      </c>
      <c r="J2793">
        <v>16.1360622463623</v>
      </c>
      <c r="K2793">
        <v>16.202848155720599</v>
      </c>
      <c r="L2793">
        <v>16.014713611655001</v>
      </c>
      <c r="M2793">
        <v>16.304503561558299</v>
      </c>
      <c r="N2793">
        <v>16.345273278065001</v>
      </c>
      <c r="O2793">
        <v>16.2270196921286</v>
      </c>
      <c r="P2793">
        <v>0.17439083933799199</v>
      </c>
      <c r="Q2793">
        <v>-0.28617093241479902</v>
      </c>
      <c r="R2793">
        <v>0.63495261109078205</v>
      </c>
      <c r="S2793">
        <v>16.174905066224799</v>
      </c>
      <c r="T2793">
        <v>0.79584463682338602</v>
      </c>
      <c r="U2793">
        <v>-6.72594201645797</v>
      </c>
      <c r="V2793">
        <v>0.43655279421760801</v>
      </c>
      <c r="W2793">
        <v>0.70393597244008699</v>
      </c>
      <c r="X2793">
        <v>0</v>
      </c>
      <c r="Y2793">
        <v>0</v>
      </c>
    </row>
    <row r="2794" spans="1:25" x14ac:dyDescent="0.2">
      <c r="A2794" t="s">
        <v>10383</v>
      </c>
      <c r="B2794" t="s">
        <v>10384</v>
      </c>
      <c r="C2794" t="s">
        <v>10385</v>
      </c>
      <c r="D2794" t="s">
        <v>10386</v>
      </c>
      <c r="E2794" t="s">
        <v>10384</v>
      </c>
      <c r="F2794" t="s">
        <v>28</v>
      </c>
      <c r="G2794" t="s">
        <v>10384</v>
      </c>
      <c r="H2794" t="str">
        <f>"vha-9"</f>
        <v>vha-9</v>
      </c>
      <c r="I2794" t="s">
        <v>10386</v>
      </c>
      <c r="J2794" t="s">
        <v>29</v>
      </c>
      <c r="K2794">
        <v>12.8805087479875</v>
      </c>
      <c r="L2794" t="s">
        <v>29</v>
      </c>
      <c r="M2794">
        <v>15.0389467652035</v>
      </c>
      <c r="N2794">
        <v>15.105080638371801</v>
      </c>
      <c r="O2794">
        <v>14.991447720504199</v>
      </c>
      <c r="P2794">
        <v>2.1646496267056801</v>
      </c>
      <c r="Q2794">
        <v>1.27658998458745</v>
      </c>
      <c r="R2794">
        <v>3.0527092688239201</v>
      </c>
      <c r="S2794">
        <v>13.8104808865052</v>
      </c>
      <c r="T2794">
        <v>5.1986081426825503</v>
      </c>
      <c r="U2794">
        <v>1.3070053017969201</v>
      </c>
      <c r="V2794">
        <v>1.10505376172869E-4</v>
      </c>
      <c r="W2794">
        <v>3.3606027482851802E-3</v>
      </c>
      <c r="X2794">
        <v>1</v>
      </c>
      <c r="Y2794">
        <v>1</v>
      </c>
    </row>
    <row r="2795" spans="1:25" x14ac:dyDescent="0.2">
      <c r="A2795" t="s">
        <v>10387</v>
      </c>
      <c r="B2795" t="s">
        <v>10388</v>
      </c>
      <c r="C2795" t="s">
        <v>10389</v>
      </c>
      <c r="D2795" t="s">
        <v>10390</v>
      </c>
      <c r="E2795" t="s">
        <v>10388</v>
      </c>
      <c r="F2795" t="s">
        <v>28</v>
      </c>
      <c r="G2795" t="s">
        <v>10388</v>
      </c>
      <c r="H2795" t="str">
        <f>"dif-1"</f>
        <v>dif-1</v>
      </c>
      <c r="I2795" t="s">
        <v>10390</v>
      </c>
      <c r="J2795">
        <v>16.889981290338099</v>
      </c>
      <c r="K2795">
        <v>16.799622479592401</v>
      </c>
      <c r="L2795">
        <v>16.7911732365733</v>
      </c>
      <c r="M2795">
        <v>16.9871963212832</v>
      </c>
      <c r="N2795">
        <v>17.012749737511299</v>
      </c>
      <c r="O2795">
        <v>16.363970898774099</v>
      </c>
      <c r="P2795">
        <v>-3.8953349645037598E-2</v>
      </c>
      <c r="Q2795">
        <v>-0.44142512052725003</v>
      </c>
      <c r="R2795">
        <v>0.36351842123717398</v>
      </c>
      <c r="S2795">
        <v>16.488396677277201</v>
      </c>
      <c r="T2795">
        <v>-0.20342386317361399</v>
      </c>
      <c r="U2795">
        <v>-7.0304252412135604</v>
      </c>
      <c r="V2795">
        <v>0.84109901683019295</v>
      </c>
      <c r="W2795">
        <v>0.93730691807035904</v>
      </c>
      <c r="X2795">
        <v>0</v>
      </c>
      <c r="Y2795">
        <v>0</v>
      </c>
    </row>
    <row r="2796" spans="1:25" x14ac:dyDescent="0.2">
      <c r="A2796" t="s">
        <v>10391</v>
      </c>
      <c r="B2796" t="s">
        <v>10392</v>
      </c>
      <c r="C2796" t="s">
        <v>10393</v>
      </c>
      <c r="D2796" t="s">
        <v>10394</v>
      </c>
      <c r="E2796" t="s">
        <v>10392</v>
      </c>
      <c r="F2796" t="s">
        <v>28</v>
      </c>
      <c r="G2796" t="s">
        <v>10392</v>
      </c>
      <c r="H2796" t="str">
        <f>"rop-1"</f>
        <v>rop-1</v>
      </c>
      <c r="I2796" t="s">
        <v>10394</v>
      </c>
      <c r="J2796">
        <v>14.9228008519631</v>
      </c>
      <c r="K2796">
        <v>14.906322433796101</v>
      </c>
      <c r="L2796">
        <v>14.6848661600109</v>
      </c>
      <c r="M2796">
        <v>14.5574345164653</v>
      </c>
      <c r="N2796">
        <v>14.462762839371599</v>
      </c>
      <c r="O2796">
        <v>14.1697289113545</v>
      </c>
      <c r="P2796">
        <v>-0.44135439285961597</v>
      </c>
      <c r="Q2796">
        <v>-0.84341798060920803</v>
      </c>
      <c r="R2796">
        <v>-3.9290805110023301E-2</v>
      </c>
      <c r="S2796">
        <v>14.8582761077262</v>
      </c>
      <c r="T2796">
        <v>-2.3071998935040501</v>
      </c>
      <c r="U2796">
        <v>-4.61244095167498</v>
      </c>
      <c r="V2796">
        <v>3.3216466513983897E-2</v>
      </c>
      <c r="W2796">
        <v>0.18014397006083899</v>
      </c>
      <c r="X2796">
        <v>0</v>
      </c>
      <c r="Y2796">
        <v>0</v>
      </c>
    </row>
    <row r="2797" spans="1:25" x14ac:dyDescent="0.2">
      <c r="A2797" t="s">
        <v>10395</v>
      </c>
      <c r="B2797" t="s">
        <v>10396</v>
      </c>
      <c r="C2797" t="s">
        <v>10397</v>
      </c>
      <c r="D2797" t="s">
        <v>10398</v>
      </c>
      <c r="E2797" t="s">
        <v>10396</v>
      </c>
      <c r="F2797" t="s">
        <v>28</v>
      </c>
      <c r="G2797" t="s">
        <v>10396</v>
      </c>
      <c r="H2797" t="str">
        <f>"rpl-16"</f>
        <v>rpl-16</v>
      </c>
      <c r="I2797" t="s">
        <v>10398</v>
      </c>
      <c r="J2797">
        <v>20.158460316229899</v>
      </c>
      <c r="K2797">
        <v>20.1231099333224</v>
      </c>
      <c r="L2797">
        <v>20.105873989536601</v>
      </c>
      <c r="M2797">
        <v>19.897748667960599</v>
      </c>
      <c r="N2797">
        <v>19.615034861417001</v>
      </c>
      <c r="O2797">
        <v>19.470922897980302</v>
      </c>
      <c r="P2797">
        <v>-0.46791260391031397</v>
      </c>
      <c r="Q2797">
        <v>-0.83046827045075</v>
      </c>
      <c r="R2797">
        <v>-0.105356937369878</v>
      </c>
      <c r="S2797">
        <v>19.925986622983299</v>
      </c>
      <c r="T2797">
        <v>-2.7125800262978901</v>
      </c>
      <c r="U2797">
        <v>-3.8265933230489999</v>
      </c>
      <c r="V2797">
        <v>1.43163355492149E-2</v>
      </c>
      <c r="W2797">
        <v>0.11013086495779</v>
      </c>
      <c r="X2797">
        <v>0</v>
      </c>
      <c r="Y2797">
        <v>0</v>
      </c>
    </row>
    <row r="2798" spans="1:25" x14ac:dyDescent="0.2">
      <c r="A2798" t="s">
        <v>10399</v>
      </c>
      <c r="B2798" t="s">
        <v>10400</v>
      </c>
      <c r="C2798" t="s">
        <v>10401</v>
      </c>
      <c r="D2798" t="s">
        <v>10402</v>
      </c>
      <c r="E2798" t="s">
        <v>10400</v>
      </c>
      <c r="F2798" t="s">
        <v>28</v>
      </c>
      <c r="G2798" t="s">
        <v>10400</v>
      </c>
      <c r="H2798" t="str">
        <f>"lin-15B"</f>
        <v>lin-15B</v>
      </c>
      <c r="I2798" t="s">
        <v>10402</v>
      </c>
      <c r="J2798">
        <v>13.069003602104999</v>
      </c>
      <c r="K2798">
        <v>12.748553590904599</v>
      </c>
      <c r="L2798">
        <v>12.4432918233649</v>
      </c>
      <c r="M2798">
        <v>13.004709914371</v>
      </c>
      <c r="N2798">
        <v>12.538368758705101</v>
      </c>
      <c r="O2798">
        <v>12.739177582306001</v>
      </c>
      <c r="P2798">
        <v>7.13574633584635E-3</v>
      </c>
      <c r="Q2798">
        <v>-0.43865322582988397</v>
      </c>
      <c r="R2798">
        <v>0.45292471850157701</v>
      </c>
      <c r="S2798">
        <v>12.890200594558699</v>
      </c>
      <c r="T2798">
        <v>3.3787814061469398E-2</v>
      </c>
      <c r="U2798">
        <v>-7.05148630898469</v>
      </c>
      <c r="V2798">
        <v>0.97344232648140305</v>
      </c>
      <c r="W2798">
        <v>0.98525080260357201</v>
      </c>
      <c r="X2798">
        <v>0</v>
      </c>
      <c r="Y2798">
        <v>0</v>
      </c>
    </row>
    <row r="2799" spans="1:25" x14ac:dyDescent="0.2">
      <c r="A2799" t="s">
        <v>10403</v>
      </c>
      <c r="B2799" t="s">
        <v>10404</v>
      </c>
      <c r="C2799" t="s">
        <v>10405</v>
      </c>
      <c r="D2799" t="s">
        <v>10406</v>
      </c>
      <c r="E2799" t="s">
        <v>10404</v>
      </c>
      <c r="F2799" t="s">
        <v>28</v>
      </c>
      <c r="G2799" t="s">
        <v>10404</v>
      </c>
      <c r="H2799" t="str">
        <f>"gspd-1"</f>
        <v>gspd-1</v>
      </c>
      <c r="I2799" t="s">
        <v>10406</v>
      </c>
      <c r="J2799">
        <v>16.381006388028599</v>
      </c>
      <c r="K2799">
        <v>16.220976949574101</v>
      </c>
      <c r="L2799">
        <v>16.290734774061399</v>
      </c>
      <c r="M2799">
        <v>16.1153594790546</v>
      </c>
      <c r="N2799">
        <v>16.345235230944901</v>
      </c>
      <c r="O2799">
        <v>16.0728157346703</v>
      </c>
      <c r="P2799">
        <v>-0.119769222331378</v>
      </c>
      <c r="Q2799">
        <v>-0.47505798598217303</v>
      </c>
      <c r="R2799">
        <v>0.23551954131941699</v>
      </c>
      <c r="S2799">
        <v>15.869989332537701</v>
      </c>
      <c r="T2799">
        <v>-0.70852678046031203</v>
      </c>
      <c r="U2799">
        <v>-6.7926502888064801</v>
      </c>
      <c r="V2799">
        <v>0.48774607458561198</v>
      </c>
      <c r="W2799">
        <v>0.74195019062289802</v>
      </c>
      <c r="X2799">
        <v>0</v>
      </c>
      <c r="Y2799">
        <v>0</v>
      </c>
    </row>
    <row r="2800" spans="1:25" x14ac:dyDescent="0.2">
      <c r="A2800" t="s">
        <v>10407</v>
      </c>
      <c r="B2800" t="s">
        <v>10408</v>
      </c>
      <c r="C2800" t="s">
        <v>10409</v>
      </c>
      <c r="D2800" t="s">
        <v>10410</v>
      </c>
      <c r="E2800" t="s">
        <v>10408</v>
      </c>
      <c r="F2800" t="s">
        <v>28</v>
      </c>
      <c r="G2800" t="s">
        <v>10408</v>
      </c>
      <c r="H2800" t="str">
        <f>"lig-1"</f>
        <v>lig-1</v>
      </c>
      <c r="I2800" t="s">
        <v>10410</v>
      </c>
      <c r="J2800">
        <v>14.077915333507701</v>
      </c>
      <c r="K2800">
        <v>13.8570146959265</v>
      </c>
      <c r="L2800">
        <v>13.799731289133801</v>
      </c>
      <c r="M2800">
        <v>13.709191016421499</v>
      </c>
      <c r="N2800">
        <v>13.917865035098499</v>
      </c>
      <c r="O2800">
        <v>13.5765159483517</v>
      </c>
      <c r="P2800">
        <v>-0.17702977289880201</v>
      </c>
      <c r="Q2800">
        <v>-0.53011743674293499</v>
      </c>
      <c r="R2800">
        <v>0.176057890945331</v>
      </c>
      <c r="S2800">
        <v>13.8541570478334</v>
      </c>
      <c r="T2800">
        <v>-1.05831214710681</v>
      </c>
      <c r="U2800">
        <v>-6.4821157111391496</v>
      </c>
      <c r="V2800">
        <v>0.30481059804218602</v>
      </c>
      <c r="W2800">
        <v>0.584130557143271</v>
      </c>
      <c r="X2800">
        <v>0</v>
      </c>
      <c r="Y2800">
        <v>0</v>
      </c>
    </row>
    <row r="2801" spans="1:25" x14ac:dyDescent="0.2">
      <c r="A2801" t="s">
        <v>10411</v>
      </c>
      <c r="B2801" t="s">
        <v>10412</v>
      </c>
      <c r="C2801" t="s">
        <v>10413</v>
      </c>
      <c r="D2801" t="s">
        <v>10414</v>
      </c>
      <c r="E2801" t="s">
        <v>10412</v>
      </c>
      <c r="F2801" t="s">
        <v>28</v>
      </c>
      <c r="G2801" t="s">
        <v>10412</v>
      </c>
      <c r="H2801" t="str">
        <f>"cyp-25a2"</f>
        <v>cyp-25a2</v>
      </c>
      <c r="I2801" t="s">
        <v>10414</v>
      </c>
      <c r="J2801">
        <v>12.8007676609857</v>
      </c>
      <c r="K2801">
        <v>12.1495348229017</v>
      </c>
      <c r="L2801">
        <v>12.1512854103682</v>
      </c>
      <c r="M2801">
        <v>12.556738101751399</v>
      </c>
      <c r="N2801">
        <v>12.2107258207656</v>
      </c>
      <c r="O2801">
        <v>12.1893019369688</v>
      </c>
      <c r="P2801">
        <v>-4.8274011589947798E-2</v>
      </c>
      <c r="Q2801">
        <v>-0.50059085619604504</v>
      </c>
      <c r="R2801">
        <v>0.40404283301614902</v>
      </c>
      <c r="S2801">
        <v>12.5225125434975</v>
      </c>
      <c r="T2801">
        <v>-0.226370671271625</v>
      </c>
      <c r="U2801">
        <v>-7.02509646041245</v>
      </c>
      <c r="V2801">
        <v>0.82379849180256304</v>
      </c>
      <c r="W2801">
        <v>0.92787825971808302</v>
      </c>
      <c r="X2801">
        <v>0</v>
      </c>
      <c r="Y2801">
        <v>0</v>
      </c>
    </row>
    <row r="2802" spans="1:25" x14ac:dyDescent="0.2">
      <c r="A2802" t="s">
        <v>10415</v>
      </c>
      <c r="B2802" t="s">
        <v>10416</v>
      </c>
      <c r="C2802" t="s">
        <v>10417</v>
      </c>
      <c r="D2802" t="s">
        <v>10418</v>
      </c>
      <c r="E2802" t="s">
        <v>10416</v>
      </c>
      <c r="F2802" t="s">
        <v>28</v>
      </c>
      <c r="G2802" t="s">
        <v>10416</v>
      </c>
      <c r="H2802" t="str">
        <f>"uba-1"</f>
        <v>uba-1</v>
      </c>
      <c r="I2802" t="s">
        <v>10418</v>
      </c>
      <c r="J2802">
        <v>16.5648453389698</v>
      </c>
      <c r="K2802">
        <v>16.21262669915</v>
      </c>
      <c r="L2802">
        <v>16.295850417744099</v>
      </c>
      <c r="M2802">
        <v>17.238920555226802</v>
      </c>
      <c r="N2802">
        <v>17.636784611794798</v>
      </c>
      <c r="O2802">
        <v>17.3772077929092</v>
      </c>
      <c r="P2802">
        <v>1.0598635013556601</v>
      </c>
      <c r="Q2802">
        <v>0.51584868274118001</v>
      </c>
      <c r="R2802">
        <v>1.6038783199701401</v>
      </c>
      <c r="S2802">
        <v>16.842015728900801</v>
      </c>
      <c r="T2802">
        <v>4.09479081026182</v>
      </c>
      <c r="U2802">
        <v>-0.87082390318648395</v>
      </c>
      <c r="V2802">
        <v>6.8732212796488996E-4</v>
      </c>
      <c r="W2802">
        <v>1.38348260933049E-2</v>
      </c>
      <c r="X2802">
        <v>1</v>
      </c>
      <c r="Y2802">
        <v>1</v>
      </c>
    </row>
    <row r="2803" spans="1:25" x14ac:dyDescent="0.2">
      <c r="A2803" t="s">
        <v>10419</v>
      </c>
      <c r="B2803" t="s">
        <v>10420</v>
      </c>
      <c r="C2803" t="s">
        <v>10421</v>
      </c>
      <c r="D2803" t="s">
        <v>10422</v>
      </c>
      <c r="E2803" t="s">
        <v>10420</v>
      </c>
      <c r="F2803" t="s">
        <v>28</v>
      </c>
      <c r="G2803" t="s">
        <v>10420</v>
      </c>
      <c r="H2803" t="str">
        <f>"ctl-2"</f>
        <v>ctl-2</v>
      </c>
      <c r="I2803" t="s">
        <v>10422</v>
      </c>
      <c r="J2803">
        <v>14.407050676365801</v>
      </c>
      <c r="K2803">
        <v>14.357416774417301</v>
      </c>
      <c r="L2803">
        <v>13.9246539358485</v>
      </c>
      <c r="M2803">
        <v>14.573278940145601</v>
      </c>
      <c r="N2803">
        <v>14.8556490307947</v>
      </c>
      <c r="O2803">
        <v>15.270347069301099</v>
      </c>
      <c r="P2803">
        <v>0.67005121786993105</v>
      </c>
      <c r="Q2803">
        <v>0.115112160831269</v>
      </c>
      <c r="R2803">
        <v>1.2249902749085899</v>
      </c>
      <c r="S2803">
        <v>13.926388345560399</v>
      </c>
      <c r="T2803">
        <v>2.5377873145257501</v>
      </c>
      <c r="U2803">
        <v>-4.1727724768310903</v>
      </c>
      <c r="V2803">
        <v>2.0680511077973501E-2</v>
      </c>
      <c r="W2803">
        <v>0.13925089470465701</v>
      </c>
      <c r="X2803">
        <v>0</v>
      </c>
      <c r="Y2803">
        <v>0</v>
      </c>
    </row>
    <row r="2804" spans="1:25" x14ac:dyDescent="0.2">
      <c r="A2804" t="s">
        <v>10423</v>
      </c>
      <c r="B2804" t="s">
        <v>10424</v>
      </c>
      <c r="C2804" t="s">
        <v>10425</v>
      </c>
      <c r="D2804" t="s">
        <v>10426</v>
      </c>
      <c r="E2804" t="s">
        <v>10424</v>
      </c>
      <c r="F2804" t="s">
        <v>28</v>
      </c>
      <c r="G2804" t="s">
        <v>10424</v>
      </c>
      <c r="H2804" t="str">
        <f>"rpc-2"</f>
        <v>rpc-2</v>
      </c>
      <c r="I2804" t="s">
        <v>10426</v>
      </c>
      <c r="J2804">
        <v>12.925480752783001</v>
      </c>
      <c r="K2804">
        <v>12.987986134616399</v>
      </c>
      <c r="L2804">
        <v>12.9874559020307</v>
      </c>
      <c r="M2804">
        <v>12.3564056943517</v>
      </c>
      <c r="N2804">
        <v>12.819169599704001</v>
      </c>
      <c r="O2804">
        <v>13.0314712032788</v>
      </c>
      <c r="P2804">
        <v>-0.231292097365149</v>
      </c>
      <c r="Q2804">
        <v>-0.85090123874438595</v>
      </c>
      <c r="R2804">
        <v>0.38831704401408901</v>
      </c>
      <c r="S2804">
        <v>13.452931616324401</v>
      </c>
      <c r="T2804">
        <v>-0.78457685265719201</v>
      </c>
      <c r="U2804">
        <v>-6.7349574706381503</v>
      </c>
      <c r="V2804">
        <v>0.442964653884311</v>
      </c>
      <c r="W2804">
        <v>0.71110359335942197</v>
      </c>
      <c r="X2804">
        <v>0</v>
      </c>
      <c r="Y2804">
        <v>0</v>
      </c>
    </row>
    <row r="2805" spans="1:25" x14ac:dyDescent="0.2">
      <c r="A2805" t="s">
        <v>10427</v>
      </c>
      <c r="B2805" t="s">
        <v>10428</v>
      </c>
      <c r="C2805" t="s">
        <v>10429</v>
      </c>
      <c r="D2805" t="s">
        <v>10430</v>
      </c>
      <c r="E2805" t="s">
        <v>10428</v>
      </c>
      <c r="F2805" t="s">
        <v>28</v>
      </c>
      <c r="G2805" t="s">
        <v>10428</v>
      </c>
      <c r="H2805" t="str">
        <f>"rpoa-2"</f>
        <v>rpoa-2</v>
      </c>
      <c r="I2805" t="s">
        <v>10430</v>
      </c>
      <c r="J2805">
        <v>14.2498394830245</v>
      </c>
      <c r="K2805">
        <v>14.0201210754371</v>
      </c>
      <c r="L2805">
        <v>13.7524534907686</v>
      </c>
      <c r="M2805">
        <v>13.7077301513192</v>
      </c>
      <c r="N2805">
        <v>14.172497786772199</v>
      </c>
      <c r="O2805">
        <v>13.8595404583817</v>
      </c>
      <c r="P2805">
        <v>-9.4215217585706099E-2</v>
      </c>
      <c r="Q2805">
        <v>-0.58242364355954401</v>
      </c>
      <c r="R2805">
        <v>0.39399320838813201</v>
      </c>
      <c r="S2805">
        <v>14.0143457537195</v>
      </c>
      <c r="T2805">
        <v>-0.40560966781503299</v>
      </c>
      <c r="U2805">
        <v>-6.9662647068417298</v>
      </c>
      <c r="V2805">
        <v>0.68983790162351799</v>
      </c>
      <c r="W2805">
        <v>0.86104048020058599</v>
      </c>
      <c r="X2805">
        <v>0</v>
      </c>
      <c r="Y2805">
        <v>0</v>
      </c>
    </row>
    <row r="2806" spans="1:25" x14ac:dyDescent="0.2">
      <c r="A2806" t="s">
        <v>10431</v>
      </c>
      <c r="B2806" t="s">
        <v>10432</v>
      </c>
      <c r="C2806" t="s">
        <v>10433</v>
      </c>
      <c r="D2806" t="s">
        <v>10434</v>
      </c>
      <c r="E2806" t="s">
        <v>10432</v>
      </c>
      <c r="F2806" t="s">
        <v>28</v>
      </c>
      <c r="G2806" t="s">
        <v>10432</v>
      </c>
      <c r="H2806" t="str">
        <f>"gsp-1"</f>
        <v>gsp-1</v>
      </c>
      <c r="I2806" t="s">
        <v>10434</v>
      </c>
      <c r="J2806">
        <v>12.7611260390839</v>
      </c>
      <c r="K2806">
        <v>13.0697420517422</v>
      </c>
      <c r="L2806">
        <v>12.957939651490101</v>
      </c>
      <c r="M2806">
        <v>13.0512456907004</v>
      </c>
      <c r="N2806">
        <v>13.180694274320301</v>
      </c>
      <c r="O2806">
        <v>13.0663250413585</v>
      </c>
      <c r="P2806">
        <v>0.16981908802103801</v>
      </c>
      <c r="Q2806">
        <v>-0.27318350472451902</v>
      </c>
      <c r="R2806">
        <v>0.61282168076659504</v>
      </c>
      <c r="S2806">
        <v>13.506392837729701</v>
      </c>
      <c r="T2806">
        <v>0.80569886046107997</v>
      </c>
      <c r="U2806">
        <v>-6.71795948488304</v>
      </c>
      <c r="V2806">
        <v>0.43099314735961902</v>
      </c>
      <c r="W2806">
        <v>0.70023926698661898</v>
      </c>
      <c r="X2806">
        <v>0</v>
      </c>
      <c r="Y2806">
        <v>0</v>
      </c>
    </row>
    <row r="2807" spans="1:25" x14ac:dyDescent="0.2">
      <c r="A2807" t="s">
        <v>10435</v>
      </c>
      <c r="B2807" t="s">
        <v>10436</v>
      </c>
      <c r="C2807" t="s">
        <v>10437</v>
      </c>
      <c r="D2807" t="s">
        <v>10438</v>
      </c>
      <c r="E2807" t="s">
        <v>10436</v>
      </c>
      <c r="F2807" t="s">
        <v>28</v>
      </c>
      <c r="G2807" t="s">
        <v>10436</v>
      </c>
      <c r="H2807" t="str">
        <f>"htz-1"</f>
        <v>htz-1</v>
      </c>
      <c r="I2807" t="s">
        <v>10438</v>
      </c>
      <c r="J2807">
        <v>11.9298277020645</v>
      </c>
      <c r="K2807">
        <v>12.3269838723016</v>
      </c>
      <c r="L2807">
        <v>12.753724778540301</v>
      </c>
      <c r="M2807">
        <v>13.408078632569101</v>
      </c>
      <c r="N2807">
        <v>11.499563979446799</v>
      </c>
      <c r="O2807">
        <v>14.719000012437499</v>
      </c>
      <c r="P2807">
        <v>0.87203542384899901</v>
      </c>
      <c r="Q2807">
        <v>-0.61855453679714301</v>
      </c>
      <c r="R2807">
        <v>2.3626253844951401</v>
      </c>
      <c r="S2807">
        <v>12.8841627910307</v>
      </c>
      <c r="T2807">
        <v>1.2348833882477801</v>
      </c>
      <c r="U2807">
        <v>-6.2848089837610104</v>
      </c>
      <c r="V2807">
        <v>0.23377295459818001</v>
      </c>
      <c r="W2807">
        <v>0.50444111025363203</v>
      </c>
      <c r="X2807">
        <v>0</v>
      </c>
      <c r="Y2807">
        <v>0</v>
      </c>
    </row>
    <row r="2808" spans="1:25" x14ac:dyDescent="0.2">
      <c r="A2808" t="s">
        <v>10439</v>
      </c>
      <c r="B2808" t="s">
        <v>10440</v>
      </c>
      <c r="C2808" t="s">
        <v>10441</v>
      </c>
      <c r="D2808" t="s">
        <v>10442</v>
      </c>
      <c r="E2808" t="s">
        <v>10440</v>
      </c>
      <c r="F2808" t="s">
        <v>28</v>
      </c>
      <c r="G2808" t="s">
        <v>10440</v>
      </c>
      <c r="H2808" t="str">
        <f>"cyp-13A2"</f>
        <v>cyp-13A2</v>
      </c>
      <c r="I2808" t="s">
        <v>10442</v>
      </c>
      <c r="J2808">
        <v>13.1702708913971</v>
      </c>
      <c r="K2808">
        <v>13.4936542387813</v>
      </c>
      <c r="L2808">
        <v>13.3027117974523</v>
      </c>
      <c r="M2808">
        <v>12.910376001232301</v>
      </c>
      <c r="N2808">
        <v>11.856359181892</v>
      </c>
      <c r="O2808">
        <v>12.5765910444469</v>
      </c>
      <c r="P2808">
        <v>-0.87443690001983798</v>
      </c>
      <c r="Q2808">
        <v>-1.45575705233393</v>
      </c>
      <c r="R2808">
        <v>-0.29311674770574497</v>
      </c>
      <c r="S2808">
        <v>12.6529062803831</v>
      </c>
      <c r="T2808">
        <v>-3.1905284904400899</v>
      </c>
      <c r="U2808">
        <v>-2.9106105154419399</v>
      </c>
      <c r="V2808">
        <v>5.7279569896828602E-3</v>
      </c>
      <c r="W2808">
        <v>6.0515493650740403E-2</v>
      </c>
      <c r="X2808">
        <v>0</v>
      </c>
      <c r="Y2808">
        <v>0</v>
      </c>
    </row>
    <row r="2809" spans="1:25" x14ac:dyDescent="0.2">
      <c r="A2809" t="s">
        <v>10443</v>
      </c>
      <c r="B2809" t="s">
        <v>10444</v>
      </c>
      <c r="C2809" t="s">
        <v>10445</v>
      </c>
      <c r="D2809" t="s">
        <v>10446</v>
      </c>
      <c r="E2809" t="s">
        <v>10444</v>
      </c>
      <c r="F2809" t="s">
        <v>28</v>
      </c>
      <c r="G2809" t="s">
        <v>10444</v>
      </c>
      <c r="H2809" t="str">
        <f>"enol-1"</f>
        <v>enol-1</v>
      </c>
      <c r="I2809" t="s">
        <v>10446</v>
      </c>
      <c r="J2809">
        <v>11.807169937222399</v>
      </c>
      <c r="K2809">
        <v>11.9018386680407</v>
      </c>
      <c r="L2809">
        <v>12.3720372897989</v>
      </c>
      <c r="M2809">
        <v>12.5817108750967</v>
      </c>
      <c r="N2809">
        <v>12.838589610384799</v>
      </c>
      <c r="O2809">
        <v>14.5261343490588</v>
      </c>
      <c r="P2809">
        <v>1.2884629798260701</v>
      </c>
      <c r="Q2809">
        <v>0.39684006529527599</v>
      </c>
      <c r="R2809">
        <v>2.1800858943568602</v>
      </c>
      <c r="S2809">
        <v>12.725195637551099</v>
      </c>
      <c r="T2809">
        <v>3.0372688551819298</v>
      </c>
      <c r="U2809">
        <v>-3.1599820223453201</v>
      </c>
      <c r="V2809">
        <v>7.1212301436619097E-3</v>
      </c>
      <c r="W2809">
        <v>6.9210622666700097E-2</v>
      </c>
      <c r="X2809">
        <v>1</v>
      </c>
      <c r="Y2809">
        <v>0</v>
      </c>
    </row>
    <row r="2810" spans="1:25" x14ac:dyDescent="0.2">
      <c r="A2810" t="s">
        <v>10447</v>
      </c>
      <c r="B2810" t="s">
        <v>10448</v>
      </c>
      <c r="C2810" t="s">
        <v>10449</v>
      </c>
      <c r="D2810" t="s">
        <v>10450</v>
      </c>
      <c r="E2810" t="s">
        <v>10448</v>
      </c>
      <c r="F2810" t="s">
        <v>28</v>
      </c>
      <c r="G2810" t="s">
        <v>10448</v>
      </c>
      <c r="H2810" t="str">
        <f>"his-74"</f>
        <v>his-74</v>
      </c>
      <c r="I2810" t="s">
        <v>10450</v>
      </c>
      <c r="J2810">
        <v>14.8617733469857</v>
      </c>
      <c r="K2810">
        <v>14.822941962224199</v>
      </c>
      <c r="L2810">
        <v>15.388734538742201</v>
      </c>
      <c r="M2810">
        <v>14.484828904358499</v>
      </c>
      <c r="N2810">
        <v>14.2548688946959</v>
      </c>
      <c r="O2810">
        <v>14.5259161206061</v>
      </c>
      <c r="P2810">
        <v>-0.60261197609719197</v>
      </c>
      <c r="Q2810">
        <v>-0.98178876985714203</v>
      </c>
      <c r="R2810">
        <v>-0.22343518233724199</v>
      </c>
      <c r="S2810">
        <v>15.03380333706</v>
      </c>
      <c r="T2810">
        <v>-3.3403234439767</v>
      </c>
      <c r="U2810">
        <v>-2.5170587755434899</v>
      </c>
      <c r="V2810">
        <v>3.6651173204737299E-3</v>
      </c>
      <c r="W2810">
        <v>4.4171450966005603E-2</v>
      </c>
      <c r="X2810">
        <v>0</v>
      </c>
      <c r="Y2810">
        <v>0</v>
      </c>
    </row>
    <row r="2811" spans="1:25" x14ac:dyDescent="0.2">
      <c r="A2811" t="s">
        <v>10451</v>
      </c>
      <c r="B2811" t="s">
        <v>10452</v>
      </c>
      <c r="C2811" t="s">
        <v>10453</v>
      </c>
      <c r="D2811" t="s">
        <v>10454</v>
      </c>
      <c r="E2811" t="s">
        <v>10452</v>
      </c>
      <c r="F2811" t="s">
        <v>28</v>
      </c>
      <c r="G2811" t="s">
        <v>10452</v>
      </c>
      <c r="H2811" t="str">
        <f>"ZC434.8"</f>
        <v>ZC434.8</v>
      </c>
      <c r="I2811" t="s">
        <v>10454</v>
      </c>
      <c r="J2811">
        <v>15.9724136830581</v>
      </c>
      <c r="K2811">
        <v>15.484669051260999</v>
      </c>
      <c r="L2811">
        <v>15.7468517117789</v>
      </c>
      <c r="M2811">
        <v>14.954473895181099</v>
      </c>
      <c r="N2811">
        <v>15.378962890212399</v>
      </c>
      <c r="O2811">
        <v>15.3325001624863</v>
      </c>
      <c r="P2811">
        <v>-0.51266583273937605</v>
      </c>
      <c r="Q2811">
        <v>-0.93331354750156204</v>
      </c>
      <c r="R2811">
        <v>-9.2018117977190894E-2</v>
      </c>
      <c r="S2811">
        <v>15.754055381505401</v>
      </c>
      <c r="T2811">
        <v>-2.5615825351583399</v>
      </c>
      <c r="U2811">
        <v>-4.1262516906052404</v>
      </c>
      <c r="V2811">
        <v>1.9678414539234801E-2</v>
      </c>
      <c r="W2811">
        <v>0.13606918984371799</v>
      </c>
      <c r="X2811">
        <v>0</v>
      </c>
      <c r="Y2811">
        <v>0</v>
      </c>
    </row>
    <row r="2812" spans="1:25" x14ac:dyDescent="0.2">
      <c r="A2812" t="s">
        <v>10455</v>
      </c>
      <c r="B2812" t="s">
        <v>10456</v>
      </c>
      <c r="C2812" t="s">
        <v>10457</v>
      </c>
      <c r="D2812" t="s">
        <v>10458</v>
      </c>
      <c r="E2812" t="s">
        <v>10456</v>
      </c>
      <c r="F2812" t="s">
        <v>28</v>
      </c>
      <c r="G2812" t="s">
        <v>10456</v>
      </c>
      <c r="H2812" t="str">
        <f>"clpp-1"</f>
        <v>clpp-1</v>
      </c>
      <c r="I2812" t="s">
        <v>10458</v>
      </c>
      <c r="J2812">
        <v>11.4356939008405</v>
      </c>
      <c r="K2812" t="s">
        <v>29</v>
      </c>
      <c r="L2812">
        <v>12.460565770797301</v>
      </c>
      <c r="M2812" t="s">
        <v>29</v>
      </c>
      <c r="N2812" t="s">
        <v>29</v>
      </c>
      <c r="O2812" t="s">
        <v>29</v>
      </c>
      <c r="P2812" t="s">
        <v>29</v>
      </c>
      <c r="Q2812" t="s">
        <v>29</v>
      </c>
      <c r="R2812" t="s">
        <v>29</v>
      </c>
      <c r="S2812">
        <v>12.474634726239</v>
      </c>
      <c r="T2812" t="s">
        <v>29</v>
      </c>
      <c r="U2812" t="s">
        <v>29</v>
      </c>
      <c r="V2812" t="s">
        <v>29</v>
      </c>
      <c r="W2812" t="s">
        <v>29</v>
      </c>
      <c r="X2812" t="s">
        <v>29</v>
      </c>
      <c r="Y2812" t="s">
        <v>29</v>
      </c>
    </row>
    <row r="2813" spans="1:25" x14ac:dyDescent="0.2">
      <c r="A2813" t="s">
        <v>10459</v>
      </c>
      <c r="B2813" t="s">
        <v>10460</v>
      </c>
      <c r="C2813" t="s">
        <v>10461</v>
      </c>
      <c r="D2813" t="s">
        <v>10462</v>
      </c>
      <c r="E2813" t="s">
        <v>10460</v>
      </c>
      <c r="F2813" t="s">
        <v>28</v>
      </c>
      <c r="G2813" t="s">
        <v>10460</v>
      </c>
      <c r="H2813" t="str">
        <f>"ldh-1"</f>
        <v>ldh-1</v>
      </c>
      <c r="I2813" t="s">
        <v>10462</v>
      </c>
      <c r="J2813">
        <v>16.907036573694999</v>
      </c>
      <c r="K2813">
        <v>16.5942770097001</v>
      </c>
      <c r="L2813">
        <v>16.513507063796599</v>
      </c>
      <c r="M2813">
        <v>16.906991486962902</v>
      </c>
      <c r="N2813">
        <v>16.610948671374398</v>
      </c>
      <c r="O2813">
        <v>16.365691199008499</v>
      </c>
      <c r="P2813">
        <v>-4.3729763281959301E-2</v>
      </c>
      <c r="Q2813">
        <v>-0.81106464518478805</v>
      </c>
      <c r="R2813">
        <v>0.72360511862086896</v>
      </c>
      <c r="S2813">
        <v>15.989967181181299</v>
      </c>
      <c r="T2813">
        <v>-0.119780107508006</v>
      </c>
      <c r="U2813">
        <v>-7.0445705913515599</v>
      </c>
      <c r="V2813">
        <v>0.90599184802856203</v>
      </c>
      <c r="W2813">
        <v>0.96798538961646996</v>
      </c>
      <c r="X2813">
        <v>0</v>
      </c>
      <c r="Y2813">
        <v>0</v>
      </c>
    </row>
    <row r="2814" spans="1:25" x14ac:dyDescent="0.2">
      <c r="A2814" t="s">
        <v>10463</v>
      </c>
      <c r="B2814" t="s">
        <v>10464</v>
      </c>
      <c r="C2814" t="s">
        <v>10465</v>
      </c>
      <c r="D2814" t="s">
        <v>10466</v>
      </c>
      <c r="E2814" t="s">
        <v>10464</v>
      </c>
      <c r="F2814" t="s">
        <v>28</v>
      </c>
      <c r="G2814" t="s">
        <v>10464</v>
      </c>
      <c r="H2814" t="str">
        <f>"phf-10"</f>
        <v>phf-10</v>
      </c>
      <c r="I2814" t="s">
        <v>10466</v>
      </c>
      <c r="J2814" t="s">
        <v>29</v>
      </c>
      <c r="K2814" t="s">
        <v>29</v>
      </c>
      <c r="L2814" t="s">
        <v>29</v>
      </c>
      <c r="M2814" t="s">
        <v>29</v>
      </c>
      <c r="N2814" t="s">
        <v>29</v>
      </c>
      <c r="O2814" t="s">
        <v>29</v>
      </c>
      <c r="P2814" t="s">
        <v>29</v>
      </c>
      <c r="Q2814" t="s">
        <v>29</v>
      </c>
      <c r="R2814" t="s">
        <v>29</v>
      </c>
      <c r="S2814">
        <v>10.670057582953101</v>
      </c>
      <c r="T2814" t="s">
        <v>29</v>
      </c>
      <c r="U2814" t="s">
        <v>29</v>
      </c>
      <c r="V2814" t="s">
        <v>29</v>
      </c>
      <c r="W2814" t="s">
        <v>29</v>
      </c>
      <c r="X2814" t="s">
        <v>29</v>
      </c>
      <c r="Y2814" t="s">
        <v>29</v>
      </c>
    </row>
    <row r="2815" spans="1:25" x14ac:dyDescent="0.2">
      <c r="A2815" t="s">
        <v>10467</v>
      </c>
      <c r="B2815" t="s">
        <v>10468</v>
      </c>
      <c r="C2815" t="s">
        <v>14564</v>
      </c>
      <c r="D2815" t="s">
        <v>10469</v>
      </c>
      <c r="E2815" t="s">
        <v>10468</v>
      </c>
      <c r="F2815" t="s">
        <v>28</v>
      </c>
      <c r="G2815" t="s">
        <v>10468</v>
      </c>
      <c r="H2815" t="str">
        <f>"Y71H2AM.3"</f>
        <v>Y71H2AM.3</v>
      </c>
      <c r="I2815" t="s">
        <v>10469</v>
      </c>
      <c r="J2815">
        <v>13.257684345715401</v>
      </c>
      <c r="K2815">
        <v>13.2390344272312</v>
      </c>
      <c r="L2815">
        <v>13.307144596064299</v>
      </c>
      <c r="M2815">
        <v>13.2534294661735</v>
      </c>
      <c r="N2815">
        <v>13.531722741110499</v>
      </c>
      <c r="O2815">
        <v>13.126077128661301</v>
      </c>
      <c r="P2815">
        <v>3.5788655644777699E-2</v>
      </c>
      <c r="Q2815">
        <v>-0.31936642086266498</v>
      </c>
      <c r="R2815">
        <v>0.39094373215222</v>
      </c>
      <c r="S2815">
        <v>13.2237288446562</v>
      </c>
      <c r="T2815">
        <v>0.21373561149081999</v>
      </c>
      <c r="U2815">
        <v>-7.0280210811379602</v>
      </c>
      <c r="V2815">
        <v>0.83347076982211399</v>
      </c>
      <c r="W2815">
        <v>0.93213516096945703</v>
      </c>
      <c r="X2815">
        <v>0</v>
      </c>
      <c r="Y2815">
        <v>0</v>
      </c>
    </row>
    <row r="2816" spans="1:25" x14ac:dyDescent="0.2">
      <c r="A2816" t="s">
        <v>10470</v>
      </c>
      <c r="B2816" t="s">
        <v>10471</v>
      </c>
      <c r="C2816" t="s">
        <v>10472</v>
      </c>
      <c r="D2816" t="s">
        <v>10473</v>
      </c>
      <c r="E2816" t="s">
        <v>10471</v>
      </c>
      <c r="F2816" t="s">
        <v>28</v>
      </c>
      <c r="G2816" t="s">
        <v>10471</v>
      </c>
      <c r="H2816" t="str">
        <f>"C27D8.3"</f>
        <v>C27D8.3</v>
      </c>
      <c r="I2816" t="s">
        <v>10473</v>
      </c>
      <c r="J2816" t="s">
        <v>29</v>
      </c>
      <c r="K2816" t="s">
        <v>29</v>
      </c>
      <c r="L2816" t="s">
        <v>29</v>
      </c>
      <c r="M2816" t="s">
        <v>29</v>
      </c>
      <c r="N2816" t="s">
        <v>29</v>
      </c>
      <c r="O2816" t="s">
        <v>29</v>
      </c>
      <c r="P2816" t="s">
        <v>29</v>
      </c>
      <c r="Q2816" t="s">
        <v>29</v>
      </c>
      <c r="R2816" t="s">
        <v>29</v>
      </c>
      <c r="S2816">
        <v>11.815652343313801</v>
      </c>
      <c r="T2816" t="s">
        <v>29</v>
      </c>
      <c r="U2816" t="s">
        <v>29</v>
      </c>
      <c r="V2816" t="s">
        <v>29</v>
      </c>
      <c r="W2816" t="s">
        <v>29</v>
      </c>
      <c r="X2816" t="s">
        <v>29</v>
      </c>
      <c r="Y2816" t="s">
        <v>29</v>
      </c>
    </row>
    <row r="2817" spans="1:25" x14ac:dyDescent="0.2">
      <c r="A2817" t="s">
        <v>10474</v>
      </c>
      <c r="B2817" t="s">
        <v>10475</v>
      </c>
      <c r="C2817" t="s">
        <v>14565</v>
      </c>
      <c r="D2817" t="s">
        <v>10476</v>
      </c>
      <c r="E2817" t="s">
        <v>10475</v>
      </c>
      <c r="F2817" t="s">
        <v>28</v>
      </c>
      <c r="G2817" t="s">
        <v>10475</v>
      </c>
      <c r="H2817" t="str">
        <f>"Y51H4A.15"</f>
        <v>Y51H4A.15</v>
      </c>
      <c r="I2817" t="s">
        <v>10476</v>
      </c>
      <c r="J2817" t="s">
        <v>29</v>
      </c>
      <c r="K2817" t="s">
        <v>29</v>
      </c>
      <c r="L2817" t="s">
        <v>29</v>
      </c>
      <c r="M2817" t="s">
        <v>29</v>
      </c>
      <c r="N2817" t="s">
        <v>29</v>
      </c>
      <c r="O2817" t="s">
        <v>29</v>
      </c>
      <c r="P2817" t="s">
        <v>29</v>
      </c>
      <c r="Q2817" t="s">
        <v>29</v>
      </c>
      <c r="R2817" t="s">
        <v>29</v>
      </c>
      <c r="S2817">
        <v>12.8550416261703</v>
      </c>
      <c r="T2817" t="s">
        <v>29</v>
      </c>
      <c r="U2817" t="s">
        <v>29</v>
      </c>
      <c r="V2817" t="s">
        <v>29</v>
      </c>
      <c r="W2817" t="s">
        <v>29</v>
      </c>
      <c r="X2817" t="s">
        <v>29</v>
      </c>
      <c r="Y2817" t="s">
        <v>29</v>
      </c>
    </row>
    <row r="2818" spans="1:25" x14ac:dyDescent="0.2">
      <c r="A2818" t="s">
        <v>10477</v>
      </c>
      <c r="B2818" t="s">
        <v>10478</v>
      </c>
      <c r="C2818" t="s">
        <v>10479</v>
      </c>
      <c r="D2818" t="s">
        <v>10480</v>
      </c>
      <c r="E2818" t="s">
        <v>10478</v>
      </c>
      <c r="F2818" t="s">
        <v>28</v>
      </c>
      <c r="G2818" t="s">
        <v>10478</v>
      </c>
      <c r="H2818" t="str">
        <f>"mrpl-47"</f>
        <v>mrpl-47</v>
      </c>
      <c r="I2818" t="s">
        <v>10480</v>
      </c>
      <c r="J2818">
        <v>13.234735896930101</v>
      </c>
      <c r="K2818" t="s">
        <v>29</v>
      </c>
      <c r="L2818" t="s">
        <v>29</v>
      </c>
      <c r="M2818" t="s">
        <v>29</v>
      </c>
      <c r="N2818">
        <v>13.0519924452803</v>
      </c>
      <c r="O2818" t="s">
        <v>29</v>
      </c>
      <c r="P2818">
        <v>-0.182743451649797</v>
      </c>
      <c r="Q2818">
        <v>-1.4321792214899001</v>
      </c>
      <c r="R2818">
        <v>1.0666923181903101</v>
      </c>
      <c r="S2818">
        <v>13.531420152023101</v>
      </c>
      <c r="T2818">
        <v>-0.32635838767944397</v>
      </c>
      <c r="U2818">
        <v>-6.4530198726941004</v>
      </c>
      <c r="V2818">
        <v>0.75095087225963797</v>
      </c>
      <c r="W2818">
        <v>0.89443416483633298</v>
      </c>
      <c r="X2818">
        <v>0</v>
      </c>
      <c r="Y2818">
        <v>0</v>
      </c>
    </row>
    <row r="2819" spans="1:25" x14ac:dyDescent="0.2">
      <c r="A2819" t="s">
        <v>10481</v>
      </c>
      <c r="B2819" t="s">
        <v>10482</v>
      </c>
      <c r="C2819" t="s">
        <v>14566</v>
      </c>
      <c r="D2819" t="s">
        <v>10483</v>
      </c>
      <c r="E2819" t="s">
        <v>10482</v>
      </c>
      <c r="F2819" t="s">
        <v>28</v>
      </c>
      <c r="G2819" t="s">
        <v>10482</v>
      </c>
      <c r="H2819" t="str">
        <f>"K11G12.6"</f>
        <v>K11G12.6</v>
      </c>
      <c r="I2819" t="s">
        <v>10483</v>
      </c>
      <c r="J2819">
        <v>12.1264306847202</v>
      </c>
      <c r="K2819">
        <v>12.7594286399988</v>
      </c>
      <c r="L2819">
        <v>12.196669912243401</v>
      </c>
      <c r="M2819">
        <v>12.4265314799942</v>
      </c>
      <c r="N2819">
        <v>13.262288145312001</v>
      </c>
      <c r="O2819">
        <v>12.6110242897836</v>
      </c>
      <c r="P2819">
        <v>0.40577155937578402</v>
      </c>
      <c r="Q2819">
        <v>-0.123787213239321</v>
      </c>
      <c r="R2819">
        <v>0.93533033199089</v>
      </c>
      <c r="S2819">
        <v>12.8478748879918</v>
      </c>
      <c r="T2819">
        <v>1.6174000425583499</v>
      </c>
      <c r="U2819">
        <v>-5.7741740023157897</v>
      </c>
      <c r="V2819">
        <v>0.124308456808937</v>
      </c>
      <c r="W2819">
        <v>0.36540173302283901</v>
      </c>
      <c r="X2819">
        <v>0</v>
      </c>
      <c r="Y2819">
        <v>0</v>
      </c>
    </row>
    <row r="2820" spans="1:25" x14ac:dyDescent="0.2">
      <c r="A2820" t="s">
        <v>10484</v>
      </c>
      <c r="B2820" t="s">
        <v>10485</v>
      </c>
      <c r="C2820" t="s">
        <v>10486</v>
      </c>
      <c r="D2820" t="s">
        <v>10487</v>
      </c>
      <c r="E2820" t="s">
        <v>10485</v>
      </c>
      <c r="F2820" t="s">
        <v>28</v>
      </c>
      <c r="G2820" t="s">
        <v>10485</v>
      </c>
      <c r="H2820" t="str">
        <f>"hsp-75"</f>
        <v>hsp-75</v>
      </c>
      <c r="I2820" t="s">
        <v>10487</v>
      </c>
      <c r="J2820">
        <v>15.209058630963799</v>
      </c>
      <c r="K2820">
        <v>15.055899300571401</v>
      </c>
      <c r="L2820">
        <v>15.205820862949301</v>
      </c>
      <c r="M2820">
        <v>15.1836757975657</v>
      </c>
      <c r="N2820">
        <v>15.2572393802819</v>
      </c>
      <c r="O2820">
        <v>15.3769499935942</v>
      </c>
      <c r="P2820">
        <v>0.11569545898576</v>
      </c>
      <c r="Q2820">
        <v>-0.24443096877839501</v>
      </c>
      <c r="R2820">
        <v>0.47582188674991499</v>
      </c>
      <c r="S2820">
        <v>15.135330478738</v>
      </c>
      <c r="T2820">
        <v>0.67523327117243104</v>
      </c>
      <c r="U2820">
        <v>-6.8161600350686298</v>
      </c>
      <c r="V2820">
        <v>0.50815930785985497</v>
      </c>
      <c r="W2820">
        <v>0.75825766635258696</v>
      </c>
      <c r="X2820">
        <v>0</v>
      </c>
      <c r="Y2820">
        <v>0</v>
      </c>
    </row>
    <row r="2821" spans="1:25" x14ac:dyDescent="0.2">
      <c r="A2821" t="s">
        <v>10488</v>
      </c>
      <c r="B2821" t="s">
        <v>10489</v>
      </c>
      <c r="C2821" t="s">
        <v>10490</v>
      </c>
      <c r="D2821" t="s">
        <v>10491</v>
      </c>
      <c r="E2821" t="s">
        <v>10489</v>
      </c>
      <c r="F2821" t="s">
        <v>28</v>
      </c>
      <c r="G2821" t="s">
        <v>10489</v>
      </c>
      <c r="H2821" t="str">
        <f>"sgk-1"</f>
        <v>sgk-1</v>
      </c>
      <c r="I2821" t="s">
        <v>10491</v>
      </c>
      <c r="J2821">
        <v>14.343324691573899</v>
      </c>
      <c r="K2821">
        <v>14.305497912659</v>
      </c>
      <c r="L2821">
        <v>14.052592893374801</v>
      </c>
      <c r="M2821">
        <v>14.041341035896099</v>
      </c>
      <c r="N2821">
        <v>14.6900467481837</v>
      </c>
      <c r="O2821">
        <v>14.549629110074701</v>
      </c>
      <c r="P2821">
        <v>0.19320046551557701</v>
      </c>
      <c r="Q2821">
        <v>-0.178714932307902</v>
      </c>
      <c r="R2821">
        <v>0.56511586333905695</v>
      </c>
      <c r="S2821">
        <v>13.872602915875699</v>
      </c>
      <c r="T2821">
        <v>1.0918337694599101</v>
      </c>
      <c r="U2821">
        <v>-6.4474243818524304</v>
      </c>
      <c r="V2821">
        <v>0.28938848719422899</v>
      </c>
      <c r="W2821">
        <v>0.56864138727658298</v>
      </c>
      <c r="X2821">
        <v>0</v>
      </c>
      <c r="Y2821">
        <v>0</v>
      </c>
    </row>
    <row r="2822" spans="1:25" x14ac:dyDescent="0.2">
      <c r="A2822" t="s">
        <v>10492</v>
      </c>
      <c r="B2822" t="s">
        <v>10493</v>
      </c>
      <c r="C2822" t="s">
        <v>10494</v>
      </c>
      <c r="D2822" t="s">
        <v>10495</v>
      </c>
      <c r="E2822" t="s">
        <v>10493</v>
      </c>
      <c r="F2822" t="s">
        <v>28</v>
      </c>
      <c r="G2822" t="s">
        <v>10493</v>
      </c>
      <c r="H2822" t="str">
        <f>"yif-1"</f>
        <v>yif-1</v>
      </c>
      <c r="I2822" t="s">
        <v>10495</v>
      </c>
      <c r="J2822">
        <v>14.5515601163351</v>
      </c>
      <c r="K2822">
        <v>14.385544395838499</v>
      </c>
      <c r="L2822">
        <v>14.906971370015601</v>
      </c>
      <c r="M2822">
        <v>14.855909532735501</v>
      </c>
      <c r="N2822">
        <v>14.638526136292199</v>
      </c>
      <c r="O2822">
        <v>14.736022302777499</v>
      </c>
      <c r="P2822">
        <v>0.12879402987199601</v>
      </c>
      <c r="Q2822">
        <v>-0.56916356896920595</v>
      </c>
      <c r="R2822">
        <v>0.82675162871319696</v>
      </c>
      <c r="S2822">
        <v>15.080699738248001</v>
      </c>
      <c r="T2822">
        <v>0.38784590057756402</v>
      </c>
      <c r="U2822">
        <v>-6.9735863535470504</v>
      </c>
      <c r="V2822">
        <v>0.70270488111687901</v>
      </c>
      <c r="W2822">
        <v>0.86745132137872705</v>
      </c>
      <c r="X2822">
        <v>0</v>
      </c>
      <c r="Y2822">
        <v>0</v>
      </c>
    </row>
    <row r="2823" spans="1:25" x14ac:dyDescent="0.2">
      <c r="A2823" t="s">
        <v>10496</v>
      </c>
      <c r="B2823" t="s">
        <v>10497</v>
      </c>
      <c r="C2823" t="s">
        <v>10498</v>
      </c>
      <c r="D2823" t="s">
        <v>10499</v>
      </c>
      <c r="E2823" t="s">
        <v>10497</v>
      </c>
      <c r="F2823" t="s">
        <v>28</v>
      </c>
      <c r="G2823" t="s">
        <v>10497</v>
      </c>
      <c r="H2823" t="str">
        <f>"gdi-1"</f>
        <v>gdi-1</v>
      </c>
      <c r="I2823" t="s">
        <v>10499</v>
      </c>
      <c r="J2823">
        <v>14.8562581186179</v>
      </c>
      <c r="K2823">
        <v>15.171091802630601</v>
      </c>
      <c r="L2823">
        <v>14.8761588307268</v>
      </c>
      <c r="M2823">
        <v>15.2372733625299</v>
      </c>
      <c r="N2823">
        <v>13.940806706142</v>
      </c>
      <c r="O2823">
        <v>14.7325823982197</v>
      </c>
      <c r="P2823">
        <v>-0.33094876169459803</v>
      </c>
      <c r="Q2823">
        <v>-1.0780463209147699</v>
      </c>
      <c r="R2823">
        <v>0.41614879752556799</v>
      </c>
      <c r="S2823">
        <v>14.536245445662299</v>
      </c>
      <c r="T2823">
        <v>-0.93105632768322399</v>
      </c>
      <c r="U2823">
        <v>-6.6085321860780697</v>
      </c>
      <c r="V2823">
        <v>0.364215925793892</v>
      </c>
      <c r="W2823">
        <v>0.64097275420947897</v>
      </c>
      <c r="X2823">
        <v>0</v>
      </c>
      <c r="Y2823">
        <v>0</v>
      </c>
    </row>
    <row r="2824" spans="1:25" x14ac:dyDescent="0.2">
      <c r="A2824" t="s">
        <v>10500</v>
      </c>
      <c r="B2824" t="s">
        <v>10501</v>
      </c>
      <c r="C2824" t="s">
        <v>14567</v>
      </c>
      <c r="D2824" t="s">
        <v>2791</v>
      </c>
      <c r="E2824" t="s">
        <v>10501</v>
      </c>
      <c r="F2824" t="s">
        <v>28</v>
      </c>
      <c r="G2824" t="s">
        <v>10501</v>
      </c>
      <c r="H2824" t="str">
        <f>"H20J04.4"</f>
        <v>H20J04.4</v>
      </c>
      <c r="I2824" t="s">
        <v>2791</v>
      </c>
      <c r="J2824">
        <v>13.5249089059695</v>
      </c>
      <c r="K2824">
        <v>13.4641300945376</v>
      </c>
      <c r="L2824">
        <v>13.2937675160589</v>
      </c>
      <c r="M2824">
        <v>13.491462364943301</v>
      </c>
      <c r="N2824">
        <v>13.6373614824155</v>
      </c>
      <c r="O2824">
        <v>13.7244735894734</v>
      </c>
      <c r="P2824">
        <v>0.190163640088747</v>
      </c>
      <c r="Q2824">
        <v>-0.113270661639379</v>
      </c>
      <c r="R2824">
        <v>0.493597941816872</v>
      </c>
      <c r="S2824">
        <v>13.3347929458197</v>
      </c>
      <c r="T2824">
        <v>1.32285676043766</v>
      </c>
      <c r="U2824">
        <v>-6.1770453822294602</v>
      </c>
      <c r="V2824">
        <v>0.20350972032671</v>
      </c>
      <c r="W2824">
        <v>0.466822852952467</v>
      </c>
      <c r="X2824">
        <v>0</v>
      </c>
      <c r="Y2824">
        <v>0</v>
      </c>
    </row>
    <row r="2825" spans="1:25" x14ac:dyDescent="0.2">
      <c r="A2825" t="s">
        <v>10502</v>
      </c>
      <c r="B2825" t="s">
        <v>10503</v>
      </c>
      <c r="C2825" t="s">
        <v>14568</v>
      </c>
      <c r="D2825" t="s">
        <v>323</v>
      </c>
      <c r="E2825" t="s">
        <v>10503</v>
      </c>
      <c r="F2825" t="s">
        <v>28</v>
      </c>
      <c r="G2825" t="s">
        <v>10503</v>
      </c>
      <c r="H2825" t="str">
        <f>"F14B8.5"</f>
        <v>F14B8.5</v>
      </c>
      <c r="I2825" t="s">
        <v>323</v>
      </c>
      <c r="J2825" t="s">
        <v>29</v>
      </c>
      <c r="K2825" t="s">
        <v>29</v>
      </c>
      <c r="L2825">
        <v>10.9876089735679</v>
      </c>
      <c r="M2825">
        <v>10.9661434771242</v>
      </c>
      <c r="N2825">
        <v>9.7756118518553894</v>
      </c>
      <c r="O2825">
        <v>10.3522744719125</v>
      </c>
      <c r="P2825">
        <v>-0.62293237327058504</v>
      </c>
      <c r="Q2825">
        <v>-2.0535522290299002</v>
      </c>
      <c r="R2825">
        <v>0.80768748248873501</v>
      </c>
      <c r="S2825">
        <v>10.277601171975199</v>
      </c>
      <c r="T2825">
        <v>-0.94964582990871305</v>
      </c>
      <c r="U2825">
        <v>-6.2451167722656802</v>
      </c>
      <c r="V2825">
        <v>0.36118843251528598</v>
      </c>
      <c r="W2825">
        <v>0.63840693069241705</v>
      </c>
      <c r="X2825">
        <v>0</v>
      </c>
      <c r="Y2825">
        <v>0</v>
      </c>
    </row>
    <row r="2826" spans="1:25" x14ac:dyDescent="0.2">
      <c r="A2826" t="s">
        <v>10504</v>
      </c>
      <c r="B2826" t="s">
        <v>10505</v>
      </c>
      <c r="C2826" t="s">
        <v>10506</v>
      </c>
      <c r="D2826" t="s">
        <v>1912</v>
      </c>
      <c r="E2826" t="s">
        <v>10505</v>
      </c>
      <c r="F2826" t="s">
        <v>28</v>
      </c>
      <c r="G2826" t="s">
        <v>10505</v>
      </c>
      <c r="H2826" t="str">
        <f>"mrp-1"</f>
        <v>mrp-1</v>
      </c>
      <c r="I2826" t="s">
        <v>1912</v>
      </c>
      <c r="J2826">
        <v>12.9719682136339</v>
      </c>
      <c r="K2826">
        <v>12.8809814759825</v>
      </c>
      <c r="L2826">
        <v>12.082627197704801</v>
      </c>
      <c r="M2826">
        <v>13.0244469230337</v>
      </c>
      <c r="N2826">
        <v>12.4549758479766</v>
      </c>
      <c r="O2826">
        <v>13.189963732911901</v>
      </c>
      <c r="P2826">
        <v>0.24460320553363199</v>
      </c>
      <c r="Q2826">
        <v>-0.391100831917779</v>
      </c>
      <c r="R2826">
        <v>0.88030724298504404</v>
      </c>
      <c r="S2826">
        <v>12.5368567555978</v>
      </c>
      <c r="T2826">
        <v>0.816125042608423</v>
      </c>
      <c r="U2826">
        <v>-6.70791936059668</v>
      </c>
      <c r="V2826">
        <v>0.42649067221621401</v>
      </c>
      <c r="W2826">
        <v>0.69633750496314994</v>
      </c>
      <c r="X2826">
        <v>0</v>
      </c>
      <c r="Y2826">
        <v>0</v>
      </c>
    </row>
    <row r="2827" spans="1:25" x14ac:dyDescent="0.2">
      <c r="A2827" t="s">
        <v>10507</v>
      </c>
      <c r="B2827" t="s">
        <v>10508</v>
      </c>
      <c r="C2827" t="s">
        <v>14569</v>
      </c>
      <c r="D2827" t="s">
        <v>3358</v>
      </c>
      <c r="E2827" t="s">
        <v>10508</v>
      </c>
      <c r="F2827" t="s">
        <v>28</v>
      </c>
      <c r="G2827" t="s">
        <v>10508</v>
      </c>
      <c r="H2827" t="str">
        <f>"Y82E9BR.19"</f>
        <v>Y82E9BR.19</v>
      </c>
      <c r="I2827" t="s">
        <v>3358</v>
      </c>
      <c r="J2827">
        <v>9.6096619629177908</v>
      </c>
      <c r="K2827">
        <v>9.4863515102059495</v>
      </c>
      <c r="L2827">
        <v>10.6912437593609</v>
      </c>
      <c r="M2827" t="s">
        <v>29</v>
      </c>
      <c r="N2827">
        <v>10.427500743410199</v>
      </c>
      <c r="O2827">
        <v>9.3088611755662996</v>
      </c>
      <c r="P2827">
        <v>-6.0904784673306601E-2</v>
      </c>
      <c r="Q2827">
        <v>-0.93536007689763701</v>
      </c>
      <c r="R2827">
        <v>0.81355050755102398</v>
      </c>
      <c r="S2827">
        <v>10.845399916144</v>
      </c>
      <c r="T2827">
        <v>-0.147728174581958</v>
      </c>
      <c r="U2827">
        <v>-6.9299476965237101</v>
      </c>
      <c r="V2827">
        <v>0.88441499781333299</v>
      </c>
      <c r="W2827">
        <v>0.95895816186858396</v>
      </c>
      <c r="X2827">
        <v>0</v>
      </c>
      <c r="Y2827">
        <v>0</v>
      </c>
    </row>
    <row r="2828" spans="1:25" x14ac:dyDescent="0.2">
      <c r="A2828" t="s">
        <v>10509</v>
      </c>
      <c r="B2828" t="s">
        <v>10510</v>
      </c>
      <c r="C2828" t="s">
        <v>10511</v>
      </c>
      <c r="D2828" t="s">
        <v>10512</v>
      </c>
      <c r="E2828" t="s">
        <v>10510</v>
      </c>
      <c r="F2828" t="s">
        <v>28</v>
      </c>
      <c r="G2828" t="s">
        <v>10510</v>
      </c>
      <c r="H2828" t="str">
        <f>"C01B10.11"</f>
        <v>C01B10.11</v>
      </c>
      <c r="I2828" t="s">
        <v>10512</v>
      </c>
      <c r="J2828">
        <v>14.8507676211734</v>
      </c>
      <c r="K2828">
        <v>14.7747399144585</v>
      </c>
      <c r="L2828">
        <v>14.4103274338792</v>
      </c>
      <c r="M2828">
        <v>14.6278811487339</v>
      </c>
      <c r="N2828">
        <v>13.764737311372301</v>
      </c>
      <c r="O2828">
        <v>13.8104888723231</v>
      </c>
      <c r="P2828">
        <v>-0.61090921236061602</v>
      </c>
      <c r="Q2828">
        <v>-1.5052449943567801</v>
      </c>
      <c r="R2828">
        <v>0.28342656963554602</v>
      </c>
      <c r="S2828">
        <v>14.031253859007199</v>
      </c>
      <c r="T2828">
        <v>-1.4357161323830601</v>
      </c>
      <c r="U2828">
        <v>-6.0300837650386701</v>
      </c>
      <c r="V2828">
        <v>0.16833323180086199</v>
      </c>
      <c r="W2828">
        <v>0.42461731494574001</v>
      </c>
      <c r="X2828">
        <v>0</v>
      </c>
      <c r="Y2828">
        <v>0</v>
      </c>
    </row>
    <row r="2829" spans="1:25" x14ac:dyDescent="0.2">
      <c r="A2829" t="s">
        <v>10513</v>
      </c>
      <c r="B2829" t="s">
        <v>10514</v>
      </c>
      <c r="C2829" s="3">
        <v>45357</v>
      </c>
      <c r="D2829" t="s">
        <v>360</v>
      </c>
      <c r="E2829" t="s">
        <v>10514</v>
      </c>
      <c r="F2829" t="s">
        <v>28</v>
      </c>
      <c r="G2829" t="s">
        <v>10514</v>
      </c>
      <c r="H2829" t="str">
        <f>"marc-6"</f>
        <v>marc-6</v>
      </c>
      <c r="I2829" t="s">
        <v>360</v>
      </c>
      <c r="J2829">
        <v>12.937927782824</v>
      </c>
      <c r="K2829">
        <v>13.268456519794899</v>
      </c>
      <c r="L2829">
        <v>13.248299440956</v>
      </c>
      <c r="M2829">
        <v>13.076156387615301</v>
      </c>
      <c r="N2829">
        <v>13.0061916193131</v>
      </c>
      <c r="O2829">
        <v>13.111606427932101</v>
      </c>
      <c r="P2829">
        <v>-8.6909769571448706E-2</v>
      </c>
      <c r="Q2829">
        <v>-0.54595726892001195</v>
      </c>
      <c r="R2829">
        <v>0.37213772977711401</v>
      </c>
      <c r="S2829">
        <v>13.2986257944905</v>
      </c>
      <c r="T2829">
        <v>-0.39963267098636301</v>
      </c>
      <c r="U2829">
        <v>-6.9685252381351104</v>
      </c>
      <c r="V2829">
        <v>0.69443395679954101</v>
      </c>
      <c r="W2829">
        <v>0.863795143511355</v>
      </c>
      <c r="X2829">
        <v>0</v>
      </c>
      <c r="Y2829">
        <v>0</v>
      </c>
    </row>
    <row r="2830" spans="1:25" x14ac:dyDescent="0.2">
      <c r="A2830" t="s">
        <v>10515</v>
      </c>
      <c r="B2830" t="s">
        <v>10516</v>
      </c>
      <c r="C2830" t="s">
        <v>10517</v>
      </c>
      <c r="D2830" t="s">
        <v>10518</v>
      </c>
      <c r="E2830" t="s">
        <v>10516</v>
      </c>
      <c r="F2830" t="s">
        <v>28</v>
      </c>
      <c r="G2830" t="s">
        <v>10516</v>
      </c>
      <c r="H2830" t="str">
        <f>"C23G10.7"</f>
        <v>C23G10.7</v>
      </c>
      <c r="I2830" t="s">
        <v>10518</v>
      </c>
      <c r="J2830" t="s">
        <v>29</v>
      </c>
      <c r="K2830" t="s">
        <v>29</v>
      </c>
      <c r="L2830" t="s">
        <v>29</v>
      </c>
      <c r="M2830" t="s">
        <v>29</v>
      </c>
      <c r="N2830" t="s">
        <v>29</v>
      </c>
      <c r="O2830">
        <v>10.639997018071201</v>
      </c>
      <c r="P2830" t="s">
        <v>29</v>
      </c>
      <c r="Q2830" t="s">
        <v>29</v>
      </c>
      <c r="R2830" t="s">
        <v>29</v>
      </c>
      <c r="S2830">
        <v>11.4355136664374</v>
      </c>
      <c r="T2830" t="s">
        <v>29</v>
      </c>
      <c r="U2830" t="s">
        <v>29</v>
      </c>
      <c r="V2830" t="s">
        <v>29</v>
      </c>
      <c r="W2830" t="s">
        <v>29</v>
      </c>
      <c r="X2830" t="s">
        <v>29</v>
      </c>
      <c r="Y2830" t="s">
        <v>29</v>
      </c>
    </row>
    <row r="2831" spans="1:25" x14ac:dyDescent="0.2">
      <c r="A2831" t="s">
        <v>10519</v>
      </c>
      <c r="B2831" t="s">
        <v>10520</v>
      </c>
      <c r="C2831" t="s">
        <v>10521</v>
      </c>
      <c r="D2831" t="s">
        <v>10522</v>
      </c>
      <c r="E2831" t="s">
        <v>10520</v>
      </c>
      <c r="F2831" t="s">
        <v>28</v>
      </c>
      <c r="G2831" t="s">
        <v>10520</v>
      </c>
      <c r="H2831" t="str">
        <f>"toc-1"</f>
        <v>toc-1</v>
      </c>
      <c r="I2831" t="s">
        <v>10522</v>
      </c>
      <c r="J2831">
        <v>12.7248213001946</v>
      </c>
      <c r="K2831">
        <v>12.822639694774599</v>
      </c>
      <c r="L2831">
        <v>13.4865295285244</v>
      </c>
      <c r="M2831">
        <v>11.7635201344448</v>
      </c>
      <c r="N2831">
        <v>11.9856375488929</v>
      </c>
      <c r="O2831">
        <v>12.578928561443099</v>
      </c>
      <c r="P2831">
        <v>-0.90196809290424595</v>
      </c>
      <c r="Q2831">
        <v>-1.5618272043479999</v>
      </c>
      <c r="R2831">
        <v>-0.24210898146049201</v>
      </c>
      <c r="S2831">
        <v>13.277274691267399</v>
      </c>
      <c r="T2831">
        <v>-2.8992755065804001</v>
      </c>
      <c r="U2831">
        <v>-3.4988242531615801</v>
      </c>
      <c r="V2831">
        <v>1.05110491993514E-2</v>
      </c>
      <c r="W2831">
        <v>9.1207877585838204E-2</v>
      </c>
      <c r="X2831">
        <v>0</v>
      </c>
      <c r="Y2831">
        <v>0</v>
      </c>
    </row>
    <row r="2832" spans="1:25" x14ac:dyDescent="0.2">
      <c r="A2832" t="s">
        <v>10523</v>
      </c>
      <c r="B2832" t="s">
        <v>10524</v>
      </c>
      <c r="C2832" t="s">
        <v>10525</v>
      </c>
      <c r="D2832" t="s">
        <v>10526</v>
      </c>
      <c r="E2832" t="s">
        <v>10524</v>
      </c>
      <c r="F2832" t="s">
        <v>28</v>
      </c>
      <c r="G2832" t="s">
        <v>10524</v>
      </c>
      <c r="H2832" t="str">
        <f>"vav-1"</f>
        <v>vav-1</v>
      </c>
      <c r="I2832" t="s">
        <v>10526</v>
      </c>
      <c r="J2832">
        <v>12.5972207386015</v>
      </c>
      <c r="K2832">
        <v>12.942989385991201</v>
      </c>
      <c r="L2832">
        <v>12.434788406823101</v>
      </c>
      <c r="M2832">
        <v>12.4461902506198</v>
      </c>
      <c r="N2832">
        <v>12.5639244618622</v>
      </c>
      <c r="O2832">
        <v>12.551858452273599</v>
      </c>
      <c r="P2832">
        <v>-0.137675122220035</v>
      </c>
      <c r="Q2832">
        <v>-0.63028447477685101</v>
      </c>
      <c r="R2832">
        <v>0.35493423033678201</v>
      </c>
      <c r="S2832">
        <v>12.3113573876602</v>
      </c>
      <c r="T2832">
        <v>-0.59985282777400195</v>
      </c>
      <c r="U2832">
        <v>-6.8630978232987898</v>
      </c>
      <c r="V2832">
        <v>0.55826033982381096</v>
      </c>
      <c r="W2832">
        <v>0.78436059835348904</v>
      </c>
      <c r="X2832">
        <v>0</v>
      </c>
      <c r="Y2832">
        <v>0</v>
      </c>
    </row>
    <row r="2833" spans="1:25" x14ac:dyDescent="0.2">
      <c r="A2833" t="s">
        <v>10527</v>
      </c>
      <c r="B2833" t="s">
        <v>10528</v>
      </c>
      <c r="C2833" t="s">
        <v>14167</v>
      </c>
      <c r="D2833" t="s">
        <v>214</v>
      </c>
      <c r="E2833" t="s">
        <v>10528</v>
      </c>
      <c r="F2833" t="s">
        <v>28</v>
      </c>
      <c r="G2833" t="s">
        <v>10528</v>
      </c>
      <c r="H2833" t="str">
        <f>"Y54G2A.40"</f>
        <v>Y54G2A.40</v>
      </c>
      <c r="I2833" t="s">
        <v>214</v>
      </c>
      <c r="J2833" t="s">
        <v>29</v>
      </c>
      <c r="K2833" t="s">
        <v>29</v>
      </c>
      <c r="L2833" t="s">
        <v>29</v>
      </c>
      <c r="M2833">
        <v>17.110289982439401</v>
      </c>
      <c r="N2833">
        <v>17.711652378246399</v>
      </c>
      <c r="O2833">
        <v>17.091157580970201</v>
      </c>
      <c r="P2833" t="s">
        <v>29</v>
      </c>
      <c r="Q2833" t="s">
        <v>29</v>
      </c>
      <c r="R2833" t="s">
        <v>29</v>
      </c>
      <c r="S2833">
        <v>16.288998460089299</v>
      </c>
      <c r="T2833" t="s">
        <v>29</v>
      </c>
      <c r="U2833" t="s">
        <v>29</v>
      </c>
      <c r="V2833" t="s">
        <v>29</v>
      </c>
      <c r="W2833" t="s">
        <v>29</v>
      </c>
      <c r="X2833" t="s">
        <v>29</v>
      </c>
      <c r="Y2833" t="s">
        <v>29</v>
      </c>
    </row>
    <row r="2834" spans="1:25" x14ac:dyDescent="0.2">
      <c r="A2834" t="s">
        <v>10529</v>
      </c>
      <c r="B2834" t="s">
        <v>10530</v>
      </c>
      <c r="C2834" t="s">
        <v>10531</v>
      </c>
      <c r="D2834" t="s">
        <v>10532</v>
      </c>
      <c r="E2834" t="s">
        <v>10530</v>
      </c>
      <c r="F2834" t="s">
        <v>28</v>
      </c>
      <c r="G2834" t="s">
        <v>10530</v>
      </c>
      <c r="H2834" t="str">
        <f>"pam-1"</f>
        <v>pam-1</v>
      </c>
      <c r="I2834" t="s">
        <v>10532</v>
      </c>
      <c r="J2834">
        <v>12.832852217203</v>
      </c>
      <c r="K2834">
        <v>12.7629843910931</v>
      </c>
      <c r="L2834">
        <v>12.704422983942999</v>
      </c>
      <c r="M2834">
        <v>12.492437730285401</v>
      </c>
      <c r="N2834">
        <v>12.1706204341182</v>
      </c>
      <c r="O2834">
        <v>13.495255203893899</v>
      </c>
      <c r="P2834">
        <v>-4.7315407980558902E-2</v>
      </c>
      <c r="Q2834">
        <v>-0.59885496973611696</v>
      </c>
      <c r="R2834">
        <v>0.50422415377499896</v>
      </c>
      <c r="S2834">
        <v>12.759457455799399</v>
      </c>
      <c r="T2834">
        <v>-0.180309426743334</v>
      </c>
      <c r="U2834">
        <v>-7.0350639228651897</v>
      </c>
      <c r="V2834">
        <v>0.85893584768699804</v>
      </c>
      <c r="W2834">
        <v>0.94424907039645001</v>
      </c>
      <c r="X2834">
        <v>0</v>
      </c>
      <c r="Y2834">
        <v>0</v>
      </c>
    </row>
    <row r="2835" spans="1:25" x14ac:dyDescent="0.2">
      <c r="A2835" t="s">
        <v>10533</v>
      </c>
      <c r="B2835" t="s">
        <v>10534</v>
      </c>
      <c r="C2835" t="s">
        <v>10535</v>
      </c>
      <c r="D2835" t="s">
        <v>10536</v>
      </c>
      <c r="E2835" t="s">
        <v>10534</v>
      </c>
      <c r="F2835" t="s">
        <v>28</v>
      </c>
      <c r="G2835" t="s">
        <v>10534</v>
      </c>
      <c r="H2835" t="str">
        <f>"rad-8"</f>
        <v>rad-8</v>
      </c>
      <c r="I2835" t="s">
        <v>10536</v>
      </c>
      <c r="J2835">
        <v>12.4290828036776</v>
      </c>
      <c r="K2835">
        <v>12.5823093384865</v>
      </c>
      <c r="L2835">
        <v>12.9521013508925</v>
      </c>
      <c r="M2835">
        <v>12.364817875816801</v>
      </c>
      <c r="N2835">
        <v>12.9047917468219</v>
      </c>
      <c r="O2835">
        <v>12.6404634168707</v>
      </c>
      <c r="P2835">
        <v>-1.7806817849065099E-2</v>
      </c>
      <c r="Q2835">
        <v>-0.465034747724341</v>
      </c>
      <c r="R2835">
        <v>0.42942111202620997</v>
      </c>
      <c r="S2835">
        <v>12.4737363962656</v>
      </c>
      <c r="T2835">
        <v>-8.4917852784469103E-2</v>
      </c>
      <c r="U2835">
        <v>-7.0482680460003104</v>
      </c>
      <c r="V2835">
        <v>0.93345757099426896</v>
      </c>
      <c r="W2835">
        <v>0.97535311084156295</v>
      </c>
      <c r="X2835">
        <v>0</v>
      </c>
      <c r="Y2835">
        <v>0</v>
      </c>
    </row>
    <row r="2836" spans="1:25" x14ac:dyDescent="0.2">
      <c r="A2836" t="s">
        <v>10537</v>
      </c>
      <c r="B2836" t="s">
        <v>10538</v>
      </c>
      <c r="C2836" t="s">
        <v>10539</v>
      </c>
      <c r="D2836" t="s">
        <v>93</v>
      </c>
      <c r="E2836" t="s">
        <v>10538</v>
      </c>
      <c r="F2836" t="s">
        <v>28</v>
      </c>
      <c r="G2836" t="s">
        <v>10538</v>
      </c>
      <c r="H2836" t="str">
        <f>"sqd-1"</f>
        <v>sqd-1</v>
      </c>
      <c r="I2836" t="s">
        <v>93</v>
      </c>
      <c r="J2836">
        <v>14.676503366626299</v>
      </c>
      <c r="K2836">
        <v>14.2606114600997</v>
      </c>
      <c r="L2836">
        <v>14.6581533834166</v>
      </c>
      <c r="M2836">
        <v>13.871443503734801</v>
      </c>
      <c r="N2836">
        <v>14.341309920979599</v>
      </c>
      <c r="O2836">
        <v>14.128548123722799</v>
      </c>
      <c r="P2836">
        <v>-0.41798888723509697</v>
      </c>
      <c r="Q2836">
        <v>-0.84464207560248705</v>
      </c>
      <c r="R2836">
        <v>8.6643011322923794E-3</v>
      </c>
      <c r="S2836">
        <v>14.468196170998899</v>
      </c>
      <c r="T2836">
        <v>-2.05912282810525</v>
      </c>
      <c r="U2836">
        <v>-5.0596113655022297</v>
      </c>
      <c r="V2836">
        <v>5.4339264916616503E-2</v>
      </c>
      <c r="W2836">
        <v>0.23388884661199799</v>
      </c>
      <c r="X2836">
        <v>0</v>
      </c>
      <c r="Y2836">
        <v>0</v>
      </c>
    </row>
    <row r="2837" spans="1:25" x14ac:dyDescent="0.2">
      <c r="A2837" t="s">
        <v>10540</v>
      </c>
      <c r="B2837" t="s">
        <v>10541</v>
      </c>
      <c r="C2837" t="s">
        <v>10542</v>
      </c>
      <c r="D2837" t="s">
        <v>10543</v>
      </c>
      <c r="E2837" t="s">
        <v>10541</v>
      </c>
      <c r="F2837" t="s">
        <v>28</v>
      </c>
      <c r="G2837" t="s">
        <v>10541</v>
      </c>
      <c r="H2837" t="str">
        <f>"mrpl-39"</f>
        <v>mrpl-39</v>
      </c>
      <c r="I2837" t="s">
        <v>10543</v>
      </c>
      <c r="J2837">
        <v>13.138887287300401</v>
      </c>
      <c r="K2837">
        <v>13.769359251049799</v>
      </c>
      <c r="L2837">
        <v>13.788530575289</v>
      </c>
      <c r="M2837">
        <v>12.9953139967625</v>
      </c>
      <c r="N2837">
        <v>13.5649826055435</v>
      </c>
      <c r="O2837">
        <v>12.369203687380701</v>
      </c>
      <c r="P2837">
        <v>-0.58909227465082903</v>
      </c>
      <c r="Q2837">
        <v>-1.30364339412059</v>
      </c>
      <c r="R2837">
        <v>0.12545884481892999</v>
      </c>
      <c r="S2837">
        <v>13.498749704718801</v>
      </c>
      <c r="T2837">
        <v>-1.74020349532259</v>
      </c>
      <c r="U2837">
        <v>-5.5886584470812304</v>
      </c>
      <c r="V2837">
        <v>0.100004506138184</v>
      </c>
      <c r="W2837">
        <v>0.32672482939733299</v>
      </c>
      <c r="X2837">
        <v>0</v>
      </c>
      <c r="Y2837">
        <v>0</v>
      </c>
    </row>
    <row r="2838" spans="1:25" x14ac:dyDescent="0.2">
      <c r="A2838" t="s">
        <v>10544</v>
      </c>
      <c r="B2838" t="s">
        <v>10545</v>
      </c>
      <c r="C2838" t="s">
        <v>10546</v>
      </c>
      <c r="D2838" t="s">
        <v>10547</v>
      </c>
      <c r="E2838" t="s">
        <v>10545</v>
      </c>
      <c r="F2838" t="s">
        <v>28</v>
      </c>
      <c r="G2838" t="s">
        <v>10545</v>
      </c>
      <c r="H2838" t="str">
        <f>"gale-1"</f>
        <v>gale-1</v>
      </c>
      <c r="I2838" t="s">
        <v>10547</v>
      </c>
      <c r="J2838">
        <v>15.450607960132</v>
      </c>
      <c r="K2838">
        <v>15.554072505308801</v>
      </c>
      <c r="L2838">
        <v>15.3696596153458</v>
      </c>
      <c r="M2838">
        <v>15.367532948934899</v>
      </c>
      <c r="N2838">
        <v>15.671510674120199</v>
      </c>
      <c r="O2838">
        <v>15.5816724261483</v>
      </c>
      <c r="P2838">
        <v>8.2125322805605805E-2</v>
      </c>
      <c r="Q2838">
        <v>-0.25253908521642499</v>
      </c>
      <c r="R2838">
        <v>0.41678973082763698</v>
      </c>
      <c r="S2838">
        <v>15.505859005455401</v>
      </c>
      <c r="T2838">
        <v>0.51577474821741398</v>
      </c>
      <c r="U2838">
        <v>-6.91370675338145</v>
      </c>
      <c r="V2838">
        <v>0.61232552023253695</v>
      </c>
      <c r="W2838">
        <v>0.81693613892442596</v>
      </c>
      <c r="X2838">
        <v>0</v>
      </c>
      <c r="Y2838">
        <v>0</v>
      </c>
    </row>
    <row r="2839" spans="1:25" x14ac:dyDescent="0.2">
      <c r="A2839" t="s">
        <v>10548</v>
      </c>
      <c r="B2839" t="s">
        <v>10549</v>
      </c>
      <c r="C2839" t="s">
        <v>10550</v>
      </c>
      <c r="D2839" t="s">
        <v>81</v>
      </c>
      <c r="E2839" t="s">
        <v>10549</v>
      </c>
      <c r="F2839" t="s">
        <v>28</v>
      </c>
      <c r="G2839" t="s">
        <v>10549</v>
      </c>
      <c r="H2839" t="str">
        <f>"imp-1"</f>
        <v>imp-1</v>
      </c>
      <c r="I2839" t="s">
        <v>81</v>
      </c>
      <c r="J2839" t="s">
        <v>29</v>
      </c>
      <c r="K2839" t="s">
        <v>29</v>
      </c>
      <c r="L2839">
        <v>11.0352820668184</v>
      </c>
      <c r="M2839" t="s">
        <v>29</v>
      </c>
      <c r="N2839" t="s">
        <v>29</v>
      </c>
      <c r="O2839" t="s">
        <v>29</v>
      </c>
      <c r="P2839" t="s">
        <v>29</v>
      </c>
      <c r="Q2839" t="s">
        <v>29</v>
      </c>
      <c r="R2839" t="s">
        <v>29</v>
      </c>
      <c r="S2839">
        <v>11.594346828686501</v>
      </c>
      <c r="T2839" t="s">
        <v>29</v>
      </c>
      <c r="U2839" t="s">
        <v>29</v>
      </c>
      <c r="V2839" t="s">
        <v>29</v>
      </c>
      <c r="W2839" t="s">
        <v>29</v>
      </c>
      <c r="X2839" t="s">
        <v>29</v>
      </c>
      <c r="Y2839" t="s">
        <v>29</v>
      </c>
    </row>
    <row r="2840" spans="1:25" x14ac:dyDescent="0.2">
      <c r="A2840" t="s">
        <v>10551</v>
      </c>
      <c r="B2840" t="s">
        <v>10552</v>
      </c>
      <c r="C2840" t="s">
        <v>10553</v>
      </c>
      <c r="D2840" t="s">
        <v>10554</v>
      </c>
      <c r="E2840" t="s">
        <v>10552</v>
      </c>
      <c r="F2840" t="s">
        <v>28</v>
      </c>
      <c r="G2840" t="s">
        <v>10552</v>
      </c>
      <c r="H2840" t="str">
        <f>"dolk-1"</f>
        <v>dolk-1</v>
      </c>
      <c r="I2840" t="s">
        <v>10554</v>
      </c>
      <c r="J2840">
        <v>12.619090700669201</v>
      </c>
      <c r="K2840">
        <v>12.658190983860999</v>
      </c>
      <c r="L2840">
        <v>12.7689700629718</v>
      </c>
      <c r="M2840">
        <v>13.128896191057301</v>
      </c>
      <c r="N2840">
        <v>13.023727059793799</v>
      </c>
      <c r="O2840">
        <v>12.936167586243201</v>
      </c>
      <c r="P2840">
        <v>0.34751302986412502</v>
      </c>
      <c r="Q2840">
        <v>-0.118027734804163</v>
      </c>
      <c r="R2840">
        <v>0.813053794532412</v>
      </c>
      <c r="S2840">
        <v>13.220807438490301</v>
      </c>
      <c r="T2840">
        <v>1.5756631942161601</v>
      </c>
      <c r="U2840">
        <v>-5.8349812458984402</v>
      </c>
      <c r="V2840">
        <v>0.13364225179574901</v>
      </c>
      <c r="W2840">
        <v>0.37911920018163497</v>
      </c>
      <c r="X2840">
        <v>0</v>
      </c>
      <c r="Y2840">
        <v>0</v>
      </c>
    </row>
    <row r="2841" spans="1:25" x14ac:dyDescent="0.2">
      <c r="A2841" t="s">
        <v>10555</v>
      </c>
      <c r="B2841" t="s">
        <v>10556</v>
      </c>
      <c r="C2841" t="s">
        <v>14570</v>
      </c>
      <c r="D2841" t="s">
        <v>10557</v>
      </c>
      <c r="E2841" t="s">
        <v>10556</v>
      </c>
      <c r="F2841" t="s">
        <v>28</v>
      </c>
      <c r="G2841" t="s">
        <v>10556</v>
      </c>
      <c r="H2841" t="str">
        <f>"Y87G2A.19"</f>
        <v>Y87G2A.19</v>
      </c>
      <c r="I2841" t="s">
        <v>10557</v>
      </c>
      <c r="J2841">
        <v>14.151968362278399</v>
      </c>
      <c r="K2841">
        <v>14.3402572060486</v>
      </c>
      <c r="L2841">
        <v>14.162904909202499</v>
      </c>
      <c r="M2841" t="s">
        <v>29</v>
      </c>
      <c r="N2841">
        <v>14.2086642209314</v>
      </c>
      <c r="O2841">
        <v>14.3567187521324</v>
      </c>
      <c r="P2841">
        <v>6.4314660688736994E-2</v>
      </c>
      <c r="Q2841">
        <v>-0.59508127696979296</v>
      </c>
      <c r="R2841">
        <v>0.72371059834726703</v>
      </c>
      <c r="S2841">
        <v>13.848683936184001</v>
      </c>
      <c r="T2841">
        <v>0.209341633312849</v>
      </c>
      <c r="U2841">
        <v>-6.9181950292818204</v>
      </c>
      <c r="V2841">
        <v>0.83721964322592002</v>
      </c>
      <c r="W2841">
        <v>0.93426362107583805</v>
      </c>
      <c r="X2841">
        <v>0</v>
      </c>
      <c r="Y2841">
        <v>0</v>
      </c>
    </row>
    <row r="2842" spans="1:25" x14ac:dyDescent="0.2">
      <c r="A2842" t="s">
        <v>10558</v>
      </c>
      <c r="B2842" t="s">
        <v>10559</v>
      </c>
      <c r="C2842" t="s">
        <v>10560</v>
      </c>
      <c r="D2842" t="s">
        <v>10561</v>
      </c>
      <c r="E2842" t="s">
        <v>10559</v>
      </c>
      <c r="F2842" t="s">
        <v>28</v>
      </c>
      <c r="G2842" t="s">
        <v>10559</v>
      </c>
      <c r="H2842" t="str">
        <f>"sek-4"</f>
        <v>sek-4</v>
      </c>
      <c r="I2842" t="s">
        <v>10561</v>
      </c>
      <c r="J2842">
        <v>13.274120942708</v>
      </c>
      <c r="K2842">
        <v>13.385155973954101</v>
      </c>
      <c r="L2842">
        <v>12.9275081996241</v>
      </c>
      <c r="M2842">
        <v>13.8813207682516</v>
      </c>
      <c r="N2842">
        <v>13.1216811061842</v>
      </c>
      <c r="O2842" t="s">
        <v>29</v>
      </c>
      <c r="P2842">
        <v>0.30590589845580302</v>
      </c>
      <c r="Q2842">
        <v>-0.27537017665441499</v>
      </c>
      <c r="R2842">
        <v>0.88718197356602202</v>
      </c>
      <c r="S2842">
        <v>12.9094888566227</v>
      </c>
      <c r="T2842">
        <v>1.12239832228249</v>
      </c>
      <c r="U2842">
        <v>-6.30232867500228</v>
      </c>
      <c r="V2842">
        <v>0.27946054143277199</v>
      </c>
      <c r="W2842">
        <v>0.55892108286554498</v>
      </c>
      <c r="X2842">
        <v>0</v>
      </c>
      <c r="Y2842">
        <v>0</v>
      </c>
    </row>
    <row r="2843" spans="1:25" x14ac:dyDescent="0.2">
      <c r="A2843" t="s">
        <v>10562</v>
      </c>
      <c r="B2843" t="s">
        <v>10563</v>
      </c>
      <c r="C2843" t="s">
        <v>10564</v>
      </c>
      <c r="D2843" t="s">
        <v>660</v>
      </c>
      <c r="E2843" t="s">
        <v>10563</v>
      </c>
      <c r="F2843" t="s">
        <v>28</v>
      </c>
      <c r="G2843" t="s">
        <v>10563</v>
      </c>
      <c r="H2843" t="str">
        <f>"abts-4"</f>
        <v>abts-4</v>
      </c>
      <c r="I2843" t="s">
        <v>660</v>
      </c>
      <c r="J2843">
        <v>17.4880709808562</v>
      </c>
      <c r="K2843">
        <v>17.6924404977695</v>
      </c>
      <c r="L2843">
        <v>17.263434322545798</v>
      </c>
      <c r="M2843">
        <v>17.776178103475502</v>
      </c>
      <c r="N2843">
        <v>17.207261624984799</v>
      </c>
      <c r="O2843">
        <v>17.379707667304601</v>
      </c>
      <c r="P2843">
        <v>-2.6932801802214398E-2</v>
      </c>
      <c r="Q2843">
        <v>-0.79612100534735797</v>
      </c>
      <c r="R2843">
        <v>0.74225540174292903</v>
      </c>
      <c r="S2843">
        <v>17.263177197865598</v>
      </c>
      <c r="T2843">
        <v>-7.3593834723296003E-2</v>
      </c>
      <c r="U2843">
        <v>-7.0492485184265696</v>
      </c>
      <c r="V2843">
        <v>0.94214995993449002</v>
      </c>
      <c r="W2843">
        <v>0.97576384643441005</v>
      </c>
      <c r="X2843">
        <v>0</v>
      </c>
      <c r="Y2843">
        <v>0</v>
      </c>
    </row>
    <row r="2844" spans="1:25" x14ac:dyDescent="0.2">
      <c r="A2844" t="s">
        <v>10565</v>
      </c>
      <c r="B2844" t="s">
        <v>10566</v>
      </c>
      <c r="C2844" t="s">
        <v>10567</v>
      </c>
      <c r="D2844" t="s">
        <v>10568</v>
      </c>
      <c r="E2844" t="s">
        <v>10566</v>
      </c>
      <c r="F2844" t="s">
        <v>28</v>
      </c>
      <c r="G2844" t="s">
        <v>10566</v>
      </c>
      <c r="H2844" t="str">
        <f>"fitm-2"</f>
        <v>fitm-2</v>
      </c>
      <c r="I2844" t="s">
        <v>10568</v>
      </c>
      <c r="J2844">
        <v>15.430998866867499</v>
      </c>
      <c r="K2844">
        <v>15.3602701254792</v>
      </c>
      <c r="L2844">
        <v>15.979311925363399</v>
      </c>
      <c r="M2844">
        <v>14.732085942218101</v>
      </c>
      <c r="N2844">
        <v>14.6779850157243</v>
      </c>
      <c r="O2844">
        <v>14.754437591352699</v>
      </c>
      <c r="P2844">
        <v>-0.86869078947167799</v>
      </c>
      <c r="Q2844">
        <v>-1.35270529980941</v>
      </c>
      <c r="R2844">
        <v>-0.38467627913394298</v>
      </c>
      <c r="S2844">
        <v>15.832741252703601</v>
      </c>
      <c r="T2844">
        <v>-3.7722402816735201</v>
      </c>
      <c r="U2844">
        <v>-1.57929328471254</v>
      </c>
      <c r="V2844">
        <v>1.4072139872346101E-3</v>
      </c>
      <c r="W2844">
        <v>2.2207865418359798E-2</v>
      </c>
      <c r="X2844">
        <v>0</v>
      </c>
      <c r="Y2844">
        <v>0</v>
      </c>
    </row>
    <row r="2845" spans="1:25" x14ac:dyDescent="0.2">
      <c r="A2845" t="s">
        <v>10569</v>
      </c>
      <c r="B2845" t="s">
        <v>10570</v>
      </c>
      <c r="C2845" t="s">
        <v>10571</v>
      </c>
      <c r="D2845" t="s">
        <v>10572</v>
      </c>
      <c r="E2845" t="s">
        <v>10570</v>
      </c>
      <c r="F2845" t="s">
        <v>28</v>
      </c>
      <c r="G2845" t="s">
        <v>10570</v>
      </c>
      <c r="H2845" t="str">
        <f>"glo-4"</f>
        <v>glo-4</v>
      </c>
      <c r="I2845" t="s">
        <v>10572</v>
      </c>
      <c r="J2845">
        <v>11.1965687485927</v>
      </c>
      <c r="K2845" t="s">
        <v>29</v>
      </c>
      <c r="L2845" t="s">
        <v>29</v>
      </c>
      <c r="M2845" t="s">
        <v>29</v>
      </c>
      <c r="N2845" t="s">
        <v>29</v>
      </c>
      <c r="O2845" t="s">
        <v>29</v>
      </c>
      <c r="P2845" t="s">
        <v>29</v>
      </c>
      <c r="Q2845" t="s">
        <v>29</v>
      </c>
      <c r="R2845" t="s">
        <v>29</v>
      </c>
      <c r="S2845">
        <v>11.285608786912199</v>
      </c>
      <c r="T2845" t="s">
        <v>29</v>
      </c>
      <c r="U2845" t="s">
        <v>29</v>
      </c>
      <c r="V2845" t="s">
        <v>29</v>
      </c>
      <c r="W2845" t="s">
        <v>29</v>
      </c>
      <c r="X2845" t="s">
        <v>29</v>
      </c>
      <c r="Y2845" t="s">
        <v>29</v>
      </c>
    </row>
    <row r="2846" spans="1:25" x14ac:dyDescent="0.2">
      <c r="A2846" t="s">
        <v>10573</v>
      </c>
      <c r="B2846" t="s">
        <v>10574</v>
      </c>
      <c r="C2846" t="s">
        <v>10575</v>
      </c>
      <c r="D2846" t="s">
        <v>10576</v>
      </c>
      <c r="E2846" t="s">
        <v>10574</v>
      </c>
      <c r="F2846" t="s">
        <v>28</v>
      </c>
      <c r="G2846" t="s">
        <v>10574</v>
      </c>
      <c r="H2846" t="str">
        <f>"sax-2"</f>
        <v>sax-2</v>
      </c>
      <c r="I2846" t="s">
        <v>10576</v>
      </c>
      <c r="J2846">
        <v>12.926471943800699</v>
      </c>
      <c r="K2846">
        <v>12.862907325944899</v>
      </c>
      <c r="L2846">
        <v>12.8846721869382</v>
      </c>
      <c r="M2846">
        <v>13.151385671840799</v>
      </c>
      <c r="N2846">
        <v>13.0310304466574</v>
      </c>
      <c r="O2846">
        <v>13.1579095094834</v>
      </c>
      <c r="P2846">
        <v>0.222091390432608</v>
      </c>
      <c r="Q2846">
        <v>-0.20224747137087201</v>
      </c>
      <c r="R2846">
        <v>0.64643025223608797</v>
      </c>
      <c r="S2846">
        <v>13.433867251804299</v>
      </c>
      <c r="T2846">
        <v>1.10476251251611</v>
      </c>
      <c r="U2846">
        <v>-6.4327418220183299</v>
      </c>
      <c r="V2846">
        <v>0.28474804978284401</v>
      </c>
      <c r="W2846">
        <v>0.56479847139968797</v>
      </c>
      <c r="X2846">
        <v>0</v>
      </c>
      <c r="Y2846">
        <v>0</v>
      </c>
    </row>
    <row r="2847" spans="1:25" x14ac:dyDescent="0.2">
      <c r="A2847" t="s">
        <v>10577</v>
      </c>
      <c r="B2847" t="s">
        <v>10578</v>
      </c>
      <c r="C2847" t="s">
        <v>10579</v>
      </c>
      <c r="D2847" t="s">
        <v>10580</v>
      </c>
      <c r="E2847" t="s">
        <v>10578</v>
      </c>
      <c r="F2847" t="s">
        <v>28</v>
      </c>
      <c r="G2847" t="s">
        <v>10578</v>
      </c>
      <c r="H2847" t="str">
        <f>"sfxn-5"</f>
        <v>sfxn-5</v>
      </c>
      <c r="I2847" t="s">
        <v>10580</v>
      </c>
      <c r="J2847">
        <v>13.138639820598</v>
      </c>
      <c r="K2847">
        <v>13.036286469342601</v>
      </c>
      <c r="L2847">
        <v>13.1543843389143</v>
      </c>
      <c r="M2847">
        <v>13.5765333538143</v>
      </c>
      <c r="N2847">
        <v>13.5269272434742</v>
      </c>
      <c r="O2847">
        <v>13.609187450333801</v>
      </c>
      <c r="P2847">
        <v>0.461112472922448</v>
      </c>
      <c r="Q2847">
        <v>-0.109001007477997</v>
      </c>
      <c r="R2847">
        <v>1.03122595332289</v>
      </c>
      <c r="S2847">
        <v>13.3413547945151</v>
      </c>
      <c r="T2847">
        <v>1.6999575355583401</v>
      </c>
      <c r="U2847">
        <v>-5.6489617979253897</v>
      </c>
      <c r="V2847">
        <v>0.10645359793187199</v>
      </c>
      <c r="W2847">
        <v>0.33734478554981101</v>
      </c>
      <c r="X2847">
        <v>0</v>
      </c>
      <c r="Y2847">
        <v>0</v>
      </c>
    </row>
    <row r="2848" spans="1:25" x14ac:dyDescent="0.2">
      <c r="A2848" t="s">
        <v>10581</v>
      </c>
      <c r="B2848" t="s">
        <v>10582</v>
      </c>
      <c r="C2848" t="s">
        <v>10583</v>
      </c>
      <c r="D2848" t="s">
        <v>10584</v>
      </c>
      <c r="E2848" t="s">
        <v>10582</v>
      </c>
      <c r="F2848" t="s">
        <v>28</v>
      </c>
      <c r="G2848" t="s">
        <v>10582</v>
      </c>
      <c r="H2848" t="str">
        <f>"nfi-1"</f>
        <v>nfi-1</v>
      </c>
      <c r="I2848" t="s">
        <v>10584</v>
      </c>
      <c r="J2848" t="s">
        <v>29</v>
      </c>
      <c r="K2848" t="s">
        <v>29</v>
      </c>
      <c r="L2848" t="s">
        <v>29</v>
      </c>
      <c r="M2848" t="s">
        <v>29</v>
      </c>
      <c r="N2848" t="s">
        <v>29</v>
      </c>
      <c r="O2848" t="s">
        <v>29</v>
      </c>
      <c r="P2848" t="s">
        <v>29</v>
      </c>
      <c r="Q2848" t="s">
        <v>29</v>
      </c>
      <c r="R2848" t="s">
        <v>29</v>
      </c>
      <c r="S2848">
        <v>12.256385785118001</v>
      </c>
      <c r="T2848" t="s">
        <v>29</v>
      </c>
      <c r="U2848" t="s">
        <v>29</v>
      </c>
      <c r="V2848" t="s">
        <v>29</v>
      </c>
      <c r="W2848" t="s">
        <v>29</v>
      </c>
      <c r="X2848" t="s">
        <v>29</v>
      </c>
      <c r="Y2848" t="s">
        <v>29</v>
      </c>
    </row>
    <row r="2849" spans="1:25" x14ac:dyDescent="0.2">
      <c r="A2849" t="s">
        <v>10585</v>
      </c>
      <c r="B2849" t="s">
        <v>10586</v>
      </c>
      <c r="C2849" t="s">
        <v>10587</v>
      </c>
      <c r="D2849" t="s">
        <v>2692</v>
      </c>
      <c r="E2849" t="s">
        <v>10586</v>
      </c>
      <c r="F2849" t="s">
        <v>28</v>
      </c>
      <c r="G2849" t="s">
        <v>10586</v>
      </c>
      <c r="H2849" t="str">
        <f>"C11H1.9"</f>
        <v>C11H1.9</v>
      </c>
      <c r="I2849" t="s">
        <v>2692</v>
      </c>
      <c r="J2849" t="s">
        <v>29</v>
      </c>
      <c r="K2849" t="s">
        <v>29</v>
      </c>
      <c r="L2849" t="s">
        <v>29</v>
      </c>
      <c r="M2849" t="s">
        <v>29</v>
      </c>
      <c r="N2849" t="s">
        <v>29</v>
      </c>
      <c r="O2849">
        <v>13.9389887413789</v>
      </c>
      <c r="P2849" t="s">
        <v>29</v>
      </c>
      <c r="Q2849" t="s">
        <v>29</v>
      </c>
      <c r="R2849" t="s">
        <v>29</v>
      </c>
      <c r="S2849">
        <v>13.3519206267194</v>
      </c>
      <c r="T2849" t="s">
        <v>29</v>
      </c>
      <c r="U2849" t="s">
        <v>29</v>
      </c>
      <c r="V2849" t="s">
        <v>29</v>
      </c>
      <c r="W2849" t="s">
        <v>29</v>
      </c>
      <c r="X2849" t="s">
        <v>29</v>
      </c>
      <c r="Y2849" t="s">
        <v>29</v>
      </c>
    </row>
    <row r="2850" spans="1:25" x14ac:dyDescent="0.2">
      <c r="A2850" t="s">
        <v>10588</v>
      </c>
      <c r="B2850" t="s">
        <v>10589</v>
      </c>
      <c r="C2850" t="s">
        <v>10590</v>
      </c>
      <c r="D2850" t="s">
        <v>10591</v>
      </c>
      <c r="E2850" t="s">
        <v>10589</v>
      </c>
      <c r="F2850" t="s">
        <v>28</v>
      </c>
      <c r="G2850" t="s">
        <v>10589</v>
      </c>
      <c r="H2850" t="str">
        <f>"R144.12"</f>
        <v>R144.12</v>
      </c>
      <c r="I2850" t="s">
        <v>10591</v>
      </c>
      <c r="J2850">
        <v>13.775872522690401</v>
      </c>
      <c r="K2850">
        <v>13.6444155656765</v>
      </c>
      <c r="L2850">
        <v>13.7459525618537</v>
      </c>
      <c r="M2850">
        <v>13.578235725039001</v>
      </c>
      <c r="N2850">
        <v>13.6514630112897</v>
      </c>
      <c r="O2850">
        <v>13.762907262919599</v>
      </c>
      <c r="P2850">
        <v>-5.7878216990767201E-2</v>
      </c>
      <c r="Q2850">
        <v>-0.53583068154101499</v>
      </c>
      <c r="R2850">
        <v>0.42007424755947997</v>
      </c>
      <c r="S2850">
        <v>13.850263145279399</v>
      </c>
      <c r="T2850">
        <v>-0.254520607673826</v>
      </c>
      <c r="U2850">
        <v>-7.0181989588186102</v>
      </c>
      <c r="V2850">
        <v>0.80199519306248801</v>
      </c>
      <c r="W2850">
        <v>0.91658288966993196</v>
      </c>
      <c r="X2850">
        <v>0</v>
      </c>
      <c r="Y2850">
        <v>0</v>
      </c>
    </row>
    <row r="2851" spans="1:25" x14ac:dyDescent="0.2">
      <c r="A2851" t="s">
        <v>10592</v>
      </c>
      <c r="B2851" t="s">
        <v>10593</v>
      </c>
      <c r="C2851" t="s">
        <v>10594</v>
      </c>
      <c r="D2851" t="s">
        <v>2791</v>
      </c>
      <c r="E2851" t="s">
        <v>10593</v>
      </c>
      <c r="F2851" t="s">
        <v>28</v>
      </c>
      <c r="G2851" t="s">
        <v>10593</v>
      </c>
      <c r="H2851" t="str">
        <f>"vbh-1"</f>
        <v>vbh-1</v>
      </c>
      <c r="I2851" t="s">
        <v>2791</v>
      </c>
      <c r="J2851">
        <v>17.510876330391302</v>
      </c>
      <c r="K2851">
        <v>17.6992779580285</v>
      </c>
      <c r="L2851">
        <v>18.133754313539701</v>
      </c>
      <c r="M2851">
        <v>17.303184523917199</v>
      </c>
      <c r="N2851">
        <v>17.604028762298899</v>
      </c>
      <c r="O2851">
        <v>17.688320935510799</v>
      </c>
      <c r="P2851">
        <v>-0.249458126744173</v>
      </c>
      <c r="Q2851">
        <v>-0.66830022343408502</v>
      </c>
      <c r="R2851">
        <v>0.16938396994573901</v>
      </c>
      <c r="S2851">
        <v>18.2701621983237</v>
      </c>
      <c r="T2851">
        <v>-1.2518141172015</v>
      </c>
      <c r="U2851">
        <v>-6.2650943477838101</v>
      </c>
      <c r="V2851">
        <v>0.226753610082498</v>
      </c>
      <c r="W2851">
        <v>0.49687289374306198</v>
      </c>
      <c r="X2851">
        <v>0</v>
      </c>
      <c r="Y2851">
        <v>0</v>
      </c>
    </row>
    <row r="2852" spans="1:25" x14ac:dyDescent="0.2">
      <c r="A2852" t="s">
        <v>10595</v>
      </c>
      <c r="B2852" t="s">
        <v>10596</v>
      </c>
      <c r="C2852" t="s">
        <v>10597</v>
      </c>
      <c r="D2852" t="s">
        <v>10598</v>
      </c>
      <c r="E2852" t="s">
        <v>10596</v>
      </c>
      <c r="F2852" t="s">
        <v>28</v>
      </c>
      <c r="G2852" t="s">
        <v>10596</v>
      </c>
      <c r="H2852" t="str">
        <f>"Y54E10A.11"</f>
        <v>Y54E10A.11</v>
      </c>
      <c r="I2852" t="s">
        <v>10598</v>
      </c>
      <c r="J2852">
        <v>13.1597711071548</v>
      </c>
      <c r="K2852">
        <v>13.0496863348737</v>
      </c>
      <c r="L2852">
        <v>13.2941722555171</v>
      </c>
      <c r="M2852">
        <v>12.9492130790609</v>
      </c>
      <c r="N2852">
        <v>13.2025443599384</v>
      </c>
      <c r="O2852">
        <v>12.926128221541401</v>
      </c>
      <c r="P2852">
        <v>-0.14191467900160901</v>
      </c>
      <c r="Q2852">
        <v>-0.51878369263431301</v>
      </c>
      <c r="R2852">
        <v>0.234954334631096</v>
      </c>
      <c r="S2852">
        <v>13.0145571354692</v>
      </c>
      <c r="T2852">
        <v>-0.79485315306737803</v>
      </c>
      <c r="U2852">
        <v>-6.7260542698871202</v>
      </c>
      <c r="V2852">
        <v>0.43772309084445798</v>
      </c>
      <c r="W2852">
        <v>0.705124226538548</v>
      </c>
      <c r="X2852">
        <v>0</v>
      </c>
      <c r="Y2852">
        <v>0</v>
      </c>
    </row>
    <row r="2853" spans="1:25" x14ac:dyDescent="0.2">
      <c r="A2853" t="s">
        <v>10599</v>
      </c>
      <c r="B2853" t="s">
        <v>10600</v>
      </c>
      <c r="C2853" t="s">
        <v>14571</v>
      </c>
      <c r="D2853" t="s">
        <v>10601</v>
      </c>
      <c r="E2853" t="s">
        <v>10600</v>
      </c>
      <c r="F2853" t="s">
        <v>28</v>
      </c>
      <c r="G2853" t="s">
        <v>10600</v>
      </c>
      <c r="H2853" t="str">
        <f>"Y47G6A.15"</f>
        <v>Y47G6A.15</v>
      </c>
      <c r="I2853" t="s">
        <v>10601</v>
      </c>
      <c r="J2853">
        <v>12.6495699177225</v>
      </c>
      <c r="K2853">
        <v>12.7765386150573</v>
      </c>
      <c r="L2853">
        <v>15.0689714395654</v>
      </c>
      <c r="M2853">
        <v>14.1409737583449</v>
      </c>
      <c r="N2853">
        <v>14.598036818276499</v>
      </c>
      <c r="O2853">
        <v>13.126998755687699</v>
      </c>
      <c r="P2853">
        <v>0.45697645332129799</v>
      </c>
      <c r="Q2853">
        <v>-0.89292381720733105</v>
      </c>
      <c r="R2853">
        <v>1.8068767238499299</v>
      </c>
      <c r="S2853">
        <v>13.4494259016063</v>
      </c>
      <c r="T2853">
        <v>0.71151596867866396</v>
      </c>
      <c r="U2853">
        <v>-6.79048715529344</v>
      </c>
      <c r="V2853">
        <v>0.48593707077432902</v>
      </c>
      <c r="W2853">
        <v>0.74195019062289802</v>
      </c>
      <c r="X2853">
        <v>0</v>
      </c>
      <c r="Y2853">
        <v>0</v>
      </c>
    </row>
    <row r="2854" spans="1:25" x14ac:dyDescent="0.2">
      <c r="A2854" t="s">
        <v>10602</v>
      </c>
      <c r="B2854" t="s">
        <v>10603</v>
      </c>
      <c r="C2854" t="s">
        <v>10604</v>
      </c>
      <c r="D2854" t="s">
        <v>2602</v>
      </c>
      <c r="E2854" t="s">
        <v>10603</v>
      </c>
      <c r="F2854" t="s">
        <v>28</v>
      </c>
      <c r="G2854" t="s">
        <v>10603</v>
      </c>
      <c r="H2854" t="str">
        <f>"dhs-30"</f>
        <v>dhs-30</v>
      </c>
      <c r="I2854" t="s">
        <v>2602</v>
      </c>
      <c r="J2854">
        <v>15.352503411045699</v>
      </c>
      <c r="K2854">
        <v>15.3234129124251</v>
      </c>
      <c r="L2854">
        <v>14.885903283726099</v>
      </c>
      <c r="M2854">
        <v>15.157180418650301</v>
      </c>
      <c r="N2854">
        <v>15.167597593312101</v>
      </c>
      <c r="O2854">
        <v>15.131334879193799</v>
      </c>
      <c r="P2854">
        <v>-3.5235572013578E-2</v>
      </c>
      <c r="Q2854">
        <v>-0.480901327973766</v>
      </c>
      <c r="R2854">
        <v>0.41043018394661102</v>
      </c>
      <c r="S2854">
        <v>14.510009856245899</v>
      </c>
      <c r="T2854">
        <v>-0.16617457407334699</v>
      </c>
      <c r="U2854">
        <v>-7.03762618890753</v>
      </c>
      <c r="V2854">
        <v>0.86988266720742002</v>
      </c>
      <c r="W2854">
        <v>0.95060863732646494</v>
      </c>
      <c r="X2854">
        <v>0</v>
      </c>
      <c r="Y2854">
        <v>0</v>
      </c>
    </row>
    <row r="2855" spans="1:25" x14ac:dyDescent="0.2">
      <c r="A2855" t="s">
        <v>10605</v>
      </c>
      <c r="B2855" t="s">
        <v>10606</v>
      </c>
      <c r="C2855" t="s">
        <v>14572</v>
      </c>
      <c r="D2855" t="s">
        <v>2791</v>
      </c>
      <c r="E2855" t="s">
        <v>10606</v>
      </c>
      <c r="F2855" t="s">
        <v>28</v>
      </c>
      <c r="G2855" t="s">
        <v>10606</v>
      </c>
      <c r="H2855" t="str">
        <f>"Y94H6A.5"</f>
        <v>Y94H6A.5</v>
      </c>
      <c r="I2855" t="s">
        <v>2791</v>
      </c>
      <c r="J2855">
        <v>14.7525314108965</v>
      </c>
      <c r="K2855">
        <v>14.9494397650653</v>
      </c>
      <c r="L2855">
        <v>14.997857324298201</v>
      </c>
      <c r="M2855">
        <v>14.467799720177</v>
      </c>
      <c r="N2855">
        <v>14.545202536621501</v>
      </c>
      <c r="O2855">
        <v>14.5468428543975</v>
      </c>
      <c r="P2855">
        <v>-0.379994463021331</v>
      </c>
      <c r="Q2855">
        <v>-0.87907449570367302</v>
      </c>
      <c r="R2855">
        <v>0.11908556966101</v>
      </c>
      <c r="S2855">
        <v>15.162628433081901</v>
      </c>
      <c r="T2855">
        <v>-1.60029329925681</v>
      </c>
      <c r="U2855">
        <v>-5.79838880632495</v>
      </c>
      <c r="V2855">
        <v>0.12703906205309701</v>
      </c>
      <c r="W2855">
        <v>0.36964643535992298</v>
      </c>
      <c r="X2855">
        <v>0</v>
      </c>
      <c r="Y2855">
        <v>0</v>
      </c>
    </row>
    <row r="2856" spans="1:25" x14ac:dyDescent="0.2">
      <c r="A2856" t="s">
        <v>10607</v>
      </c>
      <c r="B2856" t="s">
        <v>10608</v>
      </c>
      <c r="C2856" t="s">
        <v>10609</v>
      </c>
      <c r="D2856" t="s">
        <v>10610</v>
      </c>
      <c r="E2856" t="s">
        <v>10608</v>
      </c>
      <c r="F2856" t="s">
        <v>28</v>
      </c>
      <c r="G2856" t="s">
        <v>10608</v>
      </c>
      <c r="H2856" t="str">
        <f>"daf-15"</f>
        <v>daf-15</v>
      </c>
      <c r="I2856" t="s">
        <v>10610</v>
      </c>
      <c r="J2856">
        <v>12.8396609559196</v>
      </c>
      <c r="K2856">
        <v>12.7371141303021</v>
      </c>
      <c r="L2856">
        <v>12.624344880300301</v>
      </c>
      <c r="M2856">
        <v>13.0705395490996</v>
      </c>
      <c r="N2856">
        <v>12.7118067325884</v>
      </c>
      <c r="O2856">
        <v>12.7715183895377</v>
      </c>
      <c r="P2856">
        <v>0.117581568234565</v>
      </c>
      <c r="Q2856">
        <v>-0.32403923521400702</v>
      </c>
      <c r="R2856">
        <v>0.55920237168313702</v>
      </c>
      <c r="S2856">
        <v>12.4512666820834</v>
      </c>
      <c r="T2856">
        <v>0.56200442866748002</v>
      </c>
      <c r="U2856">
        <v>-6.8875871995391602</v>
      </c>
      <c r="V2856">
        <v>0.58149310592933101</v>
      </c>
      <c r="W2856">
        <v>0.80041394530204801</v>
      </c>
      <c r="X2856">
        <v>0</v>
      </c>
      <c r="Y2856">
        <v>0</v>
      </c>
    </row>
    <row r="2857" spans="1:25" x14ac:dyDescent="0.2">
      <c r="A2857" t="s">
        <v>10611</v>
      </c>
      <c r="B2857" t="s">
        <v>10612</v>
      </c>
      <c r="C2857" t="s">
        <v>10613</v>
      </c>
      <c r="D2857" t="s">
        <v>10614</v>
      </c>
      <c r="E2857" t="s">
        <v>10612</v>
      </c>
      <c r="F2857" t="s">
        <v>28</v>
      </c>
      <c r="G2857" t="s">
        <v>10612</v>
      </c>
      <c r="H2857" t="str">
        <f>"mrpl-21"</f>
        <v>mrpl-21</v>
      </c>
      <c r="I2857" t="s">
        <v>10614</v>
      </c>
      <c r="J2857" t="s">
        <v>29</v>
      </c>
      <c r="K2857" t="s">
        <v>29</v>
      </c>
      <c r="L2857" t="s">
        <v>29</v>
      </c>
      <c r="M2857" t="s">
        <v>29</v>
      </c>
      <c r="N2857" t="s">
        <v>29</v>
      </c>
      <c r="O2857" t="s">
        <v>29</v>
      </c>
      <c r="P2857" t="s">
        <v>29</v>
      </c>
      <c r="Q2857" t="s">
        <v>29</v>
      </c>
      <c r="R2857" t="s">
        <v>29</v>
      </c>
      <c r="S2857">
        <v>10.7551354786444</v>
      </c>
      <c r="T2857" t="s">
        <v>29</v>
      </c>
      <c r="U2857" t="s">
        <v>29</v>
      </c>
      <c r="V2857" t="s">
        <v>29</v>
      </c>
      <c r="W2857" t="s">
        <v>29</v>
      </c>
      <c r="X2857" t="s">
        <v>29</v>
      </c>
      <c r="Y2857" t="s">
        <v>29</v>
      </c>
    </row>
    <row r="2858" spans="1:25" x14ac:dyDescent="0.2">
      <c r="A2858" t="s">
        <v>10615</v>
      </c>
      <c r="B2858" t="s">
        <v>10616</v>
      </c>
      <c r="C2858" t="s">
        <v>14573</v>
      </c>
      <c r="D2858" t="s">
        <v>10617</v>
      </c>
      <c r="E2858" t="s">
        <v>10616</v>
      </c>
      <c r="F2858" t="s">
        <v>28</v>
      </c>
      <c r="G2858" t="s">
        <v>10616</v>
      </c>
      <c r="H2858" t="str">
        <f>"D1069.3"</f>
        <v>D1069.3</v>
      </c>
      <c r="I2858" t="s">
        <v>10617</v>
      </c>
      <c r="J2858">
        <v>11.5787051020038</v>
      </c>
      <c r="K2858">
        <v>12.5077804995615</v>
      </c>
      <c r="L2858">
        <v>11.3190156050055</v>
      </c>
      <c r="M2858">
        <v>11.4096446501713</v>
      </c>
      <c r="N2858">
        <v>12.000558612965101</v>
      </c>
      <c r="O2858">
        <v>11.8337934534369</v>
      </c>
      <c r="P2858">
        <v>-5.3834829999182397E-2</v>
      </c>
      <c r="Q2858">
        <v>-0.64383847496826696</v>
      </c>
      <c r="R2858">
        <v>0.53616881496990199</v>
      </c>
      <c r="S2858">
        <v>11.517663255742599</v>
      </c>
      <c r="T2858">
        <v>-0.193534404772949</v>
      </c>
      <c r="U2858">
        <v>-7.03235004195332</v>
      </c>
      <c r="V2858">
        <v>0.84899196788630105</v>
      </c>
      <c r="W2858">
        <v>0.94093204807378505</v>
      </c>
      <c r="X2858">
        <v>0</v>
      </c>
      <c r="Y2858">
        <v>0</v>
      </c>
    </row>
    <row r="2859" spans="1:25" x14ac:dyDescent="0.2">
      <c r="A2859" t="s">
        <v>10618</v>
      </c>
      <c r="B2859" t="s">
        <v>10619</v>
      </c>
      <c r="C2859" t="s">
        <v>14574</v>
      </c>
      <c r="D2859" t="s">
        <v>3358</v>
      </c>
      <c r="E2859" t="s">
        <v>10619</v>
      </c>
      <c r="F2859" t="s">
        <v>28</v>
      </c>
      <c r="G2859" t="s">
        <v>10619</v>
      </c>
      <c r="H2859" t="str">
        <f>"T28B4.1"</f>
        <v>T28B4.1</v>
      </c>
      <c r="I2859" t="s">
        <v>3358</v>
      </c>
      <c r="J2859">
        <v>12.6410344191824</v>
      </c>
      <c r="K2859" t="s">
        <v>29</v>
      </c>
      <c r="L2859">
        <v>13.1969725371248</v>
      </c>
      <c r="M2859">
        <v>12.4035235823271</v>
      </c>
      <c r="N2859">
        <v>13.4132849519888</v>
      </c>
      <c r="O2859">
        <v>12.844984808295701</v>
      </c>
      <c r="P2859">
        <v>-3.1739030616382301E-2</v>
      </c>
      <c r="Q2859">
        <v>-0.80423114226926795</v>
      </c>
      <c r="R2859">
        <v>0.74075308103650295</v>
      </c>
      <c r="S2859">
        <v>12.893411448759601</v>
      </c>
      <c r="T2859">
        <v>-8.8184345869334296E-2</v>
      </c>
      <c r="U2859">
        <v>-6.9373030566172398</v>
      </c>
      <c r="V2859">
        <v>0.930988497298745</v>
      </c>
      <c r="W2859">
        <v>0.97440867488263605</v>
      </c>
      <c r="X2859">
        <v>0</v>
      </c>
      <c r="Y2859">
        <v>0</v>
      </c>
    </row>
    <row r="2860" spans="1:25" x14ac:dyDescent="0.2">
      <c r="A2860" t="s">
        <v>10620</v>
      </c>
      <c r="B2860" t="s">
        <v>10621</v>
      </c>
      <c r="C2860" t="s">
        <v>14575</v>
      </c>
      <c r="D2860" t="s">
        <v>10622</v>
      </c>
      <c r="E2860" t="s">
        <v>10621</v>
      </c>
      <c r="F2860" t="s">
        <v>28</v>
      </c>
      <c r="G2860" t="s">
        <v>10621</v>
      </c>
      <c r="H2860" t="str">
        <f>"R151.2"</f>
        <v>R151.2</v>
      </c>
      <c r="I2860" t="s">
        <v>10622</v>
      </c>
      <c r="J2860">
        <v>15.7802142953744</v>
      </c>
      <c r="K2860">
        <v>15.120128670270301</v>
      </c>
      <c r="L2860">
        <v>15.613134255504599</v>
      </c>
      <c r="M2860">
        <v>15.3671451403678</v>
      </c>
      <c r="N2860">
        <v>15.111686512857201</v>
      </c>
      <c r="O2860">
        <v>14.896976796159199</v>
      </c>
      <c r="P2860">
        <v>-0.37922292392165102</v>
      </c>
      <c r="Q2860">
        <v>-0.85672289505479804</v>
      </c>
      <c r="R2860">
        <v>9.8277047211496604E-2</v>
      </c>
      <c r="S2860">
        <v>15.438526831489</v>
      </c>
      <c r="T2860">
        <v>-1.6692206391571001</v>
      </c>
      <c r="U2860">
        <v>-5.6957494925396901</v>
      </c>
      <c r="V2860">
        <v>0.11247383550942</v>
      </c>
      <c r="W2860">
        <v>0.34411407745613198</v>
      </c>
      <c r="X2860">
        <v>0</v>
      </c>
      <c r="Y2860">
        <v>0</v>
      </c>
    </row>
    <row r="2861" spans="1:25" x14ac:dyDescent="0.2">
      <c r="A2861" t="s">
        <v>10623</v>
      </c>
      <c r="B2861" t="s">
        <v>10624</v>
      </c>
      <c r="C2861" t="s">
        <v>10625</v>
      </c>
      <c r="D2861" t="s">
        <v>10626</v>
      </c>
      <c r="E2861" t="s">
        <v>10624</v>
      </c>
      <c r="F2861" t="s">
        <v>28</v>
      </c>
      <c r="G2861" t="s">
        <v>10624</v>
      </c>
      <c r="H2861" t="str">
        <f>"dot-1.1"</f>
        <v>dot-1.1</v>
      </c>
      <c r="I2861" t="s">
        <v>10626</v>
      </c>
      <c r="J2861" t="s">
        <v>29</v>
      </c>
      <c r="K2861">
        <v>11.2149380045869</v>
      </c>
      <c r="L2861">
        <v>10.1889305926252</v>
      </c>
      <c r="M2861" t="s">
        <v>29</v>
      </c>
      <c r="N2861" t="s">
        <v>29</v>
      </c>
      <c r="O2861" t="s">
        <v>29</v>
      </c>
      <c r="P2861" t="s">
        <v>29</v>
      </c>
      <c r="Q2861" t="s">
        <v>29</v>
      </c>
      <c r="R2861" t="s">
        <v>29</v>
      </c>
      <c r="S2861">
        <v>11.220192353825</v>
      </c>
      <c r="T2861" t="s">
        <v>29</v>
      </c>
      <c r="U2861" t="s">
        <v>29</v>
      </c>
      <c r="V2861" t="s">
        <v>29</v>
      </c>
      <c r="W2861" t="s">
        <v>29</v>
      </c>
      <c r="X2861" t="s">
        <v>29</v>
      </c>
      <c r="Y2861" t="s">
        <v>29</v>
      </c>
    </row>
    <row r="2862" spans="1:25" x14ac:dyDescent="0.2">
      <c r="A2862" t="s">
        <v>10627</v>
      </c>
      <c r="B2862" t="s">
        <v>10628</v>
      </c>
      <c r="C2862" t="s">
        <v>10629</v>
      </c>
      <c r="D2862" t="s">
        <v>10630</v>
      </c>
      <c r="E2862" t="s">
        <v>10628</v>
      </c>
      <c r="F2862" t="s">
        <v>28</v>
      </c>
      <c r="G2862" t="s">
        <v>10628</v>
      </c>
      <c r="H2862" t="str">
        <f>"cogc-3"</f>
        <v>cogc-3</v>
      </c>
      <c r="I2862" t="s">
        <v>10630</v>
      </c>
      <c r="J2862">
        <v>12.0167083843474</v>
      </c>
      <c r="K2862">
        <v>10.067343166696199</v>
      </c>
      <c r="L2862">
        <v>11.6866741377385</v>
      </c>
      <c r="M2862">
        <v>12.062736012442601</v>
      </c>
      <c r="N2862">
        <v>12.9130792749491</v>
      </c>
      <c r="O2862">
        <v>12.2722527135688</v>
      </c>
      <c r="P2862">
        <v>1.1591141040594699</v>
      </c>
      <c r="Q2862">
        <v>0.246696487227721</v>
      </c>
      <c r="R2862">
        <v>2.0715317208912101</v>
      </c>
      <c r="S2862">
        <v>12.0036567917243</v>
      </c>
      <c r="T2862">
        <v>2.6815292680295402</v>
      </c>
      <c r="U2862">
        <v>-3.9072552691724001</v>
      </c>
      <c r="V2862">
        <v>1.5831179024180599E-2</v>
      </c>
      <c r="W2862">
        <v>0.117613371106584</v>
      </c>
      <c r="X2862">
        <v>1</v>
      </c>
      <c r="Y2862">
        <v>0</v>
      </c>
    </row>
    <row r="2863" spans="1:25" x14ac:dyDescent="0.2">
      <c r="A2863" t="s">
        <v>10631</v>
      </c>
      <c r="B2863" t="s">
        <v>10632</v>
      </c>
      <c r="C2863" t="s">
        <v>10633</v>
      </c>
      <c r="D2863" t="s">
        <v>10634</v>
      </c>
      <c r="E2863" t="s">
        <v>10632</v>
      </c>
      <c r="F2863" t="s">
        <v>28</v>
      </c>
      <c r="G2863" t="s">
        <v>10632</v>
      </c>
      <c r="H2863" t="str">
        <f>"nurf-1"</f>
        <v>nurf-1</v>
      </c>
      <c r="I2863" t="s">
        <v>10634</v>
      </c>
      <c r="J2863">
        <v>13.827820372527199</v>
      </c>
      <c r="K2863">
        <v>14.3341733153507</v>
      </c>
      <c r="L2863">
        <v>14.1132255902415</v>
      </c>
      <c r="M2863">
        <v>14.2647799665727</v>
      </c>
      <c r="N2863">
        <v>13.833292035908901</v>
      </c>
      <c r="O2863">
        <v>14.249863492209499</v>
      </c>
      <c r="P2863">
        <v>2.4238738857191001E-2</v>
      </c>
      <c r="Q2863">
        <v>-0.42612996734152198</v>
      </c>
      <c r="R2863">
        <v>0.47460744505590402</v>
      </c>
      <c r="S2863">
        <v>14.2450754704373</v>
      </c>
      <c r="T2863">
        <v>0.11360353011921701</v>
      </c>
      <c r="U2863">
        <v>-7.0453044234002302</v>
      </c>
      <c r="V2863">
        <v>0.910891125162968</v>
      </c>
      <c r="W2863">
        <v>0.96810321753729001</v>
      </c>
      <c r="X2863">
        <v>0</v>
      </c>
      <c r="Y2863">
        <v>0</v>
      </c>
    </row>
    <row r="2864" spans="1:25" x14ac:dyDescent="0.2">
      <c r="A2864" t="s">
        <v>10635</v>
      </c>
      <c r="B2864" t="s">
        <v>10636</v>
      </c>
      <c r="C2864" t="s">
        <v>14576</v>
      </c>
      <c r="D2864" t="s">
        <v>10637</v>
      </c>
      <c r="E2864" t="s">
        <v>10636</v>
      </c>
      <c r="F2864" t="s">
        <v>28</v>
      </c>
      <c r="G2864" t="s">
        <v>10636</v>
      </c>
      <c r="H2864" t="str">
        <f>"F27C1.2"</f>
        <v>F27C1.2</v>
      </c>
      <c r="I2864" t="s">
        <v>10637</v>
      </c>
      <c r="J2864">
        <v>13.724728308660101</v>
      </c>
      <c r="K2864">
        <v>14.125371660715301</v>
      </c>
      <c r="L2864">
        <v>13.581553655558199</v>
      </c>
      <c r="M2864">
        <v>13.9641734125155</v>
      </c>
      <c r="N2864">
        <v>13.8440257713526</v>
      </c>
      <c r="O2864">
        <v>13.673971284107299</v>
      </c>
      <c r="P2864">
        <v>1.6838947680604101E-2</v>
      </c>
      <c r="Q2864">
        <v>-1.35355328160723</v>
      </c>
      <c r="R2864">
        <v>1.38723117696844</v>
      </c>
      <c r="S2864">
        <v>14.2039770209289</v>
      </c>
      <c r="T2864">
        <v>2.5826322709227498E-2</v>
      </c>
      <c r="U2864">
        <v>-7.0517368990075404</v>
      </c>
      <c r="V2864">
        <v>0.97968169061326305</v>
      </c>
      <c r="W2864">
        <v>0.98941161429408997</v>
      </c>
      <c r="X2864">
        <v>0</v>
      </c>
      <c r="Y2864">
        <v>0</v>
      </c>
    </row>
    <row r="2865" spans="1:25" x14ac:dyDescent="0.2">
      <c r="A2865" t="s">
        <v>10638</v>
      </c>
      <c r="B2865" t="s">
        <v>10639</v>
      </c>
      <c r="C2865" t="s">
        <v>10640</v>
      </c>
      <c r="D2865" t="s">
        <v>10641</v>
      </c>
      <c r="E2865" t="s">
        <v>10639</v>
      </c>
      <c r="F2865" t="s">
        <v>28</v>
      </c>
      <c r="G2865" t="s">
        <v>10639</v>
      </c>
      <c r="H2865" t="str">
        <f>"math-33"</f>
        <v>math-33</v>
      </c>
      <c r="I2865" t="s">
        <v>10641</v>
      </c>
      <c r="J2865">
        <v>15.1093272264749</v>
      </c>
      <c r="K2865">
        <v>15.063056508224401</v>
      </c>
      <c r="L2865">
        <v>14.596321138378499</v>
      </c>
      <c r="M2865">
        <v>14.707463407116601</v>
      </c>
      <c r="N2865">
        <v>14.3769767304236</v>
      </c>
      <c r="O2865">
        <v>14.748809218761901</v>
      </c>
      <c r="P2865">
        <v>-0.31181850559186602</v>
      </c>
      <c r="Q2865">
        <v>-0.75267681654932805</v>
      </c>
      <c r="R2865">
        <v>0.12903980536559601</v>
      </c>
      <c r="S2865">
        <v>14.6915687485552</v>
      </c>
      <c r="T2865">
        <v>-1.4866042380186799</v>
      </c>
      <c r="U2865">
        <v>-5.9605193912102097</v>
      </c>
      <c r="V2865">
        <v>0.15452618754893799</v>
      </c>
      <c r="W2865">
        <v>0.40649006813601102</v>
      </c>
      <c r="X2865">
        <v>0</v>
      </c>
      <c r="Y2865">
        <v>0</v>
      </c>
    </row>
    <row r="2866" spans="1:25" x14ac:dyDescent="0.2">
      <c r="A2866" t="s">
        <v>10642</v>
      </c>
      <c r="B2866" t="s">
        <v>10643</v>
      </c>
      <c r="C2866" t="s">
        <v>10644</v>
      </c>
      <c r="D2866" t="s">
        <v>10645</v>
      </c>
      <c r="E2866" t="s">
        <v>10643</v>
      </c>
      <c r="F2866" t="s">
        <v>28</v>
      </c>
      <c r="G2866" t="s">
        <v>10643</v>
      </c>
      <c r="H2866" t="str">
        <f>"hsr-9"</f>
        <v>hsr-9</v>
      </c>
      <c r="I2866" t="s">
        <v>10645</v>
      </c>
      <c r="J2866">
        <v>13.3718362349071</v>
      </c>
      <c r="K2866">
        <v>13.8494835916459</v>
      </c>
      <c r="L2866">
        <v>13.7391347687402</v>
      </c>
      <c r="M2866">
        <v>12.6622763497741</v>
      </c>
      <c r="N2866">
        <v>12.2432177102653</v>
      </c>
      <c r="O2866">
        <v>12.9530982484177</v>
      </c>
      <c r="P2866">
        <v>-1.0339540956120501</v>
      </c>
      <c r="Q2866">
        <v>-1.5905034323450999</v>
      </c>
      <c r="R2866">
        <v>-0.47740475887899703</v>
      </c>
      <c r="S2866">
        <v>13.294197106990101</v>
      </c>
      <c r="T2866">
        <v>-3.9214583027706298</v>
      </c>
      <c r="U2866">
        <v>-1.32079390646816</v>
      </c>
      <c r="V2866">
        <v>1.11072976082095E-3</v>
      </c>
      <c r="W2866">
        <v>1.9552191962291701E-2</v>
      </c>
      <c r="X2866">
        <v>-1</v>
      </c>
      <c r="Y2866">
        <v>-1</v>
      </c>
    </row>
    <row r="2867" spans="1:25" x14ac:dyDescent="0.2">
      <c r="A2867" t="s">
        <v>10646</v>
      </c>
      <c r="B2867" t="s">
        <v>10647</v>
      </c>
      <c r="C2867" t="s">
        <v>10648</v>
      </c>
      <c r="D2867" t="s">
        <v>1027</v>
      </c>
      <c r="E2867" t="s">
        <v>10647</v>
      </c>
      <c r="F2867" t="s">
        <v>28</v>
      </c>
      <c r="G2867" t="s">
        <v>10647</v>
      </c>
      <c r="H2867" t="str">
        <f>"duo-1"</f>
        <v>duo-1</v>
      </c>
      <c r="I2867" t="s">
        <v>1027</v>
      </c>
      <c r="J2867" t="s">
        <v>29</v>
      </c>
      <c r="K2867" t="s">
        <v>29</v>
      </c>
      <c r="L2867" t="s">
        <v>29</v>
      </c>
      <c r="M2867" t="s">
        <v>29</v>
      </c>
      <c r="N2867" t="s">
        <v>29</v>
      </c>
      <c r="O2867" t="s">
        <v>29</v>
      </c>
      <c r="P2867" t="s">
        <v>29</v>
      </c>
      <c r="Q2867" t="s">
        <v>29</v>
      </c>
      <c r="R2867" t="s">
        <v>29</v>
      </c>
      <c r="S2867">
        <v>11.507491645429701</v>
      </c>
      <c r="T2867" t="s">
        <v>29</v>
      </c>
      <c r="U2867" t="s">
        <v>29</v>
      </c>
      <c r="V2867" t="s">
        <v>29</v>
      </c>
      <c r="W2867" t="s">
        <v>29</v>
      </c>
      <c r="X2867" t="s">
        <v>29</v>
      </c>
      <c r="Y2867" t="s">
        <v>29</v>
      </c>
    </row>
    <row r="2868" spans="1:25" x14ac:dyDescent="0.2">
      <c r="A2868" t="s">
        <v>10649</v>
      </c>
      <c r="B2868" t="s">
        <v>10650</v>
      </c>
      <c r="C2868" t="s">
        <v>10651</v>
      </c>
      <c r="D2868" t="s">
        <v>10652</v>
      </c>
      <c r="E2868" t="s">
        <v>10650</v>
      </c>
      <c r="F2868" t="s">
        <v>28</v>
      </c>
      <c r="G2868" t="s">
        <v>10650</v>
      </c>
      <c r="H2868" t="str">
        <f>"sma-9"</f>
        <v>sma-9</v>
      </c>
      <c r="I2868" t="s">
        <v>10652</v>
      </c>
      <c r="J2868">
        <v>12.095199061275601</v>
      </c>
      <c r="K2868">
        <v>12.5648913308162</v>
      </c>
      <c r="L2868">
        <v>12.424513072205499</v>
      </c>
      <c r="M2868">
        <v>12.121653660610701</v>
      </c>
      <c r="N2868">
        <v>12.381410245462</v>
      </c>
      <c r="O2868">
        <v>12.8836020396761</v>
      </c>
      <c r="P2868">
        <v>0.100687493817212</v>
      </c>
      <c r="Q2868">
        <v>-0.48730264682246899</v>
      </c>
      <c r="R2868">
        <v>0.68867763445689301</v>
      </c>
      <c r="S2868">
        <v>12.3802831190057</v>
      </c>
      <c r="T2868">
        <v>0.36320767490342298</v>
      </c>
      <c r="U2868">
        <v>-6.9827809975867003</v>
      </c>
      <c r="V2868">
        <v>0.721234859311918</v>
      </c>
      <c r="W2868">
        <v>0.87833017672192404</v>
      </c>
      <c r="X2868">
        <v>0</v>
      </c>
      <c r="Y2868">
        <v>0</v>
      </c>
    </row>
    <row r="2869" spans="1:25" x14ac:dyDescent="0.2">
      <c r="A2869" t="s">
        <v>10653</v>
      </c>
      <c r="B2869" t="s">
        <v>10654</v>
      </c>
      <c r="C2869" t="s">
        <v>10655</v>
      </c>
      <c r="D2869" t="s">
        <v>1027</v>
      </c>
      <c r="E2869" t="s">
        <v>10654</v>
      </c>
      <c r="F2869" t="s">
        <v>28</v>
      </c>
      <c r="G2869" t="s">
        <v>10654</v>
      </c>
      <c r="H2869" t="str">
        <f>"cyld-1"</f>
        <v>cyld-1</v>
      </c>
      <c r="I2869" t="s">
        <v>1027</v>
      </c>
      <c r="J2869">
        <v>11.902721820097501</v>
      </c>
      <c r="K2869">
        <v>12.785417005085799</v>
      </c>
      <c r="L2869">
        <v>12.5148487844714</v>
      </c>
      <c r="M2869">
        <v>12.7912802057551</v>
      </c>
      <c r="N2869">
        <v>12.2721235660203</v>
      </c>
      <c r="O2869">
        <v>12.186191942498301</v>
      </c>
      <c r="P2869">
        <v>1.55360348729996E-2</v>
      </c>
      <c r="Q2869">
        <v>-0.44994223173199299</v>
      </c>
      <c r="R2869">
        <v>0.48101430147799201</v>
      </c>
      <c r="S2869">
        <v>12.694872544216601</v>
      </c>
      <c r="T2869">
        <v>7.0792998694287596E-2</v>
      </c>
      <c r="U2869">
        <v>-7.0494429492294799</v>
      </c>
      <c r="V2869">
        <v>0.94444555644748096</v>
      </c>
      <c r="W2869">
        <v>0.97576384643441005</v>
      </c>
      <c r="X2869">
        <v>0</v>
      </c>
      <c r="Y2869">
        <v>0</v>
      </c>
    </row>
    <row r="2870" spans="1:25" x14ac:dyDescent="0.2">
      <c r="A2870" t="s">
        <v>10656</v>
      </c>
      <c r="B2870" t="s">
        <v>10657</v>
      </c>
      <c r="C2870" t="s">
        <v>10658</v>
      </c>
      <c r="D2870" t="s">
        <v>10659</v>
      </c>
      <c r="E2870" t="s">
        <v>10657</v>
      </c>
      <c r="F2870" t="s">
        <v>28</v>
      </c>
      <c r="G2870" t="s">
        <v>10657</v>
      </c>
      <c r="H2870" t="str">
        <f>"cbp-3"</f>
        <v>cbp-3</v>
      </c>
      <c r="I2870" t="s">
        <v>10659</v>
      </c>
      <c r="J2870" t="s">
        <v>29</v>
      </c>
      <c r="K2870" t="s">
        <v>29</v>
      </c>
      <c r="L2870" t="s">
        <v>29</v>
      </c>
      <c r="M2870" t="s">
        <v>29</v>
      </c>
      <c r="N2870" t="s">
        <v>29</v>
      </c>
      <c r="O2870" t="s">
        <v>29</v>
      </c>
      <c r="P2870" t="s">
        <v>29</v>
      </c>
      <c r="Q2870" t="s">
        <v>29</v>
      </c>
      <c r="R2870" t="s">
        <v>29</v>
      </c>
      <c r="S2870">
        <v>13.600043749210201</v>
      </c>
      <c r="T2870" t="s">
        <v>29</v>
      </c>
      <c r="U2870" t="s">
        <v>29</v>
      </c>
      <c r="V2870" t="s">
        <v>29</v>
      </c>
      <c r="W2870" t="s">
        <v>29</v>
      </c>
      <c r="X2870" t="s">
        <v>29</v>
      </c>
      <c r="Y2870" t="s">
        <v>29</v>
      </c>
    </row>
    <row r="2871" spans="1:25" x14ac:dyDescent="0.2">
      <c r="A2871" t="s">
        <v>10660</v>
      </c>
      <c r="B2871" t="s">
        <v>10661</v>
      </c>
      <c r="C2871" t="s">
        <v>10662</v>
      </c>
      <c r="D2871" t="s">
        <v>10663</v>
      </c>
      <c r="E2871" t="s">
        <v>10661</v>
      </c>
      <c r="F2871" t="s">
        <v>28</v>
      </c>
      <c r="G2871" t="s">
        <v>10661</v>
      </c>
      <c r="H2871" t="str">
        <f>"atp-3"</f>
        <v>atp-3</v>
      </c>
      <c r="I2871" t="s">
        <v>10663</v>
      </c>
      <c r="J2871">
        <v>14.2804894675829</v>
      </c>
      <c r="K2871">
        <v>14.5046574845923</v>
      </c>
      <c r="L2871">
        <v>14.558315188603901</v>
      </c>
      <c r="M2871">
        <v>14.156075244925299</v>
      </c>
      <c r="N2871">
        <v>14.005052928116999</v>
      </c>
      <c r="O2871">
        <v>15.329316953087</v>
      </c>
      <c r="P2871">
        <v>4.8994328450063997E-2</v>
      </c>
      <c r="Q2871">
        <v>-0.85802789218368303</v>
      </c>
      <c r="R2871">
        <v>0.95601654908381195</v>
      </c>
      <c r="S2871">
        <v>14.050853066475501</v>
      </c>
      <c r="T2871">
        <v>0.113532550858398</v>
      </c>
      <c r="U2871">
        <v>-7.0453338992939996</v>
      </c>
      <c r="V2871">
        <v>0.91087237142317101</v>
      </c>
      <c r="W2871">
        <v>0.96810321753729001</v>
      </c>
      <c r="X2871">
        <v>0</v>
      </c>
      <c r="Y2871">
        <v>0</v>
      </c>
    </row>
    <row r="2872" spans="1:25" x14ac:dyDescent="0.2">
      <c r="A2872" t="s">
        <v>10664</v>
      </c>
      <c r="B2872" t="s">
        <v>10665</v>
      </c>
      <c r="C2872" t="s">
        <v>10666</v>
      </c>
      <c r="D2872" t="s">
        <v>10667</v>
      </c>
      <c r="E2872" t="s">
        <v>10665</v>
      </c>
      <c r="F2872" t="s">
        <v>28</v>
      </c>
      <c r="G2872" t="s">
        <v>10665</v>
      </c>
      <c r="H2872" t="str">
        <f>"cyk-1"</f>
        <v>cyk-1</v>
      </c>
      <c r="I2872" t="s">
        <v>10667</v>
      </c>
      <c r="J2872">
        <v>9.8755064669620705</v>
      </c>
      <c r="K2872">
        <v>10.0731279277274</v>
      </c>
      <c r="L2872">
        <v>10.8611807514911</v>
      </c>
      <c r="M2872">
        <v>11.0143493647914</v>
      </c>
      <c r="N2872">
        <v>10.422534646727501</v>
      </c>
      <c r="O2872">
        <v>9.9690423853826893</v>
      </c>
      <c r="P2872">
        <v>0.198703750240357</v>
      </c>
      <c r="Q2872">
        <v>-0.55185300790278902</v>
      </c>
      <c r="R2872">
        <v>0.94926050838350295</v>
      </c>
      <c r="S2872">
        <v>10.510783397195</v>
      </c>
      <c r="T2872">
        <v>0.56463023467580198</v>
      </c>
      <c r="U2872">
        <v>-6.8850249592452002</v>
      </c>
      <c r="V2872">
        <v>0.58072961165019299</v>
      </c>
      <c r="W2872">
        <v>0.79970129340233898</v>
      </c>
      <c r="X2872">
        <v>0</v>
      </c>
      <c r="Y2872">
        <v>0</v>
      </c>
    </row>
    <row r="2873" spans="1:25" x14ac:dyDescent="0.2">
      <c r="A2873" t="s">
        <v>10668</v>
      </c>
      <c r="B2873" t="s">
        <v>10669</v>
      </c>
      <c r="C2873" t="s">
        <v>10670</v>
      </c>
      <c r="D2873" t="s">
        <v>3728</v>
      </c>
      <c r="E2873" t="s">
        <v>10669</v>
      </c>
      <c r="F2873" t="s">
        <v>28</v>
      </c>
      <c r="G2873" t="s">
        <v>10669</v>
      </c>
      <c r="H2873" t="str">
        <f>"gldi-2"</f>
        <v>gldi-2</v>
      </c>
      <c r="I2873" t="s">
        <v>3728</v>
      </c>
      <c r="J2873">
        <v>12.895489220332101</v>
      </c>
      <c r="K2873">
        <v>13.079814766019901</v>
      </c>
      <c r="L2873">
        <v>12.7381217670351</v>
      </c>
      <c r="M2873">
        <v>11.749745796342101</v>
      </c>
      <c r="N2873">
        <v>12.9355897140604</v>
      </c>
      <c r="O2873">
        <v>12.863158014170301</v>
      </c>
      <c r="P2873">
        <v>-0.38831074293814499</v>
      </c>
      <c r="Q2873">
        <v>-0.96620329179588804</v>
      </c>
      <c r="R2873">
        <v>0.189581805919597</v>
      </c>
      <c r="S2873">
        <v>12.7410303254299</v>
      </c>
      <c r="T2873">
        <v>-1.4122930571315999</v>
      </c>
      <c r="U2873">
        <v>-6.0614590199415099</v>
      </c>
      <c r="V2873">
        <v>0.17501825368357601</v>
      </c>
      <c r="W2873">
        <v>0.43573787106836698</v>
      </c>
      <c r="X2873">
        <v>0</v>
      </c>
      <c r="Y2873">
        <v>0</v>
      </c>
    </row>
    <row r="2874" spans="1:25" x14ac:dyDescent="0.2">
      <c r="A2874" t="s">
        <v>10671</v>
      </c>
      <c r="B2874" t="s">
        <v>10672</v>
      </c>
      <c r="C2874" t="s">
        <v>14577</v>
      </c>
      <c r="D2874" t="s">
        <v>10673</v>
      </c>
      <c r="E2874" t="s">
        <v>10672</v>
      </c>
      <c r="F2874" t="s">
        <v>28</v>
      </c>
      <c r="G2874" t="s">
        <v>10672</v>
      </c>
      <c r="H2874" t="str">
        <f>"T24H7.9"</f>
        <v>T24H7.9</v>
      </c>
      <c r="I2874" t="s">
        <v>10673</v>
      </c>
      <c r="J2874">
        <v>12.899561526782801</v>
      </c>
      <c r="K2874">
        <v>12.9273025717512</v>
      </c>
      <c r="L2874">
        <v>12.7008379792019</v>
      </c>
      <c r="M2874">
        <v>12.175541097122199</v>
      </c>
      <c r="N2874">
        <v>13.1282024135641</v>
      </c>
      <c r="O2874">
        <v>12.3712705836606</v>
      </c>
      <c r="P2874">
        <v>-0.28422932779634102</v>
      </c>
      <c r="Q2874">
        <v>-0.78235681048137495</v>
      </c>
      <c r="R2874">
        <v>0.21389815488869299</v>
      </c>
      <c r="S2874">
        <v>12.598152127652799</v>
      </c>
      <c r="T2874">
        <v>-1.2102578673720199</v>
      </c>
      <c r="U2874">
        <v>-6.3131689407231999</v>
      </c>
      <c r="V2874">
        <v>0.24387062155617201</v>
      </c>
      <c r="W2874">
        <v>0.51764840348583396</v>
      </c>
      <c r="X2874">
        <v>0</v>
      </c>
      <c r="Y2874">
        <v>0</v>
      </c>
    </row>
    <row r="2875" spans="1:25" x14ac:dyDescent="0.2">
      <c r="A2875" t="s">
        <v>10674</v>
      </c>
      <c r="B2875" t="s">
        <v>10675</v>
      </c>
      <c r="C2875" t="s">
        <v>10676</v>
      </c>
      <c r="D2875" t="s">
        <v>10677</v>
      </c>
      <c r="E2875" t="s">
        <v>10675</v>
      </c>
      <c r="F2875" t="s">
        <v>28</v>
      </c>
      <c r="G2875" t="s">
        <v>10675</v>
      </c>
      <c r="H2875" t="str">
        <f>"C35B8.3"</f>
        <v>C35B8.3</v>
      </c>
      <c r="I2875" t="s">
        <v>10677</v>
      </c>
      <c r="J2875" t="s">
        <v>29</v>
      </c>
      <c r="K2875" t="s">
        <v>29</v>
      </c>
      <c r="L2875">
        <v>11.5398460628123</v>
      </c>
      <c r="M2875">
        <v>11.9066503740291</v>
      </c>
      <c r="N2875" t="s">
        <v>29</v>
      </c>
      <c r="O2875" t="s">
        <v>29</v>
      </c>
      <c r="P2875">
        <v>0.36680431121678198</v>
      </c>
      <c r="Q2875">
        <v>-0.97949722891985003</v>
      </c>
      <c r="R2875">
        <v>1.7131058513534101</v>
      </c>
      <c r="S2875">
        <v>11.6670703367757</v>
      </c>
      <c r="T2875">
        <v>0.62973495485861897</v>
      </c>
      <c r="U2875">
        <v>-6.2969498146720104</v>
      </c>
      <c r="V2875">
        <v>0.54665550128528695</v>
      </c>
      <c r="W2875">
        <v>0.77920996104149098</v>
      </c>
      <c r="X2875">
        <v>0</v>
      </c>
      <c r="Y2875">
        <v>0</v>
      </c>
    </row>
    <row r="2876" spans="1:25" x14ac:dyDescent="0.2">
      <c r="A2876" t="s">
        <v>10678</v>
      </c>
      <c r="B2876" t="s">
        <v>10679</v>
      </c>
      <c r="C2876" t="s">
        <v>10680</v>
      </c>
      <c r="D2876" t="s">
        <v>10681</v>
      </c>
      <c r="E2876" t="s">
        <v>10679</v>
      </c>
      <c r="F2876" t="s">
        <v>28</v>
      </c>
      <c r="G2876" t="s">
        <v>10679</v>
      </c>
      <c r="H2876" t="str">
        <f>"npp-16"</f>
        <v>npp-16</v>
      </c>
      <c r="I2876" t="s">
        <v>10681</v>
      </c>
      <c r="J2876">
        <v>12.7433499743667</v>
      </c>
      <c r="K2876">
        <v>12.8567813445945</v>
      </c>
      <c r="L2876">
        <v>12.5196204677237</v>
      </c>
      <c r="M2876">
        <v>13.382661914206199</v>
      </c>
      <c r="N2876">
        <v>12.5155390990406</v>
      </c>
      <c r="O2876">
        <v>12.467418091397899</v>
      </c>
      <c r="P2876">
        <v>8.1955772653246897E-2</v>
      </c>
      <c r="Q2876">
        <v>-0.40795253579615398</v>
      </c>
      <c r="R2876">
        <v>0.57186408110264797</v>
      </c>
      <c r="S2876">
        <v>12.4973054016031</v>
      </c>
      <c r="T2876">
        <v>0.354825051150786</v>
      </c>
      <c r="U2876">
        <v>-6.9859306086405697</v>
      </c>
      <c r="V2876">
        <v>0.72738468997489303</v>
      </c>
      <c r="W2876">
        <v>0.88207560709031296</v>
      </c>
      <c r="X2876">
        <v>0</v>
      </c>
      <c r="Y2876">
        <v>0</v>
      </c>
    </row>
    <row r="2877" spans="1:25" x14ac:dyDescent="0.2">
      <c r="A2877" t="s">
        <v>10682</v>
      </c>
      <c r="B2877" t="s">
        <v>10683</v>
      </c>
      <c r="C2877" t="s">
        <v>10684</v>
      </c>
      <c r="D2877" t="s">
        <v>10685</v>
      </c>
      <c r="E2877" t="s">
        <v>10683</v>
      </c>
      <c r="F2877" t="s">
        <v>28</v>
      </c>
      <c r="G2877" t="s">
        <v>10683</v>
      </c>
      <c r="H2877" t="str">
        <f>"ceh-100"</f>
        <v>ceh-100</v>
      </c>
      <c r="I2877" t="s">
        <v>10685</v>
      </c>
      <c r="J2877">
        <v>11.8192534477805</v>
      </c>
      <c r="K2877" t="s">
        <v>29</v>
      </c>
      <c r="L2877">
        <v>11.6304173279728</v>
      </c>
      <c r="M2877" t="s">
        <v>29</v>
      </c>
      <c r="N2877" t="s">
        <v>29</v>
      </c>
      <c r="O2877">
        <v>12.945405915263001</v>
      </c>
      <c r="P2877">
        <v>1.2205705273863801</v>
      </c>
      <c r="Q2877">
        <v>0.300532422811358</v>
      </c>
      <c r="R2877">
        <v>2.1406086319613999</v>
      </c>
      <c r="S2877">
        <v>12.2930559891409</v>
      </c>
      <c r="T2877">
        <v>2.8684303491333001</v>
      </c>
      <c r="U2877">
        <v>-3.2946762599587398</v>
      </c>
      <c r="V2877">
        <v>1.3274188478916199E-2</v>
      </c>
      <c r="W2877">
        <v>0.106652368667638</v>
      </c>
      <c r="X2877">
        <v>1</v>
      </c>
      <c r="Y2877">
        <v>0</v>
      </c>
    </row>
    <row r="2878" spans="1:25" x14ac:dyDescent="0.2">
      <c r="A2878" t="s">
        <v>10686</v>
      </c>
      <c r="B2878" t="s">
        <v>10687</v>
      </c>
      <c r="C2878" t="s">
        <v>10688</v>
      </c>
      <c r="D2878" t="s">
        <v>10689</v>
      </c>
      <c r="E2878" t="s">
        <v>10687</v>
      </c>
      <c r="F2878" t="s">
        <v>28</v>
      </c>
      <c r="G2878" t="s">
        <v>10687</v>
      </c>
      <c r="H2878" t="str">
        <f>"gsa-1"</f>
        <v>gsa-1</v>
      </c>
      <c r="I2878" t="s">
        <v>10689</v>
      </c>
      <c r="J2878">
        <v>14.4057795664931</v>
      </c>
      <c r="K2878">
        <v>14.295885361750299</v>
      </c>
      <c r="L2878">
        <v>13.7542956043409</v>
      </c>
      <c r="M2878">
        <v>14.5278774850653</v>
      </c>
      <c r="N2878">
        <v>14.0875648381429</v>
      </c>
      <c r="O2878">
        <v>14.035292772617501</v>
      </c>
      <c r="P2878">
        <v>6.49248544138228E-2</v>
      </c>
      <c r="Q2878">
        <v>-0.38166675266281302</v>
      </c>
      <c r="R2878">
        <v>0.51151646149045904</v>
      </c>
      <c r="S2878">
        <v>13.6703594014499</v>
      </c>
      <c r="T2878">
        <v>0.30555749474669303</v>
      </c>
      <c r="U2878">
        <v>-7.00328516753346</v>
      </c>
      <c r="V2878">
        <v>0.76346743856481503</v>
      </c>
      <c r="W2878">
        <v>0.900769777044927</v>
      </c>
      <c r="X2878">
        <v>0</v>
      </c>
      <c r="Y2878">
        <v>0</v>
      </c>
    </row>
    <row r="2879" spans="1:25" x14ac:dyDescent="0.2">
      <c r="A2879" t="s">
        <v>10690</v>
      </c>
      <c r="B2879" t="s">
        <v>10691</v>
      </c>
      <c r="C2879" t="s">
        <v>10692</v>
      </c>
      <c r="D2879" t="s">
        <v>10693</v>
      </c>
      <c r="E2879" t="s">
        <v>10691</v>
      </c>
      <c r="F2879" t="s">
        <v>28</v>
      </c>
      <c r="G2879" t="s">
        <v>10691</v>
      </c>
      <c r="H2879" t="str">
        <f>"emc-6"</f>
        <v>emc-6</v>
      </c>
      <c r="I2879" t="s">
        <v>10693</v>
      </c>
      <c r="J2879">
        <v>14.6627752532803</v>
      </c>
      <c r="K2879">
        <v>14.9921209770869</v>
      </c>
      <c r="L2879">
        <v>15.213606816497499</v>
      </c>
      <c r="M2879">
        <v>14.8268238462871</v>
      </c>
      <c r="N2879">
        <v>14.619076007244001</v>
      </c>
      <c r="O2879">
        <v>14.8376782541749</v>
      </c>
      <c r="P2879">
        <v>-0.19497497971955</v>
      </c>
      <c r="Q2879">
        <v>-0.60815692813461197</v>
      </c>
      <c r="R2879">
        <v>0.21820696869551201</v>
      </c>
      <c r="S2879">
        <v>14.9384188305118</v>
      </c>
      <c r="T2879">
        <v>-0.996064719484961</v>
      </c>
      <c r="U2879">
        <v>-6.5453589422454304</v>
      </c>
      <c r="V2879">
        <v>0.33327161088986701</v>
      </c>
      <c r="W2879">
        <v>0.61165584987909105</v>
      </c>
      <c r="X2879">
        <v>0</v>
      </c>
      <c r="Y2879">
        <v>0</v>
      </c>
    </row>
    <row r="2880" spans="1:25" x14ac:dyDescent="0.2">
      <c r="A2880" t="s">
        <v>10694</v>
      </c>
      <c r="B2880" t="s">
        <v>10695</v>
      </c>
      <c r="C2880" t="s">
        <v>10696</v>
      </c>
      <c r="D2880" t="s">
        <v>10697</v>
      </c>
      <c r="E2880" t="s">
        <v>10695</v>
      </c>
      <c r="F2880" t="s">
        <v>28</v>
      </c>
      <c r="G2880" t="s">
        <v>10695</v>
      </c>
      <c r="H2880" t="str">
        <f>"mrpl-1"</f>
        <v>mrpl-1</v>
      </c>
      <c r="I2880" t="s">
        <v>10697</v>
      </c>
      <c r="J2880">
        <v>15.419890655998399</v>
      </c>
      <c r="K2880">
        <v>15.237676559435799</v>
      </c>
      <c r="L2880">
        <v>15.4296416843444</v>
      </c>
      <c r="M2880">
        <v>15.0940373755076</v>
      </c>
      <c r="N2880">
        <v>15.475000922681</v>
      </c>
      <c r="O2880">
        <v>15.138663015328699</v>
      </c>
      <c r="P2880">
        <v>-0.12650252875375001</v>
      </c>
      <c r="Q2880">
        <v>-0.68748407089681796</v>
      </c>
      <c r="R2880">
        <v>0.43447901338931699</v>
      </c>
      <c r="S2880">
        <v>15.1487384796757</v>
      </c>
      <c r="T2880">
        <v>-0.473961590501427</v>
      </c>
      <c r="U2880">
        <v>-6.9350991547185696</v>
      </c>
      <c r="V2880">
        <v>0.64125870111903505</v>
      </c>
      <c r="W2880">
        <v>0.83600084367858896</v>
      </c>
      <c r="X2880">
        <v>0</v>
      </c>
      <c r="Y2880">
        <v>0</v>
      </c>
    </row>
    <row r="2881" spans="1:25" x14ac:dyDescent="0.2">
      <c r="A2881" t="s">
        <v>10698</v>
      </c>
      <c r="B2881" t="s">
        <v>10699</v>
      </c>
      <c r="C2881" t="s">
        <v>14578</v>
      </c>
      <c r="D2881" t="s">
        <v>10700</v>
      </c>
      <c r="E2881" t="s">
        <v>10699</v>
      </c>
      <c r="F2881" t="s">
        <v>28</v>
      </c>
      <c r="G2881" t="s">
        <v>10699</v>
      </c>
      <c r="H2881" t="str">
        <f>"T09F3.5"</f>
        <v>T09F3.5</v>
      </c>
      <c r="I2881" t="s">
        <v>10700</v>
      </c>
      <c r="J2881">
        <v>12.0441758516071</v>
      </c>
      <c r="K2881">
        <v>10.951040888551301</v>
      </c>
      <c r="L2881">
        <v>11.1291937413465</v>
      </c>
      <c r="M2881" t="s">
        <v>29</v>
      </c>
      <c r="N2881">
        <v>11.6203482649082</v>
      </c>
      <c r="O2881">
        <v>11.5992417050764</v>
      </c>
      <c r="P2881">
        <v>0.23499149115732901</v>
      </c>
      <c r="Q2881">
        <v>-0.41727917945958098</v>
      </c>
      <c r="R2881">
        <v>0.887262161774239</v>
      </c>
      <c r="S2881">
        <v>11.6317023828309</v>
      </c>
      <c r="T2881">
        <v>0.77324332388652295</v>
      </c>
      <c r="U2881">
        <v>-6.6306031196198196</v>
      </c>
      <c r="V2881">
        <v>0.45233288512820502</v>
      </c>
      <c r="W2881">
        <v>0.71939941750106495</v>
      </c>
      <c r="X2881">
        <v>0</v>
      </c>
      <c r="Y2881">
        <v>0</v>
      </c>
    </row>
    <row r="2882" spans="1:25" x14ac:dyDescent="0.2">
      <c r="A2882" t="s">
        <v>10701</v>
      </c>
      <c r="B2882" t="s">
        <v>10702</v>
      </c>
      <c r="C2882" t="s">
        <v>10703</v>
      </c>
      <c r="D2882" t="s">
        <v>10704</v>
      </c>
      <c r="E2882" t="s">
        <v>10702</v>
      </c>
      <c r="F2882" t="s">
        <v>28</v>
      </c>
      <c r="G2882" t="s">
        <v>10702</v>
      </c>
      <c r="H2882" t="str">
        <f>"mter-4"</f>
        <v>mter-4</v>
      </c>
      <c r="I2882" t="s">
        <v>10704</v>
      </c>
      <c r="J2882">
        <v>13.422918193083699</v>
      </c>
      <c r="K2882">
        <v>13.2933358466335</v>
      </c>
      <c r="L2882">
        <v>12.67006436494</v>
      </c>
      <c r="M2882">
        <v>12.2307614244418</v>
      </c>
      <c r="N2882">
        <v>13.1958428945647</v>
      </c>
      <c r="O2882">
        <v>12.958613269539301</v>
      </c>
      <c r="P2882">
        <v>-0.33370027203713298</v>
      </c>
      <c r="Q2882">
        <v>-1.0005892276759001</v>
      </c>
      <c r="R2882">
        <v>0.333188683601638</v>
      </c>
      <c r="S2882">
        <v>13.7185174249865</v>
      </c>
      <c r="T2882">
        <v>-1.0562167457904099</v>
      </c>
      <c r="U2882">
        <v>-6.4842993917615903</v>
      </c>
      <c r="V2882">
        <v>0.30573921451559999</v>
      </c>
      <c r="W2882">
        <v>0.58522082590221303</v>
      </c>
      <c r="X2882">
        <v>0</v>
      </c>
      <c r="Y2882">
        <v>0</v>
      </c>
    </row>
    <row r="2883" spans="1:25" x14ac:dyDescent="0.2">
      <c r="A2883" t="s">
        <v>10705</v>
      </c>
      <c r="B2883" t="s">
        <v>10706</v>
      </c>
      <c r="C2883" t="s">
        <v>14579</v>
      </c>
      <c r="D2883" t="s">
        <v>10707</v>
      </c>
      <c r="E2883" t="s">
        <v>10706</v>
      </c>
      <c r="F2883" t="s">
        <v>28</v>
      </c>
      <c r="G2883" t="s">
        <v>10706</v>
      </c>
      <c r="H2883" t="str">
        <f>"Y26E6A.3"</f>
        <v>Y26E6A.3</v>
      </c>
      <c r="I2883" t="s">
        <v>10707</v>
      </c>
      <c r="J2883" t="s">
        <v>29</v>
      </c>
      <c r="K2883" t="s">
        <v>29</v>
      </c>
      <c r="L2883" t="s">
        <v>29</v>
      </c>
      <c r="M2883" t="s">
        <v>29</v>
      </c>
      <c r="N2883" t="s">
        <v>29</v>
      </c>
      <c r="O2883" t="s">
        <v>29</v>
      </c>
      <c r="P2883" t="s">
        <v>29</v>
      </c>
      <c r="Q2883" t="s">
        <v>29</v>
      </c>
      <c r="R2883" t="s">
        <v>29</v>
      </c>
      <c r="S2883">
        <v>11.528036521529</v>
      </c>
      <c r="T2883" t="s">
        <v>29</v>
      </c>
      <c r="U2883" t="s">
        <v>29</v>
      </c>
      <c r="V2883" t="s">
        <v>29</v>
      </c>
      <c r="W2883" t="s">
        <v>29</v>
      </c>
      <c r="X2883" t="s">
        <v>29</v>
      </c>
      <c r="Y2883" t="s">
        <v>29</v>
      </c>
    </row>
    <row r="2884" spans="1:25" x14ac:dyDescent="0.2">
      <c r="A2884" t="s">
        <v>10708</v>
      </c>
      <c r="B2884" t="s">
        <v>10709</v>
      </c>
      <c r="C2884" t="s">
        <v>10710</v>
      </c>
      <c r="D2884" t="s">
        <v>10711</v>
      </c>
      <c r="E2884" t="s">
        <v>10709</v>
      </c>
      <c r="F2884" t="s">
        <v>28</v>
      </c>
      <c r="G2884" t="s">
        <v>10709</v>
      </c>
      <c r="H2884" t="str">
        <f>"mig-14"</f>
        <v>mig-14</v>
      </c>
      <c r="I2884" t="s">
        <v>10711</v>
      </c>
      <c r="J2884">
        <v>12.917180349962599</v>
      </c>
      <c r="K2884">
        <v>12.5055002542337</v>
      </c>
      <c r="L2884">
        <v>12.452183115704401</v>
      </c>
      <c r="M2884">
        <v>12.887721824601901</v>
      </c>
      <c r="N2884">
        <v>12.2129496822813</v>
      </c>
      <c r="O2884">
        <v>13.1397822619795</v>
      </c>
      <c r="P2884">
        <v>0.12186334965404599</v>
      </c>
      <c r="Q2884">
        <v>-0.46676465495560898</v>
      </c>
      <c r="R2884">
        <v>0.71049135426370003</v>
      </c>
      <c r="S2884">
        <v>12.874902845293001</v>
      </c>
      <c r="T2884">
        <v>0.43700077207038002</v>
      </c>
      <c r="U2884">
        <v>-6.9522599502186004</v>
      </c>
      <c r="V2884">
        <v>0.667644928647112</v>
      </c>
      <c r="W2884">
        <v>0.85063296703903801</v>
      </c>
      <c r="X2884">
        <v>0</v>
      </c>
      <c r="Y2884">
        <v>0</v>
      </c>
    </row>
    <row r="2885" spans="1:25" x14ac:dyDescent="0.2">
      <c r="A2885" t="s">
        <v>10712</v>
      </c>
      <c r="B2885" t="s">
        <v>10713</v>
      </c>
      <c r="C2885" t="s">
        <v>10714</v>
      </c>
      <c r="D2885" t="s">
        <v>10715</v>
      </c>
      <c r="E2885" t="s">
        <v>10713</v>
      </c>
      <c r="F2885" t="s">
        <v>28</v>
      </c>
      <c r="G2885" t="s">
        <v>10713</v>
      </c>
      <c r="H2885" t="str">
        <f>"C26C6.9"</f>
        <v>C26C6.9</v>
      </c>
      <c r="I2885" t="s">
        <v>10715</v>
      </c>
      <c r="J2885">
        <v>14.785211818146401</v>
      </c>
      <c r="K2885">
        <v>14.168895674886601</v>
      </c>
      <c r="L2885">
        <v>14.3206846894851</v>
      </c>
      <c r="M2885">
        <v>14.126780903697201</v>
      </c>
      <c r="N2885">
        <v>14.009239341909399</v>
      </c>
      <c r="O2885">
        <v>13.667856152317899</v>
      </c>
      <c r="P2885">
        <v>-0.49030526153123</v>
      </c>
      <c r="Q2885">
        <v>-1.0747286120108901</v>
      </c>
      <c r="R2885">
        <v>9.4118088948433806E-2</v>
      </c>
      <c r="S2885">
        <v>13.791009657701901</v>
      </c>
      <c r="T2885">
        <v>-1.7794612036605599</v>
      </c>
      <c r="U2885">
        <v>-5.5298196791992202</v>
      </c>
      <c r="V2885">
        <v>9.4289129976209099E-2</v>
      </c>
      <c r="W2885">
        <v>0.31663243440927202</v>
      </c>
      <c r="X2885">
        <v>0</v>
      </c>
      <c r="Y2885">
        <v>0</v>
      </c>
    </row>
    <row r="2886" spans="1:25" x14ac:dyDescent="0.2">
      <c r="A2886" t="s">
        <v>10716</v>
      </c>
      <c r="B2886" t="s">
        <v>10717</v>
      </c>
      <c r="C2886" t="s">
        <v>14580</v>
      </c>
      <c r="D2886" t="s">
        <v>3770</v>
      </c>
      <c r="E2886" t="s">
        <v>10717</v>
      </c>
      <c r="F2886" t="s">
        <v>28</v>
      </c>
      <c r="G2886" t="s">
        <v>10717</v>
      </c>
      <c r="H2886" t="str">
        <f>"Y48G9A.9"</f>
        <v>Y48G9A.9</v>
      </c>
      <c r="I2886" t="s">
        <v>3770</v>
      </c>
      <c r="J2886">
        <v>13.417924431628499</v>
      </c>
      <c r="K2886">
        <v>13.533908497716499</v>
      </c>
      <c r="L2886">
        <v>13.0248398642604</v>
      </c>
      <c r="M2886">
        <v>12.6484543011435</v>
      </c>
      <c r="N2886">
        <v>13.094983918383001</v>
      </c>
      <c r="O2886">
        <v>12.541423406856699</v>
      </c>
      <c r="P2886">
        <v>-0.56393705574073605</v>
      </c>
      <c r="Q2886">
        <v>-1.14482981333348</v>
      </c>
      <c r="R2886">
        <v>1.6955701852006101E-2</v>
      </c>
      <c r="S2886">
        <v>12.8001310053433</v>
      </c>
      <c r="T2886">
        <v>-2.04045576375277</v>
      </c>
      <c r="U2886">
        <v>-5.0920345527306399</v>
      </c>
      <c r="V2886">
        <v>5.6342026265704198E-2</v>
      </c>
      <c r="W2886">
        <v>0.23934328129060201</v>
      </c>
      <c r="X2886">
        <v>0</v>
      </c>
      <c r="Y2886">
        <v>0</v>
      </c>
    </row>
    <row r="2887" spans="1:25" x14ac:dyDescent="0.2">
      <c r="A2887" t="s">
        <v>10718</v>
      </c>
      <c r="B2887" t="s">
        <v>10719</v>
      </c>
      <c r="C2887" t="s">
        <v>10720</v>
      </c>
      <c r="D2887" t="s">
        <v>10721</v>
      </c>
      <c r="E2887" t="s">
        <v>10719</v>
      </c>
      <c r="F2887" t="s">
        <v>28</v>
      </c>
      <c r="G2887" t="s">
        <v>10719</v>
      </c>
      <c r="H2887" t="str">
        <f>"tps-1"</f>
        <v>tps-1</v>
      </c>
      <c r="I2887" t="s">
        <v>10721</v>
      </c>
      <c r="J2887">
        <v>11.7701819910127</v>
      </c>
      <c r="K2887">
        <v>11.207715835361199</v>
      </c>
      <c r="L2887">
        <v>11.3418234565208</v>
      </c>
      <c r="M2887">
        <v>13.501881733858401</v>
      </c>
      <c r="N2887">
        <v>13.502646255292101</v>
      </c>
      <c r="O2887">
        <v>13.342022442292301</v>
      </c>
      <c r="P2887">
        <v>2.0089430495160299</v>
      </c>
      <c r="Q2887">
        <v>1.31092692975124</v>
      </c>
      <c r="R2887">
        <v>2.7069591692808199</v>
      </c>
      <c r="S2887">
        <v>12.340294943704199</v>
      </c>
      <c r="T2887">
        <v>6.0491546312820503</v>
      </c>
      <c r="U2887">
        <v>3.32639379615433</v>
      </c>
      <c r="V2887" s="2">
        <v>1.0450344048176801E-5</v>
      </c>
      <c r="W2887">
        <v>4.47439730694306E-4</v>
      </c>
      <c r="X2887">
        <v>1</v>
      </c>
      <c r="Y2887">
        <v>1</v>
      </c>
    </row>
    <row r="2888" spans="1:25" x14ac:dyDescent="0.2">
      <c r="A2888" t="s">
        <v>10722</v>
      </c>
      <c r="B2888" t="s">
        <v>10723</v>
      </c>
      <c r="C2888" t="s">
        <v>10724</v>
      </c>
      <c r="D2888" t="s">
        <v>10725</v>
      </c>
      <c r="E2888" t="s">
        <v>10723</v>
      </c>
      <c r="F2888" t="s">
        <v>28</v>
      </c>
      <c r="G2888" t="s">
        <v>10723</v>
      </c>
      <c r="H2888" t="str">
        <f>"tnt-2"</f>
        <v>tnt-2</v>
      </c>
      <c r="I2888" t="s">
        <v>10725</v>
      </c>
      <c r="J2888">
        <v>11.493148785921001</v>
      </c>
      <c r="K2888" t="s">
        <v>29</v>
      </c>
      <c r="L2888" t="s">
        <v>29</v>
      </c>
      <c r="M2888" t="s">
        <v>29</v>
      </c>
      <c r="N2888" t="s">
        <v>29</v>
      </c>
      <c r="O2888">
        <v>12.1269905317577</v>
      </c>
      <c r="P2888">
        <v>0.63384174583669595</v>
      </c>
      <c r="Q2888">
        <v>-1.13271824963132</v>
      </c>
      <c r="R2888">
        <v>2.4004017413047101</v>
      </c>
      <c r="S2888">
        <v>10.736241098163701</v>
      </c>
      <c r="T2888">
        <v>0.85105173589651195</v>
      </c>
      <c r="U2888">
        <v>-6.1247614559517602</v>
      </c>
      <c r="V2888">
        <v>0.42330797402036602</v>
      </c>
      <c r="W2888">
        <v>0.69582120483393295</v>
      </c>
      <c r="X2888">
        <v>0</v>
      </c>
      <c r="Y2888">
        <v>0</v>
      </c>
    </row>
    <row r="2889" spans="1:25" x14ac:dyDescent="0.2">
      <c r="A2889" t="s">
        <v>10726</v>
      </c>
      <c r="B2889" t="s">
        <v>10727</v>
      </c>
      <c r="C2889" t="s">
        <v>10728</v>
      </c>
      <c r="D2889" t="s">
        <v>379</v>
      </c>
      <c r="E2889" t="s">
        <v>10727</v>
      </c>
      <c r="F2889" t="s">
        <v>28</v>
      </c>
      <c r="G2889" t="s">
        <v>10727</v>
      </c>
      <c r="H2889" t="str">
        <f>"aqp-8"</f>
        <v>aqp-8</v>
      </c>
      <c r="I2889" t="s">
        <v>379</v>
      </c>
      <c r="J2889" t="s">
        <v>29</v>
      </c>
      <c r="K2889">
        <v>13.7318929669722</v>
      </c>
      <c r="L2889">
        <v>13.591242745554799</v>
      </c>
      <c r="M2889" t="s">
        <v>29</v>
      </c>
      <c r="N2889">
        <v>13.415992776682</v>
      </c>
      <c r="O2889">
        <v>13.7539253066209</v>
      </c>
      <c r="P2889">
        <v>-7.6608814612020695E-2</v>
      </c>
      <c r="Q2889">
        <v>-1.3547254986433599</v>
      </c>
      <c r="R2889">
        <v>1.20150786941932</v>
      </c>
      <c r="S2889">
        <v>13.3964127527936</v>
      </c>
      <c r="T2889">
        <v>-0.12959715952221301</v>
      </c>
      <c r="U2889">
        <v>-6.8422426662284002</v>
      </c>
      <c r="V2889">
        <v>0.89888484228155396</v>
      </c>
      <c r="W2889">
        <v>0.96438222116194405</v>
      </c>
      <c r="X2889">
        <v>0</v>
      </c>
      <c r="Y2889">
        <v>0</v>
      </c>
    </row>
    <row r="2890" spans="1:25" x14ac:dyDescent="0.2">
      <c r="A2890" t="s">
        <v>10729</v>
      </c>
      <c r="B2890" t="s">
        <v>10730</v>
      </c>
      <c r="C2890" t="s">
        <v>10731</v>
      </c>
      <c r="D2890" t="s">
        <v>10732</v>
      </c>
      <c r="E2890" t="s">
        <v>10730</v>
      </c>
      <c r="F2890" t="s">
        <v>28</v>
      </c>
      <c r="G2890" t="s">
        <v>10730</v>
      </c>
      <c r="H2890" t="str">
        <f>"hyl-2"</f>
        <v>hyl-2</v>
      </c>
      <c r="I2890" t="s">
        <v>10732</v>
      </c>
      <c r="J2890">
        <v>13.179164539536799</v>
      </c>
      <c r="K2890">
        <v>13.009656923324499</v>
      </c>
      <c r="L2890">
        <v>13.3024548977038</v>
      </c>
      <c r="M2890">
        <v>12.573707978739799</v>
      </c>
      <c r="N2890">
        <v>12.854381705422201</v>
      </c>
      <c r="O2890">
        <v>12.467356412476599</v>
      </c>
      <c r="P2890">
        <v>-0.53194342130885997</v>
      </c>
      <c r="Q2890">
        <v>-1.2409284956693101</v>
      </c>
      <c r="R2890">
        <v>0.17704165305158601</v>
      </c>
      <c r="S2890">
        <v>13.4408638414343</v>
      </c>
      <c r="T2890">
        <v>-1.5837198602240501</v>
      </c>
      <c r="U2890">
        <v>-5.8233346233157999</v>
      </c>
      <c r="V2890">
        <v>0.131795735028405</v>
      </c>
      <c r="W2890">
        <v>0.37619589630037797</v>
      </c>
      <c r="X2890">
        <v>0</v>
      </c>
      <c r="Y2890">
        <v>0</v>
      </c>
    </row>
    <row r="2891" spans="1:25" x14ac:dyDescent="0.2">
      <c r="A2891" t="s">
        <v>10733</v>
      </c>
      <c r="B2891" t="s">
        <v>10734</v>
      </c>
      <c r="C2891" t="s">
        <v>10735</v>
      </c>
      <c r="D2891" t="s">
        <v>10736</v>
      </c>
      <c r="E2891" t="s">
        <v>10734</v>
      </c>
      <c r="F2891" t="s">
        <v>28</v>
      </c>
      <c r="G2891" t="s">
        <v>10734</v>
      </c>
      <c r="H2891" t="str">
        <f>"fnci-1"</f>
        <v>fnci-1</v>
      </c>
      <c r="I2891" t="s">
        <v>10736</v>
      </c>
      <c r="J2891" t="s">
        <v>29</v>
      </c>
      <c r="K2891">
        <v>9.9630887249943303</v>
      </c>
      <c r="L2891" t="s">
        <v>29</v>
      </c>
      <c r="M2891" t="s">
        <v>29</v>
      </c>
      <c r="N2891" t="s">
        <v>29</v>
      </c>
      <c r="O2891">
        <v>10.3241465374236</v>
      </c>
      <c r="P2891">
        <v>0.36105781242923002</v>
      </c>
      <c r="Q2891">
        <v>-1.41991141316017</v>
      </c>
      <c r="R2891">
        <v>2.1420270380186301</v>
      </c>
      <c r="S2891">
        <v>11.143022861171699</v>
      </c>
      <c r="T2891">
        <v>0.45236315236540697</v>
      </c>
      <c r="U2891">
        <v>-6.4010085892506403</v>
      </c>
      <c r="V2891">
        <v>0.660762582756797</v>
      </c>
      <c r="W2891">
        <v>0.84717156985445896</v>
      </c>
      <c r="X2891">
        <v>0</v>
      </c>
      <c r="Y2891">
        <v>0</v>
      </c>
    </row>
    <row r="2892" spans="1:25" x14ac:dyDescent="0.2">
      <c r="A2892" t="s">
        <v>10737</v>
      </c>
      <c r="B2892" t="s">
        <v>10738</v>
      </c>
      <c r="C2892" t="s">
        <v>10739</v>
      </c>
      <c r="D2892" t="s">
        <v>8948</v>
      </c>
      <c r="E2892" t="s">
        <v>10738</v>
      </c>
      <c r="F2892" t="s">
        <v>28</v>
      </c>
      <c r="G2892" t="s">
        <v>10738</v>
      </c>
      <c r="H2892" t="str">
        <f>"alh-12"</f>
        <v>alh-12</v>
      </c>
      <c r="I2892" t="s">
        <v>8948</v>
      </c>
      <c r="J2892">
        <v>11.7876249816356</v>
      </c>
      <c r="K2892">
        <v>11.3766512364865</v>
      </c>
      <c r="L2892" t="s">
        <v>29</v>
      </c>
      <c r="M2892">
        <v>11.414373060917001</v>
      </c>
      <c r="N2892" t="s">
        <v>29</v>
      </c>
      <c r="O2892">
        <v>10.850478077716501</v>
      </c>
      <c r="P2892">
        <v>-0.44971253974427899</v>
      </c>
      <c r="Q2892">
        <v>-1.40723625239221</v>
      </c>
      <c r="R2892">
        <v>0.50781117290365396</v>
      </c>
      <c r="S2892">
        <v>11.5000607905606</v>
      </c>
      <c r="T2892">
        <v>-1.04797844503782</v>
      </c>
      <c r="U2892">
        <v>-6.28445437323533</v>
      </c>
      <c r="V2892">
        <v>0.31957130092571201</v>
      </c>
      <c r="W2892">
        <v>0.597291793918591</v>
      </c>
      <c r="X2892">
        <v>0</v>
      </c>
      <c r="Y2892">
        <v>0</v>
      </c>
    </row>
    <row r="2893" spans="1:25" x14ac:dyDescent="0.2">
      <c r="A2893" t="s">
        <v>10740</v>
      </c>
      <c r="B2893" t="s">
        <v>10741</v>
      </c>
      <c r="C2893" t="s">
        <v>10742</v>
      </c>
      <c r="D2893" t="s">
        <v>10743</v>
      </c>
      <c r="E2893" t="s">
        <v>10741</v>
      </c>
      <c r="F2893" t="s">
        <v>28</v>
      </c>
      <c r="G2893" t="s">
        <v>10741</v>
      </c>
      <c r="H2893" t="str">
        <f>"parg-1"</f>
        <v>parg-1</v>
      </c>
      <c r="I2893" t="s">
        <v>10743</v>
      </c>
      <c r="J2893" t="s">
        <v>29</v>
      </c>
      <c r="K2893">
        <v>14.799715742580499</v>
      </c>
      <c r="L2893">
        <v>10.927189402182799</v>
      </c>
      <c r="M2893" t="s">
        <v>29</v>
      </c>
      <c r="N2893" t="s">
        <v>29</v>
      </c>
      <c r="O2893" t="s">
        <v>29</v>
      </c>
      <c r="P2893" t="s">
        <v>29</v>
      </c>
      <c r="Q2893" t="s">
        <v>29</v>
      </c>
      <c r="R2893" t="s">
        <v>29</v>
      </c>
      <c r="S2893">
        <v>11.587064446899401</v>
      </c>
      <c r="T2893" t="s">
        <v>29</v>
      </c>
      <c r="U2893" t="s">
        <v>29</v>
      </c>
      <c r="V2893" t="s">
        <v>29</v>
      </c>
      <c r="W2893" t="s">
        <v>29</v>
      </c>
      <c r="X2893" t="s">
        <v>29</v>
      </c>
      <c r="Y2893" t="s">
        <v>29</v>
      </c>
    </row>
    <row r="2894" spans="1:25" x14ac:dyDescent="0.2">
      <c r="A2894" t="s">
        <v>10744</v>
      </c>
      <c r="B2894" t="s">
        <v>10745</v>
      </c>
      <c r="C2894" t="s">
        <v>14581</v>
      </c>
      <c r="D2894" t="s">
        <v>130</v>
      </c>
      <c r="E2894" t="s">
        <v>10745</v>
      </c>
      <c r="F2894" t="s">
        <v>28</v>
      </c>
      <c r="G2894" t="s">
        <v>10745</v>
      </c>
      <c r="H2894" t="str">
        <f>"Y67H2A.10"</f>
        <v>Y67H2A.10</v>
      </c>
      <c r="I2894" t="s">
        <v>130</v>
      </c>
      <c r="J2894" t="s">
        <v>29</v>
      </c>
      <c r="K2894" t="s">
        <v>29</v>
      </c>
      <c r="L2894" t="s">
        <v>29</v>
      </c>
      <c r="M2894" t="s">
        <v>29</v>
      </c>
      <c r="N2894" t="s">
        <v>29</v>
      </c>
      <c r="O2894" t="s">
        <v>29</v>
      </c>
      <c r="P2894" t="s">
        <v>29</v>
      </c>
      <c r="Q2894" t="s">
        <v>29</v>
      </c>
      <c r="R2894" t="s">
        <v>29</v>
      </c>
      <c r="S2894">
        <v>12.247573029766199</v>
      </c>
      <c r="T2894" t="s">
        <v>29</v>
      </c>
      <c r="U2894" t="s">
        <v>29</v>
      </c>
      <c r="V2894" t="s">
        <v>29</v>
      </c>
      <c r="W2894" t="s">
        <v>29</v>
      </c>
      <c r="X2894" t="s">
        <v>29</v>
      </c>
      <c r="Y2894" t="s">
        <v>29</v>
      </c>
    </row>
    <row r="2895" spans="1:25" x14ac:dyDescent="0.2">
      <c r="A2895" t="s">
        <v>10746</v>
      </c>
      <c r="B2895" t="s">
        <v>10747</v>
      </c>
      <c r="C2895" t="s">
        <v>10748</v>
      </c>
      <c r="D2895" t="s">
        <v>3312</v>
      </c>
      <c r="E2895" t="s">
        <v>10747</v>
      </c>
      <c r="F2895" t="s">
        <v>28</v>
      </c>
      <c r="G2895" t="s">
        <v>10747</v>
      </c>
      <c r="H2895" t="str">
        <f>"col-166"</f>
        <v>col-166</v>
      </c>
      <c r="I2895" t="s">
        <v>3312</v>
      </c>
      <c r="J2895">
        <v>14.9463344847447</v>
      </c>
      <c r="K2895">
        <v>14.7329052159387</v>
      </c>
      <c r="L2895">
        <v>14.302181789164001</v>
      </c>
      <c r="M2895">
        <v>14.140172496970999</v>
      </c>
      <c r="N2895">
        <v>14.352219462038599</v>
      </c>
      <c r="O2895">
        <v>14.502204276814</v>
      </c>
      <c r="P2895">
        <v>-0.32894175134131798</v>
      </c>
      <c r="Q2895">
        <v>-1.0941406082592999</v>
      </c>
      <c r="R2895">
        <v>0.43625710557666703</v>
      </c>
      <c r="S2895">
        <v>14.237089890542</v>
      </c>
      <c r="T2895">
        <v>-0.90351881522821098</v>
      </c>
      <c r="U2895">
        <v>-6.6338097631318798</v>
      </c>
      <c r="V2895">
        <v>0.378253000040082</v>
      </c>
      <c r="W2895">
        <v>0.65353772430795498</v>
      </c>
      <c r="X2895">
        <v>0</v>
      </c>
      <c r="Y2895">
        <v>0</v>
      </c>
    </row>
    <row r="2896" spans="1:25" x14ac:dyDescent="0.2">
      <c r="A2896" t="s">
        <v>10749</v>
      </c>
      <c r="B2896" t="s">
        <v>10750</v>
      </c>
      <c r="C2896" t="s">
        <v>10751</v>
      </c>
      <c r="D2896" t="s">
        <v>10752</v>
      </c>
      <c r="E2896" t="s">
        <v>10750</v>
      </c>
      <c r="F2896" t="s">
        <v>28</v>
      </c>
      <c r="G2896" t="s">
        <v>10750</v>
      </c>
      <c r="H2896" t="str">
        <f>"ulp-3"</f>
        <v>ulp-3</v>
      </c>
      <c r="I2896" t="s">
        <v>10752</v>
      </c>
      <c r="J2896">
        <v>12.262236072580301</v>
      </c>
      <c r="K2896">
        <v>12.292115963828801</v>
      </c>
      <c r="L2896" t="s">
        <v>29</v>
      </c>
      <c r="M2896">
        <v>12.4311955488265</v>
      </c>
      <c r="N2896" t="s">
        <v>29</v>
      </c>
      <c r="O2896" t="s">
        <v>29</v>
      </c>
      <c r="P2896">
        <v>0.15401953062194099</v>
      </c>
      <c r="Q2896">
        <v>-1.1270259494255801</v>
      </c>
      <c r="R2896">
        <v>1.43506501066947</v>
      </c>
      <c r="S2896">
        <v>12.2804857959692</v>
      </c>
      <c r="T2896">
        <v>0.26493475877716999</v>
      </c>
      <c r="U2896">
        <v>-6.6136239056216501</v>
      </c>
      <c r="V2896">
        <v>0.79600506021815898</v>
      </c>
      <c r="W2896">
        <v>0.91517844850619501</v>
      </c>
      <c r="X2896">
        <v>0</v>
      </c>
      <c r="Y2896">
        <v>0</v>
      </c>
    </row>
    <row r="2897" spans="1:25" x14ac:dyDescent="0.2">
      <c r="A2897" t="s">
        <v>10753</v>
      </c>
      <c r="B2897" t="s">
        <v>10754</v>
      </c>
      <c r="C2897" t="s">
        <v>10755</v>
      </c>
      <c r="D2897" t="s">
        <v>9289</v>
      </c>
      <c r="E2897" t="s">
        <v>10754</v>
      </c>
      <c r="F2897" t="s">
        <v>28</v>
      </c>
      <c r="G2897" t="s">
        <v>10754</v>
      </c>
      <c r="H2897" t="str">
        <f>"npp-9"</f>
        <v>npp-9</v>
      </c>
      <c r="I2897" t="s">
        <v>9289</v>
      </c>
      <c r="J2897">
        <v>16.3160604826728</v>
      </c>
      <c r="K2897">
        <v>16.4924096969762</v>
      </c>
      <c r="L2897">
        <v>16.414644621794</v>
      </c>
      <c r="M2897">
        <v>16.866342525731199</v>
      </c>
      <c r="N2897">
        <v>16.676596259705398</v>
      </c>
      <c r="O2897">
        <v>16.527776722004301</v>
      </c>
      <c r="P2897">
        <v>0.28253356866595403</v>
      </c>
      <c r="Q2897">
        <v>-0.257756721942557</v>
      </c>
      <c r="R2897">
        <v>0.822823859274465</v>
      </c>
      <c r="S2897">
        <v>16.223877008413499</v>
      </c>
      <c r="T2897">
        <v>1.09909543780462</v>
      </c>
      <c r="U2897">
        <v>-6.4396144739750198</v>
      </c>
      <c r="V2897">
        <v>0.28629393530504099</v>
      </c>
      <c r="W2897">
        <v>0.56576912881200803</v>
      </c>
      <c r="X2897">
        <v>0</v>
      </c>
      <c r="Y2897">
        <v>0</v>
      </c>
    </row>
    <row r="2898" spans="1:25" x14ac:dyDescent="0.2">
      <c r="A2898" t="s">
        <v>10756</v>
      </c>
      <c r="B2898" t="s">
        <v>10757</v>
      </c>
      <c r="C2898" t="s">
        <v>10758</v>
      </c>
      <c r="D2898" t="s">
        <v>10759</v>
      </c>
      <c r="E2898" t="s">
        <v>10757</v>
      </c>
      <c r="F2898" t="s">
        <v>28</v>
      </c>
      <c r="G2898" t="s">
        <v>10757</v>
      </c>
      <c r="H2898" t="str">
        <f>"gcy-28"</f>
        <v>gcy-28</v>
      </c>
      <c r="I2898" t="s">
        <v>10759</v>
      </c>
      <c r="J2898">
        <v>12.195098508611499</v>
      </c>
      <c r="K2898">
        <v>10.5650604036482</v>
      </c>
      <c r="L2898">
        <v>11.359436901420001</v>
      </c>
      <c r="M2898" t="s">
        <v>29</v>
      </c>
      <c r="N2898">
        <v>11.2917410578342</v>
      </c>
      <c r="O2898">
        <v>10.9608456295162</v>
      </c>
      <c r="P2898">
        <v>-0.24690526088467199</v>
      </c>
      <c r="Q2898">
        <v>-1.3392058296012499</v>
      </c>
      <c r="R2898">
        <v>0.84539530783190797</v>
      </c>
      <c r="S2898">
        <v>11.497389535034101</v>
      </c>
      <c r="T2898">
        <v>-0.49298442239322299</v>
      </c>
      <c r="U2898">
        <v>-6.8122338069353603</v>
      </c>
      <c r="V2898">
        <v>0.63099837853421104</v>
      </c>
      <c r="W2898">
        <v>0.82954586748111203</v>
      </c>
      <c r="X2898">
        <v>0</v>
      </c>
      <c r="Y2898">
        <v>0</v>
      </c>
    </row>
    <row r="2899" spans="1:25" x14ac:dyDescent="0.2">
      <c r="A2899" t="s">
        <v>10760</v>
      </c>
      <c r="B2899" t="s">
        <v>10761</v>
      </c>
      <c r="C2899" t="s">
        <v>14582</v>
      </c>
      <c r="D2899" t="s">
        <v>323</v>
      </c>
      <c r="E2899" t="s">
        <v>10761</v>
      </c>
      <c r="F2899" t="s">
        <v>28</v>
      </c>
      <c r="G2899" t="s">
        <v>10761</v>
      </c>
      <c r="H2899" t="str">
        <f>"D2096.12"</f>
        <v>D2096.12</v>
      </c>
      <c r="I2899" t="s">
        <v>323</v>
      </c>
      <c r="J2899" t="s">
        <v>29</v>
      </c>
      <c r="K2899" t="s">
        <v>29</v>
      </c>
      <c r="L2899" t="s">
        <v>29</v>
      </c>
      <c r="M2899" t="s">
        <v>29</v>
      </c>
      <c r="N2899" t="s">
        <v>29</v>
      </c>
      <c r="O2899" t="s">
        <v>29</v>
      </c>
      <c r="P2899" t="s">
        <v>29</v>
      </c>
      <c r="Q2899" t="s">
        <v>29</v>
      </c>
      <c r="R2899" t="s">
        <v>29</v>
      </c>
      <c r="S2899">
        <v>10.697775148784499</v>
      </c>
      <c r="T2899" t="s">
        <v>29</v>
      </c>
      <c r="U2899" t="s">
        <v>29</v>
      </c>
      <c r="V2899" t="s">
        <v>29</v>
      </c>
      <c r="W2899" t="s">
        <v>29</v>
      </c>
      <c r="X2899" t="s">
        <v>29</v>
      </c>
      <c r="Y2899" t="s">
        <v>29</v>
      </c>
    </row>
    <row r="2900" spans="1:25" x14ac:dyDescent="0.2">
      <c r="A2900" t="s">
        <v>10762</v>
      </c>
      <c r="B2900" t="s">
        <v>10763</v>
      </c>
      <c r="C2900" t="s">
        <v>10764</v>
      </c>
      <c r="D2900" t="s">
        <v>10765</v>
      </c>
      <c r="E2900" t="s">
        <v>10763</v>
      </c>
      <c r="F2900" t="s">
        <v>28</v>
      </c>
      <c r="G2900" t="s">
        <v>10763</v>
      </c>
      <c r="H2900" t="str">
        <f>"dve-1"</f>
        <v>dve-1</v>
      </c>
      <c r="I2900" t="s">
        <v>10765</v>
      </c>
      <c r="J2900">
        <v>12.148444492290601</v>
      </c>
      <c r="K2900">
        <v>9.6794220060157308</v>
      </c>
      <c r="L2900">
        <v>10.386754307438</v>
      </c>
      <c r="M2900">
        <v>10.3728942599835</v>
      </c>
      <c r="N2900">
        <v>13.440818521181599</v>
      </c>
      <c r="O2900" t="s">
        <v>29</v>
      </c>
      <c r="P2900">
        <v>1.16864945533443</v>
      </c>
      <c r="Q2900">
        <v>-0.50931694151811802</v>
      </c>
      <c r="R2900">
        <v>2.84661585218698</v>
      </c>
      <c r="S2900">
        <v>11.17445465125</v>
      </c>
      <c r="T2900">
        <v>1.50587265163586</v>
      </c>
      <c r="U2900">
        <v>-5.8271521374637203</v>
      </c>
      <c r="V2900">
        <v>0.15619788528383799</v>
      </c>
      <c r="W2900">
        <v>0.40726596050769998</v>
      </c>
      <c r="X2900">
        <v>0</v>
      </c>
      <c r="Y2900">
        <v>0</v>
      </c>
    </row>
    <row r="2901" spans="1:25" x14ac:dyDescent="0.2">
      <c r="A2901" t="s">
        <v>10766</v>
      </c>
      <c r="B2901" t="s">
        <v>10767</v>
      </c>
      <c r="C2901" t="s">
        <v>10768</v>
      </c>
      <c r="D2901" t="s">
        <v>3312</v>
      </c>
      <c r="E2901" t="s">
        <v>10767</v>
      </c>
      <c r="F2901" t="s">
        <v>28</v>
      </c>
      <c r="G2901" t="s">
        <v>10767</v>
      </c>
      <c r="H2901" t="str">
        <f>"col-95"</f>
        <v>col-95</v>
      </c>
      <c r="I2901" t="s">
        <v>3312</v>
      </c>
      <c r="J2901" t="s">
        <v>29</v>
      </c>
      <c r="K2901" t="s">
        <v>29</v>
      </c>
      <c r="L2901">
        <v>11.881055097065699</v>
      </c>
      <c r="M2901" t="s">
        <v>29</v>
      </c>
      <c r="N2901" t="s">
        <v>29</v>
      </c>
      <c r="O2901" t="s">
        <v>29</v>
      </c>
      <c r="P2901" t="s">
        <v>29</v>
      </c>
      <c r="Q2901" t="s">
        <v>29</v>
      </c>
      <c r="R2901" t="s">
        <v>29</v>
      </c>
      <c r="S2901">
        <v>13.244095869578</v>
      </c>
      <c r="T2901" t="s">
        <v>29</v>
      </c>
      <c r="U2901" t="s">
        <v>29</v>
      </c>
      <c r="V2901" t="s">
        <v>29</v>
      </c>
      <c r="W2901" t="s">
        <v>29</v>
      </c>
      <c r="X2901" t="s">
        <v>29</v>
      </c>
      <c r="Y2901" t="s">
        <v>29</v>
      </c>
    </row>
    <row r="2902" spans="1:25" x14ac:dyDescent="0.2">
      <c r="A2902" t="s">
        <v>10769</v>
      </c>
      <c r="B2902" t="s">
        <v>10770</v>
      </c>
      <c r="C2902" t="s">
        <v>10771</v>
      </c>
      <c r="D2902" t="s">
        <v>10772</v>
      </c>
      <c r="E2902" t="s">
        <v>10770</v>
      </c>
      <c r="F2902" t="s">
        <v>28</v>
      </c>
      <c r="G2902" t="s">
        <v>10770</v>
      </c>
      <c r="H2902" t="str">
        <f>"epg-6"</f>
        <v>epg-6</v>
      </c>
      <c r="I2902" t="s">
        <v>10772</v>
      </c>
      <c r="J2902">
        <v>11.583863336480499</v>
      </c>
      <c r="K2902" t="s">
        <v>29</v>
      </c>
      <c r="L2902">
        <v>11.053948689340601</v>
      </c>
      <c r="M2902" t="s">
        <v>29</v>
      </c>
      <c r="N2902" t="s">
        <v>29</v>
      </c>
      <c r="O2902">
        <v>11.524724048271899</v>
      </c>
      <c r="P2902">
        <v>0.20581803536138599</v>
      </c>
      <c r="Q2902">
        <v>-1.00881195906943</v>
      </c>
      <c r="R2902">
        <v>1.4204480297922</v>
      </c>
      <c r="S2902">
        <v>11.192850706981099</v>
      </c>
      <c r="T2902">
        <v>0.37339381519411102</v>
      </c>
      <c r="U2902">
        <v>-6.5768090628358804</v>
      </c>
      <c r="V2902">
        <v>0.71601872090044805</v>
      </c>
      <c r="W2902">
        <v>0.87472111044182899</v>
      </c>
      <c r="X2902">
        <v>0</v>
      </c>
      <c r="Y2902">
        <v>0</v>
      </c>
    </row>
    <row r="2903" spans="1:25" x14ac:dyDescent="0.2">
      <c r="A2903" t="s">
        <v>10773</v>
      </c>
      <c r="B2903" t="s">
        <v>10774</v>
      </c>
      <c r="C2903" t="s">
        <v>10775</v>
      </c>
      <c r="D2903" t="s">
        <v>10776</v>
      </c>
      <c r="E2903" t="s">
        <v>10774</v>
      </c>
      <c r="F2903" t="s">
        <v>28</v>
      </c>
      <c r="G2903" t="s">
        <v>10774</v>
      </c>
      <c r="H2903" t="str">
        <f>"nuo-2"</f>
        <v>nuo-2</v>
      </c>
      <c r="I2903" t="s">
        <v>10776</v>
      </c>
      <c r="J2903">
        <v>13.1415821008229</v>
      </c>
      <c r="K2903">
        <v>13.256881439869</v>
      </c>
      <c r="L2903">
        <v>13.6291500329452</v>
      </c>
      <c r="M2903">
        <v>12.640588851742301</v>
      </c>
      <c r="N2903">
        <v>13.1227521770327</v>
      </c>
      <c r="O2903">
        <v>13.4741839391921</v>
      </c>
      <c r="P2903">
        <v>-0.26336286855667801</v>
      </c>
      <c r="Q2903">
        <v>-0.99991235604463402</v>
      </c>
      <c r="R2903">
        <v>0.473186618931278</v>
      </c>
      <c r="S2903">
        <v>13.756392101778401</v>
      </c>
      <c r="T2903">
        <v>-0.75152792988706496</v>
      </c>
      <c r="U2903">
        <v>-6.7607067729839798</v>
      </c>
      <c r="V2903">
        <v>0.46210517371180099</v>
      </c>
      <c r="W2903">
        <v>0.72782683216757105</v>
      </c>
      <c r="X2903">
        <v>0</v>
      </c>
      <c r="Y2903">
        <v>0</v>
      </c>
    </row>
    <row r="2904" spans="1:25" x14ac:dyDescent="0.2">
      <c r="A2904" t="s">
        <v>10777</v>
      </c>
      <c r="B2904" t="s">
        <v>10778</v>
      </c>
      <c r="C2904" t="s">
        <v>10779</v>
      </c>
      <c r="D2904" t="s">
        <v>10780</v>
      </c>
      <c r="E2904" t="s">
        <v>10778</v>
      </c>
      <c r="F2904" t="s">
        <v>28</v>
      </c>
      <c r="G2904" t="s">
        <v>10778</v>
      </c>
      <c r="H2904" t="str">
        <f>"asp-2"</f>
        <v>asp-2</v>
      </c>
      <c r="I2904" t="s">
        <v>10780</v>
      </c>
      <c r="J2904">
        <v>12.690378922447101</v>
      </c>
      <c r="K2904">
        <v>12.9630319166234</v>
      </c>
      <c r="L2904">
        <v>12.528827627041499</v>
      </c>
      <c r="M2904">
        <v>12.1170270982898</v>
      </c>
      <c r="N2904">
        <v>12.094847336616001</v>
      </c>
      <c r="O2904">
        <v>13.267865027115</v>
      </c>
      <c r="P2904">
        <v>-0.234166334697058</v>
      </c>
      <c r="Q2904">
        <v>-0.89653230898921099</v>
      </c>
      <c r="R2904">
        <v>0.42819963959509499</v>
      </c>
      <c r="S2904">
        <v>12.674056246725501</v>
      </c>
      <c r="T2904">
        <v>-0.75399427677291397</v>
      </c>
      <c r="U2904">
        <v>-6.7566218806691296</v>
      </c>
      <c r="V2904">
        <v>0.46260656868706401</v>
      </c>
      <c r="W2904">
        <v>0.72812871006078805</v>
      </c>
      <c r="X2904">
        <v>0</v>
      </c>
      <c r="Y2904">
        <v>0</v>
      </c>
    </row>
    <row r="2905" spans="1:25" x14ac:dyDescent="0.2">
      <c r="A2905" t="s">
        <v>10781</v>
      </c>
      <c r="B2905" t="s">
        <v>10782</v>
      </c>
      <c r="C2905" t="s">
        <v>10783</v>
      </c>
      <c r="D2905" t="s">
        <v>10784</v>
      </c>
      <c r="E2905" t="s">
        <v>10782</v>
      </c>
      <c r="F2905" t="s">
        <v>28</v>
      </c>
      <c r="G2905" t="s">
        <v>10782</v>
      </c>
      <c r="H2905" t="str">
        <f>"syd-1"</f>
        <v>syd-1</v>
      </c>
      <c r="I2905" t="s">
        <v>10784</v>
      </c>
      <c r="J2905">
        <v>12.4845644752633</v>
      </c>
      <c r="K2905">
        <v>13.618418409948999</v>
      </c>
      <c r="L2905">
        <v>12.937441560606301</v>
      </c>
      <c r="M2905">
        <v>13.455808178340099</v>
      </c>
      <c r="N2905">
        <v>13.3550108965525</v>
      </c>
      <c r="O2905">
        <v>13.5336721413133</v>
      </c>
      <c r="P2905">
        <v>0.43468892346242199</v>
      </c>
      <c r="Q2905">
        <v>-0.149372218629411</v>
      </c>
      <c r="R2905">
        <v>1.0187500655542601</v>
      </c>
      <c r="S2905">
        <v>13.3518137017327</v>
      </c>
      <c r="T2905">
        <v>1.5709786164950901</v>
      </c>
      <c r="U2905">
        <v>-5.8417329627860397</v>
      </c>
      <c r="V2905">
        <v>0.134725915879569</v>
      </c>
      <c r="W2905">
        <v>0.37939762056670201</v>
      </c>
      <c r="X2905">
        <v>0</v>
      </c>
      <c r="Y2905">
        <v>0</v>
      </c>
    </row>
    <row r="2906" spans="1:25" x14ac:dyDescent="0.2">
      <c r="A2906" t="s">
        <v>10785</v>
      </c>
      <c r="B2906" t="s">
        <v>10786</v>
      </c>
      <c r="C2906" t="s">
        <v>10787</v>
      </c>
      <c r="D2906" t="s">
        <v>458</v>
      </c>
      <c r="E2906" t="s">
        <v>10786</v>
      </c>
      <c r="F2906" t="s">
        <v>28</v>
      </c>
      <c r="G2906" t="s">
        <v>10786</v>
      </c>
      <c r="H2906" t="str">
        <f>"ttr-41"</f>
        <v>ttr-41</v>
      </c>
      <c r="I2906" t="s">
        <v>458</v>
      </c>
      <c r="J2906">
        <v>14.410945009423401</v>
      </c>
      <c r="K2906">
        <v>14.6236579431677</v>
      </c>
      <c r="L2906">
        <v>14.265102871303499</v>
      </c>
      <c r="M2906">
        <v>14.568923813631701</v>
      </c>
      <c r="N2906">
        <v>14.132523740231701</v>
      </c>
      <c r="O2906">
        <v>14.4762998566548</v>
      </c>
      <c r="P2906">
        <v>-4.0652804458805002E-2</v>
      </c>
      <c r="Q2906">
        <v>-0.70531857057742597</v>
      </c>
      <c r="R2906">
        <v>0.62401296165981601</v>
      </c>
      <c r="S2906">
        <v>13.796805453224801</v>
      </c>
      <c r="T2906">
        <v>-0.129103261346841</v>
      </c>
      <c r="U2906">
        <v>-7.04332851975997</v>
      </c>
      <c r="V2906">
        <v>0.89880042528062398</v>
      </c>
      <c r="W2906">
        <v>0.96438222116194405</v>
      </c>
      <c r="X2906">
        <v>0</v>
      </c>
      <c r="Y2906">
        <v>0</v>
      </c>
    </row>
    <row r="2907" spans="1:25" x14ac:dyDescent="0.2">
      <c r="A2907" t="s">
        <v>10788</v>
      </c>
      <c r="B2907" t="s">
        <v>10789</v>
      </c>
      <c r="C2907" t="s">
        <v>10790</v>
      </c>
      <c r="D2907" t="s">
        <v>10791</v>
      </c>
      <c r="E2907" t="s">
        <v>10789</v>
      </c>
      <c r="F2907" t="s">
        <v>28</v>
      </c>
      <c r="G2907" t="s">
        <v>10789</v>
      </c>
      <c r="H2907" t="str">
        <f>"afd-1"</f>
        <v>afd-1</v>
      </c>
      <c r="I2907" t="s">
        <v>10791</v>
      </c>
      <c r="J2907">
        <v>13.833982635219501</v>
      </c>
      <c r="K2907">
        <v>14.285185037487199</v>
      </c>
      <c r="L2907">
        <v>14.2273635037097</v>
      </c>
      <c r="M2907">
        <v>13.880838894099499</v>
      </c>
      <c r="N2907">
        <v>13.448433761591801</v>
      </c>
      <c r="O2907">
        <v>13.9024111227434</v>
      </c>
      <c r="P2907">
        <v>-0.37161579932723898</v>
      </c>
      <c r="Q2907">
        <v>-0.77300637411483397</v>
      </c>
      <c r="R2907">
        <v>2.9774775460355299E-2</v>
      </c>
      <c r="S2907">
        <v>14.179329871632101</v>
      </c>
      <c r="T2907">
        <v>-1.9637062809458601</v>
      </c>
      <c r="U2907">
        <v>-5.2322684858126403</v>
      </c>
      <c r="V2907">
        <v>6.73023046314489E-2</v>
      </c>
      <c r="W2907">
        <v>0.26290720200568402</v>
      </c>
      <c r="X2907">
        <v>0</v>
      </c>
      <c r="Y2907">
        <v>0</v>
      </c>
    </row>
    <row r="2908" spans="1:25" x14ac:dyDescent="0.2">
      <c r="A2908" t="s">
        <v>10792</v>
      </c>
      <c r="B2908" t="s">
        <v>10793</v>
      </c>
      <c r="C2908" t="s">
        <v>10794</v>
      </c>
      <c r="D2908" t="s">
        <v>150</v>
      </c>
      <c r="E2908" t="s">
        <v>10793</v>
      </c>
      <c r="F2908" t="s">
        <v>28</v>
      </c>
      <c r="G2908" t="s">
        <v>10793</v>
      </c>
      <c r="H2908" t="str">
        <f>"ppw-1"</f>
        <v>ppw-1</v>
      </c>
      <c r="I2908" t="s">
        <v>150</v>
      </c>
      <c r="J2908">
        <v>14.677196262882401</v>
      </c>
      <c r="K2908">
        <v>14.402341099951601</v>
      </c>
      <c r="L2908">
        <v>14.629254209637001</v>
      </c>
      <c r="M2908">
        <v>14.5555798295368</v>
      </c>
      <c r="N2908">
        <v>14.599521687590199</v>
      </c>
      <c r="O2908">
        <v>13.908553228507399</v>
      </c>
      <c r="P2908">
        <v>-0.215045608945509</v>
      </c>
      <c r="Q2908">
        <v>-0.68057221521507105</v>
      </c>
      <c r="R2908">
        <v>0.25048099732405199</v>
      </c>
      <c r="S2908">
        <v>14.8089623968905</v>
      </c>
      <c r="T2908">
        <v>-0.97090912975458499</v>
      </c>
      <c r="U2908">
        <v>-6.5707345795116598</v>
      </c>
      <c r="V2908">
        <v>0.344534825161881</v>
      </c>
      <c r="W2908">
        <v>0.62527402179406599</v>
      </c>
      <c r="X2908">
        <v>0</v>
      </c>
      <c r="Y2908">
        <v>0</v>
      </c>
    </row>
    <row r="2909" spans="1:25" x14ac:dyDescent="0.2">
      <c r="A2909" t="s">
        <v>10795</v>
      </c>
      <c r="B2909" t="s">
        <v>10796</v>
      </c>
      <c r="C2909" t="s">
        <v>10797</v>
      </c>
      <c r="D2909" t="s">
        <v>10798</v>
      </c>
      <c r="E2909" t="s">
        <v>10796</v>
      </c>
      <c r="F2909" t="s">
        <v>28</v>
      </c>
      <c r="G2909" t="s">
        <v>10796</v>
      </c>
      <c r="H2909" t="str">
        <f>"C50D2.7"</f>
        <v>C50D2.7</v>
      </c>
      <c r="I2909" t="s">
        <v>10798</v>
      </c>
      <c r="J2909">
        <v>14.012939749433</v>
      </c>
      <c r="K2909">
        <v>13.819491469673901</v>
      </c>
      <c r="L2909">
        <v>13.4646249365444</v>
      </c>
      <c r="M2909">
        <v>13.9306850065167</v>
      </c>
      <c r="N2909">
        <v>13.190293363782301</v>
      </c>
      <c r="O2909">
        <v>13.1198735341932</v>
      </c>
      <c r="P2909">
        <v>-0.35206808371968501</v>
      </c>
      <c r="Q2909">
        <v>-1.2301439377193499</v>
      </c>
      <c r="R2909">
        <v>0.52600777027998302</v>
      </c>
      <c r="S2909">
        <v>13.1138070035865</v>
      </c>
      <c r="T2909">
        <v>-0.84633954732203998</v>
      </c>
      <c r="U2909">
        <v>-6.6833493149617604</v>
      </c>
      <c r="V2909">
        <v>0.40919135931082601</v>
      </c>
      <c r="W2909">
        <v>0.68050436770617895</v>
      </c>
      <c r="X2909">
        <v>0</v>
      </c>
      <c r="Y2909">
        <v>0</v>
      </c>
    </row>
    <row r="2910" spans="1:25" x14ac:dyDescent="0.2">
      <c r="A2910" t="s">
        <v>10799</v>
      </c>
      <c r="B2910" t="s">
        <v>10800</v>
      </c>
      <c r="C2910" t="s">
        <v>10801</v>
      </c>
      <c r="D2910" t="s">
        <v>10802</v>
      </c>
      <c r="E2910" t="s">
        <v>10800</v>
      </c>
      <c r="F2910" t="s">
        <v>28</v>
      </c>
      <c r="G2910" t="s">
        <v>10800</v>
      </c>
      <c r="H2910" t="str">
        <f>"icd-2"</f>
        <v>icd-2</v>
      </c>
      <c r="I2910" t="s">
        <v>10802</v>
      </c>
      <c r="J2910">
        <v>17.8993933230451</v>
      </c>
      <c r="K2910">
        <v>17.7490316107843</v>
      </c>
      <c r="L2910">
        <v>17.643880180226599</v>
      </c>
      <c r="M2910">
        <v>17.404632869670198</v>
      </c>
      <c r="N2910">
        <v>17.425895093087</v>
      </c>
      <c r="O2910">
        <v>17.302195033453501</v>
      </c>
      <c r="P2910">
        <v>-0.38652737261507802</v>
      </c>
      <c r="Q2910">
        <v>-0.83558999051152205</v>
      </c>
      <c r="R2910">
        <v>6.2535245281367099E-2</v>
      </c>
      <c r="S2910">
        <v>17.1218415224381</v>
      </c>
      <c r="T2910">
        <v>-1.8091137063845</v>
      </c>
      <c r="U2910">
        <v>-5.47792504766268</v>
      </c>
      <c r="V2910">
        <v>8.72650243441912E-2</v>
      </c>
      <c r="W2910">
        <v>0.30270763337215301</v>
      </c>
      <c r="X2910">
        <v>0</v>
      </c>
      <c r="Y2910">
        <v>0</v>
      </c>
    </row>
    <row r="2911" spans="1:25" x14ac:dyDescent="0.2">
      <c r="A2911" t="s">
        <v>10803</v>
      </c>
      <c r="B2911" t="s">
        <v>10804</v>
      </c>
      <c r="C2911" t="s">
        <v>14583</v>
      </c>
      <c r="D2911" t="s">
        <v>10805</v>
      </c>
      <c r="E2911" t="s">
        <v>10804</v>
      </c>
      <c r="F2911" t="s">
        <v>28</v>
      </c>
      <c r="G2911" t="s">
        <v>10804</v>
      </c>
      <c r="H2911" t="str">
        <f>"Y48E1C.4"</f>
        <v>Y48E1C.4</v>
      </c>
      <c r="I2911" t="s">
        <v>10805</v>
      </c>
      <c r="J2911">
        <v>13.449906177810099</v>
      </c>
      <c r="K2911">
        <v>13.4322712762942</v>
      </c>
      <c r="L2911">
        <v>12.8494259949584</v>
      </c>
      <c r="M2911">
        <v>13.0234822361077</v>
      </c>
      <c r="N2911">
        <v>12.576210697013099</v>
      </c>
      <c r="O2911">
        <v>13.260750915643101</v>
      </c>
      <c r="P2911">
        <v>-0.29038653343299198</v>
      </c>
      <c r="Q2911">
        <v>-1.0645594711005</v>
      </c>
      <c r="R2911">
        <v>0.48378640423451702</v>
      </c>
      <c r="S2911">
        <v>12.8544695159756</v>
      </c>
      <c r="T2911">
        <v>-0.79175077936262805</v>
      </c>
      <c r="U2911">
        <v>-6.7285483078988904</v>
      </c>
      <c r="V2911">
        <v>0.43948140632163701</v>
      </c>
      <c r="W2911">
        <v>0.70725642738407901</v>
      </c>
      <c r="X2911">
        <v>0</v>
      </c>
      <c r="Y2911">
        <v>0</v>
      </c>
    </row>
    <row r="2912" spans="1:25" x14ac:dyDescent="0.2">
      <c r="A2912" t="s">
        <v>10806</v>
      </c>
      <c r="B2912" t="s">
        <v>10807</v>
      </c>
      <c r="C2912" t="s">
        <v>10808</v>
      </c>
      <c r="D2912" t="s">
        <v>10809</v>
      </c>
      <c r="E2912" t="s">
        <v>10807</v>
      </c>
      <c r="F2912" t="s">
        <v>28</v>
      </c>
      <c r="G2912" t="s">
        <v>10807</v>
      </c>
      <c r="H2912" t="str">
        <f>"zoo-1"</f>
        <v>zoo-1</v>
      </c>
      <c r="I2912" t="s">
        <v>10809</v>
      </c>
      <c r="J2912">
        <v>13.9460701854583</v>
      </c>
      <c r="K2912">
        <v>14.390522392809</v>
      </c>
      <c r="L2912">
        <v>14.2258058518368</v>
      </c>
      <c r="M2912">
        <v>14.489784054269601</v>
      </c>
      <c r="N2912">
        <v>14.1157812524484</v>
      </c>
      <c r="O2912">
        <v>14.467616266277201</v>
      </c>
      <c r="P2912">
        <v>0.170261047630374</v>
      </c>
      <c r="Q2912">
        <v>-0.23563299488001799</v>
      </c>
      <c r="R2912">
        <v>0.57615509014076605</v>
      </c>
      <c r="S2912">
        <v>14.189115952456</v>
      </c>
      <c r="T2912">
        <v>0.885426747843857</v>
      </c>
      <c r="U2912">
        <v>-6.6492882312381596</v>
      </c>
      <c r="V2912">
        <v>0.38835503585446401</v>
      </c>
      <c r="W2912">
        <v>0.66336340507633895</v>
      </c>
      <c r="X2912">
        <v>0</v>
      </c>
      <c r="Y2912">
        <v>0</v>
      </c>
    </row>
    <row r="2913" spans="1:25" x14ac:dyDescent="0.2">
      <c r="A2913" t="s">
        <v>10810</v>
      </c>
      <c r="B2913" t="s">
        <v>10811</v>
      </c>
      <c r="C2913" t="s">
        <v>10812</v>
      </c>
      <c r="D2913" t="s">
        <v>10813</v>
      </c>
      <c r="E2913" t="s">
        <v>10811</v>
      </c>
      <c r="F2913" t="s">
        <v>28</v>
      </c>
      <c r="G2913" t="s">
        <v>10811</v>
      </c>
      <c r="H2913" t="str">
        <f>"gly-4"</f>
        <v>gly-4</v>
      </c>
      <c r="I2913" t="s">
        <v>10813</v>
      </c>
      <c r="J2913">
        <v>12.5001989781159</v>
      </c>
      <c r="K2913" t="s">
        <v>29</v>
      </c>
      <c r="L2913">
        <v>11.7780457589015</v>
      </c>
      <c r="M2913">
        <v>11.437219063567801</v>
      </c>
      <c r="N2913">
        <v>11.588675604030399</v>
      </c>
      <c r="O2913" t="s">
        <v>29</v>
      </c>
      <c r="P2913">
        <v>-0.62617503470957703</v>
      </c>
      <c r="Q2913">
        <v>-1.2946559564134399</v>
      </c>
      <c r="R2913">
        <v>4.2305886994282199E-2</v>
      </c>
      <c r="S2913">
        <v>11.695290949700199</v>
      </c>
      <c r="T2913">
        <v>-2.0429218052278499</v>
      </c>
      <c r="U2913">
        <v>-4.9369154266963902</v>
      </c>
      <c r="V2913">
        <v>6.3866467355653905E-2</v>
      </c>
      <c r="W2913">
        <v>0.25644238900069899</v>
      </c>
      <c r="X2913">
        <v>0</v>
      </c>
      <c r="Y2913">
        <v>0</v>
      </c>
    </row>
    <row r="2914" spans="1:25" x14ac:dyDescent="0.2">
      <c r="A2914" t="s">
        <v>10814</v>
      </c>
      <c r="B2914" t="s">
        <v>10815</v>
      </c>
      <c r="C2914" t="s">
        <v>10816</v>
      </c>
      <c r="D2914" t="s">
        <v>10817</v>
      </c>
      <c r="E2914" t="s">
        <v>10815</v>
      </c>
      <c r="F2914" t="s">
        <v>28</v>
      </c>
      <c r="G2914" t="s">
        <v>10815</v>
      </c>
      <c r="H2914" t="str">
        <f>"shk-1"</f>
        <v>shk-1</v>
      </c>
      <c r="I2914" t="s">
        <v>10817</v>
      </c>
      <c r="J2914" t="s">
        <v>29</v>
      </c>
      <c r="K2914" t="s">
        <v>29</v>
      </c>
      <c r="L2914" t="s">
        <v>29</v>
      </c>
      <c r="M2914" t="s">
        <v>29</v>
      </c>
      <c r="N2914" t="s">
        <v>29</v>
      </c>
      <c r="O2914" t="s">
        <v>29</v>
      </c>
      <c r="P2914" t="s">
        <v>29</v>
      </c>
      <c r="Q2914" t="s">
        <v>29</v>
      </c>
      <c r="R2914" t="s">
        <v>29</v>
      </c>
      <c r="S2914">
        <v>11.8905843923562</v>
      </c>
      <c r="T2914" t="s">
        <v>29</v>
      </c>
      <c r="U2914" t="s">
        <v>29</v>
      </c>
      <c r="V2914" t="s">
        <v>29</v>
      </c>
      <c r="W2914" t="s">
        <v>29</v>
      </c>
      <c r="X2914" t="s">
        <v>29</v>
      </c>
      <c r="Y2914" t="s">
        <v>29</v>
      </c>
    </row>
    <row r="2915" spans="1:25" x14ac:dyDescent="0.2">
      <c r="A2915" t="s">
        <v>10818</v>
      </c>
      <c r="B2915" t="s">
        <v>10819</v>
      </c>
      <c r="C2915" t="s">
        <v>10820</v>
      </c>
      <c r="D2915" t="s">
        <v>3312</v>
      </c>
      <c r="E2915" t="s">
        <v>10819</v>
      </c>
      <c r="F2915" t="s">
        <v>28</v>
      </c>
      <c r="G2915" t="s">
        <v>10819</v>
      </c>
      <c r="H2915" t="str">
        <f>"col-42"</f>
        <v>col-42</v>
      </c>
      <c r="I2915" t="s">
        <v>3312</v>
      </c>
      <c r="J2915">
        <v>10.298590775251901</v>
      </c>
      <c r="K2915">
        <v>12.964266096621101</v>
      </c>
      <c r="L2915" t="s">
        <v>29</v>
      </c>
      <c r="M2915">
        <v>10.551499347385899</v>
      </c>
      <c r="N2915">
        <v>11.3955190029499</v>
      </c>
      <c r="O2915" t="s">
        <v>29</v>
      </c>
      <c r="P2915">
        <v>-0.65791926076856699</v>
      </c>
      <c r="Q2915">
        <v>-2.21886209907457</v>
      </c>
      <c r="R2915">
        <v>0.90302357753744</v>
      </c>
      <c r="S2915">
        <v>11.965043580013701</v>
      </c>
      <c r="T2915">
        <v>-0.90464355605029101</v>
      </c>
      <c r="U2915">
        <v>-6.4297918501502096</v>
      </c>
      <c r="V2915">
        <v>0.381072020113153</v>
      </c>
      <c r="W2915">
        <v>0.65643639674335597</v>
      </c>
      <c r="X2915">
        <v>0</v>
      </c>
      <c r="Y2915">
        <v>0</v>
      </c>
    </row>
    <row r="2916" spans="1:25" x14ac:dyDescent="0.2">
      <c r="A2916" t="s">
        <v>10821</v>
      </c>
      <c r="B2916" t="s">
        <v>10822</v>
      </c>
      <c r="C2916" t="s">
        <v>10823</v>
      </c>
      <c r="D2916" t="s">
        <v>10824</v>
      </c>
      <c r="E2916" t="s">
        <v>10822</v>
      </c>
      <c r="F2916" t="s">
        <v>28</v>
      </c>
      <c r="G2916" t="s">
        <v>10822</v>
      </c>
      <c r="H2916" t="str">
        <f>"unc-61"</f>
        <v>unc-61</v>
      </c>
      <c r="I2916" t="s">
        <v>10824</v>
      </c>
      <c r="J2916">
        <v>11.796930608873099</v>
      </c>
      <c r="K2916">
        <v>12.0195050053989</v>
      </c>
      <c r="L2916">
        <v>12.2464557936327</v>
      </c>
      <c r="M2916">
        <v>11.504386357521</v>
      </c>
      <c r="N2916">
        <v>12.9547940635582</v>
      </c>
      <c r="O2916">
        <v>12.230031673853301</v>
      </c>
      <c r="P2916">
        <v>0.20877356234261399</v>
      </c>
      <c r="Q2916">
        <v>-0.41173742083685599</v>
      </c>
      <c r="R2916">
        <v>0.82928454552208397</v>
      </c>
      <c r="S2916">
        <v>12.273219843954299</v>
      </c>
      <c r="T2916">
        <v>0.710192435000634</v>
      </c>
      <c r="U2916">
        <v>-6.7908439827089397</v>
      </c>
      <c r="V2916">
        <v>0.48727274877917598</v>
      </c>
      <c r="W2916">
        <v>0.74195019062289802</v>
      </c>
      <c r="X2916">
        <v>0</v>
      </c>
      <c r="Y2916">
        <v>0</v>
      </c>
    </row>
    <row r="2917" spans="1:25" x14ac:dyDescent="0.2">
      <c r="A2917" t="s">
        <v>10825</v>
      </c>
      <c r="B2917" t="s">
        <v>10826</v>
      </c>
      <c r="C2917" t="s">
        <v>10827</v>
      </c>
      <c r="D2917" t="s">
        <v>107</v>
      </c>
      <c r="E2917" t="s">
        <v>10826</v>
      </c>
      <c r="F2917" t="s">
        <v>28</v>
      </c>
      <c r="G2917" t="s">
        <v>10826</v>
      </c>
      <c r="H2917" t="str">
        <f>"slc-17.4"</f>
        <v>slc-17.4</v>
      </c>
      <c r="I2917" t="s">
        <v>107</v>
      </c>
      <c r="J2917">
        <v>13.103574180291901</v>
      </c>
      <c r="K2917">
        <v>12.862527350455601</v>
      </c>
      <c r="L2917">
        <v>12.6513315488166</v>
      </c>
      <c r="M2917" t="s">
        <v>29</v>
      </c>
      <c r="N2917" t="s">
        <v>29</v>
      </c>
      <c r="O2917">
        <v>11.375407947050901</v>
      </c>
      <c r="P2917">
        <v>-1.4970697461371401</v>
      </c>
      <c r="Q2917">
        <v>-2.6714350509644502</v>
      </c>
      <c r="R2917">
        <v>-0.32270444130982401</v>
      </c>
      <c r="S2917">
        <v>12.173120731464399</v>
      </c>
      <c r="T2917">
        <v>-2.7562973419308201</v>
      </c>
      <c r="U2917">
        <v>-3.55048661110304</v>
      </c>
      <c r="V2917">
        <v>1.6442278806646799E-2</v>
      </c>
      <c r="W2917">
        <v>0.12077466193415</v>
      </c>
      <c r="X2917">
        <v>-1</v>
      </c>
      <c r="Y2917">
        <v>0</v>
      </c>
    </row>
    <row r="2918" spans="1:25" x14ac:dyDescent="0.2">
      <c r="A2918" t="s">
        <v>10828</v>
      </c>
      <c r="B2918" t="s">
        <v>10829</v>
      </c>
      <c r="C2918" t="s">
        <v>10830</v>
      </c>
      <c r="D2918" t="s">
        <v>10831</v>
      </c>
      <c r="E2918" t="s">
        <v>10829</v>
      </c>
      <c r="F2918" t="s">
        <v>28</v>
      </c>
      <c r="G2918" t="s">
        <v>10829</v>
      </c>
      <c r="H2918" t="str">
        <f>"set-18"</f>
        <v>set-18</v>
      </c>
      <c r="I2918" t="s">
        <v>10831</v>
      </c>
      <c r="J2918">
        <v>10.9255215484147</v>
      </c>
      <c r="K2918">
        <v>11.375920122641199</v>
      </c>
      <c r="L2918">
        <v>11.5150854454947</v>
      </c>
      <c r="M2918">
        <v>10.3768439587607</v>
      </c>
      <c r="N2918">
        <v>11.0233133099849</v>
      </c>
      <c r="O2918" t="s">
        <v>29</v>
      </c>
      <c r="P2918">
        <v>-0.57209707114410002</v>
      </c>
      <c r="Q2918">
        <v>-1.4692503626826201</v>
      </c>
      <c r="R2918">
        <v>0.325056220394419</v>
      </c>
      <c r="S2918">
        <v>11.5919379526695</v>
      </c>
      <c r="T2918">
        <v>-1.3600180596553899</v>
      </c>
      <c r="U2918">
        <v>-6.0201893311583099</v>
      </c>
      <c r="V2918">
        <v>0.194054521512393</v>
      </c>
      <c r="W2918">
        <v>0.45592304187821298</v>
      </c>
      <c r="X2918">
        <v>0</v>
      </c>
      <c r="Y2918">
        <v>0</v>
      </c>
    </row>
    <row r="2919" spans="1:25" x14ac:dyDescent="0.2">
      <c r="A2919" t="s">
        <v>10832</v>
      </c>
      <c r="B2919" t="s">
        <v>10833</v>
      </c>
      <c r="C2919" t="s">
        <v>14584</v>
      </c>
      <c r="D2919" t="s">
        <v>2692</v>
      </c>
      <c r="E2919" t="s">
        <v>10833</v>
      </c>
      <c r="F2919" t="s">
        <v>28</v>
      </c>
      <c r="G2919" t="s">
        <v>10833</v>
      </c>
      <c r="H2919" t="str">
        <f>"T03F7.7"</f>
        <v>T03F7.7</v>
      </c>
      <c r="I2919" t="s">
        <v>2692</v>
      </c>
      <c r="J2919">
        <v>14.6398642680122</v>
      </c>
      <c r="K2919">
        <v>14.4578407803552</v>
      </c>
      <c r="L2919">
        <v>14.2634484179521</v>
      </c>
      <c r="M2919">
        <v>13.8716489269531</v>
      </c>
      <c r="N2919">
        <v>14.5440868990237</v>
      </c>
      <c r="O2919">
        <v>13.3773210171953</v>
      </c>
      <c r="P2919">
        <v>-0.522698874382439</v>
      </c>
      <c r="Q2919">
        <v>-1.09106207287529</v>
      </c>
      <c r="R2919">
        <v>4.56643241104083E-2</v>
      </c>
      <c r="S2919">
        <v>13.654138572773199</v>
      </c>
      <c r="T2919">
        <v>-1.95063110417852</v>
      </c>
      <c r="U2919">
        <v>-5.2539873152965804</v>
      </c>
      <c r="V2919">
        <v>6.8959851503696407E-2</v>
      </c>
      <c r="W2919">
        <v>0.26710175615020298</v>
      </c>
      <c r="X2919">
        <v>0</v>
      </c>
      <c r="Y2919">
        <v>0</v>
      </c>
    </row>
    <row r="2920" spans="1:25" x14ac:dyDescent="0.2">
      <c r="A2920" t="s">
        <v>10834</v>
      </c>
      <c r="B2920" t="s">
        <v>10835</v>
      </c>
      <c r="C2920" t="s">
        <v>14585</v>
      </c>
      <c r="D2920" t="s">
        <v>10836</v>
      </c>
      <c r="E2920" t="s">
        <v>10835</v>
      </c>
      <c r="F2920" t="s">
        <v>28</v>
      </c>
      <c r="G2920" t="s">
        <v>10835</v>
      </c>
      <c r="H2920" t="str">
        <f>"F32D8.12"</f>
        <v>F32D8.12</v>
      </c>
      <c r="I2920" t="s">
        <v>10836</v>
      </c>
      <c r="J2920">
        <v>14.2650591558732</v>
      </c>
      <c r="K2920">
        <v>14.3386008678279</v>
      </c>
      <c r="L2920">
        <v>14.2772324414934</v>
      </c>
      <c r="M2920">
        <v>14.278224730543201</v>
      </c>
      <c r="N2920">
        <v>14.6552715208098</v>
      </c>
      <c r="O2920">
        <v>14.6195810678634</v>
      </c>
      <c r="P2920">
        <v>0.22406161800725299</v>
      </c>
      <c r="Q2920">
        <v>-0.15996737173956299</v>
      </c>
      <c r="R2920">
        <v>0.60809060775406998</v>
      </c>
      <c r="S2920">
        <v>14.365825056269401</v>
      </c>
      <c r="T2920">
        <v>1.2262978621346901</v>
      </c>
      <c r="U2920">
        <v>-6.2955942437914398</v>
      </c>
      <c r="V2920">
        <v>0.235978931506655</v>
      </c>
      <c r="W2920">
        <v>0.50751846868648798</v>
      </c>
      <c r="X2920">
        <v>0</v>
      </c>
      <c r="Y2920">
        <v>0</v>
      </c>
    </row>
    <row r="2921" spans="1:25" x14ac:dyDescent="0.2">
      <c r="A2921" t="s">
        <v>10837</v>
      </c>
      <c r="B2921" t="s">
        <v>10838</v>
      </c>
      <c r="C2921" t="s">
        <v>14586</v>
      </c>
      <c r="D2921" t="s">
        <v>10839</v>
      </c>
      <c r="E2921" t="s">
        <v>10838</v>
      </c>
      <c r="F2921" t="s">
        <v>28</v>
      </c>
      <c r="G2921" t="s">
        <v>10838</v>
      </c>
      <c r="H2921" t="str">
        <f>"F30F8.9"</f>
        <v>F30F8.9</v>
      </c>
      <c r="I2921" t="s">
        <v>10839</v>
      </c>
      <c r="J2921">
        <v>14.680953190826299</v>
      </c>
      <c r="K2921">
        <v>14.285429286141101</v>
      </c>
      <c r="L2921">
        <v>14.3599529047658</v>
      </c>
      <c r="M2921">
        <v>14.317726136847</v>
      </c>
      <c r="N2921">
        <v>14.859553471204</v>
      </c>
      <c r="O2921">
        <v>14.4626889919466</v>
      </c>
      <c r="P2921">
        <v>0.10454440608814899</v>
      </c>
      <c r="Q2921">
        <v>-0.42769872614395299</v>
      </c>
      <c r="R2921">
        <v>0.63678753832025103</v>
      </c>
      <c r="S2921">
        <v>14.3085467646218</v>
      </c>
      <c r="T2921">
        <v>0.414610929851431</v>
      </c>
      <c r="U2921">
        <v>-6.9621765278909402</v>
      </c>
      <c r="V2921">
        <v>0.68364351914166699</v>
      </c>
      <c r="W2921">
        <v>0.85743265042369798</v>
      </c>
      <c r="X2921">
        <v>0</v>
      </c>
      <c r="Y2921">
        <v>0</v>
      </c>
    </row>
    <row r="2922" spans="1:25" x14ac:dyDescent="0.2">
      <c r="A2922" t="s">
        <v>10840</v>
      </c>
      <c r="B2922" t="s">
        <v>10841</v>
      </c>
      <c r="C2922" t="s">
        <v>10842</v>
      </c>
      <c r="D2922" t="s">
        <v>10843</v>
      </c>
      <c r="E2922" t="s">
        <v>10841</v>
      </c>
      <c r="F2922" t="s">
        <v>28</v>
      </c>
      <c r="G2922" t="s">
        <v>10841</v>
      </c>
      <c r="H2922" t="str">
        <f>"gls-1"</f>
        <v>gls-1</v>
      </c>
      <c r="I2922" t="s">
        <v>10843</v>
      </c>
      <c r="J2922">
        <v>14.0289615228358</v>
      </c>
      <c r="K2922">
        <v>13.742903177427101</v>
      </c>
      <c r="L2922">
        <v>14.472481971796</v>
      </c>
      <c r="M2922">
        <v>13.1751193408644</v>
      </c>
      <c r="N2922">
        <v>13.3138596774875</v>
      </c>
      <c r="O2922">
        <v>13.602922315735199</v>
      </c>
      <c r="P2922">
        <v>-0.71748177932394697</v>
      </c>
      <c r="Q2922">
        <v>-1.22746564999202</v>
      </c>
      <c r="R2922">
        <v>-0.20749790865587101</v>
      </c>
      <c r="S2922">
        <v>14.2672611449174</v>
      </c>
      <c r="T2922">
        <v>-2.9569702071484198</v>
      </c>
      <c r="U2922">
        <v>-3.3273042122091399</v>
      </c>
      <c r="V2922">
        <v>8.4766412038425592E-3</v>
      </c>
      <c r="W2922">
        <v>7.8360768401430997E-2</v>
      </c>
      <c r="X2922">
        <v>0</v>
      </c>
      <c r="Y2922">
        <v>0</v>
      </c>
    </row>
    <row r="2923" spans="1:25" x14ac:dyDescent="0.2">
      <c r="A2923" t="s">
        <v>10844</v>
      </c>
      <c r="B2923" t="s">
        <v>10845</v>
      </c>
      <c r="C2923" t="s">
        <v>10846</v>
      </c>
      <c r="D2923" t="s">
        <v>10847</v>
      </c>
      <c r="E2923" t="s">
        <v>10845</v>
      </c>
      <c r="F2923" t="s">
        <v>28</v>
      </c>
      <c r="G2923" t="s">
        <v>10845</v>
      </c>
      <c r="H2923" t="str">
        <f>"npp-22"</f>
        <v>npp-22</v>
      </c>
      <c r="I2923" t="s">
        <v>10847</v>
      </c>
      <c r="J2923">
        <v>15.537331000226899</v>
      </c>
      <c r="K2923">
        <v>15.562099471963</v>
      </c>
      <c r="L2923">
        <v>15.747428997354101</v>
      </c>
      <c r="M2923">
        <v>15.2254431784833</v>
      </c>
      <c r="N2923">
        <v>15.661826206008399</v>
      </c>
      <c r="O2923">
        <v>15.3541938033724</v>
      </c>
      <c r="P2923">
        <v>-0.20179876055999699</v>
      </c>
      <c r="Q2923">
        <v>-0.59132096771875198</v>
      </c>
      <c r="R2923">
        <v>0.187723446598757</v>
      </c>
      <c r="S2923">
        <v>15.8754246427557</v>
      </c>
      <c r="T2923">
        <v>-1.0888769017208599</v>
      </c>
      <c r="U2923">
        <v>-6.45059152285969</v>
      </c>
      <c r="V2923">
        <v>0.29065553614540302</v>
      </c>
      <c r="W2923">
        <v>0.57044216804411496</v>
      </c>
      <c r="X2923">
        <v>0</v>
      </c>
      <c r="Y2923">
        <v>0</v>
      </c>
    </row>
    <row r="2924" spans="1:25" x14ac:dyDescent="0.2">
      <c r="A2924" t="s">
        <v>10848</v>
      </c>
      <c r="B2924" t="s">
        <v>10849</v>
      </c>
      <c r="C2924" t="s">
        <v>10850</v>
      </c>
      <c r="D2924" t="s">
        <v>10851</v>
      </c>
      <c r="E2924" t="s">
        <v>10849</v>
      </c>
      <c r="F2924" t="s">
        <v>28</v>
      </c>
      <c r="G2924" t="s">
        <v>10849</v>
      </c>
      <c r="H2924" t="str">
        <f>"odr-4"</f>
        <v>odr-4</v>
      </c>
      <c r="I2924" t="s">
        <v>10851</v>
      </c>
      <c r="J2924" t="s">
        <v>29</v>
      </c>
      <c r="K2924" t="s">
        <v>29</v>
      </c>
      <c r="L2924" t="s">
        <v>29</v>
      </c>
      <c r="M2924">
        <v>10.887504713196501</v>
      </c>
      <c r="N2924">
        <v>11.017045138737799</v>
      </c>
      <c r="O2924" t="s">
        <v>29</v>
      </c>
      <c r="P2924" t="s">
        <v>29</v>
      </c>
      <c r="Q2924" t="s">
        <v>29</v>
      </c>
      <c r="R2924" t="s">
        <v>29</v>
      </c>
      <c r="S2924">
        <v>10.915848016232999</v>
      </c>
      <c r="T2924" t="s">
        <v>29</v>
      </c>
      <c r="U2924" t="s">
        <v>29</v>
      </c>
      <c r="V2924" t="s">
        <v>29</v>
      </c>
      <c r="W2924" t="s">
        <v>29</v>
      </c>
      <c r="X2924" t="s">
        <v>29</v>
      </c>
      <c r="Y2924" t="s">
        <v>29</v>
      </c>
    </row>
    <row r="2925" spans="1:25" x14ac:dyDescent="0.2">
      <c r="A2925" t="s">
        <v>10852</v>
      </c>
      <c r="B2925" t="s">
        <v>10853</v>
      </c>
      <c r="C2925" t="s">
        <v>10854</v>
      </c>
      <c r="D2925" t="s">
        <v>10855</v>
      </c>
      <c r="E2925" t="s">
        <v>10853</v>
      </c>
      <c r="F2925" t="s">
        <v>28</v>
      </c>
      <c r="G2925" t="s">
        <v>10853</v>
      </c>
      <c r="H2925" t="str">
        <f>"pct-1"</f>
        <v>pct-1</v>
      </c>
      <c r="I2925" t="s">
        <v>10855</v>
      </c>
      <c r="J2925">
        <v>12.123844091167999</v>
      </c>
      <c r="K2925">
        <v>12.4485012048813</v>
      </c>
      <c r="L2925">
        <v>12.5631918527799</v>
      </c>
      <c r="M2925">
        <v>12.1437411780706</v>
      </c>
      <c r="N2925">
        <v>11.9070243776354</v>
      </c>
      <c r="O2925">
        <v>12.1399798704168</v>
      </c>
      <c r="P2925">
        <v>-0.31493057423545201</v>
      </c>
      <c r="Q2925">
        <v>-0.80260372358492305</v>
      </c>
      <c r="R2925">
        <v>0.172742575114018</v>
      </c>
      <c r="S2925">
        <v>12.363301778234</v>
      </c>
      <c r="T2925">
        <v>-1.3697317109271701</v>
      </c>
      <c r="U2925">
        <v>-6.1168959746154901</v>
      </c>
      <c r="V2925">
        <v>0.189811244211047</v>
      </c>
      <c r="W2925">
        <v>0.451495459548791</v>
      </c>
      <c r="X2925">
        <v>0</v>
      </c>
      <c r="Y2925">
        <v>0</v>
      </c>
    </row>
    <row r="2926" spans="1:25" x14ac:dyDescent="0.2">
      <c r="A2926" t="s">
        <v>10856</v>
      </c>
      <c r="B2926" t="s">
        <v>10857</v>
      </c>
      <c r="C2926" t="s">
        <v>10858</v>
      </c>
      <c r="D2926" t="s">
        <v>10859</v>
      </c>
      <c r="E2926" t="s">
        <v>10857</v>
      </c>
      <c r="F2926" t="s">
        <v>28</v>
      </c>
      <c r="G2926" t="s">
        <v>10857</v>
      </c>
      <c r="H2926" t="str">
        <f>"fpn-1.1"</f>
        <v>fpn-1.1</v>
      </c>
      <c r="I2926" t="s">
        <v>10859</v>
      </c>
      <c r="J2926">
        <v>12.446737244305099</v>
      </c>
      <c r="K2926">
        <v>12.9329826469043</v>
      </c>
      <c r="L2926">
        <v>12.5931392772943</v>
      </c>
      <c r="M2926" t="s">
        <v>29</v>
      </c>
      <c r="N2926">
        <v>12.4172692835667</v>
      </c>
      <c r="O2926" t="s">
        <v>29</v>
      </c>
      <c r="P2926">
        <v>-0.24035043926789801</v>
      </c>
      <c r="Q2926">
        <v>-1.0633153602394301</v>
      </c>
      <c r="R2926">
        <v>0.58261448170363905</v>
      </c>
      <c r="S2926">
        <v>12.6246947479653</v>
      </c>
      <c r="T2926">
        <v>-0.62683824967968405</v>
      </c>
      <c r="U2926">
        <v>-6.5045617549289796</v>
      </c>
      <c r="V2926">
        <v>0.54092825800134503</v>
      </c>
      <c r="W2926">
        <v>0.77506849473200101</v>
      </c>
      <c r="X2926">
        <v>0</v>
      </c>
      <c r="Y2926">
        <v>0</v>
      </c>
    </row>
    <row r="2927" spans="1:25" x14ac:dyDescent="0.2">
      <c r="A2927" t="s">
        <v>10860</v>
      </c>
      <c r="B2927" t="s">
        <v>10861</v>
      </c>
      <c r="C2927" t="s">
        <v>10862</v>
      </c>
      <c r="D2927" t="s">
        <v>10863</v>
      </c>
      <c r="E2927" t="s">
        <v>10861</v>
      </c>
      <c r="F2927" t="s">
        <v>28</v>
      </c>
      <c r="G2927" t="s">
        <v>10861</v>
      </c>
      <c r="H2927" t="str">
        <f>"let-611"</f>
        <v>let-611</v>
      </c>
      <c r="I2927" t="s">
        <v>10863</v>
      </c>
      <c r="J2927" t="s">
        <v>29</v>
      </c>
      <c r="K2927" t="s">
        <v>29</v>
      </c>
      <c r="L2927" t="s">
        <v>29</v>
      </c>
      <c r="M2927" t="s">
        <v>29</v>
      </c>
      <c r="N2927" t="s">
        <v>29</v>
      </c>
      <c r="O2927" t="s">
        <v>29</v>
      </c>
      <c r="P2927" t="s">
        <v>29</v>
      </c>
      <c r="Q2927" t="s">
        <v>29</v>
      </c>
      <c r="R2927" t="s">
        <v>29</v>
      </c>
      <c r="S2927">
        <v>10.074140373073</v>
      </c>
      <c r="T2927" t="s">
        <v>29</v>
      </c>
      <c r="U2927" t="s">
        <v>29</v>
      </c>
      <c r="V2927" t="s">
        <v>29</v>
      </c>
      <c r="W2927" t="s">
        <v>29</v>
      </c>
      <c r="X2927" t="s">
        <v>29</v>
      </c>
      <c r="Y2927" t="s">
        <v>29</v>
      </c>
    </row>
    <row r="2928" spans="1:25" x14ac:dyDescent="0.2">
      <c r="A2928" t="s">
        <v>10864</v>
      </c>
      <c r="B2928" t="s">
        <v>10865</v>
      </c>
      <c r="C2928" t="s">
        <v>10866</v>
      </c>
      <c r="D2928" t="s">
        <v>10867</v>
      </c>
      <c r="E2928" t="s">
        <v>10865</v>
      </c>
      <c r="F2928" t="s">
        <v>28</v>
      </c>
      <c r="G2928" t="s">
        <v>10865</v>
      </c>
      <c r="H2928" t="str">
        <f>"lpd-2"</f>
        <v>lpd-2</v>
      </c>
      <c r="I2928" t="s">
        <v>10867</v>
      </c>
      <c r="J2928" t="s">
        <v>29</v>
      </c>
      <c r="K2928" t="s">
        <v>29</v>
      </c>
      <c r="L2928" t="s">
        <v>29</v>
      </c>
      <c r="M2928" t="s">
        <v>29</v>
      </c>
      <c r="N2928" t="s">
        <v>29</v>
      </c>
      <c r="O2928" t="s">
        <v>29</v>
      </c>
      <c r="P2928" t="s">
        <v>29</v>
      </c>
      <c r="Q2928" t="s">
        <v>29</v>
      </c>
      <c r="R2928" t="s">
        <v>29</v>
      </c>
      <c r="S2928">
        <v>12.3123120799231</v>
      </c>
      <c r="T2928" t="s">
        <v>29</v>
      </c>
      <c r="U2928" t="s">
        <v>29</v>
      </c>
      <c r="V2928" t="s">
        <v>29</v>
      </c>
      <c r="W2928" t="s">
        <v>29</v>
      </c>
      <c r="X2928" t="s">
        <v>29</v>
      </c>
      <c r="Y2928" t="s">
        <v>29</v>
      </c>
    </row>
    <row r="2929" spans="1:25" x14ac:dyDescent="0.2">
      <c r="A2929" t="s">
        <v>10868</v>
      </c>
      <c r="B2929" t="s">
        <v>10869</v>
      </c>
      <c r="C2929" t="s">
        <v>10870</v>
      </c>
      <c r="D2929" t="s">
        <v>10871</v>
      </c>
      <c r="E2929" t="s">
        <v>10869</v>
      </c>
      <c r="F2929" t="s">
        <v>28</v>
      </c>
      <c r="G2929" t="s">
        <v>10869</v>
      </c>
      <c r="H2929" t="str">
        <f>"gip-1"</f>
        <v>gip-1</v>
      </c>
      <c r="I2929" t="s">
        <v>10871</v>
      </c>
      <c r="J2929">
        <v>13.172095603710501</v>
      </c>
      <c r="K2929">
        <v>13.439832269738201</v>
      </c>
      <c r="L2929">
        <v>13.7392431337156</v>
      </c>
      <c r="M2929">
        <v>13.2349713976987</v>
      </c>
      <c r="N2929">
        <v>13.2254302979612</v>
      </c>
      <c r="O2929">
        <v>12.901055138660499</v>
      </c>
      <c r="P2929">
        <v>-0.32990472428127898</v>
      </c>
      <c r="Q2929">
        <v>-0.72317879673777197</v>
      </c>
      <c r="R2929">
        <v>6.3369348175213294E-2</v>
      </c>
      <c r="S2929">
        <v>13.869075770386001</v>
      </c>
      <c r="T2929">
        <v>-1.77069284524076</v>
      </c>
      <c r="U2929">
        <v>-5.5411292902755198</v>
      </c>
      <c r="V2929">
        <v>9.4650895987250502E-2</v>
      </c>
      <c r="W2929">
        <v>0.316891084596651</v>
      </c>
      <c r="X2929">
        <v>0</v>
      </c>
      <c r="Y2929">
        <v>0</v>
      </c>
    </row>
    <row r="2930" spans="1:25" x14ac:dyDescent="0.2">
      <c r="A2930" t="s">
        <v>10872</v>
      </c>
      <c r="B2930" t="s">
        <v>10873</v>
      </c>
      <c r="C2930" t="s">
        <v>10874</v>
      </c>
      <c r="D2930" t="s">
        <v>10875</v>
      </c>
      <c r="E2930" t="s">
        <v>10873</v>
      </c>
      <c r="F2930" t="s">
        <v>28</v>
      </c>
      <c r="G2930" t="s">
        <v>10873</v>
      </c>
      <c r="H2930" t="str">
        <f>"C50D2.5"</f>
        <v>C50D2.5</v>
      </c>
      <c r="I2930" t="s">
        <v>10875</v>
      </c>
      <c r="J2930">
        <v>12.863177881416799</v>
      </c>
      <c r="K2930">
        <v>13.0804282852736</v>
      </c>
      <c r="L2930">
        <v>12.8551681790556</v>
      </c>
      <c r="M2930">
        <v>13.570262436194101</v>
      </c>
      <c r="N2930" t="s">
        <v>29</v>
      </c>
      <c r="O2930" t="s">
        <v>29</v>
      </c>
      <c r="P2930">
        <v>0.63733765427872102</v>
      </c>
      <c r="Q2930">
        <v>-0.37254234205339298</v>
      </c>
      <c r="R2930">
        <v>1.64721765061083</v>
      </c>
      <c r="S2930">
        <v>12.7554693223653</v>
      </c>
      <c r="T2930">
        <v>1.3645424544637299</v>
      </c>
      <c r="U2930">
        <v>-5.7867293262214803</v>
      </c>
      <c r="V2930">
        <v>0.19573657263243999</v>
      </c>
      <c r="W2930">
        <v>0.45657835652040002</v>
      </c>
      <c r="X2930">
        <v>0</v>
      </c>
      <c r="Y2930">
        <v>0</v>
      </c>
    </row>
    <row r="2931" spans="1:25" x14ac:dyDescent="0.2">
      <c r="A2931" t="s">
        <v>10876</v>
      </c>
      <c r="B2931" t="s">
        <v>10877</v>
      </c>
      <c r="C2931" t="s">
        <v>10878</v>
      </c>
      <c r="D2931" t="s">
        <v>10879</v>
      </c>
      <c r="E2931" t="s">
        <v>10877</v>
      </c>
      <c r="F2931" t="s">
        <v>28</v>
      </c>
      <c r="G2931" t="s">
        <v>10877</v>
      </c>
      <c r="H2931" t="str">
        <f>"luc-7l3"</f>
        <v>luc-7l3</v>
      </c>
      <c r="I2931" t="s">
        <v>10879</v>
      </c>
      <c r="J2931" t="s">
        <v>29</v>
      </c>
      <c r="K2931">
        <v>10.909665977476401</v>
      </c>
      <c r="L2931">
        <v>11.6388525877513</v>
      </c>
      <c r="M2931" t="s">
        <v>29</v>
      </c>
      <c r="N2931">
        <v>11.198626231744599</v>
      </c>
      <c r="O2931">
        <v>11.793865874495401</v>
      </c>
      <c r="P2931">
        <v>0.22198677050618601</v>
      </c>
      <c r="Q2931">
        <v>-0.59186793457636799</v>
      </c>
      <c r="R2931">
        <v>1.03584147558874</v>
      </c>
      <c r="S2931">
        <v>12.6352450134292</v>
      </c>
      <c r="T2931">
        <v>0.58173048120149096</v>
      </c>
      <c r="U2931">
        <v>-6.6746235172431998</v>
      </c>
      <c r="V2931">
        <v>0.56944848369297396</v>
      </c>
      <c r="W2931">
        <v>0.79119785052815395</v>
      </c>
      <c r="X2931">
        <v>0</v>
      </c>
      <c r="Y2931">
        <v>0</v>
      </c>
    </row>
    <row r="2932" spans="1:25" x14ac:dyDescent="0.2">
      <c r="A2932" t="s">
        <v>10880</v>
      </c>
      <c r="B2932" t="s">
        <v>10881</v>
      </c>
      <c r="C2932" t="s">
        <v>10882</v>
      </c>
      <c r="D2932" t="s">
        <v>10883</v>
      </c>
      <c r="E2932" t="s">
        <v>10881</v>
      </c>
      <c r="F2932" t="s">
        <v>28</v>
      </c>
      <c r="G2932" t="s">
        <v>10881</v>
      </c>
      <c r="H2932" t="str">
        <f>"mcat-1"</f>
        <v>mcat-1</v>
      </c>
      <c r="I2932" t="s">
        <v>10883</v>
      </c>
      <c r="J2932">
        <v>12.151956740004101</v>
      </c>
      <c r="K2932">
        <v>12.8244223382948</v>
      </c>
      <c r="L2932">
        <v>12.7046380395568</v>
      </c>
      <c r="M2932">
        <v>12.6993855528598</v>
      </c>
      <c r="N2932">
        <v>13.1324895808399</v>
      </c>
      <c r="O2932">
        <v>12.8721400148588</v>
      </c>
      <c r="P2932">
        <v>0.34099934356759798</v>
      </c>
      <c r="Q2932">
        <v>-0.216521394833397</v>
      </c>
      <c r="R2932">
        <v>0.89852008196859301</v>
      </c>
      <c r="S2932">
        <v>12.917559111019999</v>
      </c>
      <c r="T2932">
        <v>1.29730486302627</v>
      </c>
      <c r="U2932">
        <v>-6.2084661570397301</v>
      </c>
      <c r="V2932">
        <v>0.21304041734533699</v>
      </c>
      <c r="W2932">
        <v>0.47974637926762997</v>
      </c>
      <c r="X2932">
        <v>0</v>
      </c>
      <c r="Y2932">
        <v>0</v>
      </c>
    </row>
    <row r="2933" spans="1:25" x14ac:dyDescent="0.2">
      <c r="A2933" t="s">
        <v>10884</v>
      </c>
      <c r="B2933" t="s">
        <v>10885</v>
      </c>
      <c r="C2933" t="s">
        <v>14587</v>
      </c>
      <c r="D2933" t="s">
        <v>10886</v>
      </c>
      <c r="E2933" t="s">
        <v>10885</v>
      </c>
      <c r="F2933" t="s">
        <v>28</v>
      </c>
      <c r="G2933" t="s">
        <v>10885</v>
      </c>
      <c r="H2933" t="str">
        <f>"R148.3"</f>
        <v>R148.3</v>
      </c>
      <c r="I2933" t="s">
        <v>10886</v>
      </c>
      <c r="J2933">
        <v>12.329380433047699</v>
      </c>
      <c r="K2933">
        <v>12.531802686243999</v>
      </c>
      <c r="L2933">
        <v>12.384094515056599</v>
      </c>
      <c r="M2933">
        <v>12.468653068022499</v>
      </c>
      <c r="N2933">
        <v>11.728808984897199</v>
      </c>
      <c r="O2933">
        <v>12.636403886444899</v>
      </c>
      <c r="P2933">
        <v>-0.13713723166123901</v>
      </c>
      <c r="Q2933">
        <v>-0.92090203156064299</v>
      </c>
      <c r="R2933">
        <v>0.64662756823816503</v>
      </c>
      <c r="S2933">
        <v>12.6331977848651</v>
      </c>
      <c r="T2933">
        <v>-0.36933429517483402</v>
      </c>
      <c r="U2933">
        <v>-6.9806661764235596</v>
      </c>
      <c r="V2933">
        <v>0.71646676838876699</v>
      </c>
      <c r="W2933">
        <v>0.87481533370996101</v>
      </c>
      <c r="X2933">
        <v>0</v>
      </c>
      <c r="Y2933">
        <v>0</v>
      </c>
    </row>
    <row r="2934" spans="1:25" x14ac:dyDescent="0.2">
      <c r="A2934" t="s">
        <v>10887</v>
      </c>
      <c r="B2934" t="s">
        <v>10888</v>
      </c>
      <c r="C2934" t="s">
        <v>10889</v>
      </c>
      <c r="D2934" t="s">
        <v>6796</v>
      </c>
      <c r="E2934" t="s">
        <v>10888</v>
      </c>
      <c r="F2934" t="s">
        <v>28</v>
      </c>
      <c r="G2934" t="s">
        <v>10888</v>
      </c>
      <c r="H2934" t="str">
        <f>"puf-11"</f>
        <v>puf-11</v>
      </c>
      <c r="I2934" t="s">
        <v>6796</v>
      </c>
      <c r="J2934">
        <v>10.805341128983301</v>
      </c>
      <c r="K2934">
        <v>11.171644529280099</v>
      </c>
      <c r="L2934">
        <v>11.871526536858299</v>
      </c>
      <c r="M2934" t="s">
        <v>29</v>
      </c>
      <c r="N2934">
        <v>11.5621026927746</v>
      </c>
      <c r="O2934">
        <v>9.4601021832428795</v>
      </c>
      <c r="P2934">
        <v>-0.77173496036515099</v>
      </c>
      <c r="Q2934">
        <v>-1.76509995512472</v>
      </c>
      <c r="R2934">
        <v>0.221630034394415</v>
      </c>
      <c r="S2934">
        <v>12.3418214407512</v>
      </c>
      <c r="T2934">
        <v>-1.6478165206262001</v>
      </c>
      <c r="U2934">
        <v>-5.6223836330677202</v>
      </c>
      <c r="V2934">
        <v>0.11901268182076399</v>
      </c>
      <c r="W2934">
        <v>0.35529107031629997</v>
      </c>
      <c r="X2934">
        <v>0</v>
      </c>
      <c r="Y2934">
        <v>0</v>
      </c>
    </row>
    <row r="2935" spans="1:25" x14ac:dyDescent="0.2">
      <c r="A2935" t="s">
        <v>10890</v>
      </c>
      <c r="B2935" t="s">
        <v>10891</v>
      </c>
      <c r="C2935" t="s">
        <v>10892</v>
      </c>
      <c r="D2935" t="s">
        <v>10893</v>
      </c>
      <c r="E2935" t="s">
        <v>10891</v>
      </c>
      <c r="F2935" t="s">
        <v>28</v>
      </c>
      <c r="G2935" t="s">
        <v>10891</v>
      </c>
      <c r="H2935" t="str">
        <f>"gap-2"</f>
        <v>gap-2</v>
      </c>
      <c r="I2935" t="s">
        <v>10893</v>
      </c>
      <c r="J2935" t="s">
        <v>29</v>
      </c>
      <c r="K2935" t="s">
        <v>29</v>
      </c>
      <c r="L2935" t="s">
        <v>29</v>
      </c>
      <c r="M2935" t="s">
        <v>29</v>
      </c>
      <c r="N2935" t="s">
        <v>29</v>
      </c>
      <c r="O2935" t="s">
        <v>29</v>
      </c>
      <c r="P2935" t="s">
        <v>29</v>
      </c>
      <c r="Q2935" t="s">
        <v>29</v>
      </c>
      <c r="R2935" t="s">
        <v>29</v>
      </c>
      <c r="S2935">
        <v>10.0564893135349</v>
      </c>
      <c r="T2935" t="s">
        <v>29</v>
      </c>
      <c r="U2935" t="s">
        <v>29</v>
      </c>
      <c r="V2935" t="s">
        <v>29</v>
      </c>
      <c r="W2935" t="s">
        <v>29</v>
      </c>
      <c r="X2935" t="s">
        <v>29</v>
      </c>
      <c r="Y2935" t="s">
        <v>29</v>
      </c>
    </row>
    <row r="2936" spans="1:25" x14ac:dyDescent="0.2">
      <c r="A2936" t="s">
        <v>10894</v>
      </c>
      <c r="B2936" t="s">
        <v>10895</v>
      </c>
      <c r="C2936" t="s">
        <v>14588</v>
      </c>
      <c r="D2936" t="s">
        <v>3688</v>
      </c>
      <c r="E2936" t="s">
        <v>10895</v>
      </c>
      <c r="F2936" t="s">
        <v>28</v>
      </c>
      <c r="G2936" t="s">
        <v>10895</v>
      </c>
      <c r="H2936" t="str">
        <f>"F28F5.6"</f>
        <v>F28F5.6</v>
      </c>
      <c r="I2936" t="s">
        <v>3688</v>
      </c>
      <c r="J2936">
        <v>10.781951998395201</v>
      </c>
      <c r="K2936">
        <v>11.0586007509759</v>
      </c>
      <c r="L2936">
        <v>11.331766237932399</v>
      </c>
      <c r="M2936" t="s">
        <v>29</v>
      </c>
      <c r="N2936">
        <v>11.474698379166799</v>
      </c>
      <c r="O2936">
        <v>11.4493340131755</v>
      </c>
      <c r="P2936">
        <v>0.40457653373663</v>
      </c>
      <c r="Q2936">
        <v>-0.114061708137269</v>
      </c>
      <c r="R2936">
        <v>0.92321477561053</v>
      </c>
      <c r="S2936">
        <v>11.4170949243252</v>
      </c>
      <c r="T2936">
        <v>1.66371050427778</v>
      </c>
      <c r="U2936">
        <v>-5.60035923059033</v>
      </c>
      <c r="V2936">
        <v>0.117061218595944</v>
      </c>
      <c r="W2936">
        <v>0.35242294377969002</v>
      </c>
      <c r="X2936">
        <v>0</v>
      </c>
      <c r="Y2936">
        <v>0</v>
      </c>
    </row>
    <row r="2937" spans="1:25" x14ac:dyDescent="0.2">
      <c r="A2937" t="s">
        <v>10896</v>
      </c>
      <c r="B2937" t="s">
        <v>10897</v>
      </c>
      <c r="C2937" t="s">
        <v>10898</v>
      </c>
      <c r="D2937" t="s">
        <v>1281</v>
      </c>
      <c r="E2937" t="s">
        <v>10897</v>
      </c>
      <c r="F2937" t="s">
        <v>28</v>
      </c>
      <c r="G2937" t="s">
        <v>10897</v>
      </c>
      <c r="H2937" t="str">
        <f>"lim-8"</f>
        <v>lim-8</v>
      </c>
      <c r="I2937" t="s">
        <v>1281</v>
      </c>
      <c r="J2937" t="s">
        <v>29</v>
      </c>
      <c r="K2937" t="s">
        <v>29</v>
      </c>
      <c r="L2937">
        <v>11.588326834924899</v>
      </c>
      <c r="M2937" t="s">
        <v>29</v>
      </c>
      <c r="N2937" t="s">
        <v>29</v>
      </c>
      <c r="O2937" t="s">
        <v>29</v>
      </c>
      <c r="P2937" t="s">
        <v>29</v>
      </c>
      <c r="Q2937" t="s">
        <v>29</v>
      </c>
      <c r="R2937" t="s">
        <v>29</v>
      </c>
      <c r="S2937">
        <v>11.0343830019943</v>
      </c>
      <c r="T2937" t="s">
        <v>29</v>
      </c>
      <c r="U2937" t="s">
        <v>29</v>
      </c>
      <c r="V2937" t="s">
        <v>29</v>
      </c>
      <c r="W2937" t="s">
        <v>29</v>
      </c>
      <c r="X2937" t="s">
        <v>29</v>
      </c>
      <c r="Y2937" t="s">
        <v>29</v>
      </c>
    </row>
    <row r="2938" spans="1:25" x14ac:dyDescent="0.2">
      <c r="A2938" t="s">
        <v>10899</v>
      </c>
      <c r="B2938" t="s">
        <v>10900</v>
      </c>
      <c r="C2938" t="s">
        <v>10901</v>
      </c>
      <c r="D2938" t="s">
        <v>10902</v>
      </c>
      <c r="E2938" t="s">
        <v>10900</v>
      </c>
      <c r="F2938" t="s">
        <v>28</v>
      </c>
      <c r="G2938" t="s">
        <v>10900</v>
      </c>
      <c r="H2938" t="str">
        <f>"spas-1"</f>
        <v>spas-1</v>
      </c>
      <c r="I2938" t="s">
        <v>10902</v>
      </c>
      <c r="J2938">
        <v>11.938860137841401</v>
      </c>
      <c r="K2938">
        <v>12.2310522993539</v>
      </c>
      <c r="L2938">
        <v>12.3558354396434</v>
      </c>
      <c r="M2938" t="s">
        <v>29</v>
      </c>
      <c r="N2938">
        <v>12.347442691786799</v>
      </c>
      <c r="O2938">
        <v>11.899176849979799</v>
      </c>
      <c r="P2938">
        <v>-5.1939521396322498E-2</v>
      </c>
      <c r="Q2938">
        <v>-0.50853332924184302</v>
      </c>
      <c r="R2938">
        <v>0.40465428644919799</v>
      </c>
      <c r="S2938">
        <v>12.2822400687553</v>
      </c>
      <c r="T2938">
        <v>-0.2426104658995</v>
      </c>
      <c r="U2938">
        <v>-6.9103756752601102</v>
      </c>
      <c r="V2938">
        <v>0.81161614696380102</v>
      </c>
      <c r="W2938">
        <v>0.91987238465779397</v>
      </c>
      <c r="X2938">
        <v>0</v>
      </c>
      <c r="Y2938">
        <v>0</v>
      </c>
    </row>
    <row r="2939" spans="1:25" x14ac:dyDescent="0.2">
      <c r="A2939" t="s">
        <v>10903</v>
      </c>
      <c r="B2939" t="s">
        <v>10904</v>
      </c>
      <c r="C2939" t="s">
        <v>10905</v>
      </c>
      <c r="D2939" t="s">
        <v>66</v>
      </c>
      <c r="E2939" t="s">
        <v>10904</v>
      </c>
      <c r="F2939" t="s">
        <v>28</v>
      </c>
      <c r="G2939" t="s">
        <v>10904</v>
      </c>
      <c r="H2939" t="str">
        <f>"obr-3"</f>
        <v>obr-3</v>
      </c>
      <c r="I2939" t="s">
        <v>66</v>
      </c>
      <c r="J2939">
        <v>13.4521904141754</v>
      </c>
      <c r="K2939">
        <v>13.4850377748513</v>
      </c>
      <c r="L2939">
        <v>13.067658603105</v>
      </c>
      <c r="M2939">
        <v>13.9201461965019</v>
      </c>
      <c r="N2939">
        <v>13.2921168160793</v>
      </c>
      <c r="O2939">
        <v>13.065857805057799</v>
      </c>
      <c r="P2939">
        <v>9.1078008502437399E-2</v>
      </c>
      <c r="Q2939">
        <v>-0.45239935272142101</v>
      </c>
      <c r="R2939">
        <v>0.634555369726295</v>
      </c>
      <c r="S2939">
        <v>12.7327707561517</v>
      </c>
      <c r="T2939">
        <v>0.35373829719032601</v>
      </c>
      <c r="U2939">
        <v>-6.9865487078116502</v>
      </c>
      <c r="V2939">
        <v>0.72791081048027995</v>
      </c>
      <c r="W2939">
        <v>0.88216825970310297</v>
      </c>
      <c r="X2939">
        <v>0</v>
      </c>
      <c r="Y2939">
        <v>0</v>
      </c>
    </row>
    <row r="2940" spans="1:25" x14ac:dyDescent="0.2">
      <c r="A2940" t="s">
        <v>10906</v>
      </c>
      <c r="B2940" t="s">
        <v>10907</v>
      </c>
      <c r="C2940" t="s">
        <v>10908</v>
      </c>
      <c r="D2940" t="s">
        <v>10561</v>
      </c>
      <c r="E2940" t="s">
        <v>10907</v>
      </c>
      <c r="F2940" t="s">
        <v>28</v>
      </c>
      <c r="G2940" t="s">
        <v>10907</v>
      </c>
      <c r="H2940" t="str">
        <f>"sek-3"</f>
        <v>sek-3</v>
      </c>
      <c r="I2940" t="s">
        <v>10561</v>
      </c>
      <c r="J2940">
        <v>10.967730796524799</v>
      </c>
      <c r="K2940">
        <v>11.5933380298119</v>
      </c>
      <c r="L2940">
        <v>11.500452669359801</v>
      </c>
      <c r="M2940" t="s">
        <v>29</v>
      </c>
      <c r="N2940">
        <v>12.705799836713</v>
      </c>
      <c r="O2940">
        <v>11.996903987263901</v>
      </c>
      <c r="P2940">
        <v>0.99751141342292704</v>
      </c>
      <c r="Q2940">
        <v>0.24151061149235101</v>
      </c>
      <c r="R2940">
        <v>1.7535122153535001</v>
      </c>
      <c r="S2940">
        <v>12.028039562862901</v>
      </c>
      <c r="T2940">
        <v>2.81408507744045</v>
      </c>
      <c r="U2940">
        <v>-3.5916182119881701</v>
      </c>
      <c r="V2940">
        <v>1.31518375234777E-2</v>
      </c>
      <c r="W2940">
        <v>0.10619374516475499</v>
      </c>
      <c r="X2940">
        <v>0</v>
      </c>
      <c r="Y2940">
        <v>0</v>
      </c>
    </row>
    <row r="2941" spans="1:25" x14ac:dyDescent="0.2">
      <c r="A2941" t="s">
        <v>10909</v>
      </c>
      <c r="B2941" t="s">
        <v>10910</v>
      </c>
      <c r="C2941" t="s">
        <v>14589</v>
      </c>
      <c r="D2941" t="s">
        <v>323</v>
      </c>
      <c r="E2941" t="s">
        <v>10910</v>
      </c>
      <c r="F2941" t="s">
        <v>28</v>
      </c>
      <c r="G2941" t="s">
        <v>10910</v>
      </c>
      <c r="H2941" t="str">
        <f>"ZK354.2"</f>
        <v>ZK354.2</v>
      </c>
      <c r="I2941" t="s">
        <v>323</v>
      </c>
      <c r="J2941">
        <v>13.341904221539901</v>
      </c>
      <c r="K2941">
        <v>12.725250124681301</v>
      </c>
      <c r="L2941">
        <v>13.6668928005714</v>
      </c>
      <c r="M2941">
        <v>12.402803391018701</v>
      </c>
      <c r="N2941">
        <v>13.820233254161399</v>
      </c>
      <c r="O2941">
        <v>12.8286894140229</v>
      </c>
      <c r="P2941">
        <v>-0.22744036252984901</v>
      </c>
      <c r="Q2941">
        <v>-1.2965814118677099</v>
      </c>
      <c r="R2941">
        <v>0.84170068680801302</v>
      </c>
      <c r="S2941">
        <v>12.926416902224201</v>
      </c>
      <c r="T2941">
        <v>-0.44903743414997199</v>
      </c>
      <c r="U2941">
        <v>-6.9467182002495598</v>
      </c>
      <c r="V2941">
        <v>0.65911116854886798</v>
      </c>
      <c r="W2941">
        <v>0.84643062778646405</v>
      </c>
      <c r="X2941">
        <v>0</v>
      </c>
      <c r="Y2941">
        <v>0</v>
      </c>
    </row>
    <row r="2942" spans="1:25" x14ac:dyDescent="0.2">
      <c r="A2942" t="s">
        <v>10911</v>
      </c>
      <c r="B2942" t="s">
        <v>10912</v>
      </c>
      <c r="C2942" t="s">
        <v>10913</v>
      </c>
      <c r="D2942" t="s">
        <v>10914</v>
      </c>
      <c r="E2942" t="s">
        <v>10912</v>
      </c>
      <c r="F2942" t="s">
        <v>28</v>
      </c>
      <c r="G2942" t="s">
        <v>10912</v>
      </c>
      <c r="H2942" t="str">
        <f>"del-6"</f>
        <v>del-6</v>
      </c>
      <c r="I2942" t="s">
        <v>10914</v>
      </c>
      <c r="J2942" t="s">
        <v>29</v>
      </c>
      <c r="K2942" t="s">
        <v>29</v>
      </c>
      <c r="L2942" t="s">
        <v>29</v>
      </c>
      <c r="M2942" t="s">
        <v>29</v>
      </c>
      <c r="N2942" t="s">
        <v>29</v>
      </c>
      <c r="O2942">
        <v>12.539577414557501</v>
      </c>
      <c r="P2942" t="s">
        <v>29</v>
      </c>
      <c r="Q2942" t="s">
        <v>29</v>
      </c>
      <c r="R2942" t="s">
        <v>29</v>
      </c>
      <c r="S2942">
        <v>13.077841514385099</v>
      </c>
      <c r="T2942" t="s">
        <v>29</v>
      </c>
      <c r="U2942" t="s">
        <v>29</v>
      </c>
      <c r="V2942" t="s">
        <v>29</v>
      </c>
      <c r="W2942" t="s">
        <v>29</v>
      </c>
      <c r="X2942" t="s">
        <v>29</v>
      </c>
      <c r="Y2942" t="s">
        <v>29</v>
      </c>
    </row>
    <row r="2943" spans="1:25" x14ac:dyDescent="0.2">
      <c r="A2943" t="s">
        <v>10915</v>
      </c>
      <c r="B2943" t="s">
        <v>10916</v>
      </c>
      <c r="C2943" t="s">
        <v>10917</v>
      </c>
      <c r="D2943" t="s">
        <v>1174</v>
      </c>
      <c r="E2943" t="s">
        <v>10916</v>
      </c>
      <c r="F2943" t="s">
        <v>28</v>
      </c>
      <c r="G2943" t="s">
        <v>10916</v>
      </c>
      <c r="H2943" t="str">
        <f>"zen-4"</f>
        <v>zen-4</v>
      </c>
      <c r="I2943" t="s">
        <v>1174</v>
      </c>
      <c r="J2943">
        <v>13.4952794046549</v>
      </c>
      <c r="K2943">
        <v>12.9363014342263</v>
      </c>
      <c r="L2943">
        <v>13.984485503062301</v>
      </c>
      <c r="M2943">
        <v>13.908867781560399</v>
      </c>
      <c r="N2943">
        <v>13.690497429157199</v>
      </c>
      <c r="O2943">
        <v>14.1193369791983</v>
      </c>
      <c r="P2943">
        <v>0.43421194932412499</v>
      </c>
      <c r="Q2943">
        <v>-0.15422851486039599</v>
      </c>
      <c r="R2943">
        <v>1.0226524135086501</v>
      </c>
      <c r="S2943">
        <v>14.0424397348923</v>
      </c>
      <c r="T2943">
        <v>1.55757602839911</v>
      </c>
      <c r="U2943">
        <v>-5.8609669862194496</v>
      </c>
      <c r="V2943">
        <v>0.13786724440314099</v>
      </c>
      <c r="W2943">
        <v>0.38382076549920502</v>
      </c>
      <c r="X2943">
        <v>0</v>
      </c>
      <c r="Y2943">
        <v>0</v>
      </c>
    </row>
    <row r="2944" spans="1:25" x14ac:dyDescent="0.2">
      <c r="A2944" t="s">
        <v>10918</v>
      </c>
      <c r="B2944" t="s">
        <v>10919</v>
      </c>
      <c r="C2944" t="s">
        <v>14590</v>
      </c>
      <c r="D2944" t="s">
        <v>130</v>
      </c>
      <c r="E2944" t="s">
        <v>10919</v>
      </c>
      <c r="F2944" t="s">
        <v>28</v>
      </c>
      <c r="G2944" t="s">
        <v>10919</v>
      </c>
      <c r="H2944" t="str">
        <f>"F54D8.6"</f>
        <v>F54D8.6</v>
      </c>
      <c r="I2944" t="s">
        <v>130</v>
      </c>
      <c r="J2944" t="s">
        <v>29</v>
      </c>
      <c r="K2944" t="s">
        <v>29</v>
      </c>
      <c r="L2944">
        <v>13.578791959785899</v>
      </c>
      <c r="M2944" t="s">
        <v>29</v>
      </c>
      <c r="N2944">
        <v>12.430768683328701</v>
      </c>
      <c r="O2944">
        <v>11.5442164974062</v>
      </c>
      <c r="P2944">
        <v>-1.5912993694184201</v>
      </c>
      <c r="Q2944">
        <v>-2.6648189407433698</v>
      </c>
      <c r="R2944">
        <v>-0.51777979809346597</v>
      </c>
      <c r="S2944">
        <v>12.030268123516899</v>
      </c>
      <c r="T2944">
        <v>-3.2664018849511698</v>
      </c>
      <c r="U2944">
        <v>-2.6851990185251799</v>
      </c>
      <c r="V2944">
        <v>7.6039598028321996E-3</v>
      </c>
      <c r="W2944">
        <v>7.1928154646557996E-2</v>
      </c>
      <c r="X2944">
        <v>-1</v>
      </c>
      <c r="Y2944">
        <v>0</v>
      </c>
    </row>
    <row r="2945" spans="1:25" x14ac:dyDescent="0.2">
      <c r="A2945" t="s">
        <v>10920</v>
      </c>
      <c r="B2945" t="s">
        <v>10921</v>
      </c>
      <c r="C2945" t="s">
        <v>10922</v>
      </c>
      <c r="D2945" t="s">
        <v>10923</v>
      </c>
      <c r="E2945" t="s">
        <v>10921</v>
      </c>
      <c r="F2945" t="s">
        <v>28</v>
      </c>
      <c r="G2945" t="s">
        <v>10921</v>
      </c>
      <c r="H2945" t="str">
        <f>"hpk-1"</f>
        <v>hpk-1</v>
      </c>
      <c r="I2945" t="s">
        <v>10923</v>
      </c>
      <c r="J2945">
        <v>11.0444101428218</v>
      </c>
      <c r="K2945">
        <v>11.7762427232416</v>
      </c>
      <c r="L2945">
        <v>11.6352939063314</v>
      </c>
      <c r="M2945">
        <v>11.738209587669299</v>
      </c>
      <c r="N2945">
        <v>11.8425831169081</v>
      </c>
      <c r="O2945">
        <v>11.6499808369632</v>
      </c>
      <c r="P2945">
        <v>0.25827558971529102</v>
      </c>
      <c r="Q2945">
        <v>-0.25409540064222103</v>
      </c>
      <c r="R2945">
        <v>0.77064658007280396</v>
      </c>
      <c r="S2945">
        <v>11.9510175475243</v>
      </c>
      <c r="T2945">
        <v>1.0640176748972201</v>
      </c>
      <c r="U2945">
        <v>-6.4761506335588601</v>
      </c>
      <c r="V2945">
        <v>0.30229243986523702</v>
      </c>
      <c r="W2945">
        <v>0.58170289729241997</v>
      </c>
      <c r="X2945">
        <v>0</v>
      </c>
      <c r="Y2945">
        <v>0</v>
      </c>
    </row>
    <row r="2946" spans="1:25" x14ac:dyDescent="0.2">
      <c r="A2946" t="s">
        <v>10924</v>
      </c>
      <c r="B2946" t="s">
        <v>10925</v>
      </c>
      <c r="C2946" t="s">
        <v>10926</v>
      </c>
      <c r="D2946" t="s">
        <v>10927</v>
      </c>
      <c r="E2946" t="s">
        <v>10925</v>
      </c>
      <c r="F2946" t="s">
        <v>28</v>
      </c>
      <c r="G2946" t="s">
        <v>10925</v>
      </c>
      <c r="H2946" t="str">
        <f>"C51E3.9"</f>
        <v>C51E3.9</v>
      </c>
      <c r="I2946" t="s">
        <v>10927</v>
      </c>
      <c r="J2946">
        <v>13.3504452141482</v>
      </c>
      <c r="K2946">
        <v>13.1526290195666</v>
      </c>
      <c r="L2946">
        <v>13.095486755639801</v>
      </c>
      <c r="M2946">
        <v>12.464118864067499</v>
      </c>
      <c r="N2946">
        <v>13.118215259992899</v>
      </c>
      <c r="O2946">
        <v>12.693030803643699</v>
      </c>
      <c r="P2946">
        <v>-0.44106535388347701</v>
      </c>
      <c r="Q2946">
        <v>-0.87670123685273105</v>
      </c>
      <c r="R2946">
        <v>-5.4294709142237996E-3</v>
      </c>
      <c r="S2946">
        <v>12.7871924915982</v>
      </c>
      <c r="T2946">
        <v>-2.1371219897475999</v>
      </c>
      <c r="U2946">
        <v>-4.92887556352128</v>
      </c>
      <c r="V2946">
        <v>4.75111955096542E-2</v>
      </c>
      <c r="W2946">
        <v>0.21624114188516</v>
      </c>
      <c r="X2946">
        <v>0</v>
      </c>
      <c r="Y2946">
        <v>0</v>
      </c>
    </row>
    <row r="2947" spans="1:25" x14ac:dyDescent="0.2">
      <c r="A2947" t="s">
        <v>10928</v>
      </c>
      <c r="B2947" t="s">
        <v>10929</v>
      </c>
      <c r="C2947" t="s">
        <v>10930</v>
      </c>
      <c r="D2947" t="s">
        <v>10931</v>
      </c>
      <c r="E2947" t="s">
        <v>10929</v>
      </c>
      <c r="F2947" t="s">
        <v>28</v>
      </c>
      <c r="G2947" t="s">
        <v>10929</v>
      </c>
      <c r="H2947" t="str">
        <f>"egl-19"</f>
        <v>egl-19</v>
      </c>
      <c r="I2947" t="s">
        <v>10931</v>
      </c>
      <c r="J2947" t="s">
        <v>29</v>
      </c>
      <c r="K2947" t="s">
        <v>29</v>
      </c>
      <c r="L2947" t="s">
        <v>29</v>
      </c>
      <c r="M2947" t="s">
        <v>29</v>
      </c>
      <c r="N2947" t="s">
        <v>29</v>
      </c>
      <c r="O2947" t="s">
        <v>29</v>
      </c>
      <c r="P2947" t="s">
        <v>29</v>
      </c>
      <c r="Q2947" t="s">
        <v>29</v>
      </c>
      <c r="R2947" t="s">
        <v>29</v>
      </c>
      <c r="S2947">
        <v>11.153301583649601</v>
      </c>
      <c r="T2947" t="s">
        <v>29</v>
      </c>
      <c r="U2947" t="s">
        <v>29</v>
      </c>
      <c r="V2947" t="s">
        <v>29</v>
      </c>
      <c r="W2947" t="s">
        <v>29</v>
      </c>
      <c r="X2947" t="s">
        <v>29</v>
      </c>
      <c r="Y2947" t="s">
        <v>29</v>
      </c>
    </row>
    <row r="2948" spans="1:25" x14ac:dyDescent="0.2">
      <c r="A2948" t="s">
        <v>10932</v>
      </c>
      <c r="B2948" t="s">
        <v>10933</v>
      </c>
      <c r="C2948" t="s">
        <v>10934</v>
      </c>
      <c r="D2948" t="s">
        <v>581</v>
      </c>
      <c r="E2948" t="s">
        <v>10933</v>
      </c>
      <c r="F2948" t="s">
        <v>28</v>
      </c>
      <c r="G2948" t="s">
        <v>10933</v>
      </c>
      <c r="H2948" t="str">
        <f>"rmd-2"</f>
        <v>rmd-2</v>
      </c>
      <c r="I2948" t="s">
        <v>581</v>
      </c>
      <c r="J2948">
        <v>13.367897796396401</v>
      </c>
      <c r="K2948">
        <v>13.3963096356441</v>
      </c>
      <c r="L2948">
        <v>13.563860727474401</v>
      </c>
      <c r="M2948">
        <v>13.305787787865601</v>
      </c>
      <c r="N2948">
        <v>13.490811961046701</v>
      </c>
      <c r="O2948">
        <v>14.201217994842301</v>
      </c>
      <c r="P2948">
        <v>0.22324986141321901</v>
      </c>
      <c r="Q2948">
        <v>-0.35150647193001799</v>
      </c>
      <c r="R2948">
        <v>0.79800619475645596</v>
      </c>
      <c r="S2948">
        <v>13.443538798358301</v>
      </c>
      <c r="T2948">
        <v>0.81639426566059303</v>
      </c>
      <c r="U2948">
        <v>-6.7091922704675104</v>
      </c>
      <c r="V2948">
        <v>0.42500961266265502</v>
      </c>
      <c r="W2948">
        <v>0.69633750496314994</v>
      </c>
      <c r="X2948">
        <v>0</v>
      </c>
      <c r="Y2948">
        <v>0</v>
      </c>
    </row>
    <row r="2949" spans="1:25" x14ac:dyDescent="0.2">
      <c r="A2949" t="s">
        <v>10935</v>
      </c>
      <c r="B2949" t="s">
        <v>10936</v>
      </c>
      <c r="C2949" t="s">
        <v>10937</v>
      </c>
      <c r="D2949" t="s">
        <v>603</v>
      </c>
      <c r="E2949" t="s">
        <v>10936</v>
      </c>
      <c r="F2949" t="s">
        <v>28</v>
      </c>
      <c r="G2949" t="s">
        <v>10936</v>
      </c>
      <c r="H2949" t="str">
        <f>"mek-5"</f>
        <v>mek-5</v>
      </c>
      <c r="I2949" t="s">
        <v>603</v>
      </c>
      <c r="J2949">
        <v>17.039049400104901</v>
      </c>
      <c r="K2949">
        <v>17.276431264122799</v>
      </c>
      <c r="L2949">
        <v>17.134145942029001</v>
      </c>
      <c r="M2949">
        <v>17.348702425161001</v>
      </c>
      <c r="N2949">
        <v>17.165477861511899</v>
      </c>
      <c r="O2949">
        <v>17.2402255654263</v>
      </c>
      <c r="P2949">
        <v>0.101593081947527</v>
      </c>
      <c r="Q2949">
        <v>-0.244540696463594</v>
      </c>
      <c r="R2949">
        <v>0.447726860358649</v>
      </c>
      <c r="S2949">
        <v>16.817040102555399</v>
      </c>
      <c r="T2949">
        <v>0.61689701006535502</v>
      </c>
      <c r="U2949">
        <v>-6.8547541738733999</v>
      </c>
      <c r="V2949">
        <v>0.54507220379237098</v>
      </c>
      <c r="W2949">
        <v>0.77792322418437498</v>
      </c>
      <c r="X2949">
        <v>0</v>
      </c>
      <c r="Y2949">
        <v>0</v>
      </c>
    </row>
    <row r="2950" spans="1:25" x14ac:dyDescent="0.2">
      <c r="A2950" t="s">
        <v>10938</v>
      </c>
      <c r="B2950" t="s">
        <v>10939</v>
      </c>
      <c r="C2950" t="s">
        <v>14591</v>
      </c>
      <c r="D2950" t="s">
        <v>1358</v>
      </c>
      <c r="E2950" t="s">
        <v>10939</v>
      </c>
      <c r="F2950" t="s">
        <v>28</v>
      </c>
      <c r="G2950" t="s">
        <v>10939</v>
      </c>
      <c r="H2950" t="str">
        <f>"F56F11.4"</f>
        <v>F56F11.4</v>
      </c>
      <c r="I2950" t="s">
        <v>1358</v>
      </c>
      <c r="J2950">
        <v>16.534087796103499</v>
      </c>
      <c r="K2950">
        <v>16.388517132530101</v>
      </c>
      <c r="L2950">
        <v>16.420399138101502</v>
      </c>
      <c r="M2950">
        <v>16.2805239569138</v>
      </c>
      <c r="N2950">
        <v>16.626227027232002</v>
      </c>
      <c r="O2950">
        <v>16.4788603038124</v>
      </c>
      <c r="P2950">
        <v>1.42024070743751E-2</v>
      </c>
      <c r="Q2950">
        <v>-0.40316376053848202</v>
      </c>
      <c r="R2950">
        <v>0.43156857468723298</v>
      </c>
      <c r="S2950">
        <v>16.338769853697499</v>
      </c>
      <c r="T2950">
        <v>7.1521601082132499E-2</v>
      </c>
      <c r="U2950">
        <v>-7.0494060645426204</v>
      </c>
      <c r="V2950">
        <v>0.94377591187162901</v>
      </c>
      <c r="W2950">
        <v>0.97576384643441005</v>
      </c>
      <c r="X2950">
        <v>0</v>
      </c>
      <c r="Y2950">
        <v>0</v>
      </c>
    </row>
    <row r="2951" spans="1:25" x14ac:dyDescent="0.2">
      <c r="A2951" t="s">
        <v>10940</v>
      </c>
      <c r="B2951" t="s">
        <v>10941</v>
      </c>
      <c r="C2951" t="s">
        <v>10942</v>
      </c>
      <c r="D2951" t="s">
        <v>10943</v>
      </c>
      <c r="E2951" t="s">
        <v>10941</v>
      </c>
      <c r="F2951" t="s">
        <v>28</v>
      </c>
      <c r="G2951" t="s">
        <v>10941</v>
      </c>
      <c r="H2951" t="str">
        <f>"ucr-11"</f>
        <v>ucr-11</v>
      </c>
      <c r="I2951" t="s">
        <v>10943</v>
      </c>
      <c r="J2951">
        <v>17.617829945089099</v>
      </c>
      <c r="K2951">
        <v>17.5790679294727</v>
      </c>
      <c r="L2951">
        <v>17.464243617637301</v>
      </c>
      <c r="M2951">
        <v>17.625195687399501</v>
      </c>
      <c r="N2951">
        <v>17.662006766141001</v>
      </c>
      <c r="O2951">
        <v>17.435289586066499</v>
      </c>
      <c r="P2951">
        <v>2.04501824693075E-2</v>
      </c>
      <c r="Q2951">
        <v>-0.39198420512656501</v>
      </c>
      <c r="R2951">
        <v>0.43288457006518</v>
      </c>
      <c r="S2951">
        <v>17.130124119323099</v>
      </c>
      <c r="T2951">
        <v>0.104216103682738</v>
      </c>
      <c r="U2951">
        <v>-7.0463963276844996</v>
      </c>
      <c r="V2951">
        <v>0.91815700552609902</v>
      </c>
      <c r="W2951">
        <v>0.97097266687745498</v>
      </c>
      <c r="X2951">
        <v>0</v>
      </c>
      <c r="Y2951">
        <v>0</v>
      </c>
    </row>
    <row r="2952" spans="1:25" x14ac:dyDescent="0.2">
      <c r="A2952" t="s">
        <v>10944</v>
      </c>
      <c r="B2952" t="s">
        <v>10945</v>
      </c>
      <c r="C2952" t="s">
        <v>10946</v>
      </c>
      <c r="D2952" t="s">
        <v>10947</v>
      </c>
      <c r="E2952" t="s">
        <v>10945</v>
      </c>
      <c r="F2952" t="s">
        <v>28</v>
      </c>
      <c r="G2952" t="s">
        <v>10945</v>
      </c>
      <c r="H2952" t="str">
        <f>"C08F1.10"</f>
        <v>C08F1.10</v>
      </c>
      <c r="I2952" t="s">
        <v>10947</v>
      </c>
      <c r="J2952" t="s">
        <v>29</v>
      </c>
      <c r="K2952" t="s">
        <v>29</v>
      </c>
      <c r="L2952" t="s">
        <v>29</v>
      </c>
      <c r="M2952" t="s">
        <v>29</v>
      </c>
      <c r="N2952" t="s">
        <v>29</v>
      </c>
      <c r="O2952" t="s">
        <v>29</v>
      </c>
      <c r="P2952" t="s">
        <v>29</v>
      </c>
      <c r="Q2952" t="s">
        <v>29</v>
      </c>
      <c r="R2952" t="s">
        <v>29</v>
      </c>
      <c r="S2952">
        <v>11.6453397634311</v>
      </c>
      <c r="T2952" t="s">
        <v>29</v>
      </c>
      <c r="U2952" t="s">
        <v>29</v>
      </c>
      <c r="V2952" t="s">
        <v>29</v>
      </c>
      <c r="W2952" t="s">
        <v>29</v>
      </c>
      <c r="X2952" t="s">
        <v>29</v>
      </c>
      <c r="Y2952" t="s">
        <v>29</v>
      </c>
    </row>
    <row r="2953" spans="1:25" x14ac:dyDescent="0.2">
      <c r="A2953" t="s">
        <v>10948</v>
      </c>
      <c r="B2953" t="s">
        <v>10949</v>
      </c>
      <c r="C2953" t="s">
        <v>10950</v>
      </c>
      <c r="D2953" t="s">
        <v>10951</v>
      </c>
      <c r="E2953" t="s">
        <v>10949</v>
      </c>
      <c r="F2953" t="s">
        <v>28</v>
      </c>
      <c r="G2953" t="s">
        <v>10949</v>
      </c>
      <c r="H2953" t="str">
        <f>"Y92H12BL.1"</f>
        <v>Y92H12BL.1</v>
      </c>
      <c r="I2953" t="s">
        <v>10951</v>
      </c>
      <c r="J2953">
        <v>13.5630934585256</v>
      </c>
      <c r="K2953">
        <v>13.5373630017748</v>
      </c>
      <c r="L2953">
        <v>13.730141305698099</v>
      </c>
      <c r="M2953">
        <v>13.4563856496457</v>
      </c>
      <c r="N2953">
        <v>13.8286772056251</v>
      </c>
      <c r="O2953">
        <v>13.5025854578441</v>
      </c>
      <c r="P2953">
        <v>-1.431648429452E-2</v>
      </c>
      <c r="Q2953">
        <v>-0.44151314870282599</v>
      </c>
      <c r="R2953">
        <v>0.41288018011378602</v>
      </c>
      <c r="S2953">
        <v>13.5677879918382</v>
      </c>
      <c r="T2953">
        <v>-7.0437030938683601E-2</v>
      </c>
      <c r="U2953">
        <v>-7.04948672865837</v>
      </c>
      <c r="V2953">
        <v>0.944627008007626</v>
      </c>
      <c r="W2953">
        <v>0.97576384643441005</v>
      </c>
      <c r="X2953">
        <v>0</v>
      </c>
      <c r="Y2953">
        <v>0</v>
      </c>
    </row>
    <row r="2954" spans="1:25" x14ac:dyDescent="0.2">
      <c r="A2954" t="s">
        <v>10952</v>
      </c>
      <c r="B2954" t="s">
        <v>10953</v>
      </c>
      <c r="C2954" t="s">
        <v>10954</v>
      </c>
      <c r="D2954" t="s">
        <v>93</v>
      </c>
      <c r="E2954" t="s">
        <v>10953</v>
      </c>
      <c r="F2954" t="s">
        <v>28</v>
      </c>
      <c r="G2954" t="s">
        <v>10953</v>
      </c>
      <c r="H2954" t="str">
        <f>"hrpf-2"</f>
        <v>hrpf-2</v>
      </c>
      <c r="I2954" t="s">
        <v>93</v>
      </c>
      <c r="J2954">
        <v>14.152154102298001</v>
      </c>
      <c r="K2954">
        <v>14.4620727042951</v>
      </c>
      <c r="L2954">
        <v>14.763005359188099</v>
      </c>
      <c r="M2954">
        <v>14.007921574842999</v>
      </c>
      <c r="N2954">
        <v>13.375349717523701</v>
      </c>
      <c r="O2954">
        <v>14.2931428231343</v>
      </c>
      <c r="P2954">
        <v>-0.56693935009334795</v>
      </c>
      <c r="Q2954">
        <v>-1.2192797861818101</v>
      </c>
      <c r="R2954">
        <v>8.5401085995119405E-2</v>
      </c>
      <c r="S2954">
        <v>14.7720049076396</v>
      </c>
      <c r="T2954">
        <v>-1.8266477870362701</v>
      </c>
      <c r="U2954">
        <v>-5.4497622964032804</v>
      </c>
      <c r="V2954">
        <v>8.4482399069492203E-2</v>
      </c>
      <c r="W2954">
        <v>0.29751702009970499</v>
      </c>
      <c r="X2954">
        <v>0</v>
      </c>
      <c r="Y2954">
        <v>0</v>
      </c>
    </row>
    <row r="2955" spans="1:25" x14ac:dyDescent="0.2">
      <c r="A2955" t="s">
        <v>10955</v>
      </c>
      <c r="B2955" t="s">
        <v>10956</v>
      </c>
      <c r="C2955" t="s">
        <v>10957</v>
      </c>
      <c r="D2955" t="s">
        <v>10958</v>
      </c>
      <c r="E2955" t="s">
        <v>10956</v>
      </c>
      <c r="F2955" t="s">
        <v>28</v>
      </c>
      <c r="G2955" t="s">
        <v>10956</v>
      </c>
      <c r="H2955" t="str">
        <f>"rab-18"</f>
        <v>rab-18</v>
      </c>
      <c r="I2955" t="s">
        <v>10958</v>
      </c>
      <c r="J2955">
        <v>15.635841748163999</v>
      </c>
      <c r="K2955">
        <v>15.644376284579099</v>
      </c>
      <c r="L2955">
        <v>15.546540535518</v>
      </c>
      <c r="M2955">
        <v>15.685453265427499</v>
      </c>
      <c r="N2955">
        <v>15.721406039635999</v>
      </c>
      <c r="O2955">
        <v>15.4245688960007</v>
      </c>
      <c r="P2955">
        <v>1.55654426767704E-3</v>
      </c>
      <c r="Q2955">
        <v>-0.36220341400463402</v>
      </c>
      <c r="R2955">
        <v>0.36531650253998799</v>
      </c>
      <c r="S2955">
        <v>15.272165614420199</v>
      </c>
      <c r="T2955">
        <v>8.9937145236463796E-3</v>
      </c>
      <c r="U2955">
        <v>-7.0520440525915404</v>
      </c>
      <c r="V2955">
        <v>0.99292365683320605</v>
      </c>
      <c r="W2955">
        <v>0.99629157549653202</v>
      </c>
      <c r="X2955">
        <v>0</v>
      </c>
      <c r="Y2955">
        <v>0</v>
      </c>
    </row>
    <row r="2956" spans="1:25" x14ac:dyDescent="0.2">
      <c r="A2956" t="s">
        <v>10959</v>
      </c>
      <c r="B2956" t="s">
        <v>10960</v>
      </c>
      <c r="C2956" t="s">
        <v>14592</v>
      </c>
      <c r="D2956" t="s">
        <v>130</v>
      </c>
      <c r="E2956" t="s">
        <v>10960</v>
      </c>
      <c r="F2956" t="s">
        <v>28</v>
      </c>
      <c r="G2956" t="s">
        <v>10960</v>
      </c>
      <c r="H2956" t="str">
        <f>"Y61A9LA.3"</f>
        <v>Y61A9LA.3</v>
      </c>
      <c r="I2956" t="s">
        <v>130</v>
      </c>
      <c r="J2956" t="s">
        <v>29</v>
      </c>
      <c r="K2956" t="s">
        <v>29</v>
      </c>
      <c r="L2956" t="s">
        <v>29</v>
      </c>
      <c r="M2956" t="s">
        <v>29</v>
      </c>
      <c r="N2956" t="s">
        <v>29</v>
      </c>
      <c r="O2956" t="s">
        <v>29</v>
      </c>
      <c r="P2956" t="s">
        <v>29</v>
      </c>
      <c r="Q2956" t="s">
        <v>29</v>
      </c>
      <c r="R2956" t="s">
        <v>29</v>
      </c>
      <c r="S2956">
        <v>12.3769532645155</v>
      </c>
      <c r="T2956" t="s">
        <v>29</v>
      </c>
      <c r="U2956" t="s">
        <v>29</v>
      </c>
      <c r="V2956" t="s">
        <v>29</v>
      </c>
      <c r="W2956" t="s">
        <v>29</v>
      </c>
      <c r="X2956" t="s">
        <v>29</v>
      </c>
      <c r="Y2956" t="s">
        <v>29</v>
      </c>
    </row>
    <row r="2957" spans="1:25" x14ac:dyDescent="0.2">
      <c r="A2957" t="s">
        <v>10961</v>
      </c>
      <c r="B2957" t="s">
        <v>10962</v>
      </c>
      <c r="C2957" t="s">
        <v>14593</v>
      </c>
      <c r="D2957" t="s">
        <v>3246</v>
      </c>
      <c r="E2957" t="s">
        <v>10962</v>
      </c>
      <c r="F2957" t="s">
        <v>28</v>
      </c>
      <c r="G2957" t="s">
        <v>10962</v>
      </c>
      <c r="H2957" t="str">
        <f>"Y47G6A.22"</f>
        <v>Y47G6A.22</v>
      </c>
      <c r="I2957" t="s">
        <v>3246</v>
      </c>
      <c r="J2957">
        <v>14.1319483288879</v>
      </c>
      <c r="K2957">
        <v>14.0254215327691</v>
      </c>
      <c r="L2957">
        <v>14.1811733341824</v>
      </c>
      <c r="M2957">
        <v>14.0100517791047</v>
      </c>
      <c r="N2957">
        <v>14.437450421018699</v>
      </c>
      <c r="O2957">
        <v>14.0628723853695</v>
      </c>
      <c r="P2957">
        <v>5.7277129884532499E-2</v>
      </c>
      <c r="Q2957">
        <v>-0.38895550074580498</v>
      </c>
      <c r="R2957">
        <v>0.50350976051486995</v>
      </c>
      <c r="S2957">
        <v>13.590583829891701</v>
      </c>
      <c r="T2957">
        <v>0.27093800962386699</v>
      </c>
      <c r="U2957">
        <v>-7.0135799858740002</v>
      </c>
      <c r="V2957">
        <v>0.78972105161421902</v>
      </c>
      <c r="W2957">
        <v>0.91417726857085302</v>
      </c>
      <c r="X2957">
        <v>0</v>
      </c>
      <c r="Y2957">
        <v>0</v>
      </c>
    </row>
    <row r="2958" spans="1:25" x14ac:dyDescent="0.2">
      <c r="A2958" t="s">
        <v>10963</v>
      </c>
      <c r="B2958" t="s">
        <v>10964</v>
      </c>
      <c r="C2958" t="s">
        <v>10965</v>
      </c>
      <c r="D2958" t="s">
        <v>1128</v>
      </c>
      <c r="E2958" t="s">
        <v>10964</v>
      </c>
      <c r="F2958" t="s">
        <v>28</v>
      </c>
      <c r="G2958" t="s">
        <v>10964</v>
      </c>
      <c r="H2958" t="str">
        <f>"prdx-6"</f>
        <v>prdx-6</v>
      </c>
      <c r="I2958" t="s">
        <v>1128</v>
      </c>
      <c r="J2958">
        <v>14.2209200726614</v>
      </c>
      <c r="K2958">
        <v>14.086794511387</v>
      </c>
      <c r="L2958">
        <v>14.465268819252101</v>
      </c>
      <c r="M2958">
        <v>13.928429878162101</v>
      </c>
      <c r="N2958">
        <v>14.6059834357123</v>
      </c>
      <c r="O2958">
        <v>14.036044038960499</v>
      </c>
      <c r="P2958">
        <v>-6.7508683488513896E-2</v>
      </c>
      <c r="Q2958">
        <v>-0.57964083088809404</v>
      </c>
      <c r="R2958">
        <v>0.444623463911066</v>
      </c>
      <c r="S2958">
        <v>13.9421372045891</v>
      </c>
      <c r="T2958">
        <v>-0.27824515690064899</v>
      </c>
      <c r="U2958">
        <v>-7.0114797938743303</v>
      </c>
      <c r="V2958">
        <v>0.78420077496607499</v>
      </c>
      <c r="W2958">
        <v>0.91120060174744399</v>
      </c>
      <c r="X2958">
        <v>0</v>
      </c>
      <c r="Y2958">
        <v>0</v>
      </c>
    </row>
    <row r="2959" spans="1:25" x14ac:dyDescent="0.2">
      <c r="A2959" t="s">
        <v>10966</v>
      </c>
      <c r="B2959" t="s">
        <v>10967</v>
      </c>
      <c r="C2959" t="s">
        <v>10968</v>
      </c>
      <c r="D2959" t="s">
        <v>3312</v>
      </c>
      <c r="E2959" t="s">
        <v>10967</v>
      </c>
      <c r="F2959" t="s">
        <v>28</v>
      </c>
      <c r="G2959" t="s">
        <v>10967</v>
      </c>
      <c r="H2959" t="str">
        <f>"col-106"</f>
        <v>col-106</v>
      </c>
      <c r="I2959" t="s">
        <v>3312</v>
      </c>
      <c r="J2959">
        <v>13.322417622689199</v>
      </c>
      <c r="K2959">
        <v>13.6251089292244</v>
      </c>
      <c r="L2959">
        <v>13.9385335507307</v>
      </c>
      <c r="M2959">
        <v>12.547575655131901</v>
      </c>
      <c r="N2959">
        <v>10.5967094531123</v>
      </c>
      <c r="O2959" t="s">
        <v>29</v>
      </c>
      <c r="P2959">
        <v>-2.05654414675932</v>
      </c>
      <c r="Q2959">
        <v>-3.1288963712547302</v>
      </c>
      <c r="R2959">
        <v>-0.98419192226390295</v>
      </c>
      <c r="S2959">
        <v>13.551360115919501</v>
      </c>
      <c r="T2959">
        <v>-4.0901777843346396</v>
      </c>
      <c r="U2959">
        <v>-1.0390579109703599</v>
      </c>
      <c r="V2959">
        <v>9.7837949646666306E-4</v>
      </c>
      <c r="W2959">
        <v>1.7986705545211999E-2</v>
      </c>
      <c r="X2959">
        <v>-1</v>
      </c>
      <c r="Y2959">
        <v>-1</v>
      </c>
    </row>
    <row r="2960" spans="1:25" x14ac:dyDescent="0.2">
      <c r="A2960" t="s">
        <v>10969</v>
      </c>
      <c r="B2960" t="s">
        <v>10970</v>
      </c>
      <c r="C2960" t="s">
        <v>14594</v>
      </c>
      <c r="D2960" t="s">
        <v>2611</v>
      </c>
      <c r="E2960" t="s">
        <v>10970</v>
      </c>
      <c r="F2960" t="s">
        <v>28</v>
      </c>
      <c r="G2960" t="s">
        <v>10970</v>
      </c>
      <c r="H2960" t="str">
        <f>"Y39B6A.27"</f>
        <v>Y39B6A.27</v>
      </c>
      <c r="I2960" t="s">
        <v>2611</v>
      </c>
      <c r="J2960" t="s">
        <v>29</v>
      </c>
      <c r="K2960" t="s">
        <v>29</v>
      </c>
      <c r="L2960" t="s">
        <v>29</v>
      </c>
      <c r="M2960">
        <v>10.5186401137925</v>
      </c>
      <c r="N2960" t="s">
        <v>29</v>
      </c>
      <c r="O2960" t="s">
        <v>29</v>
      </c>
      <c r="P2960" t="s">
        <v>29</v>
      </c>
      <c r="Q2960" t="s">
        <v>29</v>
      </c>
      <c r="R2960" t="s">
        <v>29</v>
      </c>
      <c r="S2960">
        <v>11.462943693874699</v>
      </c>
      <c r="T2960" t="s">
        <v>29</v>
      </c>
      <c r="U2960" t="s">
        <v>29</v>
      </c>
      <c r="V2960" t="s">
        <v>29</v>
      </c>
      <c r="W2960" t="s">
        <v>29</v>
      </c>
      <c r="X2960" t="s">
        <v>29</v>
      </c>
      <c r="Y2960" t="s">
        <v>29</v>
      </c>
    </row>
    <row r="2961" spans="1:25" x14ac:dyDescent="0.2">
      <c r="A2961" t="s">
        <v>10971</v>
      </c>
      <c r="B2961" t="s">
        <v>10972</v>
      </c>
      <c r="C2961" t="s">
        <v>10973</v>
      </c>
      <c r="D2961" t="s">
        <v>10974</v>
      </c>
      <c r="E2961" t="s">
        <v>10972</v>
      </c>
      <c r="F2961" t="s">
        <v>28</v>
      </c>
      <c r="G2961" t="s">
        <v>10972</v>
      </c>
      <c r="H2961" t="str">
        <f>"ced-12"</f>
        <v>ced-12</v>
      </c>
      <c r="I2961" t="s">
        <v>10974</v>
      </c>
      <c r="J2961" t="s">
        <v>29</v>
      </c>
      <c r="K2961">
        <v>10.648103109445699</v>
      </c>
      <c r="L2961">
        <v>10.4551732840398</v>
      </c>
      <c r="M2961">
        <v>10.5779018374466</v>
      </c>
      <c r="N2961">
        <v>12.131929354120199</v>
      </c>
      <c r="O2961">
        <v>11.681901699158001</v>
      </c>
      <c r="P2961">
        <v>0.91227276683219205</v>
      </c>
      <c r="Q2961">
        <v>0.102790194864447</v>
      </c>
      <c r="R2961">
        <v>1.72175533879994</v>
      </c>
      <c r="S2961">
        <v>12.081167658483499</v>
      </c>
      <c r="T2961">
        <v>2.4188509082879999</v>
      </c>
      <c r="U2961">
        <v>-4.3529549622578303</v>
      </c>
      <c r="V2961">
        <v>2.9890465537345999E-2</v>
      </c>
      <c r="W2961">
        <v>0.17004121478762901</v>
      </c>
      <c r="X2961">
        <v>0</v>
      </c>
      <c r="Y2961">
        <v>0</v>
      </c>
    </row>
    <row r="2962" spans="1:25" x14ac:dyDescent="0.2">
      <c r="A2962" t="s">
        <v>10975</v>
      </c>
      <c r="B2962" t="s">
        <v>10976</v>
      </c>
      <c r="C2962" t="s">
        <v>10977</v>
      </c>
      <c r="D2962" t="s">
        <v>10978</v>
      </c>
      <c r="E2962" t="s">
        <v>10976</v>
      </c>
      <c r="F2962" t="s">
        <v>28</v>
      </c>
      <c r="G2962" t="s">
        <v>10976</v>
      </c>
      <c r="H2962" t="str">
        <f>"mrt-1"</f>
        <v>mrt-1</v>
      </c>
      <c r="I2962" t="s">
        <v>10978</v>
      </c>
      <c r="J2962" t="s">
        <v>29</v>
      </c>
      <c r="K2962" t="s">
        <v>29</v>
      </c>
      <c r="L2962">
        <v>12.059924005011</v>
      </c>
      <c r="M2962" t="s">
        <v>29</v>
      </c>
      <c r="N2962">
        <v>11.692279641079001</v>
      </c>
      <c r="O2962">
        <v>12.1512798571461</v>
      </c>
      <c r="P2962">
        <v>-0.13814425589842999</v>
      </c>
      <c r="Q2962">
        <v>-1.12725135107051</v>
      </c>
      <c r="R2962">
        <v>0.85096283927364702</v>
      </c>
      <c r="S2962">
        <v>11.6440956626392</v>
      </c>
      <c r="T2962">
        <v>-0.30776356752988698</v>
      </c>
      <c r="U2962">
        <v>-6.6005540295791896</v>
      </c>
      <c r="V2962">
        <v>0.76406574101708502</v>
      </c>
      <c r="W2962">
        <v>0.90082243524260697</v>
      </c>
      <c r="X2962">
        <v>0</v>
      </c>
      <c r="Y2962">
        <v>0</v>
      </c>
    </row>
    <row r="2963" spans="1:25" x14ac:dyDescent="0.2">
      <c r="A2963" t="s">
        <v>10979</v>
      </c>
      <c r="B2963" t="s">
        <v>10980</v>
      </c>
      <c r="C2963" t="s">
        <v>10981</v>
      </c>
      <c r="D2963" t="s">
        <v>10982</v>
      </c>
      <c r="E2963" t="s">
        <v>10980</v>
      </c>
      <c r="F2963" t="s">
        <v>28</v>
      </c>
      <c r="G2963" t="s">
        <v>10980</v>
      </c>
      <c r="H2963" t="str">
        <f>"nhx-2"</f>
        <v>nhx-2</v>
      </c>
      <c r="I2963" t="s">
        <v>10982</v>
      </c>
      <c r="J2963">
        <v>12.277512671354099</v>
      </c>
      <c r="K2963">
        <v>11.588096951789201</v>
      </c>
      <c r="L2963">
        <v>12.468576586240699</v>
      </c>
      <c r="M2963">
        <v>13.082025418318</v>
      </c>
      <c r="N2963">
        <v>12.0323607328714</v>
      </c>
      <c r="O2963">
        <v>11.841296602760201</v>
      </c>
      <c r="P2963">
        <v>0.207165514855218</v>
      </c>
      <c r="Q2963">
        <v>-0.44101046349636802</v>
      </c>
      <c r="R2963">
        <v>0.85534149320680397</v>
      </c>
      <c r="S2963">
        <v>12.145527658382401</v>
      </c>
      <c r="T2963">
        <v>0.67464381769163095</v>
      </c>
      <c r="U2963">
        <v>-6.8160041034589103</v>
      </c>
      <c r="V2963">
        <v>0.50902946526371295</v>
      </c>
      <c r="W2963">
        <v>0.75841661170701602</v>
      </c>
      <c r="X2963">
        <v>0</v>
      </c>
      <c r="Y2963">
        <v>0</v>
      </c>
    </row>
    <row r="2964" spans="1:25" x14ac:dyDescent="0.2">
      <c r="A2964" t="s">
        <v>10983</v>
      </c>
      <c r="B2964" t="s">
        <v>10984</v>
      </c>
      <c r="C2964" t="s">
        <v>10985</v>
      </c>
      <c r="D2964" t="s">
        <v>10986</v>
      </c>
      <c r="E2964" t="s">
        <v>10984</v>
      </c>
      <c r="F2964" t="s">
        <v>28</v>
      </c>
      <c r="G2964" t="s">
        <v>10984</v>
      </c>
      <c r="H2964" t="str">
        <f>"acsd-1"</f>
        <v>acsd-1</v>
      </c>
      <c r="I2964" t="s">
        <v>10986</v>
      </c>
      <c r="J2964" t="s">
        <v>29</v>
      </c>
      <c r="K2964" t="s">
        <v>29</v>
      </c>
      <c r="L2964" t="s">
        <v>29</v>
      </c>
      <c r="M2964">
        <v>14.340547645839701</v>
      </c>
      <c r="N2964">
        <v>14.298442903501201</v>
      </c>
      <c r="O2964">
        <v>13.8604714438912</v>
      </c>
      <c r="P2964" t="s">
        <v>29</v>
      </c>
      <c r="Q2964" t="s">
        <v>29</v>
      </c>
      <c r="R2964" t="s">
        <v>29</v>
      </c>
      <c r="S2964">
        <v>13.3452901426393</v>
      </c>
      <c r="T2964" t="s">
        <v>29</v>
      </c>
      <c r="U2964" t="s">
        <v>29</v>
      </c>
      <c r="V2964" t="s">
        <v>29</v>
      </c>
      <c r="W2964" t="s">
        <v>29</v>
      </c>
      <c r="X2964" t="s">
        <v>29</v>
      </c>
      <c r="Y2964" t="s">
        <v>29</v>
      </c>
    </row>
    <row r="2965" spans="1:25" x14ac:dyDescent="0.2">
      <c r="A2965" t="s">
        <v>10987</v>
      </c>
      <c r="B2965" t="s">
        <v>10988</v>
      </c>
      <c r="C2965" t="s">
        <v>10989</v>
      </c>
      <c r="D2965" t="s">
        <v>9289</v>
      </c>
      <c r="E2965" t="s">
        <v>10988</v>
      </c>
      <c r="F2965" t="s">
        <v>28</v>
      </c>
      <c r="G2965" t="s">
        <v>10988</v>
      </c>
      <c r="H2965" t="str">
        <f>"npp-6"</f>
        <v>npp-6</v>
      </c>
      <c r="I2965" t="s">
        <v>9289</v>
      </c>
      <c r="J2965">
        <v>15.0007126401881</v>
      </c>
      <c r="K2965">
        <v>15.019781211147301</v>
      </c>
      <c r="L2965">
        <v>14.790320293419301</v>
      </c>
      <c r="M2965">
        <v>15.0622980419668</v>
      </c>
      <c r="N2965">
        <v>15.4184234393695</v>
      </c>
      <c r="O2965">
        <v>15.088648167386101</v>
      </c>
      <c r="P2965">
        <v>0.25285183465587102</v>
      </c>
      <c r="Q2965">
        <v>-9.1047239401592803E-2</v>
      </c>
      <c r="R2965">
        <v>0.59675090871333503</v>
      </c>
      <c r="S2965">
        <v>14.9152414036484</v>
      </c>
      <c r="T2965">
        <v>1.54535270193611</v>
      </c>
      <c r="U2965">
        <v>-5.8778765379496303</v>
      </c>
      <c r="V2965">
        <v>0.139761916422043</v>
      </c>
      <c r="W2965">
        <v>0.38672217350112897</v>
      </c>
      <c r="X2965">
        <v>0</v>
      </c>
      <c r="Y2965">
        <v>0</v>
      </c>
    </row>
    <row r="2966" spans="1:25" x14ac:dyDescent="0.2">
      <c r="A2966" t="s">
        <v>10990</v>
      </c>
      <c r="B2966" t="s">
        <v>10991</v>
      </c>
      <c r="C2966" t="s">
        <v>10992</v>
      </c>
      <c r="D2966" t="s">
        <v>10993</v>
      </c>
      <c r="E2966" t="s">
        <v>10991</v>
      </c>
      <c r="F2966" t="s">
        <v>28</v>
      </c>
      <c r="G2966" t="s">
        <v>10991</v>
      </c>
      <c r="H2966" t="str">
        <f>"dnj-10"</f>
        <v>dnj-10</v>
      </c>
      <c r="I2966" t="s">
        <v>10993</v>
      </c>
      <c r="J2966">
        <v>12.3314720716275</v>
      </c>
      <c r="K2966">
        <v>12.187896354905</v>
      </c>
      <c r="L2966">
        <v>12.0738951670416</v>
      </c>
      <c r="M2966">
        <v>11.6868086698125</v>
      </c>
      <c r="N2966">
        <v>11.549772369775299</v>
      </c>
      <c r="O2966">
        <v>11.29714727182</v>
      </c>
      <c r="P2966">
        <v>-0.68651176072213405</v>
      </c>
      <c r="Q2966">
        <v>-1.1743562801154599</v>
      </c>
      <c r="R2966">
        <v>-0.198667241328808</v>
      </c>
      <c r="S2966">
        <v>11.614743995792001</v>
      </c>
      <c r="T2966">
        <v>-2.9848058076630601</v>
      </c>
      <c r="U2966">
        <v>-3.3276203661910402</v>
      </c>
      <c r="V2966">
        <v>8.8016369709243009E-3</v>
      </c>
      <c r="W2966">
        <v>8.0225564995483695E-2</v>
      </c>
      <c r="X2966">
        <v>0</v>
      </c>
      <c r="Y2966">
        <v>0</v>
      </c>
    </row>
    <row r="2967" spans="1:25" x14ac:dyDescent="0.2">
      <c r="A2967" t="s">
        <v>10994</v>
      </c>
      <c r="B2967" t="s">
        <v>10995</v>
      </c>
      <c r="C2967" t="s">
        <v>10996</v>
      </c>
      <c r="D2967" t="s">
        <v>10997</v>
      </c>
      <c r="E2967" t="s">
        <v>10995</v>
      </c>
      <c r="F2967" t="s">
        <v>28</v>
      </c>
      <c r="G2967" t="s">
        <v>10995</v>
      </c>
      <c r="H2967" t="str">
        <f>"csnk-1"</f>
        <v>csnk-1</v>
      </c>
      <c r="I2967" t="s">
        <v>10997</v>
      </c>
      <c r="J2967">
        <v>15.2249162031681</v>
      </c>
      <c r="K2967">
        <v>15.040000278023101</v>
      </c>
      <c r="L2967">
        <v>14.5665851011657</v>
      </c>
      <c r="M2967">
        <v>15.029025808400201</v>
      </c>
      <c r="N2967">
        <v>14.525114422062099</v>
      </c>
      <c r="O2967">
        <v>14.540982791267099</v>
      </c>
      <c r="P2967">
        <v>-0.24545952020915399</v>
      </c>
      <c r="Q2967">
        <v>-0.72077943476470097</v>
      </c>
      <c r="R2967">
        <v>0.22986039434639299</v>
      </c>
      <c r="S2967">
        <v>14.4031795929289</v>
      </c>
      <c r="T2967">
        <v>-1.08539141896169</v>
      </c>
      <c r="U2967">
        <v>-6.4543152204982999</v>
      </c>
      <c r="V2967">
        <v>0.29215429837799101</v>
      </c>
      <c r="W2967">
        <v>0.57073294396640095</v>
      </c>
      <c r="X2967">
        <v>0</v>
      </c>
      <c r="Y2967">
        <v>0</v>
      </c>
    </row>
    <row r="2968" spans="1:25" x14ac:dyDescent="0.2">
      <c r="A2968" t="s">
        <v>10998</v>
      </c>
      <c r="B2968" t="s">
        <v>10999</v>
      </c>
      <c r="C2968" t="s">
        <v>11000</v>
      </c>
      <c r="D2968" t="s">
        <v>11001</v>
      </c>
      <c r="E2968" t="s">
        <v>10999</v>
      </c>
      <c r="F2968" t="s">
        <v>28</v>
      </c>
      <c r="G2968" t="s">
        <v>10999</v>
      </c>
      <c r="H2968" t="str">
        <f>"rps-20"</f>
        <v>rps-20</v>
      </c>
      <c r="I2968" t="s">
        <v>11001</v>
      </c>
      <c r="J2968">
        <v>19.300728315093298</v>
      </c>
      <c r="K2968">
        <v>19.158949754551699</v>
      </c>
      <c r="L2968">
        <v>19.5521911866715</v>
      </c>
      <c r="M2968">
        <v>18.637368733770199</v>
      </c>
      <c r="N2968">
        <v>18.453789656494699</v>
      </c>
      <c r="O2968">
        <v>18.275259910112101</v>
      </c>
      <c r="P2968">
        <v>-0.88181698531314001</v>
      </c>
      <c r="Q2968">
        <v>-1.4581592895850599</v>
      </c>
      <c r="R2968">
        <v>-0.305474681041219</v>
      </c>
      <c r="S2968">
        <v>18.846768719575</v>
      </c>
      <c r="T2968">
        <v>-3.2158106892151501</v>
      </c>
      <c r="U2968">
        <v>-2.7831640366943602</v>
      </c>
      <c r="V2968">
        <v>4.8203784692664097E-3</v>
      </c>
      <c r="W2968">
        <v>5.2991593037138102E-2</v>
      </c>
      <c r="X2968">
        <v>0</v>
      </c>
      <c r="Y2968">
        <v>0</v>
      </c>
    </row>
    <row r="2969" spans="1:25" x14ac:dyDescent="0.2">
      <c r="A2969" t="s">
        <v>11002</v>
      </c>
      <c r="B2969" t="s">
        <v>11003</v>
      </c>
      <c r="C2969" t="s">
        <v>11004</v>
      </c>
      <c r="D2969" t="s">
        <v>11005</v>
      </c>
      <c r="E2969" t="s">
        <v>11003</v>
      </c>
      <c r="F2969" t="s">
        <v>28</v>
      </c>
      <c r="G2969" t="s">
        <v>11003</v>
      </c>
      <c r="H2969" t="str">
        <f>"hpo-13"</f>
        <v>hpo-13</v>
      </c>
      <c r="I2969" t="s">
        <v>11005</v>
      </c>
      <c r="J2969" t="s">
        <v>29</v>
      </c>
      <c r="K2969" t="s">
        <v>29</v>
      </c>
      <c r="L2969" t="s">
        <v>29</v>
      </c>
      <c r="M2969">
        <v>11.9790485406466</v>
      </c>
      <c r="N2969">
        <v>12.905768277312999</v>
      </c>
      <c r="O2969" t="s">
        <v>29</v>
      </c>
      <c r="P2969" t="s">
        <v>29</v>
      </c>
      <c r="Q2969" t="s">
        <v>29</v>
      </c>
      <c r="R2969" t="s">
        <v>29</v>
      </c>
      <c r="S2969">
        <v>12.461314550546501</v>
      </c>
      <c r="T2969" t="s">
        <v>29</v>
      </c>
      <c r="U2969" t="s">
        <v>29</v>
      </c>
      <c r="V2969" t="s">
        <v>29</v>
      </c>
      <c r="W2969" t="s">
        <v>29</v>
      </c>
      <c r="X2969" t="s">
        <v>29</v>
      </c>
      <c r="Y2969" t="s">
        <v>29</v>
      </c>
    </row>
    <row r="2970" spans="1:25" x14ac:dyDescent="0.2">
      <c r="A2970" t="s">
        <v>11006</v>
      </c>
      <c r="B2970" t="s">
        <v>11007</v>
      </c>
      <c r="C2970" t="s">
        <v>11008</v>
      </c>
      <c r="D2970" t="s">
        <v>11009</v>
      </c>
      <c r="E2970" t="s">
        <v>11007</v>
      </c>
      <c r="F2970" t="s">
        <v>28</v>
      </c>
      <c r="G2970" t="s">
        <v>11007</v>
      </c>
      <c r="H2970" t="str">
        <f>"apg-1"</f>
        <v>apg-1</v>
      </c>
      <c r="I2970" t="s">
        <v>11009</v>
      </c>
      <c r="J2970">
        <v>15.3814568748229</v>
      </c>
      <c r="K2970">
        <v>15.452933714694399</v>
      </c>
      <c r="L2970">
        <v>15.1526593733916</v>
      </c>
      <c r="M2970">
        <v>15.4483295558988</v>
      </c>
      <c r="N2970">
        <v>15.557228381087</v>
      </c>
      <c r="O2970">
        <v>15.337470446439999</v>
      </c>
      <c r="P2970">
        <v>0.118659473505646</v>
      </c>
      <c r="Q2970">
        <v>-0.251127671513099</v>
      </c>
      <c r="R2970">
        <v>0.48844661852439097</v>
      </c>
      <c r="S2970">
        <v>15.090437575794599</v>
      </c>
      <c r="T2970">
        <v>0.67443969071501297</v>
      </c>
      <c r="U2970">
        <v>-6.8167073137648897</v>
      </c>
      <c r="V2970">
        <v>0.50865175265709395</v>
      </c>
      <c r="W2970">
        <v>0.75825766635258696</v>
      </c>
      <c r="X2970">
        <v>0</v>
      </c>
      <c r="Y2970">
        <v>0</v>
      </c>
    </row>
    <row r="2971" spans="1:25" x14ac:dyDescent="0.2">
      <c r="A2971" t="s">
        <v>11010</v>
      </c>
      <c r="B2971" t="s">
        <v>11011</v>
      </c>
      <c r="C2971" t="s">
        <v>11012</v>
      </c>
      <c r="D2971" t="s">
        <v>11013</v>
      </c>
      <c r="E2971" t="s">
        <v>11011</v>
      </c>
      <c r="F2971" t="s">
        <v>28</v>
      </c>
      <c r="G2971" t="s">
        <v>11011</v>
      </c>
      <c r="H2971" t="str">
        <f>"slc-30a5"</f>
        <v>slc-30a5</v>
      </c>
      <c r="I2971" t="s">
        <v>11013</v>
      </c>
      <c r="J2971">
        <v>14.016407473792899</v>
      </c>
      <c r="K2971">
        <v>14.2202089549872</v>
      </c>
      <c r="L2971">
        <v>14.4887245936658</v>
      </c>
      <c r="M2971">
        <v>13.9549980294961</v>
      </c>
      <c r="N2971">
        <v>13.8185240113535</v>
      </c>
      <c r="O2971">
        <v>14.1180823899009</v>
      </c>
      <c r="P2971">
        <v>-0.27791219723181398</v>
      </c>
      <c r="Q2971">
        <v>-0.63035603477401903</v>
      </c>
      <c r="R2971">
        <v>7.4531640310391306E-2</v>
      </c>
      <c r="S2971">
        <v>14.642260431909101</v>
      </c>
      <c r="T2971">
        <v>-1.6573346094510599</v>
      </c>
      <c r="U2971">
        <v>-5.7136758677468196</v>
      </c>
      <c r="V2971">
        <v>0.114878805462181</v>
      </c>
      <c r="W2971">
        <v>0.34805924857908399</v>
      </c>
      <c r="X2971">
        <v>0</v>
      </c>
      <c r="Y2971">
        <v>0</v>
      </c>
    </row>
    <row r="2972" spans="1:25" x14ac:dyDescent="0.2">
      <c r="A2972" t="s">
        <v>11014</v>
      </c>
      <c r="B2972" t="s">
        <v>11015</v>
      </c>
      <c r="C2972" t="s">
        <v>11016</v>
      </c>
      <c r="D2972" t="s">
        <v>11017</v>
      </c>
      <c r="E2972" t="s">
        <v>11015</v>
      </c>
      <c r="F2972" t="s">
        <v>28</v>
      </c>
      <c r="G2972" t="s">
        <v>11015</v>
      </c>
      <c r="H2972" t="str">
        <f>"drp-1"</f>
        <v>drp-1</v>
      </c>
      <c r="I2972" t="s">
        <v>11017</v>
      </c>
      <c r="J2972">
        <v>14.916965594070801</v>
      </c>
      <c r="K2972">
        <v>14.732919604323101</v>
      </c>
      <c r="L2972">
        <v>14.8670492627898</v>
      </c>
      <c r="M2972">
        <v>14.755363652363901</v>
      </c>
      <c r="N2972">
        <v>15.412796221308</v>
      </c>
      <c r="O2972">
        <v>15.268458536625101</v>
      </c>
      <c r="P2972">
        <v>0.30656131637109701</v>
      </c>
      <c r="Q2972">
        <v>-0.212095716579115</v>
      </c>
      <c r="R2972">
        <v>0.825218349321309</v>
      </c>
      <c r="S2972">
        <v>15.0624360195945</v>
      </c>
      <c r="T2972">
        <v>1.2423088930877799</v>
      </c>
      <c r="U2972">
        <v>-6.2765177477950997</v>
      </c>
      <c r="V2972">
        <v>0.230157064516962</v>
      </c>
      <c r="W2972">
        <v>0.500622384985424</v>
      </c>
      <c r="X2972">
        <v>0</v>
      </c>
      <c r="Y2972">
        <v>0</v>
      </c>
    </row>
    <row r="2973" spans="1:25" x14ac:dyDescent="0.2">
      <c r="A2973" t="s">
        <v>11018</v>
      </c>
      <c r="B2973" t="s">
        <v>11019</v>
      </c>
      <c r="C2973" t="s">
        <v>14595</v>
      </c>
      <c r="D2973" t="s">
        <v>11020</v>
      </c>
      <c r="E2973" t="s">
        <v>11019</v>
      </c>
      <c r="F2973" t="s">
        <v>28</v>
      </c>
      <c r="G2973" t="s">
        <v>11019</v>
      </c>
      <c r="H2973" t="str">
        <f>"R04F11.5"</f>
        <v>R04F11.5</v>
      </c>
      <c r="I2973" t="s">
        <v>11020</v>
      </c>
      <c r="J2973">
        <v>13.4228648133075</v>
      </c>
      <c r="K2973">
        <v>13.7421221802276</v>
      </c>
      <c r="L2973">
        <v>13.637975971449</v>
      </c>
      <c r="M2973">
        <v>14.060595234531201</v>
      </c>
      <c r="N2973">
        <v>14.4369985832847</v>
      </c>
      <c r="O2973">
        <v>14.325287576851901</v>
      </c>
      <c r="P2973">
        <v>0.67330614322788795</v>
      </c>
      <c r="Q2973">
        <v>-9.4752334960390497E-2</v>
      </c>
      <c r="R2973">
        <v>1.4413646214161699</v>
      </c>
      <c r="S2973">
        <v>13.4704385977613</v>
      </c>
      <c r="T2973">
        <v>1.85041143108658</v>
      </c>
      <c r="U2973">
        <v>-5.4142229079243798</v>
      </c>
      <c r="V2973">
        <v>8.1821149302415602E-2</v>
      </c>
      <c r="W2973">
        <v>0.29322248879962598</v>
      </c>
      <c r="X2973">
        <v>0</v>
      </c>
      <c r="Y2973">
        <v>0</v>
      </c>
    </row>
    <row r="2974" spans="1:25" x14ac:dyDescent="0.2">
      <c r="A2974" t="s">
        <v>11021</v>
      </c>
      <c r="B2974" t="s">
        <v>11022</v>
      </c>
      <c r="C2974" t="s">
        <v>11023</v>
      </c>
      <c r="D2974" t="s">
        <v>11024</v>
      </c>
      <c r="E2974" t="s">
        <v>11022</v>
      </c>
      <c r="F2974" t="s">
        <v>28</v>
      </c>
      <c r="G2974" t="s">
        <v>11022</v>
      </c>
      <c r="H2974" t="str">
        <f>"lab-2"</f>
        <v>lab-2</v>
      </c>
      <c r="I2974" t="s">
        <v>11024</v>
      </c>
      <c r="J2974" t="s">
        <v>29</v>
      </c>
      <c r="K2974" t="s">
        <v>29</v>
      </c>
      <c r="L2974" t="s">
        <v>29</v>
      </c>
      <c r="M2974" t="s">
        <v>29</v>
      </c>
      <c r="N2974">
        <v>11.9779786364199</v>
      </c>
      <c r="O2974" t="s">
        <v>29</v>
      </c>
      <c r="P2974" t="s">
        <v>29</v>
      </c>
      <c r="Q2974" t="s">
        <v>29</v>
      </c>
      <c r="R2974" t="s">
        <v>29</v>
      </c>
      <c r="S2974">
        <v>12.702204603552699</v>
      </c>
      <c r="T2974" t="s">
        <v>29</v>
      </c>
      <c r="U2974" t="s">
        <v>29</v>
      </c>
      <c r="V2974" t="s">
        <v>29</v>
      </c>
      <c r="W2974" t="s">
        <v>29</v>
      </c>
      <c r="X2974" t="s">
        <v>29</v>
      </c>
      <c r="Y2974" t="s">
        <v>29</v>
      </c>
    </row>
    <row r="2975" spans="1:25" x14ac:dyDescent="0.2">
      <c r="A2975" t="s">
        <v>11025</v>
      </c>
      <c r="B2975" t="s">
        <v>11026</v>
      </c>
      <c r="C2975" t="s">
        <v>11027</v>
      </c>
      <c r="D2975" t="s">
        <v>11028</v>
      </c>
      <c r="E2975" t="s">
        <v>11026</v>
      </c>
      <c r="F2975" t="s">
        <v>28</v>
      </c>
      <c r="G2975" t="s">
        <v>11026</v>
      </c>
      <c r="H2975" t="str">
        <f>"smg-4"</f>
        <v>smg-4</v>
      </c>
      <c r="I2975" t="s">
        <v>11028</v>
      </c>
      <c r="J2975">
        <v>12.678957330222399</v>
      </c>
      <c r="K2975">
        <v>11.196106605250399</v>
      </c>
      <c r="L2975">
        <v>12.615140185989301</v>
      </c>
      <c r="M2975">
        <v>12.0199390618263</v>
      </c>
      <c r="N2975">
        <v>13.063214891151899</v>
      </c>
      <c r="O2975">
        <v>12.496342752061199</v>
      </c>
      <c r="P2975">
        <v>0.36309752785912303</v>
      </c>
      <c r="Q2975">
        <v>-0.37486949902962002</v>
      </c>
      <c r="R2975">
        <v>1.1010645547478699</v>
      </c>
      <c r="S2975">
        <v>12.5724842649146</v>
      </c>
      <c r="T2975">
        <v>1.0385713731008499</v>
      </c>
      <c r="U2975">
        <v>-6.5025376170506499</v>
      </c>
      <c r="V2975">
        <v>0.31364027229388602</v>
      </c>
      <c r="W2975">
        <v>0.59095856748367503</v>
      </c>
      <c r="X2975">
        <v>0</v>
      </c>
      <c r="Y2975">
        <v>0</v>
      </c>
    </row>
    <row r="2976" spans="1:25" x14ac:dyDescent="0.2">
      <c r="A2976" t="s">
        <v>11029</v>
      </c>
      <c r="B2976" t="s">
        <v>11030</v>
      </c>
      <c r="C2976" t="s">
        <v>11031</v>
      </c>
      <c r="D2976" t="s">
        <v>11032</v>
      </c>
      <c r="E2976" t="s">
        <v>11030</v>
      </c>
      <c r="F2976" t="s">
        <v>28</v>
      </c>
      <c r="G2976" t="s">
        <v>11030</v>
      </c>
      <c r="H2976" t="str">
        <f>"jnk-1"</f>
        <v>jnk-1</v>
      </c>
      <c r="I2976" t="s">
        <v>11032</v>
      </c>
      <c r="J2976">
        <v>12.6387367552251</v>
      </c>
      <c r="K2976">
        <v>12.8665065189931</v>
      </c>
      <c r="L2976">
        <v>12.7664323011681</v>
      </c>
      <c r="M2976">
        <v>13.052447021070501</v>
      </c>
      <c r="N2976">
        <v>12.657703963543399</v>
      </c>
      <c r="O2976">
        <v>12.666742071536</v>
      </c>
      <c r="P2976">
        <v>3.5072493587858099E-2</v>
      </c>
      <c r="Q2976">
        <v>-0.434989150249463</v>
      </c>
      <c r="R2976">
        <v>0.50513413742517999</v>
      </c>
      <c r="S2976">
        <v>12.5349189030537</v>
      </c>
      <c r="T2976">
        <v>0.15913050291768899</v>
      </c>
      <c r="U2976">
        <v>-7.03868584569567</v>
      </c>
      <c r="V2976">
        <v>0.87570368248223296</v>
      </c>
      <c r="W2976">
        <v>0.95366123922261903</v>
      </c>
      <c r="X2976">
        <v>0</v>
      </c>
      <c r="Y2976">
        <v>0</v>
      </c>
    </row>
    <row r="2977" spans="1:25" x14ac:dyDescent="0.2">
      <c r="A2977" t="s">
        <v>11033</v>
      </c>
      <c r="B2977" t="s">
        <v>11034</v>
      </c>
      <c r="C2977" t="s">
        <v>11035</v>
      </c>
      <c r="D2977" t="s">
        <v>11036</v>
      </c>
      <c r="E2977" t="s">
        <v>11034</v>
      </c>
      <c r="F2977" t="s">
        <v>28</v>
      </c>
      <c r="G2977" t="s">
        <v>11034</v>
      </c>
      <c r="H2977" t="str">
        <f>"mbk-1"</f>
        <v>mbk-1</v>
      </c>
      <c r="I2977" t="s">
        <v>11036</v>
      </c>
      <c r="J2977">
        <v>12.2802733984269</v>
      </c>
      <c r="K2977">
        <v>12.5960807625244</v>
      </c>
      <c r="L2977">
        <v>13.1001208095559</v>
      </c>
      <c r="M2977">
        <v>12.8498388818078</v>
      </c>
      <c r="N2977">
        <v>11.547639741326099</v>
      </c>
      <c r="O2977">
        <v>13.217579408276199</v>
      </c>
      <c r="P2977">
        <v>-0.12047231303235199</v>
      </c>
      <c r="Q2977">
        <v>-0.91169056246332403</v>
      </c>
      <c r="R2977">
        <v>0.67074593639862101</v>
      </c>
      <c r="S2977">
        <v>12.7766533814195</v>
      </c>
      <c r="T2977">
        <v>-0.32295386237150903</v>
      </c>
      <c r="U2977">
        <v>-6.9972440914439797</v>
      </c>
      <c r="V2977">
        <v>0.75093969723308196</v>
      </c>
      <c r="W2977">
        <v>0.89443416483633298</v>
      </c>
      <c r="X2977">
        <v>0</v>
      </c>
      <c r="Y2977">
        <v>0</v>
      </c>
    </row>
    <row r="2978" spans="1:25" x14ac:dyDescent="0.2">
      <c r="A2978" t="s">
        <v>11037</v>
      </c>
      <c r="B2978" t="s">
        <v>11038</v>
      </c>
      <c r="C2978" t="s">
        <v>11039</v>
      </c>
      <c r="D2978" t="s">
        <v>11040</v>
      </c>
      <c r="E2978" t="s">
        <v>11038</v>
      </c>
      <c r="F2978" t="s">
        <v>28</v>
      </c>
      <c r="G2978" t="s">
        <v>11038</v>
      </c>
      <c r="H2978" t="str">
        <f>"pad-2"</f>
        <v>pad-2</v>
      </c>
      <c r="I2978" t="s">
        <v>11040</v>
      </c>
      <c r="J2978">
        <v>12.992264375885499</v>
      </c>
      <c r="K2978">
        <v>12.731177415274701</v>
      </c>
      <c r="L2978">
        <v>12.967258604176999</v>
      </c>
      <c r="M2978">
        <v>13.012798065382899</v>
      </c>
      <c r="N2978">
        <v>12.580325414469399</v>
      </c>
      <c r="O2978">
        <v>12.994731611691799</v>
      </c>
      <c r="P2978">
        <v>-3.4281767931062697E-2</v>
      </c>
      <c r="Q2978">
        <v>-0.51270263483461198</v>
      </c>
      <c r="R2978">
        <v>0.44413909897248599</v>
      </c>
      <c r="S2978">
        <v>12.7919853724263</v>
      </c>
      <c r="T2978">
        <v>-0.15282510499055499</v>
      </c>
      <c r="U2978">
        <v>-7.0397259571823696</v>
      </c>
      <c r="V2978">
        <v>0.88058722481116303</v>
      </c>
      <c r="W2978">
        <v>0.95657638191348704</v>
      </c>
      <c r="X2978">
        <v>0</v>
      </c>
      <c r="Y2978">
        <v>0</v>
      </c>
    </row>
    <row r="2979" spans="1:25" x14ac:dyDescent="0.2">
      <c r="A2979" t="s">
        <v>11041</v>
      </c>
      <c r="B2979" t="s">
        <v>11042</v>
      </c>
      <c r="C2979" t="s">
        <v>11043</v>
      </c>
      <c r="D2979" t="s">
        <v>11044</v>
      </c>
      <c r="E2979" t="s">
        <v>11042</v>
      </c>
      <c r="F2979" t="s">
        <v>28</v>
      </c>
      <c r="G2979" t="s">
        <v>11042</v>
      </c>
      <c r="H2979" t="str">
        <f>"algn-5"</f>
        <v>algn-5</v>
      </c>
      <c r="I2979" t="s">
        <v>11044</v>
      </c>
      <c r="J2979">
        <v>15.4020299434306</v>
      </c>
      <c r="K2979">
        <v>15.3006503981881</v>
      </c>
      <c r="L2979">
        <v>15.224690317905401</v>
      </c>
      <c r="M2979">
        <v>15.1263518228953</v>
      </c>
      <c r="N2979">
        <v>15.312555744541401</v>
      </c>
      <c r="O2979">
        <v>15.2689736662602</v>
      </c>
      <c r="P2979">
        <v>-7.3163141942377094E-2</v>
      </c>
      <c r="Q2979">
        <v>-0.41600792370543999</v>
      </c>
      <c r="R2979">
        <v>0.26968163982068499</v>
      </c>
      <c r="S2979">
        <v>15.206394621939101</v>
      </c>
      <c r="T2979">
        <v>-0.448525683959549</v>
      </c>
      <c r="U2979">
        <v>-6.9472503013555196</v>
      </c>
      <c r="V2979">
        <v>0.659157461349137</v>
      </c>
      <c r="W2979">
        <v>0.84643062778646405</v>
      </c>
      <c r="X2979">
        <v>0</v>
      </c>
      <c r="Y2979">
        <v>0</v>
      </c>
    </row>
    <row r="2980" spans="1:25" x14ac:dyDescent="0.2">
      <c r="A2980" t="s">
        <v>11045</v>
      </c>
      <c r="B2980" t="s">
        <v>11046</v>
      </c>
      <c r="C2980" t="s">
        <v>11047</v>
      </c>
      <c r="D2980" t="s">
        <v>11048</v>
      </c>
      <c r="E2980" t="s">
        <v>11046</v>
      </c>
      <c r="F2980" t="s">
        <v>28</v>
      </c>
      <c r="G2980" t="s">
        <v>11046</v>
      </c>
      <c r="H2980" t="str">
        <f>"cyk-3"</f>
        <v>cyk-3</v>
      </c>
      <c r="I2980" t="s">
        <v>11048</v>
      </c>
      <c r="J2980">
        <v>12.0480626433806</v>
      </c>
      <c r="K2980">
        <v>11.4536712915798</v>
      </c>
      <c r="L2980">
        <v>11.3279560286266</v>
      </c>
      <c r="M2980">
        <v>12.5465250039881</v>
      </c>
      <c r="N2980">
        <v>12.0180364466062</v>
      </c>
      <c r="O2980">
        <v>11.749272732718801</v>
      </c>
      <c r="P2980">
        <v>0.49471473990866799</v>
      </c>
      <c r="Q2980">
        <v>-0.12649728556571599</v>
      </c>
      <c r="R2980">
        <v>1.11592676538305</v>
      </c>
      <c r="S2980">
        <v>11.8170916906926</v>
      </c>
      <c r="T2980">
        <v>1.68913564150422</v>
      </c>
      <c r="U2980">
        <v>-5.6685992676861101</v>
      </c>
      <c r="V2980">
        <v>0.11070956532635</v>
      </c>
      <c r="W2980">
        <v>0.34309421483042302</v>
      </c>
      <c r="X2980">
        <v>0</v>
      </c>
      <c r="Y2980">
        <v>0</v>
      </c>
    </row>
    <row r="2981" spans="1:25" x14ac:dyDescent="0.2">
      <c r="A2981" t="s">
        <v>11049</v>
      </c>
      <c r="B2981" t="s">
        <v>11050</v>
      </c>
      <c r="C2981" t="s">
        <v>11051</v>
      </c>
      <c r="D2981" t="s">
        <v>11052</v>
      </c>
      <c r="E2981" t="s">
        <v>11050</v>
      </c>
      <c r="F2981" t="s">
        <v>28</v>
      </c>
      <c r="G2981" t="s">
        <v>11050</v>
      </c>
      <c r="H2981" t="str">
        <f>"ubxn-6"</f>
        <v>ubxn-6</v>
      </c>
      <c r="I2981" t="s">
        <v>11052</v>
      </c>
      <c r="J2981">
        <v>13.338836537677899</v>
      </c>
      <c r="K2981">
        <v>12.948852287246</v>
      </c>
      <c r="L2981">
        <v>12.9540052077887</v>
      </c>
      <c r="M2981">
        <v>12.8118829972342</v>
      </c>
      <c r="N2981">
        <v>13.4200663136478</v>
      </c>
      <c r="O2981">
        <v>12.8245346067939</v>
      </c>
      <c r="P2981">
        <v>-6.1736705012231503E-2</v>
      </c>
      <c r="Q2981">
        <v>-0.52115524736345198</v>
      </c>
      <c r="R2981">
        <v>0.39768183733898899</v>
      </c>
      <c r="S2981">
        <v>12.7461362413842</v>
      </c>
      <c r="T2981">
        <v>-0.28365140584300103</v>
      </c>
      <c r="U2981">
        <v>-7.0098903124293299</v>
      </c>
      <c r="V2981">
        <v>0.78012414853376399</v>
      </c>
      <c r="W2981">
        <v>0.908562626817777</v>
      </c>
      <c r="X2981">
        <v>0</v>
      </c>
      <c r="Y2981">
        <v>0</v>
      </c>
    </row>
    <row r="2982" spans="1:25" x14ac:dyDescent="0.2">
      <c r="A2982" t="s">
        <v>11053</v>
      </c>
      <c r="B2982" t="s">
        <v>11054</v>
      </c>
      <c r="C2982" t="s">
        <v>11055</v>
      </c>
      <c r="D2982" t="s">
        <v>11056</v>
      </c>
      <c r="E2982" t="s">
        <v>11054</v>
      </c>
      <c r="F2982" t="s">
        <v>28</v>
      </c>
      <c r="G2982" t="s">
        <v>11054</v>
      </c>
      <c r="H2982" t="str">
        <f>"hpo-29"</f>
        <v>hpo-29</v>
      </c>
      <c r="I2982" t="s">
        <v>11056</v>
      </c>
      <c r="J2982">
        <v>14.8052882967675</v>
      </c>
      <c r="K2982">
        <v>14.562407514795201</v>
      </c>
      <c r="L2982">
        <v>14.739251535176001</v>
      </c>
      <c r="M2982">
        <v>14.2941827955013</v>
      </c>
      <c r="N2982">
        <v>14.708082798666799</v>
      </c>
      <c r="O2982">
        <v>14.225898074883601</v>
      </c>
      <c r="P2982">
        <v>-0.29292789256230201</v>
      </c>
      <c r="Q2982">
        <v>-0.68211760682759903</v>
      </c>
      <c r="R2982">
        <v>9.6261821702995506E-2</v>
      </c>
      <c r="S2982">
        <v>14.5766293883592</v>
      </c>
      <c r="T2982">
        <v>-1.5819468436886299</v>
      </c>
      <c r="U2982">
        <v>-5.8251651464441698</v>
      </c>
      <c r="V2982">
        <v>0.13117457763030699</v>
      </c>
      <c r="W2982">
        <v>0.37508091002549998</v>
      </c>
      <c r="X2982">
        <v>0</v>
      </c>
      <c r="Y2982">
        <v>0</v>
      </c>
    </row>
    <row r="2983" spans="1:25" x14ac:dyDescent="0.2">
      <c r="A2983" t="s">
        <v>11057</v>
      </c>
      <c r="B2983" t="s">
        <v>11058</v>
      </c>
      <c r="C2983" t="s">
        <v>11059</v>
      </c>
      <c r="D2983" t="s">
        <v>11060</v>
      </c>
      <c r="E2983" t="s">
        <v>11058</v>
      </c>
      <c r="F2983" t="s">
        <v>28</v>
      </c>
      <c r="G2983" t="s">
        <v>11058</v>
      </c>
      <c r="H2983" t="str">
        <f>"arx-4"</f>
        <v>arx-4</v>
      </c>
      <c r="I2983" t="s">
        <v>11060</v>
      </c>
      <c r="J2983">
        <v>16.551439477892799</v>
      </c>
      <c r="K2983">
        <v>16.443011910045701</v>
      </c>
      <c r="L2983">
        <v>16.2944290589998</v>
      </c>
      <c r="M2983">
        <v>16.166831435686198</v>
      </c>
      <c r="N2983">
        <v>16.104494502477301</v>
      </c>
      <c r="O2983">
        <v>15.9422463465274</v>
      </c>
      <c r="P2983">
        <v>-0.35843605408245999</v>
      </c>
      <c r="Q2983">
        <v>-0.70645703417995198</v>
      </c>
      <c r="R2983">
        <v>-1.0415073984968701E-2</v>
      </c>
      <c r="S2983">
        <v>15.9166805085343</v>
      </c>
      <c r="T2983">
        <v>-2.1647052730943299</v>
      </c>
      <c r="U2983">
        <v>-4.8728867407410199</v>
      </c>
      <c r="V2983">
        <v>4.4178187814487499E-2</v>
      </c>
      <c r="W2983">
        <v>0.20858981988523501</v>
      </c>
      <c r="X2983">
        <v>0</v>
      </c>
      <c r="Y2983">
        <v>0</v>
      </c>
    </row>
    <row r="2984" spans="1:25" x14ac:dyDescent="0.2">
      <c r="A2984" t="s">
        <v>11061</v>
      </c>
      <c r="B2984" t="s">
        <v>11062</v>
      </c>
      <c r="C2984" t="s">
        <v>11063</v>
      </c>
      <c r="D2984" t="s">
        <v>11064</v>
      </c>
      <c r="E2984" t="s">
        <v>11062</v>
      </c>
      <c r="F2984" t="s">
        <v>28</v>
      </c>
      <c r="G2984" t="s">
        <v>11062</v>
      </c>
      <c r="H2984" t="str">
        <f>"ahsa-1"</f>
        <v>ahsa-1</v>
      </c>
      <c r="I2984" t="s">
        <v>11064</v>
      </c>
      <c r="J2984">
        <v>12.88464317265</v>
      </c>
      <c r="K2984">
        <v>13.103893372837</v>
      </c>
      <c r="L2984">
        <v>13.4165838733849</v>
      </c>
      <c r="M2984">
        <v>13.3133461743155</v>
      </c>
      <c r="N2984">
        <v>13.916698070532</v>
      </c>
      <c r="O2984">
        <v>13.6874492680413</v>
      </c>
      <c r="P2984">
        <v>0.50412436467230604</v>
      </c>
      <c r="Q2984">
        <v>3.5702690814246402E-2</v>
      </c>
      <c r="R2984">
        <v>0.97254603853036503</v>
      </c>
      <c r="S2984">
        <v>13.700569851267201</v>
      </c>
      <c r="T2984">
        <v>2.2716986460283</v>
      </c>
      <c r="U2984">
        <v>-4.6871819843704703</v>
      </c>
      <c r="V2984">
        <v>3.6468536142668498E-2</v>
      </c>
      <c r="W2984">
        <v>0.19047932039846399</v>
      </c>
      <c r="X2984">
        <v>0</v>
      </c>
      <c r="Y2984">
        <v>0</v>
      </c>
    </row>
    <row r="2985" spans="1:25" x14ac:dyDescent="0.2">
      <c r="A2985" t="s">
        <v>11065</v>
      </c>
      <c r="B2985" t="s">
        <v>11066</v>
      </c>
      <c r="C2985" t="s">
        <v>11067</v>
      </c>
      <c r="D2985" t="s">
        <v>11068</v>
      </c>
      <c r="E2985" t="s">
        <v>11066</v>
      </c>
      <c r="F2985" t="s">
        <v>28</v>
      </c>
      <c r="G2985" t="s">
        <v>11066</v>
      </c>
      <c r="H2985" t="str">
        <f>"C01G10.9"</f>
        <v>C01G10.9</v>
      </c>
      <c r="I2985" t="s">
        <v>11068</v>
      </c>
      <c r="J2985" t="s">
        <v>29</v>
      </c>
      <c r="K2985" t="s">
        <v>29</v>
      </c>
      <c r="L2985" t="s">
        <v>29</v>
      </c>
      <c r="M2985" t="s">
        <v>29</v>
      </c>
      <c r="N2985">
        <v>10.601032240396499</v>
      </c>
      <c r="O2985" t="s">
        <v>29</v>
      </c>
      <c r="P2985" t="s">
        <v>29</v>
      </c>
      <c r="Q2985" t="s">
        <v>29</v>
      </c>
      <c r="R2985" t="s">
        <v>29</v>
      </c>
      <c r="S2985">
        <v>11.5736448104243</v>
      </c>
      <c r="T2985" t="s">
        <v>29</v>
      </c>
      <c r="U2985" t="s">
        <v>29</v>
      </c>
      <c r="V2985" t="s">
        <v>29</v>
      </c>
      <c r="W2985" t="s">
        <v>29</v>
      </c>
      <c r="X2985" t="s">
        <v>29</v>
      </c>
      <c r="Y2985" t="s">
        <v>29</v>
      </c>
    </row>
    <row r="2986" spans="1:25" x14ac:dyDescent="0.2">
      <c r="A2986" t="s">
        <v>11069</v>
      </c>
      <c r="B2986" t="s">
        <v>11070</v>
      </c>
      <c r="C2986" t="s">
        <v>11071</v>
      </c>
      <c r="D2986" t="s">
        <v>11072</v>
      </c>
      <c r="E2986" t="s">
        <v>11070</v>
      </c>
      <c r="F2986" t="s">
        <v>28</v>
      </c>
      <c r="G2986" t="s">
        <v>11070</v>
      </c>
      <c r="H2986" t="str">
        <f>"osgl-1"</f>
        <v>osgl-1</v>
      </c>
      <c r="I2986" t="s">
        <v>11072</v>
      </c>
      <c r="J2986" t="s">
        <v>29</v>
      </c>
      <c r="K2986" t="s">
        <v>29</v>
      </c>
      <c r="L2986" t="s">
        <v>29</v>
      </c>
      <c r="M2986" t="s">
        <v>29</v>
      </c>
      <c r="N2986" t="s">
        <v>29</v>
      </c>
      <c r="O2986" t="s">
        <v>29</v>
      </c>
      <c r="P2986" t="s">
        <v>29</v>
      </c>
      <c r="Q2986" t="s">
        <v>29</v>
      </c>
      <c r="R2986" t="s">
        <v>29</v>
      </c>
      <c r="S2986">
        <v>10.9318448221459</v>
      </c>
      <c r="T2986" t="s">
        <v>29</v>
      </c>
      <c r="U2986" t="s">
        <v>29</v>
      </c>
      <c r="V2986" t="s">
        <v>29</v>
      </c>
      <c r="W2986" t="s">
        <v>29</v>
      </c>
      <c r="X2986" t="s">
        <v>29</v>
      </c>
      <c r="Y2986" t="s">
        <v>29</v>
      </c>
    </row>
    <row r="2987" spans="1:25" x14ac:dyDescent="0.2">
      <c r="A2987" t="s">
        <v>11073</v>
      </c>
      <c r="B2987" t="s">
        <v>11074</v>
      </c>
      <c r="C2987" t="s">
        <v>11075</v>
      </c>
      <c r="D2987" t="s">
        <v>412</v>
      </c>
      <c r="E2987" t="s">
        <v>11074</v>
      </c>
      <c r="F2987" t="s">
        <v>28</v>
      </c>
      <c r="G2987" t="s">
        <v>11074</v>
      </c>
      <c r="H2987" t="str">
        <f>"C11E4.6"</f>
        <v>C11E4.6</v>
      </c>
      <c r="I2987" t="s">
        <v>412</v>
      </c>
      <c r="J2987">
        <v>13.2561875253663</v>
      </c>
      <c r="K2987">
        <v>13.677657606958499</v>
      </c>
      <c r="L2987">
        <v>11.9277468585934</v>
      </c>
      <c r="M2987" t="s">
        <v>29</v>
      </c>
      <c r="N2987" t="s">
        <v>29</v>
      </c>
      <c r="O2987">
        <v>11.9618655134172</v>
      </c>
      <c r="P2987">
        <v>-0.99199848355554099</v>
      </c>
      <c r="Q2987">
        <v>-3.0028272275485599</v>
      </c>
      <c r="R2987">
        <v>1.0188302604374799</v>
      </c>
      <c r="S2987">
        <v>11.8619913656328</v>
      </c>
      <c r="T2987">
        <v>-1.11799594605962</v>
      </c>
      <c r="U2987">
        <v>-6.0687838318822402</v>
      </c>
      <c r="V2987">
        <v>0.29285258051185398</v>
      </c>
      <c r="W2987">
        <v>0.57073294396640095</v>
      </c>
      <c r="X2987">
        <v>0</v>
      </c>
      <c r="Y2987">
        <v>0</v>
      </c>
    </row>
    <row r="2988" spans="1:25" x14ac:dyDescent="0.2">
      <c r="A2988" t="s">
        <v>11076</v>
      </c>
      <c r="B2988" t="s">
        <v>11077</v>
      </c>
      <c r="C2988" t="s">
        <v>11078</v>
      </c>
      <c r="D2988" t="s">
        <v>93</v>
      </c>
      <c r="E2988" t="s">
        <v>11077</v>
      </c>
      <c r="F2988" t="s">
        <v>28</v>
      </c>
      <c r="G2988" t="s">
        <v>11077</v>
      </c>
      <c r="H2988" t="str">
        <f>"pabp-2"</f>
        <v>pabp-2</v>
      </c>
      <c r="I2988" t="s">
        <v>93</v>
      </c>
      <c r="J2988">
        <v>13.727368268532899</v>
      </c>
      <c r="K2988">
        <v>14.2302146349782</v>
      </c>
      <c r="L2988">
        <v>13.6035640993556</v>
      </c>
      <c r="M2988">
        <v>13.7632024826835</v>
      </c>
      <c r="N2988">
        <v>13.570202041345301</v>
      </c>
      <c r="O2988">
        <v>14.027941748109599</v>
      </c>
      <c r="P2988">
        <v>-6.6600243576111495E-2</v>
      </c>
      <c r="Q2988">
        <v>-0.68967256491725304</v>
      </c>
      <c r="R2988">
        <v>0.55647207776503005</v>
      </c>
      <c r="S2988">
        <v>13.5593108727108</v>
      </c>
      <c r="T2988">
        <v>-0.225625079141581</v>
      </c>
      <c r="U2988">
        <v>-7.0253650638731697</v>
      </c>
      <c r="V2988">
        <v>0.82419975875079399</v>
      </c>
      <c r="W2988">
        <v>0.92800900172148304</v>
      </c>
      <c r="X2988">
        <v>0</v>
      </c>
      <c r="Y2988">
        <v>0</v>
      </c>
    </row>
    <row r="2989" spans="1:25" x14ac:dyDescent="0.2">
      <c r="A2989" t="s">
        <v>11079</v>
      </c>
      <c r="B2989" t="s">
        <v>11080</v>
      </c>
      <c r="C2989" t="s">
        <v>11081</v>
      </c>
      <c r="D2989" t="s">
        <v>11082</v>
      </c>
      <c r="E2989" t="s">
        <v>11080</v>
      </c>
      <c r="F2989" t="s">
        <v>28</v>
      </c>
      <c r="G2989" t="s">
        <v>11080</v>
      </c>
      <c r="H2989" t="str">
        <f>"nkb-1"</f>
        <v>nkb-1</v>
      </c>
      <c r="I2989" t="s">
        <v>11082</v>
      </c>
      <c r="J2989">
        <v>16.151913210138702</v>
      </c>
      <c r="K2989">
        <v>16.040954951164299</v>
      </c>
      <c r="L2989">
        <v>15.400209827916299</v>
      </c>
      <c r="M2989">
        <v>15.6950405838978</v>
      </c>
      <c r="N2989">
        <v>14.9397473654041</v>
      </c>
      <c r="O2989">
        <v>15.6055591076067</v>
      </c>
      <c r="P2989">
        <v>-0.45091031077022597</v>
      </c>
      <c r="Q2989">
        <v>-0.97347688913207098</v>
      </c>
      <c r="R2989">
        <v>7.1656267591618805E-2</v>
      </c>
      <c r="S2989">
        <v>15.0563547329223</v>
      </c>
      <c r="T2989">
        <v>-1.8135980875803701</v>
      </c>
      <c r="U2989">
        <v>-5.4707400973050397</v>
      </c>
      <c r="V2989">
        <v>8.6545824761655302E-2</v>
      </c>
      <c r="W2989">
        <v>0.30188911217609299</v>
      </c>
      <c r="X2989">
        <v>0</v>
      </c>
      <c r="Y2989">
        <v>0</v>
      </c>
    </row>
    <row r="2990" spans="1:25" x14ac:dyDescent="0.2">
      <c r="A2990" t="s">
        <v>11083</v>
      </c>
      <c r="B2990" t="s">
        <v>11084</v>
      </c>
      <c r="C2990" t="s">
        <v>11085</v>
      </c>
      <c r="D2990" t="s">
        <v>49</v>
      </c>
      <c r="E2990" t="s">
        <v>11084</v>
      </c>
      <c r="F2990" t="s">
        <v>28</v>
      </c>
      <c r="G2990" t="s">
        <v>11084</v>
      </c>
      <c r="H2990" t="str">
        <f>"ugt-23"</f>
        <v>ugt-23</v>
      </c>
      <c r="I2990" t="s">
        <v>49</v>
      </c>
      <c r="J2990">
        <v>13.6133980191043</v>
      </c>
      <c r="K2990">
        <v>13.541872121361299</v>
      </c>
      <c r="L2990">
        <v>13.732030313176301</v>
      </c>
      <c r="M2990">
        <v>13.5046920074626</v>
      </c>
      <c r="N2990">
        <v>13.652720170498901</v>
      </c>
      <c r="O2990">
        <v>13.272359676786101</v>
      </c>
      <c r="P2990">
        <v>-0.152509532964752</v>
      </c>
      <c r="Q2990">
        <v>-0.58825622243323294</v>
      </c>
      <c r="R2990">
        <v>0.28323715650372999</v>
      </c>
      <c r="S2990">
        <v>13.6188402298329</v>
      </c>
      <c r="T2990">
        <v>-0.73562318385051795</v>
      </c>
      <c r="U2990">
        <v>-6.7727280515561201</v>
      </c>
      <c r="V2990">
        <v>0.47149265391079498</v>
      </c>
      <c r="W2990">
        <v>0.73338293299508905</v>
      </c>
      <c r="X2990">
        <v>0</v>
      </c>
      <c r="Y2990">
        <v>0</v>
      </c>
    </row>
    <row r="2991" spans="1:25" x14ac:dyDescent="0.2">
      <c r="A2991" t="s">
        <v>11086</v>
      </c>
      <c r="B2991" t="s">
        <v>11087</v>
      </c>
      <c r="C2991" t="s">
        <v>11088</v>
      </c>
      <c r="D2991" t="s">
        <v>11089</v>
      </c>
      <c r="E2991" t="s">
        <v>11087</v>
      </c>
      <c r="F2991" t="s">
        <v>28</v>
      </c>
      <c r="G2991" t="s">
        <v>11087</v>
      </c>
      <c r="H2991" t="str">
        <f>"nas-37"</f>
        <v>nas-37</v>
      </c>
      <c r="I2991" t="s">
        <v>11089</v>
      </c>
      <c r="J2991" t="s">
        <v>29</v>
      </c>
      <c r="K2991" t="s">
        <v>29</v>
      </c>
      <c r="L2991" t="s">
        <v>29</v>
      </c>
      <c r="M2991" t="s">
        <v>29</v>
      </c>
      <c r="N2991" t="s">
        <v>29</v>
      </c>
      <c r="O2991" t="s">
        <v>29</v>
      </c>
      <c r="P2991" t="s">
        <v>29</v>
      </c>
      <c r="Q2991" t="s">
        <v>29</v>
      </c>
      <c r="R2991" t="s">
        <v>29</v>
      </c>
      <c r="S2991">
        <v>12.9463216984603</v>
      </c>
      <c r="T2991" t="s">
        <v>29</v>
      </c>
      <c r="U2991" t="s">
        <v>29</v>
      </c>
      <c r="V2991" t="s">
        <v>29</v>
      </c>
      <c r="W2991" t="s">
        <v>29</v>
      </c>
      <c r="X2991" t="s">
        <v>29</v>
      </c>
      <c r="Y2991" t="s">
        <v>29</v>
      </c>
    </row>
    <row r="2992" spans="1:25" x14ac:dyDescent="0.2">
      <c r="A2992" t="s">
        <v>11090</v>
      </c>
      <c r="B2992" t="s">
        <v>11091</v>
      </c>
      <c r="C2992" t="s">
        <v>11092</v>
      </c>
      <c r="D2992" t="s">
        <v>11093</v>
      </c>
      <c r="E2992" t="s">
        <v>11091</v>
      </c>
      <c r="F2992" t="s">
        <v>28</v>
      </c>
      <c r="G2992" t="s">
        <v>11091</v>
      </c>
      <c r="H2992" t="str">
        <f>"cysl-1"</f>
        <v>cysl-1</v>
      </c>
      <c r="I2992" t="s">
        <v>11093</v>
      </c>
      <c r="J2992">
        <v>12.0142311902946</v>
      </c>
      <c r="K2992">
        <v>12.139139441096599</v>
      </c>
      <c r="L2992">
        <v>11.226644936465499</v>
      </c>
      <c r="M2992" t="s">
        <v>29</v>
      </c>
      <c r="N2992">
        <v>11.9501181137154</v>
      </c>
      <c r="O2992">
        <v>12.325398530825</v>
      </c>
      <c r="P2992">
        <v>0.34441979965127301</v>
      </c>
      <c r="Q2992">
        <v>-0.29727071139214001</v>
      </c>
      <c r="R2992">
        <v>0.98611031069468702</v>
      </c>
      <c r="S2992">
        <v>12.183816010130901</v>
      </c>
      <c r="T2992">
        <v>1.1520050564833699</v>
      </c>
      <c r="U2992">
        <v>-6.2685834091448802</v>
      </c>
      <c r="V2992">
        <v>0.26875499134799602</v>
      </c>
      <c r="W2992">
        <v>0.54453844448716004</v>
      </c>
      <c r="X2992">
        <v>0</v>
      </c>
      <c r="Y2992">
        <v>0</v>
      </c>
    </row>
    <row r="2993" spans="1:25" x14ac:dyDescent="0.2">
      <c r="A2993" t="s">
        <v>11094</v>
      </c>
      <c r="B2993" t="s">
        <v>11095</v>
      </c>
      <c r="C2993" t="s">
        <v>11096</v>
      </c>
      <c r="D2993" t="s">
        <v>10002</v>
      </c>
      <c r="E2993" t="s">
        <v>11095</v>
      </c>
      <c r="F2993" t="s">
        <v>28</v>
      </c>
      <c r="G2993" t="s">
        <v>11095</v>
      </c>
      <c r="H2993" t="str">
        <f>"C27D8.4"</f>
        <v>C27D8.4</v>
      </c>
      <c r="I2993" t="s">
        <v>10002</v>
      </c>
      <c r="J2993">
        <v>12.2612989684485</v>
      </c>
      <c r="K2993">
        <v>12.0263404672709</v>
      </c>
      <c r="L2993">
        <v>11.412780344337399</v>
      </c>
      <c r="M2993">
        <v>10.349326815932599</v>
      </c>
      <c r="N2993">
        <v>11.7281325555391</v>
      </c>
      <c r="O2993" t="s">
        <v>29</v>
      </c>
      <c r="P2993">
        <v>-0.86141024094980501</v>
      </c>
      <c r="Q2993">
        <v>-1.5875727820529699</v>
      </c>
      <c r="R2993">
        <v>-0.135247699846645</v>
      </c>
      <c r="S2993">
        <v>11.547345951705701</v>
      </c>
      <c r="T2993">
        <v>-2.56485863119795</v>
      </c>
      <c r="U2993">
        <v>-4.1099666924965703</v>
      </c>
      <c r="V2993">
        <v>2.3643597041930201E-2</v>
      </c>
      <c r="W2993">
        <v>0.14968144897751101</v>
      </c>
      <c r="X2993">
        <v>0</v>
      </c>
      <c r="Y2993">
        <v>0</v>
      </c>
    </row>
    <row r="2994" spans="1:25" x14ac:dyDescent="0.2">
      <c r="A2994" t="s">
        <v>11097</v>
      </c>
      <c r="B2994" t="s">
        <v>11098</v>
      </c>
      <c r="C2994" t="s">
        <v>11099</v>
      </c>
      <c r="D2994" t="s">
        <v>11100</v>
      </c>
      <c r="E2994" t="s">
        <v>11098</v>
      </c>
      <c r="F2994" t="s">
        <v>28</v>
      </c>
      <c r="G2994" t="s">
        <v>11098</v>
      </c>
      <c r="H2994" t="str">
        <f>"rpb-3"</f>
        <v>rpb-3</v>
      </c>
      <c r="I2994" t="s">
        <v>11100</v>
      </c>
      <c r="J2994">
        <v>11.374694233388601</v>
      </c>
      <c r="K2994">
        <v>10.5641274578339</v>
      </c>
      <c r="L2994">
        <v>11.0000660342077</v>
      </c>
      <c r="M2994" t="s">
        <v>29</v>
      </c>
      <c r="N2994">
        <v>10.4563415576549</v>
      </c>
      <c r="O2994" t="s">
        <v>29</v>
      </c>
      <c r="P2994">
        <v>-0.523287684155189</v>
      </c>
      <c r="Q2994">
        <v>-1.4008826782158801</v>
      </c>
      <c r="R2994">
        <v>0.35430730990550402</v>
      </c>
      <c r="S2994">
        <v>11.825963768755001</v>
      </c>
      <c r="T2994">
        <v>-1.2797886935579399</v>
      </c>
      <c r="U2994">
        <v>-5.8920946540300498</v>
      </c>
      <c r="V2994">
        <v>0.221575236179746</v>
      </c>
      <c r="W2994">
        <v>0.48914913061661702</v>
      </c>
      <c r="X2994">
        <v>0</v>
      </c>
      <c r="Y2994">
        <v>0</v>
      </c>
    </row>
    <row r="2995" spans="1:25" x14ac:dyDescent="0.2">
      <c r="A2995" t="s">
        <v>11101</v>
      </c>
      <c r="B2995" t="s">
        <v>11102</v>
      </c>
      <c r="C2995" t="s">
        <v>11103</v>
      </c>
      <c r="D2995" t="s">
        <v>11104</v>
      </c>
      <c r="E2995" t="s">
        <v>11102</v>
      </c>
      <c r="F2995" t="s">
        <v>28</v>
      </c>
      <c r="G2995" t="s">
        <v>11102</v>
      </c>
      <c r="H2995" t="str">
        <f>"dhfr-1"</f>
        <v>dhfr-1</v>
      </c>
      <c r="I2995" t="s">
        <v>11104</v>
      </c>
      <c r="J2995">
        <v>13.5105604065356</v>
      </c>
      <c r="K2995">
        <v>13.380797600312301</v>
      </c>
      <c r="L2995">
        <v>12.8693368876593</v>
      </c>
      <c r="M2995">
        <v>11.124900958142399</v>
      </c>
      <c r="N2995">
        <v>13.481411223071101</v>
      </c>
      <c r="O2995">
        <v>13.1340703389391</v>
      </c>
      <c r="P2995">
        <v>-0.67343745811819899</v>
      </c>
      <c r="Q2995">
        <v>-1.7003801662553599</v>
      </c>
      <c r="R2995">
        <v>0.353505250018957</v>
      </c>
      <c r="S2995">
        <v>12.5082066351022</v>
      </c>
      <c r="T2995">
        <v>-1.3842070817174399</v>
      </c>
      <c r="U2995">
        <v>-6.0983440792075001</v>
      </c>
      <c r="V2995">
        <v>0.184307877261324</v>
      </c>
      <c r="W2995">
        <v>0.44783395955828897</v>
      </c>
      <c r="X2995">
        <v>0</v>
      </c>
      <c r="Y2995">
        <v>0</v>
      </c>
    </row>
    <row r="2996" spans="1:25" x14ac:dyDescent="0.2">
      <c r="A2996" t="s">
        <v>11105</v>
      </c>
      <c r="B2996" t="s">
        <v>11106</v>
      </c>
      <c r="C2996" t="s">
        <v>11107</v>
      </c>
      <c r="D2996" t="s">
        <v>11108</v>
      </c>
      <c r="E2996" t="s">
        <v>11106</v>
      </c>
      <c r="F2996" t="s">
        <v>28</v>
      </c>
      <c r="G2996" t="s">
        <v>11106</v>
      </c>
      <c r="H2996" t="str">
        <f>"idhb-1"</f>
        <v>idhb-1</v>
      </c>
      <c r="I2996" t="s">
        <v>11108</v>
      </c>
      <c r="J2996">
        <v>17.120117886889901</v>
      </c>
      <c r="K2996">
        <v>17.0978709708473</v>
      </c>
      <c r="L2996">
        <v>16.915165774846599</v>
      </c>
      <c r="M2996">
        <v>16.737517124648001</v>
      </c>
      <c r="N2996">
        <v>17.004462766949999</v>
      </c>
      <c r="O2996">
        <v>16.8186752802042</v>
      </c>
      <c r="P2996">
        <v>-0.19083315359385</v>
      </c>
      <c r="Q2996">
        <v>-0.56096906946145697</v>
      </c>
      <c r="R2996">
        <v>0.17930276227375699</v>
      </c>
      <c r="S2996">
        <v>16.704150456393101</v>
      </c>
      <c r="T2996">
        <v>-1.0836402100955</v>
      </c>
      <c r="U2996">
        <v>-6.4561821705192397</v>
      </c>
      <c r="V2996">
        <v>0.29290944422827098</v>
      </c>
      <c r="W2996">
        <v>0.57073294396640095</v>
      </c>
      <c r="X2996">
        <v>0</v>
      </c>
      <c r="Y2996">
        <v>0</v>
      </c>
    </row>
    <row r="2997" spans="1:25" x14ac:dyDescent="0.2">
      <c r="A2997" t="s">
        <v>11109</v>
      </c>
      <c r="B2997" t="s">
        <v>11110</v>
      </c>
      <c r="C2997" t="s">
        <v>11111</v>
      </c>
      <c r="D2997" t="s">
        <v>11112</v>
      </c>
      <c r="E2997" t="s">
        <v>11110</v>
      </c>
      <c r="F2997" t="s">
        <v>28</v>
      </c>
      <c r="G2997" t="s">
        <v>11110</v>
      </c>
      <c r="H2997" t="str">
        <f>"mina-1"</f>
        <v>mina-1</v>
      </c>
      <c r="I2997" t="s">
        <v>11112</v>
      </c>
      <c r="J2997" t="s">
        <v>29</v>
      </c>
      <c r="K2997" t="s">
        <v>29</v>
      </c>
      <c r="L2997" t="s">
        <v>29</v>
      </c>
      <c r="M2997" t="s">
        <v>29</v>
      </c>
      <c r="N2997" t="s">
        <v>29</v>
      </c>
      <c r="O2997" t="s">
        <v>29</v>
      </c>
      <c r="P2997" t="s">
        <v>29</v>
      </c>
      <c r="Q2997" t="s">
        <v>29</v>
      </c>
      <c r="R2997" t="s">
        <v>29</v>
      </c>
      <c r="S2997">
        <v>12.343216747222099</v>
      </c>
      <c r="T2997" t="s">
        <v>29</v>
      </c>
      <c r="U2997" t="s">
        <v>29</v>
      </c>
      <c r="V2997" t="s">
        <v>29</v>
      </c>
      <c r="W2997" t="s">
        <v>29</v>
      </c>
      <c r="X2997" t="s">
        <v>29</v>
      </c>
      <c r="Y2997" t="s">
        <v>29</v>
      </c>
    </row>
    <row r="2998" spans="1:25" x14ac:dyDescent="0.2">
      <c r="A2998" t="s">
        <v>11113</v>
      </c>
      <c r="B2998" t="s">
        <v>11114</v>
      </c>
      <c r="C2998" t="s">
        <v>11115</v>
      </c>
      <c r="D2998" t="s">
        <v>2636</v>
      </c>
      <c r="E2998" t="s">
        <v>11114</v>
      </c>
      <c r="F2998" t="s">
        <v>28</v>
      </c>
      <c r="G2998" t="s">
        <v>11116</v>
      </c>
      <c r="H2998" t="str">
        <f>"set-32"</f>
        <v>set-32</v>
      </c>
      <c r="I2998" t="s">
        <v>2636</v>
      </c>
      <c r="J2998" t="s">
        <v>29</v>
      </c>
      <c r="K2998" t="s">
        <v>29</v>
      </c>
      <c r="L2998" t="s">
        <v>29</v>
      </c>
      <c r="M2998" t="s">
        <v>29</v>
      </c>
      <c r="N2998" t="s">
        <v>29</v>
      </c>
      <c r="O2998" t="s">
        <v>29</v>
      </c>
      <c r="P2998" t="s">
        <v>29</v>
      </c>
      <c r="Q2998" t="s">
        <v>29</v>
      </c>
      <c r="R2998" t="s">
        <v>29</v>
      </c>
      <c r="S2998">
        <v>10.059612125092301</v>
      </c>
      <c r="T2998" t="s">
        <v>29</v>
      </c>
      <c r="U2998" t="s">
        <v>29</v>
      </c>
      <c r="V2998" t="s">
        <v>29</v>
      </c>
      <c r="W2998" t="s">
        <v>29</v>
      </c>
      <c r="X2998" t="s">
        <v>29</v>
      </c>
      <c r="Y2998" t="s">
        <v>29</v>
      </c>
    </row>
    <row r="2999" spans="1:25" x14ac:dyDescent="0.2">
      <c r="A2999" t="s">
        <v>11117</v>
      </c>
      <c r="B2999" t="s">
        <v>11118</v>
      </c>
      <c r="C2999" t="s">
        <v>11119</v>
      </c>
      <c r="D2999" t="s">
        <v>2791</v>
      </c>
      <c r="E2999" t="s">
        <v>11118</v>
      </c>
      <c r="F2999" t="s">
        <v>28</v>
      </c>
      <c r="G2999" t="s">
        <v>11118</v>
      </c>
      <c r="H2999" t="str">
        <f>"C46F11.4"</f>
        <v>C46F11.4</v>
      </c>
      <c r="I2999" t="s">
        <v>2791</v>
      </c>
      <c r="J2999">
        <v>13.2341531738087</v>
      </c>
      <c r="K2999">
        <v>13.1683024111591</v>
      </c>
      <c r="L2999">
        <v>12.9666608616222</v>
      </c>
      <c r="M2999">
        <v>12.902251041575999</v>
      </c>
      <c r="N2999">
        <v>13.2138882960381</v>
      </c>
      <c r="O2999">
        <v>11.919975143475501</v>
      </c>
      <c r="P2999">
        <v>-0.44433398850014399</v>
      </c>
      <c r="Q2999">
        <v>-1.03380137392065</v>
      </c>
      <c r="R2999">
        <v>0.14513339692036201</v>
      </c>
      <c r="S2999">
        <v>12.906854915085701</v>
      </c>
      <c r="T2999">
        <v>-1.59881893790915</v>
      </c>
      <c r="U2999">
        <v>-5.8023149112408197</v>
      </c>
      <c r="V2999">
        <v>0.12954670588637199</v>
      </c>
      <c r="W2999">
        <v>0.373379079676044</v>
      </c>
      <c r="X2999">
        <v>0</v>
      </c>
      <c r="Y2999">
        <v>0</v>
      </c>
    </row>
    <row r="3000" spans="1:25" x14ac:dyDescent="0.2">
      <c r="A3000" t="s">
        <v>11120</v>
      </c>
      <c r="B3000" t="s">
        <v>11121</v>
      </c>
      <c r="C3000" t="s">
        <v>14596</v>
      </c>
      <c r="D3000" t="s">
        <v>581</v>
      </c>
      <c r="E3000" t="s">
        <v>11121</v>
      </c>
      <c r="F3000" t="s">
        <v>28</v>
      </c>
      <c r="G3000" t="s">
        <v>11121</v>
      </c>
      <c r="H3000" t="str">
        <f>"D2005.4"</f>
        <v>D2005.4</v>
      </c>
      <c r="I3000" t="s">
        <v>581</v>
      </c>
      <c r="J3000" t="s">
        <v>29</v>
      </c>
      <c r="K3000">
        <v>10.384881206944399</v>
      </c>
      <c r="L3000">
        <v>12.3118086574041</v>
      </c>
      <c r="M3000" t="s">
        <v>29</v>
      </c>
      <c r="N3000">
        <v>10.660594938990799</v>
      </c>
      <c r="O3000">
        <v>9.7025265337340603</v>
      </c>
      <c r="P3000">
        <v>-1.1667841958118399</v>
      </c>
      <c r="Q3000">
        <v>-2.32130229844193</v>
      </c>
      <c r="R3000">
        <v>-1.22660931817606E-2</v>
      </c>
      <c r="S3000">
        <v>12.9293708181188</v>
      </c>
      <c r="T3000">
        <v>-2.16911053560221</v>
      </c>
      <c r="U3000">
        <v>-4.7068621494407097</v>
      </c>
      <c r="V3000">
        <v>4.7922797135359803E-2</v>
      </c>
      <c r="W3000">
        <v>0.21718771849367799</v>
      </c>
      <c r="X3000">
        <v>-1</v>
      </c>
      <c r="Y3000">
        <v>0</v>
      </c>
    </row>
    <row r="3001" spans="1:25" x14ac:dyDescent="0.2">
      <c r="A3001" t="s">
        <v>11122</v>
      </c>
      <c r="B3001" t="s">
        <v>11123</v>
      </c>
      <c r="C3001" t="s">
        <v>14597</v>
      </c>
      <c r="D3001" t="s">
        <v>11124</v>
      </c>
      <c r="E3001" t="s">
        <v>11123</v>
      </c>
      <c r="F3001" t="s">
        <v>28</v>
      </c>
      <c r="G3001" t="s">
        <v>11123</v>
      </c>
      <c r="H3001" t="str">
        <f>"D2005.6"</f>
        <v>D2005.6</v>
      </c>
      <c r="I3001" t="s">
        <v>11124</v>
      </c>
      <c r="J3001" t="s">
        <v>29</v>
      </c>
      <c r="K3001">
        <v>12.009145429378201</v>
      </c>
      <c r="L3001" t="s">
        <v>29</v>
      </c>
      <c r="M3001">
        <v>11.6985771983103</v>
      </c>
      <c r="N3001" t="s">
        <v>29</v>
      </c>
      <c r="O3001" t="s">
        <v>29</v>
      </c>
      <c r="P3001">
        <v>-0.310568231067956</v>
      </c>
      <c r="Q3001">
        <v>-1.3665753040158599</v>
      </c>
      <c r="R3001">
        <v>0.74543884187995002</v>
      </c>
      <c r="S3001">
        <v>12.044948846057499</v>
      </c>
      <c r="T3001">
        <v>-0.65623152800610696</v>
      </c>
      <c r="U3001">
        <v>-6.2831491845983303</v>
      </c>
      <c r="V3001">
        <v>0.52663997059310397</v>
      </c>
      <c r="W3001">
        <v>0.770341181469824</v>
      </c>
      <c r="X3001">
        <v>0</v>
      </c>
      <c r="Y3001">
        <v>0</v>
      </c>
    </row>
    <row r="3002" spans="1:25" x14ac:dyDescent="0.2">
      <c r="A3002" t="s">
        <v>11125</v>
      </c>
      <c r="B3002" t="s">
        <v>11126</v>
      </c>
      <c r="C3002" t="s">
        <v>11127</v>
      </c>
      <c r="D3002" t="s">
        <v>11128</v>
      </c>
      <c r="E3002" t="s">
        <v>11126</v>
      </c>
      <c r="F3002" t="s">
        <v>28</v>
      </c>
      <c r="G3002" t="s">
        <v>11126</v>
      </c>
      <c r="H3002" t="str">
        <f>"drh-3"</f>
        <v>drh-3</v>
      </c>
      <c r="I3002" t="s">
        <v>11128</v>
      </c>
      <c r="J3002">
        <v>13.894827222365</v>
      </c>
      <c r="K3002">
        <v>13.6756539985759</v>
      </c>
      <c r="L3002">
        <v>13.7837271080351</v>
      </c>
      <c r="M3002">
        <v>13.290948423776101</v>
      </c>
      <c r="N3002">
        <v>13.808206136273901</v>
      </c>
      <c r="O3002">
        <v>13.5603265517043</v>
      </c>
      <c r="P3002">
        <v>-0.23157573907392101</v>
      </c>
      <c r="Q3002">
        <v>-0.74148823742367598</v>
      </c>
      <c r="R3002">
        <v>0.27833675927583301</v>
      </c>
      <c r="S3002">
        <v>14.0811098174748</v>
      </c>
      <c r="T3002">
        <v>-0.95453073083042195</v>
      </c>
      <c r="U3002">
        <v>-6.5864414196521199</v>
      </c>
      <c r="V3002">
        <v>0.35253247925229902</v>
      </c>
      <c r="W3002">
        <v>0.63322332118917202</v>
      </c>
      <c r="X3002">
        <v>0</v>
      </c>
      <c r="Y3002">
        <v>0</v>
      </c>
    </row>
    <row r="3003" spans="1:25" x14ac:dyDescent="0.2">
      <c r="A3003" t="s">
        <v>11129</v>
      </c>
      <c r="B3003" t="s">
        <v>11130</v>
      </c>
      <c r="C3003" t="s">
        <v>11131</v>
      </c>
      <c r="D3003" t="s">
        <v>11132</v>
      </c>
      <c r="E3003" t="s">
        <v>11130</v>
      </c>
      <c r="F3003" t="s">
        <v>28</v>
      </c>
      <c r="G3003" t="s">
        <v>11130</v>
      </c>
      <c r="H3003" t="str">
        <f>"mrps-5"</f>
        <v>mrps-5</v>
      </c>
      <c r="I3003" t="s">
        <v>11132</v>
      </c>
      <c r="J3003">
        <v>15.939181907159799</v>
      </c>
      <c r="K3003">
        <v>16.026431999996301</v>
      </c>
      <c r="L3003">
        <v>16.019956415757299</v>
      </c>
      <c r="M3003">
        <v>15.6171716644472</v>
      </c>
      <c r="N3003">
        <v>15.346833564606699</v>
      </c>
      <c r="O3003">
        <v>15.121204256135099</v>
      </c>
      <c r="P3003">
        <v>-0.63345361257477295</v>
      </c>
      <c r="Q3003">
        <v>-1.16926009680135</v>
      </c>
      <c r="R3003">
        <v>-9.7647128348194903E-2</v>
      </c>
      <c r="S3003">
        <v>15.8076378430952</v>
      </c>
      <c r="T3003">
        <v>-2.4848453543145501</v>
      </c>
      <c r="U3003">
        <v>-4.2755435213192099</v>
      </c>
      <c r="V3003">
        <v>2.3085697901920402E-2</v>
      </c>
      <c r="W3003">
        <v>0.148460199551085</v>
      </c>
      <c r="X3003">
        <v>0</v>
      </c>
      <c r="Y3003">
        <v>0</v>
      </c>
    </row>
    <row r="3004" spans="1:25" x14ac:dyDescent="0.2">
      <c r="A3004" t="s">
        <v>11133</v>
      </c>
      <c r="B3004" t="s">
        <v>11134</v>
      </c>
      <c r="C3004" t="s">
        <v>11135</v>
      </c>
      <c r="D3004" t="s">
        <v>11136</v>
      </c>
      <c r="E3004" t="s">
        <v>11134</v>
      </c>
      <c r="F3004" t="s">
        <v>28</v>
      </c>
      <c r="G3004" t="s">
        <v>11134</v>
      </c>
      <c r="H3004" t="str">
        <f>"let-19"</f>
        <v>let-19</v>
      </c>
      <c r="I3004" t="s">
        <v>11136</v>
      </c>
      <c r="J3004">
        <v>13.0605826473902</v>
      </c>
      <c r="K3004">
        <v>13.763946593159901</v>
      </c>
      <c r="L3004">
        <v>13.564714080646</v>
      </c>
      <c r="M3004">
        <v>13.4050936576282</v>
      </c>
      <c r="N3004">
        <v>12.8471778481152</v>
      </c>
      <c r="O3004">
        <v>13.393348290402599</v>
      </c>
      <c r="P3004">
        <v>-0.24787450835001401</v>
      </c>
      <c r="Q3004">
        <v>-0.85387460406890103</v>
      </c>
      <c r="R3004">
        <v>0.35812558736887301</v>
      </c>
      <c r="S3004">
        <v>13.557309107997201</v>
      </c>
      <c r="T3004">
        <v>-0.85970942154775698</v>
      </c>
      <c r="U3004">
        <v>-6.6725931744683802</v>
      </c>
      <c r="V3004">
        <v>0.40132007200391401</v>
      </c>
      <c r="W3004">
        <v>0.67523035899727801</v>
      </c>
      <c r="X3004">
        <v>0</v>
      </c>
      <c r="Y3004">
        <v>0</v>
      </c>
    </row>
    <row r="3005" spans="1:25" x14ac:dyDescent="0.2">
      <c r="A3005" t="s">
        <v>11137</v>
      </c>
      <c r="B3005" t="s">
        <v>11138</v>
      </c>
      <c r="C3005" t="s">
        <v>11139</v>
      </c>
      <c r="D3005" t="s">
        <v>11140</v>
      </c>
      <c r="E3005" t="s">
        <v>11138</v>
      </c>
      <c r="F3005" t="s">
        <v>28</v>
      </c>
      <c r="G3005" t="s">
        <v>11138</v>
      </c>
      <c r="H3005" t="str">
        <f>"ercc-1"</f>
        <v>ercc-1</v>
      </c>
      <c r="I3005" t="s">
        <v>11140</v>
      </c>
      <c r="J3005">
        <v>11.016733182719101</v>
      </c>
      <c r="K3005" t="s">
        <v>29</v>
      </c>
      <c r="L3005" t="s">
        <v>29</v>
      </c>
      <c r="M3005" t="s">
        <v>29</v>
      </c>
      <c r="N3005" t="s">
        <v>29</v>
      </c>
      <c r="O3005" t="s">
        <v>29</v>
      </c>
      <c r="P3005" t="s">
        <v>29</v>
      </c>
      <c r="Q3005" t="s">
        <v>29</v>
      </c>
      <c r="R3005" t="s">
        <v>29</v>
      </c>
      <c r="S3005">
        <v>11.1715738426445</v>
      </c>
      <c r="T3005" t="s">
        <v>29</v>
      </c>
      <c r="U3005" t="s">
        <v>29</v>
      </c>
      <c r="V3005" t="s">
        <v>29</v>
      </c>
      <c r="W3005" t="s">
        <v>29</v>
      </c>
      <c r="X3005" t="s">
        <v>29</v>
      </c>
      <c r="Y3005" t="s">
        <v>29</v>
      </c>
    </row>
    <row r="3006" spans="1:25" x14ac:dyDescent="0.2">
      <c r="A3006" t="s">
        <v>11141</v>
      </c>
      <c r="B3006" t="s">
        <v>11142</v>
      </c>
      <c r="C3006" t="s">
        <v>11143</v>
      </c>
      <c r="D3006" t="s">
        <v>11144</v>
      </c>
      <c r="E3006" t="s">
        <v>11142</v>
      </c>
      <c r="F3006" t="s">
        <v>28</v>
      </c>
      <c r="G3006" t="s">
        <v>11142</v>
      </c>
      <c r="H3006" t="str">
        <f>"nubp-1"</f>
        <v>nubp-1</v>
      </c>
      <c r="I3006" t="s">
        <v>11144</v>
      </c>
      <c r="J3006">
        <v>13.4946628759125</v>
      </c>
      <c r="K3006">
        <v>13.385061046013201</v>
      </c>
      <c r="L3006">
        <v>13.618257658190601</v>
      </c>
      <c r="M3006">
        <v>13.688425445364899</v>
      </c>
      <c r="N3006">
        <v>13.959039851859901</v>
      </c>
      <c r="O3006">
        <v>13.792539548492901</v>
      </c>
      <c r="P3006">
        <v>0.31400775520049101</v>
      </c>
      <c r="Q3006">
        <v>-0.30843478469124203</v>
      </c>
      <c r="R3006">
        <v>0.936450295092223</v>
      </c>
      <c r="S3006">
        <v>13.3913435970605</v>
      </c>
      <c r="T3006">
        <v>1.06031186477312</v>
      </c>
      <c r="U3006">
        <v>-6.4807997907528501</v>
      </c>
      <c r="V3006">
        <v>0.30310477509405798</v>
      </c>
      <c r="W3006">
        <v>0.58269199535190597</v>
      </c>
      <c r="X3006">
        <v>0</v>
      </c>
      <c r="Y3006">
        <v>0</v>
      </c>
    </row>
    <row r="3007" spans="1:25" x14ac:dyDescent="0.2">
      <c r="A3007" t="s">
        <v>11145</v>
      </c>
      <c r="B3007" t="s">
        <v>11146</v>
      </c>
      <c r="C3007" t="s">
        <v>14598</v>
      </c>
      <c r="D3007" t="s">
        <v>11147</v>
      </c>
      <c r="E3007" t="s">
        <v>11146</v>
      </c>
      <c r="F3007" t="s">
        <v>28</v>
      </c>
      <c r="G3007" t="s">
        <v>11146</v>
      </c>
      <c r="H3007" t="str">
        <f>"F16B12.6"</f>
        <v>F16B12.6</v>
      </c>
      <c r="I3007" t="s">
        <v>11147</v>
      </c>
      <c r="J3007">
        <v>11.737737442112101</v>
      </c>
      <c r="K3007">
        <v>11.677016924132399</v>
      </c>
      <c r="L3007">
        <v>11.3212979505077</v>
      </c>
      <c r="M3007">
        <v>12.180198079551101</v>
      </c>
      <c r="N3007">
        <v>11.9767304155638</v>
      </c>
      <c r="O3007">
        <v>12.160352988172299</v>
      </c>
      <c r="P3007">
        <v>0.52707638884503205</v>
      </c>
      <c r="Q3007">
        <v>6.6914670241447094E-2</v>
      </c>
      <c r="R3007">
        <v>0.98723810744861695</v>
      </c>
      <c r="S3007">
        <v>12.214076809650299</v>
      </c>
      <c r="T3007">
        <v>2.41775944523215</v>
      </c>
      <c r="U3007">
        <v>-4.4161983918720704</v>
      </c>
      <c r="V3007">
        <v>2.72103224987367E-2</v>
      </c>
      <c r="W3007">
        <v>0.16157370330454299</v>
      </c>
      <c r="X3007">
        <v>0</v>
      </c>
      <c r="Y3007">
        <v>0</v>
      </c>
    </row>
    <row r="3008" spans="1:25" x14ac:dyDescent="0.2">
      <c r="A3008" t="s">
        <v>11148</v>
      </c>
      <c r="B3008" t="s">
        <v>11149</v>
      </c>
      <c r="C3008" t="s">
        <v>11150</v>
      </c>
      <c r="D3008" t="s">
        <v>11151</v>
      </c>
      <c r="E3008" t="s">
        <v>11149</v>
      </c>
      <c r="F3008" t="s">
        <v>28</v>
      </c>
      <c r="G3008" t="s">
        <v>11149</v>
      </c>
      <c r="H3008" t="str">
        <f>"tbc-1"</f>
        <v>tbc-1</v>
      </c>
      <c r="I3008" t="s">
        <v>11151</v>
      </c>
      <c r="J3008">
        <v>12.596132762559501</v>
      </c>
      <c r="K3008">
        <v>12.809184035522099</v>
      </c>
      <c r="L3008">
        <v>12.1891800877401</v>
      </c>
      <c r="M3008">
        <v>12.6663094822605</v>
      </c>
      <c r="N3008">
        <v>12.906505975631401</v>
      </c>
      <c r="O3008">
        <v>12.2186708016936</v>
      </c>
      <c r="P3008">
        <v>6.5663124587910501E-2</v>
      </c>
      <c r="Q3008">
        <v>-0.39172857676417999</v>
      </c>
      <c r="R3008">
        <v>0.52305482594000097</v>
      </c>
      <c r="S3008">
        <v>12.350078069620899</v>
      </c>
      <c r="T3008">
        <v>0.303028361268875</v>
      </c>
      <c r="U3008">
        <v>-7.0039445972606398</v>
      </c>
      <c r="V3008">
        <v>0.76556769170269801</v>
      </c>
      <c r="W3008">
        <v>0.90111683213701999</v>
      </c>
      <c r="X3008">
        <v>0</v>
      </c>
      <c r="Y3008">
        <v>0</v>
      </c>
    </row>
    <row r="3009" spans="1:25" x14ac:dyDescent="0.2">
      <c r="A3009" t="s">
        <v>11152</v>
      </c>
      <c r="B3009" t="s">
        <v>11153</v>
      </c>
      <c r="C3009" t="s">
        <v>11154</v>
      </c>
      <c r="D3009" t="s">
        <v>11155</v>
      </c>
      <c r="E3009" t="s">
        <v>11153</v>
      </c>
      <c r="F3009" t="s">
        <v>28</v>
      </c>
      <c r="G3009" t="s">
        <v>11153</v>
      </c>
      <c r="H3009" t="str">
        <f>"rbg-1"</f>
        <v>rbg-1</v>
      </c>
      <c r="I3009" t="s">
        <v>11155</v>
      </c>
      <c r="J3009">
        <v>12.8984918879397</v>
      </c>
      <c r="K3009">
        <v>12.981309592691501</v>
      </c>
      <c r="L3009">
        <v>11.927677604912599</v>
      </c>
      <c r="M3009">
        <v>13.092727118298701</v>
      </c>
      <c r="N3009">
        <v>12.952887588470899</v>
      </c>
      <c r="O3009">
        <v>12.674433602572799</v>
      </c>
      <c r="P3009">
        <v>0.304189741266159</v>
      </c>
      <c r="Q3009">
        <v>-0.444240226622936</v>
      </c>
      <c r="R3009">
        <v>1.05261970915525</v>
      </c>
      <c r="S3009">
        <v>12.5288503872641</v>
      </c>
      <c r="T3009">
        <v>0.86683213009290605</v>
      </c>
      <c r="U3009">
        <v>-6.6638928219210403</v>
      </c>
      <c r="V3009">
        <v>0.39978295556520299</v>
      </c>
      <c r="W3009">
        <v>0.67368914417875303</v>
      </c>
      <c r="X3009">
        <v>0</v>
      </c>
      <c r="Y3009">
        <v>0</v>
      </c>
    </row>
    <row r="3010" spans="1:25" x14ac:dyDescent="0.2">
      <c r="A3010" t="s">
        <v>11156</v>
      </c>
      <c r="B3010" t="s">
        <v>11157</v>
      </c>
      <c r="C3010" t="s">
        <v>11158</v>
      </c>
      <c r="D3010" t="s">
        <v>11159</v>
      </c>
      <c r="E3010" t="s">
        <v>11157</v>
      </c>
      <c r="F3010" t="s">
        <v>28</v>
      </c>
      <c r="G3010" t="s">
        <v>11157</v>
      </c>
      <c r="H3010" t="str">
        <f>"slc-25a18.1"</f>
        <v>slc-25a18.1</v>
      </c>
      <c r="I3010" t="s">
        <v>11159</v>
      </c>
      <c r="J3010">
        <v>15.4332128045651</v>
      </c>
      <c r="K3010">
        <v>15.3721182824882</v>
      </c>
      <c r="L3010">
        <v>15.0982291844412</v>
      </c>
      <c r="M3010">
        <v>15.117776533782701</v>
      </c>
      <c r="N3010">
        <v>15.1703496740364</v>
      </c>
      <c r="O3010">
        <v>15.0700881687482</v>
      </c>
      <c r="P3010">
        <v>-0.181781964975716</v>
      </c>
      <c r="Q3010">
        <v>-0.52363118447253398</v>
      </c>
      <c r="R3010">
        <v>0.16006725452110199</v>
      </c>
      <c r="S3010">
        <v>15.087034265514101</v>
      </c>
      <c r="T3010">
        <v>-1.1176574416649001</v>
      </c>
      <c r="U3010">
        <v>-6.4194461413499999</v>
      </c>
      <c r="V3010">
        <v>0.27849422895459203</v>
      </c>
      <c r="W3010">
        <v>0.55801737747428704</v>
      </c>
      <c r="X3010">
        <v>0</v>
      </c>
      <c r="Y3010">
        <v>0</v>
      </c>
    </row>
    <row r="3011" spans="1:25" x14ac:dyDescent="0.2">
      <c r="A3011" t="s">
        <v>11160</v>
      </c>
      <c r="B3011" t="s">
        <v>11161</v>
      </c>
      <c r="C3011" t="s">
        <v>11162</v>
      </c>
      <c r="D3011" t="s">
        <v>11163</v>
      </c>
      <c r="E3011" t="s">
        <v>11161</v>
      </c>
      <c r="F3011" t="s">
        <v>28</v>
      </c>
      <c r="G3011" t="s">
        <v>11161</v>
      </c>
      <c r="H3011" t="str">
        <f>"cup-2"</f>
        <v>cup-2</v>
      </c>
      <c r="I3011" t="s">
        <v>11163</v>
      </c>
      <c r="J3011">
        <v>16.944934544802301</v>
      </c>
      <c r="K3011">
        <v>17.077814897424499</v>
      </c>
      <c r="L3011">
        <v>17.229437014410301</v>
      </c>
      <c r="M3011">
        <v>16.995817557298601</v>
      </c>
      <c r="N3011">
        <v>16.832874627211702</v>
      </c>
      <c r="O3011">
        <v>17.023963742233001</v>
      </c>
      <c r="P3011">
        <v>-0.13317684329796001</v>
      </c>
      <c r="Q3011">
        <v>-0.52981617141842596</v>
      </c>
      <c r="R3011">
        <v>0.263462484822506</v>
      </c>
      <c r="S3011">
        <v>17.428738564555399</v>
      </c>
      <c r="T3011">
        <v>-0.70570867479150401</v>
      </c>
      <c r="U3011">
        <v>-6.7946817359036604</v>
      </c>
      <c r="V3011">
        <v>0.48945514996426998</v>
      </c>
      <c r="W3011">
        <v>0.74285776958196503</v>
      </c>
      <c r="X3011">
        <v>0</v>
      </c>
      <c r="Y3011">
        <v>0</v>
      </c>
    </row>
    <row r="3012" spans="1:25" x14ac:dyDescent="0.2">
      <c r="A3012" t="s">
        <v>11164</v>
      </c>
      <c r="B3012" t="s">
        <v>11165</v>
      </c>
      <c r="C3012" t="s">
        <v>14599</v>
      </c>
      <c r="D3012" t="s">
        <v>4327</v>
      </c>
      <c r="E3012" t="s">
        <v>11165</v>
      </c>
      <c r="F3012" t="s">
        <v>28</v>
      </c>
      <c r="G3012" t="s">
        <v>11165</v>
      </c>
      <c r="H3012" t="str">
        <f>"F25H2.4"</f>
        <v>F25H2.4</v>
      </c>
      <c r="I3012" t="s">
        <v>4327</v>
      </c>
      <c r="J3012">
        <v>15.380563903350099</v>
      </c>
      <c r="K3012">
        <v>14.909482485532401</v>
      </c>
      <c r="L3012">
        <v>14.943814360927499</v>
      </c>
      <c r="M3012">
        <v>14.674892415025999</v>
      </c>
      <c r="N3012">
        <v>14.670082945102999</v>
      </c>
      <c r="O3012">
        <v>14.891785901420199</v>
      </c>
      <c r="P3012">
        <v>-0.33236649608691199</v>
      </c>
      <c r="Q3012">
        <v>-0.76382446699967299</v>
      </c>
      <c r="R3012">
        <v>9.9091474825848097E-2</v>
      </c>
      <c r="S3012">
        <v>14.533097898509</v>
      </c>
      <c r="T3012">
        <v>-1.6190909865415799</v>
      </c>
      <c r="U3012">
        <v>-5.7707148889152897</v>
      </c>
      <c r="V3012">
        <v>0.122916573788497</v>
      </c>
      <c r="W3012">
        <v>0.36327931980723699</v>
      </c>
      <c r="X3012">
        <v>0</v>
      </c>
      <c r="Y3012">
        <v>0</v>
      </c>
    </row>
    <row r="3013" spans="1:25" x14ac:dyDescent="0.2">
      <c r="A3013" t="s">
        <v>11166</v>
      </c>
      <c r="B3013" t="s">
        <v>11167</v>
      </c>
      <c r="C3013" t="s">
        <v>14600</v>
      </c>
      <c r="D3013" t="s">
        <v>11168</v>
      </c>
      <c r="E3013" t="s">
        <v>11167</v>
      </c>
      <c r="F3013" t="s">
        <v>28</v>
      </c>
      <c r="G3013" t="s">
        <v>11167</v>
      </c>
      <c r="H3013" t="str">
        <f>"F25H2.6"</f>
        <v>F25H2.6</v>
      </c>
      <c r="I3013" t="s">
        <v>11168</v>
      </c>
      <c r="J3013">
        <v>12.0311255856943</v>
      </c>
      <c r="K3013">
        <v>12.521550853858701</v>
      </c>
      <c r="L3013">
        <v>12.3013838427688</v>
      </c>
      <c r="M3013">
        <v>13.0456442854743</v>
      </c>
      <c r="N3013">
        <v>12.307934494682801</v>
      </c>
      <c r="O3013">
        <v>12.780164064572499</v>
      </c>
      <c r="P3013">
        <v>0.42656085413596001</v>
      </c>
      <c r="Q3013">
        <v>-3.7669881595382398E-2</v>
      </c>
      <c r="R3013">
        <v>0.890791589867303</v>
      </c>
      <c r="S3013">
        <v>12.5472209067085</v>
      </c>
      <c r="T3013">
        <v>1.9489317752923501</v>
      </c>
      <c r="U3013">
        <v>-5.2568035337355097</v>
      </c>
      <c r="V3013">
        <v>6.91779539705734E-2</v>
      </c>
      <c r="W3013">
        <v>0.26734567959649203</v>
      </c>
      <c r="X3013">
        <v>0</v>
      </c>
      <c r="Y3013">
        <v>0</v>
      </c>
    </row>
    <row r="3014" spans="1:25" x14ac:dyDescent="0.2">
      <c r="A3014" t="s">
        <v>11169</v>
      </c>
      <c r="B3014" t="s">
        <v>11170</v>
      </c>
      <c r="C3014" t="s">
        <v>11171</v>
      </c>
      <c r="D3014" t="s">
        <v>11172</v>
      </c>
      <c r="E3014" t="s">
        <v>11170</v>
      </c>
      <c r="F3014" t="s">
        <v>28</v>
      </c>
      <c r="G3014" t="s">
        <v>11170</v>
      </c>
      <c r="H3014" t="str">
        <f>"ubc-25"</f>
        <v>ubc-25</v>
      </c>
      <c r="I3014" t="s">
        <v>11172</v>
      </c>
      <c r="J3014" t="s">
        <v>29</v>
      </c>
      <c r="K3014" t="s">
        <v>29</v>
      </c>
      <c r="L3014" t="s">
        <v>29</v>
      </c>
      <c r="M3014" t="s">
        <v>29</v>
      </c>
      <c r="N3014">
        <v>12.004583191607001</v>
      </c>
      <c r="O3014" t="s">
        <v>29</v>
      </c>
      <c r="P3014" t="s">
        <v>29</v>
      </c>
      <c r="Q3014" t="s">
        <v>29</v>
      </c>
      <c r="R3014" t="s">
        <v>29</v>
      </c>
      <c r="S3014">
        <v>12.137695495264699</v>
      </c>
      <c r="T3014" t="s">
        <v>29</v>
      </c>
      <c r="U3014" t="s">
        <v>29</v>
      </c>
      <c r="V3014" t="s">
        <v>29</v>
      </c>
      <c r="W3014" t="s">
        <v>29</v>
      </c>
      <c r="X3014" t="s">
        <v>29</v>
      </c>
      <c r="Y3014" t="s">
        <v>29</v>
      </c>
    </row>
    <row r="3015" spans="1:25" x14ac:dyDescent="0.2">
      <c r="A3015" t="s">
        <v>11173</v>
      </c>
      <c r="B3015" t="s">
        <v>11174</v>
      </c>
      <c r="C3015" t="s">
        <v>11175</v>
      </c>
      <c r="D3015" t="s">
        <v>11176</v>
      </c>
      <c r="E3015" t="s">
        <v>11174</v>
      </c>
      <c r="F3015" t="s">
        <v>28</v>
      </c>
      <c r="G3015" t="s">
        <v>11174</v>
      </c>
      <c r="H3015" t="str">
        <f>"rla-0"</f>
        <v>rla-0</v>
      </c>
      <c r="I3015" t="s">
        <v>11176</v>
      </c>
      <c r="J3015">
        <v>12.717765756412501</v>
      </c>
      <c r="K3015">
        <v>13.129486731293699</v>
      </c>
      <c r="L3015">
        <v>13.6413247110927</v>
      </c>
      <c r="M3015">
        <v>13.7238027829661</v>
      </c>
      <c r="N3015">
        <v>13.693487978947701</v>
      </c>
      <c r="O3015">
        <v>15.6492401352778</v>
      </c>
      <c r="P3015">
        <v>1.19265123279759</v>
      </c>
      <c r="Q3015">
        <v>0.247536591137893</v>
      </c>
      <c r="R3015">
        <v>2.1377658744572798</v>
      </c>
      <c r="S3015">
        <v>14.2630240730547</v>
      </c>
      <c r="T3015">
        <v>2.6522929035429299</v>
      </c>
      <c r="U3015">
        <v>-3.9471250065254799</v>
      </c>
      <c r="V3015">
        <v>1.6264705387771701E-2</v>
      </c>
      <c r="W3015">
        <v>0.120008910741637</v>
      </c>
      <c r="X3015">
        <v>1</v>
      </c>
      <c r="Y3015">
        <v>0</v>
      </c>
    </row>
    <row r="3016" spans="1:25" x14ac:dyDescent="0.2">
      <c r="A3016" t="s">
        <v>11177</v>
      </c>
      <c r="B3016" t="s">
        <v>11178</v>
      </c>
      <c r="C3016" t="s">
        <v>11179</v>
      </c>
      <c r="D3016" t="s">
        <v>11180</v>
      </c>
      <c r="E3016" t="s">
        <v>11178</v>
      </c>
      <c r="F3016" t="s">
        <v>28</v>
      </c>
      <c r="G3016" t="s">
        <v>11178</v>
      </c>
      <c r="H3016" t="str">
        <f>"tct-1"</f>
        <v>tct-1</v>
      </c>
      <c r="I3016" t="s">
        <v>11180</v>
      </c>
      <c r="J3016">
        <v>11.758107510337</v>
      </c>
      <c r="K3016" t="s">
        <v>29</v>
      </c>
      <c r="L3016">
        <v>11.871954250876399</v>
      </c>
      <c r="M3016" t="s">
        <v>29</v>
      </c>
      <c r="N3016">
        <v>11.6959182097353</v>
      </c>
      <c r="O3016">
        <v>14.1260587086831</v>
      </c>
      <c r="P3016">
        <v>1.09595757860251</v>
      </c>
      <c r="Q3016">
        <v>-0.163586209531868</v>
      </c>
      <c r="R3016">
        <v>2.3555013667368798</v>
      </c>
      <c r="S3016">
        <v>12.1989278209685</v>
      </c>
      <c r="T3016">
        <v>1.86755055285066</v>
      </c>
      <c r="U3016">
        <v>-5.2038142665644003</v>
      </c>
      <c r="V3016">
        <v>8.3061068937577906E-2</v>
      </c>
      <c r="W3016">
        <v>0.29442344043886498</v>
      </c>
      <c r="X3016">
        <v>0</v>
      </c>
      <c r="Y3016">
        <v>0</v>
      </c>
    </row>
    <row r="3017" spans="1:25" x14ac:dyDescent="0.2">
      <c r="A3017" t="s">
        <v>11181</v>
      </c>
      <c r="B3017" t="s">
        <v>11182</v>
      </c>
      <c r="C3017" t="s">
        <v>11183</v>
      </c>
      <c r="D3017" t="s">
        <v>11184</v>
      </c>
      <c r="E3017" t="s">
        <v>11182</v>
      </c>
      <c r="F3017" t="s">
        <v>28</v>
      </c>
      <c r="G3017" t="s">
        <v>11182</v>
      </c>
      <c r="H3017" t="str">
        <f>"ndk-1"</f>
        <v>ndk-1</v>
      </c>
      <c r="I3017" t="s">
        <v>11184</v>
      </c>
      <c r="J3017" t="s">
        <v>29</v>
      </c>
      <c r="K3017">
        <v>12.298504900948799</v>
      </c>
      <c r="L3017">
        <v>13.1933157715919</v>
      </c>
      <c r="M3017">
        <v>11.7290539748135</v>
      </c>
      <c r="N3017">
        <v>9.8733135974143202</v>
      </c>
      <c r="O3017">
        <v>14.9804396565741</v>
      </c>
      <c r="P3017">
        <v>-0.55164126000303204</v>
      </c>
      <c r="Q3017">
        <v>-2.5054772445607201</v>
      </c>
      <c r="R3017">
        <v>1.40219472455466</v>
      </c>
      <c r="S3017">
        <v>12.681325931028899</v>
      </c>
      <c r="T3017">
        <v>-0.59596211261931997</v>
      </c>
      <c r="U3017">
        <v>-6.7570083751855297</v>
      </c>
      <c r="V3017">
        <v>0.55910093521555804</v>
      </c>
      <c r="W3017">
        <v>0.78520260819655896</v>
      </c>
      <c r="X3017">
        <v>0</v>
      </c>
      <c r="Y3017">
        <v>0</v>
      </c>
    </row>
    <row r="3018" spans="1:25" x14ac:dyDescent="0.2">
      <c r="A3018" t="s">
        <v>11185</v>
      </c>
      <c r="B3018" t="s">
        <v>11186</v>
      </c>
      <c r="C3018" t="s">
        <v>11187</v>
      </c>
      <c r="D3018" t="s">
        <v>11188</v>
      </c>
      <c r="E3018" t="s">
        <v>11186</v>
      </c>
      <c r="F3018" t="s">
        <v>28</v>
      </c>
      <c r="G3018" t="s">
        <v>11186</v>
      </c>
      <c r="H3018" t="str">
        <f>"F27D4.1"</f>
        <v>F27D4.1</v>
      </c>
      <c r="I3018" t="s">
        <v>11188</v>
      </c>
      <c r="J3018">
        <v>15.2712599761528</v>
      </c>
      <c r="K3018">
        <v>15.540810564101101</v>
      </c>
      <c r="L3018">
        <v>15.4370039061979</v>
      </c>
      <c r="M3018">
        <v>15.1460693275822</v>
      </c>
      <c r="N3018">
        <v>15.6997177674459</v>
      </c>
      <c r="O3018">
        <v>15.3373532875523</v>
      </c>
      <c r="P3018">
        <v>-2.19780212904741E-2</v>
      </c>
      <c r="Q3018">
        <v>-0.53442605759153505</v>
      </c>
      <c r="R3018">
        <v>0.49047001501058601</v>
      </c>
      <c r="S3018">
        <v>15.1291700983301</v>
      </c>
      <c r="T3018">
        <v>-9.0142846852258401E-2</v>
      </c>
      <c r="U3018">
        <v>-7.0478290143479398</v>
      </c>
      <c r="V3018">
        <v>0.92917498886652405</v>
      </c>
      <c r="W3018">
        <v>0.97388235134585399</v>
      </c>
      <c r="X3018">
        <v>0</v>
      </c>
      <c r="Y3018">
        <v>0</v>
      </c>
    </row>
    <row r="3019" spans="1:25" x14ac:dyDescent="0.2">
      <c r="A3019" t="s">
        <v>11189</v>
      </c>
      <c r="B3019" t="s">
        <v>11190</v>
      </c>
      <c r="C3019" t="s">
        <v>11191</v>
      </c>
      <c r="D3019" t="s">
        <v>1546</v>
      </c>
      <c r="E3019" t="s">
        <v>11190</v>
      </c>
      <c r="F3019" t="s">
        <v>28</v>
      </c>
      <c r="G3019" t="s">
        <v>11190</v>
      </c>
      <c r="H3019" t="str">
        <f>"lsy-22"</f>
        <v>lsy-22</v>
      </c>
      <c r="I3019" t="s">
        <v>1546</v>
      </c>
      <c r="J3019" t="s">
        <v>29</v>
      </c>
      <c r="K3019" t="s">
        <v>29</v>
      </c>
      <c r="L3019" t="s">
        <v>29</v>
      </c>
      <c r="M3019" t="s">
        <v>29</v>
      </c>
      <c r="N3019" t="s">
        <v>29</v>
      </c>
      <c r="O3019" t="s">
        <v>29</v>
      </c>
      <c r="P3019" t="s">
        <v>29</v>
      </c>
      <c r="Q3019" t="s">
        <v>29</v>
      </c>
      <c r="R3019" t="s">
        <v>29</v>
      </c>
      <c r="S3019">
        <v>12.380822127806001</v>
      </c>
      <c r="T3019" t="s">
        <v>29</v>
      </c>
      <c r="U3019" t="s">
        <v>29</v>
      </c>
      <c r="V3019" t="s">
        <v>29</v>
      </c>
      <c r="W3019" t="s">
        <v>29</v>
      </c>
      <c r="X3019" t="s">
        <v>29</v>
      </c>
      <c r="Y3019" t="s">
        <v>29</v>
      </c>
    </row>
    <row r="3020" spans="1:25" x14ac:dyDescent="0.2">
      <c r="A3020" t="s">
        <v>11192</v>
      </c>
      <c r="B3020" t="s">
        <v>11193</v>
      </c>
      <c r="C3020" t="s">
        <v>11194</v>
      </c>
      <c r="D3020" t="s">
        <v>11195</v>
      </c>
      <c r="E3020" t="s">
        <v>11193</v>
      </c>
      <c r="F3020" t="s">
        <v>28</v>
      </c>
      <c r="G3020" t="s">
        <v>11193</v>
      </c>
      <c r="H3020" t="str">
        <f>"F27D4.4"</f>
        <v>F27D4.4</v>
      </c>
      <c r="I3020" t="s">
        <v>11195</v>
      </c>
      <c r="J3020" t="s">
        <v>29</v>
      </c>
      <c r="K3020">
        <v>10.350681316322801</v>
      </c>
      <c r="L3020">
        <v>10.365021879637901</v>
      </c>
      <c r="M3020">
        <v>13.4894884036972</v>
      </c>
      <c r="N3020">
        <v>13.4038038243709</v>
      </c>
      <c r="O3020">
        <v>12.914531267418401</v>
      </c>
      <c r="P3020">
        <v>2.91142290051515</v>
      </c>
      <c r="Q3020">
        <v>2.0705295222799398</v>
      </c>
      <c r="R3020">
        <v>3.7523162787503601</v>
      </c>
      <c r="S3020">
        <v>12.153022787925</v>
      </c>
      <c r="T3020">
        <v>7.3436824807193304</v>
      </c>
      <c r="U3020">
        <v>5.3021319802987001</v>
      </c>
      <c r="V3020" s="2">
        <v>1.7195359835713301E-6</v>
      </c>
      <c r="W3020" s="2">
        <v>9.0247904686146694E-5</v>
      </c>
      <c r="X3020">
        <v>1</v>
      </c>
      <c r="Y3020">
        <v>1</v>
      </c>
    </row>
    <row r="3021" spans="1:25" x14ac:dyDescent="0.2">
      <c r="A3021" t="s">
        <v>11196</v>
      </c>
      <c r="B3021" t="s">
        <v>11197</v>
      </c>
      <c r="C3021" t="s">
        <v>11198</v>
      </c>
      <c r="D3021" t="s">
        <v>11199</v>
      </c>
      <c r="E3021" t="s">
        <v>11197</v>
      </c>
      <c r="F3021" t="s">
        <v>28</v>
      </c>
      <c r="G3021" t="s">
        <v>11197</v>
      </c>
      <c r="H3021" t="str">
        <f>"bckd-1b"</f>
        <v>bckd-1b</v>
      </c>
      <c r="I3021" t="s">
        <v>11199</v>
      </c>
      <c r="J3021">
        <v>15.3731209280303</v>
      </c>
      <c r="K3021">
        <v>15.6360358273865</v>
      </c>
      <c r="L3021">
        <v>15.729783685903399</v>
      </c>
      <c r="M3021">
        <v>15.2666047107585</v>
      </c>
      <c r="N3021">
        <v>15.5472600814575</v>
      </c>
      <c r="O3021">
        <v>15.075482558225699</v>
      </c>
      <c r="P3021">
        <v>-0.283197696959473</v>
      </c>
      <c r="Q3021">
        <v>-0.63901184662238697</v>
      </c>
      <c r="R3021">
        <v>7.26164527034419E-2</v>
      </c>
      <c r="S3021">
        <v>15.210493369923499</v>
      </c>
      <c r="T3021">
        <v>-1.6800279837263199</v>
      </c>
      <c r="U3021">
        <v>-5.6807703481538203</v>
      </c>
      <c r="V3021">
        <v>0.11134630850800201</v>
      </c>
      <c r="W3021">
        <v>0.34411407745613198</v>
      </c>
      <c r="X3021">
        <v>0</v>
      </c>
      <c r="Y3021">
        <v>0</v>
      </c>
    </row>
    <row r="3022" spans="1:25" x14ac:dyDescent="0.2">
      <c r="A3022" t="s">
        <v>11200</v>
      </c>
      <c r="B3022" t="s">
        <v>11201</v>
      </c>
      <c r="C3022" t="s">
        <v>14601</v>
      </c>
      <c r="D3022" t="s">
        <v>11202</v>
      </c>
      <c r="E3022" t="s">
        <v>11201</v>
      </c>
      <c r="F3022" t="s">
        <v>28</v>
      </c>
      <c r="G3022" t="s">
        <v>11201</v>
      </c>
      <c r="H3022" t="str">
        <f>"F30A10.9"</f>
        <v>F30A10.9</v>
      </c>
      <c r="I3022" t="s">
        <v>11202</v>
      </c>
      <c r="J3022">
        <v>13.779592340900299</v>
      </c>
      <c r="K3022">
        <v>13.848860114691499</v>
      </c>
      <c r="L3022">
        <v>14.5403774093867</v>
      </c>
      <c r="M3022">
        <v>14.2806286378278</v>
      </c>
      <c r="N3022">
        <v>14.466886502499801</v>
      </c>
      <c r="O3022">
        <v>14.1241140110549</v>
      </c>
      <c r="P3022">
        <v>0.23426642880132101</v>
      </c>
      <c r="Q3022">
        <v>-0.24176462805580201</v>
      </c>
      <c r="R3022">
        <v>0.71029748565844497</v>
      </c>
      <c r="S3022">
        <v>14.628275029830901</v>
      </c>
      <c r="T3022">
        <v>1.0387828782005</v>
      </c>
      <c r="U3022">
        <v>-6.5023206032429197</v>
      </c>
      <c r="V3022">
        <v>0.31354470630046599</v>
      </c>
      <c r="W3022">
        <v>0.59095856748367503</v>
      </c>
      <c r="X3022">
        <v>0</v>
      </c>
      <c r="Y3022">
        <v>0</v>
      </c>
    </row>
    <row r="3023" spans="1:25" x14ac:dyDescent="0.2">
      <c r="A3023" t="s">
        <v>11203</v>
      </c>
      <c r="B3023" t="s">
        <v>11204</v>
      </c>
      <c r="C3023" t="s">
        <v>14602</v>
      </c>
      <c r="D3023" t="s">
        <v>214</v>
      </c>
      <c r="E3023" t="s">
        <v>11204</v>
      </c>
      <c r="F3023" t="s">
        <v>28</v>
      </c>
      <c r="G3023" t="s">
        <v>11204</v>
      </c>
      <c r="H3023" t="str">
        <f>"F30F8.1"</f>
        <v>F30F8.1</v>
      </c>
      <c r="I3023" t="s">
        <v>214</v>
      </c>
      <c r="J3023" t="s">
        <v>29</v>
      </c>
      <c r="K3023" t="s">
        <v>29</v>
      </c>
      <c r="L3023">
        <v>11.605473507201699</v>
      </c>
      <c r="M3023">
        <v>12.3712427557195</v>
      </c>
      <c r="N3023" t="s">
        <v>29</v>
      </c>
      <c r="O3023" t="s">
        <v>29</v>
      </c>
      <c r="P3023">
        <v>0.76576924851772998</v>
      </c>
      <c r="Q3023">
        <v>-8.2879420023299705E-2</v>
      </c>
      <c r="R3023">
        <v>1.61441791705876</v>
      </c>
      <c r="S3023">
        <v>12.609905360105</v>
      </c>
      <c r="T3023">
        <v>2.0134315905415101</v>
      </c>
      <c r="U3023">
        <v>-4.6877951378999896</v>
      </c>
      <c r="V3023">
        <v>7.2062953195290103E-2</v>
      </c>
      <c r="W3023">
        <v>0.272983527005208</v>
      </c>
      <c r="X3023">
        <v>0</v>
      </c>
      <c r="Y3023">
        <v>0</v>
      </c>
    </row>
    <row r="3024" spans="1:25" x14ac:dyDescent="0.2">
      <c r="A3024" t="s">
        <v>11205</v>
      </c>
      <c r="B3024" t="s">
        <v>11206</v>
      </c>
      <c r="C3024" t="s">
        <v>11207</v>
      </c>
      <c r="D3024" t="s">
        <v>11208</v>
      </c>
      <c r="E3024" t="s">
        <v>11206</v>
      </c>
      <c r="F3024" t="s">
        <v>28</v>
      </c>
      <c r="G3024" t="s">
        <v>11206</v>
      </c>
      <c r="H3024" t="str">
        <f>"idha-1"</f>
        <v>idha-1</v>
      </c>
      <c r="I3024" t="s">
        <v>11208</v>
      </c>
      <c r="J3024">
        <v>17.374986499177901</v>
      </c>
      <c r="K3024">
        <v>17.208881989961501</v>
      </c>
      <c r="L3024">
        <v>17.148631048639899</v>
      </c>
      <c r="M3024">
        <v>16.948029200470899</v>
      </c>
      <c r="N3024">
        <v>17.094152324934299</v>
      </c>
      <c r="O3024">
        <v>17.104900048328499</v>
      </c>
      <c r="P3024">
        <v>-0.19513932134853501</v>
      </c>
      <c r="Q3024">
        <v>-0.55269335822863497</v>
      </c>
      <c r="R3024">
        <v>0.162414715531566</v>
      </c>
      <c r="S3024">
        <v>16.946571720849601</v>
      </c>
      <c r="T3024">
        <v>-1.1470850449757499</v>
      </c>
      <c r="U3024">
        <v>-6.38687222432893</v>
      </c>
      <c r="V3024">
        <v>0.26645239061300202</v>
      </c>
      <c r="W3024">
        <v>0.54253072011360703</v>
      </c>
      <c r="X3024">
        <v>0</v>
      </c>
      <c r="Y3024">
        <v>0</v>
      </c>
    </row>
    <row r="3025" spans="1:25" x14ac:dyDescent="0.2">
      <c r="A3025" t="s">
        <v>11209</v>
      </c>
      <c r="B3025" t="s">
        <v>11210</v>
      </c>
      <c r="C3025" t="s">
        <v>11211</v>
      </c>
      <c r="D3025" t="s">
        <v>11212</v>
      </c>
      <c r="E3025" t="s">
        <v>11210</v>
      </c>
      <c r="F3025" t="s">
        <v>28</v>
      </c>
      <c r="G3025" t="s">
        <v>11210</v>
      </c>
      <c r="H3025" t="str">
        <f>"slc-25a42"</f>
        <v>slc-25a42</v>
      </c>
      <c r="I3025" t="s">
        <v>11212</v>
      </c>
      <c r="J3025">
        <v>14.442863860486</v>
      </c>
      <c r="K3025">
        <v>13.928482910228499</v>
      </c>
      <c r="L3025">
        <v>13.658657282465599</v>
      </c>
      <c r="M3025">
        <v>14.256118038194201</v>
      </c>
      <c r="N3025">
        <v>14.109348373514001</v>
      </c>
      <c r="O3025">
        <v>13.962951824650901</v>
      </c>
      <c r="P3025">
        <v>9.9471394392995904E-2</v>
      </c>
      <c r="Q3025">
        <v>-0.39492012341975102</v>
      </c>
      <c r="R3025">
        <v>0.59386291220574305</v>
      </c>
      <c r="S3025">
        <v>13.857156436937499</v>
      </c>
      <c r="T3025">
        <v>0.42469505872452501</v>
      </c>
      <c r="U3025">
        <v>-6.95777337568832</v>
      </c>
      <c r="V3025">
        <v>0.67641816771800201</v>
      </c>
      <c r="W3025">
        <v>0.85541145012261999</v>
      </c>
      <c r="X3025">
        <v>0</v>
      </c>
      <c r="Y3025">
        <v>0</v>
      </c>
    </row>
    <row r="3026" spans="1:25" x14ac:dyDescent="0.2">
      <c r="A3026" t="s">
        <v>11213</v>
      </c>
      <c r="B3026" t="s">
        <v>11214</v>
      </c>
      <c r="C3026" t="s">
        <v>14603</v>
      </c>
      <c r="D3026" t="s">
        <v>11215</v>
      </c>
      <c r="E3026" t="s">
        <v>11214</v>
      </c>
      <c r="F3026" t="s">
        <v>28</v>
      </c>
      <c r="G3026" t="s">
        <v>11214</v>
      </c>
      <c r="H3026" t="str">
        <f>"F43G9.4"</f>
        <v>F43G9.4</v>
      </c>
      <c r="I3026" t="s">
        <v>11215</v>
      </c>
      <c r="J3026" t="s">
        <v>29</v>
      </c>
      <c r="K3026" t="s">
        <v>29</v>
      </c>
      <c r="L3026" t="s">
        <v>29</v>
      </c>
      <c r="M3026" t="s">
        <v>29</v>
      </c>
      <c r="N3026" t="s">
        <v>29</v>
      </c>
      <c r="O3026" t="s">
        <v>29</v>
      </c>
      <c r="P3026" t="s">
        <v>29</v>
      </c>
      <c r="Q3026" t="s">
        <v>29</v>
      </c>
      <c r="R3026" t="s">
        <v>29</v>
      </c>
      <c r="S3026">
        <v>11.368794360820701</v>
      </c>
      <c r="T3026" t="s">
        <v>29</v>
      </c>
      <c r="U3026" t="s">
        <v>29</v>
      </c>
      <c r="V3026" t="s">
        <v>29</v>
      </c>
      <c r="W3026" t="s">
        <v>29</v>
      </c>
      <c r="X3026" t="s">
        <v>29</v>
      </c>
      <c r="Y3026" t="s">
        <v>29</v>
      </c>
    </row>
    <row r="3027" spans="1:25" x14ac:dyDescent="0.2">
      <c r="A3027" t="s">
        <v>11216</v>
      </c>
      <c r="B3027" t="s">
        <v>11217</v>
      </c>
      <c r="C3027" t="s">
        <v>11218</v>
      </c>
      <c r="D3027" t="s">
        <v>11219</v>
      </c>
      <c r="E3027" t="s">
        <v>11217</v>
      </c>
      <c r="F3027" t="s">
        <v>28</v>
      </c>
      <c r="G3027" t="s">
        <v>11217</v>
      </c>
      <c r="H3027" t="str">
        <f>"ned-8"</f>
        <v>ned-8</v>
      </c>
      <c r="I3027" t="s">
        <v>11219</v>
      </c>
      <c r="J3027">
        <v>12.1514624444372</v>
      </c>
      <c r="K3027">
        <v>12.4967836619136</v>
      </c>
      <c r="L3027" t="s">
        <v>29</v>
      </c>
      <c r="M3027">
        <v>13.288558202873499</v>
      </c>
      <c r="N3027" t="s">
        <v>29</v>
      </c>
      <c r="O3027">
        <v>12.4224921282004</v>
      </c>
      <c r="P3027">
        <v>0.53140211236152302</v>
      </c>
      <c r="Q3027">
        <v>-0.32128725573981498</v>
      </c>
      <c r="R3027">
        <v>1.3840914804628599</v>
      </c>
      <c r="S3027">
        <v>12.370755099638099</v>
      </c>
      <c r="T3027">
        <v>1.4404498413229301</v>
      </c>
      <c r="U3027">
        <v>-5.8262143873354404</v>
      </c>
      <c r="V3027">
        <v>0.188193085176587</v>
      </c>
      <c r="W3027">
        <v>0.45056514652806701</v>
      </c>
      <c r="X3027">
        <v>0</v>
      </c>
      <c r="Y3027">
        <v>0</v>
      </c>
    </row>
    <row r="3028" spans="1:25" x14ac:dyDescent="0.2">
      <c r="A3028" t="s">
        <v>11220</v>
      </c>
      <c r="B3028" t="s">
        <v>11221</v>
      </c>
      <c r="C3028" t="s">
        <v>11222</v>
      </c>
      <c r="D3028" t="s">
        <v>69</v>
      </c>
      <c r="E3028" t="s">
        <v>11221</v>
      </c>
      <c r="F3028" t="s">
        <v>28</v>
      </c>
      <c r="G3028" t="s">
        <v>11221</v>
      </c>
      <c r="H3028" t="str">
        <f>"hpo-35"</f>
        <v>hpo-35</v>
      </c>
      <c r="I3028" t="s">
        <v>69</v>
      </c>
      <c r="J3028" t="s">
        <v>29</v>
      </c>
      <c r="K3028" t="s">
        <v>29</v>
      </c>
      <c r="L3028" t="s">
        <v>29</v>
      </c>
      <c r="M3028" t="s">
        <v>29</v>
      </c>
      <c r="N3028" t="s">
        <v>29</v>
      </c>
      <c r="O3028">
        <v>11.317608945010599</v>
      </c>
      <c r="P3028" t="s">
        <v>29</v>
      </c>
      <c r="Q3028" t="s">
        <v>29</v>
      </c>
      <c r="R3028" t="s">
        <v>29</v>
      </c>
      <c r="S3028">
        <v>11.8023286216523</v>
      </c>
      <c r="T3028" t="s">
        <v>29</v>
      </c>
      <c r="U3028" t="s">
        <v>29</v>
      </c>
      <c r="V3028" t="s">
        <v>29</v>
      </c>
      <c r="W3028" t="s">
        <v>29</v>
      </c>
      <c r="X3028" t="s">
        <v>29</v>
      </c>
      <c r="Y3028" t="s">
        <v>29</v>
      </c>
    </row>
    <row r="3029" spans="1:25" x14ac:dyDescent="0.2">
      <c r="A3029" t="s">
        <v>11223</v>
      </c>
      <c r="B3029" t="s">
        <v>11224</v>
      </c>
      <c r="C3029" t="s">
        <v>11225</v>
      </c>
      <c r="D3029" t="s">
        <v>534</v>
      </c>
      <c r="E3029" t="s">
        <v>11224</v>
      </c>
      <c r="F3029" t="s">
        <v>28</v>
      </c>
      <c r="G3029" t="s">
        <v>11224</v>
      </c>
      <c r="H3029" t="str">
        <f>"swan-1"</f>
        <v>swan-1</v>
      </c>
      <c r="I3029" t="s">
        <v>534</v>
      </c>
      <c r="J3029">
        <v>10.8754027908114</v>
      </c>
      <c r="K3029">
        <v>9.9687783231425406</v>
      </c>
      <c r="L3029">
        <v>11.413694024771599</v>
      </c>
      <c r="M3029">
        <v>10.5322561099153</v>
      </c>
      <c r="N3029">
        <v>11.251694689729099</v>
      </c>
      <c r="O3029">
        <v>11.4250913696151</v>
      </c>
      <c r="P3029">
        <v>0.31705567684463398</v>
      </c>
      <c r="Q3029">
        <v>-0.56394072647696902</v>
      </c>
      <c r="R3029">
        <v>1.19805208016624</v>
      </c>
      <c r="S3029">
        <v>11.3964952874234</v>
      </c>
      <c r="T3029">
        <v>0.76332753379985097</v>
      </c>
      <c r="U3029">
        <v>-6.7502377849876396</v>
      </c>
      <c r="V3029">
        <v>0.456448959049848</v>
      </c>
      <c r="W3029">
        <v>0.72383996829478503</v>
      </c>
      <c r="X3029">
        <v>0</v>
      </c>
      <c r="Y3029">
        <v>0</v>
      </c>
    </row>
    <row r="3030" spans="1:25" x14ac:dyDescent="0.2">
      <c r="A3030" t="s">
        <v>11226</v>
      </c>
      <c r="B3030" t="s">
        <v>11227</v>
      </c>
      <c r="C3030" t="s">
        <v>11228</v>
      </c>
      <c r="D3030" t="s">
        <v>534</v>
      </c>
      <c r="E3030" t="s">
        <v>11227</v>
      </c>
      <c r="F3030" t="s">
        <v>28</v>
      </c>
      <c r="G3030" t="s">
        <v>11227</v>
      </c>
      <c r="H3030" t="str">
        <f>"swan-2"</f>
        <v>swan-2</v>
      </c>
      <c r="I3030" t="s">
        <v>534</v>
      </c>
      <c r="J3030">
        <v>12.244524950496301</v>
      </c>
      <c r="K3030">
        <v>12.0401100031529</v>
      </c>
      <c r="L3030">
        <v>12.008041265222801</v>
      </c>
      <c r="M3030" t="s">
        <v>29</v>
      </c>
      <c r="N3030">
        <v>11.306394032149401</v>
      </c>
      <c r="O3030">
        <v>11.744448595826</v>
      </c>
      <c r="P3030">
        <v>-0.57213742563627101</v>
      </c>
      <c r="Q3030">
        <v>-1.1836847626756499</v>
      </c>
      <c r="R3030">
        <v>3.9409911403109302E-2</v>
      </c>
      <c r="S3030">
        <v>11.9481959635058</v>
      </c>
      <c r="T3030">
        <v>-2.00799289098831</v>
      </c>
      <c r="U3030">
        <v>-5.0637258922289403</v>
      </c>
      <c r="V3030">
        <v>6.4494714453317198E-2</v>
      </c>
      <c r="W3030">
        <v>0.257504050099502</v>
      </c>
      <c r="X3030">
        <v>0</v>
      </c>
      <c r="Y3030">
        <v>0</v>
      </c>
    </row>
    <row r="3031" spans="1:25" x14ac:dyDescent="0.2">
      <c r="A3031" t="s">
        <v>11229</v>
      </c>
      <c r="B3031" t="s">
        <v>11230</v>
      </c>
      <c r="C3031" t="s">
        <v>11231</v>
      </c>
      <c r="D3031" t="s">
        <v>11232</v>
      </c>
      <c r="E3031" t="s">
        <v>11230</v>
      </c>
      <c r="F3031" t="s">
        <v>28</v>
      </c>
      <c r="G3031" t="s">
        <v>11230</v>
      </c>
      <c r="H3031" t="str">
        <f>"F53C11.3"</f>
        <v>F53C11.3</v>
      </c>
      <c r="I3031" t="s">
        <v>11232</v>
      </c>
      <c r="J3031">
        <v>16.368555956650301</v>
      </c>
      <c r="K3031">
        <v>16.3732449190131</v>
      </c>
      <c r="L3031">
        <v>16.377096046479998</v>
      </c>
      <c r="M3031">
        <v>16.528517832840599</v>
      </c>
      <c r="N3031">
        <v>16.5754578294213</v>
      </c>
      <c r="O3031">
        <v>16.874338171355799</v>
      </c>
      <c r="P3031">
        <v>0.28647230382475503</v>
      </c>
      <c r="Q3031">
        <v>-8.9376943919344601E-2</v>
      </c>
      <c r="R3031">
        <v>0.66232155156885497</v>
      </c>
      <c r="S3031">
        <v>16.399102438857199</v>
      </c>
      <c r="T3031">
        <v>1.60199615170649</v>
      </c>
      <c r="U3031">
        <v>-5.7958918000128099</v>
      </c>
      <c r="V3031">
        <v>0.12666086101879501</v>
      </c>
      <c r="W3031">
        <v>0.36958972153942898</v>
      </c>
      <c r="X3031">
        <v>0</v>
      </c>
      <c r="Y3031">
        <v>0</v>
      </c>
    </row>
    <row r="3032" spans="1:25" x14ac:dyDescent="0.2">
      <c r="A3032" t="s">
        <v>11233</v>
      </c>
      <c r="B3032" t="s">
        <v>11234</v>
      </c>
      <c r="C3032" t="s">
        <v>14168</v>
      </c>
      <c r="D3032" t="s">
        <v>11235</v>
      </c>
      <c r="E3032" t="s">
        <v>11234</v>
      </c>
      <c r="F3032" t="s">
        <v>28</v>
      </c>
      <c r="G3032" t="s">
        <v>11234</v>
      </c>
      <c r="H3032" t="str">
        <f>"F53C11.5"</f>
        <v>F53C11.5</v>
      </c>
      <c r="I3032" t="s">
        <v>11235</v>
      </c>
      <c r="J3032" t="s">
        <v>29</v>
      </c>
      <c r="K3032" t="s">
        <v>29</v>
      </c>
      <c r="L3032" t="s">
        <v>29</v>
      </c>
      <c r="M3032">
        <v>12.801203116879201</v>
      </c>
      <c r="N3032">
        <v>12.277559648338601</v>
      </c>
      <c r="O3032">
        <v>12.287677408452099</v>
      </c>
      <c r="P3032" t="s">
        <v>29</v>
      </c>
      <c r="Q3032" t="s">
        <v>29</v>
      </c>
      <c r="R3032" t="s">
        <v>29</v>
      </c>
      <c r="S3032">
        <v>11.830485914834201</v>
      </c>
      <c r="T3032" t="s">
        <v>29</v>
      </c>
      <c r="U3032" t="s">
        <v>29</v>
      </c>
      <c r="V3032" t="s">
        <v>29</v>
      </c>
      <c r="W3032" t="s">
        <v>29</v>
      </c>
      <c r="X3032" t="s">
        <v>29</v>
      </c>
      <c r="Y3032" t="s">
        <v>29</v>
      </c>
    </row>
    <row r="3033" spans="1:25" x14ac:dyDescent="0.2">
      <c r="A3033" t="s">
        <v>11236</v>
      </c>
      <c r="B3033" t="s">
        <v>11237</v>
      </c>
      <c r="C3033" t="s">
        <v>11238</v>
      </c>
      <c r="D3033" t="s">
        <v>458</v>
      </c>
      <c r="E3033" t="s">
        <v>11237</v>
      </c>
      <c r="F3033" t="s">
        <v>28</v>
      </c>
      <c r="G3033" t="s">
        <v>11237</v>
      </c>
      <c r="H3033" t="str">
        <f>"ttr-31"</f>
        <v>ttr-31</v>
      </c>
      <c r="I3033" t="s">
        <v>458</v>
      </c>
      <c r="J3033">
        <v>13.240381631490701</v>
      </c>
      <c r="K3033">
        <v>13.3829533868563</v>
      </c>
      <c r="L3033">
        <v>13.0669928694871</v>
      </c>
      <c r="M3033">
        <v>13.533112834541701</v>
      </c>
      <c r="N3033">
        <v>13.884961747670999</v>
      </c>
      <c r="O3033">
        <v>13.510619165444201</v>
      </c>
      <c r="P3033">
        <v>0.412788619940896</v>
      </c>
      <c r="Q3033">
        <v>-0.46897790197261802</v>
      </c>
      <c r="R3033">
        <v>1.2945551418544099</v>
      </c>
      <c r="S3033">
        <v>12.868953492762399</v>
      </c>
      <c r="T3033">
        <v>1.00476848024875</v>
      </c>
      <c r="U3033">
        <v>-6.5337054440856699</v>
      </c>
      <c r="V3033">
        <v>0.33218595299819598</v>
      </c>
      <c r="W3033">
        <v>0.61122402832197698</v>
      </c>
      <c r="X3033">
        <v>0</v>
      </c>
      <c r="Y3033">
        <v>0</v>
      </c>
    </row>
    <row r="3034" spans="1:25" x14ac:dyDescent="0.2">
      <c r="A3034" t="s">
        <v>11239</v>
      </c>
      <c r="B3034" t="s">
        <v>11240</v>
      </c>
      <c r="C3034" t="s">
        <v>11241</v>
      </c>
      <c r="D3034" t="s">
        <v>11242</v>
      </c>
      <c r="E3034" t="s">
        <v>11240</v>
      </c>
      <c r="F3034" t="s">
        <v>28</v>
      </c>
      <c r="G3034" t="s">
        <v>11240</v>
      </c>
      <c r="H3034" t="str">
        <f>"ndub-10"</f>
        <v>ndub-10</v>
      </c>
      <c r="I3034" t="s">
        <v>11242</v>
      </c>
      <c r="J3034" t="s">
        <v>29</v>
      </c>
      <c r="K3034" t="s">
        <v>29</v>
      </c>
      <c r="L3034" t="s">
        <v>29</v>
      </c>
      <c r="M3034">
        <v>12.084166018165799</v>
      </c>
      <c r="N3034">
        <v>11.406272930597099</v>
      </c>
      <c r="O3034">
        <v>13.123013683050701</v>
      </c>
      <c r="P3034" t="s">
        <v>29</v>
      </c>
      <c r="Q3034" t="s">
        <v>29</v>
      </c>
      <c r="R3034" t="s">
        <v>29</v>
      </c>
      <c r="S3034">
        <v>12.144801574365699</v>
      </c>
      <c r="T3034" t="s">
        <v>29</v>
      </c>
      <c r="U3034" t="s">
        <v>29</v>
      </c>
      <c r="V3034" t="s">
        <v>29</v>
      </c>
      <c r="W3034" t="s">
        <v>29</v>
      </c>
      <c r="X3034" t="s">
        <v>29</v>
      </c>
      <c r="Y3034" t="s">
        <v>29</v>
      </c>
    </row>
    <row r="3035" spans="1:25" x14ac:dyDescent="0.2">
      <c r="A3035" t="s">
        <v>11243</v>
      </c>
      <c r="B3035" t="s">
        <v>11244</v>
      </c>
      <c r="C3035" t="s">
        <v>11245</v>
      </c>
      <c r="D3035" t="s">
        <v>11246</v>
      </c>
      <c r="E3035" t="s">
        <v>11244</v>
      </c>
      <c r="F3035" t="s">
        <v>28</v>
      </c>
      <c r="G3035" t="s">
        <v>11244</v>
      </c>
      <c r="H3035" t="str">
        <f>"acox-1.6"</f>
        <v>acox-1.6</v>
      </c>
      <c r="I3035" t="s">
        <v>11246</v>
      </c>
      <c r="J3035">
        <v>14.050841327108801</v>
      </c>
      <c r="K3035">
        <v>14.2745171368011</v>
      </c>
      <c r="L3035">
        <v>13.9262992163736</v>
      </c>
      <c r="M3035">
        <v>14.2989461488317</v>
      </c>
      <c r="N3035">
        <v>14.350924082588699</v>
      </c>
      <c r="O3035">
        <v>14.4250101010695</v>
      </c>
      <c r="P3035">
        <v>0.27440755073547002</v>
      </c>
      <c r="Q3035">
        <v>-3.95285382815872E-2</v>
      </c>
      <c r="R3035">
        <v>0.58834363975252701</v>
      </c>
      <c r="S3035">
        <v>13.9265005641693</v>
      </c>
      <c r="T3035">
        <v>1.8371614635242901</v>
      </c>
      <c r="U3035">
        <v>-5.4327865620230797</v>
      </c>
      <c r="V3035">
        <v>8.2851507953985104E-2</v>
      </c>
      <c r="W3035">
        <v>0.29442344043886498</v>
      </c>
      <c r="X3035">
        <v>0</v>
      </c>
      <c r="Y3035">
        <v>0</v>
      </c>
    </row>
    <row r="3036" spans="1:25" x14ac:dyDescent="0.2">
      <c r="A3036" t="s">
        <v>11247</v>
      </c>
      <c r="B3036" t="s">
        <v>11248</v>
      </c>
      <c r="C3036" t="s">
        <v>14604</v>
      </c>
      <c r="D3036" t="s">
        <v>11249</v>
      </c>
      <c r="E3036" t="s">
        <v>11248</v>
      </c>
      <c r="F3036" t="s">
        <v>28</v>
      </c>
      <c r="G3036" t="s">
        <v>11248</v>
      </c>
      <c r="H3036" t="str">
        <f>"F59F4.3"</f>
        <v>F59F4.3</v>
      </c>
      <c r="I3036" t="s">
        <v>11249</v>
      </c>
      <c r="J3036" t="s">
        <v>29</v>
      </c>
      <c r="K3036" t="s">
        <v>29</v>
      </c>
      <c r="L3036" t="s">
        <v>29</v>
      </c>
      <c r="M3036" t="s">
        <v>29</v>
      </c>
      <c r="N3036" t="s">
        <v>29</v>
      </c>
      <c r="O3036" t="s">
        <v>29</v>
      </c>
      <c r="P3036" t="s">
        <v>29</v>
      </c>
      <c r="Q3036" t="s">
        <v>29</v>
      </c>
      <c r="R3036" t="s">
        <v>29</v>
      </c>
      <c r="S3036">
        <v>9.8812305759035208</v>
      </c>
      <c r="T3036" t="s">
        <v>29</v>
      </c>
      <c r="U3036" t="s">
        <v>29</v>
      </c>
      <c r="V3036" t="s">
        <v>29</v>
      </c>
      <c r="W3036" t="s">
        <v>29</v>
      </c>
      <c r="X3036" t="s">
        <v>29</v>
      </c>
      <c r="Y3036" t="s">
        <v>29</v>
      </c>
    </row>
    <row r="3037" spans="1:25" x14ac:dyDescent="0.2">
      <c r="A3037" t="s">
        <v>11250</v>
      </c>
      <c r="B3037" t="s">
        <v>11251</v>
      </c>
      <c r="C3037" t="s">
        <v>11252</v>
      </c>
      <c r="D3037" t="s">
        <v>11253</v>
      </c>
      <c r="E3037" t="s">
        <v>11251</v>
      </c>
      <c r="F3037" t="s">
        <v>28</v>
      </c>
      <c r="G3037" t="s">
        <v>11251</v>
      </c>
      <c r="H3037" t="str">
        <f>"acl-1"</f>
        <v>acl-1</v>
      </c>
      <c r="I3037" t="s">
        <v>11253</v>
      </c>
      <c r="J3037">
        <v>14.6962771088415</v>
      </c>
      <c r="K3037">
        <v>14.5859974974937</v>
      </c>
      <c r="L3037">
        <v>14.5667086015397</v>
      </c>
      <c r="M3037">
        <v>14.419996717549999</v>
      </c>
      <c r="N3037">
        <v>13.8286388645441</v>
      </c>
      <c r="O3037">
        <v>14.228653377808101</v>
      </c>
      <c r="P3037">
        <v>-0.457231415990909</v>
      </c>
      <c r="Q3037">
        <v>-0.87485551019149799</v>
      </c>
      <c r="R3037">
        <v>-3.9607321790320997E-2</v>
      </c>
      <c r="S3037">
        <v>14.341648449983699</v>
      </c>
      <c r="T3037">
        <v>-2.31100310625476</v>
      </c>
      <c r="U3037">
        <v>-4.6151064497684402</v>
      </c>
      <c r="V3037">
        <v>3.3723775059361701E-2</v>
      </c>
      <c r="W3037">
        <v>0.18198534667191199</v>
      </c>
      <c r="X3037">
        <v>0</v>
      </c>
      <c r="Y3037">
        <v>0</v>
      </c>
    </row>
    <row r="3038" spans="1:25" x14ac:dyDescent="0.2">
      <c r="A3038" t="s">
        <v>11254</v>
      </c>
      <c r="B3038" t="s">
        <v>11255</v>
      </c>
      <c r="C3038" t="s">
        <v>11256</v>
      </c>
      <c r="D3038" t="s">
        <v>11257</v>
      </c>
      <c r="E3038" t="s">
        <v>11255</v>
      </c>
      <c r="F3038" t="s">
        <v>28</v>
      </c>
      <c r="G3038" t="s">
        <v>11255</v>
      </c>
      <c r="H3038" t="str">
        <f>"ent-2"</f>
        <v>ent-2</v>
      </c>
      <c r="I3038" t="s">
        <v>11257</v>
      </c>
      <c r="J3038">
        <v>14.503671889057999</v>
      </c>
      <c r="K3038">
        <v>14.706472862386899</v>
      </c>
      <c r="L3038">
        <v>14.396221832439201</v>
      </c>
      <c r="M3038">
        <v>14.3530806891018</v>
      </c>
      <c r="N3038">
        <v>14.4830573905652</v>
      </c>
      <c r="O3038">
        <v>13.692936153622201</v>
      </c>
      <c r="P3038">
        <v>-0.35909745019834599</v>
      </c>
      <c r="Q3038">
        <v>-1.00807457739072</v>
      </c>
      <c r="R3038">
        <v>0.289879676994025</v>
      </c>
      <c r="S3038">
        <v>14.572763712852799</v>
      </c>
      <c r="T3038">
        <v>-1.1629885632310899</v>
      </c>
      <c r="U3038">
        <v>-6.36896465108964</v>
      </c>
      <c r="V3038">
        <v>0.260108589026256</v>
      </c>
      <c r="W3038">
        <v>0.53773402076965404</v>
      </c>
      <c r="X3038">
        <v>0</v>
      </c>
      <c r="Y3038">
        <v>0</v>
      </c>
    </row>
    <row r="3039" spans="1:25" x14ac:dyDescent="0.2">
      <c r="A3039" t="s">
        <v>11258</v>
      </c>
      <c r="B3039" t="s">
        <v>11259</v>
      </c>
      <c r="C3039" t="s">
        <v>11260</v>
      </c>
      <c r="D3039" t="s">
        <v>11261</v>
      </c>
      <c r="E3039" t="s">
        <v>11259</v>
      </c>
      <c r="F3039" t="s">
        <v>28</v>
      </c>
      <c r="G3039" t="s">
        <v>11259</v>
      </c>
      <c r="H3039" t="str">
        <f>"gas-1"</f>
        <v>gas-1</v>
      </c>
      <c r="I3039" t="s">
        <v>11261</v>
      </c>
      <c r="J3039">
        <v>15.7325913734753</v>
      </c>
      <c r="K3039">
        <v>15.901677744998899</v>
      </c>
      <c r="L3039">
        <v>16.109064614509901</v>
      </c>
      <c r="M3039">
        <v>15.0854827766833</v>
      </c>
      <c r="N3039">
        <v>15.4359841232221</v>
      </c>
      <c r="O3039">
        <v>15.6713407746889</v>
      </c>
      <c r="P3039">
        <v>-0.51684201946318897</v>
      </c>
      <c r="Q3039">
        <v>-1.0027554883251999</v>
      </c>
      <c r="R3039">
        <v>-3.0928550601175001E-2</v>
      </c>
      <c r="S3039">
        <v>15.676657656512999</v>
      </c>
      <c r="T3039">
        <v>-2.2355860481408198</v>
      </c>
      <c r="U3039">
        <v>-4.7444942494240498</v>
      </c>
      <c r="V3039">
        <v>3.8365778535362702E-2</v>
      </c>
      <c r="W3039">
        <v>0.193788380672582</v>
      </c>
      <c r="X3039">
        <v>0</v>
      </c>
      <c r="Y3039">
        <v>0</v>
      </c>
    </row>
    <row r="3040" spans="1:25" x14ac:dyDescent="0.2">
      <c r="A3040" t="s">
        <v>11262</v>
      </c>
      <c r="B3040" t="s">
        <v>11263</v>
      </c>
      <c r="C3040" t="s">
        <v>11264</v>
      </c>
      <c r="D3040" t="s">
        <v>11265</v>
      </c>
      <c r="E3040" t="s">
        <v>11263</v>
      </c>
      <c r="F3040" t="s">
        <v>28</v>
      </c>
      <c r="G3040" t="s">
        <v>11263</v>
      </c>
      <c r="H3040" t="str">
        <f>"rab-14"</f>
        <v>rab-14</v>
      </c>
      <c r="I3040" t="s">
        <v>11265</v>
      </c>
      <c r="J3040">
        <v>14.4914618365928</v>
      </c>
      <c r="K3040">
        <v>14.5596034969484</v>
      </c>
      <c r="L3040">
        <v>14.0210952478943</v>
      </c>
      <c r="M3040">
        <v>14.4137597865657</v>
      </c>
      <c r="N3040">
        <v>13.7226009538853</v>
      </c>
      <c r="O3040">
        <v>14.1688055628589</v>
      </c>
      <c r="P3040">
        <v>-0.25566475937518401</v>
      </c>
      <c r="Q3040">
        <v>-0.76798212923006504</v>
      </c>
      <c r="R3040">
        <v>0.25665261047969601</v>
      </c>
      <c r="S3040">
        <v>13.944016193627499</v>
      </c>
      <c r="T3040">
        <v>-1.0488763711768201</v>
      </c>
      <c r="U3040">
        <v>-6.4926949385980404</v>
      </c>
      <c r="V3040">
        <v>0.30819505618926701</v>
      </c>
      <c r="W3040">
        <v>0.58771705661465501</v>
      </c>
      <c r="X3040">
        <v>0</v>
      </c>
      <c r="Y3040">
        <v>0</v>
      </c>
    </row>
    <row r="3041" spans="1:25" x14ac:dyDescent="0.2">
      <c r="A3041" t="s">
        <v>11266</v>
      </c>
      <c r="B3041" t="s">
        <v>11267</v>
      </c>
      <c r="C3041" t="s">
        <v>11268</v>
      </c>
      <c r="D3041" t="s">
        <v>11269</v>
      </c>
      <c r="E3041" t="s">
        <v>11267</v>
      </c>
      <c r="F3041" t="s">
        <v>28</v>
      </c>
      <c r="G3041" t="s">
        <v>11267</v>
      </c>
      <c r="H3041" t="str">
        <f>"erv-46"</f>
        <v>erv-46</v>
      </c>
      <c r="I3041" t="s">
        <v>11269</v>
      </c>
      <c r="J3041">
        <v>11.292756519167501</v>
      </c>
      <c r="K3041">
        <v>11.8061490347577</v>
      </c>
      <c r="L3041">
        <v>10.936837267315299</v>
      </c>
      <c r="M3041" t="s">
        <v>29</v>
      </c>
      <c r="N3041">
        <v>11.015056185184299</v>
      </c>
      <c r="O3041">
        <v>10.798232659613999</v>
      </c>
      <c r="P3041">
        <v>-0.438603184681014</v>
      </c>
      <c r="Q3041">
        <v>-0.99703080967228797</v>
      </c>
      <c r="R3041">
        <v>0.11982444031026</v>
      </c>
      <c r="S3041">
        <v>11.0069420082223</v>
      </c>
      <c r="T3041">
        <v>-1.7307429837369801</v>
      </c>
      <c r="U3041">
        <v>-5.5117529352105796</v>
      </c>
      <c r="V3041">
        <v>0.111679774805544</v>
      </c>
      <c r="W3041">
        <v>0.34411407745613198</v>
      </c>
      <c r="X3041">
        <v>0</v>
      </c>
      <c r="Y3041">
        <v>0</v>
      </c>
    </row>
    <row r="3042" spans="1:25" x14ac:dyDescent="0.2">
      <c r="A3042" t="s">
        <v>11270</v>
      </c>
      <c r="B3042" t="s">
        <v>11271</v>
      </c>
      <c r="C3042" t="s">
        <v>11272</v>
      </c>
      <c r="D3042" t="s">
        <v>11273</v>
      </c>
      <c r="E3042" t="s">
        <v>11271</v>
      </c>
      <c r="F3042" t="s">
        <v>28</v>
      </c>
      <c r="G3042" t="s">
        <v>11271</v>
      </c>
      <c r="H3042" t="str">
        <f>"srf-3"</f>
        <v>srf-3</v>
      </c>
      <c r="I3042" t="s">
        <v>11273</v>
      </c>
      <c r="J3042">
        <v>14.094987251787501</v>
      </c>
      <c r="K3042">
        <v>14.3850411010917</v>
      </c>
      <c r="L3042">
        <v>14.5995556470568</v>
      </c>
      <c r="M3042">
        <v>14.308438802322501</v>
      </c>
      <c r="N3042">
        <v>14.180760413028599</v>
      </c>
      <c r="O3042">
        <v>14.336367492758599</v>
      </c>
      <c r="P3042">
        <v>-8.4672430608764102E-2</v>
      </c>
      <c r="Q3042">
        <v>-0.44671925475139501</v>
      </c>
      <c r="R3042">
        <v>0.277374393533867</v>
      </c>
      <c r="S3042">
        <v>14.3460554037142</v>
      </c>
      <c r="T3042">
        <v>-0.49365927122654102</v>
      </c>
      <c r="U3042">
        <v>-6.9248942353315597</v>
      </c>
      <c r="V3042">
        <v>0.62790279818587003</v>
      </c>
      <c r="W3042">
        <v>0.82821066286859402</v>
      </c>
      <c r="X3042">
        <v>0</v>
      </c>
      <c r="Y3042">
        <v>0</v>
      </c>
    </row>
    <row r="3043" spans="1:25" x14ac:dyDescent="0.2">
      <c r="A3043" t="s">
        <v>11274</v>
      </c>
      <c r="B3043" t="s">
        <v>11275</v>
      </c>
      <c r="C3043" t="s">
        <v>11276</v>
      </c>
      <c r="D3043" t="s">
        <v>107</v>
      </c>
      <c r="E3043" t="s">
        <v>11275</v>
      </c>
      <c r="F3043" t="s">
        <v>28</v>
      </c>
      <c r="G3043" t="s">
        <v>11275</v>
      </c>
      <c r="H3043" t="str">
        <f>"mct-3"</f>
        <v>mct-3</v>
      </c>
      <c r="I3043" t="s">
        <v>107</v>
      </c>
      <c r="J3043">
        <v>14.262995817559601</v>
      </c>
      <c r="K3043">
        <v>14.018778874547399</v>
      </c>
      <c r="L3043">
        <v>14.205621539825099</v>
      </c>
      <c r="M3043">
        <v>14.738987112998799</v>
      </c>
      <c r="N3043">
        <v>14.7640727679774</v>
      </c>
      <c r="O3043">
        <v>14.487569565462501</v>
      </c>
      <c r="P3043">
        <v>0.50107773816886503</v>
      </c>
      <c r="Q3043">
        <v>3.8349641696255898E-4</v>
      </c>
      <c r="R3043">
        <v>1.0017719799207701</v>
      </c>
      <c r="S3043">
        <v>14.6298249369407</v>
      </c>
      <c r="T3043">
        <v>2.1124309638516001</v>
      </c>
      <c r="U3043">
        <v>-4.9723185431190204</v>
      </c>
      <c r="V3043">
        <v>4.9843679409120899E-2</v>
      </c>
      <c r="W3043">
        <v>0.22163202151963601</v>
      </c>
      <c r="X3043">
        <v>0</v>
      </c>
      <c r="Y3043">
        <v>0</v>
      </c>
    </row>
    <row r="3044" spans="1:25" x14ac:dyDescent="0.2">
      <c r="A3044" t="s">
        <v>11277</v>
      </c>
      <c r="B3044" t="s">
        <v>11278</v>
      </c>
      <c r="C3044" t="s">
        <v>11279</v>
      </c>
      <c r="D3044" t="s">
        <v>11280</v>
      </c>
      <c r="E3044" t="s">
        <v>11278</v>
      </c>
      <c r="F3044" t="s">
        <v>28</v>
      </c>
      <c r="G3044" t="s">
        <v>11278</v>
      </c>
      <c r="H3044" t="str">
        <f>"gfi-3"</f>
        <v>gfi-3</v>
      </c>
      <c r="I3044" t="s">
        <v>11280</v>
      </c>
      <c r="J3044">
        <v>12.2989965182337</v>
      </c>
      <c r="K3044" t="s">
        <v>29</v>
      </c>
      <c r="L3044">
        <v>12.4160391888284</v>
      </c>
      <c r="M3044" t="s">
        <v>29</v>
      </c>
      <c r="N3044" t="s">
        <v>29</v>
      </c>
      <c r="O3044" t="s">
        <v>29</v>
      </c>
      <c r="P3044" t="s">
        <v>29</v>
      </c>
      <c r="Q3044" t="s">
        <v>29</v>
      </c>
      <c r="R3044" t="s">
        <v>29</v>
      </c>
      <c r="S3044">
        <v>12.422692100294499</v>
      </c>
      <c r="T3044" t="s">
        <v>29</v>
      </c>
      <c r="U3044" t="s">
        <v>29</v>
      </c>
      <c r="V3044" t="s">
        <v>29</v>
      </c>
      <c r="W3044" t="s">
        <v>29</v>
      </c>
      <c r="X3044" t="s">
        <v>29</v>
      </c>
      <c r="Y3044" t="s">
        <v>29</v>
      </c>
    </row>
    <row r="3045" spans="1:25" x14ac:dyDescent="0.2">
      <c r="A3045" t="s">
        <v>11281</v>
      </c>
      <c r="B3045" t="s">
        <v>11282</v>
      </c>
      <c r="C3045" t="s">
        <v>11283</v>
      </c>
      <c r="D3045" t="s">
        <v>11284</v>
      </c>
      <c r="E3045" t="s">
        <v>11282</v>
      </c>
      <c r="F3045" t="s">
        <v>28</v>
      </c>
      <c r="G3045" t="s">
        <v>11282</v>
      </c>
      <c r="H3045" t="str">
        <f>"prx-14"</f>
        <v>prx-14</v>
      </c>
      <c r="I3045" t="s">
        <v>11284</v>
      </c>
      <c r="J3045" t="s">
        <v>29</v>
      </c>
      <c r="K3045" t="s">
        <v>29</v>
      </c>
      <c r="L3045" t="s">
        <v>29</v>
      </c>
      <c r="M3045">
        <v>12.9541868155634</v>
      </c>
      <c r="N3045">
        <v>12.6587786129761</v>
      </c>
      <c r="O3045" t="s">
        <v>29</v>
      </c>
      <c r="P3045" t="s">
        <v>29</v>
      </c>
      <c r="Q3045" t="s">
        <v>29</v>
      </c>
      <c r="R3045" t="s">
        <v>29</v>
      </c>
      <c r="S3045">
        <v>12.1389615928593</v>
      </c>
      <c r="T3045" t="s">
        <v>29</v>
      </c>
      <c r="U3045" t="s">
        <v>29</v>
      </c>
      <c r="V3045" t="s">
        <v>29</v>
      </c>
      <c r="W3045" t="s">
        <v>29</v>
      </c>
      <c r="X3045" t="s">
        <v>29</v>
      </c>
      <c r="Y3045" t="s">
        <v>29</v>
      </c>
    </row>
    <row r="3046" spans="1:25" x14ac:dyDescent="0.2">
      <c r="A3046" t="s">
        <v>11285</v>
      </c>
      <c r="B3046" t="s">
        <v>11286</v>
      </c>
      <c r="C3046" t="s">
        <v>11287</v>
      </c>
      <c r="D3046" t="s">
        <v>11288</v>
      </c>
      <c r="E3046" t="s">
        <v>11286</v>
      </c>
      <c r="F3046" t="s">
        <v>28</v>
      </c>
      <c r="G3046" t="s">
        <v>11286</v>
      </c>
      <c r="H3046" t="str">
        <f>"adk-1"</f>
        <v>adk-1</v>
      </c>
      <c r="I3046" t="s">
        <v>11288</v>
      </c>
      <c r="J3046">
        <v>13.2289558896077</v>
      </c>
      <c r="K3046">
        <v>12.923113914871101</v>
      </c>
      <c r="L3046">
        <v>13.228953775007099</v>
      </c>
      <c r="M3046">
        <v>13.261735055274499</v>
      </c>
      <c r="N3046">
        <v>12.640926930627501</v>
      </c>
      <c r="O3046">
        <v>13.7760701725764</v>
      </c>
      <c r="P3046">
        <v>9.9236192997512504E-2</v>
      </c>
      <c r="Q3046">
        <v>-0.43412430391867401</v>
      </c>
      <c r="R3046">
        <v>0.632596689913699</v>
      </c>
      <c r="S3046">
        <v>13.312574682085099</v>
      </c>
      <c r="T3046">
        <v>0.39105852825244097</v>
      </c>
      <c r="U3046">
        <v>-6.9722860758095004</v>
      </c>
      <c r="V3046">
        <v>0.70037084861334498</v>
      </c>
      <c r="W3046">
        <v>0.86634680914856199</v>
      </c>
      <c r="X3046">
        <v>0</v>
      </c>
      <c r="Y3046">
        <v>0</v>
      </c>
    </row>
    <row r="3047" spans="1:25" x14ac:dyDescent="0.2">
      <c r="A3047" t="s">
        <v>11289</v>
      </c>
      <c r="B3047" t="s">
        <v>11290</v>
      </c>
      <c r="C3047" t="s">
        <v>11291</v>
      </c>
      <c r="D3047" t="s">
        <v>11292</v>
      </c>
      <c r="E3047" t="s">
        <v>11290</v>
      </c>
      <c r="F3047" t="s">
        <v>28</v>
      </c>
      <c r="G3047" t="s">
        <v>11290</v>
      </c>
      <c r="H3047" t="str">
        <f>"serr-1"</f>
        <v>serr-1</v>
      </c>
      <c r="I3047" t="s">
        <v>11292</v>
      </c>
      <c r="J3047">
        <v>13.6382713814182</v>
      </c>
      <c r="K3047">
        <v>13.846285385358501</v>
      </c>
      <c r="L3047">
        <v>13.9243478287091</v>
      </c>
      <c r="M3047">
        <v>14.227182517806099</v>
      </c>
      <c r="N3047">
        <v>14.3130007989785</v>
      </c>
      <c r="O3047">
        <v>14.2608505709514</v>
      </c>
      <c r="P3047">
        <v>0.46404309741673999</v>
      </c>
      <c r="Q3047">
        <v>8.5251310344204495E-2</v>
      </c>
      <c r="R3047">
        <v>0.84283488448927502</v>
      </c>
      <c r="S3047">
        <v>14.1492748931294</v>
      </c>
      <c r="T3047">
        <v>2.5858764800403198</v>
      </c>
      <c r="U3047">
        <v>-4.0944583176795204</v>
      </c>
      <c r="V3047">
        <v>1.92996028552576E-2</v>
      </c>
      <c r="W3047">
        <v>0.13492332233198101</v>
      </c>
      <c r="X3047">
        <v>0</v>
      </c>
      <c r="Y3047">
        <v>0</v>
      </c>
    </row>
    <row r="3048" spans="1:25" x14ac:dyDescent="0.2">
      <c r="A3048" t="s">
        <v>11293</v>
      </c>
      <c r="B3048" t="s">
        <v>11294</v>
      </c>
      <c r="C3048" t="s">
        <v>11295</v>
      </c>
      <c r="D3048" t="s">
        <v>11296</v>
      </c>
      <c r="E3048" t="s">
        <v>11294</v>
      </c>
      <c r="F3048" t="s">
        <v>28</v>
      </c>
      <c r="G3048" t="s">
        <v>11294</v>
      </c>
      <c r="H3048" t="str">
        <f>"gon-2"</f>
        <v>gon-2</v>
      </c>
      <c r="I3048" t="s">
        <v>11296</v>
      </c>
      <c r="J3048">
        <v>12.669252104812401</v>
      </c>
      <c r="K3048" t="s">
        <v>29</v>
      </c>
      <c r="L3048" t="s">
        <v>29</v>
      </c>
      <c r="M3048">
        <v>11.3175664978823</v>
      </c>
      <c r="N3048">
        <v>11.9931091202175</v>
      </c>
      <c r="O3048" t="s">
        <v>29</v>
      </c>
      <c r="P3048">
        <v>-1.0139142957624401</v>
      </c>
      <c r="Q3048">
        <v>-2.4617403171486401</v>
      </c>
      <c r="R3048">
        <v>0.43391172562375102</v>
      </c>
      <c r="S3048">
        <v>12.062541716257901</v>
      </c>
      <c r="T3048">
        <v>-1.51416119921993</v>
      </c>
      <c r="U3048">
        <v>-5.5344598337226101</v>
      </c>
      <c r="V3048">
        <v>0.15410502961015901</v>
      </c>
      <c r="W3048">
        <v>0.40583176984766201</v>
      </c>
      <c r="X3048">
        <v>0</v>
      </c>
      <c r="Y3048">
        <v>0</v>
      </c>
    </row>
    <row r="3049" spans="1:25" x14ac:dyDescent="0.2">
      <c r="A3049" t="s">
        <v>11297</v>
      </c>
      <c r="B3049" t="s">
        <v>11298</v>
      </c>
      <c r="C3049" t="s">
        <v>14605</v>
      </c>
      <c r="D3049" t="s">
        <v>11299</v>
      </c>
      <c r="E3049" t="s">
        <v>11298</v>
      </c>
      <c r="F3049" t="s">
        <v>28</v>
      </c>
      <c r="G3049" t="s">
        <v>11298</v>
      </c>
      <c r="H3049" t="str">
        <f>"T08G11.1"</f>
        <v>T08G11.1</v>
      </c>
      <c r="I3049" t="s">
        <v>11299</v>
      </c>
      <c r="J3049">
        <v>15.6489002427277</v>
      </c>
      <c r="K3049">
        <v>15.480667968433201</v>
      </c>
      <c r="L3049">
        <v>15.2982378713236</v>
      </c>
      <c r="M3049">
        <v>16.089210475706899</v>
      </c>
      <c r="N3049">
        <v>16.070019850898699</v>
      </c>
      <c r="O3049">
        <v>15.781506548572599</v>
      </c>
      <c r="P3049">
        <v>0.50431026423122904</v>
      </c>
      <c r="Q3049">
        <v>0.11438761130981499</v>
      </c>
      <c r="R3049">
        <v>0.89423291715264297</v>
      </c>
      <c r="S3049">
        <v>15.369619695163401</v>
      </c>
      <c r="T3049">
        <v>2.7183905634792702</v>
      </c>
      <c r="U3049">
        <v>-3.8149168399707798</v>
      </c>
      <c r="V3049">
        <v>1.4140806567184E-2</v>
      </c>
      <c r="W3049">
        <v>0.109557582308611</v>
      </c>
      <c r="X3049">
        <v>0</v>
      </c>
      <c r="Y3049">
        <v>0</v>
      </c>
    </row>
    <row r="3050" spans="1:25" x14ac:dyDescent="0.2">
      <c r="A3050" t="s">
        <v>11300</v>
      </c>
      <c r="B3050" t="s">
        <v>11301</v>
      </c>
      <c r="C3050" t="s">
        <v>11302</v>
      </c>
      <c r="D3050" t="s">
        <v>11303</v>
      </c>
      <c r="E3050" t="s">
        <v>11301</v>
      </c>
      <c r="F3050" t="s">
        <v>28</v>
      </c>
      <c r="G3050" t="s">
        <v>11301</v>
      </c>
      <c r="H3050" t="str">
        <f>"tgs-1"</f>
        <v>tgs-1</v>
      </c>
      <c r="I3050" t="s">
        <v>11303</v>
      </c>
      <c r="J3050">
        <v>13.209135574645099</v>
      </c>
      <c r="K3050">
        <v>13.498892456315</v>
      </c>
      <c r="L3050">
        <v>13.567334490666299</v>
      </c>
      <c r="M3050">
        <v>14.0336731527068</v>
      </c>
      <c r="N3050">
        <v>13.9298751651001</v>
      </c>
      <c r="O3050">
        <v>13.843991161190401</v>
      </c>
      <c r="P3050">
        <v>0.51072565245699397</v>
      </c>
      <c r="Q3050">
        <v>6.5584561800252794E-2</v>
      </c>
      <c r="R3050">
        <v>0.95586674311373498</v>
      </c>
      <c r="S3050">
        <v>13.990796422754601</v>
      </c>
      <c r="T3050">
        <v>2.4218096174195201</v>
      </c>
      <c r="U3050">
        <v>-4.4085655015991296</v>
      </c>
      <c r="V3050">
        <v>2.6988142015413798E-2</v>
      </c>
      <c r="W3050">
        <v>0.160547374987489</v>
      </c>
      <c r="X3050">
        <v>0</v>
      </c>
      <c r="Y3050">
        <v>0</v>
      </c>
    </row>
    <row r="3051" spans="1:25" x14ac:dyDescent="0.2">
      <c r="A3051" t="s">
        <v>11304</v>
      </c>
      <c r="B3051" t="s">
        <v>11305</v>
      </c>
      <c r="C3051" t="s">
        <v>14606</v>
      </c>
      <c r="D3051" t="s">
        <v>11306</v>
      </c>
      <c r="E3051" t="s">
        <v>11305</v>
      </c>
      <c r="F3051" t="s">
        <v>28</v>
      </c>
      <c r="G3051" t="s">
        <v>11305</v>
      </c>
      <c r="H3051" t="str">
        <f>"T13F2.6"</f>
        <v>T13F2.6</v>
      </c>
      <c r="I3051" t="s">
        <v>11306</v>
      </c>
      <c r="J3051" t="s">
        <v>29</v>
      </c>
      <c r="K3051" t="s">
        <v>29</v>
      </c>
      <c r="L3051" t="s">
        <v>29</v>
      </c>
      <c r="M3051" t="s">
        <v>29</v>
      </c>
      <c r="N3051" t="s">
        <v>29</v>
      </c>
      <c r="O3051" t="s">
        <v>29</v>
      </c>
      <c r="P3051" t="s">
        <v>29</v>
      </c>
      <c r="Q3051" t="s">
        <v>29</v>
      </c>
      <c r="R3051" t="s">
        <v>29</v>
      </c>
      <c r="S3051">
        <v>10.8126977314247</v>
      </c>
      <c r="T3051" t="s">
        <v>29</v>
      </c>
      <c r="U3051" t="s">
        <v>29</v>
      </c>
      <c r="V3051" t="s">
        <v>29</v>
      </c>
      <c r="W3051" t="s">
        <v>29</v>
      </c>
      <c r="X3051" t="s">
        <v>29</v>
      </c>
      <c r="Y3051" t="s">
        <v>29</v>
      </c>
    </row>
    <row r="3052" spans="1:25" x14ac:dyDescent="0.2">
      <c r="A3052" t="s">
        <v>11307</v>
      </c>
      <c r="B3052" t="s">
        <v>11308</v>
      </c>
      <c r="C3052" t="s">
        <v>11309</v>
      </c>
      <c r="D3052" t="s">
        <v>11310</v>
      </c>
      <c r="E3052" t="s">
        <v>11308</v>
      </c>
      <c r="F3052" t="s">
        <v>28</v>
      </c>
      <c r="G3052" t="s">
        <v>11308</v>
      </c>
      <c r="H3052" t="str">
        <f>"sna-2"</f>
        <v>sna-2</v>
      </c>
      <c r="I3052" t="s">
        <v>11310</v>
      </c>
      <c r="J3052" t="s">
        <v>29</v>
      </c>
      <c r="K3052" t="s">
        <v>29</v>
      </c>
      <c r="L3052">
        <v>11.0566742016485</v>
      </c>
      <c r="M3052">
        <v>12.0203520369712</v>
      </c>
      <c r="N3052">
        <v>11.674295127092</v>
      </c>
      <c r="O3052" t="s">
        <v>29</v>
      </c>
      <c r="P3052">
        <v>0.79064938038310495</v>
      </c>
      <c r="Q3052">
        <v>-0.24907971342893301</v>
      </c>
      <c r="R3052">
        <v>1.8303784741951401</v>
      </c>
      <c r="S3052">
        <v>13.2609679868927</v>
      </c>
      <c r="T3052">
        <v>1.6321333204063699</v>
      </c>
      <c r="U3052">
        <v>-5.3682967456232902</v>
      </c>
      <c r="V3052">
        <v>0.12509921329481</v>
      </c>
      <c r="W3052">
        <v>0.36673228834352301</v>
      </c>
      <c r="X3052">
        <v>0</v>
      </c>
      <c r="Y3052">
        <v>0</v>
      </c>
    </row>
    <row r="3053" spans="1:25" x14ac:dyDescent="0.2">
      <c r="A3053" t="s">
        <v>11311</v>
      </c>
      <c r="B3053" t="s">
        <v>11312</v>
      </c>
      <c r="C3053" t="s">
        <v>11313</v>
      </c>
      <c r="D3053" t="s">
        <v>11314</v>
      </c>
      <c r="E3053" t="s">
        <v>11312</v>
      </c>
      <c r="F3053" t="s">
        <v>28</v>
      </c>
      <c r="G3053" t="s">
        <v>11312</v>
      </c>
      <c r="H3053" t="str">
        <f>"cav-1"</f>
        <v>cav-1</v>
      </c>
      <c r="I3053" t="s">
        <v>11314</v>
      </c>
      <c r="J3053">
        <v>12.2340365482001</v>
      </c>
      <c r="K3053">
        <v>13.376186423719901</v>
      </c>
      <c r="L3053">
        <v>13.282381936913801</v>
      </c>
      <c r="M3053">
        <v>12.9445743825666</v>
      </c>
      <c r="N3053">
        <v>13.8364125034282</v>
      </c>
      <c r="O3053">
        <v>14.1652811657002</v>
      </c>
      <c r="P3053">
        <v>0.68455438095374499</v>
      </c>
      <c r="Q3053">
        <v>-0.157953890466246</v>
      </c>
      <c r="R3053">
        <v>1.5270626523737401</v>
      </c>
      <c r="S3053">
        <v>13.793177380777699</v>
      </c>
      <c r="T3053">
        <v>1.7150776758466</v>
      </c>
      <c r="U3053">
        <v>-5.6273956160749199</v>
      </c>
      <c r="V3053">
        <v>0.104612314341178</v>
      </c>
      <c r="W3053">
        <v>0.33417018412997301</v>
      </c>
      <c r="X3053">
        <v>0</v>
      </c>
      <c r="Y3053">
        <v>0</v>
      </c>
    </row>
    <row r="3054" spans="1:25" x14ac:dyDescent="0.2">
      <c r="A3054" t="s">
        <v>11315</v>
      </c>
      <c r="B3054" t="s">
        <v>11316</v>
      </c>
      <c r="C3054" t="s">
        <v>11317</v>
      </c>
      <c r="D3054" t="s">
        <v>11318</v>
      </c>
      <c r="E3054" t="s">
        <v>11316</v>
      </c>
      <c r="F3054" t="s">
        <v>28</v>
      </c>
      <c r="G3054" t="s">
        <v>11316</v>
      </c>
      <c r="H3054" t="str">
        <f>"msp-78"</f>
        <v>msp-78</v>
      </c>
      <c r="I3054" t="s">
        <v>11318</v>
      </c>
      <c r="J3054">
        <v>16.298217837373102</v>
      </c>
      <c r="K3054">
        <v>15.5652355313113</v>
      </c>
      <c r="L3054">
        <v>15.917336426961199</v>
      </c>
      <c r="M3054">
        <v>15.762274176900601</v>
      </c>
      <c r="N3054">
        <v>15.603105695903601</v>
      </c>
      <c r="O3054">
        <v>15.1617971954269</v>
      </c>
      <c r="P3054">
        <v>-0.41787090913817199</v>
      </c>
      <c r="Q3054">
        <v>-1.0897968506150699</v>
      </c>
      <c r="R3054">
        <v>0.25405503233872501</v>
      </c>
      <c r="S3054">
        <v>15.1865162585724</v>
      </c>
      <c r="T3054">
        <v>-1.30711332697469</v>
      </c>
      <c r="U3054">
        <v>-6.1971992186584401</v>
      </c>
      <c r="V3054">
        <v>0.20772169375722899</v>
      </c>
      <c r="W3054">
        <v>0.47175090486071902</v>
      </c>
      <c r="X3054">
        <v>0</v>
      </c>
      <c r="Y3054">
        <v>0</v>
      </c>
    </row>
    <row r="3055" spans="1:25" x14ac:dyDescent="0.2">
      <c r="A3055" t="s">
        <v>11319</v>
      </c>
      <c r="B3055" t="s">
        <v>11320</v>
      </c>
      <c r="C3055" t="s">
        <v>11321</v>
      </c>
      <c r="D3055" t="s">
        <v>11322</v>
      </c>
      <c r="E3055" t="s">
        <v>11320</v>
      </c>
      <c r="F3055" t="s">
        <v>28</v>
      </c>
      <c r="G3055" t="s">
        <v>11320</v>
      </c>
      <c r="H3055" t="str">
        <f>"hlb-1"</f>
        <v>hlb-1</v>
      </c>
      <c r="I3055" t="s">
        <v>11322</v>
      </c>
      <c r="J3055" t="s">
        <v>29</v>
      </c>
      <c r="K3055" t="s">
        <v>29</v>
      </c>
      <c r="L3055" t="s">
        <v>29</v>
      </c>
      <c r="M3055" t="s">
        <v>29</v>
      </c>
      <c r="N3055" t="s">
        <v>29</v>
      </c>
      <c r="O3055">
        <v>10.9210230438777</v>
      </c>
      <c r="P3055" t="s">
        <v>29</v>
      </c>
      <c r="Q3055" t="s">
        <v>29</v>
      </c>
      <c r="R3055" t="s">
        <v>29</v>
      </c>
      <c r="S3055">
        <v>11.482725949841999</v>
      </c>
      <c r="T3055" t="s">
        <v>29</v>
      </c>
      <c r="U3055" t="s">
        <v>29</v>
      </c>
      <c r="V3055" t="s">
        <v>29</v>
      </c>
      <c r="W3055" t="s">
        <v>29</v>
      </c>
      <c r="X3055" t="s">
        <v>29</v>
      </c>
      <c r="Y3055" t="s">
        <v>29</v>
      </c>
    </row>
    <row r="3056" spans="1:25" x14ac:dyDescent="0.2">
      <c r="A3056" t="s">
        <v>11323</v>
      </c>
      <c r="B3056" t="s">
        <v>11324</v>
      </c>
      <c r="C3056" t="s">
        <v>11325</v>
      </c>
      <c r="D3056" t="s">
        <v>11326</v>
      </c>
      <c r="E3056" t="s">
        <v>11324</v>
      </c>
      <c r="F3056" t="s">
        <v>28</v>
      </c>
      <c r="G3056" t="s">
        <v>11324</v>
      </c>
      <c r="H3056" t="str">
        <f>"age-1"</f>
        <v>age-1</v>
      </c>
      <c r="I3056" t="s">
        <v>11326</v>
      </c>
      <c r="J3056">
        <v>12.3381545919998</v>
      </c>
      <c r="K3056">
        <v>13.109984872688701</v>
      </c>
      <c r="L3056">
        <v>11.9714448230402</v>
      </c>
      <c r="M3056">
        <v>12.836739822014801</v>
      </c>
      <c r="N3056">
        <v>12.2485882856102</v>
      </c>
      <c r="O3056">
        <v>12.0330007952419</v>
      </c>
      <c r="P3056">
        <v>-0.100418461620619</v>
      </c>
      <c r="Q3056">
        <v>-0.69081595460194001</v>
      </c>
      <c r="R3056">
        <v>0.48997903136070298</v>
      </c>
      <c r="S3056">
        <v>12.2878016675875</v>
      </c>
      <c r="T3056">
        <v>-0.360760175048218</v>
      </c>
      <c r="U3056">
        <v>-6.9837080764678401</v>
      </c>
      <c r="V3056">
        <v>0.72302842407499701</v>
      </c>
      <c r="W3056">
        <v>0.87985583094242303</v>
      </c>
      <c r="X3056">
        <v>0</v>
      </c>
      <c r="Y3056">
        <v>0</v>
      </c>
    </row>
    <row r="3057" spans="1:25" x14ac:dyDescent="0.2">
      <c r="A3057" t="s">
        <v>11327</v>
      </c>
      <c r="B3057" t="s">
        <v>11328</v>
      </c>
      <c r="C3057" t="s">
        <v>11329</v>
      </c>
      <c r="D3057" t="s">
        <v>11330</v>
      </c>
      <c r="E3057" t="s">
        <v>11328</v>
      </c>
      <c r="F3057" t="s">
        <v>28</v>
      </c>
      <c r="G3057" t="s">
        <v>11328</v>
      </c>
      <c r="H3057" t="str">
        <f>"pie-1"</f>
        <v>pie-1</v>
      </c>
      <c r="I3057" t="s">
        <v>11330</v>
      </c>
      <c r="J3057" t="s">
        <v>29</v>
      </c>
      <c r="K3057" t="s">
        <v>29</v>
      </c>
      <c r="L3057">
        <v>11.788634519929801</v>
      </c>
      <c r="M3057" t="s">
        <v>29</v>
      </c>
      <c r="N3057" t="s">
        <v>29</v>
      </c>
      <c r="O3057" t="s">
        <v>29</v>
      </c>
      <c r="P3057" t="s">
        <v>29</v>
      </c>
      <c r="Q3057" t="s">
        <v>29</v>
      </c>
      <c r="R3057" t="s">
        <v>29</v>
      </c>
      <c r="S3057">
        <v>13.2735284670082</v>
      </c>
      <c r="T3057" t="s">
        <v>29</v>
      </c>
      <c r="U3057" t="s">
        <v>29</v>
      </c>
      <c r="V3057" t="s">
        <v>29</v>
      </c>
      <c r="W3057" t="s">
        <v>29</v>
      </c>
      <c r="X3057" t="s">
        <v>29</v>
      </c>
      <c r="Y3057" t="s">
        <v>29</v>
      </c>
    </row>
    <row r="3058" spans="1:25" x14ac:dyDescent="0.2">
      <c r="A3058" t="s">
        <v>11331</v>
      </c>
      <c r="B3058" t="s">
        <v>11332</v>
      </c>
      <c r="C3058" t="s">
        <v>11333</v>
      </c>
      <c r="D3058" t="s">
        <v>11334</v>
      </c>
      <c r="E3058" t="s">
        <v>11332</v>
      </c>
      <c r="F3058" t="s">
        <v>28</v>
      </c>
      <c r="G3058" t="s">
        <v>11332</v>
      </c>
      <c r="H3058" t="str">
        <f>"rab-10"</f>
        <v>rab-10</v>
      </c>
      <c r="I3058" t="s">
        <v>11334</v>
      </c>
      <c r="J3058">
        <v>15.2322999884508</v>
      </c>
      <c r="K3058">
        <v>14.942052524662801</v>
      </c>
      <c r="L3058">
        <v>14.2360087181821</v>
      </c>
      <c r="M3058">
        <v>15.6622003064083</v>
      </c>
      <c r="N3058">
        <v>14.8844342525583</v>
      </c>
      <c r="O3058">
        <v>14.6525942987005</v>
      </c>
      <c r="P3058">
        <v>0.262955875457136</v>
      </c>
      <c r="Q3058">
        <v>-0.432684269703976</v>
      </c>
      <c r="R3058">
        <v>0.958596020618248</v>
      </c>
      <c r="S3058">
        <v>14.1034184888381</v>
      </c>
      <c r="T3058">
        <v>0.79789961440104595</v>
      </c>
      <c r="U3058">
        <v>-6.7235963798611902</v>
      </c>
      <c r="V3058">
        <v>0.43600076708286101</v>
      </c>
      <c r="W3058">
        <v>0.70393597244008699</v>
      </c>
      <c r="X3058">
        <v>0</v>
      </c>
      <c r="Y3058">
        <v>0</v>
      </c>
    </row>
    <row r="3059" spans="1:25" x14ac:dyDescent="0.2">
      <c r="A3059" t="s">
        <v>11335</v>
      </c>
      <c r="B3059" t="s">
        <v>11336</v>
      </c>
      <c r="C3059" t="s">
        <v>11337</v>
      </c>
      <c r="D3059" t="s">
        <v>11338</v>
      </c>
      <c r="E3059" t="s">
        <v>11336</v>
      </c>
      <c r="F3059" t="s">
        <v>28</v>
      </c>
      <c r="G3059" t="s">
        <v>11336</v>
      </c>
      <c r="H3059" t="str">
        <f>"paqr-1"</f>
        <v>paqr-1</v>
      </c>
      <c r="I3059" t="s">
        <v>11338</v>
      </c>
      <c r="J3059">
        <v>10.985375377654799</v>
      </c>
      <c r="K3059">
        <v>12.653857355268199</v>
      </c>
      <c r="L3059">
        <v>12.347408520007299</v>
      </c>
      <c r="M3059">
        <v>12.4834061699974</v>
      </c>
      <c r="N3059">
        <v>11.997003054157799</v>
      </c>
      <c r="O3059">
        <v>12.5315177950711</v>
      </c>
      <c r="P3059">
        <v>0.34176192209869199</v>
      </c>
      <c r="Q3059">
        <v>-0.37154427792424</v>
      </c>
      <c r="R3059">
        <v>1.05506812212162</v>
      </c>
      <c r="S3059">
        <v>12.725457395117401</v>
      </c>
      <c r="T3059">
        <v>1.02185501449891</v>
      </c>
      <c r="U3059">
        <v>-6.5176930338201604</v>
      </c>
      <c r="V3059">
        <v>0.323160357314208</v>
      </c>
      <c r="W3059">
        <v>0.60261535971371505</v>
      </c>
      <c r="X3059">
        <v>0</v>
      </c>
      <c r="Y3059">
        <v>0</v>
      </c>
    </row>
    <row r="3060" spans="1:25" x14ac:dyDescent="0.2">
      <c r="A3060" t="s">
        <v>11339</v>
      </c>
      <c r="B3060" t="s">
        <v>11340</v>
      </c>
      <c r="C3060" t="s">
        <v>14607</v>
      </c>
      <c r="D3060" t="s">
        <v>11341</v>
      </c>
      <c r="E3060" t="s">
        <v>11340</v>
      </c>
      <c r="F3060" t="s">
        <v>28</v>
      </c>
      <c r="G3060" t="s">
        <v>11340</v>
      </c>
      <c r="H3060" t="str">
        <f>"F16F9.4"</f>
        <v>F16F9.4</v>
      </c>
      <c r="I3060" t="s">
        <v>11341</v>
      </c>
      <c r="J3060">
        <v>12.054219994918499</v>
      </c>
      <c r="K3060">
        <v>12.2122733584971</v>
      </c>
      <c r="L3060">
        <v>11.115811521612001</v>
      </c>
      <c r="M3060" t="s">
        <v>29</v>
      </c>
      <c r="N3060">
        <v>11.1147786796845</v>
      </c>
      <c r="O3060">
        <v>11.438568911774301</v>
      </c>
      <c r="P3060">
        <v>-0.51742782927979603</v>
      </c>
      <c r="Q3060">
        <v>-1.11750438330119</v>
      </c>
      <c r="R3060">
        <v>8.2648724741599594E-2</v>
      </c>
      <c r="S3060">
        <v>11.666292185313999</v>
      </c>
      <c r="T3060">
        <v>-1.8390127083143399</v>
      </c>
      <c r="U3060">
        <v>-5.3317620331098299</v>
      </c>
      <c r="V3060">
        <v>8.5932784124470404E-2</v>
      </c>
      <c r="W3060">
        <v>0.30164539324814099</v>
      </c>
      <c r="X3060">
        <v>0</v>
      </c>
      <c r="Y3060">
        <v>0</v>
      </c>
    </row>
    <row r="3061" spans="1:25" x14ac:dyDescent="0.2">
      <c r="A3061" t="s">
        <v>11342</v>
      </c>
      <c r="B3061" t="s">
        <v>11343</v>
      </c>
      <c r="C3061" t="s">
        <v>11344</v>
      </c>
      <c r="D3061" t="s">
        <v>11345</v>
      </c>
      <c r="E3061" t="s">
        <v>11343</v>
      </c>
      <c r="F3061" t="s">
        <v>28</v>
      </c>
      <c r="G3061" t="s">
        <v>11343</v>
      </c>
      <c r="H3061" t="str">
        <f>"dnj-11"</f>
        <v>dnj-11</v>
      </c>
      <c r="I3061" t="s">
        <v>11345</v>
      </c>
      <c r="J3061">
        <v>14.636660119851401</v>
      </c>
      <c r="K3061">
        <v>14.6274296761828</v>
      </c>
      <c r="L3061">
        <v>14.4428866773307</v>
      </c>
      <c r="M3061">
        <v>17.2631333153174</v>
      </c>
      <c r="N3061">
        <v>16.866995485149399</v>
      </c>
      <c r="O3061">
        <v>16.614467417901999</v>
      </c>
      <c r="P3061">
        <v>2.3458732483346099</v>
      </c>
      <c r="Q3061">
        <v>1.7441962517205301</v>
      </c>
      <c r="R3061">
        <v>2.9475502449486899</v>
      </c>
      <c r="S3061">
        <v>16.404356366779801</v>
      </c>
      <c r="T3061">
        <v>8.1947111130494594</v>
      </c>
      <c r="U3061">
        <v>7.4169077583858698</v>
      </c>
      <c r="V3061" s="2">
        <v>1.8125057026607199E-7</v>
      </c>
      <c r="W3061" s="2">
        <v>1.52481659243968E-5</v>
      </c>
      <c r="X3061">
        <v>1</v>
      </c>
      <c r="Y3061">
        <v>1</v>
      </c>
    </row>
    <row r="3062" spans="1:25" x14ac:dyDescent="0.2">
      <c r="A3062" t="s">
        <v>11346</v>
      </c>
      <c r="B3062" t="s">
        <v>11347</v>
      </c>
      <c r="C3062" t="s">
        <v>11348</v>
      </c>
      <c r="D3062" t="s">
        <v>11349</v>
      </c>
      <c r="E3062" t="s">
        <v>11347</v>
      </c>
      <c r="F3062" t="s">
        <v>28</v>
      </c>
      <c r="G3062" t="s">
        <v>11347</v>
      </c>
      <c r="H3062" t="str">
        <f>"odr-8"</f>
        <v>odr-8</v>
      </c>
      <c r="I3062" t="s">
        <v>11349</v>
      </c>
      <c r="J3062">
        <v>14.3922318318986</v>
      </c>
      <c r="K3062">
        <v>14.289820558726801</v>
      </c>
      <c r="L3062">
        <v>13.9668056053083</v>
      </c>
      <c r="M3062">
        <v>13.448458725465899</v>
      </c>
      <c r="N3062">
        <v>13.9137865155509</v>
      </c>
      <c r="O3062">
        <v>13.8547322797458</v>
      </c>
      <c r="P3062">
        <v>-0.477293491723703</v>
      </c>
      <c r="Q3062">
        <v>-0.97918919955378703</v>
      </c>
      <c r="R3062">
        <v>2.4602216106380501E-2</v>
      </c>
      <c r="S3062">
        <v>14.2937310153214</v>
      </c>
      <c r="T3062">
        <v>-1.9987779232401801</v>
      </c>
      <c r="U3062">
        <v>-5.1637613151358996</v>
      </c>
      <c r="V3062">
        <v>6.10559525620245E-2</v>
      </c>
      <c r="W3062">
        <v>0.24896750581056101</v>
      </c>
      <c r="X3062">
        <v>0</v>
      </c>
      <c r="Y3062">
        <v>0</v>
      </c>
    </row>
    <row r="3063" spans="1:25" x14ac:dyDescent="0.2">
      <c r="A3063" t="s">
        <v>11350</v>
      </c>
      <c r="B3063" t="s">
        <v>11351</v>
      </c>
      <c r="C3063" t="s">
        <v>11352</v>
      </c>
      <c r="D3063" t="s">
        <v>11353</v>
      </c>
      <c r="E3063" t="s">
        <v>11351</v>
      </c>
      <c r="F3063" t="s">
        <v>28</v>
      </c>
      <c r="G3063" t="s">
        <v>11351</v>
      </c>
      <c r="H3063" t="str">
        <f>"plp-1"</f>
        <v>plp-1</v>
      </c>
      <c r="I3063" t="s">
        <v>11353</v>
      </c>
      <c r="J3063">
        <v>16.239386720570799</v>
      </c>
      <c r="K3063">
        <v>16.221145181528801</v>
      </c>
      <c r="L3063">
        <v>16.191816656289301</v>
      </c>
      <c r="M3063">
        <v>16.201370548022499</v>
      </c>
      <c r="N3063">
        <v>16.307451242316802</v>
      </c>
      <c r="O3063">
        <v>16.191648396749802</v>
      </c>
      <c r="P3063">
        <v>1.6040542900086101E-2</v>
      </c>
      <c r="Q3063">
        <v>-0.40830541333972997</v>
      </c>
      <c r="R3063">
        <v>0.44038649913990202</v>
      </c>
      <c r="S3063">
        <v>15.7043545667453</v>
      </c>
      <c r="T3063">
        <v>7.94495621784298E-2</v>
      </c>
      <c r="U3063">
        <v>-7.0487790177778704</v>
      </c>
      <c r="V3063">
        <v>0.93755677619690803</v>
      </c>
      <c r="W3063">
        <v>0.97535311084156295</v>
      </c>
      <c r="X3063">
        <v>0</v>
      </c>
      <c r="Y3063">
        <v>0</v>
      </c>
    </row>
    <row r="3064" spans="1:25" x14ac:dyDescent="0.2">
      <c r="A3064" t="s">
        <v>11354</v>
      </c>
      <c r="B3064" t="s">
        <v>11355</v>
      </c>
      <c r="C3064" t="s">
        <v>11356</v>
      </c>
      <c r="D3064" t="s">
        <v>953</v>
      </c>
      <c r="E3064" t="s">
        <v>11355</v>
      </c>
      <c r="F3064" t="s">
        <v>28</v>
      </c>
      <c r="G3064" t="s">
        <v>11355</v>
      </c>
      <c r="H3064" t="str">
        <f>"stau-1"</f>
        <v>stau-1</v>
      </c>
      <c r="I3064" t="s">
        <v>953</v>
      </c>
      <c r="J3064">
        <v>12.068550995486699</v>
      </c>
      <c r="K3064">
        <v>12.546788140689401</v>
      </c>
      <c r="L3064">
        <v>11.8965991638132</v>
      </c>
      <c r="M3064">
        <v>12.596195311931201</v>
      </c>
      <c r="N3064">
        <v>12.501217470265001</v>
      </c>
      <c r="O3064">
        <v>12.866565075387999</v>
      </c>
      <c r="P3064">
        <v>0.48401318586500403</v>
      </c>
      <c r="Q3064">
        <v>1.18992696410039E-2</v>
      </c>
      <c r="R3064">
        <v>0.95612710208900498</v>
      </c>
      <c r="S3064">
        <v>12.4775444241107</v>
      </c>
      <c r="T3064">
        <v>2.1745025482663598</v>
      </c>
      <c r="U3064">
        <v>-4.8705819537222803</v>
      </c>
      <c r="V3064">
        <v>4.5119501966739202E-2</v>
      </c>
      <c r="W3064">
        <v>0.21094663706863401</v>
      </c>
      <c r="X3064">
        <v>0</v>
      </c>
      <c r="Y3064">
        <v>0</v>
      </c>
    </row>
    <row r="3065" spans="1:25" x14ac:dyDescent="0.2">
      <c r="A3065" t="s">
        <v>11357</v>
      </c>
      <c r="B3065" t="s">
        <v>11358</v>
      </c>
      <c r="C3065" t="s">
        <v>11359</v>
      </c>
      <c r="D3065" t="s">
        <v>11360</v>
      </c>
      <c r="E3065" t="s">
        <v>11358</v>
      </c>
      <c r="F3065" t="s">
        <v>28</v>
      </c>
      <c r="G3065" t="s">
        <v>11358</v>
      </c>
      <c r="H3065" t="str">
        <f>"sec-22"</f>
        <v>sec-22</v>
      </c>
      <c r="I3065" t="s">
        <v>11360</v>
      </c>
      <c r="J3065">
        <v>13.1028874130433</v>
      </c>
      <c r="K3065">
        <v>12.526729907678</v>
      </c>
      <c r="L3065">
        <v>12.695573712330599</v>
      </c>
      <c r="M3065">
        <v>13.038962405633599</v>
      </c>
      <c r="N3065">
        <v>13.534594656103099</v>
      </c>
      <c r="O3065">
        <v>13.0248803622408</v>
      </c>
      <c r="P3065">
        <v>0.42441546364183602</v>
      </c>
      <c r="Q3065">
        <v>-0.32298419241086201</v>
      </c>
      <c r="R3065">
        <v>1.1718151196945299</v>
      </c>
      <c r="S3065">
        <v>12.645536345985301</v>
      </c>
      <c r="T3065">
        <v>1.1986387637775999</v>
      </c>
      <c r="U3065">
        <v>-6.3274133311165404</v>
      </c>
      <c r="V3065">
        <v>0.247211738390297</v>
      </c>
      <c r="W3065">
        <v>0.52118539633652505</v>
      </c>
      <c r="X3065">
        <v>0</v>
      </c>
      <c r="Y3065">
        <v>0</v>
      </c>
    </row>
    <row r="3066" spans="1:25" x14ac:dyDescent="0.2">
      <c r="A3066" t="s">
        <v>11361</v>
      </c>
      <c r="B3066" t="s">
        <v>11362</v>
      </c>
      <c r="C3066" t="s">
        <v>11363</v>
      </c>
      <c r="D3066" t="s">
        <v>11364</v>
      </c>
      <c r="E3066" t="s">
        <v>11362</v>
      </c>
      <c r="F3066" t="s">
        <v>28</v>
      </c>
      <c r="G3066" t="s">
        <v>11362</v>
      </c>
      <c r="H3066" t="str">
        <f>"dre-1"</f>
        <v>dre-1</v>
      </c>
      <c r="I3066" t="s">
        <v>11364</v>
      </c>
      <c r="J3066">
        <v>10.2291535805827</v>
      </c>
      <c r="K3066">
        <v>11.268246515286799</v>
      </c>
      <c r="L3066">
        <v>11.5083030993235</v>
      </c>
      <c r="M3066">
        <v>10.3198153585878</v>
      </c>
      <c r="N3066">
        <v>11.277588970240201</v>
      </c>
      <c r="O3066">
        <v>11.0078771217339</v>
      </c>
      <c r="P3066">
        <v>-0.133473914877063</v>
      </c>
      <c r="Q3066">
        <v>-0.961571727526916</v>
      </c>
      <c r="R3066">
        <v>0.69462389777278999</v>
      </c>
      <c r="S3066">
        <v>11.3669423606399</v>
      </c>
      <c r="T3066">
        <v>-0.34376081248832302</v>
      </c>
      <c r="U3066">
        <v>-6.98974571187608</v>
      </c>
      <c r="V3066">
        <v>0.73583066249485296</v>
      </c>
      <c r="W3066">
        <v>0.88779865619512499</v>
      </c>
      <c r="X3066">
        <v>0</v>
      </c>
      <c r="Y3066">
        <v>0</v>
      </c>
    </row>
    <row r="3067" spans="1:25" x14ac:dyDescent="0.2">
      <c r="A3067" t="s">
        <v>11365</v>
      </c>
      <c r="B3067" t="s">
        <v>11366</v>
      </c>
      <c r="C3067" t="s">
        <v>11367</v>
      </c>
      <c r="D3067" t="s">
        <v>11368</v>
      </c>
      <c r="E3067" t="s">
        <v>11366</v>
      </c>
      <c r="F3067" t="s">
        <v>28</v>
      </c>
      <c r="G3067" t="s">
        <v>11366</v>
      </c>
      <c r="H3067" t="str">
        <f>"cif-1"</f>
        <v>cif-1</v>
      </c>
      <c r="I3067" t="s">
        <v>11368</v>
      </c>
      <c r="J3067">
        <v>13.6913628832295</v>
      </c>
      <c r="K3067">
        <v>13.3748752596773</v>
      </c>
      <c r="L3067">
        <v>13.799859062680399</v>
      </c>
      <c r="M3067">
        <v>12.716576385210701</v>
      </c>
      <c r="N3067">
        <v>13.6004784780159</v>
      </c>
      <c r="O3067">
        <v>13.5800351414399</v>
      </c>
      <c r="P3067">
        <v>-0.32300240030688199</v>
      </c>
      <c r="Q3067">
        <v>-0.88882110397147696</v>
      </c>
      <c r="R3067">
        <v>0.24281630335771401</v>
      </c>
      <c r="S3067">
        <v>13.700686787397199</v>
      </c>
      <c r="T3067">
        <v>-1.1998334446450201</v>
      </c>
      <c r="U3067">
        <v>-6.3266666610568896</v>
      </c>
      <c r="V3067">
        <v>0.245848694301112</v>
      </c>
      <c r="W3067">
        <v>0.51981263889267004</v>
      </c>
      <c r="X3067">
        <v>0</v>
      </c>
      <c r="Y3067">
        <v>0</v>
      </c>
    </row>
    <row r="3068" spans="1:25" x14ac:dyDescent="0.2">
      <c r="A3068" t="s">
        <v>11369</v>
      </c>
      <c r="B3068" t="s">
        <v>11370</v>
      </c>
      <c r="C3068" t="s">
        <v>11371</v>
      </c>
      <c r="D3068" t="s">
        <v>11372</v>
      </c>
      <c r="E3068" t="s">
        <v>11370</v>
      </c>
      <c r="F3068" t="s">
        <v>28</v>
      </c>
      <c r="G3068" t="s">
        <v>11370</v>
      </c>
      <c r="H3068" t="str">
        <f>"fah-1"</f>
        <v>fah-1</v>
      </c>
      <c r="I3068" t="s">
        <v>11372</v>
      </c>
      <c r="J3068" t="s">
        <v>29</v>
      </c>
      <c r="K3068">
        <v>10.947054000479399</v>
      </c>
      <c r="L3068" t="s">
        <v>29</v>
      </c>
      <c r="M3068">
        <v>13.7172422737889</v>
      </c>
      <c r="N3068">
        <v>13.782179651693999</v>
      </c>
      <c r="O3068">
        <v>13.6158049043483</v>
      </c>
      <c r="P3068">
        <v>2.7580216094643299</v>
      </c>
      <c r="Q3068">
        <v>1.9117312996736699</v>
      </c>
      <c r="R3068">
        <v>3.6043119192550002</v>
      </c>
      <c r="S3068">
        <v>12.8575067535954</v>
      </c>
      <c r="T3068">
        <v>6.9123835227013197</v>
      </c>
      <c r="U3068">
        <v>4.6519666106535098</v>
      </c>
      <c r="V3068" s="2">
        <v>3.62231897982972E-6</v>
      </c>
      <c r="W3068">
        <v>1.7859130242978599E-4</v>
      </c>
      <c r="X3068">
        <v>1</v>
      </c>
      <c r="Y3068">
        <v>1</v>
      </c>
    </row>
    <row r="3069" spans="1:25" x14ac:dyDescent="0.2">
      <c r="A3069" t="s">
        <v>11373</v>
      </c>
      <c r="B3069" t="s">
        <v>11374</v>
      </c>
      <c r="C3069" t="s">
        <v>14608</v>
      </c>
      <c r="D3069" t="s">
        <v>3182</v>
      </c>
      <c r="E3069" t="s">
        <v>11374</v>
      </c>
      <c r="F3069" t="s">
        <v>28</v>
      </c>
      <c r="G3069" t="s">
        <v>11374</v>
      </c>
      <c r="H3069" t="str">
        <f>"M02B7.2"</f>
        <v>M02B7.2</v>
      </c>
      <c r="I3069" t="s">
        <v>3182</v>
      </c>
      <c r="J3069" t="s">
        <v>29</v>
      </c>
      <c r="K3069" t="s">
        <v>29</v>
      </c>
      <c r="L3069" t="s">
        <v>29</v>
      </c>
      <c r="M3069" t="s">
        <v>29</v>
      </c>
      <c r="N3069" t="s">
        <v>29</v>
      </c>
      <c r="O3069" t="s">
        <v>29</v>
      </c>
      <c r="P3069" t="s">
        <v>29</v>
      </c>
      <c r="Q3069" t="s">
        <v>29</v>
      </c>
      <c r="R3069" t="s">
        <v>29</v>
      </c>
      <c r="S3069">
        <v>11.320958372426601</v>
      </c>
      <c r="T3069" t="s">
        <v>29</v>
      </c>
      <c r="U3069" t="s">
        <v>29</v>
      </c>
      <c r="V3069" t="s">
        <v>29</v>
      </c>
      <c r="W3069" t="s">
        <v>29</v>
      </c>
      <c r="X3069" t="s">
        <v>29</v>
      </c>
      <c r="Y3069" t="s">
        <v>29</v>
      </c>
    </row>
    <row r="3070" spans="1:25" x14ac:dyDescent="0.2">
      <c r="A3070" t="s">
        <v>11375</v>
      </c>
      <c r="B3070" t="s">
        <v>11376</v>
      </c>
      <c r="C3070" t="s">
        <v>11377</v>
      </c>
      <c r="D3070" t="s">
        <v>1873</v>
      </c>
      <c r="E3070" t="s">
        <v>11376</v>
      </c>
      <c r="F3070" t="s">
        <v>28</v>
      </c>
      <c r="G3070" t="s">
        <v>11376</v>
      </c>
      <c r="H3070" t="str">
        <f>"bris-1"</f>
        <v>bris-1</v>
      </c>
      <c r="I3070" t="s">
        <v>1873</v>
      </c>
      <c r="J3070" t="s">
        <v>29</v>
      </c>
      <c r="K3070" t="s">
        <v>29</v>
      </c>
      <c r="L3070">
        <v>10.4042656994563</v>
      </c>
      <c r="M3070" t="s">
        <v>29</v>
      </c>
      <c r="N3070" t="s">
        <v>29</v>
      </c>
      <c r="O3070" t="s">
        <v>29</v>
      </c>
      <c r="P3070" t="s">
        <v>29</v>
      </c>
      <c r="Q3070" t="s">
        <v>29</v>
      </c>
      <c r="R3070" t="s">
        <v>29</v>
      </c>
      <c r="S3070">
        <v>11.407623605925201</v>
      </c>
      <c r="T3070" t="s">
        <v>29</v>
      </c>
      <c r="U3070" t="s">
        <v>29</v>
      </c>
      <c r="V3070" t="s">
        <v>29</v>
      </c>
      <c r="W3070" t="s">
        <v>29</v>
      </c>
      <c r="X3070" t="s">
        <v>29</v>
      </c>
      <c r="Y3070" t="s">
        <v>29</v>
      </c>
    </row>
    <row r="3071" spans="1:25" x14ac:dyDescent="0.2">
      <c r="A3071" t="s">
        <v>11378</v>
      </c>
      <c r="B3071" t="s">
        <v>11379</v>
      </c>
      <c r="C3071" t="s">
        <v>11380</v>
      </c>
      <c r="D3071" t="s">
        <v>11381</v>
      </c>
      <c r="E3071" t="s">
        <v>11379</v>
      </c>
      <c r="F3071" t="s">
        <v>28</v>
      </c>
      <c r="G3071" t="s">
        <v>11379</v>
      </c>
      <c r="H3071" t="str">
        <f>"rpl-11.1"</f>
        <v>rpl-11.1</v>
      </c>
      <c r="I3071" t="s">
        <v>11381</v>
      </c>
      <c r="J3071">
        <v>15.791984052832801</v>
      </c>
      <c r="K3071">
        <v>15.574453590026501</v>
      </c>
      <c r="L3071">
        <v>16.135320133773298</v>
      </c>
      <c r="M3071">
        <v>15.687305136149901</v>
      </c>
      <c r="N3071">
        <v>15.364820301338099</v>
      </c>
      <c r="O3071">
        <v>14.921934358064201</v>
      </c>
      <c r="P3071">
        <v>-0.50923266036014603</v>
      </c>
      <c r="Q3071">
        <v>-1.00816259371874</v>
      </c>
      <c r="R3071">
        <v>-1.0302727001552299E-2</v>
      </c>
      <c r="S3071">
        <v>15.828244438986401</v>
      </c>
      <c r="T3071">
        <v>-2.1544017979902099</v>
      </c>
      <c r="U3071">
        <v>-4.8983011722072796</v>
      </c>
      <c r="V3071">
        <v>4.5938763950514397E-2</v>
      </c>
      <c r="W3071">
        <v>0.21288574976334501</v>
      </c>
      <c r="X3071">
        <v>0</v>
      </c>
      <c r="Y3071">
        <v>0</v>
      </c>
    </row>
    <row r="3072" spans="1:25" x14ac:dyDescent="0.2">
      <c r="A3072" t="s">
        <v>11382</v>
      </c>
      <c r="B3072" t="s">
        <v>11383</v>
      </c>
      <c r="C3072" t="s">
        <v>14609</v>
      </c>
      <c r="D3072" t="s">
        <v>11384</v>
      </c>
      <c r="E3072" t="s">
        <v>11383</v>
      </c>
      <c r="F3072" t="s">
        <v>28</v>
      </c>
      <c r="G3072" t="s">
        <v>11383</v>
      </c>
      <c r="H3072" t="str">
        <f>"ZK154.5"</f>
        <v>ZK154.5</v>
      </c>
      <c r="I3072" t="s">
        <v>11384</v>
      </c>
      <c r="J3072" t="s">
        <v>29</v>
      </c>
      <c r="K3072" t="s">
        <v>29</v>
      </c>
      <c r="L3072" t="s">
        <v>29</v>
      </c>
      <c r="M3072" t="s">
        <v>29</v>
      </c>
      <c r="N3072" t="s">
        <v>29</v>
      </c>
      <c r="O3072" t="s">
        <v>29</v>
      </c>
      <c r="P3072" t="s">
        <v>29</v>
      </c>
      <c r="Q3072" t="s">
        <v>29</v>
      </c>
      <c r="R3072" t="s">
        <v>29</v>
      </c>
      <c r="S3072">
        <v>10.80321388932</v>
      </c>
      <c r="T3072" t="s">
        <v>29</v>
      </c>
      <c r="U3072" t="s">
        <v>29</v>
      </c>
      <c r="V3072" t="s">
        <v>29</v>
      </c>
      <c r="W3072" t="s">
        <v>29</v>
      </c>
      <c r="X3072" t="s">
        <v>29</v>
      </c>
      <c r="Y3072" t="s">
        <v>29</v>
      </c>
    </row>
    <row r="3073" spans="1:25" x14ac:dyDescent="0.2">
      <c r="A3073" t="s">
        <v>11385</v>
      </c>
      <c r="B3073" t="s">
        <v>11386</v>
      </c>
      <c r="C3073" t="s">
        <v>11387</v>
      </c>
      <c r="D3073" t="s">
        <v>11388</v>
      </c>
      <c r="E3073" t="s">
        <v>11386</v>
      </c>
      <c r="F3073" t="s">
        <v>28</v>
      </c>
      <c r="G3073" t="s">
        <v>11386</v>
      </c>
      <c r="H3073" t="str">
        <f>"nduf-7"</f>
        <v>nduf-7</v>
      </c>
      <c r="I3073" t="s">
        <v>11388</v>
      </c>
      <c r="J3073">
        <v>16.475774422365198</v>
      </c>
      <c r="K3073">
        <v>16.5026982585658</v>
      </c>
      <c r="L3073">
        <v>16.381772361778602</v>
      </c>
      <c r="M3073">
        <v>15.8812196110374</v>
      </c>
      <c r="N3073">
        <v>15.887387746218399</v>
      </c>
      <c r="O3073">
        <v>15.8970407425373</v>
      </c>
      <c r="P3073">
        <v>-0.56486564763882696</v>
      </c>
      <c r="Q3073">
        <v>-0.98545080322353795</v>
      </c>
      <c r="R3073">
        <v>-0.144280492054116</v>
      </c>
      <c r="S3073">
        <v>16.116422327574899</v>
      </c>
      <c r="T3073">
        <v>-2.8228235806634401</v>
      </c>
      <c r="U3073">
        <v>-3.6033669231480898</v>
      </c>
      <c r="V3073">
        <v>1.1316410463609899E-2</v>
      </c>
      <c r="W3073">
        <v>9.5397926550742196E-2</v>
      </c>
      <c r="X3073">
        <v>0</v>
      </c>
      <c r="Y3073">
        <v>0</v>
      </c>
    </row>
    <row r="3074" spans="1:25" x14ac:dyDescent="0.2">
      <c r="A3074" t="s">
        <v>11389</v>
      </c>
      <c r="B3074" t="s">
        <v>11390</v>
      </c>
      <c r="C3074" t="s">
        <v>11391</v>
      </c>
      <c r="D3074" t="s">
        <v>11392</v>
      </c>
      <c r="E3074" t="s">
        <v>11390</v>
      </c>
      <c r="F3074" t="s">
        <v>28</v>
      </c>
      <c r="G3074" t="s">
        <v>11390</v>
      </c>
      <c r="H3074" t="str">
        <f>"gei-17"</f>
        <v>gei-17</v>
      </c>
      <c r="I3074" t="s">
        <v>11392</v>
      </c>
      <c r="J3074" t="s">
        <v>29</v>
      </c>
      <c r="K3074" t="s">
        <v>29</v>
      </c>
      <c r="L3074" t="s">
        <v>29</v>
      </c>
      <c r="M3074" t="s">
        <v>29</v>
      </c>
      <c r="N3074" t="s">
        <v>29</v>
      </c>
      <c r="O3074" t="s">
        <v>29</v>
      </c>
      <c r="P3074" t="s">
        <v>29</v>
      </c>
      <c r="Q3074" t="s">
        <v>29</v>
      </c>
      <c r="R3074" t="s">
        <v>29</v>
      </c>
      <c r="S3074">
        <v>11.0367585001308</v>
      </c>
      <c r="T3074" t="s">
        <v>29</v>
      </c>
      <c r="U3074" t="s">
        <v>29</v>
      </c>
      <c r="V3074" t="s">
        <v>29</v>
      </c>
      <c r="W3074" t="s">
        <v>29</v>
      </c>
      <c r="X3074" t="s">
        <v>29</v>
      </c>
      <c r="Y3074" t="s">
        <v>29</v>
      </c>
    </row>
    <row r="3075" spans="1:25" x14ac:dyDescent="0.2">
      <c r="A3075" t="s">
        <v>11393</v>
      </c>
      <c r="B3075" t="s">
        <v>11394</v>
      </c>
      <c r="C3075" t="s">
        <v>11395</v>
      </c>
      <c r="D3075" t="s">
        <v>11396</v>
      </c>
      <c r="E3075" t="s">
        <v>11394</v>
      </c>
      <c r="F3075" t="s">
        <v>28</v>
      </c>
      <c r="G3075" t="s">
        <v>11394</v>
      </c>
      <c r="H3075" t="str">
        <f>"nsf-1"</f>
        <v>nsf-1</v>
      </c>
      <c r="I3075" t="s">
        <v>11396</v>
      </c>
      <c r="J3075">
        <v>14.6530982173976</v>
      </c>
      <c r="K3075">
        <v>14.603879974519</v>
      </c>
      <c r="L3075">
        <v>14.696087639423499</v>
      </c>
      <c r="M3075">
        <v>14.527460859230599</v>
      </c>
      <c r="N3075">
        <v>14.8913764476211</v>
      </c>
      <c r="O3075">
        <v>14.8468107556474</v>
      </c>
      <c r="P3075">
        <v>0.104194077053007</v>
      </c>
      <c r="Q3075">
        <v>-0.19276060975443299</v>
      </c>
      <c r="R3075">
        <v>0.40114876386044701</v>
      </c>
      <c r="S3075">
        <v>14.6953101414845</v>
      </c>
      <c r="T3075">
        <v>0.73747170323663702</v>
      </c>
      <c r="U3075">
        <v>-6.7713433002374197</v>
      </c>
      <c r="V3075">
        <v>0.47039576587857201</v>
      </c>
      <c r="W3075">
        <v>0.73272753574383598</v>
      </c>
      <c r="X3075">
        <v>0</v>
      </c>
      <c r="Y3075">
        <v>0</v>
      </c>
    </row>
    <row r="3076" spans="1:25" x14ac:dyDescent="0.2">
      <c r="A3076" t="s">
        <v>11397</v>
      </c>
      <c r="B3076" t="s">
        <v>11398</v>
      </c>
      <c r="C3076" t="s">
        <v>11399</v>
      </c>
      <c r="D3076" t="s">
        <v>330</v>
      </c>
      <c r="E3076" t="s">
        <v>11398</v>
      </c>
      <c r="F3076" t="s">
        <v>28</v>
      </c>
      <c r="G3076" t="s">
        <v>11398</v>
      </c>
      <c r="H3076" t="str">
        <f>"nol-16"</f>
        <v>nol-16</v>
      </c>
      <c r="I3076" t="s">
        <v>330</v>
      </c>
      <c r="J3076">
        <v>11.7912039324383</v>
      </c>
      <c r="K3076" t="s">
        <v>29</v>
      </c>
      <c r="L3076">
        <v>11.955374366019001</v>
      </c>
      <c r="M3076" t="s">
        <v>29</v>
      </c>
      <c r="N3076" t="s">
        <v>29</v>
      </c>
      <c r="O3076" t="s">
        <v>29</v>
      </c>
      <c r="P3076" t="s">
        <v>29</v>
      </c>
      <c r="Q3076" t="s">
        <v>29</v>
      </c>
      <c r="R3076" t="s">
        <v>29</v>
      </c>
      <c r="S3076">
        <v>13.133492292196999</v>
      </c>
      <c r="T3076" t="s">
        <v>29</v>
      </c>
      <c r="U3076" t="s">
        <v>29</v>
      </c>
      <c r="V3076" t="s">
        <v>29</v>
      </c>
      <c r="W3076" t="s">
        <v>29</v>
      </c>
      <c r="X3076" t="s">
        <v>29</v>
      </c>
      <c r="Y3076" t="s">
        <v>29</v>
      </c>
    </row>
    <row r="3077" spans="1:25" x14ac:dyDescent="0.2">
      <c r="A3077" t="s">
        <v>11400</v>
      </c>
      <c r="B3077" t="s">
        <v>11401</v>
      </c>
      <c r="C3077" t="s">
        <v>11402</v>
      </c>
      <c r="D3077" t="s">
        <v>11403</v>
      </c>
      <c r="E3077" t="s">
        <v>11401</v>
      </c>
      <c r="F3077" t="s">
        <v>28</v>
      </c>
      <c r="G3077" t="s">
        <v>11401</v>
      </c>
      <c r="H3077" t="str">
        <f>"trmt-6"</f>
        <v>trmt-6</v>
      </c>
      <c r="I3077" t="s">
        <v>11403</v>
      </c>
      <c r="J3077" t="s">
        <v>29</v>
      </c>
      <c r="K3077">
        <v>12.028336923436401</v>
      </c>
      <c r="L3077" t="s">
        <v>29</v>
      </c>
      <c r="M3077" t="s">
        <v>29</v>
      </c>
      <c r="N3077">
        <v>11.178592798285599</v>
      </c>
      <c r="O3077" t="s">
        <v>29</v>
      </c>
      <c r="P3077">
        <v>-0.84974412515083297</v>
      </c>
      <c r="Q3077">
        <v>-2.0454630354740702</v>
      </c>
      <c r="R3077">
        <v>0.34597478517240798</v>
      </c>
      <c r="S3077">
        <v>11.0238331596434</v>
      </c>
      <c r="T3077">
        <v>-1.5857180270673401</v>
      </c>
      <c r="U3077">
        <v>-5.3065504898331701</v>
      </c>
      <c r="V3077">
        <v>0.14420962054329001</v>
      </c>
      <c r="W3077">
        <v>0.39202849227056402</v>
      </c>
      <c r="X3077">
        <v>0</v>
      </c>
      <c r="Y3077">
        <v>0</v>
      </c>
    </row>
    <row r="3078" spans="1:25" x14ac:dyDescent="0.2">
      <c r="A3078" t="s">
        <v>11404</v>
      </c>
      <c r="B3078" t="s">
        <v>11405</v>
      </c>
      <c r="C3078" t="s">
        <v>11406</v>
      </c>
      <c r="D3078" t="s">
        <v>11407</v>
      </c>
      <c r="E3078" t="s">
        <v>11405</v>
      </c>
      <c r="F3078" t="s">
        <v>28</v>
      </c>
      <c r="G3078" t="s">
        <v>11405</v>
      </c>
      <c r="H3078" t="str">
        <f>"mel-26"</f>
        <v>mel-26</v>
      </c>
      <c r="I3078" t="s">
        <v>11407</v>
      </c>
      <c r="J3078" t="s">
        <v>29</v>
      </c>
      <c r="K3078" t="s">
        <v>29</v>
      </c>
      <c r="L3078">
        <v>10.5354865375375</v>
      </c>
      <c r="M3078" t="s">
        <v>29</v>
      </c>
      <c r="N3078" t="s">
        <v>29</v>
      </c>
      <c r="O3078">
        <v>10.980203479920799</v>
      </c>
      <c r="P3078">
        <v>0.44471694238326798</v>
      </c>
      <c r="Q3078">
        <v>-0.55473083518037203</v>
      </c>
      <c r="R3078">
        <v>1.4441647199469101</v>
      </c>
      <c r="S3078">
        <v>10.698525830453301</v>
      </c>
      <c r="T3078">
        <v>1.02846443970029</v>
      </c>
      <c r="U3078">
        <v>-5.9638053519672303</v>
      </c>
      <c r="V3078">
        <v>0.33420623433035801</v>
      </c>
      <c r="W3078">
        <v>0.61268004873858295</v>
      </c>
      <c r="X3078">
        <v>0</v>
      </c>
      <c r="Y3078">
        <v>0</v>
      </c>
    </row>
    <row r="3079" spans="1:25" x14ac:dyDescent="0.2">
      <c r="A3079" t="s">
        <v>11408</v>
      </c>
      <c r="B3079" t="s">
        <v>11409</v>
      </c>
      <c r="C3079" t="s">
        <v>11410</v>
      </c>
      <c r="D3079" t="s">
        <v>11411</v>
      </c>
      <c r="E3079" t="s">
        <v>11409</v>
      </c>
      <c r="F3079" t="s">
        <v>28</v>
      </c>
      <c r="G3079" t="s">
        <v>11409</v>
      </c>
      <c r="H3079" t="str">
        <f>"rab-3"</f>
        <v>rab-3</v>
      </c>
      <c r="I3079" t="s">
        <v>11411</v>
      </c>
      <c r="J3079">
        <v>12.780367605147701</v>
      </c>
      <c r="K3079">
        <v>13.4510329052977</v>
      </c>
      <c r="L3079">
        <v>12.6672329811463</v>
      </c>
      <c r="M3079">
        <v>13.8639742128873</v>
      </c>
      <c r="N3079">
        <v>13.3588001214587</v>
      </c>
      <c r="O3079">
        <v>12.860524786023699</v>
      </c>
      <c r="P3079">
        <v>0.39488854292597603</v>
      </c>
      <c r="Q3079">
        <v>-0.26487482037807097</v>
      </c>
      <c r="R3079">
        <v>1.0546519062300199</v>
      </c>
      <c r="S3079">
        <v>12.436963376477401</v>
      </c>
      <c r="T3079">
        <v>1.25799481530034</v>
      </c>
      <c r="U3079">
        <v>-6.2576272440257199</v>
      </c>
      <c r="V3079">
        <v>0.224561526170764</v>
      </c>
      <c r="W3079">
        <v>0.49273311271724002</v>
      </c>
      <c r="X3079">
        <v>0</v>
      </c>
      <c r="Y3079">
        <v>0</v>
      </c>
    </row>
    <row r="3080" spans="1:25" x14ac:dyDescent="0.2">
      <c r="A3080" t="s">
        <v>11412</v>
      </c>
      <c r="B3080" t="s">
        <v>11413</v>
      </c>
      <c r="C3080" t="s">
        <v>11414</v>
      </c>
      <c r="D3080" t="s">
        <v>11415</v>
      </c>
      <c r="E3080" t="s">
        <v>11413</v>
      </c>
      <c r="F3080" t="s">
        <v>28</v>
      </c>
      <c r="G3080" t="s">
        <v>11413</v>
      </c>
      <c r="H3080" t="str">
        <f>"pas-4"</f>
        <v>pas-4</v>
      </c>
      <c r="I3080" t="s">
        <v>11415</v>
      </c>
      <c r="J3080">
        <v>13.291870267343899</v>
      </c>
      <c r="K3080">
        <v>13.061769951828101</v>
      </c>
      <c r="L3080">
        <v>13.1010923843975</v>
      </c>
      <c r="M3080">
        <v>12.6500176565717</v>
      </c>
      <c r="N3080">
        <v>12.8833117006102</v>
      </c>
      <c r="O3080">
        <v>13.257300072492299</v>
      </c>
      <c r="P3080">
        <v>-0.22136772463177201</v>
      </c>
      <c r="Q3080">
        <v>-0.87488809830576098</v>
      </c>
      <c r="R3080">
        <v>0.43215264904221701</v>
      </c>
      <c r="S3080">
        <v>13.187632602123101</v>
      </c>
      <c r="T3080">
        <v>-0.71846348332638299</v>
      </c>
      <c r="U3080">
        <v>-6.7841287647969297</v>
      </c>
      <c r="V3080">
        <v>0.48289985059117602</v>
      </c>
      <c r="W3080">
        <v>0.74014732544040995</v>
      </c>
      <c r="X3080">
        <v>0</v>
      </c>
      <c r="Y3080">
        <v>0</v>
      </c>
    </row>
    <row r="3081" spans="1:25" x14ac:dyDescent="0.2">
      <c r="A3081" t="s">
        <v>11416</v>
      </c>
      <c r="B3081" t="s">
        <v>11417</v>
      </c>
      <c r="C3081" t="s">
        <v>11418</v>
      </c>
      <c r="D3081" t="s">
        <v>11419</v>
      </c>
      <c r="E3081" t="s">
        <v>11417</v>
      </c>
      <c r="F3081" t="s">
        <v>28</v>
      </c>
      <c r="G3081" t="s">
        <v>11417</v>
      </c>
      <c r="H3081" t="str">
        <f>"pas-5"</f>
        <v>pas-5</v>
      </c>
      <c r="I3081" t="s">
        <v>11419</v>
      </c>
      <c r="J3081">
        <v>13.7363431544733</v>
      </c>
      <c r="K3081">
        <v>13.3922966645043</v>
      </c>
      <c r="L3081">
        <v>13.856036394610101</v>
      </c>
      <c r="M3081">
        <v>13.125649251977</v>
      </c>
      <c r="N3081">
        <v>13.611898336310601</v>
      </c>
      <c r="O3081">
        <v>13.6604993520394</v>
      </c>
      <c r="P3081">
        <v>-0.195543091086893</v>
      </c>
      <c r="Q3081">
        <v>-0.812938551551317</v>
      </c>
      <c r="R3081">
        <v>0.42185236937753001</v>
      </c>
      <c r="S3081">
        <v>13.497328236253299</v>
      </c>
      <c r="T3081">
        <v>-0.66568927086377205</v>
      </c>
      <c r="U3081">
        <v>-6.8227013192556498</v>
      </c>
      <c r="V3081">
        <v>0.51409966386996397</v>
      </c>
      <c r="W3081">
        <v>0.76109204105225803</v>
      </c>
      <c r="X3081">
        <v>0</v>
      </c>
      <c r="Y3081">
        <v>0</v>
      </c>
    </row>
    <row r="3082" spans="1:25" x14ac:dyDescent="0.2">
      <c r="A3082" t="s">
        <v>11420</v>
      </c>
      <c r="B3082" t="s">
        <v>11421</v>
      </c>
      <c r="C3082" t="s">
        <v>11422</v>
      </c>
      <c r="D3082" t="s">
        <v>581</v>
      </c>
      <c r="E3082" t="s">
        <v>11421</v>
      </c>
      <c r="F3082" t="s">
        <v>28</v>
      </c>
      <c r="G3082" t="s">
        <v>11421</v>
      </c>
      <c r="H3082" t="str">
        <f>"tftc-3"</f>
        <v>tftc-3</v>
      </c>
      <c r="I3082" t="s">
        <v>581</v>
      </c>
      <c r="J3082">
        <v>10.891648060135999</v>
      </c>
      <c r="K3082">
        <v>10.801315141984301</v>
      </c>
      <c r="L3082">
        <v>10.737350930656801</v>
      </c>
      <c r="M3082">
        <v>10.6119059723222</v>
      </c>
      <c r="N3082">
        <v>10.640484863800699</v>
      </c>
      <c r="O3082">
        <v>10.672785714948001</v>
      </c>
      <c r="P3082">
        <v>-0.16837919390205899</v>
      </c>
      <c r="Q3082">
        <v>-0.68357395238335705</v>
      </c>
      <c r="R3082">
        <v>0.34681556457923901</v>
      </c>
      <c r="S3082">
        <v>11.1880021941901</v>
      </c>
      <c r="T3082">
        <v>-0.69321271489699698</v>
      </c>
      <c r="U3082">
        <v>-6.8023580165304098</v>
      </c>
      <c r="V3082">
        <v>0.49818107724545801</v>
      </c>
      <c r="W3082">
        <v>0.75016338030104501</v>
      </c>
      <c r="X3082">
        <v>0</v>
      </c>
      <c r="Y3082">
        <v>0</v>
      </c>
    </row>
    <row r="3083" spans="1:25" x14ac:dyDescent="0.2">
      <c r="A3083" t="s">
        <v>11423</v>
      </c>
      <c r="B3083" t="s">
        <v>11424</v>
      </c>
      <c r="C3083" t="s">
        <v>11425</v>
      </c>
      <c r="D3083" t="s">
        <v>11426</v>
      </c>
      <c r="E3083" t="s">
        <v>11424</v>
      </c>
      <c r="F3083" t="s">
        <v>28</v>
      </c>
      <c r="G3083" t="s">
        <v>11424</v>
      </c>
      <c r="H3083" t="str">
        <f>"tag-307"</f>
        <v>tag-307</v>
      </c>
      <c r="I3083" t="s">
        <v>11426</v>
      </c>
      <c r="J3083">
        <v>12.8511856801834</v>
      </c>
      <c r="K3083">
        <v>12.7325545490562</v>
      </c>
      <c r="L3083">
        <v>12.260379923209801</v>
      </c>
      <c r="M3083">
        <v>12.4283082278957</v>
      </c>
      <c r="N3083">
        <v>11.997721500341401</v>
      </c>
      <c r="O3083">
        <v>12.5662496741031</v>
      </c>
      <c r="P3083">
        <v>-0.28394691670307298</v>
      </c>
      <c r="Q3083">
        <v>-0.84889083534946796</v>
      </c>
      <c r="R3083">
        <v>0.280997001943322</v>
      </c>
      <c r="S3083">
        <v>12.695704967927</v>
      </c>
      <c r="T3083">
        <v>-1.06091803514089</v>
      </c>
      <c r="U3083">
        <v>-6.4793947567772596</v>
      </c>
      <c r="V3083">
        <v>0.30365860032819902</v>
      </c>
      <c r="W3083">
        <v>0.58328543531557098</v>
      </c>
      <c r="X3083">
        <v>0</v>
      </c>
      <c r="Y3083">
        <v>0</v>
      </c>
    </row>
    <row r="3084" spans="1:25" x14ac:dyDescent="0.2">
      <c r="A3084" t="s">
        <v>11427</v>
      </c>
      <c r="B3084" t="s">
        <v>11428</v>
      </c>
      <c r="C3084" t="s">
        <v>11429</v>
      </c>
      <c r="D3084" t="s">
        <v>11430</v>
      </c>
      <c r="E3084" t="s">
        <v>11428</v>
      </c>
      <c r="F3084" t="s">
        <v>28</v>
      </c>
      <c r="G3084" t="s">
        <v>11428</v>
      </c>
      <c r="H3084" t="str">
        <f>"mrps-18a"</f>
        <v>mrps-18a</v>
      </c>
      <c r="I3084" t="s">
        <v>11430</v>
      </c>
      <c r="J3084">
        <v>13.5442378557326</v>
      </c>
      <c r="K3084">
        <v>13.875139575873</v>
      </c>
      <c r="L3084">
        <v>13.908041389652601</v>
      </c>
      <c r="M3084">
        <v>13.359025269206199</v>
      </c>
      <c r="N3084">
        <v>12.901732552203301</v>
      </c>
      <c r="O3084">
        <v>12.4107835650601</v>
      </c>
      <c r="P3084">
        <v>-0.88529247826287605</v>
      </c>
      <c r="Q3084">
        <v>-1.43358651721441</v>
      </c>
      <c r="R3084">
        <v>-0.33699843931133799</v>
      </c>
      <c r="S3084">
        <v>13.6141786818537</v>
      </c>
      <c r="T3084">
        <v>-3.4081858043892899</v>
      </c>
      <c r="U3084">
        <v>-2.4152505964804298</v>
      </c>
      <c r="V3084">
        <v>3.3723038255568799E-3</v>
      </c>
      <c r="W3084">
        <v>4.1099163477011598E-2</v>
      </c>
      <c r="X3084">
        <v>0</v>
      </c>
      <c r="Y3084">
        <v>0</v>
      </c>
    </row>
    <row r="3085" spans="1:25" x14ac:dyDescent="0.2">
      <c r="A3085" t="s">
        <v>11431</v>
      </c>
      <c r="B3085" t="s">
        <v>11432</v>
      </c>
      <c r="C3085" t="s">
        <v>11433</v>
      </c>
      <c r="D3085" t="s">
        <v>11434</v>
      </c>
      <c r="E3085" t="s">
        <v>11432</v>
      </c>
      <c r="F3085" t="s">
        <v>28</v>
      </c>
      <c r="G3085" t="s">
        <v>11432</v>
      </c>
      <c r="H3085" t="str">
        <f>"cpsf-3"</f>
        <v>cpsf-3</v>
      </c>
      <c r="I3085" t="s">
        <v>11434</v>
      </c>
      <c r="J3085">
        <v>13.055247818314101</v>
      </c>
      <c r="K3085">
        <v>13.001798169574201</v>
      </c>
      <c r="L3085">
        <v>12.7687070899012</v>
      </c>
      <c r="M3085" t="s">
        <v>29</v>
      </c>
      <c r="N3085">
        <v>12.7156885934548</v>
      </c>
      <c r="O3085">
        <v>12.9640325623624</v>
      </c>
      <c r="P3085">
        <v>-0.10205711468791499</v>
      </c>
      <c r="Q3085">
        <v>-0.51889648560906498</v>
      </c>
      <c r="R3085">
        <v>0.31478225623323602</v>
      </c>
      <c r="S3085">
        <v>13.123821951878799</v>
      </c>
      <c r="T3085">
        <v>-0.52217510174376003</v>
      </c>
      <c r="U3085">
        <v>-6.7985939429862103</v>
      </c>
      <c r="V3085">
        <v>0.60922720425940502</v>
      </c>
      <c r="W3085">
        <v>0.81514199122537101</v>
      </c>
      <c r="X3085">
        <v>0</v>
      </c>
      <c r="Y3085">
        <v>0</v>
      </c>
    </row>
    <row r="3086" spans="1:25" x14ac:dyDescent="0.2">
      <c r="A3086" t="s">
        <v>11435</v>
      </c>
      <c r="B3086" t="s">
        <v>11436</v>
      </c>
      <c r="C3086" t="s">
        <v>11437</v>
      </c>
      <c r="D3086" t="s">
        <v>11438</v>
      </c>
      <c r="E3086" t="s">
        <v>11436</v>
      </c>
      <c r="F3086" t="s">
        <v>28</v>
      </c>
      <c r="G3086" t="s">
        <v>11436</v>
      </c>
      <c r="H3086" t="str">
        <f>"kdp-1"</f>
        <v>kdp-1</v>
      </c>
      <c r="I3086" t="s">
        <v>11438</v>
      </c>
      <c r="J3086">
        <v>14.6176594603411</v>
      </c>
      <c r="K3086">
        <v>14.332235079273699</v>
      </c>
      <c r="L3086">
        <v>14.3023836810326</v>
      </c>
      <c r="M3086">
        <v>14.2629035439525</v>
      </c>
      <c r="N3086">
        <v>14.6202585067313</v>
      </c>
      <c r="O3086">
        <v>14.6325934332892</v>
      </c>
      <c r="P3086">
        <v>8.7825754441841E-2</v>
      </c>
      <c r="Q3086">
        <v>-0.31546813587287098</v>
      </c>
      <c r="R3086">
        <v>0.49111964475655301</v>
      </c>
      <c r="S3086">
        <v>14.214881315088499</v>
      </c>
      <c r="T3086">
        <v>0.45771248580639401</v>
      </c>
      <c r="U3086">
        <v>-6.9429371049723896</v>
      </c>
      <c r="V3086">
        <v>0.65266765558595896</v>
      </c>
      <c r="W3086">
        <v>0.84243576012562904</v>
      </c>
      <c r="X3086">
        <v>0</v>
      </c>
      <c r="Y3086">
        <v>0</v>
      </c>
    </row>
    <row r="3087" spans="1:25" x14ac:dyDescent="0.2">
      <c r="A3087" t="s">
        <v>11439</v>
      </c>
      <c r="B3087" t="s">
        <v>11440</v>
      </c>
      <c r="C3087" t="s">
        <v>11441</v>
      </c>
      <c r="D3087" t="s">
        <v>11442</v>
      </c>
      <c r="E3087" t="s">
        <v>11440</v>
      </c>
      <c r="F3087" t="s">
        <v>28</v>
      </c>
      <c r="G3087" t="s">
        <v>11440</v>
      </c>
      <c r="H3087" t="str">
        <f>"xpb-1"</f>
        <v>xpb-1</v>
      </c>
      <c r="I3087" t="s">
        <v>11442</v>
      </c>
      <c r="J3087">
        <v>13.935059381737499</v>
      </c>
      <c r="K3087">
        <v>13.9955393094292</v>
      </c>
      <c r="L3087">
        <v>13.7552822203495</v>
      </c>
      <c r="M3087">
        <v>13.7803498219614</v>
      </c>
      <c r="N3087">
        <v>13.7896630293397</v>
      </c>
      <c r="O3087">
        <v>13.735541317787099</v>
      </c>
      <c r="P3087">
        <v>-0.126775580809324</v>
      </c>
      <c r="Q3087">
        <v>-0.49036868651957199</v>
      </c>
      <c r="R3087">
        <v>0.236817524900923</v>
      </c>
      <c r="S3087">
        <v>13.6815444518452</v>
      </c>
      <c r="T3087">
        <v>-0.73284559599447896</v>
      </c>
      <c r="U3087">
        <v>-6.77480263210074</v>
      </c>
      <c r="V3087">
        <v>0.473143715206016</v>
      </c>
      <c r="W3087">
        <v>0.73434291086317804</v>
      </c>
      <c r="X3087">
        <v>0</v>
      </c>
      <c r="Y3087">
        <v>0</v>
      </c>
    </row>
    <row r="3088" spans="1:25" x14ac:dyDescent="0.2">
      <c r="A3088" t="s">
        <v>11443</v>
      </c>
      <c r="B3088" t="s">
        <v>11444</v>
      </c>
      <c r="C3088" t="s">
        <v>14610</v>
      </c>
      <c r="D3088" t="s">
        <v>11124</v>
      </c>
      <c r="E3088" t="s">
        <v>11444</v>
      </c>
      <c r="F3088" t="s">
        <v>28</v>
      </c>
      <c r="G3088" t="s">
        <v>11444</v>
      </c>
      <c r="H3088" t="str">
        <f>"Y66D12A.24"</f>
        <v>Y66D12A.24</v>
      </c>
      <c r="I3088" t="s">
        <v>11124</v>
      </c>
      <c r="J3088">
        <v>12.3741181739701</v>
      </c>
      <c r="K3088">
        <v>13.390862136044699</v>
      </c>
      <c r="L3088">
        <v>13.2737412400793</v>
      </c>
      <c r="M3088">
        <v>12.877859320172799</v>
      </c>
      <c r="N3088">
        <v>12.961506403285499</v>
      </c>
      <c r="O3088">
        <v>12.8426350134826</v>
      </c>
      <c r="P3088">
        <v>-0.118906937717759</v>
      </c>
      <c r="Q3088">
        <v>-0.79456956564125003</v>
      </c>
      <c r="R3088">
        <v>0.55675569020573301</v>
      </c>
      <c r="S3088">
        <v>12.9731229269739</v>
      </c>
      <c r="T3088">
        <v>-0.37147304841371098</v>
      </c>
      <c r="U3088">
        <v>-6.9798400054957801</v>
      </c>
      <c r="V3088">
        <v>0.71490272154242096</v>
      </c>
      <c r="W3088">
        <v>0.87421775869937601</v>
      </c>
      <c r="X3088">
        <v>0</v>
      </c>
      <c r="Y3088">
        <v>0</v>
      </c>
    </row>
    <row r="3089" spans="1:25" x14ac:dyDescent="0.2">
      <c r="A3089" t="s">
        <v>11445</v>
      </c>
      <c r="B3089" t="s">
        <v>11446</v>
      </c>
      <c r="C3089" t="s">
        <v>14611</v>
      </c>
      <c r="D3089" t="s">
        <v>11447</v>
      </c>
      <c r="E3089" t="s">
        <v>11446</v>
      </c>
      <c r="F3089" t="s">
        <v>28</v>
      </c>
      <c r="G3089" t="s">
        <v>11446</v>
      </c>
      <c r="H3089" t="str">
        <f>"Y66D12A.19"</f>
        <v>Y66D12A.19</v>
      </c>
      <c r="I3089" t="s">
        <v>11447</v>
      </c>
      <c r="J3089">
        <v>12.3092519453939</v>
      </c>
      <c r="K3089">
        <v>12.883098648234901</v>
      </c>
      <c r="L3089">
        <v>12.928567275667399</v>
      </c>
      <c r="M3089">
        <v>12.966645726976299</v>
      </c>
      <c r="N3089" t="s">
        <v>29</v>
      </c>
      <c r="O3089">
        <v>10.8329095311254</v>
      </c>
      <c r="P3089">
        <v>-0.80719499404789197</v>
      </c>
      <c r="Q3089">
        <v>-1.8319798556744</v>
      </c>
      <c r="R3089">
        <v>0.217589867578621</v>
      </c>
      <c r="S3089">
        <v>12.911079058362199</v>
      </c>
      <c r="T3089">
        <v>-1.70307197734367</v>
      </c>
      <c r="U3089">
        <v>-5.5462086998408404</v>
      </c>
      <c r="V3089">
        <v>0.11251916976439</v>
      </c>
      <c r="W3089">
        <v>0.34411407745613198</v>
      </c>
      <c r="X3089">
        <v>0</v>
      </c>
      <c r="Y3089">
        <v>0</v>
      </c>
    </row>
    <row r="3090" spans="1:25" x14ac:dyDescent="0.2">
      <c r="A3090" t="s">
        <v>11448</v>
      </c>
      <c r="B3090" t="s">
        <v>11449</v>
      </c>
      <c r="C3090" t="s">
        <v>11450</v>
      </c>
      <c r="D3090" t="s">
        <v>11451</v>
      </c>
      <c r="E3090" t="s">
        <v>11449</v>
      </c>
      <c r="F3090" t="s">
        <v>28</v>
      </c>
      <c r="G3090" t="s">
        <v>11449</v>
      </c>
      <c r="H3090" t="str">
        <f>"psme-3"</f>
        <v>psme-3</v>
      </c>
      <c r="I3090" t="s">
        <v>11451</v>
      </c>
      <c r="J3090" t="s">
        <v>29</v>
      </c>
      <c r="K3090" t="s">
        <v>29</v>
      </c>
      <c r="L3090" t="s">
        <v>29</v>
      </c>
      <c r="M3090" t="s">
        <v>29</v>
      </c>
      <c r="N3090" t="s">
        <v>29</v>
      </c>
      <c r="O3090">
        <v>9.9136490185591999</v>
      </c>
      <c r="P3090" t="s">
        <v>29</v>
      </c>
      <c r="Q3090" t="s">
        <v>29</v>
      </c>
      <c r="R3090" t="s">
        <v>29</v>
      </c>
      <c r="S3090">
        <v>10.6300715207437</v>
      </c>
      <c r="T3090" t="s">
        <v>29</v>
      </c>
      <c r="U3090" t="s">
        <v>29</v>
      </c>
      <c r="V3090" t="s">
        <v>29</v>
      </c>
      <c r="W3090" t="s">
        <v>29</v>
      </c>
      <c r="X3090" t="s">
        <v>29</v>
      </c>
      <c r="Y3090" t="s">
        <v>29</v>
      </c>
    </row>
    <row r="3091" spans="1:25" x14ac:dyDescent="0.2">
      <c r="A3091" t="s">
        <v>11452</v>
      </c>
      <c r="B3091" t="s">
        <v>11453</v>
      </c>
      <c r="C3091" t="s">
        <v>11454</v>
      </c>
      <c r="D3091" t="s">
        <v>11455</v>
      </c>
      <c r="E3091" t="s">
        <v>11453</v>
      </c>
      <c r="F3091" t="s">
        <v>28</v>
      </c>
      <c r="G3091" t="s">
        <v>11453</v>
      </c>
      <c r="H3091" t="str">
        <f>"such-1"</f>
        <v>such-1</v>
      </c>
      <c r="I3091" t="s">
        <v>11455</v>
      </c>
      <c r="J3091">
        <v>12.4767525398077</v>
      </c>
      <c r="K3091">
        <v>12.812030672175601</v>
      </c>
      <c r="L3091">
        <v>11.913073185734101</v>
      </c>
      <c r="M3091">
        <v>12.2374789435042</v>
      </c>
      <c r="N3091">
        <v>12.9952225112132</v>
      </c>
      <c r="O3091" t="s">
        <v>29</v>
      </c>
      <c r="P3091">
        <v>0.21573192811960101</v>
      </c>
      <c r="Q3091">
        <v>-0.51102412573067701</v>
      </c>
      <c r="R3091">
        <v>0.94248798196987804</v>
      </c>
      <c r="S3091">
        <v>13.302061719474599</v>
      </c>
      <c r="T3091">
        <v>0.63309279755666803</v>
      </c>
      <c r="U3091">
        <v>-6.7323601539452902</v>
      </c>
      <c r="V3091">
        <v>0.53627283650941004</v>
      </c>
      <c r="W3091">
        <v>0.77501266500839605</v>
      </c>
      <c r="X3091">
        <v>0</v>
      </c>
      <c r="Y3091">
        <v>0</v>
      </c>
    </row>
    <row r="3092" spans="1:25" x14ac:dyDescent="0.2">
      <c r="A3092" t="s">
        <v>11456</v>
      </c>
      <c r="B3092" t="s">
        <v>11457</v>
      </c>
      <c r="C3092" t="s">
        <v>14612</v>
      </c>
      <c r="D3092" t="s">
        <v>11458</v>
      </c>
      <c r="E3092" t="s">
        <v>11457</v>
      </c>
      <c r="F3092" t="s">
        <v>28</v>
      </c>
      <c r="G3092" t="s">
        <v>11457</v>
      </c>
      <c r="H3092" t="str">
        <f>"Y66D12A.8"</f>
        <v>Y66D12A.8</v>
      </c>
      <c r="I3092" t="s">
        <v>11458</v>
      </c>
      <c r="J3092" t="s">
        <v>29</v>
      </c>
      <c r="K3092">
        <v>10.573093295231899</v>
      </c>
      <c r="L3092">
        <v>11.0490312069829</v>
      </c>
      <c r="M3092" t="s">
        <v>29</v>
      </c>
      <c r="N3092">
        <v>10.698599857531301</v>
      </c>
      <c r="O3092">
        <v>11.3735050898081</v>
      </c>
      <c r="P3092">
        <v>0.22499022256229601</v>
      </c>
      <c r="Q3092">
        <v>-0.45247073877722199</v>
      </c>
      <c r="R3092">
        <v>0.902451183901813</v>
      </c>
      <c r="S3092">
        <v>12.1503887239923</v>
      </c>
      <c r="T3092">
        <v>0.71280586435684401</v>
      </c>
      <c r="U3092">
        <v>-6.5867062503531901</v>
      </c>
      <c r="V3092">
        <v>0.48776448029507602</v>
      </c>
      <c r="W3092">
        <v>0.74195019062289802</v>
      </c>
      <c r="X3092">
        <v>0</v>
      </c>
      <c r="Y3092">
        <v>0</v>
      </c>
    </row>
    <row r="3093" spans="1:25" x14ac:dyDescent="0.2">
      <c r="A3093" t="s">
        <v>11459</v>
      </c>
      <c r="B3093" t="s">
        <v>11460</v>
      </c>
      <c r="C3093" t="s">
        <v>11461</v>
      </c>
      <c r="D3093" t="s">
        <v>11462</v>
      </c>
      <c r="E3093" t="s">
        <v>11460</v>
      </c>
      <c r="F3093" t="s">
        <v>28</v>
      </c>
      <c r="G3093" t="s">
        <v>11460</v>
      </c>
      <c r="H3093" t="str">
        <f>"ceh-92"</f>
        <v>ceh-92</v>
      </c>
      <c r="I3093" t="s">
        <v>11462</v>
      </c>
      <c r="J3093" t="s">
        <v>29</v>
      </c>
      <c r="K3093" t="s">
        <v>29</v>
      </c>
      <c r="L3093">
        <v>11.989457281880901</v>
      </c>
      <c r="M3093" t="s">
        <v>29</v>
      </c>
      <c r="N3093">
        <v>11.430418676297901</v>
      </c>
      <c r="O3093">
        <v>12.0057404325772</v>
      </c>
      <c r="P3093">
        <v>-0.27137772744335298</v>
      </c>
      <c r="Q3093">
        <v>-1.5254124962689799</v>
      </c>
      <c r="R3093">
        <v>0.98265704138227805</v>
      </c>
      <c r="S3093">
        <v>13.212777830540499</v>
      </c>
      <c r="T3093">
        <v>-0.46789873173063401</v>
      </c>
      <c r="U3093">
        <v>-6.5361576761664599</v>
      </c>
      <c r="V3093">
        <v>0.64766644479115798</v>
      </c>
      <c r="W3093">
        <v>0.83964406826710303</v>
      </c>
      <c r="X3093">
        <v>0</v>
      </c>
      <c r="Y3093">
        <v>0</v>
      </c>
    </row>
    <row r="3094" spans="1:25" x14ac:dyDescent="0.2">
      <c r="A3094" t="s">
        <v>11463</v>
      </c>
      <c r="B3094" t="s">
        <v>11464</v>
      </c>
      <c r="C3094" t="s">
        <v>11465</v>
      </c>
      <c r="D3094" t="s">
        <v>11466</v>
      </c>
      <c r="E3094" t="s">
        <v>11464</v>
      </c>
      <c r="F3094" t="s">
        <v>28</v>
      </c>
      <c r="G3094" t="s">
        <v>11464</v>
      </c>
      <c r="H3094" t="str">
        <f>"rad-51"</f>
        <v>rad-51</v>
      </c>
      <c r="I3094" t="s">
        <v>11466</v>
      </c>
      <c r="J3094">
        <v>12.2201073080589</v>
      </c>
      <c r="K3094" t="s">
        <v>29</v>
      </c>
      <c r="L3094">
        <v>12.432696617563201</v>
      </c>
      <c r="M3094" t="s">
        <v>29</v>
      </c>
      <c r="N3094" t="s">
        <v>29</v>
      </c>
      <c r="O3094" t="s">
        <v>29</v>
      </c>
      <c r="P3094" t="s">
        <v>29</v>
      </c>
      <c r="Q3094" t="s">
        <v>29</v>
      </c>
      <c r="R3094" t="s">
        <v>29</v>
      </c>
      <c r="S3094">
        <v>12.6133534337947</v>
      </c>
      <c r="T3094" t="s">
        <v>29</v>
      </c>
      <c r="U3094" t="s">
        <v>29</v>
      </c>
      <c r="V3094" t="s">
        <v>29</v>
      </c>
      <c r="W3094" t="s">
        <v>29</v>
      </c>
      <c r="X3094" t="s">
        <v>29</v>
      </c>
      <c r="Y3094" t="s">
        <v>29</v>
      </c>
    </row>
    <row r="3095" spans="1:25" x14ac:dyDescent="0.2">
      <c r="A3095" t="s">
        <v>11467</v>
      </c>
      <c r="B3095" t="s">
        <v>11468</v>
      </c>
      <c r="C3095" t="s">
        <v>11469</v>
      </c>
      <c r="D3095" t="s">
        <v>11470</v>
      </c>
      <c r="E3095" t="s">
        <v>11468</v>
      </c>
      <c r="F3095" t="s">
        <v>28</v>
      </c>
      <c r="G3095" t="s">
        <v>11468</v>
      </c>
      <c r="H3095" t="str">
        <f>"riok-2"</f>
        <v>riok-2</v>
      </c>
      <c r="I3095" t="s">
        <v>11470</v>
      </c>
      <c r="J3095">
        <v>14.1868889168557</v>
      </c>
      <c r="K3095">
        <v>14.049905319196499</v>
      </c>
      <c r="L3095">
        <v>14.1017888412545</v>
      </c>
      <c r="M3095">
        <v>13.768822203472601</v>
      </c>
      <c r="N3095">
        <v>13.6270437585928</v>
      </c>
      <c r="O3095">
        <v>13.778553623605299</v>
      </c>
      <c r="P3095">
        <v>-0.388054497211966</v>
      </c>
      <c r="Q3095">
        <v>-1.0984544803101799</v>
      </c>
      <c r="R3095">
        <v>0.32234548588624901</v>
      </c>
      <c r="S3095">
        <v>13.8094350186903</v>
      </c>
      <c r="T3095">
        <v>-1.14810680639351</v>
      </c>
      <c r="U3095">
        <v>-6.3857280882267702</v>
      </c>
      <c r="V3095">
        <v>0.26604137211675799</v>
      </c>
      <c r="W3095">
        <v>0.54253072011360703</v>
      </c>
      <c r="X3095">
        <v>0</v>
      </c>
      <c r="Y3095">
        <v>0</v>
      </c>
    </row>
    <row r="3096" spans="1:25" x14ac:dyDescent="0.2">
      <c r="A3096" t="s">
        <v>11471</v>
      </c>
      <c r="B3096" t="s">
        <v>11472</v>
      </c>
      <c r="C3096" t="s">
        <v>11473</v>
      </c>
      <c r="D3096" t="s">
        <v>11474</v>
      </c>
      <c r="E3096" t="s">
        <v>11472</v>
      </c>
      <c r="F3096" t="s">
        <v>28</v>
      </c>
      <c r="G3096" t="s">
        <v>11472</v>
      </c>
      <c r="H3096" t="str">
        <f>"exoc-8"</f>
        <v>exoc-8</v>
      </c>
      <c r="I3096" t="s">
        <v>11474</v>
      </c>
      <c r="J3096">
        <v>14.300887610403199</v>
      </c>
      <c r="K3096">
        <v>14.2645239226486</v>
      </c>
      <c r="L3096">
        <v>13.9572787926288</v>
      </c>
      <c r="M3096">
        <v>14.2636068280293</v>
      </c>
      <c r="N3096">
        <v>14.4888934080445</v>
      </c>
      <c r="O3096">
        <v>13.9716972912339</v>
      </c>
      <c r="P3096">
        <v>6.7169067209047001E-2</v>
      </c>
      <c r="Q3096">
        <v>-0.51887041470900896</v>
      </c>
      <c r="R3096">
        <v>0.65320854912710302</v>
      </c>
      <c r="S3096">
        <v>14.204482718591599</v>
      </c>
      <c r="T3096">
        <v>0.240898976375682</v>
      </c>
      <c r="U3096">
        <v>-7.0217233792888401</v>
      </c>
      <c r="V3096">
        <v>0.81237184181548205</v>
      </c>
      <c r="W3096">
        <v>0.91987238465779397</v>
      </c>
      <c r="X3096">
        <v>0</v>
      </c>
      <c r="Y3096">
        <v>0</v>
      </c>
    </row>
    <row r="3097" spans="1:25" x14ac:dyDescent="0.2">
      <c r="A3097" t="s">
        <v>11475</v>
      </c>
      <c r="B3097" t="s">
        <v>11476</v>
      </c>
      <c r="C3097" t="s">
        <v>11477</v>
      </c>
      <c r="D3097" t="s">
        <v>11478</v>
      </c>
      <c r="E3097" t="s">
        <v>11476</v>
      </c>
      <c r="F3097" t="s">
        <v>28</v>
      </c>
      <c r="G3097" t="s">
        <v>11476</v>
      </c>
      <c r="H3097" t="str">
        <f>"C37H5.13"</f>
        <v>C37H5.13</v>
      </c>
      <c r="I3097" t="s">
        <v>11478</v>
      </c>
      <c r="J3097" t="s">
        <v>29</v>
      </c>
      <c r="K3097" t="s">
        <v>29</v>
      </c>
      <c r="L3097">
        <v>10.448684645547999</v>
      </c>
      <c r="M3097" t="s">
        <v>29</v>
      </c>
      <c r="N3097" t="s">
        <v>29</v>
      </c>
      <c r="O3097" t="s">
        <v>29</v>
      </c>
      <c r="P3097" t="s">
        <v>29</v>
      </c>
      <c r="Q3097" t="s">
        <v>29</v>
      </c>
      <c r="R3097" t="s">
        <v>29</v>
      </c>
      <c r="S3097">
        <v>10.547632860873</v>
      </c>
      <c r="T3097" t="s">
        <v>29</v>
      </c>
      <c r="U3097" t="s">
        <v>29</v>
      </c>
      <c r="V3097" t="s">
        <v>29</v>
      </c>
      <c r="W3097" t="s">
        <v>29</v>
      </c>
      <c r="X3097" t="s">
        <v>29</v>
      </c>
      <c r="Y3097" t="s">
        <v>29</v>
      </c>
    </row>
    <row r="3098" spans="1:25" x14ac:dyDescent="0.2">
      <c r="A3098" t="s">
        <v>11479</v>
      </c>
      <c r="B3098" t="s">
        <v>11480</v>
      </c>
      <c r="C3098" t="s">
        <v>11481</v>
      </c>
      <c r="D3098" t="s">
        <v>11482</v>
      </c>
      <c r="E3098" t="s">
        <v>11480</v>
      </c>
      <c r="F3098" t="s">
        <v>28</v>
      </c>
      <c r="G3098" t="s">
        <v>11480</v>
      </c>
      <c r="H3098" t="str">
        <f>"sir-2.4"</f>
        <v>sir-2.4</v>
      </c>
      <c r="I3098" t="s">
        <v>11482</v>
      </c>
      <c r="J3098">
        <v>13.728683382417101</v>
      </c>
      <c r="K3098">
        <v>14.6228403620521</v>
      </c>
      <c r="L3098">
        <v>14.1107333650996</v>
      </c>
      <c r="M3098">
        <v>14.2730817570261</v>
      </c>
      <c r="N3098">
        <v>14.5613750979246</v>
      </c>
      <c r="O3098">
        <v>14.247352590562899</v>
      </c>
      <c r="P3098">
        <v>0.20651744531497601</v>
      </c>
      <c r="Q3098">
        <v>-0.572937834121519</v>
      </c>
      <c r="R3098">
        <v>0.98597272475147102</v>
      </c>
      <c r="S3098">
        <v>14.345082686988301</v>
      </c>
      <c r="T3098">
        <v>0.556875426792382</v>
      </c>
      <c r="U3098">
        <v>-6.8909712459055399</v>
      </c>
      <c r="V3098">
        <v>0.58451068519997496</v>
      </c>
      <c r="W3098">
        <v>0.80219222675694601</v>
      </c>
      <c r="X3098">
        <v>0</v>
      </c>
      <c r="Y3098">
        <v>0</v>
      </c>
    </row>
    <row r="3099" spans="1:25" x14ac:dyDescent="0.2">
      <c r="A3099" t="s">
        <v>11483</v>
      </c>
      <c r="B3099" t="s">
        <v>11484</v>
      </c>
      <c r="C3099" t="s">
        <v>11485</v>
      </c>
      <c r="D3099" t="s">
        <v>11486</v>
      </c>
      <c r="E3099" t="s">
        <v>11484</v>
      </c>
      <c r="F3099" t="s">
        <v>28</v>
      </c>
      <c r="G3099" t="s">
        <v>11484</v>
      </c>
      <c r="H3099" t="str">
        <f>"let-363"</f>
        <v>let-363</v>
      </c>
      <c r="I3099" t="s">
        <v>11486</v>
      </c>
      <c r="J3099">
        <v>14.0303113897569</v>
      </c>
      <c r="K3099">
        <v>14.186336016379901</v>
      </c>
      <c r="L3099">
        <v>13.7672310420672</v>
      </c>
      <c r="M3099">
        <v>14.652728383393001</v>
      </c>
      <c r="N3099">
        <v>14.980525791682</v>
      </c>
      <c r="O3099">
        <v>14.690804600711401</v>
      </c>
      <c r="P3099">
        <v>0.78006010919414404</v>
      </c>
      <c r="Q3099">
        <v>0.42004222195984198</v>
      </c>
      <c r="R3099">
        <v>1.14007799642845</v>
      </c>
      <c r="S3099">
        <v>14.3411522572601</v>
      </c>
      <c r="T3099">
        <v>4.5540364642808404</v>
      </c>
      <c r="U3099">
        <v>0.13881937612305201</v>
      </c>
      <c r="V3099">
        <v>2.4928769066383098E-4</v>
      </c>
      <c r="W3099">
        <v>6.7039846728934298E-3</v>
      </c>
      <c r="X3099">
        <v>0</v>
      </c>
      <c r="Y3099">
        <v>0</v>
      </c>
    </row>
    <row r="3100" spans="1:25" x14ac:dyDescent="0.2">
      <c r="A3100" t="s">
        <v>11487</v>
      </c>
      <c r="B3100" t="s">
        <v>11488</v>
      </c>
      <c r="C3100" t="s">
        <v>11489</v>
      </c>
      <c r="D3100" t="s">
        <v>11490</v>
      </c>
      <c r="E3100" t="s">
        <v>11488</v>
      </c>
      <c r="F3100" t="s">
        <v>28</v>
      </c>
      <c r="G3100" t="s">
        <v>11488</v>
      </c>
      <c r="H3100" t="str">
        <f>"jhdm-1"</f>
        <v>jhdm-1</v>
      </c>
      <c r="I3100" t="s">
        <v>11490</v>
      </c>
      <c r="J3100">
        <v>11.944869383035099</v>
      </c>
      <c r="K3100">
        <v>12.478401259235101</v>
      </c>
      <c r="L3100">
        <v>12.315686257858699</v>
      </c>
      <c r="M3100">
        <v>12.497391053406</v>
      </c>
      <c r="N3100">
        <v>12.204747197670001</v>
      </c>
      <c r="O3100">
        <v>12.544333894203699</v>
      </c>
      <c r="P3100">
        <v>0.16917174838360599</v>
      </c>
      <c r="Q3100">
        <v>-0.39496496879762799</v>
      </c>
      <c r="R3100">
        <v>0.73330846556483997</v>
      </c>
      <c r="S3100">
        <v>11.9845623653041</v>
      </c>
      <c r="T3100">
        <v>0.63605255367035696</v>
      </c>
      <c r="U3100">
        <v>-6.84134837230659</v>
      </c>
      <c r="V3100">
        <v>0.53379434991860897</v>
      </c>
      <c r="W3100">
        <v>0.77492902906669103</v>
      </c>
      <c r="X3100">
        <v>0</v>
      </c>
      <c r="Y3100">
        <v>0</v>
      </c>
    </row>
    <row r="3101" spans="1:25" x14ac:dyDescent="0.2">
      <c r="A3101" t="s">
        <v>11491</v>
      </c>
      <c r="B3101" t="s">
        <v>11492</v>
      </c>
      <c r="C3101" t="s">
        <v>7089</v>
      </c>
      <c r="D3101" t="s">
        <v>11493</v>
      </c>
      <c r="E3101" t="s">
        <v>11492</v>
      </c>
      <c r="F3101" t="s">
        <v>28</v>
      </c>
      <c r="G3101" t="s">
        <v>11492</v>
      </c>
      <c r="H3101" t="str">
        <f>"pacs-1"</f>
        <v>pacs-1</v>
      </c>
      <c r="I3101" t="s">
        <v>11493</v>
      </c>
      <c r="J3101">
        <v>12.9815875326265</v>
      </c>
      <c r="K3101">
        <v>12.948065227323699</v>
      </c>
      <c r="L3101">
        <v>12.6172201782469</v>
      </c>
      <c r="M3101">
        <v>13.642568017084001</v>
      </c>
      <c r="N3101">
        <v>13.7303840210168</v>
      </c>
      <c r="O3101">
        <v>13.4792029603394</v>
      </c>
      <c r="P3101">
        <v>0.76842735341436397</v>
      </c>
      <c r="Q3101">
        <v>0.30941877789925398</v>
      </c>
      <c r="R3101">
        <v>1.2274359289294701</v>
      </c>
      <c r="S3101">
        <v>13.170877187673099</v>
      </c>
      <c r="T3101">
        <v>3.5186375221591302</v>
      </c>
      <c r="U3101">
        <v>-2.13220451158042</v>
      </c>
      <c r="V3101">
        <v>2.4709093429830598E-3</v>
      </c>
      <c r="W3101">
        <v>3.3362402498202798E-2</v>
      </c>
      <c r="X3101">
        <v>0</v>
      </c>
      <c r="Y3101">
        <v>0</v>
      </c>
    </row>
    <row r="3102" spans="1:25" x14ac:dyDescent="0.2">
      <c r="A3102" t="s">
        <v>11494</v>
      </c>
      <c r="B3102" t="s">
        <v>11495</v>
      </c>
      <c r="C3102" t="s">
        <v>11496</v>
      </c>
      <c r="D3102" t="s">
        <v>11497</v>
      </c>
      <c r="E3102" t="s">
        <v>11495</v>
      </c>
      <c r="F3102" t="s">
        <v>28</v>
      </c>
      <c r="G3102" t="s">
        <v>11495</v>
      </c>
      <c r="H3102" t="str">
        <f>"pat-12"</f>
        <v>pat-12</v>
      </c>
      <c r="I3102" t="s">
        <v>11497</v>
      </c>
      <c r="J3102">
        <v>14.7352267327141</v>
      </c>
      <c r="K3102">
        <v>15.2730120835388</v>
      </c>
      <c r="L3102">
        <v>15.3416135816313</v>
      </c>
      <c r="M3102">
        <v>15.652545039367499</v>
      </c>
      <c r="N3102">
        <v>14.6510844854899</v>
      </c>
      <c r="O3102">
        <v>15.1514005352927</v>
      </c>
      <c r="P3102">
        <v>3.5059220755286398E-2</v>
      </c>
      <c r="Q3102">
        <v>-0.69824942491362096</v>
      </c>
      <c r="R3102">
        <v>0.76836786642419397</v>
      </c>
      <c r="S3102">
        <v>15.2807493747497</v>
      </c>
      <c r="T3102">
        <v>0.100486557162209</v>
      </c>
      <c r="U3102">
        <v>-7.0467961872464597</v>
      </c>
      <c r="V3102">
        <v>0.92107530952633299</v>
      </c>
      <c r="W3102">
        <v>0.97210472750093202</v>
      </c>
      <c r="X3102">
        <v>0</v>
      </c>
      <c r="Y3102">
        <v>0</v>
      </c>
    </row>
    <row r="3103" spans="1:25" x14ac:dyDescent="0.2">
      <c r="A3103" t="s">
        <v>11498</v>
      </c>
      <c r="B3103" t="s">
        <v>11499</v>
      </c>
      <c r="C3103" t="s">
        <v>14613</v>
      </c>
      <c r="D3103" t="s">
        <v>11500</v>
      </c>
      <c r="E3103" t="s">
        <v>11499</v>
      </c>
      <c r="F3103" t="s">
        <v>28</v>
      </c>
      <c r="G3103" t="s">
        <v>11499</v>
      </c>
      <c r="H3103" t="str">
        <f>"T13H5.8"</f>
        <v>T13H5.8</v>
      </c>
      <c r="I3103" t="s">
        <v>11500</v>
      </c>
      <c r="J3103">
        <v>13.999600151146799</v>
      </c>
      <c r="K3103">
        <v>14.266947111972099</v>
      </c>
      <c r="L3103">
        <v>14.137869362039501</v>
      </c>
      <c r="M3103">
        <v>13.986958979755</v>
      </c>
      <c r="N3103">
        <v>13.8243009525833</v>
      </c>
      <c r="O3103">
        <v>13.617239728977401</v>
      </c>
      <c r="P3103">
        <v>-0.325305654614226</v>
      </c>
      <c r="Q3103">
        <v>-0.70696226422253095</v>
      </c>
      <c r="R3103">
        <v>5.6350954994078301E-2</v>
      </c>
      <c r="S3103">
        <v>13.9153332783312</v>
      </c>
      <c r="T3103">
        <v>-1.7991560668305799</v>
      </c>
      <c r="U3103">
        <v>-5.4962500090104101</v>
      </c>
      <c r="V3103">
        <v>8.9880736310484197E-2</v>
      </c>
      <c r="W3103">
        <v>0.30708241090792199</v>
      </c>
      <c r="X3103">
        <v>0</v>
      </c>
      <c r="Y3103">
        <v>0</v>
      </c>
    </row>
    <row r="3104" spans="1:25" x14ac:dyDescent="0.2">
      <c r="A3104" t="s">
        <v>11501</v>
      </c>
      <c r="B3104" t="s">
        <v>11502</v>
      </c>
      <c r="C3104" t="s">
        <v>14614</v>
      </c>
      <c r="D3104" t="s">
        <v>11503</v>
      </c>
      <c r="E3104" t="s">
        <v>11502</v>
      </c>
      <c r="F3104" t="s">
        <v>28</v>
      </c>
      <c r="G3104" t="s">
        <v>11502</v>
      </c>
      <c r="H3104" t="str">
        <f>"R144.11"</f>
        <v>R144.11</v>
      </c>
      <c r="I3104" t="s">
        <v>11503</v>
      </c>
      <c r="J3104">
        <v>12.699146238652</v>
      </c>
      <c r="K3104">
        <v>12.488307769816201</v>
      </c>
      <c r="L3104">
        <v>12.5061542578608</v>
      </c>
      <c r="M3104">
        <v>12.195365792999199</v>
      </c>
      <c r="N3104">
        <v>12.2177602247436</v>
      </c>
      <c r="O3104" t="s">
        <v>29</v>
      </c>
      <c r="P3104">
        <v>-0.35797307990491201</v>
      </c>
      <c r="Q3104">
        <v>-0.81621733269430696</v>
      </c>
      <c r="R3104">
        <v>0.10027117288448199</v>
      </c>
      <c r="S3104">
        <v>12.259694960153899</v>
      </c>
      <c r="T3104">
        <v>-1.67666089084005</v>
      </c>
      <c r="U3104">
        <v>-5.5830201779603703</v>
      </c>
      <c r="V3104">
        <v>0.115952430499405</v>
      </c>
      <c r="W3104">
        <v>0.35000854252788799</v>
      </c>
      <c r="X3104">
        <v>0</v>
      </c>
      <c r="Y3104">
        <v>0</v>
      </c>
    </row>
    <row r="3105" spans="1:25" x14ac:dyDescent="0.2">
      <c r="A3105" t="s">
        <v>11504</v>
      </c>
      <c r="B3105" t="s">
        <v>11505</v>
      </c>
      <c r="C3105" t="s">
        <v>11506</v>
      </c>
      <c r="D3105" t="s">
        <v>11507</v>
      </c>
      <c r="E3105" t="s">
        <v>11505</v>
      </c>
      <c r="F3105" t="s">
        <v>28</v>
      </c>
      <c r="G3105" t="s">
        <v>11505</v>
      </c>
      <c r="H3105" t="str">
        <f>"zyg-8"</f>
        <v>zyg-8</v>
      </c>
      <c r="I3105" t="s">
        <v>11507</v>
      </c>
      <c r="J3105" t="s">
        <v>29</v>
      </c>
      <c r="K3105" t="s">
        <v>29</v>
      </c>
      <c r="L3105">
        <v>10.4765419948275</v>
      </c>
      <c r="M3105" t="s">
        <v>29</v>
      </c>
      <c r="N3105" t="s">
        <v>29</v>
      </c>
      <c r="O3105" t="s">
        <v>29</v>
      </c>
      <c r="P3105" t="s">
        <v>29</v>
      </c>
      <c r="Q3105" t="s">
        <v>29</v>
      </c>
      <c r="R3105" t="s">
        <v>29</v>
      </c>
      <c r="S3105">
        <v>12.100619679570899</v>
      </c>
      <c r="T3105" t="s">
        <v>29</v>
      </c>
      <c r="U3105" t="s">
        <v>29</v>
      </c>
      <c r="V3105" t="s">
        <v>29</v>
      </c>
      <c r="W3105" t="s">
        <v>29</v>
      </c>
      <c r="X3105" t="s">
        <v>29</v>
      </c>
      <c r="Y3105" t="s">
        <v>29</v>
      </c>
    </row>
    <row r="3106" spans="1:25" x14ac:dyDescent="0.2">
      <c r="A3106" t="s">
        <v>11508</v>
      </c>
      <c r="B3106" t="s">
        <v>11509</v>
      </c>
      <c r="C3106" t="s">
        <v>11510</v>
      </c>
      <c r="D3106" t="s">
        <v>11511</v>
      </c>
      <c r="E3106" t="s">
        <v>11509</v>
      </c>
      <c r="F3106" t="s">
        <v>28</v>
      </c>
      <c r="G3106" t="s">
        <v>11509</v>
      </c>
      <c r="H3106" t="str">
        <f>"tmem-135"</f>
        <v>tmem-135</v>
      </c>
      <c r="I3106" t="s">
        <v>11511</v>
      </c>
      <c r="J3106">
        <v>12.0967625340192</v>
      </c>
      <c r="K3106">
        <v>12.7909592211989</v>
      </c>
      <c r="L3106">
        <v>13.349063471086399</v>
      </c>
      <c r="M3106">
        <v>12.7479772355998</v>
      </c>
      <c r="N3106">
        <v>13.2510434694923</v>
      </c>
      <c r="O3106">
        <v>11.9883373733871</v>
      </c>
      <c r="P3106">
        <v>-8.3142382608366802E-2</v>
      </c>
      <c r="Q3106">
        <v>-0.77476575942713499</v>
      </c>
      <c r="R3106">
        <v>0.60848099421040103</v>
      </c>
      <c r="S3106">
        <v>13.1990160239425</v>
      </c>
      <c r="T3106">
        <v>-0.25497777776646302</v>
      </c>
      <c r="U3106">
        <v>-7.0178587187766501</v>
      </c>
      <c r="V3106">
        <v>0.80200995077564197</v>
      </c>
      <c r="W3106">
        <v>0.91658288966993196</v>
      </c>
      <c r="X3106">
        <v>0</v>
      </c>
      <c r="Y3106">
        <v>0</v>
      </c>
    </row>
    <row r="3107" spans="1:25" x14ac:dyDescent="0.2">
      <c r="A3107" t="s">
        <v>11512</v>
      </c>
      <c r="B3107" t="s">
        <v>11513</v>
      </c>
      <c r="C3107" t="s">
        <v>11514</v>
      </c>
      <c r="D3107" t="s">
        <v>11515</v>
      </c>
      <c r="E3107" t="s">
        <v>11513</v>
      </c>
      <c r="F3107" t="s">
        <v>28</v>
      </c>
      <c r="G3107" t="s">
        <v>11513</v>
      </c>
      <c r="H3107" t="str">
        <f>"cox-11"</f>
        <v>cox-11</v>
      </c>
      <c r="I3107" t="s">
        <v>11515</v>
      </c>
      <c r="J3107">
        <v>13.739051850187099</v>
      </c>
      <c r="K3107">
        <v>13.9382968499747</v>
      </c>
      <c r="L3107">
        <v>13.725891292069999</v>
      </c>
      <c r="M3107">
        <v>13.4335187740823</v>
      </c>
      <c r="N3107">
        <v>13.622162432257801</v>
      </c>
      <c r="O3107">
        <v>13.1530723746953</v>
      </c>
      <c r="P3107">
        <v>-0.39816213706542802</v>
      </c>
      <c r="Q3107">
        <v>-0.96254454852732196</v>
      </c>
      <c r="R3107">
        <v>0.166220274396465</v>
      </c>
      <c r="S3107">
        <v>13.6403663829004</v>
      </c>
      <c r="T3107">
        <v>-1.49635974981264</v>
      </c>
      <c r="U3107">
        <v>-5.9475318567291398</v>
      </c>
      <c r="V3107">
        <v>0.154151219278337</v>
      </c>
      <c r="W3107">
        <v>0.40583176984766201</v>
      </c>
      <c r="X3107">
        <v>0</v>
      </c>
      <c r="Y3107">
        <v>0</v>
      </c>
    </row>
    <row r="3108" spans="1:25" x14ac:dyDescent="0.2">
      <c r="A3108" t="s">
        <v>11516</v>
      </c>
      <c r="B3108" t="s">
        <v>11517</v>
      </c>
      <c r="C3108" t="s">
        <v>14615</v>
      </c>
      <c r="D3108" t="s">
        <v>10637</v>
      </c>
      <c r="E3108" t="s">
        <v>11517</v>
      </c>
      <c r="F3108" t="s">
        <v>28</v>
      </c>
      <c r="G3108" t="s">
        <v>11517</v>
      </c>
      <c r="H3108" t="str">
        <f>"F58G6.7"</f>
        <v>F58G6.7</v>
      </c>
      <c r="I3108" t="s">
        <v>10637</v>
      </c>
      <c r="J3108">
        <v>13.0517942331764</v>
      </c>
      <c r="K3108">
        <v>13.0123814136706</v>
      </c>
      <c r="L3108">
        <v>13.7273865461884</v>
      </c>
      <c r="M3108">
        <v>13.5491447791068</v>
      </c>
      <c r="N3108">
        <v>12.4256294494207</v>
      </c>
      <c r="O3108" t="s">
        <v>29</v>
      </c>
      <c r="P3108">
        <v>-0.27646695008140498</v>
      </c>
      <c r="Q3108">
        <v>-1.32916955220188</v>
      </c>
      <c r="R3108">
        <v>0.77623565203907197</v>
      </c>
      <c r="S3108">
        <v>13.497584538577801</v>
      </c>
      <c r="T3108">
        <v>-0.55704086284777998</v>
      </c>
      <c r="U3108">
        <v>-6.7796236159031302</v>
      </c>
      <c r="V3108">
        <v>0.58525852389431798</v>
      </c>
      <c r="W3108">
        <v>0.80221954550929897</v>
      </c>
      <c r="X3108">
        <v>0</v>
      </c>
      <c r="Y3108">
        <v>0</v>
      </c>
    </row>
    <row r="3109" spans="1:25" x14ac:dyDescent="0.2">
      <c r="A3109" t="s">
        <v>11518</v>
      </c>
      <c r="B3109" t="s">
        <v>11519</v>
      </c>
      <c r="C3109" t="s">
        <v>14616</v>
      </c>
      <c r="D3109" t="s">
        <v>8692</v>
      </c>
      <c r="E3109" t="s">
        <v>11519</v>
      </c>
      <c r="F3109" t="s">
        <v>28</v>
      </c>
      <c r="G3109" t="s">
        <v>11519</v>
      </c>
      <c r="H3109" t="str">
        <f>"F54E7.9"</f>
        <v>F54E7.9</v>
      </c>
      <c r="I3109" t="s">
        <v>8692</v>
      </c>
      <c r="J3109" t="s">
        <v>29</v>
      </c>
      <c r="K3109" t="s">
        <v>29</v>
      </c>
      <c r="L3109" t="s">
        <v>29</v>
      </c>
      <c r="M3109" t="s">
        <v>29</v>
      </c>
      <c r="N3109">
        <v>10.0719080989695</v>
      </c>
      <c r="O3109" t="s">
        <v>29</v>
      </c>
      <c r="P3109" t="s">
        <v>29</v>
      </c>
      <c r="Q3109" t="s">
        <v>29</v>
      </c>
      <c r="R3109" t="s">
        <v>29</v>
      </c>
      <c r="S3109">
        <v>10.3733466091672</v>
      </c>
      <c r="T3109" t="s">
        <v>29</v>
      </c>
      <c r="U3109" t="s">
        <v>29</v>
      </c>
      <c r="V3109" t="s">
        <v>29</v>
      </c>
      <c r="W3109" t="s">
        <v>29</v>
      </c>
      <c r="X3109" t="s">
        <v>29</v>
      </c>
      <c r="Y3109" t="s">
        <v>29</v>
      </c>
    </row>
    <row r="3110" spans="1:25" x14ac:dyDescent="0.2">
      <c r="A3110" t="s">
        <v>11520</v>
      </c>
      <c r="B3110" t="s">
        <v>11521</v>
      </c>
      <c r="C3110" t="s">
        <v>11522</v>
      </c>
      <c r="D3110" t="s">
        <v>11523</v>
      </c>
      <c r="E3110" t="s">
        <v>11521</v>
      </c>
      <c r="F3110" t="s">
        <v>28</v>
      </c>
      <c r="G3110" t="s">
        <v>11521</v>
      </c>
      <c r="H3110" t="str">
        <f>"fcp-1"</f>
        <v>fcp-1</v>
      </c>
      <c r="I3110" t="s">
        <v>11523</v>
      </c>
      <c r="J3110">
        <v>13.770613588438</v>
      </c>
      <c r="K3110">
        <v>13.920752895785499</v>
      </c>
      <c r="L3110">
        <v>13.644991160480799</v>
      </c>
      <c r="M3110">
        <v>13.8503375195006</v>
      </c>
      <c r="N3110">
        <v>13.9198492376447</v>
      </c>
      <c r="O3110">
        <v>13.9302109967392</v>
      </c>
      <c r="P3110">
        <v>0.12134670306004799</v>
      </c>
      <c r="Q3110">
        <v>-0.20272088943868399</v>
      </c>
      <c r="R3110">
        <v>0.44541429555878098</v>
      </c>
      <c r="S3110">
        <v>13.6516324469557</v>
      </c>
      <c r="T3110">
        <v>0.78701841015406504</v>
      </c>
      <c r="U3110">
        <v>-6.7330141302078497</v>
      </c>
      <c r="V3110">
        <v>0.44157036006192601</v>
      </c>
      <c r="W3110">
        <v>0.70921517850024995</v>
      </c>
      <c r="X3110">
        <v>0</v>
      </c>
      <c r="Y3110">
        <v>0</v>
      </c>
    </row>
    <row r="3111" spans="1:25" x14ac:dyDescent="0.2">
      <c r="A3111" t="s">
        <v>11524</v>
      </c>
      <c r="B3111" t="s">
        <v>11525</v>
      </c>
      <c r="C3111" t="s">
        <v>11526</v>
      </c>
      <c r="D3111" t="s">
        <v>11527</v>
      </c>
      <c r="E3111" t="s">
        <v>11525</v>
      </c>
      <c r="F3111" t="s">
        <v>28</v>
      </c>
      <c r="G3111" t="s">
        <v>11525</v>
      </c>
      <c r="H3111" t="str">
        <f>"daf-3"</f>
        <v>daf-3</v>
      </c>
      <c r="I3111" t="s">
        <v>11527</v>
      </c>
      <c r="J3111">
        <v>13.8846097887771</v>
      </c>
      <c r="K3111">
        <v>11.5375674504344</v>
      </c>
      <c r="L3111" t="s">
        <v>29</v>
      </c>
      <c r="M3111" t="s">
        <v>29</v>
      </c>
      <c r="N3111">
        <v>11.4986778493633</v>
      </c>
      <c r="O3111">
        <v>10.669033734106099</v>
      </c>
      <c r="P3111">
        <v>-1.62723282787103</v>
      </c>
      <c r="Q3111">
        <v>-3.0623759496216398</v>
      </c>
      <c r="R3111">
        <v>-0.192089706120427</v>
      </c>
      <c r="S3111">
        <v>12.056889896547499</v>
      </c>
      <c r="T3111">
        <v>-2.4728598070937799</v>
      </c>
      <c r="U3111">
        <v>-4.2129661230306299</v>
      </c>
      <c r="V3111">
        <v>2.9495996738175899E-2</v>
      </c>
      <c r="W3111">
        <v>0.168402971180802</v>
      </c>
      <c r="X3111">
        <v>-1</v>
      </c>
      <c r="Y3111">
        <v>0</v>
      </c>
    </row>
    <row r="3112" spans="1:25" x14ac:dyDescent="0.2">
      <c r="A3112" t="s">
        <v>11528</v>
      </c>
      <c r="B3112" t="s">
        <v>11529</v>
      </c>
      <c r="C3112" t="s">
        <v>11530</v>
      </c>
      <c r="D3112" t="s">
        <v>11531</v>
      </c>
      <c r="E3112" t="s">
        <v>11529</v>
      </c>
      <c r="F3112" t="s">
        <v>28</v>
      </c>
      <c r="G3112" t="s">
        <v>11529</v>
      </c>
      <c r="H3112" t="str">
        <f>"alfa-1"</f>
        <v>alfa-1</v>
      </c>
      <c r="I3112" t="s">
        <v>11531</v>
      </c>
      <c r="J3112">
        <v>12.4065620262368</v>
      </c>
      <c r="K3112">
        <v>12.247847300983899</v>
      </c>
      <c r="L3112" t="s">
        <v>29</v>
      </c>
      <c r="M3112">
        <v>16.081944075564799</v>
      </c>
      <c r="N3112">
        <v>16.4314791518985</v>
      </c>
      <c r="O3112">
        <v>15.8252498465665</v>
      </c>
      <c r="P3112">
        <v>3.7856863610662401</v>
      </c>
      <c r="Q3112">
        <v>2.99532826088388</v>
      </c>
      <c r="R3112">
        <v>4.57604446124859</v>
      </c>
      <c r="S3112">
        <v>14.6760319823118</v>
      </c>
      <c r="T3112">
        <v>10.110455800555201</v>
      </c>
      <c r="U3112">
        <v>10.0510457887914</v>
      </c>
      <c r="V3112" s="2">
        <v>1.3990373732556901E-8</v>
      </c>
      <c r="W3112" s="2">
        <v>2.2762338062870001E-6</v>
      </c>
      <c r="X3112">
        <v>1</v>
      </c>
      <c r="Y3112">
        <v>1</v>
      </c>
    </row>
    <row r="3113" spans="1:25" x14ac:dyDescent="0.2">
      <c r="A3113" t="s">
        <v>11532</v>
      </c>
      <c r="B3113" t="s">
        <v>11533</v>
      </c>
      <c r="C3113" t="s">
        <v>11534</v>
      </c>
      <c r="D3113" t="s">
        <v>11535</v>
      </c>
      <c r="E3113" t="s">
        <v>11533</v>
      </c>
      <c r="F3113" t="s">
        <v>28</v>
      </c>
      <c r="G3113" t="s">
        <v>11533</v>
      </c>
      <c r="H3113" t="str">
        <f>"mrpl-13"</f>
        <v>mrpl-13</v>
      </c>
      <c r="I3113" t="s">
        <v>11535</v>
      </c>
      <c r="J3113">
        <v>13.8965315673292</v>
      </c>
      <c r="K3113">
        <v>14.4663417173692</v>
      </c>
      <c r="L3113">
        <v>14.125427003784701</v>
      </c>
      <c r="M3113">
        <v>13.334030547577701</v>
      </c>
      <c r="N3113">
        <v>13.967938861006701</v>
      </c>
      <c r="O3113">
        <v>13.788692206349101</v>
      </c>
      <c r="P3113">
        <v>-0.46587955784987201</v>
      </c>
      <c r="Q3113">
        <v>-1.2211876352462201</v>
      </c>
      <c r="R3113">
        <v>0.28942851954647503</v>
      </c>
      <c r="S3113">
        <v>14.1129143467227</v>
      </c>
      <c r="T3113">
        <v>-1.30196568693788</v>
      </c>
      <c r="U3113">
        <v>-6.2031859242370802</v>
      </c>
      <c r="V3113">
        <v>0.210400140289077</v>
      </c>
      <c r="W3113">
        <v>0.47584690982690198</v>
      </c>
      <c r="X3113">
        <v>0</v>
      </c>
      <c r="Y3113">
        <v>0</v>
      </c>
    </row>
    <row r="3114" spans="1:25" x14ac:dyDescent="0.2">
      <c r="A3114" t="s">
        <v>11536</v>
      </c>
      <c r="B3114" t="s">
        <v>11537</v>
      </c>
      <c r="C3114" t="s">
        <v>11538</v>
      </c>
      <c r="D3114" t="s">
        <v>93</v>
      </c>
      <c r="E3114" t="s">
        <v>11537</v>
      </c>
      <c r="F3114" t="s">
        <v>28</v>
      </c>
      <c r="G3114" t="s">
        <v>11537</v>
      </c>
      <c r="H3114" t="str">
        <f>"rbm-34"</f>
        <v>rbm-34</v>
      </c>
      <c r="I3114" t="s">
        <v>93</v>
      </c>
      <c r="J3114">
        <v>15.6626161924097</v>
      </c>
      <c r="K3114">
        <v>15.4209690584048</v>
      </c>
      <c r="L3114">
        <v>14.804836135830399</v>
      </c>
      <c r="M3114">
        <v>15.247737188045701</v>
      </c>
      <c r="N3114">
        <v>14.0513887204098</v>
      </c>
      <c r="O3114">
        <v>14.7496288081496</v>
      </c>
      <c r="P3114">
        <v>-0.61322222334657195</v>
      </c>
      <c r="Q3114">
        <v>-1.4650559820379101</v>
      </c>
      <c r="R3114">
        <v>0.23861153534476301</v>
      </c>
      <c r="S3114">
        <v>15.061507888712001</v>
      </c>
      <c r="T3114">
        <v>-1.51305791290539</v>
      </c>
      <c r="U3114">
        <v>-5.92361194332375</v>
      </c>
      <c r="V3114">
        <v>0.14772564623040599</v>
      </c>
      <c r="W3114">
        <v>0.39857997502570103</v>
      </c>
      <c r="X3114">
        <v>0</v>
      </c>
      <c r="Y3114">
        <v>0</v>
      </c>
    </row>
    <row r="3115" spans="1:25" x14ac:dyDescent="0.2">
      <c r="A3115" t="s">
        <v>11539</v>
      </c>
      <c r="B3115" t="s">
        <v>11540</v>
      </c>
      <c r="C3115" t="s">
        <v>11541</v>
      </c>
      <c r="D3115" t="s">
        <v>2791</v>
      </c>
      <c r="E3115" t="s">
        <v>11540</v>
      </c>
      <c r="F3115" t="s">
        <v>28</v>
      </c>
      <c r="G3115" t="s">
        <v>11540</v>
      </c>
      <c r="H3115" t="str">
        <f>"ddx-23"</f>
        <v>ddx-23</v>
      </c>
      <c r="I3115" t="s">
        <v>2791</v>
      </c>
      <c r="J3115">
        <v>15.493150704157999</v>
      </c>
      <c r="K3115">
        <v>15.819590324932101</v>
      </c>
      <c r="L3115">
        <v>15.767002100633301</v>
      </c>
      <c r="M3115">
        <v>15.3748978781476</v>
      </c>
      <c r="N3115">
        <v>15.4058718847871</v>
      </c>
      <c r="O3115">
        <v>15.806442363693501</v>
      </c>
      <c r="P3115">
        <v>-0.16417700103173299</v>
      </c>
      <c r="Q3115">
        <v>-0.52902522568801402</v>
      </c>
      <c r="R3115">
        <v>0.20067122362454701</v>
      </c>
      <c r="S3115">
        <v>15.8264580008236</v>
      </c>
      <c r="T3115">
        <v>-0.945785375046303</v>
      </c>
      <c r="U3115">
        <v>-6.5947294413221202</v>
      </c>
      <c r="V3115">
        <v>0.356854730951711</v>
      </c>
      <c r="W3115">
        <v>0.63590527756325899</v>
      </c>
      <c r="X3115">
        <v>0</v>
      </c>
      <c r="Y3115">
        <v>0</v>
      </c>
    </row>
    <row r="3116" spans="1:25" x14ac:dyDescent="0.2">
      <c r="A3116" t="s">
        <v>11542</v>
      </c>
      <c r="B3116" t="s">
        <v>11543</v>
      </c>
      <c r="C3116" t="s">
        <v>11544</v>
      </c>
      <c r="D3116" t="s">
        <v>11545</v>
      </c>
      <c r="E3116" t="s">
        <v>11543</v>
      </c>
      <c r="F3116" t="s">
        <v>28</v>
      </c>
      <c r="G3116" t="s">
        <v>11543</v>
      </c>
      <c r="H3116" t="str">
        <f>"brap-2"</f>
        <v>brap-2</v>
      </c>
      <c r="I3116" t="s">
        <v>11545</v>
      </c>
      <c r="J3116" t="s">
        <v>29</v>
      </c>
      <c r="K3116" t="s">
        <v>29</v>
      </c>
      <c r="L3116" t="s">
        <v>29</v>
      </c>
      <c r="M3116">
        <v>12.387153086611301</v>
      </c>
      <c r="N3116">
        <v>12.5163641558799</v>
      </c>
      <c r="O3116">
        <v>12.5811922851963</v>
      </c>
      <c r="P3116" t="s">
        <v>29</v>
      </c>
      <c r="Q3116" t="s">
        <v>29</v>
      </c>
      <c r="R3116" t="s">
        <v>29</v>
      </c>
      <c r="S3116">
        <v>11.5483636429245</v>
      </c>
      <c r="T3116" t="s">
        <v>29</v>
      </c>
      <c r="U3116" t="s">
        <v>29</v>
      </c>
      <c r="V3116" t="s">
        <v>29</v>
      </c>
      <c r="W3116" t="s">
        <v>29</v>
      </c>
      <c r="X3116" t="s">
        <v>29</v>
      </c>
      <c r="Y3116" t="s">
        <v>29</v>
      </c>
    </row>
    <row r="3117" spans="1:25" x14ac:dyDescent="0.2">
      <c r="A3117" t="s">
        <v>11546</v>
      </c>
      <c r="B3117" t="s">
        <v>11547</v>
      </c>
      <c r="C3117" t="s">
        <v>11548</v>
      </c>
      <c r="D3117" t="s">
        <v>11549</v>
      </c>
      <c r="E3117" t="s">
        <v>11547</v>
      </c>
      <c r="F3117" t="s">
        <v>28</v>
      </c>
      <c r="G3117" t="s">
        <v>11547</v>
      </c>
      <c r="H3117" t="str">
        <f>"dnj-8"</f>
        <v>dnj-8</v>
      </c>
      <c r="I3117" t="s">
        <v>11549</v>
      </c>
      <c r="J3117">
        <v>12.658507558841601</v>
      </c>
      <c r="K3117">
        <v>12.9003088366965</v>
      </c>
      <c r="L3117">
        <v>12.822835657737</v>
      </c>
      <c r="M3117">
        <v>12.936894396919399</v>
      </c>
      <c r="N3117">
        <v>12.962713602941401</v>
      </c>
      <c r="O3117">
        <v>12.1959784158412</v>
      </c>
      <c r="P3117">
        <v>-9.5355212524332003E-2</v>
      </c>
      <c r="Q3117">
        <v>-0.52580406061040097</v>
      </c>
      <c r="R3117">
        <v>0.33509363556173699</v>
      </c>
      <c r="S3117">
        <v>12.9919744620549</v>
      </c>
      <c r="T3117">
        <v>-0.46560260515528201</v>
      </c>
      <c r="U3117">
        <v>-6.93916453406902</v>
      </c>
      <c r="V3117">
        <v>0.64711652967092104</v>
      </c>
      <c r="W3117">
        <v>0.83942788779035504</v>
      </c>
      <c r="X3117">
        <v>0</v>
      </c>
      <c r="Y3117">
        <v>0</v>
      </c>
    </row>
    <row r="3118" spans="1:25" x14ac:dyDescent="0.2">
      <c r="A3118" t="s">
        <v>11550</v>
      </c>
      <c r="B3118" t="s">
        <v>11551</v>
      </c>
      <c r="C3118" t="s">
        <v>11552</v>
      </c>
      <c r="D3118" t="s">
        <v>11553</v>
      </c>
      <c r="E3118" t="s">
        <v>11551</v>
      </c>
      <c r="F3118" t="s">
        <v>28</v>
      </c>
      <c r="G3118" t="s">
        <v>11551</v>
      </c>
      <c r="H3118" t="str">
        <f>"atic-1"</f>
        <v>atic-1</v>
      </c>
      <c r="I3118" t="s">
        <v>11553</v>
      </c>
      <c r="J3118">
        <v>13.0488540052338</v>
      </c>
      <c r="K3118">
        <v>12.306593431397999</v>
      </c>
      <c r="L3118">
        <v>12.7960460317277</v>
      </c>
      <c r="M3118">
        <v>12.4355303955455</v>
      </c>
      <c r="N3118">
        <v>12.499845782738801</v>
      </c>
      <c r="O3118">
        <v>12.009054366399001</v>
      </c>
      <c r="P3118">
        <v>-0.40235430789208798</v>
      </c>
      <c r="Q3118">
        <v>-0.95295788041820195</v>
      </c>
      <c r="R3118">
        <v>0.14824926463402699</v>
      </c>
      <c r="S3118">
        <v>12.856079161856099</v>
      </c>
      <c r="T3118">
        <v>-1.5424803627981301</v>
      </c>
      <c r="U3118">
        <v>-5.8824831707973697</v>
      </c>
      <c r="V3118">
        <v>0.141478876997225</v>
      </c>
      <c r="W3118">
        <v>0.38763317207745701</v>
      </c>
      <c r="X3118">
        <v>0</v>
      </c>
      <c r="Y3118">
        <v>0</v>
      </c>
    </row>
    <row r="3119" spans="1:25" x14ac:dyDescent="0.2">
      <c r="A3119" t="s">
        <v>11554</v>
      </c>
      <c r="B3119" t="s">
        <v>11555</v>
      </c>
      <c r="C3119" t="s">
        <v>11556</v>
      </c>
      <c r="D3119" t="s">
        <v>901</v>
      </c>
      <c r="E3119" t="s">
        <v>11555</v>
      </c>
      <c r="F3119" t="s">
        <v>28</v>
      </c>
      <c r="G3119" t="s">
        <v>11555</v>
      </c>
      <c r="H3119" t="str">
        <f>"nhr-46"</f>
        <v>nhr-46</v>
      </c>
      <c r="I3119" t="s">
        <v>901</v>
      </c>
      <c r="J3119" t="s">
        <v>29</v>
      </c>
      <c r="K3119" t="s">
        <v>29</v>
      </c>
      <c r="L3119" t="s">
        <v>29</v>
      </c>
      <c r="M3119" t="s">
        <v>29</v>
      </c>
      <c r="N3119" t="s">
        <v>29</v>
      </c>
      <c r="O3119">
        <v>11.803008870339999</v>
      </c>
      <c r="P3119" t="s">
        <v>29</v>
      </c>
      <c r="Q3119" t="s">
        <v>29</v>
      </c>
      <c r="R3119" t="s">
        <v>29</v>
      </c>
      <c r="S3119">
        <v>12.2765710043954</v>
      </c>
      <c r="T3119" t="s">
        <v>29</v>
      </c>
      <c r="U3119" t="s">
        <v>29</v>
      </c>
      <c r="V3119" t="s">
        <v>29</v>
      </c>
      <c r="W3119" t="s">
        <v>29</v>
      </c>
      <c r="X3119" t="s">
        <v>29</v>
      </c>
      <c r="Y3119" t="s">
        <v>29</v>
      </c>
    </row>
    <row r="3120" spans="1:25" x14ac:dyDescent="0.2">
      <c r="A3120" t="s">
        <v>11557</v>
      </c>
      <c r="B3120" t="s">
        <v>11558</v>
      </c>
      <c r="C3120" t="s">
        <v>11559</v>
      </c>
      <c r="D3120" t="s">
        <v>93</v>
      </c>
      <c r="E3120" t="s">
        <v>11558</v>
      </c>
      <c r="F3120" t="s">
        <v>28</v>
      </c>
      <c r="G3120" t="s">
        <v>11558</v>
      </c>
      <c r="H3120" t="str">
        <f>"hrpl-1"</f>
        <v>hrpl-1</v>
      </c>
      <c r="I3120" t="s">
        <v>93</v>
      </c>
      <c r="J3120">
        <v>15.565035352758599</v>
      </c>
      <c r="K3120">
        <v>16.040902100544798</v>
      </c>
      <c r="L3120">
        <v>15.8970411078396</v>
      </c>
      <c r="M3120">
        <v>15.739317972161601</v>
      </c>
      <c r="N3120">
        <v>15.542703858557299</v>
      </c>
      <c r="O3120">
        <v>15.939463617289301</v>
      </c>
      <c r="P3120">
        <v>-9.3831037711558096E-2</v>
      </c>
      <c r="Q3120">
        <v>-0.534590727950087</v>
      </c>
      <c r="R3120">
        <v>0.34692865252697103</v>
      </c>
      <c r="S3120">
        <v>16.308843073867301</v>
      </c>
      <c r="T3120">
        <v>-0.447442428378655</v>
      </c>
      <c r="U3120">
        <v>-6.9477532554857797</v>
      </c>
      <c r="V3120">
        <v>0.65992455522257498</v>
      </c>
      <c r="W3120">
        <v>0.84643062778646405</v>
      </c>
      <c r="X3120">
        <v>0</v>
      </c>
      <c r="Y3120">
        <v>0</v>
      </c>
    </row>
    <row r="3121" spans="1:25" x14ac:dyDescent="0.2">
      <c r="A3121" t="s">
        <v>11560</v>
      </c>
      <c r="B3121" t="s">
        <v>11561</v>
      </c>
      <c r="C3121" t="s">
        <v>11562</v>
      </c>
      <c r="D3121" t="s">
        <v>9491</v>
      </c>
      <c r="E3121" t="s">
        <v>11561</v>
      </c>
      <c r="F3121" t="s">
        <v>28</v>
      </c>
      <c r="G3121" t="s">
        <v>11561</v>
      </c>
      <c r="H3121" t="str">
        <f>"C39D10.8"</f>
        <v>C39D10.8</v>
      </c>
      <c r="I3121" t="s">
        <v>9491</v>
      </c>
      <c r="J3121">
        <v>11.3611765995254</v>
      </c>
      <c r="K3121">
        <v>10.9252943085566</v>
      </c>
      <c r="L3121">
        <v>11.3700435765974</v>
      </c>
      <c r="M3121">
        <v>16.104261194675999</v>
      </c>
      <c r="N3121">
        <v>15.8557252334222</v>
      </c>
      <c r="O3121">
        <v>15.651284083445701</v>
      </c>
      <c r="P3121">
        <v>4.6515853422881603</v>
      </c>
      <c r="Q3121">
        <v>4.1044455118728802</v>
      </c>
      <c r="R3121">
        <v>5.1987251727034298</v>
      </c>
      <c r="S3121">
        <v>14.524357470213101</v>
      </c>
      <c r="T3121">
        <v>17.8687912389689</v>
      </c>
      <c r="U3121">
        <v>19.5237406344385</v>
      </c>
      <c r="V3121" s="2">
        <v>7.4264221474791301E-13</v>
      </c>
      <c r="W3121" s="2">
        <v>1.1994443665292401E-9</v>
      </c>
      <c r="X3121">
        <v>1</v>
      </c>
      <c r="Y3121">
        <v>1</v>
      </c>
    </row>
    <row r="3122" spans="1:25" x14ac:dyDescent="0.2">
      <c r="A3122" t="s">
        <v>11563</v>
      </c>
      <c r="B3122" t="s">
        <v>11564</v>
      </c>
      <c r="C3122" t="s">
        <v>11565</v>
      </c>
      <c r="D3122" t="s">
        <v>11566</v>
      </c>
      <c r="E3122" t="s">
        <v>11564</v>
      </c>
      <c r="F3122" t="s">
        <v>28</v>
      </c>
      <c r="G3122" t="s">
        <v>11564</v>
      </c>
      <c r="H3122" t="str">
        <f>"C34E10.10"</f>
        <v>C34E10.10</v>
      </c>
      <c r="I3122" t="s">
        <v>11566</v>
      </c>
      <c r="J3122">
        <v>13.743401349905101</v>
      </c>
      <c r="K3122">
        <v>13.9271642430923</v>
      </c>
      <c r="L3122">
        <v>14.132072693573701</v>
      </c>
      <c r="M3122">
        <v>13.2618184778492</v>
      </c>
      <c r="N3122">
        <v>14.1190735826401</v>
      </c>
      <c r="O3122">
        <v>13.609249577386301</v>
      </c>
      <c r="P3122">
        <v>-0.27083221623184001</v>
      </c>
      <c r="Q3122">
        <v>-0.71054846999940102</v>
      </c>
      <c r="R3122">
        <v>0.16888403753572101</v>
      </c>
      <c r="S3122">
        <v>14.1019399190179</v>
      </c>
      <c r="T3122">
        <v>-1.30010317078246</v>
      </c>
      <c r="U3122">
        <v>-6.2054999847275498</v>
      </c>
      <c r="V3122">
        <v>0.211023285760365</v>
      </c>
      <c r="W3122">
        <v>0.47657090114158301</v>
      </c>
      <c r="X3122">
        <v>0</v>
      </c>
      <c r="Y3122">
        <v>0</v>
      </c>
    </row>
    <row r="3123" spans="1:25" x14ac:dyDescent="0.2">
      <c r="A3123" t="s">
        <v>11567</v>
      </c>
      <c r="B3123" t="s">
        <v>11568</v>
      </c>
      <c r="C3123" t="s">
        <v>11569</v>
      </c>
      <c r="D3123" t="s">
        <v>11570</v>
      </c>
      <c r="E3123" t="s">
        <v>11568</v>
      </c>
      <c r="F3123" t="s">
        <v>28</v>
      </c>
      <c r="G3123" t="s">
        <v>11568</v>
      </c>
      <c r="H3123" t="str">
        <f>"C27F2.10"</f>
        <v>C27F2.10</v>
      </c>
      <c r="I3123" t="s">
        <v>11570</v>
      </c>
      <c r="J3123">
        <v>12.6440704052836</v>
      </c>
      <c r="K3123">
        <v>12.6619175316699</v>
      </c>
      <c r="L3123">
        <v>12.5127254589807</v>
      </c>
      <c r="M3123">
        <v>12.560631573564001</v>
      </c>
      <c r="N3123">
        <v>12.7709993878821</v>
      </c>
      <c r="O3123">
        <v>11.9828766574376</v>
      </c>
      <c r="P3123">
        <v>-0.16806859235013899</v>
      </c>
      <c r="Q3123">
        <v>-0.74279948027784504</v>
      </c>
      <c r="R3123">
        <v>0.406662295577568</v>
      </c>
      <c r="S3123">
        <v>12.1673826971984</v>
      </c>
      <c r="T3123">
        <v>-0.62025682868607301</v>
      </c>
      <c r="U3123">
        <v>-6.8515618265637901</v>
      </c>
      <c r="V3123">
        <v>0.54387969806241099</v>
      </c>
      <c r="W3123">
        <v>0.77720077592245496</v>
      </c>
      <c r="X3123">
        <v>0</v>
      </c>
      <c r="Y3123">
        <v>0</v>
      </c>
    </row>
    <row r="3124" spans="1:25" x14ac:dyDescent="0.2">
      <c r="A3124" t="s">
        <v>11571</v>
      </c>
      <c r="B3124" t="s">
        <v>11572</v>
      </c>
      <c r="C3124" t="s">
        <v>11573</v>
      </c>
      <c r="D3124" t="s">
        <v>11574</v>
      </c>
      <c r="E3124" t="s">
        <v>11572</v>
      </c>
      <c r="F3124" t="s">
        <v>28</v>
      </c>
      <c r="G3124" t="s">
        <v>11572</v>
      </c>
      <c r="H3124" t="str">
        <f>"tiar-1"</f>
        <v>tiar-1</v>
      </c>
      <c r="I3124" t="s">
        <v>11574</v>
      </c>
      <c r="J3124">
        <v>13.6782571981123</v>
      </c>
      <c r="K3124">
        <v>13.681417307426599</v>
      </c>
      <c r="L3124">
        <v>13.8608533673727</v>
      </c>
      <c r="M3124">
        <v>14.4840578426353</v>
      </c>
      <c r="N3124">
        <v>14.3796729430246</v>
      </c>
      <c r="O3124">
        <v>14.218180536945001</v>
      </c>
      <c r="P3124">
        <v>0.62046114989777501</v>
      </c>
      <c r="Q3124">
        <v>0.12649466739055801</v>
      </c>
      <c r="R3124">
        <v>1.11442763240499</v>
      </c>
      <c r="S3124">
        <v>14.4783167293002</v>
      </c>
      <c r="T3124">
        <v>2.6400346389947602</v>
      </c>
      <c r="U3124">
        <v>-3.9714916201883401</v>
      </c>
      <c r="V3124">
        <v>1.6690664816345301E-2</v>
      </c>
      <c r="W3124">
        <v>0.12126363911433</v>
      </c>
      <c r="X3124">
        <v>0</v>
      </c>
      <c r="Y3124">
        <v>0</v>
      </c>
    </row>
    <row r="3125" spans="1:25" x14ac:dyDescent="0.2">
      <c r="A3125" t="s">
        <v>11575</v>
      </c>
      <c r="B3125" t="s">
        <v>11576</v>
      </c>
      <c r="C3125" t="s">
        <v>11577</v>
      </c>
      <c r="D3125" t="s">
        <v>11578</v>
      </c>
      <c r="E3125" t="s">
        <v>11576</v>
      </c>
      <c r="F3125" t="s">
        <v>28</v>
      </c>
      <c r="G3125" t="s">
        <v>11576</v>
      </c>
      <c r="H3125" t="str">
        <f>"eif-3.L"</f>
        <v>eif-3.L</v>
      </c>
      <c r="I3125" t="s">
        <v>11578</v>
      </c>
      <c r="J3125">
        <v>15.1941219739685</v>
      </c>
      <c r="K3125">
        <v>15.052027776212499</v>
      </c>
      <c r="L3125">
        <v>15.2882195078928</v>
      </c>
      <c r="M3125">
        <v>14.7777856697061</v>
      </c>
      <c r="N3125">
        <v>14.84389124688</v>
      </c>
      <c r="O3125">
        <v>14.7891258148637</v>
      </c>
      <c r="P3125">
        <v>-0.37452217554136502</v>
      </c>
      <c r="Q3125">
        <v>-0.74890793116551602</v>
      </c>
      <c r="R3125">
        <v>-1.3641991721441399E-4</v>
      </c>
      <c r="S3125">
        <v>15.121896823606599</v>
      </c>
      <c r="T3125">
        <v>-2.10257130950614</v>
      </c>
      <c r="U3125">
        <v>-4.9834486047183404</v>
      </c>
      <c r="V3125">
        <v>4.9925098885646398E-2</v>
      </c>
      <c r="W3125">
        <v>0.22163202151963601</v>
      </c>
      <c r="X3125">
        <v>0</v>
      </c>
      <c r="Y3125">
        <v>0</v>
      </c>
    </row>
    <row r="3126" spans="1:25" x14ac:dyDescent="0.2">
      <c r="A3126" t="s">
        <v>11579</v>
      </c>
      <c r="B3126" t="s">
        <v>11580</v>
      </c>
      <c r="C3126" t="s">
        <v>11581</v>
      </c>
      <c r="D3126" t="s">
        <v>11582</v>
      </c>
      <c r="E3126" t="s">
        <v>11580</v>
      </c>
      <c r="F3126" t="s">
        <v>28</v>
      </c>
      <c r="G3126" t="s">
        <v>11580</v>
      </c>
      <c r="H3126" t="str">
        <f>"cdf-1"</f>
        <v>cdf-1</v>
      </c>
      <c r="I3126" t="s">
        <v>11582</v>
      </c>
      <c r="J3126">
        <v>12.754042667041199</v>
      </c>
      <c r="K3126">
        <v>12.723506418883201</v>
      </c>
      <c r="L3126">
        <v>13.0121626714916</v>
      </c>
      <c r="M3126">
        <v>13.077722319071</v>
      </c>
      <c r="N3126">
        <v>12.7673304025707</v>
      </c>
      <c r="O3126">
        <v>12.4045051848612</v>
      </c>
      <c r="P3126">
        <v>-8.0051283637692094E-2</v>
      </c>
      <c r="Q3126">
        <v>-1.1007448563578599</v>
      </c>
      <c r="R3126">
        <v>0.94064228908248004</v>
      </c>
      <c r="S3126">
        <v>12.553098749685001</v>
      </c>
      <c r="T3126">
        <v>-0.16634986397486801</v>
      </c>
      <c r="U3126">
        <v>-7.0375006209861297</v>
      </c>
      <c r="V3126">
        <v>0.86997926304800599</v>
      </c>
      <c r="W3126">
        <v>0.95060863732646494</v>
      </c>
      <c r="X3126">
        <v>0</v>
      </c>
      <c r="Y3126">
        <v>0</v>
      </c>
    </row>
    <row r="3127" spans="1:25" x14ac:dyDescent="0.2">
      <c r="A3127" t="s">
        <v>11583</v>
      </c>
      <c r="B3127" t="s">
        <v>11584</v>
      </c>
      <c r="C3127" t="s">
        <v>11585</v>
      </c>
      <c r="D3127" t="s">
        <v>11586</v>
      </c>
      <c r="E3127" t="s">
        <v>11584</v>
      </c>
      <c r="F3127" t="s">
        <v>28</v>
      </c>
      <c r="G3127" t="s">
        <v>11584</v>
      </c>
      <c r="H3127" t="str">
        <f>"C07A12.7"</f>
        <v>C07A12.7</v>
      </c>
      <c r="I3127" t="s">
        <v>11586</v>
      </c>
      <c r="J3127" t="s">
        <v>29</v>
      </c>
      <c r="K3127" t="s">
        <v>29</v>
      </c>
      <c r="L3127" t="s">
        <v>29</v>
      </c>
      <c r="M3127">
        <v>14.3781055097124</v>
      </c>
      <c r="N3127">
        <v>14.258062838974199</v>
      </c>
      <c r="O3127">
        <v>13.603288928191301</v>
      </c>
      <c r="P3127" t="s">
        <v>29</v>
      </c>
      <c r="Q3127" t="s">
        <v>29</v>
      </c>
      <c r="R3127" t="s">
        <v>29</v>
      </c>
      <c r="S3127">
        <v>12.1283549782697</v>
      </c>
      <c r="T3127" t="s">
        <v>29</v>
      </c>
      <c r="U3127" t="s">
        <v>29</v>
      </c>
      <c r="V3127" t="s">
        <v>29</v>
      </c>
      <c r="W3127" t="s">
        <v>29</v>
      </c>
      <c r="X3127" t="s">
        <v>29</v>
      </c>
      <c r="Y3127" t="s">
        <v>29</v>
      </c>
    </row>
    <row r="3128" spans="1:25" x14ac:dyDescent="0.2">
      <c r="A3128" t="s">
        <v>11587</v>
      </c>
      <c r="B3128" t="s">
        <v>11588</v>
      </c>
      <c r="C3128" t="s">
        <v>11589</v>
      </c>
      <c r="D3128" t="s">
        <v>11590</v>
      </c>
      <c r="E3128" t="s">
        <v>11588</v>
      </c>
      <c r="F3128" t="s">
        <v>28</v>
      </c>
      <c r="G3128" t="s">
        <v>11588</v>
      </c>
      <c r="H3128" t="str">
        <f>"C02F5.12"</f>
        <v>C02F5.12</v>
      </c>
      <c r="I3128" t="s">
        <v>11590</v>
      </c>
      <c r="J3128" t="s">
        <v>29</v>
      </c>
      <c r="K3128" t="s">
        <v>29</v>
      </c>
      <c r="L3128" t="s">
        <v>29</v>
      </c>
      <c r="M3128" t="s">
        <v>29</v>
      </c>
      <c r="N3128">
        <v>10.9260038287821</v>
      </c>
      <c r="O3128" t="s">
        <v>29</v>
      </c>
      <c r="P3128" t="s">
        <v>29</v>
      </c>
      <c r="Q3128" t="s">
        <v>29</v>
      </c>
      <c r="R3128" t="s">
        <v>29</v>
      </c>
      <c r="S3128">
        <v>11.1588857190358</v>
      </c>
      <c r="T3128" t="s">
        <v>29</v>
      </c>
      <c r="U3128" t="s">
        <v>29</v>
      </c>
      <c r="V3128" t="s">
        <v>29</v>
      </c>
      <c r="W3128" t="s">
        <v>29</v>
      </c>
      <c r="X3128" t="s">
        <v>29</v>
      </c>
      <c r="Y3128" t="s">
        <v>29</v>
      </c>
    </row>
    <row r="3129" spans="1:25" x14ac:dyDescent="0.2">
      <c r="A3129" t="s">
        <v>11591</v>
      </c>
      <c r="B3129" t="s">
        <v>11592</v>
      </c>
      <c r="C3129" t="s">
        <v>14617</v>
      </c>
      <c r="D3129" t="s">
        <v>11593</v>
      </c>
      <c r="E3129" t="s">
        <v>11592</v>
      </c>
      <c r="F3129" t="s">
        <v>28</v>
      </c>
      <c r="G3129" t="s">
        <v>11592</v>
      </c>
      <c r="H3129" t="str">
        <f>"F28B3.10"</f>
        <v>F28B3.10</v>
      </c>
      <c r="I3129" t="s">
        <v>11593</v>
      </c>
      <c r="J3129">
        <v>15.263352926979</v>
      </c>
      <c r="K3129">
        <v>15.005565476125</v>
      </c>
      <c r="L3129">
        <v>14.6098132092818</v>
      </c>
      <c r="M3129">
        <v>14.9248219587093</v>
      </c>
      <c r="N3129">
        <v>15.1970505577212</v>
      </c>
      <c r="O3129">
        <v>14.7036858137295</v>
      </c>
      <c r="P3129">
        <v>-1.7724427408593299E-2</v>
      </c>
      <c r="Q3129">
        <v>-0.55785124364657501</v>
      </c>
      <c r="R3129">
        <v>0.52240238882938805</v>
      </c>
      <c r="S3129">
        <v>14.634857508639101</v>
      </c>
      <c r="T3129">
        <v>-6.8971391434529905E-2</v>
      </c>
      <c r="U3129">
        <v>-7.0495937773786999</v>
      </c>
      <c r="V3129">
        <v>0.94577725004736601</v>
      </c>
      <c r="W3129">
        <v>0.97576384643441005</v>
      </c>
      <c r="X3129">
        <v>0</v>
      </c>
      <c r="Y3129">
        <v>0</v>
      </c>
    </row>
    <row r="3130" spans="1:25" x14ac:dyDescent="0.2">
      <c r="A3130" t="s">
        <v>11594</v>
      </c>
      <c r="B3130" t="s">
        <v>11595</v>
      </c>
      <c r="C3130" t="s">
        <v>11596</v>
      </c>
      <c r="D3130" t="s">
        <v>312</v>
      </c>
      <c r="E3130" t="s">
        <v>11595</v>
      </c>
      <c r="F3130" t="s">
        <v>28</v>
      </c>
      <c r="G3130" t="s">
        <v>11595</v>
      </c>
      <c r="H3130" t="str">
        <f>"acl-11"</f>
        <v>acl-11</v>
      </c>
      <c r="I3130" t="s">
        <v>312</v>
      </c>
      <c r="J3130">
        <v>14.048306000345701</v>
      </c>
      <c r="K3130">
        <v>14.358197581022001</v>
      </c>
      <c r="L3130">
        <v>13.767006360111401</v>
      </c>
      <c r="M3130">
        <v>14.3121726503975</v>
      </c>
      <c r="N3130">
        <v>13.987641304607701</v>
      </c>
      <c r="O3130">
        <v>13.8577976122493</v>
      </c>
      <c r="P3130">
        <v>-5.2994580748606497E-3</v>
      </c>
      <c r="Q3130">
        <v>-0.45782967257913698</v>
      </c>
      <c r="R3130">
        <v>0.44723075642941601</v>
      </c>
      <c r="S3130">
        <v>14.0766469816919</v>
      </c>
      <c r="T3130">
        <v>-2.4719170462699398E-2</v>
      </c>
      <c r="U3130">
        <v>-7.05176522261893</v>
      </c>
      <c r="V3130">
        <v>0.98056858192196295</v>
      </c>
      <c r="W3130">
        <v>0.98941631112515704</v>
      </c>
      <c r="X3130">
        <v>0</v>
      </c>
      <c r="Y3130">
        <v>0</v>
      </c>
    </row>
    <row r="3131" spans="1:25" x14ac:dyDescent="0.2">
      <c r="A3131" t="s">
        <v>11597</v>
      </c>
      <c r="B3131" t="s">
        <v>11598</v>
      </c>
      <c r="C3131" t="s">
        <v>14618</v>
      </c>
      <c r="D3131" t="s">
        <v>11599</v>
      </c>
      <c r="E3131" t="s">
        <v>11598</v>
      </c>
      <c r="F3131" t="s">
        <v>28</v>
      </c>
      <c r="G3131" t="s">
        <v>11598</v>
      </c>
      <c r="H3131" t="str">
        <f>"Y38A10A.7"</f>
        <v>Y38A10A.7</v>
      </c>
      <c r="I3131" t="s">
        <v>11599</v>
      </c>
      <c r="J3131">
        <v>12.021344676400901</v>
      </c>
      <c r="K3131">
        <v>10.650381969712001</v>
      </c>
      <c r="L3131">
        <v>12.3412967558296</v>
      </c>
      <c r="M3131">
        <v>12.2248855551163</v>
      </c>
      <c r="N3131">
        <v>11.645907556777299</v>
      </c>
      <c r="O3131">
        <v>10.643577492714099</v>
      </c>
      <c r="P3131">
        <v>-0.166217599111565</v>
      </c>
      <c r="Q3131">
        <v>-1.03278634932783</v>
      </c>
      <c r="R3131">
        <v>0.70035115110470403</v>
      </c>
      <c r="S3131">
        <v>11.9881529563804</v>
      </c>
      <c r="T3131">
        <v>-0.40908691378024298</v>
      </c>
      <c r="U3131">
        <v>-6.9639462938440104</v>
      </c>
      <c r="V3131">
        <v>0.688297579098478</v>
      </c>
      <c r="W3131">
        <v>0.86071781854856699</v>
      </c>
      <c r="X3131">
        <v>0</v>
      </c>
      <c r="Y3131">
        <v>0</v>
      </c>
    </row>
    <row r="3132" spans="1:25" x14ac:dyDescent="0.2">
      <c r="A3132" t="s">
        <v>11600</v>
      </c>
      <c r="B3132" t="s">
        <v>11601</v>
      </c>
      <c r="C3132" t="s">
        <v>14619</v>
      </c>
      <c r="D3132" t="s">
        <v>11602</v>
      </c>
      <c r="E3132" t="s">
        <v>11601</v>
      </c>
      <c r="F3132" t="s">
        <v>28</v>
      </c>
      <c r="G3132" t="s">
        <v>11601</v>
      </c>
      <c r="H3132" t="str">
        <f>"Y71H10B.1"</f>
        <v>Y71H10B.1</v>
      </c>
      <c r="I3132" t="s">
        <v>11602</v>
      </c>
      <c r="J3132">
        <v>17.349191872239299</v>
      </c>
      <c r="K3132">
        <v>17.175339526622199</v>
      </c>
      <c r="L3132">
        <v>17.113776499004199</v>
      </c>
      <c r="M3132">
        <v>17.197632395285599</v>
      </c>
      <c r="N3132">
        <v>17.166152720107998</v>
      </c>
      <c r="O3132">
        <v>16.8475989446634</v>
      </c>
      <c r="P3132">
        <v>-0.14230794593620999</v>
      </c>
      <c r="Q3132">
        <v>-0.466365452185795</v>
      </c>
      <c r="R3132">
        <v>0.181749560313375</v>
      </c>
      <c r="S3132">
        <v>16.7997526928933</v>
      </c>
      <c r="T3132">
        <v>-0.92299548724904001</v>
      </c>
      <c r="U3132">
        <v>-6.6160028968065703</v>
      </c>
      <c r="V3132">
        <v>0.36828786991043699</v>
      </c>
      <c r="W3132">
        <v>0.64395955329853005</v>
      </c>
      <c r="X3132">
        <v>0</v>
      </c>
      <c r="Y3132">
        <v>0</v>
      </c>
    </row>
    <row r="3133" spans="1:25" x14ac:dyDescent="0.2">
      <c r="A3133" t="s">
        <v>11603</v>
      </c>
      <c r="B3133" t="s">
        <v>11604</v>
      </c>
      <c r="C3133" t="s">
        <v>11605</v>
      </c>
      <c r="D3133" t="s">
        <v>11606</v>
      </c>
      <c r="E3133" t="s">
        <v>11604</v>
      </c>
      <c r="F3133" t="s">
        <v>28</v>
      </c>
      <c r="G3133" t="s">
        <v>11604</v>
      </c>
      <c r="H3133" t="str">
        <f>"mrpl-9"</f>
        <v>mrpl-9</v>
      </c>
      <c r="I3133" t="s">
        <v>11606</v>
      </c>
      <c r="J3133" t="s">
        <v>29</v>
      </c>
      <c r="K3133" t="s">
        <v>29</v>
      </c>
      <c r="L3133" t="s">
        <v>29</v>
      </c>
      <c r="M3133" t="s">
        <v>29</v>
      </c>
      <c r="N3133" t="s">
        <v>29</v>
      </c>
      <c r="O3133" t="s">
        <v>29</v>
      </c>
      <c r="P3133" t="s">
        <v>29</v>
      </c>
      <c r="Q3133" t="s">
        <v>29</v>
      </c>
      <c r="R3133" t="s">
        <v>29</v>
      </c>
      <c r="S3133">
        <v>13.0070781775763</v>
      </c>
      <c r="T3133" t="s">
        <v>29</v>
      </c>
      <c r="U3133" t="s">
        <v>29</v>
      </c>
      <c r="V3133" t="s">
        <v>29</v>
      </c>
      <c r="W3133" t="s">
        <v>29</v>
      </c>
      <c r="X3133" t="s">
        <v>29</v>
      </c>
      <c r="Y3133" t="s">
        <v>29</v>
      </c>
    </row>
    <row r="3134" spans="1:25" x14ac:dyDescent="0.2">
      <c r="A3134" t="s">
        <v>11607</v>
      </c>
      <c r="B3134" t="s">
        <v>11608</v>
      </c>
      <c r="C3134" t="s">
        <v>11609</v>
      </c>
      <c r="D3134" t="s">
        <v>11610</v>
      </c>
      <c r="E3134" t="s">
        <v>11608</v>
      </c>
      <c r="F3134" t="s">
        <v>28</v>
      </c>
      <c r="G3134" t="s">
        <v>11608</v>
      </c>
      <c r="H3134" t="str">
        <f>"gpaa-1"</f>
        <v>gpaa-1</v>
      </c>
      <c r="I3134" t="s">
        <v>11610</v>
      </c>
      <c r="J3134">
        <v>12.256937772111201</v>
      </c>
      <c r="K3134">
        <v>12.156846170125201</v>
      </c>
      <c r="L3134">
        <v>12.656663130681601</v>
      </c>
      <c r="M3134">
        <v>11.981280593839999</v>
      </c>
      <c r="N3134">
        <v>12.466959131714599</v>
      </c>
      <c r="O3134">
        <v>11.978839704560301</v>
      </c>
      <c r="P3134">
        <v>-0.21445588093437201</v>
      </c>
      <c r="Q3134">
        <v>-0.68551009131724605</v>
      </c>
      <c r="R3134">
        <v>0.25659832944850303</v>
      </c>
      <c r="S3134">
        <v>12.3505146606695</v>
      </c>
      <c r="T3134">
        <v>-0.96098605011867799</v>
      </c>
      <c r="U3134">
        <v>-6.5794985739158998</v>
      </c>
      <c r="V3134">
        <v>0.35011186983561898</v>
      </c>
      <c r="W3134">
        <v>0.63089945029888495</v>
      </c>
      <c r="X3134">
        <v>0</v>
      </c>
      <c r="Y3134">
        <v>0</v>
      </c>
    </row>
    <row r="3135" spans="1:25" x14ac:dyDescent="0.2">
      <c r="A3135" t="s">
        <v>11611</v>
      </c>
      <c r="B3135" t="s">
        <v>11612</v>
      </c>
      <c r="C3135" t="s">
        <v>11613</v>
      </c>
      <c r="D3135" t="s">
        <v>11614</v>
      </c>
      <c r="E3135" t="s">
        <v>11612</v>
      </c>
      <c r="F3135" t="s">
        <v>28</v>
      </c>
      <c r="G3135" t="s">
        <v>11612</v>
      </c>
      <c r="H3135" t="str">
        <f>"rpoa-49"</f>
        <v>rpoa-49</v>
      </c>
      <c r="I3135" t="s">
        <v>11614</v>
      </c>
      <c r="J3135">
        <v>11.626999606866301</v>
      </c>
      <c r="K3135" t="s">
        <v>29</v>
      </c>
      <c r="L3135">
        <v>11.110751549426601</v>
      </c>
      <c r="M3135" t="s">
        <v>29</v>
      </c>
      <c r="N3135">
        <v>10.962449200545599</v>
      </c>
      <c r="O3135">
        <v>11.558387044019501</v>
      </c>
      <c r="P3135">
        <v>-0.10845745586383899</v>
      </c>
      <c r="Q3135">
        <v>-1.3224637289680501</v>
      </c>
      <c r="R3135">
        <v>1.10554881724037</v>
      </c>
      <c r="S3135">
        <v>11.3584876310174</v>
      </c>
      <c r="T3135">
        <v>-0.19174779333134201</v>
      </c>
      <c r="U3135">
        <v>-6.8317220778378598</v>
      </c>
      <c r="V3135">
        <v>0.85071360953690001</v>
      </c>
      <c r="W3135">
        <v>0.94093204807378505</v>
      </c>
      <c r="X3135">
        <v>0</v>
      </c>
      <c r="Y3135">
        <v>0</v>
      </c>
    </row>
    <row r="3136" spans="1:25" x14ac:dyDescent="0.2">
      <c r="A3136" t="s">
        <v>11615</v>
      </c>
      <c r="B3136" t="s">
        <v>11616</v>
      </c>
      <c r="C3136" t="s">
        <v>14620</v>
      </c>
      <c r="D3136" t="s">
        <v>7755</v>
      </c>
      <c r="E3136" t="s">
        <v>11616</v>
      </c>
      <c r="F3136" t="s">
        <v>28</v>
      </c>
      <c r="G3136" t="s">
        <v>11616</v>
      </c>
      <c r="H3136" t="str">
        <f>"Y73B6BL.31"</f>
        <v>Y73B6BL.31</v>
      </c>
      <c r="I3136" t="s">
        <v>7755</v>
      </c>
      <c r="J3136">
        <v>12.862150402791301</v>
      </c>
      <c r="K3136">
        <v>13.114198775000901</v>
      </c>
      <c r="L3136">
        <v>13.2514875336767</v>
      </c>
      <c r="M3136">
        <v>13.2588808627142</v>
      </c>
      <c r="N3136">
        <v>12.8153370406796</v>
      </c>
      <c r="O3136">
        <v>12.732344829330399</v>
      </c>
      <c r="P3136">
        <v>-0.14042465958155501</v>
      </c>
      <c r="Q3136">
        <v>-0.69543479678447495</v>
      </c>
      <c r="R3136">
        <v>0.414585477621365</v>
      </c>
      <c r="S3136">
        <v>13.0286313055785</v>
      </c>
      <c r="T3136">
        <v>-0.53961507022785604</v>
      </c>
      <c r="U3136">
        <v>-6.8993596952534899</v>
      </c>
      <c r="V3136">
        <v>0.59743767228776501</v>
      </c>
      <c r="W3136">
        <v>0.80733479469451397</v>
      </c>
      <c r="X3136">
        <v>0</v>
      </c>
      <c r="Y3136">
        <v>0</v>
      </c>
    </row>
    <row r="3137" spans="1:25" x14ac:dyDescent="0.2">
      <c r="A3137" t="s">
        <v>11617</v>
      </c>
      <c r="B3137" t="s">
        <v>11618</v>
      </c>
      <c r="C3137" t="s">
        <v>11619</v>
      </c>
      <c r="D3137" t="s">
        <v>11620</v>
      </c>
      <c r="E3137" t="s">
        <v>11618</v>
      </c>
      <c r="F3137" t="s">
        <v>28</v>
      </c>
      <c r="G3137" t="s">
        <v>11618</v>
      </c>
      <c r="H3137" t="str">
        <f>"exos-2"</f>
        <v>exos-2</v>
      </c>
      <c r="I3137" t="s">
        <v>11620</v>
      </c>
      <c r="J3137">
        <v>12.6876119887845</v>
      </c>
      <c r="K3137">
        <v>12.2512921998983</v>
      </c>
      <c r="L3137">
        <v>13.1246754115732</v>
      </c>
      <c r="M3137">
        <v>12.8636618910463</v>
      </c>
      <c r="N3137">
        <v>12.4996539974464</v>
      </c>
      <c r="O3137">
        <v>12.7366496890095</v>
      </c>
      <c r="P3137">
        <v>1.21286590820748E-2</v>
      </c>
      <c r="Q3137">
        <v>-0.65201228679683898</v>
      </c>
      <c r="R3137">
        <v>0.67626960496098798</v>
      </c>
      <c r="S3137">
        <v>12.7915406248562</v>
      </c>
      <c r="T3137">
        <v>3.8734866395095102E-2</v>
      </c>
      <c r="U3137">
        <v>-7.0512949440419703</v>
      </c>
      <c r="V3137">
        <v>0.96958410918770699</v>
      </c>
      <c r="W3137">
        <v>0.98318064546487904</v>
      </c>
      <c r="X3137">
        <v>0</v>
      </c>
      <c r="Y3137">
        <v>0</v>
      </c>
    </row>
    <row r="3138" spans="1:25" x14ac:dyDescent="0.2">
      <c r="A3138" t="s">
        <v>11621</v>
      </c>
      <c r="B3138" t="s">
        <v>11622</v>
      </c>
      <c r="C3138" t="s">
        <v>14621</v>
      </c>
      <c r="D3138" t="s">
        <v>3939</v>
      </c>
      <c r="E3138" t="s">
        <v>11622</v>
      </c>
      <c r="F3138" t="s">
        <v>28</v>
      </c>
      <c r="G3138" t="s">
        <v>11622</v>
      </c>
      <c r="H3138" t="str">
        <f>"Y69A2AR.1"</f>
        <v>Y69A2AR.1</v>
      </c>
      <c r="I3138" t="s">
        <v>3939</v>
      </c>
      <c r="J3138">
        <v>11.7153440295791</v>
      </c>
      <c r="K3138">
        <v>12.289487077074799</v>
      </c>
      <c r="L3138" t="s">
        <v>29</v>
      </c>
      <c r="M3138">
        <v>11.546286634801399</v>
      </c>
      <c r="N3138" t="s">
        <v>29</v>
      </c>
      <c r="O3138" t="s">
        <v>29</v>
      </c>
      <c r="P3138">
        <v>-0.45612891852558202</v>
      </c>
      <c r="Q3138">
        <v>-1.44780545885756</v>
      </c>
      <c r="R3138">
        <v>0.53554762180639504</v>
      </c>
      <c r="S3138">
        <v>11.5400258765759</v>
      </c>
      <c r="T3138">
        <v>-1.01355019425971</v>
      </c>
      <c r="U3138">
        <v>-6.1244635635416396</v>
      </c>
      <c r="V3138">
        <v>0.33277734075792798</v>
      </c>
      <c r="W3138">
        <v>0.61122402832197698</v>
      </c>
      <c r="X3138">
        <v>0</v>
      </c>
      <c r="Y3138">
        <v>0</v>
      </c>
    </row>
    <row r="3139" spans="1:25" x14ac:dyDescent="0.2">
      <c r="A3139" t="s">
        <v>11623</v>
      </c>
      <c r="B3139" t="s">
        <v>11624</v>
      </c>
      <c r="C3139" t="s">
        <v>14622</v>
      </c>
      <c r="D3139" t="s">
        <v>11625</v>
      </c>
      <c r="E3139" t="s">
        <v>11624</v>
      </c>
      <c r="F3139" t="s">
        <v>28</v>
      </c>
      <c r="G3139" t="s">
        <v>11624</v>
      </c>
      <c r="H3139" t="str">
        <f>"Y69A2AR.16"</f>
        <v>Y69A2AR.16</v>
      </c>
      <c r="I3139" t="s">
        <v>11625</v>
      </c>
      <c r="J3139">
        <v>13.3819054904443</v>
      </c>
      <c r="K3139">
        <v>12.988009105552299</v>
      </c>
      <c r="L3139">
        <v>12.844341048125001</v>
      </c>
      <c r="M3139">
        <v>12.416897437935701</v>
      </c>
      <c r="N3139">
        <v>13.4772646665</v>
      </c>
      <c r="O3139">
        <v>12.9092020238226</v>
      </c>
      <c r="P3139">
        <v>-0.136963838621083</v>
      </c>
      <c r="Q3139">
        <v>-0.85421069794073401</v>
      </c>
      <c r="R3139">
        <v>0.58028302069856696</v>
      </c>
      <c r="S3139">
        <v>13.260780808459501</v>
      </c>
      <c r="T3139">
        <v>-0.40307631284925699</v>
      </c>
      <c r="U3139">
        <v>-6.9670858866631598</v>
      </c>
      <c r="V3139">
        <v>0.69194704081715697</v>
      </c>
      <c r="W3139">
        <v>0.86173712320696905</v>
      </c>
      <c r="X3139">
        <v>0</v>
      </c>
      <c r="Y3139">
        <v>0</v>
      </c>
    </row>
    <row r="3140" spans="1:25" x14ac:dyDescent="0.2">
      <c r="A3140" t="s">
        <v>11626</v>
      </c>
      <c r="B3140" t="s">
        <v>11627</v>
      </c>
      <c r="C3140" t="s">
        <v>14623</v>
      </c>
      <c r="D3140" t="s">
        <v>11628</v>
      </c>
      <c r="E3140" t="s">
        <v>11627</v>
      </c>
      <c r="F3140" t="s">
        <v>28</v>
      </c>
      <c r="G3140" t="s">
        <v>11627</v>
      </c>
      <c r="H3140" t="str">
        <f>"Y69A2AR.18"</f>
        <v>Y69A2AR.18</v>
      </c>
      <c r="I3140" t="s">
        <v>11628</v>
      </c>
      <c r="J3140">
        <v>18.016728198075899</v>
      </c>
      <c r="K3140">
        <v>17.684651946310101</v>
      </c>
      <c r="L3140">
        <v>17.6216696460469</v>
      </c>
      <c r="M3140">
        <v>17.3830925690208</v>
      </c>
      <c r="N3140">
        <v>17.387659262322899</v>
      </c>
      <c r="O3140">
        <v>17.331090283354101</v>
      </c>
      <c r="P3140">
        <v>-0.407069225244999</v>
      </c>
      <c r="Q3140">
        <v>-0.81811734604850594</v>
      </c>
      <c r="R3140">
        <v>3.97889555850728E-3</v>
      </c>
      <c r="S3140">
        <v>17.460849221613898</v>
      </c>
      <c r="T3140">
        <v>-2.0814602269237801</v>
      </c>
      <c r="U3140">
        <v>-5.02057566779611</v>
      </c>
      <c r="V3140">
        <v>5.2027529658677303E-2</v>
      </c>
      <c r="W3140">
        <v>0.226663694582009</v>
      </c>
      <c r="X3140">
        <v>0</v>
      </c>
      <c r="Y3140">
        <v>0</v>
      </c>
    </row>
    <row r="3141" spans="1:25" x14ac:dyDescent="0.2">
      <c r="A3141" t="s">
        <v>11629</v>
      </c>
      <c r="B3141" t="s">
        <v>11630</v>
      </c>
      <c r="C3141" t="s">
        <v>11631</v>
      </c>
      <c r="D3141" t="s">
        <v>11632</v>
      </c>
      <c r="E3141" t="s">
        <v>11630</v>
      </c>
      <c r="F3141" t="s">
        <v>28</v>
      </c>
      <c r="G3141" t="s">
        <v>11630</v>
      </c>
      <c r="H3141" t="str">
        <f>"ppm-1.d"</f>
        <v>ppm-1.d</v>
      </c>
      <c r="I3141" t="s">
        <v>11632</v>
      </c>
      <c r="J3141">
        <v>11.8305495211878</v>
      </c>
      <c r="K3141">
        <v>11.7979498575846</v>
      </c>
      <c r="L3141">
        <v>12.131110792932001</v>
      </c>
      <c r="M3141">
        <v>11.881295891076601</v>
      </c>
      <c r="N3141">
        <v>11.3785158875801</v>
      </c>
      <c r="O3141" t="s">
        <v>29</v>
      </c>
      <c r="P3141">
        <v>-0.28996416790644902</v>
      </c>
      <c r="Q3141">
        <v>-0.88232156709945697</v>
      </c>
      <c r="R3141">
        <v>0.30239323128655798</v>
      </c>
      <c r="S3141">
        <v>12.751621202867801</v>
      </c>
      <c r="T3141">
        <v>-1.0506363168405599</v>
      </c>
      <c r="U3141">
        <v>-6.3775372755160102</v>
      </c>
      <c r="V3141">
        <v>0.31135573833518598</v>
      </c>
      <c r="W3141">
        <v>0.58934236491770498</v>
      </c>
      <c r="X3141">
        <v>0</v>
      </c>
      <c r="Y3141">
        <v>0</v>
      </c>
    </row>
    <row r="3142" spans="1:25" x14ac:dyDescent="0.2">
      <c r="A3142" t="s">
        <v>11633</v>
      </c>
      <c r="B3142" t="s">
        <v>11634</v>
      </c>
      <c r="C3142" t="s">
        <v>14624</v>
      </c>
      <c r="D3142" t="s">
        <v>11635</v>
      </c>
      <c r="E3142" t="s">
        <v>11634</v>
      </c>
      <c r="F3142" t="s">
        <v>28</v>
      </c>
      <c r="G3142" t="s">
        <v>11634</v>
      </c>
      <c r="H3142" t="str">
        <f>"Y54F10BM.13"</f>
        <v>Y54F10BM.13</v>
      </c>
      <c r="I3142" t="s">
        <v>11635</v>
      </c>
      <c r="J3142" t="s">
        <v>29</v>
      </c>
      <c r="K3142" t="s">
        <v>29</v>
      </c>
      <c r="L3142" t="s">
        <v>29</v>
      </c>
      <c r="M3142" t="s">
        <v>29</v>
      </c>
      <c r="N3142" t="s">
        <v>29</v>
      </c>
      <c r="O3142" t="s">
        <v>29</v>
      </c>
      <c r="P3142" t="s">
        <v>29</v>
      </c>
      <c r="Q3142" t="s">
        <v>29</v>
      </c>
      <c r="R3142" t="s">
        <v>29</v>
      </c>
      <c r="S3142">
        <v>10.8844818170188</v>
      </c>
      <c r="T3142" t="s">
        <v>29</v>
      </c>
      <c r="U3142" t="s">
        <v>29</v>
      </c>
      <c r="V3142" t="s">
        <v>29</v>
      </c>
      <c r="W3142" t="s">
        <v>29</v>
      </c>
      <c r="X3142" t="s">
        <v>29</v>
      </c>
      <c r="Y3142" t="s">
        <v>29</v>
      </c>
    </row>
    <row r="3143" spans="1:25" x14ac:dyDescent="0.2">
      <c r="A3143" t="s">
        <v>11636</v>
      </c>
      <c r="B3143" t="s">
        <v>11637</v>
      </c>
      <c r="C3143" t="s">
        <v>11638</v>
      </c>
      <c r="D3143" t="s">
        <v>534</v>
      </c>
      <c r="E3143" t="s">
        <v>11637</v>
      </c>
      <c r="F3143" t="s">
        <v>28</v>
      </c>
      <c r="G3143" t="s">
        <v>11637</v>
      </c>
      <c r="H3143" t="str">
        <f>"chaf-2"</f>
        <v>chaf-2</v>
      </c>
      <c r="I3143" t="s">
        <v>534</v>
      </c>
      <c r="J3143" t="s">
        <v>29</v>
      </c>
      <c r="K3143" t="s">
        <v>29</v>
      </c>
      <c r="L3143">
        <v>10.1816479755333</v>
      </c>
      <c r="M3143" t="s">
        <v>29</v>
      </c>
      <c r="N3143" t="s">
        <v>29</v>
      </c>
      <c r="O3143" t="s">
        <v>29</v>
      </c>
      <c r="P3143" t="s">
        <v>29</v>
      </c>
      <c r="Q3143" t="s">
        <v>29</v>
      </c>
      <c r="R3143" t="s">
        <v>29</v>
      </c>
      <c r="S3143">
        <v>11.573151692926301</v>
      </c>
      <c r="T3143" t="s">
        <v>29</v>
      </c>
      <c r="U3143" t="s">
        <v>29</v>
      </c>
      <c r="V3143" t="s">
        <v>29</v>
      </c>
      <c r="W3143" t="s">
        <v>29</v>
      </c>
      <c r="X3143" t="s">
        <v>29</v>
      </c>
      <c r="Y3143" t="s">
        <v>29</v>
      </c>
    </row>
    <row r="3144" spans="1:25" x14ac:dyDescent="0.2">
      <c r="A3144" t="s">
        <v>11639</v>
      </c>
      <c r="B3144" t="s">
        <v>11640</v>
      </c>
      <c r="C3144" t="s">
        <v>11641</v>
      </c>
      <c r="D3144" t="s">
        <v>7359</v>
      </c>
      <c r="E3144" t="s">
        <v>11640</v>
      </c>
      <c r="F3144" t="s">
        <v>28</v>
      </c>
      <c r="G3144" t="s">
        <v>11640</v>
      </c>
      <c r="H3144" t="str">
        <f>"rml-5"</f>
        <v>rml-5</v>
      </c>
      <c r="I3144" t="s">
        <v>7359</v>
      </c>
      <c r="J3144">
        <v>12.6357064377515</v>
      </c>
      <c r="K3144">
        <v>12.7558111840529</v>
      </c>
      <c r="L3144">
        <v>12.8357485730583</v>
      </c>
      <c r="M3144">
        <v>14.163837533912</v>
      </c>
      <c r="N3144">
        <v>14.146894140711799</v>
      </c>
      <c r="O3144">
        <v>13.5913487696369</v>
      </c>
      <c r="P3144">
        <v>1.2249380831326799</v>
      </c>
      <c r="Q3144">
        <v>0.38251207813662502</v>
      </c>
      <c r="R3144">
        <v>2.0673640881287301</v>
      </c>
      <c r="S3144">
        <v>13.042746818931899</v>
      </c>
      <c r="T3144">
        <v>3.0692508546994901</v>
      </c>
      <c r="U3144">
        <v>-3.12371506077909</v>
      </c>
      <c r="V3144">
        <v>6.9855398780758601E-3</v>
      </c>
      <c r="W3144">
        <v>6.8466707118249495E-2</v>
      </c>
      <c r="X3144">
        <v>1</v>
      </c>
      <c r="Y3144">
        <v>0</v>
      </c>
    </row>
    <row r="3145" spans="1:25" x14ac:dyDescent="0.2">
      <c r="A3145" t="s">
        <v>11642</v>
      </c>
      <c r="B3145" t="s">
        <v>11643</v>
      </c>
      <c r="C3145" t="s">
        <v>14625</v>
      </c>
      <c r="D3145" t="s">
        <v>107</v>
      </c>
      <c r="E3145" t="s">
        <v>11643</v>
      </c>
      <c r="F3145" t="s">
        <v>28</v>
      </c>
      <c r="G3145" t="s">
        <v>11643</v>
      </c>
      <c r="H3145" t="str">
        <f>"Y71G12B.25"</f>
        <v>Y71G12B.25</v>
      </c>
      <c r="I3145" t="s">
        <v>107</v>
      </c>
      <c r="J3145">
        <v>14.930999999381401</v>
      </c>
      <c r="K3145">
        <v>14.6490034915688</v>
      </c>
      <c r="L3145">
        <v>15.5808908908866</v>
      </c>
      <c r="M3145">
        <v>14.780392574153</v>
      </c>
      <c r="N3145">
        <v>14.4795305866033</v>
      </c>
      <c r="O3145">
        <v>14.9209920773768</v>
      </c>
      <c r="P3145">
        <v>-0.32665971456785697</v>
      </c>
      <c r="Q3145">
        <v>-1.07930974673934</v>
      </c>
      <c r="R3145">
        <v>0.42599031760362599</v>
      </c>
      <c r="S3145">
        <v>15.380132501753501</v>
      </c>
      <c r="T3145">
        <v>-0.91612030049456905</v>
      </c>
      <c r="U3145">
        <v>-6.6215611135825103</v>
      </c>
      <c r="V3145">
        <v>0.37249568101045299</v>
      </c>
      <c r="W3145">
        <v>0.64818232406845699</v>
      </c>
      <c r="X3145">
        <v>0</v>
      </c>
      <c r="Y3145">
        <v>0</v>
      </c>
    </row>
    <row r="3146" spans="1:25" x14ac:dyDescent="0.2">
      <c r="A3146" t="s">
        <v>11644</v>
      </c>
      <c r="B3146" t="s">
        <v>11645</v>
      </c>
      <c r="C3146" t="s">
        <v>11646</v>
      </c>
      <c r="D3146" t="s">
        <v>2791</v>
      </c>
      <c r="E3146" t="s">
        <v>11645</v>
      </c>
      <c r="F3146" t="s">
        <v>28</v>
      </c>
      <c r="G3146" t="s">
        <v>11645</v>
      </c>
      <c r="H3146" t="str">
        <f>"ddx-27"</f>
        <v>ddx-27</v>
      </c>
      <c r="I3146" t="s">
        <v>2791</v>
      </c>
      <c r="J3146">
        <v>15.422141962016299</v>
      </c>
      <c r="K3146">
        <v>15.3839941587628</v>
      </c>
      <c r="L3146">
        <v>15.5501616331292</v>
      </c>
      <c r="M3146">
        <v>15.324330034106101</v>
      </c>
      <c r="N3146">
        <v>15.4291266195671</v>
      </c>
      <c r="O3146">
        <v>15.312576214502499</v>
      </c>
      <c r="P3146">
        <v>-9.6754961910862705E-2</v>
      </c>
      <c r="Q3146">
        <v>-0.680329841661104</v>
      </c>
      <c r="R3146">
        <v>0.486819917839378</v>
      </c>
      <c r="S3146">
        <v>15.6423558191629</v>
      </c>
      <c r="T3146">
        <v>-0.34847302890526199</v>
      </c>
      <c r="U3146">
        <v>-6.9886641064816004</v>
      </c>
      <c r="V3146">
        <v>0.73155105525193598</v>
      </c>
      <c r="W3146">
        <v>0.88460317123366805</v>
      </c>
      <c r="X3146">
        <v>0</v>
      </c>
      <c r="Y3146">
        <v>0</v>
      </c>
    </row>
    <row r="3147" spans="1:25" x14ac:dyDescent="0.2">
      <c r="A3147" t="s">
        <v>11647</v>
      </c>
      <c r="B3147" t="s">
        <v>11648</v>
      </c>
      <c r="C3147" t="s">
        <v>11649</v>
      </c>
      <c r="D3147" t="s">
        <v>11650</v>
      </c>
      <c r="E3147" t="s">
        <v>11648</v>
      </c>
      <c r="F3147" t="s">
        <v>28</v>
      </c>
      <c r="G3147" t="s">
        <v>11648</v>
      </c>
      <c r="H3147" t="str">
        <f>"lin-65"</f>
        <v>lin-65</v>
      </c>
      <c r="I3147" t="s">
        <v>11650</v>
      </c>
      <c r="J3147">
        <v>10.8266850978302</v>
      </c>
      <c r="K3147">
        <v>10.431421735351</v>
      </c>
      <c r="L3147">
        <v>10.637155435467699</v>
      </c>
      <c r="M3147" t="s">
        <v>29</v>
      </c>
      <c r="N3147">
        <v>9.9595099965400404</v>
      </c>
      <c r="O3147" t="s">
        <v>29</v>
      </c>
      <c r="P3147">
        <v>-0.67224409300961696</v>
      </c>
      <c r="Q3147">
        <v>-1.64402110094596</v>
      </c>
      <c r="R3147">
        <v>0.29953291492672501</v>
      </c>
      <c r="S3147">
        <v>11.8131427809938</v>
      </c>
      <c r="T3147">
        <v>-1.50870867584295</v>
      </c>
      <c r="U3147">
        <v>-5.5982178798436797</v>
      </c>
      <c r="V3147">
        <v>0.15746757023762201</v>
      </c>
      <c r="W3147">
        <v>0.40893812733696999</v>
      </c>
      <c r="X3147">
        <v>0</v>
      </c>
      <c r="Y3147">
        <v>0</v>
      </c>
    </row>
    <row r="3148" spans="1:25" x14ac:dyDescent="0.2">
      <c r="A3148" t="s">
        <v>11651</v>
      </c>
      <c r="B3148" t="s">
        <v>11652</v>
      </c>
      <c r="C3148" t="s">
        <v>14626</v>
      </c>
      <c r="D3148" t="s">
        <v>11653</v>
      </c>
      <c r="E3148" t="s">
        <v>11652</v>
      </c>
      <c r="F3148" t="s">
        <v>28</v>
      </c>
      <c r="G3148" t="s">
        <v>11652</v>
      </c>
      <c r="H3148" t="str">
        <f>"Y71G12B.10"</f>
        <v>Y71G12B.10</v>
      </c>
      <c r="I3148" t="s">
        <v>11653</v>
      </c>
      <c r="J3148" t="s">
        <v>29</v>
      </c>
      <c r="K3148" t="s">
        <v>29</v>
      </c>
      <c r="L3148" t="s">
        <v>29</v>
      </c>
      <c r="M3148" t="s">
        <v>29</v>
      </c>
      <c r="N3148" t="s">
        <v>29</v>
      </c>
      <c r="O3148">
        <v>11.303900028273301</v>
      </c>
      <c r="P3148" t="s">
        <v>29</v>
      </c>
      <c r="Q3148" t="s">
        <v>29</v>
      </c>
      <c r="R3148" t="s">
        <v>29</v>
      </c>
      <c r="S3148">
        <v>11.0744059313063</v>
      </c>
      <c r="T3148" t="s">
        <v>29</v>
      </c>
      <c r="U3148" t="s">
        <v>29</v>
      </c>
      <c r="V3148" t="s">
        <v>29</v>
      </c>
      <c r="W3148" t="s">
        <v>29</v>
      </c>
      <c r="X3148" t="s">
        <v>29</v>
      </c>
      <c r="Y3148" t="s">
        <v>29</v>
      </c>
    </row>
    <row r="3149" spans="1:25" x14ac:dyDescent="0.2">
      <c r="A3149" t="s">
        <v>11654</v>
      </c>
      <c r="B3149" t="s">
        <v>11655</v>
      </c>
      <c r="C3149" t="s">
        <v>11656</v>
      </c>
      <c r="D3149" t="s">
        <v>11657</v>
      </c>
      <c r="E3149" t="s">
        <v>11655</v>
      </c>
      <c r="F3149" t="s">
        <v>28</v>
      </c>
      <c r="G3149" t="s">
        <v>11655</v>
      </c>
      <c r="H3149" t="str">
        <f>"mppa-1"</f>
        <v>mppa-1</v>
      </c>
      <c r="I3149" t="s">
        <v>11657</v>
      </c>
      <c r="J3149">
        <v>9.8168843946107103</v>
      </c>
      <c r="K3149" t="s">
        <v>29</v>
      </c>
      <c r="L3149">
        <v>10.358557898939701</v>
      </c>
      <c r="M3149" t="s">
        <v>29</v>
      </c>
      <c r="N3149" t="s">
        <v>29</v>
      </c>
      <c r="O3149">
        <v>10.137720211081101</v>
      </c>
      <c r="P3149">
        <v>4.9999064305909599E-2</v>
      </c>
      <c r="Q3149">
        <v>-0.67461583661888003</v>
      </c>
      <c r="R3149">
        <v>0.77461396523069903</v>
      </c>
      <c r="S3149">
        <v>10.263535775975001</v>
      </c>
      <c r="T3149">
        <v>0.15396482289681601</v>
      </c>
      <c r="U3149">
        <v>-6.6383689766208498</v>
      </c>
      <c r="V3149">
        <v>0.88073228033583495</v>
      </c>
      <c r="W3149">
        <v>0.95657638191348704</v>
      </c>
      <c r="X3149">
        <v>0</v>
      </c>
      <c r="Y3149">
        <v>0</v>
      </c>
    </row>
    <row r="3150" spans="1:25" x14ac:dyDescent="0.2">
      <c r="A3150" t="s">
        <v>11658</v>
      </c>
      <c r="B3150" t="s">
        <v>11659</v>
      </c>
      <c r="C3150" t="s">
        <v>11660</v>
      </c>
      <c r="D3150" t="s">
        <v>11661</v>
      </c>
      <c r="E3150" t="s">
        <v>11659</v>
      </c>
      <c r="F3150" t="s">
        <v>28</v>
      </c>
      <c r="G3150" t="s">
        <v>11659</v>
      </c>
      <c r="H3150" t="str">
        <f>"ubc-3"</f>
        <v>ubc-3</v>
      </c>
      <c r="I3150" t="s">
        <v>11661</v>
      </c>
      <c r="J3150" t="s">
        <v>29</v>
      </c>
      <c r="K3150" t="s">
        <v>29</v>
      </c>
      <c r="L3150" t="s">
        <v>29</v>
      </c>
      <c r="M3150">
        <v>12.289436649750201</v>
      </c>
      <c r="N3150">
        <v>12.704559597584</v>
      </c>
      <c r="O3150">
        <v>11.7937150551431</v>
      </c>
      <c r="P3150" t="s">
        <v>29</v>
      </c>
      <c r="Q3150" t="s">
        <v>29</v>
      </c>
      <c r="R3150" t="s">
        <v>29</v>
      </c>
      <c r="S3150">
        <v>13.352387437935301</v>
      </c>
      <c r="T3150" t="s">
        <v>29</v>
      </c>
      <c r="U3150" t="s">
        <v>29</v>
      </c>
      <c r="V3150" t="s">
        <v>29</v>
      </c>
      <c r="W3150" t="s">
        <v>29</v>
      </c>
      <c r="X3150" t="s">
        <v>29</v>
      </c>
      <c r="Y3150" t="s">
        <v>29</v>
      </c>
    </row>
    <row r="3151" spans="1:25" x14ac:dyDescent="0.2">
      <c r="A3151" t="s">
        <v>11662</v>
      </c>
      <c r="B3151" t="s">
        <v>11663</v>
      </c>
      <c r="C3151" t="s">
        <v>11664</v>
      </c>
      <c r="D3151" t="s">
        <v>1502</v>
      </c>
      <c r="E3151" t="s">
        <v>11663</v>
      </c>
      <c r="F3151" t="s">
        <v>28</v>
      </c>
      <c r="G3151" t="s">
        <v>11663</v>
      </c>
      <c r="H3151" t="str">
        <f>"mca-3"</f>
        <v>mca-3</v>
      </c>
      <c r="I3151" t="s">
        <v>1502</v>
      </c>
      <c r="J3151">
        <v>15.977868157846601</v>
      </c>
      <c r="K3151">
        <v>15.732905979164901</v>
      </c>
      <c r="L3151">
        <v>15.5863259697825</v>
      </c>
      <c r="M3151">
        <v>15.9391159983115</v>
      </c>
      <c r="N3151">
        <v>15.562427162354901</v>
      </c>
      <c r="O3151">
        <v>15.6574216655958</v>
      </c>
      <c r="P3151">
        <v>-4.6045093510597802E-2</v>
      </c>
      <c r="Q3151">
        <v>-0.45416101046537299</v>
      </c>
      <c r="R3151">
        <v>0.36207082344417801</v>
      </c>
      <c r="S3151">
        <v>15.655267483034899</v>
      </c>
      <c r="T3151">
        <v>-0.237133187689789</v>
      </c>
      <c r="U3151">
        <v>-7.0226637576693696</v>
      </c>
      <c r="V3151">
        <v>0.815246948496816</v>
      </c>
      <c r="W3151">
        <v>0.92079610218973995</v>
      </c>
      <c r="X3151">
        <v>0</v>
      </c>
      <c r="Y3151">
        <v>0</v>
      </c>
    </row>
    <row r="3152" spans="1:25" x14ac:dyDescent="0.2">
      <c r="A3152" t="s">
        <v>11665</v>
      </c>
      <c r="B3152" t="s">
        <v>11666</v>
      </c>
      <c r="C3152" t="s">
        <v>11667</v>
      </c>
      <c r="D3152" t="s">
        <v>11668</v>
      </c>
      <c r="E3152" t="s">
        <v>11666</v>
      </c>
      <c r="F3152" t="s">
        <v>28</v>
      </c>
      <c r="G3152" t="s">
        <v>11666</v>
      </c>
      <c r="H3152" t="str">
        <f>"zwl-1"</f>
        <v>zwl-1</v>
      </c>
      <c r="I3152" t="s">
        <v>11668</v>
      </c>
      <c r="J3152">
        <v>14.4899715697589</v>
      </c>
      <c r="K3152">
        <v>14.2836593293744</v>
      </c>
      <c r="L3152">
        <v>14.3529215688538</v>
      </c>
      <c r="M3152">
        <v>13.6932566316536</v>
      </c>
      <c r="N3152">
        <v>13.776214677948699</v>
      </c>
      <c r="O3152">
        <v>13.811352932488701</v>
      </c>
      <c r="P3152">
        <v>-0.61524274196536599</v>
      </c>
      <c r="Q3152">
        <v>-0.947820258775387</v>
      </c>
      <c r="R3152">
        <v>-0.28266522515534398</v>
      </c>
      <c r="S3152">
        <v>14.158803992632199</v>
      </c>
      <c r="T3152">
        <v>-3.9048434381673802</v>
      </c>
      <c r="U3152">
        <v>-1.3564154765159999</v>
      </c>
      <c r="V3152">
        <v>1.1513672293644501E-3</v>
      </c>
      <c r="W3152">
        <v>1.9928451938042199E-2</v>
      </c>
      <c r="X3152">
        <v>0</v>
      </c>
      <c r="Y3152">
        <v>0</v>
      </c>
    </row>
    <row r="3153" spans="1:25" x14ac:dyDescent="0.2">
      <c r="A3153" t="s">
        <v>11669</v>
      </c>
      <c r="B3153" t="s">
        <v>11670</v>
      </c>
      <c r="C3153" t="s">
        <v>11671</v>
      </c>
      <c r="D3153" t="s">
        <v>11672</v>
      </c>
      <c r="E3153" t="s">
        <v>11670</v>
      </c>
      <c r="F3153" t="s">
        <v>28</v>
      </c>
      <c r="G3153" t="s">
        <v>11670</v>
      </c>
      <c r="H3153" t="str">
        <f>"mcm-4"</f>
        <v>mcm-4</v>
      </c>
      <c r="I3153" t="s">
        <v>11672</v>
      </c>
      <c r="J3153">
        <v>14.289611585026799</v>
      </c>
      <c r="K3153">
        <v>14.047112709596499</v>
      </c>
      <c r="L3153">
        <v>14.2687589950872</v>
      </c>
      <c r="M3153">
        <v>13.8159281874453</v>
      </c>
      <c r="N3153">
        <v>14.4309331173303</v>
      </c>
      <c r="O3153">
        <v>14.0502007574897</v>
      </c>
      <c r="P3153">
        <v>-0.102807075815026</v>
      </c>
      <c r="Q3153">
        <v>-0.79688163500771203</v>
      </c>
      <c r="R3153">
        <v>0.591267483377661</v>
      </c>
      <c r="S3153">
        <v>14.2412975498239</v>
      </c>
      <c r="T3153">
        <v>-0.31132170030659001</v>
      </c>
      <c r="U3153">
        <v>-7.0014316196890203</v>
      </c>
      <c r="V3153">
        <v>0.75915363930555402</v>
      </c>
      <c r="W3153">
        <v>0.89926681554432897</v>
      </c>
      <c r="X3153">
        <v>0</v>
      </c>
      <c r="Y3153">
        <v>0</v>
      </c>
    </row>
    <row r="3154" spans="1:25" x14ac:dyDescent="0.2">
      <c r="A3154" t="s">
        <v>11673</v>
      </c>
      <c r="B3154" t="s">
        <v>11674</v>
      </c>
      <c r="C3154" t="s">
        <v>11675</v>
      </c>
      <c r="D3154" t="s">
        <v>11676</v>
      </c>
      <c r="E3154" t="s">
        <v>11674</v>
      </c>
      <c r="F3154" t="s">
        <v>28</v>
      </c>
      <c r="G3154" t="s">
        <v>11674</v>
      </c>
      <c r="H3154" t="str">
        <f>"eif-2gamma"</f>
        <v>eif-2gamma</v>
      </c>
      <c r="I3154" t="s">
        <v>11676</v>
      </c>
      <c r="J3154">
        <v>18.8969821685589</v>
      </c>
      <c r="K3154">
        <v>18.7061655605312</v>
      </c>
      <c r="L3154">
        <v>18.557382233317099</v>
      </c>
      <c r="M3154">
        <v>18.5635055880355</v>
      </c>
      <c r="N3154">
        <v>18.5983543387234</v>
      </c>
      <c r="O3154">
        <v>18.336583363103301</v>
      </c>
      <c r="P3154">
        <v>-0.22069555751504</v>
      </c>
      <c r="Q3154">
        <v>-0.53649305043183204</v>
      </c>
      <c r="R3154">
        <v>9.5101935401753296E-2</v>
      </c>
      <c r="S3154">
        <v>18.215209247819299</v>
      </c>
      <c r="T3154">
        <v>-1.4688499283622301</v>
      </c>
      <c r="U3154">
        <v>-5.9850054228904996</v>
      </c>
      <c r="V3154">
        <v>0.159233570002005</v>
      </c>
      <c r="W3154">
        <v>0.411227013322639</v>
      </c>
      <c r="X3154">
        <v>0</v>
      </c>
      <c r="Y3154">
        <v>0</v>
      </c>
    </row>
    <row r="3155" spans="1:25" x14ac:dyDescent="0.2">
      <c r="A3155" t="s">
        <v>11677</v>
      </c>
      <c r="B3155" t="s">
        <v>11678</v>
      </c>
      <c r="C3155" t="s">
        <v>11679</v>
      </c>
      <c r="D3155" t="s">
        <v>11680</v>
      </c>
      <c r="E3155" t="s">
        <v>11678</v>
      </c>
      <c r="F3155" t="s">
        <v>28</v>
      </c>
      <c r="G3155" t="s">
        <v>11678</v>
      </c>
      <c r="H3155" t="str">
        <f>"nsun-4"</f>
        <v>nsun-4</v>
      </c>
      <c r="I3155" t="s">
        <v>11680</v>
      </c>
      <c r="J3155">
        <v>13.1714890261928</v>
      </c>
      <c r="K3155">
        <v>13.705030903340701</v>
      </c>
      <c r="L3155">
        <v>14.0888999366103</v>
      </c>
      <c r="M3155">
        <v>13.7379162475059</v>
      </c>
      <c r="N3155">
        <v>13.943709968148699</v>
      </c>
      <c r="O3155">
        <v>13.7993685108971</v>
      </c>
      <c r="P3155">
        <v>0.17185828680262499</v>
      </c>
      <c r="Q3155">
        <v>-0.31537640046409299</v>
      </c>
      <c r="R3155">
        <v>0.65909297406934197</v>
      </c>
      <c r="S3155">
        <v>13.7334230346894</v>
      </c>
      <c r="T3155">
        <v>0.74453015493729002</v>
      </c>
      <c r="U3155">
        <v>-6.7653876352177997</v>
      </c>
      <c r="V3155">
        <v>0.46678642364543699</v>
      </c>
      <c r="W3155">
        <v>0.73153117908080401</v>
      </c>
      <c r="X3155">
        <v>0</v>
      </c>
      <c r="Y3155">
        <v>0</v>
      </c>
    </row>
    <row r="3156" spans="1:25" x14ac:dyDescent="0.2">
      <c r="A3156" t="s">
        <v>11681</v>
      </c>
      <c r="B3156" t="s">
        <v>11682</v>
      </c>
      <c r="C3156" t="s">
        <v>14627</v>
      </c>
      <c r="D3156" t="s">
        <v>534</v>
      </c>
      <c r="E3156" t="s">
        <v>11682</v>
      </c>
      <c r="F3156" t="s">
        <v>28</v>
      </c>
      <c r="G3156" t="s">
        <v>11682</v>
      </c>
      <c r="H3156" t="str">
        <f>"Y39G10AR.9"</f>
        <v>Y39G10AR.9</v>
      </c>
      <c r="I3156" t="s">
        <v>534</v>
      </c>
      <c r="J3156" t="s">
        <v>29</v>
      </c>
      <c r="K3156" t="s">
        <v>29</v>
      </c>
      <c r="L3156">
        <v>11.0567671663791</v>
      </c>
      <c r="M3156">
        <v>13.9837342137237</v>
      </c>
      <c r="N3156">
        <v>13.843375674724101</v>
      </c>
      <c r="O3156">
        <v>13.1560616000208</v>
      </c>
      <c r="P3156">
        <v>2.60428999644384</v>
      </c>
      <c r="Q3156">
        <v>1.3283151299332101</v>
      </c>
      <c r="R3156">
        <v>3.8802648629544798</v>
      </c>
      <c r="S3156">
        <v>12.687109754736399</v>
      </c>
      <c r="T3156">
        <v>4.4513550430508904</v>
      </c>
      <c r="U3156">
        <v>-0.54210735491005302</v>
      </c>
      <c r="V3156">
        <v>8.0791739889527598E-4</v>
      </c>
      <c r="W3156">
        <v>1.57837846410947E-2</v>
      </c>
      <c r="X3156">
        <v>1</v>
      </c>
      <c r="Y3156">
        <v>1</v>
      </c>
    </row>
    <row r="3157" spans="1:25" x14ac:dyDescent="0.2">
      <c r="A3157" t="s">
        <v>11683</v>
      </c>
      <c r="B3157" t="s">
        <v>11684</v>
      </c>
      <c r="C3157" t="s">
        <v>11685</v>
      </c>
      <c r="D3157" t="s">
        <v>11686</v>
      </c>
      <c r="E3157" t="s">
        <v>11684</v>
      </c>
      <c r="F3157" t="s">
        <v>28</v>
      </c>
      <c r="G3157" t="s">
        <v>11684</v>
      </c>
      <c r="H3157" t="str">
        <f>"epg-2"</f>
        <v>epg-2</v>
      </c>
      <c r="I3157" t="s">
        <v>11686</v>
      </c>
      <c r="J3157" t="s">
        <v>29</v>
      </c>
      <c r="K3157" t="s">
        <v>29</v>
      </c>
      <c r="L3157" t="s">
        <v>29</v>
      </c>
      <c r="M3157" t="s">
        <v>29</v>
      </c>
      <c r="N3157" t="s">
        <v>29</v>
      </c>
      <c r="O3157" t="s">
        <v>29</v>
      </c>
      <c r="P3157" t="s">
        <v>29</v>
      </c>
      <c r="Q3157" t="s">
        <v>29</v>
      </c>
      <c r="R3157" t="s">
        <v>29</v>
      </c>
      <c r="S3157">
        <v>9.7882170386661205</v>
      </c>
      <c r="T3157" t="s">
        <v>29</v>
      </c>
      <c r="U3157" t="s">
        <v>29</v>
      </c>
      <c r="V3157" t="s">
        <v>29</v>
      </c>
      <c r="W3157" t="s">
        <v>29</v>
      </c>
      <c r="X3157" t="s">
        <v>29</v>
      </c>
      <c r="Y3157" t="s">
        <v>29</v>
      </c>
    </row>
    <row r="3158" spans="1:25" x14ac:dyDescent="0.2">
      <c r="A3158" t="s">
        <v>11687</v>
      </c>
      <c r="B3158" t="s">
        <v>11688</v>
      </c>
      <c r="C3158" t="s">
        <v>11689</v>
      </c>
      <c r="D3158" t="s">
        <v>11690</v>
      </c>
      <c r="E3158" t="s">
        <v>11688</v>
      </c>
      <c r="F3158" t="s">
        <v>28</v>
      </c>
      <c r="G3158" t="s">
        <v>11688</v>
      </c>
      <c r="H3158" t="str">
        <f>"trap-3"</f>
        <v>trap-3</v>
      </c>
      <c r="I3158" t="s">
        <v>11690</v>
      </c>
      <c r="J3158">
        <v>17.195177038426099</v>
      </c>
      <c r="K3158">
        <v>17.065517814496399</v>
      </c>
      <c r="L3158">
        <v>17.131977108065801</v>
      </c>
      <c r="M3158">
        <v>16.789240776543402</v>
      </c>
      <c r="N3158">
        <v>16.813443415357799</v>
      </c>
      <c r="O3158">
        <v>16.676041721672998</v>
      </c>
      <c r="P3158">
        <v>-0.371315349138019</v>
      </c>
      <c r="Q3158">
        <v>-0.72309622617073599</v>
      </c>
      <c r="R3158">
        <v>-1.9534472105301601E-2</v>
      </c>
      <c r="S3158">
        <v>16.990661283040701</v>
      </c>
      <c r="T3158">
        <v>-2.2185191811587699</v>
      </c>
      <c r="U3158">
        <v>-4.7756235709685004</v>
      </c>
      <c r="V3158">
        <v>3.9697137206142499E-2</v>
      </c>
      <c r="W3158">
        <v>0.19691232388534699</v>
      </c>
      <c r="X3158">
        <v>0</v>
      </c>
      <c r="Y3158">
        <v>0</v>
      </c>
    </row>
    <row r="3159" spans="1:25" x14ac:dyDescent="0.2">
      <c r="A3159" t="s">
        <v>11691</v>
      </c>
      <c r="B3159" t="s">
        <v>11692</v>
      </c>
      <c r="C3159" t="s">
        <v>11693</v>
      </c>
      <c r="D3159" t="s">
        <v>11694</v>
      </c>
      <c r="E3159" t="s">
        <v>11692</v>
      </c>
      <c r="F3159" t="s">
        <v>28</v>
      </c>
      <c r="G3159" t="s">
        <v>11692</v>
      </c>
      <c r="H3159" t="str">
        <f>"sec-61.b"</f>
        <v>sec-61.b</v>
      </c>
      <c r="I3159" t="s">
        <v>11694</v>
      </c>
      <c r="J3159">
        <v>12.578072147899499</v>
      </c>
      <c r="K3159" t="s">
        <v>29</v>
      </c>
      <c r="L3159">
        <v>12.783907719356201</v>
      </c>
      <c r="M3159">
        <v>12.5073425101245</v>
      </c>
      <c r="N3159">
        <v>12.4643976397251</v>
      </c>
      <c r="O3159">
        <v>13.991595639602499</v>
      </c>
      <c r="P3159">
        <v>0.30678866285624901</v>
      </c>
      <c r="Q3159">
        <v>-0.76460241106235605</v>
      </c>
      <c r="R3159">
        <v>1.3781797367748501</v>
      </c>
      <c r="S3159">
        <v>12.677695366180901</v>
      </c>
      <c r="T3159">
        <v>0.62450553982502499</v>
      </c>
      <c r="U3159">
        <v>-6.7353628277946997</v>
      </c>
      <c r="V3159">
        <v>0.54408831209322395</v>
      </c>
      <c r="W3159">
        <v>0.77720077592245496</v>
      </c>
      <c r="X3159">
        <v>0</v>
      </c>
      <c r="Y3159">
        <v>0</v>
      </c>
    </row>
    <row r="3160" spans="1:25" x14ac:dyDescent="0.2">
      <c r="A3160" t="s">
        <v>11695</v>
      </c>
      <c r="B3160" t="s">
        <v>11696</v>
      </c>
      <c r="C3160" t="s">
        <v>11697</v>
      </c>
      <c r="D3160" t="s">
        <v>11698</v>
      </c>
      <c r="E3160" t="s">
        <v>11696</v>
      </c>
      <c r="F3160" t="s">
        <v>28</v>
      </c>
      <c r="G3160" t="s">
        <v>11696</v>
      </c>
      <c r="H3160" t="str">
        <f>"trap-1"</f>
        <v>trap-1</v>
      </c>
      <c r="I3160" t="s">
        <v>11698</v>
      </c>
      <c r="J3160">
        <v>16.061431295749699</v>
      </c>
      <c r="K3160">
        <v>16.070969047403899</v>
      </c>
      <c r="L3160">
        <v>16.1450324696198</v>
      </c>
      <c r="M3160">
        <v>15.953026722026699</v>
      </c>
      <c r="N3160">
        <v>16.095023498178499</v>
      </c>
      <c r="O3160">
        <v>15.846509152516299</v>
      </c>
      <c r="P3160">
        <v>-0.127624480017273</v>
      </c>
      <c r="Q3160">
        <v>-0.48225264357484598</v>
      </c>
      <c r="R3160">
        <v>0.22700368354030001</v>
      </c>
      <c r="S3160">
        <v>15.6242867081782</v>
      </c>
      <c r="T3160">
        <v>-0.75640305761876603</v>
      </c>
      <c r="U3160">
        <v>-6.7569736810796899</v>
      </c>
      <c r="V3160">
        <v>0.459250537353731</v>
      </c>
      <c r="W3160">
        <v>0.72567670956876296</v>
      </c>
      <c r="X3160">
        <v>0</v>
      </c>
      <c r="Y3160">
        <v>0</v>
      </c>
    </row>
    <row r="3161" spans="1:25" x14ac:dyDescent="0.2">
      <c r="A3161" t="s">
        <v>11699</v>
      </c>
      <c r="B3161" t="s">
        <v>11700</v>
      </c>
      <c r="C3161" t="s">
        <v>11701</v>
      </c>
      <c r="D3161" t="s">
        <v>11702</v>
      </c>
      <c r="E3161" t="s">
        <v>11700</v>
      </c>
      <c r="F3161" t="s">
        <v>28</v>
      </c>
      <c r="G3161" t="s">
        <v>11700</v>
      </c>
      <c r="H3161" t="str">
        <f>"sut-2"</f>
        <v>sut-2</v>
      </c>
      <c r="I3161" t="s">
        <v>11702</v>
      </c>
      <c r="J3161" t="s">
        <v>29</v>
      </c>
      <c r="K3161" t="s">
        <v>29</v>
      </c>
      <c r="L3161" t="s">
        <v>29</v>
      </c>
      <c r="M3161" t="s">
        <v>29</v>
      </c>
      <c r="N3161" t="s">
        <v>29</v>
      </c>
      <c r="O3161" t="s">
        <v>29</v>
      </c>
      <c r="P3161" t="s">
        <v>29</v>
      </c>
      <c r="Q3161" t="s">
        <v>29</v>
      </c>
      <c r="R3161" t="s">
        <v>29</v>
      </c>
      <c r="S3161">
        <v>9.9822916356159404</v>
      </c>
      <c r="T3161" t="s">
        <v>29</v>
      </c>
      <c r="U3161" t="s">
        <v>29</v>
      </c>
      <c r="V3161" t="s">
        <v>29</v>
      </c>
      <c r="W3161" t="s">
        <v>29</v>
      </c>
      <c r="X3161" t="s">
        <v>29</v>
      </c>
      <c r="Y3161" t="s">
        <v>29</v>
      </c>
    </row>
    <row r="3162" spans="1:25" x14ac:dyDescent="0.2">
      <c r="A3162" t="s">
        <v>11703</v>
      </c>
      <c r="B3162" t="s">
        <v>11704</v>
      </c>
      <c r="C3162" t="s">
        <v>11705</v>
      </c>
      <c r="D3162" t="s">
        <v>11706</v>
      </c>
      <c r="E3162" t="s">
        <v>11704</v>
      </c>
      <c r="F3162" t="s">
        <v>28</v>
      </c>
      <c r="G3162" t="s">
        <v>11704</v>
      </c>
      <c r="H3162" t="str">
        <f>"ubc-13"</f>
        <v>ubc-13</v>
      </c>
      <c r="I3162" t="s">
        <v>11706</v>
      </c>
      <c r="J3162">
        <v>13.642812077030101</v>
      </c>
      <c r="K3162">
        <v>13.753354473126601</v>
      </c>
      <c r="L3162">
        <v>13.857990087398401</v>
      </c>
      <c r="M3162">
        <v>13.478467049234499</v>
      </c>
      <c r="N3162">
        <v>13.563114032421</v>
      </c>
      <c r="O3162">
        <v>13.6941961794927</v>
      </c>
      <c r="P3162">
        <v>-0.172793125468933</v>
      </c>
      <c r="Q3162">
        <v>-0.66960148139421605</v>
      </c>
      <c r="R3162">
        <v>0.32401523045635</v>
      </c>
      <c r="S3162">
        <v>13.313317721790201</v>
      </c>
      <c r="T3162">
        <v>-0.73102138466789002</v>
      </c>
      <c r="U3162">
        <v>-6.7761611164883799</v>
      </c>
      <c r="V3162">
        <v>0.47422994447981298</v>
      </c>
      <c r="W3162">
        <v>0.73486462973453104</v>
      </c>
      <c r="X3162">
        <v>0</v>
      </c>
      <c r="Y3162">
        <v>0</v>
      </c>
    </row>
    <row r="3163" spans="1:25" x14ac:dyDescent="0.2">
      <c r="A3163" t="s">
        <v>11707</v>
      </c>
      <c r="B3163" t="s">
        <v>11708</v>
      </c>
      <c r="C3163" t="s">
        <v>11709</v>
      </c>
      <c r="D3163" t="s">
        <v>11710</v>
      </c>
      <c r="E3163" t="s">
        <v>11708</v>
      </c>
      <c r="F3163" t="s">
        <v>28</v>
      </c>
      <c r="G3163" t="s">
        <v>11708</v>
      </c>
      <c r="H3163" t="str">
        <f>"nprt-1"</f>
        <v>nprt-1</v>
      </c>
      <c r="I3163" t="s">
        <v>11710</v>
      </c>
      <c r="J3163">
        <v>13.456503355819599</v>
      </c>
      <c r="K3163">
        <v>13.278154456833899</v>
      </c>
      <c r="L3163">
        <v>12.6805740386596</v>
      </c>
      <c r="M3163">
        <v>13.6562107230127</v>
      </c>
      <c r="N3163">
        <v>13.415898004028801</v>
      </c>
      <c r="O3163">
        <v>13.444475021071501</v>
      </c>
      <c r="P3163">
        <v>0.36711729893330203</v>
      </c>
      <c r="Q3163">
        <v>-0.23214856313336499</v>
      </c>
      <c r="R3163">
        <v>0.96638316099996902</v>
      </c>
      <c r="S3163">
        <v>12.7042262461562</v>
      </c>
      <c r="T3163">
        <v>1.2993760000276799</v>
      </c>
      <c r="U3163">
        <v>-6.2059029678603101</v>
      </c>
      <c r="V3163">
        <v>0.21234614368501201</v>
      </c>
      <c r="W3163">
        <v>0.47917777500071401</v>
      </c>
      <c r="X3163">
        <v>0</v>
      </c>
      <c r="Y3163">
        <v>0</v>
      </c>
    </row>
    <row r="3164" spans="1:25" x14ac:dyDescent="0.2">
      <c r="A3164" t="s">
        <v>11711</v>
      </c>
      <c r="B3164" t="s">
        <v>11712</v>
      </c>
      <c r="C3164" t="s">
        <v>11713</v>
      </c>
      <c r="D3164" t="s">
        <v>11714</v>
      </c>
      <c r="E3164" t="s">
        <v>11712</v>
      </c>
      <c r="F3164" t="s">
        <v>28</v>
      </c>
      <c r="G3164" t="s">
        <v>11712</v>
      </c>
      <c r="H3164" t="str">
        <f>"nol-6"</f>
        <v>nol-6</v>
      </c>
      <c r="I3164" t="s">
        <v>11714</v>
      </c>
      <c r="J3164">
        <v>14.1294573358385</v>
      </c>
      <c r="K3164">
        <v>14.310058270026801</v>
      </c>
      <c r="L3164">
        <v>14.2736642602946</v>
      </c>
      <c r="M3164">
        <v>13.826036443651001</v>
      </c>
      <c r="N3164">
        <v>14.4722771048325</v>
      </c>
      <c r="O3164">
        <v>14.015712933350899</v>
      </c>
      <c r="P3164">
        <v>-0.13305112810851599</v>
      </c>
      <c r="Q3164">
        <v>-0.48481634023004</v>
      </c>
      <c r="R3164">
        <v>0.21871408401300901</v>
      </c>
      <c r="S3164">
        <v>14.1746029920458</v>
      </c>
      <c r="T3164">
        <v>-0.79498363144439999</v>
      </c>
      <c r="U3164">
        <v>-6.7266351407684803</v>
      </c>
      <c r="V3164">
        <v>0.43704068713819799</v>
      </c>
      <c r="W3164">
        <v>0.70437364831485705</v>
      </c>
      <c r="X3164">
        <v>0</v>
      </c>
      <c r="Y3164">
        <v>0</v>
      </c>
    </row>
    <row r="3165" spans="1:25" x14ac:dyDescent="0.2">
      <c r="A3165" t="s">
        <v>11715</v>
      </c>
      <c r="B3165" t="s">
        <v>11716</v>
      </c>
      <c r="C3165" t="s">
        <v>11717</v>
      </c>
      <c r="D3165" t="s">
        <v>11718</v>
      </c>
      <c r="E3165" t="s">
        <v>11716</v>
      </c>
      <c r="F3165" t="s">
        <v>28</v>
      </c>
      <c r="G3165" t="s">
        <v>11716</v>
      </c>
      <c r="H3165" t="str">
        <f>"scc-2"</f>
        <v>scc-2</v>
      </c>
      <c r="I3165" t="s">
        <v>11718</v>
      </c>
      <c r="J3165">
        <v>11.494733298737399</v>
      </c>
      <c r="K3165">
        <v>11.7957814434833</v>
      </c>
      <c r="L3165">
        <v>11.5340085093131</v>
      </c>
      <c r="M3165">
        <v>11.6169748975601</v>
      </c>
      <c r="N3165">
        <v>12.085019059858199</v>
      </c>
      <c r="O3165">
        <v>11.734392510406799</v>
      </c>
      <c r="P3165">
        <v>0.20395440543042101</v>
      </c>
      <c r="Q3165">
        <v>-0.64028356488781601</v>
      </c>
      <c r="R3165">
        <v>1.04819237574866</v>
      </c>
      <c r="S3165">
        <v>12.089604738137</v>
      </c>
      <c r="T3165">
        <v>0.50776261585429106</v>
      </c>
      <c r="U3165">
        <v>-6.9179419999387797</v>
      </c>
      <c r="V3165">
        <v>0.61782102908631198</v>
      </c>
      <c r="W3165">
        <v>0.81975612182429702</v>
      </c>
      <c r="X3165">
        <v>0</v>
      </c>
      <c r="Y3165">
        <v>0</v>
      </c>
    </row>
    <row r="3166" spans="1:25" x14ac:dyDescent="0.2">
      <c r="A3166" t="s">
        <v>11719</v>
      </c>
      <c r="B3166" t="s">
        <v>11720</v>
      </c>
      <c r="C3166" t="s">
        <v>11721</v>
      </c>
      <c r="D3166" t="s">
        <v>11722</v>
      </c>
      <c r="E3166" t="s">
        <v>11720</v>
      </c>
      <c r="F3166" t="s">
        <v>28</v>
      </c>
      <c r="G3166" t="s">
        <v>11720</v>
      </c>
      <c r="H3166" t="str">
        <f>"laat-1"</f>
        <v>laat-1</v>
      </c>
      <c r="I3166" t="s">
        <v>11722</v>
      </c>
      <c r="J3166">
        <v>14.403050771636201</v>
      </c>
      <c r="K3166" t="s">
        <v>29</v>
      </c>
      <c r="L3166" t="s">
        <v>29</v>
      </c>
      <c r="M3166" t="s">
        <v>29</v>
      </c>
      <c r="N3166" t="s">
        <v>29</v>
      </c>
      <c r="O3166">
        <v>14.154811685149999</v>
      </c>
      <c r="P3166">
        <v>-0.24823908648623499</v>
      </c>
      <c r="Q3166">
        <v>-10.170894237061599</v>
      </c>
      <c r="R3166">
        <v>9.6744160640891597</v>
      </c>
      <c r="S3166">
        <v>13.017905946951901</v>
      </c>
      <c r="T3166">
        <v>-6.2165279375040502E-2</v>
      </c>
      <c r="U3166">
        <v>-6.5078459532554298</v>
      </c>
      <c r="V3166">
        <v>0.95257393515389599</v>
      </c>
      <c r="W3166">
        <v>0.97752358457809096</v>
      </c>
      <c r="X3166">
        <v>0</v>
      </c>
      <c r="Y3166">
        <v>0</v>
      </c>
    </row>
    <row r="3167" spans="1:25" x14ac:dyDescent="0.2">
      <c r="A3167" t="s">
        <v>11723</v>
      </c>
      <c r="B3167" t="s">
        <v>11724</v>
      </c>
      <c r="C3167" t="s">
        <v>11725</v>
      </c>
      <c r="D3167" t="s">
        <v>11726</v>
      </c>
      <c r="E3167" t="s">
        <v>11724</v>
      </c>
      <c r="F3167" t="s">
        <v>28</v>
      </c>
      <c r="G3167" t="s">
        <v>11724</v>
      </c>
      <c r="H3167" t="str">
        <f>"rps-28"</f>
        <v>rps-28</v>
      </c>
      <c r="I3167" t="s">
        <v>11726</v>
      </c>
      <c r="J3167">
        <v>20.341782057180101</v>
      </c>
      <c r="K3167">
        <v>20.412074205998699</v>
      </c>
      <c r="L3167">
        <v>20.481214033903701</v>
      </c>
      <c r="M3167">
        <v>20.5236988357786</v>
      </c>
      <c r="N3167">
        <v>19.491716587178299</v>
      </c>
      <c r="O3167">
        <v>19.561474388243301</v>
      </c>
      <c r="P3167">
        <v>-0.55272682862742395</v>
      </c>
      <c r="Q3167">
        <v>-1.20335695161614</v>
      </c>
      <c r="R3167">
        <v>9.7903294361295704E-2</v>
      </c>
      <c r="S3167">
        <v>20.061920811384901</v>
      </c>
      <c r="T3167">
        <v>-1.78553715528935</v>
      </c>
      <c r="U3167">
        <v>-5.5154976161236702</v>
      </c>
      <c r="V3167">
        <v>9.1132861194322998E-2</v>
      </c>
      <c r="W3167">
        <v>0.30952273996326601</v>
      </c>
      <c r="X3167">
        <v>0</v>
      </c>
      <c r="Y3167">
        <v>0</v>
      </c>
    </row>
    <row r="3168" spans="1:25" x14ac:dyDescent="0.2">
      <c r="A3168" t="s">
        <v>11727</v>
      </c>
      <c r="B3168" t="s">
        <v>11728</v>
      </c>
      <c r="C3168" t="s">
        <v>11729</v>
      </c>
      <c r="D3168" t="s">
        <v>11730</v>
      </c>
      <c r="E3168" t="s">
        <v>11728</v>
      </c>
      <c r="F3168" t="s">
        <v>28</v>
      </c>
      <c r="G3168" t="s">
        <v>11728</v>
      </c>
      <c r="H3168" t="str">
        <f>"npp-8"</f>
        <v>npp-8</v>
      </c>
      <c r="I3168" t="s">
        <v>11730</v>
      </c>
      <c r="J3168">
        <v>15.4889491695766</v>
      </c>
      <c r="K3168">
        <v>15.4657805481824</v>
      </c>
      <c r="L3168">
        <v>15.4549315962226</v>
      </c>
      <c r="M3168">
        <v>15.6208163569262</v>
      </c>
      <c r="N3168">
        <v>15.515457648156399</v>
      </c>
      <c r="O3168">
        <v>15.3334998294802</v>
      </c>
      <c r="P3168">
        <v>2.00375068603975E-2</v>
      </c>
      <c r="Q3168">
        <v>-0.266129362160822</v>
      </c>
      <c r="R3168">
        <v>0.30620437588161697</v>
      </c>
      <c r="S3168">
        <v>15.282323667187701</v>
      </c>
      <c r="T3168">
        <v>0.14716917161492801</v>
      </c>
      <c r="U3168">
        <v>-7.0407427834809404</v>
      </c>
      <c r="V3168">
        <v>0.88464388661183502</v>
      </c>
      <c r="W3168">
        <v>0.95895816186858396</v>
      </c>
      <c r="X3168">
        <v>0</v>
      </c>
      <c r="Y3168">
        <v>0</v>
      </c>
    </row>
    <row r="3169" spans="1:25" x14ac:dyDescent="0.2">
      <c r="A3169" t="s">
        <v>11731</v>
      </c>
      <c r="B3169" t="s">
        <v>11732</v>
      </c>
      <c r="C3169" t="s">
        <v>11733</v>
      </c>
      <c r="D3169" t="s">
        <v>11734</v>
      </c>
      <c r="E3169" t="s">
        <v>11732</v>
      </c>
      <c r="F3169" t="s">
        <v>28</v>
      </c>
      <c r="G3169" t="s">
        <v>11732</v>
      </c>
      <c r="H3169" t="str">
        <f>"ptpn-22"</f>
        <v>ptpn-22</v>
      </c>
      <c r="I3169" t="s">
        <v>11734</v>
      </c>
      <c r="J3169">
        <v>11.170054578520199</v>
      </c>
      <c r="K3169" t="s">
        <v>29</v>
      </c>
      <c r="L3169">
        <v>12.2034177288505</v>
      </c>
      <c r="M3169" t="s">
        <v>29</v>
      </c>
      <c r="N3169">
        <v>11.234457933599</v>
      </c>
      <c r="O3169" t="s">
        <v>29</v>
      </c>
      <c r="P3169">
        <v>-0.45227822008632901</v>
      </c>
      <c r="Q3169">
        <v>-1.8301342720987801</v>
      </c>
      <c r="R3169">
        <v>0.92557783192612597</v>
      </c>
      <c r="S3169">
        <v>12.469896607388501</v>
      </c>
      <c r="T3169">
        <v>-0.72331841096628602</v>
      </c>
      <c r="U3169">
        <v>-6.3769048217541497</v>
      </c>
      <c r="V3169">
        <v>0.48472398664963501</v>
      </c>
      <c r="W3169">
        <v>0.741501314009402</v>
      </c>
      <c r="X3169">
        <v>0</v>
      </c>
      <c r="Y3169">
        <v>0</v>
      </c>
    </row>
    <row r="3170" spans="1:25" x14ac:dyDescent="0.2">
      <c r="A3170" t="s">
        <v>11735</v>
      </c>
      <c r="B3170" t="s">
        <v>11736</v>
      </c>
      <c r="C3170" t="s">
        <v>14628</v>
      </c>
      <c r="D3170" t="s">
        <v>8023</v>
      </c>
      <c r="E3170" t="s">
        <v>11736</v>
      </c>
      <c r="F3170" t="s">
        <v>28</v>
      </c>
      <c r="G3170" t="s">
        <v>11736</v>
      </c>
      <c r="H3170" t="str">
        <f>"Y108G3AL.2"</f>
        <v>Y108G3AL.2</v>
      </c>
      <c r="I3170" t="s">
        <v>8023</v>
      </c>
      <c r="J3170" t="s">
        <v>29</v>
      </c>
      <c r="K3170" t="s">
        <v>29</v>
      </c>
      <c r="L3170" t="s">
        <v>29</v>
      </c>
      <c r="M3170" t="s">
        <v>29</v>
      </c>
      <c r="N3170" t="s">
        <v>29</v>
      </c>
      <c r="O3170" t="s">
        <v>29</v>
      </c>
      <c r="P3170" t="s">
        <v>29</v>
      </c>
      <c r="Q3170" t="s">
        <v>29</v>
      </c>
      <c r="R3170" t="s">
        <v>29</v>
      </c>
      <c r="S3170">
        <v>10.1030145916615</v>
      </c>
      <c r="T3170" t="s">
        <v>29</v>
      </c>
      <c r="U3170" t="s">
        <v>29</v>
      </c>
      <c r="V3170" t="s">
        <v>29</v>
      </c>
      <c r="W3170" t="s">
        <v>29</v>
      </c>
      <c r="X3170" t="s">
        <v>29</v>
      </c>
      <c r="Y3170" t="s">
        <v>29</v>
      </c>
    </row>
    <row r="3171" spans="1:25" x14ac:dyDescent="0.2">
      <c r="A3171" t="s">
        <v>11737</v>
      </c>
      <c r="B3171" t="s">
        <v>11738</v>
      </c>
      <c r="C3171" t="s">
        <v>11739</v>
      </c>
      <c r="D3171" t="s">
        <v>11740</v>
      </c>
      <c r="E3171" t="s">
        <v>11738</v>
      </c>
      <c r="F3171" t="s">
        <v>28</v>
      </c>
      <c r="G3171" t="s">
        <v>11738</v>
      </c>
      <c r="H3171" t="str">
        <f>"rcor-1"</f>
        <v>rcor-1</v>
      </c>
      <c r="I3171" t="s">
        <v>11740</v>
      </c>
      <c r="J3171" t="s">
        <v>29</v>
      </c>
      <c r="K3171">
        <v>11.040102603717999</v>
      </c>
      <c r="L3171" t="s">
        <v>29</v>
      </c>
      <c r="M3171" t="s">
        <v>29</v>
      </c>
      <c r="N3171">
        <v>10.9303135675804</v>
      </c>
      <c r="O3171" t="s">
        <v>29</v>
      </c>
      <c r="P3171">
        <v>-0.109789036137624</v>
      </c>
      <c r="Q3171">
        <v>-1.4013357558514301</v>
      </c>
      <c r="R3171">
        <v>1.1817576835761801</v>
      </c>
      <c r="S3171">
        <v>11.754698766921701</v>
      </c>
      <c r="T3171">
        <v>-0.19264296626400301</v>
      </c>
      <c r="U3171">
        <v>-6.4899198108301004</v>
      </c>
      <c r="V3171">
        <v>0.85156503127451999</v>
      </c>
      <c r="W3171">
        <v>0.94155372469156995</v>
      </c>
      <c r="X3171">
        <v>0</v>
      </c>
      <c r="Y3171">
        <v>0</v>
      </c>
    </row>
    <row r="3172" spans="1:25" x14ac:dyDescent="0.2">
      <c r="A3172" t="s">
        <v>11741</v>
      </c>
      <c r="B3172" t="s">
        <v>11742</v>
      </c>
      <c r="C3172" t="s">
        <v>11743</v>
      </c>
      <c r="D3172" t="s">
        <v>8293</v>
      </c>
      <c r="E3172" t="s">
        <v>11742</v>
      </c>
      <c r="F3172" t="s">
        <v>28</v>
      </c>
      <c r="G3172" t="s">
        <v>11742</v>
      </c>
      <c r="H3172" t="str">
        <f>"smr-1"</f>
        <v>smr-1</v>
      </c>
      <c r="I3172" t="s">
        <v>8293</v>
      </c>
      <c r="J3172" t="s">
        <v>29</v>
      </c>
      <c r="K3172" t="s">
        <v>29</v>
      </c>
      <c r="L3172" t="s">
        <v>29</v>
      </c>
      <c r="M3172" t="s">
        <v>29</v>
      </c>
      <c r="N3172">
        <v>12.1397948251396</v>
      </c>
      <c r="O3172" t="s">
        <v>29</v>
      </c>
      <c r="P3172" t="s">
        <v>29</v>
      </c>
      <c r="Q3172" t="s">
        <v>29</v>
      </c>
      <c r="R3172" t="s">
        <v>29</v>
      </c>
      <c r="S3172">
        <v>11.4842416749058</v>
      </c>
      <c r="T3172" t="s">
        <v>29</v>
      </c>
      <c r="U3172" t="s">
        <v>29</v>
      </c>
      <c r="V3172" t="s">
        <v>29</v>
      </c>
      <c r="W3172" t="s">
        <v>29</v>
      </c>
      <c r="X3172" t="s">
        <v>29</v>
      </c>
      <c r="Y3172" t="s">
        <v>29</v>
      </c>
    </row>
    <row r="3173" spans="1:25" x14ac:dyDescent="0.2">
      <c r="A3173" t="s">
        <v>11744</v>
      </c>
      <c r="B3173" t="s">
        <v>11745</v>
      </c>
      <c r="C3173" t="s">
        <v>11746</v>
      </c>
      <c r="D3173" t="s">
        <v>3358</v>
      </c>
      <c r="E3173" t="s">
        <v>11745</v>
      </c>
      <c r="F3173" t="s">
        <v>28</v>
      </c>
      <c r="G3173" t="s">
        <v>11745</v>
      </c>
      <c r="H3173" t="str">
        <f>"fbxa-63"</f>
        <v>fbxa-63</v>
      </c>
      <c r="I3173" t="s">
        <v>3358</v>
      </c>
      <c r="J3173">
        <v>14.5270022058171</v>
      </c>
      <c r="K3173">
        <v>14.9724866401785</v>
      </c>
      <c r="L3173">
        <v>14.6385284178112</v>
      </c>
      <c r="M3173" t="s">
        <v>29</v>
      </c>
      <c r="N3173">
        <v>15.2621737266323</v>
      </c>
      <c r="O3173">
        <v>14.7226234593439</v>
      </c>
      <c r="P3173">
        <v>0.27972617171919201</v>
      </c>
      <c r="Q3173">
        <v>-0.53013523621452596</v>
      </c>
      <c r="R3173">
        <v>1.08958757965291</v>
      </c>
      <c r="S3173">
        <v>13.644885736965501</v>
      </c>
      <c r="T3173">
        <v>0.76111466663892802</v>
      </c>
      <c r="U3173">
        <v>-6.6362161089788003</v>
      </c>
      <c r="V3173">
        <v>0.46274436767231403</v>
      </c>
      <c r="W3173">
        <v>0.72812871006078805</v>
      </c>
      <c r="X3173">
        <v>0</v>
      </c>
      <c r="Y3173">
        <v>0</v>
      </c>
    </row>
    <row r="3174" spans="1:25" x14ac:dyDescent="0.2">
      <c r="A3174" t="s">
        <v>11747</v>
      </c>
      <c r="B3174" t="s">
        <v>11748</v>
      </c>
      <c r="C3174" t="s">
        <v>11749</v>
      </c>
      <c r="D3174" t="s">
        <v>603</v>
      </c>
      <c r="E3174" t="s">
        <v>11748</v>
      </c>
      <c r="F3174" t="s">
        <v>28</v>
      </c>
      <c r="G3174" t="s">
        <v>11748</v>
      </c>
      <c r="H3174" t="str">
        <f>"pes-4"</f>
        <v>pes-4</v>
      </c>
      <c r="I3174" t="s">
        <v>603</v>
      </c>
      <c r="J3174">
        <v>13.578063481983801</v>
      </c>
      <c r="K3174">
        <v>13.736318199982099</v>
      </c>
      <c r="L3174">
        <v>13.255018077455199</v>
      </c>
      <c r="M3174">
        <v>13.281654577022801</v>
      </c>
      <c r="N3174">
        <v>13.5302361915381</v>
      </c>
      <c r="O3174">
        <v>13.4726892109398</v>
      </c>
      <c r="P3174">
        <v>-9.49399266401105E-2</v>
      </c>
      <c r="Q3174">
        <v>-0.62071596401648199</v>
      </c>
      <c r="R3174">
        <v>0.43083611073626099</v>
      </c>
      <c r="S3174">
        <v>13.5834895822271</v>
      </c>
      <c r="T3174">
        <v>-0.38299899351084499</v>
      </c>
      <c r="U3174">
        <v>-6.9750580532790698</v>
      </c>
      <c r="V3174">
        <v>0.70679402431452598</v>
      </c>
      <c r="W3174">
        <v>0.86869816049085902</v>
      </c>
      <c r="X3174">
        <v>0</v>
      </c>
      <c r="Y3174">
        <v>0</v>
      </c>
    </row>
    <row r="3175" spans="1:25" x14ac:dyDescent="0.2">
      <c r="A3175" t="s">
        <v>11750</v>
      </c>
      <c r="B3175" t="s">
        <v>11751</v>
      </c>
      <c r="C3175" t="s">
        <v>11752</v>
      </c>
      <c r="D3175" t="s">
        <v>11753</v>
      </c>
      <c r="E3175" t="s">
        <v>11751</v>
      </c>
      <c r="F3175" t="s">
        <v>28</v>
      </c>
      <c r="G3175" t="s">
        <v>11751</v>
      </c>
      <c r="H3175" t="str">
        <f>"orc-3"</f>
        <v>orc-3</v>
      </c>
      <c r="I3175" t="s">
        <v>11753</v>
      </c>
      <c r="J3175" t="s">
        <v>29</v>
      </c>
      <c r="K3175">
        <v>11.707631127622999</v>
      </c>
      <c r="L3175">
        <v>10.939134454981801</v>
      </c>
      <c r="M3175" t="s">
        <v>29</v>
      </c>
      <c r="N3175">
        <v>12.254894626183299</v>
      </c>
      <c r="O3175">
        <v>11.1405878705761</v>
      </c>
      <c r="P3175">
        <v>0.374358457077276</v>
      </c>
      <c r="Q3175">
        <v>-1.10914755107352</v>
      </c>
      <c r="R3175">
        <v>1.85786446522807</v>
      </c>
      <c r="S3175">
        <v>12.2439565581422</v>
      </c>
      <c r="T3175">
        <v>0.53819535473147895</v>
      </c>
      <c r="U3175">
        <v>-6.6998156597710903</v>
      </c>
      <c r="V3175">
        <v>0.59839312176975001</v>
      </c>
      <c r="W3175">
        <v>0.80772623300037905</v>
      </c>
      <c r="X3175">
        <v>0</v>
      </c>
      <c r="Y3175">
        <v>0</v>
      </c>
    </row>
    <row r="3176" spans="1:25" x14ac:dyDescent="0.2">
      <c r="A3176" t="s">
        <v>11754</v>
      </c>
      <c r="B3176" t="s">
        <v>11755</v>
      </c>
      <c r="C3176" t="s">
        <v>11756</v>
      </c>
      <c r="D3176" t="s">
        <v>11757</v>
      </c>
      <c r="E3176" t="s">
        <v>11755</v>
      </c>
      <c r="F3176" t="s">
        <v>28</v>
      </c>
      <c r="G3176" t="s">
        <v>11755</v>
      </c>
      <c r="H3176" t="str">
        <f>"mrpl-45"</f>
        <v>mrpl-45</v>
      </c>
      <c r="I3176" t="s">
        <v>11757</v>
      </c>
      <c r="J3176">
        <v>14.906824053074001</v>
      </c>
      <c r="K3176">
        <v>15.0782771518766</v>
      </c>
      <c r="L3176">
        <v>15.1209291071784</v>
      </c>
      <c r="M3176">
        <v>14.2679363222113</v>
      </c>
      <c r="N3176">
        <v>14.0466051999434</v>
      </c>
      <c r="O3176">
        <v>14.305906461051499</v>
      </c>
      <c r="P3176">
        <v>-0.82852744297424996</v>
      </c>
      <c r="Q3176">
        <v>-1.3321150744902901</v>
      </c>
      <c r="R3176">
        <v>-0.324939811458207</v>
      </c>
      <c r="S3176">
        <v>15.031801912515199</v>
      </c>
      <c r="T3176">
        <v>-3.4579949613575498</v>
      </c>
      <c r="U3176">
        <v>-2.2635251531044398</v>
      </c>
      <c r="V3176">
        <v>2.8260404394265899E-3</v>
      </c>
      <c r="W3176">
        <v>3.6931468232506502E-2</v>
      </c>
      <c r="X3176">
        <v>0</v>
      </c>
      <c r="Y3176">
        <v>0</v>
      </c>
    </row>
    <row r="3177" spans="1:25" x14ac:dyDescent="0.2">
      <c r="A3177" t="s">
        <v>11758</v>
      </c>
      <c r="B3177" t="s">
        <v>11759</v>
      </c>
      <c r="C3177" t="s">
        <v>11760</v>
      </c>
      <c r="D3177" t="s">
        <v>11761</v>
      </c>
      <c r="E3177" t="s">
        <v>11759</v>
      </c>
      <c r="F3177" t="s">
        <v>28</v>
      </c>
      <c r="G3177" t="s">
        <v>11759</v>
      </c>
      <c r="H3177" t="str">
        <f>"fusm-2"</f>
        <v>fusm-2</v>
      </c>
      <c r="I3177" t="s">
        <v>11761</v>
      </c>
      <c r="J3177">
        <v>11.829439945643401</v>
      </c>
      <c r="K3177">
        <v>11.9031551033989</v>
      </c>
      <c r="L3177">
        <v>12.0042965220506</v>
      </c>
      <c r="M3177">
        <v>11.8450544575509</v>
      </c>
      <c r="N3177">
        <v>12.3102144029892</v>
      </c>
      <c r="O3177">
        <v>12.053835165248699</v>
      </c>
      <c r="P3177">
        <v>0.157404151565332</v>
      </c>
      <c r="Q3177">
        <v>-0.27375650513267802</v>
      </c>
      <c r="R3177">
        <v>0.58856480826334301</v>
      </c>
      <c r="S3177">
        <v>12.165651530342201</v>
      </c>
      <c r="T3177">
        <v>0.77433089563477797</v>
      </c>
      <c r="U3177">
        <v>-6.7416342850479296</v>
      </c>
      <c r="V3177">
        <v>0.45010027683809101</v>
      </c>
      <c r="W3177">
        <v>0.71795406903487702</v>
      </c>
      <c r="X3177">
        <v>0</v>
      </c>
      <c r="Y3177">
        <v>0</v>
      </c>
    </row>
    <row r="3178" spans="1:25" x14ac:dyDescent="0.2">
      <c r="A3178" t="s">
        <v>11762</v>
      </c>
      <c r="B3178" t="s">
        <v>11763</v>
      </c>
      <c r="C3178" t="s">
        <v>11764</v>
      </c>
      <c r="D3178" t="s">
        <v>1151</v>
      </c>
      <c r="E3178" t="s">
        <v>11763</v>
      </c>
      <c r="F3178" t="s">
        <v>28</v>
      </c>
      <c r="G3178" t="s">
        <v>11763</v>
      </c>
      <c r="H3178" t="str">
        <f>"zig-9"</f>
        <v>zig-9</v>
      </c>
      <c r="I3178" t="s">
        <v>1151</v>
      </c>
      <c r="J3178">
        <v>14.4893682758922</v>
      </c>
      <c r="K3178">
        <v>14.1731379086775</v>
      </c>
      <c r="L3178">
        <v>13.7687794429843</v>
      </c>
      <c r="M3178">
        <v>14.539158258140199</v>
      </c>
      <c r="N3178">
        <v>13.8899809714671</v>
      </c>
      <c r="O3178">
        <v>13.9806188782053</v>
      </c>
      <c r="P3178">
        <v>-7.1758399137920002E-3</v>
      </c>
      <c r="Q3178">
        <v>-0.54496949650890103</v>
      </c>
      <c r="R3178">
        <v>0.53061781668131702</v>
      </c>
      <c r="S3178">
        <v>13.627842042197299</v>
      </c>
      <c r="T3178">
        <v>-2.86384137316332E-2</v>
      </c>
      <c r="U3178">
        <v>-7.0516500915607399</v>
      </c>
      <c r="V3178">
        <v>0.97756023698719796</v>
      </c>
      <c r="W3178">
        <v>0.98849627444261701</v>
      </c>
      <c r="X3178">
        <v>0</v>
      </c>
      <c r="Y3178">
        <v>0</v>
      </c>
    </row>
    <row r="3179" spans="1:25" x14ac:dyDescent="0.2">
      <c r="A3179" t="s">
        <v>11765</v>
      </c>
      <c r="B3179" t="s">
        <v>11766</v>
      </c>
      <c r="C3179" t="s">
        <v>11767</v>
      </c>
      <c r="D3179" t="s">
        <v>11768</v>
      </c>
      <c r="E3179" t="s">
        <v>11766</v>
      </c>
      <c r="F3179" t="s">
        <v>28</v>
      </c>
      <c r="G3179" t="s">
        <v>11766</v>
      </c>
      <c r="H3179" t="str">
        <f>"bet-1"</f>
        <v>bet-1</v>
      </c>
      <c r="I3179" t="s">
        <v>11768</v>
      </c>
      <c r="J3179" t="s">
        <v>29</v>
      </c>
      <c r="K3179" t="s">
        <v>29</v>
      </c>
      <c r="L3179" t="s">
        <v>29</v>
      </c>
      <c r="M3179" t="s">
        <v>29</v>
      </c>
      <c r="N3179" t="s">
        <v>29</v>
      </c>
      <c r="O3179" t="s">
        <v>29</v>
      </c>
      <c r="P3179" t="s">
        <v>29</v>
      </c>
      <c r="Q3179" t="s">
        <v>29</v>
      </c>
      <c r="R3179" t="s">
        <v>29</v>
      </c>
      <c r="S3179">
        <v>11.1419772264139</v>
      </c>
      <c r="T3179" t="s">
        <v>29</v>
      </c>
      <c r="U3179" t="s">
        <v>29</v>
      </c>
      <c r="V3179" t="s">
        <v>29</v>
      </c>
      <c r="W3179" t="s">
        <v>29</v>
      </c>
      <c r="X3179" t="s">
        <v>29</v>
      </c>
      <c r="Y3179" t="s">
        <v>29</v>
      </c>
    </row>
    <row r="3180" spans="1:25" x14ac:dyDescent="0.2">
      <c r="A3180" t="s">
        <v>11769</v>
      </c>
      <c r="B3180" t="s">
        <v>11770</v>
      </c>
      <c r="C3180" t="s">
        <v>11771</v>
      </c>
      <c r="D3180" t="s">
        <v>11772</v>
      </c>
      <c r="E3180" t="s">
        <v>11770</v>
      </c>
      <c r="F3180" t="s">
        <v>28</v>
      </c>
      <c r="G3180" t="s">
        <v>11770</v>
      </c>
      <c r="H3180" t="str">
        <f>"rnf-145"</f>
        <v>rnf-145</v>
      </c>
      <c r="I3180" t="s">
        <v>11772</v>
      </c>
      <c r="J3180" t="s">
        <v>29</v>
      </c>
      <c r="K3180" t="s">
        <v>29</v>
      </c>
      <c r="L3180" t="s">
        <v>29</v>
      </c>
      <c r="M3180" t="s">
        <v>29</v>
      </c>
      <c r="N3180" t="s">
        <v>29</v>
      </c>
      <c r="O3180" t="s">
        <v>29</v>
      </c>
      <c r="P3180" t="s">
        <v>29</v>
      </c>
      <c r="Q3180" t="s">
        <v>29</v>
      </c>
      <c r="R3180" t="s">
        <v>29</v>
      </c>
      <c r="S3180">
        <v>10.6203061812196</v>
      </c>
      <c r="T3180" t="s">
        <v>29</v>
      </c>
      <c r="U3180" t="s">
        <v>29</v>
      </c>
      <c r="V3180" t="s">
        <v>29</v>
      </c>
      <c r="W3180" t="s">
        <v>29</v>
      </c>
      <c r="X3180" t="s">
        <v>29</v>
      </c>
      <c r="Y3180" t="s">
        <v>29</v>
      </c>
    </row>
    <row r="3181" spans="1:25" x14ac:dyDescent="0.2">
      <c r="A3181" t="s">
        <v>11773</v>
      </c>
      <c r="B3181" t="s">
        <v>11774</v>
      </c>
      <c r="C3181" t="s">
        <v>11775</v>
      </c>
      <c r="D3181" t="s">
        <v>11776</v>
      </c>
      <c r="E3181" t="s">
        <v>11774</v>
      </c>
      <c r="F3181" t="s">
        <v>28</v>
      </c>
      <c r="G3181" t="s">
        <v>11774</v>
      </c>
      <c r="H3181" t="str">
        <f>"mrpl-19"</f>
        <v>mrpl-19</v>
      </c>
      <c r="I3181" t="s">
        <v>11776</v>
      </c>
      <c r="J3181">
        <v>13.5540843768316</v>
      </c>
      <c r="K3181">
        <v>13.767852292796199</v>
      </c>
      <c r="L3181">
        <v>13.6291956780167</v>
      </c>
      <c r="M3181">
        <v>12.885195703946399</v>
      </c>
      <c r="N3181">
        <v>12.619431759434599</v>
      </c>
      <c r="O3181">
        <v>12.678096368843899</v>
      </c>
      <c r="P3181">
        <v>-0.922802838473192</v>
      </c>
      <c r="Q3181">
        <v>-1.35790015236196</v>
      </c>
      <c r="R3181">
        <v>-0.48770552458442701</v>
      </c>
      <c r="S3181">
        <v>13.537243961505499</v>
      </c>
      <c r="T3181">
        <v>-4.4577430616587899</v>
      </c>
      <c r="U3181">
        <v>-7.2466954454307994E-2</v>
      </c>
      <c r="V3181">
        <v>3.0805794291539098E-4</v>
      </c>
      <c r="W3181">
        <v>7.55393022853803E-3</v>
      </c>
      <c r="X3181">
        <v>0</v>
      </c>
      <c r="Y3181">
        <v>0</v>
      </c>
    </row>
    <row r="3182" spans="1:25" x14ac:dyDescent="0.2">
      <c r="A3182" t="s">
        <v>11777</v>
      </c>
      <c r="B3182" t="s">
        <v>11778</v>
      </c>
      <c r="C3182" t="s">
        <v>11779</v>
      </c>
      <c r="D3182" t="s">
        <v>11780</v>
      </c>
      <c r="E3182" t="s">
        <v>11778</v>
      </c>
      <c r="F3182" t="s">
        <v>28</v>
      </c>
      <c r="G3182" t="s">
        <v>11778</v>
      </c>
      <c r="H3182" t="str">
        <f>"hcp-6"</f>
        <v>hcp-6</v>
      </c>
      <c r="I3182" t="s">
        <v>11780</v>
      </c>
      <c r="J3182" t="s">
        <v>29</v>
      </c>
      <c r="K3182" t="s">
        <v>29</v>
      </c>
      <c r="L3182" t="s">
        <v>29</v>
      </c>
      <c r="M3182" t="s">
        <v>29</v>
      </c>
      <c r="N3182">
        <v>11.0080028686296</v>
      </c>
      <c r="O3182">
        <v>11.841757321211301</v>
      </c>
      <c r="P3182" t="s">
        <v>29</v>
      </c>
      <c r="Q3182" t="s">
        <v>29</v>
      </c>
      <c r="R3182" t="s">
        <v>29</v>
      </c>
      <c r="S3182">
        <v>11.589944636262601</v>
      </c>
      <c r="T3182" t="s">
        <v>29</v>
      </c>
      <c r="U3182" t="s">
        <v>29</v>
      </c>
      <c r="V3182" t="s">
        <v>29</v>
      </c>
      <c r="W3182" t="s">
        <v>29</v>
      </c>
      <c r="X3182" t="s">
        <v>29</v>
      </c>
      <c r="Y3182" t="s">
        <v>29</v>
      </c>
    </row>
    <row r="3183" spans="1:25" x14ac:dyDescent="0.2">
      <c r="A3183" t="s">
        <v>11781</v>
      </c>
      <c r="B3183" t="s">
        <v>11782</v>
      </c>
      <c r="C3183" t="s">
        <v>11783</v>
      </c>
      <c r="D3183" t="s">
        <v>11784</v>
      </c>
      <c r="E3183" t="s">
        <v>11782</v>
      </c>
      <c r="F3183" t="s">
        <v>28</v>
      </c>
      <c r="G3183" t="s">
        <v>11782</v>
      </c>
      <c r="H3183" t="str">
        <f>"lpd-7"</f>
        <v>lpd-7</v>
      </c>
      <c r="I3183" t="s">
        <v>11784</v>
      </c>
      <c r="J3183">
        <v>15.915421097740399</v>
      </c>
      <c r="K3183">
        <v>15.915366224172001</v>
      </c>
      <c r="L3183">
        <v>15.8586147526849</v>
      </c>
      <c r="M3183">
        <v>15.885085645735201</v>
      </c>
      <c r="N3183">
        <v>15.498215499830399</v>
      </c>
      <c r="O3183">
        <v>15.305908813957799</v>
      </c>
      <c r="P3183">
        <v>-0.33339737169129102</v>
      </c>
      <c r="Q3183">
        <v>-0.68927682267842205</v>
      </c>
      <c r="R3183">
        <v>2.2482079295840101E-2</v>
      </c>
      <c r="S3183">
        <v>15.976036007395001</v>
      </c>
      <c r="T3183">
        <v>-1.9690274608236999</v>
      </c>
      <c r="U3183">
        <v>-5.2143886254808098</v>
      </c>
      <c r="V3183">
        <v>6.4634584431958006E-2</v>
      </c>
      <c r="W3183">
        <v>0.25774624723234202</v>
      </c>
      <c r="X3183">
        <v>0</v>
      </c>
      <c r="Y3183">
        <v>0</v>
      </c>
    </row>
    <row r="3184" spans="1:25" x14ac:dyDescent="0.2">
      <c r="A3184" t="s">
        <v>11785</v>
      </c>
      <c r="B3184" t="s">
        <v>11786</v>
      </c>
      <c r="C3184" t="s">
        <v>11787</v>
      </c>
      <c r="D3184" t="s">
        <v>11788</v>
      </c>
      <c r="E3184" t="s">
        <v>11786</v>
      </c>
      <c r="F3184" t="s">
        <v>28</v>
      </c>
      <c r="G3184" t="s">
        <v>11786</v>
      </c>
      <c r="H3184" t="str">
        <f>"rpl-9"</f>
        <v>rpl-9</v>
      </c>
      <c r="I3184" t="s">
        <v>11788</v>
      </c>
      <c r="J3184">
        <v>21.399571618648199</v>
      </c>
      <c r="K3184">
        <v>21.518046792006999</v>
      </c>
      <c r="L3184">
        <v>21.435586056825802</v>
      </c>
      <c r="M3184">
        <v>21.443187205581001</v>
      </c>
      <c r="N3184">
        <v>21.086070823875499</v>
      </c>
      <c r="O3184">
        <v>20.741038837416099</v>
      </c>
      <c r="P3184">
        <v>-0.36096920020283801</v>
      </c>
      <c r="Q3184">
        <v>-0.90750853226225203</v>
      </c>
      <c r="R3184">
        <v>0.185570131856576</v>
      </c>
      <c r="S3184">
        <v>20.6660036601027</v>
      </c>
      <c r="T3184">
        <v>-1.38816547423731</v>
      </c>
      <c r="U3184">
        <v>-6.0933466982376796</v>
      </c>
      <c r="V3184">
        <v>0.18212751938421801</v>
      </c>
      <c r="W3184">
        <v>0.44526141853962697</v>
      </c>
      <c r="X3184">
        <v>0</v>
      </c>
      <c r="Y3184">
        <v>0</v>
      </c>
    </row>
    <row r="3185" spans="1:25" x14ac:dyDescent="0.2">
      <c r="A3185" t="s">
        <v>11789</v>
      </c>
      <c r="B3185" t="s">
        <v>11790</v>
      </c>
      <c r="C3185" t="s">
        <v>11791</v>
      </c>
      <c r="D3185" t="s">
        <v>11792</v>
      </c>
      <c r="E3185" t="s">
        <v>11790</v>
      </c>
      <c r="F3185" t="s">
        <v>28</v>
      </c>
      <c r="G3185" t="s">
        <v>11790</v>
      </c>
      <c r="H3185" t="str">
        <f>"rpa-2"</f>
        <v>rpa-2</v>
      </c>
      <c r="I3185" t="s">
        <v>11792</v>
      </c>
      <c r="J3185">
        <v>12.1040186045407</v>
      </c>
      <c r="K3185">
        <v>12.2445391765623</v>
      </c>
      <c r="L3185">
        <v>12.6593661445287</v>
      </c>
      <c r="M3185">
        <v>12.469829019909</v>
      </c>
      <c r="N3185" t="s">
        <v>29</v>
      </c>
      <c r="O3185">
        <v>11.550100609336701</v>
      </c>
      <c r="P3185">
        <v>-0.32600982725436201</v>
      </c>
      <c r="Q3185">
        <v>-1.75976321254195</v>
      </c>
      <c r="R3185">
        <v>1.10774355803323</v>
      </c>
      <c r="S3185">
        <v>12.999024289506901</v>
      </c>
      <c r="T3185">
        <v>-0.48228723255911199</v>
      </c>
      <c r="U3185">
        <v>-6.8198428462507001</v>
      </c>
      <c r="V3185">
        <v>0.63617606335193</v>
      </c>
      <c r="W3185">
        <v>0.83270993972131102</v>
      </c>
      <c r="X3185">
        <v>0</v>
      </c>
      <c r="Y3185">
        <v>0</v>
      </c>
    </row>
    <row r="3186" spans="1:25" x14ac:dyDescent="0.2">
      <c r="A3186" t="s">
        <v>11793</v>
      </c>
      <c r="B3186" t="s">
        <v>11794</v>
      </c>
      <c r="C3186" t="s">
        <v>11795</v>
      </c>
      <c r="D3186" t="s">
        <v>3015</v>
      </c>
      <c r="E3186" t="s">
        <v>11794</v>
      </c>
      <c r="F3186" t="s">
        <v>28</v>
      </c>
      <c r="G3186" t="s">
        <v>11794</v>
      </c>
      <c r="H3186" t="str">
        <f>"cas-1"</f>
        <v>cas-1</v>
      </c>
      <c r="I3186" t="s">
        <v>3015</v>
      </c>
      <c r="J3186">
        <v>12.9517087802276</v>
      </c>
      <c r="K3186">
        <v>12.8508165567725</v>
      </c>
      <c r="L3186">
        <v>13.2594132509975</v>
      </c>
      <c r="M3186">
        <v>13.511638452017801</v>
      </c>
      <c r="N3186">
        <v>12.5181490742977</v>
      </c>
      <c r="O3186">
        <v>12.9502937583889</v>
      </c>
      <c r="P3186">
        <v>-2.7285767764432499E-2</v>
      </c>
      <c r="Q3186">
        <v>-0.60757342795181002</v>
      </c>
      <c r="R3186">
        <v>0.55300189242294495</v>
      </c>
      <c r="S3186">
        <v>12.851732240907101</v>
      </c>
      <c r="T3186">
        <v>-9.9733801436095601E-2</v>
      </c>
      <c r="U3186">
        <v>-7.0468406097737502</v>
      </c>
      <c r="V3186">
        <v>0.92180271384517698</v>
      </c>
      <c r="W3186">
        <v>0.97210472750093202</v>
      </c>
      <c r="X3186">
        <v>0</v>
      </c>
      <c r="Y3186">
        <v>0</v>
      </c>
    </row>
    <row r="3187" spans="1:25" x14ac:dyDescent="0.2">
      <c r="A3187" t="s">
        <v>11796</v>
      </c>
      <c r="B3187" t="s">
        <v>11797</v>
      </c>
      <c r="C3187" t="s">
        <v>11798</v>
      </c>
      <c r="D3187" t="s">
        <v>11799</v>
      </c>
      <c r="E3187" t="s">
        <v>11797</v>
      </c>
      <c r="F3187" t="s">
        <v>28</v>
      </c>
      <c r="G3187" t="s">
        <v>11797</v>
      </c>
      <c r="H3187" t="str">
        <f>"acdh-9"</f>
        <v>acdh-9</v>
      </c>
      <c r="I3187" t="s">
        <v>11799</v>
      </c>
      <c r="J3187">
        <v>16.382520421423401</v>
      </c>
      <c r="K3187">
        <v>16.173740800951698</v>
      </c>
      <c r="L3187">
        <v>16.349775557738401</v>
      </c>
      <c r="M3187">
        <v>15.943264783656</v>
      </c>
      <c r="N3187">
        <v>16.463604025142899</v>
      </c>
      <c r="O3187">
        <v>16.1238915956712</v>
      </c>
      <c r="P3187">
        <v>-0.125092125214429</v>
      </c>
      <c r="Q3187">
        <v>-0.54372292350819695</v>
      </c>
      <c r="R3187">
        <v>0.29353867307933801</v>
      </c>
      <c r="S3187">
        <v>16.112005058353901</v>
      </c>
      <c r="T3187">
        <v>-0.62804578924119403</v>
      </c>
      <c r="U3187">
        <v>-6.84763568396209</v>
      </c>
      <c r="V3187">
        <v>0.53790730286715305</v>
      </c>
      <c r="W3187">
        <v>0.77501266500839605</v>
      </c>
      <c r="X3187">
        <v>0</v>
      </c>
      <c r="Y3187">
        <v>0</v>
      </c>
    </row>
    <row r="3188" spans="1:25" x14ac:dyDescent="0.2">
      <c r="A3188" t="s">
        <v>11800</v>
      </c>
      <c r="B3188" t="s">
        <v>11801</v>
      </c>
      <c r="C3188" t="s">
        <v>11802</v>
      </c>
      <c r="D3188" t="s">
        <v>1170</v>
      </c>
      <c r="E3188" t="s">
        <v>11801</v>
      </c>
      <c r="F3188" t="s">
        <v>28</v>
      </c>
      <c r="G3188" t="s">
        <v>11801</v>
      </c>
      <c r="H3188" t="str">
        <f>"ptr-4"</f>
        <v>ptr-4</v>
      </c>
      <c r="I3188" t="s">
        <v>1170</v>
      </c>
      <c r="J3188" t="s">
        <v>29</v>
      </c>
      <c r="K3188">
        <v>12.5827533643103</v>
      </c>
      <c r="L3188">
        <v>11.848591010843601</v>
      </c>
      <c r="M3188" t="s">
        <v>29</v>
      </c>
      <c r="N3188">
        <v>10.9792352372805</v>
      </c>
      <c r="O3188">
        <v>11.2120035325889</v>
      </c>
      <c r="P3188">
        <v>-1.12005280264228</v>
      </c>
      <c r="Q3188">
        <v>-1.78665792813346</v>
      </c>
      <c r="R3188">
        <v>-0.45344767715109402</v>
      </c>
      <c r="S3188">
        <v>11.9062446780774</v>
      </c>
      <c r="T3188">
        <v>-3.6062990817426499</v>
      </c>
      <c r="U3188">
        <v>-2.0073882437897899</v>
      </c>
      <c r="V3188">
        <v>2.8940680013646702E-3</v>
      </c>
      <c r="W3188">
        <v>3.73702272874629E-2</v>
      </c>
      <c r="X3188">
        <v>-1</v>
      </c>
      <c r="Y3188">
        <v>-1</v>
      </c>
    </row>
    <row r="3189" spans="1:25" x14ac:dyDescent="0.2">
      <c r="A3189" t="s">
        <v>11803</v>
      </c>
      <c r="B3189" t="s">
        <v>11804</v>
      </c>
      <c r="C3189" t="s">
        <v>11805</v>
      </c>
      <c r="D3189" t="s">
        <v>11806</v>
      </c>
      <c r="E3189" t="s">
        <v>11804</v>
      </c>
      <c r="F3189" t="s">
        <v>28</v>
      </c>
      <c r="G3189" t="s">
        <v>11804</v>
      </c>
      <c r="H3189" t="str">
        <f>"vha-16"</f>
        <v>vha-16</v>
      </c>
      <c r="I3189" t="s">
        <v>11806</v>
      </c>
      <c r="J3189">
        <v>12.301362933516501</v>
      </c>
      <c r="K3189">
        <v>12.934559301794501</v>
      </c>
      <c r="L3189">
        <v>12.751940406238701</v>
      </c>
      <c r="M3189">
        <v>12.53208412793</v>
      </c>
      <c r="N3189">
        <v>13.476594755685101</v>
      </c>
      <c r="O3189">
        <v>14.0581641966308</v>
      </c>
      <c r="P3189">
        <v>0.69299347956537405</v>
      </c>
      <c r="Q3189">
        <v>6.0364219817278603E-2</v>
      </c>
      <c r="R3189">
        <v>1.3256227393134701</v>
      </c>
      <c r="S3189">
        <v>13.027353350101601</v>
      </c>
      <c r="T3189">
        <v>2.31222390510781</v>
      </c>
      <c r="U3189">
        <v>-4.6128575184984202</v>
      </c>
      <c r="V3189">
        <v>3.3641684828626499E-2</v>
      </c>
      <c r="W3189">
        <v>0.18184392430623</v>
      </c>
      <c r="X3189">
        <v>0</v>
      </c>
      <c r="Y3189">
        <v>0</v>
      </c>
    </row>
    <row r="3190" spans="1:25" x14ac:dyDescent="0.2">
      <c r="A3190" t="s">
        <v>11807</v>
      </c>
      <c r="B3190" t="s">
        <v>11808</v>
      </c>
      <c r="C3190" t="s">
        <v>11809</v>
      </c>
      <c r="D3190" t="s">
        <v>8596</v>
      </c>
      <c r="E3190" t="s">
        <v>11808</v>
      </c>
      <c r="F3190" t="s">
        <v>28</v>
      </c>
      <c r="G3190" t="s">
        <v>11808</v>
      </c>
      <c r="H3190" t="str">
        <f>"idhg-2"</f>
        <v>idhg-2</v>
      </c>
      <c r="I3190" t="s">
        <v>8596</v>
      </c>
      <c r="J3190">
        <v>13.680651379544599</v>
      </c>
      <c r="K3190">
        <v>13.627447430584199</v>
      </c>
      <c r="L3190">
        <v>13.1649051531961</v>
      </c>
      <c r="M3190">
        <v>13.334934180477999</v>
      </c>
      <c r="N3190">
        <v>13.8024715897948</v>
      </c>
      <c r="O3190">
        <v>13.9121976795618</v>
      </c>
      <c r="P3190">
        <v>0.192199828836561</v>
      </c>
      <c r="Q3190">
        <v>-0.46702358293068702</v>
      </c>
      <c r="R3190">
        <v>0.85142324060380903</v>
      </c>
      <c r="S3190">
        <v>13.512337186843901</v>
      </c>
      <c r="T3190">
        <v>0.61279171809252198</v>
      </c>
      <c r="U3190">
        <v>-6.8573446341827999</v>
      </c>
      <c r="V3190">
        <v>0.54772342811286601</v>
      </c>
      <c r="W3190">
        <v>0.77920996104149098</v>
      </c>
      <c r="X3190">
        <v>0</v>
      </c>
      <c r="Y3190">
        <v>0</v>
      </c>
    </row>
    <row r="3191" spans="1:25" x14ac:dyDescent="0.2">
      <c r="A3191" t="s">
        <v>11810</v>
      </c>
      <c r="B3191" t="s">
        <v>11811</v>
      </c>
      <c r="C3191" t="s">
        <v>11812</v>
      </c>
      <c r="D3191" t="s">
        <v>11813</v>
      </c>
      <c r="E3191" t="s">
        <v>11811</v>
      </c>
      <c r="F3191" t="s">
        <v>28</v>
      </c>
      <c r="G3191" t="s">
        <v>11811</v>
      </c>
      <c r="H3191" t="str">
        <f>"C30F12.2"</f>
        <v>C30F12.2</v>
      </c>
      <c r="I3191" t="s">
        <v>11813</v>
      </c>
      <c r="J3191">
        <v>14.1899123422894</v>
      </c>
      <c r="K3191">
        <v>13.986835216043399</v>
      </c>
      <c r="L3191">
        <v>14.328454217677301</v>
      </c>
      <c r="M3191">
        <v>13.773514486349899</v>
      </c>
      <c r="N3191">
        <v>14.057823802419</v>
      </c>
      <c r="O3191">
        <v>13.900965965371199</v>
      </c>
      <c r="P3191">
        <v>-0.25763250729000098</v>
      </c>
      <c r="Q3191">
        <v>-0.69957363963349395</v>
      </c>
      <c r="R3191">
        <v>0.18430862505349099</v>
      </c>
      <c r="S3191">
        <v>14.4023789879828</v>
      </c>
      <c r="T3191">
        <v>-1.2305131215720799</v>
      </c>
      <c r="U3191">
        <v>-6.29000233380353</v>
      </c>
      <c r="V3191">
        <v>0.235362833704017</v>
      </c>
      <c r="W3191">
        <v>0.50686344200719402</v>
      </c>
      <c r="X3191">
        <v>0</v>
      </c>
      <c r="Y3191">
        <v>0</v>
      </c>
    </row>
    <row r="3192" spans="1:25" x14ac:dyDescent="0.2">
      <c r="A3192" t="s">
        <v>11814</v>
      </c>
      <c r="B3192" t="s">
        <v>11815</v>
      </c>
      <c r="C3192" t="s">
        <v>11816</v>
      </c>
      <c r="D3192" t="s">
        <v>11817</v>
      </c>
      <c r="E3192" t="s">
        <v>11815</v>
      </c>
      <c r="F3192" t="s">
        <v>28</v>
      </c>
      <c r="G3192" t="s">
        <v>11815</v>
      </c>
      <c r="H3192" t="str">
        <f>"lig-4"</f>
        <v>lig-4</v>
      </c>
      <c r="I3192" t="s">
        <v>11817</v>
      </c>
      <c r="J3192">
        <v>11.2464747915531</v>
      </c>
      <c r="K3192" t="s">
        <v>29</v>
      </c>
      <c r="L3192">
        <v>11.7547292038594</v>
      </c>
      <c r="M3192" t="s">
        <v>29</v>
      </c>
      <c r="N3192" t="s">
        <v>29</v>
      </c>
      <c r="O3192" t="s">
        <v>29</v>
      </c>
      <c r="P3192" t="s">
        <v>29</v>
      </c>
      <c r="Q3192" t="s">
        <v>29</v>
      </c>
      <c r="R3192" t="s">
        <v>29</v>
      </c>
      <c r="S3192">
        <v>12.156887578053301</v>
      </c>
      <c r="T3192" t="s">
        <v>29</v>
      </c>
      <c r="U3192" t="s">
        <v>29</v>
      </c>
      <c r="V3192" t="s">
        <v>29</v>
      </c>
      <c r="W3192" t="s">
        <v>29</v>
      </c>
      <c r="X3192" t="s">
        <v>29</v>
      </c>
      <c r="Y3192" t="s">
        <v>29</v>
      </c>
    </row>
    <row r="3193" spans="1:25" x14ac:dyDescent="0.2">
      <c r="A3193" t="s">
        <v>11818</v>
      </c>
      <c r="B3193" t="s">
        <v>11819</v>
      </c>
      <c r="C3193" t="s">
        <v>11820</v>
      </c>
      <c r="D3193" t="s">
        <v>93</v>
      </c>
      <c r="E3193" t="s">
        <v>11819</v>
      </c>
      <c r="F3193" t="s">
        <v>28</v>
      </c>
      <c r="G3193" t="s">
        <v>11819</v>
      </c>
      <c r="H3193" t="str">
        <f>"cux-7"</f>
        <v>cux-7</v>
      </c>
      <c r="I3193" t="s">
        <v>93</v>
      </c>
      <c r="J3193">
        <v>12.3809590966231</v>
      </c>
      <c r="K3193">
        <v>12.5902216970434</v>
      </c>
      <c r="L3193">
        <v>12.4246128616238</v>
      </c>
      <c r="M3193">
        <v>12.9688094583748</v>
      </c>
      <c r="N3193">
        <v>12.4538384821837</v>
      </c>
      <c r="O3193">
        <v>12.344318879802101</v>
      </c>
      <c r="P3193">
        <v>0.123724388356814</v>
      </c>
      <c r="Q3193">
        <v>-0.30882067208268499</v>
      </c>
      <c r="R3193">
        <v>0.55626944879631302</v>
      </c>
      <c r="S3193">
        <v>12.508434095577099</v>
      </c>
      <c r="T3193">
        <v>0.60377339458307899</v>
      </c>
      <c r="U3193">
        <v>-6.8624978161174699</v>
      </c>
      <c r="V3193">
        <v>0.55401530634532603</v>
      </c>
      <c r="W3193">
        <v>0.78211097910962701</v>
      </c>
      <c r="X3193">
        <v>0</v>
      </c>
      <c r="Y3193">
        <v>0</v>
      </c>
    </row>
    <row r="3194" spans="1:25" x14ac:dyDescent="0.2">
      <c r="A3194" t="s">
        <v>11821</v>
      </c>
      <c r="B3194" t="s">
        <v>11822</v>
      </c>
      <c r="C3194" t="s">
        <v>11823</v>
      </c>
      <c r="D3194" t="s">
        <v>11824</v>
      </c>
      <c r="E3194" t="s">
        <v>11822</v>
      </c>
      <c r="F3194" t="s">
        <v>28</v>
      </c>
      <c r="G3194" t="s">
        <v>11822</v>
      </c>
      <c r="H3194" t="str">
        <f>"clk-2"</f>
        <v>clk-2</v>
      </c>
      <c r="I3194" t="s">
        <v>11824</v>
      </c>
      <c r="J3194" t="s">
        <v>29</v>
      </c>
      <c r="K3194" t="s">
        <v>29</v>
      </c>
      <c r="L3194" t="s">
        <v>29</v>
      </c>
      <c r="M3194" t="s">
        <v>29</v>
      </c>
      <c r="N3194" t="s">
        <v>29</v>
      </c>
      <c r="O3194" t="s">
        <v>29</v>
      </c>
      <c r="P3194" t="s">
        <v>29</v>
      </c>
      <c r="Q3194" t="s">
        <v>29</v>
      </c>
      <c r="R3194" t="s">
        <v>29</v>
      </c>
      <c r="S3194">
        <v>10.6693165575959</v>
      </c>
      <c r="T3194" t="s">
        <v>29</v>
      </c>
      <c r="U3194" t="s">
        <v>29</v>
      </c>
      <c r="V3194" t="s">
        <v>29</v>
      </c>
      <c r="W3194" t="s">
        <v>29</v>
      </c>
      <c r="X3194" t="s">
        <v>29</v>
      </c>
      <c r="Y3194" t="s">
        <v>29</v>
      </c>
    </row>
    <row r="3195" spans="1:25" x14ac:dyDescent="0.2">
      <c r="A3195" t="s">
        <v>11825</v>
      </c>
      <c r="B3195" t="s">
        <v>11826</v>
      </c>
      <c r="C3195" t="s">
        <v>11827</v>
      </c>
      <c r="D3195" t="s">
        <v>11828</v>
      </c>
      <c r="E3195" t="s">
        <v>11826</v>
      </c>
      <c r="F3195" t="s">
        <v>28</v>
      </c>
      <c r="G3195" t="s">
        <v>11826</v>
      </c>
      <c r="H3195" t="str">
        <f>"sap-140"</f>
        <v>sap-140</v>
      </c>
      <c r="I3195" t="s">
        <v>11828</v>
      </c>
      <c r="J3195">
        <v>11.017599868294599</v>
      </c>
      <c r="K3195">
        <v>12.3633453416676</v>
      </c>
      <c r="L3195">
        <v>12.1513695089181</v>
      </c>
      <c r="M3195">
        <v>12.2376333016937</v>
      </c>
      <c r="N3195" t="s">
        <v>29</v>
      </c>
      <c r="O3195">
        <v>12.1812730593303</v>
      </c>
      <c r="P3195">
        <v>0.365348274218597</v>
      </c>
      <c r="Q3195">
        <v>-0.59897519822312095</v>
      </c>
      <c r="R3195">
        <v>1.3296717466603201</v>
      </c>
      <c r="S3195">
        <v>12.4000432574875</v>
      </c>
      <c r="T3195">
        <v>0.81916533669571701</v>
      </c>
      <c r="U3195">
        <v>-6.5923013634499297</v>
      </c>
      <c r="V3195">
        <v>0.42757276762895802</v>
      </c>
      <c r="W3195">
        <v>0.69708834333627101</v>
      </c>
      <c r="X3195">
        <v>0</v>
      </c>
      <c r="Y3195">
        <v>0</v>
      </c>
    </row>
    <row r="3196" spans="1:25" x14ac:dyDescent="0.2">
      <c r="A3196" t="s">
        <v>11829</v>
      </c>
      <c r="B3196" t="s">
        <v>11830</v>
      </c>
      <c r="C3196" t="s">
        <v>11831</v>
      </c>
      <c r="D3196" t="s">
        <v>11832</v>
      </c>
      <c r="E3196" t="s">
        <v>11830</v>
      </c>
      <c r="F3196" t="s">
        <v>28</v>
      </c>
      <c r="G3196" t="s">
        <v>11830</v>
      </c>
      <c r="H3196" t="str">
        <f>"cgh-1"</f>
        <v>cgh-1</v>
      </c>
      <c r="I3196" t="s">
        <v>11832</v>
      </c>
      <c r="J3196">
        <v>19.118457123387898</v>
      </c>
      <c r="K3196">
        <v>18.963540474172198</v>
      </c>
      <c r="L3196">
        <v>19.147715667708098</v>
      </c>
      <c r="M3196">
        <v>18.916240438098299</v>
      </c>
      <c r="N3196">
        <v>19.074639527563001</v>
      </c>
      <c r="O3196">
        <v>18.3648123647007</v>
      </c>
      <c r="P3196">
        <v>-0.29134031163538099</v>
      </c>
      <c r="Q3196">
        <v>-0.67514638297842999</v>
      </c>
      <c r="R3196">
        <v>9.2465759707669001E-2</v>
      </c>
      <c r="S3196">
        <v>18.749597629217899</v>
      </c>
      <c r="T3196">
        <v>-1.59544285398098</v>
      </c>
      <c r="U3196">
        <v>-5.8054904504308302</v>
      </c>
      <c r="V3196">
        <v>0.128121568711315</v>
      </c>
      <c r="W3196">
        <v>0.37190685511741201</v>
      </c>
      <c r="X3196">
        <v>0</v>
      </c>
      <c r="Y3196">
        <v>0</v>
      </c>
    </row>
    <row r="3197" spans="1:25" x14ac:dyDescent="0.2">
      <c r="A3197" t="s">
        <v>11833</v>
      </c>
      <c r="B3197" t="s">
        <v>11834</v>
      </c>
      <c r="C3197" t="s">
        <v>11835</v>
      </c>
      <c r="D3197" t="s">
        <v>11836</v>
      </c>
      <c r="E3197" t="s">
        <v>11834</v>
      </c>
      <c r="F3197" t="s">
        <v>28</v>
      </c>
      <c r="G3197" t="s">
        <v>11834</v>
      </c>
      <c r="H3197" t="str">
        <f>"ZK353.9"</f>
        <v>ZK353.9</v>
      </c>
      <c r="I3197" t="s">
        <v>11836</v>
      </c>
      <c r="J3197" t="s">
        <v>29</v>
      </c>
      <c r="K3197" t="s">
        <v>29</v>
      </c>
      <c r="L3197" t="s">
        <v>29</v>
      </c>
      <c r="M3197">
        <v>11.106140110681601</v>
      </c>
      <c r="N3197">
        <v>11.2184562066991</v>
      </c>
      <c r="O3197">
        <v>11.6959305371344</v>
      </c>
      <c r="P3197" t="s">
        <v>29</v>
      </c>
      <c r="Q3197" t="s">
        <v>29</v>
      </c>
      <c r="R3197" t="s">
        <v>29</v>
      </c>
      <c r="S3197">
        <v>10.8025084278715</v>
      </c>
      <c r="T3197" t="s">
        <v>29</v>
      </c>
      <c r="U3197" t="s">
        <v>29</v>
      </c>
      <c r="V3197" t="s">
        <v>29</v>
      </c>
      <c r="W3197" t="s">
        <v>29</v>
      </c>
      <c r="X3197" t="s">
        <v>29</v>
      </c>
      <c r="Y3197" t="s">
        <v>29</v>
      </c>
    </row>
    <row r="3198" spans="1:25" x14ac:dyDescent="0.2">
      <c r="A3198" t="s">
        <v>11837</v>
      </c>
      <c r="B3198" t="s">
        <v>11838</v>
      </c>
      <c r="C3198" t="s">
        <v>14629</v>
      </c>
      <c r="D3198" t="s">
        <v>11839</v>
      </c>
      <c r="E3198" t="s">
        <v>11838</v>
      </c>
      <c r="F3198" t="s">
        <v>28</v>
      </c>
      <c r="G3198" t="s">
        <v>11838</v>
      </c>
      <c r="H3198" t="str">
        <f>"Y10G11A.1"</f>
        <v>Y10G11A.1</v>
      </c>
      <c r="I3198" t="s">
        <v>11839</v>
      </c>
      <c r="J3198">
        <v>13.9862202785168</v>
      </c>
      <c r="K3198">
        <v>13.194968023390301</v>
      </c>
      <c r="L3198">
        <v>12.8175116315767</v>
      </c>
      <c r="M3198">
        <v>12.542891866715101</v>
      </c>
      <c r="N3198">
        <v>13.202967694097</v>
      </c>
      <c r="O3198">
        <v>13.700999975768299</v>
      </c>
      <c r="P3198">
        <v>-0.18394679896775801</v>
      </c>
      <c r="Q3198">
        <v>-1.0040808863577699</v>
      </c>
      <c r="R3198">
        <v>0.63618728842225003</v>
      </c>
      <c r="S3198">
        <v>13.2706366771483</v>
      </c>
      <c r="T3198">
        <v>-0.47835352382183</v>
      </c>
      <c r="U3198">
        <v>-6.9318191088660299</v>
      </c>
      <c r="V3198">
        <v>0.63934392702688603</v>
      </c>
      <c r="W3198">
        <v>0.835047982319575</v>
      </c>
      <c r="X3198">
        <v>0</v>
      </c>
      <c r="Y3198">
        <v>0</v>
      </c>
    </row>
    <row r="3199" spans="1:25" x14ac:dyDescent="0.2">
      <c r="A3199" t="s">
        <v>11840</v>
      </c>
      <c r="B3199" t="s">
        <v>11841</v>
      </c>
      <c r="C3199" t="s">
        <v>11842</v>
      </c>
      <c r="D3199" t="s">
        <v>11843</v>
      </c>
      <c r="E3199" t="s">
        <v>11841</v>
      </c>
      <c r="F3199" t="s">
        <v>28</v>
      </c>
      <c r="G3199" t="s">
        <v>11841</v>
      </c>
      <c r="H3199" t="str">
        <f>"gld-3"</f>
        <v>gld-3</v>
      </c>
      <c r="I3199" t="s">
        <v>11843</v>
      </c>
      <c r="J3199">
        <v>14.187160240648</v>
      </c>
      <c r="K3199">
        <v>11.9646516047459</v>
      </c>
      <c r="L3199">
        <v>12.9686340781645</v>
      </c>
      <c r="M3199" t="s">
        <v>29</v>
      </c>
      <c r="N3199" t="s">
        <v>29</v>
      </c>
      <c r="O3199" t="s">
        <v>29</v>
      </c>
      <c r="P3199" t="s">
        <v>29</v>
      </c>
      <c r="Q3199" t="s">
        <v>29</v>
      </c>
      <c r="R3199" t="s">
        <v>29</v>
      </c>
      <c r="S3199">
        <v>13.6705213039059</v>
      </c>
      <c r="T3199" t="s">
        <v>29</v>
      </c>
      <c r="U3199" t="s">
        <v>29</v>
      </c>
      <c r="V3199" t="s">
        <v>29</v>
      </c>
      <c r="W3199" t="s">
        <v>29</v>
      </c>
      <c r="X3199" t="s">
        <v>29</v>
      </c>
      <c r="Y3199" t="s">
        <v>29</v>
      </c>
    </row>
    <row r="3200" spans="1:25" x14ac:dyDescent="0.2">
      <c r="A3200" t="s">
        <v>11844</v>
      </c>
      <c r="B3200" t="s">
        <v>11845</v>
      </c>
      <c r="C3200" t="s">
        <v>11846</v>
      </c>
      <c r="D3200" t="s">
        <v>11847</v>
      </c>
      <c r="E3200" t="s">
        <v>11845</v>
      </c>
      <c r="F3200" t="s">
        <v>28</v>
      </c>
      <c r="G3200" t="s">
        <v>11845</v>
      </c>
      <c r="H3200" t="str">
        <f>"aak-2"</f>
        <v>aak-2</v>
      </c>
      <c r="I3200" t="s">
        <v>11847</v>
      </c>
      <c r="J3200">
        <v>14.8968919194471</v>
      </c>
      <c r="K3200">
        <v>14.7346790546483</v>
      </c>
      <c r="L3200">
        <v>14.649766923707</v>
      </c>
      <c r="M3200">
        <v>14.9873355251099</v>
      </c>
      <c r="N3200">
        <v>15.136690840420901</v>
      </c>
      <c r="O3200">
        <v>14.927569232932701</v>
      </c>
      <c r="P3200">
        <v>0.25675256688704601</v>
      </c>
      <c r="Q3200">
        <v>-9.2632847525419296E-2</v>
      </c>
      <c r="R3200">
        <v>0.60613798129951202</v>
      </c>
      <c r="S3200">
        <v>14.7285092750364</v>
      </c>
      <c r="T3200">
        <v>1.5445520084034201</v>
      </c>
      <c r="U3200">
        <v>-5.8790194005863601</v>
      </c>
      <c r="V3200">
        <v>0.139954944595089</v>
      </c>
      <c r="W3200">
        <v>0.38677888604987698</v>
      </c>
      <c r="X3200">
        <v>0</v>
      </c>
      <c r="Y3200">
        <v>0</v>
      </c>
    </row>
    <row r="3201" spans="1:25" x14ac:dyDescent="0.2">
      <c r="A3201" t="s">
        <v>11848</v>
      </c>
      <c r="B3201" t="s">
        <v>11849</v>
      </c>
      <c r="C3201" t="s">
        <v>11850</v>
      </c>
      <c r="D3201" t="s">
        <v>11851</v>
      </c>
      <c r="E3201" t="s">
        <v>11849</v>
      </c>
      <c r="F3201" t="s">
        <v>28</v>
      </c>
      <c r="G3201" t="s">
        <v>11849</v>
      </c>
      <c r="H3201" t="str">
        <f>"pnn-1"</f>
        <v>pnn-1</v>
      </c>
      <c r="I3201" t="s">
        <v>11851</v>
      </c>
      <c r="J3201" t="s">
        <v>29</v>
      </c>
      <c r="K3201">
        <v>12.056410798539201</v>
      </c>
      <c r="L3201">
        <v>12.0823859429357</v>
      </c>
      <c r="M3201" t="s">
        <v>29</v>
      </c>
      <c r="N3201" t="s">
        <v>29</v>
      </c>
      <c r="O3201">
        <v>11.5738105879388</v>
      </c>
      <c r="P3201">
        <v>-0.495587782798662</v>
      </c>
      <c r="Q3201">
        <v>-2.1083535088027698</v>
      </c>
      <c r="R3201">
        <v>1.1171779432054401</v>
      </c>
      <c r="S3201">
        <v>12.645905870978099</v>
      </c>
      <c r="T3201">
        <v>-0.67713770862514699</v>
      </c>
      <c r="U3201">
        <v>-6.4101103476544203</v>
      </c>
      <c r="V3201">
        <v>0.51243986898626803</v>
      </c>
      <c r="W3201">
        <v>0.76053261901594305</v>
      </c>
      <c r="X3201">
        <v>0</v>
      </c>
      <c r="Y3201">
        <v>0</v>
      </c>
    </row>
    <row r="3202" spans="1:25" x14ac:dyDescent="0.2">
      <c r="A3202" t="s">
        <v>11852</v>
      </c>
      <c r="B3202" t="s">
        <v>11853</v>
      </c>
      <c r="C3202" t="s">
        <v>14630</v>
      </c>
      <c r="D3202" t="s">
        <v>11854</v>
      </c>
      <c r="E3202" t="s">
        <v>11853</v>
      </c>
      <c r="F3202" t="s">
        <v>28</v>
      </c>
      <c r="G3202" t="s">
        <v>11853</v>
      </c>
      <c r="H3202" t="str">
        <f>"R05D11.9"</f>
        <v>R05D11.9</v>
      </c>
      <c r="I3202" t="s">
        <v>11854</v>
      </c>
      <c r="J3202">
        <v>14.266574040703601</v>
      </c>
      <c r="K3202">
        <v>14.3449920030759</v>
      </c>
      <c r="L3202">
        <v>14.3136438190605</v>
      </c>
      <c r="M3202">
        <v>14.1336655447701</v>
      </c>
      <c r="N3202">
        <v>14.6405819225104</v>
      </c>
      <c r="O3202">
        <v>14.036393167725199</v>
      </c>
      <c r="P3202">
        <v>-3.8189742611443499E-2</v>
      </c>
      <c r="Q3202">
        <v>-0.50590531184277898</v>
      </c>
      <c r="R3202">
        <v>0.42952582661989203</v>
      </c>
      <c r="S3202">
        <v>14.212789249586599</v>
      </c>
      <c r="T3202">
        <v>-0.171615858674007</v>
      </c>
      <c r="U3202">
        <v>-7.0366644972008299</v>
      </c>
      <c r="V3202">
        <v>0.86566529748797305</v>
      </c>
      <c r="W3202">
        <v>0.94935342265210398</v>
      </c>
      <c r="X3202">
        <v>0</v>
      </c>
      <c r="Y3202">
        <v>0</v>
      </c>
    </row>
    <row r="3203" spans="1:25" x14ac:dyDescent="0.2">
      <c r="A3203" t="s">
        <v>11855</v>
      </c>
      <c r="B3203" t="s">
        <v>11856</v>
      </c>
      <c r="C3203" t="s">
        <v>11857</v>
      </c>
      <c r="D3203" t="s">
        <v>412</v>
      </c>
      <c r="E3203" t="s">
        <v>11856</v>
      </c>
      <c r="F3203" t="s">
        <v>28</v>
      </c>
      <c r="G3203" t="s">
        <v>11856</v>
      </c>
      <c r="H3203" t="str">
        <f>"gfi-2"</f>
        <v>gfi-2</v>
      </c>
      <c r="I3203" t="s">
        <v>412</v>
      </c>
      <c r="J3203">
        <v>12.2188414919629</v>
      </c>
      <c r="K3203">
        <v>12.86523772832</v>
      </c>
      <c r="L3203">
        <v>12.9287202452701</v>
      </c>
      <c r="M3203" t="s">
        <v>29</v>
      </c>
      <c r="N3203">
        <v>11.8041326982048</v>
      </c>
      <c r="O3203">
        <v>12.5647053322612</v>
      </c>
      <c r="P3203">
        <v>-0.486514139951359</v>
      </c>
      <c r="Q3203">
        <v>-1.0729499368147</v>
      </c>
      <c r="R3203">
        <v>9.9921656911982196E-2</v>
      </c>
      <c r="S3203">
        <v>13.0098106479281</v>
      </c>
      <c r="T3203">
        <v>-1.7693616115517901</v>
      </c>
      <c r="U3203">
        <v>-5.4405805511281402</v>
      </c>
      <c r="V3203">
        <v>9.7297380133200606E-2</v>
      </c>
      <c r="W3203">
        <v>0.321753734708775</v>
      </c>
      <c r="X3203">
        <v>0</v>
      </c>
      <c r="Y3203">
        <v>0</v>
      </c>
    </row>
    <row r="3204" spans="1:25" x14ac:dyDescent="0.2">
      <c r="A3204" t="s">
        <v>11858</v>
      </c>
      <c r="B3204" t="s">
        <v>11859</v>
      </c>
      <c r="C3204" t="s">
        <v>14631</v>
      </c>
      <c r="D3204" t="s">
        <v>11860</v>
      </c>
      <c r="E3204" t="s">
        <v>11859</v>
      </c>
      <c r="F3204" t="s">
        <v>28</v>
      </c>
      <c r="G3204" t="s">
        <v>11859</v>
      </c>
      <c r="H3204" t="str">
        <f>"F56A8.3"</f>
        <v>F56A8.3</v>
      </c>
      <c r="I3204" t="s">
        <v>11860</v>
      </c>
      <c r="J3204">
        <v>10.133435569509</v>
      </c>
      <c r="K3204" t="s">
        <v>29</v>
      </c>
      <c r="L3204">
        <v>11.167450532527001</v>
      </c>
      <c r="M3204" t="s">
        <v>29</v>
      </c>
      <c r="N3204" t="s">
        <v>29</v>
      </c>
      <c r="O3204" t="s">
        <v>29</v>
      </c>
      <c r="P3204" t="s">
        <v>29</v>
      </c>
      <c r="Q3204" t="s">
        <v>29</v>
      </c>
      <c r="R3204" t="s">
        <v>29</v>
      </c>
      <c r="S3204">
        <v>10.907846090245901</v>
      </c>
      <c r="T3204" t="s">
        <v>29</v>
      </c>
      <c r="U3204" t="s">
        <v>29</v>
      </c>
      <c r="V3204" t="s">
        <v>29</v>
      </c>
      <c r="W3204" t="s">
        <v>29</v>
      </c>
      <c r="X3204" t="s">
        <v>29</v>
      </c>
      <c r="Y3204" t="s">
        <v>29</v>
      </c>
    </row>
    <row r="3205" spans="1:25" x14ac:dyDescent="0.2">
      <c r="A3205" t="s">
        <v>11861</v>
      </c>
      <c r="B3205" t="s">
        <v>11862</v>
      </c>
      <c r="C3205" t="s">
        <v>14632</v>
      </c>
      <c r="D3205" t="s">
        <v>11863</v>
      </c>
      <c r="E3205" t="s">
        <v>11862</v>
      </c>
      <c r="F3205" t="s">
        <v>28</v>
      </c>
      <c r="G3205" t="s">
        <v>11862</v>
      </c>
      <c r="H3205" t="str">
        <f>"F43H9.4"</f>
        <v>F43H9.4</v>
      </c>
      <c r="I3205" t="s">
        <v>11863</v>
      </c>
      <c r="J3205" t="s">
        <v>29</v>
      </c>
      <c r="K3205" t="s">
        <v>29</v>
      </c>
      <c r="L3205" t="s">
        <v>29</v>
      </c>
      <c r="M3205" t="s">
        <v>29</v>
      </c>
      <c r="N3205" t="s">
        <v>29</v>
      </c>
      <c r="O3205" t="s">
        <v>29</v>
      </c>
      <c r="P3205" t="s">
        <v>29</v>
      </c>
      <c r="Q3205" t="s">
        <v>29</v>
      </c>
      <c r="R3205" t="s">
        <v>29</v>
      </c>
      <c r="S3205">
        <v>11.5770796094535</v>
      </c>
      <c r="T3205" t="s">
        <v>29</v>
      </c>
      <c r="U3205" t="s">
        <v>29</v>
      </c>
      <c r="V3205" t="s">
        <v>29</v>
      </c>
      <c r="W3205" t="s">
        <v>29</v>
      </c>
      <c r="X3205" t="s">
        <v>29</v>
      </c>
      <c r="Y3205" t="s">
        <v>29</v>
      </c>
    </row>
    <row r="3206" spans="1:25" x14ac:dyDescent="0.2">
      <c r="A3206" t="s">
        <v>11864</v>
      </c>
      <c r="B3206" t="s">
        <v>11865</v>
      </c>
      <c r="C3206" t="s">
        <v>14633</v>
      </c>
      <c r="D3206" t="s">
        <v>368</v>
      </c>
      <c r="E3206" t="s">
        <v>11865</v>
      </c>
      <c r="F3206" t="s">
        <v>28</v>
      </c>
      <c r="G3206" t="s">
        <v>11865</v>
      </c>
      <c r="H3206" t="str">
        <f>"F08F8.9"</f>
        <v>F08F8.9</v>
      </c>
      <c r="I3206" t="s">
        <v>368</v>
      </c>
      <c r="J3206">
        <v>13.342239553311201</v>
      </c>
      <c r="K3206">
        <v>13.2485457007108</v>
      </c>
      <c r="L3206">
        <v>12.9995974668938</v>
      </c>
      <c r="M3206">
        <v>12.484072121287401</v>
      </c>
      <c r="N3206">
        <v>12.665495237255699</v>
      </c>
      <c r="O3206">
        <v>12.9258255537396</v>
      </c>
      <c r="P3206">
        <v>-0.50499660287766102</v>
      </c>
      <c r="Q3206">
        <v>-1.0573975088455401</v>
      </c>
      <c r="R3206">
        <v>4.7404303090216801E-2</v>
      </c>
      <c r="S3206">
        <v>13.761363804295801</v>
      </c>
      <c r="T3206">
        <v>-1.93902587398802</v>
      </c>
      <c r="U3206">
        <v>-5.2731902180079402</v>
      </c>
      <c r="V3206">
        <v>7.0461737519003101E-2</v>
      </c>
      <c r="W3206">
        <v>0.27006183025540198</v>
      </c>
      <c r="X3206">
        <v>0</v>
      </c>
      <c r="Y3206">
        <v>0</v>
      </c>
    </row>
    <row r="3207" spans="1:25" x14ac:dyDescent="0.2">
      <c r="A3207" t="s">
        <v>11866</v>
      </c>
      <c r="B3207" t="s">
        <v>11867</v>
      </c>
      <c r="C3207" t="s">
        <v>11868</v>
      </c>
      <c r="D3207" t="s">
        <v>10659</v>
      </c>
      <c r="E3207" t="s">
        <v>11867</v>
      </c>
      <c r="F3207" t="s">
        <v>28</v>
      </c>
      <c r="G3207" t="s">
        <v>11867</v>
      </c>
      <c r="H3207" t="str">
        <f>"mys-4"</f>
        <v>mys-4</v>
      </c>
      <c r="I3207" t="s">
        <v>10659</v>
      </c>
      <c r="J3207" t="s">
        <v>29</v>
      </c>
      <c r="K3207">
        <v>11.051553364855501</v>
      </c>
      <c r="L3207" t="s">
        <v>29</v>
      </c>
      <c r="M3207">
        <v>10.943643537815399</v>
      </c>
      <c r="N3207" t="s">
        <v>29</v>
      </c>
      <c r="O3207" t="s">
        <v>29</v>
      </c>
      <c r="P3207">
        <v>-0.107909827040178</v>
      </c>
      <c r="Q3207">
        <v>-1.22133365795753</v>
      </c>
      <c r="R3207">
        <v>1.0055140038771799</v>
      </c>
      <c r="S3207">
        <v>11.1715978229991</v>
      </c>
      <c r="T3207">
        <v>-0.216255605984053</v>
      </c>
      <c r="U3207">
        <v>-6.4849436963890703</v>
      </c>
      <c r="V3207">
        <v>0.833181498019119</v>
      </c>
      <c r="W3207">
        <v>0.93213516096945703</v>
      </c>
      <c r="X3207">
        <v>0</v>
      </c>
      <c r="Y3207">
        <v>0</v>
      </c>
    </row>
    <row r="3208" spans="1:25" x14ac:dyDescent="0.2">
      <c r="A3208" t="s">
        <v>11869</v>
      </c>
      <c r="B3208" t="s">
        <v>11870</v>
      </c>
      <c r="C3208" t="s">
        <v>11871</v>
      </c>
      <c r="D3208" t="s">
        <v>323</v>
      </c>
      <c r="E3208" t="s">
        <v>11870</v>
      </c>
      <c r="F3208" t="s">
        <v>28</v>
      </c>
      <c r="G3208" t="s">
        <v>11870</v>
      </c>
      <c r="H3208" t="str">
        <f>"mtk-1"</f>
        <v>mtk-1</v>
      </c>
      <c r="I3208" t="s">
        <v>323</v>
      </c>
      <c r="J3208">
        <v>12.452488948767501</v>
      </c>
      <c r="K3208" t="s">
        <v>29</v>
      </c>
      <c r="L3208">
        <v>11.1619494354526</v>
      </c>
      <c r="M3208">
        <v>10.500339479463999</v>
      </c>
      <c r="N3208">
        <v>11.4854106783779</v>
      </c>
      <c r="O3208" t="s">
        <v>29</v>
      </c>
      <c r="P3208">
        <v>-0.81434411318911903</v>
      </c>
      <c r="Q3208">
        <v>-1.9015547212705799</v>
      </c>
      <c r="R3208">
        <v>0.272866494892338</v>
      </c>
      <c r="S3208">
        <v>11.242215642695699</v>
      </c>
      <c r="T3208">
        <v>-1.6195021334447099</v>
      </c>
      <c r="U3208">
        <v>-5.5803669713810802</v>
      </c>
      <c r="V3208">
        <v>0.129525260658822</v>
      </c>
      <c r="W3208">
        <v>0.373379079676044</v>
      </c>
      <c r="X3208">
        <v>0</v>
      </c>
      <c r="Y3208">
        <v>0</v>
      </c>
    </row>
    <row r="3209" spans="1:25" x14ac:dyDescent="0.2">
      <c r="A3209" t="s">
        <v>11872</v>
      </c>
      <c r="B3209" t="s">
        <v>11873</v>
      </c>
      <c r="C3209" t="s">
        <v>11874</v>
      </c>
      <c r="D3209" t="s">
        <v>11875</v>
      </c>
      <c r="E3209" t="s">
        <v>11873</v>
      </c>
      <c r="F3209" t="s">
        <v>28</v>
      </c>
      <c r="G3209" t="s">
        <v>11873</v>
      </c>
      <c r="H3209" t="str">
        <f>"mak-2"</f>
        <v>mak-2</v>
      </c>
      <c r="I3209" t="s">
        <v>11875</v>
      </c>
      <c r="J3209">
        <v>11.3868329864787</v>
      </c>
      <c r="K3209">
        <v>11.8386811054215</v>
      </c>
      <c r="L3209">
        <v>11.1329664230779</v>
      </c>
      <c r="M3209">
        <v>12.7775662165005</v>
      </c>
      <c r="N3209">
        <v>12.824560415789399</v>
      </c>
      <c r="O3209">
        <v>12.386797884766301</v>
      </c>
      <c r="P3209">
        <v>1.2101480006927501</v>
      </c>
      <c r="Q3209">
        <v>0.54383307301139205</v>
      </c>
      <c r="R3209">
        <v>1.8764629283741101</v>
      </c>
      <c r="S3209">
        <v>11.911787942194501</v>
      </c>
      <c r="T3209">
        <v>3.8734731550177601</v>
      </c>
      <c r="U3209">
        <v>-1.57289496152648</v>
      </c>
      <c r="V3209">
        <v>1.51817225285351E-3</v>
      </c>
      <c r="W3209">
        <v>2.31305988055658E-2</v>
      </c>
      <c r="X3209">
        <v>1</v>
      </c>
      <c r="Y3209">
        <v>1</v>
      </c>
    </row>
    <row r="3210" spans="1:25" x14ac:dyDescent="0.2">
      <c r="A3210" t="s">
        <v>11876</v>
      </c>
      <c r="B3210" t="s">
        <v>11877</v>
      </c>
      <c r="C3210" t="s">
        <v>14634</v>
      </c>
      <c r="D3210" t="s">
        <v>107</v>
      </c>
      <c r="E3210" t="s">
        <v>11877</v>
      </c>
      <c r="F3210" t="s">
        <v>28</v>
      </c>
      <c r="G3210" t="s">
        <v>11877</v>
      </c>
      <c r="H3210" t="str">
        <f>"T25D3.4"</f>
        <v>T25D3.4</v>
      </c>
      <c r="I3210" t="s">
        <v>107</v>
      </c>
      <c r="J3210">
        <v>11.6801107691266</v>
      </c>
      <c r="K3210">
        <v>11.475836129921699</v>
      </c>
      <c r="L3210">
        <v>12.604433638348601</v>
      </c>
      <c r="M3210">
        <v>11.119271953713699</v>
      </c>
      <c r="N3210">
        <v>10.998416302638001</v>
      </c>
      <c r="O3210" t="s">
        <v>29</v>
      </c>
      <c r="P3210">
        <v>-0.861282717623158</v>
      </c>
      <c r="Q3210">
        <v>-1.72754945772266</v>
      </c>
      <c r="R3210">
        <v>4.9840224763411101E-3</v>
      </c>
      <c r="S3210">
        <v>12.017095584189899</v>
      </c>
      <c r="T3210">
        <v>-2.1339585794129099</v>
      </c>
      <c r="U3210">
        <v>-4.8526249076208297</v>
      </c>
      <c r="V3210">
        <v>5.1159529564908601E-2</v>
      </c>
      <c r="W3210">
        <v>0.22434019978251299</v>
      </c>
      <c r="X3210">
        <v>0</v>
      </c>
      <c r="Y3210">
        <v>0</v>
      </c>
    </row>
    <row r="3211" spans="1:25" x14ac:dyDescent="0.2">
      <c r="A3211" t="s">
        <v>11878</v>
      </c>
      <c r="B3211" t="s">
        <v>11879</v>
      </c>
      <c r="C3211" t="s">
        <v>11880</v>
      </c>
      <c r="D3211" t="s">
        <v>1296</v>
      </c>
      <c r="E3211" t="s">
        <v>11879</v>
      </c>
      <c r="F3211" t="s">
        <v>28</v>
      </c>
      <c r="G3211" t="s">
        <v>11879</v>
      </c>
      <c r="H3211" t="str">
        <f>"ddx-46"</f>
        <v>ddx-46</v>
      </c>
      <c r="I3211" t="s">
        <v>1296</v>
      </c>
      <c r="J3211">
        <v>12.5434799762947</v>
      </c>
      <c r="K3211">
        <v>12.620531217898399</v>
      </c>
      <c r="L3211">
        <v>12.4015596649432</v>
      </c>
      <c r="M3211">
        <v>12.353735241935899</v>
      </c>
      <c r="N3211">
        <v>12.3179341099138</v>
      </c>
      <c r="O3211">
        <v>12.4351653588693</v>
      </c>
      <c r="P3211">
        <v>-0.152912049472475</v>
      </c>
      <c r="Q3211">
        <v>-0.77373276763094101</v>
      </c>
      <c r="R3211">
        <v>0.46790866868599201</v>
      </c>
      <c r="S3211">
        <v>12.4721545866774</v>
      </c>
      <c r="T3211">
        <v>-0.51990682722585002</v>
      </c>
      <c r="U3211">
        <v>-6.9111196564447299</v>
      </c>
      <c r="V3211">
        <v>0.60987382479973096</v>
      </c>
      <c r="W3211">
        <v>0.81567177389984602</v>
      </c>
      <c r="X3211">
        <v>0</v>
      </c>
      <c r="Y3211">
        <v>0</v>
      </c>
    </row>
    <row r="3212" spans="1:25" x14ac:dyDescent="0.2">
      <c r="A3212" t="s">
        <v>11881</v>
      </c>
      <c r="B3212" t="s">
        <v>11882</v>
      </c>
      <c r="C3212" t="s">
        <v>11883</v>
      </c>
      <c r="D3212" t="s">
        <v>11884</v>
      </c>
      <c r="E3212" t="s">
        <v>11882</v>
      </c>
      <c r="F3212" t="s">
        <v>28</v>
      </c>
      <c r="G3212" t="s">
        <v>11882</v>
      </c>
      <c r="H3212" t="str">
        <f>"dnc-3"</f>
        <v>dnc-3</v>
      </c>
      <c r="I3212" t="s">
        <v>11884</v>
      </c>
      <c r="J3212" t="s">
        <v>29</v>
      </c>
      <c r="K3212" t="s">
        <v>29</v>
      </c>
      <c r="L3212" t="s">
        <v>29</v>
      </c>
      <c r="M3212">
        <v>14.3517052753388</v>
      </c>
      <c r="N3212">
        <v>14.273756835671801</v>
      </c>
      <c r="O3212">
        <v>13.7800647512005</v>
      </c>
      <c r="P3212" t="s">
        <v>29</v>
      </c>
      <c r="Q3212" t="s">
        <v>29</v>
      </c>
      <c r="R3212" t="s">
        <v>29</v>
      </c>
      <c r="S3212">
        <v>13.3168373365252</v>
      </c>
      <c r="T3212" t="s">
        <v>29</v>
      </c>
      <c r="U3212" t="s">
        <v>29</v>
      </c>
      <c r="V3212" t="s">
        <v>29</v>
      </c>
      <c r="W3212" t="s">
        <v>29</v>
      </c>
      <c r="X3212" t="s">
        <v>29</v>
      </c>
      <c r="Y3212" t="s">
        <v>29</v>
      </c>
    </row>
    <row r="3213" spans="1:25" x14ac:dyDescent="0.2">
      <c r="A3213" t="s">
        <v>11885</v>
      </c>
      <c r="B3213" t="s">
        <v>11886</v>
      </c>
      <c r="C3213" t="s">
        <v>14635</v>
      </c>
      <c r="D3213" t="s">
        <v>11887</v>
      </c>
      <c r="E3213" t="s">
        <v>11886</v>
      </c>
      <c r="F3213" t="s">
        <v>28</v>
      </c>
      <c r="G3213" t="s">
        <v>11886</v>
      </c>
      <c r="H3213" t="str">
        <f>"M116.5"</f>
        <v>M116.5</v>
      </c>
      <c r="I3213" t="s">
        <v>11887</v>
      </c>
      <c r="J3213">
        <v>12.404606829744001</v>
      </c>
      <c r="K3213">
        <v>12.1900797601698</v>
      </c>
      <c r="L3213">
        <v>12.3726513099252</v>
      </c>
      <c r="M3213">
        <v>13.0340430718276</v>
      </c>
      <c r="N3213">
        <v>12.2217135704764</v>
      </c>
      <c r="O3213">
        <v>13.4787392191569</v>
      </c>
      <c r="P3213">
        <v>0.58905265387392403</v>
      </c>
      <c r="Q3213">
        <v>-0.22591058257229099</v>
      </c>
      <c r="R3213">
        <v>1.4040158903201401</v>
      </c>
      <c r="S3213">
        <v>12.620939092081199</v>
      </c>
      <c r="T3213">
        <v>1.52568934153429</v>
      </c>
      <c r="U3213">
        <v>-5.9062306167113903</v>
      </c>
      <c r="V3213">
        <v>0.14558889292076699</v>
      </c>
      <c r="W3213">
        <v>0.39413166186703402</v>
      </c>
      <c r="X3213">
        <v>0</v>
      </c>
      <c r="Y3213">
        <v>0</v>
      </c>
    </row>
    <row r="3214" spans="1:25" x14ac:dyDescent="0.2">
      <c r="A3214" t="s">
        <v>11888</v>
      </c>
      <c r="B3214" t="s">
        <v>11889</v>
      </c>
      <c r="C3214" t="s">
        <v>11890</v>
      </c>
      <c r="D3214" t="s">
        <v>11891</v>
      </c>
      <c r="E3214" t="s">
        <v>11889</v>
      </c>
      <c r="F3214" t="s">
        <v>28</v>
      </c>
      <c r="G3214" t="s">
        <v>11889</v>
      </c>
      <c r="H3214" t="str">
        <f>"BE0003N10.1"</f>
        <v>BE0003N10.1</v>
      </c>
      <c r="I3214" t="s">
        <v>11891</v>
      </c>
      <c r="J3214">
        <v>13.0990161433804</v>
      </c>
      <c r="K3214">
        <v>13.380327553355899</v>
      </c>
      <c r="L3214">
        <v>13.1184290040721</v>
      </c>
      <c r="M3214">
        <v>12.2648511528573</v>
      </c>
      <c r="N3214">
        <v>13.0516746768219</v>
      </c>
      <c r="O3214">
        <v>12.690081630281201</v>
      </c>
      <c r="P3214">
        <v>-0.53038841361598799</v>
      </c>
      <c r="Q3214">
        <v>-1.02796752427386</v>
      </c>
      <c r="R3214">
        <v>-3.2809302958119402E-2</v>
      </c>
      <c r="S3214">
        <v>13.1840688512551</v>
      </c>
      <c r="T3214">
        <v>-2.2499968075872698</v>
      </c>
      <c r="U3214">
        <v>-4.7266989634860703</v>
      </c>
      <c r="V3214">
        <v>3.8071568674014698E-2</v>
      </c>
      <c r="W3214">
        <v>0.193788380672582</v>
      </c>
      <c r="X3214">
        <v>0</v>
      </c>
      <c r="Y3214">
        <v>0</v>
      </c>
    </row>
    <row r="3215" spans="1:25" x14ac:dyDescent="0.2">
      <c r="A3215" t="s">
        <v>11892</v>
      </c>
      <c r="B3215" t="s">
        <v>11893</v>
      </c>
      <c r="C3215" t="s">
        <v>11894</v>
      </c>
      <c r="D3215" t="s">
        <v>11895</v>
      </c>
      <c r="E3215" t="s">
        <v>11893</v>
      </c>
      <c r="F3215" t="s">
        <v>28</v>
      </c>
      <c r="G3215" t="s">
        <v>11893</v>
      </c>
      <c r="H3215" t="str">
        <f>"chin-1"</f>
        <v>chin-1</v>
      </c>
      <c r="I3215" t="s">
        <v>11895</v>
      </c>
      <c r="J3215">
        <v>12.8790766791561</v>
      </c>
      <c r="K3215">
        <v>12.660509479174101</v>
      </c>
      <c r="L3215">
        <v>12.809545572261399</v>
      </c>
      <c r="M3215">
        <v>12.151378995639201</v>
      </c>
      <c r="N3215">
        <v>12.8327827599849</v>
      </c>
      <c r="O3215">
        <v>12.324484593913599</v>
      </c>
      <c r="P3215">
        <v>-0.34682846035133302</v>
      </c>
      <c r="Q3215">
        <v>-1.0713960253561201</v>
      </c>
      <c r="R3215">
        <v>0.37773910465345401</v>
      </c>
      <c r="S3215">
        <v>12.7943033217208</v>
      </c>
      <c r="T3215">
        <v>-1.0103825848479799</v>
      </c>
      <c r="U3215">
        <v>-6.5311118181224099</v>
      </c>
      <c r="V3215">
        <v>0.32656437289805601</v>
      </c>
      <c r="W3215">
        <v>0.60687633889792902</v>
      </c>
      <c r="X3215">
        <v>0</v>
      </c>
      <c r="Y3215">
        <v>0</v>
      </c>
    </row>
    <row r="3216" spans="1:25" x14ac:dyDescent="0.2">
      <c r="A3216" t="s">
        <v>11896</v>
      </c>
      <c r="B3216" t="s">
        <v>11897</v>
      </c>
      <c r="C3216" t="s">
        <v>11898</v>
      </c>
      <c r="D3216" t="s">
        <v>11899</v>
      </c>
      <c r="E3216" t="s">
        <v>11897</v>
      </c>
      <c r="F3216" t="s">
        <v>28</v>
      </c>
      <c r="G3216" t="s">
        <v>11900</v>
      </c>
      <c r="H3216" t="str">
        <f>"spsb-1"</f>
        <v>spsb-1</v>
      </c>
      <c r="I3216" t="s">
        <v>689</v>
      </c>
      <c r="J3216" t="s">
        <v>29</v>
      </c>
      <c r="K3216" t="s">
        <v>29</v>
      </c>
      <c r="L3216" t="s">
        <v>29</v>
      </c>
      <c r="M3216" t="s">
        <v>29</v>
      </c>
      <c r="N3216" t="s">
        <v>29</v>
      </c>
      <c r="O3216" t="s">
        <v>29</v>
      </c>
      <c r="P3216" t="s">
        <v>29</v>
      </c>
      <c r="Q3216" t="s">
        <v>29</v>
      </c>
      <c r="R3216" t="s">
        <v>29</v>
      </c>
      <c r="S3216">
        <v>12.591548559785601</v>
      </c>
      <c r="T3216" t="s">
        <v>29</v>
      </c>
      <c r="U3216" t="s">
        <v>29</v>
      </c>
      <c r="V3216" t="s">
        <v>29</v>
      </c>
      <c r="W3216" t="s">
        <v>29</v>
      </c>
      <c r="X3216" t="s">
        <v>29</v>
      </c>
      <c r="Y3216" t="s">
        <v>29</v>
      </c>
    </row>
    <row r="3217" spans="1:25" x14ac:dyDescent="0.2">
      <c r="A3217" t="s">
        <v>11901</v>
      </c>
      <c r="B3217" t="s">
        <v>11902</v>
      </c>
      <c r="C3217" t="s">
        <v>14636</v>
      </c>
      <c r="D3217" t="s">
        <v>11903</v>
      </c>
      <c r="E3217" t="s">
        <v>11902</v>
      </c>
      <c r="F3217" t="s">
        <v>28</v>
      </c>
      <c r="G3217" t="s">
        <v>11902</v>
      </c>
      <c r="H3217" t="str">
        <f>"Y46E12BL.2"</f>
        <v>Y46E12BL.2</v>
      </c>
      <c r="I3217" t="s">
        <v>11903</v>
      </c>
      <c r="J3217">
        <v>15.262210238613701</v>
      </c>
      <c r="K3217">
        <v>15.287880744997301</v>
      </c>
      <c r="L3217">
        <v>15.4633849511701</v>
      </c>
      <c r="M3217">
        <v>15.008350415668399</v>
      </c>
      <c r="N3217">
        <v>15.157509799447199</v>
      </c>
      <c r="O3217">
        <v>14.6589873163507</v>
      </c>
      <c r="P3217">
        <v>-0.39620946777160299</v>
      </c>
      <c r="Q3217">
        <v>-0.83998529983895498</v>
      </c>
      <c r="R3217">
        <v>4.7566364295747697E-2</v>
      </c>
      <c r="S3217">
        <v>15.554567208365899</v>
      </c>
      <c r="T3217">
        <v>-1.87652223762929</v>
      </c>
      <c r="U3217">
        <v>-5.3686491171042601</v>
      </c>
      <c r="V3217">
        <v>7.6989224271760096E-2</v>
      </c>
      <c r="W3217">
        <v>0.285009028191476</v>
      </c>
      <c r="X3217">
        <v>0</v>
      </c>
      <c r="Y3217">
        <v>0</v>
      </c>
    </row>
    <row r="3218" spans="1:25" x14ac:dyDescent="0.2">
      <c r="A3218" t="s">
        <v>11904</v>
      </c>
      <c r="B3218" t="s">
        <v>11905</v>
      </c>
      <c r="C3218" t="s">
        <v>14637</v>
      </c>
      <c r="D3218" t="s">
        <v>11906</v>
      </c>
      <c r="E3218" t="s">
        <v>11905</v>
      </c>
      <c r="F3218" t="s">
        <v>28</v>
      </c>
      <c r="G3218" t="s">
        <v>11905</v>
      </c>
      <c r="H3218" t="str">
        <f>"Y22D7AL.10"</f>
        <v>Y22D7AL.10</v>
      </c>
      <c r="I3218" t="s">
        <v>11906</v>
      </c>
      <c r="J3218">
        <v>13.796418323808799</v>
      </c>
      <c r="K3218">
        <v>13.6110015468951</v>
      </c>
      <c r="L3218">
        <v>13.7552952279234</v>
      </c>
      <c r="M3218">
        <v>13.4131783717008</v>
      </c>
      <c r="N3218">
        <v>14.346409795876999</v>
      </c>
      <c r="O3218">
        <v>15.362528711454701</v>
      </c>
      <c r="P3218">
        <v>0.65313392680173299</v>
      </c>
      <c r="Q3218">
        <v>-0.37328908329872301</v>
      </c>
      <c r="R3218">
        <v>1.6795569369021901</v>
      </c>
      <c r="S3218">
        <v>13.539082988708699</v>
      </c>
      <c r="T3218">
        <v>1.34966316114208</v>
      </c>
      <c r="U3218">
        <v>-6.1426649121743004</v>
      </c>
      <c r="V3218">
        <v>0.19603379226036</v>
      </c>
      <c r="W3218">
        <v>0.456617007884905</v>
      </c>
      <c r="X3218">
        <v>0</v>
      </c>
      <c r="Y3218">
        <v>0</v>
      </c>
    </row>
    <row r="3219" spans="1:25" x14ac:dyDescent="0.2">
      <c r="A3219" t="s">
        <v>11907</v>
      </c>
      <c r="B3219" t="s">
        <v>11908</v>
      </c>
      <c r="C3219" t="s">
        <v>14638</v>
      </c>
      <c r="D3219" t="s">
        <v>11909</v>
      </c>
      <c r="E3219" t="s">
        <v>11908</v>
      </c>
      <c r="F3219" t="s">
        <v>28</v>
      </c>
      <c r="G3219" t="s">
        <v>11908</v>
      </c>
      <c r="H3219" t="str">
        <f>"Y22D7AL.9"</f>
        <v>Y22D7AL.9</v>
      </c>
      <c r="I3219" t="s">
        <v>11909</v>
      </c>
      <c r="J3219" t="s">
        <v>29</v>
      </c>
      <c r="K3219" t="s">
        <v>29</v>
      </c>
      <c r="L3219" t="s">
        <v>29</v>
      </c>
      <c r="M3219" t="s">
        <v>29</v>
      </c>
      <c r="N3219" t="s">
        <v>29</v>
      </c>
      <c r="O3219" t="s">
        <v>29</v>
      </c>
      <c r="P3219" t="s">
        <v>29</v>
      </c>
      <c r="Q3219" t="s">
        <v>29</v>
      </c>
      <c r="R3219" t="s">
        <v>29</v>
      </c>
      <c r="S3219">
        <v>11.0915050749068</v>
      </c>
      <c r="T3219" t="s">
        <v>29</v>
      </c>
      <c r="U3219" t="s">
        <v>29</v>
      </c>
      <c r="V3219" t="s">
        <v>29</v>
      </c>
      <c r="W3219" t="s">
        <v>29</v>
      </c>
      <c r="X3219" t="s">
        <v>29</v>
      </c>
      <c r="Y3219" t="s">
        <v>29</v>
      </c>
    </row>
    <row r="3220" spans="1:25" x14ac:dyDescent="0.2">
      <c r="A3220" t="s">
        <v>11910</v>
      </c>
      <c r="B3220" t="s">
        <v>11911</v>
      </c>
      <c r="C3220" t="s">
        <v>14639</v>
      </c>
      <c r="D3220" t="s">
        <v>11912</v>
      </c>
      <c r="E3220" t="s">
        <v>11911</v>
      </c>
      <c r="F3220" t="s">
        <v>28</v>
      </c>
      <c r="G3220" t="s">
        <v>11911</v>
      </c>
      <c r="H3220" t="str">
        <f>"Y50D4C.3"</f>
        <v>Y50D4C.3</v>
      </c>
      <c r="I3220" t="s">
        <v>11912</v>
      </c>
      <c r="J3220">
        <v>13.230442726333401</v>
      </c>
      <c r="K3220">
        <v>13.389937456449999</v>
      </c>
      <c r="L3220">
        <v>13.8241296060284</v>
      </c>
      <c r="M3220">
        <v>13.0464338053239</v>
      </c>
      <c r="N3220">
        <v>12.7045727065828</v>
      </c>
      <c r="O3220">
        <v>12.9749306335697</v>
      </c>
      <c r="P3220">
        <v>-0.57285754777845299</v>
      </c>
      <c r="Q3220">
        <v>-1.0081360320691799</v>
      </c>
      <c r="R3220">
        <v>-0.137579063487726</v>
      </c>
      <c r="S3220">
        <v>13.4592131689746</v>
      </c>
      <c r="T3220">
        <v>-2.7779821581756199</v>
      </c>
      <c r="U3220">
        <v>-3.7157841659575799</v>
      </c>
      <c r="V3220">
        <v>1.2942651769328699E-2</v>
      </c>
      <c r="W3220">
        <v>0.105441012521396</v>
      </c>
      <c r="X3220">
        <v>0</v>
      </c>
      <c r="Y3220">
        <v>0</v>
      </c>
    </row>
    <row r="3221" spans="1:25" x14ac:dyDescent="0.2">
      <c r="A3221" t="s">
        <v>11913</v>
      </c>
      <c r="B3221" t="s">
        <v>11914</v>
      </c>
      <c r="C3221" t="s">
        <v>11915</v>
      </c>
      <c r="D3221" t="s">
        <v>11916</v>
      </c>
      <c r="E3221" t="s">
        <v>11914</v>
      </c>
      <c r="F3221" t="s">
        <v>28</v>
      </c>
      <c r="G3221" t="s">
        <v>11914</v>
      </c>
      <c r="H3221" t="str">
        <f>"eif-3.I"</f>
        <v>eif-3.I</v>
      </c>
      <c r="I3221" t="s">
        <v>11916</v>
      </c>
      <c r="J3221">
        <v>13.2002724401215</v>
      </c>
      <c r="K3221">
        <v>13.448976648532099</v>
      </c>
      <c r="L3221">
        <v>13.7000826763947</v>
      </c>
      <c r="M3221">
        <v>13.022071233949401</v>
      </c>
      <c r="N3221">
        <v>11.9849063120698</v>
      </c>
      <c r="O3221">
        <v>13.329188478929099</v>
      </c>
      <c r="P3221">
        <v>-0.67105524669998795</v>
      </c>
      <c r="Q3221">
        <v>-1.4129740892342</v>
      </c>
      <c r="R3221">
        <v>7.0863595834229104E-2</v>
      </c>
      <c r="S3221">
        <v>13.3557406812244</v>
      </c>
      <c r="T3221">
        <v>-1.90920203418005</v>
      </c>
      <c r="U3221">
        <v>-5.3182759900714798</v>
      </c>
      <c r="V3221">
        <v>7.3369303153831403E-2</v>
      </c>
      <c r="W3221">
        <v>0.27664393101108598</v>
      </c>
      <c r="X3221">
        <v>0</v>
      </c>
      <c r="Y3221">
        <v>0</v>
      </c>
    </row>
    <row r="3222" spans="1:25" x14ac:dyDescent="0.2">
      <c r="A3222" t="s">
        <v>11917</v>
      </c>
      <c r="B3222" t="s">
        <v>11918</v>
      </c>
      <c r="C3222" t="s">
        <v>11919</v>
      </c>
      <c r="D3222" t="s">
        <v>11920</v>
      </c>
      <c r="E3222" t="s">
        <v>11918</v>
      </c>
      <c r="F3222" t="s">
        <v>28</v>
      </c>
      <c r="G3222" t="s">
        <v>11918</v>
      </c>
      <c r="H3222" t="str">
        <f>"taco-1"</f>
        <v>taco-1</v>
      </c>
      <c r="I3222" t="s">
        <v>11920</v>
      </c>
      <c r="J3222" t="s">
        <v>29</v>
      </c>
      <c r="K3222" t="s">
        <v>29</v>
      </c>
      <c r="L3222">
        <v>12.028361060637</v>
      </c>
      <c r="M3222" t="s">
        <v>29</v>
      </c>
      <c r="N3222" t="s">
        <v>29</v>
      </c>
      <c r="O3222" t="s">
        <v>29</v>
      </c>
      <c r="P3222" t="s">
        <v>29</v>
      </c>
      <c r="Q3222" t="s">
        <v>29</v>
      </c>
      <c r="R3222" t="s">
        <v>29</v>
      </c>
      <c r="S3222">
        <v>12.9342576101216</v>
      </c>
      <c r="T3222" t="s">
        <v>29</v>
      </c>
      <c r="U3222" t="s">
        <v>29</v>
      </c>
      <c r="V3222" t="s">
        <v>29</v>
      </c>
      <c r="W3222" t="s">
        <v>29</v>
      </c>
      <c r="X3222" t="s">
        <v>29</v>
      </c>
      <c r="Y3222" t="s">
        <v>29</v>
      </c>
    </row>
    <row r="3223" spans="1:25" x14ac:dyDescent="0.2">
      <c r="A3223" t="s">
        <v>11921</v>
      </c>
      <c r="B3223" t="s">
        <v>11922</v>
      </c>
      <c r="C3223" t="s">
        <v>11923</v>
      </c>
      <c r="D3223" t="s">
        <v>11924</v>
      </c>
      <c r="E3223" t="s">
        <v>11922</v>
      </c>
      <c r="F3223" t="s">
        <v>28</v>
      </c>
      <c r="G3223" t="s">
        <v>11922</v>
      </c>
      <c r="H3223" t="str">
        <f>"xpo-2"</f>
        <v>xpo-2</v>
      </c>
      <c r="I3223" t="s">
        <v>11924</v>
      </c>
      <c r="J3223">
        <v>15.5816195837176</v>
      </c>
      <c r="K3223">
        <v>15.5674989486768</v>
      </c>
      <c r="L3223">
        <v>15.534206861518999</v>
      </c>
      <c r="M3223">
        <v>15.822852401490501</v>
      </c>
      <c r="N3223">
        <v>15.9816589591198</v>
      </c>
      <c r="O3223">
        <v>15.613081952826599</v>
      </c>
      <c r="P3223">
        <v>0.24475597317449899</v>
      </c>
      <c r="Q3223">
        <v>-0.223467821775617</v>
      </c>
      <c r="R3223">
        <v>0.71297976812461406</v>
      </c>
      <c r="S3223">
        <v>15.5871954947327</v>
      </c>
      <c r="T3223">
        <v>1.0986828159503299</v>
      </c>
      <c r="U3223">
        <v>-6.4400594589169904</v>
      </c>
      <c r="V3223">
        <v>0.286469121115007</v>
      </c>
      <c r="W3223">
        <v>0.56576912881200803</v>
      </c>
      <c r="X3223">
        <v>0</v>
      </c>
      <c r="Y3223">
        <v>0</v>
      </c>
    </row>
    <row r="3224" spans="1:25" x14ac:dyDescent="0.2">
      <c r="A3224" t="s">
        <v>11925</v>
      </c>
      <c r="B3224" t="s">
        <v>11926</v>
      </c>
      <c r="C3224" t="s">
        <v>11927</v>
      </c>
      <c r="D3224" t="s">
        <v>416</v>
      </c>
      <c r="E3224" t="s">
        <v>11926</v>
      </c>
      <c r="F3224" t="s">
        <v>28</v>
      </c>
      <c r="G3224" t="s">
        <v>11926</v>
      </c>
      <c r="H3224" t="str">
        <f>"ubh-3"</f>
        <v>ubh-3</v>
      </c>
      <c r="I3224" t="s">
        <v>416</v>
      </c>
      <c r="J3224">
        <v>11.998931217975899</v>
      </c>
      <c r="K3224">
        <v>10.886301405457999</v>
      </c>
      <c r="L3224">
        <v>12.1402304944903</v>
      </c>
      <c r="M3224">
        <v>11.8856079996901</v>
      </c>
      <c r="N3224">
        <v>12.601369315011199</v>
      </c>
      <c r="O3224">
        <v>11.527008379141</v>
      </c>
      <c r="P3224">
        <v>0.32950752530605998</v>
      </c>
      <c r="Q3224">
        <v>-0.36914107692050202</v>
      </c>
      <c r="R3224">
        <v>1.0281561275326201</v>
      </c>
      <c r="S3224">
        <v>12.0921014647994</v>
      </c>
      <c r="T3224">
        <v>1.0003594354487899</v>
      </c>
      <c r="U3224">
        <v>-6.5402233104537597</v>
      </c>
      <c r="V3224">
        <v>0.33212306135997399</v>
      </c>
      <c r="W3224">
        <v>0.61122402832197698</v>
      </c>
      <c r="X3224">
        <v>0</v>
      </c>
      <c r="Y3224">
        <v>0</v>
      </c>
    </row>
    <row r="3225" spans="1:25" x14ac:dyDescent="0.2">
      <c r="A3225" t="s">
        <v>11928</v>
      </c>
      <c r="B3225" t="s">
        <v>11929</v>
      </c>
      <c r="C3225" t="s">
        <v>11930</v>
      </c>
      <c r="D3225" t="s">
        <v>11931</v>
      </c>
      <c r="E3225" t="s">
        <v>11929</v>
      </c>
      <c r="F3225" t="s">
        <v>28</v>
      </c>
      <c r="G3225" t="s">
        <v>11929</v>
      </c>
      <c r="H3225" t="str">
        <f>"nhr-86"</f>
        <v>nhr-86</v>
      </c>
      <c r="I3225" t="s">
        <v>11931</v>
      </c>
      <c r="J3225">
        <v>11.194956188283401</v>
      </c>
      <c r="K3225" t="s">
        <v>29</v>
      </c>
      <c r="L3225">
        <v>10.817228303325299</v>
      </c>
      <c r="M3225" t="s">
        <v>29</v>
      </c>
      <c r="N3225" t="s">
        <v>29</v>
      </c>
      <c r="O3225" t="s">
        <v>29</v>
      </c>
      <c r="P3225" t="s">
        <v>29</v>
      </c>
      <c r="Q3225" t="s">
        <v>29</v>
      </c>
      <c r="R3225" t="s">
        <v>29</v>
      </c>
      <c r="S3225">
        <v>12.0479285496908</v>
      </c>
      <c r="T3225" t="s">
        <v>29</v>
      </c>
      <c r="U3225" t="s">
        <v>29</v>
      </c>
      <c r="V3225" t="s">
        <v>29</v>
      </c>
      <c r="W3225" t="s">
        <v>29</v>
      </c>
      <c r="X3225" t="s">
        <v>29</v>
      </c>
      <c r="Y3225" t="s">
        <v>29</v>
      </c>
    </row>
    <row r="3226" spans="1:25" x14ac:dyDescent="0.2">
      <c r="A3226" t="s">
        <v>11932</v>
      </c>
      <c r="B3226" t="s">
        <v>11933</v>
      </c>
      <c r="C3226" t="s">
        <v>11934</v>
      </c>
      <c r="D3226" t="s">
        <v>11935</v>
      </c>
      <c r="E3226" t="s">
        <v>11933</v>
      </c>
      <c r="F3226" t="s">
        <v>28</v>
      </c>
      <c r="G3226" t="s">
        <v>11933</v>
      </c>
      <c r="H3226" t="str">
        <f>"comt-3"</f>
        <v>comt-3</v>
      </c>
      <c r="I3226" t="s">
        <v>11935</v>
      </c>
      <c r="J3226" t="s">
        <v>29</v>
      </c>
      <c r="K3226" t="s">
        <v>29</v>
      </c>
      <c r="L3226" t="s">
        <v>29</v>
      </c>
      <c r="M3226">
        <v>16.327718587936001</v>
      </c>
      <c r="N3226">
        <v>16.130922892822099</v>
      </c>
      <c r="O3226">
        <v>15.600940953971399</v>
      </c>
      <c r="P3226" t="s">
        <v>29</v>
      </c>
      <c r="Q3226" t="s">
        <v>29</v>
      </c>
      <c r="R3226" t="s">
        <v>29</v>
      </c>
      <c r="S3226">
        <v>14.861672444082499</v>
      </c>
      <c r="T3226" t="s">
        <v>29</v>
      </c>
      <c r="U3226" t="s">
        <v>29</v>
      </c>
      <c r="V3226" t="s">
        <v>29</v>
      </c>
      <c r="W3226" t="s">
        <v>29</v>
      </c>
      <c r="X3226" t="s">
        <v>29</v>
      </c>
      <c r="Y3226" t="s">
        <v>29</v>
      </c>
    </row>
    <row r="3227" spans="1:25" x14ac:dyDescent="0.2">
      <c r="A3227" t="s">
        <v>11936</v>
      </c>
      <c r="B3227" t="s">
        <v>11937</v>
      </c>
      <c r="C3227" t="s">
        <v>14640</v>
      </c>
      <c r="D3227" t="s">
        <v>368</v>
      </c>
      <c r="E3227" t="s">
        <v>11937</v>
      </c>
      <c r="F3227" t="s">
        <v>28</v>
      </c>
      <c r="G3227" t="s">
        <v>11937</v>
      </c>
      <c r="H3227" t="str">
        <f>"Y39A3CL.7"</f>
        <v>Y39A3CL.7</v>
      </c>
      <c r="I3227" t="s">
        <v>368</v>
      </c>
      <c r="J3227" t="s">
        <v>29</v>
      </c>
      <c r="K3227" t="s">
        <v>29</v>
      </c>
      <c r="L3227" t="s">
        <v>29</v>
      </c>
      <c r="M3227" t="s">
        <v>29</v>
      </c>
      <c r="N3227" t="s">
        <v>29</v>
      </c>
      <c r="O3227" t="s">
        <v>29</v>
      </c>
      <c r="P3227" t="s">
        <v>29</v>
      </c>
      <c r="Q3227" t="s">
        <v>29</v>
      </c>
      <c r="R3227" t="s">
        <v>29</v>
      </c>
      <c r="S3227">
        <v>12.3783090390827</v>
      </c>
      <c r="T3227" t="s">
        <v>29</v>
      </c>
      <c r="U3227" t="s">
        <v>29</v>
      </c>
      <c r="V3227" t="s">
        <v>29</v>
      </c>
      <c r="W3227" t="s">
        <v>29</v>
      </c>
      <c r="X3227" t="s">
        <v>29</v>
      </c>
      <c r="Y3227" t="s">
        <v>29</v>
      </c>
    </row>
    <row r="3228" spans="1:25" x14ac:dyDescent="0.2">
      <c r="A3228" t="s">
        <v>11938</v>
      </c>
      <c r="B3228" t="s">
        <v>11939</v>
      </c>
      <c r="C3228" t="s">
        <v>11940</v>
      </c>
      <c r="D3228" t="s">
        <v>11941</v>
      </c>
      <c r="E3228" t="s">
        <v>11939</v>
      </c>
      <c r="F3228" t="s">
        <v>28</v>
      </c>
      <c r="G3228" t="s">
        <v>11939</v>
      </c>
      <c r="H3228" t="str">
        <f>"rpl-7A"</f>
        <v>rpl-7A</v>
      </c>
      <c r="I3228" t="s">
        <v>11941</v>
      </c>
      <c r="J3228">
        <v>20.009009546669301</v>
      </c>
      <c r="K3228">
        <v>19.760159544497402</v>
      </c>
      <c r="L3228">
        <v>19.845145839577999</v>
      </c>
      <c r="M3228">
        <v>18.765700929049601</v>
      </c>
      <c r="N3228">
        <v>18.9078596516425</v>
      </c>
      <c r="O3228">
        <v>19.241877210503301</v>
      </c>
      <c r="P3228">
        <v>-0.89962571318310902</v>
      </c>
      <c r="Q3228">
        <v>-1.39525765699574</v>
      </c>
      <c r="R3228">
        <v>-0.40399376937047798</v>
      </c>
      <c r="S3228">
        <v>19.404817416306201</v>
      </c>
      <c r="T3228">
        <v>-3.8150047581986799</v>
      </c>
      <c r="U3228">
        <v>-1.48560139890702</v>
      </c>
      <c r="V3228">
        <v>1.27962403746888E-3</v>
      </c>
      <c r="W3228">
        <v>2.1218036823962699E-2</v>
      </c>
      <c r="X3228">
        <v>0</v>
      </c>
      <c r="Y3228">
        <v>0</v>
      </c>
    </row>
    <row r="3229" spans="1:25" x14ac:dyDescent="0.2">
      <c r="A3229" t="s">
        <v>11942</v>
      </c>
      <c r="B3229" t="s">
        <v>11943</v>
      </c>
      <c r="C3229" t="s">
        <v>11944</v>
      </c>
      <c r="D3229" t="s">
        <v>11945</v>
      </c>
      <c r="E3229" t="s">
        <v>11943</v>
      </c>
      <c r="F3229" t="s">
        <v>28</v>
      </c>
      <c r="G3229" t="s">
        <v>11943</v>
      </c>
      <c r="H3229" t="str">
        <f>"tald-1"</f>
        <v>tald-1</v>
      </c>
      <c r="I3229" t="s">
        <v>11945</v>
      </c>
      <c r="J3229">
        <v>14.1607032482774</v>
      </c>
      <c r="K3229">
        <v>13.6526016968756</v>
      </c>
      <c r="L3229">
        <v>13.984644435886899</v>
      </c>
      <c r="M3229">
        <v>14.246553425222499</v>
      </c>
      <c r="N3229">
        <v>13.815508722878899</v>
      </c>
      <c r="O3229">
        <v>14.515597320096401</v>
      </c>
      <c r="P3229">
        <v>0.25990336238595002</v>
      </c>
      <c r="Q3229">
        <v>-0.32921134098149502</v>
      </c>
      <c r="R3229">
        <v>0.849018065753396</v>
      </c>
      <c r="S3229">
        <v>14.117034484436299</v>
      </c>
      <c r="T3229">
        <v>0.92726645516764605</v>
      </c>
      <c r="U3229">
        <v>-6.6120519478646296</v>
      </c>
      <c r="V3229">
        <v>0.36612656648763497</v>
      </c>
      <c r="W3229">
        <v>0.642054667668018</v>
      </c>
      <c r="X3229">
        <v>0</v>
      </c>
      <c r="Y3229">
        <v>0</v>
      </c>
    </row>
    <row r="3230" spans="1:25" x14ac:dyDescent="0.2">
      <c r="A3230" t="s">
        <v>11946</v>
      </c>
      <c r="B3230" t="s">
        <v>11947</v>
      </c>
      <c r="C3230" t="s">
        <v>11948</v>
      </c>
      <c r="D3230" t="s">
        <v>11949</v>
      </c>
      <c r="E3230" t="s">
        <v>11947</v>
      </c>
      <c r="F3230" t="s">
        <v>28</v>
      </c>
      <c r="G3230" t="s">
        <v>11947</v>
      </c>
      <c r="H3230" t="str">
        <f>"spl-3"</f>
        <v>spl-3</v>
      </c>
      <c r="I3230" t="s">
        <v>11949</v>
      </c>
      <c r="J3230">
        <v>13.2752137196942</v>
      </c>
      <c r="K3230">
        <v>13.012673504089101</v>
      </c>
      <c r="L3230">
        <v>12.663116789888599</v>
      </c>
      <c r="M3230">
        <v>12.6937154351796</v>
      </c>
      <c r="N3230">
        <v>13.4153128176452</v>
      </c>
      <c r="O3230">
        <v>12.763617476558601</v>
      </c>
      <c r="P3230">
        <v>-2.6119428096201599E-2</v>
      </c>
      <c r="Q3230">
        <v>-0.51303300582272204</v>
      </c>
      <c r="R3230">
        <v>0.46079414963031901</v>
      </c>
      <c r="S3230">
        <v>12.793017602938299</v>
      </c>
      <c r="T3230">
        <v>-0.11274681739958201</v>
      </c>
      <c r="U3230">
        <v>-7.0454270082499999</v>
      </c>
      <c r="V3230">
        <v>0.91148644062101303</v>
      </c>
      <c r="W3230">
        <v>0.96831326494750902</v>
      </c>
      <c r="X3230">
        <v>0</v>
      </c>
      <c r="Y3230">
        <v>0</v>
      </c>
    </row>
    <row r="3231" spans="1:25" x14ac:dyDescent="0.2">
      <c r="A3231" t="s">
        <v>11950</v>
      </c>
      <c r="B3231" t="s">
        <v>11951</v>
      </c>
      <c r="C3231" t="s">
        <v>14641</v>
      </c>
      <c r="D3231" t="s">
        <v>11952</v>
      </c>
      <c r="E3231" t="s">
        <v>11951</v>
      </c>
      <c r="F3231" t="s">
        <v>28</v>
      </c>
      <c r="G3231" t="s">
        <v>11951</v>
      </c>
      <c r="H3231" t="str">
        <f>"K08D12.3"</f>
        <v>K08D12.3</v>
      </c>
      <c r="I3231" t="s">
        <v>11952</v>
      </c>
      <c r="J3231">
        <v>12.4512228974718</v>
      </c>
      <c r="K3231">
        <v>12.4961490787241</v>
      </c>
      <c r="L3231">
        <v>11.759711530298601</v>
      </c>
      <c r="M3231" t="s">
        <v>29</v>
      </c>
      <c r="N3231" t="s">
        <v>29</v>
      </c>
      <c r="O3231">
        <v>11.6459806327619</v>
      </c>
      <c r="P3231">
        <v>-0.58971386940294002</v>
      </c>
      <c r="Q3231">
        <v>-2.0672780553517001</v>
      </c>
      <c r="R3231">
        <v>0.88785031654582203</v>
      </c>
      <c r="S3231">
        <v>12.1921812509378</v>
      </c>
      <c r="T3231">
        <v>-0.86294323917619198</v>
      </c>
      <c r="U3231">
        <v>-6.3249657226333396</v>
      </c>
      <c r="V3231">
        <v>0.40393306703871101</v>
      </c>
      <c r="W3231">
        <v>0.67647874428407795</v>
      </c>
      <c r="X3231">
        <v>0</v>
      </c>
      <c r="Y3231">
        <v>0</v>
      </c>
    </row>
    <row r="3232" spans="1:25" x14ac:dyDescent="0.2">
      <c r="A3232" t="s">
        <v>11953</v>
      </c>
      <c r="B3232" t="s">
        <v>11954</v>
      </c>
      <c r="C3232" t="s">
        <v>14642</v>
      </c>
      <c r="D3232" t="s">
        <v>2217</v>
      </c>
      <c r="E3232" t="s">
        <v>11954</v>
      </c>
      <c r="F3232" t="s">
        <v>28</v>
      </c>
      <c r="G3232" t="s">
        <v>11954</v>
      </c>
      <c r="H3232" t="str">
        <f>"F41B4.1"</f>
        <v>F41B4.1</v>
      </c>
      <c r="I3232" t="s">
        <v>2217</v>
      </c>
      <c r="J3232">
        <v>10.1733488684519</v>
      </c>
      <c r="K3232">
        <v>11.5407367274808</v>
      </c>
      <c r="L3232">
        <v>11.680704499841299</v>
      </c>
      <c r="M3232">
        <v>10.599621568191999</v>
      </c>
      <c r="N3232" t="s">
        <v>29</v>
      </c>
      <c r="O3232" t="s">
        <v>29</v>
      </c>
      <c r="P3232">
        <v>-0.531975130399305</v>
      </c>
      <c r="Q3232">
        <v>-1.5844690232409</v>
      </c>
      <c r="R3232">
        <v>0.52051876244228801</v>
      </c>
      <c r="S3232">
        <v>11.2162100597033</v>
      </c>
      <c r="T3232">
        <v>-1.10234302304634</v>
      </c>
      <c r="U3232">
        <v>-6.0916231703536701</v>
      </c>
      <c r="V3232">
        <v>0.29211669570842502</v>
      </c>
      <c r="W3232">
        <v>0.57073294396640095</v>
      </c>
      <c r="X3232">
        <v>0</v>
      </c>
      <c r="Y3232">
        <v>0</v>
      </c>
    </row>
    <row r="3233" spans="1:25" x14ac:dyDescent="0.2">
      <c r="A3233" t="s">
        <v>11955</v>
      </c>
      <c r="B3233" t="s">
        <v>11956</v>
      </c>
      <c r="C3233" t="s">
        <v>11957</v>
      </c>
      <c r="D3233" t="s">
        <v>11958</v>
      </c>
      <c r="E3233" t="s">
        <v>11956</v>
      </c>
      <c r="F3233" t="s">
        <v>28</v>
      </c>
      <c r="G3233" t="s">
        <v>11956</v>
      </c>
      <c r="H3233" t="str">
        <f>"E01A2.2"</f>
        <v>E01A2.2</v>
      </c>
      <c r="I3233" t="s">
        <v>11958</v>
      </c>
      <c r="J3233">
        <v>15.337054012490499</v>
      </c>
      <c r="K3233">
        <v>15.212086788960301</v>
      </c>
      <c r="L3233">
        <v>15.024533207392899</v>
      </c>
      <c r="M3233">
        <v>14.925088014916</v>
      </c>
      <c r="N3233">
        <v>15.429551981272001</v>
      </c>
      <c r="O3233">
        <v>14.913921170317799</v>
      </c>
      <c r="P3233">
        <v>-0.101704280779323</v>
      </c>
      <c r="Q3233">
        <v>-0.498971007850805</v>
      </c>
      <c r="R3233">
        <v>0.295562446292158</v>
      </c>
      <c r="S3233">
        <v>15.007003364049099</v>
      </c>
      <c r="T3233">
        <v>-0.54038968888621297</v>
      </c>
      <c r="U3233">
        <v>-6.8998906990464599</v>
      </c>
      <c r="V3233">
        <v>0.59598097295149199</v>
      </c>
      <c r="W3233">
        <v>0.80686135298032302</v>
      </c>
      <c r="X3233">
        <v>0</v>
      </c>
      <c r="Y3233">
        <v>0</v>
      </c>
    </row>
    <row r="3234" spans="1:25" x14ac:dyDescent="0.2">
      <c r="A3234" t="s">
        <v>11959</v>
      </c>
      <c r="B3234" t="s">
        <v>11960</v>
      </c>
      <c r="C3234" t="s">
        <v>11961</v>
      </c>
      <c r="D3234" t="s">
        <v>11962</v>
      </c>
      <c r="E3234" t="s">
        <v>11960</v>
      </c>
      <c r="F3234" t="s">
        <v>28</v>
      </c>
      <c r="G3234" t="s">
        <v>11960</v>
      </c>
      <c r="H3234" t="str">
        <f>"let-504"</f>
        <v>let-504</v>
      </c>
      <c r="I3234" t="s">
        <v>11962</v>
      </c>
      <c r="J3234" t="s">
        <v>29</v>
      </c>
      <c r="K3234" t="s">
        <v>29</v>
      </c>
      <c r="L3234">
        <v>12.390955300492999</v>
      </c>
      <c r="M3234" t="s">
        <v>29</v>
      </c>
      <c r="N3234" t="s">
        <v>29</v>
      </c>
      <c r="O3234">
        <v>11.1484268335825</v>
      </c>
      <c r="P3234">
        <v>-1.2425284669105101</v>
      </c>
      <c r="Q3234">
        <v>-2.2455837118456201</v>
      </c>
      <c r="R3234">
        <v>-0.239473221975391</v>
      </c>
      <c r="S3234">
        <v>12.6500807082716</v>
      </c>
      <c r="T3234">
        <v>-2.7640658460944199</v>
      </c>
      <c r="U3234">
        <v>-3.4837209722573501</v>
      </c>
      <c r="V3234">
        <v>2.01756656465036E-2</v>
      </c>
      <c r="W3234">
        <v>0.13705974115599701</v>
      </c>
      <c r="X3234">
        <v>-1</v>
      </c>
      <c r="Y3234">
        <v>0</v>
      </c>
    </row>
    <row r="3235" spans="1:25" x14ac:dyDescent="0.2">
      <c r="A3235" t="s">
        <v>11963</v>
      </c>
      <c r="B3235" t="s">
        <v>11964</v>
      </c>
      <c r="C3235" t="s">
        <v>11965</v>
      </c>
      <c r="D3235" t="s">
        <v>11966</v>
      </c>
      <c r="E3235" t="s">
        <v>11964</v>
      </c>
      <c r="F3235" t="s">
        <v>28</v>
      </c>
      <c r="G3235" t="s">
        <v>11964</v>
      </c>
      <c r="H3235" t="str">
        <f>"glh-2"</f>
        <v>glh-2</v>
      </c>
      <c r="I3235" t="s">
        <v>11966</v>
      </c>
      <c r="J3235">
        <v>14.7304812432931</v>
      </c>
      <c r="K3235">
        <v>14.4526116716908</v>
      </c>
      <c r="L3235">
        <v>14.701622979492701</v>
      </c>
      <c r="M3235">
        <v>14.2111442625917</v>
      </c>
      <c r="N3235">
        <v>14.9429757431155</v>
      </c>
      <c r="O3235">
        <v>14.2774421341093</v>
      </c>
      <c r="P3235">
        <v>-0.15105125155336899</v>
      </c>
      <c r="Q3235">
        <v>-0.81204783345743703</v>
      </c>
      <c r="R3235">
        <v>0.509945330350698</v>
      </c>
      <c r="S3235">
        <v>15.3661189112884</v>
      </c>
      <c r="T3235">
        <v>-0.48236426610548799</v>
      </c>
      <c r="U3235">
        <v>-6.9306085508913897</v>
      </c>
      <c r="V3235">
        <v>0.63573725444906604</v>
      </c>
      <c r="W3235">
        <v>0.83247043298883805</v>
      </c>
      <c r="X3235">
        <v>0</v>
      </c>
      <c r="Y3235">
        <v>0</v>
      </c>
    </row>
    <row r="3236" spans="1:25" x14ac:dyDescent="0.2">
      <c r="A3236" t="s">
        <v>11967</v>
      </c>
      <c r="B3236" t="s">
        <v>11968</v>
      </c>
      <c r="C3236" t="s">
        <v>11969</v>
      </c>
      <c r="D3236" t="s">
        <v>11970</v>
      </c>
      <c r="E3236" t="s">
        <v>11968</v>
      </c>
      <c r="F3236" t="s">
        <v>28</v>
      </c>
      <c r="G3236" t="s">
        <v>11968</v>
      </c>
      <c r="H3236" t="str">
        <f>"uri-1"</f>
        <v>uri-1</v>
      </c>
      <c r="I3236" t="s">
        <v>11970</v>
      </c>
      <c r="J3236" t="s">
        <v>29</v>
      </c>
      <c r="K3236">
        <v>13.8786773425606</v>
      </c>
      <c r="L3236" t="s">
        <v>29</v>
      </c>
      <c r="M3236" t="s">
        <v>29</v>
      </c>
      <c r="N3236" t="s">
        <v>29</v>
      </c>
      <c r="O3236" t="s">
        <v>29</v>
      </c>
      <c r="P3236" t="s">
        <v>29</v>
      </c>
      <c r="Q3236" t="s">
        <v>29</v>
      </c>
      <c r="R3236" t="s">
        <v>29</v>
      </c>
      <c r="S3236">
        <v>13.389017107367399</v>
      </c>
      <c r="T3236" t="s">
        <v>29</v>
      </c>
      <c r="U3236" t="s">
        <v>29</v>
      </c>
      <c r="V3236" t="s">
        <v>29</v>
      </c>
      <c r="W3236" t="s">
        <v>29</v>
      </c>
      <c r="X3236" t="s">
        <v>29</v>
      </c>
      <c r="Y3236" t="s">
        <v>29</v>
      </c>
    </row>
    <row r="3237" spans="1:25" x14ac:dyDescent="0.2">
      <c r="A3237" t="s">
        <v>11971</v>
      </c>
      <c r="B3237" t="s">
        <v>11972</v>
      </c>
      <c r="C3237" t="s">
        <v>11973</v>
      </c>
      <c r="D3237" t="s">
        <v>9565</v>
      </c>
      <c r="E3237" t="s">
        <v>11972</v>
      </c>
      <c r="F3237" t="s">
        <v>28</v>
      </c>
      <c r="G3237" t="s">
        <v>11972</v>
      </c>
      <c r="H3237" t="str">
        <f>"C36B7.6"</f>
        <v>C36B7.6</v>
      </c>
      <c r="I3237" t="s">
        <v>9565</v>
      </c>
      <c r="J3237">
        <v>14.2010593486694</v>
      </c>
      <c r="K3237">
        <v>14.378193987823</v>
      </c>
      <c r="L3237">
        <v>13.9885494294514</v>
      </c>
      <c r="M3237">
        <v>13.8126830966072</v>
      </c>
      <c r="N3237">
        <v>13.9827335985077</v>
      </c>
      <c r="O3237">
        <v>13.8815638104162</v>
      </c>
      <c r="P3237">
        <v>-0.296940753470883</v>
      </c>
      <c r="Q3237">
        <v>-0.83434169156295901</v>
      </c>
      <c r="R3237">
        <v>0.24046018462119301</v>
      </c>
      <c r="S3237">
        <v>14.339783601296901</v>
      </c>
      <c r="T3237">
        <v>-1.16135207208299</v>
      </c>
      <c r="U3237">
        <v>-6.3708171430009903</v>
      </c>
      <c r="V3237">
        <v>0.26075609311455999</v>
      </c>
      <c r="W3237">
        <v>0.53852566271952995</v>
      </c>
      <c r="X3237">
        <v>0</v>
      </c>
      <c r="Y3237">
        <v>0</v>
      </c>
    </row>
    <row r="3238" spans="1:25" x14ac:dyDescent="0.2">
      <c r="A3238" t="s">
        <v>11974</v>
      </c>
      <c r="B3238" t="s">
        <v>11975</v>
      </c>
      <c r="C3238" t="s">
        <v>11976</v>
      </c>
      <c r="D3238" t="s">
        <v>7680</v>
      </c>
      <c r="E3238" t="s">
        <v>11975</v>
      </c>
      <c r="F3238" t="s">
        <v>28</v>
      </c>
      <c r="G3238" t="s">
        <v>11975</v>
      </c>
      <c r="H3238" t="str">
        <f>"eif-1"</f>
        <v>eif-1</v>
      </c>
      <c r="I3238" t="s">
        <v>7680</v>
      </c>
      <c r="J3238">
        <v>15.319359978492701</v>
      </c>
      <c r="K3238">
        <v>14.979198552707301</v>
      </c>
      <c r="L3238">
        <v>15.3185446726996</v>
      </c>
      <c r="M3238">
        <v>15.018705965069699</v>
      </c>
      <c r="N3238">
        <v>15.2573887344209</v>
      </c>
      <c r="O3238">
        <v>14.9708610285624</v>
      </c>
      <c r="P3238">
        <v>-0.123382491948844</v>
      </c>
      <c r="Q3238">
        <v>-0.53597492840157601</v>
      </c>
      <c r="R3238">
        <v>0.28920994450388798</v>
      </c>
      <c r="S3238">
        <v>14.8965986951773</v>
      </c>
      <c r="T3238">
        <v>-0.62852822954092202</v>
      </c>
      <c r="U3238">
        <v>-6.8473248922079604</v>
      </c>
      <c r="V3238">
        <v>0.53759841870512304</v>
      </c>
      <c r="W3238">
        <v>0.77501266500839605</v>
      </c>
      <c r="X3238">
        <v>0</v>
      </c>
      <c r="Y3238">
        <v>0</v>
      </c>
    </row>
    <row r="3239" spans="1:25" x14ac:dyDescent="0.2">
      <c r="A3239" t="s">
        <v>11977</v>
      </c>
      <c r="B3239" t="s">
        <v>11978</v>
      </c>
      <c r="C3239" t="s">
        <v>11979</v>
      </c>
      <c r="D3239" t="s">
        <v>11980</v>
      </c>
      <c r="E3239" t="s">
        <v>11978</v>
      </c>
      <c r="F3239" t="s">
        <v>28</v>
      </c>
      <c r="G3239" t="s">
        <v>11978</v>
      </c>
      <c r="H3239" t="str">
        <f>"hmr-1"</f>
        <v>hmr-1</v>
      </c>
      <c r="I3239" t="s">
        <v>11980</v>
      </c>
      <c r="J3239" t="s">
        <v>29</v>
      </c>
      <c r="K3239" t="s">
        <v>29</v>
      </c>
      <c r="L3239" t="s">
        <v>29</v>
      </c>
      <c r="M3239" t="s">
        <v>29</v>
      </c>
      <c r="N3239" t="s">
        <v>29</v>
      </c>
      <c r="O3239">
        <v>12.1784461492937</v>
      </c>
      <c r="P3239" t="s">
        <v>29</v>
      </c>
      <c r="Q3239" t="s">
        <v>29</v>
      </c>
      <c r="R3239" t="s">
        <v>29</v>
      </c>
      <c r="S3239">
        <v>12.7047404002709</v>
      </c>
      <c r="T3239" t="s">
        <v>29</v>
      </c>
      <c r="U3239" t="s">
        <v>29</v>
      </c>
      <c r="V3239" t="s">
        <v>29</v>
      </c>
      <c r="W3239" t="s">
        <v>29</v>
      </c>
      <c r="X3239" t="s">
        <v>29</v>
      </c>
      <c r="Y3239" t="s">
        <v>29</v>
      </c>
    </row>
    <row r="3240" spans="1:25" x14ac:dyDescent="0.2">
      <c r="A3240" t="s">
        <v>11981</v>
      </c>
      <c r="B3240" t="s">
        <v>11982</v>
      </c>
      <c r="C3240" t="s">
        <v>11983</v>
      </c>
      <c r="D3240" t="s">
        <v>11984</v>
      </c>
      <c r="E3240" t="s">
        <v>11982</v>
      </c>
      <c r="F3240" t="s">
        <v>28</v>
      </c>
      <c r="G3240" t="s">
        <v>11982</v>
      </c>
      <c r="H3240" t="str">
        <f>"nstp-10"</f>
        <v>nstp-10</v>
      </c>
      <c r="I3240" t="s">
        <v>11984</v>
      </c>
      <c r="J3240">
        <v>14.9027609255633</v>
      </c>
      <c r="K3240">
        <v>15.429706120637499</v>
      </c>
      <c r="L3240">
        <v>15.3117269845641</v>
      </c>
      <c r="M3240">
        <v>14.6833475929191</v>
      </c>
      <c r="N3240">
        <v>14.2585684152307</v>
      </c>
      <c r="O3240">
        <v>14.836959987901</v>
      </c>
      <c r="P3240">
        <v>-0.62177267823800098</v>
      </c>
      <c r="Q3240">
        <v>-1.05461937803572</v>
      </c>
      <c r="R3240">
        <v>-0.188925978440282</v>
      </c>
      <c r="S3240">
        <v>15.4260717533686</v>
      </c>
      <c r="T3240">
        <v>-3.0191871679769502</v>
      </c>
      <c r="U3240">
        <v>-3.1977854518222002</v>
      </c>
      <c r="V3240">
        <v>7.4067406684686799E-3</v>
      </c>
      <c r="W3240">
        <v>7.1095970900286395E-2</v>
      </c>
      <c r="X3240">
        <v>0</v>
      </c>
      <c r="Y3240">
        <v>0</v>
      </c>
    </row>
    <row r="3241" spans="1:25" x14ac:dyDescent="0.2">
      <c r="A3241" t="s">
        <v>11985</v>
      </c>
      <c r="B3241" t="s">
        <v>11986</v>
      </c>
      <c r="C3241" t="s">
        <v>11987</v>
      </c>
      <c r="D3241" t="s">
        <v>11988</v>
      </c>
      <c r="E3241" t="s">
        <v>11986</v>
      </c>
      <c r="F3241" t="s">
        <v>28</v>
      </c>
      <c r="G3241" t="s">
        <v>11986</v>
      </c>
      <c r="H3241" t="str">
        <f>"xrn-1"</f>
        <v>xrn-1</v>
      </c>
      <c r="I3241" t="s">
        <v>11988</v>
      </c>
      <c r="J3241">
        <v>13.4420261086255</v>
      </c>
      <c r="K3241">
        <v>13.9922892704029</v>
      </c>
      <c r="L3241">
        <v>12.752664925249499</v>
      </c>
      <c r="M3241">
        <v>18.1049496958987</v>
      </c>
      <c r="N3241">
        <v>17.926709877663299</v>
      </c>
      <c r="O3241">
        <v>17.5556844445838</v>
      </c>
      <c r="P3241">
        <v>4.4667879046226497</v>
      </c>
      <c r="Q3241">
        <v>3.32047103365203</v>
      </c>
      <c r="R3241">
        <v>5.6131047755932704</v>
      </c>
      <c r="S3241">
        <v>16.0536476672643</v>
      </c>
      <c r="T3241">
        <v>8.1899860195237704</v>
      </c>
      <c r="U3241">
        <v>7.4085958910092904</v>
      </c>
      <c r="V3241" s="2">
        <v>1.82753064244461E-7</v>
      </c>
      <c r="W3241" s="2">
        <v>1.52481659243968E-5</v>
      </c>
      <c r="X3241">
        <v>1</v>
      </c>
      <c r="Y3241">
        <v>1</v>
      </c>
    </row>
    <row r="3242" spans="1:25" x14ac:dyDescent="0.2">
      <c r="A3242" t="s">
        <v>11989</v>
      </c>
      <c r="B3242" t="s">
        <v>11990</v>
      </c>
      <c r="C3242" t="s">
        <v>11991</v>
      </c>
      <c r="D3242" t="s">
        <v>11992</v>
      </c>
      <c r="E3242" t="s">
        <v>11990</v>
      </c>
      <c r="F3242" t="s">
        <v>28</v>
      </c>
      <c r="G3242" t="s">
        <v>11990</v>
      </c>
      <c r="H3242" t="str">
        <f>"hut-1"</f>
        <v>hut-1</v>
      </c>
      <c r="I3242" t="s">
        <v>11992</v>
      </c>
      <c r="J3242">
        <v>15.019566832082401</v>
      </c>
      <c r="K3242">
        <v>14.9865937501812</v>
      </c>
      <c r="L3242">
        <v>15.0105641355741</v>
      </c>
      <c r="M3242">
        <v>14.981154499882599</v>
      </c>
      <c r="N3242">
        <v>14.7756446278088</v>
      </c>
      <c r="O3242">
        <v>14.797413280250501</v>
      </c>
      <c r="P3242">
        <v>-0.15417076996529</v>
      </c>
      <c r="Q3242">
        <v>-0.54120346879960102</v>
      </c>
      <c r="R3242">
        <v>0.23286192886901999</v>
      </c>
      <c r="S3242">
        <v>15.1634957163413</v>
      </c>
      <c r="T3242">
        <v>-0.83723407611572698</v>
      </c>
      <c r="U3242">
        <v>-6.6918018623016797</v>
      </c>
      <c r="V3242">
        <v>0.41350304724314102</v>
      </c>
      <c r="W3242">
        <v>0.68579965123811404</v>
      </c>
      <c r="X3242">
        <v>0</v>
      </c>
      <c r="Y3242">
        <v>0</v>
      </c>
    </row>
    <row r="3243" spans="1:25" x14ac:dyDescent="0.2">
      <c r="A3243" t="s">
        <v>11993</v>
      </c>
      <c r="B3243" t="s">
        <v>11994</v>
      </c>
      <c r="C3243" t="s">
        <v>14643</v>
      </c>
      <c r="D3243" t="s">
        <v>323</v>
      </c>
      <c r="E3243" t="s">
        <v>11994</v>
      </c>
      <c r="F3243" t="s">
        <v>28</v>
      </c>
      <c r="G3243" t="s">
        <v>11994</v>
      </c>
      <c r="H3243" t="str">
        <f>"Y111B2A.1"</f>
        <v>Y111B2A.1</v>
      </c>
      <c r="I3243" t="s">
        <v>323</v>
      </c>
      <c r="J3243">
        <v>10.629059817335101</v>
      </c>
      <c r="K3243">
        <v>10.006469439898799</v>
      </c>
      <c r="L3243" t="s">
        <v>29</v>
      </c>
      <c r="M3243" t="s">
        <v>29</v>
      </c>
      <c r="N3243">
        <v>11.096446951780001</v>
      </c>
      <c r="O3243" t="s">
        <v>29</v>
      </c>
      <c r="P3243">
        <v>0.778682323163016</v>
      </c>
      <c r="Q3243">
        <v>6.1732444480511801E-2</v>
      </c>
      <c r="R3243">
        <v>1.4956322018455199</v>
      </c>
      <c r="S3243">
        <v>11.4624397926237</v>
      </c>
      <c r="T3243">
        <v>2.3933114228583001</v>
      </c>
      <c r="U3243">
        <v>-4.1894664089310396</v>
      </c>
      <c r="V3243">
        <v>3.5852295877965103E-2</v>
      </c>
      <c r="W3243">
        <v>0.18908163822836099</v>
      </c>
      <c r="X3243">
        <v>0</v>
      </c>
      <c r="Y3243">
        <v>0</v>
      </c>
    </row>
    <row r="3244" spans="1:25" x14ac:dyDescent="0.2">
      <c r="A3244" t="s">
        <v>11995</v>
      </c>
      <c r="B3244" t="s">
        <v>11996</v>
      </c>
      <c r="C3244" t="s">
        <v>11997</v>
      </c>
      <c r="D3244" t="s">
        <v>11998</v>
      </c>
      <c r="E3244" t="s">
        <v>11996</v>
      </c>
      <c r="F3244" t="s">
        <v>28</v>
      </c>
      <c r="G3244" t="s">
        <v>11996</v>
      </c>
      <c r="H3244" t="str">
        <f>"Y66D12A.7"</f>
        <v>Y66D12A.7</v>
      </c>
      <c r="I3244" t="s">
        <v>11998</v>
      </c>
      <c r="J3244" t="s">
        <v>29</v>
      </c>
      <c r="K3244" t="s">
        <v>29</v>
      </c>
      <c r="L3244" t="s">
        <v>29</v>
      </c>
      <c r="M3244" t="s">
        <v>29</v>
      </c>
      <c r="N3244" t="s">
        <v>29</v>
      </c>
      <c r="O3244" t="s">
        <v>29</v>
      </c>
      <c r="P3244" t="s">
        <v>29</v>
      </c>
      <c r="Q3244" t="s">
        <v>29</v>
      </c>
      <c r="R3244" t="s">
        <v>29</v>
      </c>
      <c r="S3244">
        <v>11.630322434789999</v>
      </c>
      <c r="T3244" t="s">
        <v>29</v>
      </c>
      <c r="U3244" t="s">
        <v>29</v>
      </c>
      <c r="V3244" t="s">
        <v>29</v>
      </c>
      <c r="W3244" t="s">
        <v>29</v>
      </c>
      <c r="X3244" t="s">
        <v>29</v>
      </c>
      <c r="Y3244" t="s">
        <v>29</v>
      </c>
    </row>
    <row r="3245" spans="1:25" x14ac:dyDescent="0.2">
      <c r="A3245" t="s">
        <v>11999</v>
      </c>
      <c r="B3245" t="s">
        <v>12000</v>
      </c>
      <c r="C3245" t="s">
        <v>12001</v>
      </c>
      <c r="D3245" t="s">
        <v>12002</v>
      </c>
      <c r="E3245" t="s">
        <v>12000</v>
      </c>
      <c r="F3245" t="s">
        <v>28</v>
      </c>
      <c r="G3245" t="s">
        <v>12000</v>
      </c>
      <c r="H3245" t="str">
        <f>"trpp-8"</f>
        <v>trpp-8</v>
      </c>
      <c r="I3245" t="s">
        <v>12002</v>
      </c>
      <c r="J3245">
        <v>12.463629256345101</v>
      </c>
      <c r="K3245">
        <v>12.5688764238263</v>
      </c>
      <c r="L3245">
        <v>11.872427320639501</v>
      </c>
      <c r="M3245">
        <v>12.1074525388082</v>
      </c>
      <c r="N3245">
        <v>11.8416114310612</v>
      </c>
      <c r="O3245">
        <v>13.008837175415501</v>
      </c>
      <c r="P3245">
        <v>1.7656048158020399E-2</v>
      </c>
      <c r="Q3245">
        <v>-0.584693340368174</v>
      </c>
      <c r="R3245">
        <v>0.62000543668421504</v>
      </c>
      <c r="S3245">
        <v>11.957381442916301</v>
      </c>
      <c r="T3245">
        <v>6.2171960259056899E-2</v>
      </c>
      <c r="U3245">
        <v>-7.0500475116836299</v>
      </c>
      <c r="V3245">
        <v>0.95120097159137096</v>
      </c>
      <c r="W3245">
        <v>0.97752358457809096</v>
      </c>
      <c r="X3245">
        <v>0</v>
      </c>
      <c r="Y3245">
        <v>0</v>
      </c>
    </row>
    <row r="3246" spans="1:25" x14ac:dyDescent="0.2">
      <c r="A3246" t="s">
        <v>12003</v>
      </c>
      <c r="B3246" t="s">
        <v>12004</v>
      </c>
      <c r="C3246" t="s">
        <v>12005</v>
      </c>
      <c r="D3246" t="s">
        <v>4036</v>
      </c>
      <c r="E3246" t="s">
        <v>12004</v>
      </c>
      <c r="F3246" t="s">
        <v>28</v>
      </c>
      <c r="G3246" t="s">
        <v>12004</v>
      </c>
      <c r="H3246" t="str">
        <f>"bpl-1"</f>
        <v>bpl-1</v>
      </c>
      <c r="I3246" t="s">
        <v>4036</v>
      </c>
      <c r="J3246">
        <v>12.8334065873391</v>
      </c>
      <c r="K3246">
        <v>13.0539742247318</v>
      </c>
      <c r="L3246">
        <v>13.0666289234619</v>
      </c>
      <c r="M3246">
        <v>13.543752478251299</v>
      </c>
      <c r="N3246">
        <v>14.0428207480832</v>
      </c>
      <c r="O3246">
        <v>12.945950328569401</v>
      </c>
      <c r="P3246">
        <v>0.52617127312369405</v>
      </c>
      <c r="Q3246">
        <v>-0.241154781523609</v>
      </c>
      <c r="R3246">
        <v>1.293497327771</v>
      </c>
      <c r="S3246">
        <v>12.639066915615301</v>
      </c>
      <c r="T3246">
        <v>1.4412512660700101</v>
      </c>
      <c r="U3246">
        <v>-6.0226096882165701</v>
      </c>
      <c r="V3246">
        <v>0.16678423595228001</v>
      </c>
      <c r="W3246">
        <v>0.423831135562383</v>
      </c>
      <c r="X3246">
        <v>0</v>
      </c>
      <c r="Y3246">
        <v>0</v>
      </c>
    </row>
    <row r="3247" spans="1:25" x14ac:dyDescent="0.2">
      <c r="A3247" t="s">
        <v>12006</v>
      </c>
      <c r="B3247" t="s">
        <v>12007</v>
      </c>
      <c r="C3247" t="s">
        <v>12008</v>
      </c>
      <c r="D3247" t="s">
        <v>12009</v>
      </c>
      <c r="E3247" t="s">
        <v>12007</v>
      </c>
      <c r="F3247" t="s">
        <v>28</v>
      </c>
      <c r="G3247" t="s">
        <v>12007</v>
      </c>
      <c r="H3247" t="str">
        <f>"B0464.9"</f>
        <v>B0464.9</v>
      </c>
      <c r="I3247" t="s">
        <v>12009</v>
      </c>
      <c r="J3247">
        <v>14.051516398993201</v>
      </c>
      <c r="K3247">
        <v>13.813358133722801</v>
      </c>
      <c r="L3247">
        <v>13.914790583391</v>
      </c>
      <c r="M3247">
        <v>13.7477933085099</v>
      </c>
      <c r="N3247">
        <v>13.6460434971455</v>
      </c>
      <c r="O3247">
        <v>13.3847028392531</v>
      </c>
      <c r="P3247">
        <v>-0.333708490399518</v>
      </c>
      <c r="Q3247">
        <v>-0.72531353306135604</v>
      </c>
      <c r="R3247">
        <v>5.78965522623201E-2</v>
      </c>
      <c r="S3247">
        <v>13.567549522008299</v>
      </c>
      <c r="T3247">
        <v>-1.7987424910993299</v>
      </c>
      <c r="U3247">
        <v>-5.4969055868772498</v>
      </c>
      <c r="V3247">
        <v>8.9948510058169007E-2</v>
      </c>
      <c r="W3247">
        <v>0.30708241090792199</v>
      </c>
      <c r="X3247">
        <v>0</v>
      </c>
      <c r="Y3247">
        <v>0</v>
      </c>
    </row>
    <row r="3248" spans="1:25" x14ac:dyDescent="0.2">
      <c r="A3248" t="s">
        <v>12010</v>
      </c>
      <c r="B3248" t="s">
        <v>12011</v>
      </c>
      <c r="C3248" t="s">
        <v>12012</v>
      </c>
      <c r="D3248" t="s">
        <v>93</v>
      </c>
      <c r="E3248" t="s">
        <v>12011</v>
      </c>
      <c r="F3248" t="s">
        <v>28</v>
      </c>
      <c r="G3248" t="s">
        <v>12011</v>
      </c>
      <c r="H3248" t="str">
        <f>"hrpf-1"</f>
        <v>hrpf-1</v>
      </c>
      <c r="I3248" t="s">
        <v>93</v>
      </c>
      <c r="J3248">
        <v>15.9329112325319</v>
      </c>
      <c r="K3248">
        <v>16.5736966036703</v>
      </c>
      <c r="L3248">
        <v>16.493887335552799</v>
      </c>
      <c r="M3248">
        <v>15.8875260733237</v>
      </c>
      <c r="N3248">
        <v>15.050269861757901</v>
      </c>
      <c r="O3248">
        <v>16.050613377016401</v>
      </c>
      <c r="P3248">
        <v>-0.67069528655232502</v>
      </c>
      <c r="Q3248">
        <v>-1.23343353593939</v>
      </c>
      <c r="R3248">
        <v>-0.10795703716526101</v>
      </c>
      <c r="S3248">
        <v>16.5761277458876</v>
      </c>
      <c r="T3248">
        <v>-2.5050207763337999</v>
      </c>
      <c r="U3248">
        <v>-4.2365001946246901</v>
      </c>
      <c r="V3248">
        <v>2.21395711500652E-2</v>
      </c>
      <c r="W3248">
        <v>0.144662980968498</v>
      </c>
      <c r="X3248">
        <v>0</v>
      </c>
      <c r="Y3248">
        <v>0</v>
      </c>
    </row>
    <row r="3249" spans="1:25" x14ac:dyDescent="0.2">
      <c r="A3249" t="s">
        <v>12013</v>
      </c>
      <c r="B3249" t="s">
        <v>12014</v>
      </c>
      <c r="C3249" t="s">
        <v>12015</v>
      </c>
      <c r="D3249" t="s">
        <v>158</v>
      </c>
      <c r="E3249" t="s">
        <v>12014</v>
      </c>
      <c r="F3249" t="s">
        <v>28</v>
      </c>
      <c r="G3249" t="s">
        <v>12014</v>
      </c>
      <c r="H3249" t="str">
        <f>"imb-1"</f>
        <v>imb-1</v>
      </c>
      <c r="I3249" t="s">
        <v>158</v>
      </c>
      <c r="J3249">
        <v>11.223710139376999</v>
      </c>
      <c r="K3249">
        <v>10.8922776646596</v>
      </c>
      <c r="L3249">
        <v>11.5128952395344</v>
      </c>
      <c r="M3249">
        <v>11.5501761663533</v>
      </c>
      <c r="N3249">
        <v>12.432518099549</v>
      </c>
      <c r="O3249">
        <v>12.0808713161833</v>
      </c>
      <c r="P3249">
        <v>0.81156084617155999</v>
      </c>
      <c r="Q3249">
        <v>0.15074611029118201</v>
      </c>
      <c r="R3249">
        <v>1.47237558205194</v>
      </c>
      <c r="S3249">
        <v>12.228815574160199</v>
      </c>
      <c r="T3249">
        <v>2.6048990484860401</v>
      </c>
      <c r="U3249">
        <v>-4.0754323093965104</v>
      </c>
      <c r="V3249">
        <v>1.9223555317895501E-2</v>
      </c>
      <c r="W3249">
        <v>0.13492332233198101</v>
      </c>
      <c r="X3249">
        <v>0</v>
      </c>
      <c r="Y3249">
        <v>0</v>
      </c>
    </row>
    <row r="3250" spans="1:25" x14ac:dyDescent="0.2">
      <c r="A3250" t="s">
        <v>12016</v>
      </c>
      <c r="B3250" t="s">
        <v>12017</v>
      </c>
      <c r="C3250" t="s">
        <v>12018</v>
      </c>
      <c r="D3250" t="s">
        <v>12019</v>
      </c>
      <c r="E3250" t="s">
        <v>12017</v>
      </c>
      <c r="F3250" t="s">
        <v>28</v>
      </c>
      <c r="G3250" t="s">
        <v>12017</v>
      </c>
      <c r="H3250" t="str">
        <f>"rbm-5"</f>
        <v>rbm-5</v>
      </c>
      <c r="I3250" t="s">
        <v>12019</v>
      </c>
      <c r="J3250">
        <v>12.5844212409094</v>
      </c>
      <c r="K3250">
        <v>11.7191464942859</v>
      </c>
      <c r="L3250">
        <v>12.0170575735448</v>
      </c>
      <c r="M3250" t="s">
        <v>29</v>
      </c>
      <c r="N3250">
        <v>12.877005899882599</v>
      </c>
      <c r="O3250">
        <v>12.43175699557</v>
      </c>
      <c r="P3250">
        <v>0.54750634481292204</v>
      </c>
      <c r="Q3250">
        <v>-0.107905208072296</v>
      </c>
      <c r="R3250">
        <v>1.2029178976981401</v>
      </c>
      <c r="S3250">
        <v>12.971451931281701</v>
      </c>
      <c r="T3250">
        <v>1.7816265248344001</v>
      </c>
      <c r="U3250">
        <v>-5.4216139007199704</v>
      </c>
      <c r="V3250">
        <v>9.5204647226551906E-2</v>
      </c>
      <c r="W3250">
        <v>0.31806562841396302</v>
      </c>
      <c r="X3250">
        <v>0</v>
      </c>
      <c r="Y3250">
        <v>0</v>
      </c>
    </row>
    <row r="3251" spans="1:25" x14ac:dyDescent="0.2">
      <c r="A3251" t="s">
        <v>12020</v>
      </c>
      <c r="B3251" t="s">
        <v>12021</v>
      </c>
      <c r="C3251" t="s">
        <v>12022</v>
      </c>
      <c r="D3251" t="s">
        <v>433</v>
      </c>
      <c r="E3251" t="s">
        <v>12021</v>
      </c>
      <c r="F3251" t="s">
        <v>28</v>
      </c>
      <c r="G3251" t="s">
        <v>12021</v>
      </c>
      <c r="H3251" t="str">
        <f>"C49A9.9"</f>
        <v>C49A9.9</v>
      </c>
      <c r="I3251" t="s">
        <v>433</v>
      </c>
      <c r="J3251">
        <v>14.9684195993653</v>
      </c>
      <c r="K3251">
        <v>15.005230058449699</v>
      </c>
      <c r="L3251">
        <v>14.47391313426</v>
      </c>
      <c r="M3251">
        <v>14.461169073755499</v>
      </c>
      <c r="N3251">
        <v>15.1095489682275</v>
      </c>
      <c r="O3251">
        <v>15.075212103073399</v>
      </c>
      <c r="P3251">
        <v>6.6122450993814794E-2</v>
      </c>
      <c r="Q3251">
        <v>-0.42755715056223598</v>
      </c>
      <c r="R3251">
        <v>0.55980205254986604</v>
      </c>
      <c r="S3251">
        <v>14.467746446076699</v>
      </c>
      <c r="T3251">
        <v>0.28271820426091399</v>
      </c>
      <c r="U3251">
        <v>-7.0101668448904499</v>
      </c>
      <c r="V3251">
        <v>0.78082736981238798</v>
      </c>
      <c r="W3251">
        <v>0.90905626524848304</v>
      </c>
      <c r="X3251">
        <v>0</v>
      </c>
      <c r="Y3251">
        <v>0</v>
      </c>
    </row>
    <row r="3252" spans="1:25" x14ac:dyDescent="0.2">
      <c r="A3252" t="s">
        <v>12023</v>
      </c>
      <c r="B3252" t="s">
        <v>12024</v>
      </c>
      <c r="C3252" t="s">
        <v>12025</v>
      </c>
      <c r="D3252" t="s">
        <v>12026</v>
      </c>
      <c r="E3252" t="s">
        <v>12024</v>
      </c>
      <c r="F3252" t="s">
        <v>28</v>
      </c>
      <c r="G3252" t="s">
        <v>12024</v>
      </c>
      <c r="H3252" t="str">
        <f>"ddx-35"</f>
        <v>ddx-35</v>
      </c>
      <c r="I3252" t="s">
        <v>12026</v>
      </c>
      <c r="J3252">
        <v>12.286140237493999</v>
      </c>
      <c r="K3252">
        <v>12.5587479395048</v>
      </c>
      <c r="L3252">
        <v>12.3333402519354</v>
      </c>
      <c r="M3252">
        <v>12.093995964491</v>
      </c>
      <c r="N3252">
        <v>12.013312854218899</v>
      </c>
      <c r="O3252">
        <v>11.507496855130499</v>
      </c>
      <c r="P3252">
        <v>-0.52114091836460796</v>
      </c>
      <c r="Q3252">
        <v>-1.0452157966989699</v>
      </c>
      <c r="R3252">
        <v>2.9339599697521001E-3</v>
      </c>
      <c r="S3252">
        <v>12.6362058436466</v>
      </c>
      <c r="T3252">
        <v>-2.1091689127058202</v>
      </c>
      <c r="U3252">
        <v>-4.9849126450886896</v>
      </c>
      <c r="V3252">
        <v>5.1147932148312397E-2</v>
      </c>
      <c r="W3252">
        <v>0.22434019978251299</v>
      </c>
      <c r="X3252">
        <v>0</v>
      </c>
      <c r="Y3252">
        <v>0</v>
      </c>
    </row>
    <row r="3253" spans="1:25" x14ac:dyDescent="0.2">
      <c r="A3253" t="s">
        <v>12027</v>
      </c>
      <c r="B3253" t="s">
        <v>12028</v>
      </c>
      <c r="C3253" t="s">
        <v>12029</v>
      </c>
      <c r="D3253" t="s">
        <v>12030</v>
      </c>
      <c r="E3253" t="s">
        <v>12028</v>
      </c>
      <c r="F3253" t="s">
        <v>28</v>
      </c>
      <c r="G3253" t="s">
        <v>12028</v>
      </c>
      <c r="H3253" t="str">
        <f>"cisd-3.2"</f>
        <v>cisd-3.2</v>
      </c>
      <c r="I3253" t="s">
        <v>12030</v>
      </c>
      <c r="J3253">
        <v>15.326930483402901</v>
      </c>
      <c r="K3253">
        <v>15.3678216258247</v>
      </c>
      <c r="L3253">
        <v>15.2500714776324</v>
      </c>
      <c r="M3253">
        <v>14.5119329062495</v>
      </c>
      <c r="N3253">
        <v>14.3629930365714</v>
      </c>
      <c r="O3253">
        <v>14.6972820599618</v>
      </c>
      <c r="P3253">
        <v>-0.79087186135909204</v>
      </c>
      <c r="Q3253">
        <v>-1.2771697384355001</v>
      </c>
      <c r="R3253">
        <v>-0.30457398428268101</v>
      </c>
      <c r="S3253">
        <v>14.3219259874312</v>
      </c>
      <c r="T3253">
        <v>-3.43284159191656</v>
      </c>
      <c r="U3253">
        <v>-2.3631252874572999</v>
      </c>
      <c r="V3253">
        <v>3.1974373200288702E-3</v>
      </c>
      <c r="W3253">
        <v>3.9262117129713003E-2</v>
      </c>
      <c r="X3253">
        <v>0</v>
      </c>
      <c r="Y3253">
        <v>0</v>
      </c>
    </row>
    <row r="3254" spans="1:25" x14ac:dyDescent="0.2">
      <c r="A3254" t="s">
        <v>12031</v>
      </c>
      <c r="B3254" t="s">
        <v>12032</v>
      </c>
      <c r="C3254" t="s">
        <v>12033</v>
      </c>
      <c r="D3254" t="s">
        <v>581</v>
      </c>
      <c r="E3254" t="s">
        <v>12032</v>
      </c>
      <c r="F3254" t="s">
        <v>28</v>
      </c>
      <c r="G3254" t="s">
        <v>12032</v>
      </c>
      <c r="H3254" t="str">
        <f>"ttc-37"</f>
        <v>ttc-37</v>
      </c>
      <c r="I3254" t="s">
        <v>581</v>
      </c>
      <c r="J3254">
        <v>12.2850603081801</v>
      </c>
      <c r="K3254">
        <v>12.4006881325686</v>
      </c>
      <c r="L3254">
        <v>12.407690948359599</v>
      </c>
      <c r="M3254">
        <v>11.893935055339</v>
      </c>
      <c r="N3254">
        <v>13.203295347639299</v>
      </c>
      <c r="O3254">
        <v>12.5615075647189</v>
      </c>
      <c r="P3254">
        <v>0.18843285952962099</v>
      </c>
      <c r="Q3254">
        <v>-0.52013849087474195</v>
      </c>
      <c r="R3254">
        <v>0.897004209933984</v>
      </c>
      <c r="S3254">
        <v>12.2676832975264</v>
      </c>
      <c r="T3254">
        <v>0.55894047970013305</v>
      </c>
      <c r="U3254">
        <v>-6.8897844848701997</v>
      </c>
      <c r="V3254">
        <v>0.58313012884748505</v>
      </c>
      <c r="W3254">
        <v>0.80164995321914501</v>
      </c>
      <c r="X3254">
        <v>0</v>
      </c>
      <c r="Y3254">
        <v>0</v>
      </c>
    </row>
    <row r="3255" spans="1:25" x14ac:dyDescent="0.2">
      <c r="A3255" t="s">
        <v>12034</v>
      </c>
      <c r="B3255" t="s">
        <v>12035</v>
      </c>
      <c r="C3255" t="s">
        <v>14644</v>
      </c>
      <c r="D3255" t="s">
        <v>12036</v>
      </c>
      <c r="E3255" t="s">
        <v>12035</v>
      </c>
      <c r="F3255" t="s">
        <v>28</v>
      </c>
      <c r="G3255" t="s">
        <v>12035</v>
      </c>
      <c r="H3255" t="str">
        <f>"Y82E9BR.18"</f>
        <v>Y82E9BR.18</v>
      </c>
      <c r="I3255" t="s">
        <v>12036</v>
      </c>
      <c r="J3255">
        <v>15.4900080676753</v>
      </c>
      <c r="K3255">
        <v>15.2325603811686</v>
      </c>
      <c r="L3255">
        <v>15.2037522357311</v>
      </c>
      <c r="M3255">
        <v>15.4623775530413</v>
      </c>
      <c r="N3255">
        <v>15.3331969488639</v>
      </c>
      <c r="O3255">
        <v>14.804435049946999</v>
      </c>
      <c r="P3255">
        <v>-0.108770377574215</v>
      </c>
      <c r="Q3255">
        <v>-0.58501262115714803</v>
      </c>
      <c r="R3255">
        <v>0.36747186600871801</v>
      </c>
      <c r="S3255">
        <v>14.847063562617899</v>
      </c>
      <c r="T3255">
        <v>-0.48003757563642002</v>
      </c>
      <c r="U3255">
        <v>-6.9320998475701598</v>
      </c>
      <c r="V3255">
        <v>0.63701589805473402</v>
      </c>
      <c r="W3255">
        <v>0.83313895991563702</v>
      </c>
      <c r="X3255">
        <v>0</v>
      </c>
      <c r="Y3255">
        <v>0</v>
      </c>
    </row>
    <row r="3256" spans="1:25" x14ac:dyDescent="0.2">
      <c r="A3256" t="s">
        <v>12037</v>
      </c>
      <c r="B3256" t="s">
        <v>12038</v>
      </c>
      <c r="C3256" t="s">
        <v>14645</v>
      </c>
      <c r="D3256" t="s">
        <v>107</v>
      </c>
      <c r="E3256" t="s">
        <v>12038</v>
      </c>
      <c r="F3256" t="s">
        <v>28</v>
      </c>
      <c r="G3256" t="s">
        <v>12038</v>
      </c>
      <c r="H3256" t="str">
        <f>"Y82E9BR.16"</f>
        <v>Y82E9BR.16</v>
      </c>
      <c r="I3256" t="s">
        <v>107</v>
      </c>
      <c r="J3256">
        <v>12.7182743135512</v>
      </c>
      <c r="K3256">
        <v>12.1143064906097</v>
      </c>
      <c r="L3256">
        <v>12.325988391522699</v>
      </c>
      <c r="M3256" t="s">
        <v>29</v>
      </c>
      <c r="N3256">
        <v>10.792809696311499</v>
      </c>
      <c r="O3256">
        <v>11.123408687828301</v>
      </c>
      <c r="P3256">
        <v>-1.4280805398246901</v>
      </c>
      <c r="Q3256">
        <v>-2.0718395965196601</v>
      </c>
      <c r="R3256">
        <v>-0.78432148312971395</v>
      </c>
      <c r="S3256">
        <v>12.580915941401701</v>
      </c>
      <c r="T3256">
        <v>-4.7311961638188098</v>
      </c>
      <c r="U3256">
        <v>0.24100934834657001</v>
      </c>
      <c r="V3256">
        <v>2.72766265301535E-4</v>
      </c>
      <c r="W3256">
        <v>7.2161091649690697E-3</v>
      </c>
      <c r="X3256">
        <v>-1</v>
      </c>
      <c r="Y3256">
        <v>-1</v>
      </c>
    </row>
    <row r="3257" spans="1:25" x14ac:dyDescent="0.2">
      <c r="A3257" t="s">
        <v>12039</v>
      </c>
      <c r="B3257" t="s">
        <v>12040</v>
      </c>
      <c r="C3257" t="s">
        <v>12041</v>
      </c>
      <c r="D3257" t="s">
        <v>12042</v>
      </c>
      <c r="E3257" t="s">
        <v>12040</v>
      </c>
      <c r="F3257" t="s">
        <v>28</v>
      </c>
      <c r="G3257" t="s">
        <v>12040</v>
      </c>
      <c r="H3257" t="str">
        <f>"elc-1"</f>
        <v>elc-1</v>
      </c>
      <c r="I3257" t="s">
        <v>12042</v>
      </c>
      <c r="J3257">
        <v>13.245550353696199</v>
      </c>
      <c r="K3257">
        <v>13.1799823211472</v>
      </c>
      <c r="L3257">
        <v>13.290480902589501</v>
      </c>
      <c r="M3257" t="s">
        <v>29</v>
      </c>
      <c r="N3257">
        <v>12.6651568764948</v>
      </c>
      <c r="O3257">
        <v>13.2193203720547</v>
      </c>
      <c r="P3257">
        <v>-0.296432568202881</v>
      </c>
      <c r="Q3257">
        <v>-0.83820318391043502</v>
      </c>
      <c r="R3257">
        <v>0.245338047504672</v>
      </c>
      <c r="S3257">
        <v>13.157519703194399</v>
      </c>
      <c r="T3257">
        <v>-1.1669495374165499</v>
      </c>
      <c r="U3257">
        <v>-6.2528080732011402</v>
      </c>
      <c r="V3257">
        <v>0.261574014416672</v>
      </c>
      <c r="W3257">
        <v>0.53871002715939997</v>
      </c>
      <c r="X3257">
        <v>0</v>
      </c>
      <c r="Y3257">
        <v>0</v>
      </c>
    </row>
    <row r="3258" spans="1:25" x14ac:dyDescent="0.2">
      <c r="A3258" t="s">
        <v>12043</v>
      </c>
      <c r="B3258" t="s">
        <v>12044</v>
      </c>
      <c r="C3258" t="s">
        <v>12045</v>
      </c>
      <c r="D3258" t="s">
        <v>12046</v>
      </c>
      <c r="E3258" t="s">
        <v>12044</v>
      </c>
      <c r="F3258" t="s">
        <v>28</v>
      </c>
      <c r="G3258" t="s">
        <v>12044</v>
      </c>
      <c r="H3258" t="str">
        <f>"npp-13"</f>
        <v>npp-13</v>
      </c>
      <c r="I3258" t="s">
        <v>12046</v>
      </c>
      <c r="J3258">
        <v>14.780921010650999</v>
      </c>
      <c r="K3258">
        <v>14.777118640166499</v>
      </c>
      <c r="L3258">
        <v>14.844643818949899</v>
      </c>
      <c r="M3258">
        <v>14.7647789918177</v>
      </c>
      <c r="N3258">
        <v>15.2087555838105</v>
      </c>
      <c r="O3258">
        <v>14.686865078614201</v>
      </c>
      <c r="P3258">
        <v>8.5905394824992598E-2</v>
      </c>
      <c r="Q3258">
        <v>-0.29241789257838402</v>
      </c>
      <c r="R3258">
        <v>0.46422868222836899</v>
      </c>
      <c r="S3258">
        <v>14.7288636094605</v>
      </c>
      <c r="T3258">
        <v>0.47725432918341198</v>
      </c>
      <c r="U3258">
        <v>-6.9334783720598203</v>
      </c>
      <c r="V3258">
        <v>0.63895782123959299</v>
      </c>
      <c r="W3258">
        <v>0.83500753024644003</v>
      </c>
      <c r="X3258">
        <v>0</v>
      </c>
      <c r="Y3258">
        <v>0</v>
      </c>
    </row>
    <row r="3259" spans="1:25" x14ac:dyDescent="0.2">
      <c r="A3259" t="s">
        <v>12047</v>
      </c>
      <c r="B3259" t="s">
        <v>12048</v>
      </c>
      <c r="C3259" t="s">
        <v>12049</v>
      </c>
      <c r="D3259" t="s">
        <v>12050</v>
      </c>
      <c r="E3259" t="s">
        <v>12048</v>
      </c>
      <c r="F3259" t="s">
        <v>28</v>
      </c>
      <c r="G3259" t="s">
        <v>12048</v>
      </c>
      <c r="H3259" t="str">
        <f>"eif-2alpha"</f>
        <v>eif-2alpha</v>
      </c>
      <c r="I3259" t="s">
        <v>12050</v>
      </c>
      <c r="J3259">
        <v>16.944371691450701</v>
      </c>
      <c r="K3259">
        <v>16.7690532453434</v>
      </c>
      <c r="L3259">
        <v>16.822587529092701</v>
      </c>
      <c r="M3259">
        <v>16.672706164577502</v>
      </c>
      <c r="N3259">
        <v>16.594409756891299</v>
      </c>
      <c r="O3259">
        <v>16.542784313799</v>
      </c>
      <c r="P3259">
        <v>-0.242037410206319</v>
      </c>
      <c r="Q3259">
        <v>-0.54200479559201797</v>
      </c>
      <c r="R3259">
        <v>5.7929975179381102E-2</v>
      </c>
      <c r="S3259">
        <v>16.687655569121599</v>
      </c>
      <c r="T3259">
        <v>-1.69590286098242</v>
      </c>
      <c r="U3259">
        <v>-5.6551691334067504</v>
      </c>
      <c r="V3259">
        <v>0.107231563508436</v>
      </c>
      <c r="W3259">
        <v>0.33831349181262699</v>
      </c>
      <c r="X3259">
        <v>0</v>
      </c>
      <c r="Y3259">
        <v>0</v>
      </c>
    </row>
    <row r="3260" spans="1:25" x14ac:dyDescent="0.2">
      <c r="A3260" t="s">
        <v>12051</v>
      </c>
      <c r="B3260" t="s">
        <v>12052</v>
      </c>
      <c r="C3260" t="s">
        <v>12053</v>
      </c>
      <c r="D3260" t="s">
        <v>12054</v>
      </c>
      <c r="E3260" t="s">
        <v>12052</v>
      </c>
      <c r="F3260" t="s">
        <v>28</v>
      </c>
      <c r="G3260" t="s">
        <v>12052</v>
      </c>
      <c r="H3260" t="str">
        <f>"phb-1"</f>
        <v>phb-1</v>
      </c>
      <c r="I3260" t="s">
        <v>12054</v>
      </c>
      <c r="J3260">
        <v>16.8359377875713</v>
      </c>
      <c r="K3260">
        <v>16.9412386819732</v>
      </c>
      <c r="L3260">
        <v>16.776224225387001</v>
      </c>
      <c r="M3260">
        <v>17.007365450237899</v>
      </c>
      <c r="N3260">
        <v>16.9943423495993</v>
      </c>
      <c r="O3260">
        <v>16.927270221269499</v>
      </c>
      <c r="P3260">
        <v>0.12519244205837801</v>
      </c>
      <c r="Q3260">
        <v>-0.36274042806586099</v>
      </c>
      <c r="R3260">
        <v>0.61312531218261701</v>
      </c>
      <c r="S3260">
        <v>16.217551655731999</v>
      </c>
      <c r="T3260">
        <v>0.53927532395406597</v>
      </c>
      <c r="U3260">
        <v>-6.9009134955223299</v>
      </c>
      <c r="V3260">
        <v>0.59634344004845696</v>
      </c>
      <c r="W3260">
        <v>0.80686135298032302</v>
      </c>
      <c r="X3260">
        <v>0</v>
      </c>
      <c r="Y3260">
        <v>0</v>
      </c>
    </row>
    <row r="3261" spans="1:25" x14ac:dyDescent="0.2">
      <c r="A3261" t="s">
        <v>12055</v>
      </c>
      <c r="B3261" t="s">
        <v>12056</v>
      </c>
      <c r="C3261" t="s">
        <v>14646</v>
      </c>
      <c r="D3261" t="s">
        <v>12057</v>
      </c>
      <c r="E3261" t="s">
        <v>12056</v>
      </c>
      <c r="F3261" t="s">
        <v>28</v>
      </c>
      <c r="G3261" t="s">
        <v>12056</v>
      </c>
      <c r="H3261" t="str">
        <f>"Y37E3.8"</f>
        <v>Y37E3.8</v>
      </c>
      <c r="I3261" t="s">
        <v>12057</v>
      </c>
      <c r="J3261">
        <v>20.229643513093301</v>
      </c>
      <c r="K3261">
        <v>20.2592826506893</v>
      </c>
      <c r="L3261">
        <v>20.4419526929175</v>
      </c>
      <c r="M3261">
        <v>19.8449890434817</v>
      </c>
      <c r="N3261">
        <v>19.664107997271302</v>
      </c>
      <c r="O3261">
        <v>19.6286220482069</v>
      </c>
      <c r="P3261">
        <v>-0.597719922580083</v>
      </c>
      <c r="Q3261">
        <v>-1.00382276645071</v>
      </c>
      <c r="R3261">
        <v>-0.19161707870945699</v>
      </c>
      <c r="S3261">
        <v>20.590374164328701</v>
      </c>
      <c r="T3261">
        <v>-3.09352915854164</v>
      </c>
      <c r="U3261">
        <v>-3.0419154539207098</v>
      </c>
      <c r="V3261">
        <v>6.2997238039178899E-3</v>
      </c>
      <c r="W3261">
        <v>6.40603164310901E-2</v>
      </c>
      <c r="X3261">
        <v>0</v>
      </c>
      <c r="Y3261">
        <v>0</v>
      </c>
    </row>
    <row r="3262" spans="1:25" x14ac:dyDescent="0.2">
      <c r="A3262" t="s">
        <v>12058</v>
      </c>
      <c r="B3262" t="s">
        <v>12059</v>
      </c>
      <c r="C3262" t="s">
        <v>14647</v>
      </c>
      <c r="D3262" t="s">
        <v>12060</v>
      </c>
      <c r="E3262" t="s">
        <v>12059</v>
      </c>
      <c r="F3262" t="s">
        <v>28</v>
      </c>
      <c r="G3262" t="s">
        <v>12059</v>
      </c>
      <c r="H3262" t="str">
        <f>"Y92H12BL.4"</f>
        <v>Y92H12BL.4</v>
      </c>
      <c r="I3262" t="s">
        <v>12060</v>
      </c>
      <c r="J3262">
        <v>11.9068527709296</v>
      </c>
      <c r="K3262">
        <v>12.460049529938599</v>
      </c>
      <c r="L3262">
        <v>12.3948423772122</v>
      </c>
      <c r="M3262">
        <v>12.2894651265698</v>
      </c>
      <c r="N3262">
        <v>12.5761771136098</v>
      </c>
      <c r="O3262">
        <v>12.4721427642781</v>
      </c>
      <c r="P3262">
        <v>0.19201344212577201</v>
      </c>
      <c r="Q3262">
        <v>-0.34386223480785699</v>
      </c>
      <c r="R3262">
        <v>0.72788911905940101</v>
      </c>
      <c r="S3262">
        <v>11.9623696628485</v>
      </c>
      <c r="T3262">
        <v>0.76420380155650702</v>
      </c>
      <c r="U3262">
        <v>-6.7487202908906303</v>
      </c>
      <c r="V3262">
        <v>0.45668206973238901</v>
      </c>
      <c r="W3262">
        <v>0.72383996829478503</v>
      </c>
      <c r="X3262">
        <v>0</v>
      </c>
      <c r="Y3262">
        <v>0</v>
      </c>
    </row>
    <row r="3263" spans="1:25" x14ac:dyDescent="0.2">
      <c r="A3263" t="s">
        <v>12061</v>
      </c>
      <c r="B3263" t="s">
        <v>12062</v>
      </c>
      <c r="C3263" t="s">
        <v>14648</v>
      </c>
      <c r="D3263" t="s">
        <v>2432</v>
      </c>
      <c r="E3263" t="s">
        <v>12062</v>
      </c>
      <c r="F3263" t="s">
        <v>28</v>
      </c>
      <c r="G3263" t="s">
        <v>12062</v>
      </c>
      <c r="H3263" t="str">
        <f>"Y54F10AM.11"</f>
        <v>Y54F10AM.11</v>
      </c>
      <c r="I3263" t="s">
        <v>2432</v>
      </c>
      <c r="J3263" t="s">
        <v>29</v>
      </c>
      <c r="K3263" t="s">
        <v>29</v>
      </c>
      <c r="L3263" t="s">
        <v>29</v>
      </c>
      <c r="M3263" t="s">
        <v>29</v>
      </c>
      <c r="N3263" t="s">
        <v>29</v>
      </c>
      <c r="O3263" t="s">
        <v>29</v>
      </c>
      <c r="P3263" t="s">
        <v>29</v>
      </c>
      <c r="Q3263" t="s">
        <v>29</v>
      </c>
      <c r="R3263" t="s">
        <v>29</v>
      </c>
      <c r="S3263">
        <v>11.754876580695001</v>
      </c>
      <c r="T3263" t="s">
        <v>29</v>
      </c>
      <c r="U3263" t="s">
        <v>29</v>
      </c>
      <c r="V3263" t="s">
        <v>29</v>
      </c>
      <c r="W3263" t="s">
        <v>29</v>
      </c>
      <c r="X3263" t="s">
        <v>29</v>
      </c>
      <c r="Y3263" t="s">
        <v>29</v>
      </c>
    </row>
    <row r="3264" spans="1:25" x14ac:dyDescent="0.2">
      <c r="A3264" t="s">
        <v>12063</v>
      </c>
      <c r="B3264" t="s">
        <v>12064</v>
      </c>
      <c r="C3264" t="s">
        <v>12065</v>
      </c>
      <c r="D3264" t="s">
        <v>12066</v>
      </c>
      <c r="E3264" t="s">
        <v>12064</v>
      </c>
      <c r="F3264" t="s">
        <v>28</v>
      </c>
      <c r="G3264" t="s">
        <v>12064</v>
      </c>
      <c r="H3264" t="str">
        <f>"feh-1"</f>
        <v>feh-1</v>
      </c>
      <c r="I3264" t="s">
        <v>12066</v>
      </c>
      <c r="J3264">
        <v>13.252073650918501</v>
      </c>
      <c r="K3264">
        <v>13.475556473596299</v>
      </c>
      <c r="L3264">
        <v>13.540374271221699</v>
      </c>
      <c r="M3264">
        <v>13.8130183299549</v>
      </c>
      <c r="N3264">
        <v>13.3980133967958</v>
      </c>
      <c r="O3264">
        <v>13.865141937979001</v>
      </c>
      <c r="P3264">
        <v>0.26938975633106899</v>
      </c>
      <c r="Q3264">
        <v>-0.188614366664828</v>
      </c>
      <c r="R3264">
        <v>0.72739387932696598</v>
      </c>
      <c r="S3264">
        <v>13.2372397544524</v>
      </c>
      <c r="T3264">
        <v>1.24154282097845</v>
      </c>
      <c r="U3264">
        <v>-6.27686585599597</v>
      </c>
      <c r="V3264">
        <v>0.231366269653518</v>
      </c>
      <c r="W3264">
        <v>0.50198681651640198</v>
      </c>
      <c r="X3264">
        <v>0</v>
      </c>
      <c r="Y3264">
        <v>0</v>
      </c>
    </row>
    <row r="3265" spans="1:25" x14ac:dyDescent="0.2">
      <c r="A3265" t="s">
        <v>12067</v>
      </c>
      <c r="B3265" t="s">
        <v>12068</v>
      </c>
      <c r="C3265" t="s">
        <v>12069</v>
      </c>
      <c r="D3265" t="s">
        <v>12070</v>
      </c>
      <c r="E3265" t="s">
        <v>12068</v>
      </c>
      <c r="F3265" t="s">
        <v>28</v>
      </c>
      <c r="G3265" t="s">
        <v>12068</v>
      </c>
      <c r="H3265" t="str">
        <f>"ceh-44"</f>
        <v>ceh-44</v>
      </c>
      <c r="I3265" t="s">
        <v>12070</v>
      </c>
      <c r="J3265" t="s">
        <v>29</v>
      </c>
      <c r="K3265" t="s">
        <v>29</v>
      </c>
      <c r="L3265" t="s">
        <v>29</v>
      </c>
      <c r="M3265" t="s">
        <v>29</v>
      </c>
      <c r="N3265" t="s">
        <v>29</v>
      </c>
      <c r="O3265" t="s">
        <v>29</v>
      </c>
      <c r="P3265" t="s">
        <v>29</v>
      </c>
      <c r="Q3265" t="s">
        <v>29</v>
      </c>
      <c r="R3265" t="s">
        <v>29</v>
      </c>
      <c r="S3265">
        <v>11.493939607660399</v>
      </c>
      <c r="T3265" t="s">
        <v>29</v>
      </c>
      <c r="U3265" t="s">
        <v>29</v>
      </c>
      <c r="V3265" t="s">
        <v>29</v>
      </c>
      <c r="W3265" t="s">
        <v>29</v>
      </c>
      <c r="X3265" t="s">
        <v>29</v>
      </c>
      <c r="Y3265" t="s">
        <v>29</v>
      </c>
    </row>
    <row r="3266" spans="1:25" x14ac:dyDescent="0.2">
      <c r="A3266" t="s">
        <v>12071</v>
      </c>
      <c r="B3266" t="s">
        <v>12072</v>
      </c>
      <c r="C3266" t="s">
        <v>12073</v>
      </c>
      <c r="D3266" t="s">
        <v>534</v>
      </c>
      <c r="E3266" t="s">
        <v>12072</v>
      </c>
      <c r="F3266" t="s">
        <v>28</v>
      </c>
      <c r="G3266" t="s">
        <v>12072</v>
      </c>
      <c r="H3266" t="str">
        <f>"rbc-2"</f>
        <v>rbc-2</v>
      </c>
      <c r="I3266" t="s">
        <v>534</v>
      </c>
      <c r="J3266">
        <v>13.351839896768301</v>
      </c>
      <c r="K3266">
        <v>13.424666790814699</v>
      </c>
      <c r="L3266">
        <v>13.1811895724832</v>
      </c>
      <c r="M3266">
        <v>13.3955084047785</v>
      </c>
      <c r="N3266">
        <v>13.726073459125701</v>
      </c>
      <c r="O3266">
        <v>13.530309623962999</v>
      </c>
      <c r="P3266">
        <v>0.23139840926699401</v>
      </c>
      <c r="Q3266">
        <v>-0.153001323313292</v>
      </c>
      <c r="R3266">
        <v>0.61579814184727999</v>
      </c>
      <c r="S3266">
        <v>13.1071974113756</v>
      </c>
      <c r="T3266">
        <v>1.2706539924815401</v>
      </c>
      <c r="U3266">
        <v>-6.24172765254509</v>
      </c>
      <c r="V3266">
        <v>0.221070568220221</v>
      </c>
      <c r="W3266">
        <v>0.48869811751942899</v>
      </c>
      <c r="X3266">
        <v>0</v>
      </c>
      <c r="Y3266">
        <v>0</v>
      </c>
    </row>
    <row r="3267" spans="1:25" x14ac:dyDescent="0.2">
      <c r="A3267" t="s">
        <v>12074</v>
      </c>
      <c r="B3267" t="s">
        <v>12075</v>
      </c>
      <c r="C3267" t="s">
        <v>14649</v>
      </c>
      <c r="D3267" t="s">
        <v>12076</v>
      </c>
      <c r="E3267" t="s">
        <v>12075</v>
      </c>
      <c r="F3267" t="s">
        <v>28</v>
      </c>
      <c r="G3267" t="s">
        <v>12075</v>
      </c>
      <c r="H3267" t="str">
        <f>"Y48G8AL.13"</f>
        <v>Y48G8AL.13</v>
      </c>
      <c r="I3267" t="s">
        <v>12076</v>
      </c>
      <c r="J3267">
        <v>13.9878078889255</v>
      </c>
      <c r="K3267">
        <v>13.882182419149601</v>
      </c>
      <c r="L3267">
        <v>14.371641648646699</v>
      </c>
      <c r="M3267">
        <v>13.409562379187101</v>
      </c>
      <c r="N3267">
        <v>12.813691111379001</v>
      </c>
      <c r="O3267">
        <v>13.295279166118799</v>
      </c>
      <c r="P3267">
        <v>-0.90769976667896501</v>
      </c>
      <c r="Q3267">
        <v>-1.3617781461876699</v>
      </c>
      <c r="R3267">
        <v>-0.45362138717025702</v>
      </c>
      <c r="S3267">
        <v>14.395252875113901</v>
      </c>
      <c r="T3267">
        <v>-4.219504098581</v>
      </c>
      <c r="U3267">
        <v>-0.68154668233817794</v>
      </c>
      <c r="V3267">
        <v>5.8397970601955997E-4</v>
      </c>
      <c r="W3267">
        <v>1.2339415346673E-2</v>
      </c>
      <c r="X3267">
        <v>0</v>
      </c>
      <c r="Y3267">
        <v>0</v>
      </c>
    </row>
    <row r="3268" spans="1:25" x14ac:dyDescent="0.2">
      <c r="A3268" t="s">
        <v>12077</v>
      </c>
      <c r="B3268" t="s">
        <v>12078</v>
      </c>
      <c r="C3268" t="s">
        <v>12079</v>
      </c>
      <c r="D3268" t="s">
        <v>12080</v>
      </c>
      <c r="E3268" t="s">
        <v>12078</v>
      </c>
      <c r="F3268" t="s">
        <v>28</v>
      </c>
      <c r="G3268" t="s">
        <v>12078</v>
      </c>
      <c r="H3268" t="str">
        <f>"herc-1"</f>
        <v>herc-1</v>
      </c>
      <c r="I3268" t="s">
        <v>12080</v>
      </c>
      <c r="J3268">
        <v>14.008111828659301</v>
      </c>
      <c r="K3268">
        <v>13.874469013356601</v>
      </c>
      <c r="L3268">
        <v>13.732096711576901</v>
      </c>
      <c r="M3268">
        <v>13.6465970182392</v>
      </c>
      <c r="N3268">
        <v>12.5471998685756</v>
      </c>
      <c r="O3268">
        <v>12.7959565365242</v>
      </c>
      <c r="P3268">
        <v>-0.87497471008458505</v>
      </c>
      <c r="Q3268">
        <v>-1.4601472531767401</v>
      </c>
      <c r="R3268">
        <v>-0.289802166992428</v>
      </c>
      <c r="S3268">
        <v>13.223196091140601</v>
      </c>
      <c r="T3268">
        <v>-3.1714735223914898</v>
      </c>
      <c r="U3268">
        <v>-2.94950609530957</v>
      </c>
      <c r="V3268">
        <v>5.9612313232549202E-3</v>
      </c>
      <c r="W3268">
        <v>6.1973951200867503E-2</v>
      </c>
      <c r="X3268">
        <v>0</v>
      </c>
      <c r="Y3268">
        <v>0</v>
      </c>
    </row>
    <row r="3269" spans="1:25" x14ac:dyDescent="0.2">
      <c r="A3269" t="s">
        <v>12081</v>
      </c>
      <c r="B3269" t="s">
        <v>12082</v>
      </c>
      <c r="C3269" t="s">
        <v>12083</v>
      </c>
      <c r="D3269" t="s">
        <v>12084</v>
      </c>
      <c r="E3269" t="s">
        <v>12082</v>
      </c>
      <c r="F3269" t="s">
        <v>28</v>
      </c>
      <c r="G3269" t="s">
        <v>12082</v>
      </c>
      <c r="H3269" t="str">
        <f>"nsun-2"</f>
        <v>nsun-2</v>
      </c>
      <c r="I3269" t="s">
        <v>12084</v>
      </c>
      <c r="J3269">
        <v>16.093355223282799</v>
      </c>
      <c r="K3269">
        <v>15.7887211173369</v>
      </c>
      <c r="L3269">
        <v>16.011879275831699</v>
      </c>
      <c r="M3269">
        <v>15.7722583175713</v>
      </c>
      <c r="N3269">
        <v>15.9726376156882</v>
      </c>
      <c r="O3269">
        <v>15.826402037344</v>
      </c>
      <c r="P3269">
        <v>-0.107552548615965</v>
      </c>
      <c r="Q3269">
        <v>-0.43539542591618902</v>
      </c>
      <c r="R3269">
        <v>0.22029032868425799</v>
      </c>
      <c r="S3269">
        <v>15.8176938407527</v>
      </c>
      <c r="T3269">
        <v>-0.68952095085655796</v>
      </c>
      <c r="U3269">
        <v>-6.8062023119933102</v>
      </c>
      <c r="V3269">
        <v>0.49933991154002499</v>
      </c>
      <c r="W3269">
        <v>0.75085585589243997</v>
      </c>
      <c r="X3269">
        <v>0</v>
      </c>
      <c r="Y3269">
        <v>0</v>
      </c>
    </row>
    <row r="3270" spans="1:25" x14ac:dyDescent="0.2">
      <c r="A3270" t="s">
        <v>12085</v>
      </c>
      <c r="B3270" t="s">
        <v>12086</v>
      </c>
      <c r="C3270" t="s">
        <v>12087</v>
      </c>
      <c r="D3270" t="s">
        <v>12088</v>
      </c>
      <c r="E3270" t="s">
        <v>12086</v>
      </c>
      <c r="F3270" t="s">
        <v>28</v>
      </c>
      <c r="G3270" t="s">
        <v>12086</v>
      </c>
      <c r="H3270" t="str">
        <f>"haf-6"</f>
        <v>haf-6</v>
      </c>
      <c r="I3270" t="s">
        <v>12088</v>
      </c>
      <c r="J3270">
        <v>12.710344389628499</v>
      </c>
      <c r="K3270">
        <v>11.977685222191299</v>
      </c>
      <c r="L3270">
        <v>12.826916108606101</v>
      </c>
      <c r="M3270">
        <v>11.6094027650456</v>
      </c>
      <c r="N3270">
        <v>11.9200310502363</v>
      </c>
      <c r="O3270">
        <v>11.5689673871324</v>
      </c>
      <c r="P3270">
        <v>-0.80551483933721002</v>
      </c>
      <c r="Q3270">
        <v>-1.3192256117402501</v>
      </c>
      <c r="R3270">
        <v>-0.29180406693417099</v>
      </c>
      <c r="S3270">
        <v>12.3761055152222</v>
      </c>
      <c r="T3270">
        <v>-3.30982388554972</v>
      </c>
      <c r="U3270">
        <v>-2.6225116974929401</v>
      </c>
      <c r="V3270">
        <v>4.1692418840660597E-3</v>
      </c>
      <c r="W3270">
        <v>4.7726186310220201E-2</v>
      </c>
      <c r="X3270">
        <v>0</v>
      </c>
      <c r="Y3270">
        <v>0</v>
      </c>
    </row>
    <row r="3271" spans="1:25" x14ac:dyDescent="0.2">
      <c r="A3271" t="s">
        <v>12089</v>
      </c>
      <c r="B3271" t="s">
        <v>12090</v>
      </c>
      <c r="C3271" t="s">
        <v>12091</v>
      </c>
      <c r="D3271" t="s">
        <v>12092</v>
      </c>
      <c r="E3271" t="s">
        <v>12090</v>
      </c>
      <c r="F3271" t="s">
        <v>28</v>
      </c>
      <c r="G3271" t="s">
        <v>12090</v>
      </c>
      <c r="H3271" t="str">
        <f>"rpl-17"</f>
        <v>rpl-17</v>
      </c>
      <c r="I3271" t="s">
        <v>12092</v>
      </c>
      <c r="J3271">
        <v>19.827766483746199</v>
      </c>
      <c r="K3271">
        <v>19.937473337978499</v>
      </c>
      <c r="L3271">
        <v>20.078392813493501</v>
      </c>
      <c r="M3271">
        <v>19.6085392640741</v>
      </c>
      <c r="N3271">
        <v>19.948340414355499</v>
      </c>
      <c r="O3271">
        <v>19.801832770840999</v>
      </c>
      <c r="P3271">
        <v>-0.161640061982538</v>
      </c>
      <c r="Q3271">
        <v>-0.51237509746654697</v>
      </c>
      <c r="R3271">
        <v>0.18909497350147</v>
      </c>
      <c r="S3271">
        <v>20.0689737621781</v>
      </c>
      <c r="T3271">
        <v>-0.96863993701439699</v>
      </c>
      <c r="U3271">
        <v>-6.57292508388639</v>
      </c>
      <c r="V3271">
        <v>0.345635329156052</v>
      </c>
      <c r="W3271">
        <v>0.62587499225030196</v>
      </c>
      <c r="X3271">
        <v>0</v>
      </c>
      <c r="Y3271">
        <v>0</v>
      </c>
    </row>
    <row r="3272" spans="1:25" x14ac:dyDescent="0.2">
      <c r="A3272" t="s">
        <v>12093</v>
      </c>
      <c r="B3272" t="s">
        <v>12094</v>
      </c>
      <c r="C3272" t="s">
        <v>14650</v>
      </c>
      <c r="D3272" t="s">
        <v>12095</v>
      </c>
      <c r="E3272" t="s">
        <v>12094</v>
      </c>
      <c r="F3272" t="s">
        <v>28</v>
      </c>
      <c r="G3272" t="s">
        <v>12094</v>
      </c>
      <c r="H3272" t="str">
        <f>"Y71H2AM.20"</f>
        <v>Y71H2AM.20</v>
      </c>
      <c r="I3272" t="s">
        <v>12095</v>
      </c>
      <c r="J3272">
        <v>9.8633436216404409</v>
      </c>
      <c r="K3272" t="s">
        <v>29</v>
      </c>
      <c r="L3272" t="s">
        <v>29</v>
      </c>
      <c r="M3272" t="s">
        <v>29</v>
      </c>
      <c r="N3272" t="s">
        <v>29</v>
      </c>
      <c r="O3272" t="s">
        <v>29</v>
      </c>
      <c r="P3272" t="s">
        <v>29</v>
      </c>
      <c r="Q3272" t="s">
        <v>29</v>
      </c>
      <c r="R3272" t="s">
        <v>29</v>
      </c>
      <c r="S3272">
        <v>10.088693152860801</v>
      </c>
      <c r="T3272" t="s">
        <v>29</v>
      </c>
      <c r="U3272" t="s">
        <v>29</v>
      </c>
      <c r="V3272" t="s">
        <v>29</v>
      </c>
      <c r="W3272" t="s">
        <v>29</v>
      </c>
      <c r="X3272" t="s">
        <v>29</v>
      </c>
      <c r="Y3272" t="s">
        <v>29</v>
      </c>
    </row>
    <row r="3273" spans="1:25" x14ac:dyDescent="0.2">
      <c r="A3273" t="s">
        <v>12096</v>
      </c>
      <c r="B3273" t="s">
        <v>12097</v>
      </c>
      <c r="C3273" t="s">
        <v>12098</v>
      </c>
      <c r="D3273" t="s">
        <v>12099</v>
      </c>
      <c r="E3273" t="s">
        <v>12097</v>
      </c>
      <c r="F3273" t="s">
        <v>28</v>
      </c>
      <c r="G3273" t="s">
        <v>12097</v>
      </c>
      <c r="H3273" t="str">
        <f>"set-27"</f>
        <v>set-27</v>
      </c>
      <c r="I3273" t="s">
        <v>12099</v>
      </c>
      <c r="J3273">
        <v>13.987819735876901</v>
      </c>
      <c r="K3273">
        <v>13.6312733134108</v>
      </c>
      <c r="L3273">
        <v>13.6526946392701</v>
      </c>
      <c r="M3273">
        <v>13.6166298331076</v>
      </c>
      <c r="N3273">
        <v>13.9580414140925</v>
      </c>
      <c r="O3273">
        <v>13.6275882936082</v>
      </c>
      <c r="P3273">
        <v>-2.3176049249787702E-2</v>
      </c>
      <c r="Q3273">
        <v>-0.39887890349111998</v>
      </c>
      <c r="R3273">
        <v>0.35252680499154498</v>
      </c>
      <c r="S3273">
        <v>13.298926178355799</v>
      </c>
      <c r="T3273">
        <v>-0.13021017536206</v>
      </c>
      <c r="U3273">
        <v>-7.0431777736210801</v>
      </c>
      <c r="V3273">
        <v>0.89793791012502799</v>
      </c>
      <c r="W3273">
        <v>0.96438222116194405</v>
      </c>
      <c r="X3273">
        <v>0</v>
      </c>
      <c r="Y3273">
        <v>0</v>
      </c>
    </row>
    <row r="3274" spans="1:25" x14ac:dyDescent="0.2">
      <c r="A3274" t="s">
        <v>12100</v>
      </c>
      <c r="B3274" t="s">
        <v>12101</v>
      </c>
      <c r="C3274" t="s">
        <v>14651</v>
      </c>
      <c r="D3274" t="s">
        <v>12102</v>
      </c>
      <c r="E3274" t="s">
        <v>12101</v>
      </c>
      <c r="F3274" t="s">
        <v>28</v>
      </c>
      <c r="G3274" t="s">
        <v>12101</v>
      </c>
      <c r="H3274" t="str">
        <f>"Y65B4A.8"</f>
        <v>Y65B4A.8</v>
      </c>
      <c r="I3274" t="s">
        <v>12102</v>
      </c>
      <c r="J3274">
        <v>12.810869433786401</v>
      </c>
      <c r="K3274">
        <v>12.719772270819799</v>
      </c>
      <c r="L3274">
        <v>12.734720115280499</v>
      </c>
      <c r="M3274" t="s">
        <v>29</v>
      </c>
      <c r="N3274">
        <v>13.5252654195594</v>
      </c>
      <c r="O3274">
        <v>12.877028698465701</v>
      </c>
      <c r="P3274">
        <v>0.44602645238359001</v>
      </c>
      <c r="Q3274">
        <v>-8.3946973139193595E-2</v>
      </c>
      <c r="R3274">
        <v>0.97599987790637399</v>
      </c>
      <c r="S3274">
        <v>12.827517901456799</v>
      </c>
      <c r="T3274">
        <v>1.7949325306400601</v>
      </c>
      <c r="U3274">
        <v>-5.4009418913533302</v>
      </c>
      <c r="V3274">
        <v>9.2979315260129203E-2</v>
      </c>
      <c r="W3274">
        <v>0.31400361816359901</v>
      </c>
      <c r="X3274">
        <v>0</v>
      </c>
      <c r="Y3274">
        <v>0</v>
      </c>
    </row>
    <row r="3275" spans="1:25" x14ac:dyDescent="0.2">
      <c r="A3275" t="s">
        <v>12103</v>
      </c>
      <c r="B3275" t="s">
        <v>12104</v>
      </c>
      <c r="C3275" t="s">
        <v>12105</v>
      </c>
      <c r="D3275" t="s">
        <v>2791</v>
      </c>
      <c r="E3275" t="s">
        <v>12104</v>
      </c>
      <c r="F3275" t="s">
        <v>28</v>
      </c>
      <c r="G3275" t="s">
        <v>12104</v>
      </c>
      <c r="H3275" t="str">
        <f>"eif-4a3"</f>
        <v>eif-4a3</v>
      </c>
      <c r="I3275" t="s">
        <v>2791</v>
      </c>
      <c r="J3275">
        <v>16.6342125389193</v>
      </c>
      <c r="K3275">
        <v>16.451727505870501</v>
      </c>
      <c r="L3275">
        <v>16.621631526873401</v>
      </c>
      <c r="M3275">
        <v>16.573210750994502</v>
      </c>
      <c r="N3275">
        <v>16.524387020121502</v>
      </c>
      <c r="O3275">
        <v>16.5206342364996</v>
      </c>
      <c r="P3275">
        <v>-2.97798546825341E-2</v>
      </c>
      <c r="Q3275">
        <v>-0.37928828148232002</v>
      </c>
      <c r="R3275">
        <v>0.31972857211725197</v>
      </c>
      <c r="S3275">
        <v>16.476875511242799</v>
      </c>
      <c r="T3275">
        <v>-0.17908426800126001</v>
      </c>
      <c r="U3275">
        <v>-7.0352942569314898</v>
      </c>
      <c r="V3275">
        <v>0.85988354849539606</v>
      </c>
      <c r="W3275">
        <v>0.944971653766977</v>
      </c>
      <c r="X3275">
        <v>0</v>
      </c>
      <c r="Y3275">
        <v>0</v>
      </c>
    </row>
    <row r="3276" spans="1:25" x14ac:dyDescent="0.2">
      <c r="A3276" t="s">
        <v>12106</v>
      </c>
      <c r="B3276" t="s">
        <v>12107</v>
      </c>
      <c r="C3276" t="s">
        <v>14652</v>
      </c>
      <c r="D3276" t="s">
        <v>12108</v>
      </c>
      <c r="E3276" t="s">
        <v>12107</v>
      </c>
      <c r="F3276" t="s">
        <v>28</v>
      </c>
      <c r="G3276" t="s">
        <v>12107</v>
      </c>
      <c r="H3276" t="str">
        <f>"Y54H5A.2"</f>
        <v>Y54H5A.2</v>
      </c>
      <c r="I3276" t="s">
        <v>12108</v>
      </c>
      <c r="J3276">
        <v>13.940851813369299</v>
      </c>
      <c r="K3276">
        <v>13.6279470911908</v>
      </c>
      <c r="L3276">
        <v>13.9709859163774</v>
      </c>
      <c r="M3276">
        <v>13.828672877536899</v>
      </c>
      <c r="N3276">
        <v>14.009517253065299</v>
      </c>
      <c r="O3276">
        <v>13.615821808994401</v>
      </c>
      <c r="P3276">
        <v>-2.8590960446951599E-2</v>
      </c>
      <c r="Q3276">
        <v>-0.40557491069849599</v>
      </c>
      <c r="R3276">
        <v>0.34839298980459299</v>
      </c>
      <c r="S3276">
        <v>13.9657654098189</v>
      </c>
      <c r="T3276">
        <v>-0.16008693765277399</v>
      </c>
      <c r="U3276">
        <v>-7.03862403950236</v>
      </c>
      <c r="V3276">
        <v>0.87471098758749599</v>
      </c>
      <c r="W3276">
        <v>0.95320463154572399</v>
      </c>
      <c r="X3276">
        <v>0</v>
      </c>
      <c r="Y3276">
        <v>0</v>
      </c>
    </row>
    <row r="3277" spans="1:25" x14ac:dyDescent="0.2">
      <c r="A3277" t="s">
        <v>12109</v>
      </c>
      <c r="B3277" t="s">
        <v>12110</v>
      </c>
      <c r="C3277" t="s">
        <v>12111</v>
      </c>
      <c r="D3277" t="s">
        <v>11202</v>
      </c>
      <c r="E3277" t="s">
        <v>12110</v>
      </c>
      <c r="F3277" t="s">
        <v>28</v>
      </c>
      <c r="G3277" t="s">
        <v>12110</v>
      </c>
      <c r="H3277" t="str">
        <f>"smg-6"</f>
        <v>smg-6</v>
      </c>
      <c r="I3277" t="s">
        <v>11202</v>
      </c>
      <c r="J3277">
        <v>14.290051583601</v>
      </c>
      <c r="K3277">
        <v>14.647907480002001</v>
      </c>
      <c r="L3277">
        <v>14.4668242288116</v>
      </c>
      <c r="M3277">
        <v>14.645922574026301</v>
      </c>
      <c r="N3277">
        <v>14.039837691081599</v>
      </c>
      <c r="O3277">
        <v>14.464884764718599</v>
      </c>
      <c r="P3277">
        <v>-8.4712754196044002E-2</v>
      </c>
      <c r="Q3277">
        <v>-0.50468859734826399</v>
      </c>
      <c r="R3277">
        <v>0.33526308895617701</v>
      </c>
      <c r="S3277">
        <v>14.3744749203872</v>
      </c>
      <c r="T3277">
        <v>-0.42395230839442899</v>
      </c>
      <c r="U3277">
        <v>-6.9583668958006504</v>
      </c>
      <c r="V3277">
        <v>0.67665306472514597</v>
      </c>
      <c r="W3277">
        <v>0.85541145012261999</v>
      </c>
      <c r="X3277">
        <v>0</v>
      </c>
      <c r="Y3277">
        <v>0</v>
      </c>
    </row>
    <row r="3278" spans="1:25" x14ac:dyDescent="0.2">
      <c r="A3278" t="s">
        <v>12112</v>
      </c>
      <c r="B3278" t="s">
        <v>12113</v>
      </c>
      <c r="C3278" t="s">
        <v>12114</v>
      </c>
      <c r="D3278" t="s">
        <v>2845</v>
      </c>
      <c r="E3278" t="s">
        <v>12113</v>
      </c>
      <c r="F3278" t="s">
        <v>28</v>
      </c>
      <c r="G3278" t="s">
        <v>12113</v>
      </c>
      <c r="H3278" t="str">
        <f>"ppk-2"</f>
        <v>ppk-2</v>
      </c>
      <c r="I3278" t="s">
        <v>2845</v>
      </c>
      <c r="J3278">
        <v>17.9431310886715</v>
      </c>
      <c r="K3278">
        <v>17.251072864594502</v>
      </c>
      <c r="L3278">
        <v>17.323382199110501</v>
      </c>
      <c r="M3278">
        <v>17.205979740071001</v>
      </c>
      <c r="N3278">
        <v>17.1014913288579</v>
      </c>
      <c r="O3278">
        <v>17.490457776458499</v>
      </c>
      <c r="P3278">
        <v>-0.23988576899639799</v>
      </c>
      <c r="Q3278">
        <v>-0.78015805075421596</v>
      </c>
      <c r="R3278">
        <v>0.30038651276141898</v>
      </c>
      <c r="S3278">
        <v>16.487202630621798</v>
      </c>
      <c r="T3278">
        <v>-0.93322058689043696</v>
      </c>
      <c r="U3278">
        <v>-6.6065163370231499</v>
      </c>
      <c r="V3278">
        <v>0.36312786826846999</v>
      </c>
      <c r="W3278">
        <v>0.63985049477168898</v>
      </c>
      <c r="X3278">
        <v>0</v>
      </c>
      <c r="Y3278">
        <v>0</v>
      </c>
    </row>
    <row r="3279" spans="1:25" x14ac:dyDescent="0.2">
      <c r="A3279" t="s">
        <v>12115</v>
      </c>
      <c r="B3279" t="s">
        <v>12116</v>
      </c>
      <c r="C3279" t="s">
        <v>12117</v>
      </c>
      <c r="D3279" t="s">
        <v>11396</v>
      </c>
      <c r="E3279" t="s">
        <v>12116</v>
      </c>
      <c r="F3279" t="s">
        <v>28</v>
      </c>
      <c r="G3279" t="s">
        <v>12116</v>
      </c>
      <c r="H3279" t="str">
        <f>"vps-4"</f>
        <v>vps-4</v>
      </c>
      <c r="I3279" t="s">
        <v>11396</v>
      </c>
      <c r="J3279">
        <v>14.001028592136199</v>
      </c>
      <c r="K3279">
        <v>13.677221626359501</v>
      </c>
      <c r="L3279">
        <v>13.781312779574399</v>
      </c>
      <c r="M3279">
        <v>13.78205001369</v>
      </c>
      <c r="N3279">
        <v>14.1967714866392</v>
      </c>
      <c r="O3279">
        <v>14.3151597347166</v>
      </c>
      <c r="P3279">
        <v>0.278139412325215</v>
      </c>
      <c r="Q3279">
        <v>-0.18239571918726399</v>
      </c>
      <c r="R3279">
        <v>0.73867454383769404</v>
      </c>
      <c r="S3279">
        <v>13.833368764572599</v>
      </c>
      <c r="T3279">
        <v>1.27482267710963</v>
      </c>
      <c r="U3279">
        <v>-6.23664087636097</v>
      </c>
      <c r="V3279">
        <v>0.21962598183659601</v>
      </c>
      <c r="W3279">
        <v>0.487659214475821</v>
      </c>
      <c r="X3279">
        <v>0</v>
      </c>
      <c r="Y3279">
        <v>0</v>
      </c>
    </row>
    <row r="3280" spans="1:25" x14ac:dyDescent="0.2">
      <c r="A3280" t="s">
        <v>12118</v>
      </c>
      <c r="B3280" t="s">
        <v>12119</v>
      </c>
      <c r="C3280" t="s">
        <v>12120</v>
      </c>
      <c r="D3280" t="s">
        <v>12121</v>
      </c>
      <c r="E3280" t="s">
        <v>12119</v>
      </c>
      <c r="F3280" t="s">
        <v>28</v>
      </c>
      <c r="G3280" t="s">
        <v>12119</v>
      </c>
      <c r="H3280" t="str">
        <f>"mrpl-38"</f>
        <v>mrpl-38</v>
      </c>
      <c r="I3280" t="s">
        <v>12121</v>
      </c>
      <c r="J3280">
        <v>13.4660725846033</v>
      </c>
      <c r="K3280">
        <v>14.0194837198574</v>
      </c>
      <c r="L3280">
        <v>14.0867492669109</v>
      </c>
      <c r="M3280">
        <v>13.3877045848565</v>
      </c>
      <c r="N3280">
        <v>14.0090439097883</v>
      </c>
      <c r="O3280">
        <v>13.6578847092233</v>
      </c>
      <c r="P3280">
        <v>-0.172557455834465</v>
      </c>
      <c r="Q3280">
        <v>-1.06720001341826</v>
      </c>
      <c r="R3280">
        <v>0.72208510174933005</v>
      </c>
      <c r="S3280">
        <v>13.990408209871401</v>
      </c>
      <c r="T3280">
        <v>-0.40713101568329002</v>
      </c>
      <c r="U3280">
        <v>-6.9653756021177404</v>
      </c>
      <c r="V3280">
        <v>0.68902347208679404</v>
      </c>
      <c r="W3280">
        <v>0.86071781854856699</v>
      </c>
      <c r="X3280">
        <v>0</v>
      </c>
      <c r="Y3280">
        <v>0</v>
      </c>
    </row>
    <row r="3281" spans="1:25" x14ac:dyDescent="0.2">
      <c r="A3281" t="s">
        <v>12122</v>
      </c>
      <c r="B3281" t="s">
        <v>12123</v>
      </c>
      <c r="C3281" t="s">
        <v>14653</v>
      </c>
      <c r="D3281" t="s">
        <v>12124</v>
      </c>
      <c r="E3281" t="s">
        <v>12123</v>
      </c>
      <c r="F3281" t="s">
        <v>28</v>
      </c>
      <c r="G3281" t="s">
        <v>12123</v>
      </c>
      <c r="H3281" t="str">
        <f>"Y18H1A.4"</f>
        <v>Y18H1A.4</v>
      </c>
      <c r="I3281" t="s">
        <v>12124</v>
      </c>
      <c r="J3281">
        <v>11.6775591019532</v>
      </c>
      <c r="K3281">
        <v>11.1808932125789</v>
      </c>
      <c r="L3281" t="s">
        <v>29</v>
      </c>
      <c r="M3281">
        <v>12.4458488125908</v>
      </c>
      <c r="N3281">
        <v>13.0198459513161</v>
      </c>
      <c r="O3281">
        <v>12.591704562783899</v>
      </c>
      <c r="P3281">
        <v>1.25657361829752</v>
      </c>
      <c r="Q3281">
        <v>0.35920811409908499</v>
      </c>
      <c r="R3281">
        <v>2.1539391224959501</v>
      </c>
      <c r="S3281">
        <v>13.042444222842599</v>
      </c>
      <c r="T3281">
        <v>2.9557560004505299</v>
      </c>
      <c r="U3281">
        <v>-3.2543687810797799</v>
      </c>
      <c r="V3281">
        <v>8.8945154124159993E-3</v>
      </c>
      <c r="W3281">
        <v>8.0620482317553394E-2</v>
      </c>
      <c r="X3281">
        <v>1</v>
      </c>
      <c r="Y3281">
        <v>0</v>
      </c>
    </row>
    <row r="3282" spans="1:25" x14ac:dyDescent="0.2">
      <c r="A3282" t="s">
        <v>12125</v>
      </c>
      <c r="B3282" t="s">
        <v>12126</v>
      </c>
      <c r="C3282" t="s">
        <v>12127</v>
      </c>
      <c r="D3282" t="s">
        <v>603</v>
      </c>
      <c r="E3282" t="s">
        <v>12126</v>
      </c>
      <c r="F3282" t="s">
        <v>28</v>
      </c>
      <c r="G3282" t="s">
        <v>12126</v>
      </c>
      <c r="H3282" t="str">
        <f>"fubl-3"</f>
        <v>fubl-3</v>
      </c>
      <c r="I3282" t="s">
        <v>603</v>
      </c>
      <c r="J3282" t="s">
        <v>29</v>
      </c>
      <c r="K3282">
        <v>12.043416512748101</v>
      </c>
      <c r="L3282">
        <v>11.4177625346931</v>
      </c>
      <c r="M3282">
        <v>12.102644581291599</v>
      </c>
      <c r="N3282">
        <v>11.4135690948973</v>
      </c>
      <c r="O3282">
        <v>11.286099977849499</v>
      </c>
      <c r="P3282">
        <v>-0.12981830570778599</v>
      </c>
      <c r="Q3282">
        <v>-0.85892916146758602</v>
      </c>
      <c r="R3282">
        <v>0.59929255005201298</v>
      </c>
      <c r="S3282">
        <v>11.9709833911198</v>
      </c>
      <c r="T3282">
        <v>-0.38215035294988597</v>
      </c>
      <c r="U3282">
        <v>-6.8642829018380596</v>
      </c>
      <c r="V3282">
        <v>0.70813099141543601</v>
      </c>
      <c r="W3282">
        <v>0.86950231758754803</v>
      </c>
      <c r="X3282">
        <v>0</v>
      </c>
      <c r="Y3282">
        <v>0</v>
      </c>
    </row>
    <row r="3283" spans="1:25" x14ac:dyDescent="0.2">
      <c r="A3283" t="s">
        <v>12128</v>
      </c>
      <c r="B3283" t="s">
        <v>12129</v>
      </c>
      <c r="C3283" t="s">
        <v>12130</v>
      </c>
      <c r="D3283" t="s">
        <v>12131</v>
      </c>
      <c r="E3283" t="s">
        <v>12129</v>
      </c>
      <c r="F3283" t="s">
        <v>28</v>
      </c>
      <c r="G3283" t="s">
        <v>12129</v>
      </c>
      <c r="H3283" t="str">
        <f>"mog-2"</f>
        <v>mog-2</v>
      </c>
      <c r="I3283" t="s">
        <v>12131</v>
      </c>
      <c r="J3283">
        <v>12.4066455254126</v>
      </c>
      <c r="K3283">
        <v>11.784437680438799</v>
      </c>
      <c r="L3283">
        <v>12.653163523036101</v>
      </c>
      <c r="M3283">
        <v>11.0802856612677</v>
      </c>
      <c r="N3283">
        <v>12.612461851458299</v>
      </c>
      <c r="O3283">
        <v>12.3919595435093</v>
      </c>
      <c r="P3283">
        <v>-0.25317989088404902</v>
      </c>
      <c r="Q3283">
        <v>-1.1420377933135599</v>
      </c>
      <c r="R3283">
        <v>0.63567801154546499</v>
      </c>
      <c r="S3283">
        <v>12.5240315600801</v>
      </c>
      <c r="T3283">
        <v>-0.60415225424197205</v>
      </c>
      <c r="U3283">
        <v>-6.8617230020591196</v>
      </c>
      <c r="V3283">
        <v>0.55426833976783196</v>
      </c>
      <c r="W3283">
        <v>0.78212887146770305</v>
      </c>
      <c r="X3283">
        <v>0</v>
      </c>
      <c r="Y3283">
        <v>0</v>
      </c>
    </row>
    <row r="3284" spans="1:25" x14ac:dyDescent="0.2">
      <c r="A3284" t="s">
        <v>12132</v>
      </c>
      <c r="B3284" t="s">
        <v>12133</v>
      </c>
      <c r="C3284" t="s">
        <v>12134</v>
      </c>
      <c r="D3284" t="s">
        <v>12135</v>
      </c>
      <c r="E3284" t="s">
        <v>12133</v>
      </c>
      <c r="F3284" t="s">
        <v>28</v>
      </c>
      <c r="G3284" t="s">
        <v>12133</v>
      </c>
      <c r="H3284" t="str">
        <f>"atln-1"</f>
        <v>atln-1</v>
      </c>
      <c r="I3284" t="s">
        <v>12135</v>
      </c>
      <c r="J3284">
        <v>14.5474433760749</v>
      </c>
      <c r="K3284">
        <v>14.132102450580501</v>
      </c>
      <c r="L3284">
        <v>14.265310018902101</v>
      </c>
      <c r="M3284">
        <v>14.179643207751599</v>
      </c>
      <c r="N3284">
        <v>14.4541359828828</v>
      </c>
      <c r="O3284">
        <v>14.2256461432686</v>
      </c>
      <c r="P3284">
        <v>-2.8476837218175201E-2</v>
      </c>
      <c r="Q3284">
        <v>-0.43206242648531601</v>
      </c>
      <c r="R3284">
        <v>0.37510875204896599</v>
      </c>
      <c r="S3284">
        <v>14.130840142117799</v>
      </c>
      <c r="T3284">
        <v>-0.14893820493931501</v>
      </c>
      <c r="U3284">
        <v>-7.04043264203957</v>
      </c>
      <c r="V3284">
        <v>0.88336571641536699</v>
      </c>
      <c r="W3284">
        <v>0.95847683935165195</v>
      </c>
      <c r="X3284">
        <v>0</v>
      </c>
      <c r="Y3284">
        <v>0</v>
      </c>
    </row>
    <row r="3285" spans="1:25" x14ac:dyDescent="0.2">
      <c r="A3285" t="s">
        <v>12136</v>
      </c>
      <c r="B3285" t="s">
        <v>12137</v>
      </c>
      <c r="C3285" t="s">
        <v>12138</v>
      </c>
      <c r="D3285" t="s">
        <v>1151</v>
      </c>
      <c r="E3285" t="s">
        <v>12137</v>
      </c>
      <c r="F3285" t="s">
        <v>28</v>
      </c>
      <c r="G3285" t="s">
        <v>12137</v>
      </c>
      <c r="H3285" t="str">
        <f>"zig-11"</f>
        <v>zig-11</v>
      </c>
      <c r="I3285" t="s">
        <v>1151</v>
      </c>
      <c r="J3285">
        <v>13.802212393599101</v>
      </c>
      <c r="K3285">
        <v>13.688231320540501</v>
      </c>
      <c r="L3285">
        <v>13.280629846918201</v>
      </c>
      <c r="M3285">
        <v>13.675250190937801</v>
      </c>
      <c r="N3285">
        <v>13.6526616531314</v>
      </c>
      <c r="O3285">
        <v>13.422857517395601</v>
      </c>
      <c r="P3285">
        <v>-6.76806653101103E-3</v>
      </c>
      <c r="Q3285">
        <v>-0.47118637694173299</v>
      </c>
      <c r="R3285">
        <v>0.45765024387971098</v>
      </c>
      <c r="S3285">
        <v>12.9113151554215</v>
      </c>
      <c r="T3285">
        <v>-3.07613434226831E-2</v>
      </c>
      <c r="U3285">
        <v>-7.0515890023529098</v>
      </c>
      <c r="V3285">
        <v>0.97582033915669497</v>
      </c>
      <c r="W3285">
        <v>0.98704363805280904</v>
      </c>
      <c r="X3285">
        <v>0</v>
      </c>
      <c r="Y3285">
        <v>0</v>
      </c>
    </row>
    <row r="3286" spans="1:25" x14ac:dyDescent="0.2">
      <c r="A3286" t="s">
        <v>12139</v>
      </c>
      <c r="B3286" t="s">
        <v>12140</v>
      </c>
      <c r="C3286" t="s">
        <v>12141</v>
      </c>
      <c r="D3286" t="s">
        <v>12142</v>
      </c>
      <c r="E3286" t="s">
        <v>12140</v>
      </c>
      <c r="F3286" t="s">
        <v>28</v>
      </c>
      <c r="G3286" t="s">
        <v>12140</v>
      </c>
      <c r="H3286" t="str">
        <f>"mrpl-15"</f>
        <v>mrpl-15</v>
      </c>
      <c r="I3286" t="s">
        <v>12142</v>
      </c>
      <c r="J3286">
        <v>14.441721214284099</v>
      </c>
      <c r="K3286">
        <v>14.520174540039701</v>
      </c>
      <c r="L3286">
        <v>14.7446776450782</v>
      </c>
      <c r="M3286">
        <v>13.5075064273459</v>
      </c>
      <c r="N3286">
        <v>13.519698760700599</v>
      </c>
      <c r="O3286">
        <v>13.915060839348399</v>
      </c>
      <c r="P3286">
        <v>-0.92143579066903802</v>
      </c>
      <c r="Q3286">
        <v>-1.4070067967397699</v>
      </c>
      <c r="R3286">
        <v>-0.43586478459830502</v>
      </c>
      <c r="S3286">
        <v>14.7209333330701</v>
      </c>
      <c r="T3286">
        <v>-4.0055517194998496</v>
      </c>
      <c r="U3286">
        <v>-1.14043688133343</v>
      </c>
      <c r="V3286">
        <v>9.2613852668057195E-4</v>
      </c>
      <c r="W3286">
        <v>1.7419629910785502E-2</v>
      </c>
      <c r="X3286">
        <v>0</v>
      </c>
      <c r="Y3286">
        <v>0</v>
      </c>
    </row>
    <row r="3287" spans="1:25" x14ac:dyDescent="0.2">
      <c r="A3287" t="s">
        <v>12143</v>
      </c>
      <c r="B3287" t="s">
        <v>12144</v>
      </c>
      <c r="C3287" t="s">
        <v>14654</v>
      </c>
      <c r="D3287" t="s">
        <v>4425</v>
      </c>
      <c r="E3287" t="s">
        <v>12144</v>
      </c>
      <c r="F3287" t="s">
        <v>28</v>
      </c>
      <c r="G3287" t="s">
        <v>12144</v>
      </c>
      <c r="H3287" t="str">
        <f>"Y92H12BR.2"</f>
        <v>Y92H12BR.2</v>
      </c>
      <c r="I3287" t="s">
        <v>4425</v>
      </c>
      <c r="J3287">
        <v>12.630107623142001</v>
      </c>
      <c r="K3287">
        <v>14.106763696655801</v>
      </c>
      <c r="L3287">
        <v>13.9143278892689</v>
      </c>
      <c r="M3287">
        <v>13.2484115911489</v>
      </c>
      <c r="N3287" t="s">
        <v>29</v>
      </c>
      <c r="O3287">
        <v>12.929311446187301</v>
      </c>
      <c r="P3287">
        <v>-0.46153821768745801</v>
      </c>
      <c r="Q3287">
        <v>-1.23541622069269</v>
      </c>
      <c r="R3287">
        <v>0.31233978531777501</v>
      </c>
      <c r="S3287">
        <v>13.7175654969974</v>
      </c>
      <c r="T3287">
        <v>-1.2719697181754499</v>
      </c>
      <c r="U3287">
        <v>-6.1298174282017399</v>
      </c>
      <c r="V3287">
        <v>0.222884709400784</v>
      </c>
      <c r="W3287">
        <v>0.49070828443176601</v>
      </c>
      <c r="X3287">
        <v>0</v>
      </c>
      <c r="Y3287">
        <v>0</v>
      </c>
    </row>
    <row r="3288" spans="1:25" x14ac:dyDescent="0.2">
      <c r="A3288" t="s">
        <v>12145</v>
      </c>
      <c r="B3288" t="s">
        <v>12146</v>
      </c>
      <c r="C3288" t="s">
        <v>12147</v>
      </c>
      <c r="D3288" t="s">
        <v>12148</v>
      </c>
      <c r="E3288" t="s">
        <v>12146</v>
      </c>
      <c r="F3288" t="s">
        <v>28</v>
      </c>
      <c r="G3288" t="s">
        <v>12146</v>
      </c>
      <c r="H3288" t="str">
        <f>"uggt-1"</f>
        <v>uggt-1</v>
      </c>
      <c r="I3288" t="s">
        <v>12148</v>
      </c>
      <c r="J3288">
        <v>12.9458465166285</v>
      </c>
      <c r="K3288">
        <v>12.918703090112301</v>
      </c>
      <c r="L3288">
        <v>12.5371032377115</v>
      </c>
      <c r="M3288">
        <v>12.6844304985588</v>
      </c>
      <c r="N3288">
        <v>12.5701053006156</v>
      </c>
      <c r="O3288">
        <v>12.818790235158</v>
      </c>
      <c r="P3288">
        <v>-0.109442270039979</v>
      </c>
      <c r="Q3288">
        <v>-0.62053200845052803</v>
      </c>
      <c r="R3288">
        <v>0.40164746837057003</v>
      </c>
      <c r="S3288">
        <v>12.5341682162284</v>
      </c>
      <c r="T3288">
        <v>-0.45199948956672398</v>
      </c>
      <c r="U3288">
        <v>-6.9453319120341499</v>
      </c>
      <c r="V3288">
        <v>0.65701847175578199</v>
      </c>
      <c r="W3288">
        <v>0.84536896286805696</v>
      </c>
      <c r="X3288">
        <v>0</v>
      </c>
      <c r="Y3288">
        <v>0</v>
      </c>
    </row>
    <row r="3289" spans="1:25" x14ac:dyDescent="0.2">
      <c r="A3289" t="s">
        <v>12149</v>
      </c>
      <c r="B3289" t="s">
        <v>12150</v>
      </c>
      <c r="C3289" t="s">
        <v>12151</v>
      </c>
      <c r="D3289" t="s">
        <v>12152</v>
      </c>
      <c r="E3289" t="s">
        <v>12150</v>
      </c>
      <c r="F3289" t="s">
        <v>28</v>
      </c>
      <c r="G3289" t="s">
        <v>12150</v>
      </c>
      <c r="H3289" t="str">
        <f>"rpb-10"</f>
        <v>rpb-10</v>
      </c>
      <c r="I3289" t="s">
        <v>12152</v>
      </c>
      <c r="J3289" t="s">
        <v>29</v>
      </c>
      <c r="K3289" t="s">
        <v>29</v>
      </c>
      <c r="L3289" t="s">
        <v>29</v>
      </c>
      <c r="M3289" t="s">
        <v>29</v>
      </c>
      <c r="N3289" t="s">
        <v>29</v>
      </c>
      <c r="O3289" t="s">
        <v>29</v>
      </c>
      <c r="P3289" t="s">
        <v>29</v>
      </c>
      <c r="Q3289" t="s">
        <v>29</v>
      </c>
      <c r="R3289" t="s">
        <v>29</v>
      </c>
      <c r="S3289">
        <v>10.666302310768501</v>
      </c>
      <c r="T3289" t="s">
        <v>29</v>
      </c>
      <c r="U3289" t="s">
        <v>29</v>
      </c>
      <c r="V3289" t="s">
        <v>29</v>
      </c>
      <c r="W3289" t="s">
        <v>29</v>
      </c>
      <c r="X3289" t="s">
        <v>29</v>
      </c>
      <c r="Y3289" t="s">
        <v>29</v>
      </c>
    </row>
    <row r="3290" spans="1:25" x14ac:dyDescent="0.2">
      <c r="A3290" t="s">
        <v>12153</v>
      </c>
      <c r="B3290" t="s">
        <v>12154</v>
      </c>
      <c r="C3290" t="s">
        <v>12155</v>
      </c>
      <c r="D3290" t="s">
        <v>12156</v>
      </c>
      <c r="E3290" t="s">
        <v>12154</v>
      </c>
      <c r="F3290" t="s">
        <v>28</v>
      </c>
      <c r="G3290" t="s">
        <v>12154</v>
      </c>
      <c r="H3290" t="str">
        <f>"ebp-1"</f>
        <v>ebp-1</v>
      </c>
      <c r="I3290" t="s">
        <v>12156</v>
      </c>
      <c r="J3290">
        <v>12.289882518292799</v>
      </c>
      <c r="K3290">
        <v>12.8091824552885</v>
      </c>
      <c r="L3290">
        <v>12.7243370485758</v>
      </c>
      <c r="M3290">
        <v>12.478281588190701</v>
      </c>
      <c r="N3290">
        <v>12.430468321187799</v>
      </c>
      <c r="O3290">
        <v>12.7792600216961</v>
      </c>
      <c r="P3290">
        <v>-4.5130697027492103E-2</v>
      </c>
      <c r="Q3290">
        <v>-0.55799125200765298</v>
      </c>
      <c r="R3290">
        <v>0.46772985795266803</v>
      </c>
      <c r="S3290">
        <v>12.500836389233401</v>
      </c>
      <c r="T3290">
        <v>-0.18664754111217999</v>
      </c>
      <c r="U3290">
        <v>-7.0337281579109696</v>
      </c>
      <c r="V3290">
        <v>0.854298414599718</v>
      </c>
      <c r="W3290">
        <v>0.94313111037049002</v>
      </c>
      <c r="X3290">
        <v>0</v>
      </c>
      <c r="Y3290">
        <v>0</v>
      </c>
    </row>
    <row r="3291" spans="1:25" x14ac:dyDescent="0.2">
      <c r="A3291" t="s">
        <v>12157</v>
      </c>
      <c r="B3291" t="s">
        <v>12158</v>
      </c>
      <c r="C3291" t="s">
        <v>12159</v>
      </c>
      <c r="D3291" t="s">
        <v>12160</v>
      </c>
      <c r="E3291" t="s">
        <v>12158</v>
      </c>
      <c r="F3291" t="s">
        <v>28</v>
      </c>
      <c r="G3291" t="s">
        <v>12158</v>
      </c>
      <c r="H3291" t="str">
        <f>"prp-6"</f>
        <v>prp-6</v>
      </c>
      <c r="I3291" t="s">
        <v>12160</v>
      </c>
      <c r="J3291">
        <v>13.166232995830599</v>
      </c>
      <c r="K3291">
        <v>12.8390179454542</v>
      </c>
      <c r="L3291">
        <v>12.924970214705001</v>
      </c>
      <c r="M3291">
        <v>13.109139834822001</v>
      </c>
      <c r="N3291">
        <v>13.3414409705429</v>
      </c>
      <c r="O3291">
        <v>13.828079232205599</v>
      </c>
      <c r="P3291">
        <v>0.44947962719361101</v>
      </c>
      <c r="Q3291">
        <v>-8.0253773469154896E-2</v>
      </c>
      <c r="R3291">
        <v>0.97921302785637698</v>
      </c>
      <c r="S3291">
        <v>13.701327352236101</v>
      </c>
      <c r="T3291">
        <v>1.7910292076385901</v>
      </c>
      <c r="U3291">
        <v>-5.5091135749129201</v>
      </c>
      <c r="V3291">
        <v>9.1220746043261094E-2</v>
      </c>
      <c r="W3291">
        <v>0.30952273996326601</v>
      </c>
      <c r="X3291">
        <v>0</v>
      </c>
      <c r="Y3291">
        <v>0</v>
      </c>
    </row>
    <row r="3292" spans="1:25" x14ac:dyDescent="0.2">
      <c r="A3292" t="s">
        <v>12161</v>
      </c>
      <c r="B3292" t="s">
        <v>12162</v>
      </c>
      <c r="C3292" t="s">
        <v>12163</v>
      </c>
      <c r="D3292" t="s">
        <v>844</v>
      </c>
      <c r="E3292" t="s">
        <v>12162</v>
      </c>
      <c r="F3292" t="s">
        <v>28</v>
      </c>
      <c r="G3292" t="s">
        <v>12162</v>
      </c>
      <c r="H3292" t="str">
        <f>"phf-14"</f>
        <v>phf-14</v>
      </c>
      <c r="I3292" t="s">
        <v>844</v>
      </c>
      <c r="J3292" t="s">
        <v>29</v>
      </c>
      <c r="K3292" t="s">
        <v>29</v>
      </c>
      <c r="L3292" t="s">
        <v>29</v>
      </c>
      <c r="M3292" t="s">
        <v>29</v>
      </c>
      <c r="N3292" t="s">
        <v>29</v>
      </c>
      <c r="O3292" t="s">
        <v>29</v>
      </c>
      <c r="P3292" t="s">
        <v>29</v>
      </c>
      <c r="Q3292" t="s">
        <v>29</v>
      </c>
      <c r="R3292" t="s">
        <v>29</v>
      </c>
      <c r="S3292">
        <v>12.1931349812289</v>
      </c>
      <c r="T3292" t="s">
        <v>29</v>
      </c>
      <c r="U3292" t="s">
        <v>29</v>
      </c>
      <c r="V3292" t="s">
        <v>29</v>
      </c>
      <c r="W3292" t="s">
        <v>29</v>
      </c>
      <c r="X3292" t="s">
        <v>29</v>
      </c>
      <c r="Y3292" t="s">
        <v>29</v>
      </c>
    </row>
    <row r="3293" spans="1:25" x14ac:dyDescent="0.2">
      <c r="A3293" t="s">
        <v>12164</v>
      </c>
      <c r="B3293" t="s">
        <v>12165</v>
      </c>
      <c r="C3293" t="s">
        <v>12166</v>
      </c>
      <c r="D3293" t="s">
        <v>12167</v>
      </c>
      <c r="E3293" t="s">
        <v>12165</v>
      </c>
      <c r="F3293" t="s">
        <v>28</v>
      </c>
      <c r="G3293" t="s">
        <v>12165</v>
      </c>
      <c r="H3293" t="str">
        <f>"tcc-1"</f>
        <v>tcc-1</v>
      </c>
      <c r="I3293" t="s">
        <v>12167</v>
      </c>
      <c r="J3293">
        <v>11.4934277802727</v>
      </c>
      <c r="K3293">
        <v>10.961193430925199</v>
      </c>
      <c r="L3293">
        <v>11.2350915497254</v>
      </c>
      <c r="M3293" t="s">
        <v>29</v>
      </c>
      <c r="N3293">
        <v>11.6094196190212</v>
      </c>
      <c r="O3293">
        <v>13.001142852904399</v>
      </c>
      <c r="P3293">
        <v>1.0753769823216599</v>
      </c>
      <c r="Q3293">
        <v>6.8137823290616906E-2</v>
      </c>
      <c r="R3293">
        <v>2.0826161413527</v>
      </c>
      <c r="S3293">
        <v>11.414854518408299</v>
      </c>
      <c r="T3293">
        <v>2.2770351804540501</v>
      </c>
      <c r="U3293">
        <v>-4.5928748280041702</v>
      </c>
      <c r="V3293">
        <v>3.7978587490581799E-2</v>
      </c>
      <c r="W3293">
        <v>0.193788380672582</v>
      </c>
      <c r="X3293">
        <v>1</v>
      </c>
      <c r="Y3293">
        <v>0</v>
      </c>
    </row>
    <row r="3294" spans="1:25" x14ac:dyDescent="0.2">
      <c r="A3294" t="s">
        <v>12168</v>
      </c>
      <c r="B3294" t="s">
        <v>12169</v>
      </c>
      <c r="C3294" t="s">
        <v>12170</v>
      </c>
      <c r="D3294" t="s">
        <v>12171</v>
      </c>
      <c r="E3294" t="s">
        <v>12169</v>
      </c>
      <c r="F3294" t="s">
        <v>28</v>
      </c>
      <c r="G3294" t="s">
        <v>12169</v>
      </c>
      <c r="H3294" t="str">
        <f>"csn-1"</f>
        <v>csn-1</v>
      </c>
      <c r="I3294" t="s">
        <v>12171</v>
      </c>
      <c r="J3294">
        <v>13.3819368363758</v>
      </c>
      <c r="K3294">
        <v>13.094198897416099</v>
      </c>
      <c r="L3294">
        <v>12.817733663077099</v>
      </c>
      <c r="M3294">
        <v>13.063117701343</v>
      </c>
      <c r="N3294">
        <v>13.850895676962599</v>
      </c>
      <c r="O3294">
        <v>13.4951306620405</v>
      </c>
      <c r="P3294">
        <v>0.37175821449240098</v>
      </c>
      <c r="Q3294">
        <v>-6.3836217737405596E-2</v>
      </c>
      <c r="R3294">
        <v>0.80735264672220697</v>
      </c>
      <c r="S3294">
        <v>13.1651668475217</v>
      </c>
      <c r="T3294">
        <v>1.8014751129458899</v>
      </c>
      <c r="U3294">
        <v>-5.4925720971421699</v>
      </c>
      <c r="V3294">
        <v>8.9501537564146E-2</v>
      </c>
      <c r="W3294">
        <v>0.30695155878478098</v>
      </c>
      <c r="X3294">
        <v>0</v>
      </c>
      <c r="Y3294">
        <v>0</v>
      </c>
    </row>
    <row r="3295" spans="1:25" x14ac:dyDescent="0.2">
      <c r="A3295" t="s">
        <v>12172</v>
      </c>
      <c r="B3295" t="s">
        <v>12173</v>
      </c>
      <c r="C3295" t="s">
        <v>12174</v>
      </c>
      <c r="D3295" t="s">
        <v>12175</v>
      </c>
      <c r="E3295" t="s">
        <v>12173</v>
      </c>
      <c r="F3295" t="s">
        <v>28</v>
      </c>
      <c r="G3295" t="s">
        <v>12173</v>
      </c>
      <c r="H3295" t="str">
        <f>"zyg-1"</f>
        <v>zyg-1</v>
      </c>
      <c r="I3295" t="s">
        <v>12175</v>
      </c>
      <c r="J3295" t="s">
        <v>29</v>
      </c>
      <c r="K3295" t="s">
        <v>29</v>
      </c>
      <c r="L3295" t="s">
        <v>29</v>
      </c>
      <c r="M3295">
        <v>9.1631909894800003</v>
      </c>
      <c r="N3295">
        <v>9.4155957333492104</v>
      </c>
      <c r="O3295" t="s">
        <v>29</v>
      </c>
      <c r="P3295" t="s">
        <v>29</v>
      </c>
      <c r="Q3295" t="s">
        <v>29</v>
      </c>
      <c r="R3295" t="s">
        <v>29</v>
      </c>
      <c r="S3295">
        <v>10.4601143270206</v>
      </c>
      <c r="T3295" t="s">
        <v>29</v>
      </c>
      <c r="U3295" t="s">
        <v>29</v>
      </c>
      <c r="V3295" t="s">
        <v>29</v>
      </c>
      <c r="W3295" t="s">
        <v>29</v>
      </c>
      <c r="X3295" t="s">
        <v>29</v>
      </c>
      <c r="Y3295" t="s">
        <v>29</v>
      </c>
    </row>
    <row r="3296" spans="1:25" x14ac:dyDescent="0.2">
      <c r="A3296" t="s">
        <v>12176</v>
      </c>
      <c r="B3296" t="s">
        <v>12177</v>
      </c>
      <c r="C3296" t="s">
        <v>12178</v>
      </c>
      <c r="D3296" t="s">
        <v>12124</v>
      </c>
      <c r="E3296" t="s">
        <v>12177</v>
      </c>
      <c r="F3296" t="s">
        <v>28</v>
      </c>
      <c r="G3296" t="s">
        <v>12177</v>
      </c>
      <c r="H3296" t="str">
        <f>"acp-6"</f>
        <v>acp-6</v>
      </c>
      <c r="I3296" t="s">
        <v>12124</v>
      </c>
      <c r="J3296">
        <v>13.319574620964399</v>
      </c>
      <c r="K3296">
        <v>13.3294704266584</v>
      </c>
      <c r="L3296">
        <v>12.8534570830208</v>
      </c>
      <c r="M3296">
        <v>13.400900052502401</v>
      </c>
      <c r="N3296">
        <v>13.0968873466965</v>
      </c>
      <c r="O3296">
        <v>14.3209093494144</v>
      </c>
      <c r="P3296">
        <v>0.43873153932322001</v>
      </c>
      <c r="Q3296">
        <v>-0.20735925366821301</v>
      </c>
      <c r="R3296">
        <v>1.08482233231465</v>
      </c>
      <c r="S3296">
        <v>13.665038480169599</v>
      </c>
      <c r="T3296">
        <v>1.4272426553542401</v>
      </c>
      <c r="U3296">
        <v>-6.0414813319832099</v>
      </c>
      <c r="V3296">
        <v>0.17072719796555799</v>
      </c>
      <c r="W3296">
        <v>0.428850018917668</v>
      </c>
      <c r="X3296">
        <v>0</v>
      </c>
      <c r="Y3296">
        <v>0</v>
      </c>
    </row>
    <row r="3297" spans="1:25" x14ac:dyDescent="0.2">
      <c r="A3297" t="s">
        <v>12179</v>
      </c>
      <c r="B3297" t="s">
        <v>12180</v>
      </c>
      <c r="C3297" t="s">
        <v>12181</v>
      </c>
      <c r="D3297" t="s">
        <v>12182</v>
      </c>
      <c r="E3297" t="s">
        <v>12180</v>
      </c>
      <c r="F3297" t="s">
        <v>28</v>
      </c>
      <c r="G3297" t="s">
        <v>12180</v>
      </c>
      <c r="H3297" t="str">
        <f>"aatf-1"</f>
        <v>aatf-1</v>
      </c>
      <c r="I3297" t="s">
        <v>12182</v>
      </c>
      <c r="J3297" t="s">
        <v>29</v>
      </c>
      <c r="K3297" t="s">
        <v>29</v>
      </c>
      <c r="L3297" t="s">
        <v>29</v>
      </c>
      <c r="M3297" t="s">
        <v>29</v>
      </c>
      <c r="N3297">
        <v>10.1862486816343</v>
      </c>
      <c r="O3297">
        <v>9.8723526874093306</v>
      </c>
      <c r="P3297" t="s">
        <v>29</v>
      </c>
      <c r="Q3297" t="s">
        <v>29</v>
      </c>
      <c r="R3297" t="s">
        <v>29</v>
      </c>
      <c r="S3297">
        <v>10.0912659644897</v>
      </c>
      <c r="T3297" t="s">
        <v>29</v>
      </c>
      <c r="U3297" t="s">
        <v>29</v>
      </c>
      <c r="V3297" t="s">
        <v>29</v>
      </c>
      <c r="W3297" t="s">
        <v>29</v>
      </c>
      <c r="X3297" t="s">
        <v>29</v>
      </c>
      <c r="Y3297" t="s">
        <v>29</v>
      </c>
    </row>
    <row r="3298" spans="1:25" x14ac:dyDescent="0.2">
      <c r="A3298" t="s">
        <v>12183</v>
      </c>
      <c r="B3298" t="s">
        <v>12184</v>
      </c>
      <c r="C3298" t="s">
        <v>12185</v>
      </c>
      <c r="D3298" t="s">
        <v>12186</v>
      </c>
      <c r="E3298" t="s">
        <v>12184</v>
      </c>
      <c r="F3298" t="s">
        <v>28</v>
      </c>
      <c r="G3298" t="s">
        <v>12184</v>
      </c>
      <c r="H3298" t="str">
        <f>"unc-27"</f>
        <v>unc-27</v>
      </c>
      <c r="I3298" t="s">
        <v>12186</v>
      </c>
      <c r="J3298">
        <v>15.0508911206866</v>
      </c>
      <c r="K3298">
        <v>14.804436542842099</v>
      </c>
      <c r="L3298">
        <v>14.4982689951855</v>
      </c>
      <c r="M3298">
        <v>14.807299309434899</v>
      </c>
      <c r="N3298">
        <v>14.960934620715699</v>
      </c>
      <c r="O3298">
        <v>15.2850498304227</v>
      </c>
      <c r="P3298">
        <v>0.233229033953053</v>
      </c>
      <c r="Q3298">
        <v>-0.31285696905046401</v>
      </c>
      <c r="R3298">
        <v>0.77931503695657101</v>
      </c>
      <c r="S3298">
        <v>14.3968483038988</v>
      </c>
      <c r="T3298">
        <v>0.90151214431437898</v>
      </c>
      <c r="U3298">
        <v>-6.6348643737722401</v>
      </c>
      <c r="V3298">
        <v>0.37998844908018098</v>
      </c>
      <c r="W3298">
        <v>0.65595883995061499</v>
      </c>
      <c r="X3298">
        <v>0</v>
      </c>
      <c r="Y3298">
        <v>0</v>
      </c>
    </row>
    <row r="3299" spans="1:25" x14ac:dyDescent="0.2">
      <c r="A3299" t="s">
        <v>12187</v>
      </c>
      <c r="B3299" t="s">
        <v>12188</v>
      </c>
      <c r="C3299" t="s">
        <v>12189</v>
      </c>
      <c r="D3299" t="s">
        <v>130</v>
      </c>
      <c r="E3299" t="s">
        <v>12188</v>
      </c>
      <c r="F3299" t="s">
        <v>28</v>
      </c>
      <c r="G3299" t="s">
        <v>12188</v>
      </c>
      <c r="H3299" t="str">
        <f>"ztf-8"</f>
        <v>ztf-8</v>
      </c>
      <c r="I3299" t="s">
        <v>130</v>
      </c>
      <c r="J3299" t="s">
        <v>29</v>
      </c>
      <c r="K3299" t="s">
        <v>29</v>
      </c>
      <c r="L3299">
        <v>12.4746974246961</v>
      </c>
      <c r="M3299" t="s">
        <v>29</v>
      </c>
      <c r="N3299" t="s">
        <v>29</v>
      </c>
      <c r="O3299" t="s">
        <v>29</v>
      </c>
      <c r="P3299" t="s">
        <v>29</v>
      </c>
      <c r="Q3299" t="s">
        <v>29</v>
      </c>
      <c r="R3299" t="s">
        <v>29</v>
      </c>
      <c r="S3299">
        <v>12.3088578987093</v>
      </c>
      <c r="T3299" t="s">
        <v>29</v>
      </c>
      <c r="U3299" t="s">
        <v>29</v>
      </c>
      <c r="V3299" t="s">
        <v>29</v>
      </c>
      <c r="W3299" t="s">
        <v>29</v>
      </c>
      <c r="X3299" t="s">
        <v>29</v>
      </c>
      <c r="Y3299" t="s">
        <v>29</v>
      </c>
    </row>
    <row r="3300" spans="1:25" x14ac:dyDescent="0.2">
      <c r="A3300" t="s">
        <v>12190</v>
      </c>
      <c r="B3300" t="s">
        <v>12191</v>
      </c>
      <c r="C3300" t="s">
        <v>12192</v>
      </c>
      <c r="D3300" t="s">
        <v>12193</v>
      </c>
      <c r="E3300" t="s">
        <v>12191</v>
      </c>
      <c r="F3300" t="s">
        <v>28</v>
      </c>
      <c r="G3300" t="s">
        <v>12191</v>
      </c>
      <c r="H3300" t="str">
        <f>"rme-6"</f>
        <v>rme-6</v>
      </c>
      <c r="I3300" t="s">
        <v>12193</v>
      </c>
      <c r="J3300">
        <v>11.1803571777403</v>
      </c>
      <c r="K3300" t="s">
        <v>29</v>
      </c>
      <c r="L3300">
        <v>11.542550488261099</v>
      </c>
      <c r="M3300">
        <v>12.336239531798</v>
      </c>
      <c r="N3300">
        <v>12.526031275906901</v>
      </c>
      <c r="O3300">
        <v>12.085478651269201</v>
      </c>
      <c r="P3300">
        <v>0.95446265332400904</v>
      </c>
      <c r="Q3300">
        <v>0.31671443386281301</v>
      </c>
      <c r="R3300">
        <v>1.59221087278521</v>
      </c>
      <c r="S3300">
        <v>11.5424299320778</v>
      </c>
      <c r="T3300">
        <v>3.1919148029029398</v>
      </c>
      <c r="U3300">
        <v>-2.8490247227838399</v>
      </c>
      <c r="V3300">
        <v>6.1081481990271202E-3</v>
      </c>
      <c r="W3300">
        <v>6.2502874967403296E-2</v>
      </c>
      <c r="X3300">
        <v>0</v>
      </c>
      <c r="Y3300">
        <v>0</v>
      </c>
    </row>
    <row r="3301" spans="1:25" x14ac:dyDescent="0.2">
      <c r="A3301" t="s">
        <v>12194</v>
      </c>
      <c r="B3301" t="s">
        <v>12195</v>
      </c>
      <c r="C3301" t="s">
        <v>12196</v>
      </c>
      <c r="D3301" t="s">
        <v>12197</v>
      </c>
      <c r="E3301" t="s">
        <v>12195</v>
      </c>
      <c r="F3301" t="s">
        <v>28</v>
      </c>
      <c r="G3301" t="s">
        <v>12195</v>
      </c>
      <c r="H3301" t="str">
        <f>"pigx-1"</f>
        <v>pigx-1</v>
      </c>
      <c r="I3301" t="s">
        <v>12197</v>
      </c>
      <c r="J3301">
        <v>12.8795836976677</v>
      </c>
      <c r="K3301">
        <v>12.917658105079701</v>
      </c>
      <c r="L3301">
        <v>12.206947610484599</v>
      </c>
      <c r="M3301">
        <v>12.3339095646733</v>
      </c>
      <c r="N3301">
        <v>12.6478954621083</v>
      </c>
      <c r="O3301">
        <v>12.923444425546499</v>
      </c>
      <c r="P3301">
        <v>-3.29799869679714E-2</v>
      </c>
      <c r="Q3301">
        <v>-0.65505187456913305</v>
      </c>
      <c r="R3301">
        <v>0.58909190063319095</v>
      </c>
      <c r="S3301">
        <v>12.489832682519999</v>
      </c>
      <c r="T3301">
        <v>-0.112449993370746</v>
      </c>
      <c r="U3301">
        <v>-7.0454181990135298</v>
      </c>
      <c r="V3301">
        <v>0.91187450370465295</v>
      </c>
      <c r="W3301">
        <v>0.96831326494750902</v>
      </c>
      <c r="X3301">
        <v>0</v>
      </c>
      <c r="Y3301">
        <v>0</v>
      </c>
    </row>
    <row r="3302" spans="1:25" x14ac:dyDescent="0.2">
      <c r="A3302" t="s">
        <v>12198</v>
      </c>
      <c r="B3302" t="s">
        <v>12199</v>
      </c>
      <c r="C3302" t="s">
        <v>12200</v>
      </c>
      <c r="D3302" t="s">
        <v>12201</v>
      </c>
      <c r="E3302" t="s">
        <v>12199</v>
      </c>
      <c r="F3302" t="s">
        <v>28</v>
      </c>
      <c r="G3302" t="s">
        <v>12199</v>
      </c>
      <c r="H3302" t="str">
        <f>"jmjd-1.2"</f>
        <v>jmjd-1.2</v>
      </c>
      <c r="I3302" t="s">
        <v>12201</v>
      </c>
      <c r="J3302">
        <v>12.5057322807803</v>
      </c>
      <c r="K3302">
        <v>12.856097186476701</v>
      </c>
      <c r="L3302">
        <v>12.367071174527601</v>
      </c>
      <c r="M3302">
        <v>12.267713563171201</v>
      </c>
      <c r="N3302">
        <v>12.8823763426794</v>
      </c>
      <c r="O3302">
        <v>12.2921480375316</v>
      </c>
      <c r="P3302">
        <v>-9.5554232800813196E-2</v>
      </c>
      <c r="Q3302">
        <v>-0.58399607639676798</v>
      </c>
      <c r="R3302">
        <v>0.39288761079514201</v>
      </c>
      <c r="S3302">
        <v>12.8255109957584</v>
      </c>
      <c r="T3302">
        <v>-0.412940121547195</v>
      </c>
      <c r="U3302">
        <v>-6.9628960640006099</v>
      </c>
      <c r="V3302">
        <v>0.684843747500823</v>
      </c>
      <c r="W3302">
        <v>0.85776811176584999</v>
      </c>
      <c r="X3302">
        <v>0</v>
      </c>
      <c r="Y3302">
        <v>0</v>
      </c>
    </row>
    <row r="3303" spans="1:25" x14ac:dyDescent="0.2">
      <c r="A3303" t="s">
        <v>12202</v>
      </c>
      <c r="B3303" t="s">
        <v>12203</v>
      </c>
      <c r="C3303" t="s">
        <v>14655</v>
      </c>
      <c r="D3303" t="s">
        <v>12204</v>
      </c>
      <c r="E3303" t="s">
        <v>12203</v>
      </c>
      <c r="F3303" t="s">
        <v>28</v>
      </c>
      <c r="G3303" t="s">
        <v>12203</v>
      </c>
      <c r="H3303" t="str">
        <f>"F29B9.8"</f>
        <v>F29B9.8</v>
      </c>
      <c r="I3303" t="s">
        <v>12204</v>
      </c>
      <c r="J3303">
        <v>12.367584844772001</v>
      </c>
      <c r="K3303">
        <v>12.4551745815796</v>
      </c>
      <c r="L3303">
        <v>11.8758047004536</v>
      </c>
      <c r="M3303" t="s">
        <v>29</v>
      </c>
      <c r="N3303">
        <v>11.5284452589877</v>
      </c>
      <c r="O3303">
        <v>12.579521959205399</v>
      </c>
      <c r="P3303">
        <v>-0.17887109983851501</v>
      </c>
      <c r="Q3303">
        <v>-1.01156036956522</v>
      </c>
      <c r="R3303">
        <v>0.65381816988818997</v>
      </c>
      <c r="S3303">
        <v>11.921078013369</v>
      </c>
      <c r="T3303">
        <v>-0.46445586733168998</v>
      </c>
      <c r="U3303">
        <v>-6.8272340036987602</v>
      </c>
      <c r="V3303">
        <v>0.65006539833759003</v>
      </c>
      <c r="W3303">
        <v>0.84115485107962396</v>
      </c>
      <c r="X3303">
        <v>0</v>
      </c>
      <c r="Y3303">
        <v>0</v>
      </c>
    </row>
    <row r="3304" spans="1:25" x14ac:dyDescent="0.2">
      <c r="A3304" t="s">
        <v>12205</v>
      </c>
      <c r="B3304" t="s">
        <v>12206</v>
      </c>
      <c r="C3304" t="s">
        <v>12207</v>
      </c>
      <c r="D3304" t="s">
        <v>561</v>
      </c>
      <c r="E3304" t="s">
        <v>12206</v>
      </c>
      <c r="F3304" t="s">
        <v>28</v>
      </c>
      <c r="G3304" t="s">
        <v>12206</v>
      </c>
      <c r="H3304" t="str">
        <f>"phat-1"</f>
        <v>phat-1</v>
      </c>
      <c r="I3304" t="s">
        <v>561</v>
      </c>
      <c r="J3304" t="s">
        <v>29</v>
      </c>
      <c r="K3304">
        <v>12.592533257057299</v>
      </c>
      <c r="L3304">
        <v>13.144385379453899</v>
      </c>
      <c r="M3304">
        <v>11.157872326385</v>
      </c>
      <c r="N3304">
        <v>11.387887598902701</v>
      </c>
      <c r="O3304" t="s">
        <v>29</v>
      </c>
      <c r="P3304">
        <v>-1.5955793556117399</v>
      </c>
      <c r="Q3304">
        <v>-2.70415893040976</v>
      </c>
      <c r="R3304">
        <v>-0.48699978081371198</v>
      </c>
      <c r="S3304">
        <v>11.7696527565453</v>
      </c>
      <c r="T3304">
        <v>-3.1119942106915599</v>
      </c>
      <c r="U3304">
        <v>-3.0162023552430299</v>
      </c>
      <c r="V3304">
        <v>8.3243616672171398E-3</v>
      </c>
      <c r="W3304">
        <v>7.7392779614641694E-2</v>
      </c>
      <c r="X3304">
        <v>-1</v>
      </c>
      <c r="Y3304">
        <v>0</v>
      </c>
    </row>
    <row r="3305" spans="1:25" x14ac:dyDescent="0.2">
      <c r="A3305" t="s">
        <v>12208</v>
      </c>
      <c r="B3305" t="s">
        <v>12209</v>
      </c>
      <c r="C3305" t="s">
        <v>12210</v>
      </c>
      <c r="D3305" t="s">
        <v>806</v>
      </c>
      <c r="E3305" t="s">
        <v>12209</v>
      </c>
      <c r="F3305" t="s">
        <v>28</v>
      </c>
      <c r="G3305" t="s">
        <v>12209</v>
      </c>
      <c r="H3305" t="str">
        <f>"snx-1"</f>
        <v>snx-1</v>
      </c>
      <c r="I3305" t="s">
        <v>806</v>
      </c>
      <c r="J3305">
        <v>12.8364099340486</v>
      </c>
      <c r="K3305">
        <v>12.346991382719599</v>
      </c>
      <c r="L3305">
        <v>12.623337628458</v>
      </c>
      <c r="M3305">
        <v>13.4148511084737</v>
      </c>
      <c r="N3305">
        <v>13.9827435978865</v>
      </c>
      <c r="O3305">
        <v>13.688998263982199</v>
      </c>
      <c r="P3305">
        <v>1.09328467503871</v>
      </c>
      <c r="Q3305">
        <v>0.47178561234747501</v>
      </c>
      <c r="R3305">
        <v>1.71478373772995</v>
      </c>
      <c r="S3305">
        <v>13.138783445661099</v>
      </c>
      <c r="T3305">
        <v>3.7131525809953301</v>
      </c>
      <c r="U3305">
        <v>-1.76679561474402</v>
      </c>
      <c r="V3305">
        <v>1.74344019025547E-3</v>
      </c>
      <c r="W3305">
        <v>2.5787065359505899E-2</v>
      </c>
      <c r="X3305">
        <v>1</v>
      </c>
      <c r="Y3305">
        <v>1</v>
      </c>
    </row>
    <row r="3306" spans="1:25" x14ac:dyDescent="0.2">
      <c r="A3306" t="s">
        <v>12211</v>
      </c>
      <c r="B3306" t="s">
        <v>12212</v>
      </c>
      <c r="C3306" t="s">
        <v>14656</v>
      </c>
      <c r="D3306" t="s">
        <v>12213</v>
      </c>
      <c r="E3306" t="s">
        <v>12212</v>
      </c>
      <c r="F3306" t="s">
        <v>28</v>
      </c>
      <c r="G3306" t="s">
        <v>12212</v>
      </c>
      <c r="H3306" t="str">
        <f>"T05A12.3"</f>
        <v>T05A12.3</v>
      </c>
      <c r="I3306" t="s">
        <v>12213</v>
      </c>
      <c r="J3306">
        <v>12.0963229564864</v>
      </c>
      <c r="K3306">
        <v>11.9525939396719</v>
      </c>
      <c r="L3306">
        <v>12.8747642893277</v>
      </c>
      <c r="M3306">
        <v>10.343245983892301</v>
      </c>
      <c r="N3306" t="s">
        <v>29</v>
      </c>
      <c r="O3306" t="s">
        <v>29</v>
      </c>
      <c r="P3306">
        <v>-1.964647744603</v>
      </c>
      <c r="Q3306">
        <v>-2.8009722108362598</v>
      </c>
      <c r="R3306">
        <v>-1.1283232783697399</v>
      </c>
      <c r="S3306">
        <v>12.282315758809901</v>
      </c>
      <c r="T3306">
        <v>-5.1233603684113103</v>
      </c>
      <c r="U3306">
        <v>0.59958991769765801</v>
      </c>
      <c r="V3306">
        <v>2.58948722956272E-4</v>
      </c>
      <c r="W3306">
        <v>6.9067142991779502E-3</v>
      </c>
      <c r="X3306">
        <v>-1</v>
      </c>
      <c r="Y3306">
        <v>-1</v>
      </c>
    </row>
    <row r="3307" spans="1:25" x14ac:dyDescent="0.2">
      <c r="A3307" t="s">
        <v>12214</v>
      </c>
      <c r="B3307" t="s">
        <v>12215</v>
      </c>
      <c r="C3307" t="s">
        <v>14657</v>
      </c>
      <c r="D3307" t="s">
        <v>162</v>
      </c>
      <c r="E3307" t="s">
        <v>12215</v>
      </c>
      <c r="F3307" t="s">
        <v>28</v>
      </c>
      <c r="G3307" t="s">
        <v>12215</v>
      </c>
      <c r="H3307" t="str">
        <f>"R04E5.8"</f>
        <v>R04E5.8</v>
      </c>
      <c r="I3307" t="s">
        <v>162</v>
      </c>
      <c r="J3307" t="s">
        <v>29</v>
      </c>
      <c r="K3307" t="s">
        <v>29</v>
      </c>
      <c r="L3307" t="s">
        <v>29</v>
      </c>
      <c r="M3307" t="s">
        <v>29</v>
      </c>
      <c r="N3307" t="s">
        <v>29</v>
      </c>
      <c r="O3307" t="s">
        <v>29</v>
      </c>
      <c r="P3307" t="s">
        <v>29</v>
      </c>
      <c r="Q3307" t="s">
        <v>29</v>
      </c>
      <c r="R3307" t="s">
        <v>29</v>
      </c>
      <c r="S3307">
        <v>11.2797413631995</v>
      </c>
      <c r="T3307" t="s">
        <v>29</v>
      </c>
      <c r="U3307" t="s">
        <v>29</v>
      </c>
      <c r="V3307" t="s">
        <v>29</v>
      </c>
      <c r="W3307" t="s">
        <v>29</v>
      </c>
      <c r="X3307" t="s">
        <v>29</v>
      </c>
      <c r="Y3307" t="s">
        <v>29</v>
      </c>
    </row>
    <row r="3308" spans="1:25" x14ac:dyDescent="0.2">
      <c r="A3308" t="s">
        <v>12216</v>
      </c>
      <c r="B3308" t="s">
        <v>12217</v>
      </c>
      <c r="C3308" t="s">
        <v>12218</v>
      </c>
      <c r="D3308" t="s">
        <v>12219</v>
      </c>
      <c r="E3308" t="s">
        <v>12217</v>
      </c>
      <c r="F3308" t="s">
        <v>28</v>
      </c>
      <c r="G3308" t="s">
        <v>12217</v>
      </c>
      <c r="H3308" t="str">
        <f>"C49H3.3"</f>
        <v>C49H3.3</v>
      </c>
      <c r="I3308" t="s">
        <v>12219</v>
      </c>
      <c r="J3308">
        <v>17.576708101651899</v>
      </c>
      <c r="K3308">
        <v>17.207684194087602</v>
      </c>
      <c r="L3308">
        <v>16.8550376039538</v>
      </c>
      <c r="M3308">
        <v>17.365342857521298</v>
      </c>
      <c r="N3308">
        <v>17.765078005964</v>
      </c>
      <c r="O3308">
        <v>17.8260356678968</v>
      </c>
      <c r="P3308">
        <v>0.43900887722959298</v>
      </c>
      <c r="Q3308">
        <v>-0.120215193672017</v>
      </c>
      <c r="R3308">
        <v>0.998232948131203</v>
      </c>
      <c r="S3308">
        <v>16.256502707806501</v>
      </c>
      <c r="T3308">
        <v>1.6650871736059001</v>
      </c>
      <c r="U3308">
        <v>-5.7047086036514898</v>
      </c>
      <c r="V3308">
        <v>0.115479079926452</v>
      </c>
      <c r="W3308">
        <v>0.34955248937736999</v>
      </c>
      <c r="X3308">
        <v>0</v>
      </c>
      <c r="Y3308">
        <v>0</v>
      </c>
    </row>
    <row r="3309" spans="1:25" x14ac:dyDescent="0.2">
      <c r="A3309" t="s">
        <v>12220</v>
      </c>
      <c r="B3309" t="s">
        <v>12221</v>
      </c>
      <c r="C3309" t="s">
        <v>12222</v>
      </c>
      <c r="D3309" t="s">
        <v>12223</v>
      </c>
      <c r="E3309" t="s">
        <v>12221</v>
      </c>
      <c r="F3309" t="s">
        <v>28</v>
      </c>
      <c r="G3309" t="s">
        <v>12221</v>
      </c>
      <c r="H3309" t="str">
        <f>"npp-27"</f>
        <v>npp-27</v>
      </c>
      <c r="I3309" t="s">
        <v>12223</v>
      </c>
      <c r="J3309" t="s">
        <v>29</v>
      </c>
      <c r="K3309" t="s">
        <v>29</v>
      </c>
      <c r="L3309">
        <v>12.284205449696399</v>
      </c>
      <c r="M3309">
        <v>12.2966718870178</v>
      </c>
      <c r="N3309">
        <v>14.031738737521501</v>
      </c>
      <c r="O3309" t="s">
        <v>29</v>
      </c>
      <c r="P3309">
        <v>0.87999986257329099</v>
      </c>
      <c r="Q3309">
        <v>-0.413331867349642</v>
      </c>
      <c r="R3309">
        <v>2.1733315924962202</v>
      </c>
      <c r="S3309">
        <v>13.341529291915</v>
      </c>
      <c r="T3309">
        <v>1.49934082081569</v>
      </c>
      <c r="U3309">
        <v>-5.5555743319626902</v>
      </c>
      <c r="V3309">
        <v>0.16219172258176601</v>
      </c>
      <c r="W3309">
        <v>0.41556839785910799</v>
      </c>
      <c r="X3309">
        <v>0</v>
      </c>
      <c r="Y3309">
        <v>0</v>
      </c>
    </row>
    <row r="3310" spans="1:25" x14ac:dyDescent="0.2">
      <c r="A3310" t="s">
        <v>12224</v>
      </c>
      <c r="B3310" t="s">
        <v>12225</v>
      </c>
      <c r="C3310" t="s">
        <v>12226</v>
      </c>
      <c r="D3310" t="s">
        <v>2355</v>
      </c>
      <c r="E3310" t="s">
        <v>12225</v>
      </c>
      <c r="F3310" t="s">
        <v>28</v>
      </c>
      <c r="G3310" t="s">
        <v>12225</v>
      </c>
      <c r="H3310" t="str">
        <f>"sna-3"</f>
        <v>sna-3</v>
      </c>
      <c r="I3310" t="s">
        <v>2355</v>
      </c>
      <c r="J3310">
        <v>11.9776484870087</v>
      </c>
      <c r="K3310">
        <v>12.2989954159445</v>
      </c>
      <c r="L3310">
        <v>12.5326144828589</v>
      </c>
      <c r="M3310">
        <v>12.1806007902148</v>
      </c>
      <c r="N3310">
        <v>13.355035533362001</v>
      </c>
      <c r="O3310">
        <v>12.6457200636797</v>
      </c>
      <c r="P3310">
        <v>0.45736600048146803</v>
      </c>
      <c r="Q3310">
        <v>-0.32392863236903302</v>
      </c>
      <c r="R3310">
        <v>1.2386606333319701</v>
      </c>
      <c r="S3310">
        <v>13.4383871160623</v>
      </c>
      <c r="T3310">
        <v>1.2356601737808499</v>
      </c>
      <c r="U3310">
        <v>-6.2838842948318403</v>
      </c>
      <c r="V3310">
        <v>0.23349123501282201</v>
      </c>
      <c r="W3310">
        <v>0.50416753731368402</v>
      </c>
      <c r="X3310">
        <v>0</v>
      </c>
      <c r="Y3310">
        <v>0</v>
      </c>
    </row>
    <row r="3311" spans="1:25" x14ac:dyDescent="0.2">
      <c r="A3311" t="s">
        <v>12227</v>
      </c>
      <c r="B3311" t="s">
        <v>12228</v>
      </c>
      <c r="C3311" t="s">
        <v>12229</v>
      </c>
      <c r="D3311" t="s">
        <v>12230</v>
      </c>
      <c r="E3311" t="s">
        <v>12228</v>
      </c>
      <c r="F3311" t="s">
        <v>28</v>
      </c>
      <c r="G3311" t="s">
        <v>12228</v>
      </c>
      <c r="H3311" t="str">
        <f>"mes-6"</f>
        <v>mes-6</v>
      </c>
      <c r="I3311" t="s">
        <v>12230</v>
      </c>
      <c r="J3311" t="s">
        <v>29</v>
      </c>
      <c r="K3311" t="s">
        <v>29</v>
      </c>
      <c r="L3311">
        <v>11.037451870197501</v>
      </c>
      <c r="M3311" t="s">
        <v>29</v>
      </c>
      <c r="N3311" t="s">
        <v>29</v>
      </c>
      <c r="O3311" t="s">
        <v>29</v>
      </c>
      <c r="P3311" t="s">
        <v>29</v>
      </c>
      <c r="Q3311" t="s">
        <v>29</v>
      </c>
      <c r="R3311" t="s">
        <v>29</v>
      </c>
      <c r="S3311">
        <v>11.124190971597301</v>
      </c>
      <c r="T3311" t="s">
        <v>29</v>
      </c>
      <c r="U3311" t="s">
        <v>29</v>
      </c>
      <c r="V3311" t="s">
        <v>29</v>
      </c>
      <c r="W3311" t="s">
        <v>29</v>
      </c>
      <c r="X3311" t="s">
        <v>29</v>
      </c>
      <c r="Y3311" t="s">
        <v>29</v>
      </c>
    </row>
    <row r="3312" spans="1:25" x14ac:dyDescent="0.2">
      <c r="A3312" t="s">
        <v>12231</v>
      </c>
      <c r="B3312" t="s">
        <v>12232</v>
      </c>
      <c r="C3312" t="s">
        <v>12233</v>
      </c>
      <c r="D3312" t="s">
        <v>1198</v>
      </c>
      <c r="E3312" t="s">
        <v>12232</v>
      </c>
      <c r="F3312" t="s">
        <v>28</v>
      </c>
      <c r="G3312" t="s">
        <v>12232</v>
      </c>
      <c r="H3312" t="str">
        <f>"fars-1"</f>
        <v>fars-1</v>
      </c>
      <c r="I3312" t="s">
        <v>1198</v>
      </c>
      <c r="J3312">
        <v>16.584490424259499</v>
      </c>
      <c r="K3312">
        <v>16.6208403060728</v>
      </c>
      <c r="L3312">
        <v>16.5848740589093</v>
      </c>
      <c r="M3312">
        <v>16.4039601621181</v>
      </c>
      <c r="N3312">
        <v>16.203252395114301</v>
      </c>
      <c r="O3312">
        <v>16.099402498306201</v>
      </c>
      <c r="P3312">
        <v>-0.36119657790097298</v>
      </c>
      <c r="Q3312">
        <v>-0.76981478514018398</v>
      </c>
      <c r="R3312">
        <v>4.7421629338238097E-2</v>
      </c>
      <c r="S3312">
        <v>16.056354255076201</v>
      </c>
      <c r="T3312">
        <v>-1.8578832790913</v>
      </c>
      <c r="U3312">
        <v>-5.3991350707310204</v>
      </c>
      <c r="V3312">
        <v>7.9718003446211799E-2</v>
      </c>
      <c r="W3312">
        <v>0.289269405539689</v>
      </c>
      <c r="X3312">
        <v>0</v>
      </c>
      <c r="Y3312">
        <v>0</v>
      </c>
    </row>
    <row r="3313" spans="1:25" x14ac:dyDescent="0.2">
      <c r="A3313" t="s">
        <v>12234</v>
      </c>
      <c r="B3313" t="s">
        <v>12235</v>
      </c>
      <c r="C3313" t="s">
        <v>12236</v>
      </c>
      <c r="D3313" t="s">
        <v>12237</v>
      </c>
      <c r="E3313" t="s">
        <v>12235</v>
      </c>
      <c r="F3313" t="s">
        <v>28</v>
      </c>
      <c r="G3313" t="s">
        <v>12235</v>
      </c>
      <c r="H3313" t="str">
        <f>"mrpl-23"</f>
        <v>mrpl-23</v>
      </c>
      <c r="I3313" t="s">
        <v>12237</v>
      </c>
      <c r="J3313">
        <v>13.592088675017999</v>
      </c>
      <c r="K3313">
        <v>13.890109355547899</v>
      </c>
      <c r="L3313">
        <v>13.926240380729899</v>
      </c>
      <c r="M3313">
        <v>13.0865448734578</v>
      </c>
      <c r="N3313">
        <v>11.778336994965301</v>
      </c>
      <c r="O3313">
        <v>12.3300683520212</v>
      </c>
      <c r="P3313">
        <v>-1.40449606361716</v>
      </c>
      <c r="Q3313">
        <v>-2.1687570096874702</v>
      </c>
      <c r="R3313">
        <v>-0.64023511754685403</v>
      </c>
      <c r="S3313">
        <v>13.804309110308999</v>
      </c>
      <c r="T3313">
        <v>-3.8790812107893702</v>
      </c>
      <c r="U3313">
        <v>-1.4116369445889401</v>
      </c>
      <c r="V3313">
        <v>1.2173530281754199E-3</v>
      </c>
      <c r="W3313">
        <v>2.0717279439682702E-2</v>
      </c>
      <c r="X3313">
        <v>-1</v>
      </c>
      <c r="Y3313">
        <v>-1</v>
      </c>
    </row>
    <row r="3314" spans="1:25" x14ac:dyDescent="0.2">
      <c r="A3314" t="s">
        <v>12238</v>
      </c>
      <c r="B3314" t="s">
        <v>12239</v>
      </c>
      <c r="C3314" t="s">
        <v>12240</v>
      </c>
      <c r="D3314" t="s">
        <v>3451</v>
      </c>
      <c r="E3314" t="s">
        <v>12239</v>
      </c>
      <c r="F3314" t="s">
        <v>28</v>
      </c>
      <c r="G3314" t="s">
        <v>12239</v>
      </c>
      <c r="H3314" t="str">
        <f>"ech-1.2"</f>
        <v>ech-1.2</v>
      </c>
      <c r="I3314" t="s">
        <v>3451</v>
      </c>
      <c r="J3314">
        <v>15.1213524689267</v>
      </c>
      <c r="K3314">
        <v>15.0955511086228</v>
      </c>
      <c r="L3314">
        <v>15.205308085932</v>
      </c>
      <c r="M3314">
        <v>15.3623214846787</v>
      </c>
      <c r="N3314">
        <v>15.7051804290146</v>
      </c>
      <c r="O3314">
        <v>15.9537861689761</v>
      </c>
      <c r="P3314">
        <v>0.53302547306265202</v>
      </c>
      <c r="Q3314">
        <v>0.131422572748088</v>
      </c>
      <c r="R3314">
        <v>0.93462837337721705</v>
      </c>
      <c r="S3314">
        <v>15.371054146033201</v>
      </c>
      <c r="T3314">
        <v>2.7896109356677998</v>
      </c>
      <c r="U3314">
        <v>-3.6709837933744098</v>
      </c>
      <c r="V3314">
        <v>1.21500148217528E-2</v>
      </c>
      <c r="W3314">
        <v>0.100600886081383</v>
      </c>
      <c r="X3314">
        <v>0</v>
      </c>
      <c r="Y3314">
        <v>0</v>
      </c>
    </row>
    <row r="3315" spans="1:25" x14ac:dyDescent="0.2">
      <c r="A3315" t="s">
        <v>12241</v>
      </c>
      <c r="B3315" t="s">
        <v>12242</v>
      </c>
      <c r="C3315" t="s">
        <v>12243</v>
      </c>
      <c r="D3315" t="s">
        <v>12244</v>
      </c>
      <c r="E3315" t="s">
        <v>12242</v>
      </c>
      <c r="F3315" t="s">
        <v>28</v>
      </c>
      <c r="G3315" t="s">
        <v>12242</v>
      </c>
      <c r="H3315" t="str">
        <f>"ldp-1"</f>
        <v>ldp-1</v>
      </c>
      <c r="I3315" t="s">
        <v>12244</v>
      </c>
      <c r="J3315">
        <v>18.3107459374326</v>
      </c>
      <c r="K3315">
        <v>18.119611057359101</v>
      </c>
      <c r="L3315">
        <v>17.8608158778435</v>
      </c>
      <c r="M3315">
        <v>17.783117015857901</v>
      </c>
      <c r="N3315">
        <v>17.352503557530099</v>
      </c>
      <c r="O3315">
        <v>17.498964040488101</v>
      </c>
      <c r="P3315">
        <v>-0.55219608625303696</v>
      </c>
      <c r="Q3315">
        <v>-0.98248206582559905</v>
      </c>
      <c r="R3315">
        <v>-0.121910106680475</v>
      </c>
      <c r="S3315">
        <v>17.485612197787599</v>
      </c>
      <c r="T3315">
        <v>-2.6972962095731901</v>
      </c>
      <c r="U3315">
        <v>-3.8572574627941001</v>
      </c>
      <c r="V3315">
        <v>1.4788041698555901E-2</v>
      </c>
      <c r="W3315">
        <v>0.11194822343324</v>
      </c>
      <c r="X3315">
        <v>0</v>
      </c>
      <c r="Y3315">
        <v>0</v>
      </c>
    </row>
    <row r="3316" spans="1:25" x14ac:dyDescent="0.2">
      <c r="A3316" t="s">
        <v>12245</v>
      </c>
      <c r="B3316" t="s">
        <v>12246</v>
      </c>
      <c r="C3316" t="s">
        <v>12247</v>
      </c>
      <c r="D3316" t="s">
        <v>12248</v>
      </c>
      <c r="E3316" t="s">
        <v>12246</v>
      </c>
      <c r="F3316" t="s">
        <v>28</v>
      </c>
      <c r="G3316" t="s">
        <v>12246</v>
      </c>
      <c r="H3316" t="str">
        <f>"ruvb-2"</f>
        <v>ruvb-2</v>
      </c>
      <c r="I3316" t="s">
        <v>12248</v>
      </c>
      <c r="J3316">
        <v>12.1717920849963</v>
      </c>
      <c r="K3316">
        <v>12.2452978237427</v>
      </c>
      <c r="L3316">
        <v>11.7835361924996</v>
      </c>
      <c r="M3316" t="s">
        <v>29</v>
      </c>
      <c r="N3316">
        <v>12.3290171339615</v>
      </c>
      <c r="O3316">
        <v>12.2876770130124</v>
      </c>
      <c r="P3316">
        <v>0.24147170640742899</v>
      </c>
      <c r="Q3316">
        <v>-0.20275051867802699</v>
      </c>
      <c r="R3316">
        <v>0.68569393149288604</v>
      </c>
      <c r="S3316">
        <v>12.634949230061199</v>
      </c>
      <c r="T3316">
        <v>1.1529633380770401</v>
      </c>
      <c r="U3316">
        <v>-6.2694161980915197</v>
      </c>
      <c r="V3316">
        <v>0.26596986138505702</v>
      </c>
      <c r="W3316">
        <v>0.54253072011360703</v>
      </c>
      <c r="X3316">
        <v>0</v>
      </c>
      <c r="Y3316">
        <v>0</v>
      </c>
    </row>
    <row r="3317" spans="1:25" x14ac:dyDescent="0.2">
      <c r="A3317" t="s">
        <v>12249</v>
      </c>
      <c r="B3317" t="s">
        <v>12250</v>
      </c>
      <c r="C3317" t="s">
        <v>12251</v>
      </c>
      <c r="D3317" t="s">
        <v>12252</v>
      </c>
      <c r="E3317" t="s">
        <v>12250</v>
      </c>
      <c r="F3317" t="s">
        <v>28</v>
      </c>
      <c r="G3317" t="s">
        <v>12250</v>
      </c>
      <c r="H3317" t="str">
        <f>"T22D1.3"</f>
        <v>T22D1.3</v>
      </c>
      <c r="I3317" t="s">
        <v>12252</v>
      </c>
      <c r="J3317">
        <v>12.534607466923701</v>
      </c>
      <c r="K3317">
        <v>11.7707884573106</v>
      </c>
      <c r="L3317">
        <v>12.1430060373494</v>
      </c>
      <c r="M3317">
        <v>13.0532514800976</v>
      </c>
      <c r="N3317">
        <v>12.6953992167235</v>
      </c>
      <c r="O3317">
        <v>13.131371142653</v>
      </c>
      <c r="P3317">
        <v>0.81053995929682199</v>
      </c>
      <c r="Q3317">
        <v>0.38203165925430799</v>
      </c>
      <c r="R3317">
        <v>1.2390482593393399</v>
      </c>
      <c r="S3317">
        <v>12.727201940477901</v>
      </c>
      <c r="T3317">
        <v>3.9756459817692602</v>
      </c>
      <c r="U3317">
        <v>-1.1329035625394099</v>
      </c>
      <c r="V3317">
        <v>8.9545122203525402E-4</v>
      </c>
      <c r="W3317">
        <v>1.7039756002939901E-2</v>
      </c>
      <c r="X3317">
        <v>0</v>
      </c>
      <c r="Y3317">
        <v>0</v>
      </c>
    </row>
    <row r="3318" spans="1:25" x14ac:dyDescent="0.2">
      <c r="A3318" t="s">
        <v>12253</v>
      </c>
      <c r="B3318" t="s">
        <v>12254</v>
      </c>
      <c r="C3318" t="s">
        <v>12255</v>
      </c>
      <c r="D3318" t="s">
        <v>12256</v>
      </c>
      <c r="E3318" t="s">
        <v>12254</v>
      </c>
      <c r="F3318" t="s">
        <v>28</v>
      </c>
      <c r="G3318" t="s">
        <v>12254</v>
      </c>
      <c r="H3318" t="str">
        <f>"ribo-1"</f>
        <v>ribo-1</v>
      </c>
      <c r="I3318" t="s">
        <v>12256</v>
      </c>
      <c r="J3318">
        <v>16.642881418201501</v>
      </c>
      <c r="K3318">
        <v>16.546228621687401</v>
      </c>
      <c r="L3318">
        <v>16.335822000977402</v>
      </c>
      <c r="M3318">
        <v>16.369449581267698</v>
      </c>
      <c r="N3318">
        <v>16.208859489644301</v>
      </c>
      <c r="O3318">
        <v>16.189939852048202</v>
      </c>
      <c r="P3318">
        <v>-0.252227705968672</v>
      </c>
      <c r="Q3318">
        <v>-0.58534851448502301</v>
      </c>
      <c r="R3318">
        <v>8.0893102547679702E-2</v>
      </c>
      <c r="S3318">
        <v>15.906736933205799</v>
      </c>
      <c r="T3318">
        <v>-1.59141534440593</v>
      </c>
      <c r="U3318">
        <v>-5.8113749458468797</v>
      </c>
      <c r="V3318">
        <v>0.12902631916606699</v>
      </c>
      <c r="W3318">
        <v>0.373379079676044</v>
      </c>
      <c r="X3318">
        <v>0</v>
      </c>
      <c r="Y3318">
        <v>0</v>
      </c>
    </row>
    <row r="3319" spans="1:25" x14ac:dyDescent="0.2">
      <c r="A3319" t="s">
        <v>12257</v>
      </c>
      <c r="B3319" t="s">
        <v>12258</v>
      </c>
      <c r="C3319" t="s">
        <v>12259</v>
      </c>
      <c r="D3319" t="s">
        <v>12260</v>
      </c>
      <c r="E3319" t="s">
        <v>12258</v>
      </c>
      <c r="F3319" t="s">
        <v>28</v>
      </c>
      <c r="G3319" t="s">
        <v>12258</v>
      </c>
      <c r="H3319" t="str">
        <f>"rpn-1"</f>
        <v>rpn-1</v>
      </c>
      <c r="I3319" t="s">
        <v>12260</v>
      </c>
      <c r="J3319">
        <v>15.040139929064299</v>
      </c>
      <c r="K3319">
        <v>14.9363605011171</v>
      </c>
      <c r="L3319">
        <v>14.917817195096699</v>
      </c>
      <c r="M3319">
        <v>14.6872352666739</v>
      </c>
      <c r="N3319">
        <v>14.6860269635339</v>
      </c>
      <c r="O3319">
        <v>14.552559529041901</v>
      </c>
      <c r="P3319">
        <v>-0.322831955342812</v>
      </c>
      <c r="Q3319">
        <v>-0.64306925374732105</v>
      </c>
      <c r="R3319">
        <v>-2.5946569383030198E-3</v>
      </c>
      <c r="S3319">
        <v>14.714640318591201</v>
      </c>
      <c r="T3319">
        <v>-2.1188348936529602</v>
      </c>
      <c r="U3319">
        <v>-4.95469340041282</v>
      </c>
      <c r="V3319">
        <v>4.83584351786185E-2</v>
      </c>
      <c r="W3319">
        <v>0.21855326121003399</v>
      </c>
      <c r="X3319">
        <v>0</v>
      </c>
      <c r="Y3319">
        <v>0</v>
      </c>
    </row>
    <row r="3320" spans="1:25" x14ac:dyDescent="0.2">
      <c r="A3320" t="s">
        <v>12261</v>
      </c>
      <c r="B3320" t="s">
        <v>12262</v>
      </c>
      <c r="C3320" t="s">
        <v>14658</v>
      </c>
      <c r="D3320" t="s">
        <v>12263</v>
      </c>
      <c r="E3320" t="s">
        <v>12262</v>
      </c>
      <c r="F3320" t="s">
        <v>28</v>
      </c>
      <c r="G3320" t="s">
        <v>12262</v>
      </c>
      <c r="H3320" t="str">
        <f>"F52G3.1"</f>
        <v>F52G3.1</v>
      </c>
      <c r="I3320" t="s">
        <v>12263</v>
      </c>
      <c r="J3320">
        <v>11.2913126638422</v>
      </c>
      <c r="K3320">
        <v>12.1452961407589</v>
      </c>
      <c r="L3320">
        <v>12.400157634155301</v>
      </c>
      <c r="M3320" t="s">
        <v>29</v>
      </c>
      <c r="N3320">
        <v>14.3703572375387</v>
      </c>
      <c r="O3320">
        <v>11.1474699899962</v>
      </c>
      <c r="P3320">
        <v>0.813324800848648</v>
      </c>
      <c r="Q3320">
        <v>-0.671556641235592</v>
      </c>
      <c r="R3320">
        <v>2.2982062429328902</v>
      </c>
      <c r="S3320">
        <v>12.3397917101752</v>
      </c>
      <c r="T3320">
        <v>1.1681909618878501</v>
      </c>
      <c r="U3320">
        <v>-6.2514051650767799</v>
      </c>
      <c r="V3320">
        <v>0.26108837564274201</v>
      </c>
      <c r="W3320">
        <v>0.53856302530769795</v>
      </c>
      <c r="X3320">
        <v>0</v>
      </c>
      <c r="Y3320">
        <v>0</v>
      </c>
    </row>
    <row r="3321" spans="1:25" x14ac:dyDescent="0.2">
      <c r="A3321" t="s">
        <v>12264</v>
      </c>
      <c r="B3321" t="s">
        <v>12265</v>
      </c>
      <c r="C3321" t="s">
        <v>12266</v>
      </c>
      <c r="D3321" t="s">
        <v>12267</v>
      </c>
      <c r="E3321" t="s">
        <v>12265</v>
      </c>
      <c r="F3321" t="s">
        <v>28</v>
      </c>
      <c r="G3321" t="s">
        <v>12265</v>
      </c>
      <c r="H3321" t="str">
        <f>"plk-2"</f>
        <v>plk-2</v>
      </c>
      <c r="I3321" t="s">
        <v>12267</v>
      </c>
      <c r="J3321">
        <v>10.874619122063701</v>
      </c>
      <c r="K3321">
        <v>11.6656582288542</v>
      </c>
      <c r="L3321">
        <v>12.1368657749622</v>
      </c>
      <c r="M3321" t="s">
        <v>29</v>
      </c>
      <c r="N3321">
        <v>11.864220004333101</v>
      </c>
      <c r="O3321">
        <v>10.5757936784864</v>
      </c>
      <c r="P3321">
        <v>-0.339040867216921</v>
      </c>
      <c r="Q3321">
        <v>-1.2475384856387199</v>
      </c>
      <c r="R3321">
        <v>0.56945675120487904</v>
      </c>
      <c r="S3321">
        <v>12.2393344145603</v>
      </c>
      <c r="T3321">
        <v>-0.79154896775391503</v>
      </c>
      <c r="U3321">
        <v>-6.61789363712706</v>
      </c>
      <c r="V3321">
        <v>0.44027663945011503</v>
      </c>
      <c r="W3321">
        <v>0.70783605966930496</v>
      </c>
      <c r="X3321">
        <v>0</v>
      </c>
      <c r="Y3321">
        <v>0</v>
      </c>
    </row>
    <row r="3322" spans="1:25" x14ac:dyDescent="0.2">
      <c r="A3322" t="s">
        <v>12268</v>
      </c>
      <c r="B3322" t="s">
        <v>12269</v>
      </c>
      <c r="C3322" t="s">
        <v>14659</v>
      </c>
      <c r="D3322" t="s">
        <v>3358</v>
      </c>
      <c r="E3322" t="s">
        <v>12269</v>
      </c>
      <c r="F3322" t="s">
        <v>28</v>
      </c>
      <c r="G3322" t="s">
        <v>12269</v>
      </c>
      <c r="H3322" t="str">
        <f>"Y9C9A.8"</f>
        <v>Y9C9A.8</v>
      </c>
      <c r="I3322" t="s">
        <v>3358</v>
      </c>
      <c r="J3322" t="s">
        <v>29</v>
      </c>
      <c r="K3322">
        <v>12.7801315046535</v>
      </c>
      <c r="L3322" t="s">
        <v>29</v>
      </c>
      <c r="M3322" t="s">
        <v>29</v>
      </c>
      <c r="N3322" t="s">
        <v>29</v>
      </c>
      <c r="O3322">
        <v>12.7449297050014</v>
      </c>
      <c r="P3322">
        <v>-3.5201799652092802E-2</v>
      </c>
      <c r="Q3322">
        <v>-1.0104392027659801</v>
      </c>
      <c r="R3322">
        <v>0.94003560346179005</v>
      </c>
      <c r="S3322">
        <v>12.891835165246301</v>
      </c>
      <c r="T3322">
        <v>-8.3429613009154399E-2</v>
      </c>
      <c r="U3322">
        <v>-6.5062362368858198</v>
      </c>
      <c r="V3322">
        <v>0.93558646793586797</v>
      </c>
      <c r="W3322">
        <v>0.97535311084156295</v>
      </c>
      <c r="X3322">
        <v>0</v>
      </c>
      <c r="Y3322">
        <v>0</v>
      </c>
    </row>
    <row r="3323" spans="1:25" x14ac:dyDescent="0.2">
      <c r="A3323" t="s">
        <v>12270</v>
      </c>
      <c r="B3323" t="s">
        <v>12271</v>
      </c>
      <c r="C3323" t="s">
        <v>12272</v>
      </c>
      <c r="D3323" t="s">
        <v>12273</v>
      </c>
      <c r="E3323" t="s">
        <v>12271</v>
      </c>
      <c r="F3323" t="s">
        <v>28</v>
      </c>
      <c r="G3323" t="s">
        <v>12271</v>
      </c>
      <c r="H3323" t="str">
        <f>"gpa-16"</f>
        <v>gpa-16</v>
      </c>
      <c r="I3323" t="s">
        <v>12273</v>
      </c>
      <c r="J3323">
        <v>12.720309891230499</v>
      </c>
      <c r="K3323">
        <v>13.062870952821401</v>
      </c>
      <c r="L3323">
        <v>12.3734813742194</v>
      </c>
      <c r="M3323">
        <v>11.088558898596499</v>
      </c>
      <c r="N3323">
        <v>13.356090867307101</v>
      </c>
      <c r="O3323">
        <v>12.6543917437057</v>
      </c>
      <c r="P3323">
        <v>-0.352540236220657</v>
      </c>
      <c r="Q3323">
        <v>-1.2236575351636301</v>
      </c>
      <c r="R3323">
        <v>0.51857706272231896</v>
      </c>
      <c r="S3323">
        <v>12.1121132211281</v>
      </c>
      <c r="T3323">
        <v>-0.85838393847339201</v>
      </c>
      <c r="U3323">
        <v>-6.6721774526831101</v>
      </c>
      <c r="V3323">
        <v>0.40343934609332899</v>
      </c>
      <c r="W3323">
        <v>0.67647874428407795</v>
      </c>
      <c r="X3323">
        <v>0</v>
      </c>
      <c r="Y3323">
        <v>0</v>
      </c>
    </row>
    <row r="3324" spans="1:25" x14ac:dyDescent="0.2">
      <c r="A3324" t="s">
        <v>12274</v>
      </c>
      <c r="B3324" t="s">
        <v>12275</v>
      </c>
      <c r="C3324" t="s">
        <v>12276</v>
      </c>
      <c r="D3324" t="s">
        <v>12277</v>
      </c>
      <c r="E3324" t="s">
        <v>12275</v>
      </c>
      <c r="F3324" t="s">
        <v>28</v>
      </c>
      <c r="G3324" t="s">
        <v>12275</v>
      </c>
      <c r="H3324" t="str">
        <f>"pde-6"</f>
        <v>pde-6</v>
      </c>
      <c r="I3324" t="s">
        <v>12277</v>
      </c>
      <c r="J3324">
        <v>12.519698107897099</v>
      </c>
      <c r="K3324">
        <v>12.847138498575699</v>
      </c>
      <c r="L3324">
        <v>12.416396236792</v>
      </c>
      <c r="M3324">
        <v>12.893527322178</v>
      </c>
      <c r="N3324">
        <v>12.343070750786501</v>
      </c>
      <c r="O3324">
        <v>12.3153881092648</v>
      </c>
      <c r="P3324">
        <v>-7.7082220345163294E-2</v>
      </c>
      <c r="Q3324">
        <v>-0.64334177222890199</v>
      </c>
      <c r="R3324">
        <v>0.48917733153857501</v>
      </c>
      <c r="S3324">
        <v>12.619097796483199</v>
      </c>
      <c r="T3324">
        <v>-0.28733510452457001</v>
      </c>
      <c r="U3324">
        <v>-7.00878992215452</v>
      </c>
      <c r="V3324">
        <v>0.77735019029351804</v>
      </c>
      <c r="W3324">
        <v>0.90629768147825396</v>
      </c>
      <c r="X3324">
        <v>0</v>
      </c>
      <c r="Y3324">
        <v>0</v>
      </c>
    </row>
    <row r="3325" spans="1:25" x14ac:dyDescent="0.2">
      <c r="A3325" t="s">
        <v>12278</v>
      </c>
      <c r="B3325" t="s">
        <v>12279</v>
      </c>
      <c r="C3325" t="s">
        <v>14660</v>
      </c>
      <c r="D3325" t="s">
        <v>12280</v>
      </c>
      <c r="E3325" t="s">
        <v>12279</v>
      </c>
      <c r="F3325" t="s">
        <v>28</v>
      </c>
      <c r="G3325" t="s">
        <v>12279</v>
      </c>
      <c r="H3325" t="str">
        <f>"Y74C10AL.2"</f>
        <v>Y74C10AL.2</v>
      </c>
      <c r="I3325" t="s">
        <v>12280</v>
      </c>
      <c r="J3325">
        <v>11.9205361296753</v>
      </c>
      <c r="K3325">
        <v>11.892297610637099</v>
      </c>
      <c r="L3325">
        <v>12.5893261304397</v>
      </c>
      <c r="M3325" t="s">
        <v>29</v>
      </c>
      <c r="N3325" t="s">
        <v>29</v>
      </c>
      <c r="O3325" t="s">
        <v>29</v>
      </c>
      <c r="P3325" t="s">
        <v>29</v>
      </c>
      <c r="Q3325" t="s">
        <v>29</v>
      </c>
      <c r="R3325" t="s">
        <v>29</v>
      </c>
      <c r="S3325">
        <v>13.001809597421</v>
      </c>
      <c r="T3325" t="s">
        <v>29</v>
      </c>
      <c r="U3325" t="s">
        <v>29</v>
      </c>
      <c r="V3325" t="s">
        <v>29</v>
      </c>
      <c r="W3325" t="s">
        <v>29</v>
      </c>
      <c r="X3325" t="s">
        <v>29</v>
      </c>
      <c r="Y3325" t="s">
        <v>29</v>
      </c>
    </row>
    <row r="3326" spans="1:25" x14ac:dyDescent="0.2">
      <c r="A3326" t="s">
        <v>12281</v>
      </c>
      <c r="B3326" t="s">
        <v>12282</v>
      </c>
      <c r="C3326" t="s">
        <v>12283</v>
      </c>
      <c r="D3326" t="s">
        <v>12284</v>
      </c>
      <c r="E3326" t="s">
        <v>12282</v>
      </c>
      <c r="F3326" t="s">
        <v>28</v>
      </c>
      <c r="G3326" t="s">
        <v>12282</v>
      </c>
      <c r="H3326" t="str">
        <f>"wwp-1"</f>
        <v>wwp-1</v>
      </c>
      <c r="I3326" t="s">
        <v>12284</v>
      </c>
      <c r="J3326">
        <v>13.607078516671001</v>
      </c>
      <c r="K3326">
        <v>13.4856405900188</v>
      </c>
      <c r="L3326">
        <v>13.9146659644676</v>
      </c>
      <c r="M3326">
        <v>13.62321532606</v>
      </c>
      <c r="N3326">
        <v>13.4022807055263</v>
      </c>
      <c r="O3326">
        <v>13.453821215790599</v>
      </c>
      <c r="P3326">
        <v>-0.176022607926834</v>
      </c>
      <c r="Q3326">
        <v>-0.63665769855188303</v>
      </c>
      <c r="R3326">
        <v>0.28461248269821598</v>
      </c>
      <c r="S3326">
        <v>13.686106764966899</v>
      </c>
      <c r="T3326">
        <v>-0.80316346629411495</v>
      </c>
      <c r="U3326">
        <v>-6.7200220407489804</v>
      </c>
      <c r="V3326">
        <v>0.432419315454381</v>
      </c>
      <c r="W3326">
        <v>0.70179174687708501</v>
      </c>
      <c r="X3326">
        <v>0</v>
      </c>
      <c r="Y3326">
        <v>0</v>
      </c>
    </row>
    <row r="3327" spans="1:25" x14ac:dyDescent="0.2">
      <c r="A3327" t="s">
        <v>12285</v>
      </c>
      <c r="B3327" t="s">
        <v>12286</v>
      </c>
      <c r="C3327" t="s">
        <v>12287</v>
      </c>
      <c r="D3327" t="s">
        <v>12288</v>
      </c>
      <c r="E3327" t="s">
        <v>12286</v>
      </c>
      <c r="F3327" t="s">
        <v>28</v>
      </c>
      <c r="G3327" t="s">
        <v>12286</v>
      </c>
      <c r="H3327" t="str">
        <f>"deps-1"</f>
        <v>deps-1</v>
      </c>
      <c r="I3327" t="s">
        <v>12288</v>
      </c>
      <c r="J3327">
        <v>14.5573135268539</v>
      </c>
      <c r="K3327">
        <v>14.3944146718105</v>
      </c>
      <c r="L3327">
        <v>14.3984164761139</v>
      </c>
      <c r="M3327">
        <v>13.883892103050201</v>
      </c>
      <c r="N3327">
        <v>14.165410313856301</v>
      </c>
      <c r="O3327">
        <v>14.5050688193946</v>
      </c>
      <c r="P3327">
        <v>-0.26525781282572097</v>
      </c>
      <c r="Q3327">
        <v>-0.68167870575252998</v>
      </c>
      <c r="R3327">
        <v>0.151163080101088</v>
      </c>
      <c r="S3327">
        <v>14.567734573616001</v>
      </c>
      <c r="T3327">
        <v>-1.3510928729698799</v>
      </c>
      <c r="U3327">
        <v>-6.1408390503244696</v>
      </c>
      <c r="V3327">
        <v>0.19558512972272199</v>
      </c>
      <c r="W3327">
        <v>0.45657835652040002</v>
      </c>
      <c r="X3327">
        <v>0</v>
      </c>
      <c r="Y3327">
        <v>0</v>
      </c>
    </row>
    <row r="3328" spans="1:25" x14ac:dyDescent="0.2">
      <c r="A3328" t="s">
        <v>12289</v>
      </c>
      <c r="B3328" t="s">
        <v>12290</v>
      </c>
      <c r="C3328" t="s">
        <v>14661</v>
      </c>
      <c r="D3328" t="s">
        <v>12291</v>
      </c>
      <c r="E3328" t="s">
        <v>12290</v>
      </c>
      <c r="F3328" t="s">
        <v>28</v>
      </c>
      <c r="G3328" t="s">
        <v>12290</v>
      </c>
      <c r="H3328" t="str">
        <f>"Y61A9LA.10"</f>
        <v>Y61A9LA.10</v>
      </c>
      <c r="I3328" t="s">
        <v>12291</v>
      </c>
      <c r="J3328">
        <v>14.507632836791901</v>
      </c>
      <c r="K3328">
        <v>14.495560181134801</v>
      </c>
      <c r="L3328">
        <v>14.603942200093501</v>
      </c>
      <c r="M3328">
        <v>14.1985572403223</v>
      </c>
      <c r="N3328">
        <v>14.2714091285675</v>
      </c>
      <c r="O3328">
        <v>13.877157220818299</v>
      </c>
      <c r="P3328">
        <v>-0.42000387610408801</v>
      </c>
      <c r="Q3328">
        <v>-0.81008880368253</v>
      </c>
      <c r="R3328">
        <v>-2.9918948525646201E-2</v>
      </c>
      <c r="S3328">
        <v>14.481145209264801</v>
      </c>
      <c r="T3328">
        <v>-2.2727106210792298</v>
      </c>
      <c r="U3328">
        <v>-4.6853343745001697</v>
      </c>
      <c r="V3328">
        <v>3.6395336206994602E-2</v>
      </c>
      <c r="W3328">
        <v>0.19047932039846399</v>
      </c>
      <c r="X3328">
        <v>0</v>
      </c>
      <c r="Y3328">
        <v>0</v>
      </c>
    </row>
    <row r="3329" spans="1:25" x14ac:dyDescent="0.2">
      <c r="A3329" t="s">
        <v>12292</v>
      </c>
      <c r="B3329" t="s">
        <v>12293</v>
      </c>
      <c r="C3329" t="s">
        <v>14662</v>
      </c>
      <c r="D3329" t="s">
        <v>107</v>
      </c>
      <c r="E3329" t="s">
        <v>12293</v>
      </c>
      <c r="F3329" t="s">
        <v>28</v>
      </c>
      <c r="G3329" t="s">
        <v>12293</v>
      </c>
      <c r="H3329" t="str">
        <f>"Y61A9LA.1"</f>
        <v>Y61A9LA.1</v>
      </c>
      <c r="I3329" t="s">
        <v>107</v>
      </c>
      <c r="J3329">
        <v>10.6206066489977</v>
      </c>
      <c r="K3329">
        <v>10.8110042783818</v>
      </c>
      <c r="L3329">
        <v>10.667930151764301</v>
      </c>
      <c r="M3329">
        <v>9.7620344420602105</v>
      </c>
      <c r="N3329">
        <v>11.005904998181901</v>
      </c>
      <c r="O3329">
        <v>10.258948473109101</v>
      </c>
      <c r="P3329">
        <v>-0.35755105526418302</v>
      </c>
      <c r="Q3329">
        <v>-0.96061764743464295</v>
      </c>
      <c r="R3329">
        <v>0.245515536906277</v>
      </c>
      <c r="S3329">
        <v>11.0609502042684</v>
      </c>
      <c r="T3329">
        <v>-1.27252020344171</v>
      </c>
      <c r="U3329">
        <v>-6.23749259211466</v>
      </c>
      <c r="V3329">
        <v>0.22407044516048</v>
      </c>
      <c r="W3329">
        <v>0.491987333705939</v>
      </c>
      <c r="X3329">
        <v>0</v>
      </c>
      <c r="Y3329">
        <v>0</v>
      </c>
    </row>
    <row r="3330" spans="1:25" x14ac:dyDescent="0.2">
      <c r="A3330" t="s">
        <v>12294</v>
      </c>
      <c r="B3330" t="s">
        <v>12295</v>
      </c>
      <c r="C3330" t="s">
        <v>12296</v>
      </c>
      <c r="D3330" t="s">
        <v>12297</v>
      </c>
      <c r="E3330" t="s">
        <v>12295</v>
      </c>
      <c r="F3330" t="s">
        <v>28</v>
      </c>
      <c r="G3330" t="s">
        <v>12295</v>
      </c>
      <c r="H3330" t="str">
        <f>"catp-7"</f>
        <v>catp-7</v>
      </c>
      <c r="I3330" t="s">
        <v>12297</v>
      </c>
      <c r="J3330">
        <v>11.561771614881399</v>
      </c>
      <c r="K3330">
        <v>12.5991125717874</v>
      </c>
      <c r="L3330">
        <v>12.668889581680901</v>
      </c>
      <c r="M3330">
        <v>12.5523324569838</v>
      </c>
      <c r="N3330">
        <v>12.651571237802701</v>
      </c>
      <c r="O3330" t="s">
        <v>29</v>
      </c>
      <c r="P3330">
        <v>0.325360591276672</v>
      </c>
      <c r="Q3330">
        <v>-0.52261467785199101</v>
      </c>
      <c r="R3330">
        <v>1.1733358604053299</v>
      </c>
      <c r="S3330">
        <v>12.410236318287801</v>
      </c>
      <c r="T3330">
        <v>0.81832038150217101</v>
      </c>
      <c r="U3330">
        <v>-6.5952008117096499</v>
      </c>
      <c r="V3330">
        <v>0.42607262930793499</v>
      </c>
      <c r="W3330">
        <v>0.69633750496314994</v>
      </c>
      <c r="X3330">
        <v>0</v>
      </c>
      <c r="Y3330">
        <v>0</v>
      </c>
    </row>
    <row r="3331" spans="1:25" x14ac:dyDescent="0.2">
      <c r="A3331" t="s">
        <v>12298</v>
      </c>
      <c r="B3331" t="s">
        <v>12299</v>
      </c>
      <c r="C3331" t="s">
        <v>12300</v>
      </c>
      <c r="D3331" t="s">
        <v>12301</v>
      </c>
      <c r="E3331" t="s">
        <v>12299</v>
      </c>
      <c r="F3331" t="s">
        <v>28</v>
      </c>
      <c r="G3331" t="s">
        <v>12299</v>
      </c>
      <c r="H3331" t="str">
        <f>"mdt-6"</f>
        <v>mdt-6</v>
      </c>
      <c r="I3331" t="s">
        <v>12301</v>
      </c>
      <c r="J3331">
        <v>12.270189890492199</v>
      </c>
      <c r="K3331">
        <v>12.6136441941117</v>
      </c>
      <c r="L3331">
        <v>12.5892429457534</v>
      </c>
      <c r="M3331">
        <v>13.741560205613</v>
      </c>
      <c r="N3331">
        <v>13.3530556268332</v>
      </c>
      <c r="O3331">
        <v>13.672362143107399</v>
      </c>
      <c r="P3331">
        <v>1.09796698173212</v>
      </c>
      <c r="Q3331">
        <v>0.41732919080355502</v>
      </c>
      <c r="R3331">
        <v>1.77860477266068</v>
      </c>
      <c r="S3331">
        <v>13.0952580821571</v>
      </c>
      <c r="T3331">
        <v>3.4215489003201101</v>
      </c>
      <c r="U3331">
        <v>-2.4356136940728002</v>
      </c>
      <c r="V3331">
        <v>3.5255311746567701E-3</v>
      </c>
      <c r="W3331">
        <v>4.2806262844526599E-2</v>
      </c>
      <c r="X3331">
        <v>1</v>
      </c>
      <c r="Y3331">
        <v>1</v>
      </c>
    </row>
    <row r="3332" spans="1:25" x14ac:dyDescent="0.2">
      <c r="A3332" t="s">
        <v>12302</v>
      </c>
      <c r="B3332" t="s">
        <v>12303</v>
      </c>
      <c r="C3332" t="s">
        <v>14663</v>
      </c>
      <c r="D3332" t="s">
        <v>12304</v>
      </c>
      <c r="E3332" t="s">
        <v>12303</v>
      </c>
      <c r="F3332" t="s">
        <v>28</v>
      </c>
      <c r="G3332" t="s">
        <v>12303</v>
      </c>
      <c r="H3332" t="str">
        <f>"Y55F3BR.1"</f>
        <v>Y55F3BR.1</v>
      </c>
      <c r="I3332" t="s">
        <v>12304</v>
      </c>
      <c r="J3332">
        <v>12.4393634999587</v>
      </c>
      <c r="K3332" t="s">
        <v>29</v>
      </c>
      <c r="L3332" t="s">
        <v>29</v>
      </c>
      <c r="M3332" t="s">
        <v>29</v>
      </c>
      <c r="N3332" t="s">
        <v>29</v>
      </c>
      <c r="O3332">
        <v>11.7339560759346</v>
      </c>
      <c r="P3332">
        <v>-0.70540742402415701</v>
      </c>
      <c r="Q3332">
        <v>-1.7765846772896401</v>
      </c>
      <c r="R3332">
        <v>0.36576982924132501</v>
      </c>
      <c r="S3332">
        <v>12.7911631773287</v>
      </c>
      <c r="T3332">
        <v>-1.4511301905637499</v>
      </c>
      <c r="U3332">
        <v>-5.4840217565210398</v>
      </c>
      <c r="V3332">
        <v>0.174920324267517</v>
      </c>
      <c r="W3332">
        <v>0.43573787106836698</v>
      </c>
      <c r="X3332">
        <v>0</v>
      </c>
      <c r="Y3332">
        <v>0</v>
      </c>
    </row>
    <row r="3333" spans="1:25" x14ac:dyDescent="0.2">
      <c r="A3333" t="s">
        <v>12305</v>
      </c>
      <c r="B3333" t="s">
        <v>12306</v>
      </c>
      <c r="C3333" t="s">
        <v>12307</v>
      </c>
      <c r="D3333" t="s">
        <v>12308</v>
      </c>
      <c r="E3333" t="s">
        <v>12306</v>
      </c>
      <c r="F3333" t="s">
        <v>28</v>
      </c>
      <c r="G3333" t="s">
        <v>12306</v>
      </c>
      <c r="H3333" t="str">
        <f>"cox-18"</f>
        <v>cox-18</v>
      </c>
      <c r="I3333" t="s">
        <v>12308</v>
      </c>
      <c r="J3333">
        <v>14.4272818256321</v>
      </c>
      <c r="K3333">
        <v>14.4025815337412</v>
      </c>
      <c r="L3333">
        <v>14.42539052877</v>
      </c>
      <c r="M3333">
        <v>13.8774971133072</v>
      </c>
      <c r="N3333">
        <v>13.9952709284356</v>
      </c>
      <c r="O3333">
        <v>14.0898139965925</v>
      </c>
      <c r="P3333">
        <v>-0.43089061660265499</v>
      </c>
      <c r="Q3333">
        <v>-0.84906971951411503</v>
      </c>
      <c r="R3333">
        <v>-1.27115136911946E-2</v>
      </c>
      <c r="S3333">
        <v>14.333487428845601</v>
      </c>
      <c r="T3333">
        <v>-2.16569464758626</v>
      </c>
      <c r="U3333">
        <v>-4.87111097065132</v>
      </c>
      <c r="V3333">
        <v>4.4091780442627897E-2</v>
      </c>
      <c r="W3333">
        <v>0.20858981988523501</v>
      </c>
      <c r="X3333">
        <v>0</v>
      </c>
      <c r="Y3333">
        <v>0</v>
      </c>
    </row>
    <row r="3334" spans="1:25" x14ac:dyDescent="0.2">
      <c r="A3334" t="s">
        <v>12309</v>
      </c>
      <c r="B3334" t="s">
        <v>12310</v>
      </c>
      <c r="C3334" t="s">
        <v>12311</v>
      </c>
      <c r="D3334" t="s">
        <v>12312</v>
      </c>
      <c r="E3334" t="s">
        <v>12310</v>
      </c>
      <c r="F3334" t="s">
        <v>28</v>
      </c>
      <c r="G3334" t="s">
        <v>12310</v>
      </c>
      <c r="H3334" t="str">
        <f>"cct-8"</f>
        <v>cct-8</v>
      </c>
      <c r="I3334" t="s">
        <v>12312</v>
      </c>
      <c r="J3334">
        <v>15.3794687417157</v>
      </c>
      <c r="K3334">
        <v>15.0150819691587</v>
      </c>
      <c r="L3334">
        <v>15.2398280536234</v>
      </c>
      <c r="M3334">
        <v>15.271147481139201</v>
      </c>
      <c r="N3334">
        <v>15.4160777628614</v>
      </c>
      <c r="O3334">
        <v>15.4737823273441</v>
      </c>
      <c r="P3334">
        <v>0.17554293561561399</v>
      </c>
      <c r="Q3334">
        <v>-0.21560596219400199</v>
      </c>
      <c r="R3334">
        <v>0.566691833425229</v>
      </c>
      <c r="S3334">
        <v>15.3728180462269</v>
      </c>
      <c r="T3334">
        <v>0.94326508465926195</v>
      </c>
      <c r="U3334">
        <v>-6.5971051359216402</v>
      </c>
      <c r="V3334">
        <v>0.35810704507598701</v>
      </c>
      <c r="W3334">
        <v>0.63641743565115305</v>
      </c>
      <c r="X3334">
        <v>0</v>
      </c>
      <c r="Y3334">
        <v>0</v>
      </c>
    </row>
    <row r="3335" spans="1:25" x14ac:dyDescent="0.2">
      <c r="A3335" t="s">
        <v>12313</v>
      </c>
      <c r="B3335" t="s">
        <v>12314</v>
      </c>
      <c r="C3335" t="s">
        <v>12315</v>
      </c>
      <c r="D3335" t="s">
        <v>12316</v>
      </c>
      <c r="E3335" t="s">
        <v>12314</v>
      </c>
      <c r="F3335" t="s">
        <v>28</v>
      </c>
      <c r="G3335" t="s">
        <v>12314</v>
      </c>
      <c r="H3335" t="str">
        <f>"csn-4"</f>
        <v>csn-4</v>
      </c>
      <c r="I3335" t="s">
        <v>12316</v>
      </c>
      <c r="J3335">
        <v>14.096500857192099</v>
      </c>
      <c r="K3335">
        <v>14.249569586523499</v>
      </c>
      <c r="L3335">
        <v>13.962261158127699</v>
      </c>
      <c r="M3335">
        <v>13.8100181803401</v>
      </c>
      <c r="N3335">
        <v>14.3722234021734</v>
      </c>
      <c r="O3335">
        <v>13.841953597297501</v>
      </c>
      <c r="P3335">
        <v>-9.4712140677415804E-2</v>
      </c>
      <c r="Q3335">
        <v>-0.46077374164278101</v>
      </c>
      <c r="R3335">
        <v>0.27134946028794898</v>
      </c>
      <c r="S3335">
        <v>14.013235069032</v>
      </c>
      <c r="T3335">
        <v>-0.54380599500063498</v>
      </c>
      <c r="U3335">
        <v>-6.8983836399962097</v>
      </c>
      <c r="V3335">
        <v>0.59328610754303701</v>
      </c>
      <c r="W3335">
        <v>0.80473238597125596</v>
      </c>
      <c r="X3335">
        <v>0</v>
      </c>
      <c r="Y3335">
        <v>0</v>
      </c>
    </row>
    <row r="3336" spans="1:25" x14ac:dyDescent="0.2">
      <c r="A3336" t="s">
        <v>12317</v>
      </c>
      <c r="B3336" t="s">
        <v>12318</v>
      </c>
      <c r="C3336" t="s">
        <v>12319</v>
      </c>
      <c r="D3336" t="s">
        <v>12320</v>
      </c>
      <c r="E3336" t="s">
        <v>12318</v>
      </c>
      <c r="F3336" t="s">
        <v>28</v>
      </c>
      <c r="G3336" t="s">
        <v>12318</v>
      </c>
      <c r="H3336" t="str">
        <f>"mrps-25"</f>
        <v>mrps-25</v>
      </c>
      <c r="I3336" t="s">
        <v>12320</v>
      </c>
      <c r="J3336" t="s">
        <v>29</v>
      </c>
      <c r="K3336" t="s">
        <v>29</v>
      </c>
      <c r="L3336" t="s">
        <v>29</v>
      </c>
      <c r="M3336" t="s">
        <v>29</v>
      </c>
      <c r="N3336" t="s">
        <v>29</v>
      </c>
      <c r="O3336" t="s">
        <v>29</v>
      </c>
      <c r="P3336" t="s">
        <v>29</v>
      </c>
      <c r="Q3336" t="s">
        <v>29</v>
      </c>
      <c r="R3336" t="s">
        <v>29</v>
      </c>
      <c r="S3336">
        <v>11.934927455709399</v>
      </c>
      <c r="T3336" t="s">
        <v>29</v>
      </c>
      <c r="U3336" t="s">
        <v>29</v>
      </c>
      <c r="V3336" t="s">
        <v>29</v>
      </c>
      <c r="W3336" t="s">
        <v>29</v>
      </c>
      <c r="X3336" t="s">
        <v>29</v>
      </c>
      <c r="Y3336" t="s">
        <v>29</v>
      </c>
    </row>
    <row r="3337" spans="1:25" x14ac:dyDescent="0.2">
      <c r="A3337" t="s">
        <v>12321</v>
      </c>
      <c r="B3337" t="s">
        <v>12322</v>
      </c>
      <c r="C3337" t="s">
        <v>14664</v>
      </c>
      <c r="D3337" t="s">
        <v>12323</v>
      </c>
      <c r="E3337" t="s">
        <v>12322</v>
      </c>
      <c r="F3337" t="s">
        <v>28</v>
      </c>
      <c r="G3337" t="s">
        <v>12322</v>
      </c>
      <c r="H3337" t="str">
        <f>"Y55F3AM.13"</f>
        <v>Y55F3AM.13</v>
      </c>
      <c r="I3337" t="s">
        <v>12323</v>
      </c>
      <c r="J3337">
        <v>15.572218055152501</v>
      </c>
      <c r="K3337">
        <v>15.3483874261208</v>
      </c>
      <c r="L3337">
        <v>15.3952394884602</v>
      </c>
      <c r="M3337">
        <v>16.3476980842091</v>
      </c>
      <c r="N3337">
        <v>16.2297100029805</v>
      </c>
      <c r="O3337">
        <v>16.219807849474599</v>
      </c>
      <c r="P3337">
        <v>0.82712365564357504</v>
      </c>
      <c r="Q3337">
        <v>0.43675141948424201</v>
      </c>
      <c r="R3337">
        <v>1.21749589180291</v>
      </c>
      <c r="S3337">
        <v>15.2652175842295</v>
      </c>
      <c r="T3337">
        <v>4.4533213264103004</v>
      </c>
      <c r="U3337">
        <v>-8.2177318436126995E-2</v>
      </c>
      <c r="V3337">
        <v>3.1107149681133898E-4</v>
      </c>
      <c r="W3337">
        <v>7.55393022853803E-3</v>
      </c>
      <c r="X3337">
        <v>0</v>
      </c>
      <c r="Y3337">
        <v>0</v>
      </c>
    </row>
    <row r="3338" spans="1:25" x14ac:dyDescent="0.2">
      <c r="A3338" t="s">
        <v>12324</v>
      </c>
      <c r="B3338" t="s">
        <v>12325</v>
      </c>
      <c r="C3338" t="s">
        <v>12326</v>
      </c>
      <c r="D3338" t="s">
        <v>12327</v>
      </c>
      <c r="E3338" t="s">
        <v>12325</v>
      </c>
      <c r="F3338" t="s">
        <v>28</v>
      </c>
      <c r="G3338" t="s">
        <v>12325</v>
      </c>
      <c r="H3338" t="str">
        <f>"dcap-1"</f>
        <v>dcap-1</v>
      </c>
      <c r="I3338" t="s">
        <v>12327</v>
      </c>
      <c r="J3338">
        <v>13.5933391512183</v>
      </c>
      <c r="K3338">
        <v>13.831502248622099</v>
      </c>
      <c r="L3338">
        <v>13.6590754445411</v>
      </c>
      <c r="M3338">
        <v>15.5431061819506</v>
      </c>
      <c r="N3338">
        <v>16.0786394343232</v>
      </c>
      <c r="O3338">
        <v>15.6855737291807</v>
      </c>
      <c r="P3338">
        <v>2.07446750035766</v>
      </c>
      <c r="Q3338">
        <v>1.2740242491434599</v>
      </c>
      <c r="R3338">
        <v>2.8749107515718602</v>
      </c>
      <c r="S3338">
        <v>14.816122265869801</v>
      </c>
      <c r="T3338">
        <v>5.4471407993531402</v>
      </c>
      <c r="U3338">
        <v>2.0694987805288099</v>
      </c>
      <c r="V3338" s="2">
        <v>3.6374132965845902E-5</v>
      </c>
      <c r="W3338">
        <v>1.3450162348961599E-3</v>
      </c>
      <c r="X3338">
        <v>1</v>
      </c>
      <c r="Y3338">
        <v>1</v>
      </c>
    </row>
    <row r="3339" spans="1:25" x14ac:dyDescent="0.2">
      <c r="A3339" t="s">
        <v>12328</v>
      </c>
      <c r="B3339" t="s">
        <v>12329</v>
      </c>
      <c r="C3339" t="s">
        <v>12330</v>
      </c>
      <c r="D3339" t="s">
        <v>93</v>
      </c>
      <c r="E3339" t="s">
        <v>12329</v>
      </c>
      <c r="F3339" t="s">
        <v>28</v>
      </c>
      <c r="G3339" t="s">
        <v>12329</v>
      </c>
      <c r="H3339" t="str">
        <f>"rbm-39"</f>
        <v>rbm-39</v>
      </c>
      <c r="I3339" t="s">
        <v>93</v>
      </c>
      <c r="J3339">
        <v>16.079845444456101</v>
      </c>
      <c r="K3339">
        <v>15.5890036156392</v>
      </c>
      <c r="L3339">
        <v>15.626531003328401</v>
      </c>
      <c r="M3339">
        <v>15.225349974427299</v>
      </c>
      <c r="N3339">
        <v>14.6699023526958</v>
      </c>
      <c r="O3339">
        <v>15.965907737938799</v>
      </c>
      <c r="P3339">
        <v>-0.47807333278724501</v>
      </c>
      <c r="Q3339">
        <v>-1.2891549276021099</v>
      </c>
      <c r="R3339">
        <v>0.33300826202761802</v>
      </c>
      <c r="S3339">
        <v>15.841758179470199</v>
      </c>
      <c r="T3339">
        <v>-1.23886072769787</v>
      </c>
      <c r="U3339">
        <v>-6.2806436873538498</v>
      </c>
      <c r="V3339">
        <v>0.23140142125832899</v>
      </c>
      <c r="W3339">
        <v>0.50198681651640198</v>
      </c>
      <c r="X3339">
        <v>0</v>
      </c>
      <c r="Y3339">
        <v>0</v>
      </c>
    </row>
    <row r="3340" spans="1:25" x14ac:dyDescent="0.2">
      <c r="A3340" t="s">
        <v>12331</v>
      </c>
      <c r="B3340" t="s">
        <v>12332</v>
      </c>
      <c r="C3340" t="s">
        <v>12333</v>
      </c>
      <c r="D3340" t="s">
        <v>12334</v>
      </c>
      <c r="E3340" t="s">
        <v>12332</v>
      </c>
      <c r="F3340" t="s">
        <v>28</v>
      </c>
      <c r="G3340" t="s">
        <v>12332</v>
      </c>
      <c r="H3340" t="str">
        <f>"atg-3"</f>
        <v>atg-3</v>
      </c>
      <c r="I3340" t="s">
        <v>12334</v>
      </c>
      <c r="J3340" t="s">
        <v>29</v>
      </c>
      <c r="K3340" t="s">
        <v>29</v>
      </c>
      <c r="L3340">
        <v>11.544524448746699</v>
      </c>
      <c r="M3340" t="s">
        <v>29</v>
      </c>
      <c r="N3340">
        <v>12.443568412290899</v>
      </c>
      <c r="O3340" t="s">
        <v>29</v>
      </c>
      <c r="P3340">
        <v>0.899043963544228</v>
      </c>
      <c r="Q3340">
        <v>0.117199323691716</v>
      </c>
      <c r="R3340">
        <v>1.6808886033967401</v>
      </c>
      <c r="S3340">
        <v>11.8317492686534</v>
      </c>
      <c r="T3340">
        <v>2.6578237499509898</v>
      </c>
      <c r="U3340">
        <v>-3.75330602694175</v>
      </c>
      <c r="V3340">
        <v>2.92388534506265E-2</v>
      </c>
      <c r="W3340">
        <v>0.16822941267366101</v>
      </c>
      <c r="X3340">
        <v>0</v>
      </c>
      <c r="Y3340">
        <v>0</v>
      </c>
    </row>
    <row r="3341" spans="1:25" x14ac:dyDescent="0.2">
      <c r="A3341" t="s">
        <v>12335</v>
      </c>
      <c r="B3341" t="s">
        <v>12336</v>
      </c>
      <c r="C3341" t="s">
        <v>14174</v>
      </c>
      <c r="D3341" t="s">
        <v>416</v>
      </c>
      <c r="E3341" t="s">
        <v>12336</v>
      </c>
      <c r="F3341" t="s">
        <v>28</v>
      </c>
      <c r="G3341" t="s">
        <v>12336</v>
      </c>
      <c r="H3341" t="str">
        <f>"Y55F3AM.9"</f>
        <v>Y55F3AM.9</v>
      </c>
      <c r="I3341" t="s">
        <v>416</v>
      </c>
      <c r="J3341">
        <v>11.632250062475901</v>
      </c>
      <c r="K3341" t="s">
        <v>29</v>
      </c>
      <c r="L3341">
        <v>11.243748697673</v>
      </c>
      <c r="M3341">
        <v>13.7437217747789</v>
      </c>
      <c r="N3341">
        <v>13.817139698297501</v>
      </c>
      <c r="O3341">
        <v>13.754280578283099</v>
      </c>
      <c r="P3341">
        <v>2.3337146370453898</v>
      </c>
      <c r="Q3341">
        <v>1.43359534928004</v>
      </c>
      <c r="R3341">
        <v>3.2338339248107402</v>
      </c>
      <c r="S3341">
        <v>12.762657337754201</v>
      </c>
      <c r="T3341">
        <v>5.6544802922619697</v>
      </c>
      <c r="U3341">
        <v>1.31615699747417</v>
      </c>
      <c r="V3341">
        <v>1.10112178475153E-4</v>
      </c>
      <c r="W3341">
        <v>3.3606027482851802E-3</v>
      </c>
      <c r="X3341">
        <v>1</v>
      </c>
      <c r="Y3341">
        <v>1</v>
      </c>
    </row>
    <row r="3342" spans="1:25" x14ac:dyDescent="0.2">
      <c r="A3342" t="s">
        <v>12337</v>
      </c>
      <c r="B3342" t="s">
        <v>12338</v>
      </c>
      <c r="C3342" t="s">
        <v>12339</v>
      </c>
      <c r="D3342" t="s">
        <v>12340</v>
      </c>
      <c r="E3342" t="s">
        <v>12338</v>
      </c>
      <c r="F3342" t="s">
        <v>28</v>
      </c>
      <c r="G3342" t="s">
        <v>12338</v>
      </c>
      <c r="H3342" t="str">
        <f>"lep-2"</f>
        <v>lep-2</v>
      </c>
      <c r="I3342" t="s">
        <v>12340</v>
      </c>
      <c r="J3342">
        <v>11.1441277245683</v>
      </c>
      <c r="K3342">
        <v>11.275980326547501</v>
      </c>
      <c r="L3342" t="s">
        <v>29</v>
      </c>
      <c r="M3342">
        <v>11.2381909924762</v>
      </c>
      <c r="N3342">
        <v>11.618646179556</v>
      </c>
      <c r="O3342">
        <v>11.4740932596254</v>
      </c>
      <c r="P3342">
        <v>0.233589451661329</v>
      </c>
      <c r="Q3342">
        <v>-0.39083906778940197</v>
      </c>
      <c r="R3342">
        <v>0.85801797111206002</v>
      </c>
      <c r="S3342">
        <v>12.216053614925499</v>
      </c>
      <c r="T3342">
        <v>0.79345084443106795</v>
      </c>
      <c r="U3342">
        <v>-6.6163671451991899</v>
      </c>
      <c r="V3342">
        <v>0.4391998615412</v>
      </c>
      <c r="W3342">
        <v>0.70715306751858698</v>
      </c>
      <c r="X3342">
        <v>0</v>
      </c>
      <c r="Y3342">
        <v>0</v>
      </c>
    </row>
    <row r="3343" spans="1:25" x14ac:dyDescent="0.2">
      <c r="A3343" t="s">
        <v>12341</v>
      </c>
      <c r="B3343" t="s">
        <v>12342</v>
      </c>
      <c r="C3343" t="s">
        <v>14665</v>
      </c>
      <c r="D3343" t="s">
        <v>587</v>
      </c>
      <c r="E3343" t="s">
        <v>12342</v>
      </c>
      <c r="F3343" t="s">
        <v>28</v>
      </c>
      <c r="G3343" t="s">
        <v>12342</v>
      </c>
      <c r="H3343" t="str">
        <f>"Y54F10AR.2"</f>
        <v>Y54F10AR.2</v>
      </c>
      <c r="I3343" t="s">
        <v>587</v>
      </c>
      <c r="J3343">
        <v>13.5263252227448</v>
      </c>
      <c r="K3343">
        <v>13.1945453131005</v>
      </c>
      <c r="L3343">
        <v>13.472577156937399</v>
      </c>
      <c r="M3343">
        <v>13.4541647187677</v>
      </c>
      <c r="N3343">
        <v>13.904432480818899</v>
      </c>
      <c r="O3343">
        <v>13.3588414807821</v>
      </c>
      <c r="P3343">
        <v>0.17466366252865001</v>
      </c>
      <c r="Q3343">
        <v>-0.34552278804785502</v>
      </c>
      <c r="R3343">
        <v>0.69485011310515399</v>
      </c>
      <c r="S3343">
        <v>13.4923410469797</v>
      </c>
      <c r="T3343">
        <v>0.70875076387296199</v>
      </c>
      <c r="U3343">
        <v>-6.7918880506535402</v>
      </c>
      <c r="V3343">
        <v>0.48814432269642999</v>
      </c>
      <c r="W3343">
        <v>0.74195019062289802</v>
      </c>
      <c r="X3343">
        <v>0</v>
      </c>
      <c r="Y3343">
        <v>0</v>
      </c>
    </row>
    <row r="3344" spans="1:25" x14ac:dyDescent="0.2">
      <c r="A3344" t="s">
        <v>12343</v>
      </c>
      <c r="B3344" t="s">
        <v>12344</v>
      </c>
      <c r="C3344" t="s">
        <v>12345</v>
      </c>
      <c r="D3344" t="s">
        <v>12346</v>
      </c>
      <c r="E3344" t="s">
        <v>12344</v>
      </c>
      <c r="F3344" t="s">
        <v>28</v>
      </c>
      <c r="G3344" t="s">
        <v>12344</v>
      </c>
      <c r="H3344" t="str">
        <f>"rpb-7"</f>
        <v>rpb-7</v>
      </c>
      <c r="I3344" t="s">
        <v>12346</v>
      </c>
      <c r="J3344">
        <v>14.6071881246038</v>
      </c>
      <c r="K3344">
        <v>14.488820958945301</v>
      </c>
      <c r="L3344">
        <v>14.503235282617901</v>
      </c>
      <c r="M3344">
        <v>14.2214677917644</v>
      </c>
      <c r="N3344">
        <v>13.8799794151724</v>
      </c>
      <c r="O3344">
        <v>13.8259824774869</v>
      </c>
      <c r="P3344">
        <v>-0.55727156058107297</v>
      </c>
      <c r="Q3344">
        <v>-1.2822569650844</v>
      </c>
      <c r="R3344">
        <v>0.167713843922256</v>
      </c>
      <c r="S3344">
        <v>13.5319196731811</v>
      </c>
      <c r="T3344">
        <v>-1.61558618152214</v>
      </c>
      <c r="U3344">
        <v>-5.7758928948197301</v>
      </c>
      <c r="V3344">
        <v>0.123676498344406</v>
      </c>
      <c r="W3344">
        <v>0.36430536560900101</v>
      </c>
      <c r="X3344">
        <v>0</v>
      </c>
      <c r="Y3344">
        <v>0</v>
      </c>
    </row>
    <row r="3345" spans="1:25" x14ac:dyDescent="0.2">
      <c r="A3345" t="s">
        <v>12347</v>
      </c>
      <c r="B3345" t="s">
        <v>12348</v>
      </c>
      <c r="C3345" t="s">
        <v>12349</v>
      </c>
      <c r="D3345" t="s">
        <v>12350</v>
      </c>
      <c r="E3345" t="s">
        <v>12348</v>
      </c>
      <c r="F3345" t="s">
        <v>28</v>
      </c>
      <c r="G3345" t="s">
        <v>12348</v>
      </c>
      <c r="H3345" t="str">
        <f>"sec-11"</f>
        <v>sec-11</v>
      </c>
      <c r="I3345" t="s">
        <v>12350</v>
      </c>
      <c r="J3345">
        <v>12.3567727787681</v>
      </c>
      <c r="K3345">
        <v>14.415372186775899</v>
      </c>
      <c r="L3345">
        <v>14.6049088881825</v>
      </c>
      <c r="M3345">
        <v>13.843832666157599</v>
      </c>
      <c r="N3345">
        <v>13.905738119605401</v>
      </c>
      <c r="O3345">
        <v>13.7856127713882</v>
      </c>
      <c r="P3345">
        <v>5.2709901141554397E-2</v>
      </c>
      <c r="Q3345">
        <v>-0.90710959717621598</v>
      </c>
      <c r="R3345">
        <v>1.0125293994593201</v>
      </c>
      <c r="S3345">
        <v>14.2634901845343</v>
      </c>
      <c r="T3345">
        <v>0.115423741139407</v>
      </c>
      <c r="U3345">
        <v>-7.0451071470456199</v>
      </c>
      <c r="V3345">
        <v>0.90939459941442102</v>
      </c>
      <c r="W3345">
        <v>0.96798538961646996</v>
      </c>
      <c r="X3345">
        <v>0</v>
      </c>
      <c r="Y3345">
        <v>0</v>
      </c>
    </row>
    <row r="3346" spans="1:25" x14ac:dyDescent="0.2">
      <c r="A3346" t="s">
        <v>12351</v>
      </c>
      <c r="B3346" t="s">
        <v>12352</v>
      </c>
      <c r="C3346" t="s">
        <v>14666</v>
      </c>
      <c r="D3346" t="s">
        <v>12353</v>
      </c>
      <c r="E3346" t="s">
        <v>12352</v>
      </c>
      <c r="F3346" t="s">
        <v>28</v>
      </c>
      <c r="G3346" t="s">
        <v>12352</v>
      </c>
      <c r="H3346" t="str">
        <f>"Y54E10BR.4"</f>
        <v>Y54E10BR.4</v>
      </c>
      <c r="I3346" t="s">
        <v>12353</v>
      </c>
      <c r="J3346" t="s">
        <v>29</v>
      </c>
      <c r="K3346" t="s">
        <v>29</v>
      </c>
      <c r="L3346" t="s">
        <v>29</v>
      </c>
      <c r="M3346" t="s">
        <v>29</v>
      </c>
      <c r="N3346" t="s">
        <v>29</v>
      </c>
      <c r="O3346" t="s">
        <v>29</v>
      </c>
      <c r="P3346" t="s">
        <v>29</v>
      </c>
      <c r="Q3346" t="s">
        <v>29</v>
      </c>
      <c r="R3346" t="s">
        <v>29</v>
      </c>
      <c r="S3346">
        <v>10.709771804039899</v>
      </c>
      <c r="T3346" t="s">
        <v>29</v>
      </c>
      <c r="U3346" t="s">
        <v>29</v>
      </c>
      <c r="V3346" t="s">
        <v>29</v>
      </c>
      <c r="W3346" t="s">
        <v>29</v>
      </c>
      <c r="X3346" t="s">
        <v>29</v>
      </c>
      <c r="Y3346" t="s">
        <v>29</v>
      </c>
    </row>
    <row r="3347" spans="1:25" x14ac:dyDescent="0.2">
      <c r="A3347" t="s">
        <v>12354</v>
      </c>
      <c r="B3347" t="s">
        <v>12355</v>
      </c>
      <c r="C3347" t="s">
        <v>12356</v>
      </c>
      <c r="D3347" t="s">
        <v>12357</v>
      </c>
      <c r="E3347" t="s">
        <v>12355</v>
      </c>
      <c r="F3347" t="s">
        <v>28</v>
      </c>
      <c r="G3347" t="s">
        <v>12355</v>
      </c>
      <c r="H3347" t="str">
        <f>"nduf-5"</f>
        <v>nduf-5</v>
      </c>
      <c r="I3347" t="s">
        <v>12357</v>
      </c>
      <c r="J3347">
        <v>13.261900024889099</v>
      </c>
      <c r="K3347">
        <v>13.185914859527401</v>
      </c>
      <c r="L3347">
        <v>12.582312818526701</v>
      </c>
      <c r="M3347">
        <v>11.6703064671267</v>
      </c>
      <c r="N3347" t="s">
        <v>29</v>
      </c>
      <c r="O3347">
        <v>14.010676830302501</v>
      </c>
      <c r="P3347">
        <v>-0.16955091893313501</v>
      </c>
      <c r="Q3347">
        <v>-1.3036440377524601</v>
      </c>
      <c r="R3347">
        <v>0.96454219988619305</v>
      </c>
      <c r="S3347">
        <v>13.156512026489599</v>
      </c>
      <c r="T3347">
        <v>-0.31885485816647002</v>
      </c>
      <c r="U3347">
        <v>-6.8878660625230603</v>
      </c>
      <c r="V3347">
        <v>0.75426413023993599</v>
      </c>
      <c r="W3347">
        <v>0.89622329849883298</v>
      </c>
      <c r="X3347">
        <v>0</v>
      </c>
      <c r="Y3347">
        <v>0</v>
      </c>
    </row>
    <row r="3348" spans="1:25" x14ac:dyDescent="0.2">
      <c r="A3348" t="s">
        <v>12358</v>
      </c>
      <c r="B3348" t="s">
        <v>12359</v>
      </c>
      <c r="C3348" t="s">
        <v>12360</v>
      </c>
      <c r="D3348" t="s">
        <v>12361</v>
      </c>
      <c r="E3348" t="s">
        <v>12359</v>
      </c>
      <c r="F3348" t="s">
        <v>28</v>
      </c>
      <c r="G3348" t="s">
        <v>12359</v>
      </c>
      <c r="H3348" t="str">
        <f>"mab-31"</f>
        <v>mab-31</v>
      </c>
      <c r="I3348" t="s">
        <v>12361</v>
      </c>
      <c r="J3348">
        <v>11.8813441025611</v>
      </c>
      <c r="K3348">
        <v>12.3914904673819</v>
      </c>
      <c r="L3348">
        <v>12.318444748912199</v>
      </c>
      <c r="M3348">
        <v>12.5108673543546</v>
      </c>
      <c r="N3348">
        <v>13.098610208863001</v>
      </c>
      <c r="O3348">
        <v>12.340197295699401</v>
      </c>
      <c r="P3348">
        <v>0.45279851335392302</v>
      </c>
      <c r="Q3348">
        <v>-0.23882070255024901</v>
      </c>
      <c r="R3348">
        <v>1.1444177292580899</v>
      </c>
      <c r="S3348">
        <v>12.986288234292701</v>
      </c>
      <c r="T3348">
        <v>1.3886329652790099</v>
      </c>
      <c r="U3348">
        <v>-6.0923525093520396</v>
      </c>
      <c r="V3348">
        <v>0.184097446388963</v>
      </c>
      <c r="W3348">
        <v>0.44783395955828897</v>
      </c>
      <c r="X3348">
        <v>0</v>
      </c>
      <c r="Y3348">
        <v>0</v>
      </c>
    </row>
    <row r="3349" spans="1:25" x14ac:dyDescent="0.2">
      <c r="A3349" t="s">
        <v>12362</v>
      </c>
      <c r="B3349" t="s">
        <v>12363</v>
      </c>
      <c r="C3349" t="s">
        <v>12364</v>
      </c>
      <c r="D3349" t="s">
        <v>66</v>
      </c>
      <c r="E3349" t="s">
        <v>12363</v>
      </c>
      <c r="F3349" t="s">
        <v>28</v>
      </c>
      <c r="G3349" t="s">
        <v>12363</v>
      </c>
      <c r="H3349" t="str">
        <f>"syp-5"</f>
        <v>syp-5</v>
      </c>
      <c r="I3349" t="s">
        <v>66</v>
      </c>
      <c r="J3349" t="s">
        <v>29</v>
      </c>
      <c r="K3349" t="s">
        <v>29</v>
      </c>
      <c r="L3349" t="s">
        <v>29</v>
      </c>
      <c r="M3349" t="s">
        <v>29</v>
      </c>
      <c r="N3349" t="s">
        <v>29</v>
      </c>
      <c r="O3349" t="s">
        <v>29</v>
      </c>
      <c r="P3349" t="s">
        <v>29</v>
      </c>
      <c r="Q3349" t="s">
        <v>29</v>
      </c>
      <c r="R3349" t="s">
        <v>29</v>
      </c>
      <c r="S3349">
        <v>11.438599625527299</v>
      </c>
      <c r="T3349" t="s">
        <v>29</v>
      </c>
      <c r="U3349" t="s">
        <v>29</v>
      </c>
      <c r="V3349" t="s">
        <v>29</v>
      </c>
      <c r="W3349" t="s">
        <v>29</v>
      </c>
      <c r="X3349" t="s">
        <v>29</v>
      </c>
      <c r="Y3349" t="s">
        <v>29</v>
      </c>
    </row>
    <row r="3350" spans="1:25" x14ac:dyDescent="0.2">
      <c r="A3350" t="s">
        <v>12365</v>
      </c>
      <c r="B3350" t="s">
        <v>12366</v>
      </c>
      <c r="C3350" t="s">
        <v>12367</v>
      </c>
      <c r="D3350" t="s">
        <v>12368</v>
      </c>
      <c r="E3350" t="s">
        <v>12366</v>
      </c>
      <c r="F3350" t="s">
        <v>28</v>
      </c>
      <c r="G3350" t="s">
        <v>12366</v>
      </c>
      <c r="H3350" t="str">
        <f>"Y54E10A.10"</f>
        <v>Y54E10A.10</v>
      </c>
      <c r="I3350" t="s">
        <v>12368</v>
      </c>
      <c r="J3350">
        <v>11.246600883037701</v>
      </c>
      <c r="K3350">
        <v>11.625765081108501</v>
      </c>
      <c r="L3350">
        <v>12.467915619481699</v>
      </c>
      <c r="M3350">
        <v>13.080838943212999</v>
      </c>
      <c r="N3350">
        <v>12.0268938466136</v>
      </c>
      <c r="O3350">
        <v>12.294106093826899</v>
      </c>
      <c r="P3350">
        <v>0.68718576667517794</v>
      </c>
      <c r="Q3350">
        <v>-0.26266420015301101</v>
      </c>
      <c r="R3350">
        <v>1.6370357335033701</v>
      </c>
      <c r="S3350">
        <v>13.193909366180399</v>
      </c>
      <c r="T3350">
        <v>1.5345062919614301</v>
      </c>
      <c r="U3350">
        <v>-5.8942950519434198</v>
      </c>
      <c r="V3350">
        <v>0.14456815217846999</v>
      </c>
      <c r="W3350">
        <v>0.39235134137466099</v>
      </c>
      <c r="X3350">
        <v>0</v>
      </c>
      <c r="Y3350">
        <v>0</v>
      </c>
    </row>
    <row r="3351" spans="1:25" x14ac:dyDescent="0.2">
      <c r="A3351" t="s">
        <v>12369</v>
      </c>
      <c r="B3351" t="s">
        <v>12370</v>
      </c>
      <c r="C3351" t="s">
        <v>14667</v>
      </c>
      <c r="D3351" t="s">
        <v>12371</v>
      </c>
      <c r="E3351" t="s">
        <v>12370</v>
      </c>
      <c r="F3351" t="s">
        <v>28</v>
      </c>
      <c r="G3351" t="s">
        <v>12370</v>
      </c>
      <c r="H3351" t="str">
        <f>"Y54E10A.6"</f>
        <v>Y54E10A.6</v>
      </c>
      <c r="I3351" t="s">
        <v>12371</v>
      </c>
      <c r="J3351">
        <v>13.523088517426499</v>
      </c>
      <c r="K3351">
        <v>13.414331438590599</v>
      </c>
      <c r="L3351">
        <v>13.3552623787496</v>
      </c>
      <c r="M3351">
        <v>12.7582678734715</v>
      </c>
      <c r="N3351">
        <v>13.407111700433401</v>
      </c>
      <c r="O3351">
        <v>12.834334484086799</v>
      </c>
      <c r="P3351">
        <v>-0.43098942559165598</v>
      </c>
      <c r="Q3351">
        <v>-0.83535319429386601</v>
      </c>
      <c r="R3351">
        <v>-2.6625656889446399E-2</v>
      </c>
      <c r="S3351">
        <v>13.195486830835099</v>
      </c>
      <c r="T3351">
        <v>-2.2498024863230501</v>
      </c>
      <c r="U3351">
        <v>-4.7270518913720299</v>
      </c>
      <c r="V3351">
        <v>3.80862130536112E-2</v>
      </c>
      <c r="W3351">
        <v>0.193788380672582</v>
      </c>
      <c r="X3351">
        <v>0</v>
      </c>
      <c r="Y3351">
        <v>0</v>
      </c>
    </row>
    <row r="3352" spans="1:25" x14ac:dyDescent="0.2">
      <c r="A3352" t="s">
        <v>12372</v>
      </c>
      <c r="B3352" t="s">
        <v>12373</v>
      </c>
      <c r="C3352" t="s">
        <v>12374</v>
      </c>
      <c r="D3352" t="s">
        <v>12375</v>
      </c>
      <c r="E3352" t="s">
        <v>12373</v>
      </c>
      <c r="F3352" t="s">
        <v>28</v>
      </c>
      <c r="G3352" t="s">
        <v>12373</v>
      </c>
      <c r="H3352" t="str">
        <f>"mrpl-17"</f>
        <v>mrpl-17</v>
      </c>
      <c r="I3352" t="s">
        <v>12375</v>
      </c>
      <c r="J3352" t="s">
        <v>29</v>
      </c>
      <c r="K3352" t="s">
        <v>29</v>
      </c>
      <c r="L3352" t="s">
        <v>29</v>
      </c>
      <c r="M3352" t="s">
        <v>29</v>
      </c>
      <c r="N3352" t="s">
        <v>29</v>
      </c>
      <c r="O3352" t="s">
        <v>29</v>
      </c>
      <c r="P3352" t="s">
        <v>29</v>
      </c>
      <c r="Q3352" t="s">
        <v>29</v>
      </c>
      <c r="R3352" t="s">
        <v>29</v>
      </c>
      <c r="S3352">
        <v>10.065829146078</v>
      </c>
      <c r="T3352" t="s">
        <v>29</v>
      </c>
      <c r="U3352" t="s">
        <v>29</v>
      </c>
      <c r="V3352" t="s">
        <v>29</v>
      </c>
      <c r="W3352" t="s">
        <v>29</v>
      </c>
      <c r="X3352" t="s">
        <v>29</v>
      </c>
      <c r="Y3352" t="s">
        <v>29</v>
      </c>
    </row>
    <row r="3353" spans="1:25" x14ac:dyDescent="0.2">
      <c r="A3353" t="s">
        <v>12376</v>
      </c>
      <c r="B3353" t="s">
        <v>12377</v>
      </c>
      <c r="C3353" t="s">
        <v>14668</v>
      </c>
      <c r="D3353" t="s">
        <v>252</v>
      </c>
      <c r="E3353" t="s">
        <v>12377</v>
      </c>
      <c r="F3353" t="s">
        <v>28</v>
      </c>
      <c r="G3353" t="s">
        <v>12377</v>
      </c>
      <c r="H3353" t="str">
        <f>"Y53G8AR.9"</f>
        <v>Y53G8AR.9</v>
      </c>
      <c r="I3353" t="s">
        <v>252</v>
      </c>
      <c r="J3353">
        <v>13.5182480219336</v>
      </c>
      <c r="K3353">
        <v>14.5111699180899</v>
      </c>
      <c r="L3353">
        <v>14.5134894862449</v>
      </c>
      <c r="M3353">
        <v>13.7712818375935</v>
      </c>
      <c r="N3353">
        <v>13.130102439930999</v>
      </c>
      <c r="O3353">
        <v>14.3857069064647</v>
      </c>
      <c r="P3353">
        <v>-0.41860541409306501</v>
      </c>
      <c r="Q3353">
        <v>-1.1304626238189901</v>
      </c>
      <c r="R3353">
        <v>0.29325179563285497</v>
      </c>
      <c r="S3353">
        <v>14.8526699541887</v>
      </c>
      <c r="T3353">
        <v>-1.23596014388622</v>
      </c>
      <c r="U3353">
        <v>-6.2841069445444804</v>
      </c>
      <c r="V3353">
        <v>0.232452180578716</v>
      </c>
      <c r="W3353">
        <v>0.50259096053365004</v>
      </c>
      <c r="X3353">
        <v>0</v>
      </c>
      <c r="Y3353">
        <v>0</v>
      </c>
    </row>
    <row r="3354" spans="1:25" x14ac:dyDescent="0.2">
      <c r="A3354" t="s">
        <v>12378</v>
      </c>
      <c r="B3354" t="s">
        <v>12379</v>
      </c>
      <c r="C3354" t="s">
        <v>14669</v>
      </c>
      <c r="D3354" t="s">
        <v>12380</v>
      </c>
      <c r="E3354" t="s">
        <v>12379</v>
      </c>
      <c r="F3354" t="s">
        <v>28</v>
      </c>
      <c r="G3354" t="s">
        <v>12379</v>
      </c>
      <c r="H3354" t="str">
        <f>"Y53G8AR.8"</f>
        <v>Y53G8AR.8</v>
      </c>
      <c r="I3354" t="s">
        <v>12380</v>
      </c>
      <c r="J3354">
        <v>13.3952377359576</v>
      </c>
      <c r="K3354">
        <v>13.6928869903182</v>
      </c>
      <c r="L3354">
        <v>13.6787063846739</v>
      </c>
      <c r="M3354">
        <v>12.3563119397093</v>
      </c>
      <c r="N3354">
        <v>13.2064615732679</v>
      </c>
      <c r="O3354">
        <v>12.705521694426899</v>
      </c>
      <c r="P3354">
        <v>-0.83284530118184796</v>
      </c>
      <c r="Q3354">
        <v>-1.4695014703598499</v>
      </c>
      <c r="R3354">
        <v>-0.196189132003846</v>
      </c>
      <c r="S3354">
        <v>13.5810138492054</v>
      </c>
      <c r="T3354">
        <v>-2.7494884602207499</v>
      </c>
      <c r="U3354">
        <v>-3.7522521424633899</v>
      </c>
      <c r="V3354">
        <v>1.3235841642126E-2</v>
      </c>
      <c r="W3354">
        <v>0.106607496790787</v>
      </c>
      <c r="X3354">
        <v>0</v>
      </c>
      <c r="Y3354">
        <v>0</v>
      </c>
    </row>
    <row r="3355" spans="1:25" x14ac:dyDescent="0.2">
      <c r="A3355" t="s">
        <v>12381</v>
      </c>
      <c r="B3355" t="s">
        <v>12382</v>
      </c>
      <c r="C3355" t="s">
        <v>12383</v>
      </c>
      <c r="D3355" t="s">
        <v>107</v>
      </c>
      <c r="E3355" t="s">
        <v>12382</v>
      </c>
      <c r="F3355" t="s">
        <v>28</v>
      </c>
      <c r="G3355" t="s">
        <v>12382</v>
      </c>
      <c r="H3355" t="str">
        <f>"mfsd-8"</f>
        <v>mfsd-8</v>
      </c>
      <c r="I3355" t="s">
        <v>107</v>
      </c>
      <c r="J3355">
        <v>10.271101074097899</v>
      </c>
      <c r="K3355">
        <v>10.601248666748001</v>
      </c>
      <c r="L3355">
        <v>11.9401863170262</v>
      </c>
      <c r="M3355">
        <v>10.9042011829975</v>
      </c>
      <c r="N3355" t="s">
        <v>29</v>
      </c>
      <c r="O3355" t="s">
        <v>29</v>
      </c>
      <c r="P3355">
        <v>-3.3310836293189497E-2</v>
      </c>
      <c r="Q3355">
        <v>-1.23293604681047</v>
      </c>
      <c r="R3355">
        <v>1.16631437422409</v>
      </c>
      <c r="S3355">
        <v>11.2670851238009</v>
      </c>
      <c r="T3355">
        <v>-6.1959348499311E-2</v>
      </c>
      <c r="U3355">
        <v>-6.7070889698998002</v>
      </c>
      <c r="V3355">
        <v>0.95182884888966501</v>
      </c>
      <c r="W3355">
        <v>0.97752358457809096</v>
      </c>
      <c r="X3355">
        <v>0</v>
      </c>
      <c r="Y3355">
        <v>0</v>
      </c>
    </row>
    <row r="3356" spans="1:25" x14ac:dyDescent="0.2">
      <c r="A3356" t="s">
        <v>12384</v>
      </c>
      <c r="B3356" t="s">
        <v>12385</v>
      </c>
      <c r="C3356" t="s">
        <v>12386</v>
      </c>
      <c r="D3356" t="s">
        <v>12387</v>
      </c>
      <c r="E3356" t="s">
        <v>12385</v>
      </c>
      <c r="F3356" t="s">
        <v>28</v>
      </c>
      <c r="G3356" t="s">
        <v>12385</v>
      </c>
      <c r="H3356" t="str">
        <f>"nduf-9"</f>
        <v>nduf-9</v>
      </c>
      <c r="I3356" t="s">
        <v>12387</v>
      </c>
      <c r="J3356">
        <v>15.868065849777601</v>
      </c>
      <c r="K3356">
        <v>15.939336198620399</v>
      </c>
      <c r="L3356">
        <v>15.9285268141956</v>
      </c>
      <c r="M3356">
        <v>15.0436283891696</v>
      </c>
      <c r="N3356">
        <v>15.491384723741501</v>
      </c>
      <c r="O3356">
        <v>15.562909949957801</v>
      </c>
      <c r="P3356">
        <v>-0.54600193324158597</v>
      </c>
      <c r="Q3356">
        <v>-1.0699857080358399</v>
      </c>
      <c r="R3356">
        <v>-2.2018158447332702E-2</v>
      </c>
      <c r="S3356">
        <v>16.224025730779701</v>
      </c>
      <c r="T3356">
        <v>-2.1901247565289701</v>
      </c>
      <c r="U3356">
        <v>-4.8271141649681102</v>
      </c>
      <c r="V3356">
        <v>4.2006669468661599E-2</v>
      </c>
      <c r="W3356">
        <v>0.202466316595799</v>
      </c>
      <c r="X3356">
        <v>0</v>
      </c>
      <c r="Y3356">
        <v>0</v>
      </c>
    </row>
    <row r="3357" spans="1:25" x14ac:dyDescent="0.2">
      <c r="A3357" t="s">
        <v>12388</v>
      </c>
      <c r="B3357" t="s">
        <v>12389</v>
      </c>
      <c r="C3357" t="s">
        <v>12390</v>
      </c>
      <c r="D3357" t="s">
        <v>12391</v>
      </c>
      <c r="E3357" t="s">
        <v>12389</v>
      </c>
      <c r="F3357" t="s">
        <v>28</v>
      </c>
      <c r="G3357" t="s">
        <v>12389</v>
      </c>
      <c r="H3357" t="str">
        <f>"xpd-1"</f>
        <v>xpd-1</v>
      </c>
      <c r="I3357" t="s">
        <v>12391</v>
      </c>
      <c r="J3357">
        <v>13.6767833719928</v>
      </c>
      <c r="K3357">
        <v>14.511713363378799</v>
      </c>
      <c r="L3357">
        <v>13.5127878204078</v>
      </c>
      <c r="M3357">
        <v>14.9203829131988</v>
      </c>
      <c r="N3357">
        <v>15.046332244117499</v>
      </c>
      <c r="O3357">
        <v>15.034287710405399</v>
      </c>
      <c r="P3357">
        <v>1.09990610398077</v>
      </c>
      <c r="Q3357">
        <v>5.4069099702143797E-2</v>
      </c>
      <c r="R3357">
        <v>2.1457431082593899</v>
      </c>
      <c r="S3357">
        <v>13.7522842608057</v>
      </c>
      <c r="T3357">
        <v>2.2430203504474799</v>
      </c>
      <c r="U3357">
        <v>-4.7589976911232297</v>
      </c>
      <c r="V3357">
        <v>4.0541400133928998E-2</v>
      </c>
      <c r="W3357">
        <v>0.19929276699842499</v>
      </c>
      <c r="X3357">
        <v>1</v>
      </c>
      <c r="Y3357">
        <v>0</v>
      </c>
    </row>
    <row r="3358" spans="1:25" x14ac:dyDescent="0.2">
      <c r="A3358" t="s">
        <v>12392</v>
      </c>
      <c r="B3358" t="s">
        <v>12393</v>
      </c>
      <c r="C3358" t="s">
        <v>14670</v>
      </c>
      <c r="D3358" t="s">
        <v>12394</v>
      </c>
      <c r="E3358" t="s">
        <v>12393</v>
      </c>
      <c r="F3358" t="s">
        <v>28</v>
      </c>
      <c r="G3358" t="s">
        <v>12393</v>
      </c>
      <c r="H3358" t="str">
        <f>"Y50D7A.3"</f>
        <v>Y50D7A.3</v>
      </c>
      <c r="I3358" t="s">
        <v>12394</v>
      </c>
      <c r="J3358">
        <v>12.855035327928899</v>
      </c>
      <c r="K3358">
        <v>13.144878615639</v>
      </c>
      <c r="L3358">
        <v>12.917619167845301</v>
      </c>
      <c r="M3358">
        <v>13.0235945574999</v>
      </c>
      <c r="N3358">
        <v>13.3931679530795</v>
      </c>
      <c r="O3358">
        <v>12.684621998478599</v>
      </c>
      <c r="P3358">
        <v>6.1283799214967502E-2</v>
      </c>
      <c r="Q3358">
        <v>-0.35619171473133698</v>
      </c>
      <c r="R3358">
        <v>0.47875931316127202</v>
      </c>
      <c r="S3358">
        <v>13.063726737145499</v>
      </c>
      <c r="T3358">
        <v>0.309859407523285</v>
      </c>
      <c r="U3358">
        <v>-7.0017559020540601</v>
      </c>
      <c r="V3358">
        <v>0.76045717413739</v>
      </c>
      <c r="W3358">
        <v>0.89933527288875903</v>
      </c>
      <c r="X3358">
        <v>0</v>
      </c>
      <c r="Y3358">
        <v>0</v>
      </c>
    </row>
    <row r="3359" spans="1:25" x14ac:dyDescent="0.2">
      <c r="A3359" t="s">
        <v>12395</v>
      </c>
      <c r="B3359" t="s">
        <v>12396</v>
      </c>
      <c r="C3359" t="s">
        <v>14671</v>
      </c>
      <c r="D3359" t="s">
        <v>2432</v>
      </c>
      <c r="E3359" t="s">
        <v>12396</v>
      </c>
      <c r="F3359" t="s">
        <v>28</v>
      </c>
      <c r="G3359" t="s">
        <v>12396</v>
      </c>
      <c r="H3359" t="str">
        <f>"Y48G1A.1"</f>
        <v>Y48G1A.1</v>
      </c>
      <c r="I3359" t="s">
        <v>2432</v>
      </c>
      <c r="J3359">
        <v>12.5907737154121</v>
      </c>
      <c r="K3359">
        <v>12.558245007465599</v>
      </c>
      <c r="L3359">
        <v>12.4350444048196</v>
      </c>
      <c r="M3359">
        <v>13.608821391503</v>
      </c>
      <c r="N3359" t="s">
        <v>29</v>
      </c>
      <c r="O3359" t="s">
        <v>29</v>
      </c>
      <c r="P3359">
        <v>1.08080034893723</v>
      </c>
      <c r="Q3359">
        <v>0.50708501556456198</v>
      </c>
      <c r="R3359">
        <v>1.6545156823098901</v>
      </c>
      <c r="S3359">
        <v>12.714680061706501</v>
      </c>
      <c r="T3359">
        <v>4.1512291981350202</v>
      </c>
      <c r="U3359">
        <v>-1.20384920648246</v>
      </c>
      <c r="V3359">
        <v>1.64616413293138E-3</v>
      </c>
      <c r="W3359">
        <v>2.45716426080675E-2</v>
      </c>
      <c r="X3359">
        <v>1</v>
      </c>
      <c r="Y3359">
        <v>1</v>
      </c>
    </row>
    <row r="3360" spans="1:25" x14ac:dyDescent="0.2">
      <c r="A3360" t="s">
        <v>12397</v>
      </c>
      <c r="B3360" t="s">
        <v>12398</v>
      </c>
      <c r="C3360" t="s">
        <v>12399</v>
      </c>
      <c r="D3360" t="s">
        <v>12400</v>
      </c>
      <c r="E3360" t="s">
        <v>12398</v>
      </c>
      <c r="F3360" t="s">
        <v>28</v>
      </c>
      <c r="G3360" t="s">
        <v>12398</v>
      </c>
      <c r="H3360" t="str">
        <f>"nol-14"</f>
        <v>nol-14</v>
      </c>
      <c r="I3360" t="s">
        <v>12400</v>
      </c>
      <c r="J3360" t="s">
        <v>29</v>
      </c>
      <c r="K3360" t="s">
        <v>29</v>
      </c>
      <c r="L3360">
        <v>11.2621060153073</v>
      </c>
      <c r="M3360" t="s">
        <v>29</v>
      </c>
      <c r="N3360">
        <v>11.113847276367601</v>
      </c>
      <c r="O3360">
        <v>11.7826645884876</v>
      </c>
      <c r="P3360">
        <v>0.18614991712032</v>
      </c>
      <c r="Q3360">
        <v>-0.85687463706438705</v>
      </c>
      <c r="R3360">
        <v>1.2291744713050301</v>
      </c>
      <c r="S3360">
        <v>12.3884071409604</v>
      </c>
      <c r="T3360">
        <v>0.389236292553648</v>
      </c>
      <c r="U3360">
        <v>-6.5709322540436004</v>
      </c>
      <c r="V3360">
        <v>0.70397971733373399</v>
      </c>
      <c r="W3360">
        <v>0.86788140819986703</v>
      </c>
      <c r="X3360">
        <v>0</v>
      </c>
      <c r="Y3360">
        <v>0</v>
      </c>
    </row>
    <row r="3361" spans="1:25" x14ac:dyDescent="0.2">
      <c r="A3361" t="s">
        <v>12401</v>
      </c>
      <c r="B3361" t="s">
        <v>12402</v>
      </c>
      <c r="C3361" t="s">
        <v>12403</v>
      </c>
      <c r="D3361" t="s">
        <v>3898</v>
      </c>
      <c r="E3361" t="s">
        <v>12402</v>
      </c>
      <c r="F3361" t="s">
        <v>28</v>
      </c>
      <c r="G3361" t="s">
        <v>12402</v>
      </c>
      <c r="H3361" t="str">
        <f>"inx-22"</f>
        <v>inx-22</v>
      </c>
      <c r="I3361" t="s">
        <v>3898</v>
      </c>
      <c r="J3361" t="s">
        <v>29</v>
      </c>
      <c r="K3361" t="s">
        <v>29</v>
      </c>
      <c r="L3361" t="s">
        <v>29</v>
      </c>
      <c r="M3361" t="s">
        <v>29</v>
      </c>
      <c r="N3361" t="s">
        <v>29</v>
      </c>
      <c r="O3361" t="s">
        <v>29</v>
      </c>
      <c r="P3361" t="s">
        <v>29</v>
      </c>
      <c r="Q3361" t="s">
        <v>29</v>
      </c>
      <c r="R3361" t="s">
        <v>29</v>
      </c>
      <c r="S3361">
        <v>11.447136714162699</v>
      </c>
      <c r="T3361" t="s">
        <v>29</v>
      </c>
      <c r="U3361" t="s">
        <v>29</v>
      </c>
      <c r="V3361" t="s">
        <v>29</v>
      </c>
      <c r="W3361" t="s">
        <v>29</v>
      </c>
      <c r="X3361" t="s">
        <v>29</v>
      </c>
      <c r="Y3361" t="s">
        <v>29</v>
      </c>
    </row>
    <row r="3362" spans="1:25" x14ac:dyDescent="0.2">
      <c r="A3362" t="s">
        <v>12404</v>
      </c>
      <c r="B3362" t="s">
        <v>12405</v>
      </c>
      <c r="C3362" t="s">
        <v>12406</v>
      </c>
      <c r="D3362" t="s">
        <v>12407</v>
      </c>
      <c r="E3362" t="s">
        <v>12405</v>
      </c>
      <c r="F3362" t="s">
        <v>28</v>
      </c>
      <c r="G3362" t="s">
        <v>12405</v>
      </c>
      <c r="H3362" t="str">
        <f>"rnp-6"</f>
        <v>rnp-6</v>
      </c>
      <c r="I3362" t="s">
        <v>12407</v>
      </c>
      <c r="J3362">
        <v>13.3284581335329</v>
      </c>
      <c r="K3362">
        <v>13.1265569748986</v>
      </c>
      <c r="L3362">
        <v>12.954273881711099</v>
      </c>
      <c r="M3362">
        <v>12.5888285974111</v>
      </c>
      <c r="N3362">
        <v>12.6845050818656</v>
      </c>
      <c r="O3362">
        <v>12.973971071562501</v>
      </c>
      <c r="P3362">
        <v>-0.38732807976781602</v>
      </c>
      <c r="Q3362">
        <v>-0.98692234701488502</v>
      </c>
      <c r="R3362">
        <v>0.21226618747925399</v>
      </c>
      <c r="S3362">
        <v>13.391295567035099</v>
      </c>
      <c r="T3362">
        <v>-1.3577319067007401</v>
      </c>
      <c r="U3362">
        <v>-6.13293681590019</v>
      </c>
      <c r="V3362">
        <v>0.19142428945064299</v>
      </c>
      <c r="W3362">
        <v>0.45360467468545601</v>
      </c>
      <c r="X3362">
        <v>0</v>
      </c>
      <c r="Y3362">
        <v>0</v>
      </c>
    </row>
    <row r="3363" spans="1:25" x14ac:dyDescent="0.2">
      <c r="A3363" t="s">
        <v>12408</v>
      </c>
      <c r="B3363" t="s">
        <v>12409</v>
      </c>
      <c r="C3363" t="s">
        <v>14672</v>
      </c>
      <c r="D3363" t="s">
        <v>9943</v>
      </c>
      <c r="E3363" t="s">
        <v>12409</v>
      </c>
      <c r="F3363" t="s">
        <v>28</v>
      </c>
      <c r="G3363" t="s">
        <v>12409</v>
      </c>
      <c r="H3363" t="str">
        <f>"Y47G6A.5"</f>
        <v>Y47G6A.5</v>
      </c>
      <c r="I3363" t="s">
        <v>9943</v>
      </c>
      <c r="J3363">
        <v>11.9016296012508</v>
      </c>
      <c r="K3363">
        <v>12.3224106593056</v>
      </c>
      <c r="L3363">
        <v>11.8557893844236</v>
      </c>
      <c r="M3363">
        <v>11.7440631674852</v>
      </c>
      <c r="N3363">
        <v>12.226839515664</v>
      </c>
      <c r="O3363">
        <v>11.742227473351299</v>
      </c>
      <c r="P3363">
        <v>-0.122233162826495</v>
      </c>
      <c r="Q3363">
        <v>-0.53676509486938995</v>
      </c>
      <c r="R3363">
        <v>0.29229876921640002</v>
      </c>
      <c r="S3363">
        <v>11.6561058803891</v>
      </c>
      <c r="T3363">
        <v>-0.62543270664986805</v>
      </c>
      <c r="U3363">
        <v>-6.8482420394024803</v>
      </c>
      <c r="V3363">
        <v>0.54056354946297602</v>
      </c>
      <c r="W3363">
        <v>0.77501266500839605</v>
      </c>
      <c r="X3363">
        <v>0</v>
      </c>
      <c r="Y3363">
        <v>0</v>
      </c>
    </row>
    <row r="3364" spans="1:25" x14ac:dyDescent="0.2">
      <c r="A3364" t="s">
        <v>12410</v>
      </c>
      <c r="B3364" t="s">
        <v>12411</v>
      </c>
      <c r="C3364" t="s">
        <v>12412</v>
      </c>
      <c r="D3364" t="s">
        <v>12413</v>
      </c>
      <c r="E3364" t="s">
        <v>12411</v>
      </c>
      <c r="F3364" t="s">
        <v>28</v>
      </c>
      <c r="G3364" t="s">
        <v>12411</v>
      </c>
      <c r="H3364" t="str">
        <f>"pcaf-1"</f>
        <v>pcaf-1</v>
      </c>
      <c r="I3364" t="s">
        <v>12413</v>
      </c>
      <c r="J3364">
        <v>12.0046015556431</v>
      </c>
      <c r="K3364">
        <v>11.620687356072899</v>
      </c>
      <c r="L3364">
        <v>11.823513507664</v>
      </c>
      <c r="M3364" t="s">
        <v>29</v>
      </c>
      <c r="N3364">
        <v>12.505328769893101</v>
      </c>
      <c r="O3364">
        <v>11.819504990727401</v>
      </c>
      <c r="P3364">
        <v>0.34614940718354398</v>
      </c>
      <c r="Q3364">
        <v>-0.19603298751992401</v>
      </c>
      <c r="R3364">
        <v>0.888331801887013</v>
      </c>
      <c r="S3364">
        <v>12.2643881091503</v>
      </c>
      <c r="T3364">
        <v>1.36163211689812</v>
      </c>
      <c r="U3364">
        <v>-6.0181260577071898</v>
      </c>
      <c r="V3364">
        <v>0.193555513879099</v>
      </c>
      <c r="W3364">
        <v>0.45573780185426199</v>
      </c>
      <c r="X3364">
        <v>0</v>
      </c>
      <c r="Y3364">
        <v>0</v>
      </c>
    </row>
    <row r="3365" spans="1:25" x14ac:dyDescent="0.2">
      <c r="A3365" t="s">
        <v>12414</v>
      </c>
      <c r="B3365" t="s">
        <v>12415</v>
      </c>
      <c r="C3365" t="s">
        <v>14158</v>
      </c>
      <c r="D3365" t="s">
        <v>12416</v>
      </c>
      <c r="E3365" t="s">
        <v>12415</v>
      </c>
      <c r="F3365" t="s">
        <v>28</v>
      </c>
      <c r="G3365" t="s">
        <v>12415</v>
      </c>
      <c r="H3365" t="str">
        <f>"Y47G6A.18"</f>
        <v>Y47G6A.18</v>
      </c>
      <c r="I3365" t="s">
        <v>12416</v>
      </c>
      <c r="J3365" t="s">
        <v>29</v>
      </c>
      <c r="K3365" t="s">
        <v>29</v>
      </c>
      <c r="L3365" t="s">
        <v>29</v>
      </c>
      <c r="M3365">
        <v>13.704422765421199</v>
      </c>
      <c r="N3365" t="s">
        <v>29</v>
      </c>
      <c r="O3365">
        <v>12.9193142756538</v>
      </c>
      <c r="P3365" t="s">
        <v>29</v>
      </c>
      <c r="Q3365" t="s">
        <v>29</v>
      </c>
      <c r="R3365" t="s">
        <v>29</v>
      </c>
      <c r="S3365">
        <v>12.643570893039501</v>
      </c>
      <c r="T3365" t="s">
        <v>29</v>
      </c>
      <c r="U3365" t="s">
        <v>29</v>
      </c>
      <c r="V3365" t="s">
        <v>29</v>
      </c>
      <c r="W3365" t="s">
        <v>29</v>
      </c>
      <c r="X3365" t="s">
        <v>29</v>
      </c>
      <c r="Y3365" t="s">
        <v>29</v>
      </c>
    </row>
    <row r="3366" spans="1:25" x14ac:dyDescent="0.2">
      <c r="A3366" t="s">
        <v>12417</v>
      </c>
      <c r="B3366" t="s">
        <v>12418</v>
      </c>
      <c r="C3366" t="s">
        <v>12419</v>
      </c>
      <c r="D3366" t="s">
        <v>12420</v>
      </c>
      <c r="E3366" t="s">
        <v>12418</v>
      </c>
      <c r="F3366" t="s">
        <v>28</v>
      </c>
      <c r="G3366" t="s">
        <v>12418</v>
      </c>
      <c r="H3366" t="str">
        <f>"crn-1"</f>
        <v>crn-1</v>
      </c>
      <c r="I3366" t="s">
        <v>12420</v>
      </c>
      <c r="J3366">
        <v>11.4129962076947</v>
      </c>
      <c r="K3366">
        <v>11.745200484247601</v>
      </c>
      <c r="L3366">
        <v>11.7622138317628</v>
      </c>
      <c r="M3366" t="s">
        <v>29</v>
      </c>
      <c r="N3366">
        <v>12.437571083023199</v>
      </c>
      <c r="O3366">
        <v>10.0684364338679</v>
      </c>
      <c r="P3366">
        <v>-0.38713308278952901</v>
      </c>
      <c r="Q3366">
        <v>-1.52269984129462</v>
      </c>
      <c r="R3366">
        <v>0.74843367571556296</v>
      </c>
      <c r="S3366">
        <v>12.2851649942807</v>
      </c>
      <c r="T3366">
        <v>-0.73711433877111798</v>
      </c>
      <c r="U3366">
        <v>-6.65737638010956</v>
      </c>
      <c r="V3366">
        <v>0.47425191224416602</v>
      </c>
      <c r="W3366">
        <v>0.73486462973453104</v>
      </c>
      <c r="X3366">
        <v>0</v>
      </c>
      <c r="Y3366">
        <v>0</v>
      </c>
    </row>
    <row r="3367" spans="1:25" x14ac:dyDescent="0.2">
      <c r="A3367" t="s">
        <v>12421</v>
      </c>
      <c r="B3367" t="s">
        <v>12422</v>
      </c>
      <c r="C3367" t="s">
        <v>12423</v>
      </c>
      <c r="D3367" t="s">
        <v>12424</v>
      </c>
      <c r="E3367" t="s">
        <v>12422</v>
      </c>
      <c r="F3367" t="s">
        <v>28</v>
      </c>
      <c r="G3367" t="s">
        <v>12422</v>
      </c>
      <c r="H3367" t="str">
        <f>"spg-7"</f>
        <v>spg-7</v>
      </c>
      <c r="I3367" t="s">
        <v>12424</v>
      </c>
      <c r="J3367">
        <v>16.576785714381</v>
      </c>
      <c r="K3367">
        <v>16.455905528743902</v>
      </c>
      <c r="L3367">
        <v>16.4739429961509</v>
      </c>
      <c r="M3367">
        <v>16.581786006654202</v>
      </c>
      <c r="N3367">
        <v>16.7917723104473</v>
      </c>
      <c r="O3367">
        <v>16.446348322017101</v>
      </c>
      <c r="P3367">
        <v>0.10442413328090799</v>
      </c>
      <c r="Q3367">
        <v>-0.219109935285204</v>
      </c>
      <c r="R3367">
        <v>0.42795820184701999</v>
      </c>
      <c r="S3367">
        <v>16.5666191091276</v>
      </c>
      <c r="T3367">
        <v>0.67838052749608702</v>
      </c>
      <c r="U3367">
        <v>-6.8139835666814799</v>
      </c>
      <c r="V3367">
        <v>0.50620899999479096</v>
      </c>
      <c r="W3367">
        <v>0.75733521194622999</v>
      </c>
      <c r="X3367">
        <v>0</v>
      </c>
      <c r="Y3367">
        <v>0</v>
      </c>
    </row>
    <row r="3368" spans="1:25" x14ac:dyDescent="0.2">
      <c r="A3368" t="s">
        <v>12425</v>
      </c>
      <c r="B3368" t="s">
        <v>12426</v>
      </c>
      <c r="C3368" t="s">
        <v>12427</v>
      </c>
      <c r="D3368" t="s">
        <v>12428</v>
      </c>
      <c r="E3368" t="s">
        <v>12426</v>
      </c>
      <c r="F3368" t="s">
        <v>28</v>
      </c>
      <c r="G3368" t="s">
        <v>12426</v>
      </c>
      <c r="H3368" t="str">
        <f>"msh-6"</f>
        <v>msh-6</v>
      </c>
      <c r="I3368" t="s">
        <v>12428</v>
      </c>
      <c r="J3368">
        <v>13.190447465792399</v>
      </c>
      <c r="K3368">
        <v>12.992574703391799</v>
      </c>
      <c r="L3368">
        <v>12.9726695151356</v>
      </c>
      <c r="M3368">
        <v>12.966996202246699</v>
      </c>
      <c r="N3368">
        <v>13.1745970803224</v>
      </c>
      <c r="O3368">
        <v>13.019168559268101</v>
      </c>
      <c r="P3368">
        <v>1.6900525057863499E-3</v>
      </c>
      <c r="Q3368">
        <v>-0.34682325450642298</v>
      </c>
      <c r="R3368">
        <v>0.35020335951799603</v>
      </c>
      <c r="S3368">
        <v>13.0252918819663</v>
      </c>
      <c r="T3368">
        <v>1.0285617315607801E-2</v>
      </c>
      <c r="U3368">
        <v>-7.0520306306135403</v>
      </c>
      <c r="V3368">
        <v>0.99192139973239002</v>
      </c>
      <c r="W3368">
        <v>0.99590010327960399</v>
      </c>
      <c r="X3368">
        <v>0</v>
      </c>
      <c r="Y3368">
        <v>0</v>
      </c>
    </row>
    <row r="3369" spans="1:25" x14ac:dyDescent="0.2">
      <c r="A3369" t="s">
        <v>12429</v>
      </c>
      <c r="B3369" t="s">
        <v>12430</v>
      </c>
      <c r="C3369" t="s">
        <v>12431</v>
      </c>
      <c r="D3369" t="s">
        <v>12432</v>
      </c>
      <c r="E3369" t="s">
        <v>12430</v>
      </c>
      <c r="F3369" t="s">
        <v>28</v>
      </c>
      <c r="G3369" t="s">
        <v>12430</v>
      </c>
      <c r="H3369" t="str">
        <f>"rps-4"</f>
        <v>rps-4</v>
      </c>
      <c r="I3369" t="s">
        <v>12432</v>
      </c>
      <c r="J3369">
        <v>22.759870684209599</v>
      </c>
      <c r="K3369">
        <v>22.759521430041001</v>
      </c>
      <c r="L3369">
        <v>22.687695786139201</v>
      </c>
      <c r="M3369">
        <v>22.523531638728699</v>
      </c>
      <c r="N3369">
        <v>22.372801790260901</v>
      </c>
      <c r="O3369">
        <v>22.096382867007701</v>
      </c>
      <c r="P3369">
        <v>-0.40479053479751298</v>
      </c>
      <c r="Q3369">
        <v>-0.76716053321496702</v>
      </c>
      <c r="R3369">
        <v>-4.2420536380058903E-2</v>
      </c>
      <c r="S3369">
        <v>22.435523184724499</v>
      </c>
      <c r="T3369">
        <v>-2.34785151785736</v>
      </c>
      <c r="U3369">
        <v>-4.5364849268639897</v>
      </c>
      <c r="V3369">
        <v>3.0586465039457899E-2</v>
      </c>
      <c r="W3369">
        <v>0.17155823371946</v>
      </c>
      <c r="X3369">
        <v>0</v>
      </c>
      <c r="Y3369">
        <v>0</v>
      </c>
    </row>
    <row r="3370" spans="1:25" x14ac:dyDescent="0.2">
      <c r="A3370" t="s">
        <v>12433</v>
      </c>
      <c r="B3370" t="s">
        <v>12434</v>
      </c>
      <c r="C3370" t="s">
        <v>14673</v>
      </c>
      <c r="D3370" t="s">
        <v>12435</v>
      </c>
      <c r="E3370" t="s">
        <v>12434</v>
      </c>
      <c r="F3370" t="s">
        <v>28</v>
      </c>
      <c r="G3370" t="s">
        <v>12434</v>
      </c>
      <c r="H3370" t="str">
        <f>"Y43B11AR.3"</f>
        <v>Y43B11AR.3</v>
      </c>
      <c r="I3370" t="s">
        <v>12435</v>
      </c>
      <c r="J3370" t="s">
        <v>29</v>
      </c>
      <c r="K3370" t="s">
        <v>29</v>
      </c>
      <c r="L3370" t="s">
        <v>29</v>
      </c>
      <c r="M3370" t="s">
        <v>29</v>
      </c>
      <c r="N3370" t="s">
        <v>29</v>
      </c>
      <c r="O3370" t="s">
        <v>29</v>
      </c>
      <c r="P3370" t="s">
        <v>29</v>
      </c>
      <c r="Q3370" t="s">
        <v>29</v>
      </c>
      <c r="R3370" t="s">
        <v>29</v>
      </c>
      <c r="S3370">
        <v>11.116432712701</v>
      </c>
      <c r="T3370" t="s">
        <v>29</v>
      </c>
      <c r="U3370" t="s">
        <v>29</v>
      </c>
      <c r="V3370" t="s">
        <v>29</v>
      </c>
      <c r="W3370" t="s">
        <v>29</v>
      </c>
      <c r="X3370" t="s">
        <v>29</v>
      </c>
      <c r="Y3370" t="s">
        <v>29</v>
      </c>
    </row>
    <row r="3371" spans="1:25" x14ac:dyDescent="0.2">
      <c r="A3371" t="s">
        <v>12436</v>
      </c>
      <c r="B3371" t="s">
        <v>12437</v>
      </c>
      <c r="C3371" t="s">
        <v>14674</v>
      </c>
      <c r="D3371" t="s">
        <v>12438</v>
      </c>
      <c r="E3371" t="s">
        <v>12437</v>
      </c>
      <c r="F3371" t="s">
        <v>28</v>
      </c>
      <c r="G3371" t="s">
        <v>12437</v>
      </c>
      <c r="H3371" t="str">
        <f>"Y39A3CL.1"</f>
        <v>Y39A3CL.1</v>
      </c>
      <c r="I3371" t="s">
        <v>12438</v>
      </c>
      <c r="J3371">
        <v>10.7962803055525</v>
      </c>
      <c r="K3371">
        <v>11.661462392521001</v>
      </c>
      <c r="L3371">
        <v>11.517177097733899</v>
      </c>
      <c r="M3371">
        <v>11.1701099411687</v>
      </c>
      <c r="N3371">
        <v>11.685059401274</v>
      </c>
      <c r="O3371">
        <v>11.4166284703423</v>
      </c>
      <c r="P3371">
        <v>9.8959338992489904E-2</v>
      </c>
      <c r="Q3371">
        <v>-0.61418122306336997</v>
      </c>
      <c r="R3371">
        <v>0.81209990104834895</v>
      </c>
      <c r="S3371">
        <v>12.4110709859244</v>
      </c>
      <c r="T3371">
        <v>0.29432772701924897</v>
      </c>
      <c r="U3371">
        <v>-7.0065101052703103</v>
      </c>
      <c r="V3371">
        <v>0.77231644886551698</v>
      </c>
      <c r="W3371">
        <v>0.90367411888111904</v>
      </c>
      <c r="X3371">
        <v>0</v>
      </c>
      <c r="Y3371">
        <v>0</v>
      </c>
    </row>
    <row r="3372" spans="1:25" x14ac:dyDescent="0.2">
      <c r="A3372" t="s">
        <v>12439</v>
      </c>
      <c r="B3372" t="s">
        <v>12440</v>
      </c>
      <c r="C3372" t="s">
        <v>12441</v>
      </c>
      <c r="D3372" t="s">
        <v>12442</v>
      </c>
      <c r="E3372" t="s">
        <v>12440</v>
      </c>
      <c r="F3372" t="s">
        <v>28</v>
      </c>
      <c r="G3372" t="s">
        <v>12440</v>
      </c>
      <c r="H3372" t="str">
        <f>"rimb-1"</f>
        <v>rimb-1</v>
      </c>
      <c r="I3372" t="s">
        <v>12442</v>
      </c>
      <c r="J3372">
        <v>11.644894804402799</v>
      </c>
      <c r="K3372">
        <v>12.6566448445407</v>
      </c>
      <c r="L3372">
        <v>12.1375715894298</v>
      </c>
      <c r="M3372">
        <v>12.055540963646999</v>
      </c>
      <c r="N3372">
        <v>10.6751509903509</v>
      </c>
      <c r="O3372">
        <v>12.428237370037699</v>
      </c>
      <c r="P3372">
        <v>-0.42672730477922499</v>
      </c>
      <c r="Q3372">
        <v>-1.2029935566057699</v>
      </c>
      <c r="R3372">
        <v>0.34953894704731903</v>
      </c>
      <c r="S3372">
        <v>12.2595891028257</v>
      </c>
      <c r="T3372">
        <v>-1.1659750489246701</v>
      </c>
      <c r="U3372">
        <v>-6.36411903624463</v>
      </c>
      <c r="V3372">
        <v>0.26082250904916399</v>
      </c>
      <c r="W3372">
        <v>0.53852566271952995</v>
      </c>
      <c r="X3372">
        <v>0</v>
      </c>
      <c r="Y3372">
        <v>0</v>
      </c>
    </row>
    <row r="3373" spans="1:25" x14ac:dyDescent="0.2">
      <c r="A3373" t="s">
        <v>12443</v>
      </c>
      <c r="B3373" t="s">
        <v>12444</v>
      </c>
      <c r="C3373" t="s">
        <v>12445</v>
      </c>
      <c r="D3373" t="s">
        <v>12446</v>
      </c>
      <c r="E3373" t="s">
        <v>12444</v>
      </c>
      <c r="F3373" t="s">
        <v>28</v>
      </c>
      <c r="G3373" t="s">
        <v>12444</v>
      </c>
      <c r="H3373" t="str">
        <f>"csn-3"</f>
        <v>csn-3</v>
      </c>
      <c r="I3373" t="s">
        <v>12446</v>
      </c>
      <c r="J3373">
        <v>14.410321525718301</v>
      </c>
      <c r="K3373">
        <v>14.437753011763499</v>
      </c>
      <c r="L3373">
        <v>14.596213665664999</v>
      </c>
      <c r="M3373">
        <v>14.6788991161421</v>
      </c>
      <c r="N3373">
        <v>15.190805029599799</v>
      </c>
      <c r="O3373">
        <v>14.693572434362601</v>
      </c>
      <c r="P3373">
        <v>0.37299612565252699</v>
      </c>
      <c r="Q3373">
        <v>-0.12324211194069599</v>
      </c>
      <c r="R3373">
        <v>0.86923436324574999</v>
      </c>
      <c r="S3373">
        <v>14.5850057737031</v>
      </c>
      <c r="T3373">
        <v>1.5798163646096399</v>
      </c>
      <c r="U3373">
        <v>-5.8282595076612003</v>
      </c>
      <c r="V3373">
        <v>0.13166207748286601</v>
      </c>
      <c r="W3373">
        <v>0.37614433725131402</v>
      </c>
      <c r="X3373">
        <v>0</v>
      </c>
      <c r="Y3373">
        <v>0</v>
      </c>
    </row>
    <row r="3374" spans="1:25" x14ac:dyDescent="0.2">
      <c r="A3374" t="s">
        <v>12447</v>
      </c>
      <c r="B3374" t="s">
        <v>12448</v>
      </c>
      <c r="C3374" t="s">
        <v>14675</v>
      </c>
      <c r="D3374" t="s">
        <v>368</v>
      </c>
      <c r="E3374" t="s">
        <v>12448</v>
      </c>
      <c r="F3374" t="s">
        <v>28</v>
      </c>
      <c r="G3374" t="s">
        <v>12448</v>
      </c>
      <c r="H3374" t="str">
        <f>"Y38C1AA.7"</f>
        <v>Y38C1AA.7</v>
      </c>
      <c r="I3374" t="s">
        <v>368</v>
      </c>
      <c r="J3374">
        <v>15.3146518344494</v>
      </c>
      <c r="K3374">
        <v>14.5239711478266</v>
      </c>
      <c r="L3374">
        <v>14.7858998792655</v>
      </c>
      <c r="M3374">
        <v>14.2042796937055</v>
      </c>
      <c r="N3374">
        <v>14.1570681493726</v>
      </c>
      <c r="O3374">
        <v>14.563326715721701</v>
      </c>
      <c r="P3374">
        <v>-0.56661610091389003</v>
      </c>
      <c r="Q3374">
        <v>-1.34363227843129</v>
      </c>
      <c r="R3374">
        <v>0.21040007660350801</v>
      </c>
      <c r="S3374">
        <v>14.446420539892699</v>
      </c>
      <c r="T3374">
        <v>-1.5392489409496399</v>
      </c>
      <c r="U3374">
        <v>-5.88706855579614</v>
      </c>
      <c r="V3374">
        <v>0.142262211231688</v>
      </c>
      <c r="W3374">
        <v>0.38868281725265702</v>
      </c>
      <c r="X3374">
        <v>0</v>
      </c>
      <c r="Y3374">
        <v>0</v>
      </c>
    </row>
    <row r="3375" spans="1:25" x14ac:dyDescent="0.2">
      <c r="A3375" t="s">
        <v>12449</v>
      </c>
      <c r="B3375" t="s">
        <v>12450</v>
      </c>
      <c r="C3375" t="s">
        <v>14676</v>
      </c>
      <c r="D3375" t="s">
        <v>3296</v>
      </c>
      <c r="E3375" t="s">
        <v>12450</v>
      </c>
      <c r="F3375" t="s">
        <v>28</v>
      </c>
      <c r="G3375" t="s">
        <v>12450</v>
      </c>
      <c r="H3375" t="str">
        <f>"Y34D9A.7"</f>
        <v>Y34D9A.7</v>
      </c>
      <c r="I3375" t="s">
        <v>3296</v>
      </c>
      <c r="J3375" t="s">
        <v>29</v>
      </c>
      <c r="K3375" t="s">
        <v>29</v>
      </c>
      <c r="L3375" t="s">
        <v>29</v>
      </c>
      <c r="M3375" t="s">
        <v>29</v>
      </c>
      <c r="N3375" t="s">
        <v>29</v>
      </c>
      <c r="O3375" t="s">
        <v>29</v>
      </c>
      <c r="P3375" t="s">
        <v>29</v>
      </c>
      <c r="Q3375" t="s">
        <v>29</v>
      </c>
      <c r="R3375" t="s">
        <v>29</v>
      </c>
      <c r="S3375">
        <v>9.5699929060022697</v>
      </c>
      <c r="T3375" t="s">
        <v>29</v>
      </c>
      <c r="U3375" t="s">
        <v>29</v>
      </c>
      <c r="V3375" t="s">
        <v>29</v>
      </c>
      <c r="W3375" t="s">
        <v>29</v>
      </c>
      <c r="X3375" t="s">
        <v>29</v>
      </c>
      <c r="Y3375" t="s">
        <v>29</v>
      </c>
    </row>
    <row r="3376" spans="1:25" x14ac:dyDescent="0.2">
      <c r="A3376" t="s">
        <v>12451</v>
      </c>
      <c r="B3376" t="s">
        <v>12452</v>
      </c>
      <c r="C3376" t="s">
        <v>12453</v>
      </c>
      <c r="D3376" t="s">
        <v>1296</v>
      </c>
      <c r="E3376" t="s">
        <v>12452</v>
      </c>
      <c r="F3376" t="s">
        <v>28</v>
      </c>
      <c r="G3376" t="s">
        <v>12452</v>
      </c>
      <c r="H3376" t="str">
        <f>"ddx-10"</f>
        <v>ddx-10</v>
      </c>
      <c r="I3376" t="s">
        <v>1296</v>
      </c>
      <c r="J3376">
        <v>13.634287209878501</v>
      </c>
      <c r="K3376">
        <v>13.244541375587399</v>
      </c>
      <c r="L3376">
        <v>13.0102333823842</v>
      </c>
      <c r="M3376">
        <v>12.6435816560081</v>
      </c>
      <c r="N3376">
        <v>12.827024245941599</v>
      </c>
      <c r="O3376">
        <v>13.352988918213301</v>
      </c>
      <c r="P3376">
        <v>-0.355155715895696</v>
      </c>
      <c r="Q3376">
        <v>-0.88738473417418995</v>
      </c>
      <c r="R3376">
        <v>0.177073302382797</v>
      </c>
      <c r="S3376">
        <v>13.624424743428801</v>
      </c>
      <c r="T3376">
        <v>-1.4153693572677499</v>
      </c>
      <c r="U3376">
        <v>-6.0571872146486996</v>
      </c>
      <c r="V3376">
        <v>0.17625439733425299</v>
      </c>
      <c r="W3376">
        <v>0.43681021243386098</v>
      </c>
      <c r="X3376">
        <v>0</v>
      </c>
      <c r="Y3376">
        <v>0</v>
      </c>
    </row>
    <row r="3377" spans="1:25" x14ac:dyDescent="0.2">
      <c r="A3377" t="s">
        <v>12454</v>
      </c>
      <c r="B3377" t="s">
        <v>12455</v>
      </c>
      <c r="C3377" t="s">
        <v>12456</v>
      </c>
      <c r="D3377" t="s">
        <v>12457</v>
      </c>
      <c r="E3377" t="s">
        <v>12455</v>
      </c>
      <c r="F3377" t="s">
        <v>28</v>
      </c>
      <c r="G3377" t="s">
        <v>12455</v>
      </c>
      <c r="H3377" t="str">
        <f>"sqv-2"</f>
        <v>sqv-2</v>
      </c>
      <c r="I3377" t="s">
        <v>12457</v>
      </c>
      <c r="J3377">
        <v>12.3716924029175</v>
      </c>
      <c r="K3377">
        <v>11.9233209207471</v>
      </c>
      <c r="L3377">
        <v>12.461975813690801</v>
      </c>
      <c r="M3377">
        <v>13.1150847642527</v>
      </c>
      <c r="N3377">
        <v>12.0357512538456</v>
      </c>
      <c r="O3377">
        <v>12.729607376619899</v>
      </c>
      <c r="P3377">
        <v>0.374484752454249</v>
      </c>
      <c r="Q3377">
        <v>-0.30386716604730901</v>
      </c>
      <c r="R3377">
        <v>1.0528366709558099</v>
      </c>
      <c r="S3377">
        <v>12.695587075330099</v>
      </c>
      <c r="T3377">
        <v>1.16030348105071</v>
      </c>
      <c r="U3377">
        <v>-6.37200296023296</v>
      </c>
      <c r="V3377">
        <v>0.26117162075462402</v>
      </c>
      <c r="W3377">
        <v>0.53856302530769795</v>
      </c>
      <c r="X3377">
        <v>0</v>
      </c>
      <c r="Y3377">
        <v>0</v>
      </c>
    </row>
    <row r="3378" spans="1:25" x14ac:dyDescent="0.2">
      <c r="A3378" t="s">
        <v>12458</v>
      </c>
      <c r="B3378" t="s">
        <v>12459</v>
      </c>
      <c r="C3378" t="s">
        <v>12460</v>
      </c>
      <c r="D3378" t="s">
        <v>12461</v>
      </c>
      <c r="E3378" t="s">
        <v>12459</v>
      </c>
      <c r="F3378" t="s">
        <v>28</v>
      </c>
      <c r="G3378" t="s">
        <v>12459</v>
      </c>
      <c r="H3378" t="str">
        <f>"pinn-1"</f>
        <v>pinn-1</v>
      </c>
      <c r="I3378" t="s">
        <v>12461</v>
      </c>
      <c r="J3378">
        <v>12.542227990639001</v>
      </c>
      <c r="K3378">
        <v>11.7339443872023</v>
      </c>
      <c r="L3378">
        <v>12.3861790914621</v>
      </c>
      <c r="M3378" t="s">
        <v>29</v>
      </c>
      <c r="N3378">
        <v>12.3810374002475</v>
      </c>
      <c r="O3378">
        <v>12.2500715971631</v>
      </c>
      <c r="P3378">
        <v>9.4770675604165105E-2</v>
      </c>
      <c r="Q3378">
        <v>-0.80867884317017802</v>
      </c>
      <c r="R3378">
        <v>0.99822019437850795</v>
      </c>
      <c r="S3378">
        <v>12.691205675294899</v>
      </c>
      <c r="T3378">
        <v>0.22514482991625401</v>
      </c>
      <c r="U3378">
        <v>-6.9145610089774197</v>
      </c>
      <c r="V3378">
        <v>0.82514411264112497</v>
      </c>
      <c r="W3378">
        <v>0.92875093135047404</v>
      </c>
      <c r="X3378">
        <v>0</v>
      </c>
      <c r="Y3378">
        <v>0</v>
      </c>
    </row>
    <row r="3379" spans="1:25" x14ac:dyDescent="0.2">
      <c r="A3379" t="s">
        <v>12462</v>
      </c>
      <c r="B3379" t="s">
        <v>12463</v>
      </c>
      <c r="C3379" t="s">
        <v>12464</v>
      </c>
      <c r="D3379" t="s">
        <v>12465</v>
      </c>
      <c r="E3379" t="s">
        <v>12463</v>
      </c>
      <c r="F3379" t="s">
        <v>28</v>
      </c>
      <c r="G3379" t="s">
        <v>12463</v>
      </c>
      <c r="H3379" t="str">
        <f>"hxk-3"</f>
        <v>hxk-3</v>
      </c>
      <c r="I3379" t="s">
        <v>12465</v>
      </c>
      <c r="J3379">
        <v>14.8133576913909</v>
      </c>
      <c r="K3379">
        <v>14.7110582891438</v>
      </c>
      <c r="L3379">
        <v>14.504253498456199</v>
      </c>
      <c r="M3379">
        <v>15.133641345882101</v>
      </c>
      <c r="N3379">
        <v>15.4881286213569</v>
      </c>
      <c r="O3379">
        <v>14.925509964512299</v>
      </c>
      <c r="P3379">
        <v>0.50620348425350103</v>
      </c>
      <c r="Q3379">
        <v>3.2342449256026799E-2</v>
      </c>
      <c r="R3379">
        <v>0.98006451925097404</v>
      </c>
      <c r="S3379">
        <v>14.5378308081577</v>
      </c>
      <c r="T3379">
        <v>2.2452600272327898</v>
      </c>
      <c r="U3379">
        <v>-4.7267900197657697</v>
      </c>
      <c r="V3379">
        <v>3.7629526337337897E-2</v>
      </c>
      <c r="W3379">
        <v>0.19252590990832899</v>
      </c>
      <c r="X3379">
        <v>0</v>
      </c>
      <c r="Y3379">
        <v>0</v>
      </c>
    </row>
    <row r="3380" spans="1:25" x14ac:dyDescent="0.2">
      <c r="A3380" t="s">
        <v>12466</v>
      </c>
      <c r="B3380" t="s">
        <v>12467</v>
      </c>
      <c r="C3380" t="s">
        <v>12468</v>
      </c>
      <c r="D3380" t="s">
        <v>12469</v>
      </c>
      <c r="E3380" t="s">
        <v>12467</v>
      </c>
      <c r="F3380" t="s">
        <v>28</v>
      </c>
      <c r="G3380" t="s">
        <v>12467</v>
      </c>
      <c r="H3380" t="str">
        <f>"npp-20"</f>
        <v>npp-20</v>
      </c>
      <c r="I3380" t="s">
        <v>12469</v>
      </c>
      <c r="J3380">
        <v>13.9636808890154</v>
      </c>
      <c r="K3380">
        <v>13.6794622977713</v>
      </c>
      <c r="L3380">
        <v>13.745711144888199</v>
      </c>
      <c r="M3380">
        <v>13.5637617052057</v>
      </c>
      <c r="N3380">
        <v>13.5706390274998</v>
      </c>
      <c r="O3380">
        <v>13.544843640986</v>
      </c>
      <c r="P3380">
        <v>-0.236536652661126</v>
      </c>
      <c r="Q3380">
        <v>-0.91271628585795705</v>
      </c>
      <c r="R3380">
        <v>0.439642980535705</v>
      </c>
      <c r="S3380">
        <v>13.597971905802099</v>
      </c>
      <c r="T3380">
        <v>-0.735239573184302</v>
      </c>
      <c r="U3380">
        <v>-6.7730150099223003</v>
      </c>
      <c r="V3380">
        <v>0.47172047534880501</v>
      </c>
      <c r="W3380">
        <v>0.73338673042762104</v>
      </c>
      <c r="X3380">
        <v>0</v>
      </c>
      <c r="Y3380">
        <v>0</v>
      </c>
    </row>
    <row r="3381" spans="1:25" x14ac:dyDescent="0.2">
      <c r="A3381" t="s">
        <v>12470</v>
      </c>
      <c r="B3381" t="s">
        <v>12471</v>
      </c>
      <c r="C3381" t="s">
        <v>12472</v>
      </c>
      <c r="D3381" t="s">
        <v>12473</v>
      </c>
      <c r="E3381" t="s">
        <v>12471</v>
      </c>
      <c r="F3381" t="s">
        <v>28</v>
      </c>
      <c r="G3381" t="s">
        <v>12471</v>
      </c>
      <c r="H3381" t="str">
        <f>"clp-7"</f>
        <v>clp-7</v>
      </c>
      <c r="I3381" t="s">
        <v>12473</v>
      </c>
      <c r="J3381">
        <v>11.961174344982</v>
      </c>
      <c r="K3381" t="s">
        <v>29</v>
      </c>
      <c r="L3381" t="s">
        <v>29</v>
      </c>
      <c r="M3381">
        <v>13.7485050826507</v>
      </c>
      <c r="N3381">
        <v>13.6714087083308</v>
      </c>
      <c r="O3381">
        <v>13.227796524149401</v>
      </c>
      <c r="P3381">
        <v>1.5880624267282799</v>
      </c>
      <c r="Q3381">
        <v>0.77361163315892001</v>
      </c>
      <c r="R3381">
        <v>2.40251322029764</v>
      </c>
      <c r="S3381">
        <v>13.465341963474801</v>
      </c>
      <c r="T3381">
        <v>4.1357306793781401</v>
      </c>
      <c r="U3381">
        <v>-0.66993482678179295</v>
      </c>
      <c r="V3381">
        <v>7.8612062835356998E-4</v>
      </c>
      <c r="W3381">
        <v>1.55032516646213E-2</v>
      </c>
      <c r="X3381">
        <v>1</v>
      </c>
      <c r="Y3381">
        <v>1</v>
      </c>
    </row>
    <row r="3382" spans="1:25" x14ac:dyDescent="0.2">
      <c r="A3382" t="s">
        <v>12474</v>
      </c>
      <c r="B3382" t="s">
        <v>12475</v>
      </c>
      <c r="C3382" t="s">
        <v>12476</v>
      </c>
      <c r="D3382" t="s">
        <v>12477</v>
      </c>
      <c r="E3382" t="s">
        <v>12475</v>
      </c>
      <c r="F3382" t="s">
        <v>28</v>
      </c>
      <c r="G3382" t="s">
        <v>12475</v>
      </c>
      <c r="H3382" t="str">
        <f>"cpsf-1"</f>
        <v>cpsf-1</v>
      </c>
      <c r="I3382" t="s">
        <v>12477</v>
      </c>
      <c r="J3382" t="s">
        <v>29</v>
      </c>
      <c r="K3382">
        <v>11.4013149215703</v>
      </c>
      <c r="L3382">
        <v>11.589475335598999</v>
      </c>
      <c r="M3382" t="s">
        <v>29</v>
      </c>
      <c r="N3382">
        <v>11.6906824729446</v>
      </c>
      <c r="O3382" t="s">
        <v>29</v>
      </c>
      <c r="P3382">
        <v>0.19528734435999301</v>
      </c>
      <c r="Q3382">
        <v>-0.57084288533267102</v>
      </c>
      <c r="R3382">
        <v>0.96141757405265704</v>
      </c>
      <c r="S3382">
        <v>11.7920580828418</v>
      </c>
      <c r="T3382">
        <v>0.561693235983313</v>
      </c>
      <c r="U3382">
        <v>-6.4842272261631102</v>
      </c>
      <c r="V3382">
        <v>0.58569389096851998</v>
      </c>
      <c r="W3382">
        <v>0.80221954550929897</v>
      </c>
      <c r="X3382">
        <v>0</v>
      </c>
      <c r="Y3382">
        <v>0</v>
      </c>
    </row>
    <row r="3383" spans="1:25" x14ac:dyDescent="0.2">
      <c r="A3383" t="s">
        <v>12478</v>
      </c>
      <c r="B3383" t="s">
        <v>12479</v>
      </c>
      <c r="C3383" t="s">
        <v>12480</v>
      </c>
      <c r="D3383" t="s">
        <v>12481</v>
      </c>
      <c r="E3383" t="s">
        <v>12479</v>
      </c>
      <c r="F3383" t="s">
        <v>28</v>
      </c>
      <c r="G3383" t="s">
        <v>12479</v>
      </c>
      <c r="H3383" t="str">
        <f>"xpc-1"</f>
        <v>xpc-1</v>
      </c>
      <c r="I3383" t="s">
        <v>12481</v>
      </c>
      <c r="J3383">
        <v>12.8734941542752</v>
      </c>
      <c r="K3383">
        <v>13.9140719640284</v>
      </c>
      <c r="L3383">
        <v>12.9258873231583</v>
      </c>
      <c r="M3383" t="s">
        <v>29</v>
      </c>
      <c r="N3383">
        <v>12.2706829256541</v>
      </c>
      <c r="O3383">
        <v>13.4693676418372</v>
      </c>
      <c r="P3383">
        <v>-0.36779253007502899</v>
      </c>
      <c r="Q3383">
        <v>-1.1207748452202899</v>
      </c>
      <c r="R3383">
        <v>0.38518978507023599</v>
      </c>
      <c r="S3383">
        <v>13.5680988914289</v>
      </c>
      <c r="T3383">
        <v>-1.0360188514234501</v>
      </c>
      <c r="U3383">
        <v>-6.3946602904220304</v>
      </c>
      <c r="V3383">
        <v>0.31569863928645803</v>
      </c>
      <c r="W3383">
        <v>0.59311972992963902</v>
      </c>
      <c r="X3383">
        <v>0</v>
      </c>
      <c r="Y3383">
        <v>0</v>
      </c>
    </row>
    <row r="3384" spans="1:25" x14ac:dyDescent="0.2">
      <c r="A3384" t="s">
        <v>12482</v>
      </c>
      <c r="B3384" t="s">
        <v>12483</v>
      </c>
      <c r="C3384" t="s">
        <v>14677</v>
      </c>
      <c r="D3384" t="s">
        <v>141</v>
      </c>
      <c r="E3384" t="s">
        <v>12483</v>
      </c>
      <c r="F3384" t="s">
        <v>28</v>
      </c>
      <c r="G3384" t="s">
        <v>12483</v>
      </c>
      <c r="H3384" t="str">
        <f>"Y73C8B.3"</f>
        <v>Y73C8B.3</v>
      </c>
      <c r="I3384" t="s">
        <v>141</v>
      </c>
      <c r="J3384" t="s">
        <v>29</v>
      </c>
      <c r="K3384" t="s">
        <v>29</v>
      </c>
      <c r="L3384">
        <v>11.8340385233</v>
      </c>
      <c r="M3384" t="s">
        <v>29</v>
      </c>
      <c r="N3384" t="s">
        <v>29</v>
      </c>
      <c r="O3384">
        <v>11.3078437833025</v>
      </c>
      <c r="P3384">
        <v>-0.52619473999751998</v>
      </c>
      <c r="Q3384">
        <v>-1.82307023448196</v>
      </c>
      <c r="R3384">
        <v>0.77068075448691797</v>
      </c>
      <c r="S3384">
        <v>12.5251170038611</v>
      </c>
      <c r="T3384">
        <v>-0.88489803549297696</v>
      </c>
      <c r="U3384">
        <v>-6.1082280538653002</v>
      </c>
      <c r="V3384">
        <v>0.39374760111305002</v>
      </c>
      <c r="W3384">
        <v>0.66941206584214397</v>
      </c>
      <c r="X3384">
        <v>0</v>
      </c>
      <c r="Y3384">
        <v>0</v>
      </c>
    </row>
    <row r="3385" spans="1:25" x14ac:dyDescent="0.2">
      <c r="A3385" t="s">
        <v>12484</v>
      </c>
      <c r="B3385" t="s">
        <v>12485</v>
      </c>
      <c r="C3385" t="s">
        <v>12486</v>
      </c>
      <c r="D3385" t="s">
        <v>12487</v>
      </c>
      <c r="E3385" t="s">
        <v>12485</v>
      </c>
      <c r="F3385" t="s">
        <v>28</v>
      </c>
      <c r="G3385" t="s">
        <v>12485</v>
      </c>
      <c r="H3385" t="str">
        <f>"ppfr-4"</f>
        <v>ppfr-4</v>
      </c>
      <c r="I3385" t="s">
        <v>12487</v>
      </c>
      <c r="J3385" t="s">
        <v>29</v>
      </c>
      <c r="K3385" t="s">
        <v>29</v>
      </c>
      <c r="L3385" t="s">
        <v>29</v>
      </c>
      <c r="M3385">
        <v>14.5807593143782</v>
      </c>
      <c r="N3385">
        <v>14.375736227451799</v>
      </c>
      <c r="O3385">
        <v>13.975024123319001</v>
      </c>
      <c r="P3385" t="s">
        <v>29</v>
      </c>
      <c r="Q3385" t="s">
        <v>29</v>
      </c>
      <c r="R3385" t="s">
        <v>29</v>
      </c>
      <c r="S3385">
        <v>13.2803256311861</v>
      </c>
      <c r="T3385" t="s">
        <v>29</v>
      </c>
      <c r="U3385" t="s">
        <v>29</v>
      </c>
      <c r="V3385" t="s">
        <v>29</v>
      </c>
      <c r="W3385" t="s">
        <v>29</v>
      </c>
      <c r="X3385" t="s">
        <v>29</v>
      </c>
      <c r="Y3385" t="s">
        <v>29</v>
      </c>
    </row>
    <row r="3386" spans="1:25" x14ac:dyDescent="0.2">
      <c r="A3386" t="s">
        <v>12488</v>
      </c>
      <c r="B3386" t="s">
        <v>12489</v>
      </c>
      <c r="C3386" t="s">
        <v>14678</v>
      </c>
      <c r="D3386" t="s">
        <v>12490</v>
      </c>
      <c r="E3386" t="s">
        <v>12489</v>
      </c>
      <c r="F3386" t="s">
        <v>28</v>
      </c>
      <c r="G3386" t="s">
        <v>12489</v>
      </c>
      <c r="H3386" t="str">
        <f>"Y71H2B.5"</f>
        <v>Y71H2B.5</v>
      </c>
      <c r="I3386" t="s">
        <v>12490</v>
      </c>
      <c r="J3386">
        <v>13.1326390901729</v>
      </c>
      <c r="K3386">
        <v>13.0838988664516</v>
      </c>
      <c r="L3386">
        <v>12.8646772281253</v>
      </c>
      <c r="M3386">
        <v>12.439562560132799</v>
      </c>
      <c r="N3386">
        <v>13.157214897011601</v>
      </c>
      <c r="O3386">
        <v>12.7614946011558</v>
      </c>
      <c r="P3386">
        <v>-0.240981042149885</v>
      </c>
      <c r="Q3386">
        <v>-0.73601568329107503</v>
      </c>
      <c r="R3386">
        <v>0.25405359899130497</v>
      </c>
      <c r="S3386">
        <v>12.769876018354401</v>
      </c>
      <c r="T3386">
        <v>-1.02753660144363</v>
      </c>
      <c r="U3386">
        <v>-6.5138058396089198</v>
      </c>
      <c r="V3386">
        <v>0.318655211698745</v>
      </c>
      <c r="W3386">
        <v>0.596723457648761</v>
      </c>
      <c r="X3386">
        <v>0</v>
      </c>
      <c r="Y3386">
        <v>0</v>
      </c>
    </row>
    <row r="3387" spans="1:25" x14ac:dyDescent="0.2">
      <c r="A3387" t="s">
        <v>12491</v>
      </c>
      <c r="B3387" t="s">
        <v>12492</v>
      </c>
      <c r="C3387" t="s">
        <v>12493</v>
      </c>
      <c r="D3387" t="s">
        <v>12494</v>
      </c>
      <c r="E3387" t="s">
        <v>12492</v>
      </c>
      <c r="F3387" t="s">
        <v>28</v>
      </c>
      <c r="G3387" t="s">
        <v>12492</v>
      </c>
      <c r="H3387" t="str">
        <f>"apb-1"</f>
        <v>apb-1</v>
      </c>
      <c r="I3387" t="s">
        <v>12494</v>
      </c>
      <c r="J3387">
        <v>14.386372988454401</v>
      </c>
      <c r="K3387">
        <v>14.1943750536438</v>
      </c>
      <c r="L3387">
        <v>14.055255623673601</v>
      </c>
      <c r="M3387">
        <v>14.233230179783501</v>
      </c>
      <c r="N3387">
        <v>14.5141587341367</v>
      </c>
      <c r="O3387">
        <v>14.0790124421884</v>
      </c>
      <c r="P3387">
        <v>6.3465896778913206E-2</v>
      </c>
      <c r="Q3387">
        <v>-0.29962857111834501</v>
      </c>
      <c r="R3387">
        <v>0.42656036467617098</v>
      </c>
      <c r="S3387">
        <v>14.0256630592137</v>
      </c>
      <c r="T3387">
        <v>0.36737813247934897</v>
      </c>
      <c r="U3387">
        <v>-6.9816226441251601</v>
      </c>
      <c r="V3387">
        <v>0.717645752326599</v>
      </c>
      <c r="W3387">
        <v>0.87592621082924005</v>
      </c>
      <c r="X3387">
        <v>0</v>
      </c>
      <c r="Y3387">
        <v>0</v>
      </c>
    </row>
    <row r="3388" spans="1:25" x14ac:dyDescent="0.2">
      <c r="A3388" t="s">
        <v>12495</v>
      </c>
      <c r="B3388" t="s">
        <v>12496</v>
      </c>
      <c r="C3388" t="s">
        <v>12497</v>
      </c>
      <c r="D3388" t="s">
        <v>12498</v>
      </c>
      <c r="E3388" t="s">
        <v>12496</v>
      </c>
      <c r="F3388" t="s">
        <v>28</v>
      </c>
      <c r="G3388" t="s">
        <v>12496</v>
      </c>
      <c r="H3388" t="str">
        <f>"gpa-17"</f>
        <v>gpa-17</v>
      </c>
      <c r="I3388" t="s">
        <v>12498</v>
      </c>
      <c r="J3388">
        <v>12.7024376636793</v>
      </c>
      <c r="K3388">
        <v>13.2792781652076</v>
      </c>
      <c r="L3388">
        <v>11.9488265492929</v>
      </c>
      <c r="M3388">
        <v>12.136004249693601</v>
      </c>
      <c r="N3388">
        <v>11.966367772722499</v>
      </c>
      <c r="O3388">
        <v>12.3961852646932</v>
      </c>
      <c r="P3388">
        <v>-0.47732836369015702</v>
      </c>
      <c r="Q3388">
        <v>-1.0994953796201301</v>
      </c>
      <c r="R3388">
        <v>0.14483865223981099</v>
      </c>
      <c r="S3388">
        <v>11.5938500865112</v>
      </c>
      <c r="T3388">
        <v>-1.6362583061406499</v>
      </c>
      <c r="U3388">
        <v>-5.7488438206124499</v>
      </c>
      <c r="V3388">
        <v>0.12273486708470201</v>
      </c>
      <c r="W3388">
        <v>0.36307205226692701</v>
      </c>
      <c r="X3388">
        <v>0</v>
      </c>
      <c r="Y3388">
        <v>0</v>
      </c>
    </row>
    <row r="3389" spans="1:25" x14ac:dyDescent="0.2">
      <c r="A3389" t="s">
        <v>12499</v>
      </c>
      <c r="B3389" t="s">
        <v>12500</v>
      </c>
      <c r="C3389" t="s">
        <v>14679</v>
      </c>
      <c r="D3389" t="s">
        <v>2641</v>
      </c>
      <c r="E3389" t="s">
        <v>12500</v>
      </c>
      <c r="F3389" t="s">
        <v>28</v>
      </c>
      <c r="G3389" t="s">
        <v>12500</v>
      </c>
      <c r="H3389" t="str">
        <f>"Y71F9B.1"</f>
        <v>Y71F9B.1</v>
      </c>
      <c r="I3389" t="s">
        <v>2641</v>
      </c>
      <c r="J3389" t="s">
        <v>29</v>
      </c>
      <c r="K3389" t="s">
        <v>29</v>
      </c>
      <c r="L3389" t="s">
        <v>29</v>
      </c>
      <c r="M3389" t="s">
        <v>29</v>
      </c>
      <c r="N3389" t="s">
        <v>29</v>
      </c>
      <c r="O3389" t="s">
        <v>29</v>
      </c>
      <c r="P3389" t="s">
        <v>29</v>
      </c>
      <c r="Q3389" t="s">
        <v>29</v>
      </c>
      <c r="R3389" t="s">
        <v>29</v>
      </c>
      <c r="S3389">
        <v>10.4019961639589</v>
      </c>
      <c r="T3389" t="s">
        <v>29</v>
      </c>
      <c r="U3389" t="s">
        <v>29</v>
      </c>
      <c r="V3389" t="s">
        <v>29</v>
      </c>
      <c r="W3389" t="s">
        <v>29</v>
      </c>
      <c r="X3389" t="s">
        <v>29</v>
      </c>
      <c r="Y3389" t="s">
        <v>29</v>
      </c>
    </row>
    <row r="3390" spans="1:25" x14ac:dyDescent="0.2">
      <c r="A3390" t="s">
        <v>12501</v>
      </c>
      <c r="B3390" t="s">
        <v>12502</v>
      </c>
      <c r="C3390" t="s">
        <v>12503</v>
      </c>
      <c r="D3390" t="s">
        <v>12504</v>
      </c>
      <c r="E3390" t="s">
        <v>12502</v>
      </c>
      <c r="F3390" t="s">
        <v>28</v>
      </c>
      <c r="G3390" t="s">
        <v>12502</v>
      </c>
      <c r="H3390" t="str">
        <f>"sop-3"</f>
        <v>sop-3</v>
      </c>
      <c r="I3390" t="s">
        <v>12504</v>
      </c>
      <c r="J3390">
        <v>12.282291010868599</v>
      </c>
      <c r="K3390">
        <v>12.8280065542292</v>
      </c>
      <c r="L3390">
        <v>12.593189546677699</v>
      </c>
      <c r="M3390">
        <v>12.1181453844068</v>
      </c>
      <c r="N3390">
        <v>11.9686282794215</v>
      </c>
      <c r="O3390">
        <v>12.287732900747599</v>
      </c>
      <c r="P3390">
        <v>-0.44299351573317702</v>
      </c>
      <c r="Q3390">
        <v>-0.90346735997744398</v>
      </c>
      <c r="R3390">
        <v>1.7480328511090999E-2</v>
      </c>
      <c r="S3390">
        <v>12.3756773525044</v>
      </c>
      <c r="T3390">
        <v>-2.0405250593151298</v>
      </c>
      <c r="U3390">
        <v>-5.1029210125635398</v>
      </c>
      <c r="V3390">
        <v>5.8270320206261397E-2</v>
      </c>
      <c r="W3390">
        <v>0.244651095913205</v>
      </c>
      <c r="X3390">
        <v>0</v>
      </c>
      <c r="Y3390">
        <v>0</v>
      </c>
    </row>
    <row r="3391" spans="1:25" x14ac:dyDescent="0.2">
      <c r="A3391" t="s">
        <v>12505</v>
      </c>
      <c r="B3391" t="s">
        <v>12506</v>
      </c>
      <c r="C3391" t="s">
        <v>12507</v>
      </c>
      <c r="D3391" t="s">
        <v>12508</v>
      </c>
      <c r="E3391" t="s">
        <v>12506</v>
      </c>
      <c r="F3391" t="s">
        <v>28</v>
      </c>
      <c r="G3391" t="s">
        <v>12506</v>
      </c>
      <c r="H3391" t="str">
        <f>"parp-1"</f>
        <v>parp-1</v>
      </c>
      <c r="I3391" t="s">
        <v>12508</v>
      </c>
      <c r="J3391">
        <v>13.395160867584201</v>
      </c>
      <c r="K3391">
        <v>12.914527147512599</v>
      </c>
      <c r="L3391">
        <v>13.220723975191101</v>
      </c>
      <c r="M3391">
        <v>13.2872086127496</v>
      </c>
      <c r="N3391">
        <v>13.6592882247009</v>
      </c>
      <c r="O3391">
        <v>13.071714050084999</v>
      </c>
      <c r="P3391">
        <v>0.162599632415839</v>
      </c>
      <c r="Q3391">
        <v>-0.31783014471077697</v>
      </c>
      <c r="R3391">
        <v>0.64302940954245502</v>
      </c>
      <c r="S3391">
        <v>13.769330188241501</v>
      </c>
      <c r="T3391">
        <v>0.71439705471775095</v>
      </c>
      <c r="U3391">
        <v>-6.7877875631096503</v>
      </c>
      <c r="V3391">
        <v>0.48473605379106799</v>
      </c>
      <c r="W3391">
        <v>0.741501314009402</v>
      </c>
      <c r="X3391">
        <v>0</v>
      </c>
      <c r="Y3391">
        <v>0</v>
      </c>
    </row>
    <row r="3392" spans="1:25" x14ac:dyDescent="0.2">
      <c r="A3392" t="s">
        <v>12509</v>
      </c>
      <c r="B3392" t="s">
        <v>12510</v>
      </c>
      <c r="C3392" t="s">
        <v>12511</v>
      </c>
      <c r="D3392" t="s">
        <v>12512</v>
      </c>
      <c r="E3392" t="s">
        <v>12510</v>
      </c>
      <c r="F3392" t="s">
        <v>28</v>
      </c>
      <c r="G3392" t="s">
        <v>12510</v>
      </c>
      <c r="H3392" t="str">
        <f>"gst-43"</f>
        <v>gst-43</v>
      </c>
      <c r="I3392" t="s">
        <v>12512</v>
      </c>
      <c r="J3392">
        <v>11.864714234487099</v>
      </c>
      <c r="K3392">
        <v>11.8865902228405</v>
      </c>
      <c r="L3392">
        <v>11.7065664142355</v>
      </c>
      <c r="M3392">
        <v>11.612885486881501</v>
      </c>
      <c r="N3392" t="s">
        <v>29</v>
      </c>
      <c r="O3392" t="s">
        <v>29</v>
      </c>
      <c r="P3392">
        <v>-0.206404803639543</v>
      </c>
      <c r="Q3392">
        <v>-1.0395681294343899</v>
      </c>
      <c r="R3392">
        <v>0.62675852215529804</v>
      </c>
      <c r="S3392">
        <v>11.7102652304257</v>
      </c>
      <c r="T3392">
        <v>-0.53564480828883299</v>
      </c>
      <c r="U3392">
        <v>-6.5585366199631201</v>
      </c>
      <c r="V3392">
        <v>0.60132095291247301</v>
      </c>
      <c r="W3392">
        <v>0.80958669980332199</v>
      </c>
      <c r="X3392">
        <v>0</v>
      </c>
      <c r="Y3392">
        <v>0</v>
      </c>
    </row>
    <row r="3393" spans="1:25" x14ac:dyDescent="0.2">
      <c r="A3393" t="s">
        <v>12513</v>
      </c>
      <c r="B3393" t="s">
        <v>12514</v>
      </c>
      <c r="C3393" t="s">
        <v>12515</v>
      </c>
      <c r="D3393" t="s">
        <v>12516</v>
      </c>
      <c r="E3393" t="s">
        <v>12514</v>
      </c>
      <c r="F3393" t="s">
        <v>28</v>
      </c>
      <c r="G3393" t="s">
        <v>12514</v>
      </c>
      <c r="H3393" t="str">
        <f>"copa-1"</f>
        <v>copa-1</v>
      </c>
      <c r="I3393" t="s">
        <v>12516</v>
      </c>
      <c r="J3393">
        <v>17.658957886212399</v>
      </c>
      <c r="K3393">
        <v>17.607678604832699</v>
      </c>
      <c r="L3393">
        <v>17.459149389659999</v>
      </c>
      <c r="M3393">
        <v>17.519795234945299</v>
      </c>
      <c r="N3393">
        <v>17.758985894955099</v>
      </c>
      <c r="O3393">
        <v>17.418353459366301</v>
      </c>
      <c r="P3393">
        <v>-9.5504304794751197E-3</v>
      </c>
      <c r="Q3393">
        <v>-0.34288034612359503</v>
      </c>
      <c r="R3393">
        <v>0.323779485164645</v>
      </c>
      <c r="S3393">
        <v>17.225611244654001</v>
      </c>
      <c r="T3393">
        <v>-6.0220057840623897E-2</v>
      </c>
      <c r="U3393">
        <v>-7.0501861427032599</v>
      </c>
      <c r="V3393">
        <v>0.95264781044449198</v>
      </c>
      <c r="W3393">
        <v>0.97752358457809096</v>
      </c>
      <c r="X3393">
        <v>0</v>
      </c>
      <c r="Y3393">
        <v>0</v>
      </c>
    </row>
    <row r="3394" spans="1:25" x14ac:dyDescent="0.2">
      <c r="A3394" t="s">
        <v>12517</v>
      </c>
      <c r="B3394" t="s">
        <v>12518</v>
      </c>
      <c r="C3394" t="s">
        <v>12519</v>
      </c>
      <c r="D3394" t="s">
        <v>12520</v>
      </c>
      <c r="E3394" t="s">
        <v>12518</v>
      </c>
      <c r="F3394" t="s">
        <v>28</v>
      </c>
      <c r="G3394" t="s">
        <v>12518</v>
      </c>
      <c r="H3394" t="str">
        <f>"arx-1"</f>
        <v>arx-1</v>
      </c>
      <c r="I3394" t="s">
        <v>12520</v>
      </c>
      <c r="J3394">
        <v>12.3385111672484</v>
      </c>
      <c r="K3394">
        <v>11.8935540814321</v>
      </c>
      <c r="L3394">
        <v>12.412263328516</v>
      </c>
      <c r="M3394">
        <v>11.840256466308301</v>
      </c>
      <c r="N3394">
        <v>12.872467173110801</v>
      </c>
      <c r="O3394">
        <v>12.412003898846301</v>
      </c>
      <c r="P3394">
        <v>0.160132987022955</v>
      </c>
      <c r="Q3394">
        <v>-0.35183645998505902</v>
      </c>
      <c r="R3394">
        <v>0.67210243403096803</v>
      </c>
      <c r="S3394">
        <v>12.219576476207701</v>
      </c>
      <c r="T3394">
        <v>0.66341653305690995</v>
      </c>
      <c r="U3394">
        <v>-6.82307838113607</v>
      </c>
      <c r="V3394">
        <v>0.51657088791087902</v>
      </c>
      <c r="W3394">
        <v>0.76292552972592698</v>
      </c>
      <c r="X3394">
        <v>0</v>
      </c>
      <c r="Y3394">
        <v>0</v>
      </c>
    </row>
    <row r="3395" spans="1:25" x14ac:dyDescent="0.2">
      <c r="A3395" t="s">
        <v>12521</v>
      </c>
      <c r="B3395" t="s">
        <v>12522</v>
      </c>
      <c r="C3395" t="s">
        <v>14177</v>
      </c>
      <c r="D3395" t="s">
        <v>12523</v>
      </c>
      <c r="E3395" t="s">
        <v>12522</v>
      </c>
      <c r="F3395" t="s">
        <v>28</v>
      </c>
      <c r="G3395" t="s">
        <v>12522</v>
      </c>
      <c r="H3395" t="str">
        <f>"Y71F9AL.9"</f>
        <v>Y71F9AL.9</v>
      </c>
      <c r="I3395" t="s">
        <v>12523</v>
      </c>
      <c r="J3395">
        <v>11.959196759862399</v>
      </c>
      <c r="K3395">
        <v>11.9998554340238</v>
      </c>
      <c r="L3395">
        <v>12.4098824652992</v>
      </c>
      <c r="M3395">
        <v>14.5889446452637</v>
      </c>
      <c r="N3395">
        <v>14.0761207512768</v>
      </c>
      <c r="O3395">
        <v>14.304978395067399</v>
      </c>
      <c r="P3395">
        <v>2.20036971080747</v>
      </c>
      <c r="Q3395">
        <v>1.72424210749874</v>
      </c>
      <c r="R3395">
        <v>2.6764973141161899</v>
      </c>
      <c r="S3395">
        <v>12.8956411435794</v>
      </c>
      <c r="T3395">
        <v>9.7548885276932307</v>
      </c>
      <c r="U3395">
        <v>9.5135649459797307</v>
      </c>
      <c r="V3395" s="2">
        <v>2.3555929159040699E-8</v>
      </c>
      <c r="W3395" s="2">
        <v>3.4130775837939198E-6</v>
      </c>
      <c r="X3395">
        <v>1</v>
      </c>
      <c r="Y3395">
        <v>1</v>
      </c>
    </row>
    <row r="3396" spans="1:25" x14ac:dyDescent="0.2">
      <c r="A3396" t="s">
        <v>12524</v>
      </c>
      <c r="B3396" t="s">
        <v>12525</v>
      </c>
      <c r="C3396" t="s">
        <v>12526</v>
      </c>
      <c r="D3396" t="s">
        <v>12527</v>
      </c>
      <c r="E3396" t="s">
        <v>12525</v>
      </c>
      <c r="F3396" t="s">
        <v>28</v>
      </c>
      <c r="G3396" t="s">
        <v>12525</v>
      </c>
      <c r="H3396" t="str">
        <f>"rpl-1"</f>
        <v>rpl-1</v>
      </c>
      <c r="I3396" t="s">
        <v>12527</v>
      </c>
      <c r="J3396">
        <v>17.719273514033901</v>
      </c>
      <c r="K3396">
        <v>17.505817173686001</v>
      </c>
      <c r="L3396">
        <v>17.490101362193901</v>
      </c>
      <c r="M3396">
        <v>17.059853738291501</v>
      </c>
      <c r="N3396">
        <v>16.751883913001901</v>
      </c>
      <c r="O3396">
        <v>17.055432210911299</v>
      </c>
      <c r="P3396">
        <v>-0.61600739590300102</v>
      </c>
      <c r="Q3396">
        <v>-1.09020716238227</v>
      </c>
      <c r="R3396">
        <v>-0.14180762942372899</v>
      </c>
      <c r="S3396">
        <v>17.121587876153999</v>
      </c>
      <c r="T3396">
        <v>-2.7303423397479998</v>
      </c>
      <c r="U3396">
        <v>-3.7908672388606099</v>
      </c>
      <c r="V3396">
        <v>1.37862092689266E-2</v>
      </c>
      <c r="W3396">
        <v>0.10854338249715099</v>
      </c>
      <c r="X3396">
        <v>0</v>
      </c>
      <c r="Y3396">
        <v>0</v>
      </c>
    </row>
    <row r="3397" spans="1:25" x14ac:dyDescent="0.2">
      <c r="A3397" t="s">
        <v>12528</v>
      </c>
      <c r="B3397" t="s">
        <v>12529</v>
      </c>
      <c r="C3397" t="s">
        <v>12530</v>
      </c>
      <c r="D3397" t="s">
        <v>12531</v>
      </c>
      <c r="E3397" t="s">
        <v>12529</v>
      </c>
      <c r="F3397" t="s">
        <v>28</v>
      </c>
      <c r="G3397" t="s">
        <v>12529</v>
      </c>
      <c r="H3397" t="str">
        <f>"vit-3"</f>
        <v>vit-3</v>
      </c>
      <c r="I3397" t="s">
        <v>12531</v>
      </c>
      <c r="J3397">
        <v>18.795656758004601</v>
      </c>
      <c r="K3397">
        <v>18.542328873176</v>
      </c>
      <c r="L3397">
        <v>19.094522904954999</v>
      </c>
      <c r="M3397">
        <v>18.683454329855</v>
      </c>
      <c r="N3397">
        <v>18.970830768410298</v>
      </c>
      <c r="O3397">
        <v>18.859877851190699</v>
      </c>
      <c r="P3397">
        <v>2.7218137773431302E-2</v>
      </c>
      <c r="Q3397">
        <v>-0.381181430008247</v>
      </c>
      <c r="R3397">
        <v>0.43561770555510998</v>
      </c>
      <c r="S3397">
        <v>19.218920101366301</v>
      </c>
      <c r="T3397">
        <v>0.14007661793568699</v>
      </c>
      <c r="U3397">
        <v>-7.0418092226382196</v>
      </c>
      <c r="V3397">
        <v>0.89016403650848197</v>
      </c>
      <c r="W3397">
        <v>0.96108441898279395</v>
      </c>
      <c r="X3397">
        <v>0</v>
      </c>
      <c r="Y3397">
        <v>0</v>
      </c>
    </row>
    <row r="3398" spans="1:25" x14ac:dyDescent="0.2">
      <c r="A3398" t="s">
        <v>12532</v>
      </c>
      <c r="B3398" t="s">
        <v>12533</v>
      </c>
      <c r="C3398" t="s">
        <v>14680</v>
      </c>
      <c r="D3398" t="s">
        <v>649</v>
      </c>
      <c r="E3398" t="s">
        <v>12533</v>
      </c>
      <c r="F3398" t="s">
        <v>28</v>
      </c>
      <c r="G3398" t="s">
        <v>12533</v>
      </c>
      <c r="H3398" t="str">
        <f>"F54A3.2"</f>
        <v>F54A3.2</v>
      </c>
      <c r="I3398" t="s">
        <v>649</v>
      </c>
      <c r="J3398">
        <v>10.6760585757049</v>
      </c>
      <c r="K3398">
        <v>10.9881733337753</v>
      </c>
      <c r="L3398">
        <v>11.5824929796687</v>
      </c>
      <c r="M3398" t="s">
        <v>29</v>
      </c>
      <c r="N3398">
        <v>10.4043100939115</v>
      </c>
      <c r="O3398" t="s">
        <v>29</v>
      </c>
      <c r="P3398">
        <v>-0.67793153580481702</v>
      </c>
      <c r="Q3398">
        <v>-2.22215070366927</v>
      </c>
      <c r="R3398">
        <v>0.86628763205964099</v>
      </c>
      <c r="S3398">
        <v>11.633707807175201</v>
      </c>
      <c r="T3398">
        <v>-0.94921401587769005</v>
      </c>
      <c r="U3398">
        <v>-6.2470141848223504</v>
      </c>
      <c r="V3398">
        <v>0.35996322631972399</v>
      </c>
      <c r="W3398">
        <v>0.63727983593274296</v>
      </c>
      <c r="X3398">
        <v>0</v>
      </c>
      <c r="Y3398">
        <v>0</v>
      </c>
    </row>
    <row r="3399" spans="1:25" x14ac:dyDescent="0.2">
      <c r="A3399" t="s">
        <v>12534</v>
      </c>
      <c r="B3399" t="s">
        <v>12535</v>
      </c>
      <c r="C3399" t="s">
        <v>12536</v>
      </c>
      <c r="D3399" t="s">
        <v>12537</v>
      </c>
      <c r="E3399" t="s">
        <v>12535</v>
      </c>
      <c r="F3399" t="s">
        <v>28</v>
      </c>
      <c r="G3399" t="s">
        <v>12535</v>
      </c>
      <c r="H3399" t="str">
        <f>"cct-3"</f>
        <v>cct-3</v>
      </c>
      <c r="I3399" t="s">
        <v>12537</v>
      </c>
      <c r="J3399">
        <v>18.466031267958002</v>
      </c>
      <c r="K3399">
        <v>18.270094321803299</v>
      </c>
      <c r="L3399">
        <v>18.290040655899102</v>
      </c>
      <c r="M3399">
        <v>18.252518268425</v>
      </c>
      <c r="N3399">
        <v>18.131676970371199</v>
      </c>
      <c r="O3399">
        <v>17.952337946401499</v>
      </c>
      <c r="P3399">
        <v>-0.22987768682092</v>
      </c>
      <c r="Q3399">
        <v>-0.57054253156955104</v>
      </c>
      <c r="R3399">
        <v>0.110787157927711</v>
      </c>
      <c r="S3399">
        <v>17.931919577686099</v>
      </c>
      <c r="T3399">
        <v>-1.41828011220743</v>
      </c>
      <c r="U3399">
        <v>-6.0534784048519397</v>
      </c>
      <c r="V3399">
        <v>0.17328938040360101</v>
      </c>
      <c r="W3399">
        <v>0.43242610723413899</v>
      </c>
      <c r="X3399">
        <v>0</v>
      </c>
      <c r="Y3399">
        <v>0</v>
      </c>
    </row>
    <row r="3400" spans="1:25" x14ac:dyDescent="0.2">
      <c r="A3400" t="s">
        <v>12538</v>
      </c>
      <c r="B3400" t="s">
        <v>12539</v>
      </c>
      <c r="C3400" t="s">
        <v>14681</v>
      </c>
      <c r="D3400" t="s">
        <v>7638</v>
      </c>
      <c r="E3400" t="s">
        <v>12539</v>
      </c>
      <c r="F3400" t="s">
        <v>28</v>
      </c>
      <c r="G3400" t="s">
        <v>12539</v>
      </c>
      <c r="H3400" t="str">
        <f>"ZK973.1"</f>
        <v>ZK973.1</v>
      </c>
      <c r="I3400" t="s">
        <v>7638</v>
      </c>
      <c r="J3400">
        <v>15.7096019161614</v>
      </c>
      <c r="K3400">
        <v>15.3016762657708</v>
      </c>
      <c r="L3400">
        <v>14.7279906419956</v>
      </c>
      <c r="M3400">
        <v>15.699202563239</v>
      </c>
      <c r="N3400">
        <v>14.8022959237185</v>
      </c>
      <c r="O3400">
        <v>14.9682918933983</v>
      </c>
      <c r="P3400">
        <v>-8.9826147857289498E-2</v>
      </c>
      <c r="Q3400">
        <v>-0.69306107455522503</v>
      </c>
      <c r="R3400">
        <v>0.51340877884064595</v>
      </c>
      <c r="S3400">
        <v>14.8511340427569</v>
      </c>
      <c r="T3400">
        <v>-0.31297439598876298</v>
      </c>
      <c r="U3400">
        <v>-7.0008938554124303</v>
      </c>
      <c r="V3400">
        <v>0.75791829211907402</v>
      </c>
      <c r="W3400">
        <v>0.89860268721804304</v>
      </c>
      <c r="X3400">
        <v>0</v>
      </c>
      <c r="Y3400">
        <v>0</v>
      </c>
    </row>
    <row r="3401" spans="1:25" x14ac:dyDescent="0.2">
      <c r="A3401" t="s">
        <v>12540</v>
      </c>
      <c r="B3401" t="s">
        <v>12541</v>
      </c>
      <c r="C3401" t="s">
        <v>12542</v>
      </c>
      <c r="D3401" t="s">
        <v>3680</v>
      </c>
      <c r="E3401" t="s">
        <v>12541</v>
      </c>
      <c r="F3401" t="s">
        <v>28</v>
      </c>
      <c r="G3401" t="s">
        <v>12541</v>
      </c>
      <c r="H3401" t="str">
        <f>"cec-10"</f>
        <v>cec-10</v>
      </c>
      <c r="I3401" t="s">
        <v>3680</v>
      </c>
      <c r="J3401" t="s">
        <v>29</v>
      </c>
      <c r="K3401">
        <v>11.949671822298599</v>
      </c>
      <c r="L3401" t="s">
        <v>29</v>
      </c>
      <c r="M3401" t="s">
        <v>29</v>
      </c>
      <c r="N3401" t="s">
        <v>29</v>
      </c>
      <c r="O3401" t="s">
        <v>29</v>
      </c>
      <c r="P3401" t="s">
        <v>29</v>
      </c>
      <c r="Q3401" t="s">
        <v>29</v>
      </c>
      <c r="R3401" t="s">
        <v>29</v>
      </c>
      <c r="S3401">
        <v>12.229301182297601</v>
      </c>
      <c r="T3401" t="s">
        <v>29</v>
      </c>
      <c r="U3401" t="s">
        <v>29</v>
      </c>
      <c r="V3401" t="s">
        <v>29</v>
      </c>
      <c r="W3401" t="s">
        <v>29</v>
      </c>
      <c r="X3401" t="s">
        <v>29</v>
      </c>
      <c r="Y3401" t="s">
        <v>29</v>
      </c>
    </row>
    <row r="3402" spans="1:25" x14ac:dyDescent="0.2">
      <c r="A3402" t="s">
        <v>12543</v>
      </c>
      <c r="B3402" t="s">
        <v>12544</v>
      </c>
      <c r="C3402" t="s">
        <v>12545</v>
      </c>
      <c r="D3402" t="s">
        <v>11632</v>
      </c>
      <c r="E3402" t="s">
        <v>12544</v>
      </c>
      <c r="F3402" t="s">
        <v>28</v>
      </c>
      <c r="G3402" t="s">
        <v>12544</v>
      </c>
      <c r="H3402" t="str">
        <f>"pdp-1"</f>
        <v>pdp-1</v>
      </c>
      <c r="I3402" t="s">
        <v>11632</v>
      </c>
      <c r="J3402">
        <v>12.7561999571407</v>
      </c>
      <c r="K3402">
        <v>12.7788188721326</v>
      </c>
      <c r="L3402">
        <v>12.9406946596878</v>
      </c>
      <c r="M3402">
        <v>12.950739286728099</v>
      </c>
      <c r="N3402">
        <v>12.9557666646448</v>
      </c>
      <c r="O3402">
        <v>12.6823975971122</v>
      </c>
      <c r="P3402">
        <v>3.7730019841299998E-2</v>
      </c>
      <c r="Q3402">
        <v>-0.35916913705671</v>
      </c>
      <c r="R3402">
        <v>0.43462917673931001</v>
      </c>
      <c r="S3402">
        <v>12.8843008672444</v>
      </c>
      <c r="T3402">
        <v>0.20163057426036601</v>
      </c>
      <c r="U3402">
        <v>-7.0306663952829904</v>
      </c>
      <c r="V3402">
        <v>0.84276333351567201</v>
      </c>
      <c r="W3402">
        <v>0.93851878414099799</v>
      </c>
      <c r="X3402">
        <v>0</v>
      </c>
      <c r="Y3402">
        <v>0</v>
      </c>
    </row>
    <row r="3403" spans="1:25" x14ac:dyDescent="0.2">
      <c r="A3403" t="s">
        <v>12546</v>
      </c>
      <c r="B3403" t="s">
        <v>12547</v>
      </c>
      <c r="C3403" t="s">
        <v>12548</v>
      </c>
      <c r="D3403" t="s">
        <v>12549</v>
      </c>
      <c r="E3403" t="s">
        <v>12547</v>
      </c>
      <c r="F3403" t="s">
        <v>28</v>
      </c>
      <c r="G3403" t="s">
        <v>12547</v>
      </c>
      <c r="H3403" t="str">
        <f>"anc-1"</f>
        <v>anc-1</v>
      </c>
      <c r="I3403" t="s">
        <v>12549</v>
      </c>
      <c r="J3403">
        <v>13.298059752452099</v>
      </c>
      <c r="K3403">
        <v>13.2842664327124</v>
      </c>
      <c r="L3403">
        <v>12.9388944649831</v>
      </c>
      <c r="M3403">
        <v>14.920384116227901</v>
      </c>
      <c r="N3403">
        <v>15.183928681884</v>
      </c>
      <c r="O3403">
        <v>14.935369707208601</v>
      </c>
      <c r="P3403">
        <v>1.83948728505764</v>
      </c>
      <c r="Q3403">
        <v>1.40651527627186</v>
      </c>
      <c r="R3403">
        <v>2.2724592938434101</v>
      </c>
      <c r="S3403">
        <v>13.9538920508211</v>
      </c>
      <c r="T3403">
        <v>8.9678220695049493</v>
      </c>
      <c r="U3403">
        <v>8.3071791382979594</v>
      </c>
      <c r="V3403" s="2">
        <v>7.8448785100936606E-8</v>
      </c>
      <c r="W3403" s="2">
        <v>8.5090782239482499E-6</v>
      </c>
      <c r="X3403">
        <v>1</v>
      </c>
      <c r="Y3403">
        <v>1</v>
      </c>
    </row>
    <row r="3404" spans="1:25" x14ac:dyDescent="0.2">
      <c r="A3404" t="s">
        <v>12550</v>
      </c>
      <c r="B3404" t="s">
        <v>12551</v>
      </c>
      <c r="C3404" t="s">
        <v>12552</v>
      </c>
      <c r="D3404" t="s">
        <v>12553</v>
      </c>
      <c r="E3404" t="s">
        <v>12551</v>
      </c>
      <c r="F3404" t="s">
        <v>28</v>
      </c>
      <c r="G3404" t="s">
        <v>12551</v>
      </c>
      <c r="H3404" t="str">
        <f>"perm-3"</f>
        <v>perm-3</v>
      </c>
      <c r="I3404" t="s">
        <v>12553</v>
      </c>
      <c r="J3404">
        <v>14.9808613052582</v>
      </c>
      <c r="K3404">
        <v>15.352051095497099</v>
      </c>
      <c r="L3404">
        <v>14.944385571071299</v>
      </c>
      <c r="M3404">
        <v>15.109969394928401</v>
      </c>
      <c r="N3404">
        <v>14.7310172053707</v>
      </c>
      <c r="O3404">
        <v>14.9359186772</v>
      </c>
      <c r="P3404">
        <v>-0.16679756477580901</v>
      </c>
      <c r="Q3404">
        <v>-0.57211949040908106</v>
      </c>
      <c r="R3404">
        <v>0.23852436085746301</v>
      </c>
      <c r="S3404">
        <v>14.8443575706575</v>
      </c>
      <c r="T3404">
        <v>-0.87284903931533797</v>
      </c>
      <c r="U3404">
        <v>-6.6595653588108004</v>
      </c>
      <c r="V3404">
        <v>0.395740168503464</v>
      </c>
      <c r="W3404">
        <v>0.671396511110674</v>
      </c>
      <c r="X3404">
        <v>0</v>
      </c>
      <c r="Y3404">
        <v>0</v>
      </c>
    </row>
    <row r="3405" spans="1:25" x14ac:dyDescent="0.2">
      <c r="A3405" t="s">
        <v>12554</v>
      </c>
      <c r="B3405" t="s">
        <v>12555</v>
      </c>
      <c r="C3405" t="s">
        <v>12556</v>
      </c>
      <c r="D3405" t="s">
        <v>12557</v>
      </c>
      <c r="E3405" t="s">
        <v>12555</v>
      </c>
      <c r="F3405" t="s">
        <v>28</v>
      </c>
      <c r="G3405" t="s">
        <v>12555</v>
      </c>
      <c r="H3405" t="str">
        <f>"swsn-6"</f>
        <v>swsn-6</v>
      </c>
      <c r="I3405" t="s">
        <v>12557</v>
      </c>
      <c r="J3405">
        <v>13.8686163689854</v>
      </c>
      <c r="K3405">
        <v>13.7072433225034</v>
      </c>
      <c r="L3405">
        <v>13.758261791557899</v>
      </c>
      <c r="M3405">
        <v>13.9583369813455</v>
      </c>
      <c r="N3405">
        <v>13.750847671250201</v>
      </c>
      <c r="O3405">
        <v>13.7172990235829</v>
      </c>
      <c r="P3405">
        <v>3.0787397710616601E-2</v>
      </c>
      <c r="Q3405">
        <v>-0.42134592328776399</v>
      </c>
      <c r="R3405">
        <v>0.482920718708997</v>
      </c>
      <c r="S3405">
        <v>14.1088774648588</v>
      </c>
      <c r="T3405">
        <v>0.143119556096935</v>
      </c>
      <c r="U3405">
        <v>-7.04135812075359</v>
      </c>
      <c r="V3405">
        <v>0.88779498559384995</v>
      </c>
      <c r="W3405">
        <v>0.96040055954866699</v>
      </c>
      <c r="X3405">
        <v>0</v>
      </c>
      <c r="Y3405">
        <v>0</v>
      </c>
    </row>
    <row r="3406" spans="1:25" x14ac:dyDescent="0.2">
      <c r="A3406" t="s">
        <v>12558</v>
      </c>
      <c r="B3406" t="s">
        <v>12559</v>
      </c>
      <c r="C3406" t="s">
        <v>14682</v>
      </c>
      <c r="D3406" t="s">
        <v>12560</v>
      </c>
      <c r="E3406" t="s">
        <v>12559</v>
      </c>
      <c r="F3406" t="s">
        <v>28</v>
      </c>
      <c r="G3406" t="s">
        <v>12559</v>
      </c>
      <c r="H3406" t="str">
        <f>"ZK121.2"</f>
        <v>ZK121.2</v>
      </c>
      <c r="I3406" t="s">
        <v>12560</v>
      </c>
      <c r="J3406">
        <v>12.503316476319</v>
      </c>
      <c r="K3406" t="s">
        <v>29</v>
      </c>
      <c r="L3406" t="s">
        <v>29</v>
      </c>
      <c r="M3406">
        <v>12.8480450306837</v>
      </c>
      <c r="N3406" t="s">
        <v>29</v>
      </c>
      <c r="O3406" t="s">
        <v>29</v>
      </c>
      <c r="P3406">
        <v>0.34472855436470501</v>
      </c>
      <c r="Q3406">
        <v>-0.84651813550221</v>
      </c>
      <c r="R3406">
        <v>1.5359752442316199</v>
      </c>
      <c r="S3406">
        <v>12.927158468563499</v>
      </c>
      <c r="T3406">
        <v>0.637680658485824</v>
      </c>
      <c r="U3406">
        <v>-6.2969504521783701</v>
      </c>
      <c r="V3406">
        <v>0.53685265118270997</v>
      </c>
      <c r="W3406">
        <v>0.77501266500839605</v>
      </c>
      <c r="X3406">
        <v>0</v>
      </c>
      <c r="Y3406">
        <v>0</v>
      </c>
    </row>
    <row r="3407" spans="1:25" x14ac:dyDescent="0.2">
      <c r="A3407" t="s">
        <v>12561</v>
      </c>
      <c r="B3407" t="s">
        <v>12562</v>
      </c>
      <c r="C3407" t="s">
        <v>14683</v>
      </c>
      <c r="D3407" t="s">
        <v>12563</v>
      </c>
      <c r="E3407" t="s">
        <v>12562</v>
      </c>
      <c r="F3407" t="s">
        <v>28</v>
      </c>
      <c r="G3407" t="s">
        <v>12562</v>
      </c>
      <c r="H3407" t="str">
        <f>"Y53G8B.2"</f>
        <v>Y53G8B.2</v>
      </c>
      <c r="I3407" t="s">
        <v>12563</v>
      </c>
      <c r="J3407">
        <v>12.3520815842571</v>
      </c>
      <c r="K3407">
        <v>12.9613020045359</v>
      </c>
      <c r="L3407">
        <v>13.107472618185801</v>
      </c>
      <c r="M3407">
        <v>13.6363977764636</v>
      </c>
      <c r="N3407">
        <v>13.8368624327637</v>
      </c>
      <c r="O3407">
        <v>13.5095009675235</v>
      </c>
      <c r="P3407">
        <v>0.85396832325731598</v>
      </c>
      <c r="Q3407">
        <v>0.35100729953059701</v>
      </c>
      <c r="R3407">
        <v>1.35692934698404</v>
      </c>
      <c r="S3407">
        <v>13.245867590501501</v>
      </c>
      <c r="T3407">
        <v>3.6012805872518898</v>
      </c>
      <c r="U3407">
        <v>-2.06278385313917</v>
      </c>
      <c r="V3407">
        <v>2.41460479222686E-3</v>
      </c>
      <c r="W3407">
        <v>3.2738016641275902E-2</v>
      </c>
      <c r="X3407">
        <v>0</v>
      </c>
      <c r="Y3407">
        <v>0</v>
      </c>
    </row>
    <row r="3408" spans="1:25" x14ac:dyDescent="0.2">
      <c r="A3408" t="s">
        <v>12564</v>
      </c>
      <c r="B3408" t="s">
        <v>12565</v>
      </c>
      <c r="C3408" t="s">
        <v>14684</v>
      </c>
      <c r="D3408" t="s">
        <v>12566</v>
      </c>
      <c r="E3408" t="s">
        <v>12565</v>
      </c>
      <c r="F3408" t="s">
        <v>28</v>
      </c>
      <c r="G3408" t="s">
        <v>12565</v>
      </c>
      <c r="H3408" t="str">
        <f>"Y47D9A.1"</f>
        <v>Y47D9A.1</v>
      </c>
      <c r="I3408" t="s">
        <v>12566</v>
      </c>
      <c r="J3408">
        <v>13.7151478047219</v>
      </c>
      <c r="K3408">
        <v>14.1300891539557</v>
      </c>
      <c r="L3408">
        <v>13.944365467968501</v>
      </c>
      <c r="M3408">
        <v>13.8706437546443</v>
      </c>
      <c r="N3408">
        <v>13.8319234778624</v>
      </c>
      <c r="O3408">
        <v>13.7826933333202</v>
      </c>
      <c r="P3408">
        <v>-0.101447286939786</v>
      </c>
      <c r="Q3408">
        <v>-0.47577732585328503</v>
      </c>
      <c r="R3408">
        <v>0.27288275197371298</v>
      </c>
      <c r="S3408">
        <v>13.468709218549799</v>
      </c>
      <c r="T3408">
        <v>-0.57482452267799999</v>
      </c>
      <c r="U3408">
        <v>-6.8795707201291902</v>
      </c>
      <c r="V3408">
        <v>0.57345686944577001</v>
      </c>
      <c r="W3408">
        <v>0.79405474603256898</v>
      </c>
      <c r="X3408">
        <v>0</v>
      </c>
      <c r="Y3408">
        <v>0</v>
      </c>
    </row>
    <row r="3409" spans="1:25" x14ac:dyDescent="0.2">
      <c r="A3409" t="s">
        <v>12567</v>
      </c>
      <c r="B3409" t="s">
        <v>12568</v>
      </c>
      <c r="C3409" t="s">
        <v>12569</v>
      </c>
      <c r="D3409" t="s">
        <v>2051</v>
      </c>
      <c r="E3409" t="s">
        <v>12568</v>
      </c>
      <c r="F3409" t="s">
        <v>28</v>
      </c>
      <c r="G3409" t="s">
        <v>12568</v>
      </c>
      <c r="H3409" t="str">
        <f>"fbxc-51"</f>
        <v>fbxc-51</v>
      </c>
      <c r="I3409" t="s">
        <v>2051</v>
      </c>
      <c r="J3409">
        <v>13.1002106683903</v>
      </c>
      <c r="K3409">
        <v>13.1623768153533</v>
      </c>
      <c r="L3409">
        <v>12.672080386973599</v>
      </c>
      <c r="M3409">
        <v>12.0402223162907</v>
      </c>
      <c r="N3409" t="s">
        <v>29</v>
      </c>
      <c r="O3409">
        <v>12.640263158047601</v>
      </c>
      <c r="P3409">
        <v>-0.63797988640325998</v>
      </c>
      <c r="Q3409">
        <v>-1.5366961956599401</v>
      </c>
      <c r="R3409">
        <v>0.26073642285342202</v>
      </c>
      <c r="S3409">
        <v>12.754453864668401</v>
      </c>
      <c r="T3409">
        <v>-1.51400032972502</v>
      </c>
      <c r="U3409">
        <v>-5.81503164840215</v>
      </c>
      <c r="V3409">
        <v>0.15095439318335499</v>
      </c>
      <c r="W3409">
        <v>0.40314006532164898</v>
      </c>
      <c r="X3409">
        <v>0</v>
      </c>
      <c r="Y3409">
        <v>0</v>
      </c>
    </row>
    <row r="3410" spans="1:25" x14ac:dyDescent="0.2">
      <c r="A3410" t="s">
        <v>12570</v>
      </c>
      <c r="B3410" t="s">
        <v>12571</v>
      </c>
      <c r="C3410" t="s">
        <v>12572</v>
      </c>
      <c r="D3410" t="s">
        <v>12573</v>
      </c>
      <c r="E3410" t="s">
        <v>12571</v>
      </c>
      <c r="F3410" t="s">
        <v>28</v>
      </c>
      <c r="G3410" t="s">
        <v>12571</v>
      </c>
      <c r="H3410" t="str">
        <f>"nuo-5"</f>
        <v>nuo-5</v>
      </c>
      <c r="I3410" t="s">
        <v>12573</v>
      </c>
      <c r="J3410">
        <v>14.7958667605006</v>
      </c>
      <c r="K3410">
        <v>15.0344003011555</v>
      </c>
      <c r="L3410">
        <v>15.059474099555199</v>
      </c>
      <c r="M3410">
        <v>14.0624589708573</v>
      </c>
      <c r="N3410">
        <v>14.614161757167899</v>
      </c>
      <c r="O3410">
        <v>15.043480632415299</v>
      </c>
      <c r="P3410">
        <v>-0.38987993359025302</v>
      </c>
      <c r="Q3410">
        <v>-0.99194152638732602</v>
      </c>
      <c r="R3410">
        <v>0.212181659206821</v>
      </c>
      <c r="S3410">
        <v>15.228153136306</v>
      </c>
      <c r="T3410">
        <v>-1.3610763047886001</v>
      </c>
      <c r="U3410">
        <v>-6.1286209245536796</v>
      </c>
      <c r="V3410">
        <v>0.19038445200232401</v>
      </c>
      <c r="W3410">
        <v>0.451867984548186</v>
      </c>
      <c r="X3410">
        <v>0</v>
      </c>
      <c r="Y3410">
        <v>0</v>
      </c>
    </row>
    <row r="3411" spans="1:25" x14ac:dyDescent="0.2">
      <c r="A3411" t="s">
        <v>12574</v>
      </c>
      <c r="B3411" t="s">
        <v>12575</v>
      </c>
      <c r="C3411" t="s">
        <v>12576</v>
      </c>
      <c r="D3411" t="s">
        <v>12577</v>
      </c>
      <c r="E3411" t="s">
        <v>12575</v>
      </c>
      <c r="F3411" t="s">
        <v>28</v>
      </c>
      <c r="G3411" t="s">
        <v>12575</v>
      </c>
      <c r="H3411" t="str">
        <f>"Y45G12B.3"</f>
        <v>Y45G12B.3</v>
      </c>
      <c r="I3411" t="s">
        <v>12577</v>
      </c>
      <c r="J3411">
        <v>16.0136891995257</v>
      </c>
      <c r="K3411">
        <v>15.808921414194</v>
      </c>
      <c r="L3411">
        <v>15.564683599431101</v>
      </c>
      <c r="M3411">
        <v>15.799853772038199</v>
      </c>
      <c r="N3411">
        <v>15.630332899196301</v>
      </c>
      <c r="O3411">
        <v>15.5916396664211</v>
      </c>
      <c r="P3411">
        <v>-0.12182262516506299</v>
      </c>
      <c r="Q3411">
        <v>-0.62350163867527397</v>
      </c>
      <c r="R3411">
        <v>0.37985638834514901</v>
      </c>
      <c r="S3411">
        <v>15.442810231447201</v>
      </c>
      <c r="T3411">
        <v>-0.51038104088067604</v>
      </c>
      <c r="U3411">
        <v>-6.9165649719453102</v>
      </c>
      <c r="V3411">
        <v>0.61602247765516804</v>
      </c>
      <c r="W3411">
        <v>0.81918150481811003</v>
      </c>
      <c r="X3411">
        <v>0</v>
      </c>
      <c r="Y3411">
        <v>0</v>
      </c>
    </row>
    <row r="3412" spans="1:25" x14ac:dyDescent="0.2">
      <c r="A3412" t="s">
        <v>12578</v>
      </c>
      <c r="B3412" t="s">
        <v>12579</v>
      </c>
      <c r="C3412" t="s">
        <v>14685</v>
      </c>
      <c r="D3412" t="s">
        <v>12580</v>
      </c>
      <c r="E3412" t="s">
        <v>12579</v>
      </c>
      <c r="F3412" t="s">
        <v>28</v>
      </c>
      <c r="G3412" t="s">
        <v>12579</v>
      </c>
      <c r="H3412" t="str">
        <f>"Y32H12A.8"</f>
        <v>Y32H12A.8</v>
      </c>
      <c r="I3412" t="s">
        <v>12580</v>
      </c>
      <c r="J3412">
        <v>12.051420541932499</v>
      </c>
      <c r="K3412">
        <v>12.5887535817592</v>
      </c>
      <c r="L3412">
        <v>13.803138298352399</v>
      </c>
      <c r="M3412" t="s">
        <v>29</v>
      </c>
      <c r="N3412">
        <v>13.0810968313441</v>
      </c>
      <c r="O3412" t="s">
        <v>29</v>
      </c>
      <c r="P3412">
        <v>0.266659357329397</v>
      </c>
      <c r="Q3412">
        <v>-0.96151290985509497</v>
      </c>
      <c r="R3412">
        <v>1.49483162451389</v>
      </c>
      <c r="S3412">
        <v>12.851632141945601</v>
      </c>
      <c r="T3412">
        <v>0.46600377447540398</v>
      </c>
      <c r="U3412">
        <v>-6.5953741854255199</v>
      </c>
      <c r="V3412">
        <v>0.64843375911450796</v>
      </c>
      <c r="W3412">
        <v>0.84030404307391804</v>
      </c>
      <c r="X3412">
        <v>0</v>
      </c>
      <c r="Y3412">
        <v>0</v>
      </c>
    </row>
    <row r="3413" spans="1:25" x14ac:dyDescent="0.2">
      <c r="A3413" t="s">
        <v>12581</v>
      </c>
      <c r="B3413" t="s">
        <v>12582</v>
      </c>
      <c r="C3413" t="s">
        <v>12583</v>
      </c>
      <c r="D3413" t="s">
        <v>12584</v>
      </c>
      <c r="E3413" t="s">
        <v>12582</v>
      </c>
      <c r="F3413" t="s">
        <v>28</v>
      </c>
      <c r="G3413" t="s">
        <v>12582</v>
      </c>
      <c r="H3413" t="str">
        <f>"dhs-9"</f>
        <v>dhs-9</v>
      </c>
      <c r="I3413" t="s">
        <v>12584</v>
      </c>
      <c r="J3413">
        <v>14.989204354407899</v>
      </c>
      <c r="K3413">
        <v>15.042745217704899</v>
      </c>
      <c r="L3413">
        <v>14.8039502729587</v>
      </c>
      <c r="M3413">
        <v>15.2149445755673</v>
      </c>
      <c r="N3413">
        <v>15.1854701872745</v>
      </c>
      <c r="O3413">
        <v>15.044977864532299</v>
      </c>
      <c r="P3413">
        <v>0.203164260767522</v>
      </c>
      <c r="Q3413">
        <v>-0.106580915642912</v>
      </c>
      <c r="R3413">
        <v>0.51290943717795701</v>
      </c>
      <c r="S3413">
        <v>14.630380893470701</v>
      </c>
      <c r="T3413">
        <v>1.37859047493389</v>
      </c>
      <c r="U3413">
        <v>-6.1058789016683299</v>
      </c>
      <c r="V3413">
        <v>0.18501251467027499</v>
      </c>
      <c r="W3413">
        <v>0.44827306235076297</v>
      </c>
      <c r="X3413">
        <v>0</v>
      </c>
      <c r="Y3413">
        <v>0</v>
      </c>
    </row>
    <row r="3414" spans="1:25" x14ac:dyDescent="0.2">
      <c r="A3414" t="s">
        <v>12585</v>
      </c>
      <c r="B3414" t="s">
        <v>12586</v>
      </c>
      <c r="C3414" t="s">
        <v>14686</v>
      </c>
      <c r="D3414" t="s">
        <v>12587</v>
      </c>
      <c r="E3414" t="s">
        <v>12586</v>
      </c>
      <c r="F3414" t="s">
        <v>28</v>
      </c>
      <c r="G3414" t="s">
        <v>12586</v>
      </c>
      <c r="H3414" t="str">
        <f>"Y17G9B.5"</f>
        <v>Y17G9B.5</v>
      </c>
      <c r="I3414" t="s">
        <v>12587</v>
      </c>
      <c r="J3414">
        <v>11.4971925979572</v>
      </c>
      <c r="K3414">
        <v>12.2039134101096</v>
      </c>
      <c r="L3414">
        <v>12.6311153017281</v>
      </c>
      <c r="M3414">
        <v>11.071214040412199</v>
      </c>
      <c r="N3414">
        <v>11.594564791466</v>
      </c>
      <c r="O3414">
        <v>11.2712558613238</v>
      </c>
      <c r="P3414">
        <v>-0.79839553886430004</v>
      </c>
      <c r="Q3414">
        <v>-1.47347478958112</v>
      </c>
      <c r="R3414">
        <v>-0.12331628814748399</v>
      </c>
      <c r="S3414">
        <v>12.8279836735007</v>
      </c>
      <c r="T3414">
        <v>-2.5084928745289599</v>
      </c>
      <c r="U3414">
        <v>-4.2591462326445502</v>
      </c>
      <c r="V3414">
        <v>2.3354312915532499E-2</v>
      </c>
      <c r="W3414">
        <v>0.149244234732577</v>
      </c>
      <c r="X3414">
        <v>0</v>
      </c>
      <c r="Y3414">
        <v>0</v>
      </c>
    </row>
    <row r="3415" spans="1:25" x14ac:dyDescent="0.2">
      <c r="A3415" t="s">
        <v>12588</v>
      </c>
      <c r="B3415" t="s">
        <v>12589</v>
      </c>
      <c r="C3415" t="s">
        <v>12590</v>
      </c>
      <c r="D3415" t="s">
        <v>12591</v>
      </c>
      <c r="E3415" t="s">
        <v>12589</v>
      </c>
      <c r="F3415" t="s">
        <v>28</v>
      </c>
      <c r="G3415" t="s">
        <v>12589</v>
      </c>
      <c r="H3415" t="str">
        <f>"let-630"</f>
        <v>let-630</v>
      </c>
      <c r="I3415" t="s">
        <v>12591</v>
      </c>
      <c r="J3415">
        <v>13.450448591530799</v>
      </c>
      <c r="K3415">
        <v>13.384642035592201</v>
      </c>
      <c r="L3415">
        <v>13.386360102363</v>
      </c>
      <c r="M3415">
        <v>12.9838278921629</v>
      </c>
      <c r="N3415">
        <v>13.048187251656101</v>
      </c>
      <c r="O3415">
        <v>12.874221004846699</v>
      </c>
      <c r="P3415">
        <v>-0.43840486027339098</v>
      </c>
      <c r="Q3415">
        <v>-0.91855983424221899</v>
      </c>
      <c r="R3415">
        <v>4.17501136954379E-2</v>
      </c>
      <c r="S3415">
        <v>13.7025017012606</v>
      </c>
      <c r="T3415">
        <v>-1.9190506672593299</v>
      </c>
      <c r="U3415">
        <v>-5.2983330559417299</v>
      </c>
      <c r="V3415">
        <v>7.1070232675104594E-2</v>
      </c>
      <c r="W3415">
        <v>0.27113561454301999</v>
      </c>
      <c r="X3415">
        <v>0</v>
      </c>
      <c r="Y3415">
        <v>0</v>
      </c>
    </row>
    <row r="3416" spans="1:25" x14ac:dyDescent="0.2">
      <c r="A3416" t="s">
        <v>12592</v>
      </c>
      <c r="B3416" t="s">
        <v>12593</v>
      </c>
      <c r="C3416" t="s">
        <v>12594</v>
      </c>
      <c r="D3416" t="s">
        <v>12595</v>
      </c>
      <c r="E3416" t="s">
        <v>12593</v>
      </c>
      <c r="F3416" t="s">
        <v>28</v>
      </c>
      <c r="G3416" t="s">
        <v>12593</v>
      </c>
      <c r="H3416" t="str">
        <f>"mtm-1"</f>
        <v>mtm-1</v>
      </c>
      <c r="I3416" t="s">
        <v>12595</v>
      </c>
      <c r="J3416">
        <v>12.5912807013475</v>
      </c>
      <c r="K3416">
        <v>12.939670348845</v>
      </c>
      <c r="L3416">
        <v>12.000966414279301</v>
      </c>
      <c r="M3416">
        <v>13.377999704865299</v>
      </c>
      <c r="N3416">
        <v>13.1680223657106</v>
      </c>
      <c r="O3416">
        <v>13.463450955334901</v>
      </c>
      <c r="P3416">
        <v>0.82585185381302895</v>
      </c>
      <c r="Q3416">
        <v>0.37027020491687601</v>
      </c>
      <c r="R3416">
        <v>1.2814335027091801</v>
      </c>
      <c r="S3416">
        <v>12.8503483438715</v>
      </c>
      <c r="T3416">
        <v>3.8449036010236299</v>
      </c>
      <c r="U3416">
        <v>-1.55492403495805</v>
      </c>
      <c r="V3416">
        <v>1.4459879726686001E-3</v>
      </c>
      <c r="W3416">
        <v>2.2405927919350602E-2</v>
      </c>
      <c r="X3416">
        <v>0</v>
      </c>
      <c r="Y3416">
        <v>0</v>
      </c>
    </row>
    <row r="3417" spans="1:25" x14ac:dyDescent="0.2">
      <c r="A3417" t="s">
        <v>12596</v>
      </c>
      <c r="B3417" t="s">
        <v>12597</v>
      </c>
      <c r="C3417" t="s">
        <v>12598</v>
      </c>
      <c r="D3417" t="s">
        <v>12599</v>
      </c>
      <c r="E3417" t="s">
        <v>12597</v>
      </c>
      <c r="F3417" t="s">
        <v>28</v>
      </c>
      <c r="G3417" t="s">
        <v>12597</v>
      </c>
      <c r="H3417" t="str">
        <f>"pfkb-1.1"</f>
        <v>pfkb-1.1</v>
      </c>
      <c r="I3417" t="s">
        <v>12599</v>
      </c>
      <c r="J3417">
        <v>11.6895300372028</v>
      </c>
      <c r="K3417" t="s">
        <v>29</v>
      </c>
      <c r="L3417" t="s">
        <v>29</v>
      </c>
      <c r="M3417">
        <v>13.6295830564044</v>
      </c>
      <c r="N3417">
        <v>14.276518455240099</v>
      </c>
      <c r="O3417">
        <v>14.3740148123634</v>
      </c>
      <c r="P3417">
        <v>2.40384207079981</v>
      </c>
      <c r="Q3417">
        <v>1.2469326124904201</v>
      </c>
      <c r="R3417">
        <v>3.56075152910921</v>
      </c>
      <c r="S3417">
        <v>12.950795678508401</v>
      </c>
      <c r="T3417">
        <v>4.4314735948413899</v>
      </c>
      <c r="U3417">
        <v>-0.17752393078606399</v>
      </c>
      <c r="V3417">
        <v>4.9324634218392597E-4</v>
      </c>
      <c r="W3417">
        <v>1.07001573164433E-2</v>
      </c>
      <c r="X3417">
        <v>1</v>
      </c>
      <c r="Y3417">
        <v>1</v>
      </c>
    </row>
    <row r="3418" spans="1:25" x14ac:dyDescent="0.2">
      <c r="A3418" t="s">
        <v>12600</v>
      </c>
      <c r="B3418" t="s">
        <v>12601</v>
      </c>
      <c r="C3418" t="s">
        <v>12602</v>
      </c>
      <c r="D3418" t="s">
        <v>12603</v>
      </c>
      <c r="E3418" t="s">
        <v>12601</v>
      </c>
      <c r="F3418" t="s">
        <v>28</v>
      </c>
      <c r="G3418" t="s">
        <v>12601</v>
      </c>
      <c r="H3418" t="str">
        <f>"prp-31"</f>
        <v>prp-31</v>
      </c>
      <c r="I3418" t="s">
        <v>12603</v>
      </c>
      <c r="J3418">
        <v>14.4372472642732</v>
      </c>
      <c r="K3418">
        <v>14.396370172303801</v>
      </c>
      <c r="L3418">
        <v>14.274591376259201</v>
      </c>
      <c r="M3418">
        <v>14.483264612927499</v>
      </c>
      <c r="N3418">
        <v>14.4659018612648</v>
      </c>
      <c r="O3418">
        <v>14.128889845332001</v>
      </c>
      <c r="P3418">
        <v>-1.00508311040013E-2</v>
      </c>
      <c r="Q3418">
        <v>-0.37914812463939002</v>
      </c>
      <c r="R3418">
        <v>0.35904646243138799</v>
      </c>
      <c r="S3418">
        <v>14.214620772958799</v>
      </c>
      <c r="T3418">
        <v>-5.7233937848518497E-2</v>
      </c>
      <c r="U3418">
        <v>-7.0503699127699297</v>
      </c>
      <c r="V3418">
        <v>0.95499307786531995</v>
      </c>
      <c r="W3418">
        <v>0.97752358457809096</v>
      </c>
      <c r="X3418">
        <v>0</v>
      </c>
      <c r="Y3418">
        <v>0</v>
      </c>
    </row>
    <row r="3419" spans="1:25" x14ac:dyDescent="0.2">
      <c r="A3419" t="s">
        <v>12604</v>
      </c>
      <c r="B3419" t="s">
        <v>12605</v>
      </c>
      <c r="C3419" t="s">
        <v>12606</v>
      </c>
      <c r="D3419" t="s">
        <v>12607</v>
      </c>
      <c r="E3419" t="s">
        <v>12605</v>
      </c>
      <c r="F3419" t="s">
        <v>28</v>
      </c>
      <c r="G3419" t="s">
        <v>12605</v>
      </c>
      <c r="H3419" t="str">
        <f>"mat-1"</f>
        <v>mat-1</v>
      </c>
      <c r="I3419" t="s">
        <v>12607</v>
      </c>
      <c r="J3419">
        <v>14.0103387986776</v>
      </c>
      <c r="K3419">
        <v>14.4548957305734</v>
      </c>
      <c r="L3419">
        <v>14.7489740596424</v>
      </c>
      <c r="M3419">
        <v>13.868561118418301</v>
      </c>
      <c r="N3419">
        <v>13.668834657936401</v>
      </c>
      <c r="O3419">
        <v>13.869315653559701</v>
      </c>
      <c r="P3419">
        <v>-0.60249905299300699</v>
      </c>
      <c r="Q3419">
        <v>-1.2237644884663199</v>
      </c>
      <c r="R3419">
        <v>1.8766382480301401E-2</v>
      </c>
      <c r="S3419">
        <v>14.425542121054599</v>
      </c>
      <c r="T3419">
        <v>-2.0470534840111201</v>
      </c>
      <c r="U3419">
        <v>-5.0859202162431902</v>
      </c>
      <c r="V3419">
        <v>5.6533228346631499E-2</v>
      </c>
      <c r="W3419">
        <v>0.239797660873003</v>
      </c>
      <c r="X3419">
        <v>0</v>
      </c>
      <c r="Y3419">
        <v>0</v>
      </c>
    </row>
    <row r="3420" spans="1:25" x14ac:dyDescent="0.2">
      <c r="A3420" t="s">
        <v>12608</v>
      </c>
      <c r="B3420" t="s">
        <v>12609</v>
      </c>
      <c r="C3420" t="s">
        <v>12610</v>
      </c>
      <c r="D3420" t="s">
        <v>12611</v>
      </c>
      <c r="E3420" t="s">
        <v>12609</v>
      </c>
      <c r="F3420" t="s">
        <v>28</v>
      </c>
      <c r="G3420" t="s">
        <v>12609</v>
      </c>
      <c r="H3420" t="str">
        <f>"elpc-1"</f>
        <v>elpc-1</v>
      </c>
      <c r="I3420" t="s">
        <v>12611</v>
      </c>
      <c r="J3420" t="s">
        <v>29</v>
      </c>
      <c r="K3420" t="s">
        <v>29</v>
      </c>
      <c r="L3420" t="s">
        <v>29</v>
      </c>
      <c r="M3420" t="s">
        <v>29</v>
      </c>
      <c r="N3420">
        <v>13.7817573835455</v>
      </c>
      <c r="O3420">
        <v>13.7883810835872</v>
      </c>
      <c r="P3420" t="s">
        <v>29</v>
      </c>
      <c r="Q3420" t="s">
        <v>29</v>
      </c>
      <c r="R3420" t="s">
        <v>29</v>
      </c>
      <c r="S3420">
        <v>13.2593718837668</v>
      </c>
      <c r="T3420" t="s">
        <v>29</v>
      </c>
      <c r="U3420" t="s">
        <v>29</v>
      </c>
      <c r="V3420" t="s">
        <v>29</v>
      </c>
      <c r="W3420" t="s">
        <v>29</v>
      </c>
      <c r="X3420" t="s">
        <v>29</v>
      </c>
      <c r="Y3420" t="s">
        <v>29</v>
      </c>
    </row>
    <row r="3421" spans="1:25" x14ac:dyDescent="0.2">
      <c r="A3421" t="s">
        <v>12612</v>
      </c>
      <c r="B3421" t="s">
        <v>12613</v>
      </c>
      <c r="C3421" t="s">
        <v>12614</v>
      </c>
      <c r="D3421" t="s">
        <v>12615</v>
      </c>
      <c r="E3421" t="s">
        <v>12613</v>
      </c>
      <c r="F3421" t="s">
        <v>28</v>
      </c>
      <c r="G3421" t="s">
        <v>12613</v>
      </c>
      <c r="H3421" t="str">
        <f>"pas-3"</f>
        <v>pas-3</v>
      </c>
      <c r="I3421" t="s">
        <v>12615</v>
      </c>
      <c r="J3421">
        <v>13.416245712152</v>
      </c>
      <c r="K3421">
        <v>13.3751554434358</v>
      </c>
      <c r="L3421">
        <v>13.4718628560195</v>
      </c>
      <c r="M3421">
        <v>13.1986502846216</v>
      </c>
      <c r="N3421">
        <v>12.6451763757074</v>
      </c>
      <c r="O3421">
        <v>13.870532293016099</v>
      </c>
      <c r="P3421">
        <v>-0.18296835275405099</v>
      </c>
      <c r="Q3421">
        <v>-0.91095208214565904</v>
      </c>
      <c r="R3421">
        <v>0.54501537663755795</v>
      </c>
      <c r="S3421">
        <v>13.330943178804899</v>
      </c>
      <c r="T3421">
        <v>-0.53309404985362097</v>
      </c>
      <c r="U3421">
        <v>-6.9034956157331697</v>
      </c>
      <c r="V3421">
        <v>0.60134328623989797</v>
      </c>
      <c r="W3421">
        <v>0.80958669980332199</v>
      </c>
      <c r="X3421">
        <v>0</v>
      </c>
      <c r="Y3421">
        <v>0</v>
      </c>
    </row>
    <row r="3422" spans="1:25" x14ac:dyDescent="0.2">
      <c r="A3422" t="s">
        <v>12616</v>
      </c>
      <c r="B3422" t="s">
        <v>12617</v>
      </c>
      <c r="C3422" t="s">
        <v>12618</v>
      </c>
      <c r="D3422" t="s">
        <v>12619</v>
      </c>
      <c r="E3422" t="s">
        <v>12617</v>
      </c>
      <c r="F3422" t="s">
        <v>28</v>
      </c>
      <c r="G3422" t="s">
        <v>12617</v>
      </c>
      <c r="H3422" t="str">
        <f>"spe-5"</f>
        <v>spe-5</v>
      </c>
      <c r="I3422" t="s">
        <v>12619</v>
      </c>
      <c r="J3422">
        <v>15.0066635252564</v>
      </c>
      <c r="K3422">
        <v>14.7319682990149</v>
      </c>
      <c r="L3422">
        <v>14.5434458057625</v>
      </c>
      <c r="M3422">
        <v>15.6158981204032</v>
      </c>
      <c r="N3422">
        <v>15.611983978182501</v>
      </c>
      <c r="O3422">
        <v>16.6366146948642</v>
      </c>
      <c r="P3422">
        <v>1.1941397211387399</v>
      </c>
      <c r="Q3422">
        <v>0.675011220282275</v>
      </c>
      <c r="R3422">
        <v>1.71326822199521</v>
      </c>
      <c r="S3422">
        <v>15.242268063079999</v>
      </c>
      <c r="T3422">
        <v>4.8347362278713701</v>
      </c>
      <c r="U3422">
        <v>0.75212405319569198</v>
      </c>
      <c r="V3422">
        <v>1.35033568882113E-4</v>
      </c>
      <c r="W3422">
        <v>3.9945384831126798E-3</v>
      </c>
      <c r="X3422">
        <v>1</v>
      </c>
      <c r="Y3422">
        <v>1</v>
      </c>
    </row>
    <row r="3423" spans="1:25" x14ac:dyDescent="0.2">
      <c r="A3423" t="s">
        <v>12620</v>
      </c>
      <c r="B3423" t="s">
        <v>12621</v>
      </c>
      <c r="C3423" t="s">
        <v>14687</v>
      </c>
      <c r="D3423" t="s">
        <v>150</v>
      </c>
      <c r="E3423" t="s">
        <v>12621</v>
      </c>
      <c r="F3423" t="s">
        <v>28</v>
      </c>
      <c r="G3423" t="s">
        <v>12621</v>
      </c>
      <c r="H3423" t="str">
        <f>"Y104H12D.2"</f>
        <v>Y104H12D.2</v>
      </c>
      <c r="I3423" t="s">
        <v>150</v>
      </c>
      <c r="J3423">
        <v>12.2955642952716</v>
      </c>
      <c r="K3423">
        <v>11.256091487175899</v>
      </c>
      <c r="L3423">
        <v>12.1637297840784</v>
      </c>
      <c r="M3423" t="s">
        <v>29</v>
      </c>
      <c r="N3423">
        <v>11.4256072744514</v>
      </c>
      <c r="O3423" t="s">
        <v>29</v>
      </c>
      <c r="P3423">
        <v>-0.47952124772386101</v>
      </c>
      <c r="Q3423">
        <v>-1.67129483730566</v>
      </c>
      <c r="R3423">
        <v>0.71225234185793496</v>
      </c>
      <c r="S3423">
        <v>11.8807414749025</v>
      </c>
      <c r="T3423">
        <v>-0.87752421835796102</v>
      </c>
      <c r="U3423">
        <v>-6.3108153318357401</v>
      </c>
      <c r="V3423">
        <v>0.397579699769668</v>
      </c>
      <c r="W3423">
        <v>0.67168360383171599</v>
      </c>
      <c r="X3423">
        <v>0</v>
      </c>
      <c r="Y3423">
        <v>0</v>
      </c>
    </row>
    <row r="3424" spans="1:25" x14ac:dyDescent="0.2">
      <c r="A3424" t="s">
        <v>12622</v>
      </c>
      <c r="B3424" t="s">
        <v>12623</v>
      </c>
      <c r="C3424" t="s">
        <v>14688</v>
      </c>
      <c r="D3424" t="s">
        <v>12624</v>
      </c>
      <c r="E3424" t="s">
        <v>12623</v>
      </c>
      <c r="F3424" t="s">
        <v>28</v>
      </c>
      <c r="G3424" t="s">
        <v>12623</v>
      </c>
      <c r="H3424" t="str">
        <f>"W08E12.7"</f>
        <v>W08E12.7</v>
      </c>
      <c r="I3424" t="s">
        <v>12624</v>
      </c>
      <c r="J3424">
        <v>13.754261074120601</v>
      </c>
      <c r="K3424">
        <v>13.881500913047001</v>
      </c>
      <c r="L3424">
        <v>14.048446664462199</v>
      </c>
      <c r="M3424">
        <v>14.2380022442734</v>
      </c>
      <c r="N3424">
        <v>13.34116400345</v>
      </c>
      <c r="O3424">
        <v>14.5164631379656</v>
      </c>
      <c r="P3424">
        <v>0.13714024468644201</v>
      </c>
      <c r="Q3424">
        <v>-0.43431379857392299</v>
      </c>
      <c r="R3424">
        <v>0.70859428794680701</v>
      </c>
      <c r="S3424">
        <v>13.7921577560326</v>
      </c>
      <c r="T3424">
        <v>0.50440121413671002</v>
      </c>
      <c r="U3424">
        <v>-6.9196996723177104</v>
      </c>
      <c r="V3424">
        <v>0.62013356837640599</v>
      </c>
      <c r="W3424">
        <v>0.82162647862248595</v>
      </c>
      <c r="X3424">
        <v>0</v>
      </c>
      <c r="Y3424">
        <v>0</v>
      </c>
    </row>
    <row r="3425" spans="1:25" x14ac:dyDescent="0.2">
      <c r="A3425" t="s">
        <v>12625</v>
      </c>
      <c r="B3425" t="s">
        <v>12626</v>
      </c>
      <c r="C3425" t="s">
        <v>12627</v>
      </c>
      <c r="D3425" t="s">
        <v>12628</v>
      </c>
      <c r="E3425" t="s">
        <v>12626</v>
      </c>
      <c r="F3425" t="s">
        <v>28</v>
      </c>
      <c r="G3425" t="s">
        <v>12626</v>
      </c>
      <c r="H3425" t="str">
        <f>"sos-1"</f>
        <v>sos-1</v>
      </c>
      <c r="I3425" t="s">
        <v>12628</v>
      </c>
      <c r="J3425">
        <v>12.1264420387066</v>
      </c>
      <c r="K3425">
        <v>12.7602523425182</v>
      </c>
      <c r="L3425">
        <v>12.2093428718171</v>
      </c>
      <c r="M3425">
        <v>13.3767134922871</v>
      </c>
      <c r="N3425">
        <v>13.4974374755777</v>
      </c>
      <c r="O3425">
        <v>12.873756841418</v>
      </c>
      <c r="P3425">
        <v>0.88395685208028696</v>
      </c>
      <c r="Q3425">
        <v>0.40874034881834997</v>
      </c>
      <c r="R3425">
        <v>1.3591733553422201</v>
      </c>
      <c r="S3425">
        <v>12.8629131851437</v>
      </c>
      <c r="T3425">
        <v>3.9453822109954499</v>
      </c>
      <c r="U3425">
        <v>-1.34512299900249</v>
      </c>
      <c r="V3425">
        <v>1.17092255314702E-3</v>
      </c>
      <c r="W3425">
        <v>2.0159693057885699E-2</v>
      </c>
      <c r="X3425">
        <v>0</v>
      </c>
      <c r="Y3425">
        <v>0</v>
      </c>
    </row>
    <row r="3426" spans="1:25" x14ac:dyDescent="0.2">
      <c r="A3426" t="s">
        <v>12629</v>
      </c>
      <c r="B3426" t="s">
        <v>12630</v>
      </c>
      <c r="C3426" t="s">
        <v>12631</v>
      </c>
      <c r="D3426" t="s">
        <v>12632</v>
      </c>
      <c r="E3426" t="s">
        <v>12630</v>
      </c>
      <c r="F3426" t="s">
        <v>28</v>
      </c>
      <c r="G3426" t="s">
        <v>12630</v>
      </c>
      <c r="H3426" t="str">
        <f>"lido-7"</f>
        <v>lido-7</v>
      </c>
      <c r="I3426" t="s">
        <v>12632</v>
      </c>
      <c r="J3426" t="s">
        <v>29</v>
      </c>
      <c r="K3426" t="s">
        <v>29</v>
      </c>
      <c r="L3426">
        <v>10.520751574727001</v>
      </c>
      <c r="M3426" t="s">
        <v>29</v>
      </c>
      <c r="N3426" t="s">
        <v>29</v>
      </c>
      <c r="O3426" t="s">
        <v>29</v>
      </c>
      <c r="P3426" t="s">
        <v>29</v>
      </c>
      <c r="Q3426" t="s">
        <v>29</v>
      </c>
      <c r="R3426" t="s">
        <v>29</v>
      </c>
      <c r="S3426">
        <v>11.749826385762301</v>
      </c>
      <c r="T3426" t="s">
        <v>29</v>
      </c>
      <c r="U3426" t="s">
        <v>29</v>
      </c>
      <c r="V3426" t="s">
        <v>29</v>
      </c>
      <c r="W3426" t="s">
        <v>29</v>
      </c>
      <c r="X3426" t="s">
        <v>29</v>
      </c>
      <c r="Y3426" t="s">
        <v>29</v>
      </c>
    </row>
    <row r="3427" spans="1:25" x14ac:dyDescent="0.2">
      <c r="A3427" t="s">
        <v>12633</v>
      </c>
      <c r="B3427" t="s">
        <v>12634</v>
      </c>
      <c r="C3427" t="s">
        <v>12635</v>
      </c>
      <c r="D3427" t="s">
        <v>2791</v>
      </c>
      <c r="E3427" t="s">
        <v>12634</v>
      </c>
      <c r="F3427" t="s">
        <v>28</v>
      </c>
      <c r="G3427" t="s">
        <v>12634</v>
      </c>
      <c r="H3427" t="str">
        <f>"sacy-1"</f>
        <v>sacy-1</v>
      </c>
      <c r="I3427" t="s">
        <v>2791</v>
      </c>
      <c r="J3427">
        <v>10.4235048072068</v>
      </c>
      <c r="K3427">
        <v>11.7552816740348</v>
      </c>
      <c r="L3427">
        <v>11.7523384076172</v>
      </c>
      <c r="M3427">
        <v>11.1960647240453</v>
      </c>
      <c r="N3427">
        <v>11.9034949033445</v>
      </c>
      <c r="O3427">
        <v>12.1164554199942</v>
      </c>
      <c r="P3427">
        <v>0.42829671950840997</v>
      </c>
      <c r="Q3427">
        <v>-0.32907951082083198</v>
      </c>
      <c r="R3427">
        <v>1.1856729498376499</v>
      </c>
      <c r="S3427">
        <v>12.220094800316</v>
      </c>
      <c r="T3427">
        <v>1.19945126495112</v>
      </c>
      <c r="U3427">
        <v>-6.3257487180489598</v>
      </c>
      <c r="V3427">
        <v>0.24792732754432101</v>
      </c>
      <c r="W3427">
        <v>0.52183410338241998</v>
      </c>
      <c r="X3427">
        <v>0</v>
      </c>
      <c r="Y3427">
        <v>0</v>
      </c>
    </row>
    <row r="3428" spans="1:25" x14ac:dyDescent="0.2">
      <c r="A3428" t="s">
        <v>12636</v>
      </c>
      <c r="B3428" t="s">
        <v>12637</v>
      </c>
      <c r="C3428" t="s">
        <v>12638</v>
      </c>
      <c r="D3428" t="s">
        <v>12639</v>
      </c>
      <c r="E3428" t="s">
        <v>12637</v>
      </c>
      <c r="F3428" t="s">
        <v>28</v>
      </c>
      <c r="G3428" t="s">
        <v>12637</v>
      </c>
      <c r="H3428" t="str">
        <f>"rpb-5"</f>
        <v>rpb-5</v>
      </c>
      <c r="I3428" t="s">
        <v>12639</v>
      </c>
      <c r="J3428">
        <v>14.3349859549268</v>
      </c>
      <c r="K3428">
        <v>14.3737687497427</v>
      </c>
      <c r="L3428">
        <v>14.114210696581001</v>
      </c>
      <c r="M3428">
        <v>14.2002237868107</v>
      </c>
      <c r="N3428">
        <v>13.4752119313479</v>
      </c>
      <c r="O3428">
        <v>13.838605624290899</v>
      </c>
      <c r="P3428">
        <v>-0.43630801960038701</v>
      </c>
      <c r="Q3428">
        <v>-0.87488894312719501</v>
      </c>
      <c r="R3428">
        <v>2.2729039264199301E-3</v>
      </c>
      <c r="S3428">
        <v>13.8695381806083</v>
      </c>
      <c r="T3428">
        <v>-2.09987513527195</v>
      </c>
      <c r="U3428">
        <v>-4.9942981698459503</v>
      </c>
      <c r="V3428">
        <v>5.10695101143862E-2</v>
      </c>
      <c r="W3428">
        <v>0.22434019978251299</v>
      </c>
      <c r="X3428">
        <v>0</v>
      </c>
      <c r="Y3428">
        <v>0</v>
      </c>
    </row>
    <row r="3429" spans="1:25" x14ac:dyDescent="0.2">
      <c r="A3429" t="s">
        <v>12640</v>
      </c>
      <c r="B3429" t="s">
        <v>12641</v>
      </c>
      <c r="C3429" t="s">
        <v>12642</v>
      </c>
      <c r="D3429" t="s">
        <v>12643</v>
      </c>
      <c r="E3429" t="s">
        <v>12641</v>
      </c>
      <c r="F3429" t="s">
        <v>28</v>
      </c>
      <c r="G3429" t="s">
        <v>12641</v>
      </c>
      <c r="H3429" t="str">
        <f>"trm-2a"</f>
        <v>trm-2a</v>
      </c>
      <c r="I3429" t="s">
        <v>12643</v>
      </c>
      <c r="J3429">
        <v>14.182139026176801</v>
      </c>
      <c r="K3429">
        <v>14.154701356608699</v>
      </c>
      <c r="L3429">
        <v>14.001597198299899</v>
      </c>
      <c r="M3429">
        <v>14.144802627217199</v>
      </c>
      <c r="N3429">
        <v>14.1786887782477</v>
      </c>
      <c r="O3429">
        <v>14.100069086404</v>
      </c>
      <c r="P3429">
        <v>2.8374303594476999E-2</v>
      </c>
      <c r="Q3429">
        <v>-0.32405414324509302</v>
      </c>
      <c r="R3429">
        <v>0.38080275043404699</v>
      </c>
      <c r="S3429">
        <v>13.794562815504101</v>
      </c>
      <c r="T3429">
        <v>0.16994338655133201</v>
      </c>
      <c r="U3429">
        <v>-7.0369167327984501</v>
      </c>
      <c r="V3429">
        <v>0.86707301202357701</v>
      </c>
      <c r="W3429">
        <v>0.94935342265210398</v>
      </c>
      <c r="X3429">
        <v>0</v>
      </c>
      <c r="Y3429">
        <v>0</v>
      </c>
    </row>
    <row r="3430" spans="1:25" x14ac:dyDescent="0.2">
      <c r="A3430" t="s">
        <v>12644</v>
      </c>
      <c r="B3430" t="s">
        <v>12645</v>
      </c>
      <c r="C3430" t="s">
        <v>12646</v>
      </c>
      <c r="D3430" t="s">
        <v>12647</v>
      </c>
      <c r="E3430" t="s">
        <v>12645</v>
      </c>
      <c r="F3430" t="s">
        <v>28</v>
      </c>
      <c r="G3430" t="s">
        <v>12645</v>
      </c>
      <c r="H3430" t="str">
        <f>"athp-2"</f>
        <v>athp-2</v>
      </c>
      <c r="I3430" t="s">
        <v>12647</v>
      </c>
      <c r="J3430">
        <v>11.652226891400799</v>
      </c>
      <c r="K3430">
        <v>11.8161799117694</v>
      </c>
      <c r="L3430">
        <v>11.725172833280601</v>
      </c>
      <c r="M3430">
        <v>11.030299212248201</v>
      </c>
      <c r="N3430">
        <v>11.889095667575999</v>
      </c>
      <c r="O3430">
        <v>12.030462711653101</v>
      </c>
      <c r="P3430">
        <v>-8.1240681657840597E-2</v>
      </c>
      <c r="Q3430">
        <v>-0.80624922225036599</v>
      </c>
      <c r="R3430">
        <v>0.64376785893468502</v>
      </c>
      <c r="S3430">
        <v>12.123551621197199</v>
      </c>
      <c r="T3430">
        <v>-0.23767306453467901</v>
      </c>
      <c r="U3430">
        <v>-7.0223389587456397</v>
      </c>
      <c r="V3430">
        <v>0.81517113753793802</v>
      </c>
      <c r="W3430">
        <v>0.92079610218973995</v>
      </c>
      <c r="X3430">
        <v>0</v>
      </c>
      <c r="Y3430">
        <v>0</v>
      </c>
    </row>
    <row r="3431" spans="1:25" x14ac:dyDescent="0.2">
      <c r="A3431" t="s">
        <v>12648</v>
      </c>
      <c r="B3431" t="s">
        <v>12649</v>
      </c>
      <c r="C3431" t="s">
        <v>12650</v>
      </c>
      <c r="D3431" t="s">
        <v>12651</v>
      </c>
      <c r="E3431" t="s">
        <v>12649</v>
      </c>
      <c r="F3431" t="s">
        <v>28</v>
      </c>
      <c r="G3431" t="s">
        <v>12649</v>
      </c>
      <c r="H3431" t="str">
        <f>"pfd-2"</f>
        <v>pfd-2</v>
      </c>
      <c r="I3431" t="s">
        <v>12651</v>
      </c>
      <c r="J3431" t="s">
        <v>29</v>
      </c>
      <c r="K3431" t="s">
        <v>29</v>
      </c>
      <c r="L3431" t="s">
        <v>29</v>
      </c>
      <c r="M3431">
        <v>13.5128474884411</v>
      </c>
      <c r="N3431">
        <v>13.2655622488767</v>
      </c>
      <c r="O3431">
        <v>13.002124041379099</v>
      </c>
      <c r="P3431" t="s">
        <v>29</v>
      </c>
      <c r="Q3431" t="s">
        <v>29</v>
      </c>
      <c r="R3431" t="s">
        <v>29</v>
      </c>
      <c r="S3431">
        <v>12.706655590856901</v>
      </c>
      <c r="T3431" t="s">
        <v>29</v>
      </c>
      <c r="U3431" t="s">
        <v>29</v>
      </c>
      <c r="V3431" t="s">
        <v>29</v>
      </c>
      <c r="W3431" t="s">
        <v>29</v>
      </c>
      <c r="X3431" t="s">
        <v>29</v>
      </c>
      <c r="Y3431" t="s">
        <v>29</v>
      </c>
    </row>
    <row r="3432" spans="1:25" x14ac:dyDescent="0.2">
      <c r="A3432" t="s">
        <v>12652</v>
      </c>
      <c r="B3432" t="s">
        <v>12653</v>
      </c>
      <c r="C3432" t="s">
        <v>14689</v>
      </c>
      <c r="D3432" t="s">
        <v>12654</v>
      </c>
      <c r="E3432" t="s">
        <v>12653</v>
      </c>
      <c r="F3432" t="s">
        <v>28</v>
      </c>
      <c r="G3432" t="s">
        <v>12653</v>
      </c>
      <c r="H3432" t="str">
        <f>"H20J04.6"</f>
        <v>H20J04.6</v>
      </c>
      <c r="I3432" t="s">
        <v>12654</v>
      </c>
      <c r="J3432">
        <v>13.8311778975021</v>
      </c>
      <c r="K3432">
        <v>13.5586239401516</v>
      </c>
      <c r="L3432">
        <v>13.925486325535999</v>
      </c>
      <c r="M3432">
        <v>14.0900081224617</v>
      </c>
      <c r="N3432">
        <v>13.549583549171199</v>
      </c>
      <c r="O3432">
        <v>13.636611616210899</v>
      </c>
      <c r="P3432">
        <v>-1.30282917819926E-2</v>
      </c>
      <c r="Q3432">
        <v>-0.47855361318154399</v>
      </c>
      <c r="R3432">
        <v>0.452497029617559</v>
      </c>
      <c r="S3432">
        <v>13.7438477381683</v>
      </c>
      <c r="T3432">
        <v>-5.90737010693159E-2</v>
      </c>
      <c r="U3432">
        <v>-7.0502520781634299</v>
      </c>
      <c r="V3432">
        <v>0.95358651629360103</v>
      </c>
      <c r="W3432">
        <v>0.97752358457809096</v>
      </c>
      <c r="X3432">
        <v>0</v>
      </c>
      <c r="Y3432">
        <v>0</v>
      </c>
    </row>
    <row r="3433" spans="1:25" x14ac:dyDescent="0.2">
      <c r="A3433" t="s">
        <v>12655</v>
      </c>
      <c r="B3433" t="s">
        <v>12656</v>
      </c>
      <c r="C3433" t="s">
        <v>12657</v>
      </c>
      <c r="D3433" t="s">
        <v>12658</v>
      </c>
      <c r="E3433" t="s">
        <v>12656</v>
      </c>
      <c r="F3433" t="s">
        <v>28</v>
      </c>
      <c r="G3433" t="s">
        <v>12656</v>
      </c>
      <c r="H3433" t="str">
        <f>"fbf-1"</f>
        <v>fbf-1</v>
      </c>
      <c r="I3433" t="s">
        <v>12658</v>
      </c>
      <c r="J3433" t="s">
        <v>29</v>
      </c>
      <c r="K3433" t="s">
        <v>29</v>
      </c>
      <c r="L3433" t="s">
        <v>29</v>
      </c>
      <c r="M3433" t="s">
        <v>29</v>
      </c>
      <c r="N3433" t="s">
        <v>29</v>
      </c>
      <c r="O3433" t="s">
        <v>29</v>
      </c>
      <c r="P3433" t="s">
        <v>29</v>
      </c>
      <c r="Q3433" t="s">
        <v>29</v>
      </c>
      <c r="R3433" t="s">
        <v>29</v>
      </c>
      <c r="S3433">
        <v>12.217902854162499</v>
      </c>
      <c r="T3433" t="s">
        <v>29</v>
      </c>
      <c r="U3433" t="s">
        <v>29</v>
      </c>
      <c r="V3433" t="s">
        <v>29</v>
      </c>
      <c r="W3433" t="s">
        <v>29</v>
      </c>
      <c r="X3433" t="s">
        <v>29</v>
      </c>
      <c r="Y3433" t="s">
        <v>29</v>
      </c>
    </row>
    <row r="3434" spans="1:25" x14ac:dyDescent="0.2">
      <c r="A3434" t="s">
        <v>12659</v>
      </c>
      <c r="B3434" t="s">
        <v>12660</v>
      </c>
      <c r="C3434" t="s">
        <v>14690</v>
      </c>
      <c r="D3434" t="s">
        <v>12661</v>
      </c>
      <c r="E3434" t="s">
        <v>12660</v>
      </c>
      <c r="F3434" t="s">
        <v>28</v>
      </c>
      <c r="G3434" t="s">
        <v>12660</v>
      </c>
      <c r="H3434" t="str">
        <f>"H06I04.3"</f>
        <v>H06I04.3</v>
      </c>
      <c r="I3434" t="s">
        <v>12661</v>
      </c>
      <c r="J3434">
        <v>15.3388259485537</v>
      </c>
      <c r="K3434">
        <v>15.6306603640214</v>
      </c>
      <c r="L3434">
        <v>15.9875182595355</v>
      </c>
      <c r="M3434">
        <v>15.0478316067693</v>
      </c>
      <c r="N3434">
        <v>14.924320733653101</v>
      </c>
      <c r="O3434">
        <v>14.9630588078362</v>
      </c>
      <c r="P3434">
        <v>-0.67393114128402398</v>
      </c>
      <c r="Q3434">
        <v>-1.088456107267</v>
      </c>
      <c r="R3434">
        <v>-0.25940617530105098</v>
      </c>
      <c r="S3434">
        <v>15.8000175632194</v>
      </c>
      <c r="T3434">
        <v>-3.4170973033993501</v>
      </c>
      <c r="U3434">
        <v>-2.3518457001955699</v>
      </c>
      <c r="V3434">
        <v>3.0935940543527999E-3</v>
      </c>
      <c r="W3434">
        <v>3.87175194340924E-2</v>
      </c>
      <c r="X3434">
        <v>0</v>
      </c>
      <c r="Y3434">
        <v>0</v>
      </c>
    </row>
    <row r="3435" spans="1:25" x14ac:dyDescent="0.2">
      <c r="A3435" t="s">
        <v>12662</v>
      </c>
      <c r="B3435" t="s">
        <v>12663</v>
      </c>
      <c r="C3435" t="s">
        <v>12664</v>
      </c>
      <c r="D3435" t="s">
        <v>12665</v>
      </c>
      <c r="E3435" t="s">
        <v>12663</v>
      </c>
      <c r="F3435" t="s">
        <v>28</v>
      </c>
      <c r="G3435" t="s">
        <v>12663</v>
      </c>
      <c r="H3435" t="str">
        <f>"spt-16"</f>
        <v>spt-16</v>
      </c>
      <c r="I3435" t="s">
        <v>12665</v>
      </c>
      <c r="J3435">
        <v>14.670557278156799</v>
      </c>
      <c r="K3435">
        <v>14.4345596216373</v>
      </c>
      <c r="L3435">
        <v>14.5630696342782</v>
      </c>
      <c r="M3435">
        <v>14.6054862373676</v>
      </c>
      <c r="N3435">
        <v>14.8426067216361</v>
      </c>
      <c r="O3435">
        <v>14.696612678008901</v>
      </c>
      <c r="P3435">
        <v>0.158839700980069</v>
      </c>
      <c r="Q3435">
        <v>-0.31331735313871001</v>
      </c>
      <c r="R3435">
        <v>0.63099675509884801</v>
      </c>
      <c r="S3435">
        <v>14.5760054872796</v>
      </c>
      <c r="T3435">
        <v>0.70707436383713795</v>
      </c>
      <c r="U3435">
        <v>-6.79369822704962</v>
      </c>
      <c r="V3435">
        <v>0.48862647391700298</v>
      </c>
      <c r="W3435">
        <v>0.74195019062289802</v>
      </c>
      <c r="X3435">
        <v>0</v>
      </c>
      <c r="Y3435">
        <v>0</v>
      </c>
    </row>
    <row r="3436" spans="1:25" x14ac:dyDescent="0.2">
      <c r="A3436" t="s">
        <v>12666</v>
      </c>
      <c r="B3436" t="s">
        <v>12667</v>
      </c>
      <c r="C3436" t="s">
        <v>12668</v>
      </c>
      <c r="D3436" t="s">
        <v>1128</v>
      </c>
      <c r="E3436" t="s">
        <v>12667</v>
      </c>
      <c r="F3436" t="s">
        <v>28</v>
      </c>
      <c r="G3436" t="s">
        <v>12667</v>
      </c>
      <c r="H3436" t="str">
        <f>"txdc-12.2"</f>
        <v>txdc-12.2</v>
      </c>
      <c r="I3436" t="s">
        <v>1128</v>
      </c>
      <c r="J3436">
        <v>15.505746906862599</v>
      </c>
      <c r="K3436">
        <v>12.7459654669803</v>
      </c>
      <c r="L3436">
        <v>14.728674491625499</v>
      </c>
      <c r="M3436">
        <v>14.73339353781</v>
      </c>
      <c r="N3436">
        <v>14.645521097703901</v>
      </c>
      <c r="O3436">
        <v>16.161309172691301</v>
      </c>
      <c r="P3436">
        <v>0.85327898091230603</v>
      </c>
      <c r="Q3436">
        <v>-0.72474668560403899</v>
      </c>
      <c r="R3436">
        <v>2.4313046474286502</v>
      </c>
      <c r="S3436">
        <v>15.267647899321499</v>
      </c>
      <c r="T3436">
        <v>1.13650015186132</v>
      </c>
      <c r="U3436">
        <v>-6.3986731241542598</v>
      </c>
      <c r="V3436">
        <v>0.270738246726905</v>
      </c>
      <c r="W3436">
        <v>0.54651504643259996</v>
      </c>
      <c r="X3436">
        <v>0</v>
      </c>
      <c r="Y3436">
        <v>0</v>
      </c>
    </row>
    <row r="3437" spans="1:25" x14ac:dyDescent="0.2">
      <c r="A3437" t="s">
        <v>12669</v>
      </c>
      <c r="B3437" t="s">
        <v>12670</v>
      </c>
      <c r="C3437" t="s">
        <v>12671</v>
      </c>
      <c r="D3437" t="s">
        <v>12672</v>
      </c>
      <c r="E3437" t="s">
        <v>12670</v>
      </c>
      <c r="F3437" t="s">
        <v>28</v>
      </c>
      <c r="G3437" t="s">
        <v>12670</v>
      </c>
      <c r="H3437" t="str">
        <f>"pygl-1"</f>
        <v>pygl-1</v>
      </c>
      <c r="I3437" t="s">
        <v>12672</v>
      </c>
      <c r="J3437">
        <v>18.768229004077099</v>
      </c>
      <c r="K3437">
        <v>18.532396813358201</v>
      </c>
      <c r="L3437">
        <v>18.268771956469401</v>
      </c>
      <c r="M3437">
        <v>18.799666194358501</v>
      </c>
      <c r="N3437">
        <v>18.928528101425499</v>
      </c>
      <c r="O3437">
        <v>18.549471801313398</v>
      </c>
      <c r="P3437">
        <v>0.236089441064216</v>
      </c>
      <c r="Q3437">
        <v>-0.143828780478197</v>
      </c>
      <c r="R3437">
        <v>0.61600766260662898</v>
      </c>
      <c r="S3437">
        <v>18.193111023721201</v>
      </c>
      <c r="T3437">
        <v>1.3061075910568001</v>
      </c>
      <c r="U3437">
        <v>-6.1984557298154197</v>
      </c>
      <c r="V3437">
        <v>0.20805626337722499</v>
      </c>
      <c r="W3437">
        <v>0.47211651396756599</v>
      </c>
      <c r="X3437">
        <v>0</v>
      </c>
      <c r="Y3437">
        <v>0</v>
      </c>
    </row>
    <row r="3438" spans="1:25" x14ac:dyDescent="0.2">
      <c r="A3438" t="s">
        <v>12673</v>
      </c>
      <c r="B3438" t="s">
        <v>12674</v>
      </c>
      <c r="C3438" t="s">
        <v>12675</v>
      </c>
      <c r="D3438" t="s">
        <v>12676</v>
      </c>
      <c r="E3438" t="s">
        <v>12674</v>
      </c>
      <c r="F3438" t="s">
        <v>28</v>
      </c>
      <c r="G3438" t="s">
        <v>12674</v>
      </c>
      <c r="H3438" t="str">
        <f>"cdc-73"</f>
        <v>cdc-73</v>
      </c>
      <c r="I3438" t="s">
        <v>12676</v>
      </c>
      <c r="J3438">
        <v>12.260856407774099</v>
      </c>
      <c r="K3438">
        <v>12.604752569480601</v>
      </c>
      <c r="L3438">
        <v>12.563038099184</v>
      </c>
      <c r="M3438">
        <v>12.940127897898099</v>
      </c>
      <c r="N3438">
        <v>12.9796613979107</v>
      </c>
      <c r="O3438">
        <v>12.4554601217922</v>
      </c>
      <c r="P3438">
        <v>0.31553411372073398</v>
      </c>
      <c r="Q3438">
        <v>-0.13541163552577301</v>
      </c>
      <c r="R3438">
        <v>0.76647986296724002</v>
      </c>
      <c r="S3438">
        <v>12.4570460009715</v>
      </c>
      <c r="T3438">
        <v>1.47697122808176</v>
      </c>
      <c r="U3438">
        <v>-5.9740126883151303</v>
      </c>
      <c r="V3438">
        <v>0.158080763658065</v>
      </c>
      <c r="W3438">
        <v>0.41020319373472502</v>
      </c>
      <c r="X3438">
        <v>0</v>
      </c>
      <c r="Y3438">
        <v>0</v>
      </c>
    </row>
    <row r="3439" spans="1:25" x14ac:dyDescent="0.2">
      <c r="A3439" t="s">
        <v>12677</v>
      </c>
      <c r="B3439" t="s">
        <v>12678</v>
      </c>
      <c r="C3439" t="s">
        <v>12679</v>
      </c>
      <c r="D3439" t="s">
        <v>158</v>
      </c>
      <c r="E3439" t="s">
        <v>12678</v>
      </c>
      <c r="F3439" t="s">
        <v>28</v>
      </c>
      <c r="G3439" t="s">
        <v>12678</v>
      </c>
      <c r="H3439" t="str">
        <f>"imb-3"</f>
        <v>imb-3</v>
      </c>
      <c r="I3439" t="s">
        <v>158</v>
      </c>
      <c r="J3439">
        <v>15.4178664095908</v>
      </c>
      <c r="K3439">
        <v>15.286227124698</v>
      </c>
      <c r="L3439">
        <v>15.6802503839561</v>
      </c>
      <c r="M3439">
        <v>15.1604673991589</v>
      </c>
      <c r="N3439">
        <v>15.6712524541469</v>
      </c>
      <c r="O3439">
        <v>15.7345812306143</v>
      </c>
      <c r="P3439">
        <v>6.0652388558413199E-2</v>
      </c>
      <c r="Q3439">
        <v>-0.37205736631729402</v>
      </c>
      <c r="R3439">
        <v>0.49336214343411999</v>
      </c>
      <c r="S3439">
        <v>15.8612761801767</v>
      </c>
      <c r="T3439">
        <v>0.29460745728764698</v>
      </c>
      <c r="U3439">
        <v>-7.0067118480811299</v>
      </c>
      <c r="V3439">
        <v>0.77168408511379405</v>
      </c>
      <c r="W3439">
        <v>0.90354097469212502</v>
      </c>
      <c r="X3439">
        <v>0</v>
      </c>
      <c r="Y3439">
        <v>0</v>
      </c>
    </row>
    <row r="3440" spans="1:25" x14ac:dyDescent="0.2">
      <c r="A3440" t="s">
        <v>12680</v>
      </c>
      <c r="B3440" t="s">
        <v>12681</v>
      </c>
      <c r="C3440" t="s">
        <v>12682</v>
      </c>
      <c r="D3440" t="s">
        <v>12683</v>
      </c>
      <c r="E3440" t="s">
        <v>12681</v>
      </c>
      <c r="F3440" t="s">
        <v>28</v>
      </c>
      <c r="G3440" t="s">
        <v>12681</v>
      </c>
      <c r="H3440" t="str">
        <f>"C39B5.6"</f>
        <v>C39B5.6</v>
      </c>
      <c r="I3440" t="s">
        <v>12683</v>
      </c>
      <c r="J3440">
        <v>13.169013000614999</v>
      </c>
      <c r="K3440">
        <v>13.6654084817346</v>
      </c>
      <c r="L3440">
        <v>13.080636240893799</v>
      </c>
      <c r="M3440">
        <v>13.446524770313699</v>
      </c>
      <c r="N3440">
        <v>13.7623115737519</v>
      </c>
      <c r="O3440">
        <v>13.3645369304699</v>
      </c>
      <c r="P3440">
        <v>0.219438517097373</v>
      </c>
      <c r="Q3440">
        <v>-0.26603425563283101</v>
      </c>
      <c r="R3440">
        <v>0.704911289827577</v>
      </c>
      <c r="S3440">
        <v>13.187256910919499</v>
      </c>
      <c r="T3440">
        <v>0.95410900540282495</v>
      </c>
      <c r="U3440">
        <v>-6.5860631903135198</v>
      </c>
      <c r="V3440">
        <v>0.35348129992352201</v>
      </c>
      <c r="W3440">
        <v>0.63373451787941604</v>
      </c>
      <c r="X3440">
        <v>0</v>
      </c>
      <c r="Y3440">
        <v>0</v>
      </c>
    </row>
    <row r="3441" spans="1:25" x14ac:dyDescent="0.2">
      <c r="A3441" t="s">
        <v>12684</v>
      </c>
      <c r="B3441" t="s">
        <v>12685</v>
      </c>
      <c r="C3441" t="s">
        <v>12686</v>
      </c>
      <c r="D3441" t="s">
        <v>12687</v>
      </c>
      <c r="E3441" t="s">
        <v>12685</v>
      </c>
      <c r="F3441" t="s">
        <v>28</v>
      </c>
      <c r="G3441" t="s">
        <v>12685</v>
      </c>
      <c r="H3441" t="str">
        <f>"art-1"</f>
        <v>art-1</v>
      </c>
      <c r="I3441" t="s">
        <v>12687</v>
      </c>
      <c r="J3441">
        <v>18.114196186012801</v>
      </c>
      <c r="K3441">
        <v>18.214543744021999</v>
      </c>
      <c r="L3441">
        <v>18.147942611786199</v>
      </c>
      <c r="M3441">
        <v>17.865505952396902</v>
      </c>
      <c r="N3441">
        <v>17.8512750921176</v>
      </c>
      <c r="O3441">
        <v>17.627462900718399</v>
      </c>
      <c r="P3441">
        <v>-0.37747953219601998</v>
      </c>
      <c r="Q3441">
        <v>-0.71619654832625601</v>
      </c>
      <c r="R3441">
        <v>-3.8762516065783202E-2</v>
      </c>
      <c r="S3441">
        <v>18.155952176165801</v>
      </c>
      <c r="T3441">
        <v>-2.34233445326127</v>
      </c>
      <c r="U3441">
        <v>-4.5468344928585598</v>
      </c>
      <c r="V3441">
        <v>3.0931666607029999E-2</v>
      </c>
      <c r="W3441">
        <v>0.172940967593257</v>
      </c>
      <c r="X3441">
        <v>0</v>
      </c>
      <c r="Y3441">
        <v>0</v>
      </c>
    </row>
    <row r="3442" spans="1:25" x14ac:dyDescent="0.2">
      <c r="A3442" t="s">
        <v>12688</v>
      </c>
      <c r="B3442" t="s">
        <v>12689</v>
      </c>
      <c r="C3442" t="s">
        <v>12690</v>
      </c>
      <c r="D3442" t="s">
        <v>214</v>
      </c>
      <c r="E3442" t="s">
        <v>12689</v>
      </c>
      <c r="F3442" t="s">
        <v>28</v>
      </c>
      <c r="G3442" t="s">
        <v>12689</v>
      </c>
      <c r="H3442" t="str">
        <f>"C09E7.7"</f>
        <v>C09E7.7</v>
      </c>
      <c r="I3442" t="s">
        <v>214</v>
      </c>
      <c r="J3442" t="s">
        <v>29</v>
      </c>
      <c r="K3442">
        <v>10.7556283963818</v>
      </c>
      <c r="L3442" t="s">
        <v>29</v>
      </c>
      <c r="M3442" t="s">
        <v>29</v>
      </c>
      <c r="N3442" t="s">
        <v>29</v>
      </c>
      <c r="O3442" t="s">
        <v>29</v>
      </c>
      <c r="P3442" t="s">
        <v>29</v>
      </c>
      <c r="Q3442" t="s">
        <v>29</v>
      </c>
      <c r="R3442" t="s">
        <v>29</v>
      </c>
      <c r="S3442">
        <v>9.5090862279930306</v>
      </c>
      <c r="T3442" t="s">
        <v>29</v>
      </c>
      <c r="U3442" t="s">
        <v>29</v>
      </c>
      <c r="V3442" t="s">
        <v>29</v>
      </c>
      <c r="W3442" t="s">
        <v>29</v>
      </c>
      <c r="X3442" t="s">
        <v>29</v>
      </c>
      <c r="Y3442" t="s">
        <v>29</v>
      </c>
    </row>
    <row r="3443" spans="1:25" x14ac:dyDescent="0.2">
      <c r="A3443" t="s">
        <v>12691</v>
      </c>
      <c r="B3443" t="s">
        <v>12692</v>
      </c>
      <c r="C3443" t="s">
        <v>12693</v>
      </c>
      <c r="D3443" t="s">
        <v>12694</v>
      </c>
      <c r="E3443" t="s">
        <v>12692</v>
      </c>
      <c r="F3443" t="s">
        <v>28</v>
      </c>
      <c r="G3443" t="s">
        <v>12692</v>
      </c>
      <c r="H3443" t="str">
        <f>"ntl-11"</f>
        <v>ntl-11</v>
      </c>
      <c r="I3443" t="s">
        <v>12694</v>
      </c>
      <c r="J3443">
        <v>12.784049329159201</v>
      </c>
      <c r="K3443">
        <v>12.8885492876071</v>
      </c>
      <c r="L3443">
        <v>13.015072334618401</v>
      </c>
      <c r="M3443">
        <v>12.408602296326199</v>
      </c>
      <c r="N3443">
        <v>12.9332098161325</v>
      </c>
      <c r="O3443">
        <v>12.5694660178616</v>
      </c>
      <c r="P3443">
        <v>-0.25879760702146698</v>
      </c>
      <c r="Q3443">
        <v>-0.69951934903385005</v>
      </c>
      <c r="R3443">
        <v>0.181924134990916</v>
      </c>
      <c r="S3443">
        <v>12.984568574760001</v>
      </c>
      <c r="T3443">
        <v>-1.2394978947679001</v>
      </c>
      <c r="U3443">
        <v>-6.2793087511454297</v>
      </c>
      <c r="V3443">
        <v>0.23210324578487301</v>
      </c>
      <c r="W3443">
        <v>0.50248606769690096</v>
      </c>
      <c r="X3443">
        <v>0</v>
      </c>
      <c r="Y3443">
        <v>0</v>
      </c>
    </row>
    <row r="3444" spans="1:25" x14ac:dyDescent="0.2">
      <c r="A3444" t="s">
        <v>12695</v>
      </c>
      <c r="B3444" t="s">
        <v>12696</v>
      </c>
      <c r="C3444" t="s">
        <v>14691</v>
      </c>
      <c r="D3444" t="s">
        <v>12697</v>
      </c>
      <c r="E3444" t="s">
        <v>12696</v>
      </c>
      <c r="F3444" t="s">
        <v>28</v>
      </c>
      <c r="G3444" t="s">
        <v>12696</v>
      </c>
      <c r="H3444" t="str">
        <f>"Y57A10A.13"</f>
        <v>Y57A10A.13</v>
      </c>
      <c r="I3444" t="s">
        <v>12697</v>
      </c>
      <c r="J3444">
        <v>12.842916324892499</v>
      </c>
      <c r="K3444">
        <v>12.8617751330061</v>
      </c>
      <c r="L3444">
        <v>12.864992550781601</v>
      </c>
      <c r="M3444">
        <v>12.858145412265401</v>
      </c>
      <c r="N3444">
        <v>13.210059788963999</v>
      </c>
      <c r="O3444">
        <v>12.347962945056601</v>
      </c>
      <c r="P3444">
        <v>-5.11719541314282E-2</v>
      </c>
      <c r="Q3444">
        <v>-0.45448147863730798</v>
      </c>
      <c r="R3444">
        <v>0.35213757037445198</v>
      </c>
      <c r="S3444">
        <v>13.043226859812799</v>
      </c>
      <c r="T3444">
        <v>-0.26782032745860501</v>
      </c>
      <c r="U3444">
        <v>-7.0144591969427204</v>
      </c>
      <c r="V3444">
        <v>0.79207987203392205</v>
      </c>
      <c r="W3444">
        <v>0.91517844850619501</v>
      </c>
      <c r="X3444">
        <v>0</v>
      </c>
      <c r="Y3444">
        <v>0</v>
      </c>
    </row>
    <row r="3445" spans="1:25" x14ac:dyDescent="0.2">
      <c r="A3445" t="s">
        <v>12698</v>
      </c>
      <c r="B3445" t="s">
        <v>12699</v>
      </c>
      <c r="C3445" t="s">
        <v>14692</v>
      </c>
      <c r="D3445" t="s">
        <v>214</v>
      </c>
      <c r="E3445" t="s">
        <v>12699</v>
      </c>
      <c r="F3445" t="s">
        <v>28</v>
      </c>
      <c r="G3445" t="s">
        <v>12699</v>
      </c>
      <c r="H3445" t="str">
        <f>"Y57A10A.31"</f>
        <v>Y57A10A.31</v>
      </c>
      <c r="I3445" t="s">
        <v>214</v>
      </c>
      <c r="J3445" t="s">
        <v>29</v>
      </c>
      <c r="K3445" t="s">
        <v>29</v>
      </c>
      <c r="L3445">
        <v>11.186468346544</v>
      </c>
      <c r="M3445" t="s">
        <v>29</v>
      </c>
      <c r="N3445" t="s">
        <v>29</v>
      </c>
      <c r="O3445" t="s">
        <v>29</v>
      </c>
      <c r="P3445" t="s">
        <v>29</v>
      </c>
      <c r="Q3445" t="s">
        <v>29</v>
      </c>
      <c r="R3445" t="s">
        <v>29</v>
      </c>
      <c r="S3445">
        <v>12.7081394359433</v>
      </c>
      <c r="T3445" t="s">
        <v>29</v>
      </c>
      <c r="U3445" t="s">
        <v>29</v>
      </c>
      <c r="V3445" t="s">
        <v>29</v>
      </c>
      <c r="W3445" t="s">
        <v>29</v>
      </c>
      <c r="X3445" t="s">
        <v>29</v>
      </c>
      <c r="Y3445" t="s">
        <v>29</v>
      </c>
    </row>
    <row r="3446" spans="1:25" x14ac:dyDescent="0.2">
      <c r="A3446" t="s">
        <v>12700</v>
      </c>
      <c r="B3446" t="s">
        <v>12701</v>
      </c>
      <c r="C3446" t="s">
        <v>12702</v>
      </c>
      <c r="D3446" t="s">
        <v>12703</v>
      </c>
      <c r="E3446" t="s">
        <v>12701</v>
      </c>
      <c r="F3446" t="s">
        <v>28</v>
      </c>
      <c r="G3446" t="s">
        <v>12701</v>
      </c>
      <c r="H3446" t="str">
        <f>"tric-1B.2"</f>
        <v>tric-1B.2</v>
      </c>
      <c r="I3446" t="s">
        <v>12703</v>
      </c>
      <c r="J3446">
        <v>10.482407637624</v>
      </c>
      <c r="K3446" t="s">
        <v>29</v>
      </c>
      <c r="L3446">
        <v>10.4457310850879</v>
      </c>
      <c r="M3446" t="s">
        <v>29</v>
      </c>
      <c r="N3446" t="s">
        <v>29</v>
      </c>
      <c r="O3446" t="s">
        <v>29</v>
      </c>
      <c r="P3446" t="s">
        <v>29</v>
      </c>
      <c r="Q3446" t="s">
        <v>29</v>
      </c>
      <c r="R3446" t="s">
        <v>29</v>
      </c>
      <c r="S3446">
        <v>11.072829167714699</v>
      </c>
      <c r="T3446" t="s">
        <v>29</v>
      </c>
      <c r="U3446" t="s">
        <v>29</v>
      </c>
      <c r="V3446" t="s">
        <v>29</v>
      </c>
      <c r="W3446" t="s">
        <v>29</v>
      </c>
      <c r="X3446" t="s">
        <v>29</v>
      </c>
      <c r="Y3446" t="s">
        <v>29</v>
      </c>
    </row>
    <row r="3447" spans="1:25" x14ac:dyDescent="0.2">
      <c r="A3447" t="s">
        <v>12704</v>
      </c>
      <c r="B3447" t="s">
        <v>12705</v>
      </c>
      <c r="C3447" t="s">
        <v>12706</v>
      </c>
      <c r="D3447" t="s">
        <v>12707</v>
      </c>
      <c r="E3447" t="s">
        <v>12705</v>
      </c>
      <c r="F3447" t="s">
        <v>28</v>
      </c>
      <c r="G3447" t="s">
        <v>12705</v>
      </c>
      <c r="H3447" t="str">
        <f>"tric-1B.1"</f>
        <v>tric-1B.1</v>
      </c>
      <c r="I3447" t="s">
        <v>12707</v>
      </c>
      <c r="J3447">
        <v>13.900250817824601</v>
      </c>
      <c r="K3447">
        <v>14.1535082837035</v>
      </c>
      <c r="L3447">
        <v>14.1878346103715</v>
      </c>
      <c r="M3447">
        <v>13.7603866962087</v>
      </c>
      <c r="N3447">
        <v>13.2616866481127</v>
      </c>
      <c r="O3447">
        <v>13.2553604031262</v>
      </c>
      <c r="P3447">
        <v>-0.654719988150681</v>
      </c>
      <c r="Q3447">
        <v>-1.0581590685734299</v>
      </c>
      <c r="R3447">
        <v>-0.25128090772793199</v>
      </c>
      <c r="S3447">
        <v>13.9399789414383</v>
      </c>
      <c r="T3447">
        <v>-3.4109091159862301</v>
      </c>
      <c r="U3447">
        <v>-2.3651912914473301</v>
      </c>
      <c r="V3447">
        <v>3.13620040296941E-3</v>
      </c>
      <c r="W3447">
        <v>3.8930466698189503E-2</v>
      </c>
      <c r="X3447">
        <v>0</v>
      </c>
      <c r="Y3447">
        <v>0</v>
      </c>
    </row>
    <row r="3448" spans="1:25" x14ac:dyDescent="0.2">
      <c r="A3448" t="s">
        <v>12708</v>
      </c>
      <c r="B3448" t="s">
        <v>12709</v>
      </c>
      <c r="C3448" t="s">
        <v>12710</v>
      </c>
      <c r="D3448" t="s">
        <v>12711</v>
      </c>
      <c r="E3448" t="s">
        <v>12709</v>
      </c>
      <c r="F3448" t="s">
        <v>28</v>
      </c>
      <c r="G3448" t="s">
        <v>12709</v>
      </c>
      <c r="H3448" t="str">
        <f>"parn-2"</f>
        <v>parn-2</v>
      </c>
      <c r="I3448" t="s">
        <v>12711</v>
      </c>
      <c r="J3448">
        <v>12.571361827879199</v>
      </c>
      <c r="K3448">
        <v>12.8572377329979</v>
      </c>
      <c r="L3448">
        <v>12.743072073759199</v>
      </c>
      <c r="M3448">
        <v>12.521943679873701</v>
      </c>
      <c r="N3448">
        <v>13.189871209919399</v>
      </c>
      <c r="O3448">
        <v>12.325888337361199</v>
      </c>
      <c r="P3448">
        <v>-4.4656135827333202E-2</v>
      </c>
      <c r="Q3448">
        <v>-0.74597479464830896</v>
      </c>
      <c r="R3448">
        <v>0.65666252299364303</v>
      </c>
      <c r="S3448">
        <v>13.283137028596</v>
      </c>
      <c r="T3448">
        <v>-0.133831473510622</v>
      </c>
      <c r="U3448">
        <v>-7.0427047376921497</v>
      </c>
      <c r="V3448">
        <v>0.89502944689468</v>
      </c>
      <c r="W3448">
        <v>0.96310377651960599</v>
      </c>
      <c r="X3448">
        <v>0</v>
      </c>
      <c r="Y3448">
        <v>0</v>
      </c>
    </row>
    <row r="3449" spans="1:25" x14ac:dyDescent="0.2">
      <c r="A3449" t="s">
        <v>12712</v>
      </c>
      <c r="B3449" t="s">
        <v>12713</v>
      </c>
      <c r="C3449" t="s">
        <v>12714</v>
      </c>
      <c r="D3449" t="s">
        <v>12715</v>
      </c>
      <c r="E3449" t="s">
        <v>12713</v>
      </c>
      <c r="F3449" t="s">
        <v>28</v>
      </c>
      <c r="G3449" t="s">
        <v>12713</v>
      </c>
      <c r="H3449" t="str">
        <f>"sinh-1"</f>
        <v>sinh-1</v>
      </c>
      <c r="I3449" t="s">
        <v>12715</v>
      </c>
      <c r="J3449">
        <v>12.7987822319648</v>
      </c>
      <c r="K3449">
        <v>12.567722038464201</v>
      </c>
      <c r="L3449">
        <v>12.600259160708999</v>
      </c>
      <c r="M3449">
        <v>12.5517998034556</v>
      </c>
      <c r="N3449">
        <v>13.007589420096201</v>
      </c>
      <c r="O3449">
        <v>10.6884188716397</v>
      </c>
      <c r="P3449">
        <v>-0.57298511198218605</v>
      </c>
      <c r="Q3449">
        <v>-1.47563061877182</v>
      </c>
      <c r="R3449">
        <v>0.32966039480745002</v>
      </c>
      <c r="S3449">
        <v>12.312756478888801</v>
      </c>
      <c r="T3449">
        <v>-1.33991153607506</v>
      </c>
      <c r="U3449">
        <v>-6.1554552126754301</v>
      </c>
      <c r="V3449">
        <v>0.19801844063193499</v>
      </c>
      <c r="W3449">
        <v>0.45830519707463502</v>
      </c>
      <c r="X3449">
        <v>0</v>
      </c>
      <c r="Y3449">
        <v>0</v>
      </c>
    </row>
    <row r="3450" spans="1:25" x14ac:dyDescent="0.2">
      <c r="A3450" t="s">
        <v>12716</v>
      </c>
      <c r="B3450" t="s">
        <v>12717</v>
      </c>
      <c r="C3450" t="s">
        <v>12718</v>
      </c>
      <c r="D3450" t="s">
        <v>3312</v>
      </c>
      <c r="E3450" t="s">
        <v>12717</v>
      </c>
      <c r="F3450" t="s">
        <v>28</v>
      </c>
      <c r="G3450" t="s">
        <v>12717</v>
      </c>
      <c r="H3450" t="str">
        <f>"rol-1"</f>
        <v>rol-1</v>
      </c>
      <c r="I3450" t="s">
        <v>3312</v>
      </c>
      <c r="J3450">
        <v>13.0506079348757</v>
      </c>
      <c r="K3450">
        <v>12.887731751735201</v>
      </c>
      <c r="L3450">
        <v>13.9528626482021</v>
      </c>
      <c r="M3450">
        <v>11.7782432746484</v>
      </c>
      <c r="N3450" t="s">
        <v>29</v>
      </c>
      <c r="O3450">
        <v>11.389745287946701</v>
      </c>
      <c r="P3450">
        <v>-1.71307316364011</v>
      </c>
      <c r="Q3450">
        <v>-2.4157601144715501</v>
      </c>
      <c r="R3450">
        <v>-1.01038621280866</v>
      </c>
      <c r="S3450">
        <v>12.9338424152869</v>
      </c>
      <c r="T3450">
        <v>-5.14593191935497</v>
      </c>
      <c r="U3450">
        <v>1.3674116695196801</v>
      </c>
      <c r="V3450" s="2">
        <v>8.2404777605761404E-5</v>
      </c>
      <c r="W3450">
        <v>2.6814514632914799E-3</v>
      </c>
      <c r="X3450">
        <v>-1</v>
      </c>
      <c r="Y3450">
        <v>-1</v>
      </c>
    </row>
    <row r="3451" spans="1:25" x14ac:dyDescent="0.2">
      <c r="A3451" t="s">
        <v>12719</v>
      </c>
      <c r="B3451" t="s">
        <v>12720</v>
      </c>
      <c r="C3451" t="s">
        <v>14693</v>
      </c>
      <c r="D3451" t="s">
        <v>4609</v>
      </c>
      <c r="E3451" t="s">
        <v>12720</v>
      </c>
      <c r="F3451" t="s">
        <v>28</v>
      </c>
      <c r="G3451" t="s">
        <v>12720</v>
      </c>
      <c r="H3451" t="str">
        <f>"Y57A10A.5"</f>
        <v>Y57A10A.5</v>
      </c>
      <c r="I3451" t="s">
        <v>4609</v>
      </c>
      <c r="J3451" t="s">
        <v>29</v>
      </c>
      <c r="K3451" t="s">
        <v>29</v>
      </c>
      <c r="L3451" t="s">
        <v>29</v>
      </c>
      <c r="M3451" t="s">
        <v>29</v>
      </c>
      <c r="N3451" t="s">
        <v>29</v>
      </c>
      <c r="O3451" t="s">
        <v>29</v>
      </c>
      <c r="P3451" t="s">
        <v>29</v>
      </c>
      <c r="Q3451" t="s">
        <v>29</v>
      </c>
      <c r="R3451" t="s">
        <v>29</v>
      </c>
      <c r="S3451">
        <v>11.7113673290358</v>
      </c>
      <c r="T3451" t="s">
        <v>29</v>
      </c>
      <c r="U3451" t="s">
        <v>29</v>
      </c>
      <c r="V3451" t="s">
        <v>29</v>
      </c>
      <c r="W3451" t="s">
        <v>29</v>
      </c>
      <c r="X3451" t="s">
        <v>29</v>
      </c>
      <c r="Y3451" t="s">
        <v>29</v>
      </c>
    </row>
    <row r="3452" spans="1:25" x14ac:dyDescent="0.2">
      <c r="A3452" t="s">
        <v>12721</v>
      </c>
      <c r="B3452" t="s">
        <v>12722</v>
      </c>
      <c r="C3452" t="s">
        <v>12723</v>
      </c>
      <c r="D3452" t="s">
        <v>12724</v>
      </c>
      <c r="E3452" t="s">
        <v>12722</v>
      </c>
      <c r="F3452" t="s">
        <v>28</v>
      </c>
      <c r="G3452" t="s">
        <v>12722</v>
      </c>
      <c r="H3452" t="str">
        <f>"aat-9"</f>
        <v>aat-9</v>
      </c>
      <c r="I3452" t="s">
        <v>12724</v>
      </c>
      <c r="J3452">
        <v>13.4627497601802</v>
      </c>
      <c r="K3452">
        <v>13.484216174172399</v>
      </c>
      <c r="L3452">
        <v>13.0550079629342</v>
      </c>
      <c r="M3452">
        <v>13.0812989545473</v>
      </c>
      <c r="N3452">
        <v>12.4317003788608</v>
      </c>
      <c r="O3452">
        <v>12.492823843743301</v>
      </c>
      <c r="P3452">
        <v>-0.66538357337848797</v>
      </c>
      <c r="Q3452">
        <v>-1.08661754815337</v>
      </c>
      <c r="R3452">
        <v>-0.24414959860360599</v>
      </c>
      <c r="S3452">
        <v>13.0835962234513</v>
      </c>
      <c r="T3452">
        <v>-3.33425411699668</v>
      </c>
      <c r="U3452">
        <v>-2.5711429969481299</v>
      </c>
      <c r="V3452">
        <v>3.9554423028735101E-3</v>
      </c>
      <c r="W3452">
        <v>4.5967890191251401E-2</v>
      </c>
      <c r="X3452">
        <v>0</v>
      </c>
      <c r="Y3452">
        <v>0</v>
      </c>
    </row>
    <row r="3453" spans="1:25" x14ac:dyDescent="0.2">
      <c r="A3453" t="s">
        <v>12725</v>
      </c>
      <c r="B3453" t="s">
        <v>12726</v>
      </c>
      <c r="C3453" t="s">
        <v>12727</v>
      </c>
      <c r="D3453" t="s">
        <v>4173</v>
      </c>
      <c r="E3453" t="s">
        <v>12726</v>
      </c>
      <c r="F3453" t="s">
        <v>28</v>
      </c>
      <c r="G3453" t="s">
        <v>12726</v>
      </c>
      <c r="H3453" t="str">
        <f>"arp-1"</f>
        <v>arp-1</v>
      </c>
      <c r="I3453" t="s">
        <v>4173</v>
      </c>
      <c r="J3453">
        <v>12.7498041416678</v>
      </c>
      <c r="K3453">
        <v>12.529680704637601</v>
      </c>
      <c r="L3453">
        <v>12.687207608304</v>
      </c>
      <c r="M3453">
        <v>12.4239532906766</v>
      </c>
      <c r="N3453">
        <v>13.2510742105934</v>
      </c>
      <c r="O3453">
        <v>13.6327667298404</v>
      </c>
      <c r="P3453">
        <v>0.44703392550037602</v>
      </c>
      <c r="Q3453">
        <v>-0.174139174751444</v>
      </c>
      <c r="R3453">
        <v>1.0682070257522001</v>
      </c>
      <c r="S3453">
        <v>13.017560822486899</v>
      </c>
      <c r="T3453">
        <v>1.5125869730931401</v>
      </c>
      <c r="U3453">
        <v>-5.9242733861697099</v>
      </c>
      <c r="V3453">
        <v>0.147844508253233</v>
      </c>
      <c r="W3453">
        <v>0.39857997502570103</v>
      </c>
      <c r="X3453">
        <v>0</v>
      </c>
      <c r="Y3453">
        <v>0</v>
      </c>
    </row>
    <row r="3454" spans="1:25" x14ac:dyDescent="0.2">
      <c r="A3454" t="s">
        <v>12728</v>
      </c>
      <c r="B3454" t="s">
        <v>12729</v>
      </c>
      <c r="C3454" t="s">
        <v>14694</v>
      </c>
      <c r="D3454" t="s">
        <v>12730</v>
      </c>
      <c r="E3454" t="s">
        <v>12729</v>
      </c>
      <c r="F3454" t="s">
        <v>28</v>
      </c>
      <c r="G3454" t="s">
        <v>12729</v>
      </c>
      <c r="H3454" t="str">
        <f>"Y53F4B.21"</f>
        <v>Y53F4B.21</v>
      </c>
      <c r="I3454" t="s">
        <v>12730</v>
      </c>
      <c r="J3454">
        <v>9.6840755058425998</v>
      </c>
      <c r="K3454">
        <v>10.1365328490851</v>
      </c>
      <c r="L3454">
        <v>10.873911834567201</v>
      </c>
      <c r="M3454">
        <v>10.6565887571979</v>
      </c>
      <c r="N3454">
        <v>11.7001697890577</v>
      </c>
      <c r="O3454">
        <v>11.1530280610736</v>
      </c>
      <c r="P3454">
        <v>0.93842213927806395</v>
      </c>
      <c r="Q3454">
        <v>0.267102700471605</v>
      </c>
      <c r="R3454">
        <v>1.6097415780845199</v>
      </c>
      <c r="S3454">
        <v>10.9910721152525</v>
      </c>
      <c r="T3454">
        <v>2.9813339668292298</v>
      </c>
      <c r="U3454">
        <v>-3.3677209780331401</v>
      </c>
      <c r="V3454">
        <v>9.3778187930948203E-3</v>
      </c>
      <c r="W3454">
        <v>8.3833577892116901E-2</v>
      </c>
      <c r="X3454">
        <v>0</v>
      </c>
      <c r="Y3454">
        <v>0</v>
      </c>
    </row>
    <row r="3455" spans="1:25" x14ac:dyDescent="0.2">
      <c r="A3455" t="s">
        <v>12731</v>
      </c>
      <c r="B3455" t="s">
        <v>12732</v>
      </c>
      <c r="C3455" t="s">
        <v>12733</v>
      </c>
      <c r="D3455" t="s">
        <v>12734</v>
      </c>
      <c r="E3455" t="s">
        <v>12732</v>
      </c>
      <c r="F3455" t="s">
        <v>28</v>
      </c>
      <c r="G3455" t="s">
        <v>12732</v>
      </c>
      <c r="H3455" t="str">
        <f>"Y53F4B.13"</f>
        <v>Y53F4B.13</v>
      </c>
      <c r="I3455" t="s">
        <v>12734</v>
      </c>
      <c r="J3455">
        <v>14.5418485033438</v>
      </c>
      <c r="K3455">
        <v>14.414219715903499</v>
      </c>
      <c r="L3455">
        <v>14.154709663245701</v>
      </c>
      <c r="M3455">
        <v>14.307857684239799</v>
      </c>
      <c r="N3455">
        <v>14.403286956206401</v>
      </c>
      <c r="O3455">
        <v>14.2539568759288</v>
      </c>
      <c r="P3455">
        <v>-4.85587887060124E-2</v>
      </c>
      <c r="Q3455">
        <v>-0.347983793072699</v>
      </c>
      <c r="R3455">
        <v>0.25086621566067402</v>
      </c>
      <c r="S3455">
        <v>14.130167404377501</v>
      </c>
      <c r="T3455">
        <v>-0.34085705969468</v>
      </c>
      <c r="U3455">
        <v>-6.9913971182374999</v>
      </c>
      <c r="V3455">
        <v>0.73718033610519496</v>
      </c>
      <c r="W3455">
        <v>0.88810989029481802</v>
      </c>
      <c r="X3455">
        <v>0</v>
      </c>
      <c r="Y3455">
        <v>0</v>
      </c>
    </row>
    <row r="3456" spans="1:25" x14ac:dyDescent="0.2">
      <c r="A3456" t="s">
        <v>12735</v>
      </c>
      <c r="B3456" t="s">
        <v>12736</v>
      </c>
      <c r="C3456" t="s">
        <v>12737</v>
      </c>
      <c r="D3456" t="s">
        <v>12738</v>
      </c>
      <c r="E3456" t="s">
        <v>12736</v>
      </c>
      <c r="F3456" t="s">
        <v>28</v>
      </c>
      <c r="G3456" t="s">
        <v>12736</v>
      </c>
      <c r="H3456" t="str">
        <f>"nsun-5"</f>
        <v>nsun-5</v>
      </c>
      <c r="I3456" t="s">
        <v>12738</v>
      </c>
      <c r="J3456">
        <v>12.020049950177301</v>
      </c>
      <c r="K3456">
        <v>10.880588248972201</v>
      </c>
      <c r="L3456">
        <v>12.4634195134695</v>
      </c>
      <c r="M3456">
        <v>12.0233869425052</v>
      </c>
      <c r="N3456">
        <v>13.5672114302678</v>
      </c>
      <c r="O3456">
        <v>12.671090774753299</v>
      </c>
      <c r="P3456">
        <v>0.96587714496911103</v>
      </c>
      <c r="Q3456">
        <v>0.15340923769720299</v>
      </c>
      <c r="R3456">
        <v>1.77834505224102</v>
      </c>
      <c r="S3456">
        <v>12.812281031992899</v>
      </c>
      <c r="T3456">
        <v>2.5093756972832</v>
      </c>
      <c r="U3456">
        <v>-4.242078958115</v>
      </c>
      <c r="V3456">
        <v>2.2582688768937698E-2</v>
      </c>
      <c r="W3456">
        <v>0.146382608075943</v>
      </c>
      <c r="X3456">
        <v>0</v>
      </c>
      <c r="Y3456">
        <v>0</v>
      </c>
    </row>
    <row r="3457" spans="1:25" x14ac:dyDescent="0.2">
      <c r="A3457" t="s">
        <v>12739</v>
      </c>
      <c r="B3457" t="s">
        <v>12740</v>
      </c>
      <c r="C3457" t="s">
        <v>12741</v>
      </c>
      <c r="D3457" t="s">
        <v>12742</v>
      </c>
      <c r="E3457" t="s">
        <v>12740</v>
      </c>
      <c r="F3457" t="s">
        <v>28</v>
      </c>
      <c r="G3457" t="s">
        <v>12740</v>
      </c>
      <c r="H3457" t="str">
        <f>"gst-27"</f>
        <v>gst-27</v>
      </c>
      <c r="I3457" t="s">
        <v>12742</v>
      </c>
      <c r="J3457">
        <v>13.212027186203199</v>
      </c>
      <c r="K3457">
        <v>13.3416897805311</v>
      </c>
      <c r="L3457">
        <v>13.1231792656694</v>
      </c>
      <c r="M3457">
        <v>12.7769544437647</v>
      </c>
      <c r="N3457">
        <v>12.766344347694099</v>
      </c>
      <c r="O3457">
        <v>13.1821068979269</v>
      </c>
      <c r="P3457">
        <v>-0.31716351433932199</v>
      </c>
      <c r="Q3457">
        <v>-0.71422667808551199</v>
      </c>
      <c r="R3457">
        <v>7.9899649406867307E-2</v>
      </c>
      <c r="S3457">
        <v>12.8270773234774</v>
      </c>
      <c r="T3457">
        <v>-1.68606237042353</v>
      </c>
      <c r="U3457">
        <v>-5.6716365791315599</v>
      </c>
      <c r="V3457">
        <v>0.110160995256556</v>
      </c>
      <c r="W3457">
        <v>0.34241702703680399</v>
      </c>
      <c r="X3457">
        <v>0</v>
      </c>
      <c r="Y3457">
        <v>0</v>
      </c>
    </row>
    <row r="3458" spans="1:25" x14ac:dyDescent="0.2">
      <c r="A3458" t="s">
        <v>12743</v>
      </c>
      <c r="B3458" t="s">
        <v>12744</v>
      </c>
      <c r="C3458" t="s">
        <v>12745</v>
      </c>
      <c r="D3458" t="s">
        <v>12742</v>
      </c>
      <c r="E3458" t="s">
        <v>12744</v>
      </c>
      <c r="F3458" t="s">
        <v>28</v>
      </c>
      <c r="G3458" t="s">
        <v>12744</v>
      </c>
      <c r="H3458" t="str">
        <f>"gst-26"</f>
        <v>gst-26</v>
      </c>
      <c r="I3458" t="s">
        <v>12742</v>
      </c>
      <c r="J3458">
        <v>13.9124182910464</v>
      </c>
      <c r="K3458">
        <v>13.745884708852</v>
      </c>
      <c r="L3458">
        <v>13.895177120193001</v>
      </c>
      <c r="M3458">
        <v>13.6004756307699</v>
      </c>
      <c r="N3458">
        <v>13.709270076106501</v>
      </c>
      <c r="O3458">
        <v>13.9113293497418</v>
      </c>
      <c r="P3458">
        <v>-0.11080168782435799</v>
      </c>
      <c r="Q3458">
        <v>-0.51101485259427903</v>
      </c>
      <c r="R3458">
        <v>0.28941147694556302</v>
      </c>
      <c r="S3458">
        <v>13.5850757698222</v>
      </c>
      <c r="T3458">
        <v>-0.58189887658186401</v>
      </c>
      <c r="U3458">
        <v>-6.8763053072132498</v>
      </c>
      <c r="V3458">
        <v>0.56789387875857</v>
      </c>
      <c r="W3458">
        <v>0.78971225704290104</v>
      </c>
      <c r="X3458">
        <v>0</v>
      </c>
      <c r="Y3458">
        <v>0</v>
      </c>
    </row>
    <row r="3459" spans="1:25" x14ac:dyDescent="0.2">
      <c r="A3459" t="s">
        <v>12746</v>
      </c>
      <c r="B3459" t="s">
        <v>12747</v>
      </c>
      <c r="C3459" t="s">
        <v>14695</v>
      </c>
      <c r="D3459" t="s">
        <v>12748</v>
      </c>
      <c r="E3459" t="s">
        <v>12747</v>
      </c>
      <c r="F3459" t="s">
        <v>28</v>
      </c>
      <c r="G3459" t="s">
        <v>12747</v>
      </c>
      <c r="H3459" t="str">
        <f>"Y53F4B.18"</f>
        <v>Y53F4B.18</v>
      </c>
      <c r="I3459" t="s">
        <v>12748</v>
      </c>
      <c r="J3459">
        <v>14.554347514831999</v>
      </c>
      <c r="K3459">
        <v>14.3756729709156</v>
      </c>
      <c r="L3459">
        <v>14.245819063610501</v>
      </c>
      <c r="M3459">
        <v>14.307881595613599</v>
      </c>
      <c r="N3459">
        <v>14.198890389893</v>
      </c>
      <c r="O3459">
        <v>14.229270352258199</v>
      </c>
      <c r="P3459">
        <v>-0.14659907053107299</v>
      </c>
      <c r="Q3459">
        <v>-0.63561116231802395</v>
      </c>
      <c r="R3459">
        <v>0.34241302125587803</v>
      </c>
      <c r="S3459">
        <v>14.367522538905799</v>
      </c>
      <c r="T3459">
        <v>-0.63009224127271701</v>
      </c>
      <c r="U3459">
        <v>-6.8463157744839904</v>
      </c>
      <c r="V3459">
        <v>0.53659771989706495</v>
      </c>
      <c r="W3459">
        <v>0.77501266500839605</v>
      </c>
      <c r="X3459">
        <v>0</v>
      </c>
      <c r="Y3459">
        <v>0</v>
      </c>
    </row>
    <row r="3460" spans="1:25" x14ac:dyDescent="0.2">
      <c r="A3460" t="s">
        <v>12749</v>
      </c>
      <c r="B3460" t="s">
        <v>12750</v>
      </c>
      <c r="C3460" t="s">
        <v>14696</v>
      </c>
      <c r="D3460" t="s">
        <v>1358</v>
      </c>
      <c r="E3460" t="s">
        <v>12750</v>
      </c>
      <c r="F3460" t="s">
        <v>28</v>
      </c>
      <c r="G3460" t="s">
        <v>12750</v>
      </c>
      <c r="H3460" t="str">
        <f>"Y53F4B.9"</f>
        <v>Y53F4B.9</v>
      </c>
      <c r="I3460" t="s">
        <v>1358</v>
      </c>
      <c r="J3460" t="s">
        <v>29</v>
      </c>
      <c r="K3460" t="s">
        <v>29</v>
      </c>
      <c r="L3460">
        <v>10.3475043949051</v>
      </c>
      <c r="M3460" t="s">
        <v>29</v>
      </c>
      <c r="N3460" t="s">
        <v>29</v>
      </c>
      <c r="O3460" t="s">
        <v>29</v>
      </c>
      <c r="P3460" t="s">
        <v>29</v>
      </c>
      <c r="Q3460" t="s">
        <v>29</v>
      </c>
      <c r="R3460" t="s">
        <v>29</v>
      </c>
      <c r="S3460">
        <v>11.6055706932645</v>
      </c>
      <c r="T3460" t="s">
        <v>29</v>
      </c>
      <c r="U3460" t="s">
        <v>29</v>
      </c>
      <c r="V3460" t="s">
        <v>29</v>
      </c>
      <c r="W3460" t="s">
        <v>29</v>
      </c>
      <c r="X3460" t="s">
        <v>29</v>
      </c>
      <c r="Y3460" t="s">
        <v>29</v>
      </c>
    </row>
    <row r="3461" spans="1:25" x14ac:dyDescent="0.2">
      <c r="A3461" t="s">
        <v>12751</v>
      </c>
      <c r="B3461" t="s">
        <v>12752</v>
      </c>
      <c r="C3461" t="s">
        <v>12753</v>
      </c>
      <c r="D3461" t="s">
        <v>12754</v>
      </c>
      <c r="E3461" t="s">
        <v>12752</v>
      </c>
      <c r="F3461" t="s">
        <v>28</v>
      </c>
      <c r="G3461" t="s">
        <v>12752</v>
      </c>
      <c r="H3461" t="str">
        <f>"elo-9"</f>
        <v>elo-9</v>
      </c>
      <c r="I3461" t="s">
        <v>12754</v>
      </c>
      <c r="J3461" t="s">
        <v>29</v>
      </c>
      <c r="K3461" t="s">
        <v>29</v>
      </c>
      <c r="L3461">
        <v>13.6162041743413</v>
      </c>
      <c r="M3461">
        <v>15.1792522609299</v>
      </c>
      <c r="N3461" t="s">
        <v>29</v>
      </c>
      <c r="O3461" t="s">
        <v>29</v>
      </c>
      <c r="P3461">
        <v>1.5630480865885901</v>
      </c>
      <c r="Q3461">
        <v>0.218867663765835</v>
      </c>
      <c r="R3461">
        <v>2.9072285094113499</v>
      </c>
      <c r="S3461">
        <v>13.917212349737699</v>
      </c>
      <c r="T3461">
        <v>2.5946672112206199</v>
      </c>
      <c r="U3461">
        <v>-3.7626096405540399</v>
      </c>
      <c r="V3461">
        <v>2.69480064157477E-2</v>
      </c>
      <c r="W3461">
        <v>0.160547374987489</v>
      </c>
      <c r="X3461">
        <v>1</v>
      </c>
      <c r="Y3461">
        <v>0</v>
      </c>
    </row>
    <row r="3462" spans="1:25" x14ac:dyDescent="0.2">
      <c r="A3462" t="s">
        <v>12755</v>
      </c>
      <c r="B3462" t="s">
        <v>12756</v>
      </c>
      <c r="C3462" t="s">
        <v>12757</v>
      </c>
      <c r="D3462" t="s">
        <v>12758</v>
      </c>
      <c r="E3462" t="s">
        <v>12756</v>
      </c>
      <c r="F3462" t="s">
        <v>28</v>
      </c>
      <c r="G3462" t="s">
        <v>12756</v>
      </c>
      <c r="H3462" t="str">
        <f>"sta-1"</f>
        <v>sta-1</v>
      </c>
      <c r="I3462" t="s">
        <v>12758</v>
      </c>
      <c r="J3462">
        <v>12.2843060711051</v>
      </c>
      <c r="K3462">
        <v>11.658493885239199</v>
      </c>
      <c r="L3462" t="s">
        <v>29</v>
      </c>
      <c r="M3462" t="s">
        <v>29</v>
      </c>
      <c r="N3462" t="s">
        <v>29</v>
      </c>
      <c r="O3462" t="s">
        <v>29</v>
      </c>
      <c r="P3462" t="s">
        <v>29</v>
      </c>
      <c r="Q3462" t="s">
        <v>29</v>
      </c>
      <c r="R3462" t="s">
        <v>29</v>
      </c>
      <c r="S3462">
        <v>12.575243872316101</v>
      </c>
      <c r="T3462" t="s">
        <v>29</v>
      </c>
      <c r="U3462" t="s">
        <v>29</v>
      </c>
      <c r="V3462" t="s">
        <v>29</v>
      </c>
      <c r="W3462" t="s">
        <v>29</v>
      </c>
      <c r="X3462" t="s">
        <v>29</v>
      </c>
      <c r="Y3462" t="s">
        <v>29</v>
      </c>
    </row>
    <row r="3463" spans="1:25" x14ac:dyDescent="0.2">
      <c r="A3463" t="s">
        <v>12759</v>
      </c>
      <c r="B3463" t="s">
        <v>12760</v>
      </c>
      <c r="C3463" t="s">
        <v>12761</v>
      </c>
      <c r="D3463" t="s">
        <v>10543</v>
      </c>
      <c r="E3463" t="s">
        <v>12760</v>
      </c>
      <c r="F3463" t="s">
        <v>28</v>
      </c>
      <c r="G3463" t="s">
        <v>12760</v>
      </c>
      <c r="H3463" t="str">
        <f>"mrpl-20"</f>
        <v>mrpl-20</v>
      </c>
      <c r="I3463" t="s">
        <v>10543</v>
      </c>
      <c r="J3463">
        <v>11.9907344229581</v>
      </c>
      <c r="K3463">
        <v>11.4657160004323</v>
      </c>
      <c r="L3463">
        <v>12.340473704878701</v>
      </c>
      <c r="M3463">
        <v>13.6437058246474</v>
      </c>
      <c r="N3463">
        <v>12.3113148622023</v>
      </c>
      <c r="O3463">
        <v>12.5070468710922</v>
      </c>
      <c r="P3463">
        <v>0.88838114322423101</v>
      </c>
      <c r="Q3463">
        <v>4.9843790484114803E-2</v>
      </c>
      <c r="R3463">
        <v>1.72691849596435</v>
      </c>
      <c r="S3463">
        <v>13.0050380257782</v>
      </c>
      <c r="T3463">
        <v>2.2471209483638099</v>
      </c>
      <c r="U3463">
        <v>-4.7413245237168704</v>
      </c>
      <c r="V3463">
        <v>3.9193110119808E-2</v>
      </c>
      <c r="W3463">
        <v>0.19590534612881</v>
      </c>
      <c r="X3463">
        <v>0</v>
      </c>
      <c r="Y3463">
        <v>0</v>
      </c>
    </row>
    <row r="3464" spans="1:25" x14ac:dyDescent="0.2">
      <c r="A3464" t="s">
        <v>12762</v>
      </c>
      <c r="B3464" t="s">
        <v>12763</v>
      </c>
      <c r="C3464" t="s">
        <v>12764</v>
      </c>
      <c r="D3464" t="s">
        <v>12765</v>
      </c>
      <c r="E3464" t="s">
        <v>12763</v>
      </c>
      <c r="F3464" t="s">
        <v>28</v>
      </c>
      <c r="G3464" t="s">
        <v>12763</v>
      </c>
      <c r="H3464" t="str">
        <f>"mac-1"</f>
        <v>mac-1</v>
      </c>
      <c r="I3464" t="s">
        <v>12765</v>
      </c>
      <c r="J3464">
        <v>11.974319371315101</v>
      </c>
      <c r="K3464" t="s">
        <v>29</v>
      </c>
      <c r="L3464" t="s">
        <v>29</v>
      </c>
      <c r="M3464" t="s">
        <v>29</v>
      </c>
      <c r="N3464" t="s">
        <v>29</v>
      </c>
      <c r="O3464" t="s">
        <v>29</v>
      </c>
      <c r="P3464" t="s">
        <v>29</v>
      </c>
      <c r="Q3464" t="s">
        <v>29</v>
      </c>
      <c r="R3464" t="s">
        <v>29</v>
      </c>
      <c r="S3464">
        <v>12.547070882397501</v>
      </c>
      <c r="T3464" t="s">
        <v>29</v>
      </c>
      <c r="U3464" t="s">
        <v>29</v>
      </c>
      <c r="V3464" t="s">
        <v>29</v>
      </c>
      <c r="W3464" t="s">
        <v>29</v>
      </c>
      <c r="X3464" t="s">
        <v>29</v>
      </c>
      <c r="Y3464" t="s">
        <v>29</v>
      </c>
    </row>
    <row r="3465" spans="1:25" x14ac:dyDescent="0.2">
      <c r="A3465" t="s">
        <v>12766</v>
      </c>
      <c r="B3465" t="s">
        <v>12767</v>
      </c>
      <c r="C3465" t="s">
        <v>12768</v>
      </c>
      <c r="D3465" t="s">
        <v>12769</v>
      </c>
      <c r="E3465" t="s">
        <v>12767</v>
      </c>
      <c r="F3465" t="s">
        <v>28</v>
      </c>
      <c r="G3465" t="s">
        <v>12767</v>
      </c>
      <c r="H3465" t="str">
        <f>"rsks-1"</f>
        <v>rsks-1</v>
      </c>
      <c r="I3465" t="s">
        <v>12769</v>
      </c>
      <c r="J3465">
        <v>13.615671794832</v>
      </c>
      <c r="K3465">
        <v>13.4624059668343</v>
      </c>
      <c r="L3465">
        <v>13.5003564959556</v>
      </c>
      <c r="M3465">
        <v>13.6619074552847</v>
      </c>
      <c r="N3465">
        <v>14.300849276087501</v>
      </c>
      <c r="O3465">
        <v>13.936328869044599</v>
      </c>
      <c r="P3465">
        <v>0.44021711426497101</v>
      </c>
      <c r="Q3465">
        <v>-2.6160293555119001E-2</v>
      </c>
      <c r="R3465">
        <v>0.90659452208506197</v>
      </c>
      <c r="S3465">
        <v>14.1751546066602</v>
      </c>
      <c r="T3465">
        <v>1.98390983992518</v>
      </c>
      <c r="U3465">
        <v>-5.1891231823917403</v>
      </c>
      <c r="V3465">
        <v>6.2821558703877706E-2</v>
      </c>
      <c r="W3465">
        <v>0.25393956772971199</v>
      </c>
      <c r="X3465">
        <v>0</v>
      </c>
      <c r="Y3465">
        <v>0</v>
      </c>
    </row>
    <row r="3466" spans="1:25" x14ac:dyDescent="0.2">
      <c r="A3466" t="s">
        <v>12770</v>
      </c>
      <c r="B3466" t="s">
        <v>12771</v>
      </c>
      <c r="C3466" t="s">
        <v>14697</v>
      </c>
      <c r="D3466" t="s">
        <v>6170</v>
      </c>
      <c r="E3466" t="s">
        <v>12771</v>
      </c>
      <c r="F3466" t="s">
        <v>28</v>
      </c>
      <c r="G3466" t="s">
        <v>12771</v>
      </c>
      <c r="H3466" t="str">
        <f>"Y39G8B.1"</f>
        <v>Y39G8B.1</v>
      </c>
      <c r="I3466" t="s">
        <v>6170</v>
      </c>
      <c r="J3466" t="s">
        <v>29</v>
      </c>
      <c r="K3466" t="s">
        <v>29</v>
      </c>
      <c r="L3466">
        <v>11.916663491358401</v>
      </c>
      <c r="M3466">
        <v>11.1056196342016</v>
      </c>
      <c r="N3466" t="s">
        <v>29</v>
      </c>
      <c r="O3466">
        <v>13.3056389501808</v>
      </c>
      <c r="P3466">
        <v>0.28896580083277001</v>
      </c>
      <c r="Q3466">
        <v>-1.6071283606707101</v>
      </c>
      <c r="R3466">
        <v>2.1850599623362501</v>
      </c>
      <c r="S3466">
        <v>12.0915163864471</v>
      </c>
      <c r="T3466">
        <v>0.35225101858142999</v>
      </c>
      <c r="U3466">
        <v>-6.5829794646201201</v>
      </c>
      <c r="V3466">
        <v>0.73386776677754695</v>
      </c>
      <c r="W3466">
        <v>0.88674553029860304</v>
      </c>
      <c r="X3466">
        <v>0</v>
      </c>
      <c r="Y3466">
        <v>0</v>
      </c>
    </row>
    <row r="3467" spans="1:25" x14ac:dyDescent="0.2">
      <c r="A3467" t="s">
        <v>12772</v>
      </c>
      <c r="B3467" t="s">
        <v>12773</v>
      </c>
      <c r="C3467" t="s">
        <v>12774</v>
      </c>
      <c r="D3467" t="s">
        <v>12775</v>
      </c>
      <c r="E3467" t="s">
        <v>12773</v>
      </c>
      <c r="F3467" t="s">
        <v>28</v>
      </c>
      <c r="G3467" t="s">
        <v>12773</v>
      </c>
      <c r="H3467" t="str">
        <f>"mdt-17"</f>
        <v>mdt-17</v>
      </c>
      <c r="I3467" t="s">
        <v>12775</v>
      </c>
      <c r="J3467">
        <v>13.4520618475264</v>
      </c>
      <c r="K3467">
        <v>13.565247682485399</v>
      </c>
      <c r="L3467">
        <v>13.257677809114099</v>
      </c>
      <c r="M3467">
        <v>13.571821343763901</v>
      </c>
      <c r="N3467">
        <v>13.551656012960599</v>
      </c>
      <c r="O3467">
        <v>13.4643833833684</v>
      </c>
      <c r="P3467">
        <v>0.104291133655655</v>
      </c>
      <c r="Q3467">
        <v>-0.22957543718503801</v>
      </c>
      <c r="R3467">
        <v>0.438157704496349</v>
      </c>
      <c r="S3467">
        <v>13.5092583925647</v>
      </c>
      <c r="T3467">
        <v>0.65654872905697903</v>
      </c>
      <c r="U3467">
        <v>-6.8288830106675702</v>
      </c>
      <c r="V3467">
        <v>0.51982547906822396</v>
      </c>
      <c r="W3467">
        <v>0.76469806007594998</v>
      </c>
      <c r="X3467">
        <v>0</v>
      </c>
      <c r="Y3467">
        <v>0</v>
      </c>
    </row>
    <row r="3468" spans="1:25" x14ac:dyDescent="0.2">
      <c r="A3468" t="s">
        <v>12776</v>
      </c>
      <c r="B3468" t="s">
        <v>12777</v>
      </c>
      <c r="C3468" t="s">
        <v>12778</v>
      </c>
      <c r="D3468" t="s">
        <v>12779</v>
      </c>
      <c r="E3468" t="s">
        <v>12777</v>
      </c>
      <c r="F3468" t="s">
        <v>28</v>
      </c>
      <c r="G3468" t="s">
        <v>12777</v>
      </c>
      <c r="H3468" t="str">
        <f>"uba-2"</f>
        <v>uba-2</v>
      </c>
      <c r="I3468" t="s">
        <v>12779</v>
      </c>
      <c r="J3468">
        <v>13.5859895805636</v>
      </c>
      <c r="K3468">
        <v>13.668461086320701</v>
      </c>
      <c r="L3468">
        <v>13.3084367470091</v>
      </c>
      <c r="M3468">
        <v>13.3448436243669</v>
      </c>
      <c r="N3468">
        <v>13.083732824755099</v>
      </c>
      <c r="O3468">
        <v>13.402582154445501</v>
      </c>
      <c r="P3468">
        <v>-0.24390960344195101</v>
      </c>
      <c r="Q3468">
        <v>-0.64136404713770201</v>
      </c>
      <c r="R3468">
        <v>0.1535448402538</v>
      </c>
      <c r="S3468">
        <v>13.1608834122648</v>
      </c>
      <c r="T3468">
        <v>-1.2953632039293299</v>
      </c>
      <c r="U3468">
        <v>-6.2113768887703404</v>
      </c>
      <c r="V3468">
        <v>0.21261571042407201</v>
      </c>
      <c r="W3468">
        <v>0.47931918885282399</v>
      </c>
      <c r="X3468">
        <v>0</v>
      </c>
      <c r="Y3468">
        <v>0</v>
      </c>
    </row>
    <row r="3469" spans="1:25" x14ac:dyDescent="0.2">
      <c r="A3469" t="s">
        <v>12780</v>
      </c>
      <c r="B3469" t="s">
        <v>12781</v>
      </c>
      <c r="C3469" t="s">
        <v>12782</v>
      </c>
      <c r="D3469" t="s">
        <v>12783</v>
      </c>
      <c r="E3469" t="s">
        <v>12781</v>
      </c>
      <c r="F3469" t="s">
        <v>28</v>
      </c>
      <c r="G3469" t="s">
        <v>12781</v>
      </c>
      <c r="H3469" t="str">
        <f>"par-6"</f>
        <v>par-6</v>
      </c>
      <c r="I3469" t="s">
        <v>12783</v>
      </c>
      <c r="J3469" t="s">
        <v>29</v>
      </c>
      <c r="K3469" t="s">
        <v>29</v>
      </c>
      <c r="L3469">
        <v>11.7378739762707</v>
      </c>
      <c r="M3469" t="s">
        <v>29</v>
      </c>
      <c r="N3469" t="s">
        <v>29</v>
      </c>
      <c r="O3469" t="s">
        <v>29</v>
      </c>
      <c r="P3469" t="s">
        <v>29</v>
      </c>
      <c r="Q3469" t="s">
        <v>29</v>
      </c>
      <c r="R3469" t="s">
        <v>29</v>
      </c>
      <c r="S3469">
        <v>11.874054681979301</v>
      </c>
      <c r="T3469" t="s">
        <v>29</v>
      </c>
      <c r="U3469" t="s">
        <v>29</v>
      </c>
      <c r="V3469" t="s">
        <v>29</v>
      </c>
      <c r="W3469" t="s">
        <v>29</v>
      </c>
      <c r="X3469" t="s">
        <v>29</v>
      </c>
      <c r="Y3469" t="s">
        <v>29</v>
      </c>
    </row>
    <row r="3470" spans="1:25" x14ac:dyDescent="0.2">
      <c r="A3470" t="s">
        <v>12784</v>
      </c>
      <c r="B3470" t="s">
        <v>12785</v>
      </c>
      <c r="C3470" t="s">
        <v>14698</v>
      </c>
      <c r="D3470" t="s">
        <v>12786</v>
      </c>
      <c r="E3470" t="s">
        <v>12785</v>
      </c>
      <c r="F3470" t="s">
        <v>28</v>
      </c>
      <c r="G3470" t="s">
        <v>12785</v>
      </c>
      <c r="H3470" t="str">
        <f>"K09E4.4"</f>
        <v>K09E4.4</v>
      </c>
      <c r="I3470" t="s">
        <v>12786</v>
      </c>
      <c r="J3470">
        <v>14.332573623310701</v>
      </c>
      <c r="K3470">
        <v>14.2313480989684</v>
      </c>
      <c r="L3470">
        <v>13.834448793391401</v>
      </c>
      <c r="M3470">
        <v>13.181045364249099</v>
      </c>
      <c r="N3470">
        <v>14.401599758266601</v>
      </c>
      <c r="O3470">
        <v>14.169416186616701</v>
      </c>
      <c r="P3470">
        <v>-0.21543640217937601</v>
      </c>
      <c r="Q3470">
        <v>-0.99004442019874805</v>
      </c>
      <c r="R3470">
        <v>0.55917161583999497</v>
      </c>
      <c r="S3470">
        <v>13.7610611560699</v>
      </c>
      <c r="T3470">
        <v>-0.58991118327314895</v>
      </c>
      <c r="U3470">
        <v>-6.8704956819697296</v>
      </c>
      <c r="V3470">
        <v>0.56354287662931601</v>
      </c>
      <c r="W3470">
        <v>0.787363040168224</v>
      </c>
      <c r="X3470">
        <v>0</v>
      </c>
      <c r="Y3470">
        <v>0</v>
      </c>
    </row>
    <row r="3471" spans="1:25" x14ac:dyDescent="0.2">
      <c r="A3471" t="s">
        <v>12787</v>
      </c>
      <c r="B3471" t="s">
        <v>12788</v>
      </c>
      <c r="C3471" t="s">
        <v>12789</v>
      </c>
      <c r="D3471" t="s">
        <v>12790</v>
      </c>
      <c r="E3471" t="s">
        <v>12788</v>
      </c>
      <c r="F3471" t="s">
        <v>28</v>
      </c>
      <c r="G3471" t="s">
        <v>12788</v>
      </c>
      <c r="H3471" t="str">
        <f>"mrps-15"</f>
        <v>mrps-15</v>
      </c>
      <c r="I3471" t="s">
        <v>12790</v>
      </c>
      <c r="J3471" t="s">
        <v>29</v>
      </c>
      <c r="K3471">
        <v>11.3522500722849</v>
      </c>
      <c r="L3471">
        <v>11.7819034652162</v>
      </c>
      <c r="M3471" t="s">
        <v>29</v>
      </c>
      <c r="N3471">
        <v>11.2833683764571</v>
      </c>
      <c r="O3471">
        <v>11.4014653212091</v>
      </c>
      <c r="P3471">
        <v>-0.22465991991741399</v>
      </c>
      <c r="Q3471">
        <v>-0.85929576955578302</v>
      </c>
      <c r="R3471">
        <v>0.40997592972095498</v>
      </c>
      <c r="S3471">
        <v>12.237346323914</v>
      </c>
      <c r="T3471">
        <v>-0.76539962139339401</v>
      </c>
      <c r="U3471">
        <v>-6.5459755916584701</v>
      </c>
      <c r="V3471">
        <v>0.45781450223765802</v>
      </c>
      <c r="W3471">
        <v>0.72422381637401001</v>
      </c>
      <c r="X3471">
        <v>0</v>
      </c>
      <c r="Y3471">
        <v>0</v>
      </c>
    </row>
    <row r="3472" spans="1:25" x14ac:dyDescent="0.2">
      <c r="A3472" t="s">
        <v>12791</v>
      </c>
      <c r="B3472" t="s">
        <v>12792</v>
      </c>
      <c r="C3472" t="s">
        <v>12793</v>
      </c>
      <c r="D3472" t="s">
        <v>12794</v>
      </c>
      <c r="E3472" t="s">
        <v>12792</v>
      </c>
      <c r="F3472" t="s">
        <v>28</v>
      </c>
      <c r="G3472" t="s">
        <v>12792</v>
      </c>
      <c r="H3472" t="str">
        <f>"C47G2.3"</f>
        <v>C47G2.3</v>
      </c>
      <c r="I3472" t="s">
        <v>12794</v>
      </c>
      <c r="J3472">
        <v>15.0123781981754</v>
      </c>
      <c r="K3472">
        <v>14.9619569316853</v>
      </c>
      <c r="L3472">
        <v>14.5038400093822</v>
      </c>
      <c r="M3472">
        <v>15.258065149000901</v>
      </c>
      <c r="N3472">
        <v>14.903311244705</v>
      </c>
      <c r="O3472">
        <v>14.840522769500801</v>
      </c>
      <c r="P3472">
        <v>0.17457467465462201</v>
      </c>
      <c r="Q3472">
        <v>-0.42883224393487002</v>
      </c>
      <c r="R3472">
        <v>0.77798159324411398</v>
      </c>
      <c r="S3472">
        <v>14.522700411215901</v>
      </c>
      <c r="T3472">
        <v>0.613649642751255</v>
      </c>
      <c r="U3472">
        <v>-6.8557614599969998</v>
      </c>
      <c r="V3472">
        <v>0.54812894923908195</v>
      </c>
      <c r="W3472">
        <v>0.77920996104149098</v>
      </c>
      <c r="X3472">
        <v>0</v>
      </c>
      <c r="Y3472">
        <v>0</v>
      </c>
    </row>
    <row r="3473" spans="1:25" x14ac:dyDescent="0.2">
      <c r="A3473" t="s">
        <v>12795</v>
      </c>
      <c r="B3473" t="s">
        <v>12796</v>
      </c>
      <c r="C3473" t="s">
        <v>12797</v>
      </c>
      <c r="D3473" t="s">
        <v>3312</v>
      </c>
      <c r="E3473" t="s">
        <v>12796</v>
      </c>
      <c r="F3473" t="s">
        <v>28</v>
      </c>
      <c r="G3473" t="s">
        <v>12796</v>
      </c>
      <c r="H3473" t="str">
        <f>"col-124"</f>
        <v>col-124</v>
      </c>
      <c r="I3473" t="s">
        <v>3312</v>
      </c>
      <c r="J3473">
        <v>13.8636012063072</v>
      </c>
      <c r="K3473">
        <v>13.595054426842999</v>
      </c>
      <c r="L3473">
        <v>14.426214561777201</v>
      </c>
      <c r="M3473">
        <v>12.2073168247898</v>
      </c>
      <c r="N3473" t="s">
        <v>29</v>
      </c>
      <c r="O3473">
        <v>10.4079177985102</v>
      </c>
      <c r="P3473">
        <v>-2.6540060866591699</v>
      </c>
      <c r="Q3473">
        <v>-3.5655039658545502</v>
      </c>
      <c r="R3473">
        <v>-1.7425082074638001</v>
      </c>
      <c r="S3473">
        <v>13.6557159656306</v>
      </c>
      <c r="T3473">
        <v>-6.1460524924571196</v>
      </c>
      <c r="U3473">
        <v>3.3839939144015001</v>
      </c>
      <c r="V3473" s="2">
        <v>1.1067253229215701E-5</v>
      </c>
      <c r="W3473">
        <v>4.61703102664972E-4</v>
      </c>
      <c r="X3473">
        <v>-1</v>
      </c>
      <c r="Y3473">
        <v>-1</v>
      </c>
    </row>
    <row r="3474" spans="1:25" x14ac:dyDescent="0.2">
      <c r="A3474" t="s">
        <v>12798</v>
      </c>
      <c r="B3474" t="s">
        <v>12799</v>
      </c>
      <c r="C3474" t="s">
        <v>12800</v>
      </c>
      <c r="D3474" t="s">
        <v>12801</v>
      </c>
      <c r="E3474" t="s">
        <v>12799</v>
      </c>
      <c r="F3474" t="s">
        <v>28</v>
      </c>
      <c r="G3474" t="s">
        <v>12799</v>
      </c>
      <c r="H3474" t="str">
        <f>"cst-1"</f>
        <v>cst-1</v>
      </c>
      <c r="I3474" t="s">
        <v>12801</v>
      </c>
      <c r="J3474">
        <v>11.8324370268608</v>
      </c>
      <c r="K3474">
        <v>11.9417970730352</v>
      </c>
      <c r="L3474">
        <v>11.4361823409571</v>
      </c>
      <c r="M3474">
        <v>13.5023841136</v>
      </c>
      <c r="N3474">
        <v>14.0916192276585</v>
      </c>
      <c r="O3474">
        <v>13.8128659231879</v>
      </c>
      <c r="P3474">
        <v>2.0654842745311202</v>
      </c>
      <c r="Q3474">
        <v>1.5101209882615401</v>
      </c>
      <c r="R3474">
        <v>2.6208475608007</v>
      </c>
      <c r="S3474">
        <v>12.292847276721799</v>
      </c>
      <c r="T3474">
        <v>7.88849685014904</v>
      </c>
      <c r="U3474">
        <v>6.1593262023923101</v>
      </c>
      <c r="V3474" s="2">
        <v>6.9501456914947001E-7</v>
      </c>
      <c r="W3474" s="2">
        <v>4.1881063111340299E-5</v>
      </c>
      <c r="X3474">
        <v>1</v>
      </c>
      <c r="Y3474">
        <v>1</v>
      </c>
    </row>
    <row r="3475" spans="1:25" x14ac:dyDescent="0.2">
      <c r="A3475" t="s">
        <v>12802</v>
      </c>
      <c r="B3475" t="s">
        <v>12803</v>
      </c>
      <c r="C3475" t="s">
        <v>12804</v>
      </c>
      <c r="D3475" t="s">
        <v>12805</v>
      </c>
      <c r="E3475" t="s">
        <v>12803</v>
      </c>
      <c r="F3475" t="s">
        <v>28</v>
      </c>
      <c r="G3475" t="s">
        <v>12803</v>
      </c>
      <c r="H3475" t="str">
        <f>"mboa-2"</f>
        <v>mboa-2</v>
      </c>
      <c r="I3475" t="s">
        <v>12805</v>
      </c>
      <c r="J3475">
        <v>13.3720943186014</v>
      </c>
      <c r="K3475">
        <v>13.270221524988401</v>
      </c>
      <c r="L3475">
        <v>13.529590194864801</v>
      </c>
      <c r="M3475">
        <v>12.793003709950099</v>
      </c>
      <c r="N3475">
        <v>13.147186376524701</v>
      </c>
      <c r="O3475">
        <v>12.629318966775401</v>
      </c>
      <c r="P3475">
        <v>-0.53413232840148295</v>
      </c>
      <c r="Q3475">
        <v>-0.98518288042832103</v>
      </c>
      <c r="R3475">
        <v>-8.3081776374645394E-2</v>
      </c>
      <c r="S3475">
        <v>13.7745158657668</v>
      </c>
      <c r="T3475">
        <v>-2.4889499237914201</v>
      </c>
      <c r="U3475">
        <v>-4.2676126577591997</v>
      </c>
      <c r="V3475">
        <v>2.2890180526855399E-2</v>
      </c>
      <c r="W3475">
        <v>0.14778699887775301</v>
      </c>
      <c r="X3475">
        <v>0</v>
      </c>
      <c r="Y3475">
        <v>0</v>
      </c>
    </row>
    <row r="3476" spans="1:25" x14ac:dyDescent="0.2">
      <c r="A3476" t="s">
        <v>12806</v>
      </c>
      <c r="B3476" t="s">
        <v>12807</v>
      </c>
      <c r="C3476" t="s">
        <v>12808</v>
      </c>
      <c r="D3476" t="s">
        <v>12809</v>
      </c>
      <c r="E3476" t="s">
        <v>12807</v>
      </c>
      <c r="F3476" t="s">
        <v>28</v>
      </c>
      <c r="G3476" t="s">
        <v>12807</v>
      </c>
      <c r="H3476" t="str">
        <f>"mrps-35"</f>
        <v>mrps-35</v>
      </c>
      <c r="I3476" t="s">
        <v>12809</v>
      </c>
      <c r="J3476">
        <v>12.552947943312599</v>
      </c>
      <c r="K3476">
        <v>12.192894339392399</v>
      </c>
      <c r="L3476">
        <v>12.659553913903601</v>
      </c>
      <c r="M3476">
        <v>12.1059093455724</v>
      </c>
      <c r="N3476">
        <v>12.3548328282386</v>
      </c>
      <c r="O3476">
        <v>11.572806317172001</v>
      </c>
      <c r="P3476">
        <v>-0.45728256854182597</v>
      </c>
      <c r="Q3476">
        <v>-1.09224448406178</v>
      </c>
      <c r="R3476">
        <v>0.17767934697812601</v>
      </c>
      <c r="S3476">
        <v>12.9108403449022</v>
      </c>
      <c r="T3476">
        <v>-1.51366400054964</v>
      </c>
      <c r="U3476">
        <v>-5.92276044938688</v>
      </c>
      <c r="V3476">
        <v>0.14757279044573299</v>
      </c>
      <c r="W3476">
        <v>0.398507767726485</v>
      </c>
      <c r="X3476">
        <v>0</v>
      </c>
      <c r="Y3476">
        <v>0</v>
      </c>
    </row>
    <row r="3477" spans="1:25" x14ac:dyDescent="0.2">
      <c r="A3477" t="s">
        <v>12810</v>
      </c>
      <c r="B3477" t="s">
        <v>12811</v>
      </c>
      <c r="C3477" t="s">
        <v>12812</v>
      </c>
      <c r="D3477" t="s">
        <v>12813</v>
      </c>
      <c r="E3477" t="s">
        <v>12811</v>
      </c>
      <c r="F3477" t="s">
        <v>28</v>
      </c>
      <c r="G3477" t="s">
        <v>12811</v>
      </c>
      <c r="H3477" t="str">
        <f>"ssl-1"</f>
        <v>ssl-1</v>
      </c>
      <c r="I3477" t="s">
        <v>12813</v>
      </c>
      <c r="J3477">
        <v>13.5628706631136</v>
      </c>
      <c r="K3477">
        <v>14.227144084787</v>
      </c>
      <c r="L3477">
        <v>14.034887045522799</v>
      </c>
      <c r="M3477">
        <v>13.606264142353201</v>
      </c>
      <c r="N3477">
        <v>13.376784503955699</v>
      </c>
      <c r="O3477">
        <v>13.6541913651866</v>
      </c>
      <c r="P3477">
        <v>-0.39588726064259899</v>
      </c>
      <c r="Q3477">
        <v>-0.80829214083107803</v>
      </c>
      <c r="R3477">
        <v>1.6517619545880099E-2</v>
      </c>
      <c r="S3477">
        <v>14.2194644349265</v>
      </c>
      <c r="T3477">
        <v>-2.0176240405250199</v>
      </c>
      <c r="U3477">
        <v>-5.1314422206936703</v>
      </c>
      <c r="V3477">
        <v>5.8882090047413398E-2</v>
      </c>
      <c r="W3477">
        <v>0.245073093873968</v>
      </c>
      <c r="X3477">
        <v>0</v>
      </c>
      <c r="Y3477">
        <v>0</v>
      </c>
    </row>
    <row r="3478" spans="1:25" x14ac:dyDescent="0.2">
      <c r="A3478" t="s">
        <v>12814</v>
      </c>
      <c r="B3478" t="s">
        <v>12815</v>
      </c>
      <c r="C3478" t="s">
        <v>14699</v>
      </c>
      <c r="D3478" t="s">
        <v>12816</v>
      </c>
      <c r="E3478" t="s">
        <v>12815</v>
      </c>
      <c r="F3478" t="s">
        <v>28</v>
      </c>
      <c r="G3478" t="s">
        <v>12815</v>
      </c>
      <c r="H3478" t="str">
        <f>"Y111B2A.3"</f>
        <v>Y111B2A.3</v>
      </c>
      <c r="I3478" t="s">
        <v>12816</v>
      </c>
      <c r="J3478">
        <v>10.971621619392099</v>
      </c>
      <c r="K3478" t="s">
        <v>29</v>
      </c>
      <c r="L3478">
        <v>11.632841448422299</v>
      </c>
      <c r="M3478" t="s">
        <v>29</v>
      </c>
      <c r="N3478">
        <v>11.0950333064749</v>
      </c>
      <c r="O3478">
        <v>11.994418973793699</v>
      </c>
      <c r="P3478">
        <v>0.242494606227075</v>
      </c>
      <c r="Q3478">
        <v>-0.65154047012670502</v>
      </c>
      <c r="R3478">
        <v>1.13652968258085</v>
      </c>
      <c r="S3478">
        <v>12.4251347133258</v>
      </c>
      <c r="T3478">
        <v>0.58645510269483003</v>
      </c>
      <c r="U3478">
        <v>-6.6703473286608901</v>
      </c>
      <c r="V3478">
        <v>0.56769452240295804</v>
      </c>
      <c r="W3478">
        <v>0.78971225704290104</v>
      </c>
      <c r="X3478">
        <v>0</v>
      </c>
      <c r="Y3478">
        <v>0</v>
      </c>
    </row>
    <row r="3479" spans="1:25" x14ac:dyDescent="0.2">
      <c r="A3479" t="s">
        <v>12817</v>
      </c>
      <c r="B3479" t="s">
        <v>12818</v>
      </c>
      <c r="C3479" t="s">
        <v>12819</v>
      </c>
      <c r="D3479" t="s">
        <v>12820</v>
      </c>
      <c r="E3479" t="s">
        <v>12818</v>
      </c>
      <c r="F3479" t="s">
        <v>28</v>
      </c>
      <c r="G3479" t="s">
        <v>12818</v>
      </c>
      <c r="H3479" t="str">
        <f>"rps-6"</f>
        <v>rps-6</v>
      </c>
      <c r="I3479" t="s">
        <v>12820</v>
      </c>
      <c r="J3479">
        <v>18.355763186537299</v>
      </c>
      <c r="K3479">
        <v>18.402665238516001</v>
      </c>
      <c r="L3479">
        <v>18.592548153445399</v>
      </c>
      <c r="M3479">
        <v>18.201762414794299</v>
      </c>
      <c r="N3479">
        <v>18.153924611178802</v>
      </c>
      <c r="O3479">
        <v>18.006903760129699</v>
      </c>
      <c r="P3479">
        <v>-0.32946193079865399</v>
      </c>
      <c r="Q3479">
        <v>-0.64921665862066502</v>
      </c>
      <c r="R3479">
        <v>-9.7072029766440103E-3</v>
      </c>
      <c r="S3479">
        <v>18.426186318480099</v>
      </c>
      <c r="T3479">
        <v>-2.1656126411324501</v>
      </c>
      <c r="U3479">
        <v>-4.8712581771285297</v>
      </c>
      <c r="V3479">
        <v>4.4098936620132499E-2</v>
      </c>
      <c r="W3479">
        <v>0.20858981988523501</v>
      </c>
      <c r="X3479">
        <v>0</v>
      </c>
      <c r="Y3479">
        <v>0</v>
      </c>
    </row>
    <row r="3480" spans="1:25" x14ac:dyDescent="0.2">
      <c r="A3480" t="s">
        <v>12821</v>
      </c>
      <c r="B3480" t="s">
        <v>12822</v>
      </c>
      <c r="C3480" t="s">
        <v>12823</v>
      </c>
      <c r="D3480" t="s">
        <v>12824</v>
      </c>
      <c r="E3480" t="s">
        <v>12822</v>
      </c>
      <c r="F3480" t="s">
        <v>28</v>
      </c>
      <c r="G3480" t="s">
        <v>12822</v>
      </c>
      <c r="H3480" t="str">
        <f>"fat-1"</f>
        <v>fat-1</v>
      </c>
      <c r="I3480" t="s">
        <v>12824</v>
      </c>
      <c r="J3480">
        <v>15.6847459285264</v>
      </c>
      <c r="K3480">
        <v>15.5020962166071</v>
      </c>
      <c r="L3480">
        <v>16.117840702265699</v>
      </c>
      <c r="M3480">
        <v>14.9266413994486</v>
      </c>
      <c r="N3480">
        <v>15.2016821366602</v>
      </c>
      <c r="O3480">
        <v>14.740085811964001</v>
      </c>
      <c r="P3480">
        <v>-0.81209116644216195</v>
      </c>
      <c r="Q3480">
        <v>-1.3924921903516201</v>
      </c>
      <c r="R3480">
        <v>-0.23169014253269901</v>
      </c>
      <c r="S3480">
        <v>16.0766624896</v>
      </c>
      <c r="T3480">
        <v>-2.9408246480145501</v>
      </c>
      <c r="U3480">
        <v>-3.3607681314223901</v>
      </c>
      <c r="V3480">
        <v>8.7779074430222696E-3</v>
      </c>
      <c r="W3480">
        <v>8.0225564995483695E-2</v>
      </c>
      <c r="X3480">
        <v>0</v>
      </c>
      <c r="Y3480">
        <v>0</v>
      </c>
    </row>
    <row r="3481" spans="1:25" x14ac:dyDescent="0.2">
      <c r="A3481" t="s">
        <v>12825</v>
      </c>
      <c r="B3481" t="s">
        <v>12826</v>
      </c>
      <c r="C3481" t="s">
        <v>14700</v>
      </c>
      <c r="D3481" t="s">
        <v>12827</v>
      </c>
      <c r="E3481" t="s">
        <v>12826</v>
      </c>
      <c r="F3481" t="s">
        <v>28</v>
      </c>
      <c r="G3481" t="s">
        <v>12826</v>
      </c>
      <c r="H3481" t="str">
        <f>"Y39B6A.1"</f>
        <v>Y39B6A.1</v>
      </c>
      <c r="I3481" t="s">
        <v>12827</v>
      </c>
      <c r="J3481" t="s">
        <v>29</v>
      </c>
      <c r="K3481" t="s">
        <v>29</v>
      </c>
      <c r="L3481">
        <v>9.30054879835191</v>
      </c>
      <c r="M3481">
        <v>9.0308031090658307</v>
      </c>
      <c r="N3481" t="s">
        <v>29</v>
      </c>
      <c r="O3481" t="s">
        <v>29</v>
      </c>
      <c r="P3481">
        <v>-0.269745689286088</v>
      </c>
      <c r="Q3481">
        <v>-1.5724122008414501</v>
      </c>
      <c r="R3481">
        <v>1.0329208222692801</v>
      </c>
      <c r="S3481">
        <v>9.9112208708024099</v>
      </c>
      <c r="T3481">
        <v>-0.46204912794956399</v>
      </c>
      <c r="U3481">
        <v>-6.3963392633746503</v>
      </c>
      <c r="V3481">
        <v>0.65403793707902202</v>
      </c>
      <c r="W3481">
        <v>0.84351034439476502</v>
      </c>
      <c r="X3481">
        <v>0</v>
      </c>
      <c r="Y3481">
        <v>0</v>
      </c>
    </row>
    <row r="3482" spans="1:25" x14ac:dyDescent="0.2">
      <c r="A3482" t="s">
        <v>12828</v>
      </c>
      <c r="B3482" t="s">
        <v>12829</v>
      </c>
      <c r="C3482" t="s">
        <v>14701</v>
      </c>
      <c r="D3482" t="s">
        <v>368</v>
      </c>
      <c r="E3482" t="s">
        <v>12829</v>
      </c>
      <c r="F3482" t="s">
        <v>28</v>
      </c>
      <c r="G3482" t="s">
        <v>12829</v>
      </c>
      <c r="H3482" t="str">
        <f>"Y39B6A.10"</f>
        <v>Y39B6A.10</v>
      </c>
      <c r="I3482" t="s">
        <v>368</v>
      </c>
      <c r="J3482">
        <v>13.3584688809404</v>
      </c>
      <c r="K3482">
        <v>13.507994769308601</v>
      </c>
      <c r="L3482">
        <v>13.713425243157101</v>
      </c>
      <c r="M3482">
        <v>12.931150531377201</v>
      </c>
      <c r="N3482">
        <v>13.758194650910999</v>
      </c>
      <c r="O3482">
        <v>13.2548088341211</v>
      </c>
      <c r="P3482">
        <v>-0.21191162566560501</v>
      </c>
      <c r="Q3482">
        <v>-0.64168200175592405</v>
      </c>
      <c r="R3482">
        <v>0.217858750424713</v>
      </c>
      <c r="S3482">
        <v>13.557729256631299</v>
      </c>
      <c r="T3482">
        <v>-1.0458462331532199</v>
      </c>
      <c r="U3482">
        <v>-6.4941784045429198</v>
      </c>
      <c r="V3482">
        <v>0.31127665501893997</v>
      </c>
      <c r="W3482">
        <v>0.58934236491770498</v>
      </c>
      <c r="X3482">
        <v>0</v>
      </c>
      <c r="Y3482">
        <v>0</v>
      </c>
    </row>
    <row r="3483" spans="1:25" x14ac:dyDescent="0.2">
      <c r="A3483" t="s">
        <v>12830</v>
      </c>
      <c r="B3483" t="s">
        <v>12831</v>
      </c>
      <c r="C3483" t="s">
        <v>12832</v>
      </c>
      <c r="D3483" t="s">
        <v>12833</v>
      </c>
      <c r="E3483" t="s">
        <v>12831</v>
      </c>
      <c r="F3483" t="s">
        <v>28</v>
      </c>
      <c r="G3483" t="s">
        <v>12831</v>
      </c>
      <c r="H3483" t="str">
        <f>"pro-3"</f>
        <v>pro-3</v>
      </c>
      <c r="I3483" t="s">
        <v>12833</v>
      </c>
      <c r="J3483">
        <v>13.652791481522801</v>
      </c>
      <c r="K3483">
        <v>13.151574512442499</v>
      </c>
      <c r="L3483">
        <v>13.5155584031857</v>
      </c>
      <c r="M3483">
        <v>13.126995907655299</v>
      </c>
      <c r="N3483">
        <v>13.647257901514401</v>
      </c>
      <c r="O3483">
        <v>13.9830172144567</v>
      </c>
      <c r="P3483">
        <v>0.14578220882510701</v>
      </c>
      <c r="Q3483">
        <v>-0.45963004786172201</v>
      </c>
      <c r="R3483">
        <v>0.75119446551193603</v>
      </c>
      <c r="S3483">
        <v>14.3133606501878</v>
      </c>
      <c r="T3483">
        <v>0.508280361628202</v>
      </c>
      <c r="U3483">
        <v>-6.9173065181176696</v>
      </c>
      <c r="V3483">
        <v>0.61782894495155405</v>
      </c>
      <c r="W3483">
        <v>0.81975612182429702</v>
      </c>
      <c r="X3483">
        <v>0</v>
      </c>
      <c r="Y3483">
        <v>0</v>
      </c>
    </row>
    <row r="3484" spans="1:25" x14ac:dyDescent="0.2">
      <c r="A3484" t="s">
        <v>12834</v>
      </c>
      <c r="B3484" t="s">
        <v>12835</v>
      </c>
      <c r="C3484" t="s">
        <v>12836</v>
      </c>
      <c r="D3484" t="s">
        <v>12837</v>
      </c>
      <c r="E3484" t="s">
        <v>12835</v>
      </c>
      <c r="F3484" t="s">
        <v>28</v>
      </c>
      <c r="G3484" t="s">
        <v>12835</v>
      </c>
      <c r="H3484" t="str">
        <f>"tgt-2"</f>
        <v>tgt-2</v>
      </c>
      <c r="I3484" t="s">
        <v>12837</v>
      </c>
      <c r="J3484">
        <v>12.749770942063501</v>
      </c>
      <c r="K3484">
        <v>13.1583493241132</v>
      </c>
      <c r="L3484">
        <v>13.186724925117099</v>
      </c>
      <c r="M3484" t="s">
        <v>29</v>
      </c>
      <c r="N3484" t="s">
        <v>29</v>
      </c>
      <c r="O3484">
        <v>12.710699356769499</v>
      </c>
      <c r="P3484">
        <v>-0.320915706995127</v>
      </c>
      <c r="Q3484">
        <v>-1.04373391732555</v>
      </c>
      <c r="R3484">
        <v>0.40190250333529498</v>
      </c>
      <c r="S3484">
        <v>13.1831904793905</v>
      </c>
      <c r="T3484">
        <v>-0.95995114919868396</v>
      </c>
      <c r="U3484">
        <v>-6.2368596823202003</v>
      </c>
      <c r="V3484">
        <v>0.35473447332741198</v>
      </c>
      <c r="W3484">
        <v>0.63476713261261697</v>
      </c>
      <c r="X3484">
        <v>0</v>
      </c>
      <c r="Y3484">
        <v>0</v>
      </c>
    </row>
    <row r="3485" spans="1:25" x14ac:dyDescent="0.2">
      <c r="A3485" t="s">
        <v>12838</v>
      </c>
      <c r="B3485" t="s">
        <v>12839</v>
      </c>
      <c r="C3485" t="s">
        <v>12840</v>
      </c>
      <c r="D3485" t="s">
        <v>12841</v>
      </c>
      <c r="E3485" t="s">
        <v>12839</v>
      </c>
      <c r="F3485" t="s">
        <v>28</v>
      </c>
      <c r="G3485" t="s">
        <v>12839</v>
      </c>
      <c r="H3485" t="str">
        <f>"Y39B6A.33"</f>
        <v>Y39B6A.33</v>
      </c>
      <c r="I3485" t="s">
        <v>12841</v>
      </c>
      <c r="J3485" t="s">
        <v>29</v>
      </c>
      <c r="K3485" t="s">
        <v>29</v>
      </c>
      <c r="L3485" t="s">
        <v>29</v>
      </c>
      <c r="M3485">
        <v>12.2314497960827</v>
      </c>
      <c r="N3485">
        <v>12.2297459613921</v>
      </c>
      <c r="O3485" t="s">
        <v>29</v>
      </c>
      <c r="P3485" t="s">
        <v>29</v>
      </c>
      <c r="Q3485" t="s">
        <v>29</v>
      </c>
      <c r="R3485" t="s">
        <v>29</v>
      </c>
      <c r="S3485">
        <v>12.5236820245066</v>
      </c>
      <c r="T3485" t="s">
        <v>29</v>
      </c>
      <c r="U3485" t="s">
        <v>29</v>
      </c>
      <c r="V3485" t="s">
        <v>29</v>
      </c>
      <c r="W3485" t="s">
        <v>29</v>
      </c>
      <c r="X3485" t="s">
        <v>29</v>
      </c>
      <c r="Y3485" t="s">
        <v>29</v>
      </c>
    </row>
    <row r="3486" spans="1:25" x14ac:dyDescent="0.2">
      <c r="A3486" t="s">
        <v>12842</v>
      </c>
      <c r="B3486" t="s">
        <v>12843</v>
      </c>
      <c r="C3486" t="s">
        <v>12844</v>
      </c>
      <c r="D3486" t="s">
        <v>12845</v>
      </c>
      <c r="E3486" t="s">
        <v>12843</v>
      </c>
      <c r="F3486" t="s">
        <v>28</v>
      </c>
      <c r="G3486" t="s">
        <v>12843</v>
      </c>
      <c r="H3486" t="str">
        <f>"rsp-3"</f>
        <v>rsp-3</v>
      </c>
      <c r="I3486" t="s">
        <v>12845</v>
      </c>
      <c r="J3486">
        <v>18.342158144337599</v>
      </c>
      <c r="K3486">
        <v>18.4362796743685</v>
      </c>
      <c r="L3486">
        <v>18.245303846996499</v>
      </c>
      <c r="M3486">
        <v>18.365045078354601</v>
      </c>
      <c r="N3486">
        <v>17.819736497464</v>
      </c>
      <c r="O3486">
        <v>18.086281369114602</v>
      </c>
      <c r="P3486">
        <v>-0.25089290692317001</v>
      </c>
      <c r="Q3486">
        <v>-0.663632260578921</v>
      </c>
      <c r="R3486">
        <v>0.161846446732581</v>
      </c>
      <c r="S3486">
        <v>18.071661403619199</v>
      </c>
      <c r="T3486">
        <v>-1.2776297526248599</v>
      </c>
      <c r="U3486">
        <v>-6.2337020651714798</v>
      </c>
      <c r="V3486">
        <v>0.21770668898193399</v>
      </c>
      <c r="W3486">
        <v>0.48455373867798501</v>
      </c>
      <c r="X3486">
        <v>0</v>
      </c>
      <c r="Y3486">
        <v>0</v>
      </c>
    </row>
    <row r="3487" spans="1:25" x14ac:dyDescent="0.2">
      <c r="A3487" t="s">
        <v>12846</v>
      </c>
      <c r="B3487" t="s">
        <v>12847</v>
      </c>
      <c r="C3487" t="s">
        <v>12848</v>
      </c>
      <c r="D3487" t="s">
        <v>12849</v>
      </c>
      <c r="E3487" t="s">
        <v>12847</v>
      </c>
      <c r="F3487" t="s">
        <v>28</v>
      </c>
      <c r="G3487" t="s">
        <v>12847</v>
      </c>
      <c r="H3487" t="str">
        <f>"elpc-2"</f>
        <v>elpc-2</v>
      </c>
      <c r="I3487" t="s">
        <v>12849</v>
      </c>
      <c r="J3487">
        <v>13.5298692742603</v>
      </c>
      <c r="K3487">
        <v>13.282330819125001</v>
      </c>
      <c r="L3487">
        <v>13.138890099833599</v>
      </c>
      <c r="M3487">
        <v>13.107853672841699</v>
      </c>
      <c r="N3487">
        <v>12.2509287369395</v>
      </c>
      <c r="O3487">
        <v>13.106992274738801</v>
      </c>
      <c r="P3487">
        <v>-0.49510516956628198</v>
      </c>
      <c r="Q3487">
        <v>-1.21915078091965</v>
      </c>
      <c r="R3487">
        <v>0.22894044178709</v>
      </c>
      <c r="S3487">
        <v>13.184209435383201</v>
      </c>
      <c r="T3487">
        <v>-1.44338287605092</v>
      </c>
      <c r="U3487">
        <v>-6.0197577461716003</v>
      </c>
      <c r="V3487">
        <v>0.16719890629856801</v>
      </c>
      <c r="W3487">
        <v>0.42395303781405702</v>
      </c>
      <c r="X3487">
        <v>0</v>
      </c>
      <c r="Y3487">
        <v>0</v>
      </c>
    </row>
    <row r="3488" spans="1:25" x14ac:dyDescent="0.2">
      <c r="A3488" t="s">
        <v>12850</v>
      </c>
      <c r="B3488" t="s">
        <v>12851</v>
      </c>
      <c r="C3488" t="s">
        <v>14702</v>
      </c>
      <c r="D3488" t="s">
        <v>130</v>
      </c>
      <c r="E3488" t="s">
        <v>12851</v>
      </c>
      <c r="F3488" t="s">
        <v>28</v>
      </c>
      <c r="G3488" t="s">
        <v>12851</v>
      </c>
      <c r="H3488" t="str">
        <f>"Y105E8A.21"</f>
        <v>Y105E8A.21</v>
      </c>
      <c r="I3488" t="s">
        <v>130</v>
      </c>
      <c r="J3488">
        <v>13.5131058005909</v>
      </c>
      <c r="K3488">
        <v>13.750824469487</v>
      </c>
      <c r="L3488">
        <v>13.267384070481301</v>
      </c>
      <c r="M3488" t="s">
        <v>29</v>
      </c>
      <c r="N3488" t="s">
        <v>29</v>
      </c>
      <c r="O3488" t="s">
        <v>29</v>
      </c>
      <c r="P3488" t="s">
        <v>29</v>
      </c>
      <c r="Q3488" t="s">
        <v>29</v>
      </c>
      <c r="R3488" t="s">
        <v>29</v>
      </c>
      <c r="S3488">
        <v>13.601227446823399</v>
      </c>
      <c r="T3488" t="s">
        <v>29</v>
      </c>
      <c r="U3488" t="s">
        <v>29</v>
      </c>
      <c r="V3488" t="s">
        <v>29</v>
      </c>
      <c r="W3488" t="s">
        <v>29</v>
      </c>
      <c r="X3488" t="s">
        <v>29</v>
      </c>
      <c r="Y3488" t="s">
        <v>29</v>
      </c>
    </row>
    <row r="3489" spans="1:25" x14ac:dyDescent="0.2">
      <c r="A3489" t="s">
        <v>12852</v>
      </c>
      <c r="B3489" t="s">
        <v>12853</v>
      </c>
      <c r="C3489" t="s">
        <v>12854</v>
      </c>
      <c r="D3489" t="s">
        <v>3982</v>
      </c>
      <c r="E3489" t="s">
        <v>12853</v>
      </c>
      <c r="F3489" t="s">
        <v>28</v>
      </c>
      <c r="G3489" t="s">
        <v>12853</v>
      </c>
      <c r="H3489" t="str">
        <f>"ech-7"</f>
        <v>ech-7</v>
      </c>
      <c r="I3489" t="s">
        <v>3982</v>
      </c>
      <c r="J3489" t="s">
        <v>29</v>
      </c>
      <c r="K3489" t="s">
        <v>29</v>
      </c>
      <c r="L3489">
        <v>9.8657584617808407</v>
      </c>
      <c r="M3489" t="s">
        <v>29</v>
      </c>
      <c r="N3489" t="s">
        <v>29</v>
      </c>
      <c r="O3489">
        <v>9.75163896613698</v>
      </c>
      <c r="P3489">
        <v>-0.114119495643866</v>
      </c>
      <c r="Q3489">
        <v>-1.08436402803634</v>
      </c>
      <c r="R3489">
        <v>0.85612503674860696</v>
      </c>
      <c r="S3489">
        <v>10.266522593626</v>
      </c>
      <c r="T3489">
        <v>-0.26655261330106</v>
      </c>
      <c r="U3489">
        <v>-6.4715664359511003</v>
      </c>
      <c r="V3489">
        <v>0.79588972921009304</v>
      </c>
      <c r="W3489">
        <v>0.91517844850619501</v>
      </c>
      <c r="X3489">
        <v>0</v>
      </c>
      <c r="Y3489">
        <v>0</v>
      </c>
    </row>
    <row r="3490" spans="1:25" x14ac:dyDescent="0.2">
      <c r="A3490" t="s">
        <v>12855</v>
      </c>
      <c r="B3490" t="s">
        <v>12856</v>
      </c>
      <c r="C3490" t="s">
        <v>12857</v>
      </c>
      <c r="D3490" t="s">
        <v>12858</v>
      </c>
      <c r="E3490" t="s">
        <v>12856</v>
      </c>
      <c r="F3490" t="s">
        <v>28</v>
      </c>
      <c r="G3490" t="s">
        <v>12856</v>
      </c>
      <c r="H3490" t="str">
        <f>"hprt-1"</f>
        <v>hprt-1</v>
      </c>
      <c r="I3490" t="s">
        <v>12858</v>
      </c>
      <c r="J3490" t="s">
        <v>29</v>
      </c>
      <c r="K3490" t="s">
        <v>29</v>
      </c>
      <c r="L3490">
        <v>13.579618560034699</v>
      </c>
      <c r="M3490">
        <v>13.9718545395415</v>
      </c>
      <c r="N3490">
        <v>14.480286331772501</v>
      </c>
      <c r="O3490">
        <v>14.2607243354493</v>
      </c>
      <c r="P3490">
        <v>0.658003175553043</v>
      </c>
      <c r="Q3490">
        <v>-0.27230419007390799</v>
      </c>
      <c r="R3490">
        <v>1.58831054117999</v>
      </c>
      <c r="S3490">
        <v>13.740815634421701</v>
      </c>
      <c r="T3490">
        <v>1.50020655901078</v>
      </c>
      <c r="U3490">
        <v>-5.6079356681683201</v>
      </c>
      <c r="V3490">
        <v>0.15316140294071401</v>
      </c>
      <c r="W3490">
        <v>0.40519284973096298</v>
      </c>
      <c r="X3490">
        <v>0</v>
      </c>
      <c r="Y3490">
        <v>0</v>
      </c>
    </row>
    <row r="3491" spans="1:25" x14ac:dyDescent="0.2">
      <c r="A3491" t="s">
        <v>12859</v>
      </c>
      <c r="B3491" t="s">
        <v>12860</v>
      </c>
      <c r="C3491" t="s">
        <v>12861</v>
      </c>
      <c r="D3491" t="s">
        <v>12862</v>
      </c>
      <c r="E3491" t="s">
        <v>12860</v>
      </c>
      <c r="F3491" t="s">
        <v>28</v>
      </c>
      <c r="G3491" t="s">
        <v>12860</v>
      </c>
      <c r="H3491" t="str">
        <f>"bath-40"</f>
        <v>bath-40</v>
      </c>
      <c r="I3491" t="s">
        <v>12862</v>
      </c>
      <c r="J3491">
        <v>11.9638918961308</v>
      </c>
      <c r="K3491" t="s">
        <v>29</v>
      </c>
      <c r="L3491">
        <v>11.3599126008878</v>
      </c>
      <c r="M3491" t="s">
        <v>29</v>
      </c>
      <c r="N3491">
        <v>12.3715876030943</v>
      </c>
      <c r="O3491">
        <v>11.697625729051801</v>
      </c>
      <c r="P3491">
        <v>0.37270441756381301</v>
      </c>
      <c r="Q3491">
        <v>-0.398790216689553</v>
      </c>
      <c r="R3491">
        <v>1.1441990518171801</v>
      </c>
      <c r="S3491">
        <v>12.527820087464301</v>
      </c>
      <c r="T3491">
        <v>1.0445250863818101</v>
      </c>
      <c r="U3491">
        <v>-6.2933622090091701</v>
      </c>
      <c r="V3491">
        <v>0.31542890877548801</v>
      </c>
      <c r="W3491">
        <v>0.59295532591302003</v>
      </c>
      <c r="X3491">
        <v>0</v>
      </c>
      <c r="Y3491">
        <v>0</v>
      </c>
    </row>
    <row r="3492" spans="1:25" x14ac:dyDescent="0.2">
      <c r="A3492" t="s">
        <v>12863</v>
      </c>
      <c r="B3492" t="s">
        <v>12864</v>
      </c>
      <c r="C3492" t="s">
        <v>12865</v>
      </c>
      <c r="D3492" t="s">
        <v>12866</v>
      </c>
      <c r="E3492" t="s">
        <v>12864</v>
      </c>
      <c r="F3492" t="s">
        <v>28</v>
      </c>
      <c r="G3492" t="s">
        <v>12864</v>
      </c>
      <c r="H3492" t="str">
        <f>"ced-2"</f>
        <v>ced-2</v>
      </c>
      <c r="I3492" t="s">
        <v>12866</v>
      </c>
      <c r="J3492">
        <v>11.7556394345584</v>
      </c>
      <c r="K3492">
        <v>12.1412821267069</v>
      </c>
      <c r="L3492">
        <v>11.936972739859</v>
      </c>
      <c r="M3492" t="s">
        <v>29</v>
      </c>
      <c r="N3492" t="s">
        <v>29</v>
      </c>
      <c r="O3492" t="s">
        <v>29</v>
      </c>
      <c r="P3492" t="s">
        <v>29</v>
      </c>
      <c r="Q3492" t="s">
        <v>29</v>
      </c>
      <c r="R3492" t="s">
        <v>29</v>
      </c>
      <c r="S3492">
        <v>12.218921512590899</v>
      </c>
      <c r="T3492" t="s">
        <v>29</v>
      </c>
      <c r="U3492" t="s">
        <v>29</v>
      </c>
      <c r="V3492" t="s">
        <v>29</v>
      </c>
      <c r="W3492" t="s">
        <v>29</v>
      </c>
      <c r="X3492" t="s">
        <v>29</v>
      </c>
      <c r="Y3492" t="s">
        <v>29</v>
      </c>
    </row>
    <row r="3493" spans="1:25" x14ac:dyDescent="0.2">
      <c r="A3493" t="s">
        <v>12867</v>
      </c>
      <c r="B3493" t="s">
        <v>12868</v>
      </c>
      <c r="C3493" t="s">
        <v>12869</v>
      </c>
      <c r="D3493" t="s">
        <v>93</v>
      </c>
      <c r="E3493" t="s">
        <v>12868</v>
      </c>
      <c r="F3493" t="s">
        <v>28</v>
      </c>
      <c r="G3493" t="s">
        <v>12868</v>
      </c>
      <c r="H3493" t="str">
        <f>"hrpr-1"</f>
        <v>hrpr-1</v>
      </c>
      <c r="I3493" t="s">
        <v>93</v>
      </c>
      <c r="J3493">
        <v>16.6107849426424</v>
      </c>
      <c r="K3493">
        <v>16.7724894560113</v>
      </c>
      <c r="L3493">
        <v>16.947347421685699</v>
      </c>
      <c r="M3493">
        <v>16.341856377412402</v>
      </c>
      <c r="N3493">
        <v>16.6992782546372</v>
      </c>
      <c r="O3493">
        <v>16.882543864324699</v>
      </c>
      <c r="P3493">
        <v>-0.13564777465503</v>
      </c>
      <c r="Q3493">
        <v>-0.60737861507434798</v>
      </c>
      <c r="R3493">
        <v>0.33608306576428698</v>
      </c>
      <c r="S3493">
        <v>17.370229475030001</v>
      </c>
      <c r="T3493">
        <v>-0.60438115801242298</v>
      </c>
      <c r="U3493">
        <v>-6.8625999392847197</v>
      </c>
      <c r="V3493">
        <v>0.55317656268700199</v>
      </c>
      <c r="W3493">
        <v>0.78140631470945998</v>
      </c>
      <c r="X3493">
        <v>0</v>
      </c>
      <c r="Y3493">
        <v>0</v>
      </c>
    </row>
    <row r="3494" spans="1:25" x14ac:dyDescent="0.2">
      <c r="A3494" t="s">
        <v>12870</v>
      </c>
      <c r="B3494" t="s">
        <v>12871</v>
      </c>
      <c r="C3494" t="s">
        <v>12872</v>
      </c>
      <c r="D3494" t="s">
        <v>12873</v>
      </c>
      <c r="E3494" t="s">
        <v>12871</v>
      </c>
      <c r="F3494" t="s">
        <v>28</v>
      </c>
      <c r="G3494" t="s">
        <v>12871</v>
      </c>
      <c r="H3494" t="str">
        <f>"cdk-9"</f>
        <v>cdk-9</v>
      </c>
      <c r="I3494" t="s">
        <v>12873</v>
      </c>
      <c r="J3494">
        <v>11.6914445206514</v>
      </c>
      <c r="K3494" t="s">
        <v>29</v>
      </c>
      <c r="L3494">
        <v>12.3496185871991</v>
      </c>
      <c r="M3494" t="s">
        <v>29</v>
      </c>
      <c r="N3494">
        <v>12.1880840217738</v>
      </c>
      <c r="O3494" t="s">
        <v>29</v>
      </c>
      <c r="P3494">
        <v>0.167552467848569</v>
      </c>
      <c r="Q3494">
        <v>-0.77184006883352696</v>
      </c>
      <c r="R3494">
        <v>1.1069450045306699</v>
      </c>
      <c r="S3494">
        <v>12.404076928855</v>
      </c>
      <c r="T3494">
        <v>0.393035172341894</v>
      </c>
      <c r="U3494">
        <v>-6.5688352385045397</v>
      </c>
      <c r="V3494">
        <v>0.70187477024261602</v>
      </c>
      <c r="W3494">
        <v>0.86708447318506898</v>
      </c>
      <c r="X3494">
        <v>0</v>
      </c>
      <c r="Y3494">
        <v>0</v>
      </c>
    </row>
    <row r="3495" spans="1:25" x14ac:dyDescent="0.2">
      <c r="A3495" t="s">
        <v>12874</v>
      </c>
      <c r="B3495" t="s">
        <v>12875</v>
      </c>
      <c r="C3495" t="s">
        <v>12876</v>
      </c>
      <c r="D3495" t="s">
        <v>12877</v>
      </c>
      <c r="E3495" t="s">
        <v>12875</v>
      </c>
      <c r="F3495" t="s">
        <v>28</v>
      </c>
      <c r="G3495" t="s">
        <v>12875</v>
      </c>
      <c r="H3495" t="str">
        <f>"msp-79"</f>
        <v>msp-79</v>
      </c>
      <c r="I3495" t="s">
        <v>12877</v>
      </c>
      <c r="J3495">
        <v>18.9737748844131</v>
      </c>
      <c r="K3495">
        <v>18.313647410418302</v>
      </c>
      <c r="L3495">
        <v>18.525617702303201</v>
      </c>
      <c r="M3495">
        <v>18.166858497551999</v>
      </c>
      <c r="N3495">
        <v>18.2303958625162</v>
      </c>
      <c r="O3495">
        <v>17.789235116754998</v>
      </c>
      <c r="P3495">
        <v>-0.54218350677048499</v>
      </c>
      <c r="Q3495">
        <v>-1.0465387220809499</v>
      </c>
      <c r="R3495">
        <v>-3.7828291460017802E-2</v>
      </c>
      <c r="S3495">
        <v>17.914863839374799</v>
      </c>
      <c r="T3495">
        <v>-2.2594477325670601</v>
      </c>
      <c r="U3495">
        <v>-4.7007485183032403</v>
      </c>
      <c r="V3495">
        <v>3.6573310328035902E-2</v>
      </c>
      <c r="W3495">
        <v>0.19072043558882801</v>
      </c>
      <c r="X3495">
        <v>0</v>
      </c>
      <c r="Y3495">
        <v>0</v>
      </c>
    </row>
    <row r="3496" spans="1:25" x14ac:dyDescent="0.2">
      <c r="A3496" t="s">
        <v>12878</v>
      </c>
      <c r="B3496" t="s">
        <v>12879</v>
      </c>
      <c r="C3496" t="s">
        <v>12880</v>
      </c>
      <c r="D3496" t="s">
        <v>12881</v>
      </c>
      <c r="E3496" t="s">
        <v>12879</v>
      </c>
      <c r="F3496" t="s">
        <v>28</v>
      </c>
      <c r="G3496" t="s">
        <v>12879</v>
      </c>
      <c r="H3496" t="str">
        <f>"par-1"</f>
        <v>par-1</v>
      </c>
      <c r="I3496" t="s">
        <v>12881</v>
      </c>
      <c r="J3496">
        <v>15.0020761643292</v>
      </c>
      <c r="K3496">
        <v>15.3108963828039</v>
      </c>
      <c r="L3496">
        <v>15.2438170291808</v>
      </c>
      <c r="M3496">
        <v>14.3973419589909</v>
      </c>
      <c r="N3496">
        <v>14.2673718538879</v>
      </c>
      <c r="O3496">
        <v>14.7246886003838</v>
      </c>
      <c r="P3496">
        <v>-0.72246238768378701</v>
      </c>
      <c r="Q3496">
        <v>-1.1636805169031901</v>
      </c>
      <c r="R3496">
        <v>-0.281244258464388</v>
      </c>
      <c r="S3496">
        <v>15.314086408071001</v>
      </c>
      <c r="T3496">
        <v>-3.4415525584970998</v>
      </c>
      <c r="U3496">
        <v>-2.2990579136465801</v>
      </c>
      <c r="V3496">
        <v>2.9307404124966699E-3</v>
      </c>
      <c r="W3496">
        <v>3.7545784654583303E-2</v>
      </c>
      <c r="X3496">
        <v>0</v>
      </c>
      <c r="Y3496">
        <v>0</v>
      </c>
    </row>
    <row r="3497" spans="1:25" x14ac:dyDescent="0.2">
      <c r="A3497" t="s">
        <v>12882</v>
      </c>
      <c r="B3497" t="s">
        <v>12883</v>
      </c>
      <c r="C3497" t="s">
        <v>12884</v>
      </c>
      <c r="D3497" t="s">
        <v>12885</v>
      </c>
      <c r="E3497" t="s">
        <v>12883</v>
      </c>
      <c r="F3497" t="s">
        <v>28</v>
      </c>
      <c r="G3497" t="s">
        <v>12883</v>
      </c>
      <c r="H3497" t="str">
        <f>"dys-1"</f>
        <v>dys-1</v>
      </c>
      <c r="I3497" t="s">
        <v>12885</v>
      </c>
      <c r="J3497" t="s">
        <v>29</v>
      </c>
      <c r="K3497" t="s">
        <v>29</v>
      </c>
      <c r="L3497" t="s">
        <v>29</v>
      </c>
      <c r="M3497" t="s">
        <v>29</v>
      </c>
      <c r="N3497">
        <v>9.7865039214077498</v>
      </c>
      <c r="O3497" t="s">
        <v>29</v>
      </c>
      <c r="P3497" t="s">
        <v>29</v>
      </c>
      <c r="Q3497" t="s">
        <v>29</v>
      </c>
      <c r="R3497" t="s">
        <v>29</v>
      </c>
      <c r="S3497">
        <v>10.9028045131569</v>
      </c>
      <c r="T3497" t="s">
        <v>29</v>
      </c>
      <c r="U3497" t="s">
        <v>29</v>
      </c>
      <c r="V3497" t="s">
        <v>29</v>
      </c>
      <c r="W3497" t="s">
        <v>29</v>
      </c>
      <c r="X3497" t="s">
        <v>29</v>
      </c>
      <c r="Y3497" t="s">
        <v>29</v>
      </c>
    </row>
    <row r="3498" spans="1:25" x14ac:dyDescent="0.2">
      <c r="A3498" t="s">
        <v>12886</v>
      </c>
      <c r="B3498" t="s">
        <v>12887</v>
      </c>
      <c r="C3498" t="s">
        <v>12888</v>
      </c>
      <c r="D3498" t="s">
        <v>12889</v>
      </c>
      <c r="E3498" t="s">
        <v>12887</v>
      </c>
      <c r="F3498" t="s">
        <v>28</v>
      </c>
      <c r="G3498" t="s">
        <v>12887</v>
      </c>
      <c r="H3498" t="str">
        <f>"png-1"</f>
        <v>png-1</v>
      </c>
      <c r="I3498" t="s">
        <v>12889</v>
      </c>
      <c r="J3498">
        <v>12.834132197464299</v>
      </c>
      <c r="K3498">
        <v>12.085239918338599</v>
      </c>
      <c r="L3498">
        <v>12.5292319105241</v>
      </c>
      <c r="M3498">
        <v>12.311696014247399</v>
      </c>
      <c r="N3498">
        <v>12.6417223503021</v>
      </c>
      <c r="O3498">
        <v>12.5467990093425</v>
      </c>
      <c r="P3498">
        <v>1.7204449188355401E-2</v>
      </c>
      <c r="Q3498">
        <v>-0.44510491336318603</v>
      </c>
      <c r="R3498">
        <v>0.47951381173989599</v>
      </c>
      <c r="S3498">
        <v>12.446345827639201</v>
      </c>
      <c r="T3498">
        <v>7.8552153807054506E-2</v>
      </c>
      <c r="U3498">
        <v>-7.04884320524872</v>
      </c>
      <c r="V3498">
        <v>0.93831170948069198</v>
      </c>
      <c r="W3498">
        <v>0.97548444174126903</v>
      </c>
      <c r="X3498">
        <v>0</v>
      </c>
      <c r="Y3498">
        <v>0</v>
      </c>
    </row>
    <row r="3499" spans="1:25" x14ac:dyDescent="0.2">
      <c r="A3499" t="s">
        <v>12890</v>
      </c>
      <c r="B3499" t="s">
        <v>12891</v>
      </c>
      <c r="C3499" t="s">
        <v>12892</v>
      </c>
      <c r="D3499" t="s">
        <v>12893</v>
      </c>
      <c r="E3499" t="s">
        <v>12891</v>
      </c>
      <c r="F3499" t="s">
        <v>28</v>
      </c>
      <c r="G3499" t="s">
        <v>12891</v>
      </c>
      <c r="H3499" t="str">
        <f>"did-2"</f>
        <v>did-2</v>
      </c>
      <c r="I3499" t="s">
        <v>12893</v>
      </c>
      <c r="J3499">
        <v>13.969615800347601</v>
      </c>
      <c r="K3499">
        <v>13.7969576824601</v>
      </c>
      <c r="L3499">
        <v>14.2448715556775</v>
      </c>
      <c r="M3499">
        <v>16.012573271551801</v>
      </c>
      <c r="N3499">
        <v>14.5635013571302</v>
      </c>
      <c r="O3499">
        <v>14.295755066006199</v>
      </c>
      <c r="P3499">
        <v>0.95346155206763195</v>
      </c>
      <c r="Q3499">
        <v>0.20520967933519901</v>
      </c>
      <c r="R3499">
        <v>1.70171342480006</v>
      </c>
      <c r="S3499">
        <v>14.5135077408006</v>
      </c>
      <c r="T3499">
        <v>2.67823009388212</v>
      </c>
      <c r="U3499">
        <v>-3.89540876274669</v>
      </c>
      <c r="V3499">
        <v>1.5397314112208399E-2</v>
      </c>
      <c r="W3499">
        <v>0.11571099335133</v>
      </c>
      <c r="X3499">
        <v>0</v>
      </c>
      <c r="Y3499">
        <v>0</v>
      </c>
    </row>
    <row r="3500" spans="1:25" x14ac:dyDescent="0.2">
      <c r="A3500" t="s">
        <v>12894</v>
      </c>
      <c r="B3500" t="s">
        <v>12895</v>
      </c>
      <c r="C3500" t="s">
        <v>14703</v>
      </c>
      <c r="D3500" t="s">
        <v>12896</v>
      </c>
      <c r="E3500" t="s">
        <v>12895</v>
      </c>
      <c r="F3500" t="s">
        <v>28</v>
      </c>
      <c r="G3500" t="s">
        <v>12895</v>
      </c>
      <c r="H3500" t="str">
        <f>"F23C8.5"</f>
        <v>F23C8.5</v>
      </c>
      <c r="I3500" t="s">
        <v>12896</v>
      </c>
      <c r="J3500">
        <v>13.414418194081801</v>
      </c>
      <c r="K3500">
        <v>14.264653313894501</v>
      </c>
      <c r="L3500">
        <v>14.325719668266199</v>
      </c>
      <c r="M3500">
        <v>12.2871068331013</v>
      </c>
      <c r="N3500">
        <v>13.370923517038401</v>
      </c>
      <c r="O3500">
        <v>13.5299145143495</v>
      </c>
      <c r="P3500">
        <v>-0.93894877058441195</v>
      </c>
      <c r="Q3500">
        <v>-2.1138156538295299</v>
      </c>
      <c r="R3500">
        <v>0.235918112660706</v>
      </c>
      <c r="S3500">
        <v>13.755772171384701</v>
      </c>
      <c r="T3500">
        <v>-1.6797542498912199</v>
      </c>
      <c r="U3500">
        <v>-5.6797849009483201</v>
      </c>
      <c r="V3500">
        <v>0.11037863355717401</v>
      </c>
      <c r="W3500">
        <v>0.34241702703680399</v>
      </c>
      <c r="X3500">
        <v>0</v>
      </c>
      <c r="Y3500">
        <v>0</v>
      </c>
    </row>
    <row r="3501" spans="1:25" x14ac:dyDescent="0.2">
      <c r="A3501" t="s">
        <v>12897</v>
      </c>
      <c r="B3501" t="s">
        <v>12898</v>
      </c>
      <c r="C3501" t="s">
        <v>12899</v>
      </c>
      <c r="D3501" t="s">
        <v>12900</v>
      </c>
      <c r="E3501" t="s">
        <v>12898</v>
      </c>
      <c r="F3501" t="s">
        <v>28</v>
      </c>
      <c r="G3501" t="s">
        <v>12898</v>
      </c>
      <c r="H3501" t="str">
        <f>"vps-34"</f>
        <v>vps-34</v>
      </c>
      <c r="I3501" t="s">
        <v>12900</v>
      </c>
      <c r="J3501">
        <v>13.093689005996399</v>
      </c>
      <c r="K3501">
        <v>13.3464562159034</v>
      </c>
      <c r="L3501">
        <v>12.9764370624302</v>
      </c>
      <c r="M3501">
        <v>13.114787558170899</v>
      </c>
      <c r="N3501">
        <v>13.281551591563099</v>
      </c>
      <c r="O3501">
        <v>12.923296975135401</v>
      </c>
      <c r="P3501">
        <v>-3.2315386486860803E-2</v>
      </c>
      <c r="Q3501">
        <v>-0.50764872561331698</v>
      </c>
      <c r="R3501">
        <v>0.44301795263959598</v>
      </c>
      <c r="S3501">
        <v>12.999917355589201</v>
      </c>
      <c r="T3501">
        <v>-0.14350303672426601</v>
      </c>
      <c r="U3501">
        <v>-7.0412671692901201</v>
      </c>
      <c r="V3501">
        <v>0.88759060721004701</v>
      </c>
      <c r="W3501">
        <v>0.96040055954866699</v>
      </c>
      <c r="X3501">
        <v>0</v>
      </c>
      <c r="Y3501">
        <v>0</v>
      </c>
    </row>
    <row r="3502" spans="1:25" x14ac:dyDescent="0.2">
      <c r="A3502" t="s">
        <v>12901</v>
      </c>
      <c r="B3502" t="s">
        <v>12902</v>
      </c>
      <c r="C3502" t="s">
        <v>12903</v>
      </c>
      <c r="D3502" t="s">
        <v>12904</v>
      </c>
      <c r="E3502" t="s">
        <v>12902</v>
      </c>
      <c r="F3502" t="s">
        <v>28</v>
      </c>
      <c r="G3502" t="s">
        <v>12902</v>
      </c>
      <c r="H3502" t="str">
        <f>"K02F3.12"</f>
        <v>K02F3.12</v>
      </c>
      <c r="I3502" t="s">
        <v>12904</v>
      </c>
      <c r="J3502">
        <v>11.313463609813599</v>
      </c>
      <c r="K3502" t="s">
        <v>29</v>
      </c>
      <c r="L3502">
        <v>12.5357757272371</v>
      </c>
      <c r="M3502" t="s">
        <v>29</v>
      </c>
      <c r="N3502">
        <v>12.7077409331112</v>
      </c>
      <c r="O3502">
        <v>12.7377043364028</v>
      </c>
      <c r="P3502">
        <v>0.79810296623167998</v>
      </c>
      <c r="Q3502">
        <v>-3.86833368708938E-2</v>
      </c>
      <c r="R3502">
        <v>1.6348892693342501</v>
      </c>
      <c r="S3502">
        <v>12.6669901549567</v>
      </c>
      <c r="T3502">
        <v>2.04708678572882</v>
      </c>
      <c r="U3502">
        <v>-4.9127466163212503</v>
      </c>
      <c r="V3502">
        <v>6.0047982780756799E-2</v>
      </c>
      <c r="W3502">
        <v>0.24671229288962401</v>
      </c>
      <c r="X3502">
        <v>0</v>
      </c>
      <c r="Y3502">
        <v>0</v>
      </c>
    </row>
    <row r="3503" spans="1:25" x14ac:dyDescent="0.2">
      <c r="A3503" t="s">
        <v>12905</v>
      </c>
      <c r="B3503" t="s">
        <v>12906</v>
      </c>
      <c r="C3503" t="s">
        <v>12907</v>
      </c>
      <c r="D3503" t="s">
        <v>368</v>
      </c>
      <c r="E3503" t="s">
        <v>12906</v>
      </c>
      <c r="F3503" t="s">
        <v>28</v>
      </c>
      <c r="G3503" t="s">
        <v>12906</v>
      </c>
      <c r="H3503" t="str">
        <f>"meg-3"</f>
        <v>meg-3</v>
      </c>
      <c r="I3503" t="s">
        <v>368</v>
      </c>
      <c r="J3503" t="s">
        <v>29</v>
      </c>
      <c r="K3503" t="s">
        <v>29</v>
      </c>
      <c r="L3503">
        <v>11.723996901080101</v>
      </c>
      <c r="M3503" t="s">
        <v>29</v>
      </c>
      <c r="N3503">
        <v>10.7811535267852</v>
      </c>
      <c r="O3503" t="s">
        <v>29</v>
      </c>
      <c r="P3503">
        <v>-0.94284337429494003</v>
      </c>
      <c r="Q3503">
        <v>-1.94111066929214</v>
      </c>
      <c r="R3503">
        <v>5.5423920702256997E-2</v>
      </c>
      <c r="S3503">
        <v>12.119102831435701</v>
      </c>
      <c r="T3503">
        <v>-2.0812315635351002</v>
      </c>
      <c r="U3503">
        <v>-4.5703514343789999</v>
      </c>
      <c r="V3503">
        <v>6.18071463289325E-2</v>
      </c>
      <c r="W3503">
        <v>0.25046133767664602</v>
      </c>
      <c r="X3503">
        <v>0</v>
      </c>
      <c r="Y3503">
        <v>0</v>
      </c>
    </row>
    <row r="3504" spans="1:25" x14ac:dyDescent="0.2">
      <c r="A3504" t="s">
        <v>12908</v>
      </c>
      <c r="B3504" t="s">
        <v>12909</v>
      </c>
      <c r="C3504" t="s">
        <v>14704</v>
      </c>
      <c r="D3504" t="s">
        <v>368</v>
      </c>
      <c r="E3504" t="s">
        <v>12909</v>
      </c>
      <c r="F3504" t="s">
        <v>28</v>
      </c>
      <c r="G3504" t="s">
        <v>12909</v>
      </c>
      <c r="H3504" t="str">
        <f>"F52D2.7"</f>
        <v>F52D2.7</v>
      </c>
      <c r="I3504" t="s">
        <v>368</v>
      </c>
      <c r="J3504" t="s">
        <v>29</v>
      </c>
      <c r="K3504" t="s">
        <v>29</v>
      </c>
      <c r="L3504" t="s">
        <v>29</v>
      </c>
      <c r="M3504" t="s">
        <v>29</v>
      </c>
      <c r="N3504" t="s">
        <v>29</v>
      </c>
      <c r="O3504" t="s">
        <v>29</v>
      </c>
      <c r="P3504" t="s">
        <v>29</v>
      </c>
      <c r="Q3504" t="s">
        <v>29</v>
      </c>
      <c r="R3504" t="s">
        <v>29</v>
      </c>
      <c r="S3504">
        <v>11.4651013239463</v>
      </c>
      <c r="T3504" t="s">
        <v>29</v>
      </c>
      <c r="U3504" t="s">
        <v>29</v>
      </c>
      <c r="V3504" t="s">
        <v>29</v>
      </c>
      <c r="W3504" t="s">
        <v>29</v>
      </c>
      <c r="X3504" t="s">
        <v>29</v>
      </c>
      <c r="Y3504" t="s">
        <v>29</v>
      </c>
    </row>
    <row r="3505" spans="1:25" x14ac:dyDescent="0.2">
      <c r="A3505" t="s">
        <v>12910</v>
      </c>
      <c r="B3505" t="s">
        <v>12911</v>
      </c>
      <c r="C3505" t="s">
        <v>12912</v>
      </c>
      <c r="D3505" t="s">
        <v>12913</v>
      </c>
      <c r="E3505" t="s">
        <v>12911</v>
      </c>
      <c r="F3505" t="s">
        <v>28</v>
      </c>
      <c r="G3505" t="s">
        <v>12911</v>
      </c>
      <c r="H3505" t="str">
        <f>"rps-27"</f>
        <v>rps-27</v>
      </c>
      <c r="I3505" t="s">
        <v>12913</v>
      </c>
      <c r="J3505">
        <v>16.147292688664301</v>
      </c>
      <c r="K3505">
        <v>16.210269728816399</v>
      </c>
      <c r="L3505">
        <v>16.151647960454</v>
      </c>
      <c r="M3505">
        <v>15.714474338614499</v>
      </c>
      <c r="N3505">
        <v>15.506392150622499</v>
      </c>
      <c r="O3505">
        <v>15.2759092427985</v>
      </c>
      <c r="P3505">
        <v>-0.67081154863308101</v>
      </c>
      <c r="Q3505">
        <v>-1.04077145222912</v>
      </c>
      <c r="R3505">
        <v>-0.30085164503704098</v>
      </c>
      <c r="S3505">
        <v>15.4925436877419</v>
      </c>
      <c r="T3505">
        <v>-3.81099506439047</v>
      </c>
      <c r="U3505">
        <v>-1.49439042900431</v>
      </c>
      <c r="V3505">
        <v>1.2910790691901099E-3</v>
      </c>
      <c r="W3505">
        <v>2.1218036823962699E-2</v>
      </c>
      <c r="X3505">
        <v>0</v>
      </c>
      <c r="Y3505">
        <v>0</v>
      </c>
    </row>
    <row r="3506" spans="1:25" x14ac:dyDescent="0.2">
      <c r="A3506" t="s">
        <v>12914</v>
      </c>
      <c r="B3506" t="s">
        <v>12915</v>
      </c>
      <c r="C3506" t="s">
        <v>12916</v>
      </c>
      <c r="D3506" t="s">
        <v>12917</v>
      </c>
      <c r="E3506" t="s">
        <v>12915</v>
      </c>
      <c r="F3506" t="s">
        <v>28</v>
      </c>
      <c r="G3506" t="s">
        <v>12915</v>
      </c>
      <c r="H3506" t="str">
        <f>"tank-1"</f>
        <v>tank-1</v>
      </c>
      <c r="I3506" t="s">
        <v>12917</v>
      </c>
      <c r="J3506">
        <v>15.132282949302301</v>
      </c>
      <c r="K3506">
        <v>15.608947206814101</v>
      </c>
      <c r="L3506">
        <v>15.2503901272419</v>
      </c>
      <c r="M3506">
        <v>15.483010939976699</v>
      </c>
      <c r="N3506">
        <v>15.0189550462669</v>
      </c>
      <c r="O3506">
        <v>15.275512503156699</v>
      </c>
      <c r="P3506">
        <v>-7.1380597986003394E-2</v>
      </c>
      <c r="Q3506">
        <v>-0.51886015480057102</v>
      </c>
      <c r="R3506">
        <v>0.37609895882856398</v>
      </c>
      <c r="S3506">
        <v>15.448826511116</v>
      </c>
      <c r="T3506">
        <v>-0.33527370658839001</v>
      </c>
      <c r="U3506">
        <v>-6.99336285104176</v>
      </c>
      <c r="V3506">
        <v>0.74131699469091505</v>
      </c>
      <c r="W3506">
        <v>0.89088908389168697</v>
      </c>
      <c r="X3506">
        <v>0</v>
      </c>
      <c r="Y3506">
        <v>0</v>
      </c>
    </row>
    <row r="3507" spans="1:25" x14ac:dyDescent="0.2">
      <c r="A3507" t="s">
        <v>12918</v>
      </c>
      <c r="B3507" t="s">
        <v>12919</v>
      </c>
      <c r="C3507" t="s">
        <v>12920</v>
      </c>
      <c r="D3507" t="s">
        <v>12921</v>
      </c>
      <c r="E3507" t="s">
        <v>12919</v>
      </c>
      <c r="F3507" t="s">
        <v>28</v>
      </c>
      <c r="G3507" t="s">
        <v>12919</v>
      </c>
      <c r="H3507" t="str">
        <f>"msh-2"</f>
        <v>msh-2</v>
      </c>
      <c r="I3507" t="s">
        <v>12921</v>
      </c>
      <c r="J3507">
        <v>13.8962441560298</v>
      </c>
      <c r="K3507">
        <v>13.493606772634701</v>
      </c>
      <c r="L3507">
        <v>13.5505177701707</v>
      </c>
      <c r="M3507">
        <v>13.4191001422589</v>
      </c>
      <c r="N3507">
        <v>13.6169177160891</v>
      </c>
      <c r="O3507">
        <v>13.4413329662616</v>
      </c>
      <c r="P3507">
        <v>-0.154339291408538</v>
      </c>
      <c r="Q3507">
        <v>-0.485814517158215</v>
      </c>
      <c r="R3507">
        <v>0.177135934341138</v>
      </c>
      <c r="S3507">
        <v>13.502568712314</v>
      </c>
      <c r="T3507">
        <v>-0.97862868209462694</v>
      </c>
      <c r="U3507">
        <v>-6.5632482342223204</v>
      </c>
      <c r="V3507">
        <v>0.340809215065564</v>
      </c>
      <c r="W3507">
        <v>0.62058935972207396</v>
      </c>
      <c r="X3507">
        <v>0</v>
      </c>
      <c r="Y3507">
        <v>0</v>
      </c>
    </row>
    <row r="3508" spans="1:25" x14ac:dyDescent="0.2">
      <c r="A3508" t="s">
        <v>12922</v>
      </c>
      <c r="B3508" t="s">
        <v>12923</v>
      </c>
      <c r="C3508" t="s">
        <v>14705</v>
      </c>
      <c r="D3508" t="s">
        <v>4432</v>
      </c>
      <c r="E3508" t="s">
        <v>12923</v>
      </c>
      <c r="F3508" t="s">
        <v>28</v>
      </c>
      <c r="G3508" t="s">
        <v>12923</v>
      </c>
      <c r="H3508" t="str">
        <f>"F56B3.11"</f>
        <v>F56B3.11</v>
      </c>
      <c r="I3508" t="s">
        <v>4432</v>
      </c>
      <c r="J3508">
        <v>13.3386249354171</v>
      </c>
      <c r="K3508">
        <v>13.3533722111084</v>
      </c>
      <c r="L3508">
        <v>13.0921889471014</v>
      </c>
      <c r="M3508">
        <v>12.9950545442193</v>
      </c>
      <c r="N3508">
        <v>12.648218215272999</v>
      </c>
      <c r="O3508">
        <v>12.9660557303913</v>
      </c>
      <c r="P3508">
        <v>-0.39161920124773703</v>
      </c>
      <c r="Q3508">
        <v>-0.87822572274210198</v>
      </c>
      <c r="R3508">
        <v>9.4987320246627899E-2</v>
      </c>
      <c r="S3508">
        <v>12.743295264120199</v>
      </c>
      <c r="T3508">
        <v>-1.69152556296902</v>
      </c>
      <c r="U3508">
        <v>-5.6618583789752801</v>
      </c>
      <c r="V3508">
        <v>0.10807691081948299</v>
      </c>
      <c r="W3508">
        <v>0.33978963073101198</v>
      </c>
      <c r="X3508">
        <v>0</v>
      </c>
      <c r="Y3508">
        <v>0</v>
      </c>
    </row>
    <row r="3509" spans="1:25" x14ac:dyDescent="0.2">
      <c r="A3509" t="s">
        <v>12924</v>
      </c>
      <c r="B3509" t="s">
        <v>12925</v>
      </c>
      <c r="C3509" t="s">
        <v>12926</v>
      </c>
      <c r="D3509" t="s">
        <v>2795</v>
      </c>
      <c r="E3509" t="s">
        <v>12925</v>
      </c>
      <c r="F3509" t="s">
        <v>28</v>
      </c>
      <c r="G3509" t="s">
        <v>12925</v>
      </c>
      <c r="H3509" t="str">
        <f>"ugt-13"</f>
        <v>ugt-13</v>
      </c>
      <c r="I3509" t="s">
        <v>2795</v>
      </c>
      <c r="J3509">
        <v>12.907729837642901</v>
      </c>
      <c r="K3509">
        <v>12.558088750909899</v>
      </c>
      <c r="L3509">
        <v>12.692726275729299</v>
      </c>
      <c r="M3509">
        <v>12.3932421145488</v>
      </c>
      <c r="N3509">
        <v>12.621924487940801</v>
      </c>
      <c r="O3509">
        <v>12.4719408074613</v>
      </c>
      <c r="P3509">
        <v>-0.223812484777104</v>
      </c>
      <c r="Q3509">
        <v>-0.88384998191699105</v>
      </c>
      <c r="R3509">
        <v>0.43622501236278199</v>
      </c>
      <c r="S3509">
        <v>12.126918723135599</v>
      </c>
      <c r="T3509">
        <v>-0.72779252852895904</v>
      </c>
      <c r="U3509">
        <v>-6.7755474091882197</v>
      </c>
      <c r="V3509">
        <v>0.47882596066084199</v>
      </c>
      <c r="W3509">
        <v>0.73773658901059702</v>
      </c>
      <c r="X3509">
        <v>0</v>
      </c>
      <c r="Y3509">
        <v>0</v>
      </c>
    </row>
    <row r="3510" spans="1:25" x14ac:dyDescent="0.2">
      <c r="A3510" t="s">
        <v>12927</v>
      </c>
      <c r="B3510" t="s">
        <v>12928</v>
      </c>
      <c r="C3510" t="s">
        <v>12929</v>
      </c>
      <c r="D3510" t="s">
        <v>12930</v>
      </c>
      <c r="E3510" t="s">
        <v>12928</v>
      </c>
      <c r="F3510" t="s">
        <v>28</v>
      </c>
      <c r="G3510" t="s">
        <v>12928</v>
      </c>
      <c r="H3510" t="str">
        <f>"ykt-6"</f>
        <v>ykt-6</v>
      </c>
      <c r="I3510" t="s">
        <v>12930</v>
      </c>
      <c r="J3510">
        <v>14.0957367898316</v>
      </c>
      <c r="K3510">
        <v>14.127944970915101</v>
      </c>
      <c r="L3510">
        <v>13.775173908783</v>
      </c>
      <c r="M3510">
        <v>14.4821102780127</v>
      </c>
      <c r="N3510">
        <v>13.987416525672501</v>
      </c>
      <c r="O3510">
        <v>13.6674613178767</v>
      </c>
      <c r="P3510">
        <v>4.6044150677387201E-2</v>
      </c>
      <c r="Q3510">
        <v>-0.48413314032690802</v>
      </c>
      <c r="R3510">
        <v>0.57622144168168299</v>
      </c>
      <c r="S3510">
        <v>13.687023385092701</v>
      </c>
      <c r="T3510">
        <v>0.18331726023294601</v>
      </c>
      <c r="U3510">
        <v>-7.0344376753194</v>
      </c>
      <c r="V3510">
        <v>0.85673106320275005</v>
      </c>
      <c r="W3510">
        <v>0.94373828018339501</v>
      </c>
      <c r="X3510">
        <v>0</v>
      </c>
      <c r="Y3510">
        <v>0</v>
      </c>
    </row>
    <row r="3511" spans="1:25" x14ac:dyDescent="0.2">
      <c r="A3511" t="s">
        <v>12931</v>
      </c>
      <c r="B3511" t="s">
        <v>12932</v>
      </c>
      <c r="C3511" t="s">
        <v>12933</v>
      </c>
      <c r="D3511" t="s">
        <v>12934</v>
      </c>
      <c r="E3511" t="s">
        <v>12932</v>
      </c>
      <c r="F3511" t="s">
        <v>28</v>
      </c>
      <c r="G3511" t="s">
        <v>12932</v>
      </c>
      <c r="H3511" t="str">
        <f>"dpm-1"</f>
        <v>dpm-1</v>
      </c>
      <c r="I3511" t="s">
        <v>12934</v>
      </c>
      <c r="J3511">
        <v>16.208110102704101</v>
      </c>
      <c r="K3511">
        <v>16.145558176487601</v>
      </c>
      <c r="L3511">
        <v>16.136073120875601</v>
      </c>
      <c r="M3511">
        <v>16.304473668056499</v>
      </c>
      <c r="N3511">
        <v>16.147955721026399</v>
      </c>
      <c r="O3511">
        <v>15.9213215114384</v>
      </c>
      <c r="P3511">
        <v>-3.8663499848691898E-2</v>
      </c>
      <c r="Q3511">
        <v>-0.41051409592577198</v>
      </c>
      <c r="R3511">
        <v>0.33318709622838799</v>
      </c>
      <c r="S3511">
        <v>15.7787347497315</v>
      </c>
      <c r="T3511">
        <v>-0.21853710987101799</v>
      </c>
      <c r="U3511">
        <v>-7.0270915460711896</v>
      </c>
      <c r="V3511">
        <v>0.82948355926837103</v>
      </c>
      <c r="W3511">
        <v>0.931542394832789</v>
      </c>
      <c r="X3511">
        <v>0</v>
      </c>
      <c r="Y3511">
        <v>0</v>
      </c>
    </row>
    <row r="3512" spans="1:25" x14ac:dyDescent="0.2">
      <c r="A3512" t="s">
        <v>12935</v>
      </c>
      <c r="B3512" t="s">
        <v>12936</v>
      </c>
      <c r="C3512" t="s">
        <v>12937</v>
      </c>
      <c r="D3512" t="s">
        <v>12938</v>
      </c>
      <c r="E3512" t="s">
        <v>12936</v>
      </c>
      <c r="F3512" t="s">
        <v>28</v>
      </c>
      <c r="G3512" t="s">
        <v>12936</v>
      </c>
      <c r="H3512" t="str">
        <f>"Y66H1A.4"</f>
        <v>Y66H1A.4</v>
      </c>
      <c r="I3512" t="s">
        <v>12938</v>
      </c>
      <c r="J3512">
        <v>15.504098689325</v>
      </c>
      <c r="K3512">
        <v>15.3818592462887</v>
      </c>
      <c r="L3512">
        <v>15.732810131729901</v>
      </c>
      <c r="M3512">
        <v>14.738182393262001</v>
      </c>
      <c r="N3512">
        <v>14.5899959818694</v>
      </c>
      <c r="O3512">
        <v>14.923237007993601</v>
      </c>
      <c r="P3512">
        <v>-0.78911756140619005</v>
      </c>
      <c r="Q3512">
        <v>-1.70397853884802</v>
      </c>
      <c r="R3512">
        <v>0.12574341603564099</v>
      </c>
      <c r="S3512">
        <v>14.970132049293801</v>
      </c>
      <c r="T3512">
        <v>-1.8129219953053799</v>
      </c>
      <c r="U3512">
        <v>-5.4718241261860401</v>
      </c>
      <c r="V3512">
        <v>8.6653922128590993E-2</v>
      </c>
      <c r="W3512">
        <v>0.30188911217609299</v>
      </c>
      <c r="X3512">
        <v>0</v>
      </c>
      <c r="Y3512">
        <v>0</v>
      </c>
    </row>
    <row r="3513" spans="1:25" x14ac:dyDescent="0.2">
      <c r="A3513" t="s">
        <v>12939</v>
      </c>
      <c r="B3513" t="s">
        <v>12940</v>
      </c>
      <c r="C3513" t="s">
        <v>12941</v>
      </c>
      <c r="D3513" t="s">
        <v>12942</v>
      </c>
      <c r="E3513" t="s">
        <v>12940</v>
      </c>
      <c r="F3513" t="s">
        <v>28</v>
      </c>
      <c r="G3513" t="s">
        <v>12940</v>
      </c>
      <c r="H3513" t="str">
        <f>"copb-1"</f>
        <v>copb-1</v>
      </c>
      <c r="I3513" t="s">
        <v>12942</v>
      </c>
      <c r="J3513">
        <v>16.5579745379681</v>
      </c>
      <c r="K3513">
        <v>16.515620412714501</v>
      </c>
      <c r="L3513">
        <v>16.519562784799199</v>
      </c>
      <c r="M3513">
        <v>16.878093167566298</v>
      </c>
      <c r="N3513">
        <v>17.199499847817599</v>
      </c>
      <c r="O3513">
        <v>16.7281218712792</v>
      </c>
      <c r="P3513">
        <v>0.40418571706044698</v>
      </c>
      <c r="Q3513">
        <v>-0.121517793633471</v>
      </c>
      <c r="R3513">
        <v>0.929889227754364</v>
      </c>
      <c r="S3513">
        <v>16.501407064058501</v>
      </c>
      <c r="T3513">
        <v>1.6159674118877601</v>
      </c>
      <c r="U3513">
        <v>-5.7753300684114697</v>
      </c>
      <c r="V3513">
        <v>0.123593646155985</v>
      </c>
      <c r="W3513">
        <v>0.36430536560900101</v>
      </c>
      <c r="X3513">
        <v>0</v>
      </c>
      <c r="Y3513">
        <v>0</v>
      </c>
    </row>
    <row r="3514" spans="1:25" x14ac:dyDescent="0.2">
      <c r="A3514" t="s">
        <v>12943</v>
      </c>
      <c r="B3514" t="s">
        <v>12944</v>
      </c>
      <c r="C3514" t="s">
        <v>14706</v>
      </c>
      <c r="D3514" t="s">
        <v>4609</v>
      </c>
      <c r="E3514" t="s">
        <v>12944</v>
      </c>
      <c r="F3514" t="s">
        <v>28</v>
      </c>
      <c r="G3514" t="s">
        <v>12944</v>
      </c>
      <c r="H3514" t="str">
        <f>"Y14H12B.2"</f>
        <v>Y14H12B.2</v>
      </c>
      <c r="I3514" t="s">
        <v>4609</v>
      </c>
      <c r="J3514">
        <v>11.799558222114801</v>
      </c>
      <c r="K3514">
        <v>11.3309656013856</v>
      </c>
      <c r="L3514">
        <v>12.4553612079298</v>
      </c>
      <c r="M3514">
        <v>10.9883454417962</v>
      </c>
      <c r="N3514">
        <v>11.5936550784582</v>
      </c>
      <c r="O3514">
        <v>11.689240448820399</v>
      </c>
      <c r="P3514">
        <v>-0.43821468745182401</v>
      </c>
      <c r="Q3514">
        <v>-1.2363903127965301</v>
      </c>
      <c r="R3514">
        <v>0.35996093789287897</v>
      </c>
      <c r="S3514">
        <v>12.956666121444901</v>
      </c>
      <c r="T3514">
        <v>-1.16449599214418</v>
      </c>
      <c r="U3514">
        <v>-6.3657933023162299</v>
      </c>
      <c r="V3514">
        <v>0.26140378362983302</v>
      </c>
      <c r="W3514">
        <v>0.53870038754368499</v>
      </c>
      <c r="X3514">
        <v>0</v>
      </c>
      <c r="Y3514">
        <v>0</v>
      </c>
    </row>
    <row r="3515" spans="1:25" x14ac:dyDescent="0.2">
      <c r="A3515" t="s">
        <v>12945</v>
      </c>
      <c r="B3515" t="s">
        <v>12946</v>
      </c>
      <c r="C3515" t="s">
        <v>12947</v>
      </c>
      <c r="D3515" t="s">
        <v>1502</v>
      </c>
      <c r="E3515" t="s">
        <v>12946</v>
      </c>
      <c r="F3515" t="s">
        <v>28</v>
      </c>
      <c r="G3515" t="s">
        <v>12946</v>
      </c>
      <c r="H3515" t="str">
        <f>"mca-2"</f>
        <v>mca-2</v>
      </c>
      <c r="I3515" t="s">
        <v>1502</v>
      </c>
      <c r="J3515">
        <v>16.1163358974852</v>
      </c>
      <c r="K3515">
        <v>15.9268565785075</v>
      </c>
      <c r="L3515">
        <v>15.736162141544099</v>
      </c>
      <c r="M3515">
        <v>16.292926628440899</v>
      </c>
      <c r="N3515">
        <v>15.931642908247801</v>
      </c>
      <c r="O3515">
        <v>15.793337015045299</v>
      </c>
      <c r="P3515">
        <v>7.95173113990746E-2</v>
      </c>
      <c r="Q3515">
        <v>-0.35458267699632501</v>
      </c>
      <c r="R3515">
        <v>0.51361729979447401</v>
      </c>
      <c r="S3515">
        <v>15.934667606399101</v>
      </c>
      <c r="T3515">
        <v>0.385003277294164</v>
      </c>
      <c r="U3515">
        <v>-6.9747280813621497</v>
      </c>
      <c r="V3515">
        <v>0.70477264027327102</v>
      </c>
      <c r="W3515">
        <v>0.86788140819986703</v>
      </c>
      <c r="X3515">
        <v>0</v>
      </c>
      <c r="Y3515">
        <v>0</v>
      </c>
    </row>
    <row r="3516" spans="1:25" x14ac:dyDescent="0.2">
      <c r="A3516" t="s">
        <v>12948</v>
      </c>
      <c r="B3516" t="s">
        <v>12949</v>
      </c>
      <c r="C3516" t="s">
        <v>12950</v>
      </c>
      <c r="D3516" t="s">
        <v>12951</v>
      </c>
      <c r="E3516" t="s">
        <v>12949</v>
      </c>
      <c r="F3516" t="s">
        <v>28</v>
      </c>
      <c r="G3516" t="s">
        <v>12949</v>
      </c>
      <c r="H3516" t="str">
        <f>"lin-33"</f>
        <v>lin-33</v>
      </c>
      <c r="I3516" t="s">
        <v>12951</v>
      </c>
      <c r="J3516">
        <v>12.9046610419568</v>
      </c>
      <c r="K3516">
        <v>12.9228947292205</v>
      </c>
      <c r="L3516">
        <v>13.0637156612816</v>
      </c>
      <c r="M3516">
        <v>13.5348985073084</v>
      </c>
      <c r="N3516">
        <v>13.491895969390001</v>
      </c>
      <c r="O3516">
        <v>13.6486550109197</v>
      </c>
      <c r="P3516">
        <v>0.59472601838640504</v>
      </c>
      <c r="Q3516">
        <v>-0.286530052574476</v>
      </c>
      <c r="R3516">
        <v>1.4759820893472899</v>
      </c>
      <c r="S3516">
        <v>12.9195236500685</v>
      </c>
      <c r="T3516">
        <v>1.4184281117931501</v>
      </c>
      <c r="U3516">
        <v>-6.0532807839665299</v>
      </c>
      <c r="V3516">
        <v>0.17324681882134901</v>
      </c>
      <c r="W3516">
        <v>0.43242610723413899</v>
      </c>
      <c r="X3516">
        <v>0</v>
      </c>
      <c r="Y3516">
        <v>0</v>
      </c>
    </row>
    <row r="3517" spans="1:25" x14ac:dyDescent="0.2">
      <c r="A3517" t="s">
        <v>12952</v>
      </c>
      <c r="B3517" t="s">
        <v>12953</v>
      </c>
      <c r="C3517" t="s">
        <v>14707</v>
      </c>
      <c r="D3517" t="s">
        <v>3246</v>
      </c>
      <c r="E3517" t="s">
        <v>12953</v>
      </c>
      <c r="F3517" t="s">
        <v>28</v>
      </c>
      <c r="G3517" t="s">
        <v>12953</v>
      </c>
      <c r="H3517" t="str">
        <f>"H04M03.3"</f>
        <v>H04M03.3</v>
      </c>
      <c r="I3517" t="s">
        <v>3246</v>
      </c>
      <c r="J3517">
        <v>13.950813407178501</v>
      </c>
      <c r="K3517">
        <v>13.7445034194991</v>
      </c>
      <c r="L3517">
        <v>13.9557642727244</v>
      </c>
      <c r="M3517">
        <v>14.0383850374986</v>
      </c>
      <c r="N3517">
        <v>13.562381386435399</v>
      </c>
      <c r="O3517">
        <v>13.4449827652225</v>
      </c>
      <c r="P3517">
        <v>-0.20177730341518599</v>
      </c>
      <c r="Q3517">
        <v>-0.71920237775190599</v>
      </c>
      <c r="R3517">
        <v>0.31564777092153401</v>
      </c>
      <c r="S3517">
        <v>13.997419057867999</v>
      </c>
      <c r="T3517">
        <v>-0.82314217906649401</v>
      </c>
      <c r="U3517">
        <v>-6.7028961417464696</v>
      </c>
      <c r="V3517">
        <v>0.42189442442528302</v>
      </c>
      <c r="W3517">
        <v>0.69511111750879495</v>
      </c>
      <c r="X3517">
        <v>0</v>
      </c>
      <c r="Y3517">
        <v>0</v>
      </c>
    </row>
    <row r="3518" spans="1:25" x14ac:dyDescent="0.2">
      <c r="A3518" t="s">
        <v>12954</v>
      </c>
      <c r="B3518" t="s">
        <v>12955</v>
      </c>
      <c r="C3518" t="s">
        <v>12956</v>
      </c>
      <c r="D3518" t="s">
        <v>12957</v>
      </c>
      <c r="E3518" t="s">
        <v>12955</v>
      </c>
      <c r="F3518" t="s">
        <v>28</v>
      </c>
      <c r="G3518" t="s">
        <v>12955</v>
      </c>
      <c r="H3518" t="str">
        <f>"shc-1"</f>
        <v>shc-1</v>
      </c>
      <c r="I3518" t="s">
        <v>12957</v>
      </c>
      <c r="J3518">
        <v>13.7129460828533</v>
      </c>
      <c r="K3518">
        <v>13.30601588074</v>
      </c>
      <c r="L3518">
        <v>13.791540204362001</v>
      </c>
      <c r="M3518">
        <v>13.7438046195563</v>
      </c>
      <c r="N3518">
        <v>13.270121411638399</v>
      </c>
      <c r="O3518">
        <v>13.2671350569103</v>
      </c>
      <c r="P3518">
        <v>-0.17648035995009301</v>
      </c>
      <c r="Q3518">
        <v>-1.5077183924992601</v>
      </c>
      <c r="R3518">
        <v>1.15475767259908</v>
      </c>
      <c r="S3518">
        <v>13.311862294811499</v>
      </c>
      <c r="T3518">
        <v>-0.28273675556190098</v>
      </c>
      <c r="U3518">
        <v>-7.0098602363783096</v>
      </c>
      <c r="V3518">
        <v>0.78126987655759506</v>
      </c>
      <c r="W3518">
        <v>0.90924612958455397</v>
      </c>
      <c r="X3518">
        <v>0</v>
      </c>
      <c r="Y3518">
        <v>0</v>
      </c>
    </row>
    <row r="3519" spans="1:25" x14ac:dyDescent="0.2">
      <c r="A3519" t="s">
        <v>12958</v>
      </c>
      <c r="B3519" t="s">
        <v>12959</v>
      </c>
      <c r="C3519" t="s">
        <v>14708</v>
      </c>
      <c r="D3519" t="s">
        <v>93</v>
      </c>
      <c r="E3519" t="s">
        <v>12959</v>
      </c>
      <c r="F3519" t="s">
        <v>28</v>
      </c>
      <c r="G3519" t="s">
        <v>12959</v>
      </c>
      <c r="H3519" t="str">
        <f>"W05F2.6"</f>
        <v>W05F2.6</v>
      </c>
      <c r="I3519" t="s">
        <v>93</v>
      </c>
      <c r="J3519">
        <v>11.8234152245758</v>
      </c>
      <c r="K3519">
        <v>11.887054021047501</v>
      </c>
      <c r="L3519">
        <v>12.2174608896393</v>
      </c>
      <c r="M3519">
        <v>11.500710917366501</v>
      </c>
      <c r="N3519">
        <v>12.3819826013845</v>
      </c>
      <c r="O3519" t="s">
        <v>29</v>
      </c>
      <c r="P3519">
        <v>-3.4629952378672599E-2</v>
      </c>
      <c r="Q3519">
        <v>-0.70336506769493801</v>
      </c>
      <c r="R3519">
        <v>0.634105162937593</v>
      </c>
      <c r="S3519">
        <v>12.565831923281999</v>
      </c>
      <c r="T3519">
        <v>-0.11114493047219701</v>
      </c>
      <c r="U3519">
        <v>-6.9348742614181198</v>
      </c>
      <c r="V3519">
        <v>0.91309091165498402</v>
      </c>
      <c r="W3519">
        <v>0.96842015096093803</v>
      </c>
      <c r="X3519">
        <v>0</v>
      </c>
      <c r="Y3519">
        <v>0</v>
      </c>
    </row>
    <row r="3520" spans="1:25" x14ac:dyDescent="0.2">
      <c r="A3520" t="s">
        <v>12960</v>
      </c>
      <c r="B3520" t="s">
        <v>12961</v>
      </c>
      <c r="C3520" t="s">
        <v>12962</v>
      </c>
      <c r="D3520" t="s">
        <v>12963</v>
      </c>
      <c r="E3520" t="s">
        <v>12961</v>
      </c>
      <c r="F3520" t="s">
        <v>28</v>
      </c>
      <c r="G3520" t="s">
        <v>12961</v>
      </c>
      <c r="H3520" t="str">
        <f>"mys-1"</f>
        <v>mys-1</v>
      </c>
      <c r="I3520" t="s">
        <v>12963</v>
      </c>
      <c r="J3520" t="s">
        <v>29</v>
      </c>
      <c r="K3520" t="s">
        <v>29</v>
      </c>
      <c r="L3520">
        <v>10.1254501223725</v>
      </c>
      <c r="M3520" t="s">
        <v>29</v>
      </c>
      <c r="N3520" t="s">
        <v>29</v>
      </c>
      <c r="O3520" t="s">
        <v>29</v>
      </c>
      <c r="P3520" t="s">
        <v>29</v>
      </c>
      <c r="Q3520" t="s">
        <v>29</v>
      </c>
      <c r="R3520" t="s">
        <v>29</v>
      </c>
      <c r="S3520">
        <v>10.4950088522064</v>
      </c>
      <c r="T3520" t="s">
        <v>29</v>
      </c>
      <c r="U3520" t="s">
        <v>29</v>
      </c>
      <c r="V3520" t="s">
        <v>29</v>
      </c>
      <c r="W3520" t="s">
        <v>29</v>
      </c>
      <c r="X3520" t="s">
        <v>29</v>
      </c>
      <c r="Y3520" t="s">
        <v>29</v>
      </c>
    </row>
    <row r="3521" spans="1:25" x14ac:dyDescent="0.2">
      <c r="A3521" t="s">
        <v>12964</v>
      </c>
      <c r="B3521" t="s">
        <v>12965</v>
      </c>
      <c r="C3521" t="s">
        <v>12966</v>
      </c>
      <c r="D3521" t="s">
        <v>12967</v>
      </c>
      <c r="E3521" t="s">
        <v>12965</v>
      </c>
      <c r="F3521" t="s">
        <v>28</v>
      </c>
      <c r="G3521" t="s">
        <v>12965</v>
      </c>
      <c r="H3521" t="str">
        <f>"gldi-1"</f>
        <v>gldi-1</v>
      </c>
      <c r="I3521" t="s">
        <v>12967</v>
      </c>
      <c r="J3521">
        <v>10.8494743467077</v>
      </c>
      <c r="K3521" t="s">
        <v>29</v>
      </c>
      <c r="L3521" t="s">
        <v>29</v>
      </c>
      <c r="M3521" t="s">
        <v>29</v>
      </c>
      <c r="N3521" t="s">
        <v>29</v>
      </c>
      <c r="O3521">
        <v>10.8200048456857</v>
      </c>
      <c r="P3521">
        <v>-2.9469501021997899E-2</v>
      </c>
      <c r="Q3521">
        <v>-1.6525505849592399</v>
      </c>
      <c r="R3521">
        <v>1.59361158291524</v>
      </c>
      <c r="S3521">
        <v>11.926149649498999</v>
      </c>
      <c r="T3521">
        <v>-4.0009236098482899E-2</v>
      </c>
      <c r="U3521">
        <v>-6.5092156459920503</v>
      </c>
      <c r="V3521">
        <v>0.96880950253934595</v>
      </c>
      <c r="W3521">
        <v>0.98300783325944197</v>
      </c>
      <c r="X3521">
        <v>0</v>
      </c>
      <c r="Y3521">
        <v>0</v>
      </c>
    </row>
    <row r="3522" spans="1:25" x14ac:dyDescent="0.2">
      <c r="A3522" t="s">
        <v>12968</v>
      </c>
      <c r="B3522" t="s">
        <v>12969</v>
      </c>
      <c r="C3522" t="s">
        <v>12970</v>
      </c>
      <c r="D3522" t="s">
        <v>12971</v>
      </c>
      <c r="E3522" t="s">
        <v>12969</v>
      </c>
      <c r="F3522" t="s">
        <v>28</v>
      </c>
      <c r="G3522" t="s">
        <v>12969</v>
      </c>
      <c r="H3522" t="str">
        <f>"nsun-1"</f>
        <v>nsun-1</v>
      </c>
      <c r="I3522" t="s">
        <v>12971</v>
      </c>
      <c r="J3522">
        <v>13.599744450737999</v>
      </c>
      <c r="K3522">
        <v>13.347632732583801</v>
      </c>
      <c r="L3522">
        <v>13.4389111767749</v>
      </c>
      <c r="M3522">
        <v>12.619105390803799</v>
      </c>
      <c r="N3522">
        <v>12.4126668430668</v>
      </c>
      <c r="O3522">
        <v>13.3829940921585</v>
      </c>
      <c r="P3522">
        <v>-0.65717401135588305</v>
      </c>
      <c r="Q3522">
        <v>-1.7976590616244801</v>
      </c>
      <c r="R3522">
        <v>0.48331103891271199</v>
      </c>
      <c r="S3522">
        <v>13.096208264827601</v>
      </c>
      <c r="T3522">
        <v>-1.21110918216138</v>
      </c>
      <c r="U3522">
        <v>-6.3134977916259301</v>
      </c>
      <c r="V3522">
        <v>0.24160566069964701</v>
      </c>
      <c r="W3522">
        <v>0.51519319784839501</v>
      </c>
      <c r="X3522">
        <v>0</v>
      </c>
      <c r="Y3522">
        <v>0</v>
      </c>
    </row>
    <row r="3523" spans="1:25" x14ac:dyDescent="0.2">
      <c r="A3523" t="s">
        <v>12972</v>
      </c>
      <c r="B3523" t="s">
        <v>12973</v>
      </c>
      <c r="C3523" t="s">
        <v>12974</v>
      </c>
      <c r="D3523" t="s">
        <v>12975</v>
      </c>
      <c r="E3523" t="s">
        <v>12973</v>
      </c>
      <c r="F3523" t="s">
        <v>28</v>
      </c>
      <c r="G3523" t="s">
        <v>12973</v>
      </c>
      <c r="H3523" t="str">
        <f>"dpf-5"</f>
        <v>dpf-5</v>
      </c>
      <c r="I3523" t="s">
        <v>12975</v>
      </c>
      <c r="J3523">
        <v>12.139383491076201</v>
      </c>
      <c r="K3523">
        <v>12.212712411136</v>
      </c>
      <c r="L3523">
        <v>12.9450384084088</v>
      </c>
      <c r="M3523" t="s">
        <v>29</v>
      </c>
      <c r="N3523">
        <v>12.8415405506714</v>
      </c>
      <c r="O3523">
        <v>13.1888752611382</v>
      </c>
      <c r="P3523">
        <v>0.58282980236443305</v>
      </c>
      <c r="Q3523">
        <v>7.7060259504367901E-3</v>
      </c>
      <c r="R3523">
        <v>1.1579535787784301</v>
      </c>
      <c r="S3523">
        <v>12.700325213612199</v>
      </c>
      <c r="T3523">
        <v>2.16133474132012</v>
      </c>
      <c r="U3523">
        <v>-4.7962648272427302</v>
      </c>
      <c r="V3523">
        <v>4.7369465335637198E-2</v>
      </c>
      <c r="W3523">
        <v>0.21624114188516</v>
      </c>
      <c r="X3523">
        <v>0</v>
      </c>
      <c r="Y3523">
        <v>0</v>
      </c>
    </row>
    <row r="3524" spans="1:25" x14ac:dyDescent="0.2">
      <c r="A3524" t="s">
        <v>12976</v>
      </c>
      <c r="B3524" t="s">
        <v>12977</v>
      </c>
      <c r="C3524" t="s">
        <v>12978</v>
      </c>
      <c r="D3524" t="s">
        <v>2636</v>
      </c>
      <c r="E3524" t="s">
        <v>12977</v>
      </c>
      <c r="F3524" t="s">
        <v>28</v>
      </c>
      <c r="G3524" t="s">
        <v>12977</v>
      </c>
      <c r="H3524" t="str">
        <f>"set-15"</f>
        <v>set-15</v>
      </c>
      <c r="I3524" t="s">
        <v>2636</v>
      </c>
      <c r="J3524" t="s">
        <v>29</v>
      </c>
      <c r="K3524">
        <v>9.05271890969148</v>
      </c>
      <c r="L3524">
        <v>9.6733477303207192</v>
      </c>
      <c r="M3524" t="s">
        <v>29</v>
      </c>
      <c r="N3524" t="s">
        <v>29</v>
      </c>
      <c r="O3524" t="s">
        <v>29</v>
      </c>
      <c r="P3524" t="s">
        <v>29</v>
      </c>
      <c r="Q3524" t="s">
        <v>29</v>
      </c>
      <c r="R3524" t="s">
        <v>29</v>
      </c>
      <c r="S3524">
        <v>10.456112862824201</v>
      </c>
      <c r="T3524" t="s">
        <v>29</v>
      </c>
      <c r="U3524" t="s">
        <v>29</v>
      </c>
      <c r="V3524" t="s">
        <v>29</v>
      </c>
      <c r="W3524" t="s">
        <v>29</v>
      </c>
      <c r="X3524" t="s">
        <v>29</v>
      </c>
      <c r="Y3524" t="s">
        <v>29</v>
      </c>
    </row>
    <row r="3525" spans="1:25" x14ac:dyDescent="0.2">
      <c r="A3525" t="s">
        <v>12979</v>
      </c>
      <c r="B3525" t="s">
        <v>12980</v>
      </c>
      <c r="C3525" t="s">
        <v>14709</v>
      </c>
      <c r="D3525" t="s">
        <v>12981</v>
      </c>
      <c r="E3525" t="s">
        <v>12980</v>
      </c>
      <c r="F3525" t="s">
        <v>28</v>
      </c>
      <c r="G3525" t="s">
        <v>12980</v>
      </c>
      <c r="H3525" t="str">
        <f>"M57.2"</f>
        <v>M57.2</v>
      </c>
      <c r="I3525" t="s">
        <v>12981</v>
      </c>
      <c r="J3525">
        <v>14.5166041749276</v>
      </c>
      <c r="K3525">
        <v>14.549183960805401</v>
      </c>
      <c r="L3525">
        <v>14.3191186562577</v>
      </c>
      <c r="M3525">
        <v>14.3190807349281</v>
      </c>
      <c r="N3525">
        <v>13.9505897482794</v>
      </c>
      <c r="O3525">
        <v>13.6865048948821</v>
      </c>
      <c r="P3525">
        <v>-0.47624380463370902</v>
      </c>
      <c r="Q3525">
        <v>-0.88352626629211495</v>
      </c>
      <c r="R3525">
        <v>-6.8961342975303194E-2</v>
      </c>
      <c r="S3525">
        <v>13.9783561178994</v>
      </c>
      <c r="T3525">
        <v>-2.46821872793338</v>
      </c>
      <c r="U3525">
        <v>-4.3206719562253797</v>
      </c>
      <c r="V3525">
        <v>2.4561224053266301E-2</v>
      </c>
      <c r="W3525">
        <v>0.15252332646818401</v>
      </c>
      <c r="X3525">
        <v>0</v>
      </c>
      <c r="Y3525">
        <v>0</v>
      </c>
    </row>
    <row r="3526" spans="1:25" x14ac:dyDescent="0.2">
      <c r="A3526" t="s">
        <v>12982</v>
      </c>
      <c r="B3526" t="s">
        <v>12983</v>
      </c>
      <c r="C3526" t="s">
        <v>14175</v>
      </c>
      <c r="D3526" t="s">
        <v>7751</v>
      </c>
      <c r="E3526" t="s">
        <v>12983</v>
      </c>
      <c r="F3526" t="s">
        <v>28</v>
      </c>
      <c r="G3526" t="s">
        <v>12983</v>
      </c>
      <c r="H3526" t="str">
        <f>"H35B03.1"</f>
        <v>H35B03.1</v>
      </c>
      <c r="I3526" t="s">
        <v>7751</v>
      </c>
      <c r="J3526">
        <v>12.5294164066057</v>
      </c>
      <c r="K3526">
        <v>12.5712014024871</v>
      </c>
      <c r="L3526">
        <v>12.4921529596801</v>
      </c>
      <c r="M3526" t="s">
        <v>29</v>
      </c>
      <c r="N3526">
        <v>13.3297011331092</v>
      </c>
      <c r="O3526">
        <v>13.539706697950299</v>
      </c>
      <c r="P3526">
        <v>0.90378032593881796</v>
      </c>
      <c r="Q3526">
        <v>0.48172093193188997</v>
      </c>
      <c r="R3526">
        <v>1.3258397199457499</v>
      </c>
      <c r="S3526">
        <v>13.2368847277023</v>
      </c>
      <c r="T3526">
        <v>4.5669990145738897</v>
      </c>
      <c r="U3526">
        <v>-8.3960825016402105E-2</v>
      </c>
      <c r="V3526">
        <v>3.76904415357396E-4</v>
      </c>
      <c r="W3526">
        <v>8.7526582177506404E-3</v>
      </c>
      <c r="X3526">
        <v>0</v>
      </c>
      <c r="Y3526">
        <v>0</v>
      </c>
    </row>
    <row r="3527" spans="1:25" x14ac:dyDescent="0.2">
      <c r="A3527" t="s">
        <v>12984</v>
      </c>
      <c r="B3527" t="s">
        <v>12985</v>
      </c>
      <c r="C3527" t="s">
        <v>12986</v>
      </c>
      <c r="D3527" t="s">
        <v>9775</v>
      </c>
      <c r="E3527" t="s">
        <v>12985</v>
      </c>
      <c r="F3527" t="s">
        <v>28</v>
      </c>
      <c r="G3527" t="s">
        <v>12985</v>
      </c>
      <c r="H3527" t="str">
        <f>"ucr-2.3"</f>
        <v>ucr-2.3</v>
      </c>
      <c r="I3527" t="s">
        <v>9775</v>
      </c>
      <c r="J3527">
        <v>16.0443149807449</v>
      </c>
      <c r="K3527">
        <v>16.141106689488598</v>
      </c>
      <c r="L3527">
        <v>16.173238563960901</v>
      </c>
      <c r="M3527">
        <v>15.580767227686801</v>
      </c>
      <c r="N3527">
        <v>15.774943522488901</v>
      </c>
      <c r="O3527">
        <v>15.8126417976995</v>
      </c>
      <c r="P3527">
        <v>-0.396769228773035</v>
      </c>
      <c r="Q3527">
        <v>-0.88113665521275097</v>
      </c>
      <c r="R3527">
        <v>8.7598197666680505E-2</v>
      </c>
      <c r="S3527">
        <v>16.3025337032708</v>
      </c>
      <c r="T3527">
        <v>-1.7216924190138001</v>
      </c>
      <c r="U3527">
        <v>-5.6155065121624999</v>
      </c>
      <c r="V3527">
        <v>0.102365647624777</v>
      </c>
      <c r="W3527">
        <v>0.32979981917923201</v>
      </c>
      <c r="X3527">
        <v>0</v>
      </c>
      <c r="Y3527">
        <v>0</v>
      </c>
    </row>
    <row r="3528" spans="1:25" x14ac:dyDescent="0.2">
      <c r="A3528" t="s">
        <v>12987</v>
      </c>
      <c r="B3528" t="s">
        <v>12988</v>
      </c>
      <c r="C3528" t="s">
        <v>14710</v>
      </c>
      <c r="D3528" t="s">
        <v>141</v>
      </c>
      <c r="E3528" t="s">
        <v>12988</v>
      </c>
      <c r="F3528" t="s">
        <v>28</v>
      </c>
      <c r="G3528" t="s">
        <v>12988</v>
      </c>
      <c r="H3528" t="str">
        <f>"K01A2.5"</f>
        <v>K01A2.5</v>
      </c>
      <c r="I3528" t="s">
        <v>141</v>
      </c>
      <c r="J3528">
        <v>12.6381477096462</v>
      </c>
      <c r="K3528">
        <v>12.832321311196299</v>
      </c>
      <c r="L3528">
        <v>11.6897716555386</v>
      </c>
      <c r="M3528">
        <v>12.839243163023101</v>
      </c>
      <c r="N3528">
        <v>12.4816307238204</v>
      </c>
      <c r="O3528" t="s">
        <v>29</v>
      </c>
      <c r="P3528">
        <v>0.27369005129465901</v>
      </c>
      <c r="Q3528">
        <v>-0.77891962906595003</v>
      </c>
      <c r="R3528">
        <v>1.32629973165527</v>
      </c>
      <c r="S3528">
        <v>12.3197543750038</v>
      </c>
      <c r="T3528">
        <v>0.55454048397821698</v>
      </c>
      <c r="U3528">
        <v>-6.7805255353615497</v>
      </c>
      <c r="V3528">
        <v>0.58743966670997505</v>
      </c>
      <c r="W3528">
        <v>0.80281604118532202</v>
      </c>
      <c r="X3528">
        <v>0</v>
      </c>
      <c r="Y3528">
        <v>0</v>
      </c>
    </row>
    <row r="3529" spans="1:25" x14ac:dyDescent="0.2">
      <c r="A3529" t="s">
        <v>12989</v>
      </c>
      <c r="B3529" t="s">
        <v>12990</v>
      </c>
      <c r="C3529" t="s">
        <v>12991</v>
      </c>
      <c r="D3529" t="s">
        <v>218</v>
      </c>
      <c r="E3529" t="s">
        <v>12990</v>
      </c>
      <c r="F3529" t="s">
        <v>28</v>
      </c>
      <c r="G3529" t="s">
        <v>12990</v>
      </c>
      <c r="H3529" t="str">
        <f>"ubc-20"</f>
        <v>ubc-20</v>
      </c>
      <c r="I3529" t="s">
        <v>218</v>
      </c>
      <c r="J3529">
        <v>14.6960230039553</v>
      </c>
      <c r="K3529">
        <v>14.4687144823816</v>
      </c>
      <c r="L3529">
        <v>14.359397966056299</v>
      </c>
      <c r="M3529">
        <v>14.6770891063868</v>
      </c>
      <c r="N3529">
        <v>13.967006947202799</v>
      </c>
      <c r="O3529">
        <v>14.008784569723</v>
      </c>
      <c r="P3529">
        <v>-0.29041827636020801</v>
      </c>
      <c r="Q3529">
        <v>-0.82585837566057496</v>
      </c>
      <c r="R3529">
        <v>0.24502182294015801</v>
      </c>
      <c r="S3529">
        <v>14.1795978960872</v>
      </c>
      <c r="T3529">
        <v>-1.1448881601941201</v>
      </c>
      <c r="U3529">
        <v>-6.3886184315213903</v>
      </c>
      <c r="V3529">
        <v>0.26821593543244898</v>
      </c>
      <c r="W3529">
        <v>0.54419765271746201</v>
      </c>
      <c r="X3529">
        <v>0</v>
      </c>
      <c r="Y3529">
        <v>0</v>
      </c>
    </row>
    <row r="3530" spans="1:25" x14ac:dyDescent="0.2">
      <c r="A3530" t="s">
        <v>12992</v>
      </c>
      <c r="B3530" t="s">
        <v>12993</v>
      </c>
      <c r="C3530" t="s">
        <v>12994</v>
      </c>
      <c r="D3530" t="s">
        <v>12995</v>
      </c>
      <c r="E3530" t="s">
        <v>12993</v>
      </c>
      <c r="F3530" t="s">
        <v>28</v>
      </c>
      <c r="G3530" t="s">
        <v>12993</v>
      </c>
      <c r="H3530" t="str">
        <f>"pat-4"</f>
        <v>pat-4</v>
      </c>
      <c r="I3530" t="s">
        <v>12995</v>
      </c>
      <c r="J3530">
        <v>16.497846885905201</v>
      </c>
      <c r="K3530">
        <v>16.352024771545</v>
      </c>
      <c r="L3530">
        <v>16.243581739788901</v>
      </c>
      <c r="M3530">
        <v>16.298417287747501</v>
      </c>
      <c r="N3530">
        <v>16.001177109386401</v>
      </c>
      <c r="O3530">
        <v>16.223339512592801</v>
      </c>
      <c r="P3530">
        <v>-0.190173162504159</v>
      </c>
      <c r="Q3530">
        <v>-0.51950956921875102</v>
      </c>
      <c r="R3530">
        <v>0.139163244210432</v>
      </c>
      <c r="S3530">
        <v>16.038632851741401</v>
      </c>
      <c r="T3530">
        <v>-1.2136738624040799</v>
      </c>
      <c r="U3530">
        <v>-6.3104879406426804</v>
      </c>
      <c r="V3530">
        <v>0.24064842954149901</v>
      </c>
      <c r="W3530">
        <v>0.51429993272534202</v>
      </c>
      <c r="X3530">
        <v>0</v>
      </c>
      <c r="Y3530">
        <v>0</v>
      </c>
    </row>
    <row r="3531" spans="1:25" x14ac:dyDescent="0.2">
      <c r="A3531" t="s">
        <v>12996</v>
      </c>
      <c r="B3531" t="s">
        <v>12997</v>
      </c>
      <c r="C3531" t="s">
        <v>12998</v>
      </c>
      <c r="D3531" t="s">
        <v>3003</v>
      </c>
      <c r="E3531" t="s">
        <v>12997</v>
      </c>
      <c r="F3531" t="s">
        <v>28</v>
      </c>
      <c r="G3531" t="s">
        <v>12997</v>
      </c>
      <c r="H3531" t="str">
        <f>"haf-4"</f>
        <v>haf-4</v>
      </c>
      <c r="I3531" t="s">
        <v>3003</v>
      </c>
      <c r="J3531">
        <v>17.1140377632724</v>
      </c>
      <c r="K3531">
        <v>17.110441740130099</v>
      </c>
      <c r="L3531">
        <v>16.866737869455498</v>
      </c>
      <c r="M3531">
        <v>16.991902433631999</v>
      </c>
      <c r="N3531">
        <v>16.743693765158302</v>
      </c>
      <c r="O3531">
        <v>16.551158000764399</v>
      </c>
      <c r="P3531">
        <v>-0.26815439110109202</v>
      </c>
      <c r="Q3531">
        <v>-0.63108312812239797</v>
      </c>
      <c r="R3531">
        <v>9.4774345920214303E-2</v>
      </c>
      <c r="S3531">
        <v>16.826587940205702</v>
      </c>
      <c r="T3531">
        <v>-1.5529449786720899</v>
      </c>
      <c r="U3531">
        <v>-5.8670173516190003</v>
      </c>
      <c r="V3531">
        <v>0.13794262637008101</v>
      </c>
      <c r="W3531">
        <v>0.38382076549920502</v>
      </c>
      <c r="X3531">
        <v>0</v>
      </c>
      <c r="Y3531">
        <v>0</v>
      </c>
    </row>
    <row r="3532" spans="1:25" x14ac:dyDescent="0.2">
      <c r="A3532" t="s">
        <v>12999</v>
      </c>
      <c r="B3532" t="s">
        <v>13000</v>
      </c>
      <c r="C3532" t="s">
        <v>14711</v>
      </c>
      <c r="D3532" t="s">
        <v>7527</v>
      </c>
      <c r="E3532" t="s">
        <v>13000</v>
      </c>
      <c r="F3532" t="s">
        <v>28</v>
      </c>
      <c r="G3532" t="s">
        <v>13000</v>
      </c>
      <c r="H3532" t="str">
        <f>"T10B11.6"</f>
        <v>T10B11.6</v>
      </c>
      <c r="I3532" t="s">
        <v>7527</v>
      </c>
      <c r="J3532">
        <v>13.1648546814304</v>
      </c>
      <c r="K3532">
        <v>13.065556645204801</v>
      </c>
      <c r="L3532">
        <v>13.177780138344801</v>
      </c>
      <c r="M3532">
        <v>12.189673541923099</v>
      </c>
      <c r="N3532">
        <v>13.395758091582101</v>
      </c>
      <c r="O3532">
        <v>13.199559414266201</v>
      </c>
      <c r="P3532">
        <v>-0.20773347240288201</v>
      </c>
      <c r="Q3532">
        <v>-0.70590139995689205</v>
      </c>
      <c r="R3532">
        <v>0.29043445515112798</v>
      </c>
      <c r="S3532">
        <v>13.1995292171919</v>
      </c>
      <c r="T3532">
        <v>-0.88019871451241904</v>
      </c>
      <c r="U3532">
        <v>-6.6539253335661597</v>
      </c>
      <c r="V3532">
        <v>0.391100494206361</v>
      </c>
      <c r="W3532">
        <v>0.66700262481524997</v>
      </c>
      <c r="X3532">
        <v>0</v>
      </c>
      <c r="Y3532">
        <v>0</v>
      </c>
    </row>
    <row r="3533" spans="1:25" x14ac:dyDescent="0.2">
      <c r="A3533" t="s">
        <v>13001</v>
      </c>
      <c r="B3533" t="s">
        <v>13002</v>
      </c>
      <c r="C3533" t="s">
        <v>13003</v>
      </c>
      <c r="D3533" t="s">
        <v>13004</v>
      </c>
      <c r="E3533" t="s">
        <v>13002</v>
      </c>
      <c r="F3533" t="s">
        <v>28</v>
      </c>
      <c r="G3533" t="s">
        <v>13002</v>
      </c>
      <c r="H3533" t="str">
        <f>"cerk-1"</f>
        <v>cerk-1</v>
      </c>
      <c r="I3533" t="s">
        <v>13004</v>
      </c>
      <c r="J3533">
        <v>12.4290623115083</v>
      </c>
      <c r="K3533">
        <v>12.448273930951601</v>
      </c>
      <c r="L3533">
        <v>12.2284566943085</v>
      </c>
      <c r="M3533">
        <v>12.300748825346</v>
      </c>
      <c r="N3533">
        <v>12.1305893418617</v>
      </c>
      <c r="O3533">
        <v>12.4330841488538</v>
      </c>
      <c r="P3533">
        <v>-8.0456873568996598E-2</v>
      </c>
      <c r="Q3533">
        <v>-0.45938203808296602</v>
      </c>
      <c r="R3533">
        <v>0.29846829094497301</v>
      </c>
      <c r="S3533">
        <v>12.1729828808606</v>
      </c>
      <c r="T3533">
        <v>-0.448187477308648</v>
      </c>
      <c r="U3533">
        <v>-6.9471143504379498</v>
      </c>
      <c r="V3533">
        <v>0.65971220335432101</v>
      </c>
      <c r="W3533">
        <v>0.84643062778646405</v>
      </c>
      <c r="X3533">
        <v>0</v>
      </c>
      <c r="Y3533">
        <v>0</v>
      </c>
    </row>
    <row r="3534" spans="1:25" x14ac:dyDescent="0.2">
      <c r="A3534" t="s">
        <v>13005</v>
      </c>
      <c r="B3534" t="s">
        <v>13006</v>
      </c>
      <c r="C3534" t="s">
        <v>13007</v>
      </c>
      <c r="D3534" t="s">
        <v>93</v>
      </c>
      <c r="E3534" t="s">
        <v>13006</v>
      </c>
      <c r="F3534" t="s">
        <v>28</v>
      </c>
      <c r="G3534" t="s">
        <v>13006</v>
      </c>
      <c r="H3534" t="str">
        <f>"ztf-4"</f>
        <v>ztf-4</v>
      </c>
      <c r="I3534" t="s">
        <v>93</v>
      </c>
      <c r="J3534">
        <v>12.1839590596198</v>
      </c>
      <c r="K3534">
        <v>12.127102002457001</v>
      </c>
      <c r="L3534">
        <v>11.4253955125453</v>
      </c>
      <c r="M3534">
        <v>11.2966616671388</v>
      </c>
      <c r="N3534" t="s">
        <v>29</v>
      </c>
      <c r="O3534">
        <v>12.262403712696401</v>
      </c>
      <c r="P3534">
        <v>-0.13261950162310601</v>
      </c>
      <c r="Q3534">
        <v>-0.82738878678122796</v>
      </c>
      <c r="R3534">
        <v>0.56214978353501599</v>
      </c>
      <c r="S3534">
        <v>12.2753150729589</v>
      </c>
      <c r="T3534">
        <v>-0.40710682830411898</v>
      </c>
      <c r="U3534">
        <v>-6.8542989181676601</v>
      </c>
      <c r="V3534">
        <v>0.68971978344459395</v>
      </c>
      <c r="W3534">
        <v>0.86104048020058599</v>
      </c>
      <c r="X3534">
        <v>0</v>
      </c>
      <c r="Y3534">
        <v>0</v>
      </c>
    </row>
    <row r="3535" spans="1:25" x14ac:dyDescent="0.2">
      <c r="A3535" t="s">
        <v>13008</v>
      </c>
      <c r="B3535" t="s">
        <v>13009</v>
      </c>
      <c r="C3535" t="s">
        <v>13010</v>
      </c>
      <c r="D3535" t="s">
        <v>13011</v>
      </c>
      <c r="E3535" t="s">
        <v>13009</v>
      </c>
      <c r="F3535" t="s">
        <v>28</v>
      </c>
      <c r="G3535" t="s">
        <v>13009</v>
      </c>
      <c r="H3535" t="str">
        <f>"gbas-1"</f>
        <v>gbas-1</v>
      </c>
      <c r="I3535" t="s">
        <v>13011</v>
      </c>
      <c r="J3535" t="s">
        <v>29</v>
      </c>
      <c r="K3535">
        <v>10.912454208656801</v>
      </c>
      <c r="L3535" t="s">
        <v>29</v>
      </c>
      <c r="M3535" t="s">
        <v>29</v>
      </c>
      <c r="N3535">
        <v>11.4292341120972</v>
      </c>
      <c r="O3535">
        <v>14.1328016568939</v>
      </c>
      <c r="P3535">
        <v>1.86856367583878</v>
      </c>
      <c r="Q3535">
        <v>9.9820411913729395E-2</v>
      </c>
      <c r="R3535">
        <v>3.6373069397638398</v>
      </c>
      <c r="S3535">
        <v>12.345709502490401</v>
      </c>
      <c r="T3535">
        <v>2.32793471374546</v>
      </c>
      <c r="U3535">
        <v>-4.2982038396015501</v>
      </c>
      <c r="V3535">
        <v>4.0223762424947601E-2</v>
      </c>
      <c r="W3535">
        <v>0.19861627151863301</v>
      </c>
      <c r="X3535">
        <v>1</v>
      </c>
      <c r="Y3535">
        <v>0</v>
      </c>
    </row>
    <row r="3536" spans="1:25" x14ac:dyDescent="0.2">
      <c r="A3536" t="s">
        <v>13012</v>
      </c>
      <c r="B3536" t="s">
        <v>13013</v>
      </c>
      <c r="C3536" t="s">
        <v>13014</v>
      </c>
      <c r="D3536" t="s">
        <v>2180</v>
      </c>
      <c r="E3536" t="s">
        <v>13013</v>
      </c>
      <c r="F3536" t="s">
        <v>28</v>
      </c>
      <c r="G3536" t="s">
        <v>13013</v>
      </c>
      <c r="H3536" t="str">
        <f>"spe-15"</f>
        <v>spe-15</v>
      </c>
      <c r="I3536" t="s">
        <v>2180</v>
      </c>
      <c r="J3536">
        <v>14.035528347405901</v>
      </c>
      <c r="K3536">
        <v>13.6732806535506</v>
      </c>
      <c r="L3536">
        <v>14.2324370395049</v>
      </c>
      <c r="M3536" t="s">
        <v>29</v>
      </c>
      <c r="N3536" t="s">
        <v>29</v>
      </c>
      <c r="O3536">
        <v>13.528162070549399</v>
      </c>
      <c r="P3536">
        <v>-0.45225327627112599</v>
      </c>
      <c r="Q3536">
        <v>-1.30048660058859</v>
      </c>
      <c r="R3536">
        <v>0.39598004804633402</v>
      </c>
      <c r="S3536">
        <v>13.837964225963299</v>
      </c>
      <c r="T3536">
        <v>-1.1371244484913201</v>
      </c>
      <c r="U3536">
        <v>-6.0576118144881699</v>
      </c>
      <c r="V3536">
        <v>0.273449184601609</v>
      </c>
      <c r="W3536">
        <v>0.55062106849853598</v>
      </c>
      <c r="X3536">
        <v>0</v>
      </c>
      <c r="Y3536">
        <v>0</v>
      </c>
    </row>
    <row r="3537" spans="1:25" x14ac:dyDescent="0.2">
      <c r="A3537" t="s">
        <v>13015</v>
      </c>
      <c r="B3537" t="s">
        <v>13016</v>
      </c>
      <c r="C3537" t="s">
        <v>13017</v>
      </c>
      <c r="D3537" t="s">
        <v>13018</v>
      </c>
      <c r="E3537" t="s">
        <v>13016</v>
      </c>
      <c r="F3537" t="s">
        <v>28</v>
      </c>
      <c r="G3537" t="s">
        <v>13016</v>
      </c>
      <c r="H3537" t="str">
        <f>"pfk-1.1"</f>
        <v>pfk-1.1</v>
      </c>
      <c r="I3537" t="s">
        <v>13018</v>
      </c>
      <c r="J3537">
        <v>15.4771973687758</v>
      </c>
      <c r="K3537">
        <v>15.341122475232901</v>
      </c>
      <c r="L3537">
        <v>15.213622838091799</v>
      </c>
      <c r="M3537">
        <v>15.341244741653901</v>
      </c>
      <c r="N3537">
        <v>15.773210987920599</v>
      </c>
      <c r="O3537">
        <v>15.287864312947599</v>
      </c>
      <c r="P3537">
        <v>0.123459120140522</v>
      </c>
      <c r="Q3537">
        <v>-0.269502578900089</v>
      </c>
      <c r="R3537">
        <v>0.51642081918113303</v>
      </c>
      <c r="S3537">
        <v>15.0852237584874</v>
      </c>
      <c r="T3537">
        <v>0.660336749840433</v>
      </c>
      <c r="U3537">
        <v>-6.8263310686121299</v>
      </c>
      <c r="V3537">
        <v>0.51744826186389703</v>
      </c>
      <c r="W3537">
        <v>0.76292552972592698</v>
      </c>
      <c r="X3537">
        <v>0</v>
      </c>
      <c r="Y3537">
        <v>0</v>
      </c>
    </row>
    <row r="3538" spans="1:25" x14ac:dyDescent="0.2">
      <c r="A3538" t="s">
        <v>13019</v>
      </c>
      <c r="B3538" t="s">
        <v>13020</v>
      </c>
      <c r="C3538" t="s">
        <v>13021</v>
      </c>
      <c r="D3538" t="s">
        <v>13022</v>
      </c>
      <c r="E3538" t="s">
        <v>13020</v>
      </c>
      <c r="F3538" t="s">
        <v>28</v>
      </c>
      <c r="G3538" t="s">
        <v>13020</v>
      </c>
      <c r="H3538" t="str">
        <f>"fard-1"</f>
        <v>fard-1</v>
      </c>
      <c r="I3538" t="s">
        <v>13022</v>
      </c>
      <c r="J3538">
        <v>15.8758409545625</v>
      </c>
      <c r="K3538">
        <v>15.8648039166986</v>
      </c>
      <c r="L3538">
        <v>15.800468677319399</v>
      </c>
      <c r="M3538">
        <v>15.615664525946199</v>
      </c>
      <c r="N3538">
        <v>15.609036453344</v>
      </c>
      <c r="O3538">
        <v>15.2899237386926</v>
      </c>
      <c r="P3538">
        <v>-0.34216294353257098</v>
      </c>
      <c r="Q3538">
        <v>-0.71531088949383104</v>
      </c>
      <c r="R3538">
        <v>3.0985002428688801E-2</v>
      </c>
      <c r="S3538">
        <v>15.657488053481799</v>
      </c>
      <c r="T3538">
        <v>-1.92727829848657</v>
      </c>
      <c r="U3538">
        <v>-5.2846098968542004</v>
      </c>
      <c r="V3538">
        <v>6.9972977663418007E-2</v>
      </c>
      <c r="W3538">
        <v>0.26945807019735202</v>
      </c>
      <c r="X3538">
        <v>0</v>
      </c>
      <c r="Y3538">
        <v>0</v>
      </c>
    </row>
    <row r="3539" spans="1:25" x14ac:dyDescent="0.2">
      <c r="A3539" t="s">
        <v>13023</v>
      </c>
      <c r="B3539" t="s">
        <v>13024</v>
      </c>
      <c r="C3539" t="s">
        <v>13025</v>
      </c>
      <c r="D3539" t="s">
        <v>13026</v>
      </c>
      <c r="E3539" t="s">
        <v>13024</v>
      </c>
      <c r="F3539" t="s">
        <v>28</v>
      </c>
      <c r="G3539" t="s">
        <v>13024</v>
      </c>
      <c r="H3539" t="str">
        <f>"mop-25.3"</f>
        <v>mop-25.3</v>
      </c>
      <c r="I3539" t="s">
        <v>13026</v>
      </c>
      <c r="J3539" t="s">
        <v>29</v>
      </c>
      <c r="K3539" t="s">
        <v>29</v>
      </c>
      <c r="L3539">
        <v>10.060936787008</v>
      </c>
      <c r="M3539" t="s">
        <v>29</v>
      </c>
      <c r="N3539">
        <v>10.7541555176018</v>
      </c>
      <c r="O3539" t="s">
        <v>29</v>
      </c>
      <c r="P3539">
        <v>0.69321873059386996</v>
      </c>
      <c r="Q3539">
        <v>-0.45710654736674899</v>
      </c>
      <c r="R3539">
        <v>1.8435440085544901</v>
      </c>
      <c r="S3539">
        <v>10.648356239389599</v>
      </c>
      <c r="T3539">
        <v>1.36569566399048</v>
      </c>
      <c r="U3539">
        <v>-5.5907479428489797</v>
      </c>
      <c r="V3539">
        <v>0.20556818009678099</v>
      </c>
      <c r="W3539">
        <v>0.46936494721666799</v>
      </c>
      <c r="X3539">
        <v>0</v>
      </c>
      <c r="Y3539">
        <v>0</v>
      </c>
    </row>
    <row r="3540" spans="1:25" x14ac:dyDescent="0.2">
      <c r="A3540" t="s">
        <v>13027</v>
      </c>
      <c r="B3540" t="s">
        <v>13028</v>
      </c>
      <c r="C3540" t="s">
        <v>13029</v>
      </c>
      <c r="D3540" t="s">
        <v>13030</v>
      </c>
      <c r="E3540" t="s">
        <v>13028</v>
      </c>
      <c r="F3540" t="s">
        <v>28</v>
      </c>
      <c r="G3540" t="s">
        <v>13028</v>
      </c>
      <c r="H3540" t="str">
        <f>"lrk-1"</f>
        <v>lrk-1</v>
      </c>
      <c r="I3540" t="s">
        <v>13030</v>
      </c>
      <c r="J3540" t="s">
        <v>29</v>
      </c>
      <c r="K3540">
        <v>10.757384880088701</v>
      </c>
      <c r="L3540">
        <v>13.252925450373599</v>
      </c>
      <c r="M3540">
        <v>12.438457439069399</v>
      </c>
      <c r="N3540">
        <v>11.992603252563899</v>
      </c>
      <c r="O3540">
        <v>12.314213148546401</v>
      </c>
      <c r="P3540">
        <v>0.24326944816208901</v>
      </c>
      <c r="Q3540">
        <v>-0.77068795858138095</v>
      </c>
      <c r="R3540">
        <v>1.2572268549055601</v>
      </c>
      <c r="S3540">
        <v>11.886795160323899</v>
      </c>
      <c r="T3540">
        <v>0.51494370186828797</v>
      </c>
      <c r="U3540">
        <v>-6.8019477332664904</v>
      </c>
      <c r="V3540">
        <v>0.61468595136410697</v>
      </c>
      <c r="W3540">
        <v>0.81837342553970205</v>
      </c>
      <c r="X3540">
        <v>0</v>
      </c>
      <c r="Y3540">
        <v>0</v>
      </c>
    </row>
    <row r="3541" spans="1:25" x14ac:dyDescent="0.2">
      <c r="A3541" t="s">
        <v>13031</v>
      </c>
      <c r="B3541" t="s">
        <v>13032</v>
      </c>
      <c r="C3541" t="s">
        <v>13033</v>
      </c>
      <c r="D3541" t="s">
        <v>6042</v>
      </c>
      <c r="E3541" t="s">
        <v>13032</v>
      </c>
      <c r="F3541" t="s">
        <v>28</v>
      </c>
      <c r="G3541" t="s">
        <v>13032</v>
      </c>
      <c r="H3541" t="str">
        <f>"tag-343"</f>
        <v>tag-343</v>
      </c>
      <c r="I3541" t="s">
        <v>6042</v>
      </c>
      <c r="J3541" t="s">
        <v>29</v>
      </c>
      <c r="K3541">
        <v>12.620420862134001</v>
      </c>
      <c r="L3541">
        <v>12.2027387156882</v>
      </c>
      <c r="M3541">
        <v>11.221076867951499</v>
      </c>
      <c r="N3541">
        <v>11.847958376043399</v>
      </c>
      <c r="O3541">
        <v>12.139269879471</v>
      </c>
      <c r="P3541">
        <v>-0.67547808108910501</v>
      </c>
      <c r="Q3541">
        <v>-1.30107115383271</v>
      </c>
      <c r="R3541">
        <v>-4.9885008345503197E-2</v>
      </c>
      <c r="S3541">
        <v>12.137896808212499</v>
      </c>
      <c r="T3541">
        <v>-2.29017600279888</v>
      </c>
      <c r="U3541">
        <v>-4.5580610106120103</v>
      </c>
      <c r="V3541">
        <v>3.6029762832967702E-2</v>
      </c>
      <c r="W3541">
        <v>0.18940363208154601</v>
      </c>
      <c r="X3541">
        <v>0</v>
      </c>
      <c r="Y3541">
        <v>0</v>
      </c>
    </row>
    <row r="3542" spans="1:25" x14ac:dyDescent="0.2">
      <c r="A3542" t="s">
        <v>13034</v>
      </c>
      <c r="B3542" t="s">
        <v>13035</v>
      </c>
      <c r="C3542" t="s">
        <v>13036</v>
      </c>
      <c r="D3542" t="s">
        <v>13037</v>
      </c>
      <c r="E3542" t="s">
        <v>13035</v>
      </c>
      <c r="F3542" t="s">
        <v>28</v>
      </c>
      <c r="G3542" t="s">
        <v>13035</v>
      </c>
      <c r="H3542" t="str">
        <f>"pgl-1"</f>
        <v>pgl-1</v>
      </c>
      <c r="I3542" t="s">
        <v>13037</v>
      </c>
      <c r="J3542">
        <v>12.596097542499599</v>
      </c>
      <c r="K3542">
        <v>13.668194039158401</v>
      </c>
      <c r="L3542">
        <v>12.319694074389901</v>
      </c>
      <c r="M3542">
        <v>14.161963417545</v>
      </c>
      <c r="N3542">
        <v>13.9719104915443</v>
      </c>
      <c r="O3542">
        <v>13.7900904055232</v>
      </c>
      <c r="P3542">
        <v>1.1133262195215501</v>
      </c>
      <c r="Q3542">
        <v>0.26493354911306399</v>
      </c>
      <c r="R3542">
        <v>1.96171888993004</v>
      </c>
      <c r="S3542">
        <v>14.2182870855874</v>
      </c>
      <c r="T3542">
        <v>2.7581510234154401</v>
      </c>
      <c r="U3542">
        <v>-3.7347454421961999</v>
      </c>
      <c r="V3542">
        <v>1.29938063986109E-2</v>
      </c>
      <c r="W3542">
        <v>0.105441012521396</v>
      </c>
      <c r="X3542">
        <v>1</v>
      </c>
      <c r="Y3542">
        <v>0</v>
      </c>
    </row>
    <row r="3543" spans="1:25" x14ac:dyDescent="0.2">
      <c r="A3543" t="s">
        <v>13038</v>
      </c>
      <c r="B3543" t="s">
        <v>13039</v>
      </c>
      <c r="C3543" t="s">
        <v>13040</v>
      </c>
      <c r="D3543" t="s">
        <v>13041</v>
      </c>
      <c r="E3543" t="s">
        <v>13039</v>
      </c>
      <c r="F3543" t="s">
        <v>28</v>
      </c>
      <c r="G3543" t="s">
        <v>13039</v>
      </c>
      <c r="H3543" t="str">
        <f>"cct-7"</f>
        <v>cct-7</v>
      </c>
      <c r="I3543" t="s">
        <v>13041</v>
      </c>
      <c r="J3543">
        <v>16.004615855463101</v>
      </c>
      <c r="K3543">
        <v>15.7190936494179</v>
      </c>
      <c r="L3543">
        <v>15.988008821128799</v>
      </c>
      <c r="M3543">
        <v>15.581884299243599</v>
      </c>
      <c r="N3543">
        <v>15.992655193666801</v>
      </c>
      <c r="O3543">
        <v>15.8277793190586</v>
      </c>
      <c r="P3543">
        <v>-0.10313317134694901</v>
      </c>
      <c r="Q3543">
        <v>-0.47852276832766799</v>
      </c>
      <c r="R3543">
        <v>0.272256425633771</v>
      </c>
      <c r="S3543">
        <v>16.034707330343199</v>
      </c>
      <c r="T3543">
        <v>-0.57744237724224601</v>
      </c>
      <c r="U3543">
        <v>-6.8789626650131197</v>
      </c>
      <c r="V3543">
        <v>0.57083519138565997</v>
      </c>
      <c r="W3543">
        <v>0.79228175446260796</v>
      </c>
      <c r="X3543">
        <v>0</v>
      </c>
      <c r="Y3543">
        <v>0</v>
      </c>
    </row>
    <row r="3544" spans="1:25" x14ac:dyDescent="0.2">
      <c r="A3544" t="s">
        <v>13042</v>
      </c>
      <c r="B3544" t="s">
        <v>13043</v>
      </c>
      <c r="C3544" t="s">
        <v>14712</v>
      </c>
      <c r="D3544" t="s">
        <v>13044</v>
      </c>
      <c r="E3544" t="s">
        <v>13043</v>
      </c>
      <c r="F3544" t="s">
        <v>28</v>
      </c>
      <c r="G3544" t="s">
        <v>13043</v>
      </c>
      <c r="H3544" t="str">
        <f>"Y87G2A.13"</f>
        <v>Y87G2A.13</v>
      </c>
      <c r="I3544" t="s">
        <v>13044</v>
      </c>
      <c r="J3544">
        <v>12.827639054694099</v>
      </c>
      <c r="K3544">
        <v>12.9954515631507</v>
      </c>
      <c r="L3544">
        <v>13.7507316853136</v>
      </c>
      <c r="M3544">
        <v>12.7196731709404</v>
      </c>
      <c r="N3544">
        <v>13.8254221053827</v>
      </c>
      <c r="O3544">
        <v>13.5203619198548</v>
      </c>
      <c r="P3544">
        <v>0.16387829767317899</v>
      </c>
      <c r="Q3544">
        <v>-0.54514928883537095</v>
      </c>
      <c r="R3544">
        <v>0.87290588418172899</v>
      </c>
      <c r="S3544">
        <v>14.2215482071107</v>
      </c>
      <c r="T3544">
        <v>0.487874730376883</v>
      </c>
      <c r="U3544">
        <v>-6.9278367827210898</v>
      </c>
      <c r="V3544">
        <v>0.631909444658454</v>
      </c>
      <c r="W3544">
        <v>0.83013053408098803</v>
      </c>
      <c r="X3544">
        <v>0</v>
      </c>
      <c r="Y3544">
        <v>0</v>
      </c>
    </row>
    <row r="3545" spans="1:25" x14ac:dyDescent="0.2">
      <c r="A3545" t="s">
        <v>13045</v>
      </c>
      <c r="B3545" t="s">
        <v>13046</v>
      </c>
      <c r="C3545" t="s">
        <v>13047</v>
      </c>
      <c r="D3545" t="s">
        <v>13048</v>
      </c>
      <c r="E3545" t="s">
        <v>13046</v>
      </c>
      <c r="F3545" t="s">
        <v>28</v>
      </c>
      <c r="G3545" t="s">
        <v>13046</v>
      </c>
      <c r="H3545" t="str">
        <f>"ubc-14"</f>
        <v>ubc-14</v>
      </c>
      <c r="I3545" t="s">
        <v>13048</v>
      </c>
      <c r="J3545">
        <v>11.5034380931719</v>
      </c>
      <c r="K3545">
        <v>11.6112148430713</v>
      </c>
      <c r="L3545">
        <v>11.9443007727391</v>
      </c>
      <c r="M3545" t="s">
        <v>29</v>
      </c>
      <c r="N3545">
        <v>11.487316291228399</v>
      </c>
      <c r="O3545" t="s">
        <v>29</v>
      </c>
      <c r="P3545">
        <v>-0.19900161176571801</v>
      </c>
      <c r="Q3545">
        <v>-1.2754344820013099</v>
      </c>
      <c r="R3545">
        <v>0.87743125846987902</v>
      </c>
      <c r="S3545">
        <v>12.037756964426601</v>
      </c>
      <c r="T3545">
        <v>-0.399720928267839</v>
      </c>
      <c r="U3545">
        <v>-6.62487146557456</v>
      </c>
      <c r="V3545">
        <v>0.69590416629450202</v>
      </c>
      <c r="W3545">
        <v>0.86471137309051904</v>
      </c>
      <c r="X3545">
        <v>0</v>
      </c>
      <c r="Y3545">
        <v>0</v>
      </c>
    </row>
    <row r="3546" spans="1:25" x14ac:dyDescent="0.2">
      <c r="A3546" t="s">
        <v>13049</v>
      </c>
      <c r="B3546" t="s">
        <v>13050</v>
      </c>
      <c r="C3546" t="s">
        <v>13051</v>
      </c>
      <c r="D3546" t="s">
        <v>13052</v>
      </c>
      <c r="E3546" t="s">
        <v>13050</v>
      </c>
      <c r="F3546" t="s">
        <v>28</v>
      </c>
      <c r="G3546" t="s">
        <v>13050</v>
      </c>
      <c r="H3546" t="str">
        <f>"cyn-15"</f>
        <v>cyn-15</v>
      </c>
      <c r="I3546" t="s">
        <v>13052</v>
      </c>
      <c r="J3546">
        <v>11.9818046738067</v>
      </c>
      <c r="K3546">
        <v>12.3810337486596</v>
      </c>
      <c r="L3546">
        <v>11.7580279320314</v>
      </c>
      <c r="M3546">
        <v>11.5220346832859</v>
      </c>
      <c r="N3546">
        <v>12.126761409886401</v>
      </c>
      <c r="O3546">
        <v>12.1290467155247</v>
      </c>
      <c r="P3546">
        <v>-0.114341181933584</v>
      </c>
      <c r="Q3546">
        <v>-0.75835546742950199</v>
      </c>
      <c r="R3546">
        <v>0.52967310356233399</v>
      </c>
      <c r="S3546">
        <v>12.5591787937033</v>
      </c>
      <c r="T3546">
        <v>-0.37657952734358402</v>
      </c>
      <c r="U3546">
        <v>-6.9776071462153704</v>
      </c>
      <c r="V3546">
        <v>0.71146567657613102</v>
      </c>
      <c r="W3546">
        <v>0.87182071769675495</v>
      </c>
      <c r="X3546">
        <v>0</v>
      </c>
      <c r="Y3546">
        <v>0</v>
      </c>
    </row>
    <row r="3547" spans="1:25" x14ac:dyDescent="0.2">
      <c r="A3547" t="s">
        <v>13053</v>
      </c>
      <c r="B3547" t="s">
        <v>13054</v>
      </c>
      <c r="C3547" t="s">
        <v>13055</v>
      </c>
      <c r="D3547" t="s">
        <v>13056</v>
      </c>
      <c r="E3547" t="s">
        <v>13054</v>
      </c>
      <c r="F3547" t="s">
        <v>28</v>
      </c>
      <c r="G3547" t="s">
        <v>13054</v>
      </c>
      <c r="H3547" t="str">
        <f>"glp-4"</f>
        <v>glp-4</v>
      </c>
      <c r="I3547" t="s">
        <v>13056</v>
      </c>
      <c r="J3547">
        <v>16.859729161869499</v>
      </c>
      <c r="K3547">
        <v>16.546230517861598</v>
      </c>
      <c r="L3547">
        <v>16.7748933702219</v>
      </c>
      <c r="M3547">
        <v>16.874645496886199</v>
      </c>
      <c r="N3547">
        <v>16.905904784576901</v>
      </c>
      <c r="O3547">
        <v>16.719157052943199</v>
      </c>
      <c r="P3547">
        <v>0.10628476148442401</v>
      </c>
      <c r="Q3547">
        <v>-0.222815707348992</v>
      </c>
      <c r="R3547">
        <v>0.43538523031784099</v>
      </c>
      <c r="S3547">
        <v>16.516315612238198</v>
      </c>
      <c r="T3547">
        <v>0.67878934168989502</v>
      </c>
      <c r="U3547">
        <v>-6.8137001481428197</v>
      </c>
      <c r="V3547">
        <v>0.50595597793762004</v>
      </c>
      <c r="W3547">
        <v>0.75733521194622999</v>
      </c>
      <c r="X3547">
        <v>0</v>
      </c>
      <c r="Y3547">
        <v>0</v>
      </c>
    </row>
    <row r="3548" spans="1:25" x14ac:dyDescent="0.2">
      <c r="A3548" t="s">
        <v>13057</v>
      </c>
      <c r="B3548" t="s">
        <v>13058</v>
      </c>
      <c r="C3548" t="s">
        <v>14713</v>
      </c>
      <c r="D3548" t="s">
        <v>11478</v>
      </c>
      <c r="E3548" t="s">
        <v>13058</v>
      </c>
      <c r="F3548" t="s">
        <v>28</v>
      </c>
      <c r="G3548" t="s">
        <v>13058</v>
      </c>
      <c r="H3548" t="str">
        <f>"Y87G2A.2"</f>
        <v>Y87G2A.2</v>
      </c>
      <c r="I3548" t="s">
        <v>11478</v>
      </c>
      <c r="J3548">
        <v>12.577658567560301</v>
      </c>
      <c r="K3548">
        <v>12.092715059240099</v>
      </c>
      <c r="L3548">
        <v>11.7880924675272</v>
      </c>
      <c r="M3548" t="s">
        <v>29</v>
      </c>
      <c r="N3548" t="s">
        <v>29</v>
      </c>
      <c r="O3548" t="s">
        <v>29</v>
      </c>
      <c r="P3548" t="s">
        <v>29</v>
      </c>
      <c r="Q3548" t="s">
        <v>29</v>
      </c>
      <c r="R3548" t="s">
        <v>29</v>
      </c>
      <c r="S3548">
        <v>11.3937215495242</v>
      </c>
      <c r="T3548" t="s">
        <v>29</v>
      </c>
      <c r="U3548" t="s">
        <v>29</v>
      </c>
      <c r="V3548" t="s">
        <v>29</v>
      </c>
      <c r="W3548" t="s">
        <v>29</v>
      </c>
      <c r="X3548" t="s">
        <v>29</v>
      </c>
      <c r="Y3548" t="s">
        <v>29</v>
      </c>
    </row>
    <row r="3549" spans="1:25" x14ac:dyDescent="0.2">
      <c r="A3549" t="s">
        <v>13059</v>
      </c>
      <c r="B3549" t="s">
        <v>13060</v>
      </c>
      <c r="C3549" t="s">
        <v>14714</v>
      </c>
      <c r="D3549" t="s">
        <v>368</v>
      </c>
      <c r="E3549" t="s">
        <v>13060</v>
      </c>
      <c r="F3549" t="s">
        <v>28</v>
      </c>
      <c r="G3549" t="s">
        <v>13060</v>
      </c>
      <c r="H3549" t="str">
        <f>"Y87G2A.1"</f>
        <v>Y87G2A.1</v>
      </c>
      <c r="I3549" t="s">
        <v>368</v>
      </c>
      <c r="J3549">
        <v>11.7497622991821</v>
      </c>
      <c r="K3549">
        <v>11.302444972603</v>
      </c>
      <c r="L3549">
        <v>11.760422686314399</v>
      </c>
      <c r="M3549">
        <v>10.543815221667099</v>
      </c>
      <c r="N3549">
        <v>11.7987761576938</v>
      </c>
      <c r="O3549">
        <v>12.001623203161101</v>
      </c>
      <c r="P3549">
        <v>-0.15613845852584299</v>
      </c>
      <c r="Q3549">
        <v>-0.93214545123658599</v>
      </c>
      <c r="R3549">
        <v>0.61986853418489896</v>
      </c>
      <c r="S3549">
        <v>12.1634508829196</v>
      </c>
      <c r="T3549">
        <v>-0.42676990138235799</v>
      </c>
      <c r="U3549">
        <v>-6.9565521059431799</v>
      </c>
      <c r="V3549">
        <v>0.67527106195587105</v>
      </c>
      <c r="W3549">
        <v>0.85541145012261999</v>
      </c>
      <c r="X3549">
        <v>0</v>
      </c>
      <c r="Y3549">
        <v>0</v>
      </c>
    </row>
    <row r="3550" spans="1:25" x14ac:dyDescent="0.2">
      <c r="A3550" t="s">
        <v>13061</v>
      </c>
      <c r="B3550" t="s">
        <v>13062</v>
      </c>
      <c r="C3550" t="s">
        <v>13063</v>
      </c>
      <c r="D3550" t="s">
        <v>13064</v>
      </c>
      <c r="E3550" t="s">
        <v>13062</v>
      </c>
      <c r="F3550" t="s">
        <v>28</v>
      </c>
      <c r="G3550" t="s">
        <v>13062</v>
      </c>
      <c r="H3550" t="str">
        <f>"emb-4"</f>
        <v>emb-4</v>
      </c>
      <c r="I3550" t="s">
        <v>13064</v>
      </c>
      <c r="J3550">
        <v>14.8535333753576</v>
      </c>
      <c r="K3550">
        <v>14.7840034876905</v>
      </c>
      <c r="L3550">
        <v>14.4782199470064</v>
      </c>
      <c r="M3550">
        <v>14.5219999953786</v>
      </c>
      <c r="N3550">
        <v>14.766600719624501</v>
      </c>
      <c r="O3550">
        <v>14.397354482325399</v>
      </c>
      <c r="P3550">
        <v>-0.143267204242019</v>
      </c>
      <c r="Q3550">
        <v>-0.58264882685666797</v>
      </c>
      <c r="R3550">
        <v>0.29611441837262997</v>
      </c>
      <c r="S3550">
        <v>14.5887842939926</v>
      </c>
      <c r="T3550">
        <v>-0.68532631933397403</v>
      </c>
      <c r="U3550">
        <v>-6.8091462490980996</v>
      </c>
      <c r="V3550">
        <v>0.50191996157828001</v>
      </c>
      <c r="W3550">
        <v>0.75369061143319105</v>
      </c>
      <c r="X3550">
        <v>0</v>
      </c>
      <c r="Y3550">
        <v>0</v>
      </c>
    </row>
    <row r="3551" spans="1:25" x14ac:dyDescent="0.2">
      <c r="A3551" t="s">
        <v>13065</v>
      </c>
      <c r="B3551" t="s">
        <v>13066</v>
      </c>
      <c r="C3551" t="s">
        <v>13067</v>
      </c>
      <c r="D3551" t="s">
        <v>13068</v>
      </c>
      <c r="E3551" t="s">
        <v>13066</v>
      </c>
      <c r="F3551" t="s">
        <v>28</v>
      </c>
      <c r="G3551" t="s">
        <v>13066</v>
      </c>
      <c r="H3551" t="str">
        <f>"cyp-42a1"</f>
        <v>cyp-42a1</v>
      </c>
      <c r="I3551" t="s">
        <v>13068</v>
      </c>
      <c r="J3551" t="s">
        <v>29</v>
      </c>
      <c r="K3551" t="s">
        <v>29</v>
      </c>
      <c r="L3551" t="s">
        <v>29</v>
      </c>
      <c r="M3551" t="s">
        <v>29</v>
      </c>
      <c r="N3551" t="s">
        <v>29</v>
      </c>
      <c r="O3551" t="s">
        <v>29</v>
      </c>
      <c r="P3551" t="s">
        <v>29</v>
      </c>
      <c r="Q3551" t="s">
        <v>29</v>
      </c>
      <c r="R3551" t="s">
        <v>29</v>
      </c>
      <c r="S3551">
        <v>10.2150788698501</v>
      </c>
      <c r="T3551" t="s">
        <v>29</v>
      </c>
      <c r="U3551" t="s">
        <v>29</v>
      </c>
      <c r="V3551" t="s">
        <v>29</v>
      </c>
      <c r="W3551" t="s">
        <v>29</v>
      </c>
      <c r="X3551" t="s">
        <v>29</v>
      </c>
      <c r="Y3551" t="s">
        <v>29</v>
      </c>
    </row>
    <row r="3552" spans="1:25" x14ac:dyDescent="0.2">
      <c r="A3552" t="s">
        <v>13069</v>
      </c>
      <c r="B3552" t="s">
        <v>13070</v>
      </c>
      <c r="C3552" t="s">
        <v>14715</v>
      </c>
      <c r="D3552" t="s">
        <v>130</v>
      </c>
      <c r="E3552" t="s">
        <v>13070</v>
      </c>
      <c r="F3552" t="s">
        <v>28</v>
      </c>
      <c r="G3552" t="s">
        <v>13070</v>
      </c>
      <c r="H3552" t="str">
        <f>"Y79H2A.3"</f>
        <v>Y79H2A.3</v>
      </c>
      <c r="I3552" t="s">
        <v>130</v>
      </c>
      <c r="J3552">
        <v>13.080170133727799</v>
      </c>
      <c r="K3552">
        <v>12.6974651380136</v>
      </c>
      <c r="L3552" t="s">
        <v>29</v>
      </c>
      <c r="M3552">
        <v>13.537923083774</v>
      </c>
      <c r="N3552">
        <v>13.760524229445901</v>
      </c>
      <c r="O3552">
        <v>13.8322062358978</v>
      </c>
      <c r="P3552">
        <v>0.82140021383517803</v>
      </c>
      <c r="Q3552">
        <v>0.238604649870955</v>
      </c>
      <c r="R3552">
        <v>1.4041957777994001</v>
      </c>
      <c r="S3552">
        <v>13.1520717967271</v>
      </c>
      <c r="T3552">
        <v>3.0059391167798002</v>
      </c>
      <c r="U3552">
        <v>-3.21729101822923</v>
      </c>
      <c r="V3552">
        <v>8.9208558645921896E-3</v>
      </c>
      <c r="W3552">
        <v>8.0634624953841702E-2</v>
      </c>
      <c r="X3552">
        <v>0</v>
      </c>
      <c r="Y3552">
        <v>0</v>
      </c>
    </row>
    <row r="3553" spans="1:25" x14ac:dyDescent="0.2">
      <c r="A3553" t="s">
        <v>13071</v>
      </c>
      <c r="B3553" t="s">
        <v>13072</v>
      </c>
      <c r="C3553" t="s">
        <v>13073</v>
      </c>
      <c r="D3553" t="s">
        <v>13074</v>
      </c>
      <c r="E3553" t="s">
        <v>13072</v>
      </c>
      <c r="F3553" t="s">
        <v>28</v>
      </c>
      <c r="G3553" t="s">
        <v>13072</v>
      </c>
      <c r="H3553" t="str">
        <f>"brp-1"</f>
        <v>brp-1</v>
      </c>
      <c r="I3553" t="s">
        <v>13074</v>
      </c>
      <c r="J3553">
        <v>11.8769797445753</v>
      </c>
      <c r="K3553">
        <v>10.0263839319379</v>
      </c>
      <c r="L3553">
        <v>10.0524235175419</v>
      </c>
      <c r="M3553" t="s">
        <v>29</v>
      </c>
      <c r="N3553">
        <v>11.2273111334252</v>
      </c>
      <c r="O3553">
        <v>9.1724279483676607</v>
      </c>
      <c r="P3553">
        <v>-0.45205952378860198</v>
      </c>
      <c r="Q3553">
        <v>-1.7560943230949499</v>
      </c>
      <c r="R3553">
        <v>0.85197527551774999</v>
      </c>
      <c r="S3553">
        <v>11.1251388827438</v>
      </c>
      <c r="T3553">
        <v>-0.73528544965642095</v>
      </c>
      <c r="U3553">
        <v>-6.6615134748934697</v>
      </c>
      <c r="V3553">
        <v>0.47287622991054801</v>
      </c>
      <c r="W3553">
        <v>0.73434291086317804</v>
      </c>
      <c r="X3553">
        <v>0</v>
      </c>
      <c r="Y3553">
        <v>0</v>
      </c>
    </row>
    <row r="3554" spans="1:25" x14ac:dyDescent="0.2">
      <c r="A3554" t="s">
        <v>13075</v>
      </c>
      <c r="B3554" t="s">
        <v>13076</v>
      </c>
      <c r="C3554" t="s">
        <v>13077</v>
      </c>
      <c r="D3554" t="s">
        <v>13078</v>
      </c>
      <c r="E3554" t="s">
        <v>13076</v>
      </c>
      <c r="F3554" t="s">
        <v>28</v>
      </c>
      <c r="G3554" t="s">
        <v>13076</v>
      </c>
      <c r="H3554" t="str">
        <f>"gphr-1"</f>
        <v>gphr-1</v>
      </c>
      <c r="I3554" t="s">
        <v>13078</v>
      </c>
      <c r="J3554">
        <v>10.587332355293499</v>
      </c>
      <c r="K3554">
        <v>10.184750237527799</v>
      </c>
      <c r="L3554">
        <v>11.1793275590019</v>
      </c>
      <c r="M3554" t="s">
        <v>29</v>
      </c>
      <c r="N3554" t="s">
        <v>29</v>
      </c>
      <c r="O3554" t="s">
        <v>29</v>
      </c>
      <c r="P3554" t="s">
        <v>29</v>
      </c>
      <c r="Q3554" t="s">
        <v>29</v>
      </c>
      <c r="R3554" t="s">
        <v>29</v>
      </c>
      <c r="S3554">
        <v>11.3864701406105</v>
      </c>
      <c r="T3554" t="s">
        <v>29</v>
      </c>
      <c r="U3554" t="s">
        <v>29</v>
      </c>
      <c r="V3554" t="s">
        <v>29</v>
      </c>
      <c r="W3554" t="s">
        <v>29</v>
      </c>
      <c r="X3554" t="s">
        <v>29</v>
      </c>
      <c r="Y3554" t="s">
        <v>29</v>
      </c>
    </row>
    <row r="3555" spans="1:25" x14ac:dyDescent="0.2">
      <c r="A3555" t="s">
        <v>13079</v>
      </c>
      <c r="B3555" t="s">
        <v>13080</v>
      </c>
      <c r="C3555" t="s">
        <v>14716</v>
      </c>
      <c r="D3555" t="s">
        <v>13081</v>
      </c>
      <c r="E3555" t="s">
        <v>13080</v>
      </c>
      <c r="F3555" t="s">
        <v>28</v>
      </c>
      <c r="G3555" t="s">
        <v>13080</v>
      </c>
      <c r="H3555" t="str">
        <f>"Y6D1A.1"</f>
        <v>Y6D1A.1</v>
      </c>
      <c r="I3555" t="s">
        <v>13081</v>
      </c>
      <c r="J3555">
        <v>11.967925645450199</v>
      </c>
      <c r="K3555">
        <v>11.951747493970799</v>
      </c>
      <c r="L3555">
        <v>12.5871236555565</v>
      </c>
      <c r="M3555">
        <v>12.8017795060307</v>
      </c>
      <c r="N3555">
        <v>12.2384101847904</v>
      </c>
      <c r="O3555">
        <v>12.224165457897399</v>
      </c>
      <c r="P3555">
        <v>0.25251945124702002</v>
      </c>
      <c r="Q3555">
        <v>-0.32038643902347802</v>
      </c>
      <c r="R3555">
        <v>0.82542534151751701</v>
      </c>
      <c r="S3555">
        <v>12.735961021547199</v>
      </c>
      <c r="T3555">
        <v>0.93038256354604298</v>
      </c>
      <c r="U3555">
        <v>-6.6083863609191296</v>
      </c>
      <c r="V3555">
        <v>0.36527728625318501</v>
      </c>
      <c r="W3555">
        <v>0.64162948020251098</v>
      </c>
      <c r="X3555">
        <v>0</v>
      </c>
      <c r="Y3555">
        <v>0</v>
      </c>
    </row>
    <row r="3556" spans="1:25" x14ac:dyDescent="0.2">
      <c r="A3556" t="s">
        <v>13082</v>
      </c>
      <c r="B3556" t="s">
        <v>13083</v>
      </c>
      <c r="C3556" t="s">
        <v>14717</v>
      </c>
      <c r="D3556" t="s">
        <v>130</v>
      </c>
      <c r="E3556" t="s">
        <v>13083</v>
      </c>
      <c r="F3556" t="s">
        <v>28</v>
      </c>
      <c r="G3556" t="s">
        <v>13083</v>
      </c>
      <c r="H3556" t="str">
        <f>"Y6B3B.9"</f>
        <v>Y6B3B.9</v>
      </c>
      <c r="I3556" t="s">
        <v>130</v>
      </c>
      <c r="J3556" t="s">
        <v>29</v>
      </c>
      <c r="K3556" t="s">
        <v>29</v>
      </c>
      <c r="L3556">
        <v>9.8075942913161605</v>
      </c>
      <c r="M3556" t="s">
        <v>29</v>
      </c>
      <c r="N3556" t="s">
        <v>29</v>
      </c>
      <c r="O3556">
        <v>11.0651372057809</v>
      </c>
      <c r="P3556">
        <v>1.2575429144647301</v>
      </c>
      <c r="Q3556">
        <v>1.6767692094303802E-2</v>
      </c>
      <c r="R3556">
        <v>2.4983181368351501</v>
      </c>
      <c r="S3556">
        <v>11.5371500321575</v>
      </c>
      <c r="T3556">
        <v>2.2615000033805099</v>
      </c>
      <c r="U3556">
        <v>-4.3011821275259896</v>
      </c>
      <c r="V3556">
        <v>4.7514571741822199E-2</v>
      </c>
      <c r="W3556">
        <v>0.21624114188516</v>
      </c>
      <c r="X3556">
        <v>1</v>
      </c>
      <c r="Y3556">
        <v>0</v>
      </c>
    </row>
    <row r="3557" spans="1:25" x14ac:dyDescent="0.2">
      <c r="A3557" t="s">
        <v>13084</v>
      </c>
      <c r="B3557" t="s">
        <v>13085</v>
      </c>
      <c r="C3557" t="s">
        <v>13086</v>
      </c>
      <c r="D3557" t="s">
        <v>308</v>
      </c>
      <c r="E3557" t="s">
        <v>13085</v>
      </c>
      <c r="F3557" t="s">
        <v>28</v>
      </c>
      <c r="G3557" t="s">
        <v>13085</v>
      </c>
      <c r="H3557" t="str">
        <f>"dnj-29"</f>
        <v>dnj-29</v>
      </c>
      <c r="I3557" t="s">
        <v>308</v>
      </c>
      <c r="J3557">
        <v>15.2849782708899</v>
      </c>
      <c r="K3557">
        <v>15.230844656639</v>
      </c>
      <c r="L3557">
        <v>14.8992304408132</v>
      </c>
      <c r="M3557">
        <v>14.948597843505199</v>
      </c>
      <c r="N3557">
        <v>14.831939793787701</v>
      </c>
      <c r="O3557">
        <v>14.2576519320359</v>
      </c>
      <c r="P3557">
        <v>-0.45895459967109498</v>
      </c>
      <c r="Q3557">
        <v>-0.90934419885777595</v>
      </c>
      <c r="R3557">
        <v>-8.5650004844144405E-3</v>
      </c>
      <c r="S3557">
        <v>14.875618538686799</v>
      </c>
      <c r="T3557">
        <v>-2.1417752077736498</v>
      </c>
      <c r="U3557">
        <v>-4.9139097479897602</v>
      </c>
      <c r="V3557">
        <v>4.6224707503471699E-2</v>
      </c>
      <c r="W3557">
        <v>0.21328194946151399</v>
      </c>
      <c r="X3557">
        <v>0</v>
      </c>
      <c r="Y3557">
        <v>0</v>
      </c>
    </row>
    <row r="3558" spans="1:25" x14ac:dyDescent="0.2">
      <c r="A3558" t="s">
        <v>13087</v>
      </c>
      <c r="B3558" t="s">
        <v>13088</v>
      </c>
      <c r="C3558" t="s">
        <v>13089</v>
      </c>
      <c r="D3558" t="s">
        <v>13090</v>
      </c>
      <c r="E3558" t="s">
        <v>13088</v>
      </c>
      <c r="F3558" t="s">
        <v>28</v>
      </c>
      <c r="G3558" t="s">
        <v>13088</v>
      </c>
      <c r="H3558" t="str">
        <f>"emc-3"</f>
        <v>emc-3</v>
      </c>
      <c r="I3558" t="s">
        <v>13090</v>
      </c>
      <c r="J3558">
        <v>14.1504966307992</v>
      </c>
      <c r="K3558">
        <v>14.0609170462617</v>
      </c>
      <c r="L3558">
        <v>14.0020866226993</v>
      </c>
      <c r="M3558">
        <v>13.927091067543</v>
      </c>
      <c r="N3558">
        <v>13.7729476615352</v>
      </c>
      <c r="O3558">
        <v>13.7021864259611</v>
      </c>
      <c r="P3558">
        <v>-0.27042504824026098</v>
      </c>
      <c r="Q3558">
        <v>-0.56156786769786204</v>
      </c>
      <c r="R3558">
        <v>2.07177712173401E-2</v>
      </c>
      <c r="S3558">
        <v>13.9869679358432</v>
      </c>
      <c r="T3558">
        <v>-1.95224062326054</v>
      </c>
      <c r="U3558">
        <v>-5.2427406824978</v>
      </c>
      <c r="V3558">
        <v>6.6735712289298699E-2</v>
      </c>
      <c r="W3558">
        <v>0.26187216934255902</v>
      </c>
      <c r="X3558">
        <v>0</v>
      </c>
      <c r="Y3558">
        <v>0</v>
      </c>
    </row>
    <row r="3559" spans="1:25" x14ac:dyDescent="0.2">
      <c r="A3559" t="s">
        <v>13091</v>
      </c>
      <c r="B3559" t="s">
        <v>13092</v>
      </c>
      <c r="C3559" t="s">
        <v>13093</v>
      </c>
      <c r="D3559" t="s">
        <v>13094</v>
      </c>
      <c r="E3559" t="s">
        <v>13092</v>
      </c>
      <c r="F3559" t="s">
        <v>28</v>
      </c>
      <c r="G3559" t="s">
        <v>13092</v>
      </c>
      <c r="H3559" t="str">
        <f>"agt-1"</f>
        <v>agt-1</v>
      </c>
      <c r="I3559" t="s">
        <v>13094</v>
      </c>
      <c r="J3559" t="s">
        <v>29</v>
      </c>
      <c r="K3559" t="s">
        <v>29</v>
      </c>
      <c r="L3559" t="s">
        <v>29</v>
      </c>
      <c r="M3559" t="s">
        <v>29</v>
      </c>
      <c r="N3559" t="s">
        <v>29</v>
      </c>
      <c r="O3559" t="s">
        <v>29</v>
      </c>
      <c r="P3559" t="s">
        <v>29</v>
      </c>
      <c r="Q3559" t="s">
        <v>29</v>
      </c>
      <c r="R3559" t="s">
        <v>29</v>
      </c>
      <c r="S3559">
        <v>13.4907157972316</v>
      </c>
      <c r="T3559" t="s">
        <v>29</v>
      </c>
      <c r="U3559" t="s">
        <v>29</v>
      </c>
      <c r="V3559" t="s">
        <v>29</v>
      </c>
      <c r="W3559" t="s">
        <v>29</v>
      </c>
      <c r="X3559" t="s">
        <v>29</v>
      </c>
      <c r="Y3559" t="s">
        <v>29</v>
      </c>
    </row>
    <row r="3560" spans="1:25" x14ac:dyDescent="0.2">
      <c r="A3560" t="s">
        <v>13095</v>
      </c>
      <c r="B3560" t="s">
        <v>13096</v>
      </c>
      <c r="C3560" t="s">
        <v>13097</v>
      </c>
      <c r="D3560" t="s">
        <v>13098</v>
      </c>
      <c r="E3560" t="s">
        <v>13096</v>
      </c>
      <c r="F3560" t="s">
        <v>28</v>
      </c>
      <c r="G3560" t="s">
        <v>13096</v>
      </c>
      <c r="H3560" t="str">
        <f>"chk-2"</f>
        <v>chk-2</v>
      </c>
      <c r="I3560" t="s">
        <v>13098</v>
      </c>
      <c r="J3560">
        <v>11.802208005517301</v>
      </c>
      <c r="K3560" t="s">
        <v>29</v>
      </c>
      <c r="L3560">
        <v>11.090092729661601</v>
      </c>
      <c r="M3560" t="s">
        <v>29</v>
      </c>
      <c r="N3560">
        <v>12.290094605751699</v>
      </c>
      <c r="O3560" t="s">
        <v>29</v>
      </c>
      <c r="P3560">
        <v>0.84394423816221797</v>
      </c>
      <c r="Q3560">
        <v>-0.40405290228641599</v>
      </c>
      <c r="R3560">
        <v>2.0919413786108501</v>
      </c>
      <c r="S3560">
        <v>11.1007868636948</v>
      </c>
      <c r="T3560">
        <v>1.46213477601155</v>
      </c>
      <c r="U3560">
        <v>-5.60429456563035</v>
      </c>
      <c r="V3560">
        <v>0.167644694831525</v>
      </c>
      <c r="W3560">
        <v>0.42419582969034503</v>
      </c>
      <c r="X3560">
        <v>0</v>
      </c>
      <c r="Y3560">
        <v>0</v>
      </c>
    </row>
    <row r="3561" spans="1:25" x14ac:dyDescent="0.2">
      <c r="A3561" t="s">
        <v>13099</v>
      </c>
      <c r="B3561" t="s">
        <v>13100</v>
      </c>
      <c r="C3561" t="s">
        <v>13101</v>
      </c>
      <c r="D3561" t="s">
        <v>13102</v>
      </c>
      <c r="E3561" t="s">
        <v>13100</v>
      </c>
      <c r="F3561" t="s">
        <v>28</v>
      </c>
      <c r="G3561" t="s">
        <v>13100</v>
      </c>
      <c r="H3561" t="str">
        <f>"dhs-24"</f>
        <v>dhs-24</v>
      </c>
      <c r="I3561" t="s">
        <v>13102</v>
      </c>
      <c r="J3561">
        <v>14.878922164163701</v>
      </c>
      <c r="K3561">
        <v>14.934816495497399</v>
      </c>
      <c r="L3561">
        <v>15.0115535113055</v>
      </c>
      <c r="M3561">
        <v>14.7636486082309</v>
      </c>
      <c r="N3561">
        <v>15.0785818543415</v>
      </c>
      <c r="O3561">
        <v>15.127655921378199</v>
      </c>
      <c r="P3561">
        <v>4.8198070994681402E-2</v>
      </c>
      <c r="Q3561">
        <v>-0.374595630300536</v>
      </c>
      <c r="R3561">
        <v>0.47099177228989902</v>
      </c>
      <c r="S3561">
        <v>15.1683526656072</v>
      </c>
      <c r="T3561">
        <v>0.23960377798145899</v>
      </c>
      <c r="U3561">
        <v>-7.0220484721239602</v>
      </c>
      <c r="V3561">
        <v>0.81336039315345199</v>
      </c>
      <c r="W3561">
        <v>0.92026241979184098</v>
      </c>
      <c r="X3561">
        <v>0</v>
      </c>
      <c r="Y3561">
        <v>0</v>
      </c>
    </row>
    <row r="3562" spans="1:25" x14ac:dyDescent="0.2">
      <c r="A3562" t="s">
        <v>13103</v>
      </c>
      <c r="B3562" t="s">
        <v>13104</v>
      </c>
      <c r="C3562" t="s">
        <v>13105</v>
      </c>
      <c r="D3562" t="s">
        <v>13106</v>
      </c>
      <c r="E3562" t="s">
        <v>13104</v>
      </c>
      <c r="F3562" t="s">
        <v>28</v>
      </c>
      <c r="G3562" t="s">
        <v>13104</v>
      </c>
      <c r="H3562" t="str">
        <f>"algn-7"</f>
        <v>algn-7</v>
      </c>
      <c r="I3562" t="s">
        <v>13106</v>
      </c>
      <c r="J3562">
        <v>13.137023194936701</v>
      </c>
      <c r="K3562">
        <v>13.551994026865099</v>
      </c>
      <c r="L3562">
        <v>13.5439795826136</v>
      </c>
      <c r="M3562">
        <v>12.7863520221382</v>
      </c>
      <c r="N3562">
        <v>11.9697589102925</v>
      </c>
      <c r="O3562" t="s">
        <v>29</v>
      </c>
      <c r="P3562">
        <v>-1.03294346858977</v>
      </c>
      <c r="Q3562">
        <v>-1.63863713854066</v>
      </c>
      <c r="R3562">
        <v>-0.42724979863889201</v>
      </c>
      <c r="S3562">
        <v>13.313779756015901</v>
      </c>
      <c r="T3562">
        <v>-3.61720438624093</v>
      </c>
      <c r="U3562">
        <v>-1.93156527655973</v>
      </c>
      <c r="V3562">
        <v>2.3349617445232E-3</v>
      </c>
      <c r="W3562">
        <v>3.1924224859993598E-2</v>
      </c>
      <c r="X3562">
        <v>-1</v>
      </c>
      <c r="Y3562">
        <v>-1</v>
      </c>
    </row>
    <row r="3563" spans="1:25" x14ac:dyDescent="0.2">
      <c r="A3563" t="s">
        <v>13107</v>
      </c>
      <c r="B3563" t="s">
        <v>13108</v>
      </c>
      <c r="C3563" t="s">
        <v>13109</v>
      </c>
      <c r="D3563" t="s">
        <v>13110</v>
      </c>
      <c r="E3563" t="s">
        <v>13108</v>
      </c>
      <c r="F3563" t="s">
        <v>28</v>
      </c>
      <c r="G3563" t="s">
        <v>13108</v>
      </c>
      <c r="H3563" t="str">
        <f>"abhd-3.1"</f>
        <v>abhd-3.1</v>
      </c>
      <c r="I3563" t="s">
        <v>13110</v>
      </c>
      <c r="J3563">
        <v>12.4930852597225</v>
      </c>
      <c r="K3563">
        <v>12.014734351571301</v>
      </c>
      <c r="L3563">
        <v>12.5469535410663</v>
      </c>
      <c r="M3563">
        <v>12.161713945303701</v>
      </c>
      <c r="N3563">
        <v>12.805088274973</v>
      </c>
      <c r="O3563">
        <v>12.4097540624989</v>
      </c>
      <c r="P3563">
        <v>0.107261043471826</v>
      </c>
      <c r="Q3563">
        <v>-0.50685426607375395</v>
      </c>
      <c r="R3563">
        <v>0.72137635301740699</v>
      </c>
      <c r="S3563">
        <v>12.679043408724301</v>
      </c>
      <c r="T3563">
        <v>0.370460256588859</v>
      </c>
      <c r="U3563">
        <v>-6.9799976330150102</v>
      </c>
      <c r="V3563">
        <v>0.71592995971815898</v>
      </c>
      <c r="W3563">
        <v>0.87472111044182899</v>
      </c>
      <c r="X3563">
        <v>0</v>
      </c>
      <c r="Y3563">
        <v>0</v>
      </c>
    </row>
    <row r="3564" spans="1:25" x14ac:dyDescent="0.2">
      <c r="A3564" t="s">
        <v>13111</v>
      </c>
      <c r="B3564" t="s">
        <v>13112</v>
      </c>
      <c r="C3564" t="s">
        <v>13113</v>
      </c>
      <c r="D3564" t="s">
        <v>93</v>
      </c>
      <c r="E3564" t="s">
        <v>13112</v>
      </c>
      <c r="F3564" t="s">
        <v>28</v>
      </c>
      <c r="G3564" t="s">
        <v>13112</v>
      </c>
      <c r="H3564" t="str">
        <f>"melo-1"</f>
        <v>melo-1</v>
      </c>
      <c r="I3564" t="s">
        <v>93</v>
      </c>
      <c r="J3564">
        <v>12.133956318950201</v>
      </c>
      <c r="K3564">
        <v>11.7349946650906</v>
      </c>
      <c r="L3564">
        <v>11.338320850971201</v>
      </c>
      <c r="M3564" t="s">
        <v>29</v>
      </c>
      <c r="N3564" t="s">
        <v>29</v>
      </c>
      <c r="O3564" t="s">
        <v>29</v>
      </c>
      <c r="P3564" t="s">
        <v>29</v>
      </c>
      <c r="Q3564" t="s">
        <v>29</v>
      </c>
      <c r="R3564" t="s">
        <v>29</v>
      </c>
      <c r="S3564">
        <v>11.792131361933899</v>
      </c>
      <c r="T3564" t="s">
        <v>29</v>
      </c>
      <c r="U3564" t="s">
        <v>29</v>
      </c>
      <c r="V3564" t="s">
        <v>29</v>
      </c>
      <c r="W3564" t="s">
        <v>29</v>
      </c>
      <c r="X3564" t="s">
        <v>29</v>
      </c>
      <c r="Y3564" t="s">
        <v>29</v>
      </c>
    </row>
    <row r="3565" spans="1:25" x14ac:dyDescent="0.2">
      <c r="A3565" t="s">
        <v>13114</v>
      </c>
      <c r="B3565" t="s">
        <v>13115</v>
      </c>
      <c r="C3565" t="s">
        <v>13116</v>
      </c>
      <c r="D3565" t="s">
        <v>13117</v>
      </c>
      <c r="E3565" t="s">
        <v>13115</v>
      </c>
      <c r="F3565" t="s">
        <v>28</v>
      </c>
      <c r="G3565" t="s">
        <v>13115</v>
      </c>
      <c r="H3565" t="str">
        <f>"polg-1"</f>
        <v>polg-1</v>
      </c>
      <c r="I3565" t="s">
        <v>13117</v>
      </c>
      <c r="J3565">
        <v>11.977719631746201</v>
      </c>
      <c r="K3565">
        <v>11.4187411315272</v>
      </c>
      <c r="L3565">
        <v>11.7850642607153</v>
      </c>
      <c r="M3565">
        <v>11.799770072320801</v>
      </c>
      <c r="N3565">
        <v>11.8008436013967</v>
      </c>
      <c r="O3565">
        <v>12.092721032081201</v>
      </c>
      <c r="P3565">
        <v>0.17060322727003599</v>
      </c>
      <c r="Q3565">
        <v>-0.37910098371635398</v>
      </c>
      <c r="R3565">
        <v>0.72030743825642496</v>
      </c>
      <c r="S3565">
        <v>12.295810130564201</v>
      </c>
      <c r="T3565">
        <v>0.65827552530728195</v>
      </c>
      <c r="U3565">
        <v>-6.82656645767171</v>
      </c>
      <c r="V3565">
        <v>0.51978250420060801</v>
      </c>
      <c r="W3565">
        <v>0.76469806007594998</v>
      </c>
      <c r="X3565">
        <v>0</v>
      </c>
      <c r="Y3565">
        <v>0</v>
      </c>
    </row>
    <row r="3566" spans="1:25" x14ac:dyDescent="0.2">
      <c r="A3566" t="s">
        <v>13118</v>
      </c>
      <c r="B3566" t="s">
        <v>13119</v>
      </c>
      <c r="C3566" t="s">
        <v>14718</v>
      </c>
      <c r="D3566" t="s">
        <v>13120</v>
      </c>
      <c r="E3566" t="s">
        <v>13119</v>
      </c>
      <c r="F3566" t="s">
        <v>28</v>
      </c>
      <c r="G3566" t="s">
        <v>13119</v>
      </c>
      <c r="H3566" t="str">
        <f>"Y57A10A.27"</f>
        <v>Y57A10A.27</v>
      </c>
      <c r="I3566" t="s">
        <v>13120</v>
      </c>
      <c r="J3566">
        <v>11.766331609582499</v>
      </c>
      <c r="K3566">
        <v>11.9534116813906</v>
      </c>
      <c r="L3566">
        <v>11.102504436175</v>
      </c>
      <c r="M3566" t="s">
        <v>29</v>
      </c>
      <c r="N3566">
        <v>11.1938655234819</v>
      </c>
      <c r="O3566">
        <v>11.7126297235852</v>
      </c>
      <c r="P3566">
        <v>-0.15416828551582301</v>
      </c>
      <c r="Q3566">
        <v>-0.77315564267719294</v>
      </c>
      <c r="R3566">
        <v>0.46481907164554698</v>
      </c>
      <c r="S3566">
        <v>11.9690968786797</v>
      </c>
      <c r="T3566">
        <v>-0.53119609033393</v>
      </c>
      <c r="U3566">
        <v>-6.7936628917685198</v>
      </c>
      <c r="V3566">
        <v>0.60311468251109301</v>
      </c>
      <c r="W3566">
        <v>0.80985940123530897</v>
      </c>
      <c r="X3566">
        <v>0</v>
      </c>
      <c r="Y3566">
        <v>0</v>
      </c>
    </row>
    <row r="3567" spans="1:25" x14ac:dyDescent="0.2">
      <c r="A3567" t="s">
        <v>13121</v>
      </c>
      <c r="B3567" t="s">
        <v>13122</v>
      </c>
      <c r="C3567" t="s">
        <v>13123</v>
      </c>
      <c r="D3567" t="s">
        <v>13124</v>
      </c>
      <c r="E3567" t="s">
        <v>13122</v>
      </c>
      <c r="F3567" t="s">
        <v>28</v>
      </c>
      <c r="G3567" t="s">
        <v>13122</v>
      </c>
      <c r="H3567" t="str">
        <f>"ung-1"</f>
        <v>ung-1</v>
      </c>
      <c r="I3567" t="s">
        <v>13124</v>
      </c>
      <c r="J3567">
        <v>12.216952505600601</v>
      </c>
      <c r="K3567">
        <v>12.745694824783399</v>
      </c>
      <c r="L3567">
        <v>12.6046873396851</v>
      </c>
      <c r="M3567">
        <v>12.598803208484201</v>
      </c>
      <c r="N3567">
        <v>12.9210133159935</v>
      </c>
      <c r="O3567">
        <v>12.683020290224601</v>
      </c>
      <c r="P3567">
        <v>0.21183404821106899</v>
      </c>
      <c r="Q3567">
        <v>-0.19648302795219499</v>
      </c>
      <c r="R3567">
        <v>0.62015112437433195</v>
      </c>
      <c r="S3567">
        <v>12.7655055365019</v>
      </c>
      <c r="T3567">
        <v>1.1003928320569401</v>
      </c>
      <c r="U3567">
        <v>-6.4366228585335001</v>
      </c>
      <c r="V3567">
        <v>0.28754720141361101</v>
      </c>
      <c r="W3567">
        <v>0.56639140036312896</v>
      </c>
      <c r="X3567">
        <v>0</v>
      </c>
      <c r="Y3567">
        <v>0</v>
      </c>
    </row>
    <row r="3568" spans="1:25" x14ac:dyDescent="0.2">
      <c r="A3568" t="s">
        <v>13125</v>
      </c>
      <c r="B3568" t="s">
        <v>13126</v>
      </c>
      <c r="C3568" t="s">
        <v>13127</v>
      </c>
      <c r="D3568" t="s">
        <v>13128</v>
      </c>
      <c r="E3568" t="s">
        <v>13126</v>
      </c>
      <c r="F3568" t="s">
        <v>28</v>
      </c>
      <c r="G3568" t="s">
        <v>13126</v>
      </c>
      <c r="H3568" t="str">
        <f>"wah-1"</f>
        <v>wah-1</v>
      </c>
      <c r="I3568" t="s">
        <v>13128</v>
      </c>
      <c r="J3568">
        <v>13.2274955027613</v>
      </c>
      <c r="K3568">
        <v>11.9599580749104</v>
      </c>
      <c r="L3568" t="s">
        <v>29</v>
      </c>
      <c r="M3568" t="s">
        <v>29</v>
      </c>
      <c r="N3568" t="s">
        <v>29</v>
      </c>
      <c r="O3568">
        <v>13.224653801595</v>
      </c>
      <c r="P3568">
        <v>0.63092701275919805</v>
      </c>
      <c r="Q3568">
        <v>-0.93389439050357903</v>
      </c>
      <c r="R3568">
        <v>2.1957484160219698</v>
      </c>
      <c r="S3568">
        <v>12.066740245209401</v>
      </c>
      <c r="T3568">
        <v>1.0431623060247901</v>
      </c>
      <c r="U3568">
        <v>-6.0702205953069601</v>
      </c>
      <c r="V3568">
        <v>0.34562647398768098</v>
      </c>
      <c r="W3568">
        <v>0.62587499225030196</v>
      </c>
      <c r="X3568">
        <v>0</v>
      </c>
      <c r="Y3568">
        <v>0</v>
      </c>
    </row>
    <row r="3569" spans="1:25" x14ac:dyDescent="0.2">
      <c r="A3569" t="s">
        <v>13129</v>
      </c>
      <c r="B3569" t="s">
        <v>13130</v>
      </c>
      <c r="C3569" t="s">
        <v>13131</v>
      </c>
      <c r="D3569" t="s">
        <v>13132</v>
      </c>
      <c r="E3569" t="s">
        <v>13130</v>
      </c>
      <c r="F3569" t="s">
        <v>28</v>
      </c>
      <c r="G3569" t="s">
        <v>13130</v>
      </c>
      <c r="H3569" t="str">
        <f>"trap-4"</f>
        <v>trap-4</v>
      </c>
      <c r="I3569" t="s">
        <v>13132</v>
      </c>
      <c r="J3569">
        <v>17.311982111236301</v>
      </c>
      <c r="K3569">
        <v>17.2191036960653</v>
      </c>
      <c r="L3569">
        <v>17.2792979006386</v>
      </c>
      <c r="M3569">
        <v>17.135943920572501</v>
      </c>
      <c r="N3569">
        <v>17.010034378994501</v>
      </c>
      <c r="O3569">
        <v>16.818536794384599</v>
      </c>
      <c r="P3569">
        <v>-0.281956204662904</v>
      </c>
      <c r="Q3569">
        <v>-0.62862219151021004</v>
      </c>
      <c r="R3569">
        <v>6.4709782184400905E-2</v>
      </c>
      <c r="S3569">
        <v>16.673678103924399</v>
      </c>
      <c r="T3569">
        <v>-1.7094757177681701</v>
      </c>
      <c r="U3569">
        <v>-5.63434848189533</v>
      </c>
      <c r="V3569">
        <v>0.104646409842791</v>
      </c>
      <c r="W3569">
        <v>0.33417018412997301</v>
      </c>
      <c r="X3569">
        <v>0</v>
      </c>
      <c r="Y3569">
        <v>0</v>
      </c>
    </row>
    <row r="3570" spans="1:25" x14ac:dyDescent="0.2">
      <c r="A3570" t="s">
        <v>13133</v>
      </c>
      <c r="B3570" t="s">
        <v>13134</v>
      </c>
      <c r="C3570" t="s">
        <v>13135</v>
      </c>
      <c r="D3570" t="s">
        <v>13136</v>
      </c>
      <c r="E3570" t="s">
        <v>13134</v>
      </c>
      <c r="F3570" t="s">
        <v>28</v>
      </c>
      <c r="G3570" t="s">
        <v>13134</v>
      </c>
      <c r="H3570" t="str">
        <f>"rsy-1"</f>
        <v>rsy-1</v>
      </c>
      <c r="I3570" t="s">
        <v>13136</v>
      </c>
      <c r="J3570" t="s">
        <v>29</v>
      </c>
      <c r="K3570" t="s">
        <v>29</v>
      </c>
      <c r="L3570">
        <v>11.1623603691647</v>
      </c>
      <c r="M3570" t="s">
        <v>29</v>
      </c>
      <c r="N3570" t="s">
        <v>29</v>
      </c>
      <c r="O3570" t="s">
        <v>29</v>
      </c>
      <c r="P3570" t="s">
        <v>29</v>
      </c>
      <c r="Q3570" t="s">
        <v>29</v>
      </c>
      <c r="R3570" t="s">
        <v>29</v>
      </c>
      <c r="S3570">
        <v>11.877881711918199</v>
      </c>
      <c r="T3570" t="s">
        <v>29</v>
      </c>
      <c r="U3570" t="s">
        <v>29</v>
      </c>
      <c r="V3570" t="s">
        <v>29</v>
      </c>
      <c r="W3570" t="s">
        <v>29</v>
      </c>
      <c r="X3570" t="s">
        <v>29</v>
      </c>
      <c r="Y3570" t="s">
        <v>29</v>
      </c>
    </row>
    <row r="3571" spans="1:25" x14ac:dyDescent="0.2">
      <c r="A3571" t="s">
        <v>13137</v>
      </c>
      <c r="B3571" t="s">
        <v>13138</v>
      </c>
      <c r="C3571" t="s">
        <v>14719</v>
      </c>
      <c r="D3571" t="s">
        <v>13139</v>
      </c>
      <c r="E3571" t="s">
        <v>13138</v>
      </c>
      <c r="F3571" t="s">
        <v>28</v>
      </c>
      <c r="G3571" t="s">
        <v>13138</v>
      </c>
      <c r="H3571" t="str">
        <f>"Y52B11A.10"</f>
        <v>Y52B11A.10</v>
      </c>
      <c r="I3571" t="s">
        <v>13139</v>
      </c>
      <c r="J3571">
        <v>11.8597427173318</v>
      </c>
      <c r="K3571">
        <v>11.752628065887301</v>
      </c>
      <c r="L3571">
        <v>12.9546027255812</v>
      </c>
      <c r="M3571">
        <v>11.400140218621599</v>
      </c>
      <c r="N3571">
        <v>13.1347748846655</v>
      </c>
      <c r="O3571">
        <v>12.9605874952468</v>
      </c>
      <c r="P3571">
        <v>0.309509696577836</v>
      </c>
      <c r="Q3571">
        <v>-0.56145916565917198</v>
      </c>
      <c r="R3571">
        <v>1.1804785588148401</v>
      </c>
      <c r="S3571">
        <v>13.6544066162243</v>
      </c>
      <c r="T3571">
        <v>0.75373930066106298</v>
      </c>
      <c r="U3571">
        <v>-6.7576415219447297</v>
      </c>
      <c r="V3571">
        <v>0.46202592533479098</v>
      </c>
      <c r="W3571">
        <v>0.72782683216757105</v>
      </c>
      <c r="X3571">
        <v>0</v>
      </c>
      <c r="Y3571">
        <v>0</v>
      </c>
    </row>
    <row r="3572" spans="1:25" x14ac:dyDescent="0.2">
      <c r="A3572" t="s">
        <v>13140</v>
      </c>
      <c r="B3572" t="s">
        <v>13141</v>
      </c>
      <c r="C3572" t="s">
        <v>13142</v>
      </c>
      <c r="D3572" t="s">
        <v>13143</v>
      </c>
      <c r="E3572" t="s">
        <v>13141</v>
      </c>
      <c r="F3572" t="s">
        <v>28</v>
      </c>
      <c r="G3572" t="s">
        <v>13141</v>
      </c>
      <c r="H3572" t="str">
        <f>"set-26"</f>
        <v>set-26</v>
      </c>
      <c r="I3572" t="s">
        <v>13143</v>
      </c>
      <c r="J3572">
        <v>15.7461475225883</v>
      </c>
      <c r="K3572">
        <v>16.0927480748108</v>
      </c>
      <c r="L3572">
        <v>15.892609593205099</v>
      </c>
      <c r="M3572">
        <v>15.882247708324901</v>
      </c>
      <c r="N3572">
        <v>15.2046811347627</v>
      </c>
      <c r="O3572">
        <v>15.7471929025672</v>
      </c>
      <c r="P3572">
        <v>-0.299127814983143</v>
      </c>
      <c r="Q3572">
        <v>-0.73916067024188403</v>
      </c>
      <c r="R3572">
        <v>0.140905040275599</v>
      </c>
      <c r="S3572">
        <v>15.546456216957299</v>
      </c>
      <c r="T3572">
        <v>-1.43490023686204</v>
      </c>
      <c r="U3572">
        <v>-6.0311811476547099</v>
      </c>
      <c r="V3572">
        <v>0.16956865362485199</v>
      </c>
      <c r="W3572">
        <v>0.42712063595771299</v>
      </c>
      <c r="X3572">
        <v>0</v>
      </c>
      <c r="Y3572">
        <v>0</v>
      </c>
    </row>
    <row r="3573" spans="1:25" x14ac:dyDescent="0.2">
      <c r="A3573" t="s">
        <v>13144</v>
      </c>
      <c r="B3573" t="s">
        <v>13145</v>
      </c>
      <c r="C3573" t="s">
        <v>13146</v>
      </c>
      <c r="D3573" t="s">
        <v>13147</v>
      </c>
      <c r="E3573" t="s">
        <v>13145</v>
      </c>
      <c r="F3573" t="s">
        <v>28</v>
      </c>
      <c r="G3573" t="s">
        <v>13145</v>
      </c>
      <c r="H3573" t="str">
        <f>"ints-5"</f>
        <v>ints-5</v>
      </c>
      <c r="I3573" t="s">
        <v>13147</v>
      </c>
      <c r="J3573">
        <v>13.7762184186252</v>
      </c>
      <c r="K3573">
        <v>14.2006270425348</v>
      </c>
      <c r="L3573">
        <v>13.7297925380858</v>
      </c>
      <c r="M3573">
        <v>14.013378652330699</v>
      </c>
      <c r="N3573">
        <v>14.3253233378356</v>
      </c>
      <c r="O3573">
        <v>13.6374367527131</v>
      </c>
      <c r="P3573">
        <v>8.9833581211227198E-2</v>
      </c>
      <c r="Q3573">
        <v>-0.34044809711568902</v>
      </c>
      <c r="R3573">
        <v>0.52011525953814397</v>
      </c>
      <c r="S3573">
        <v>14.2102049726775</v>
      </c>
      <c r="T3573">
        <v>0.44069271604720001</v>
      </c>
      <c r="U3573">
        <v>-6.9505757977116103</v>
      </c>
      <c r="V3573">
        <v>0.66502235296998802</v>
      </c>
      <c r="W3573">
        <v>0.849620234222356</v>
      </c>
      <c r="X3573">
        <v>0</v>
      </c>
      <c r="Y3573">
        <v>0</v>
      </c>
    </row>
    <row r="3574" spans="1:25" x14ac:dyDescent="0.2">
      <c r="A3574" t="s">
        <v>13148</v>
      </c>
      <c r="B3574" t="s">
        <v>13149</v>
      </c>
      <c r="C3574" t="s">
        <v>13150</v>
      </c>
      <c r="D3574" t="s">
        <v>13151</v>
      </c>
      <c r="E3574" t="s">
        <v>13149</v>
      </c>
      <c r="F3574" t="s">
        <v>28</v>
      </c>
      <c r="G3574" t="s">
        <v>13149</v>
      </c>
      <c r="H3574" t="str">
        <f>"haf-7"</f>
        <v>haf-7</v>
      </c>
      <c r="I3574" t="s">
        <v>13151</v>
      </c>
      <c r="J3574">
        <v>11.8481322065646</v>
      </c>
      <c r="K3574" t="s">
        <v>29</v>
      </c>
      <c r="L3574" t="s">
        <v>29</v>
      </c>
      <c r="M3574" t="s">
        <v>29</v>
      </c>
      <c r="N3574">
        <v>12.570617206852599</v>
      </c>
      <c r="O3574" t="s">
        <v>29</v>
      </c>
      <c r="P3574">
        <v>0.72248500028804596</v>
      </c>
      <c r="Q3574">
        <v>-7.4484746137071206E-2</v>
      </c>
      <c r="R3574">
        <v>1.5194547467131601</v>
      </c>
      <c r="S3574">
        <v>12.007688692355501</v>
      </c>
      <c r="T3574">
        <v>2.02280440113543</v>
      </c>
      <c r="U3574">
        <v>-4.6734891207456597</v>
      </c>
      <c r="V3574">
        <v>7.0947884459381202E-2</v>
      </c>
      <c r="W3574">
        <v>0.27113561454301999</v>
      </c>
      <c r="X3574">
        <v>0</v>
      </c>
      <c r="Y3574">
        <v>0</v>
      </c>
    </row>
    <row r="3575" spans="1:25" x14ac:dyDescent="0.2">
      <c r="A3575" t="s">
        <v>13152</v>
      </c>
      <c r="B3575" t="s">
        <v>13153</v>
      </c>
      <c r="C3575" t="s">
        <v>13154</v>
      </c>
      <c r="D3575" t="s">
        <v>13155</v>
      </c>
      <c r="E3575" t="s">
        <v>13153</v>
      </c>
      <c r="F3575" t="s">
        <v>28</v>
      </c>
      <c r="G3575" t="s">
        <v>13153</v>
      </c>
      <c r="H3575" t="str">
        <f>"tat-1"</f>
        <v>tat-1</v>
      </c>
      <c r="I3575" t="s">
        <v>13155</v>
      </c>
      <c r="J3575">
        <v>10.6683006926442</v>
      </c>
      <c r="K3575">
        <v>10.9173672326228</v>
      </c>
      <c r="L3575">
        <v>11.599556353082001</v>
      </c>
      <c r="M3575">
        <v>11.629600252723399</v>
      </c>
      <c r="N3575" t="s">
        <v>29</v>
      </c>
      <c r="O3575">
        <v>12.0318232075134</v>
      </c>
      <c r="P3575">
        <v>0.768970304002071</v>
      </c>
      <c r="Q3575">
        <v>0.17423472865353101</v>
      </c>
      <c r="R3575">
        <v>1.3637058793506101</v>
      </c>
      <c r="S3575">
        <v>11.905699757100701</v>
      </c>
      <c r="T3575">
        <v>2.74242766229069</v>
      </c>
      <c r="U3575">
        <v>-3.7053192059493201</v>
      </c>
      <c r="V3575">
        <v>1.45219156410027E-2</v>
      </c>
      <c r="W3575">
        <v>0.11099662334451001</v>
      </c>
      <c r="X3575">
        <v>0</v>
      </c>
      <c r="Y3575">
        <v>0</v>
      </c>
    </row>
    <row r="3576" spans="1:25" x14ac:dyDescent="0.2">
      <c r="A3576" t="s">
        <v>13156</v>
      </c>
      <c r="B3576" t="s">
        <v>13157</v>
      </c>
      <c r="C3576" t="s">
        <v>14720</v>
      </c>
      <c r="D3576" t="s">
        <v>13158</v>
      </c>
      <c r="E3576" t="s">
        <v>13157</v>
      </c>
      <c r="F3576" t="s">
        <v>28</v>
      </c>
      <c r="G3576" t="s">
        <v>13157</v>
      </c>
      <c r="H3576" t="str">
        <f>"Y48G10A.3"</f>
        <v>Y48G10A.3</v>
      </c>
      <c r="I3576" t="s">
        <v>13158</v>
      </c>
      <c r="J3576">
        <v>13.216674463859199</v>
      </c>
      <c r="K3576">
        <v>12.1484092374507</v>
      </c>
      <c r="L3576">
        <v>12.6942403122312</v>
      </c>
      <c r="M3576">
        <v>13.691789702886901</v>
      </c>
      <c r="N3576">
        <v>12.878160510225101</v>
      </c>
      <c r="O3576">
        <v>13.5409627630924</v>
      </c>
      <c r="P3576">
        <v>0.68386298755441599</v>
      </c>
      <c r="Q3576">
        <v>1.5890186417983201E-2</v>
      </c>
      <c r="R3576">
        <v>1.3518357886908501</v>
      </c>
      <c r="S3576">
        <v>12.8493631927553</v>
      </c>
      <c r="T3576">
        <v>2.1834936138166698</v>
      </c>
      <c r="U3576">
        <v>-4.8637636771258803</v>
      </c>
      <c r="V3576">
        <v>4.5418588732988298E-2</v>
      </c>
      <c r="W3576">
        <v>0.211433601912939</v>
      </c>
      <c r="X3576">
        <v>0</v>
      </c>
      <c r="Y3576">
        <v>0</v>
      </c>
    </row>
    <row r="3577" spans="1:25" x14ac:dyDescent="0.2">
      <c r="A3577" t="s">
        <v>13159</v>
      </c>
      <c r="B3577" t="s">
        <v>13160</v>
      </c>
      <c r="C3577" t="s">
        <v>14721</v>
      </c>
      <c r="D3577" t="s">
        <v>13161</v>
      </c>
      <c r="E3577" t="s">
        <v>13160</v>
      </c>
      <c r="F3577" t="s">
        <v>28</v>
      </c>
      <c r="G3577" t="s">
        <v>13160</v>
      </c>
      <c r="H3577" t="str">
        <f>"Y48C3A.20"</f>
        <v>Y48C3A.20</v>
      </c>
      <c r="I3577" t="s">
        <v>13161</v>
      </c>
      <c r="J3577">
        <v>14.0826726253771</v>
      </c>
      <c r="K3577">
        <v>13.290491348282201</v>
      </c>
      <c r="L3577">
        <v>14.047445668901499</v>
      </c>
      <c r="M3577">
        <v>13.991359454438999</v>
      </c>
      <c r="N3577">
        <v>13.6214939768682</v>
      </c>
      <c r="O3577">
        <v>13.861248253165799</v>
      </c>
      <c r="P3577">
        <v>1.78306806374007E-2</v>
      </c>
      <c r="Q3577">
        <v>-0.49063837594925902</v>
      </c>
      <c r="R3577">
        <v>0.52629973722406098</v>
      </c>
      <c r="S3577">
        <v>14.096463262615</v>
      </c>
      <c r="T3577">
        <v>7.4790252373128197E-2</v>
      </c>
      <c r="U3577">
        <v>-7.0491243626557001</v>
      </c>
      <c r="V3577">
        <v>0.94137681172477305</v>
      </c>
      <c r="W3577">
        <v>0.97576384643441005</v>
      </c>
      <c r="X3577">
        <v>0</v>
      </c>
      <c r="Y3577">
        <v>0</v>
      </c>
    </row>
    <row r="3578" spans="1:25" x14ac:dyDescent="0.2">
      <c r="A3578" t="s">
        <v>13162</v>
      </c>
      <c r="B3578" t="s">
        <v>13163</v>
      </c>
      <c r="C3578" t="s">
        <v>14722</v>
      </c>
      <c r="D3578" t="s">
        <v>13164</v>
      </c>
      <c r="E3578" t="s">
        <v>13163</v>
      </c>
      <c r="F3578" t="s">
        <v>28</v>
      </c>
      <c r="G3578" t="s">
        <v>13163</v>
      </c>
      <c r="H3578" t="str">
        <f>"Y48B6A.13"</f>
        <v>Y48B6A.13</v>
      </c>
      <c r="I3578" t="s">
        <v>13164</v>
      </c>
      <c r="J3578">
        <v>13.420654411360999</v>
      </c>
      <c r="K3578">
        <v>13.3601184268531</v>
      </c>
      <c r="L3578">
        <v>13.3280632884992</v>
      </c>
      <c r="M3578">
        <v>12.804382564189201</v>
      </c>
      <c r="N3578">
        <v>13.251211079078001</v>
      </c>
      <c r="O3578">
        <v>13.363056471200901</v>
      </c>
      <c r="P3578">
        <v>-0.23006200408171801</v>
      </c>
      <c r="Q3578">
        <v>-0.68320549283705601</v>
      </c>
      <c r="R3578">
        <v>0.22308148467361899</v>
      </c>
      <c r="S3578">
        <v>13.250354672900301</v>
      </c>
      <c r="T3578">
        <v>-1.071665297817</v>
      </c>
      <c r="U3578">
        <v>-6.4681112009643202</v>
      </c>
      <c r="V3578">
        <v>0.29894085713210999</v>
      </c>
      <c r="W3578">
        <v>0.57790879684693297</v>
      </c>
      <c r="X3578">
        <v>0</v>
      </c>
      <c r="Y3578">
        <v>0</v>
      </c>
    </row>
    <row r="3579" spans="1:25" x14ac:dyDescent="0.2">
      <c r="A3579" t="s">
        <v>13165</v>
      </c>
      <c r="B3579" t="s">
        <v>13166</v>
      </c>
      <c r="C3579" t="s">
        <v>13167</v>
      </c>
      <c r="D3579" t="s">
        <v>13168</v>
      </c>
      <c r="E3579" t="s">
        <v>13166</v>
      </c>
      <c r="F3579" t="s">
        <v>28</v>
      </c>
      <c r="G3579" t="s">
        <v>13166</v>
      </c>
      <c r="H3579" t="str">
        <f>"men-1"</f>
        <v>men-1</v>
      </c>
      <c r="I3579" t="s">
        <v>13168</v>
      </c>
      <c r="J3579">
        <v>13.6806663063182</v>
      </c>
      <c r="K3579">
        <v>14.022220593439799</v>
      </c>
      <c r="L3579">
        <v>14.6035825539219</v>
      </c>
      <c r="M3579">
        <v>14.036774370055699</v>
      </c>
      <c r="N3579">
        <v>14.6741699307678</v>
      </c>
      <c r="O3579">
        <v>14.822102293844299</v>
      </c>
      <c r="P3579">
        <v>0.40885904699597803</v>
      </c>
      <c r="Q3579">
        <v>-0.30449047933348999</v>
      </c>
      <c r="R3579">
        <v>1.1222085733254501</v>
      </c>
      <c r="S3579">
        <v>14.264912346677599</v>
      </c>
      <c r="T3579">
        <v>1.2098213600938601</v>
      </c>
      <c r="U3579">
        <v>-6.3143820607948804</v>
      </c>
      <c r="V3579">
        <v>0.24300382245375601</v>
      </c>
      <c r="W3579">
        <v>0.51681989429053798</v>
      </c>
      <c r="X3579">
        <v>0</v>
      </c>
      <c r="Y3579">
        <v>0</v>
      </c>
    </row>
    <row r="3580" spans="1:25" x14ac:dyDescent="0.2">
      <c r="A3580" t="s">
        <v>13169</v>
      </c>
      <c r="B3580" t="s">
        <v>13170</v>
      </c>
      <c r="C3580" t="s">
        <v>13171</v>
      </c>
      <c r="D3580" t="s">
        <v>13172</v>
      </c>
      <c r="E3580" t="s">
        <v>13170</v>
      </c>
      <c r="F3580" t="s">
        <v>28</v>
      </c>
      <c r="G3580" t="s">
        <v>13170</v>
      </c>
      <c r="H3580" t="str">
        <f>"xrn-2"</f>
        <v>xrn-2</v>
      </c>
      <c r="I3580" t="s">
        <v>13172</v>
      </c>
      <c r="J3580">
        <v>13.982426063870101</v>
      </c>
      <c r="K3580">
        <v>14.4713453709353</v>
      </c>
      <c r="L3580">
        <v>14.7882653778864</v>
      </c>
      <c r="M3580">
        <v>14.0770438611603</v>
      </c>
      <c r="N3580">
        <v>13.8783716545519</v>
      </c>
      <c r="O3580">
        <v>14.415670422372999</v>
      </c>
      <c r="P3580">
        <v>-0.290316958202187</v>
      </c>
      <c r="Q3580">
        <v>-0.77836467857951896</v>
      </c>
      <c r="R3580">
        <v>0.19773076217514601</v>
      </c>
      <c r="S3580">
        <v>15.1326845519639</v>
      </c>
      <c r="T3580">
        <v>-1.25026660005139</v>
      </c>
      <c r="U3580">
        <v>-6.2669591326402401</v>
      </c>
      <c r="V3580">
        <v>0.22730504695432299</v>
      </c>
      <c r="W3580">
        <v>0.49691552282127099</v>
      </c>
      <c r="X3580">
        <v>0</v>
      </c>
      <c r="Y3580">
        <v>0</v>
      </c>
    </row>
    <row r="3581" spans="1:25" x14ac:dyDescent="0.2">
      <c r="A3581" t="s">
        <v>13173</v>
      </c>
      <c r="B3581" t="s">
        <v>13174</v>
      </c>
      <c r="C3581" t="s">
        <v>13175</v>
      </c>
      <c r="D3581" t="s">
        <v>13176</v>
      </c>
      <c r="E3581" t="s">
        <v>13174</v>
      </c>
      <c r="F3581" t="s">
        <v>28</v>
      </c>
      <c r="G3581" t="s">
        <v>13174</v>
      </c>
      <c r="H3581" t="str">
        <f>"rpl-43"</f>
        <v>rpl-43</v>
      </c>
      <c r="I3581" t="s">
        <v>13176</v>
      </c>
      <c r="J3581">
        <v>16.757068925772199</v>
      </c>
      <c r="K3581">
        <v>16.6057576345736</v>
      </c>
      <c r="L3581">
        <v>16.694880609598101</v>
      </c>
      <c r="M3581">
        <v>16.323393918934801</v>
      </c>
      <c r="N3581">
        <v>16.1249053584256</v>
      </c>
      <c r="O3581">
        <v>16.1468947517766</v>
      </c>
      <c r="P3581">
        <v>-0.48750438026895898</v>
      </c>
      <c r="Q3581">
        <v>-1.13736967869427</v>
      </c>
      <c r="R3581">
        <v>0.16236091815635101</v>
      </c>
      <c r="S3581">
        <v>16.186613809175899</v>
      </c>
      <c r="T3581">
        <v>-1.57669499236635</v>
      </c>
      <c r="U3581">
        <v>-5.8327873934043204</v>
      </c>
      <c r="V3581">
        <v>0.132379066021345</v>
      </c>
      <c r="W3581">
        <v>0.37670915392425802</v>
      </c>
      <c r="X3581">
        <v>0</v>
      </c>
      <c r="Y3581">
        <v>0</v>
      </c>
    </row>
    <row r="3582" spans="1:25" x14ac:dyDescent="0.2">
      <c r="A3582" t="s">
        <v>13177</v>
      </c>
      <c r="B3582" t="s">
        <v>13178</v>
      </c>
      <c r="C3582" t="s">
        <v>13179</v>
      </c>
      <c r="D3582" t="s">
        <v>13180</v>
      </c>
      <c r="E3582" t="s">
        <v>13178</v>
      </c>
      <c r="F3582" t="s">
        <v>28</v>
      </c>
      <c r="G3582" t="s">
        <v>13178</v>
      </c>
      <c r="H3582" t="str">
        <f>"Y48B6A.1"</f>
        <v>Y48B6A.1</v>
      </c>
      <c r="I3582" t="s">
        <v>13180</v>
      </c>
      <c r="J3582">
        <v>12.6073817464243</v>
      </c>
      <c r="K3582">
        <v>12.9265059153342</v>
      </c>
      <c r="L3582">
        <v>12.3348018804272</v>
      </c>
      <c r="M3582">
        <v>12.522143349807401</v>
      </c>
      <c r="N3582">
        <v>12.9907265634056</v>
      </c>
      <c r="O3582">
        <v>13.107530910594001</v>
      </c>
      <c r="P3582">
        <v>0.25057042720706602</v>
      </c>
      <c r="Q3582">
        <v>-0.20548201749078801</v>
      </c>
      <c r="R3582">
        <v>0.70662287190492001</v>
      </c>
      <c r="S3582">
        <v>12.8938007527292</v>
      </c>
      <c r="T3582">
        <v>1.15975175516092</v>
      </c>
      <c r="U3582">
        <v>-6.3719321420290997</v>
      </c>
      <c r="V3582">
        <v>0.262277841441866</v>
      </c>
      <c r="W3582">
        <v>0.53918098965557004</v>
      </c>
      <c r="X3582">
        <v>0</v>
      </c>
      <c r="Y3582">
        <v>0</v>
      </c>
    </row>
    <row r="3583" spans="1:25" x14ac:dyDescent="0.2">
      <c r="A3583" t="s">
        <v>13181</v>
      </c>
      <c r="B3583" t="s">
        <v>13182</v>
      </c>
      <c r="C3583" t="s">
        <v>14723</v>
      </c>
      <c r="D3583" t="s">
        <v>13183</v>
      </c>
      <c r="E3583" t="s">
        <v>13182</v>
      </c>
      <c r="F3583" t="s">
        <v>28</v>
      </c>
      <c r="G3583" t="s">
        <v>13182</v>
      </c>
      <c r="H3583" t="str">
        <f>"Y47H9C.8"</f>
        <v>Y47H9C.8</v>
      </c>
      <c r="I3583" t="s">
        <v>13183</v>
      </c>
      <c r="J3583">
        <v>14.5879501343989</v>
      </c>
      <c r="K3583">
        <v>14.6747619353755</v>
      </c>
      <c r="L3583">
        <v>15.070366567524699</v>
      </c>
      <c r="M3583">
        <v>15.234263305894199</v>
      </c>
      <c r="N3583">
        <v>15.0555764599212</v>
      </c>
      <c r="O3583">
        <v>14.4162694312193</v>
      </c>
      <c r="P3583">
        <v>0.12434351991187299</v>
      </c>
      <c r="Q3583">
        <v>-0.48403222296246701</v>
      </c>
      <c r="R3583">
        <v>0.73271926278621402</v>
      </c>
      <c r="S3583">
        <v>15.141358200296599</v>
      </c>
      <c r="T3583">
        <v>0.429579730082564</v>
      </c>
      <c r="U3583">
        <v>-6.9558752690784997</v>
      </c>
      <c r="V3583">
        <v>0.67262925787858296</v>
      </c>
      <c r="W3583">
        <v>0.85530895081551706</v>
      </c>
      <c r="X3583">
        <v>0</v>
      </c>
      <c r="Y3583">
        <v>0</v>
      </c>
    </row>
    <row r="3584" spans="1:25" x14ac:dyDescent="0.2">
      <c r="A3584" t="s">
        <v>13184</v>
      </c>
      <c r="B3584" t="s">
        <v>13185</v>
      </c>
      <c r="C3584" t="s">
        <v>13186</v>
      </c>
      <c r="D3584" t="s">
        <v>13187</v>
      </c>
      <c r="E3584" t="s">
        <v>13185</v>
      </c>
      <c r="F3584" t="s">
        <v>28</v>
      </c>
      <c r="G3584" t="s">
        <v>13185</v>
      </c>
      <c r="H3584" t="str">
        <f>"rab-35"</f>
        <v>rab-35</v>
      </c>
      <c r="I3584" t="s">
        <v>13187</v>
      </c>
      <c r="J3584">
        <v>15.327831677736899</v>
      </c>
      <c r="K3584">
        <v>15.533401451342501</v>
      </c>
      <c r="L3584">
        <v>14.9868161897748</v>
      </c>
      <c r="M3584">
        <v>15.484833758855901</v>
      </c>
      <c r="N3584">
        <v>15.3402173244714</v>
      </c>
      <c r="O3584">
        <v>14.901065237648</v>
      </c>
      <c r="P3584">
        <v>-4.0644332626296603E-2</v>
      </c>
      <c r="Q3584">
        <v>-0.48634981029726698</v>
      </c>
      <c r="R3584">
        <v>0.405061145044674</v>
      </c>
      <c r="S3584">
        <v>14.694801456626299</v>
      </c>
      <c r="T3584">
        <v>-0.191665761295708</v>
      </c>
      <c r="U3584">
        <v>-7.0328544402048001</v>
      </c>
      <c r="V3584">
        <v>0.85016203676526703</v>
      </c>
      <c r="W3584">
        <v>0.94093204807378505</v>
      </c>
      <c r="X3584">
        <v>0</v>
      </c>
      <c r="Y3584">
        <v>0</v>
      </c>
    </row>
    <row r="3585" spans="1:25" x14ac:dyDescent="0.2">
      <c r="A3585" t="s">
        <v>13188</v>
      </c>
      <c r="B3585" t="s">
        <v>13189</v>
      </c>
      <c r="C3585" t="s">
        <v>13190</v>
      </c>
      <c r="D3585" t="s">
        <v>13191</v>
      </c>
      <c r="E3585" t="s">
        <v>13189</v>
      </c>
      <c r="F3585" t="s">
        <v>28</v>
      </c>
      <c r="G3585" t="s">
        <v>13189</v>
      </c>
      <c r="H3585" t="str">
        <f>"cku-70"</f>
        <v>cku-70</v>
      </c>
      <c r="I3585" t="s">
        <v>13191</v>
      </c>
      <c r="J3585" t="s">
        <v>29</v>
      </c>
      <c r="K3585" t="s">
        <v>29</v>
      </c>
      <c r="L3585">
        <v>11.671017687278599</v>
      </c>
      <c r="M3585">
        <v>12.6493518095706</v>
      </c>
      <c r="N3585">
        <v>12.262908355347699</v>
      </c>
      <c r="O3585" t="s">
        <v>29</v>
      </c>
      <c r="P3585">
        <v>0.785112395180526</v>
      </c>
      <c r="Q3585">
        <v>-0.37091216571832097</v>
      </c>
      <c r="R3585">
        <v>1.9411369560793701</v>
      </c>
      <c r="S3585">
        <v>13.400799974922201</v>
      </c>
      <c r="T3585">
        <v>1.4811866369742199</v>
      </c>
      <c r="U3585">
        <v>-5.5792618549696602</v>
      </c>
      <c r="V3585">
        <v>0.16455383538414201</v>
      </c>
      <c r="W3585">
        <v>0.42062700733699798</v>
      </c>
      <c r="X3585">
        <v>0</v>
      </c>
      <c r="Y3585">
        <v>0</v>
      </c>
    </row>
    <row r="3586" spans="1:25" x14ac:dyDescent="0.2">
      <c r="A3586" t="s">
        <v>13192</v>
      </c>
      <c r="B3586" t="s">
        <v>13193</v>
      </c>
      <c r="C3586" t="s">
        <v>13194</v>
      </c>
      <c r="D3586" t="s">
        <v>13195</v>
      </c>
      <c r="E3586" t="s">
        <v>13193</v>
      </c>
      <c r="F3586" t="s">
        <v>28</v>
      </c>
      <c r="G3586" t="s">
        <v>13193</v>
      </c>
      <c r="H3586" t="str">
        <f>"cnp-2"</f>
        <v>cnp-2</v>
      </c>
      <c r="I3586" t="s">
        <v>13195</v>
      </c>
      <c r="J3586">
        <v>12.837971126628601</v>
      </c>
      <c r="K3586">
        <v>10.9918029313468</v>
      </c>
      <c r="L3586" t="s">
        <v>29</v>
      </c>
      <c r="M3586" t="s">
        <v>29</v>
      </c>
      <c r="N3586">
        <v>9.3017067943232199</v>
      </c>
      <c r="O3586">
        <v>10.7550383840202</v>
      </c>
      <c r="P3586">
        <v>-1.8865144398159399</v>
      </c>
      <c r="Q3586">
        <v>-3.9209910468245002</v>
      </c>
      <c r="R3586">
        <v>0.14796216719262401</v>
      </c>
      <c r="S3586">
        <v>11.3696602590172</v>
      </c>
      <c r="T3586">
        <v>-2.1994340659323299</v>
      </c>
      <c r="U3586">
        <v>-4.78310267955752</v>
      </c>
      <c r="V3586">
        <v>6.4363813330084799E-2</v>
      </c>
      <c r="W3586">
        <v>0.25729711127284499</v>
      </c>
      <c r="X3586">
        <v>0</v>
      </c>
      <c r="Y3586">
        <v>0</v>
      </c>
    </row>
    <row r="3587" spans="1:25" x14ac:dyDescent="0.2">
      <c r="A3587" t="s">
        <v>13196</v>
      </c>
      <c r="B3587" t="s">
        <v>13197</v>
      </c>
      <c r="C3587" t="s">
        <v>13198</v>
      </c>
      <c r="D3587" t="s">
        <v>178</v>
      </c>
      <c r="E3587" t="s">
        <v>13197</v>
      </c>
      <c r="F3587" t="s">
        <v>28</v>
      </c>
      <c r="G3587" t="s">
        <v>13197</v>
      </c>
      <c r="H3587" t="str">
        <f>"tbc-17"</f>
        <v>tbc-17</v>
      </c>
      <c r="I3587" t="s">
        <v>178</v>
      </c>
      <c r="J3587">
        <v>13.7765861253166</v>
      </c>
      <c r="K3587">
        <v>14.092415907389301</v>
      </c>
      <c r="L3587">
        <v>13.9139921549802</v>
      </c>
      <c r="M3587">
        <v>14.202763526642901</v>
      </c>
      <c r="N3587">
        <v>13.785328862153699</v>
      </c>
      <c r="O3587">
        <v>14.2271507502857</v>
      </c>
      <c r="P3587">
        <v>0.144082983798723</v>
      </c>
      <c r="Q3587">
        <v>-0.49187807180915399</v>
      </c>
      <c r="R3587">
        <v>0.78004403940660105</v>
      </c>
      <c r="S3587">
        <v>13.923778252780201</v>
      </c>
      <c r="T3587">
        <v>0.476183875497871</v>
      </c>
      <c r="U3587">
        <v>-6.9340064807905399</v>
      </c>
      <c r="V3587">
        <v>0.63970541404631298</v>
      </c>
      <c r="W3587">
        <v>0.835047982319575</v>
      </c>
      <c r="X3587">
        <v>0</v>
      </c>
      <c r="Y3587">
        <v>0</v>
      </c>
    </row>
    <row r="3588" spans="1:25" x14ac:dyDescent="0.2">
      <c r="A3588" t="s">
        <v>13199</v>
      </c>
      <c r="B3588" t="s">
        <v>13200</v>
      </c>
      <c r="C3588" t="s">
        <v>13201</v>
      </c>
      <c r="D3588" t="s">
        <v>13202</v>
      </c>
      <c r="E3588" t="s">
        <v>13200</v>
      </c>
      <c r="F3588" t="s">
        <v>28</v>
      </c>
      <c r="G3588" t="s">
        <v>13200</v>
      </c>
      <c r="H3588" t="str">
        <f>"gsy-1"</f>
        <v>gsy-1</v>
      </c>
      <c r="I3588" t="s">
        <v>13202</v>
      </c>
      <c r="J3588">
        <v>15.784522844039399</v>
      </c>
      <c r="K3588">
        <v>15.4276588008535</v>
      </c>
      <c r="L3588">
        <v>15.3094658242092</v>
      </c>
      <c r="M3588">
        <v>15.6156177176013</v>
      </c>
      <c r="N3588">
        <v>15.928959868214299</v>
      </c>
      <c r="O3588">
        <v>15.306763958666901</v>
      </c>
      <c r="P3588">
        <v>0.109898025126784</v>
      </c>
      <c r="Q3588">
        <v>-0.30424656868803601</v>
      </c>
      <c r="R3588">
        <v>0.52404261894160398</v>
      </c>
      <c r="S3588">
        <v>15.343362991584099</v>
      </c>
      <c r="T3588">
        <v>0.55773821810753699</v>
      </c>
      <c r="U3588">
        <v>-6.8904759259791701</v>
      </c>
      <c r="V3588">
        <v>0.58393367984181299</v>
      </c>
      <c r="W3588">
        <v>0.80219222675694601</v>
      </c>
      <c r="X3588">
        <v>0</v>
      </c>
      <c r="Y3588">
        <v>0</v>
      </c>
    </row>
    <row r="3589" spans="1:25" x14ac:dyDescent="0.2">
      <c r="A3589" t="s">
        <v>13203</v>
      </c>
      <c r="B3589" t="s">
        <v>13204</v>
      </c>
      <c r="C3589" t="s">
        <v>14724</v>
      </c>
      <c r="D3589" t="s">
        <v>11249</v>
      </c>
      <c r="E3589" t="s">
        <v>13204</v>
      </c>
      <c r="F3589" t="s">
        <v>28</v>
      </c>
      <c r="G3589" t="s">
        <v>13204</v>
      </c>
      <c r="H3589" t="str">
        <f>"Y46G5A.22"</f>
        <v>Y46G5A.22</v>
      </c>
      <c r="I3589" t="s">
        <v>11249</v>
      </c>
      <c r="J3589">
        <v>12.258615891239799</v>
      </c>
      <c r="K3589">
        <v>10.977119718551601</v>
      </c>
      <c r="L3589">
        <v>12.7185122064491</v>
      </c>
      <c r="M3589">
        <v>11.2075973939922</v>
      </c>
      <c r="N3589">
        <v>12.9461812255377</v>
      </c>
      <c r="O3589">
        <v>12.5117144951108</v>
      </c>
      <c r="P3589">
        <v>0.237081766133375</v>
      </c>
      <c r="Q3589">
        <v>-0.980120842832086</v>
      </c>
      <c r="R3589">
        <v>1.4542843750988399</v>
      </c>
      <c r="S3589">
        <v>11.955443226525601</v>
      </c>
      <c r="T3589">
        <v>0.418048983802222</v>
      </c>
      <c r="U3589">
        <v>-6.9596872525524098</v>
      </c>
      <c r="V3589">
        <v>0.68229998476626896</v>
      </c>
      <c r="W3589">
        <v>0.85722167970248597</v>
      </c>
      <c r="X3589">
        <v>0</v>
      </c>
      <c r="Y3589">
        <v>0</v>
      </c>
    </row>
    <row r="3590" spans="1:25" x14ac:dyDescent="0.2">
      <c r="A3590" t="s">
        <v>13205</v>
      </c>
      <c r="B3590" t="s">
        <v>13206</v>
      </c>
      <c r="C3590" t="s">
        <v>14725</v>
      </c>
      <c r="D3590" t="s">
        <v>13207</v>
      </c>
      <c r="E3590" t="s">
        <v>13206</v>
      </c>
      <c r="F3590" t="s">
        <v>28</v>
      </c>
      <c r="G3590" t="s">
        <v>13206</v>
      </c>
      <c r="H3590" t="str">
        <f>"Y46G5A.18"</f>
        <v>Y46G5A.18</v>
      </c>
      <c r="I3590" t="s">
        <v>13207</v>
      </c>
      <c r="J3590" t="s">
        <v>29</v>
      </c>
      <c r="K3590" t="s">
        <v>29</v>
      </c>
      <c r="L3590" t="s">
        <v>29</v>
      </c>
      <c r="M3590" t="s">
        <v>29</v>
      </c>
      <c r="N3590" t="s">
        <v>29</v>
      </c>
      <c r="O3590" t="s">
        <v>29</v>
      </c>
      <c r="P3590" t="s">
        <v>29</v>
      </c>
      <c r="Q3590" t="s">
        <v>29</v>
      </c>
      <c r="R3590" t="s">
        <v>29</v>
      </c>
      <c r="S3590">
        <v>10.919046441846801</v>
      </c>
      <c r="T3590" t="s">
        <v>29</v>
      </c>
      <c r="U3590" t="s">
        <v>29</v>
      </c>
      <c r="V3590" t="s">
        <v>29</v>
      </c>
      <c r="W3590" t="s">
        <v>29</v>
      </c>
      <c r="X3590" t="s">
        <v>29</v>
      </c>
      <c r="Y3590" t="s">
        <v>29</v>
      </c>
    </row>
    <row r="3591" spans="1:25" x14ac:dyDescent="0.2">
      <c r="A3591" t="s">
        <v>13208</v>
      </c>
      <c r="B3591" t="s">
        <v>13209</v>
      </c>
      <c r="C3591" t="s">
        <v>13210</v>
      </c>
      <c r="D3591" t="s">
        <v>13211</v>
      </c>
      <c r="E3591" t="s">
        <v>13209</v>
      </c>
      <c r="F3591" t="s">
        <v>28</v>
      </c>
      <c r="G3591" t="s">
        <v>13209</v>
      </c>
      <c r="H3591" t="str">
        <f>"cpt-1"</f>
        <v>cpt-1</v>
      </c>
      <c r="I3591" t="s">
        <v>13211</v>
      </c>
      <c r="J3591">
        <v>16.138531884678901</v>
      </c>
      <c r="K3591">
        <v>16.0128308294817</v>
      </c>
      <c r="L3591">
        <v>15.4570882466105</v>
      </c>
      <c r="M3591">
        <v>15.7976921394598</v>
      </c>
      <c r="N3591">
        <v>14.9491885273797</v>
      </c>
      <c r="O3591">
        <v>15.239818231896599</v>
      </c>
      <c r="P3591">
        <v>-0.54058402067835198</v>
      </c>
      <c r="Q3591">
        <v>-1.0396982857388899</v>
      </c>
      <c r="R3591">
        <v>-4.1469755617813901E-2</v>
      </c>
      <c r="S3591">
        <v>15.2169245512841</v>
      </c>
      <c r="T3591">
        <v>-2.2764375186179602</v>
      </c>
      <c r="U3591">
        <v>-4.6694449371337896</v>
      </c>
      <c r="V3591">
        <v>3.5344557028619897E-2</v>
      </c>
      <c r="W3591">
        <v>0.187119653786883</v>
      </c>
      <c r="X3591">
        <v>0</v>
      </c>
      <c r="Y3591">
        <v>0</v>
      </c>
    </row>
    <row r="3592" spans="1:25" x14ac:dyDescent="0.2">
      <c r="A3592" t="s">
        <v>13212</v>
      </c>
      <c r="B3592" t="s">
        <v>13213</v>
      </c>
      <c r="C3592" t="s">
        <v>13214</v>
      </c>
      <c r="D3592" t="s">
        <v>93</v>
      </c>
      <c r="E3592" t="s">
        <v>13213</v>
      </c>
      <c r="F3592" t="s">
        <v>28</v>
      </c>
      <c r="G3592" t="s">
        <v>13213</v>
      </c>
      <c r="H3592" t="str">
        <f>"tiar-2"</f>
        <v>tiar-2</v>
      </c>
      <c r="I3592" t="s">
        <v>93</v>
      </c>
      <c r="J3592" t="s">
        <v>29</v>
      </c>
      <c r="K3592">
        <v>13.1417493265613</v>
      </c>
      <c r="L3592">
        <v>12.747511092577</v>
      </c>
      <c r="M3592" t="s">
        <v>29</v>
      </c>
      <c r="N3592">
        <v>12.4246431917558</v>
      </c>
      <c r="O3592">
        <v>12.7286270953713</v>
      </c>
      <c r="P3592">
        <v>-0.36799506600562598</v>
      </c>
      <c r="Q3592">
        <v>-1.1306541268989001</v>
      </c>
      <c r="R3592">
        <v>0.39466399488765103</v>
      </c>
      <c r="S3592">
        <v>13.514016547964101</v>
      </c>
      <c r="T3592">
        <v>-1.03562721410225</v>
      </c>
      <c r="U3592">
        <v>-6.3037436523575501</v>
      </c>
      <c r="V3592">
        <v>0.31806429406006298</v>
      </c>
      <c r="W3592">
        <v>0.59618733460336704</v>
      </c>
      <c r="X3592">
        <v>0</v>
      </c>
      <c r="Y3592">
        <v>0</v>
      </c>
    </row>
    <row r="3593" spans="1:25" x14ac:dyDescent="0.2">
      <c r="A3593" t="s">
        <v>13215</v>
      </c>
      <c r="B3593" t="s">
        <v>13216</v>
      </c>
      <c r="C3593" t="s">
        <v>13217</v>
      </c>
      <c r="D3593" t="s">
        <v>13218</v>
      </c>
      <c r="E3593" t="s">
        <v>13216</v>
      </c>
      <c r="F3593" t="s">
        <v>28</v>
      </c>
      <c r="G3593" t="s">
        <v>13216</v>
      </c>
      <c r="H3593" t="str">
        <f>"vps-2"</f>
        <v>vps-2</v>
      </c>
      <c r="I3593" t="s">
        <v>13218</v>
      </c>
      <c r="J3593">
        <v>10.4529164811795</v>
      </c>
      <c r="K3593">
        <v>10.4668708270918</v>
      </c>
      <c r="L3593">
        <v>10.508034698921399</v>
      </c>
      <c r="M3593">
        <v>10.6852287665677</v>
      </c>
      <c r="N3593">
        <v>11.368124758216201</v>
      </c>
      <c r="O3593">
        <v>10.678973194348499</v>
      </c>
      <c r="P3593">
        <v>0.43483490397989899</v>
      </c>
      <c r="Q3593">
        <v>-5.2499353544639997E-3</v>
      </c>
      <c r="R3593">
        <v>0.87491974331426303</v>
      </c>
      <c r="S3593">
        <v>10.808822878744699</v>
      </c>
      <c r="T3593">
        <v>2.1207031554687399</v>
      </c>
      <c r="U3593">
        <v>-4.9814318820569596</v>
      </c>
      <c r="V3593">
        <v>5.24319620368488E-2</v>
      </c>
      <c r="W3593">
        <v>0.22748480595720799</v>
      </c>
      <c r="X3593">
        <v>0</v>
      </c>
      <c r="Y3593">
        <v>0</v>
      </c>
    </row>
    <row r="3594" spans="1:25" x14ac:dyDescent="0.2">
      <c r="A3594" t="s">
        <v>13219</v>
      </c>
      <c r="B3594" t="s">
        <v>13220</v>
      </c>
      <c r="C3594" t="s">
        <v>13221</v>
      </c>
      <c r="D3594" t="s">
        <v>13222</v>
      </c>
      <c r="E3594" t="s">
        <v>13220</v>
      </c>
      <c r="F3594" t="s">
        <v>28</v>
      </c>
      <c r="G3594" t="s">
        <v>13220</v>
      </c>
      <c r="H3594" t="str">
        <f>"snrp-200"</f>
        <v>snrp-200</v>
      </c>
      <c r="I3594" t="s">
        <v>13222</v>
      </c>
      <c r="J3594">
        <v>16.659833906279601</v>
      </c>
      <c r="K3594">
        <v>16.508587732659901</v>
      </c>
      <c r="L3594">
        <v>16.314335839035898</v>
      </c>
      <c r="M3594">
        <v>16.473771076040801</v>
      </c>
      <c r="N3594">
        <v>16.4472734672356</v>
      </c>
      <c r="O3594">
        <v>16.241162967191102</v>
      </c>
      <c r="P3594">
        <v>-0.106849989169312</v>
      </c>
      <c r="Q3594">
        <v>-0.40457563549326703</v>
      </c>
      <c r="R3594">
        <v>0.190875657154642</v>
      </c>
      <c r="S3594">
        <v>16.370066540486398</v>
      </c>
      <c r="T3594">
        <v>-0.75431153475986101</v>
      </c>
      <c r="U3594">
        <v>-6.7585780217153202</v>
      </c>
      <c r="V3594">
        <v>0.46047391557838402</v>
      </c>
      <c r="W3594">
        <v>0.72628234260527302</v>
      </c>
      <c r="X3594">
        <v>0</v>
      </c>
      <c r="Y3594">
        <v>0</v>
      </c>
    </row>
    <row r="3595" spans="1:25" x14ac:dyDescent="0.2">
      <c r="A3595" t="s">
        <v>13223</v>
      </c>
      <c r="B3595" t="s">
        <v>13224</v>
      </c>
      <c r="C3595" t="s">
        <v>13225</v>
      </c>
      <c r="D3595" t="s">
        <v>13226</v>
      </c>
      <c r="E3595" t="s">
        <v>13224</v>
      </c>
      <c r="F3595" t="s">
        <v>28</v>
      </c>
      <c r="G3595" t="s">
        <v>13224</v>
      </c>
      <c r="H3595" t="str">
        <f>"pisy-1"</f>
        <v>pisy-1</v>
      </c>
      <c r="I3595" t="s">
        <v>13226</v>
      </c>
      <c r="J3595">
        <v>13.4692579277842</v>
      </c>
      <c r="K3595">
        <v>15.305521444575101</v>
      </c>
      <c r="L3595">
        <v>14.631689549741401</v>
      </c>
      <c r="M3595">
        <v>14.164199118930901</v>
      </c>
      <c r="N3595" t="s">
        <v>29</v>
      </c>
      <c r="O3595">
        <v>15.3737070058122</v>
      </c>
      <c r="P3595">
        <v>0.30013008833798299</v>
      </c>
      <c r="Q3595">
        <v>-1.0585764375401301</v>
      </c>
      <c r="R3595">
        <v>1.6588366142161</v>
      </c>
      <c r="S3595">
        <v>15.0793282280219</v>
      </c>
      <c r="T3595">
        <v>0.47410634497508197</v>
      </c>
      <c r="U3595">
        <v>-6.8230228646103299</v>
      </c>
      <c r="V3595">
        <v>0.64278793359795805</v>
      </c>
      <c r="W3595">
        <v>0.83698756939886199</v>
      </c>
      <c r="X3595">
        <v>0</v>
      </c>
      <c r="Y3595">
        <v>0</v>
      </c>
    </row>
    <row r="3596" spans="1:25" x14ac:dyDescent="0.2">
      <c r="A3596" t="s">
        <v>13227</v>
      </c>
      <c r="B3596" t="s">
        <v>13228</v>
      </c>
      <c r="C3596" t="s">
        <v>13229</v>
      </c>
      <c r="D3596" t="s">
        <v>6796</v>
      </c>
      <c r="E3596" t="s">
        <v>13228</v>
      </c>
      <c r="F3596" t="s">
        <v>28</v>
      </c>
      <c r="G3596" t="s">
        <v>13228</v>
      </c>
      <c r="H3596" t="str">
        <f>"puf-3"</f>
        <v>puf-3</v>
      </c>
      <c r="I3596" t="s">
        <v>6796</v>
      </c>
      <c r="J3596">
        <v>12.8945672925273</v>
      </c>
      <c r="K3596">
        <v>12.8709860039279</v>
      </c>
      <c r="L3596">
        <v>13.36764355957</v>
      </c>
      <c r="M3596">
        <v>11.1371953389413</v>
      </c>
      <c r="N3596">
        <v>12.913974535475599</v>
      </c>
      <c r="O3596">
        <v>12.192370601601199</v>
      </c>
      <c r="P3596">
        <v>-0.96321879333571303</v>
      </c>
      <c r="Q3596">
        <v>-1.6857327155850199</v>
      </c>
      <c r="R3596">
        <v>-0.24070487108640701</v>
      </c>
      <c r="S3596">
        <v>13.540116646724501</v>
      </c>
      <c r="T3596">
        <v>-2.81403011383762</v>
      </c>
      <c r="U3596">
        <v>-3.6435813750842398</v>
      </c>
      <c r="V3596">
        <v>1.19992245929784E-2</v>
      </c>
      <c r="W3596">
        <v>9.9860554541052707E-2</v>
      </c>
      <c r="X3596">
        <v>0</v>
      </c>
      <c r="Y3596">
        <v>0</v>
      </c>
    </row>
    <row r="3597" spans="1:25" x14ac:dyDescent="0.2">
      <c r="A3597" t="s">
        <v>13230</v>
      </c>
      <c r="B3597" t="s">
        <v>13231</v>
      </c>
      <c r="C3597" t="s">
        <v>13232</v>
      </c>
      <c r="D3597" t="s">
        <v>13233</v>
      </c>
      <c r="E3597" t="s">
        <v>13231</v>
      </c>
      <c r="F3597" t="s">
        <v>28</v>
      </c>
      <c r="G3597" t="s">
        <v>13231</v>
      </c>
      <c r="H3597" t="str">
        <f>"mrp-7"</f>
        <v>mrp-7</v>
      </c>
      <c r="I3597" t="s">
        <v>13233</v>
      </c>
      <c r="J3597">
        <v>13.269530104831301</v>
      </c>
      <c r="K3597">
        <v>13.191703651455899</v>
      </c>
      <c r="L3597">
        <v>12.9335657870727</v>
      </c>
      <c r="M3597">
        <v>11.954853737323299</v>
      </c>
      <c r="N3597">
        <v>13.269365652831601</v>
      </c>
      <c r="O3597">
        <v>12.695454805626101</v>
      </c>
      <c r="P3597">
        <v>-0.49170844919297901</v>
      </c>
      <c r="Q3597">
        <v>-1.2252646779805201</v>
      </c>
      <c r="R3597">
        <v>0.24184777959456499</v>
      </c>
      <c r="S3597">
        <v>13.327697417756999</v>
      </c>
      <c r="T3597">
        <v>-1.4148952056830699</v>
      </c>
      <c r="U3597">
        <v>-6.0579127544075799</v>
      </c>
      <c r="V3597">
        <v>0.175266146879859</v>
      </c>
      <c r="W3597">
        <v>0.43602143879744798</v>
      </c>
      <c r="X3597">
        <v>0</v>
      </c>
      <c r="Y3597">
        <v>0</v>
      </c>
    </row>
    <row r="3598" spans="1:25" x14ac:dyDescent="0.2">
      <c r="A3598" t="s">
        <v>13234</v>
      </c>
      <c r="B3598" t="s">
        <v>13235</v>
      </c>
      <c r="C3598" t="s">
        <v>13236</v>
      </c>
      <c r="D3598" t="s">
        <v>4609</v>
      </c>
      <c r="E3598" t="s">
        <v>13235</v>
      </c>
      <c r="F3598" t="s">
        <v>28</v>
      </c>
      <c r="G3598" t="s">
        <v>13235</v>
      </c>
      <c r="H3598" t="str">
        <f>"set-24"</f>
        <v>set-24</v>
      </c>
      <c r="I3598" t="s">
        <v>4609</v>
      </c>
      <c r="J3598">
        <v>16.1018061338983</v>
      </c>
      <c r="K3598">
        <v>12.1589451518728</v>
      </c>
      <c r="L3598" t="s">
        <v>29</v>
      </c>
      <c r="M3598" t="s">
        <v>29</v>
      </c>
      <c r="N3598" t="s">
        <v>29</v>
      </c>
      <c r="O3598" t="s">
        <v>29</v>
      </c>
      <c r="P3598" t="s">
        <v>29</v>
      </c>
      <c r="Q3598" t="s">
        <v>29</v>
      </c>
      <c r="R3598" t="s">
        <v>29</v>
      </c>
      <c r="S3598">
        <v>12.0061690178561</v>
      </c>
      <c r="T3598" t="s">
        <v>29</v>
      </c>
      <c r="U3598" t="s">
        <v>29</v>
      </c>
      <c r="V3598" t="s">
        <v>29</v>
      </c>
      <c r="W3598" t="s">
        <v>29</v>
      </c>
      <c r="X3598" t="s">
        <v>29</v>
      </c>
      <c r="Y3598" t="s">
        <v>29</v>
      </c>
    </row>
    <row r="3599" spans="1:25" x14ac:dyDescent="0.2">
      <c r="A3599" t="s">
        <v>13237</v>
      </c>
      <c r="B3599" t="s">
        <v>13238</v>
      </c>
      <c r="C3599" t="s">
        <v>13239</v>
      </c>
      <c r="D3599" t="s">
        <v>13240</v>
      </c>
      <c r="E3599" t="s">
        <v>13238</v>
      </c>
      <c r="F3599" t="s">
        <v>28</v>
      </c>
      <c r="G3599" t="s">
        <v>13238</v>
      </c>
      <c r="H3599" t="str">
        <f>"fcd-2"</f>
        <v>fcd-2</v>
      </c>
      <c r="I3599" t="s">
        <v>13240</v>
      </c>
      <c r="J3599">
        <v>12.538249408221899</v>
      </c>
      <c r="K3599">
        <v>11.520679046114701</v>
      </c>
      <c r="L3599">
        <v>11.5559968601448</v>
      </c>
      <c r="M3599" t="s">
        <v>29</v>
      </c>
      <c r="N3599">
        <v>11.9067368278124</v>
      </c>
      <c r="O3599" t="s">
        <v>29</v>
      </c>
      <c r="P3599">
        <v>3.5095056318665399E-2</v>
      </c>
      <c r="Q3599">
        <v>-1.22259518159748</v>
      </c>
      <c r="R3599">
        <v>1.2927852942348099</v>
      </c>
      <c r="S3599">
        <v>12.2521626479632</v>
      </c>
      <c r="T3599">
        <v>6.08579425946916E-2</v>
      </c>
      <c r="U3599">
        <v>-6.7071932656417399</v>
      </c>
      <c r="V3599">
        <v>0.95248290768933697</v>
      </c>
      <c r="W3599">
        <v>0.97752358457809096</v>
      </c>
      <c r="X3599">
        <v>0</v>
      </c>
      <c r="Y3599">
        <v>0</v>
      </c>
    </row>
    <row r="3600" spans="1:25" x14ac:dyDescent="0.2">
      <c r="A3600" t="s">
        <v>13241</v>
      </c>
      <c r="B3600" t="s">
        <v>13242</v>
      </c>
      <c r="C3600" t="s">
        <v>13243</v>
      </c>
      <c r="D3600" t="s">
        <v>13244</v>
      </c>
      <c r="E3600" t="s">
        <v>13242</v>
      </c>
      <c r="F3600" t="s">
        <v>28</v>
      </c>
      <c r="G3600" t="s">
        <v>13242</v>
      </c>
      <c r="H3600" t="str">
        <f>"eef-1B.2"</f>
        <v>eef-1B.2</v>
      </c>
      <c r="I3600" t="s">
        <v>13244</v>
      </c>
      <c r="J3600">
        <v>12.6896394093905</v>
      </c>
      <c r="K3600">
        <v>12.4268030200898</v>
      </c>
      <c r="L3600">
        <v>12.531103317463399</v>
      </c>
      <c r="M3600">
        <v>14.0686369837101</v>
      </c>
      <c r="N3600">
        <v>13.654287620281901</v>
      </c>
      <c r="O3600">
        <v>14.6945970992667</v>
      </c>
      <c r="P3600">
        <v>1.5899919854383</v>
      </c>
      <c r="Q3600">
        <v>1.03860860007816</v>
      </c>
      <c r="R3600">
        <v>2.1413753707984302</v>
      </c>
      <c r="S3600">
        <v>13.243866146573399</v>
      </c>
      <c r="T3600">
        <v>6.06085330812473</v>
      </c>
      <c r="U3600">
        <v>3.3503850829432702</v>
      </c>
      <c r="V3600" s="2">
        <v>1.02047457989358E-5</v>
      </c>
      <c r="W3600">
        <v>4.4274990439649502E-4</v>
      </c>
      <c r="X3600">
        <v>1</v>
      </c>
      <c r="Y3600">
        <v>1</v>
      </c>
    </row>
    <row r="3601" spans="1:25" x14ac:dyDescent="0.2">
      <c r="A3601" t="s">
        <v>13245</v>
      </c>
      <c r="B3601" t="s">
        <v>13246</v>
      </c>
      <c r="C3601" t="s">
        <v>14726</v>
      </c>
      <c r="D3601" t="s">
        <v>13247</v>
      </c>
      <c r="E3601" t="s">
        <v>13246</v>
      </c>
      <c r="F3601" t="s">
        <v>28</v>
      </c>
      <c r="G3601" t="s">
        <v>13246</v>
      </c>
      <c r="H3601" t="str">
        <f>"Y41C4A.9"</f>
        <v>Y41C4A.9</v>
      </c>
      <c r="I3601" t="s">
        <v>13247</v>
      </c>
      <c r="J3601">
        <v>12.774993560738601</v>
      </c>
      <c r="K3601">
        <v>12.856530575261599</v>
      </c>
      <c r="L3601">
        <v>12.6783278742036</v>
      </c>
      <c r="M3601">
        <v>12.247399666636801</v>
      </c>
      <c r="N3601">
        <v>12.5020073870808</v>
      </c>
      <c r="O3601">
        <v>12.165177724033899</v>
      </c>
      <c r="P3601">
        <v>-0.46508907748411898</v>
      </c>
      <c r="Q3601">
        <v>-0.94344053754578805</v>
      </c>
      <c r="R3601">
        <v>1.32623825775496E-2</v>
      </c>
      <c r="S3601">
        <v>12.565988455726901</v>
      </c>
      <c r="T3601">
        <v>-2.0522915149177301</v>
      </c>
      <c r="U3601">
        <v>-5.0768964536768397</v>
      </c>
      <c r="V3601">
        <v>5.5968624902808101E-2</v>
      </c>
      <c r="W3601">
        <v>0.23806785024018001</v>
      </c>
      <c r="X3601">
        <v>0</v>
      </c>
      <c r="Y3601">
        <v>0</v>
      </c>
    </row>
    <row r="3602" spans="1:25" x14ac:dyDescent="0.2">
      <c r="A3602" t="s">
        <v>13248</v>
      </c>
      <c r="B3602" t="s">
        <v>13249</v>
      </c>
      <c r="C3602" t="s">
        <v>13250</v>
      </c>
      <c r="D3602" t="s">
        <v>13251</v>
      </c>
      <c r="E3602" t="s">
        <v>13249</v>
      </c>
      <c r="F3602" t="s">
        <v>28</v>
      </c>
      <c r="G3602" t="s">
        <v>13249</v>
      </c>
      <c r="H3602" t="str">
        <f>"slc-25a46"</f>
        <v>slc-25a46</v>
      </c>
      <c r="I3602" t="s">
        <v>13251</v>
      </c>
      <c r="J3602">
        <v>12.427121521140201</v>
      </c>
      <c r="K3602">
        <v>12.098347454457899</v>
      </c>
      <c r="L3602">
        <v>12.1852030117666</v>
      </c>
      <c r="M3602">
        <v>12.139232718413</v>
      </c>
      <c r="N3602">
        <v>12.56410662705</v>
      </c>
      <c r="O3602">
        <v>12.0210759957509</v>
      </c>
      <c r="P3602">
        <v>4.5811179497228204E-3</v>
      </c>
      <c r="Q3602">
        <v>-0.439858395890869</v>
      </c>
      <c r="R3602">
        <v>0.44902063179031498</v>
      </c>
      <c r="S3602">
        <v>12.428655626111899</v>
      </c>
      <c r="T3602">
        <v>2.1862928759060901E-2</v>
      </c>
      <c r="U3602">
        <v>-7.0518342821300699</v>
      </c>
      <c r="V3602">
        <v>0.98282940030205501</v>
      </c>
      <c r="W3602">
        <v>0.99135984766983498</v>
      </c>
      <c r="X3602">
        <v>0</v>
      </c>
      <c r="Y3602">
        <v>0</v>
      </c>
    </row>
    <row r="3603" spans="1:25" x14ac:dyDescent="0.2">
      <c r="A3603" t="s">
        <v>13252</v>
      </c>
      <c r="B3603" t="s">
        <v>13253</v>
      </c>
      <c r="C3603" t="s">
        <v>14727</v>
      </c>
      <c r="D3603" t="s">
        <v>107</v>
      </c>
      <c r="E3603" t="s">
        <v>13253</v>
      </c>
      <c r="F3603" t="s">
        <v>28</v>
      </c>
      <c r="G3603" t="s">
        <v>13253</v>
      </c>
      <c r="H3603" t="str">
        <f>"Y39E4B.5"</f>
        <v>Y39E4B.5</v>
      </c>
      <c r="I3603" t="s">
        <v>107</v>
      </c>
      <c r="J3603">
        <v>11.819632698401101</v>
      </c>
      <c r="K3603">
        <v>11.846860791118999</v>
      </c>
      <c r="L3603">
        <v>12.560809977379799</v>
      </c>
      <c r="M3603">
        <v>11.687204965839801</v>
      </c>
      <c r="N3603">
        <v>12.366460844830501</v>
      </c>
      <c r="O3603">
        <v>11.870823164824399</v>
      </c>
      <c r="P3603">
        <v>-0.100938163801695</v>
      </c>
      <c r="Q3603">
        <v>-0.73529409534784795</v>
      </c>
      <c r="R3603">
        <v>0.53341776774445704</v>
      </c>
      <c r="S3603">
        <v>12.5118045377322</v>
      </c>
      <c r="T3603">
        <v>-0.335870923300156</v>
      </c>
      <c r="U3603">
        <v>-6.99298056329721</v>
      </c>
      <c r="V3603">
        <v>0.74110321503969701</v>
      </c>
      <c r="W3603">
        <v>0.89088908389168697</v>
      </c>
      <c r="X3603">
        <v>0</v>
      </c>
      <c r="Y3603">
        <v>0</v>
      </c>
    </row>
    <row r="3604" spans="1:25" x14ac:dyDescent="0.2">
      <c r="A3604" t="s">
        <v>13254</v>
      </c>
      <c r="B3604" t="s">
        <v>13255</v>
      </c>
      <c r="C3604" t="s">
        <v>13256</v>
      </c>
      <c r="D3604" t="s">
        <v>13257</v>
      </c>
      <c r="E3604" t="s">
        <v>13255</v>
      </c>
      <c r="F3604" t="s">
        <v>28</v>
      </c>
      <c r="G3604" t="s">
        <v>13255</v>
      </c>
      <c r="H3604" t="str">
        <f>"snpc-1.2"</f>
        <v>snpc-1.2</v>
      </c>
      <c r="I3604" t="s">
        <v>13257</v>
      </c>
      <c r="J3604" t="s">
        <v>29</v>
      </c>
      <c r="K3604">
        <v>12.6383691473771</v>
      </c>
      <c r="L3604" t="s">
        <v>29</v>
      </c>
      <c r="M3604" t="s">
        <v>29</v>
      </c>
      <c r="N3604" t="s">
        <v>29</v>
      </c>
      <c r="O3604" t="s">
        <v>29</v>
      </c>
      <c r="P3604" t="s">
        <v>29</v>
      </c>
      <c r="Q3604" t="s">
        <v>29</v>
      </c>
      <c r="R3604" t="s">
        <v>29</v>
      </c>
      <c r="S3604">
        <v>12.1815080228632</v>
      </c>
      <c r="T3604" t="s">
        <v>29</v>
      </c>
      <c r="U3604" t="s">
        <v>29</v>
      </c>
      <c r="V3604" t="s">
        <v>29</v>
      </c>
      <c r="W3604" t="s">
        <v>29</v>
      </c>
      <c r="X3604" t="s">
        <v>29</v>
      </c>
      <c r="Y3604" t="s">
        <v>29</v>
      </c>
    </row>
    <row r="3605" spans="1:25" x14ac:dyDescent="0.2">
      <c r="A3605" t="s">
        <v>13258</v>
      </c>
      <c r="B3605" t="s">
        <v>13259</v>
      </c>
      <c r="C3605" t="s">
        <v>13260</v>
      </c>
      <c r="D3605" t="s">
        <v>13261</v>
      </c>
      <c r="E3605" t="s">
        <v>13259</v>
      </c>
      <c r="F3605" t="s">
        <v>28</v>
      </c>
      <c r="G3605" t="s">
        <v>13259</v>
      </c>
      <c r="H3605" t="str">
        <f>"abce-1"</f>
        <v>abce-1</v>
      </c>
      <c r="I3605" t="s">
        <v>13261</v>
      </c>
      <c r="J3605">
        <v>14.490643645944999</v>
      </c>
      <c r="K3605">
        <v>14.6081676415993</v>
      </c>
      <c r="L3605">
        <v>14.601208374818899</v>
      </c>
      <c r="M3605">
        <v>14.334860098814101</v>
      </c>
      <c r="N3605">
        <v>14.255274691289401</v>
      </c>
      <c r="O3605">
        <v>14.657685132060299</v>
      </c>
      <c r="P3605">
        <v>-0.15073324673313099</v>
      </c>
      <c r="Q3605">
        <v>-0.52345394006795598</v>
      </c>
      <c r="R3605">
        <v>0.221987446601695</v>
      </c>
      <c r="S3605">
        <v>14.432556626328701</v>
      </c>
      <c r="T3605">
        <v>-0.85364158126587697</v>
      </c>
      <c r="U3605">
        <v>-6.6770931521742103</v>
      </c>
      <c r="V3605">
        <v>0.40524456323773</v>
      </c>
      <c r="W3605">
        <v>0.67728084682874901</v>
      </c>
      <c r="X3605">
        <v>0</v>
      </c>
      <c r="Y3605">
        <v>0</v>
      </c>
    </row>
    <row r="3606" spans="1:25" x14ac:dyDescent="0.2">
      <c r="A3606" t="s">
        <v>13262</v>
      </c>
      <c r="B3606" t="s">
        <v>13263</v>
      </c>
      <c r="C3606" t="s">
        <v>13264</v>
      </c>
      <c r="D3606" t="s">
        <v>4483</v>
      </c>
      <c r="E3606" t="s">
        <v>13263</v>
      </c>
      <c r="F3606" t="s">
        <v>28</v>
      </c>
      <c r="G3606" t="s">
        <v>13263</v>
      </c>
      <c r="H3606" t="str">
        <f>"mlt-3"</f>
        <v>mlt-3</v>
      </c>
      <c r="I3606" t="s">
        <v>4483</v>
      </c>
      <c r="J3606">
        <v>12.0313594007247</v>
      </c>
      <c r="K3606">
        <v>10.1472465554517</v>
      </c>
      <c r="L3606">
        <v>11.3353312261752</v>
      </c>
      <c r="M3606">
        <v>19.989267547176301</v>
      </c>
      <c r="N3606">
        <v>20.008262503161401</v>
      </c>
      <c r="O3606">
        <v>19.767220315998799</v>
      </c>
      <c r="P3606">
        <v>8.7502710613282702</v>
      </c>
      <c r="Q3606">
        <v>7.8769842121963496</v>
      </c>
      <c r="R3606">
        <v>9.6235579104601996</v>
      </c>
      <c r="S3606">
        <v>14.367618206001501</v>
      </c>
      <c r="T3606">
        <v>21.059938547214699</v>
      </c>
      <c r="U3606">
        <v>22.070517127019102</v>
      </c>
      <c r="V3606" s="2">
        <v>4.4569420242347003E-14</v>
      </c>
      <c r="W3606" s="2">
        <v>1.4502889346859701E-10</v>
      </c>
      <c r="X3606">
        <v>1</v>
      </c>
      <c r="Y3606">
        <v>1</v>
      </c>
    </row>
    <row r="3607" spans="1:25" x14ac:dyDescent="0.2">
      <c r="A3607" t="s">
        <v>13265</v>
      </c>
      <c r="B3607" t="s">
        <v>13266</v>
      </c>
      <c r="C3607" t="s">
        <v>13267</v>
      </c>
      <c r="D3607" t="s">
        <v>13268</v>
      </c>
      <c r="E3607" t="s">
        <v>13266</v>
      </c>
      <c r="F3607" t="s">
        <v>28</v>
      </c>
      <c r="G3607" t="s">
        <v>13266</v>
      </c>
      <c r="H3607" t="str">
        <f>"dpy-28"</f>
        <v>dpy-28</v>
      </c>
      <c r="I3607" t="s">
        <v>13268</v>
      </c>
      <c r="J3607">
        <v>11.8319361695316</v>
      </c>
      <c r="K3607">
        <v>12.241761503006501</v>
      </c>
      <c r="L3607">
        <v>12.2088309069571</v>
      </c>
      <c r="M3607">
        <v>12.699963935460801</v>
      </c>
      <c r="N3607">
        <v>12.503952796198799</v>
      </c>
      <c r="O3607">
        <v>12.308528199887901</v>
      </c>
      <c r="P3607">
        <v>0.40997211735079198</v>
      </c>
      <c r="Q3607">
        <v>-1.8037496530679001E-2</v>
      </c>
      <c r="R3607">
        <v>0.83798173123226305</v>
      </c>
      <c r="S3607">
        <v>12.7699787378175</v>
      </c>
      <c r="T3607">
        <v>2.0218587406520299</v>
      </c>
      <c r="U3607">
        <v>-5.12913019079725</v>
      </c>
      <c r="V3607">
        <v>5.9321766513783597E-2</v>
      </c>
      <c r="W3607">
        <v>0.24548128779488201</v>
      </c>
      <c r="X3607">
        <v>0</v>
      </c>
      <c r="Y3607">
        <v>0</v>
      </c>
    </row>
    <row r="3608" spans="1:25" x14ac:dyDescent="0.2">
      <c r="A3608" t="s">
        <v>13269</v>
      </c>
      <c r="B3608" t="s">
        <v>13270</v>
      </c>
      <c r="C3608" t="s">
        <v>13271</v>
      </c>
      <c r="D3608" t="s">
        <v>13272</v>
      </c>
      <c r="E3608" t="s">
        <v>13270</v>
      </c>
      <c r="F3608" t="s">
        <v>28</v>
      </c>
      <c r="G3608" t="s">
        <v>13270</v>
      </c>
      <c r="H3608" t="str">
        <f>"hphd-1"</f>
        <v>hphd-1</v>
      </c>
      <c r="I3608" t="s">
        <v>13272</v>
      </c>
      <c r="J3608">
        <v>15.9256726985444</v>
      </c>
      <c r="K3608">
        <v>15.8529895875197</v>
      </c>
      <c r="L3608">
        <v>16.160857709263901</v>
      </c>
      <c r="M3608">
        <v>15.6551830471783</v>
      </c>
      <c r="N3608">
        <v>16.300819921812899</v>
      </c>
      <c r="O3608">
        <v>15.855553019855799</v>
      </c>
      <c r="P3608">
        <v>-4.2654668827035301E-2</v>
      </c>
      <c r="Q3608">
        <v>-0.59344423843139704</v>
      </c>
      <c r="R3608">
        <v>0.50813490077732604</v>
      </c>
      <c r="S3608">
        <v>15.5658314008229</v>
      </c>
      <c r="T3608">
        <v>-0.16276963148064699</v>
      </c>
      <c r="U3608">
        <v>-7.0382122666398503</v>
      </c>
      <c r="V3608">
        <v>0.87252378588358004</v>
      </c>
      <c r="W3608">
        <v>0.95222989829322702</v>
      </c>
      <c r="X3608">
        <v>0</v>
      </c>
      <c r="Y3608">
        <v>0</v>
      </c>
    </row>
    <row r="3609" spans="1:25" x14ac:dyDescent="0.2">
      <c r="A3609" t="s">
        <v>13273</v>
      </c>
      <c r="B3609" t="s">
        <v>13274</v>
      </c>
      <c r="C3609" t="s">
        <v>13275</v>
      </c>
      <c r="D3609" t="s">
        <v>13276</v>
      </c>
      <c r="E3609" t="s">
        <v>13274</v>
      </c>
      <c r="F3609" t="s">
        <v>28</v>
      </c>
      <c r="G3609" t="s">
        <v>13274</v>
      </c>
      <c r="H3609" t="str">
        <f>"Y37H9A.3"</f>
        <v>Y37H9A.3</v>
      </c>
      <c r="I3609" t="s">
        <v>13276</v>
      </c>
      <c r="J3609">
        <v>13.0559677963301</v>
      </c>
      <c r="K3609">
        <v>12.5626741772827</v>
      </c>
      <c r="L3609">
        <v>12.6837291451721</v>
      </c>
      <c r="M3609">
        <v>12.736452784090799</v>
      </c>
      <c r="N3609">
        <v>12.3597292389647</v>
      </c>
      <c r="O3609">
        <v>12.3544896930186</v>
      </c>
      <c r="P3609">
        <v>-0.28389980090359201</v>
      </c>
      <c r="Q3609">
        <v>-0.86490833345011398</v>
      </c>
      <c r="R3609">
        <v>0.297108731642929</v>
      </c>
      <c r="S3609">
        <v>11.9962410314777</v>
      </c>
      <c r="T3609">
        <v>-1.0314129756557</v>
      </c>
      <c r="U3609">
        <v>-6.5098595316404699</v>
      </c>
      <c r="V3609">
        <v>0.31688703754512298</v>
      </c>
      <c r="W3609">
        <v>0.594323008744571</v>
      </c>
      <c r="X3609">
        <v>0</v>
      </c>
      <c r="Y3609">
        <v>0</v>
      </c>
    </row>
    <row r="3610" spans="1:25" x14ac:dyDescent="0.2">
      <c r="A3610" t="s">
        <v>13277</v>
      </c>
      <c r="B3610" t="s">
        <v>13278</v>
      </c>
      <c r="C3610" t="s">
        <v>14728</v>
      </c>
      <c r="D3610" t="s">
        <v>13279</v>
      </c>
      <c r="E3610" t="s">
        <v>13278</v>
      </c>
      <c r="F3610" t="s">
        <v>28</v>
      </c>
      <c r="G3610" t="s">
        <v>13278</v>
      </c>
      <c r="H3610" t="str">
        <f>"Y37H9A.1"</f>
        <v>Y37H9A.1</v>
      </c>
      <c r="I3610" t="s">
        <v>13279</v>
      </c>
      <c r="J3610">
        <v>12.993349446606199</v>
      </c>
      <c r="K3610" t="s">
        <v>29</v>
      </c>
      <c r="L3610">
        <v>12.807015890576301</v>
      </c>
      <c r="M3610" t="s">
        <v>29</v>
      </c>
      <c r="N3610">
        <v>12.57622708543</v>
      </c>
      <c r="O3610" t="s">
        <v>29</v>
      </c>
      <c r="P3610">
        <v>-0.32395558316121698</v>
      </c>
      <c r="Q3610">
        <v>-1.7524371213091701</v>
      </c>
      <c r="R3610">
        <v>1.1045259549867401</v>
      </c>
      <c r="S3610">
        <v>13.050174046488699</v>
      </c>
      <c r="T3610">
        <v>-0.49460197902125302</v>
      </c>
      <c r="U3610">
        <v>-6.5221073846869499</v>
      </c>
      <c r="V3610">
        <v>0.62988955011650305</v>
      </c>
      <c r="W3610">
        <v>0.82954586748111203</v>
      </c>
      <c r="X3610">
        <v>0</v>
      </c>
      <c r="Y3610">
        <v>0</v>
      </c>
    </row>
    <row r="3611" spans="1:25" x14ac:dyDescent="0.2">
      <c r="A3611" t="s">
        <v>13280</v>
      </c>
      <c r="B3611" t="s">
        <v>13281</v>
      </c>
      <c r="C3611" t="s">
        <v>14729</v>
      </c>
      <c r="D3611" t="s">
        <v>13282</v>
      </c>
      <c r="E3611" t="s">
        <v>13281</v>
      </c>
      <c r="F3611" t="s">
        <v>28</v>
      </c>
      <c r="G3611" t="s">
        <v>13281</v>
      </c>
      <c r="H3611" t="str">
        <f>"Y37H2A.1"</f>
        <v>Y37H2A.1</v>
      </c>
      <c r="I3611" t="s">
        <v>13282</v>
      </c>
      <c r="J3611" t="s">
        <v>29</v>
      </c>
      <c r="K3611">
        <v>10.382513792029499</v>
      </c>
      <c r="L3611">
        <v>11.949915386084401</v>
      </c>
      <c r="M3611" t="s">
        <v>29</v>
      </c>
      <c r="N3611" t="s">
        <v>29</v>
      </c>
      <c r="O3611" t="s">
        <v>29</v>
      </c>
      <c r="P3611" t="s">
        <v>29</v>
      </c>
      <c r="Q3611" t="s">
        <v>29</v>
      </c>
      <c r="R3611" t="s">
        <v>29</v>
      </c>
      <c r="S3611">
        <v>12.4272044510684</v>
      </c>
      <c r="T3611" t="s">
        <v>29</v>
      </c>
      <c r="U3611" t="s">
        <v>29</v>
      </c>
      <c r="V3611" t="s">
        <v>29</v>
      </c>
      <c r="W3611" t="s">
        <v>29</v>
      </c>
      <c r="X3611" t="s">
        <v>29</v>
      </c>
      <c r="Y3611" t="s">
        <v>29</v>
      </c>
    </row>
    <row r="3612" spans="1:25" x14ac:dyDescent="0.2">
      <c r="A3612" t="s">
        <v>13283</v>
      </c>
      <c r="B3612" t="s">
        <v>13284</v>
      </c>
      <c r="C3612" t="s">
        <v>13285</v>
      </c>
      <c r="D3612" t="s">
        <v>13286</v>
      </c>
      <c r="E3612" t="s">
        <v>13284</v>
      </c>
      <c r="F3612" t="s">
        <v>28</v>
      </c>
      <c r="G3612" t="s">
        <v>13284</v>
      </c>
      <c r="H3612" t="str">
        <f>"pap-1"</f>
        <v>pap-1</v>
      </c>
      <c r="I3612" t="s">
        <v>13286</v>
      </c>
      <c r="J3612">
        <v>14.403702659947699</v>
      </c>
      <c r="K3612">
        <v>14.390267745001401</v>
      </c>
      <c r="L3612">
        <v>14.097356559086601</v>
      </c>
      <c r="M3612">
        <v>14.502163602904799</v>
      </c>
      <c r="N3612">
        <v>14.1595988068003</v>
      </c>
      <c r="O3612">
        <v>14.276471126964701</v>
      </c>
      <c r="P3612">
        <v>1.56355242113158E-2</v>
      </c>
      <c r="Q3612">
        <v>-0.54983554970318405</v>
      </c>
      <c r="R3612">
        <v>0.581106598125815</v>
      </c>
      <c r="S3612">
        <v>14.226283415149</v>
      </c>
      <c r="T3612">
        <v>5.8115846177370201E-2</v>
      </c>
      <c r="U3612">
        <v>-7.0503166108325104</v>
      </c>
      <c r="V3612">
        <v>0.95430039126155697</v>
      </c>
      <c r="W3612">
        <v>0.97752358457809096</v>
      </c>
      <c r="X3612">
        <v>0</v>
      </c>
      <c r="Y3612">
        <v>0</v>
      </c>
    </row>
    <row r="3613" spans="1:25" x14ac:dyDescent="0.2">
      <c r="A3613" t="s">
        <v>13287</v>
      </c>
      <c r="B3613" t="s">
        <v>13288</v>
      </c>
      <c r="C3613" t="s">
        <v>14730</v>
      </c>
      <c r="D3613" t="s">
        <v>13282</v>
      </c>
      <c r="E3613" t="s">
        <v>13288</v>
      </c>
      <c r="F3613" t="s">
        <v>28</v>
      </c>
      <c r="G3613" t="s">
        <v>13288</v>
      </c>
      <c r="H3613" t="str">
        <f>"Y24F12A.1"</f>
        <v>Y24F12A.1</v>
      </c>
      <c r="I3613" t="s">
        <v>13282</v>
      </c>
      <c r="J3613" t="s">
        <v>29</v>
      </c>
      <c r="K3613" t="s">
        <v>29</v>
      </c>
      <c r="L3613" t="s">
        <v>29</v>
      </c>
      <c r="M3613" t="s">
        <v>29</v>
      </c>
      <c r="N3613" t="s">
        <v>29</v>
      </c>
      <c r="O3613" t="s">
        <v>29</v>
      </c>
      <c r="P3613" t="s">
        <v>29</v>
      </c>
      <c r="Q3613" t="s">
        <v>29</v>
      </c>
      <c r="R3613" t="s">
        <v>29</v>
      </c>
      <c r="S3613">
        <v>12.2044492171224</v>
      </c>
      <c r="T3613" t="s">
        <v>29</v>
      </c>
      <c r="U3613" t="s">
        <v>29</v>
      </c>
      <c r="V3613" t="s">
        <v>29</v>
      </c>
      <c r="W3613" t="s">
        <v>29</v>
      </c>
      <c r="X3613" t="s">
        <v>29</v>
      </c>
      <c r="Y3613" t="s">
        <v>29</v>
      </c>
    </row>
    <row r="3614" spans="1:25" x14ac:dyDescent="0.2">
      <c r="A3614" t="s">
        <v>13289</v>
      </c>
      <c r="B3614" t="s">
        <v>13290</v>
      </c>
      <c r="C3614" t="s">
        <v>13291</v>
      </c>
      <c r="D3614" t="s">
        <v>13292</v>
      </c>
      <c r="E3614" t="s">
        <v>13290</v>
      </c>
      <c r="F3614" t="s">
        <v>28</v>
      </c>
      <c r="G3614" t="s">
        <v>13290</v>
      </c>
      <c r="H3614" t="str">
        <f>"gsk-3"</f>
        <v>gsk-3</v>
      </c>
      <c r="I3614" t="s">
        <v>13292</v>
      </c>
      <c r="J3614">
        <v>16.757155776864099</v>
      </c>
      <c r="K3614">
        <v>16.660067495682998</v>
      </c>
      <c r="L3614">
        <v>16.410401594512798</v>
      </c>
      <c r="M3614">
        <v>16.710917569907799</v>
      </c>
      <c r="N3614">
        <v>16.679254404418799</v>
      </c>
      <c r="O3614">
        <v>16.4345985113906</v>
      </c>
      <c r="P3614">
        <v>-9.5146044753846603E-4</v>
      </c>
      <c r="Q3614">
        <v>-0.30252469912596403</v>
      </c>
      <c r="R3614">
        <v>0.30062177823088698</v>
      </c>
      <c r="S3614">
        <v>16.2249916080414</v>
      </c>
      <c r="T3614">
        <v>-6.6311744361682396E-3</v>
      </c>
      <c r="U3614">
        <v>-7.0520633980347096</v>
      </c>
      <c r="V3614">
        <v>0.99478249274928299</v>
      </c>
      <c r="W3614">
        <v>0.99716257138959596</v>
      </c>
      <c r="X3614">
        <v>0</v>
      </c>
      <c r="Y3614">
        <v>0</v>
      </c>
    </row>
    <row r="3615" spans="1:25" x14ac:dyDescent="0.2">
      <c r="A3615" t="s">
        <v>13293</v>
      </c>
      <c r="B3615" t="s">
        <v>13294</v>
      </c>
      <c r="C3615" t="s">
        <v>13295</v>
      </c>
      <c r="D3615" t="s">
        <v>13296</v>
      </c>
      <c r="E3615" t="s">
        <v>13294</v>
      </c>
      <c r="F3615" t="s">
        <v>28</v>
      </c>
      <c r="G3615" t="s">
        <v>13294</v>
      </c>
      <c r="H3615" t="str">
        <f>"Y17G7B.18"</f>
        <v>Y17G7B.18</v>
      </c>
      <c r="I3615" t="s">
        <v>13296</v>
      </c>
      <c r="J3615">
        <v>13.187405855401099</v>
      </c>
      <c r="K3615">
        <v>13.2122937480177</v>
      </c>
      <c r="L3615">
        <v>12.6662598183357</v>
      </c>
      <c r="M3615" t="s">
        <v>29</v>
      </c>
      <c r="N3615" t="s">
        <v>29</v>
      </c>
      <c r="O3615" t="s">
        <v>29</v>
      </c>
      <c r="P3615" t="s">
        <v>29</v>
      </c>
      <c r="Q3615" t="s">
        <v>29</v>
      </c>
      <c r="R3615" t="s">
        <v>29</v>
      </c>
      <c r="S3615">
        <v>12.6465418557465</v>
      </c>
      <c r="T3615" t="s">
        <v>29</v>
      </c>
      <c r="U3615" t="s">
        <v>29</v>
      </c>
      <c r="V3615" t="s">
        <v>29</v>
      </c>
      <c r="W3615" t="s">
        <v>29</v>
      </c>
      <c r="X3615" t="s">
        <v>29</v>
      </c>
      <c r="Y3615" t="s">
        <v>29</v>
      </c>
    </row>
    <row r="3616" spans="1:25" x14ac:dyDescent="0.2">
      <c r="A3616" t="s">
        <v>13297</v>
      </c>
      <c r="B3616" t="s">
        <v>13298</v>
      </c>
      <c r="C3616" t="s">
        <v>14731</v>
      </c>
      <c r="D3616" t="s">
        <v>107</v>
      </c>
      <c r="E3616" t="s">
        <v>13298</v>
      </c>
      <c r="F3616" t="s">
        <v>28</v>
      </c>
      <c r="G3616" t="s">
        <v>13298</v>
      </c>
      <c r="H3616" t="str">
        <f>"Y15E3A.4"</f>
        <v>Y15E3A.4</v>
      </c>
      <c r="I3616" t="s">
        <v>107</v>
      </c>
      <c r="J3616">
        <v>14.515835399708401</v>
      </c>
      <c r="K3616">
        <v>14.608414663099101</v>
      </c>
      <c r="L3616">
        <v>14.2654877711133</v>
      </c>
      <c r="M3616">
        <v>14.4410415097192</v>
      </c>
      <c r="N3616">
        <v>13.502404321917799</v>
      </c>
      <c r="O3616">
        <v>14.130134340345</v>
      </c>
      <c r="P3616">
        <v>-0.438719220646272</v>
      </c>
      <c r="Q3616">
        <v>-0.99339448946786602</v>
      </c>
      <c r="R3616">
        <v>0.115956048175323</v>
      </c>
      <c r="S3616">
        <v>14.3442322188546</v>
      </c>
      <c r="T3616">
        <v>-1.66241853451609</v>
      </c>
      <c r="U3616">
        <v>-5.7060197957767604</v>
      </c>
      <c r="V3616">
        <v>0.113844822037675</v>
      </c>
      <c r="W3616">
        <v>0.34678170162170102</v>
      </c>
      <c r="X3616">
        <v>0</v>
      </c>
      <c r="Y3616">
        <v>0</v>
      </c>
    </row>
    <row r="3617" spans="1:25" x14ac:dyDescent="0.2">
      <c r="A3617" t="s">
        <v>13299</v>
      </c>
      <c r="B3617" t="s">
        <v>13300</v>
      </c>
      <c r="C3617" t="s">
        <v>13301</v>
      </c>
      <c r="D3617" t="s">
        <v>13302</v>
      </c>
      <c r="E3617" t="s">
        <v>13300</v>
      </c>
      <c r="F3617" t="s">
        <v>28</v>
      </c>
      <c r="G3617" t="s">
        <v>13300</v>
      </c>
      <c r="H3617" t="str">
        <f>"arf-6"</f>
        <v>arf-6</v>
      </c>
      <c r="I3617" t="s">
        <v>13302</v>
      </c>
      <c r="J3617">
        <v>14.004349469390601</v>
      </c>
      <c r="K3617">
        <v>13.8244672526274</v>
      </c>
      <c r="L3617">
        <v>13.627406686653501</v>
      </c>
      <c r="M3617">
        <v>14.018089402778299</v>
      </c>
      <c r="N3617">
        <v>14.128101310865899</v>
      </c>
      <c r="O3617">
        <v>14.0902851774922</v>
      </c>
      <c r="P3617">
        <v>0.260084160821624</v>
      </c>
      <c r="Q3617">
        <v>-9.8178240737573697E-2</v>
      </c>
      <c r="R3617">
        <v>0.61834656238082097</v>
      </c>
      <c r="S3617">
        <v>13.6897732071858</v>
      </c>
      <c r="T3617">
        <v>1.53979250512205</v>
      </c>
      <c r="U3617">
        <v>-5.8868392398241802</v>
      </c>
      <c r="V3617">
        <v>0.14328044785931399</v>
      </c>
      <c r="W3617">
        <v>0.390839223659881</v>
      </c>
      <c r="X3617">
        <v>0</v>
      </c>
      <c r="Y3617">
        <v>0</v>
      </c>
    </row>
    <row r="3618" spans="1:25" x14ac:dyDescent="0.2">
      <c r="A3618" t="s">
        <v>13303</v>
      </c>
      <c r="B3618" t="s">
        <v>13304</v>
      </c>
      <c r="C3618" t="s">
        <v>13305</v>
      </c>
      <c r="D3618" t="s">
        <v>13306</v>
      </c>
      <c r="E3618" t="s">
        <v>13304</v>
      </c>
      <c r="F3618" t="s">
        <v>28</v>
      </c>
      <c r="G3618" t="s">
        <v>13304</v>
      </c>
      <c r="H3618" t="str">
        <f>"cyn-13"</f>
        <v>cyn-13</v>
      </c>
      <c r="I3618" t="s">
        <v>13306</v>
      </c>
      <c r="J3618">
        <v>12.2081102623545</v>
      </c>
      <c r="K3618">
        <v>13.0016453065953</v>
      </c>
      <c r="L3618">
        <v>12.9782798614578</v>
      </c>
      <c r="M3618">
        <v>12.6999635349991</v>
      </c>
      <c r="N3618">
        <v>13.017462798097499</v>
      </c>
      <c r="O3618">
        <v>12.8238771210571</v>
      </c>
      <c r="P3618">
        <v>0.11775600791536101</v>
      </c>
      <c r="Q3618">
        <v>-0.35192500860245501</v>
      </c>
      <c r="R3618">
        <v>0.58743702443317602</v>
      </c>
      <c r="S3618">
        <v>12.934369866387099</v>
      </c>
      <c r="T3618">
        <v>0.534714144767369</v>
      </c>
      <c r="U3618">
        <v>-6.9020950254190998</v>
      </c>
      <c r="V3618">
        <v>0.60073916223666801</v>
      </c>
      <c r="W3618">
        <v>0.80944316104269898</v>
      </c>
      <c r="X3618">
        <v>0</v>
      </c>
      <c r="Y3618">
        <v>0</v>
      </c>
    </row>
    <row r="3619" spans="1:25" x14ac:dyDescent="0.2">
      <c r="A3619" t="s">
        <v>13307</v>
      </c>
      <c r="B3619" t="s">
        <v>13308</v>
      </c>
      <c r="C3619" t="s">
        <v>13309</v>
      </c>
      <c r="D3619" t="s">
        <v>13310</v>
      </c>
      <c r="E3619" t="s">
        <v>13308</v>
      </c>
      <c r="F3619" t="s">
        <v>28</v>
      </c>
      <c r="G3619" t="s">
        <v>13308</v>
      </c>
      <c r="H3619" t="str">
        <f>"uaf-2"</f>
        <v>uaf-2</v>
      </c>
      <c r="I3619" t="s">
        <v>13310</v>
      </c>
      <c r="J3619" t="s">
        <v>29</v>
      </c>
      <c r="K3619">
        <v>10.2742564855961</v>
      </c>
      <c r="L3619">
        <v>10.5678194494217</v>
      </c>
      <c r="M3619" t="s">
        <v>29</v>
      </c>
      <c r="N3619">
        <v>9.6500478684183992</v>
      </c>
      <c r="O3619">
        <v>9.6040363766226005</v>
      </c>
      <c r="P3619">
        <v>-0.79399584498837295</v>
      </c>
      <c r="Q3619">
        <v>-1.4523774073979301</v>
      </c>
      <c r="R3619">
        <v>-0.135614282578813</v>
      </c>
      <c r="S3619">
        <v>11.136572920254901</v>
      </c>
      <c r="T3619">
        <v>-2.5884063843123299</v>
      </c>
      <c r="U3619">
        <v>-3.9598128463984201</v>
      </c>
      <c r="V3619">
        <v>2.15571955179245E-2</v>
      </c>
      <c r="W3619">
        <v>0.14257543539700501</v>
      </c>
      <c r="X3619">
        <v>0</v>
      </c>
      <c r="Y3619">
        <v>0</v>
      </c>
    </row>
    <row r="3620" spans="1:25" x14ac:dyDescent="0.2">
      <c r="A3620" t="s">
        <v>13311</v>
      </c>
      <c r="B3620" t="s">
        <v>13312</v>
      </c>
      <c r="C3620" t="s">
        <v>14732</v>
      </c>
      <c r="D3620" t="s">
        <v>13313</v>
      </c>
      <c r="E3620" t="s">
        <v>13312</v>
      </c>
      <c r="F3620" t="s">
        <v>28</v>
      </c>
      <c r="G3620" t="s">
        <v>13312</v>
      </c>
      <c r="H3620" t="str">
        <f>"Y116A8C.27"</f>
        <v>Y116A8C.27</v>
      </c>
      <c r="I3620" t="s">
        <v>13313</v>
      </c>
      <c r="J3620">
        <v>12.949066189671299</v>
      </c>
      <c r="K3620">
        <v>12.3431304886952</v>
      </c>
      <c r="L3620">
        <v>12.8586213659331</v>
      </c>
      <c r="M3620">
        <v>12.416141235507601</v>
      </c>
      <c r="N3620">
        <v>13.1153390058425</v>
      </c>
      <c r="O3620">
        <v>12.991991116547799</v>
      </c>
      <c r="P3620">
        <v>0.12421777119944501</v>
      </c>
      <c r="Q3620">
        <v>-0.44246217828214401</v>
      </c>
      <c r="R3620">
        <v>0.69089772068103406</v>
      </c>
      <c r="S3620">
        <v>13.0181238641668</v>
      </c>
      <c r="T3620">
        <v>0.462696164239216</v>
      </c>
      <c r="U3620">
        <v>-6.9402516761844302</v>
      </c>
      <c r="V3620">
        <v>0.64948575644984197</v>
      </c>
      <c r="W3620">
        <v>0.84099747373170897</v>
      </c>
      <c r="X3620">
        <v>0</v>
      </c>
      <c r="Y3620">
        <v>0</v>
      </c>
    </row>
    <row r="3621" spans="1:25" x14ac:dyDescent="0.2">
      <c r="A3621" t="s">
        <v>13314</v>
      </c>
      <c r="B3621" t="s">
        <v>13315</v>
      </c>
      <c r="C3621" t="s">
        <v>13316</v>
      </c>
      <c r="D3621" t="s">
        <v>13317</v>
      </c>
      <c r="E3621" t="s">
        <v>13315</v>
      </c>
      <c r="F3621" t="s">
        <v>28</v>
      </c>
      <c r="G3621" t="s">
        <v>13315</v>
      </c>
      <c r="H3621" t="str">
        <f>"prmt-1"</f>
        <v>prmt-1</v>
      </c>
      <c r="I3621" t="s">
        <v>13317</v>
      </c>
      <c r="J3621">
        <v>16.362504410542002</v>
      </c>
      <c r="K3621">
        <v>16.115344867291999</v>
      </c>
      <c r="L3621">
        <v>15.640407163426501</v>
      </c>
      <c r="M3621">
        <v>16.719818283550801</v>
      </c>
      <c r="N3621">
        <v>15.5032507958612</v>
      </c>
      <c r="O3621">
        <v>15.942390868250399</v>
      </c>
      <c r="P3621">
        <v>1.5734502133977198E-2</v>
      </c>
      <c r="Q3621">
        <v>-0.797583774450352</v>
      </c>
      <c r="R3621">
        <v>0.82905277871830596</v>
      </c>
      <c r="S3621">
        <v>15.029723963556499</v>
      </c>
      <c r="T3621">
        <v>4.0661648998233803E-2</v>
      </c>
      <c r="U3621">
        <v>-7.0512200116519796</v>
      </c>
      <c r="V3621">
        <v>0.96801586481373103</v>
      </c>
      <c r="W3621">
        <v>0.98300783325944197</v>
      </c>
      <c r="X3621">
        <v>0</v>
      </c>
      <c r="Y3621">
        <v>0</v>
      </c>
    </row>
    <row r="3622" spans="1:25" x14ac:dyDescent="0.2">
      <c r="A3622" t="s">
        <v>13318</v>
      </c>
      <c r="B3622" t="s">
        <v>13319</v>
      </c>
      <c r="C3622" t="s">
        <v>13320</v>
      </c>
      <c r="D3622" t="s">
        <v>13321</v>
      </c>
      <c r="E3622" t="s">
        <v>13319</v>
      </c>
      <c r="F3622" t="s">
        <v>28</v>
      </c>
      <c r="G3622" t="s">
        <v>13319</v>
      </c>
      <c r="H3622" t="str">
        <f>"cdkr-3"</f>
        <v>cdkr-3</v>
      </c>
      <c r="I3622" t="s">
        <v>13321</v>
      </c>
      <c r="J3622">
        <v>9.3746290607799398</v>
      </c>
      <c r="K3622">
        <v>9.0076505403956606</v>
      </c>
      <c r="L3622" t="s">
        <v>29</v>
      </c>
      <c r="M3622">
        <v>12.922979603332401</v>
      </c>
      <c r="N3622">
        <v>13.2717942125542</v>
      </c>
      <c r="O3622">
        <v>13.0019421580489</v>
      </c>
      <c r="P3622">
        <v>3.8744321907240402</v>
      </c>
      <c r="Q3622">
        <v>3.2886270412133798</v>
      </c>
      <c r="R3622">
        <v>4.4602373402347002</v>
      </c>
      <c r="S3622">
        <v>12.4822228021123</v>
      </c>
      <c r="T3622">
        <v>13.9606259954633</v>
      </c>
      <c r="U3622">
        <v>14.784214196556601</v>
      </c>
      <c r="V3622" s="2">
        <v>1.04960168677961E-10</v>
      </c>
      <c r="W3622" s="2">
        <v>4.3700307708351098E-8</v>
      </c>
      <c r="X3622">
        <v>1</v>
      </c>
      <c r="Y3622">
        <v>1</v>
      </c>
    </row>
    <row r="3623" spans="1:25" x14ac:dyDescent="0.2">
      <c r="A3623" t="s">
        <v>13322</v>
      </c>
      <c r="B3623" t="s">
        <v>13323</v>
      </c>
      <c r="C3623" t="s">
        <v>13324</v>
      </c>
      <c r="D3623" t="s">
        <v>13325</v>
      </c>
      <c r="E3623" t="s">
        <v>13323</v>
      </c>
      <c r="F3623" t="s">
        <v>28</v>
      </c>
      <c r="G3623" t="s">
        <v>13323</v>
      </c>
      <c r="H3623" t="str">
        <f>"sec-23"</f>
        <v>sec-23</v>
      </c>
      <c r="I3623" t="s">
        <v>13325</v>
      </c>
      <c r="J3623">
        <v>17.257412123265699</v>
      </c>
      <c r="K3623">
        <v>17.273665548645798</v>
      </c>
      <c r="L3623">
        <v>16.9374091550456</v>
      </c>
      <c r="M3623">
        <v>17.112779520489301</v>
      </c>
      <c r="N3623">
        <v>16.681286811141501</v>
      </c>
      <c r="O3623">
        <v>16.707649648903001</v>
      </c>
      <c r="P3623">
        <v>-0.322256948807777</v>
      </c>
      <c r="Q3623">
        <v>-0.72453146219008902</v>
      </c>
      <c r="R3623">
        <v>8.0017564574535197E-2</v>
      </c>
      <c r="S3623">
        <v>16.474921958910301</v>
      </c>
      <c r="T3623">
        <v>-1.6837293631816299</v>
      </c>
      <c r="U3623">
        <v>-5.6737413384147102</v>
      </c>
      <c r="V3623">
        <v>0.10959669630138</v>
      </c>
      <c r="W3623">
        <v>0.34241702703680399</v>
      </c>
      <c r="X3623">
        <v>0</v>
      </c>
      <c r="Y3623">
        <v>0</v>
      </c>
    </row>
    <row r="3624" spans="1:25" x14ac:dyDescent="0.2">
      <c r="A3624" t="s">
        <v>13326</v>
      </c>
      <c r="B3624" t="s">
        <v>13327</v>
      </c>
      <c r="C3624" t="s">
        <v>13328</v>
      </c>
      <c r="D3624" t="s">
        <v>8346</v>
      </c>
      <c r="E3624" t="s">
        <v>13327</v>
      </c>
      <c r="F3624" t="s">
        <v>28</v>
      </c>
      <c r="G3624" t="s">
        <v>13327</v>
      </c>
      <c r="H3624" t="str">
        <f>"pab-1"</f>
        <v>pab-1</v>
      </c>
      <c r="I3624" t="s">
        <v>8346</v>
      </c>
      <c r="J3624">
        <v>19.3802103415114</v>
      </c>
      <c r="K3624">
        <v>19.658292677531101</v>
      </c>
      <c r="L3624">
        <v>20.096733521561301</v>
      </c>
      <c r="M3624">
        <v>18.9393080392916</v>
      </c>
      <c r="N3624">
        <v>18.9112345038893</v>
      </c>
      <c r="O3624">
        <v>18.976186916571699</v>
      </c>
      <c r="P3624">
        <v>-0.76950236028371999</v>
      </c>
      <c r="Q3624">
        <v>-1.2110334650107299</v>
      </c>
      <c r="R3624">
        <v>-0.32797125555670698</v>
      </c>
      <c r="S3624">
        <v>20.059904085126199</v>
      </c>
      <c r="T3624">
        <v>-3.6630358196247301</v>
      </c>
      <c r="U3624">
        <v>-1.81802181822036</v>
      </c>
      <c r="V3624">
        <v>1.7936102105937401E-3</v>
      </c>
      <c r="W3624">
        <v>2.5939589445653399E-2</v>
      </c>
      <c r="X3624">
        <v>0</v>
      </c>
      <c r="Y3624">
        <v>0</v>
      </c>
    </row>
    <row r="3625" spans="1:25" x14ac:dyDescent="0.2">
      <c r="A3625" t="s">
        <v>13329</v>
      </c>
      <c r="B3625" t="s">
        <v>13330</v>
      </c>
      <c r="C3625" t="s">
        <v>13331</v>
      </c>
      <c r="D3625" t="s">
        <v>93</v>
      </c>
      <c r="E3625" t="s">
        <v>13330</v>
      </c>
      <c r="F3625" t="s">
        <v>28</v>
      </c>
      <c r="G3625" t="s">
        <v>13330</v>
      </c>
      <c r="H3625" t="str">
        <f>"rbm-12"</f>
        <v>rbm-12</v>
      </c>
      <c r="I3625" t="s">
        <v>93</v>
      </c>
      <c r="J3625">
        <v>12.993851846635</v>
      </c>
      <c r="K3625">
        <v>13.4400643098699</v>
      </c>
      <c r="L3625">
        <v>13.5001248462282</v>
      </c>
      <c r="M3625">
        <v>13.2145901323078</v>
      </c>
      <c r="N3625">
        <v>12.1718017116046</v>
      </c>
      <c r="O3625">
        <v>12.705999759205801</v>
      </c>
      <c r="P3625">
        <v>-0.61388313320496501</v>
      </c>
      <c r="Q3625">
        <v>-1.8603078082262301</v>
      </c>
      <c r="R3625">
        <v>0.63254154181629896</v>
      </c>
      <c r="S3625">
        <v>13.537763972106299</v>
      </c>
      <c r="T3625">
        <v>-1.0351711891342401</v>
      </c>
      <c r="U3625">
        <v>-6.50680078067104</v>
      </c>
      <c r="V3625">
        <v>0.314376144219289</v>
      </c>
      <c r="W3625">
        <v>0.59165990357985299</v>
      </c>
      <c r="X3625">
        <v>0</v>
      </c>
      <c r="Y3625">
        <v>0</v>
      </c>
    </row>
    <row r="3626" spans="1:25" x14ac:dyDescent="0.2">
      <c r="A3626" t="s">
        <v>13332</v>
      </c>
      <c r="B3626" t="s">
        <v>13333</v>
      </c>
      <c r="C3626" t="s">
        <v>13334</v>
      </c>
      <c r="D3626" t="s">
        <v>13335</v>
      </c>
      <c r="E3626" t="s">
        <v>13333</v>
      </c>
      <c r="F3626" t="s">
        <v>28</v>
      </c>
      <c r="G3626" t="s">
        <v>13333</v>
      </c>
      <c r="H3626" t="str">
        <f>"gln-3"</f>
        <v>gln-3</v>
      </c>
      <c r="I3626" t="s">
        <v>13335</v>
      </c>
      <c r="J3626">
        <v>13.192061486307001</v>
      </c>
      <c r="K3626">
        <v>12.7365333560926</v>
      </c>
      <c r="L3626">
        <v>12.352994465150299</v>
      </c>
      <c r="M3626">
        <v>16.067671325554802</v>
      </c>
      <c r="N3626">
        <v>16.157767320031301</v>
      </c>
      <c r="O3626">
        <v>16.306860676701</v>
      </c>
      <c r="P3626">
        <v>3.4169033382457599</v>
      </c>
      <c r="Q3626">
        <v>2.3942728485556</v>
      </c>
      <c r="R3626">
        <v>4.4395338279359198</v>
      </c>
      <c r="S3626">
        <v>14.990659521668899</v>
      </c>
      <c r="T3626">
        <v>7.0227380462237203</v>
      </c>
      <c r="U3626">
        <v>5.2610581566672003</v>
      </c>
      <c r="V3626" s="2">
        <v>1.53720940369417E-6</v>
      </c>
      <c r="W3626" s="2">
        <v>8.4781006773234304E-5</v>
      </c>
      <c r="X3626">
        <v>1</v>
      </c>
      <c r="Y3626">
        <v>1</v>
      </c>
    </row>
    <row r="3627" spans="1:25" x14ac:dyDescent="0.2">
      <c r="A3627" t="s">
        <v>13336</v>
      </c>
      <c r="B3627" t="s">
        <v>13337</v>
      </c>
      <c r="C3627" t="s">
        <v>13338</v>
      </c>
      <c r="D3627" t="s">
        <v>13339</v>
      </c>
      <c r="E3627" t="s">
        <v>13337</v>
      </c>
      <c r="F3627" t="s">
        <v>28</v>
      </c>
      <c r="G3627" t="s">
        <v>13337</v>
      </c>
      <c r="H3627" t="str">
        <f>"jac-1"</f>
        <v>jac-1</v>
      </c>
      <c r="I3627" t="s">
        <v>13339</v>
      </c>
      <c r="J3627">
        <v>11.2235361568433</v>
      </c>
      <c r="K3627">
        <v>12.8176147483868</v>
      </c>
      <c r="L3627">
        <v>11.792906791478</v>
      </c>
      <c r="M3627">
        <v>12.3758160226709</v>
      </c>
      <c r="N3627">
        <v>13.176764252637399</v>
      </c>
      <c r="O3627">
        <v>12.4393497638886</v>
      </c>
      <c r="P3627">
        <v>0.71929078082958098</v>
      </c>
      <c r="Q3627">
        <v>2.4984364122318001E-2</v>
      </c>
      <c r="R3627">
        <v>1.41359719753684</v>
      </c>
      <c r="S3627">
        <v>13.2365121741379</v>
      </c>
      <c r="T3627">
        <v>2.197368248713</v>
      </c>
      <c r="U3627">
        <v>-4.8301234692930404</v>
      </c>
      <c r="V3627">
        <v>4.3169451766264001E-2</v>
      </c>
      <c r="W3627">
        <v>0.20597272147716</v>
      </c>
      <c r="X3627">
        <v>0</v>
      </c>
      <c r="Y3627">
        <v>0</v>
      </c>
    </row>
    <row r="3628" spans="1:25" x14ac:dyDescent="0.2">
      <c r="A3628" t="s">
        <v>13340</v>
      </c>
      <c r="B3628" t="s">
        <v>13341</v>
      </c>
      <c r="C3628" t="s">
        <v>13342</v>
      </c>
      <c r="D3628" t="s">
        <v>6078</v>
      </c>
      <c r="E3628" t="s">
        <v>13341</v>
      </c>
      <c r="F3628" t="s">
        <v>28</v>
      </c>
      <c r="G3628" t="s">
        <v>13341</v>
      </c>
      <c r="H3628" t="str">
        <f>"cox-4"</f>
        <v>cox-4</v>
      </c>
      <c r="I3628" t="s">
        <v>6078</v>
      </c>
      <c r="J3628">
        <v>13.000827393392299</v>
      </c>
      <c r="K3628">
        <v>12.708017700087501</v>
      </c>
      <c r="L3628">
        <v>13.7373400490576</v>
      </c>
      <c r="M3628">
        <v>12.3849308769444</v>
      </c>
      <c r="N3628">
        <v>12.8392972404699</v>
      </c>
      <c r="O3628">
        <v>13.6282236423444</v>
      </c>
      <c r="P3628">
        <v>-0.19791112759294499</v>
      </c>
      <c r="Q3628">
        <v>-0.95644514443293205</v>
      </c>
      <c r="R3628">
        <v>0.56062288924704096</v>
      </c>
      <c r="S3628">
        <v>13.2331280370183</v>
      </c>
      <c r="T3628">
        <v>-0.55073815409762705</v>
      </c>
      <c r="U3628">
        <v>-6.8940582255036897</v>
      </c>
      <c r="V3628">
        <v>0.58902222827289497</v>
      </c>
      <c r="W3628">
        <v>0.80336802302937005</v>
      </c>
      <c r="X3628">
        <v>0</v>
      </c>
      <c r="Y3628">
        <v>0</v>
      </c>
    </row>
    <row r="3629" spans="1:25" x14ac:dyDescent="0.2">
      <c r="A3629" t="s">
        <v>13343</v>
      </c>
      <c r="B3629" t="s">
        <v>13344</v>
      </c>
      <c r="C3629" t="s">
        <v>13345</v>
      </c>
      <c r="D3629" t="s">
        <v>13346</v>
      </c>
      <c r="E3629" t="s">
        <v>13344</v>
      </c>
      <c r="F3629" t="s">
        <v>28</v>
      </c>
      <c r="G3629" t="s">
        <v>13344</v>
      </c>
      <c r="H3629" t="str">
        <f>"rpl-31"</f>
        <v>rpl-31</v>
      </c>
      <c r="I3629" t="s">
        <v>13346</v>
      </c>
      <c r="J3629">
        <v>15.9041016552695</v>
      </c>
      <c r="K3629">
        <v>16.121858333380999</v>
      </c>
      <c r="L3629">
        <v>16.399878772830299</v>
      </c>
      <c r="M3629">
        <v>15.7813393000239</v>
      </c>
      <c r="N3629">
        <v>15.772225818366</v>
      </c>
      <c r="O3629">
        <v>15.7602339140564</v>
      </c>
      <c r="P3629">
        <v>-0.37067990967817699</v>
      </c>
      <c r="Q3629">
        <v>-1.2332161492893099</v>
      </c>
      <c r="R3629">
        <v>0.49185632993295902</v>
      </c>
      <c r="S3629">
        <v>15.4783907457048</v>
      </c>
      <c r="T3629">
        <v>-0.90326297883488504</v>
      </c>
      <c r="U3629">
        <v>-6.6340413632573902</v>
      </c>
      <c r="V3629">
        <v>0.37838508684578598</v>
      </c>
      <c r="W3629">
        <v>0.65353772430795498</v>
      </c>
      <c r="X3629">
        <v>0</v>
      </c>
      <c r="Y3629">
        <v>0</v>
      </c>
    </row>
    <row r="3630" spans="1:25" x14ac:dyDescent="0.2">
      <c r="A3630" t="s">
        <v>13347</v>
      </c>
      <c r="B3630" t="s">
        <v>13348</v>
      </c>
      <c r="C3630" t="s">
        <v>13349</v>
      </c>
      <c r="D3630" t="s">
        <v>13350</v>
      </c>
      <c r="E3630" t="s">
        <v>13348</v>
      </c>
      <c r="F3630" t="s">
        <v>28</v>
      </c>
      <c r="G3630" t="s">
        <v>13348</v>
      </c>
      <c r="H3630" t="str">
        <f>"unc-59"</f>
        <v>unc-59</v>
      </c>
      <c r="I3630" t="s">
        <v>13350</v>
      </c>
      <c r="J3630">
        <v>14.3584996580244</v>
      </c>
      <c r="K3630">
        <v>14.2180392207885</v>
      </c>
      <c r="L3630">
        <v>14.6552580737336</v>
      </c>
      <c r="M3630">
        <v>14.2193236347085</v>
      </c>
      <c r="N3630">
        <v>14.558602288045099</v>
      </c>
      <c r="O3630">
        <v>13.621600604761699</v>
      </c>
      <c r="P3630">
        <v>-0.27742347501042602</v>
      </c>
      <c r="Q3630">
        <v>-0.929216196190637</v>
      </c>
      <c r="R3630">
        <v>0.37436924616978401</v>
      </c>
      <c r="S3630">
        <v>14.7523670189667</v>
      </c>
      <c r="T3630">
        <v>-0.89459448053331803</v>
      </c>
      <c r="U3630">
        <v>-6.6418532800463801</v>
      </c>
      <c r="V3630">
        <v>0.382878793751463</v>
      </c>
      <c r="W3630">
        <v>0.65815494932424901</v>
      </c>
      <c r="X3630">
        <v>0</v>
      </c>
      <c r="Y3630">
        <v>0</v>
      </c>
    </row>
    <row r="3631" spans="1:25" x14ac:dyDescent="0.2">
      <c r="A3631" t="s">
        <v>13351</v>
      </c>
      <c r="B3631" t="s">
        <v>13352</v>
      </c>
      <c r="C3631" t="s">
        <v>13353</v>
      </c>
      <c r="D3631" t="s">
        <v>3312</v>
      </c>
      <c r="E3631" t="s">
        <v>13352</v>
      </c>
      <c r="F3631" t="s">
        <v>28</v>
      </c>
      <c r="G3631" t="s">
        <v>13354</v>
      </c>
      <c r="H3631" t="str">
        <f>"col-93"</f>
        <v>col-93</v>
      </c>
      <c r="I3631" t="s">
        <v>3312</v>
      </c>
      <c r="J3631">
        <v>13.735222383847701</v>
      </c>
      <c r="K3631">
        <v>13.8188310620069</v>
      </c>
      <c r="L3631">
        <v>14.2656962683247</v>
      </c>
      <c r="M3631">
        <v>13.040457886559899</v>
      </c>
      <c r="N3631">
        <v>12.833110165393901</v>
      </c>
      <c r="O3631">
        <v>13.117794735020899</v>
      </c>
      <c r="P3631">
        <v>-0.94279564240154201</v>
      </c>
      <c r="Q3631">
        <v>-1.56436999933941</v>
      </c>
      <c r="R3631">
        <v>-0.32122128546366902</v>
      </c>
      <c r="S3631">
        <v>14.262027801527701</v>
      </c>
      <c r="T3631">
        <v>-3.18799029304793</v>
      </c>
      <c r="U3631">
        <v>-2.8422736275139</v>
      </c>
      <c r="V3631">
        <v>5.1237319768836498E-3</v>
      </c>
      <c r="W3631">
        <v>5.5390776919532897E-2</v>
      </c>
      <c r="X3631">
        <v>0</v>
      </c>
      <c r="Y3631">
        <v>0</v>
      </c>
    </row>
    <row r="3632" spans="1:25" x14ac:dyDescent="0.2">
      <c r="A3632" t="s">
        <v>13355</v>
      </c>
      <c r="B3632" t="s">
        <v>13356</v>
      </c>
      <c r="C3632" t="s">
        <v>14733</v>
      </c>
      <c r="D3632" t="s">
        <v>13357</v>
      </c>
      <c r="E3632" t="s">
        <v>13356</v>
      </c>
      <c r="F3632" t="s">
        <v>28</v>
      </c>
      <c r="G3632" t="s">
        <v>13356</v>
      </c>
      <c r="H3632" t="str">
        <f>"W03H9.1"</f>
        <v>W03H9.1</v>
      </c>
      <c r="I3632" t="s">
        <v>13357</v>
      </c>
      <c r="J3632" t="s">
        <v>29</v>
      </c>
      <c r="K3632">
        <v>9.3544004788133694</v>
      </c>
      <c r="L3632" t="s">
        <v>29</v>
      </c>
      <c r="M3632" t="s">
        <v>29</v>
      </c>
      <c r="N3632">
        <v>9.4813366870512095</v>
      </c>
      <c r="O3632" t="s">
        <v>29</v>
      </c>
      <c r="P3632">
        <v>0.126936208237836</v>
      </c>
      <c r="Q3632">
        <v>-0.92136730520495003</v>
      </c>
      <c r="R3632">
        <v>1.1752397216806201</v>
      </c>
      <c r="S3632">
        <v>9.3344479956175093</v>
      </c>
      <c r="T3632">
        <v>0.31328241743774099</v>
      </c>
      <c r="U3632">
        <v>-6.4528400178552898</v>
      </c>
      <c r="V3632">
        <v>0.76697370890805905</v>
      </c>
      <c r="W3632">
        <v>0.90111683213701999</v>
      </c>
      <c r="X3632">
        <v>0</v>
      </c>
      <c r="Y3632">
        <v>0</v>
      </c>
    </row>
    <row r="3633" spans="1:25" x14ac:dyDescent="0.2">
      <c r="A3633" t="s">
        <v>13358</v>
      </c>
      <c r="B3633" t="s">
        <v>13359</v>
      </c>
      <c r="C3633" t="s">
        <v>13360</v>
      </c>
      <c r="D3633" t="s">
        <v>13361</v>
      </c>
      <c r="E3633" t="s">
        <v>13359</v>
      </c>
      <c r="F3633" t="s">
        <v>28</v>
      </c>
      <c r="G3633" t="s">
        <v>13359</v>
      </c>
      <c r="H3633" t="str">
        <f>"ect-2"</f>
        <v>ect-2</v>
      </c>
      <c r="I3633" t="s">
        <v>13361</v>
      </c>
      <c r="J3633" t="s">
        <v>29</v>
      </c>
      <c r="K3633">
        <v>11.848130038704699</v>
      </c>
      <c r="L3633" t="s">
        <v>29</v>
      </c>
      <c r="M3633">
        <v>11.8581498169249</v>
      </c>
      <c r="N3633" t="s">
        <v>29</v>
      </c>
      <c r="O3633">
        <v>11.000209198878199</v>
      </c>
      <c r="P3633">
        <v>-0.41895053080315098</v>
      </c>
      <c r="Q3633">
        <v>-1.51593040403324</v>
      </c>
      <c r="R3633">
        <v>0.67802934242694202</v>
      </c>
      <c r="S3633">
        <v>10.977799021749799</v>
      </c>
      <c r="T3633">
        <v>-0.84157297132179099</v>
      </c>
      <c r="U3633">
        <v>-6.28293843668256</v>
      </c>
      <c r="V3633">
        <v>0.41811614933054497</v>
      </c>
      <c r="W3633">
        <v>0.69154720631705402</v>
      </c>
      <c r="X3633">
        <v>0</v>
      </c>
      <c r="Y3633">
        <v>0</v>
      </c>
    </row>
    <row r="3634" spans="1:25" x14ac:dyDescent="0.2">
      <c r="A3634" t="s">
        <v>13362</v>
      </c>
      <c r="B3634" t="s">
        <v>13363</v>
      </c>
      <c r="C3634" t="s">
        <v>14734</v>
      </c>
      <c r="D3634" t="s">
        <v>13364</v>
      </c>
      <c r="E3634" t="s">
        <v>13363</v>
      </c>
      <c r="F3634" t="s">
        <v>28</v>
      </c>
      <c r="G3634" t="s">
        <v>13363</v>
      </c>
      <c r="H3634" t="str">
        <f>"T16G1.9"</f>
        <v>T16G1.9</v>
      </c>
      <c r="I3634" t="s">
        <v>13364</v>
      </c>
      <c r="J3634">
        <v>13.6218678496497</v>
      </c>
      <c r="K3634">
        <v>13.416315696691299</v>
      </c>
      <c r="L3634">
        <v>13.413339394042699</v>
      </c>
      <c r="M3634">
        <v>13.7288021415774</v>
      </c>
      <c r="N3634">
        <v>13.480802365195</v>
      </c>
      <c r="O3634">
        <v>13.363061350208399</v>
      </c>
      <c r="P3634">
        <v>4.0380972199038502E-2</v>
      </c>
      <c r="Q3634">
        <v>-0.36784142459482599</v>
      </c>
      <c r="R3634">
        <v>0.44860336899290298</v>
      </c>
      <c r="S3634">
        <v>13.2735275261384</v>
      </c>
      <c r="T3634">
        <v>0.20879974097222501</v>
      </c>
      <c r="U3634">
        <v>-7.0291968297794902</v>
      </c>
      <c r="V3634">
        <v>0.83710124018115994</v>
      </c>
      <c r="W3634">
        <v>0.93426362107583805</v>
      </c>
      <c r="X3634">
        <v>0</v>
      </c>
      <c r="Y3634">
        <v>0</v>
      </c>
    </row>
    <row r="3635" spans="1:25" x14ac:dyDescent="0.2">
      <c r="A3635" t="s">
        <v>13365</v>
      </c>
      <c r="B3635" t="s">
        <v>13366</v>
      </c>
      <c r="C3635" t="s">
        <v>13367</v>
      </c>
      <c r="D3635" t="s">
        <v>13368</v>
      </c>
      <c r="E3635" t="s">
        <v>13366</v>
      </c>
      <c r="F3635" t="s">
        <v>28</v>
      </c>
      <c r="G3635" t="s">
        <v>13366</v>
      </c>
      <c r="H3635" t="str">
        <f>"gldi-7"</f>
        <v>gldi-7</v>
      </c>
      <c r="I3635" t="s">
        <v>13368</v>
      </c>
      <c r="J3635" t="s">
        <v>29</v>
      </c>
      <c r="K3635" t="s">
        <v>29</v>
      </c>
      <c r="L3635" t="s">
        <v>29</v>
      </c>
      <c r="M3635">
        <v>14.8857607437188</v>
      </c>
      <c r="N3635">
        <v>15.0035845778193</v>
      </c>
      <c r="O3635">
        <v>14.6379457856799</v>
      </c>
      <c r="P3635" t="s">
        <v>29</v>
      </c>
      <c r="Q3635" t="s">
        <v>29</v>
      </c>
      <c r="R3635" t="s">
        <v>29</v>
      </c>
      <c r="S3635">
        <v>13.408481249397401</v>
      </c>
      <c r="T3635" t="s">
        <v>29</v>
      </c>
      <c r="U3635" t="s">
        <v>29</v>
      </c>
      <c r="V3635" t="s">
        <v>29</v>
      </c>
      <c r="W3635" t="s">
        <v>29</v>
      </c>
      <c r="X3635" t="s">
        <v>29</v>
      </c>
      <c r="Y3635" t="s">
        <v>29</v>
      </c>
    </row>
    <row r="3636" spans="1:25" x14ac:dyDescent="0.2">
      <c r="A3636" t="s">
        <v>13369</v>
      </c>
      <c r="B3636" t="s">
        <v>13370</v>
      </c>
      <c r="C3636" t="s">
        <v>13371</v>
      </c>
      <c r="D3636" t="s">
        <v>8655</v>
      </c>
      <c r="E3636" t="s">
        <v>13370</v>
      </c>
      <c r="F3636" t="s">
        <v>28</v>
      </c>
      <c r="G3636" t="s">
        <v>13370</v>
      </c>
      <c r="H3636" t="str">
        <f>"pis-1"</f>
        <v>pis-1</v>
      </c>
      <c r="I3636" t="s">
        <v>8655</v>
      </c>
      <c r="J3636">
        <v>12.038377067917301</v>
      </c>
      <c r="K3636">
        <v>12.5929570421301</v>
      </c>
      <c r="L3636">
        <v>12.477719024907699</v>
      </c>
      <c r="M3636">
        <v>12.5269074036575</v>
      </c>
      <c r="N3636">
        <v>11.9098120193849</v>
      </c>
      <c r="O3636">
        <v>12.114107384198901</v>
      </c>
      <c r="P3636">
        <v>-0.18607544257125699</v>
      </c>
      <c r="Q3636">
        <v>-0.72421785223125701</v>
      </c>
      <c r="R3636">
        <v>0.35206696708874402</v>
      </c>
      <c r="S3636">
        <v>13.0804721508354</v>
      </c>
      <c r="T3636">
        <v>-0.72986385173747603</v>
      </c>
      <c r="U3636">
        <v>-6.7763985364358099</v>
      </c>
      <c r="V3636">
        <v>0.47547221129473999</v>
      </c>
      <c r="W3636">
        <v>0.73595499432160905</v>
      </c>
      <c r="X3636">
        <v>0</v>
      </c>
      <c r="Y3636">
        <v>0</v>
      </c>
    </row>
    <row r="3637" spans="1:25" x14ac:dyDescent="0.2">
      <c r="A3637" t="s">
        <v>13372</v>
      </c>
      <c r="B3637" t="s">
        <v>13373</v>
      </c>
      <c r="C3637" t="s">
        <v>13374</v>
      </c>
      <c r="D3637" t="s">
        <v>13375</v>
      </c>
      <c r="E3637" t="s">
        <v>13373</v>
      </c>
      <c r="F3637" t="s">
        <v>28</v>
      </c>
      <c r="G3637" t="s">
        <v>13373</v>
      </c>
      <c r="H3637" t="str">
        <f>"rsbp-1"</f>
        <v>rsbp-1</v>
      </c>
      <c r="I3637" t="s">
        <v>13375</v>
      </c>
      <c r="J3637" t="s">
        <v>29</v>
      </c>
      <c r="K3637" t="s">
        <v>29</v>
      </c>
      <c r="L3637" t="s">
        <v>29</v>
      </c>
      <c r="M3637" t="s">
        <v>29</v>
      </c>
      <c r="N3637">
        <v>11.6049625117235</v>
      </c>
      <c r="O3637" t="s">
        <v>29</v>
      </c>
      <c r="P3637" t="s">
        <v>29</v>
      </c>
      <c r="Q3637" t="s">
        <v>29</v>
      </c>
      <c r="R3637" t="s">
        <v>29</v>
      </c>
      <c r="S3637">
        <v>11.653045481277401</v>
      </c>
      <c r="T3637" t="s">
        <v>29</v>
      </c>
      <c r="U3637" t="s">
        <v>29</v>
      </c>
      <c r="V3637" t="s">
        <v>29</v>
      </c>
      <c r="W3637" t="s">
        <v>29</v>
      </c>
      <c r="X3637" t="s">
        <v>29</v>
      </c>
      <c r="Y3637" t="s">
        <v>29</v>
      </c>
    </row>
    <row r="3638" spans="1:25" x14ac:dyDescent="0.2">
      <c r="A3638" t="s">
        <v>13376</v>
      </c>
      <c r="B3638" t="s">
        <v>13377</v>
      </c>
      <c r="C3638" t="s">
        <v>13378</v>
      </c>
      <c r="D3638" t="s">
        <v>13379</v>
      </c>
      <c r="E3638" t="s">
        <v>13377</v>
      </c>
      <c r="F3638" t="s">
        <v>28</v>
      </c>
      <c r="G3638" t="s">
        <v>13377</v>
      </c>
      <c r="H3638" t="str">
        <f>"chaf-1"</f>
        <v>chaf-1</v>
      </c>
      <c r="I3638" t="s">
        <v>13379</v>
      </c>
      <c r="J3638" t="s">
        <v>29</v>
      </c>
      <c r="K3638" t="s">
        <v>29</v>
      </c>
      <c r="L3638" t="s">
        <v>29</v>
      </c>
      <c r="M3638" t="s">
        <v>29</v>
      </c>
      <c r="N3638" t="s">
        <v>29</v>
      </c>
      <c r="O3638" t="s">
        <v>29</v>
      </c>
      <c r="P3638" t="s">
        <v>29</v>
      </c>
      <c r="Q3638" t="s">
        <v>29</v>
      </c>
      <c r="R3638" t="s">
        <v>29</v>
      </c>
      <c r="S3638">
        <v>13.143955990008401</v>
      </c>
      <c r="T3638" t="s">
        <v>29</v>
      </c>
      <c r="U3638" t="s">
        <v>29</v>
      </c>
      <c r="V3638" t="s">
        <v>29</v>
      </c>
      <c r="W3638" t="s">
        <v>29</v>
      </c>
      <c r="X3638" t="s">
        <v>29</v>
      </c>
      <c r="Y3638" t="s">
        <v>29</v>
      </c>
    </row>
    <row r="3639" spans="1:25" x14ac:dyDescent="0.2">
      <c r="A3639" t="s">
        <v>13380</v>
      </c>
      <c r="B3639" t="s">
        <v>13381</v>
      </c>
      <c r="C3639" t="s">
        <v>13382</v>
      </c>
      <c r="D3639" t="s">
        <v>13383</v>
      </c>
      <c r="E3639" t="s">
        <v>13381</v>
      </c>
      <c r="F3639" t="s">
        <v>28</v>
      </c>
      <c r="G3639" t="s">
        <v>13381</v>
      </c>
      <c r="H3639" t="str">
        <f>"nol-9"</f>
        <v>nol-9</v>
      </c>
      <c r="I3639" t="s">
        <v>13383</v>
      </c>
      <c r="J3639">
        <v>13.474060658828099</v>
      </c>
      <c r="K3639">
        <v>13.3631557926673</v>
      </c>
      <c r="L3639">
        <v>13.5349457407918</v>
      </c>
      <c r="M3639">
        <v>13.5277311229093</v>
      </c>
      <c r="N3639">
        <v>13.703059532156001</v>
      </c>
      <c r="O3639">
        <v>13.456309417080799</v>
      </c>
      <c r="P3639">
        <v>0.10497929328630699</v>
      </c>
      <c r="Q3639">
        <v>-0.30364366712282798</v>
      </c>
      <c r="R3639">
        <v>0.51360225369544299</v>
      </c>
      <c r="S3639">
        <v>13.4310826193335</v>
      </c>
      <c r="T3639">
        <v>0.53997467542952104</v>
      </c>
      <c r="U3639">
        <v>-6.9005243252837003</v>
      </c>
      <c r="V3639">
        <v>0.59587100388553704</v>
      </c>
      <c r="W3639">
        <v>0.80686135298032302</v>
      </c>
      <c r="X3639">
        <v>0</v>
      </c>
      <c r="Y3639">
        <v>0</v>
      </c>
    </row>
    <row r="3640" spans="1:25" x14ac:dyDescent="0.2">
      <c r="A3640" t="s">
        <v>13384</v>
      </c>
      <c r="B3640" t="s">
        <v>13385</v>
      </c>
      <c r="C3640" t="s">
        <v>13386</v>
      </c>
      <c r="D3640" t="s">
        <v>13387</v>
      </c>
      <c r="E3640" t="s">
        <v>13385</v>
      </c>
      <c r="F3640" t="s">
        <v>28</v>
      </c>
      <c r="G3640" t="s">
        <v>13385</v>
      </c>
      <c r="H3640" t="str">
        <f>"dcn-1"</f>
        <v>dcn-1</v>
      </c>
      <c r="I3640" t="s">
        <v>13387</v>
      </c>
      <c r="J3640">
        <v>15.4890708050377</v>
      </c>
      <c r="K3640">
        <v>15.3614259323071</v>
      </c>
      <c r="L3640">
        <v>15.206220734746701</v>
      </c>
      <c r="M3640">
        <v>15.1204548811564</v>
      </c>
      <c r="N3640">
        <v>15.1318347623146</v>
      </c>
      <c r="O3640">
        <v>14.855705683751699</v>
      </c>
      <c r="P3640">
        <v>-0.31624071495625999</v>
      </c>
      <c r="Q3640">
        <v>-0.62908533700004399</v>
      </c>
      <c r="R3640">
        <v>-3.3960929124756101E-3</v>
      </c>
      <c r="S3640">
        <v>14.960390782845</v>
      </c>
      <c r="T3640">
        <v>-2.1246216502664801</v>
      </c>
      <c r="U3640">
        <v>-4.94443015363548</v>
      </c>
      <c r="V3640">
        <v>4.78118899496019E-2</v>
      </c>
      <c r="W3640">
        <v>0.21698729413668699</v>
      </c>
      <c r="X3640">
        <v>0</v>
      </c>
      <c r="Y3640">
        <v>0</v>
      </c>
    </row>
    <row r="3641" spans="1:25" x14ac:dyDescent="0.2">
      <c r="A3641" t="s">
        <v>13388</v>
      </c>
      <c r="B3641" t="s">
        <v>13389</v>
      </c>
      <c r="C3641" t="s">
        <v>13390</v>
      </c>
      <c r="D3641" t="s">
        <v>13391</v>
      </c>
      <c r="E3641" t="s">
        <v>13389</v>
      </c>
      <c r="F3641" t="s">
        <v>28</v>
      </c>
      <c r="G3641" t="s">
        <v>13389</v>
      </c>
      <c r="H3641" t="str">
        <f>"sms-1"</f>
        <v>sms-1</v>
      </c>
      <c r="I3641" t="s">
        <v>13391</v>
      </c>
      <c r="J3641">
        <v>12.125886279641101</v>
      </c>
      <c r="K3641">
        <v>12.5721858284432</v>
      </c>
      <c r="L3641">
        <v>12.0400718638311</v>
      </c>
      <c r="M3641">
        <v>10.8367151828364</v>
      </c>
      <c r="N3641">
        <v>11.191997087494199</v>
      </c>
      <c r="O3641">
        <v>11.1620823273515</v>
      </c>
      <c r="P3641">
        <v>-1.1824497914110601</v>
      </c>
      <c r="Q3641">
        <v>-1.86517944094605</v>
      </c>
      <c r="R3641">
        <v>-0.49972014187607899</v>
      </c>
      <c r="S3641">
        <v>11.7849154644053</v>
      </c>
      <c r="T3641">
        <v>-3.67352902027215</v>
      </c>
      <c r="U3641">
        <v>-1.91238414298764</v>
      </c>
      <c r="V3641">
        <v>2.0737825319141101E-3</v>
      </c>
      <c r="W3641">
        <v>2.9239397467244198E-2</v>
      </c>
      <c r="X3641">
        <v>-1</v>
      </c>
      <c r="Y3641">
        <v>-1</v>
      </c>
    </row>
    <row r="3642" spans="1:25" x14ac:dyDescent="0.2">
      <c r="A3642" t="s">
        <v>13392</v>
      </c>
      <c r="B3642" t="s">
        <v>13393</v>
      </c>
      <c r="C3642" t="s">
        <v>13394</v>
      </c>
      <c r="D3642" t="s">
        <v>13395</v>
      </c>
      <c r="E3642" t="s">
        <v>13393</v>
      </c>
      <c r="F3642" t="s">
        <v>28</v>
      </c>
      <c r="G3642" t="s">
        <v>13393</v>
      </c>
      <c r="H3642" t="str">
        <f>"adr-1"</f>
        <v>adr-1</v>
      </c>
      <c r="I3642" t="s">
        <v>13395</v>
      </c>
      <c r="J3642">
        <v>14.928651670491201</v>
      </c>
      <c r="K3642">
        <v>14.911680040639499</v>
      </c>
      <c r="L3642">
        <v>14.787441495476999</v>
      </c>
      <c r="M3642">
        <v>14.8038436704449</v>
      </c>
      <c r="N3642">
        <v>14.941618301789401</v>
      </c>
      <c r="O3642">
        <v>14.764231398698801</v>
      </c>
      <c r="P3642">
        <v>-3.9359945224845198E-2</v>
      </c>
      <c r="Q3642">
        <v>-0.48405613180304402</v>
      </c>
      <c r="R3642">
        <v>0.405336241353354</v>
      </c>
      <c r="S3642">
        <v>14.829967849289799</v>
      </c>
      <c r="T3642">
        <v>-0.186030260101818</v>
      </c>
      <c r="U3642">
        <v>-7.0339676777224103</v>
      </c>
      <c r="V3642">
        <v>0.85451353756548898</v>
      </c>
      <c r="W3642">
        <v>0.94313111037049002</v>
      </c>
      <c r="X3642">
        <v>0</v>
      </c>
      <c r="Y3642">
        <v>0</v>
      </c>
    </row>
    <row r="3643" spans="1:25" x14ac:dyDescent="0.2">
      <c r="A3643" t="s">
        <v>13396</v>
      </c>
      <c r="B3643" t="s">
        <v>13397</v>
      </c>
      <c r="C3643" t="s">
        <v>13398</v>
      </c>
      <c r="D3643" t="s">
        <v>13399</v>
      </c>
      <c r="E3643" t="s">
        <v>13397</v>
      </c>
      <c r="F3643" t="s">
        <v>28</v>
      </c>
      <c r="G3643" t="s">
        <v>13397</v>
      </c>
      <c r="H3643" t="str">
        <f>"ndua-1"</f>
        <v>ndua-1</v>
      </c>
      <c r="I3643" t="s">
        <v>13399</v>
      </c>
      <c r="J3643">
        <v>14.087214842226301</v>
      </c>
      <c r="K3643">
        <v>14.236895943531</v>
      </c>
      <c r="L3643">
        <v>14.693591623357801</v>
      </c>
      <c r="M3643" t="s">
        <v>29</v>
      </c>
      <c r="N3643" t="s">
        <v>29</v>
      </c>
      <c r="O3643">
        <v>14.7358705303979</v>
      </c>
      <c r="P3643">
        <v>0.39663639402618001</v>
      </c>
      <c r="Q3643">
        <v>-1.7803643217815901</v>
      </c>
      <c r="R3643">
        <v>2.5736371098339501</v>
      </c>
      <c r="S3643">
        <v>13.6343745645742</v>
      </c>
      <c r="T3643">
        <v>0.39735529238463702</v>
      </c>
      <c r="U3643">
        <v>-6.62539945211679</v>
      </c>
      <c r="V3643">
        <v>0.69814329250830698</v>
      </c>
      <c r="W3643">
        <v>0.865842761453545</v>
      </c>
      <c r="X3643">
        <v>0</v>
      </c>
      <c r="Y3643">
        <v>0</v>
      </c>
    </row>
    <row r="3644" spans="1:25" x14ac:dyDescent="0.2">
      <c r="A3644" t="s">
        <v>13400</v>
      </c>
      <c r="B3644" t="s">
        <v>13401</v>
      </c>
      <c r="C3644" t="s">
        <v>14735</v>
      </c>
      <c r="D3644" t="s">
        <v>4609</v>
      </c>
      <c r="E3644" t="s">
        <v>13401</v>
      </c>
      <c r="F3644" t="s">
        <v>28</v>
      </c>
      <c r="G3644" t="s">
        <v>13401</v>
      </c>
      <c r="H3644" t="str">
        <f>"F28H6.4"</f>
        <v>F28H6.4</v>
      </c>
      <c r="I3644" t="s">
        <v>4609</v>
      </c>
      <c r="J3644" t="s">
        <v>29</v>
      </c>
      <c r="K3644" t="s">
        <v>29</v>
      </c>
      <c r="L3644" t="s">
        <v>29</v>
      </c>
      <c r="M3644" t="s">
        <v>29</v>
      </c>
      <c r="N3644" t="s">
        <v>29</v>
      </c>
      <c r="O3644" t="s">
        <v>29</v>
      </c>
      <c r="P3644" t="s">
        <v>29</v>
      </c>
      <c r="Q3644" t="s">
        <v>29</v>
      </c>
      <c r="R3644" t="s">
        <v>29</v>
      </c>
      <c r="S3644">
        <v>10.7083937241994</v>
      </c>
      <c r="T3644" t="s">
        <v>29</v>
      </c>
      <c r="U3644" t="s">
        <v>29</v>
      </c>
      <c r="V3644" t="s">
        <v>29</v>
      </c>
      <c r="W3644" t="s">
        <v>29</v>
      </c>
      <c r="X3644" t="s">
        <v>29</v>
      </c>
      <c r="Y3644" t="s">
        <v>29</v>
      </c>
    </row>
    <row r="3645" spans="1:25" x14ac:dyDescent="0.2">
      <c r="A3645" t="s">
        <v>13402</v>
      </c>
      <c r="B3645" t="s">
        <v>13403</v>
      </c>
      <c r="C3645" t="s">
        <v>13404</v>
      </c>
      <c r="D3645" t="s">
        <v>13405</v>
      </c>
      <c r="E3645" t="s">
        <v>13403</v>
      </c>
      <c r="F3645" t="s">
        <v>28</v>
      </c>
      <c r="G3645" t="s">
        <v>13403</v>
      </c>
      <c r="H3645" t="str">
        <f>"F26F2.7"</f>
        <v>F26F2.7</v>
      </c>
      <c r="I3645" t="s">
        <v>13405</v>
      </c>
      <c r="J3645">
        <v>12.2472071877463</v>
      </c>
      <c r="K3645" t="s">
        <v>29</v>
      </c>
      <c r="L3645">
        <v>12.000988102624399</v>
      </c>
      <c r="M3645" t="s">
        <v>29</v>
      </c>
      <c r="N3645">
        <v>11.683861871392301</v>
      </c>
      <c r="O3645">
        <v>12.0543670526271</v>
      </c>
      <c r="P3645">
        <v>-0.254983183175646</v>
      </c>
      <c r="Q3645">
        <v>-0.82606365401304005</v>
      </c>
      <c r="R3645">
        <v>0.316097287661747</v>
      </c>
      <c r="S3645">
        <v>11.9738355523709</v>
      </c>
      <c r="T3645">
        <v>-0.99627932998845803</v>
      </c>
      <c r="U3645">
        <v>-6.3364407552427098</v>
      </c>
      <c r="V3645">
        <v>0.34285305244750403</v>
      </c>
      <c r="W3645">
        <v>0.622775875738662</v>
      </c>
      <c r="X3645">
        <v>0</v>
      </c>
      <c r="Y3645">
        <v>0</v>
      </c>
    </row>
    <row r="3646" spans="1:25" x14ac:dyDescent="0.2">
      <c r="A3646" t="s">
        <v>13406</v>
      </c>
      <c r="B3646" t="s">
        <v>13407</v>
      </c>
      <c r="C3646" t="s">
        <v>14736</v>
      </c>
      <c r="D3646" t="s">
        <v>13408</v>
      </c>
      <c r="E3646" t="s">
        <v>13407</v>
      </c>
      <c r="F3646" t="s">
        <v>28</v>
      </c>
      <c r="G3646" t="s">
        <v>13407</v>
      </c>
      <c r="H3646" t="str">
        <f>"F11A10.6"</f>
        <v>F11A10.6</v>
      </c>
      <c r="I3646" t="s">
        <v>13408</v>
      </c>
      <c r="J3646">
        <v>13.2863944795034</v>
      </c>
      <c r="K3646">
        <v>13.0171419323083</v>
      </c>
      <c r="L3646">
        <v>13.365246720391401</v>
      </c>
      <c r="M3646">
        <v>12.893703627544101</v>
      </c>
      <c r="N3646">
        <v>13.3079520325154</v>
      </c>
      <c r="O3646">
        <v>11.7144115247158</v>
      </c>
      <c r="P3646">
        <v>-0.58423864914259505</v>
      </c>
      <c r="Q3646">
        <v>-1.30897834347332</v>
      </c>
      <c r="R3646">
        <v>0.140501045188134</v>
      </c>
      <c r="S3646">
        <v>13.3258406015199</v>
      </c>
      <c r="T3646">
        <v>-1.7192927856551301</v>
      </c>
      <c r="U3646">
        <v>-5.6249073148986204</v>
      </c>
      <c r="V3646">
        <v>0.106266253857373</v>
      </c>
      <c r="W3646">
        <v>0.33734478554981101</v>
      </c>
      <c r="X3646">
        <v>0</v>
      </c>
      <c r="Y3646">
        <v>0</v>
      </c>
    </row>
    <row r="3647" spans="1:25" x14ac:dyDescent="0.2">
      <c r="A3647" t="s">
        <v>13409</v>
      </c>
      <c r="B3647" t="s">
        <v>13410</v>
      </c>
      <c r="C3647" t="s">
        <v>13411</v>
      </c>
      <c r="D3647" t="s">
        <v>13412</v>
      </c>
      <c r="E3647" t="s">
        <v>13410</v>
      </c>
      <c r="F3647" t="s">
        <v>28</v>
      </c>
      <c r="G3647" t="s">
        <v>13410</v>
      </c>
      <c r="H3647" t="str">
        <f>"ints-11"</f>
        <v>ints-11</v>
      </c>
      <c r="I3647" t="s">
        <v>13412</v>
      </c>
      <c r="J3647">
        <v>13.750057282109299</v>
      </c>
      <c r="K3647">
        <v>13.2630057694161</v>
      </c>
      <c r="L3647">
        <v>13.2342391328828</v>
      </c>
      <c r="M3647">
        <v>12.185707576603701</v>
      </c>
      <c r="N3647">
        <v>13.354704676009</v>
      </c>
      <c r="O3647">
        <v>13.1699943636482</v>
      </c>
      <c r="P3647">
        <v>-0.51229852271573995</v>
      </c>
      <c r="Q3647">
        <v>-1.1265022791724599</v>
      </c>
      <c r="R3647">
        <v>0.101905233740983</v>
      </c>
      <c r="S3647">
        <v>13.0423116323563</v>
      </c>
      <c r="T3647">
        <v>-1.76059980098846</v>
      </c>
      <c r="U3647">
        <v>-5.5569260024703802</v>
      </c>
      <c r="V3647">
        <v>9.63947669716579E-2</v>
      </c>
      <c r="W3647">
        <v>0.320396906767901</v>
      </c>
      <c r="X3647">
        <v>0</v>
      </c>
      <c r="Y3647">
        <v>0</v>
      </c>
    </row>
    <row r="3648" spans="1:25" x14ac:dyDescent="0.2">
      <c r="A3648" t="s">
        <v>13413</v>
      </c>
      <c r="B3648" t="s">
        <v>13414</v>
      </c>
      <c r="C3648" t="s">
        <v>13415</v>
      </c>
      <c r="D3648" t="s">
        <v>323</v>
      </c>
      <c r="E3648" t="s">
        <v>13414</v>
      </c>
      <c r="F3648" t="s">
        <v>28</v>
      </c>
      <c r="G3648" t="s">
        <v>13414</v>
      </c>
      <c r="H3648" t="str">
        <f>"C49C3.10"</f>
        <v>C49C3.10</v>
      </c>
      <c r="I3648" t="s">
        <v>323</v>
      </c>
      <c r="J3648" t="s">
        <v>29</v>
      </c>
      <c r="K3648">
        <v>11.9756113599059</v>
      </c>
      <c r="L3648" t="s">
        <v>29</v>
      </c>
      <c r="M3648" t="s">
        <v>29</v>
      </c>
      <c r="N3648">
        <v>10.294987680521601</v>
      </c>
      <c r="O3648" t="s">
        <v>29</v>
      </c>
      <c r="P3648">
        <v>-1.6806236793842899</v>
      </c>
      <c r="Q3648">
        <v>-2.87697315471293</v>
      </c>
      <c r="R3648">
        <v>-0.48427420405563898</v>
      </c>
      <c r="S3648">
        <v>12.007937598155801</v>
      </c>
      <c r="T3648">
        <v>-3.13457961743002</v>
      </c>
      <c r="U3648">
        <v>-2.8694834385635999</v>
      </c>
      <c r="V3648">
        <v>1.07402069392941E-2</v>
      </c>
      <c r="W3648">
        <v>9.2456702064716803E-2</v>
      </c>
      <c r="X3648">
        <v>-1</v>
      </c>
      <c r="Y3648">
        <v>0</v>
      </c>
    </row>
    <row r="3649" spans="1:25" x14ac:dyDescent="0.2">
      <c r="A3649" t="s">
        <v>13416</v>
      </c>
      <c r="B3649" t="s">
        <v>13417</v>
      </c>
      <c r="C3649" t="s">
        <v>13418</v>
      </c>
      <c r="D3649" t="s">
        <v>13419</v>
      </c>
      <c r="E3649" t="s">
        <v>13417</v>
      </c>
      <c r="F3649" t="s">
        <v>28</v>
      </c>
      <c r="G3649" t="s">
        <v>13417</v>
      </c>
      <c r="H3649" t="str">
        <f>"C47B2.2"</f>
        <v>C47B2.2</v>
      </c>
      <c r="I3649" t="s">
        <v>13419</v>
      </c>
      <c r="J3649">
        <v>15.0574309808117</v>
      </c>
      <c r="K3649">
        <v>14.7986752349225</v>
      </c>
      <c r="L3649">
        <v>14.993386718191701</v>
      </c>
      <c r="M3649">
        <v>15.0411820013487</v>
      </c>
      <c r="N3649">
        <v>15.2556152592835</v>
      </c>
      <c r="O3649">
        <v>15.282690086156901</v>
      </c>
      <c r="P3649">
        <v>0.243331470954399</v>
      </c>
      <c r="Q3649">
        <v>-9.5012073387040305E-2</v>
      </c>
      <c r="R3649">
        <v>0.58167501529583698</v>
      </c>
      <c r="S3649">
        <v>14.8518252364237</v>
      </c>
      <c r="T3649">
        <v>1.5115861365145</v>
      </c>
      <c r="U3649">
        <v>-5.9256785503555998</v>
      </c>
      <c r="V3649">
        <v>0.14809737599556699</v>
      </c>
      <c r="W3649">
        <v>0.398601208841667</v>
      </c>
      <c r="X3649">
        <v>0</v>
      </c>
      <c r="Y3649">
        <v>0</v>
      </c>
    </row>
    <row r="3650" spans="1:25" x14ac:dyDescent="0.2">
      <c r="A3650" t="s">
        <v>13420</v>
      </c>
      <c r="B3650" t="s">
        <v>13421</v>
      </c>
      <c r="C3650" t="s">
        <v>13422</v>
      </c>
      <c r="D3650" t="s">
        <v>3358</v>
      </c>
      <c r="E3650" t="s">
        <v>13421</v>
      </c>
      <c r="F3650" t="s">
        <v>28</v>
      </c>
      <c r="G3650" t="s">
        <v>13421</v>
      </c>
      <c r="H3650" t="str">
        <f>"fbxa-174"</f>
        <v>fbxa-174</v>
      </c>
      <c r="I3650" t="s">
        <v>3358</v>
      </c>
      <c r="J3650">
        <v>17.078555029903502</v>
      </c>
      <c r="K3650">
        <v>16.7549584015409</v>
      </c>
      <c r="L3650">
        <v>17.854261669673001</v>
      </c>
      <c r="M3650">
        <v>16.7413844933888</v>
      </c>
      <c r="N3650">
        <v>16.610074865079199</v>
      </c>
      <c r="O3650">
        <v>16.465604523753701</v>
      </c>
      <c r="P3650">
        <v>-0.62357040629858296</v>
      </c>
      <c r="Q3650">
        <v>-1.6122391973116299</v>
      </c>
      <c r="R3650">
        <v>0.36509838471446898</v>
      </c>
      <c r="S3650">
        <v>16.3755929374178</v>
      </c>
      <c r="T3650">
        <v>-1.3313268290992299</v>
      </c>
      <c r="U3650">
        <v>-6.1663508108048104</v>
      </c>
      <c r="V3650">
        <v>0.20076759587656701</v>
      </c>
      <c r="W3650">
        <v>0.46189609728304498</v>
      </c>
      <c r="X3650">
        <v>0</v>
      </c>
      <c r="Y3650">
        <v>0</v>
      </c>
    </row>
    <row r="3651" spans="1:25" x14ac:dyDescent="0.2">
      <c r="A3651" t="s">
        <v>13423</v>
      </c>
      <c r="B3651" t="s">
        <v>13424</v>
      </c>
      <c r="C3651" t="s">
        <v>13425</v>
      </c>
      <c r="D3651" t="s">
        <v>13426</v>
      </c>
      <c r="E3651" t="s">
        <v>13424</v>
      </c>
      <c r="F3651" t="s">
        <v>28</v>
      </c>
      <c r="G3651" t="s">
        <v>13424</v>
      </c>
      <c r="H3651" t="str">
        <f>"C27A7.5"</f>
        <v>C27A7.5</v>
      </c>
      <c r="I3651" t="s">
        <v>13426</v>
      </c>
      <c r="J3651">
        <v>12.937265049830099</v>
      </c>
      <c r="K3651">
        <v>13.0789847366324</v>
      </c>
      <c r="L3651">
        <v>12.98678874843</v>
      </c>
      <c r="M3651">
        <v>13.836476892115099</v>
      </c>
      <c r="N3651">
        <v>13.5996583980991</v>
      </c>
      <c r="O3651">
        <v>13.496567205635801</v>
      </c>
      <c r="P3651">
        <v>0.643221320319187</v>
      </c>
      <c r="Q3651">
        <v>0.11805388582159999</v>
      </c>
      <c r="R3651">
        <v>1.16838875481677</v>
      </c>
      <c r="S3651">
        <v>13.271065166150001</v>
      </c>
      <c r="T3651">
        <v>2.5853101816958399</v>
      </c>
      <c r="U3651">
        <v>-4.0955581518952702</v>
      </c>
      <c r="V3651">
        <v>1.9322147574278799E-2</v>
      </c>
      <c r="W3651">
        <v>0.13492332233198101</v>
      </c>
      <c r="X3651">
        <v>0</v>
      </c>
      <c r="Y3651">
        <v>0</v>
      </c>
    </row>
    <row r="3652" spans="1:25" x14ac:dyDescent="0.2">
      <c r="A3652" t="s">
        <v>13427</v>
      </c>
      <c r="B3652" t="s">
        <v>13428</v>
      </c>
      <c r="C3652" t="s">
        <v>13429</v>
      </c>
      <c r="D3652" t="s">
        <v>9133</v>
      </c>
      <c r="E3652" t="s">
        <v>13428</v>
      </c>
      <c r="F3652" t="s">
        <v>28</v>
      </c>
      <c r="G3652" t="s">
        <v>13428</v>
      </c>
      <c r="H3652" t="str">
        <f>"dhhc-7"</f>
        <v>dhhc-7</v>
      </c>
      <c r="I3652" t="s">
        <v>9133</v>
      </c>
      <c r="J3652">
        <v>12.831826760791399</v>
      </c>
      <c r="K3652">
        <v>13.094744809813101</v>
      </c>
      <c r="L3652">
        <v>13.214234725983101</v>
      </c>
      <c r="M3652">
        <v>12.3047010432514</v>
      </c>
      <c r="N3652">
        <v>11.0651201054848</v>
      </c>
      <c r="O3652">
        <v>11.8382175708409</v>
      </c>
      <c r="P3652">
        <v>-1.31092252567019</v>
      </c>
      <c r="Q3652">
        <v>-1.8551962905027699</v>
      </c>
      <c r="R3652">
        <v>-0.76664876083760503</v>
      </c>
      <c r="S3652">
        <v>13.0444535102898</v>
      </c>
      <c r="T3652">
        <v>-5.1086853519602604</v>
      </c>
      <c r="U3652">
        <v>1.0535419630116001</v>
      </c>
      <c r="V3652">
        <v>1.0733085608784E-4</v>
      </c>
      <c r="W3652">
        <v>3.35821736259454E-3</v>
      </c>
      <c r="X3652">
        <v>-1</v>
      </c>
      <c r="Y3652">
        <v>-1</v>
      </c>
    </row>
    <row r="3653" spans="1:25" x14ac:dyDescent="0.2">
      <c r="A3653" t="s">
        <v>13430</v>
      </c>
      <c r="B3653" t="s">
        <v>13431</v>
      </c>
      <c r="C3653" t="s">
        <v>13432</v>
      </c>
      <c r="D3653" t="s">
        <v>13433</v>
      </c>
      <c r="E3653" t="s">
        <v>13431</v>
      </c>
      <c r="F3653" t="s">
        <v>28</v>
      </c>
      <c r="G3653" t="s">
        <v>13431</v>
      </c>
      <c r="H3653" t="str">
        <f>"alkb-8"</f>
        <v>alkb-8</v>
      </c>
      <c r="I3653" t="s">
        <v>13433</v>
      </c>
      <c r="J3653">
        <v>12.829477849808001</v>
      </c>
      <c r="K3653" t="s">
        <v>29</v>
      </c>
      <c r="L3653">
        <v>11.990381238974299</v>
      </c>
      <c r="M3653">
        <v>12.6676448738472</v>
      </c>
      <c r="N3653">
        <v>12.4594482003009</v>
      </c>
      <c r="O3653">
        <v>12.140514798350701</v>
      </c>
      <c r="P3653">
        <v>1.26064131084735E-2</v>
      </c>
      <c r="Q3653">
        <v>-0.64352633999180897</v>
      </c>
      <c r="R3653">
        <v>0.66873916620875695</v>
      </c>
      <c r="S3653">
        <v>12.092833602353901</v>
      </c>
      <c r="T3653">
        <v>4.0977119190045E-2</v>
      </c>
      <c r="U3653">
        <v>-6.9405441008857904</v>
      </c>
      <c r="V3653">
        <v>0.96785836107138701</v>
      </c>
      <c r="W3653">
        <v>0.98300783325944197</v>
      </c>
      <c r="X3653">
        <v>0</v>
      </c>
      <c r="Y3653">
        <v>0</v>
      </c>
    </row>
    <row r="3654" spans="1:25" x14ac:dyDescent="0.2">
      <c r="A3654" t="s">
        <v>13434</v>
      </c>
      <c r="B3654" t="s">
        <v>13435</v>
      </c>
      <c r="C3654" t="s">
        <v>13436</v>
      </c>
      <c r="D3654" t="s">
        <v>4334</v>
      </c>
      <c r="E3654" t="s">
        <v>13435</v>
      </c>
      <c r="F3654" t="s">
        <v>28</v>
      </c>
      <c r="G3654" t="s">
        <v>13435</v>
      </c>
      <c r="H3654" t="str">
        <f>"mrps-22"</f>
        <v>mrps-22</v>
      </c>
      <c r="I3654" t="s">
        <v>4334</v>
      </c>
      <c r="J3654">
        <v>13.211969032962401</v>
      </c>
      <c r="K3654">
        <v>13.0126847323566</v>
      </c>
      <c r="L3654">
        <v>13.269379196851901</v>
      </c>
      <c r="M3654">
        <v>12.6730492901871</v>
      </c>
      <c r="N3654">
        <v>12.951572998915699</v>
      </c>
      <c r="O3654">
        <v>12.855798755318199</v>
      </c>
      <c r="P3654">
        <v>-0.337870639249987</v>
      </c>
      <c r="Q3654">
        <v>-0.76114586909695103</v>
      </c>
      <c r="R3654">
        <v>8.5404590596977706E-2</v>
      </c>
      <c r="S3654">
        <v>13.2360797387215</v>
      </c>
      <c r="T3654">
        <v>-1.6849135094448799</v>
      </c>
      <c r="U3654">
        <v>-5.6733773104357299</v>
      </c>
      <c r="V3654">
        <v>0.110385820947021</v>
      </c>
      <c r="W3654">
        <v>0.34241702703680399</v>
      </c>
      <c r="X3654">
        <v>0</v>
      </c>
      <c r="Y3654">
        <v>0</v>
      </c>
    </row>
    <row r="3655" spans="1:25" x14ac:dyDescent="0.2">
      <c r="A3655" t="s">
        <v>13437</v>
      </c>
      <c r="B3655" t="s">
        <v>13438</v>
      </c>
      <c r="C3655" t="s">
        <v>13439</v>
      </c>
      <c r="D3655" t="s">
        <v>49</v>
      </c>
      <c r="E3655" t="s">
        <v>13438</v>
      </c>
      <c r="F3655" t="s">
        <v>28</v>
      </c>
      <c r="G3655" t="s">
        <v>13438</v>
      </c>
      <c r="H3655" t="str">
        <f>"ugt-22"</f>
        <v>ugt-22</v>
      </c>
      <c r="I3655" t="s">
        <v>49</v>
      </c>
      <c r="J3655">
        <v>14.476378667186401</v>
      </c>
      <c r="K3655">
        <v>14.205186473622801</v>
      </c>
      <c r="L3655">
        <v>14.4217644265765</v>
      </c>
      <c r="M3655">
        <v>14.157579141495599</v>
      </c>
      <c r="N3655">
        <v>13.9618055113023</v>
      </c>
      <c r="O3655">
        <v>14.0433248013211</v>
      </c>
      <c r="P3655">
        <v>-0.313540037755624</v>
      </c>
      <c r="Q3655">
        <v>-0.85718050920422995</v>
      </c>
      <c r="R3655">
        <v>0.230100433692981</v>
      </c>
      <c r="S3655">
        <v>14.199348995864399</v>
      </c>
      <c r="T3655">
        <v>-1.2121984909577901</v>
      </c>
      <c r="U3655">
        <v>-6.3122200621879099</v>
      </c>
      <c r="V3655">
        <v>0.241198736563905</v>
      </c>
      <c r="W3655">
        <v>0.514662746740293</v>
      </c>
      <c r="X3655">
        <v>0</v>
      </c>
      <c r="Y3655">
        <v>0</v>
      </c>
    </row>
    <row r="3656" spans="1:25" x14ac:dyDescent="0.2">
      <c r="A3656" t="s">
        <v>13440</v>
      </c>
      <c r="B3656" t="s">
        <v>13441</v>
      </c>
      <c r="C3656" t="s">
        <v>13442</v>
      </c>
      <c r="D3656" t="s">
        <v>13443</v>
      </c>
      <c r="E3656" t="s">
        <v>13441</v>
      </c>
      <c r="F3656" t="s">
        <v>28</v>
      </c>
      <c r="G3656" t="s">
        <v>13441</v>
      </c>
      <c r="H3656" t="str">
        <f>"thoc-7"</f>
        <v>thoc-7</v>
      </c>
      <c r="I3656" t="s">
        <v>13443</v>
      </c>
      <c r="J3656" t="s">
        <v>29</v>
      </c>
      <c r="K3656" t="s">
        <v>29</v>
      </c>
      <c r="L3656" t="s">
        <v>29</v>
      </c>
      <c r="M3656" t="s">
        <v>29</v>
      </c>
      <c r="N3656">
        <v>11.413090361492801</v>
      </c>
      <c r="O3656" t="s">
        <v>29</v>
      </c>
      <c r="P3656" t="s">
        <v>29</v>
      </c>
      <c r="Q3656" t="s">
        <v>29</v>
      </c>
      <c r="R3656" t="s">
        <v>29</v>
      </c>
      <c r="S3656">
        <v>11.1368065613859</v>
      </c>
      <c r="T3656" t="s">
        <v>29</v>
      </c>
      <c r="U3656" t="s">
        <v>29</v>
      </c>
      <c r="V3656" t="s">
        <v>29</v>
      </c>
      <c r="W3656" t="s">
        <v>29</v>
      </c>
      <c r="X3656" t="s">
        <v>29</v>
      </c>
      <c r="Y3656" t="s">
        <v>29</v>
      </c>
    </row>
    <row r="3657" spans="1:25" x14ac:dyDescent="0.2">
      <c r="A3657" t="s">
        <v>13444</v>
      </c>
      <c r="B3657" t="s">
        <v>13445</v>
      </c>
      <c r="C3657" t="s">
        <v>13446</v>
      </c>
      <c r="D3657" t="s">
        <v>356</v>
      </c>
      <c r="E3657" t="s">
        <v>13445</v>
      </c>
      <c r="F3657" t="s">
        <v>28</v>
      </c>
      <c r="G3657" t="s">
        <v>13445</v>
      </c>
      <c r="H3657" t="str">
        <f>"znf-207"</f>
        <v>znf-207</v>
      </c>
      <c r="I3657" t="s">
        <v>356</v>
      </c>
      <c r="J3657">
        <v>14.289845662284099</v>
      </c>
      <c r="K3657">
        <v>14.4913843126189</v>
      </c>
      <c r="L3657">
        <v>14.617402600079</v>
      </c>
      <c r="M3657">
        <v>14.2717640803312</v>
      </c>
      <c r="N3657">
        <v>13.7514186807378</v>
      </c>
      <c r="O3657">
        <v>14.427965909244399</v>
      </c>
      <c r="P3657">
        <v>-0.315827968222886</v>
      </c>
      <c r="Q3657">
        <v>-1.1335637892474</v>
      </c>
      <c r="R3657">
        <v>0.50190785280162697</v>
      </c>
      <c r="S3657">
        <v>14.6607481134821</v>
      </c>
      <c r="T3657">
        <v>-0.81176454151131605</v>
      </c>
      <c r="U3657">
        <v>-6.7130005144506901</v>
      </c>
      <c r="V3657">
        <v>0.42759321859225502</v>
      </c>
      <c r="W3657">
        <v>0.69708834333627101</v>
      </c>
      <c r="X3657">
        <v>0</v>
      </c>
      <c r="Y3657">
        <v>0</v>
      </c>
    </row>
    <row r="3658" spans="1:25" x14ac:dyDescent="0.2">
      <c r="A3658" t="s">
        <v>13447</v>
      </c>
      <c r="B3658" t="s">
        <v>13448</v>
      </c>
      <c r="C3658" t="s">
        <v>13449</v>
      </c>
      <c r="D3658" t="s">
        <v>13450</v>
      </c>
      <c r="E3658" t="s">
        <v>13448</v>
      </c>
      <c r="F3658" t="s">
        <v>28</v>
      </c>
      <c r="G3658" t="s">
        <v>13448</v>
      </c>
      <c r="H3658" t="str">
        <f>"lin-41"</f>
        <v>lin-41</v>
      </c>
      <c r="I3658" t="s">
        <v>13450</v>
      </c>
      <c r="J3658">
        <v>12.4812187032651</v>
      </c>
      <c r="K3658">
        <v>12.5304359570712</v>
      </c>
      <c r="L3658">
        <v>12.559623522177599</v>
      </c>
      <c r="M3658">
        <v>12.191949749679999</v>
      </c>
      <c r="N3658">
        <v>12.205907006463301</v>
      </c>
      <c r="O3658">
        <v>12.7906111093088</v>
      </c>
      <c r="P3658">
        <v>-0.127603439020607</v>
      </c>
      <c r="Q3658">
        <v>-0.74949959321766102</v>
      </c>
      <c r="R3658">
        <v>0.49429271517644702</v>
      </c>
      <c r="S3658">
        <v>13.3767479068344</v>
      </c>
      <c r="T3658">
        <v>-0.43310632003612498</v>
      </c>
      <c r="U3658">
        <v>-6.9540214694116003</v>
      </c>
      <c r="V3658">
        <v>0.67041616242637203</v>
      </c>
      <c r="W3658">
        <v>0.853161592700592</v>
      </c>
      <c r="X3658">
        <v>0</v>
      </c>
      <c r="Y3658">
        <v>0</v>
      </c>
    </row>
    <row r="3659" spans="1:25" x14ac:dyDescent="0.2">
      <c r="A3659" t="s">
        <v>13451</v>
      </c>
      <c r="B3659" t="s">
        <v>13452</v>
      </c>
      <c r="C3659" t="s">
        <v>13453</v>
      </c>
      <c r="D3659" t="s">
        <v>13454</v>
      </c>
      <c r="E3659" t="s">
        <v>13452</v>
      </c>
      <c r="F3659" t="s">
        <v>28</v>
      </c>
      <c r="G3659" t="s">
        <v>13452</v>
      </c>
      <c r="H3659" t="str">
        <f>"xnp-1"</f>
        <v>xnp-1</v>
      </c>
      <c r="I3659" t="s">
        <v>13454</v>
      </c>
      <c r="J3659">
        <v>13.6069689823304</v>
      </c>
      <c r="K3659">
        <v>13.870752969038</v>
      </c>
      <c r="L3659">
        <v>14.2665233569107</v>
      </c>
      <c r="M3659">
        <v>13.554159503563399</v>
      </c>
      <c r="N3659">
        <v>13.802376351458999</v>
      </c>
      <c r="O3659">
        <v>14.331290582618101</v>
      </c>
      <c r="P3659">
        <v>-1.8806290212811699E-2</v>
      </c>
      <c r="Q3659">
        <v>-0.61764934710181796</v>
      </c>
      <c r="R3659">
        <v>0.58003676667619497</v>
      </c>
      <c r="S3659">
        <v>14.218921156298601</v>
      </c>
      <c r="T3659">
        <v>-6.6005880416931603E-2</v>
      </c>
      <c r="U3659">
        <v>-7.0498034940141796</v>
      </c>
      <c r="V3659">
        <v>0.94810497233081403</v>
      </c>
      <c r="W3659">
        <v>0.97661715098590396</v>
      </c>
      <c r="X3659">
        <v>0</v>
      </c>
      <c r="Y3659">
        <v>0</v>
      </c>
    </row>
    <row r="3660" spans="1:25" x14ac:dyDescent="0.2">
      <c r="A3660" t="s">
        <v>13455</v>
      </c>
      <c r="B3660" t="s">
        <v>13456</v>
      </c>
      <c r="C3660" t="s">
        <v>13457</v>
      </c>
      <c r="D3660" t="s">
        <v>13458</v>
      </c>
      <c r="E3660" t="s">
        <v>13456</v>
      </c>
      <c r="F3660" t="s">
        <v>28</v>
      </c>
      <c r="G3660" t="s">
        <v>13456</v>
      </c>
      <c r="H3660" t="str">
        <f>"lit-1"</f>
        <v>lit-1</v>
      </c>
      <c r="I3660" t="s">
        <v>13458</v>
      </c>
      <c r="J3660">
        <v>11.6779349116344</v>
      </c>
      <c r="K3660" t="s">
        <v>29</v>
      </c>
      <c r="L3660" t="s">
        <v>29</v>
      </c>
      <c r="M3660" t="s">
        <v>29</v>
      </c>
      <c r="N3660" t="s">
        <v>29</v>
      </c>
      <c r="O3660" t="s">
        <v>29</v>
      </c>
      <c r="P3660" t="s">
        <v>29</v>
      </c>
      <c r="Q3660" t="s">
        <v>29</v>
      </c>
      <c r="R3660" t="s">
        <v>29</v>
      </c>
      <c r="S3660">
        <v>11.584518821533599</v>
      </c>
      <c r="T3660" t="s">
        <v>29</v>
      </c>
      <c r="U3660" t="s">
        <v>29</v>
      </c>
      <c r="V3660" t="s">
        <v>29</v>
      </c>
      <c r="W3660" t="s">
        <v>29</v>
      </c>
      <c r="X3660" t="s">
        <v>29</v>
      </c>
      <c r="Y3660" t="s">
        <v>29</v>
      </c>
    </row>
    <row r="3661" spans="1:25" x14ac:dyDescent="0.2">
      <c r="A3661" t="s">
        <v>13459</v>
      </c>
      <c r="B3661" t="s">
        <v>13460</v>
      </c>
      <c r="C3661" t="s">
        <v>14737</v>
      </c>
      <c r="D3661" t="s">
        <v>2221</v>
      </c>
      <c r="E3661" t="s">
        <v>13460</v>
      </c>
      <c r="F3661" t="s">
        <v>28</v>
      </c>
      <c r="G3661" t="s">
        <v>13460</v>
      </c>
      <c r="H3661" t="str">
        <f>"W04B5.5"</f>
        <v>W04B5.5</v>
      </c>
      <c r="I3661" t="s">
        <v>2221</v>
      </c>
      <c r="J3661">
        <v>12.2071473102365</v>
      </c>
      <c r="K3661" t="s">
        <v>29</v>
      </c>
      <c r="L3661">
        <v>12.0837534232599</v>
      </c>
      <c r="M3661" t="s">
        <v>29</v>
      </c>
      <c r="N3661" t="s">
        <v>29</v>
      </c>
      <c r="O3661" t="s">
        <v>29</v>
      </c>
      <c r="P3661" t="s">
        <v>29</v>
      </c>
      <c r="Q3661" t="s">
        <v>29</v>
      </c>
      <c r="R3661" t="s">
        <v>29</v>
      </c>
      <c r="S3661">
        <v>12.175693253312501</v>
      </c>
      <c r="T3661" t="s">
        <v>29</v>
      </c>
      <c r="U3661" t="s">
        <v>29</v>
      </c>
      <c r="V3661" t="s">
        <v>29</v>
      </c>
      <c r="W3661" t="s">
        <v>29</v>
      </c>
      <c r="X3661" t="s">
        <v>29</v>
      </c>
      <c r="Y3661" t="s">
        <v>29</v>
      </c>
    </row>
    <row r="3662" spans="1:25" x14ac:dyDescent="0.2">
      <c r="A3662" t="s">
        <v>13461</v>
      </c>
      <c r="B3662" t="s">
        <v>13462</v>
      </c>
      <c r="C3662" t="s">
        <v>13463</v>
      </c>
      <c r="D3662" t="s">
        <v>13464</v>
      </c>
      <c r="E3662" t="s">
        <v>13462</v>
      </c>
      <c r="F3662" t="s">
        <v>28</v>
      </c>
      <c r="G3662" t="s">
        <v>13462</v>
      </c>
      <c r="H3662" t="str">
        <f>"rab-1"</f>
        <v>rab-1</v>
      </c>
      <c r="I3662" t="s">
        <v>13464</v>
      </c>
      <c r="J3662">
        <v>14.671231513787699</v>
      </c>
      <c r="K3662">
        <v>14.7276449113429</v>
      </c>
      <c r="L3662">
        <v>14.9593356728343</v>
      </c>
      <c r="M3662">
        <v>14.7572547983369</v>
      </c>
      <c r="N3662">
        <v>14.2113118066606</v>
      </c>
      <c r="O3662">
        <v>14.790448523108701</v>
      </c>
      <c r="P3662">
        <v>-0.19973232328622401</v>
      </c>
      <c r="Q3662">
        <v>-0.58741865135784699</v>
      </c>
      <c r="R3662">
        <v>0.1879540047854</v>
      </c>
      <c r="S3662">
        <v>14.619457274750101</v>
      </c>
      <c r="T3662">
        <v>-1.0828302536571699</v>
      </c>
      <c r="U3662">
        <v>-6.4570447656874199</v>
      </c>
      <c r="V3662">
        <v>0.29325918946999502</v>
      </c>
      <c r="W3662">
        <v>0.57073294396640095</v>
      </c>
      <c r="X3662">
        <v>0</v>
      </c>
      <c r="Y3662">
        <v>0</v>
      </c>
    </row>
    <row r="3663" spans="1:25" x14ac:dyDescent="0.2">
      <c r="A3663" t="s">
        <v>13465</v>
      </c>
      <c r="B3663" t="s">
        <v>13466</v>
      </c>
      <c r="C3663" t="s">
        <v>13467</v>
      </c>
      <c r="D3663" t="s">
        <v>107</v>
      </c>
      <c r="E3663" t="s">
        <v>13466</v>
      </c>
      <c r="F3663" t="s">
        <v>28</v>
      </c>
      <c r="G3663" t="s">
        <v>13466</v>
      </c>
      <c r="H3663" t="str">
        <f>"mct-2"</f>
        <v>mct-2</v>
      </c>
      <c r="I3663" t="s">
        <v>107</v>
      </c>
      <c r="J3663">
        <v>14.318133521617201</v>
      </c>
      <c r="K3663">
        <v>14.2985164413506</v>
      </c>
      <c r="L3663">
        <v>14.3132218054674</v>
      </c>
      <c r="M3663">
        <v>13.434344518202099</v>
      </c>
      <c r="N3663">
        <v>13.640963213682699</v>
      </c>
      <c r="O3663">
        <v>13.5251491981992</v>
      </c>
      <c r="P3663">
        <v>-0.77647161278372301</v>
      </c>
      <c r="Q3663">
        <v>-1.47937568667759</v>
      </c>
      <c r="R3663">
        <v>-7.3567538889860604E-2</v>
      </c>
      <c r="S3663">
        <v>14.4772377432621</v>
      </c>
      <c r="T3663">
        <v>-2.3217851845939101</v>
      </c>
      <c r="U3663">
        <v>-4.5852700099168704</v>
      </c>
      <c r="V3663">
        <v>3.2249584214683602E-2</v>
      </c>
      <c r="W3663">
        <v>0.177029249102716</v>
      </c>
      <c r="X3663">
        <v>0</v>
      </c>
      <c r="Y3663">
        <v>0</v>
      </c>
    </row>
    <row r="3664" spans="1:25" x14ac:dyDescent="0.2">
      <c r="A3664" t="s">
        <v>13468</v>
      </c>
      <c r="B3664" t="s">
        <v>13469</v>
      </c>
      <c r="C3664" t="s">
        <v>13470</v>
      </c>
      <c r="D3664" t="s">
        <v>13471</v>
      </c>
      <c r="E3664" t="s">
        <v>13469</v>
      </c>
      <c r="F3664" t="s">
        <v>28</v>
      </c>
      <c r="G3664" t="s">
        <v>13469</v>
      </c>
      <c r="H3664" t="str">
        <f>"mdh-1"</f>
        <v>mdh-1</v>
      </c>
      <c r="I3664" t="s">
        <v>13471</v>
      </c>
      <c r="J3664">
        <v>12.477069101314401</v>
      </c>
      <c r="K3664">
        <v>12.4645533888876</v>
      </c>
      <c r="L3664">
        <v>12.2542288700231</v>
      </c>
      <c r="M3664" t="s">
        <v>29</v>
      </c>
      <c r="N3664" t="s">
        <v>29</v>
      </c>
      <c r="O3664">
        <v>14.183511097946599</v>
      </c>
      <c r="P3664">
        <v>1.78489397787152</v>
      </c>
      <c r="Q3664">
        <v>0.72165588193673103</v>
      </c>
      <c r="R3664">
        <v>2.8481320738062998</v>
      </c>
      <c r="S3664">
        <v>12.072704386507301</v>
      </c>
      <c r="T3664">
        <v>3.6296866963951002</v>
      </c>
      <c r="U3664">
        <v>-1.92133181835486</v>
      </c>
      <c r="V3664">
        <v>3.0913487853846101E-3</v>
      </c>
      <c r="W3664">
        <v>3.87175194340924E-2</v>
      </c>
      <c r="X3664">
        <v>1</v>
      </c>
      <c r="Y3664">
        <v>1</v>
      </c>
    </row>
    <row r="3665" spans="1:25" x14ac:dyDescent="0.2">
      <c r="A3665" t="s">
        <v>13472</v>
      </c>
      <c r="B3665" t="s">
        <v>13473</v>
      </c>
      <c r="C3665" t="s">
        <v>13474</v>
      </c>
      <c r="D3665" t="s">
        <v>13475</v>
      </c>
      <c r="E3665" t="s">
        <v>13473</v>
      </c>
      <c r="F3665" t="s">
        <v>28</v>
      </c>
      <c r="G3665" t="s">
        <v>13473</v>
      </c>
      <c r="H3665" t="str">
        <f>"acs-1"</f>
        <v>acs-1</v>
      </c>
      <c r="I3665" t="s">
        <v>13475</v>
      </c>
      <c r="J3665">
        <v>14.842726278124299</v>
      </c>
      <c r="K3665">
        <v>14.6819287572853</v>
      </c>
      <c r="L3665">
        <v>15.0085694110698</v>
      </c>
      <c r="M3665">
        <v>14.2810250182955</v>
      </c>
      <c r="N3665">
        <v>14.480257330870501</v>
      </c>
      <c r="O3665">
        <v>14.2297045748019</v>
      </c>
      <c r="P3665">
        <v>-0.51407917417052196</v>
      </c>
      <c r="Q3665">
        <v>-1.08295189240902</v>
      </c>
      <c r="R3665">
        <v>5.4793544067975798E-2</v>
      </c>
      <c r="S3665">
        <v>14.3566523507857</v>
      </c>
      <c r="T3665">
        <v>-1.8993605663721</v>
      </c>
      <c r="U3665">
        <v>-5.3310180942903997</v>
      </c>
      <c r="V3665">
        <v>7.3758490096058102E-2</v>
      </c>
      <c r="W3665">
        <v>0.27778606891484298</v>
      </c>
      <c r="X3665">
        <v>0</v>
      </c>
      <c r="Y3665">
        <v>0</v>
      </c>
    </row>
    <row r="3666" spans="1:25" x14ac:dyDescent="0.2">
      <c r="A3666" t="s">
        <v>13476</v>
      </c>
      <c r="B3666" t="s">
        <v>13477</v>
      </c>
      <c r="C3666" t="s">
        <v>14738</v>
      </c>
      <c r="D3666" t="s">
        <v>3246</v>
      </c>
      <c r="E3666" t="s">
        <v>13477</v>
      </c>
      <c r="F3666" t="s">
        <v>28</v>
      </c>
      <c r="G3666" t="s">
        <v>13477</v>
      </c>
      <c r="H3666" t="str">
        <f>"DC2.5"</f>
        <v>DC2.5</v>
      </c>
      <c r="I3666" t="s">
        <v>3246</v>
      </c>
      <c r="J3666">
        <v>14.1222589929216</v>
      </c>
      <c r="K3666">
        <v>14.2812236801715</v>
      </c>
      <c r="L3666">
        <v>14.0817702420222</v>
      </c>
      <c r="M3666">
        <v>14.2712650257006</v>
      </c>
      <c r="N3666">
        <v>14.069419348434099</v>
      </c>
      <c r="O3666">
        <v>13.9291083239507</v>
      </c>
      <c r="P3666">
        <v>-7.18200723432805E-2</v>
      </c>
      <c r="Q3666">
        <v>-0.49597558044882201</v>
      </c>
      <c r="R3666">
        <v>0.35233543576226101</v>
      </c>
      <c r="S3666">
        <v>14.4507893931958</v>
      </c>
      <c r="T3666">
        <v>-0.35741332542571103</v>
      </c>
      <c r="U3666">
        <v>-6.9851850563597297</v>
      </c>
      <c r="V3666">
        <v>0.72520805766112195</v>
      </c>
      <c r="W3666">
        <v>0.88119007454417198</v>
      </c>
      <c r="X3666">
        <v>0</v>
      </c>
      <c r="Y3666">
        <v>0</v>
      </c>
    </row>
    <row r="3667" spans="1:25" x14ac:dyDescent="0.2">
      <c r="A3667" t="s">
        <v>13478</v>
      </c>
      <c r="B3667" t="s">
        <v>13479</v>
      </c>
      <c r="C3667" t="s">
        <v>14739</v>
      </c>
      <c r="D3667" t="s">
        <v>107</v>
      </c>
      <c r="E3667" t="s">
        <v>13479</v>
      </c>
      <c r="F3667" t="s">
        <v>28</v>
      </c>
      <c r="G3667" t="s">
        <v>13479</v>
      </c>
      <c r="H3667" t="str">
        <f>"T12B3.2"</f>
        <v>T12B3.2</v>
      </c>
      <c r="I3667" t="s">
        <v>107</v>
      </c>
      <c r="J3667">
        <v>13.370491854350099</v>
      </c>
      <c r="K3667">
        <v>13.352308918897499</v>
      </c>
      <c r="L3667">
        <v>13.452495018300599</v>
      </c>
      <c r="M3667">
        <v>13.0750038276007</v>
      </c>
      <c r="N3667">
        <v>13.3194849630496</v>
      </c>
      <c r="O3667">
        <v>13.1793387451731</v>
      </c>
      <c r="P3667">
        <v>-0.20048941857497099</v>
      </c>
      <c r="Q3667">
        <v>-0.56778736972570498</v>
      </c>
      <c r="R3667">
        <v>0.166808532575763</v>
      </c>
      <c r="S3667">
        <v>13.4979839094326</v>
      </c>
      <c r="T3667">
        <v>-1.1521869812257799</v>
      </c>
      <c r="U3667">
        <v>-6.3804475153377398</v>
      </c>
      <c r="V3667">
        <v>0.26528753277786599</v>
      </c>
      <c r="W3667">
        <v>0.54253072011360703</v>
      </c>
      <c r="X3667">
        <v>0</v>
      </c>
      <c r="Y3667">
        <v>0</v>
      </c>
    </row>
    <row r="3668" spans="1:25" x14ac:dyDescent="0.2">
      <c r="A3668" t="s">
        <v>13480</v>
      </c>
      <c r="B3668" t="s">
        <v>13481</v>
      </c>
      <c r="C3668" t="s">
        <v>13482</v>
      </c>
      <c r="D3668" t="s">
        <v>11100</v>
      </c>
      <c r="E3668" t="s">
        <v>13481</v>
      </c>
      <c r="F3668" t="s">
        <v>28</v>
      </c>
      <c r="G3668" t="s">
        <v>13481</v>
      </c>
      <c r="H3668" t="str">
        <f>"rpac-40"</f>
        <v>rpac-40</v>
      </c>
      <c r="I3668" t="s">
        <v>11100</v>
      </c>
      <c r="J3668">
        <v>13.2073067353422</v>
      </c>
      <c r="K3668">
        <v>13.275904410919599</v>
      </c>
      <c r="L3668">
        <v>13.0803597490893</v>
      </c>
      <c r="M3668">
        <v>12.888788339256299</v>
      </c>
      <c r="N3668">
        <v>12.9351396621965</v>
      </c>
      <c r="O3668">
        <v>13.1073794675898</v>
      </c>
      <c r="P3668">
        <v>-0.210754475436183</v>
      </c>
      <c r="Q3668">
        <v>-0.72745025439711597</v>
      </c>
      <c r="R3668">
        <v>0.30594130352475102</v>
      </c>
      <c r="S3668">
        <v>13.3547587783544</v>
      </c>
      <c r="T3668">
        <v>-0.85730312192438796</v>
      </c>
      <c r="U3668">
        <v>-6.6746721405713902</v>
      </c>
      <c r="V3668">
        <v>0.40261315014327997</v>
      </c>
      <c r="W3668">
        <v>0.67608444695680303</v>
      </c>
      <c r="X3668">
        <v>0</v>
      </c>
      <c r="Y3668">
        <v>0</v>
      </c>
    </row>
    <row r="3669" spans="1:25" x14ac:dyDescent="0.2">
      <c r="A3669" t="s">
        <v>13483</v>
      </c>
      <c r="B3669" t="s">
        <v>13484</v>
      </c>
      <c r="C3669" t="s">
        <v>13485</v>
      </c>
      <c r="D3669" t="s">
        <v>297</v>
      </c>
      <c r="E3669" t="s">
        <v>13484</v>
      </c>
      <c r="F3669" t="s">
        <v>28</v>
      </c>
      <c r="G3669" t="s">
        <v>13484</v>
      </c>
      <c r="H3669" t="str">
        <f>"let-805"</f>
        <v>let-805</v>
      </c>
      <c r="I3669" t="s">
        <v>297</v>
      </c>
      <c r="J3669">
        <v>14.348509767977999</v>
      </c>
      <c r="K3669">
        <v>14.38411895041</v>
      </c>
      <c r="L3669">
        <v>14.9965314538996</v>
      </c>
      <c r="M3669">
        <v>16.211438163179501</v>
      </c>
      <c r="N3669">
        <v>15.679113449487</v>
      </c>
      <c r="O3669">
        <v>16.1796234274053</v>
      </c>
      <c r="P3669">
        <v>1.44700495592807</v>
      </c>
      <c r="Q3669">
        <v>0.87125157052605395</v>
      </c>
      <c r="R3669">
        <v>2.02275834133009</v>
      </c>
      <c r="S3669">
        <v>15.0407816409268</v>
      </c>
      <c r="T3669">
        <v>5.2823361093209096</v>
      </c>
      <c r="U3669">
        <v>1.7183703224843501</v>
      </c>
      <c r="V3669" s="2">
        <v>5.1568235945793697E-5</v>
      </c>
      <c r="W3669">
        <v>1.7851387209320501E-3</v>
      </c>
      <c r="X3669">
        <v>1</v>
      </c>
      <c r="Y3669">
        <v>1</v>
      </c>
    </row>
    <row r="3670" spans="1:25" x14ac:dyDescent="0.2">
      <c r="A3670" t="s">
        <v>13486</v>
      </c>
      <c r="B3670" t="s">
        <v>13487</v>
      </c>
      <c r="C3670" t="s">
        <v>13488</v>
      </c>
      <c r="D3670" t="s">
        <v>13489</v>
      </c>
      <c r="E3670" t="s">
        <v>13487</v>
      </c>
      <c r="F3670" t="s">
        <v>28</v>
      </c>
      <c r="G3670" t="s">
        <v>13487</v>
      </c>
      <c r="H3670" t="str">
        <f>"lem-2"</f>
        <v>lem-2</v>
      </c>
      <c r="I3670" t="s">
        <v>13489</v>
      </c>
      <c r="J3670">
        <v>12.983076548310599</v>
      </c>
      <c r="K3670">
        <v>13.457299932843901</v>
      </c>
      <c r="L3670">
        <v>13.384585282528199</v>
      </c>
      <c r="M3670">
        <v>12.8824994021207</v>
      </c>
      <c r="N3670">
        <v>13.0739816405572</v>
      </c>
      <c r="O3670">
        <v>13.4359808915712</v>
      </c>
      <c r="P3670">
        <v>-0.144166609811199</v>
      </c>
      <c r="Q3670">
        <v>-0.65744761426314102</v>
      </c>
      <c r="R3670">
        <v>0.36911439464074303</v>
      </c>
      <c r="S3670">
        <v>13.808337071804401</v>
      </c>
      <c r="T3670">
        <v>-0.59033972250175903</v>
      </c>
      <c r="U3670">
        <v>-6.8712182549644396</v>
      </c>
      <c r="V3670">
        <v>0.562344541019418</v>
      </c>
      <c r="W3670">
        <v>0.78663205870769404</v>
      </c>
      <c r="X3670">
        <v>0</v>
      </c>
      <c r="Y3670">
        <v>0</v>
      </c>
    </row>
    <row r="3671" spans="1:25" x14ac:dyDescent="0.2">
      <c r="A3671" t="s">
        <v>13490</v>
      </c>
      <c r="B3671" t="s">
        <v>13491</v>
      </c>
      <c r="C3671" t="s">
        <v>13492</v>
      </c>
      <c r="D3671" t="s">
        <v>13493</v>
      </c>
      <c r="E3671" t="s">
        <v>13491</v>
      </c>
      <c r="F3671" t="s">
        <v>28</v>
      </c>
      <c r="G3671" t="s">
        <v>13491</v>
      </c>
      <c r="H3671" t="str">
        <f>"mom-4"</f>
        <v>mom-4</v>
      </c>
      <c r="I3671" t="s">
        <v>13493</v>
      </c>
      <c r="J3671" t="s">
        <v>29</v>
      </c>
      <c r="K3671" t="s">
        <v>29</v>
      </c>
      <c r="L3671" t="s">
        <v>29</v>
      </c>
      <c r="M3671">
        <v>13.913846028934501</v>
      </c>
      <c r="N3671">
        <v>12.9774364352768</v>
      </c>
      <c r="O3671">
        <v>13.251889194745999</v>
      </c>
      <c r="P3671" t="s">
        <v>29</v>
      </c>
      <c r="Q3671" t="s">
        <v>29</v>
      </c>
      <c r="R3671" t="s">
        <v>29</v>
      </c>
      <c r="S3671">
        <v>12.6098304709614</v>
      </c>
      <c r="T3671" t="s">
        <v>29</v>
      </c>
      <c r="U3671" t="s">
        <v>29</v>
      </c>
      <c r="V3671" t="s">
        <v>29</v>
      </c>
      <c r="W3671" t="s">
        <v>29</v>
      </c>
      <c r="X3671" t="s">
        <v>29</v>
      </c>
      <c r="Y3671" t="s">
        <v>29</v>
      </c>
    </row>
    <row r="3672" spans="1:25" x14ac:dyDescent="0.2">
      <c r="A3672" t="s">
        <v>13494</v>
      </c>
      <c r="B3672" t="s">
        <v>13495</v>
      </c>
      <c r="C3672" t="s">
        <v>13496</v>
      </c>
      <c r="D3672" t="s">
        <v>13497</v>
      </c>
      <c r="E3672" t="s">
        <v>13495</v>
      </c>
      <c r="F3672" t="s">
        <v>28</v>
      </c>
      <c r="G3672" t="s">
        <v>13495</v>
      </c>
      <c r="H3672" t="str">
        <f>"mbk-2"</f>
        <v>mbk-2</v>
      </c>
      <c r="I3672" t="s">
        <v>13497</v>
      </c>
      <c r="J3672">
        <v>12.6067569676045</v>
      </c>
      <c r="K3672">
        <v>12.911019687671899</v>
      </c>
      <c r="L3672">
        <v>12.6260020814789</v>
      </c>
      <c r="M3672">
        <v>13.4909332536156</v>
      </c>
      <c r="N3672">
        <v>12.9615520668891</v>
      </c>
      <c r="O3672">
        <v>11.3051912430249</v>
      </c>
      <c r="P3672">
        <v>-0.128700724408572</v>
      </c>
      <c r="Q3672">
        <v>-1.04953307125544</v>
      </c>
      <c r="R3672">
        <v>0.79213162243829205</v>
      </c>
      <c r="S3672">
        <v>12.5580124208764</v>
      </c>
      <c r="T3672">
        <v>-0.29644897597043701</v>
      </c>
      <c r="U3672">
        <v>-7.0058526192821802</v>
      </c>
      <c r="V3672">
        <v>0.77072562718247695</v>
      </c>
      <c r="W3672">
        <v>0.90278660577817804</v>
      </c>
      <c r="X3672">
        <v>0</v>
      </c>
      <c r="Y3672">
        <v>0</v>
      </c>
    </row>
    <row r="3673" spans="1:25" x14ac:dyDescent="0.2">
      <c r="A3673" t="s">
        <v>13498</v>
      </c>
      <c r="B3673" t="s">
        <v>13499</v>
      </c>
      <c r="C3673" t="s">
        <v>13500</v>
      </c>
      <c r="D3673" t="s">
        <v>13501</v>
      </c>
      <c r="E3673" t="s">
        <v>13499</v>
      </c>
      <c r="F3673" t="s">
        <v>28</v>
      </c>
      <c r="G3673" t="s">
        <v>13499</v>
      </c>
      <c r="H3673" t="str">
        <f>"akt-2"</f>
        <v>akt-2</v>
      </c>
      <c r="I3673" t="s">
        <v>13501</v>
      </c>
      <c r="J3673">
        <v>12.3354439398487</v>
      </c>
      <c r="K3673">
        <v>12.0577846008914</v>
      </c>
      <c r="L3673">
        <v>12.001807716803199</v>
      </c>
      <c r="M3673">
        <v>14.6852475801781</v>
      </c>
      <c r="N3673">
        <v>14.770230224576</v>
      </c>
      <c r="O3673">
        <v>14.605571048071999</v>
      </c>
      <c r="P3673">
        <v>2.5553375317609199</v>
      </c>
      <c r="Q3673">
        <v>2.0317172752287398</v>
      </c>
      <c r="R3673">
        <v>3.0789577882931001</v>
      </c>
      <c r="S3673">
        <v>13.483808340810301</v>
      </c>
      <c r="T3673">
        <v>10.257094288108901</v>
      </c>
      <c r="U3673">
        <v>10.7681228938469</v>
      </c>
      <c r="V3673" s="2">
        <v>6.3987956246077904E-9</v>
      </c>
      <c r="W3673" s="2">
        <v>1.1567600534707601E-6</v>
      </c>
      <c r="X3673">
        <v>1</v>
      </c>
      <c r="Y3673">
        <v>1</v>
      </c>
    </row>
    <row r="3674" spans="1:25" x14ac:dyDescent="0.2">
      <c r="A3674" t="s">
        <v>13502</v>
      </c>
      <c r="B3674" t="s">
        <v>13503</v>
      </c>
      <c r="C3674" t="s">
        <v>13504</v>
      </c>
      <c r="D3674" t="s">
        <v>13505</v>
      </c>
      <c r="E3674" t="s">
        <v>13503</v>
      </c>
      <c r="F3674" t="s">
        <v>28</v>
      </c>
      <c r="G3674" t="s">
        <v>13503</v>
      </c>
      <c r="H3674" t="str">
        <f>"B0250.5"</f>
        <v>B0250.5</v>
      </c>
      <c r="I3674" t="s">
        <v>13505</v>
      </c>
      <c r="J3674">
        <v>16.940284817366901</v>
      </c>
      <c r="K3674">
        <v>16.669979607260501</v>
      </c>
      <c r="L3674">
        <v>16.914867322442898</v>
      </c>
      <c r="M3674">
        <v>16.443513449373398</v>
      </c>
      <c r="N3674">
        <v>16.776749139474902</v>
      </c>
      <c r="O3674">
        <v>16.474271355624801</v>
      </c>
      <c r="P3674">
        <v>-0.27686593419908001</v>
      </c>
      <c r="Q3674">
        <v>-0.63801080716683001</v>
      </c>
      <c r="R3674">
        <v>8.427893876867E-2</v>
      </c>
      <c r="S3674">
        <v>16.4935325470896</v>
      </c>
      <c r="T3674">
        <v>-1.6113154915465899</v>
      </c>
      <c r="U3674">
        <v>-5.7821911428501398</v>
      </c>
      <c r="V3674">
        <v>0.124607859686196</v>
      </c>
      <c r="W3674">
        <v>0.36562125826770298</v>
      </c>
      <c r="X3674">
        <v>0</v>
      </c>
      <c r="Y3674">
        <v>0</v>
      </c>
    </row>
    <row r="3675" spans="1:25" x14ac:dyDescent="0.2">
      <c r="A3675" t="s">
        <v>13506</v>
      </c>
      <c r="B3675" t="s">
        <v>13507</v>
      </c>
      <c r="C3675" t="s">
        <v>13508</v>
      </c>
      <c r="D3675" t="s">
        <v>13509</v>
      </c>
      <c r="E3675" t="s">
        <v>13507</v>
      </c>
      <c r="F3675" t="s">
        <v>28</v>
      </c>
      <c r="G3675" t="s">
        <v>13507</v>
      </c>
      <c r="H3675" t="str">
        <f>"gob-1"</f>
        <v>gob-1</v>
      </c>
      <c r="I3675" t="s">
        <v>13509</v>
      </c>
      <c r="J3675" t="s">
        <v>29</v>
      </c>
      <c r="K3675" t="s">
        <v>29</v>
      </c>
      <c r="L3675">
        <v>11.363465509932199</v>
      </c>
      <c r="M3675" t="s">
        <v>29</v>
      </c>
      <c r="N3675">
        <v>12.262501361362601</v>
      </c>
      <c r="O3675" t="s">
        <v>29</v>
      </c>
      <c r="P3675">
        <v>0.89903585143034404</v>
      </c>
      <c r="Q3675">
        <v>-1.1457190006353E-2</v>
      </c>
      <c r="R3675">
        <v>1.8095288928670401</v>
      </c>
      <c r="S3675">
        <v>11.657757312942501</v>
      </c>
      <c r="T3675">
        <v>2.4265847457862102</v>
      </c>
      <c r="U3675">
        <v>-4.1963648116076699</v>
      </c>
      <c r="V3675">
        <v>5.2125452796193197E-2</v>
      </c>
      <c r="W3675">
        <v>0.22675965695028399</v>
      </c>
      <c r="X3675">
        <v>0</v>
      </c>
      <c r="Y3675">
        <v>0</v>
      </c>
    </row>
    <row r="3676" spans="1:25" x14ac:dyDescent="0.2">
      <c r="A3676" t="s">
        <v>13510</v>
      </c>
      <c r="B3676" t="s">
        <v>13511</v>
      </c>
      <c r="C3676" t="s">
        <v>14740</v>
      </c>
      <c r="D3676" t="s">
        <v>534</v>
      </c>
      <c r="E3676" t="s">
        <v>13511</v>
      </c>
      <c r="F3676" t="s">
        <v>28</v>
      </c>
      <c r="G3676" t="s">
        <v>13511</v>
      </c>
      <c r="H3676" t="str">
        <f>"F47G4.4"</f>
        <v>F47G4.4</v>
      </c>
      <c r="I3676" t="s">
        <v>534</v>
      </c>
      <c r="J3676" t="s">
        <v>29</v>
      </c>
      <c r="K3676" t="s">
        <v>29</v>
      </c>
      <c r="L3676" t="s">
        <v>29</v>
      </c>
      <c r="M3676" t="s">
        <v>29</v>
      </c>
      <c r="N3676" t="s">
        <v>29</v>
      </c>
      <c r="O3676" t="s">
        <v>29</v>
      </c>
      <c r="P3676" t="s">
        <v>29</v>
      </c>
      <c r="Q3676" t="s">
        <v>29</v>
      </c>
      <c r="R3676" t="s">
        <v>29</v>
      </c>
      <c r="S3676">
        <v>9.3669392140089904</v>
      </c>
      <c r="T3676" t="s">
        <v>29</v>
      </c>
      <c r="U3676" t="s">
        <v>29</v>
      </c>
      <c r="V3676" t="s">
        <v>29</v>
      </c>
      <c r="W3676" t="s">
        <v>29</v>
      </c>
      <c r="X3676" t="s">
        <v>29</v>
      </c>
      <c r="Y3676" t="s">
        <v>29</v>
      </c>
    </row>
    <row r="3677" spans="1:25" x14ac:dyDescent="0.2">
      <c r="A3677" t="s">
        <v>13512</v>
      </c>
      <c r="B3677" t="s">
        <v>13513</v>
      </c>
      <c r="C3677" t="s">
        <v>13514</v>
      </c>
      <c r="D3677" t="s">
        <v>13515</v>
      </c>
      <c r="E3677" t="s">
        <v>13513</v>
      </c>
      <c r="F3677" t="s">
        <v>28</v>
      </c>
      <c r="G3677" t="s">
        <v>13513</v>
      </c>
      <c r="H3677" t="str">
        <f>"ani-1"</f>
        <v>ani-1</v>
      </c>
      <c r="I3677" t="s">
        <v>13515</v>
      </c>
      <c r="J3677">
        <v>13.028760695578301</v>
      </c>
      <c r="K3677">
        <v>12.9554298702573</v>
      </c>
      <c r="L3677">
        <v>13.3510697508099</v>
      </c>
      <c r="M3677">
        <v>12.1885421530316</v>
      </c>
      <c r="N3677">
        <v>12.609763813775899</v>
      </c>
      <c r="O3677">
        <v>12.128507076103601</v>
      </c>
      <c r="P3677">
        <v>-0.80281575791144999</v>
      </c>
      <c r="Q3677">
        <v>-1.30457457100843</v>
      </c>
      <c r="R3677">
        <v>-0.30105694481447098</v>
      </c>
      <c r="S3677">
        <v>13.1736850894344</v>
      </c>
      <c r="T3677">
        <v>-3.3936762476548301</v>
      </c>
      <c r="U3677">
        <v>-2.4932134853253798</v>
      </c>
      <c r="V3677">
        <v>3.7385050064976601E-3</v>
      </c>
      <c r="W3677">
        <v>4.42367101496123E-2</v>
      </c>
      <c r="X3677">
        <v>0</v>
      </c>
      <c r="Y3677">
        <v>0</v>
      </c>
    </row>
    <row r="3678" spans="1:25" x14ac:dyDescent="0.2">
      <c r="A3678" t="s">
        <v>13516</v>
      </c>
      <c r="B3678" t="s">
        <v>13517</v>
      </c>
      <c r="C3678" t="s">
        <v>13518</v>
      </c>
      <c r="D3678" t="s">
        <v>13519</v>
      </c>
      <c r="E3678" t="s">
        <v>13517</v>
      </c>
      <c r="F3678" t="s">
        <v>28</v>
      </c>
      <c r="G3678" t="s">
        <v>13517</v>
      </c>
      <c r="H3678" t="str">
        <f>"rpt-6"</f>
        <v>rpt-6</v>
      </c>
      <c r="I3678" t="s">
        <v>13519</v>
      </c>
      <c r="J3678">
        <v>16.006480050510898</v>
      </c>
      <c r="K3678">
        <v>15.877008105906899</v>
      </c>
      <c r="L3678">
        <v>15.8369286076568</v>
      </c>
      <c r="M3678">
        <v>15.628034774036101</v>
      </c>
      <c r="N3678">
        <v>15.901827108745101</v>
      </c>
      <c r="O3678">
        <v>15.971407254030099</v>
      </c>
      <c r="P3678">
        <v>-7.3049209087800507E-2</v>
      </c>
      <c r="Q3678">
        <v>-0.47017371264645902</v>
      </c>
      <c r="R3678">
        <v>0.32407529447085798</v>
      </c>
      <c r="S3678">
        <v>15.6735611535836</v>
      </c>
      <c r="T3678">
        <v>-0.38661735592262297</v>
      </c>
      <c r="U3678">
        <v>-6.9740808067438396</v>
      </c>
      <c r="V3678">
        <v>0.70359824774183199</v>
      </c>
      <c r="W3678">
        <v>0.86788140819986703</v>
      </c>
      <c r="X3678">
        <v>0</v>
      </c>
      <c r="Y3678">
        <v>0</v>
      </c>
    </row>
    <row r="3679" spans="1:25" x14ac:dyDescent="0.2">
      <c r="A3679" t="s">
        <v>13520</v>
      </c>
      <c r="B3679" t="s">
        <v>13521</v>
      </c>
      <c r="C3679" t="s">
        <v>13522</v>
      </c>
      <c r="D3679" t="s">
        <v>13523</v>
      </c>
      <c r="E3679" t="s">
        <v>13521</v>
      </c>
      <c r="F3679" t="s">
        <v>28</v>
      </c>
      <c r="G3679" t="s">
        <v>13521</v>
      </c>
      <c r="H3679" t="str">
        <f>"snr-6"</f>
        <v>snr-6</v>
      </c>
      <c r="I3679" t="s">
        <v>13523</v>
      </c>
      <c r="J3679" t="s">
        <v>29</v>
      </c>
      <c r="K3679" t="s">
        <v>29</v>
      </c>
      <c r="L3679" t="s">
        <v>29</v>
      </c>
      <c r="M3679" t="s">
        <v>29</v>
      </c>
      <c r="N3679" t="s">
        <v>29</v>
      </c>
      <c r="O3679" t="s">
        <v>29</v>
      </c>
      <c r="P3679" t="s">
        <v>29</v>
      </c>
      <c r="Q3679" t="s">
        <v>29</v>
      </c>
      <c r="R3679" t="s">
        <v>29</v>
      </c>
      <c r="S3679">
        <v>10.1259535328022</v>
      </c>
      <c r="T3679" t="s">
        <v>29</v>
      </c>
      <c r="U3679" t="s">
        <v>29</v>
      </c>
      <c r="V3679" t="s">
        <v>29</v>
      </c>
      <c r="W3679" t="s">
        <v>29</v>
      </c>
      <c r="X3679" t="s">
        <v>29</v>
      </c>
      <c r="Y3679" t="s">
        <v>29</v>
      </c>
    </row>
    <row r="3680" spans="1:25" x14ac:dyDescent="0.2">
      <c r="A3680" t="s">
        <v>13524</v>
      </c>
      <c r="B3680" t="s">
        <v>13525</v>
      </c>
      <c r="C3680" t="s">
        <v>14741</v>
      </c>
      <c r="D3680" t="s">
        <v>1285</v>
      </c>
      <c r="E3680" t="s">
        <v>13525</v>
      </c>
      <c r="F3680" t="s">
        <v>28</v>
      </c>
      <c r="G3680" t="s">
        <v>13525</v>
      </c>
      <c r="H3680" t="str">
        <f>"Y49E10.4"</f>
        <v>Y49E10.4</v>
      </c>
      <c r="I3680" t="s">
        <v>1285</v>
      </c>
      <c r="J3680">
        <v>12.510443601234099</v>
      </c>
      <c r="K3680">
        <v>12.309202431074199</v>
      </c>
      <c r="L3680">
        <v>12.859934353409599</v>
      </c>
      <c r="M3680">
        <v>12.5107477342967</v>
      </c>
      <c r="N3680">
        <v>12.7598785347479</v>
      </c>
      <c r="O3680">
        <v>12.624699146870199</v>
      </c>
      <c r="P3680">
        <v>7.1915010065628907E-2</v>
      </c>
      <c r="Q3680">
        <v>-0.31440568970607902</v>
      </c>
      <c r="R3680">
        <v>0.45823570983733702</v>
      </c>
      <c r="S3680">
        <v>12.6507792077328</v>
      </c>
      <c r="T3680">
        <v>0.39483995735041999</v>
      </c>
      <c r="U3680">
        <v>-6.97024524290687</v>
      </c>
      <c r="V3680">
        <v>0.698208791043056</v>
      </c>
      <c r="W3680">
        <v>0.865842761453545</v>
      </c>
      <c r="X3680">
        <v>0</v>
      </c>
      <c r="Y3680">
        <v>0</v>
      </c>
    </row>
    <row r="3681" spans="1:25" x14ac:dyDescent="0.2">
      <c r="A3681" t="s">
        <v>13526</v>
      </c>
      <c r="B3681" t="s">
        <v>13527</v>
      </c>
      <c r="C3681" t="s">
        <v>13528</v>
      </c>
      <c r="D3681" t="s">
        <v>13529</v>
      </c>
      <c r="E3681" t="s">
        <v>13527</v>
      </c>
      <c r="F3681" t="s">
        <v>28</v>
      </c>
      <c r="G3681" t="s">
        <v>13527</v>
      </c>
      <c r="H3681" t="str">
        <f>"glrx-5"</f>
        <v>glrx-5</v>
      </c>
      <c r="I3681" t="s">
        <v>13529</v>
      </c>
      <c r="J3681">
        <v>13.7561721394462</v>
      </c>
      <c r="K3681">
        <v>14.5697048833437</v>
      </c>
      <c r="L3681">
        <v>14.217901651998099</v>
      </c>
      <c r="M3681">
        <v>12.9595863371301</v>
      </c>
      <c r="N3681">
        <v>14.317289161215699</v>
      </c>
      <c r="O3681">
        <v>13.9124374835548</v>
      </c>
      <c r="P3681">
        <v>-0.45148856429575102</v>
      </c>
      <c r="Q3681">
        <v>-1.24393284174577</v>
      </c>
      <c r="R3681">
        <v>0.34095571315426798</v>
      </c>
      <c r="S3681">
        <v>14.7963768048588</v>
      </c>
      <c r="T3681">
        <v>-1.20261892600991</v>
      </c>
      <c r="U3681">
        <v>-6.3227868427344402</v>
      </c>
      <c r="V3681">
        <v>0.24570769991011601</v>
      </c>
      <c r="W3681">
        <v>0.51981263889267004</v>
      </c>
      <c r="X3681">
        <v>0</v>
      </c>
      <c r="Y3681">
        <v>0</v>
      </c>
    </row>
    <row r="3682" spans="1:25" x14ac:dyDescent="0.2">
      <c r="A3682" t="s">
        <v>13530</v>
      </c>
      <c r="B3682" t="s">
        <v>13531</v>
      </c>
      <c r="C3682" t="s">
        <v>13532</v>
      </c>
      <c r="D3682" t="s">
        <v>13533</v>
      </c>
      <c r="E3682" t="s">
        <v>13531</v>
      </c>
      <c r="F3682" t="s">
        <v>28</v>
      </c>
      <c r="G3682" t="s">
        <v>13531</v>
      </c>
      <c r="H3682" t="str">
        <f>"mbf-1"</f>
        <v>mbf-1</v>
      </c>
      <c r="I3682" t="s">
        <v>13533</v>
      </c>
      <c r="J3682">
        <v>12.2707352825933</v>
      </c>
      <c r="K3682">
        <v>11.0853303711976</v>
      </c>
      <c r="L3682">
        <v>12.617595264706299</v>
      </c>
      <c r="M3682">
        <v>13.7444521599789</v>
      </c>
      <c r="N3682">
        <v>13.2409423920066</v>
      </c>
      <c r="O3682">
        <v>13.684309030225901</v>
      </c>
      <c r="P3682">
        <v>1.56534755457139</v>
      </c>
      <c r="Q3682">
        <v>0.76211587920386403</v>
      </c>
      <c r="R3682">
        <v>2.3685792299389101</v>
      </c>
      <c r="S3682">
        <v>12.191414588530399</v>
      </c>
      <c r="T3682">
        <v>4.11358017029844</v>
      </c>
      <c r="U3682">
        <v>-0.90868999234356995</v>
      </c>
      <c r="V3682">
        <v>7.3356447735721704E-4</v>
      </c>
      <c r="W3682">
        <v>1.45549927397584E-2</v>
      </c>
      <c r="X3682">
        <v>1</v>
      </c>
      <c r="Y3682">
        <v>1</v>
      </c>
    </row>
    <row r="3683" spans="1:25" x14ac:dyDescent="0.2">
      <c r="A3683" t="s">
        <v>13534</v>
      </c>
      <c r="B3683" t="s">
        <v>13535</v>
      </c>
      <c r="C3683" t="s">
        <v>13536</v>
      </c>
      <c r="D3683" t="s">
        <v>13537</v>
      </c>
      <c r="E3683" t="s">
        <v>13535</v>
      </c>
      <c r="F3683" t="s">
        <v>28</v>
      </c>
      <c r="G3683" t="s">
        <v>13535</v>
      </c>
      <c r="H3683" t="str">
        <f>"num-1"</f>
        <v>num-1</v>
      </c>
      <c r="I3683" t="s">
        <v>13537</v>
      </c>
      <c r="J3683">
        <v>11.7615039142218</v>
      </c>
      <c r="K3683">
        <v>11.9155415064532</v>
      </c>
      <c r="L3683">
        <v>12.510223379601699</v>
      </c>
      <c r="M3683">
        <v>11.9348211648239</v>
      </c>
      <c r="N3683">
        <v>12.723096481855301</v>
      </c>
      <c r="O3683">
        <v>12.5262819309253</v>
      </c>
      <c r="P3683">
        <v>0.33231025910929901</v>
      </c>
      <c r="Q3683">
        <v>-0.142605072528973</v>
      </c>
      <c r="R3683">
        <v>0.80722559074757105</v>
      </c>
      <c r="S3683">
        <v>12.2069822555091</v>
      </c>
      <c r="T3683">
        <v>1.4841475817591301</v>
      </c>
      <c r="U3683">
        <v>-5.9643626762128301</v>
      </c>
      <c r="V3683">
        <v>0.157328869603094</v>
      </c>
      <c r="W3683">
        <v>0.40890426652433398</v>
      </c>
      <c r="X3683">
        <v>0</v>
      </c>
      <c r="Y3683">
        <v>0</v>
      </c>
    </row>
    <row r="3684" spans="1:25" x14ac:dyDescent="0.2">
      <c r="A3684" t="s">
        <v>13538</v>
      </c>
      <c r="B3684" t="s">
        <v>13539</v>
      </c>
      <c r="C3684" t="s">
        <v>13540</v>
      </c>
      <c r="D3684" t="s">
        <v>13541</v>
      </c>
      <c r="E3684" t="s">
        <v>13539</v>
      </c>
      <c r="F3684" t="s">
        <v>28</v>
      </c>
      <c r="G3684" t="s">
        <v>13539</v>
      </c>
      <c r="H3684" t="str">
        <f>"vha-20"</f>
        <v>vha-20</v>
      </c>
      <c r="I3684" t="s">
        <v>13541</v>
      </c>
      <c r="J3684" t="s">
        <v>29</v>
      </c>
      <c r="K3684">
        <v>12.5569955930291</v>
      </c>
      <c r="L3684">
        <v>13.041426875687799</v>
      </c>
      <c r="M3684">
        <v>12.647991378073</v>
      </c>
      <c r="N3684">
        <v>13.770231671548499</v>
      </c>
      <c r="O3684">
        <v>12.506708870567</v>
      </c>
      <c r="P3684">
        <v>0.175766072371035</v>
      </c>
      <c r="Q3684">
        <v>-0.62690609203768399</v>
      </c>
      <c r="R3684">
        <v>0.97843823677975394</v>
      </c>
      <c r="S3684">
        <v>12.8906205134645</v>
      </c>
      <c r="T3684">
        <v>0.46702319600105102</v>
      </c>
      <c r="U3684">
        <v>-6.8269649409693196</v>
      </c>
      <c r="V3684">
        <v>0.64724172417516901</v>
      </c>
      <c r="W3684">
        <v>0.83942788779035504</v>
      </c>
      <c r="X3684">
        <v>0</v>
      </c>
      <c r="Y3684">
        <v>0</v>
      </c>
    </row>
    <row r="3685" spans="1:25" x14ac:dyDescent="0.2">
      <c r="A3685" t="s">
        <v>13542</v>
      </c>
      <c r="B3685" t="s">
        <v>13543</v>
      </c>
      <c r="C3685" t="s">
        <v>13544</v>
      </c>
      <c r="D3685" t="s">
        <v>93</v>
      </c>
      <c r="E3685" t="s">
        <v>13543</v>
      </c>
      <c r="F3685" t="s">
        <v>28</v>
      </c>
      <c r="G3685" t="s">
        <v>13543</v>
      </c>
      <c r="H3685" t="str">
        <f>"rsp-8"</f>
        <v>rsp-8</v>
      </c>
      <c r="I3685" t="s">
        <v>93</v>
      </c>
      <c r="J3685">
        <v>16.718303833646001</v>
      </c>
      <c r="K3685">
        <v>17.0774513742445</v>
      </c>
      <c r="L3685">
        <v>17.106772592672801</v>
      </c>
      <c r="M3685">
        <v>17.084057449248501</v>
      </c>
      <c r="N3685">
        <v>16.500044279897701</v>
      </c>
      <c r="O3685">
        <v>16.952892611395399</v>
      </c>
      <c r="P3685">
        <v>-0.12184448667390101</v>
      </c>
      <c r="Q3685">
        <v>-0.55903275506759798</v>
      </c>
      <c r="R3685">
        <v>0.31534378171979699</v>
      </c>
      <c r="S3685">
        <v>17.168102144979201</v>
      </c>
      <c r="T3685">
        <v>-0.58577373698203405</v>
      </c>
      <c r="U3685">
        <v>-6.8739787926576899</v>
      </c>
      <c r="V3685">
        <v>0.56534286498111996</v>
      </c>
      <c r="W3685">
        <v>0.78823873615756102</v>
      </c>
      <c r="X3685">
        <v>0</v>
      </c>
      <c r="Y3685">
        <v>0</v>
      </c>
    </row>
    <row r="3686" spans="1:25" x14ac:dyDescent="0.2">
      <c r="A3686" t="s">
        <v>13545</v>
      </c>
      <c r="B3686" t="s">
        <v>13546</v>
      </c>
      <c r="C3686" t="s">
        <v>14742</v>
      </c>
      <c r="D3686" t="s">
        <v>4609</v>
      </c>
      <c r="E3686" t="s">
        <v>13546</v>
      </c>
      <c r="F3686" t="s">
        <v>28</v>
      </c>
      <c r="G3686" t="s">
        <v>13546</v>
      </c>
      <c r="H3686" t="str">
        <f>"T28A8.4"</f>
        <v>T28A8.4</v>
      </c>
      <c r="I3686" t="s">
        <v>4609</v>
      </c>
      <c r="J3686">
        <v>10.5685513317858</v>
      </c>
      <c r="K3686" t="s">
        <v>29</v>
      </c>
      <c r="L3686">
        <v>10.063238763639299</v>
      </c>
      <c r="M3686">
        <v>11.5731489919526</v>
      </c>
      <c r="N3686">
        <v>10.889963572182999</v>
      </c>
      <c r="O3686">
        <v>10.183857836932001</v>
      </c>
      <c r="P3686">
        <v>0.56642841931002696</v>
      </c>
      <c r="Q3686">
        <v>-0.35251479685023202</v>
      </c>
      <c r="R3686">
        <v>1.4853716354702899</v>
      </c>
      <c r="S3686">
        <v>12.321353396701401</v>
      </c>
      <c r="T3686">
        <v>1.3327343867692401</v>
      </c>
      <c r="U3686">
        <v>-6.05365128443567</v>
      </c>
      <c r="V3686">
        <v>0.20568974023692899</v>
      </c>
      <c r="W3686">
        <v>0.46936494721666799</v>
      </c>
      <c r="X3686">
        <v>0</v>
      </c>
      <c r="Y3686">
        <v>0</v>
      </c>
    </row>
    <row r="3687" spans="1:25" x14ac:dyDescent="0.2">
      <c r="A3687" t="s">
        <v>13547</v>
      </c>
      <c r="B3687" t="s">
        <v>13548</v>
      </c>
      <c r="C3687" t="s">
        <v>13549</v>
      </c>
      <c r="D3687" t="s">
        <v>1174</v>
      </c>
      <c r="E3687" t="s">
        <v>13548</v>
      </c>
      <c r="F3687" t="s">
        <v>28</v>
      </c>
      <c r="G3687" t="s">
        <v>13548</v>
      </c>
      <c r="H3687" t="str">
        <f>"klp-7"</f>
        <v>klp-7</v>
      </c>
      <c r="I3687" t="s">
        <v>1174</v>
      </c>
      <c r="J3687">
        <v>14.129181836986801</v>
      </c>
      <c r="K3687">
        <v>13.835947321068399</v>
      </c>
      <c r="L3687">
        <v>14.576724633304099</v>
      </c>
      <c r="M3687">
        <v>14.156196093061</v>
      </c>
      <c r="N3687">
        <v>14.616356267472799</v>
      </c>
      <c r="O3687">
        <v>13.943843886333701</v>
      </c>
      <c r="P3687">
        <v>5.8180818502782103E-2</v>
      </c>
      <c r="Q3687">
        <v>-0.387518347613033</v>
      </c>
      <c r="R3687">
        <v>0.50387998461859695</v>
      </c>
      <c r="S3687">
        <v>14.211618393091999</v>
      </c>
      <c r="T3687">
        <v>0.27554213447760301</v>
      </c>
      <c r="U3687">
        <v>-7.0122631407637002</v>
      </c>
      <c r="V3687">
        <v>0.78624144479501501</v>
      </c>
      <c r="W3687">
        <v>0.91209613595828098</v>
      </c>
      <c r="X3687">
        <v>0</v>
      </c>
      <c r="Y3687">
        <v>0</v>
      </c>
    </row>
    <row r="3688" spans="1:25" x14ac:dyDescent="0.2">
      <c r="A3688" t="s">
        <v>13550</v>
      </c>
      <c r="B3688" t="s">
        <v>13551</v>
      </c>
      <c r="C3688" t="s">
        <v>13552</v>
      </c>
      <c r="D3688" t="s">
        <v>12465</v>
      </c>
      <c r="E3688" t="s">
        <v>13551</v>
      </c>
      <c r="F3688" t="s">
        <v>28</v>
      </c>
      <c r="G3688" t="s">
        <v>13551</v>
      </c>
      <c r="H3688" t="str">
        <f>"hxk-2"</f>
        <v>hxk-2</v>
      </c>
      <c r="I3688" t="s">
        <v>12465</v>
      </c>
      <c r="J3688">
        <v>15.180777695872001</v>
      </c>
      <c r="K3688">
        <v>14.8076105616334</v>
      </c>
      <c r="L3688">
        <v>14.923023082206701</v>
      </c>
      <c r="M3688">
        <v>15.0758944422043</v>
      </c>
      <c r="N3688">
        <v>15.047545083094599</v>
      </c>
      <c r="O3688">
        <v>14.870007881607799</v>
      </c>
      <c r="P3688">
        <v>2.7345355731558399E-2</v>
      </c>
      <c r="Q3688">
        <v>-0.64804271436440997</v>
      </c>
      <c r="R3688">
        <v>0.70273342582752696</v>
      </c>
      <c r="S3688">
        <v>14.8428631050313</v>
      </c>
      <c r="T3688">
        <v>8.5098656851307103E-2</v>
      </c>
      <c r="U3688">
        <v>-7.04829206093265</v>
      </c>
      <c r="V3688">
        <v>0.93312780866203604</v>
      </c>
      <c r="W3688">
        <v>0.97535311084156295</v>
      </c>
      <c r="X3688">
        <v>0</v>
      </c>
      <c r="Y3688">
        <v>0</v>
      </c>
    </row>
    <row r="3689" spans="1:25" x14ac:dyDescent="0.2">
      <c r="A3689" t="s">
        <v>13553</v>
      </c>
      <c r="B3689" t="s">
        <v>13554</v>
      </c>
      <c r="C3689" t="s">
        <v>13555</v>
      </c>
      <c r="D3689" t="s">
        <v>368</v>
      </c>
      <c r="E3689" t="s">
        <v>13554</v>
      </c>
      <c r="F3689" t="s">
        <v>28</v>
      </c>
      <c r="G3689" t="s">
        <v>13554</v>
      </c>
      <c r="H3689" t="str">
        <f>"B0379.1"</f>
        <v>B0379.1</v>
      </c>
      <c r="I3689" t="s">
        <v>368</v>
      </c>
      <c r="J3689">
        <v>13.7926256005344</v>
      </c>
      <c r="K3689">
        <v>13.5242840269047</v>
      </c>
      <c r="L3689">
        <v>13.9413282282712</v>
      </c>
      <c r="M3689">
        <v>13.501695665425901</v>
      </c>
      <c r="N3689">
        <v>13.7980289707543</v>
      </c>
      <c r="O3689">
        <v>13.862810085028601</v>
      </c>
      <c r="P3689">
        <v>-3.1901044833848098E-2</v>
      </c>
      <c r="Q3689">
        <v>-0.450697652709868</v>
      </c>
      <c r="R3689">
        <v>0.38689556304217199</v>
      </c>
      <c r="S3689">
        <v>13.7897957073335</v>
      </c>
      <c r="T3689">
        <v>-0.160101081351359</v>
      </c>
      <c r="U3689">
        <v>-7.0386631366939403</v>
      </c>
      <c r="V3689">
        <v>0.87459478614456398</v>
      </c>
      <c r="W3689">
        <v>0.95320463154572399</v>
      </c>
      <c r="X3689">
        <v>0</v>
      </c>
      <c r="Y3689">
        <v>0</v>
      </c>
    </row>
    <row r="3690" spans="1:25" x14ac:dyDescent="0.2">
      <c r="A3690" t="s">
        <v>13556</v>
      </c>
      <c r="B3690" t="s">
        <v>13557</v>
      </c>
      <c r="C3690" t="s">
        <v>13558</v>
      </c>
      <c r="D3690" t="s">
        <v>93</v>
      </c>
      <c r="E3690" t="s">
        <v>13557</v>
      </c>
      <c r="F3690" t="s">
        <v>28</v>
      </c>
      <c r="G3690" t="s">
        <v>13557</v>
      </c>
      <c r="H3690" t="str">
        <f>"rbd-1"</f>
        <v>rbd-1</v>
      </c>
      <c r="I3690" t="s">
        <v>93</v>
      </c>
      <c r="J3690">
        <v>13.405992108761</v>
      </c>
      <c r="K3690">
        <v>13.0034222181609</v>
      </c>
      <c r="L3690">
        <v>13.267296647001601</v>
      </c>
      <c r="M3690">
        <v>13.1780837421719</v>
      </c>
      <c r="N3690">
        <v>13.229026570583599</v>
      </c>
      <c r="O3690">
        <v>13.1959640666654</v>
      </c>
      <c r="P3690">
        <v>-2.4545531500878699E-2</v>
      </c>
      <c r="Q3690">
        <v>-0.40291282580409798</v>
      </c>
      <c r="R3690">
        <v>0.35382176280234101</v>
      </c>
      <c r="S3690">
        <v>13.610948398986601</v>
      </c>
      <c r="T3690">
        <v>-0.136933233757804</v>
      </c>
      <c r="U3690">
        <v>-7.0422345998917297</v>
      </c>
      <c r="V3690">
        <v>0.89270212123057802</v>
      </c>
      <c r="W3690">
        <v>0.96247634588086906</v>
      </c>
      <c r="X3690">
        <v>0</v>
      </c>
      <c r="Y3690">
        <v>0</v>
      </c>
    </row>
    <row r="3691" spans="1:25" x14ac:dyDescent="0.2">
      <c r="A3691" t="s">
        <v>13559</v>
      </c>
      <c r="B3691" t="s">
        <v>13560</v>
      </c>
      <c r="C3691" t="s">
        <v>14743</v>
      </c>
      <c r="D3691" t="s">
        <v>13561</v>
      </c>
      <c r="E3691" t="s">
        <v>13560</v>
      </c>
      <c r="F3691" t="s">
        <v>28</v>
      </c>
      <c r="G3691" t="s">
        <v>13560</v>
      </c>
      <c r="H3691" t="str">
        <f>"F44E5.1"</f>
        <v>F44E5.1</v>
      </c>
      <c r="I3691" t="s">
        <v>13561</v>
      </c>
      <c r="J3691">
        <v>14.592767085022301</v>
      </c>
      <c r="K3691">
        <v>14.1214840947555</v>
      </c>
      <c r="L3691">
        <v>13.659178976828301</v>
      </c>
      <c r="M3691">
        <v>13.3775209365695</v>
      </c>
      <c r="N3691">
        <v>13.2528682884696</v>
      </c>
      <c r="O3691">
        <v>13.866172067283401</v>
      </c>
      <c r="P3691">
        <v>-0.62562295476118401</v>
      </c>
      <c r="Q3691">
        <v>-1.21795687416052</v>
      </c>
      <c r="R3691">
        <v>-3.3289035361845597E-2</v>
      </c>
      <c r="S3691">
        <v>13.6132955369894</v>
      </c>
      <c r="T3691">
        <v>-2.2294415224592399</v>
      </c>
      <c r="U3691">
        <v>-4.7639408517723902</v>
      </c>
      <c r="V3691">
        <v>3.9649883709206801E-2</v>
      </c>
      <c r="W3691">
        <v>0.19691232388534699</v>
      </c>
      <c r="X3691">
        <v>0</v>
      </c>
      <c r="Y3691">
        <v>0</v>
      </c>
    </row>
    <row r="3692" spans="1:25" x14ac:dyDescent="0.2">
      <c r="A3692" t="s">
        <v>13562</v>
      </c>
      <c r="B3692" t="s">
        <v>13563</v>
      </c>
      <c r="C3692" t="s">
        <v>13564</v>
      </c>
      <c r="D3692" t="s">
        <v>13565</v>
      </c>
      <c r="E3692" t="s">
        <v>13563</v>
      </c>
      <c r="F3692" t="s">
        <v>28</v>
      </c>
      <c r="G3692" t="s">
        <v>13563</v>
      </c>
      <c r="H3692" t="str">
        <f>"mex-5"</f>
        <v>mex-5</v>
      </c>
      <c r="I3692" t="s">
        <v>13565</v>
      </c>
      <c r="J3692">
        <v>12.4784257808383</v>
      </c>
      <c r="K3692">
        <v>11.8912551662438</v>
      </c>
      <c r="L3692">
        <v>13.7521256193626</v>
      </c>
      <c r="M3692" t="s">
        <v>29</v>
      </c>
      <c r="N3692">
        <v>12.713139475556799</v>
      </c>
      <c r="O3692">
        <v>12.433917541064201</v>
      </c>
      <c r="P3692">
        <v>-0.13374034717105401</v>
      </c>
      <c r="Q3692">
        <v>-1.18335712586912</v>
      </c>
      <c r="R3692">
        <v>0.91587643152701403</v>
      </c>
      <c r="S3692">
        <v>13.993389597435399</v>
      </c>
      <c r="T3692">
        <v>-0.26895628344163303</v>
      </c>
      <c r="U3692">
        <v>-6.9035550278851003</v>
      </c>
      <c r="V3692">
        <v>0.79122017243380305</v>
      </c>
      <c r="W3692">
        <v>0.91517844850619501</v>
      </c>
      <c r="X3692">
        <v>0</v>
      </c>
      <c r="Y3692">
        <v>0</v>
      </c>
    </row>
    <row r="3693" spans="1:25" x14ac:dyDescent="0.2">
      <c r="A3693" t="s">
        <v>13566</v>
      </c>
      <c r="B3693" t="s">
        <v>13567</v>
      </c>
      <c r="C3693" t="s">
        <v>13568</v>
      </c>
      <c r="D3693" t="s">
        <v>13569</v>
      </c>
      <c r="E3693" t="s">
        <v>13567</v>
      </c>
      <c r="F3693" t="s">
        <v>28</v>
      </c>
      <c r="G3693" t="s">
        <v>13567</v>
      </c>
      <c r="H3693" t="str">
        <f>"rsd-2"</f>
        <v>rsd-2</v>
      </c>
      <c r="I3693" t="s">
        <v>13569</v>
      </c>
      <c r="J3693">
        <v>13.2134531143658</v>
      </c>
      <c r="K3693">
        <v>13.5149474533738</v>
      </c>
      <c r="L3693">
        <v>13.6617752278959</v>
      </c>
      <c r="M3693">
        <v>13.2682194707515</v>
      </c>
      <c r="N3693">
        <v>13.734483217745399</v>
      </c>
      <c r="O3693">
        <v>13.1794501416488</v>
      </c>
      <c r="P3693">
        <v>-6.9340988496582795E-2</v>
      </c>
      <c r="Q3693">
        <v>-0.51212853093550803</v>
      </c>
      <c r="R3693">
        <v>0.373446553942343</v>
      </c>
      <c r="S3693">
        <v>13.9984676656505</v>
      </c>
      <c r="T3693">
        <v>-0.33055569807646801</v>
      </c>
      <c r="U3693">
        <v>-6.99483047284774</v>
      </c>
      <c r="V3693">
        <v>0.74504402097518196</v>
      </c>
      <c r="W3693">
        <v>0.89235361033480298</v>
      </c>
      <c r="X3693">
        <v>0</v>
      </c>
      <c r="Y3693">
        <v>0</v>
      </c>
    </row>
    <row r="3694" spans="1:25" x14ac:dyDescent="0.2">
      <c r="A3694" t="s">
        <v>13570</v>
      </c>
      <c r="B3694" t="s">
        <v>13571</v>
      </c>
      <c r="C3694" t="s">
        <v>14744</v>
      </c>
      <c r="D3694" t="s">
        <v>3455</v>
      </c>
      <c r="E3694" t="s">
        <v>13571</v>
      </c>
      <c r="F3694" t="s">
        <v>28</v>
      </c>
      <c r="G3694" t="s">
        <v>13571</v>
      </c>
      <c r="H3694" t="str">
        <f>"T16G1.6"</f>
        <v>T16G1.6</v>
      </c>
      <c r="I3694" t="s">
        <v>3455</v>
      </c>
      <c r="J3694" t="s">
        <v>29</v>
      </c>
      <c r="K3694" t="s">
        <v>29</v>
      </c>
      <c r="L3694" t="s">
        <v>29</v>
      </c>
      <c r="M3694" t="s">
        <v>29</v>
      </c>
      <c r="N3694" t="s">
        <v>29</v>
      </c>
      <c r="O3694" t="s">
        <v>29</v>
      </c>
      <c r="P3694" t="s">
        <v>29</v>
      </c>
      <c r="Q3694" t="s">
        <v>29</v>
      </c>
      <c r="R3694" t="s">
        <v>29</v>
      </c>
      <c r="S3694">
        <v>11.3964646268858</v>
      </c>
      <c r="T3694" t="s">
        <v>29</v>
      </c>
      <c r="U3694" t="s">
        <v>29</v>
      </c>
      <c r="V3694" t="s">
        <v>29</v>
      </c>
      <c r="W3694" t="s">
        <v>29</v>
      </c>
      <c r="X3694" t="s">
        <v>29</v>
      </c>
      <c r="Y3694" t="s">
        <v>29</v>
      </c>
    </row>
    <row r="3695" spans="1:25" x14ac:dyDescent="0.2">
      <c r="A3695" t="s">
        <v>13572</v>
      </c>
      <c r="B3695" t="s">
        <v>13573</v>
      </c>
      <c r="C3695" t="s">
        <v>13574</v>
      </c>
      <c r="D3695" t="s">
        <v>13575</v>
      </c>
      <c r="E3695" t="s">
        <v>13573</v>
      </c>
      <c r="F3695" t="s">
        <v>28</v>
      </c>
      <c r="G3695" t="s">
        <v>13573</v>
      </c>
      <c r="H3695" t="str">
        <f>"eif-3.K"</f>
        <v>eif-3.K</v>
      </c>
      <c r="I3695" t="s">
        <v>13575</v>
      </c>
      <c r="J3695">
        <v>13.4339779976395</v>
      </c>
      <c r="K3695">
        <v>13.0723350345756</v>
      </c>
      <c r="L3695">
        <v>14.120147654965599</v>
      </c>
      <c r="M3695">
        <v>13.5593446006849</v>
      </c>
      <c r="N3695">
        <v>14.1940083532462</v>
      </c>
      <c r="O3695">
        <v>13.591370982512</v>
      </c>
      <c r="P3695">
        <v>0.23942108308749099</v>
      </c>
      <c r="Q3695">
        <v>-0.44433177077978703</v>
      </c>
      <c r="R3695">
        <v>0.92317393695476802</v>
      </c>
      <c r="S3695">
        <v>13.6841556916812</v>
      </c>
      <c r="T3695">
        <v>0.742698879871169</v>
      </c>
      <c r="U3695">
        <v>-6.7660586706080901</v>
      </c>
      <c r="V3695">
        <v>0.46849896375334699</v>
      </c>
      <c r="W3695">
        <v>0.73153117908080401</v>
      </c>
      <c r="X3695">
        <v>0</v>
      </c>
      <c r="Y3695">
        <v>0</v>
      </c>
    </row>
    <row r="3696" spans="1:25" x14ac:dyDescent="0.2">
      <c r="A3696" t="s">
        <v>13576</v>
      </c>
      <c r="B3696" t="s">
        <v>13577</v>
      </c>
      <c r="C3696" t="s">
        <v>14745</v>
      </c>
      <c r="D3696" t="s">
        <v>4039</v>
      </c>
      <c r="E3696" t="s">
        <v>13577</v>
      </c>
      <c r="F3696" t="s">
        <v>28</v>
      </c>
      <c r="G3696" t="s">
        <v>13577</v>
      </c>
      <c r="H3696" t="str">
        <f>"T05F1.11"</f>
        <v>T05F1.11</v>
      </c>
      <c r="I3696" t="s">
        <v>4039</v>
      </c>
      <c r="J3696">
        <v>13.5875332690955</v>
      </c>
      <c r="K3696">
        <v>13.403090639663899</v>
      </c>
      <c r="L3696">
        <v>13.0368870638328</v>
      </c>
      <c r="M3696">
        <v>13.3140024052465</v>
      </c>
      <c r="N3696">
        <v>13.3472656020343</v>
      </c>
      <c r="O3696">
        <v>12.659928369054199</v>
      </c>
      <c r="P3696">
        <v>-0.23543819875243499</v>
      </c>
      <c r="Q3696">
        <v>-0.82919674629665496</v>
      </c>
      <c r="R3696">
        <v>0.35832034879178498</v>
      </c>
      <c r="S3696">
        <v>12.827626758320401</v>
      </c>
      <c r="T3696">
        <v>-0.83698382464818899</v>
      </c>
      <c r="U3696">
        <v>-6.6912928699715204</v>
      </c>
      <c r="V3696">
        <v>0.41428451541023398</v>
      </c>
      <c r="W3696">
        <v>0.68674570206057095</v>
      </c>
      <c r="X3696">
        <v>0</v>
      </c>
      <c r="Y3696">
        <v>0</v>
      </c>
    </row>
    <row r="3697" spans="1:25" x14ac:dyDescent="0.2">
      <c r="A3697" t="s">
        <v>13578</v>
      </c>
      <c r="B3697" t="s">
        <v>13579</v>
      </c>
      <c r="C3697" t="s">
        <v>14746</v>
      </c>
      <c r="D3697" t="s">
        <v>13580</v>
      </c>
      <c r="E3697" t="s">
        <v>13579</v>
      </c>
      <c r="F3697" t="s">
        <v>28</v>
      </c>
      <c r="G3697" t="s">
        <v>13579</v>
      </c>
      <c r="H3697" t="str">
        <f>"T05F1.2"</f>
        <v>T05F1.2</v>
      </c>
      <c r="I3697" t="s">
        <v>13580</v>
      </c>
      <c r="J3697">
        <v>12.092136383715999</v>
      </c>
      <c r="K3697">
        <v>11.617033340786501</v>
      </c>
      <c r="L3697">
        <v>12.419257274541399</v>
      </c>
      <c r="M3697">
        <v>12.3596499396282</v>
      </c>
      <c r="N3697">
        <v>12.857402845631199</v>
      </c>
      <c r="O3697">
        <v>12.267575559617701</v>
      </c>
      <c r="P3697">
        <v>0.452067115277758</v>
      </c>
      <c r="Q3697">
        <v>-0.151280767344905</v>
      </c>
      <c r="R3697">
        <v>1.0554149979004199</v>
      </c>
      <c r="S3697">
        <v>12.8893672153898</v>
      </c>
      <c r="T3697">
        <v>1.58155804801523</v>
      </c>
      <c r="U3697">
        <v>-5.8264640298452397</v>
      </c>
      <c r="V3697">
        <v>0.13228907563084499</v>
      </c>
      <c r="W3697">
        <v>0.37670915392425802</v>
      </c>
      <c r="X3697">
        <v>0</v>
      </c>
      <c r="Y3697">
        <v>0</v>
      </c>
    </row>
    <row r="3698" spans="1:25" x14ac:dyDescent="0.2">
      <c r="A3698" t="s">
        <v>13581</v>
      </c>
      <c r="B3698" t="s">
        <v>13582</v>
      </c>
      <c r="C3698" t="s">
        <v>13583</v>
      </c>
      <c r="D3698" t="s">
        <v>13584</v>
      </c>
      <c r="E3698" t="s">
        <v>13582</v>
      </c>
      <c r="F3698" t="s">
        <v>28</v>
      </c>
      <c r="G3698" t="s">
        <v>13582</v>
      </c>
      <c r="H3698" t="str">
        <f>"pdr-1"</f>
        <v>pdr-1</v>
      </c>
      <c r="I3698" t="s">
        <v>13584</v>
      </c>
      <c r="J3698" t="s">
        <v>29</v>
      </c>
      <c r="K3698" t="s">
        <v>29</v>
      </c>
      <c r="L3698" t="s">
        <v>29</v>
      </c>
      <c r="M3698">
        <v>10.044523612075499</v>
      </c>
      <c r="N3698" t="s">
        <v>29</v>
      </c>
      <c r="O3698" t="s">
        <v>29</v>
      </c>
      <c r="P3698" t="s">
        <v>29</v>
      </c>
      <c r="Q3698" t="s">
        <v>29</v>
      </c>
      <c r="R3698" t="s">
        <v>29</v>
      </c>
      <c r="S3698">
        <v>11.2715182993939</v>
      </c>
      <c r="T3698" t="s">
        <v>29</v>
      </c>
      <c r="U3698" t="s">
        <v>29</v>
      </c>
      <c r="V3698" t="s">
        <v>29</v>
      </c>
      <c r="W3698" t="s">
        <v>29</v>
      </c>
      <c r="X3698" t="s">
        <v>29</v>
      </c>
      <c r="Y3698" t="s">
        <v>29</v>
      </c>
    </row>
    <row r="3699" spans="1:25" x14ac:dyDescent="0.2">
      <c r="A3699" t="s">
        <v>13585</v>
      </c>
      <c r="B3699" t="s">
        <v>13586</v>
      </c>
      <c r="C3699" t="s">
        <v>13587</v>
      </c>
      <c r="D3699" t="s">
        <v>13588</v>
      </c>
      <c r="E3699" t="s">
        <v>13586</v>
      </c>
      <c r="F3699" t="s">
        <v>28</v>
      </c>
      <c r="G3699" t="s">
        <v>13586</v>
      </c>
      <c r="H3699" t="str">
        <f>"rml-1"</f>
        <v>rml-1</v>
      </c>
      <c r="I3699" t="s">
        <v>13588</v>
      </c>
      <c r="J3699">
        <v>18.246521306073099</v>
      </c>
      <c r="K3699">
        <v>18.157843676857102</v>
      </c>
      <c r="L3699">
        <v>17.974298779222</v>
      </c>
      <c r="M3699">
        <v>18.110718950456199</v>
      </c>
      <c r="N3699">
        <v>18.190225189929201</v>
      </c>
      <c r="O3699">
        <v>18.154980201241099</v>
      </c>
      <c r="P3699">
        <v>2.5753526491442399E-2</v>
      </c>
      <c r="Q3699">
        <v>-0.34775469037937601</v>
      </c>
      <c r="R3699">
        <v>0.399261743362261</v>
      </c>
      <c r="S3699">
        <v>17.668939455738499</v>
      </c>
      <c r="T3699">
        <v>0.144920244874267</v>
      </c>
      <c r="U3699">
        <v>-7.0410866216259702</v>
      </c>
      <c r="V3699">
        <v>0.88639358718140504</v>
      </c>
      <c r="W3699">
        <v>0.96016136241287997</v>
      </c>
      <c r="X3699">
        <v>0</v>
      </c>
      <c r="Y3699">
        <v>0</v>
      </c>
    </row>
    <row r="3700" spans="1:25" x14ac:dyDescent="0.2">
      <c r="A3700" t="s">
        <v>13589</v>
      </c>
      <c r="B3700" t="s">
        <v>13590</v>
      </c>
      <c r="C3700" t="s">
        <v>13591</v>
      </c>
      <c r="D3700" t="s">
        <v>561</v>
      </c>
      <c r="E3700" t="s">
        <v>13590</v>
      </c>
      <c r="F3700" t="s">
        <v>28</v>
      </c>
      <c r="G3700" t="s">
        <v>13590</v>
      </c>
      <c r="H3700" t="str">
        <f>"tyr-2"</f>
        <v>tyr-2</v>
      </c>
      <c r="I3700" t="s">
        <v>561</v>
      </c>
      <c r="J3700" t="s">
        <v>29</v>
      </c>
      <c r="K3700" t="s">
        <v>29</v>
      </c>
      <c r="L3700">
        <v>11.3442673435462</v>
      </c>
      <c r="M3700" t="s">
        <v>29</v>
      </c>
      <c r="N3700" t="s">
        <v>29</v>
      </c>
      <c r="O3700" t="s">
        <v>29</v>
      </c>
      <c r="P3700" t="s">
        <v>29</v>
      </c>
      <c r="Q3700" t="s">
        <v>29</v>
      </c>
      <c r="R3700" t="s">
        <v>29</v>
      </c>
      <c r="S3700">
        <v>11.2159211354004</v>
      </c>
      <c r="T3700" t="s">
        <v>29</v>
      </c>
      <c r="U3700" t="s">
        <v>29</v>
      </c>
      <c r="V3700" t="s">
        <v>29</v>
      </c>
      <c r="W3700" t="s">
        <v>29</v>
      </c>
      <c r="X3700" t="s">
        <v>29</v>
      </c>
      <c r="Y3700" t="s">
        <v>29</v>
      </c>
    </row>
    <row r="3701" spans="1:25" x14ac:dyDescent="0.2">
      <c r="A3701" t="s">
        <v>13592</v>
      </c>
      <c r="B3701" t="s">
        <v>13593</v>
      </c>
      <c r="C3701" t="s">
        <v>13594</v>
      </c>
      <c r="D3701" t="s">
        <v>13595</v>
      </c>
      <c r="E3701" t="s">
        <v>13593</v>
      </c>
      <c r="F3701" t="s">
        <v>28</v>
      </c>
      <c r="G3701" t="s">
        <v>13593</v>
      </c>
      <c r="H3701" t="str">
        <f>"cyk-4"</f>
        <v>cyk-4</v>
      </c>
      <c r="I3701" t="s">
        <v>13595</v>
      </c>
      <c r="J3701">
        <v>12.5186464931882</v>
      </c>
      <c r="K3701">
        <v>12.8202717602014</v>
      </c>
      <c r="L3701">
        <v>13.4358032343094</v>
      </c>
      <c r="M3701">
        <v>13.1903917164429</v>
      </c>
      <c r="N3701">
        <v>13.805368606073801</v>
      </c>
      <c r="O3701">
        <v>13.8030206157656</v>
      </c>
      <c r="P3701">
        <v>0.67468648352776694</v>
      </c>
      <c r="Q3701">
        <v>8.4941144976195301E-2</v>
      </c>
      <c r="R3701">
        <v>1.26443182207934</v>
      </c>
      <c r="S3701">
        <v>13.7833040991722</v>
      </c>
      <c r="T3701">
        <v>2.4148352460512701</v>
      </c>
      <c r="U3701">
        <v>-4.42170547224862</v>
      </c>
      <c r="V3701">
        <v>2.7371803142127199E-2</v>
      </c>
      <c r="W3701">
        <v>0.162236516255887</v>
      </c>
      <c r="X3701">
        <v>0</v>
      </c>
      <c r="Y3701">
        <v>0</v>
      </c>
    </row>
    <row r="3702" spans="1:25" x14ac:dyDescent="0.2">
      <c r="A3702" t="s">
        <v>13596</v>
      </c>
      <c r="B3702" t="s">
        <v>13597</v>
      </c>
      <c r="C3702" t="s">
        <v>13598</v>
      </c>
      <c r="D3702" t="s">
        <v>13599</v>
      </c>
      <c r="E3702" t="s">
        <v>13597</v>
      </c>
      <c r="F3702" t="s">
        <v>28</v>
      </c>
      <c r="G3702" t="s">
        <v>13597</v>
      </c>
      <c r="H3702" t="str">
        <f>"dbn-1"</f>
        <v>dbn-1</v>
      </c>
      <c r="I3702" t="s">
        <v>13599</v>
      </c>
      <c r="J3702">
        <v>12.541720643455401</v>
      </c>
      <c r="K3702">
        <v>12.793634804074401</v>
      </c>
      <c r="L3702" t="s">
        <v>29</v>
      </c>
      <c r="M3702">
        <v>13.795725395768599</v>
      </c>
      <c r="N3702">
        <v>13.3070833185299</v>
      </c>
      <c r="O3702">
        <v>13.2505762738271</v>
      </c>
      <c r="P3702">
        <v>0.78345060561028401</v>
      </c>
      <c r="Q3702">
        <v>0.140360532808948</v>
      </c>
      <c r="R3702">
        <v>1.4265406784116199</v>
      </c>
      <c r="S3702">
        <v>12.6160837122309</v>
      </c>
      <c r="T3702">
        <v>2.6569588456322202</v>
      </c>
      <c r="U3702">
        <v>-3.9723787596263098</v>
      </c>
      <c r="V3702">
        <v>2.1042999840279301E-2</v>
      </c>
      <c r="W3702">
        <v>0.14060353486708199</v>
      </c>
      <c r="X3702">
        <v>0</v>
      </c>
      <c r="Y3702">
        <v>0</v>
      </c>
    </row>
    <row r="3703" spans="1:25" x14ac:dyDescent="0.2">
      <c r="A3703" t="s">
        <v>13600</v>
      </c>
      <c r="B3703" t="s">
        <v>13601</v>
      </c>
      <c r="C3703" t="s">
        <v>14170</v>
      </c>
      <c r="D3703" t="s">
        <v>13602</v>
      </c>
      <c r="E3703" t="s">
        <v>13601</v>
      </c>
      <c r="F3703" t="s">
        <v>28</v>
      </c>
      <c r="G3703" t="s">
        <v>13601</v>
      </c>
      <c r="H3703" t="str">
        <f>"K05C4.7"</f>
        <v>K05C4.7</v>
      </c>
      <c r="I3703" t="s">
        <v>13602</v>
      </c>
      <c r="J3703" t="s">
        <v>29</v>
      </c>
      <c r="K3703" t="s">
        <v>29</v>
      </c>
      <c r="L3703" t="s">
        <v>29</v>
      </c>
      <c r="M3703" t="s">
        <v>29</v>
      </c>
      <c r="N3703">
        <v>8.8341004643713799</v>
      </c>
      <c r="O3703" t="s">
        <v>29</v>
      </c>
      <c r="P3703" t="s">
        <v>29</v>
      </c>
      <c r="Q3703" t="s">
        <v>29</v>
      </c>
      <c r="R3703" t="s">
        <v>29</v>
      </c>
      <c r="S3703">
        <v>10.344533358997399</v>
      </c>
      <c r="T3703" t="s">
        <v>29</v>
      </c>
      <c r="U3703" t="s">
        <v>29</v>
      </c>
      <c r="V3703" t="s">
        <v>29</v>
      </c>
      <c r="W3703" t="s">
        <v>29</v>
      </c>
      <c r="X3703" t="s">
        <v>29</v>
      </c>
      <c r="Y3703" t="s">
        <v>29</v>
      </c>
    </row>
    <row r="3704" spans="1:25" x14ac:dyDescent="0.2">
      <c r="A3704" t="s">
        <v>13603</v>
      </c>
      <c r="B3704" t="s">
        <v>13604</v>
      </c>
      <c r="C3704" t="s">
        <v>14747</v>
      </c>
      <c r="D3704" t="s">
        <v>534</v>
      </c>
      <c r="E3704" t="s">
        <v>13604</v>
      </c>
      <c r="F3704" t="s">
        <v>28</v>
      </c>
      <c r="G3704" t="s">
        <v>13604</v>
      </c>
      <c r="H3704" t="str">
        <f>"K05C4.5"</f>
        <v>K05C4.5</v>
      </c>
      <c r="I3704" t="s">
        <v>534</v>
      </c>
      <c r="J3704">
        <v>14.160733039559799</v>
      </c>
      <c r="K3704">
        <v>14.0116993068595</v>
      </c>
      <c r="L3704">
        <v>13.953951234339</v>
      </c>
      <c r="M3704">
        <v>14.026048154548301</v>
      </c>
      <c r="N3704">
        <v>13.768158744234601</v>
      </c>
      <c r="O3704">
        <v>13.4928675166025</v>
      </c>
      <c r="P3704">
        <v>-0.27976972179099702</v>
      </c>
      <c r="Q3704">
        <v>-0.61783519282877097</v>
      </c>
      <c r="R3704">
        <v>5.8295749246778099E-2</v>
      </c>
      <c r="S3704">
        <v>13.874702501082</v>
      </c>
      <c r="T3704">
        <v>-1.7393717355317</v>
      </c>
      <c r="U3704">
        <v>-5.5880703505108098</v>
      </c>
      <c r="V3704">
        <v>9.9141115052283305E-2</v>
      </c>
      <c r="W3704">
        <v>0.32487934378663602</v>
      </c>
      <c r="X3704">
        <v>0</v>
      </c>
      <c r="Y3704">
        <v>0</v>
      </c>
    </row>
    <row r="3705" spans="1:25" x14ac:dyDescent="0.2">
      <c r="A3705" t="s">
        <v>13605</v>
      </c>
      <c r="B3705" t="s">
        <v>13606</v>
      </c>
      <c r="C3705" t="s">
        <v>13607</v>
      </c>
      <c r="D3705" t="s">
        <v>13608</v>
      </c>
      <c r="E3705" t="s">
        <v>13606</v>
      </c>
      <c r="F3705" t="s">
        <v>28</v>
      </c>
      <c r="G3705" t="s">
        <v>13606</v>
      </c>
      <c r="H3705" t="str">
        <f>"K05C4.2"</f>
        <v>K05C4.2</v>
      </c>
      <c r="I3705" t="s">
        <v>13608</v>
      </c>
      <c r="J3705">
        <v>15.586842916341499</v>
      </c>
      <c r="K3705">
        <v>15.2000671856346</v>
      </c>
      <c r="L3705">
        <v>14.6615623387128</v>
      </c>
      <c r="M3705">
        <v>13.604611229473299</v>
      </c>
      <c r="N3705">
        <v>14.287494868765201</v>
      </c>
      <c r="O3705">
        <v>15.1821035149592</v>
      </c>
      <c r="P3705">
        <v>-0.79142094249705497</v>
      </c>
      <c r="Q3705">
        <v>-3.10812005863859</v>
      </c>
      <c r="R3705">
        <v>1.52527817364448</v>
      </c>
      <c r="S3705">
        <v>14.8277650764326</v>
      </c>
      <c r="T3705">
        <v>-0.72458182322187104</v>
      </c>
      <c r="U3705">
        <v>-6.7796197736845301</v>
      </c>
      <c r="V3705">
        <v>0.47923956285696101</v>
      </c>
      <c r="W3705">
        <v>0.73779317270922695</v>
      </c>
      <c r="X3705">
        <v>0</v>
      </c>
      <c r="Y3705">
        <v>0</v>
      </c>
    </row>
    <row r="3706" spans="1:25" x14ac:dyDescent="0.2">
      <c r="A3706" t="s">
        <v>13609</v>
      </c>
      <c r="B3706" t="s">
        <v>13610</v>
      </c>
      <c r="C3706" t="s">
        <v>13611</v>
      </c>
      <c r="D3706" t="s">
        <v>13612</v>
      </c>
      <c r="E3706" t="s">
        <v>13610</v>
      </c>
      <c r="F3706" t="s">
        <v>28</v>
      </c>
      <c r="G3706" t="s">
        <v>13610</v>
      </c>
      <c r="H3706" t="str">
        <f>"pbs-5"</f>
        <v>pbs-5</v>
      </c>
      <c r="I3706" t="s">
        <v>13612</v>
      </c>
      <c r="J3706">
        <v>12.1457798187138</v>
      </c>
      <c r="K3706" t="s">
        <v>29</v>
      </c>
      <c r="L3706">
        <v>13.2536741876746</v>
      </c>
      <c r="M3706" t="s">
        <v>29</v>
      </c>
      <c r="N3706">
        <v>13.2948502945027</v>
      </c>
      <c r="O3706">
        <v>13.911064462004401</v>
      </c>
      <c r="P3706">
        <v>0.90323037505938697</v>
      </c>
      <c r="Q3706">
        <v>3.4460434650109402E-2</v>
      </c>
      <c r="R3706">
        <v>1.7720003154686601</v>
      </c>
      <c r="S3706">
        <v>12.7280246098564</v>
      </c>
      <c r="T3706">
        <v>2.2909807586783</v>
      </c>
      <c r="U3706">
        <v>-4.5438759616298103</v>
      </c>
      <c r="V3706">
        <v>4.2918252992277903E-2</v>
      </c>
      <c r="W3706">
        <v>0.20507488287352699</v>
      </c>
      <c r="X3706">
        <v>0</v>
      </c>
      <c r="Y3706">
        <v>0</v>
      </c>
    </row>
    <row r="3707" spans="1:25" x14ac:dyDescent="0.2">
      <c r="A3707" t="s">
        <v>13613</v>
      </c>
      <c r="B3707" t="s">
        <v>13614</v>
      </c>
      <c r="C3707" t="s">
        <v>13615</v>
      </c>
      <c r="D3707" t="s">
        <v>2791</v>
      </c>
      <c r="E3707" t="s">
        <v>13614</v>
      </c>
      <c r="F3707" t="s">
        <v>28</v>
      </c>
      <c r="G3707" t="s">
        <v>13614</v>
      </c>
      <c r="H3707" t="str">
        <f>"ddx-17"</f>
        <v>ddx-17</v>
      </c>
      <c r="I3707" t="s">
        <v>2791</v>
      </c>
      <c r="J3707">
        <v>17.390289366810102</v>
      </c>
      <c r="K3707">
        <v>17.6357959265872</v>
      </c>
      <c r="L3707">
        <v>18.071119562790599</v>
      </c>
      <c r="M3707">
        <v>17.139986296444398</v>
      </c>
      <c r="N3707">
        <v>17.5049191140697</v>
      </c>
      <c r="O3707">
        <v>17.541864005667701</v>
      </c>
      <c r="P3707">
        <v>-0.30347848000202798</v>
      </c>
      <c r="Q3707">
        <v>-0.73882076771747096</v>
      </c>
      <c r="R3707">
        <v>0.13186380771341599</v>
      </c>
      <c r="S3707">
        <v>18.1564396514751</v>
      </c>
      <c r="T3707">
        <v>-1.46517519713522</v>
      </c>
      <c r="U3707">
        <v>-5.9900447181188001</v>
      </c>
      <c r="V3707">
        <v>0.16022245825811399</v>
      </c>
      <c r="W3707">
        <v>0.412798004094936</v>
      </c>
      <c r="X3707">
        <v>0</v>
      </c>
      <c r="Y3707">
        <v>0</v>
      </c>
    </row>
    <row r="3708" spans="1:25" x14ac:dyDescent="0.2">
      <c r="A3708" t="s">
        <v>13616</v>
      </c>
      <c r="B3708" t="s">
        <v>13617</v>
      </c>
      <c r="C3708" t="s">
        <v>14748</v>
      </c>
      <c r="D3708" t="s">
        <v>13618</v>
      </c>
      <c r="E3708" t="s">
        <v>13617</v>
      </c>
      <c r="F3708" t="s">
        <v>28</v>
      </c>
      <c r="G3708" t="s">
        <v>13617</v>
      </c>
      <c r="H3708" t="str">
        <f>"F56G4.6"</f>
        <v>F56G4.6</v>
      </c>
      <c r="I3708" t="s">
        <v>13618</v>
      </c>
      <c r="J3708" t="s">
        <v>29</v>
      </c>
      <c r="K3708" t="s">
        <v>29</v>
      </c>
      <c r="L3708" t="s">
        <v>29</v>
      </c>
      <c r="M3708" t="s">
        <v>29</v>
      </c>
      <c r="N3708" t="s">
        <v>29</v>
      </c>
      <c r="O3708" t="s">
        <v>29</v>
      </c>
      <c r="P3708" t="s">
        <v>29</v>
      </c>
      <c r="Q3708" t="s">
        <v>29</v>
      </c>
      <c r="R3708" t="s">
        <v>29</v>
      </c>
      <c r="S3708">
        <v>11.0553154699529</v>
      </c>
      <c r="T3708" t="s">
        <v>29</v>
      </c>
      <c r="U3708" t="s">
        <v>29</v>
      </c>
      <c r="V3708" t="s">
        <v>29</v>
      </c>
      <c r="W3708" t="s">
        <v>29</v>
      </c>
      <c r="X3708" t="s">
        <v>29</v>
      </c>
      <c r="Y3708" t="s">
        <v>29</v>
      </c>
    </row>
    <row r="3709" spans="1:25" x14ac:dyDescent="0.2">
      <c r="A3709" t="s">
        <v>13619</v>
      </c>
      <c r="B3709" t="s">
        <v>13620</v>
      </c>
      <c r="C3709" t="s">
        <v>13621</v>
      </c>
      <c r="D3709" t="s">
        <v>13622</v>
      </c>
      <c r="E3709" t="s">
        <v>13620</v>
      </c>
      <c r="F3709" t="s">
        <v>28</v>
      </c>
      <c r="G3709" t="s">
        <v>13620</v>
      </c>
      <c r="H3709" t="str">
        <f>"aakb-1"</f>
        <v>aakb-1</v>
      </c>
      <c r="I3709" t="s">
        <v>13622</v>
      </c>
      <c r="J3709">
        <v>12.518478572968201</v>
      </c>
      <c r="K3709">
        <v>13.5986248368106</v>
      </c>
      <c r="L3709">
        <v>13.089891634790201</v>
      </c>
      <c r="M3709">
        <v>12.292062402457899</v>
      </c>
      <c r="N3709">
        <v>12.7213708068399</v>
      </c>
      <c r="O3709">
        <v>13.275237557988699</v>
      </c>
      <c r="P3709">
        <v>-0.30610809242746301</v>
      </c>
      <c r="Q3709">
        <v>-1.1423942205621</v>
      </c>
      <c r="R3709">
        <v>0.53017803570717303</v>
      </c>
      <c r="S3709">
        <v>12.5343852229249</v>
      </c>
      <c r="T3709">
        <v>-0.78065927481000397</v>
      </c>
      <c r="U3709">
        <v>-6.7357782552161698</v>
      </c>
      <c r="V3709">
        <v>0.44723269315189401</v>
      </c>
      <c r="W3709">
        <v>0.71513276831266004</v>
      </c>
      <c r="X3709">
        <v>0</v>
      </c>
      <c r="Y3709">
        <v>0</v>
      </c>
    </row>
    <row r="3710" spans="1:25" x14ac:dyDescent="0.2">
      <c r="A3710" t="s">
        <v>13623</v>
      </c>
      <c r="B3710" t="s">
        <v>13624</v>
      </c>
      <c r="C3710" t="s">
        <v>13625</v>
      </c>
      <c r="D3710" t="s">
        <v>13626</v>
      </c>
      <c r="E3710" t="s">
        <v>13624</v>
      </c>
      <c r="F3710" t="s">
        <v>28</v>
      </c>
      <c r="G3710" t="s">
        <v>13624</v>
      </c>
      <c r="H3710" t="str">
        <f>"nkb-3"</f>
        <v>nkb-3</v>
      </c>
      <c r="I3710" t="s">
        <v>13626</v>
      </c>
      <c r="J3710">
        <v>14.959809186993899</v>
      </c>
      <c r="K3710">
        <v>14.7430944949642</v>
      </c>
      <c r="L3710">
        <v>14.5480452088514</v>
      </c>
      <c r="M3710">
        <v>14.509162998389</v>
      </c>
      <c r="N3710">
        <v>13.893819297474799</v>
      </c>
      <c r="O3710">
        <v>14.060211982777901</v>
      </c>
      <c r="P3710">
        <v>-0.59591820405597096</v>
      </c>
      <c r="Q3710">
        <v>-1.1127974587248299</v>
      </c>
      <c r="R3710">
        <v>-7.9038949387109897E-2</v>
      </c>
      <c r="S3710">
        <v>13.743509603966499</v>
      </c>
      <c r="T3710">
        <v>-2.4232044829802302</v>
      </c>
      <c r="U3710">
        <v>-4.3938747460815204</v>
      </c>
      <c r="V3710">
        <v>2.6217440834207399E-2</v>
      </c>
      <c r="W3710">
        <v>0.15857165887455599</v>
      </c>
      <c r="X3710">
        <v>0</v>
      </c>
      <c r="Y3710">
        <v>0</v>
      </c>
    </row>
    <row r="3711" spans="1:25" x14ac:dyDescent="0.2">
      <c r="A3711" t="s">
        <v>13627</v>
      </c>
      <c r="B3711" t="s">
        <v>13628</v>
      </c>
      <c r="C3711" t="s">
        <v>13629</v>
      </c>
      <c r="D3711" t="s">
        <v>13630</v>
      </c>
      <c r="E3711" t="s">
        <v>13628</v>
      </c>
      <c r="F3711" t="s">
        <v>28</v>
      </c>
      <c r="G3711" t="s">
        <v>13628</v>
      </c>
      <c r="H3711" t="str">
        <f>"gfm-1"</f>
        <v>gfm-1</v>
      </c>
      <c r="I3711" t="s">
        <v>13630</v>
      </c>
      <c r="J3711">
        <v>16.897717583453499</v>
      </c>
      <c r="K3711">
        <v>16.9700585167814</v>
      </c>
      <c r="L3711">
        <v>16.845203544197599</v>
      </c>
      <c r="M3711">
        <v>16.370634864433601</v>
      </c>
      <c r="N3711">
        <v>16.136416264459999</v>
      </c>
      <c r="O3711">
        <v>16.2161349674228</v>
      </c>
      <c r="P3711">
        <v>-0.66326451603872305</v>
      </c>
      <c r="Q3711">
        <v>-1.07336916472285</v>
      </c>
      <c r="R3711">
        <v>-0.25315986735459101</v>
      </c>
      <c r="S3711">
        <v>16.916504867860699</v>
      </c>
      <c r="T3711">
        <v>-3.39926157112974</v>
      </c>
      <c r="U3711">
        <v>-2.3902973244088002</v>
      </c>
      <c r="V3711">
        <v>3.2179725964185798E-3</v>
      </c>
      <c r="W3711">
        <v>3.9365724920097898E-2</v>
      </c>
      <c r="X3711">
        <v>0</v>
      </c>
      <c r="Y3711">
        <v>0</v>
      </c>
    </row>
    <row r="3712" spans="1:25" x14ac:dyDescent="0.2">
      <c r="A3712" t="s">
        <v>13631</v>
      </c>
      <c r="B3712" t="s">
        <v>13632</v>
      </c>
      <c r="C3712" t="s">
        <v>13633</v>
      </c>
      <c r="D3712" t="s">
        <v>3118</v>
      </c>
      <c r="E3712" t="s">
        <v>13632</v>
      </c>
      <c r="F3712" t="s">
        <v>28</v>
      </c>
      <c r="G3712" t="s">
        <v>13632</v>
      </c>
      <c r="H3712" t="str">
        <f>"cyp-37a1"</f>
        <v>cyp-37a1</v>
      </c>
      <c r="I3712" t="s">
        <v>3118</v>
      </c>
      <c r="J3712">
        <v>11.9730719893151</v>
      </c>
      <c r="K3712" t="s">
        <v>29</v>
      </c>
      <c r="L3712">
        <v>10.9552085481108</v>
      </c>
      <c r="M3712">
        <v>10.6219651673832</v>
      </c>
      <c r="N3712">
        <v>13.2225633125437</v>
      </c>
      <c r="O3712" t="s">
        <v>29</v>
      </c>
      <c r="P3712">
        <v>0.45812397125049598</v>
      </c>
      <c r="Q3712">
        <v>-0.92562673049433197</v>
      </c>
      <c r="R3712">
        <v>1.8418746729953199</v>
      </c>
      <c r="S3712">
        <v>11.105855213571701</v>
      </c>
      <c r="T3712">
        <v>0.71583413977536403</v>
      </c>
      <c r="U3712">
        <v>-6.5834818913851798</v>
      </c>
      <c r="V3712">
        <v>0.48685483683609398</v>
      </c>
      <c r="W3712">
        <v>0.74195019062289802</v>
      </c>
      <c r="X3712">
        <v>0</v>
      </c>
      <c r="Y3712">
        <v>0</v>
      </c>
    </row>
    <row r="3713" spans="1:25" x14ac:dyDescent="0.2">
      <c r="A3713" t="s">
        <v>13634</v>
      </c>
      <c r="B3713" t="s">
        <v>13635</v>
      </c>
      <c r="C3713" t="s">
        <v>13636</v>
      </c>
      <c r="D3713" t="s">
        <v>13637</v>
      </c>
      <c r="E3713" t="s">
        <v>13635</v>
      </c>
      <c r="F3713" t="s">
        <v>28</v>
      </c>
      <c r="G3713" t="s">
        <v>13635</v>
      </c>
      <c r="H3713" t="str">
        <f>"immp-1"</f>
        <v>immp-1</v>
      </c>
      <c r="I3713" t="s">
        <v>13637</v>
      </c>
      <c r="J3713">
        <v>12.3721167306664</v>
      </c>
      <c r="K3713">
        <v>12.7758401620853</v>
      </c>
      <c r="L3713">
        <v>12.7407186695423</v>
      </c>
      <c r="M3713">
        <v>12.217221464236699</v>
      </c>
      <c r="N3713">
        <v>12.969603386967099</v>
      </c>
      <c r="O3713">
        <v>12.224991006925601</v>
      </c>
      <c r="P3713">
        <v>-0.15895323472148701</v>
      </c>
      <c r="Q3713">
        <v>-1.2192205396068301</v>
      </c>
      <c r="R3713">
        <v>0.90131407016385501</v>
      </c>
      <c r="S3713">
        <v>12.2440373094629</v>
      </c>
      <c r="T3713">
        <v>-0.317982727868725</v>
      </c>
      <c r="U3713">
        <v>-6.9989141024583104</v>
      </c>
      <c r="V3713">
        <v>0.75463747855428398</v>
      </c>
      <c r="W3713">
        <v>0.89622329849883298</v>
      </c>
      <c r="X3713">
        <v>0</v>
      </c>
      <c r="Y3713">
        <v>0</v>
      </c>
    </row>
    <row r="3714" spans="1:25" x14ac:dyDescent="0.2">
      <c r="A3714" t="s">
        <v>13638</v>
      </c>
      <c r="B3714" t="s">
        <v>13639</v>
      </c>
      <c r="C3714" t="s">
        <v>13640</v>
      </c>
      <c r="D3714" t="s">
        <v>13641</v>
      </c>
      <c r="E3714" t="s">
        <v>13639</v>
      </c>
      <c r="F3714" t="s">
        <v>28</v>
      </c>
      <c r="G3714" t="s">
        <v>13639</v>
      </c>
      <c r="H3714" t="str">
        <f>"rpl-14"</f>
        <v>rpl-14</v>
      </c>
      <c r="I3714" t="s">
        <v>13641</v>
      </c>
      <c r="J3714">
        <v>20.892498843585798</v>
      </c>
      <c r="K3714">
        <v>21.005723796470299</v>
      </c>
      <c r="L3714">
        <v>21.0789417539441</v>
      </c>
      <c r="M3714">
        <v>20.9479793152091</v>
      </c>
      <c r="N3714">
        <v>20.700869247111999</v>
      </c>
      <c r="O3714">
        <v>20.3243271014396</v>
      </c>
      <c r="P3714">
        <v>-0.33466291007980697</v>
      </c>
      <c r="Q3714">
        <v>-0.788740263179459</v>
      </c>
      <c r="R3714">
        <v>0.119414443019845</v>
      </c>
      <c r="S3714">
        <v>20.732094486402701</v>
      </c>
      <c r="T3714">
        <v>-1.54906718516778</v>
      </c>
      <c r="U3714">
        <v>-5.8725687994657196</v>
      </c>
      <c r="V3714">
        <v>0.13886934878366</v>
      </c>
      <c r="W3714">
        <v>0.384907036577538</v>
      </c>
      <c r="X3714">
        <v>0</v>
      </c>
      <c r="Y3714">
        <v>0</v>
      </c>
    </row>
    <row r="3715" spans="1:25" x14ac:dyDescent="0.2">
      <c r="A3715" t="s">
        <v>13642</v>
      </c>
      <c r="B3715" t="s">
        <v>13643</v>
      </c>
      <c r="C3715" t="s">
        <v>13644</v>
      </c>
      <c r="D3715" t="s">
        <v>150</v>
      </c>
      <c r="E3715" t="s">
        <v>13643</v>
      </c>
      <c r="F3715" t="s">
        <v>28</v>
      </c>
      <c r="G3715" t="s">
        <v>13643</v>
      </c>
      <c r="H3715" t="str">
        <f>"vsra-1"</f>
        <v>vsra-1</v>
      </c>
      <c r="I3715" t="s">
        <v>150</v>
      </c>
      <c r="J3715">
        <v>12.583147325001599</v>
      </c>
      <c r="K3715">
        <v>12.543382757395801</v>
      </c>
      <c r="L3715">
        <v>12.407317348566</v>
      </c>
      <c r="M3715">
        <v>12.5115815581762</v>
      </c>
      <c r="N3715">
        <v>13.080017993611699</v>
      </c>
      <c r="O3715">
        <v>12.119320259002199</v>
      </c>
      <c r="P3715">
        <v>5.9024126608861097E-2</v>
      </c>
      <c r="Q3715">
        <v>-0.41403652285598302</v>
      </c>
      <c r="R3715">
        <v>0.53208477607370597</v>
      </c>
      <c r="S3715">
        <v>12.647045954178299</v>
      </c>
      <c r="T3715">
        <v>0.26336785031127702</v>
      </c>
      <c r="U3715">
        <v>-7.0156973363703798</v>
      </c>
      <c r="V3715">
        <v>0.79545218854112798</v>
      </c>
      <c r="W3715">
        <v>0.91517844850619501</v>
      </c>
      <c r="X3715">
        <v>0</v>
      </c>
      <c r="Y3715">
        <v>0</v>
      </c>
    </row>
    <row r="3716" spans="1:25" x14ac:dyDescent="0.2">
      <c r="A3716" t="s">
        <v>13645</v>
      </c>
      <c r="B3716" t="s">
        <v>13646</v>
      </c>
      <c r="C3716" t="s">
        <v>13647</v>
      </c>
      <c r="D3716" t="s">
        <v>13648</v>
      </c>
      <c r="E3716" t="s">
        <v>13646</v>
      </c>
      <c r="F3716" t="s">
        <v>28</v>
      </c>
      <c r="G3716" t="s">
        <v>13646</v>
      </c>
      <c r="H3716" t="str">
        <f>"rpl-2"</f>
        <v>rpl-2</v>
      </c>
      <c r="I3716" t="s">
        <v>13648</v>
      </c>
      <c r="J3716">
        <v>20.613320627132801</v>
      </c>
      <c r="K3716">
        <v>20.7672503233591</v>
      </c>
      <c r="L3716">
        <v>20.8742602354592</v>
      </c>
      <c r="M3716">
        <v>20.337721848979601</v>
      </c>
      <c r="N3716">
        <v>20.100241570208699</v>
      </c>
      <c r="O3716">
        <v>20.1098690077418</v>
      </c>
      <c r="P3716">
        <v>-0.56899958634035697</v>
      </c>
      <c r="Q3716">
        <v>-0.98266604211989295</v>
      </c>
      <c r="R3716">
        <v>-0.15533313056082201</v>
      </c>
      <c r="S3716">
        <v>20.7986675161346</v>
      </c>
      <c r="T3716">
        <v>-2.8910403853922899</v>
      </c>
      <c r="U3716">
        <v>-3.46355361523376</v>
      </c>
      <c r="V3716">
        <v>9.7735289283263308E-3</v>
      </c>
      <c r="W3716">
        <v>8.6656847773225895E-2</v>
      </c>
      <c r="X3716">
        <v>0</v>
      </c>
      <c r="Y3716">
        <v>0</v>
      </c>
    </row>
    <row r="3717" spans="1:25" x14ac:dyDescent="0.2">
      <c r="A3717" t="s">
        <v>13649</v>
      </c>
      <c r="B3717" t="s">
        <v>13650</v>
      </c>
      <c r="C3717" t="s">
        <v>13651</v>
      </c>
      <c r="D3717" t="s">
        <v>13652</v>
      </c>
      <c r="E3717" t="s">
        <v>13650</v>
      </c>
      <c r="F3717" t="s">
        <v>28</v>
      </c>
      <c r="G3717" t="s">
        <v>13650</v>
      </c>
      <c r="H3717" t="str">
        <f>"hmg-20"</f>
        <v>hmg-20</v>
      </c>
      <c r="I3717" t="s">
        <v>13652</v>
      </c>
      <c r="J3717" t="s">
        <v>29</v>
      </c>
      <c r="K3717" t="s">
        <v>29</v>
      </c>
      <c r="L3717" t="s">
        <v>29</v>
      </c>
      <c r="M3717" t="s">
        <v>29</v>
      </c>
      <c r="N3717" t="s">
        <v>29</v>
      </c>
      <c r="O3717" t="s">
        <v>29</v>
      </c>
      <c r="P3717" t="s">
        <v>29</v>
      </c>
      <c r="Q3717" t="s">
        <v>29</v>
      </c>
      <c r="R3717" t="s">
        <v>29</v>
      </c>
      <c r="S3717">
        <v>11.543719204389999</v>
      </c>
      <c r="T3717" t="s">
        <v>29</v>
      </c>
      <c r="U3717" t="s">
        <v>29</v>
      </c>
      <c r="V3717" t="s">
        <v>29</v>
      </c>
      <c r="W3717" t="s">
        <v>29</v>
      </c>
      <c r="X3717" t="s">
        <v>29</v>
      </c>
      <c r="Y3717" t="s">
        <v>29</v>
      </c>
    </row>
    <row r="3718" spans="1:25" x14ac:dyDescent="0.2">
      <c r="A3718" t="s">
        <v>13653</v>
      </c>
      <c r="B3718" t="s">
        <v>13654</v>
      </c>
      <c r="C3718" t="s">
        <v>13655</v>
      </c>
      <c r="D3718" t="s">
        <v>2221</v>
      </c>
      <c r="E3718" t="s">
        <v>13654</v>
      </c>
      <c r="F3718" t="s">
        <v>28</v>
      </c>
      <c r="G3718" t="s">
        <v>13654</v>
      </c>
      <c r="H3718" t="str">
        <f>"citk-1"</f>
        <v>citk-1</v>
      </c>
      <c r="I3718" t="s">
        <v>2221</v>
      </c>
      <c r="J3718" t="s">
        <v>29</v>
      </c>
      <c r="K3718">
        <v>11.060378082884</v>
      </c>
      <c r="L3718">
        <v>11.668735122199401</v>
      </c>
      <c r="M3718" t="s">
        <v>29</v>
      </c>
      <c r="N3718">
        <v>13.6497135204629</v>
      </c>
      <c r="O3718">
        <v>11.311152615100999</v>
      </c>
      <c r="P3718">
        <v>1.11587646524022</v>
      </c>
      <c r="Q3718">
        <v>-0.32226360202006199</v>
      </c>
      <c r="R3718">
        <v>2.5540165325005</v>
      </c>
      <c r="S3718">
        <v>11.5715070898446</v>
      </c>
      <c r="T3718">
        <v>1.6653549979017399</v>
      </c>
      <c r="U3718">
        <v>-5.5121414830414297</v>
      </c>
      <c r="V3718">
        <v>0.11821794367593901</v>
      </c>
      <c r="W3718">
        <v>0.35356726904550301</v>
      </c>
      <c r="X3718">
        <v>0</v>
      </c>
      <c r="Y3718">
        <v>0</v>
      </c>
    </row>
    <row r="3719" spans="1:25" x14ac:dyDescent="0.2">
      <c r="A3719" t="s">
        <v>13656</v>
      </c>
      <c r="B3719" t="s">
        <v>13657</v>
      </c>
      <c r="C3719" t="s">
        <v>13658</v>
      </c>
      <c r="D3719" t="s">
        <v>13659</v>
      </c>
      <c r="E3719" t="s">
        <v>13657</v>
      </c>
      <c r="F3719" t="s">
        <v>28</v>
      </c>
      <c r="G3719" t="s">
        <v>13657</v>
      </c>
      <c r="H3719" t="str">
        <f>"sptl-3"</f>
        <v>sptl-3</v>
      </c>
      <c r="I3719" t="s">
        <v>13659</v>
      </c>
      <c r="J3719">
        <v>13.2249355024514</v>
      </c>
      <c r="K3719">
        <v>13.0857537247125</v>
      </c>
      <c r="L3719">
        <v>12.9873823002231</v>
      </c>
      <c r="M3719">
        <v>12.5847270397239</v>
      </c>
      <c r="N3719">
        <v>13.201212640509301</v>
      </c>
      <c r="O3719">
        <v>12.9587296700662</v>
      </c>
      <c r="P3719">
        <v>-0.18446739236249801</v>
      </c>
      <c r="Q3719">
        <v>-0.59567900852895805</v>
      </c>
      <c r="R3719">
        <v>0.226744223803962</v>
      </c>
      <c r="S3719">
        <v>13.0381570787961</v>
      </c>
      <c r="T3719">
        <v>-0.94690028522462599</v>
      </c>
      <c r="U3719">
        <v>-6.5928989984009103</v>
      </c>
      <c r="V3719">
        <v>0.35703716721207002</v>
      </c>
      <c r="W3719">
        <v>0.63590527756325899</v>
      </c>
      <c r="X3719">
        <v>0</v>
      </c>
      <c r="Y3719">
        <v>0</v>
      </c>
    </row>
    <row r="3720" spans="1:25" x14ac:dyDescent="0.2">
      <c r="A3720" t="s">
        <v>13660</v>
      </c>
      <c r="B3720" t="s">
        <v>13661</v>
      </c>
      <c r="C3720" t="s">
        <v>13662</v>
      </c>
      <c r="D3720" t="s">
        <v>13663</v>
      </c>
      <c r="E3720" t="s">
        <v>13661</v>
      </c>
      <c r="F3720" t="s">
        <v>28</v>
      </c>
      <c r="G3720" t="s">
        <v>13661</v>
      </c>
      <c r="H3720" t="str">
        <f>"acbp-5"</f>
        <v>acbp-5</v>
      </c>
      <c r="I3720" t="s">
        <v>13663</v>
      </c>
      <c r="J3720" t="s">
        <v>29</v>
      </c>
      <c r="K3720" t="s">
        <v>29</v>
      </c>
      <c r="L3720" t="s">
        <v>29</v>
      </c>
      <c r="M3720" t="s">
        <v>29</v>
      </c>
      <c r="N3720" t="s">
        <v>29</v>
      </c>
      <c r="O3720" t="s">
        <v>29</v>
      </c>
      <c r="P3720" t="s">
        <v>29</v>
      </c>
      <c r="Q3720" t="s">
        <v>29</v>
      </c>
      <c r="R3720" t="s">
        <v>29</v>
      </c>
      <c r="S3720">
        <v>11.1592158373592</v>
      </c>
      <c r="T3720" t="s">
        <v>29</v>
      </c>
      <c r="U3720" t="s">
        <v>29</v>
      </c>
      <c r="V3720" t="s">
        <v>29</v>
      </c>
      <c r="W3720" t="s">
        <v>29</v>
      </c>
      <c r="X3720" t="s">
        <v>29</v>
      </c>
      <c r="Y3720" t="s">
        <v>29</v>
      </c>
    </row>
    <row r="3721" spans="1:25" x14ac:dyDescent="0.2">
      <c r="A3721" t="s">
        <v>13664</v>
      </c>
      <c r="B3721" t="s">
        <v>13665</v>
      </c>
      <c r="C3721" t="s">
        <v>13666</v>
      </c>
      <c r="D3721" t="s">
        <v>13667</v>
      </c>
      <c r="E3721" t="s">
        <v>13665</v>
      </c>
      <c r="F3721" t="s">
        <v>28</v>
      </c>
      <c r="G3721" t="s">
        <v>13665</v>
      </c>
      <c r="H3721" t="str">
        <f>"ubc-12"</f>
        <v>ubc-12</v>
      </c>
      <c r="I3721" t="s">
        <v>13667</v>
      </c>
      <c r="J3721">
        <v>11.662430755092901</v>
      </c>
      <c r="K3721">
        <v>11.892912766027001</v>
      </c>
      <c r="L3721">
        <v>12.7979704234032</v>
      </c>
      <c r="M3721">
        <v>13.1953087798948</v>
      </c>
      <c r="N3721">
        <v>12.8561114169768</v>
      </c>
      <c r="O3721">
        <v>12.173797033345499</v>
      </c>
      <c r="P3721">
        <v>0.62396776189801695</v>
      </c>
      <c r="Q3721">
        <v>-0.22715913856362999</v>
      </c>
      <c r="R3721">
        <v>1.4750946623596599</v>
      </c>
      <c r="S3721">
        <v>12.699833013943101</v>
      </c>
      <c r="T3721">
        <v>1.5549533515811</v>
      </c>
      <c r="U3721">
        <v>-5.8653512459039803</v>
      </c>
      <c r="V3721">
        <v>0.139640720610652</v>
      </c>
      <c r="W3721">
        <v>0.38671566371664701</v>
      </c>
      <c r="X3721">
        <v>0</v>
      </c>
      <c r="Y3721">
        <v>0</v>
      </c>
    </row>
    <row r="3722" spans="1:25" x14ac:dyDescent="0.2">
      <c r="A3722" t="s">
        <v>13668</v>
      </c>
      <c r="B3722" t="s">
        <v>13669</v>
      </c>
      <c r="C3722" t="s">
        <v>13670</v>
      </c>
      <c r="D3722" t="s">
        <v>13671</v>
      </c>
      <c r="E3722" t="s">
        <v>13669</v>
      </c>
      <c r="F3722" t="s">
        <v>28</v>
      </c>
      <c r="G3722" t="s">
        <v>13669</v>
      </c>
      <c r="H3722" t="str">
        <f>"letm-1"</f>
        <v>letm-1</v>
      </c>
      <c r="I3722" t="s">
        <v>13671</v>
      </c>
      <c r="J3722">
        <v>12.798138408611401</v>
      </c>
      <c r="K3722">
        <v>12.6837588326269</v>
      </c>
      <c r="L3722">
        <v>12.5730282415213</v>
      </c>
      <c r="M3722">
        <v>12.3946706778018</v>
      </c>
      <c r="N3722">
        <v>12.948841588271501</v>
      </c>
      <c r="O3722">
        <v>12.903020094302899</v>
      </c>
      <c r="P3722">
        <v>6.3868959205587203E-2</v>
      </c>
      <c r="Q3722">
        <v>-0.36667325304929499</v>
      </c>
      <c r="R3722">
        <v>0.49441117146046898</v>
      </c>
      <c r="S3722">
        <v>12.4120928696788</v>
      </c>
      <c r="T3722">
        <v>0.31312959348157499</v>
      </c>
      <c r="U3722">
        <v>-7.0006910487059804</v>
      </c>
      <c r="V3722">
        <v>0.75801466087667602</v>
      </c>
      <c r="W3722">
        <v>0.89860268721804304</v>
      </c>
      <c r="X3722">
        <v>0</v>
      </c>
      <c r="Y3722">
        <v>0</v>
      </c>
    </row>
    <row r="3723" spans="1:25" x14ac:dyDescent="0.2">
      <c r="A3723" t="s">
        <v>13672</v>
      </c>
      <c r="B3723" t="s">
        <v>13673</v>
      </c>
      <c r="C3723" t="s">
        <v>14749</v>
      </c>
      <c r="D3723" t="s">
        <v>3883</v>
      </c>
      <c r="E3723" t="s">
        <v>13673</v>
      </c>
      <c r="F3723" t="s">
        <v>28</v>
      </c>
      <c r="G3723" t="s">
        <v>13673</v>
      </c>
      <c r="H3723" t="str">
        <f>"F53B6.4"</f>
        <v>F53B6.4</v>
      </c>
      <c r="I3723" t="s">
        <v>3883</v>
      </c>
      <c r="J3723">
        <v>16.142344199424699</v>
      </c>
      <c r="K3723">
        <v>15.506773079441301</v>
      </c>
      <c r="L3723">
        <v>16.760379562079098</v>
      </c>
      <c r="M3723">
        <v>14.528007648919299</v>
      </c>
      <c r="N3723">
        <v>14.493605901548801</v>
      </c>
      <c r="O3723">
        <v>14.434185867496801</v>
      </c>
      <c r="P3723">
        <v>-1.6512324743267499</v>
      </c>
      <c r="Q3723">
        <v>-2.5643804413602398</v>
      </c>
      <c r="R3723">
        <v>-0.73808450729325203</v>
      </c>
      <c r="S3723">
        <v>14.844606604413601</v>
      </c>
      <c r="T3723">
        <v>-3.80066487973912</v>
      </c>
      <c r="U3723">
        <v>-1.5170296791205999</v>
      </c>
      <c r="V3723">
        <v>1.3210649921934401E-3</v>
      </c>
      <c r="W3723">
        <v>2.1601736103504701E-2</v>
      </c>
      <c r="X3723">
        <v>-1</v>
      </c>
      <c r="Y3723">
        <v>-1</v>
      </c>
    </row>
    <row r="3724" spans="1:25" x14ac:dyDescent="0.2">
      <c r="A3724" t="s">
        <v>13674</v>
      </c>
      <c r="B3724" t="s">
        <v>13675</v>
      </c>
      <c r="C3724" t="s">
        <v>13676</v>
      </c>
      <c r="D3724" t="s">
        <v>13677</v>
      </c>
      <c r="E3724" t="s">
        <v>13675</v>
      </c>
      <c r="F3724" t="s">
        <v>28</v>
      </c>
      <c r="G3724" t="s">
        <v>13675</v>
      </c>
      <c r="H3724" t="str">
        <f>"ape-1"</f>
        <v>ape-1</v>
      </c>
      <c r="I3724" t="s">
        <v>13677</v>
      </c>
      <c r="J3724">
        <v>11.4575527231469</v>
      </c>
      <c r="K3724" t="s">
        <v>29</v>
      </c>
      <c r="L3724" t="s">
        <v>29</v>
      </c>
      <c r="M3724" t="s">
        <v>29</v>
      </c>
      <c r="N3724">
        <v>12.2652268200015</v>
      </c>
      <c r="O3724">
        <v>11.874041012267</v>
      </c>
      <c r="P3724">
        <v>0.61208119298737196</v>
      </c>
      <c r="Q3724">
        <v>-0.94073999666389896</v>
      </c>
      <c r="R3724">
        <v>2.16490238263864</v>
      </c>
      <c r="S3724">
        <v>12.5027332540496</v>
      </c>
      <c r="T3724">
        <v>0.86859090983953002</v>
      </c>
      <c r="U3724">
        <v>-6.2597145371233696</v>
      </c>
      <c r="V3724">
        <v>0.40379873641298197</v>
      </c>
      <c r="W3724">
        <v>0.67647874428407795</v>
      </c>
      <c r="X3724">
        <v>0</v>
      </c>
      <c r="Y3724">
        <v>0</v>
      </c>
    </row>
    <row r="3725" spans="1:25" x14ac:dyDescent="0.2">
      <c r="A3725" t="s">
        <v>13678</v>
      </c>
      <c r="B3725" t="s">
        <v>13679</v>
      </c>
      <c r="C3725" t="s">
        <v>14750</v>
      </c>
      <c r="D3725" t="s">
        <v>13680</v>
      </c>
      <c r="E3725" t="s">
        <v>13679</v>
      </c>
      <c r="F3725" t="s">
        <v>28</v>
      </c>
      <c r="G3725" t="s">
        <v>13679</v>
      </c>
      <c r="H3725" t="str">
        <f>"F36A2.2"</f>
        <v>F36A2.2</v>
      </c>
      <c r="I3725" t="s">
        <v>13680</v>
      </c>
      <c r="J3725">
        <v>12.8638893856414</v>
      </c>
      <c r="K3725" t="s">
        <v>29</v>
      </c>
      <c r="L3725">
        <v>11.453878268584001</v>
      </c>
      <c r="M3725">
        <v>11.7795314116886</v>
      </c>
      <c r="N3725">
        <v>12.3497851158261</v>
      </c>
      <c r="O3725">
        <v>12.173411854800101</v>
      </c>
      <c r="P3725">
        <v>-5.7974366341113602E-2</v>
      </c>
      <c r="Q3725">
        <v>-1.0712052437848101</v>
      </c>
      <c r="R3725">
        <v>0.95525651110258103</v>
      </c>
      <c r="S3725">
        <v>13.0833740026715</v>
      </c>
      <c r="T3725">
        <v>-0.12203072745907199</v>
      </c>
      <c r="U3725">
        <v>-6.9335629107642403</v>
      </c>
      <c r="V3725">
        <v>0.90450584541631296</v>
      </c>
      <c r="W3725">
        <v>0.96754175574775902</v>
      </c>
      <c r="X3725">
        <v>0</v>
      </c>
      <c r="Y3725">
        <v>0</v>
      </c>
    </row>
    <row r="3726" spans="1:25" x14ac:dyDescent="0.2">
      <c r="A3726" t="s">
        <v>13681</v>
      </c>
      <c r="B3726" t="s">
        <v>13682</v>
      </c>
      <c r="C3726" t="s">
        <v>13683</v>
      </c>
      <c r="D3726" t="s">
        <v>13684</v>
      </c>
      <c r="E3726" t="s">
        <v>13682</v>
      </c>
      <c r="F3726" t="s">
        <v>28</v>
      </c>
      <c r="G3726" t="s">
        <v>13682</v>
      </c>
      <c r="H3726" t="str">
        <f>"rps-15"</f>
        <v>rps-15</v>
      </c>
      <c r="I3726" t="s">
        <v>13684</v>
      </c>
      <c r="J3726">
        <v>18.146545116175101</v>
      </c>
      <c r="K3726">
        <v>18.1548858784824</v>
      </c>
      <c r="L3726">
        <v>18.579077060544101</v>
      </c>
      <c r="M3726">
        <v>18.3557091353047</v>
      </c>
      <c r="N3726">
        <v>17.6801095775546</v>
      </c>
      <c r="O3726">
        <v>17.530027622122301</v>
      </c>
      <c r="P3726">
        <v>-0.438220573406646</v>
      </c>
      <c r="Q3726">
        <v>-0.94664142043698896</v>
      </c>
      <c r="R3726">
        <v>7.0200273623697101E-2</v>
      </c>
      <c r="S3726">
        <v>18.3410087720227</v>
      </c>
      <c r="T3726">
        <v>-1.8115983902357899</v>
      </c>
      <c r="U3726">
        <v>-5.4739455562860799</v>
      </c>
      <c r="V3726">
        <v>8.6865889885966496E-2</v>
      </c>
      <c r="W3726">
        <v>0.30198889496681097</v>
      </c>
      <c r="X3726">
        <v>0</v>
      </c>
      <c r="Y3726">
        <v>0</v>
      </c>
    </row>
    <row r="3727" spans="1:25" x14ac:dyDescent="0.2">
      <c r="A3727" t="s">
        <v>13685</v>
      </c>
      <c r="B3727" t="s">
        <v>13686</v>
      </c>
      <c r="C3727" t="s">
        <v>14751</v>
      </c>
      <c r="D3727" t="s">
        <v>13687</v>
      </c>
      <c r="E3727" t="s">
        <v>13686</v>
      </c>
      <c r="F3727" t="s">
        <v>28</v>
      </c>
      <c r="G3727" t="s">
        <v>13686</v>
      </c>
      <c r="H3727" t="str">
        <f>"F36A2.10"</f>
        <v>F36A2.10</v>
      </c>
      <c r="I3727" t="s">
        <v>13687</v>
      </c>
      <c r="J3727">
        <v>14.019031977844399</v>
      </c>
      <c r="K3727">
        <v>13.1520957459702</v>
      </c>
      <c r="L3727">
        <v>13.656864305510799</v>
      </c>
      <c r="M3727" t="s">
        <v>29</v>
      </c>
      <c r="N3727">
        <v>12.848045215526</v>
      </c>
      <c r="O3727">
        <v>11.948786734824001</v>
      </c>
      <c r="P3727">
        <v>-1.21091470126679</v>
      </c>
      <c r="Q3727">
        <v>-2.57931751966328</v>
      </c>
      <c r="R3727">
        <v>0.15748811712968699</v>
      </c>
      <c r="S3727">
        <v>12.5252575376145</v>
      </c>
      <c r="T3727">
        <v>-1.88730112019871</v>
      </c>
      <c r="U3727">
        <v>-5.25477887070695</v>
      </c>
      <c r="V3727">
        <v>7.8763048251994594E-2</v>
      </c>
      <c r="W3727">
        <v>0.2882957919145</v>
      </c>
      <c r="X3727">
        <v>0</v>
      </c>
      <c r="Y3727">
        <v>0</v>
      </c>
    </row>
    <row r="3728" spans="1:25" x14ac:dyDescent="0.2">
      <c r="A3728" t="s">
        <v>13688</v>
      </c>
      <c r="B3728" t="s">
        <v>13689</v>
      </c>
      <c r="C3728" t="s">
        <v>13690</v>
      </c>
      <c r="D3728" t="s">
        <v>13691</v>
      </c>
      <c r="E3728" t="s">
        <v>13689</v>
      </c>
      <c r="F3728" t="s">
        <v>28</v>
      </c>
      <c r="G3728" t="s">
        <v>13689</v>
      </c>
      <c r="H3728" t="str">
        <f>"timm-23"</f>
        <v>timm-23</v>
      </c>
      <c r="I3728" t="s">
        <v>13691</v>
      </c>
      <c r="J3728">
        <v>14.9698293808598</v>
      </c>
      <c r="K3728">
        <v>15.26901314467</v>
      </c>
      <c r="L3728">
        <v>15.334954909975799</v>
      </c>
      <c r="M3728">
        <v>15.4802720946028</v>
      </c>
      <c r="N3728">
        <v>15.1975582926508</v>
      </c>
      <c r="O3728">
        <v>14.7303319577422</v>
      </c>
      <c r="P3728">
        <v>-5.5211696836627397E-2</v>
      </c>
      <c r="Q3728">
        <v>-0.517947359889389</v>
      </c>
      <c r="R3728">
        <v>0.40752396621613401</v>
      </c>
      <c r="S3728">
        <v>14.904789651501501</v>
      </c>
      <c r="T3728">
        <v>-0.251853584260672</v>
      </c>
      <c r="U3728">
        <v>-7.0188037310817899</v>
      </c>
      <c r="V3728">
        <v>0.80419231509980504</v>
      </c>
      <c r="W3728">
        <v>0.91726454182383999</v>
      </c>
      <c r="X3728">
        <v>0</v>
      </c>
      <c r="Y3728">
        <v>0</v>
      </c>
    </row>
    <row r="3729" spans="1:25" x14ac:dyDescent="0.2">
      <c r="A3729" t="s">
        <v>13692</v>
      </c>
      <c r="B3729" t="s">
        <v>13693</v>
      </c>
      <c r="C3729" t="s">
        <v>13694</v>
      </c>
      <c r="D3729" t="s">
        <v>13695</v>
      </c>
      <c r="E3729" t="s">
        <v>13693</v>
      </c>
      <c r="F3729" t="s">
        <v>28</v>
      </c>
      <c r="G3729" t="s">
        <v>13693</v>
      </c>
      <c r="H3729" t="str">
        <f>"elo-2"</f>
        <v>elo-2</v>
      </c>
      <c r="I3729" t="s">
        <v>13695</v>
      </c>
      <c r="J3729">
        <v>14.8653105893138</v>
      </c>
      <c r="K3729">
        <v>14.924739580877301</v>
      </c>
      <c r="L3729">
        <v>15.3005907359458</v>
      </c>
      <c r="M3729">
        <v>14.3820684456682</v>
      </c>
      <c r="N3729">
        <v>14.912150563241999</v>
      </c>
      <c r="O3729">
        <v>14.0870448742248</v>
      </c>
      <c r="P3729">
        <v>-0.56979234100060305</v>
      </c>
      <c r="Q3729">
        <v>-1.3350514629503001</v>
      </c>
      <c r="R3729">
        <v>0.195466780949096</v>
      </c>
      <c r="S3729">
        <v>15.2837218446448</v>
      </c>
      <c r="T3729">
        <v>-1.56495050036431</v>
      </c>
      <c r="U3729">
        <v>-5.8497634369128599</v>
      </c>
      <c r="V3729">
        <v>0.13510627181107299</v>
      </c>
      <c r="W3729">
        <v>0.37939762056670201</v>
      </c>
      <c r="X3729">
        <v>0</v>
      </c>
      <c r="Y3729">
        <v>0</v>
      </c>
    </row>
    <row r="3730" spans="1:25" x14ac:dyDescent="0.2">
      <c r="A3730" t="s">
        <v>13696</v>
      </c>
      <c r="B3730" t="s">
        <v>13697</v>
      </c>
      <c r="C3730" t="s">
        <v>13698</v>
      </c>
      <c r="D3730" t="s">
        <v>13699</v>
      </c>
      <c r="E3730" t="s">
        <v>13697</v>
      </c>
      <c r="F3730" t="s">
        <v>28</v>
      </c>
      <c r="G3730" t="s">
        <v>13697</v>
      </c>
      <c r="H3730" t="str">
        <f>"otub-1"</f>
        <v>otub-1</v>
      </c>
      <c r="I3730" t="s">
        <v>13699</v>
      </c>
      <c r="J3730" t="s">
        <v>29</v>
      </c>
      <c r="K3730" t="s">
        <v>29</v>
      </c>
      <c r="L3730">
        <v>10.647710390880899</v>
      </c>
      <c r="M3730" t="s">
        <v>29</v>
      </c>
      <c r="N3730">
        <v>10.264118890806399</v>
      </c>
      <c r="O3730" t="s">
        <v>29</v>
      </c>
      <c r="P3730">
        <v>-0.38359150007445603</v>
      </c>
      <c r="Q3730">
        <v>-1.56952196548461</v>
      </c>
      <c r="R3730">
        <v>0.80233896533570304</v>
      </c>
      <c r="S3730">
        <v>11.4406221071714</v>
      </c>
      <c r="T3730">
        <v>-0.73301701297422495</v>
      </c>
      <c r="U3730">
        <v>-6.2263737238472698</v>
      </c>
      <c r="V3730">
        <v>0.48241727100098802</v>
      </c>
      <c r="W3730">
        <v>0.73976710642658505</v>
      </c>
      <c r="X3730">
        <v>0</v>
      </c>
      <c r="Y3730">
        <v>0</v>
      </c>
    </row>
    <row r="3731" spans="1:25" x14ac:dyDescent="0.2">
      <c r="A3731" t="s">
        <v>13700</v>
      </c>
      <c r="B3731" t="s">
        <v>13701</v>
      </c>
      <c r="C3731" t="s">
        <v>13702</v>
      </c>
      <c r="D3731" t="s">
        <v>13703</v>
      </c>
      <c r="E3731" t="s">
        <v>13701</v>
      </c>
      <c r="F3731" t="s">
        <v>28</v>
      </c>
      <c r="G3731" t="s">
        <v>13701</v>
      </c>
      <c r="H3731" t="str">
        <f>"mcm-3"</f>
        <v>mcm-3</v>
      </c>
      <c r="I3731" t="s">
        <v>13703</v>
      </c>
      <c r="J3731">
        <v>15.160148247225999</v>
      </c>
      <c r="K3731">
        <v>14.9700315232037</v>
      </c>
      <c r="L3731">
        <v>15.2068713327503</v>
      </c>
      <c r="M3731">
        <v>14.8280671494093</v>
      </c>
      <c r="N3731">
        <v>15.566285226091299</v>
      </c>
      <c r="O3731">
        <v>15.0740941625023</v>
      </c>
      <c r="P3731">
        <v>4.3798478274284798E-2</v>
      </c>
      <c r="Q3731">
        <v>-0.38911612295928399</v>
      </c>
      <c r="R3731">
        <v>0.47671307950785402</v>
      </c>
      <c r="S3731">
        <v>15.0478704158754</v>
      </c>
      <c r="T3731">
        <v>0.21355355282183799</v>
      </c>
      <c r="U3731">
        <v>-7.0281441243565599</v>
      </c>
      <c r="V3731">
        <v>0.83345104943359505</v>
      </c>
      <c r="W3731">
        <v>0.93213516096945703</v>
      </c>
      <c r="X3731">
        <v>0</v>
      </c>
      <c r="Y3731">
        <v>0</v>
      </c>
    </row>
    <row r="3732" spans="1:25" x14ac:dyDescent="0.2">
      <c r="A3732" t="s">
        <v>13704</v>
      </c>
      <c r="B3732" t="s">
        <v>13705</v>
      </c>
      <c r="C3732" t="s">
        <v>13706</v>
      </c>
      <c r="D3732" t="s">
        <v>13707</v>
      </c>
      <c r="E3732" t="s">
        <v>13705</v>
      </c>
      <c r="F3732" t="s">
        <v>28</v>
      </c>
      <c r="G3732" t="s">
        <v>13705</v>
      </c>
      <c r="H3732" t="str">
        <f>"nola-3"</f>
        <v>nola-3</v>
      </c>
      <c r="I3732" t="s">
        <v>13707</v>
      </c>
      <c r="J3732">
        <v>15.7804838628523</v>
      </c>
      <c r="K3732">
        <v>14.870432202585899</v>
      </c>
      <c r="L3732">
        <v>15.7343742758136</v>
      </c>
      <c r="M3732">
        <v>15.8973038163618</v>
      </c>
      <c r="N3732">
        <v>14.594098868103099</v>
      </c>
      <c r="O3732">
        <v>15.329499815694501</v>
      </c>
      <c r="P3732">
        <v>-0.18812928036408899</v>
      </c>
      <c r="Q3732">
        <v>-1.13581422801207</v>
      </c>
      <c r="R3732">
        <v>0.75955566728389001</v>
      </c>
      <c r="S3732">
        <v>14.7908831712435</v>
      </c>
      <c r="T3732">
        <v>-0.41723902773228599</v>
      </c>
      <c r="U3732">
        <v>-6.9612971801764996</v>
      </c>
      <c r="V3732">
        <v>0.68146643377836902</v>
      </c>
      <c r="W3732">
        <v>0.85722167970248597</v>
      </c>
      <c r="X3732">
        <v>0</v>
      </c>
      <c r="Y3732">
        <v>0</v>
      </c>
    </row>
    <row r="3733" spans="1:25" x14ac:dyDescent="0.2">
      <c r="A3733" t="s">
        <v>13708</v>
      </c>
      <c r="B3733" t="s">
        <v>13709</v>
      </c>
      <c r="C3733" t="s">
        <v>13710</v>
      </c>
      <c r="D3733" t="s">
        <v>13711</v>
      </c>
      <c r="E3733" t="s">
        <v>13709</v>
      </c>
      <c r="F3733" t="s">
        <v>28</v>
      </c>
      <c r="G3733" t="s">
        <v>13709</v>
      </c>
      <c r="H3733" t="str">
        <f>"tag-72"</f>
        <v>tag-72</v>
      </c>
      <c r="I3733" t="s">
        <v>13711</v>
      </c>
      <c r="J3733" t="s">
        <v>29</v>
      </c>
      <c r="K3733" t="s">
        <v>29</v>
      </c>
      <c r="L3733" t="s">
        <v>29</v>
      </c>
      <c r="M3733" t="s">
        <v>29</v>
      </c>
      <c r="N3733">
        <v>9.3823304034058204</v>
      </c>
      <c r="O3733">
        <v>10.357879340620499</v>
      </c>
      <c r="P3733" t="s">
        <v>29</v>
      </c>
      <c r="Q3733" t="s">
        <v>29</v>
      </c>
      <c r="R3733" t="s">
        <v>29</v>
      </c>
      <c r="S3733">
        <v>10.1459124747942</v>
      </c>
      <c r="T3733" t="s">
        <v>29</v>
      </c>
      <c r="U3733" t="s">
        <v>29</v>
      </c>
      <c r="V3733" t="s">
        <v>29</v>
      </c>
      <c r="W3733" t="s">
        <v>29</v>
      </c>
      <c r="X3733" t="s">
        <v>29</v>
      </c>
      <c r="Y3733" t="s">
        <v>29</v>
      </c>
    </row>
    <row r="3734" spans="1:25" x14ac:dyDescent="0.2">
      <c r="A3734" t="s">
        <v>13712</v>
      </c>
      <c r="B3734" t="s">
        <v>13713</v>
      </c>
      <c r="C3734" t="s">
        <v>13714</v>
      </c>
      <c r="D3734" t="s">
        <v>93</v>
      </c>
      <c r="E3734" t="s">
        <v>13713</v>
      </c>
      <c r="F3734" t="s">
        <v>28</v>
      </c>
      <c r="G3734" t="s">
        <v>13713</v>
      </c>
      <c r="H3734" t="str">
        <f>"sup-46"</f>
        <v>sup-46</v>
      </c>
      <c r="I3734" t="s">
        <v>93</v>
      </c>
      <c r="J3734">
        <v>16.243117519604599</v>
      </c>
      <c r="K3734">
        <v>16.623797956093799</v>
      </c>
      <c r="L3734">
        <v>16.768189577494599</v>
      </c>
      <c r="M3734">
        <v>16.267991045410799</v>
      </c>
      <c r="N3734">
        <v>16.639121865555701</v>
      </c>
      <c r="O3734">
        <v>16.692395268749799</v>
      </c>
      <c r="P3734">
        <v>-1.1865624492266099E-2</v>
      </c>
      <c r="Q3734">
        <v>-0.54036964599548698</v>
      </c>
      <c r="R3734">
        <v>0.51663839701095504</v>
      </c>
      <c r="S3734">
        <v>16.9648679716251</v>
      </c>
      <c r="T3734">
        <v>-4.7188352730823502E-2</v>
      </c>
      <c r="U3734">
        <v>-7.0509195615674001</v>
      </c>
      <c r="V3734">
        <v>0.96288575450928104</v>
      </c>
      <c r="W3734">
        <v>0.98005325153994305</v>
      </c>
      <c r="X3734">
        <v>0</v>
      </c>
      <c r="Y3734">
        <v>0</v>
      </c>
    </row>
    <row r="3735" spans="1:25" x14ac:dyDescent="0.2">
      <c r="A3735" t="s">
        <v>13715</v>
      </c>
      <c r="B3735" t="s">
        <v>13716</v>
      </c>
      <c r="C3735" t="s">
        <v>13717</v>
      </c>
      <c r="D3735" t="s">
        <v>13718</v>
      </c>
      <c r="E3735" t="s">
        <v>13716</v>
      </c>
      <c r="F3735" t="s">
        <v>28</v>
      </c>
      <c r="G3735" t="s">
        <v>13716</v>
      </c>
      <c r="H3735" t="str">
        <f>"clec-87"</f>
        <v>clec-87</v>
      </c>
      <c r="I3735" t="s">
        <v>13718</v>
      </c>
      <c r="J3735" t="s">
        <v>29</v>
      </c>
      <c r="K3735" t="s">
        <v>29</v>
      </c>
      <c r="L3735" t="s">
        <v>29</v>
      </c>
      <c r="M3735" t="s">
        <v>29</v>
      </c>
      <c r="N3735" t="s">
        <v>29</v>
      </c>
      <c r="O3735" t="s">
        <v>29</v>
      </c>
      <c r="P3735" t="s">
        <v>29</v>
      </c>
      <c r="Q3735" t="s">
        <v>29</v>
      </c>
      <c r="R3735" t="s">
        <v>29</v>
      </c>
      <c r="S3735">
        <v>12.1699613490151</v>
      </c>
      <c r="T3735" t="s">
        <v>29</v>
      </c>
      <c r="U3735" t="s">
        <v>29</v>
      </c>
      <c r="V3735" t="s">
        <v>29</v>
      </c>
      <c r="W3735" t="s">
        <v>29</v>
      </c>
      <c r="X3735" t="s">
        <v>29</v>
      </c>
      <c r="Y3735" t="s">
        <v>29</v>
      </c>
    </row>
    <row r="3736" spans="1:25" x14ac:dyDescent="0.2">
      <c r="A3736" t="s">
        <v>13719</v>
      </c>
      <c r="B3736" t="s">
        <v>13720</v>
      </c>
      <c r="C3736" t="s">
        <v>13721</v>
      </c>
      <c r="D3736" t="s">
        <v>13722</v>
      </c>
      <c r="E3736" t="s">
        <v>13720</v>
      </c>
      <c r="F3736" t="s">
        <v>28</v>
      </c>
      <c r="G3736" t="s">
        <v>13720</v>
      </c>
      <c r="H3736" t="str">
        <f>"nxf-1"</f>
        <v>nxf-1</v>
      </c>
      <c r="I3736" t="s">
        <v>13722</v>
      </c>
      <c r="J3736">
        <v>15.3396499957376</v>
      </c>
      <c r="K3736">
        <v>15.099006577949</v>
      </c>
      <c r="L3736">
        <v>14.984451277522499</v>
      </c>
      <c r="M3736">
        <v>14.723647824740601</v>
      </c>
      <c r="N3736">
        <v>15.0834446816817</v>
      </c>
      <c r="O3736">
        <v>14.888926699076</v>
      </c>
      <c r="P3736">
        <v>-0.242362881903601</v>
      </c>
      <c r="Q3736">
        <v>-0.63068695480759995</v>
      </c>
      <c r="R3736">
        <v>0.14596119100039801</v>
      </c>
      <c r="S3736">
        <v>15.0548864626293</v>
      </c>
      <c r="T3736">
        <v>-1.3117899733943399</v>
      </c>
      <c r="U3736">
        <v>-6.1913460074947997</v>
      </c>
      <c r="V3736">
        <v>0.20617151454553201</v>
      </c>
      <c r="W3736">
        <v>0.470134623918122</v>
      </c>
      <c r="X3736">
        <v>0</v>
      </c>
      <c r="Y3736">
        <v>0</v>
      </c>
    </row>
    <row r="3737" spans="1:25" x14ac:dyDescent="0.2">
      <c r="A3737" t="s">
        <v>13723</v>
      </c>
      <c r="B3737" t="s">
        <v>13724</v>
      </c>
      <c r="C3737" t="s">
        <v>13725</v>
      </c>
      <c r="D3737" t="s">
        <v>368</v>
      </c>
      <c r="E3737" t="s">
        <v>13724</v>
      </c>
      <c r="F3737" t="s">
        <v>28</v>
      </c>
      <c r="G3737" t="s">
        <v>13724</v>
      </c>
      <c r="H3737" t="str">
        <f>"C15C6.1"</f>
        <v>C15C6.1</v>
      </c>
      <c r="I3737" t="s">
        <v>368</v>
      </c>
      <c r="J3737" t="s">
        <v>29</v>
      </c>
      <c r="K3737" t="s">
        <v>29</v>
      </c>
      <c r="L3737" t="s">
        <v>29</v>
      </c>
      <c r="M3737" t="s">
        <v>29</v>
      </c>
      <c r="N3737" t="s">
        <v>29</v>
      </c>
      <c r="O3737" t="s">
        <v>29</v>
      </c>
      <c r="P3737" t="s">
        <v>29</v>
      </c>
      <c r="Q3737" t="s">
        <v>29</v>
      </c>
      <c r="R3737" t="s">
        <v>29</v>
      </c>
      <c r="S3737">
        <v>12.664752254868301</v>
      </c>
      <c r="T3737" t="s">
        <v>29</v>
      </c>
      <c r="U3737" t="s">
        <v>29</v>
      </c>
      <c r="V3737" t="s">
        <v>29</v>
      </c>
      <c r="W3737" t="s">
        <v>29</v>
      </c>
      <c r="X3737" t="s">
        <v>29</v>
      </c>
      <c r="Y3737" t="s">
        <v>29</v>
      </c>
    </row>
    <row r="3738" spans="1:25" x14ac:dyDescent="0.2">
      <c r="A3738" t="s">
        <v>13726</v>
      </c>
      <c r="B3738" t="s">
        <v>13727</v>
      </c>
      <c r="C3738" t="s">
        <v>13728</v>
      </c>
      <c r="D3738" t="s">
        <v>13729</v>
      </c>
      <c r="E3738" t="s">
        <v>13727</v>
      </c>
      <c r="F3738" t="s">
        <v>28</v>
      </c>
      <c r="G3738" t="s">
        <v>13727</v>
      </c>
      <c r="H3738" t="str">
        <f>"atgp-1"</f>
        <v>atgp-1</v>
      </c>
      <c r="I3738" t="s">
        <v>13729</v>
      </c>
      <c r="J3738">
        <v>12.2440356262079</v>
      </c>
      <c r="K3738">
        <v>12.7043581344447</v>
      </c>
      <c r="L3738">
        <v>12.194385022264299</v>
      </c>
      <c r="M3738">
        <v>13.5363562492448</v>
      </c>
      <c r="N3738">
        <v>12.7540122074666</v>
      </c>
      <c r="O3738">
        <v>13.452189625879001</v>
      </c>
      <c r="P3738">
        <v>0.86659309989121303</v>
      </c>
      <c r="Q3738">
        <v>1.64448890839841E-3</v>
      </c>
      <c r="R3738">
        <v>1.7315417108740301</v>
      </c>
      <c r="S3738">
        <v>12.572401534165801</v>
      </c>
      <c r="T3738">
        <v>2.1662679061206802</v>
      </c>
      <c r="U3738">
        <v>-4.9143939896869204</v>
      </c>
      <c r="V3738">
        <v>4.9626282041474401E-2</v>
      </c>
      <c r="W3738">
        <v>0.22163202151963601</v>
      </c>
      <c r="X3738">
        <v>0</v>
      </c>
      <c r="Y3738">
        <v>0</v>
      </c>
    </row>
    <row r="3739" spans="1:25" x14ac:dyDescent="0.2">
      <c r="A3739" t="s">
        <v>13730</v>
      </c>
      <c r="B3739" t="s">
        <v>13731</v>
      </c>
      <c r="C3739" t="s">
        <v>14752</v>
      </c>
      <c r="D3739" t="s">
        <v>13732</v>
      </c>
      <c r="E3739" t="s">
        <v>13731</v>
      </c>
      <c r="F3739" t="s">
        <v>28</v>
      </c>
      <c r="G3739" t="s">
        <v>13731</v>
      </c>
      <c r="H3739" t="str">
        <f>"R03G8.6"</f>
        <v>R03G8.6</v>
      </c>
      <c r="I3739" t="s">
        <v>13732</v>
      </c>
      <c r="J3739" t="s">
        <v>29</v>
      </c>
      <c r="K3739">
        <v>13.086535183863999</v>
      </c>
      <c r="L3739">
        <v>13.146355747115701</v>
      </c>
      <c r="M3739">
        <v>12.937788503116399</v>
      </c>
      <c r="N3739">
        <v>12.8933551004785</v>
      </c>
      <c r="O3739">
        <v>12.602702155928601</v>
      </c>
      <c r="P3739">
        <v>-0.30516354564867898</v>
      </c>
      <c r="Q3739">
        <v>-0.897254574141923</v>
      </c>
      <c r="R3739">
        <v>0.28692748284456598</v>
      </c>
      <c r="S3739">
        <v>13.063551987394</v>
      </c>
      <c r="T3739">
        <v>-1.12405919911745</v>
      </c>
      <c r="U3739">
        <v>-6.2968257282710498</v>
      </c>
      <c r="V3739">
        <v>0.28316075453950501</v>
      </c>
      <c r="W3739">
        <v>0.56355051698565695</v>
      </c>
      <c r="X3739">
        <v>0</v>
      </c>
      <c r="Y3739">
        <v>0</v>
      </c>
    </row>
    <row r="3740" spans="1:25" x14ac:dyDescent="0.2">
      <c r="A3740" t="s">
        <v>13733</v>
      </c>
      <c r="B3740" t="s">
        <v>13734</v>
      </c>
      <c r="C3740" t="s">
        <v>13735</v>
      </c>
      <c r="D3740" t="s">
        <v>13736</v>
      </c>
      <c r="E3740" t="s">
        <v>13734</v>
      </c>
      <c r="F3740" t="s">
        <v>28</v>
      </c>
      <c r="G3740" t="s">
        <v>13734</v>
      </c>
      <c r="H3740" t="str">
        <f>"rhy-1"</f>
        <v>rhy-1</v>
      </c>
      <c r="I3740" t="s">
        <v>13736</v>
      </c>
      <c r="J3740" t="s">
        <v>29</v>
      </c>
      <c r="K3740" t="s">
        <v>29</v>
      </c>
      <c r="L3740" t="s">
        <v>29</v>
      </c>
      <c r="M3740" t="s">
        <v>29</v>
      </c>
      <c r="N3740" t="s">
        <v>29</v>
      </c>
      <c r="O3740" t="s">
        <v>29</v>
      </c>
      <c r="P3740" t="s">
        <v>29</v>
      </c>
      <c r="Q3740" t="s">
        <v>29</v>
      </c>
      <c r="R3740" t="s">
        <v>29</v>
      </c>
      <c r="S3740">
        <v>11.231899292309301</v>
      </c>
      <c r="T3740" t="s">
        <v>29</v>
      </c>
      <c r="U3740" t="s">
        <v>29</v>
      </c>
      <c r="V3740" t="s">
        <v>29</v>
      </c>
      <c r="W3740" t="s">
        <v>29</v>
      </c>
      <c r="X3740" t="s">
        <v>29</v>
      </c>
      <c r="Y3740" t="s">
        <v>29</v>
      </c>
    </row>
    <row r="3741" spans="1:25" x14ac:dyDescent="0.2">
      <c r="A3741" t="s">
        <v>13737</v>
      </c>
      <c r="B3741" t="s">
        <v>13738</v>
      </c>
      <c r="C3741" t="s">
        <v>14753</v>
      </c>
      <c r="D3741" t="s">
        <v>2217</v>
      </c>
      <c r="E3741" t="s">
        <v>13738</v>
      </c>
      <c r="F3741" t="s">
        <v>28</v>
      </c>
      <c r="G3741" t="s">
        <v>13738</v>
      </c>
      <c r="H3741" t="str">
        <f>"F54D5.15"</f>
        <v>F54D5.15</v>
      </c>
      <c r="I3741" t="s">
        <v>2217</v>
      </c>
      <c r="J3741">
        <v>11.0194305708256</v>
      </c>
      <c r="K3741">
        <v>12.284647672807299</v>
      </c>
      <c r="L3741" t="s">
        <v>29</v>
      </c>
      <c r="M3741">
        <v>12.242545505986</v>
      </c>
      <c r="N3741">
        <v>11.245554298901601</v>
      </c>
      <c r="O3741" t="s">
        <v>29</v>
      </c>
      <c r="P3741">
        <v>9.2010780627294494E-2</v>
      </c>
      <c r="Q3741">
        <v>-1.21992415908342</v>
      </c>
      <c r="R3741">
        <v>1.4039457203380099</v>
      </c>
      <c r="S3741">
        <v>11.6896021697496</v>
      </c>
      <c r="T3741">
        <v>0.156492420277099</v>
      </c>
      <c r="U3741">
        <v>-6.8378686195526601</v>
      </c>
      <c r="V3741">
        <v>0.87879166417616295</v>
      </c>
      <c r="W3741">
        <v>0.95606421772960104</v>
      </c>
      <c r="X3741">
        <v>0</v>
      </c>
      <c r="Y3741">
        <v>0</v>
      </c>
    </row>
    <row r="3742" spans="1:25" x14ac:dyDescent="0.2">
      <c r="A3742" t="s">
        <v>13739</v>
      </c>
      <c r="B3742" t="s">
        <v>13740</v>
      </c>
      <c r="C3742" t="s">
        <v>14754</v>
      </c>
      <c r="D3742" t="s">
        <v>368</v>
      </c>
      <c r="E3742" t="s">
        <v>13740</v>
      </c>
      <c r="F3742" t="s">
        <v>28</v>
      </c>
      <c r="G3742" t="s">
        <v>13740</v>
      </c>
      <c r="H3742" t="str">
        <f>"Y7A5A.2"</f>
        <v>Y7A5A.2</v>
      </c>
      <c r="I3742" t="s">
        <v>368</v>
      </c>
      <c r="J3742">
        <v>11.013516423499199</v>
      </c>
      <c r="K3742">
        <v>10.8445900719113</v>
      </c>
      <c r="L3742">
        <v>11.348880841367199</v>
      </c>
      <c r="M3742" t="s">
        <v>29</v>
      </c>
      <c r="N3742">
        <v>12.058738116596899</v>
      </c>
      <c r="O3742" t="s">
        <v>29</v>
      </c>
      <c r="P3742">
        <v>0.98974233767104303</v>
      </c>
      <c r="Q3742">
        <v>9.7929537092960595E-2</v>
      </c>
      <c r="R3742">
        <v>1.88155513824913</v>
      </c>
      <c r="S3742">
        <v>11.4239007347515</v>
      </c>
      <c r="T3742">
        <v>2.42043519381164</v>
      </c>
      <c r="U3742">
        <v>-4.1733059367785597</v>
      </c>
      <c r="V3742">
        <v>3.2454715073117597E-2</v>
      </c>
      <c r="W3742">
        <v>0.177449495822499</v>
      </c>
      <c r="X3742">
        <v>0</v>
      </c>
      <c r="Y3742">
        <v>0</v>
      </c>
    </row>
    <row r="3743" spans="1:25" x14ac:dyDescent="0.2">
      <c r="A3743" t="s">
        <v>13741</v>
      </c>
      <c r="B3743" t="s">
        <v>13742</v>
      </c>
      <c r="C3743" t="s">
        <v>14755</v>
      </c>
      <c r="D3743" t="s">
        <v>13743</v>
      </c>
      <c r="E3743" t="s">
        <v>13742</v>
      </c>
      <c r="F3743" t="s">
        <v>28</v>
      </c>
      <c r="G3743" t="s">
        <v>13742</v>
      </c>
      <c r="H3743" t="str">
        <f>"Y7A5A.1"</f>
        <v>Y7A5A.1</v>
      </c>
      <c r="I3743" t="s">
        <v>13743</v>
      </c>
      <c r="J3743">
        <v>14.7827082787264</v>
      </c>
      <c r="K3743">
        <v>14.812641033872399</v>
      </c>
      <c r="L3743">
        <v>14.913219476528299</v>
      </c>
      <c r="M3743">
        <v>14.456692545968901</v>
      </c>
      <c r="N3743">
        <v>14.5859861809765</v>
      </c>
      <c r="O3743">
        <v>14.1627613936835</v>
      </c>
      <c r="P3743">
        <v>-0.43437622283275901</v>
      </c>
      <c r="Q3743">
        <v>-0.80915447175965505</v>
      </c>
      <c r="R3743">
        <v>-5.9597973905862099E-2</v>
      </c>
      <c r="S3743">
        <v>14.615079370638499</v>
      </c>
      <c r="T3743">
        <v>-2.4360386806902001</v>
      </c>
      <c r="U3743">
        <v>-4.3693581210759698</v>
      </c>
      <c r="V3743">
        <v>2.55342209375117E-2</v>
      </c>
      <c r="W3743">
        <v>0.15580495347353099</v>
      </c>
      <c r="X3743">
        <v>0</v>
      </c>
      <c r="Y3743">
        <v>0</v>
      </c>
    </row>
    <row r="3744" spans="1:25" x14ac:dyDescent="0.2">
      <c r="A3744" t="s">
        <v>13744</v>
      </c>
      <c r="B3744" t="s">
        <v>13745</v>
      </c>
      <c r="C3744" t="s">
        <v>14756</v>
      </c>
      <c r="D3744" t="s">
        <v>2791</v>
      </c>
      <c r="E3744" t="s">
        <v>13745</v>
      </c>
      <c r="F3744" t="s">
        <v>28</v>
      </c>
      <c r="G3744" t="s">
        <v>13745</v>
      </c>
      <c r="H3744" t="str">
        <f>"Y54G11A.3"</f>
        <v>Y54G11A.3</v>
      </c>
      <c r="I3744" t="s">
        <v>2791</v>
      </c>
      <c r="J3744">
        <v>13.8301615551101</v>
      </c>
      <c r="K3744">
        <v>13.528200504125399</v>
      </c>
      <c r="L3744">
        <v>13.812832396110601</v>
      </c>
      <c r="M3744">
        <v>14.0680627718134</v>
      </c>
      <c r="N3744">
        <v>13.3217287578395</v>
      </c>
      <c r="O3744" t="s">
        <v>29</v>
      </c>
      <c r="P3744">
        <v>-2.8835720288915598E-2</v>
      </c>
      <c r="Q3744">
        <v>-1.03909077252476</v>
      </c>
      <c r="R3744">
        <v>0.98141933194692499</v>
      </c>
      <c r="S3744">
        <v>14.646330731256</v>
      </c>
      <c r="T3744">
        <v>-6.0540959952088899E-2</v>
      </c>
      <c r="U3744">
        <v>-6.9395019431851397</v>
      </c>
      <c r="V3744">
        <v>0.95247946674553996</v>
      </c>
      <c r="W3744">
        <v>0.97752358457809096</v>
      </c>
      <c r="X3744">
        <v>0</v>
      </c>
      <c r="Y3744">
        <v>0</v>
      </c>
    </row>
    <row r="3745" spans="1:25" x14ac:dyDescent="0.2">
      <c r="A3745" t="s">
        <v>13746</v>
      </c>
      <c r="B3745" t="s">
        <v>13747</v>
      </c>
      <c r="C3745" t="s">
        <v>14757</v>
      </c>
      <c r="D3745" t="s">
        <v>13748</v>
      </c>
      <c r="E3745" t="s">
        <v>13747</v>
      </c>
      <c r="F3745" t="s">
        <v>28</v>
      </c>
      <c r="G3745" t="s">
        <v>13747</v>
      </c>
      <c r="H3745" t="str">
        <f>"Y54G11A.7"</f>
        <v>Y54G11A.7</v>
      </c>
      <c r="I3745" t="s">
        <v>13748</v>
      </c>
      <c r="J3745">
        <v>12.738324728742899</v>
      </c>
      <c r="K3745">
        <v>13.070172980820001</v>
      </c>
      <c r="L3745">
        <v>12.9948251530639</v>
      </c>
      <c r="M3745">
        <v>13.0944288851016</v>
      </c>
      <c r="N3745">
        <v>12.966653850084599</v>
      </c>
      <c r="O3745">
        <v>13.0392285619414</v>
      </c>
      <c r="P3745">
        <v>9.8996144833570596E-2</v>
      </c>
      <c r="Q3745">
        <v>-0.39507212527343799</v>
      </c>
      <c r="R3745">
        <v>0.59306441494057904</v>
      </c>
      <c r="S3745">
        <v>13.087809616362099</v>
      </c>
      <c r="T3745">
        <v>0.42294250370023201</v>
      </c>
      <c r="U3745">
        <v>-6.9585460516905204</v>
      </c>
      <c r="V3745">
        <v>0.67767158015612206</v>
      </c>
      <c r="W3745">
        <v>0.85603389822516296</v>
      </c>
      <c r="X3745">
        <v>0</v>
      </c>
      <c r="Y3745">
        <v>0</v>
      </c>
    </row>
    <row r="3746" spans="1:25" x14ac:dyDescent="0.2">
      <c r="A3746" t="s">
        <v>13749</v>
      </c>
      <c r="B3746" t="s">
        <v>13750</v>
      </c>
      <c r="C3746" t="s">
        <v>13751</v>
      </c>
      <c r="D3746" t="s">
        <v>13752</v>
      </c>
      <c r="E3746" t="s">
        <v>13750</v>
      </c>
      <c r="F3746" t="s">
        <v>28</v>
      </c>
      <c r="G3746" t="s">
        <v>13750</v>
      </c>
      <c r="H3746" t="str">
        <f>"pad-1"</f>
        <v>pad-1</v>
      </c>
      <c r="I3746" t="s">
        <v>13752</v>
      </c>
      <c r="J3746">
        <v>12.479195262770199</v>
      </c>
      <c r="K3746">
        <v>13.0411825893613</v>
      </c>
      <c r="L3746">
        <v>12.5447355014465</v>
      </c>
      <c r="M3746">
        <v>13.4413088136097</v>
      </c>
      <c r="N3746">
        <v>13.232672195712301</v>
      </c>
      <c r="O3746">
        <v>12.934997336786299</v>
      </c>
      <c r="P3746">
        <v>0.51462166417674604</v>
      </c>
      <c r="Q3746">
        <v>2.9396499374451102E-3</v>
      </c>
      <c r="R3746">
        <v>1.02630367841605</v>
      </c>
      <c r="S3746">
        <v>13.049611561647399</v>
      </c>
      <c r="T3746">
        <v>2.13322882311755</v>
      </c>
      <c r="U3746">
        <v>-4.9430317402751296</v>
      </c>
      <c r="V3746">
        <v>4.8846624381452798E-2</v>
      </c>
      <c r="W3746">
        <v>0.22014808273857001</v>
      </c>
      <c r="X3746">
        <v>0</v>
      </c>
      <c r="Y3746">
        <v>0</v>
      </c>
    </row>
    <row r="3747" spans="1:25" x14ac:dyDescent="0.2">
      <c r="A3747" t="s">
        <v>13753</v>
      </c>
      <c r="B3747" t="s">
        <v>13754</v>
      </c>
      <c r="C3747" t="s">
        <v>13755</v>
      </c>
      <c r="D3747" t="s">
        <v>13756</v>
      </c>
      <c r="E3747" t="s">
        <v>13754</v>
      </c>
      <c r="F3747" t="s">
        <v>28</v>
      </c>
      <c r="G3747" t="s">
        <v>13754</v>
      </c>
      <c r="H3747" t="str">
        <f>"pfn-1"</f>
        <v>pfn-1</v>
      </c>
      <c r="I3747" t="s">
        <v>13756</v>
      </c>
      <c r="J3747">
        <v>17.277265046392401</v>
      </c>
      <c r="K3747">
        <v>17.154517972849298</v>
      </c>
      <c r="L3747">
        <v>17.347108151526498</v>
      </c>
      <c r="M3747">
        <v>16.969276334707299</v>
      </c>
      <c r="N3747">
        <v>17.7565912391604</v>
      </c>
      <c r="O3747">
        <v>17.3604445845246</v>
      </c>
      <c r="P3747">
        <v>0.10247366254134201</v>
      </c>
      <c r="Q3747">
        <v>-0.37044200210623401</v>
      </c>
      <c r="R3747">
        <v>0.575389327188919</v>
      </c>
      <c r="S3747">
        <v>17.273242285235099</v>
      </c>
      <c r="T3747">
        <v>0.45542940987858599</v>
      </c>
      <c r="U3747">
        <v>-6.94401698555507</v>
      </c>
      <c r="V3747">
        <v>0.65427784549858303</v>
      </c>
      <c r="W3747">
        <v>0.84351034439476502</v>
      </c>
      <c r="X3747">
        <v>0</v>
      </c>
      <c r="Y3747">
        <v>0</v>
      </c>
    </row>
    <row r="3748" spans="1:25" x14ac:dyDescent="0.2">
      <c r="A3748" t="s">
        <v>13757</v>
      </c>
      <c r="B3748" t="s">
        <v>13758</v>
      </c>
      <c r="C3748" t="s">
        <v>13759</v>
      </c>
      <c r="D3748" t="s">
        <v>13760</v>
      </c>
      <c r="E3748" t="s">
        <v>13758</v>
      </c>
      <c r="F3748" t="s">
        <v>28</v>
      </c>
      <c r="G3748" t="s">
        <v>13758</v>
      </c>
      <c r="H3748" t="str">
        <f>"car-1"</f>
        <v>car-1</v>
      </c>
      <c r="I3748" t="s">
        <v>13760</v>
      </c>
      <c r="J3748">
        <v>18.3153055556187</v>
      </c>
      <c r="K3748">
        <v>18.290149165197501</v>
      </c>
      <c r="L3748">
        <v>19.09759094612</v>
      </c>
      <c r="M3748">
        <v>17.664525322550901</v>
      </c>
      <c r="N3748">
        <v>18.165321492286601</v>
      </c>
      <c r="O3748">
        <v>17.788100832907698</v>
      </c>
      <c r="P3748">
        <v>-0.695032673063679</v>
      </c>
      <c r="Q3748">
        <v>-1.23116605986566</v>
      </c>
      <c r="R3748">
        <v>-0.158899286261698</v>
      </c>
      <c r="S3748">
        <v>18.952917740402199</v>
      </c>
      <c r="T3748">
        <v>-2.72473883149509</v>
      </c>
      <c r="U3748">
        <v>-3.8021480831412902</v>
      </c>
      <c r="V3748">
        <v>1.39513870773259E-2</v>
      </c>
      <c r="W3748">
        <v>0.109099246396553</v>
      </c>
      <c r="X3748">
        <v>0</v>
      </c>
      <c r="Y3748">
        <v>0</v>
      </c>
    </row>
    <row r="3749" spans="1:25" x14ac:dyDescent="0.2">
      <c r="A3749" t="s">
        <v>13761</v>
      </c>
      <c r="B3749" t="s">
        <v>13762</v>
      </c>
      <c r="C3749" t="s">
        <v>13763</v>
      </c>
      <c r="D3749" t="s">
        <v>13764</v>
      </c>
      <c r="E3749" t="s">
        <v>13762</v>
      </c>
      <c r="F3749" t="s">
        <v>28</v>
      </c>
      <c r="G3749" t="s">
        <v>13762</v>
      </c>
      <c r="H3749" t="str">
        <f>"attf-6"</f>
        <v>attf-6</v>
      </c>
      <c r="I3749" t="s">
        <v>13764</v>
      </c>
      <c r="J3749">
        <v>10.0150990111064</v>
      </c>
      <c r="K3749" t="s">
        <v>29</v>
      </c>
      <c r="L3749">
        <v>10.7990609048218</v>
      </c>
      <c r="M3749">
        <v>10.534143025190801</v>
      </c>
      <c r="N3749">
        <v>11.983209186578399</v>
      </c>
      <c r="O3749">
        <v>10.3749938229282</v>
      </c>
      <c r="P3749">
        <v>0.55703538693501098</v>
      </c>
      <c r="Q3749">
        <v>-0.50863726913777696</v>
      </c>
      <c r="R3749">
        <v>1.6227080430078</v>
      </c>
      <c r="S3749">
        <v>10.9631376200029</v>
      </c>
      <c r="T3749">
        <v>1.1301763306405599</v>
      </c>
      <c r="U3749">
        <v>-6.2915458012177004</v>
      </c>
      <c r="V3749">
        <v>0.278985963702998</v>
      </c>
      <c r="W3749">
        <v>0.55838707104226304</v>
      </c>
      <c r="X3749">
        <v>0</v>
      </c>
      <c r="Y3749">
        <v>0</v>
      </c>
    </row>
    <row r="3750" spans="1:25" x14ac:dyDescent="0.2">
      <c r="A3750" t="s">
        <v>13765</v>
      </c>
      <c r="B3750" t="s">
        <v>13766</v>
      </c>
      <c r="C3750" t="s">
        <v>13767</v>
      </c>
      <c r="D3750" t="s">
        <v>13768</v>
      </c>
      <c r="E3750" t="s">
        <v>13766</v>
      </c>
      <c r="F3750" t="s">
        <v>28</v>
      </c>
      <c r="G3750" t="s">
        <v>13766</v>
      </c>
      <c r="H3750" t="str">
        <f>"tmem-189"</f>
        <v>tmem-189</v>
      </c>
      <c r="I3750" t="s">
        <v>13768</v>
      </c>
      <c r="J3750">
        <v>11.9836960521975</v>
      </c>
      <c r="K3750">
        <v>11.887675633427</v>
      </c>
      <c r="L3750">
        <v>12.3421149406285</v>
      </c>
      <c r="M3750">
        <v>12.2345975959977</v>
      </c>
      <c r="N3750">
        <v>12.2231728121602</v>
      </c>
      <c r="O3750">
        <v>12.044724262873199</v>
      </c>
      <c r="P3750">
        <v>9.63360149260062E-2</v>
      </c>
      <c r="Q3750">
        <v>-0.47646909175612301</v>
      </c>
      <c r="R3750">
        <v>0.66914112160813499</v>
      </c>
      <c r="S3750">
        <v>12.8112180418464</v>
      </c>
      <c r="T3750">
        <v>0.35672317585269597</v>
      </c>
      <c r="U3750">
        <v>-6.9852237614652903</v>
      </c>
      <c r="V3750">
        <v>0.72599044321271999</v>
      </c>
      <c r="W3750">
        <v>0.881330909506157</v>
      </c>
      <c r="X3750">
        <v>0</v>
      </c>
      <c r="Y3750">
        <v>0</v>
      </c>
    </row>
    <row r="3751" spans="1:25" x14ac:dyDescent="0.2">
      <c r="A3751" t="s">
        <v>13769</v>
      </c>
      <c r="B3751" t="s">
        <v>13770</v>
      </c>
      <c r="C3751" t="s">
        <v>14758</v>
      </c>
      <c r="D3751" t="s">
        <v>13771</v>
      </c>
      <c r="E3751" t="s">
        <v>13770</v>
      </c>
      <c r="F3751" t="s">
        <v>28</v>
      </c>
      <c r="G3751" t="s">
        <v>13770</v>
      </c>
      <c r="H3751" t="str">
        <f>"Y75B8A.7"</f>
        <v>Y75B8A.7</v>
      </c>
      <c r="I3751" t="s">
        <v>13771</v>
      </c>
      <c r="J3751" t="s">
        <v>29</v>
      </c>
      <c r="K3751" t="s">
        <v>29</v>
      </c>
      <c r="L3751">
        <v>10.5525894072093</v>
      </c>
      <c r="M3751" t="s">
        <v>29</v>
      </c>
      <c r="N3751">
        <v>11.3710242218828</v>
      </c>
      <c r="O3751">
        <v>11.306278973688499</v>
      </c>
      <c r="P3751">
        <v>0.78606219057635796</v>
      </c>
      <c r="Q3751">
        <v>-0.33509707825128798</v>
      </c>
      <c r="R3751">
        <v>1.907221459404</v>
      </c>
      <c r="S3751">
        <v>12.342037893971</v>
      </c>
      <c r="T3751">
        <v>1.52909549269995</v>
      </c>
      <c r="U3751">
        <v>-5.5148743127187299</v>
      </c>
      <c r="V3751">
        <v>0.15238821614730699</v>
      </c>
      <c r="W3751">
        <v>0.403803953862651</v>
      </c>
      <c r="X3751">
        <v>0</v>
      </c>
      <c r="Y3751">
        <v>0</v>
      </c>
    </row>
    <row r="3752" spans="1:25" x14ac:dyDescent="0.2">
      <c r="A3752" t="s">
        <v>13772</v>
      </c>
      <c r="B3752" t="s">
        <v>13773</v>
      </c>
      <c r="C3752" t="s">
        <v>14759</v>
      </c>
      <c r="D3752" t="s">
        <v>9542</v>
      </c>
      <c r="E3752" t="s">
        <v>13773</v>
      </c>
      <c r="F3752" t="s">
        <v>28</v>
      </c>
      <c r="G3752" t="s">
        <v>13773</v>
      </c>
      <c r="H3752" t="str">
        <f>"Y75B8A.25"</f>
        <v>Y75B8A.25</v>
      </c>
      <c r="I3752" t="s">
        <v>9542</v>
      </c>
      <c r="J3752">
        <v>12.3266836507392</v>
      </c>
      <c r="K3752">
        <v>12.636253828094301</v>
      </c>
      <c r="L3752">
        <v>12.1620745294129</v>
      </c>
      <c r="M3752">
        <v>13.194594272865</v>
      </c>
      <c r="N3752">
        <v>13.298293562776401</v>
      </c>
      <c r="O3752">
        <v>13.1300155314152</v>
      </c>
      <c r="P3752">
        <v>0.83263045293677296</v>
      </c>
      <c r="Q3752">
        <v>0.41615545947812299</v>
      </c>
      <c r="R3752">
        <v>1.2491054463954201</v>
      </c>
      <c r="S3752">
        <v>12.4529992740213</v>
      </c>
      <c r="T3752">
        <v>4.2638799313913598</v>
      </c>
      <c r="U3752">
        <v>-0.78270267785958603</v>
      </c>
      <c r="V3752">
        <v>6.8958793802384704E-4</v>
      </c>
      <c r="W3752">
        <v>1.38348260933049E-2</v>
      </c>
      <c r="X3752">
        <v>0</v>
      </c>
      <c r="Y3752">
        <v>0</v>
      </c>
    </row>
    <row r="3753" spans="1:25" x14ac:dyDescent="0.2">
      <c r="A3753" t="s">
        <v>13774</v>
      </c>
      <c r="B3753" t="s">
        <v>13775</v>
      </c>
      <c r="C3753" t="s">
        <v>14760</v>
      </c>
      <c r="D3753" t="s">
        <v>13776</v>
      </c>
      <c r="E3753" t="s">
        <v>13775</v>
      </c>
      <c r="F3753" t="s">
        <v>28</v>
      </c>
      <c r="G3753" t="s">
        <v>13775</v>
      </c>
      <c r="H3753" t="str">
        <f>"Y75B8A.24"</f>
        <v>Y75B8A.24</v>
      </c>
      <c r="I3753" t="s">
        <v>13776</v>
      </c>
      <c r="J3753">
        <v>13.571576641262499</v>
      </c>
      <c r="K3753">
        <v>13.551339559895601</v>
      </c>
      <c r="L3753">
        <v>13.2091117067084</v>
      </c>
      <c r="M3753">
        <v>13.342615764576101</v>
      </c>
      <c r="N3753">
        <v>13.3852860025195</v>
      </c>
      <c r="O3753">
        <v>12.627386447705099</v>
      </c>
      <c r="P3753">
        <v>-0.32557989768856999</v>
      </c>
      <c r="Q3753">
        <v>-0.76339157935871804</v>
      </c>
      <c r="R3753">
        <v>0.112231783981578</v>
      </c>
      <c r="S3753">
        <v>13.1228521578595</v>
      </c>
      <c r="T3753">
        <v>-1.5697129829535901</v>
      </c>
      <c r="U3753">
        <v>-5.8435545137945999</v>
      </c>
      <c r="V3753">
        <v>0.135019957205679</v>
      </c>
      <c r="W3753">
        <v>0.37939762056670201</v>
      </c>
      <c r="X3753">
        <v>0</v>
      </c>
      <c r="Y3753">
        <v>0</v>
      </c>
    </row>
    <row r="3754" spans="1:25" x14ac:dyDescent="0.2">
      <c r="A3754" t="s">
        <v>13777</v>
      </c>
      <c r="B3754" t="s">
        <v>13778</v>
      </c>
      <c r="C3754" t="s">
        <v>13779</v>
      </c>
      <c r="D3754" t="s">
        <v>13780</v>
      </c>
      <c r="E3754" t="s">
        <v>13778</v>
      </c>
      <c r="F3754" t="s">
        <v>28</v>
      </c>
      <c r="G3754" t="s">
        <v>13778</v>
      </c>
      <c r="H3754" t="str">
        <f>"gex-4"</f>
        <v>gex-4</v>
      </c>
      <c r="I3754" t="s">
        <v>13780</v>
      </c>
      <c r="J3754">
        <v>13.3322745482825</v>
      </c>
      <c r="K3754" t="s">
        <v>29</v>
      </c>
      <c r="L3754">
        <v>13.6296854526506</v>
      </c>
      <c r="M3754">
        <v>13.0128828528205</v>
      </c>
      <c r="N3754">
        <v>12.158986412189501</v>
      </c>
      <c r="O3754" t="s">
        <v>29</v>
      </c>
      <c r="P3754">
        <v>-0.89504536796154899</v>
      </c>
      <c r="Q3754">
        <v>-1.57742415720006</v>
      </c>
      <c r="R3754">
        <v>-0.21266657872303599</v>
      </c>
      <c r="S3754">
        <v>13.176789871609699</v>
      </c>
      <c r="T3754">
        <v>-2.8152140623792099</v>
      </c>
      <c r="U3754">
        <v>-3.5364718346348099</v>
      </c>
      <c r="V3754">
        <v>1.3843117312943401E-2</v>
      </c>
      <c r="W3754">
        <v>0.10854338249715099</v>
      </c>
      <c r="X3754">
        <v>0</v>
      </c>
      <c r="Y3754">
        <v>0</v>
      </c>
    </row>
    <row r="3755" spans="1:25" x14ac:dyDescent="0.2">
      <c r="A3755" t="s">
        <v>13781</v>
      </c>
      <c r="B3755" t="s">
        <v>13782</v>
      </c>
      <c r="C3755" t="s">
        <v>13783</v>
      </c>
      <c r="D3755" t="s">
        <v>13784</v>
      </c>
      <c r="E3755" t="s">
        <v>13782</v>
      </c>
      <c r="F3755" t="s">
        <v>28</v>
      </c>
      <c r="G3755" t="s">
        <v>13782</v>
      </c>
      <c r="H3755" t="str">
        <f>"Y75B8A.31"</f>
        <v>Y75B8A.31</v>
      </c>
      <c r="I3755" t="s">
        <v>13784</v>
      </c>
      <c r="J3755" t="s">
        <v>29</v>
      </c>
      <c r="K3755" t="s">
        <v>29</v>
      </c>
      <c r="L3755" t="s">
        <v>29</v>
      </c>
      <c r="M3755" t="s">
        <v>29</v>
      </c>
      <c r="N3755" t="s">
        <v>29</v>
      </c>
      <c r="O3755" t="s">
        <v>29</v>
      </c>
      <c r="P3755" t="s">
        <v>29</v>
      </c>
      <c r="Q3755" t="s">
        <v>29</v>
      </c>
      <c r="R3755" t="s">
        <v>29</v>
      </c>
      <c r="S3755">
        <v>11.532907047054101</v>
      </c>
      <c r="T3755" t="s">
        <v>29</v>
      </c>
      <c r="U3755" t="s">
        <v>29</v>
      </c>
      <c r="V3755" t="s">
        <v>29</v>
      </c>
      <c r="W3755" t="s">
        <v>29</v>
      </c>
      <c r="X3755" t="s">
        <v>29</v>
      </c>
      <c r="Y3755" t="s">
        <v>29</v>
      </c>
    </row>
    <row r="3756" spans="1:25" x14ac:dyDescent="0.2">
      <c r="A3756" t="s">
        <v>13785</v>
      </c>
      <c r="B3756" t="s">
        <v>13786</v>
      </c>
      <c r="C3756" t="s">
        <v>13787</v>
      </c>
      <c r="D3756" t="s">
        <v>270</v>
      </c>
      <c r="E3756" t="s">
        <v>13786</v>
      </c>
      <c r="F3756" t="s">
        <v>28</v>
      </c>
      <c r="G3756" t="s">
        <v>13786</v>
      </c>
      <c r="H3756" t="str">
        <f>"grl-15"</f>
        <v>grl-15</v>
      </c>
      <c r="I3756" t="s">
        <v>270</v>
      </c>
      <c r="J3756">
        <v>14.320170129946799</v>
      </c>
      <c r="K3756">
        <v>14.5040959330519</v>
      </c>
      <c r="L3756">
        <v>15.525639357399999</v>
      </c>
      <c r="M3756">
        <v>14.518342868134001</v>
      </c>
      <c r="N3756">
        <v>15.594301299585799</v>
      </c>
      <c r="O3756">
        <v>14.876091876555799</v>
      </c>
      <c r="P3756">
        <v>0.212943541292336</v>
      </c>
      <c r="Q3756">
        <v>-0.55437294131224801</v>
      </c>
      <c r="R3756">
        <v>0.98026002389692102</v>
      </c>
      <c r="S3756">
        <v>14.528152669796301</v>
      </c>
      <c r="T3756">
        <v>0.58328721599827005</v>
      </c>
      <c r="U3756">
        <v>-6.8754734391760701</v>
      </c>
      <c r="V3756">
        <v>0.56697917841244005</v>
      </c>
      <c r="W3756">
        <v>0.78945239475998297</v>
      </c>
      <c r="X3756">
        <v>0</v>
      </c>
      <c r="Y3756">
        <v>0</v>
      </c>
    </row>
    <row r="3757" spans="1:25" x14ac:dyDescent="0.2">
      <c r="A3757" t="s">
        <v>13788</v>
      </c>
      <c r="B3757" t="s">
        <v>13789</v>
      </c>
      <c r="C3757" t="s">
        <v>13790</v>
      </c>
      <c r="D3757" t="s">
        <v>13791</v>
      </c>
      <c r="E3757" t="s">
        <v>13789</v>
      </c>
      <c r="F3757" t="s">
        <v>28</v>
      </c>
      <c r="G3757" t="s">
        <v>13789</v>
      </c>
      <c r="H3757" t="str">
        <f>"lonp-2"</f>
        <v>lonp-2</v>
      </c>
      <c r="I3757" t="s">
        <v>13791</v>
      </c>
      <c r="J3757" t="s">
        <v>29</v>
      </c>
      <c r="K3757">
        <v>11.220957330257599</v>
      </c>
      <c r="L3757" t="s">
        <v>29</v>
      </c>
      <c r="M3757" t="s">
        <v>29</v>
      </c>
      <c r="N3757" t="s">
        <v>29</v>
      </c>
      <c r="O3757" t="s">
        <v>29</v>
      </c>
      <c r="P3757" t="s">
        <v>29</v>
      </c>
      <c r="Q3757" t="s">
        <v>29</v>
      </c>
      <c r="R3757" t="s">
        <v>29</v>
      </c>
      <c r="S3757">
        <v>11.0676243038768</v>
      </c>
      <c r="T3757" t="s">
        <v>29</v>
      </c>
      <c r="U3757" t="s">
        <v>29</v>
      </c>
      <c r="V3757" t="s">
        <v>29</v>
      </c>
      <c r="W3757" t="s">
        <v>29</v>
      </c>
      <c r="X3757" t="s">
        <v>29</v>
      </c>
      <c r="Y3757" t="s">
        <v>29</v>
      </c>
    </row>
    <row r="3758" spans="1:25" x14ac:dyDescent="0.2">
      <c r="A3758" t="s">
        <v>13792</v>
      </c>
      <c r="B3758" t="s">
        <v>13793</v>
      </c>
      <c r="C3758" t="s">
        <v>13794</v>
      </c>
      <c r="D3758" t="s">
        <v>13795</v>
      </c>
      <c r="E3758" t="s">
        <v>13793</v>
      </c>
      <c r="F3758" t="s">
        <v>28</v>
      </c>
      <c r="G3758" t="s">
        <v>13793</v>
      </c>
      <c r="H3758" t="str">
        <f>"vha-13"</f>
        <v>vha-13</v>
      </c>
      <c r="I3758" t="s">
        <v>13795</v>
      </c>
      <c r="J3758">
        <v>15.477765994254799</v>
      </c>
      <c r="K3758">
        <v>15.3542527949662</v>
      </c>
      <c r="L3758">
        <v>15.655798905828901</v>
      </c>
      <c r="M3758">
        <v>16.299956721245501</v>
      </c>
      <c r="N3758">
        <v>16.523176750575502</v>
      </c>
      <c r="O3758">
        <v>16.996500442836801</v>
      </c>
      <c r="P3758">
        <v>1.1106054065359701</v>
      </c>
      <c r="Q3758">
        <v>0.73370378128987401</v>
      </c>
      <c r="R3758">
        <v>1.48750703178206</v>
      </c>
      <c r="S3758">
        <v>16.047482842824301</v>
      </c>
      <c r="T3758">
        <v>6.1933309283785798</v>
      </c>
      <c r="U3758">
        <v>3.6208474772140899</v>
      </c>
      <c r="V3758" s="2">
        <v>7.8052220991598106E-6</v>
      </c>
      <c r="W3758">
        <v>3.5275267653702802E-4</v>
      </c>
      <c r="X3758">
        <v>1</v>
      </c>
      <c r="Y3758">
        <v>1</v>
      </c>
    </row>
    <row r="3759" spans="1:25" x14ac:dyDescent="0.2">
      <c r="A3759" t="s">
        <v>13796</v>
      </c>
      <c r="B3759" t="s">
        <v>13797</v>
      </c>
      <c r="C3759" t="s">
        <v>14761</v>
      </c>
      <c r="D3759" t="s">
        <v>13798</v>
      </c>
      <c r="E3759" t="s">
        <v>13797</v>
      </c>
      <c r="F3759" t="s">
        <v>28</v>
      </c>
      <c r="G3759" t="s">
        <v>13797</v>
      </c>
      <c r="H3759" t="str">
        <f>"Y76A2B.5"</f>
        <v>Y76A2B.5</v>
      </c>
      <c r="I3759" t="s">
        <v>13798</v>
      </c>
      <c r="J3759" t="s">
        <v>29</v>
      </c>
      <c r="K3759" t="s">
        <v>29</v>
      </c>
      <c r="L3759" t="s">
        <v>29</v>
      </c>
      <c r="M3759">
        <v>13.9838715462572</v>
      </c>
      <c r="N3759">
        <v>13.913838675590799</v>
      </c>
      <c r="O3759">
        <v>12.945968202092001</v>
      </c>
      <c r="P3759" t="s">
        <v>29</v>
      </c>
      <c r="Q3759" t="s">
        <v>29</v>
      </c>
      <c r="R3759" t="s">
        <v>29</v>
      </c>
      <c r="S3759">
        <v>13.6768352645893</v>
      </c>
      <c r="T3759" t="s">
        <v>29</v>
      </c>
      <c r="U3759" t="s">
        <v>29</v>
      </c>
      <c r="V3759" t="s">
        <v>29</v>
      </c>
      <c r="W3759" t="s">
        <v>29</v>
      </c>
      <c r="X3759" t="s">
        <v>29</v>
      </c>
      <c r="Y3759" t="s">
        <v>29</v>
      </c>
    </row>
    <row r="3760" spans="1:25" x14ac:dyDescent="0.2">
      <c r="A3760" t="s">
        <v>13799</v>
      </c>
      <c r="B3760" t="s">
        <v>13800</v>
      </c>
      <c r="C3760" t="s">
        <v>13801</v>
      </c>
      <c r="D3760" t="s">
        <v>8008</v>
      </c>
      <c r="E3760" t="s">
        <v>13800</v>
      </c>
      <c r="F3760" t="s">
        <v>28</v>
      </c>
      <c r="G3760" t="s">
        <v>13800</v>
      </c>
      <c r="H3760" t="str">
        <f>"acs-5"</f>
        <v>acs-5</v>
      </c>
      <c r="I3760" t="s">
        <v>8008</v>
      </c>
      <c r="J3760">
        <v>15.9434467608778</v>
      </c>
      <c r="K3760">
        <v>15.8931886765528</v>
      </c>
      <c r="L3760">
        <v>15.6673889890212</v>
      </c>
      <c r="M3760">
        <v>15.7349825457196</v>
      </c>
      <c r="N3760">
        <v>15.4391252635203</v>
      </c>
      <c r="O3760">
        <v>15.568382782848699</v>
      </c>
      <c r="P3760">
        <v>-0.25384461145438703</v>
      </c>
      <c r="Q3760">
        <v>-0.57317294884993997</v>
      </c>
      <c r="R3760">
        <v>6.5483725941167095E-2</v>
      </c>
      <c r="S3760">
        <v>15.548037213054601</v>
      </c>
      <c r="T3760">
        <v>-1.67079436583048</v>
      </c>
      <c r="U3760">
        <v>-5.69336901548568</v>
      </c>
      <c r="V3760">
        <v>0.112158664887738</v>
      </c>
      <c r="W3760">
        <v>0.34411407745613198</v>
      </c>
      <c r="X3760">
        <v>0</v>
      </c>
      <c r="Y3760">
        <v>0</v>
      </c>
    </row>
    <row r="3761" spans="1:25" x14ac:dyDescent="0.2">
      <c r="A3761" t="s">
        <v>13802</v>
      </c>
      <c r="B3761" t="s">
        <v>13803</v>
      </c>
      <c r="C3761" t="s">
        <v>13804</v>
      </c>
      <c r="D3761" t="s">
        <v>13805</v>
      </c>
      <c r="E3761" t="s">
        <v>13803</v>
      </c>
      <c r="F3761" t="s">
        <v>28</v>
      </c>
      <c r="G3761" t="s">
        <v>13803</v>
      </c>
      <c r="H3761" t="str">
        <f>"eif-2bbeta"</f>
        <v>eif-2bbeta</v>
      </c>
      <c r="I3761" t="s">
        <v>13805</v>
      </c>
      <c r="J3761">
        <v>14.006185892898101</v>
      </c>
      <c r="K3761">
        <v>13.9649065191093</v>
      </c>
      <c r="L3761">
        <v>13.813654785633</v>
      </c>
      <c r="M3761">
        <v>13.892814776516101</v>
      </c>
      <c r="N3761">
        <v>13.9771276437019</v>
      </c>
      <c r="O3761">
        <v>14.1415219054793</v>
      </c>
      <c r="P3761">
        <v>7.5572376018980605E-2</v>
      </c>
      <c r="Q3761">
        <v>-0.34155951053689998</v>
      </c>
      <c r="R3761">
        <v>0.492704262574861</v>
      </c>
      <c r="S3761">
        <v>14.008493811671499</v>
      </c>
      <c r="T3761">
        <v>0.38241921028371501</v>
      </c>
      <c r="U3761">
        <v>-6.97553821962856</v>
      </c>
      <c r="V3761">
        <v>0.706918478481805</v>
      </c>
      <c r="W3761">
        <v>0.86869816049085902</v>
      </c>
      <c r="X3761">
        <v>0</v>
      </c>
      <c r="Y3761">
        <v>0</v>
      </c>
    </row>
    <row r="3762" spans="1:25" x14ac:dyDescent="0.2">
      <c r="A3762" t="s">
        <v>13806</v>
      </c>
      <c r="B3762" t="s">
        <v>13807</v>
      </c>
      <c r="C3762" t="s">
        <v>13808</v>
      </c>
      <c r="D3762" t="s">
        <v>13809</v>
      </c>
      <c r="E3762" t="s">
        <v>13807</v>
      </c>
      <c r="F3762" t="s">
        <v>28</v>
      </c>
      <c r="G3762" t="s">
        <v>13807</v>
      </c>
      <c r="H3762" t="str">
        <f>"dxbp-1"</f>
        <v>dxbp-1</v>
      </c>
      <c r="I3762" t="s">
        <v>13809</v>
      </c>
      <c r="J3762">
        <v>11.199953050854401</v>
      </c>
      <c r="K3762">
        <v>10.793253097176301</v>
      </c>
      <c r="L3762">
        <v>10.9082348420273</v>
      </c>
      <c r="M3762">
        <v>10.5618836626905</v>
      </c>
      <c r="N3762">
        <v>11.7453466812496</v>
      </c>
      <c r="O3762">
        <v>11.0532038016205</v>
      </c>
      <c r="P3762">
        <v>0.15299771850087901</v>
      </c>
      <c r="Q3762">
        <v>-0.48125134758919103</v>
      </c>
      <c r="R3762">
        <v>0.78724678459094999</v>
      </c>
      <c r="S3762">
        <v>11.6738028748219</v>
      </c>
      <c r="T3762">
        <v>0.51447790027623197</v>
      </c>
      <c r="U3762">
        <v>-6.91313482504302</v>
      </c>
      <c r="V3762">
        <v>0.61446667209335404</v>
      </c>
      <c r="W3762">
        <v>0.81837342553970205</v>
      </c>
      <c r="X3762">
        <v>0</v>
      </c>
      <c r="Y3762">
        <v>0</v>
      </c>
    </row>
    <row r="3763" spans="1:25" x14ac:dyDescent="0.2">
      <c r="A3763" t="s">
        <v>13810</v>
      </c>
      <c r="B3763" t="s">
        <v>13811</v>
      </c>
      <c r="C3763" t="s">
        <v>13812</v>
      </c>
      <c r="D3763" t="s">
        <v>13813</v>
      </c>
      <c r="E3763" t="s">
        <v>13811</v>
      </c>
      <c r="F3763" t="s">
        <v>28</v>
      </c>
      <c r="G3763" t="s">
        <v>13811</v>
      </c>
      <c r="H3763" t="str">
        <f>"ndua-2"</f>
        <v>ndua-2</v>
      </c>
      <c r="I3763" t="s">
        <v>13813</v>
      </c>
      <c r="J3763">
        <v>13.0701092770882</v>
      </c>
      <c r="K3763">
        <v>12.8945697490039</v>
      </c>
      <c r="L3763">
        <v>13.4746623960961</v>
      </c>
      <c r="M3763" t="s">
        <v>29</v>
      </c>
      <c r="N3763" t="s">
        <v>29</v>
      </c>
      <c r="O3763">
        <v>12.669595356643001</v>
      </c>
      <c r="P3763">
        <v>-0.47685178408642798</v>
      </c>
      <c r="Q3763">
        <v>-1.2955981172191799</v>
      </c>
      <c r="R3763">
        <v>0.34189454904632499</v>
      </c>
      <c r="S3763">
        <v>13.500344162804099</v>
      </c>
      <c r="T3763">
        <v>-1.2500458328480899</v>
      </c>
      <c r="U3763">
        <v>-5.9276725963433199</v>
      </c>
      <c r="V3763">
        <v>0.23192692354753799</v>
      </c>
      <c r="W3763">
        <v>0.50248606769690096</v>
      </c>
      <c r="X3763">
        <v>0</v>
      </c>
      <c r="Y3763">
        <v>0</v>
      </c>
    </row>
    <row r="3764" spans="1:25" x14ac:dyDescent="0.2">
      <c r="A3764" t="s">
        <v>13814</v>
      </c>
      <c r="B3764" t="s">
        <v>13815</v>
      </c>
      <c r="C3764" t="s">
        <v>13816</v>
      </c>
      <c r="D3764" t="s">
        <v>13817</v>
      </c>
      <c r="E3764" t="s">
        <v>13815</v>
      </c>
      <c r="F3764" t="s">
        <v>28</v>
      </c>
      <c r="G3764" t="s">
        <v>13815</v>
      </c>
      <c r="H3764" t="str">
        <f>"bub-3"</f>
        <v>bub-3</v>
      </c>
      <c r="I3764" t="s">
        <v>13817</v>
      </c>
      <c r="J3764">
        <v>13.587966255736401</v>
      </c>
      <c r="K3764">
        <v>13.705102703223799</v>
      </c>
      <c r="L3764">
        <v>13.5244022323277</v>
      </c>
      <c r="M3764">
        <v>13.107536708109601</v>
      </c>
      <c r="N3764">
        <v>12.7635759337661</v>
      </c>
      <c r="O3764">
        <v>12.754814176279</v>
      </c>
      <c r="P3764">
        <v>-0.73051479104445105</v>
      </c>
      <c r="Q3764">
        <v>-1.4070174866605101</v>
      </c>
      <c r="R3764">
        <v>-5.4012095428391201E-2</v>
      </c>
      <c r="S3764">
        <v>13.2729017954391</v>
      </c>
      <c r="T3764">
        <v>-2.2793420124172998</v>
      </c>
      <c r="U3764">
        <v>-4.6732164162980601</v>
      </c>
      <c r="V3764">
        <v>3.59190291994822E-2</v>
      </c>
      <c r="W3764">
        <v>0.18912705665876201</v>
      </c>
      <c r="X3764">
        <v>0</v>
      </c>
      <c r="Y3764">
        <v>0</v>
      </c>
    </row>
    <row r="3765" spans="1:25" x14ac:dyDescent="0.2">
      <c r="A3765" t="s">
        <v>13818</v>
      </c>
      <c r="B3765" t="s">
        <v>13819</v>
      </c>
      <c r="C3765" t="s">
        <v>14762</v>
      </c>
      <c r="D3765" t="s">
        <v>13820</v>
      </c>
      <c r="E3765" t="s">
        <v>13819</v>
      </c>
      <c r="F3765" t="s">
        <v>28</v>
      </c>
      <c r="G3765" t="s">
        <v>13819</v>
      </c>
      <c r="H3765" t="str">
        <f>"Y54E2A.4"</f>
        <v>Y54E2A.4</v>
      </c>
      <c r="I3765" t="s">
        <v>13820</v>
      </c>
      <c r="J3765">
        <v>13.024820421470301</v>
      </c>
      <c r="K3765">
        <v>13.2954301907925</v>
      </c>
      <c r="L3765">
        <v>13.293840261812701</v>
      </c>
      <c r="M3765">
        <v>13.485384831137701</v>
      </c>
      <c r="N3765">
        <v>13.639153698664201</v>
      </c>
      <c r="O3765">
        <v>13.159097386294199</v>
      </c>
      <c r="P3765">
        <v>0.22318168067352301</v>
      </c>
      <c r="Q3765">
        <v>-0.17924858282474601</v>
      </c>
      <c r="R3765">
        <v>0.625611944171792</v>
      </c>
      <c r="S3765">
        <v>13.4739437589191</v>
      </c>
      <c r="T3765">
        <v>1.1656292147757199</v>
      </c>
      <c r="U3765">
        <v>-6.36597073913918</v>
      </c>
      <c r="V3765">
        <v>0.25906632097425403</v>
      </c>
      <c r="W3765">
        <v>0.535919776509996</v>
      </c>
      <c r="X3765">
        <v>0</v>
      </c>
      <c r="Y3765">
        <v>0</v>
      </c>
    </row>
    <row r="3766" spans="1:25" x14ac:dyDescent="0.2">
      <c r="A3766" t="s">
        <v>13821</v>
      </c>
      <c r="B3766" t="s">
        <v>13822</v>
      </c>
      <c r="C3766" t="s">
        <v>13823</v>
      </c>
      <c r="D3766" t="s">
        <v>178</v>
      </c>
      <c r="E3766" t="s">
        <v>13822</v>
      </c>
      <c r="F3766" t="s">
        <v>28</v>
      </c>
      <c r="G3766" t="s">
        <v>13822</v>
      </c>
      <c r="H3766" t="str">
        <f>"tbc-20"</f>
        <v>tbc-20</v>
      </c>
      <c r="I3766" t="s">
        <v>178</v>
      </c>
      <c r="J3766">
        <v>11.6539265731101</v>
      </c>
      <c r="K3766">
        <v>11.576197153080299</v>
      </c>
      <c r="L3766">
        <v>12.087396150702601</v>
      </c>
      <c r="M3766">
        <v>12.248366871595501</v>
      </c>
      <c r="N3766">
        <v>12.594242308743601</v>
      </c>
      <c r="O3766">
        <v>10.7894515924391</v>
      </c>
      <c r="P3766">
        <v>0.104846965295046</v>
      </c>
      <c r="Q3766">
        <v>-0.74629317804371598</v>
      </c>
      <c r="R3766">
        <v>0.95598710863380798</v>
      </c>
      <c r="S3766">
        <v>11.864937036010399</v>
      </c>
      <c r="T3766">
        <v>0.26439100967264201</v>
      </c>
      <c r="U3766">
        <v>-7.01498882534879</v>
      </c>
      <c r="V3766">
        <v>0.79535984937189896</v>
      </c>
      <c r="W3766">
        <v>0.91517844850619501</v>
      </c>
      <c r="X3766">
        <v>0</v>
      </c>
      <c r="Y3766">
        <v>0</v>
      </c>
    </row>
    <row r="3767" spans="1:25" x14ac:dyDescent="0.2">
      <c r="A3767" t="s">
        <v>13824</v>
      </c>
      <c r="B3767" t="s">
        <v>13825</v>
      </c>
      <c r="C3767" t="s">
        <v>13826</v>
      </c>
      <c r="D3767" t="s">
        <v>13827</v>
      </c>
      <c r="E3767" t="s">
        <v>13825</v>
      </c>
      <c r="F3767" t="s">
        <v>28</v>
      </c>
      <c r="G3767" t="s">
        <v>13825</v>
      </c>
      <c r="H3767" t="str">
        <f>"eif-3.B"</f>
        <v>eif-3.B</v>
      </c>
      <c r="I3767" t="s">
        <v>13827</v>
      </c>
      <c r="J3767">
        <v>15.9313654330929</v>
      </c>
      <c r="K3767">
        <v>15.7129358155362</v>
      </c>
      <c r="L3767">
        <v>15.8782872704454</v>
      </c>
      <c r="M3767">
        <v>15.1997709765089</v>
      </c>
      <c r="N3767">
        <v>15.755760907110201</v>
      </c>
      <c r="O3767">
        <v>15.468775654875101</v>
      </c>
      <c r="P3767">
        <v>-0.36609366019344602</v>
      </c>
      <c r="Q3767">
        <v>-0.77056498697420905</v>
      </c>
      <c r="R3767">
        <v>3.8377666587317699E-2</v>
      </c>
      <c r="S3767">
        <v>15.686472399761101</v>
      </c>
      <c r="T3767">
        <v>-1.90237873008568</v>
      </c>
      <c r="U3767">
        <v>-5.3260224505333902</v>
      </c>
      <c r="V3767">
        <v>7.3340655141243605E-2</v>
      </c>
      <c r="W3767">
        <v>0.27664393101108598</v>
      </c>
      <c r="X3767">
        <v>0</v>
      </c>
      <c r="Y3767">
        <v>0</v>
      </c>
    </row>
    <row r="3768" spans="1:25" x14ac:dyDescent="0.2">
      <c r="A3768" t="s">
        <v>13828</v>
      </c>
      <c r="B3768" t="s">
        <v>13829</v>
      </c>
      <c r="C3768" t="s">
        <v>14763</v>
      </c>
      <c r="D3768" t="s">
        <v>368</v>
      </c>
      <c r="E3768" t="s">
        <v>13829</v>
      </c>
      <c r="F3768" t="s">
        <v>28</v>
      </c>
      <c r="G3768" t="s">
        <v>13829</v>
      </c>
      <c r="H3768" t="str">
        <f>"Y54E2A.7"</f>
        <v>Y54E2A.7</v>
      </c>
      <c r="I3768" t="s">
        <v>368</v>
      </c>
      <c r="J3768">
        <v>13.5160694103709</v>
      </c>
      <c r="K3768">
        <v>11.802297285414401</v>
      </c>
      <c r="L3768">
        <v>13.1409876132213</v>
      </c>
      <c r="M3768" t="s">
        <v>29</v>
      </c>
      <c r="N3768">
        <v>12.0280325156929</v>
      </c>
      <c r="O3768">
        <v>12.690865190835099</v>
      </c>
      <c r="P3768">
        <v>-0.46033591640487398</v>
      </c>
      <c r="Q3768">
        <v>-1.6034349554338001</v>
      </c>
      <c r="R3768">
        <v>0.68276312262404903</v>
      </c>
      <c r="S3768">
        <v>12.604022076045601</v>
      </c>
      <c r="T3768">
        <v>-0.88739850857712999</v>
      </c>
      <c r="U3768">
        <v>-6.5303172572208199</v>
      </c>
      <c r="V3768">
        <v>0.39403222006620597</v>
      </c>
      <c r="W3768">
        <v>0.66954613268691099</v>
      </c>
      <c r="X3768">
        <v>0</v>
      </c>
      <c r="Y3768">
        <v>0</v>
      </c>
    </row>
    <row r="3769" spans="1:25" x14ac:dyDescent="0.2">
      <c r="A3769" t="s">
        <v>13830</v>
      </c>
      <c r="B3769" t="s">
        <v>13831</v>
      </c>
      <c r="C3769" t="s">
        <v>13832</v>
      </c>
      <c r="D3769" t="s">
        <v>13833</v>
      </c>
      <c r="E3769" t="s">
        <v>13831</v>
      </c>
      <c r="F3769" t="s">
        <v>28</v>
      </c>
      <c r="G3769" t="s">
        <v>13831</v>
      </c>
      <c r="H3769" t="str">
        <f>"smg-9"</f>
        <v>smg-9</v>
      </c>
      <c r="I3769" t="s">
        <v>13833</v>
      </c>
      <c r="J3769">
        <v>14.3636001714786</v>
      </c>
      <c r="K3769">
        <v>14.2111746760004</v>
      </c>
      <c r="L3769">
        <v>12.852237543828</v>
      </c>
      <c r="M3769" t="s">
        <v>29</v>
      </c>
      <c r="N3769">
        <v>14.3658012820311</v>
      </c>
      <c r="O3769" t="s">
        <v>29</v>
      </c>
      <c r="P3769">
        <v>0.55679715159540799</v>
      </c>
      <c r="Q3769">
        <v>-0.57887001740792499</v>
      </c>
      <c r="R3769">
        <v>1.69246432059874</v>
      </c>
      <c r="S3769">
        <v>13.6247798784356</v>
      </c>
      <c r="T3769">
        <v>1.0522957751069699</v>
      </c>
      <c r="U3769">
        <v>-6.1467735053479604</v>
      </c>
      <c r="V3769">
        <v>0.310620423233682</v>
      </c>
      <c r="W3769">
        <v>0.58907279301109505</v>
      </c>
      <c r="X3769">
        <v>0</v>
      </c>
      <c r="Y3769">
        <v>0</v>
      </c>
    </row>
    <row r="3770" spans="1:25" x14ac:dyDescent="0.2">
      <c r="A3770" t="s">
        <v>13834</v>
      </c>
      <c r="B3770" t="s">
        <v>13835</v>
      </c>
      <c r="C3770" t="s">
        <v>13836</v>
      </c>
      <c r="D3770" t="s">
        <v>953</v>
      </c>
      <c r="E3770" t="s">
        <v>13835</v>
      </c>
      <c r="F3770" t="s">
        <v>28</v>
      </c>
      <c r="G3770" t="s">
        <v>13835</v>
      </c>
      <c r="H3770" t="str">
        <f>"dus-2"</f>
        <v>dus-2</v>
      </c>
      <c r="I3770" t="s">
        <v>953</v>
      </c>
      <c r="J3770" t="s">
        <v>29</v>
      </c>
      <c r="K3770" t="s">
        <v>29</v>
      </c>
      <c r="L3770" t="s">
        <v>29</v>
      </c>
      <c r="M3770" t="s">
        <v>29</v>
      </c>
      <c r="N3770">
        <v>11.497232989672399</v>
      </c>
      <c r="O3770">
        <v>11.309395341446599</v>
      </c>
      <c r="P3770" t="s">
        <v>29</v>
      </c>
      <c r="Q3770" t="s">
        <v>29</v>
      </c>
      <c r="R3770" t="s">
        <v>29</v>
      </c>
      <c r="S3770">
        <v>12.0361545473076</v>
      </c>
      <c r="T3770" t="s">
        <v>29</v>
      </c>
      <c r="U3770" t="s">
        <v>29</v>
      </c>
      <c r="V3770" t="s">
        <v>29</v>
      </c>
      <c r="W3770" t="s">
        <v>29</v>
      </c>
      <c r="X3770" t="s">
        <v>29</v>
      </c>
      <c r="Y3770" t="s">
        <v>29</v>
      </c>
    </row>
    <row r="3771" spans="1:25" x14ac:dyDescent="0.2">
      <c r="A3771" t="s">
        <v>13837</v>
      </c>
      <c r="B3771" t="s">
        <v>13838</v>
      </c>
      <c r="C3771" t="s">
        <v>14764</v>
      </c>
      <c r="D3771" t="s">
        <v>13839</v>
      </c>
      <c r="E3771" t="s">
        <v>13838</v>
      </c>
      <c r="F3771" t="s">
        <v>28</v>
      </c>
      <c r="G3771" t="s">
        <v>13838</v>
      </c>
      <c r="H3771" t="str">
        <f>"Y54E5A.5"</f>
        <v>Y54E5A.5</v>
      </c>
      <c r="I3771" t="s">
        <v>13839</v>
      </c>
      <c r="J3771">
        <v>11.419921763470899</v>
      </c>
      <c r="K3771">
        <v>10.6068612421028</v>
      </c>
      <c r="L3771">
        <v>11.7415083493027</v>
      </c>
      <c r="M3771" t="s">
        <v>29</v>
      </c>
      <c r="N3771">
        <v>12.084905638814099</v>
      </c>
      <c r="O3771">
        <v>11.801124677025699</v>
      </c>
      <c r="P3771">
        <v>0.68691803962779097</v>
      </c>
      <c r="Q3771">
        <v>-5.8057550806906402E-2</v>
      </c>
      <c r="R3771">
        <v>1.43189363006249</v>
      </c>
      <c r="S3771">
        <v>12.1041221524614</v>
      </c>
      <c r="T3771">
        <v>1.9665476982571299</v>
      </c>
      <c r="U3771">
        <v>-5.1258382435629901</v>
      </c>
      <c r="V3771">
        <v>6.8153907619564996E-2</v>
      </c>
      <c r="W3771">
        <v>0.26496154766315899</v>
      </c>
      <c r="X3771">
        <v>0</v>
      </c>
      <c r="Y3771">
        <v>0</v>
      </c>
    </row>
    <row r="3772" spans="1:25" x14ac:dyDescent="0.2">
      <c r="A3772" t="s">
        <v>13840</v>
      </c>
      <c r="B3772" t="s">
        <v>13841</v>
      </c>
      <c r="C3772" t="s">
        <v>13842</v>
      </c>
      <c r="D3772" t="s">
        <v>689</v>
      </c>
      <c r="E3772" t="s">
        <v>13841</v>
      </c>
      <c r="F3772" t="s">
        <v>28</v>
      </c>
      <c r="G3772" t="s">
        <v>13841</v>
      </c>
      <c r="H3772" t="str">
        <f>"gid-1"</f>
        <v>gid-1</v>
      </c>
      <c r="I3772" t="s">
        <v>689</v>
      </c>
      <c r="J3772" t="s">
        <v>29</v>
      </c>
      <c r="K3772" t="s">
        <v>29</v>
      </c>
      <c r="L3772" t="s">
        <v>29</v>
      </c>
      <c r="M3772">
        <v>11.609227501842501</v>
      </c>
      <c r="N3772" t="s">
        <v>29</v>
      </c>
      <c r="O3772" t="s">
        <v>29</v>
      </c>
      <c r="P3772" t="s">
        <v>29</v>
      </c>
      <c r="Q3772" t="s">
        <v>29</v>
      </c>
      <c r="R3772" t="s">
        <v>29</v>
      </c>
      <c r="S3772">
        <v>11.207380069359401</v>
      </c>
      <c r="T3772" t="s">
        <v>29</v>
      </c>
      <c r="U3772" t="s">
        <v>29</v>
      </c>
      <c r="V3772" t="s">
        <v>29</v>
      </c>
      <c r="W3772" t="s">
        <v>29</v>
      </c>
      <c r="X3772" t="s">
        <v>29</v>
      </c>
      <c r="Y3772" t="s">
        <v>29</v>
      </c>
    </row>
    <row r="3773" spans="1:25" x14ac:dyDescent="0.2">
      <c r="A3773" t="s">
        <v>13843</v>
      </c>
      <c r="B3773" t="s">
        <v>13844</v>
      </c>
      <c r="C3773" t="s">
        <v>14765</v>
      </c>
      <c r="D3773" t="s">
        <v>13845</v>
      </c>
      <c r="E3773" t="s">
        <v>13844</v>
      </c>
      <c r="F3773" t="s">
        <v>28</v>
      </c>
      <c r="G3773" t="s">
        <v>13844</v>
      </c>
      <c r="H3773" t="str">
        <f>"Y48A6C.4"</f>
        <v>Y48A6C.4</v>
      </c>
      <c r="I3773" t="s">
        <v>13845</v>
      </c>
      <c r="J3773">
        <v>12.739308557832</v>
      </c>
      <c r="K3773" t="s">
        <v>29</v>
      </c>
      <c r="L3773">
        <v>12.948661011279199</v>
      </c>
      <c r="M3773">
        <v>11.604169714746</v>
      </c>
      <c r="N3773">
        <v>12.1036629159432</v>
      </c>
      <c r="O3773">
        <v>12.4516661832781</v>
      </c>
      <c r="P3773">
        <v>-0.79081851323313201</v>
      </c>
      <c r="Q3773">
        <v>-1.3505601416297</v>
      </c>
      <c r="R3773">
        <v>-0.231076884836563</v>
      </c>
      <c r="S3773">
        <v>12.904275199924401</v>
      </c>
      <c r="T3773">
        <v>-3.0323624743279201</v>
      </c>
      <c r="U3773">
        <v>-3.2040129643789901</v>
      </c>
      <c r="V3773">
        <v>9.0220152795443993E-3</v>
      </c>
      <c r="W3773">
        <v>8.1323096176281098E-2</v>
      </c>
      <c r="X3773">
        <v>0</v>
      </c>
      <c r="Y3773">
        <v>0</v>
      </c>
    </row>
    <row r="3774" spans="1:25" x14ac:dyDescent="0.2">
      <c r="A3774" t="s">
        <v>13846</v>
      </c>
      <c r="B3774" t="s">
        <v>13847</v>
      </c>
      <c r="C3774" t="s">
        <v>13848</v>
      </c>
      <c r="D3774" t="s">
        <v>130</v>
      </c>
      <c r="E3774" t="s">
        <v>13847</v>
      </c>
      <c r="F3774" t="s">
        <v>28</v>
      </c>
      <c r="G3774" t="s">
        <v>13847</v>
      </c>
      <c r="H3774" t="str">
        <f>"sup-35"</f>
        <v>sup-35</v>
      </c>
      <c r="I3774" t="s">
        <v>130</v>
      </c>
      <c r="J3774">
        <v>10.5316201057394</v>
      </c>
      <c r="K3774">
        <v>11.902569346431701</v>
      </c>
      <c r="L3774">
        <v>12.6154974037903</v>
      </c>
      <c r="M3774" t="s">
        <v>29</v>
      </c>
      <c r="N3774" t="s">
        <v>29</v>
      </c>
      <c r="O3774">
        <v>12.5290042174168</v>
      </c>
      <c r="P3774">
        <v>0.84577526542971204</v>
      </c>
      <c r="Q3774">
        <v>-0.55309668247858901</v>
      </c>
      <c r="R3774">
        <v>2.24464721333801</v>
      </c>
      <c r="S3774">
        <v>13.5468355650469</v>
      </c>
      <c r="T3774">
        <v>1.3072668951139901</v>
      </c>
      <c r="U3774">
        <v>-5.8579511793211099</v>
      </c>
      <c r="V3774">
        <v>0.21395232673035799</v>
      </c>
      <c r="W3774">
        <v>0.48046989039377902</v>
      </c>
      <c r="X3774">
        <v>0</v>
      </c>
      <c r="Y3774">
        <v>0</v>
      </c>
    </row>
    <row r="3775" spans="1:25" x14ac:dyDescent="0.2">
      <c r="A3775" t="s">
        <v>13849</v>
      </c>
      <c r="B3775" t="s">
        <v>13850</v>
      </c>
      <c r="C3775" t="s">
        <v>14766</v>
      </c>
      <c r="D3775" t="s">
        <v>130</v>
      </c>
      <c r="E3775" t="s">
        <v>13850</v>
      </c>
      <c r="F3775" t="s">
        <v>28</v>
      </c>
      <c r="G3775" t="s">
        <v>13850</v>
      </c>
      <c r="H3775" t="str">
        <f>"Y5F2A.4"</f>
        <v>Y5F2A.4</v>
      </c>
      <c r="I3775" t="s">
        <v>130</v>
      </c>
      <c r="J3775" t="s">
        <v>29</v>
      </c>
      <c r="K3775" t="s">
        <v>29</v>
      </c>
      <c r="L3775">
        <v>10.211325425222601</v>
      </c>
      <c r="M3775" t="s">
        <v>29</v>
      </c>
      <c r="N3775" t="s">
        <v>29</v>
      </c>
      <c r="O3775" t="s">
        <v>29</v>
      </c>
      <c r="P3775" t="s">
        <v>29</v>
      </c>
      <c r="Q3775" t="s">
        <v>29</v>
      </c>
      <c r="R3775" t="s">
        <v>29</v>
      </c>
      <c r="S3775">
        <v>11.137058345496101</v>
      </c>
      <c r="T3775" t="s">
        <v>29</v>
      </c>
      <c r="U3775" t="s">
        <v>29</v>
      </c>
      <c r="V3775" t="s">
        <v>29</v>
      </c>
      <c r="W3775" t="s">
        <v>29</v>
      </c>
      <c r="X3775" t="s">
        <v>29</v>
      </c>
      <c r="Y3775" t="s">
        <v>29</v>
      </c>
    </row>
    <row r="3776" spans="1:25" x14ac:dyDescent="0.2">
      <c r="A3776" t="s">
        <v>13851</v>
      </c>
      <c r="B3776" t="s">
        <v>13852</v>
      </c>
      <c r="C3776" t="s">
        <v>14767</v>
      </c>
      <c r="D3776" t="s">
        <v>13853</v>
      </c>
      <c r="E3776" t="s">
        <v>13852</v>
      </c>
      <c r="F3776" t="s">
        <v>28</v>
      </c>
      <c r="G3776" t="s">
        <v>13852</v>
      </c>
      <c r="H3776" t="str">
        <f>"Y38F1A.1"</f>
        <v>Y38F1A.1</v>
      </c>
      <c r="I3776" t="s">
        <v>13853</v>
      </c>
      <c r="J3776">
        <v>14.2268407890439</v>
      </c>
      <c r="K3776">
        <v>12.006841654271399</v>
      </c>
      <c r="L3776">
        <v>11.127544124781201</v>
      </c>
      <c r="M3776" t="s">
        <v>29</v>
      </c>
      <c r="N3776">
        <v>10.963631649161901</v>
      </c>
      <c r="O3776">
        <v>12.8369125901805</v>
      </c>
      <c r="P3776">
        <v>-0.553470069694315</v>
      </c>
      <c r="Q3776">
        <v>-2.6428545559305099</v>
      </c>
      <c r="R3776">
        <v>1.5359144165418801</v>
      </c>
      <c r="S3776">
        <v>12.3627378479007</v>
      </c>
      <c r="T3776">
        <v>-0.57772450220706795</v>
      </c>
      <c r="U3776">
        <v>-6.7646684273437998</v>
      </c>
      <c r="V3776">
        <v>0.57422363102983798</v>
      </c>
      <c r="W3776">
        <v>0.79477826259935802</v>
      </c>
      <c r="X3776">
        <v>0</v>
      </c>
      <c r="Y3776">
        <v>0</v>
      </c>
    </row>
    <row r="3777" spans="1:25" x14ac:dyDescent="0.2">
      <c r="A3777" t="s">
        <v>13854</v>
      </c>
      <c r="B3777" t="s">
        <v>13855</v>
      </c>
      <c r="C3777" t="s">
        <v>13856</v>
      </c>
      <c r="D3777" t="s">
        <v>13857</v>
      </c>
      <c r="E3777" t="s">
        <v>13855</v>
      </c>
      <c r="F3777" t="s">
        <v>28</v>
      </c>
      <c r="G3777" t="s">
        <v>13855</v>
      </c>
      <c r="H3777" t="str">
        <f>"nlp-26"</f>
        <v>nlp-26</v>
      </c>
      <c r="I3777" t="s">
        <v>13857</v>
      </c>
      <c r="J3777">
        <v>11.858911155689601</v>
      </c>
      <c r="K3777">
        <v>13.0380382876096</v>
      </c>
      <c r="L3777">
        <v>12.944622874152</v>
      </c>
      <c r="M3777">
        <v>13.3182564066098</v>
      </c>
      <c r="N3777" t="s">
        <v>29</v>
      </c>
      <c r="O3777">
        <v>12.3733288091147</v>
      </c>
      <c r="P3777">
        <v>0.231935168711875</v>
      </c>
      <c r="Q3777">
        <v>-0.58049238723095498</v>
      </c>
      <c r="R3777">
        <v>1.0443627246547</v>
      </c>
      <c r="S3777">
        <v>13.116402588147601</v>
      </c>
      <c r="T3777">
        <v>0.60886858494160101</v>
      </c>
      <c r="U3777">
        <v>-6.7478605446981499</v>
      </c>
      <c r="V3777">
        <v>0.55178525839773196</v>
      </c>
      <c r="W3777">
        <v>0.78026605923509895</v>
      </c>
      <c r="X3777">
        <v>0</v>
      </c>
      <c r="Y3777">
        <v>0</v>
      </c>
    </row>
    <row r="3778" spans="1:25" x14ac:dyDescent="0.2">
      <c r="A3778" t="s">
        <v>13858</v>
      </c>
      <c r="B3778" t="s">
        <v>13859</v>
      </c>
      <c r="C3778" t="s">
        <v>13860</v>
      </c>
      <c r="D3778" t="s">
        <v>13861</v>
      </c>
      <c r="E3778" t="s">
        <v>13859</v>
      </c>
      <c r="F3778" t="s">
        <v>28</v>
      </c>
      <c r="G3778" t="s">
        <v>13859</v>
      </c>
      <c r="H3778" t="str">
        <f>"ani-3"</f>
        <v>ani-3</v>
      </c>
      <c r="I3778" t="s">
        <v>13861</v>
      </c>
      <c r="J3778" t="s">
        <v>29</v>
      </c>
      <c r="K3778" t="s">
        <v>29</v>
      </c>
      <c r="L3778" t="s">
        <v>29</v>
      </c>
      <c r="M3778" t="s">
        <v>29</v>
      </c>
      <c r="N3778" t="s">
        <v>29</v>
      </c>
      <c r="O3778" t="s">
        <v>29</v>
      </c>
      <c r="P3778" t="s">
        <v>29</v>
      </c>
      <c r="Q3778" t="s">
        <v>29</v>
      </c>
      <c r="R3778" t="s">
        <v>29</v>
      </c>
      <c r="S3778">
        <v>11.607224080393401</v>
      </c>
      <c r="T3778" t="s">
        <v>29</v>
      </c>
      <c r="U3778" t="s">
        <v>29</v>
      </c>
      <c r="V3778" t="s">
        <v>29</v>
      </c>
      <c r="W3778" t="s">
        <v>29</v>
      </c>
      <c r="X3778" t="s">
        <v>29</v>
      </c>
      <c r="Y3778" t="s">
        <v>29</v>
      </c>
    </row>
    <row r="3779" spans="1:25" x14ac:dyDescent="0.2">
      <c r="A3779" t="s">
        <v>13862</v>
      </c>
      <c r="B3779" t="s">
        <v>13863</v>
      </c>
      <c r="C3779" t="s">
        <v>13864</v>
      </c>
      <c r="D3779" t="s">
        <v>4334</v>
      </c>
      <c r="E3779" t="s">
        <v>13863</v>
      </c>
      <c r="F3779" t="s">
        <v>28</v>
      </c>
      <c r="G3779" t="s">
        <v>13863</v>
      </c>
      <c r="H3779" t="str">
        <f>"mrps-28"</f>
        <v>mrps-28</v>
      </c>
      <c r="I3779" t="s">
        <v>4334</v>
      </c>
      <c r="J3779">
        <v>12.912629671047901</v>
      </c>
      <c r="K3779">
        <v>13.053620044723299</v>
      </c>
      <c r="L3779">
        <v>13.4418651056481</v>
      </c>
      <c r="M3779" t="s">
        <v>29</v>
      </c>
      <c r="N3779">
        <v>12.4910918805266</v>
      </c>
      <c r="O3779">
        <v>12.8158727061946</v>
      </c>
      <c r="P3779">
        <v>-0.48255598044579201</v>
      </c>
      <c r="Q3779">
        <v>-1.4094885630445999</v>
      </c>
      <c r="R3779">
        <v>0.444376602153019</v>
      </c>
      <c r="S3779">
        <v>12.921895396457201</v>
      </c>
      <c r="T3779">
        <v>-1.1103020964749499</v>
      </c>
      <c r="U3779">
        <v>-6.3154943385304003</v>
      </c>
      <c r="V3779">
        <v>0.28447205161445599</v>
      </c>
      <c r="W3779">
        <v>0.56479847139968797</v>
      </c>
      <c r="X3779">
        <v>0</v>
      </c>
      <c r="Y3779">
        <v>0</v>
      </c>
    </row>
    <row r="3780" spans="1:25" x14ac:dyDescent="0.2">
      <c r="A3780" t="s">
        <v>13865</v>
      </c>
      <c r="B3780" t="s">
        <v>13866</v>
      </c>
      <c r="C3780" t="s">
        <v>13867</v>
      </c>
      <c r="D3780" t="s">
        <v>13868</v>
      </c>
      <c r="E3780" t="s">
        <v>13866</v>
      </c>
      <c r="F3780" t="s">
        <v>28</v>
      </c>
      <c r="G3780" t="s">
        <v>13866</v>
      </c>
      <c r="H3780" t="str">
        <f>"spr-5"</f>
        <v>spr-5</v>
      </c>
      <c r="I3780" t="s">
        <v>13868</v>
      </c>
      <c r="J3780">
        <v>12.6505443376623</v>
      </c>
      <c r="K3780">
        <v>12.8773020598112</v>
      </c>
      <c r="L3780">
        <v>12.4602239094224</v>
      </c>
      <c r="M3780">
        <v>13.0410806517572</v>
      </c>
      <c r="N3780">
        <v>12.8533064917775</v>
      </c>
      <c r="O3780">
        <v>12.9027082358746</v>
      </c>
      <c r="P3780">
        <v>0.26967502417116201</v>
      </c>
      <c r="Q3780">
        <v>-0.149636745879523</v>
      </c>
      <c r="R3780">
        <v>0.68898679422184705</v>
      </c>
      <c r="S3780">
        <v>12.767958613045399</v>
      </c>
      <c r="T3780">
        <v>1.36412196811874</v>
      </c>
      <c r="U3780">
        <v>-6.1241293714395297</v>
      </c>
      <c r="V3780">
        <v>0.191534364787282</v>
      </c>
      <c r="W3780">
        <v>0.45360467468545601</v>
      </c>
      <c r="X3780">
        <v>0</v>
      </c>
      <c r="Y3780">
        <v>0</v>
      </c>
    </row>
    <row r="3781" spans="1:25" x14ac:dyDescent="0.2">
      <c r="A3781" t="s">
        <v>13869</v>
      </c>
      <c r="B3781" t="s">
        <v>13870</v>
      </c>
      <c r="C3781" t="s">
        <v>13871</v>
      </c>
      <c r="D3781" t="s">
        <v>13872</v>
      </c>
      <c r="E3781" t="s">
        <v>13870</v>
      </c>
      <c r="F3781" t="s">
        <v>28</v>
      </c>
      <c r="G3781" t="s">
        <v>13870</v>
      </c>
      <c r="H3781" t="str">
        <f>"eif-3.j"</f>
        <v>eif-3.j</v>
      </c>
      <c r="I3781" t="s">
        <v>13872</v>
      </c>
      <c r="J3781" t="s">
        <v>29</v>
      </c>
      <c r="K3781" t="s">
        <v>29</v>
      </c>
      <c r="L3781">
        <v>12.9093909402731</v>
      </c>
      <c r="M3781">
        <v>14.6298305409356</v>
      </c>
      <c r="N3781">
        <v>14.435767786360399</v>
      </c>
      <c r="O3781">
        <v>14.4460119028265</v>
      </c>
      <c r="P3781">
        <v>1.5944791364344499</v>
      </c>
      <c r="Q3781">
        <v>3.2971079528035102E-2</v>
      </c>
      <c r="R3781">
        <v>3.1559871933408701</v>
      </c>
      <c r="S3781">
        <v>13.884050055004201</v>
      </c>
      <c r="T3781">
        <v>2.2269969591710401</v>
      </c>
      <c r="U3781">
        <v>-4.5012893204277997</v>
      </c>
      <c r="V3781">
        <v>4.6043465169079402E-2</v>
      </c>
      <c r="W3781">
        <v>0.21288574976334501</v>
      </c>
      <c r="X3781">
        <v>1</v>
      </c>
      <c r="Y3781">
        <v>0</v>
      </c>
    </row>
    <row r="3782" spans="1:25" x14ac:dyDescent="0.2">
      <c r="A3782" t="s">
        <v>13873</v>
      </c>
      <c r="B3782" t="s">
        <v>13874</v>
      </c>
      <c r="C3782" t="s">
        <v>14768</v>
      </c>
      <c r="D3782" t="s">
        <v>2611</v>
      </c>
      <c r="E3782" t="s">
        <v>13874</v>
      </c>
      <c r="F3782" t="s">
        <v>28</v>
      </c>
      <c r="G3782" t="s">
        <v>13874</v>
      </c>
      <c r="H3782" t="str">
        <f>"Y11D7A.3"</f>
        <v>Y11D7A.3</v>
      </c>
      <c r="I3782" t="s">
        <v>2611</v>
      </c>
      <c r="J3782" t="s">
        <v>29</v>
      </c>
      <c r="K3782" t="s">
        <v>29</v>
      </c>
      <c r="L3782" t="s">
        <v>29</v>
      </c>
      <c r="M3782" t="s">
        <v>29</v>
      </c>
      <c r="N3782" t="s">
        <v>29</v>
      </c>
      <c r="O3782" t="s">
        <v>29</v>
      </c>
      <c r="P3782" t="s">
        <v>29</v>
      </c>
      <c r="Q3782" t="s">
        <v>29</v>
      </c>
      <c r="R3782" t="s">
        <v>29</v>
      </c>
      <c r="S3782">
        <v>12.5440718298366</v>
      </c>
      <c r="T3782" t="s">
        <v>29</v>
      </c>
      <c r="U3782" t="s">
        <v>29</v>
      </c>
      <c r="V3782" t="s">
        <v>29</v>
      </c>
      <c r="W3782" t="s">
        <v>29</v>
      </c>
      <c r="X3782" t="s">
        <v>29</v>
      </c>
      <c r="Y3782" t="s">
        <v>29</v>
      </c>
    </row>
    <row r="3783" spans="1:25" x14ac:dyDescent="0.2">
      <c r="A3783" t="s">
        <v>13875</v>
      </c>
      <c r="B3783" t="s">
        <v>13876</v>
      </c>
      <c r="C3783" t="s">
        <v>13877</v>
      </c>
      <c r="D3783" t="s">
        <v>13878</v>
      </c>
      <c r="E3783" t="s">
        <v>13876</v>
      </c>
      <c r="F3783" t="s">
        <v>28</v>
      </c>
      <c r="G3783" t="s">
        <v>13876</v>
      </c>
      <c r="H3783" t="str">
        <f>"sec-8"</f>
        <v>sec-8</v>
      </c>
      <c r="I3783" t="s">
        <v>13878</v>
      </c>
      <c r="J3783">
        <v>13.367431040219399</v>
      </c>
      <c r="K3783">
        <v>12.4680722631626</v>
      </c>
      <c r="L3783">
        <v>12.879313860893699</v>
      </c>
      <c r="M3783">
        <v>13.3558126601474</v>
      </c>
      <c r="N3783">
        <v>13.146586177122201</v>
      </c>
      <c r="O3783">
        <v>13.0107004594388</v>
      </c>
      <c r="P3783">
        <v>0.26609404414423199</v>
      </c>
      <c r="Q3783">
        <v>-0.16838609122399001</v>
      </c>
      <c r="R3783">
        <v>0.70057417951245404</v>
      </c>
      <c r="S3783">
        <v>13.051203502019099</v>
      </c>
      <c r="T3783">
        <v>1.2927520707672899</v>
      </c>
      <c r="U3783">
        <v>-6.2146068338591798</v>
      </c>
      <c r="V3783">
        <v>0.21349697301218501</v>
      </c>
      <c r="W3783">
        <v>0.480109986303836</v>
      </c>
      <c r="X3783">
        <v>0</v>
      </c>
      <c r="Y3783">
        <v>0</v>
      </c>
    </row>
    <row r="3784" spans="1:25" x14ac:dyDescent="0.2">
      <c r="A3784" t="s">
        <v>13879</v>
      </c>
      <c r="B3784" t="s">
        <v>13880</v>
      </c>
      <c r="C3784" t="s">
        <v>13881</v>
      </c>
      <c r="D3784" t="s">
        <v>13882</v>
      </c>
      <c r="E3784" t="s">
        <v>13880</v>
      </c>
      <c r="F3784" t="s">
        <v>28</v>
      </c>
      <c r="G3784" t="s">
        <v>13880</v>
      </c>
      <c r="H3784" t="str">
        <f>"rpl-30"</f>
        <v>rpl-30</v>
      </c>
      <c r="I3784" t="s">
        <v>13882</v>
      </c>
      <c r="J3784">
        <v>17.799642523922302</v>
      </c>
      <c r="K3784">
        <v>17.476068818290301</v>
      </c>
      <c r="L3784">
        <v>17.870106889279899</v>
      </c>
      <c r="M3784">
        <v>17.292725791477402</v>
      </c>
      <c r="N3784">
        <v>17.046864550441502</v>
      </c>
      <c r="O3784">
        <v>17.455023422116199</v>
      </c>
      <c r="P3784">
        <v>-0.45040148915245098</v>
      </c>
      <c r="Q3784">
        <v>-0.87957481813185001</v>
      </c>
      <c r="R3784">
        <v>-2.12281601730521E-2</v>
      </c>
      <c r="S3784">
        <v>17.332335314340501</v>
      </c>
      <c r="T3784">
        <v>-2.20576685264676</v>
      </c>
      <c r="U3784">
        <v>-4.7987953723356904</v>
      </c>
      <c r="V3784">
        <v>4.07195428826038E-2</v>
      </c>
      <c r="W3784">
        <v>0.19955028996986901</v>
      </c>
      <c r="X3784">
        <v>0</v>
      </c>
      <c r="Y3784">
        <v>0</v>
      </c>
    </row>
    <row r="3785" spans="1:25" x14ac:dyDescent="0.2">
      <c r="A3785" t="s">
        <v>13883</v>
      </c>
      <c r="B3785" t="s">
        <v>13884</v>
      </c>
      <c r="C3785" t="s">
        <v>14769</v>
      </c>
      <c r="D3785" t="s">
        <v>13885</v>
      </c>
      <c r="E3785" t="s">
        <v>13884</v>
      </c>
      <c r="F3785" t="s">
        <v>28</v>
      </c>
      <c r="G3785" t="s">
        <v>13884</v>
      </c>
      <c r="H3785" t="str">
        <f>"Y62H9A.5"</f>
        <v>Y62H9A.5</v>
      </c>
      <c r="I3785" t="s">
        <v>13885</v>
      </c>
      <c r="J3785">
        <v>15.162815901431101</v>
      </c>
      <c r="K3785">
        <v>14.173107880833999</v>
      </c>
      <c r="L3785">
        <v>15.585455593338899</v>
      </c>
      <c r="M3785">
        <v>15.6394197705048</v>
      </c>
      <c r="N3785">
        <v>14.792450763224601</v>
      </c>
      <c r="O3785">
        <v>15.078654595437101</v>
      </c>
      <c r="P3785">
        <v>0.19638191785414899</v>
      </c>
      <c r="Q3785">
        <v>-0.78642536598958301</v>
      </c>
      <c r="R3785">
        <v>1.17918920169788</v>
      </c>
      <c r="S3785">
        <v>15.097280169555001</v>
      </c>
      <c r="T3785">
        <v>0.41997713220555499</v>
      </c>
      <c r="U3785">
        <v>-6.9601075597867599</v>
      </c>
      <c r="V3785">
        <v>0.67950151930765901</v>
      </c>
      <c r="W3785">
        <v>0.85722167970248597</v>
      </c>
      <c r="X3785">
        <v>0</v>
      </c>
      <c r="Y3785">
        <v>0</v>
      </c>
    </row>
    <row r="3786" spans="1:25" x14ac:dyDescent="0.2">
      <c r="A3786" t="s">
        <v>13886</v>
      </c>
      <c r="B3786" t="s">
        <v>13887</v>
      </c>
      <c r="C3786" t="s">
        <v>13888</v>
      </c>
      <c r="D3786" t="s">
        <v>8032</v>
      </c>
      <c r="E3786" t="s">
        <v>13887</v>
      </c>
      <c r="F3786" t="s">
        <v>28</v>
      </c>
      <c r="G3786" t="s">
        <v>13887</v>
      </c>
      <c r="H3786" t="str">
        <f>"ule-5"</f>
        <v>ule-5</v>
      </c>
      <c r="I3786" t="s">
        <v>8032</v>
      </c>
      <c r="J3786">
        <v>14.351963029499201</v>
      </c>
      <c r="K3786">
        <v>14.127970309983301</v>
      </c>
      <c r="L3786">
        <v>15.0862210066387</v>
      </c>
      <c r="M3786">
        <v>15.1292324702454</v>
      </c>
      <c r="N3786">
        <v>14.753839786894</v>
      </c>
      <c r="O3786">
        <v>14.435333029403701</v>
      </c>
      <c r="P3786">
        <v>0.25075031347395099</v>
      </c>
      <c r="Q3786">
        <v>-0.81703708645490702</v>
      </c>
      <c r="R3786">
        <v>1.31853771340281</v>
      </c>
      <c r="S3786">
        <v>14.801037906915299</v>
      </c>
      <c r="T3786">
        <v>0.49357051287234199</v>
      </c>
      <c r="U3786">
        <v>-6.9252858253997696</v>
      </c>
      <c r="V3786">
        <v>0.62761244443771502</v>
      </c>
      <c r="W3786">
        <v>0.82821066286859402</v>
      </c>
      <c r="X3786">
        <v>0</v>
      </c>
      <c r="Y3786">
        <v>0</v>
      </c>
    </row>
    <row r="3787" spans="1:25" x14ac:dyDescent="0.2">
      <c r="A3787" t="s">
        <v>13889</v>
      </c>
      <c r="B3787" t="s">
        <v>13890</v>
      </c>
      <c r="C3787" t="s">
        <v>14770</v>
      </c>
      <c r="D3787" t="s">
        <v>13891</v>
      </c>
      <c r="E3787" t="s">
        <v>13890</v>
      </c>
      <c r="F3787" t="s">
        <v>28</v>
      </c>
      <c r="G3787" t="s">
        <v>13890</v>
      </c>
      <c r="H3787" t="str">
        <f>"Y62H9A.3"</f>
        <v>Y62H9A.3</v>
      </c>
      <c r="I3787" t="s">
        <v>13891</v>
      </c>
      <c r="J3787">
        <v>15.7295624577444</v>
      </c>
      <c r="K3787">
        <v>15.142768752868101</v>
      </c>
      <c r="L3787">
        <v>15.820283662281</v>
      </c>
      <c r="M3787">
        <v>14.952914585234</v>
      </c>
      <c r="N3787">
        <v>15.4093496683554</v>
      </c>
      <c r="O3787">
        <v>14.8378644263344</v>
      </c>
      <c r="P3787">
        <v>-0.49749539765654699</v>
      </c>
      <c r="Q3787">
        <v>-1.3412526186132701</v>
      </c>
      <c r="R3787">
        <v>0.34626182330018201</v>
      </c>
      <c r="S3787">
        <v>15.2242755485518</v>
      </c>
      <c r="T3787">
        <v>-1.23926469668316</v>
      </c>
      <c r="U3787">
        <v>-6.2801608123683801</v>
      </c>
      <c r="V3787">
        <v>0.23125537123818701</v>
      </c>
      <c r="W3787">
        <v>0.50198681651640198</v>
      </c>
      <c r="X3787">
        <v>0</v>
      </c>
      <c r="Y3787">
        <v>0</v>
      </c>
    </row>
    <row r="3788" spans="1:25" x14ac:dyDescent="0.2">
      <c r="A3788" t="s">
        <v>13892</v>
      </c>
      <c r="B3788" t="s">
        <v>13893</v>
      </c>
      <c r="C3788" t="s">
        <v>13894</v>
      </c>
      <c r="D3788" t="s">
        <v>13895</v>
      </c>
      <c r="E3788" t="s">
        <v>13893</v>
      </c>
      <c r="F3788" t="s">
        <v>28</v>
      </c>
      <c r="G3788" t="s">
        <v>13893</v>
      </c>
      <c r="H3788" t="str">
        <f>"epg-3"</f>
        <v>epg-3</v>
      </c>
      <c r="I3788" t="s">
        <v>13895</v>
      </c>
      <c r="J3788">
        <v>15.9467604678778</v>
      </c>
      <c r="K3788">
        <v>16.061049532766599</v>
      </c>
      <c r="L3788">
        <v>15.993368736939299</v>
      </c>
      <c r="M3788">
        <v>15.530838768599599</v>
      </c>
      <c r="N3788">
        <v>15.517969121994501</v>
      </c>
      <c r="O3788">
        <v>15.529574939710299</v>
      </c>
      <c r="P3788">
        <v>-0.47426530242642601</v>
      </c>
      <c r="Q3788">
        <v>-0.87660315176269299</v>
      </c>
      <c r="R3788">
        <v>-7.1927453090159493E-2</v>
      </c>
      <c r="S3788">
        <v>15.973459378030601</v>
      </c>
      <c r="T3788">
        <v>-2.47755312473224</v>
      </c>
      <c r="U3788">
        <v>-4.2896180139381999</v>
      </c>
      <c r="V3788">
        <v>2.3436940365195599E-2</v>
      </c>
      <c r="W3788">
        <v>0.149244234732577</v>
      </c>
      <c r="X3788">
        <v>0</v>
      </c>
      <c r="Y3788">
        <v>0</v>
      </c>
    </row>
    <row r="3789" spans="1:25" x14ac:dyDescent="0.2">
      <c r="A3789" t="s">
        <v>13896</v>
      </c>
      <c r="B3789" t="s">
        <v>13897</v>
      </c>
      <c r="C3789" t="s">
        <v>13898</v>
      </c>
      <c r="D3789" t="s">
        <v>13899</v>
      </c>
      <c r="E3789" t="s">
        <v>13897</v>
      </c>
      <c r="F3789" t="s">
        <v>28</v>
      </c>
      <c r="G3789" t="s">
        <v>13897</v>
      </c>
      <c r="H3789" t="str">
        <f>"npp-25"</f>
        <v>npp-25</v>
      </c>
      <c r="I3789" t="s">
        <v>13899</v>
      </c>
      <c r="J3789">
        <v>16.067380784717201</v>
      </c>
      <c r="K3789">
        <v>16.1284535219575</v>
      </c>
      <c r="L3789">
        <v>16.2807652042552</v>
      </c>
      <c r="M3789">
        <v>15.578131504595801</v>
      </c>
      <c r="N3789">
        <v>15.447697193794999</v>
      </c>
      <c r="O3789">
        <v>15.385968595114001</v>
      </c>
      <c r="P3789">
        <v>-0.68826740580843204</v>
      </c>
      <c r="Q3789">
        <v>-1.04804973776355</v>
      </c>
      <c r="R3789">
        <v>-0.32848507385331199</v>
      </c>
      <c r="S3789">
        <v>16.155331526098699</v>
      </c>
      <c r="T3789">
        <v>-4.0207760465995301</v>
      </c>
      <c r="U3789">
        <v>-1.0336642343409199</v>
      </c>
      <c r="V3789">
        <v>8.1004672251469296E-4</v>
      </c>
      <c r="W3789">
        <v>1.57837846410947E-2</v>
      </c>
      <c r="X3789">
        <v>0</v>
      </c>
      <c r="Y3789">
        <v>0</v>
      </c>
    </row>
    <row r="3790" spans="1:25" x14ac:dyDescent="0.2">
      <c r="A3790" t="s">
        <v>13900</v>
      </c>
      <c r="B3790" t="s">
        <v>13901</v>
      </c>
      <c r="C3790" t="s">
        <v>13902</v>
      </c>
      <c r="D3790" t="s">
        <v>13903</v>
      </c>
      <c r="E3790" t="s">
        <v>13901</v>
      </c>
      <c r="F3790" t="s">
        <v>28</v>
      </c>
      <c r="G3790" t="s">
        <v>13901</v>
      </c>
      <c r="H3790" t="str">
        <f>"Y37D8A.2"</f>
        <v>Y37D8A.2</v>
      </c>
      <c r="I3790" t="s">
        <v>13903</v>
      </c>
      <c r="J3790">
        <v>14.372880953955301</v>
      </c>
      <c r="K3790">
        <v>15.0379210998918</v>
      </c>
      <c r="L3790">
        <v>14.3187789488489</v>
      </c>
      <c r="M3790">
        <v>14.4586219223283</v>
      </c>
      <c r="N3790">
        <v>14.927050468098299</v>
      </c>
      <c r="O3790">
        <v>15.122708715089001</v>
      </c>
      <c r="P3790">
        <v>0.25960003427320899</v>
      </c>
      <c r="Q3790">
        <v>-0.451894636022795</v>
      </c>
      <c r="R3790">
        <v>0.97109470456921299</v>
      </c>
      <c r="S3790">
        <v>13.5109611048213</v>
      </c>
      <c r="T3790">
        <v>0.77016381027247005</v>
      </c>
      <c r="U3790">
        <v>-6.7456513044916804</v>
      </c>
      <c r="V3790">
        <v>0.451838131616628</v>
      </c>
      <c r="W3790">
        <v>0.71916404320163896</v>
      </c>
      <c r="X3790">
        <v>0</v>
      </c>
      <c r="Y3790">
        <v>0</v>
      </c>
    </row>
    <row r="3791" spans="1:25" x14ac:dyDescent="0.2">
      <c r="A3791" t="s">
        <v>13904</v>
      </c>
      <c r="B3791" t="s">
        <v>13905</v>
      </c>
      <c r="C3791" t="s">
        <v>13906</v>
      </c>
      <c r="D3791" t="s">
        <v>93</v>
      </c>
      <c r="E3791" t="s">
        <v>13905</v>
      </c>
      <c r="F3791" t="s">
        <v>28</v>
      </c>
      <c r="G3791" t="s">
        <v>13905</v>
      </c>
      <c r="H3791" t="str">
        <f>"rbm-7"</f>
        <v>rbm-7</v>
      </c>
      <c r="I3791" t="s">
        <v>93</v>
      </c>
      <c r="J3791">
        <v>13.2995235832816</v>
      </c>
      <c r="K3791">
        <v>13.524346945822799</v>
      </c>
      <c r="L3791">
        <v>14.1768699306546</v>
      </c>
      <c r="M3791">
        <v>13.707398618270901</v>
      </c>
      <c r="N3791">
        <v>13.5798268326862</v>
      </c>
      <c r="O3791">
        <v>13.840575860562399</v>
      </c>
      <c r="P3791">
        <v>4.2353617253461102E-2</v>
      </c>
      <c r="Q3791">
        <v>-0.67358795211521305</v>
      </c>
      <c r="R3791">
        <v>0.75829518662213602</v>
      </c>
      <c r="S3791">
        <v>14.2274505264987</v>
      </c>
      <c r="T3791">
        <v>0.124871388650662</v>
      </c>
      <c r="U3791">
        <v>-7.0438929988642203</v>
      </c>
      <c r="V3791">
        <v>0.90209912319418295</v>
      </c>
      <c r="W3791">
        <v>0.96643632699099002</v>
      </c>
      <c r="X3791">
        <v>0</v>
      </c>
      <c r="Y3791">
        <v>0</v>
      </c>
    </row>
    <row r="3792" spans="1:25" x14ac:dyDescent="0.2">
      <c r="A3792" t="s">
        <v>13907</v>
      </c>
      <c r="B3792" t="s">
        <v>13908</v>
      </c>
      <c r="C3792" t="s">
        <v>13909</v>
      </c>
      <c r="D3792" t="s">
        <v>3680</v>
      </c>
      <c r="E3792" t="s">
        <v>13908</v>
      </c>
      <c r="F3792" t="s">
        <v>28</v>
      </c>
      <c r="G3792" t="s">
        <v>13908</v>
      </c>
      <c r="H3792" t="str">
        <f>"cec-7"</f>
        <v>cec-7</v>
      </c>
      <c r="I3792" t="s">
        <v>3680</v>
      </c>
      <c r="J3792" t="s">
        <v>29</v>
      </c>
      <c r="K3792" t="s">
        <v>29</v>
      </c>
      <c r="L3792" t="s">
        <v>29</v>
      </c>
      <c r="M3792">
        <v>14.6204916570451</v>
      </c>
      <c r="N3792" t="s">
        <v>29</v>
      </c>
      <c r="O3792" t="s">
        <v>29</v>
      </c>
      <c r="P3792" t="s">
        <v>29</v>
      </c>
      <c r="Q3792" t="s">
        <v>29</v>
      </c>
      <c r="R3792" t="s">
        <v>29</v>
      </c>
      <c r="S3792">
        <v>15.216069002962699</v>
      </c>
      <c r="T3792" t="s">
        <v>29</v>
      </c>
      <c r="U3792" t="s">
        <v>29</v>
      </c>
      <c r="V3792" t="s">
        <v>29</v>
      </c>
      <c r="W3792" t="s">
        <v>29</v>
      </c>
      <c r="X3792" t="s">
        <v>29</v>
      </c>
      <c r="Y3792" t="s">
        <v>29</v>
      </c>
    </row>
    <row r="3793" spans="1:25" x14ac:dyDescent="0.2">
      <c r="A3793" t="s">
        <v>13910</v>
      </c>
      <c r="B3793" t="s">
        <v>13911</v>
      </c>
      <c r="C3793" t="s">
        <v>13912</v>
      </c>
      <c r="D3793" t="s">
        <v>2783</v>
      </c>
      <c r="E3793" t="s">
        <v>13911</v>
      </c>
      <c r="F3793" t="s">
        <v>28</v>
      </c>
      <c r="G3793" t="s">
        <v>13911</v>
      </c>
      <c r="H3793" t="str">
        <f>"acdh-11"</f>
        <v>acdh-11</v>
      </c>
      <c r="I3793" t="s">
        <v>2783</v>
      </c>
      <c r="J3793">
        <v>11.7107368600391</v>
      </c>
      <c r="K3793">
        <v>11.738140164395</v>
      </c>
      <c r="L3793">
        <v>12.7087209106488</v>
      </c>
      <c r="M3793" t="s">
        <v>29</v>
      </c>
      <c r="N3793">
        <v>13.4075883953243</v>
      </c>
      <c r="O3793">
        <v>11.4441564753431</v>
      </c>
      <c r="P3793">
        <v>0.373339790306073</v>
      </c>
      <c r="Q3793">
        <v>-0.81959304239887698</v>
      </c>
      <c r="R3793">
        <v>1.56627262301102</v>
      </c>
      <c r="S3793">
        <v>12.141538798494301</v>
      </c>
      <c r="T3793">
        <v>0.67170747346023996</v>
      </c>
      <c r="U3793">
        <v>-6.7056594353367602</v>
      </c>
      <c r="V3793">
        <v>0.51278372459272203</v>
      </c>
      <c r="W3793">
        <v>0.76053261901594305</v>
      </c>
      <c r="X3793">
        <v>0</v>
      </c>
      <c r="Y3793">
        <v>0</v>
      </c>
    </row>
    <row r="3794" spans="1:25" x14ac:dyDescent="0.2">
      <c r="A3794" t="s">
        <v>13913</v>
      </c>
      <c r="B3794" t="s">
        <v>13914</v>
      </c>
      <c r="C3794" t="s">
        <v>13915</v>
      </c>
      <c r="D3794" t="s">
        <v>13916</v>
      </c>
      <c r="E3794" t="s">
        <v>13914</v>
      </c>
      <c r="F3794" t="s">
        <v>28</v>
      </c>
      <c r="G3794" t="s">
        <v>13914</v>
      </c>
      <c r="H3794" t="str">
        <f>"sbp-1"</f>
        <v>sbp-1</v>
      </c>
      <c r="I3794" t="s">
        <v>13916</v>
      </c>
      <c r="J3794">
        <v>14.1184257245121</v>
      </c>
      <c r="K3794">
        <v>14.054243713131999</v>
      </c>
      <c r="L3794">
        <v>13.7595637768237</v>
      </c>
      <c r="M3794">
        <v>14.251901619285601</v>
      </c>
      <c r="N3794">
        <v>13.9382768273415</v>
      </c>
      <c r="O3794">
        <v>13.814556285723301</v>
      </c>
      <c r="P3794">
        <v>2.41671726275836E-2</v>
      </c>
      <c r="Q3794">
        <v>-0.34099980434210497</v>
      </c>
      <c r="R3794">
        <v>0.38933414959727197</v>
      </c>
      <c r="S3794">
        <v>13.974016768112101</v>
      </c>
      <c r="T3794">
        <v>0.13909991391207499</v>
      </c>
      <c r="U3794">
        <v>-7.0419519640109902</v>
      </c>
      <c r="V3794">
        <v>0.89092466717576002</v>
      </c>
      <c r="W3794">
        <v>0.96108441898279395</v>
      </c>
      <c r="X3794">
        <v>0</v>
      </c>
      <c r="Y3794">
        <v>0</v>
      </c>
    </row>
    <row r="3795" spans="1:25" x14ac:dyDescent="0.2">
      <c r="A3795" t="s">
        <v>13917</v>
      </c>
      <c r="B3795" t="s">
        <v>13918</v>
      </c>
      <c r="C3795" t="s">
        <v>14771</v>
      </c>
      <c r="D3795" t="s">
        <v>13919</v>
      </c>
      <c r="E3795" t="s">
        <v>13918</v>
      </c>
      <c r="F3795" t="s">
        <v>28</v>
      </c>
      <c r="G3795" t="s">
        <v>13918</v>
      </c>
      <c r="H3795" t="str">
        <f>"Y39A1A.22"</f>
        <v>Y39A1A.22</v>
      </c>
      <c r="I3795" t="s">
        <v>13919</v>
      </c>
      <c r="J3795">
        <v>12.9398061781989</v>
      </c>
      <c r="K3795">
        <v>12.7826316004675</v>
      </c>
      <c r="L3795">
        <v>12.791251070250899</v>
      </c>
      <c r="M3795">
        <v>12.1979888108074</v>
      </c>
      <c r="N3795">
        <v>12.708324518230301</v>
      </c>
      <c r="O3795">
        <v>12.2758906329959</v>
      </c>
      <c r="P3795">
        <v>-0.44382829562791798</v>
      </c>
      <c r="Q3795">
        <v>-1.11900856422263</v>
      </c>
      <c r="R3795">
        <v>0.231351972966793</v>
      </c>
      <c r="S3795">
        <v>12.4899843437654</v>
      </c>
      <c r="T3795">
        <v>-1.3875391881866099</v>
      </c>
      <c r="U3795">
        <v>-6.0939880424237796</v>
      </c>
      <c r="V3795">
        <v>0.183308237841696</v>
      </c>
      <c r="W3795">
        <v>0.44680524789279302</v>
      </c>
      <c r="X3795">
        <v>0</v>
      </c>
      <c r="Y3795">
        <v>0</v>
      </c>
    </row>
    <row r="3796" spans="1:25" x14ac:dyDescent="0.2">
      <c r="A3796" t="s">
        <v>13920</v>
      </c>
      <c r="B3796" t="s">
        <v>13921</v>
      </c>
      <c r="C3796" t="s">
        <v>13922</v>
      </c>
      <c r="D3796" t="s">
        <v>13923</v>
      </c>
      <c r="E3796" t="s">
        <v>13921</v>
      </c>
      <c r="F3796" t="s">
        <v>28</v>
      </c>
      <c r="G3796" t="s">
        <v>13921</v>
      </c>
      <c r="H3796" t="str">
        <f>"cnt-2"</f>
        <v>cnt-2</v>
      </c>
      <c r="I3796" t="s">
        <v>13923</v>
      </c>
      <c r="J3796">
        <v>12.785266272621699</v>
      </c>
      <c r="K3796">
        <v>12.9785410599317</v>
      </c>
      <c r="L3796">
        <v>13.1822814937786</v>
      </c>
      <c r="M3796">
        <v>13.1283231548848</v>
      </c>
      <c r="N3796">
        <v>12.367148585526699</v>
      </c>
      <c r="O3796">
        <v>13.146274855087499</v>
      </c>
      <c r="P3796">
        <v>-0.101447410277681</v>
      </c>
      <c r="Q3796">
        <v>-0.57833838948572003</v>
      </c>
      <c r="R3796">
        <v>0.37544356893035902</v>
      </c>
      <c r="S3796">
        <v>13.1988802829402</v>
      </c>
      <c r="T3796">
        <v>-0.44902639486422102</v>
      </c>
      <c r="U3796">
        <v>-6.9467233501664296</v>
      </c>
      <c r="V3796">
        <v>0.65911897328372604</v>
      </c>
      <c r="W3796">
        <v>0.84643062778646405</v>
      </c>
      <c r="X3796">
        <v>0</v>
      </c>
      <c r="Y3796">
        <v>0</v>
      </c>
    </row>
    <row r="3797" spans="1:25" x14ac:dyDescent="0.2">
      <c r="A3797" t="s">
        <v>13924</v>
      </c>
      <c r="B3797" t="s">
        <v>13925</v>
      </c>
      <c r="C3797" t="s">
        <v>13926</v>
      </c>
      <c r="D3797" t="s">
        <v>13927</v>
      </c>
      <c r="E3797" t="s">
        <v>13925</v>
      </c>
      <c r="F3797" t="s">
        <v>28</v>
      </c>
      <c r="G3797" t="s">
        <v>13925</v>
      </c>
      <c r="H3797" t="str">
        <f>"Y39A1A.14"</f>
        <v>Y39A1A.14</v>
      </c>
      <c r="I3797" t="s">
        <v>13927</v>
      </c>
      <c r="J3797">
        <v>15.304536260876301</v>
      </c>
      <c r="K3797">
        <v>15.214794600547901</v>
      </c>
      <c r="L3797">
        <v>15.039621801652</v>
      </c>
      <c r="M3797">
        <v>15.399888448200301</v>
      </c>
      <c r="N3797">
        <v>15.2395656257006</v>
      </c>
      <c r="O3797">
        <v>15.083601272927901</v>
      </c>
      <c r="P3797">
        <v>5.47008945842027E-2</v>
      </c>
      <c r="Q3797">
        <v>-0.296635008724357</v>
      </c>
      <c r="R3797">
        <v>0.40603679789276198</v>
      </c>
      <c r="S3797">
        <v>14.835104775088199</v>
      </c>
      <c r="T3797">
        <v>0.32723851190214698</v>
      </c>
      <c r="U3797">
        <v>-6.9961355295702496</v>
      </c>
      <c r="V3797">
        <v>0.74728444626992596</v>
      </c>
      <c r="W3797">
        <v>0.89235361033480298</v>
      </c>
      <c r="X3797">
        <v>0</v>
      </c>
      <c r="Y3797">
        <v>0</v>
      </c>
    </row>
    <row r="3798" spans="1:25" x14ac:dyDescent="0.2">
      <c r="A3798" t="s">
        <v>13928</v>
      </c>
      <c r="B3798" t="s">
        <v>13929</v>
      </c>
      <c r="C3798" t="s">
        <v>13930</v>
      </c>
      <c r="D3798" t="s">
        <v>13931</v>
      </c>
      <c r="E3798" t="s">
        <v>13929</v>
      </c>
      <c r="F3798" t="s">
        <v>28</v>
      </c>
      <c r="G3798" t="s">
        <v>13929</v>
      </c>
      <c r="H3798" t="str">
        <f>"orc-1"</f>
        <v>orc-1</v>
      </c>
      <c r="I3798" t="s">
        <v>13931</v>
      </c>
      <c r="J3798" t="s">
        <v>29</v>
      </c>
      <c r="K3798" t="s">
        <v>29</v>
      </c>
      <c r="L3798" t="s">
        <v>29</v>
      </c>
      <c r="M3798" t="s">
        <v>29</v>
      </c>
      <c r="N3798" t="s">
        <v>29</v>
      </c>
      <c r="O3798" t="s">
        <v>29</v>
      </c>
      <c r="P3798" t="s">
        <v>29</v>
      </c>
      <c r="Q3798" t="s">
        <v>29</v>
      </c>
      <c r="R3798" t="s">
        <v>29</v>
      </c>
      <c r="S3798">
        <v>10.779063099665199</v>
      </c>
      <c r="T3798" t="s">
        <v>29</v>
      </c>
      <c r="U3798" t="s">
        <v>29</v>
      </c>
      <c r="V3798" t="s">
        <v>29</v>
      </c>
      <c r="W3798" t="s">
        <v>29</v>
      </c>
      <c r="X3798" t="s">
        <v>29</v>
      </c>
      <c r="Y3798" t="s">
        <v>29</v>
      </c>
    </row>
    <row r="3799" spans="1:25" x14ac:dyDescent="0.2">
      <c r="A3799" t="s">
        <v>13932</v>
      </c>
      <c r="B3799" t="s">
        <v>13933</v>
      </c>
      <c r="C3799" t="s">
        <v>13934</v>
      </c>
      <c r="D3799" t="s">
        <v>13935</v>
      </c>
      <c r="E3799" t="s">
        <v>13933</v>
      </c>
      <c r="F3799" t="s">
        <v>28</v>
      </c>
      <c r="G3799" t="s">
        <v>13933</v>
      </c>
      <c r="H3799" t="str">
        <f>"mrpl-22"</f>
        <v>mrpl-22</v>
      </c>
      <c r="I3799" t="s">
        <v>13935</v>
      </c>
      <c r="J3799">
        <v>12.710917462088601</v>
      </c>
      <c r="K3799">
        <v>12.677276100201301</v>
      </c>
      <c r="L3799">
        <v>12.9137897515683</v>
      </c>
      <c r="M3799">
        <v>12.1008017430858</v>
      </c>
      <c r="N3799" t="s">
        <v>29</v>
      </c>
      <c r="O3799">
        <v>11.987513938542</v>
      </c>
      <c r="P3799">
        <v>-0.72316993047221201</v>
      </c>
      <c r="Q3799">
        <v>-1.45870395618346</v>
      </c>
      <c r="R3799">
        <v>1.23640952390363E-2</v>
      </c>
      <c r="S3799">
        <v>12.636676624654701</v>
      </c>
      <c r="T3799">
        <v>-2.0853892078443699</v>
      </c>
      <c r="U3799">
        <v>-4.9195845583339004</v>
      </c>
      <c r="V3799">
        <v>5.3519757054274801E-2</v>
      </c>
      <c r="W3799">
        <v>0.23097253243317001</v>
      </c>
      <c r="X3799">
        <v>0</v>
      </c>
      <c r="Y3799">
        <v>0</v>
      </c>
    </row>
    <row r="3800" spans="1:25" x14ac:dyDescent="0.2">
      <c r="A3800" t="s">
        <v>13936</v>
      </c>
      <c r="B3800" t="s">
        <v>13937</v>
      </c>
      <c r="C3800" t="s">
        <v>14772</v>
      </c>
      <c r="D3800" t="s">
        <v>368</v>
      </c>
      <c r="E3800" t="s">
        <v>13937</v>
      </c>
      <c r="F3800" t="s">
        <v>28</v>
      </c>
      <c r="G3800" t="s">
        <v>13937</v>
      </c>
      <c r="H3800" t="str">
        <f>"Y39A1A.20"</f>
        <v>Y39A1A.20</v>
      </c>
      <c r="I3800" t="s">
        <v>368</v>
      </c>
      <c r="J3800">
        <v>9.6680691105133008</v>
      </c>
      <c r="K3800" t="s">
        <v>29</v>
      </c>
      <c r="L3800">
        <v>10.730568718456199</v>
      </c>
      <c r="M3800" t="s">
        <v>29</v>
      </c>
      <c r="N3800" t="s">
        <v>29</v>
      </c>
      <c r="O3800" t="s">
        <v>29</v>
      </c>
      <c r="P3800" t="s">
        <v>29</v>
      </c>
      <c r="Q3800" t="s">
        <v>29</v>
      </c>
      <c r="R3800" t="s">
        <v>29</v>
      </c>
      <c r="S3800">
        <v>10.847603266339499</v>
      </c>
      <c r="T3800" t="s">
        <v>29</v>
      </c>
      <c r="U3800" t="s">
        <v>29</v>
      </c>
      <c r="V3800" t="s">
        <v>29</v>
      </c>
      <c r="W3800" t="s">
        <v>29</v>
      </c>
      <c r="X3800" t="s">
        <v>29</v>
      </c>
      <c r="Y3800" t="s">
        <v>29</v>
      </c>
    </row>
    <row r="3801" spans="1:25" x14ac:dyDescent="0.2">
      <c r="A3801" t="s">
        <v>13938</v>
      </c>
      <c r="B3801" t="s">
        <v>13939</v>
      </c>
      <c r="C3801" t="s">
        <v>14773</v>
      </c>
      <c r="D3801" t="s">
        <v>3358</v>
      </c>
      <c r="E3801" t="s">
        <v>13939</v>
      </c>
      <c r="F3801" t="s">
        <v>28</v>
      </c>
      <c r="G3801" t="s">
        <v>13939</v>
      </c>
      <c r="H3801" t="str">
        <f>"Y32B12B.2"</f>
        <v>Y32B12B.2</v>
      </c>
      <c r="I3801" t="s">
        <v>3358</v>
      </c>
      <c r="J3801">
        <v>12.178352580731101</v>
      </c>
      <c r="K3801">
        <v>12.212138313710501</v>
      </c>
      <c r="L3801">
        <v>12.7114479719007</v>
      </c>
      <c r="M3801">
        <v>12.503765447512199</v>
      </c>
      <c r="N3801">
        <v>12.947402557994501</v>
      </c>
      <c r="O3801">
        <v>12.317010240357</v>
      </c>
      <c r="P3801">
        <v>0.22207979317381499</v>
      </c>
      <c r="Q3801">
        <v>-0.293366565028366</v>
      </c>
      <c r="R3801">
        <v>0.73752615137599697</v>
      </c>
      <c r="S3801">
        <v>13.161170286561299</v>
      </c>
      <c r="T3801">
        <v>0.91385038383322204</v>
      </c>
      <c r="U3801">
        <v>-6.6227804216344301</v>
      </c>
      <c r="V3801">
        <v>0.374449862521476</v>
      </c>
      <c r="W3801">
        <v>0.65048184635139705</v>
      </c>
      <c r="X3801">
        <v>0</v>
      </c>
      <c r="Y3801">
        <v>0</v>
      </c>
    </row>
    <row r="3802" spans="1:25" x14ac:dyDescent="0.2">
      <c r="A3802" t="s">
        <v>13940</v>
      </c>
      <c r="B3802" t="s">
        <v>13941</v>
      </c>
      <c r="C3802" t="s">
        <v>13942</v>
      </c>
      <c r="D3802" t="s">
        <v>11887</v>
      </c>
      <c r="E3802" t="s">
        <v>13941</v>
      </c>
      <c r="F3802" t="s">
        <v>28</v>
      </c>
      <c r="G3802" t="s">
        <v>13941</v>
      </c>
      <c r="H3802" t="str">
        <f>"ebp-2"</f>
        <v>ebp-2</v>
      </c>
      <c r="I3802" t="s">
        <v>11887</v>
      </c>
      <c r="J3802">
        <v>12.397434139368499</v>
      </c>
      <c r="K3802" t="s">
        <v>29</v>
      </c>
      <c r="L3802">
        <v>12.6083232260464</v>
      </c>
      <c r="M3802" t="s">
        <v>29</v>
      </c>
      <c r="N3802">
        <v>10.880169238614499</v>
      </c>
      <c r="O3802">
        <v>11.277725853367899</v>
      </c>
      <c r="P3802">
        <v>-1.4239311367162399</v>
      </c>
      <c r="Q3802">
        <v>-2.1172863719039001</v>
      </c>
      <c r="R3802">
        <v>-0.73057590152856799</v>
      </c>
      <c r="S3802">
        <v>12.387172123084801</v>
      </c>
      <c r="T3802">
        <v>-4.40783247709457</v>
      </c>
      <c r="U3802">
        <v>-0.44991116414142401</v>
      </c>
      <c r="V3802">
        <v>6.0618001659411096E-4</v>
      </c>
      <c r="W3802">
        <v>1.25149620518713E-2</v>
      </c>
      <c r="X3802">
        <v>-1</v>
      </c>
      <c r="Y3802">
        <v>-1</v>
      </c>
    </row>
    <row r="3803" spans="1:25" x14ac:dyDescent="0.2">
      <c r="A3803" t="s">
        <v>13943</v>
      </c>
      <c r="B3803" t="s">
        <v>13944</v>
      </c>
      <c r="C3803" t="s">
        <v>13945</v>
      </c>
      <c r="D3803" t="s">
        <v>13946</v>
      </c>
      <c r="E3803" t="s">
        <v>13944</v>
      </c>
      <c r="F3803" t="s">
        <v>28</v>
      </c>
      <c r="G3803" t="s">
        <v>13944</v>
      </c>
      <c r="H3803" t="str">
        <f>"exos-1"</f>
        <v>exos-1</v>
      </c>
      <c r="I3803" t="s">
        <v>13946</v>
      </c>
      <c r="J3803">
        <v>14.3121346076758</v>
      </c>
      <c r="K3803">
        <v>14.239170927059901</v>
      </c>
      <c r="L3803">
        <v>14.0998776531603</v>
      </c>
      <c r="M3803">
        <v>13.961892838348801</v>
      </c>
      <c r="N3803">
        <v>14.464539805647201</v>
      </c>
      <c r="O3803">
        <v>14.1452402114172</v>
      </c>
      <c r="P3803">
        <v>-2.6503444160933799E-2</v>
      </c>
      <c r="Q3803">
        <v>-0.41737654845059702</v>
      </c>
      <c r="R3803">
        <v>0.36436966012872901</v>
      </c>
      <c r="S3803">
        <v>13.967339031047301</v>
      </c>
      <c r="T3803">
        <v>-0.142514495580394</v>
      </c>
      <c r="U3803">
        <v>-7.0414485886548697</v>
      </c>
      <c r="V3803">
        <v>0.88826596384058598</v>
      </c>
      <c r="W3803">
        <v>0.96044497490135705</v>
      </c>
      <c r="X3803">
        <v>0</v>
      </c>
      <c r="Y3803">
        <v>0</v>
      </c>
    </row>
    <row r="3804" spans="1:25" x14ac:dyDescent="0.2">
      <c r="A3804" t="s">
        <v>13947</v>
      </c>
      <c r="B3804" t="s">
        <v>13948</v>
      </c>
      <c r="C3804" t="s">
        <v>13949</v>
      </c>
      <c r="D3804" t="s">
        <v>13950</v>
      </c>
      <c r="E3804" t="s">
        <v>13948</v>
      </c>
      <c r="F3804" t="s">
        <v>28</v>
      </c>
      <c r="G3804" t="s">
        <v>13948</v>
      </c>
      <c r="H3804" t="str">
        <f>"Y48A6B.3"</f>
        <v>Y48A6B.3</v>
      </c>
      <c r="I3804" t="s">
        <v>13950</v>
      </c>
      <c r="J3804">
        <v>14.9633314452939</v>
      </c>
      <c r="K3804">
        <v>14.434426351986399</v>
      </c>
      <c r="L3804">
        <v>15.121882272838</v>
      </c>
      <c r="M3804">
        <v>14.688493917339899</v>
      </c>
      <c r="N3804">
        <v>14.475355948317301</v>
      </c>
      <c r="O3804">
        <v>14.9168998026423</v>
      </c>
      <c r="P3804">
        <v>-0.14629680060629899</v>
      </c>
      <c r="Q3804">
        <v>-0.55294873820974699</v>
      </c>
      <c r="R3804">
        <v>0.26035513699714902</v>
      </c>
      <c r="S3804">
        <v>14.7348951069187</v>
      </c>
      <c r="T3804">
        <v>-0.75614397452862303</v>
      </c>
      <c r="U3804">
        <v>-6.7571726415072098</v>
      </c>
      <c r="V3804">
        <v>0.45940197348237599</v>
      </c>
      <c r="W3804">
        <v>0.72567670956876296</v>
      </c>
      <c r="X3804">
        <v>0</v>
      </c>
      <c r="Y3804">
        <v>0</v>
      </c>
    </row>
    <row r="3805" spans="1:25" x14ac:dyDescent="0.2">
      <c r="A3805" t="s">
        <v>13951</v>
      </c>
      <c r="B3805" t="s">
        <v>13952</v>
      </c>
      <c r="C3805" t="s">
        <v>13953</v>
      </c>
      <c r="D3805" t="s">
        <v>13954</v>
      </c>
      <c r="E3805" t="s">
        <v>13952</v>
      </c>
      <c r="F3805" t="s">
        <v>28</v>
      </c>
      <c r="G3805" t="s">
        <v>13952</v>
      </c>
      <c r="H3805" t="str">
        <f>"oxi-1"</f>
        <v>oxi-1</v>
      </c>
      <c r="I3805" t="s">
        <v>13954</v>
      </c>
      <c r="J3805" t="s">
        <v>29</v>
      </c>
      <c r="K3805" t="s">
        <v>29</v>
      </c>
      <c r="L3805">
        <v>11.5328536150083</v>
      </c>
      <c r="M3805" t="s">
        <v>29</v>
      </c>
      <c r="N3805" t="s">
        <v>29</v>
      </c>
      <c r="O3805" t="s">
        <v>29</v>
      </c>
      <c r="P3805" t="s">
        <v>29</v>
      </c>
      <c r="Q3805" t="s">
        <v>29</v>
      </c>
      <c r="R3805" t="s">
        <v>29</v>
      </c>
      <c r="S3805">
        <v>12.291236915736301</v>
      </c>
      <c r="T3805" t="s">
        <v>29</v>
      </c>
      <c r="U3805" t="s">
        <v>29</v>
      </c>
      <c r="V3805" t="s">
        <v>29</v>
      </c>
      <c r="W3805" t="s">
        <v>29</v>
      </c>
      <c r="X3805" t="s">
        <v>29</v>
      </c>
      <c r="Y3805" t="s">
        <v>29</v>
      </c>
    </row>
    <row r="3806" spans="1:25" x14ac:dyDescent="0.2">
      <c r="A3806" t="s">
        <v>13955</v>
      </c>
      <c r="B3806" t="s">
        <v>13956</v>
      </c>
      <c r="C3806" t="s">
        <v>14774</v>
      </c>
      <c r="D3806" t="s">
        <v>13957</v>
      </c>
      <c r="E3806" t="s">
        <v>13956</v>
      </c>
      <c r="F3806" t="s">
        <v>28</v>
      </c>
      <c r="G3806" t="s">
        <v>13956</v>
      </c>
      <c r="H3806" t="str">
        <f>"Y17G7B.17"</f>
        <v>Y17G7B.17</v>
      </c>
      <c r="I3806" t="s">
        <v>13957</v>
      </c>
      <c r="J3806">
        <v>13.276190424464801</v>
      </c>
      <c r="K3806">
        <v>12.953578128775201</v>
      </c>
      <c r="L3806">
        <v>12.135557815695201</v>
      </c>
      <c r="M3806" t="s">
        <v>29</v>
      </c>
      <c r="N3806" t="s">
        <v>29</v>
      </c>
      <c r="O3806" t="s">
        <v>29</v>
      </c>
      <c r="P3806" t="s">
        <v>29</v>
      </c>
      <c r="Q3806" t="s">
        <v>29</v>
      </c>
      <c r="R3806" t="s">
        <v>29</v>
      </c>
      <c r="S3806">
        <v>12.858592343952401</v>
      </c>
      <c r="T3806" t="s">
        <v>29</v>
      </c>
      <c r="U3806" t="s">
        <v>29</v>
      </c>
      <c r="V3806" t="s">
        <v>29</v>
      </c>
      <c r="W3806" t="s">
        <v>29</v>
      </c>
      <c r="X3806" t="s">
        <v>29</v>
      </c>
      <c r="Y3806" t="s">
        <v>29</v>
      </c>
    </row>
    <row r="3807" spans="1:25" x14ac:dyDescent="0.2">
      <c r="A3807" t="s">
        <v>13958</v>
      </c>
      <c r="B3807" t="s">
        <v>13959</v>
      </c>
      <c r="C3807" t="s">
        <v>13960</v>
      </c>
      <c r="D3807" t="s">
        <v>13961</v>
      </c>
      <c r="E3807" t="s">
        <v>13959</v>
      </c>
      <c r="F3807" t="s">
        <v>28</v>
      </c>
      <c r="G3807" t="s">
        <v>13959</v>
      </c>
      <c r="H3807" t="str">
        <f>"cnt-1"</f>
        <v>cnt-1</v>
      </c>
      <c r="I3807" t="s">
        <v>13961</v>
      </c>
      <c r="J3807">
        <v>11.490376201206701</v>
      </c>
      <c r="K3807">
        <v>11.9478749160194</v>
      </c>
      <c r="L3807">
        <v>11.6996731371656</v>
      </c>
      <c r="M3807" t="s">
        <v>29</v>
      </c>
      <c r="N3807">
        <v>11.919430842344999</v>
      </c>
      <c r="O3807">
        <v>11.698467571504599</v>
      </c>
      <c r="P3807">
        <v>9.6307788794206303E-2</v>
      </c>
      <c r="Q3807">
        <v>-0.38651504203012998</v>
      </c>
      <c r="R3807">
        <v>0.57913061961854295</v>
      </c>
      <c r="S3807">
        <v>11.9781937134148</v>
      </c>
      <c r="T3807">
        <v>0.42541737108348299</v>
      </c>
      <c r="U3807">
        <v>-6.8463333142806899</v>
      </c>
      <c r="V3807">
        <v>0.67661493248568805</v>
      </c>
      <c r="W3807">
        <v>0.85541145012261999</v>
      </c>
      <c r="X3807">
        <v>0</v>
      </c>
      <c r="Y3807">
        <v>0</v>
      </c>
    </row>
    <row r="3808" spans="1:25" x14ac:dyDescent="0.2">
      <c r="A3808" t="s">
        <v>13962</v>
      </c>
      <c r="B3808" t="s">
        <v>13963</v>
      </c>
      <c r="C3808" t="s">
        <v>14775</v>
      </c>
      <c r="D3808" t="s">
        <v>13964</v>
      </c>
      <c r="E3808" t="s">
        <v>13963</v>
      </c>
      <c r="F3808" t="s">
        <v>28</v>
      </c>
      <c r="G3808" t="s">
        <v>13963</v>
      </c>
      <c r="H3808" t="str">
        <f>"Y17G7B.12"</f>
        <v>Y17G7B.12</v>
      </c>
      <c r="I3808" t="s">
        <v>13964</v>
      </c>
      <c r="J3808">
        <v>10.9750029049047</v>
      </c>
      <c r="K3808">
        <v>11.027454577831</v>
      </c>
      <c r="L3808">
        <v>11.134318280758199</v>
      </c>
      <c r="M3808" t="s">
        <v>29</v>
      </c>
      <c r="N3808">
        <v>11.7286412367823</v>
      </c>
      <c r="O3808">
        <v>11.9771858912596</v>
      </c>
      <c r="P3808">
        <v>0.807321642856344</v>
      </c>
      <c r="Q3808">
        <v>-0.55131346430086703</v>
      </c>
      <c r="R3808">
        <v>2.1659567500135601</v>
      </c>
      <c r="S3808">
        <v>11.345416241392501</v>
      </c>
      <c r="T3808">
        <v>1.2753684097498199</v>
      </c>
      <c r="U3808">
        <v>-6.1249680109060796</v>
      </c>
      <c r="V3808">
        <v>0.22309003437314201</v>
      </c>
      <c r="W3808">
        <v>0.49082824330642699</v>
      </c>
      <c r="X3808">
        <v>0</v>
      </c>
      <c r="Y3808">
        <v>0</v>
      </c>
    </row>
    <row r="3809" spans="1:25" x14ac:dyDescent="0.2">
      <c r="A3809" t="s">
        <v>13965</v>
      </c>
      <c r="B3809" t="s">
        <v>13966</v>
      </c>
      <c r="C3809" t="s">
        <v>13967</v>
      </c>
      <c r="D3809" t="s">
        <v>13968</v>
      </c>
      <c r="E3809" t="s">
        <v>13966</v>
      </c>
      <c r="F3809" t="s">
        <v>28</v>
      </c>
      <c r="G3809" t="s">
        <v>13966</v>
      </c>
      <c r="H3809" t="str">
        <f>"mcm-2"</f>
        <v>mcm-2</v>
      </c>
      <c r="I3809" t="s">
        <v>13968</v>
      </c>
      <c r="J3809">
        <v>15.371256251876099</v>
      </c>
      <c r="K3809">
        <v>15.4351198593773</v>
      </c>
      <c r="L3809">
        <v>15.534679479992199</v>
      </c>
      <c r="M3809">
        <v>15.403746470663901</v>
      </c>
      <c r="N3809">
        <v>16.083247503227401</v>
      </c>
      <c r="O3809">
        <v>15.4260875886633</v>
      </c>
      <c r="P3809">
        <v>0.19067532376969301</v>
      </c>
      <c r="Q3809">
        <v>-0.20831333657019799</v>
      </c>
      <c r="R3809">
        <v>0.58966398410958298</v>
      </c>
      <c r="S3809">
        <v>15.4553352014665</v>
      </c>
      <c r="T3809">
        <v>1.0044456744940999</v>
      </c>
      <c r="U3809">
        <v>-6.5378254917179701</v>
      </c>
      <c r="V3809">
        <v>0.32855347336424401</v>
      </c>
      <c r="W3809">
        <v>0.60848776455734299</v>
      </c>
      <c r="X3809">
        <v>0</v>
      </c>
      <c r="Y3809">
        <v>0</v>
      </c>
    </row>
    <row r="3810" spans="1:25" x14ac:dyDescent="0.2">
      <c r="A3810" t="s">
        <v>13969</v>
      </c>
      <c r="B3810" t="s">
        <v>13970</v>
      </c>
      <c r="C3810" t="s">
        <v>13971</v>
      </c>
      <c r="D3810" t="s">
        <v>13972</v>
      </c>
      <c r="E3810" t="s">
        <v>13970</v>
      </c>
      <c r="F3810" t="s">
        <v>28</v>
      </c>
      <c r="G3810" t="s">
        <v>13970</v>
      </c>
      <c r="H3810" t="str">
        <f>"atp-1"</f>
        <v>atp-1</v>
      </c>
      <c r="I3810" t="s">
        <v>13972</v>
      </c>
      <c r="J3810">
        <v>20.716976783114301</v>
      </c>
      <c r="K3810">
        <v>20.524841077926698</v>
      </c>
      <c r="L3810">
        <v>20.446142249478999</v>
      </c>
      <c r="M3810">
        <v>20.369365136992201</v>
      </c>
      <c r="N3810">
        <v>20.2338474632922</v>
      </c>
      <c r="O3810">
        <v>20.361372414007501</v>
      </c>
      <c r="P3810">
        <v>-0.241125032076074</v>
      </c>
      <c r="Q3810">
        <v>-0.61818944690004296</v>
      </c>
      <c r="R3810">
        <v>0.13593938274789599</v>
      </c>
      <c r="S3810">
        <v>20.3160625490328</v>
      </c>
      <c r="T3810">
        <v>-1.3440618786315901</v>
      </c>
      <c r="U3810">
        <v>-6.1504879955136298</v>
      </c>
      <c r="V3810">
        <v>0.195721773523784</v>
      </c>
      <c r="W3810">
        <v>0.45657835652040002</v>
      </c>
      <c r="X3810">
        <v>0</v>
      </c>
      <c r="Y3810">
        <v>0</v>
      </c>
    </row>
    <row r="3811" spans="1:25" x14ac:dyDescent="0.2">
      <c r="A3811" t="s">
        <v>13973</v>
      </c>
      <c r="B3811" t="s">
        <v>13974</v>
      </c>
      <c r="C3811" t="s">
        <v>13975</v>
      </c>
      <c r="D3811" t="s">
        <v>13976</v>
      </c>
      <c r="E3811" t="s">
        <v>13974</v>
      </c>
      <c r="F3811" t="s">
        <v>28</v>
      </c>
      <c r="G3811" t="s">
        <v>13974</v>
      </c>
      <c r="H3811" t="str">
        <f>"tram-1"</f>
        <v>tram-1</v>
      </c>
      <c r="I3811" t="s">
        <v>13976</v>
      </c>
      <c r="J3811">
        <v>15.2289719559804</v>
      </c>
      <c r="K3811">
        <v>15.517232802418</v>
      </c>
      <c r="L3811">
        <v>16.005146595171901</v>
      </c>
      <c r="M3811">
        <v>15.0465732022928</v>
      </c>
      <c r="N3811">
        <v>14.6218697611452</v>
      </c>
      <c r="O3811">
        <v>15.003782768013</v>
      </c>
      <c r="P3811">
        <v>-0.69304187403974604</v>
      </c>
      <c r="Q3811">
        <v>-1.1781167405673401</v>
      </c>
      <c r="R3811">
        <v>-0.207967007512152</v>
      </c>
      <c r="S3811">
        <v>16.0961982679001</v>
      </c>
      <c r="T3811">
        <v>-3.0029162221408998</v>
      </c>
      <c r="U3811">
        <v>-3.2317417978592302</v>
      </c>
      <c r="V3811">
        <v>7.6731484257859701E-3</v>
      </c>
      <c r="W3811">
        <v>7.2372246311616095E-2</v>
      </c>
      <c r="X3811">
        <v>0</v>
      </c>
      <c r="Y3811">
        <v>0</v>
      </c>
    </row>
    <row r="3812" spans="1:25" x14ac:dyDescent="0.2">
      <c r="A3812" t="s">
        <v>13977</v>
      </c>
      <c r="B3812" t="s">
        <v>13978</v>
      </c>
      <c r="C3812" t="s">
        <v>14776</v>
      </c>
      <c r="D3812" t="s">
        <v>13979</v>
      </c>
      <c r="E3812" t="s">
        <v>13978</v>
      </c>
      <c r="F3812" t="s">
        <v>28</v>
      </c>
      <c r="G3812" t="s">
        <v>13978</v>
      </c>
      <c r="H3812" t="str">
        <f>"ZK1025.3"</f>
        <v>ZK1025.3</v>
      </c>
      <c r="I3812" t="s">
        <v>13979</v>
      </c>
      <c r="J3812">
        <v>11.5895583588897</v>
      </c>
      <c r="K3812" t="s">
        <v>29</v>
      </c>
      <c r="L3812">
        <v>11.784714111048499</v>
      </c>
      <c r="M3812" t="s">
        <v>29</v>
      </c>
      <c r="N3812" t="s">
        <v>29</v>
      </c>
      <c r="O3812" t="s">
        <v>29</v>
      </c>
      <c r="P3812" t="s">
        <v>29</v>
      </c>
      <c r="Q3812" t="s">
        <v>29</v>
      </c>
      <c r="R3812" t="s">
        <v>29</v>
      </c>
      <c r="S3812">
        <v>11.638564581637199</v>
      </c>
      <c r="T3812" t="s">
        <v>29</v>
      </c>
      <c r="U3812" t="s">
        <v>29</v>
      </c>
      <c r="V3812" t="s">
        <v>29</v>
      </c>
      <c r="W3812" t="s">
        <v>29</v>
      </c>
      <c r="X3812" t="s">
        <v>29</v>
      </c>
      <c r="Y3812" t="s">
        <v>29</v>
      </c>
    </row>
    <row r="3813" spans="1:25" x14ac:dyDescent="0.2">
      <c r="A3813" t="s">
        <v>13980</v>
      </c>
      <c r="B3813" t="s">
        <v>13981</v>
      </c>
      <c r="C3813" t="s">
        <v>13982</v>
      </c>
      <c r="D3813" t="s">
        <v>13983</v>
      </c>
      <c r="E3813" t="s">
        <v>13981</v>
      </c>
      <c r="F3813" t="s">
        <v>28</v>
      </c>
      <c r="G3813" t="s">
        <v>13981</v>
      </c>
      <c r="H3813" t="str">
        <f>"pus-1"</f>
        <v>pus-1</v>
      </c>
      <c r="I3813" t="s">
        <v>13983</v>
      </c>
      <c r="J3813" t="s">
        <v>29</v>
      </c>
      <c r="K3813">
        <v>11.0049286819161</v>
      </c>
      <c r="L3813">
        <v>10.816839278202</v>
      </c>
      <c r="M3813" t="s">
        <v>29</v>
      </c>
      <c r="N3813">
        <v>10.434997292171699</v>
      </c>
      <c r="O3813">
        <v>12.1816697639873</v>
      </c>
      <c r="P3813">
        <v>0.39744954802045901</v>
      </c>
      <c r="Q3813">
        <v>-0.78298535797155</v>
      </c>
      <c r="R3813">
        <v>1.5778844540124699</v>
      </c>
      <c r="S3813">
        <v>12.0126027228875</v>
      </c>
      <c r="T3813">
        <v>0.72265640615918803</v>
      </c>
      <c r="U3813">
        <v>-6.5794814792418501</v>
      </c>
      <c r="V3813">
        <v>0.48187807097602398</v>
      </c>
      <c r="W3813">
        <v>0.73976710642658505</v>
      </c>
      <c r="X3813">
        <v>0</v>
      </c>
      <c r="Y3813">
        <v>0</v>
      </c>
    </row>
    <row r="3814" spans="1:25" x14ac:dyDescent="0.2">
      <c r="A3814" t="s">
        <v>13984</v>
      </c>
      <c r="B3814" t="s">
        <v>13985</v>
      </c>
      <c r="C3814" t="s">
        <v>13986</v>
      </c>
      <c r="D3814" t="s">
        <v>13987</v>
      </c>
      <c r="E3814" t="s">
        <v>13985</v>
      </c>
      <c r="F3814" t="s">
        <v>28</v>
      </c>
      <c r="G3814" t="s">
        <v>13985</v>
      </c>
      <c r="H3814" t="str">
        <f>"immt-2"</f>
        <v>immt-2</v>
      </c>
      <c r="I3814" t="s">
        <v>13987</v>
      </c>
      <c r="J3814">
        <v>12.2795031576649</v>
      </c>
      <c r="K3814">
        <v>12.067175803219801</v>
      </c>
      <c r="L3814">
        <v>12.4753333035047</v>
      </c>
      <c r="M3814" t="s">
        <v>29</v>
      </c>
      <c r="N3814">
        <v>12.890742423687</v>
      </c>
      <c r="O3814">
        <v>12.055790807741101</v>
      </c>
      <c r="P3814">
        <v>0.19926252758424201</v>
      </c>
      <c r="Q3814">
        <v>-0.45785366585433002</v>
      </c>
      <c r="R3814">
        <v>0.85637872102281398</v>
      </c>
      <c r="S3814">
        <v>12.291076247971899</v>
      </c>
      <c r="T3814">
        <v>0.64673307347095799</v>
      </c>
      <c r="U3814">
        <v>-6.7233801318723003</v>
      </c>
      <c r="V3814">
        <v>0.52764564419606597</v>
      </c>
      <c r="W3814">
        <v>0.77097392286214494</v>
      </c>
      <c r="X3814">
        <v>0</v>
      </c>
      <c r="Y3814">
        <v>0</v>
      </c>
    </row>
    <row r="3815" spans="1:25" x14ac:dyDescent="0.2">
      <c r="A3815" t="s">
        <v>13988</v>
      </c>
      <c r="B3815" t="s">
        <v>13989</v>
      </c>
      <c r="C3815" t="s">
        <v>13990</v>
      </c>
      <c r="D3815" t="s">
        <v>13991</v>
      </c>
      <c r="E3815" t="s">
        <v>13989</v>
      </c>
      <c r="F3815" t="s">
        <v>28</v>
      </c>
      <c r="G3815" t="s">
        <v>13989</v>
      </c>
      <c r="H3815" t="str">
        <f>"ngp-1"</f>
        <v>ngp-1</v>
      </c>
      <c r="I3815" t="s">
        <v>13991</v>
      </c>
      <c r="J3815">
        <v>15.179381807164701</v>
      </c>
      <c r="K3815">
        <v>15.1532913549224</v>
      </c>
      <c r="L3815">
        <v>15.402759368481799</v>
      </c>
      <c r="M3815">
        <v>15.0933648043725</v>
      </c>
      <c r="N3815">
        <v>15.432181678390499</v>
      </c>
      <c r="O3815">
        <v>15.414660466127801</v>
      </c>
      <c r="P3815">
        <v>6.8258139440672494E-2</v>
      </c>
      <c r="Q3815">
        <v>-0.33284946840500201</v>
      </c>
      <c r="R3815">
        <v>0.469365747286347</v>
      </c>
      <c r="S3815">
        <v>15.815034015561</v>
      </c>
      <c r="T3815">
        <v>0.35767291981475902</v>
      </c>
      <c r="U3815">
        <v>-6.98528327428156</v>
      </c>
      <c r="V3815">
        <v>0.72477192482823705</v>
      </c>
      <c r="W3815">
        <v>0.88098910847631096</v>
      </c>
      <c r="X3815">
        <v>0</v>
      </c>
      <c r="Y3815">
        <v>0</v>
      </c>
    </row>
    <row r="3816" spans="1:25" x14ac:dyDescent="0.2">
      <c r="A3816" t="s">
        <v>13992</v>
      </c>
      <c r="B3816" t="s">
        <v>13993</v>
      </c>
      <c r="C3816" t="s">
        <v>14777</v>
      </c>
      <c r="D3816" t="s">
        <v>107</v>
      </c>
      <c r="E3816" t="s">
        <v>13993</v>
      </c>
      <c r="F3816" t="s">
        <v>28</v>
      </c>
      <c r="G3816" t="s">
        <v>13993</v>
      </c>
      <c r="H3816" t="str">
        <f>"Y51A2D.18"</f>
        <v>Y51A2D.18</v>
      </c>
      <c r="I3816" t="s">
        <v>107</v>
      </c>
      <c r="J3816">
        <v>13.094477072337201</v>
      </c>
      <c r="K3816">
        <v>13.3238149808243</v>
      </c>
      <c r="L3816">
        <v>12.9516020920861</v>
      </c>
      <c r="M3816">
        <v>13.354842279423</v>
      </c>
      <c r="N3816">
        <v>12.9815251325931</v>
      </c>
      <c r="O3816">
        <v>12.861446369329199</v>
      </c>
      <c r="P3816">
        <v>-5.7360121300773101E-2</v>
      </c>
      <c r="Q3816">
        <v>-0.51821244629789898</v>
      </c>
      <c r="R3816">
        <v>0.40349220369635203</v>
      </c>
      <c r="S3816">
        <v>12.989113016284</v>
      </c>
      <c r="T3816">
        <v>-0.26160183823341199</v>
      </c>
      <c r="U3816">
        <v>-7.0162907750943004</v>
      </c>
      <c r="V3816">
        <v>0.79661567942272304</v>
      </c>
      <c r="W3816">
        <v>0.91517844850619501</v>
      </c>
      <c r="X3816">
        <v>0</v>
      </c>
      <c r="Y3816">
        <v>0</v>
      </c>
    </row>
    <row r="3817" spans="1:25" x14ac:dyDescent="0.2">
      <c r="A3817" t="s">
        <v>13994</v>
      </c>
      <c r="B3817" t="s">
        <v>13995</v>
      </c>
      <c r="C3817" t="s">
        <v>13996</v>
      </c>
      <c r="D3817" t="s">
        <v>13997</v>
      </c>
      <c r="E3817" t="s">
        <v>13995</v>
      </c>
      <c r="F3817" t="s">
        <v>28</v>
      </c>
      <c r="G3817" t="s">
        <v>13995</v>
      </c>
      <c r="H3817" t="str">
        <f>"lpin-1"</f>
        <v>lpin-1</v>
      </c>
      <c r="I3817" t="s">
        <v>13997</v>
      </c>
      <c r="J3817">
        <v>15.504855970078101</v>
      </c>
      <c r="K3817">
        <v>15.602164722361101</v>
      </c>
      <c r="L3817">
        <v>15.179679060566199</v>
      </c>
      <c r="M3817">
        <v>15.6747198132629</v>
      </c>
      <c r="N3817">
        <v>15.564630325089899</v>
      </c>
      <c r="O3817">
        <v>15.4567300327463</v>
      </c>
      <c r="P3817">
        <v>0.13646013936460699</v>
      </c>
      <c r="Q3817">
        <v>-0.34267584164764098</v>
      </c>
      <c r="R3817">
        <v>0.61559612037685396</v>
      </c>
      <c r="S3817">
        <v>14.837831972332699</v>
      </c>
      <c r="T3817">
        <v>0.59860389438538897</v>
      </c>
      <c r="U3817">
        <v>-6.8661694531064397</v>
      </c>
      <c r="V3817">
        <v>0.55693902901746695</v>
      </c>
      <c r="W3817">
        <v>0.78318046690701704</v>
      </c>
      <c r="X3817">
        <v>0</v>
      </c>
      <c r="Y3817">
        <v>0</v>
      </c>
    </row>
    <row r="3818" spans="1:25" x14ac:dyDescent="0.2">
      <c r="A3818" t="s">
        <v>13998</v>
      </c>
      <c r="B3818" t="s">
        <v>13999</v>
      </c>
      <c r="C3818" t="s">
        <v>14000</v>
      </c>
      <c r="D3818" t="s">
        <v>14001</v>
      </c>
      <c r="E3818" t="s">
        <v>13999</v>
      </c>
      <c r="F3818" t="s">
        <v>28</v>
      </c>
      <c r="G3818" t="s">
        <v>13999</v>
      </c>
      <c r="H3818" t="str">
        <f>"vha-11"</f>
        <v>vha-11</v>
      </c>
      <c r="I3818" t="s">
        <v>14001</v>
      </c>
      <c r="J3818">
        <v>16.544223413708</v>
      </c>
      <c r="K3818">
        <v>16.379108910973098</v>
      </c>
      <c r="L3818">
        <v>16.327277554965299</v>
      </c>
      <c r="M3818">
        <v>17.087422514704201</v>
      </c>
      <c r="N3818">
        <v>17.3022612443093</v>
      </c>
      <c r="O3818">
        <v>17.150099123166701</v>
      </c>
      <c r="P3818">
        <v>0.76305766751128001</v>
      </c>
      <c r="Q3818">
        <v>0.33123149484841402</v>
      </c>
      <c r="R3818">
        <v>1.1948838401741499</v>
      </c>
      <c r="S3818">
        <v>16.473797861732798</v>
      </c>
      <c r="T3818">
        <v>3.7139915624665298</v>
      </c>
      <c r="U3818">
        <v>-1.70673164820792</v>
      </c>
      <c r="V3818">
        <v>1.6016681593912601E-3</v>
      </c>
      <c r="W3818">
        <v>2.4241061351903102E-2</v>
      </c>
      <c r="X3818">
        <v>0</v>
      </c>
      <c r="Y3818">
        <v>0</v>
      </c>
    </row>
    <row r="3819" spans="1:25" x14ac:dyDescent="0.2">
      <c r="A3819" t="s">
        <v>14002</v>
      </c>
      <c r="B3819" t="s">
        <v>14003</v>
      </c>
      <c r="C3819" t="s">
        <v>14004</v>
      </c>
      <c r="D3819" t="s">
        <v>14005</v>
      </c>
      <c r="E3819" t="s">
        <v>14003</v>
      </c>
      <c r="F3819" t="s">
        <v>28</v>
      </c>
      <c r="G3819" t="s">
        <v>14003</v>
      </c>
      <c r="H3819" t="str">
        <f>"nhr-8"</f>
        <v>nhr-8</v>
      </c>
      <c r="I3819" t="s">
        <v>14005</v>
      </c>
      <c r="J3819" t="s">
        <v>29</v>
      </c>
      <c r="K3819">
        <v>11.171049044591401</v>
      </c>
      <c r="L3819">
        <v>11.2660258023091</v>
      </c>
      <c r="M3819" t="s">
        <v>29</v>
      </c>
      <c r="N3819">
        <v>11.2334811158899</v>
      </c>
      <c r="O3819">
        <v>12.5316838682549</v>
      </c>
      <c r="P3819">
        <v>0.66404506862212598</v>
      </c>
      <c r="Q3819">
        <v>-0.43305963989666502</v>
      </c>
      <c r="R3819">
        <v>1.7611497771409199</v>
      </c>
      <c r="S3819">
        <v>12.1323546618781</v>
      </c>
      <c r="T3819">
        <v>1.29909637137156</v>
      </c>
      <c r="U3819">
        <v>-6.0074068237443203</v>
      </c>
      <c r="V3819">
        <v>0.215054421685372</v>
      </c>
      <c r="W3819">
        <v>0.48191167431887</v>
      </c>
      <c r="X3819">
        <v>0</v>
      </c>
      <c r="Y3819">
        <v>0</v>
      </c>
    </row>
    <row r="3820" spans="1:25" x14ac:dyDescent="0.2">
      <c r="A3820" t="s">
        <v>14006</v>
      </c>
      <c r="B3820" t="s">
        <v>14007</v>
      </c>
      <c r="C3820" t="s">
        <v>14008</v>
      </c>
      <c r="D3820" t="s">
        <v>14009</v>
      </c>
      <c r="E3820" t="s">
        <v>14007</v>
      </c>
      <c r="F3820" t="s">
        <v>28</v>
      </c>
      <c r="G3820" t="s">
        <v>14007</v>
      </c>
      <c r="H3820" t="str">
        <f>"unc-11"</f>
        <v>unc-11</v>
      </c>
      <c r="I3820" t="s">
        <v>14009</v>
      </c>
      <c r="J3820" t="s">
        <v>29</v>
      </c>
      <c r="K3820" t="s">
        <v>29</v>
      </c>
      <c r="L3820" t="s">
        <v>29</v>
      </c>
      <c r="M3820">
        <v>13.3573949139201</v>
      </c>
      <c r="N3820" t="s">
        <v>29</v>
      </c>
      <c r="O3820">
        <v>13.5175204181939</v>
      </c>
      <c r="P3820" t="s">
        <v>29</v>
      </c>
      <c r="Q3820" t="s">
        <v>29</v>
      </c>
      <c r="R3820" t="s">
        <v>29</v>
      </c>
      <c r="S3820">
        <v>13.0705914222728</v>
      </c>
      <c r="T3820" t="s">
        <v>29</v>
      </c>
      <c r="U3820" t="s">
        <v>29</v>
      </c>
      <c r="V3820" t="s">
        <v>29</v>
      </c>
      <c r="W3820" t="s">
        <v>29</v>
      </c>
      <c r="X3820" t="s">
        <v>29</v>
      </c>
      <c r="Y3820" t="s">
        <v>29</v>
      </c>
    </row>
    <row r="3821" spans="1:25" x14ac:dyDescent="0.2">
      <c r="A3821" t="s">
        <v>14010</v>
      </c>
      <c r="B3821" t="s">
        <v>14011</v>
      </c>
      <c r="C3821" t="s">
        <v>14012</v>
      </c>
      <c r="D3821" t="s">
        <v>14013</v>
      </c>
      <c r="E3821" t="s">
        <v>14011</v>
      </c>
      <c r="F3821" t="s">
        <v>28</v>
      </c>
      <c r="G3821" t="s">
        <v>14011</v>
      </c>
      <c r="H3821" t="str">
        <f>"itr-1"</f>
        <v>itr-1</v>
      </c>
      <c r="I3821" t="s">
        <v>14013</v>
      </c>
      <c r="J3821">
        <v>13.094026599480101</v>
      </c>
      <c r="K3821">
        <v>12.738115171412799</v>
      </c>
      <c r="L3821">
        <v>12.6936737137032</v>
      </c>
      <c r="M3821">
        <v>12.9199525630645</v>
      </c>
      <c r="N3821">
        <v>13.2123583196057</v>
      </c>
      <c r="O3821">
        <v>12.8265379308648</v>
      </c>
      <c r="P3821">
        <v>0.14434444297964599</v>
      </c>
      <c r="Q3821">
        <v>-0.29846641598812101</v>
      </c>
      <c r="R3821">
        <v>0.58715530194741306</v>
      </c>
      <c r="S3821">
        <v>12.782597446788801</v>
      </c>
      <c r="T3821">
        <v>0.68806872728508095</v>
      </c>
      <c r="U3821">
        <v>-6.8066458099329097</v>
      </c>
      <c r="V3821">
        <v>0.50074830309896701</v>
      </c>
      <c r="W3821">
        <v>0.75227838332596497</v>
      </c>
      <c r="X3821">
        <v>0</v>
      </c>
      <c r="Y3821">
        <v>0</v>
      </c>
    </row>
    <row r="3822" spans="1:25" x14ac:dyDescent="0.2">
      <c r="A3822" t="s">
        <v>14014</v>
      </c>
      <c r="B3822" t="s">
        <v>14015</v>
      </c>
      <c r="C3822" t="s">
        <v>14016</v>
      </c>
      <c r="D3822" t="s">
        <v>14017</v>
      </c>
      <c r="E3822" t="s">
        <v>14015</v>
      </c>
      <c r="F3822" t="s">
        <v>28</v>
      </c>
      <c r="G3822" t="s">
        <v>14015</v>
      </c>
      <c r="H3822" t="str">
        <f>"spl-1"</f>
        <v>spl-1</v>
      </c>
      <c r="I3822" t="s">
        <v>14017</v>
      </c>
      <c r="J3822">
        <v>13.948541474986699</v>
      </c>
      <c r="K3822">
        <v>12.861288586223401</v>
      </c>
      <c r="L3822">
        <v>13.180434438053201</v>
      </c>
      <c r="M3822">
        <v>13.566365250110699</v>
      </c>
      <c r="N3822">
        <v>13.8115988621309</v>
      </c>
      <c r="O3822">
        <v>13.449129758433999</v>
      </c>
      <c r="P3822">
        <v>0.27894312380409902</v>
      </c>
      <c r="Q3822">
        <v>-0.30197860892932199</v>
      </c>
      <c r="R3822">
        <v>0.85986485653752098</v>
      </c>
      <c r="S3822">
        <v>13.592340064533699</v>
      </c>
      <c r="T3822">
        <v>1.0184684168223701</v>
      </c>
      <c r="U3822">
        <v>-6.5221069915513699</v>
      </c>
      <c r="V3822">
        <v>0.32370786241558303</v>
      </c>
      <c r="W3822">
        <v>0.60308056035420399</v>
      </c>
      <c r="X3822">
        <v>0</v>
      </c>
      <c r="Y3822">
        <v>0</v>
      </c>
    </row>
    <row r="3823" spans="1:25" x14ac:dyDescent="0.2">
      <c r="A3823" t="s">
        <v>14018</v>
      </c>
      <c r="B3823" t="s">
        <v>14019</v>
      </c>
      <c r="C3823" t="s">
        <v>14020</v>
      </c>
      <c r="D3823" t="s">
        <v>55</v>
      </c>
      <c r="E3823" t="s">
        <v>14019</v>
      </c>
      <c r="F3823" t="s">
        <v>28</v>
      </c>
      <c r="G3823" t="s">
        <v>14019</v>
      </c>
      <c r="H3823" t="str">
        <f>"rhgf-2"</f>
        <v>rhgf-2</v>
      </c>
      <c r="I3823" t="s">
        <v>55</v>
      </c>
      <c r="J3823" t="s">
        <v>29</v>
      </c>
      <c r="K3823" t="s">
        <v>29</v>
      </c>
      <c r="L3823">
        <v>10.1049599802417</v>
      </c>
      <c r="M3823">
        <v>10.6082583040097</v>
      </c>
      <c r="N3823" t="s">
        <v>29</v>
      </c>
      <c r="O3823">
        <v>10.6555084617302</v>
      </c>
      <c r="P3823">
        <v>0.52692340262821502</v>
      </c>
      <c r="Q3823">
        <v>-0.27618337564065298</v>
      </c>
      <c r="R3823">
        <v>1.33003018089708</v>
      </c>
      <c r="S3823">
        <v>11.2356297488886</v>
      </c>
      <c r="T3823">
        <v>1.43093270117909</v>
      </c>
      <c r="U3823">
        <v>-5.6452891387006101</v>
      </c>
      <c r="V3823">
        <v>0.17819266746233201</v>
      </c>
      <c r="W3823">
        <v>0.44011244262260002</v>
      </c>
      <c r="X3823">
        <v>0</v>
      </c>
      <c r="Y3823">
        <v>0</v>
      </c>
    </row>
    <row r="3824" spans="1:25" x14ac:dyDescent="0.2">
      <c r="A3824" t="s">
        <v>14021</v>
      </c>
      <c r="B3824" t="s">
        <v>14022</v>
      </c>
      <c r="C3824" t="s">
        <v>14023</v>
      </c>
      <c r="D3824" t="s">
        <v>368</v>
      </c>
      <c r="E3824" t="s">
        <v>14022</v>
      </c>
      <c r="F3824" t="s">
        <v>28</v>
      </c>
      <c r="G3824" t="s">
        <v>14022</v>
      </c>
      <c r="H3824" t="str">
        <f>"C08F8.3"</f>
        <v>C08F8.3</v>
      </c>
      <c r="I3824" t="s">
        <v>368</v>
      </c>
      <c r="J3824" t="s">
        <v>29</v>
      </c>
      <c r="K3824">
        <v>10.889394821261099</v>
      </c>
      <c r="L3824">
        <v>10.385831802550699</v>
      </c>
      <c r="M3824" t="s">
        <v>29</v>
      </c>
      <c r="N3824">
        <v>12.8241401172344</v>
      </c>
      <c r="O3824" t="s">
        <v>29</v>
      </c>
      <c r="P3824">
        <v>2.1865268053284699</v>
      </c>
      <c r="Q3824">
        <v>1.2682525733741301</v>
      </c>
      <c r="R3824">
        <v>3.1048010372828001</v>
      </c>
      <c r="S3824">
        <v>12.6421726338277</v>
      </c>
      <c r="T3824">
        <v>5.2469883702273199</v>
      </c>
      <c r="U3824">
        <v>0.60410796169108805</v>
      </c>
      <c r="V3824">
        <v>2.8266391708163503E-4</v>
      </c>
      <c r="W3824">
        <v>7.2999078268542999E-3</v>
      </c>
      <c r="X3824">
        <v>1</v>
      </c>
      <c r="Y3824">
        <v>1</v>
      </c>
    </row>
    <row r="3825" spans="1:25" x14ac:dyDescent="0.2">
      <c r="A3825" t="s">
        <v>14024</v>
      </c>
      <c r="B3825" t="s">
        <v>14025</v>
      </c>
      <c r="C3825" t="s">
        <v>14026</v>
      </c>
      <c r="D3825" t="s">
        <v>2378</v>
      </c>
      <c r="E3825" t="s">
        <v>14025</v>
      </c>
      <c r="F3825" t="s">
        <v>28</v>
      </c>
      <c r="G3825" t="s">
        <v>14025</v>
      </c>
      <c r="H3825" t="str">
        <f>"kcc-1"</f>
        <v>kcc-1</v>
      </c>
      <c r="I3825" t="s">
        <v>2378</v>
      </c>
      <c r="J3825">
        <v>15.7034509504364</v>
      </c>
      <c r="K3825">
        <v>15.6088679824372</v>
      </c>
      <c r="L3825">
        <v>14.8544879402357</v>
      </c>
      <c r="M3825">
        <v>15.7363018707631</v>
      </c>
      <c r="N3825">
        <v>15.384778999905899</v>
      </c>
      <c r="O3825">
        <v>15.3143613235509</v>
      </c>
      <c r="P3825">
        <v>8.9545107036816105E-2</v>
      </c>
      <c r="Q3825">
        <v>-0.42856416761146798</v>
      </c>
      <c r="R3825">
        <v>0.607654381685101</v>
      </c>
      <c r="S3825">
        <v>14.791652250023899</v>
      </c>
      <c r="T3825">
        <v>0.36325617568448099</v>
      </c>
      <c r="U3825">
        <v>-6.9831891674264002</v>
      </c>
      <c r="V3825">
        <v>0.72066913768059204</v>
      </c>
      <c r="W3825">
        <v>0.87796981430649401</v>
      </c>
      <c r="X3825">
        <v>0</v>
      </c>
      <c r="Y3825">
        <v>0</v>
      </c>
    </row>
    <row r="3826" spans="1:25" x14ac:dyDescent="0.2">
      <c r="A3826" t="s">
        <v>14027</v>
      </c>
      <c r="B3826" t="s">
        <v>14028</v>
      </c>
      <c r="C3826" t="s">
        <v>14029</v>
      </c>
      <c r="D3826" t="s">
        <v>14030</v>
      </c>
      <c r="E3826" t="s">
        <v>14028</v>
      </c>
      <c r="F3826" t="s">
        <v>28</v>
      </c>
      <c r="G3826" t="s">
        <v>14028</v>
      </c>
      <c r="H3826" t="str">
        <f>"ptrn-1"</f>
        <v>ptrn-1</v>
      </c>
      <c r="I3826" t="s">
        <v>14030</v>
      </c>
      <c r="J3826">
        <v>14.1471381057417</v>
      </c>
      <c r="K3826">
        <v>14.442798018662801</v>
      </c>
      <c r="L3826">
        <v>14.4625752604718</v>
      </c>
      <c r="M3826">
        <v>14.9858292523285</v>
      </c>
      <c r="N3826">
        <v>14.419041241241899</v>
      </c>
      <c r="O3826">
        <v>14.616887358573299</v>
      </c>
      <c r="P3826">
        <v>0.32308215575579502</v>
      </c>
      <c r="Q3826">
        <v>-0.13443100127937299</v>
      </c>
      <c r="R3826">
        <v>0.78059531279096395</v>
      </c>
      <c r="S3826">
        <v>14.4783816917897</v>
      </c>
      <c r="T3826">
        <v>1.48423236415735</v>
      </c>
      <c r="U3826">
        <v>-5.9638038624692697</v>
      </c>
      <c r="V3826">
        <v>0.155148353344576</v>
      </c>
      <c r="W3826">
        <v>0.40713930788971803</v>
      </c>
      <c r="X3826">
        <v>0</v>
      </c>
      <c r="Y3826">
        <v>0</v>
      </c>
    </row>
    <row r="3827" spans="1:25" x14ac:dyDescent="0.2">
      <c r="A3827" t="s">
        <v>14031</v>
      </c>
      <c r="B3827" t="s">
        <v>14032</v>
      </c>
      <c r="C3827" t="s">
        <v>14033</v>
      </c>
      <c r="D3827" t="s">
        <v>758</v>
      </c>
      <c r="E3827" t="s">
        <v>14032</v>
      </c>
      <c r="F3827" t="s">
        <v>28</v>
      </c>
      <c r="G3827" t="s">
        <v>14032</v>
      </c>
      <c r="H3827" t="str">
        <f>"fln-1"</f>
        <v>fln-1</v>
      </c>
      <c r="I3827" t="s">
        <v>758</v>
      </c>
      <c r="J3827">
        <v>17.2445739130034</v>
      </c>
      <c r="K3827">
        <v>17.0915831914492</v>
      </c>
      <c r="L3827">
        <v>17.153126622775002</v>
      </c>
      <c r="M3827">
        <v>17.012246951799899</v>
      </c>
      <c r="N3827">
        <v>17.2490021909273</v>
      </c>
      <c r="O3827">
        <v>17.1360097187607</v>
      </c>
      <c r="P3827">
        <v>-3.06749552465924E-2</v>
      </c>
      <c r="Q3827">
        <v>-0.33070570488630302</v>
      </c>
      <c r="R3827">
        <v>0.26935579439311802</v>
      </c>
      <c r="S3827">
        <v>16.932299273038002</v>
      </c>
      <c r="T3827">
        <v>-0.21488726769511499</v>
      </c>
      <c r="U3827">
        <v>-7.02791839234553</v>
      </c>
      <c r="V3827">
        <v>0.83228509324601596</v>
      </c>
      <c r="W3827">
        <v>0.93213516096945703</v>
      </c>
      <c r="X3827">
        <v>0</v>
      </c>
      <c r="Y3827">
        <v>0</v>
      </c>
    </row>
    <row r="3828" spans="1:25" x14ac:dyDescent="0.2">
      <c r="A3828" t="s">
        <v>14034</v>
      </c>
      <c r="B3828" t="s">
        <v>14035</v>
      </c>
      <c r="C3828" t="s">
        <v>14778</v>
      </c>
      <c r="D3828" t="s">
        <v>14036</v>
      </c>
      <c r="E3828" t="s">
        <v>14035</v>
      </c>
      <c r="F3828" t="s">
        <v>28</v>
      </c>
      <c r="G3828" t="s">
        <v>14035</v>
      </c>
      <c r="H3828" t="str">
        <f>"Y37E11AM.3"</f>
        <v>Y37E11AM.3</v>
      </c>
      <c r="I3828" t="s">
        <v>14036</v>
      </c>
      <c r="J3828">
        <v>13.1037110933284</v>
      </c>
      <c r="K3828">
        <v>13.0131416487057</v>
      </c>
      <c r="L3828">
        <v>12.904995993577099</v>
      </c>
      <c r="M3828">
        <v>12.547909312459399</v>
      </c>
      <c r="N3828">
        <v>12.855482241532799</v>
      </c>
      <c r="O3828">
        <v>12.7979499380544</v>
      </c>
      <c r="P3828">
        <v>-0.27350241452157698</v>
      </c>
      <c r="Q3828">
        <v>-0.66748303836836798</v>
      </c>
      <c r="R3828">
        <v>0.120478209325215</v>
      </c>
      <c r="S3828">
        <v>12.532935450847001</v>
      </c>
      <c r="T3828">
        <v>-1.4724339789208001</v>
      </c>
      <c r="U3828">
        <v>-5.9804084995239597</v>
      </c>
      <c r="V3828">
        <v>0.16042773190881801</v>
      </c>
      <c r="W3828">
        <v>0.41299987312602199</v>
      </c>
      <c r="X3828">
        <v>0</v>
      </c>
      <c r="Y3828">
        <v>0</v>
      </c>
    </row>
    <row r="3829" spans="1:25" x14ac:dyDescent="0.2">
      <c r="A3829" t="s">
        <v>14037</v>
      </c>
      <c r="B3829" t="s">
        <v>14038</v>
      </c>
      <c r="C3829" t="s">
        <v>14039</v>
      </c>
      <c r="D3829" t="s">
        <v>14040</v>
      </c>
      <c r="E3829" t="s">
        <v>14038</v>
      </c>
      <c r="F3829" t="s">
        <v>28</v>
      </c>
      <c r="G3829" t="s">
        <v>14038</v>
      </c>
      <c r="H3829" t="str">
        <f>"denn-4"</f>
        <v>denn-4</v>
      </c>
      <c r="I3829" t="s">
        <v>14040</v>
      </c>
      <c r="J3829">
        <v>13.970529509683301</v>
      </c>
      <c r="K3829">
        <v>13.650815977637</v>
      </c>
      <c r="L3829">
        <v>13.5067947074477</v>
      </c>
      <c r="M3829">
        <v>14.600274014958501</v>
      </c>
      <c r="N3829">
        <v>14.6926759525512</v>
      </c>
      <c r="O3829">
        <v>14.068747180322701</v>
      </c>
      <c r="P3829">
        <v>0.74451898435478203</v>
      </c>
      <c r="Q3829">
        <v>0.30020519715213201</v>
      </c>
      <c r="R3829">
        <v>1.1888327715574301</v>
      </c>
      <c r="S3829">
        <v>13.791184702143999</v>
      </c>
      <c r="T3829">
        <v>3.5370076540600399</v>
      </c>
      <c r="U3829">
        <v>-2.1422464446208198</v>
      </c>
      <c r="V3829">
        <v>2.55271602842422E-3</v>
      </c>
      <c r="W3829">
        <v>3.41832837715738E-2</v>
      </c>
      <c r="X3829">
        <v>0</v>
      </c>
      <c r="Y3829">
        <v>0</v>
      </c>
    </row>
    <row r="3830" spans="1:25" x14ac:dyDescent="0.2">
      <c r="A3830" t="s">
        <v>14041</v>
      </c>
      <c r="B3830" t="s">
        <v>14042</v>
      </c>
      <c r="C3830" t="s">
        <v>14043</v>
      </c>
      <c r="D3830" t="s">
        <v>14044</v>
      </c>
      <c r="E3830" t="s">
        <v>14042</v>
      </c>
      <c r="F3830" t="s">
        <v>28</v>
      </c>
      <c r="G3830" t="s">
        <v>14042</v>
      </c>
      <c r="H3830" t="str">
        <f>"tftc-1"</f>
        <v>tftc-1</v>
      </c>
      <c r="I3830" t="s">
        <v>14044</v>
      </c>
      <c r="J3830">
        <v>12.2279304914282</v>
      </c>
      <c r="K3830">
        <v>12.5958127160113</v>
      </c>
      <c r="L3830">
        <v>12.3891350585293</v>
      </c>
      <c r="M3830">
        <v>12.2350717719667</v>
      </c>
      <c r="N3830">
        <v>12.435751879383</v>
      </c>
      <c r="O3830">
        <v>12.586166075912701</v>
      </c>
      <c r="P3830">
        <v>1.4703820431226E-2</v>
      </c>
      <c r="Q3830">
        <v>-0.43087348257338698</v>
      </c>
      <c r="R3830">
        <v>0.46028112343583899</v>
      </c>
      <c r="S3830">
        <v>12.801848261961499</v>
      </c>
      <c r="T3830">
        <v>6.9358492143265602E-2</v>
      </c>
      <c r="U3830">
        <v>-7.0495657225820203</v>
      </c>
      <c r="V3830">
        <v>0.94547343922212701</v>
      </c>
      <c r="W3830">
        <v>0.97576384643441005</v>
      </c>
      <c r="X3830">
        <v>0</v>
      </c>
      <c r="Y3830">
        <v>0</v>
      </c>
    </row>
    <row r="3831" spans="1:25" x14ac:dyDescent="0.2">
      <c r="A3831" t="s">
        <v>14045</v>
      </c>
      <c r="B3831" t="s">
        <v>14046</v>
      </c>
      <c r="C3831" t="s">
        <v>14047</v>
      </c>
      <c r="D3831" t="s">
        <v>13954</v>
      </c>
      <c r="E3831" t="s">
        <v>14046</v>
      </c>
      <c r="F3831" t="s">
        <v>28</v>
      </c>
      <c r="G3831" t="s">
        <v>14046</v>
      </c>
      <c r="H3831" t="str">
        <f>"eel-1"</f>
        <v>eel-1</v>
      </c>
      <c r="I3831" t="s">
        <v>13954</v>
      </c>
      <c r="J3831">
        <v>13.7701216368829</v>
      </c>
      <c r="K3831">
        <v>13.5672111700194</v>
      </c>
      <c r="L3831">
        <v>13.813988087041199</v>
      </c>
      <c r="M3831">
        <v>13.5560926737496</v>
      </c>
      <c r="N3831">
        <v>14.1929765356749</v>
      </c>
      <c r="O3831">
        <v>13.995325456257</v>
      </c>
      <c r="P3831">
        <v>0.19769125724599901</v>
      </c>
      <c r="Q3831">
        <v>-1.56171135512603</v>
      </c>
      <c r="R3831">
        <v>1.95709386961803</v>
      </c>
      <c r="S3831">
        <v>14.197384734129599</v>
      </c>
      <c r="T3831">
        <v>0.23616456990739701</v>
      </c>
      <c r="U3831">
        <v>-7.0229032568198404</v>
      </c>
      <c r="V3831">
        <v>0.81598690816256503</v>
      </c>
      <c r="W3831">
        <v>0.92099250751334905</v>
      </c>
      <c r="X3831">
        <v>0</v>
      </c>
      <c r="Y3831">
        <v>0</v>
      </c>
    </row>
    <row r="3832" spans="1:25" x14ac:dyDescent="0.2">
      <c r="A3832" t="s">
        <v>14048</v>
      </c>
      <c r="B3832" t="s">
        <v>14049</v>
      </c>
      <c r="C3832" t="s">
        <v>14050</v>
      </c>
      <c r="D3832" t="s">
        <v>2180</v>
      </c>
      <c r="E3832" t="s">
        <v>14049</v>
      </c>
      <c r="F3832" t="s">
        <v>28</v>
      </c>
      <c r="G3832" t="s">
        <v>14049</v>
      </c>
      <c r="H3832" t="str">
        <f>"hum-8"</f>
        <v>hum-8</v>
      </c>
      <c r="I3832" t="s">
        <v>2180</v>
      </c>
      <c r="J3832">
        <v>13.7265332401834</v>
      </c>
      <c r="K3832">
        <v>13.6854602727696</v>
      </c>
      <c r="L3832">
        <v>13.5455140107844</v>
      </c>
      <c r="M3832">
        <v>13.5222128520073</v>
      </c>
      <c r="N3832">
        <v>13.5985877170625</v>
      </c>
      <c r="O3832">
        <v>13.1944933533862</v>
      </c>
      <c r="P3832">
        <v>-0.214071200427147</v>
      </c>
      <c r="Q3832">
        <v>-0.63584152535771599</v>
      </c>
      <c r="R3832">
        <v>0.20769912450342101</v>
      </c>
      <c r="S3832">
        <v>13.344100105670201</v>
      </c>
      <c r="T3832">
        <v>-1.0713521298911299</v>
      </c>
      <c r="U3832">
        <v>-6.4684413994600396</v>
      </c>
      <c r="V3832">
        <v>0.29907757034119098</v>
      </c>
      <c r="W3832">
        <v>0.57790879684693297</v>
      </c>
      <c r="X3832">
        <v>0</v>
      </c>
      <c r="Y3832">
        <v>0</v>
      </c>
    </row>
    <row r="3833" spans="1:25" x14ac:dyDescent="0.2">
      <c r="A3833" t="s">
        <v>14051</v>
      </c>
      <c r="B3833" t="s">
        <v>14052</v>
      </c>
      <c r="C3833" t="s">
        <v>14779</v>
      </c>
      <c r="D3833" t="s">
        <v>581</v>
      </c>
      <c r="E3833" t="s">
        <v>14052</v>
      </c>
      <c r="F3833" t="s">
        <v>28</v>
      </c>
      <c r="G3833" t="s">
        <v>14052</v>
      </c>
      <c r="H3833" t="str">
        <f>"Y76B12C.6"</f>
        <v>Y76B12C.6</v>
      </c>
      <c r="I3833" t="s">
        <v>581</v>
      </c>
      <c r="J3833">
        <v>11.1592733698904</v>
      </c>
      <c r="K3833" t="s">
        <v>29</v>
      </c>
      <c r="L3833">
        <v>11.1643901506073</v>
      </c>
      <c r="M3833">
        <v>11.988780287019001</v>
      </c>
      <c r="N3833" t="s">
        <v>29</v>
      </c>
      <c r="O3833" t="s">
        <v>29</v>
      </c>
      <c r="P3833">
        <v>0.82694852677012798</v>
      </c>
      <c r="Q3833">
        <v>-0.241866551645152</v>
      </c>
      <c r="R3833">
        <v>1.8957636051854101</v>
      </c>
      <c r="S3833">
        <v>12.310289819498401</v>
      </c>
      <c r="T3833">
        <v>1.7049184050622701</v>
      </c>
      <c r="U3833">
        <v>-5.2705816584518201</v>
      </c>
      <c r="V3833">
        <v>0.116520777308681</v>
      </c>
      <c r="W3833">
        <v>0.35139815510884997</v>
      </c>
      <c r="X3833">
        <v>0</v>
      </c>
      <c r="Y3833">
        <v>0</v>
      </c>
    </row>
    <row r="3834" spans="1:25" x14ac:dyDescent="0.2">
      <c r="A3834" t="s">
        <v>14053</v>
      </c>
      <c r="B3834" t="s">
        <v>14054</v>
      </c>
      <c r="C3834" t="s">
        <v>14780</v>
      </c>
      <c r="D3834" t="s">
        <v>4052</v>
      </c>
      <c r="E3834" t="s">
        <v>14054</v>
      </c>
      <c r="F3834" t="s">
        <v>28</v>
      </c>
      <c r="G3834" t="s">
        <v>14054</v>
      </c>
      <c r="H3834" t="str">
        <f>"F56A11.5"</f>
        <v>F56A11.5</v>
      </c>
      <c r="I3834" t="s">
        <v>4052</v>
      </c>
      <c r="J3834">
        <v>14.640225408245101</v>
      </c>
      <c r="K3834">
        <v>14.142307993483101</v>
      </c>
      <c r="L3834">
        <v>14.3688487939908</v>
      </c>
      <c r="M3834">
        <v>13.952841699294501</v>
      </c>
      <c r="N3834">
        <v>14.0508022168307</v>
      </c>
      <c r="O3834">
        <v>13.8147529663048</v>
      </c>
      <c r="P3834">
        <v>-0.44432843776300301</v>
      </c>
      <c r="Q3834">
        <v>-0.81297834719611695</v>
      </c>
      <c r="R3834">
        <v>-7.5678528329889E-2</v>
      </c>
      <c r="S3834">
        <v>14.514205973773301</v>
      </c>
      <c r="T3834">
        <v>-2.5441340548358</v>
      </c>
      <c r="U3834">
        <v>-4.1752487520403303</v>
      </c>
      <c r="V3834">
        <v>2.1030221233363799E-2</v>
      </c>
      <c r="W3834">
        <v>0.14060353486708199</v>
      </c>
      <c r="X3834">
        <v>0</v>
      </c>
      <c r="Y3834">
        <v>0</v>
      </c>
    </row>
    <row r="3835" spans="1:25" x14ac:dyDescent="0.2">
      <c r="A3835" t="s">
        <v>14055</v>
      </c>
      <c r="B3835" t="s">
        <v>14056</v>
      </c>
      <c r="C3835" t="s">
        <v>14781</v>
      </c>
      <c r="D3835" t="s">
        <v>14057</v>
      </c>
      <c r="E3835" t="s">
        <v>14056</v>
      </c>
      <c r="F3835" t="s">
        <v>28</v>
      </c>
      <c r="G3835" t="s">
        <v>14056</v>
      </c>
      <c r="H3835" t="str">
        <f>"Y41D4A.6"</f>
        <v>Y41D4A.6</v>
      </c>
      <c r="I3835" t="s">
        <v>14057</v>
      </c>
      <c r="J3835">
        <v>12.698793443712299</v>
      </c>
      <c r="K3835">
        <v>12.811452757837801</v>
      </c>
      <c r="L3835">
        <v>12.7968901950121</v>
      </c>
      <c r="M3835">
        <v>12.089960447540999</v>
      </c>
      <c r="N3835">
        <v>12.405758312653299</v>
      </c>
      <c r="O3835">
        <v>12.4663788568821</v>
      </c>
      <c r="P3835">
        <v>-0.44834625982861998</v>
      </c>
      <c r="Q3835">
        <v>-1.01936019859649</v>
      </c>
      <c r="R3835">
        <v>0.12266767893925</v>
      </c>
      <c r="S3835">
        <v>12.9749792528364</v>
      </c>
      <c r="T3835">
        <v>-1.65736000583418</v>
      </c>
      <c r="U3835">
        <v>-5.7148721816099997</v>
      </c>
      <c r="V3835">
        <v>0.115897376914933</v>
      </c>
      <c r="W3835">
        <v>0.35000854252788799</v>
      </c>
      <c r="X3835">
        <v>0</v>
      </c>
      <c r="Y3835">
        <v>0</v>
      </c>
    </row>
    <row r="3836" spans="1:25" x14ac:dyDescent="0.2">
      <c r="A3836" t="s">
        <v>14058</v>
      </c>
      <c r="B3836" t="s">
        <v>14059</v>
      </c>
      <c r="C3836" t="s">
        <v>14060</v>
      </c>
      <c r="D3836" t="s">
        <v>14061</v>
      </c>
      <c r="E3836" t="s">
        <v>14059</v>
      </c>
      <c r="F3836" t="s">
        <v>28</v>
      </c>
      <c r="G3836" t="s">
        <v>14059</v>
      </c>
      <c r="H3836" t="str">
        <f>"pfs-2"</f>
        <v>pfs-2</v>
      </c>
      <c r="I3836" t="s">
        <v>14061</v>
      </c>
      <c r="J3836">
        <v>12.6902624425617</v>
      </c>
      <c r="K3836">
        <v>12.929174048687401</v>
      </c>
      <c r="L3836">
        <v>12.9063282925094</v>
      </c>
      <c r="M3836">
        <v>12.739353717846701</v>
      </c>
      <c r="N3836">
        <v>11.9448444980254</v>
      </c>
      <c r="O3836">
        <v>12.7005437140516</v>
      </c>
      <c r="P3836">
        <v>-0.38034095127823198</v>
      </c>
      <c r="Q3836">
        <v>-0.821795141061336</v>
      </c>
      <c r="R3836">
        <v>6.1113238504872498E-2</v>
      </c>
      <c r="S3836">
        <v>12.6145045929115</v>
      </c>
      <c r="T3836">
        <v>-1.81860113804307</v>
      </c>
      <c r="U3836">
        <v>-5.4653122549373503</v>
      </c>
      <c r="V3836">
        <v>8.67444129946673E-2</v>
      </c>
      <c r="W3836">
        <v>0.30188911217609299</v>
      </c>
      <c r="X3836">
        <v>0</v>
      </c>
      <c r="Y3836">
        <v>0</v>
      </c>
    </row>
    <row r="3837" spans="1:25" x14ac:dyDescent="0.2">
      <c r="A3837" t="s">
        <v>14062</v>
      </c>
      <c r="B3837" t="s">
        <v>14063</v>
      </c>
      <c r="C3837" t="s">
        <v>14064</v>
      </c>
      <c r="D3837" t="s">
        <v>433</v>
      </c>
      <c r="E3837" t="s">
        <v>14063</v>
      </c>
      <c r="F3837" t="s">
        <v>28</v>
      </c>
      <c r="G3837" t="s">
        <v>14063</v>
      </c>
      <c r="H3837" t="str">
        <f>"slmp-1"</f>
        <v>slmp-1</v>
      </c>
      <c r="I3837" t="s">
        <v>433</v>
      </c>
      <c r="J3837" t="s">
        <v>29</v>
      </c>
      <c r="K3837">
        <v>12.3724522924285</v>
      </c>
      <c r="L3837">
        <v>11.8029670667171</v>
      </c>
      <c r="M3837" t="s">
        <v>29</v>
      </c>
      <c r="N3837" t="s">
        <v>29</v>
      </c>
      <c r="O3837">
        <v>11.573411753262199</v>
      </c>
      <c r="P3837">
        <v>-0.51429792631058302</v>
      </c>
      <c r="Q3837">
        <v>-1.46845333107118</v>
      </c>
      <c r="R3837">
        <v>0.43985747845001799</v>
      </c>
      <c r="S3837">
        <v>11.603771638340501</v>
      </c>
      <c r="T3837">
        <v>-1.20271450577719</v>
      </c>
      <c r="U3837">
        <v>-5.9209510987883203</v>
      </c>
      <c r="V3837">
        <v>0.25707533858895698</v>
      </c>
      <c r="W3837">
        <v>0.53417825783426898</v>
      </c>
      <c r="X3837">
        <v>0</v>
      </c>
      <c r="Y3837">
        <v>0</v>
      </c>
    </row>
    <row r="3838" spans="1:25" x14ac:dyDescent="0.2">
      <c r="A3838" t="s">
        <v>14065</v>
      </c>
      <c r="B3838" t="s">
        <v>14066</v>
      </c>
      <c r="C3838" t="s">
        <v>14782</v>
      </c>
      <c r="D3838" t="s">
        <v>14067</v>
      </c>
      <c r="E3838" t="s">
        <v>14066</v>
      </c>
      <c r="F3838" t="s">
        <v>28</v>
      </c>
      <c r="G3838" t="s">
        <v>14066</v>
      </c>
      <c r="H3838" t="str">
        <f>"Y77E11A.7"</f>
        <v>Y77E11A.7</v>
      </c>
      <c r="I3838" t="s">
        <v>14067</v>
      </c>
      <c r="J3838">
        <v>13.1885998736039</v>
      </c>
      <c r="K3838">
        <v>13.148004539446299</v>
      </c>
      <c r="L3838">
        <v>12.975714467110601</v>
      </c>
      <c r="M3838">
        <v>13.184899969240201</v>
      </c>
      <c r="N3838">
        <v>13.465675683693901</v>
      </c>
      <c r="O3838">
        <v>13.200567610829699</v>
      </c>
      <c r="P3838">
        <v>0.17960812786768801</v>
      </c>
      <c r="Q3838">
        <v>-0.41567851926247801</v>
      </c>
      <c r="R3838">
        <v>0.77489477499785397</v>
      </c>
      <c r="S3838">
        <v>13.4897779627504</v>
      </c>
      <c r="T3838">
        <v>0.63415052772301705</v>
      </c>
      <c r="U3838">
        <v>-6.8436861404513003</v>
      </c>
      <c r="V3838">
        <v>0.53400586572253195</v>
      </c>
      <c r="W3838">
        <v>0.77492902906669103</v>
      </c>
      <c r="X3838">
        <v>0</v>
      </c>
      <c r="Y3838">
        <v>0</v>
      </c>
    </row>
    <row r="3839" spans="1:25" x14ac:dyDescent="0.2">
      <c r="A3839" t="s">
        <v>14068</v>
      </c>
      <c r="B3839" t="s">
        <v>14069</v>
      </c>
      <c r="C3839" t="s">
        <v>14070</v>
      </c>
      <c r="D3839" t="s">
        <v>14071</v>
      </c>
      <c r="E3839" t="s">
        <v>14069</v>
      </c>
      <c r="F3839" t="s">
        <v>28</v>
      </c>
      <c r="G3839" t="s">
        <v>14069</v>
      </c>
      <c r="H3839" t="str">
        <f>"aass-1"</f>
        <v>aass-1</v>
      </c>
      <c r="I3839" t="s">
        <v>14071</v>
      </c>
      <c r="J3839">
        <v>16.630912425574099</v>
      </c>
      <c r="K3839">
        <v>16.672803100484401</v>
      </c>
      <c r="L3839">
        <v>16.671981959461199</v>
      </c>
      <c r="M3839">
        <v>16.4252508142857</v>
      </c>
      <c r="N3839">
        <v>16.6196865985745</v>
      </c>
      <c r="O3839">
        <v>16.681207474590501</v>
      </c>
      <c r="P3839">
        <v>-8.3184199356352906E-2</v>
      </c>
      <c r="Q3839">
        <v>-0.65657431044620296</v>
      </c>
      <c r="R3839">
        <v>0.49020591173349698</v>
      </c>
      <c r="S3839">
        <v>17.0038728388134</v>
      </c>
      <c r="T3839">
        <v>-0.304918065214487</v>
      </c>
      <c r="U3839">
        <v>-7.0034886716383902</v>
      </c>
      <c r="V3839">
        <v>0.76394646763600704</v>
      </c>
      <c r="W3839">
        <v>0.90082243524260697</v>
      </c>
      <c r="X3839">
        <v>0</v>
      </c>
      <c r="Y3839">
        <v>0</v>
      </c>
    </row>
    <row r="3840" spans="1:25" x14ac:dyDescent="0.2">
      <c r="A3840" t="s">
        <v>14072</v>
      </c>
      <c r="B3840" t="s">
        <v>14073</v>
      </c>
      <c r="C3840" t="s">
        <v>14074</v>
      </c>
      <c r="D3840" t="s">
        <v>2432</v>
      </c>
      <c r="E3840" t="s">
        <v>14073</v>
      </c>
      <c r="F3840" t="s">
        <v>28</v>
      </c>
      <c r="G3840" t="s">
        <v>14073</v>
      </c>
      <c r="H3840" t="str">
        <f>"kvs-5"</f>
        <v>kvs-5</v>
      </c>
      <c r="I3840" t="s">
        <v>2432</v>
      </c>
      <c r="J3840" t="s">
        <v>29</v>
      </c>
      <c r="K3840" t="s">
        <v>29</v>
      </c>
      <c r="L3840" t="s">
        <v>29</v>
      </c>
      <c r="M3840" t="s">
        <v>29</v>
      </c>
      <c r="N3840" t="s">
        <v>29</v>
      </c>
      <c r="O3840" t="s">
        <v>29</v>
      </c>
      <c r="P3840" t="s">
        <v>29</v>
      </c>
      <c r="Q3840" t="s">
        <v>29</v>
      </c>
      <c r="R3840" t="s">
        <v>29</v>
      </c>
      <c r="S3840">
        <v>11.563302626930099</v>
      </c>
      <c r="T3840" t="s">
        <v>29</v>
      </c>
      <c r="U3840" t="s">
        <v>29</v>
      </c>
      <c r="V3840" t="s">
        <v>29</v>
      </c>
      <c r="W3840" t="s">
        <v>29</v>
      </c>
      <c r="X3840" t="s">
        <v>29</v>
      </c>
      <c r="Y3840" t="s">
        <v>29</v>
      </c>
    </row>
    <row r="3841" spans="1:25" x14ac:dyDescent="0.2">
      <c r="A3841" t="s">
        <v>14075</v>
      </c>
      <c r="B3841" t="s">
        <v>14076</v>
      </c>
      <c r="C3841" t="s">
        <v>14077</v>
      </c>
      <c r="D3841" t="s">
        <v>758</v>
      </c>
      <c r="E3841" t="s">
        <v>14076</v>
      </c>
      <c r="F3841" t="s">
        <v>28</v>
      </c>
      <c r="G3841" t="s">
        <v>14076</v>
      </c>
      <c r="H3841" t="str">
        <f>"plst-1"</f>
        <v>plst-1</v>
      </c>
      <c r="I3841" t="s">
        <v>758</v>
      </c>
      <c r="J3841">
        <v>13.145511484487701</v>
      </c>
      <c r="K3841">
        <v>13.240409780230101</v>
      </c>
      <c r="L3841">
        <v>13.396180891832399</v>
      </c>
      <c r="M3841">
        <v>13.285170045854301</v>
      </c>
      <c r="N3841">
        <v>13.003573629903499</v>
      </c>
      <c r="O3841">
        <v>13.2625299182696</v>
      </c>
      <c r="P3841">
        <v>-7.6942854174269798E-2</v>
      </c>
      <c r="Q3841">
        <v>-0.71973974659983397</v>
      </c>
      <c r="R3841">
        <v>0.56585403825129499</v>
      </c>
      <c r="S3841">
        <v>12.978844339665001</v>
      </c>
      <c r="T3841">
        <v>-0.25158632826919097</v>
      </c>
      <c r="U3841">
        <v>-7.0189744289222196</v>
      </c>
      <c r="V3841">
        <v>0.804227331844934</v>
      </c>
      <c r="W3841">
        <v>0.91726454182383999</v>
      </c>
      <c r="X3841">
        <v>0</v>
      </c>
      <c r="Y3841">
        <v>0</v>
      </c>
    </row>
    <row r="3842" spans="1:25" x14ac:dyDescent="0.2">
      <c r="A3842" t="s">
        <v>14078</v>
      </c>
      <c r="B3842" t="s">
        <v>14079</v>
      </c>
      <c r="C3842" t="s">
        <v>14080</v>
      </c>
      <c r="D3842" t="s">
        <v>14081</v>
      </c>
      <c r="E3842" t="s">
        <v>14079</v>
      </c>
      <c r="F3842" t="s">
        <v>28</v>
      </c>
      <c r="G3842" t="s">
        <v>14079</v>
      </c>
      <c r="H3842" t="str">
        <f>"pig-1"</f>
        <v>pig-1</v>
      </c>
      <c r="I3842" t="s">
        <v>14081</v>
      </c>
      <c r="J3842">
        <v>13.158043359435</v>
      </c>
      <c r="K3842">
        <v>13.4232656080446</v>
      </c>
      <c r="L3842">
        <v>13.410188521018799</v>
      </c>
      <c r="M3842">
        <v>13.6514850808303</v>
      </c>
      <c r="N3842">
        <v>12.793527581715599</v>
      </c>
      <c r="O3842">
        <v>12.4209713265688</v>
      </c>
      <c r="P3842">
        <v>-0.37517116646119297</v>
      </c>
      <c r="Q3842">
        <v>-0.94363868432658904</v>
      </c>
      <c r="R3842">
        <v>0.19329635140420201</v>
      </c>
      <c r="S3842">
        <v>13.0971132847713</v>
      </c>
      <c r="T3842">
        <v>-1.3998236581185699</v>
      </c>
      <c r="U3842">
        <v>-6.0776973611471998</v>
      </c>
      <c r="V3842">
        <v>0.18078082913108801</v>
      </c>
      <c r="W3842">
        <v>0.44399781682245498</v>
      </c>
      <c r="X3842">
        <v>0</v>
      </c>
      <c r="Y3842">
        <v>0</v>
      </c>
    </row>
    <row r="3843" spans="1:25" x14ac:dyDescent="0.2">
      <c r="A3843" t="s">
        <v>14082</v>
      </c>
      <c r="B3843" t="s">
        <v>14083</v>
      </c>
      <c r="C3843" t="s">
        <v>14084</v>
      </c>
      <c r="D3843" t="s">
        <v>14085</v>
      </c>
      <c r="E3843" t="s">
        <v>14083</v>
      </c>
      <c r="F3843" t="s">
        <v>28</v>
      </c>
      <c r="G3843" t="s">
        <v>14083</v>
      </c>
      <c r="H3843" t="str">
        <f>"smgl-2"</f>
        <v>smgl-2</v>
      </c>
      <c r="I3843" t="s">
        <v>14085</v>
      </c>
      <c r="J3843" t="s">
        <v>29</v>
      </c>
      <c r="K3843" t="s">
        <v>29</v>
      </c>
      <c r="L3843" t="s">
        <v>29</v>
      </c>
      <c r="M3843" t="s">
        <v>29</v>
      </c>
      <c r="N3843" t="s">
        <v>29</v>
      </c>
      <c r="O3843" t="s">
        <v>29</v>
      </c>
      <c r="P3843" t="s">
        <v>29</v>
      </c>
      <c r="Q3843" t="s">
        <v>29</v>
      </c>
      <c r="R3843" t="s">
        <v>29</v>
      </c>
      <c r="S3843">
        <v>11.822937074320601</v>
      </c>
      <c r="T3843" t="s">
        <v>29</v>
      </c>
      <c r="U3843" t="s">
        <v>29</v>
      </c>
      <c r="V3843" t="s">
        <v>29</v>
      </c>
      <c r="W3843" t="s">
        <v>29</v>
      </c>
      <c r="X3843" t="s">
        <v>29</v>
      </c>
      <c r="Y3843" t="s">
        <v>29</v>
      </c>
    </row>
    <row r="3844" spans="1:25" x14ac:dyDescent="0.2">
      <c r="A3844" t="s">
        <v>14086</v>
      </c>
      <c r="B3844" t="s">
        <v>14087</v>
      </c>
      <c r="C3844" t="s">
        <v>14088</v>
      </c>
      <c r="D3844" t="s">
        <v>14089</v>
      </c>
      <c r="E3844" t="s">
        <v>14087</v>
      </c>
      <c r="F3844" t="s">
        <v>28</v>
      </c>
      <c r="G3844" t="s">
        <v>14087</v>
      </c>
      <c r="H3844" t="str">
        <f>"glna-1"</f>
        <v>glna-1</v>
      </c>
      <c r="I3844" t="s">
        <v>14089</v>
      </c>
      <c r="J3844">
        <v>12.3697535659718</v>
      </c>
      <c r="K3844">
        <v>12.1749784944752</v>
      </c>
      <c r="L3844">
        <v>12.224633985691099</v>
      </c>
      <c r="M3844">
        <v>14.724452619115199</v>
      </c>
      <c r="N3844">
        <v>15.340715901089901</v>
      </c>
      <c r="O3844">
        <v>14.4164400314763</v>
      </c>
      <c r="P3844">
        <v>2.5707475018477699</v>
      </c>
      <c r="Q3844">
        <v>1.8764258005110599</v>
      </c>
      <c r="R3844">
        <v>3.2650692031844701</v>
      </c>
      <c r="S3844">
        <v>13.8693984177694</v>
      </c>
      <c r="T3844">
        <v>7.7819994551144802</v>
      </c>
      <c r="U3844">
        <v>6.6794018015088303</v>
      </c>
      <c r="V3844" s="2">
        <v>3.7686957108087099E-7</v>
      </c>
      <c r="W3844" s="2">
        <v>2.6092203921216098E-5</v>
      </c>
      <c r="X3844">
        <v>1</v>
      </c>
      <c r="Y3844">
        <v>1</v>
      </c>
    </row>
    <row r="3845" spans="1:25" x14ac:dyDescent="0.2">
      <c r="A3845" t="s">
        <v>14090</v>
      </c>
      <c r="B3845" t="s">
        <v>14091</v>
      </c>
      <c r="C3845" t="s">
        <v>14783</v>
      </c>
      <c r="D3845" t="s">
        <v>663</v>
      </c>
      <c r="E3845" t="s">
        <v>14091</v>
      </c>
      <c r="F3845" t="s">
        <v>28</v>
      </c>
      <c r="G3845" t="s">
        <v>14091</v>
      </c>
      <c r="H3845" t="str">
        <f>"Y41D4A.4"</f>
        <v>Y41D4A.4</v>
      </c>
      <c r="I3845" t="s">
        <v>663</v>
      </c>
      <c r="J3845">
        <v>14.2118126220688</v>
      </c>
      <c r="K3845">
        <v>14.0802811518307</v>
      </c>
      <c r="L3845">
        <v>14.405936301719599</v>
      </c>
      <c r="M3845">
        <v>13.997286990313301</v>
      </c>
      <c r="N3845">
        <v>13.8895715251303</v>
      </c>
      <c r="O3845">
        <v>14.144122988186099</v>
      </c>
      <c r="P3845">
        <v>-0.222349523996487</v>
      </c>
      <c r="Q3845">
        <v>-0.65820316755927999</v>
      </c>
      <c r="R3845">
        <v>0.21350411956630699</v>
      </c>
      <c r="S3845">
        <v>14.502064930116401</v>
      </c>
      <c r="T3845">
        <v>-1.0722302027511701</v>
      </c>
      <c r="U3845">
        <v>-6.4682815605104</v>
      </c>
      <c r="V3845">
        <v>0.29786442640446498</v>
      </c>
      <c r="W3845">
        <v>0.57693502590483903</v>
      </c>
      <c r="X3845">
        <v>0</v>
      </c>
      <c r="Y3845">
        <v>0</v>
      </c>
    </row>
    <row r="3846" spans="1:25" x14ac:dyDescent="0.2">
      <c r="A3846" t="s">
        <v>14092</v>
      </c>
      <c r="B3846" t="s">
        <v>14093</v>
      </c>
      <c r="C3846" t="s">
        <v>14094</v>
      </c>
      <c r="D3846" t="s">
        <v>14095</v>
      </c>
      <c r="E3846" t="s">
        <v>14093</v>
      </c>
      <c r="F3846" t="s">
        <v>28</v>
      </c>
      <c r="G3846" t="s">
        <v>14093</v>
      </c>
      <c r="H3846" t="str">
        <f>"plx-1"</f>
        <v>plx-1</v>
      </c>
      <c r="I3846" t="s">
        <v>14095</v>
      </c>
      <c r="J3846">
        <v>13.6001160579216</v>
      </c>
      <c r="K3846" t="s">
        <v>29</v>
      </c>
      <c r="L3846">
        <v>13.4527622085598</v>
      </c>
      <c r="M3846">
        <v>13.227505449845101</v>
      </c>
      <c r="N3846">
        <v>13.4788726981509</v>
      </c>
      <c r="O3846">
        <v>13.7967077356457</v>
      </c>
      <c r="P3846">
        <v>-2.5410505360167E-2</v>
      </c>
      <c r="Q3846">
        <v>-0.72437588968051403</v>
      </c>
      <c r="R3846">
        <v>0.67355487896017996</v>
      </c>
      <c r="S3846">
        <v>13.038459152465199</v>
      </c>
      <c r="T3846">
        <v>-7.9287120667021205E-2</v>
      </c>
      <c r="U3846">
        <v>-6.9380564202008399</v>
      </c>
      <c r="V3846">
        <v>0.93812249808097503</v>
      </c>
      <c r="W3846">
        <v>0.97548444174126903</v>
      </c>
      <c r="X3846">
        <v>0</v>
      </c>
      <c r="Y3846">
        <v>0</v>
      </c>
    </row>
    <row r="3847" spans="1:25" x14ac:dyDescent="0.2">
      <c r="A3847" t="s">
        <v>14096</v>
      </c>
      <c r="B3847" t="s">
        <v>14097</v>
      </c>
      <c r="C3847" t="s">
        <v>14784</v>
      </c>
      <c r="D3847" t="s">
        <v>14098</v>
      </c>
      <c r="E3847" t="s">
        <v>14097</v>
      </c>
      <c r="F3847" t="s">
        <v>28</v>
      </c>
      <c r="G3847" t="s">
        <v>14097</v>
      </c>
      <c r="H3847" t="str">
        <f>"H35B03.2"</f>
        <v>H35B03.2</v>
      </c>
      <c r="I3847" t="s">
        <v>14098</v>
      </c>
      <c r="J3847" t="s">
        <v>29</v>
      </c>
      <c r="K3847">
        <v>11.6777049294913</v>
      </c>
      <c r="L3847" t="s">
        <v>29</v>
      </c>
      <c r="M3847" t="s">
        <v>29</v>
      </c>
      <c r="N3847" t="s">
        <v>29</v>
      </c>
      <c r="O3847" t="s">
        <v>29</v>
      </c>
      <c r="P3847" t="s">
        <v>29</v>
      </c>
      <c r="Q3847" t="s">
        <v>29</v>
      </c>
      <c r="R3847" t="s">
        <v>29</v>
      </c>
      <c r="S3847">
        <v>11.8732518996704</v>
      </c>
      <c r="T3847" t="s">
        <v>29</v>
      </c>
      <c r="U3847" t="s">
        <v>29</v>
      </c>
      <c r="V3847" t="s">
        <v>29</v>
      </c>
      <c r="W3847" t="s">
        <v>29</v>
      </c>
      <c r="X3847" t="s">
        <v>29</v>
      </c>
      <c r="Y3847" t="s">
        <v>29</v>
      </c>
    </row>
    <row r="3848" spans="1:25" x14ac:dyDescent="0.2">
      <c r="A3848" t="s">
        <v>14099</v>
      </c>
      <c r="B3848" t="s">
        <v>14100</v>
      </c>
      <c r="C3848" t="s">
        <v>14101</v>
      </c>
      <c r="D3848" t="s">
        <v>14102</v>
      </c>
      <c r="E3848" t="s">
        <v>14100</v>
      </c>
      <c r="F3848" t="s">
        <v>28</v>
      </c>
      <c r="G3848" t="s">
        <v>14100</v>
      </c>
      <c r="H3848" t="str">
        <f>"mtm-10"</f>
        <v>mtm-10</v>
      </c>
      <c r="I3848" t="s">
        <v>14102</v>
      </c>
      <c r="J3848" t="s">
        <v>29</v>
      </c>
      <c r="K3848" t="s">
        <v>29</v>
      </c>
      <c r="L3848" t="s">
        <v>29</v>
      </c>
      <c r="M3848" t="s">
        <v>29</v>
      </c>
      <c r="N3848" t="s">
        <v>29</v>
      </c>
      <c r="O3848">
        <v>9.4458399084131699</v>
      </c>
      <c r="P3848" t="s">
        <v>29</v>
      </c>
      <c r="Q3848" t="s">
        <v>29</v>
      </c>
      <c r="R3848" t="s">
        <v>29</v>
      </c>
      <c r="S3848">
        <v>11.2113334236528</v>
      </c>
      <c r="T3848" t="s">
        <v>29</v>
      </c>
      <c r="U3848" t="s">
        <v>29</v>
      </c>
      <c r="V3848" t="s">
        <v>29</v>
      </c>
      <c r="W3848" t="s">
        <v>29</v>
      </c>
      <c r="X3848" t="s">
        <v>29</v>
      </c>
      <c r="Y3848" t="s">
        <v>29</v>
      </c>
    </row>
    <row r="3849" spans="1:25" x14ac:dyDescent="0.2">
      <c r="A3849" t="s">
        <v>14103</v>
      </c>
      <c r="B3849" t="s">
        <v>14104</v>
      </c>
      <c r="C3849" t="s">
        <v>14105</v>
      </c>
      <c r="D3849" t="s">
        <v>416</v>
      </c>
      <c r="E3849" t="s">
        <v>14104</v>
      </c>
      <c r="F3849" t="s">
        <v>28</v>
      </c>
      <c r="G3849" t="s">
        <v>14104</v>
      </c>
      <c r="H3849" t="str">
        <f>"usp-4"</f>
        <v>usp-4</v>
      </c>
      <c r="I3849" t="s">
        <v>416</v>
      </c>
      <c r="J3849">
        <v>14.7036867028428</v>
      </c>
      <c r="K3849">
        <v>14.7420827574038</v>
      </c>
      <c r="L3849">
        <v>14.5123457499707</v>
      </c>
      <c r="M3849">
        <v>14.4993879721531</v>
      </c>
      <c r="N3849">
        <v>14.9223719832985</v>
      </c>
      <c r="O3849">
        <v>14.311314536958999</v>
      </c>
      <c r="P3849">
        <v>-7.5013572602227199E-2</v>
      </c>
      <c r="Q3849">
        <v>-0.60148902299269702</v>
      </c>
      <c r="R3849">
        <v>0.45146187778824298</v>
      </c>
      <c r="S3849">
        <v>14.1783388236802</v>
      </c>
      <c r="T3849">
        <v>-0.29947063126100398</v>
      </c>
      <c r="U3849">
        <v>-7.0052052565723901</v>
      </c>
      <c r="V3849">
        <v>0.76803137630184204</v>
      </c>
      <c r="W3849">
        <v>0.90125283032318604</v>
      </c>
      <c r="X3849">
        <v>0</v>
      </c>
      <c r="Y3849">
        <v>0</v>
      </c>
    </row>
    <row r="3850" spans="1:25" x14ac:dyDescent="0.2">
      <c r="A3850" t="s">
        <v>14106</v>
      </c>
      <c r="B3850" t="s">
        <v>14107</v>
      </c>
      <c r="C3850" t="s">
        <v>14785</v>
      </c>
      <c r="D3850" t="s">
        <v>865</v>
      </c>
      <c r="E3850" t="s">
        <v>14107</v>
      </c>
      <c r="F3850" t="s">
        <v>28</v>
      </c>
      <c r="G3850" t="s">
        <v>14107</v>
      </c>
      <c r="H3850" t="str">
        <f>"Y48G1C.8"</f>
        <v>Y48G1C.8</v>
      </c>
      <c r="I3850" t="s">
        <v>865</v>
      </c>
      <c r="J3850">
        <v>11.5591710238653</v>
      </c>
      <c r="K3850">
        <v>11.6055759491</v>
      </c>
      <c r="L3850">
        <v>11.991369001550099</v>
      </c>
      <c r="M3850" t="s">
        <v>29</v>
      </c>
      <c r="N3850">
        <v>11.6716990692968</v>
      </c>
      <c r="O3850">
        <v>11.4275534883389</v>
      </c>
      <c r="P3850">
        <v>-0.169079046020601</v>
      </c>
      <c r="Q3850">
        <v>-0.76235738048485702</v>
      </c>
      <c r="R3850">
        <v>0.42419928844365601</v>
      </c>
      <c r="S3850">
        <v>12.5468145946534</v>
      </c>
      <c r="T3850">
        <v>-0.61167846760066702</v>
      </c>
      <c r="U3850">
        <v>-6.7453827247514599</v>
      </c>
      <c r="V3850">
        <v>0.55062818297099803</v>
      </c>
      <c r="W3850">
        <v>0.78026605923509895</v>
      </c>
      <c r="X3850">
        <v>0</v>
      </c>
      <c r="Y3850">
        <v>0</v>
      </c>
    </row>
    <row r="3851" spans="1:25" x14ac:dyDescent="0.2">
      <c r="A3851" t="s">
        <v>14108</v>
      </c>
      <c r="B3851" t="s">
        <v>14109</v>
      </c>
      <c r="C3851" t="s">
        <v>14110</v>
      </c>
      <c r="D3851" t="s">
        <v>14111</v>
      </c>
      <c r="E3851" t="s">
        <v>14109</v>
      </c>
      <c r="F3851" t="s">
        <v>28</v>
      </c>
      <c r="G3851" t="s">
        <v>14109</v>
      </c>
      <c r="H3851" t="str">
        <f>"hecd-1"</f>
        <v>hecd-1</v>
      </c>
      <c r="I3851" t="s">
        <v>14111</v>
      </c>
      <c r="J3851">
        <v>15.023197289479301</v>
      </c>
      <c r="K3851">
        <v>14.8810006162396</v>
      </c>
      <c r="L3851">
        <v>14.836561689770701</v>
      </c>
      <c r="M3851">
        <v>14.9683954551817</v>
      </c>
      <c r="N3851">
        <v>15.23445288588</v>
      </c>
      <c r="O3851">
        <v>15.0530589754052</v>
      </c>
      <c r="P3851">
        <v>0.17171590699240499</v>
      </c>
      <c r="Q3851">
        <v>-0.29760207880668299</v>
      </c>
      <c r="R3851">
        <v>0.64103389279149403</v>
      </c>
      <c r="S3851">
        <v>15.3699245343053</v>
      </c>
      <c r="T3851">
        <v>0.77231299638984097</v>
      </c>
      <c r="U3851">
        <v>-6.7439682586081702</v>
      </c>
      <c r="V3851">
        <v>0.45059836877973702</v>
      </c>
      <c r="W3851">
        <v>0.71804460921119695</v>
      </c>
      <c r="X3851">
        <v>0</v>
      </c>
      <c r="Y3851">
        <v>0</v>
      </c>
    </row>
    <row r="3852" spans="1:25" x14ac:dyDescent="0.2">
      <c r="A3852" t="s">
        <v>14112</v>
      </c>
      <c r="B3852" t="s">
        <v>14113</v>
      </c>
      <c r="C3852" t="s">
        <v>14114</v>
      </c>
      <c r="D3852" t="s">
        <v>2477</v>
      </c>
      <c r="E3852" t="s">
        <v>14113</v>
      </c>
      <c r="F3852" t="s">
        <v>28</v>
      </c>
      <c r="G3852" t="s">
        <v>14113</v>
      </c>
      <c r="H3852" t="str">
        <f>"hgap-1"</f>
        <v>hgap-1</v>
      </c>
      <c r="I3852" t="s">
        <v>2477</v>
      </c>
      <c r="J3852">
        <v>12.7543106519368</v>
      </c>
      <c r="K3852">
        <v>12.393767725779499</v>
      </c>
      <c r="L3852">
        <v>12.5686201000221</v>
      </c>
      <c r="M3852">
        <v>11.6886958332801</v>
      </c>
      <c r="N3852">
        <v>12.305669342291999</v>
      </c>
      <c r="O3852">
        <v>12.8208111106467</v>
      </c>
      <c r="P3852">
        <v>-0.30050739717323999</v>
      </c>
      <c r="Q3852">
        <v>-0.97586547288192504</v>
      </c>
      <c r="R3852">
        <v>0.37485067853544601</v>
      </c>
      <c r="S3852">
        <v>12.3502918651995</v>
      </c>
      <c r="T3852">
        <v>-0.93521956258515504</v>
      </c>
      <c r="U3852">
        <v>-6.6046506687788602</v>
      </c>
      <c r="V3852">
        <v>0.36212486889026502</v>
      </c>
      <c r="W3852">
        <v>0.63936751132334302</v>
      </c>
      <c r="X3852">
        <v>0</v>
      </c>
      <c r="Y3852">
        <v>0</v>
      </c>
    </row>
    <row r="3853" spans="1:25" x14ac:dyDescent="0.2">
      <c r="A3853" t="s">
        <v>14115</v>
      </c>
      <c r="B3853" t="s">
        <v>14116</v>
      </c>
      <c r="C3853" t="s">
        <v>14117</v>
      </c>
      <c r="D3853" t="s">
        <v>8008</v>
      </c>
      <c r="E3853" t="s">
        <v>14116</v>
      </c>
      <c r="F3853" t="s">
        <v>28</v>
      </c>
      <c r="G3853" t="s">
        <v>14116</v>
      </c>
      <c r="H3853" t="str">
        <f>"acs-13"</f>
        <v>acs-13</v>
      </c>
      <c r="I3853" t="s">
        <v>8008</v>
      </c>
      <c r="J3853">
        <v>12.0246740500295</v>
      </c>
      <c r="K3853">
        <v>11.523625947593301</v>
      </c>
      <c r="L3853">
        <v>12.036403026662301</v>
      </c>
      <c r="M3853">
        <v>11.335188180362801</v>
      </c>
      <c r="N3853">
        <v>11.5915819574455</v>
      </c>
      <c r="O3853">
        <v>12.515712109575</v>
      </c>
      <c r="P3853">
        <v>-4.74069256339806E-2</v>
      </c>
      <c r="Q3853">
        <v>-0.57088956601856</v>
      </c>
      <c r="R3853">
        <v>0.47607571475059901</v>
      </c>
      <c r="S3853">
        <v>11.853248471573099</v>
      </c>
      <c r="T3853">
        <v>-0.19115669837836899</v>
      </c>
      <c r="U3853">
        <v>-7.0328976009472202</v>
      </c>
      <c r="V3853">
        <v>0.85068118897245104</v>
      </c>
      <c r="W3853">
        <v>0.94093204807378505</v>
      </c>
      <c r="X3853">
        <v>0</v>
      </c>
      <c r="Y3853">
        <v>0</v>
      </c>
    </row>
    <row r="3854" spans="1:25" x14ac:dyDescent="0.2">
      <c r="A3854" t="s">
        <v>14118</v>
      </c>
      <c r="B3854" t="s">
        <v>14119</v>
      </c>
      <c r="C3854" t="s">
        <v>14786</v>
      </c>
      <c r="D3854" t="s">
        <v>1007</v>
      </c>
      <c r="E3854" t="s">
        <v>14119</v>
      </c>
      <c r="F3854" t="s">
        <v>28</v>
      </c>
      <c r="G3854" t="s">
        <v>14119</v>
      </c>
      <c r="H3854" t="str">
        <f>"F41H10.3"</f>
        <v>F41H10.3</v>
      </c>
      <c r="I3854" t="s">
        <v>1007</v>
      </c>
      <c r="J3854">
        <v>12.5273362666865</v>
      </c>
      <c r="K3854">
        <v>11.4620497537463</v>
      </c>
      <c r="L3854">
        <v>10.6052267004205</v>
      </c>
      <c r="M3854" t="s">
        <v>29</v>
      </c>
      <c r="N3854" t="s">
        <v>29</v>
      </c>
      <c r="O3854" t="s">
        <v>29</v>
      </c>
      <c r="P3854" t="s">
        <v>29</v>
      </c>
      <c r="Q3854" t="s">
        <v>29</v>
      </c>
      <c r="R3854" t="s">
        <v>29</v>
      </c>
      <c r="S3854">
        <v>11.9811980416994</v>
      </c>
      <c r="T3854" t="s">
        <v>29</v>
      </c>
      <c r="U3854" t="s">
        <v>29</v>
      </c>
      <c r="V3854" t="s">
        <v>29</v>
      </c>
      <c r="W3854" t="s">
        <v>29</v>
      </c>
      <c r="X3854" t="s">
        <v>29</v>
      </c>
      <c r="Y3854" t="s">
        <v>29</v>
      </c>
    </row>
    <row r="3855" spans="1:25" x14ac:dyDescent="0.2">
      <c r="A3855" t="s">
        <v>14120</v>
      </c>
      <c r="B3855" t="s">
        <v>14121</v>
      </c>
      <c r="C3855" t="s">
        <v>14122</v>
      </c>
      <c r="D3855" t="s">
        <v>14123</v>
      </c>
      <c r="E3855" t="s">
        <v>14121</v>
      </c>
      <c r="F3855" t="s">
        <v>28</v>
      </c>
      <c r="G3855" t="s">
        <v>14121</v>
      </c>
      <c r="H3855" t="str">
        <f>"ketn-1"</f>
        <v>ketn-1</v>
      </c>
      <c r="I3855" t="s">
        <v>14123</v>
      </c>
      <c r="J3855">
        <v>15.103716979833401</v>
      </c>
      <c r="K3855">
        <v>15.4623022978016</v>
      </c>
      <c r="L3855">
        <v>16.544478261426001</v>
      </c>
      <c r="M3855">
        <v>16.511951287468701</v>
      </c>
      <c r="N3855">
        <v>15.101270339458299</v>
      </c>
      <c r="O3855">
        <v>16.4621659084914</v>
      </c>
      <c r="P3855">
        <v>0.32162999878579501</v>
      </c>
      <c r="Q3855">
        <v>-0.72548519646008103</v>
      </c>
      <c r="R3855">
        <v>1.3687451940316699</v>
      </c>
      <c r="S3855">
        <v>16.2373429852775</v>
      </c>
      <c r="T3855">
        <v>0.645586738058612</v>
      </c>
      <c r="U3855">
        <v>-6.8361891182357803</v>
      </c>
      <c r="V3855">
        <v>0.52673912992328198</v>
      </c>
      <c r="W3855">
        <v>0.770341181469824</v>
      </c>
      <c r="X3855">
        <v>0</v>
      </c>
      <c r="Y3855">
        <v>0</v>
      </c>
    </row>
    <row r="3856" spans="1:25" x14ac:dyDescent="0.2">
      <c r="A3856" t="s">
        <v>14124</v>
      </c>
      <c r="B3856" t="s">
        <v>14125</v>
      </c>
      <c r="C3856" t="s">
        <v>14126</v>
      </c>
      <c r="D3856" t="s">
        <v>9836</v>
      </c>
      <c r="E3856" t="s">
        <v>14125</v>
      </c>
      <c r="F3856" t="s">
        <v>28</v>
      </c>
      <c r="G3856" t="s">
        <v>14125</v>
      </c>
      <c r="H3856" t="str">
        <f>"xpo-3"</f>
        <v>xpo-3</v>
      </c>
      <c r="I3856" t="s">
        <v>9836</v>
      </c>
      <c r="J3856">
        <v>14.0061367430209</v>
      </c>
      <c r="K3856">
        <v>14.1326029824982</v>
      </c>
      <c r="L3856">
        <v>14.0312373769861</v>
      </c>
      <c r="M3856">
        <v>14.1709931344579</v>
      </c>
      <c r="N3856">
        <v>14.348491228460301</v>
      </c>
      <c r="O3856">
        <v>13.8351470518326</v>
      </c>
      <c r="P3856">
        <v>6.1551437415211303E-2</v>
      </c>
      <c r="Q3856">
        <v>-0.35867449405972002</v>
      </c>
      <c r="R3856">
        <v>0.481777368890142</v>
      </c>
      <c r="S3856">
        <v>14.190975708205601</v>
      </c>
      <c r="T3856">
        <v>0.30917570810597</v>
      </c>
      <c r="U3856">
        <v>-7.0019771346647097</v>
      </c>
      <c r="V3856">
        <v>0.76096816205725104</v>
      </c>
      <c r="W3856">
        <v>0.89933527288875903</v>
      </c>
      <c r="X3856">
        <v>0</v>
      </c>
      <c r="Y3856">
        <v>0</v>
      </c>
    </row>
    <row r="3857" spans="1:25" x14ac:dyDescent="0.2">
      <c r="A3857" t="s">
        <v>14127</v>
      </c>
      <c r="B3857" t="s">
        <v>14128</v>
      </c>
      <c r="C3857" t="s">
        <v>14129</v>
      </c>
      <c r="D3857" t="s">
        <v>189</v>
      </c>
      <c r="E3857" t="s">
        <v>14128</v>
      </c>
      <c r="F3857" t="s">
        <v>28</v>
      </c>
      <c r="G3857" t="s">
        <v>14128</v>
      </c>
      <c r="H3857" t="str">
        <f>"ints-3"</f>
        <v>ints-3</v>
      </c>
      <c r="I3857" t="s">
        <v>189</v>
      </c>
      <c r="J3857">
        <v>13.1110882620951</v>
      </c>
      <c r="K3857">
        <v>13.186789000538001</v>
      </c>
      <c r="L3857">
        <v>12.993529659673801</v>
      </c>
      <c r="M3857">
        <v>13.361493176866301</v>
      </c>
      <c r="N3857">
        <v>13.503713030183199</v>
      </c>
      <c r="O3857">
        <v>12.7391419165891</v>
      </c>
      <c r="P3857">
        <v>0.104313733777236</v>
      </c>
      <c r="Q3857">
        <v>-0.40009703437749899</v>
      </c>
      <c r="R3857">
        <v>0.60872450193197103</v>
      </c>
      <c r="S3857">
        <v>13.2624246091407</v>
      </c>
      <c r="T3857">
        <v>0.436523023430123</v>
      </c>
      <c r="U3857">
        <v>-6.9524768726509301</v>
      </c>
      <c r="V3857">
        <v>0.66798462254123203</v>
      </c>
      <c r="W3857">
        <v>0.850732666046641</v>
      </c>
      <c r="X3857">
        <v>0</v>
      </c>
      <c r="Y3857">
        <v>0</v>
      </c>
    </row>
    <row r="3858" spans="1:25" x14ac:dyDescent="0.2">
      <c r="A3858" t="s">
        <v>14130</v>
      </c>
      <c r="B3858" t="s">
        <v>14131</v>
      </c>
      <c r="C3858" t="s">
        <v>14132</v>
      </c>
      <c r="D3858" t="s">
        <v>14133</v>
      </c>
      <c r="E3858" t="s">
        <v>14131</v>
      </c>
      <c r="F3858" t="s">
        <v>28</v>
      </c>
      <c r="G3858" t="s">
        <v>14131</v>
      </c>
      <c r="H3858" t="str">
        <f>"nprl-2"</f>
        <v>nprl-2</v>
      </c>
      <c r="I3858" t="s">
        <v>14133</v>
      </c>
      <c r="J3858" t="s">
        <v>29</v>
      </c>
      <c r="K3858">
        <v>10.987030692826099</v>
      </c>
      <c r="L3858" t="s">
        <v>29</v>
      </c>
      <c r="M3858" t="s">
        <v>29</v>
      </c>
      <c r="N3858" t="s">
        <v>29</v>
      </c>
      <c r="O3858" t="s">
        <v>29</v>
      </c>
      <c r="P3858" t="s">
        <v>29</v>
      </c>
      <c r="Q3858" t="s">
        <v>29</v>
      </c>
      <c r="R3858" t="s">
        <v>29</v>
      </c>
      <c r="S3858">
        <v>11.6463863207898</v>
      </c>
      <c r="T3858" t="s">
        <v>29</v>
      </c>
      <c r="U3858" t="s">
        <v>29</v>
      </c>
      <c r="V3858" t="s">
        <v>29</v>
      </c>
      <c r="W3858" t="s">
        <v>29</v>
      </c>
      <c r="X3858" t="s">
        <v>29</v>
      </c>
      <c r="Y3858" t="s">
        <v>29</v>
      </c>
    </row>
    <row r="3859" spans="1:25" x14ac:dyDescent="0.2">
      <c r="A3859" t="s">
        <v>14134</v>
      </c>
      <c r="B3859" t="s">
        <v>14135</v>
      </c>
      <c r="C3859" t="s">
        <v>14136</v>
      </c>
      <c r="D3859" t="s">
        <v>14137</v>
      </c>
      <c r="E3859" t="s">
        <v>14135</v>
      </c>
      <c r="F3859" t="s">
        <v>28</v>
      </c>
      <c r="G3859" t="s">
        <v>14135</v>
      </c>
      <c r="H3859" t="str">
        <f>"cla-1"</f>
        <v>cla-1</v>
      </c>
      <c r="I3859" t="s">
        <v>14137</v>
      </c>
      <c r="J3859">
        <v>13.163096150151199</v>
      </c>
      <c r="K3859">
        <v>13.177639803832299</v>
      </c>
      <c r="L3859">
        <v>12.996499794554801</v>
      </c>
      <c r="M3859">
        <v>13.335895877299601</v>
      </c>
      <c r="N3859">
        <v>13.215097951171</v>
      </c>
      <c r="O3859">
        <v>13.4938378055322</v>
      </c>
      <c r="P3859">
        <v>0.235865295154811</v>
      </c>
      <c r="Q3859">
        <v>-0.156113312456481</v>
      </c>
      <c r="R3859">
        <v>0.62784390276610402</v>
      </c>
      <c r="S3859">
        <v>13.137214085788001</v>
      </c>
      <c r="T3859">
        <v>1.2762954122299599</v>
      </c>
      <c r="U3859">
        <v>-6.23427985600898</v>
      </c>
      <c r="V3859">
        <v>0.22018494228884899</v>
      </c>
      <c r="W3859">
        <v>0.48806662275743401</v>
      </c>
      <c r="X3859">
        <v>0</v>
      </c>
      <c r="Y3859">
        <v>0</v>
      </c>
    </row>
    <row r="3860" spans="1:25" x14ac:dyDescent="0.2">
      <c r="A3860" t="s">
        <v>14138</v>
      </c>
      <c r="B3860" t="s">
        <v>14139</v>
      </c>
      <c r="C3860" t="s">
        <v>14140</v>
      </c>
      <c r="D3860" t="s">
        <v>14141</v>
      </c>
      <c r="E3860" t="s">
        <v>14139</v>
      </c>
      <c r="F3860" t="s">
        <v>28</v>
      </c>
      <c r="G3860" t="s">
        <v>14139</v>
      </c>
      <c r="H3860" t="str">
        <f>"ntl-4"</f>
        <v>ntl-4</v>
      </c>
      <c r="I3860" t="s">
        <v>14141</v>
      </c>
      <c r="J3860">
        <v>12.679758853756301</v>
      </c>
      <c r="K3860">
        <v>13.427957067507601</v>
      </c>
      <c r="L3860">
        <v>13.576919959004201</v>
      </c>
      <c r="M3860">
        <v>12.9946461791102</v>
      </c>
      <c r="N3860">
        <v>13.094996919583901</v>
      </c>
      <c r="O3860">
        <v>13.112637350894699</v>
      </c>
      <c r="P3860">
        <v>-0.160785143559741</v>
      </c>
      <c r="Q3860">
        <v>-0.83376587488799703</v>
      </c>
      <c r="R3860">
        <v>0.51219558776851504</v>
      </c>
      <c r="S3860">
        <v>13.996576188774499</v>
      </c>
      <c r="T3860">
        <v>-0.50215269880827595</v>
      </c>
      <c r="U3860">
        <v>-6.92086908521288</v>
      </c>
      <c r="V3860">
        <v>0.62168275833229103</v>
      </c>
      <c r="W3860">
        <v>0.82267413404362499</v>
      </c>
      <c r="X3860">
        <v>0</v>
      </c>
      <c r="Y3860">
        <v>0</v>
      </c>
    </row>
    <row r="3861" spans="1:25" x14ac:dyDescent="0.2">
      <c r="A3861" t="s">
        <v>14142</v>
      </c>
      <c r="B3861" t="s">
        <v>14143</v>
      </c>
      <c r="C3861" t="s">
        <v>14787</v>
      </c>
      <c r="D3861" t="s">
        <v>14144</v>
      </c>
      <c r="E3861" t="s">
        <v>14143</v>
      </c>
      <c r="F3861" t="s">
        <v>28</v>
      </c>
      <c r="G3861" t="s">
        <v>14143</v>
      </c>
      <c r="H3861" t="str">
        <f>"Y92H12A.5"</f>
        <v>Y92H12A.5</v>
      </c>
      <c r="I3861" t="s">
        <v>14144</v>
      </c>
      <c r="J3861">
        <v>14.8403718267454</v>
      </c>
      <c r="K3861">
        <v>14.369067679178</v>
      </c>
      <c r="L3861">
        <v>14.474696429838099</v>
      </c>
      <c r="M3861">
        <v>14.645181210718601</v>
      </c>
      <c r="N3861">
        <v>14.778409151067301</v>
      </c>
      <c r="O3861">
        <v>14.4754584262711</v>
      </c>
      <c r="P3861">
        <v>7.1637617431829198E-2</v>
      </c>
      <c r="Q3861">
        <v>-0.31193492712457999</v>
      </c>
      <c r="R3861">
        <v>0.45521016198823799</v>
      </c>
      <c r="S3861">
        <v>14.355855322877099</v>
      </c>
      <c r="T3861">
        <v>0.39254200188134603</v>
      </c>
      <c r="U3861">
        <v>-6.9716820970194497</v>
      </c>
      <c r="V3861">
        <v>0.69929411215660198</v>
      </c>
      <c r="W3861">
        <v>0.86619834067665902</v>
      </c>
      <c r="X3861">
        <v>0</v>
      </c>
      <c r="Y3861">
        <v>0</v>
      </c>
    </row>
    <row r="3862" spans="1:25" x14ac:dyDescent="0.2">
      <c r="A3862" t="s">
        <v>14145</v>
      </c>
      <c r="B3862" t="s">
        <v>14146</v>
      </c>
      <c r="C3862" t="s">
        <v>14147</v>
      </c>
      <c r="D3862" t="s">
        <v>1151</v>
      </c>
      <c r="E3862" t="s">
        <v>14146</v>
      </c>
      <c r="F3862" t="s">
        <v>28</v>
      </c>
      <c r="G3862" t="s">
        <v>14146</v>
      </c>
      <c r="H3862" t="str">
        <f>"iglr-3"</f>
        <v>iglr-3</v>
      </c>
      <c r="I3862" t="s">
        <v>1151</v>
      </c>
      <c r="J3862" t="s">
        <v>29</v>
      </c>
      <c r="K3862" t="s">
        <v>29</v>
      </c>
      <c r="L3862" t="s">
        <v>29</v>
      </c>
      <c r="M3862" t="s">
        <v>29</v>
      </c>
      <c r="N3862" t="s">
        <v>29</v>
      </c>
      <c r="O3862" t="s">
        <v>29</v>
      </c>
      <c r="P3862" t="s">
        <v>29</v>
      </c>
      <c r="Q3862" t="s">
        <v>29</v>
      </c>
      <c r="R3862" t="s">
        <v>29</v>
      </c>
      <c r="S3862">
        <v>11.0407316476605</v>
      </c>
      <c r="T3862" t="s">
        <v>29</v>
      </c>
      <c r="U3862" t="s">
        <v>29</v>
      </c>
      <c r="V3862" t="s">
        <v>29</v>
      </c>
      <c r="W3862" t="s">
        <v>29</v>
      </c>
      <c r="X3862" t="s">
        <v>29</v>
      </c>
      <c r="Y3862" t="s">
        <v>29</v>
      </c>
    </row>
    <row r="3863" spans="1:25" x14ac:dyDescent="0.2">
      <c r="A3863" t="s">
        <v>14148</v>
      </c>
      <c r="B3863" t="s">
        <v>14149</v>
      </c>
      <c r="C3863" t="s">
        <v>14150</v>
      </c>
      <c r="D3863" t="s">
        <v>14151</v>
      </c>
      <c r="E3863" t="s">
        <v>14149</v>
      </c>
      <c r="F3863" t="s">
        <v>28</v>
      </c>
      <c r="G3863" t="s">
        <v>14149</v>
      </c>
      <c r="H3863" t="str">
        <f>"wnk-1"</f>
        <v>wnk-1</v>
      </c>
      <c r="I3863" t="s">
        <v>14151</v>
      </c>
      <c r="J3863" t="s">
        <v>29</v>
      </c>
      <c r="K3863" t="s">
        <v>29</v>
      </c>
      <c r="L3863" t="s">
        <v>29</v>
      </c>
      <c r="M3863" t="s">
        <v>29</v>
      </c>
      <c r="N3863">
        <v>11.869022756854701</v>
      </c>
      <c r="O3863">
        <v>11.7533195696444</v>
      </c>
      <c r="P3863" t="s">
        <v>29</v>
      </c>
      <c r="Q3863" t="s">
        <v>29</v>
      </c>
      <c r="R3863" t="s">
        <v>29</v>
      </c>
      <c r="S3863">
        <v>10.963162393276299</v>
      </c>
      <c r="T3863" t="s">
        <v>29</v>
      </c>
      <c r="U3863" t="s">
        <v>29</v>
      </c>
      <c r="V3863" t="s">
        <v>29</v>
      </c>
      <c r="W3863" t="s">
        <v>29</v>
      </c>
      <c r="X3863" t="s">
        <v>29</v>
      </c>
      <c r="Y3863" t="s">
        <v>29</v>
      </c>
    </row>
    <row r="3864" spans="1:25" x14ac:dyDescent="0.2">
      <c r="A3864" t="s">
        <v>14152</v>
      </c>
      <c r="B3864" t="s">
        <v>14153</v>
      </c>
      <c r="C3864" t="s">
        <v>14788</v>
      </c>
      <c r="D3864" t="s">
        <v>1035</v>
      </c>
      <c r="E3864" t="s">
        <v>14153</v>
      </c>
      <c r="F3864" t="s">
        <v>28</v>
      </c>
      <c r="G3864" t="s">
        <v>14153</v>
      </c>
      <c r="H3864" t="str">
        <f>"T28C6.7"</f>
        <v>T28C6.7</v>
      </c>
      <c r="I3864" t="s">
        <v>1035</v>
      </c>
      <c r="J3864">
        <v>13.7311123951244</v>
      </c>
      <c r="K3864">
        <v>14.155434717512501</v>
      </c>
      <c r="L3864">
        <v>13.346143614368</v>
      </c>
      <c r="M3864">
        <v>13.9734013092654</v>
      </c>
      <c r="N3864">
        <v>14.1769662821791</v>
      </c>
      <c r="O3864">
        <v>13.915295219658001</v>
      </c>
      <c r="P3864">
        <v>0.27765736136587699</v>
      </c>
      <c r="Q3864">
        <v>-0.64313814811285097</v>
      </c>
      <c r="R3864">
        <v>1.1984528708446101</v>
      </c>
      <c r="S3864">
        <v>13.6117209010065</v>
      </c>
      <c r="T3864">
        <v>0.63377997441123002</v>
      </c>
      <c r="U3864">
        <v>-6.8439269160925402</v>
      </c>
      <c r="V3864">
        <v>0.53424223726936304</v>
      </c>
      <c r="W3864">
        <v>0.77492902906669103</v>
      </c>
      <c r="X3864">
        <v>0</v>
      </c>
      <c r="Y3864">
        <v>0</v>
      </c>
    </row>
    <row r="3865" spans="1:25" x14ac:dyDescent="0.2">
      <c r="A3865" t="s">
        <v>14154</v>
      </c>
      <c r="B3865" t="s">
        <v>14155</v>
      </c>
      <c r="C3865" t="s">
        <v>14156</v>
      </c>
      <c r="D3865" t="s">
        <v>14157</v>
      </c>
      <c r="E3865" t="s">
        <v>14155</v>
      </c>
      <c r="F3865" t="s">
        <v>28</v>
      </c>
      <c r="G3865" t="s">
        <v>14155</v>
      </c>
      <c r="H3865" t="str">
        <f>"ekl-7"</f>
        <v>ekl-7</v>
      </c>
      <c r="I3865" t="s">
        <v>14157</v>
      </c>
      <c r="J3865">
        <v>10.789319970122699</v>
      </c>
      <c r="K3865" t="s">
        <v>29</v>
      </c>
      <c r="L3865">
        <v>11.220726006493001</v>
      </c>
      <c r="M3865" t="s">
        <v>29</v>
      </c>
      <c r="N3865" t="s">
        <v>29</v>
      </c>
      <c r="O3865" t="s">
        <v>29</v>
      </c>
      <c r="P3865" t="s">
        <v>29</v>
      </c>
      <c r="Q3865" t="s">
        <v>29</v>
      </c>
      <c r="R3865" t="s">
        <v>29</v>
      </c>
      <c r="S3865">
        <v>12.615949878611399</v>
      </c>
      <c r="T3865" t="s">
        <v>29</v>
      </c>
      <c r="U3865" t="s">
        <v>29</v>
      </c>
      <c r="V3865" t="s">
        <v>29</v>
      </c>
      <c r="W3865" t="s">
        <v>29</v>
      </c>
      <c r="X3865" t="s">
        <v>29</v>
      </c>
      <c r="Y3865" t="s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6DD03-F9C1-8B4B-B84A-2FB3AA846A3B}">
  <dimension ref="A1:Q3778"/>
  <sheetViews>
    <sheetView workbookViewId="0">
      <pane ySplit="1" topLeftCell="A2" activePane="bottomLeft" state="frozen"/>
      <selection pane="bottomLeft" activeCell="E16" sqref="E16"/>
    </sheetView>
  </sheetViews>
  <sheetFormatPr baseColWidth="10" defaultRowHeight="16" x14ac:dyDescent="0.2"/>
  <cols>
    <col min="1" max="1" width="12.33203125" customWidth="1"/>
    <col min="5" max="5" width="25.5" customWidth="1"/>
    <col min="17" max="17" width="23.5" customWidth="1"/>
  </cols>
  <sheetData>
    <row r="1" spans="1:17" x14ac:dyDescent="0.2">
      <c r="A1" s="1" t="s">
        <v>14922</v>
      </c>
      <c r="B1" s="36" t="s">
        <v>14789</v>
      </c>
      <c r="C1" s="1" t="s">
        <v>22</v>
      </c>
      <c r="E1" s="7" t="s">
        <v>14914</v>
      </c>
      <c r="G1" s="1" t="s">
        <v>14922</v>
      </c>
      <c r="H1" s="1" t="s">
        <v>9</v>
      </c>
      <c r="I1" s="1" t="s">
        <v>10</v>
      </c>
      <c r="J1" s="1" t="s">
        <v>11</v>
      </c>
      <c r="K1" s="1" t="s">
        <v>14792</v>
      </c>
      <c r="L1" s="1" t="s">
        <v>14881</v>
      </c>
      <c r="M1" s="1" t="s">
        <v>14882</v>
      </c>
      <c r="N1" s="1" t="s">
        <v>14883</v>
      </c>
      <c r="O1" s="1" t="s">
        <v>14884</v>
      </c>
      <c r="Q1" s="7" t="s">
        <v>14885</v>
      </c>
    </row>
    <row r="2" spans="1:17" x14ac:dyDescent="0.2">
      <c r="A2" s="4" t="str">
        <f>"mlt-3"</f>
        <v>mlt-3</v>
      </c>
      <c r="B2" s="4">
        <v>8.7502710599999993</v>
      </c>
      <c r="C2" s="5">
        <v>1.4502889346859701E-10</v>
      </c>
      <c r="E2" s="8" t="s">
        <v>14879</v>
      </c>
      <c r="G2" s="4" t="str">
        <f>"M01H9.3"</f>
        <v>M01H9.3</v>
      </c>
      <c r="H2" s="4" t="s">
        <v>14849</v>
      </c>
      <c r="I2" s="4" t="s">
        <v>14849</v>
      </c>
      <c r="J2" s="4" t="s">
        <v>14849</v>
      </c>
      <c r="K2" s="4" t="s">
        <v>14849</v>
      </c>
      <c r="L2" s="4">
        <v>18.933121073308801</v>
      </c>
      <c r="M2" s="4">
        <v>18.689462095533301</v>
      </c>
      <c r="N2" s="4">
        <v>18.606127803489098</v>
      </c>
      <c r="O2" s="4">
        <f t="shared" ref="O2:O33" si="0">(L2+M2+N2)/3</f>
        <v>18.742903657443733</v>
      </c>
      <c r="Q2" s="8" t="s">
        <v>14886</v>
      </c>
    </row>
    <row r="3" spans="1:17" x14ac:dyDescent="0.2">
      <c r="A3" s="4" t="str">
        <f>"nekl-3"</f>
        <v>nekl-3</v>
      </c>
      <c r="B3" s="4">
        <v>5.7826038000000004</v>
      </c>
      <c r="C3" s="5">
        <v>4.2705675280891198E-8</v>
      </c>
      <c r="E3" s="9" t="s">
        <v>14880</v>
      </c>
      <c r="G3" s="4" t="str">
        <f>"Y54G2A.40"</f>
        <v>Y54G2A.40</v>
      </c>
      <c r="H3" s="4" t="s">
        <v>14849</v>
      </c>
      <c r="I3" s="4" t="s">
        <v>14849</v>
      </c>
      <c r="J3" s="4" t="s">
        <v>14849</v>
      </c>
      <c r="K3" s="4" t="s">
        <v>14849</v>
      </c>
      <c r="L3" s="4">
        <v>17.110289982439401</v>
      </c>
      <c r="M3" s="4">
        <v>17.711652378246399</v>
      </c>
      <c r="N3" s="4">
        <v>17.091157580970201</v>
      </c>
      <c r="O3" s="4">
        <f t="shared" si="0"/>
        <v>17.304366647218668</v>
      </c>
      <c r="Q3" s="9" t="s">
        <v>14887</v>
      </c>
    </row>
    <row r="4" spans="1:17" x14ac:dyDescent="0.2">
      <c r="A4" s="4" t="str">
        <f>"bcc-1"</f>
        <v>bcc-1</v>
      </c>
      <c r="B4" s="4">
        <v>5.3665454700000002</v>
      </c>
      <c r="C4" s="5">
        <v>4.3700307708351098E-8</v>
      </c>
      <c r="E4" s="10">
        <f>151/(151+48)*100</f>
        <v>75.879396984924625</v>
      </c>
      <c r="G4" s="4" t="str">
        <f>"acbp-3"</f>
        <v>acbp-3</v>
      </c>
      <c r="H4" s="4" t="s">
        <v>14849</v>
      </c>
      <c r="I4" s="4" t="s">
        <v>14849</v>
      </c>
      <c r="J4" s="4" t="s">
        <v>14849</v>
      </c>
      <c r="K4" s="4" t="s">
        <v>14849</v>
      </c>
      <c r="L4" s="4">
        <v>17.3414222232377</v>
      </c>
      <c r="M4" s="4">
        <v>17.369246383196099</v>
      </c>
      <c r="N4" s="4">
        <v>16.723265254384</v>
      </c>
      <c r="O4" s="4">
        <f t="shared" si="0"/>
        <v>17.144644620272601</v>
      </c>
      <c r="Q4" s="11">
        <f>54/(54+27)*100</f>
        <v>66.666666666666657</v>
      </c>
    </row>
    <row r="5" spans="1:17" x14ac:dyDescent="0.2">
      <c r="A5" s="4" t="str">
        <f>"aldo-2"</f>
        <v>aldo-2</v>
      </c>
      <c r="B5" s="4">
        <v>5.3508158899999998</v>
      </c>
      <c r="C5" s="5">
        <v>1.1994443665292401E-9</v>
      </c>
      <c r="G5" s="4" t="str">
        <f>"tap-1"</f>
        <v>tap-1</v>
      </c>
      <c r="H5" s="4" t="s">
        <v>14849</v>
      </c>
      <c r="I5" s="4" t="s">
        <v>14849</v>
      </c>
      <c r="J5" s="4" t="s">
        <v>14849</v>
      </c>
      <c r="K5" s="4" t="s">
        <v>14849</v>
      </c>
      <c r="L5" s="4">
        <v>16.617980903303</v>
      </c>
      <c r="M5" s="4">
        <v>16.631076021781102</v>
      </c>
      <c r="N5" s="4">
        <v>16.176406195122901</v>
      </c>
      <c r="O5" s="4">
        <f t="shared" si="0"/>
        <v>16.475154373402336</v>
      </c>
    </row>
    <row r="6" spans="1:17" x14ac:dyDescent="0.2">
      <c r="A6" s="4" t="str">
        <f>"ampd-1"</f>
        <v>ampd-1</v>
      </c>
      <c r="B6" s="4">
        <v>5.1321707300000003</v>
      </c>
      <c r="C6" s="5">
        <v>4.66749683130938E-8</v>
      </c>
      <c r="G6" s="4" t="str">
        <f>"comt-3"</f>
        <v>comt-3</v>
      </c>
      <c r="H6" s="4" t="s">
        <v>14849</v>
      </c>
      <c r="I6" s="4" t="s">
        <v>14849</v>
      </c>
      <c r="J6" s="4" t="s">
        <v>14849</v>
      </c>
      <c r="K6" s="4" t="s">
        <v>14849</v>
      </c>
      <c r="L6" s="4">
        <v>16.327718587936001</v>
      </c>
      <c r="M6" s="4">
        <v>16.130922892822099</v>
      </c>
      <c r="N6" s="4">
        <v>15.600940953971399</v>
      </c>
      <c r="O6" s="4">
        <f t="shared" si="0"/>
        <v>16.019860811576503</v>
      </c>
    </row>
    <row r="7" spans="1:17" x14ac:dyDescent="0.2">
      <c r="A7" s="4" t="str">
        <f>"rsd-3"</f>
        <v>rsd-3</v>
      </c>
      <c r="B7" s="4">
        <v>4.9658691499999996</v>
      </c>
      <c r="C7" s="5">
        <v>3.1168777894273902E-5</v>
      </c>
      <c r="G7" s="4" t="str">
        <f>"gldi-7"</f>
        <v>gldi-7</v>
      </c>
      <c r="H7" s="4" t="s">
        <v>14849</v>
      </c>
      <c r="I7" s="4" t="s">
        <v>14849</v>
      </c>
      <c r="J7" s="4" t="s">
        <v>14849</v>
      </c>
      <c r="K7" s="4" t="s">
        <v>14849</v>
      </c>
      <c r="L7" s="4">
        <v>14.8857607437188</v>
      </c>
      <c r="M7" s="4">
        <v>15.0035845778193</v>
      </c>
      <c r="N7" s="4">
        <v>14.6379457856799</v>
      </c>
      <c r="O7" s="4">
        <f t="shared" si="0"/>
        <v>14.842430369072668</v>
      </c>
    </row>
    <row r="8" spans="1:17" x14ac:dyDescent="0.2">
      <c r="A8" s="4" t="str">
        <f>"C39D10.8"</f>
        <v>C39D10.8</v>
      </c>
      <c r="B8" s="4">
        <v>4.6515853399999996</v>
      </c>
      <c r="C8" s="5">
        <v>1.1994443665292401E-9</v>
      </c>
      <c r="G8" s="4" t="str">
        <f>"K02B12.7"</f>
        <v>K02B12.7</v>
      </c>
      <c r="H8" s="4" t="s">
        <v>14849</v>
      </c>
      <c r="I8" s="4" t="s">
        <v>14849</v>
      </c>
      <c r="J8" s="4" t="s">
        <v>14849</v>
      </c>
      <c r="K8" s="4" t="s">
        <v>14849</v>
      </c>
      <c r="L8" s="4">
        <v>15.026697247799</v>
      </c>
      <c r="M8" s="4">
        <v>14.705502181361201</v>
      </c>
      <c r="N8" s="4">
        <v>14.3077383152837</v>
      </c>
      <c r="O8" s="4">
        <f t="shared" si="0"/>
        <v>14.679979248147967</v>
      </c>
    </row>
    <row r="9" spans="1:17" x14ac:dyDescent="0.2">
      <c r="A9" s="4" t="str">
        <f>"xrn-1"</f>
        <v>xrn-1</v>
      </c>
      <c r="B9" s="4">
        <v>4.4667878999999999</v>
      </c>
      <c r="C9" s="5">
        <v>1.52481659243968E-5</v>
      </c>
      <c r="G9" s="4" t="str">
        <f>"clic-1"</f>
        <v>clic-1</v>
      </c>
      <c r="H9" s="4" t="s">
        <v>14849</v>
      </c>
      <c r="I9" s="4" t="s">
        <v>14849</v>
      </c>
      <c r="J9" s="4" t="s">
        <v>14849</v>
      </c>
      <c r="K9" s="4" t="s">
        <v>14849</v>
      </c>
      <c r="L9" s="4">
        <v>14.858452966252701</v>
      </c>
      <c r="M9" s="4">
        <v>14.340317962842599</v>
      </c>
      <c r="N9" s="4">
        <v>14.729120488643</v>
      </c>
      <c r="O9" s="4">
        <f t="shared" si="0"/>
        <v>14.642630472579434</v>
      </c>
    </row>
    <row r="10" spans="1:17" x14ac:dyDescent="0.2">
      <c r="A10" s="4" t="str">
        <f>"ZC247.1"</f>
        <v>ZC247.1</v>
      </c>
      <c r="B10" s="4">
        <v>4.4364364199999997</v>
      </c>
      <c r="C10" s="5">
        <v>4.3700307708351098E-8</v>
      </c>
      <c r="G10" s="4" t="str">
        <f>"ppfr-4"</f>
        <v>ppfr-4</v>
      </c>
      <c r="H10" s="4" t="s">
        <v>14849</v>
      </c>
      <c r="I10" s="4" t="s">
        <v>14849</v>
      </c>
      <c r="J10" s="4" t="s">
        <v>14849</v>
      </c>
      <c r="K10" s="4" t="s">
        <v>14849</v>
      </c>
      <c r="L10" s="4">
        <v>14.5807593143782</v>
      </c>
      <c r="M10" s="4">
        <v>14.375736227451799</v>
      </c>
      <c r="N10" s="4">
        <v>13.975024123319001</v>
      </c>
      <c r="O10" s="4">
        <f t="shared" si="0"/>
        <v>14.310506555049669</v>
      </c>
    </row>
    <row r="11" spans="1:17" x14ac:dyDescent="0.2">
      <c r="A11" s="4" t="str">
        <f>"nap-1"</f>
        <v>nap-1</v>
      </c>
      <c r="B11" s="4">
        <v>4.0422966200000001</v>
      </c>
      <c r="C11" s="5">
        <v>1.8389353428604199E-7</v>
      </c>
      <c r="G11" s="4" t="str">
        <f>"glna-2"</f>
        <v>glna-2</v>
      </c>
      <c r="H11" s="4" t="s">
        <v>14849</v>
      </c>
      <c r="I11" s="4" t="s">
        <v>14849</v>
      </c>
      <c r="J11" s="4" t="s">
        <v>14849</v>
      </c>
      <c r="K11" s="4" t="s">
        <v>14849</v>
      </c>
      <c r="L11" s="4">
        <v>13.950090145314199</v>
      </c>
      <c r="M11" s="4">
        <v>14.413422151482701</v>
      </c>
      <c r="N11" s="4">
        <v>14.417934543252599</v>
      </c>
      <c r="O11" s="4">
        <f t="shared" si="0"/>
        <v>14.260482280016499</v>
      </c>
    </row>
    <row r="12" spans="1:17" x14ac:dyDescent="0.2">
      <c r="A12" s="4" t="str">
        <f>"Y92H12BM.1"</f>
        <v>Y92H12BM.1</v>
      </c>
      <c r="B12" s="4">
        <v>4.0070155999999999</v>
      </c>
      <c r="C12" s="5">
        <v>4.2705675280891198E-8</v>
      </c>
      <c r="G12" s="4" t="str">
        <f>"acsd-1"</f>
        <v>acsd-1</v>
      </c>
      <c r="H12" s="4" t="s">
        <v>14849</v>
      </c>
      <c r="I12" s="4" t="s">
        <v>14849</v>
      </c>
      <c r="J12" s="4" t="s">
        <v>14849</v>
      </c>
      <c r="K12" s="4" t="s">
        <v>14849</v>
      </c>
      <c r="L12" s="4">
        <v>14.340547645839701</v>
      </c>
      <c r="M12" s="4">
        <v>14.298442903501201</v>
      </c>
      <c r="N12" s="4">
        <v>13.8604714438912</v>
      </c>
      <c r="O12" s="4">
        <f t="shared" si="0"/>
        <v>14.166487331077368</v>
      </c>
    </row>
    <row r="13" spans="1:17" x14ac:dyDescent="0.2">
      <c r="A13" s="4" t="str">
        <f>"sec-6"</f>
        <v>sec-6</v>
      </c>
      <c r="B13" s="4">
        <v>3.92269903</v>
      </c>
      <c r="C13" s="4">
        <v>1.17683495709377E-3</v>
      </c>
      <c r="G13" s="4" t="str">
        <f>"dnc-3"</f>
        <v>dnc-3</v>
      </c>
      <c r="H13" s="4" t="s">
        <v>14849</v>
      </c>
      <c r="I13" s="4" t="s">
        <v>14849</v>
      </c>
      <c r="J13" s="4" t="s">
        <v>14849</v>
      </c>
      <c r="K13" s="4" t="s">
        <v>14849</v>
      </c>
      <c r="L13" s="4">
        <v>14.3517052753388</v>
      </c>
      <c r="M13" s="4">
        <v>14.273756835671801</v>
      </c>
      <c r="N13" s="4">
        <v>13.7800647512005</v>
      </c>
      <c r="O13" s="4">
        <f t="shared" si="0"/>
        <v>14.135175620737032</v>
      </c>
    </row>
    <row r="14" spans="1:17" x14ac:dyDescent="0.2">
      <c r="A14" s="4" t="str">
        <f>"cdkr-3"</f>
        <v>cdkr-3</v>
      </c>
      <c r="B14" s="4">
        <v>3.8744321899999998</v>
      </c>
      <c r="C14" s="5">
        <v>4.3700307708351098E-8</v>
      </c>
      <c r="G14" s="4" t="str">
        <f>"C07A12.7"</f>
        <v>C07A12.7</v>
      </c>
      <c r="H14" s="4" t="s">
        <v>14849</v>
      </c>
      <c r="I14" s="4" t="s">
        <v>14849</v>
      </c>
      <c r="J14" s="4" t="s">
        <v>14849</v>
      </c>
      <c r="K14" s="4" t="s">
        <v>14849</v>
      </c>
      <c r="L14" s="4">
        <v>14.3781055097124</v>
      </c>
      <c r="M14" s="4">
        <v>14.258062838974199</v>
      </c>
      <c r="N14" s="4">
        <v>13.603288928191301</v>
      </c>
      <c r="O14" s="4">
        <f t="shared" si="0"/>
        <v>14.079819092292633</v>
      </c>
    </row>
    <row r="15" spans="1:17" x14ac:dyDescent="0.2">
      <c r="A15" s="4" t="str">
        <f>"alfa-1"</f>
        <v>alfa-1</v>
      </c>
      <c r="B15" s="4">
        <v>3.7856863600000001</v>
      </c>
      <c r="C15" s="5">
        <v>2.2762338062870001E-6</v>
      </c>
      <c r="G15" s="4" t="str">
        <f>"mdt-4"</f>
        <v>mdt-4</v>
      </c>
      <c r="H15" s="4" t="s">
        <v>14849</v>
      </c>
      <c r="I15" s="4" t="s">
        <v>14849</v>
      </c>
      <c r="J15" s="4" t="s">
        <v>14849</v>
      </c>
      <c r="K15" s="4" t="s">
        <v>14849</v>
      </c>
      <c r="L15" s="4">
        <v>14.288082302310199</v>
      </c>
      <c r="M15" s="4">
        <v>14.110814469054599</v>
      </c>
      <c r="N15" s="4">
        <v>13.811223370204701</v>
      </c>
      <c r="O15" s="4">
        <f t="shared" si="0"/>
        <v>14.070040047189833</v>
      </c>
    </row>
    <row r="16" spans="1:17" x14ac:dyDescent="0.2">
      <c r="A16" s="4" t="str">
        <f>"cogc-8"</f>
        <v>cogc-8</v>
      </c>
      <c r="B16" s="4">
        <v>3.7789490099999998</v>
      </c>
      <c r="C16" s="5">
        <v>5.6492417481798203E-6</v>
      </c>
      <c r="G16" s="4" t="str">
        <f>"F25H8.2"</f>
        <v>F25H8.2</v>
      </c>
      <c r="H16" s="4" t="s">
        <v>14849</v>
      </c>
      <c r="I16" s="4" t="s">
        <v>14849</v>
      </c>
      <c r="J16" s="4" t="s">
        <v>14849</v>
      </c>
      <c r="K16" s="4" t="s">
        <v>14849</v>
      </c>
      <c r="L16" s="4">
        <v>14.6681073964786</v>
      </c>
      <c r="M16" s="4">
        <v>13.9631214983878</v>
      </c>
      <c r="N16" s="4">
        <v>13.4484249167028</v>
      </c>
      <c r="O16" s="4">
        <f t="shared" si="0"/>
        <v>14.026551270523067</v>
      </c>
    </row>
    <row r="17" spans="1:15" x14ac:dyDescent="0.2">
      <c r="A17" s="4" t="str">
        <f>"saps-1"</f>
        <v>saps-1</v>
      </c>
      <c r="B17" s="4">
        <v>3.75489366</v>
      </c>
      <c r="C17" s="5">
        <v>6.5948335646771198E-7</v>
      </c>
      <c r="G17" s="4" t="str">
        <f>"T04A11.2"</f>
        <v>T04A11.2</v>
      </c>
      <c r="H17" s="4" t="s">
        <v>14849</v>
      </c>
      <c r="I17" s="4" t="s">
        <v>14849</v>
      </c>
      <c r="J17" s="4" t="s">
        <v>14849</v>
      </c>
      <c r="K17" s="4" t="s">
        <v>14849</v>
      </c>
      <c r="L17" s="4">
        <v>14.1078258198008</v>
      </c>
      <c r="M17" s="4">
        <v>13.9268885594176</v>
      </c>
      <c r="N17" s="4">
        <v>13.240046154694699</v>
      </c>
      <c r="O17" s="4">
        <f t="shared" si="0"/>
        <v>13.758253511304366</v>
      </c>
    </row>
    <row r="18" spans="1:15" x14ac:dyDescent="0.2">
      <c r="A18" s="4" t="str">
        <f>"erfa-3"</f>
        <v>erfa-3</v>
      </c>
      <c r="B18" s="4">
        <v>3.5938772700000001</v>
      </c>
      <c r="C18" s="5">
        <v>2.1890123139490901E-6</v>
      </c>
      <c r="G18" s="4" t="str">
        <f>"Y62E10A.13"</f>
        <v>Y62E10A.13</v>
      </c>
      <c r="H18" s="4" t="s">
        <v>14849</v>
      </c>
      <c r="I18" s="4" t="s">
        <v>14849</v>
      </c>
      <c r="J18" s="4" t="s">
        <v>14849</v>
      </c>
      <c r="K18" s="4" t="s">
        <v>14849</v>
      </c>
      <c r="L18" s="4">
        <v>14.1740450146343</v>
      </c>
      <c r="M18" s="4">
        <v>13.7159057161227</v>
      </c>
      <c r="N18" s="4">
        <v>13.2918348491913</v>
      </c>
      <c r="O18" s="4">
        <f t="shared" si="0"/>
        <v>13.727261859982766</v>
      </c>
    </row>
    <row r="19" spans="1:15" x14ac:dyDescent="0.2">
      <c r="A19" s="4" t="str">
        <f>"itsn-1"</f>
        <v>itsn-1</v>
      </c>
      <c r="B19" s="4">
        <v>3.5583325499999998</v>
      </c>
      <c r="C19" s="5">
        <v>1.6131271251388899E-5</v>
      </c>
      <c r="G19" s="4" t="str">
        <f>"clp-1"</f>
        <v>clp-1</v>
      </c>
      <c r="H19" s="4" t="s">
        <v>14849</v>
      </c>
      <c r="I19" s="4" t="s">
        <v>14849</v>
      </c>
      <c r="J19" s="4" t="s">
        <v>14849</v>
      </c>
      <c r="K19" s="4" t="s">
        <v>14849</v>
      </c>
      <c r="L19" s="4">
        <v>13.429438863971701</v>
      </c>
      <c r="M19" s="4">
        <v>13.667586088984599</v>
      </c>
      <c r="N19" s="4">
        <v>14.064322554099199</v>
      </c>
      <c r="O19" s="4">
        <f t="shared" si="0"/>
        <v>13.720449169018499</v>
      </c>
    </row>
    <row r="20" spans="1:15" x14ac:dyDescent="0.2">
      <c r="A20" s="4" t="str">
        <f>"F42A10.5"</f>
        <v>F42A10.5</v>
      </c>
      <c r="B20" s="4">
        <v>3.5289463200000002</v>
      </c>
      <c r="C20" s="5">
        <v>2.3178650069634401E-5</v>
      </c>
      <c r="G20" s="4" t="str">
        <f>"Y76A2B.5"</f>
        <v>Y76A2B.5</v>
      </c>
      <c r="H20" s="4" t="s">
        <v>14849</v>
      </c>
      <c r="I20" s="4" t="s">
        <v>14849</v>
      </c>
      <c r="J20" s="4" t="s">
        <v>14849</v>
      </c>
      <c r="K20" s="4" t="s">
        <v>14849</v>
      </c>
      <c r="L20" s="4">
        <v>13.9838715462572</v>
      </c>
      <c r="M20" s="4">
        <v>13.913838675590799</v>
      </c>
      <c r="N20" s="4">
        <v>12.945968202092001</v>
      </c>
      <c r="O20" s="4">
        <f t="shared" si="0"/>
        <v>13.614559474646668</v>
      </c>
    </row>
    <row r="21" spans="1:15" x14ac:dyDescent="0.2">
      <c r="A21" s="4" t="str">
        <f>"natc-1"</f>
        <v>natc-1</v>
      </c>
      <c r="B21" s="4">
        <v>3.5095056100000002</v>
      </c>
      <c r="C21" s="5">
        <v>1.184238774241E-5</v>
      </c>
      <c r="G21" s="4" t="str">
        <f>"tes-1"</f>
        <v>tes-1</v>
      </c>
      <c r="H21" s="4" t="s">
        <v>14849</v>
      </c>
      <c r="I21" s="4" t="s">
        <v>14849</v>
      </c>
      <c r="J21" s="4" t="s">
        <v>14849</v>
      </c>
      <c r="K21" s="4" t="s">
        <v>14849</v>
      </c>
      <c r="L21" s="4">
        <v>14.0406292074662</v>
      </c>
      <c r="M21" s="4">
        <v>13.497787380905899</v>
      </c>
      <c r="N21" s="4">
        <v>13.2877962834934</v>
      </c>
      <c r="O21" s="4">
        <f t="shared" si="0"/>
        <v>13.608737623955166</v>
      </c>
    </row>
    <row r="22" spans="1:15" x14ac:dyDescent="0.2">
      <c r="A22" s="4" t="str">
        <f>"lea-1"</f>
        <v>lea-1</v>
      </c>
      <c r="B22" s="4">
        <v>3.4661279899999999</v>
      </c>
      <c r="C22" s="5">
        <v>1.1554788265696601E-5</v>
      </c>
      <c r="G22" s="4" t="str">
        <f>"R12E2.11"</f>
        <v>R12E2.11</v>
      </c>
      <c r="H22" s="4" t="s">
        <v>14849</v>
      </c>
      <c r="I22" s="4" t="s">
        <v>14849</v>
      </c>
      <c r="J22" s="4" t="s">
        <v>14849</v>
      </c>
      <c r="K22" s="4" t="s">
        <v>14849</v>
      </c>
      <c r="L22" s="4">
        <v>13.869990039133899</v>
      </c>
      <c r="M22" s="4">
        <v>13.683144176210901</v>
      </c>
      <c r="N22" s="4">
        <v>13.236947371609499</v>
      </c>
      <c r="O22" s="4">
        <f t="shared" si="0"/>
        <v>13.5966938623181</v>
      </c>
    </row>
    <row r="23" spans="1:15" x14ac:dyDescent="0.2">
      <c r="A23" s="4" t="str">
        <f>"gln-3"</f>
        <v>gln-3</v>
      </c>
      <c r="B23" s="4">
        <v>3.4169033400000002</v>
      </c>
      <c r="C23" s="5">
        <v>8.4781006773234304E-5</v>
      </c>
      <c r="G23" s="4" t="str">
        <f>"T02G5.7"</f>
        <v>T02G5.7</v>
      </c>
      <c r="H23" s="4" t="s">
        <v>14849</v>
      </c>
      <c r="I23" s="4" t="s">
        <v>14849</v>
      </c>
      <c r="J23" s="4" t="s">
        <v>14849</v>
      </c>
      <c r="K23" s="4" t="s">
        <v>14849</v>
      </c>
      <c r="L23" s="4">
        <v>13.4622728199113</v>
      </c>
      <c r="M23" s="4">
        <v>13.301678478744799</v>
      </c>
      <c r="N23" s="4">
        <v>13.9236721961275</v>
      </c>
      <c r="O23" s="4">
        <f t="shared" si="0"/>
        <v>13.562541164927866</v>
      </c>
    </row>
    <row r="24" spans="1:15" x14ac:dyDescent="0.2">
      <c r="A24" s="4" t="str">
        <f>"mlt-2"</f>
        <v>mlt-2</v>
      </c>
      <c r="B24" s="4">
        <v>3.38133193</v>
      </c>
      <c r="C24" s="5">
        <v>6.4772326162414303E-8</v>
      </c>
      <c r="G24" s="4" t="str">
        <f>"F13E6.1"</f>
        <v>F13E6.1</v>
      </c>
      <c r="H24" s="4" t="s">
        <v>14849</v>
      </c>
      <c r="I24" s="4" t="s">
        <v>14849</v>
      </c>
      <c r="J24" s="4" t="s">
        <v>14849</v>
      </c>
      <c r="K24" s="4" t="s">
        <v>14849</v>
      </c>
      <c r="L24" s="4">
        <v>13.855884865617</v>
      </c>
      <c r="M24" s="4">
        <v>13.398046632123799</v>
      </c>
      <c r="N24" s="4">
        <v>13.338877371432</v>
      </c>
      <c r="O24" s="4">
        <f t="shared" si="0"/>
        <v>13.530936289724266</v>
      </c>
    </row>
    <row r="25" spans="1:15" x14ac:dyDescent="0.2">
      <c r="A25" s="4" t="str">
        <f>"tdo-2"</f>
        <v>tdo-2</v>
      </c>
      <c r="B25" s="4">
        <v>3.3200716199999998</v>
      </c>
      <c r="C25" s="5">
        <v>2.7414259269133901E-5</v>
      </c>
      <c r="G25" s="4" t="str">
        <f>"dhp-1"</f>
        <v>dhp-1</v>
      </c>
      <c r="H25" s="4" t="s">
        <v>14849</v>
      </c>
      <c r="I25" s="4" t="s">
        <v>14849</v>
      </c>
      <c r="J25" s="4" t="s">
        <v>14849</v>
      </c>
      <c r="K25" s="4" t="s">
        <v>14849</v>
      </c>
      <c r="L25" s="4">
        <v>13.676614373315701</v>
      </c>
      <c r="M25" s="4">
        <v>13.6694407400353</v>
      </c>
      <c r="N25" s="4">
        <v>12.933502334258</v>
      </c>
      <c r="O25" s="4">
        <f t="shared" si="0"/>
        <v>13.426519149203001</v>
      </c>
    </row>
    <row r="26" spans="1:15" x14ac:dyDescent="0.2">
      <c r="A26" s="4" t="str">
        <f>"rpn-11"</f>
        <v>rpn-11</v>
      </c>
      <c r="B26" s="4">
        <v>3.2093793900000001</v>
      </c>
      <c r="C26" s="5">
        <v>5.0426329092297497E-6</v>
      </c>
      <c r="G26" s="4" t="str">
        <f>"mom-4"</f>
        <v>mom-4</v>
      </c>
      <c r="H26" s="4" t="s">
        <v>14849</v>
      </c>
      <c r="I26" s="4" t="s">
        <v>14849</v>
      </c>
      <c r="J26" s="4" t="s">
        <v>14849</v>
      </c>
      <c r="K26" s="4" t="s">
        <v>14849</v>
      </c>
      <c r="L26" s="4">
        <v>13.913846028934501</v>
      </c>
      <c r="M26" s="4">
        <v>12.9774364352768</v>
      </c>
      <c r="N26" s="4">
        <v>13.251889194745999</v>
      </c>
      <c r="O26" s="4">
        <f t="shared" si="0"/>
        <v>13.381057219652433</v>
      </c>
    </row>
    <row r="27" spans="1:15" x14ac:dyDescent="0.2">
      <c r="A27" s="4" t="str">
        <f>"T04F3.1"</f>
        <v>T04F3.1</v>
      </c>
      <c r="B27" s="4">
        <v>3.0987646799999999</v>
      </c>
      <c r="C27" s="5">
        <v>3.1399438432434802E-7</v>
      </c>
      <c r="G27" s="4" t="str">
        <f>"ras-2"</f>
        <v>ras-2</v>
      </c>
      <c r="H27" s="4" t="s">
        <v>14849</v>
      </c>
      <c r="I27" s="4" t="s">
        <v>14849</v>
      </c>
      <c r="J27" s="4" t="s">
        <v>14849</v>
      </c>
      <c r="K27" s="4" t="s">
        <v>14849</v>
      </c>
      <c r="L27" s="4">
        <v>13.943178147647201</v>
      </c>
      <c r="M27" s="4">
        <v>13.6754200482215</v>
      </c>
      <c r="N27" s="4">
        <v>12.461485325121</v>
      </c>
      <c r="O27" s="4">
        <f t="shared" si="0"/>
        <v>13.3600278403299</v>
      </c>
    </row>
    <row r="28" spans="1:15" x14ac:dyDescent="0.2">
      <c r="A28" s="4" t="str">
        <f>"C05C8.7"</f>
        <v>C05C8.7</v>
      </c>
      <c r="B28" s="4">
        <v>3.03352939</v>
      </c>
      <c r="C28" s="5">
        <v>9.3862122886832199E-7</v>
      </c>
      <c r="G28" s="4" t="str">
        <f>"ret-1"</f>
        <v>ret-1</v>
      </c>
      <c r="H28" s="4" t="s">
        <v>14849</v>
      </c>
      <c r="I28" s="4" t="s">
        <v>14849</v>
      </c>
      <c r="J28" s="4" t="s">
        <v>14849</v>
      </c>
      <c r="K28" s="4" t="s">
        <v>14849</v>
      </c>
      <c r="L28" s="4">
        <v>12.894937074741801</v>
      </c>
      <c r="M28" s="4">
        <v>13.7541796267493</v>
      </c>
      <c r="N28" s="4">
        <v>13.215447674973101</v>
      </c>
      <c r="O28" s="4">
        <f t="shared" si="0"/>
        <v>13.288188125488068</v>
      </c>
    </row>
    <row r="29" spans="1:15" x14ac:dyDescent="0.2">
      <c r="A29" s="4" t="str">
        <f>"pck-2"</f>
        <v>pck-2</v>
      </c>
      <c r="B29" s="4">
        <v>2.9732325500000001</v>
      </c>
      <c r="C29" s="5">
        <v>7.3419611374031694E-8</v>
      </c>
      <c r="G29" s="4" t="str">
        <f>"pfd-2"</f>
        <v>pfd-2</v>
      </c>
      <c r="H29" s="4" t="s">
        <v>14849</v>
      </c>
      <c r="I29" s="4" t="s">
        <v>14849</v>
      </c>
      <c r="J29" s="4" t="s">
        <v>14849</v>
      </c>
      <c r="K29" s="4" t="s">
        <v>14849</v>
      </c>
      <c r="L29" s="4">
        <v>13.5128474884411</v>
      </c>
      <c r="M29" s="4">
        <v>13.2655622488767</v>
      </c>
      <c r="N29" s="4">
        <v>13.002124041379099</v>
      </c>
      <c r="O29" s="4">
        <f t="shared" si="0"/>
        <v>13.2601779262323</v>
      </c>
    </row>
    <row r="30" spans="1:15" x14ac:dyDescent="0.2">
      <c r="A30" s="4" t="str">
        <f>"ivns-1"</f>
        <v>ivns-1</v>
      </c>
      <c r="B30" s="4">
        <v>2.9625612800000001</v>
      </c>
      <c r="C30" s="5">
        <v>5.5138978958457899E-6</v>
      </c>
      <c r="G30" s="4" t="str">
        <f>"rsf-1"</f>
        <v>rsf-1</v>
      </c>
      <c r="H30" s="4" t="s">
        <v>14849</v>
      </c>
      <c r="I30" s="4" t="s">
        <v>14849</v>
      </c>
      <c r="J30" s="4" t="s">
        <v>14849</v>
      </c>
      <c r="K30" s="4" t="s">
        <v>14849</v>
      </c>
      <c r="L30" s="4">
        <v>13.2105347576236</v>
      </c>
      <c r="M30" s="4">
        <v>13.287301502273399</v>
      </c>
      <c r="N30" s="4">
        <v>13.262007920178201</v>
      </c>
      <c r="O30" s="4">
        <f t="shared" si="0"/>
        <v>13.253281393358399</v>
      </c>
    </row>
    <row r="31" spans="1:15" x14ac:dyDescent="0.2">
      <c r="A31" s="4" t="str">
        <f>"F27D4.4"</f>
        <v>F27D4.4</v>
      </c>
      <c r="B31" s="4">
        <v>2.9114228999999998</v>
      </c>
      <c r="C31" s="5">
        <v>9.0247904686146694E-5</v>
      </c>
      <c r="G31" s="4" t="str">
        <f>"T10G3.3"</f>
        <v>T10G3.3</v>
      </c>
      <c r="H31" s="4" t="s">
        <v>14849</v>
      </c>
      <c r="I31" s="4" t="s">
        <v>14849</v>
      </c>
      <c r="J31" s="4" t="s">
        <v>14849</v>
      </c>
      <c r="K31" s="4" t="s">
        <v>14849</v>
      </c>
      <c r="L31" s="4">
        <v>13.519836767643</v>
      </c>
      <c r="M31" s="4">
        <v>13.0422908583047</v>
      </c>
      <c r="N31" s="4">
        <v>12.7870155375305</v>
      </c>
      <c r="O31" s="4">
        <f t="shared" si="0"/>
        <v>13.116381054492734</v>
      </c>
    </row>
    <row r="32" spans="1:15" x14ac:dyDescent="0.2">
      <c r="A32" s="4" t="str">
        <f>"dnbp-1"</f>
        <v>dnbp-1</v>
      </c>
      <c r="B32" s="4">
        <v>2.8897819600000001</v>
      </c>
      <c r="C32" s="5">
        <v>4.4688216679811697E-5</v>
      </c>
      <c r="G32" s="4" t="str">
        <f>"ZK909.3"</f>
        <v>ZK909.3</v>
      </c>
      <c r="H32" s="4" t="s">
        <v>14849</v>
      </c>
      <c r="I32" s="4" t="s">
        <v>14849</v>
      </c>
      <c r="J32" s="4" t="s">
        <v>14849</v>
      </c>
      <c r="K32" s="4" t="s">
        <v>14849</v>
      </c>
      <c r="L32" s="4">
        <v>13.2462295301086</v>
      </c>
      <c r="M32" s="4">
        <v>13.6101428603687</v>
      </c>
      <c r="N32" s="4">
        <v>12.324248404766299</v>
      </c>
      <c r="O32" s="4">
        <f t="shared" si="0"/>
        <v>13.060206931747866</v>
      </c>
    </row>
    <row r="33" spans="1:15" x14ac:dyDescent="0.2">
      <c r="A33" s="4" t="str">
        <f>"Y92H12BL.7"</f>
        <v>Y92H12BL.7</v>
      </c>
      <c r="B33" s="4">
        <v>2.8322529900000002</v>
      </c>
      <c r="C33" s="5">
        <v>3.5166950622978598E-5</v>
      </c>
      <c r="G33" s="4" t="str">
        <f>"puf-9"</f>
        <v>puf-9</v>
      </c>
      <c r="H33" s="4" t="s">
        <v>14849</v>
      </c>
      <c r="I33" s="4" t="s">
        <v>14849</v>
      </c>
      <c r="J33" s="4" t="s">
        <v>14849</v>
      </c>
      <c r="K33" s="4" t="s">
        <v>14849</v>
      </c>
      <c r="L33" s="4">
        <v>13.345457398389</v>
      </c>
      <c r="M33" s="4">
        <v>12.527498078601401</v>
      </c>
      <c r="N33" s="4">
        <v>13.093603712046599</v>
      </c>
      <c r="O33" s="4">
        <f t="shared" si="0"/>
        <v>12.988853063012334</v>
      </c>
    </row>
    <row r="34" spans="1:15" x14ac:dyDescent="0.2">
      <c r="A34" s="4" t="str">
        <f>"rpap-2"</f>
        <v>rpap-2</v>
      </c>
      <c r="B34" s="4">
        <v>2.8222134799999998</v>
      </c>
      <c r="C34" s="4">
        <v>1.7698296417243699E-3</v>
      </c>
      <c r="G34" s="4" t="str">
        <f>"R05H10.1"</f>
        <v>R05H10.1</v>
      </c>
      <c r="H34" s="4" t="s">
        <v>14849</v>
      </c>
      <c r="I34" s="4" t="s">
        <v>14849</v>
      </c>
      <c r="J34" s="4" t="s">
        <v>14849</v>
      </c>
      <c r="K34" s="4" t="s">
        <v>14849</v>
      </c>
      <c r="L34" s="4">
        <v>13.455423464376199</v>
      </c>
      <c r="M34" s="4">
        <v>12.489113438793201</v>
      </c>
      <c r="N34" s="4">
        <v>12.9621058316489</v>
      </c>
      <c r="O34" s="4">
        <f t="shared" ref="O34:O55" si="1">(L34+M34+N34)/3</f>
        <v>12.968880911606099</v>
      </c>
    </row>
    <row r="35" spans="1:15" x14ac:dyDescent="0.2">
      <c r="A35" s="4" t="str">
        <f>"snap-29"</f>
        <v>snap-29</v>
      </c>
      <c r="B35" s="4">
        <v>2.8169225500000001</v>
      </c>
      <c r="C35" s="4">
        <v>1.8364150846733799E-4</v>
      </c>
      <c r="G35" s="4" t="str">
        <f>"best-3"</f>
        <v>best-3</v>
      </c>
      <c r="H35" s="4" t="s">
        <v>14849</v>
      </c>
      <c r="I35" s="4" t="s">
        <v>14849</v>
      </c>
      <c r="J35" s="4" t="s">
        <v>14849</v>
      </c>
      <c r="K35" s="4" t="s">
        <v>14849</v>
      </c>
      <c r="L35" s="4">
        <v>12.689978889333</v>
      </c>
      <c r="M35" s="4">
        <v>12.8043612143211</v>
      </c>
      <c r="N35" s="4">
        <v>12.9622120405126</v>
      </c>
      <c r="O35" s="4">
        <f t="shared" si="1"/>
        <v>12.818850714722233</v>
      </c>
    </row>
    <row r="36" spans="1:15" x14ac:dyDescent="0.2">
      <c r="A36" s="4" t="str">
        <f>"ced-3"</f>
        <v>ced-3</v>
      </c>
      <c r="B36" s="4">
        <v>2.79319366</v>
      </c>
      <c r="C36" s="5">
        <v>9.0247904686146694E-5</v>
      </c>
      <c r="G36" s="4" t="str">
        <f>"unc-25"</f>
        <v>unc-25</v>
      </c>
      <c r="H36" s="4" t="s">
        <v>14849</v>
      </c>
      <c r="I36" s="4" t="s">
        <v>14849</v>
      </c>
      <c r="J36" s="4" t="s">
        <v>14849</v>
      </c>
      <c r="K36" s="4" t="s">
        <v>14849</v>
      </c>
      <c r="L36" s="4">
        <v>12.7318469905237</v>
      </c>
      <c r="M36" s="4">
        <v>13.0763932363267</v>
      </c>
      <c r="N36" s="4">
        <v>12.470931179542299</v>
      </c>
      <c r="O36" s="4">
        <f t="shared" si="1"/>
        <v>12.7597238021309</v>
      </c>
    </row>
    <row r="37" spans="1:15" x14ac:dyDescent="0.2">
      <c r="A37" s="4" t="str">
        <f>"fah-1"</f>
        <v>fah-1</v>
      </c>
      <c r="B37" s="4">
        <v>2.7580216100000001</v>
      </c>
      <c r="C37" s="4">
        <v>1.7859130242978599E-4</v>
      </c>
      <c r="G37" s="4" t="str">
        <f>"cpin-1"</f>
        <v>cpin-1</v>
      </c>
      <c r="H37" s="4" t="s">
        <v>14849</v>
      </c>
      <c r="I37" s="4" t="s">
        <v>14849</v>
      </c>
      <c r="J37" s="4" t="s">
        <v>14849</v>
      </c>
      <c r="K37" s="4" t="s">
        <v>14849</v>
      </c>
      <c r="L37" s="4">
        <v>12.6344564300359</v>
      </c>
      <c r="M37" s="4">
        <v>13.118274306077801</v>
      </c>
      <c r="N37" s="4">
        <v>12.2831637932156</v>
      </c>
      <c r="O37" s="4">
        <f t="shared" si="1"/>
        <v>12.678631509776432</v>
      </c>
    </row>
    <row r="38" spans="1:15" x14ac:dyDescent="0.2">
      <c r="A38" s="4" t="str">
        <f>"K07E3.4"</f>
        <v>K07E3.4</v>
      </c>
      <c r="B38" s="4">
        <v>2.7573390099999999</v>
      </c>
      <c r="C38" s="5">
        <v>4.4734643307017501E-7</v>
      </c>
      <c r="G38" s="4" t="str">
        <f>"vha-7"</f>
        <v>vha-7</v>
      </c>
      <c r="H38" s="4" t="s">
        <v>14849</v>
      </c>
      <c r="I38" s="4" t="s">
        <v>14849</v>
      </c>
      <c r="J38" s="4" t="s">
        <v>14849</v>
      </c>
      <c r="K38" s="4" t="s">
        <v>14849</v>
      </c>
      <c r="L38" s="4">
        <v>12.872613976965299</v>
      </c>
      <c r="M38" s="4">
        <v>13.126488131715201</v>
      </c>
      <c r="N38" s="4">
        <v>11.9325486603346</v>
      </c>
      <c r="O38" s="4">
        <f t="shared" si="1"/>
        <v>12.643883589671701</v>
      </c>
    </row>
    <row r="39" spans="1:15" x14ac:dyDescent="0.2">
      <c r="A39" s="4" t="str">
        <f>"edc-4"</f>
        <v>edc-4</v>
      </c>
      <c r="B39" s="4">
        <v>2.74945087</v>
      </c>
      <c r="C39" s="5">
        <v>1.9713507413567901E-7</v>
      </c>
      <c r="G39" s="4" t="str">
        <f>"brap-2"</f>
        <v>brap-2</v>
      </c>
      <c r="H39" s="4" t="s">
        <v>14849</v>
      </c>
      <c r="I39" s="4" t="s">
        <v>14849</v>
      </c>
      <c r="J39" s="4" t="s">
        <v>14849</v>
      </c>
      <c r="K39" s="4" t="s">
        <v>14849</v>
      </c>
      <c r="L39" s="4">
        <v>12.387153086611301</v>
      </c>
      <c r="M39" s="4">
        <v>12.5163641558799</v>
      </c>
      <c r="N39" s="4">
        <v>12.5811922851963</v>
      </c>
      <c r="O39" s="4">
        <f t="shared" si="1"/>
        <v>12.494903175895834</v>
      </c>
    </row>
    <row r="40" spans="1:15" x14ac:dyDescent="0.2">
      <c r="A40" s="4" t="str">
        <f>"Y39G10AR.9"</f>
        <v>Y39G10AR.9</v>
      </c>
      <c r="B40" s="4">
        <v>2.6042900000000002</v>
      </c>
      <c r="C40" s="4">
        <v>1.57837846410947E-2</v>
      </c>
      <c r="G40" s="4" t="str">
        <f>"F53C11.5"</f>
        <v>F53C11.5</v>
      </c>
      <c r="H40" s="4" t="s">
        <v>14849</v>
      </c>
      <c r="I40" s="4" t="s">
        <v>14849</v>
      </c>
      <c r="J40" s="4" t="s">
        <v>14849</v>
      </c>
      <c r="K40" s="4" t="s">
        <v>14849</v>
      </c>
      <c r="L40" s="4">
        <v>12.801203116879201</v>
      </c>
      <c r="M40" s="4">
        <v>12.277559648338601</v>
      </c>
      <c r="N40" s="4">
        <v>12.287677408452099</v>
      </c>
      <c r="O40" s="4">
        <f t="shared" si="1"/>
        <v>12.455480057889966</v>
      </c>
    </row>
    <row r="41" spans="1:15" x14ac:dyDescent="0.2">
      <c r="A41" s="4" t="str">
        <f>"glna-1"</f>
        <v>glna-1</v>
      </c>
      <c r="B41" s="4">
        <v>2.5707475</v>
      </c>
      <c r="C41" s="5">
        <v>2.6092203921216098E-5</v>
      </c>
      <c r="G41" s="4" t="str">
        <f>"dnj-16"</f>
        <v>dnj-16</v>
      </c>
      <c r="H41" s="4" t="s">
        <v>14849</v>
      </c>
      <c r="I41" s="4" t="s">
        <v>14849</v>
      </c>
      <c r="J41" s="4" t="s">
        <v>14849</v>
      </c>
      <c r="K41" s="4" t="s">
        <v>14849</v>
      </c>
      <c r="L41" s="4">
        <v>13.234147686341499</v>
      </c>
      <c r="M41" s="4">
        <v>11.858583796120699</v>
      </c>
      <c r="N41" s="4">
        <v>12.2378071409497</v>
      </c>
      <c r="O41" s="4">
        <f t="shared" si="1"/>
        <v>12.443512874470633</v>
      </c>
    </row>
    <row r="42" spans="1:15" x14ac:dyDescent="0.2">
      <c r="A42" s="4" t="str">
        <f>"ZK1307.1"</f>
        <v>ZK1307.1</v>
      </c>
      <c r="B42" s="4">
        <v>2.56169658</v>
      </c>
      <c r="C42" s="4">
        <v>1.7785881887584401E-3</v>
      </c>
      <c r="G42" s="4" t="str">
        <f>"C23G10.2"</f>
        <v>C23G10.2</v>
      </c>
      <c r="H42" s="4" t="s">
        <v>14849</v>
      </c>
      <c r="I42" s="4" t="s">
        <v>14849</v>
      </c>
      <c r="J42" s="4" t="s">
        <v>14849</v>
      </c>
      <c r="K42" s="4" t="s">
        <v>14849</v>
      </c>
      <c r="L42" s="4">
        <v>12.244201991136901</v>
      </c>
      <c r="M42" s="4">
        <v>12.673584310520299</v>
      </c>
      <c r="N42" s="4">
        <v>12.3292508629727</v>
      </c>
      <c r="O42" s="4">
        <f t="shared" si="1"/>
        <v>12.415679054876634</v>
      </c>
    </row>
    <row r="43" spans="1:15" x14ac:dyDescent="0.2">
      <c r="A43" s="4" t="str">
        <f>"akt-2"</f>
        <v>akt-2</v>
      </c>
      <c r="B43" s="4">
        <v>2.5553375300000001</v>
      </c>
      <c r="C43" s="5">
        <v>1.1567600534707601E-6</v>
      </c>
      <c r="G43" s="4" t="str">
        <f>"unc-94"</f>
        <v>unc-94</v>
      </c>
      <c r="H43" s="4" t="s">
        <v>14849</v>
      </c>
      <c r="I43" s="4" t="s">
        <v>14849</v>
      </c>
      <c r="J43" s="4" t="s">
        <v>14849</v>
      </c>
      <c r="K43" s="4" t="s">
        <v>14849</v>
      </c>
      <c r="L43" s="4">
        <v>12.257760640612601</v>
      </c>
      <c r="M43" s="4">
        <v>12.4072511866082</v>
      </c>
      <c r="N43" s="4">
        <v>12.3580704046454</v>
      </c>
      <c r="O43" s="4">
        <f t="shared" si="1"/>
        <v>12.341027410622067</v>
      </c>
    </row>
    <row r="44" spans="1:15" x14ac:dyDescent="0.2">
      <c r="A44" s="4" t="str">
        <f>"phdh-1"</f>
        <v>phdh-1</v>
      </c>
      <c r="B44" s="4">
        <v>2.5464845500000002</v>
      </c>
      <c r="C44" s="4">
        <v>1.8364150846733799E-4</v>
      </c>
      <c r="G44" s="4" t="str">
        <f>"pud-1.2"</f>
        <v>pud-1.2</v>
      </c>
      <c r="H44" s="4" t="s">
        <v>14849</v>
      </c>
      <c r="I44" s="4" t="s">
        <v>14849</v>
      </c>
      <c r="J44" s="4" t="s">
        <v>14849</v>
      </c>
      <c r="K44" s="4" t="s">
        <v>14849</v>
      </c>
      <c r="L44" s="4">
        <v>11.482250964001301</v>
      </c>
      <c r="M44" s="4">
        <v>13.027540118755001</v>
      </c>
      <c r="N44" s="4">
        <v>12.3222352447943</v>
      </c>
      <c r="O44" s="4">
        <f t="shared" si="1"/>
        <v>12.277342109183534</v>
      </c>
    </row>
    <row r="45" spans="1:15" x14ac:dyDescent="0.2">
      <c r="A45" s="4" t="str">
        <f>"ttc-36"</f>
        <v>ttc-36</v>
      </c>
      <c r="B45" s="4">
        <v>2.5142452899999999</v>
      </c>
      <c r="C45" s="4">
        <v>5.0889525428195904E-3</v>
      </c>
      <c r="G45" s="4" t="str">
        <f>"R74.7"</f>
        <v>R74.7</v>
      </c>
      <c r="H45" s="4" t="s">
        <v>14849</v>
      </c>
      <c r="I45" s="4" t="s">
        <v>14849</v>
      </c>
      <c r="J45" s="4" t="s">
        <v>14849</v>
      </c>
      <c r="K45" s="4" t="s">
        <v>14849</v>
      </c>
      <c r="L45" s="4">
        <v>12.0918802020503</v>
      </c>
      <c r="M45" s="4">
        <v>13.313880515798401</v>
      </c>
      <c r="N45" s="4">
        <v>11.424761538800899</v>
      </c>
      <c r="O45" s="4">
        <f t="shared" si="1"/>
        <v>12.276840752216534</v>
      </c>
    </row>
    <row r="46" spans="1:15" x14ac:dyDescent="0.2">
      <c r="A46" s="4" t="str">
        <f>"hip-1"</f>
        <v>hip-1</v>
      </c>
      <c r="B46" s="4">
        <v>2.50832912</v>
      </c>
      <c r="C46" s="4">
        <v>2.12198790637689E-4</v>
      </c>
      <c r="G46" s="4" t="str">
        <f>"ubc-3"</f>
        <v>ubc-3</v>
      </c>
      <c r="H46" s="4" t="s">
        <v>14849</v>
      </c>
      <c r="I46" s="4" t="s">
        <v>14849</v>
      </c>
      <c r="J46" s="4" t="s">
        <v>14849</v>
      </c>
      <c r="K46" s="4" t="s">
        <v>14849</v>
      </c>
      <c r="L46" s="4">
        <v>12.289436649750201</v>
      </c>
      <c r="M46" s="4">
        <v>12.704559597584</v>
      </c>
      <c r="N46" s="4">
        <v>11.7937150551431</v>
      </c>
      <c r="O46" s="4">
        <f t="shared" si="1"/>
        <v>12.262570434159102</v>
      </c>
    </row>
    <row r="47" spans="1:15" x14ac:dyDescent="0.2">
      <c r="A47" s="4" t="str">
        <f>"mua-6"</f>
        <v>mua-6</v>
      </c>
      <c r="B47" s="4">
        <v>2.5074627999999999</v>
      </c>
      <c r="C47" s="5">
        <v>2.936290179106E-6</v>
      </c>
      <c r="G47" s="4" t="str">
        <f>"ndub-10"</f>
        <v>ndub-10</v>
      </c>
      <c r="H47" s="4" t="s">
        <v>14849</v>
      </c>
      <c r="I47" s="4" t="s">
        <v>14849</v>
      </c>
      <c r="J47" s="4" t="s">
        <v>14849</v>
      </c>
      <c r="K47" s="4" t="s">
        <v>14849</v>
      </c>
      <c r="L47" s="4">
        <v>12.084166018165799</v>
      </c>
      <c r="M47" s="4">
        <v>11.406272930597099</v>
      </c>
      <c r="N47" s="4">
        <v>13.123013683050701</v>
      </c>
      <c r="O47" s="4">
        <f t="shared" si="1"/>
        <v>12.204484210604534</v>
      </c>
    </row>
    <row r="48" spans="1:15" x14ac:dyDescent="0.2">
      <c r="A48" s="4" t="str">
        <f>"fln-2"</f>
        <v>fln-2</v>
      </c>
      <c r="B48" s="4">
        <v>2.4906758199999999</v>
      </c>
      <c r="C48" s="5">
        <v>1.52481659243968E-5</v>
      </c>
      <c r="G48" s="4" t="str">
        <f>"T28F4.5"</f>
        <v>T28F4.5</v>
      </c>
      <c r="H48" s="4" t="s">
        <v>14849</v>
      </c>
      <c r="I48" s="4" t="s">
        <v>14849</v>
      </c>
      <c r="J48" s="4" t="s">
        <v>14849</v>
      </c>
      <c r="K48" s="4" t="s">
        <v>14849</v>
      </c>
      <c r="L48" s="4">
        <v>12.957881010046799</v>
      </c>
      <c r="M48" s="4">
        <v>11.9938763049875</v>
      </c>
      <c r="N48" s="4">
        <v>11.4398566036133</v>
      </c>
      <c r="O48" s="4">
        <f t="shared" si="1"/>
        <v>12.130537972882534</v>
      </c>
    </row>
    <row r="49" spans="1:15" x14ac:dyDescent="0.2">
      <c r="A49" s="4" t="str">
        <f>"ZC412.5"</f>
        <v>ZC412.5</v>
      </c>
      <c r="B49" s="4">
        <v>2.4739337400000001</v>
      </c>
      <c r="C49" s="4">
        <v>4.42367101496123E-2</v>
      </c>
      <c r="G49" s="4" t="str">
        <f>"npp-14"</f>
        <v>npp-14</v>
      </c>
      <c r="H49" s="4" t="s">
        <v>14849</v>
      </c>
      <c r="I49" s="4" t="s">
        <v>14849</v>
      </c>
      <c r="J49" s="4" t="s">
        <v>14849</v>
      </c>
      <c r="K49" s="4" t="s">
        <v>14849</v>
      </c>
      <c r="L49" s="4">
        <v>12.532395299677299</v>
      </c>
      <c r="M49" s="4">
        <v>12.3592906917828</v>
      </c>
      <c r="N49" s="4">
        <v>11.453290975989599</v>
      </c>
      <c r="O49" s="4">
        <f t="shared" si="1"/>
        <v>12.114992322483232</v>
      </c>
    </row>
    <row r="50" spans="1:15" x14ac:dyDescent="0.2">
      <c r="A50" s="4" t="str">
        <f>"pmt-2"</f>
        <v>pmt-2</v>
      </c>
      <c r="B50" s="4">
        <v>2.4528562699999998</v>
      </c>
      <c r="C50" s="5">
        <v>5.0426329092297497E-6</v>
      </c>
      <c r="G50" s="4" t="str">
        <f>"C48B6.2"</f>
        <v>C48B6.2</v>
      </c>
      <c r="H50" s="4" t="s">
        <v>14849</v>
      </c>
      <c r="I50" s="4" t="s">
        <v>14849</v>
      </c>
      <c r="J50" s="4" t="s">
        <v>14849</v>
      </c>
      <c r="K50" s="4" t="s">
        <v>14849</v>
      </c>
      <c r="L50" s="4">
        <v>11.7755012798201</v>
      </c>
      <c r="M50" s="4">
        <v>11.811198400633</v>
      </c>
      <c r="N50" s="4">
        <v>12.4160564811431</v>
      </c>
      <c r="O50" s="4">
        <f t="shared" si="1"/>
        <v>12.000918720532068</v>
      </c>
    </row>
    <row r="51" spans="1:15" x14ac:dyDescent="0.2">
      <c r="A51" s="4" t="str">
        <f>"dpyd-1"</f>
        <v>dpyd-1</v>
      </c>
      <c r="B51" s="4">
        <v>2.44986412</v>
      </c>
      <c r="C51" s="4">
        <v>7.3895894970338197E-3</v>
      </c>
      <c r="G51" s="4" t="str">
        <f>"nhl-2"</f>
        <v>nhl-2</v>
      </c>
      <c r="H51" s="4" t="s">
        <v>14849</v>
      </c>
      <c r="I51" s="4" t="s">
        <v>14849</v>
      </c>
      <c r="J51" s="4" t="s">
        <v>14849</v>
      </c>
      <c r="K51" s="4" t="s">
        <v>14849</v>
      </c>
      <c r="L51" s="4">
        <v>11.695580363887601</v>
      </c>
      <c r="M51" s="4">
        <v>12.387852394415299</v>
      </c>
      <c r="N51" s="4">
        <v>11.8694296705174</v>
      </c>
      <c r="O51" s="4">
        <f t="shared" si="1"/>
        <v>11.984287476273431</v>
      </c>
    </row>
    <row r="52" spans="1:15" x14ac:dyDescent="0.2">
      <c r="A52" s="4" t="str">
        <f>"cash-1"</f>
        <v>cash-1</v>
      </c>
      <c r="B52" s="4">
        <v>2.4213452599999998</v>
      </c>
      <c r="C52" s="5">
        <v>2.3178650069634401E-5</v>
      </c>
      <c r="G52" s="4" t="str">
        <f>"vps-32.1"</f>
        <v>vps-32.1</v>
      </c>
      <c r="H52" s="4" t="s">
        <v>14849</v>
      </c>
      <c r="I52" s="4" t="s">
        <v>14849</v>
      </c>
      <c r="J52" s="4" t="s">
        <v>14849</v>
      </c>
      <c r="K52" s="4" t="s">
        <v>14849</v>
      </c>
      <c r="L52" s="4">
        <v>12.127012501089901</v>
      </c>
      <c r="M52" s="4">
        <v>11.7390051512919</v>
      </c>
      <c r="N52" s="4">
        <v>11.8378111754814</v>
      </c>
      <c r="O52" s="4">
        <f t="shared" si="1"/>
        <v>11.9012762759544</v>
      </c>
    </row>
    <row r="53" spans="1:15" x14ac:dyDescent="0.2">
      <c r="A53" s="4" t="str">
        <f>"cri-3"</f>
        <v>cri-3</v>
      </c>
      <c r="B53" s="4">
        <v>2.41599436</v>
      </c>
      <c r="C53" s="4">
        <v>3.8930466698189503E-2</v>
      </c>
      <c r="G53" s="4" t="str">
        <f>"egl-15"</f>
        <v>egl-15</v>
      </c>
      <c r="H53" s="4" t="s">
        <v>14849</v>
      </c>
      <c r="I53" s="4" t="s">
        <v>14849</v>
      </c>
      <c r="J53" s="4" t="s">
        <v>14849</v>
      </c>
      <c r="K53" s="4" t="s">
        <v>14849</v>
      </c>
      <c r="L53" s="4">
        <v>12.0627218424637</v>
      </c>
      <c r="M53" s="4">
        <v>10.5746252938551</v>
      </c>
      <c r="N53" s="4">
        <v>11.5693056440101</v>
      </c>
      <c r="O53" s="4">
        <f t="shared" si="1"/>
        <v>11.402217593442968</v>
      </c>
    </row>
    <row r="54" spans="1:15" x14ac:dyDescent="0.2">
      <c r="A54" s="4" t="str">
        <f>"exc-15"</f>
        <v>exc-15</v>
      </c>
      <c r="B54" s="4">
        <v>2.4044827199999999</v>
      </c>
      <c r="C54" s="4">
        <v>2.40056367491442E-3</v>
      </c>
      <c r="G54" s="4" t="str">
        <f>"ZK353.9"</f>
        <v>ZK353.9</v>
      </c>
      <c r="H54" s="4" t="s">
        <v>14849</v>
      </c>
      <c r="I54" s="4" t="s">
        <v>14849</v>
      </c>
      <c r="J54" s="4" t="s">
        <v>14849</v>
      </c>
      <c r="K54" s="4" t="s">
        <v>14849</v>
      </c>
      <c r="L54" s="4">
        <v>11.106140110681601</v>
      </c>
      <c r="M54" s="4">
        <v>11.2184562066991</v>
      </c>
      <c r="N54" s="4">
        <v>11.6959305371344</v>
      </c>
      <c r="O54" s="4">
        <f t="shared" si="1"/>
        <v>11.340175618171701</v>
      </c>
    </row>
    <row r="55" spans="1:15" x14ac:dyDescent="0.2">
      <c r="A55" s="4" t="str">
        <f>"pfkb-1.1"</f>
        <v>pfkb-1.1</v>
      </c>
      <c r="B55" s="4">
        <v>2.4038420700000001</v>
      </c>
      <c r="C55" s="4">
        <v>1.07001573164433E-2</v>
      </c>
      <c r="G55" s="4" t="str">
        <f>"R102.2"</f>
        <v>R102.2</v>
      </c>
      <c r="H55" s="4" t="s">
        <v>14849</v>
      </c>
      <c r="I55" s="4" t="s">
        <v>14849</v>
      </c>
      <c r="J55" s="4" t="s">
        <v>14849</v>
      </c>
      <c r="K55" s="4" t="s">
        <v>14849</v>
      </c>
      <c r="L55" s="4">
        <v>10.2253572951943</v>
      </c>
      <c r="M55" s="4">
        <v>9.5360657443959607</v>
      </c>
      <c r="N55" s="4">
        <v>11.4687405399462</v>
      </c>
      <c r="O55" s="4">
        <f t="shared" si="1"/>
        <v>10.410054526512154</v>
      </c>
    </row>
    <row r="56" spans="1:15" x14ac:dyDescent="0.2">
      <c r="A56" s="4" t="str">
        <f>"hpd-1"</f>
        <v>hpd-1</v>
      </c>
      <c r="B56" s="4">
        <v>2.3978030600000002</v>
      </c>
      <c r="C56" s="5">
        <v>3.4130775837939198E-6</v>
      </c>
      <c r="G56" s="6" t="str">
        <f>"B0205.10"</f>
        <v>B0205.10</v>
      </c>
      <c r="H56" s="6">
        <v>9.5059963692155396</v>
      </c>
      <c r="I56" s="6">
        <v>9.5615439099764394</v>
      </c>
      <c r="J56" s="6">
        <v>11.380879369163701</v>
      </c>
      <c r="K56" s="6">
        <f t="shared" ref="K56:K82" si="2">(H56+I56+J56)/3</f>
        <v>10.14947321611856</v>
      </c>
      <c r="L56" s="6" t="s">
        <v>14849</v>
      </c>
      <c r="M56" s="6" t="s">
        <v>14849</v>
      </c>
      <c r="N56" s="6" t="s">
        <v>14849</v>
      </c>
      <c r="O56" s="6" t="s">
        <v>14849</v>
      </c>
    </row>
    <row r="57" spans="1:15" x14ac:dyDescent="0.2">
      <c r="A57" s="4" t="str">
        <f>"dnj-11"</f>
        <v>dnj-11</v>
      </c>
      <c r="B57" s="4">
        <v>2.3458732499999999</v>
      </c>
      <c r="C57" s="5">
        <v>1.52481659243968E-5</v>
      </c>
      <c r="G57" s="6" t="str">
        <f>"gphr-1"</f>
        <v>gphr-1</v>
      </c>
      <c r="H57" s="6">
        <v>10.587332355293499</v>
      </c>
      <c r="I57" s="6">
        <v>10.184750237527799</v>
      </c>
      <c r="J57" s="6">
        <v>11.1793275590019</v>
      </c>
      <c r="K57" s="6">
        <f t="shared" si="2"/>
        <v>10.650470050607732</v>
      </c>
      <c r="L57" s="6" t="s">
        <v>14849</v>
      </c>
      <c r="M57" s="6" t="s">
        <v>14849</v>
      </c>
      <c r="N57" s="6" t="s">
        <v>14849</v>
      </c>
      <c r="O57" s="6" t="s">
        <v>14849</v>
      </c>
    </row>
    <row r="58" spans="1:15" x14ac:dyDescent="0.2">
      <c r="A58" s="4" t="str">
        <f>"Y55F3AM.9"</f>
        <v>Y55F3AM.9</v>
      </c>
      <c r="B58" s="4">
        <v>2.3337146400000002</v>
      </c>
      <c r="C58" s="4">
        <v>3.3606027482851802E-3</v>
      </c>
      <c r="G58" s="6" t="str">
        <f>"col-117"</f>
        <v>col-117</v>
      </c>
      <c r="H58" s="6">
        <v>11.165066323230899</v>
      </c>
      <c r="I58" s="6">
        <v>10.917623638670801</v>
      </c>
      <c r="J58" s="6">
        <v>10.682630218995101</v>
      </c>
      <c r="K58" s="6">
        <f t="shared" si="2"/>
        <v>10.921773393632266</v>
      </c>
      <c r="L58" s="6" t="s">
        <v>14849</v>
      </c>
      <c r="M58" s="6" t="s">
        <v>14849</v>
      </c>
      <c r="N58" s="6" t="s">
        <v>14849</v>
      </c>
      <c r="O58" s="6" t="s">
        <v>14849</v>
      </c>
    </row>
    <row r="59" spans="1:15" x14ac:dyDescent="0.2">
      <c r="A59" s="4" t="str">
        <f>"teg-4"</f>
        <v>teg-4</v>
      </c>
      <c r="B59" s="4">
        <v>2.24342358</v>
      </c>
      <c r="C59" s="5">
        <v>9.45789743572841E-6</v>
      </c>
      <c r="G59" s="6" t="str">
        <f>"rfp-1"</f>
        <v>rfp-1</v>
      </c>
      <c r="H59" s="6">
        <v>11.248834907491201</v>
      </c>
      <c r="I59" s="6">
        <v>11.0183464851442</v>
      </c>
      <c r="J59" s="6">
        <v>10.9646998386904</v>
      </c>
      <c r="K59" s="6">
        <f t="shared" si="2"/>
        <v>11.077293743775266</v>
      </c>
      <c r="L59" s="6" t="s">
        <v>14849</v>
      </c>
      <c r="M59" s="6" t="s">
        <v>14849</v>
      </c>
      <c r="N59" s="6" t="s">
        <v>14849</v>
      </c>
      <c r="O59" s="6" t="s">
        <v>14849</v>
      </c>
    </row>
    <row r="60" spans="1:15" x14ac:dyDescent="0.2">
      <c r="A60" s="4" t="str">
        <f>"prdx-2"</f>
        <v>prdx-2</v>
      </c>
      <c r="B60" s="4">
        <v>2.2392033900000001</v>
      </c>
      <c r="C60" s="5">
        <v>1.184238774241E-5</v>
      </c>
      <c r="G60" s="6" t="str">
        <f>"sqst-1"</f>
        <v>sqst-1</v>
      </c>
      <c r="H60" s="6">
        <v>10.1296427632373</v>
      </c>
      <c r="I60" s="6">
        <v>12.1239599765162</v>
      </c>
      <c r="J60" s="6">
        <v>11.3562568510447</v>
      </c>
      <c r="K60" s="6">
        <f t="shared" si="2"/>
        <v>11.203286530266068</v>
      </c>
      <c r="L60" s="6" t="s">
        <v>14849</v>
      </c>
      <c r="M60" s="6" t="s">
        <v>14849</v>
      </c>
      <c r="N60" s="6" t="s">
        <v>14849</v>
      </c>
      <c r="O60" s="6" t="s">
        <v>14849</v>
      </c>
    </row>
    <row r="61" spans="1:15" x14ac:dyDescent="0.2">
      <c r="A61" s="4" t="str">
        <f>"Y71F9AL.9"</f>
        <v>Y71F9AL.9</v>
      </c>
      <c r="B61" s="4">
        <v>2.2003697099999999</v>
      </c>
      <c r="C61" s="5">
        <v>3.4130775837939198E-6</v>
      </c>
      <c r="G61" s="6" t="str">
        <f>"F41H10.3"</f>
        <v>F41H10.3</v>
      </c>
      <c r="H61" s="6">
        <v>12.5273362666865</v>
      </c>
      <c r="I61" s="6">
        <v>11.4620497537463</v>
      </c>
      <c r="J61" s="6">
        <v>10.6052267004205</v>
      </c>
      <c r="K61" s="6">
        <f t="shared" si="2"/>
        <v>11.531537573617767</v>
      </c>
      <c r="L61" s="6" t="s">
        <v>14849</v>
      </c>
      <c r="M61" s="6" t="s">
        <v>14849</v>
      </c>
      <c r="N61" s="6" t="s">
        <v>14849</v>
      </c>
      <c r="O61" s="6" t="s">
        <v>14849</v>
      </c>
    </row>
    <row r="62" spans="1:15" x14ac:dyDescent="0.2">
      <c r="A62" s="4" t="str">
        <f>"C08F8.3"</f>
        <v>C08F8.3</v>
      </c>
      <c r="B62" s="4">
        <v>2.1865268100000002</v>
      </c>
      <c r="C62" s="4">
        <v>7.2999078268542999E-3</v>
      </c>
      <c r="G62" s="6" t="str">
        <f>"cku-80"</f>
        <v>cku-80</v>
      </c>
      <c r="H62" s="6">
        <v>11.696515478305599</v>
      </c>
      <c r="I62" s="6">
        <v>11.5289575546955</v>
      </c>
      <c r="J62" s="6">
        <v>11.4871711240019</v>
      </c>
      <c r="K62" s="6">
        <f t="shared" si="2"/>
        <v>11.570881385667667</v>
      </c>
      <c r="L62" s="6" t="s">
        <v>14849</v>
      </c>
      <c r="M62" s="6" t="s">
        <v>14849</v>
      </c>
      <c r="N62" s="6" t="s">
        <v>14849</v>
      </c>
      <c r="O62" s="6" t="s">
        <v>14849</v>
      </c>
    </row>
    <row r="63" spans="1:15" x14ac:dyDescent="0.2">
      <c r="A63" s="4" t="str">
        <f>"coel-1"</f>
        <v>coel-1</v>
      </c>
      <c r="B63" s="4">
        <v>2.18087096</v>
      </c>
      <c r="C63" s="5">
        <v>5.0426329092297497E-6</v>
      </c>
      <c r="G63" s="6" t="str">
        <f>"gld-4"</f>
        <v>gld-4</v>
      </c>
      <c r="H63" s="6">
        <v>11.253988126139699</v>
      </c>
      <c r="I63" s="6">
        <v>11.616233918751099</v>
      </c>
      <c r="J63" s="6">
        <v>11.961821930329799</v>
      </c>
      <c r="K63" s="6">
        <f t="shared" si="2"/>
        <v>11.610681325073534</v>
      </c>
      <c r="L63" s="6" t="s">
        <v>14849</v>
      </c>
      <c r="M63" s="6" t="s">
        <v>14849</v>
      </c>
      <c r="N63" s="6" t="s">
        <v>14849</v>
      </c>
      <c r="O63" s="6" t="s">
        <v>14849</v>
      </c>
    </row>
    <row r="64" spans="1:15" x14ac:dyDescent="0.2">
      <c r="A64" s="4" t="str">
        <f>"flor-1"</f>
        <v>flor-1</v>
      </c>
      <c r="B64" s="4">
        <v>2.1683910900000001</v>
      </c>
      <c r="C64" s="5">
        <v>8.2965634445795897E-5</v>
      </c>
      <c r="G64" s="6" t="str">
        <f>"B0024.13"</f>
        <v>B0024.13</v>
      </c>
      <c r="H64" s="6">
        <v>11.234825325599299</v>
      </c>
      <c r="I64" s="6">
        <v>11.7291307526763</v>
      </c>
      <c r="J64" s="6">
        <v>11.892217249845899</v>
      </c>
      <c r="K64" s="6">
        <f t="shared" si="2"/>
        <v>11.618724442707167</v>
      </c>
      <c r="L64" s="6" t="s">
        <v>14849</v>
      </c>
      <c r="M64" s="6" t="s">
        <v>14849</v>
      </c>
      <c r="N64" s="6" t="s">
        <v>14849</v>
      </c>
      <c r="O64" s="6" t="s">
        <v>14849</v>
      </c>
    </row>
    <row r="65" spans="1:15" x14ac:dyDescent="0.2">
      <c r="A65" s="4" t="str">
        <f>"vha-9"</f>
        <v>vha-9</v>
      </c>
      <c r="B65" s="4">
        <v>2.16464963</v>
      </c>
      <c r="C65" s="4">
        <v>3.3606027482851802E-3</v>
      </c>
      <c r="G65" s="6" t="str">
        <f>"melo-1"</f>
        <v>melo-1</v>
      </c>
      <c r="H65" s="6">
        <v>12.133956318950201</v>
      </c>
      <c r="I65" s="6">
        <v>11.7349946650906</v>
      </c>
      <c r="J65" s="6">
        <v>11.338320850971201</v>
      </c>
      <c r="K65" s="6">
        <f t="shared" si="2"/>
        <v>11.735757278337333</v>
      </c>
      <c r="L65" s="6" t="s">
        <v>14849</v>
      </c>
      <c r="M65" s="6" t="s">
        <v>14849</v>
      </c>
      <c r="N65" s="6" t="s">
        <v>14849</v>
      </c>
      <c r="O65" s="6" t="s">
        <v>14849</v>
      </c>
    </row>
    <row r="66" spans="1:15" x14ac:dyDescent="0.2">
      <c r="A66" s="4" t="str">
        <f>"mig-5"</f>
        <v>mig-5</v>
      </c>
      <c r="B66" s="4">
        <v>2.14548147</v>
      </c>
      <c r="C66" s="4">
        <v>2.16809063155942E-2</v>
      </c>
      <c r="G66" s="6" t="str">
        <f>"sap-49"</f>
        <v>sap-49</v>
      </c>
      <c r="H66" s="6">
        <v>11.173645008817701</v>
      </c>
      <c r="I66" s="6">
        <v>12.454680311186999</v>
      </c>
      <c r="J66" s="6">
        <v>11.6758353926077</v>
      </c>
      <c r="K66" s="6">
        <f t="shared" si="2"/>
        <v>11.7680535708708</v>
      </c>
      <c r="L66" s="6" t="s">
        <v>14849</v>
      </c>
      <c r="M66" s="6" t="s">
        <v>14849</v>
      </c>
      <c r="N66" s="6" t="s">
        <v>14849</v>
      </c>
      <c r="O66" s="6" t="s">
        <v>14849</v>
      </c>
    </row>
    <row r="67" spans="1:15" x14ac:dyDescent="0.2">
      <c r="A67" s="4" t="str">
        <f>"rga-3"</f>
        <v>rga-3</v>
      </c>
      <c r="B67" s="4">
        <v>2.1239196100000002</v>
      </c>
      <c r="C67" s="4">
        <v>1.7986705545211999E-2</v>
      </c>
      <c r="G67" s="6" t="str">
        <f>"ced-2"</f>
        <v>ced-2</v>
      </c>
      <c r="H67" s="6">
        <v>11.7556394345584</v>
      </c>
      <c r="I67" s="6">
        <v>12.1412821267069</v>
      </c>
      <c r="J67" s="6">
        <v>11.936972739859</v>
      </c>
      <c r="K67" s="6">
        <f t="shared" si="2"/>
        <v>11.944631433708102</v>
      </c>
      <c r="L67" s="6" t="s">
        <v>14849</v>
      </c>
      <c r="M67" s="6" t="s">
        <v>14849</v>
      </c>
      <c r="N67" s="6" t="s">
        <v>14849</v>
      </c>
      <c r="O67" s="6" t="s">
        <v>14849</v>
      </c>
    </row>
    <row r="68" spans="1:15" x14ac:dyDescent="0.2">
      <c r="A68" s="4" t="str">
        <f>"dcap-1"</f>
        <v>dcap-1</v>
      </c>
      <c r="B68" s="4">
        <v>2.0744674999999999</v>
      </c>
      <c r="C68" s="4">
        <v>1.3450162348961599E-3</v>
      </c>
      <c r="G68" s="6" t="str">
        <f>"aak-1"</f>
        <v>aak-1</v>
      </c>
      <c r="H68" s="6">
        <v>11.7625829885986</v>
      </c>
      <c r="I68" s="6">
        <v>12.214545169029</v>
      </c>
      <c r="J68" s="6">
        <v>11.898708095339099</v>
      </c>
      <c r="K68" s="6">
        <f t="shared" si="2"/>
        <v>11.958612084322233</v>
      </c>
      <c r="L68" s="6" t="s">
        <v>14849</v>
      </c>
      <c r="M68" s="6" t="s">
        <v>14849</v>
      </c>
      <c r="N68" s="6" t="s">
        <v>14849</v>
      </c>
      <c r="O68" s="6" t="s">
        <v>14849</v>
      </c>
    </row>
    <row r="69" spans="1:15" x14ac:dyDescent="0.2">
      <c r="A69" s="4" t="str">
        <f>"unk-1"</f>
        <v>unk-1</v>
      </c>
      <c r="B69" s="4">
        <v>2.07028503</v>
      </c>
      <c r="C69" s="4">
        <v>2.6878046233192701E-3</v>
      </c>
      <c r="G69" s="6" t="str">
        <f>"C03A3.2"</f>
        <v>C03A3.2</v>
      </c>
      <c r="H69" s="6">
        <v>11.4177179786731</v>
      </c>
      <c r="I69" s="6">
        <v>11.993357892055201</v>
      </c>
      <c r="J69" s="6">
        <v>12.5440623118213</v>
      </c>
      <c r="K69" s="6">
        <f t="shared" si="2"/>
        <v>11.985046060849868</v>
      </c>
      <c r="L69" s="6" t="s">
        <v>14849</v>
      </c>
      <c r="M69" s="6" t="s">
        <v>14849</v>
      </c>
      <c r="N69" s="6" t="s">
        <v>14849</v>
      </c>
      <c r="O69" s="6" t="s">
        <v>14849</v>
      </c>
    </row>
    <row r="70" spans="1:15" x14ac:dyDescent="0.2">
      <c r="A70" s="4" t="str">
        <f>"cst-1"</f>
        <v>cst-1</v>
      </c>
      <c r="B70" s="4">
        <v>2.0654842699999998</v>
      </c>
      <c r="C70" s="5">
        <v>4.1881063111340299E-5</v>
      </c>
      <c r="G70" s="6" t="str">
        <f>"Y74C10AL.2"</f>
        <v>Y74C10AL.2</v>
      </c>
      <c r="H70" s="6">
        <v>11.9205361296753</v>
      </c>
      <c r="I70" s="6">
        <v>11.892297610637099</v>
      </c>
      <c r="J70" s="6">
        <v>12.5893261304397</v>
      </c>
      <c r="K70" s="6">
        <f t="shared" si="2"/>
        <v>12.1340532902507</v>
      </c>
      <c r="L70" s="6" t="s">
        <v>14849</v>
      </c>
      <c r="M70" s="6" t="s">
        <v>14849</v>
      </c>
      <c r="N70" s="6" t="s">
        <v>14849</v>
      </c>
      <c r="O70" s="6" t="s">
        <v>14849</v>
      </c>
    </row>
    <row r="71" spans="1:15" x14ac:dyDescent="0.2">
      <c r="A71" s="4" t="str">
        <f>"pah-1"</f>
        <v>pah-1</v>
      </c>
      <c r="B71" s="4">
        <v>2.0519648400000001</v>
      </c>
      <c r="C71" s="5">
        <v>4.21090898846577E-5</v>
      </c>
      <c r="G71" s="6" t="str">
        <f>"Y87G2A.2"</f>
        <v>Y87G2A.2</v>
      </c>
      <c r="H71" s="6">
        <v>12.577658567560301</v>
      </c>
      <c r="I71" s="6">
        <v>12.092715059240099</v>
      </c>
      <c r="J71" s="6">
        <v>11.7880924675272</v>
      </c>
      <c r="K71" s="6">
        <f t="shared" si="2"/>
        <v>12.152822031442533</v>
      </c>
      <c r="L71" s="6" t="s">
        <v>14849</v>
      </c>
      <c r="M71" s="6" t="s">
        <v>14849</v>
      </c>
      <c r="N71" s="6" t="s">
        <v>14849</v>
      </c>
      <c r="O71" s="6" t="s">
        <v>14849</v>
      </c>
    </row>
    <row r="72" spans="1:15" x14ac:dyDescent="0.2">
      <c r="A72" s="4" t="str">
        <f>"alh-9"</f>
        <v>alh-9</v>
      </c>
      <c r="B72" s="4">
        <v>2.0365392199999999</v>
      </c>
      <c r="C72" s="4">
        <v>2.5676501600870201E-4</v>
      </c>
      <c r="G72" s="6" t="str">
        <f>"B0285.6"</f>
        <v>B0285.6</v>
      </c>
      <c r="H72" s="6">
        <v>12.7719258568538</v>
      </c>
      <c r="I72" s="6">
        <v>11.9099840568239</v>
      </c>
      <c r="J72" s="6">
        <v>12.2427503440239</v>
      </c>
      <c r="K72" s="6">
        <f t="shared" si="2"/>
        <v>12.308220085900535</v>
      </c>
      <c r="L72" s="6" t="s">
        <v>14849</v>
      </c>
      <c r="M72" s="6" t="s">
        <v>14849</v>
      </c>
      <c r="N72" s="6" t="s">
        <v>14849</v>
      </c>
      <c r="O72" s="6" t="s">
        <v>14849</v>
      </c>
    </row>
    <row r="73" spans="1:15" x14ac:dyDescent="0.2">
      <c r="A73" s="4" t="str">
        <f>"T20B12.7"</f>
        <v>T20B12.7</v>
      </c>
      <c r="B73" s="4">
        <v>2.02925975</v>
      </c>
      <c r="C73" s="5">
        <v>1.6131271251388899E-5</v>
      </c>
      <c r="G73" s="6" t="str">
        <f>"rnp-8"</f>
        <v>rnp-8</v>
      </c>
      <c r="H73" s="6">
        <v>11.9798431637821</v>
      </c>
      <c r="I73" s="6">
        <v>12.330829722527801</v>
      </c>
      <c r="J73" s="6">
        <v>12.892216805952801</v>
      </c>
      <c r="K73" s="6">
        <f t="shared" si="2"/>
        <v>12.400963230754234</v>
      </c>
      <c r="L73" s="6" t="s">
        <v>14849</v>
      </c>
      <c r="M73" s="6" t="s">
        <v>14849</v>
      </c>
      <c r="N73" s="6" t="s">
        <v>14849</v>
      </c>
      <c r="O73" s="6" t="s">
        <v>14849</v>
      </c>
    </row>
    <row r="74" spans="1:15" x14ac:dyDescent="0.2">
      <c r="A74" s="4" t="str">
        <f>"nbet-1"</f>
        <v>nbet-1</v>
      </c>
      <c r="B74" s="4">
        <v>2.0270968699999998</v>
      </c>
      <c r="C74" s="4">
        <v>2.2207865418359798E-2</v>
      </c>
      <c r="G74" s="6" t="str">
        <f>"erp-44.2"</f>
        <v>erp-44.2</v>
      </c>
      <c r="H74" s="6">
        <v>12.9094270497196</v>
      </c>
      <c r="I74" s="6">
        <v>12.052246930964101</v>
      </c>
      <c r="J74" s="6">
        <v>12.3646707601076</v>
      </c>
      <c r="K74" s="6">
        <f t="shared" si="2"/>
        <v>12.4421149135971</v>
      </c>
      <c r="L74" s="6" t="s">
        <v>14849</v>
      </c>
      <c r="M74" s="6" t="s">
        <v>14849</v>
      </c>
      <c r="N74" s="6" t="s">
        <v>14849</v>
      </c>
      <c r="O74" s="6" t="s">
        <v>14849</v>
      </c>
    </row>
    <row r="75" spans="1:15" x14ac:dyDescent="0.2">
      <c r="A75" s="4" t="str">
        <f>"tps-1"</f>
        <v>tps-1</v>
      </c>
      <c r="B75" s="4">
        <v>2.0089430500000001</v>
      </c>
      <c r="C75" s="4">
        <v>4.47439730694306E-4</v>
      </c>
      <c r="G75" s="6" t="str">
        <f>"Y17G7B.17"</f>
        <v>Y17G7B.17</v>
      </c>
      <c r="H75" s="6">
        <v>13.276190424464801</v>
      </c>
      <c r="I75" s="6">
        <v>12.953578128775201</v>
      </c>
      <c r="J75" s="6">
        <v>12.135557815695201</v>
      </c>
      <c r="K75" s="6">
        <f t="shared" si="2"/>
        <v>12.788442122978401</v>
      </c>
      <c r="L75" s="6" t="s">
        <v>14849</v>
      </c>
      <c r="M75" s="6" t="s">
        <v>14849</v>
      </c>
      <c r="N75" s="6" t="s">
        <v>14849</v>
      </c>
      <c r="O75" s="6" t="s">
        <v>14849</v>
      </c>
    </row>
    <row r="76" spans="1:15" x14ac:dyDescent="0.2">
      <c r="A76" s="4" t="str">
        <f>"dnc-4"</f>
        <v>dnc-4</v>
      </c>
      <c r="B76" s="4">
        <v>1.9820642399999999</v>
      </c>
      <c r="C76" s="4">
        <v>1.9928451938042199E-2</v>
      </c>
      <c r="G76" s="6" t="str">
        <f>"C43E11.9"</f>
        <v>C43E11.9</v>
      </c>
      <c r="H76" s="6">
        <v>12.109421597856899</v>
      </c>
      <c r="I76" s="6">
        <v>13.4467035080902</v>
      </c>
      <c r="J76" s="6">
        <v>13.2815944614073</v>
      </c>
      <c r="K76" s="6">
        <f t="shared" si="2"/>
        <v>12.945906522451466</v>
      </c>
      <c r="L76" s="6" t="s">
        <v>14849</v>
      </c>
      <c r="M76" s="6" t="s">
        <v>14849</v>
      </c>
      <c r="N76" s="6" t="s">
        <v>14849</v>
      </c>
      <c r="O76" s="6" t="s">
        <v>14849</v>
      </c>
    </row>
    <row r="77" spans="1:15" x14ac:dyDescent="0.2">
      <c r="A77" s="4" t="str">
        <f>"vha-10"</f>
        <v>vha-10</v>
      </c>
      <c r="B77" s="4">
        <v>1.94926048</v>
      </c>
      <c r="C77" s="4">
        <v>3.5983231873012202E-2</v>
      </c>
      <c r="G77" s="6" t="str">
        <f>"Y17G7B.18"</f>
        <v>Y17G7B.18</v>
      </c>
      <c r="H77" s="6">
        <v>13.187405855401099</v>
      </c>
      <c r="I77" s="6">
        <v>13.2122937480177</v>
      </c>
      <c r="J77" s="6">
        <v>12.6662598183357</v>
      </c>
      <c r="K77" s="6">
        <f t="shared" si="2"/>
        <v>13.021986473918167</v>
      </c>
      <c r="L77" s="6" t="s">
        <v>14849</v>
      </c>
      <c r="M77" s="6" t="s">
        <v>14849</v>
      </c>
      <c r="N77" s="6" t="s">
        <v>14849</v>
      </c>
      <c r="O77" s="6" t="s">
        <v>14849</v>
      </c>
    </row>
    <row r="78" spans="1:15" x14ac:dyDescent="0.2">
      <c r="A78" s="4" t="str">
        <f>"pes-7"</f>
        <v>pes-7</v>
      </c>
      <c r="B78" s="4">
        <v>1.9256275300000001</v>
      </c>
      <c r="C78" s="4">
        <v>1.3450162348961599E-3</v>
      </c>
      <c r="G78" s="6" t="str">
        <f>"gld-3"</f>
        <v>gld-3</v>
      </c>
      <c r="H78" s="6">
        <v>14.187160240648</v>
      </c>
      <c r="I78" s="6">
        <v>11.9646516047459</v>
      </c>
      <c r="J78" s="6">
        <v>12.9686340781645</v>
      </c>
      <c r="K78" s="6">
        <f t="shared" si="2"/>
        <v>13.040148641186134</v>
      </c>
      <c r="L78" s="6" t="s">
        <v>14849</v>
      </c>
      <c r="M78" s="6" t="s">
        <v>14849</v>
      </c>
      <c r="N78" s="6" t="s">
        <v>14849</v>
      </c>
      <c r="O78" s="6" t="s">
        <v>14849</v>
      </c>
    </row>
    <row r="79" spans="1:15" x14ac:dyDescent="0.2">
      <c r="A79" s="4" t="str">
        <f>"F46H5.7"</f>
        <v>F46H5.7</v>
      </c>
      <c r="B79" s="4">
        <v>1.8976919400000001</v>
      </c>
      <c r="C79" s="4">
        <v>7.2374458209678002E-3</v>
      </c>
      <c r="G79" s="6" t="str">
        <f>"rsp-7"</f>
        <v>rsp-7</v>
      </c>
      <c r="H79" s="6">
        <v>13.6779311885282</v>
      </c>
      <c r="I79" s="6">
        <v>12.561133643612401</v>
      </c>
      <c r="J79" s="6">
        <v>12.983153266851801</v>
      </c>
      <c r="K79" s="6">
        <f t="shared" si="2"/>
        <v>13.074072699664134</v>
      </c>
      <c r="L79" s="6" t="s">
        <v>14849</v>
      </c>
      <c r="M79" s="6" t="s">
        <v>14849</v>
      </c>
      <c r="N79" s="6" t="s">
        <v>14849</v>
      </c>
      <c r="O79" s="6" t="s">
        <v>14849</v>
      </c>
    </row>
    <row r="80" spans="1:15" x14ac:dyDescent="0.2">
      <c r="A80" s="4" t="str">
        <f>"spd-2"</f>
        <v>spd-2</v>
      </c>
      <c r="B80" s="4">
        <v>1.8861265700000001</v>
      </c>
      <c r="C80" s="4">
        <v>3.41832837715738E-2</v>
      </c>
      <c r="G80" s="6" t="str">
        <f>"F33H2.8"</f>
        <v>F33H2.8</v>
      </c>
      <c r="H80" s="6">
        <v>13.3035959659239</v>
      </c>
      <c r="I80" s="6">
        <v>13.249124556482</v>
      </c>
      <c r="J80" s="6">
        <v>12.9553514743083</v>
      </c>
      <c r="K80" s="6">
        <f t="shared" si="2"/>
        <v>13.169357332238066</v>
      </c>
      <c r="L80" s="6" t="s">
        <v>14849</v>
      </c>
      <c r="M80" s="6" t="s">
        <v>14849</v>
      </c>
      <c r="N80" s="6" t="s">
        <v>14849</v>
      </c>
      <c r="O80" s="6" t="s">
        <v>14849</v>
      </c>
    </row>
    <row r="81" spans="1:15" x14ac:dyDescent="0.2">
      <c r="A81" s="4" t="str">
        <f>"ZK822.1"</f>
        <v>ZK822.1</v>
      </c>
      <c r="B81" s="4">
        <v>1.8663362800000001</v>
      </c>
      <c r="C81" s="4">
        <v>1.84307604537557E-3</v>
      </c>
      <c r="G81" s="6" t="str">
        <f>"mrpl-35"</f>
        <v>mrpl-35</v>
      </c>
      <c r="H81" s="6">
        <v>13.3318404776718</v>
      </c>
      <c r="I81" s="6">
        <v>13.3310673398961</v>
      </c>
      <c r="J81" s="6">
        <v>13.1435076746676</v>
      </c>
      <c r="K81" s="6">
        <f t="shared" si="2"/>
        <v>13.268805164078501</v>
      </c>
      <c r="L81" s="6" t="s">
        <v>14849</v>
      </c>
      <c r="M81" s="6" t="s">
        <v>14849</v>
      </c>
      <c r="N81" s="6" t="s">
        <v>14849</v>
      </c>
      <c r="O81" s="6" t="s">
        <v>14849</v>
      </c>
    </row>
    <row r="82" spans="1:15" x14ac:dyDescent="0.2">
      <c r="A82" s="4" t="str">
        <f>"mog-4"</f>
        <v>mog-4</v>
      </c>
      <c r="B82" s="4">
        <v>1.8525705299999999</v>
      </c>
      <c r="C82" s="5">
        <v>1.52481659243968E-5</v>
      </c>
      <c r="G82" s="6" t="str">
        <f>"Y105E8A.21"</f>
        <v>Y105E8A.21</v>
      </c>
      <c r="H82" s="6">
        <v>13.5131058005909</v>
      </c>
      <c r="I82" s="6">
        <v>13.750824469487</v>
      </c>
      <c r="J82" s="6">
        <v>13.267384070481301</v>
      </c>
      <c r="K82" s="6">
        <f t="shared" si="2"/>
        <v>13.510438113519733</v>
      </c>
      <c r="L82" s="6" t="s">
        <v>14849</v>
      </c>
      <c r="M82" s="6" t="s">
        <v>14849</v>
      </c>
      <c r="N82" s="6" t="s">
        <v>14849</v>
      </c>
      <c r="O82" s="6" t="s">
        <v>14849</v>
      </c>
    </row>
    <row r="83" spans="1:15" x14ac:dyDescent="0.2">
      <c r="A83" s="4" t="str">
        <f>"inx-12"</f>
        <v>inx-12</v>
      </c>
      <c r="B83" s="4">
        <v>1.84618332</v>
      </c>
      <c r="C83" s="4">
        <v>4.61703102664972E-4</v>
      </c>
    </row>
    <row r="84" spans="1:15" x14ac:dyDescent="0.2">
      <c r="A84" s="4" t="str">
        <f>"anc-1"</f>
        <v>anc-1</v>
      </c>
      <c r="B84" s="4">
        <v>1.8394872900000001</v>
      </c>
      <c r="C84" s="5">
        <v>8.5090782239482499E-6</v>
      </c>
    </row>
    <row r="85" spans="1:15" x14ac:dyDescent="0.2">
      <c r="A85" s="4" t="str">
        <f>"upp-1"</f>
        <v>upp-1</v>
      </c>
      <c r="B85" s="4">
        <v>1.8306648400000001</v>
      </c>
      <c r="C85" s="4">
        <v>3.5905621992250699E-3</v>
      </c>
    </row>
    <row r="86" spans="1:15" x14ac:dyDescent="0.2">
      <c r="A86" s="4" t="str">
        <f>"deb-1"</f>
        <v>deb-1</v>
      </c>
      <c r="B86" s="4">
        <v>1.8174318</v>
      </c>
      <c r="C86" s="5">
        <v>8.0274797318018802E-5</v>
      </c>
    </row>
    <row r="87" spans="1:15" x14ac:dyDescent="0.2">
      <c r="A87" s="4" t="str">
        <f>"mdh-1"</f>
        <v>mdh-1</v>
      </c>
      <c r="B87" s="4">
        <v>1.7848939800000001</v>
      </c>
      <c r="C87" s="4">
        <v>3.87175194340924E-2</v>
      </c>
    </row>
    <row r="88" spans="1:15" x14ac:dyDescent="0.2">
      <c r="A88" s="4" t="str">
        <f>"daf-22"</f>
        <v>daf-22</v>
      </c>
      <c r="B88" s="4">
        <v>1.75803792</v>
      </c>
      <c r="C88" s="5">
        <v>1.8894487042728599E-5</v>
      </c>
    </row>
    <row r="89" spans="1:15" x14ac:dyDescent="0.2">
      <c r="A89" s="4" t="str">
        <f>"tbb-4"</f>
        <v>tbb-4</v>
      </c>
      <c r="B89" s="4">
        <v>1.7502773899999999</v>
      </c>
      <c r="C89" s="4">
        <v>7.5813027987484396E-3</v>
      </c>
    </row>
    <row r="90" spans="1:15" x14ac:dyDescent="0.2">
      <c r="A90" s="4" t="str">
        <f>"cpn-2"</f>
        <v>cpn-2</v>
      </c>
      <c r="B90" s="4">
        <v>1.7466649000000001</v>
      </c>
      <c r="C90" s="4">
        <v>4.8487001446179904E-3</v>
      </c>
    </row>
    <row r="91" spans="1:15" x14ac:dyDescent="0.2">
      <c r="A91" s="4" t="str">
        <f>"eif-2A"</f>
        <v>eif-2A</v>
      </c>
      <c r="B91" s="4">
        <v>1.7431008299999999</v>
      </c>
      <c r="C91" s="5">
        <v>1.8894487042728599E-5</v>
      </c>
    </row>
    <row r="92" spans="1:15" x14ac:dyDescent="0.2">
      <c r="A92" s="4" t="str">
        <f>"czw-1"</f>
        <v>czw-1</v>
      </c>
      <c r="B92" s="4">
        <v>1.72152547</v>
      </c>
      <c r="C92" s="5">
        <v>9.9809540976981398E-5</v>
      </c>
    </row>
    <row r="93" spans="1:15" x14ac:dyDescent="0.2">
      <c r="A93" s="4" t="str">
        <f>"copz-1"</f>
        <v>copz-1</v>
      </c>
      <c r="B93" s="4">
        <v>1.6807976499999999</v>
      </c>
      <c r="C93" s="5">
        <v>2.8289078985900899E-5</v>
      </c>
    </row>
    <row r="94" spans="1:15" x14ac:dyDescent="0.2">
      <c r="A94" s="4" t="str">
        <f>"ifb-1"</f>
        <v>ifb-1</v>
      </c>
      <c r="B94" s="4">
        <v>1.6622752000000001</v>
      </c>
      <c r="C94" s="4">
        <v>5.1803586981221204E-3</v>
      </c>
    </row>
    <row r="95" spans="1:15" x14ac:dyDescent="0.2">
      <c r="A95" s="4" t="str">
        <f>"skr-1"</f>
        <v>skr-1</v>
      </c>
      <c r="B95" s="4">
        <v>1.61952918</v>
      </c>
      <c r="C95" s="4">
        <v>3.5935958636813001E-4</v>
      </c>
    </row>
    <row r="96" spans="1:15" x14ac:dyDescent="0.2">
      <c r="A96" s="4" t="str">
        <f>"mask-1"</f>
        <v>mask-1</v>
      </c>
      <c r="B96" s="4">
        <v>1.6183827200000001</v>
      </c>
      <c r="C96" s="4">
        <v>7.2374458209678002E-3</v>
      </c>
    </row>
    <row r="97" spans="1:3" x14ac:dyDescent="0.2">
      <c r="A97" s="4" t="str">
        <f>"haly-1"</f>
        <v>haly-1</v>
      </c>
      <c r="B97" s="4">
        <v>1.6154650699999999</v>
      </c>
      <c r="C97" s="4">
        <v>1.38348260933049E-2</v>
      </c>
    </row>
    <row r="98" spans="1:3" x14ac:dyDescent="0.2">
      <c r="A98" s="4" t="str">
        <f>"dbt-1"</f>
        <v>dbt-1</v>
      </c>
      <c r="B98" s="4">
        <v>1.6109432699999999</v>
      </c>
      <c r="C98" s="4">
        <v>5.9393792718212199E-3</v>
      </c>
    </row>
    <row r="99" spans="1:3" x14ac:dyDescent="0.2">
      <c r="A99" s="4" t="str">
        <f>"smap-1"</f>
        <v>smap-1</v>
      </c>
      <c r="B99" s="4">
        <v>1.61001211</v>
      </c>
      <c r="C99" s="5">
        <v>4.1837401336843803E-5</v>
      </c>
    </row>
    <row r="100" spans="1:3" x14ac:dyDescent="0.2">
      <c r="A100" s="4" t="str">
        <f>"txl-1"</f>
        <v>txl-1</v>
      </c>
      <c r="B100" s="4">
        <v>1.59552286</v>
      </c>
      <c r="C100" s="4">
        <v>3.83892002811258E-3</v>
      </c>
    </row>
    <row r="101" spans="1:3" x14ac:dyDescent="0.2">
      <c r="A101" s="4" t="str">
        <f>"eef-1B.2"</f>
        <v>eef-1B.2</v>
      </c>
      <c r="B101" s="4">
        <v>1.5899919899999999</v>
      </c>
      <c r="C101" s="4">
        <v>4.4274990439649502E-4</v>
      </c>
    </row>
    <row r="102" spans="1:3" x14ac:dyDescent="0.2">
      <c r="A102" s="4" t="str">
        <f>"clp-7"</f>
        <v>clp-7</v>
      </c>
      <c r="B102" s="4">
        <v>1.5880624299999999</v>
      </c>
      <c r="C102" s="4">
        <v>1.55032516646213E-2</v>
      </c>
    </row>
    <row r="103" spans="1:3" x14ac:dyDescent="0.2">
      <c r="A103" s="4" t="str">
        <f>"ufd-3"</f>
        <v>ufd-3</v>
      </c>
      <c r="B103" s="4">
        <v>1.58449152</v>
      </c>
      <c r="C103" s="5">
        <v>8.6035937276022405E-5</v>
      </c>
    </row>
    <row r="104" spans="1:3" x14ac:dyDescent="0.2">
      <c r="A104" s="4" t="str">
        <f>"mbf-1"</f>
        <v>mbf-1</v>
      </c>
      <c r="B104" s="4">
        <v>1.56534755</v>
      </c>
      <c r="C104" s="4">
        <v>1.45549927397584E-2</v>
      </c>
    </row>
    <row r="105" spans="1:3" x14ac:dyDescent="0.2">
      <c r="A105" s="4" t="str">
        <f>"sma-1"</f>
        <v>sma-1</v>
      </c>
      <c r="B105" s="4">
        <v>1.5381082800000001</v>
      </c>
      <c r="C105" s="4">
        <v>1.25149620518713E-2</v>
      </c>
    </row>
    <row r="106" spans="1:3" x14ac:dyDescent="0.2">
      <c r="A106" s="4" t="str">
        <f>"gakh-1"</f>
        <v>gakh-1</v>
      </c>
      <c r="B106" s="4">
        <v>1.5201292399999999</v>
      </c>
      <c r="C106" s="4">
        <v>2.89869847716489E-3</v>
      </c>
    </row>
    <row r="107" spans="1:3" x14ac:dyDescent="0.2">
      <c r="A107" s="4" t="str">
        <f>"usp-5"</f>
        <v>usp-5</v>
      </c>
      <c r="B107" s="4">
        <v>1.51682983</v>
      </c>
      <c r="C107" s="4">
        <v>1.16912371904012E-2</v>
      </c>
    </row>
    <row r="108" spans="1:3" x14ac:dyDescent="0.2">
      <c r="A108" s="4" t="str">
        <f>"pck-1"</f>
        <v>pck-1</v>
      </c>
      <c r="B108" s="4">
        <v>1.51210884</v>
      </c>
      <c r="C108" s="5">
        <v>1.8652232967710099E-5</v>
      </c>
    </row>
    <row r="109" spans="1:3" x14ac:dyDescent="0.2">
      <c r="A109" s="4" t="str">
        <f>"let-805"</f>
        <v>let-805</v>
      </c>
      <c r="B109" s="4">
        <v>1.4470049599999999</v>
      </c>
      <c r="C109" s="4">
        <v>1.7851387209320501E-3</v>
      </c>
    </row>
    <row r="110" spans="1:3" x14ac:dyDescent="0.2">
      <c r="A110" s="4" t="str">
        <f>"flu-2"</f>
        <v>flu-2</v>
      </c>
      <c r="B110" s="4">
        <v>1.4469278400000001</v>
      </c>
      <c r="C110" s="4">
        <v>3.3606027482851802E-3</v>
      </c>
    </row>
    <row r="111" spans="1:3" x14ac:dyDescent="0.2">
      <c r="A111" s="4" t="str">
        <f>"vars-1"</f>
        <v>vars-1</v>
      </c>
      <c r="B111" s="4">
        <v>1.44605622</v>
      </c>
      <c r="C111" s="4">
        <v>7.5813027987484396E-3</v>
      </c>
    </row>
    <row r="112" spans="1:3" x14ac:dyDescent="0.2">
      <c r="A112" s="4" t="str">
        <f>"R09E10.5"</f>
        <v>R09E10.5</v>
      </c>
      <c r="B112" s="4">
        <v>1.4015925199999999</v>
      </c>
      <c r="C112" s="4">
        <v>2.16809063155942E-2</v>
      </c>
    </row>
    <row r="113" spans="1:3" x14ac:dyDescent="0.2">
      <c r="A113" s="4" t="str">
        <f>"patr-1"</f>
        <v>patr-1</v>
      </c>
      <c r="B113" s="4">
        <v>1.3681080699999999</v>
      </c>
      <c r="C113" s="4">
        <v>1.4824154220069799E-4</v>
      </c>
    </row>
    <row r="114" spans="1:3" x14ac:dyDescent="0.2">
      <c r="A114" s="4" t="str">
        <f>"vha-12"</f>
        <v>vha-12</v>
      </c>
      <c r="B114" s="4">
        <v>1.36679438</v>
      </c>
      <c r="C114" s="4">
        <v>5.7191316740118098E-4</v>
      </c>
    </row>
    <row r="115" spans="1:3" x14ac:dyDescent="0.2">
      <c r="A115" s="4" t="str">
        <f>"frm-5.1"</f>
        <v>frm-5.1</v>
      </c>
      <c r="B115" s="4">
        <v>1.35498407</v>
      </c>
      <c r="C115" s="4">
        <v>1.7418207485056199E-4</v>
      </c>
    </row>
    <row r="116" spans="1:3" x14ac:dyDescent="0.2">
      <c r="A116" s="4" t="str">
        <f>"ark-1"</f>
        <v>ark-1</v>
      </c>
      <c r="B116" s="4">
        <v>1.3456219899999999</v>
      </c>
      <c r="C116" s="4">
        <v>3.7498451289761599E-2</v>
      </c>
    </row>
    <row r="117" spans="1:3" x14ac:dyDescent="0.2">
      <c r="A117" s="4" t="str">
        <f>"F36A2.3"</f>
        <v>F36A2.3</v>
      </c>
      <c r="B117" s="4">
        <v>1.3182423599999999</v>
      </c>
      <c r="C117" s="4">
        <v>1.9552191962291701E-2</v>
      </c>
    </row>
    <row r="118" spans="1:3" x14ac:dyDescent="0.2">
      <c r="A118" s="4" t="str">
        <f>"dcap-2"</f>
        <v>dcap-2</v>
      </c>
      <c r="B118" s="4">
        <v>1.3081587699999999</v>
      </c>
      <c r="C118" s="4">
        <v>2.5585037068164198E-3</v>
      </c>
    </row>
    <row r="119" spans="1:3" x14ac:dyDescent="0.2">
      <c r="A119" s="4" t="str">
        <f>"fkb-6"</f>
        <v>fkb-6</v>
      </c>
      <c r="B119" s="4">
        <v>1.3075092699999999</v>
      </c>
      <c r="C119" s="4">
        <v>9.0386252613377602E-3</v>
      </c>
    </row>
    <row r="120" spans="1:3" x14ac:dyDescent="0.2">
      <c r="A120" s="4" t="str">
        <f>"frm-4"</f>
        <v>frm-4</v>
      </c>
      <c r="B120" s="4">
        <v>1.29732186</v>
      </c>
      <c r="C120" s="4">
        <v>5.1803586981221204E-3</v>
      </c>
    </row>
    <row r="121" spans="1:3" x14ac:dyDescent="0.2">
      <c r="A121" s="4" t="str">
        <f>"fli-1"</f>
        <v>fli-1</v>
      </c>
      <c r="B121" s="4">
        <v>1.2797154799999999</v>
      </c>
      <c r="C121" s="4">
        <v>1.8907233750552699E-2</v>
      </c>
    </row>
    <row r="122" spans="1:3" x14ac:dyDescent="0.2">
      <c r="A122" s="4" t="str">
        <f>"ccnk-1"</f>
        <v>ccnk-1</v>
      </c>
      <c r="B122" s="4">
        <v>1.27776946</v>
      </c>
      <c r="C122" s="4">
        <v>2.9239397467244198E-2</v>
      </c>
    </row>
    <row r="123" spans="1:3" x14ac:dyDescent="0.2">
      <c r="A123" s="4" t="str">
        <f>"pxf-1"</f>
        <v>pxf-1</v>
      </c>
      <c r="B123" s="4">
        <v>1.2663185299999999</v>
      </c>
      <c r="C123" s="4">
        <v>2.8061326263984498E-2</v>
      </c>
    </row>
    <row r="124" spans="1:3" x14ac:dyDescent="0.2">
      <c r="A124" s="4" t="str">
        <f>"rde-4"</f>
        <v>rde-4</v>
      </c>
      <c r="B124" s="4">
        <v>1.26619649</v>
      </c>
      <c r="C124" s="4">
        <v>7.55393022853803E-3</v>
      </c>
    </row>
    <row r="125" spans="1:3" x14ac:dyDescent="0.2">
      <c r="A125" s="4" t="str">
        <f>"W07E11.1"</f>
        <v>W07E11.1</v>
      </c>
      <c r="B125" s="4">
        <v>1.25617724</v>
      </c>
      <c r="C125" s="4">
        <v>7.1983166474094999E-4</v>
      </c>
    </row>
    <row r="126" spans="1:3" x14ac:dyDescent="0.2">
      <c r="A126" s="4" t="str">
        <f>"smcr-8"</f>
        <v>smcr-8</v>
      </c>
      <c r="B126" s="4">
        <v>1.25422995</v>
      </c>
      <c r="C126" s="4">
        <v>4.5144079290761599E-2</v>
      </c>
    </row>
    <row r="127" spans="1:3" x14ac:dyDescent="0.2">
      <c r="A127" s="4" t="str">
        <f>"metr-1"</f>
        <v>metr-1</v>
      </c>
      <c r="B127" s="4">
        <v>1.24759471</v>
      </c>
      <c r="C127" s="4">
        <v>1.7851387209320501E-3</v>
      </c>
    </row>
    <row r="128" spans="1:3" x14ac:dyDescent="0.2">
      <c r="A128" s="4" t="str">
        <f>"lmd-3"</f>
        <v>lmd-3</v>
      </c>
      <c r="B128" s="4">
        <v>1.22279165</v>
      </c>
      <c r="C128" s="4">
        <v>9.8298781467880507E-3</v>
      </c>
    </row>
    <row r="129" spans="1:3" x14ac:dyDescent="0.2">
      <c r="A129" s="4" t="str">
        <f>"F41E6.5"</f>
        <v>F41E6.5</v>
      </c>
      <c r="B129" s="4">
        <v>1.2106025899999999</v>
      </c>
      <c r="C129" s="4">
        <v>9.7387108993577005E-3</v>
      </c>
    </row>
    <row r="130" spans="1:3" x14ac:dyDescent="0.2">
      <c r="A130" s="4" t="str">
        <f>"mak-2"</f>
        <v>mak-2</v>
      </c>
      <c r="B130" s="4">
        <v>1.210148</v>
      </c>
      <c r="C130" s="4">
        <v>2.31305988055658E-2</v>
      </c>
    </row>
    <row r="131" spans="1:3" x14ac:dyDescent="0.2">
      <c r="A131" s="4" t="str">
        <f>"spe-5"</f>
        <v>spe-5</v>
      </c>
      <c r="B131" s="4">
        <v>1.1941397199999999</v>
      </c>
      <c r="C131" s="4">
        <v>3.9945384831126798E-3</v>
      </c>
    </row>
    <row r="132" spans="1:3" x14ac:dyDescent="0.2">
      <c r="A132" s="4" t="str">
        <f>"F46F11.1"</f>
        <v>F46F11.1</v>
      </c>
      <c r="B132" s="4">
        <v>1.1754423599999999</v>
      </c>
      <c r="C132" s="4">
        <v>2.5939589445653399E-2</v>
      </c>
    </row>
    <row r="133" spans="1:3" x14ac:dyDescent="0.2">
      <c r="A133" s="4" t="str">
        <f>"vab-19"</f>
        <v>vab-19</v>
      </c>
      <c r="B133" s="4">
        <v>1.1367739400000001</v>
      </c>
      <c r="C133" s="4">
        <v>2.2389993452531301E-2</v>
      </c>
    </row>
    <row r="134" spans="1:3" x14ac:dyDescent="0.2">
      <c r="A134" s="4" t="str">
        <f>"vha-13"</f>
        <v>vha-13</v>
      </c>
      <c r="B134" s="4">
        <v>1.11060541</v>
      </c>
      <c r="C134" s="4">
        <v>3.5275267653702802E-4</v>
      </c>
    </row>
    <row r="135" spans="1:3" x14ac:dyDescent="0.2">
      <c r="A135" s="4" t="str">
        <f>"mdt-6"</f>
        <v>mdt-6</v>
      </c>
      <c r="B135" s="4">
        <v>1.09796698</v>
      </c>
      <c r="C135" s="4">
        <v>4.2806262844526599E-2</v>
      </c>
    </row>
    <row r="136" spans="1:3" x14ac:dyDescent="0.2">
      <c r="A136" s="4" t="str">
        <f>"snx-1"</f>
        <v>snx-1</v>
      </c>
      <c r="B136" s="4">
        <v>1.09328468</v>
      </c>
      <c r="C136" s="4">
        <v>2.5787065359505899E-2</v>
      </c>
    </row>
    <row r="137" spans="1:3" x14ac:dyDescent="0.2">
      <c r="A137" s="4" t="str">
        <f>"ran-2"</f>
        <v>ran-2</v>
      </c>
      <c r="B137" s="4">
        <v>1.0881026</v>
      </c>
      <c r="C137" s="4">
        <v>2.24208241492174E-3</v>
      </c>
    </row>
    <row r="138" spans="1:3" x14ac:dyDescent="0.2">
      <c r="A138" s="4" t="str">
        <f>"Y48G1A.1"</f>
        <v>Y48G1A.1</v>
      </c>
      <c r="B138" s="4">
        <v>1.0808003500000001</v>
      </c>
      <c r="C138" s="4">
        <v>2.45716426080675E-2</v>
      </c>
    </row>
    <row r="139" spans="1:3" x14ac:dyDescent="0.2">
      <c r="A139" s="4" t="str">
        <f>"C09E8.1"</f>
        <v>C09E8.1</v>
      </c>
      <c r="B139" s="4">
        <v>1.0785062000000001</v>
      </c>
      <c r="C139" s="4">
        <v>3.0511497947154201E-2</v>
      </c>
    </row>
    <row r="140" spans="1:3" x14ac:dyDescent="0.2">
      <c r="A140" s="4" t="str">
        <f>"kin-29"</f>
        <v>kin-29</v>
      </c>
      <c r="B140" s="4">
        <v>1.0759522100000001</v>
      </c>
      <c r="C140" s="4">
        <v>2.2207865418359798E-2</v>
      </c>
    </row>
    <row r="141" spans="1:3" x14ac:dyDescent="0.2">
      <c r="A141" s="4" t="str">
        <f>"vab-10"</f>
        <v>vab-10</v>
      </c>
      <c r="B141" s="4">
        <v>1.0734696800000001</v>
      </c>
      <c r="C141" s="4">
        <v>2.5467862930288502E-4</v>
      </c>
    </row>
    <row r="142" spans="1:3" x14ac:dyDescent="0.2">
      <c r="A142" s="4" t="str">
        <f>"larp-1"</f>
        <v>larp-1</v>
      </c>
      <c r="B142" s="4">
        <v>1.0665746</v>
      </c>
      <c r="C142" s="4">
        <v>5.1803586981221204E-3</v>
      </c>
    </row>
    <row r="143" spans="1:3" x14ac:dyDescent="0.2">
      <c r="A143" s="4" t="str">
        <f>"unc-44"</f>
        <v>unc-44</v>
      </c>
      <c r="B143" s="4">
        <v>1.06282517</v>
      </c>
      <c r="C143" s="4">
        <v>3.5935958636813001E-4</v>
      </c>
    </row>
    <row r="144" spans="1:3" x14ac:dyDescent="0.2">
      <c r="A144" s="4" t="str">
        <f>"ech-1.1"</f>
        <v>ech-1.1</v>
      </c>
      <c r="B144" s="4">
        <v>1.0613115500000001</v>
      </c>
      <c r="C144" s="4">
        <v>1.17087330084218E-2</v>
      </c>
    </row>
    <row r="145" spans="1:3" x14ac:dyDescent="0.2">
      <c r="A145" s="4" t="str">
        <f>"uba-1"</f>
        <v>uba-1</v>
      </c>
      <c r="B145" s="4">
        <v>1.0598635000000001</v>
      </c>
      <c r="C145" s="4">
        <v>1.38348260933049E-2</v>
      </c>
    </row>
    <row r="146" spans="1:3" x14ac:dyDescent="0.2">
      <c r="A146" s="4" t="str">
        <f>"alh-6"</f>
        <v>alh-6</v>
      </c>
      <c r="B146" s="4">
        <v>1.04269974</v>
      </c>
      <c r="C146" s="4">
        <v>2.5939589445653399E-2</v>
      </c>
    </row>
    <row r="147" spans="1:3" x14ac:dyDescent="0.2">
      <c r="A147" s="4" t="str">
        <f>"met-2"</f>
        <v>met-2</v>
      </c>
      <c r="B147" s="4">
        <v>1.04075345</v>
      </c>
      <c r="C147" s="4">
        <v>2.5939589445653399E-2</v>
      </c>
    </row>
    <row r="148" spans="1:3" x14ac:dyDescent="0.2">
      <c r="A148" s="4" t="str">
        <f>"arrd-25"</f>
        <v>arrd-25</v>
      </c>
      <c r="B148" s="4">
        <v>1.0396616000000001</v>
      </c>
      <c r="C148" s="4">
        <v>1.2940041296003299E-2</v>
      </c>
    </row>
    <row r="149" spans="1:3" x14ac:dyDescent="0.2">
      <c r="A149" s="4" t="str">
        <f>"panl-3"</f>
        <v>panl-3</v>
      </c>
      <c r="B149" s="4">
        <v>1.03758668</v>
      </c>
      <c r="C149" s="4">
        <v>3.7940436710095303E-2</v>
      </c>
    </row>
    <row r="150" spans="1:3" x14ac:dyDescent="0.2">
      <c r="A150" s="4" t="str">
        <f>"sly-1"</f>
        <v>sly-1</v>
      </c>
      <c r="B150" s="4">
        <v>1.02529336</v>
      </c>
      <c r="C150" s="4">
        <v>7.55393022853803E-3</v>
      </c>
    </row>
    <row r="151" spans="1:3" x14ac:dyDescent="0.2">
      <c r="A151" s="4" t="str">
        <f>"hacl-1"</f>
        <v>hacl-1</v>
      </c>
      <c r="B151" s="4">
        <v>1.0167808</v>
      </c>
      <c r="C151" s="4">
        <v>4.7726186310220201E-2</v>
      </c>
    </row>
    <row r="152" spans="1:3" x14ac:dyDescent="0.2">
      <c r="A152" s="4" t="str">
        <f>"efk-1"</f>
        <v>efk-1</v>
      </c>
      <c r="B152" s="4">
        <v>1.0054167899999999</v>
      </c>
      <c r="C152" s="4">
        <v>4.4541067359935597E-3</v>
      </c>
    </row>
    <row r="153" spans="1:3" x14ac:dyDescent="0.2">
      <c r="A153" s="6" t="str">
        <f>"algn-7"</f>
        <v>algn-7</v>
      </c>
      <c r="B153" s="6">
        <v>-1.0329435</v>
      </c>
      <c r="C153" s="6">
        <v>3.1924224859993598E-2</v>
      </c>
    </row>
    <row r="154" spans="1:3" x14ac:dyDescent="0.2">
      <c r="A154" s="6" t="str">
        <f>"hsr-9"</f>
        <v>hsr-9</v>
      </c>
      <c r="B154" s="6">
        <v>-1.0339541000000001</v>
      </c>
      <c r="C154" s="6">
        <v>1.9552191962291701E-2</v>
      </c>
    </row>
    <row r="155" spans="1:3" x14ac:dyDescent="0.2">
      <c r="A155" s="6" t="str">
        <f>"ttbk-8.2"</f>
        <v>ttbk-8.2</v>
      </c>
      <c r="B155" s="6">
        <v>-1.0607799</v>
      </c>
      <c r="C155" s="6">
        <v>1.7419629910785502E-2</v>
      </c>
    </row>
    <row r="156" spans="1:3" x14ac:dyDescent="0.2">
      <c r="A156" s="6" t="str">
        <f>"daz-1"</f>
        <v>daz-1</v>
      </c>
      <c r="B156" s="6">
        <v>-1.063248</v>
      </c>
      <c r="C156" s="6">
        <v>2.31305988055658E-2</v>
      </c>
    </row>
    <row r="157" spans="1:3" x14ac:dyDescent="0.2">
      <c r="A157" s="6" t="str">
        <f>"xpg-1"</f>
        <v>xpg-1</v>
      </c>
      <c r="B157" s="6">
        <v>-1.0760544999999999</v>
      </c>
      <c r="C157" s="6">
        <v>3.5983231873012202E-2</v>
      </c>
    </row>
    <row r="158" spans="1:3" x14ac:dyDescent="0.2">
      <c r="A158" s="6" t="str">
        <f>"dnj-17"</f>
        <v>dnj-17</v>
      </c>
      <c r="B158" s="6">
        <v>-1.0920793</v>
      </c>
      <c r="C158" s="6">
        <v>4.3925709452564403E-2</v>
      </c>
    </row>
    <row r="159" spans="1:3" x14ac:dyDescent="0.2">
      <c r="A159" s="6" t="str">
        <f>"folt-2"</f>
        <v>folt-2</v>
      </c>
      <c r="B159" s="6">
        <v>-1.1031785000000001</v>
      </c>
      <c r="C159" s="6">
        <v>1.2199734477374301E-3</v>
      </c>
    </row>
    <row r="160" spans="1:3" x14ac:dyDescent="0.2">
      <c r="A160" s="6" t="str">
        <f>"ptr-4"</f>
        <v>ptr-4</v>
      </c>
      <c r="B160" s="6">
        <v>-1.1200528000000001</v>
      </c>
      <c r="C160" s="6">
        <v>3.73702272874629E-2</v>
      </c>
    </row>
    <row r="161" spans="1:3" x14ac:dyDescent="0.2">
      <c r="A161" s="6" t="str">
        <f>"asg-1"</f>
        <v>asg-1</v>
      </c>
      <c r="B161" s="6">
        <v>-1.1448744</v>
      </c>
      <c r="C161" s="6">
        <v>1.9552191962291701E-2</v>
      </c>
    </row>
    <row r="162" spans="1:3" x14ac:dyDescent="0.2">
      <c r="A162" s="6" t="str">
        <f>"ZK484.3"</f>
        <v>ZK484.3</v>
      </c>
      <c r="B162" s="6">
        <v>-1.1666704999999999</v>
      </c>
      <c r="C162" s="6">
        <v>2.16809063155942E-2</v>
      </c>
    </row>
    <row r="163" spans="1:3" x14ac:dyDescent="0.2">
      <c r="A163" s="6" t="str">
        <f>"tsfm-1"</f>
        <v>tsfm-1</v>
      </c>
      <c r="B163" s="6">
        <v>-1.1670328999999999</v>
      </c>
      <c r="C163" s="6">
        <v>2.1218036823962699E-2</v>
      </c>
    </row>
    <row r="164" spans="1:3" x14ac:dyDescent="0.2">
      <c r="A164" s="6" t="str">
        <f>"set-9"</f>
        <v>set-9</v>
      </c>
      <c r="B164" s="6">
        <v>-1.1724593999999999</v>
      </c>
      <c r="C164" s="6">
        <v>2.1218036823962699E-2</v>
      </c>
    </row>
    <row r="165" spans="1:3" x14ac:dyDescent="0.2">
      <c r="A165" s="6" t="str">
        <f>"fat-7"</f>
        <v>fat-7</v>
      </c>
      <c r="B165" s="6">
        <v>-1.1773750999999999</v>
      </c>
      <c r="C165" s="6">
        <v>9.7598618444640203E-4</v>
      </c>
    </row>
    <row r="166" spans="1:3" x14ac:dyDescent="0.2">
      <c r="A166" s="6" t="str">
        <f>"sms-1"</f>
        <v>sms-1</v>
      </c>
      <c r="B166" s="6">
        <v>-1.1824498000000001</v>
      </c>
      <c r="C166" s="6">
        <v>2.9239397467244198E-2</v>
      </c>
    </row>
    <row r="167" spans="1:3" x14ac:dyDescent="0.2">
      <c r="A167" s="6" t="str">
        <f>"cyn-1"</f>
        <v>cyn-1</v>
      </c>
      <c r="B167" s="6">
        <v>-1.1950246</v>
      </c>
      <c r="C167" s="6">
        <v>4.6914041247872101E-2</v>
      </c>
    </row>
    <row r="168" spans="1:3" x14ac:dyDescent="0.2">
      <c r="A168" s="6" t="str">
        <f>"mex-6"</f>
        <v>mex-6</v>
      </c>
      <c r="B168" s="6">
        <v>-1.2366383000000001</v>
      </c>
      <c r="C168" s="6">
        <v>4.5061722913581001E-2</v>
      </c>
    </row>
    <row r="169" spans="1:3" x14ac:dyDescent="0.2">
      <c r="A169" s="6" t="str">
        <f>"T06E6.1"</f>
        <v>T06E6.1</v>
      </c>
      <c r="B169" s="6">
        <v>-1.2447820000000001</v>
      </c>
      <c r="C169" s="6">
        <v>1.9015880453270399E-2</v>
      </c>
    </row>
    <row r="170" spans="1:3" x14ac:dyDescent="0.2">
      <c r="A170" s="6" t="str">
        <f>"grl-4"</f>
        <v>grl-4</v>
      </c>
      <c r="B170" s="6">
        <v>-1.2638632000000001</v>
      </c>
      <c r="C170" s="6">
        <v>7.3895894970338197E-3</v>
      </c>
    </row>
    <row r="171" spans="1:3" x14ac:dyDescent="0.2">
      <c r="A171" s="6" t="str">
        <f>"tag-153"</f>
        <v>tag-153</v>
      </c>
      <c r="B171" s="6">
        <v>-1.289938</v>
      </c>
      <c r="C171" s="6">
        <v>2.0717279439682702E-2</v>
      </c>
    </row>
    <row r="172" spans="1:3" x14ac:dyDescent="0.2">
      <c r="A172" s="6" t="str">
        <f>"dhhc-7"</f>
        <v>dhhc-7</v>
      </c>
      <c r="B172" s="6">
        <v>-1.3109225</v>
      </c>
      <c r="C172" s="6">
        <v>3.35821736259454E-3</v>
      </c>
    </row>
    <row r="173" spans="1:3" x14ac:dyDescent="0.2">
      <c r="A173" s="6" t="str">
        <f>"cox-15"</f>
        <v>cox-15</v>
      </c>
      <c r="B173" s="6">
        <v>-1.3245639</v>
      </c>
      <c r="C173" s="6">
        <v>6.7039846728934298E-3</v>
      </c>
    </row>
    <row r="174" spans="1:3" x14ac:dyDescent="0.2">
      <c r="A174" s="6" t="str">
        <f>"mrpl-23"</f>
        <v>mrpl-23</v>
      </c>
      <c r="B174" s="6">
        <v>-1.4044961</v>
      </c>
      <c r="C174" s="6">
        <v>2.0717279439682702E-2</v>
      </c>
    </row>
    <row r="175" spans="1:3" x14ac:dyDescent="0.2">
      <c r="A175" s="6" t="str">
        <f>"T05B9.1"</f>
        <v>T05B9.1</v>
      </c>
      <c r="B175" s="6">
        <v>-1.4102205999999999</v>
      </c>
      <c r="C175" s="6">
        <v>4.7760341304860501E-3</v>
      </c>
    </row>
    <row r="176" spans="1:3" x14ac:dyDescent="0.2">
      <c r="A176" s="6" t="str">
        <f>"ebp-2"</f>
        <v>ebp-2</v>
      </c>
      <c r="B176" s="6">
        <v>-1.4239310999999999</v>
      </c>
      <c r="C176" s="6">
        <v>1.25149620518713E-2</v>
      </c>
    </row>
    <row r="177" spans="1:3" x14ac:dyDescent="0.2">
      <c r="A177" s="6" t="str">
        <f>"Y82E9BR.16"</f>
        <v>Y82E9BR.16</v>
      </c>
      <c r="B177" s="6">
        <v>-1.4280805000000001</v>
      </c>
      <c r="C177" s="6">
        <v>7.2161091649690697E-3</v>
      </c>
    </row>
    <row r="178" spans="1:3" x14ac:dyDescent="0.2">
      <c r="A178" s="6" t="str">
        <f>"poml-3"</f>
        <v>poml-3</v>
      </c>
      <c r="B178" s="6">
        <v>-1.4956209</v>
      </c>
      <c r="C178" s="6">
        <v>7.55393022853803E-3</v>
      </c>
    </row>
    <row r="179" spans="1:3" x14ac:dyDescent="0.2">
      <c r="A179" s="6" t="str">
        <f>"mmab-1"</f>
        <v>mmab-1</v>
      </c>
      <c r="B179" s="6">
        <v>-1.5391952</v>
      </c>
      <c r="C179" s="6">
        <v>2.8319579743328299E-2</v>
      </c>
    </row>
    <row r="180" spans="1:3" x14ac:dyDescent="0.2">
      <c r="A180" s="6" t="str">
        <f>"lact-4"</f>
        <v>lact-4</v>
      </c>
      <c r="B180" s="6">
        <v>-1.545002</v>
      </c>
      <c r="C180" s="6">
        <v>2.78908580625793E-2</v>
      </c>
    </row>
    <row r="181" spans="1:3" x14ac:dyDescent="0.2">
      <c r="A181" s="6" t="str">
        <f>"popl-5"</f>
        <v>popl-5</v>
      </c>
      <c r="B181" s="6">
        <v>-1.5611793</v>
      </c>
      <c r="C181" s="6">
        <v>8.3886504534712598E-3</v>
      </c>
    </row>
    <row r="182" spans="1:3" x14ac:dyDescent="0.2">
      <c r="A182" s="6" t="str">
        <f>"B0001.7"</f>
        <v>B0001.7</v>
      </c>
      <c r="B182" s="6">
        <v>-1.6213374</v>
      </c>
      <c r="C182" s="6">
        <v>1.0706281022372499E-2</v>
      </c>
    </row>
    <row r="183" spans="1:3" x14ac:dyDescent="0.2">
      <c r="A183" s="6" t="str">
        <f>"F53B6.4"</f>
        <v>F53B6.4</v>
      </c>
      <c r="B183" s="6">
        <v>-1.6512325000000001</v>
      </c>
      <c r="C183" s="6">
        <v>2.1601736103504701E-2</v>
      </c>
    </row>
    <row r="184" spans="1:3" x14ac:dyDescent="0.2">
      <c r="A184" s="6" t="str">
        <f>"hmg-12"</f>
        <v>hmg-12</v>
      </c>
      <c r="B184" s="6">
        <v>-1.6967502000000001</v>
      </c>
      <c r="C184" s="6">
        <v>8.5179977126758895E-4</v>
      </c>
    </row>
    <row r="185" spans="1:3" x14ac:dyDescent="0.2">
      <c r="A185" s="6" t="str">
        <f>"rol-1"</f>
        <v>rol-1</v>
      </c>
      <c r="B185" s="6">
        <v>-1.7130732</v>
      </c>
      <c r="C185" s="6">
        <v>2.6814514632914799E-3</v>
      </c>
    </row>
    <row r="186" spans="1:3" x14ac:dyDescent="0.2">
      <c r="A186" s="6" t="str">
        <f>"fbxa-101"</f>
        <v>fbxa-101</v>
      </c>
      <c r="B186" s="6">
        <v>-1.77336</v>
      </c>
      <c r="C186" s="6">
        <v>9.4423633744962505E-3</v>
      </c>
    </row>
    <row r="187" spans="1:3" x14ac:dyDescent="0.2">
      <c r="A187" s="6" t="str">
        <f>"col-175"</f>
        <v>col-175</v>
      </c>
      <c r="B187" s="6">
        <v>-1.7852739</v>
      </c>
      <c r="C187" s="6">
        <v>1.7851387209320501E-3</v>
      </c>
    </row>
    <row r="188" spans="1:3" x14ac:dyDescent="0.2">
      <c r="A188" s="6" t="str">
        <f>"col-39"</f>
        <v>col-39</v>
      </c>
      <c r="B188" s="6">
        <v>-1.9141268</v>
      </c>
      <c r="C188" s="6">
        <v>2.89869847716489E-3</v>
      </c>
    </row>
    <row r="189" spans="1:3" x14ac:dyDescent="0.2">
      <c r="A189" s="6" t="str">
        <f>"T05A12.3"</f>
        <v>T05A12.3</v>
      </c>
      <c r="B189" s="6">
        <v>-1.9646477</v>
      </c>
      <c r="C189" s="6">
        <v>6.9067142991779502E-3</v>
      </c>
    </row>
    <row r="190" spans="1:3" x14ac:dyDescent="0.2">
      <c r="A190" s="6" t="str">
        <f>"col-106"</f>
        <v>col-106</v>
      </c>
      <c r="B190" s="6">
        <v>-2.0565441</v>
      </c>
      <c r="C190" s="6">
        <v>1.7986705545211999E-2</v>
      </c>
    </row>
    <row r="191" spans="1:3" x14ac:dyDescent="0.2">
      <c r="A191" s="6" t="str">
        <f>"col-160"</f>
        <v>col-160</v>
      </c>
      <c r="B191" s="6">
        <v>-2.1989510000000001</v>
      </c>
      <c r="C191" s="6">
        <v>3.5610290572712401E-2</v>
      </c>
    </row>
    <row r="192" spans="1:3" x14ac:dyDescent="0.2">
      <c r="A192" s="6" t="str">
        <f>"maph-1.3"</f>
        <v>maph-1.3</v>
      </c>
      <c r="B192" s="6">
        <v>-2.2728039999999998</v>
      </c>
      <c r="C192" s="6">
        <v>1.03708621844277E-2</v>
      </c>
    </row>
    <row r="193" spans="1:3" x14ac:dyDescent="0.2">
      <c r="A193" s="6" t="str">
        <f>"F01G4.4"</f>
        <v>F01G4.4</v>
      </c>
      <c r="B193" s="6">
        <v>-2.5293427999999998</v>
      </c>
      <c r="C193" s="6">
        <v>2.3227485499650201E-3</v>
      </c>
    </row>
    <row r="194" spans="1:3" x14ac:dyDescent="0.2">
      <c r="A194" s="6" t="str">
        <f>"hsp-16.49"</f>
        <v>hsp-16.49</v>
      </c>
      <c r="B194" s="6">
        <v>-2.5671287</v>
      </c>
      <c r="C194" s="34">
        <v>2.7414259269133901E-5</v>
      </c>
    </row>
    <row r="195" spans="1:3" x14ac:dyDescent="0.2">
      <c r="A195" s="6" t="str">
        <f>"col-124"</f>
        <v>col-124</v>
      </c>
      <c r="B195" s="6">
        <v>-2.6540061000000001</v>
      </c>
      <c r="C195" s="6">
        <v>4.61703102664972E-4</v>
      </c>
    </row>
    <row r="196" spans="1:3" x14ac:dyDescent="0.2">
      <c r="A196" s="6" t="str">
        <f>"ZC373.5"</f>
        <v>ZC373.5</v>
      </c>
      <c r="B196" s="6">
        <v>-2.7332079</v>
      </c>
      <c r="C196" s="6">
        <v>1.2900765422248E-3</v>
      </c>
    </row>
    <row r="197" spans="1:3" x14ac:dyDescent="0.2">
      <c r="A197" s="6" t="str">
        <f>"vha-18"</f>
        <v>vha-18</v>
      </c>
      <c r="B197" s="6">
        <v>-2.7712778</v>
      </c>
      <c r="C197" s="6">
        <v>2.16809063155942E-2</v>
      </c>
    </row>
    <row r="198" spans="1:3" x14ac:dyDescent="0.2">
      <c r="A198" s="6" t="str">
        <f>"M106.2"</f>
        <v>M106.2</v>
      </c>
      <c r="B198" s="6">
        <v>-3.3163263999999999</v>
      </c>
      <c r="C198" s="6">
        <v>8.0174769465515697E-4</v>
      </c>
    </row>
    <row r="199" spans="1:3" x14ac:dyDescent="0.2">
      <c r="A199" s="6" t="str">
        <f>"hsp-16.2"</f>
        <v>hsp-16.2</v>
      </c>
      <c r="B199" s="6">
        <v>-3.5950251</v>
      </c>
      <c r="C199" s="34">
        <v>1.3598620310636499E-5</v>
      </c>
    </row>
    <row r="200" spans="1:3" x14ac:dyDescent="0.2">
      <c r="A200" s="6" t="str">
        <f>"hsp-16.11"</f>
        <v>hsp-16.11</v>
      </c>
      <c r="B200" s="6">
        <v>-4.1109011999999998</v>
      </c>
      <c r="C200" s="34">
        <v>3.9069024030935202E-6</v>
      </c>
    </row>
    <row r="201" spans="1:3" x14ac:dyDescent="0.2">
      <c r="B201" s="37"/>
    </row>
    <row r="202" spans="1:3" x14ac:dyDescent="0.2">
      <c r="B202" s="37"/>
    </row>
    <row r="203" spans="1:3" x14ac:dyDescent="0.2">
      <c r="B203" s="37"/>
    </row>
    <row r="204" spans="1:3" x14ac:dyDescent="0.2">
      <c r="B204" s="37"/>
    </row>
    <row r="205" spans="1:3" x14ac:dyDescent="0.2">
      <c r="B205" s="37"/>
    </row>
    <row r="206" spans="1:3" x14ac:dyDescent="0.2">
      <c r="B206" s="37"/>
    </row>
    <row r="207" spans="1:3" x14ac:dyDescent="0.2">
      <c r="B207" s="37"/>
    </row>
    <row r="208" spans="1:3" x14ac:dyDescent="0.2">
      <c r="B208" s="37"/>
    </row>
    <row r="209" spans="2:2" x14ac:dyDescent="0.2">
      <c r="B209" s="37"/>
    </row>
    <row r="210" spans="2:2" x14ac:dyDescent="0.2">
      <c r="B210" s="37"/>
    </row>
    <row r="211" spans="2:2" x14ac:dyDescent="0.2">
      <c r="B211" s="37"/>
    </row>
    <row r="212" spans="2:2" x14ac:dyDescent="0.2">
      <c r="B212" s="37"/>
    </row>
    <row r="213" spans="2:2" x14ac:dyDescent="0.2">
      <c r="B213" s="37"/>
    </row>
    <row r="214" spans="2:2" x14ac:dyDescent="0.2">
      <c r="B214" s="37"/>
    </row>
    <row r="215" spans="2:2" x14ac:dyDescent="0.2">
      <c r="B215" s="37"/>
    </row>
    <row r="216" spans="2:2" x14ac:dyDescent="0.2">
      <c r="B216" s="37"/>
    </row>
    <row r="217" spans="2:2" x14ac:dyDescent="0.2">
      <c r="B217" s="37"/>
    </row>
    <row r="218" spans="2:2" x14ac:dyDescent="0.2">
      <c r="B218" s="37"/>
    </row>
    <row r="219" spans="2:2" x14ac:dyDescent="0.2">
      <c r="B219" s="37"/>
    </row>
    <row r="220" spans="2:2" x14ac:dyDescent="0.2">
      <c r="B220" s="37"/>
    </row>
    <row r="221" spans="2:2" x14ac:dyDescent="0.2">
      <c r="B221" s="37"/>
    </row>
    <row r="222" spans="2:2" x14ac:dyDescent="0.2">
      <c r="B222" s="37"/>
    </row>
    <row r="223" spans="2:2" x14ac:dyDescent="0.2">
      <c r="B223" s="37"/>
    </row>
    <row r="224" spans="2:2" x14ac:dyDescent="0.2">
      <c r="B224" s="37"/>
    </row>
    <row r="225" spans="2:2" x14ac:dyDescent="0.2">
      <c r="B225" s="37"/>
    </row>
    <row r="226" spans="2:2" x14ac:dyDescent="0.2">
      <c r="B226" s="37"/>
    </row>
    <row r="227" spans="2:2" x14ac:dyDescent="0.2">
      <c r="B227" s="37"/>
    </row>
    <row r="228" spans="2:2" x14ac:dyDescent="0.2">
      <c r="B228" s="37"/>
    </row>
    <row r="229" spans="2:2" x14ac:dyDescent="0.2">
      <c r="B229" s="37"/>
    </row>
    <row r="230" spans="2:2" x14ac:dyDescent="0.2">
      <c r="B230" s="37"/>
    </row>
    <row r="231" spans="2:2" x14ac:dyDescent="0.2">
      <c r="B231" s="37"/>
    </row>
    <row r="232" spans="2:2" x14ac:dyDescent="0.2">
      <c r="B232" s="37"/>
    </row>
    <row r="233" spans="2:2" x14ac:dyDescent="0.2">
      <c r="B233" s="37"/>
    </row>
    <row r="234" spans="2:2" x14ac:dyDescent="0.2">
      <c r="B234" s="37"/>
    </row>
    <row r="235" spans="2:2" x14ac:dyDescent="0.2">
      <c r="B235" s="37"/>
    </row>
    <row r="236" spans="2:2" x14ac:dyDescent="0.2">
      <c r="B236" s="37"/>
    </row>
    <row r="237" spans="2:2" x14ac:dyDescent="0.2">
      <c r="B237" s="37"/>
    </row>
    <row r="238" spans="2:2" x14ac:dyDescent="0.2">
      <c r="B238" s="37"/>
    </row>
    <row r="239" spans="2:2" x14ac:dyDescent="0.2">
      <c r="B239" s="37"/>
    </row>
    <row r="240" spans="2:2" x14ac:dyDescent="0.2">
      <c r="B240" s="37"/>
    </row>
    <row r="241" spans="2:2" x14ac:dyDescent="0.2">
      <c r="B241" s="37"/>
    </row>
    <row r="242" spans="2:2" x14ac:dyDescent="0.2">
      <c r="B242" s="37"/>
    </row>
    <row r="243" spans="2:2" x14ac:dyDescent="0.2">
      <c r="B243" s="37"/>
    </row>
    <row r="244" spans="2:2" x14ac:dyDescent="0.2">
      <c r="B244" s="37"/>
    </row>
    <row r="245" spans="2:2" x14ac:dyDescent="0.2">
      <c r="B245" s="37"/>
    </row>
    <row r="246" spans="2:2" x14ac:dyDescent="0.2">
      <c r="B246" s="37"/>
    </row>
    <row r="247" spans="2:2" x14ac:dyDescent="0.2">
      <c r="B247" s="37"/>
    </row>
    <row r="248" spans="2:2" x14ac:dyDescent="0.2">
      <c r="B248" s="37"/>
    </row>
    <row r="249" spans="2:2" x14ac:dyDescent="0.2">
      <c r="B249" s="37"/>
    </row>
    <row r="250" spans="2:2" x14ac:dyDescent="0.2">
      <c r="B250" s="37"/>
    </row>
    <row r="251" spans="2:2" x14ac:dyDescent="0.2">
      <c r="B251" s="37"/>
    </row>
    <row r="252" spans="2:2" x14ac:dyDescent="0.2">
      <c r="B252" s="37"/>
    </row>
    <row r="253" spans="2:2" x14ac:dyDescent="0.2">
      <c r="B253" s="37"/>
    </row>
    <row r="254" spans="2:2" x14ac:dyDescent="0.2">
      <c r="B254" s="37"/>
    </row>
    <row r="255" spans="2:2" x14ac:dyDescent="0.2">
      <c r="B255" s="37"/>
    </row>
    <row r="256" spans="2:2" x14ac:dyDescent="0.2">
      <c r="B256" s="37"/>
    </row>
    <row r="257" spans="2:2" x14ac:dyDescent="0.2">
      <c r="B257" s="37"/>
    </row>
    <row r="258" spans="2:2" x14ac:dyDescent="0.2">
      <c r="B258" s="37"/>
    </row>
    <row r="259" spans="2:2" x14ac:dyDescent="0.2">
      <c r="B259" s="37"/>
    </row>
    <row r="260" spans="2:2" x14ac:dyDescent="0.2">
      <c r="B260" s="37"/>
    </row>
    <row r="261" spans="2:2" x14ac:dyDescent="0.2">
      <c r="B261" s="37"/>
    </row>
    <row r="262" spans="2:2" x14ac:dyDescent="0.2">
      <c r="B262" s="37"/>
    </row>
    <row r="263" spans="2:2" x14ac:dyDescent="0.2">
      <c r="B263" s="37"/>
    </row>
    <row r="264" spans="2:2" x14ac:dyDescent="0.2">
      <c r="B264" s="37"/>
    </row>
    <row r="265" spans="2:2" x14ac:dyDescent="0.2">
      <c r="B265" s="37"/>
    </row>
    <row r="266" spans="2:2" x14ac:dyDescent="0.2">
      <c r="B266" s="37"/>
    </row>
    <row r="267" spans="2:2" x14ac:dyDescent="0.2">
      <c r="B267" s="37"/>
    </row>
    <row r="268" spans="2:2" x14ac:dyDescent="0.2">
      <c r="B268" s="37"/>
    </row>
    <row r="269" spans="2:2" x14ac:dyDescent="0.2">
      <c r="B269" s="37"/>
    </row>
    <row r="270" spans="2:2" x14ac:dyDescent="0.2">
      <c r="B270" s="37"/>
    </row>
    <row r="271" spans="2:2" x14ac:dyDescent="0.2">
      <c r="B271" s="37"/>
    </row>
    <row r="272" spans="2:2" x14ac:dyDescent="0.2">
      <c r="B272" s="37"/>
    </row>
    <row r="273" spans="2:2" x14ac:dyDescent="0.2">
      <c r="B273" s="37"/>
    </row>
    <row r="274" spans="2:2" x14ac:dyDescent="0.2">
      <c r="B274" s="37"/>
    </row>
    <row r="275" spans="2:2" x14ac:dyDescent="0.2">
      <c r="B275" s="37"/>
    </row>
    <row r="276" spans="2:2" x14ac:dyDescent="0.2">
      <c r="B276" s="37"/>
    </row>
    <row r="277" spans="2:2" x14ac:dyDescent="0.2">
      <c r="B277" s="37"/>
    </row>
    <row r="278" spans="2:2" x14ac:dyDescent="0.2">
      <c r="B278" s="37"/>
    </row>
    <row r="279" spans="2:2" x14ac:dyDescent="0.2">
      <c r="B279" s="37"/>
    </row>
    <row r="280" spans="2:2" x14ac:dyDescent="0.2">
      <c r="B280" s="37"/>
    </row>
    <row r="281" spans="2:2" x14ac:dyDescent="0.2">
      <c r="B281" s="37"/>
    </row>
    <row r="282" spans="2:2" x14ac:dyDescent="0.2">
      <c r="B282" s="37"/>
    </row>
    <row r="283" spans="2:2" x14ac:dyDescent="0.2">
      <c r="B283" s="37"/>
    </row>
    <row r="284" spans="2:2" x14ac:dyDescent="0.2">
      <c r="B284" s="37"/>
    </row>
    <row r="285" spans="2:2" x14ac:dyDescent="0.2">
      <c r="B285" s="37"/>
    </row>
    <row r="286" spans="2:2" x14ac:dyDescent="0.2">
      <c r="B286" s="37"/>
    </row>
    <row r="287" spans="2:2" x14ac:dyDescent="0.2">
      <c r="B287" s="37"/>
    </row>
    <row r="288" spans="2:2" x14ac:dyDescent="0.2">
      <c r="B288" s="37"/>
    </row>
    <row r="289" spans="2:2" x14ac:dyDescent="0.2">
      <c r="B289" s="37"/>
    </row>
    <row r="290" spans="2:2" x14ac:dyDescent="0.2">
      <c r="B290" s="37"/>
    </row>
    <row r="291" spans="2:2" x14ac:dyDescent="0.2">
      <c r="B291" s="37"/>
    </row>
    <row r="292" spans="2:2" x14ac:dyDescent="0.2">
      <c r="B292" s="37"/>
    </row>
    <row r="293" spans="2:2" x14ac:dyDescent="0.2">
      <c r="B293" s="37"/>
    </row>
    <row r="294" spans="2:2" x14ac:dyDescent="0.2">
      <c r="B294" s="37"/>
    </row>
    <row r="295" spans="2:2" x14ac:dyDescent="0.2">
      <c r="B295" s="37"/>
    </row>
    <row r="296" spans="2:2" x14ac:dyDescent="0.2">
      <c r="B296" s="37"/>
    </row>
    <row r="297" spans="2:2" x14ac:dyDescent="0.2">
      <c r="B297" s="37"/>
    </row>
    <row r="298" spans="2:2" x14ac:dyDescent="0.2">
      <c r="B298" s="37"/>
    </row>
    <row r="299" spans="2:2" x14ac:dyDescent="0.2">
      <c r="B299" s="37"/>
    </row>
    <row r="300" spans="2:2" x14ac:dyDescent="0.2">
      <c r="B300" s="37"/>
    </row>
    <row r="301" spans="2:2" x14ac:dyDescent="0.2">
      <c r="B301" s="37"/>
    </row>
    <row r="302" spans="2:2" x14ac:dyDescent="0.2">
      <c r="B302" s="37"/>
    </row>
    <row r="303" spans="2:2" x14ac:dyDescent="0.2">
      <c r="B303" s="37"/>
    </row>
    <row r="304" spans="2:2" x14ac:dyDescent="0.2">
      <c r="B304" s="37"/>
    </row>
    <row r="305" spans="2:2" x14ac:dyDescent="0.2">
      <c r="B305" s="37"/>
    </row>
    <row r="306" spans="2:2" x14ac:dyDescent="0.2">
      <c r="B306" s="37"/>
    </row>
    <row r="307" spans="2:2" x14ac:dyDescent="0.2">
      <c r="B307" s="37"/>
    </row>
    <row r="308" spans="2:2" x14ac:dyDescent="0.2">
      <c r="B308" s="37"/>
    </row>
    <row r="309" spans="2:2" x14ac:dyDescent="0.2">
      <c r="B309" s="37"/>
    </row>
    <row r="310" spans="2:2" x14ac:dyDescent="0.2">
      <c r="B310" s="37"/>
    </row>
    <row r="311" spans="2:2" x14ac:dyDescent="0.2">
      <c r="B311" s="37"/>
    </row>
    <row r="312" spans="2:2" x14ac:dyDescent="0.2">
      <c r="B312" s="37"/>
    </row>
    <row r="313" spans="2:2" x14ac:dyDescent="0.2">
      <c r="B313" s="37"/>
    </row>
    <row r="314" spans="2:2" x14ac:dyDescent="0.2">
      <c r="B314" s="37"/>
    </row>
    <row r="315" spans="2:2" x14ac:dyDescent="0.2">
      <c r="B315" s="37"/>
    </row>
    <row r="316" spans="2:2" x14ac:dyDescent="0.2">
      <c r="B316" s="37"/>
    </row>
    <row r="317" spans="2:2" x14ac:dyDescent="0.2">
      <c r="B317" s="37"/>
    </row>
    <row r="318" spans="2:2" x14ac:dyDescent="0.2">
      <c r="B318" s="37"/>
    </row>
    <row r="319" spans="2:2" x14ac:dyDescent="0.2">
      <c r="B319" s="37"/>
    </row>
    <row r="320" spans="2:2" x14ac:dyDescent="0.2">
      <c r="B320" s="37"/>
    </row>
    <row r="321" spans="2:2" x14ac:dyDescent="0.2">
      <c r="B321" s="37"/>
    </row>
    <row r="322" spans="2:2" x14ac:dyDescent="0.2">
      <c r="B322" s="37"/>
    </row>
    <row r="323" spans="2:2" x14ac:dyDescent="0.2">
      <c r="B323" s="37"/>
    </row>
    <row r="324" spans="2:2" x14ac:dyDescent="0.2">
      <c r="B324" s="37"/>
    </row>
    <row r="325" spans="2:2" x14ac:dyDescent="0.2">
      <c r="B325" s="37"/>
    </row>
    <row r="326" spans="2:2" x14ac:dyDescent="0.2">
      <c r="B326" s="37"/>
    </row>
    <row r="327" spans="2:2" x14ac:dyDescent="0.2">
      <c r="B327" s="37"/>
    </row>
    <row r="328" spans="2:2" x14ac:dyDescent="0.2">
      <c r="B328" s="37"/>
    </row>
    <row r="329" spans="2:2" x14ac:dyDescent="0.2">
      <c r="B329" s="37"/>
    </row>
    <row r="330" spans="2:2" x14ac:dyDescent="0.2">
      <c r="B330" s="37"/>
    </row>
    <row r="331" spans="2:2" x14ac:dyDescent="0.2">
      <c r="B331" s="37"/>
    </row>
    <row r="332" spans="2:2" x14ac:dyDescent="0.2">
      <c r="B332" s="37"/>
    </row>
    <row r="333" spans="2:2" x14ac:dyDescent="0.2">
      <c r="B333" s="37"/>
    </row>
    <row r="334" spans="2:2" x14ac:dyDescent="0.2">
      <c r="B334" s="37"/>
    </row>
    <row r="335" spans="2:2" x14ac:dyDescent="0.2">
      <c r="B335" s="37"/>
    </row>
    <row r="336" spans="2:2" x14ac:dyDescent="0.2">
      <c r="B336" s="37"/>
    </row>
    <row r="337" spans="2:2" x14ac:dyDescent="0.2">
      <c r="B337" s="37"/>
    </row>
    <row r="338" spans="2:2" x14ac:dyDescent="0.2">
      <c r="B338" s="37"/>
    </row>
    <row r="339" spans="2:2" x14ac:dyDescent="0.2">
      <c r="B339" s="37"/>
    </row>
    <row r="340" spans="2:2" x14ac:dyDescent="0.2">
      <c r="B340" s="37"/>
    </row>
    <row r="341" spans="2:2" x14ac:dyDescent="0.2">
      <c r="B341" s="37"/>
    </row>
    <row r="342" spans="2:2" x14ac:dyDescent="0.2">
      <c r="B342" s="37"/>
    </row>
    <row r="343" spans="2:2" x14ac:dyDescent="0.2">
      <c r="B343" s="37"/>
    </row>
    <row r="344" spans="2:2" x14ac:dyDescent="0.2">
      <c r="B344" s="37"/>
    </row>
    <row r="345" spans="2:2" x14ac:dyDescent="0.2">
      <c r="B345" s="37"/>
    </row>
    <row r="346" spans="2:2" x14ac:dyDescent="0.2">
      <c r="B346" s="37"/>
    </row>
    <row r="347" spans="2:2" x14ac:dyDescent="0.2">
      <c r="B347" s="37"/>
    </row>
    <row r="348" spans="2:2" x14ac:dyDescent="0.2">
      <c r="B348" s="37"/>
    </row>
    <row r="349" spans="2:2" x14ac:dyDescent="0.2">
      <c r="B349" s="37"/>
    </row>
    <row r="350" spans="2:2" x14ac:dyDescent="0.2">
      <c r="B350" s="37"/>
    </row>
    <row r="351" spans="2:2" x14ac:dyDescent="0.2">
      <c r="B351" s="37"/>
    </row>
    <row r="352" spans="2:2" x14ac:dyDescent="0.2">
      <c r="B352" s="37"/>
    </row>
    <row r="353" spans="2:2" x14ac:dyDescent="0.2">
      <c r="B353" s="37"/>
    </row>
    <row r="354" spans="2:2" x14ac:dyDescent="0.2">
      <c r="B354" s="37"/>
    </row>
    <row r="355" spans="2:2" x14ac:dyDescent="0.2">
      <c r="B355" s="37"/>
    </row>
    <row r="356" spans="2:2" x14ac:dyDescent="0.2">
      <c r="B356" s="37"/>
    </row>
    <row r="357" spans="2:2" x14ac:dyDescent="0.2">
      <c r="B357" s="37"/>
    </row>
    <row r="358" spans="2:2" x14ac:dyDescent="0.2">
      <c r="B358" s="37"/>
    </row>
    <row r="359" spans="2:2" x14ac:dyDescent="0.2">
      <c r="B359" s="37"/>
    </row>
    <row r="360" spans="2:2" x14ac:dyDescent="0.2">
      <c r="B360" s="37"/>
    </row>
    <row r="361" spans="2:2" x14ac:dyDescent="0.2">
      <c r="B361" s="37"/>
    </row>
    <row r="362" spans="2:2" x14ac:dyDescent="0.2">
      <c r="B362" s="37"/>
    </row>
    <row r="363" spans="2:2" x14ac:dyDescent="0.2">
      <c r="B363" s="37"/>
    </row>
    <row r="364" spans="2:2" x14ac:dyDescent="0.2">
      <c r="B364" s="37"/>
    </row>
    <row r="365" spans="2:2" x14ac:dyDescent="0.2">
      <c r="B365" s="37"/>
    </row>
    <row r="366" spans="2:2" x14ac:dyDescent="0.2">
      <c r="B366" s="37"/>
    </row>
    <row r="367" spans="2:2" x14ac:dyDescent="0.2">
      <c r="B367" s="37"/>
    </row>
    <row r="368" spans="2:2" x14ac:dyDescent="0.2">
      <c r="B368" s="37"/>
    </row>
    <row r="369" spans="2:2" x14ac:dyDescent="0.2">
      <c r="B369" s="37"/>
    </row>
    <row r="370" spans="2:2" x14ac:dyDescent="0.2">
      <c r="B370" s="37"/>
    </row>
    <row r="371" spans="2:2" x14ac:dyDescent="0.2">
      <c r="B371" s="37"/>
    </row>
    <row r="372" spans="2:2" x14ac:dyDescent="0.2">
      <c r="B372" s="37"/>
    </row>
    <row r="373" spans="2:2" x14ac:dyDescent="0.2">
      <c r="B373" s="37"/>
    </row>
    <row r="374" spans="2:2" x14ac:dyDescent="0.2">
      <c r="B374" s="37"/>
    </row>
    <row r="375" spans="2:2" x14ac:dyDescent="0.2">
      <c r="B375" s="37"/>
    </row>
    <row r="376" spans="2:2" x14ac:dyDescent="0.2">
      <c r="B376" s="37"/>
    </row>
    <row r="377" spans="2:2" x14ac:dyDescent="0.2">
      <c r="B377" s="37"/>
    </row>
    <row r="378" spans="2:2" x14ac:dyDescent="0.2">
      <c r="B378" s="37"/>
    </row>
    <row r="379" spans="2:2" x14ac:dyDescent="0.2">
      <c r="B379" s="37"/>
    </row>
    <row r="380" spans="2:2" x14ac:dyDescent="0.2">
      <c r="B380" s="37"/>
    </row>
    <row r="381" spans="2:2" x14ac:dyDescent="0.2">
      <c r="B381" s="37"/>
    </row>
    <row r="382" spans="2:2" x14ac:dyDescent="0.2">
      <c r="B382" s="37"/>
    </row>
    <row r="383" spans="2:2" x14ac:dyDescent="0.2">
      <c r="B383" s="37"/>
    </row>
    <row r="384" spans="2:2" x14ac:dyDescent="0.2">
      <c r="B384" s="37"/>
    </row>
    <row r="385" spans="2:2" x14ac:dyDescent="0.2">
      <c r="B385" s="37"/>
    </row>
    <row r="386" spans="2:2" x14ac:dyDescent="0.2">
      <c r="B386" s="37"/>
    </row>
    <row r="387" spans="2:2" x14ac:dyDescent="0.2">
      <c r="B387" s="37"/>
    </row>
    <row r="388" spans="2:2" x14ac:dyDescent="0.2">
      <c r="B388" s="37"/>
    </row>
    <row r="389" spans="2:2" x14ac:dyDescent="0.2">
      <c r="B389" s="37"/>
    </row>
    <row r="390" spans="2:2" x14ac:dyDescent="0.2">
      <c r="B390" s="37"/>
    </row>
    <row r="391" spans="2:2" x14ac:dyDescent="0.2">
      <c r="B391" s="37"/>
    </row>
    <row r="392" spans="2:2" x14ac:dyDescent="0.2">
      <c r="B392" s="37"/>
    </row>
    <row r="393" spans="2:2" x14ac:dyDescent="0.2">
      <c r="B393" s="37"/>
    </row>
    <row r="394" spans="2:2" x14ac:dyDescent="0.2">
      <c r="B394" s="37"/>
    </row>
    <row r="395" spans="2:2" x14ac:dyDescent="0.2">
      <c r="B395" s="37"/>
    </row>
    <row r="396" spans="2:2" x14ac:dyDescent="0.2">
      <c r="B396" s="37"/>
    </row>
    <row r="397" spans="2:2" x14ac:dyDescent="0.2">
      <c r="B397" s="37"/>
    </row>
    <row r="398" spans="2:2" x14ac:dyDescent="0.2">
      <c r="B398" s="37"/>
    </row>
    <row r="399" spans="2:2" x14ac:dyDescent="0.2">
      <c r="B399" s="37"/>
    </row>
    <row r="400" spans="2:2" x14ac:dyDescent="0.2">
      <c r="B400" s="37"/>
    </row>
    <row r="401" spans="2:2" x14ac:dyDescent="0.2">
      <c r="B401" s="37"/>
    </row>
    <row r="402" spans="2:2" x14ac:dyDescent="0.2">
      <c r="B402" s="37"/>
    </row>
    <row r="403" spans="2:2" x14ac:dyDescent="0.2">
      <c r="B403" s="37"/>
    </row>
    <row r="404" spans="2:2" x14ac:dyDescent="0.2">
      <c r="B404" s="37"/>
    </row>
    <row r="405" spans="2:2" x14ac:dyDescent="0.2">
      <c r="B405" s="37"/>
    </row>
    <row r="406" spans="2:2" x14ac:dyDescent="0.2">
      <c r="B406" s="37"/>
    </row>
    <row r="407" spans="2:2" x14ac:dyDescent="0.2">
      <c r="B407" s="37"/>
    </row>
    <row r="408" spans="2:2" x14ac:dyDescent="0.2">
      <c r="B408" s="37"/>
    </row>
    <row r="409" spans="2:2" x14ac:dyDescent="0.2">
      <c r="B409" s="37"/>
    </row>
    <row r="410" spans="2:2" x14ac:dyDescent="0.2">
      <c r="B410" s="37"/>
    </row>
    <row r="411" spans="2:2" x14ac:dyDescent="0.2">
      <c r="B411" s="37"/>
    </row>
    <row r="412" spans="2:2" x14ac:dyDescent="0.2">
      <c r="B412" s="37"/>
    </row>
    <row r="413" spans="2:2" x14ac:dyDescent="0.2">
      <c r="B413" s="37"/>
    </row>
    <row r="414" spans="2:2" x14ac:dyDescent="0.2">
      <c r="B414" s="37"/>
    </row>
    <row r="415" spans="2:2" x14ac:dyDescent="0.2">
      <c r="B415" s="37"/>
    </row>
    <row r="416" spans="2:2" x14ac:dyDescent="0.2">
      <c r="B416" s="37"/>
    </row>
    <row r="417" spans="2:2" x14ac:dyDescent="0.2">
      <c r="B417" s="37"/>
    </row>
    <row r="418" spans="2:2" x14ac:dyDescent="0.2">
      <c r="B418" s="37"/>
    </row>
    <row r="419" spans="2:2" x14ac:dyDescent="0.2">
      <c r="B419" s="37"/>
    </row>
    <row r="420" spans="2:2" x14ac:dyDescent="0.2">
      <c r="B420" s="37"/>
    </row>
    <row r="421" spans="2:2" x14ac:dyDescent="0.2">
      <c r="B421" s="37"/>
    </row>
    <row r="422" spans="2:2" x14ac:dyDescent="0.2">
      <c r="B422" s="37"/>
    </row>
    <row r="423" spans="2:2" x14ac:dyDescent="0.2">
      <c r="B423" s="37"/>
    </row>
    <row r="424" spans="2:2" x14ac:dyDescent="0.2">
      <c r="B424" s="37"/>
    </row>
    <row r="425" spans="2:2" x14ac:dyDescent="0.2">
      <c r="B425" s="37"/>
    </row>
    <row r="426" spans="2:2" x14ac:dyDescent="0.2">
      <c r="B426" s="37"/>
    </row>
    <row r="427" spans="2:2" x14ac:dyDescent="0.2">
      <c r="B427" s="37"/>
    </row>
    <row r="428" spans="2:2" x14ac:dyDescent="0.2">
      <c r="B428" s="37"/>
    </row>
    <row r="429" spans="2:2" x14ac:dyDescent="0.2">
      <c r="B429" s="37"/>
    </row>
    <row r="430" spans="2:2" x14ac:dyDescent="0.2">
      <c r="B430" s="37"/>
    </row>
    <row r="431" spans="2:2" x14ac:dyDescent="0.2">
      <c r="B431" s="37"/>
    </row>
    <row r="432" spans="2:2" x14ac:dyDescent="0.2">
      <c r="B432" s="37"/>
    </row>
    <row r="433" spans="2:2" x14ac:dyDescent="0.2">
      <c r="B433" s="37"/>
    </row>
    <row r="434" spans="2:2" x14ac:dyDescent="0.2">
      <c r="B434" s="37"/>
    </row>
    <row r="435" spans="2:2" x14ac:dyDescent="0.2">
      <c r="B435" s="37"/>
    </row>
    <row r="436" spans="2:2" x14ac:dyDescent="0.2">
      <c r="B436" s="37"/>
    </row>
    <row r="437" spans="2:2" x14ac:dyDescent="0.2">
      <c r="B437" s="37"/>
    </row>
    <row r="438" spans="2:2" x14ac:dyDescent="0.2">
      <c r="B438" s="37"/>
    </row>
    <row r="439" spans="2:2" x14ac:dyDescent="0.2">
      <c r="B439" s="37"/>
    </row>
    <row r="440" spans="2:2" x14ac:dyDescent="0.2">
      <c r="B440" s="37"/>
    </row>
    <row r="441" spans="2:2" x14ac:dyDescent="0.2">
      <c r="B441" s="37"/>
    </row>
    <row r="442" spans="2:2" x14ac:dyDescent="0.2">
      <c r="B442" s="37"/>
    </row>
    <row r="443" spans="2:2" x14ac:dyDescent="0.2">
      <c r="B443" s="37"/>
    </row>
    <row r="444" spans="2:2" x14ac:dyDescent="0.2">
      <c r="B444" s="37"/>
    </row>
    <row r="445" spans="2:2" x14ac:dyDescent="0.2">
      <c r="B445" s="37"/>
    </row>
    <row r="446" spans="2:2" x14ac:dyDescent="0.2">
      <c r="B446" s="37"/>
    </row>
    <row r="447" spans="2:2" x14ac:dyDescent="0.2">
      <c r="B447" s="37"/>
    </row>
    <row r="448" spans="2:2" x14ac:dyDescent="0.2">
      <c r="B448" s="37"/>
    </row>
    <row r="449" spans="2:2" x14ac:dyDescent="0.2">
      <c r="B449" s="37"/>
    </row>
    <row r="450" spans="2:2" x14ac:dyDescent="0.2">
      <c r="B450" s="37"/>
    </row>
    <row r="451" spans="2:2" x14ac:dyDescent="0.2">
      <c r="B451" s="37"/>
    </row>
    <row r="452" spans="2:2" x14ac:dyDescent="0.2">
      <c r="B452" s="37"/>
    </row>
    <row r="453" spans="2:2" x14ac:dyDescent="0.2">
      <c r="B453" s="37"/>
    </row>
    <row r="454" spans="2:2" x14ac:dyDescent="0.2">
      <c r="B454" s="37"/>
    </row>
    <row r="455" spans="2:2" x14ac:dyDescent="0.2">
      <c r="B455" s="37"/>
    </row>
    <row r="456" spans="2:2" x14ac:dyDescent="0.2">
      <c r="B456" s="37"/>
    </row>
    <row r="457" spans="2:2" x14ac:dyDescent="0.2">
      <c r="B457" s="37"/>
    </row>
    <row r="458" spans="2:2" x14ac:dyDescent="0.2">
      <c r="B458" s="37"/>
    </row>
    <row r="459" spans="2:2" x14ac:dyDescent="0.2">
      <c r="B459" s="37"/>
    </row>
    <row r="460" spans="2:2" x14ac:dyDescent="0.2">
      <c r="B460" s="37"/>
    </row>
    <row r="461" spans="2:2" x14ac:dyDescent="0.2">
      <c r="B461" s="37"/>
    </row>
    <row r="462" spans="2:2" x14ac:dyDescent="0.2">
      <c r="B462" s="37"/>
    </row>
    <row r="463" spans="2:2" x14ac:dyDescent="0.2">
      <c r="B463" s="37"/>
    </row>
    <row r="464" spans="2:2" x14ac:dyDescent="0.2">
      <c r="B464" s="37"/>
    </row>
    <row r="465" spans="2:2" x14ac:dyDescent="0.2">
      <c r="B465" s="37"/>
    </row>
    <row r="466" spans="2:2" x14ac:dyDescent="0.2">
      <c r="B466" s="37"/>
    </row>
    <row r="467" spans="2:2" x14ac:dyDescent="0.2">
      <c r="B467" s="37"/>
    </row>
    <row r="468" spans="2:2" x14ac:dyDescent="0.2">
      <c r="B468" s="37"/>
    </row>
    <row r="469" spans="2:2" x14ac:dyDescent="0.2">
      <c r="B469" s="37"/>
    </row>
    <row r="470" spans="2:2" x14ac:dyDescent="0.2">
      <c r="B470" s="37"/>
    </row>
    <row r="471" spans="2:2" x14ac:dyDescent="0.2">
      <c r="B471" s="37"/>
    </row>
    <row r="472" spans="2:2" x14ac:dyDescent="0.2">
      <c r="B472" s="37"/>
    </row>
    <row r="473" spans="2:2" x14ac:dyDescent="0.2">
      <c r="B473" s="37"/>
    </row>
    <row r="474" spans="2:2" x14ac:dyDescent="0.2">
      <c r="B474" s="37"/>
    </row>
    <row r="475" spans="2:2" x14ac:dyDescent="0.2">
      <c r="B475" s="37"/>
    </row>
    <row r="476" spans="2:2" x14ac:dyDescent="0.2">
      <c r="B476" s="37"/>
    </row>
    <row r="477" spans="2:2" x14ac:dyDescent="0.2">
      <c r="B477" s="37"/>
    </row>
    <row r="478" spans="2:2" x14ac:dyDescent="0.2">
      <c r="B478" s="37"/>
    </row>
    <row r="479" spans="2:2" x14ac:dyDescent="0.2">
      <c r="B479" s="37"/>
    </row>
    <row r="480" spans="2:2" x14ac:dyDescent="0.2">
      <c r="B480" s="37"/>
    </row>
    <row r="481" spans="2:2" x14ac:dyDescent="0.2">
      <c r="B481" s="37"/>
    </row>
    <row r="482" spans="2:2" x14ac:dyDescent="0.2">
      <c r="B482" s="37"/>
    </row>
    <row r="483" spans="2:2" x14ac:dyDescent="0.2">
      <c r="B483" s="37"/>
    </row>
    <row r="484" spans="2:2" x14ac:dyDescent="0.2">
      <c r="B484" s="37"/>
    </row>
    <row r="485" spans="2:2" x14ac:dyDescent="0.2">
      <c r="B485" s="37"/>
    </row>
    <row r="486" spans="2:2" x14ac:dyDescent="0.2">
      <c r="B486" s="37"/>
    </row>
    <row r="487" spans="2:2" x14ac:dyDescent="0.2">
      <c r="B487" s="37"/>
    </row>
    <row r="488" spans="2:2" x14ac:dyDescent="0.2">
      <c r="B488" s="37"/>
    </row>
    <row r="489" spans="2:2" x14ac:dyDescent="0.2">
      <c r="B489" s="37"/>
    </row>
    <row r="490" spans="2:2" x14ac:dyDescent="0.2">
      <c r="B490" s="37"/>
    </row>
    <row r="491" spans="2:2" x14ac:dyDescent="0.2">
      <c r="B491" s="37"/>
    </row>
    <row r="492" spans="2:2" x14ac:dyDescent="0.2">
      <c r="B492" s="37"/>
    </row>
    <row r="493" spans="2:2" x14ac:dyDescent="0.2">
      <c r="B493" s="37"/>
    </row>
    <row r="494" spans="2:2" x14ac:dyDescent="0.2">
      <c r="B494" s="37"/>
    </row>
    <row r="495" spans="2:2" x14ac:dyDescent="0.2">
      <c r="B495" s="37"/>
    </row>
    <row r="496" spans="2:2" x14ac:dyDescent="0.2">
      <c r="B496" s="37"/>
    </row>
    <row r="497" spans="2:2" x14ac:dyDescent="0.2">
      <c r="B497" s="37"/>
    </row>
    <row r="498" spans="2:2" x14ac:dyDescent="0.2">
      <c r="B498" s="37"/>
    </row>
    <row r="499" spans="2:2" x14ac:dyDescent="0.2">
      <c r="B499" s="37"/>
    </row>
    <row r="500" spans="2:2" x14ac:dyDescent="0.2">
      <c r="B500" s="37"/>
    </row>
    <row r="501" spans="2:2" x14ac:dyDescent="0.2">
      <c r="B501" s="37"/>
    </row>
    <row r="502" spans="2:2" x14ac:dyDescent="0.2">
      <c r="B502" s="37"/>
    </row>
    <row r="503" spans="2:2" x14ac:dyDescent="0.2">
      <c r="B503" s="37"/>
    </row>
    <row r="504" spans="2:2" x14ac:dyDescent="0.2">
      <c r="B504" s="37"/>
    </row>
    <row r="505" spans="2:2" x14ac:dyDescent="0.2">
      <c r="B505" s="37"/>
    </row>
    <row r="506" spans="2:2" x14ac:dyDescent="0.2">
      <c r="B506" s="37"/>
    </row>
    <row r="507" spans="2:2" x14ac:dyDescent="0.2">
      <c r="B507" s="37"/>
    </row>
    <row r="508" spans="2:2" x14ac:dyDescent="0.2">
      <c r="B508" s="37"/>
    </row>
    <row r="509" spans="2:2" x14ac:dyDescent="0.2">
      <c r="B509" s="37"/>
    </row>
    <row r="510" spans="2:2" x14ac:dyDescent="0.2">
      <c r="B510" s="37"/>
    </row>
    <row r="511" spans="2:2" x14ac:dyDescent="0.2">
      <c r="B511" s="37"/>
    </row>
    <row r="512" spans="2:2" x14ac:dyDescent="0.2">
      <c r="B512" s="37"/>
    </row>
    <row r="513" spans="2:2" x14ac:dyDescent="0.2">
      <c r="B513" s="37"/>
    </row>
    <row r="514" spans="2:2" x14ac:dyDescent="0.2">
      <c r="B514" s="37"/>
    </row>
    <row r="515" spans="2:2" x14ac:dyDescent="0.2">
      <c r="B515" s="37"/>
    </row>
    <row r="516" spans="2:2" x14ac:dyDescent="0.2">
      <c r="B516" s="37"/>
    </row>
    <row r="517" spans="2:2" x14ac:dyDescent="0.2">
      <c r="B517" s="37"/>
    </row>
    <row r="518" spans="2:2" x14ac:dyDescent="0.2">
      <c r="B518" s="37"/>
    </row>
    <row r="519" spans="2:2" x14ac:dyDescent="0.2">
      <c r="B519" s="37"/>
    </row>
    <row r="520" spans="2:2" x14ac:dyDescent="0.2">
      <c r="B520" s="37"/>
    </row>
    <row r="521" spans="2:2" x14ac:dyDescent="0.2">
      <c r="B521" s="37"/>
    </row>
    <row r="522" spans="2:2" x14ac:dyDescent="0.2">
      <c r="B522" s="37"/>
    </row>
    <row r="523" spans="2:2" x14ac:dyDescent="0.2">
      <c r="B523" s="37"/>
    </row>
    <row r="524" spans="2:2" x14ac:dyDescent="0.2">
      <c r="B524" s="37"/>
    </row>
    <row r="525" spans="2:2" x14ac:dyDescent="0.2">
      <c r="B525" s="37"/>
    </row>
    <row r="526" spans="2:2" x14ac:dyDescent="0.2">
      <c r="B526" s="37"/>
    </row>
    <row r="527" spans="2:2" x14ac:dyDescent="0.2">
      <c r="B527" s="37"/>
    </row>
    <row r="528" spans="2:2" x14ac:dyDescent="0.2">
      <c r="B528" s="37"/>
    </row>
    <row r="529" spans="2:2" x14ac:dyDescent="0.2">
      <c r="B529" s="37"/>
    </row>
    <row r="530" spans="2:2" x14ac:dyDescent="0.2">
      <c r="B530" s="37"/>
    </row>
    <row r="531" spans="2:2" x14ac:dyDescent="0.2">
      <c r="B531" s="37"/>
    </row>
    <row r="532" spans="2:2" x14ac:dyDescent="0.2">
      <c r="B532" s="37"/>
    </row>
    <row r="533" spans="2:2" x14ac:dyDescent="0.2">
      <c r="B533" s="37"/>
    </row>
    <row r="534" spans="2:2" x14ac:dyDescent="0.2">
      <c r="B534" s="37"/>
    </row>
    <row r="535" spans="2:2" x14ac:dyDescent="0.2">
      <c r="B535" s="37"/>
    </row>
    <row r="536" spans="2:2" x14ac:dyDescent="0.2">
      <c r="B536" s="37"/>
    </row>
    <row r="537" spans="2:2" x14ac:dyDescent="0.2">
      <c r="B537" s="37"/>
    </row>
    <row r="538" spans="2:2" x14ac:dyDescent="0.2">
      <c r="B538" s="37"/>
    </row>
    <row r="539" spans="2:2" x14ac:dyDescent="0.2">
      <c r="B539" s="37"/>
    </row>
    <row r="540" spans="2:2" x14ac:dyDescent="0.2">
      <c r="B540" s="37"/>
    </row>
    <row r="541" spans="2:2" x14ac:dyDescent="0.2">
      <c r="B541" s="37"/>
    </row>
    <row r="542" spans="2:2" x14ac:dyDescent="0.2">
      <c r="B542" s="37"/>
    </row>
    <row r="543" spans="2:2" x14ac:dyDescent="0.2">
      <c r="B543" s="37"/>
    </row>
    <row r="544" spans="2:2" x14ac:dyDescent="0.2">
      <c r="B544" s="37"/>
    </row>
    <row r="545" spans="2:2" x14ac:dyDescent="0.2">
      <c r="B545" s="37"/>
    </row>
    <row r="546" spans="2:2" x14ac:dyDescent="0.2">
      <c r="B546" s="37"/>
    </row>
    <row r="547" spans="2:2" x14ac:dyDescent="0.2">
      <c r="B547" s="37"/>
    </row>
    <row r="548" spans="2:2" x14ac:dyDescent="0.2">
      <c r="B548" s="37"/>
    </row>
    <row r="549" spans="2:2" x14ac:dyDescent="0.2">
      <c r="B549" s="37"/>
    </row>
    <row r="550" spans="2:2" x14ac:dyDescent="0.2">
      <c r="B550" s="37"/>
    </row>
    <row r="551" spans="2:2" x14ac:dyDescent="0.2">
      <c r="B551" s="37"/>
    </row>
    <row r="552" spans="2:2" x14ac:dyDescent="0.2">
      <c r="B552" s="37"/>
    </row>
    <row r="553" spans="2:2" x14ac:dyDescent="0.2">
      <c r="B553" s="37"/>
    </row>
    <row r="554" spans="2:2" x14ac:dyDescent="0.2">
      <c r="B554" s="37"/>
    </row>
    <row r="555" spans="2:2" x14ac:dyDescent="0.2">
      <c r="B555" s="37"/>
    </row>
    <row r="556" spans="2:2" x14ac:dyDescent="0.2">
      <c r="B556" s="37"/>
    </row>
    <row r="557" spans="2:2" x14ac:dyDescent="0.2">
      <c r="B557" s="37"/>
    </row>
    <row r="558" spans="2:2" x14ac:dyDescent="0.2">
      <c r="B558" s="37"/>
    </row>
    <row r="559" spans="2:2" x14ac:dyDescent="0.2">
      <c r="B559" s="37"/>
    </row>
    <row r="560" spans="2:2" x14ac:dyDescent="0.2">
      <c r="B560" s="37"/>
    </row>
    <row r="561" spans="2:2" x14ac:dyDescent="0.2">
      <c r="B561" s="37"/>
    </row>
    <row r="562" spans="2:2" x14ac:dyDescent="0.2">
      <c r="B562" s="37"/>
    </row>
    <row r="563" spans="2:2" x14ac:dyDescent="0.2">
      <c r="B563" s="37"/>
    </row>
    <row r="564" spans="2:2" x14ac:dyDescent="0.2">
      <c r="B564" s="37"/>
    </row>
    <row r="565" spans="2:2" x14ac:dyDescent="0.2">
      <c r="B565" s="37"/>
    </row>
    <row r="566" spans="2:2" x14ac:dyDescent="0.2">
      <c r="B566" s="37"/>
    </row>
    <row r="567" spans="2:2" x14ac:dyDescent="0.2">
      <c r="B567" s="37"/>
    </row>
    <row r="568" spans="2:2" x14ac:dyDescent="0.2">
      <c r="B568" s="37"/>
    </row>
    <row r="569" spans="2:2" x14ac:dyDescent="0.2">
      <c r="B569" s="37"/>
    </row>
    <row r="570" spans="2:2" x14ac:dyDescent="0.2">
      <c r="B570" s="37"/>
    </row>
    <row r="571" spans="2:2" x14ac:dyDescent="0.2">
      <c r="B571" s="37"/>
    </row>
    <row r="572" spans="2:2" x14ac:dyDescent="0.2">
      <c r="B572" s="37"/>
    </row>
    <row r="573" spans="2:2" x14ac:dyDescent="0.2">
      <c r="B573" s="37"/>
    </row>
    <row r="574" spans="2:2" x14ac:dyDescent="0.2">
      <c r="B574" s="37"/>
    </row>
    <row r="575" spans="2:2" x14ac:dyDescent="0.2">
      <c r="B575" s="37"/>
    </row>
    <row r="576" spans="2:2" x14ac:dyDescent="0.2">
      <c r="B576" s="37"/>
    </row>
    <row r="577" spans="2:2" x14ac:dyDescent="0.2">
      <c r="B577" s="37"/>
    </row>
    <row r="578" spans="2:2" x14ac:dyDescent="0.2">
      <c r="B578" s="37"/>
    </row>
    <row r="579" spans="2:2" x14ac:dyDescent="0.2">
      <c r="B579" s="37"/>
    </row>
    <row r="580" spans="2:2" x14ac:dyDescent="0.2">
      <c r="B580" s="37"/>
    </row>
    <row r="581" spans="2:2" x14ac:dyDescent="0.2">
      <c r="B581" s="37"/>
    </row>
    <row r="582" spans="2:2" x14ac:dyDescent="0.2">
      <c r="B582" s="37"/>
    </row>
    <row r="583" spans="2:2" x14ac:dyDescent="0.2">
      <c r="B583" s="37"/>
    </row>
    <row r="584" spans="2:2" x14ac:dyDescent="0.2">
      <c r="B584" s="37"/>
    </row>
    <row r="585" spans="2:2" x14ac:dyDescent="0.2">
      <c r="B585" s="37"/>
    </row>
    <row r="586" spans="2:2" x14ac:dyDescent="0.2">
      <c r="B586" s="37"/>
    </row>
    <row r="587" spans="2:2" x14ac:dyDescent="0.2">
      <c r="B587" s="37"/>
    </row>
    <row r="588" spans="2:2" x14ac:dyDescent="0.2">
      <c r="B588" s="37"/>
    </row>
    <row r="589" spans="2:2" x14ac:dyDescent="0.2">
      <c r="B589" s="37"/>
    </row>
    <row r="590" spans="2:2" x14ac:dyDescent="0.2">
      <c r="B590" s="37"/>
    </row>
    <row r="591" spans="2:2" x14ac:dyDescent="0.2">
      <c r="B591" s="37"/>
    </row>
    <row r="592" spans="2:2" x14ac:dyDescent="0.2">
      <c r="B592" s="37"/>
    </row>
    <row r="593" spans="2:2" x14ac:dyDescent="0.2">
      <c r="B593" s="37"/>
    </row>
    <row r="594" spans="2:2" x14ac:dyDescent="0.2">
      <c r="B594" s="37"/>
    </row>
    <row r="595" spans="2:2" x14ac:dyDescent="0.2">
      <c r="B595" s="37"/>
    </row>
    <row r="596" spans="2:2" x14ac:dyDescent="0.2">
      <c r="B596" s="37"/>
    </row>
    <row r="597" spans="2:2" x14ac:dyDescent="0.2">
      <c r="B597" s="37"/>
    </row>
    <row r="598" spans="2:2" x14ac:dyDescent="0.2">
      <c r="B598" s="37"/>
    </row>
    <row r="599" spans="2:2" x14ac:dyDescent="0.2">
      <c r="B599" s="37"/>
    </row>
    <row r="600" spans="2:2" x14ac:dyDescent="0.2">
      <c r="B600" s="37"/>
    </row>
    <row r="601" spans="2:2" x14ac:dyDescent="0.2">
      <c r="B601" s="37"/>
    </row>
    <row r="602" spans="2:2" x14ac:dyDescent="0.2">
      <c r="B602" s="37"/>
    </row>
    <row r="603" spans="2:2" x14ac:dyDescent="0.2">
      <c r="B603" s="37"/>
    </row>
    <row r="604" spans="2:2" x14ac:dyDescent="0.2">
      <c r="B604" s="37"/>
    </row>
    <row r="605" spans="2:2" x14ac:dyDescent="0.2">
      <c r="B605" s="37"/>
    </row>
    <row r="606" spans="2:2" x14ac:dyDescent="0.2">
      <c r="B606" s="37"/>
    </row>
    <row r="607" spans="2:2" x14ac:dyDescent="0.2">
      <c r="B607" s="37"/>
    </row>
    <row r="608" spans="2:2" x14ac:dyDescent="0.2">
      <c r="B608" s="37"/>
    </row>
    <row r="609" spans="2:2" x14ac:dyDescent="0.2">
      <c r="B609" s="37"/>
    </row>
    <row r="610" spans="2:2" x14ac:dyDescent="0.2">
      <c r="B610" s="37"/>
    </row>
    <row r="611" spans="2:2" x14ac:dyDescent="0.2">
      <c r="B611" s="37"/>
    </row>
    <row r="612" spans="2:2" x14ac:dyDescent="0.2">
      <c r="B612" s="37"/>
    </row>
    <row r="613" spans="2:2" x14ac:dyDescent="0.2">
      <c r="B613" s="37"/>
    </row>
    <row r="614" spans="2:2" x14ac:dyDescent="0.2">
      <c r="B614" s="37"/>
    </row>
    <row r="615" spans="2:2" x14ac:dyDescent="0.2">
      <c r="B615" s="37"/>
    </row>
    <row r="616" spans="2:2" x14ac:dyDescent="0.2">
      <c r="B616" s="37"/>
    </row>
    <row r="617" spans="2:2" x14ac:dyDescent="0.2">
      <c r="B617" s="37"/>
    </row>
    <row r="618" spans="2:2" x14ac:dyDescent="0.2">
      <c r="B618" s="37"/>
    </row>
    <row r="619" spans="2:2" x14ac:dyDescent="0.2">
      <c r="B619" s="37"/>
    </row>
    <row r="620" spans="2:2" x14ac:dyDescent="0.2">
      <c r="B620" s="37"/>
    </row>
    <row r="621" spans="2:2" x14ac:dyDescent="0.2">
      <c r="B621" s="37"/>
    </row>
    <row r="622" spans="2:2" x14ac:dyDescent="0.2">
      <c r="B622" s="37"/>
    </row>
    <row r="623" spans="2:2" x14ac:dyDescent="0.2">
      <c r="B623" s="37"/>
    </row>
    <row r="624" spans="2:2" x14ac:dyDescent="0.2">
      <c r="B624" s="37"/>
    </row>
    <row r="625" spans="2:2" x14ac:dyDescent="0.2">
      <c r="B625" s="37"/>
    </row>
    <row r="626" spans="2:2" x14ac:dyDescent="0.2">
      <c r="B626" s="37"/>
    </row>
    <row r="627" spans="2:2" x14ac:dyDescent="0.2">
      <c r="B627" s="37"/>
    </row>
    <row r="628" spans="2:2" x14ac:dyDescent="0.2">
      <c r="B628" s="37"/>
    </row>
    <row r="629" spans="2:2" x14ac:dyDescent="0.2">
      <c r="B629" s="37"/>
    </row>
    <row r="630" spans="2:2" x14ac:dyDescent="0.2">
      <c r="B630" s="37"/>
    </row>
    <row r="631" spans="2:2" x14ac:dyDescent="0.2">
      <c r="B631" s="37"/>
    </row>
    <row r="632" spans="2:2" x14ac:dyDescent="0.2">
      <c r="B632" s="37"/>
    </row>
    <row r="633" spans="2:2" x14ac:dyDescent="0.2">
      <c r="B633" s="37"/>
    </row>
    <row r="634" spans="2:2" x14ac:dyDescent="0.2">
      <c r="B634" s="37"/>
    </row>
    <row r="635" spans="2:2" x14ac:dyDescent="0.2">
      <c r="B635" s="37"/>
    </row>
    <row r="636" spans="2:2" x14ac:dyDescent="0.2">
      <c r="B636" s="37"/>
    </row>
    <row r="637" spans="2:2" x14ac:dyDescent="0.2">
      <c r="B637" s="37"/>
    </row>
    <row r="638" spans="2:2" x14ac:dyDescent="0.2">
      <c r="B638" s="37"/>
    </row>
    <row r="639" spans="2:2" x14ac:dyDescent="0.2">
      <c r="B639" s="37"/>
    </row>
    <row r="640" spans="2:2" x14ac:dyDescent="0.2">
      <c r="B640" s="37"/>
    </row>
    <row r="641" spans="2:2" x14ac:dyDescent="0.2">
      <c r="B641" s="37"/>
    </row>
    <row r="642" spans="2:2" x14ac:dyDescent="0.2">
      <c r="B642" s="37"/>
    </row>
    <row r="643" spans="2:2" x14ac:dyDescent="0.2">
      <c r="B643" s="37"/>
    </row>
    <row r="644" spans="2:2" x14ac:dyDescent="0.2">
      <c r="B644" s="37"/>
    </row>
    <row r="645" spans="2:2" x14ac:dyDescent="0.2">
      <c r="B645" s="37"/>
    </row>
    <row r="646" spans="2:2" x14ac:dyDescent="0.2">
      <c r="B646" s="37"/>
    </row>
    <row r="647" spans="2:2" x14ac:dyDescent="0.2">
      <c r="B647" s="37"/>
    </row>
    <row r="648" spans="2:2" x14ac:dyDescent="0.2">
      <c r="B648" s="37"/>
    </row>
    <row r="649" spans="2:2" x14ac:dyDescent="0.2">
      <c r="B649" s="37"/>
    </row>
    <row r="650" spans="2:2" x14ac:dyDescent="0.2">
      <c r="B650" s="37"/>
    </row>
    <row r="651" spans="2:2" x14ac:dyDescent="0.2">
      <c r="B651" s="37"/>
    </row>
    <row r="652" spans="2:2" x14ac:dyDescent="0.2">
      <c r="B652" s="37"/>
    </row>
    <row r="653" spans="2:2" x14ac:dyDescent="0.2">
      <c r="B653" s="37"/>
    </row>
    <row r="654" spans="2:2" x14ac:dyDescent="0.2">
      <c r="B654" s="37"/>
    </row>
    <row r="655" spans="2:2" x14ac:dyDescent="0.2">
      <c r="B655" s="37"/>
    </row>
    <row r="656" spans="2:2" x14ac:dyDescent="0.2">
      <c r="B656" s="37"/>
    </row>
    <row r="657" spans="2:2" x14ac:dyDescent="0.2">
      <c r="B657" s="37"/>
    </row>
    <row r="658" spans="2:2" x14ac:dyDescent="0.2">
      <c r="B658" s="37"/>
    </row>
    <row r="659" spans="2:2" x14ac:dyDescent="0.2">
      <c r="B659" s="37"/>
    </row>
    <row r="660" spans="2:2" x14ac:dyDescent="0.2">
      <c r="B660" s="37"/>
    </row>
    <row r="661" spans="2:2" x14ac:dyDescent="0.2">
      <c r="B661" s="37"/>
    </row>
    <row r="662" spans="2:2" x14ac:dyDescent="0.2">
      <c r="B662" s="37"/>
    </row>
    <row r="663" spans="2:2" x14ac:dyDescent="0.2">
      <c r="B663" s="37"/>
    </row>
    <row r="664" spans="2:2" x14ac:dyDescent="0.2">
      <c r="B664" s="37"/>
    </row>
    <row r="665" spans="2:2" x14ac:dyDescent="0.2">
      <c r="B665" s="37"/>
    </row>
    <row r="666" spans="2:2" x14ac:dyDescent="0.2">
      <c r="B666" s="37"/>
    </row>
    <row r="667" spans="2:2" x14ac:dyDescent="0.2">
      <c r="B667" s="37"/>
    </row>
    <row r="668" spans="2:2" x14ac:dyDescent="0.2">
      <c r="B668" s="37"/>
    </row>
    <row r="669" spans="2:2" x14ac:dyDescent="0.2">
      <c r="B669" s="37"/>
    </row>
    <row r="670" spans="2:2" x14ac:dyDescent="0.2">
      <c r="B670" s="37"/>
    </row>
    <row r="671" spans="2:2" x14ac:dyDescent="0.2">
      <c r="B671" s="37"/>
    </row>
    <row r="672" spans="2:2" x14ac:dyDescent="0.2">
      <c r="B672" s="37"/>
    </row>
    <row r="673" spans="2:2" x14ac:dyDescent="0.2">
      <c r="B673" s="37"/>
    </row>
    <row r="674" spans="2:2" x14ac:dyDescent="0.2">
      <c r="B674" s="37"/>
    </row>
    <row r="675" spans="2:2" x14ac:dyDescent="0.2">
      <c r="B675" s="37"/>
    </row>
    <row r="676" spans="2:2" x14ac:dyDescent="0.2">
      <c r="B676" s="37"/>
    </row>
    <row r="677" spans="2:2" x14ac:dyDescent="0.2">
      <c r="B677" s="37"/>
    </row>
    <row r="678" spans="2:2" x14ac:dyDescent="0.2">
      <c r="B678" s="37"/>
    </row>
    <row r="679" spans="2:2" x14ac:dyDescent="0.2">
      <c r="B679" s="37"/>
    </row>
    <row r="680" spans="2:2" x14ac:dyDescent="0.2">
      <c r="B680" s="37"/>
    </row>
    <row r="681" spans="2:2" x14ac:dyDescent="0.2">
      <c r="B681" s="37"/>
    </row>
    <row r="682" spans="2:2" x14ac:dyDescent="0.2">
      <c r="B682" s="37"/>
    </row>
    <row r="683" spans="2:2" x14ac:dyDescent="0.2">
      <c r="B683" s="37"/>
    </row>
    <row r="684" spans="2:2" x14ac:dyDescent="0.2">
      <c r="B684" s="37"/>
    </row>
    <row r="685" spans="2:2" x14ac:dyDescent="0.2">
      <c r="B685" s="37"/>
    </row>
    <row r="686" spans="2:2" x14ac:dyDescent="0.2">
      <c r="B686" s="37"/>
    </row>
    <row r="687" spans="2:2" x14ac:dyDescent="0.2">
      <c r="B687" s="37"/>
    </row>
    <row r="688" spans="2:2" x14ac:dyDescent="0.2">
      <c r="B688" s="37"/>
    </row>
    <row r="689" spans="2:2" x14ac:dyDescent="0.2">
      <c r="B689" s="37"/>
    </row>
    <row r="690" spans="2:2" x14ac:dyDescent="0.2">
      <c r="B690" s="37"/>
    </row>
    <row r="691" spans="2:2" x14ac:dyDescent="0.2">
      <c r="B691" s="37"/>
    </row>
    <row r="692" spans="2:2" x14ac:dyDescent="0.2">
      <c r="B692" s="37"/>
    </row>
    <row r="693" spans="2:2" x14ac:dyDescent="0.2">
      <c r="B693" s="37"/>
    </row>
    <row r="694" spans="2:2" x14ac:dyDescent="0.2">
      <c r="B694" s="37"/>
    </row>
    <row r="695" spans="2:2" x14ac:dyDescent="0.2">
      <c r="B695" s="37"/>
    </row>
    <row r="696" spans="2:2" x14ac:dyDescent="0.2">
      <c r="B696" s="37"/>
    </row>
    <row r="697" spans="2:2" x14ac:dyDescent="0.2">
      <c r="B697" s="37"/>
    </row>
    <row r="698" spans="2:2" x14ac:dyDescent="0.2">
      <c r="B698" s="37"/>
    </row>
    <row r="699" spans="2:2" x14ac:dyDescent="0.2">
      <c r="B699" s="37"/>
    </row>
    <row r="700" spans="2:2" x14ac:dyDescent="0.2">
      <c r="B700" s="37"/>
    </row>
    <row r="701" spans="2:2" x14ac:dyDescent="0.2">
      <c r="B701" s="37"/>
    </row>
    <row r="702" spans="2:2" x14ac:dyDescent="0.2">
      <c r="B702" s="37"/>
    </row>
    <row r="703" spans="2:2" x14ac:dyDescent="0.2">
      <c r="B703" s="37"/>
    </row>
    <row r="704" spans="2:2" x14ac:dyDescent="0.2">
      <c r="B704" s="37"/>
    </row>
    <row r="705" spans="2:2" x14ac:dyDescent="0.2">
      <c r="B705" s="37"/>
    </row>
    <row r="706" spans="2:2" x14ac:dyDescent="0.2">
      <c r="B706" s="37"/>
    </row>
    <row r="707" spans="2:2" x14ac:dyDescent="0.2">
      <c r="B707" s="37"/>
    </row>
    <row r="708" spans="2:2" x14ac:dyDescent="0.2">
      <c r="B708" s="37"/>
    </row>
    <row r="709" spans="2:2" x14ac:dyDescent="0.2">
      <c r="B709" s="37"/>
    </row>
    <row r="710" spans="2:2" x14ac:dyDescent="0.2">
      <c r="B710" s="37"/>
    </row>
    <row r="711" spans="2:2" x14ac:dyDescent="0.2">
      <c r="B711" s="37"/>
    </row>
    <row r="712" spans="2:2" x14ac:dyDescent="0.2">
      <c r="B712" s="37"/>
    </row>
    <row r="713" spans="2:2" x14ac:dyDescent="0.2">
      <c r="B713" s="37"/>
    </row>
    <row r="714" spans="2:2" x14ac:dyDescent="0.2">
      <c r="B714" s="37"/>
    </row>
    <row r="715" spans="2:2" x14ac:dyDescent="0.2">
      <c r="B715" s="37"/>
    </row>
    <row r="716" spans="2:2" x14ac:dyDescent="0.2">
      <c r="B716" s="37"/>
    </row>
    <row r="717" spans="2:2" x14ac:dyDescent="0.2">
      <c r="B717" s="37"/>
    </row>
    <row r="718" spans="2:2" x14ac:dyDescent="0.2">
      <c r="B718" s="37"/>
    </row>
    <row r="719" spans="2:2" x14ac:dyDescent="0.2">
      <c r="B719" s="37"/>
    </row>
    <row r="720" spans="2:2" x14ac:dyDescent="0.2">
      <c r="B720" s="37"/>
    </row>
    <row r="721" spans="2:2" x14ac:dyDescent="0.2">
      <c r="B721" s="37"/>
    </row>
    <row r="722" spans="2:2" x14ac:dyDescent="0.2">
      <c r="B722" s="37"/>
    </row>
    <row r="723" spans="2:2" x14ac:dyDescent="0.2">
      <c r="B723" s="37"/>
    </row>
    <row r="724" spans="2:2" x14ac:dyDescent="0.2">
      <c r="B724" s="37"/>
    </row>
    <row r="725" spans="2:2" x14ac:dyDescent="0.2">
      <c r="B725" s="37"/>
    </row>
    <row r="726" spans="2:2" x14ac:dyDescent="0.2">
      <c r="B726" s="37"/>
    </row>
    <row r="727" spans="2:2" x14ac:dyDescent="0.2">
      <c r="B727" s="37"/>
    </row>
    <row r="728" spans="2:2" x14ac:dyDescent="0.2">
      <c r="B728" s="37"/>
    </row>
    <row r="729" spans="2:2" x14ac:dyDescent="0.2">
      <c r="B729" s="37"/>
    </row>
    <row r="730" spans="2:2" x14ac:dyDescent="0.2">
      <c r="B730" s="37"/>
    </row>
    <row r="731" spans="2:2" x14ac:dyDescent="0.2">
      <c r="B731" s="37"/>
    </row>
    <row r="732" spans="2:2" x14ac:dyDescent="0.2">
      <c r="B732" s="37"/>
    </row>
    <row r="733" spans="2:2" x14ac:dyDescent="0.2">
      <c r="B733" s="37"/>
    </row>
    <row r="734" spans="2:2" x14ac:dyDescent="0.2">
      <c r="B734" s="37"/>
    </row>
    <row r="735" spans="2:2" x14ac:dyDescent="0.2">
      <c r="B735" s="37"/>
    </row>
    <row r="736" spans="2:2" x14ac:dyDescent="0.2">
      <c r="B736" s="37"/>
    </row>
    <row r="737" spans="2:2" x14ac:dyDescent="0.2">
      <c r="B737" s="37"/>
    </row>
    <row r="738" spans="2:2" x14ac:dyDescent="0.2">
      <c r="B738" s="37"/>
    </row>
    <row r="739" spans="2:2" x14ac:dyDescent="0.2">
      <c r="B739" s="37"/>
    </row>
    <row r="740" spans="2:2" x14ac:dyDescent="0.2">
      <c r="B740" s="37"/>
    </row>
    <row r="741" spans="2:2" x14ac:dyDescent="0.2">
      <c r="B741" s="37"/>
    </row>
    <row r="742" spans="2:2" x14ac:dyDescent="0.2">
      <c r="B742" s="37"/>
    </row>
    <row r="743" spans="2:2" x14ac:dyDescent="0.2">
      <c r="B743" s="37"/>
    </row>
    <row r="744" spans="2:2" x14ac:dyDescent="0.2">
      <c r="B744" s="37"/>
    </row>
    <row r="745" spans="2:2" x14ac:dyDescent="0.2">
      <c r="B745" s="37"/>
    </row>
    <row r="746" spans="2:2" x14ac:dyDescent="0.2">
      <c r="B746" s="37"/>
    </row>
    <row r="747" spans="2:2" x14ac:dyDescent="0.2">
      <c r="B747" s="37"/>
    </row>
    <row r="748" spans="2:2" x14ac:dyDescent="0.2">
      <c r="B748" s="37"/>
    </row>
    <row r="749" spans="2:2" x14ac:dyDescent="0.2">
      <c r="B749" s="37"/>
    </row>
    <row r="750" spans="2:2" x14ac:dyDescent="0.2">
      <c r="B750" s="37"/>
    </row>
    <row r="751" spans="2:2" x14ac:dyDescent="0.2">
      <c r="B751" s="37"/>
    </row>
    <row r="752" spans="2:2" x14ac:dyDescent="0.2">
      <c r="B752" s="37"/>
    </row>
    <row r="753" spans="2:2" x14ac:dyDescent="0.2">
      <c r="B753" s="37"/>
    </row>
    <row r="754" spans="2:2" x14ac:dyDescent="0.2">
      <c r="B754" s="37"/>
    </row>
    <row r="755" spans="2:2" x14ac:dyDescent="0.2">
      <c r="B755" s="37"/>
    </row>
    <row r="756" spans="2:2" x14ac:dyDescent="0.2">
      <c r="B756" s="37"/>
    </row>
    <row r="757" spans="2:2" x14ac:dyDescent="0.2">
      <c r="B757" s="37"/>
    </row>
    <row r="758" spans="2:2" x14ac:dyDescent="0.2">
      <c r="B758" s="37"/>
    </row>
    <row r="759" spans="2:2" x14ac:dyDescent="0.2">
      <c r="B759" s="37"/>
    </row>
    <row r="760" spans="2:2" x14ac:dyDescent="0.2">
      <c r="B760" s="37"/>
    </row>
    <row r="761" spans="2:2" x14ac:dyDescent="0.2">
      <c r="B761" s="37"/>
    </row>
    <row r="762" spans="2:2" x14ac:dyDescent="0.2">
      <c r="B762" s="37"/>
    </row>
    <row r="763" spans="2:2" x14ac:dyDescent="0.2">
      <c r="B763" s="37"/>
    </row>
    <row r="764" spans="2:2" x14ac:dyDescent="0.2">
      <c r="B764" s="37"/>
    </row>
    <row r="765" spans="2:2" x14ac:dyDescent="0.2">
      <c r="B765" s="37"/>
    </row>
    <row r="766" spans="2:2" x14ac:dyDescent="0.2">
      <c r="B766" s="37"/>
    </row>
    <row r="767" spans="2:2" x14ac:dyDescent="0.2">
      <c r="B767" s="37"/>
    </row>
    <row r="768" spans="2:2" x14ac:dyDescent="0.2">
      <c r="B768" s="37"/>
    </row>
    <row r="769" spans="2:2" x14ac:dyDescent="0.2">
      <c r="B769" s="37"/>
    </row>
    <row r="770" spans="2:2" x14ac:dyDescent="0.2">
      <c r="B770" s="37"/>
    </row>
    <row r="771" spans="2:2" x14ac:dyDescent="0.2">
      <c r="B771" s="37"/>
    </row>
    <row r="772" spans="2:2" x14ac:dyDescent="0.2">
      <c r="B772" s="37"/>
    </row>
    <row r="773" spans="2:2" x14ac:dyDescent="0.2">
      <c r="B773" s="37"/>
    </row>
    <row r="774" spans="2:2" x14ac:dyDescent="0.2">
      <c r="B774" s="37"/>
    </row>
    <row r="775" spans="2:2" x14ac:dyDescent="0.2">
      <c r="B775" s="37"/>
    </row>
    <row r="776" spans="2:2" x14ac:dyDescent="0.2">
      <c r="B776" s="37"/>
    </row>
    <row r="777" spans="2:2" x14ac:dyDescent="0.2">
      <c r="B777" s="37"/>
    </row>
    <row r="778" spans="2:2" x14ac:dyDescent="0.2">
      <c r="B778" s="37"/>
    </row>
    <row r="779" spans="2:2" x14ac:dyDescent="0.2">
      <c r="B779" s="37"/>
    </row>
    <row r="780" spans="2:2" x14ac:dyDescent="0.2">
      <c r="B780" s="37"/>
    </row>
    <row r="781" spans="2:2" x14ac:dyDescent="0.2">
      <c r="B781" s="37"/>
    </row>
    <row r="782" spans="2:2" x14ac:dyDescent="0.2">
      <c r="B782" s="37"/>
    </row>
    <row r="783" spans="2:2" x14ac:dyDescent="0.2">
      <c r="B783" s="37"/>
    </row>
    <row r="784" spans="2:2" x14ac:dyDescent="0.2">
      <c r="B784" s="37"/>
    </row>
    <row r="785" spans="2:2" x14ac:dyDescent="0.2">
      <c r="B785" s="37"/>
    </row>
    <row r="786" spans="2:2" x14ac:dyDescent="0.2">
      <c r="B786" s="37"/>
    </row>
    <row r="787" spans="2:2" x14ac:dyDescent="0.2">
      <c r="B787" s="37"/>
    </row>
    <row r="788" spans="2:2" x14ac:dyDescent="0.2">
      <c r="B788" s="37"/>
    </row>
    <row r="789" spans="2:2" x14ac:dyDescent="0.2">
      <c r="B789" s="37"/>
    </row>
    <row r="790" spans="2:2" x14ac:dyDescent="0.2">
      <c r="B790" s="37"/>
    </row>
    <row r="791" spans="2:2" x14ac:dyDescent="0.2">
      <c r="B791" s="37"/>
    </row>
    <row r="792" spans="2:2" x14ac:dyDescent="0.2">
      <c r="B792" s="37"/>
    </row>
    <row r="793" spans="2:2" x14ac:dyDescent="0.2">
      <c r="B793" s="37"/>
    </row>
    <row r="794" spans="2:2" x14ac:dyDescent="0.2">
      <c r="B794" s="37"/>
    </row>
    <row r="795" spans="2:2" x14ac:dyDescent="0.2">
      <c r="B795" s="37"/>
    </row>
    <row r="796" spans="2:2" x14ac:dyDescent="0.2">
      <c r="B796" s="37"/>
    </row>
    <row r="797" spans="2:2" x14ac:dyDescent="0.2">
      <c r="B797" s="37"/>
    </row>
    <row r="798" spans="2:2" x14ac:dyDescent="0.2">
      <c r="B798" s="37"/>
    </row>
    <row r="799" spans="2:2" x14ac:dyDescent="0.2">
      <c r="B799" s="37"/>
    </row>
    <row r="800" spans="2:2" x14ac:dyDescent="0.2">
      <c r="B800" s="37"/>
    </row>
    <row r="801" spans="2:2" x14ac:dyDescent="0.2">
      <c r="B801" s="37"/>
    </row>
    <row r="802" spans="2:2" x14ac:dyDescent="0.2">
      <c r="B802" s="37"/>
    </row>
    <row r="803" spans="2:2" x14ac:dyDescent="0.2">
      <c r="B803" s="37"/>
    </row>
    <row r="804" spans="2:2" x14ac:dyDescent="0.2">
      <c r="B804" s="37"/>
    </row>
    <row r="805" spans="2:2" x14ac:dyDescent="0.2">
      <c r="B805" s="37"/>
    </row>
    <row r="806" spans="2:2" x14ac:dyDescent="0.2">
      <c r="B806" s="37"/>
    </row>
    <row r="807" spans="2:2" x14ac:dyDescent="0.2">
      <c r="B807" s="37"/>
    </row>
    <row r="808" spans="2:2" x14ac:dyDescent="0.2">
      <c r="B808" s="37"/>
    </row>
    <row r="809" spans="2:2" x14ac:dyDescent="0.2">
      <c r="B809" s="37"/>
    </row>
    <row r="810" spans="2:2" x14ac:dyDescent="0.2">
      <c r="B810" s="37"/>
    </row>
    <row r="811" spans="2:2" x14ac:dyDescent="0.2">
      <c r="B811" s="37"/>
    </row>
    <row r="812" spans="2:2" x14ac:dyDescent="0.2">
      <c r="B812" s="37"/>
    </row>
    <row r="813" spans="2:2" x14ac:dyDescent="0.2">
      <c r="B813" s="37"/>
    </row>
    <row r="814" spans="2:2" x14ac:dyDescent="0.2">
      <c r="B814" s="37"/>
    </row>
    <row r="815" spans="2:2" x14ac:dyDescent="0.2">
      <c r="B815" s="37"/>
    </row>
    <row r="816" spans="2:2" x14ac:dyDescent="0.2">
      <c r="B816" s="37"/>
    </row>
    <row r="817" spans="2:2" x14ac:dyDescent="0.2">
      <c r="B817" s="37"/>
    </row>
    <row r="818" spans="2:2" x14ac:dyDescent="0.2">
      <c r="B818" s="37"/>
    </row>
    <row r="819" spans="2:2" x14ac:dyDescent="0.2">
      <c r="B819" s="37"/>
    </row>
    <row r="820" spans="2:2" x14ac:dyDescent="0.2">
      <c r="B820" s="37"/>
    </row>
    <row r="821" spans="2:2" x14ac:dyDescent="0.2">
      <c r="B821" s="37"/>
    </row>
    <row r="822" spans="2:2" x14ac:dyDescent="0.2">
      <c r="B822" s="37"/>
    </row>
    <row r="823" spans="2:2" x14ac:dyDescent="0.2">
      <c r="B823" s="37"/>
    </row>
    <row r="824" spans="2:2" x14ac:dyDescent="0.2">
      <c r="B824" s="37"/>
    </row>
    <row r="825" spans="2:2" x14ac:dyDescent="0.2">
      <c r="B825" s="37"/>
    </row>
    <row r="826" spans="2:2" x14ac:dyDescent="0.2">
      <c r="B826" s="37"/>
    </row>
    <row r="827" spans="2:2" x14ac:dyDescent="0.2">
      <c r="B827" s="37"/>
    </row>
    <row r="828" spans="2:2" x14ac:dyDescent="0.2">
      <c r="B828" s="37"/>
    </row>
    <row r="829" spans="2:2" x14ac:dyDescent="0.2">
      <c r="B829" s="37"/>
    </row>
    <row r="830" spans="2:2" x14ac:dyDescent="0.2">
      <c r="B830" s="37"/>
    </row>
    <row r="831" spans="2:2" x14ac:dyDescent="0.2">
      <c r="B831" s="37"/>
    </row>
    <row r="832" spans="2:2" x14ac:dyDescent="0.2">
      <c r="B832" s="37"/>
    </row>
    <row r="833" spans="2:2" x14ac:dyDescent="0.2">
      <c r="B833" s="37"/>
    </row>
    <row r="834" spans="2:2" x14ac:dyDescent="0.2">
      <c r="B834" s="37"/>
    </row>
    <row r="835" spans="2:2" x14ac:dyDescent="0.2">
      <c r="B835" s="37"/>
    </row>
    <row r="836" spans="2:2" x14ac:dyDescent="0.2">
      <c r="B836" s="37"/>
    </row>
    <row r="837" spans="2:2" x14ac:dyDescent="0.2">
      <c r="B837" s="37"/>
    </row>
    <row r="838" spans="2:2" x14ac:dyDescent="0.2">
      <c r="B838" s="37"/>
    </row>
    <row r="839" spans="2:2" x14ac:dyDescent="0.2">
      <c r="B839" s="37"/>
    </row>
    <row r="840" spans="2:2" x14ac:dyDescent="0.2">
      <c r="B840" s="37"/>
    </row>
    <row r="841" spans="2:2" x14ac:dyDescent="0.2">
      <c r="B841" s="37"/>
    </row>
    <row r="842" spans="2:2" x14ac:dyDescent="0.2">
      <c r="B842" s="37"/>
    </row>
    <row r="843" spans="2:2" x14ac:dyDescent="0.2">
      <c r="B843" s="37"/>
    </row>
    <row r="844" spans="2:2" x14ac:dyDescent="0.2">
      <c r="B844" s="37"/>
    </row>
    <row r="845" spans="2:2" x14ac:dyDescent="0.2">
      <c r="B845" s="37"/>
    </row>
    <row r="846" spans="2:2" x14ac:dyDescent="0.2">
      <c r="B846" s="37"/>
    </row>
    <row r="847" spans="2:2" x14ac:dyDescent="0.2">
      <c r="B847" s="37"/>
    </row>
    <row r="848" spans="2:2" x14ac:dyDescent="0.2">
      <c r="B848" s="37"/>
    </row>
    <row r="849" spans="2:2" x14ac:dyDescent="0.2">
      <c r="B849" s="37"/>
    </row>
    <row r="850" spans="2:2" x14ac:dyDescent="0.2">
      <c r="B850" s="37"/>
    </row>
    <row r="851" spans="2:2" x14ac:dyDescent="0.2">
      <c r="B851" s="37"/>
    </row>
    <row r="852" spans="2:2" x14ac:dyDescent="0.2">
      <c r="B852" s="37"/>
    </row>
    <row r="853" spans="2:2" x14ac:dyDescent="0.2">
      <c r="B853" s="37"/>
    </row>
    <row r="854" spans="2:2" x14ac:dyDescent="0.2">
      <c r="B854" s="37"/>
    </row>
    <row r="855" spans="2:2" x14ac:dyDescent="0.2">
      <c r="B855" s="37"/>
    </row>
    <row r="856" spans="2:2" x14ac:dyDescent="0.2">
      <c r="B856" s="37"/>
    </row>
    <row r="857" spans="2:2" x14ac:dyDescent="0.2">
      <c r="B857" s="37"/>
    </row>
    <row r="858" spans="2:2" x14ac:dyDescent="0.2">
      <c r="B858" s="37"/>
    </row>
    <row r="859" spans="2:2" x14ac:dyDescent="0.2">
      <c r="B859" s="37"/>
    </row>
    <row r="860" spans="2:2" x14ac:dyDescent="0.2">
      <c r="B860" s="37"/>
    </row>
    <row r="861" spans="2:2" x14ac:dyDescent="0.2">
      <c r="B861" s="37"/>
    </row>
    <row r="862" spans="2:2" x14ac:dyDescent="0.2">
      <c r="B862" s="37"/>
    </row>
    <row r="863" spans="2:2" x14ac:dyDescent="0.2">
      <c r="B863" s="37"/>
    </row>
    <row r="864" spans="2:2" x14ac:dyDescent="0.2">
      <c r="B864" s="37"/>
    </row>
    <row r="865" spans="2:2" x14ac:dyDescent="0.2">
      <c r="B865" s="37"/>
    </row>
    <row r="866" spans="2:2" x14ac:dyDescent="0.2">
      <c r="B866" s="37"/>
    </row>
    <row r="867" spans="2:2" x14ac:dyDescent="0.2">
      <c r="B867" s="37"/>
    </row>
    <row r="868" spans="2:2" x14ac:dyDescent="0.2">
      <c r="B868" s="37"/>
    </row>
    <row r="869" spans="2:2" x14ac:dyDescent="0.2">
      <c r="B869" s="37"/>
    </row>
    <row r="870" spans="2:2" x14ac:dyDescent="0.2">
      <c r="B870" s="37"/>
    </row>
    <row r="871" spans="2:2" x14ac:dyDescent="0.2">
      <c r="B871" s="37"/>
    </row>
    <row r="872" spans="2:2" x14ac:dyDescent="0.2">
      <c r="B872" s="37"/>
    </row>
    <row r="873" spans="2:2" x14ac:dyDescent="0.2">
      <c r="B873" s="37"/>
    </row>
    <row r="874" spans="2:2" x14ac:dyDescent="0.2">
      <c r="B874" s="37"/>
    </row>
    <row r="875" spans="2:2" x14ac:dyDescent="0.2">
      <c r="B875" s="37"/>
    </row>
    <row r="876" spans="2:2" x14ac:dyDescent="0.2">
      <c r="B876" s="37"/>
    </row>
    <row r="877" spans="2:2" x14ac:dyDescent="0.2">
      <c r="B877" s="37"/>
    </row>
    <row r="878" spans="2:2" x14ac:dyDescent="0.2">
      <c r="B878" s="37"/>
    </row>
    <row r="879" spans="2:2" x14ac:dyDescent="0.2">
      <c r="B879" s="37"/>
    </row>
    <row r="880" spans="2:2" x14ac:dyDescent="0.2">
      <c r="B880" s="37"/>
    </row>
    <row r="881" spans="2:2" x14ac:dyDescent="0.2">
      <c r="B881" s="37"/>
    </row>
    <row r="882" spans="2:2" x14ac:dyDescent="0.2">
      <c r="B882" s="37"/>
    </row>
    <row r="883" spans="2:2" x14ac:dyDescent="0.2">
      <c r="B883" s="37"/>
    </row>
    <row r="884" spans="2:2" x14ac:dyDescent="0.2">
      <c r="B884" s="37"/>
    </row>
    <row r="885" spans="2:2" x14ac:dyDescent="0.2">
      <c r="B885" s="37"/>
    </row>
    <row r="886" spans="2:2" x14ac:dyDescent="0.2">
      <c r="B886" s="37"/>
    </row>
    <row r="887" spans="2:2" x14ac:dyDescent="0.2">
      <c r="B887" s="37"/>
    </row>
    <row r="888" spans="2:2" x14ac:dyDescent="0.2">
      <c r="B888" s="37"/>
    </row>
    <row r="889" spans="2:2" x14ac:dyDescent="0.2">
      <c r="B889" s="37"/>
    </row>
    <row r="890" spans="2:2" x14ac:dyDescent="0.2">
      <c r="B890" s="37"/>
    </row>
    <row r="891" spans="2:2" x14ac:dyDescent="0.2">
      <c r="B891" s="37"/>
    </row>
    <row r="892" spans="2:2" x14ac:dyDescent="0.2">
      <c r="B892" s="37"/>
    </row>
    <row r="893" spans="2:2" x14ac:dyDescent="0.2">
      <c r="B893" s="37"/>
    </row>
    <row r="894" spans="2:2" x14ac:dyDescent="0.2">
      <c r="B894" s="37"/>
    </row>
    <row r="895" spans="2:2" x14ac:dyDescent="0.2">
      <c r="B895" s="37"/>
    </row>
    <row r="896" spans="2:2" x14ac:dyDescent="0.2">
      <c r="B896" s="37"/>
    </row>
    <row r="897" spans="2:2" x14ac:dyDescent="0.2">
      <c r="B897" s="37"/>
    </row>
    <row r="898" spans="2:2" x14ac:dyDescent="0.2">
      <c r="B898" s="37"/>
    </row>
    <row r="899" spans="2:2" x14ac:dyDescent="0.2">
      <c r="B899" s="37"/>
    </row>
    <row r="900" spans="2:2" x14ac:dyDescent="0.2">
      <c r="B900" s="37"/>
    </row>
    <row r="901" spans="2:2" x14ac:dyDescent="0.2">
      <c r="B901" s="37"/>
    </row>
    <row r="902" spans="2:2" x14ac:dyDescent="0.2">
      <c r="B902" s="37"/>
    </row>
    <row r="903" spans="2:2" x14ac:dyDescent="0.2">
      <c r="B903" s="37"/>
    </row>
    <row r="904" spans="2:2" x14ac:dyDescent="0.2">
      <c r="B904" s="37"/>
    </row>
    <row r="905" spans="2:2" x14ac:dyDescent="0.2">
      <c r="B905" s="37"/>
    </row>
    <row r="906" spans="2:2" x14ac:dyDescent="0.2">
      <c r="B906" s="37"/>
    </row>
    <row r="907" spans="2:2" x14ac:dyDescent="0.2">
      <c r="B907" s="37"/>
    </row>
    <row r="908" spans="2:2" x14ac:dyDescent="0.2">
      <c r="B908" s="37"/>
    </row>
    <row r="909" spans="2:2" x14ac:dyDescent="0.2">
      <c r="B909" s="37"/>
    </row>
    <row r="910" spans="2:2" x14ac:dyDescent="0.2">
      <c r="B910" s="37"/>
    </row>
    <row r="911" spans="2:2" x14ac:dyDescent="0.2">
      <c r="B911" s="37"/>
    </row>
    <row r="912" spans="2:2" x14ac:dyDescent="0.2">
      <c r="B912" s="37"/>
    </row>
    <row r="913" spans="2:2" x14ac:dyDescent="0.2">
      <c r="B913" s="37"/>
    </row>
    <row r="914" spans="2:2" x14ac:dyDescent="0.2">
      <c r="B914" s="37"/>
    </row>
    <row r="915" spans="2:2" x14ac:dyDescent="0.2">
      <c r="B915" s="37"/>
    </row>
    <row r="916" spans="2:2" x14ac:dyDescent="0.2">
      <c r="B916" s="37"/>
    </row>
    <row r="917" spans="2:2" x14ac:dyDescent="0.2">
      <c r="B917" s="37"/>
    </row>
    <row r="918" spans="2:2" x14ac:dyDescent="0.2">
      <c r="B918" s="37"/>
    </row>
    <row r="919" spans="2:2" x14ac:dyDescent="0.2">
      <c r="B919" s="37"/>
    </row>
    <row r="920" spans="2:2" x14ac:dyDescent="0.2">
      <c r="B920" s="37"/>
    </row>
    <row r="921" spans="2:2" x14ac:dyDescent="0.2">
      <c r="B921" s="37"/>
    </row>
    <row r="922" spans="2:2" x14ac:dyDescent="0.2">
      <c r="B922" s="37"/>
    </row>
    <row r="923" spans="2:2" x14ac:dyDescent="0.2">
      <c r="B923" s="37"/>
    </row>
    <row r="924" spans="2:2" x14ac:dyDescent="0.2">
      <c r="B924" s="37"/>
    </row>
    <row r="925" spans="2:2" x14ac:dyDescent="0.2">
      <c r="B925" s="37"/>
    </row>
    <row r="926" spans="2:2" x14ac:dyDescent="0.2">
      <c r="B926" s="37"/>
    </row>
    <row r="927" spans="2:2" x14ac:dyDescent="0.2">
      <c r="B927" s="37"/>
    </row>
    <row r="928" spans="2:2" x14ac:dyDescent="0.2">
      <c r="B928" s="37"/>
    </row>
    <row r="929" spans="2:2" x14ac:dyDescent="0.2">
      <c r="B929" s="37"/>
    </row>
    <row r="930" spans="2:2" x14ac:dyDescent="0.2">
      <c r="B930" s="37"/>
    </row>
    <row r="931" spans="2:2" x14ac:dyDescent="0.2">
      <c r="B931" s="37"/>
    </row>
    <row r="932" spans="2:2" x14ac:dyDescent="0.2">
      <c r="B932" s="37"/>
    </row>
    <row r="933" spans="2:2" x14ac:dyDescent="0.2">
      <c r="B933" s="37"/>
    </row>
    <row r="934" spans="2:2" x14ac:dyDescent="0.2">
      <c r="B934" s="37"/>
    </row>
    <row r="935" spans="2:2" x14ac:dyDescent="0.2">
      <c r="B935" s="37"/>
    </row>
    <row r="936" spans="2:2" x14ac:dyDescent="0.2">
      <c r="B936" s="37"/>
    </row>
    <row r="937" spans="2:2" x14ac:dyDescent="0.2">
      <c r="B937" s="37"/>
    </row>
    <row r="938" spans="2:2" x14ac:dyDescent="0.2">
      <c r="B938" s="37"/>
    </row>
    <row r="939" spans="2:2" x14ac:dyDescent="0.2">
      <c r="B939" s="37"/>
    </row>
    <row r="940" spans="2:2" x14ac:dyDescent="0.2">
      <c r="B940" s="37"/>
    </row>
    <row r="941" spans="2:2" x14ac:dyDescent="0.2">
      <c r="B941" s="37"/>
    </row>
    <row r="942" spans="2:2" x14ac:dyDescent="0.2">
      <c r="B942" s="37"/>
    </row>
    <row r="943" spans="2:2" x14ac:dyDescent="0.2">
      <c r="B943" s="37"/>
    </row>
    <row r="944" spans="2:2" x14ac:dyDescent="0.2">
      <c r="B944" s="37"/>
    </row>
    <row r="945" spans="2:2" x14ac:dyDescent="0.2">
      <c r="B945" s="37"/>
    </row>
    <row r="946" spans="2:2" x14ac:dyDescent="0.2">
      <c r="B946" s="37"/>
    </row>
    <row r="947" spans="2:2" x14ac:dyDescent="0.2">
      <c r="B947" s="37"/>
    </row>
    <row r="948" spans="2:2" x14ac:dyDescent="0.2">
      <c r="B948" s="37"/>
    </row>
    <row r="949" spans="2:2" x14ac:dyDescent="0.2">
      <c r="B949" s="37"/>
    </row>
    <row r="950" spans="2:2" x14ac:dyDescent="0.2">
      <c r="B950" s="37"/>
    </row>
    <row r="951" spans="2:2" x14ac:dyDescent="0.2">
      <c r="B951" s="37"/>
    </row>
    <row r="952" spans="2:2" x14ac:dyDescent="0.2">
      <c r="B952" s="37"/>
    </row>
    <row r="953" spans="2:2" x14ac:dyDescent="0.2">
      <c r="B953" s="37"/>
    </row>
    <row r="954" spans="2:2" x14ac:dyDescent="0.2">
      <c r="B954" s="37"/>
    </row>
    <row r="955" spans="2:2" x14ac:dyDescent="0.2">
      <c r="B955" s="37"/>
    </row>
    <row r="956" spans="2:2" x14ac:dyDescent="0.2">
      <c r="B956" s="37"/>
    </row>
    <row r="957" spans="2:2" x14ac:dyDescent="0.2">
      <c r="B957" s="37"/>
    </row>
    <row r="958" spans="2:2" x14ac:dyDescent="0.2">
      <c r="B958" s="37"/>
    </row>
    <row r="959" spans="2:2" x14ac:dyDescent="0.2">
      <c r="B959" s="37"/>
    </row>
    <row r="960" spans="2:2" x14ac:dyDescent="0.2">
      <c r="B960" s="37"/>
    </row>
    <row r="961" spans="2:2" x14ac:dyDescent="0.2">
      <c r="B961" s="37"/>
    </row>
    <row r="962" spans="2:2" x14ac:dyDescent="0.2">
      <c r="B962" s="37"/>
    </row>
    <row r="963" spans="2:2" x14ac:dyDescent="0.2">
      <c r="B963" s="37"/>
    </row>
    <row r="964" spans="2:2" x14ac:dyDescent="0.2">
      <c r="B964" s="37"/>
    </row>
    <row r="965" spans="2:2" x14ac:dyDescent="0.2">
      <c r="B965" s="37"/>
    </row>
    <row r="966" spans="2:2" x14ac:dyDescent="0.2">
      <c r="B966" s="37"/>
    </row>
    <row r="967" spans="2:2" x14ac:dyDescent="0.2">
      <c r="B967" s="37"/>
    </row>
    <row r="968" spans="2:2" x14ac:dyDescent="0.2">
      <c r="B968" s="37"/>
    </row>
    <row r="969" spans="2:2" x14ac:dyDescent="0.2">
      <c r="B969" s="37"/>
    </row>
    <row r="970" spans="2:2" x14ac:dyDescent="0.2">
      <c r="B970" s="37"/>
    </row>
    <row r="971" spans="2:2" x14ac:dyDescent="0.2">
      <c r="B971" s="37"/>
    </row>
    <row r="972" spans="2:2" x14ac:dyDescent="0.2">
      <c r="B972" s="37"/>
    </row>
    <row r="973" spans="2:2" x14ac:dyDescent="0.2">
      <c r="B973" s="37"/>
    </row>
    <row r="974" spans="2:2" x14ac:dyDescent="0.2">
      <c r="B974" s="37"/>
    </row>
    <row r="975" spans="2:2" x14ac:dyDescent="0.2">
      <c r="B975" s="37"/>
    </row>
    <row r="976" spans="2:2" x14ac:dyDescent="0.2">
      <c r="B976" s="37"/>
    </row>
    <row r="977" spans="2:2" x14ac:dyDescent="0.2">
      <c r="B977" s="37"/>
    </row>
    <row r="978" spans="2:2" x14ac:dyDescent="0.2">
      <c r="B978" s="37"/>
    </row>
    <row r="979" spans="2:2" x14ac:dyDescent="0.2">
      <c r="B979" s="37"/>
    </row>
    <row r="980" spans="2:2" x14ac:dyDescent="0.2">
      <c r="B980" s="37"/>
    </row>
    <row r="981" spans="2:2" x14ac:dyDescent="0.2">
      <c r="B981" s="37"/>
    </row>
    <row r="982" spans="2:2" x14ac:dyDescent="0.2">
      <c r="B982" s="37"/>
    </row>
    <row r="983" spans="2:2" x14ac:dyDescent="0.2">
      <c r="B983" s="37"/>
    </row>
    <row r="984" spans="2:2" x14ac:dyDescent="0.2">
      <c r="B984" s="37"/>
    </row>
    <row r="985" spans="2:2" x14ac:dyDescent="0.2">
      <c r="B985" s="37"/>
    </row>
    <row r="986" spans="2:2" x14ac:dyDescent="0.2">
      <c r="B986" s="37"/>
    </row>
    <row r="987" spans="2:2" x14ac:dyDescent="0.2">
      <c r="B987" s="37"/>
    </row>
    <row r="988" spans="2:2" x14ac:dyDescent="0.2">
      <c r="B988" s="37"/>
    </row>
    <row r="989" spans="2:2" x14ac:dyDescent="0.2">
      <c r="B989" s="37"/>
    </row>
    <row r="990" spans="2:2" x14ac:dyDescent="0.2">
      <c r="B990" s="37"/>
    </row>
    <row r="991" spans="2:2" x14ac:dyDescent="0.2">
      <c r="B991" s="37"/>
    </row>
    <row r="992" spans="2:2" x14ac:dyDescent="0.2">
      <c r="B992" s="37"/>
    </row>
    <row r="993" spans="2:2" x14ac:dyDescent="0.2">
      <c r="B993" s="37"/>
    </row>
    <row r="994" spans="2:2" x14ac:dyDescent="0.2">
      <c r="B994" s="37"/>
    </row>
    <row r="995" spans="2:2" x14ac:dyDescent="0.2">
      <c r="B995" s="37"/>
    </row>
    <row r="996" spans="2:2" x14ac:dyDescent="0.2">
      <c r="B996" s="37"/>
    </row>
    <row r="997" spans="2:2" x14ac:dyDescent="0.2">
      <c r="B997" s="37"/>
    </row>
    <row r="998" spans="2:2" x14ac:dyDescent="0.2">
      <c r="B998" s="37"/>
    </row>
    <row r="999" spans="2:2" x14ac:dyDescent="0.2">
      <c r="B999" s="37"/>
    </row>
    <row r="1000" spans="2:2" x14ac:dyDescent="0.2">
      <c r="B1000" s="37"/>
    </row>
    <row r="1001" spans="2:2" x14ac:dyDescent="0.2">
      <c r="B1001" s="37"/>
    </row>
    <row r="1002" spans="2:2" x14ac:dyDescent="0.2">
      <c r="B1002" s="37"/>
    </row>
    <row r="1003" spans="2:2" x14ac:dyDescent="0.2">
      <c r="B1003" s="37"/>
    </row>
    <row r="1004" spans="2:2" x14ac:dyDescent="0.2">
      <c r="B1004" s="37"/>
    </row>
    <row r="1005" spans="2:2" x14ac:dyDescent="0.2">
      <c r="B1005" s="37"/>
    </row>
    <row r="1006" spans="2:2" x14ac:dyDescent="0.2">
      <c r="B1006" s="37"/>
    </row>
    <row r="1007" spans="2:2" x14ac:dyDescent="0.2">
      <c r="B1007" s="37"/>
    </row>
    <row r="1008" spans="2:2" x14ac:dyDescent="0.2">
      <c r="B1008" s="37"/>
    </row>
    <row r="1009" spans="2:2" x14ac:dyDescent="0.2">
      <c r="B1009" s="37"/>
    </row>
    <row r="1010" spans="2:2" x14ac:dyDescent="0.2">
      <c r="B1010" s="37"/>
    </row>
    <row r="1011" spans="2:2" x14ac:dyDescent="0.2">
      <c r="B1011" s="37"/>
    </row>
    <row r="1012" spans="2:2" x14ac:dyDescent="0.2">
      <c r="B1012" s="37"/>
    </row>
    <row r="1013" spans="2:2" x14ac:dyDescent="0.2">
      <c r="B1013" s="37"/>
    </row>
    <row r="1014" spans="2:2" x14ac:dyDescent="0.2">
      <c r="B1014" s="37"/>
    </row>
    <row r="1015" spans="2:2" x14ac:dyDescent="0.2">
      <c r="B1015" s="37"/>
    </row>
    <row r="1016" spans="2:2" x14ac:dyDescent="0.2">
      <c r="B1016" s="37"/>
    </row>
    <row r="1017" spans="2:2" x14ac:dyDescent="0.2">
      <c r="B1017" s="37"/>
    </row>
    <row r="1018" spans="2:2" x14ac:dyDescent="0.2">
      <c r="B1018" s="37"/>
    </row>
    <row r="1019" spans="2:2" x14ac:dyDescent="0.2">
      <c r="B1019" s="37"/>
    </row>
    <row r="1020" spans="2:2" x14ac:dyDescent="0.2">
      <c r="B1020" s="37"/>
    </row>
    <row r="1021" spans="2:2" x14ac:dyDescent="0.2">
      <c r="B1021" s="37"/>
    </row>
    <row r="1022" spans="2:2" x14ac:dyDescent="0.2">
      <c r="B1022" s="37"/>
    </row>
    <row r="1023" spans="2:2" x14ac:dyDescent="0.2">
      <c r="B1023" s="37"/>
    </row>
    <row r="1024" spans="2:2" x14ac:dyDescent="0.2">
      <c r="B1024" s="37"/>
    </row>
    <row r="1025" spans="2:2" x14ac:dyDescent="0.2">
      <c r="B1025" s="37"/>
    </row>
    <row r="1026" spans="2:2" x14ac:dyDescent="0.2">
      <c r="B1026" s="37"/>
    </row>
    <row r="1027" spans="2:2" x14ac:dyDescent="0.2">
      <c r="B1027" s="37"/>
    </row>
    <row r="1028" spans="2:2" x14ac:dyDescent="0.2">
      <c r="B1028" s="37"/>
    </row>
    <row r="1029" spans="2:2" x14ac:dyDescent="0.2">
      <c r="B1029" s="37"/>
    </row>
    <row r="1030" spans="2:2" x14ac:dyDescent="0.2">
      <c r="B1030" s="37"/>
    </row>
    <row r="1031" spans="2:2" x14ac:dyDescent="0.2">
      <c r="B1031" s="37"/>
    </row>
    <row r="1032" spans="2:2" x14ac:dyDescent="0.2">
      <c r="B1032" s="37"/>
    </row>
    <row r="1033" spans="2:2" x14ac:dyDescent="0.2">
      <c r="B1033" s="37"/>
    </row>
    <row r="1034" spans="2:2" x14ac:dyDescent="0.2">
      <c r="B1034" s="37"/>
    </row>
    <row r="1035" spans="2:2" x14ac:dyDescent="0.2">
      <c r="B1035" s="37"/>
    </row>
    <row r="1036" spans="2:2" x14ac:dyDescent="0.2">
      <c r="B1036" s="37"/>
    </row>
    <row r="1037" spans="2:2" x14ac:dyDescent="0.2">
      <c r="B1037" s="37"/>
    </row>
    <row r="1038" spans="2:2" x14ac:dyDescent="0.2">
      <c r="B1038" s="37"/>
    </row>
    <row r="1039" spans="2:2" x14ac:dyDescent="0.2">
      <c r="B1039" s="37"/>
    </row>
    <row r="1040" spans="2:2" x14ac:dyDescent="0.2">
      <c r="B1040" s="37"/>
    </row>
    <row r="1041" spans="2:2" x14ac:dyDescent="0.2">
      <c r="B1041" s="37"/>
    </row>
    <row r="1042" spans="2:2" x14ac:dyDescent="0.2">
      <c r="B1042" s="37"/>
    </row>
    <row r="1043" spans="2:2" x14ac:dyDescent="0.2">
      <c r="B1043" s="37"/>
    </row>
    <row r="1044" spans="2:2" x14ac:dyDescent="0.2">
      <c r="B1044" s="37"/>
    </row>
    <row r="1045" spans="2:2" x14ac:dyDescent="0.2">
      <c r="B1045" s="37"/>
    </row>
    <row r="1046" spans="2:2" x14ac:dyDescent="0.2">
      <c r="B1046" s="37"/>
    </row>
    <row r="1047" spans="2:2" x14ac:dyDescent="0.2">
      <c r="B1047" s="37"/>
    </row>
    <row r="1048" spans="2:2" x14ac:dyDescent="0.2">
      <c r="B1048" s="37"/>
    </row>
    <row r="1049" spans="2:2" x14ac:dyDescent="0.2">
      <c r="B1049" s="37"/>
    </row>
    <row r="1050" spans="2:2" x14ac:dyDescent="0.2">
      <c r="B1050" s="37"/>
    </row>
    <row r="1051" spans="2:2" x14ac:dyDescent="0.2">
      <c r="B1051" s="37"/>
    </row>
    <row r="1052" spans="2:2" x14ac:dyDescent="0.2">
      <c r="B1052" s="37"/>
    </row>
    <row r="1053" spans="2:2" x14ac:dyDescent="0.2">
      <c r="B1053" s="37"/>
    </row>
    <row r="1054" spans="2:2" x14ac:dyDescent="0.2">
      <c r="B1054" s="37"/>
    </row>
    <row r="1055" spans="2:2" x14ac:dyDescent="0.2">
      <c r="B1055" s="37"/>
    </row>
    <row r="1056" spans="2:2" x14ac:dyDescent="0.2">
      <c r="B1056" s="37"/>
    </row>
    <row r="1057" spans="1:3" x14ac:dyDescent="0.2">
      <c r="B1057" s="37"/>
    </row>
    <row r="1058" spans="1:3" x14ac:dyDescent="0.2">
      <c r="B1058" s="37"/>
    </row>
    <row r="1059" spans="1:3" x14ac:dyDescent="0.2">
      <c r="B1059" s="37"/>
    </row>
    <row r="1060" spans="1:3" x14ac:dyDescent="0.2">
      <c r="B1060" s="37"/>
    </row>
    <row r="1061" spans="1:3" x14ac:dyDescent="0.2">
      <c r="B1061" s="37"/>
    </row>
    <row r="1062" spans="1:3" x14ac:dyDescent="0.2">
      <c r="B1062" s="37"/>
    </row>
    <row r="1063" spans="1:3" x14ac:dyDescent="0.2">
      <c r="B1063" s="37"/>
    </row>
    <row r="1064" spans="1:3" x14ac:dyDescent="0.2">
      <c r="B1064" s="37"/>
    </row>
    <row r="1065" spans="1:3" x14ac:dyDescent="0.2">
      <c r="B1065" s="37"/>
    </row>
    <row r="1066" spans="1:3" x14ac:dyDescent="0.2">
      <c r="A1066" s="28"/>
      <c r="B1066" s="38"/>
      <c r="C1066" s="28"/>
    </row>
    <row r="1067" spans="1:3" x14ac:dyDescent="0.2">
      <c r="B1067" s="37"/>
    </row>
    <row r="1068" spans="1:3" x14ac:dyDescent="0.2">
      <c r="B1068" s="37"/>
    </row>
    <row r="1069" spans="1:3" x14ac:dyDescent="0.2">
      <c r="B1069" s="37"/>
    </row>
    <row r="1070" spans="1:3" x14ac:dyDescent="0.2">
      <c r="B1070" s="37"/>
    </row>
    <row r="1071" spans="1:3" x14ac:dyDescent="0.2">
      <c r="B1071" s="37"/>
    </row>
    <row r="1072" spans="1:3" x14ac:dyDescent="0.2">
      <c r="B1072" s="37"/>
    </row>
    <row r="1073" spans="2:2" x14ac:dyDescent="0.2">
      <c r="B1073" s="37"/>
    </row>
    <row r="1074" spans="2:2" x14ac:dyDescent="0.2">
      <c r="B1074" s="37"/>
    </row>
    <row r="1075" spans="2:2" x14ac:dyDescent="0.2">
      <c r="B1075" s="37"/>
    </row>
    <row r="1076" spans="2:2" x14ac:dyDescent="0.2">
      <c r="B1076" s="37"/>
    </row>
    <row r="1077" spans="2:2" x14ac:dyDescent="0.2">
      <c r="B1077" s="37"/>
    </row>
    <row r="1078" spans="2:2" x14ac:dyDescent="0.2">
      <c r="B1078" s="37"/>
    </row>
    <row r="1079" spans="2:2" x14ac:dyDescent="0.2">
      <c r="B1079" s="37"/>
    </row>
    <row r="1080" spans="2:2" x14ac:dyDescent="0.2">
      <c r="B1080" s="37"/>
    </row>
    <row r="1081" spans="2:2" x14ac:dyDescent="0.2">
      <c r="B1081" s="37"/>
    </row>
    <row r="1082" spans="2:2" x14ac:dyDescent="0.2">
      <c r="B1082" s="37"/>
    </row>
    <row r="1083" spans="2:2" x14ac:dyDescent="0.2">
      <c r="B1083" s="37"/>
    </row>
    <row r="1084" spans="2:2" x14ac:dyDescent="0.2">
      <c r="B1084" s="37"/>
    </row>
    <row r="1085" spans="2:2" x14ac:dyDescent="0.2">
      <c r="B1085" s="37"/>
    </row>
    <row r="1086" spans="2:2" x14ac:dyDescent="0.2">
      <c r="B1086" s="37"/>
    </row>
    <row r="1087" spans="2:2" x14ac:dyDescent="0.2">
      <c r="B1087" s="37"/>
    </row>
    <row r="1088" spans="2:2" x14ac:dyDescent="0.2">
      <c r="B1088" s="37"/>
    </row>
    <row r="1089" spans="2:2" x14ac:dyDescent="0.2">
      <c r="B1089" s="37"/>
    </row>
    <row r="1090" spans="2:2" x14ac:dyDescent="0.2">
      <c r="B1090" s="37"/>
    </row>
    <row r="1091" spans="2:2" x14ac:dyDescent="0.2">
      <c r="B1091" s="37"/>
    </row>
    <row r="1092" spans="2:2" x14ac:dyDescent="0.2">
      <c r="B1092" s="37"/>
    </row>
    <row r="1093" spans="2:2" x14ac:dyDescent="0.2">
      <c r="B1093" s="37"/>
    </row>
    <row r="1094" spans="2:2" x14ac:dyDescent="0.2">
      <c r="B1094" s="37"/>
    </row>
    <row r="1095" spans="2:2" x14ac:dyDescent="0.2">
      <c r="B1095" s="37"/>
    </row>
    <row r="1096" spans="2:2" x14ac:dyDescent="0.2">
      <c r="B1096" s="37"/>
    </row>
    <row r="1097" spans="2:2" x14ac:dyDescent="0.2">
      <c r="B1097" s="37"/>
    </row>
    <row r="1098" spans="2:2" x14ac:dyDescent="0.2">
      <c r="B1098" s="37"/>
    </row>
    <row r="1099" spans="2:2" x14ac:dyDescent="0.2">
      <c r="B1099" s="37"/>
    </row>
    <row r="1100" spans="2:2" x14ac:dyDescent="0.2">
      <c r="B1100" s="37"/>
    </row>
    <row r="1101" spans="2:2" x14ac:dyDescent="0.2">
      <c r="B1101" s="37"/>
    </row>
    <row r="1102" spans="2:2" x14ac:dyDescent="0.2">
      <c r="B1102" s="37"/>
    </row>
    <row r="1103" spans="2:2" x14ac:dyDescent="0.2">
      <c r="B1103" s="37"/>
    </row>
    <row r="1104" spans="2:2" x14ac:dyDescent="0.2">
      <c r="B1104" s="37"/>
    </row>
    <row r="1105" spans="2:2" x14ac:dyDescent="0.2">
      <c r="B1105" s="37"/>
    </row>
    <row r="1106" spans="2:2" x14ac:dyDescent="0.2">
      <c r="B1106" s="37"/>
    </row>
    <row r="1107" spans="2:2" x14ac:dyDescent="0.2">
      <c r="B1107" s="37"/>
    </row>
    <row r="1108" spans="2:2" x14ac:dyDescent="0.2">
      <c r="B1108" s="37"/>
    </row>
    <row r="1109" spans="2:2" x14ac:dyDescent="0.2">
      <c r="B1109" s="37"/>
    </row>
    <row r="1110" spans="2:2" x14ac:dyDescent="0.2">
      <c r="B1110" s="37"/>
    </row>
    <row r="1111" spans="2:2" x14ac:dyDescent="0.2">
      <c r="B1111" s="37"/>
    </row>
    <row r="1112" spans="2:2" x14ac:dyDescent="0.2">
      <c r="B1112" s="37"/>
    </row>
    <row r="1113" spans="2:2" x14ac:dyDescent="0.2">
      <c r="B1113" s="37"/>
    </row>
    <row r="1114" spans="2:2" x14ac:dyDescent="0.2">
      <c r="B1114" s="37"/>
    </row>
    <row r="1115" spans="2:2" x14ac:dyDescent="0.2">
      <c r="B1115" s="37"/>
    </row>
    <row r="1116" spans="2:2" x14ac:dyDescent="0.2">
      <c r="B1116" s="37"/>
    </row>
    <row r="1117" spans="2:2" x14ac:dyDescent="0.2">
      <c r="B1117" s="37"/>
    </row>
    <row r="1118" spans="2:2" x14ac:dyDescent="0.2">
      <c r="B1118" s="37"/>
    </row>
    <row r="1119" spans="2:2" x14ac:dyDescent="0.2">
      <c r="B1119" s="37"/>
    </row>
    <row r="1120" spans="2:2" x14ac:dyDescent="0.2">
      <c r="B1120" s="37"/>
    </row>
    <row r="1121" spans="2:2" x14ac:dyDescent="0.2">
      <c r="B1121" s="37"/>
    </row>
    <row r="1122" spans="2:2" x14ac:dyDescent="0.2">
      <c r="B1122" s="37"/>
    </row>
    <row r="1123" spans="2:2" x14ac:dyDescent="0.2">
      <c r="B1123" s="37"/>
    </row>
    <row r="1124" spans="2:2" x14ac:dyDescent="0.2">
      <c r="B1124" s="37"/>
    </row>
    <row r="1125" spans="2:2" x14ac:dyDescent="0.2">
      <c r="B1125" s="37"/>
    </row>
    <row r="1126" spans="2:2" x14ac:dyDescent="0.2">
      <c r="B1126" s="37"/>
    </row>
    <row r="1127" spans="2:2" x14ac:dyDescent="0.2">
      <c r="B1127" s="37"/>
    </row>
    <row r="1128" spans="2:2" x14ac:dyDescent="0.2">
      <c r="B1128" s="37"/>
    </row>
    <row r="1129" spans="2:2" x14ac:dyDescent="0.2">
      <c r="B1129" s="37"/>
    </row>
    <row r="1130" spans="2:2" x14ac:dyDescent="0.2">
      <c r="B1130" s="37"/>
    </row>
    <row r="1131" spans="2:2" x14ac:dyDescent="0.2">
      <c r="B1131" s="37"/>
    </row>
    <row r="1132" spans="2:2" x14ac:dyDescent="0.2">
      <c r="B1132" s="37"/>
    </row>
    <row r="1133" spans="2:2" x14ac:dyDescent="0.2">
      <c r="B1133" s="37"/>
    </row>
    <row r="1134" spans="2:2" x14ac:dyDescent="0.2">
      <c r="B1134" s="37"/>
    </row>
    <row r="1135" spans="2:2" x14ac:dyDescent="0.2">
      <c r="B1135" s="37"/>
    </row>
    <row r="1136" spans="2:2" x14ac:dyDescent="0.2">
      <c r="B1136" s="37"/>
    </row>
    <row r="1137" spans="2:2" x14ac:dyDescent="0.2">
      <c r="B1137" s="37"/>
    </row>
    <row r="1138" spans="2:2" x14ac:dyDescent="0.2">
      <c r="B1138" s="37"/>
    </row>
    <row r="1139" spans="2:2" x14ac:dyDescent="0.2">
      <c r="B1139" s="37"/>
    </row>
    <row r="1140" spans="2:2" x14ac:dyDescent="0.2">
      <c r="B1140" s="37"/>
    </row>
    <row r="1141" spans="2:2" x14ac:dyDescent="0.2">
      <c r="B1141" s="37"/>
    </row>
    <row r="1142" spans="2:2" x14ac:dyDescent="0.2">
      <c r="B1142" s="37"/>
    </row>
    <row r="1143" spans="2:2" x14ac:dyDescent="0.2">
      <c r="B1143" s="37"/>
    </row>
    <row r="1144" spans="2:2" x14ac:dyDescent="0.2">
      <c r="B1144" s="37"/>
    </row>
    <row r="1145" spans="2:2" x14ac:dyDescent="0.2">
      <c r="B1145" s="37"/>
    </row>
    <row r="1146" spans="2:2" x14ac:dyDescent="0.2">
      <c r="B1146" s="37"/>
    </row>
    <row r="1147" spans="2:2" x14ac:dyDescent="0.2">
      <c r="B1147" s="37"/>
    </row>
    <row r="1148" spans="2:2" x14ac:dyDescent="0.2">
      <c r="B1148" s="37"/>
    </row>
    <row r="1149" spans="2:2" x14ac:dyDescent="0.2">
      <c r="B1149" s="37"/>
    </row>
    <row r="1150" spans="2:2" x14ac:dyDescent="0.2">
      <c r="B1150" s="37"/>
    </row>
    <row r="1151" spans="2:2" x14ac:dyDescent="0.2">
      <c r="B1151" s="37"/>
    </row>
    <row r="1152" spans="2:2" x14ac:dyDescent="0.2">
      <c r="B1152" s="37"/>
    </row>
    <row r="1153" spans="2:2" x14ac:dyDescent="0.2">
      <c r="B1153" s="37"/>
    </row>
    <row r="1154" spans="2:2" x14ac:dyDescent="0.2">
      <c r="B1154" s="37"/>
    </row>
    <row r="1155" spans="2:2" x14ac:dyDescent="0.2">
      <c r="B1155" s="37"/>
    </row>
    <row r="1156" spans="2:2" x14ac:dyDescent="0.2">
      <c r="B1156" s="37"/>
    </row>
    <row r="1157" spans="2:2" x14ac:dyDescent="0.2">
      <c r="B1157" s="37"/>
    </row>
    <row r="1158" spans="2:2" x14ac:dyDescent="0.2">
      <c r="B1158" s="37"/>
    </row>
    <row r="1159" spans="2:2" x14ac:dyDescent="0.2">
      <c r="B1159" s="37"/>
    </row>
    <row r="1160" spans="2:2" x14ac:dyDescent="0.2">
      <c r="B1160" s="37"/>
    </row>
    <row r="1161" spans="2:2" x14ac:dyDescent="0.2">
      <c r="B1161" s="37"/>
    </row>
    <row r="1162" spans="2:2" x14ac:dyDescent="0.2">
      <c r="B1162" s="37"/>
    </row>
    <row r="1163" spans="2:2" x14ac:dyDescent="0.2">
      <c r="B1163" s="37"/>
    </row>
    <row r="1164" spans="2:2" x14ac:dyDescent="0.2">
      <c r="B1164" s="37"/>
    </row>
    <row r="1165" spans="2:2" x14ac:dyDescent="0.2">
      <c r="B1165" s="37"/>
    </row>
    <row r="1166" spans="2:2" x14ac:dyDescent="0.2">
      <c r="B1166" s="37"/>
    </row>
    <row r="1167" spans="2:2" x14ac:dyDescent="0.2">
      <c r="B1167" s="37"/>
    </row>
    <row r="1168" spans="2:2" x14ac:dyDescent="0.2">
      <c r="B1168" s="37"/>
    </row>
    <row r="1169" spans="2:2" x14ac:dyDescent="0.2">
      <c r="B1169" s="37"/>
    </row>
    <row r="1170" spans="2:2" x14ac:dyDescent="0.2">
      <c r="B1170" s="37"/>
    </row>
    <row r="1171" spans="2:2" x14ac:dyDescent="0.2">
      <c r="B1171" s="37"/>
    </row>
    <row r="1172" spans="2:2" x14ac:dyDescent="0.2">
      <c r="B1172" s="37"/>
    </row>
    <row r="1173" spans="2:2" x14ac:dyDescent="0.2">
      <c r="B1173" s="37"/>
    </row>
    <row r="1174" spans="2:2" x14ac:dyDescent="0.2">
      <c r="B1174" s="37"/>
    </row>
    <row r="1175" spans="2:2" x14ac:dyDescent="0.2">
      <c r="B1175" s="37"/>
    </row>
    <row r="1176" spans="2:2" x14ac:dyDescent="0.2">
      <c r="B1176" s="37"/>
    </row>
    <row r="1177" spans="2:2" x14ac:dyDescent="0.2">
      <c r="B1177" s="37"/>
    </row>
    <row r="1178" spans="2:2" x14ac:dyDescent="0.2">
      <c r="B1178" s="37"/>
    </row>
    <row r="1179" spans="2:2" x14ac:dyDescent="0.2">
      <c r="B1179" s="37"/>
    </row>
    <row r="1180" spans="2:2" x14ac:dyDescent="0.2">
      <c r="B1180" s="37"/>
    </row>
    <row r="1181" spans="2:2" x14ac:dyDescent="0.2">
      <c r="B1181" s="37"/>
    </row>
    <row r="1182" spans="2:2" x14ac:dyDescent="0.2">
      <c r="B1182" s="37"/>
    </row>
    <row r="1183" spans="2:2" x14ac:dyDescent="0.2">
      <c r="B1183" s="37"/>
    </row>
    <row r="1184" spans="2:2" x14ac:dyDescent="0.2">
      <c r="B1184" s="37"/>
    </row>
    <row r="1185" spans="2:2" x14ac:dyDescent="0.2">
      <c r="B1185" s="37"/>
    </row>
    <row r="1186" spans="2:2" x14ac:dyDescent="0.2">
      <c r="B1186" s="37"/>
    </row>
    <row r="1187" spans="2:2" x14ac:dyDescent="0.2">
      <c r="B1187" s="37"/>
    </row>
    <row r="1188" spans="2:2" x14ac:dyDescent="0.2">
      <c r="B1188" s="37"/>
    </row>
    <row r="1189" spans="2:2" x14ac:dyDescent="0.2">
      <c r="B1189" s="37"/>
    </row>
    <row r="1190" spans="2:2" x14ac:dyDescent="0.2">
      <c r="B1190" s="37"/>
    </row>
    <row r="1191" spans="2:2" x14ac:dyDescent="0.2">
      <c r="B1191" s="37"/>
    </row>
    <row r="1192" spans="2:2" x14ac:dyDescent="0.2">
      <c r="B1192" s="37"/>
    </row>
    <row r="1193" spans="2:2" x14ac:dyDescent="0.2">
      <c r="B1193" s="37"/>
    </row>
    <row r="1194" spans="2:2" x14ac:dyDescent="0.2">
      <c r="B1194" s="37"/>
    </row>
    <row r="1195" spans="2:2" x14ac:dyDescent="0.2">
      <c r="B1195" s="37"/>
    </row>
    <row r="1196" spans="2:2" x14ac:dyDescent="0.2">
      <c r="B1196" s="37"/>
    </row>
    <row r="1197" spans="2:2" x14ac:dyDescent="0.2">
      <c r="B1197" s="37"/>
    </row>
    <row r="1198" spans="2:2" x14ac:dyDescent="0.2">
      <c r="B1198" s="37"/>
    </row>
    <row r="1199" spans="2:2" x14ac:dyDescent="0.2">
      <c r="B1199" s="37"/>
    </row>
    <row r="1200" spans="2:2" x14ac:dyDescent="0.2">
      <c r="B1200" s="37"/>
    </row>
    <row r="1201" spans="2:2" x14ac:dyDescent="0.2">
      <c r="B1201" s="37"/>
    </row>
    <row r="1202" spans="2:2" x14ac:dyDescent="0.2">
      <c r="B1202" s="37"/>
    </row>
    <row r="1203" spans="2:2" x14ac:dyDescent="0.2">
      <c r="B1203" s="37"/>
    </row>
    <row r="1204" spans="2:2" x14ac:dyDescent="0.2">
      <c r="B1204" s="37"/>
    </row>
    <row r="1205" spans="2:2" x14ac:dyDescent="0.2">
      <c r="B1205" s="37"/>
    </row>
    <row r="1206" spans="2:2" x14ac:dyDescent="0.2">
      <c r="B1206" s="37"/>
    </row>
    <row r="1207" spans="2:2" x14ac:dyDescent="0.2">
      <c r="B1207" s="37"/>
    </row>
    <row r="1208" spans="2:2" x14ac:dyDescent="0.2">
      <c r="B1208" s="37"/>
    </row>
    <row r="1209" spans="2:2" x14ac:dyDescent="0.2">
      <c r="B1209" s="37"/>
    </row>
    <row r="1210" spans="2:2" x14ac:dyDescent="0.2">
      <c r="B1210" s="37"/>
    </row>
    <row r="1211" spans="2:2" x14ac:dyDescent="0.2">
      <c r="B1211" s="37"/>
    </row>
    <row r="1212" spans="2:2" x14ac:dyDescent="0.2">
      <c r="B1212" s="37"/>
    </row>
    <row r="1213" spans="2:2" x14ac:dyDescent="0.2">
      <c r="B1213" s="37"/>
    </row>
    <row r="1214" spans="2:2" x14ac:dyDescent="0.2">
      <c r="B1214" s="37"/>
    </row>
    <row r="1215" spans="2:2" x14ac:dyDescent="0.2">
      <c r="B1215" s="37"/>
    </row>
    <row r="1216" spans="2:2" x14ac:dyDescent="0.2">
      <c r="B1216" s="37"/>
    </row>
    <row r="1217" spans="2:2" x14ac:dyDescent="0.2">
      <c r="B1217" s="37"/>
    </row>
    <row r="1218" spans="2:2" x14ac:dyDescent="0.2">
      <c r="B1218" s="37"/>
    </row>
    <row r="1219" spans="2:2" x14ac:dyDescent="0.2">
      <c r="B1219" s="37"/>
    </row>
    <row r="1220" spans="2:2" x14ac:dyDescent="0.2">
      <c r="B1220" s="37"/>
    </row>
    <row r="1221" spans="2:2" x14ac:dyDescent="0.2">
      <c r="B1221" s="37"/>
    </row>
    <row r="1222" spans="2:2" x14ac:dyDescent="0.2">
      <c r="B1222" s="37"/>
    </row>
    <row r="1223" spans="2:2" x14ac:dyDescent="0.2">
      <c r="B1223" s="37"/>
    </row>
    <row r="1224" spans="2:2" x14ac:dyDescent="0.2">
      <c r="B1224" s="37"/>
    </row>
    <row r="1225" spans="2:2" x14ac:dyDescent="0.2">
      <c r="B1225" s="37"/>
    </row>
    <row r="1226" spans="2:2" x14ac:dyDescent="0.2">
      <c r="B1226" s="37"/>
    </row>
    <row r="1227" spans="2:2" x14ac:dyDescent="0.2">
      <c r="B1227" s="37"/>
    </row>
    <row r="1228" spans="2:2" x14ac:dyDescent="0.2">
      <c r="B1228" s="37"/>
    </row>
    <row r="1229" spans="2:2" x14ac:dyDescent="0.2">
      <c r="B1229" s="37"/>
    </row>
    <row r="1230" spans="2:2" x14ac:dyDescent="0.2">
      <c r="B1230" s="37"/>
    </row>
    <row r="1231" spans="2:2" x14ac:dyDescent="0.2">
      <c r="B1231" s="37"/>
    </row>
    <row r="1232" spans="2:2" x14ac:dyDescent="0.2">
      <c r="B1232" s="37"/>
    </row>
    <row r="1233" spans="2:2" x14ac:dyDescent="0.2">
      <c r="B1233" s="37"/>
    </row>
    <row r="1234" spans="2:2" x14ac:dyDescent="0.2">
      <c r="B1234" s="37"/>
    </row>
    <row r="1235" spans="2:2" x14ac:dyDescent="0.2">
      <c r="B1235" s="37"/>
    </row>
    <row r="1236" spans="2:2" x14ac:dyDescent="0.2">
      <c r="B1236" s="37"/>
    </row>
    <row r="1237" spans="2:2" x14ac:dyDescent="0.2">
      <c r="B1237" s="37"/>
    </row>
    <row r="1238" spans="2:2" x14ac:dyDescent="0.2">
      <c r="B1238" s="37"/>
    </row>
    <row r="1239" spans="2:2" x14ac:dyDescent="0.2">
      <c r="B1239" s="37"/>
    </row>
    <row r="1240" spans="2:2" x14ac:dyDescent="0.2">
      <c r="B1240" s="37"/>
    </row>
    <row r="1241" spans="2:2" x14ac:dyDescent="0.2">
      <c r="B1241" s="37"/>
    </row>
    <row r="1242" spans="2:2" x14ac:dyDescent="0.2">
      <c r="B1242" s="37"/>
    </row>
    <row r="1243" spans="2:2" x14ac:dyDescent="0.2">
      <c r="B1243" s="37"/>
    </row>
    <row r="1244" spans="2:2" x14ac:dyDescent="0.2">
      <c r="B1244" s="37"/>
    </row>
    <row r="1245" spans="2:2" x14ac:dyDescent="0.2">
      <c r="B1245" s="37"/>
    </row>
    <row r="1246" spans="2:2" x14ac:dyDescent="0.2">
      <c r="B1246" s="37"/>
    </row>
    <row r="1247" spans="2:2" x14ac:dyDescent="0.2">
      <c r="B1247" s="37"/>
    </row>
    <row r="1248" spans="2:2" x14ac:dyDescent="0.2">
      <c r="B1248" s="37"/>
    </row>
    <row r="1249" spans="2:2" x14ac:dyDescent="0.2">
      <c r="B1249" s="37"/>
    </row>
    <row r="1250" spans="2:2" x14ac:dyDescent="0.2">
      <c r="B1250" s="37"/>
    </row>
    <row r="1251" spans="2:2" x14ac:dyDescent="0.2">
      <c r="B1251" s="37"/>
    </row>
    <row r="1252" spans="2:2" x14ac:dyDescent="0.2">
      <c r="B1252" s="37"/>
    </row>
    <row r="1253" spans="2:2" x14ac:dyDescent="0.2">
      <c r="B1253" s="37"/>
    </row>
    <row r="1254" spans="2:2" x14ac:dyDescent="0.2">
      <c r="B1254" s="37"/>
    </row>
    <row r="1255" spans="2:2" x14ac:dyDescent="0.2">
      <c r="B1255" s="37"/>
    </row>
    <row r="1256" spans="2:2" x14ac:dyDescent="0.2">
      <c r="B1256" s="37"/>
    </row>
    <row r="1257" spans="2:2" x14ac:dyDescent="0.2">
      <c r="B1257" s="37"/>
    </row>
    <row r="1258" spans="2:2" x14ac:dyDescent="0.2">
      <c r="B1258" s="37"/>
    </row>
    <row r="1259" spans="2:2" x14ac:dyDescent="0.2">
      <c r="B1259" s="37"/>
    </row>
    <row r="1260" spans="2:2" x14ac:dyDescent="0.2">
      <c r="B1260" s="37"/>
    </row>
    <row r="1261" spans="2:2" x14ac:dyDescent="0.2">
      <c r="B1261" s="37"/>
    </row>
    <row r="1262" spans="2:2" x14ac:dyDescent="0.2">
      <c r="B1262" s="37"/>
    </row>
    <row r="1263" spans="2:2" x14ac:dyDescent="0.2">
      <c r="B1263" s="37"/>
    </row>
    <row r="1264" spans="2:2" x14ac:dyDescent="0.2">
      <c r="B1264" s="37"/>
    </row>
    <row r="1265" spans="2:2" x14ac:dyDescent="0.2">
      <c r="B1265" s="37"/>
    </row>
    <row r="1266" spans="2:2" x14ac:dyDescent="0.2">
      <c r="B1266" s="37"/>
    </row>
    <row r="1267" spans="2:2" x14ac:dyDescent="0.2">
      <c r="B1267" s="37"/>
    </row>
    <row r="1268" spans="2:2" x14ac:dyDescent="0.2">
      <c r="B1268" s="37"/>
    </row>
    <row r="1269" spans="2:2" x14ac:dyDescent="0.2">
      <c r="B1269" s="37"/>
    </row>
    <row r="1270" spans="2:2" x14ac:dyDescent="0.2">
      <c r="B1270" s="37"/>
    </row>
    <row r="1271" spans="2:2" x14ac:dyDescent="0.2">
      <c r="B1271" s="37"/>
    </row>
    <row r="1272" spans="2:2" x14ac:dyDescent="0.2">
      <c r="B1272" s="37"/>
    </row>
    <row r="1273" spans="2:2" x14ac:dyDescent="0.2">
      <c r="B1273" s="37"/>
    </row>
    <row r="1274" spans="2:2" x14ac:dyDescent="0.2">
      <c r="B1274" s="37"/>
    </row>
    <row r="1275" spans="2:2" x14ac:dyDescent="0.2">
      <c r="B1275" s="37"/>
    </row>
    <row r="1276" spans="2:2" x14ac:dyDescent="0.2">
      <c r="B1276" s="37"/>
    </row>
    <row r="1277" spans="2:2" x14ac:dyDescent="0.2">
      <c r="B1277" s="37"/>
    </row>
    <row r="1278" spans="2:2" x14ac:dyDescent="0.2">
      <c r="B1278" s="37"/>
    </row>
    <row r="1279" spans="2:2" x14ac:dyDescent="0.2">
      <c r="B1279" s="37"/>
    </row>
    <row r="1280" spans="2:2" x14ac:dyDescent="0.2">
      <c r="B1280" s="37"/>
    </row>
    <row r="1281" spans="2:2" x14ac:dyDescent="0.2">
      <c r="B1281" s="37"/>
    </row>
    <row r="1282" spans="2:2" x14ac:dyDescent="0.2">
      <c r="B1282" s="37"/>
    </row>
    <row r="1283" spans="2:2" x14ac:dyDescent="0.2">
      <c r="B1283" s="37"/>
    </row>
    <row r="1284" spans="2:2" x14ac:dyDescent="0.2">
      <c r="B1284" s="37"/>
    </row>
    <row r="1285" spans="2:2" x14ac:dyDescent="0.2">
      <c r="B1285" s="37"/>
    </row>
    <row r="1286" spans="2:2" x14ac:dyDescent="0.2">
      <c r="B1286" s="37"/>
    </row>
    <row r="1287" spans="2:2" x14ac:dyDescent="0.2">
      <c r="B1287" s="37"/>
    </row>
    <row r="1288" spans="2:2" x14ac:dyDescent="0.2">
      <c r="B1288" s="37"/>
    </row>
    <row r="1289" spans="2:2" x14ac:dyDescent="0.2">
      <c r="B1289" s="37"/>
    </row>
    <row r="1290" spans="2:2" x14ac:dyDescent="0.2">
      <c r="B1290" s="37"/>
    </row>
    <row r="1291" spans="2:2" x14ac:dyDescent="0.2">
      <c r="B1291" s="37"/>
    </row>
    <row r="1292" spans="2:2" x14ac:dyDescent="0.2">
      <c r="B1292" s="37"/>
    </row>
    <row r="1293" spans="2:2" x14ac:dyDescent="0.2">
      <c r="B1293" s="37"/>
    </row>
    <row r="1294" spans="2:2" x14ac:dyDescent="0.2">
      <c r="B1294" s="37"/>
    </row>
    <row r="1295" spans="2:2" x14ac:dyDescent="0.2">
      <c r="B1295" s="37"/>
    </row>
    <row r="1296" spans="2:2" x14ac:dyDescent="0.2">
      <c r="B1296" s="37"/>
    </row>
    <row r="1297" spans="2:2" x14ac:dyDescent="0.2">
      <c r="B1297" s="37"/>
    </row>
    <row r="1298" spans="2:2" x14ac:dyDescent="0.2">
      <c r="B1298" s="37"/>
    </row>
    <row r="1299" spans="2:2" x14ac:dyDescent="0.2">
      <c r="B1299" s="37"/>
    </row>
    <row r="1300" spans="2:2" x14ac:dyDescent="0.2">
      <c r="B1300" s="37"/>
    </row>
    <row r="1301" spans="2:2" x14ac:dyDescent="0.2">
      <c r="B1301" s="37"/>
    </row>
    <row r="1302" spans="2:2" x14ac:dyDescent="0.2">
      <c r="B1302" s="37"/>
    </row>
    <row r="1303" spans="2:2" x14ac:dyDescent="0.2">
      <c r="B1303" s="37"/>
    </row>
    <row r="1304" spans="2:2" x14ac:dyDescent="0.2">
      <c r="B1304" s="37"/>
    </row>
    <row r="1305" spans="2:2" x14ac:dyDescent="0.2">
      <c r="B1305" s="37"/>
    </row>
    <row r="1306" spans="2:2" x14ac:dyDescent="0.2">
      <c r="B1306" s="37"/>
    </row>
    <row r="1307" spans="2:2" x14ac:dyDescent="0.2">
      <c r="B1307" s="37"/>
    </row>
    <row r="1308" spans="2:2" x14ac:dyDescent="0.2">
      <c r="B1308" s="37"/>
    </row>
    <row r="1309" spans="2:2" x14ac:dyDescent="0.2">
      <c r="B1309" s="37"/>
    </row>
    <row r="1310" spans="2:2" x14ac:dyDescent="0.2">
      <c r="B1310" s="37"/>
    </row>
    <row r="1311" spans="2:2" x14ac:dyDescent="0.2">
      <c r="B1311" s="37"/>
    </row>
    <row r="1312" spans="2:2" x14ac:dyDescent="0.2">
      <c r="B1312" s="37"/>
    </row>
    <row r="1313" spans="2:2" x14ac:dyDescent="0.2">
      <c r="B1313" s="37"/>
    </row>
    <row r="1314" spans="2:2" x14ac:dyDescent="0.2">
      <c r="B1314" s="37"/>
    </row>
    <row r="1315" spans="2:2" x14ac:dyDescent="0.2">
      <c r="B1315" s="37"/>
    </row>
    <row r="1316" spans="2:2" x14ac:dyDescent="0.2">
      <c r="B1316" s="37"/>
    </row>
    <row r="1317" spans="2:2" x14ac:dyDescent="0.2">
      <c r="B1317" s="37"/>
    </row>
    <row r="1318" spans="2:2" x14ac:dyDescent="0.2">
      <c r="B1318" s="37"/>
    </row>
    <row r="1319" spans="2:2" x14ac:dyDescent="0.2">
      <c r="B1319" s="37"/>
    </row>
    <row r="1320" spans="2:2" x14ac:dyDescent="0.2">
      <c r="B1320" s="37"/>
    </row>
    <row r="1321" spans="2:2" x14ac:dyDescent="0.2">
      <c r="B1321" s="37"/>
    </row>
    <row r="1322" spans="2:2" x14ac:dyDescent="0.2">
      <c r="B1322" s="37"/>
    </row>
    <row r="1323" spans="2:2" x14ac:dyDescent="0.2">
      <c r="B1323" s="37"/>
    </row>
    <row r="1324" spans="2:2" x14ac:dyDescent="0.2">
      <c r="B1324" s="37"/>
    </row>
    <row r="1325" spans="2:2" x14ac:dyDescent="0.2">
      <c r="B1325" s="37"/>
    </row>
    <row r="1326" spans="2:2" x14ac:dyDescent="0.2">
      <c r="B1326" s="37"/>
    </row>
    <row r="1327" spans="2:2" x14ac:dyDescent="0.2">
      <c r="B1327" s="37"/>
    </row>
    <row r="1328" spans="2:2" x14ac:dyDescent="0.2">
      <c r="B1328" s="37"/>
    </row>
    <row r="1329" spans="2:2" x14ac:dyDescent="0.2">
      <c r="B1329" s="37"/>
    </row>
    <row r="1330" spans="2:2" x14ac:dyDescent="0.2">
      <c r="B1330" s="37"/>
    </row>
    <row r="1331" spans="2:2" x14ac:dyDescent="0.2">
      <c r="B1331" s="37"/>
    </row>
    <row r="1332" spans="2:2" x14ac:dyDescent="0.2">
      <c r="B1332" s="37"/>
    </row>
    <row r="1333" spans="2:2" x14ac:dyDescent="0.2">
      <c r="B1333" s="37"/>
    </row>
    <row r="1334" spans="2:2" x14ac:dyDescent="0.2">
      <c r="B1334" s="37"/>
    </row>
    <row r="1335" spans="2:2" x14ac:dyDescent="0.2">
      <c r="B1335" s="37"/>
    </row>
    <row r="1336" spans="2:2" x14ac:dyDescent="0.2">
      <c r="B1336" s="37"/>
    </row>
    <row r="1337" spans="2:2" x14ac:dyDescent="0.2">
      <c r="B1337" s="37"/>
    </row>
    <row r="1338" spans="2:2" x14ac:dyDescent="0.2">
      <c r="B1338" s="37"/>
    </row>
    <row r="1339" spans="2:2" x14ac:dyDescent="0.2">
      <c r="B1339" s="37"/>
    </row>
    <row r="1340" spans="2:2" x14ac:dyDescent="0.2">
      <c r="B1340" s="37"/>
    </row>
    <row r="1341" spans="2:2" x14ac:dyDescent="0.2">
      <c r="B1341" s="37"/>
    </row>
    <row r="1342" spans="2:2" x14ac:dyDescent="0.2">
      <c r="B1342" s="37"/>
    </row>
    <row r="1343" spans="2:2" x14ac:dyDescent="0.2">
      <c r="B1343" s="37"/>
    </row>
    <row r="1344" spans="2:2" x14ac:dyDescent="0.2">
      <c r="B1344" s="37"/>
    </row>
    <row r="1345" spans="2:2" x14ac:dyDescent="0.2">
      <c r="B1345" s="37"/>
    </row>
    <row r="1346" spans="2:2" x14ac:dyDescent="0.2">
      <c r="B1346" s="37"/>
    </row>
    <row r="1347" spans="2:2" x14ac:dyDescent="0.2">
      <c r="B1347" s="37"/>
    </row>
    <row r="1348" spans="2:2" x14ac:dyDescent="0.2">
      <c r="B1348" s="37"/>
    </row>
    <row r="1349" spans="2:2" x14ac:dyDescent="0.2">
      <c r="B1349" s="37"/>
    </row>
    <row r="1350" spans="2:2" x14ac:dyDescent="0.2">
      <c r="B1350" s="37"/>
    </row>
    <row r="1351" spans="2:2" x14ac:dyDescent="0.2">
      <c r="B1351" s="37"/>
    </row>
    <row r="1352" spans="2:2" x14ac:dyDescent="0.2">
      <c r="B1352" s="37"/>
    </row>
    <row r="1353" spans="2:2" x14ac:dyDescent="0.2">
      <c r="B1353" s="37"/>
    </row>
    <row r="1354" spans="2:2" x14ac:dyDescent="0.2">
      <c r="B1354" s="37"/>
    </row>
    <row r="1355" spans="2:2" x14ac:dyDescent="0.2">
      <c r="B1355" s="37"/>
    </row>
    <row r="1356" spans="2:2" x14ac:dyDescent="0.2">
      <c r="B1356" s="37"/>
    </row>
    <row r="1357" spans="2:2" x14ac:dyDescent="0.2">
      <c r="B1357" s="37"/>
    </row>
    <row r="1358" spans="2:2" x14ac:dyDescent="0.2">
      <c r="B1358" s="37"/>
    </row>
    <row r="1359" spans="2:2" x14ac:dyDescent="0.2">
      <c r="B1359" s="37"/>
    </row>
    <row r="1360" spans="2:2" x14ac:dyDescent="0.2">
      <c r="B1360" s="37"/>
    </row>
    <row r="1361" spans="2:2" x14ac:dyDescent="0.2">
      <c r="B1361" s="37"/>
    </row>
    <row r="1362" spans="2:2" x14ac:dyDescent="0.2">
      <c r="B1362" s="37"/>
    </row>
    <row r="1363" spans="2:2" x14ac:dyDescent="0.2">
      <c r="B1363" s="37"/>
    </row>
    <row r="1364" spans="2:2" x14ac:dyDescent="0.2">
      <c r="B1364" s="37"/>
    </row>
    <row r="1365" spans="2:2" x14ac:dyDescent="0.2">
      <c r="B1365" s="37"/>
    </row>
    <row r="1366" spans="2:2" x14ac:dyDescent="0.2">
      <c r="B1366" s="37"/>
    </row>
    <row r="1367" spans="2:2" x14ac:dyDescent="0.2">
      <c r="B1367" s="37"/>
    </row>
    <row r="1368" spans="2:2" x14ac:dyDescent="0.2">
      <c r="B1368" s="37"/>
    </row>
    <row r="1369" spans="2:2" x14ac:dyDescent="0.2">
      <c r="B1369" s="37"/>
    </row>
    <row r="1370" spans="2:2" x14ac:dyDescent="0.2">
      <c r="B1370" s="37"/>
    </row>
    <row r="1371" spans="2:2" x14ac:dyDescent="0.2">
      <c r="B1371" s="37"/>
    </row>
    <row r="1372" spans="2:2" x14ac:dyDescent="0.2">
      <c r="B1372" s="37"/>
    </row>
    <row r="1373" spans="2:2" x14ac:dyDescent="0.2">
      <c r="B1373" s="37"/>
    </row>
    <row r="1374" spans="2:2" x14ac:dyDescent="0.2">
      <c r="B1374" s="37"/>
    </row>
    <row r="1375" spans="2:2" x14ac:dyDescent="0.2">
      <c r="B1375" s="37"/>
    </row>
    <row r="1376" spans="2:2" x14ac:dyDescent="0.2">
      <c r="B1376" s="37"/>
    </row>
    <row r="1377" spans="2:2" x14ac:dyDescent="0.2">
      <c r="B1377" s="37"/>
    </row>
    <row r="1378" spans="2:2" x14ac:dyDescent="0.2">
      <c r="B1378" s="37"/>
    </row>
    <row r="1379" spans="2:2" x14ac:dyDescent="0.2">
      <c r="B1379" s="37"/>
    </row>
    <row r="1380" spans="2:2" x14ac:dyDescent="0.2">
      <c r="B1380" s="37"/>
    </row>
    <row r="1381" spans="2:2" x14ac:dyDescent="0.2">
      <c r="B1381" s="37"/>
    </row>
    <row r="1382" spans="2:2" x14ac:dyDescent="0.2">
      <c r="B1382" s="37"/>
    </row>
    <row r="1383" spans="2:2" x14ac:dyDescent="0.2">
      <c r="B1383" s="37"/>
    </row>
    <row r="1384" spans="2:2" x14ac:dyDescent="0.2">
      <c r="B1384" s="37"/>
    </row>
    <row r="1385" spans="2:2" x14ac:dyDescent="0.2">
      <c r="B1385" s="37"/>
    </row>
    <row r="1386" spans="2:2" x14ac:dyDescent="0.2">
      <c r="B1386" s="37"/>
    </row>
    <row r="1387" spans="2:2" x14ac:dyDescent="0.2">
      <c r="B1387" s="37"/>
    </row>
    <row r="1388" spans="2:2" x14ac:dyDescent="0.2">
      <c r="B1388" s="37"/>
    </row>
    <row r="1389" spans="2:2" x14ac:dyDescent="0.2">
      <c r="B1389" s="37"/>
    </row>
    <row r="1390" spans="2:2" x14ac:dyDescent="0.2">
      <c r="B1390" s="37"/>
    </row>
    <row r="1391" spans="2:2" x14ac:dyDescent="0.2">
      <c r="B1391" s="37"/>
    </row>
    <row r="1392" spans="2:2" x14ac:dyDescent="0.2">
      <c r="B1392" s="37"/>
    </row>
    <row r="1393" spans="2:2" x14ac:dyDescent="0.2">
      <c r="B1393" s="37"/>
    </row>
    <row r="1394" spans="2:2" x14ac:dyDescent="0.2">
      <c r="B1394" s="37"/>
    </row>
    <row r="1395" spans="2:2" x14ac:dyDescent="0.2">
      <c r="B1395" s="37"/>
    </row>
    <row r="1396" spans="2:2" x14ac:dyDescent="0.2">
      <c r="B1396" s="37"/>
    </row>
    <row r="1397" spans="2:2" x14ac:dyDescent="0.2">
      <c r="B1397" s="37"/>
    </row>
    <row r="1398" spans="2:2" x14ac:dyDescent="0.2">
      <c r="B1398" s="37"/>
    </row>
    <row r="1399" spans="2:2" x14ac:dyDescent="0.2">
      <c r="B1399" s="37"/>
    </row>
    <row r="1400" spans="2:2" x14ac:dyDescent="0.2">
      <c r="B1400" s="37"/>
    </row>
    <row r="1401" spans="2:2" x14ac:dyDescent="0.2">
      <c r="B1401" s="37"/>
    </row>
    <row r="1402" spans="2:2" x14ac:dyDescent="0.2">
      <c r="B1402" s="37"/>
    </row>
    <row r="1403" spans="2:2" x14ac:dyDescent="0.2">
      <c r="B1403" s="37"/>
    </row>
    <row r="1404" spans="2:2" x14ac:dyDescent="0.2">
      <c r="B1404" s="37"/>
    </row>
    <row r="1405" spans="2:2" x14ac:dyDescent="0.2">
      <c r="B1405" s="37"/>
    </row>
    <row r="1406" spans="2:2" x14ac:dyDescent="0.2">
      <c r="B1406" s="37"/>
    </row>
    <row r="1407" spans="2:2" x14ac:dyDescent="0.2">
      <c r="B1407" s="37"/>
    </row>
    <row r="1408" spans="2:2" x14ac:dyDescent="0.2">
      <c r="B1408" s="37"/>
    </row>
    <row r="1409" spans="2:2" x14ac:dyDescent="0.2">
      <c r="B1409" s="37"/>
    </row>
    <row r="1410" spans="2:2" x14ac:dyDescent="0.2">
      <c r="B1410" s="37"/>
    </row>
    <row r="1411" spans="2:2" x14ac:dyDescent="0.2">
      <c r="B1411" s="37"/>
    </row>
    <row r="1412" spans="2:2" x14ac:dyDescent="0.2">
      <c r="B1412" s="37"/>
    </row>
    <row r="1413" spans="2:2" x14ac:dyDescent="0.2">
      <c r="B1413" s="37"/>
    </row>
    <row r="1414" spans="2:2" x14ac:dyDescent="0.2">
      <c r="B1414" s="37"/>
    </row>
    <row r="1415" spans="2:2" x14ac:dyDescent="0.2">
      <c r="B1415" s="37"/>
    </row>
    <row r="1416" spans="2:2" x14ac:dyDescent="0.2">
      <c r="B1416" s="37"/>
    </row>
    <row r="1417" spans="2:2" x14ac:dyDescent="0.2">
      <c r="B1417" s="37"/>
    </row>
    <row r="1418" spans="2:2" x14ac:dyDescent="0.2">
      <c r="B1418" s="37"/>
    </row>
    <row r="1419" spans="2:2" x14ac:dyDescent="0.2">
      <c r="B1419" s="37"/>
    </row>
    <row r="1420" spans="2:2" x14ac:dyDescent="0.2">
      <c r="B1420" s="37"/>
    </row>
    <row r="1421" spans="2:2" x14ac:dyDescent="0.2">
      <c r="B1421" s="37"/>
    </row>
    <row r="1422" spans="2:2" x14ac:dyDescent="0.2">
      <c r="B1422" s="37"/>
    </row>
    <row r="1423" spans="2:2" x14ac:dyDescent="0.2">
      <c r="B1423" s="37"/>
    </row>
    <row r="1424" spans="2:2" x14ac:dyDescent="0.2">
      <c r="B1424" s="37"/>
    </row>
    <row r="1425" spans="2:2" x14ac:dyDescent="0.2">
      <c r="B1425" s="37"/>
    </row>
    <row r="1426" spans="2:2" x14ac:dyDescent="0.2">
      <c r="B1426" s="37"/>
    </row>
    <row r="1427" spans="2:2" x14ac:dyDescent="0.2">
      <c r="B1427" s="37"/>
    </row>
    <row r="1428" spans="2:2" x14ac:dyDescent="0.2">
      <c r="B1428" s="37"/>
    </row>
    <row r="1429" spans="2:2" x14ac:dyDescent="0.2">
      <c r="B1429" s="37"/>
    </row>
    <row r="1430" spans="2:2" x14ac:dyDescent="0.2">
      <c r="B1430" s="37"/>
    </row>
    <row r="1431" spans="2:2" x14ac:dyDescent="0.2">
      <c r="B1431" s="37"/>
    </row>
    <row r="1432" spans="2:2" x14ac:dyDescent="0.2">
      <c r="B1432" s="37"/>
    </row>
    <row r="1433" spans="2:2" x14ac:dyDescent="0.2">
      <c r="B1433" s="37"/>
    </row>
    <row r="1434" spans="2:2" x14ac:dyDescent="0.2">
      <c r="B1434" s="37"/>
    </row>
    <row r="1435" spans="2:2" x14ac:dyDescent="0.2">
      <c r="B1435" s="37"/>
    </row>
    <row r="1436" spans="2:2" x14ac:dyDescent="0.2">
      <c r="B1436" s="37"/>
    </row>
    <row r="1437" spans="2:2" x14ac:dyDescent="0.2">
      <c r="B1437" s="37"/>
    </row>
    <row r="1438" spans="2:2" x14ac:dyDescent="0.2">
      <c r="B1438" s="37"/>
    </row>
    <row r="1439" spans="2:2" x14ac:dyDescent="0.2">
      <c r="B1439" s="37"/>
    </row>
    <row r="1440" spans="2:2" x14ac:dyDescent="0.2">
      <c r="B1440" s="37"/>
    </row>
    <row r="1441" spans="2:2" x14ac:dyDescent="0.2">
      <c r="B1441" s="37"/>
    </row>
    <row r="1442" spans="2:2" x14ac:dyDescent="0.2">
      <c r="B1442" s="37"/>
    </row>
    <row r="1443" spans="2:2" x14ac:dyDescent="0.2">
      <c r="B1443" s="37"/>
    </row>
    <row r="1444" spans="2:2" x14ac:dyDescent="0.2">
      <c r="B1444" s="37"/>
    </row>
    <row r="1445" spans="2:2" x14ac:dyDescent="0.2">
      <c r="B1445" s="37"/>
    </row>
    <row r="1446" spans="2:2" x14ac:dyDescent="0.2">
      <c r="B1446" s="37"/>
    </row>
    <row r="1447" spans="2:2" x14ac:dyDescent="0.2">
      <c r="B1447" s="37"/>
    </row>
    <row r="1448" spans="2:2" x14ac:dyDescent="0.2">
      <c r="B1448" s="37"/>
    </row>
    <row r="1449" spans="2:2" x14ac:dyDescent="0.2">
      <c r="B1449" s="37"/>
    </row>
    <row r="1450" spans="2:2" x14ac:dyDescent="0.2">
      <c r="B1450" s="37"/>
    </row>
    <row r="1451" spans="2:2" x14ac:dyDescent="0.2">
      <c r="B1451" s="37"/>
    </row>
    <row r="1452" spans="2:2" x14ac:dyDescent="0.2">
      <c r="B1452" s="37"/>
    </row>
    <row r="1453" spans="2:2" x14ac:dyDescent="0.2">
      <c r="B1453" s="37"/>
    </row>
    <row r="1454" spans="2:2" x14ac:dyDescent="0.2">
      <c r="B1454" s="37"/>
    </row>
    <row r="1455" spans="2:2" x14ac:dyDescent="0.2">
      <c r="B1455" s="37"/>
    </row>
    <row r="1456" spans="2:2" x14ac:dyDescent="0.2">
      <c r="B1456" s="37"/>
    </row>
    <row r="1457" spans="2:2" x14ac:dyDescent="0.2">
      <c r="B1457" s="37"/>
    </row>
    <row r="1458" spans="2:2" x14ac:dyDescent="0.2">
      <c r="B1458" s="37"/>
    </row>
    <row r="1459" spans="2:2" x14ac:dyDescent="0.2">
      <c r="B1459" s="37"/>
    </row>
    <row r="1460" spans="2:2" x14ac:dyDescent="0.2">
      <c r="B1460" s="37"/>
    </row>
    <row r="1461" spans="2:2" x14ac:dyDescent="0.2">
      <c r="B1461" s="37"/>
    </row>
    <row r="1462" spans="2:2" x14ac:dyDescent="0.2">
      <c r="B1462" s="37"/>
    </row>
    <row r="1463" spans="2:2" x14ac:dyDescent="0.2">
      <c r="B1463" s="37"/>
    </row>
    <row r="1464" spans="2:2" x14ac:dyDescent="0.2">
      <c r="B1464" s="37"/>
    </row>
    <row r="1465" spans="2:2" x14ac:dyDescent="0.2">
      <c r="B1465" s="37"/>
    </row>
    <row r="1466" spans="2:2" x14ac:dyDescent="0.2">
      <c r="B1466" s="37"/>
    </row>
    <row r="1467" spans="2:2" x14ac:dyDescent="0.2">
      <c r="B1467" s="37"/>
    </row>
    <row r="1468" spans="2:2" x14ac:dyDescent="0.2">
      <c r="B1468" s="37"/>
    </row>
    <row r="1469" spans="2:2" x14ac:dyDescent="0.2">
      <c r="B1469" s="37"/>
    </row>
    <row r="1470" spans="2:2" x14ac:dyDescent="0.2">
      <c r="B1470" s="37"/>
    </row>
    <row r="1471" spans="2:2" x14ac:dyDescent="0.2">
      <c r="B1471" s="37"/>
    </row>
    <row r="1472" spans="2:2" x14ac:dyDescent="0.2">
      <c r="B1472" s="37"/>
    </row>
    <row r="1473" spans="2:2" x14ac:dyDescent="0.2">
      <c r="B1473" s="37"/>
    </row>
    <row r="1474" spans="2:2" x14ac:dyDescent="0.2">
      <c r="B1474" s="37"/>
    </row>
    <row r="1475" spans="2:2" x14ac:dyDescent="0.2">
      <c r="B1475" s="37"/>
    </row>
    <row r="1476" spans="2:2" x14ac:dyDescent="0.2">
      <c r="B1476" s="37"/>
    </row>
    <row r="1477" spans="2:2" x14ac:dyDescent="0.2">
      <c r="B1477" s="37"/>
    </row>
    <row r="1478" spans="2:2" x14ac:dyDescent="0.2">
      <c r="B1478" s="37"/>
    </row>
    <row r="1479" spans="2:2" x14ac:dyDescent="0.2">
      <c r="B1479" s="37"/>
    </row>
    <row r="1480" spans="2:2" x14ac:dyDescent="0.2">
      <c r="B1480" s="37"/>
    </row>
    <row r="1481" spans="2:2" x14ac:dyDescent="0.2">
      <c r="B1481" s="37"/>
    </row>
    <row r="1482" spans="2:2" x14ac:dyDescent="0.2">
      <c r="B1482" s="37"/>
    </row>
    <row r="1483" spans="2:2" x14ac:dyDescent="0.2">
      <c r="B1483" s="37"/>
    </row>
    <row r="1484" spans="2:2" x14ac:dyDescent="0.2">
      <c r="B1484" s="37"/>
    </row>
    <row r="1485" spans="2:2" x14ac:dyDescent="0.2">
      <c r="B1485" s="37"/>
    </row>
    <row r="1486" spans="2:2" x14ac:dyDescent="0.2">
      <c r="B1486" s="37"/>
    </row>
    <row r="1487" spans="2:2" x14ac:dyDescent="0.2">
      <c r="B1487" s="37"/>
    </row>
    <row r="1488" spans="2:2" x14ac:dyDescent="0.2">
      <c r="B1488" s="37"/>
    </row>
    <row r="1489" spans="2:2" x14ac:dyDescent="0.2">
      <c r="B1489" s="37"/>
    </row>
    <row r="1490" spans="2:2" x14ac:dyDescent="0.2">
      <c r="B1490" s="37"/>
    </row>
    <row r="1491" spans="2:2" x14ac:dyDescent="0.2">
      <c r="B1491" s="37"/>
    </row>
    <row r="1492" spans="2:2" x14ac:dyDescent="0.2">
      <c r="B1492" s="37"/>
    </row>
    <row r="1493" spans="2:2" x14ac:dyDescent="0.2">
      <c r="B1493" s="37"/>
    </row>
    <row r="1494" spans="2:2" x14ac:dyDescent="0.2">
      <c r="B1494" s="37"/>
    </row>
    <row r="1495" spans="2:2" x14ac:dyDescent="0.2">
      <c r="B1495" s="37"/>
    </row>
    <row r="1496" spans="2:2" x14ac:dyDescent="0.2">
      <c r="B1496" s="37"/>
    </row>
    <row r="1497" spans="2:2" x14ac:dyDescent="0.2">
      <c r="B1497" s="37"/>
    </row>
    <row r="1498" spans="2:2" x14ac:dyDescent="0.2">
      <c r="B1498" s="37"/>
    </row>
    <row r="1499" spans="2:2" x14ac:dyDescent="0.2">
      <c r="B1499" s="37"/>
    </row>
    <row r="1500" spans="2:2" x14ac:dyDescent="0.2">
      <c r="B1500" s="37"/>
    </row>
    <row r="1501" spans="2:2" x14ac:dyDescent="0.2">
      <c r="B1501" s="37"/>
    </row>
    <row r="1502" spans="2:2" x14ac:dyDescent="0.2">
      <c r="B1502" s="37"/>
    </row>
    <row r="1503" spans="2:2" x14ac:dyDescent="0.2">
      <c r="B1503" s="37"/>
    </row>
    <row r="1504" spans="2:2" x14ac:dyDescent="0.2">
      <c r="B1504" s="37"/>
    </row>
    <row r="1505" spans="2:2" x14ac:dyDescent="0.2">
      <c r="B1505" s="37"/>
    </row>
    <row r="1506" spans="2:2" x14ac:dyDescent="0.2">
      <c r="B1506" s="37"/>
    </row>
    <row r="1507" spans="2:2" x14ac:dyDescent="0.2">
      <c r="B1507" s="37"/>
    </row>
    <row r="1508" spans="2:2" x14ac:dyDescent="0.2">
      <c r="B1508" s="37"/>
    </row>
    <row r="1509" spans="2:2" x14ac:dyDescent="0.2">
      <c r="B1509" s="37"/>
    </row>
    <row r="1510" spans="2:2" x14ac:dyDescent="0.2">
      <c r="B1510" s="37"/>
    </row>
    <row r="1511" spans="2:2" x14ac:dyDescent="0.2">
      <c r="B1511" s="37"/>
    </row>
    <row r="1512" spans="2:2" x14ac:dyDescent="0.2">
      <c r="B1512" s="37"/>
    </row>
    <row r="1513" spans="2:2" x14ac:dyDescent="0.2">
      <c r="B1513" s="37"/>
    </row>
    <row r="1514" spans="2:2" x14ac:dyDescent="0.2">
      <c r="B1514" s="37"/>
    </row>
    <row r="1515" spans="2:2" x14ac:dyDescent="0.2">
      <c r="B1515" s="37"/>
    </row>
    <row r="1516" spans="2:2" x14ac:dyDescent="0.2">
      <c r="B1516" s="37"/>
    </row>
    <row r="1517" spans="2:2" x14ac:dyDescent="0.2">
      <c r="B1517" s="37"/>
    </row>
    <row r="1518" spans="2:2" x14ac:dyDescent="0.2">
      <c r="B1518" s="37"/>
    </row>
    <row r="1519" spans="2:2" x14ac:dyDescent="0.2">
      <c r="B1519" s="37"/>
    </row>
    <row r="1520" spans="2:2" x14ac:dyDescent="0.2">
      <c r="B1520" s="37"/>
    </row>
    <row r="1521" spans="2:2" x14ac:dyDescent="0.2">
      <c r="B1521" s="37"/>
    </row>
    <row r="1522" spans="2:2" x14ac:dyDescent="0.2">
      <c r="B1522" s="37"/>
    </row>
    <row r="1523" spans="2:2" x14ac:dyDescent="0.2">
      <c r="B1523" s="37"/>
    </row>
    <row r="1524" spans="2:2" x14ac:dyDescent="0.2">
      <c r="B1524" s="37"/>
    </row>
    <row r="1525" spans="2:2" x14ac:dyDescent="0.2">
      <c r="B1525" s="37"/>
    </row>
    <row r="1526" spans="2:2" x14ac:dyDescent="0.2">
      <c r="B1526" s="37"/>
    </row>
    <row r="1527" spans="2:2" x14ac:dyDescent="0.2">
      <c r="B1527" s="37"/>
    </row>
    <row r="1528" spans="2:2" x14ac:dyDescent="0.2">
      <c r="B1528" s="37"/>
    </row>
    <row r="1529" spans="2:2" x14ac:dyDescent="0.2">
      <c r="B1529" s="37"/>
    </row>
    <row r="1530" spans="2:2" x14ac:dyDescent="0.2">
      <c r="B1530" s="37"/>
    </row>
    <row r="1531" spans="2:2" x14ac:dyDescent="0.2">
      <c r="B1531" s="37"/>
    </row>
    <row r="1532" spans="2:2" x14ac:dyDescent="0.2">
      <c r="B1532" s="37"/>
    </row>
    <row r="1533" spans="2:2" x14ac:dyDescent="0.2">
      <c r="B1533" s="37"/>
    </row>
    <row r="1534" spans="2:2" x14ac:dyDescent="0.2">
      <c r="B1534" s="37"/>
    </row>
    <row r="1535" spans="2:2" x14ac:dyDescent="0.2">
      <c r="B1535" s="37"/>
    </row>
    <row r="1536" spans="2:2" x14ac:dyDescent="0.2">
      <c r="B1536" s="37"/>
    </row>
    <row r="1537" spans="2:2" x14ac:dyDescent="0.2">
      <c r="B1537" s="37"/>
    </row>
    <row r="1538" spans="2:2" x14ac:dyDescent="0.2">
      <c r="B1538" s="37"/>
    </row>
    <row r="1539" spans="2:2" x14ac:dyDescent="0.2">
      <c r="B1539" s="37"/>
    </row>
    <row r="1540" spans="2:2" x14ac:dyDescent="0.2">
      <c r="B1540" s="37"/>
    </row>
    <row r="1541" spans="2:2" x14ac:dyDescent="0.2">
      <c r="B1541" s="37"/>
    </row>
    <row r="1542" spans="2:2" x14ac:dyDescent="0.2">
      <c r="B1542" s="37"/>
    </row>
    <row r="1543" spans="2:2" x14ac:dyDescent="0.2">
      <c r="B1543" s="37"/>
    </row>
    <row r="1544" spans="2:2" x14ac:dyDescent="0.2">
      <c r="B1544" s="37"/>
    </row>
    <row r="1545" spans="2:2" x14ac:dyDescent="0.2">
      <c r="B1545" s="37"/>
    </row>
    <row r="1546" spans="2:2" x14ac:dyDescent="0.2">
      <c r="B1546" s="37"/>
    </row>
    <row r="1547" spans="2:2" x14ac:dyDescent="0.2">
      <c r="B1547" s="37"/>
    </row>
    <row r="1548" spans="2:2" x14ac:dyDescent="0.2">
      <c r="B1548" s="37"/>
    </row>
    <row r="1549" spans="2:2" x14ac:dyDescent="0.2">
      <c r="B1549" s="37"/>
    </row>
    <row r="1550" spans="2:2" x14ac:dyDescent="0.2">
      <c r="B1550" s="37"/>
    </row>
    <row r="1551" spans="2:2" x14ac:dyDescent="0.2">
      <c r="B1551" s="37"/>
    </row>
    <row r="1552" spans="2:2" x14ac:dyDescent="0.2">
      <c r="B1552" s="37"/>
    </row>
    <row r="1553" spans="2:2" x14ac:dyDescent="0.2">
      <c r="B1553" s="37"/>
    </row>
    <row r="1554" spans="2:2" x14ac:dyDescent="0.2">
      <c r="B1554" s="37"/>
    </row>
    <row r="1555" spans="2:2" x14ac:dyDescent="0.2">
      <c r="B1555" s="37"/>
    </row>
    <row r="1556" spans="2:2" x14ac:dyDescent="0.2">
      <c r="B1556" s="37"/>
    </row>
    <row r="1557" spans="2:2" x14ac:dyDescent="0.2">
      <c r="B1557" s="37"/>
    </row>
    <row r="1558" spans="2:2" x14ac:dyDescent="0.2">
      <c r="B1558" s="37"/>
    </row>
    <row r="1559" spans="2:2" x14ac:dyDescent="0.2">
      <c r="B1559" s="37"/>
    </row>
    <row r="1560" spans="2:2" x14ac:dyDescent="0.2">
      <c r="B1560" s="37"/>
    </row>
    <row r="1561" spans="2:2" x14ac:dyDescent="0.2">
      <c r="B1561" s="37"/>
    </row>
    <row r="1562" spans="2:2" x14ac:dyDescent="0.2">
      <c r="B1562" s="37"/>
    </row>
    <row r="1563" spans="2:2" x14ac:dyDescent="0.2">
      <c r="B1563" s="37"/>
    </row>
    <row r="1564" spans="2:2" x14ac:dyDescent="0.2">
      <c r="B1564" s="37"/>
    </row>
    <row r="1565" spans="2:2" x14ac:dyDescent="0.2">
      <c r="B1565" s="37"/>
    </row>
    <row r="1566" spans="2:2" x14ac:dyDescent="0.2">
      <c r="B1566" s="37"/>
    </row>
    <row r="1567" spans="2:2" x14ac:dyDescent="0.2">
      <c r="B1567" s="37"/>
    </row>
    <row r="1568" spans="2:2" x14ac:dyDescent="0.2">
      <c r="B1568" s="37"/>
    </row>
    <row r="1569" spans="2:2" x14ac:dyDescent="0.2">
      <c r="B1569" s="37"/>
    </row>
    <row r="1570" spans="2:2" x14ac:dyDescent="0.2">
      <c r="B1570" s="37"/>
    </row>
    <row r="1571" spans="2:2" x14ac:dyDescent="0.2">
      <c r="B1571" s="37"/>
    </row>
    <row r="1572" spans="2:2" x14ac:dyDescent="0.2">
      <c r="B1572" s="37"/>
    </row>
    <row r="1573" spans="2:2" x14ac:dyDescent="0.2">
      <c r="B1573" s="37"/>
    </row>
    <row r="1574" spans="2:2" x14ac:dyDescent="0.2">
      <c r="B1574" s="37"/>
    </row>
    <row r="1575" spans="2:2" x14ac:dyDescent="0.2">
      <c r="B1575" s="37"/>
    </row>
    <row r="1576" spans="2:2" x14ac:dyDescent="0.2">
      <c r="B1576" s="37"/>
    </row>
    <row r="1577" spans="2:2" x14ac:dyDescent="0.2">
      <c r="B1577" s="37"/>
    </row>
    <row r="1578" spans="2:2" x14ac:dyDescent="0.2">
      <c r="B1578" s="37"/>
    </row>
    <row r="1579" spans="2:2" x14ac:dyDescent="0.2">
      <c r="B1579" s="37"/>
    </row>
    <row r="1580" spans="2:2" x14ac:dyDescent="0.2">
      <c r="B1580" s="37"/>
    </row>
    <row r="1581" spans="2:2" x14ac:dyDescent="0.2">
      <c r="B1581" s="37"/>
    </row>
    <row r="1582" spans="2:2" x14ac:dyDescent="0.2">
      <c r="B1582" s="37"/>
    </row>
    <row r="1583" spans="2:2" x14ac:dyDescent="0.2">
      <c r="B1583" s="37"/>
    </row>
    <row r="1584" spans="2:2" x14ac:dyDescent="0.2">
      <c r="B1584" s="37"/>
    </row>
    <row r="1585" spans="2:2" x14ac:dyDescent="0.2">
      <c r="B1585" s="37"/>
    </row>
    <row r="1586" spans="2:2" x14ac:dyDescent="0.2">
      <c r="B1586" s="37"/>
    </row>
    <row r="1587" spans="2:2" x14ac:dyDescent="0.2">
      <c r="B1587" s="37"/>
    </row>
    <row r="1588" spans="2:2" x14ac:dyDescent="0.2">
      <c r="B1588" s="37"/>
    </row>
    <row r="1589" spans="2:2" x14ac:dyDescent="0.2">
      <c r="B1589" s="37"/>
    </row>
    <row r="1590" spans="2:2" x14ac:dyDescent="0.2">
      <c r="B1590" s="37"/>
    </row>
    <row r="1591" spans="2:2" x14ac:dyDescent="0.2">
      <c r="B1591" s="37"/>
    </row>
    <row r="1592" spans="2:2" x14ac:dyDescent="0.2">
      <c r="B1592" s="37"/>
    </row>
    <row r="1593" spans="2:2" x14ac:dyDescent="0.2">
      <c r="B1593" s="37"/>
    </row>
    <row r="1594" spans="2:2" x14ac:dyDescent="0.2">
      <c r="B1594" s="37"/>
    </row>
    <row r="1595" spans="2:2" x14ac:dyDescent="0.2">
      <c r="B1595" s="37"/>
    </row>
    <row r="1596" spans="2:2" x14ac:dyDescent="0.2">
      <c r="B1596" s="37"/>
    </row>
    <row r="1597" spans="2:2" x14ac:dyDescent="0.2">
      <c r="B1597" s="37"/>
    </row>
    <row r="1598" spans="2:2" x14ac:dyDescent="0.2">
      <c r="B1598" s="37"/>
    </row>
    <row r="1599" spans="2:2" x14ac:dyDescent="0.2">
      <c r="B1599" s="37"/>
    </row>
    <row r="1600" spans="2:2" x14ac:dyDescent="0.2">
      <c r="B1600" s="37"/>
    </row>
    <row r="1601" spans="2:2" x14ac:dyDescent="0.2">
      <c r="B1601" s="37"/>
    </row>
    <row r="1602" spans="2:2" x14ac:dyDescent="0.2">
      <c r="B1602" s="37"/>
    </row>
    <row r="1603" spans="2:2" x14ac:dyDescent="0.2">
      <c r="B1603" s="37"/>
    </row>
    <row r="1604" spans="2:2" x14ac:dyDescent="0.2">
      <c r="B1604" s="37"/>
    </row>
    <row r="1605" spans="2:2" x14ac:dyDescent="0.2">
      <c r="B1605" s="37"/>
    </row>
    <row r="1606" spans="2:2" x14ac:dyDescent="0.2">
      <c r="B1606" s="37"/>
    </row>
    <row r="1607" spans="2:2" x14ac:dyDescent="0.2">
      <c r="B1607" s="37"/>
    </row>
    <row r="1608" spans="2:2" x14ac:dyDescent="0.2">
      <c r="B1608" s="37"/>
    </row>
    <row r="1609" spans="2:2" x14ac:dyDescent="0.2">
      <c r="B1609" s="37"/>
    </row>
    <row r="1610" spans="2:2" x14ac:dyDescent="0.2">
      <c r="B1610" s="37"/>
    </row>
    <row r="1611" spans="2:2" x14ac:dyDescent="0.2">
      <c r="B1611" s="37"/>
    </row>
    <row r="1612" spans="2:2" x14ac:dyDescent="0.2">
      <c r="B1612" s="37"/>
    </row>
    <row r="1613" spans="2:2" x14ac:dyDescent="0.2">
      <c r="B1613" s="37"/>
    </row>
    <row r="1614" spans="2:2" x14ac:dyDescent="0.2">
      <c r="B1614" s="37"/>
    </row>
    <row r="1615" spans="2:2" x14ac:dyDescent="0.2">
      <c r="B1615" s="37"/>
    </row>
    <row r="1616" spans="2:2" x14ac:dyDescent="0.2">
      <c r="B1616" s="37"/>
    </row>
    <row r="1617" spans="2:2" x14ac:dyDescent="0.2">
      <c r="B1617" s="37"/>
    </row>
    <row r="1618" spans="2:2" x14ac:dyDescent="0.2">
      <c r="B1618" s="37"/>
    </row>
    <row r="1619" spans="2:2" x14ac:dyDescent="0.2">
      <c r="B1619" s="37"/>
    </row>
    <row r="1620" spans="2:2" x14ac:dyDescent="0.2">
      <c r="B1620" s="37"/>
    </row>
    <row r="1621" spans="2:2" x14ac:dyDescent="0.2">
      <c r="B1621" s="37"/>
    </row>
    <row r="1622" spans="2:2" x14ac:dyDescent="0.2">
      <c r="B1622" s="37"/>
    </row>
    <row r="1623" spans="2:2" x14ac:dyDescent="0.2">
      <c r="B1623" s="37"/>
    </row>
    <row r="1624" spans="2:2" x14ac:dyDescent="0.2">
      <c r="B1624" s="37"/>
    </row>
    <row r="1625" spans="2:2" x14ac:dyDescent="0.2">
      <c r="B1625" s="37"/>
    </row>
    <row r="1626" spans="2:2" x14ac:dyDescent="0.2">
      <c r="B1626" s="37"/>
    </row>
    <row r="1627" spans="2:2" x14ac:dyDescent="0.2">
      <c r="B1627" s="37"/>
    </row>
    <row r="1628" spans="2:2" x14ac:dyDescent="0.2">
      <c r="B1628" s="37"/>
    </row>
    <row r="1629" spans="2:2" x14ac:dyDescent="0.2">
      <c r="B1629" s="37"/>
    </row>
    <row r="1630" spans="2:2" x14ac:dyDescent="0.2">
      <c r="B1630" s="37"/>
    </row>
    <row r="1631" spans="2:2" x14ac:dyDescent="0.2">
      <c r="B1631" s="37"/>
    </row>
    <row r="1632" spans="2:2" x14ac:dyDescent="0.2">
      <c r="B1632" s="37"/>
    </row>
    <row r="1633" spans="2:2" x14ac:dyDescent="0.2">
      <c r="B1633" s="37"/>
    </row>
    <row r="1634" spans="2:2" x14ac:dyDescent="0.2">
      <c r="B1634" s="37"/>
    </row>
    <row r="1635" spans="2:2" x14ac:dyDescent="0.2">
      <c r="B1635" s="37"/>
    </row>
    <row r="1636" spans="2:2" x14ac:dyDescent="0.2">
      <c r="B1636" s="37"/>
    </row>
    <row r="1637" spans="2:2" x14ac:dyDescent="0.2">
      <c r="B1637" s="37"/>
    </row>
    <row r="1638" spans="2:2" x14ac:dyDescent="0.2">
      <c r="B1638" s="37"/>
    </row>
    <row r="1639" spans="2:2" x14ac:dyDescent="0.2">
      <c r="B1639" s="37"/>
    </row>
    <row r="1640" spans="2:2" x14ac:dyDescent="0.2">
      <c r="B1640" s="37"/>
    </row>
    <row r="1641" spans="2:2" x14ac:dyDescent="0.2">
      <c r="B1641" s="37"/>
    </row>
    <row r="1642" spans="2:2" x14ac:dyDescent="0.2">
      <c r="B1642" s="37"/>
    </row>
    <row r="1643" spans="2:2" x14ac:dyDescent="0.2">
      <c r="B1643" s="37"/>
    </row>
    <row r="1644" spans="2:2" x14ac:dyDescent="0.2">
      <c r="B1644" s="37"/>
    </row>
    <row r="1645" spans="2:2" x14ac:dyDescent="0.2">
      <c r="B1645" s="37"/>
    </row>
    <row r="1646" spans="2:2" x14ac:dyDescent="0.2">
      <c r="B1646" s="37"/>
    </row>
    <row r="1647" spans="2:2" x14ac:dyDescent="0.2">
      <c r="B1647" s="37"/>
    </row>
    <row r="1648" spans="2:2" x14ac:dyDescent="0.2">
      <c r="B1648" s="37"/>
    </row>
    <row r="1649" spans="2:2" x14ac:dyDescent="0.2">
      <c r="B1649" s="37"/>
    </row>
    <row r="1650" spans="2:2" x14ac:dyDescent="0.2">
      <c r="B1650" s="37"/>
    </row>
    <row r="1651" spans="2:2" x14ac:dyDescent="0.2">
      <c r="B1651" s="37"/>
    </row>
    <row r="1652" spans="2:2" x14ac:dyDescent="0.2">
      <c r="B1652" s="37"/>
    </row>
    <row r="1653" spans="2:2" x14ac:dyDescent="0.2">
      <c r="B1653" s="37"/>
    </row>
    <row r="1654" spans="2:2" x14ac:dyDescent="0.2">
      <c r="B1654" s="37"/>
    </row>
    <row r="1655" spans="2:2" x14ac:dyDescent="0.2">
      <c r="B1655" s="37"/>
    </row>
    <row r="1656" spans="2:2" x14ac:dyDescent="0.2">
      <c r="B1656" s="37"/>
    </row>
    <row r="1657" spans="2:2" x14ac:dyDescent="0.2">
      <c r="B1657" s="37"/>
    </row>
    <row r="1658" spans="2:2" x14ac:dyDescent="0.2">
      <c r="B1658" s="37"/>
    </row>
    <row r="1659" spans="2:2" x14ac:dyDescent="0.2">
      <c r="B1659" s="37"/>
    </row>
    <row r="1660" spans="2:2" x14ac:dyDescent="0.2">
      <c r="B1660" s="37"/>
    </row>
    <row r="1661" spans="2:2" x14ac:dyDescent="0.2">
      <c r="B1661" s="37"/>
    </row>
    <row r="1662" spans="2:2" x14ac:dyDescent="0.2">
      <c r="B1662" s="37"/>
    </row>
    <row r="1663" spans="2:2" x14ac:dyDescent="0.2">
      <c r="B1663" s="37"/>
    </row>
    <row r="1664" spans="2:2" x14ac:dyDescent="0.2">
      <c r="B1664" s="37"/>
    </row>
    <row r="1665" spans="2:2" x14ac:dyDescent="0.2">
      <c r="B1665" s="37"/>
    </row>
    <row r="1666" spans="2:2" x14ac:dyDescent="0.2">
      <c r="B1666" s="37"/>
    </row>
    <row r="1667" spans="2:2" x14ac:dyDescent="0.2">
      <c r="B1667" s="37"/>
    </row>
    <row r="1668" spans="2:2" x14ac:dyDescent="0.2">
      <c r="B1668" s="37"/>
    </row>
    <row r="1669" spans="2:2" x14ac:dyDescent="0.2">
      <c r="B1669" s="37"/>
    </row>
    <row r="1670" spans="2:2" x14ac:dyDescent="0.2">
      <c r="B1670" s="37"/>
    </row>
    <row r="1671" spans="2:2" x14ac:dyDescent="0.2">
      <c r="B1671" s="37"/>
    </row>
    <row r="1672" spans="2:2" x14ac:dyDescent="0.2">
      <c r="B1672" s="37"/>
    </row>
    <row r="1673" spans="2:2" x14ac:dyDescent="0.2">
      <c r="B1673" s="37"/>
    </row>
    <row r="1674" spans="2:2" x14ac:dyDescent="0.2">
      <c r="B1674" s="37"/>
    </row>
    <row r="1675" spans="2:2" x14ac:dyDescent="0.2">
      <c r="B1675" s="37"/>
    </row>
    <row r="1676" spans="2:2" x14ac:dyDescent="0.2">
      <c r="B1676" s="37"/>
    </row>
    <row r="1677" spans="2:2" x14ac:dyDescent="0.2">
      <c r="B1677" s="37"/>
    </row>
    <row r="1678" spans="2:2" x14ac:dyDescent="0.2">
      <c r="B1678" s="37"/>
    </row>
    <row r="1679" spans="2:2" x14ac:dyDescent="0.2">
      <c r="B1679" s="37"/>
    </row>
    <row r="1680" spans="2:2" x14ac:dyDescent="0.2">
      <c r="B1680" s="37"/>
    </row>
    <row r="1681" spans="2:2" x14ac:dyDescent="0.2">
      <c r="B1681" s="37"/>
    </row>
    <row r="1682" spans="2:2" x14ac:dyDescent="0.2">
      <c r="B1682" s="37"/>
    </row>
    <row r="1683" spans="2:2" x14ac:dyDescent="0.2">
      <c r="B1683" s="37"/>
    </row>
    <row r="1684" spans="2:2" x14ac:dyDescent="0.2">
      <c r="B1684" s="37"/>
    </row>
    <row r="1685" spans="2:2" x14ac:dyDescent="0.2">
      <c r="B1685" s="37"/>
    </row>
    <row r="1686" spans="2:2" x14ac:dyDescent="0.2">
      <c r="B1686" s="37"/>
    </row>
    <row r="1687" spans="2:2" x14ac:dyDescent="0.2">
      <c r="B1687" s="37"/>
    </row>
    <row r="1688" spans="2:2" x14ac:dyDescent="0.2">
      <c r="B1688" s="37"/>
    </row>
    <row r="1689" spans="2:2" x14ac:dyDescent="0.2">
      <c r="B1689" s="37"/>
    </row>
    <row r="1690" spans="2:2" x14ac:dyDescent="0.2">
      <c r="B1690" s="37"/>
    </row>
    <row r="1691" spans="2:2" x14ac:dyDescent="0.2">
      <c r="B1691" s="37"/>
    </row>
    <row r="1692" spans="2:2" x14ac:dyDescent="0.2">
      <c r="B1692" s="37"/>
    </row>
    <row r="1693" spans="2:2" x14ac:dyDescent="0.2">
      <c r="B1693" s="37"/>
    </row>
    <row r="1694" spans="2:2" x14ac:dyDescent="0.2">
      <c r="B1694" s="37"/>
    </row>
    <row r="1695" spans="2:2" x14ac:dyDescent="0.2">
      <c r="B1695" s="37"/>
    </row>
    <row r="1696" spans="2:2" x14ac:dyDescent="0.2">
      <c r="B1696" s="37"/>
    </row>
    <row r="1697" spans="2:2" x14ac:dyDescent="0.2">
      <c r="B1697" s="37"/>
    </row>
    <row r="1698" spans="2:2" x14ac:dyDescent="0.2">
      <c r="B1698" s="37"/>
    </row>
    <row r="1699" spans="2:2" x14ac:dyDescent="0.2">
      <c r="B1699" s="37"/>
    </row>
    <row r="1700" spans="2:2" x14ac:dyDescent="0.2">
      <c r="B1700" s="37"/>
    </row>
    <row r="1701" spans="2:2" x14ac:dyDescent="0.2">
      <c r="B1701" s="37"/>
    </row>
    <row r="1702" spans="2:2" x14ac:dyDescent="0.2">
      <c r="B1702" s="37"/>
    </row>
    <row r="1703" spans="2:2" x14ac:dyDescent="0.2">
      <c r="B1703" s="37"/>
    </row>
    <row r="1704" spans="2:2" x14ac:dyDescent="0.2">
      <c r="B1704" s="37"/>
    </row>
    <row r="1705" spans="2:2" x14ac:dyDescent="0.2">
      <c r="B1705" s="37"/>
    </row>
    <row r="1706" spans="2:2" x14ac:dyDescent="0.2">
      <c r="B1706" s="37"/>
    </row>
    <row r="1707" spans="2:2" x14ac:dyDescent="0.2">
      <c r="B1707" s="37"/>
    </row>
    <row r="1708" spans="2:2" x14ac:dyDescent="0.2">
      <c r="B1708" s="37"/>
    </row>
    <row r="1709" spans="2:2" x14ac:dyDescent="0.2">
      <c r="B1709" s="37"/>
    </row>
    <row r="1710" spans="2:2" x14ac:dyDescent="0.2">
      <c r="B1710" s="37"/>
    </row>
    <row r="1711" spans="2:2" x14ac:dyDescent="0.2">
      <c r="B1711" s="37"/>
    </row>
    <row r="1712" spans="2:2" x14ac:dyDescent="0.2">
      <c r="B1712" s="37"/>
    </row>
    <row r="1713" spans="2:2" x14ac:dyDescent="0.2">
      <c r="B1713" s="37"/>
    </row>
    <row r="1714" spans="2:2" x14ac:dyDescent="0.2">
      <c r="B1714" s="37"/>
    </row>
    <row r="1715" spans="2:2" x14ac:dyDescent="0.2">
      <c r="B1715" s="37"/>
    </row>
    <row r="1716" spans="2:2" x14ac:dyDescent="0.2">
      <c r="B1716" s="37"/>
    </row>
    <row r="1717" spans="2:2" x14ac:dyDescent="0.2">
      <c r="B1717" s="37"/>
    </row>
    <row r="1718" spans="2:2" x14ac:dyDescent="0.2">
      <c r="B1718" s="37"/>
    </row>
    <row r="1719" spans="2:2" x14ac:dyDescent="0.2">
      <c r="B1719" s="37"/>
    </row>
    <row r="1720" spans="2:2" x14ac:dyDescent="0.2">
      <c r="B1720" s="37"/>
    </row>
    <row r="1721" spans="2:2" x14ac:dyDescent="0.2">
      <c r="B1721" s="37"/>
    </row>
    <row r="1722" spans="2:2" x14ac:dyDescent="0.2">
      <c r="B1722" s="37"/>
    </row>
    <row r="1723" spans="2:2" x14ac:dyDescent="0.2">
      <c r="B1723" s="37"/>
    </row>
    <row r="1724" spans="2:2" x14ac:dyDescent="0.2">
      <c r="B1724" s="37"/>
    </row>
    <row r="1725" spans="2:2" x14ac:dyDescent="0.2">
      <c r="B1725" s="37"/>
    </row>
    <row r="1726" spans="2:2" x14ac:dyDescent="0.2">
      <c r="B1726" s="37"/>
    </row>
    <row r="1727" spans="2:2" x14ac:dyDescent="0.2">
      <c r="B1727" s="37"/>
    </row>
    <row r="1728" spans="2:2" x14ac:dyDescent="0.2">
      <c r="B1728" s="37"/>
    </row>
    <row r="1729" spans="2:2" x14ac:dyDescent="0.2">
      <c r="B1729" s="37"/>
    </row>
    <row r="1730" spans="2:2" x14ac:dyDescent="0.2">
      <c r="B1730" s="37"/>
    </row>
    <row r="1731" spans="2:2" x14ac:dyDescent="0.2">
      <c r="B1731" s="37"/>
    </row>
    <row r="1732" spans="2:2" x14ac:dyDescent="0.2">
      <c r="B1732" s="37"/>
    </row>
    <row r="1733" spans="2:2" x14ac:dyDescent="0.2">
      <c r="B1733" s="37"/>
    </row>
    <row r="1734" spans="2:2" x14ac:dyDescent="0.2">
      <c r="B1734" s="37"/>
    </row>
    <row r="1735" spans="2:2" x14ac:dyDescent="0.2">
      <c r="B1735" s="37"/>
    </row>
    <row r="1736" spans="2:2" x14ac:dyDescent="0.2">
      <c r="B1736" s="37"/>
    </row>
    <row r="1737" spans="2:2" x14ac:dyDescent="0.2">
      <c r="B1737" s="37"/>
    </row>
    <row r="1738" spans="2:2" x14ac:dyDescent="0.2">
      <c r="B1738" s="37"/>
    </row>
    <row r="1739" spans="2:2" x14ac:dyDescent="0.2">
      <c r="B1739" s="37"/>
    </row>
    <row r="1740" spans="2:2" x14ac:dyDescent="0.2">
      <c r="B1740" s="37"/>
    </row>
    <row r="1741" spans="2:2" x14ac:dyDescent="0.2">
      <c r="B1741" s="37"/>
    </row>
    <row r="1742" spans="2:2" x14ac:dyDescent="0.2">
      <c r="B1742" s="37"/>
    </row>
    <row r="1743" spans="2:2" x14ac:dyDescent="0.2">
      <c r="B1743" s="37"/>
    </row>
    <row r="1744" spans="2:2" x14ac:dyDescent="0.2">
      <c r="B1744" s="37"/>
    </row>
    <row r="1745" spans="2:2" x14ac:dyDescent="0.2">
      <c r="B1745" s="37"/>
    </row>
    <row r="1746" spans="2:2" x14ac:dyDescent="0.2">
      <c r="B1746" s="37"/>
    </row>
    <row r="1747" spans="2:2" x14ac:dyDescent="0.2">
      <c r="B1747" s="37"/>
    </row>
    <row r="1748" spans="2:2" x14ac:dyDescent="0.2">
      <c r="B1748" s="37"/>
    </row>
    <row r="1749" spans="2:2" x14ac:dyDescent="0.2">
      <c r="B1749" s="37"/>
    </row>
    <row r="1750" spans="2:2" x14ac:dyDescent="0.2">
      <c r="B1750" s="37"/>
    </row>
    <row r="1751" spans="2:2" x14ac:dyDescent="0.2">
      <c r="B1751" s="37"/>
    </row>
    <row r="1752" spans="2:2" x14ac:dyDescent="0.2">
      <c r="B1752" s="37"/>
    </row>
    <row r="1753" spans="2:2" x14ac:dyDescent="0.2">
      <c r="B1753" s="37"/>
    </row>
    <row r="1754" spans="2:2" x14ac:dyDescent="0.2">
      <c r="B1754" s="37"/>
    </row>
    <row r="1755" spans="2:2" x14ac:dyDescent="0.2">
      <c r="B1755" s="37"/>
    </row>
    <row r="1756" spans="2:2" x14ac:dyDescent="0.2">
      <c r="B1756" s="37"/>
    </row>
    <row r="1757" spans="2:2" x14ac:dyDescent="0.2">
      <c r="B1757" s="37"/>
    </row>
    <row r="1758" spans="2:2" x14ac:dyDescent="0.2">
      <c r="B1758" s="37"/>
    </row>
    <row r="1759" spans="2:2" x14ac:dyDescent="0.2">
      <c r="B1759" s="37"/>
    </row>
    <row r="1760" spans="2:2" x14ac:dyDescent="0.2">
      <c r="B1760" s="37"/>
    </row>
    <row r="1761" spans="2:2" x14ac:dyDescent="0.2">
      <c r="B1761" s="37"/>
    </row>
    <row r="1762" spans="2:2" x14ac:dyDescent="0.2">
      <c r="B1762" s="37"/>
    </row>
    <row r="1763" spans="2:2" x14ac:dyDescent="0.2">
      <c r="B1763" s="37"/>
    </row>
    <row r="1764" spans="2:2" x14ac:dyDescent="0.2">
      <c r="B1764" s="37"/>
    </row>
    <row r="1765" spans="2:2" x14ac:dyDescent="0.2">
      <c r="B1765" s="37"/>
    </row>
    <row r="1766" spans="2:2" x14ac:dyDescent="0.2">
      <c r="B1766" s="37"/>
    </row>
    <row r="1767" spans="2:2" x14ac:dyDescent="0.2">
      <c r="B1767" s="37"/>
    </row>
    <row r="1768" spans="2:2" x14ac:dyDescent="0.2">
      <c r="B1768" s="37"/>
    </row>
    <row r="1769" spans="2:2" x14ac:dyDescent="0.2">
      <c r="B1769" s="37"/>
    </row>
    <row r="1770" spans="2:2" x14ac:dyDescent="0.2">
      <c r="B1770" s="37"/>
    </row>
    <row r="1771" spans="2:2" x14ac:dyDescent="0.2">
      <c r="B1771" s="37"/>
    </row>
    <row r="1772" spans="2:2" x14ac:dyDescent="0.2">
      <c r="B1772" s="37"/>
    </row>
    <row r="1773" spans="2:2" x14ac:dyDescent="0.2">
      <c r="B1773" s="37"/>
    </row>
    <row r="1774" spans="2:2" x14ac:dyDescent="0.2">
      <c r="B1774" s="37"/>
    </row>
    <row r="1775" spans="2:2" x14ac:dyDescent="0.2">
      <c r="B1775" s="37"/>
    </row>
    <row r="1776" spans="2:2" x14ac:dyDescent="0.2">
      <c r="B1776" s="37"/>
    </row>
    <row r="1777" spans="2:2" x14ac:dyDescent="0.2">
      <c r="B1777" s="37"/>
    </row>
    <row r="1778" spans="2:2" x14ac:dyDescent="0.2">
      <c r="B1778" s="37"/>
    </row>
    <row r="1779" spans="2:2" x14ac:dyDescent="0.2">
      <c r="B1779" s="37"/>
    </row>
    <row r="1780" spans="2:2" x14ac:dyDescent="0.2">
      <c r="B1780" s="37"/>
    </row>
    <row r="1781" spans="2:2" x14ac:dyDescent="0.2">
      <c r="B1781" s="37"/>
    </row>
    <row r="1782" spans="2:2" x14ac:dyDescent="0.2">
      <c r="B1782" s="37"/>
    </row>
    <row r="1783" spans="2:2" x14ac:dyDescent="0.2">
      <c r="B1783" s="37"/>
    </row>
    <row r="1784" spans="2:2" x14ac:dyDescent="0.2">
      <c r="B1784" s="37"/>
    </row>
    <row r="1785" spans="2:2" x14ac:dyDescent="0.2">
      <c r="B1785" s="37"/>
    </row>
    <row r="1786" spans="2:2" x14ac:dyDescent="0.2">
      <c r="B1786" s="37"/>
    </row>
    <row r="1787" spans="2:2" x14ac:dyDescent="0.2">
      <c r="B1787" s="37"/>
    </row>
    <row r="1788" spans="2:2" x14ac:dyDescent="0.2">
      <c r="B1788" s="37"/>
    </row>
    <row r="1789" spans="2:2" x14ac:dyDescent="0.2">
      <c r="B1789" s="37"/>
    </row>
    <row r="1790" spans="2:2" x14ac:dyDescent="0.2">
      <c r="B1790" s="37"/>
    </row>
    <row r="1791" spans="2:2" x14ac:dyDescent="0.2">
      <c r="B1791" s="37"/>
    </row>
    <row r="1792" spans="2:2" x14ac:dyDescent="0.2">
      <c r="B1792" s="37"/>
    </row>
    <row r="1793" spans="2:2" x14ac:dyDescent="0.2">
      <c r="B1793" s="37"/>
    </row>
    <row r="1794" spans="2:2" x14ac:dyDescent="0.2">
      <c r="B1794" s="37"/>
    </row>
    <row r="1795" spans="2:2" x14ac:dyDescent="0.2">
      <c r="B1795" s="37"/>
    </row>
    <row r="1796" spans="2:2" x14ac:dyDescent="0.2">
      <c r="B1796" s="37"/>
    </row>
    <row r="1797" spans="2:2" x14ac:dyDescent="0.2">
      <c r="B1797" s="37"/>
    </row>
    <row r="1798" spans="2:2" x14ac:dyDescent="0.2">
      <c r="B1798" s="37"/>
    </row>
    <row r="1799" spans="2:2" x14ac:dyDescent="0.2">
      <c r="B1799" s="37"/>
    </row>
    <row r="1800" spans="2:2" x14ac:dyDescent="0.2">
      <c r="B1800" s="37"/>
    </row>
    <row r="1801" spans="2:2" x14ac:dyDescent="0.2">
      <c r="B1801" s="37"/>
    </row>
    <row r="1802" spans="2:2" x14ac:dyDescent="0.2">
      <c r="B1802" s="37"/>
    </row>
    <row r="1803" spans="2:2" x14ac:dyDescent="0.2">
      <c r="B1803" s="37"/>
    </row>
    <row r="1804" spans="2:2" x14ac:dyDescent="0.2">
      <c r="B1804" s="37"/>
    </row>
    <row r="1805" spans="2:2" x14ac:dyDescent="0.2">
      <c r="B1805" s="37"/>
    </row>
    <row r="1806" spans="2:2" x14ac:dyDescent="0.2">
      <c r="B1806" s="37"/>
    </row>
    <row r="1807" spans="2:2" x14ac:dyDescent="0.2">
      <c r="B1807" s="37"/>
    </row>
    <row r="1808" spans="2:2" x14ac:dyDescent="0.2">
      <c r="B1808" s="37"/>
    </row>
    <row r="1809" spans="2:2" x14ac:dyDescent="0.2">
      <c r="B1809" s="37"/>
    </row>
    <row r="1810" spans="2:2" x14ac:dyDescent="0.2">
      <c r="B1810" s="37"/>
    </row>
    <row r="1811" spans="2:2" x14ac:dyDescent="0.2">
      <c r="B1811" s="37"/>
    </row>
    <row r="1812" spans="2:2" x14ac:dyDescent="0.2">
      <c r="B1812" s="37"/>
    </row>
    <row r="1813" spans="2:2" x14ac:dyDescent="0.2">
      <c r="B1813" s="37"/>
    </row>
    <row r="1814" spans="2:2" x14ac:dyDescent="0.2">
      <c r="B1814" s="37"/>
    </row>
    <row r="1815" spans="2:2" x14ac:dyDescent="0.2">
      <c r="B1815" s="37"/>
    </row>
    <row r="1816" spans="2:2" x14ac:dyDescent="0.2">
      <c r="B1816" s="37"/>
    </row>
    <row r="1817" spans="2:2" x14ac:dyDescent="0.2">
      <c r="B1817" s="37"/>
    </row>
    <row r="1818" spans="2:2" x14ac:dyDescent="0.2">
      <c r="B1818" s="37"/>
    </row>
    <row r="1819" spans="2:2" x14ac:dyDescent="0.2">
      <c r="B1819" s="37"/>
    </row>
    <row r="1820" spans="2:2" x14ac:dyDescent="0.2">
      <c r="B1820" s="37"/>
    </row>
    <row r="1821" spans="2:2" x14ac:dyDescent="0.2">
      <c r="B1821" s="37"/>
    </row>
    <row r="1822" spans="2:2" x14ac:dyDescent="0.2">
      <c r="B1822" s="37"/>
    </row>
    <row r="1823" spans="2:2" x14ac:dyDescent="0.2">
      <c r="B1823" s="37"/>
    </row>
    <row r="1824" spans="2:2" x14ac:dyDescent="0.2">
      <c r="B1824" s="37"/>
    </row>
    <row r="1825" spans="2:2" x14ac:dyDescent="0.2">
      <c r="B1825" s="37"/>
    </row>
    <row r="1826" spans="2:2" x14ac:dyDescent="0.2">
      <c r="B1826" s="37"/>
    </row>
    <row r="1827" spans="2:2" x14ac:dyDescent="0.2">
      <c r="B1827" s="37"/>
    </row>
    <row r="1828" spans="2:2" x14ac:dyDescent="0.2">
      <c r="B1828" s="37"/>
    </row>
    <row r="1829" spans="2:2" x14ac:dyDescent="0.2">
      <c r="B1829" s="37"/>
    </row>
    <row r="1830" spans="2:2" x14ac:dyDescent="0.2">
      <c r="B1830" s="37"/>
    </row>
    <row r="1831" spans="2:2" x14ac:dyDescent="0.2">
      <c r="B1831" s="37"/>
    </row>
    <row r="1832" spans="2:2" x14ac:dyDescent="0.2">
      <c r="B1832" s="37"/>
    </row>
    <row r="1833" spans="2:2" x14ac:dyDescent="0.2">
      <c r="B1833" s="37"/>
    </row>
    <row r="1834" spans="2:2" x14ac:dyDescent="0.2">
      <c r="B1834" s="37"/>
    </row>
    <row r="1835" spans="2:2" x14ac:dyDescent="0.2">
      <c r="B1835" s="37"/>
    </row>
    <row r="1836" spans="2:2" x14ac:dyDescent="0.2">
      <c r="B1836" s="37"/>
    </row>
    <row r="1837" spans="2:2" x14ac:dyDescent="0.2">
      <c r="B1837" s="37"/>
    </row>
    <row r="1838" spans="2:2" x14ac:dyDescent="0.2">
      <c r="B1838" s="37"/>
    </row>
    <row r="1839" spans="2:2" x14ac:dyDescent="0.2">
      <c r="B1839" s="37"/>
    </row>
    <row r="1840" spans="2:2" x14ac:dyDescent="0.2">
      <c r="B1840" s="37"/>
    </row>
    <row r="1841" spans="2:2" x14ac:dyDescent="0.2">
      <c r="B1841" s="37"/>
    </row>
    <row r="1842" spans="2:2" x14ac:dyDescent="0.2">
      <c r="B1842" s="37"/>
    </row>
    <row r="1843" spans="2:2" x14ac:dyDescent="0.2">
      <c r="B1843" s="37"/>
    </row>
    <row r="1844" spans="2:2" x14ac:dyDescent="0.2">
      <c r="B1844" s="37"/>
    </row>
    <row r="1845" spans="2:2" x14ac:dyDescent="0.2">
      <c r="B1845" s="37"/>
    </row>
    <row r="1846" spans="2:2" x14ac:dyDescent="0.2">
      <c r="B1846" s="37"/>
    </row>
    <row r="1847" spans="2:2" x14ac:dyDescent="0.2">
      <c r="B1847" s="37"/>
    </row>
    <row r="1848" spans="2:2" x14ac:dyDescent="0.2">
      <c r="B1848" s="37"/>
    </row>
    <row r="1849" spans="2:2" x14ac:dyDescent="0.2">
      <c r="B1849" s="37"/>
    </row>
    <row r="1850" spans="2:2" x14ac:dyDescent="0.2">
      <c r="B1850" s="37"/>
    </row>
    <row r="1851" spans="2:2" x14ac:dyDescent="0.2">
      <c r="B1851" s="37"/>
    </row>
    <row r="1852" spans="2:2" x14ac:dyDescent="0.2">
      <c r="B1852" s="37"/>
    </row>
    <row r="1853" spans="2:2" x14ac:dyDescent="0.2">
      <c r="B1853" s="37"/>
    </row>
    <row r="1854" spans="2:2" x14ac:dyDescent="0.2">
      <c r="B1854" s="37"/>
    </row>
    <row r="1855" spans="2:2" x14ac:dyDescent="0.2">
      <c r="B1855" s="37"/>
    </row>
    <row r="1856" spans="2:2" x14ac:dyDescent="0.2">
      <c r="B1856" s="37"/>
    </row>
    <row r="1857" spans="2:2" x14ac:dyDescent="0.2">
      <c r="B1857" s="37"/>
    </row>
    <row r="1858" spans="2:2" x14ac:dyDescent="0.2">
      <c r="B1858" s="37"/>
    </row>
    <row r="1859" spans="2:2" x14ac:dyDescent="0.2">
      <c r="B1859" s="37"/>
    </row>
    <row r="1860" spans="2:2" x14ac:dyDescent="0.2">
      <c r="B1860" s="37"/>
    </row>
    <row r="1861" spans="2:2" x14ac:dyDescent="0.2">
      <c r="B1861" s="37"/>
    </row>
    <row r="1862" spans="2:2" x14ac:dyDescent="0.2">
      <c r="B1862" s="37"/>
    </row>
    <row r="1863" spans="2:2" x14ac:dyDescent="0.2">
      <c r="B1863" s="37"/>
    </row>
    <row r="1864" spans="2:2" x14ac:dyDescent="0.2">
      <c r="B1864" s="37"/>
    </row>
    <row r="1865" spans="2:2" x14ac:dyDescent="0.2">
      <c r="B1865" s="37"/>
    </row>
    <row r="1866" spans="2:2" x14ac:dyDescent="0.2">
      <c r="B1866" s="37"/>
    </row>
    <row r="1867" spans="2:2" x14ac:dyDescent="0.2">
      <c r="B1867" s="37"/>
    </row>
    <row r="1868" spans="2:2" x14ac:dyDescent="0.2">
      <c r="B1868" s="37"/>
    </row>
    <row r="1869" spans="2:2" x14ac:dyDescent="0.2">
      <c r="B1869" s="37"/>
    </row>
    <row r="1870" spans="2:2" x14ac:dyDescent="0.2">
      <c r="B1870" s="37"/>
    </row>
    <row r="1871" spans="2:2" x14ac:dyDescent="0.2">
      <c r="B1871" s="37"/>
    </row>
    <row r="1872" spans="2:2" x14ac:dyDescent="0.2">
      <c r="B1872" s="37"/>
    </row>
    <row r="1873" spans="2:2" x14ac:dyDescent="0.2">
      <c r="B1873" s="37"/>
    </row>
    <row r="1874" spans="2:2" x14ac:dyDescent="0.2">
      <c r="B1874" s="37"/>
    </row>
    <row r="1875" spans="2:2" x14ac:dyDescent="0.2">
      <c r="B1875" s="37"/>
    </row>
    <row r="1876" spans="2:2" x14ac:dyDescent="0.2">
      <c r="B1876" s="37"/>
    </row>
    <row r="1877" spans="2:2" x14ac:dyDescent="0.2">
      <c r="B1877" s="37"/>
    </row>
    <row r="1878" spans="2:2" x14ac:dyDescent="0.2">
      <c r="B1878" s="37"/>
    </row>
    <row r="1879" spans="2:2" x14ac:dyDescent="0.2">
      <c r="B1879" s="37"/>
    </row>
    <row r="1880" spans="2:2" x14ac:dyDescent="0.2">
      <c r="B1880" s="37"/>
    </row>
    <row r="1881" spans="2:2" x14ac:dyDescent="0.2">
      <c r="B1881" s="37"/>
    </row>
    <row r="1882" spans="2:2" x14ac:dyDescent="0.2">
      <c r="B1882" s="37"/>
    </row>
    <row r="1883" spans="2:2" x14ac:dyDescent="0.2">
      <c r="B1883" s="37"/>
    </row>
    <row r="1884" spans="2:2" x14ac:dyDescent="0.2">
      <c r="B1884" s="37"/>
    </row>
    <row r="1885" spans="2:2" x14ac:dyDescent="0.2">
      <c r="B1885" s="37"/>
    </row>
    <row r="1886" spans="2:2" x14ac:dyDescent="0.2">
      <c r="B1886" s="37"/>
    </row>
    <row r="1887" spans="2:2" x14ac:dyDescent="0.2">
      <c r="B1887" s="37"/>
    </row>
    <row r="1888" spans="2:2" x14ac:dyDescent="0.2">
      <c r="B1888" s="37"/>
    </row>
    <row r="1889" spans="2:2" x14ac:dyDescent="0.2">
      <c r="B1889" s="37"/>
    </row>
    <row r="1890" spans="2:2" x14ac:dyDescent="0.2">
      <c r="B1890" s="37"/>
    </row>
    <row r="1891" spans="2:2" x14ac:dyDescent="0.2">
      <c r="B1891" s="37"/>
    </row>
    <row r="1892" spans="2:2" x14ac:dyDescent="0.2">
      <c r="B1892" s="37"/>
    </row>
    <row r="1893" spans="2:2" x14ac:dyDescent="0.2">
      <c r="B1893" s="37"/>
    </row>
    <row r="1894" spans="2:2" x14ac:dyDescent="0.2">
      <c r="B1894" s="37"/>
    </row>
    <row r="1895" spans="2:2" x14ac:dyDescent="0.2">
      <c r="B1895" s="37"/>
    </row>
    <row r="1896" spans="2:2" x14ac:dyDescent="0.2">
      <c r="B1896" s="37"/>
    </row>
    <row r="1897" spans="2:2" x14ac:dyDescent="0.2">
      <c r="B1897" s="37"/>
    </row>
    <row r="1898" spans="2:2" x14ac:dyDescent="0.2">
      <c r="B1898" s="37"/>
    </row>
    <row r="1899" spans="2:2" x14ac:dyDescent="0.2">
      <c r="B1899" s="37"/>
    </row>
    <row r="1900" spans="2:2" x14ac:dyDescent="0.2">
      <c r="B1900" s="37"/>
    </row>
    <row r="1901" spans="2:2" x14ac:dyDescent="0.2">
      <c r="B1901" s="37"/>
    </row>
    <row r="1902" spans="2:2" x14ac:dyDescent="0.2">
      <c r="B1902" s="37"/>
    </row>
    <row r="1903" spans="2:2" x14ac:dyDescent="0.2">
      <c r="B1903" s="37"/>
    </row>
    <row r="1904" spans="2:2" x14ac:dyDescent="0.2">
      <c r="B1904" s="37"/>
    </row>
    <row r="1905" spans="2:2" x14ac:dyDescent="0.2">
      <c r="B1905" s="37"/>
    </row>
    <row r="1906" spans="2:2" x14ac:dyDescent="0.2">
      <c r="B1906" s="37"/>
    </row>
    <row r="1907" spans="2:2" x14ac:dyDescent="0.2">
      <c r="B1907" s="37"/>
    </row>
    <row r="1908" spans="2:2" x14ac:dyDescent="0.2">
      <c r="B1908" s="37"/>
    </row>
    <row r="1909" spans="2:2" x14ac:dyDescent="0.2">
      <c r="B1909" s="37"/>
    </row>
    <row r="1910" spans="2:2" x14ac:dyDescent="0.2">
      <c r="B1910" s="37"/>
    </row>
    <row r="1911" spans="2:2" x14ac:dyDescent="0.2">
      <c r="B1911" s="37"/>
    </row>
    <row r="1912" spans="2:2" x14ac:dyDescent="0.2">
      <c r="B1912" s="37"/>
    </row>
    <row r="1913" spans="2:2" x14ac:dyDescent="0.2">
      <c r="B1913" s="37"/>
    </row>
    <row r="1914" spans="2:2" x14ac:dyDescent="0.2">
      <c r="B1914" s="37"/>
    </row>
    <row r="1915" spans="2:2" x14ac:dyDescent="0.2">
      <c r="B1915" s="37"/>
    </row>
    <row r="1916" spans="2:2" x14ac:dyDescent="0.2">
      <c r="B1916" s="37"/>
    </row>
    <row r="1917" spans="2:2" x14ac:dyDescent="0.2">
      <c r="B1917" s="37"/>
    </row>
    <row r="1918" spans="2:2" x14ac:dyDescent="0.2">
      <c r="B1918" s="37"/>
    </row>
    <row r="1919" spans="2:2" x14ac:dyDescent="0.2">
      <c r="B1919" s="37"/>
    </row>
    <row r="1920" spans="2:2" x14ac:dyDescent="0.2">
      <c r="B1920" s="37"/>
    </row>
    <row r="1921" spans="2:2" x14ac:dyDescent="0.2">
      <c r="B1921" s="37"/>
    </row>
    <row r="1922" spans="2:2" x14ac:dyDescent="0.2">
      <c r="B1922" s="37"/>
    </row>
    <row r="1923" spans="2:2" x14ac:dyDescent="0.2">
      <c r="B1923" s="37"/>
    </row>
    <row r="1924" spans="2:2" x14ac:dyDescent="0.2">
      <c r="B1924" s="37"/>
    </row>
    <row r="1925" spans="2:2" x14ac:dyDescent="0.2">
      <c r="B1925" s="37"/>
    </row>
    <row r="1926" spans="2:2" x14ac:dyDescent="0.2">
      <c r="B1926" s="37"/>
    </row>
    <row r="1927" spans="2:2" x14ac:dyDescent="0.2">
      <c r="B1927" s="37"/>
    </row>
    <row r="1928" spans="2:2" x14ac:dyDescent="0.2">
      <c r="B1928" s="37"/>
    </row>
    <row r="1929" spans="2:2" x14ac:dyDescent="0.2">
      <c r="B1929" s="37"/>
    </row>
    <row r="1930" spans="2:2" x14ac:dyDescent="0.2">
      <c r="B1930" s="37"/>
    </row>
    <row r="1931" spans="2:2" x14ac:dyDescent="0.2">
      <c r="B1931" s="37"/>
    </row>
    <row r="1932" spans="2:2" x14ac:dyDescent="0.2">
      <c r="B1932" s="37"/>
    </row>
    <row r="1933" spans="2:2" x14ac:dyDescent="0.2">
      <c r="B1933" s="37"/>
    </row>
    <row r="1934" spans="2:2" x14ac:dyDescent="0.2">
      <c r="B1934" s="37"/>
    </row>
    <row r="1935" spans="2:2" x14ac:dyDescent="0.2">
      <c r="B1935" s="37"/>
    </row>
    <row r="1936" spans="2:2" x14ac:dyDescent="0.2">
      <c r="B1936" s="37"/>
    </row>
    <row r="1937" spans="2:2" x14ac:dyDescent="0.2">
      <c r="B1937" s="37"/>
    </row>
    <row r="1938" spans="2:2" x14ac:dyDescent="0.2">
      <c r="B1938" s="37"/>
    </row>
    <row r="1939" spans="2:2" x14ac:dyDescent="0.2">
      <c r="B1939" s="37"/>
    </row>
    <row r="1940" spans="2:2" x14ac:dyDescent="0.2">
      <c r="B1940" s="37"/>
    </row>
    <row r="1941" spans="2:2" x14ac:dyDescent="0.2">
      <c r="B1941" s="37"/>
    </row>
    <row r="1942" spans="2:2" x14ac:dyDescent="0.2">
      <c r="B1942" s="37"/>
    </row>
    <row r="1943" spans="2:2" x14ac:dyDescent="0.2">
      <c r="B1943" s="37"/>
    </row>
    <row r="1944" spans="2:2" x14ac:dyDescent="0.2">
      <c r="B1944" s="37"/>
    </row>
    <row r="1945" spans="2:2" x14ac:dyDescent="0.2">
      <c r="B1945" s="37"/>
    </row>
    <row r="1946" spans="2:2" x14ac:dyDescent="0.2">
      <c r="B1946" s="37"/>
    </row>
    <row r="1947" spans="2:2" x14ac:dyDescent="0.2">
      <c r="B1947" s="37"/>
    </row>
    <row r="1948" spans="2:2" x14ac:dyDescent="0.2">
      <c r="B1948" s="37"/>
    </row>
    <row r="1949" spans="2:2" x14ac:dyDescent="0.2">
      <c r="B1949" s="37"/>
    </row>
    <row r="1950" spans="2:2" x14ac:dyDescent="0.2">
      <c r="B1950" s="37"/>
    </row>
    <row r="1951" spans="2:2" x14ac:dyDescent="0.2">
      <c r="B1951" s="37"/>
    </row>
    <row r="1952" spans="2:2" x14ac:dyDescent="0.2">
      <c r="B1952" s="37"/>
    </row>
    <row r="1953" spans="2:2" x14ac:dyDescent="0.2">
      <c r="B1953" s="37"/>
    </row>
    <row r="1954" spans="2:2" x14ac:dyDescent="0.2">
      <c r="B1954" s="37"/>
    </row>
    <row r="1955" spans="2:2" x14ac:dyDescent="0.2">
      <c r="B1955" s="37"/>
    </row>
    <row r="1956" spans="2:2" x14ac:dyDescent="0.2">
      <c r="B1956" s="37"/>
    </row>
    <row r="1957" spans="2:2" x14ac:dyDescent="0.2">
      <c r="B1957" s="37"/>
    </row>
    <row r="1958" spans="2:2" x14ac:dyDescent="0.2">
      <c r="B1958" s="37"/>
    </row>
    <row r="1959" spans="2:2" x14ac:dyDescent="0.2">
      <c r="B1959" s="37"/>
    </row>
    <row r="1960" spans="2:2" x14ac:dyDescent="0.2">
      <c r="B1960" s="37"/>
    </row>
    <row r="1961" spans="2:2" x14ac:dyDescent="0.2">
      <c r="B1961" s="37"/>
    </row>
    <row r="1962" spans="2:2" x14ac:dyDescent="0.2">
      <c r="B1962" s="37"/>
    </row>
    <row r="1963" spans="2:2" x14ac:dyDescent="0.2">
      <c r="B1963" s="37"/>
    </row>
    <row r="1964" spans="2:2" x14ac:dyDescent="0.2">
      <c r="B1964" s="37"/>
    </row>
    <row r="1965" spans="2:2" x14ac:dyDescent="0.2">
      <c r="B1965" s="37"/>
    </row>
    <row r="1966" spans="2:2" x14ac:dyDescent="0.2">
      <c r="B1966" s="37"/>
    </row>
    <row r="1967" spans="2:2" x14ac:dyDescent="0.2">
      <c r="B1967" s="37"/>
    </row>
    <row r="1968" spans="2:2" x14ac:dyDescent="0.2">
      <c r="B1968" s="37"/>
    </row>
    <row r="1969" spans="2:2" x14ac:dyDescent="0.2">
      <c r="B1969" s="37"/>
    </row>
    <row r="1970" spans="2:2" x14ac:dyDescent="0.2">
      <c r="B1970" s="37"/>
    </row>
    <row r="1971" spans="2:2" x14ac:dyDescent="0.2">
      <c r="B1971" s="37"/>
    </row>
    <row r="1972" spans="2:2" x14ac:dyDescent="0.2">
      <c r="B1972" s="37"/>
    </row>
    <row r="1973" spans="2:2" x14ac:dyDescent="0.2">
      <c r="B1973" s="37"/>
    </row>
    <row r="1974" spans="2:2" x14ac:dyDescent="0.2">
      <c r="B1974" s="37"/>
    </row>
    <row r="1975" spans="2:2" x14ac:dyDescent="0.2">
      <c r="B1975" s="37"/>
    </row>
    <row r="1976" spans="2:2" x14ac:dyDescent="0.2">
      <c r="B1976" s="37"/>
    </row>
    <row r="1977" spans="2:2" x14ac:dyDescent="0.2">
      <c r="B1977" s="37"/>
    </row>
    <row r="1978" spans="2:2" x14ac:dyDescent="0.2">
      <c r="B1978" s="37"/>
    </row>
    <row r="1979" spans="2:2" x14ac:dyDescent="0.2">
      <c r="B1979" s="37"/>
    </row>
    <row r="1980" spans="2:2" x14ac:dyDescent="0.2">
      <c r="B1980" s="37"/>
    </row>
    <row r="1981" spans="2:2" x14ac:dyDescent="0.2">
      <c r="B1981" s="37"/>
    </row>
    <row r="1982" spans="2:2" x14ac:dyDescent="0.2">
      <c r="B1982" s="37"/>
    </row>
    <row r="1983" spans="2:2" x14ac:dyDescent="0.2">
      <c r="B1983" s="37"/>
    </row>
    <row r="1984" spans="2:2" x14ac:dyDescent="0.2">
      <c r="B1984" s="37"/>
    </row>
    <row r="1985" spans="2:2" x14ac:dyDescent="0.2">
      <c r="B1985" s="37"/>
    </row>
    <row r="1986" spans="2:2" x14ac:dyDescent="0.2">
      <c r="B1986" s="37"/>
    </row>
    <row r="1987" spans="2:2" x14ac:dyDescent="0.2">
      <c r="B1987" s="37"/>
    </row>
    <row r="1988" spans="2:2" x14ac:dyDescent="0.2">
      <c r="B1988" s="37"/>
    </row>
    <row r="1989" spans="2:2" x14ac:dyDescent="0.2">
      <c r="B1989" s="37"/>
    </row>
    <row r="1990" spans="2:2" x14ac:dyDescent="0.2">
      <c r="B1990" s="37"/>
    </row>
    <row r="1991" spans="2:2" x14ac:dyDescent="0.2">
      <c r="B1991" s="37"/>
    </row>
    <row r="1992" spans="2:2" x14ac:dyDescent="0.2">
      <c r="B1992" s="37"/>
    </row>
    <row r="1993" spans="2:2" x14ac:dyDescent="0.2">
      <c r="B1993" s="37"/>
    </row>
    <row r="1994" spans="2:2" x14ac:dyDescent="0.2">
      <c r="B1994" s="37"/>
    </row>
    <row r="1995" spans="2:2" x14ac:dyDescent="0.2">
      <c r="B1995" s="37"/>
    </row>
    <row r="1996" spans="2:2" x14ac:dyDescent="0.2">
      <c r="B1996" s="37"/>
    </row>
    <row r="1997" spans="2:2" x14ac:dyDescent="0.2">
      <c r="B1997" s="37"/>
    </row>
    <row r="1998" spans="2:2" x14ac:dyDescent="0.2">
      <c r="B1998" s="37"/>
    </row>
    <row r="1999" spans="2:2" x14ac:dyDescent="0.2">
      <c r="B1999" s="37"/>
    </row>
    <row r="2000" spans="2:2" x14ac:dyDescent="0.2">
      <c r="B2000" s="37"/>
    </row>
    <row r="2001" spans="2:2" x14ac:dyDescent="0.2">
      <c r="B2001" s="37"/>
    </row>
    <row r="2002" spans="2:2" x14ac:dyDescent="0.2">
      <c r="B2002" s="37"/>
    </row>
    <row r="2003" spans="2:2" x14ac:dyDescent="0.2">
      <c r="B2003" s="37"/>
    </row>
    <row r="2004" spans="2:2" x14ac:dyDescent="0.2">
      <c r="B2004" s="37"/>
    </row>
    <row r="2005" spans="2:2" x14ac:dyDescent="0.2">
      <c r="B2005" s="37"/>
    </row>
    <row r="2006" spans="2:2" x14ac:dyDescent="0.2">
      <c r="B2006" s="37"/>
    </row>
    <row r="2007" spans="2:2" x14ac:dyDescent="0.2">
      <c r="B2007" s="37"/>
    </row>
    <row r="2008" spans="2:2" x14ac:dyDescent="0.2">
      <c r="B2008" s="37"/>
    </row>
    <row r="2009" spans="2:2" x14ac:dyDescent="0.2">
      <c r="B2009" s="37"/>
    </row>
    <row r="2010" spans="2:2" x14ac:dyDescent="0.2">
      <c r="B2010" s="37"/>
    </row>
    <row r="2011" spans="2:2" x14ac:dyDescent="0.2">
      <c r="B2011" s="37"/>
    </row>
    <row r="2012" spans="2:2" x14ac:dyDescent="0.2">
      <c r="B2012" s="37"/>
    </row>
    <row r="2013" spans="2:2" x14ac:dyDescent="0.2">
      <c r="B2013" s="37"/>
    </row>
    <row r="2014" spans="2:2" x14ac:dyDescent="0.2">
      <c r="B2014" s="37"/>
    </row>
    <row r="2015" spans="2:2" x14ac:dyDescent="0.2">
      <c r="B2015" s="37"/>
    </row>
    <row r="2016" spans="2:2" x14ac:dyDescent="0.2">
      <c r="B2016" s="37"/>
    </row>
    <row r="2017" spans="2:2" x14ac:dyDescent="0.2">
      <c r="B2017" s="37"/>
    </row>
    <row r="2018" spans="2:2" x14ac:dyDescent="0.2">
      <c r="B2018" s="37"/>
    </row>
    <row r="2019" spans="2:2" x14ac:dyDescent="0.2">
      <c r="B2019" s="37"/>
    </row>
    <row r="2020" spans="2:2" x14ac:dyDescent="0.2">
      <c r="B2020" s="37"/>
    </row>
    <row r="2021" spans="2:2" x14ac:dyDescent="0.2">
      <c r="B2021" s="37"/>
    </row>
    <row r="2022" spans="2:2" x14ac:dyDescent="0.2">
      <c r="B2022" s="37"/>
    </row>
    <row r="2023" spans="2:2" x14ac:dyDescent="0.2">
      <c r="B2023" s="37"/>
    </row>
    <row r="2024" spans="2:2" x14ac:dyDescent="0.2">
      <c r="B2024" s="37"/>
    </row>
    <row r="2025" spans="2:2" x14ac:dyDescent="0.2">
      <c r="B2025" s="37"/>
    </row>
    <row r="2026" spans="2:2" x14ac:dyDescent="0.2">
      <c r="B2026" s="37"/>
    </row>
    <row r="2027" spans="2:2" x14ac:dyDescent="0.2">
      <c r="B2027" s="37"/>
    </row>
    <row r="2028" spans="2:2" x14ac:dyDescent="0.2">
      <c r="B2028" s="37"/>
    </row>
    <row r="2029" spans="2:2" x14ac:dyDescent="0.2">
      <c r="B2029" s="37"/>
    </row>
    <row r="2030" spans="2:2" x14ac:dyDescent="0.2">
      <c r="B2030" s="37"/>
    </row>
    <row r="2031" spans="2:2" x14ac:dyDescent="0.2">
      <c r="B2031" s="37"/>
    </row>
    <row r="2032" spans="2:2" x14ac:dyDescent="0.2">
      <c r="B2032" s="37"/>
    </row>
    <row r="2033" spans="2:2" x14ac:dyDescent="0.2">
      <c r="B2033" s="37"/>
    </row>
    <row r="2034" spans="2:2" x14ac:dyDescent="0.2">
      <c r="B2034" s="37"/>
    </row>
    <row r="2035" spans="2:2" x14ac:dyDescent="0.2">
      <c r="B2035" s="37"/>
    </row>
    <row r="2036" spans="2:2" x14ac:dyDescent="0.2">
      <c r="B2036" s="37"/>
    </row>
    <row r="2037" spans="2:2" x14ac:dyDescent="0.2">
      <c r="B2037" s="37"/>
    </row>
    <row r="2038" spans="2:2" x14ac:dyDescent="0.2">
      <c r="B2038" s="37"/>
    </row>
    <row r="2039" spans="2:2" x14ac:dyDescent="0.2">
      <c r="B2039" s="37"/>
    </row>
    <row r="2040" spans="2:2" x14ac:dyDescent="0.2">
      <c r="B2040" s="37"/>
    </row>
    <row r="2041" spans="2:2" x14ac:dyDescent="0.2">
      <c r="B2041" s="37"/>
    </row>
    <row r="2042" spans="2:2" x14ac:dyDescent="0.2">
      <c r="B2042" s="37"/>
    </row>
    <row r="2043" spans="2:2" x14ac:dyDescent="0.2">
      <c r="B2043" s="37"/>
    </row>
    <row r="2044" spans="2:2" x14ac:dyDescent="0.2">
      <c r="B2044" s="37"/>
    </row>
    <row r="2045" spans="2:2" x14ac:dyDescent="0.2">
      <c r="B2045" s="37"/>
    </row>
    <row r="2046" spans="2:2" x14ac:dyDescent="0.2">
      <c r="B2046" s="37"/>
    </row>
    <row r="2047" spans="2:2" x14ac:dyDescent="0.2">
      <c r="B2047" s="37"/>
    </row>
    <row r="2048" spans="2:2" x14ac:dyDescent="0.2">
      <c r="B2048" s="37"/>
    </row>
    <row r="2049" spans="2:2" x14ac:dyDescent="0.2">
      <c r="B2049" s="37"/>
    </row>
    <row r="2050" spans="2:2" x14ac:dyDescent="0.2">
      <c r="B2050" s="37"/>
    </row>
    <row r="2051" spans="2:2" x14ac:dyDescent="0.2">
      <c r="B2051" s="37"/>
    </row>
    <row r="2052" spans="2:2" x14ac:dyDescent="0.2">
      <c r="B2052" s="37"/>
    </row>
    <row r="2053" spans="2:2" x14ac:dyDescent="0.2">
      <c r="B2053" s="37"/>
    </row>
    <row r="2054" spans="2:2" x14ac:dyDescent="0.2">
      <c r="B2054" s="37"/>
    </row>
    <row r="2055" spans="2:2" x14ac:dyDescent="0.2">
      <c r="B2055" s="37"/>
    </row>
    <row r="2056" spans="2:2" x14ac:dyDescent="0.2">
      <c r="B2056" s="37"/>
    </row>
    <row r="2057" spans="2:2" x14ac:dyDescent="0.2">
      <c r="B2057" s="37"/>
    </row>
    <row r="2058" spans="2:2" x14ac:dyDescent="0.2">
      <c r="B2058" s="37"/>
    </row>
    <row r="2059" spans="2:2" x14ac:dyDescent="0.2">
      <c r="B2059" s="37"/>
    </row>
    <row r="2060" spans="2:2" x14ac:dyDescent="0.2">
      <c r="B2060" s="37"/>
    </row>
    <row r="2061" spans="2:2" x14ac:dyDescent="0.2">
      <c r="B2061" s="37"/>
    </row>
    <row r="2062" spans="2:2" x14ac:dyDescent="0.2">
      <c r="B2062" s="37"/>
    </row>
    <row r="2063" spans="2:2" x14ac:dyDescent="0.2">
      <c r="B2063" s="37"/>
    </row>
    <row r="2064" spans="2:2" x14ac:dyDescent="0.2">
      <c r="B2064" s="37"/>
    </row>
    <row r="2065" spans="2:2" x14ac:dyDescent="0.2">
      <c r="B2065" s="37"/>
    </row>
    <row r="2066" spans="2:2" x14ac:dyDescent="0.2">
      <c r="B2066" s="37"/>
    </row>
    <row r="2067" spans="2:2" x14ac:dyDescent="0.2">
      <c r="B2067" s="37"/>
    </row>
    <row r="2068" spans="2:2" x14ac:dyDescent="0.2">
      <c r="B2068" s="37"/>
    </row>
    <row r="2069" spans="2:2" x14ac:dyDescent="0.2">
      <c r="B2069" s="37"/>
    </row>
    <row r="2070" spans="2:2" x14ac:dyDescent="0.2">
      <c r="B2070" s="37"/>
    </row>
    <row r="2071" spans="2:2" x14ac:dyDescent="0.2">
      <c r="B2071" s="37"/>
    </row>
    <row r="2072" spans="2:2" x14ac:dyDescent="0.2">
      <c r="B2072" s="37"/>
    </row>
    <row r="2073" spans="2:2" x14ac:dyDescent="0.2">
      <c r="B2073" s="37"/>
    </row>
    <row r="2074" spans="2:2" x14ac:dyDescent="0.2">
      <c r="B2074" s="37"/>
    </row>
    <row r="2075" spans="2:2" x14ac:dyDescent="0.2">
      <c r="B2075" s="37"/>
    </row>
    <row r="2076" spans="2:2" x14ac:dyDescent="0.2">
      <c r="B2076" s="37"/>
    </row>
    <row r="2077" spans="2:2" x14ac:dyDescent="0.2">
      <c r="B2077" s="37"/>
    </row>
    <row r="2078" spans="2:2" x14ac:dyDescent="0.2">
      <c r="B2078" s="37"/>
    </row>
    <row r="2079" spans="2:2" x14ac:dyDescent="0.2">
      <c r="B2079" s="37"/>
    </row>
    <row r="2080" spans="2:2" x14ac:dyDescent="0.2">
      <c r="B2080" s="37"/>
    </row>
    <row r="2081" spans="2:2" x14ac:dyDescent="0.2">
      <c r="B2081" s="37"/>
    </row>
    <row r="2082" spans="2:2" x14ac:dyDescent="0.2">
      <c r="B2082" s="37"/>
    </row>
    <row r="2083" spans="2:2" x14ac:dyDescent="0.2">
      <c r="B2083" s="37"/>
    </row>
    <row r="2084" spans="2:2" x14ac:dyDescent="0.2">
      <c r="B2084" s="37"/>
    </row>
    <row r="2085" spans="2:2" x14ac:dyDescent="0.2">
      <c r="B2085" s="37"/>
    </row>
    <row r="2086" spans="2:2" x14ac:dyDescent="0.2">
      <c r="B2086" s="37"/>
    </row>
    <row r="2087" spans="2:2" x14ac:dyDescent="0.2">
      <c r="B2087" s="37"/>
    </row>
    <row r="2088" spans="2:2" x14ac:dyDescent="0.2">
      <c r="B2088" s="37"/>
    </row>
    <row r="2089" spans="2:2" x14ac:dyDescent="0.2">
      <c r="B2089" s="37"/>
    </row>
    <row r="2090" spans="2:2" x14ac:dyDescent="0.2">
      <c r="B2090" s="37"/>
    </row>
    <row r="2091" spans="2:2" x14ac:dyDescent="0.2">
      <c r="B2091" s="37"/>
    </row>
    <row r="2092" spans="2:2" x14ac:dyDescent="0.2">
      <c r="B2092" s="37"/>
    </row>
    <row r="2093" spans="2:2" x14ac:dyDescent="0.2">
      <c r="B2093" s="37"/>
    </row>
    <row r="2094" spans="2:2" x14ac:dyDescent="0.2">
      <c r="B2094" s="37"/>
    </row>
    <row r="2095" spans="2:2" x14ac:dyDescent="0.2">
      <c r="B2095" s="37"/>
    </row>
    <row r="2096" spans="2:2" x14ac:dyDescent="0.2">
      <c r="B2096" s="37"/>
    </row>
    <row r="2097" spans="2:2" x14ac:dyDescent="0.2">
      <c r="B2097" s="37"/>
    </row>
    <row r="2098" spans="2:2" x14ac:dyDescent="0.2">
      <c r="B2098" s="37"/>
    </row>
    <row r="2099" spans="2:2" x14ac:dyDescent="0.2">
      <c r="B2099" s="37"/>
    </row>
    <row r="2100" spans="2:2" x14ac:dyDescent="0.2">
      <c r="B2100" s="37"/>
    </row>
    <row r="2101" spans="2:2" x14ac:dyDescent="0.2">
      <c r="B2101" s="37"/>
    </row>
    <row r="2102" spans="2:2" x14ac:dyDescent="0.2">
      <c r="B2102" s="37"/>
    </row>
    <row r="2103" spans="2:2" x14ac:dyDescent="0.2">
      <c r="B2103" s="37"/>
    </row>
    <row r="2104" spans="2:2" x14ac:dyDescent="0.2">
      <c r="B2104" s="37"/>
    </row>
    <row r="2105" spans="2:2" x14ac:dyDescent="0.2">
      <c r="B2105" s="37"/>
    </row>
    <row r="2106" spans="2:2" x14ac:dyDescent="0.2">
      <c r="B2106" s="37"/>
    </row>
    <row r="2107" spans="2:2" x14ac:dyDescent="0.2">
      <c r="B2107" s="37"/>
    </row>
    <row r="2108" spans="2:2" x14ac:dyDescent="0.2">
      <c r="B2108" s="37"/>
    </row>
    <row r="2109" spans="2:2" x14ac:dyDescent="0.2">
      <c r="B2109" s="37"/>
    </row>
    <row r="2110" spans="2:2" x14ac:dyDescent="0.2">
      <c r="B2110" s="37"/>
    </row>
    <row r="2111" spans="2:2" x14ac:dyDescent="0.2">
      <c r="B2111" s="37"/>
    </row>
    <row r="2112" spans="2:2" x14ac:dyDescent="0.2">
      <c r="B2112" s="37"/>
    </row>
    <row r="2113" spans="2:2" x14ac:dyDescent="0.2">
      <c r="B2113" s="37"/>
    </row>
    <row r="2114" spans="2:2" x14ac:dyDescent="0.2">
      <c r="B2114" s="37"/>
    </row>
    <row r="2115" spans="2:2" x14ac:dyDescent="0.2">
      <c r="B2115" s="37"/>
    </row>
    <row r="2116" spans="2:2" x14ac:dyDescent="0.2">
      <c r="B2116" s="37"/>
    </row>
    <row r="2117" spans="2:2" x14ac:dyDescent="0.2">
      <c r="B2117" s="37"/>
    </row>
    <row r="2118" spans="2:2" x14ac:dyDescent="0.2">
      <c r="B2118" s="37"/>
    </row>
    <row r="2119" spans="2:2" x14ac:dyDescent="0.2">
      <c r="B2119" s="37"/>
    </row>
    <row r="2120" spans="2:2" x14ac:dyDescent="0.2">
      <c r="B2120" s="37"/>
    </row>
    <row r="2121" spans="2:2" x14ac:dyDescent="0.2">
      <c r="B2121" s="37"/>
    </row>
    <row r="2122" spans="2:2" x14ac:dyDescent="0.2">
      <c r="B2122" s="37"/>
    </row>
    <row r="2123" spans="2:2" x14ac:dyDescent="0.2">
      <c r="B2123" s="37"/>
    </row>
    <row r="2124" spans="2:2" x14ac:dyDescent="0.2">
      <c r="B2124" s="37"/>
    </row>
    <row r="2125" spans="2:2" x14ac:dyDescent="0.2">
      <c r="B2125" s="37"/>
    </row>
    <row r="2126" spans="2:2" x14ac:dyDescent="0.2">
      <c r="B2126" s="37"/>
    </row>
    <row r="2127" spans="2:2" x14ac:dyDescent="0.2">
      <c r="B2127" s="37"/>
    </row>
    <row r="2128" spans="2:2" x14ac:dyDescent="0.2">
      <c r="B2128" s="37"/>
    </row>
    <row r="2129" spans="2:2" x14ac:dyDescent="0.2">
      <c r="B2129" s="37"/>
    </row>
    <row r="2130" spans="2:2" x14ac:dyDescent="0.2">
      <c r="B2130" s="37"/>
    </row>
    <row r="2131" spans="2:2" x14ac:dyDescent="0.2">
      <c r="B2131" s="37"/>
    </row>
    <row r="2132" spans="2:2" x14ac:dyDescent="0.2">
      <c r="B2132" s="37"/>
    </row>
    <row r="2133" spans="2:2" x14ac:dyDescent="0.2">
      <c r="B2133" s="37"/>
    </row>
    <row r="2134" spans="2:2" x14ac:dyDescent="0.2">
      <c r="B2134" s="37"/>
    </row>
    <row r="2135" spans="2:2" x14ac:dyDescent="0.2">
      <c r="B2135" s="37"/>
    </row>
    <row r="2136" spans="2:2" x14ac:dyDescent="0.2">
      <c r="B2136" s="37"/>
    </row>
    <row r="2137" spans="2:2" x14ac:dyDescent="0.2">
      <c r="B2137" s="37"/>
    </row>
    <row r="2138" spans="2:2" x14ac:dyDescent="0.2">
      <c r="B2138" s="37"/>
    </row>
    <row r="2139" spans="2:2" x14ac:dyDescent="0.2">
      <c r="B2139" s="37"/>
    </row>
    <row r="2140" spans="2:2" x14ac:dyDescent="0.2">
      <c r="B2140" s="37"/>
    </row>
    <row r="2141" spans="2:2" x14ac:dyDescent="0.2">
      <c r="B2141" s="37"/>
    </row>
    <row r="2142" spans="2:2" x14ac:dyDescent="0.2">
      <c r="B2142" s="37"/>
    </row>
    <row r="2143" spans="2:2" x14ac:dyDescent="0.2">
      <c r="B2143" s="37"/>
    </row>
    <row r="2144" spans="2:2" x14ac:dyDescent="0.2">
      <c r="B2144" s="37"/>
    </row>
    <row r="2145" spans="2:2" x14ac:dyDescent="0.2">
      <c r="B2145" s="37"/>
    </row>
    <row r="2146" spans="2:2" x14ac:dyDescent="0.2">
      <c r="B2146" s="37"/>
    </row>
    <row r="2147" spans="2:2" x14ac:dyDescent="0.2">
      <c r="B2147" s="37"/>
    </row>
    <row r="2148" spans="2:2" x14ac:dyDescent="0.2">
      <c r="B2148" s="37"/>
    </row>
    <row r="2149" spans="2:2" x14ac:dyDescent="0.2">
      <c r="B2149" s="37"/>
    </row>
    <row r="2150" spans="2:2" x14ac:dyDescent="0.2">
      <c r="B2150" s="37"/>
    </row>
    <row r="2151" spans="2:2" x14ac:dyDescent="0.2">
      <c r="B2151" s="37"/>
    </row>
    <row r="2152" spans="2:2" x14ac:dyDescent="0.2">
      <c r="B2152" s="37"/>
    </row>
    <row r="2153" spans="2:2" x14ac:dyDescent="0.2">
      <c r="B2153" s="37"/>
    </row>
    <row r="2154" spans="2:2" x14ac:dyDescent="0.2">
      <c r="B2154" s="37"/>
    </row>
    <row r="2155" spans="2:2" x14ac:dyDescent="0.2">
      <c r="B2155" s="37"/>
    </row>
    <row r="2156" spans="2:2" x14ac:dyDescent="0.2">
      <c r="B2156" s="37"/>
    </row>
    <row r="2157" spans="2:2" x14ac:dyDescent="0.2">
      <c r="B2157" s="37"/>
    </row>
    <row r="2158" spans="2:2" x14ac:dyDescent="0.2">
      <c r="B2158" s="37"/>
    </row>
    <row r="2159" spans="2:2" x14ac:dyDescent="0.2">
      <c r="B2159" s="37"/>
    </row>
    <row r="2160" spans="2:2" x14ac:dyDescent="0.2">
      <c r="B2160" s="37"/>
    </row>
    <row r="2161" spans="2:2" x14ac:dyDescent="0.2">
      <c r="B2161" s="37"/>
    </row>
    <row r="2162" spans="2:2" x14ac:dyDescent="0.2">
      <c r="B2162" s="37"/>
    </row>
    <row r="2163" spans="2:2" x14ac:dyDescent="0.2">
      <c r="B2163" s="37"/>
    </row>
    <row r="2164" spans="2:2" x14ac:dyDescent="0.2">
      <c r="B2164" s="37"/>
    </row>
    <row r="2165" spans="2:2" x14ac:dyDescent="0.2">
      <c r="B2165" s="37"/>
    </row>
    <row r="2166" spans="2:2" x14ac:dyDescent="0.2">
      <c r="B2166" s="37"/>
    </row>
    <row r="2167" spans="2:2" x14ac:dyDescent="0.2">
      <c r="B2167" s="37"/>
    </row>
    <row r="2168" spans="2:2" x14ac:dyDescent="0.2">
      <c r="B2168" s="37"/>
    </row>
    <row r="2169" spans="2:2" x14ac:dyDescent="0.2">
      <c r="B2169" s="37"/>
    </row>
    <row r="2170" spans="2:2" x14ac:dyDescent="0.2">
      <c r="B2170" s="37"/>
    </row>
    <row r="2171" spans="2:2" x14ac:dyDescent="0.2">
      <c r="B2171" s="37"/>
    </row>
    <row r="2172" spans="2:2" x14ac:dyDescent="0.2">
      <c r="B2172" s="37"/>
    </row>
    <row r="2173" spans="2:2" x14ac:dyDescent="0.2">
      <c r="B2173" s="37"/>
    </row>
    <row r="2174" spans="2:2" x14ac:dyDescent="0.2">
      <c r="B2174" s="37"/>
    </row>
    <row r="2175" spans="2:2" x14ac:dyDescent="0.2">
      <c r="B2175" s="37"/>
    </row>
    <row r="2176" spans="2:2" x14ac:dyDescent="0.2">
      <c r="B2176" s="37"/>
    </row>
    <row r="2177" spans="2:2" x14ac:dyDescent="0.2">
      <c r="B2177" s="37"/>
    </row>
    <row r="2178" spans="2:2" x14ac:dyDescent="0.2">
      <c r="B2178" s="37"/>
    </row>
    <row r="2179" spans="2:2" x14ac:dyDescent="0.2">
      <c r="B2179" s="37"/>
    </row>
    <row r="2180" spans="2:2" x14ac:dyDescent="0.2">
      <c r="B2180" s="37"/>
    </row>
    <row r="2181" spans="2:2" x14ac:dyDescent="0.2">
      <c r="B2181" s="37"/>
    </row>
    <row r="2182" spans="2:2" x14ac:dyDescent="0.2">
      <c r="B2182" s="37"/>
    </row>
    <row r="2183" spans="2:2" x14ac:dyDescent="0.2">
      <c r="B2183" s="37"/>
    </row>
    <row r="2184" spans="2:2" x14ac:dyDescent="0.2">
      <c r="B2184" s="37"/>
    </row>
    <row r="2185" spans="2:2" x14ac:dyDescent="0.2">
      <c r="B2185" s="37"/>
    </row>
    <row r="2186" spans="2:2" x14ac:dyDescent="0.2">
      <c r="B2186" s="37"/>
    </row>
    <row r="2187" spans="2:2" x14ac:dyDescent="0.2">
      <c r="B2187" s="37"/>
    </row>
    <row r="2188" spans="2:2" x14ac:dyDescent="0.2">
      <c r="B2188" s="37"/>
    </row>
    <row r="2189" spans="2:2" x14ac:dyDescent="0.2">
      <c r="B2189" s="37"/>
    </row>
    <row r="2190" spans="2:2" x14ac:dyDescent="0.2">
      <c r="B2190" s="37"/>
    </row>
    <row r="2191" spans="2:2" x14ac:dyDescent="0.2">
      <c r="B2191" s="37"/>
    </row>
    <row r="2192" spans="2:2" x14ac:dyDescent="0.2">
      <c r="B2192" s="37"/>
    </row>
    <row r="2193" spans="2:2" x14ac:dyDescent="0.2">
      <c r="B2193" s="37"/>
    </row>
    <row r="2194" spans="2:2" x14ac:dyDescent="0.2">
      <c r="B2194" s="37"/>
    </row>
    <row r="2195" spans="2:2" x14ac:dyDescent="0.2">
      <c r="B2195" s="37"/>
    </row>
    <row r="2196" spans="2:2" x14ac:dyDescent="0.2">
      <c r="B2196" s="37"/>
    </row>
    <row r="2197" spans="2:2" x14ac:dyDescent="0.2">
      <c r="B2197" s="37"/>
    </row>
    <row r="2198" spans="2:2" x14ac:dyDescent="0.2">
      <c r="B2198" s="37"/>
    </row>
    <row r="2199" spans="2:2" x14ac:dyDescent="0.2">
      <c r="B2199" s="37"/>
    </row>
    <row r="2200" spans="2:2" x14ac:dyDescent="0.2">
      <c r="B2200" s="37"/>
    </row>
    <row r="2201" spans="2:2" x14ac:dyDescent="0.2">
      <c r="B2201" s="37"/>
    </row>
    <row r="2202" spans="2:2" x14ac:dyDescent="0.2">
      <c r="B2202" s="37"/>
    </row>
    <row r="2203" spans="2:2" x14ac:dyDescent="0.2">
      <c r="B2203" s="37"/>
    </row>
    <row r="2204" spans="2:2" x14ac:dyDescent="0.2">
      <c r="B2204" s="37"/>
    </row>
    <row r="2205" spans="2:2" x14ac:dyDescent="0.2">
      <c r="B2205" s="37"/>
    </row>
    <row r="2206" spans="2:2" x14ac:dyDescent="0.2">
      <c r="B2206" s="37"/>
    </row>
    <row r="2207" spans="2:2" x14ac:dyDescent="0.2">
      <c r="B2207" s="37"/>
    </row>
    <row r="2208" spans="2:2" x14ac:dyDescent="0.2">
      <c r="B2208" s="37"/>
    </row>
    <row r="2209" spans="2:2" x14ac:dyDescent="0.2">
      <c r="B2209" s="37"/>
    </row>
    <row r="2210" spans="2:2" x14ac:dyDescent="0.2">
      <c r="B2210" s="37"/>
    </row>
    <row r="2211" spans="2:2" x14ac:dyDescent="0.2">
      <c r="B2211" s="37"/>
    </row>
    <row r="2212" spans="2:2" x14ac:dyDescent="0.2">
      <c r="B2212" s="37"/>
    </row>
    <row r="2213" spans="2:2" x14ac:dyDescent="0.2">
      <c r="B2213" s="37"/>
    </row>
    <row r="2214" spans="2:2" x14ac:dyDescent="0.2">
      <c r="B2214" s="37"/>
    </row>
    <row r="2215" spans="2:2" x14ac:dyDescent="0.2">
      <c r="B2215" s="37"/>
    </row>
    <row r="2216" spans="2:2" x14ac:dyDescent="0.2">
      <c r="B2216" s="37"/>
    </row>
    <row r="2217" spans="2:2" x14ac:dyDescent="0.2">
      <c r="B2217" s="37"/>
    </row>
    <row r="2218" spans="2:2" x14ac:dyDescent="0.2">
      <c r="B2218" s="37"/>
    </row>
    <row r="2219" spans="2:2" x14ac:dyDescent="0.2">
      <c r="B2219" s="37"/>
    </row>
    <row r="2220" spans="2:2" x14ac:dyDescent="0.2">
      <c r="B2220" s="37"/>
    </row>
    <row r="2221" spans="2:2" x14ac:dyDescent="0.2">
      <c r="B2221" s="37"/>
    </row>
    <row r="2222" spans="2:2" x14ac:dyDescent="0.2">
      <c r="B2222" s="37"/>
    </row>
    <row r="2223" spans="2:2" x14ac:dyDescent="0.2">
      <c r="B2223" s="37"/>
    </row>
    <row r="2224" spans="2:2" x14ac:dyDescent="0.2">
      <c r="B2224" s="37"/>
    </row>
    <row r="2225" spans="2:2" x14ac:dyDescent="0.2">
      <c r="B2225" s="37"/>
    </row>
    <row r="2226" spans="2:2" x14ac:dyDescent="0.2">
      <c r="B2226" s="37"/>
    </row>
    <row r="2227" spans="2:2" x14ac:dyDescent="0.2">
      <c r="B2227" s="37"/>
    </row>
    <row r="2228" spans="2:2" x14ac:dyDescent="0.2">
      <c r="B2228" s="37"/>
    </row>
    <row r="2229" spans="2:2" x14ac:dyDescent="0.2">
      <c r="B2229" s="37"/>
    </row>
    <row r="2230" spans="2:2" x14ac:dyDescent="0.2">
      <c r="B2230" s="37"/>
    </row>
    <row r="2231" spans="2:2" x14ac:dyDescent="0.2">
      <c r="B2231" s="37"/>
    </row>
    <row r="2232" spans="2:2" x14ac:dyDescent="0.2">
      <c r="B2232" s="37"/>
    </row>
    <row r="2233" spans="2:2" x14ac:dyDescent="0.2">
      <c r="B2233" s="37"/>
    </row>
    <row r="2234" spans="2:2" x14ac:dyDescent="0.2">
      <c r="B2234" s="37"/>
    </row>
    <row r="2235" spans="2:2" x14ac:dyDescent="0.2">
      <c r="B2235" s="37"/>
    </row>
    <row r="2236" spans="2:2" x14ac:dyDescent="0.2">
      <c r="B2236" s="37"/>
    </row>
    <row r="2237" spans="2:2" x14ac:dyDescent="0.2">
      <c r="B2237" s="37"/>
    </row>
    <row r="2238" spans="2:2" x14ac:dyDescent="0.2">
      <c r="B2238" s="37"/>
    </row>
    <row r="2239" spans="2:2" x14ac:dyDescent="0.2">
      <c r="B2239" s="37"/>
    </row>
    <row r="2240" spans="2:2" x14ac:dyDescent="0.2">
      <c r="B2240" s="37"/>
    </row>
    <row r="2241" spans="2:2" x14ac:dyDescent="0.2">
      <c r="B2241" s="37"/>
    </row>
    <row r="2242" spans="2:2" x14ac:dyDescent="0.2">
      <c r="B2242" s="37"/>
    </row>
    <row r="2243" spans="2:2" x14ac:dyDescent="0.2">
      <c r="B2243" s="37"/>
    </row>
    <row r="2244" spans="2:2" x14ac:dyDescent="0.2">
      <c r="B2244" s="37"/>
    </row>
    <row r="2245" spans="2:2" x14ac:dyDescent="0.2">
      <c r="B2245" s="37"/>
    </row>
    <row r="2246" spans="2:2" x14ac:dyDescent="0.2">
      <c r="B2246" s="37"/>
    </row>
    <row r="2247" spans="2:2" x14ac:dyDescent="0.2">
      <c r="B2247" s="37"/>
    </row>
    <row r="2248" spans="2:2" x14ac:dyDescent="0.2">
      <c r="B2248" s="37"/>
    </row>
    <row r="2249" spans="2:2" x14ac:dyDescent="0.2">
      <c r="B2249" s="37"/>
    </row>
    <row r="2250" spans="2:2" x14ac:dyDescent="0.2">
      <c r="B2250" s="37"/>
    </row>
    <row r="2251" spans="2:2" x14ac:dyDescent="0.2">
      <c r="B2251" s="37"/>
    </row>
    <row r="2252" spans="2:2" x14ac:dyDescent="0.2">
      <c r="B2252" s="37"/>
    </row>
    <row r="2253" spans="2:2" x14ac:dyDescent="0.2">
      <c r="B2253" s="37"/>
    </row>
    <row r="2254" spans="2:2" x14ac:dyDescent="0.2">
      <c r="B2254" s="37"/>
    </row>
    <row r="2255" spans="2:2" x14ac:dyDescent="0.2">
      <c r="B2255" s="37"/>
    </row>
    <row r="2256" spans="2:2" x14ac:dyDescent="0.2">
      <c r="B2256" s="37"/>
    </row>
    <row r="2257" spans="2:2" x14ac:dyDescent="0.2">
      <c r="B2257" s="37"/>
    </row>
    <row r="2258" spans="2:2" x14ac:dyDescent="0.2">
      <c r="B2258" s="37"/>
    </row>
    <row r="2259" spans="2:2" x14ac:dyDescent="0.2">
      <c r="B2259" s="37"/>
    </row>
    <row r="2260" spans="2:2" x14ac:dyDescent="0.2">
      <c r="B2260" s="37"/>
    </row>
    <row r="2261" spans="2:2" x14ac:dyDescent="0.2">
      <c r="B2261" s="37"/>
    </row>
    <row r="2262" spans="2:2" x14ac:dyDescent="0.2">
      <c r="B2262" s="37"/>
    </row>
    <row r="2263" spans="2:2" x14ac:dyDescent="0.2">
      <c r="B2263" s="37"/>
    </row>
    <row r="2264" spans="2:2" x14ac:dyDescent="0.2">
      <c r="B2264" s="37"/>
    </row>
    <row r="2265" spans="2:2" x14ac:dyDescent="0.2">
      <c r="B2265" s="37"/>
    </row>
    <row r="2266" spans="2:2" x14ac:dyDescent="0.2">
      <c r="B2266" s="37"/>
    </row>
    <row r="2267" spans="2:2" x14ac:dyDescent="0.2">
      <c r="B2267" s="37"/>
    </row>
    <row r="2268" spans="2:2" x14ac:dyDescent="0.2">
      <c r="B2268" s="37"/>
    </row>
    <row r="2269" spans="2:2" x14ac:dyDescent="0.2">
      <c r="B2269" s="37"/>
    </row>
    <row r="2270" spans="2:2" x14ac:dyDescent="0.2">
      <c r="B2270" s="37"/>
    </row>
    <row r="2271" spans="2:2" x14ac:dyDescent="0.2">
      <c r="B2271" s="37"/>
    </row>
    <row r="2272" spans="2:2" x14ac:dyDescent="0.2">
      <c r="B2272" s="37"/>
    </row>
    <row r="2273" spans="2:2" x14ac:dyDescent="0.2">
      <c r="B2273" s="37"/>
    </row>
    <row r="2274" spans="2:2" x14ac:dyDescent="0.2">
      <c r="B2274" s="37"/>
    </row>
    <row r="2275" spans="2:2" x14ac:dyDescent="0.2">
      <c r="B2275" s="37"/>
    </row>
    <row r="2276" spans="2:2" x14ac:dyDescent="0.2">
      <c r="B2276" s="37"/>
    </row>
    <row r="2277" spans="2:2" x14ac:dyDescent="0.2">
      <c r="B2277" s="37"/>
    </row>
    <row r="2278" spans="2:2" x14ac:dyDescent="0.2">
      <c r="B2278" s="37"/>
    </row>
    <row r="2279" spans="2:2" x14ac:dyDescent="0.2">
      <c r="B2279" s="37"/>
    </row>
    <row r="2280" spans="2:2" x14ac:dyDescent="0.2">
      <c r="B2280" s="37"/>
    </row>
    <row r="2281" spans="2:2" x14ac:dyDescent="0.2">
      <c r="B2281" s="37"/>
    </row>
    <row r="2282" spans="2:2" x14ac:dyDescent="0.2">
      <c r="B2282" s="37"/>
    </row>
    <row r="2283" spans="2:2" x14ac:dyDescent="0.2">
      <c r="B2283" s="37"/>
    </row>
    <row r="2284" spans="2:2" x14ac:dyDescent="0.2">
      <c r="B2284" s="37"/>
    </row>
    <row r="2285" spans="2:2" x14ac:dyDescent="0.2">
      <c r="B2285" s="37"/>
    </row>
    <row r="2286" spans="2:2" x14ac:dyDescent="0.2">
      <c r="B2286" s="37"/>
    </row>
    <row r="2287" spans="2:2" x14ac:dyDescent="0.2">
      <c r="B2287" s="37"/>
    </row>
    <row r="2288" spans="2:2" x14ac:dyDescent="0.2">
      <c r="B2288" s="37"/>
    </row>
    <row r="2289" spans="2:2" x14ac:dyDescent="0.2">
      <c r="B2289" s="37"/>
    </row>
    <row r="2290" spans="2:2" x14ac:dyDescent="0.2">
      <c r="B2290" s="37"/>
    </row>
    <row r="2291" spans="2:2" x14ac:dyDescent="0.2">
      <c r="B2291" s="37"/>
    </row>
    <row r="2292" spans="2:2" x14ac:dyDescent="0.2">
      <c r="B2292" s="37"/>
    </row>
    <row r="2293" spans="2:2" x14ac:dyDescent="0.2">
      <c r="B2293" s="37"/>
    </row>
    <row r="2294" spans="2:2" x14ac:dyDescent="0.2">
      <c r="B2294" s="37"/>
    </row>
    <row r="2295" spans="2:2" x14ac:dyDescent="0.2">
      <c r="B2295" s="37"/>
    </row>
    <row r="2296" spans="2:2" x14ac:dyDescent="0.2">
      <c r="B2296" s="37"/>
    </row>
    <row r="2297" spans="2:2" x14ac:dyDescent="0.2">
      <c r="B2297" s="37"/>
    </row>
    <row r="2298" spans="2:2" x14ac:dyDescent="0.2">
      <c r="B2298" s="37"/>
    </row>
    <row r="2299" spans="2:2" x14ac:dyDescent="0.2">
      <c r="B2299" s="37"/>
    </row>
    <row r="2300" spans="2:2" x14ac:dyDescent="0.2">
      <c r="B2300" s="37"/>
    </row>
    <row r="2301" spans="2:2" x14ac:dyDescent="0.2">
      <c r="B2301" s="37"/>
    </row>
    <row r="2302" spans="2:2" x14ac:dyDescent="0.2">
      <c r="B2302" s="37"/>
    </row>
    <row r="2303" spans="2:2" x14ac:dyDescent="0.2">
      <c r="B2303" s="37"/>
    </row>
    <row r="2304" spans="2:2" x14ac:dyDescent="0.2">
      <c r="B2304" s="37"/>
    </row>
    <row r="2305" spans="2:2" x14ac:dyDescent="0.2">
      <c r="B2305" s="37"/>
    </row>
    <row r="2306" spans="2:2" x14ac:dyDescent="0.2">
      <c r="B2306" s="37"/>
    </row>
    <row r="2307" spans="2:2" x14ac:dyDescent="0.2">
      <c r="B2307" s="37"/>
    </row>
    <row r="2308" spans="2:2" x14ac:dyDescent="0.2">
      <c r="B2308" s="37"/>
    </row>
    <row r="2309" spans="2:2" x14ac:dyDescent="0.2">
      <c r="B2309" s="37"/>
    </row>
    <row r="2310" spans="2:2" x14ac:dyDescent="0.2">
      <c r="B2310" s="37"/>
    </row>
    <row r="2311" spans="2:2" x14ac:dyDescent="0.2">
      <c r="B2311" s="37"/>
    </row>
    <row r="2312" spans="2:2" x14ac:dyDescent="0.2">
      <c r="B2312" s="37"/>
    </row>
    <row r="2313" spans="2:2" x14ac:dyDescent="0.2">
      <c r="B2313" s="37"/>
    </row>
    <row r="2314" spans="2:2" x14ac:dyDescent="0.2">
      <c r="B2314" s="37"/>
    </row>
    <row r="2315" spans="2:2" x14ac:dyDescent="0.2">
      <c r="B2315" s="37"/>
    </row>
    <row r="2316" spans="2:2" x14ac:dyDescent="0.2">
      <c r="B2316" s="37"/>
    </row>
    <row r="2317" spans="2:2" x14ac:dyDescent="0.2">
      <c r="B2317" s="37"/>
    </row>
    <row r="2318" spans="2:2" x14ac:dyDescent="0.2">
      <c r="B2318" s="37"/>
    </row>
    <row r="2319" spans="2:2" x14ac:dyDescent="0.2">
      <c r="B2319" s="37"/>
    </row>
    <row r="2320" spans="2:2" x14ac:dyDescent="0.2">
      <c r="B2320" s="37"/>
    </row>
    <row r="2321" spans="2:2" x14ac:dyDescent="0.2">
      <c r="B2321" s="37"/>
    </row>
    <row r="2322" spans="2:2" x14ac:dyDescent="0.2">
      <c r="B2322" s="37"/>
    </row>
    <row r="2323" spans="2:2" x14ac:dyDescent="0.2">
      <c r="B2323" s="37"/>
    </row>
    <row r="2324" spans="2:2" x14ac:dyDescent="0.2">
      <c r="B2324" s="37"/>
    </row>
    <row r="2325" spans="2:2" x14ac:dyDescent="0.2">
      <c r="B2325" s="37"/>
    </row>
    <row r="2326" spans="2:2" x14ac:dyDescent="0.2">
      <c r="B2326" s="37"/>
    </row>
    <row r="2327" spans="2:2" x14ac:dyDescent="0.2">
      <c r="B2327" s="37"/>
    </row>
    <row r="2328" spans="2:2" x14ac:dyDescent="0.2">
      <c r="B2328" s="37"/>
    </row>
    <row r="2329" spans="2:2" x14ac:dyDescent="0.2">
      <c r="B2329" s="37"/>
    </row>
    <row r="2330" spans="2:2" x14ac:dyDescent="0.2">
      <c r="B2330" s="37"/>
    </row>
    <row r="2331" spans="2:2" x14ac:dyDescent="0.2">
      <c r="B2331" s="37"/>
    </row>
    <row r="2332" spans="2:2" x14ac:dyDescent="0.2">
      <c r="B2332" s="37"/>
    </row>
    <row r="2333" spans="2:2" x14ac:dyDescent="0.2">
      <c r="B2333" s="37"/>
    </row>
    <row r="2334" spans="2:2" x14ac:dyDescent="0.2">
      <c r="B2334" s="37"/>
    </row>
    <row r="2335" spans="2:2" x14ac:dyDescent="0.2">
      <c r="B2335" s="37"/>
    </row>
    <row r="2336" spans="2:2" x14ac:dyDescent="0.2">
      <c r="B2336" s="37"/>
    </row>
    <row r="2337" spans="2:2" x14ac:dyDescent="0.2">
      <c r="B2337" s="37"/>
    </row>
    <row r="2338" spans="2:2" x14ac:dyDescent="0.2">
      <c r="B2338" s="37"/>
    </row>
    <row r="2339" spans="2:2" x14ac:dyDescent="0.2">
      <c r="B2339" s="37"/>
    </row>
    <row r="2340" spans="2:2" x14ac:dyDescent="0.2">
      <c r="B2340" s="37"/>
    </row>
    <row r="2341" spans="2:2" x14ac:dyDescent="0.2">
      <c r="B2341" s="37"/>
    </row>
    <row r="2342" spans="2:2" x14ac:dyDescent="0.2">
      <c r="B2342" s="37"/>
    </row>
    <row r="2343" spans="2:2" x14ac:dyDescent="0.2">
      <c r="B2343" s="37"/>
    </row>
    <row r="2344" spans="2:2" x14ac:dyDescent="0.2">
      <c r="B2344" s="37"/>
    </row>
    <row r="2345" spans="2:2" x14ac:dyDescent="0.2">
      <c r="B2345" s="37"/>
    </row>
    <row r="2346" spans="2:2" x14ac:dyDescent="0.2">
      <c r="B2346" s="37"/>
    </row>
    <row r="2347" spans="2:2" x14ac:dyDescent="0.2">
      <c r="B2347" s="37"/>
    </row>
    <row r="2348" spans="2:2" x14ac:dyDescent="0.2">
      <c r="B2348" s="37"/>
    </row>
    <row r="2349" spans="2:2" x14ac:dyDescent="0.2">
      <c r="B2349" s="37"/>
    </row>
    <row r="2350" spans="2:2" x14ac:dyDescent="0.2">
      <c r="B2350" s="37"/>
    </row>
    <row r="2351" spans="2:2" x14ac:dyDescent="0.2">
      <c r="B2351" s="37"/>
    </row>
    <row r="2352" spans="2:2" x14ac:dyDescent="0.2">
      <c r="B2352" s="37"/>
    </row>
    <row r="2353" spans="2:2" x14ac:dyDescent="0.2">
      <c r="B2353" s="37"/>
    </row>
    <row r="2354" spans="2:2" x14ac:dyDescent="0.2">
      <c r="B2354" s="37"/>
    </row>
    <row r="2355" spans="2:2" x14ac:dyDescent="0.2">
      <c r="B2355" s="37"/>
    </row>
    <row r="2356" spans="2:2" x14ac:dyDescent="0.2">
      <c r="B2356" s="37"/>
    </row>
    <row r="2357" spans="2:2" x14ac:dyDescent="0.2">
      <c r="B2357" s="37"/>
    </row>
    <row r="2358" spans="2:2" x14ac:dyDescent="0.2">
      <c r="B2358" s="37"/>
    </row>
    <row r="2359" spans="2:2" x14ac:dyDescent="0.2">
      <c r="B2359" s="37"/>
    </row>
    <row r="2360" spans="2:2" x14ac:dyDescent="0.2">
      <c r="B2360" s="37"/>
    </row>
    <row r="2361" spans="2:2" x14ac:dyDescent="0.2">
      <c r="B2361" s="37"/>
    </row>
    <row r="2362" spans="2:2" x14ac:dyDescent="0.2">
      <c r="B2362" s="37"/>
    </row>
    <row r="2363" spans="2:2" x14ac:dyDescent="0.2">
      <c r="B2363" s="37"/>
    </row>
    <row r="2364" spans="2:2" x14ac:dyDescent="0.2">
      <c r="B2364" s="37"/>
    </row>
    <row r="2365" spans="2:2" x14ac:dyDescent="0.2">
      <c r="B2365" s="37"/>
    </row>
    <row r="2366" spans="2:2" x14ac:dyDescent="0.2">
      <c r="B2366" s="37"/>
    </row>
    <row r="2367" spans="2:2" x14ac:dyDescent="0.2">
      <c r="B2367" s="37"/>
    </row>
    <row r="2368" spans="2:2" x14ac:dyDescent="0.2">
      <c r="B2368" s="37"/>
    </row>
    <row r="2369" spans="2:2" x14ac:dyDescent="0.2">
      <c r="B2369" s="37"/>
    </row>
    <row r="2370" spans="2:2" x14ac:dyDescent="0.2">
      <c r="B2370" s="37"/>
    </row>
    <row r="2371" spans="2:2" x14ac:dyDescent="0.2">
      <c r="B2371" s="37"/>
    </row>
    <row r="2372" spans="2:2" x14ac:dyDescent="0.2">
      <c r="B2372" s="37"/>
    </row>
    <row r="2373" spans="2:2" x14ac:dyDescent="0.2">
      <c r="B2373" s="37"/>
    </row>
    <row r="2374" spans="2:2" x14ac:dyDescent="0.2">
      <c r="B2374" s="37"/>
    </row>
    <row r="2375" spans="2:2" x14ac:dyDescent="0.2">
      <c r="B2375" s="37"/>
    </row>
    <row r="2376" spans="2:2" x14ac:dyDescent="0.2">
      <c r="B2376" s="37"/>
    </row>
    <row r="2377" spans="2:2" x14ac:dyDescent="0.2">
      <c r="B2377" s="37"/>
    </row>
    <row r="2378" spans="2:2" x14ac:dyDescent="0.2">
      <c r="B2378" s="37"/>
    </row>
    <row r="2379" spans="2:2" x14ac:dyDescent="0.2">
      <c r="B2379" s="37"/>
    </row>
    <row r="2380" spans="2:2" x14ac:dyDescent="0.2">
      <c r="B2380" s="37"/>
    </row>
    <row r="2381" spans="2:2" x14ac:dyDescent="0.2">
      <c r="B2381" s="37"/>
    </row>
    <row r="2382" spans="2:2" x14ac:dyDescent="0.2">
      <c r="B2382" s="37"/>
    </row>
    <row r="2383" spans="2:2" x14ac:dyDescent="0.2">
      <c r="B2383" s="37"/>
    </row>
    <row r="2384" spans="2:2" x14ac:dyDescent="0.2">
      <c r="B2384" s="37"/>
    </row>
    <row r="2385" spans="2:2" x14ac:dyDescent="0.2">
      <c r="B2385" s="37"/>
    </row>
    <row r="2386" spans="2:2" x14ac:dyDescent="0.2">
      <c r="B2386" s="37"/>
    </row>
    <row r="2387" spans="2:2" x14ac:dyDescent="0.2">
      <c r="B2387" s="37"/>
    </row>
    <row r="2388" spans="2:2" x14ac:dyDescent="0.2">
      <c r="B2388" s="37"/>
    </row>
    <row r="2389" spans="2:2" x14ac:dyDescent="0.2">
      <c r="B2389" s="37"/>
    </row>
    <row r="2390" spans="2:2" x14ac:dyDescent="0.2">
      <c r="B2390" s="37"/>
    </row>
    <row r="2391" spans="2:2" x14ac:dyDescent="0.2">
      <c r="B2391" s="37"/>
    </row>
    <row r="2392" spans="2:2" x14ac:dyDescent="0.2">
      <c r="B2392" s="37"/>
    </row>
    <row r="2393" spans="2:2" x14ac:dyDescent="0.2">
      <c r="B2393" s="37"/>
    </row>
    <row r="2394" spans="2:2" x14ac:dyDescent="0.2">
      <c r="B2394" s="37"/>
    </row>
    <row r="2395" spans="2:2" x14ac:dyDescent="0.2">
      <c r="B2395" s="37"/>
    </row>
    <row r="2396" spans="2:2" x14ac:dyDescent="0.2">
      <c r="B2396" s="37"/>
    </row>
    <row r="2397" spans="2:2" x14ac:dyDescent="0.2">
      <c r="B2397" s="37"/>
    </row>
    <row r="2398" spans="2:2" x14ac:dyDescent="0.2">
      <c r="B2398" s="37"/>
    </row>
    <row r="2399" spans="2:2" x14ac:dyDescent="0.2">
      <c r="B2399" s="37"/>
    </row>
    <row r="2400" spans="2:2" x14ac:dyDescent="0.2">
      <c r="B2400" s="37"/>
    </row>
    <row r="2401" spans="2:2" x14ac:dyDescent="0.2">
      <c r="B2401" s="37"/>
    </row>
    <row r="2402" spans="2:2" x14ac:dyDescent="0.2">
      <c r="B2402" s="37"/>
    </row>
    <row r="2403" spans="2:2" x14ac:dyDescent="0.2">
      <c r="B2403" s="37"/>
    </row>
    <row r="2404" spans="2:2" x14ac:dyDescent="0.2">
      <c r="B2404" s="37"/>
    </row>
    <row r="2405" spans="2:2" x14ac:dyDescent="0.2">
      <c r="B2405" s="37"/>
    </row>
    <row r="2406" spans="2:2" x14ac:dyDescent="0.2">
      <c r="B2406" s="37"/>
    </row>
    <row r="2407" spans="2:2" x14ac:dyDescent="0.2">
      <c r="B2407" s="37"/>
    </row>
    <row r="2408" spans="2:2" x14ac:dyDescent="0.2">
      <c r="B2408" s="37"/>
    </row>
    <row r="2409" spans="2:2" x14ac:dyDescent="0.2">
      <c r="B2409" s="37"/>
    </row>
    <row r="2410" spans="2:2" x14ac:dyDescent="0.2">
      <c r="B2410" s="37"/>
    </row>
    <row r="2411" spans="2:2" x14ac:dyDescent="0.2">
      <c r="B2411" s="37"/>
    </row>
    <row r="2412" spans="2:2" x14ac:dyDescent="0.2">
      <c r="B2412" s="37"/>
    </row>
    <row r="2413" spans="2:2" x14ac:dyDescent="0.2">
      <c r="B2413" s="37"/>
    </row>
    <row r="2414" spans="2:2" x14ac:dyDescent="0.2">
      <c r="B2414" s="37"/>
    </row>
    <row r="2415" spans="2:2" x14ac:dyDescent="0.2">
      <c r="B2415" s="37"/>
    </row>
    <row r="2416" spans="2:2" x14ac:dyDescent="0.2">
      <c r="B2416" s="37"/>
    </row>
    <row r="2417" spans="2:2" x14ac:dyDescent="0.2">
      <c r="B2417" s="37"/>
    </row>
    <row r="2418" spans="2:2" x14ac:dyDescent="0.2">
      <c r="B2418" s="37"/>
    </row>
    <row r="2419" spans="2:2" x14ac:dyDescent="0.2">
      <c r="B2419" s="37"/>
    </row>
    <row r="2420" spans="2:2" x14ac:dyDescent="0.2">
      <c r="B2420" s="37"/>
    </row>
    <row r="2421" spans="2:2" x14ac:dyDescent="0.2">
      <c r="B2421" s="37"/>
    </row>
    <row r="2422" spans="2:2" x14ac:dyDescent="0.2">
      <c r="B2422" s="37"/>
    </row>
    <row r="2423" spans="2:2" x14ac:dyDescent="0.2">
      <c r="B2423" s="37"/>
    </row>
    <row r="2424" spans="2:2" x14ac:dyDescent="0.2">
      <c r="B2424" s="37"/>
    </row>
    <row r="2425" spans="2:2" x14ac:dyDescent="0.2">
      <c r="B2425" s="37"/>
    </row>
    <row r="2426" spans="2:2" x14ac:dyDescent="0.2">
      <c r="B2426" s="37"/>
    </row>
    <row r="2427" spans="2:2" x14ac:dyDescent="0.2">
      <c r="B2427" s="37"/>
    </row>
    <row r="2428" spans="2:2" x14ac:dyDescent="0.2">
      <c r="B2428" s="37"/>
    </row>
    <row r="2429" spans="2:2" x14ac:dyDescent="0.2">
      <c r="B2429" s="37"/>
    </row>
    <row r="2430" spans="2:2" x14ac:dyDescent="0.2">
      <c r="B2430" s="37"/>
    </row>
    <row r="2431" spans="2:2" x14ac:dyDescent="0.2">
      <c r="B2431" s="37"/>
    </row>
    <row r="2432" spans="2:2" x14ac:dyDescent="0.2">
      <c r="B2432" s="37"/>
    </row>
    <row r="2433" spans="2:2" x14ac:dyDescent="0.2">
      <c r="B2433" s="37"/>
    </row>
    <row r="2434" spans="2:2" x14ac:dyDescent="0.2">
      <c r="B2434" s="37"/>
    </row>
    <row r="2435" spans="2:2" x14ac:dyDescent="0.2">
      <c r="B2435" s="37"/>
    </row>
    <row r="2436" spans="2:2" x14ac:dyDescent="0.2">
      <c r="B2436" s="37"/>
    </row>
    <row r="2437" spans="2:2" x14ac:dyDescent="0.2">
      <c r="B2437" s="37"/>
    </row>
    <row r="2438" spans="2:2" x14ac:dyDescent="0.2">
      <c r="B2438" s="37"/>
    </row>
    <row r="2439" spans="2:2" x14ac:dyDescent="0.2">
      <c r="B2439" s="37"/>
    </row>
    <row r="2440" spans="2:2" x14ac:dyDescent="0.2">
      <c r="B2440" s="37"/>
    </row>
    <row r="2441" spans="2:2" x14ac:dyDescent="0.2">
      <c r="B2441" s="37"/>
    </row>
    <row r="2442" spans="2:2" x14ac:dyDescent="0.2">
      <c r="B2442" s="37"/>
    </row>
    <row r="2443" spans="2:2" x14ac:dyDescent="0.2">
      <c r="B2443" s="37"/>
    </row>
    <row r="2444" spans="2:2" x14ac:dyDescent="0.2">
      <c r="B2444" s="37"/>
    </row>
    <row r="2445" spans="2:2" x14ac:dyDescent="0.2">
      <c r="B2445" s="37"/>
    </row>
    <row r="2446" spans="2:2" x14ac:dyDescent="0.2">
      <c r="B2446" s="37"/>
    </row>
    <row r="2447" spans="2:2" x14ac:dyDescent="0.2">
      <c r="B2447" s="37"/>
    </row>
    <row r="2448" spans="2:2" x14ac:dyDescent="0.2">
      <c r="B2448" s="37"/>
    </row>
    <row r="2449" spans="2:2" x14ac:dyDescent="0.2">
      <c r="B2449" s="37"/>
    </row>
    <row r="2450" spans="2:2" x14ac:dyDescent="0.2">
      <c r="B2450" s="37"/>
    </row>
    <row r="2451" spans="2:2" x14ac:dyDescent="0.2">
      <c r="B2451" s="37"/>
    </row>
    <row r="2452" spans="2:2" x14ac:dyDescent="0.2">
      <c r="B2452" s="37"/>
    </row>
    <row r="2453" spans="2:2" x14ac:dyDescent="0.2">
      <c r="B2453" s="37"/>
    </row>
    <row r="2454" spans="2:2" x14ac:dyDescent="0.2">
      <c r="B2454" s="37"/>
    </row>
    <row r="2455" spans="2:2" x14ac:dyDescent="0.2">
      <c r="B2455" s="37"/>
    </row>
    <row r="2456" spans="2:2" x14ac:dyDescent="0.2">
      <c r="B2456" s="37"/>
    </row>
    <row r="2457" spans="2:2" x14ac:dyDescent="0.2">
      <c r="B2457" s="37"/>
    </row>
    <row r="2458" spans="2:2" x14ac:dyDescent="0.2">
      <c r="B2458" s="37"/>
    </row>
    <row r="2459" spans="2:2" x14ac:dyDescent="0.2">
      <c r="B2459" s="37"/>
    </row>
    <row r="2460" spans="2:2" x14ac:dyDescent="0.2">
      <c r="B2460" s="37"/>
    </row>
    <row r="2461" spans="2:2" x14ac:dyDescent="0.2">
      <c r="B2461" s="37"/>
    </row>
    <row r="2462" spans="2:2" x14ac:dyDescent="0.2">
      <c r="B2462" s="37"/>
    </row>
    <row r="2463" spans="2:2" x14ac:dyDescent="0.2">
      <c r="B2463" s="37"/>
    </row>
    <row r="2464" spans="2:2" x14ac:dyDescent="0.2">
      <c r="B2464" s="37"/>
    </row>
    <row r="2465" spans="2:2" x14ac:dyDescent="0.2">
      <c r="B2465" s="37"/>
    </row>
    <row r="2466" spans="2:2" x14ac:dyDescent="0.2">
      <c r="B2466" s="37"/>
    </row>
    <row r="2467" spans="2:2" x14ac:dyDescent="0.2">
      <c r="B2467" s="37"/>
    </row>
    <row r="2468" spans="2:2" x14ac:dyDescent="0.2">
      <c r="B2468" s="37"/>
    </row>
    <row r="2469" spans="2:2" x14ac:dyDescent="0.2">
      <c r="B2469" s="37"/>
    </row>
    <row r="2470" spans="2:2" x14ac:dyDescent="0.2">
      <c r="B2470" s="37"/>
    </row>
    <row r="2471" spans="2:2" x14ac:dyDescent="0.2">
      <c r="B2471" s="37"/>
    </row>
    <row r="2472" spans="2:2" x14ac:dyDescent="0.2">
      <c r="B2472" s="37"/>
    </row>
    <row r="2473" spans="2:2" x14ac:dyDescent="0.2">
      <c r="B2473" s="37"/>
    </row>
    <row r="2474" spans="2:2" x14ac:dyDescent="0.2">
      <c r="B2474" s="37"/>
    </row>
    <row r="2475" spans="2:2" x14ac:dyDescent="0.2">
      <c r="B2475" s="37"/>
    </row>
    <row r="2476" spans="2:2" x14ac:dyDescent="0.2">
      <c r="B2476" s="37"/>
    </row>
    <row r="2477" spans="2:2" x14ac:dyDescent="0.2">
      <c r="B2477" s="37"/>
    </row>
    <row r="2478" spans="2:2" x14ac:dyDescent="0.2">
      <c r="B2478" s="37"/>
    </row>
    <row r="2479" spans="2:2" x14ac:dyDescent="0.2">
      <c r="B2479" s="37"/>
    </row>
    <row r="2480" spans="2:2" x14ac:dyDescent="0.2">
      <c r="B2480" s="37"/>
    </row>
    <row r="2481" spans="2:2" x14ac:dyDescent="0.2">
      <c r="B2481" s="37"/>
    </row>
    <row r="2482" spans="2:2" x14ac:dyDescent="0.2">
      <c r="B2482" s="37"/>
    </row>
    <row r="2483" spans="2:2" x14ac:dyDescent="0.2">
      <c r="B2483" s="37"/>
    </row>
    <row r="2484" spans="2:2" x14ac:dyDescent="0.2">
      <c r="B2484" s="37"/>
    </row>
    <row r="2485" spans="2:2" x14ac:dyDescent="0.2">
      <c r="B2485" s="37"/>
    </row>
    <row r="2486" spans="2:2" x14ac:dyDescent="0.2">
      <c r="B2486" s="37"/>
    </row>
    <row r="2487" spans="2:2" x14ac:dyDescent="0.2">
      <c r="B2487" s="37"/>
    </row>
    <row r="2488" spans="2:2" x14ac:dyDescent="0.2">
      <c r="B2488" s="37"/>
    </row>
    <row r="2489" spans="2:2" x14ac:dyDescent="0.2">
      <c r="B2489" s="37"/>
    </row>
    <row r="2490" spans="2:2" x14ac:dyDescent="0.2">
      <c r="B2490" s="37"/>
    </row>
    <row r="2491" spans="2:2" x14ac:dyDescent="0.2">
      <c r="B2491" s="37"/>
    </row>
    <row r="2492" spans="2:2" x14ac:dyDescent="0.2">
      <c r="B2492" s="37"/>
    </row>
    <row r="2493" spans="2:2" x14ac:dyDescent="0.2">
      <c r="B2493" s="37"/>
    </row>
    <row r="2494" spans="2:2" x14ac:dyDescent="0.2">
      <c r="B2494" s="37"/>
    </row>
    <row r="2495" spans="2:2" x14ac:dyDescent="0.2">
      <c r="B2495" s="37"/>
    </row>
    <row r="2496" spans="2:2" x14ac:dyDescent="0.2">
      <c r="B2496" s="37"/>
    </row>
    <row r="2497" spans="2:2" x14ac:dyDescent="0.2">
      <c r="B2497" s="37"/>
    </row>
    <row r="2498" spans="2:2" x14ac:dyDescent="0.2">
      <c r="B2498" s="37"/>
    </row>
    <row r="2499" spans="2:2" x14ac:dyDescent="0.2">
      <c r="B2499" s="37"/>
    </row>
    <row r="2500" spans="2:2" x14ac:dyDescent="0.2">
      <c r="B2500" s="37"/>
    </row>
    <row r="2501" spans="2:2" x14ac:dyDescent="0.2">
      <c r="B2501" s="37"/>
    </row>
    <row r="2502" spans="2:2" x14ac:dyDescent="0.2">
      <c r="B2502" s="37"/>
    </row>
    <row r="2503" spans="2:2" x14ac:dyDescent="0.2">
      <c r="B2503" s="37"/>
    </row>
    <row r="2504" spans="2:2" x14ac:dyDescent="0.2">
      <c r="B2504" s="37"/>
    </row>
    <row r="2505" spans="2:2" x14ac:dyDescent="0.2">
      <c r="B2505" s="37"/>
    </row>
    <row r="2506" spans="2:2" x14ac:dyDescent="0.2">
      <c r="B2506" s="37"/>
    </row>
    <row r="2507" spans="2:2" x14ac:dyDescent="0.2">
      <c r="B2507" s="37"/>
    </row>
    <row r="2508" spans="2:2" x14ac:dyDescent="0.2">
      <c r="B2508" s="37"/>
    </row>
    <row r="2509" spans="2:2" x14ac:dyDescent="0.2">
      <c r="B2509" s="37"/>
    </row>
    <row r="2510" spans="2:2" x14ac:dyDescent="0.2">
      <c r="B2510" s="37"/>
    </row>
    <row r="2511" spans="2:2" x14ac:dyDescent="0.2">
      <c r="B2511" s="37"/>
    </row>
    <row r="2512" spans="2:2" x14ac:dyDescent="0.2">
      <c r="B2512" s="37"/>
    </row>
    <row r="2513" spans="2:2" x14ac:dyDescent="0.2">
      <c r="B2513" s="37"/>
    </row>
    <row r="2514" spans="2:2" x14ac:dyDescent="0.2">
      <c r="B2514" s="37"/>
    </row>
    <row r="2515" spans="2:2" x14ac:dyDescent="0.2">
      <c r="B2515" s="37"/>
    </row>
    <row r="2516" spans="2:2" x14ac:dyDescent="0.2">
      <c r="B2516" s="37"/>
    </row>
    <row r="2517" spans="2:2" x14ac:dyDescent="0.2">
      <c r="B2517" s="37"/>
    </row>
    <row r="2518" spans="2:2" x14ac:dyDescent="0.2">
      <c r="B2518" s="37"/>
    </row>
    <row r="2519" spans="2:2" x14ac:dyDescent="0.2">
      <c r="B2519" s="37"/>
    </row>
    <row r="2520" spans="2:2" x14ac:dyDescent="0.2">
      <c r="B2520" s="37"/>
    </row>
    <row r="2521" spans="2:2" x14ac:dyDescent="0.2">
      <c r="B2521" s="37"/>
    </row>
    <row r="2522" spans="2:2" x14ac:dyDescent="0.2">
      <c r="B2522" s="37"/>
    </row>
    <row r="2523" spans="2:2" x14ac:dyDescent="0.2">
      <c r="B2523" s="37"/>
    </row>
    <row r="2524" spans="2:2" x14ac:dyDescent="0.2">
      <c r="B2524" s="37"/>
    </row>
    <row r="2525" spans="2:2" x14ac:dyDescent="0.2">
      <c r="B2525" s="37"/>
    </row>
    <row r="2526" spans="2:2" x14ac:dyDescent="0.2">
      <c r="B2526" s="37"/>
    </row>
    <row r="2527" spans="2:2" x14ac:dyDescent="0.2">
      <c r="B2527" s="37"/>
    </row>
    <row r="2528" spans="2:2" x14ac:dyDescent="0.2">
      <c r="B2528" s="37"/>
    </row>
    <row r="2529" spans="2:2" x14ac:dyDescent="0.2">
      <c r="B2529" s="37"/>
    </row>
    <row r="2530" spans="2:2" x14ac:dyDescent="0.2">
      <c r="B2530" s="37"/>
    </row>
    <row r="2531" spans="2:2" x14ac:dyDescent="0.2">
      <c r="B2531" s="37"/>
    </row>
    <row r="2532" spans="2:2" x14ac:dyDescent="0.2">
      <c r="B2532" s="37"/>
    </row>
    <row r="2533" spans="2:2" x14ac:dyDescent="0.2">
      <c r="B2533" s="37"/>
    </row>
    <row r="2534" spans="2:2" x14ac:dyDescent="0.2">
      <c r="B2534" s="37"/>
    </row>
    <row r="2535" spans="2:2" x14ac:dyDescent="0.2">
      <c r="B2535" s="37"/>
    </row>
    <row r="2536" spans="2:2" x14ac:dyDescent="0.2">
      <c r="B2536" s="37"/>
    </row>
    <row r="2537" spans="2:2" x14ac:dyDescent="0.2">
      <c r="B2537" s="37"/>
    </row>
    <row r="2538" spans="2:2" x14ac:dyDescent="0.2">
      <c r="B2538" s="37"/>
    </row>
    <row r="2539" spans="2:2" x14ac:dyDescent="0.2">
      <c r="B2539" s="37"/>
    </row>
    <row r="2540" spans="2:2" x14ac:dyDescent="0.2">
      <c r="B2540" s="37"/>
    </row>
    <row r="2541" spans="2:2" x14ac:dyDescent="0.2">
      <c r="B2541" s="37"/>
    </row>
    <row r="2542" spans="2:2" x14ac:dyDescent="0.2">
      <c r="B2542" s="37"/>
    </row>
    <row r="2543" spans="2:2" x14ac:dyDescent="0.2">
      <c r="B2543" s="37"/>
    </row>
    <row r="2544" spans="2:2" x14ac:dyDescent="0.2">
      <c r="B2544" s="37"/>
    </row>
    <row r="2545" spans="2:2" x14ac:dyDescent="0.2">
      <c r="B2545" s="37"/>
    </row>
    <row r="2546" spans="2:2" x14ac:dyDescent="0.2">
      <c r="B2546" s="37"/>
    </row>
    <row r="2547" spans="2:2" x14ac:dyDescent="0.2">
      <c r="B2547" s="37"/>
    </row>
    <row r="2548" spans="2:2" x14ac:dyDescent="0.2">
      <c r="B2548" s="37"/>
    </row>
    <row r="2549" spans="2:2" x14ac:dyDescent="0.2">
      <c r="B2549" s="37"/>
    </row>
    <row r="2550" spans="2:2" x14ac:dyDescent="0.2">
      <c r="B2550" s="37"/>
    </row>
    <row r="2551" spans="2:2" x14ac:dyDescent="0.2">
      <c r="B2551" s="37"/>
    </row>
    <row r="2552" spans="2:2" x14ac:dyDescent="0.2">
      <c r="B2552" s="37"/>
    </row>
    <row r="2553" spans="2:2" x14ac:dyDescent="0.2">
      <c r="B2553" s="37"/>
    </row>
    <row r="2554" spans="2:2" x14ac:dyDescent="0.2">
      <c r="B2554" s="37"/>
    </row>
    <row r="2555" spans="2:2" x14ac:dyDescent="0.2">
      <c r="B2555" s="37"/>
    </row>
    <row r="2556" spans="2:2" x14ac:dyDescent="0.2">
      <c r="B2556" s="37"/>
    </row>
    <row r="2557" spans="2:2" x14ac:dyDescent="0.2">
      <c r="B2557" s="37"/>
    </row>
    <row r="2558" spans="2:2" x14ac:dyDescent="0.2">
      <c r="B2558" s="37"/>
    </row>
    <row r="2559" spans="2:2" x14ac:dyDescent="0.2">
      <c r="B2559" s="37"/>
    </row>
    <row r="2560" spans="2:2" x14ac:dyDescent="0.2">
      <c r="B2560" s="37"/>
    </row>
    <row r="2561" spans="2:2" x14ac:dyDescent="0.2">
      <c r="B2561" s="37"/>
    </row>
    <row r="2562" spans="2:2" x14ac:dyDescent="0.2">
      <c r="B2562" s="37"/>
    </row>
    <row r="2563" spans="2:2" x14ac:dyDescent="0.2">
      <c r="B2563" s="37"/>
    </row>
    <row r="2564" spans="2:2" x14ac:dyDescent="0.2">
      <c r="B2564" s="37"/>
    </row>
    <row r="2565" spans="2:2" x14ac:dyDescent="0.2">
      <c r="B2565" s="37"/>
    </row>
    <row r="2566" spans="2:2" x14ac:dyDescent="0.2">
      <c r="B2566" s="37"/>
    </row>
    <row r="2567" spans="2:2" x14ac:dyDescent="0.2">
      <c r="B2567" s="37"/>
    </row>
    <row r="2568" spans="2:2" x14ac:dyDescent="0.2">
      <c r="B2568" s="37"/>
    </row>
    <row r="2569" spans="2:2" x14ac:dyDescent="0.2">
      <c r="B2569" s="37"/>
    </row>
    <row r="2570" spans="2:2" x14ac:dyDescent="0.2">
      <c r="B2570" s="37"/>
    </row>
    <row r="2571" spans="2:2" x14ac:dyDescent="0.2">
      <c r="B2571" s="37"/>
    </row>
    <row r="2572" spans="2:2" x14ac:dyDescent="0.2">
      <c r="B2572" s="37"/>
    </row>
    <row r="2573" spans="2:2" x14ac:dyDescent="0.2">
      <c r="B2573" s="37"/>
    </row>
    <row r="2574" spans="2:2" x14ac:dyDescent="0.2">
      <c r="B2574" s="37"/>
    </row>
    <row r="2575" spans="2:2" x14ac:dyDescent="0.2">
      <c r="B2575" s="37"/>
    </row>
    <row r="2576" spans="2:2" x14ac:dyDescent="0.2">
      <c r="B2576" s="37"/>
    </row>
    <row r="2577" spans="2:2" x14ac:dyDescent="0.2">
      <c r="B2577" s="37"/>
    </row>
    <row r="2578" spans="2:2" x14ac:dyDescent="0.2">
      <c r="B2578" s="37"/>
    </row>
    <row r="2579" spans="2:2" x14ac:dyDescent="0.2">
      <c r="B2579" s="37"/>
    </row>
    <row r="2580" spans="2:2" x14ac:dyDescent="0.2">
      <c r="B2580" s="37"/>
    </row>
    <row r="2581" spans="2:2" x14ac:dyDescent="0.2">
      <c r="B2581" s="37"/>
    </row>
    <row r="2582" spans="2:2" x14ac:dyDescent="0.2">
      <c r="B2582" s="37"/>
    </row>
    <row r="2583" spans="2:2" x14ac:dyDescent="0.2">
      <c r="B2583" s="37"/>
    </row>
    <row r="2584" spans="2:2" x14ac:dyDescent="0.2">
      <c r="B2584" s="37"/>
    </row>
    <row r="2585" spans="2:2" x14ac:dyDescent="0.2">
      <c r="B2585" s="37"/>
    </row>
    <row r="2586" spans="2:2" x14ac:dyDescent="0.2">
      <c r="B2586" s="37"/>
    </row>
    <row r="2587" spans="2:2" x14ac:dyDescent="0.2">
      <c r="B2587" s="37"/>
    </row>
    <row r="2588" spans="2:2" x14ac:dyDescent="0.2">
      <c r="B2588" s="37"/>
    </row>
    <row r="2589" spans="2:2" x14ac:dyDescent="0.2">
      <c r="B2589" s="37"/>
    </row>
    <row r="2590" spans="2:2" x14ac:dyDescent="0.2">
      <c r="B2590" s="37"/>
    </row>
    <row r="2591" spans="2:2" x14ac:dyDescent="0.2">
      <c r="B2591" s="37"/>
    </row>
    <row r="2592" spans="2:2" x14ac:dyDescent="0.2">
      <c r="B2592" s="37"/>
    </row>
    <row r="2593" spans="2:2" x14ac:dyDescent="0.2">
      <c r="B2593" s="37"/>
    </row>
    <row r="2594" spans="2:2" x14ac:dyDescent="0.2">
      <c r="B2594" s="37"/>
    </row>
    <row r="2595" spans="2:2" x14ac:dyDescent="0.2">
      <c r="B2595" s="37"/>
    </row>
    <row r="2596" spans="2:2" x14ac:dyDescent="0.2">
      <c r="B2596" s="37"/>
    </row>
    <row r="2597" spans="2:2" x14ac:dyDescent="0.2">
      <c r="B2597" s="37"/>
    </row>
    <row r="2598" spans="2:2" x14ac:dyDescent="0.2">
      <c r="B2598" s="37"/>
    </row>
    <row r="2599" spans="2:2" x14ac:dyDescent="0.2">
      <c r="B2599" s="37"/>
    </row>
    <row r="2600" spans="2:2" x14ac:dyDescent="0.2">
      <c r="B2600" s="37"/>
    </row>
    <row r="2601" spans="2:2" x14ac:dyDescent="0.2">
      <c r="B2601" s="37"/>
    </row>
    <row r="2602" spans="2:2" x14ac:dyDescent="0.2">
      <c r="B2602" s="37"/>
    </row>
    <row r="2603" spans="2:2" x14ac:dyDescent="0.2">
      <c r="B2603" s="37"/>
    </row>
    <row r="2604" spans="2:2" x14ac:dyDescent="0.2">
      <c r="B2604" s="37"/>
    </row>
    <row r="2605" spans="2:2" x14ac:dyDescent="0.2">
      <c r="B2605" s="37"/>
    </row>
    <row r="2606" spans="2:2" x14ac:dyDescent="0.2">
      <c r="B2606" s="37"/>
    </row>
    <row r="2607" spans="2:2" x14ac:dyDescent="0.2">
      <c r="B2607" s="37"/>
    </row>
    <row r="2608" spans="2:2" x14ac:dyDescent="0.2">
      <c r="B2608" s="37"/>
    </row>
    <row r="2609" spans="2:2" x14ac:dyDescent="0.2">
      <c r="B2609" s="37"/>
    </row>
    <row r="2610" spans="2:2" x14ac:dyDescent="0.2">
      <c r="B2610" s="37"/>
    </row>
    <row r="2611" spans="2:2" x14ac:dyDescent="0.2">
      <c r="B2611" s="37"/>
    </row>
    <row r="2612" spans="2:2" x14ac:dyDescent="0.2">
      <c r="B2612" s="37"/>
    </row>
    <row r="2613" spans="2:2" x14ac:dyDescent="0.2">
      <c r="B2613" s="37"/>
    </row>
    <row r="2614" spans="2:2" x14ac:dyDescent="0.2">
      <c r="B2614" s="37"/>
    </row>
    <row r="2615" spans="2:2" x14ac:dyDescent="0.2">
      <c r="B2615" s="37"/>
    </row>
    <row r="2616" spans="2:2" x14ac:dyDescent="0.2">
      <c r="B2616" s="37"/>
    </row>
    <row r="2617" spans="2:2" x14ac:dyDescent="0.2">
      <c r="B2617" s="37"/>
    </row>
    <row r="2618" spans="2:2" x14ac:dyDescent="0.2">
      <c r="B2618" s="37"/>
    </row>
    <row r="2619" spans="2:2" x14ac:dyDescent="0.2">
      <c r="B2619" s="37"/>
    </row>
    <row r="2620" spans="2:2" x14ac:dyDescent="0.2">
      <c r="B2620" s="37"/>
    </row>
    <row r="2621" spans="2:2" x14ac:dyDescent="0.2">
      <c r="B2621" s="37"/>
    </row>
    <row r="2622" spans="2:2" x14ac:dyDescent="0.2">
      <c r="B2622" s="37"/>
    </row>
    <row r="2623" spans="2:2" x14ac:dyDescent="0.2">
      <c r="B2623" s="37"/>
    </row>
    <row r="2624" spans="2:2" x14ac:dyDescent="0.2">
      <c r="B2624" s="37"/>
    </row>
    <row r="2625" spans="2:2" x14ac:dyDescent="0.2">
      <c r="B2625" s="37"/>
    </row>
    <row r="2626" spans="2:2" x14ac:dyDescent="0.2">
      <c r="B2626" s="37"/>
    </row>
    <row r="2627" spans="2:2" x14ac:dyDescent="0.2">
      <c r="B2627" s="37"/>
    </row>
    <row r="2628" spans="2:2" x14ac:dyDescent="0.2">
      <c r="B2628" s="37"/>
    </row>
    <row r="2629" spans="2:2" x14ac:dyDescent="0.2">
      <c r="B2629" s="37"/>
    </row>
    <row r="2630" spans="2:2" x14ac:dyDescent="0.2">
      <c r="B2630" s="37"/>
    </row>
    <row r="2631" spans="2:2" x14ac:dyDescent="0.2">
      <c r="B2631" s="37"/>
    </row>
    <row r="2632" spans="2:2" x14ac:dyDescent="0.2">
      <c r="B2632" s="37"/>
    </row>
    <row r="2633" spans="2:2" x14ac:dyDescent="0.2">
      <c r="B2633" s="37"/>
    </row>
    <row r="2634" spans="2:2" x14ac:dyDescent="0.2">
      <c r="B2634" s="37"/>
    </row>
    <row r="2635" spans="2:2" x14ac:dyDescent="0.2">
      <c r="B2635" s="37"/>
    </row>
    <row r="2636" spans="2:2" x14ac:dyDescent="0.2">
      <c r="B2636" s="37"/>
    </row>
    <row r="2637" spans="2:2" x14ac:dyDescent="0.2">
      <c r="B2637" s="37"/>
    </row>
    <row r="2638" spans="2:2" x14ac:dyDescent="0.2">
      <c r="B2638" s="37"/>
    </row>
    <row r="2639" spans="2:2" x14ac:dyDescent="0.2">
      <c r="B2639" s="37"/>
    </row>
    <row r="2640" spans="2:2" x14ac:dyDescent="0.2">
      <c r="B2640" s="37"/>
    </row>
    <row r="2641" spans="2:2" x14ac:dyDescent="0.2">
      <c r="B2641" s="37"/>
    </row>
    <row r="2642" spans="2:2" x14ac:dyDescent="0.2">
      <c r="B2642" s="37"/>
    </row>
    <row r="2643" spans="2:2" x14ac:dyDescent="0.2">
      <c r="B2643" s="37"/>
    </row>
    <row r="2644" spans="2:2" x14ac:dyDescent="0.2">
      <c r="B2644" s="37"/>
    </row>
    <row r="2645" spans="2:2" x14ac:dyDescent="0.2">
      <c r="B2645" s="37"/>
    </row>
    <row r="2646" spans="2:2" x14ac:dyDescent="0.2">
      <c r="B2646" s="37"/>
    </row>
    <row r="2647" spans="2:2" x14ac:dyDescent="0.2">
      <c r="B2647" s="37"/>
    </row>
    <row r="2648" spans="2:2" x14ac:dyDescent="0.2">
      <c r="B2648" s="37"/>
    </row>
    <row r="2649" spans="2:2" x14ac:dyDescent="0.2">
      <c r="B2649" s="37"/>
    </row>
    <row r="2650" spans="2:2" x14ac:dyDescent="0.2">
      <c r="B2650" s="37"/>
    </row>
    <row r="2651" spans="2:2" x14ac:dyDescent="0.2">
      <c r="B2651" s="37"/>
    </row>
    <row r="2652" spans="2:2" x14ac:dyDescent="0.2">
      <c r="B2652" s="37"/>
    </row>
    <row r="2653" spans="2:2" x14ac:dyDescent="0.2">
      <c r="B2653" s="37"/>
    </row>
    <row r="2654" spans="2:2" x14ac:dyDescent="0.2">
      <c r="B2654" s="37"/>
    </row>
    <row r="2655" spans="2:2" x14ac:dyDescent="0.2">
      <c r="B2655" s="37"/>
    </row>
    <row r="2656" spans="2:2" x14ac:dyDescent="0.2">
      <c r="B2656" s="37"/>
    </row>
    <row r="2657" spans="2:2" x14ac:dyDescent="0.2">
      <c r="B2657" s="37"/>
    </row>
    <row r="2658" spans="2:2" x14ac:dyDescent="0.2">
      <c r="B2658" s="37"/>
    </row>
    <row r="2659" spans="2:2" x14ac:dyDescent="0.2">
      <c r="B2659" s="37"/>
    </row>
    <row r="2660" spans="2:2" x14ac:dyDescent="0.2">
      <c r="B2660" s="37"/>
    </row>
    <row r="2661" spans="2:2" x14ac:dyDescent="0.2">
      <c r="B2661" s="37"/>
    </row>
    <row r="2662" spans="2:2" x14ac:dyDescent="0.2">
      <c r="B2662" s="37"/>
    </row>
    <row r="2663" spans="2:2" x14ac:dyDescent="0.2">
      <c r="B2663" s="37"/>
    </row>
    <row r="2664" spans="2:2" x14ac:dyDescent="0.2">
      <c r="B2664" s="37"/>
    </row>
    <row r="2665" spans="2:2" x14ac:dyDescent="0.2">
      <c r="B2665" s="37"/>
    </row>
    <row r="2666" spans="2:2" x14ac:dyDescent="0.2">
      <c r="B2666" s="37"/>
    </row>
    <row r="2667" spans="2:2" x14ac:dyDescent="0.2">
      <c r="B2667" s="37"/>
    </row>
    <row r="2668" spans="2:2" x14ac:dyDescent="0.2">
      <c r="B2668" s="37"/>
    </row>
    <row r="2669" spans="2:2" x14ac:dyDescent="0.2">
      <c r="B2669" s="37"/>
    </row>
    <row r="2670" spans="2:2" x14ac:dyDescent="0.2">
      <c r="B2670" s="37"/>
    </row>
    <row r="2671" spans="2:2" x14ac:dyDescent="0.2">
      <c r="B2671" s="37"/>
    </row>
    <row r="2672" spans="2:2" x14ac:dyDescent="0.2">
      <c r="B2672" s="37"/>
    </row>
    <row r="2673" spans="2:2" x14ac:dyDescent="0.2">
      <c r="B2673" s="37"/>
    </row>
    <row r="2674" spans="2:2" x14ac:dyDescent="0.2">
      <c r="B2674" s="37"/>
    </row>
    <row r="2675" spans="2:2" x14ac:dyDescent="0.2">
      <c r="B2675" s="37"/>
    </row>
    <row r="2676" spans="2:2" x14ac:dyDescent="0.2">
      <c r="B2676" s="37"/>
    </row>
    <row r="2677" spans="2:2" x14ac:dyDescent="0.2">
      <c r="B2677" s="37"/>
    </row>
    <row r="2678" spans="2:2" x14ac:dyDescent="0.2">
      <c r="B2678" s="37"/>
    </row>
    <row r="2679" spans="2:2" x14ac:dyDescent="0.2">
      <c r="B2679" s="37"/>
    </row>
    <row r="2680" spans="2:2" x14ac:dyDescent="0.2">
      <c r="B2680" s="37"/>
    </row>
    <row r="2681" spans="2:2" x14ac:dyDescent="0.2">
      <c r="B2681" s="37"/>
    </row>
    <row r="2682" spans="2:2" x14ac:dyDescent="0.2">
      <c r="B2682" s="37"/>
    </row>
    <row r="2683" spans="2:2" x14ac:dyDescent="0.2">
      <c r="B2683" s="37"/>
    </row>
    <row r="2684" spans="2:2" x14ac:dyDescent="0.2">
      <c r="B2684" s="37"/>
    </row>
    <row r="2685" spans="2:2" x14ac:dyDescent="0.2">
      <c r="B2685" s="37"/>
    </row>
    <row r="2686" spans="2:2" x14ac:dyDescent="0.2">
      <c r="B2686" s="37"/>
    </row>
    <row r="2687" spans="2:2" x14ac:dyDescent="0.2">
      <c r="B2687" s="37"/>
    </row>
    <row r="2688" spans="2:2" x14ac:dyDescent="0.2">
      <c r="B2688" s="37"/>
    </row>
    <row r="2689" spans="2:2" x14ac:dyDescent="0.2">
      <c r="B2689" s="37"/>
    </row>
    <row r="2690" spans="2:2" x14ac:dyDescent="0.2">
      <c r="B2690" s="37"/>
    </row>
    <row r="2691" spans="2:2" x14ac:dyDescent="0.2">
      <c r="B2691" s="37"/>
    </row>
    <row r="2692" spans="2:2" x14ac:dyDescent="0.2">
      <c r="B2692" s="37"/>
    </row>
    <row r="2693" spans="2:2" x14ac:dyDescent="0.2">
      <c r="B2693" s="37"/>
    </row>
    <row r="2694" spans="2:2" x14ac:dyDescent="0.2">
      <c r="B2694" s="37"/>
    </row>
    <row r="2695" spans="2:2" x14ac:dyDescent="0.2">
      <c r="B2695" s="37"/>
    </row>
    <row r="2696" spans="2:2" x14ac:dyDescent="0.2">
      <c r="B2696" s="37"/>
    </row>
    <row r="2697" spans="2:2" x14ac:dyDescent="0.2">
      <c r="B2697" s="37"/>
    </row>
    <row r="2698" spans="2:2" x14ac:dyDescent="0.2">
      <c r="B2698" s="37"/>
    </row>
    <row r="2699" spans="2:2" x14ac:dyDescent="0.2">
      <c r="B2699" s="37"/>
    </row>
    <row r="2700" spans="2:2" x14ac:dyDescent="0.2">
      <c r="B2700" s="37"/>
    </row>
    <row r="2701" spans="2:2" x14ac:dyDescent="0.2">
      <c r="B2701" s="37"/>
    </row>
    <row r="2702" spans="2:2" x14ac:dyDescent="0.2">
      <c r="B2702" s="37"/>
    </row>
    <row r="2703" spans="2:2" x14ac:dyDescent="0.2">
      <c r="B2703" s="37"/>
    </row>
    <row r="2704" spans="2:2" x14ac:dyDescent="0.2">
      <c r="B2704" s="37"/>
    </row>
    <row r="2705" spans="2:2" x14ac:dyDescent="0.2">
      <c r="B2705" s="37"/>
    </row>
    <row r="2706" spans="2:2" x14ac:dyDescent="0.2">
      <c r="B2706" s="37"/>
    </row>
    <row r="2707" spans="2:2" x14ac:dyDescent="0.2">
      <c r="B2707" s="37"/>
    </row>
    <row r="2708" spans="2:2" x14ac:dyDescent="0.2">
      <c r="B2708" s="37"/>
    </row>
    <row r="2709" spans="2:2" x14ac:dyDescent="0.2">
      <c r="B2709" s="37"/>
    </row>
    <row r="2710" spans="2:2" x14ac:dyDescent="0.2">
      <c r="B2710" s="37"/>
    </row>
    <row r="2711" spans="2:2" x14ac:dyDescent="0.2">
      <c r="B2711" s="37"/>
    </row>
    <row r="2712" spans="2:2" x14ac:dyDescent="0.2">
      <c r="B2712" s="37"/>
    </row>
    <row r="2713" spans="2:2" x14ac:dyDescent="0.2">
      <c r="B2713" s="37"/>
    </row>
    <row r="2714" spans="2:2" x14ac:dyDescent="0.2">
      <c r="B2714" s="37"/>
    </row>
    <row r="2715" spans="2:2" x14ac:dyDescent="0.2">
      <c r="B2715" s="37"/>
    </row>
    <row r="2716" spans="2:2" x14ac:dyDescent="0.2">
      <c r="B2716" s="37"/>
    </row>
    <row r="2717" spans="2:2" x14ac:dyDescent="0.2">
      <c r="B2717" s="37"/>
    </row>
    <row r="2718" spans="2:2" x14ac:dyDescent="0.2">
      <c r="B2718" s="37"/>
    </row>
    <row r="2719" spans="2:2" x14ac:dyDescent="0.2">
      <c r="B2719" s="37"/>
    </row>
    <row r="2720" spans="2:2" x14ac:dyDescent="0.2">
      <c r="B2720" s="37"/>
    </row>
    <row r="2721" spans="2:2" x14ac:dyDescent="0.2">
      <c r="B2721" s="37"/>
    </row>
    <row r="2722" spans="2:2" x14ac:dyDescent="0.2">
      <c r="B2722" s="37"/>
    </row>
    <row r="2723" spans="2:2" x14ac:dyDescent="0.2">
      <c r="B2723" s="37"/>
    </row>
    <row r="2724" spans="2:2" x14ac:dyDescent="0.2">
      <c r="B2724" s="37"/>
    </row>
    <row r="2725" spans="2:2" x14ac:dyDescent="0.2">
      <c r="B2725" s="37"/>
    </row>
    <row r="2726" spans="2:2" x14ac:dyDescent="0.2">
      <c r="B2726" s="37"/>
    </row>
    <row r="2727" spans="2:2" x14ac:dyDescent="0.2">
      <c r="B2727" s="37"/>
    </row>
    <row r="2728" spans="2:2" x14ac:dyDescent="0.2">
      <c r="B2728" s="37"/>
    </row>
    <row r="2729" spans="2:2" x14ac:dyDescent="0.2">
      <c r="B2729" s="37"/>
    </row>
    <row r="2730" spans="2:2" x14ac:dyDescent="0.2">
      <c r="B2730" s="37"/>
    </row>
    <row r="2731" spans="2:2" x14ac:dyDescent="0.2">
      <c r="B2731" s="37"/>
    </row>
    <row r="2732" spans="2:2" x14ac:dyDescent="0.2">
      <c r="B2732" s="37"/>
    </row>
    <row r="2733" spans="2:2" x14ac:dyDescent="0.2">
      <c r="B2733" s="37"/>
    </row>
    <row r="2734" spans="2:2" x14ac:dyDescent="0.2">
      <c r="B2734" s="37"/>
    </row>
    <row r="2735" spans="2:2" x14ac:dyDescent="0.2">
      <c r="B2735" s="37"/>
    </row>
    <row r="2736" spans="2:2" x14ac:dyDescent="0.2">
      <c r="B2736" s="37"/>
    </row>
    <row r="2737" spans="2:2" x14ac:dyDescent="0.2">
      <c r="B2737" s="37"/>
    </row>
    <row r="2738" spans="2:2" x14ac:dyDescent="0.2">
      <c r="B2738" s="37"/>
    </row>
    <row r="2739" spans="2:2" x14ac:dyDescent="0.2">
      <c r="B2739" s="37"/>
    </row>
    <row r="2740" spans="2:2" x14ac:dyDescent="0.2">
      <c r="B2740" s="37"/>
    </row>
    <row r="2741" spans="2:2" x14ac:dyDescent="0.2">
      <c r="B2741" s="37"/>
    </row>
    <row r="2742" spans="2:2" x14ac:dyDescent="0.2">
      <c r="B2742" s="37"/>
    </row>
    <row r="2743" spans="2:2" x14ac:dyDescent="0.2">
      <c r="B2743" s="37"/>
    </row>
    <row r="2744" spans="2:2" x14ac:dyDescent="0.2">
      <c r="B2744" s="37"/>
    </row>
    <row r="2745" spans="2:2" x14ac:dyDescent="0.2">
      <c r="B2745" s="37"/>
    </row>
    <row r="2746" spans="2:2" x14ac:dyDescent="0.2">
      <c r="B2746" s="37"/>
    </row>
    <row r="2747" spans="2:2" x14ac:dyDescent="0.2">
      <c r="B2747" s="37"/>
    </row>
    <row r="2748" spans="2:2" x14ac:dyDescent="0.2">
      <c r="B2748" s="37"/>
    </row>
    <row r="2749" spans="2:2" x14ac:dyDescent="0.2">
      <c r="B2749" s="37"/>
    </row>
    <row r="2750" spans="2:2" x14ac:dyDescent="0.2">
      <c r="B2750" s="37"/>
    </row>
    <row r="2751" spans="2:2" x14ac:dyDescent="0.2">
      <c r="B2751" s="37"/>
    </row>
    <row r="2752" spans="2:2" x14ac:dyDescent="0.2">
      <c r="B2752" s="37"/>
    </row>
    <row r="2753" spans="2:2" x14ac:dyDescent="0.2">
      <c r="B2753" s="37"/>
    </row>
    <row r="2754" spans="2:2" x14ac:dyDescent="0.2">
      <c r="B2754" s="37"/>
    </row>
    <row r="2755" spans="2:2" x14ac:dyDescent="0.2">
      <c r="B2755" s="37"/>
    </row>
    <row r="2756" spans="2:2" x14ac:dyDescent="0.2">
      <c r="B2756" s="37"/>
    </row>
    <row r="2757" spans="2:2" x14ac:dyDescent="0.2">
      <c r="B2757" s="37"/>
    </row>
    <row r="2758" spans="2:2" x14ac:dyDescent="0.2">
      <c r="B2758" s="37"/>
    </row>
    <row r="2759" spans="2:2" x14ac:dyDescent="0.2">
      <c r="B2759" s="37"/>
    </row>
    <row r="2760" spans="2:2" x14ac:dyDescent="0.2">
      <c r="B2760" s="37"/>
    </row>
    <row r="2761" spans="2:2" x14ac:dyDescent="0.2">
      <c r="B2761" s="37"/>
    </row>
    <row r="2762" spans="2:2" x14ac:dyDescent="0.2">
      <c r="B2762" s="37"/>
    </row>
    <row r="2763" spans="2:2" x14ac:dyDescent="0.2">
      <c r="B2763" s="37"/>
    </row>
    <row r="2764" spans="2:2" x14ac:dyDescent="0.2">
      <c r="B2764" s="37"/>
    </row>
    <row r="2765" spans="2:2" x14ac:dyDescent="0.2">
      <c r="B2765" s="37"/>
    </row>
    <row r="2766" spans="2:2" x14ac:dyDescent="0.2">
      <c r="B2766" s="37"/>
    </row>
    <row r="2767" spans="2:2" x14ac:dyDescent="0.2">
      <c r="B2767" s="37"/>
    </row>
    <row r="2768" spans="2:2" x14ac:dyDescent="0.2">
      <c r="B2768" s="37"/>
    </row>
    <row r="2769" spans="2:2" x14ac:dyDescent="0.2">
      <c r="B2769" s="37"/>
    </row>
    <row r="2770" spans="2:2" x14ac:dyDescent="0.2">
      <c r="B2770" s="37"/>
    </row>
    <row r="2771" spans="2:2" x14ac:dyDescent="0.2">
      <c r="B2771" s="37"/>
    </row>
    <row r="2772" spans="2:2" x14ac:dyDescent="0.2">
      <c r="B2772" s="37"/>
    </row>
    <row r="2773" spans="2:2" x14ac:dyDescent="0.2">
      <c r="B2773" s="37"/>
    </row>
    <row r="2774" spans="2:2" x14ac:dyDescent="0.2">
      <c r="B2774" s="37"/>
    </row>
    <row r="2775" spans="2:2" x14ac:dyDescent="0.2">
      <c r="B2775" s="37"/>
    </row>
    <row r="2776" spans="2:2" x14ac:dyDescent="0.2">
      <c r="B2776" s="37"/>
    </row>
    <row r="2777" spans="2:2" x14ac:dyDescent="0.2">
      <c r="B2777" s="37"/>
    </row>
    <row r="2778" spans="2:2" x14ac:dyDescent="0.2">
      <c r="B2778" s="37"/>
    </row>
    <row r="2779" spans="2:2" x14ac:dyDescent="0.2">
      <c r="B2779" s="37"/>
    </row>
    <row r="2780" spans="2:2" x14ac:dyDescent="0.2">
      <c r="B2780" s="37"/>
    </row>
    <row r="2781" spans="2:2" x14ac:dyDescent="0.2">
      <c r="B2781" s="37"/>
    </row>
    <row r="2782" spans="2:2" x14ac:dyDescent="0.2">
      <c r="B2782" s="37"/>
    </row>
    <row r="2783" spans="2:2" x14ac:dyDescent="0.2">
      <c r="B2783" s="37"/>
    </row>
    <row r="2784" spans="2:2" x14ac:dyDescent="0.2">
      <c r="B2784" s="37"/>
    </row>
    <row r="2785" spans="2:2" x14ac:dyDescent="0.2">
      <c r="B2785" s="37"/>
    </row>
    <row r="2786" spans="2:2" x14ac:dyDescent="0.2">
      <c r="B2786" s="37"/>
    </row>
    <row r="2787" spans="2:2" x14ac:dyDescent="0.2">
      <c r="B2787" s="37"/>
    </row>
    <row r="2788" spans="2:2" x14ac:dyDescent="0.2">
      <c r="B2788" s="37"/>
    </row>
    <row r="2789" spans="2:2" x14ac:dyDescent="0.2">
      <c r="B2789" s="37"/>
    </row>
    <row r="2790" spans="2:2" x14ac:dyDescent="0.2">
      <c r="B2790" s="37"/>
    </row>
    <row r="2791" spans="2:2" x14ac:dyDescent="0.2">
      <c r="B2791" s="37"/>
    </row>
    <row r="2792" spans="2:2" x14ac:dyDescent="0.2">
      <c r="B2792" s="37"/>
    </row>
    <row r="2793" spans="2:2" x14ac:dyDescent="0.2">
      <c r="B2793" s="37"/>
    </row>
    <row r="2794" spans="2:2" x14ac:dyDescent="0.2">
      <c r="B2794" s="37"/>
    </row>
    <row r="2795" spans="2:2" x14ac:dyDescent="0.2">
      <c r="B2795" s="37"/>
    </row>
    <row r="2796" spans="2:2" x14ac:dyDescent="0.2">
      <c r="B2796" s="37"/>
    </row>
    <row r="2797" spans="2:2" x14ac:dyDescent="0.2">
      <c r="B2797" s="37"/>
    </row>
    <row r="2798" spans="2:2" x14ac:dyDescent="0.2">
      <c r="B2798" s="37"/>
    </row>
    <row r="2799" spans="2:2" x14ac:dyDescent="0.2">
      <c r="B2799" s="37"/>
    </row>
    <row r="2800" spans="2:2" x14ac:dyDescent="0.2">
      <c r="B2800" s="37"/>
    </row>
    <row r="2801" spans="2:2" x14ac:dyDescent="0.2">
      <c r="B2801" s="37"/>
    </row>
    <row r="2802" spans="2:2" x14ac:dyDescent="0.2">
      <c r="B2802" s="37"/>
    </row>
    <row r="2803" spans="2:2" x14ac:dyDescent="0.2">
      <c r="B2803" s="37"/>
    </row>
    <row r="2804" spans="2:2" x14ac:dyDescent="0.2">
      <c r="B2804" s="37"/>
    </row>
    <row r="2805" spans="2:2" x14ac:dyDescent="0.2">
      <c r="B2805" s="37"/>
    </row>
    <row r="2806" spans="2:2" x14ac:dyDescent="0.2">
      <c r="B2806" s="37"/>
    </row>
    <row r="2807" spans="2:2" x14ac:dyDescent="0.2">
      <c r="B2807" s="37"/>
    </row>
    <row r="2808" spans="2:2" x14ac:dyDescent="0.2">
      <c r="B2808" s="37"/>
    </row>
    <row r="2809" spans="2:2" x14ac:dyDescent="0.2">
      <c r="B2809" s="37"/>
    </row>
    <row r="2810" spans="2:2" x14ac:dyDescent="0.2">
      <c r="B2810" s="37"/>
    </row>
    <row r="2811" spans="2:2" x14ac:dyDescent="0.2">
      <c r="B2811" s="37"/>
    </row>
    <row r="2812" spans="2:2" x14ac:dyDescent="0.2">
      <c r="B2812" s="37"/>
    </row>
    <row r="2813" spans="2:2" x14ac:dyDescent="0.2">
      <c r="B2813" s="37"/>
    </row>
    <row r="2814" spans="2:2" x14ac:dyDescent="0.2">
      <c r="B2814" s="37"/>
    </row>
    <row r="2815" spans="2:2" x14ac:dyDescent="0.2">
      <c r="B2815" s="37"/>
    </row>
    <row r="2816" spans="2:2" x14ac:dyDescent="0.2">
      <c r="B2816" s="37"/>
    </row>
    <row r="2817" spans="2:2" x14ac:dyDescent="0.2">
      <c r="B2817" s="37"/>
    </row>
    <row r="2818" spans="2:2" x14ac:dyDescent="0.2">
      <c r="B2818" s="37"/>
    </row>
    <row r="2819" spans="2:2" x14ac:dyDescent="0.2">
      <c r="B2819" s="37"/>
    </row>
    <row r="2820" spans="2:2" x14ac:dyDescent="0.2">
      <c r="B2820" s="37"/>
    </row>
    <row r="2821" spans="2:2" x14ac:dyDescent="0.2">
      <c r="B2821" s="37"/>
    </row>
    <row r="2822" spans="2:2" x14ac:dyDescent="0.2">
      <c r="B2822" s="37"/>
    </row>
    <row r="2823" spans="2:2" x14ac:dyDescent="0.2">
      <c r="B2823" s="37"/>
    </row>
    <row r="2824" spans="2:2" x14ac:dyDescent="0.2">
      <c r="B2824" s="37"/>
    </row>
    <row r="2825" spans="2:2" x14ac:dyDescent="0.2">
      <c r="B2825" s="37"/>
    </row>
    <row r="2826" spans="2:2" x14ac:dyDescent="0.2">
      <c r="B2826" s="37"/>
    </row>
    <row r="2827" spans="2:2" x14ac:dyDescent="0.2">
      <c r="B2827" s="37"/>
    </row>
    <row r="2828" spans="2:2" x14ac:dyDescent="0.2">
      <c r="B2828" s="37"/>
    </row>
    <row r="2829" spans="2:2" x14ac:dyDescent="0.2">
      <c r="B2829" s="37"/>
    </row>
    <row r="2830" spans="2:2" x14ac:dyDescent="0.2">
      <c r="B2830" s="37"/>
    </row>
    <row r="2831" spans="2:2" x14ac:dyDescent="0.2">
      <c r="B2831" s="37"/>
    </row>
    <row r="2832" spans="2:2" x14ac:dyDescent="0.2">
      <c r="B2832" s="37"/>
    </row>
    <row r="2833" spans="2:2" x14ac:dyDescent="0.2">
      <c r="B2833" s="37"/>
    </row>
    <row r="2834" spans="2:2" x14ac:dyDescent="0.2">
      <c r="B2834" s="37"/>
    </row>
    <row r="2835" spans="2:2" x14ac:dyDescent="0.2">
      <c r="B2835" s="37"/>
    </row>
    <row r="2836" spans="2:2" x14ac:dyDescent="0.2">
      <c r="B2836" s="37"/>
    </row>
    <row r="2837" spans="2:2" x14ac:dyDescent="0.2">
      <c r="B2837" s="37"/>
    </row>
    <row r="2838" spans="2:2" x14ac:dyDescent="0.2">
      <c r="B2838" s="37"/>
    </row>
    <row r="2839" spans="2:2" x14ac:dyDescent="0.2">
      <c r="B2839" s="37"/>
    </row>
    <row r="2840" spans="2:2" x14ac:dyDescent="0.2">
      <c r="B2840" s="37"/>
    </row>
    <row r="2841" spans="2:2" x14ac:dyDescent="0.2">
      <c r="B2841" s="37"/>
    </row>
    <row r="2842" spans="2:2" x14ac:dyDescent="0.2">
      <c r="B2842" s="37"/>
    </row>
    <row r="2843" spans="2:2" x14ac:dyDescent="0.2">
      <c r="B2843" s="37"/>
    </row>
    <row r="2844" spans="2:2" x14ac:dyDescent="0.2">
      <c r="B2844" s="37"/>
    </row>
    <row r="2845" spans="2:2" x14ac:dyDescent="0.2">
      <c r="B2845" s="37"/>
    </row>
    <row r="2846" spans="2:2" x14ac:dyDescent="0.2">
      <c r="B2846" s="37"/>
    </row>
    <row r="2847" spans="2:2" x14ac:dyDescent="0.2">
      <c r="B2847" s="37"/>
    </row>
    <row r="2848" spans="2:2" x14ac:dyDescent="0.2">
      <c r="B2848" s="37"/>
    </row>
    <row r="2849" spans="2:2" x14ac:dyDescent="0.2">
      <c r="B2849" s="37"/>
    </row>
    <row r="2850" spans="2:2" x14ac:dyDescent="0.2">
      <c r="B2850" s="37"/>
    </row>
    <row r="2851" spans="2:2" x14ac:dyDescent="0.2">
      <c r="B2851" s="37"/>
    </row>
    <row r="2852" spans="2:2" x14ac:dyDescent="0.2">
      <c r="B2852" s="37"/>
    </row>
    <row r="2853" spans="2:2" x14ac:dyDescent="0.2">
      <c r="B2853" s="37"/>
    </row>
    <row r="2854" spans="2:2" x14ac:dyDescent="0.2">
      <c r="B2854" s="37"/>
    </row>
    <row r="2855" spans="2:2" x14ac:dyDescent="0.2">
      <c r="B2855" s="37"/>
    </row>
    <row r="2856" spans="2:2" x14ac:dyDescent="0.2">
      <c r="B2856" s="37"/>
    </row>
    <row r="2857" spans="2:2" x14ac:dyDescent="0.2">
      <c r="B2857" s="37"/>
    </row>
    <row r="2858" spans="2:2" x14ac:dyDescent="0.2">
      <c r="B2858" s="37"/>
    </row>
    <row r="2859" spans="2:2" x14ac:dyDescent="0.2">
      <c r="B2859" s="37"/>
    </row>
    <row r="2860" spans="2:2" x14ac:dyDescent="0.2">
      <c r="B2860" s="37"/>
    </row>
    <row r="2861" spans="2:2" x14ac:dyDescent="0.2">
      <c r="B2861" s="37"/>
    </row>
    <row r="2862" spans="2:2" x14ac:dyDescent="0.2">
      <c r="B2862" s="37"/>
    </row>
    <row r="2863" spans="2:2" x14ac:dyDescent="0.2">
      <c r="B2863" s="37"/>
    </row>
    <row r="2864" spans="2:2" x14ac:dyDescent="0.2">
      <c r="B2864" s="37"/>
    </row>
    <row r="2865" spans="2:2" x14ac:dyDescent="0.2">
      <c r="B2865" s="37"/>
    </row>
    <row r="2866" spans="2:2" x14ac:dyDescent="0.2">
      <c r="B2866" s="37"/>
    </row>
    <row r="2867" spans="2:2" x14ac:dyDescent="0.2">
      <c r="B2867" s="37"/>
    </row>
    <row r="2868" spans="2:2" x14ac:dyDescent="0.2">
      <c r="B2868" s="37"/>
    </row>
    <row r="2869" spans="2:2" x14ac:dyDescent="0.2">
      <c r="B2869" s="37"/>
    </row>
    <row r="2870" spans="2:2" x14ac:dyDescent="0.2">
      <c r="B2870" s="37"/>
    </row>
    <row r="2871" spans="2:2" x14ac:dyDescent="0.2">
      <c r="B2871" s="37"/>
    </row>
    <row r="2872" spans="2:2" x14ac:dyDescent="0.2">
      <c r="B2872" s="37"/>
    </row>
    <row r="2873" spans="2:2" x14ac:dyDescent="0.2">
      <c r="B2873" s="37"/>
    </row>
    <row r="2874" spans="2:2" x14ac:dyDescent="0.2">
      <c r="B2874" s="37"/>
    </row>
    <row r="2875" spans="2:2" x14ac:dyDescent="0.2">
      <c r="B2875" s="37"/>
    </row>
    <row r="2876" spans="2:2" x14ac:dyDescent="0.2">
      <c r="B2876" s="37"/>
    </row>
    <row r="2877" spans="2:2" x14ac:dyDescent="0.2">
      <c r="B2877" s="37"/>
    </row>
    <row r="2878" spans="2:2" x14ac:dyDescent="0.2">
      <c r="B2878" s="37"/>
    </row>
    <row r="2879" spans="2:2" x14ac:dyDescent="0.2">
      <c r="B2879" s="37"/>
    </row>
    <row r="2880" spans="2:2" x14ac:dyDescent="0.2">
      <c r="B2880" s="37"/>
    </row>
    <row r="2881" spans="2:2" x14ac:dyDescent="0.2">
      <c r="B2881" s="37"/>
    </row>
    <row r="2882" spans="2:2" x14ac:dyDescent="0.2">
      <c r="B2882" s="37"/>
    </row>
    <row r="2883" spans="2:2" x14ac:dyDescent="0.2">
      <c r="B2883" s="37"/>
    </row>
    <row r="2884" spans="2:2" x14ac:dyDescent="0.2">
      <c r="B2884" s="37"/>
    </row>
    <row r="2885" spans="2:2" x14ac:dyDescent="0.2">
      <c r="B2885" s="37"/>
    </row>
    <row r="2886" spans="2:2" x14ac:dyDescent="0.2">
      <c r="B2886" s="37"/>
    </row>
    <row r="2887" spans="2:2" x14ac:dyDescent="0.2">
      <c r="B2887" s="37"/>
    </row>
    <row r="2888" spans="2:2" x14ac:dyDescent="0.2">
      <c r="B2888" s="37"/>
    </row>
    <row r="2889" spans="2:2" x14ac:dyDescent="0.2">
      <c r="B2889" s="37"/>
    </row>
    <row r="2890" spans="2:2" x14ac:dyDescent="0.2">
      <c r="B2890" s="37"/>
    </row>
    <row r="2891" spans="2:2" x14ac:dyDescent="0.2">
      <c r="B2891" s="37"/>
    </row>
    <row r="2892" spans="2:2" x14ac:dyDescent="0.2">
      <c r="B2892" s="37"/>
    </row>
    <row r="2893" spans="2:2" x14ac:dyDescent="0.2">
      <c r="B2893" s="37"/>
    </row>
    <row r="2894" spans="2:2" x14ac:dyDescent="0.2">
      <c r="B2894" s="37"/>
    </row>
    <row r="2895" spans="2:2" x14ac:dyDescent="0.2">
      <c r="B2895" s="37"/>
    </row>
    <row r="2896" spans="2:2" x14ac:dyDescent="0.2">
      <c r="B2896" s="37"/>
    </row>
    <row r="2897" spans="2:2" x14ac:dyDescent="0.2">
      <c r="B2897" s="37"/>
    </row>
    <row r="2898" spans="2:2" x14ac:dyDescent="0.2">
      <c r="B2898" s="37"/>
    </row>
    <row r="2899" spans="2:2" x14ac:dyDescent="0.2">
      <c r="B2899" s="37"/>
    </row>
    <row r="2900" spans="2:2" x14ac:dyDescent="0.2">
      <c r="B2900" s="37"/>
    </row>
    <row r="2901" spans="2:2" x14ac:dyDescent="0.2">
      <c r="B2901" s="37"/>
    </row>
    <row r="2902" spans="2:2" x14ac:dyDescent="0.2">
      <c r="B2902" s="37"/>
    </row>
    <row r="2903" spans="2:2" x14ac:dyDescent="0.2">
      <c r="B2903" s="37"/>
    </row>
    <row r="2904" spans="2:2" x14ac:dyDescent="0.2">
      <c r="B2904" s="37"/>
    </row>
    <row r="2905" spans="2:2" x14ac:dyDescent="0.2">
      <c r="B2905" s="37"/>
    </row>
    <row r="2906" spans="2:2" x14ac:dyDescent="0.2">
      <c r="B2906" s="37"/>
    </row>
    <row r="2907" spans="2:2" x14ac:dyDescent="0.2">
      <c r="B2907" s="37"/>
    </row>
    <row r="2908" spans="2:2" x14ac:dyDescent="0.2">
      <c r="B2908" s="37"/>
    </row>
    <row r="2909" spans="2:2" x14ac:dyDescent="0.2">
      <c r="B2909" s="37"/>
    </row>
    <row r="2910" spans="2:2" x14ac:dyDescent="0.2">
      <c r="B2910" s="37"/>
    </row>
    <row r="2911" spans="2:2" x14ac:dyDescent="0.2">
      <c r="B2911" s="37"/>
    </row>
    <row r="2912" spans="2:2" x14ac:dyDescent="0.2">
      <c r="B2912" s="37"/>
    </row>
    <row r="2913" spans="2:2" x14ac:dyDescent="0.2">
      <c r="B2913" s="37"/>
    </row>
    <row r="2914" spans="2:2" x14ac:dyDescent="0.2">
      <c r="B2914" s="37"/>
    </row>
    <row r="2915" spans="2:2" x14ac:dyDescent="0.2">
      <c r="B2915" s="37"/>
    </row>
    <row r="2916" spans="2:2" x14ac:dyDescent="0.2">
      <c r="B2916" s="37"/>
    </row>
    <row r="2917" spans="2:2" x14ac:dyDescent="0.2">
      <c r="B2917" s="37"/>
    </row>
    <row r="2918" spans="2:2" x14ac:dyDescent="0.2">
      <c r="B2918" s="37"/>
    </row>
    <row r="2919" spans="2:2" x14ac:dyDescent="0.2">
      <c r="B2919" s="37"/>
    </row>
    <row r="2920" spans="2:2" x14ac:dyDescent="0.2">
      <c r="B2920" s="37"/>
    </row>
    <row r="2921" spans="2:2" x14ac:dyDescent="0.2">
      <c r="B2921" s="37"/>
    </row>
    <row r="2922" spans="2:2" x14ac:dyDescent="0.2">
      <c r="B2922" s="37"/>
    </row>
    <row r="2923" spans="2:2" x14ac:dyDescent="0.2">
      <c r="B2923" s="37"/>
    </row>
    <row r="2924" spans="2:2" x14ac:dyDescent="0.2">
      <c r="B2924" s="37"/>
    </row>
    <row r="2925" spans="2:2" x14ac:dyDescent="0.2">
      <c r="B2925" s="37"/>
    </row>
    <row r="2926" spans="2:2" x14ac:dyDescent="0.2">
      <c r="B2926" s="37"/>
    </row>
    <row r="2927" spans="2:2" x14ac:dyDescent="0.2">
      <c r="B2927" s="37"/>
    </row>
    <row r="2928" spans="2:2" x14ac:dyDescent="0.2">
      <c r="B2928" s="37"/>
    </row>
    <row r="2929" spans="2:2" x14ac:dyDescent="0.2">
      <c r="B2929" s="37"/>
    </row>
    <row r="2930" spans="2:2" x14ac:dyDescent="0.2">
      <c r="B2930" s="37"/>
    </row>
    <row r="2931" spans="2:2" x14ac:dyDescent="0.2">
      <c r="B2931" s="37"/>
    </row>
    <row r="2932" spans="2:2" x14ac:dyDescent="0.2">
      <c r="B2932" s="37"/>
    </row>
    <row r="2933" spans="2:2" x14ac:dyDescent="0.2">
      <c r="B2933" s="37"/>
    </row>
    <row r="2934" spans="2:2" x14ac:dyDescent="0.2">
      <c r="B2934" s="37"/>
    </row>
    <row r="2935" spans="2:2" x14ac:dyDescent="0.2">
      <c r="B2935" s="37"/>
    </row>
    <row r="2936" spans="2:2" x14ac:dyDescent="0.2">
      <c r="B2936" s="37"/>
    </row>
    <row r="2937" spans="2:2" x14ac:dyDescent="0.2">
      <c r="B2937" s="37"/>
    </row>
    <row r="2938" spans="2:2" x14ac:dyDescent="0.2">
      <c r="B2938" s="37"/>
    </row>
    <row r="2939" spans="2:2" x14ac:dyDescent="0.2">
      <c r="B2939" s="37"/>
    </row>
    <row r="2940" spans="2:2" x14ac:dyDescent="0.2">
      <c r="B2940" s="37"/>
    </row>
    <row r="2941" spans="2:2" x14ac:dyDescent="0.2">
      <c r="B2941" s="37"/>
    </row>
    <row r="2942" spans="2:2" x14ac:dyDescent="0.2">
      <c r="B2942" s="37"/>
    </row>
    <row r="2943" spans="2:2" x14ac:dyDescent="0.2">
      <c r="B2943" s="37"/>
    </row>
    <row r="2944" spans="2:2" x14ac:dyDescent="0.2">
      <c r="B2944" s="37"/>
    </row>
    <row r="2945" spans="2:2" x14ac:dyDescent="0.2">
      <c r="B2945" s="37"/>
    </row>
    <row r="2946" spans="2:2" x14ac:dyDescent="0.2">
      <c r="B2946" s="37"/>
    </row>
    <row r="2947" spans="2:2" x14ac:dyDescent="0.2">
      <c r="B2947" s="37"/>
    </row>
    <row r="2948" spans="2:2" x14ac:dyDescent="0.2">
      <c r="B2948" s="37"/>
    </row>
    <row r="2949" spans="2:2" x14ac:dyDescent="0.2">
      <c r="B2949" s="37"/>
    </row>
    <row r="2950" spans="2:2" x14ac:dyDescent="0.2">
      <c r="B2950" s="37"/>
    </row>
    <row r="2951" spans="2:2" x14ac:dyDescent="0.2">
      <c r="B2951" s="37"/>
    </row>
    <row r="2952" spans="2:2" x14ac:dyDescent="0.2">
      <c r="B2952" s="37"/>
    </row>
    <row r="2953" spans="2:2" x14ac:dyDescent="0.2">
      <c r="B2953" s="37"/>
    </row>
    <row r="2954" spans="2:2" x14ac:dyDescent="0.2">
      <c r="B2954" s="37"/>
    </row>
    <row r="2955" spans="2:2" x14ac:dyDescent="0.2">
      <c r="B2955" s="37"/>
    </row>
    <row r="2956" spans="2:2" x14ac:dyDescent="0.2">
      <c r="B2956" s="37"/>
    </row>
    <row r="2957" spans="2:2" x14ac:dyDescent="0.2">
      <c r="B2957" s="37"/>
    </row>
    <row r="2958" spans="2:2" x14ac:dyDescent="0.2">
      <c r="B2958" s="37"/>
    </row>
    <row r="2959" spans="2:2" x14ac:dyDescent="0.2">
      <c r="B2959" s="37"/>
    </row>
    <row r="2960" spans="2:2" x14ac:dyDescent="0.2">
      <c r="B2960" s="37"/>
    </row>
    <row r="2961" spans="2:2" x14ac:dyDescent="0.2">
      <c r="B2961" s="37"/>
    </row>
    <row r="2962" spans="2:2" x14ac:dyDescent="0.2">
      <c r="B2962" s="37"/>
    </row>
    <row r="2963" spans="2:2" x14ac:dyDescent="0.2">
      <c r="B2963" s="37"/>
    </row>
    <row r="2964" spans="2:2" x14ac:dyDescent="0.2">
      <c r="B2964" s="37"/>
    </row>
    <row r="2965" spans="2:2" x14ac:dyDescent="0.2">
      <c r="B2965" s="37"/>
    </row>
    <row r="2966" spans="2:2" x14ac:dyDescent="0.2">
      <c r="B2966" s="37"/>
    </row>
    <row r="2967" spans="2:2" x14ac:dyDescent="0.2">
      <c r="B2967" s="37"/>
    </row>
    <row r="2968" spans="2:2" x14ac:dyDescent="0.2">
      <c r="B2968" s="37"/>
    </row>
    <row r="2969" spans="2:2" x14ac:dyDescent="0.2">
      <c r="B2969" s="37"/>
    </row>
    <row r="2970" spans="2:2" x14ac:dyDescent="0.2">
      <c r="B2970" s="37"/>
    </row>
    <row r="2971" spans="2:2" x14ac:dyDescent="0.2">
      <c r="B2971" s="37"/>
    </row>
    <row r="2972" spans="2:2" x14ac:dyDescent="0.2">
      <c r="B2972" s="37"/>
    </row>
    <row r="2973" spans="2:2" x14ac:dyDescent="0.2">
      <c r="B2973" s="37"/>
    </row>
    <row r="2974" spans="2:2" x14ac:dyDescent="0.2">
      <c r="B2974" s="37"/>
    </row>
    <row r="2975" spans="2:2" x14ac:dyDescent="0.2">
      <c r="B2975" s="37"/>
    </row>
    <row r="2976" spans="2:2" x14ac:dyDescent="0.2">
      <c r="B2976" s="37"/>
    </row>
    <row r="2977" spans="2:2" x14ac:dyDescent="0.2">
      <c r="B2977" s="37"/>
    </row>
    <row r="2978" spans="2:2" x14ac:dyDescent="0.2">
      <c r="B2978" s="37"/>
    </row>
    <row r="2979" spans="2:2" x14ac:dyDescent="0.2">
      <c r="B2979" s="37"/>
    </row>
    <row r="2980" spans="2:2" x14ac:dyDescent="0.2">
      <c r="B2980" s="37"/>
    </row>
    <row r="2981" spans="2:2" x14ac:dyDescent="0.2">
      <c r="B2981" s="37"/>
    </row>
    <row r="2982" spans="2:2" x14ac:dyDescent="0.2">
      <c r="B2982" s="37"/>
    </row>
    <row r="2983" spans="2:2" x14ac:dyDescent="0.2">
      <c r="B2983" s="37"/>
    </row>
    <row r="2984" spans="2:2" x14ac:dyDescent="0.2">
      <c r="B2984" s="37"/>
    </row>
    <row r="2985" spans="2:2" x14ac:dyDescent="0.2">
      <c r="B2985" s="37"/>
    </row>
    <row r="2986" spans="2:2" x14ac:dyDescent="0.2">
      <c r="B2986" s="37"/>
    </row>
    <row r="2987" spans="2:2" x14ac:dyDescent="0.2">
      <c r="B2987" s="37"/>
    </row>
    <row r="2988" spans="2:2" x14ac:dyDescent="0.2">
      <c r="B2988" s="37"/>
    </row>
    <row r="2989" spans="2:2" x14ac:dyDescent="0.2">
      <c r="B2989" s="37"/>
    </row>
    <row r="2990" spans="2:2" x14ac:dyDescent="0.2">
      <c r="B2990" s="37"/>
    </row>
    <row r="2991" spans="2:2" x14ac:dyDescent="0.2">
      <c r="B2991" s="37"/>
    </row>
    <row r="2992" spans="2:2" x14ac:dyDescent="0.2">
      <c r="B2992" s="37"/>
    </row>
    <row r="2993" spans="2:2" x14ac:dyDescent="0.2">
      <c r="B2993" s="37"/>
    </row>
    <row r="2994" spans="2:2" x14ac:dyDescent="0.2">
      <c r="B2994" s="37"/>
    </row>
    <row r="2995" spans="2:2" x14ac:dyDescent="0.2">
      <c r="B2995" s="37"/>
    </row>
    <row r="2996" spans="2:2" x14ac:dyDescent="0.2">
      <c r="B2996" s="37"/>
    </row>
    <row r="2997" spans="2:2" x14ac:dyDescent="0.2">
      <c r="B2997" s="37"/>
    </row>
    <row r="2998" spans="2:2" x14ac:dyDescent="0.2">
      <c r="B2998" s="37"/>
    </row>
    <row r="2999" spans="2:2" x14ac:dyDescent="0.2">
      <c r="B2999" s="37"/>
    </row>
    <row r="3000" spans="2:2" x14ac:dyDescent="0.2">
      <c r="B3000" s="37"/>
    </row>
    <row r="3001" spans="2:2" x14ac:dyDescent="0.2">
      <c r="B3001" s="37"/>
    </row>
    <row r="3002" spans="2:2" x14ac:dyDescent="0.2">
      <c r="B3002" s="37"/>
    </row>
    <row r="3003" spans="2:2" x14ac:dyDescent="0.2">
      <c r="B3003" s="37"/>
    </row>
    <row r="3004" spans="2:2" x14ac:dyDescent="0.2">
      <c r="B3004" s="37"/>
    </row>
    <row r="3005" spans="2:2" x14ac:dyDescent="0.2">
      <c r="B3005" s="37"/>
    </row>
    <row r="3006" spans="2:2" x14ac:dyDescent="0.2">
      <c r="B3006" s="37"/>
    </row>
    <row r="3007" spans="2:2" x14ac:dyDescent="0.2">
      <c r="B3007" s="37"/>
    </row>
    <row r="3008" spans="2:2" x14ac:dyDescent="0.2">
      <c r="B3008" s="37"/>
    </row>
    <row r="3009" spans="2:2" x14ac:dyDescent="0.2">
      <c r="B3009" s="37"/>
    </row>
    <row r="3010" spans="2:2" x14ac:dyDescent="0.2">
      <c r="B3010" s="37"/>
    </row>
    <row r="3011" spans="2:2" x14ac:dyDescent="0.2">
      <c r="B3011" s="37"/>
    </row>
    <row r="3012" spans="2:2" x14ac:dyDescent="0.2">
      <c r="B3012" s="37"/>
    </row>
    <row r="3013" spans="2:2" x14ac:dyDescent="0.2">
      <c r="B3013" s="37"/>
    </row>
    <row r="3014" spans="2:2" x14ac:dyDescent="0.2">
      <c r="B3014" s="37"/>
    </row>
    <row r="3015" spans="2:2" x14ac:dyDescent="0.2">
      <c r="B3015" s="37"/>
    </row>
    <row r="3016" spans="2:2" x14ac:dyDescent="0.2">
      <c r="B3016" s="37"/>
    </row>
    <row r="3017" spans="2:2" x14ac:dyDescent="0.2">
      <c r="B3017" s="37"/>
    </row>
    <row r="3018" spans="2:2" x14ac:dyDescent="0.2">
      <c r="B3018" s="37"/>
    </row>
    <row r="3019" spans="2:2" x14ac:dyDescent="0.2">
      <c r="B3019" s="37"/>
    </row>
    <row r="3020" spans="2:2" x14ac:dyDescent="0.2">
      <c r="B3020" s="37"/>
    </row>
    <row r="3021" spans="2:2" x14ac:dyDescent="0.2">
      <c r="B3021" s="37"/>
    </row>
    <row r="3022" spans="2:2" x14ac:dyDescent="0.2">
      <c r="B3022" s="37"/>
    </row>
    <row r="3023" spans="2:2" x14ac:dyDescent="0.2">
      <c r="B3023" s="37"/>
    </row>
    <row r="3024" spans="2:2" x14ac:dyDescent="0.2">
      <c r="B3024" s="37"/>
    </row>
    <row r="3025" spans="2:2" x14ac:dyDescent="0.2">
      <c r="B3025" s="37"/>
    </row>
    <row r="3026" spans="2:2" x14ac:dyDescent="0.2">
      <c r="B3026" s="37"/>
    </row>
    <row r="3027" spans="2:2" x14ac:dyDescent="0.2">
      <c r="B3027" s="37"/>
    </row>
    <row r="3028" spans="2:2" x14ac:dyDescent="0.2">
      <c r="B3028" s="37"/>
    </row>
    <row r="3029" spans="2:2" x14ac:dyDescent="0.2">
      <c r="B3029" s="37"/>
    </row>
    <row r="3030" spans="2:2" x14ac:dyDescent="0.2">
      <c r="B3030" s="37"/>
    </row>
    <row r="3031" spans="2:2" x14ac:dyDescent="0.2">
      <c r="B3031" s="37"/>
    </row>
    <row r="3032" spans="2:2" x14ac:dyDescent="0.2">
      <c r="B3032" s="37"/>
    </row>
    <row r="3033" spans="2:2" x14ac:dyDescent="0.2">
      <c r="B3033" s="37"/>
    </row>
    <row r="3034" spans="2:2" x14ac:dyDescent="0.2">
      <c r="B3034" s="37"/>
    </row>
    <row r="3035" spans="2:2" x14ac:dyDescent="0.2">
      <c r="B3035" s="37"/>
    </row>
    <row r="3036" spans="2:2" x14ac:dyDescent="0.2">
      <c r="B3036" s="37"/>
    </row>
    <row r="3037" spans="2:2" x14ac:dyDescent="0.2">
      <c r="B3037" s="37"/>
    </row>
    <row r="3038" spans="2:2" x14ac:dyDescent="0.2">
      <c r="B3038" s="37"/>
    </row>
    <row r="3039" spans="2:2" x14ac:dyDescent="0.2">
      <c r="B3039" s="37"/>
    </row>
    <row r="3040" spans="2:2" x14ac:dyDescent="0.2">
      <c r="B3040" s="37"/>
    </row>
    <row r="3041" spans="2:2" x14ac:dyDescent="0.2">
      <c r="B3041" s="37"/>
    </row>
    <row r="3042" spans="2:2" x14ac:dyDescent="0.2">
      <c r="B3042" s="37"/>
    </row>
    <row r="3043" spans="2:2" x14ac:dyDescent="0.2">
      <c r="B3043" s="37"/>
    </row>
    <row r="3044" spans="2:2" x14ac:dyDescent="0.2">
      <c r="B3044" s="37"/>
    </row>
    <row r="3045" spans="2:2" x14ac:dyDescent="0.2">
      <c r="B3045" s="37"/>
    </row>
    <row r="3046" spans="2:2" x14ac:dyDescent="0.2">
      <c r="B3046" s="37"/>
    </row>
    <row r="3047" spans="2:2" x14ac:dyDescent="0.2">
      <c r="B3047" s="37"/>
    </row>
    <row r="3048" spans="2:2" x14ac:dyDescent="0.2">
      <c r="B3048" s="37"/>
    </row>
    <row r="3049" spans="2:2" x14ac:dyDescent="0.2">
      <c r="B3049" s="37"/>
    </row>
    <row r="3050" spans="2:2" x14ac:dyDescent="0.2">
      <c r="B3050" s="37"/>
    </row>
    <row r="3051" spans="2:2" x14ac:dyDescent="0.2">
      <c r="B3051" s="37"/>
    </row>
    <row r="3052" spans="2:2" x14ac:dyDescent="0.2">
      <c r="B3052" s="37"/>
    </row>
    <row r="3053" spans="2:2" x14ac:dyDescent="0.2">
      <c r="B3053" s="37"/>
    </row>
    <row r="3054" spans="2:2" x14ac:dyDescent="0.2">
      <c r="B3054" s="37"/>
    </row>
    <row r="3055" spans="2:2" x14ac:dyDescent="0.2">
      <c r="B3055" s="37"/>
    </row>
    <row r="3056" spans="2:2" x14ac:dyDescent="0.2">
      <c r="B3056" s="37"/>
    </row>
    <row r="3057" spans="2:2" x14ac:dyDescent="0.2">
      <c r="B3057" s="37"/>
    </row>
    <row r="3058" spans="2:2" x14ac:dyDescent="0.2">
      <c r="B3058" s="37"/>
    </row>
    <row r="3059" spans="2:2" x14ac:dyDescent="0.2">
      <c r="B3059" s="37"/>
    </row>
    <row r="3060" spans="2:2" x14ac:dyDescent="0.2">
      <c r="B3060" s="37"/>
    </row>
    <row r="3061" spans="2:2" x14ac:dyDescent="0.2">
      <c r="B3061" s="37"/>
    </row>
    <row r="3062" spans="2:2" x14ac:dyDescent="0.2">
      <c r="B3062" s="37"/>
    </row>
    <row r="3063" spans="2:2" x14ac:dyDescent="0.2">
      <c r="B3063" s="37"/>
    </row>
    <row r="3064" spans="2:2" x14ac:dyDescent="0.2">
      <c r="B3064" s="37"/>
    </row>
    <row r="3065" spans="2:2" x14ac:dyDescent="0.2">
      <c r="B3065" s="37"/>
    </row>
    <row r="3066" spans="2:2" x14ac:dyDescent="0.2">
      <c r="B3066" s="37"/>
    </row>
    <row r="3067" spans="2:2" x14ac:dyDescent="0.2">
      <c r="B3067" s="37"/>
    </row>
    <row r="3068" spans="2:2" x14ac:dyDescent="0.2">
      <c r="B3068" s="37"/>
    </row>
    <row r="3069" spans="2:2" x14ac:dyDescent="0.2">
      <c r="B3069" s="37"/>
    </row>
    <row r="3070" spans="2:2" x14ac:dyDescent="0.2">
      <c r="B3070" s="37"/>
    </row>
    <row r="3071" spans="2:2" x14ac:dyDescent="0.2">
      <c r="B3071" s="37"/>
    </row>
    <row r="3072" spans="2:2" x14ac:dyDescent="0.2">
      <c r="B3072" s="37"/>
    </row>
    <row r="3073" spans="2:2" x14ac:dyDescent="0.2">
      <c r="B3073" s="37"/>
    </row>
    <row r="3074" spans="2:2" x14ac:dyDescent="0.2">
      <c r="B3074" s="37"/>
    </row>
    <row r="3075" spans="2:2" x14ac:dyDescent="0.2">
      <c r="B3075" s="37"/>
    </row>
    <row r="3076" spans="2:2" x14ac:dyDescent="0.2">
      <c r="B3076" s="37"/>
    </row>
    <row r="3077" spans="2:2" x14ac:dyDescent="0.2">
      <c r="B3077" s="37"/>
    </row>
    <row r="3078" spans="2:2" x14ac:dyDescent="0.2">
      <c r="B3078" s="37"/>
    </row>
    <row r="3079" spans="2:2" x14ac:dyDescent="0.2">
      <c r="B3079" s="37"/>
    </row>
    <row r="3080" spans="2:2" x14ac:dyDescent="0.2">
      <c r="B3080" s="37"/>
    </row>
    <row r="3081" spans="2:2" x14ac:dyDescent="0.2">
      <c r="B3081" s="37"/>
    </row>
    <row r="3082" spans="2:2" x14ac:dyDescent="0.2">
      <c r="B3082" s="37"/>
    </row>
    <row r="3083" spans="2:2" x14ac:dyDescent="0.2">
      <c r="B3083" s="37"/>
    </row>
    <row r="3084" spans="2:2" x14ac:dyDescent="0.2">
      <c r="B3084" s="37"/>
    </row>
    <row r="3085" spans="2:2" x14ac:dyDescent="0.2">
      <c r="B3085" s="37"/>
    </row>
    <row r="3086" spans="2:2" x14ac:dyDescent="0.2">
      <c r="B3086" s="37"/>
    </row>
    <row r="3087" spans="2:2" x14ac:dyDescent="0.2">
      <c r="B3087" s="37"/>
    </row>
    <row r="3088" spans="2:2" x14ac:dyDescent="0.2">
      <c r="B3088" s="37"/>
    </row>
    <row r="3089" spans="2:2" x14ac:dyDescent="0.2">
      <c r="B3089" s="37"/>
    </row>
    <row r="3090" spans="2:2" x14ac:dyDescent="0.2">
      <c r="B3090" s="37"/>
    </row>
    <row r="3091" spans="2:2" x14ac:dyDescent="0.2">
      <c r="B3091" s="37"/>
    </row>
    <row r="3092" spans="2:2" x14ac:dyDescent="0.2">
      <c r="B3092" s="37"/>
    </row>
    <row r="3093" spans="2:2" x14ac:dyDescent="0.2">
      <c r="B3093" s="37"/>
    </row>
    <row r="3094" spans="2:2" x14ac:dyDescent="0.2">
      <c r="B3094" s="37"/>
    </row>
    <row r="3095" spans="2:2" x14ac:dyDescent="0.2">
      <c r="B3095" s="37"/>
    </row>
    <row r="3096" spans="2:2" x14ac:dyDescent="0.2">
      <c r="B3096" s="37"/>
    </row>
    <row r="3097" spans="2:2" x14ac:dyDescent="0.2">
      <c r="B3097" s="37"/>
    </row>
    <row r="3098" spans="2:2" x14ac:dyDescent="0.2">
      <c r="B3098" s="37"/>
    </row>
    <row r="3099" spans="2:2" x14ac:dyDescent="0.2">
      <c r="B3099" s="37"/>
    </row>
    <row r="3100" spans="2:2" x14ac:dyDescent="0.2">
      <c r="B3100" s="37"/>
    </row>
    <row r="3101" spans="2:2" x14ac:dyDescent="0.2">
      <c r="B3101" s="37"/>
    </row>
    <row r="3102" spans="2:2" x14ac:dyDescent="0.2">
      <c r="B3102" s="37"/>
    </row>
    <row r="3103" spans="2:2" x14ac:dyDescent="0.2">
      <c r="B3103" s="37"/>
    </row>
    <row r="3104" spans="2:2" x14ac:dyDescent="0.2">
      <c r="B3104" s="37"/>
    </row>
    <row r="3105" spans="2:2" x14ac:dyDescent="0.2">
      <c r="B3105" s="37"/>
    </row>
    <row r="3106" spans="2:2" x14ac:dyDescent="0.2">
      <c r="B3106" s="37"/>
    </row>
    <row r="3107" spans="2:2" x14ac:dyDescent="0.2">
      <c r="B3107" s="37"/>
    </row>
    <row r="3108" spans="2:2" x14ac:dyDescent="0.2">
      <c r="B3108" s="37"/>
    </row>
    <row r="3109" spans="2:2" x14ac:dyDescent="0.2">
      <c r="B3109" s="37"/>
    </row>
    <row r="3110" spans="2:2" x14ac:dyDescent="0.2">
      <c r="B3110" s="37"/>
    </row>
    <row r="3111" spans="2:2" x14ac:dyDescent="0.2">
      <c r="B3111" s="37"/>
    </row>
    <row r="3112" spans="2:2" x14ac:dyDescent="0.2">
      <c r="B3112" s="37"/>
    </row>
    <row r="3113" spans="2:2" x14ac:dyDescent="0.2">
      <c r="B3113" s="37"/>
    </row>
    <row r="3114" spans="2:2" x14ac:dyDescent="0.2">
      <c r="B3114" s="37"/>
    </row>
    <row r="3115" spans="2:2" x14ac:dyDescent="0.2">
      <c r="B3115" s="37"/>
    </row>
    <row r="3116" spans="2:2" x14ac:dyDescent="0.2">
      <c r="B3116" s="37"/>
    </row>
    <row r="3117" spans="2:2" x14ac:dyDescent="0.2">
      <c r="B3117" s="37"/>
    </row>
    <row r="3118" spans="2:2" x14ac:dyDescent="0.2">
      <c r="B3118" s="37"/>
    </row>
    <row r="3119" spans="2:2" x14ac:dyDescent="0.2">
      <c r="B3119" s="37"/>
    </row>
    <row r="3120" spans="2:2" x14ac:dyDescent="0.2">
      <c r="B3120" s="37"/>
    </row>
    <row r="3121" spans="2:2" x14ac:dyDescent="0.2">
      <c r="B3121" s="37"/>
    </row>
    <row r="3122" spans="2:2" x14ac:dyDescent="0.2">
      <c r="B3122" s="37"/>
    </row>
    <row r="3123" spans="2:2" x14ac:dyDescent="0.2">
      <c r="B3123" s="37"/>
    </row>
    <row r="3124" spans="2:2" x14ac:dyDescent="0.2">
      <c r="B3124" s="37"/>
    </row>
    <row r="3125" spans="2:2" x14ac:dyDescent="0.2">
      <c r="B3125" s="37"/>
    </row>
    <row r="3126" spans="2:2" x14ac:dyDescent="0.2">
      <c r="B3126" s="37"/>
    </row>
    <row r="3127" spans="2:2" x14ac:dyDescent="0.2">
      <c r="B3127" s="37"/>
    </row>
    <row r="3128" spans="2:2" x14ac:dyDescent="0.2">
      <c r="B3128" s="37"/>
    </row>
    <row r="3129" spans="2:2" x14ac:dyDescent="0.2">
      <c r="B3129" s="37"/>
    </row>
    <row r="3130" spans="2:2" x14ac:dyDescent="0.2">
      <c r="B3130" s="37"/>
    </row>
    <row r="3131" spans="2:2" x14ac:dyDescent="0.2">
      <c r="B3131" s="37"/>
    </row>
    <row r="3132" spans="2:2" x14ac:dyDescent="0.2">
      <c r="B3132" s="37"/>
    </row>
    <row r="3133" spans="2:2" x14ac:dyDescent="0.2">
      <c r="B3133" s="37"/>
    </row>
    <row r="3134" spans="2:2" x14ac:dyDescent="0.2">
      <c r="B3134" s="37"/>
    </row>
    <row r="3135" spans="2:2" x14ac:dyDescent="0.2">
      <c r="B3135" s="37"/>
    </row>
    <row r="3136" spans="2:2" x14ac:dyDescent="0.2">
      <c r="B3136" s="37"/>
    </row>
    <row r="3137" spans="2:2" x14ac:dyDescent="0.2">
      <c r="B3137" s="37"/>
    </row>
    <row r="3138" spans="2:2" x14ac:dyDescent="0.2">
      <c r="B3138" s="37"/>
    </row>
    <row r="3139" spans="2:2" x14ac:dyDescent="0.2">
      <c r="B3139" s="37"/>
    </row>
    <row r="3140" spans="2:2" x14ac:dyDescent="0.2">
      <c r="B3140" s="37"/>
    </row>
    <row r="3141" spans="2:2" x14ac:dyDescent="0.2">
      <c r="B3141" s="37"/>
    </row>
    <row r="3142" spans="2:2" x14ac:dyDescent="0.2">
      <c r="B3142" s="37"/>
    </row>
    <row r="3143" spans="2:2" x14ac:dyDescent="0.2">
      <c r="B3143" s="37"/>
    </row>
    <row r="3144" spans="2:2" x14ac:dyDescent="0.2">
      <c r="B3144" s="37"/>
    </row>
    <row r="3145" spans="2:2" x14ac:dyDescent="0.2">
      <c r="B3145" s="37"/>
    </row>
    <row r="3146" spans="2:2" x14ac:dyDescent="0.2">
      <c r="B3146" s="37"/>
    </row>
    <row r="3147" spans="2:2" x14ac:dyDescent="0.2">
      <c r="B3147" s="37"/>
    </row>
    <row r="3148" spans="2:2" x14ac:dyDescent="0.2">
      <c r="B3148" s="37"/>
    </row>
    <row r="3149" spans="2:2" x14ac:dyDescent="0.2">
      <c r="B3149" s="37"/>
    </row>
    <row r="3150" spans="2:2" x14ac:dyDescent="0.2">
      <c r="B3150" s="37"/>
    </row>
    <row r="3151" spans="2:2" x14ac:dyDescent="0.2">
      <c r="B3151" s="37"/>
    </row>
    <row r="3152" spans="2:2" x14ac:dyDescent="0.2">
      <c r="B3152" s="37"/>
    </row>
    <row r="3153" spans="2:2" x14ac:dyDescent="0.2">
      <c r="B3153" s="37"/>
    </row>
    <row r="3154" spans="2:2" x14ac:dyDescent="0.2">
      <c r="B3154" s="37"/>
    </row>
    <row r="3155" spans="2:2" x14ac:dyDescent="0.2">
      <c r="B3155" s="37"/>
    </row>
    <row r="3156" spans="2:2" x14ac:dyDescent="0.2">
      <c r="B3156" s="37"/>
    </row>
    <row r="3157" spans="2:2" x14ac:dyDescent="0.2">
      <c r="B3157" s="37"/>
    </row>
    <row r="3158" spans="2:2" x14ac:dyDescent="0.2">
      <c r="B3158" s="37"/>
    </row>
    <row r="3159" spans="2:2" x14ac:dyDescent="0.2">
      <c r="B3159" s="37"/>
    </row>
    <row r="3160" spans="2:2" x14ac:dyDescent="0.2">
      <c r="B3160" s="37"/>
    </row>
    <row r="3161" spans="2:2" x14ac:dyDescent="0.2">
      <c r="B3161" s="37"/>
    </row>
    <row r="3162" spans="2:2" x14ac:dyDescent="0.2">
      <c r="B3162" s="37"/>
    </row>
    <row r="3163" spans="2:2" x14ac:dyDescent="0.2">
      <c r="B3163" s="37"/>
    </row>
    <row r="3164" spans="2:2" x14ac:dyDescent="0.2">
      <c r="B3164" s="37"/>
    </row>
    <row r="3165" spans="2:2" x14ac:dyDescent="0.2">
      <c r="B3165" s="37"/>
    </row>
    <row r="3166" spans="2:2" x14ac:dyDescent="0.2">
      <c r="B3166" s="37"/>
    </row>
    <row r="3167" spans="2:2" x14ac:dyDescent="0.2">
      <c r="B3167" s="37"/>
    </row>
    <row r="3168" spans="2:2" x14ac:dyDescent="0.2">
      <c r="B3168" s="37"/>
    </row>
    <row r="3169" spans="2:2" x14ac:dyDescent="0.2">
      <c r="B3169" s="37"/>
    </row>
    <row r="3170" spans="2:2" x14ac:dyDescent="0.2">
      <c r="B3170" s="37"/>
    </row>
    <row r="3171" spans="2:2" x14ac:dyDescent="0.2">
      <c r="B3171" s="37"/>
    </row>
    <row r="3172" spans="2:2" x14ac:dyDescent="0.2">
      <c r="B3172" s="37"/>
    </row>
    <row r="3173" spans="2:2" x14ac:dyDescent="0.2">
      <c r="B3173" s="37"/>
    </row>
    <row r="3174" spans="2:2" x14ac:dyDescent="0.2">
      <c r="B3174" s="37"/>
    </row>
    <row r="3175" spans="2:2" x14ac:dyDescent="0.2">
      <c r="B3175" s="37"/>
    </row>
    <row r="3176" spans="2:2" x14ac:dyDescent="0.2">
      <c r="B3176" s="37"/>
    </row>
    <row r="3177" spans="2:2" x14ac:dyDescent="0.2">
      <c r="B3177" s="37"/>
    </row>
    <row r="3178" spans="2:2" x14ac:dyDescent="0.2">
      <c r="B3178" s="37"/>
    </row>
    <row r="3179" spans="2:2" x14ac:dyDescent="0.2">
      <c r="B3179" s="37"/>
    </row>
    <row r="3180" spans="2:2" x14ac:dyDescent="0.2">
      <c r="B3180" s="37"/>
    </row>
    <row r="3181" spans="2:2" x14ac:dyDescent="0.2">
      <c r="B3181" s="37"/>
    </row>
    <row r="3182" spans="2:2" x14ac:dyDescent="0.2">
      <c r="B3182" s="37"/>
    </row>
    <row r="3183" spans="2:2" x14ac:dyDescent="0.2">
      <c r="B3183" s="37"/>
    </row>
    <row r="3184" spans="2:2" x14ac:dyDescent="0.2">
      <c r="B3184" s="37"/>
    </row>
    <row r="3185" spans="2:2" x14ac:dyDescent="0.2">
      <c r="B3185" s="37"/>
    </row>
    <row r="3186" spans="2:2" x14ac:dyDescent="0.2">
      <c r="B3186" s="37"/>
    </row>
    <row r="3187" spans="2:2" x14ac:dyDescent="0.2">
      <c r="B3187" s="37"/>
    </row>
    <row r="3188" spans="2:2" x14ac:dyDescent="0.2">
      <c r="B3188" s="37"/>
    </row>
    <row r="3189" spans="2:2" x14ac:dyDescent="0.2">
      <c r="B3189" s="37"/>
    </row>
    <row r="3190" spans="2:2" x14ac:dyDescent="0.2">
      <c r="B3190" s="37"/>
    </row>
    <row r="3191" spans="2:2" x14ac:dyDescent="0.2">
      <c r="B3191" s="37"/>
    </row>
    <row r="3192" spans="2:2" x14ac:dyDescent="0.2">
      <c r="B3192" s="37"/>
    </row>
    <row r="3193" spans="2:2" x14ac:dyDescent="0.2">
      <c r="B3193" s="37"/>
    </row>
    <row r="3194" spans="2:2" x14ac:dyDescent="0.2">
      <c r="B3194" s="37"/>
    </row>
    <row r="3195" spans="2:2" x14ac:dyDescent="0.2">
      <c r="B3195" s="37"/>
    </row>
    <row r="3196" spans="2:2" x14ac:dyDescent="0.2">
      <c r="B3196" s="37"/>
    </row>
    <row r="3197" spans="2:2" x14ac:dyDescent="0.2">
      <c r="B3197" s="37"/>
    </row>
    <row r="3198" spans="2:2" x14ac:dyDescent="0.2">
      <c r="B3198" s="37"/>
    </row>
    <row r="3199" spans="2:2" x14ac:dyDescent="0.2">
      <c r="B3199" s="37"/>
    </row>
    <row r="3200" spans="2:2" x14ac:dyDescent="0.2">
      <c r="B3200" s="37"/>
    </row>
    <row r="3201" spans="2:2" x14ac:dyDescent="0.2">
      <c r="B3201" s="37"/>
    </row>
    <row r="3202" spans="2:2" x14ac:dyDescent="0.2">
      <c r="B3202" s="37"/>
    </row>
    <row r="3203" spans="2:2" x14ac:dyDescent="0.2">
      <c r="B3203" s="37"/>
    </row>
    <row r="3204" spans="2:2" x14ac:dyDescent="0.2">
      <c r="B3204" s="37"/>
    </row>
    <row r="3205" spans="2:2" x14ac:dyDescent="0.2">
      <c r="B3205" s="37"/>
    </row>
    <row r="3206" spans="2:2" x14ac:dyDescent="0.2">
      <c r="B3206" s="37"/>
    </row>
    <row r="3207" spans="2:2" x14ac:dyDescent="0.2">
      <c r="B3207" s="37"/>
    </row>
    <row r="3208" spans="2:2" x14ac:dyDescent="0.2">
      <c r="B3208" s="37"/>
    </row>
    <row r="3209" spans="2:2" x14ac:dyDescent="0.2">
      <c r="B3209" s="37"/>
    </row>
    <row r="3210" spans="2:2" x14ac:dyDescent="0.2">
      <c r="B3210" s="37"/>
    </row>
    <row r="3211" spans="2:2" x14ac:dyDescent="0.2">
      <c r="B3211" s="37"/>
    </row>
    <row r="3212" spans="2:2" x14ac:dyDescent="0.2">
      <c r="B3212" s="37"/>
    </row>
    <row r="3213" spans="2:2" x14ac:dyDescent="0.2">
      <c r="B3213" s="37"/>
    </row>
    <row r="3214" spans="2:2" x14ac:dyDescent="0.2">
      <c r="B3214" s="37"/>
    </row>
    <row r="3215" spans="2:2" x14ac:dyDescent="0.2">
      <c r="B3215" s="37"/>
    </row>
    <row r="3216" spans="2:2" x14ac:dyDescent="0.2">
      <c r="B3216" s="37"/>
    </row>
    <row r="3217" spans="2:2" x14ac:dyDescent="0.2">
      <c r="B3217" s="37"/>
    </row>
    <row r="3218" spans="2:2" x14ac:dyDescent="0.2">
      <c r="B3218" s="37"/>
    </row>
    <row r="3219" spans="2:2" x14ac:dyDescent="0.2">
      <c r="B3219" s="37"/>
    </row>
    <row r="3220" spans="2:2" x14ac:dyDescent="0.2">
      <c r="B3220" s="37"/>
    </row>
    <row r="3221" spans="2:2" x14ac:dyDescent="0.2">
      <c r="B3221" s="37"/>
    </row>
    <row r="3222" spans="2:2" x14ac:dyDescent="0.2">
      <c r="B3222" s="37"/>
    </row>
    <row r="3223" spans="2:2" x14ac:dyDescent="0.2">
      <c r="B3223" s="37"/>
    </row>
    <row r="3224" spans="2:2" x14ac:dyDescent="0.2">
      <c r="B3224" s="37"/>
    </row>
    <row r="3225" spans="2:2" x14ac:dyDescent="0.2">
      <c r="B3225" s="37"/>
    </row>
    <row r="3226" spans="2:2" x14ac:dyDescent="0.2">
      <c r="B3226" s="37"/>
    </row>
    <row r="3227" spans="2:2" x14ac:dyDescent="0.2">
      <c r="B3227" s="37"/>
    </row>
    <row r="3228" spans="2:2" x14ac:dyDescent="0.2">
      <c r="B3228" s="37"/>
    </row>
    <row r="3229" spans="2:2" x14ac:dyDescent="0.2">
      <c r="B3229" s="37"/>
    </row>
    <row r="3230" spans="2:2" x14ac:dyDescent="0.2">
      <c r="B3230" s="37"/>
    </row>
    <row r="3231" spans="2:2" x14ac:dyDescent="0.2">
      <c r="B3231" s="37"/>
    </row>
    <row r="3232" spans="2:2" x14ac:dyDescent="0.2">
      <c r="B3232" s="37"/>
    </row>
    <row r="3233" spans="2:2" x14ac:dyDescent="0.2">
      <c r="B3233" s="37"/>
    </row>
    <row r="3234" spans="2:2" x14ac:dyDescent="0.2">
      <c r="B3234" s="37"/>
    </row>
    <row r="3235" spans="2:2" x14ac:dyDescent="0.2">
      <c r="B3235" s="37"/>
    </row>
    <row r="3236" spans="2:2" x14ac:dyDescent="0.2">
      <c r="B3236" s="37"/>
    </row>
    <row r="3237" spans="2:2" x14ac:dyDescent="0.2">
      <c r="B3237" s="37"/>
    </row>
    <row r="3238" spans="2:2" x14ac:dyDescent="0.2">
      <c r="B3238" s="37"/>
    </row>
    <row r="3239" spans="2:2" x14ac:dyDescent="0.2">
      <c r="B3239" s="37"/>
    </row>
    <row r="3240" spans="2:2" x14ac:dyDescent="0.2">
      <c r="B3240" s="37"/>
    </row>
    <row r="3241" spans="2:2" x14ac:dyDescent="0.2">
      <c r="B3241" s="37"/>
    </row>
    <row r="3242" spans="2:2" x14ac:dyDescent="0.2">
      <c r="B3242" s="37"/>
    </row>
    <row r="3243" spans="2:2" x14ac:dyDescent="0.2">
      <c r="B3243" s="37"/>
    </row>
    <row r="3244" spans="2:2" x14ac:dyDescent="0.2">
      <c r="B3244" s="37"/>
    </row>
    <row r="3245" spans="2:2" x14ac:dyDescent="0.2">
      <c r="B3245" s="37"/>
    </row>
    <row r="3246" spans="2:2" x14ac:dyDescent="0.2">
      <c r="B3246" s="37"/>
    </row>
    <row r="3247" spans="2:2" x14ac:dyDescent="0.2">
      <c r="B3247" s="37"/>
    </row>
    <row r="3248" spans="2:2" x14ac:dyDescent="0.2">
      <c r="B3248" s="37"/>
    </row>
    <row r="3249" spans="2:2" x14ac:dyDescent="0.2">
      <c r="B3249" s="37"/>
    </row>
    <row r="3250" spans="2:2" x14ac:dyDescent="0.2">
      <c r="B3250" s="37"/>
    </row>
    <row r="3251" spans="2:2" x14ac:dyDescent="0.2">
      <c r="B3251" s="37"/>
    </row>
    <row r="3252" spans="2:2" x14ac:dyDescent="0.2">
      <c r="B3252" s="37"/>
    </row>
    <row r="3253" spans="2:2" x14ac:dyDescent="0.2">
      <c r="B3253" s="37"/>
    </row>
    <row r="3254" spans="2:2" x14ac:dyDescent="0.2">
      <c r="B3254" s="37"/>
    </row>
    <row r="3255" spans="2:2" x14ac:dyDescent="0.2">
      <c r="B3255" s="37"/>
    </row>
    <row r="3256" spans="2:2" x14ac:dyDescent="0.2">
      <c r="B3256" s="37"/>
    </row>
    <row r="3257" spans="2:2" x14ac:dyDescent="0.2">
      <c r="B3257" s="37"/>
    </row>
    <row r="3258" spans="2:2" x14ac:dyDescent="0.2">
      <c r="B3258" s="37"/>
    </row>
    <row r="3259" spans="2:2" x14ac:dyDescent="0.2">
      <c r="B3259" s="37"/>
    </row>
    <row r="3260" spans="2:2" x14ac:dyDescent="0.2">
      <c r="B3260" s="37"/>
    </row>
    <row r="3261" spans="2:2" x14ac:dyDescent="0.2">
      <c r="B3261" s="37"/>
    </row>
    <row r="3262" spans="2:2" x14ac:dyDescent="0.2">
      <c r="B3262" s="37"/>
    </row>
    <row r="3263" spans="2:2" x14ac:dyDescent="0.2">
      <c r="B3263" s="37"/>
    </row>
    <row r="3264" spans="2:2" x14ac:dyDescent="0.2">
      <c r="B3264" s="37"/>
    </row>
    <row r="3265" spans="2:2" x14ac:dyDescent="0.2">
      <c r="B3265" s="37"/>
    </row>
    <row r="3266" spans="2:2" x14ac:dyDescent="0.2">
      <c r="B3266" s="37"/>
    </row>
    <row r="3267" spans="2:2" x14ac:dyDescent="0.2">
      <c r="B3267" s="37"/>
    </row>
    <row r="3268" spans="2:2" x14ac:dyDescent="0.2">
      <c r="B3268" s="37"/>
    </row>
    <row r="3269" spans="2:2" x14ac:dyDescent="0.2">
      <c r="B3269" s="37"/>
    </row>
    <row r="3270" spans="2:2" x14ac:dyDescent="0.2">
      <c r="B3270" s="37"/>
    </row>
    <row r="3271" spans="2:2" x14ac:dyDescent="0.2">
      <c r="B3271" s="37"/>
    </row>
    <row r="3272" spans="2:2" x14ac:dyDescent="0.2">
      <c r="B3272" s="37"/>
    </row>
    <row r="3273" spans="2:2" x14ac:dyDescent="0.2">
      <c r="B3273" s="37"/>
    </row>
    <row r="3274" spans="2:2" x14ac:dyDescent="0.2">
      <c r="B3274" s="37"/>
    </row>
    <row r="3275" spans="2:2" x14ac:dyDescent="0.2">
      <c r="B3275" s="37"/>
    </row>
    <row r="3276" spans="2:2" x14ac:dyDescent="0.2">
      <c r="B3276" s="37"/>
    </row>
    <row r="3277" spans="2:2" x14ac:dyDescent="0.2">
      <c r="B3277" s="37"/>
    </row>
    <row r="3278" spans="2:2" x14ac:dyDescent="0.2">
      <c r="B3278" s="37"/>
    </row>
    <row r="3279" spans="2:2" x14ac:dyDescent="0.2">
      <c r="B3279" s="37"/>
    </row>
    <row r="3280" spans="2:2" x14ac:dyDescent="0.2">
      <c r="B3280" s="37"/>
    </row>
    <row r="3281" spans="1:3" x14ac:dyDescent="0.2">
      <c r="B3281" s="37"/>
    </row>
    <row r="3282" spans="1:3" x14ac:dyDescent="0.2">
      <c r="B3282" s="37"/>
    </row>
    <row r="3283" spans="1:3" x14ac:dyDescent="0.2">
      <c r="B3283" s="37"/>
    </row>
    <row r="3284" spans="1:3" x14ac:dyDescent="0.2">
      <c r="B3284" s="37"/>
    </row>
    <row r="3285" spans="1:3" x14ac:dyDescent="0.2">
      <c r="B3285" s="37"/>
    </row>
    <row r="3286" spans="1:3" x14ac:dyDescent="0.2">
      <c r="B3286" s="37"/>
    </row>
    <row r="3287" spans="1:3" x14ac:dyDescent="0.2">
      <c r="B3287" s="37"/>
    </row>
    <row r="3288" spans="1:3" x14ac:dyDescent="0.2">
      <c r="B3288" s="37"/>
    </row>
    <row r="3289" spans="1:3" x14ac:dyDescent="0.2">
      <c r="A3289" s="28"/>
      <c r="B3289" s="38"/>
      <c r="C3289" s="28"/>
    </row>
    <row r="3290" spans="1:3" x14ac:dyDescent="0.2">
      <c r="B3290" s="37"/>
    </row>
    <row r="3291" spans="1:3" x14ac:dyDescent="0.2">
      <c r="B3291" s="37"/>
    </row>
    <row r="3292" spans="1:3" x14ac:dyDescent="0.2">
      <c r="B3292" s="37"/>
    </row>
    <row r="3293" spans="1:3" x14ac:dyDescent="0.2">
      <c r="B3293" s="37"/>
    </row>
    <row r="3294" spans="1:3" x14ac:dyDescent="0.2">
      <c r="B3294" s="37"/>
    </row>
    <row r="3295" spans="1:3" x14ac:dyDescent="0.2">
      <c r="B3295" s="37"/>
    </row>
    <row r="3296" spans="1:3" x14ac:dyDescent="0.2">
      <c r="B3296" s="37"/>
    </row>
    <row r="3297" spans="2:2" x14ac:dyDescent="0.2">
      <c r="B3297" s="37"/>
    </row>
    <row r="3298" spans="2:2" x14ac:dyDescent="0.2">
      <c r="B3298" s="37"/>
    </row>
    <row r="3299" spans="2:2" x14ac:dyDescent="0.2">
      <c r="B3299" s="37"/>
    </row>
    <row r="3300" spans="2:2" x14ac:dyDescent="0.2">
      <c r="B3300" s="37"/>
    </row>
    <row r="3301" spans="2:2" x14ac:dyDescent="0.2">
      <c r="B3301" s="37"/>
    </row>
    <row r="3302" spans="2:2" x14ac:dyDescent="0.2">
      <c r="B3302" s="37"/>
    </row>
    <row r="3303" spans="2:2" x14ac:dyDescent="0.2">
      <c r="B3303" s="37"/>
    </row>
    <row r="3304" spans="2:2" x14ac:dyDescent="0.2">
      <c r="B3304" s="37"/>
    </row>
    <row r="3305" spans="2:2" x14ac:dyDescent="0.2">
      <c r="B3305" s="37"/>
    </row>
    <row r="3306" spans="2:2" x14ac:dyDescent="0.2">
      <c r="B3306" s="37"/>
    </row>
    <row r="3307" spans="2:2" x14ac:dyDescent="0.2">
      <c r="B3307" s="37"/>
    </row>
    <row r="3308" spans="2:2" x14ac:dyDescent="0.2">
      <c r="B3308" s="37"/>
    </row>
    <row r="3309" spans="2:2" x14ac:dyDescent="0.2">
      <c r="B3309" s="37"/>
    </row>
    <row r="3310" spans="2:2" x14ac:dyDescent="0.2">
      <c r="B3310" s="37"/>
    </row>
    <row r="3311" spans="2:2" x14ac:dyDescent="0.2">
      <c r="B3311" s="37"/>
    </row>
    <row r="3312" spans="2:2" x14ac:dyDescent="0.2">
      <c r="B3312" s="37"/>
    </row>
    <row r="3313" spans="2:2" x14ac:dyDescent="0.2">
      <c r="B3313" s="37"/>
    </row>
    <row r="3314" spans="2:2" x14ac:dyDescent="0.2">
      <c r="B3314" s="37"/>
    </row>
    <row r="3315" spans="2:2" x14ac:dyDescent="0.2">
      <c r="B3315" s="37"/>
    </row>
    <row r="3316" spans="2:2" x14ac:dyDescent="0.2">
      <c r="B3316" s="37"/>
    </row>
    <row r="3317" spans="2:2" x14ac:dyDescent="0.2">
      <c r="B3317" s="37"/>
    </row>
    <row r="3318" spans="2:2" x14ac:dyDescent="0.2">
      <c r="B3318" s="37"/>
    </row>
    <row r="3319" spans="2:2" x14ac:dyDescent="0.2">
      <c r="B3319" s="37"/>
    </row>
    <row r="3320" spans="2:2" x14ac:dyDescent="0.2">
      <c r="B3320" s="37"/>
    </row>
    <row r="3321" spans="2:2" x14ac:dyDescent="0.2">
      <c r="B3321" s="37"/>
    </row>
    <row r="3322" spans="2:2" x14ac:dyDescent="0.2">
      <c r="B3322" s="37"/>
    </row>
    <row r="3323" spans="2:2" x14ac:dyDescent="0.2">
      <c r="B3323" s="37"/>
    </row>
    <row r="3324" spans="2:2" x14ac:dyDescent="0.2">
      <c r="B3324" s="37"/>
    </row>
    <row r="3325" spans="2:2" x14ac:dyDescent="0.2">
      <c r="B3325" s="37"/>
    </row>
    <row r="3326" spans="2:2" x14ac:dyDescent="0.2">
      <c r="B3326" s="37"/>
    </row>
    <row r="3327" spans="2:2" x14ac:dyDescent="0.2">
      <c r="B3327" s="37"/>
    </row>
    <row r="3328" spans="2:2" x14ac:dyDescent="0.2">
      <c r="B3328" s="37"/>
    </row>
    <row r="3329" spans="2:2" x14ac:dyDescent="0.2">
      <c r="B3329" s="37"/>
    </row>
    <row r="3330" spans="2:2" x14ac:dyDescent="0.2">
      <c r="B3330" s="37"/>
    </row>
    <row r="3331" spans="2:2" x14ac:dyDescent="0.2">
      <c r="B3331" s="37"/>
    </row>
    <row r="3332" spans="2:2" x14ac:dyDescent="0.2">
      <c r="B3332" s="37"/>
    </row>
    <row r="3333" spans="2:2" x14ac:dyDescent="0.2">
      <c r="B3333" s="37"/>
    </row>
    <row r="3334" spans="2:2" x14ac:dyDescent="0.2">
      <c r="B3334" s="37"/>
    </row>
    <row r="3335" spans="2:2" x14ac:dyDescent="0.2">
      <c r="B3335" s="37"/>
    </row>
    <row r="3336" spans="2:2" x14ac:dyDescent="0.2">
      <c r="B3336" s="37"/>
    </row>
    <row r="3337" spans="2:2" x14ac:dyDescent="0.2">
      <c r="B3337" s="37"/>
    </row>
    <row r="3338" spans="2:2" x14ac:dyDescent="0.2">
      <c r="B3338" s="37"/>
    </row>
    <row r="3339" spans="2:2" x14ac:dyDescent="0.2">
      <c r="B3339" s="37"/>
    </row>
    <row r="3340" spans="2:2" x14ac:dyDescent="0.2">
      <c r="B3340" s="37"/>
    </row>
    <row r="3341" spans="2:2" x14ac:dyDescent="0.2">
      <c r="B3341" s="37"/>
    </row>
    <row r="3342" spans="2:2" x14ac:dyDescent="0.2">
      <c r="B3342" s="37"/>
    </row>
    <row r="3343" spans="2:2" x14ac:dyDescent="0.2">
      <c r="B3343" s="37"/>
    </row>
    <row r="3344" spans="2:2" x14ac:dyDescent="0.2">
      <c r="B3344" s="37"/>
    </row>
    <row r="3345" spans="2:2" x14ac:dyDescent="0.2">
      <c r="B3345" s="37"/>
    </row>
    <row r="3346" spans="2:2" x14ac:dyDescent="0.2">
      <c r="B3346" s="37"/>
    </row>
    <row r="3347" spans="2:2" x14ac:dyDescent="0.2">
      <c r="B3347" s="37"/>
    </row>
    <row r="3348" spans="2:2" x14ac:dyDescent="0.2">
      <c r="B3348" s="37"/>
    </row>
    <row r="3349" spans="2:2" x14ac:dyDescent="0.2">
      <c r="B3349" s="37"/>
    </row>
    <row r="3350" spans="2:2" x14ac:dyDescent="0.2">
      <c r="B3350" s="37"/>
    </row>
    <row r="3351" spans="2:2" x14ac:dyDescent="0.2">
      <c r="B3351" s="37"/>
    </row>
    <row r="3352" spans="2:2" x14ac:dyDescent="0.2">
      <c r="B3352" s="37"/>
    </row>
    <row r="3353" spans="2:2" x14ac:dyDescent="0.2">
      <c r="B3353" s="37"/>
    </row>
    <row r="3354" spans="2:2" x14ac:dyDescent="0.2">
      <c r="B3354" s="37"/>
    </row>
    <row r="3355" spans="2:2" x14ac:dyDescent="0.2">
      <c r="B3355" s="37"/>
    </row>
    <row r="3356" spans="2:2" x14ac:dyDescent="0.2">
      <c r="B3356" s="37"/>
    </row>
    <row r="3357" spans="2:2" x14ac:dyDescent="0.2">
      <c r="B3357" s="37"/>
    </row>
    <row r="3358" spans="2:2" x14ac:dyDescent="0.2">
      <c r="B3358" s="37"/>
    </row>
    <row r="3359" spans="2:2" x14ac:dyDescent="0.2">
      <c r="B3359" s="37"/>
    </row>
    <row r="3360" spans="2:2" x14ac:dyDescent="0.2">
      <c r="B3360" s="37"/>
    </row>
    <row r="3361" spans="2:2" x14ac:dyDescent="0.2">
      <c r="B3361" s="37"/>
    </row>
    <row r="3362" spans="2:2" x14ac:dyDescent="0.2">
      <c r="B3362" s="37"/>
    </row>
    <row r="3363" spans="2:2" x14ac:dyDescent="0.2">
      <c r="B3363" s="37"/>
    </row>
    <row r="3364" spans="2:2" x14ac:dyDescent="0.2">
      <c r="B3364" s="37"/>
    </row>
    <row r="3365" spans="2:2" x14ac:dyDescent="0.2">
      <c r="B3365" s="37"/>
    </row>
    <row r="3366" spans="2:2" x14ac:dyDescent="0.2">
      <c r="B3366" s="37"/>
    </row>
    <row r="3367" spans="2:2" x14ac:dyDescent="0.2">
      <c r="B3367" s="37"/>
    </row>
    <row r="3368" spans="2:2" x14ac:dyDescent="0.2">
      <c r="B3368" s="37"/>
    </row>
    <row r="3369" spans="2:2" x14ac:dyDescent="0.2">
      <c r="B3369" s="37"/>
    </row>
    <row r="3370" spans="2:2" x14ac:dyDescent="0.2">
      <c r="B3370" s="37"/>
    </row>
    <row r="3371" spans="2:2" x14ac:dyDescent="0.2">
      <c r="B3371" s="37"/>
    </row>
    <row r="3372" spans="2:2" x14ac:dyDescent="0.2">
      <c r="B3372" s="37"/>
    </row>
    <row r="3373" spans="2:2" x14ac:dyDescent="0.2">
      <c r="B3373" s="37"/>
    </row>
    <row r="3374" spans="2:2" x14ac:dyDescent="0.2">
      <c r="B3374" s="37"/>
    </row>
    <row r="3375" spans="2:2" x14ac:dyDescent="0.2">
      <c r="B3375" s="37"/>
    </row>
    <row r="3376" spans="2:2" x14ac:dyDescent="0.2">
      <c r="B3376" s="37"/>
    </row>
    <row r="3377" spans="2:2" x14ac:dyDescent="0.2">
      <c r="B3377" s="37"/>
    </row>
    <row r="3378" spans="2:2" x14ac:dyDescent="0.2">
      <c r="B3378" s="37"/>
    </row>
    <row r="3379" spans="2:2" x14ac:dyDescent="0.2">
      <c r="B3379" s="37"/>
    </row>
    <row r="3380" spans="2:2" x14ac:dyDescent="0.2">
      <c r="B3380" s="37"/>
    </row>
    <row r="3381" spans="2:2" x14ac:dyDescent="0.2">
      <c r="B3381" s="37"/>
    </row>
    <row r="3382" spans="2:2" x14ac:dyDescent="0.2">
      <c r="B3382" s="37"/>
    </row>
    <row r="3383" spans="2:2" x14ac:dyDescent="0.2">
      <c r="B3383" s="37"/>
    </row>
    <row r="3384" spans="2:2" x14ac:dyDescent="0.2">
      <c r="B3384" s="37"/>
    </row>
    <row r="3385" spans="2:2" x14ac:dyDescent="0.2">
      <c r="B3385" s="37"/>
    </row>
    <row r="3386" spans="2:2" x14ac:dyDescent="0.2">
      <c r="B3386" s="37"/>
    </row>
    <row r="3387" spans="2:2" x14ac:dyDescent="0.2">
      <c r="B3387" s="37"/>
    </row>
    <row r="3388" spans="2:2" x14ac:dyDescent="0.2">
      <c r="B3388" s="37"/>
    </row>
    <row r="3389" spans="2:2" x14ac:dyDescent="0.2">
      <c r="B3389" s="37"/>
    </row>
    <row r="3390" spans="2:2" x14ac:dyDescent="0.2">
      <c r="B3390" s="37"/>
    </row>
    <row r="3391" spans="2:2" x14ac:dyDescent="0.2">
      <c r="B3391" s="37"/>
    </row>
    <row r="3392" spans="2:2" x14ac:dyDescent="0.2">
      <c r="B3392" s="37"/>
    </row>
    <row r="3393" spans="2:2" x14ac:dyDescent="0.2">
      <c r="B3393" s="37"/>
    </row>
    <row r="3394" spans="2:2" x14ac:dyDescent="0.2">
      <c r="B3394" s="37"/>
    </row>
    <row r="3395" spans="2:2" x14ac:dyDescent="0.2">
      <c r="B3395" s="37"/>
    </row>
    <row r="3396" spans="2:2" x14ac:dyDescent="0.2">
      <c r="B3396" s="37"/>
    </row>
    <row r="3397" spans="2:2" x14ac:dyDescent="0.2">
      <c r="B3397" s="37"/>
    </row>
    <row r="3398" spans="2:2" x14ac:dyDescent="0.2">
      <c r="B3398" s="37"/>
    </row>
    <row r="3399" spans="2:2" x14ac:dyDescent="0.2">
      <c r="B3399" s="37"/>
    </row>
    <row r="3400" spans="2:2" x14ac:dyDescent="0.2">
      <c r="B3400" s="37"/>
    </row>
    <row r="3401" spans="2:2" x14ac:dyDescent="0.2">
      <c r="B3401" s="37"/>
    </row>
    <row r="3402" spans="2:2" x14ac:dyDescent="0.2">
      <c r="B3402" s="37"/>
    </row>
    <row r="3403" spans="2:2" x14ac:dyDescent="0.2">
      <c r="B3403" s="37"/>
    </row>
    <row r="3404" spans="2:2" x14ac:dyDescent="0.2">
      <c r="B3404" s="37"/>
    </row>
    <row r="3405" spans="2:2" x14ac:dyDescent="0.2">
      <c r="B3405" s="37"/>
    </row>
    <row r="3406" spans="2:2" x14ac:dyDescent="0.2">
      <c r="B3406" s="37"/>
    </row>
    <row r="3407" spans="2:2" x14ac:dyDescent="0.2">
      <c r="B3407" s="37"/>
    </row>
    <row r="3408" spans="2:2" x14ac:dyDescent="0.2">
      <c r="B3408" s="37"/>
    </row>
    <row r="3409" spans="2:2" x14ac:dyDescent="0.2">
      <c r="B3409" s="37"/>
    </row>
    <row r="3410" spans="2:2" x14ac:dyDescent="0.2">
      <c r="B3410" s="37"/>
    </row>
    <row r="3411" spans="2:2" x14ac:dyDescent="0.2">
      <c r="B3411" s="37"/>
    </row>
    <row r="3412" spans="2:2" x14ac:dyDescent="0.2">
      <c r="B3412" s="37"/>
    </row>
    <row r="3413" spans="2:2" x14ac:dyDescent="0.2">
      <c r="B3413" s="37"/>
    </row>
    <row r="3414" spans="2:2" x14ac:dyDescent="0.2">
      <c r="B3414" s="37"/>
    </row>
    <row r="3415" spans="2:2" x14ac:dyDescent="0.2">
      <c r="B3415" s="37"/>
    </row>
    <row r="3416" spans="2:2" x14ac:dyDescent="0.2">
      <c r="B3416" s="37"/>
    </row>
    <row r="3417" spans="2:2" x14ac:dyDescent="0.2">
      <c r="B3417" s="37"/>
    </row>
    <row r="3418" spans="2:2" x14ac:dyDescent="0.2">
      <c r="B3418" s="37"/>
    </row>
    <row r="3419" spans="2:2" x14ac:dyDescent="0.2">
      <c r="B3419" s="37"/>
    </row>
    <row r="3420" spans="2:2" x14ac:dyDescent="0.2">
      <c r="B3420" s="37"/>
    </row>
    <row r="3421" spans="2:2" x14ac:dyDescent="0.2">
      <c r="B3421" s="37"/>
    </row>
    <row r="3422" spans="2:2" x14ac:dyDescent="0.2">
      <c r="B3422" s="37"/>
    </row>
    <row r="3423" spans="2:2" x14ac:dyDescent="0.2">
      <c r="B3423" s="37"/>
    </row>
    <row r="3424" spans="2:2" x14ac:dyDescent="0.2">
      <c r="B3424" s="37"/>
    </row>
    <row r="3425" spans="2:2" x14ac:dyDescent="0.2">
      <c r="B3425" s="37"/>
    </row>
    <row r="3426" spans="2:2" x14ac:dyDescent="0.2">
      <c r="B3426" s="37"/>
    </row>
    <row r="3427" spans="2:2" x14ac:dyDescent="0.2">
      <c r="B3427" s="37"/>
    </row>
    <row r="3428" spans="2:2" x14ac:dyDescent="0.2">
      <c r="B3428" s="37"/>
    </row>
    <row r="3429" spans="2:2" x14ac:dyDescent="0.2">
      <c r="B3429" s="37"/>
    </row>
    <row r="3430" spans="2:2" x14ac:dyDescent="0.2">
      <c r="B3430" s="37"/>
    </row>
    <row r="3431" spans="2:2" x14ac:dyDescent="0.2">
      <c r="B3431" s="37"/>
    </row>
    <row r="3432" spans="2:2" x14ac:dyDescent="0.2">
      <c r="B3432" s="37"/>
    </row>
    <row r="3433" spans="2:2" x14ac:dyDescent="0.2">
      <c r="B3433" s="37"/>
    </row>
    <row r="3434" spans="2:2" x14ac:dyDescent="0.2">
      <c r="B3434" s="37"/>
    </row>
    <row r="3435" spans="2:2" x14ac:dyDescent="0.2">
      <c r="B3435" s="37"/>
    </row>
    <row r="3436" spans="2:2" x14ac:dyDescent="0.2">
      <c r="B3436" s="37"/>
    </row>
    <row r="3437" spans="2:2" x14ac:dyDescent="0.2">
      <c r="B3437" s="37"/>
    </row>
    <row r="3438" spans="2:2" x14ac:dyDescent="0.2">
      <c r="B3438" s="37"/>
    </row>
    <row r="3439" spans="2:2" x14ac:dyDescent="0.2">
      <c r="B3439" s="37"/>
    </row>
    <row r="3440" spans="2:2" x14ac:dyDescent="0.2">
      <c r="B3440" s="37"/>
    </row>
    <row r="3441" spans="2:2" x14ac:dyDescent="0.2">
      <c r="B3441" s="37"/>
    </row>
    <row r="3442" spans="2:2" x14ac:dyDescent="0.2">
      <c r="B3442" s="37"/>
    </row>
    <row r="3443" spans="2:2" x14ac:dyDescent="0.2">
      <c r="B3443" s="37"/>
    </row>
    <row r="3444" spans="2:2" x14ac:dyDescent="0.2">
      <c r="B3444" s="37"/>
    </row>
    <row r="3445" spans="2:2" x14ac:dyDescent="0.2">
      <c r="B3445" s="37"/>
    </row>
    <row r="3446" spans="2:2" x14ac:dyDescent="0.2">
      <c r="B3446" s="37"/>
    </row>
    <row r="3447" spans="2:2" x14ac:dyDescent="0.2">
      <c r="B3447" s="37"/>
    </row>
    <row r="3448" spans="2:2" x14ac:dyDescent="0.2">
      <c r="B3448" s="37"/>
    </row>
    <row r="3449" spans="2:2" x14ac:dyDescent="0.2">
      <c r="B3449" s="37"/>
    </row>
    <row r="3450" spans="2:2" x14ac:dyDescent="0.2">
      <c r="B3450" s="37"/>
    </row>
    <row r="3451" spans="2:2" x14ac:dyDescent="0.2">
      <c r="B3451" s="37"/>
    </row>
    <row r="3452" spans="2:2" x14ac:dyDescent="0.2">
      <c r="B3452" s="37"/>
    </row>
    <row r="3453" spans="2:2" x14ac:dyDescent="0.2">
      <c r="B3453" s="37"/>
    </row>
    <row r="3454" spans="2:2" x14ac:dyDescent="0.2">
      <c r="B3454" s="37"/>
    </row>
    <row r="3455" spans="2:2" x14ac:dyDescent="0.2">
      <c r="B3455" s="37"/>
    </row>
    <row r="3456" spans="2:2" x14ac:dyDescent="0.2">
      <c r="B3456" s="37"/>
    </row>
    <row r="3457" spans="2:2" x14ac:dyDescent="0.2">
      <c r="B3457" s="37"/>
    </row>
    <row r="3458" spans="2:2" x14ac:dyDescent="0.2">
      <c r="B3458" s="37"/>
    </row>
    <row r="3459" spans="2:2" x14ac:dyDescent="0.2">
      <c r="B3459" s="37"/>
    </row>
    <row r="3460" spans="2:2" x14ac:dyDescent="0.2">
      <c r="B3460" s="37"/>
    </row>
    <row r="3461" spans="2:2" x14ac:dyDescent="0.2">
      <c r="B3461" s="37"/>
    </row>
    <row r="3462" spans="2:2" x14ac:dyDescent="0.2">
      <c r="B3462" s="37"/>
    </row>
    <row r="3463" spans="2:2" x14ac:dyDescent="0.2">
      <c r="B3463" s="37"/>
    </row>
    <row r="3464" spans="2:2" x14ac:dyDescent="0.2">
      <c r="B3464" s="37"/>
    </row>
    <row r="3465" spans="2:2" x14ac:dyDescent="0.2">
      <c r="B3465" s="37"/>
    </row>
    <row r="3466" spans="2:2" x14ac:dyDescent="0.2">
      <c r="B3466" s="37"/>
    </row>
    <row r="3467" spans="2:2" x14ac:dyDescent="0.2">
      <c r="B3467" s="37"/>
    </row>
    <row r="3468" spans="2:2" x14ac:dyDescent="0.2">
      <c r="B3468" s="37"/>
    </row>
    <row r="3469" spans="2:2" x14ac:dyDescent="0.2">
      <c r="B3469" s="37"/>
    </row>
    <row r="3470" spans="2:2" x14ac:dyDescent="0.2">
      <c r="B3470" s="37"/>
    </row>
    <row r="3471" spans="2:2" x14ac:dyDescent="0.2">
      <c r="B3471" s="37"/>
    </row>
    <row r="3472" spans="2:2" x14ac:dyDescent="0.2">
      <c r="B3472" s="37"/>
    </row>
    <row r="3473" spans="2:2" x14ac:dyDescent="0.2">
      <c r="B3473" s="37"/>
    </row>
    <row r="3474" spans="2:2" x14ac:dyDescent="0.2">
      <c r="B3474" s="37"/>
    </row>
    <row r="3475" spans="2:2" x14ac:dyDescent="0.2">
      <c r="B3475" s="37"/>
    </row>
    <row r="3476" spans="2:2" x14ac:dyDescent="0.2">
      <c r="B3476" s="37"/>
    </row>
    <row r="3477" spans="2:2" x14ac:dyDescent="0.2">
      <c r="B3477" s="37"/>
    </row>
    <row r="3478" spans="2:2" x14ac:dyDescent="0.2">
      <c r="B3478" s="37"/>
    </row>
    <row r="3479" spans="2:2" x14ac:dyDescent="0.2">
      <c r="B3479" s="37"/>
    </row>
    <row r="3480" spans="2:2" x14ac:dyDescent="0.2">
      <c r="B3480" s="37"/>
    </row>
    <row r="3481" spans="2:2" x14ac:dyDescent="0.2">
      <c r="B3481" s="37"/>
    </row>
    <row r="3482" spans="2:2" x14ac:dyDescent="0.2">
      <c r="B3482" s="37"/>
    </row>
    <row r="3483" spans="2:2" x14ac:dyDescent="0.2">
      <c r="B3483" s="37"/>
    </row>
    <row r="3484" spans="2:2" x14ac:dyDescent="0.2">
      <c r="B3484" s="37"/>
    </row>
    <row r="3485" spans="2:2" x14ac:dyDescent="0.2">
      <c r="B3485" s="37"/>
    </row>
    <row r="3486" spans="2:2" x14ac:dyDescent="0.2">
      <c r="B3486" s="37"/>
    </row>
    <row r="3487" spans="2:2" x14ac:dyDescent="0.2">
      <c r="B3487" s="37"/>
    </row>
    <row r="3488" spans="2:2" x14ac:dyDescent="0.2">
      <c r="B3488" s="37"/>
    </row>
    <row r="3489" spans="2:2" x14ac:dyDescent="0.2">
      <c r="B3489" s="37"/>
    </row>
    <row r="3490" spans="2:2" x14ac:dyDescent="0.2">
      <c r="B3490" s="37"/>
    </row>
    <row r="3491" spans="2:2" x14ac:dyDescent="0.2">
      <c r="B3491" s="37"/>
    </row>
    <row r="3492" spans="2:2" x14ac:dyDescent="0.2">
      <c r="B3492" s="37"/>
    </row>
    <row r="3493" spans="2:2" x14ac:dyDescent="0.2">
      <c r="B3493" s="37"/>
    </row>
    <row r="3494" spans="2:2" x14ac:dyDescent="0.2">
      <c r="B3494" s="37"/>
    </row>
    <row r="3495" spans="2:2" x14ac:dyDescent="0.2">
      <c r="B3495" s="37"/>
    </row>
    <row r="3496" spans="2:2" x14ac:dyDescent="0.2">
      <c r="B3496" s="37"/>
    </row>
    <row r="3497" spans="2:2" x14ac:dyDescent="0.2">
      <c r="B3497" s="37"/>
    </row>
    <row r="3498" spans="2:2" x14ac:dyDescent="0.2">
      <c r="B3498" s="37"/>
    </row>
    <row r="3499" spans="2:2" x14ac:dyDescent="0.2">
      <c r="B3499" s="37"/>
    </row>
    <row r="3500" spans="2:2" x14ac:dyDescent="0.2">
      <c r="B3500" s="37"/>
    </row>
    <row r="3501" spans="2:2" x14ac:dyDescent="0.2">
      <c r="B3501" s="37"/>
    </row>
    <row r="3502" spans="2:2" x14ac:dyDescent="0.2">
      <c r="B3502" s="37"/>
    </row>
    <row r="3503" spans="2:2" x14ac:dyDescent="0.2">
      <c r="B3503" s="37"/>
    </row>
    <row r="3504" spans="2:2" x14ac:dyDescent="0.2">
      <c r="B3504" s="37"/>
    </row>
    <row r="3505" spans="2:2" x14ac:dyDescent="0.2">
      <c r="B3505" s="37"/>
    </row>
    <row r="3506" spans="2:2" x14ac:dyDescent="0.2">
      <c r="B3506" s="37"/>
    </row>
    <row r="3507" spans="2:2" x14ac:dyDescent="0.2">
      <c r="B3507" s="37"/>
    </row>
    <row r="3508" spans="2:2" x14ac:dyDescent="0.2">
      <c r="B3508" s="37"/>
    </row>
    <row r="3509" spans="2:2" x14ac:dyDescent="0.2">
      <c r="B3509" s="37"/>
    </row>
    <row r="3510" spans="2:2" x14ac:dyDescent="0.2">
      <c r="B3510" s="37"/>
    </row>
    <row r="3511" spans="2:2" x14ac:dyDescent="0.2">
      <c r="B3511" s="37"/>
    </row>
    <row r="3512" spans="2:2" x14ac:dyDescent="0.2">
      <c r="B3512" s="37"/>
    </row>
    <row r="3513" spans="2:2" x14ac:dyDescent="0.2">
      <c r="B3513" s="37"/>
    </row>
    <row r="3514" spans="2:2" x14ac:dyDescent="0.2">
      <c r="B3514" s="37"/>
    </row>
    <row r="3515" spans="2:2" x14ac:dyDescent="0.2">
      <c r="B3515" s="37"/>
    </row>
    <row r="3516" spans="2:2" x14ac:dyDescent="0.2">
      <c r="B3516" s="37"/>
    </row>
    <row r="3517" spans="2:2" x14ac:dyDescent="0.2">
      <c r="B3517" s="37"/>
    </row>
    <row r="3518" spans="2:2" x14ac:dyDescent="0.2">
      <c r="B3518" s="37"/>
    </row>
    <row r="3519" spans="2:2" x14ac:dyDescent="0.2">
      <c r="B3519" s="37"/>
    </row>
    <row r="3520" spans="2:2" x14ac:dyDescent="0.2">
      <c r="B3520" s="37"/>
    </row>
    <row r="3521" spans="2:2" x14ac:dyDescent="0.2">
      <c r="B3521" s="37"/>
    </row>
    <row r="3522" spans="2:2" x14ac:dyDescent="0.2">
      <c r="B3522" s="37"/>
    </row>
    <row r="3523" spans="2:2" x14ac:dyDescent="0.2">
      <c r="B3523" s="37"/>
    </row>
    <row r="3524" spans="2:2" x14ac:dyDescent="0.2">
      <c r="B3524" s="37"/>
    </row>
    <row r="3525" spans="2:2" x14ac:dyDescent="0.2">
      <c r="B3525" s="37"/>
    </row>
    <row r="3526" spans="2:2" x14ac:dyDescent="0.2">
      <c r="B3526" s="37"/>
    </row>
    <row r="3527" spans="2:2" x14ac:dyDescent="0.2">
      <c r="B3527" s="37"/>
    </row>
    <row r="3528" spans="2:2" x14ac:dyDescent="0.2">
      <c r="B3528" s="37"/>
    </row>
    <row r="3529" spans="2:2" x14ac:dyDescent="0.2">
      <c r="B3529" s="37"/>
    </row>
    <row r="3530" spans="2:2" x14ac:dyDescent="0.2">
      <c r="B3530" s="37"/>
    </row>
    <row r="3531" spans="2:2" x14ac:dyDescent="0.2">
      <c r="B3531" s="37"/>
    </row>
    <row r="3532" spans="2:2" x14ac:dyDescent="0.2">
      <c r="B3532" s="37"/>
    </row>
    <row r="3533" spans="2:2" x14ac:dyDescent="0.2">
      <c r="B3533" s="37"/>
    </row>
    <row r="3534" spans="2:2" x14ac:dyDescent="0.2">
      <c r="B3534" s="37"/>
    </row>
    <row r="3535" spans="2:2" x14ac:dyDescent="0.2">
      <c r="B3535" s="37"/>
    </row>
    <row r="3536" spans="2:2" x14ac:dyDescent="0.2">
      <c r="B3536" s="37"/>
    </row>
    <row r="3537" spans="2:2" x14ac:dyDescent="0.2">
      <c r="B3537" s="37"/>
    </row>
    <row r="3538" spans="2:2" x14ac:dyDescent="0.2">
      <c r="B3538" s="37"/>
    </row>
    <row r="3539" spans="2:2" x14ac:dyDescent="0.2">
      <c r="B3539" s="37"/>
    </row>
    <row r="3540" spans="2:2" x14ac:dyDescent="0.2">
      <c r="B3540" s="37"/>
    </row>
    <row r="3541" spans="2:2" x14ac:dyDescent="0.2">
      <c r="B3541" s="37"/>
    </row>
    <row r="3542" spans="2:2" x14ac:dyDescent="0.2">
      <c r="B3542" s="37"/>
    </row>
    <row r="3543" spans="2:2" x14ac:dyDescent="0.2">
      <c r="B3543" s="37"/>
    </row>
    <row r="3544" spans="2:2" x14ac:dyDescent="0.2">
      <c r="B3544" s="37"/>
    </row>
    <row r="3545" spans="2:2" x14ac:dyDescent="0.2">
      <c r="B3545" s="37"/>
    </row>
    <row r="3546" spans="2:2" x14ac:dyDescent="0.2">
      <c r="B3546" s="37"/>
    </row>
    <row r="3547" spans="2:2" x14ac:dyDescent="0.2">
      <c r="B3547" s="37"/>
    </row>
    <row r="3548" spans="2:2" x14ac:dyDescent="0.2">
      <c r="B3548" s="37"/>
    </row>
    <row r="3549" spans="2:2" x14ac:dyDescent="0.2">
      <c r="B3549" s="37"/>
    </row>
    <row r="3550" spans="2:2" x14ac:dyDescent="0.2">
      <c r="B3550" s="37"/>
    </row>
    <row r="3551" spans="2:2" x14ac:dyDescent="0.2">
      <c r="B3551" s="37"/>
    </row>
    <row r="3552" spans="2:2" x14ac:dyDescent="0.2">
      <c r="B3552" s="37"/>
    </row>
    <row r="3553" spans="2:2" x14ac:dyDescent="0.2">
      <c r="B3553" s="37"/>
    </row>
    <row r="3554" spans="2:2" x14ac:dyDescent="0.2">
      <c r="B3554" s="37"/>
    </row>
    <row r="3555" spans="2:2" x14ac:dyDescent="0.2">
      <c r="B3555" s="37"/>
    </row>
    <row r="3556" spans="2:2" x14ac:dyDescent="0.2">
      <c r="B3556" s="37"/>
    </row>
    <row r="3557" spans="2:2" x14ac:dyDescent="0.2">
      <c r="B3557" s="37"/>
    </row>
    <row r="3558" spans="2:2" x14ac:dyDescent="0.2">
      <c r="B3558" s="37"/>
    </row>
    <row r="3559" spans="2:2" x14ac:dyDescent="0.2">
      <c r="B3559" s="37"/>
    </row>
    <row r="3560" spans="2:2" x14ac:dyDescent="0.2">
      <c r="B3560" s="37"/>
    </row>
    <row r="3561" spans="2:2" x14ac:dyDescent="0.2">
      <c r="B3561" s="37"/>
    </row>
    <row r="3562" spans="2:2" x14ac:dyDescent="0.2">
      <c r="B3562" s="37"/>
    </row>
    <row r="3563" spans="2:2" x14ac:dyDescent="0.2">
      <c r="B3563" s="37"/>
    </row>
    <row r="3564" spans="2:2" x14ac:dyDescent="0.2">
      <c r="B3564" s="37"/>
    </row>
    <row r="3565" spans="2:2" x14ac:dyDescent="0.2">
      <c r="B3565" s="37"/>
    </row>
    <row r="3566" spans="2:2" x14ac:dyDescent="0.2">
      <c r="B3566" s="37"/>
    </row>
    <row r="3567" spans="2:2" x14ac:dyDescent="0.2">
      <c r="B3567" s="37"/>
    </row>
    <row r="3568" spans="2:2" x14ac:dyDescent="0.2">
      <c r="B3568" s="37"/>
    </row>
    <row r="3569" spans="2:2" x14ac:dyDescent="0.2">
      <c r="B3569" s="37"/>
    </row>
    <row r="3570" spans="2:2" x14ac:dyDescent="0.2">
      <c r="B3570" s="37"/>
    </row>
    <row r="3571" spans="2:2" x14ac:dyDescent="0.2">
      <c r="B3571" s="37"/>
    </row>
    <row r="3572" spans="2:2" x14ac:dyDescent="0.2">
      <c r="B3572" s="37"/>
    </row>
    <row r="3573" spans="2:2" x14ac:dyDescent="0.2">
      <c r="B3573" s="37"/>
    </row>
    <row r="3574" spans="2:2" x14ac:dyDescent="0.2">
      <c r="B3574" s="37"/>
    </row>
    <row r="3575" spans="2:2" x14ac:dyDescent="0.2">
      <c r="B3575" s="37"/>
    </row>
    <row r="3576" spans="2:2" x14ac:dyDescent="0.2">
      <c r="B3576" s="37"/>
    </row>
    <row r="3577" spans="2:2" x14ac:dyDescent="0.2">
      <c r="B3577" s="37"/>
    </row>
    <row r="3578" spans="2:2" x14ac:dyDescent="0.2">
      <c r="B3578" s="37"/>
    </row>
    <row r="3579" spans="2:2" x14ac:dyDescent="0.2">
      <c r="B3579" s="37"/>
    </row>
    <row r="3580" spans="2:2" x14ac:dyDescent="0.2">
      <c r="B3580" s="37"/>
    </row>
    <row r="3581" spans="2:2" x14ac:dyDescent="0.2">
      <c r="B3581" s="37"/>
    </row>
    <row r="3582" spans="2:2" x14ac:dyDescent="0.2">
      <c r="B3582" s="37"/>
    </row>
    <row r="3583" spans="2:2" x14ac:dyDescent="0.2">
      <c r="B3583" s="37"/>
    </row>
    <row r="3584" spans="2:2" x14ac:dyDescent="0.2">
      <c r="B3584" s="37"/>
    </row>
    <row r="3585" spans="2:2" x14ac:dyDescent="0.2">
      <c r="B3585" s="37"/>
    </row>
    <row r="3586" spans="2:2" x14ac:dyDescent="0.2">
      <c r="B3586" s="37"/>
    </row>
    <row r="3587" spans="2:2" x14ac:dyDescent="0.2">
      <c r="B3587" s="37"/>
    </row>
    <row r="3588" spans="2:2" x14ac:dyDescent="0.2">
      <c r="B3588" s="37"/>
    </row>
    <row r="3589" spans="2:2" x14ac:dyDescent="0.2">
      <c r="B3589" s="37"/>
    </row>
    <row r="3590" spans="2:2" x14ac:dyDescent="0.2">
      <c r="B3590" s="37"/>
    </row>
    <row r="3591" spans="2:2" x14ac:dyDescent="0.2">
      <c r="B3591" s="37"/>
    </row>
    <row r="3592" spans="2:2" x14ac:dyDescent="0.2">
      <c r="B3592" s="37"/>
    </row>
    <row r="3593" spans="2:2" x14ac:dyDescent="0.2">
      <c r="B3593" s="37"/>
    </row>
    <row r="3594" spans="2:2" x14ac:dyDescent="0.2">
      <c r="B3594" s="37"/>
    </row>
    <row r="3595" spans="2:2" x14ac:dyDescent="0.2">
      <c r="B3595" s="37"/>
    </row>
    <row r="3596" spans="2:2" x14ac:dyDescent="0.2">
      <c r="B3596" s="37"/>
    </row>
    <row r="3597" spans="2:2" x14ac:dyDescent="0.2">
      <c r="B3597" s="37"/>
    </row>
    <row r="3598" spans="2:2" x14ac:dyDescent="0.2">
      <c r="B3598" s="37"/>
    </row>
    <row r="3599" spans="2:2" x14ac:dyDescent="0.2">
      <c r="B3599" s="37"/>
    </row>
    <row r="3600" spans="2:2" x14ac:dyDescent="0.2">
      <c r="B3600" s="37"/>
    </row>
    <row r="3601" spans="2:2" x14ac:dyDescent="0.2">
      <c r="B3601" s="37"/>
    </row>
    <row r="3602" spans="2:2" x14ac:dyDescent="0.2">
      <c r="B3602" s="37"/>
    </row>
    <row r="3603" spans="2:2" x14ac:dyDescent="0.2">
      <c r="B3603" s="37"/>
    </row>
    <row r="3604" spans="2:2" x14ac:dyDescent="0.2">
      <c r="B3604" s="37"/>
    </row>
    <row r="3605" spans="2:2" x14ac:dyDescent="0.2">
      <c r="B3605" s="37"/>
    </row>
    <row r="3606" spans="2:2" x14ac:dyDescent="0.2">
      <c r="B3606" s="37"/>
    </row>
    <row r="3607" spans="2:2" x14ac:dyDescent="0.2">
      <c r="B3607" s="37"/>
    </row>
    <row r="3608" spans="2:2" x14ac:dyDescent="0.2">
      <c r="B3608" s="37"/>
    </row>
    <row r="3609" spans="2:2" x14ac:dyDescent="0.2">
      <c r="B3609" s="37"/>
    </row>
    <row r="3610" spans="2:2" x14ac:dyDescent="0.2">
      <c r="B3610" s="37"/>
    </row>
    <row r="3611" spans="2:2" x14ac:dyDescent="0.2">
      <c r="B3611" s="37"/>
    </row>
    <row r="3612" spans="2:2" x14ac:dyDescent="0.2">
      <c r="B3612" s="37"/>
    </row>
    <row r="3613" spans="2:2" x14ac:dyDescent="0.2">
      <c r="B3613" s="37"/>
    </row>
    <row r="3614" spans="2:2" x14ac:dyDescent="0.2">
      <c r="B3614" s="37"/>
    </row>
    <row r="3615" spans="2:2" x14ac:dyDescent="0.2">
      <c r="B3615" s="37"/>
    </row>
    <row r="3616" spans="2:2" x14ac:dyDescent="0.2">
      <c r="B3616" s="37"/>
    </row>
    <row r="3617" spans="2:2" x14ac:dyDescent="0.2">
      <c r="B3617" s="37"/>
    </row>
    <row r="3618" spans="2:2" x14ac:dyDescent="0.2">
      <c r="B3618" s="37"/>
    </row>
    <row r="3619" spans="2:2" x14ac:dyDescent="0.2">
      <c r="B3619" s="37"/>
    </row>
    <row r="3620" spans="2:2" x14ac:dyDescent="0.2">
      <c r="B3620" s="37"/>
    </row>
    <row r="3621" spans="2:2" x14ac:dyDescent="0.2">
      <c r="B3621" s="37"/>
    </row>
    <row r="3622" spans="2:2" x14ac:dyDescent="0.2">
      <c r="B3622" s="37"/>
    </row>
    <row r="3623" spans="2:2" x14ac:dyDescent="0.2">
      <c r="B3623" s="37"/>
    </row>
    <row r="3624" spans="2:2" x14ac:dyDescent="0.2">
      <c r="B3624" s="37"/>
    </row>
    <row r="3625" spans="2:2" x14ac:dyDescent="0.2">
      <c r="B3625" s="37"/>
    </row>
    <row r="3626" spans="2:2" x14ac:dyDescent="0.2">
      <c r="B3626" s="37"/>
    </row>
    <row r="3627" spans="2:2" x14ac:dyDescent="0.2">
      <c r="B3627" s="37"/>
    </row>
    <row r="3628" spans="2:2" x14ac:dyDescent="0.2">
      <c r="B3628" s="37"/>
    </row>
    <row r="3629" spans="2:2" x14ac:dyDescent="0.2">
      <c r="B3629" s="37"/>
    </row>
    <row r="3630" spans="2:2" x14ac:dyDescent="0.2">
      <c r="B3630" s="37"/>
    </row>
    <row r="3631" spans="2:2" x14ac:dyDescent="0.2">
      <c r="B3631" s="37"/>
    </row>
    <row r="3632" spans="2:2" x14ac:dyDescent="0.2">
      <c r="B3632" s="37"/>
    </row>
    <row r="3633" spans="2:2" x14ac:dyDescent="0.2">
      <c r="B3633" s="37"/>
    </row>
    <row r="3634" spans="2:2" x14ac:dyDescent="0.2">
      <c r="B3634" s="37"/>
    </row>
    <row r="3635" spans="2:2" x14ac:dyDescent="0.2">
      <c r="B3635" s="37"/>
    </row>
    <row r="3636" spans="2:2" x14ac:dyDescent="0.2">
      <c r="B3636" s="37"/>
    </row>
    <row r="3637" spans="2:2" x14ac:dyDescent="0.2">
      <c r="B3637" s="37"/>
    </row>
    <row r="3638" spans="2:2" x14ac:dyDescent="0.2">
      <c r="B3638" s="37"/>
    </row>
    <row r="3639" spans="2:2" x14ac:dyDescent="0.2">
      <c r="B3639" s="37"/>
    </row>
    <row r="3640" spans="2:2" x14ac:dyDescent="0.2">
      <c r="B3640" s="37"/>
    </row>
    <row r="3641" spans="2:2" x14ac:dyDescent="0.2">
      <c r="B3641" s="37"/>
    </row>
    <row r="3642" spans="2:2" x14ac:dyDescent="0.2">
      <c r="B3642" s="37"/>
    </row>
    <row r="3643" spans="2:2" x14ac:dyDescent="0.2">
      <c r="B3643" s="37"/>
    </row>
    <row r="3644" spans="2:2" x14ac:dyDescent="0.2">
      <c r="B3644" s="37"/>
    </row>
    <row r="3645" spans="2:2" x14ac:dyDescent="0.2">
      <c r="B3645" s="37"/>
    </row>
    <row r="3646" spans="2:2" x14ac:dyDescent="0.2">
      <c r="B3646" s="37"/>
    </row>
    <row r="3647" spans="2:2" x14ac:dyDescent="0.2">
      <c r="B3647" s="37"/>
    </row>
    <row r="3648" spans="2:2" x14ac:dyDescent="0.2">
      <c r="B3648" s="37"/>
    </row>
    <row r="3649" spans="2:2" x14ac:dyDescent="0.2">
      <c r="B3649" s="37"/>
    </row>
    <row r="3650" spans="2:2" x14ac:dyDescent="0.2">
      <c r="B3650" s="37"/>
    </row>
    <row r="3651" spans="2:2" x14ac:dyDescent="0.2">
      <c r="B3651" s="37"/>
    </row>
    <row r="3652" spans="2:2" x14ac:dyDescent="0.2">
      <c r="B3652" s="37"/>
    </row>
    <row r="3653" spans="2:2" x14ac:dyDescent="0.2">
      <c r="B3653" s="37"/>
    </row>
    <row r="3654" spans="2:2" x14ac:dyDescent="0.2">
      <c r="B3654" s="37"/>
    </row>
    <row r="3655" spans="2:2" x14ac:dyDescent="0.2">
      <c r="B3655" s="37"/>
    </row>
    <row r="3656" spans="2:2" x14ac:dyDescent="0.2">
      <c r="B3656" s="37"/>
    </row>
    <row r="3657" spans="2:2" x14ac:dyDescent="0.2">
      <c r="B3657" s="37"/>
    </row>
    <row r="3658" spans="2:2" x14ac:dyDescent="0.2">
      <c r="B3658" s="37"/>
    </row>
    <row r="3659" spans="2:2" x14ac:dyDescent="0.2">
      <c r="B3659" s="37"/>
    </row>
    <row r="3660" spans="2:2" x14ac:dyDescent="0.2">
      <c r="B3660" s="37"/>
    </row>
    <row r="3661" spans="2:2" x14ac:dyDescent="0.2">
      <c r="B3661" s="37"/>
    </row>
    <row r="3662" spans="2:2" x14ac:dyDescent="0.2">
      <c r="B3662" s="37"/>
    </row>
    <row r="3663" spans="2:2" x14ac:dyDescent="0.2">
      <c r="B3663" s="37"/>
    </row>
    <row r="3664" spans="2:2" x14ac:dyDescent="0.2">
      <c r="B3664" s="37"/>
    </row>
    <row r="3665" spans="2:2" x14ac:dyDescent="0.2">
      <c r="B3665" s="37"/>
    </row>
    <row r="3666" spans="2:2" x14ac:dyDescent="0.2">
      <c r="B3666" s="37"/>
    </row>
    <row r="3667" spans="2:2" x14ac:dyDescent="0.2">
      <c r="B3667" s="37"/>
    </row>
    <row r="3668" spans="2:2" x14ac:dyDescent="0.2">
      <c r="B3668" s="37"/>
    </row>
    <row r="3669" spans="2:2" x14ac:dyDescent="0.2">
      <c r="B3669" s="37"/>
    </row>
    <row r="3670" spans="2:2" x14ac:dyDescent="0.2">
      <c r="B3670" s="37"/>
    </row>
    <row r="3671" spans="2:2" x14ac:dyDescent="0.2">
      <c r="B3671" s="37"/>
    </row>
    <row r="3672" spans="2:2" x14ac:dyDescent="0.2">
      <c r="B3672" s="37"/>
    </row>
    <row r="3673" spans="2:2" x14ac:dyDescent="0.2">
      <c r="B3673" s="37"/>
    </row>
    <row r="3674" spans="2:2" x14ac:dyDescent="0.2">
      <c r="B3674" s="37"/>
    </row>
    <row r="3675" spans="2:2" x14ac:dyDescent="0.2">
      <c r="B3675" s="37"/>
    </row>
    <row r="3676" spans="2:2" x14ac:dyDescent="0.2">
      <c r="B3676" s="37"/>
    </row>
    <row r="3677" spans="2:2" x14ac:dyDescent="0.2">
      <c r="B3677" s="37"/>
    </row>
    <row r="3678" spans="2:2" x14ac:dyDescent="0.2">
      <c r="B3678" s="37"/>
    </row>
    <row r="3679" spans="2:2" x14ac:dyDescent="0.2">
      <c r="B3679" s="37"/>
    </row>
    <row r="3680" spans="2:2" x14ac:dyDescent="0.2">
      <c r="B3680" s="37"/>
    </row>
    <row r="3681" spans="2:2" x14ac:dyDescent="0.2">
      <c r="B3681" s="37"/>
    </row>
    <row r="3682" spans="2:2" x14ac:dyDescent="0.2">
      <c r="B3682" s="37"/>
    </row>
    <row r="3683" spans="2:2" x14ac:dyDescent="0.2">
      <c r="B3683" s="37"/>
    </row>
    <row r="3684" spans="2:2" x14ac:dyDescent="0.2">
      <c r="B3684" s="37"/>
    </row>
    <row r="3685" spans="2:2" x14ac:dyDescent="0.2">
      <c r="B3685" s="37"/>
    </row>
    <row r="3686" spans="2:2" x14ac:dyDescent="0.2">
      <c r="B3686" s="37"/>
    </row>
    <row r="3687" spans="2:2" x14ac:dyDescent="0.2">
      <c r="B3687" s="37"/>
    </row>
    <row r="3688" spans="2:2" x14ac:dyDescent="0.2">
      <c r="B3688" s="37"/>
    </row>
    <row r="3689" spans="2:2" x14ac:dyDescent="0.2">
      <c r="B3689" s="37"/>
    </row>
    <row r="3690" spans="2:2" x14ac:dyDescent="0.2">
      <c r="B3690" s="37"/>
    </row>
    <row r="3691" spans="2:2" x14ac:dyDescent="0.2">
      <c r="B3691" s="37"/>
    </row>
    <row r="3692" spans="2:2" x14ac:dyDescent="0.2">
      <c r="B3692" s="37"/>
    </row>
    <row r="3693" spans="2:2" x14ac:dyDescent="0.2">
      <c r="B3693" s="37"/>
    </row>
    <row r="3694" spans="2:2" x14ac:dyDescent="0.2">
      <c r="B3694" s="37"/>
    </row>
    <row r="3695" spans="2:2" x14ac:dyDescent="0.2">
      <c r="B3695" s="37"/>
    </row>
    <row r="3696" spans="2:2" x14ac:dyDescent="0.2">
      <c r="B3696" s="37"/>
    </row>
    <row r="3697" spans="2:2" x14ac:dyDescent="0.2">
      <c r="B3697" s="37"/>
    </row>
    <row r="3698" spans="2:2" x14ac:dyDescent="0.2">
      <c r="B3698" s="37"/>
    </row>
    <row r="3699" spans="2:2" x14ac:dyDescent="0.2">
      <c r="B3699" s="37"/>
    </row>
    <row r="3700" spans="2:2" x14ac:dyDescent="0.2">
      <c r="B3700" s="37"/>
    </row>
    <row r="3701" spans="2:2" x14ac:dyDescent="0.2">
      <c r="B3701" s="37"/>
    </row>
    <row r="3702" spans="2:2" x14ac:dyDescent="0.2">
      <c r="B3702" s="37"/>
    </row>
    <row r="3703" spans="2:2" x14ac:dyDescent="0.2">
      <c r="B3703" s="37"/>
    </row>
    <row r="3704" spans="2:2" x14ac:dyDescent="0.2">
      <c r="B3704" s="37"/>
    </row>
    <row r="3705" spans="2:2" x14ac:dyDescent="0.2">
      <c r="B3705" s="37"/>
    </row>
    <row r="3706" spans="2:2" x14ac:dyDescent="0.2">
      <c r="B3706" s="37"/>
    </row>
    <row r="3707" spans="2:2" x14ac:dyDescent="0.2">
      <c r="B3707" s="37"/>
    </row>
    <row r="3708" spans="2:2" x14ac:dyDescent="0.2">
      <c r="B3708" s="37"/>
    </row>
    <row r="3709" spans="2:2" x14ac:dyDescent="0.2">
      <c r="B3709" s="37"/>
    </row>
    <row r="3710" spans="2:2" x14ac:dyDescent="0.2">
      <c r="B3710" s="37"/>
    </row>
    <row r="3711" spans="2:2" x14ac:dyDescent="0.2">
      <c r="B3711" s="37"/>
    </row>
    <row r="3712" spans="2:2" x14ac:dyDescent="0.2">
      <c r="B3712" s="37"/>
    </row>
    <row r="3713" spans="2:2" x14ac:dyDescent="0.2">
      <c r="B3713" s="37"/>
    </row>
    <row r="3714" spans="2:2" x14ac:dyDescent="0.2">
      <c r="B3714" s="37"/>
    </row>
    <row r="3715" spans="2:2" x14ac:dyDescent="0.2">
      <c r="B3715" s="37"/>
    </row>
    <row r="3716" spans="2:2" x14ac:dyDescent="0.2">
      <c r="B3716" s="37"/>
    </row>
    <row r="3717" spans="2:2" x14ac:dyDescent="0.2">
      <c r="B3717" s="37"/>
    </row>
    <row r="3718" spans="2:2" x14ac:dyDescent="0.2">
      <c r="B3718" s="37"/>
    </row>
    <row r="3719" spans="2:2" x14ac:dyDescent="0.2">
      <c r="B3719" s="37"/>
    </row>
    <row r="3720" spans="2:2" x14ac:dyDescent="0.2">
      <c r="B3720" s="37"/>
    </row>
    <row r="3721" spans="2:2" x14ac:dyDescent="0.2">
      <c r="B3721" s="37"/>
    </row>
    <row r="3722" spans="2:2" x14ac:dyDescent="0.2">
      <c r="B3722" s="37"/>
    </row>
    <row r="3723" spans="2:2" x14ac:dyDescent="0.2">
      <c r="B3723" s="37"/>
    </row>
    <row r="3724" spans="2:2" x14ac:dyDescent="0.2">
      <c r="B3724" s="37"/>
    </row>
    <row r="3725" spans="2:2" x14ac:dyDescent="0.2">
      <c r="B3725" s="37"/>
    </row>
    <row r="3726" spans="2:2" x14ac:dyDescent="0.2">
      <c r="B3726" s="37"/>
    </row>
    <row r="3727" spans="2:2" x14ac:dyDescent="0.2">
      <c r="B3727" s="37"/>
    </row>
    <row r="3728" spans="2:2" x14ac:dyDescent="0.2">
      <c r="B3728" s="37"/>
    </row>
    <row r="3729" spans="2:2" x14ac:dyDescent="0.2">
      <c r="B3729" s="37"/>
    </row>
    <row r="3730" spans="2:2" x14ac:dyDescent="0.2">
      <c r="B3730" s="37"/>
    </row>
    <row r="3731" spans="2:2" x14ac:dyDescent="0.2">
      <c r="B3731" s="37"/>
    </row>
    <row r="3732" spans="2:2" x14ac:dyDescent="0.2">
      <c r="B3732" s="37"/>
    </row>
    <row r="3733" spans="2:2" x14ac:dyDescent="0.2">
      <c r="B3733" s="37"/>
    </row>
    <row r="3734" spans="2:2" x14ac:dyDescent="0.2">
      <c r="B3734" s="37"/>
    </row>
    <row r="3735" spans="2:2" x14ac:dyDescent="0.2">
      <c r="B3735" s="37"/>
    </row>
    <row r="3736" spans="2:2" x14ac:dyDescent="0.2">
      <c r="B3736" s="37"/>
    </row>
    <row r="3737" spans="2:2" x14ac:dyDescent="0.2">
      <c r="B3737" s="37"/>
    </row>
    <row r="3738" spans="2:2" x14ac:dyDescent="0.2">
      <c r="B3738" s="37"/>
    </row>
    <row r="3739" spans="2:2" x14ac:dyDescent="0.2">
      <c r="B3739" s="37"/>
    </row>
    <row r="3740" spans="2:2" x14ac:dyDescent="0.2">
      <c r="B3740" s="37"/>
    </row>
    <row r="3741" spans="2:2" x14ac:dyDescent="0.2">
      <c r="B3741" s="37"/>
    </row>
    <row r="3742" spans="2:2" x14ac:dyDescent="0.2">
      <c r="B3742" s="37"/>
    </row>
    <row r="3743" spans="2:2" x14ac:dyDescent="0.2">
      <c r="B3743" s="37"/>
    </row>
    <row r="3744" spans="2:2" x14ac:dyDescent="0.2">
      <c r="B3744" s="37"/>
    </row>
    <row r="3745" spans="2:2" x14ac:dyDescent="0.2">
      <c r="B3745" s="37"/>
    </row>
    <row r="3746" spans="2:2" x14ac:dyDescent="0.2">
      <c r="B3746" s="37"/>
    </row>
    <row r="3747" spans="2:2" x14ac:dyDescent="0.2">
      <c r="B3747" s="37"/>
    </row>
    <row r="3748" spans="2:2" x14ac:dyDescent="0.2">
      <c r="B3748" s="37"/>
    </row>
    <row r="3749" spans="2:2" x14ac:dyDescent="0.2">
      <c r="B3749" s="37"/>
    </row>
    <row r="3750" spans="2:2" x14ac:dyDescent="0.2">
      <c r="B3750" s="37"/>
    </row>
    <row r="3751" spans="2:2" x14ac:dyDescent="0.2">
      <c r="B3751" s="37"/>
    </row>
    <row r="3752" spans="2:2" x14ac:dyDescent="0.2">
      <c r="B3752" s="37"/>
    </row>
    <row r="3753" spans="2:2" x14ac:dyDescent="0.2">
      <c r="B3753" s="37"/>
    </row>
    <row r="3754" spans="2:2" x14ac:dyDescent="0.2">
      <c r="B3754" s="37"/>
    </row>
    <row r="3755" spans="2:2" x14ac:dyDescent="0.2">
      <c r="B3755" s="37"/>
    </row>
    <row r="3756" spans="2:2" x14ac:dyDescent="0.2">
      <c r="B3756" s="37"/>
    </row>
    <row r="3757" spans="2:2" x14ac:dyDescent="0.2">
      <c r="B3757" s="37"/>
    </row>
    <row r="3758" spans="2:2" x14ac:dyDescent="0.2">
      <c r="B3758" s="37"/>
    </row>
    <row r="3759" spans="2:2" x14ac:dyDescent="0.2">
      <c r="B3759" s="37"/>
    </row>
    <row r="3760" spans="2:2" x14ac:dyDescent="0.2">
      <c r="B3760" s="37"/>
    </row>
    <row r="3761" spans="2:2" x14ac:dyDescent="0.2">
      <c r="B3761" s="37"/>
    </row>
    <row r="3762" spans="2:2" x14ac:dyDescent="0.2">
      <c r="B3762" s="37"/>
    </row>
    <row r="3763" spans="2:2" x14ac:dyDescent="0.2">
      <c r="B3763" s="37"/>
    </row>
    <row r="3764" spans="2:2" x14ac:dyDescent="0.2">
      <c r="B3764" s="37"/>
    </row>
    <row r="3765" spans="2:2" x14ac:dyDescent="0.2">
      <c r="B3765" s="37"/>
    </row>
    <row r="3766" spans="2:2" x14ac:dyDescent="0.2">
      <c r="B3766" s="37"/>
    </row>
    <row r="3767" spans="2:2" x14ac:dyDescent="0.2">
      <c r="B3767" s="37"/>
    </row>
    <row r="3768" spans="2:2" x14ac:dyDescent="0.2">
      <c r="B3768" s="37"/>
    </row>
    <row r="3769" spans="2:2" x14ac:dyDescent="0.2">
      <c r="B3769" s="37"/>
    </row>
    <row r="3770" spans="2:2" x14ac:dyDescent="0.2">
      <c r="B3770" s="37"/>
    </row>
    <row r="3771" spans="2:2" x14ac:dyDescent="0.2">
      <c r="B3771" s="37"/>
    </row>
    <row r="3772" spans="2:2" x14ac:dyDescent="0.2">
      <c r="B3772" s="37"/>
    </row>
    <row r="3773" spans="2:2" x14ac:dyDescent="0.2">
      <c r="B3773" s="37"/>
    </row>
    <row r="3774" spans="2:2" x14ac:dyDescent="0.2">
      <c r="B3774" s="37"/>
    </row>
    <row r="3775" spans="2:2" x14ac:dyDescent="0.2">
      <c r="B3775" s="37"/>
    </row>
    <row r="3776" spans="2:2" x14ac:dyDescent="0.2">
      <c r="B3776" s="37"/>
    </row>
    <row r="3777" spans="2:2" x14ac:dyDescent="0.2">
      <c r="B3777" s="37"/>
    </row>
    <row r="3778" spans="2:2" x14ac:dyDescent="0.2">
      <c r="B3778" s="3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4FFA-3AC8-4D4F-B108-002543225038}">
  <dimension ref="A1:V1216"/>
  <sheetViews>
    <sheetView topLeftCell="F1" workbookViewId="0">
      <pane ySplit="1" topLeftCell="A2" activePane="bottomLeft" state="frozen"/>
      <selection pane="bottomLeft" activeCell="P26" sqref="P26"/>
    </sheetView>
  </sheetViews>
  <sheetFormatPr baseColWidth="10" defaultRowHeight="16" x14ac:dyDescent="0.2"/>
  <cols>
    <col min="1" max="1" width="12.5" style="24" customWidth="1"/>
    <col min="2" max="15" width="10.83203125" style="24"/>
    <col min="16" max="16" width="28.1640625" style="24" customWidth="1"/>
    <col min="17" max="18" width="10.83203125" style="24"/>
    <col min="19" max="19" width="30.83203125" style="24" customWidth="1"/>
    <col min="20" max="20" width="10.5" style="24" customWidth="1"/>
    <col min="21" max="21" width="28" style="24" customWidth="1"/>
    <col min="22" max="22" width="73.5" style="24" customWidth="1"/>
    <col min="23" max="16384" width="10.83203125" style="24"/>
  </cols>
  <sheetData>
    <row r="1" spans="1:22" x14ac:dyDescent="0.2">
      <c r="A1" s="7" t="s">
        <v>14894</v>
      </c>
      <c r="B1" s="7" t="s">
        <v>14890</v>
      </c>
      <c r="C1" s="7" t="s">
        <v>14892</v>
      </c>
      <c r="D1" s="7" t="s">
        <v>14789</v>
      </c>
      <c r="E1" s="7" t="s">
        <v>14800</v>
      </c>
      <c r="F1" s="7" t="s">
        <v>14889</v>
      </c>
      <c r="G1" s="7" t="s">
        <v>9</v>
      </c>
      <c r="H1" s="7" t="s">
        <v>10</v>
      </c>
      <c r="I1" s="7" t="s">
        <v>11</v>
      </c>
      <c r="J1" s="7" t="s">
        <v>14792</v>
      </c>
      <c r="K1" s="7" t="s">
        <v>14881</v>
      </c>
      <c r="L1" s="7" t="s">
        <v>14882</v>
      </c>
      <c r="M1" s="7" t="s">
        <v>14883</v>
      </c>
      <c r="N1" s="7" t="s">
        <v>14884</v>
      </c>
      <c r="O1" s="7" t="s">
        <v>14923</v>
      </c>
      <c r="P1" s="7" t="s">
        <v>14933</v>
      </c>
      <c r="Q1" s="7" t="s">
        <v>14803</v>
      </c>
      <c r="S1" s="7" t="s">
        <v>14925</v>
      </c>
      <c r="T1" s="7" t="s">
        <v>14804</v>
      </c>
      <c r="U1" s="7"/>
      <c r="V1" s="7" t="s">
        <v>14915</v>
      </c>
    </row>
    <row r="2" spans="1:22" x14ac:dyDescent="0.2">
      <c r="A2" s="24" t="str">
        <f>"M01H9.3"</f>
        <v>M01H9.3</v>
      </c>
      <c r="B2" s="24" t="s">
        <v>2517</v>
      </c>
      <c r="C2" s="24" t="s">
        <v>2518</v>
      </c>
      <c r="D2" s="24" t="s">
        <v>29</v>
      </c>
      <c r="E2" s="24" t="s">
        <v>29</v>
      </c>
      <c r="F2" s="24" t="s">
        <v>29</v>
      </c>
      <c r="G2" s="24" t="s">
        <v>14849</v>
      </c>
      <c r="H2" s="24" t="s">
        <v>14849</v>
      </c>
      <c r="I2" s="24" t="s">
        <v>14849</v>
      </c>
      <c r="J2" s="24" t="s">
        <v>14849</v>
      </c>
      <c r="K2" s="24">
        <v>18.933121073308801</v>
      </c>
      <c r="L2" s="24">
        <v>18.689462095533301</v>
      </c>
      <c r="M2" s="24">
        <v>18.606127803489098</v>
      </c>
      <c r="N2" s="24">
        <f t="shared" ref="N2:N65" si="0">(K2+L2+M2)/3</f>
        <v>18.742903657443733</v>
      </c>
      <c r="O2" s="24" t="str">
        <f t="shared" ref="O2:O65" si="1">IFERROR(INDEX(T:T,MATCH(A2, S:S, 0)), "ND")</f>
        <v>ND</v>
      </c>
      <c r="P2" s="24" t="str">
        <f t="shared" ref="P2:P65" si="2">IFERROR(E2/O2, "NA")</f>
        <v>NA</v>
      </c>
      <c r="S2" s="12" t="s">
        <v>5634</v>
      </c>
      <c r="T2" s="13">
        <v>131.944345</v>
      </c>
      <c r="U2" s="39" t="s">
        <v>14926</v>
      </c>
      <c r="V2" s="24" t="s">
        <v>14916</v>
      </c>
    </row>
    <row r="3" spans="1:22" x14ac:dyDescent="0.2">
      <c r="A3" s="24" t="str">
        <f>"Y54G2A.40"</f>
        <v>Y54G2A.40</v>
      </c>
      <c r="B3" s="24" t="s">
        <v>10528</v>
      </c>
      <c r="C3" s="24" t="s">
        <v>214</v>
      </c>
      <c r="D3" s="24" t="s">
        <v>29</v>
      </c>
      <c r="E3" s="24" t="s">
        <v>29</v>
      </c>
      <c r="F3" s="24" t="s">
        <v>29</v>
      </c>
      <c r="G3" s="24" t="s">
        <v>14849</v>
      </c>
      <c r="H3" s="24" t="s">
        <v>14849</v>
      </c>
      <c r="I3" s="24" t="s">
        <v>14849</v>
      </c>
      <c r="J3" s="24" t="s">
        <v>14849</v>
      </c>
      <c r="K3" s="24">
        <v>17.110289982439401</v>
      </c>
      <c r="L3" s="24">
        <v>17.711652378246399</v>
      </c>
      <c r="M3" s="24">
        <v>17.091157580970201</v>
      </c>
      <c r="N3" s="24">
        <f t="shared" si="0"/>
        <v>17.304366647218668</v>
      </c>
      <c r="O3" s="24" t="str">
        <f t="shared" si="1"/>
        <v>ND</v>
      </c>
      <c r="P3" s="24" t="str">
        <f t="shared" si="2"/>
        <v>NA</v>
      </c>
      <c r="S3" s="12" t="s">
        <v>8063</v>
      </c>
      <c r="T3" s="13">
        <v>58.276928099999999</v>
      </c>
      <c r="U3" s="39" t="s">
        <v>14917</v>
      </c>
      <c r="V3" s="24" t="s">
        <v>14918</v>
      </c>
    </row>
    <row r="4" spans="1:22" x14ac:dyDescent="0.2">
      <c r="A4" s="14" t="str">
        <f>"acbp-3"</f>
        <v>acbp-3</v>
      </c>
      <c r="B4" s="14" t="s">
        <v>8818</v>
      </c>
      <c r="C4" s="14" t="s">
        <v>8820</v>
      </c>
      <c r="D4" s="14" t="s">
        <v>29</v>
      </c>
      <c r="E4" s="14" t="s">
        <v>29</v>
      </c>
      <c r="F4" s="14" t="s">
        <v>29</v>
      </c>
      <c r="G4" s="14" t="s">
        <v>14849</v>
      </c>
      <c r="H4" s="14" t="s">
        <v>14849</v>
      </c>
      <c r="I4" s="14" t="s">
        <v>14849</v>
      </c>
      <c r="J4" s="14" t="s">
        <v>14849</v>
      </c>
      <c r="K4" s="14">
        <v>17.3414222232377</v>
      </c>
      <c r="L4" s="14">
        <v>17.369246383196099</v>
      </c>
      <c r="M4" s="14">
        <v>16.723265254384</v>
      </c>
      <c r="N4" s="14">
        <f t="shared" si="0"/>
        <v>17.144644620272601</v>
      </c>
      <c r="O4" s="14">
        <f t="shared" si="1"/>
        <v>11.9608679</v>
      </c>
      <c r="P4" s="14" t="str">
        <f t="shared" si="2"/>
        <v>NA</v>
      </c>
      <c r="S4" s="12" t="s">
        <v>14173</v>
      </c>
      <c r="T4" s="13">
        <v>45.449789099999997</v>
      </c>
      <c r="U4" s="39"/>
    </row>
    <row r="5" spans="1:22" x14ac:dyDescent="0.2">
      <c r="A5" s="10" t="str">
        <f>"tap-1"</f>
        <v>tap-1</v>
      </c>
      <c r="B5" s="10" t="s">
        <v>1669</v>
      </c>
      <c r="C5" s="10" t="s">
        <v>1671</v>
      </c>
      <c r="D5" s="10" t="s">
        <v>29</v>
      </c>
      <c r="E5" s="10" t="s">
        <v>29</v>
      </c>
      <c r="F5" s="10" t="s">
        <v>29</v>
      </c>
      <c r="G5" s="10" t="s">
        <v>14849</v>
      </c>
      <c r="H5" s="10" t="s">
        <v>14849</v>
      </c>
      <c r="I5" s="10" t="s">
        <v>14849</v>
      </c>
      <c r="J5" s="10" t="s">
        <v>14849</v>
      </c>
      <c r="K5" s="10">
        <v>16.617980903303</v>
      </c>
      <c r="L5" s="10">
        <v>16.631076021781102</v>
      </c>
      <c r="M5" s="10">
        <v>16.176406195122901</v>
      </c>
      <c r="N5" s="10">
        <f t="shared" si="0"/>
        <v>16.475154373402336</v>
      </c>
      <c r="O5" s="10">
        <f t="shared" si="1"/>
        <v>2.7583972946551407</v>
      </c>
      <c r="P5" s="10" t="str">
        <f t="shared" si="2"/>
        <v>NA</v>
      </c>
      <c r="S5" s="12" t="s">
        <v>3109</v>
      </c>
      <c r="T5" s="13">
        <v>28.1004726</v>
      </c>
      <c r="U5" s="39"/>
    </row>
    <row r="6" spans="1:22" x14ac:dyDescent="0.2">
      <c r="A6" s="16" t="str">
        <f>"comt-3"</f>
        <v>comt-3</v>
      </c>
      <c r="B6" s="16" t="s">
        <v>11933</v>
      </c>
      <c r="C6" s="16" t="s">
        <v>11935</v>
      </c>
      <c r="D6" s="16" t="s">
        <v>29</v>
      </c>
      <c r="E6" s="16" t="s">
        <v>29</v>
      </c>
      <c r="F6" s="16" t="s">
        <v>29</v>
      </c>
      <c r="G6" s="16" t="s">
        <v>14849</v>
      </c>
      <c r="H6" s="16" t="s">
        <v>14849</v>
      </c>
      <c r="I6" s="16" t="s">
        <v>14849</v>
      </c>
      <c r="J6" s="16" t="s">
        <v>14849</v>
      </c>
      <c r="K6" s="16">
        <v>16.327718587936001</v>
      </c>
      <c r="L6" s="16">
        <v>16.130922892822099</v>
      </c>
      <c r="M6" s="16">
        <v>15.600940953971399</v>
      </c>
      <c r="N6" s="16">
        <f t="shared" si="0"/>
        <v>16.019860811576503</v>
      </c>
      <c r="O6" s="16">
        <f t="shared" si="1"/>
        <v>9.9269247280034332</v>
      </c>
      <c r="P6" s="16" t="str">
        <f t="shared" si="2"/>
        <v>NA</v>
      </c>
      <c r="S6" s="12" t="s">
        <v>4604</v>
      </c>
      <c r="T6" s="13">
        <v>27.4262218</v>
      </c>
      <c r="U6" s="39"/>
    </row>
    <row r="7" spans="1:22" x14ac:dyDescent="0.2">
      <c r="A7" s="24" t="str">
        <f>"gldi-7"</f>
        <v>gldi-7</v>
      </c>
      <c r="B7" s="24" t="s">
        <v>13366</v>
      </c>
      <c r="C7" s="24" t="s">
        <v>13368</v>
      </c>
      <c r="D7" s="24" t="s">
        <v>29</v>
      </c>
      <c r="E7" s="24" t="s">
        <v>29</v>
      </c>
      <c r="F7" s="24" t="s">
        <v>29</v>
      </c>
      <c r="G7" s="24" t="s">
        <v>14849</v>
      </c>
      <c r="H7" s="24" t="s">
        <v>14849</v>
      </c>
      <c r="I7" s="24" t="s">
        <v>14849</v>
      </c>
      <c r="J7" s="24" t="s">
        <v>14849</v>
      </c>
      <c r="K7" s="24">
        <v>14.8857607437188</v>
      </c>
      <c r="L7" s="24">
        <v>15.0035845778193</v>
      </c>
      <c r="M7" s="24">
        <v>14.6379457856799</v>
      </c>
      <c r="N7" s="24">
        <f t="shared" si="0"/>
        <v>14.842430369072668</v>
      </c>
      <c r="O7" s="24" t="str">
        <f t="shared" si="1"/>
        <v>ND</v>
      </c>
      <c r="P7" s="24" t="str">
        <f t="shared" si="2"/>
        <v>NA</v>
      </c>
      <c r="S7" s="12" t="s">
        <v>14303</v>
      </c>
      <c r="T7" s="13">
        <v>25.5388345</v>
      </c>
      <c r="U7" s="39"/>
    </row>
    <row r="8" spans="1:22" x14ac:dyDescent="0.2">
      <c r="A8" s="10" t="str">
        <f>"K02B12.7"</f>
        <v>K02B12.7</v>
      </c>
      <c r="B8" s="10" t="s">
        <v>6097</v>
      </c>
      <c r="C8" s="10" t="s">
        <v>3609</v>
      </c>
      <c r="D8" s="10" t="s">
        <v>29</v>
      </c>
      <c r="E8" s="10" t="s">
        <v>29</v>
      </c>
      <c r="F8" s="10" t="s">
        <v>29</v>
      </c>
      <c r="G8" s="10" t="s">
        <v>14849</v>
      </c>
      <c r="H8" s="10" t="s">
        <v>14849</v>
      </c>
      <c r="I8" s="10" t="s">
        <v>14849</v>
      </c>
      <c r="J8" s="10" t="s">
        <v>14849</v>
      </c>
      <c r="K8" s="10">
        <v>15.026697247799</v>
      </c>
      <c r="L8" s="10">
        <v>14.705502181361201</v>
      </c>
      <c r="M8" s="10">
        <v>14.3077383152837</v>
      </c>
      <c r="N8" s="10">
        <f t="shared" si="0"/>
        <v>14.679979248147967</v>
      </c>
      <c r="O8" s="10">
        <f t="shared" si="1"/>
        <v>4.0086542005910042</v>
      </c>
      <c r="P8" s="10" t="str">
        <f t="shared" si="2"/>
        <v>NA</v>
      </c>
      <c r="S8" s="12" t="s">
        <v>1545</v>
      </c>
      <c r="T8" s="13">
        <v>19.488423999999998</v>
      </c>
      <c r="U8" s="39"/>
    </row>
    <row r="9" spans="1:22" x14ac:dyDescent="0.2">
      <c r="A9" s="16" t="str">
        <f>"clic-1"</f>
        <v>clic-1</v>
      </c>
      <c r="B9" s="16" t="s">
        <v>6132</v>
      </c>
      <c r="C9" s="16" t="s">
        <v>6134</v>
      </c>
      <c r="D9" s="16" t="s">
        <v>29</v>
      </c>
      <c r="E9" s="16" t="s">
        <v>29</v>
      </c>
      <c r="F9" s="16" t="s">
        <v>29</v>
      </c>
      <c r="G9" s="16" t="s">
        <v>14849</v>
      </c>
      <c r="H9" s="16" t="s">
        <v>14849</v>
      </c>
      <c r="I9" s="16" t="s">
        <v>14849</v>
      </c>
      <c r="J9" s="16" t="s">
        <v>14849</v>
      </c>
      <c r="K9" s="16">
        <v>14.858452966252701</v>
      </c>
      <c r="L9" s="16">
        <v>14.340317962842599</v>
      </c>
      <c r="M9" s="16">
        <v>14.729120488643</v>
      </c>
      <c r="N9" s="16">
        <f t="shared" si="0"/>
        <v>14.642630472579434</v>
      </c>
      <c r="O9" s="16">
        <f t="shared" si="1"/>
        <v>9.8103186667543536</v>
      </c>
      <c r="P9" s="16" t="str">
        <f t="shared" si="2"/>
        <v>NA</v>
      </c>
      <c r="S9" s="12" t="s">
        <v>7421</v>
      </c>
      <c r="T9" s="13">
        <v>16.838587100000002</v>
      </c>
      <c r="U9" s="39"/>
    </row>
    <row r="10" spans="1:22" x14ac:dyDescent="0.2">
      <c r="A10" s="10" t="str">
        <f>"ppfr-4"</f>
        <v>ppfr-4</v>
      </c>
      <c r="B10" s="10" t="s">
        <v>12485</v>
      </c>
      <c r="C10" s="10" t="s">
        <v>12487</v>
      </c>
      <c r="D10" s="10" t="s">
        <v>29</v>
      </c>
      <c r="E10" s="10" t="s">
        <v>29</v>
      </c>
      <c r="F10" s="10" t="s">
        <v>29</v>
      </c>
      <c r="G10" s="10" t="s">
        <v>14849</v>
      </c>
      <c r="H10" s="10" t="s">
        <v>14849</v>
      </c>
      <c r="I10" s="10" t="s">
        <v>14849</v>
      </c>
      <c r="J10" s="10" t="s">
        <v>14849</v>
      </c>
      <c r="K10" s="10">
        <v>14.5807593143782</v>
      </c>
      <c r="L10" s="10">
        <v>14.375736227451799</v>
      </c>
      <c r="M10" s="10">
        <v>13.975024123319001</v>
      </c>
      <c r="N10" s="10">
        <f t="shared" si="0"/>
        <v>14.310506555049669</v>
      </c>
      <c r="O10" s="10">
        <f t="shared" si="1"/>
        <v>3.69990569</v>
      </c>
      <c r="P10" s="10" t="str">
        <f t="shared" si="2"/>
        <v>NA</v>
      </c>
      <c r="S10" s="12" t="s">
        <v>13243</v>
      </c>
      <c r="T10" s="13">
        <v>15.862799600000001</v>
      </c>
      <c r="U10" s="39"/>
    </row>
    <row r="11" spans="1:22" x14ac:dyDescent="0.2">
      <c r="A11" s="24" t="str">
        <f>"glna-2"</f>
        <v>glna-2</v>
      </c>
      <c r="B11" s="24" t="s">
        <v>8066</v>
      </c>
      <c r="C11" s="24" t="s">
        <v>8068</v>
      </c>
      <c r="D11" s="24" t="s">
        <v>29</v>
      </c>
      <c r="E11" s="24" t="s">
        <v>29</v>
      </c>
      <c r="F11" s="24" t="s">
        <v>29</v>
      </c>
      <c r="G11" s="24" t="s">
        <v>14849</v>
      </c>
      <c r="H11" s="24" t="s">
        <v>14849</v>
      </c>
      <c r="I11" s="24" t="s">
        <v>14849</v>
      </c>
      <c r="J11" s="24" t="s">
        <v>14849</v>
      </c>
      <c r="K11" s="24">
        <v>13.950090145314199</v>
      </c>
      <c r="L11" s="24">
        <v>14.413422151482701</v>
      </c>
      <c r="M11" s="24">
        <v>14.417934543252599</v>
      </c>
      <c r="N11" s="24">
        <f t="shared" si="0"/>
        <v>14.260482280016499</v>
      </c>
      <c r="O11" s="24" t="str">
        <f t="shared" si="1"/>
        <v>ND</v>
      </c>
      <c r="P11" s="24" t="str">
        <f t="shared" si="2"/>
        <v>NA</v>
      </c>
      <c r="S11" s="12" t="s">
        <v>236</v>
      </c>
      <c r="T11" s="13">
        <v>15.711251000000001</v>
      </c>
      <c r="U11" s="39"/>
    </row>
    <row r="12" spans="1:22" x14ac:dyDescent="0.2">
      <c r="A12" s="16" t="str">
        <f>"acsd-1"</f>
        <v>acsd-1</v>
      </c>
      <c r="B12" s="16" t="s">
        <v>10984</v>
      </c>
      <c r="C12" s="16" t="s">
        <v>10986</v>
      </c>
      <c r="D12" s="16" t="s">
        <v>29</v>
      </c>
      <c r="E12" s="16" t="s">
        <v>29</v>
      </c>
      <c r="F12" s="16" t="s">
        <v>29</v>
      </c>
      <c r="G12" s="16" t="s">
        <v>14849</v>
      </c>
      <c r="H12" s="16" t="s">
        <v>14849</v>
      </c>
      <c r="I12" s="16" t="s">
        <v>14849</v>
      </c>
      <c r="J12" s="16" t="s">
        <v>14849</v>
      </c>
      <c r="K12" s="16">
        <v>14.340547645839701</v>
      </c>
      <c r="L12" s="16">
        <v>14.298442903501201</v>
      </c>
      <c r="M12" s="16">
        <v>13.8604714438912</v>
      </c>
      <c r="N12" s="16">
        <f t="shared" si="0"/>
        <v>14.166487331077368</v>
      </c>
      <c r="O12" s="16">
        <f t="shared" si="1"/>
        <v>5.4897413400000001</v>
      </c>
      <c r="P12" s="16" t="str">
        <f t="shared" si="2"/>
        <v>NA</v>
      </c>
      <c r="S12" s="12" t="s">
        <v>2802</v>
      </c>
      <c r="T12" s="13">
        <v>15.4569776</v>
      </c>
      <c r="U12" s="39"/>
    </row>
    <row r="13" spans="1:22" x14ac:dyDescent="0.2">
      <c r="A13" s="24" t="str">
        <f>"dnc-3"</f>
        <v>dnc-3</v>
      </c>
      <c r="B13" s="24" t="s">
        <v>11882</v>
      </c>
      <c r="C13" s="24" t="s">
        <v>11884</v>
      </c>
      <c r="D13" s="24" t="s">
        <v>29</v>
      </c>
      <c r="E13" s="24" t="s">
        <v>29</v>
      </c>
      <c r="F13" s="24" t="s">
        <v>29</v>
      </c>
      <c r="G13" s="24" t="s">
        <v>14849</v>
      </c>
      <c r="H13" s="24" t="s">
        <v>14849</v>
      </c>
      <c r="I13" s="24" t="s">
        <v>14849</v>
      </c>
      <c r="J13" s="24" t="s">
        <v>14849</v>
      </c>
      <c r="K13" s="24">
        <v>14.3517052753388</v>
      </c>
      <c r="L13" s="24">
        <v>14.273756835671801</v>
      </c>
      <c r="M13" s="24">
        <v>13.7800647512005</v>
      </c>
      <c r="N13" s="24">
        <f t="shared" si="0"/>
        <v>14.135175620737032</v>
      </c>
      <c r="O13" s="24" t="str">
        <f t="shared" si="1"/>
        <v>ND</v>
      </c>
      <c r="P13" s="24" t="str">
        <f t="shared" si="2"/>
        <v>NA</v>
      </c>
      <c r="S13" s="12" t="s">
        <v>11562</v>
      </c>
      <c r="T13" s="13">
        <v>14.660895399999999</v>
      </c>
      <c r="U13" s="39"/>
    </row>
    <row r="14" spans="1:22" x14ac:dyDescent="0.2">
      <c r="A14" s="10" t="str">
        <f>"C07A12.7"</f>
        <v>C07A12.7</v>
      </c>
      <c r="B14" s="10" t="s">
        <v>11584</v>
      </c>
      <c r="C14" s="10" t="s">
        <v>11586</v>
      </c>
      <c r="D14" s="10" t="s">
        <v>29</v>
      </c>
      <c r="E14" s="10" t="s">
        <v>29</v>
      </c>
      <c r="F14" s="10" t="s">
        <v>29</v>
      </c>
      <c r="G14" s="10" t="s">
        <v>14849</v>
      </c>
      <c r="H14" s="10" t="s">
        <v>14849</v>
      </c>
      <c r="I14" s="10" t="s">
        <v>14849</v>
      </c>
      <c r="J14" s="10" t="s">
        <v>14849</v>
      </c>
      <c r="K14" s="10">
        <v>14.3781055097124</v>
      </c>
      <c r="L14" s="10">
        <v>14.258062838974199</v>
      </c>
      <c r="M14" s="10">
        <v>13.603288928191301</v>
      </c>
      <c r="N14" s="10">
        <f t="shared" si="0"/>
        <v>14.079819092292633</v>
      </c>
      <c r="O14" s="10">
        <f t="shared" si="1"/>
        <v>2.85350839</v>
      </c>
      <c r="P14" s="10" t="str">
        <f t="shared" si="2"/>
        <v>NA</v>
      </c>
      <c r="S14" s="12" t="s">
        <v>8188</v>
      </c>
      <c r="T14" s="13">
        <v>14.6257997</v>
      </c>
      <c r="U14" s="39"/>
    </row>
    <row r="15" spans="1:22" x14ac:dyDescent="0.2">
      <c r="A15" s="10" t="str">
        <f>"mdt-4"</f>
        <v>mdt-4</v>
      </c>
      <c r="B15" s="10" t="s">
        <v>10297</v>
      </c>
      <c r="C15" s="10" t="s">
        <v>10299</v>
      </c>
      <c r="D15" s="10" t="s">
        <v>29</v>
      </c>
      <c r="E15" s="10" t="s">
        <v>29</v>
      </c>
      <c r="F15" s="10" t="s">
        <v>29</v>
      </c>
      <c r="G15" s="10" t="s">
        <v>14849</v>
      </c>
      <c r="H15" s="10" t="s">
        <v>14849</v>
      </c>
      <c r="I15" s="10" t="s">
        <v>14849</v>
      </c>
      <c r="J15" s="10" t="s">
        <v>14849</v>
      </c>
      <c r="K15" s="10">
        <v>14.288082302310199</v>
      </c>
      <c r="L15" s="10">
        <v>14.110814469054599</v>
      </c>
      <c r="M15" s="10">
        <v>13.811223370204701</v>
      </c>
      <c r="N15" s="10">
        <f t="shared" si="0"/>
        <v>14.070040047189833</v>
      </c>
      <c r="O15" s="10">
        <f t="shared" si="1"/>
        <v>2.9140060499999998</v>
      </c>
      <c r="P15" s="10" t="str">
        <f t="shared" si="2"/>
        <v>NA</v>
      </c>
      <c r="S15" s="12" t="s">
        <v>3189</v>
      </c>
      <c r="T15" s="13">
        <v>13.513067700000001</v>
      </c>
      <c r="U15" s="39"/>
    </row>
    <row r="16" spans="1:22" x14ac:dyDescent="0.2">
      <c r="A16" s="10" t="str">
        <f>"F25H8.2"</f>
        <v>F25H8.2</v>
      </c>
      <c r="B16" s="10" t="s">
        <v>8431</v>
      </c>
      <c r="C16" s="10" t="s">
        <v>8432</v>
      </c>
      <c r="D16" s="10" t="s">
        <v>29</v>
      </c>
      <c r="E16" s="10" t="s">
        <v>29</v>
      </c>
      <c r="F16" s="10" t="s">
        <v>29</v>
      </c>
      <c r="G16" s="10" t="s">
        <v>14849</v>
      </c>
      <c r="H16" s="10" t="s">
        <v>14849</v>
      </c>
      <c r="I16" s="10" t="s">
        <v>14849</v>
      </c>
      <c r="J16" s="10" t="s">
        <v>14849</v>
      </c>
      <c r="K16" s="10">
        <v>14.6681073964786</v>
      </c>
      <c r="L16" s="10">
        <v>13.9631214983878</v>
      </c>
      <c r="M16" s="10">
        <v>13.4484249167028</v>
      </c>
      <c r="N16" s="10">
        <f t="shared" si="0"/>
        <v>14.026551270523067</v>
      </c>
      <c r="O16" s="10">
        <f t="shared" si="1"/>
        <v>2.7286739180665229</v>
      </c>
      <c r="P16" s="10" t="str">
        <f t="shared" si="2"/>
        <v>NA</v>
      </c>
      <c r="S16" s="12" t="s">
        <v>76</v>
      </c>
      <c r="T16" s="13">
        <v>13.279445000000001</v>
      </c>
      <c r="U16" s="39"/>
    </row>
    <row r="17" spans="1:21" x14ac:dyDescent="0.2">
      <c r="A17" s="24" t="str">
        <f>"T04A11.2"</f>
        <v>T04A11.2</v>
      </c>
      <c r="B17" s="24" t="s">
        <v>1130</v>
      </c>
      <c r="C17" s="24" t="s">
        <v>1131</v>
      </c>
      <c r="D17" s="24" t="s">
        <v>29</v>
      </c>
      <c r="E17" s="24" t="s">
        <v>29</v>
      </c>
      <c r="F17" s="24" t="s">
        <v>29</v>
      </c>
      <c r="G17" s="24" t="s">
        <v>14849</v>
      </c>
      <c r="H17" s="24" t="s">
        <v>14849</v>
      </c>
      <c r="I17" s="24" t="s">
        <v>14849</v>
      </c>
      <c r="J17" s="24" t="s">
        <v>14849</v>
      </c>
      <c r="K17" s="24">
        <v>14.1078258198008</v>
      </c>
      <c r="L17" s="24">
        <v>13.9268885594176</v>
      </c>
      <c r="M17" s="24">
        <v>13.240046154694699</v>
      </c>
      <c r="N17" s="24">
        <f t="shared" si="0"/>
        <v>13.758253511304366</v>
      </c>
      <c r="O17" s="24" t="str">
        <f t="shared" si="1"/>
        <v>ND</v>
      </c>
      <c r="P17" s="24" t="str">
        <f t="shared" si="2"/>
        <v>NA</v>
      </c>
      <c r="S17" s="12" t="s">
        <v>10385</v>
      </c>
      <c r="T17" s="13">
        <v>12.7803343</v>
      </c>
      <c r="U17" s="39"/>
    </row>
    <row r="18" spans="1:21" x14ac:dyDescent="0.2">
      <c r="A18" s="22" t="str">
        <f>"Y62E10A.13"</f>
        <v>Y62E10A.13</v>
      </c>
      <c r="B18" s="22" t="s">
        <v>26</v>
      </c>
      <c r="C18" s="22" t="s">
        <v>27</v>
      </c>
      <c r="D18" s="22" t="s">
        <v>29</v>
      </c>
      <c r="E18" s="22" t="s">
        <v>29</v>
      </c>
      <c r="F18" s="22" t="s">
        <v>29</v>
      </c>
      <c r="G18" s="22" t="s">
        <v>14849</v>
      </c>
      <c r="H18" s="22" t="s">
        <v>14849</v>
      </c>
      <c r="I18" s="22" t="s">
        <v>14849</v>
      </c>
      <c r="J18" s="22" t="s">
        <v>14849</v>
      </c>
      <c r="K18" s="22">
        <v>14.1740450146343</v>
      </c>
      <c r="L18" s="22">
        <v>13.7159057161227</v>
      </c>
      <c r="M18" s="22">
        <v>13.2918348491913</v>
      </c>
      <c r="N18" s="22">
        <f t="shared" si="0"/>
        <v>13.727261859982766</v>
      </c>
      <c r="O18" s="22" t="str">
        <f t="shared" si="1"/>
        <v>ND</v>
      </c>
      <c r="P18" s="22" t="str">
        <f t="shared" si="2"/>
        <v>NA</v>
      </c>
      <c r="S18" s="12" t="s">
        <v>11175</v>
      </c>
      <c r="T18" s="13">
        <v>12.709663600000001</v>
      </c>
      <c r="U18" s="39"/>
    </row>
    <row r="19" spans="1:21" x14ac:dyDescent="0.2">
      <c r="A19" s="10" t="str">
        <f>"clp-1"</f>
        <v>clp-1</v>
      </c>
      <c r="B19" s="10" t="s">
        <v>4978</v>
      </c>
      <c r="C19" s="10" t="s">
        <v>4980</v>
      </c>
      <c r="D19" s="10" t="s">
        <v>29</v>
      </c>
      <c r="E19" s="10" t="s">
        <v>29</v>
      </c>
      <c r="F19" s="10" t="s">
        <v>29</v>
      </c>
      <c r="G19" s="10" t="s">
        <v>14849</v>
      </c>
      <c r="H19" s="10" t="s">
        <v>14849</v>
      </c>
      <c r="I19" s="10" t="s">
        <v>14849</v>
      </c>
      <c r="J19" s="10" t="s">
        <v>14849</v>
      </c>
      <c r="K19" s="10">
        <v>13.429438863971701</v>
      </c>
      <c r="L19" s="10">
        <v>13.667586088984599</v>
      </c>
      <c r="M19" s="10">
        <v>14.064322554099199</v>
      </c>
      <c r="N19" s="10">
        <f t="shared" si="0"/>
        <v>13.720449169018499</v>
      </c>
      <c r="O19" s="10">
        <f t="shared" si="1"/>
        <v>2.3367719299999998</v>
      </c>
      <c r="P19" s="10" t="str">
        <f t="shared" si="2"/>
        <v>NA</v>
      </c>
      <c r="S19" s="12" t="s">
        <v>2196</v>
      </c>
      <c r="T19" s="13">
        <v>12.573299199999999</v>
      </c>
      <c r="U19" s="39"/>
    </row>
    <row r="20" spans="1:21" x14ac:dyDescent="0.2">
      <c r="A20" s="24" t="str">
        <f>"Y76A2B.5"</f>
        <v>Y76A2B.5</v>
      </c>
      <c r="B20" s="24" t="s">
        <v>13797</v>
      </c>
      <c r="C20" s="24" t="s">
        <v>13798</v>
      </c>
      <c r="D20" s="24" t="s">
        <v>29</v>
      </c>
      <c r="E20" s="24" t="s">
        <v>29</v>
      </c>
      <c r="F20" s="24" t="s">
        <v>29</v>
      </c>
      <c r="G20" s="24" t="s">
        <v>14849</v>
      </c>
      <c r="H20" s="24" t="s">
        <v>14849</v>
      </c>
      <c r="I20" s="24" t="s">
        <v>14849</v>
      </c>
      <c r="J20" s="24" t="s">
        <v>14849</v>
      </c>
      <c r="K20" s="24">
        <v>13.9838715462572</v>
      </c>
      <c r="L20" s="24">
        <v>13.913838675590799</v>
      </c>
      <c r="M20" s="24">
        <v>12.945968202092001</v>
      </c>
      <c r="N20" s="24">
        <f t="shared" si="0"/>
        <v>13.614559474646668</v>
      </c>
      <c r="O20" s="24" t="str">
        <f t="shared" si="1"/>
        <v>ND</v>
      </c>
      <c r="P20" s="24" t="str">
        <f t="shared" si="2"/>
        <v>NA</v>
      </c>
      <c r="S20" s="12" t="s">
        <v>8819</v>
      </c>
      <c r="T20" s="13">
        <v>11.9608679</v>
      </c>
      <c r="U20" s="39"/>
    </row>
    <row r="21" spans="1:21" x14ac:dyDescent="0.2">
      <c r="A21" s="10" t="str">
        <f>"tes-1"</f>
        <v>tes-1</v>
      </c>
      <c r="B21" s="10" t="s">
        <v>7339</v>
      </c>
      <c r="C21" s="10" t="s">
        <v>7341</v>
      </c>
      <c r="D21" s="10" t="s">
        <v>29</v>
      </c>
      <c r="E21" s="10" t="s">
        <v>29</v>
      </c>
      <c r="F21" s="10" t="s">
        <v>29</v>
      </c>
      <c r="G21" s="10" t="s">
        <v>14849</v>
      </c>
      <c r="H21" s="10" t="s">
        <v>14849</v>
      </c>
      <c r="I21" s="10" t="s">
        <v>14849</v>
      </c>
      <c r="J21" s="10" t="s">
        <v>14849</v>
      </c>
      <c r="K21" s="10">
        <v>14.0406292074662</v>
      </c>
      <c r="L21" s="10">
        <v>13.497787380905899</v>
      </c>
      <c r="M21" s="10">
        <v>13.2877962834934</v>
      </c>
      <c r="N21" s="10">
        <f t="shared" si="0"/>
        <v>13.608737623955166</v>
      </c>
      <c r="O21" s="10">
        <f t="shared" si="1"/>
        <v>3.5329462735661892</v>
      </c>
      <c r="P21" s="10" t="str">
        <f t="shared" si="2"/>
        <v>NA</v>
      </c>
      <c r="S21" s="12" t="s">
        <v>6701</v>
      </c>
      <c r="T21" s="13">
        <v>11.410588000000001</v>
      </c>
      <c r="U21" s="39"/>
    </row>
    <row r="22" spans="1:21" x14ac:dyDescent="0.2">
      <c r="A22" s="16" t="str">
        <f>"R12E2.11"</f>
        <v>R12E2.11</v>
      </c>
      <c r="B22" s="16" t="s">
        <v>4317</v>
      </c>
      <c r="C22" s="16" t="s">
        <v>4319</v>
      </c>
      <c r="D22" s="16" t="s">
        <v>29</v>
      </c>
      <c r="E22" s="16" t="s">
        <v>29</v>
      </c>
      <c r="F22" s="16" t="s">
        <v>29</v>
      </c>
      <c r="G22" s="16" t="s">
        <v>14849</v>
      </c>
      <c r="H22" s="16" t="s">
        <v>14849</v>
      </c>
      <c r="I22" s="16" t="s">
        <v>14849</v>
      </c>
      <c r="J22" s="16" t="s">
        <v>14849</v>
      </c>
      <c r="K22" s="16">
        <v>13.869990039133899</v>
      </c>
      <c r="L22" s="16">
        <v>13.683144176210901</v>
      </c>
      <c r="M22" s="16">
        <v>13.236947371609499</v>
      </c>
      <c r="N22" s="16">
        <f t="shared" si="0"/>
        <v>13.5966938623181</v>
      </c>
      <c r="O22" s="16">
        <f t="shared" si="1"/>
        <v>7.0566296503743651</v>
      </c>
      <c r="P22" s="16" t="str">
        <f t="shared" si="2"/>
        <v>NA</v>
      </c>
      <c r="S22" s="12" t="s">
        <v>4114</v>
      </c>
      <c r="T22" s="13">
        <v>11.1537191</v>
      </c>
      <c r="U22" s="39"/>
    </row>
    <row r="23" spans="1:21" x14ac:dyDescent="0.2">
      <c r="A23" s="10" t="str">
        <f>"T02G5.7"</f>
        <v>T02G5.7</v>
      </c>
      <c r="B23" s="10" t="s">
        <v>9643</v>
      </c>
      <c r="C23" s="10" t="s">
        <v>9644</v>
      </c>
      <c r="D23" s="10" t="s">
        <v>29</v>
      </c>
      <c r="E23" s="10" t="s">
        <v>29</v>
      </c>
      <c r="F23" s="10" t="s">
        <v>29</v>
      </c>
      <c r="G23" s="10" t="s">
        <v>14849</v>
      </c>
      <c r="H23" s="10" t="s">
        <v>14849</v>
      </c>
      <c r="I23" s="10" t="s">
        <v>14849</v>
      </c>
      <c r="J23" s="10" t="s">
        <v>14849</v>
      </c>
      <c r="K23" s="10">
        <v>13.4622728199113</v>
      </c>
      <c r="L23" s="10">
        <v>13.301678478744799</v>
      </c>
      <c r="M23" s="10">
        <v>13.9236721961275</v>
      </c>
      <c r="N23" s="10">
        <f t="shared" si="0"/>
        <v>13.562541164927866</v>
      </c>
      <c r="O23" s="10">
        <f t="shared" si="1"/>
        <v>3.7979094356966026</v>
      </c>
      <c r="P23" s="10" t="str">
        <f t="shared" si="2"/>
        <v>NA</v>
      </c>
      <c r="S23" s="12" t="s">
        <v>14177</v>
      </c>
      <c r="T23" s="13">
        <v>11.1474306</v>
      </c>
      <c r="U23" s="39"/>
    </row>
    <row r="24" spans="1:21" x14ac:dyDescent="0.2">
      <c r="A24" s="16" t="str">
        <f>"F13E6.1"</f>
        <v>F13E6.1</v>
      </c>
      <c r="B24" s="16" t="s">
        <v>5986</v>
      </c>
      <c r="C24" s="16" t="s">
        <v>5988</v>
      </c>
      <c r="D24" s="16" t="s">
        <v>29</v>
      </c>
      <c r="E24" s="16" t="s">
        <v>29</v>
      </c>
      <c r="F24" s="16" t="s">
        <v>29</v>
      </c>
      <c r="G24" s="16" t="s">
        <v>14849</v>
      </c>
      <c r="H24" s="16" t="s">
        <v>14849</v>
      </c>
      <c r="I24" s="16" t="s">
        <v>14849</v>
      </c>
      <c r="J24" s="16" t="s">
        <v>14849</v>
      </c>
      <c r="K24" s="16">
        <v>13.855884865617</v>
      </c>
      <c r="L24" s="16">
        <v>13.398046632123799</v>
      </c>
      <c r="M24" s="16">
        <v>13.338877371432</v>
      </c>
      <c r="N24" s="16">
        <f t="shared" si="0"/>
        <v>13.530936289724266</v>
      </c>
      <c r="O24" s="16">
        <f t="shared" si="1"/>
        <v>6.2273672773130739</v>
      </c>
      <c r="P24" s="16" t="str">
        <f t="shared" si="2"/>
        <v>NA</v>
      </c>
      <c r="S24" s="14" t="s">
        <v>7065</v>
      </c>
      <c r="T24" s="15">
        <v>10.739022063060709</v>
      </c>
      <c r="U24" s="40"/>
    </row>
    <row r="25" spans="1:21" x14ac:dyDescent="0.2">
      <c r="A25" s="10" t="str">
        <f>"dhp-1"</f>
        <v>dhp-1</v>
      </c>
      <c r="B25" s="10" t="s">
        <v>9425</v>
      </c>
      <c r="C25" s="10" t="s">
        <v>9427</v>
      </c>
      <c r="D25" s="10" t="s">
        <v>29</v>
      </c>
      <c r="E25" s="10" t="s">
        <v>29</v>
      </c>
      <c r="F25" s="10" t="s">
        <v>29</v>
      </c>
      <c r="G25" s="10" t="s">
        <v>14849</v>
      </c>
      <c r="H25" s="10" t="s">
        <v>14849</v>
      </c>
      <c r="I25" s="10" t="s">
        <v>14849</v>
      </c>
      <c r="J25" s="10" t="s">
        <v>14849</v>
      </c>
      <c r="K25" s="10">
        <v>13.676614373315701</v>
      </c>
      <c r="L25" s="10">
        <v>13.6694407400353</v>
      </c>
      <c r="M25" s="10">
        <v>12.933502334258</v>
      </c>
      <c r="N25" s="10">
        <f t="shared" si="0"/>
        <v>13.426519149203001</v>
      </c>
      <c r="O25" s="10">
        <f t="shared" si="1"/>
        <v>3.13809</v>
      </c>
      <c r="P25" s="10" t="str">
        <f t="shared" si="2"/>
        <v>NA</v>
      </c>
      <c r="S25" s="12" t="s">
        <v>6784</v>
      </c>
      <c r="T25" s="13">
        <v>10.478298199999999</v>
      </c>
      <c r="U25" s="39"/>
    </row>
    <row r="26" spans="1:21" x14ac:dyDescent="0.2">
      <c r="A26" s="24" t="str">
        <f>"mom-4"</f>
        <v>mom-4</v>
      </c>
      <c r="B26" s="24" t="s">
        <v>13491</v>
      </c>
      <c r="C26" s="24" t="s">
        <v>13493</v>
      </c>
      <c r="D26" s="24" t="s">
        <v>29</v>
      </c>
      <c r="E26" s="24" t="s">
        <v>29</v>
      </c>
      <c r="F26" s="24" t="s">
        <v>29</v>
      </c>
      <c r="G26" s="24" t="s">
        <v>14849</v>
      </c>
      <c r="H26" s="24" t="s">
        <v>14849</v>
      </c>
      <c r="I26" s="24" t="s">
        <v>14849</v>
      </c>
      <c r="J26" s="24" t="s">
        <v>14849</v>
      </c>
      <c r="K26" s="24">
        <v>13.913846028934501</v>
      </c>
      <c r="L26" s="24">
        <v>12.9774364352768</v>
      </c>
      <c r="M26" s="24">
        <v>13.251889194745999</v>
      </c>
      <c r="N26" s="24">
        <f t="shared" si="0"/>
        <v>13.381057219652433</v>
      </c>
      <c r="O26" s="24" t="str">
        <f t="shared" si="1"/>
        <v>ND</v>
      </c>
      <c r="P26" s="24" t="str">
        <f t="shared" si="2"/>
        <v>NA</v>
      </c>
      <c r="S26" s="12" t="s">
        <v>4012</v>
      </c>
      <c r="T26" s="13">
        <v>10.26802</v>
      </c>
      <c r="U26" s="39"/>
    </row>
    <row r="27" spans="1:21" x14ac:dyDescent="0.2">
      <c r="A27" s="16" t="str">
        <f>"ras-2"</f>
        <v>ras-2</v>
      </c>
      <c r="B27" s="16" t="s">
        <v>2061</v>
      </c>
      <c r="C27" s="16" t="s">
        <v>992</v>
      </c>
      <c r="D27" s="16" t="s">
        <v>29</v>
      </c>
      <c r="E27" s="16" t="s">
        <v>29</v>
      </c>
      <c r="F27" s="16" t="s">
        <v>29</v>
      </c>
      <c r="G27" s="16" t="s">
        <v>14849</v>
      </c>
      <c r="H27" s="16" t="s">
        <v>14849</v>
      </c>
      <c r="I27" s="16" t="s">
        <v>14849</v>
      </c>
      <c r="J27" s="16" t="s">
        <v>14849</v>
      </c>
      <c r="K27" s="16">
        <v>13.943178147647201</v>
      </c>
      <c r="L27" s="16">
        <v>13.6754200482215</v>
      </c>
      <c r="M27" s="16">
        <v>12.461485325121</v>
      </c>
      <c r="N27" s="16">
        <f t="shared" si="0"/>
        <v>13.3600278403299</v>
      </c>
      <c r="O27" s="16">
        <f t="shared" si="1"/>
        <v>6.0027472199999998</v>
      </c>
      <c r="P27" s="16" t="str">
        <f t="shared" si="2"/>
        <v>NA</v>
      </c>
      <c r="S27" s="16" t="s">
        <v>11934</v>
      </c>
      <c r="T27" s="17">
        <v>9.9269247280034332</v>
      </c>
      <c r="U27" s="39" t="s">
        <v>14927</v>
      </c>
    </row>
    <row r="28" spans="1:21" x14ac:dyDescent="0.2">
      <c r="A28" s="10" t="str">
        <f>"ret-1"</f>
        <v>ret-1</v>
      </c>
      <c r="B28" s="10" t="s">
        <v>1421</v>
      </c>
      <c r="C28" s="10" t="s">
        <v>1423</v>
      </c>
      <c r="D28" s="10" t="s">
        <v>29</v>
      </c>
      <c r="E28" s="10" t="s">
        <v>29</v>
      </c>
      <c r="F28" s="10" t="s">
        <v>29</v>
      </c>
      <c r="G28" s="10" t="s">
        <v>14849</v>
      </c>
      <c r="H28" s="10" t="s">
        <v>14849</v>
      </c>
      <c r="I28" s="10" t="s">
        <v>14849</v>
      </c>
      <c r="J28" s="10" t="s">
        <v>14849</v>
      </c>
      <c r="K28" s="10">
        <v>12.894937074741801</v>
      </c>
      <c r="L28" s="10">
        <v>13.7541796267493</v>
      </c>
      <c r="M28" s="10">
        <v>13.215447674973101</v>
      </c>
      <c r="N28" s="10">
        <f t="shared" si="0"/>
        <v>13.288188125488068</v>
      </c>
      <c r="O28" s="10">
        <f t="shared" si="1"/>
        <v>4.0776110599999997</v>
      </c>
      <c r="P28" s="10" t="str">
        <f t="shared" si="2"/>
        <v>NA</v>
      </c>
      <c r="S28" s="16" t="s">
        <v>6133</v>
      </c>
      <c r="T28" s="17">
        <v>9.8103186667543536</v>
      </c>
      <c r="U28" s="39" t="s">
        <v>14917</v>
      </c>
    </row>
    <row r="29" spans="1:21" x14ac:dyDescent="0.2">
      <c r="A29" s="16" t="str">
        <f>"pfd-2"</f>
        <v>pfd-2</v>
      </c>
      <c r="B29" s="16" t="s">
        <v>12649</v>
      </c>
      <c r="C29" s="16" t="s">
        <v>12651</v>
      </c>
      <c r="D29" s="16" t="s">
        <v>29</v>
      </c>
      <c r="E29" s="16" t="s">
        <v>29</v>
      </c>
      <c r="F29" s="16" t="s">
        <v>29</v>
      </c>
      <c r="G29" s="16" t="s">
        <v>14849</v>
      </c>
      <c r="H29" s="16" t="s">
        <v>14849</v>
      </c>
      <c r="I29" s="16" t="s">
        <v>14849</v>
      </c>
      <c r="J29" s="16" t="s">
        <v>14849</v>
      </c>
      <c r="K29" s="16">
        <v>13.5128474884411</v>
      </c>
      <c r="L29" s="16">
        <v>13.2655622488767</v>
      </c>
      <c r="M29" s="16">
        <v>13.002124041379099</v>
      </c>
      <c r="N29" s="16">
        <f t="shared" si="0"/>
        <v>13.2601779262323</v>
      </c>
      <c r="O29" s="16">
        <f t="shared" si="1"/>
        <v>8.5325504999825288</v>
      </c>
      <c r="P29" s="16" t="str">
        <f t="shared" si="2"/>
        <v>NA</v>
      </c>
      <c r="S29" s="18" t="s">
        <v>5490</v>
      </c>
      <c r="T29" s="19">
        <v>8.9708627199999995</v>
      </c>
      <c r="U29" s="39"/>
    </row>
    <row r="30" spans="1:21" x14ac:dyDescent="0.2">
      <c r="A30" s="24" t="str">
        <f>"rsf-1"</f>
        <v>rsf-1</v>
      </c>
      <c r="B30" s="24" t="s">
        <v>9928</v>
      </c>
      <c r="C30" s="24" t="s">
        <v>9930</v>
      </c>
      <c r="D30" s="24" t="s">
        <v>29</v>
      </c>
      <c r="E30" s="24" t="s">
        <v>29</v>
      </c>
      <c r="F30" s="24" t="s">
        <v>29</v>
      </c>
      <c r="G30" s="24" t="s">
        <v>14849</v>
      </c>
      <c r="H30" s="24" t="s">
        <v>14849</v>
      </c>
      <c r="I30" s="24" t="s">
        <v>14849</v>
      </c>
      <c r="J30" s="24" t="s">
        <v>14849</v>
      </c>
      <c r="K30" s="24">
        <v>13.2105347576236</v>
      </c>
      <c r="L30" s="24">
        <v>13.287301502273399</v>
      </c>
      <c r="M30" s="24">
        <v>13.262007920178201</v>
      </c>
      <c r="N30" s="24">
        <f t="shared" si="0"/>
        <v>13.253281393358399</v>
      </c>
      <c r="O30" s="24" t="str">
        <f t="shared" si="1"/>
        <v>ND</v>
      </c>
      <c r="P30" s="24" t="str">
        <f t="shared" si="2"/>
        <v>NA</v>
      </c>
      <c r="S30" s="16" t="s">
        <v>12650</v>
      </c>
      <c r="T30" s="19">
        <v>8.5325504999825288</v>
      </c>
      <c r="U30" s="39"/>
    </row>
    <row r="31" spans="1:21" x14ac:dyDescent="0.2">
      <c r="A31" s="24" t="str">
        <f>"T10G3.3"</f>
        <v>T10G3.3</v>
      </c>
      <c r="B31" s="24" t="s">
        <v>6457</v>
      </c>
      <c r="C31" s="24" t="s">
        <v>6458</v>
      </c>
      <c r="D31" s="24" t="s">
        <v>29</v>
      </c>
      <c r="E31" s="24" t="s">
        <v>29</v>
      </c>
      <c r="F31" s="24" t="s">
        <v>29</v>
      </c>
      <c r="G31" s="24" t="s">
        <v>14849</v>
      </c>
      <c r="H31" s="24" t="s">
        <v>14849</v>
      </c>
      <c r="I31" s="24" t="s">
        <v>14849</v>
      </c>
      <c r="J31" s="24" t="s">
        <v>14849</v>
      </c>
      <c r="K31" s="24">
        <v>13.519836767643</v>
      </c>
      <c r="L31" s="24">
        <v>13.0422908583047</v>
      </c>
      <c r="M31" s="24">
        <v>12.7870155375305</v>
      </c>
      <c r="N31" s="24">
        <f t="shared" si="0"/>
        <v>13.116381054492734</v>
      </c>
      <c r="O31" s="24" t="str">
        <f t="shared" si="1"/>
        <v>ND</v>
      </c>
      <c r="P31" s="24" t="str">
        <f t="shared" si="2"/>
        <v>NA</v>
      </c>
      <c r="S31" s="18" t="s">
        <v>13334</v>
      </c>
      <c r="T31" s="19">
        <v>8.4615092599999997</v>
      </c>
      <c r="U31" s="39"/>
    </row>
    <row r="32" spans="1:21" x14ac:dyDescent="0.2">
      <c r="A32" s="10" t="str">
        <f>"ZK909.3"</f>
        <v>ZK909.3</v>
      </c>
      <c r="B32" s="10" t="s">
        <v>3664</v>
      </c>
      <c r="C32" s="10" t="s">
        <v>3665</v>
      </c>
      <c r="D32" s="10" t="s">
        <v>29</v>
      </c>
      <c r="E32" s="10" t="s">
        <v>29</v>
      </c>
      <c r="F32" s="10" t="s">
        <v>29</v>
      </c>
      <c r="G32" s="10" t="s">
        <v>14849</v>
      </c>
      <c r="H32" s="10" t="s">
        <v>14849</v>
      </c>
      <c r="I32" s="10" t="s">
        <v>14849</v>
      </c>
      <c r="J32" s="10" t="s">
        <v>14849</v>
      </c>
      <c r="K32" s="10">
        <v>13.2462295301086</v>
      </c>
      <c r="L32" s="10">
        <v>13.6101428603687</v>
      </c>
      <c r="M32" s="10">
        <v>12.324248404766299</v>
      </c>
      <c r="N32" s="10">
        <f t="shared" si="0"/>
        <v>13.060206931747866</v>
      </c>
      <c r="O32" s="10">
        <f t="shared" si="1"/>
        <v>2.6156528899999998</v>
      </c>
      <c r="P32" s="10" t="str">
        <f t="shared" si="2"/>
        <v>NA</v>
      </c>
      <c r="S32" s="16" t="s">
        <v>1727</v>
      </c>
      <c r="T32" s="17">
        <v>8.2716725536539464</v>
      </c>
      <c r="U32" s="40"/>
    </row>
    <row r="33" spans="1:21" x14ac:dyDescent="0.2">
      <c r="A33" s="24" t="str">
        <f>"puf-9"</f>
        <v>puf-9</v>
      </c>
      <c r="B33" s="24" t="s">
        <v>10092</v>
      </c>
      <c r="C33" s="24" t="s">
        <v>6796</v>
      </c>
      <c r="D33" s="24" t="s">
        <v>29</v>
      </c>
      <c r="E33" s="24" t="s">
        <v>29</v>
      </c>
      <c r="F33" s="24" t="s">
        <v>29</v>
      </c>
      <c r="G33" s="24" t="s">
        <v>14849</v>
      </c>
      <c r="H33" s="24" t="s">
        <v>14849</v>
      </c>
      <c r="I33" s="24" t="s">
        <v>14849</v>
      </c>
      <c r="J33" s="24" t="s">
        <v>14849</v>
      </c>
      <c r="K33" s="24">
        <v>13.345457398389</v>
      </c>
      <c r="L33" s="24">
        <v>12.527498078601401</v>
      </c>
      <c r="M33" s="24">
        <v>13.093603712046599</v>
      </c>
      <c r="N33" s="24">
        <f t="shared" si="0"/>
        <v>12.988853063012334</v>
      </c>
      <c r="O33" s="24" t="str">
        <f t="shared" si="1"/>
        <v>ND</v>
      </c>
      <c r="P33" s="24" t="str">
        <f t="shared" si="2"/>
        <v>NA</v>
      </c>
      <c r="S33" s="18" t="s">
        <v>7354</v>
      </c>
      <c r="T33" s="19">
        <v>7.2656431499999998</v>
      </c>
      <c r="U33" s="39"/>
    </row>
    <row r="34" spans="1:21" x14ac:dyDescent="0.2">
      <c r="A34" s="10" t="str">
        <f>"R05H10.1"</f>
        <v>R05H10.1</v>
      </c>
      <c r="B34" s="10" t="s">
        <v>4503</v>
      </c>
      <c r="C34" s="10" t="s">
        <v>531</v>
      </c>
      <c r="D34" s="10" t="s">
        <v>29</v>
      </c>
      <c r="E34" s="10" t="s">
        <v>29</v>
      </c>
      <c r="F34" s="10" t="s">
        <v>29</v>
      </c>
      <c r="G34" s="10" t="s">
        <v>14849</v>
      </c>
      <c r="H34" s="10" t="s">
        <v>14849</v>
      </c>
      <c r="I34" s="10" t="s">
        <v>14849</v>
      </c>
      <c r="J34" s="10" t="s">
        <v>14849</v>
      </c>
      <c r="K34" s="10">
        <v>13.455423464376199</v>
      </c>
      <c r="L34" s="10">
        <v>12.489113438793201</v>
      </c>
      <c r="M34" s="10">
        <v>12.9621058316489</v>
      </c>
      <c r="N34" s="10">
        <f t="shared" si="0"/>
        <v>12.968880911606099</v>
      </c>
      <c r="O34" s="10">
        <f t="shared" si="1"/>
        <v>2.2870691712641826</v>
      </c>
      <c r="P34" s="10" t="str">
        <f t="shared" si="2"/>
        <v>NA</v>
      </c>
      <c r="S34" s="18" t="s">
        <v>8815</v>
      </c>
      <c r="T34" s="19">
        <v>7.2562335100000004</v>
      </c>
      <c r="U34" s="39"/>
    </row>
    <row r="35" spans="1:21" x14ac:dyDescent="0.2">
      <c r="A35" s="24" t="str">
        <f>"best-3"</f>
        <v>best-3</v>
      </c>
      <c r="B35" s="24" t="s">
        <v>3333</v>
      </c>
      <c r="C35" s="24" t="s">
        <v>3335</v>
      </c>
      <c r="D35" s="24" t="s">
        <v>29</v>
      </c>
      <c r="E35" s="24" t="s">
        <v>29</v>
      </c>
      <c r="F35" s="24" t="s">
        <v>29</v>
      </c>
      <c r="G35" s="24" t="s">
        <v>14849</v>
      </c>
      <c r="H35" s="24" t="s">
        <v>14849</v>
      </c>
      <c r="I35" s="24" t="s">
        <v>14849</v>
      </c>
      <c r="J35" s="24" t="s">
        <v>14849</v>
      </c>
      <c r="K35" s="24">
        <v>12.689978889333</v>
      </c>
      <c r="L35" s="24">
        <v>12.8043612143211</v>
      </c>
      <c r="M35" s="24">
        <v>12.9622120405126</v>
      </c>
      <c r="N35" s="24">
        <f t="shared" si="0"/>
        <v>12.818850714722233</v>
      </c>
      <c r="O35" s="24" t="str">
        <f t="shared" si="1"/>
        <v>ND</v>
      </c>
      <c r="P35" s="24" t="str">
        <f t="shared" si="2"/>
        <v>NA</v>
      </c>
      <c r="S35" s="16" t="s">
        <v>4318</v>
      </c>
      <c r="T35" s="19">
        <v>7.0566296503743651</v>
      </c>
      <c r="U35" s="39"/>
    </row>
    <row r="36" spans="1:21" x14ac:dyDescent="0.2">
      <c r="A36" s="24" t="str">
        <f>"unc-25"</f>
        <v>unc-25</v>
      </c>
      <c r="B36" s="24" t="s">
        <v>1360</v>
      </c>
      <c r="C36" s="24" t="s">
        <v>1362</v>
      </c>
      <c r="D36" s="24" t="s">
        <v>29</v>
      </c>
      <c r="E36" s="24" t="s">
        <v>29</v>
      </c>
      <c r="F36" s="24" t="s">
        <v>29</v>
      </c>
      <c r="G36" s="24" t="s">
        <v>14849</v>
      </c>
      <c r="H36" s="24" t="s">
        <v>14849</v>
      </c>
      <c r="I36" s="24" t="s">
        <v>14849</v>
      </c>
      <c r="J36" s="24" t="s">
        <v>14849</v>
      </c>
      <c r="K36" s="24">
        <v>12.7318469905237</v>
      </c>
      <c r="L36" s="24">
        <v>13.0763932363267</v>
      </c>
      <c r="M36" s="24">
        <v>12.470931179542299</v>
      </c>
      <c r="N36" s="24">
        <f t="shared" si="0"/>
        <v>12.7597238021309</v>
      </c>
      <c r="O36" s="24" t="str">
        <f t="shared" si="1"/>
        <v>ND</v>
      </c>
      <c r="P36" s="24" t="str">
        <f t="shared" si="2"/>
        <v>NA</v>
      </c>
      <c r="S36" s="18" t="s">
        <v>9471</v>
      </c>
      <c r="T36" s="19">
        <v>6.7355698300000002</v>
      </c>
      <c r="U36" s="39"/>
    </row>
    <row r="37" spans="1:21" x14ac:dyDescent="0.2">
      <c r="A37" s="24" t="str">
        <f>"cpin-1"</f>
        <v>cpin-1</v>
      </c>
      <c r="B37" s="24" t="s">
        <v>8671</v>
      </c>
      <c r="C37" s="24" t="s">
        <v>8673</v>
      </c>
      <c r="D37" s="24" t="s">
        <v>29</v>
      </c>
      <c r="E37" s="24" t="s">
        <v>29</v>
      </c>
      <c r="F37" s="24" t="s">
        <v>29</v>
      </c>
      <c r="G37" s="24" t="s">
        <v>14849</v>
      </c>
      <c r="H37" s="24" t="s">
        <v>14849</v>
      </c>
      <c r="I37" s="24" t="s">
        <v>14849</v>
      </c>
      <c r="J37" s="24" t="s">
        <v>14849</v>
      </c>
      <c r="K37" s="24">
        <v>12.6344564300359</v>
      </c>
      <c r="L37" s="24">
        <v>13.118274306077801</v>
      </c>
      <c r="M37" s="24">
        <v>12.2831637932156</v>
      </c>
      <c r="N37" s="24">
        <f t="shared" si="0"/>
        <v>12.678631509776432</v>
      </c>
      <c r="O37" s="24" t="str">
        <f t="shared" si="1"/>
        <v>ND</v>
      </c>
      <c r="P37" s="24" t="str">
        <f t="shared" si="2"/>
        <v>NA</v>
      </c>
      <c r="S37" s="16" t="s">
        <v>7800</v>
      </c>
      <c r="T37" s="17">
        <v>6.5615682544325828</v>
      </c>
      <c r="U37" s="40"/>
    </row>
    <row r="38" spans="1:21" x14ac:dyDescent="0.2">
      <c r="A38" s="16" t="str">
        <f>"vha-7"</f>
        <v>vha-7</v>
      </c>
      <c r="B38" s="16" t="s">
        <v>643</v>
      </c>
      <c r="C38" s="16" t="s">
        <v>645</v>
      </c>
      <c r="D38" s="16" t="s">
        <v>29</v>
      </c>
      <c r="E38" s="16" t="s">
        <v>29</v>
      </c>
      <c r="F38" s="16" t="s">
        <v>29</v>
      </c>
      <c r="G38" s="16" t="s">
        <v>14849</v>
      </c>
      <c r="H38" s="16" t="s">
        <v>14849</v>
      </c>
      <c r="I38" s="16" t="s">
        <v>14849</v>
      </c>
      <c r="J38" s="16" t="s">
        <v>14849</v>
      </c>
      <c r="K38" s="16">
        <v>12.872613976965299</v>
      </c>
      <c r="L38" s="16">
        <v>13.126488131715201</v>
      </c>
      <c r="M38" s="16">
        <v>11.9325486603346</v>
      </c>
      <c r="N38" s="16">
        <f t="shared" si="0"/>
        <v>12.643883589671701</v>
      </c>
      <c r="O38" s="16">
        <f t="shared" si="1"/>
        <v>5.4147697799611878</v>
      </c>
      <c r="P38" s="16" t="str">
        <f t="shared" si="2"/>
        <v>NA</v>
      </c>
      <c r="S38" s="18" t="s">
        <v>5135</v>
      </c>
      <c r="T38" s="19">
        <v>6.4278586200000003</v>
      </c>
      <c r="U38" s="39"/>
    </row>
    <row r="39" spans="1:21" x14ac:dyDescent="0.2">
      <c r="A39" s="22" t="str">
        <f>"brap-2"</f>
        <v>brap-2</v>
      </c>
      <c r="B39" s="22" t="s">
        <v>11543</v>
      </c>
      <c r="C39" s="22" t="s">
        <v>11545</v>
      </c>
      <c r="D39" s="22" t="s">
        <v>29</v>
      </c>
      <c r="E39" s="22" t="s">
        <v>29</v>
      </c>
      <c r="F39" s="22" t="s">
        <v>29</v>
      </c>
      <c r="G39" s="22" t="s">
        <v>14849</v>
      </c>
      <c r="H39" s="22" t="s">
        <v>14849</v>
      </c>
      <c r="I39" s="22" t="s">
        <v>14849</v>
      </c>
      <c r="J39" s="22" t="s">
        <v>14849</v>
      </c>
      <c r="K39" s="22">
        <v>12.387153086611301</v>
      </c>
      <c r="L39" s="22">
        <v>12.5163641558799</v>
      </c>
      <c r="M39" s="22">
        <v>12.5811922851963</v>
      </c>
      <c r="N39" s="22">
        <f t="shared" si="0"/>
        <v>12.494903175895834</v>
      </c>
      <c r="O39" s="22" t="str">
        <f t="shared" si="1"/>
        <v>ND</v>
      </c>
      <c r="P39" s="22" t="str">
        <f t="shared" si="2"/>
        <v>NA</v>
      </c>
      <c r="S39" s="18" t="s">
        <v>6122</v>
      </c>
      <c r="T39" s="19">
        <v>6.3154922200000003</v>
      </c>
      <c r="U39" s="39"/>
    </row>
    <row r="40" spans="1:21" x14ac:dyDescent="0.2">
      <c r="A40" s="24" t="str">
        <f>"F53C11.5"</f>
        <v>F53C11.5</v>
      </c>
      <c r="B40" s="24" t="s">
        <v>11234</v>
      </c>
      <c r="C40" s="24" t="s">
        <v>11235</v>
      </c>
      <c r="D40" s="24" t="s">
        <v>29</v>
      </c>
      <c r="E40" s="24" t="s">
        <v>29</v>
      </c>
      <c r="F40" s="24" t="s">
        <v>29</v>
      </c>
      <c r="G40" s="24" t="s">
        <v>14849</v>
      </c>
      <c r="H40" s="24" t="s">
        <v>14849</v>
      </c>
      <c r="I40" s="24" t="s">
        <v>14849</v>
      </c>
      <c r="J40" s="24" t="s">
        <v>14849</v>
      </c>
      <c r="K40" s="24">
        <v>12.801203116879201</v>
      </c>
      <c r="L40" s="24">
        <v>12.277559648338601</v>
      </c>
      <c r="M40" s="24">
        <v>12.287677408452099</v>
      </c>
      <c r="N40" s="24">
        <f t="shared" si="0"/>
        <v>12.455480057889966</v>
      </c>
      <c r="O40" s="24" t="str">
        <f t="shared" si="1"/>
        <v>ND</v>
      </c>
      <c r="P40" s="24" t="str">
        <f t="shared" si="2"/>
        <v>NA</v>
      </c>
      <c r="S40" s="18" t="s">
        <v>3078</v>
      </c>
      <c r="T40" s="19">
        <v>6.2592155700000003</v>
      </c>
      <c r="U40" s="39"/>
    </row>
    <row r="41" spans="1:21" x14ac:dyDescent="0.2">
      <c r="A41" s="10" t="str">
        <f>"dnj-16"</f>
        <v>dnj-16</v>
      </c>
      <c r="B41" s="10" t="s">
        <v>710</v>
      </c>
      <c r="C41" s="10" t="s">
        <v>308</v>
      </c>
      <c r="D41" s="10" t="s">
        <v>29</v>
      </c>
      <c r="E41" s="10" t="s">
        <v>29</v>
      </c>
      <c r="F41" s="10" t="s">
        <v>29</v>
      </c>
      <c r="G41" s="10" t="s">
        <v>14849</v>
      </c>
      <c r="H41" s="10" t="s">
        <v>14849</v>
      </c>
      <c r="I41" s="10" t="s">
        <v>14849</v>
      </c>
      <c r="J41" s="10" t="s">
        <v>14849</v>
      </c>
      <c r="K41" s="10">
        <v>13.234147686341499</v>
      </c>
      <c r="L41" s="10">
        <v>11.858583796120699</v>
      </c>
      <c r="M41" s="10">
        <v>12.2378071409497</v>
      </c>
      <c r="N41" s="10">
        <f t="shared" si="0"/>
        <v>12.443512874470633</v>
      </c>
      <c r="O41" s="10">
        <f t="shared" si="1"/>
        <v>2.1460555700000001</v>
      </c>
      <c r="P41" s="10" t="str">
        <f t="shared" si="2"/>
        <v>NA</v>
      </c>
      <c r="S41" s="16" t="s">
        <v>5987</v>
      </c>
      <c r="T41" s="17">
        <v>6.2273672773130739</v>
      </c>
      <c r="U41" s="40"/>
    </row>
    <row r="42" spans="1:21" x14ac:dyDescent="0.2">
      <c r="A42" s="14" t="str">
        <f>"C23G10.2"</f>
        <v>C23G10.2</v>
      </c>
      <c r="B42" s="14" t="s">
        <v>7064</v>
      </c>
      <c r="C42" s="14" t="s">
        <v>7066</v>
      </c>
      <c r="D42" s="14" t="s">
        <v>29</v>
      </c>
      <c r="E42" s="14" t="s">
        <v>29</v>
      </c>
      <c r="F42" s="14" t="s">
        <v>29</v>
      </c>
      <c r="G42" s="14" t="s">
        <v>14849</v>
      </c>
      <c r="H42" s="14" t="s">
        <v>14849</v>
      </c>
      <c r="I42" s="14" t="s">
        <v>14849</v>
      </c>
      <c r="J42" s="14" t="s">
        <v>14849</v>
      </c>
      <c r="K42" s="14">
        <v>12.244201991136901</v>
      </c>
      <c r="L42" s="14">
        <v>12.673584310520299</v>
      </c>
      <c r="M42" s="14">
        <v>12.3292508629727</v>
      </c>
      <c r="N42" s="14">
        <f t="shared" si="0"/>
        <v>12.415679054876634</v>
      </c>
      <c r="O42" s="14">
        <f t="shared" si="1"/>
        <v>10.739022063060709</v>
      </c>
      <c r="P42" s="14" t="str">
        <f t="shared" si="2"/>
        <v>NA</v>
      </c>
      <c r="S42" s="18" t="s">
        <v>12892</v>
      </c>
      <c r="T42" s="19">
        <v>6.1756567000000002</v>
      </c>
      <c r="U42" s="39"/>
    </row>
    <row r="43" spans="1:21" x14ac:dyDescent="0.2">
      <c r="A43" s="24" t="str">
        <f>"unc-94"</f>
        <v>unc-94</v>
      </c>
      <c r="B43" s="24" t="s">
        <v>2726</v>
      </c>
      <c r="C43" s="24" t="s">
        <v>2728</v>
      </c>
      <c r="D43" s="24" t="s">
        <v>29</v>
      </c>
      <c r="E43" s="24" t="s">
        <v>29</v>
      </c>
      <c r="F43" s="24" t="s">
        <v>29</v>
      </c>
      <c r="G43" s="24" t="s">
        <v>14849</v>
      </c>
      <c r="H43" s="24" t="s">
        <v>14849</v>
      </c>
      <c r="I43" s="24" t="s">
        <v>14849</v>
      </c>
      <c r="J43" s="24" t="s">
        <v>14849</v>
      </c>
      <c r="K43" s="24">
        <v>12.257760640612601</v>
      </c>
      <c r="L43" s="24">
        <v>12.4072511866082</v>
      </c>
      <c r="M43" s="24">
        <v>12.3580704046454</v>
      </c>
      <c r="N43" s="24">
        <f t="shared" si="0"/>
        <v>12.341027410622067</v>
      </c>
      <c r="O43" s="24" t="str">
        <f t="shared" si="1"/>
        <v>ND</v>
      </c>
      <c r="P43" s="24" t="str">
        <f t="shared" si="2"/>
        <v>NA</v>
      </c>
      <c r="S43" s="18" t="s">
        <v>10023</v>
      </c>
      <c r="T43" s="19">
        <v>6.1614871899999999</v>
      </c>
      <c r="U43" s="39"/>
    </row>
    <row r="44" spans="1:21" x14ac:dyDescent="0.2">
      <c r="A44" s="24" t="str">
        <f>"pud-1.2"</f>
        <v>pud-1.2</v>
      </c>
      <c r="B44" s="24" t="s">
        <v>1723</v>
      </c>
      <c r="C44" s="24" t="s">
        <v>945</v>
      </c>
      <c r="D44" s="24" t="s">
        <v>29</v>
      </c>
      <c r="E44" s="24" t="s">
        <v>29</v>
      </c>
      <c r="F44" s="24" t="s">
        <v>29</v>
      </c>
      <c r="G44" s="24" t="s">
        <v>14849</v>
      </c>
      <c r="H44" s="24" t="s">
        <v>14849</v>
      </c>
      <c r="I44" s="24" t="s">
        <v>14849</v>
      </c>
      <c r="J44" s="24" t="s">
        <v>14849</v>
      </c>
      <c r="K44" s="24">
        <v>11.482250964001301</v>
      </c>
      <c r="L44" s="24">
        <v>13.027540118755001</v>
      </c>
      <c r="M44" s="24">
        <v>12.3222352447943</v>
      </c>
      <c r="N44" s="24">
        <f t="shared" si="0"/>
        <v>12.277342109183534</v>
      </c>
      <c r="O44" s="24" t="str">
        <f t="shared" si="1"/>
        <v>ND</v>
      </c>
      <c r="P44" s="24" t="str">
        <f t="shared" si="2"/>
        <v>NA</v>
      </c>
      <c r="S44" s="18" t="s">
        <v>32</v>
      </c>
      <c r="T44" s="19">
        <v>6.0233030899999997</v>
      </c>
      <c r="U44" s="39"/>
    </row>
    <row r="45" spans="1:21" x14ac:dyDescent="0.2">
      <c r="A45" s="24" t="str">
        <f>"R74.7"</f>
        <v>R74.7</v>
      </c>
      <c r="B45" s="24" t="s">
        <v>9584</v>
      </c>
      <c r="C45" s="24" t="s">
        <v>9586</v>
      </c>
      <c r="D45" s="24" t="s">
        <v>29</v>
      </c>
      <c r="E45" s="24" t="s">
        <v>29</v>
      </c>
      <c r="F45" s="24" t="s">
        <v>29</v>
      </c>
      <c r="G45" s="24" t="s">
        <v>14849</v>
      </c>
      <c r="H45" s="24" t="s">
        <v>14849</v>
      </c>
      <c r="I45" s="24" t="s">
        <v>14849</v>
      </c>
      <c r="J45" s="24" t="s">
        <v>14849</v>
      </c>
      <c r="K45" s="24">
        <v>12.0918802020503</v>
      </c>
      <c r="L45" s="24">
        <v>13.313880515798401</v>
      </c>
      <c r="M45" s="24">
        <v>11.424761538800899</v>
      </c>
      <c r="N45" s="24">
        <f t="shared" si="0"/>
        <v>12.276840752216534</v>
      </c>
      <c r="O45" s="24" t="str">
        <f t="shared" si="1"/>
        <v>ND</v>
      </c>
      <c r="P45" s="24" t="str">
        <f t="shared" si="2"/>
        <v>NA</v>
      </c>
      <c r="S45" s="18" t="s">
        <v>2062</v>
      </c>
      <c r="T45" s="19">
        <v>6.0027472199999998</v>
      </c>
      <c r="U45" s="39"/>
    </row>
    <row r="46" spans="1:21" x14ac:dyDescent="0.2">
      <c r="A46" s="24" t="str">
        <f>"ubc-3"</f>
        <v>ubc-3</v>
      </c>
      <c r="B46" s="24" t="s">
        <v>11659</v>
      </c>
      <c r="C46" s="24" t="s">
        <v>11661</v>
      </c>
      <c r="D46" s="24" t="s">
        <v>29</v>
      </c>
      <c r="E46" s="24" t="s">
        <v>29</v>
      </c>
      <c r="F46" s="24" t="s">
        <v>29</v>
      </c>
      <c r="G46" s="24" t="s">
        <v>14849</v>
      </c>
      <c r="H46" s="24" t="s">
        <v>14849</v>
      </c>
      <c r="I46" s="24" t="s">
        <v>14849</v>
      </c>
      <c r="J46" s="24" t="s">
        <v>14849</v>
      </c>
      <c r="K46" s="24">
        <v>12.289436649750201</v>
      </c>
      <c r="L46" s="24">
        <v>12.704559597584</v>
      </c>
      <c r="M46" s="24">
        <v>11.7937150551431</v>
      </c>
      <c r="N46" s="24">
        <f t="shared" si="0"/>
        <v>12.262570434159102</v>
      </c>
      <c r="O46" s="24" t="str">
        <f t="shared" si="1"/>
        <v>ND</v>
      </c>
      <c r="P46" s="24" t="str">
        <f t="shared" si="2"/>
        <v>NA</v>
      </c>
      <c r="S46" s="18" t="s">
        <v>10275</v>
      </c>
      <c r="T46" s="19">
        <v>5.9248670499999996</v>
      </c>
      <c r="U46" s="39"/>
    </row>
    <row r="47" spans="1:21" x14ac:dyDescent="0.2">
      <c r="A47" s="24" t="str">
        <f>"ndub-10"</f>
        <v>ndub-10</v>
      </c>
      <c r="B47" s="24" t="s">
        <v>11240</v>
      </c>
      <c r="C47" s="24" t="s">
        <v>11242</v>
      </c>
      <c r="D47" s="24" t="s">
        <v>29</v>
      </c>
      <c r="E47" s="24" t="s">
        <v>29</v>
      </c>
      <c r="F47" s="24" t="s">
        <v>29</v>
      </c>
      <c r="G47" s="24" t="s">
        <v>14849</v>
      </c>
      <c r="H47" s="24" t="s">
        <v>14849</v>
      </c>
      <c r="I47" s="24" t="s">
        <v>14849</v>
      </c>
      <c r="J47" s="24" t="s">
        <v>14849</v>
      </c>
      <c r="K47" s="24">
        <v>12.084166018165799</v>
      </c>
      <c r="L47" s="24">
        <v>11.406272930597099</v>
      </c>
      <c r="M47" s="24">
        <v>13.123013683050701</v>
      </c>
      <c r="N47" s="24">
        <f t="shared" si="0"/>
        <v>12.204484210604534</v>
      </c>
      <c r="O47" s="24" t="str">
        <f t="shared" si="1"/>
        <v>ND</v>
      </c>
      <c r="P47" s="24" t="str">
        <f t="shared" si="2"/>
        <v>NA</v>
      </c>
      <c r="S47" s="18" t="s">
        <v>757</v>
      </c>
      <c r="T47" s="19">
        <v>5.9086830800000003</v>
      </c>
      <c r="U47" s="39"/>
    </row>
    <row r="48" spans="1:21" x14ac:dyDescent="0.2">
      <c r="A48" s="22" t="str">
        <f>"T28F4.5"</f>
        <v>T28F4.5</v>
      </c>
      <c r="B48" s="22" t="s">
        <v>9987</v>
      </c>
      <c r="C48" s="22" t="s">
        <v>368</v>
      </c>
      <c r="D48" s="22" t="s">
        <v>29</v>
      </c>
      <c r="E48" s="22" t="s">
        <v>29</v>
      </c>
      <c r="F48" s="22" t="s">
        <v>29</v>
      </c>
      <c r="G48" s="22" t="s">
        <v>14849</v>
      </c>
      <c r="H48" s="22" t="s">
        <v>14849</v>
      </c>
      <c r="I48" s="22" t="s">
        <v>14849</v>
      </c>
      <c r="J48" s="22" t="s">
        <v>14849</v>
      </c>
      <c r="K48" s="22">
        <v>12.957881010046799</v>
      </c>
      <c r="L48" s="22">
        <v>11.9938763049875</v>
      </c>
      <c r="M48" s="22">
        <v>11.4398566036133</v>
      </c>
      <c r="N48" s="22">
        <f t="shared" si="0"/>
        <v>12.130537972882534</v>
      </c>
      <c r="O48" s="22" t="str">
        <f t="shared" si="1"/>
        <v>ND</v>
      </c>
      <c r="P48" s="22" t="str">
        <f t="shared" si="2"/>
        <v>NA</v>
      </c>
      <c r="S48" s="18" t="s">
        <v>10417</v>
      </c>
      <c r="T48" s="19">
        <v>5.8160155800000002</v>
      </c>
      <c r="U48" s="39"/>
    </row>
    <row r="49" spans="1:21" x14ac:dyDescent="0.2">
      <c r="A49" s="24" t="str">
        <f>"npp-14"</f>
        <v>npp-14</v>
      </c>
      <c r="B49" s="24" t="s">
        <v>7402</v>
      </c>
      <c r="C49" s="24" t="s">
        <v>7404</v>
      </c>
      <c r="D49" s="24" t="s">
        <v>29</v>
      </c>
      <c r="E49" s="24" t="s">
        <v>29</v>
      </c>
      <c r="F49" s="24" t="s">
        <v>29</v>
      </c>
      <c r="G49" s="24" t="s">
        <v>14849</v>
      </c>
      <c r="H49" s="24" t="s">
        <v>14849</v>
      </c>
      <c r="I49" s="24" t="s">
        <v>14849</v>
      </c>
      <c r="J49" s="24" t="s">
        <v>14849</v>
      </c>
      <c r="K49" s="24">
        <v>12.532395299677299</v>
      </c>
      <c r="L49" s="24">
        <v>12.3592906917828</v>
      </c>
      <c r="M49" s="24">
        <v>11.453290975989599</v>
      </c>
      <c r="N49" s="24">
        <f t="shared" si="0"/>
        <v>12.114992322483232</v>
      </c>
      <c r="O49" s="24" t="str">
        <f t="shared" si="1"/>
        <v>ND</v>
      </c>
      <c r="P49" s="24" t="str">
        <f t="shared" si="2"/>
        <v>NA</v>
      </c>
      <c r="S49" s="18" t="s">
        <v>12548</v>
      </c>
      <c r="T49" s="19">
        <v>5.7997844399999998</v>
      </c>
      <c r="U49" s="39"/>
    </row>
    <row r="50" spans="1:21" x14ac:dyDescent="0.2">
      <c r="A50" s="24" t="str">
        <f>"C48B6.2"</f>
        <v>C48B6.2</v>
      </c>
      <c r="B50" s="24" t="s">
        <v>2748</v>
      </c>
      <c r="C50" s="24" t="s">
        <v>2750</v>
      </c>
      <c r="D50" s="24" t="s">
        <v>29</v>
      </c>
      <c r="E50" s="24" t="s">
        <v>29</v>
      </c>
      <c r="F50" s="24" t="s">
        <v>29</v>
      </c>
      <c r="G50" s="24" t="s">
        <v>14849</v>
      </c>
      <c r="H50" s="24" t="s">
        <v>14849</v>
      </c>
      <c r="I50" s="24" t="s">
        <v>14849</v>
      </c>
      <c r="J50" s="24" t="s">
        <v>14849</v>
      </c>
      <c r="K50" s="24">
        <v>11.7755012798201</v>
      </c>
      <c r="L50" s="24">
        <v>11.811198400633</v>
      </c>
      <c r="M50" s="24">
        <v>12.4160564811431</v>
      </c>
      <c r="N50" s="24">
        <f t="shared" si="0"/>
        <v>12.000918720532068</v>
      </c>
      <c r="O50" s="24" t="str">
        <f t="shared" si="1"/>
        <v>ND</v>
      </c>
      <c r="P50" s="24" t="str">
        <f t="shared" si="2"/>
        <v>NA</v>
      </c>
      <c r="S50" s="18" t="s">
        <v>4027</v>
      </c>
      <c r="T50" s="19">
        <v>5.79721084</v>
      </c>
      <c r="U50" s="39"/>
    </row>
    <row r="51" spans="1:21" x14ac:dyDescent="0.2">
      <c r="A51" s="24" t="str">
        <f>"nhl-2"</f>
        <v>nhl-2</v>
      </c>
      <c r="B51" s="24" t="s">
        <v>8447</v>
      </c>
      <c r="C51" s="24" t="s">
        <v>360</v>
      </c>
      <c r="D51" s="24" t="s">
        <v>29</v>
      </c>
      <c r="E51" s="24" t="s">
        <v>29</v>
      </c>
      <c r="F51" s="24" t="s">
        <v>29</v>
      </c>
      <c r="G51" s="24" t="s">
        <v>14849</v>
      </c>
      <c r="H51" s="24" t="s">
        <v>14849</v>
      </c>
      <c r="I51" s="24" t="s">
        <v>14849</v>
      </c>
      <c r="J51" s="24" t="s">
        <v>14849</v>
      </c>
      <c r="K51" s="24">
        <v>11.695580363887601</v>
      </c>
      <c r="L51" s="24">
        <v>12.387852394415299</v>
      </c>
      <c r="M51" s="24">
        <v>11.8694296705174</v>
      </c>
      <c r="N51" s="24">
        <f t="shared" si="0"/>
        <v>11.984287476273431</v>
      </c>
      <c r="O51" s="24" t="str">
        <f t="shared" si="1"/>
        <v>ND</v>
      </c>
      <c r="P51" s="24" t="str">
        <f t="shared" si="2"/>
        <v>NA</v>
      </c>
      <c r="S51" s="18" t="s">
        <v>4326</v>
      </c>
      <c r="T51" s="19">
        <v>5.6978899700000003</v>
      </c>
      <c r="U51" s="39"/>
    </row>
    <row r="52" spans="1:21" x14ac:dyDescent="0.2">
      <c r="A52" s="10" t="str">
        <f>"vps-32.1"</f>
        <v>vps-32.1</v>
      </c>
      <c r="B52" s="10" t="s">
        <v>7990</v>
      </c>
      <c r="C52" s="10" t="s">
        <v>7992</v>
      </c>
      <c r="D52" s="10" t="s">
        <v>29</v>
      </c>
      <c r="E52" s="10" t="s">
        <v>29</v>
      </c>
      <c r="F52" s="10" t="s">
        <v>29</v>
      </c>
      <c r="G52" s="10" t="s">
        <v>14849</v>
      </c>
      <c r="H52" s="10" t="s">
        <v>14849</v>
      </c>
      <c r="I52" s="10" t="s">
        <v>14849</v>
      </c>
      <c r="J52" s="10" t="s">
        <v>14849</v>
      </c>
      <c r="K52" s="10">
        <v>12.127012501089901</v>
      </c>
      <c r="L52" s="10">
        <v>11.7390051512919</v>
      </c>
      <c r="M52" s="10">
        <v>11.8378111754814</v>
      </c>
      <c r="N52" s="10">
        <f t="shared" si="0"/>
        <v>11.9012762759544</v>
      </c>
      <c r="O52" s="10">
        <f t="shared" si="1"/>
        <v>2.5931230799999998</v>
      </c>
      <c r="P52" s="10" t="str">
        <f t="shared" si="2"/>
        <v>NA</v>
      </c>
      <c r="S52" s="18" t="s">
        <v>11344</v>
      </c>
      <c r="T52" s="19">
        <v>5.5413512200000001</v>
      </c>
      <c r="U52" s="39"/>
    </row>
    <row r="53" spans="1:21" x14ac:dyDescent="0.2">
      <c r="A53" s="24" t="str">
        <f>"egl-15"</f>
        <v>egl-15</v>
      </c>
      <c r="B53" s="24" t="s">
        <v>7104</v>
      </c>
      <c r="C53" s="24" t="s">
        <v>7106</v>
      </c>
      <c r="D53" s="24" t="s">
        <v>29</v>
      </c>
      <c r="E53" s="24" t="s">
        <v>29</v>
      </c>
      <c r="F53" s="24" t="s">
        <v>29</v>
      </c>
      <c r="G53" s="24" t="s">
        <v>14849</v>
      </c>
      <c r="H53" s="24" t="s">
        <v>14849</v>
      </c>
      <c r="I53" s="24" t="s">
        <v>14849</v>
      </c>
      <c r="J53" s="24" t="s">
        <v>14849</v>
      </c>
      <c r="K53" s="24">
        <v>12.0627218424637</v>
      </c>
      <c r="L53" s="24">
        <v>10.5746252938551</v>
      </c>
      <c r="M53" s="24">
        <v>11.5693056440101</v>
      </c>
      <c r="N53" s="24">
        <f t="shared" si="0"/>
        <v>11.402217593442968</v>
      </c>
      <c r="O53" s="24" t="str">
        <f t="shared" si="1"/>
        <v>ND</v>
      </c>
      <c r="P53" s="24" t="str">
        <f t="shared" si="2"/>
        <v>NA</v>
      </c>
      <c r="S53" s="18" t="s">
        <v>11987</v>
      </c>
      <c r="T53" s="19">
        <v>5.4986622599999997</v>
      </c>
      <c r="U53" s="39"/>
    </row>
    <row r="54" spans="1:21" x14ac:dyDescent="0.2">
      <c r="A54" s="24" t="str">
        <f>"ZK353.9"</f>
        <v>ZK353.9</v>
      </c>
      <c r="B54" s="24" t="s">
        <v>11834</v>
      </c>
      <c r="C54" s="24" t="s">
        <v>11836</v>
      </c>
      <c r="D54" s="24" t="s">
        <v>29</v>
      </c>
      <c r="E54" s="24" t="s">
        <v>29</v>
      </c>
      <c r="F54" s="24" t="s">
        <v>29</v>
      </c>
      <c r="G54" s="24" t="s">
        <v>14849</v>
      </c>
      <c r="H54" s="24" t="s">
        <v>14849</v>
      </c>
      <c r="I54" s="24" t="s">
        <v>14849</v>
      </c>
      <c r="J54" s="24" t="s">
        <v>14849</v>
      </c>
      <c r="K54" s="24">
        <v>11.106140110681601</v>
      </c>
      <c r="L54" s="24">
        <v>11.2184562066991</v>
      </c>
      <c r="M54" s="24">
        <v>11.6959305371344</v>
      </c>
      <c r="N54" s="24">
        <f t="shared" si="0"/>
        <v>11.340175618171701</v>
      </c>
      <c r="O54" s="24" t="str">
        <f t="shared" si="1"/>
        <v>ND</v>
      </c>
      <c r="P54" s="24" t="str">
        <f t="shared" si="2"/>
        <v>NA</v>
      </c>
      <c r="S54" s="18" t="s">
        <v>10985</v>
      </c>
      <c r="T54" s="19">
        <v>5.4897413400000001</v>
      </c>
      <c r="U54" s="39"/>
    </row>
    <row r="55" spans="1:21" x14ac:dyDescent="0.2">
      <c r="A55" s="22" t="str">
        <f>"R102.2"</f>
        <v>R102.2</v>
      </c>
      <c r="B55" s="22" t="s">
        <v>9490</v>
      </c>
      <c r="C55" s="22" t="s">
        <v>9491</v>
      </c>
      <c r="D55" s="22" t="s">
        <v>29</v>
      </c>
      <c r="E55" s="22" t="s">
        <v>29</v>
      </c>
      <c r="F55" s="22" t="s">
        <v>29</v>
      </c>
      <c r="G55" s="22" t="s">
        <v>14849</v>
      </c>
      <c r="H55" s="22" t="s">
        <v>14849</v>
      </c>
      <c r="I55" s="22" t="s">
        <v>14849</v>
      </c>
      <c r="J55" s="22" t="s">
        <v>14849</v>
      </c>
      <c r="K55" s="22">
        <v>10.2253572951943</v>
      </c>
      <c r="L55" s="22">
        <v>9.5360657443959607</v>
      </c>
      <c r="M55" s="22">
        <v>11.4687405399462</v>
      </c>
      <c r="N55" s="22">
        <f t="shared" si="0"/>
        <v>10.410054526512154</v>
      </c>
      <c r="O55" s="22" t="str">
        <f t="shared" si="1"/>
        <v>ND</v>
      </c>
      <c r="P55" s="22" t="str">
        <f t="shared" si="2"/>
        <v>NA</v>
      </c>
      <c r="S55" s="16" t="s">
        <v>14805</v>
      </c>
      <c r="T55" s="19">
        <v>5.4884546661773141</v>
      </c>
      <c r="U55" s="39"/>
    </row>
    <row r="56" spans="1:21" x14ac:dyDescent="0.2">
      <c r="A56" s="27" t="str">
        <f>"mlt-3"</f>
        <v>mlt-3</v>
      </c>
      <c r="B56" s="27" t="s">
        <v>13263</v>
      </c>
      <c r="C56" s="27" t="s">
        <v>4483</v>
      </c>
      <c r="D56" s="27">
        <v>8.7502710613282702</v>
      </c>
      <c r="E56" s="27">
        <f t="shared" ref="E56:E87" si="3">2^D56</f>
        <v>430.61986419321101</v>
      </c>
      <c r="F56" s="35">
        <v>4.4569420242347003E-14</v>
      </c>
      <c r="G56" s="27">
        <v>12.0313594007247</v>
      </c>
      <c r="H56" s="27">
        <v>10.1472465554517</v>
      </c>
      <c r="I56" s="27">
        <v>11.3353312261752</v>
      </c>
      <c r="J56" s="27">
        <f t="shared" ref="J56:J87" si="4">AVERAGEIF(G56:I56, "&gt;0")</f>
        <v>11.1713123941172</v>
      </c>
      <c r="K56" s="27">
        <v>19.989267547176301</v>
      </c>
      <c r="L56" s="27">
        <v>20.008262503161401</v>
      </c>
      <c r="M56" s="27">
        <v>19.767220315998799</v>
      </c>
      <c r="N56" s="27">
        <f t="shared" si="0"/>
        <v>19.9215834554455</v>
      </c>
      <c r="O56" s="27" t="str">
        <f t="shared" si="1"/>
        <v>ND</v>
      </c>
      <c r="P56" s="27" t="str">
        <f t="shared" si="2"/>
        <v>NA</v>
      </c>
      <c r="S56" s="16" t="s">
        <v>644</v>
      </c>
      <c r="T56" s="19">
        <v>5.4147697799611878</v>
      </c>
      <c r="U56" s="39"/>
    </row>
    <row r="57" spans="1:21" x14ac:dyDescent="0.2">
      <c r="A57" s="25" t="str">
        <f>"nekl-3"</f>
        <v>nekl-3</v>
      </c>
      <c r="B57" s="25" t="s">
        <v>1902</v>
      </c>
      <c r="C57" s="25" t="s">
        <v>1904</v>
      </c>
      <c r="D57" s="25">
        <v>5.7826037986456198</v>
      </c>
      <c r="E57" s="25">
        <f t="shared" si="3"/>
        <v>55.04744883060021</v>
      </c>
      <c r="F57" s="26">
        <v>5.4850899138508103E-11</v>
      </c>
      <c r="G57" s="25">
        <v>12.2544733498094</v>
      </c>
      <c r="H57" s="25">
        <v>12.578076886291599</v>
      </c>
      <c r="I57" s="25">
        <v>12.269706398230401</v>
      </c>
      <c r="J57" s="25">
        <f t="shared" si="4"/>
        <v>12.367418878110465</v>
      </c>
      <c r="K57" s="25">
        <v>18.339625541060499</v>
      </c>
      <c r="L57" s="25">
        <v>18.284631107997999</v>
      </c>
      <c r="M57" s="25">
        <v>17.8258113812097</v>
      </c>
      <c r="N57" s="25">
        <f t="shared" si="0"/>
        <v>18.150022676756066</v>
      </c>
      <c r="O57" s="25" t="str">
        <f t="shared" si="1"/>
        <v>ND</v>
      </c>
      <c r="P57" s="25" t="str">
        <f t="shared" si="2"/>
        <v>NA</v>
      </c>
      <c r="S57" s="18" t="s">
        <v>14806</v>
      </c>
      <c r="T57" s="19">
        <v>5.3912494400000002</v>
      </c>
      <c r="U57" s="39"/>
    </row>
    <row r="58" spans="1:21" x14ac:dyDescent="0.2">
      <c r="A58" s="24" t="str">
        <f>"bcc-1"</f>
        <v>bcc-1</v>
      </c>
      <c r="B58" s="24" t="s">
        <v>9356</v>
      </c>
      <c r="C58" s="24" t="s">
        <v>4483</v>
      </c>
      <c r="D58" s="24">
        <v>5.3665454668133004</v>
      </c>
      <c r="E58" s="24">
        <f t="shared" si="3"/>
        <v>41.256383803041906</v>
      </c>
      <c r="F58" s="29">
        <v>9.4002778299361898E-11</v>
      </c>
      <c r="G58" s="24">
        <v>12.1590463259011</v>
      </c>
      <c r="H58" s="24">
        <v>12.1598157288987</v>
      </c>
      <c r="I58" s="24">
        <v>12.947951243612399</v>
      </c>
      <c r="J58" s="24">
        <f t="shared" si="4"/>
        <v>12.422271099470734</v>
      </c>
      <c r="K58" s="24">
        <v>17.762933952999401</v>
      </c>
      <c r="L58" s="24">
        <v>17.8611711852433</v>
      </c>
      <c r="M58" s="24">
        <v>17.7423445606093</v>
      </c>
      <c r="N58" s="24">
        <f t="shared" si="0"/>
        <v>17.788816566283998</v>
      </c>
      <c r="O58" s="24" t="str">
        <f t="shared" si="1"/>
        <v>ND</v>
      </c>
      <c r="P58" s="24" t="str">
        <f t="shared" si="2"/>
        <v>NA</v>
      </c>
      <c r="S58" s="18" t="s">
        <v>14807</v>
      </c>
      <c r="T58" s="19">
        <v>5.35563623</v>
      </c>
      <c r="U58" s="39"/>
    </row>
    <row r="59" spans="1:21" x14ac:dyDescent="0.2">
      <c r="A59" s="14" t="str">
        <f>"aldo-2"</f>
        <v>aldo-2</v>
      </c>
      <c r="B59" s="14" t="s">
        <v>5633</v>
      </c>
      <c r="C59" s="14" t="s">
        <v>5635</v>
      </c>
      <c r="D59" s="14">
        <v>5.35081588915022</v>
      </c>
      <c r="E59" s="14">
        <f t="shared" si="3"/>
        <v>40.809012321888822</v>
      </c>
      <c r="F59" s="30">
        <v>1.10581840798639E-12</v>
      </c>
      <c r="G59" s="14">
        <v>14.4703821797707</v>
      </c>
      <c r="H59" s="14">
        <v>13.5247751416188</v>
      </c>
      <c r="I59" s="14">
        <v>13.9129046498284</v>
      </c>
      <c r="J59" s="14">
        <f t="shared" si="4"/>
        <v>13.969353990405965</v>
      </c>
      <c r="K59" s="14">
        <v>19.5433180653128</v>
      </c>
      <c r="L59" s="14">
        <v>19.347771586315702</v>
      </c>
      <c r="M59" s="14">
        <v>19.069419987040099</v>
      </c>
      <c r="N59" s="14">
        <f t="shared" si="0"/>
        <v>19.3201698795562</v>
      </c>
      <c r="O59" s="14">
        <f t="shared" si="1"/>
        <v>131.944345</v>
      </c>
      <c r="P59" s="14">
        <f t="shared" si="2"/>
        <v>0.30928958965152181</v>
      </c>
      <c r="S59" s="18" t="s">
        <v>9884</v>
      </c>
      <c r="T59" s="19">
        <v>5.3329647099999997</v>
      </c>
      <c r="U59" s="39"/>
    </row>
    <row r="60" spans="1:21" x14ac:dyDescent="0.2">
      <c r="A60" s="14" t="str">
        <f>"ampd-1"</f>
        <v>ampd-1</v>
      </c>
      <c r="B60" s="14" t="s">
        <v>235</v>
      </c>
      <c r="C60" s="14" t="s">
        <v>237</v>
      </c>
      <c r="D60" s="14">
        <v>5.1321707262338396</v>
      </c>
      <c r="E60" s="14">
        <f t="shared" si="3"/>
        <v>35.070126423691633</v>
      </c>
      <c r="F60" s="30">
        <v>1.2909487240867999E-10</v>
      </c>
      <c r="G60" s="14">
        <v>12.726094433296501</v>
      </c>
      <c r="H60" s="14">
        <v>11.783712190855301</v>
      </c>
      <c r="I60" s="14">
        <v>12.351551426175501</v>
      </c>
      <c r="J60" s="14">
        <f t="shared" si="4"/>
        <v>12.2871193501091</v>
      </c>
      <c r="K60" s="14">
        <v>17.4336627733929</v>
      </c>
      <c r="L60" s="14">
        <v>17.721042359523501</v>
      </c>
      <c r="M60" s="14">
        <v>17.103165096112399</v>
      </c>
      <c r="N60" s="14">
        <f t="shared" si="0"/>
        <v>17.419290076342936</v>
      </c>
      <c r="O60" s="14">
        <f t="shared" si="1"/>
        <v>15.711251000000001</v>
      </c>
      <c r="P60" s="14">
        <f t="shared" si="2"/>
        <v>2.2321663897859967</v>
      </c>
      <c r="S60" s="18" t="s">
        <v>11276</v>
      </c>
      <c r="T60" s="19">
        <v>5.3056272399999997</v>
      </c>
      <c r="U60" s="39"/>
    </row>
    <row r="61" spans="1:21" x14ac:dyDescent="0.2">
      <c r="A61" s="16" t="str">
        <f>"rsd-3"</f>
        <v>rsd-3</v>
      </c>
      <c r="B61" s="16" t="s">
        <v>7799</v>
      </c>
      <c r="C61" s="16" t="s">
        <v>7801</v>
      </c>
      <c r="D61" s="16">
        <v>4.9658691511659496</v>
      </c>
      <c r="E61" s="16">
        <f t="shared" si="3"/>
        <v>31.251838334628097</v>
      </c>
      <c r="F61" s="31">
        <v>4.8850881149599597E-7</v>
      </c>
      <c r="G61" s="16" t="s">
        <v>14849</v>
      </c>
      <c r="H61" s="16" t="s">
        <v>14849</v>
      </c>
      <c r="I61" s="16">
        <v>11.0015702905054</v>
      </c>
      <c r="J61" s="16">
        <f t="shared" si="4"/>
        <v>11.0015702905054</v>
      </c>
      <c r="K61" s="16">
        <v>16.107674007560401</v>
      </c>
      <c r="L61" s="16">
        <v>16.268349521450201</v>
      </c>
      <c r="M61" s="16">
        <v>15.5262947960034</v>
      </c>
      <c r="N61" s="16">
        <f t="shared" si="0"/>
        <v>15.967439441671333</v>
      </c>
      <c r="O61" s="16">
        <f t="shared" si="1"/>
        <v>6.5615682544325828</v>
      </c>
      <c r="P61" s="16">
        <f t="shared" si="2"/>
        <v>4.7628611214272318</v>
      </c>
      <c r="S61" s="18" t="s">
        <v>2875</v>
      </c>
      <c r="T61" s="19">
        <v>5.3045302100000002</v>
      </c>
      <c r="U61" s="39"/>
    </row>
    <row r="62" spans="1:21" x14ac:dyDescent="0.2">
      <c r="A62" s="14" t="str">
        <f>"C39D10.8"</f>
        <v>C39D10.8</v>
      </c>
      <c r="B62" s="14" t="s">
        <v>11561</v>
      </c>
      <c r="C62" s="14" t="s">
        <v>9491</v>
      </c>
      <c r="D62" s="14">
        <v>4.6515853422881603</v>
      </c>
      <c r="E62" s="14">
        <f t="shared" si="3"/>
        <v>25.134295425466583</v>
      </c>
      <c r="F62" s="30">
        <v>7.4264221474791301E-13</v>
      </c>
      <c r="G62" s="14">
        <v>11.3611765995254</v>
      </c>
      <c r="H62" s="14">
        <v>10.9252943085566</v>
      </c>
      <c r="I62" s="14">
        <v>11.3700435765974</v>
      </c>
      <c r="J62" s="14">
        <f t="shared" si="4"/>
        <v>11.218838161559802</v>
      </c>
      <c r="K62" s="14">
        <v>16.104261194675999</v>
      </c>
      <c r="L62" s="14">
        <v>15.8557252334222</v>
      </c>
      <c r="M62" s="14">
        <v>15.651284083445701</v>
      </c>
      <c r="N62" s="14">
        <f t="shared" si="0"/>
        <v>15.870423503847967</v>
      </c>
      <c r="O62" s="14">
        <f t="shared" si="1"/>
        <v>14.660895399999999</v>
      </c>
      <c r="P62" s="14">
        <f t="shared" si="2"/>
        <v>1.7143765602110894</v>
      </c>
      <c r="S62" s="18" t="s">
        <v>12857</v>
      </c>
      <c r="T62" s="19">
        <v>5.2960393799999999</v>
      </c>
      <c r="U62" s="39"/>
    </row>
    <row r="63" spans="1:21" x14ac:dyDescent="0.2">
      <c r="A63" s="16" t="str">
        <f>"xrn-1"</f>
        <v>xrn-1</v>
      </c>
      <c r="B63" s="16" t="s">
        <v>11986</v>
      </c>
      <c r="C63" s="16" t="s">
        <v>11988</v>
      </c>
      <c r="D63" s="16">
        <v>4.4667879046226497</v>
      </c>
      <c r="E63" s="16">
        <f t="shared" si="3"/>
        <v>22.112464238865844</v>
      </c>
      <c r="F63" s="31">
        <v>1.82753064244461E-7</v>
      </c>
      <c r="G63" s="16">
        <v>13.4420261086255</v>
      </c>
      <c r="H63" s="16">
        <v>13.9922892704029</v>
      </c>
      <c r="I63" s="16">
        <v>12.752664925249499</v>
      </c>
      <c r="J63" s="16">
        <f t="shared" si="4"/>
        <v>13.395660101425966</v>
      </c>
      <c r="K63" s="16">
        <v>18.1049496958987</v>
      </c>
      <c r="L63" s="16">
        <v>17.926709877663299</v>
      </c>
      <c r="M63" s="16">
        <v>17.5556844445838</v>
      </c>
      <c r="N63" s="16">
        <f t="shared" si="0"/>
        <v>17.862448006048599</v>
      </c>
      <c r="O63" s="16">
        <f t="shared" si="1"/>
        <v>5.4986622599999997</v>
      </c>
      <c r="P63" s="16">
        <f t="shared" si="2"/>
        <v>4.0214261566350222</v>
      </c>
      <c r="S63" s="18" t="s">
        <v>11641</v>
      </c>
      <c r="T63" s="19">
        <v>5.2188431199999998</v>
      </c>
      <c r="U63" s="39"/>
    </row>
    <row r="64" spans="1:21" x14ac:dyDescent="0.2">
      <c r="A64" s="14" t="str">
        <f>"ZC247.1"</f>
        <v>ZC247.1</v>
      </c>
      <c r="B64" s="14" t="s">
        <v>1002</v>
      </c>
      <c r="C64" s="14" t="s">
        <v>1003</v>
      </c>
      <c r="D64" s="14">
        <v>4.4364364195517396</v>
      </c>
      <c r="E64" s="14">
        <f t="shared" si="3"/>
        <v>21.652120537258018</v>
      </c>
      <c r="F64" s="30">
        <v>1.07437757119486E-10</v>
      </c>
      <c r="G64" s="14">
        <v>13.829354127713399</v>
      </c>
      <c r="H64" s="14">
        <v>14.1692928373669</v>
      </c>
      <c r="I64" s="14">
        <v>14.048621893857399</v>
      </c>
      <c r="J64" s="14">
        <f t="shared" si="4"/>
        <v>14.015756286312566</v>
      </c>
      <c r="K64" s="14">
        <v>18.1459924860659</v>
      </c>
      <c r="L64" s="14">
        <v>18.796843319755801</v>
      </c>
      <c r="M64" s="14">
        <v>18.413742311771198</v>
      </c>
      <c r="N64" s="14">
        <f t="shared" si="0"/>
        <v>18.452192705864302</v>
      </c>
      <c r="O64" s="14">
        <f t="shared" si="1"/>
        <v>45.449789099999997</v>
      </c>
      <c r="P64" s="14">
        <f t="shared" si="2"/>
        <v>0.47639650185435117</v>
      </c>
      <c r="S64" s="18" t="s">
        <v>3454</v>
      </c>
      <c r="T64" s="19">
        <v>5.1872334499999999</v>
      </c>
      <c r="U64" s="39"/>
    </row>
    <row r="65" spans="1:21" x14ac:dyDescent="0.2">
      <c r="A65" s="14" t="str">
        <f>"nap-1"</f>
        <v>nap-1</v>
      </c>
      <c r="B65" s="14" t="s">
        <v>8062</v>
      </c>
      <c r="C65" s="14" t="s">
        <v>8064</v>
      </c>
      <c r="D65" s="14">
        <v>4.0422966238727698</v>
      </c>
      <c r="E65" s="14">
        <f t="shared" si="3"/>
        <v>16.476028524108948</v>
      </c>
      <c r="F65" s="30">
        <v>6.7815685661724099E-10</v>
      </c>
      <c r="G65" s="14">
        <v>12.6789625809438</v>
      </c>
      <c r="H65" s="14">
        <v>12.5725581685767</v>
      </c>
      <c r="I65" s="14">
        <v>12.714227230652901</v>
      </c>
      <c r="J65" s="14">
        <f t="shared" si="4"/>
        <v>12.655249326724467</v>
      </c>
      <c r="K65" s="14">
        <v>16.732523456716301</v>
      </c>
      <c r="L65" s="14">
        <v>16.8619554576625</v>
      </c>
      <c r="M65" s="14">
        <v>16.498158937412899</v>
      </c>
      <c r="N65" s="14">
        <f t="shared" si="0"/>
        <v>16.697545950597231</v>
      </c>
      <c r="O65" s="14">
        <f t="shared" si="1"/>
        <v>58.276928099999999</v>
      </c>
      <c r="P65" s="14">
        <f t="shared" si="2"/>
        <v>0.28271957807791431</v>
      </c>
      <c r="S65" s="18" t="s">
        <v>7683</v>
      </c>
      <c r="T65" s="19">
        <v>5.1493989300000003</v>
      </c>
      <c r="U65" s="39"/>
    </row>
    <row r="66" spans="1:21" x14ac:dyDescent="0.2">
      <c r="A66" s="10" t="str">
        <f>"Y92H12BM.1"</f>
        <v>Y92H12BM.1</v>
      </c>
      <c r="B66" s="10" t="s">
        <v>914</v>
      </c>
      <c r="C66" s="10" t="s">
        <v>915</v>
      </c>
      <c r="D66" s="10">
        <v>4.0070155989190503</v>
      </c>
      <c r="E66" s="10">
        <f t="shared" si="3"/>
        <v>16.077994966697535</v>
      </c>
      <c r="F66" s="32">
        <v>6.5620275477706302E-11</v>
      </c>
      <c r="G66" s="10">
        <v>10.2205996185674</v>
      </c>
      <c r="H66" s="10" t="s">
        <v>14849</v>
      </c>
      <c r="I66" s="10">
        <v>10.361591120431401</v>
      </c>
      <c r="J66" s="10">
        <f t="shared" si="4"/>
        <v>10.2910953694994</v>
      </c>
      <c r="K66" s="10">
        <v>14.352828303312601</v>
      </c>
      <c r="L66" s="10">
        <v>14.586787130761101</v>
      </c>
      <c r="M66" s="10">
        <v>13.954717471181601</v>
      </c>
      <c r="N66" s="10">
        <f t="shared" ref="N66:N129" si="5">(K66+L66+M66)/3</f>
        <v>14.298110968418435</v>
      </c>
      <c r="O66" s="10">
        <f t="shared" ref="O66:O129" si="6">IFERROR(INDEX(T:T,MATCH(A66, S:S, 0)), "ND")</f>
        <v>3.3613502799999999</v>
      </c>
      <c r="P66" s="10">
        <f t="shared" ref="P66:P129" si="7">IFERROR(E66/O66, "NA")</f>
        <v>4.7831953314599316</v>
      </c>
      <c r="S66" s="18" t="s">
        <v>11194</v>
      </c>
      <c r="T66" s="19">
        <v>5.1442231500000002</v>
      </c>
      <c r="U66" s="39"/>
    </row>
    <row r="67" spans="1:21" x14ac:dyDescent="0.2">
      <c r="A67" s="10" t="str">
        <f>"sec-6"</f>
        <v>sec-6</v>
      </c>
      <c r="B67" s="10" t="s">
        <v>8164</v>
      </c>
      <c r="C67" s="10" t="s">
        <v>8166</v>
      </c>
      <c r="D67" s="10">
        <v>3.9226990346203898</v>
      </c>
      <c r="E67" s="10">
        <f t="shared" si="3"/>
        <v>15.165267435492206</v>
      </c>
      <c r="F67" s="32">
        <v>3.0379267484903701E-5</v>
      </c>
      <c r="G67" s="10" t="s">
        <v>14849</v>
      </c>
      <c r="H67" s="10">
        <v>12.834371302891901</v>
      </c>
      <c r="I67" s="10" t="s">
        <v>14849</v>
      </c>
      <c r="J67" s="10">
        <f t="shared" si="4"/>
        <v>12.834371302891901</v>
      </c>
      <c r="K67" s="10">
        <v>16.370907169575901</v>
      </c>
      <c r="L67" s="10">
        <v>17.226127672750401</v>
      </c>
      <c r="M67" s="10">
        <v>16.6741761702106</v>
      </c>
      <c r="N67" s="10">
        <f t="shared" si="5"/>
        <v>16.7570703375123</v>
      </c>
      <c r="O67" s="10">
        <f t="shared" si="6"/>
        <v>3.2135458099999998</v>
      </c>
      <c r="P67" s="10">
        <f t="shared" si="7"/>
        <v>4.7191695193205314</v>
      </c>
      <c r="S67" s="18" t="s">
        <v>3805</v>
      </c>
      <c r="T67" s="19">
        <v>5.0381587100000003</v>
      </c>
      <c r="U67" s="39"/>
    </row>
    <row r="68" spans="1:21" x14ac:dyDescent="0.2">
      <c r="A68" s="24" t="str">
        <f>"cdkr-3"</f>
        <v>cdkr-3</v>
      </c>
      <c r="B68" s="24" t="s">
        <v>13319</v>
      </c>
      <c r="C68" s="24" t="s">
        <v>13321</v>
      </c>
      <c r="D68" s="24">
        <v>3.8744321907240402</v>
      </c>
      <c r="E68" s="24">
        <f t="shared" si="3"/>
        <v>14.666291263777756</v>
      </c>
      <c r="F68" s="29">
        <v>1.04960168677961E-10</v>
      </c>
      <c r="G68" s="24">
        <v>9.3746290607799398</v>
      </c>
      <c r="H68" s="24">
        <v>9.0076505403956606</v>
      </c>
      <c r="I68" s="24" t="s">
        <v>14849</v>
      </c>
      <c r="J68" s="24">
        <f t="shared" si="4"/>
        <v>9.1911398005878002</v>
      </c>
      <c r="K68" s="24">
        <v>12.922979603332401</v>
      </c>
      <c r="L68" s="24">
        <v>13.2717942125542</v>
      </c>
      <c r="M68" s="24">
        <v>13.0019421580489</v>
      </c>
      <c r="N68" s="24">
        <f t="shared" si="5"/>
        <v>13.065571991311833</v>
      </c>
      <c r="O68" s="24" t="str">
        <f t="shared" si="6"/>
        <v>ND</v>
      </c>
      <c r="P68" s="24" t="str">
        <f t="shared" si="7"/>
        <v>NA</v>
      </c>
      <c r="S68" s="18" t="s">
        <v>315</v>
      </c>
      <c r="T68" s="19">
        <v>5.0101333800000001</v>
      </c>
      <c r="U68" s="39"/>
    </row>
    <row r="69" spans="1:21" x14ac:dyDescent="0.2">
      <c r="A69" s="10" t="str">
        <f>"alfa-1"</f>
        <v>alfa-1</v>
      </c>
      <c r="B69" s="10" t="s">
        <v>11529</v>
      </c>
      <c r="C69" s="10" t="s">
        <v>11531</v>
      </c>
      <c r="D69" s="10">
        <v>3.7856863610662401</v>
      </c>
      <c r="E69" s="10">
        <f t="shared" si="3"/>
        <v>13.791298194502728</v>
      </c>
      <c r="F69" s="32">
        <v>1.3990373732556901E-8</v>
      </c>
      <c r="G69" s="10">
        <v>12.4065620262368</v>
      </c>
      <c r="H69" s="10">
        <v>12.247847300983899</v>
      </c>
      <c r="I69" s="10" t="s">
        <v>14849</v>
      </c>
      <c r="J69" s="10">
        <f t="shared" si="4"/>
        <v>12.327204663610349</v>
      </c>
      <c r="K69" s="10">
        <v>16.081944075564799</v>
      </c>
      <c r="L69" s="10">
        <v>16.4314791518985</v>
      </c>
      <c r="M69" s="10">
        <v>15.8252498465665</v>
      </c>
      <c r="N69" s="10">
        <f t="shared" si="5"/>
        <v>16.1128910246766</v>
      </c>
      <c r="O69" s="10">
        <f t="shared" si="6"/>
        <v>3.1386884199999998</v>
      </c>
      <c r="P69" s="10">
        <f t="shared" si="7"/>
        <v>4.3939685464231992</v>
      </c>
      <c r="S69" s="11" t="s">
        <v>5251</v>
      </c>
      <c r="T69" s="20">
        <v>4.9786246800000002</v>
      </c>
      <c r="U69" s="41" t="s">
        <v>14928</v>
      </c>
    </row>
    <row r="70" spans="1:21" x14ac:dyDescent="0.2">
      <c r="A70" s="16" t="str">
        <f>"cogc-8"</f>
        <v>cogc-8</v>
      </c>
      <c r="B70" s="16" t="s">
        <v>3804</v>
      </c>
      <c r="C70" s="16" t="s">
        <v>3806</v>
      </c>
      <c r="D70" s="16">
        <v>3.77894900641913</v>
      </c>
      <c r="E70" s="16">
        <f t="shared" si="3"/>
        <v>13.72704328143244</v>
      </c>
      <c r="F70" s="31">
        <v>5.0346653563987299E-8</v>
      </c>
      <c r="G70" s="16">
        <v>11.5378934767988</v>
      </c>
      <c r="H70" s="16">
        <v>12.455456303284601</v>
      </c>
      <c r="I70" s="16">
        <v>11.5320095853906</v>
      </c>
      <c r="J70" s="16">
        <f t="shared" si="4"/>
        <v>11.841786455158001</v>
      </c>
      <c r="K70" s="16">
        <v>15.5205543980013</v>
      </c>
      <c r="L70" s="16">
        <v>15.876955963679199</v>
      </c>
      <c r="M70" s="16">
        <v>15.4646960230509</v>
      </c>
      <c r="N70" s="16">
        <f t="shared" si="5"/>
        <v>15.620735461577134</v>
      </c>
      <c r="O70" s="16">
        <f t="shared" si="6"/>
        <v>5.0381587100000003</v>
      </c>
      <c r="P70" s="16">
        <f t="shared" si="7"/>
        <v>2.7246150968182659</v>
      </c>
      <c r="S70" s="11" t="s">
        <v>8357</v>
      </c>
      <c r="T70" s="20">
        <v>4.8608899699999997</v>
      </c>
      <c r="U70" s="39" t="s">
        <v>14917</v>
      </c>
    </row>
    <row r="71" spans="1:21" x14ac:dyDescent="0.2">
      <c r="A71" s="10" t="str">
        <f>"saps-1"</f>
        <v>saps-1</v>
      </c>
      <c r="B71" s="10" t="s">
        <v>627</v>
      </c>
      <c r="C71" s="10" t="s">
        <v>629</v>
      </c>
      <c r="D71" s="10">
        <v>3.7548936584408201</v>
      </c>
      <c r="E71" s="10">
        <f t="shared" si="3"/>
        <v>13.500057607407809</v>
      </c>
      <c r="F71" s="32">
        <v>3.2426962825701899E-9</v>
      </c>
      <c r="G71" s="10">
        <v>10.2053593211016</v>
      </c>
      <c r="H71" s="10" t="s">
        <v>14849</v>
      </c>
      <c r="I71" s="10">
        <v>10.379090651613501</v>
      </c>
      <c r="J71" s="10">
        <f t="shared" si="4"/>
        <v>10.292224986357549</v>
      </c>
      <c r="K71" s="10">
        <v>14.3403913274082</v>
      </c>
      <c r="L71" s="10">
        <v>14.1255755741866</v>
      </c>
      <c r="M71" s="10">
        <v>13.675389032800201</v>
      </c>
      <c r="N71" s="10">
        <f t="shared" si="5"/>
        <v>14.047118644798333</v>
      </c>
      <c r="O71" s="10">
        <f t="shared" si="6"/>
        <v>3.7304220099999998</v>
      </c>
      <c r="P71" s="10">
        <f t="shared" si="7"/>
        <v>3.6189089521825468</v>
      </c>
      <c r="S71" s="11" t="s">
        <v>6434</v>
      </c>
      <c r="T71" s="20">
        <v>4.8303157299999997</v>
      </c>
      <c r="U71" s="39"/>
    </row>
    <row r="72" spans="1:21" x14ac:dyDescent="0.2">
      <c r="A72" s="14" t="str">
        <f>"erfa-3"</f>
        <v>erfa-3</v>
      </c>
      <c r="B72" s="14" t="s">
        <v>4113</v>
      </c>
      <c r="C72" s="14" t="s">
        <v>4115</v>
      </c>
      <c r="D72" s="14">
        <v>3.5938772731383199</v>
      </c>
      <c r="E72" s="14">
        <f t="shared" si="3"/>
        <v>12.074380563747825</v>
      </c>
      <c r="F72" s="30">
        <v>1.27815715934335E-8</v>
      </c>
      <c r="G72" s="14">
        <v>14.868496968503599</v>
      </c>
      <c r="H72" s="14">
        <v>14.5904233236647</v>
      </c>
      <c r="I72" s="14">
        <v>14.616835287969201</v>
      </c>
      <c r="J72" s="14">
        <f t="shared" si="4"/>
        <v>14.691918526712501</v>
      </c>
      <c r="K72" s="14">
        <v>18.349350381159599</v>
      </c>
      <c r="L72" s="14">
        <v>18.4805757333381</v>
      </c>
      <c r="M72" s="14">
        <v>18.027461285054699</v>
      </c>
      <c r="N72" s="14">
        <f t="shared" si="5"/>
        <v>18.285795799850799</v>
      </c>
      <c r="O72" s="14">
        <f t="shared" si="6"/>
        <v>11.1537191</v>
      </c>
      <c r="P72" s="14">
        <f t="shared" si="7"/>
        <v>1.0825430025172345</v>
      </c>
      <c r="S72" s="11" t="s">
        <v>88</v>
      </c>
      <c r="T72" s="20">
        <v>4.8081449999999997</v>
      </c>
      <c r="U72" s="39"/>
    </row>
    <row r="73" spans="1:21" x14ac:dyDescent="0.2">
      <c r="A73" s="14" t="str">
        <f>"itsn-1"</f>
        <v>itsn-1</v>
      </c>
      <c r="B73" s="14" t="s">
        <v>75</v>
      </c>
      <c r="C73" s="14" t="s">
        <v>77</v>
      </c>
      <c r="D73" s="14">
        <v>3.5583325547596698</v>
      </c>
      <c r="E73" s="14">
        <f t="shared" si="3"/>
        <v>11.78053010724928</v>
      </c>
      <c r="F73" s="30">
        <v>2.0212846600809101E-7</v>
      </c>
      <c r="G73" s="14">
        <v>10.436166300737099</v>
      </c>
      <c r="H73" s="14">
        <v>12.007443924763299</v>
      </c>
      <c r="I73" s="14">
        <v>10.395857267852501</v>
      </c>
      <c r="J73" s="14">
        <f t="shared" si="4"/>
        <v>10.946489164450966</v>
      </c>
      <c r="K73" s="14">
        <v>13.9994220425211</v>
      </c>
      <c r="L73" s="14">
        <v>14.9042314198176</v>
      </c>
      <c r="M73" s="14">
        <v>14.6108116952931</v>
      </c>
      <c r="N73" s="14">
        <f t="shared" si="5"/>
        <v>14.504821719210602</v>
      </c>
      <c r="O73" s="14">
        <f t="shared" si="6"/>
        <v>13.279445000000001</v>
      </c>
      <c r="P73" s="14">
        <f t="shared" si="7"/>
        <v>0.88712518537102114</v>
      </c>
      <c r="S73" s="11" t="s">
        <v>465</v>
      </c>
      <c r="T73" s="20">
        <v>4.7841150700000004</v>
      </c>
      <c r="U73" s="39"/>
    </row>
    <row r="74" spans="1:21" x14ac:dyDescent="0.2">
      <c r="A74" s="10" t="str">
        <f>"F42A10.5"</f>
        <v>F42A10.5</v>
      </c>
      <c r="B74" s="10" t="s">
        <v>8729</v>
      </c>
      <c r="C74" s="10" t="s">
        <v>8730</v>
      </c>
      <c r="D74" s="10">
        <v>3.5289463166700301</v>
      </c>
      <c r="E74" s="10">
        <f t="shared" si="3"/>
        <v>11.542999966692214</v>
      </c>
      <c r="F74" s="32">
        <v>3.2438538707275802E-7</v>
      </c>
      <c r="G74" s="10">
        <v>9.9566818556722403</v>
      </c>
      <c r="H74" s="10" t="s">
        <v>14849</v>
      </c>
      <c r="I74" s="10">
        <v>10.8966645353281</v>
      </c>
      <c r="J74" s="10">
        <f t="shared" si="4"/>
        <v>10.42667319550017</v>
      </c>
      <c r="K74" s="10">
        <v>14.2114512041002</v>
      </c>
      <c r="L74" s="10">
        <v>13.8025087953468</v>
      </c>
      <c r="M74" s="10">
        <v>13.8528985370636</v>
      </c>
      <c r="N74" s="10">
        <f t="shared" si="5"/>
        <v>13.9556195121702</v>
      </c>
      <c r="O74" s="10">
        <f t="shared" si="6"/>
        <v>4.1223131100000003</v>
      </c>
      <c r="P74" s="10">
        <f t="shared" si="7"/>
        <v>2.8001269332722312</v>
      </c>
      <c r="S74" s="11" t="s">
        <v>944</v>
      </c>
      <c r="T74" s="20">
        <v>4.7641000399999998</v>
      </c>
      <c r="U74" s="39"/>
    </row>
    <row r="75" spans="1:21" x14ac:dyDescent="0.2">
      <c r="A75" s="10" t="str">
        <f>"natc-1"</f>
        <v>natc-1</v>
      </c>
      <c r="B75" s="10" t="s">
        <v>3298</v>
      </c>
      <c r="C75" s="10" t="s">
        <v>3300</v>
      </c>
      <c r="D75" s="10">
        <v>3.5095056122898001</v>
      </c>
      <c r="E75" s="10">
        <f t="shared" si="3"/>
        <v>11.3884982461734</v>
      </c>
      <c r="F75" s="32">
        <v>1.22768501588295E-7</v>
      </c>
      <c r="G75" s="10">
        <v>12.171743768465101</v>
      </c>
      <c r="H75" s="10">
        <v>11.878978978488099</v>
      </c>
      <c r="I75" s="10">
        <v>12.415713199401001</v>
      </c>
      <c r="J75" s="10">
        <f t="shared" si="4"/>
        <v>12.155478648784731</v>
      </c>
      <c r="K75" s="10">
        <v>15.387251564201399</v>
      </c>
      <c r="L75" s="10">
        <v>15.8960562676707</v>
      </c>
      <c r="M75" s="10">
        <v>15.7116449513513</v>
      </c>
      <c r="N75" s="10">
        <f t="shared" si="5"/>
        <v>15.664984261074466</v>
      </c>
      <c r="O75" s="10">
        <f t="shared" si="6"/>
        <v>4.4027046299999997</v>
      </c>
      <c r="P75" s="10">
        <f t="shared" si="7"/>
        <v>2.5867050377561669</v>
      </c>
      <c r="S75" s="11" t="s">
        <v>1209</v>
      </c>
      <c r="T75" s="20">
        <v>4.5818628099999996</v>
      </c>
      <c r="U75" s="39"/>
    </row>
    <row r="76" spans="1:21" x14ac:dyDescent="0.2">
      <c r="A76" s="14" t="str">
        <f>"lea-1"</f>
        <v>lea-1</v>
      </c>
      <c r="B76" s="14" t="s">
        <v>2195</v>
      </c>
      <c r="C76" s="14" t="s">
        <v>2197</v>
      </c>
      <c r="D76" s="14">
        <v>3.46612798878872</v>
      </c>
      <c r="E76" s="14">
        <f t="shared" si="3"/>
        <v>11.051175947489908</v>
      </c>
      <c r="F76" s="30">
        <v>1.13630370160507E-7</v>
      </c>
      <c r="G76" s="14">
        <v>12.3888086287417</v>
      </c>
      <c r="H76" s="14">
        <v>12.778827821609999</v>
      </c>
      <c r="I76" s="14">
        <v>12.302385086334599</v>
      </c>
      <c r="J76" s="14">
        <f t="shared" si="4"/>
        <v>12.490007178895434</v>
      </c>
      <c r="K76" s="14">
        <v>15.9944822100721</v>
      </c>
      <c r="L76" s="14">
        <v>16.257928648419899</v>
      </c>
      <c r="M76" s="14">
        <v>15.615994644560599</v>
      </c>
      <c r="N76" s="14">
        <f t="shared" si="5"/>
        <v>15.9561351676842</v>
      </c>
      <c r="O76" s="14">
        <f t="shared" si="6"/>
        <v>12.573299199999999</v>
      </c>
      <c r="P76" s="14">
        <f t="shared" si="7"/>
        <v>0.87894002772875301</v>
      </c>
      <c r="S76" s="11" t="s">
        <v>9440</v>
      </c>
      <c r="T76" s="20">
        <v>4.5629360500000002</v>
      </c>
      <c r="U76" s="39"/>
    </row>
    <row r="77" spans="1:21" x14ac:dyDescent="0.2">
      <c r="A77" s="16" t="str">
        <f>"gln-3"</f>
        <v>gln-3</v>
      </c>
      <c r="B77" s="16" t="s">
        <v>13333</v>
      </c>
      <c r="C77" s="16" t="s">
        <v>13335</v>
      </c>
      <c r="D77" s="16">
        <v>3.4169033382457599</v>
      </c>
      <c r="E77" s="16">
        <f t="shared" si="3"/>
        <v>10.680470802066258</v>
      </c>
      <c r="F77" s="31">
        <v>1.53720940369417E-6</v>
      </c>
      <c r="G77" s="16">
        <v>13.192061486307001</v>
      </c>
      <c r="H77" s="16">
        <v>12.7365333560926</v>
      </c>
      <c r="I77" s="16">
        <v>12.352994465150299</v>
      </c>
      <c r="J77" s="16">
        <f t="shared" si="4"/>
        <v>12.7605297691833</v>
      </c>
      <c r="K77" s="16">
        <v>16.067671325554802</v>
      </c>
      <c r="L77" s="16">
        <v>16.157767320031301</v>
      </c>
      <c r="M77" s="16">
        <v>16.306860676701</v>
      </c>
      <c r="N77" s="16">
        <f t="shared" si="5"/>
        <v>16.177433107429035</v>
      </c>
      <c r="O77" s="16">
        <f t="shared" si="6"/>
        <v>8.4615092599999997</v>
      </c>
      <c r="P77" s="16">
        <f t="shared" si="7"/>
        <v>1.2622418145372636</v>
      </c>
      <c r="S77" s="11" t="s">
        <v>3930</v>
      </c>
      <c r="T77" s="20">
        <v>4.51665078</v>
      </c>
      <c r="U77" s="39"/>
    </row>
    <row r="78" spans="1:21" x14ac:dyDescent="0.2">
      <c r="A78" s="25" t="str">
        <f>"mlt-2"</f>
        <v>mlt-2</v>
      </c>
      <c r="B78" s="25" t="s">
        <v>7389</v>
      </c>
      <c r="C78" s="25" t="s">
        <v>412</v>
      </c>
      <c r="D78" s="25">
        <v>3.3813319268839899</v>
      </c>
      <c r="E78" s="25">
        <f t="shared" si="3"/>
        <v>10.420350694458106</v>
      </c>
      <c r="F78" s="26">
        <v>1.99054474992054E-10</v>
      </c>
      <c r="G78" s="25">
        <v>11.158376817069801</v>
      </c>
      <c r="H78" s="25">
        <v>10.668773969975501</v>
      </c>
      <c r="I78" s="25">
        <v>11.1675085806671</v>
      </c>
      <c r="J78" s="25">
        <f t="shared" si="4"/>
        <v>10.998219789237467</v>
      </c>
      <c r="K78" s="25">
        <v>14.5298592376732</v>
      </c>
      <c r="L78" s="25">
        <v>14.493729083061201</v>
      </c>
      <c r="M78" s="25">
        <v>14.115066827630001</v>
      </c>
      <c r="N78" s="25">
        <f t="shared" si="5"/>
        <v>14.379551716121467</v>
      </c>
      <c r="O78" s="25" t="str">
        <f t="shared" si="6"/>
        <v>ND</v>
      </c>
      <c r="P78" s="25" t="str">
        <f t="shared" si="7"/>
        <v>NA</v>
      </c>
      <c r="S78" s="10" t="s">
        <v>14808</v>
      </c>
      <c r="T78" s="21">
        <v>4.4289296021776599</v>
      </c>
      <c r="U78" s="40"/>
    </row>
    <row r="79" spans="1:21" x14ac:dyDescent="0.2">
      <c r="A79" s="14" t="str">
        <f>"tdo-2"</f>
        <v>tdo-2</v>
      </c>
      <c r="B79" s="14" t="s">
        <v>6783</v>
      </c>
      <c r="C79" s="14" t="s">
        <v>6785</v>
      </c>
      <c r="D79" s="14">
        <v>3.3200716175933902</v>
      </c>
      <c r="E79" s="14">
        <f t="shared" si="3"/>
        <v>9.9871401558545259</v>
      </c>
      <c r="F79" s="30">
        <v>4.1281459870545801E-7</v>
      </c>
      <c r="G79" s="14">
        <v>12.4614333638552</v>
      </c>
      <c r="H79" s="14">
        <v>12.601271399343601</v>
      </c>
      <c r="I79" s="14">
        <v>13.832710655138801</v>
      </c>
      <c r="J79" s="14">
        <f t="shared" si="4"/>
        <v>12.965138472779202</v>
      </c>
      <c r="K79" s="14">
        <v>16.409823596609598</v>
      </c>
      <c r="L79" s="14">
        <v>16.448871337967802</v>
      </c>
      <c r="M79" s="14">
        <v>15.9969353365403</v>
      </c>
      <c r="N79" s="14">
        <f t="shared" si="5"/>
        <v>16.285210090372569</v>
      </c>
      <c r="O79" s="14">
        <f t="shared" si="6"/>
        <v>10.478298199999999</v>
      </c>
      <c r="P79" s="14">
        <f t="shared" si="7"/>
        <v>0.95312616278228524</v>
      </c>
      <c r="S79" s="11" t="s">
        <v>3299</v>
      </c>
      <c r="T79" s="20">
        <v>4.4027046299999997</v>
      </c>
      <c r="U79" s="39"/>
    </row>
    <row r="80" spans="1:21" x14ac:dyDescent="0.2">
      <c r="A80" s="14" t="str">
        <f>"rpn-11"</f>
        <v>rpn-11</v>
      </c>
      <c r="B80" s="14" t="s">
        <v>4603</v>
      </c>
      <c r="C80" s="14" t="s">
        <v>4605</v>
      </c>
      <c r="D80" s="14">
        <v>3.2093793918070399</v>
      </c>
      <c r="E80" s="14">
        <f t="shared" si="3"/>
        <v>9.2495257207580277</v>
      </c>
      <c r="F80" s="30">
        <v>3.8777318373804903E-8</v>
      </c>
      <c r="G80" s="14">
        <v>14.565381076797101</v>
      </c>
      <c r="H80" s="14">
        <v>14.626223376635499</v>
      </c>
      <c r="I80" s="14">
        <v>14.6899224052148</v>
      </c>
      <c r="J80" s="14">
        <f t="shared" si="4"/>
        <v>14.627175619549133</v>
      </c>
      <c r="K80" s="14">
        <v>17.969161298512201</v>
      </c>
      <c r="L80" s="14">
        <v>17.8315276719098</v>
      </c>
      <c r="M80" s="14">
        <v>17.708976063646499</v>
      </c>
      <c r="N80" s="14">
        <f t="shared" si="5"/>
        <v>17.836555011356168</v>
      </c>
      <c r="O80" s="14">
        <f t="shared" si="6"/>
        <v>27.4262218</v>
      </c>
      <c r="P80" s="14">
        <f t="shared" si="7"/>
        <v>0.33725118203332066</v>
      </c>
      <c r="S80" s="11" t="s">
        <v>14809</v>
      </c>
      <c r="T80" s="20">
        <v>4.39401449</v>
      </c>
      <c r="U80" s="39"/>
    </row>
    <row r="81" spans="1:21" x14ac:dyDescent="0.2">
      <c r="A81" s="10" t="str">
        <f>"T04F3.1"</f>
        <v>T04F3.1</v>
      </c>
      <c r="B81" s="10" t="s">
        <v>1555</v>
      </c>
      <c r="C81" s="10" t="s">
        <v>1556</v>
      </c>
      <c r="D81" s="10">
        <v>3.0987646754294702</v>
      </c>
      <c r="E81" s="10">
        <f t="shared" si="3"/>
        <v>8.5668490937165007</v>
      </c>
      <c r="F81" s="32">
        <v>1.3509285127661E-9</v>
      </c>
      <c r="G81" s="10">
        <v>13.0608550297052</v>
      </c>
      <c r="H81" s="10">
        <v>12.9476766261173</v>
      </c>
      <c r="I81" s="10">
        <v>13.1129313821629</v>
      </c>
      <c r="J81" s="10">
        <f t="shared" si="4"/>
        <v>13.040487679328466</v>
      </c>
      <c r="K81" s="10">
        <v>16.231508425763401</v>
      </c>
      <c r="L81" s="10">
        <v>16.458784082920101</v>
      </c>
      <c r="M81" s="10">
        <v>15.7274645555903</v>
      </c>
      <c r="N81" s="10">
        <f t="shared" si="5"/>
        <v>16.139252354757932</v>
      </c>
      <c r="O81" s="10">
        <f t="shared" si="6"/>
        <v>2.2527639000000002</v>
      </c>
      <c r="P81" s="10">
        <f t="shared" si="7"/>
        <v>3.8028171055637476</v>
      </c>
      <c r="S81" s="11" t="s">
        <v>9759</v>
      </c>
      <c r="T81" s="20">
        <v>4.2269197700000003</v>
      </c>
      <c r="U81" s="39"/>
    </row>
    <row r="82" spans="1:21" x14ac:dyDescent="0.2">
      <c r="A82" s="14" t="str">
        <f>"C05C8.7"</f>
        <v>C05C8.7</v>
      </c>
      <c r="B82" s="14" t="s">
        <v>3188</v>
      </c>
      <c r="C82" s="14" t="s">
        <v>3190</v>
      </c>
      <c r="D82" s="14">
        <v>3.0335293944041202</v>
      </c>
      <c r="E82" s="14">
        <f t="shared" si="3"/>
        <v>8.1881038169479208</v>
      </c>
      <c r="F82" s="30">
        <v>4.9036757500803602E-9</v>
      </c>
      <c r="G82" s="14">
        <v>12.4041123835161</v>
      </c>
      <c r="H82" s="14">
        <v>12.782009873755401</v>
      </c>
      <c r="I82" s="14">
        <v>12.6895545720184</v>
      </c>
      <c r="J82" s="14">
        <f t="shared" si="4"/>
        <v>12.6252256097633</v>
      </c>
      <c r="K82" s="14">
        <v>15.974410348492301</v>
      </c>
      <c r="L82" s="14">
        <v>15.572497282847699</v>
      </c>
      <c r="M82" s="14">
        <v>15.429357381162299</v>
      </c>
      <c r="N82" s="14">
        <f t="shared" si="5"/>
        <v>15.658755004167432</v>
      </c>
      <c r="O82" s="14">
        <f t="shared" si="6"/>
        <v>13.513067700000001</v>
      </c>
      <c r="P82" s="14">
        <f t="shared" si="7"/>
        <v>0.6059396725251307</v>
      </c>
      <c r="S82" s="10" t="s">
        <v>7987</v>
      </c>
      <c r="T82" s="20">
        <v>4.1515668901613356</v>
      </c>
      <c r="U82" s="39"/>
    </row>
    <row r="83" spans="1:21" x14ac:dyDescent="0.2">
      <c r="A83" s="16" t="str">
        <f>"pck-2"</f>
        <v>pck-2</v>
      </c>
      <c r="B83" s="16" t="s">
        <v>3077</v>
      </c>
      <c r="C83" s="16" t="s">
        <v>3079</v>
      </c>
      <c r="D83" s="16">
        <v>2.97323255134908</v>
      </c>
      <c r="E83" s="16">
        <f t="shared" si="3"/>
        <v>7.8529382420828631</v>
      </c>
      <c r="F83" s="31">
        <v>2.48191679506561E-10</v>
      </c>
      <c r="G83" s="16">
        <v>14.2351025874752</v>
      </c>
      <c r="H83" s="16">
        <v>14.0989692015164</v>
      </c>
      <c r="I83" s="16">
        <v>14.274739648371099</v>
      </c>
      <c r="J83" s="16">
        <f t="shared" si="4"/>
        <v>14.202937145787567</v>
      </c>
      <c r="K83" s="16">
        <v>17.1636401340938</v>
      </c>
      <c r="L83" s="16">
        <v>17.408443722016798</v>
      </c>
      <c r="M83" s="16">
        <v>16.956425235299299</v>
      </c>
      <c r="N83" s="16">
        <f t="shared" si="5"/>
        <v>17.176169697136633</v>
      </c>
      <c r="O83" s="16">
        <f t="shared" si="6"/>
        <v>6.2592155700000003</v>
      </c>
      <c r="P83" s="16">
        <f t="shared" si="7"/>
        <v>1.2546201923003688</v>
      </c>
      <c r="S83" s="11" t="s">
        <v>14172</v>
      </c>
      <c r="T83" s="20">
        <v>4.1223131100000003</v>
      </c>
      <c r="U83" s="39"/>
    </row>
    <row r="84" spans="1:21" x14ac:dyDescent="0.2">
      <c r="A84" s="16" t="str">
        <f>"ivns-1"</f>
        <v>ivns-1</v>
      </c>
      <c r="B84" s="16" t="s">
        <v>9470</v>
      </c>
      <c r="C84" s="16" t="s">
        <v>2432</v>
      </c>
      <c r="D84" s="16">
        <v>2.9625612821338501</v>
      </c>
      <c r="E84" s="16">
        <f t="shared" si="3"/>
        <v>7.7950662378059201</v>
      </c>
      <c r="F84" s="31">
        <v>4.7445956079803897E-8</v>
      </c>
      <c r="G84" s="16">
        <v>12.767921153455299</v>
      </c>
      <c r="H84" s="16">
        <v>12.8428017920839</v>
      </c>
      <c r="I84" s="16">
        <v>13.0138894181816</v>
      </c>
      <c r="J84" s="16">
        <f t="shared" si="4"/>
        <v>12.874870787906934</v>
      </c>
      <c r="K84" s="16">
        <v>15.4988817594447</v>
      </c>
      <c r="L84" s="16">
        <v>16.5215899383101</v>
      </c>
      <c r="M84" s="16">
        <v>15.491824512367501</v>
      </c>
      <c r="N84" s="16">
        <f t="shared" si="5"/>
        <v>15.837432070040768</v>
      </c>
      <c r="O84" s="16">
        <f t="shared" si="6"/>
        <v>6.7355698300000002</v>
      </c>
      <c r="P84" s="16">
        <f t="shared" si="7"/>
        <v>1.1572987044224468</v>
      </c>
      <c r="S84" s="10" t="s">
        <v>13532</v>
      </c>
      <c r="T84" s="21">
        <v>4.0876309905636603</v>
      </c>
      <c r="U84" s="40"/>
    </row>
    <row r="85" spans="1:21" x14ac:dyDescent="0.2">
      <c r="A85" s="16" t="str">
        <f>"F27D4.4"</f>
        <v>F27D4.4</v>
      </c>
      <c r="B85" s="16" t="s">
        <v>11193</v>
      </c>
      <c r="C85" s="16" t="s">
        <v>11195</v>
      </c>
      <c r="D85" s="16">
        <v>2.91142290051515</v>
      </c>
      <c r="E85" s="16">
        <f t="shared" si="3"/>
        <v>7.5235987066573218</v>
      </c>
      <c r="F85" s="31">
        <v>1.7195359835713301E-6</v>
      </c>
      <c r="G85" s="16" t="s">
        <v>14849</v>
      </c>
      <c r="H85" s="16">
        <v>10.350681316322801</v>
      </c>
      <c r="I85" s="16">
        <v>10.365021879637901</v>
      </c>
      <c r="J85" s="16">
        <f t="shared" si="4"/>
        <v>10.35785159798035</v>
      </c>
      <c r="K85" s="16">
        <v>13.4894884036972</v>
      </c>
      <c r="L85" s="16">
        <v>13.4038038243709</v>
      </c>
      <c r="M85" s="16">
        <v>12.914531267418401</v>
      </c>
      <c r="N85" s="16">
        <f t="shared" si="5"/>
        <v>13.2692744984955</v>
      </c>
      <c r="O85" s="16">
        <f t="shared" si="6"/>
        <v>5.1442231500000002</v>
      </c>
      <c r="P85" s="16">
        <f t="shared" si="7"/>
        <v>1.4625335035587097</v>
      </c>
      <c r="S85" s="11" t="s">
        <v>14213</v>
      </c>
      <c r="T85" s="20">
        <v>4.0803284199999998</v>
      </c>
      <c r="U85" s="39"/>
    </row>
    <row r="86" spans="1:21" x14ac:dyDescent="0.2">
      <c r="A86" s="10" t="str">
        <f>"dnbp-1"</f>
        <v>dnbp-1</v>
      </c>
      <c r="B86" s="10" t="s">
        <v>1212</v>
      </c>
      <c r="C86" s="10" t="s">
        <v>1214</v>
      </c>
      <c r="D86" s="10">
        <v>2.8897819601644299</v>
      </c>
      <c r="E86" s="10">
        <f t="shared" si="3"/>
        <v>7.4115842703397989</v>
      </c>
      <c r="F86" s="32">
        <v>7.6906580641347704E-7</v>
      </c>
      <c r="G86" s="10">
        <v>12.9426890590256</v>
      </c>
      <c r="H86" s="10">
        <v>12.5556007278111</v>
      </c>
      <c r="I86" s="10">
        <v>12.2689083270746</v>
      </c>
      <c r="J86" s="10">
        <f t="shared" si="4"/>
        <v>12.589066037970433</v>
      </c>
      <c r="K86" s="10">
        <v>15.5191574231725</v>
      </c>
      <c r="L86" s="10">
        <v>15.729709642331899</v>
      </c>
      <c r="M86" s="10">
        <v>15.1876769289003</v>
      </c>
      <c r="N86" s="10">
        <f t="shared" si="5"/>
        <v>15.478847998134901</v>
      </c>
      <c r="O86" s="10">
        <f t="shared" si="6"/>
        <v>3.7943776300000001</v>
      </c>
      <c r="P86" s="10">
        <f t="shared" si="7"/>
        <v>1.9533069696965821</v>
      </c>
      <c r="S86" s="11" t="s">
        <v>1422</v>
      </c>
      <c r="T86" s="20">
        <v>4.0776110599999997</v>
      </c>
      <c r="U86" s="39"/>
    </row>
    <row r="87" spans="1:21" x14ac:dyDescent="0.2">
      <c r="A87" s="24" t="str">
        <f>"Y92H12BL.7"</f>
        <v>Y92H12BL.7</v>
      </c>
      <c r="B87" s="24" t="s">
        <v>365</v>
      </c>
      <c r="C87" s="24" t="s">
        <v>111</v>
      </c>
      <c r="D87" s="24">
        <v>2.8322529943002102</v>
      </c>
      <c r="E87" s="24">
        <f t="shared" si="3"/>
        <v>7.1218546612341376</v>
      </c>
      <c r="F87" s="29">
        <v>5.6197954283801097E-7</v>
      </c>
      <c r="G87" s="24">
        <v>12.6321228576392</v>
      </c>
      <c r="H87" s="24">
        <v>11.6424485537731</v>
      </c>
      <c r="I87" s="24" t="s">
        <v>14849</v>
      </c>
      <c r="J87" s="24">
        <f t="shared" si="4"/>
        <v>12.13728570570615</v>
      </c>
      <c r="K87" s="24">
        <v>14.9954902333963</v>
      </c>
      <c r="L87" s="24">
        <v>15.2957631953429</v>
      </c>
      <c r="M87" s="24">
        <v>14.617362671279899</v>
      </c>
      <c r="N87" s="24">
        <f t="shared" si="5"/>
        <v>14.969538700006368</v>
      </c>
      <c r="O87" s="24" t="str">
        <f t="shared" si="6"/>
        <v>ND</v>
      </c>
      <c r="P87" s="24" t="str">
        <f t="shared" si="7"/>
        <v>NA</v>
      </c>
      <c r="S87" s="11" t="s">
        <v>12679</v>
      </c>
      <c r="T87" s="20">
        <v>4.0673590600000002</v>
      </c>
      <c r="U87" s="39"/>
    </row>
    <row r="88" spans="1:21" x14ac:dyDescent="0.2">
      <c r="A88" s="24" t="str">
        <f>"rpap-2"</f>
        <v>rpap-2</v>
      </c>
      <c r="B88" s="24" t="s">
        <v>4894</v>
      </c>
      <c r="C88" s="24" t="s">
        <v>4896</v>
      </c>
      <c r="D88" s="24">
        <v>2.8222134765001798</v>
      </c>
      <c r="E88" s="24">
        <f t="shared" ref="E88:E119" si="8">2^D88</f>
        <v>7.0724666884676273</v>
      </c>
      <c r="F88" s="29">
        <v>4.8406526771195197E-5</v>
      </c>
      <c r="G88" s="24" t="s">
        <v>14849</v>
      </c>
      <c r="H88" s="24">
        <v>9.2119993413352805</v>
      </c>
      <c r="I88" s="24">
        <v>11.290721356418301</v>
      </c>
      <c r="J88" s="24">
        <f t="shared" ref="J88:J119" si="9">AVERAGEIF(G88:I88, "&gt;0")</f>
        <v>10.251360348876791</v>
      </c>
      <c r="K88" s="24">
        <v>12.965570971247301</v>
      </c>
      <c r="L88" s="24">
        <v>13.248468878942001</v>
      </c>
      <c r="M88" s="24">
        <v>13.0066816259415</v>
      </c>
      <c r="N88" s="24">
        <f t="shared" si="5"/>
        <v>13.073573825376934</v>
      </c>
      <c r="O88" s="24" t="str">
        <f t="shared" si="6"/>
        <v>ND</v>
      </c>
      <c r="P88" s="24" t="str">
        <f t="shared" si="7"/>
        <v>NA</v>
      </c>
      <c r="S88" s="11" t="s">
        <v>12300</v>
      </c>
      <c r="T88" s="20">
        <v>4.0429665400000001</v>
      </c>
      <c r="U88" s="39"/>
    </row>
    <row r="89" spans="1:21" x14ac:dyDescent="0.2">
      <c r="A89" s="10" t="str">
        <f>"snap-29"</f>
        <v>snap-29</v>
      </c>
      <c r="B89" s="10" t="s">
        <v>6018</v>
      </c>
      <c r="C89" s="10" t="s">
        <v>6020</v>
      </c>
      <c r="D89" s="10">
        <v>2.8169225487142699</v>
      </c>
      <c r="E89" s="10">
        <f t="shared" si="8"/>
        <v>7.046576686402914</v>
      </c>
      <c r="F89" s="32">
        <v>3.79413878611824E-6</v>
      </c>
      <c r="G89" s="10" t="s">
        <v>14849</v>
      </c>
      <c r="H89" s="10" t="s">
        <v>14849</v>
      </c>
      <c r="I89" s="10">
        <v>11.6064249704422</v>
      </c>
      <c r="J89" s="10">
        <f t="shared" si="9"/>
        <v>11.6064249704422</v>
      </c>
      <c r="K89" s="10">
        <v>14.688724892270599</v>
      </c>
      <c r="L89" s="10">
        <v>14.389873513635299</v>
      </c>
      <c r="M89" s="10">
        <v>14.1914441515636</v>
      </c>
      <c r="N89" s="10">
        <f t="shared" si="5"/>
        <v>14.423347519156501</v>
      </c>
      <c r="O89" s="10">
        <f t="shared" si="6"/>
        <v>3.5951703799999999</v>
      </c>
      <c r="P89" s="10">
        <f t="shared" si="7"/>
        <v>1.9600118886167821</v>
      </c>
      <c r="S89" s="11" t="s">
        <v>7671</v>
      </c>
      <c r="T89" s="20">
        <v>4.0404980300000002</v>
      </c>
      <c r="U89" s="39"/>
    </row>
    <row r="90" spans="1:21" x14ac:dyDescent="0.2">
      <c r="A90" s="10" t="str">
        <f>"fah-1"</f>
        <v>fah-1</v>
      </c>
      <c r="B90" s="10" t="s">
        <v>11370</v>
      </c>
      <c r="C90" s="10" t="s">
        <v>11372</v>
      </c>
      <c r="D90" s="10">
        <v>2.7580216094643299</v>
      </c>
      <c r="E90" s="10">
        <f t="shared" si="8"/>
        <v>6.7646796232806965</v>
      </c>
      <c r="F90" s="32">
        <v>3.62231897982972E-6</v>
      </c>
      <c r="G90" s="10" t="s">
        <v>14849</v>
      </c>
      <c r="H90" s="10">
        <v>10.947054000479399</v>
      </c>
      <c r="I90" s="10" t="s">
        <v>14849</v>
      </c>
      <c r="J90" s="10">
        <f t="shared" si="9"/>
        <v>10.947054000479399</v>
      </c>
      <c r="K90" s="10">
        <v>13.7172422737889</v>
      </c>
      <c r="L90" s="10">
        <v>13.782179651693999</v>
      </c>
      <c r="M90" s="10">
        <v>13.6158049043483</v>
      </c>
      <c r="N90" s="10">
        <f t="shared" si="5"/>
        <v>13.705075609943734</v>
      </c>
      <c r="O90" s="10">
        <f t="shared" si="6"/>
        <v>2.7911792396759152</v>
      </c>
      <c r="P90" s="10">
        <f t="shared" si="7"/>
        <v>2.4235919811678399</v>
      </c>
      <c r="S90" s="11" t="s">
        <v>3897</v>
      </c>
      <c r="T90" s="20">
        <v>4.0345622900000002</v>
      </c>
      <c r="U90" s="39"/>
    </row>
    <row r="91" spans="1:21" x14ac:dyDescent="0.2">
      <c r="A91" s="10" t="str">
        <f>"K07E3.4"</f>
        <v>K07E3.4</v>
      </c>
      <c r="B91" s="10" t="s">
        <v>9212</v>
      </c>
      <c r="C91" s="10" t="s">
        <v>9213</v>
      </c>
      <c r="D91" s="10">
        <v>2.7573390110994702</v>
      </c>
      <c r="E91" s="10">
        <f t="shared" si="8"/>
        <v>6.7614797321654798</v>
      </c>
      <c r="F91" s="32">
        <v>2.0621378291495501E-9</v>
      </c>
      <c r="G91" s="10">
        <v>11.489625096168201</v>
      </c>
      <c r="H91" s="10">
        <v>11.257303900766599</v>
      </c>
      <c r="I91" s="10">
        <v>11.596108234036</v>
      </c>
      <c r="J91" s="10">
        <f t="shared" si="9"/>
        <v>11.447679076990267</v>
      </c>
      <c r="K91" s="10">
        <v>14.006645664278899</v>
      </c>
      <c r="L91" s="10">
        <v>14.1940277285241</v>
      </c>
      <c r="M91" s="10">
        <v>14.414380871466101</v>
      </c>
      <c r="N91" s="10">
        <f t="shared" si="5"/>
        <v>14.2050180880897</v>
      </c>
      <c r="O91" s="10">
        <f t="shared" si="6"/>
        <v>2.7277159700000002</v>
      </c>
      <c r="P91" s="10">
        <f t="shared" si="7"/>
        <v>2.4788063737316022</v>
      </c>
      <c r="S91" s="10" t="s">
        <v>4967</v>
      </c>
      <c r="T91" s="20">
        <v>4.0339140586133171</v>
      </c>
      <c r="U91" s="39"/>
    </row>
    <row r="92" spans="1:21" x14ac:dyDescent="0.2">
      <c r="A92" s="24" t="str">
        <f>"edc-4"</f>
        <v>edc-4</v>
      </c>
      <c r="B92" s="24" t="s">
        <v>431</v>
      </c>
      <c r="C92" s="24" t="s">
        <v>433</v>
      </c>
      <c r="D92" s="24">
        <v>2.7494508668411299</v>
      </c>
      <c r="E92" s="24">
        <f t="shared" si="8"/>
        <v>6.7246112453831843</v>
      </c>
      <c r="F92" s="29">
        <v>7.8757097841543402E-10</v>
      </c>
      <c r="G92" s="24">
        <v>11.920371341518599</v>
      </c>
      <c r="H92" s="24">
        <v>11.454727761420401</v>
      </c>
      <c r="I92" s="24">
        <v>11.7757898023814</v>
      </c>
      <c r="J92" s="24">
        <f t="shared" si="9"/>
        <v>11.716962968440134</v>
      </c>
      <c r="K92" s="24">
        <v>14.092691955825201</v>
      </c>
      <c r="L92" s="24">
        <v>14.7711369582471</v>
      </c>
      <c r="M92" s="24">
        <v>14.535412591771401</v>
      </c>
      <c r="N92" s="24">
        <f t="shared" si="5"/>
        <v>14.466413835281235</v>
      </c>
      <c r="O92" s="24" t="str">
        <f t="shared" si="6"/>
        <v>ND</v>
      </c>
      <c r="P92" s="24" t="str">
        <f t="shared" si="7"/>
        <v>NA</v>
      </c>
      <c r="S92" s="11" t="s">
        <v>6169</v>
      </c>
      <c r="T92" s="20">
        <v>4.02411809</v>
      </c>
      <c r="U92" s="39"/>
    </row>
    <row r="93" spans="1:21" x14ac:dyDescent="0.2">
      <c r="A93" s="24" t="str">
        <f>"Y39G10AR.9"</f>
        <v>Y39G10AR.9</v>
      </c>
      <c r="B93" s="24" t="s">
        <v>11682</v>
      </c>
      <c r="C93" s="24" t="s">
        <v>534</v>
      </c>
      <c r="D93" s="24">
        <v>2.60428999644384</v>
      </c>
      <c r="E93" s="24">
        <f t="shared" si="8"/>
        <v>6.0809216301431368</v>
      </c>
      <c r="F93" s="24">
        <v>8.0791739889527598E-4</v>
      </c>
      <c r="G93" s="24" t="s">
        <v>14849</v>
      </c>
      <c r="H93" s="24" t="s">
        <v>14849</v>
      </c>
      <c r="I93" s="24">
        <v>11.0567671663791</v>
      </c>
      <c r="J93" s="24">
        <f t="shared" si="9"/>
        <v>11.0567671663791</v>
      </c>
      <c r="K93" s="24">
        <v>13.9837342137237</v>
      </c>
      <c r="L93" s="24">
        <v>13.843375674724101</v>
      </c>
      <c r="M93" s="24">
        <v>13.1560616000208</v>
      </c>
      <c r="N93" s="24">
        <f t="shared" si="5"/>
        <v>13.661057162822866</v>
      </c>
      <c r="O93" s="24" t="str">
        <f t="shared" si="6"/>
        <v>ND</v>
      </c>
      <c r="P93" s="24" t="str">
        <f t="shared" si="7"/>
        <v>NA</v>
      </c>
      <c r="S93" s="10" t="s">
        <v>14162</v>
      </c>
      <c r="T93" s="20">
        <v>4.0086542005910042</v>
      </c>
      <c r="U93" s="39"/>
    </row>
    <row r="94" spans="1:21" x14ac:dyDescent="0.2">
      <c r="A94" s="10" t="str">
        <f>"glna-1"</f>
        <v>glna-1</v>
      </c>
      <c r="B94" s="10" t="s">
        <v>14087</v>
      </c>
      <c r="C94" s="10" t="s">
        <v>14089</v>
      </c>
      <c r="D94" s="10">
        <v>2.5707475018477699</v>
      </c>
      <c r="E94" s="10">
        <f t="shared" si="8"/>
        <v>5.9411717773711699</v>
      </c>
      <c r="F94" s="32">
        <v>3.7686957108087099E-7</v>
      </c>
      <c r="G94" s="10">
        <v>12.3697535659718</v>
      </c>
      <c r="H94" s="10">
        <v>12.1749784944752</v>
      </c>
      <c r="I94" s="10">
        <v>12.224633985691099</v>
      </c>
      <c r="J94" s="10">
        <f t="shared" si="9"/>
        <v>12.2564553487127</v>
      </c>
      <c r="K94" s="10">
        <v>14.724452619115199</v>
      </c>
      <c r="L94" s="10">
        <v>15.340715901089901</v>
      </c>
      <c r="M94" s="10">
        <v>14.4164400314763</v>
      </c>
      <c r="N94" s="10">
        <f t="shared" si="5"/>
        <v>14.827202850560466</v>
      </c>
      <c r="O94" s="10">
        <f t="shared" si="6"/>
        <v>4.0005771499999998</v>
      </c>
      <c r="P94" s="10">
        <f t="shared" si="7"/>
        <v>1.4850786660547641</v>
      </c>
      <c r="S94" s="10" t="s">
        <v>14810</v>
      </c>
      <c r="T94" s="20">
        <v>4.0059125255190766</v>
      </c>
      <c r="U94" s="39"/>
    </row>
    <row r="95" spans="1:21" x14ac:dyDescent="0.2">
      <c r="A95" s="14" t="str">
        <f>"ZK1307.1"</f>
        <v>ZK1307.1</v>
      </c>
      <c r="B95" s="14" t="s">
        <v>6700</v>
      </c>
      <c r="C95" s="14" t="s">
        <v>6702</v>
      </c>
      <c r="D95" s="14">
        <v>2.56169657794723</v>
      </c>
      <c r="E95" s="14">
        <f t="shared" si="8"/>
        <v>5.9040157823341843</v>
      </c>
      <c r="F95" s="30">
        <v>4.9192666560620697E-5</v>
      </c>
      <c r="G95" s="14">
        <v>12.5254271454058</v>
      </c>
      <c r="H95" s="14" t="s">
        <v>14849</v>
      </c>
      <c r="I95" s="14">
        <v>13.030604311559401</v>
      </c>
      <c r="J95" s="14">
        <f t="shared" si="9"/>
        <v>12.7780157284826</v>
      </c>
      <c r="K95" s="14">
        <v>15.5027783454754</v>
      </c>
      <c r="L95" s="14">
        <v>15.4485369161435</v>
      </c>
      <c r="M95" s="14">
        <v>15.067821657670599</v>
      </c>
      <c r="N95" s="14">
        <f t="shared" si="5"/>
        <v>15.339712306429833</v>
      </c>
      <c r="O95" s="14">
        <f t="shared" si="6"/>
        <v>11.410588000000001</v>
      </c>
      <c r="P95" s="14">
        <f t="shared" si="7"/>
        <v>0.51741556020900803</v>
      </c>
      <c r="S95" s="11" t="s">
        <v>14088</v>
      </c>
      <c r="T95" s="20">
        <v>4.0005771499999998</v>
      </c>
      <c r="U95" s="39"/>
    </row>
    <row r="96" spans="1:21" x14ac:dyDescent="0.2">
      <c r="A96" s="24" t="str">
        <f>"akt-2"</f>
        <v>akt-2</v>
      </c>
      <c r="B96" s="24" t="s">
        <v>13499</v>
      </c>
      <c r="C96" s="24" t="s">
        <v>13501</v>
      </c>
      <c r="D96" s="24">
        <v>2.5553375317609199</v>
      </c>
      <c r="E96" s="24">
        <f t="shared" si="8"/>
        <v>5.878049595965698</v>
      </c>
      <c r="F96" s="29">
        <v>6.3987956246077904E-9</v>
      </c>
      <c r="G96" s="24">
        <v>12.3354439398487</v>
      </c>
      <c r="H96" s="24">
        <v>12.0577846008914</v>
      </c>
      <c r="I96" s="24">
        <v>12.001807716803199</v>
      </c>
      <c r="J96" s="24">
        <f t="shared" si="9"/>
        <v>12.131678752514432</v>
      </c>
      <c r="K96" s="24">
        <v>14.6852475801781</v>
      </c>
      <c r="L96" s="24">
        <v>14.770230224576</v>
      </c>
      <c r="M96" s="24">
        <v>14.605571048071999</v>
      </c>
      <c r="N96" s="24">
        <f t="shared" si="5"/>
        <v>14.687016284275366</v>
      </c>
      <c r="O96" s="24" t="str">
        <f t="shared" si="6"/>
        <v>ND</v>
      </c>
      <c r="P96" s="24" t="str">
        <f t="shared" si="7"/>
        <v>NA</v>
      </c>
      <c r="S96" s="11" t="s">
        <v>4061</v>
      </c>
      <c r="T96" s="20">
        <v>3.90200031</v>
      </c>
      <c r="U96" s="39"/>
    </row>
    <row r="97" spans="1:21" x14ac:dyDescent="0.2">
      <c r="A97" s="24" t="str">
        <f>"phdh-1"</f>
        <v>phdh-1</v>
      </c>
      <c r="B97" s="24" t="s">
        <v>3461</v>
      </c>
      <c r="C97" s="24" t="s">
        <v>3463</v>
      </c>
      <c r="D97" s="24">
        <v>2.5464845461141401</v>
      </c>
      <c r="E97" s="24">
        <f t="shared" si="8"/>
        <v>5.8420898478054957</v>
      </c>
      <c r="F97" s="29">
        <v>3.8376221806327598E-6</v>
      </c>
      <c r="G97" s="24" t="s">
        <v>14849</v>
      </c>
      <c r="H97" s="24">
        <v>10.4433294662648</v>
      </c>
      <c r="I97" s="24">
        <v>10.9825491723435</v>
      </c>
      <c r="J97" s="24">
        <f t="shared" si="9"/>
        <v>10.71293931930415</v>
      </c>
      <c r="K97" s="24">
        <v>12.8418643050549</v>
      </c>
      <c r="L97" s="24">
        <v>13.0962484865621</v>
      </c>
      <c r="M97" s="24">
        <v>13.840158804637801</v>
      </c>
      <c r="N97" s="24">
        <f t="shared" si="5"/>
        <v>13.259423865418269</v>
      </c>
      <c r="O97" s="24" t="str">
        <f t="shared" si="6"/>
        <v>ND</v>
      </c>
      <c r="P97" s="24" t="str">
        <f t="shared" si="7"/>
        <v>NA</v>
      </c>
      <c r="S97" s="10" t="s">
        <v>14166</v>
      </c>
      <c r="T97" s="21">
        <v>3.7979094356966026</v>
      </c>
      <c r="U97" s="40"/>
    </row>
    <row r="98" spans="1:21" x14ac:dyDescent="0.2">
      <c r="A98" s="22" t="str">
        <f>"ttc-36"</f>
        <v>ttc-36</v>
      </c>
      <c r="B98" s="22" t="s">
        <v>8871</v>
      </c>
      <c r="C98" s="22" t="s">
        <v>8873</v>
      </c>
      <c r="D98" s="22">
        <v>2.51424529171888</v>
      </c>
      <c r="E98" s="22">
        <f t="shared" si="8"/>
        <v>5.7129871768930043</v>
      </c>
      <c r="F98" s="22">
        <v>1.78285368740453E-4</v>
      </c>
      <c r="G98" s="22">
        <v>12.280125187660801</v>
      </c>
      <c r="H98" s="22" t="s">
        <v>14849</v>
      </c>
      <c r="I98" s="22" t="s">
        <v>14849</v>
      </c>
      <c r="J98" s="22">
        <f t="shared" si="9"/>
        <v>12.280125187660801</v>
      </c>
      <c r="K98" s="22">
        <v>15.2935782270395</v>
      </c>
      <c r="L98" s="22">
        <v>14.7197507577275</v>
      </c>
      <c r="M98" s="22">
        <v>14.3697824533721</v>
      </c>
      <c r="N98" s="22">
        <f t="shared" si="5"/>
        <v>14.794370479379699</v>
      </c>
      <c r="O98" s="22" t="str">
        <f t="shared" si="6"/>
        <v>ND</v>
      </c>
      <c r="P98" s="22" t="str">
        <f t="shared" si="7"/>
        <v>NA</v>
      </c>
      <c r="S98" s="11" t="s">
        <v>1213</v>
      </c>
      <c r="T98" s="20">
        <v>3.7943776300000001</v>
      </c>
      <c r="U98" s="39"/>
    </row>
    <row r="99" spans="1:21" x14ac:dyDescent="0.2">
      <c r="A99" s="14" t="str">
        <f>"hip-1"</f>
        <v>hip-1</v>
      </c>
      <c r="B99" s="14" t="s">
        <v>1544</v>
      </c>
      <c r="C99" s="14" t="s">
        <v>1546</v>
      </c>
      <c r="D99" s="14">
        <v>2.5083291202054601</v>
      </c>
      <c r="E99" s="14">
        <f t="shared" si="8"/>
        <v>5.6896074573034623</v>
      </c>
      <c r="F99" s="30">
        <v>4.4996055789798797E-6</v>
      </c>
      <c r="G99" s="14">
        <v>13.258814409724</v>
      </c>
      <c r="H99" s="14">
        <v>12.7055243277456</v>
      </c>
      <c r="I99" s="14">
        <v>12.940731087664799</v>
      </c>
      <c r="J99" s="14">
        <f t="shared" si="9"/>
        <v>12.968356608378132</v>
      </c>
      <c r="K99" s="14">
        <v>15.231906291587499</v>
      </c>
      <c r="L99" s="14">
        <v>15.740536921917499</v>
      </c>
      <c r="M99" s="14">
        <v>15.457613972245699</v>
      </c>
      <c r="N99" s="14">
        <f t="shared" si="5"/>
        <v>15.476685728583567</v>
      </c>
      <c r="O99" s="14">
        <f t="shared" si="6"/>
        <v>19.488423999999998</v>
      </c>
      <c r="P99" s="14">
        <f t="shared" si="7"/>
        <v>0.29194805374223504</v>
      </c>
      <c r="S99" s="11" t="s">
        <v>2882</v>
      </c>
      <c r="T99" s="20">
        <v>3.7548965700000001</v>
      </c>
      <c r="U99" s="39"/>
    </row>
    <row r="100" spans="1:21" x14ac:dyDescent="0.2">
      <c r="A100" s="14" t="str">
        <f>"mua-6"</f>
        <v>mua-6</v>
      </c>
      <c r="B100" s="14" t="s">
        <v>3108</v>
      </c>
      <c r="C100" s="14" t="s">
        <v>3110</v>
      </c>
      <c r="D100" s="14">
        <v>2.5074627977778299</v>
      </c>
      <c r="E100" s="14">
        <f t="shared" si="8"/>
        <v>5.686191936499819</v>
      </c>
      <c r="F100" s="30">
        <v>1.8949629305846999E-8</v>
      </c>
      <c r="G100" s="14">
        <v>11.471459656273099</v>
      </c>
      <c r="H100" s="14">
        <v>12.201083918468999</v>
      </c>
      <c r="I100" s="14">
        <v>11.753658568921299</v>
      </c>
      <c r="J100" s="14">
        <f t="shared" si="9"/>
        <v>11.808734047887802</v>
      </c>
      <c r="K100" s="14">
        <v>14.442362141553399</v>
      </c>
      <c r="L100" s="14">
        <v>14.4124582082085</v>
      </c>
      <c r="M100" s="14">
        <v>14.093770187234901</v>
      </c>
      <c r="N100" s="14">
        <f t="shared" si="5"/>
        <v>14.316196845665601</v>
      </c>
      <c r="O100" s="14">
        <f t="shared" si="6"/>
        <v>28.1004726</v>
      </c>
      <c r="P100" s="14">
        <f t="shared" si="7"/>
        <v>0.20235218166757163</v>
      </c>
      <c r="S100" s="11" t="s">
        <v>12326</v>
      </c>
      <c r="T100" s="20">
        <v>3.7477500199999998</v>
      </c>
      <c r="U100" s="39"/>
    </row>
    <row r="101" spans="1:21" x14ac:dyDescent="0.2">
      <c r="A101" s="16" t="str">
        <f>"fln-2"</f>
        <v>fln-2</v>
      </c>
      <c r="B101" s="16" t="s">
        <v>756</v>
      </c>
      <c r="C101" s="16" t="s">
        <v>758</v>
      </c>
      <c r="D101" s="16">
        <v>2.4906758227610499</v>
      </c>
      <c r="E101" s="16">
        <f t="shared" si="8"/>
        <v>5.6204117381367</v>
      </c>
      <c r="F101" s="31">
        <v>1.8030924826903699E-7</v>
      </c>
      <c r="G101" s="16">
        <v>14.478208477083299</v>
      </c>
      <c r="H101" s="16">
        <v>14.9566417813509</v>
      </c>
      <c r="I101" s="16">
        <v>14.925909545466199</v>
      </c>
      <c r="J101" s="16">
        <f t="shared" si="9"/>
        <v>14.786919934633467</v>
      </c>
      <c r="K101" s="16">
        <v>17.581822538089799</v>
      </c>
      <c r="L101" s="16">
        <v>17.209159844062999</v>
      </c>
      <c r="M101" s="16">
        <v>17.041804890030701</v>
      </c>
      <c r="N101" s="16">
        <f t="shared" si="5"/>
        <v>17.277595757394497</v>
      </c>
      <c r="O101" s="16">
        <f t="shared" si="6"/>
        <v>5.9086830800000003</v>
      </c>
      <c r="P101" s="16">
        <f t="shared" si="7"/>
        <v>0.95121225187401648</v>
      </c>
      <c r="S101" s="11" t="s">
        <v>628</v>
      </c>
      <c r="T101" s="20">
        <v>3.7304220099999998</v>
      </c>
      <c r="U101" s="39"/>
    </row>
    <row r="102" spans="1:21" x14ac:dyDescent="0.2">
      <c r="A102" s="16" t="str">
        <f>"pmt-2"</f>
        <v>pmt-2</v>
      </c>
      <c r="B102" s="16" t="s">
        <v>10022</v>
      </c>
      <c r="C102" s="16" t="s">
        <v>10024</v>
      </c>
      <c r="D102" s="16">
        <v>2.4528562650701402</v>
      </c>
      <c r="E102" s="16">
        <f t="shared" si="8"/>
        <v>5.4749897549136506</v>
      </c>
      <c r="F102" s="31">
        <v>4.1500176539185199E-8</v>
      </c>
      <c r="G102" s="16">
        <v>11.9114440255166</v>
      </c>
      <c r="H102" s="16">
        <v>12.139434846171101</v>
      </c>
      <c r="I102" s="16">
        <v>12.773812559739</v>
      </c>
      <c r="J102" s="16">
        <f t="shared" si="9"/>
        <v>12.2748971438089</v>
      </c>
      <c r="K102" s="16">
        <v>14.4414323530088</v>
      </c>
      <c r="L102" s="16">
        <v>14.4723355240085</v>
      </c>
      <c r="M102" s="16">
        <v>15.269492349619799</v>
      </c>
      <c r="N102" s="16">
        <f t="shared" si="5"/>
        <v>14.727753408879034</v>
      </c>
      <c r="O102" s="16">
        <f t="shared" si="6"/>
        <v>6.1614871899999999</v>
      </c>
      <c r="P102" s="16">
        <f t="shared" si="7"/>
        <v>0.8885825103717615</v>
      </c>
      <c r="S102" s="11" t="s">
        <v>12486</v>
      </c>
      <c r="T102" s="20">
        <v>3.69990569</v>
      </c>
      <c r="U102" s="39"/>
    </row>
    <row r="103" spans="1:21" x14ac:dyDescent="0.2">
      <c r="A103" s="10" t="str">
        <f>"dpyd-1"</f>
        <v>dpyd-1</v>
      </c>
      <c r="B103" s="10" t="s">
        <v>7670</v>
      </c>
      <c r="C103" s="10" t="s">
        <v>7672</v>
      </c>
      <c r="D103" s="10">
        <v>2.4498641224829698</v>
      </c>
      <c r="E103" s="10">
        <f t="shared" si="8"/>
        <v>5.463646419529776</v>
      </c>
      <c r="F103" s="10">
        <v>2.8843857975769299E-4</v>
      </c>
      <c r="G103" s="10" t="s">
        <v>14849</v>
      </c>
      <c r="H103" s="10" t="s">
        <v>14849</v>
      </c>
      <c r="I103" s="10">
        <v>10.6628819817112</v>
      </c>
      <c r="J103" s="10">
        <f t="shared" si="9"/>
        <v>10.6628819817112</v>
      </c>
      <c r="K103" s="10">
        <v>13.129981241787901</v>
      </c>
      <c r="L103" s="10">
        <v>13.1631653783157</v>
      </c>
      <c r="M103" s="10">
        <v>13.045091692478801</v>
      </c>
      <c r="N103" s="10">
        <f t="shared" si="5"/>
        <v>13.112746104194132</v>
      </c>
      <c r="O103" s="10">
        <f t="shared" si="6"/>
        <v>4.0404980300000002</v>
      </c>
      <c r="P103" s="10">
        <f t="shared" si="7"/>
        <v>1.3522210328932585</v>
      </c>
      <c r="S103" s="11" t="s">
        <v>624</v>
      </c>
      <c r="T103" s="20">
        <v>3.6879316499999999</v>
      </c>
      <c r="U103" s="39"/>
    </row>
    <row r="104" spans="1:21" x14ac:dyDescent="0.2">
      <c r="A104" s="16" t="str">
        <f>"cash-1"</f>
        <v>cash-1</v>
      </c>
      <c r="B104" s="16" t="s">
        <v>314</v>
      </c>
      <c r="C104" s="16" t="s">
        <v>316</v>
      </c>
      <c r="D104" s="16">
        <v>2.4213452551491401</v>
      </c>
      <c r="E104" s="16">
        <f t="shared" si="8"/>
        <v>5.3567028011880051</v>
      </c>
      <c r="F104" s="31">
        <v>3.2766376865494299E-7</v>
      </c>
      <c r="G104" s="16">
        <v>12.816555692430599</v>
      </c>
      <c r="H104" s="16" t="s">
        <v>14849</v>
      </c>
      <c r="I104" s="16">
        <v>13.1805658848872</v>
      </c>
      <c r="J104" s="16">
        <f t="shared" si="9"/>
        <v>12.998560788658899</v>
      </c>
      <c r="K104" s="16">
        <v>15.5819510113789</v>
      </c>
      <c r="L104" s="16">
        <v>15.393345076536299</v>
      </c>
      <c r="M104" s="16">
        <v>15.284422043508901</v>
      </c>
      <c r="N104" s="16">
        <f t="shared" si="5"/>
        <v>15.419906043808032</v>
      </c>
      <c r="O104" s="16">
        <f t="shared" si="6"/>
        <v>5.0101333800000001</v>
      </c>
      <c r="P104" s="16">
        <f t="shared" si="7"/>
        <v>1.0691736915770504</v>
      </c>
      <c r="S104" s="11" t="s">
        <v>348</v>
      </c>
      <c r="T104" s="20">
        <v>3.6495920599999998</v>
      </c>
      <c r="U104" s="39"/>
    </row>
    <row r="105" spans="1:21" x14ac:dyDescent="0.2">
      <c r="A105" s="10" t="str">
        <f>"exc-15"</f>
        <v>exc-15</v>
      </c>
      <c r="B105" s="10" t="s">
        <v>9758</v>
      </c>
      <c r="C105" s="10" t="s">
        <v>6170</v>
      </c>
      <c r="D105" s="10">
        <v>2.4044827194682399</v>
      </c>
      <c r="E105" s="10">
        <f t="shared" si="8"/>
        <v>5.2944569655054936</v>
      </c>
      <c r="F105" s="32">
        <v>7.22972465094079E-5</v>
      </c>
      <c r="G105" s="10">
        <v>10.441976319323301</v>
      </c>
      <c r="H105" s="10" t="s">
        <v>14849</v>
      </c>
      <c r="I105" s="10" t="s">
        <v>14849</v>
      </c>
      <c r="J105" s="10">
        <f t="shared" si="9"/>
        <v>10.441976319323301</v>
      </c>
      <c r="K105" s="10">
        <v>12.3098079015538</v>
      </c>
      <c r="L105" s="10">
        <v>12.9576784160868</v>
      </c>
      <c r="M105" s="10">
        <v>13.271890798734001</v>
      </c>
      <c r="N105" s="10">
        <f t="shared" si="5"/>
        <v>12.846459038791535</v>
      </c>
      <c r="O105" s="10">
        <f t="shared" si="6"/>
        <v>4.2269197700000003</v>
      </c>
      <c r="P105" s="10">
        <f t="shared" si="7"/>
        <v>1.2525567679524452</v>
      </c>
      <c r="S105" s="11" t="s">
        <v>14664</v>
      </c>
      <c r="T105" s="20">
        <v>3.6442160499999998</v>
      </c>
      <c r="U105" s="39"/>
    </row>
    <row r="106" spans="1:21" x14ac:dyDescent="0.2">
      <c r="A106" s="10" t="str">
        <f>"pfkb-1.1"</f>
        <v>pfkb-1.1</v>
      </c>
      <c r="B106" s="10" t="s">
        <v>12597</v>
      </c>
      <c r="C106" s="10" t="s">
        <v>12599</v>
      </c>
      <c r="D106" s="10">
        <v>2.40384207079981</v>
      </c>
      <c r="E106" s="10">
        <f t="shared" si="8"/>
        <v>5.2921064106666265</v>
      </c>
      <c r="F106" s="10">
        <v>4.9324634218392597E-4</v>
      </c>
      <c r="G106" s="10">
        <v>11.6895300372028</v>
      </c>
      <c r="H106" s="10" t="s">
        <v>14849</v>
      </c>
      <c r="I106" s="10" t="s">
        <v>14849</v>
      </c>
      <c r="J106" s="10">
        <f t="shared" si="9"/>
        <v>11.6895300372028</v>
      </c>
      <c r="K106" s="10">
        <v>13.6295830564044</v>
      </c>
      <c r="L106" s="10">
        <v>14.276518455240099</v>
      </c>
      <c r="M106" s="10">
        <v>14.3740148123634</v>
      </c>
      <c r="N106" s="10">
        <f t="shared" si="5"/>
        <v>14.093372108002633</v>
      </c>
      <c r="O106" s="10">
        <f t="shared" si="6"/>
        <v>3.2164031500000001</v>
      </c>
      <c r="P106" s="10">
        <f t="shared" si="7"/>
        <v>1.6453492189455872</v>
      </c>
      <c r="S106" s="11" t="s">
        <v>1585</v>
      </c>
      <c r="T106" s="20">
        <v>3.6120241900000001</v>
      </c>
      <c r="U106" s="39"/>
    </row>
    <row r="107" spans="1:21" x14ac:dyDescent="0.2">
      <c r="A107" s="16" t="str">
        <f>"hpd-1"</f>
        <v>hpd-1</v>
      </c>
      <c r="B107" s="16" t="s">
        <v>9883</v>
      </c>
      <c r="C107" s="16" t="s">
        <v>9885</v>
      </c>
      <c r="D107" s="16">
        <v>2.39780306464796</v>
      </c>
      <c r="E107" s="16">
        <f t="shared" si="8"/>
        <v>5.2700003754635807</v>
      </c>
      <c r="F107" s="31">
        <v>2.4124395951831601E-8</v>
      </c>
      <c r="G107" s="16">
        <v>12.0996727023833</v>
      </c>
      <c r="H107" s="16">
        <v>12.4119483496578</v>
      </c>
      <c r="I107" s="16">
        <v>11.8867566762215</v>
      </c>
      <c r="J107" s="16">
        <f t="shared" si="9"/>
        <v>12.132792576087533</v>
      </c>
      <c r="K107" s="16">
        <v>14.312658279199299</v>
      </c>
      <c r="L107" s="16">
        <v>14.5057181617236</v>
      </c>
      <c r="M107" s="16">
        <v>14.7734104812836</v>
      </c>
      <c r="N107" s="16">
        <f t="shared" si="5"/>
        <v>14.530595640735498</v>
      </c>
      <c r="O107" s="16">
        <f t="shared" si="6"/>
        <v>5.3329647099999997</v>
      </c>
      <c r="P107" s="16">
        <f t="shared" si="7"/>
        <v>0.98819337123713702</v>
      </c>
      <c r="S107" s="11" t="s">
        <v>10263</v>
      </c>
      <c r="T107" s="20">
        <v>3.60346374</v>
      </c>
      <c r="U107" s="39"/>
    </row>
    <row r="108" spans="1:21" x14ac:dyDescent="0.2">
      <c r="A108" s="16" t="str">
        <f>"dnj-11"</f>
        <v>dnj-11</v>
      </c>
      <c r="B108" s="16" t="s">
        <v>11343</v>
      </c>
      <c r="C108" s="16" t="s">
        <v>11345</v>
      </c>
      <c r="D108" s="16">
        <v>2.3458732483346099</v>
      </c>
      <c r="E108" s="16">
        <f t="shared" si="8"/>
        <v>5.0836800978750922</v>
      </c>
      <c r="F108" s="31">
        <v>1.8125057026607199E-7</v>
      </c>
      <c r="G108" s="16">
        <v>14.636660119851401</v>
      </c>
      <c r="H108" s="16">
        <v>14.6274296761828</v>
      </c>
      <c r="I108" s="16">
        <v>14.4428866773307</v>
      </c>
      <c r="J108" s="16">
        <f t="shared" si="9"/>
        <v>14.568992157788299</v>
      </c>
      <c r="K108" s="16">
        <v>17.2631333153174</v>
      </c>
      <c r="L108" s="16">
        <v>16.866995485149399</v>
      </c>
      <c r="M108" s="16">
        <v>16.614467417901999</v>
      </c>
      <c r="N108" s="16">
        <f t="shared" si="5"/>
        <v>16.914865406122932</v>
      </c>
      <c r="O108" s="16">
        <f t="shared" si="6"/>
        <v>5.5413512200000001</v>
      </c>
      <c r="P108" s="16">
        <f t="shared" si="7"/>
        <v>0.91740802848354597</v>
      </c>
      <c r="S108" s="11" t="s">
        <v>6019</v>
      </c>
      <c r="T108" s="20">
        <v>3.5951703799999999</v>
      </c>
      <c r="U108" s="39"/>
    </row>
    <row r="109" spans="1:21" x14ac:dyDescent="0.2">
      <c r="A109" s="10" t="str">
        <f>"Y55F3AM.9"</f>
        <v>Y55F3AM.9</v>
      </c>
      <c r="B109" s="10" t="s">
        <v>12336</v>
      </c>
      <c r="C109" s="10" t="s">
        <v>416</v>
      </c>
      <c r="D109" s="10">
        <v>2.3337146370453898</v>
      </c>
      <c r="E109" s="10">
        <f t="shared" si="8"/>
        <v>5.0410163620992829</v>
      </c>
      <c r="F109" s="10">
        <v>1.10112178475153E-4</v>
      </c>
      <c r="G109" s="10">
        <v>11.632250062475901</v>
      </c>
      <c r="H109" s="10" t="s">
        <v>14849</v>
      </c>
      <c r="I109" s="10">
        <v>11.243748697673</v>
      </c>
      <c r="J109" s="10">
        <f t="shared" si="9"/>
        <v>11.437999380074451</v>
      </c>
      <c r="K109" s="10">
        <v>13.7437217747789</v>
      </c>
      <c r="L109" s="10">
        <v>13.817139698297501</v>
      </c>
      <c r="M109" s="10">
        <v>13.754280578283099</v>
      </c>
      <c r="N109" s="10">
        <f t="shared" si="5"/>
        <v>13.771714017119834</v>
      </c>
      <c r="O109" s="10">
        <f t="shared" si="6"/>
        <v>2.6250738600000001</v>
      </c>
      <c r="P109" s="10">
        <f t="shared" si="7"/>
        <v>1.9203331528733758</v>
      </c>
      <c r="S109" s="11" t="s">
        <v>14245</v>
      </c>
      <c r="T109" s="20">
        <v>3.5934479100000001</v>
      </c>
      <c r="U109" s="39"/>
    </row>
    <row r="110" spans="1:21" x14ac:dyDescent="0.2">
      <c r="A110" s="10" t="str">
        <f>"teg-4"</f>
        <v>teg-4</v>
      </c>
      <c r="B110" s="10" t="s">
        <v>3929</v>
      </c>
      <c r="C110" s="10" t="s">
        <v>3931</v>
      </c>
      <c r="D110" s="10">
        <v>2.2434235826233699</v>
      </c>
      <c r="E110" s="10">
        <f t="shared" si="8"/>
        <v>4.7351941600942364</v>
      </c>
      <c r="F110" s="32">
        <v>9.0102895054572995E-8</v>
      </c>
      <c r="G110" s="10">
        <v>12.262026411874301</v>
      </c>
      <c r="H110" s="10">
        <v>12.6534248439328</v>
      </c>
      <c r="I110" s="10">
        <v>11.566603277590501</v>
      </c>
      <c r="J110" s="10">
        <f t="shared" si="9"/>
        <v>12.160684844465868</v>
      </c>
      <c r="K110" s="10">
        <v>14.554579507623799</v>
      </c>
      <c r="L110" s="10">
        <v>14.548772759811101</v>
      </c>
      <c r="M110" s="10">
        <v>14.1089730138326</v>
      </c>
      <c r="N110" s="10">
        <f t="shared" si="5"/>
        <v>14.404108427089165</v>
      </c>
      <c r="O110" s="10">
        <f t="shared" si="6"/>
        <v>4.51665078</v>
      </c>
      <c r="P110" s="10">
        <f t="shared" si="7"/>
        <v>1.0483861584034699</v>
      </c>
      <c r="S110" s="11" t="s">
        <v>6023</v>
      </c>
      <c r="T110" s="20">
        <v>3.5795412899999999</v>
      </c>
      <c r="U110" s="39"/>
    </row>
    <row r="111" spans="1:21" x14ac:dyDescent="0.2">
      <c r="A111" s="10" t="str">
        <f>"prdx-2"</f>
        <v>prdx-2</v>
      </c>
      <c r="B111" s="10" t="s">
        <v>87</v>
      </c>
      <c r="C111" s="10" t="s">
        <v>89</v>
      </c>
      <c r="D111" s="10">
        <v>2.2392033937123901</v>
      </c>
      <c r="E111" s="10">
        <f t="shared" si="8"/>
        <v>4.7213629525714236</v>
      </c>
      <c r="F111" s="32">
        <v>1.23737302778715E-7</v>
      </c>
      <c r="G111" s="10">
        <v>15.0014972762035</v>
      </c>
      <c r="H111" s="10">
        <v>14.877990213328401</v>
      </c>
      <c r="I111" s="10">
        <v>15.334473720984899</v>
      </c>
      <c r="J111" s="10">
        <f t="shared" si="9"/>
        <v>15.071320403505601</v>
      </c>
      <c r="K111" s="10">
        <v>17.2440374096212</v>
      </c>
      <c r="L111" s="10">
        <v>17.3427847763142</v>
      </c>
      <c r="M111" s="10">
        <v>17.344749205718699</v>
      </c>
      <c r="N111" s="10">
        <f t="shared" si="5"/>
        <v>17.310523797218035</v>
      </c>
      <c r="O111" s="10">
        <f t="shared" si="6"/>
        <v>4.8081449999999997</v>
      </c>
      <c r="P111" s="10">
        <f t="shared" si="7"/>
        <v>0.98195103362553005</v>
      </c>
      <c r="S111" s="11" t="s">
        <v>3739</v>
      </c>
      <c r="T111" s="20">
        <v>3.5748882000000002</v>
      </c>
      <c r="U111" s="39"/>
    </row>
    <row r="112" spans="1:21" x14ac:dyDescent="0.2">
      <c r="A112" s="14" t="str">
        <f>"Y71F9AL.9"</f>
        <v>Y71F9AL.9</v>
      </c>
      <c r="B112" s="14" t="s">
        <v>12522</v>
      </c>
      <c r="C112" s="14" t="s">
        <v>12523</v>
      </c>
      <c r="D112" s="14">
        <v>2.20036971080747</v>
      </c>
      <c r="E112" s="14">
        <f t="shared" si="8"/>
        <v>4.5959710510324525</v>
      </c>
      <c r="F112" s="30">
        <v>2.3555929159040699E-8</v>
      </c>
      <c r="G112" s="14">
        <v>11.959196759862399</v>
      </c>
      <c r="H112" s="14">
        <v>11.9998554340238</v>
      </c>
      <c r="I112" s="14">
        <v>12.4098824652992</v>
      </c>
      <c r="J112" s="14">
        <f t="shared" si="9"/>
        <v>12.122978219728466</v>
      </c>
      <c r="K112" s="14">
        <v>14.5889446452637</v>
      </c>
      <c r="L112" s="14">
        <v>14.0761207512768</v>
      </c>
      <c r="M112" s="14">
        <v>14.304978395067399</v>
      </c>
      <c r="N112" s="14">
        <f t="shared" si="5"/>
        <v>14.323347930535967</v>
      </c>
      <c r="O112" s="14">
        <f t="shared" si="6"/>
        <v>11.1474306</v>
      </c>
      <c r="P112" s="14">
        <f t="shared" si="7"/>
        <v>0.41228972091850946</v>
      </c>
      <c r="S112" s="10" t="s">
        <v>14811</v>
      </c>
      <c r="T112" s="20">
        <v>3.5724707499043444</v>
      </c>
      <c r="U112" s="39"/>
    </row>
    <row r="113" spans="1:21" x14ac:dyDescent="0.2">
      <c r="A113" s="24" t="str">
        <f>"coel-1"</f>
        <v>coel-1</v>
      </c>
      <c r="B113" s="24" t="s">
        <v>2325</v>
      </c>
      <c r="C113" s="24" t="s">
        <v>2327</v>
      </c>
      <c r="D113" s="24">
        <v>2.1808709582215702</v>
      </c>
      <c r="E113" s="24">
        <f t="shared" si="8"/>
        <v>4.5342720652601498</v>
      </c>
      <c r="F113" s="29">
        <v>4.1841145835649401E-8</v>
      </c>
      <c r="G113" s="24">
        <v>12.7008024378291</v>
      </c>
      <c r="H113" s="24">
        <v>12.8139823967044</v>
      </c>
      <c r="I113" s="24">
        <v>12.4957051834004</v>
      </c>
      <c r="J113" s="24">
        <f t="shared" si="9"/>
        <v>12.670163339311301</v>
      </c>
      <c r="K113" s="24">
        <v>14.6852705392043</v>
      </c>
      <c r="L113" s="24">
        <v>15.2206633213989</v>
      </c>
      <c r="M113" s="24">
        <v>14.6471690319954</v>
      </c>
      <c r="N113" s="24">
        <f t="shared" si="5"/>
        <v>14.851034297532868</v>
      </c>
      <c r="O113" s="24" t="str">
        <f t="shared" si="6"/>
        <v>ND</v>
      </c>
      <c r="P113" s="24" t="str">
        <f t="shared" si="7"/>
        <v>NA</v>
      </c>
      <c r="S113" s="10" t="s">
        <v>10680</v>
      </c>
      <c r="T113" s="20">
        <v>3.5699404279015292</v>
      </c>
      <c r="U113" s="39"/>
    </row>
    <row r="114" spans="1:21" x14ac:dyDescent="0.2">
      <c r="A114" s="24" t="str">
        <f>"flor-1"</f>
        <v>flor-1</v>
      </c>
      <c r="B114" s="24" t="s">
        <v>3576</v>
      </c>
      <c r="C114" s="24" t="s">
        <v>323</v>
      </c>
      <c r="D114" s="24">
        <v>2.1683910947727298</v>
      </c>
      <c r="E114" s="24">
        <f t="shared" si="8"/>
        <v>4.4952180387216005</v>
      </c>
      <c r="F114" s="29">
        <v>1.4787974179029401E-6</v>
      </c>
      <c r="G114" s="24">
        <v>12.6938185838924</v>
      </c>
      <c r="H114" s="24">
        <v>13.0475693247812</v>
      </c>
      <c r="I114" s="24">
        <v>12.3123496955462</v>
      </c>
      <c r="J114" s="24">
        <f t="shared" si="9"/>
        <v>12.684579201406601</v>
      </c>
      <c r="K114" s="24">
        <v>15.0111301887616</v>
      </c>
      <c r="L114" s="24">
        <v>14.8737246930284</v>
      </c>
      <c r="M114" s="24">
        <v>14.674056006748</v>
      </c>
      <c r="N114" s="24">
        <f t="shared" si="5"/>
        <v>14.852970296179331</v>
      </c>
      <c r="O114" s="24" t="str">
        <f t="shared" si="6"/>
        <v>ND</v>
      </c>
      <c r="P114" s="24" t="str">
        <f t="shared" si="7"/>
        <v>NA</v>
      </c>
      <c r="S114" s="10" t="s">
        <v>7340</v>
      </c>
      <c r="T114" s="20">
        <v>3.5329462735661892</v>
      </c>
      <c r="U114" s="39"/>
    </row>
    <row r="115" spans="1:21" x14ac:dyDescent="0.2">
      <c r="A115" s="14" t="str">
        <f>"vha-9"</f>
        <v>vha-9</v>
      </c>
      <c r="B115" s="14" t="s">
        <v>10384</v>
      </c>
      <c r="C115" s="14" t="s">
        <v>10386</v>
      </c>
      <c r="D115" s="14">
        <v>2.1646496267056801</v>
      </c>
      <c r="E115" s="14">
        <f t="shared" si="8"/>
        <v>4.4835752976127692</v>
      </c>
      <c r="F115" s="14">
        <v>1.10505376172869E-4</v>
      </c>
      <c r="G115" s="14" t="s">
        <v>14849</v>
      </c>
      <c r="H115" s="14">
        <v>12.8805087479875</v>
      </c>
      <c r="I115" s="14" t="s">
        <v>14849</v>
      </c>
      <c r="J115" s="14">
        <f t="shared" si="9"/>
        <v>12.8805087479875</v>
      </c>
      <c r="K115" s="14">
        <v>15.0389467652035</v>
      </c>
      <c r="L115" s="14">
        <v>15.105080638371801</v>
      </c>
      <c r="M115" s="14">
        <v>14.991447720504199</v>
      </c>
      <c r="N115" s="14">
        <f t="shared" si="5"/>
        <v>15.045158374693166</v>
      </c>
      <c r="O115" s="14">
        <f t="shared" si="6"/>
        <v>12.7803343</v>
      </c>
      <c r="P115" s="14">
        <f t="shared" si="7"/>
        <v>0.3508183113498658</v>
      </c>
      <c r="S115" s="11" t="s">
        <v>14697</v>
      </c>
      <c r="T115" s="20">
        <v>3.5275356200000001</v>
      </c>
      <c r="U115" s="39"/>
    </row>
    <row r="116" spans="1:21" x14ac:dyDescent="0.2">
      <c r="A116" s="10" t="str">
        <f>"dcap-1"</f>
        <v>dcap-1</v>
      </c>
      <c r="B116" s="10" t="s">
        <v>12325</v>
      </c>
      <c r="C116" s="10" t="s">
        <v>12327</v>
      </c>
      <c r="D116" s="10">
        <v>2.07446750035766</v>
      </c>
      <c r="E116" s="10">
        <f t="shared" si="8"/>
        <v>4.2118892459238966</v>
      </c>
      <c r="F116" s="32">
        <v>3.6374132965845902E-5</v>
      </c>
      <c r="G116" s="10">
        <v>13.5933391512183</v>
      </c>
      <c r="H116" s="10">
        <v>13.831502248622099</v>
      </c>
      <c r="I116" s="10">
        <v>13.6590754445411</v>
      </c>
      <c r="J116" s="10">
        <f t="shared" si="9"/>
        <v>13.694638948127166</v>
      </c>
      <c r="K116" s="10">
        <v>15.5431061819506</v>
      </c>
      <c r="L116" s="10">
        <v>16.0786394343232</v>
      </c>
      <c r="M116" s="10">
        <v>15.6855737291807</v>
      </c>
      <c r="N116" s="10">
        <f t="shared" si="5"/>
        <v>15.769106448484834</v>
      </c>
      <c r="O116" s="10">
        <f t="shared" si="6"/>
        <v>3.7477500199999998</v>
      </c>
      <c r="P116" s="10">
        <f t="shared" si="7"/>
        <v>1.1238447664457345</v>
      </c>
      <c r="S116" s="10" t="s">
        <v>14485</v>
      </c>
      <c r="T116" s="20">
        <v>3.5094892716802968</v>
      </c>
      <c r="U116" s="39"/>
    </row>
    <row r="117" spans="1:21" x14ac:dyDescent="0.2">
      <c r="A117" s="24" t="str">
        <f>"unk-1"</f>
        <v>unk-1</v>
      </c>
      <c r="B117" s="24" t="s">
        <v>2671</v>
      </c>
      <c r="C117" s="24" t="s">
        <v>252</v>
      </c>
      <c r="D117" s="24">
        <v>2.0702850284299701</v>
      </c>
      <c r="E117" s="24">
        <f t="shared" si="8"/>
        <v>4.1996963724894734</v>
      </c>
      <c r="F117" s="29">
        <v>8.3426019347033304E-5</v>
      </c>
      <c r="G117" s="24" t="s">
        <v>14849</v>
      </c>
      <c r="H117" s="24">
        <v>9.5526295442138593</v>
      </c>
      <c r="I117" s="24">
        <v>10.804787310241499</v>
      </c>
      <c r="J117" s="24">
        <f t="shared" si="9"/>
        <v>10.178708427227679</v>
      </c>
      <c r="K117" s="24">
        <v>12.326318990887801</v>
      </c>
      <c r="L117" s="24">
        <v>12.5359582381124</v>
      </c>
      <c r="M117" s="24">
        <v>11.884703137972799</v>
      </c>
      <c r="N117" s="24">
        <f t="shared" si="5"/>
        <v>12.248993455657667</v>
      </c>
      <c r="O117" s="24" t="str">
        <f t="shared" si="6"/>
        <v>ND</v>
      </c>
      <c r="P117" s="24" t="str">
        <f t="shared" si="7"/>
        <v>NA</v>
      </c>
      <c r="S117" s="11" t="s">
        <v>1709</v>
      </c>
      <c r="T117" s="20">
        <v>3.4727308099999998</v>
      </c>
      <c r="U117" s="39"/>
    </row>
    <row r="118" spans="1:21" x14ac:dyDescent="0.2">
      <c r="A118" s="24" t="str">
        <f>"cst-1"</f>
        <v>cst-1</v>
      </c>
      <c r="B118" s="24" t="s">
        <v>12799</v>
      </c>
      <c r="C118" s="24" t="s">
        <v>12801</v>
      </c>
      <c r="D118" s="24">
        <v>2.0654842745311202</v>
      </c>
      <c r="E118" s="24">
        <f t="shared" si="8"/>
        <v>4.1857445670156972</v>
      </c>
      <c r="F118" s="29">
        <v>6.9501456914947001E-7</v>
      </c>
      <c r="G118" s="24">
        <v>11.8324370268608</v>
      </c>
      <c r="H118" s="24">
        <v>11.9417970730352</v>
      </c>
      <c r="I118" s="24">
        <v>11.4361823409571</v>
      </c>
      <c r="J118" s="24">
        <f t="shared" si="9"/>
        <v>11.736805480284366</v>
      </c>
      <c r="K118" s="24">
        <v>13.5023841136</v>
      </c>
      <c r="L118" s="24">
        <v>14.0916192276585</v>
      </c>
      <c r="M118" s="24">
        <v>13.8128659231879</v>
      </c>
      <c r="N118" s="24">
        <f t="shared" si="5"/>
        <v>13.802289754815467</v>
      </c>
      <c r="O118" s="24" t="str">
        <f t="shared" si="6"/>
        <v>ND</v>
      </c>
      <c r="P118" s="24" t="str">
        <f t="shared" si="7"/>
        <v>NA</v>
      </c>
      <c r="S118" s="10" t="s">
        <v>5147</v>
      </c>
      <c r="T118" s="20">
        <v>3.4624468677270763</v>
      </c>
      <c r="U118" s="39"/>
    </row>
    <row r="119" spans="1:21" x14ac:dyDescent="0.2">
      <c r="A119" s="16" t="str">
        <f>"pah-1"</f>
        <v>pah-1</v>
      </c>
      <c r="B119" s="16" t="s">
        <v>6121</v>
      </c>
      <c r="C119" s="16" t="s">
        <v>6123</v>
      </c>
      <c r="D119" s="16">
        <v>2.0519648389978</v>
      </c>
      <c r="E119" s="16">
        <f t="shared" si="8"/>
        <v>4.146703340432107</v>
      </c>
      <c r="F119" s="31">
        <v>7.1173938034916299E-7</v>
      </c>
      <c r="G119" s="16">
        <v>14.1130694635717</v>
      </c>
      <c r="H119" s="16">
        <v>13.960931823667</v>
      </c>
      <c r="I119" s="16">
        <v>14.1483473511094</v>
      </c>
      <c r="J119" s="16">
        <f t="shared" si="9"/>
        <v>14.0741162127827</v>
      </c>
      <c r="K119" s="16">
        <v>16.109776095594999</v>
      </c>
      <c r="L119" s="16">
        <v>16.4386002018231</v>
      </c>
      <c r="M119" s="16">
        <v>15.829866857923401</v>
      </c>
      <c r="N119" s="16">
        <f t="shared" si="5"/>
        <v>16.126081051780499</v>
      </c>
      <c r="O119" s="16">
        <f t="shared" si="6"/>
        <v>6.3154922200000003</v>
      </c>
      <c r="P119" s="16">
        <f t="shared" si="7"/>
        <v>0.65659226485946121</v>
      </c>
      <c r="S119" s="11" t="s">
        <v>14812</v>
      </c>
      <c r="T119" s="20">
        <v>3.4324472699999999</v>
      </c>
      <c r="U119" s="39"/>
    </row>
    <row r="120" spans="1:21" x14ac:dyDescent="0.2">
      <c r="A120" s="10" t="str">
        <f>"alh-9"</f>
        <v>alh-9</v>
      </c>
      <c r="B120" s="10" t="s">
        <v>5629</v>
      </c>
      <c r="C120" s="10" t="s">
        <v>5631</v>
      </c>
      <c r="D120" s="10">
        <v>2.0365392173458301</v>
      </c>
      <c r="E120" s="10">
        <f t="shared" ref="E120:E151" si="10">2^D120</f>
        <v>4.1026020411962971</v>
      </c>
      <c r="F120" s="32">
        <v>5.6024327402021704E-6</v>
      </c>
      <c r="G120" s="10">
        <v>10.971626345700001</v>
      </c>
      <c r="H120" s="10">
        <v>11.7214302127792</v>
      </c>
      <c r="I120" s="10">
        <v>12.645706012313701</v>
      </c>
      <c r="J120" s="10">
        <f t="shared" ref="J120:J151" si="11">AVERAGEIF(G120:I120, "&gt;0")</f>
        <v>11.779587523597634</v>
      </c>
      <c r="K120" s="10">
        <v>13.812883079477899</v>
      </c>
      <c r="L120" s="10">
        <v>13.7047664409181</v>
      </c>
      <c r="M120" s="10">
        <v>13.930730702434399</v>
      </c>
      <c r="N120" s="10">
        <f t="shared" si="5"/>
        <v>13.816126740943465</v>
      </c>
      <c r="O120" s="10">
        <f t="shared" si="6"/>
        <v>2.8936961499999998</v>
      </c>
      <c r="P120" s="10">
        <f t="shared" si="7"/>
        <v>1.4177722291942425</v>
      </c>
      <c r="S120" s="10" t="s">
        <v>14813</v>
      </c>
      <c r="T120" s="20">
        <v>3.4226173322639637</v>
      </c>
      <c r="U120" s="39"/>
    </row>
    <row r="121" spans="1:21" x14ac:dyDescent="0.2">
      <c r="A121" s="16" t="str">
        <f>"T20B12.7"</f>
        <v>T20B12.7</v>
      </c>
      <c r="B121" s="16" t="s">
        <v>5489</v>
      </c>
      <c r="C121" s="16" t="s">
        <v>5491</v>
      </c>
      <c r="D121" s="16">
        <v>2.02925975120487</v>
      </c>
      <c r="E121" s="16">
        <f t="shared" si="10"/>
        <v>4.0819535094841308</v>
      </c>
      <c r="F121" s="31">
        <v>2.0325203482081999E-7</v>
      </c>
      <c r="G121" s="16">
        <v>12.7392208838763</v>
      </c>
      <c r="H121" s="16">
        <v>12.3115623343392</v>
      </c>
      <c r="I121" s="16">
        <v>12.281807489023</v>
      </c>
      <c r="J121" s="16">
        <f t="shared" si="11"/>
        <v>12.444196902412834</v>
      </c>
      <c r="K121" s="16">
        <v>14.702912651739901</v>
      </c>
      <c r="L121" s="16">
        <v>14.5361120359856</v>
      </c>
      <c r="M121" s="16">
        <v>14.1813452731275</v>
      </c>
      <c r="N121" s="16">
        <f t="shared" si="5"/>
        <v>14.473456653617667</v>
      </c>
      <c r="O121" s="16">
        <f t="shared" si="6"/>
        <v>8.9708627199999995</v>
      </c>
      <c r="P121" s="16">
        <f t="shared" si="7"/>
        <v>0.45502351745765329</v>
      </c>
      <c r="S121" s="11" t="s">
        <v>1705</v>
      </c>
      <c r="T121" s="20">
        <v>3.4104602499999999</v>
      </c>
      <c r="U121" s="39"/>
    </row>
    <row r="122" spans="1:21" x14ac:dyDescent="0.2">
      <c r="A122" s="16" t="str">
        <f>"nbet-1"</f>
        <v>nbet-1</v>
      </c>
      <c r="B122" s="16" t="s">
        <v>1726</v>
      </c>
      <c r="C122" s="16" t="s">
        <v>1728</v>
      </c>
      <c r="D122" s="16">
        <v>2.0270968731133898</v>
      </c>
      <c r="E122" s="16">
        <f t="shared" si="10"/>
        <v>4.0758384589299554</v>
      </c>
      <c r="F122" s="16">
        <v>1.4127314510142799E-3</v>
      </c>
      <c r="G122" s="16">
        <v>11.492436891521001</v>
      </c>
      <c r="H122" s="16" t="s">
        <v>14849</v>
      </c>
      <c r="I122" s="16" t="s">
        <v>14849</v>
      </c>
      <c r="J122" s="16">
        <f t="shared" si="11"/>
        <v>11.492436891521001</v>
      </c>
      <c r="K122" s="16">
        <v>13.541542482239</v>
      </c>
      <c r="L122" s="16">
        <v>13.685892552749401</v>
      </c>
      <c r="M122" s="16">
        <v>13.331166258914701</v>
      </c>
      <c r="N122" s="16">
        <f t="shared" si="5"/>
        <v>13.519533764634367</v>
      </c>
      <c r="O122" s="16">
        <f t="shared" si="6"/>
        <v>8.2716725536539464</v>
      </c>
      <c r="P122" s="16">
        <f t="shared" si="7"/>
        <v>0.49274659175543473</v>
      </c>
      <c r="S122" s="10" t="s">
        <v>14814</v>
      </c>
      <c r="T122" s="20">
        <v>3.3905045955362612</v>
      </c>
      <c r="U122" s="39"/>
    </row>
    <row r="123" spans="1:21" x14ac:dyDescent="0.2">
      <c r="A123" s="24" t="str">
        <f>"tps-1"</f>
        <v>tps-1</v>
      </c>
      <c r="B123" s="24" t="s">
        <v>10719</v>
      </c>
      <c r="C123" s="24" t="s">
        <v>10721</v>
      </c>
      <c r="D123" s="24">
        <v>2.0089430495160299</v>
      </c>
      <c r="E123" s="24">
        <f t="shared" si="10"/>
        <v>4.0248724087455514</v>
      </c>
      <c r="F123" s="29">
        <v>1.0450344048176801E-5</v>
      </c>
      <c r="G123" s="24">
        <v>11.7701819910127</v>
      </c>
      <c r="H123" s="24">
        <v>11.207715835361199</v>
      </c>
      <c r="I123" s="24">
        <v>11.3418234565208</v>
      </c>
      <c r="J123" s="24">
        <f t="shared" si="11"/>
        <v>11.439907094298233</v>
      </c>
      <c r="K123" s="24">
        <v>13.501881733858401</v>
      </c>
      <c r="L123" s="24">
        <v>13.502646255292101</v>
      </c>
      <c r="M123" s="24">
        <v>13.342022442292301</v>
      </c>
      <c r="N123" s="24">
        <f t="shared" si="5"/>
        <v>13.448850143814269</v>
      </c>
      <c r="O123" s="24" t="str">
        <f t="shared" si="6"/>
        <v>ND</v>
      </c>
      <c r="P123" s="24" t="str">
        <f t="shared" si="7"/>
        <v>NA</v>
      </c>
      <c r="S123" s="11" t="s">
        <v>14171</v>
      </c>
      <c r="T123" s="20">
        <v>3.3613502799999999</v>
      </c>
      <c r="U123" s="39"/>
    </row>
    <row r="124" spans="1:21" x14ac:dyDescent="0.2">
      <c r="A124" s="16" t="str">
        <f>"dnc-4"</f>
        <v>dnc-4</v>
      </c>
      <c r="B124" s="16" t="s">
        <v>7682</v>
      </c>
      <c r="C124" s="16" t="s">
        <v>7684</v>
      </c>
      <c r="D124" s="16">
        <v>1.9820642433830999</v>
      </c>
      <c r="E124" s="16">
        <f t="shared" si="10"/>
        <v>3.9505793616371947</v>
      </c>
      <c r="F124" s="16">
        <v>1.1469618195242301E-3</v>
      </c>
      <c r="G124" s="16" t="s">
        <v>14849</v>
      </c>
      <c r="H124" s="16">
        <v>12.0667754619835</v>
      </c>
      <c r="I124" s="16" t="s">
        <v>14849</v>
      </c>
      <c r="J124" s="16">
        <f t="shared" si="11"/>
        <v>12.0667754619835</v>
      </c>
      <c r="K124" s="16">
        <v>13.7921844135802</v>
      </c>
      <c r="L124" s="16">
        <v>14.273450325278301</v>
      </c>
      <c r="M124" s="16">
        <v>14.080884377241199</v>
      </c>
      <c r="N124" s="16">
        <f t="shared" si="5"/>
        <v>14.048839705366566</v>
      </c>
      <c r="O124" s="16">
        <f t="shared" si="6"/>
        <v>5.1493989300000003</v>
      </c>
      <c r="P124" s="16">
        <f t="shared" si="7"/>
        <v>0.76719232969530182</v>
      </c>
      <c r="S124" s="11" t="s">
        <v>5322</v>
      </c>
      <c r="T124" s="20">
        <v>3.3128137099999999</v>
      </c>
      <c r="U124" s="39"/>
    </row>
    <row r="125" spans="1:21" x14ac:dyDescent="0.2">
      <c r="A125" s="10" t="str">
        <f>"vha-10"</f>
        <v>vha-10</v>
      </c>
      <c r="B125" s="10" t="s">
        <v>6271</v>
      </c>
      <c r="C125" s="10" t="s">
        <v>6273</v>
      </c>
      <c r="D125" s="10">
        <v>1.94926048493958</v>
      </c>
      <c r="E125" s="10">
        <f t="shared" si="10"/>
        <v>3.8617652952656707</v>
      </c>
      <c r="F125" s="10">
        <v>2.7415036539535399E-3</v>
      </c>
      <c r="G125" s="10">
        <v>11.4620113410319</v>
      </c>
      <c r="H125" s="10">
        <v>11.7880770133056</v>
      </c>
      <c r="I125" s="10">
        <v>10.858656167758699</v>
      </c>
      <c r="J125" s="10">
        <f t="shared" si="11"/>
        <v>11.369581507365401</v>
      </c>
      <c r="K125" s="10">
        <v>12.502802450880299</v>
      </c>
      <c r="L125" s="10">
        <v>12.8698641418846</v>
      </c>
      <c r="M125" s="10">
        <v>14.583859384149999</v>
      </c>
      <c r="N125" s="10">
        <f t="shared" si="5"/>
        <v>13.318841992304968</v>
      </c>
      <c r="O125" s="10">
        <f t="shared" si="6"/>
        <v>2.2777352857525219</v>
      </c>
      <c r="P125" s="10">
        <f t="shared" si="7"/>
        <v>1.6954407825270241</v>
      </c>
      <c r="S125" s="11" t="s">
        <v>14815</v>
      </c>
      <c r="T125" s="20">
        <v>3.2988511900000002</v>
      </c>
      <c r="U125" s="39"/>
    </row>
    <row r="126" spans="1:21" x14ac:dyDescent="0.2">
      <c r="A126" s="24" t="str">
        <f>"pes-7"</f>
        <v>pes-7</v>
      </c>
      <c r="B126" s="24" t="s">
        <v>3516</v>
      </c>
      <c r="C126" s="24" t="s">
        <v>758</v>
      </c>
      <c r="D126" s="24">
        <v>1.9256275269559899</v>
      </c>
      <c r="E126" s="24">
        <f t="shared" si="10"/>
        <v>3.7990205789069931</v>
      </c>
      <c r="F126" s="29">
        <v>3.6159473868323599E-5</v>
      </c>
      <c r="G126" s="24">
        <v>11.863976846072401</v>
      </c>
      <c r="H126" s="24">
        <v>11.456434208626501</v>
      </c>
      <c r="I126" s="24">
        <v>12.296316837863101</v>
      </c>
      <c r="J126" s="24">
        <f t="shared" si="11"/>
        <v>11.872242630854002</v>
      </c>
      <c r="K126" s="24">
        <v>13.832757454082399</v>
      </c>
      <c r="L126" s="24">
        <v>14.0773687996652</v>
      </c>
      <c r="M126" s="24">
        <v>13.4834842196823</v>
      </c>
      <c r="N126" s="24">
        <f t="shared" si="5"/>
        <v>13.797870157809967</v>
      </c>
      <c r="O126" s="24" t="str">
        <f t="shared" si="6"/>
        <v>ND</v>
      </c>
      <c r="P126" s="24" t="str">
        <f t="shared" si="7"/>
        <v>NA</v>
      </c>
      <c r="S126" s="11" t="s">
        <v>14816</v>
      </c>
      <c r="T126" s="20">
        <v>3.26683769</v>
      </c>
      <c r="U126" s="39"/>
    </row>
    <row r="127" spans="1:21" x14ac:dyDescent="0.2">
      <c r="A127" s="14" t="str">
        <f>"F46H5.7"</f>
        <v>F46H5.7</v>
      </c>
      <c r="B127" s="14" t="s">
        <v>2473</v>
      </c>
      <c r="C127" s="14" t="s">
        <v>2474</v>
      </c>
      <c r="D127" s="14">
        <v>1.8976919377284001</v>
      </c>
      <c r="E127" s="14">
        <f t="shared" si="10"/>
        <v>3.7261659747463192</v>
      </c>
      <c r="F127" s="14">
        <v>2.7634442800741102E-4</v>
      </c>
      <c r="G127" s="14">
        <v>14.265900068559899</v>
      </c>
      <c r="H127" s="14">
        <v>14.348863737617</v>
      </c>
      <c r="I127" s="14">
        <v>13.5252274866652</v>
      </c>
      <c r="J127" s="14">
        <f t="shared" si="11"/>
        <v>14.0466637642807</v>
      </c>
      <c r="K127" s="14">
        <v>15.618520992273901</v>
      </c>
      <c r="L127" s="14">
        <v>16.3054268298641</v>
      </c>
      <c r="M127" s="14">
        <v>15.9091192838893</v>
      </c>
      <c r="N127" s="14">
        <f t="shared" si="5"/>
        <v>15.9443557020091</v>
      </c>
      <c r="O127" s="14">
        <f t="shared" si="6"/>
        <v>25.5388345</v>
      </c>
      <c r="P127" s="14">
        <f t="shared" si="7"/>
        <v>0.14590195863269795</v>
      </c>
      <c r="S127" s="11" t="s">
        <v>4256</v>
      </c>
      <c r="T127" s="20">
        <v>3.2404884100000002</v>
      </c>
      <c r="U127" s="39"/>
    </row>
    <row r="128" spans="1:21" x14ac:dyDescent="0.2">
      <c r="A128" s="24" t="str">
        <f>"ZK822.1"</f>
        <v>ZK822.1</v>
      </c>
      <c r="B128" s="24" t="s">
        <v>10342</v>
      </c>
      <c r="C128" s="24" t="s">
        <v>10343</v>
      </c>
      <c r="D128" s="24">
        <v>1.8663362784203299</v>
      </c>
      <c r="E128" s="24">
        <f t="shared" si="10"/>
        <v>3.6460548840423801</v>
      </c>
      <c r="F128" s="29">
        <v>5.38083049510386E-5</v>
      </c>
      <c r="G128" s="24">
        <v>10.8044806880278</v>
      </c>
      <c r="H128" s="24">
        <v>9.1915806324417701</v>
      </c>
      <c r="I128" s="24">
        <v>10.203156143106501</v>
      </c>
      <c r="J128" s="24">
        <f t="shared" si="11"/>
        <v>10.066405821192024</v>
      </c>
      <c r="K128" s="24">
        <v>11.709193152064101</v>
      </c>
      <c r="L128" s="24">
        <v>12.187305020137</v>
      </c>
      <c r="M128" s="24">
        <v>11.901728126636</v>
      </c>
      <c r="N128" s="24">
        <f t="shared" si="5"/>
        <v>11.932742099612367</v>
      </c>
      <c r="O128" s="24" t="str">
        <f t="shared" si="6"/>
        <v>ND</v>
      </c>
      <c r="P128" s="24" t="str">
        <f t="shared" si="7"/>
        <v>NA</v>
      </c>
      <c r="S128" s="11" t="s">
        <v>12598</v>
      </c>
      <c r="T128" s="20">
        <v>3.2164031500000001</v>
      </c>
      <c r="U128" s="39"/>
    </row>
    <row r="129" spans="1:21" x14ac:dyDescent="0.2">
      <c r="A129" s="16" t="str">
        <f>"mog-4"</f>
        <v>mog-4</v>
      </c>
      <c r="B129" s="16" t="s">
        <v>4026</v>
      </c>
      <c r="C129" s="16" t="s">
        <v>4028</v>
      </c>
      <c r="D129" s="16">
        <v>1.85257052700794</v>
      </c>
      <c r="E129" s="16">
        <f t="shared" si="10"/>
        <v>3.6114308009831939</v>
      </c>
      <c r="F129" s="31">
        <v>1.75564165688324E-7</v>
      </c>
      <c r="G129" s="16">
        <v>13.3330787319897</v>
      </c>
      <c r="H129" s="16">
        <v>13.0650063110684</v>
      </c>
      <c r="I129" s="16">
        <v>13.371328057368601</v>
      </c>
      <c r="J129" s="16">
        <f t="shared" si="11"/>
        <v>13.256471033475568</v>
      </c>
      <c r="K129" s="16">
        <v>15.0954403372054</v>
      </c>
      <c r="L129" s="16">
        <v>15.4103368887536</v>
      </c>
      <c r="M129" s="16">
        <v>14.8213474554915</v>
      </c>
      <c r="N129" s="16">
        <f t="shared" si="5"/>
        <v>15.109041560483499</v>
      </c>
      <c r="O129" s="16">
        <f t="shared" si="6"/>
        <v>5.79721084</v>
      </c>
      <c r="P129" s="16">
        <f t="shared" si="7"/>
        <v>0.62296005797560294</v>
      </c>
      <c r="S129" s="11" t="s">
        <v>8165</v>
      </c>
      <c r="T129" s="20">
        <v>3.2135458099999998</v>
      </c>
      <c r="U129" s="39"/>
    </row>
    <row r="130" spans="1:21" x14ac:dyDescent="0.2">
      <c r="A130" s="14" t="str">
        <f>"inx-12"</f>
        <v>inx-12</v>
      </c>
      <c r="B130" s="14" t="s">
        <v>2801</v>
      </c>
      <c r="C130" s="14" t="s">
        <v>2803</v>
      </c>
      <c r="D130" s="14">
        <v>1.8461833150473601</v>
      </c>
      <c r="E130" s="14">
        <f t="shared" si="10"/>
        <v>3.5954773342604907</v>
      </c>
      <c r="F130" s="30">
        <v>1.0971886338189801E-5</v>
      </c>
      <c r="G130" s="14">
        <v>12.963163882755699</v>
      </c>
      <c r="H130" s="14">
        <v>12.538082881378701</v>
      </c>
      <c r="I130" s="14">
        <v>12.879152531426501</v>
      </c>
      <c r="J130" s="14">
        <f t="shared" si="11"/>
        <v>12.793466431853632</v>
      </c>
      <c r="K130" s="14">
        <v>14.584663518595899</v>
      </c>
      <c r="L130" s="14">
        <v>14.610323262271301</v>
      </c>
      <c r="M130" s="14">
        <v>14.7239624598358</v>
      </c>
      <c r="N130" s="14">
        <f t="shared" ref="N130:N193" si="12">(K130+L130+M130)/3</f>
        <v>14.639649746901</v>
      </c>
      <c r="O130" s="14">
        <f t="shared" ref="O130:O193" si="13">IFERROR(INDEX(T:T,MATCH(A130, S:S, 0)), "ND")</f>
        <v>15.4569776</v>
      </c>
      <c r="P130" s="14">
        <f t="shared" ref="P130:P193" si="14">IFERROR(E130/O130, "NA")</f>
        <v>0.23261192629667074</v>
      </c>
      <c r="S130" s="11" t="s">
        <v>396</v>
      </c>
      <c r="T130" s="20">
        <v>3.2054233700000001</v>
      </c>
      <c r="U130" s="39"/>
    </row>
    <row r="131" spans="1:21" x14ac:dyDescent="0.2">
      <c r="A131" s="16" t="str">
        <f>"anc-1"</f>
        <v>anc-1</v>
      </c>
      <c r="B131" s="16" t="s">
        <v>12547</v>
      </c>
      <c r="C131" s="16" t="s">
        <v>12549</v>
      </c>
      <c r="D131" s="16">
        <v>1.83948728505764</v>
      </c>
      <c r="E131" s="16">
        <f t="shared" si="10"/>
        <v>3.5788281889667886</v>
      </c>
      <c r="F131" s="31">
        <v>7.8448785100936606E-8</v>
      </c>
      <c r="G131" s="16">
        <v>13.298059752452099</v>
      </c>
      <c r="H131" s="16">
        <v>13.2842664327124</v>
      </c>
      <c r="I131" s="16">
        <v>12.9388944649831</v>
      </c>
      <c r="J131" s="16">
        <f t="shared" si="11"/>
        <v>13.173740216715865</v>
      </c>
      <c r="K131" s="16">
        <v>14.920384116227901</v>
      </c>
      <c r="L131" s="16">
        <v>15.183928681884</v>
      </c>
      <c r="M131" s="16">
        <v>14.935369707208601</v>
      </c>
      <c r="N131" s="16">
        <f t="shared" si="12"/>
        <v>15.0132275017735</v>
      </c>
      <c r="O131" s="16">
        <f t="shared" si="13"/>
        <v>5.7997844399999998</v>
      </c>
      <c r="P131" s="16">
        <f t="shared" si="14"/>
        <v>0.61706227636397959</v>
      </c>
      <c r="S131" s="11" t="s">
        <v>14817</v>
      </c>
      <c r="T131" s="20">
        <v>3.1978355700000001</v>
      </c>
      <c r="U131" s="39"/>
    </row>
    <row r="132" spans="1:21" x14ac:dyDescent="0.2">
      <c r="A132" s="24" t="str">
        <f>"upp-1"</f>
        <v>upp-1</v>
      </c>
      <c r="B132" s="24" t="s">
        <v>10331</v>
      </c>
      <c r="C132" s="24" t="s">
        <v>10333</v>
      </c>
      <c r="D132" s="24">
        <v>1.8306648360265101</v>
      </c>
      <c r="E132" s="24">
        <f t="shared" si="10"/>
        <v>3.5570095209481782</v>
      </c>
      <c r="F132" s="24">
        <v>1.19170472500402E-4</v>
      </c>
      <c r="G132" s="24" t="s">
        <v>14849</v>
      </c>
      <c r="H132" s="24" t="s">
        <v>14849</v>
      </c>
      <c r="I132" s="24">
        <v>11.8890857869977</v>
      </c>
      <c r="J132" s="24">
        <f t="shared" si="11"/>
        <v>11.8890857869977</v>
      </c>
      <c r="K132" s="24">
        <v>13.9422762044707</v>
      </c>
      <c r="L132" s="24">
        <v>13.380445143767201</v>
      </c>
      <c r="M132" s="24">
        <v>13.836530520834801</v>
      </c>
      <c r="N132" s="24">
        <f t="shared" si="12"/>
        <v>13.719750623024233</v>
      </c>
      <c r="O132" s="24" t="str">
        <f t="shared" si="13"/>
        <v>ND</v>
      </c>
      <c r="P132" s="24" t="str">
        <f t="shared" si="14"/>
        <v>NA</v>
      </c>
      <c r="S132" s="11" t="s">
        <v>12251</v>
      </c>
      <c r="T132" s="20">
        <v>3.1719083800000001</v>
      </c>
      <c r="U132" s="39"/>
    </row>
    <row r="133" spans="1:21" x14ac:dyDescent="0.2">
      <c r="A133" s="24" t="str">
        <f>"deb-1"</f>
        <v>deb-1</v>
      </c>
      <c r="B133" s="24" t="s">
        <v>4794</v>
      </c>
      <c r="C133" s="24" t="s">
        <v>4796</v>
      </c>
      <c r="D133" s="24">
        <v>1.81743179617961</v>
      </c>
      <c r="E133" s="24">
        <f t="shared" si="10"/>
        <v>3.5245322251798492</v>
      </c>
      <c r="F133" s="29">
        <v>1.4061657796948599E-6</v>
      </c>
      <c r="G133" s="24">
        <v>11.2059148503439</v>
      </c>
      <c r="H133" s="24">
        <v>11.9431731353147</v>
      </c>
      <c r="I133" s="24">
        <v>11.845601764268601</v>
      </c>
      <c r="J133" s="24">
        <f t="shared" si="11"/>
        <v>11.664896583309067</v>
      </c>
      <c r="K133" s="24">
        <v>13.8321342088189</v>
      </c>
      <c r="L133" s="24">
        <v>13.170353325236601</v>
      </c>
      <c r="M133" s="24">
        <v>13.4444976044106</v>
      </c>
      <c r="N133" s="24">
        <f t="shared" si="12"/>
        <v>13.482328379488701</v>
      </c>
      <c r="O133" s="24" t="str">
        <f t="shared" si="13"/>
        <v>ND</v>
      </c>
      <c r="P133" s="24" t="str">
        <f t="shared" si="14"/>
        <v>NA</v>
      </c>
      <c r="S133" s="11" t="s">
        <v>14818</v>
      </c>
      <c r="T133" s="20">
        <v>3.1679403800000001</v>
      </c>
      <c r="U133" s="39"/>
    </row>
    <row r="134" spans="1:21" x14ac:dyDescent="0.2">
      <c r="A134" s="10" t="str">
        <f>"daf-22"</f>
        <v>daf-22</v>
      </c>
      <c r="B134" s="10" t="s">
        <v>1470</v>
      </c>
      <c r="C134" s="10" t="s">
        <v>1472</v>
      </c>
      <c r="D134" s="10">
        <v>1.7580379249334701</v>
      </c>
      <c r="E134" s="10">
        <f t="shared" si="10"/>
        <v>3.3823780628100661</v>
      </c>
      <c r="F134" s="32">
        <v>2.5548783954519399E-7</v>
      </c>
      <c r="G134" s="10">
        <v>13.5870087495341</v>
      </c>
      <c r="H134" s="10">
        <v>13.4481702251207</v>
      </c>
      <c r="I134" s="10">
        <v>13.4957307932799</v>
      </c>
      <c r="J134" s="10">
        <f t="shared" si="11"/>
        <v>13.510303255978235</v>
      </c>
      <c r="K134" s="10">
        <v>15.054514442605001</v>
      </c>
      <c r="L134" s="10">
        <v>15.5227120054848</v>
      </c>
      <c r="M134" s="10">
        <v>15.2277970946453</v>
      </c>
      <c r="N134" s="10">
        <f t="shared" si="12"/>
        <v>15.268341180911699</v>
      </c>
      <c r="O134" s="10">
        <f t="shared" si="13"/>
        <v>2.9108313400000001</v>
      </c>
      <c r="P134" s="10">
        <f t="shared" si="14"/>
        <v>1.1619972673545784</v>
      </c>
      <c r="S134" s="11" t="s">
        <v>11530</v>
      </c>
      <c r="T134" s="20">
        <v>3.1386884199999998</v>
      </c>
      <c r="U134" s="39"/>
    </row>
    <row r="135" spans="1:21" x14ac:dyDescent="0.2">
      <c r="A135" s="24" t="str">
        <f>"tbb-4"</f>
        <v>tbb-4</v>
      </c>
      <c r="B135" s="24" t="s">
        <v>5521</v>
      </c>
      <c r="C135" s="24" t="s">
        <v>5523</v>
      </c>
      <c r="D135" s="24">
        <v>1.7502773903241799</v>
      </c>
      <c r="E135" s="24">
        <f t="shared" si="10"/>
        <v>3.3642324476147754</v>
      </c>
      <c r="F135" s="24">
        <v>3.1685838372150801E-4</v>
      </c>
      <c r="G135" s="24">
        <v>13.004426500781999</v>
      </c>
      <c r="H135" s="24">
        <v>13.9572049503802</v>
      </c>
      <c r="I135" s="24">
        <v>13.6296380764571</v>
      </c>
      <c r="J135" s="24">
        <f t="shared" si="11"/>
        <v>13.530423175873098</v>
      </c>
      <c r="K135" s="24">
        <v>16.1045531650295</v>
      </c>
      <c r="L135" s="24">
        <v>15.095880628370301</v>
      </c>
      <c r="M135" s="24">
        <v>14.641667905192</v>
      </c>
      <c r="N135" s="24">
        <f t="shared" si="12"/>
        <v>15.280700566197268</v>
      </c>
      <c r="O135" s="24" t="str">
        <f t="shared" si="13"/>
        <v>ND</v>
      </c>
      <c r="P135" s="24" t="str">
        <f t="shared" si="14"/>
        <v>NA</v>
      </c>
      <c r="S135" s="11" t="s">
        <v>9426</v>
      </c>
      <c r="T135" s="20">
        <v>3.13809</v>
      </c>
      <c r="U135" s="39"/>
    </row>
    <row r="136" spans="1:21" x14ac:dyDescent="0.2">
      <c r="A136" s="24" t="str">
        <f>"cpn-2"</f>
        <v>cpn-2</v>
      </c>
      <c r="B136" s="24" t="s">
        <v>3885</v>
      </c>
      <c r="C136" s="24" t="s">
        <v>3887</v>
      </c>
      <c r="D136" s="24">
        <v>1.7466649047832801</v>
      </c>
      <c r="E136" s="24">
        <f t="shared" si="10"/>
        <v>3.3558190007949937</v>
      </c>
      <c r="F136" s="24">
        <v>1.6837833937978901E-4</v>
      </c>
      <c r="G136" s="24" t="s">
        <v>14849</v>
      </c>
      <c r="H136" s="24" t="s">
        <v>14849</v>
      </c>
      <c r="I136" s="24">
        <v>11.2948914793593</v>
      </c>
      <c r="J136" s="24">
        <f t="shared" si="11"/>
        <v>11.2948914793593</v>
      </c>
      <c r="K136" s="24">
        <v>13.3265013103145</v>
      </c>
      <c r="L136" s="24">
        <v>12.8501443260561</v>
      </c>
      <c r="M136" s="24">
        <v>12.9480235160571</v>
      </c>
      <c r="N136" s="24">
        <f t="shared" si="12"/>
        <v>13.041556384142567</v>
      </c>
      <c r="O136" s="24" t="str">
        <f t="shared" si="13"/>
        <v>ND</v>
      </c>
      <c r="P136" s="24" t="str">
        <f t="shared" si="14"/>
        <v>NA</v>
      </c>
      <c r="S136" s="11" t="s">
        <v>983</v>
      </c>
      <c r="T136" s="20">
        <v>3.1329182800000002</v>
      </c>
      <c r="U136" s="39"/>
    </row>
    <row r="137" spans="1:21" x14ac:dyDescent="0.2">
      <c r="A137" s="10" t="str">
        <f>"eif-2A"</f>
        <v>eif-2A</v>
      </c>
      <c r="B137" s="10" t="s">
        <v>8079</v>
      </c>
      <c r="C137" s="10" t="s">
        <v>8081</v>
      </c>
      <c r="D137" s="10">
        <v>1.7431008250801701</v>
      </c>
      <c r="E137" s="10">
        <f t="shared" si="10"/>
        <v>3.3475389107387885</v>
      </c>
      <c r="F137" s="32">
        <v>2.4971297613862999E-7</v>
      </c>
      <c r="G137" s="10">
        <v>12.369600254961799</v>
      </c>
      <c r="H137" s="10">
        <v>12.343046050931701</v>
      </c>
      <c r="I137" s="10">
        <v>12.295926181980001</v>
      </c>
      <c r="J137" s="10">
        <f t="shared" si="11"/>
        <v>12.336190829291168</v>
      </c>
      <c r="K137" s="10">
        <v>13.992212105983</v>
      </c>
      <c r="L137" s="10">
        <v>14.001098773257</v>
      </c>
      <c r="M137" s="10">
        <v>14.244564083874</v>
      </c>
      <c r="N137" s="10">
        <f t="shared" si="12"/>
        <v>14.079291654371332</v>
      </c>
      <c r="O137" s="10">
        <f t="shared" si="13"/>
        <v>3.0728087799999999</v>
      </c>
      <c r="P137" s="10">
        <f t="shared" si="14"/>
        <v>1.0894068425366803</v>
      </c>
      <c r="S137" s="11" t="s">
        <v>5398</v>
      </c>
      <c r="T137" s="20">
        <v>3.1192659200000001</v>
      </c>
      <c r="U137" s="39"/>
    </row>
    <row r="138" spans="1:21" x14ac:dyDescent="0.2">
      <c r="A138" s="10" t="str">
        <f>"czw-1"</f>
        <v>czw-1</v>
      </c>
      <c r="B138" s="10" t="s">
        <v>8356</v>
      </c>
      <c r="C138" s="10" t="s">
        <v>8358</v>
      </c>
      <c r="D138" s="10">
        <v>1.7215254732137</v>
      </c>
      <c r="E138" s="10">
        <f t="shared" si="10"/>
        <v>3.2978492976487392</v>
      </c>
      <c r="F138" s="32">
        <v>1.9323912358788699E-6</v>
      </c>
      <c r="G138" s="10">
        <v>13.887751776217399</v>
      </c>
      <c r="H138" s="10">
        <v>13.907398466590999</v>
      </c>
      <c r="I138" s="10">
        <v>13.848803057645901</v>
      </c>
      <c r="J138" s="10">
        <f t="shared" si="11"/>
        <v>13.8813177668181</v>
      </c>
      <c r="K138" s="10">
        <v>15.5884027108767</v>
      </c>
      <c r="L138" s="10">
        <v>15.8645799415069</v>
      </c>
      <c r="M138" s="10">
        <v>15.3555470677118</v>
      </c>
      <c r="N138" s="10">
        <f t="shared" si="12"/>
        <v>15.602843240031801</v>
      </c>
      <c r="O138" s="10">
        <f t="shared" si="13"/>
        <v>4.8608899699999997</v>
      </c>
      <c r="P138" s="10">
        <f t="shared" si="14"/>
        <v>0.67844557642779546</v>
      </c>
      <c r="S138" s="11" t="s">
        <v>13338</v>
      </c>
      <c r="T138" s="20">
        <v>3.0909888400000001</v>
      </c>
      <c r="U138" s="39"/>
    </row>
    <row r="139" spans="1:21" x14ac:dyDescent="0.2">
      <c r="A139" s="24" t="str">
        <f>"cogc-6"</f>
        <v>cogc-6</v>
      </c>
      <c r="B139" s="24" t="s">
        <v>9193</v>
      </c>
      <c r="C139" s="24" t="s">
        <v>9195</v>
      </c>
      <c r="D139" s="24">
        <v>1.69521893958908</v>
      </c>
      <c r="E139" s="24">
        <f t="shared" si="10"/>
        <v>3.238260258726716</v>
      </c>
      <c r="F139" s="24">
        <v>8.8558877417241992E-3</v>
      </c>
      <c r="G139" s="24">
        <v>10.9785201391502</v>
      </c>
      <c r="H139" s="24" t="s">
        <v>14849</v>
      </c>
      <c r="I139" s="24" t="s">
        <v>14849</v>
      </c>
      <c r="J139" s="24">
        <f t="shared" si="11"/>
        <v>10.9785201391502</v>
      </c>
      <c r="K139" s="24">
        <v>12.535910013713</v>
      </c>
      <c r="L139" s="24">
        <v>13.3406898320899</v>
      </c>
      <c r="M139" s="24">
        <v>12.144617390414799</v>
      </c>
      <c r="N139" s="24">
        <f t="shared" si="12"/>
        <v>12.673739078739233</v>
      </c>
      <c r="O139" s="24" t="str">
        <f t="shared" si="13"/>
        <v>ND</v>
      </c>
      <c r="P139" s="24" t="str">
        <f t="shared" si="14"/>
        <v>NA</v>
      </c>
      <c r="S139" s="11" t="s">
        <v>8080</v>
      </c>
      <c r="T139" s="20">
        <v>3.0728087799999999</v>
      </c>
      <c r="U139" s="39"/>
    </row>
    <row r="140" spans="1:21" x14ac:dyDescent="0.2">
      <c r="A140" s="10" t="str">
        <f>"copz-1"</f>
        <v>copz-1</v>
      </c>
      <c r="B140" s="10" t="s">
        <v>3538</v>
      </c>
      <c r="C140" s="10" t="s">
        <v>3540</v>
      </c>
      <c r="D140" s="10">
        <v>1.68079765292882</v>
      </c>
      <c r="E140" s="10">
        <f t="shared" si="10"/>
        <v>3.2060516171181863</v>
      </c>
      <c r="F140" s="32">
        <v>4.3468160703596902E-7</v>
      </c>
      <c r="G140" s="10">
        <v>14.403088752210801</v>
      </c>
      <c r="H140" s="10">
        <v>14.4403774779888</v>
      </c>
      <c r="I140" s="10">
        <v>14.6020221230508</v>
      </c>
      <c r="J140" s="10">
        <f t="shared" si="11"/>
        <v>14.481829451083469</v>
      </c>
      <c r="K140" s="10">
        <v>16.490634033885701</v>
      </c>
      <c r="L140" s="10">
        <v>16.137709372104101</v>
      </c>
      <c r="M140" s="10">
        <v>15.8595379060471</v>
      </c>
      <c r="N140" s="10">
        <f t="shared" si="12"/>
        <v>16.162627104012302</v>
      </c>
      <c r="O140" s="10">
        <f t="shared" si="13"/>
        <v>2.4944524299999999</v>
      </c>
      <c r="P140" s="10">
        <f t="shared" si="14"/>
        <v>1.2852727029627846</v>
      </c>
      <c r="S140" s="11" t="s">
        <v>11874</v>
      </c>
      <c r="T140" s="20">
        <v>3.04240968</v>
      </c>
      <c r="U140" s="39"/>
    </row>
    <row r="141" spans="1:21" x14ac:dyDescent="0.2">
      <c r="A141" s="24" t="str">
        <f>"nhr-10"</f>
        <v>nhr-10</v>
      </c>
      <c r="B141" s="24" t="s">
        <v>5549</v>
      </c>
      <c r="C141" s="24" t="s">
        <v>5551</v>
      </c>
      <c r="D141" s="24">
        <v>1.6776426082531699</v>
      </c>
      <c r="E141" s="24">
        <f t="shared" si="10"/>
        <v>3.1990479307538573</v>
      </c>
      <c r="F141" s="24">
        <v>1.8653525297310701E-2</v>
      </c>
      <c r="G141" s="24">
        <v>11.1984246727708</v>
      </c>
      <c r="H141" s="24">
        <v>12.161810945608799</v>
      </c>
      <c r="I141" s="24">
        <v>12.2536959016906</v>
      </c>
      <c r="J141" s="24">
        <f t="shared" si="11"/>
        <v>11.871310506690065</v>
      </c>
      <c r="K141" s="24">
        <v>12.8226373262503</v>
      </c>
      <c r="L141" s="24">
        <v>15.052713148913901</v>
      </c>
      <c r="M141" s="24">
        <v>12.771508869665499</v>
      </c>
      <c r="N141" s="24">
        <f t="shared" si="12"/>
        <v>13.548953114943233</v>
      </c>
      <c r="O141" s="24" t="str">
        <f t="shared" si="13"/>
        <v>ND</v>
      </c>
      <c r="P141" s="24" t="str">
        <f t="shared" si="14"/>
        <v>NA</v>
      </c>
      <c r="S141" s="11" t="s">
        <v>7358</v>
      </c>
      <c r="T141" s="20">
        <v>3.0399567200000002</v>
      </c>
      <c r="U141" s="39"/>
    </row>
    <row r="142" spans="1:21" x14ac:dyDescent="0.2">
      <c r="A142" s="14" t="str">
        <f>"ifb-1"</f>
        <v>ifb-1</v>
      </c>
      <c r="B142" s="14" t="s">
        <v>8187</v>
      </c>
      <c r="C142" s="14" t="s">
        <v>8189</v>
      </c>
      <c r="D142" s="14">
        <v>1.6622752043989799</v>
      </c>
      <c r="E142" s="14">
        <f t="shared" si="10"/>
        <v>3.1651529227192845</v>
      </c>
      <c r="F142" s="14">
        <v>1.8626366554403399E-4</v>
      </c>
      <c r="G142" s="14">
        <v>14.315746940918601</v>
      </c>
      <c r="H142" s="14">
        <v>14.547533623940501</v>
      </c>
      <c r="I142" s="14">
        <v>15.135385251682999</v>
      </c>
      <c r="J142" s="14">
        <f t="shared" si="11"/>
        <v>14.666221938847366</v>
      </c>
      <c r="K142" s="14">
        <v>16.4089283277611</v>
      </c>
      <c r="L142" s="14">
        <v>16.1333275465248</v>
      </c>
      <c r="M142" s="14">
        <v>16.443235555453199</v>
      </c>
      <c r="N142" s="14">
        <f t="shared" si="12"/>
        <v>16.328497143246366</v>
      </c>
      <c r="O142" s="14">
        <f t="shared" si="13"/>
        <v>14.6257997</v>
      </c>
      <c r="P142" s="14">
        <f t="shared" si="14"/>
        <v>0.2164088793530575</v>
      </c>
      <c r="S142" s="11" t="s">
        <v>5031</v>
      </c>
      <c r="T142" s="20">
        <v>3.0350834999999998</v>
      </c>
      <c r="U142" s="39"/>
    </row>
    <row r="143" spans="1:21" x14ac:dyDescent="0.2">
      <c r="A143" s="24" t="str">
        <f>"skr-1"</f>
        <v>skr-1</v>
      </c>
      <c r="B143" s="24" t="s">
        <v>1249</v>
      </c>
      <c r="C143" s="24" t="s">
        <v>1251</v>
      </c>
      <c r="D143" s="24">
        <v>1.6195291848405899</v>
      </c>
      <c r="E143" s="24">
        <f t="shared" si="10"/>
        <v>3.0727474256322256</v>
      </c>
      <c r="F143" s="29">
        <v>8.0823354899597095E-6</v>
      </c>
      <c r="G143" s="24">
        <v>11.358583122997301</v>
      </c>
      <c r="H143" s="24">
        <v>11.8348191056741</v>
      </c>
      <c r="I143" s="24">
        <v>11.584985058258299</v>
      </c>
      <c r="J143" s="24">
        <f t="shared" si="11"/>
        <v>11.592795762309899</v>
      </c>
      <c r="K143" s="24">
        <v>13.036024842378101</v>
      </c>
      <c r="L143" s="24">
        <v>13.427263539237201</v>
      </c>
      <c r="M143" s="24">
        <v>13.173686459836199</v>
      </c>
      <c r="N143" s="24">
        <f t="shared" si="12"/>
        <v>13.212324947150499</v>
      </c>
      <c r="O143" s="24" t="str">
        <f t="shared" si="13"/>
        <v>ND</v>
      </c>
      <c r="P143" s="24" t="str">
        <f t="shared" si="14"/>
        <v>NA</v>
      </c>
      <c r="S143" s="11" t="s">
        <v>14819</v>
      </c>
      <c r="T143" s="20">
        <v>3.0216343399999999</v>
      </c>
      <c r="U143" s="39"/>
    </row>
    <row r="144" spans="1:21" x14ac:dyDescent="0.2">
      <c r="A144" s="24" t="str">
        <f>"mask-1"</f>
        <v>mask-1</v>
      </c>
      <c r="B144" s="24" t="s">
        <v>9512</v>
      </c>
      <c r="C144" s="24" t="s">
        <v>9514</v>
      </c>
      <c r="D144" s="24">
        <v>1.6183827210108599</v>
      </c>
      <c r="E144" s="24">
        <f t="shared" si="10"/>
        <v>3.0703065810141794</v>
      </c>
      <c r="F144" s="24">
        <v>2.78021120965266E-4</v>
      </c>
      <c r="G144" s="24">
        <v>10.693298322541899</v>
      </c>
      <c r="H144" s="24">
        <v>9.8785940519485802</v>
      </c>
      <c r="I144" s="24">
        <v>11.205195578796999</v>
      </c>
      <c r="J144" s="24">
        <f t="shared" si="11"/>
        <v>10.592362651095828</v>
      </c>
      <c r="K144" s="24">
        <v>11.996922699157899</v>
      </c>
      <c r="L144" s="24">
        <v>12.580251115252199</v>
      </c>
      <c r="M144" s="24">
        <v>12.05506230191</v>
      </c>
      <c r="N144" s="24">
        <f t="shared" si="12"/>
        <v>12.2107453721067</v>
      </c>
      <c r="O144" s="24" t="str">
        <f t="shared" si="13"/>
        <v>ND</v>
      </c>
      <c r="P144" s="24" t="str">
        <f t="shared" si="14"/>
        <v>NA</v>
      </c>
      <c r="S144" s="11" t="s">
        <v>7523</v>
      </c>
      <c r="T144" s="20">
        <v>2.9844003699999999</v>
      </c>
      <c r="U144" s="39"/>
    </row>
    <row r="145" spans="1:21" x14ac:dyDescent="0.2">
      <c r="A145" s="16" t="str">
        <f>"haly-1"</f>
        <v>haly-1</v>
      </c>
      <c r="B145" s="16" t="s">
        <v>8814</v>
      </c>
      <c r="C145" s="16" t="s">
        <v>8816</v>
      </c>
      <c r="D145" s="16">
        <v>1.6154650654301801</v>
      </c>
      <c r="E145" s="16">
        <f t="shared" si="10"/>
        <v>3.0641035757287494</v>
      </c>
      <c r="F145" s="16">
        <v>6.9301679570027799E-4</v>
      </c>
      <c r="G145" s="16">
        <v>11.082089749399101</v>
      </c>
      <c r="H145" s="16">
        <v>11.719066979549201</v>
      </c>
      <c r="I145" s="16">
        <v>11.7918116422248</v>
      </c>
      <c r="J145" s="16">
        <f t="shared" si="11"/>
        <v>11.5309894570577</v>
      </c>
      <c r="K145" s="16">
        <v>12.9030850370486</v>
      </c>
      <c r="L145" s="16">
        <v>13.8652200923009</v>
      </c>
      <c r="M145" s="16">
        <v>12.6710584381141</v>
      </c>
      <c r="N145" s="16">
        <f t="shared" si="12"/>
        <v>13.146454522487867</v>
      </c>
      <c r="O145" s="16">
        <f t="shared" si="13"/>
        <v>7.2562335100000004</v>
      </c>
      <c r="P145" s="16">
        <f t="shared" si="14"/>
        <v>0.42227190890508554</v>
      </c>
      <c r="S145" s="11" t="s">
        <v>1972</v>
      </c>
      <c r="T145" s="20">
        <v>2.9604292000000001</v>
      </c>
      <c r="U145" s="39"/>
    </row>
    <row r="146" spans="1:21" x14ac:dyDescent="0.2">
      <c r="A146" s="24" t="str">
        <f>"dbt-1"</f>
        <v>dbt-1</v>
      </c>
      <c r="B146" s="24" t="s">
        <v>10327</v>
      </c>
      <c r="C146" s="24" t="s">
        <v>10329</v>
      </c>
      <c r="D146" s="24">
        <v>1.6109432734790301</v>
      </c>
      <c r="E146" s="24">
        <f t="shared" si="10"/>
        <v>3.0545148905598118</v>
      </c>
      <c r="F146" s="24">
        <v>2.1720532678141499E-4</v>
      </c>
      <c r="G146" s="24">
        <v>15.4520094371713</v>
      </c>
      <c r="H146" s="24">
        <v>15.4012791002719</v>
      </c>
      <c r="I146" s="24">
        <v>15.732668859841899</v>
      </c>
      <c r="J146" s="24">
        <f t="shared" si="11"/>
        <v>15.5286524657617</v>
      </c>
      <c r="K146" s="24">
        <v>16.15834910541</v>
      </c>
      <c r="L146" s="24">
        <v>17.658793045100101</v>
      </c>
      <c r="M146" s="24">
        <v>17.601645067212001</v>
      </c>
      <c r="N146" s="24">
        <f t="shared" si="12"/>
        <v>17.139595739240701</v>
      </c>
      <c r="O146" s="24" t="str">
        <f t="shared" si="13"/>
        <v>ND</v>
      </c>
      <c r="P146" s="24" t="str">
        <f t="shared" si="14"/>
        <v>NA</v>
      </c>
      <c r="S146" s="11" t="s">
        <v>8753</v>
      </c>
      <c r="T146" s="20">
        <v>2.93598567</v>
      </c>
      <c r="U146" s="39"/>
    </row>
    <row r="147" spans="1:21" x14ac:dyDescent="0.2">
      <c r="A147" s="24" t="str">
        <f>"smap-1"</f>
        <v>smap-1</v>
      </c>
      <c r="B147" s="24" t="s">
        <v>3607</v>
      </c>
      <c r="C147" s="24" t="s">
        <v>3609</v>
      </c>
      <c r="D147" s="24">
        <v>1.61001210543483</v>
      </c>
      <c r="E147" s="24">
        <f t="shared" si="10"/>
        <v>3.0525440312467058</v>
      </c>
      <c r="F147" s="29">
        <v>6.8143278145443197E-7</v>
      </c>
      <c r="G147" s="24">
        <v>12.915602510982101</v>
      </c>
      <c r="H147" s="24">
        <v>13.157025960157499</v>
      </c>
      <c r="I147" s="24">
        <v>12.995654712442301</v>
      </c>
      <c r="J147" s="24">
        <f t="shared" si="11"/>
        <v>13.022761061193968</v>
      </c>
      <c r="K147" s="24">
        <v>14.826238299782499</v>
      </c>
      <c r="L147" s="24">
        <v>14.649674669421801</v>
      </c>
      <c r="M147" s="24">
        <v>14.4224065306821</v>
      </c>
      <c r="N147" s="24">
        <f t="shared" si="12"/>
        <v>14.6327731666288</v>
      </c>
      <c r="O147" s="24" t="str">
        <f t="shared" si="13"/>
        <v>ND</v>
      </c>
      <c r="P147" s="24" t="str">
        <f t="shared" si="14"/>
        <v>NA</v>
      </c>
      <c r="S147" s="11" t="s">
        <v>10298</v>
      </c>
      <c r="T147" s="20">
        <v>2.9140060499999998</v>
      </c>
      <c r="U147" s="39"/>
    </row>
    <row r="148" spans="1:21" x14ac:dyDescent="0.2">
      <c r="A148" s="10" t="str">
        <f>"txl-1"</f>
        <v>txl-1</v>
      </c>
      <c r="B148" s="10" t="s">
        <v>1708</v>
      </c>
      <c r="C148" s="10" t="s">
        <v>1710</v>
      </c>
      <c r="D148" s="10">
        <v>1.59552285840015</v>
      </c>
      <c r="E148" s="10">
        <f t="shared" si="10"/>
        <v>3.0220402139262514</v>
      </c>
      <c r="F148" s="10">
        <v>1.28593203154355E-4</v>
      </c>
      <c r="G148" s="10">
        <v>12.018839695545299</v>
      </c>
      <c r="H148" s="10">
        <v>12.742008559831399</v>
      </c>
      <c r="I148" s="10">
        <v>11.239904278333601</v>
      </c>
      <c r="J148" s="10">
        <f t="shared" si="11"/>
        <v>12.000250844570099</v>
      </c>
      <c r="K148" s="10">
        <v>13.762269355815601</v>
      </c>
      <c r="L148" s="10">
        <v>13.800683980793099</v>
      </c>
      <c r="M148" s="10">
        <v>13.2243677723021</v>
      </c>
      <c r="N148" s="10">
        <f t="shared" si="12"/>
        <v>13.595773702970268</v>
      </c>
      <c r="O148" s="10">
        <f t="shared" si="13"/>
        <v>3.4727308099999998</v>
      </c>
      <c r="P148" s="10">
        <f t="shared" si="14"/>
        <v>0.87022011761581131</v>
      </c>
      <c r="S148" s="11" t="s">
        <v>1471</v>
      </c>
      <c r="T148" s="20">
        <v>2.9108313400000001</v>
      </c>
      <c r="U148" s="39"/>
    </row>
    <row r="149" spans="1:21" x14ac:dyDescent="0.2">
      <c r="A149" s="10" t="str">
        <f>"eif-3.j"</f>
        <v>eif-3.j</v>
      </c>
      <c r="B149" s="10" t="s">
        <v>13870</v>
      </c>
      <c r="C149" s="10" t="s">
        <v>13872</v>
      </c>
      <c r="D149" s="10">
        <v>1.5944791364344499</v>
      </c>
      <c r="E149" s="10">
        <f t="shared" si="10"/>
        <v>3.0198547007085965</v>
      </c>
      <c r="F149" s="10">
        <v>4.6043465169079402E-2</v>
      </c>
      <c r="G149" s="10" t="s">
        <v>14849</v>
      </c>
      <c r="H149" s="10" t="s">
        <v>14849</v>
      </c>
      <c r="I149" s="10">
        <v>12.9093909402731</v>
      </c>
      <c r="J149" s="10">
        <f t="shared" si="11"/>
        <v>12.9093909402731</v>
      </c>
      <c r="K149" s="10">
        <v>14.6298305409356</v>
      </c>
      <c r="L149" s="10">
        <v>14.435767786360399</v>
      </c>
      <c r="M149" s="10">
        <v>14.4460119028265</v>
      </c>
      <c r="N149" s="10">
        <f t="shared" si="12"/>
        <v>14.5038700767075</v>
      </c>
      <c r="O149" s="10">
        <f t="shared" si="13"/>
        <v>2.63493887</v>
      </c>
      <c r="P149" s="10">
        <f t="shared" si="14"/>
        <v>1.1460815031009035</v>
      </c>
      <c r="S149" s="11" t="s">
        <v>14820</v>
      </c>
      <c r="T149" s="20">
        <v>2.9063408000000002</v>
      </c>
      <c r="U149" s="39"/>
    </row>
    <row r="150" spans="1:21" x14ac:dyDescent="0.2">
      <c r="A150" s="14" t="str">
        <f>"eef-1B.2"</f>
        <v>eef-1B.2</v>
      </c>
      <c r="B150" s="14" t="s">
        <v>13242</v>
      </c>
      <c r="C150" s="14" t="s">
        <v>13244</v>
      </c>
      <c r="D150" s="14">
        <v>1.5899919854383</v>
      </c>
      <c r="E150" s="14">
        <f t="shared" si="10"/>
        <v>3.0104767707618443</v>
      </c>
      <c r="F150" s="30">
        <v>1.02047457989358E-5</v>
      </c>
      <c r="G150" s="14">
        <v>12.6896394093905</v>
      </c>
      <c r="H150" s="14">
        <v>12.4268030200898</v>
      </c>
      <c r="I150" s="14">
        <v>12.531103317463399</v>
      </c>
      <c r="J150" s="14">
        <f t="shared" si="11"/>
        <v>12.5491819156479</v>
      </c>
      <c r="K150" s="14">
        <v>14.0686369837101</v>
      </c>
      <c r="L150" s="14">
        <v>13.654287620281901</v>
      </c>
      <c r="M150" s="14">
        <v>14.6945970992667</v>
      </c>
      <c r="N150" s="14">
        <f t="shared" si="12"/>
        <v>14.139173901086233</v>
      </c>
      <c r="O150" s="14">
        <f t="shared" si="13"/>
        <v>15.862799600000001</v>
      </c>
      <c r="P150" s="14">
        <f t="shared" si="14"/>
        <v>0.18978218515487291</v>
      </c>
      <c r="S150" s="11" t="s">
        <v>5630</v>
      </c>
      <c r="T150" s="20">
        <v>2.8936961499999998</v>
      </c>
      <c r="U150" s="39"/>
    </row>
    <row r="151" spans="1:21" x14ac:dyDescent="0.2">
      <c r="A151" s="24" t="str">
        <f>"clp-7"</f>
        <v>clp-7</v>
      </c>
      <c r="B151" s="24" t="s">
        <v>12471</v>
      </c>
      <c r="C151" s="24" t="s">
        <v>12473</v>
      </c>
      <c r="D151" s="24">
        <v>1.5880624267282799</v>
      </c>
      <c r="E151" s="24">
        <f t="shared" si="10"/>
        <v>3.0064530452778095</v>
      </c>
      <c r="F151" s="24">
        <v>7.8612062835356998E-4</v>
      </c>
      <c r="G151" s="24">
        <v>11.961174344982</v>
      </c>
      <c r="H151" s="24" t="s">
        <v>14849</v>
      </c>
      <c r="I151" s="24" t="s">
        <v>14849</v>
      </c>
      <c r="J151" s="24">
        <f t="shared" si="11"/>
        <v>11.961174344982</v>
      </c>
      <c r="K151" s="24">
        <v>13.7485050826507</v>
      </c>
      <c r="L151" s="24">
        <v>13.6714087083308</v>
      </c>
      <c r="M151" s="24">
        <v>13.227796524149401</v>
      </c>
      <c r="N151" s="24">
        <f t="shared" si="12"/>
        <v>13.5492367717103</v>
      </c>
      <c r="O151" s="24" t="str">
        <f t="shared" si="13"/>
        <v>ND</v>
      </c>
      <c r="P151" s="24" t="str">
        <f t="shared" si="14"/>
        <v>NA</v>
      </c>
      <c r="S151" s="11" t="s">
        <v>6905</v>
      </c>
      <c r="T151" s="20">
        <v>2.8920846600000001</v>
      </c>
      <c r="U151" s="39"/>
    </row>
    <row r="152" spans="1:21" x14ac:dyDescent="0.2">
      <c r="A152" s="10" t="str">
        <f>"ufd-3"</f>
        <v>ufd-3</v>
      </c>
      <c r="B152" s="10" t="s">
        <v>1704</v>
      </c>
      <c r="C152" s="10" t="s">
        <v>1706</v>
      </c>
      <c r="D152" s="10">
        <v>1.5844915232319401</v>
      </c>
      <c r="E152" s="10">
        <f t="shared" ref="E152:E183" si="15">2^D152</f>
        <v>2.9990207896873171</v>
      </c>
      <c r="F152" s="32">
        <v>1.58640326876501E-6</v>
      </c>
      <c r="G152" s="10">
        <v>12.7102140961687</v>
      </c>
      <c r="H152" s="10">
        <v>12.6811677271367</v>
      </c>
      <c r="I152" s="10">
        <v>12.6025783971059</v>
      </c>
      <c r="J152" s="10">
        <f t="shared" ref="J152:J183" si="16">AVERAGEIF(G152:I152, "&gt;0")</f>
        <v>12.664653406803767</v>
      </c>
      <c r="K152" s="10">
        <v>14.3073848933925</v>
      </c>
      <c r="L152" s="10">
        <v>14.325457816112101</v>
      </c>
      <c r="M152" s="10">
        <v>14.114592080602501</v>
      </c>
      <c r="N152" s="10">
        <f t="shared" si="12"/>
        <v>14.249144930035699</v>
      </c>
      <c r="O152" s="10">
        <f t="shared" si="13"/>
        <v>3.4104602499999999</v>
      </c>
      <c r="P152" s="10">
        <f t="shared" si="14"/>
        <v>0.87935954969342256</v>
      </c>
      <c r="S152" s="10" t="s">
        <v>10913</v>
      </c>
      <c r="T152" s="21">
        <v>2.8898607958470506</v>
      </c>
      <c r="U152" s="40"/>
    </row>
    <row r="153" spans="1:21" x14ac:dyDescent="0.2">
      <c r="A153" s="10" t="str">
        <f>"mbf-1"</f>
        <v>mbf-1</v>
      </c>
      <c r="B153" s="10" t="s">
        <v>13531</v>
      </c>
      <c r="C153" s="10" t="s">
        <v>13533</v>
      </c>
      <c r="D153" s="10">
        <v>1.56534755457139</v>
      </c>
      <c r="E153" s="10">
        <f t="shared" si="15"/>
        <v>2.9594878924111248</v>
      </c>
      <c r="F153" s="10">
        <v>7.3356447735721704E-4</v>
      </c>
      <c r="G153" s="10">
        <v>12.2707352825933</v>
      </c>
      <c r="H153" s="10">
        <v>11.0853303711976</v>
      </c>
      <c r="I153" s="10">
        <v>12.617595264706299</v>
      </c>
      <c r="J153" s="10">
        <f t="shared" si="16"/>
        <v>11.991220306165735</v>
      </c>
      <c r="K153" s="10">
        <v>13.7444521599789</v>
      </c>
      <c r="L153" s="10">
        <v>13.2409423920066</v>
      </c>
      <c r="M153" s="10">
        <v>13.684309030225901</v>
      </c>
      <c r="N153" s="10">
        <f t="shared" si="12"/>
        <v>13.556567860737132</v>
      </c>
      <c r="O153" s="10">
        <f t="shared" si="13"/>
        <v>4.0876309905636603</v>
      </c>
      <c r="P153" s="10">
        <f t="shared" si="14"/>
        <v>0.72401053305524254</v>
      </c>
      <c r="S153" s="11" t="s">
        <v>11309</v>
      </c>
      <c r="T153" s="20">
        <v>2.8844428600000001</v>
      </c>
      <c r="U153" s="39"/>
    </row>
    <row r="154" spans="1:21" x14ac:dyDescent="0.2">
      <c r="A154" s="24" t="str">
        <f>"T24B1.1"</f>
        <v>T24B1.1</v>
      </c>
      <c r="B154" s="24" t="s">
        <v>6136</v>
      </c>
      <c r="C154" s="24" t="s">
        <v>6138</v>
      </c>
      <c r="D154" s="24">
        <v>1.5580012284384299</v>
      </c>
      <c r="E154" s="24">
        <f t="shared" si="15"/>
        <v>2.9444562315063036</v>
      </c>
      <c r="F154" s="24">
        <v>1.3677018830357299E-2</v>
      </c>
      <c r="G154" s="24">
        <v>10.7071110297013</v>
      </c>
      <c r="H154" s="24" t="s">
        <v>14849</v>
      </c>
      <c r="I154" s="24" t="s">
        <v>14849</v>
      </c>
      <c r="J154" s="24">
        <f t="shared" si="16"/>
        <v>10.7071110297013</v>
      </c>
      <c r="K154" s="24">
        <v>12.4035084590538</v>
      </c>
      <c r="L154" s="24">
        <v>12.2384286332999</v>
      </c>
      <c r="M154" s="24">
        <v>12.1533996820654</v>
      </c>
      <c r="N154" s="24">
        <f t="shared" si="12"/>
        <v>12.2651122581397</v>
      </c>
      <c r="O154" s="24" t="str">
        <f t="shared" si="13"/>
        <v>ND</v>
      </c>
      <c r="P154" s="24" t="str">
        <f t="shared" si="14"/>
        <v>NA</v>
      </c>
      <c r="S154" s="11" t="s">
        <v>1299</v>
      </c>
      <c r="T154" s="20">
        <v>2.8723567499999998</v>
      </c>
      <c r="U154" s="39"/>
    </row>
    <row r="155" spans="1:21" x14ac:dyDescent="0.2">
      <c r="A155" s="24" t="str">
        <f>"lec-1"</f>
        <v>lec-1</v>
      </c>
      <c r="B155" s="24" t="s">
        <v>5461</v>
      </c>
      <c r="C155" s="24" t="s">
        <v>5463</v>
      </c>
      <c r="D155" s="24">
        <v>1.5507927204974601</v>
      </c>
      <c r="E155" s="24">
        <f t="shared" si="15"/>
        <v>2.9297807821341788</v>
      </c>
      <c r="F155" s="24">
        <v>5.0814469066709101E-3</v>
      </c>
      <c r="G155" s="24">
        <v>12.777948663475399</v>
      </c>
      <c r="H155" s="24">
        <v>12.701584177042699</v>
      </c>
      <c r="I155" s="24">
        <v>13.1993468937816</v>
      </c>
      <c r="J155" s="24">
        <f t="shared" si="16"/>
        <v>12.892959911433232</v>
      </c>
      <c r="K155" s="24">
        <v>14.3233935081309</v>
      </c>
      <c r="L155" s="24">
        <v>13.5104967860974</v>
      </c>
      <c r="M155" s="24">
        <v>15.497367601563701</v>
      </c>
      <c r="N155" s="24">
        <f t="shared" si="12"/>
        <v>14.443752631930666</v>
      </c>
      <c r="O155" s="24" t="str">
        <f t="shared" si="13"/>
        <v>ND</v>
      </c>
      <c r="P155" s="24" t="str">
        <f t="shared" si="14"/>
        <v>NA</v>
      </c>
      <c r="S155" s="11" t="s">
        <v>11585</v>
      </c>
      <c r="T155" s="20">
        <v>2.85350839</v>
      </c>
      <c r="U155" s="39"/>
    </row>
    <row r="156" spans="1:21" x14ac:dyDescent="0.2">
      <c r="A156" s="10" t="str">
        <f>"sma-1"</f>
        <v>sma-1</v>
      </c>
      <c r="B156" s="10" t="s">
        <v>1971</v>
      </c>
      <c r="C156" s="10" t="s">
        <v>810</v>
      </c>
      <c r="D156" s="10">
        <v>1.53810828476203</v>
      </c>
      <c r="E156" s="10">
        <f t="shared" si="15"/>
        <v>2.9041345280588011</v>
      </c>
      <c r="F156" s="10">
        <v>6.0767178985730505E-4</v>
      </c>
      <c r="G156" s="10">
        <v>12.552601899764401</v>
      </c>
      <c r="H156" s="10">
        <v>12.7728096190092</v>
      </c>
      <c r="I156" s="10">
        <v>13.0319269199864</v>
      </c>
      <c r="J156" s="10">
        <f t="shared" si="16"/>
        <v>12.785779479586665</v>
      </c>
      <c r="K156" s="10">
        <v>14.2080773044626</v>
      </c>
      <c r="L156" s="10">
        <v>14.4213647603193</v>
      </c>
      <c r="M156" s="10">
        <v>14.342221228264201</v>
      </c>
      <c r="N156" s="10">
        <f t="shared" si="12"/>
        <v>14.323887764348699</v>
      </c>
      <c r="O156" s="10">
        <f t="shared" si="13"/>
        <v>2.9604292000000001</v>
      </c>
      <c r="P156" s="10">
        <f t="shared" si="14"/>
        <v>0.98098428702797591</v>
      </c>
      <c r="S156" s="11" t="s">
        <v>5622</v>
      </c>
      <c r="T156" s="20">
        <v>2.8418008499999998</v>
      </c>
      <c r="U156" s="39"/>
    </row>
    <row r="157" spans="1:21" x14ac:dyDescent="0.2">
      <c r="A157" s="24" t="str">
        <f>"rle-1"</f>
        <v>rle-1</v>
      </c>
      <c r="B157" s="24" t="s">
        <v>4227</v>
      </c>
      <c r="C157" s="24" t="s">
        <v>4229</v>
      </c>
      <c r="D157" s="24">
        <v>1.52883625457231</v>
      </c>
      <c r="E157" s="24">
        <f t="shared" si="15"/>
        <v>2.8855298484177503</v>
      </c>
      <c r="F157" s="24">
        <v>2.0712179790121101E-2</v>
      </c>
      <c r="G157" s="24" t="s">
        <v>14849</v>
      </c>
      <c r="H157" s="24" t="s">
        <v>14849</v>
      </c>
      <c r="I157" s="24">
        <v>9.6831430153441698</v>
      </c>
      <c r="J157" s="24">
        <f t="shared" si="16"/>
        <v>9.6831430153441698</v>
      </c>
      <c r="K157" s="24">
        <v>10.076695571340499</v>
      </c>
      <c r="L157" s="24">
        <v>11.644307735410599</v>
      </c>
      <c r="M157" s="24">
        <v>11.9149345029983</v>
      </c>
      <c r="N157" s="24">
        <f t="shared" si="12"/>
        <v>11.211979269916467</v>
      </c>
      <c r="O157" s="24" t="str">
        <f t="shared" si="13"/>
        <v>ND</v>
      </c>
      <c r="P157" s="24" t="str">
        <f t="shared" si="14"/>
        <v>NA</v>
      </c>
      <c r="S157" s="11" t="s">
        <v>4439</v>
      </c>
      <c r="T157" s="20">
        <v>2.83839576</v>
      </c>
      <c r="U157" s="39"/>
    </row>
    <row r="158" spans="1:21" x14ac:dyDescent="0.2">
      <c r="A158" s="24" t="str">
        <f>"gakh-1"</f>
        <v>gakh-1</v>
      </c>
      <c r="B158" s="24" t="s">
        <v>8803</v>
      </c>
      <c r="C158" s="24" t="s">
        <v>323</v>
      </c>
      <c r="D158" s="24">
        <v>1.5201292435779801</v>
      </c>
      <c r="E158" s="24">
        <f t="shared" si="15"/>
        <v>2.8681674287905086</v>
      </c>
      <c r="F158" s="29">
        <v>9.1753516640437395E-5</v>
      </c>
      <c r="G158" s="24">
        <v>10.996683621467</v>
      </c>
      <c r="H158" s="24">
        <v>10.907850042309899</v>
      </c>
      <c r="I158" s="24">
        <v>11.100535440992701</v>
      </c>
      <c r="J158" s="24">
        <f t="shared" si="16"/>
        <v>11.001689701589868</v>
      </c>
      <c r="K158" s="24">
        <v>12.5752689547625</v>
      </c>
      <c r="L158" s="24">
        <v>12.8210694469975</v>
      </c>
      <c r="M158" s="24">
        <v>12.1691184337436</v>
      </c>
      <c r="N158" s="24">
        <f t="shared" si="12"/>
        <v>12.521818945167865</v>
      </c>
      <c r="O158" s="24" t="str">
        <f t="shared" si="13"/>
        <v>ND</v>
      </c>
      <c r="P158" s="24" t="str">
        <f t="shared" si="14"/>
        <v>NA</v>
      </c>
      <c r="S158" s="11" t="s">
        <v>13488</v>
      </c>
      <c r="T158" s="20">
        <v>2.8256087999999999</v>
      </c>
      <c r="U158" s="39"/>
    </row>
    <row r="159" spans="1:21" x14ac:dyDescent="0.2">
      <c r="A159" s="10" t="str">
        <f>"usp-5"</f>
        <v>usp-5</v>
      </c>
      <c r="B159" s="10" t="s">
        <v>414</v>
      </c>
      <c r="C159" s="10" t="s">
        <v>416</v>
      </c>
      <c r="D159" s="10">
        <v>1.5168298344350899</v>
      </c>
      <c r="E159" s="10">
        <f t="shared" si="15"/>
        <v>2.861615493217136</v>
      </c>
      <c r="F159" s="10">
        <v>5.4611802487430103E-4</v>
      </c>
      <c r="G159" s="10">
        <v>10.599355728830901</v>
      </c>
      <c r="H159" s="10" t="s">
        <v>14849</v>
      </c>
      <c r="I159" s="10">
        <v>11.7055309883216</v>
      </c>
      <c r="J159" s="10">
        <f t="shared" si="16"/>
        <v>11.152443358576249</v>
      </c>
      <c r="K159" s="10">
        <v>12.7963492259044</v>
      </c>
      <c r="L159" s="10">
        <v>12.48523691606</v>
      </c>
      <c r="M159" s="10">
        <v>12.726233437069601</v>
      </c>
      <c r="N159" s="10">
        <f t="shared" si="12"/>
        <v>12.669273193011334</v>
      </c>
      <c r="O159" s="10">
        <f t="shared" si="13"/>
        <v>2.15698086</v>
      </c>
      <c r="P159" s="10">
        <f t="shared" si="14"/>
        <v>1.3266763494679947</v>
      </c>
      <c r="S159" s="11" t="s">
        <v>14821</v>
      </c>
      <c r="T159" s="20">
        <v>2.8244664199999998</v>
      </c>
      <c r="U159" s="39"/>
    </row>
    <row r="160" spans="1:21" x14ac:dyDescent="0.2">
      <c r="A160" s="10" t="str">
        <f>"unc-57"</f>
        <v>unc-57</v>
      </c>
      <c r="B160" s="10" t="s">
        <v>623</v>
      </c>
      <c r="C160" s="10" t="s">
        <v>625</v>
      </c>
      <c r="D160" s="10">
        <v>1.5123264733155</v>
      </c>
      <c r="E160" s="10">
        <f t="shared" si="15"/>
        <v>2.8526969100524076</v>
      </c>
      <c r="F160" s="10">
        <v>1.9833642355078E-2</v>
      </c>
      <c r="G160" s="10">
        <v>14.174044119574599</v>
      </c>
      <c r="H160" s="10">
        <v>11.180074259500801</v>
      </c>
      <c r="I160" s="10">
        <v>11.9036152343092</v>
      </c>
      <c r="J160" s="10">
        <f t="shared" si="16"/>
        <v>12.419244537794867</v>
      </c>
      <c r="K160" s="10">
        <v>14.370920983192599</v>
      </c>
      <c r="L160" s="10">
        <v>13.7045690005179</v>
      </c>
      <c r="M160" s="10">
        <v>13.719223049620499</v>
      </c>
      <c r="N160" s="10">
        <f t="shared" si="12"/>
        <v>13.93157101111033</v>
      </c>
      <c r="O160" s="10">
        <f t="shared" si="13"/>
        <v>3.6879316499999999</v>
      </c>
      <c r="P160" s="10">
        <f t="shared" si="14"/>
        <v>0.77352217469985041</v>
      </c>
      <c r="S160" s="11" t="s">
        <v>1146</v>
      </c>
      <c r="T160" s="20">
        <v>2.8244629099999998</v>
      </c>
      <c r="U160" s="39"/>
    </row>
    <row r="161" spans="1:21" x14ac:dyDescent="0.2">
      <c r="A161" s="24" t="str">
        <f>"pck-1"</f>
        <v>pck-1</v>
      </c>
      <c r="B161" s="24" t="s">
        <v>3906</v>
      </c>
      <c r="C161" s="24" t="s">
        <v>3079</v>
      </c>
      <c r="D161" s="24">
        <v>1.5121088448568301</v>
      </c>
      <c r="E161" s="24">
        <f t="shared" si="15"/>
        <v>2.8522666173080351</v>
      </c>
      <c r="F161" s="29">
        <v>2.4074793627652901E-7</v>
      </c>
      <c r="G161" s="24">
        <v>13.0937306161621</v>
      </c>
      <c r="H161" s="24">
        <v>13.016597323665099</v>
      </c>
      <c r="I161" s="24">
        <v>13.092986790629499</v>
      </c>
      <c r="J161" s="24">
        <f t="shared" si="16"/>
        <v>13.067771576818899</v>
      </c>
      <c r="K161" s="24">
        <v>14.443781887679901</v>
      </c>
      <c r="L161" s="24">
        <v>14.419418371467399</v>
      </c>
      <c r="M161" s="24">
        <v>14.876441005879901</v>
      </c>
      <c r="N161" s="24">
        <f t="shared" si="12"/>
        <v>14.579880421675734</v>
      </c>
      <c r="O161" s="24" t="str">
        <f t="shared" si="13"/>
        <v>ND</v>
      </c>
      <c r="P161" s="24" t="str">
        <f t="shared" si="14"/>
        <v>NA</v>
      </c>
      <c r="S161" s="11" t="s">
        <v>14822</v>
      </c>
      <c r="T161" s="20">
        <v>2.824373</v>
      </c>
      <c r="U161" s="39"/>
    </row>
    <row r="162" spans="1:21" x14ac:dyDescent="0.2">
      <c r="A162" s="24" t="str">
        <f>"golg-4"</f>
        <v>golg-4</v>
      </c>
      <c r="B162" s="24" t="s">
        <v>280</v>
      </c>
      <c r="C162" s="24" t="s">
        <v>282</v>
      </c>
      <c r="D162" s="24">
        <v>1.50622032043364</v>
      </c>
      <c r="E162" s="24">
        <f t="shared" si="15"/>
        <v>2.8406484921424973</v>
      </c>
      <c r="F162" s="24">
        <v>1.079670027819E-2</v>
      </c>
      <c r="G162" s="24" t="s">
        <v>14849</v>
      </c>
      <c r="H162" s="24" t="s">
        <v>14849</v>
      </c>
      <c r="I162" s="24">
        <v>11.7186021239142</v>
      </c>
      <c r="J162" s="24">
        <f t="shared" si="16"/>
        <v>11.7186021239142</v>
      </c>
      <c r="K162" s="24">
        <v>13.412801787361101</v>
      </c>
      <c r="L162" s="24">
        <v>13.3946628351248</v>
      </c>
      <c r="M162" s="24">
        <v>12.867002710557699</v>
      </c>
      <c r="N162" s="24">
        <f t="shared" si="12"/>
        <v>13.224822444347867</v>
      </c>
      <c r="O162" s="24" t="str">
        <f t="shared" si="13"/>
        <v>ND</v>
      </c>
      <c r="P162" s="24" t="str">
        <f t="shared" si="14"/>
        <v>NA</v>
      </c>
      <c r="S162" s="11" t="s">
        <v>14823</v>
      </c>
      <c r="T162" s="20">
        <v>2.7984265100000001</v>
      </c>
      <c r="U162" s="39"/>
    </row>
    <row r="163" spans="1:21" x14ac:dyDescent="0.2">
      <c r="A163" s="10" t="str">
        <f>"icd-1"</f>
        <v>icd-1</v>
      </c>
      <c r="B163" s="10" t="s">
        <v>7986</v>
      </c>
      <c r="C163" s="10" t="s">
        <v>7988</v>
      </c>
      <c r="D163" s="10">
        <v>1.50134026184778</v>
      </c>
      <c r="E163" s="10">
        <f t="shared" si="15"/>
        <v>2.8310559508264914</v>
      </c>
      <c r="F163" s="10">
        <v>6.4495753337469996E-3</v>
      </c>
      <c r="G163" s="10">
        <v>10.971345158400601</v>
      </c>
      <c r="H163" s="10">
        <v>12.3330689177018</v>
      </c>
      <c r="I163" s="10">
        <v>12.990161993270601</v>
      </c>
      <c r="J163" s="10">
        <f t="shared" si="16"/>
        <v>12.098192023124334</v>
      </c>
      <c r="K163" s="10">
        <v>13.272076378245499</v>
      </c>
      <c r="L163" s="10">
        <v>13.0257326971049</v>
      </c>
      <c r="M163" s="10">
        <v>14.500787779566</v>
      </c>
      <c r="N163" s="10">
        <f t="shared" si="12"/>
        <v>13.599532284972133</v>
      </c>
      <c r="O163" s="10">
        <f t="shared" si="13"/>
        <v>4.1515668901613356</v>
      </c>
      <c r="P163" s="10">
        <f t="shared" si="14"/>
        <v>0.6819246866853379</v>
      </c>
      <c r="S163" s="10" t="s">
        <v>11371</v>
      </c>
      <c r="T163" s="20">
        <v>2.7911792396759152</v>
      </c>
      <c r="U163" s="39"/>
    </row>
    <row r="164" spans="1:21" x14ac:dyDescent="0.2">
      <c r="A164" s="24" t="str">
        <f>"let-805"</f>
        <v>let-805</v>
      </c>
      <c r="B164" s="24" t="s">
        <v>13484</v>
      </c>
      <c r="C164" s="24" t="s">
        <v>297</v>
      </c>
      <c r="D164" s="24">
        <v>1.44700495592807</v>
      </c>
      <c r="E164" s="24">
        <f t="shared" si="15"/>
        <v>2.726414580294402</v>
      </c>
      <c r="F164" s="29">
        <v>5.1568235945793697E-5</v>
      </c>
      <c r="G164" s="24">
        <v>14.348509767977999</v>
      </c>
      <c r="H164" s="24">
        <v>14.38411895041</v>
      </c>
      <c r="I164" s="24">
        <v>14.9965314538996</v>
      </c>
      <c r="J164" s="24">
        <f t="shared" si="16"/>
        <v>14.576386724095867</v>
      </c>
      <c r="K164" s="24">
        <v>16.211438163179501</v>
      </c>
      <c r="L164" s="24">
        <v>15.679113449487</v>
      </c>
      <c r="M164" s="24">
        <v>16.1796234274053</v>
      </c>
      <c r="N164" s="24">
        <f t="shared" si="12"/>
        <v>16.023391680023934</v>
      </c>
      <c r="O164" s="24" t="str">
        <f t="shared" si="13"/>
        <v>ND</v>
      </c>
      <c r="P164" s="24" t="str">
        <f t="shared" si="14"/>
        <v>NA</v>
      </c>
      <c r="S164" s="10" t="s">
        <v>1670</v>
      </c>
      <c r="T164" s="20">
        <v>2.7583972946551407</v>
      </c>
      <c r="U164" s="39"/>
    </row>
    <row r="165" spans="1:21" x14ac:dyDescent="0.2">
      <c r="A165" s="24" t="str">
        <f>"flu-2"</f>
        <v>flu-2</v>
      </c>
      <c r="B165" s="24" t="s">
        <v>7605</v>
      </c>
      <c r="C165" s="24" t="s">
        <v>7607</v>
      </c>
      <c r="D165" s="24">
        <v>1.44692783534043</v>
      </c>
      <c r="E165" s="24">
        <f t="shared" si="15"/>
        <v>2.7262688411958189</v>
      </c>
      <c r="F165" s="24">
        <v>1.09856667379088E-4</v>
      </c>
      <c r="G165" s="24">
        <v>11.141284353545499</v>
      </c>
      <c r="H165" s="24">
        <v>10.290348927629401</v>
      </c>
      <c r="I165" s="24">
        <v>11.9000913725729</v>
      </c>
      <c r="J165" s="24">
        <f t="shared" si="16"/>
        <v>11.110574884582599</v>
      </c>
      <c r="K165" s="24">
        <v>12.458239592823899</v>
      </c>
      <c r="L165" s="24">
        <v>12.6283466627654</v>
      </c>
      <c r="M165" s="24">
        <v>12.585921904179701</v>
      </c>
      <c r="N165" s="24">
        <f t="shared" si="12"/>
        <v>12.557502719923001</v>
      </c>
      <c r="O165" s="24" t="str">
        <f t="shared" si="13"/>
        <v>ND</v>
      </c>
      <c r="P165" s="24" t="str">
        <f t="shared" si="14"/>
        <v>NA</v>
      </c>
      <c r="S165" s="11" t="s">
        <v>12210</v>
      </c>
      <c r="T165" s="20">
        <v>2.7508854500000002</v>
      </c>
      <c r="U165" s="39"/>
    </row>
    <row r="166" spans="1:21" x14ac:dyDescent="0.2">
      <c r="A166" s="10" t="str">
        <f>"VF13D12L.3"</f>
        <v>VF13D12L.3</v>
      </c>
      <c r="B166" s="10" t="s">
        <v>1516</v>
      </c>
      <c r="C166" s="10" t="s">
        <v>1454</v>
      </c>
      <c r="D166" s="10">
        <v>1.4176524081700601</v>
      </c>
      <c r="E166" s="10">
        <f t="shared" si="15"/>
        <v>2.6715044275378022</v>
      </c>
      <c r="F166" s="10">
        <v>3.8338156326234697E-2</v>
      </c>
      <c r="G166" s="10">
        <v>13.707022649868399</v>
      </c>
      <c r="H166" s="10" t="s">
        <v>14849</v>
      </c>
      <c r="I166" s="10">
        <v>11.018879925232801</v>
      </c>
      <c r="J166" s="10">
        <f t="shared" si="16"/>
        <v>12.362951287550601</v>
      </c>
      <c r="K166" s="10">
        <v>13.973994582046</v>
      </c>
      <c r="L166" s="10">
        <v>14.2736757686261</v>
      </c>
      <c r="M166" s="10">
        <v>13.0941407364899</v>
      </c>
      <c r="N166" s="10">
        <f t="shared" si="12"/>
        <v>13.780603695720666</v>
      </c>
      <c r="O166" s="10">
        <f t="shared" si="13"/>
        <v>2.17545952</v>
      </c>
      <c r="P166" s="10">
        <f t="shared" si="14"/>
        <v>1.2280184498849247</v>
      </c>
      <c r="S166" s="11" t="s">
        <v>10728</v>
      </c>
      <c r="T166" s="20">
        <v>2.7414156099999998</v>
      </c>
      <c r="U166" s="39"/>
    </row>
    <row r="167" spans="1:21" x14ac:dyDescent="0.2">
      <c r="A167" s="24" t="str">
        <f>"sodh-1"</f>
        <v>sodh-1</v>
      </c>
      <c r="B167" s="24" t="s">
        <v>7208</v>
      </c>
      <c r="C167" s="24" t="s">
        <v>7210</v>
      </c>
      <c r="D167" s="24">
        <v>1.4123863868703801</v>
      </c>
      <c r="E167" s="24">
        <f t="shared" si="15"/>
        <v>2.6617708700860003</v>
      </c>
      <c r="F167" s="24">
        <v>6.8250272480362504E-3</v>
      </c>
      <c r="G167" s="24">
        <v>15.390750124306599</v>
      </c>
      <c r="H167" s="24">
        <v>16.145588328132401</v>
      </c>
      <c r="I167" s="24">
        <v>14.028495461305599</v>
      </c>
      <c r="J167" s="24">
        <f t="shared" si="16"/>
        <v>15.188277971248199</v>
      </c>
      <c r="K167" s="24">
        <v>16.1898086072243</v>
      </c>
      <c r="L167" s="24">
        <v>16.5438592521126</v>
      </c>
      <c r="M167" s="24">
        <v>17.068325215018799</v>
      </c>
      <c r="N167" s="24">
        <f t="shared" si="12"/>
        <v>16.600664358118568</v>
      </c>
      <c r="O167" s="24" t="str">
        <f t="shared" si="13"/>
        <v>ND</v>
      </c>
      <c r="P167" s="24" t="str">
        <f t="shared" si="14"/>
        <v>NA</v>
      </c>
      <c r="S167" s="10" t="s">
        <v>14164</v>
      </c>
      <c r="T167" s="21">
        <v>2.7286739180665229</v>
      </c>
      <c r="U167" s="40"/>
    </row>
    <row r="168" spans="1:21" x14ac:dyDescent="0.2">
      <c r="A168" s="24" t="str">
        <f>"R09E10.5"</f>
        <v>R09E10.5</v>
      </c>
      <c r="B168" s="24" t="s">
        <v>9478</v>
      </c>
      <c r="C168" s="24" t="s">
        <v>9480</v>
      </c>
      <c r="D168" s="24">
        <v>1.40159251715794</v>
      </c>
      <c r="E168" s="24">
        <f t="shared" si="15"/>
        <v>2.6419305043241299</v>
      </c>
      <c r="F168" s="24">
        <v>1.35255807684869E-3</v>
      </c>
      <c r="G168" s="24">
        <v>12.261454430515901</v>
      </c>
      <c r="H168" s="24">
        <v>12.718548400893599</v>
      </c>
      <c r="I168" s="24">
        <v>12.9820640998117</v>
      </c>
      <c r="J168" s="24">
        <f t="shared" si="16"/>
        <v>12.654022310407067</v>
      </c>
      <c r="K168" s="24">
        <v>14.0202449103731</v>
      </c>
      <c r="L168" s="24">
        <v>13.886840497760801</v>
      </c>
      <c r="M168" s="24">
        <v>14.259759074561099</v>
      </c>
      <c r="N168" s="24">
        <f t="shared" si="12"/>
        <v>14.055614827565</v>
      </c>
      <c r="O168" s="24" t="str">
        <f t="shared" si="13"/>
        <v>ND</v>
      </c>
      <c r="P168" s="24" t="str">
        <f t="shared" si="14"/>
        <v>NA</v>
      </c>
      <c r="S168" s="11" t="s">
        <v>14178</v>
      </c>
      <c r="T168" s="20">
        <v>2.7277159700000002</v>
      </c>
      <c r="U168" s="39"/>
    </row>
    <row r="169" spans="1:21" x14ac:dyDescent="0.2">
      <c r="A169" s="24" t="str">
        <f>"patr-1"</f>
        <v>patr-1</v>
      </c>
      <c r="B169" s="24" t="s">
        <v>8760</v>
      </c>
      <c r="C169" s="24" t="s">
        <v>8762</v>
      </c>
      <c r="D169" s="24">
        <v>1.3681080744854399</v>
      </c>
      <c r="E169" s="24">
        <f t="shared" si="15"/>
        <v>2.5813183441542429</v>
      </c>
      <c r="F169" s="29">
        <v>2.91562959460499E-6</v>
      </c>
      <c r="G169" s="24">
        <v>14.010181173393001</v>
      </c>
      <c r="H169" s="24">
        <v>14.0970307779368</v>
      </c>
      <c r="I169" s="24">
        <v>13.7389172047664</v>
      </c>
      <c r="J169" s="24">
        <f t="shared" si="16"/>
        <v>13.948709718698735</v>
      </c>
      <c r="K169" s="24">
        <v>15.4651490170023</v>
      </c>
      <c r="L169" s="24">
        <v>15.4508670797967</v>
      </c>
      <c r="M169" s="24">
        <v>15.0344372827534</v>
      </c>
      <c r="N169" s="24">
        <f t="shared" si="12"/>
        <v>15.316817793184134</v>
      </c>
      <c r="O169" s="24" t="str">
        <f t="shared" si="13"/>
        <v>ND</v>
      </c>
      <c r="P169" s="24" t="str">
        <f t="shared" si="14"/>
        <v>NA</v>
      </c>
      <c r="S169" s="11" t="s">
        <v>13036</v>
      </c>
      <c r="T169" s="20">
        <v>2.7237521500000001</v>
      </c>
      <c r="U169" s="39"/>
    </row>
    <row r="170" spans="1:21" x14ac:dyDescent="0.2">
      <c r="A170" s="10" t="str">
        <f>"vha-12"</f>
        <v>vha-12</v>
      </c>
      <c r="B170" s="10" t="s">
        <v>8352</v>
      </c>
      <c r="C170" s="10" t="s">
        <v>8354</v>
      </c>
      <c r="D170" s="10">
        <v>1.36679437960749</v>
      </c>
      <c r="E170" s="10">
        <f t="shared" si="15"/>
        <v>2.578968907069433</v>
      </c>
      <c r="F170" s="32">
        <v>1.38848003149027E-5</v>
      </c>
      <c r="G170" s="10">
        <v>14.7498243439261</v>
      </c>
      <c r="H170" s="10">
        <v>14.7225572743531</v>
      </c>
      <c r="I170" s="10">
        <v>14.951628725478001</v>
      </c>
      <c r="J170" s="10">
        <f t="shared" si="16"/>
        <v>14.808003447919068</v>
      </c>
      <c r="K170" s="10">
        <v>15.762184906627001</v>
      </c>
      <c r="L170" s="10">
        <v>15.898105921528</v>
      </c>
      <c r="M170" s="10">
        <v>16.864102654424698</v>
      </c>
      <c r="N170" s="10">
        <f t="shared" si="12"/>
        <v>16.174797827526564</v>
      </c>
      <c r="O170" s="10">
        <f t="shared" si="13"/>
        <v>2.6655700100000002</v>
      </c>
      <c r="P170" s="10">
        <f t="shared" si="14"/>
        <v>0.96751122551436297</v>
      </c>
      <c r="S170" s="11" t="s">
        <v>14824</v>
      </c>
      <c r="T170" s="20">
        <v>2.7062234200000002</v>
      </c>
      <c r="U170" s="39"/>
    </row>
    <row r="171" spans="1:21" x14ac:dyDescent="0.2">
      <c r="A171" s="24" t="str">
        <f>"frm-5.1"</f>
        <v>frm-5.1</v>
      </c>
      <c r="B171" s="24" t="s">
        <v>448</v>
      </c>
      <c r="C171" s="24" t="s">
        <v>450</v>
      </c>
      <c r="D171" s="24">
        <v>1.35498406585627</v>
      </c>
      <c r="E171" s="24">
        <f t="shared" si="15"/>
        <v>2.5579429106693787</v>
      </c>
      <c r="F171" s="29">
        <v>3.47935920875432E-6</v>
      </c>
      <c r="G171" s="24">
        <v>10.9647975226712</v>
      </c>
      <c r="H171" s="24">
        <v>11.1260795649222</v>
      </c>
      <c r="I171" s="24">
        <v>10.9534852560286</v>
      </c>
      <c r="J171" s="24">
        <f t="shared" si="16"/>
        <v>11.014787447873999</v>
      </c>
      <c r="K171" s="24">
        <v>12.5353646404592</v>
      </c>
      <c r="L171" s="24">
        <v>12.3798141359408</v>
      </c>
      <c r="M171" s="24">
        <v>12.194135764790801</v>
      </c>
      <c r="N171" s="24">
        <f t="shared" si="12"/>
        <v>12.369771513730266</v>
      </c>
      <c r="O171" s="24" t="str">
        <f t="shared" si="13"/>
        <v>ND</v>
      </c>
      <c r="P171" s="24" t="str">
        <f t="shared" si="14"/>
        <v>NA</v>
      </c>
      <c r="S171" s="11" t="s">
        <v>3478</v>
      </c>
      <c r="T171" s="20">
        <v>2.6950409099999999</v>
      </c>
      <c r="U171" s="39"/>
    </row>
    <row r="172" spans="1:21" x14ac:dyDescent="0.2">
      <c r="A172" s="24" t="str">
        <f>"ark-1"</f>
        <v>ark-1</v>
      </c>
      <c r="B172" s="24" t="s">
        <v>1061</v>
      </c>
      <c r="C172" s="24" t="s">
        <v>1063</v>
      </c>
      <c r="D172" s="24">
        <v>1.3456219880785401</v>
      </c>
      <c r="E172" s="24">
        <f t="shared" si="15"/>
        <v>2.5413973997623582</v>
      </c>
      <c r="F172" s="24">
        <v>2.9155218734817699E-3</v>
      </c>
      <c r="G172" s="24">
        <v>12.035233816597</v>
      </c>
      <c r="H172" s="24">
        <v>10.850001171099599</v>
      </c>
      <c r="I172" s="24">
        <v>12.7327167357912</v>
      </c>
      <c r="J172" s="24">
        <f t="shared" si="16"/>
        <v>11.872650574495934</v>
      </c>
      <c r="K172" s="24">
        <v>13.1267966258442</v>
      </c>
      <c r="L172" s="24">
        <v>13.0873923712891</v>
      </c>
      <c r="M172" s="24">
        <v>13.4406286905902</v>
      </c>
      <c r="N172" s="24">
        <f t="shared" si="12"/>
        <v>13.2182725625745</v>
      </c>
      <c r="O172" s="24" t="str">
        <f t="shared" si="13"/>
        <v>ND</v>
      </c>
      <c r="P172" s="24" t="str">
        <f t="shared" si="14"/>
        <v>NA</v>
      </c>
      <c r="S172" s="10" t="s">
        <v>14825</v>
      </c>
      <c r="T172" s="20">
        <v>2.6926505093943405</v>
      </c>
      <c r="U172" s="39"/>
    </row>
    <row r="173" spans="1:21" x14ac:dyDescent="0.2">
      <c r="A173" s="10" t="str">
        <f>"C06E1.9"</f>
        <v>C06E1.9</v>
      </c>
      <c r="B173" s="10" t="s">
        <v>4966</v>
      </c>
      <c r="C173" s="10" t="s">
        <v>4968</v>
      </c>
      <c r="D173" s="10">
        <v>1.33006515982601</v>
      </c>
      <c r="E173" s="10">
        <f t="shared" si="15"/>
        <v>2.5141402985051249</v>
      </c>
      <c r="F173" s="10">
        <v>4.4652042370749902E-3</v>
      </c>
      <c r="G173" s="10">
        <v>11.7393527910255</v>
      </c>
      <c r="H173" s="10">
        <v>11.075651578170399</v>
      </c>
      <c r="I173" s="10" t="s">
        <v>14849</v>
      </c>
      <c r="J173" s="10">
        <f t="shared" si="16"/>
        <v>11.407502184597949</v>
      </c>
      <c r="K173" s="10">
        <v>12.3484121639833</v>
      </c>
      <c r="L173" s="10">
        <v>13.0844514235558</v>
      </c>
      <c r="M173" s="10">
        <v>12.7798384457328</v>
      </c>
      <c r="N173" s="10">
        <f t="shared" si="12"/>
        <v>12.737567344423965</v>
      </c>
      <c r="O173" s="10">
        <f t="shared" si="13"/>
        <v>4.0339140586133171</v>
      </c>
      <c r="P173" s="10">
        <f t="shared" si="14"/>
        <v>0.62325083330341846</v>
      </c>
      <c r="S173" s="11" t="s">
        <v>9998</v>
      </c>
      <c r="T173" s="20">
        <v>2.6827469499999999</v>
      </c>
      <c r="U173" s="39"/>
    </row>
    <row r="174" spans="1:21" x14ac:dyDescent="0.2">
      <c r="A174" s="24" t="str">
        <f>"F36A2.3"</f>
        <v>F36A2.3</v>
      </c>
      <c r="B174" s="24" t="s">
        <v>1453</v>
      </c>
      <c r="C174" s="24" t="s">
        <v>1454</v>
      </c>
      <c r="D174" s="24">
        <v>1.3182423622542401</v>
      </c>
      <c r="E174" s="24">
        <f t="shared" si="15"/>
        <v>2.4936212635669959</v>
      </c>
      <c r="F174" s="24">
        <v>1.1116028005605299E-3</v>
      </c>
      <c r="G174" s="24">
        <v>12.8446897951167</v>
      </c>
      <c r="H174" s="24">
        <v>11.5880551726987</v>
      </c>
      <c r="I174" s="24">
        <v>12.0966588820519</v>
      </c>
      <c r="J174" s="24">
        <f t="shared" si="16"/>
        <v>12.176467949955766</v>
      </c>
      <c r="K174" s="24">
        <v>13.672726297335</v>
      </c>
      <c r="L174" s="24">
        <v>13.399538494582901</v>
      </c>
      <c r="M174" s="24">
        <v>13.411866144712</v>
      </c>
      <c r="N174" s="24">
        <f t="shared" si="12"/>
        <v>13.494710312209968</v>
      </c>
      <c r="O174" s="24" t="str">
        <f t="shared" si="13"/>
        <v>ND</v>
      </c>
      <c r="P174" s="24" t="str">
        <f t="shared" si="14"/>
        <v>NA</v>
      </c>
      <c r="S174" s="10" t="s">
        <v>7499</v>
      </c>
      <c r="T174" s="20">
        <v>2.6806548415707212</v>
      </c>
      <c r="U174" s="39"/>
    </row>
    <row r="175" spans="1:21" x14ac:dyDescent="0.2">
      <c r="A175" s="24" t="str">
        <f>"dcap-2"</f>
        <v>dcap-2</v>
      </c>
      <c r="B175" s="24" t="s">
        <v>4475</v>
      </c>
      <c r="C175" s="24" t="s">
        <v>4477</v>
      </c>
      <c r="D175" s="24">
        <v>1.30815877289157</v>
      </c>
      <c r="E175" s="24">
        <f t="shared" si="15"/>
        <v>2.4762530857162943</v>
      </c>
      <c r="F175" s="29">
        <v>7.7840155800499496E-5</v>
      </c>
      <c r="G175" s="24">
        <v>13.171143526585899</v>
      </c>
      <c r="H175" s="24">
        <v>13.499185360270401</v>
      </c>
      <c r="I175" s="24">
        <v>12.8498704311864</v>
      </c>
      <c r="J175" s="24">
        <f t="shared" si="16"/>
        <v>13.1733997726809</v>
      </c>
      <c r="K175" s="24">
        <v>14.601232868816799</v>
      </c>
      <c r="L175" s="24">
        <v>14.685831091742701</v>
      </c>
      <c r="M175" s="24">
        <v>14.157611676157901</v>
      </c>
      <c r="N175" s="24">
        <f t="shared" si="12"/>
        <v>14.481558545572467</v>
      </c>
      <c r="O175" s="24" t="str">
        <f t="shared" si="13"/>
        <v>ND</v>
      </c>
      <c r="P175" s="24" t="str">
        <f t="shared" si="14"/>
        <v>NA</v>
      </c>
      <c r="S175" s="11" t="s">
        <v>14826</v>
      </c>
      <c r="T175" s="20">
        <v>2.6793032800000001</v>
      </c>
      <c r="U175" s="39"/>
    </row>
    <row r="176" spans="1:21" x14ac:dyDescent="0.2">
      <c r="A176" s="10" t="str">
        <f>"fkb-6"</f>
        <v>fkb-6</v>
      </c>
      <c r="B176" s="10" t="s">
        <v>4060</v>
      </c>
      <c r="C176" s="10" t="s">
        <v>4062</v>
      </c>
      <c r="D176" s="10">
        <v>1.30750927486045</v>
      </c>
      <c r="E176" s="10">
        <f t="shared" si="15"/>
        <v>2.4751385331039035</v>
      </c>
      <c r="F176" s="10">
        <v>3.9443294010754802E-4</v>
      </c>
      <c r="G176" s="10">
        <v>14.9038452614476</v>
      </c>
      <c r="H176" s="10">
        <v>14.740748436036201</v>
      </c>
      <c r="I176" s="10">
        <v>14.7215673740747</v>
      </c>
      <c r="J176" s="10">
        <f t="shared" si="16"/>
        <v>14.788720357186167</v>
      </c>
      <c r="K176" s="10">
        <v>16.212865123085901</v>
      </c>
      <c r="L176" s="10">
        <v>16.105078080789301</v>
      </c>
      <c r="M176" s="10">
        <v>15.9707456922647</v>
      </c>
      <c r="N176" s="10">
        <f t="shared" si="12"/>
        <v>16.096229632046633</v>
      </c>
      <c r="O176" s="10">
        <f t="shared" si="13"/>
        <v>3.90200031</v>
      </c>
      <c r="P176" s="10">
        <f t="shared" si="14"/>
        <v>0.63432556034417731</v>
      </c>
      <c r="S176" s="11" t="s">
        <v>8353</v>
      </c>
      <c r="T176" s="20">
        <v>2.6655700100000002</v>
      </c>
      <c r="U176" s="39"/>
    </row>
    <row r="177" spans="1:21" x14ac:dyDescent="0.2">
      <c r="A177" s="24" t="str">
        <f>"pqn-59"</f>
        <v>pqn-59</v>
      </c>
      <c r="B177" s="24" t="s">
        <v>4279</v>
      </c>
      <c r="C177" s="24" t="s">
        <v>4281</v>
      </c>
      <c r="D177" s="24">
        <v>1.3006584434106001</v>
      </c>
      <c r="E177" s="24">
        <f t="shared" si="15"/>
        <v>2.4634128673480458</v>
      </c>
      <c r="F177" s="24">
        <v>3.6844619695637099E-2</v>
      </c>
      <c r="G177" s="24">
        <v>14.3915627438619</v>
      </c>
      <c r="H177" s="24">
        <v>13.9588074309838</v>
      </c>
      <c r="I177" s="24">
        <v>14.408586708136101</v>
      </c>
      <c r="J177" s="24">
        <f t="shared" si="16"/>
        <v>14.2529856276606</v>
      </c>
      <c r="K177" s="24">
        <v>15.7663758926144</v>
      </c>
      <c r="L177" s="24">
        <v>15.361772738160001</v>
      </c>
      <c r="M177" s="24">
        <v>15.532783582439199</v>
      </c>
      <c r="N177" s="24">
        <f t="shared" si="12"/>
        <v>15.553644071071199</v>
      </c>
      <c r="O177" s="24" t="str">
        <f t="shared" si="13"/>
        <v>ND</v>
      </c>
      <c r="P177" s="24" t="str">
        <f t="shared" si="14"/>
        <v>NA</v>
      </c>
      <c r="S177" s="11" t="s">
        <v>5394</v>
      </c>
      <c r="T177" s="20">
        <v>2.6556687499999998</v>
      </c>
      <c r="U177" s="39"/>
    </row>
    <row r="178" spans="1:21" x14ac:dyDescent="0.2">
      <c r="A178" s="24" t="str">
        <f>"frm-4"</f>
        <v>frm-4</v>
      </c>
      <c r="B178" s="24" t="s">
        <v>2329</v>
      </c>
      <c r="C178" s="24" t="s">
        <v>2110</v>
      </c>
      <c r="D178" s="24">
        <v>1.29732186296837</v>
      </c>
      <c r="E178" s="24">
        <f t="shared" si="15"/>
        <v>2.4577222136476244</v>
      </c>
      <c r="F178" s="24">
        <v>1.8564175323590901E-4</v>
      </c>
      <c r="G178" s="24">
        <v>14.40201398858</v>
      </c>
      <c r="H178" s="24">
        <v>14.549888840563099</v>
      </c>
      <c r="I178" s="24">
        <v>13.893359466934999</v>
      </c>
      <c r="J178" s="24">
        <f t="shared" si="16"/>
        <v>14.281754098692701</v>
      </c>
      <c r="K178" s="24">
        <v>15.723878042989901</v>
      </c>
      <c r="L178" s="24">
        <v>15.6633028649895</v>
      </c>
      <c r="M178" s="24">
        <v>15.350046977003601</v>
      </c>
      <c r="N178" s="24">
        <f t="shared" si="12"/>
        <v>15.579075961660999</v>
      </c>
      <c r="O178" s="24" t="str">
        <f t="shared" si="13"/>
        <v>ND</v>
      </c>
      <c r="P178" s="24" t="str">
        <f t="shared" si="14"/>
        <v>NA</v>
      </c>
      <c r="S178" s="11" t="s">
        <v>5983</v>
      </c>
      <c r="T178" s="20">
        <v>2.6459550300000001</v>
      </c>
      <c r="U178" s="39"/>
    </row>
    <row r="179" spans="1:21" x14ac:dyDescent="0.2">
      <c r="A179" s="24" t="str">
        <f>"enol-1"</f>
        <v>enol-1</v>
      </c>
      <c r="B179" s="24" t="s">
        <v>10444</v>
      </c>
      <c r="C179" s="24" t="s">
        <v>10446</v>
      </c>
      <c r="D179" s="24">
        <v>1.2884629798260701</v>
      </c>
      <c r="E179" s="24">
        <f t="shared" si="15"/>
        <v>2.4426767867010315</v>
      </c>
      <c r="F179" s="24">
        <v>7.1212301436619097E-3</v>
      </c>
      <c r="G179" s="24">
        <v>11.807169937222399</v>
      </c>
      <c r="H179" s="24">
        <v>11.9018386680407</v>
      </c>
      <c r="I179" s="24">
        <v>12.3720372897989</v>
      </c>
      <c r="J179" s="24">
        <f t="shared" si="16"/>
        <v>12.027015298354002</v>
      </c>
      <c r="K179" s="24">
        <v>12.5817108750967</v>
      </c>
      <c r="L179" s="24">
        <v>12.838589610384799</v>
      </c>
      <c r="M179" s="24">
        <v>14.5261343490588</v>
      </c>
      <c r="N179" s="24">
        <f t="shared" si="12"/>
        <v>13.3154782781801</v>
      </c>
      <c r="O179" s="24" t="str">
        <f t="shared" si="13"/>
        <v>ND</v>
      </c>
      <c r="P179" s="24" t="str">
        <f t="shared" si="14"/>
        <v>NA</v>
      </c>
      <c r="S179" s="11" t="s">
        <v>13871</v>
      </c>
      <c r="T179" s="20">
        <v>2.63493887</v>
      </c>
      <c r="U179" s="39"/>
    </row>
    <row r="180" spans="1:21" x14ac:dyDescent="0.2">
      <c r="A180" s="24" t="str">
        <f>"fli-1"</f>
        <v>fli-1</v>
      </c>
      <c r="B180" s="24" t="s">
        <v>4942</v>
      </c>
      <c r="C180" s="24" t="s">
        <v>4944</v>
      </c>
      <c r="D180" s="24">
        <v>1.2797154770548</v>
      </c>
      <c r="E180" s="24">
        <f t="shared" si="15"/>
        <v>2.4279108980222395</v>
      </c>
      <c r="F180" s="24">
        <v>1.04007217005192E-3</v>
      </c>
      <c r="G180" s="24">
        <v>12.3950615498464</v>
      </c>
      <c r="H180" s="24">
        <v>12.4145588552809</v>
      </c>
      <c r="I180" s="24">
        <v>12.2396601654028</v>
      </c>
      <c r="J180" s="24">
        <f t="shared" si="16"/>
        <v>12.349760190176701</v>
      </c>
      <c r="K180" s="24">
        <v>13.4473748325047</v>
      </c>
      <c r="L180" s="24">
        <v>13.874305210885099</v>
      </c>
      <c r="M180" s="24">
        <v>13.5667469583046</v>
      </c>
      <c r="N180" s="24">
        <f t="shared" si="12"/>
        <v>13.629475667231466</v>
      </c>
      <c r="O180" s="24" t="str">
        <f t="shared" si="13"/>
        <v>ND</v>
      </c>
      <c r="P180" s="24" t="str">
        <f t="shared" si="14"/>
        <v>NA</v>
      </c>
      <c r="S180" s="11" t="s">
        <v>14827</v>
      </c>
      <c r="T180" s="20">
        <v>2.6260325600000001</v>
      </c>
      <c r="U180" s="39"/>
    </row>
    <row r="181" spans="1:21" x14ac:dyDescent="0.2">
      <c r="A181" s="24" t="str">
        <f>"ccnk-1"</f>
        <v>ccnk-1</v>
      </c>
      <c r="B181" s="24" t="s">
        <v>3526</v>
      </c>
      <c r="C181" s="24" t="s">
        <v>3528</v>
      </c>
      <c r="D181" s="24">
        <v>1.2777694619234099</v>
      </c>
      <c r="E181" s="24">
        <f t="shared" si="15"/>
        <v>2.4246381577033116</v>
      </c>
      <c r="F181" s="24">
        <v>2.0756917071092199E-3</v>
      </c>
      <c r="G181" s="24">
        <v>11.313731308336401</v>
      </c>
      <c r="H181" s="24">
        <v>12.129782205449599</v>
      </c>
      <c r="I181" s="24">
        <v>11.839033525064201</v>
      </c>
      <c r="J181" s="24">
        <f t="shared" si="16"/>
        <v>11.760849012950068</v>
      </c>
      <c r="K181" s="24">
        <v>13.179281817524201</v>
      </c>
      <c r="L181" s="24">
        <v>13.429305974395501</v>
      </c>
      <c r="M181" s="24">
        <v>12.5072676327006</v>
      </c>
      <c r="N181" s="24">
        <f t="shared" si="12"/>
        <v>13.038618474873436</v>
      </c>
      <c r="O181" s="24" t="str">
        <f t="shared" si="13"/>
        <v>ND</v>
      </c>
      <c r="P181" s="24" t="str">
        <f t="shared" si="14"/>
        <v>NA</v>
      </c>
      <c r="S181" s="11" t="s">
        <v>14174</v>
      </c>
      <c r="T181" s="20">
        <v>2.6250738600000001</v>
      </c>
      <c r="U181" s="39"/>
    </row>
    <row r="182" spans="1:21" x14ac:dyDescent="0.2">
      <c r="A182" s="24" t="str">
        <f>"pxf-1"</f>
        <v>pxf-1</v>
      </c>
      <c r="B182" s="24" t="s">
        <v>1368</v>
      </c>
      <c r="C182" s="24" t="s">
        <v>1370</v>
      </c>
      <c r="D182" s="24">
        <v>1.26631852603312</v>
      </c>
      <c r="E182" s="24">
        <f t="shared" si="15"/>
        <v>2.4054695317770989</v>
      </c>
      <c r="F182" s="24">
        <v>1.9661900393941199E-3</v>
      </c>
      <c r="G182" s="24">
        <v>12.122355848257399</v>
      </c>
      <c r="H182" s="24">
        <v>12.6580791645925</v>
      </c>
      <c r="I182" s="24" t="s">
        <v>14849</v>
      </c>
      <c r="J182" s="24">
        <f t="shared" si="16"/>
        <v>12.39021750642495</v>
      </c>
      <c r="K182" s="24">
        <v>13.5550904936786</v>
      </c>
      <c r="L182" s="24">
        <v>13.539877419895101</v>
      </c>
      <c r="M182" s="24">
        <v>13.874640183800601</v>
      </c>
      <c r="N182" s="24">
        <f t="shared" si="12"/>
        <v>13.656536032458101</v>
      </c>
      <c r="O182" s="24" t="str">
        <f t="shared" si="13"/>
        <v>ND</v>
      </c>
      <c r="P182" s="24" t="str">
        <f t="shared" si="14"/>
        <v>NA</v>
      </c>
      <c r="S182" s="11" t="s">
        <v>7323</v>
      </c>
      <c r="T182" s="20">
        <v>2.6221794300000001</v>
      </c>
      <c r="U182" s="39"/>
    </row>
    <row r="183" spans="1:21" x14ac:dyDescent="0.2">
      <c r="A183" s="10" t="str">
        <f>"rde-4"</f>
        <v>rde-4</v>
      </c>
      <c r="B183" s="10" t="s">
        <v>951</v>
      </c>
      <c r="C183" s="10" t="s">
        <v>953</v>
      </c>
      <c r="D183" s="10">
        <v>1.2661964915366299</v>
      </c>
      <c r="E183" s="10">
        <f t="shared" si="15"/>
        <v>2.4052660668453094</v>
      </c>
      <c r="F183" s="10">
        <v>3.0956772750681901E-4</v>
      </c>
      <c r="G183" s="10">
        <v>13.9415403978082</v>
      </c>
      <c r="H183" s="10">
        <v>13.631220333598799</v>
      </c>
      <c r="I183" s="10">
        <v>13.6145439469664</v>
      </c>
      <c r="J183" s="10">
        <f t="shared" si="16"/>
        <v>13.729101559457801</v>
      </c>
      <c r="K183" s="10">
        <v>15.338743208022899</v>
      </c>
      <c r="L183" s="10">
        <v>15.000144354667899</v>
      </c>
      <c r="M183" s="10">
        <v>14.647006590292399</v>
      </c>
      <c r="N183" s="10">
        <f t="shared" si="12"/>
        <v>14.9952980509944</v>
      </c>
      <c r="O183" s="10">
        <f t="shared" si="13"/>
        <v>2.44797508</v>
      </c>
      <c r="P183" s="10">
        <f t="shared" si="14"/>
        <v>0.98255333009570889</v>
      </c>
      <c r="S183" s="11" t="s">
        <v>14353</v>
      </c>
      <c r="T183" s="20">
        <v>2.6156528899999998</v>
      </c>
      <c r="U183" s="39"/>
    </row>
    <row r="184" spans="1:21" x14ac:dyDescent="0.2">
      <c r="A184" s="10" t="str">
        <f>"Y18H1A.4"</f>
        <v>Y18H1A.4</v>
      </c>
      <c r="B184" s="10" t="s">
        <v>12123</v>
      </c>
      <c r="C184" s="10" t="s">
        <v>12124</v>
      </c>
      <c r="D184" s="10">
        <v>1.25657361829752</v>
      </c>
      <c r="E184" s="10">
        <f t="shared" ref="E184:E215" si="17">2^D184</f>
        <v>2.3892761660738664</v>
      </c>
      <c r="F184" s="10">
        <v>8.8945154124159993E-3</v>
      </c>
      <c r="G184" s="10">
        <v>11.6775591019532</v>
      </c>
      <c r="H184" s="10">
        <v>11.1808932125789</v>
      </c>
      <c r="I184" s="10" t="s">
        <v>14849</v>
      </c>
      <c r="J184" s="10">
        <f t="shared" ref="J184:J215" si="18">AVERAGEIF(G184:I184, "&gt;0")</f>
        <v>11.429226157266051</v>
      </c>
      <c r="K184" s="10">
        <v>12.4458488125908</v>
      </c>
      <c r="L184" s="10">
        <v>13.0198459513161</v>
      </c>
      <c r="M184" s="10">
        <v>12.591704562783899</v>
      </c>
      <c r="N184" s="10">
        <f t="shared" si="12"/>
        <v>12.6857997755636</v>
      </c>
      <c r="O184" s="10">
        <f t="shared" si="13"/>
        <v>2.2795263866027669</v>
      </c>
      <c r="P184" s="10">
        <f t="shared" si="14"/>
        <v>1.0481458692981669</v>
      </c>
      <c r="S184" s="10" t="s">
        <v>14828</v>
      </c>
      <c r="T184" s="20">
        <v>2.6129819099335019</v>
      </c>
      <c r="U184" s="39"/>
    </row>
    <row r="185" spans="1:21" x14ac:dyDescent="0.2">
      <c r="A185" s="10" t="str">
        <f>"W07E11.1"</f>
        <v>W07E11.1</v>
      </c>
      <c r="B185" s="10" t="s">
        <v>2647</v>
      </c>
      <c r="C185" s="10" t="s">
        <v>2648</v>
      </c>
      <c r="D185" s="10">
        <v>1.25617723735497</v>
      </c>
      <c r="E185" s="10">
        <f t="shared" si="17"/>
        <v>2.388619801824468</v>
      </c>
      <c r="F185" s="32">
        <v>1.76971521755611E-5</v>
      </c>
      <c r="G185" s="10">
        <v>14.0249808061071</v>
      </c>
      <c r="H185" s="10">
        <v>13.7473651449453</v>
      </c>
      <c r="I185" s="10">
        <v>13.3542312515386</v>
      </c>
      <c r="J185" s="10">
        <f t="shared" si="18"/>
        <v>13.708859067530334</v>
      </c>
      <c r="K185" s="10">
        <v>14.9004752585092</v>
      </c>
      <c r="L185" s="10">
        <v>15.1264622282549</v>
      </c>
      <c r="M185" s="10">
        <v>14.8681714278918</v>
      </c>
      <c r="N185" s="10">
        <f t="shared" si="12"/>
        <v>14.965036304885301</v>
      </c>
      <c r="O185" s="10">
        <f t="shared" si="13"/>
        <v>2.44814482</v>
      </c>
      <c r="P185" s="10">
        <f t="shared" si="14"/>
        <v>0.97568566300112425</v>
      </c>
      <c r="S185" s="11" t="s">
        <v>8401</v>
      </c>
      <c r="T185" s="20">
        <v>2.60958449</v>
      </c>
      <c r="U185" s="39"/>
    </row>
    <row r="186" spans="1:21" x14ac:dyDescent="0.2">
      <c r="A186" s="24" t="str">
        <f>"smcr-8"</f>
        <v>smcr-8</v>
      </c>
      <c r="B186" s="24" t="s">
        <v>6688</v>
      </c>
      <c r="C186" s="24" t="s">
        <v>6690</v>
      </c>
      <c r="D186" s="24">
        <v>1.25422995012005</v>
      </c>
      <c r="E186" s="24">
        <f t="shared" si="17"/>
        <v>2.3853979212133565</v>
      </c>
      <c r="F186" s="24">
        <v>3.8568082491800102E-3</v>
      </c>
      <c r="G186" s="24">
        <v>10.566944265418099</v>
      </c>
      <c r="H186" s="24">
        <v>10.701803347173501</v>
      </c>
      <c r="I186" s="24">
        <v>11.874768332339899</v>
      </c>
      <c r="J186" s="24">
        <f t="shared" si="18"/>
        <v>11.047838648310501</v>
      </c>
      <c r="K186" s="24">
        <v>12.435195446290299</v>
      </c>
      <c r="L186" s="24">
        <v>12.809181769807999</v>
      </c>
      <c r="M186" s="24">
        <v>11.661828579193401</v>
      </c>
      <c r="N186" s="24">
        <f t="shared" si="12"/>
        <v>12.302068598430566</v>
      </c>
      <c r="O186" s="24" t="str">
        <f t="shared" si="13"/>
        <v>ND</v>
      </c>
      <c r="P186" s="24" t="str">
        <f t="shared" si="14"/>
        <v>NA</v>
      </c>
      <c r="S186" s="11" t="s">
        <v>11795</v>
      </c>
      <c r="T186" s="20">
        <v>2.6003555899999999</v>
      </c>
      <c r="U186" s="39"/>
    </row>
    <row r="187" spans="1:21" x14ac:dyDescent="0.2">
      <c r="A187" s="10" t="str">
        <f>"metr-1"</f>
        <v>metr-1</v>
      </c>
      <c r="B187" s="10" t="s">
        <v>6904</v>
      </c>
      <c r="C187" s="10" t="s">
        <v>6906</v>
      </c>
      <c r="D187" s="10">
        <v>1.2475947132661001</v>
      </c>
      <c r="E187" s="10">
        <f t="shared" si="17"/>
        <v>2.3744521993619236</v>
      </c>
      <c r="F187" s="32">
        <v>5.1435773559988497E-5</v>
      </c>
      <c r="G187" s="10">
        <v>13.545616726241599</v>
      </c>
      <c r="H187" s="10">
        <v>14.195004419733699</v>
      </c>
      <c r="I187" s="10">
        <v>13.870492633648199</v>
      </c>
      <c r="J187" s="10">
        <f t="shared" si="18"/>
        <v>13.870371259874497</v>
      </c>
      <c r="K187" s="10">
        <v>14.765550170116001</v>
      </c>
      <c r="L187" s="10">
        <v>15.4460891027319</v>
      </c>
      <c r="M187" s="10">
        <v>15.142258646573801</v>
      </c>
      <c r="N187" s="10">
        <f t="shared" si="12"/>
        <v>15.117965973140565</v>
      </c>
      <c r="O187" s="10">
        <f t="shared" si="13"/>
        <v>2.8920846600000001</v>
      </c>
      <c r="P187" s="10">
        <f t="shared" si="14"/>
        <v>0.82101752836029485</v>
      </c>
      <c r="S187" s="11" t="s">
        <v>5726</v>
      </c>
      <c r="T187" s="20">
        <v>2.59333298</v>
      </c>
      <c r="U187" s="39"/>
    </row>
    <row r="188" spans="1:21" x14ac:dyDescent="0.2">
      <c r="A188" s="16" t="str">
        <f>"rml-5"</f>
        <v>rml-5</v>
      </c>
      <c r="B188" s="16" t="s">
        <v>11640</v>
      </c>
      <c r="C188" s="16" t="s">
        <v>7359</v>
      </c>
      <c r="D188" s="16">
        <v>1.2249380831326799</v>
      </c>
      <c r="E188" s="16">
        <f t="shared" si="17"/>
        <v>2.3374541772754118</v>
      </c>
      <c r="F188" s="16">
        <v>6.9855398780758601E-3</v>
      </c>
      <c r="G188" s="16">
        <v>12.6357064377515</v>
      </c>
      <c r="H188" s="16">
        <v>12.7558111840529</v>
      </c>
      <c r="I188" s="16">
        <v>12.8357485730583</v>
      </c>
      <c r="J188" s="16">
        <f t="shared" si="18"/>
        <v>12.742422064954233</v>
      </c>
      <c r="K188" s="16">
        <v>14.163837533912</v>
      </c>
      <c r="L188" s="16">
        <v>14.146894140711799</v>
      </c>
      <c r="M188" s="16">
        <v>13.5913487696369</v>
      </c>
      <c r="N188" s="16">
        <f t="shared" si="12"/>
        <v>13.967360148086899</v>
      </c>
      <c r="O188" s="16">
        <f t="shared" si="13"/>
        <v>5.2188431199999998</v>
      </c>
      <c r="P188" s="16">
        <f t="shared" si="14"/>
        <v>0.44788741940099014</v>
      </c>
      <c r="S188" s="11" t="s">
        <v>7991</v>
      </c>
      <c r="T188" s="20">
        <v>2.5931230799999998</v>
      </c>
      <c r="U188" s="39"/>
    </row>
    <row r="189" spans="1:21" x14ac:dyDescent="0.2">
      <c r="A189" s="24" t="str">
        <f>"lmd-3"</f>
        <v>lmd-3</v>
      </c>
      <c r="B189" s="24" t="s">
        <v>2452</v>
      </c>
      <c r="C189" s="24" t="s">
        <v>2454</v>
      </c>
      <c r="D189" s="24">
        <v>1.2227916463216</v>
      </c>
      <c r="E189" s="24">
        <f t="shared" si="17"/>
        <v>2.3339791065822961</v>
      </c>
      <c r="F189" s="24">
        <v>4.4708726666399198E-4</v>
      </c>
      <c r="G189" s="24">
        <v>11.5491850995025</v>
      </c>
      <c r="H189" s="24">
        <v>11.157897653846801</v>
      </c>
      <c r="I189" s="24" t="s">
        <v>14849</v>
      </c>
      <c r="J189" s="24">
        <f t="shared" si="18"/>
        <v>11.35354137667465</v>
      </c>
      <c r="K189" s="24">
        <v>12.598667679199</v>
      </c>
      <c r="L189" s="24">
        <v>12.557346158539</v>
      </c>
      <c r="M189" s="24">
        <v>12.5729852312507</v>
      </c>
      <c r="N189" s="24">
        <f t="shared" si="12"/>
        <v>12.576333022996232</v>
      </c>
      <c r="O189" s="24" t="str">
        <f t="shared" si="13"/>
        <v>ND</v>
      </c>
      <c r="P189" s="24" t="str">
        <f t="shared" si="14"/>
        <v>NA</v>
      </c>
      <c r="S189" s="11" t="s">
        <v>14829</v>
      </c>
      <c r="T189" s="20">
        <v>2.5739457699999999</v>
      </c>
      <c r="U189" s="39"/>
    </row>
    <row r="190" spans="1:21" x14ac:dyDescent="0.2">
      <c r="A190" s="24" t="str">
        <f>"C05C12.5"</f>
        <v>C05C12.5</v>
      </c>
      <c r="B190" s="24" t="s">
        <v>7440</v>
      </c>
      <c r="C190" s="24" t="s">
        <v>7442</v>
      </c>
      <c r="D190" s="24">
        <v>1.2184363086785499</v>
      </c>
      <c r="E190" s="24">
        <f t="shared" si="17"/>
        <v>2.3269437052738957</v>
      </c>
      <c r="F190" s="24">
        <v>4.1004559611000697E-2</v>
      </c>
      <c r="G190" s="24">
        <v>14.7044970945797</v>
      </c>
      <c r="H190" s="24">
        <v>12.797142542227601</v>
      </c>
      <c r="I190" s="24">
        <v>14.174496722640701</v>
      </c>
      <c r="J190" s="24">
        <f t="shared" si="18"/>
        <v>13.892045453149334</v>
      </c>
      <c r="K190" s="24">
        <v>14.423199101752401</v>
      </c>
      <c r="L190" s="24">
        <v>15.821341575994399</v>
      </c>
      <c r="M190" s="24">
        <v>15.0869046077369</v>
      </c>
      <c r="N190" s="24">
        <f t="shared" si="12"/>
        <v>15.110481761827899</v>
      </c>
      <c r="O190" s="24" t="str">
        <f t="shared" si="13"/>
        <v>ND</v>
      </c>
      <c r="P190" s="24" t="str">
        <f t="shared" si="14"/>
        <v>NA</v>
      </c>
      <c r="S190" s="11" t="s">
        <v>12757</v>
      </c>
      <c r="T190" s="20">
        <v>2.57074034</v>
      </c>
      <c r="U190" s="39"/>
    </row>
    <row r="191" spans="1:21" x14ac:dyDescent="0.2">
      <c r="A191" s="24" t="str">
        <f>"aakg-2"</f>
        <v>aakg-2</v>
      </c>
      <c r="B191" s="24" t="s">
        <v>3037</v>
      </c>
      <c r="C191" s="24" t="s">
        <v>225</v>
      </c>
      <c r="D191" s="24">
        <v>1.2122546603940101</v>
      </c>
      <c r="E191" s="24">
        <f t="shared" si="17"/>
        <v>2.3169945655350586</v>
      </c>
      <c r="F191" s="24">
        <v>1.09498984961123E-2</v>
      </c>
      <c r="G191" s="24">
        <v>12.941320178794999</v>
      </c>
      <c r="H191" s="24">
        <v>12.0119687468896</v>
      </c>
      <c r="I191" s="24">
        <v>13.085668195678</v>
      </c>
      <c r="J191" s="24">
        <f t="shared" si="18"/>
        <v>12.679652373787533</v>
      </c>
      <c r="K191" s="24">
        <v>14.540758276564</v>
      </c>
      <c r="L191" s="24">
        <v>13.672459964957399</v>
      </c>
      <c r="M191" s="24">
        <v>13.4625028610233</v>
      </c>
      <c r="N191" s="24">
        <f t="shared" si="12"/>
        <v>13.891907034181566</v>
      </c>
      <c r="O191" s="24" t="str">
        <f t="shared" si="13"/>
        <v>ND</v>
      </c>
      <c r="P191" s="24" t="str">
        <f t="shared" si="14"/>
        <v>NA</v>
      </c>
      <c r="S191" s="10" t="s">
        <v>14830</v>
      </c>
      <c r="T191" s="20">
        <v>2.5360633189098243</v>
      </c>
      <c r="U191" s="39"/>
    </row>
    <row r="192" spans="1:21" x14ac:dyDescent="0.2">
      <c r="A192" s="24" t="str">
        <f>"lec-2"</f>
        <v>lec-2</v>
      </c>
      <c r="B192" s="24" t="s">
        <v>8875</v>
      </c>
      <c r="C192" s="24" t="s">
        <v>8877</v>
      </c>
      <c r="D192" s="24">
        <v>1.2118800519806201</v>
      </c>
      <c r="E192" s="24">
        <f t="shared" si="17"/>
        <v>2.3163930156885986</v>
      </c>
      <c r="F192" s="24">
        <v>5.5666830379580701E-3</v>
      </c>
      <c r="G192" s="24">
        <v>12.8190894392477</v>
      </c>
      <c r="H192" s="24">
        <v>12.002261491499199</v>
      </c>
      <c r="I192" s="24">
        <v>12.582329626200501</v>
      </c>
      <c r="J192" s="24">
        <f t="shared" si="18"/>
        <v>12.467893518982466</v>
      </c>
      <c r="K192" s="24">
        <v>13.904971673057601</v>
      </c>
      <c r="L192" s="24">
        <v>13.3324408418272</v>
      </c>
      <c r="M192" s="24">
        <v>13.801908198004501</v>
      </c>
      <c r="N192" s="24">
        <f t="shared" si="12"/>
        <v>13.679773570963102</v>
      </c>
      <c r="O192" s="24" t="str">
        <f t="shared" si="13"/>
        <v>ND</v>
      </c>
      <c r="P192" s="24" t="str">
        <f t="shared" si="14"/>
        <v>NA</v>
      </c>
      <c r="S192" s="11" t="s">
        <v>14515</v>
      </c>
      <c r="T192" s="20">
        <v>2.52863543</v>
      </c>
      <c r="U192" s="39"/>
    </row>
    <row r="193" spans="1:21" x14ac:dyDescent="0.2">
      <c r="A193" s="24" t="str">
        <f>"F41E6.5"</f>
        <v>F41E6.5</v>
      </c>
      <c r="B193" s="24" t="s">
        <v>608</v>
      </c>
      <c r="C193" s="24" t="s">
        <v>609</v>
      </c>
      <c r="D193" s="24">
        <v>1.2106025878782001</v>
      </c>
      <c r="E193" s="24">
        <f t="shared" si="17"/>
        <v>2.3143428255060785</v>
      </c>
      <c r="F193" s="24">
        <v>4.39947910942096E-4</v>
      </c>
      <c r="G193" s="24">
        <v>14.0175457745526</v>
      </c>
      <c r="H193" s="24">
        <v>13.8324611177493</v>
      </c>
      <c r="I193" s="24">
        <v>13.077694982252</v>
      </c>
      <c r="J193" s="24">
        <f t="shared" si="18"/>
        <v>13.642567291517965</v>
      </c>
      <c r="K193" s="24">
        <v>14.8135558282319</v>
      </c>
      <c r="L193" s="24">
        <v>14.8984227892437</v>
      </c>
      <c r="M193" s="24">
        <v>14.8475310207129</v>
      </c>
      <c r="N193" s="24">
        <f t="shared" si="12"/>
        <v>14.853169879396168</v>
      </c>
      <c r="O193" s="24" t="str">
        <f t="shared" si="13"/>
        <v>ND</v>
      </c>
      <c r="P193" s="24" t="str">
        <f t="shared" si="14"/>
        <v>NA</v>
      </c>
      <c r="S193" s="10" t="s">
        <v>10155</v>
      </c>
      <c r="T193" s="20">
        <v>2.5136782550893848</v>
      </c>
      <c r="U193" s="39"/>
    </row>
    <row r="194" spans="1:21" x14ac:dyDescent="0.2">
      <c r="A194" s="10" t="str">
        <f>"mak-2"</f>
        <v>mak-2</v>
      </c>
      <c r="B194" s="10" t="s">
        <v>11873</v>
      </c>
      <c r="C194" s="10" t="s">
        <v>11875</v>
      </c>
      <c r="D194" s="10">
        <v>1.2101480006927501</v>
      </c>
      <c r="E194" s="10">
        <f t="shared" si="17"/>
        <v>2.313613700620166</v>
      </c>
      <c r="F194" s="10">
        <v>1.51817225285351E-3</v>
      </c>
      <c r="G194" s="10">
        <v>11.3868329864787</v>
      </c>
      <c r="H194" s="10">
        <v>11.8386811054215</v>
      </c>
      <c r="I194" s="10">
        <v>11.1329664230779</v>
      </c>
      <c r="J194" s="10">
        <f t="shared" si="18"/>
        <v>11.452826838326033</v>
      </c>
      <c r="K194" s="10">
        <v>12.7775662165005</v>
      </c>
      <c r="L194" s="10">
        <v>12.824560415789399</v>
      </c>
      <c r="M194" s="10">
        <v>12.386797884766301</v>
      </c>
      <c r="N194" s="10">
        <f t="shared" ref="N194:N237" si="19">(K194+L194+M194)/3</f>
        <v>12.662974839018732</v>
      </c>
      <c r="O194" s="10">
        <f t="shared" ref="O194:O237" si="20">IFERROR(INDEX(T:T,MATCH(A194, S:S, 0)), "ND")</f>
        <v>3.04240968</v>
      </c>
      <c r="P194" s="10">
        <f t="shared" ref="P194:P237" si="21">IFERROR(E194/O194, "NA")</f>
        <v>0.7604543582112735</v>
      </c>
      <c r="S194" s="11" t="s">
        <v>14524</v>
      </c>
      <c r="T194" s="20">
        <v>2.5135381300000001</v>
      </c>
      <c r="U194" s="39"/>
    </row>
    <row r="195" spans="1:21" x14ac:dyDescent="0.2">
      <c r="A195" s="10" t="str">
        <f>"rla-1"</f>
        <v>rla-1</v>
      </c>
      <c r="B195" s="10" t="s">
        <v>6433</v>
      </c>
      <c r="C195" s="10" t="s">
        <v>6435</v>
      </c>
      <c r="D195" s="10">
        <v>1.20477488142514</v>
      </c>
      <c r="E195" s="10">
        <f t="shared" si="17"/>
        <v>2.3050129906032422</v>
      </c>
      <c r="F195" s="10">
        <v>1.1431317161881199E-2</v>
      </c>
      <c r="G195" s="10">
        <v>14.041065096353901</v>
      </c>
      <c r="H195" s="10">
        <v>14.512620650546699</v>
      </c>
      <c r="I195" s="10">
        <v>15.0941503742847</v>
      </c>
      <c r="J195" s="10">
        <f t="shared" si="18"/>
        <v>14.549278707061767</v>
      </c>
      <c r="K195" s="10">
        <v>15.0761743144247</v>
      </c>
      <c r="L195" s="10">
        <v>15.4418449276735</v>
      </c>
      <c r="M195" s="10">
        <v>16.7441415233626</v>
      </c>
      <c r="N195" s="10">
        <f t="shared" si="19"/>
        <v>15.754053588486933</v>
      </c>
      <c r="O195" s="10">
        <f t="shared" si="20"/>
        <v>4.8303157299999997</v>
      </c>
      <c r="P195" s="10">
        <f t="shared" si="21"/>
        <v>0.47719716876628315</v>
      </c>
      <c r="S195" s="11" t="s">
        <v>14831</v>
      </c>
      <c r="T195" s="20">
        <v>2.5104880199999999</v>
      </c>
      <c r="U195" s="39"/>
    </row>
    <row r="196" spans="1:21" x14ac:dyDescent="0.2">
      <c r="A196" s="24" t="str">
        <f>"spe-5"</f>
        <v>spe-5</v>
      </c>
      <c r="B196" s="24" t="s">
        <v>12617</v>
      </c>
      <c r="C196" s="24" t="s">
        <v>12619</v>
      </c>
      <c r="D196" s="24">
        <v>1.1941397211387399</v>
      </c>
      <c r="E196" s="24">
        <f t="shared" si="17"/>
        <v>2.2880835304202489</v>
      </c>
      <c r="F196" s="24">
        <v>1.35033568882113E-4</v>
      </c>
      <c r="G196" s="24">
        <v>15.0066635252564</v>
      </c>
      <c r="H196" s="24">
        <v>14.7319682990149</v>
      </c>
      <c r="I196" s="24">
        <v>14.5434458057625</v>
      </c>
      <c r="J196" s="24">
        <f t="shared" si="18"/>
        <v>14.760692543344602</v>
      </c>
      <c r="K196" s="24">
        <v>15.6158981204032</v>
      </c>
      <c r="L196" s="24">
        <v>15.611983978182501</v>
      </c>
      <c r="M196" s="24">
        <v>16.6366146948642</v>
      </c>
      <c r="N196" s="24">
        <f t="shared" si="19"/>
        <v>15.954832264483301</v>
      </c>
      <c r="O196" s="24" t="str">
        <f t="shared" si="20"/>
        <v>ND</v>
      </c>
      <c r="P196" s="24" t="str">
        <f t="shared" si="21"/>
        <v>NA</v>
      </c>
      <c r="S196" s="11" t="s">
        <v>9285</v>
      </c>
      <c r="T196" s="20">
        <v>2.4946958399999999</v>
      </c>
      <c r="U196" s="39"/>
    </row>
    <row r="197" spans="1:21" x14ac:dyDescent="0.2">
      <c r="A197" s="14" t="str">
        <f>"rla-0"</f>
        <v>rla-0</v>
      </c>
      <c r="B197" s="14" t="s">
        <v>11174</v>
      </c>
      <c r="C197" s="14" t="s">
        <v>11176</v>
      </c>
      <c r="D197" s="14">
        <v>1.19265123279759</v>
      </c>
      <c r="E197" s="14">
        <f t="shared" si="17"/>
        <v>2.2857240370962852</v>
      </c>
      <c r="F197" s="14">
        <v>1.6264705387771701E-2</v>
      </c>
      <c r="G197" s="14">
        <v>12.717765756412501</v>
      </c>
      <c r="H197" s="14">
        <v>13.129486731293699</v>
      </c>
      <c r="I197" s="14">
        <v>13.6413247110927</v>
      </c>
      <c r="J197" s="14">
        <f t="shared" si="18"/>
        <v>13.1628590662663</v>
      </c>
      <c r="K197" s="14">
        <v>13.7238027829661</v>
      </c>
      <c r="L197" s="14">
        <v>13.693487978947701</v>
      </c>
      <c r="M197" s="14">
        <v>15.6492401352778</v>
      </c>
      <c r="N197" s="14">
        <f t="shared" si="19"/>
        <v>14.355510299063866</v>
      </c>
      <c r="O197" s="14">
        <f t="shared" si="20"/>
        <v>12.709663600000001</v>
      </c>
      <c r="P197" s="14">
        <f t="shared" si="21"/>
        <v>0.17984142688845714</v>
      </c>
      <c r="S197" s="11" t="s">
        <v>3539</v>
      </c>
      <c r="T197" s="20">
        <v>2.4944524299999999</v>
      </c>
      <c r="U197" s="39"/>
    </row>
    <row r="198" spans="1:21" x14ac:dyDescent="0.2">
      <c r="A198" s="24" t="str">
        <f>"Y38E10A.22"</f>
        <v>Y38E10A.22</v>
      </c>
      <c r="B198" s="24" t="s">
        <v>2203</v>
      </c>
      <c r="C198" s="24" t="s">
        <v>2204</v>
      </c>
      <c r="D198" s="24">
        <v>1.1879575168257801</v>
      </c>
      <c r="E198" s="24">
        <f t="shared" si="17"/>
        <v>2.2782996641556301</v>
      </c>
      <c r="F198" s="24">
        <v>3.3988031213421997E-2</v>
      </c>
      <c r="G198" s="24" t="s">
        <v>14849</v>
      </c>
      <c r="H198" s="24">
        <v>11.112072838470301</v>
      </c>
      <c r="I198" s="24" t="s">
        <v>14849</v>
      </c>
      <c r="J198" s="24">
        <f t="shared" si="18"/>
        <v>11.112072838470301</v>
      </c>
      <c r="K198" s="24">
        <v>12.342514738786701</v>
      </c>
      <c r="L198" s="24">
        <v>12.1985685980681</v>
      </c>
      <c r="M198" s="24">
        <v>12.3590077290333</v>
      </c>
      <c r="N198" s="24">
        <f t="shared" si="19"/>
        <v>12.300030355296032</v>
      </c>
      <c r="O198" s="24" t="str">
        <f t="shared" si="20"/>
        <v>ND</v>
      </c>
      <c r="P198" s="24" t="str">
        <f t="shared" si="21"/>
        <v>NA</v>
      </c>
      <c r="S198" s="10" t="s">
        <v>14264</v>
      </c>
      <c r="T198" s="21">
        <v>2.4658827188051093</v>
      </c>
      <c r="U198" s="40"/>
    </row>
    <row r="199" spans="1:21" x14ac:dyDescent="0.2">
      <c r="A199" s="24" t="str">
        <f>"F02A9.10"</f>
        <v>F02A9.10</v>
      </c>
      <c r="B199" s="24" t="s">
        <v>5086</v>
      </c>
      <c r="C199" s="24" t="s">
        <v>5088</v>
      </c>
      <c r="D199" s="24">
        <v>1.1813911562119299</v>
      </c>
      <c r="E199" s="24">
        <f t="shared" si="17"/>
        <v>2.2679536498140558</v>
      </c>
      <c r="F199" s="24">
        <v>3.7374051780576602E-2</v>
      </c>
      <c r="G199" s="24">
        <v>17.641257800795</v>
      </c>
      <c r="H199" s="24">
        <v>18.449527920070199</v>
      </c>
      <c r="I199" s="24">
        <v>17.754274264604899</v>
      </c>
      <c r="J199" s="24">
        <f t="shared" si="18"/>
        <v>17.948353328490033</v>
      </c>
      <c r="K199" s="24">
        <v>18.390265355161901</v>
      </c>
      <c r="L199" s="24">
        <v>19.370354168198599</v>
      </c>
      <c r="M199" s="24">
        <v>19.628613930745399</v>
      </c>
      <c r="N199" s="24">
        <f t="shared" si="19"/>
        <v>19.12974448470197</v>
      </c>
      <c r="O199" s="24" t="str">
        <f t="shared" si="20"/>
        <v>ND</v>
      </c>
      <c r="P199" s="24" t="str">
        <f t="shared" si="21"/>
        <v>NA</v>
      </c>
      <c r="S199" s="11" t="s">
        <v>5920</v>
      </c>
      <c r="T199" s="20">
        <v>2.4633087200000001</v>
      </c>
      <c r="U199" s="39"/>
    </row>
    <row r="200" spans="1:21" x14ac:dyDescent="0.2">
      <c r="A200" s="24" t="str">
        <f>"F46F11.1"</f>
        <v>F46F11.1</v>
      </c>
      <c r="B200" s="24" t="s">
        <v>6281</v>
      </c>
      <c r="C200" s="24" t="s">
        <v>6283</v>
      </c>
      <c r="D200" s="24">
        <v>1.1754423610286699</v>
      </c>
      <c r="E200" s="24">
        <f t="shared" si="17"/>
        <v>2.2586212448310174</v>
      </c>
      <c r="F200" s="24">
        <v>1.7817361520899399E-3</v>
      </c>
      <c r="G200" s="24" t="s">
        <v>14849</v>
      </c>
      <c r="H200" s="24">
        <v>11.070689215886601</v>
      </c>
      <c r="I200" s="24">
        <v>10.627808762578701</v>
      </c>
      <c r="J200" s="24">
        <f t="shared" si="18"/>
        <v>10.849248989232651</v>
      </c>
      <c r="K200" s="24">
        <v>11.9636089549247</v>
      </c>
      <c r="L200" s="24">
        <v>12.228705101062401</v>
      </c>
      <c r="M200" s="24">
        <v>11.8817599947969</v>
      </c>
      <c r="N200" s="24">
        <f t="shared" si="19"/>
        <v>12.024691350261334</v>
      </c>
      <c r="O200" s="24" t="str">
        <f t="shared" si="20"/>
        <v>ND</v>
      </c>
      <c r="P200" s="24" t="str">
        <f t="shared" si="21"/>
        <v>NA</v>
      </c>
      <c r="S200" s="10" t="s">
        <v>14832</v>
      </c>
      <c r="T200" s="21">
        <v>2.4557334764799923</v>
      </c>
      <c r="U200" s="40"/>
    </row>
    <row r="201" spans="1:21" x14ac:dyDescent="0.2">
      <c r="A201" s="24" t="str">
        <f>"ZK1321.4"</f>
        <v>ZK1321.4</v>
      </c>
      <c r="B201" s="24" t="s">
        <v>1447</v>
      </c>
      <c r="C201" s="24" t="s">
        <v>1281</v>
      </c>
      <c r="D201" s="24">
        <v>1.16251324771558</v>
      </c>
      <c r="E201" s="24">
        <f t="shared" si="17"/>
        <v>2.2384704101776056</v>
      </c>
      <c r="F201" s="24">
        <v>1.2879750825147199E-2</v>
      </c>
      <c r="G201" s="24">
        <v>13.0220844906886</v>
      </c>
      <c r="H201" s="24" t="s">
        <v>14849</v>
      </c>
      <c r="I201" s="24">
        <v>12.979926796930201</v>
      </c>
      <c r="J201" s="24">
        <f t="shared" si="18"/>
        <v>13.0010056438094</v>
      </c>
      <c r="K201" s="24">
        <v>14.0078866378506</v>
      </c>
      <c r="L201" s="24">
        <v>14.857806960461801</v>
      </c>
      <c r="M201" s="24">
        <v>13.6248630762624</v>
      </c>
      <c r="N201" s="24">
        <f t="shared" si="19"/>
        <v>14.163518891524935</v>
      </c>
      <c r="O201" s="24" t="str">
        <f t="shared" si="20"/>
        <v>ND</v>
      </c>
      <c r="P201" s="24" t="str">
        <f t="shared" si="21"/>
        <v>NA</v>
      </c>
      <c r="S201" s="11" t="s">
        <v>14320</v>
      </c>
      <c r="T201" s="20">
        <v>2.44814482</v>
      </c>
      <c r="U201" s="39"/>
    </row>
    <row r="202" spans="1:21" x14ac:dyDescent="0.2">
      <c r="A202" s="24" t="str">
        <f>"exoc-7"</f>
        <v>exoc-7</v>
      </c>
      <c r="B202" s="24" t="s">
        <v>6208</v>
      </c>
      <c r="C202" s="24" t="s">
        <v>6210</v>
      </c>
      <c r="D202" s="24">
        <v>1.1618475984641401</v>
      </c>
      <c r="E202" s="24">
        <f t="shared" si="17"/>
        <v>2.2374378340492536</v>
      </c>
      <c r="F202" s="24">
        <v>2.5195060058828499E-2</v>
      </c>
      <c r="G202" s="24" t="s">
        <v>14849</v>
      </c>
      <c r="H202" s="24">
        <v>13.9436071254087</v>
      </c>
      <c r="I202" s="24">
        <v>12.953035403566799</v>
      </c>
      <c r="J202" s="24">
        <f t="shared" si="18"/>
        <v>13.448321264487749</v>
      </c>
      <c r="K202" s="24">
        <v>14.2556835599813</v>
      </c>
      <c r="L202" s="24">
        <v>15.2616290953474</v>
      </c>
      <c r="M202" s="24">
        <v>14.313193933527</v>
      </c>
      <c r="N202" s="24">
        <f t="shared" si="19"/>
        <v>14.6101688629519</v>
      </c>
      <c r="O202" s="24" t="str">
        <f t="shared" si="20"/>
        <v>ND</v>
      </c>
      <c r="P202" s="24" t="str">
        <f t="shared" si="21"/>
        <v>NA</v>
      </c>
      <c r="S202" s="11" t="s">
        <v>952</v>
      </c>
      <c r="T202" s="20">
        <v>2.44797508</v>
      </c>
      <c r="U202" s="39"/>
    </row>
    <row r="203" spans="1:21" x14ac:dyDescent="0.2">
      <c r="A203" s="24" t="str">
        <f>"cogc-3"</f>
        <v>cogc-3</v>
      </c>
      <c r="B203" s="24" t="s">
        <v>10628</v>
      </c>
      <c r="C203" s="24" t="s">
        <v>10630</v>
      </c>
      <c r="D203" s="24">
        <v>1.1591141040594699</v>
      </c>
      <c r="E203" s="24">
        <f t="shared" si="17"/>
        <v>2.2332025429954636</v>
      </c>
      <c r="F203" s="24">
        <v>1.5831179024180599E-2</v>
      </c>
      <c r="G203" s="24">
        <v>12.0167083843474</v>
      </c>
      <c r="H203" s="24">
        <v>10.067343166696199</v>
      </c>
      <c r="I203" s="24">
        <v>11.6866741377385</v>
      </c>
      <c r="J203" s="24">
        <f t="shared" si="18"/>
        <v>11.256908562927366</v>
      </c>
      <c r="K203" s="24">
        <v>12.062736012442601</v>
      </c>
      <c r="L203" s="24">
        <v>12.9130792749491</v>
      </c>
      <c r="M203" s="24">
        <v>12.2722527135688</v>
      </c>
      <c r="N203" s="24">
        <f t="shared" si="19"/>
        <v>12.416022666986834</v>
      </c>
      <c r="O203" s="24" t="str">
        <f t="shared" si="20"/>
        <v>ND</v>
      </c>
      <c r="P203" s="24" t="str">
        <f t="shared" si="21"/>
        <v>NA</v>
      </c>
      <c r="S203" s="11" t="s">
        <v>13794</v>
      </c>
      <c r="T203" s="20">
        <v>2.4469431199999998</v>
      </c>
      <c r="U203" s="39"/>
    </row>
    <row r="204" spans="1:21" x14ac:dyDescent="0.2">
      <c r="A204" s="24" t="str">
        <f>"got-2.2"</f>
        <v>got-2.2</v>
      </c>
      <c r="B204" s="24" t="s">
        <v>7601</v>
      </c>
      <c r="C204" s="24" t="s">
        <v>7603</v>
      </c>
      <c r="D204" s="24">
        <v>1.1547528644723499</v>
      </c>
      <c r="E204" s="24">
        <f t="shared" si="17"/>
        <v>2.2264618079994989</v>
      </c>
      <c r="F204" s="24">
        <v>2.5032805988953102E-2</v>
      </c>
      <c r="G204" s="24">
        <v>13.461934210153</v>
      </c>
      <c r="H204" s="24">
        <v>13.2478450434438</v>
      </c>
      <c r="I204" s="24">
        <v>12.912370288251299</v>
      </c>
      <c r="J204" s="24">
        <f t="shared" si="18"/>
        <v>13.207383180616034</v>
      </c>
      <c r="K204" s="24">
        <v>13.842798125138099</v>
      </c>
      <c r="L204" s="24">
        <v>13.409568088655</v>
      </c>
      <c r="M204" s="24">
        <v>15.834041921471901</v>
      </c>
      <c r="N204" s="24">
        <f t="shared" si="19"/>
        <v>14.362136045088334</v>
      </c>
      <c r="O204" s="24" t="str">
        <f t="shared" si="20"/>
        <v>ND</v>
      </c>
      <c r="P204" s="24" t="str">
        <f t="shared" si="21"/>
        <v>NA</v>
      </c>
      <c r="S204" s="11" t="s">
        <v>11944</v>
      </c>
      <c r="T204" s="20">
        <v>2.4374346600000001</v>
      </c>
      <c r="U204" s="39"/>
    </row>
    <row r="205" spans="1:21" x14ac:dyDescent="0.2">
      <c r="A205" s="24" t="str">
        <f>"vab-19"</f>
        <v>vab-19</v>
      </c>
      <c r="B205" s="24" t="s">
        <v>1464</v>
      </c>
      <c r="C205" s="24" t="s">
        <v>412</v>
      </c>
      <c r="D205" s="24">
        <v>1.13677393628029</v>
      </c>
      <c r="E205" s="24">
        <f t="shared" si="17"/>
        <v>2.1988877159764906</v>
      </c>
      <c r="F205" s="24">
        <v>1.43807886649633E-3</v>
      </c>
      <c r="G205" s="24">
        <v>12.239535952204699</v>
      </c>
      <c r="H205" s="24">
        <v>12.772471172460801</v>
      </c>
      <c r="I205" s="24">
        <v>12.244312061193099</v>
      </c>
      <c r="J205" s="24">
        <f t="shared" si="18"/>
        <v>12.418773061952868</v>
      </c>
      <c r="K205" s="24">
        <v>13.848347111159899</v>
      </c>
      <c r="L205" s="24">
        <v>13.5772809012194</v>
      </c>
      <c r="M205" s="24">
        <v>13.2410129823202</v>
      </c>
      <c r="N205" s="24">
        <f t="shared" si="19"/>
        <v>13.555546998233167</v>
      </c>
      <c r="O205" s="24" t="str">
        <f t="shared" si="20"/>
        <v>ND</v>
      </c>
      <c r="P205" s="24" t="str">
        <f t="shared" si="21"/>
        <v>NA</v>
      </c>
      <c r="S205" s="11" t="s">
        <v>10180</v>
      </c>
      <c r="T205" s="20">
        <v>2.4317500999999999</v>
      </c>
      <c r="U205" s="39"/>
    </row>
    <row r="206" spans="1:21" x14ac:dyDescent="0.2">
      <c r="A206" s="10" t="str">
        <f>"znf-622"</f>
        <v>znf-622</v>
      </c>
      <c r="B206" s="10" t="s">
        <v>7633</v>
      </c>
      <c r="C206" s="10" t="s">
        <v>130</v>
      </c>
      <c r="D206" s="10">
        <v>1.12068417246258</v>
      </c>
      <c r="E206" s="10">
        <f t="shared" si="17"/>
        <v>2.1745006988518747</v>
      </c>
      <c r="F206" s="10">
        <v>2.7835067678994199E-2</v>
      </c>
      <c r="G206" s="10" t="s">
        <v>14849</v>
      </c>
      <c r="H206" s="10" t="s">
        <v>14849</v>
      </c>
      <c r="I206" s="10">
        <v>11.1773887485997</v>
      </c>
      <c r="J206" s="10">
        <f t="shared" si="18"/>
        <v>11.1773887485997</v>
      </c>
      <c r="K206" s="10">
        <v>12.298113056039</v>
      </c>
      <c r="L206" s="10">
        <v>11.960020873446901</v>
      </c>
      <c r="M206" s="10">
        <v>12.636084833700901</v>
      </c>
      <c r="N206" s="10">
        <f t="shared" si="19"/>
        <v>12.298072921062266</v>
      </c>
      <c r="O206" s="10">
        <f t="shared" si="20"/>
        <v>2.2172895499999998</v>
      </c>
      <c r="P206" s="10">
        <f t="shared" si="21"/>
        <v>0.98070218156752453</v>
      </c>
      <c r="S206" s="11" t="s">
        <v>6557</v>
      </c>
      <c r="T206" s="20">
        <v>2.42257934</v>
      </c>
      <c r="U206" s="39"/>
    </row>
    <row r="207" spans="1:21" x14ac:dyDescent="0.2">
      <c r="A207" s="24" t="str">
        <f>"T04B8.5"</f>
        <v>T04B8.5</v>
      </c>
      <c r="B207" s="24" t="s">
        <v>3893</v>
      </c>
      <c r="C207" s="24" t="s">
        <v>3894</v>
      </c>
      <c r="D207" s="24">
        <v>1.1139741980726401</v>
      </c>
      <c r="E207" s="24">
        <f t="shared" si="17"/>
        <v>2.1644105792324089</v>
      </c>
      <c r="F207" s="24">
        <v>2.34301955203901E-2</v>
      </c>
      <c r="G207" s="24">
        <v>18.648688642001499</v>
      </c>
      <c r="H207" s="24">
        <v>18.824124948883199</v>
      </c>
      <c r="I207" s="24">
        <v>18.511102326069501</v>
      </c>
      <c r="J207" s="24">
        <f t="shared" si="18"/>
        <v>18.6613053056514</v>
      </c>
      <c r="K207" s="24">
        <v>19.905367044544299</v>
      </c>
      <c r="L207" s="24">
        <v>19.5614829728048</v>
      </c>
      <c r="M207" s="24">
        <v>19.858988493822899</v>
      </c>
      <c r="N207" s="24">
        <f t="shared" si="19"/>
        <v>19.775279503724001</v>
      </c>
      <c r="O207" s="24" t="str">
        <f t="shared" si="20"/>
        <v>ND</v>
      </c>
      <c r="P207" s="24" t="str">
        <f t="shared" si="21"/>
        <v>NA</v>
      </c>
      <c r="S207" s="10" t="s">
        <v>14833</v>
      </c>
      <c r="T207" s="20">
        <v>2.4043285577118638</v>
      </c>
      <c r="U207" s="39"/>
    </row>
    <row r="208" spans="1:21" x14ac:dyDescent="0.2">
      <c r="A208" s="10" t="str">
        <f>"pgl-1"</f>
        <v>pgl-1</v>
      </c>
      <c r="B208" s="10" t="s">
        <v>13035</v>
      </c>
      <c r="C208" s="10" t="s">
        <v>13037</v>
      </c>
      <c r="D208" s="10">
        <v>1.1133262195215501</v>
      </c>
      <c r="E208" s="10">
        <f t="shared" si="17"/>
        <v>2.163438664394</v>
      </c>
      <c r="F208" s="10">
        <v>1.29938063986109E-2</v>
      </c>
      <c r="G208" s="10">
        <v>12.596097542499599</v>
      </c>
      <c r="H208" s="10">
        <v>13.668194039158401</v>
      </c>
      <c r="I208" s="10">
        <v>12.319694074389901</v>
      </c>
      <c r="J208" s="10">
        <f t="shared" si="18"/>
        <v>12.861328552015967</v>
      </c>
      <c r="K208" s="10">
        <v>14.161963417545</v>
      </c>
      <c r="L208" s="10">
        <v>13.9719104915443</v>
      </c>
      <c r="M208" s="10">
        <v>13.7900904055232</v>
      </c>
      <c r="N208" s="10">
        <f t="shared" si="19"/>
        <v>13.9746547715375</v>
      </c>
      <c r="O208" s="10">
        <f t="shared" si="20"/>
        <v>2.7237521500000001</v>
      </c>
      <c r="P208" s="10">
        <f t="shared" si="21"/>
        <v>0.79428617041899352</v>
      </c>
      <c r="S208" s="10" t="s">
        <v>14834</v>
      </c>
      <c r="T208" s="20">
        <v>2.3896511107642122</v>
      </c>
      <c r="U208" s="39"/>
    </row>
    <row r="209" spans="1:21" x14ac:dyDescent="0.2">
      <c r="A209" s="10" t="str">
        <f>"vha-13"</f>
        <v>vha-13</v>
      </c>
      <c r="B209" s="10" t="s">
        <v>13793</v>
      </c>
      <c r="C209" s="10" t="s">
        <v>13795</v>
      </c>
      <c r="D209" s="10">
        <v>1.1106054065359701</v>
      </c>
      <c r="E209" s="10">
        <f t="shared" si="17"/>
        <v>2.1593624287624338</v>
      </c>
      <c r="F209" s="32">
        <v>7.8052220991598106E-6</v>
      </c>
      <c r="G209" s="10">
        <v>15.477765994254799</v>
      </c>
      <c r="H209" s="10">
        <v>15.3542527949662</v>
      </c>
      <c r="I209" s="10">
        <v>15.655798905828901</v>
      </c>
      <c r="J209" s="10">
        <f t="shared" si="18"/>
        <v>15.4959392316833</v>
      </c>
      <c r="K209" s="10">
        <v>16.299956721245501</v>
      </c>
      <c r="L209" s="10">
        <v>16.523176750575502</v>
      </c>
      <c r="M209" s="10">
        <v>16.996500442836801</v>
      </c>
      <c r="N209" s="10">
        <f t="shared" si="19"/>
        <v>16.606544638219265</v>
      </c>
      <c r="O209" s="10">
        <f t="shared" si="20"/>
        <v>2.4469431199999998</v>
      </c>
      <c r="P209" s="10">
        <f t="shared" si="21"/>
        <v>0.88247348747625731</v>
      </c>
      <c r="S209" s="11" t="s">
        <v>5754</v>
      </c>
      <c r="T209" s="20">
        <v>2.3840881299999999</v>
      </c>
      <c r="U209" s="39"/>
    </row>
    <row r="210" spans="1:21" x14ac:dyDescent="0.2">
      <c r="A210" s="24" t="str">
        <f>"xpd-1"</f>
        <v>xpd-1</v>
      </c>
      <c r="B210" s="24" t="s">
        <v>12389</v>
      </c>
      <c r="C210" s="24" t="s">
        <v>12391</v>
      </c>
      <c r="D210" s="24">
        <v>1.09990610398077</v>
      </c>
      <c r="E210" s="24">
        <f t="shared" si="17"/>
        <v>2.1434074195166555</v>
      </c>
      <c r="F210" s="24">
        <v>4.0541400133928998E-2</v>
      </c>
      <c r="G210" s="24">
        <v>13.6767833719928</v>
      </c>
      <c r="H210" s="24">
        <v>14.511713363378799</v>
      </c>
      <c r="I210" s="24">
        <v>13.5127878204078</v>
      </c>
      <c r="J210" s="24">
        <f t="shared" si="18"/>
        <v>13.9004281852598</v>
      </c>
      <c r="K210" s="24">
        <v>14.9203829131988</v>
      </c>
      <c r="L210" s="24">
        <v>15.046332244117499</v>
      </c>
      <c r="M210" s="24">
        <v>15.034287710405399</v>
      </c>
      <c r="N210" s="24">
        <f t="shared" si="19"/>
        <v>15.000334289240568</v>
      </c>
      <c r="O210" s="24" t="str">
        <f t="shared" si="20"/>
        <v>ND</v>
      </c>
      <c r="P210" s="24" t="str">
        <f t="shared" si="21"/>
        <v>NA</v>
      </c>
      <c r="S210" s="11" t="s">
        <v>5654</v>
      </c>
      <c r="T210" s="20">
        <v>2.3740384899999998</v>
      </c>
      <c r="U210" s="39"/>
    </row>
    <row r="211" spans="1:21" x14ac:dyDescent="0.2">
      <c r="A211" s="10" t="str">
        <f>"mdt-6"</f>
        <v>mdt-6</v>
      </c>
      <c r="B211" s="10" t="s">
        <v>12299</v>
      </c>
      <c r="C211" s="10" t="s">
        <v>12301</v>
      </c>
      <c r="D211" s="10">
        <v>1.09796698173212</v>
      </c>
      <c r="E211" s="10">
        <f t="shared" si="17"/>
        <v>2.1405284070479729</v>
      </c>
      <c r="F211" s="10">
        <v>3.5255311746567701E-3</v>
      </c>
      <c r="G211" s="10">
        <v>12.270189890492199</v>
      </c>
      <c r="H211" s="10">
        <v>12.6136441941117</v>
      </c>
      <c r="I211" s="10">
        <v>12.5892429457534</v>
      </c>
      <c r="J211" s="10">
        <f t="shared" si="18"/>
        <v>12.491025676785766</v>
      </c>
      <c r="K211" s="10">
        <v>13.741560205613</v>
      </c>
      <c r="L211" s="10">
        <v>13.3530556268332</v>
      </c>
      <c r="M211" s="10">
        <v>13.672362143107399</v>
      </c>
      <c r="N211" s="10">
        <f t="shared" si="19"/>
        <v>13.588992658517867</v>
      </c>
      <c r="O211" s="10">
        <f t="shared" si="20"/>
        <v>4.0429665400000001</v>
      </c>
      <c r="P211" s="10">
        <f t="shared" si="21"/>
        <v>0.52944499685321977</v>
      </c>
      <c r="S211" s="11" t="s">
        <v>7382</v>
      </c>
      <c r="T211" s="20">
        <v>2.3732021699999999</v>
      </c>
      <c r="U211" s="39"/>
    </row>
    <row r="212" spans="1:21" x14ac:dyDescent="0.2">
      <c r="A212" s="24" t="str">
        <f>"F55A12.5"</f>
        <v>F55A12.5</v>
      </c>
      <c r="B212" s="24" t="s">
        <v>2836</v>
      </c>
      <c r="C212" s="24" t="s">
        <v>2837</v>
      </c>
      <c r="D212" s="24">
        <v>1.0952662453775499</v>
      </c>
      <c r="E212" s="24">
        <f t="shared" si="17"/>
        <v>2.1365250695047511</v>
      </c>
      <c r="F212" s="24">
        <v>9.9064642943357296E-3</v>
      </c>
      <c r="G212" s="24">
        <v>12.3963813559511</v>
      </c>
      <c r="H212" s="24">
        <v>12.75503789103</v>
      </c>
      <c r="I212" s="24">
        <v>12.653563417292901</v>
      </c>
      <c r="J212" s="24">
        <f t="shared" si="18"/>
        <v>12.601660888091333</v>
      </c>
      <c r="K212" s="24">
        <v>14.0247085674985</v>
      </c>
      <c r="L212" s="24">
        <v>13.976420173951499</v>
      </c>
      <c r="M212" s="24">
        <v>13.0896526589566</v>
      </c>
      <c r="N212" s="24">
        <f t="shared" si="19"/>
        <v>13.696927133468867</v>
      </c>
      <c r="O212" s="24" t="str">
        <f t="shared" si="20"/>
        <v>ND</v>
      </c>
      <c r="P212" s="24" t="str">
        <f t="shared" si="21"/>
        <v>NA</v>
      </c>
      <c r="S212" s="10" t="s">
        <v>14835</v>
      </c>
      <c r="T212" s="20">
        <v>2.3613504247647152</v>
      </c>
      <c r="U212" s="39"/>
    </row>
    <row r="213" spans="1:21" x14ac:dyDescent="0.2">
      <c r="A213" s="10" t="str">
        <f>"fmo-3"</f>
        <v>fmo-3</v>
      </c>
      <c r="B213" s="10" t="s">
        <v>1208</v>
      </c>
      <c r="C213" s="10" t="s">
        <v>1210</v>
      </c>
      <c r="D213" s="10">
        <v>1.09403844898345</v>
      </c>
      <c r="E213" s="10">
        <f t="shared" si="17"/>
        <v>2.1347075669957989</v>
      </c>
      <c r="F213" s="10">
        <v>6.8086943587728904E-3</v>
      </c>
      <c r="G213" s="10">
        <v>13.8452037670992</v>
      </c>
      <c r="H213" s="10">
        <v>12.770636256442501</v>
      </c>
      <c r="I213" s="10">
        <v>12.4849951339915</v>
      </c>
      <c r="J213" s="10">
        <f t="shared" si="18"/>
        <v>13.033611719177733</v>
      </c>
      <c r="K213" s="10">
        <v>14.2359589076607</v>
      </c>
      <c r="L213" s="10">
        <v>14.101285428588</v>
      </c>
      <c r="M213" s="10">
        <v>14.045706168234799</v>
      </c>
      <c r="N213" s="10">
        <f t="shared" si="19"/>
        <v>14.127650168161168</v>
      </c>
      <c r="O213" s="10">
        <f t="shared" si="20"/>
        <v>4.5818628099999996</v>
      </c>
      <c r="P213" s="10">
        <f t="shared" si="21"/>
        <v>0.46590385952559743</v>
      </c>
      <c r="S213" s="11" t="s">
        <v>5943</v>
      </c>
      <c r="T213" s="20">
        <v>2.3589548100000002</v>
      </c>
      <c r="U213" s="39"/>
    </row>
    <row r="214" spans="1:21" x14ac:dyDescent="0.2">
      <c r="A214" s="10" t="str">
        <f>"snx-1"</f>
        <v>snx-1</v>
      </c>
      <c r="B214" s="10" t="s">
        <v>12209</v>
      </c>
      <c r="C214" s="10" t="s">
        <v>806</v>
      </c>
      <c r="D214" s="10">
        <v>1.09328467503871</v>
      </c>
      <c r="E214" s="10">
        <f t="shared" si="17"/>
        <v>2.1335925242346034</v>
      </c>
      <c r="F214" s="10">
        <v>1.74344019025547E-3</v>
      </c>
      <c r="G214" s="10">
        <v>12.8364099340486</v>
      </c>
      <c r="H214" s="10">
        <v>12.346991382719599</v>
      </c>
      <c r="I214" s="10">
        <v>12.623337628458</v>
      </c>
      <c r="J214" s="10">
        <f t="shared" si="18"/>
        <v>12.6022463150754</v>
      </c>
      <c r="K214" s="10">
        <v>13.4148511084737</v>
      </c>
      <c r="L214" s="10">
        <v>13.9827435978865</v>
      </c>
      <c r="M214" s="10">
        <v>13.688998263982199</v>
      </c>
      <c r="N214" s="10">
        <f t="shared" si="19"/>
        <v>13.695530990114134</v>
      </c>
      <c r="O214" s="10">
        <f t="shared" si="20"/>
        <v>2.7508854500000002</v>
      </c>
      <c r="P214" s="10">
        <f t="shared" si="21"/>
        <v>0.77560209722095241</v>
      </c>
      <c r="S214" s="11" t="s">
        <v>14836</v>
      </c>
      <c r="T214" s="20">
        <v>2.34472418</v>
      </c>
      <c r="U214" s="39"/>
    </row>
    <row r="215" spans="1:21" x14ac:dyDescent="0.2">
      <c r="A215" s="10" t="str">
        <f>"ran-2"</f>
        <v>ran-2</v>
      </c>
      <c r="B215" s="10" t="s">
        <v>5030</v>
      </c>
      <c r="C215" s="10" t="s">
        <v>5032</v>
      </c>
      <c r="D215" s="10">
        <v>1.0881026036359001</v>
      </c>
      <c r="E215" s="10">
        <f t="shared" si="17"/>
        <v>2.1259425391430891</v>
      </c>
      <c r="F215" s="32">
        <v>6.6146254404575002E-5</v>
      </c>
      <c r="G215" s="10">
        <v>13.4672196569964</v>
      </c>
      <c r="H215" s="10">
        <v>13.790968818373001</v>
      </c>
      <c r="I215" s="10">
        <v>13.7460772328115</v>
      </c>
      <c r="J215" s="10">
        <f t="shared" si="18"/>
        <v>13.668088569393634</v>
      </c>
      <c r="K215" s="10">
        <v>14.45867482185</v>
      </c>
      <c r="L215" s="10">
        <v>14.925215375658899</v>
      </c>
      <c r="M215" s="10">
        <v>14.884683321579701</v>
      </c>
      <c r="N215" s="10">
        <f t="shared" si="19"/>
        <v>14.756191173029533</v>
      </c>
      <c r="O215" s="10">
        <f t="shared" si="20"/>
        <v>3.0350834999999998</v>
      </c>
      <c r="P215" s="10">
        <f t="shared" si="21"/>
        <v>0.70045603000480516</v>
      </c>
      <c r="S215" s="11" t="s">
        <v>4979</v>
      </c>
      <c r="T215" s="20">
        <v>2.3367719299999998</v>
      </c>
      <c r="U215" s="39"/>
    </row>
    <row r="216" spans="1:21" x14ac:dyDescent="0.2">
      <c r="A216" s="10" t="str">
        <f>"bli-3"</f>
        <v>bli-3</v>
      </c>
      <c r="B216" s="10" t="s">
        <v>4255</v>
      </c>
      <c r="C216" s="10" t="s">
        <v>4257</v>
      </c>
      <c r="D216" s="10">
        <v>1.0865191192986201</v>
      </c>
      <c r="E216" s="10">
        <f t="shared" ref="E216:E237" si="22">2^D216</f>
        <v>2.1236104108448393</v>
      </c>
      <c r="F216" s="10">
        <v>6.1004004130821299E-3</v>
      </c>
      <c r="G216" s="10">
        <v>11.7494846215225</v>
      </c>
      <c r="H216" s="10">
        <v>12.5894951031374</v>
      </c>
      <c r="I216" s="10">
        <v>12.365204399669601</v>
      </c>
      <c r="J216" s="10">
        <f t="shared" ref="J216:J237" si="23">AVERAGEIF(G216:I216, "&gt;0")</f>
        <v>12.234728041443168</v>
      </c>
      <c r="K216" s="10">
        <v>13.5986282376274</v>
      </c>
      <c r="L216" s="10">
        <v>13.956542873459499</v>
      </c>
      <c r="M216" s="10">
        <v>12.408570371138399</v>
      </c>
      <c r="N216" s="10">
        <f t="shared" si="19"/>
        <v>13.321247160741768</v>
      </c>
      <c r="O216" s="10">
        <f t="shared" si="20"/>
        <v>3.2404884100000002</v>
      </c>
      <c r="P216" s="10">
        <f t="shared" si="21"/>
        <v>0.65533652405343401</v>
      </c>
      <c r="S216" s="11" t="s">
        <v>5171</v>
      </c>
      <c r="T216" s="20">
        <v>2.3200671100000001</v>
      </c>
      <c r="U216" s="39"/>
    </row>
    <row r="217" spans="1:21" x14ac:dyDescent="0.2">
      <c r="A217" s="24" t="str">
        <f>"pptr-2"</f>
        <v>pptr-2</v>
      </c>
      <c r="B217" s="24" t="s">
        <v>589</v>
      </c>
      <c r="C217" s="24" t="s">
        <v>591</v>
      </c>
      <c r="D217" s="24">
        <v>1.0862629442685099</v>
      </c>
      <c r="E217" s="24">
        <f t="shared" si="22"/>
        <v>2.1232333611921126</v>
      </c>
      <c r="F217" s="24">
        <v>1.3621799307532999E-2</v>
      </c>
      <c r="G217" s="24" t="s">
        <v>14849</v>
      </c>
      <c r="H217" s="24" t="s">
        <v>14849</v>
      </c>
      <c r="I217" s="24">
        <v>11.1247155659065</v>
      </c>
      <c r="J217" s="24">
        <f t="shared" si="23"/>
        <v>11.1247155659065</v>
      </c>
      <c r="K217" s="24">
        <v>11.413395256486099</v>
      </c>
      <c r="L217" s="24">
        <v>12.45403879455</v>
      </c>
      <c r="M217" s="24">
        <v>12.765501479488901</v>
      </c>
      <c r="N217" s="24">
        <f t="shared" si="19"/>
        <v>12.210978510175002</v>
      </c>
      <c r="O217" s="24" t="str">
        <f t="shared" si="20"/>
        <v>ND</v>
      </c>
      <c r="P217" s="24" t="str">
        <f t="shared" si="21"/>
        <v>NA</v>
      </c>
      <c r="S217" s="11" t="s">
        <v>14435</v>
      </c>
      <c r="T217" s="20">
        <v>2.31945413</v>
      </c>
      <c r="U217" s="39"/>
    </row>
    <row r="218" spans="1:21" x14ac:dyDescent="0.2">
      <c r="A218" s="24" t="str">
        <f>"acox-1.1"</f>
        <v>acox-1.1</v>
      </c>
      <c r="B218" s="24" t="s">
        <v>4419</v>
      </c>
      <c r="C218" s="24" t="s">
        <v>4421</v>
      </c>
      <c r="D218" s="24">
        <v>1.08624236277963</v>
      </c>
      <c r="E218" s="24">
        <f t="shared" si="22"/>
        <v>2.1232030713589403</v>
      </c>
      <c r="F218" s="24">
        <v>5.6572555200074303E-3</v>
      </c>
      <c r="G218" s="24">
        <v>11.3043976341429</v>
      </c>
      <c r="H218" s="24" t="s">
        <v>14849</v>
      </c>
      <c r="I218" s="24">
        <v>12.0934871534922</v>
      </c>
      <c r="J218" s="24">
        <f t="shared" si="23"/>
        <v>11.69894239381755</v>
      </c>
      <c r="K218" s="24">
        <v>12.989760182902801</v>
      </c>
      <c r="L218" s="24">
        <v>12.440163090439899</v>
      </c>
      <c r="M218" s="24">
        <v>12.9256309964489</v>
      </c>
      <c r="N218" s="24">
        <f t="shared" si="19"/>
        <v>12.785184756597202</v>
      </c>
      <c r="O218" s="24" t="str">
        <f t="shared" si="20"/>
        <v>ND</v>
      </c>
      <c r="P218" s="24" t="str">
        <f t="shared" si="21"/>
        <v>NA</v>
      </c>
      <c r="S218" s="10" t="s">
        <v>14837</v>
      </c>
      <c r="T218" s="20">
        <v>2.3074640686789936</v>
      </c>
      <c r="U218" s="39"/>
    </row>
    <row r="219" spans="1:21" x14ac:dyDescent="0.2">
      <c r="A219" s="24" t="str">
        <f>"C09E8.1"</f>
        <v>C09E8.1</v>
      </c>
      <c r="B219" s="24" t="s">
        <v>2262</v>
      </c>
      <c r="C219" s="24" t="s">
        <v>2264</v>
      </c>
      <c r="D219" s="24">
        <v>1.07850620498093</v>
      </c>
      <c r="E219" s="24">
        <f t="shared" si="22"/>
        <v>2.1118482991260485</v>
      </c>
      <c r="F219" s="24">
        <v>2.2035040004859301E-3</v>
      </c>
      <c r="G219" s="24">
        <v>10.539918489162901</v>
      </c>
      <c r="H219" s="24">
        <v>10.006446761058999</v>
      </c>
      <c r="I219" s="24">
        <v>11.112854420738699</v>
      </c>
      <c r="J219" s="24">
        <f t="shared" si="23"/>
        <v>10.553073223653533</v>
      </c>
      <c r="K219" s="24">
        <v>11.4951900058071</v>
      </c>
      <c r="L219" s="24">
        <v>12.056211921062999</v>
      </c>
      <c r="M219" s="24">
        <v>11.343336359033399</v>
      </c>
      <c r="N219" s="24">
        <f t="shared" si="19"/>
        <v>11.631579428634501</v>
      </c>
      <c r="O219" s="24" t="str">
        <f t="shared" si="20"/>
        <v>ND</v>
      </c>
      <c r="P219" s="24" t="str">
        <f t="shared" si="21"/>
        <v>NA</v>
      </c>
      <c r="S219" s="10" t="s">
        <v>14838</v>
      </c>
      <c r="T219" s="20">
        <v>2.2942140484523303</v>
      </c>
      <c r="U219" s="39"/>
    </row>
    <row r="220" spans="1:21" x14ac:dyDescent="0.2">
      <c r="A220" s="10" t="str">
        <f>"cnnm-1"</f>
        <v>cnnm-1</v>
      </c>
      <c r="B220" s="10" t="s">
        <v>464</v>
      </c>
      <c r="C220" s="10" t="s">
        <v>466</v>
      </c>
      <c r="D220" s="10">
        <v>1.0768034316372701</v>
      </c>
      <c r="E220" s="10">
        <f t="shared" si="22"/>
        <v>2.1093572129346057</v>
      </c>
      <c r="F220" s="10">
        <v>3.0042277961783499E-2</v>
      </c>
      <c r="G220" s="10">
        <v>10.374466721912301</v>
      </c>
      <c r="H220" s="10">
        <v>10.5409232451601</v>
      </c>
      <c r="I220" s="10">
        <v>10.476359967086299</v>
      </c>
      <c r="J220" s="10">
        <f t="shared" si="23"/>
        <v>10.463916644719566</v>
      </c>
      <c r="K220" s="10">
        <v>11.8159640611062</v>
      </c>
      <c r="L220" s="10">
        <v>11.9400279107762</v>
      </c>
      <c r="M220" s="10">
        <v>10.8661682571881</v>
      </c>
      <c r="N220" s="10">
        <f t="shared" si="19"/>
        <v>11.540720076356834</v>
      </c>
      <c r="O220" s="10">
        <f t="shared" si="20"/>
        <v>4.7841150700000004</v>
      </c>
      <c r="P220" s="10">
        <f t="shared" si="21"/>
        <v>0.44090854464639906</v>
      </c>
      <c r="S220" s="10" t="s">
        <v>14394</v>
      </c>
      <c r="T220" s="20">
        <v>2.2870691712641826</v>
      </c>
      <c r="U220" s="39"/>
    </row>
    <row r="221" spans="1:21" x14ac:dyDescent="0.2">
      <c r="A221" s="24" t="str">
        <f>"kin-29"</f>
        <v>kin-29</v>
      </c>
      <c r="B221" s="24" t="s">
        <v>9059</v>
      </c>
      <c r="C221" s="24" t="s">
        <v>9061</v>
      </c>
      <c r="D221" s="24">
        <v>1.07595221444117</v>
      </c>
      <c r="E221" s="24">
        <f t="shared" si="22"/>
        <v>2.10811301960889</v>
      </c>
      <c r="F221" s="24">
        <v>1.4018061295630799E-3</v>
      </c>
      <c r="G221" s="24">
        <v>13.405373966808201</v>
      </c>
      <c r="H221" s="24">
        <v>13.0207204336304</v>
      </c>
      <c r="I221" s="24">
        <v>13.0223940929574</v>
      </c>
      <c r="J221" s="24">
        <f t="shared" si="23"/>
        <v>13.149496164465333</v>
      </c>
      <c r="K221" s="24">
        <v>14.3219380934977</v>
      </c>
      <c r="L221" s="24">
        <v>14.4703595084725</v>
      </c>
      <c r="M221" s="24">
        <v>13.8840475347493</v>
      </c>
      <c r="N221" s="24">
        <f t="shared" si="19"/>
        <v>14.225448378906499</v>
      </c>
      <c r="O221" s="24" t="str">
        <f t="shared" si="20"/>
        <v>ND</v>
      </c>
      <c r="P221" s="24" t="str">
        <f t="shared" si="21"/>
        <v>NA</v>
      </c>
      <c r="S221" s="10" t="s">
        <v>6213</v>
      </c>
      <c r="T221" s="20">
        <v>2.2845523517470934</v>
      </c>
      <c r="U221" s="39"/>
    </row>
    <row r="222" spans="1:21" x14ac:dyDescent="0.2">
      <c r="A222" s="10" t="str">
        <f>"vab-10"</f>
        <v>vab-10</v>
      </c>
      <c r="B222" s="10" t="s">
        <v>206</v>
      </c>
      <c r="C222" s="10" t="s">
        <v>208</v>
      </c>
      <c r="D222" s="10">
        <v>1.07346968002118</v>
      </c>
      <c r="E222" s="10">
        <f t="shared" si="22"/>
        <v>2.1044885786880556</v>
      </c>
      <c r="F222" s="32">
        <v>5.4786429167799401E-6</v>
      </c>
      <c r="G222" s="10">
        <v>14.179956953749899</v>
      </c>
      <c r="H222" s="10">
        <v>14.4377412108465</v>
      </c>
      <c r="I222" s="10">
        <v>14.2445464099474</v>
      </c>
      <c r="J222" s="10">
        <f t="shared" si="23"/>
        <v>14.287414858181265</v>
      </c>
      <c r="K222" s="10">
        <v>15.3850840532939</v>
      </c>
      <c r="L222" s="10">
        <v>15.2769804460488</v>
      </c>
      <c r="M222" s="10">
        <v>15.420589115264599</v>
      </c>
      <c r="N222" s="10">
        <f t="shared" si="19"/>
        <v>15.360884538202432</v>
      </c>
      <c r="O222" s="10">
        <f t="shared" si="20"/>
        <v>2.1934022799999999</v>
      </c>
      <c r="P222" s="10">
        <f t="shared" si="21"/>
        <v>0.95946311257051109</v>
      </c>
      <c r="S222" s="11" t="s">
        <v>14839</v>
      </c>
      <c r="T222" s="20">
        <v>2.28333005</v>
      </c>
      <c r="U222" s="39"/>
    </row>
    <row r="223" spans="1:21" x14ac:dyDescent="0.2">
      <c r="A223" s="24" t="str">
        <f>"larp-1"</f>
        <v>larp-1</v>
      </c>
      <c r="B223" s="24" t="s">
        <v>788</v>
      </c>
      <c r="C223" s="24" t="s">
        <v>790</v>
      </c>
      <c r="D223" s="24">
        <v>1.06657459774486</v>
      </c>
      <c r="E223" s="24">
        <f t="shared" si="22"/>
        <v>2.0944545789115576</v>
      </c>
      <c r="F223" s="24">
        <v>1.8554380783963799E-4</v>
      </c>
      <c r="G223" s="24">
        <v>12.6874718631409</v>
      </c>
      <c r="H223" s="24">
        <v>12.978714145184201</v>
      </c>
      <c r="I223" s="24">
        <v>13.093040787917101</v>
      </c>
      <c r="J223" s="24">
        <f t="shared" si="23"/>
        <v>12.919742265414067</v>
      </c>
      <c r="K223" s="24">
        <v>14.0652459495291</v>
      </c>
      <c r="L223" s="24">
        <v>14.0305605072143</v>
      </c>
      <c r="M223" s="24">
        <v>13.8631441327334</v>
      </c>
      <c r="N223" s="24">
        <f t="shared" si="19"/>
        <v>13.986316863158933</v>
      </c>
      <c r="O223" s="24" t="str">
        <f t="shared" si="20"/>
        <v>ND</v>
      </c>
      <c r="P223" s="24" t="str">
        <f t="shared" si="21"/>
        <v>NA</v>
      </c>
      <c r="S223" s="10" t="s">
        <v>14653</v>
      </c>
      <c r="T223" s="20">
        <v>2.2795263866027669</v>
      </c>
      <c r="U223" s="39"/>
    </row>
    <row r="224" spans="1:21" x14ac:dyDescent="0.2">
      <c r="A224" s="10" t="str">
        <f>"unc-44"</f>
        <v>unc-44</v>
      </c>
      <c r="B224" s="10" t="s">
        <v>7322</v>
      </c>
      <c r="C224" s="10" t="s">
        <v>7324</v>
      </c>
      <c r="D224" s="10">
        <v>1.06282516845874</v>
      </c>
      <c r="E224" s="10">
        <f t="shared" si="22"/>
        <v>2.0890183548094372</v>
      </c>
      <c r="F224" s="32">
        <v>8.1722831564971194E-6</v>
      </c>
      <c r="G224" s="10">
        <v>14.065735244931201</v>
      </c>
      <c r="H224" s="10">
        <v>14.250317975367301</v>
      </c>
      <c r="I224" s="10">
        <v>14.1527623780438</v>
      </c>
      <c r="J224" s="10">
        <f t="shared" si="23"/>
        <v>14.156271866114102</v>
      </c>
      <c r="K224" s="10">
        <v>15.040459183056999</v>
      </c>
      <c r="L224" s="10">
        <v>15.3056995731858</v>
      </c>
      <c r="M224" s="10">
        <v>15.3111323474758</v>
      </c>
      <c r="N224" s="10">
        <f t="shared" si="19"/>
        <v>15.219097034572867</v>
      </c>
      <c r="O224" s="10">
        <f t="shared" si="20"/>
        <v>2.6221794300000001</v>
      </c>
      <c r="P224" s="10">
        <f t="shared" si="21"/>
        <v>0.7966725430415863</v>
      </c>
      <c r="S224" s="10" t="s">
        <v>6272</v>
      </c>
      <c r="T224" s="20">
        <v>2.2777352857525219</v>
      </c>
      <c r="U224" s="39"/>
    </row>
    <row r="225" spans="1:21" x14ac:dyDescent="0.2">
      <c r="A225" s="24" t="str">
        <f>"ech-1.1"</f>
        <v>ech-1.1</v>
      </c>
      <c r="B225" s="24" t="s">
        <v>3449</v>
      </c>
      <c r="C225" s="24" t="s">
        <v>3451</v>
      </c>
      <c r="D225" s="24">
        <v>1.0613115526934001</v>
      </c>
      <c r="E225" s="24">
        <f t="shared" si="22"/>
        <v>2.0868277927697498</v>
      </c>
      <c r="F225" s="24">
        <v>5.5053354341995701E-4</v>
      </c>
      <c r="G225" s="24">
        <v>13.273828498303301</v>
      </c>
      <c r="H225" s="24">
        <v>13.1973258456997</v>
      </c>
      <c r="I225" s="24">
        <v>12.880880123295199</v>
      </c>
      <c r="J225" s="24">
        <f t="shared" si="23"/>
        <v>13.117344822432733</v>
      </c>
      <c r="K225" s="24">
        <v>13.8299672871645</v>
      </c>
      <c r="L225" s="24">
        <v>14.6358543657194</v>
      </c>
      <c r="M225" s="24">
        <v>14.0701474724946</v>
      </c>
      <c r="N225" s="24">
        <f t="shared" si="19"/>
        <v>14.178656375126167</v>
      </c>
      <c r="O225" s="24" t="str">
        <f t="shared" si="20"/>
        <v>ND</v>
      </c>
      <c r="P225" s="24" t="str">
        <f t="shared" si="21"/>
        <v>NA</v>
      </c>
      <c r="S225" s="11" t="s">
        <v>11496</v>
      </c>
      <c r="T225" s="20">
        <v>2.2734654299999999</v>
      </c>
      <c r="U225" s="39"/>
    </row>
    <row r="226" spans="1:21" x14ac:dyDescent="0.2">
      <c r="A226" s="16" t="str">
        <f>"uba-1"</f>
        <v>uba-1</v>
      </c>
      <c r="B226" s="16" t="s">
        <v>10416</v>
      </c>
      <c r="C226" s="16" t="s">
        <v>10418</v>
      </c>
      <c r="D226" s="16">
        <v>1.0598635013556601</v>
      </c>
      <c r="E226" s="16">
        <f t="shared" si="22"/>
        <v>2.0847342680315784</v>
      </c>
      <c r="F226" s="16">
        <v>6.8732212796488996E-4</v>
      </c>
      <c r="G226" s="16">
        <v>16.5648453389698</v>
      </c>
      <c r="H226" s="16">
        <v>16.21262669915</v>
      </c>
      <c r="I226" s="16">
        <v>16.295850417744099</v>
      </c>
      <c r="J226" s="16">
        <f t="shared" si="23"/>
        <v>16.357774151954633</v>
      </c>
      <c r="K226" s="16">
        <v>17.238920555226802</v>
      </c>
      <c r="L226" s="16">
        <v>17.636784611794798</v>
      </c>
      <c r="M226" s="16">
        <v>17.3772077929092</v>
      </c>
      <c r="N226" s="16">
        <f t="shared" si="19"/>
        <v>17.417637653310265</v>
      </c>
      <c r="O226" s="16">
        <f t="shared" si="20"/>
        <v>5.8160155800000002</v>
      </c>
      <c r="P226" s="16">
        <f t="shared" si="21"/>
        <v>0.35844716014869726</v>
      </c>
      <c r="S226" s="11" t="s">
        <v>14179</v>
      </c>
      <c r="T226" s="20">
        <v>2.2527639000000002</v>
      </c>
      <c r="U226" s="39"/>
    </row>
    <row r="227" spans="1:21" x14ac:dyDescent="0.2">
      <c r="A227" s="24" t="str">
        <f>"alh-6"</f>
        <v>alh-6</v>
      </c>
      <c r="B227" s="24" t="s">
        <v>1101</v>
      </c>
      <c r="C227" s="24" t="s">
        <v>1103</v>
      </c>
      <c r="D227" s="24">
        <v>1.0426997399914999</v>
      </c>
      <c r="E227" s="24">
        <f t="shared" si="22"/>
        <v>2.0600791099360509</v>
      </c>
      <c r="F227" s="24">
        <v>1.78881377670363E-3</v>
      </c>
      <c r="G227" s="24">
        <v>11.871356682956</v>
      </c>
      <c r="H227" s="24">
        <v>12.4864279776176</v>
      </c>
      <c r="I227" s="24">
        <v>12.7841378270485</v>
      </c>
      <c r="J227" s="24">
        <f t="shared" si="23"/>
        <v>12.380640829207366</v>
      </c>
      <c r="K227" s="24">
        <v>13.221852110833</v>
      </c>
      <c r="L227" s="24">
        <v>13.0569541716927</v>
      </c>
      <c r="M227" s="24">
        <v>13.9912154250709</v>
      </c>
      <c r="N227" s="24">
        <f t="shared" si="19"/>
        <v>13.423340569198865</v>
      </c>
      <c r="O227" s="24" t="str">
        <f t="shared" si="20"/>
        <v>ND</v>
      </c>
      <c r="P227" s="24" t="str">
        <f t="shared" si="21"/>
        <v>NA</v>
      </c>
      <c r="S227" s="11" t="s">
        <v>6609</v>
      </c>
      <c r="T227" s="20">
        <v>2.2526991999999999</v>
      </c>
      <c r="U227" s="39"/>
    </row>
    <row r="228" spans="1:21" x14ac:dyDescent="0.2">
      <c r="A228" s="24" t="str">
        <f>"met-2"</f>
        <v>met-2</v>
      </c>
      <c r="B228" s="24" t="s">
        <v>5234</v>
      </c>
      <c r="C228" s="24" t="s">
        <v>5236</v>
      </c>
      <c r="D228" s="24">
        <v>1.0407534539347101</v>
      </c>
      <c r="E228" s="24">
        <f t="shared" si="22"/>
        <v>2.0573018078630882</v>
      </c>
      <c r="F228" s="24">
        <v>1.7794623378069E-3</v>
      </c>
      <c r="G228" s="24">
        <v>11.0095918363564</v>
      </c>
      <c r="H228" s="24">
        <v>11.3690473152629</v>
      </c>
      <c r="I228" s="24">
        <v>11.219486572823801</v>
      </c>
      <c r="J228" s="24">
        <f t="shared" si="23"/>
        <v>11.199375241481034</v>
      </c>
      <c r="K228" s="24">
        <v>12.1450751773961</v>
      </c>
      <c r="L228" s="24">
        <v>12.251923418252</v>
      </c>
      <c r="M228" s="24">
        <v>12.323387490599099</v>
      </c>
      <c r="N228" s="24">
        <f t="shared" si="19"/>
        <v>12.240128695415734</v>
      </c>
      <c r="O228" s="24" t="str">
        <f t="shared" si="20"/>
        <v>ND</v>
      </c>
      <c r="P228" s="24" t="str">
        <f t="shared" si="21"/>
        <v>NA</v>
      </c>
      <c r="S228" s="11" t="s">
        <v>14840</v>
      </c>
      <c r="T228" s="20">
        <v>2.2416322900000001</v>
      </c>
      <c r="U228" s="39"/>
    </row>
    <row r="229" spans="1:21" x14ac:dyDescent="0.2">
      <c r="A229" s="24" t="str">
        <f>"pho-7"</f>
        <v>pho-7</v>
      </c>
      <c r="B229" s="24" t="s">
        <v>9877</v>
      </c>
      <c r="C229" s="24" t="s">
        <v>9879</v>
      </c>
      <c r="D229" s="24">
        <v>1.04053165180698</v>
      </c>
      <c r="E229" s="24">
        <f t="shared" si="22"/>
        <v>2.0569855394695367</v>
      </c>
      <c r="F229" s="24">
        <v>4.7828302092021097E-3</v>
      </c>
      <c r="G229" s="24">
        <v>10.816245397876401</v>
      </c>
      <c r="H229" s="24" t="s">
        <v>14849</v>
      </c>
      <c r="I229" s="24">
        <v>11.037533410927701</v>
      </c>
      <c r="J229" s="24">
        <f t="shared" si="23"/>
        <v>10.926889404402051</v>
      </c>
      <c r="K229" s="24">
        <v>12.4412438100653</v>
      </c>
      <c r="L229" s="24">
        <v>11.5503636604815</v>
      </c>
      <c r="M229" s="24">
        <v>11.9106556980803</v>
      </c>
      <c r="N229" s="24">
        <f t="shared" si="19"/>
        <v>11.967421056209034</v>
      </c>
      <c r="O229" s="24" t="str">
        <f t="shared" si="20"/>
        <v>ND</v>
      </c>
      <c r="P229" s="24" t="str">
        <f t="shared" si="21"/>
        <v>NA</v>
      </c>
      <c r="S229" s="10" t="s">
        <v>14841</v>
      </c>
      <c r="T229" s="20">
        <v>2.2353488547905687</v>
      </c>
      <c r="U229" s="39"/>
    </row>
    <row r="230" spans="1:21" x14ac:dyDescent="0.2">
      <c r="A230" s="14" t="str">
        <f>"arrd-25"</f>
        <v>arrd-25</v>
      </c>
      <c r="B230" s="14" t="s">
        <v>7420</v>
      </c>
      <c r="C230" s="14" t="s">
        <v>7422</v>
      </c>
      <c r="D230" s="14">
        <v>1.0396616049507199</v>
      </c>
      <c r="E230" s="14">
        <f t="shared" si="22"/>
        <v>2.0557454061010931</v>
      </c>
      <c r="F230" s="14">
        <v>6.3626509138307505E-4</v>
      </c>
      <c r="G230" s="14">
        <v>13.615903602785499</v>
      </c>
      <c r="H230" s="14">
        <v>13.5449298300046</v>
      </c>
      <c r="I230" s="14">
        <v>13.3245858773185</v>
      </c>
      <c r="J230" s="14">
        <f t="shared" si="23"/>
        <v>13.495139770036198</v>
      </c>
      <c r="K230" s="14">
        <v>14.7273759905184</v>
      </c>
      <c r="L230" s="14">
        <v>14.4656026345535</v>
      </c>
      <c r="M230" s="14">
        <v>14.4114254998889</v>
      </c>
      <c r="N230" s="14">
        <f t="shared" si="19"/>
        <v>14.534801374986934</v>
      </c>
      <c r="O230" s="14">
        <f t="shared" si="20"/>
        <v>16.838587100000002</v>
      </c>
      <c r="P230" s="14">
        <f t="shared" si="21"/>
        <v>0.12208538601799274</v>
      </c>
      <c r="S230" s="11" t="s">
        <v>14842</v>
      </c>
      <c r="T230" s="20">
        <v>2.2325585999999999</v>
      </c>
      <c r="U230" s="39"/>
    </row>
    <row r="231" spans="1:21" x14ac:dyDescent="0.2">
      <c r="A231" s="24" t="str">
        <f>"panl-3"</f>
        <v>panl-3</v>
      </c>
      <c r="B231" s="24" t="s">
        <v>5357</v>
      </c>
      <c r="C231" s="24" t="s">
        <v>5359</v>
      </c>
      <c r="D231" s="24">
        <v>1.0375866809145</v>
      </c>
      <c r="E231" s="24">
        <f t="shared" si="22"/>
        <v>2.0527909011549625</v>
      </c>
      <c r="F231" s="24">
        <v>2.99652496450353E-3</v>
      </c>
      <c r="G231" s="24">
        <v>11.603543570277999</v>
      </c>
      <c r="H231" s="24">
        <v>10.788808355569101</v>
      </c>
      <c r="I231" s="24">
        <v>12.0450956405534</v>
      </c>
      <c r="J231" s="24">
        <f t="shared" si="23"/>
        <v>11.479149188800166</v>
      </c>
      <c r="K231" s="24">
        <v>12.45834754859</v>
      </c>
      <c r="L231" s="24">
        <v>12.634356360616099</v>
      </c>
      <c r="M231" s="24">
        <v>12.457503699937901</v>
      </c>
      <c r="N231" s="24">
        <f t="shared" si="19"/>
        <v>12.516735869714667</v>
      </c>
      <c r="O231" s="24" t="str">
        <f t="shared" si="20"/>
        <v>ND</v>
      </c>
      <c r="P231" s="24" t="str">
        <f t="shared" si="21"/>
        <v>NA</v>
      </c>
      <c r="S231" s="11" t="s">
        <v>11179</v>
      </c>
      <c r="T231" s="20">
        <v>2.2288679600000001</v>
      </c>
      <c r="U231" s="39"/>
    </row>
    <row r="232" spans="1:21" x14ac:dyDescent="0.2">
      <c r="A232" s="24" t="str">
        <f>"F17B5.1"</f>
        <v>F17B5.1</v>
      </c>
      <c r="B232" s="24" t="s">
        <v>4038</v>
      </c>
      <c r="C232" s="24" t="s">
        <v>4039</v>
      </c>
      <c r="D232" s="24">
        <v>1.0312753568224</v>
      </c>
      <c r="E232" s="24">
        <f t="shared" si="22"/>
        <v>2.0438302193728299</v>
      </c>
      <c r="F232" s="24">
        <v>4.9655560556490001E-2</v>
      </c>
      <c r="G232" s="24">
        <v>12.9340879445773</v>
      </c>
      <c r="H232" s="24">
        <v>12.9672409777063</v>
      </c>
      <c r="I232" s="24">
        <v>11.9848585536143</v>
      </c>
      <c r="J232" s="24">
        <f t="shared" si="23"/>
        <v>12.628729158632632</v>
      </c>
      <c r="K232" s="24">
        <v>13.899986884612099</v>
      </c>
      <c r="L232" s="24">
        <v>13.4626114557125</v>
      </c>
      <c r="M232" s="24">
        <v>13.6174152060405</v>
      </c>
      <c r="N232" s="24">
        <f t="shared" si="19"/>
        <v>13.660004515455034</v>
      </c>
      <c r="O232" s="24" t="str">
        <f t="shared" si="20"/>
        <v>ND</v>
      </c>
      <c r="P232" s="24" t="str">
        <f t="shared" si="21"/>
        <v>NA</v>
      </c>
      <c r="S232" s="10" t="s">
        <v>14843</v>
      </c>
      <c r="T232" s="20">
        <v>2.2273063436391891</v>
      </c>
      <c r="U232" s="39"/>
    </row>
    <row r="233" spans="1:21" x14ac:dyDescent="0.2">
      <c r="A233" s="24" t="str">
        <f>"spc-1"</f>
        <v>spc-1</v>
      </c>
      <c r="B233" s="24" t="s">
        <v>9277</v>
      </c>
      <c r="C233" s="24" t="s">
        <v>9279</v>
      </c>
      <c r="D233" s="24">
        <v>1.02541894455767</v>
      </c>
      <c r="E233" s="24">
        <f t="shared" si="22"/>
        <v>2.0355504023560238</v>
      </c>
      <c r="F233" s="24">
        <v>3.1957401616348698E-2</v>
      </c>
      <c r="G233" s="24" t="s">
        <v>14849</v>
      </c>
      <c r="H233" s="24" t="s">
        <v>14849</v>
      </c>
      <c r="I233" s="24">
        <v>10.7629725379456</v>
      </c>
      <c r="J233" s="24">
        <f t="shared" si="23"/>
        <v>10.7629725379456</v>
      </c>
      <c r="K233" s="24">
        <v>11.909773898339701</v>
      </c>
      <c r="L233" s="24">
        <v>11.5241324008327</v>
      </c>
      <c r="M233" s="24">
        <v>11.9312681483374</v>
      </c>
      <c r="N233" s="24">
        <f t="shared" si="19"/>
        <v>11.788391482503267</v>
      </c>
      <c r="O233" s="24" t="str">
        <f t="shared" si="20"/>
        <v>ND</v>
      </c>
      <c r="P233" s="24" t="str">
        <f t="shared" si="21"/>
        <v>NA</v>
      </c>
      <c r="S233" s="11" t="s">
        <v>7634</v>
      </c>
      <c r="T233" s="20">
        <v>2.2172895499999998</v>
      </c>
      <c r="U233" s="39"/>
    </row>
    <row r="234" spans="1:21" x14ac:dyDescent="0.2">
      <c r="A234" s="10" t="str">
        <f>"sly-1"</f>
        <v>sly-1</v>
      </c>
      <c r="B234" s="10" t="s">
        <v>8752</v>
      </c>
      <c r="C234" s="10" t="s">
        <v>8754</v>
      </c>
      <c r="D234" s="10">
        <v>1.0252933612641699</v>
      </c>
      <c r="E234" s="10">
        <f t="shared" si="22"/>
        <v>2.0353732200751953</v>
      </c>
      <c r="F234" s="10">
        <v>3.0872894556491801E-4</v>
      </c>
      <c r="G234" s="10">
        <v>12.358151439156901</v>
      </c>
      <c r="H234" s="10">
        <v>12.435713751454101</v>
      </c>
      <c r="I234" s="10">
        <v>12.3426351442452</v>
      </c>
      <c r="J234" s="10">
        <f t="shared" si="23"/>
        <v>12.378833444952067</v>
      </c>
      <c r="K234" s="10">
        <v>13.1405200772942</v>
      </c>
      <c r="L234" s="10">
        <v>13.4466645592603</v>
      </c>
      <c r="M234" s="10">
        <v>13.625195782094099</v>
      </c>
      <c r="N234" s="10">
        <f t="shared" si="19"/>
        <v>13.404126806216199</v>
      </c>
      <c r="O234" s="10">
        <f t="shared" si="20"/>
        <v>2.93598567</v>
      </c>
      <c r="P234" s="10">
        <f t="shared" si="21"/>
        <v>0.6932503931721149</v>
      </c>
      <c r="S234" s="10" t="s">
        <v>14844</v>
      </c>
      <c r="T234" s="20">
        <v>2.2010617794804963</v>
      </c>
      <c r="U234" s="39"/>
    </row>
    <row r="235" spans="1:21" x14ac:dyDescent="0.2">
      <c r="A235" s="24" t="str">
        <f>"hacl-1"</f>
        <v>hacl-1</v>
      </c>
      <c r="B235" s="24" t="s">
        <v>7314</v>
      </c>
      <c r="C235" s="24" t="s">
        <v>7316</v>
      </c>
      <c r="D235" s="24">
        <v>1.0167807988729001</v>
      </c>
      <c r="E235" s="24">
        <f t="shared" si="22"/>
        <v>2.0233989462066475</v>
      </c>
      <c r="F235" s="24">
        <v>4.1800747075638398E-3</v>
      </c>
      <c r="G235" s="24">
        <v>13.399309505526499</v>
      </c>
      <c r="H235" s="24">
        <v>12.302792946543899</v>
      </c>
      <c r="I235" s="24">
        <v>13.0402221832063</v>
      </c>
      <c r="J235" s="24">
        <f t="shared" si="23"/>
        <v>12.914108211758901</v>
      </c>
      <c r="K235" s="24">
        <v>13.2462173267183</v>
      </c>
      <c r="L235" s="24">
        <v>14.1910426203789</v>
      </c>
      <c r="M235" s="24">
        <v>14.3554070847982</v>
      </c>
      <c r="N235" s="24">
        <f t="shared" si="19"/>
        <v>13.9308890106318</v>
      </c>
      <c r="O235" s="24" t="str">
        <f t="shared" si="20"/>
        <v>ND</v>
      </c>
      <c r="P235" s="24" t="str">
        <f t="shared" si="21"/>
        <v>NA</v>
      </c>
      <c r="S235" s="11" t="s">
        <v>207</v>
      </c>
      <c r="T235" s="20">
        <v>2.1934022799999999</v>
      </c>
      <c r="U235" s="39"/>
    </row>
    <row r="236" spans="1:21" x14ac:dyDescent="0.2">
      <c r="A236" s="24" t="str">
        <f>"efk-1"</f>
        <v>efk-1</v>
      </c>
      <c r="B236" s="24" t="s">
        <v>2984</v>
      </c>
      <c r="C236" s="24" t="s">
        <v>2986</v>
      </c>
      <c r="D236" s="24">
        <v>1.00541679465048</v>
      </c>
      <c r="E236" s="24">
        <f t="shared" si="22"/>
        <v>2.0075233868303162</v>
      </c>
      <c r="F236" s="24">
        <v>1.5193787575147E-4</v>
      </c>
      <c r="G236" s="24">
        <v>13.346379964293501</v>
      </c>
      <c r="H236" s="24">
        <v>13.580914837422499</v>
      </c>
      <c r="I236" s="24">
        <v>12.884244750239199</v>
      </c>
      <c r="J236" s="24">
        <f t="shared" si="23"/>
        <v>13.270513183985067</v>
      </c>
      <c r="K236" s="24">
        <v>14.557531321103101</v>
      </c>
      <c r="L236" s="24">
        <v>14.1134119493738</v>
      </c>
      <c r="M236" s="24">
        <v>14.1568466654297</v>
      </c>
      <c r="N236" s="24">
        <f t="shared" si="19"/>
        <v>14.275929978635533</v>
      </c>
      <c r="O236" s="24" t="str">
        <f t="shared" si="20"/>
        <v>ND</v>
      </c>
      <c r="P236" s="24" t="str">
        <f t="shared" si="21"/>
        <v>NA</v>
      </c>
      <c r="S236" s="11" t="s">
        <v>14845</v>
      </c>
      <c r="T236" s="20">
        <v>2.1915128199999998</v>
      </c>
      <c r="U236" s="39"/>
    </row>
    <row r="237" spans="1:21" x14ac:dyDescent="0.2">
      <c r="A237" s="24" t="str">
        <f>"syx-5"</f>
        <v>syx-5</v>
      </c>
      <c r="B237" s="24" t="s">
        <v>8954</v>
      </c>
      <c r="C237" s="24" t="s">
        <v>8956</v>
      </c>
      <c r="D237" s="24">
        <v>1.00085714211396</v>
      </c>
      <c r="E237" s="24">
        <f t="shared" si="22"/>
        <v>2.0011886043344531</v>
      </c>
      <c r="F237" s="24">
        <v>1.8436957614121799E-2</v>
      </c>
      <c r="G237" s="24" t="s">
        <v>14849</v>
      </c>
      <c r="H237" s="24" t="s">
        <v>14849</v>
      </c>
      <c r="I237" s="24">
        <v>12.790054353161</v>
      </c>
      <c r="J237" s="24">
        <f t="shared" si="23"/>
        <v>12.790054353161</v>
      </c>
      <c r="K237" s="24">
        <v>14.064115749876301</v>
      </c>
      <c r="L237" s="24">
        <v>13.5574745143666</v>
      </c>
      <c r="M237" s="24">
        <v>13.7511442215818</v>
      </c>
      <c r="N237" s="24">
        <f t="shared" si="19"/>
        <v>13.7909114952749</v>
      </c>
      <c r="O237" s="24" t="str">
        <f t="shared" si="20"/>
        <v>ND</v>
      </c>
      <c r="P237" s="24" t="str">
        <f t="shared" si="21"/>
        <v>NA</v>
      </c>
      <c r="S237" s="11" t="s">
        <v>303</v>
      </c>
      <c r="T237" s="20">
        <v>2.1821675200000001</v>
      </c>
      <c r="U237" s="39"/>
    </row>
    <row r="238" spans="1:21" x14ac:dyDescent="0.2">
      <c r="S238" s="11" t="s">
        <v>14306</v>
      </c>
      <c r="T238" s="20">
        <v>2.1758025600000002</v>
      </c>
      <c r="U238" s="39"/>
    </row>
    <row r="239" spans="1:21" x14ac:dyDescent="0.2">
      <c r="S239" s="11" t="s">
        <v>14259</v>
      </c>
      <c r="T239" s="20">
        <v>2.17545952</v>
      </c>
      <c r="U239" s="39"/>
    </row>
    <row r="240" spans="1:21" x14ac:dyDescent="0.2">
      <c r="S240" s="11" t="s">
        <v>4539</v>
      </c>
      <c r="T240" s="20">
        <v>2.1642393700000002</v>
      </c>
      <c r="U240" s="39"/>
    </row>
    <row r="241" spans="19:21" x14ac:dyDescent="0.2">
      <c r="S241" s="11" t="s">
        <v>415</v>
      </c>
      <c r="T241" s="20">
        <v>2.15698086</v>
      </c>
      <c r="U241" s="39"/>
    </row>
    <row r="242" spans="19:21" x14ac:dyDescent="0.2">
      <c r="S242" s="11" t="s">
        <v>2405</v>
      </c>
      <c r="T242" s="20">
        <v>2.1461375500000002</v>
      </c>
      <c r="U242" s="39"/>
    </row>
    <row r="243" spans="19:21" x14ac:dyDescent="0.2">
      <c r="S243" s="11" t="s">
        <v>711</v>
      </c>
      <c r="T243" s="20">
        <v>2.1460555700000001</v>
      </c>
      <c r="U243" s="39"/>
    </row>
    <row r="244" spans="19:21" x14ac:dyDescent="0.2">
      <c r="S244" s="11" t="s">
        <v>5151</v>
      </c>
      <c r="T244" s="20">
        <v>2.1402167599999999</v>
      </c>
      <c r="U244" s="39"/>
    </row>
    <row r="245" spans="19:21" x14ac:dyDescent="0.2">
      <c r="S245" s="11" t="s">
        <v>14846</v>
      </c>
      <c r="T245" s="20">
        <v>2.1308901699999998</v>
      </c>
      <c r="U245" s="39"/>
    </row>
    <row r="246" spans="19:21" x14ac:dyDescent="0.2">
      <c r="S246" s="11" t="s">
        <v>5800</v>
      </c>
      <c r="T246" s="20">
        <v>2.1268589100000002</v>
      </c>
      <c r="U246" s="39"/>
    </row>
    <row r="247" spans="19:21" x14ac:dyDescent="0.2">
      <c r="S247" s="11" t="s">
        <v>14452</v>
      </c>
      <c r="T247" s="20">
        <v>2.11454648</v>
      </c>
      <c r="U247" s="39"/>
    </row>
    <row r="248" spans="19:21" x14ac:dyDescent="0.2">
      <c r="S248" s="11" t="s">
        <v>14732</v>
      </c>
      <c r="T248" s="20">
        <v>2.1104118999999999</v>
      </c>
      <c r="U248" s="39"/>
    </row>
    <row r="249" spans="19:21" x14ac:dyDescent="0.2">
      <c r="S249" s="11" t="s">
        <v>1123</v>
      </c>
      <c r="T249" s="20">
        <v>2.1018122699999999</v>
      </c>
      <c r="U249" s="39"/>
    </row>
    <row r="250" spans="19:21" x14ac:dyDescent="0.2">
      <c r="S250" s="11" t="s">
        <v>2511</v>
      </c>
      <c r="T250" s="20">
        <v>2.0950321299999999</v>
      </c>
      <c r="U250" s="39"/>
    </row>
    <row r="251" spans="19:21" x14ac:dyDescent="0.2">
      <c r="S251" s="11" t="s">
        <v>1295</v>
      </c>
      <c r="T251" s="20">
        <v>2.0911383699999999</v>
      </c>
      <c r="U251" s="39"/>
    </row>
    <row r="252" spans="19:21" x14ac:dyDescent="0.2">
      <c r="S252" s="10" t="s">
        <v>8887</v>
      </c>
      <c r="T252" s="20">
        <v>2.0871557869853428</v>
      </c>
      <c r="U252" s="39"/>
    </row>
    <row r="253" spans="19:21" x14ac:dyDescent="0.2">
      <c r="S253" s="11" t="s">
        <v>14029</v>
      </c>
      <c r="T253" s="20">
        <v>2.07907866</v>
      </c>
      <c r="U253" s="39"/>
    </row>
    <row r="254" spans="19:21" x14ac:dyDescent="0.2">
      <c r="S254" s="11" t="s">
        <v>10801</v>
      </c>
      <c r="T254" s="20">
        <v>2.0747279999999999</v>
      </c>
      <c r="U254" s="39"/>
    </row>
    <row r="255" spans="19:21" x14ac:dyDescent="0.2">
      <c r="S255" s="11" t="s">
        <v>14000</v>
      </c>
      <c r="T255" s="20">
        <v>2.0621125600000001</v>
      </c>
      <c r="U255" s="39"/>
    </row>
    <row r="256" spans="19:21" x14ac:dyDescent="0.2">
      <c r="S256" s="11" t="s">
        <v>11573</v>
      </c>
      <c r="T256" s="20">
        <v>2.054189</v>
      </c>
      <c r="U256" s="39"/>
    </row>
    <row r="257" spans="1:21" x14ac:dyDescent="0.2">
      <c r="S257" s="11" t="s">
        <v>14425</v>
      </c>
      <c r="T257" s="20">
        <v>2.0410746</v>
      </c>
      <c r="U257" s="39"/>
    </row>
    <row r="258" spans="1:21" x14ac:dyDescent="0.2">
      <c r="S258" s="11" t="s">
        <v>6070</v>
      </c>
      <c r="T258" s="20">
        <v>2.0385904099999999</v>
      </c>
      <c r="U258" s="39"/>
    </row>
    <row r="259" spans="1:21" x14ac:dyDescent="0.2">
      <c r="S259" s="11" t="s">
        <v>3546</v>
      </c>
      <c r="T259" s="20">
        <v>2.0302970400000002</v>
      </c>
      <c r="U259" s="39"/>
    </row>
    <row r="260" spans="1:21" x14ac:dyDescent="0.2">
      <c r="A260" s="42"/>
      <c r="S260" s="11" t="s">
        <v>1674</v>
      </c>
      <c r="T260" s="20">
        <v>2.0183022500000001</v>
      </c>
      <c r="U260" s="39"/>
    </row>
    <row r="261" spans="1:21" x14ac:dyDescent="0.2">
      <c r="A261" s="42"/>
      <c r="S261" s="11" t="s">
        <v>14117</v>
      </c>
      <c r="T261" s="20">
        <v>2.0162053499999999</v>
      </c>
      <c r="U261" s="39"/>
    </row>
    <row r="262" spans="1:21" x14ac:dyDescent="0.2">
      <c r="A262" s="42"/>
      <c r="S262" s="10" t="s">
        <v>14847</v>
      </c>
      <c r="T262" s="21">
        <v>2.0051368904255464</v>
      </c>
      <c r="U262" s="40"/>
    </row>
    <row r="263" spans="1:21" x14ac:dyDescent="0.2">
      <c r="A263" s="42"/>
      <c r="S263" s="22" t="s">
        <v>14848</v>
      </c>
      <c r="T263" s="23" t="s">
        <v>14849</v>
      </c>
      <c r="U263" s="39" t="s">
        <v>14929</v>
      </c>
    </row>
    <row r="264" spans="1:21" x14ac:dyDescent="0.2">
      <c r="A264" s="42"/>
      <c r="S264" s="22" t="s">
        <v>6225</v>
      </c>
      <c r="T264" s="23" t="s">
        <v>14849</v>
      </c>
      <c r="U264" s="39" t="s">
        <v>14888</v>
      </c>
    </row>
    <row r="265" spans="1:21" x14ac:dyDescent="0.2">
      <c r="A265" s="42"/>
      <c r="S265" s="22" t="s">
        <v>14850</v>
      </c>
      <c r="T265" s="23" t="s">
        <v>14849</v>
      </c>
      <c r="U265" s="39"/>
    </row>
    <row r="266" spans="1:21" x14ac:dyDescent="0.2">
      <c r="A266" s="42"/>
      <c r="S266" s="22" t="s">
        <v>14851</v>
      </c>
      <c r="T266" s="23" t="s">
        <v>14849</v>
      </c>
      <c r="U266" s="39"/>
    </row>
    <row r="267" spans="1:21" x14ac:dyDescent="0.2">
      <c r="A267" s="42"/>
      <c r="S267" s="22" t="s">
        <v>14163</v>
      </c>
      <c r="T267" s="23" t="s">
        <v>14849</v>
      </c>
      <c r="U267" s="39"/>
    </row>
    <row r="268" spans="1:21" x14ac:dyDescent="0.2">
      <c r="A268" s="42"/>
      <c r="S268" s="22" t="s">
        <v>14852</v>
      </c>
      <c r="T268" s="23" t="s">
        <v>14849</v>
      </c>
      <c r="U268" s="39"/>
    </row>
    <row r="269" spans="1:21" x14ac:dyDescent="0.2">
      <c r="A269" s="42"/>
      <c r="S269" s="22" t="s">
        <v>14853</v>
      </c>
      <c r="T269" s="23" t="s">
        <v>14849</v>
      </c>
      <c r="U269" s="39"/>
    </row>
    <row r="270" spans="1:21" x14ac:dyDescent="0.2">
      <c r="A270" s="42"/>
      <c r="S270" s="22" t="s">
        <v>14183</v>
      </c>
      <c r="T270" s="23" t="s">
        <v>14849</v>
      </c>
      <c r="U270" s="39"/>
    </row>
    <row r="271" spans="1:21" x14ac:dyDescent="0.2">
      <c r="A271" s="42"/>
      <c r="S271" s="22" t="s">
        <v>14165</v>
      </c>
      <c r="T271" s="23" t="s">
        <v>14849</v>
      </c>
      <c r="U271" s="39"/>
    </row>
    <row r="272" spans="1:21" x14ac:dyDescent="0.2">
      <c r="A272" s="42"/>
      <c r="S272" s="22" t="s">
        <v>14854</v>
      </c>
      <c r="T272" s="23" t="s">
        <v>14849</v>
      </c>
      <c r="U272" s="39"/>
    </row>
    <row r="273" spans="1:21" x14ac:dyDescent="0.2">
      <c r="S273" s="22" t="s">
        <v>14855</v>
      </c>
      <c r="T273" s="23" t="s">
        <v>14849</v>
      </c>
      <c r="U273" s="39"/>
    </row>
    <row r="274" spans="1:21" x14ac:dyDescent="0.2">
      <c r="A274" s="42"/>
      <c r="S274" s="22" t="s">
        <v>11544</v>
      </c>
      <c r="T274" s="23" t="s">
        <v>14849</v>
      </c>
      <c r="U274" s="39"/>
    </row>
    <row r="275" spans="1:21" x14ac:dyDescent="0.2">
      <c r="A275" s="42"/>
      <c r="S275" s="22" t="s">
        <v>10878</v>
      </c>
      <c r="T275" s="23" t="s">
        <v>14849</v>
      </c>
      <c r="U275" s="39"/>
    </row>
    <row r="276" spans="1:21" x14ac:dyDescent="0.2">
      <c r="A276" s="42"/>
      <c r="S276" s="22" t="s">
        <v>14856</v>
      </c>
      <c r="T276" s="23" t="s">
        <v>14849</v>
      </c>
      <c r="U276" s="39"/>
    </row>
    <row r="277" spans="1:21" x14ac:dyDescent="0.2">
      <c r="A277" s="42"/>
      <c r="S277" s="22" t="s">
        <v>14857</v>
      </c>
      <c r="T277" s="23" t="s">
        <v>14849</v>
      </c>
      <c r="U277" s="39"/>
    </row>
    <row r="278" spans="1:21" x14ac:dyDescent="0.2">
      <c r="A278" s="42"/>
      <c r="S278" s="22" t="s">
        <v>14858</v>
      </c>
      <c r="T278" s="23" t="s">
        <v>14849</v>
      </c>
      <c r="U278" s="39"/>
    </row>
    <row r="279" spans="1:21" x14ac:dyDescent="0.2">
      <c r="A279" s="42"/>
      <c r="S279" s="22" t="s">
        <v>14859</v>
      </c>
      <c r="T279" s="23" t="s">
        <v>14849</v>
      </c>
      <c r="U279" s="39"/>
    </row>
    <row r="280" spans="1:21" x14ac:dyDescent="0.2">
      <c r="A280" s="42"/>
      <c r="S280" s="22" t="s">
        <v>14860</v>
      </c>
      <c r="T280" s="23" t="s">
        <v>14849</v>
      </c>
      <c r="U280" s="39"/>
    </row>
    <row r="281" spans="1:21" x14ac:dyDescent="0.2">
      <c r="A281" s="42"/>
      <c r="S281" s="22" t="s">
        <v>14516</v>
      </c>
      <c r="T281" s="23" t="s">
        <v>14849</v>
      </c>
      <c r="U281" s="39"/>
    </row>
    <row r="282" spans="1:21" x14ac:dyDescent="0.2">
      <c r="A282" s="42"/>
      <c r="S282" s="22" t="s">
        <v>14861</v>
      </c>
      <c r="T282" s="23" t="s">
        <v>14849</v>
      </c>
      <c r="U282" s="39"/>
    </row>
    <row r="283" spans="1:21" x14ac:dyDescent="0.2">
      <c r="A283" s="42"/>
      <c r="S283" s="22" t="s">
        <v>13446</v>
      </c>
      <c r="T283" s="23" t="s">
        <v>14849</v>
      </c>
      <c r="U283" s="39"/>
    </row>
    <row r="284" spans="1:21" x14ac:dyDescent="0.2">
      <c r="A284" s="42"/>
      <c r="S284" s="22" t="s">
        <v>14160</v>
      </c>
      <c r="T284" s="23" t="s">
        <v>14849</v>
      </c>
      <c r="U284" s="39"/>
    </row>
    <row r="285" spans="1:21" x14ac:dyDescent="0.2">
      <c r="A285" s="42"/>
      <c r="S285" s="22" t="s">
        <v>4118</v>
      </c>
      <c r="T285" s="23" t="s">
        <v>14849</v>
      </c>
      <c r="U285" s="39"/>
    </row>
    <row r="286" spans="1:21" x14ac:dyDescent="0.2">
      <c r="S286" s="22" t="s">
        <v>14862</v>
      </c>
      <c r="T286" s="23" t="s">
        <v>14849</v>
      </c>
      <c r="U286" s="39"/>
    </row>
    <row r="287" spans="1:21" x14ac:dyDescent="0.2">
      <c r="A287" s="42"/>
      <c r="S287" s="22" t="s">
        <v>8872</v>
      </c>
      <c r="T287" s="23" t="s">
        <v>14849</v>
      </c>
      <c r="U287" s="39"/>
    </row>
    <row r="288" spans="1:21" x14ac:dyDescent="0.2">
      <c r="S288" s="22" t="s">
        <v>11283</v>
      </c>
      <c r="T288" s="23" t="s">
        <v>14849</v>
      </c>
      <c r="U288" s="39"/>
    </row>
    <row r="289" spans="1:21" x14ac:dyDescent="0.2">
      <c r="A289" s="42"/>
      <c r="S289" s="22" t="s">
        <v>14863</v>
      </c>
      <c r="T289" s="23" t="s">
        <v>14849</v>
      </c>
      <c r="U289" s="39"/>
    </row>
    <row r="290" spans="1:21" x14ac:dyDescent="0.2">
      <c r="A290" s="42"/>
    </row>
    <row r="291" spans="1:21" x14ac:dyDescent="0.2">
      <c r="A291" s="42"/>
    </row>
    <row r="292" spans="1:21" x14ac:dyDescent="0.2">
      <c r="A292" s="42"/>
    </row>
    <row r="294" spans="1:21" x14ac:dyDescent="0.2">
      <c r="A294" s="42"/>
    </row>
    <row r="295" spans="1:21" x14ac:dyDescent="0.2">
      <c r="A295" s="42"/>
    </row>
    <row r="296" spans="1:21" x14ac:dyDescent="0.2">
      <c r="A296" s="42"/>
    </row>
    <row r="297" spans="1:21" x14ac:dyDescent="0.2">
      <c r="A297" s="42"/>
    </row>
    <row r="298" spans="1:21" x14ac:dyDescent="0.2">
      <c r="A298" s="42"/>
    </row>
    <row r="300" spans="1:21" x14ac:dyDescent="0.2">
      <c r="A300" s="42"/>
    </row>
    <row r="302" spans="1:21" x14ac:dyDescent="0.2">
      <c r="A302" s="42"/>
    </row>
    <row r="303" spans="1:21" x14ac:dyDescent="0.2">
      <c r="A303" s="42"/>
    </row>
    <row r="304" spans="1:21" x14ac:dyDescent="0.2">
      <c r="A304" s="42"/>
    </row>
    <row r="306" spans="1:1" x14ac:dyDescent="0.2">
      <c r="A306" s="42"/>
    </row>
    <row r="308" spans="1:1" x14ac:dyDescent="0.2">
      <c r="A308" s="42"/>
    </row>
    <row r="309" spans="1:1" x14ac:dyDescent="0.2">
      <c r="A309" s="42"/>
    </row>
    <row r="310" spans="1:1" x14ac:dyDescent="0.2">
      <c r="A310" s="42"/>
    </row>
    <row r="313" spans="1:1" x14ac:dyDescent="0.2">
      <c r="A313" s="42"/>
    </row>
    <row r="314" spans="1:1" x14ac:dyDescent="0.2">
      <c r="A314" s="42"/>
    </row>
    <row r="315" spans="1:1" x14ac:dyDescent="0.2">
      <c r="A315" s="42"/>
    </row>
    <row r="317" spans="1:1" x14ac:dyDescent="0.2">
      <c r="A317" s="42"/>
    </row>
    <row r="318" spans="1:1" x14ac:dyDescent="0.2">
      <c r="A318" s="42"/>
    </row>
    <row r="319" spans="1:1" x14ac:dyDescent="0.2">
      <c r="A319" s="42"/>
    </row>
    <row r="320" spans="1:1" x14ac:dyDescent="0.2">
      <c r="A320" s="42"/>
    </row>
    <row r="324" spans="1:1" x14ac:dyDescent="0.2">
      <c r="A324" s="42"/>
    </row>
    <row r="325" spans="1:1" x14ac:dyDescent="0.2">
      <c r="A325" s="42"/>
    </row>
    <row r="326" spans="1:1" x14ac:dyDescent="0.2">
      <c r="A326" s="42"/>
    </row>
    <row r="327" spans="1:1" x14ac:dyDescent="0.2">
      <c r="A327" s="42"/>
    </row>
    <row r="329" spans="1:1" x14ac:dyDescent="0.2">
      <c r="A329" s="42"/>
    </row>
    <row r="330" spans="1:1" x14ac:dyDescent="0.2">
      <c r="A330" s="42"/>
    </row>
    <row r="333" spans="1:1" x14ac:dyDescent="0.2">
      <c r="A333" s="42"/>
    </row>
    <row r="334" spans="1:1" x14ac:dyDescent="0.2">
      <c r="A334" s="42"/>
    </row>
    <row r="335" spans="1:1" x14ac:dyDescent="0.2">
      <c r="A335" s="42"/>
    </row>
    <row r="336" spans="1:1" x14ac:dyDescent="0.2">
      <c r="A336" s="42"/>
    </row>
    <row r="337" spans="1:1" x14ac:dyDescent="0.2">
      <c r="A337" s="42"/>
    </row>
    <row r="338" spans="1:1" x14ac:dyDescent="0.2">
      <c r="A338" s="42"/>
    </row>
    <row r="339" spans="1:1" x14ac:dyDescent="0.2">
      <c r="A339" s="42"/>
    </row>
    <row r="340" spans="1:1" x14ac:dyDescent="0.2">
      <c r="A340" s="42"/>
    </row>
    <row r="341" spans="1:1" x14ac:dyDescent="0.2">
      <c r="A341" s="42"/>
    </row>
    <row r="342" spans="1:1" x14ac:dyDescent="0.2">
      <c r="A342" s="42"/>
    </row>
    <row r="343" spans="1:1" x14ac:dyDescent="0.2">
      <c r="A343" s="42"/>
    </row>
    <row r="344" spans="1:1" x14ac:dyDescent="0.2">
      <c r="A344" s="42"/>
    </row>
    <row r="345" spans="1:1" x14ac:dyDescent="0.2">
      <c r="A345" s="42"/>
    </row>
    <row r="347" spans="1:1" x14ac:dyDescent="0.2">
      <c r="A347" s="42"/>
    </row>
    <row r="348" spans="1:1" x14ac:dyDescent="0.2">
      <c r="A348" s="42"/>
    </row>
    <row r="349" spans="1:1" x14ac:dyDescent="0.2">
      <c r="A349" s="42"/>
    </row>
    <row r="350" spans="1:1" x14ac:dyDescent="0.2">
      <c r="A350" s="42"/>
    </row>
    <row r="351" spans="1:1" x14ac:dyDescent="0.2">
      <c r="A351" s="42"/>
    </row>
    <row r="352" spans="1:1" x14ac:dyDescent="0.2">
      <c r="A352" s="42"/>
    </row>
    <row r="353" spans="1:1" x14ac:dyDescent="0.2">
      <c r="A353" s="42"/>
    </row>
    <row r="354" spans="1:1" x14ac:dyDescent="0.2">
      <c r="A354" s="42"/>
    </row>
    <row r="355" spans="1:1" x14ac:dyDescent="0.2">
      <c r="A355" s="42"/>
    </row>
    <row r="735" spans="6:6" x14ac:dyDescent="0.2">
      <c r="F735" s="29"/>
    </row>
    <row r="1139" spans="6:6" x14ac:dyDescent="0.2">
      <c r="F1139" s="29"/>
    </row>
    <row r="1148" spans="6:6" x14ac:dyDescent="0.2">
      <c r="F1148" s="29"/>
    </row>
    <row r="1196" spans="6:6" x14ac:dyDescent="0.2">
      <c r="F1196" s="29"/>
    </row>
    <row r="1197" spans="6:6" x14ac:dyDescent="0.2">
      <c r="F1197" s="29"/>
    </row>
    <row r="1200" spans="6:6" x14ac:dyDescent="0.2">
      <c r="F1200" s="29"/>
    </row>
    <row r="1201" spans="6:6" x14ac:dyDescent="0.2">
      <c r="F1201" s="29"/>
    </row>
    <row r="1209" spans="6:6" x14ac:dyDescent="0.2">
      <c r="F1209" s="29"/>
    </row>
    <row r="1210" spans="6:6" x14ac:dyDescent="0.2">
      <c r="F1210" s="29"/>
    </row>
    <row r="1211" spans="6:6" x14ac:dyDescent="0.2">
      <c r="F1211" s="29"/>
    </row>
    <row r="1212" spans="6:6" x14ac:dyDescent="0.2">
      <c r="F1212" s="29"/>
    </row>
    <row r="1214" spans="6:6" x14ac:dyDescent="0.2">
      <c r="F1214" s="29"/>
    </row>
    <row r="1215" spans="6:6" x14ac:dyDescent="0.2">
      <c r="F1215" s="29"/>
    </row>
    <row r="1216" spans="6:6" x14ac:dyDescent="0.2">
      <c r="F1216" s="29"/>
    </row>
  </sheetData>
  <autoFilter ref="A1:A1216" xr:uid="{F9474FFA-3AC8-4D4F-B108-002543225038}">
    <sortState xmlns:xlrd2="http://schemas.microsoft.com/office/spreadsheetml/2017/richdata2" ref="A2:Q1221">
      <sortCondition sortBy="cellColor" ref="A1:A1221" dxfId="164"/>
    </sortState>
  </autoFilter>
  <sortState xmlns:xlrd2="http://schemas.microsoft.com/office/spreadsheetml/2017/richdata2" ref="A2:Q1346">
    <sortCondition descending="1" ref="E1:E1346"/>
  </sortState>
  <conditionalFormatting sqref="A1">
    <cfRule type="duplicateValues" dxfId="80" priority="9"/>
    <cfRule type="duplicateValues" dxfId="79" priority="10"/>
    <cfRule type="duplicateValues" dxfId="78" priority="11"/>
    <cfRule type="duplicateValues" dxfId="77" priority="12"/>
    <cfRule type="duplicateValues" dxfId="76" priority="13"/>
    <cfRule type="duplicateValues" dxfId="75" priority="14"/>
    <cfRule type="duplicateValues" dxfId="74" priority="15"/>
    <cfRule type="duplicateValues" dxfId="73" priority="16"/>
    <cfRule type="duplicateValues" dxfId="72" priority="17"/>
  </conditionalFormatting>
  <conditionalFormatting sqref="A1:A1048576">
    <cfRule type="duplicateValues" dxfId="71" priority="1"/>
  </conditionalFormatting>
  <conditionalFormatting sqref="A233:A259">
    <cfRule type="duplicateValues" dxfId="70" priority="2"/>
    <cfRule type="duplicateValues" dxfId="69" priority="3"/>
  </conditionalFormatting>
  <conditionalFormatting sqref="A260:A1048576 A1:A232">
    <cfRule type="duplicateValues" dxfId="68" priority="4"/>
  </conditionalFormatting>
  <conditionalFormatting sqref="A322:A356">
    <cfRule type="duplicateValues" dxfId="67" priority="5"/>
    <cfRule type="duplicateValues" dxfId="66" priority="6"/>
  </conditionalFormatting>
  <conditionalFormatting sqref="A357:A1048576 A1:A133">
    <cfRule type="duplicateValues" dxfId="65" priority="8"/>
  </conditionalFormatting>
  <conditionalFormatting sqref="A357:A1048576 A1:A162">
    <cfRule type="duplicateValues" dxfId="64" priority="7"/>
  </conditionalFormatting>
  <conditionalFormatting sqref="S228:S262">
    <cfRule type="duplicateValues" dxfId="63" priority="20"/>
    <cfRule type="duplicateValues" dxfId="62" priority="21"/>
  </conditionalFormatting>
  <conditionalFormatting sqref="S263:S289">
    <cfRule type="duplicateValues" dxfId="61" priority="18"/>
    <cfRule type="duplicateValues" dxfId="60" priority="19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3887-D68E-C24A-90E7-348F39F0109A}">
  <dimension ref="A1:V11644"/>
  <sheetViews>
    <sheetView workbookViewId="0">
      <pane ySplit="1" topLeftCell="A3" activePane="bottomLeft" state="frozen"/>
      <selection pane="bottomLeft" activeCell="K17" sqref="K17"/>
    </sheetView>
  </sheetViews>
  <sheetFormatPr baseColWidth="10" defaultRowHeight="16" x14ac:dyDescent="0.2"/>
  <cols>
    <col min="1" max="1" width="13.1640625" style="24" customWidth="1"/>
    <col min="2" max="15" width="10.83203125" style="24"/>
    <col min="16" max="16" width="21.33203125" style="24" customWidth="1"/>
    <col min="17" max="18" width="10.83203125" style="24"/>
    <col min="19" max="19" width="30.83203125" style="24" customWidth="1"/>
    <col min="20" max="20" width="10.5" style="24" customWidth="1"/>
    <col min="21" max="21" width="28" style="24" customWidth="1"/>
    <col min="22" max="22" width="89.6640625" style="24" customWidth="1"/>
    <col min="23" max="16384" width="10.83203125" style="24"/>
  </cols>
  <sheetData>
    <row r="1" spans="1:22" x14ac:dyDescent="0.2">
      <c r="A1" s="7" t="s">
        <v>14895</v>
      </c>
      <c r="B1" s="7" t="s">
        <v>14890</v>
      </c>
      <c r="C1" s="7" t="s">
        <v>14892</v>
      </c>
      <c r="D1" s="7" t="s">
        <v>14789</v>
      </c>
      <c r="E1" s="7" t="s">
        <v>14800</v>
      </c>
      <c r="F1" s="7" t="s">
        <v>14889</v>
      </c>
      <c r="G1" s="7" t="s">
        <v>9</v>
      </c>
      <c r="H1" s="7" t="s">
        <v>10</v>
      </c>
      <c r="I1" s="7" t="s">
        <v>11</v>
      </c>
      <c r="J1" s="7" t="s">
        <v>14792</v>
      </c>
      <c r="K1" s="7" t="s">
        <v>14881</v>
      </c>
      <c r="L1" s="7" t="s">
        <v>14882</v>
      </c>
      <c r="M1" s="7" t="s">
        <v>14883</v>
      </c>
      <c r="N1" s="7" t="s">
        <v>14884</v>
      </c>
      <c r="O1" s="7" t="s">
        <v>14923</v>
      </c>
      <c r="P1" s="7" t="s">
        <v>14934</v>
      </c>
      <c r="Q1" s="7" t="s">
        <v>14803</v>
      </c>
      <c r="S1" s="7" t="s">
        <v>14925</v>
      </c>
      <c r="T1" s="7" t="s">
        <v>14804</v>
      </c>
      <c r="U1" s="7"/>
      <c r="V1" s="7" t="s">
        <v>14919</v>
      </c>
    </row>
    <row r="2" spans="1:22" x14ac:dyDescent="0.2">
      <c r="A2" s="24" t="str">
        <f>"M01H9.3"</f>
        <v>M01H9.3</v>
      </c>
      <c r="B2" s="24" t="s">
        <v>2517</v>
      </c>
      <c r="C2" s="24" t="s">
        <v>2518</v>
      </c>
      <c r="D2" s="24" t="s">
        <v>29</v>
      </c>
      <c r="E2" s="24" t="s">
        <v>29</v>
      </c>
      <c r="F2" s="24" t="s">
        <v>29</v>
      </c>
      <c r="G2" s="24" t="s">
        <v>14849</v>
      </c>
      <c r="H2" s="24" t="s">
        <v>14849</v>
      </c>
      <c r="I2" s="24" t="s">
        <v>14849</v>
      </c>
      <c r="J2" s="24" t="s">
        <v>14849</v>
      </c>
      <c r="K2" s="24">
        <v>18.933121073308801</v>
      </c>
      <c r="L2" s="24">
        <v>18.689462095533301</v>
      </c>
      <c r="M2" s="24">
        <v>18.606127803489098</v>
      </c>
      <c r="N2" s="24">
        <f t="shared" ref="N2:N33" si="0">(K2+L2+M2)/3</f>
        <v>18.742903657443733</v>
      </c>
      <c r="O2" s="24" t="str">
        <f t="shared" ref="O2:O33" si="1">IFERROR(INDEX(T:T,MATCH(A2, S:S, 0)), "ND")</f>
        <v>ND</v>
      </c>
      <c r="P2" s="24" t="str">
        <f t="shared" ref="P2:P33" si="2">IFERROR(E2/O2, "NA")</f>
        <v>NA</v>
      </c>
      <c r="Q2" s="24" t="s">
        <v>14920</v>
      </c>
      <c r="S2" s="12" t="s">
        <v>5634</v>
      </c>
      <c r="T2" s="13">
        <v>131.944345</v>
      </c>
      <c r="U2" s="39" t="s">
        <v>14926</v>
      </c>
      <c r="V2" s="24" t="s">
        <v>14916</v>
      </c>
    </row>
    <row r="3" spans="1:22" x14ac:dyDescent="0.2">
      <c r="A3" s="60" t="str">
        <f>"Y54G2A.40"</f>
        <v>Y54G2A.40</v>
      </c>
      <c r="B3" s="24" t="s">
        <v>10528</v>
      </c>
      <c r="C3" s="24" t="s">
        <v>214</v>
      </c>
      <c r="D3" s="24" t="s">
        <v>29</v>
      </c>
      <c r="E3" s="24" t="s">
        <v>29</v>
      </c>
      <c r="F3" s="24" t="s">
        <v>29</v>
      </c>
      <c r="G3" s="24" t="s">
        <v>14849</v>
      </c>
      <c r="H3" s="24" t="s">
        <v>14849</v>
      </c>
      <c r="I3" s="24" t="s">
        <v>14849</v>
      </c>
      <c r="J3" s="24" t="s">
        <v>14849</v>
      </c>
      <c r="K3" s="24">
        <v>17.110289982439401</v>
      </c>
      <c r="L3" s="24">
        <v>17.711652378246399</v>
      </c>
      <c r="M3" s="24">
        <v>17.091157580970201</v>
      </c>
      <c r="N3" s="24">
        <f t="shared" si="0"/>
        <v>17.304366647218668</v>
      </c>
      <c r="O3" s="24" t="str">
        <f t="shared" si="1"/>
        <v>ND</v>
      </c>
      <c r="P3" s="24" t="str">
        <f t="shared" si="2"/>
        <v>NA</v>
      </c>
      <c r="Q3" s="60" t="s">
        <v>14921</v>
      </c>
      <c r="S3" s="12" t="s">
        <v>8063</v>
      </c>
      <c r="T3" s="13">
        <v>58.276928099999999</v>
      </c>
      <c r="U3" s="39" t="s">
        <v>14917</v>
      </c>
      <c r="V3" s="24" t="s">
        <v>14918</v>
      </c>
    </row>
    <row r="4" spans="1:22" x14ac:dyDescent="0.2">
      <c r="A4" s="10" t="str">
        <f>"tap-1"</f>
        <v>tap-1</v>
      </c>
      <c r="B4" s="10" t="s">
        <v>1669</v>
      </c>
      <c r="C4" s="10" t="s">
        <v>1671</v>
      </c>
      <c r="D4" s="10" t="s">
        <v>29</v>
      </c>
      <c r="E4" s="10" t="s">
        <v>29</v>
      </c>
      <c r="F4" s="10" t="s">
        <v>29</v>
      </c>
      <c r="G4" s="10" t="s">
        <v>14849</v>
      </c>
      <c r="H4" s="10" t="s">
        <v>14849</v>
      </c>
      <c r="I4" s="10" t="s">
        <v>14849</v>
      </c>
      <c r="J4" s="10" t="s">
        <v>14849</v>
      </c>
      <c r="K4" s="10">
        <v>16.617980903303</v>
      </c>
      <c r="L4" s="10">
        <v>16.631076021781102</v>
      </c>
      <c r="M4" s="10">
        <v>16.176406195122901</v>
      </c>
      <c r="N4" s="10">
        <f t="shared" si="0"/>
        <v>16.475154373402336</v>
      </c>
      <c r="O4" s="10">
        <f t="shared" si="1"/>
        <v>2.7583972946551407</v>
      </c>
      <c r="P4" s="10" t="str">
        <f t="shared" si="2"/>
        <v>NA</v>
      </c>
      <c r="S4" s="12" t="s">
        <v>14173</v>
      </c>
      <c r="T4" s="13">
        <v>45.449789099999997</v>
      </c>
      <c r="U4" s="39"/>
      <c r="V4" s="24" t="s">
        <v>14930</v>
      </c>
    </row>
    <row r="5" spans="1:22" x14ac:dyDescent="0.2">
      <c r="A5" s="60" t="str">
        <f>"gldi-7"</f>
        <v>gldi-7</v>
      </c>
      <c r="B5" s="24" t="s">
        <v>13366</v>
      </c>
      <c r="C5" s="24" t="s">
        <v>13368</v>
      </c>
      <c r="D5" s="24" t="s">
        <v>29</v>
      </c>
      <c r="E5" s="24" t="s">
        <v>29</v>
      </c>
      <c r="F5" s="24" t="s">
        <v>29</v>
      </c>
      <c r="G5" s="24" t="s">
        <v>14849</v>
      </c>
      <c r="H5" s="24" t="s">
        <v>14849</v>
      </c>
      <c r="I5" s="24" t="s">
        <v>14849</v>
      </c>
      <c r="J5" s="24" t="s">
        <v>14849</v>
      </c>
      <c r="K5" s="24">
        <v>14.8857607437188</v>
      </c>
      <c r="L5" s="24">
        <v>15.0035845778193</v>
      </c>
      <c r="M5" s="24">
        <v>14.6379457856799</v>
      </c>
      <c r="N5" s="24">
        <f t="shared" si="0"/>
        <v>14.842430369072668</v>
      </c>
      <c r="O5" s="24" t="str">
        <f t="shared" si="1"/>
        <v>ND</v>
      </c>
      <c r="P5" s="24" t="str">
        <f t="shared" si="2"/>
        <v>NA</v>
      </c>
      <c r="S5" s="12" t="s">
        <v>3109</v>
      </c>
      <c r="T5" s="13">
        <v>28.1004726</v>
      </c>
      <c r="U5" s="39"/>
      <c r="V5" s="24" t="s">
        <v>14931</v>
      </c>
    </row>
    <row r="6" spans="1:22" x14ac:dyDescent="0.2">
      <c r="A6" s="10" t="str">
        <f>"K02B12.7"</f>
        <v>K02B12.7</v>
      </c>
      <c r="B6" s="10" t="s">
        <v>6097</v>
      </c>
      <c r="C6" s="10" t="s">
        <v>3609</v>
      </c>
      <c r="D6" s="10" t="s">
        <v>29</v>
      </c>
      <c r="E6" s="10" t="s">
        <v>29</v>
      </c>
      <c r="F6" s="10" t="s">
        <v>29</v>
      </c>
      <c r="G6" s="10" t="s">
        <v>14849</v>
      </c>
      <c r="H6" s="10" t="s">
        <v>14849</v>
      </c>
      <c r="I6" s="10" t="s">
        <v>14849</v>
      </c>
      <c r="J6" s="10" t="s">
        <v>14849</v>
      </c>
      <c r="K6" s="10">
        <v>15.026697247799</v>
      </c>
      <c r="L6" s="10">
        <v>14.705502181361201</v>
      </c>
      <c r="M6" s="10">
        <v>14.3077383152837</v>
      </c>
      <c r="N6" s="10">
        <f t="shared" si="0"/>
        <v>14.679979248147967</v>
      </c>
      <c r="O6" s="10">
        <f t="shared" si="1"/>
        <v>4.0086542005910042</v>
      </c>
      <c r="P6" s="10" t="str">
        <f t="shared" si="2"/>
        <v>NA</v>
      </c>
      <c r="S6" s="12" t="s">
        <v>4604</v>
      </c>
      <c r="T6" s="13">
        <v>27.4262218</v>
      </c>
      <c r="U6" s="39"/>
    </row>
    <row r="7" spans="1:22" x14ac:dyDescent="0.2">
      <c r="A7" s="10" t="str">
        <f>"ppfr-4"</f>
        <v>ppfr-4</v>
      </c>
      <c r="B7" s="10" t="s">
        <v>12485</v>
      </c>
      <c r="C7" s="10" t="s">
        <v>12487</v>
      </c>
      <c r="D7" s="10" t="s">
        <v>29</v>
      </c>
      <c r="E7" s="10" t="s">
        <v>29</v>
      </c>
      <c r="F7" s="10" t="s">
        <v>29</v>
      </c>
      <c r="G7" s="10" t="s">
        <v>14849</v>
      </c>
      <c r="H7" s="10" t="s">
        <v>14849</v>
      </c>
      <c r="I7" s="10" t="s">
        <v>14849</v>
      </c>
      <c r="J7" s="10" t="s">
        <v>14849</v>
      </c>
      <c r="K7" s="10">
        <v>14.5807593143782</v>
      </c>
      <c r="L7" s="10">
        <v>14.375736227451799</v>
      </c>
      <c r="M7" s="10">
        <v>13.975024123319001</v>
      </c>
      <c r="N7" s="10">
        <f t="shared" si="0"/>
        <v>14.310506555049669</v>
      </c>
      <c r="O7" s="10">
        <f t="shared" si="1"/>
        <v>3.69990569</v>
      </c>
      <c r="P7" s="10" t="str">
        <f t="shared" si="2"/>
        <v>NA</v>
      </c>
      <c r="S7" s="12" t="s">
        <v>14303</v>
      </c>
      <c r="T7" s="13">
        <v>25.5388345</v>
      </c>
      <c r="U7" s="39"/>
    </row>
    <row r="8" spans="1:22" x14ac:dyDescent="0.2">
      <c r="A8" s="24" t="str">
        <f>"glna-2"</f>
        <v>glna-2</v>
      </c>
      <c r="B8" s="24" t="s">
        <v>8066</v>
      </c>
      <c r="C8" s="24" t="s">
        <v>8068</v>
      </c>
      <c r="D8" s="24" t="s">
        <v>29</v>
      </c>
      <c r="E8" s="24" t="s">
        <v>29</v>
      </c>
      <c r="F8" s="24" t="s">
        <v>29</v>
      </c>
      <c r="G8" s="24" t="s">
        <v>14849</v>
      </c>
      <c r="H8" s="24" t="s">
        <v>14849</v>
      </c>
      <c r="I8" s="24" t="s">
        <v>14849</v>
      </c>
      <c r="J8" s="24" t="s">
        <v>14849</v>
      </c>
      <c r="K8" s="24">
        <v>13.950090145314199</v>
      </c>
      <c r="L8" s="24">
        <v>14.413422151482701</v>
      </c>
      <c r="M8" s="24">
        <v>14.417934543252599</v>
      </c>
      <c r="N8" s="24">
        <f t="shared" si="0"/>
        <v>14.260482280016499</v>
      </c>
      <c r="O8" s="24" t="str">
        <f t="shared" si="1"/>
        <v>ND</v>
      </c>
      <c r="P8" s="24" t="str">
        <f t="shared" si="2"/>
        <v>NA</v>
      </c>
      <c r="S8" s="12" t="s">
        <v>1545</v>
      </c>
      <c r="T8" s="13">
        <v>19.488423999999998</v>
      </c>
      <c r="U8" s="39"/>
    </row>
    <row r="9" spans="1:22" x14ac:dyDescent="0.2">
      <c r="A9" s="24" t="str">
        <f>"dnc-3"</f>
        <v>dnc-3</v>
      </c>
      <c r="B9" s="24" t="s">
        <v>11882</v>
      </c>
      <c r="C9" s="24" t="s">
        <v>11884</v>
      </c>
      <c r="D9" s="24" t="s">
        <v>29</v>
      </c>
      <c r="E9" s="24" t="s">
        <v>29</v>
      </c>
      <c r="F9" s="24" t="s">
        <v>29</v>
      </c>
      <c r="G9" s="24" t="s">
        <v>14849</v>
      </c>
      <c r="H9" s="24" t="s">
        <v>14849</v>
      </c>
      <c r="I9" s="24" t="s">
        <v>14849</v>
      </c>
      <c r="J9" s="24" t="s">
        <v>14849</v>
      </c>
      <c r="K9" s="24">
        <v>14.3517052753388</v>
      </c>
      <c r="L9" s="24">
        <v>14.273756835671801</v>
      </c>
      <c r="M9" s="24">
        <v>13.7800647512005</v>
      </c>
      <c r="N9" s="24">
        <f t="shared" si="0"/>
        <v>14.135175620737032</v>
      </c>
      <c r="O9" s="24" t="str">
        <f t="shared" si="1"/>
        <v>ND</v>
      </c>
      <c r="P9" s="24" t="str">
        <f t="shared" si="2"/>
        <v>NA</v>
      </c>
      <c r="S9" s="12" t="s">
        <v>7421</v>
      </c>
      <c r="T9" s="13">
        <v>16.838587100000002</v>
      </c>
      <c r="U9" s="39"/>
    </row>
    <row r="10" spans="1:22" x14ac:dyDescent="0.2">
      <c r="A10" s="10" t="str">
        <f>"C07A12.7"</f>
        <v>C07A12.7</v>
      </c>
      <c r="B10" s="10" t="s">
        <v>11584</v>
      </c>
      <c r="C10" s="10" t="s">
        <v>11586</v>
      </c>
      <c r="D10" s="10" t="s">
        <v>29</v>
      </c>
      <c r="E10" s="10" t="s">
        <v>29</v>
      </c>
      <c r="F10" s="10" t="s">
        <v>29</v>
      </c>
      <c r="G10" s="10" t="s">
        <v>14849</v>
      </c>
      <c r="H10" s="10" t="s">
        <v>14849</v>
      </c>
      <c r="I10" s="10" t="s">
        <v>14849</v>
      </c>
      <c r="J10" s="10" t="s">
        <v>14849</v>
      </c>
      <c r="K10" s="10">
        <v>14.3781055097124</v>
      </c>
      <c r="L10" s="10">
        <v>14.258062838974199</v>
      </c>
      <c r="M10" s="10">
        <v>13.603288928191301</v>
      </c>
      <c r="N10" s="10">
        <f t="shared" si="0"/>
        <v>14.079819092292633</v>
      </c>
      <c r="O10" s="10">
        <f t="shared" si="1"/>
        <v>2.85350839</v>
      </c>
      <c r="P10" s="10" t="str">
        <f t="shared" si="2"/>
        <v>NA</v>
      </c>
      <c r="S10" s="12" t="s">
        <v>13243</v>
      </c>
      <c r="T10" s="13">
        <v>15.862799600000001</v>
      </c>
      <c r="U10" s="39"/>
    </row>
    <row r="11" spans="1:22" x14ac:dyDescent="0.2">
      <c r="A11" s="10" t="str">
        <f>"mdt-4"</f>
        <v>mdt-4</v>
      </c>
      <c r="B11" s="10" t="s">
        <v>10297</v>
      </c>
      <c r="C11" s="10" t="s">
        <v>10299</v>
      </c>
      <c r="D11" s="10" t="s">
        <v>29</v>
      </c>
      <c r="E11" s="10" t="s">
        <v>29</v>
      </c>
      <c r="F11" s="10" t="s">
        <v>29</v>
      </c>
      <c r="G11" s="10" t="s">
        <v>14849</v>
      </c>
      <c r="H11" s="10" t="s">
        <v>14849</v>
      </c>
      <c r="I11" s="10" t="s">
        <v>14849</v>
      </c>
      <c r="J11" s="10" t="s">
        <v>14849</v>
      </c>
      <c r="K11" s="10">
        <v>14.288082302310199</v>
      </c>
      <c r="L11" s="10">
        <v>14.110814469054599</v>
      </c>
      <c r="M11" s="10">
        <v>13.811223370204701</v>
      </c>
      <c r="N11" s="10">
        <f t="shared" si="0"/>
        <v>14.070040047189833</v>
      </c>
      <c r="O11" s="10">
        <f t="shared" si="1"/>
        <v>2.9140060499999998</v>
      </c>
      <c r="P11" s="10" t="str">
        <f t="shared" si="2"/>
        <v>NA</v>
      </c>
      <c r="S11" s="12" t="s">
        <v>236</v>
      </c>
      <c r="T11" s="13">
        <v>15.711251000000001</v>
      </c>
      <c r="U11" s="39"/>
    </row>
    <row r="12" spans="1:22" x14ac:dyDescent="0.2">
      <c r="A12" s="10" t="str">
        <f>"F25H8.2"</f>
        <v>F25H8.2</v>
      </c>
      <c r="B12" s="10" t="s">
        <v>8431</v>
      </c>
      <c r="C12" s="10" t="s">
        <v>8432</v>
      </c>
      <c r="D12" s="10" t="s">
        <v>29</v>
      </c>
      <c r="E12" s="10" t="s">
        <v>29</v>
      </c>
      <c r="F12" s="10" t="s">
        <v>29</v>
      </c>
      <c r="G12" s="10" t="s">
        <v>14849</v>
      </c>
      <c r="H12" s="10" t="s">
        <v>14849</v>
      </c>
      <c r="I12" s="10" t="s">
        <v>14849</v>
      </c>
      <c r="J12" s="10" t="s">
        <v>14849</v>
      </c>
      <c r="K12" s="10">
        <v>14.6681073964786</v>
      </c>
      <c r="L12" s="10">
        <v>13.9631214983878</v>
      </c>
      <c r="M12" s="10">
        <v>13.4484249167028</v>
      </c>
      <c r="N12" s="10">
        <f t="shared" si="0"/>
        <v>14.026551270523067</v>
      </c>
      <c r="O12" s="10">
        <f t="shared" si="1"/>
        <v>2.7286739180665229</v>
      </c>
      <c r="P12" s="10" t="str">
        <f t="shared" si="2"/>
        <v>NA</v>
      </c>
      <c r="S12" s="12" t="s">
        <v>2802</v>
      </c>
      <c r="T12" s="13">
        <v>15.4569776</v>
      </c>
      <c r="U12" s="39"/>
    </row>
    <row r="13" spans="1:22" x14ac:dyDescent="0.2">
      <c r="A13" s="24" t="str">
        <f>"T04A11.2"</f>
        <v>T04A11.2</v>
      </c>
      <c r="B13" s="24" t="s">
        <v>1130</v>
      </c>
      <c r="C13" s="24" t="s">
        <v>1131</v>
      </c>
      <c r="D13" s="24" t="s">
        <v>29</v>
      </c>
      <c r="E13" s="24" t="s">
        <v>29</v>
      </c>
      <c r="F13" s="24" t="s">
        <v>29</v>
      </c>
      <c r="G13" s="24" t="s">
        <v>14849</v>
      </c>
      <c r="H13" s="24" t="s">
        <v>14849</v>
      </c>
      <c r="I13" s="24" t="s">
        <v>14849</v>
      </c>
      <c r="J13" s="24" t="s">
        <v>14849</v>
      </c>
      <c r="K13" s="24">
        <v>14.1078258198008</v>
      </c>
      <c r="L13" s="24">
        <v>13.9268885594176</v>
      </c>
      <c r="M13" s="24">
        <v>13.240046154694699</v>
      </c>
      <c r="N13" s="24">
        <f t="shared" si="0"/>
        <v>13.758253511304366</v>
      </c>
      <c r="O13" s="24" t="str">
        <f t="shared" si="1"/>
        <v>ND</v>
      </c>
      <c r="P13" s="24" t="str">
        <f t="shared" si="2"/>
        <v>NA</v>
      </c>
      <c r="S13" s="12" t="s">
        <v>11562</v>
      </c>
      <c r="T13" s="13">
        <v>14.660895399999999</v>
      </c>
      <c r="U13" s="39"/>
    </row>
    <row r="14" spans="1:22" x14ac:dyDescent="0.2">
      <c r="A14" s="22" t="str">
        <f>"Y62E10A.13"</f>
        <v>Y62E10A.13</v>
      </c>
      <c r="B14" s="22" t="s">
        <v>26</v>
      </c>
      <c r="C14" s="22" t="s">
        <v>27</v>
      </c>
      <c r="D14" s="22" t="s">
        <v>29</v>
      </c>
      <c r="E14" s="22" t="s">
        <v>29</v>
      </c>
      <c r="F14" s="22" t="s">
        <v>29</v>
      </c>
      <c r="G14" s="22" t="s">
        <v>14849</v>
      </c>
      <c r="H14" s="22" t="s">
        <v>14849</v>
      </c>
      <c r="I14" s="22" t="s">
        <v>14849</v>
      </c>
      <c r="J14" s="22" t="s">
        <v>14849</v>
      </c>
      <c r="K14" s="22">
        <v>14.1740450146343</v>
      </c>
      <c r="L14" s="22">
        <v>13.7159057161227</v>
      </c>
      <c r="M14" s="22">
        <v>13.2918348491913</v>
      </c>
      <c r="N14" s="22">
        <f t="shared" si="0"/>
        <v>13.727261859982766</v>
      </c>
      <c r="O14" s="22" t="str">
        <f t="shared" si="1"/>
        <v>ND</v>
      </c>
      <c r="P14" s="22" t="str">
        <f t="shared" si="2"/>
        <v>NA</v>
      </c>
      <c r="S14" s="12" t="s">
        <v>8188</v>
      </c>
      <c r="T14" s="13">
        <v>14.6257997</v>
      </c>
      <c r="U14" s="39"/>
    </row>
    <row r="15" spans="1:22" x14ac:dyDescent="0.2">
      <c r="A15" s="10" t="str">
        <f>"clp-1"</f>
        <v>clp-1</v>
      </c>
      <c r="B15" s="10" t="s">
        <v>4978</v>
      </c>
      <c r="C15" s="10" t="s">
        <v>4980</v>
      </c>
      <c r="D15" s="10" t="s">
        <v>29</v>
      </c>
      <c r="E15" s="10" t="s">
        <v>29</v>
      </c>
      <c r="F15" s="10" t="s">
        <v>29</v>
      </c>
      <c r="G15" s="10" t="s">
        <v>14849</v>
      </c>
      <c r="H15" s="10" t="s">
        <v>14849</v>
      </c>
      <c r="I15" s="10" t="s">
        <v>14849</v>
      </c>
      <c r="J15" s="10" t="s">
        <v>14849</v>
      </c>
      <c r="K15" s="10">
        <v>13.429438863971701</v>
      </c>
      <c r="L15" s="10">
        <v>13.667586088984599</v>
      </c>
      <c r="M15" s="10">
        <v>14.064322554099199</v>
      </c>
      <c r="N15" s="10">
        <f t="shared" si="0"/>
        <v>13.720449169018499</v>
      </c>
      <c r="O15" s="10">
        <f t="shared" si="1"/>
        <v>2.3367719299999998</v>
      </c>
      <c r="P15" s="10" t="str">
        <f t="shared" si="2"/>
        <v>NA</v>
      </c>
      <c r="S15" s="12" t="s">
        <v>3189</v>
      </c>
      <c r="T15" s="13">
        <v>13.513067700000001</v>
      </c>
      <c r="U15" s="39"/>
    </row>
    <row r="16" spans="1:22" x14ac:dyDescent="0.2">
      <c r="A16" s="24" t="str">
        <f>"Y76A2B.5"</f>
        <v>Y76A2B.5</v>
      </c>
      <c r="B16" s="24" t="s">
        <v>13797</v>
      </c>
      <c r="C16" s="24" t="s">
        <v>13798</v>
      </c>
      <c r="D16" s="24" t="s">
        <v>29</v>
      </c>
      <c r="E16" s="24" t="s">
        <v>29</v>
      </c>
      <c r="F16" s="24" t="s">
        <v>29</v>
      </c>
      <c r="G16" s="24" t="s">
        <v>14849</v>
      </c>
      <c r="H16" s="24" t="s">
        <v>14849</v>
      </c>
      <c r="I16" s="24" t="s">
        <v>14849</v>
      </c>
      <c r="J16" s="24" t="s">
        <v>14849</v>
      </c>
      <c r="K16" s="24">
        <v>13.9838715462572</v>
      </c>
      <c r="L16" s="24">
        <v>13.913838675590799</v>
      </c>
      <c r="M16" s="24">
        <v>12.945968202092001</v>
      </c>
      <c r="N16" s="24">
        <f t="shared" si="0"/>
        <v>13.614559474646668</v>
      </c>
      <c r="O16" s="24" t="str">
        <f t="shared" si="1"/>
        <v>ND</v>
      </c>
      <c r="P16" s="24" t="str">
        <f t="shared" si="2"/>
        <v>NA</v>
      </c>
      <c r="S16" s="12" t="s">
        <v>76</v>
      </c>
      <c r="T16" s="13">
        <v>13.279445000000001</v>
      </c>
      <c r="U16" s="39"/>
    </row>
    <row r="17" spans="1:21" x14ac:dyDescent="0.2">
      <c r="A17" s="10" t="str">
        <f>"tes-1"</f>
        <v>tes-1</v>
      </c>
      <c r="B17" s="10" t="s">
        <v>7339</v>
      </c>
      <c r="C17" s="10" t="s">
        <v>7341</v>
      </c>
      <c r="D17" s="10" t="s">
        <v>29</v>
      </c>
      <c r="E17" s="10" t="s">
        <v>29</v>
      </c>
      <c r="F17" s="10" t="s">
        <v>29</v>
      </c>
      <c r="G17" s="10" t="s">
        <v>14849</v>
      </c>
      <c r="H17" s="10" t="s">
        <v>14849</v>
      </c>
      <c r="I17" s="10" t="s">
        <v>14849</v>
      </c>
      <c r="J17" s="10" t="s">
        <v>14849</v>
      </c>
      <c r="K17" s="10">
        <v>14.0406292074662</v>
      </c>
      <c r="L17" s="10">
        <v>13.497787380905899</v>
      </c>
      <c r="M17" s="10">
        <v>13.2877962834934</v>
      </c>
      <c r="N17" s="10">
        <f t="shared" si="0"/>
        <v>13.608737623955166</v>
      </c>
      <c r="O17" s="10">
        <f t="shared" si="1"/>
        <v>3.5329462735661892</v>
      </c>
      <c r="P17" s="10" t="str">
        <f t="shared" si="2"/>
        <v>NA</v>
      </c>
      <c r="S17" s="12" t="s">
        <v>10385</v>
      </c>
      <c r="T17" s="13">
        <v>12.7803343</v>
      </c>
      <c r="U17" s="39"/>
    </row>
    <row r="18" spans="1:21" x14ac:dyDescent="0.2">
      <c r="A18" s="10" t="str">
        <f>"T02G5.7"</f>
        <v>T02G5.7</v>
      </c>
      <c r="B18" s="10" t="s">
        <v>9643</v>
      </c>
      <c r="C18" s="10" t="s">
        <v>9644</v>
      </c>
      <c r="D18" s="10" t="s">
        <v>29</v>
      </c>
      <c r="E18" s="10" t="s">
        <v>29</v>
      </c>
      <c r="F18" s="10" t="s">
        <v>29</v>
      </c>
      <c r="G18" s="10" t="s">
        <v>14849</v>
      </c>
      <c r="H18" s="10" t="s">
        <v>14849</v>
      </c>
      <c r="I18" s="10" t="s">
        <v>14849</v>
      </c>
      <c r="J18" s="10" t="s">
        <v>14849</v>
      </c>
      <c r="K18" s="10">
        <v>13.4622728199113</v>
      </c>
      <c r="L18" s="10">
        <v>13.301678478744799</v>
      </c>
      <c r="M18" s="10">
        <v>13.9236721961275</v>
      </c>
      <c r="N18" s="10">
        <f t="shared" si="0"/>
        <v>13.562541164927866</v>
      </c>
      <c r="O18" s="10">
        <f t="shared" si="1"/>
        <v>3.7979094356966026</v>
      </c>
      <c r="P18" s="10" t="str">
        <f t="shared" si="2"/>
        <v>NA</v>
      </c>
      <c r="S18" s="12" t="s">
        <v>11175</v>
      </c>
      <c r="T18" s="13">
        <v>12.709663600000001</v>
      </c>
      <c r="U18" s="39"/>
    </row>
    <row r="19" spans="1:21" x14ac:dyDescent="0.2">
      <c r="A19" s="10" t="str">
        <f>"dhp-1"</f>
        <v>dhp-1</v>
      </c>
      <c r="B19" s="10" t="s">
        <v>9425</v>
      </c>
      <c r="C19" s="10" t="s">
        <v>9427</v>
      </c>
      <c r="D19" s="10" t="s">
        <v>29</v>
      </c>
      <c r="E19" s="10" t="s">
        <v>29</v>
      </c>
      <c r="F19" s="10" t="s">
        <v>29</v>
      </c>
      <c r="G19" s="10" t="s">
        <v>14849</v>
      </c>
      <c r="H19" s="10" t="s">
        <v>14849</v>
      </c>
      <c r="I19" s="10" t="s">
        <v>14849</v>
      </c>
      <c r="J19" s="10" t="s">
        <v>14849</v>
      </c>
      <c r="K19" s="10">
        <v>13.676614373315701</v>
      </c>
      <c r="L19" s="10">
        <v>13.6694407400353</v>
      </c>
      <c r="M19" s="10">
        <v>12.933502334258</v>
      </c>
      <c r="N19" s="10">
        <f t="shared" si="0"/>
        <v>13.426519149203001</v>
      </c>
      <c r="O19" s="10">
        <f t="shared" si="1"/>
        <v>3.13809</v>
      </c>
      <c r="P19" s="10" t="str">
        <f t="shared" si="2"/>
        <v>NA</v>
      </c>
      <c r="S19" s="12" t="s">
        <v>2196</v>
      </c>
      <c r="T19" s="13">
        <v>12.573299199999999</v>
      </c>
      <c r="U19" s="39"/>
    </row>
    <row r="20" spans="1:21" x14ac:dyDescent="0.2">
      <c r="A20" s="24" t="str">
        <f>"mom-4"</f>
        <v>mom-4</v>
      </c>
      <c r="B20" s="24" t="s">
        <v>13491</v>
      </c>
      <c r="C20" s="24" t="s">
        <v>13493</v>
      </c>
      <c r="D20" s="24" t="s">
        <v>29</v>
      </c>
      <c r="E20" s="24" t="s">
        <v>29</v>
      </c>
      <c r="F20" s="24" t="s">
        <v>29</v>
      </c>
      <c r="G20" s="24" t="s">
        <v>14849</v>
      </c>
      <c r="H20" s="24" t="s">
        <v>14849</v>
      </c>
      <c r="I20" s="24" t="s">
        <v>14849</v>
      </c>
      <c r="J20" s="24" t="s">
        <v>14849</v>
      </c>
      <c r="K20" s="24">
        <v>13.913846028934501</v>
      </c>
      <c r="L20" s="24">
        <v>12.9774364352768</v>
      </c>
      <c r="M20" s="24">
        <v>13.251889194745999</v>
      </c>
      <c r="N20" s="24">
        <f t="shared" si="0"/>
        <v>13.381057219652433</v>
      </c>
      <c r="O20" s="24" t="str">
        <f t="shared" si="1"/>
        <v>ND</v>
      </c>
      <c r="P20" s="24" t="str">
        <f t="shared" si="2"/>
        <v>NA</v>
      </c>
      <c r="S20" s="12" t="s">
        <v>8819</v>
      </c>
      <c r="T20" s="13">
        <v>11.9608679</v>
      </c>
      <c r="U20" s="39"/>
    </row>
    <row r="21" spans="1:21" x14ac:dyDescent="0.2">
      <c r="A21" s="10" t="str">
        <f>"ret-1"</f>
        <v>ret-1</v>
      </c>
      <c r="B21" s="10" t="s">
        <v>1421</v>
      </c>
      <c r="C21" s="10" t="s">
        <v>1423</v>
      </c>
      <c r="D21" s="10" t="s">
        <v>29</v>
      </c>
      <c r="E21" s="10" t="s">
        <v>29</v>
      </c>
      <c r="F21" s="10" t="s">
        <v>29</v>
      </c>
      <c r="G21" s="10" t="s">
        <v>14849</v>
      </c>
      <c r="H21" s="10" t="s">
        <v>14849</v>
      </c>
      <c r="I21" s="10" t="s">
        <v>14849</v>
      </c>
      <c r="J21" s="10" t="s">
        <v>14849</v>
      </c>
      <c r="K21" s="10">
        <v>12.894937074741801</v>
      </c>
      <c r="L21" s="10">
        <v>13.7541796267493</v>
      </c>
      <c r="M21" s="10">
        <v>13.215447674973101</v>
      </c>
      <c r="N21" s="10">
        <f t="shared" si="0"/>
        <v>13.288188125488068</v>
      </c>
      <c r="O21" s="10">
        <f t="shared" si="1"/>
        <v>4.0776110599999997</v>
      </c>
      <c r="P21" s="10" t="str">
        <f t="shared" si="2"/>
        <v>NA</v>
      </c>
      <c r="S21" s="12" t="s">
        <v>6701</v>
      </c>
      <c r="T21" s="13">
        <v>11.410588000000001</v>
      </c>
      <c r="U21" s="39"/>
    </row>
    <row r="22" spans="1:21" x14ac:dyDescent="0.2">
      <c r="A22" s="24" t="str">
        <f>"rsf-1"</f>
        <v>rsf-1</v>
      </c>
      <c r="B22" s="24" t="s">
        <v>9928</v>
      </c>
      <c r="C22" s="24" t="s">
        <v>9930</v>
      </c>
      <c r="D22" s="24" t="s">
        <v>29</v>
      </c>
      <c r="E22" s="24" t="s">
        <v>29</v>
      </c>
      <c r="F22" s="24" t="s">
        <v>29</v>
      </c>
      <c r="G22" s="24" t="s">
        <v>14849</v>
      </c>
      <c r="H22" s="24" t="s">
        <v>14849</v>
      </c>
      <c r="I22" s="24" t="s">
        <v>14849</v>
      </c>
      <c r="J22" s="24" t="s">
        <v>14849</v>
      </c>
      <c r="K22" s="24">
        <v>13.2105347576236</v>
      </c>
      <c r="L22" s="24">
        <v>13.287301502273399</v>
      </c>
      <c r="M22" s="24">
        <v>13.262007920178201</v>
      </c>
      <c r="N22" s="24">
        <f t="shared" si="0"/>
        <v>13.253281393358399</v>
      </c>
      <c r="O22" s="24" t="str">
        <f t="shared" si="1"/>
        <v>ND</v>
      </c>
      <c r="P22" s="24" t="str">
        <f t="shared" si="2"/>
        <v>NA</v>
      </c>
      <c r="S22" s="12" t="s">
        <v>4114</v>
      </c>
      <c r="T22" s="13">
        <v>11.1537191</v>
      </c>
      <c r="U22" s="39"/>
    </row>
    <row r="23" spans="1:21" x14ac:dyDescent="0.2">
      <c r="A23" s="24" t="str">
        <f>"T10G3.3"</f>
        <v>T10G3.3</v>
      </c>
      <c r="B23" s="24" t="s">
        <v>6457</v>
      </c>
      <c r="C23" s="24" t="s">
        <v>6458</v>
      </c>
      <c r="D23" s="24" t="s">
        <v>29</v>
      </c>
      <c r="E23" s="24" t="s">
        <v>29</v>
      </c>
      <c r="F23" s="24" t="s">
        <v>29</v>
      </c>
      <c r="G23" s="24" t="s">
        <v>14849</v>
      </c>
      <c r="H23" s="24" t="s">
        <v>14849</v>
      </c>
      <c r="I23" s="24" t="s">
        <v>14849</v>
      </c>
      <c r="J23" s="24" t="s">
        <v>14849</v>
      </c>
      <c r="K23" s="24">
        <v>13.519836767643</v>
      </c>
      <c r="L23" s="24">
        <v>13.0422908583047</v>
      </c>
      <c r="M23" s="24">
        <v>12.7870155375305</v>
      </c>
      <c r="N23" s="24">
        <f t="shared" si="0"/>
        <v>13.116381054492734</v>
      </c>
      <c r="O23" s="24" t="str">
        <f t="shared" si="1"/>
        <v>ND</v>
      </c>
      <c r="P23" s="24" t="str">
        <f t="shared" si="2"/>
        <v>NA</v>
      </c>
      <c r="S23" s="12" t="s">
        <v>14177</v>
      </c>
      <c r="T23" s="13">
        <v>11.1474306</v>
      </c>
      <c r="U23" s="39"/>
    </row>
    <row r="24" spans="1:21" x14ac:dyDescent="0.2">
      <c r="A24" s="10" t="str">
        <f>"ZK909.3"</f>
        <v>ZK909.3</v>
      </c>
      <c r="B24" s="10" t="s">
        <v>3664</v>
      </c>
      <c r="C24" s="10" t="s">
        <v>3665</v>
      </c>
      <c r="D24" s="10" t="s">
        <v>29</v>
      </c>
      <c r="E24" s="10" t="s">
        <v>29</v>
      </c>
      <c r="F24" s="10" t="s">
        <v>29</v>
      </c>
      <c r="G24" s="10" t="s">
        <v>14849</v>
      </c>
      <c r="H24" s="10" t="s">
        <v>14849</v>
      </c>
      <c r="I24" s="10" t="s">
        <v>14849</v>
      </c>
      <c r="J24" s="10" t="s">
        <v>14849</v>
      </c>
      <c r="K24" s="10">
        <v>13.2462295301086</v>
      </c>
      <c r="L24" s="10">
        <v>13.6101428603687</v>
      </c>
      <c r="M24" s="10">
        <v>12.324248404766299</v>
      </c>
      <c r="N24" s="10">
        <f t="shared" si="0"/>
        <v>13.060206931747866</v>
      </c>
      <c r="O24" s="10">
        <f t="shared" si="1"/>
        <v>2.6156528899999998</v>
      </c>
      <c r="P24" s="10" t="str">
        <f t="shared" si="2"/>
        <v>NA</v>
      </c>
      <c r="S24" s="14" t="s">
        <v>7065</v>
      </c>
      <c r="T24" s="15">
        <v>10.739022063060709</v>
      </c>
      <c r="U24" s="40"/>
    </row>
    <row r="25" spans="1:21" x14ac:dyDescent="0.2">
      <c r="A25" s="24" t="str">
        <f>"puf-9"</f>
        <v>puf-9</v>
      </c>
      <c r="B25" s="24" t="s">
        <v>10092</v>
      </c>
      <c r="C25" s="24" t="s">
        <v>6796</v>
      </c>
      <c r="D25" s="24" t="s">
        <v>29</v>
      </c>
      <c r="E25" s="24" t="s">
        <v>29</v>
      </c>
      <c r="F25" s="24" t="s">
        <v>29</v>
      </c>
      <c r="G25" s="24" t="s">
        <v>14849</v>
      </c>
      <c r="H25" s="24" t="s">
        <v>14849</v>
      </c>
      <c r="I25" s="24" t="s">
        <v>14849</v>
      </c>
      <c r="J25" s="24" t="s">
        <v>14849</v>
      </c>
      <c r="K25" s="24">
        <v>13.345457398389</v>
      </c>
      <c r="L25" s="24">
        <v>12.527498078601401</v>
      </c>
      <c r="M25" s="24">
        <v>13.093603712046599</v>
      </c>
      <c r="N25" s="24">
        <f t="shared" si="0"/>
        <v>12.988853063012334</v>
      </c>
      <c r="O25" s="24" t="str">
        <f t="shared" si="1"/>
        <v>ND</v>
      </c>
      <c r="P25" s="24" t="str">
        <f t="shared" si="2"/>
        <v>NA</v>
      </c>
      <c r="S25" s="12" t="s">
        <v>6784</v>
      </c>
      <c r="T25" s="13">
        <v>10.478298199999999</v>
      </c>
      <c r="U25" s="39"/>
    </row>
    <row r="26" spans="1:21" x14ac:dyDescent="0.2">
      <c r="A26" s="10" t="str">
        <f>"R05H10.1"</f>
        <v>R05H10.1</v>
      </c>
      <c r="B26" s="10" t="s">
        <v>4503</v>
      </c>
      <c r="C26" s="10" t="s">
        <v>531</v>
      </c>
      <c r="D26" s="10" t="s">
        <v>29</v>
      </c>
      <c r="E26" s="10" t="s">
        <v>29</v>
      </c>
      <c r="F26" s="10" t="s">
        <v>29</v>
      </c>
      <c r="G26" s="10" t="s">
        <v>14849</v>
      </c>
      <c r="H26" s="10" t="s">
        <v>14849</v>
      </c>
      <c r="I26" s="10" t="s">
        <v>14849</v>
      </c>
      <c r="J26" s="10" t="s">
        <v>14849</v>
      </c>
      <c r="K26" s="10">
        <v>13.455423464376199</v>
      </c>
      <c r="L26" s="10">
        <v>12.489113438793201</v>
      </c>
      <c r="M26" s="10">
        <v>12.9621058316489</v>
      </c>
      <c r="N26" s="10">
        <f t="shared" si="0"/>
        <v>12.968880911606099</v>
      </c>
      <c r="O26" s="10">
        <f t="shared" si="1"/>
        <v>2.2870691712641826</v>
      </c>
      <c r="P26" s="10" t="str">
        <f t="shared" si="2"/>
        <v>NA</v>
      </c>
      <c r="S26" s="12" t="s">
        <v>4012</v>
      </c>
      <c r="T26" s="13">
        <v>10.26802</v>
      </c>
      <c r="U26" s="39"/>
    </row>
    <row r="27" spans="1:21" x14ac:dyDescent="0.2">
      <c r="A27" s="24" t="str">
        <f>"best-3"</f>
        <v>best-3</v>
      </c>
      <c r="B27" s="24" t="s">
        <v>3333</v>
      </c>
      <c r="C27" s="24" t="s">
        <v>3335</v>
      </c>
      <c r="D27" s="24" t="s">
        <v>29</v>
      </c>
      <c r="E27" s="24" t="s">
        <v>29</v>
      </c>
      <c r="F27" s="24" t="s">
        <v>29</v>
      </c>
      <c r="G27" s="24" t="s">
        <v>14849</v>
      </c>
      <c r="H27" s="24" t="s">
        <v>14849</v>
      </c>
      <c r="I27" s="24" t="s">
        <v>14849</v>
      </c>
      <c r="J27" s="24" t="s">
        <v>14849</v>
      </c>
      <c r="K27" s="24">
        <v>12.689978889333</v>
      </c>
      <c r="L27" s="24">
        <v>12.8043612143211</v>
      </c>
      <c r="M27" s="24">
        <v>12.9622120405126</v>
      </c>
      <c r="N27" s="24">
        <f t="shared" si="0"/>
        <v>12.818850714722233</v>
      </c>
      <c r="O27" s="24" t="str">
        <f t="shared" si="1"/>
        <v>ND</v>
      </c>
      <c r="P27" s="24" t="str">
        <f t="shared" si="2"/>
        <v>NA</v>
      </c>
      <c r="S27" s="16" t="s">
        <v>11934</v>
      </c>
      <c r="T27" s="17">
        <v>9.9269247280034332</v>
      </c>
      <c r="U27" s="39" t="s">
        <v>14927</v>
      </c>
    </row>
    <row r="28" spans="1:21" x14ac:dyDescent="0.2">
      <c r="A28" s="24" t="str">
        <f>"unc-25"</f>
        <v>unc-25</v>
      </c>
      <c r="B28" s="24" t="s">
        <v>1360</v>
      </c>
      <c r="C28" s="24" t="s">
        <v>1362</v>
      </c>
      <c r="D28" s="24" t="s">
        <v>29</v>
      </c>
      <c r="E28" s="24" t="s">
        <v>29</v>
      </c>
      <c r="F28" s="24" t="s">
        <v>29</v>
      </c>
      <c r="G28" s="24" t="s">
        <v>14849</v>
      </c>
      <c r="H28" s="24" t="s">
        <v>14849</v>
      </c>
      <c r="I28" s="24" t="s">
        <v>14849</v>
      </c>
      <c r="J28" s="24" t="s">
        <v>14849</v>
      </c>
      <c r="K28" s="24">
        <v>12.7318469905237</v>
      </c>
      <c r="L28" s="24">
        <v>13.0763932363267</v>
      </c>
      <c r="M28" s="24">
        <v>12.470931179542299</v>
      </c>
      <c r="N28" s="24">
        <f t="shared" si="0"/>
        <v>12.7597238021309</v>
      </c>
      <c r="O28" s="24" t="str">
        <f t="shared" si="1"/>
        <v>ND</v>
      </c>
      <c r="P28" s="24" t="str">
        <f t="shared" si="2"/>
        <v>NA</v>
      </c>
      <c r="S28" s="16" t="s">
        <v>6133</v>
      </c>
      <c r="T28" s="17">
        <v>9.8103186667543536</v>
      </c>
      <c r="U28" s="39" t="s">
        <v>14917</v>
      </c>
    </row>
    <row r="29" spans="1:21" x14ac:dyDescent="0.2">
      <c r="A29" s="24" t="str">
        <f>"cpin-1"</f>
        <v>cpin-1</v>
      </c>
      <c r="B29" s="24" t="s">
        <v>8671</v>
      </c>
      <c r="C29" s="24" t="s">
        <v>8673</v>
      </c>
      <c r="D29" s="24" t="s">
        <v>29</v>
      </c>
      <c r="E29" s="24" t="s">
        <v>29</v>
      </c>
      <c r="F29" s="24" t="s">
        <v>29</v>
      </c>
      <c r="G29" s="24" t="s">
        <v>14849</v>
      </c>
      <c r="H29" s="24" t="s">
        <v>14849</v>
      </c>
      <c r="I29" s="24" t="s">
        <v>14849</v>
      </c>
      <c r="J29" s="24" t="s">
        <v>14849</v>
      </c>
      <c r="K29" s="24">
        <v>12.6344564300359</v>
      </c>
      <c r="L29" s="24">
        <v>13.118274306077801</v>
      </c>
      <c r="M29" s="24">
        <v>12.2831637932156</v>
      </c>
      <c r="N29" s="24">
        <f t="shared" si="0"/>
        <v>12.678631509776432</v>
      </c>
      <c r="O29" s="24" t="str">
        <f t="shared" si="1"/>
        <v>ND</v>
      </c>
      <c r="P29" s="24" t="str">
        <f t="shared" si="2"/>
        <v>NA</v>
      </c>
      <c r="S29" s="18" t="s">
        <v>5490</v>
      </c>
      <c r="T29" s="19">
        <v>8.9708627199999995</v>
      </c>
      <c r="U29" s="39"/>
    </row>
    <row r="30" spans="1:21" x14ac:dyDescent="0.2">
      <c r="A30" s="22" t="str">
        <f>"brap-2"</f>
        <v>brap-2</v>
      </c>
      <c r="B30" s="22" t="s">
        <v>11543</v>
      </c>
      <c r="C30" s="22" t="s">
        <v>11545</v>
      </c>
      <c r="D30" s="22" t="s">
        <v>29</v>
      </c>
      <c r="E30" s="22" t="s">
        <v>29</v>
      </c>
      <c r="F30" s="22" t="s">
        <v>29</v>
      </c>
      <c r="G30" s="22" t="s">
        <v>14849</v>
      </c>
      <c r="H30" s="22" t="s">
        <v>14849</v>
      </c>
      <c r="I30" s="22" t="s">
        <v>14849</v>
      </c>
      <c r="J30" s="22" t="s">
        <v>14849</v>
      </c>
      <c r="K30" s="22">
        <v>12.387153086611301</v>
      </c>
      <c r="L30" s="22">
        <v>12.5163641558799</v>
      </c>
      <c r="M30" s="22">
        <v>12.5811922851963</v>
      </c>
      <c r="N30" s="22">
        <f t="shared" si="0"/>
        <v>12.494903175895834</v>
      </c>
      <c r="O30" s="22" t="str">
        <f t="shared" si="1"/>
        <v>ND</v>
      </c>
      <c r="P30" s="22" t="str">
        <f t="shared" si="2"/>
        <v>NA</v>
      </c>
      <c r="S30" s="16" t="s">
        <v>12650</v>
      </c>
      <c r="T30" s="19">
        <v>8.5325504999825288</v>
      </c>
      <c r="U30" s="39"/>
    </row>
    <row r="31" spans="1:21" x14ac:dyDescent="0.2">
      <c r="A31" s="24" t="str">
        <f>"F53C11.5"</f>
        <v>F53C11.5</v>
      </c>
      <c r="B31" s="24" t="s">
        <v>11234</v>
      </c>
      <c r="C31" s="24" t="s">
        <v>11235</v>
      </c>
      <c r="D31" s="24" t="s">
        <v>29</v>
      </c>
      <c r="E31" s="24" t="s">
        <v>29</v>
      </c>
      <c r="F31" s="24" t="s">
        <v>29</v>
      </c>
      <c r="G31" s="24" t="s">
        <v>14849</v>
      </c>
      <c r="H31" s="24" t="s">
        <v>14849</v>
      </c>
      <c r="I31" s="24" t="s">
        <v>14849</v>
      </c>
      <c r="J31" s="24" t="s">
        <v>14849</v>
      </c>
      <c r="K31" s="24">
        <v>12.801203116879201</v>
      </c>
      <c r="L31" s="24">
        <v>12.277559648338601</v>
      </c>
      <c r="M31" s="24">
        <v>12.287677408452099</v>
      </c>
      <c r="N31" s="24">
        <f t="shared" si="0"/>
        <v>12.455480057889966</v>
      </c>
      <c r="O31" s="24" t="str">
        <f t="shared" si="1"/>
        <v>ND</v>
      </c>
      <c r="P31" s="24" t="str">
        <f t="shared" si="2"/>
        <v>NA</v>
      </c>
      <c r="S31" s="18" t="s">
        <v>13334</v>
      </c>
      <c r="T31" s="19">
        <v>8.4615092599999997</v>
      </c>
      <c r="U31" s="39"/>
    </row>
    <row r="32" spans="1:21" x14ac:dyDescent="0.2">
      <c r="A32" s="10" t="str">
        <f>"dnj-16"</f>
        <v>dnj-16</v>
      </c>
      <c r="B32" s="10" t="s">
        <v>710</v>
      </c>
      <c r="C32" s="10" t="s">
        <v>308</v>
      </c>
      <c r="D32" s="10" t="s">
        <v>29</v>
      </c>
      <c r="E32" s="10" t="s">
        <v>29</v>
      </c>
      <c r="F32" s="10" t="s">
        <v>29</v>
      </c>
      <c r="G32" s="10" t="s">
        <v>14849</v>
      </c>
      <c r="H32" s="10" t="s">
        <v>14849</v>
      </c>
      <c r="I32" s="10" t="s">
        <v>14849</v>
      </c>
      <c r="J32" s="10" t="s">
        <v>14849</v>
      </c>
      <c r="K32" s="10">
        <v>13.234147686341499</v>
      </c>
      <c r="L32" s="10">
        <v>11.858583796120699</v>
      </c>
      <c r="M32" s="10">
        <v>12.2378071409497</v>
      </c>
      <c r="N32" s="10">
        <f t="shared" si="0"/>
        <v>12.443512874470633</v>
      </c>
      <c r="O32" s="10">
        <f t="shared" si="1"/>
        <v>2.1460555700000001</v>
      </c>
      <c r="P32" s="10" t="str">
        <f t="shared" si="2"/>
        <v>NA</v>
      </c>
      <c r="S32" s="16" t="s">
        <v>1727</v>
      </c>
      <c r="T32" s="17">
        <v>8.2716725536539464</v>
      </c>
      <c r="U32" s="40"/>
    </row>
    <row r="33" spans="1:21" x14ac:dyDescent="0.2">
      <c r="A33" s="24" t="str">
        <f>"unc-94"</f>
        <v>unc-94</v>
      </c>
      <c r="B33" s="24" t="s">
        <v>2726</v>
      </c>
      <c r="C33" s="24" t="s">
        <v>2728</v>
      </c>
      <c r="D33" s="24" t="s">
        <v>29</v>
      </c>
      <c r="E33" s="24" t="s">
        <v>29</v>
      </c>
      <c r="F33" s="24" t="s">
        <v>29</v>
      </c>
      <c r="G33" s="24" t="s">
        <v>14849</v>
      </c>
      <c r="H33" s="24" t="s">
        <v>14849</v>
      </c>
      <c r="I33" s="24" t="s">
        <v>14849</v>
      </c>
      <c r="J33" s="24" t="s">
        <v>14849</v>
      </c>
      <c r="K33" s="24">
        <v>12.257760640612601</v>
      </c>
      <c r="L33" s="24">
        <v>12.4072511866082</v>
      </c>
      <c r="M33" s="24">
        <v>12.3580704046454</v>
      </c>
      <c r="N33" s="24">
        <f t="shared" si="0"/>
        <v>12.341027410622067</v>
      </c>
      <c r="O33" s="24" t="str">
        <f t="shared" si="1"/>
        <v>ND</v>
      </c>
      <c r="P33" s="24" t="str">
        <f t="shared" si="2"/>
        <v>NA</v>
      </c>
      <c r="S33" s="18" t="s">
        <v>7354</v>
      </c>
      <c r="T33" s="19">
        <v>7.2656431499999998</v>
      </c>
      <c r="U33" s="39"/>
    </row>
    <row r="34" spans="1:21" x14ac:dyDescent="0.2">
      <c r="A34" s="24" t="str">
        <f>"pud-1.2"</f>
        <v>pud-1.2</v>
      </c>
      <c r="B34" s="24" t="s">
        <v>1723</v>
      </c>
      <c r="C34" s="24" t="s">
        <v>945</v>
      </c>
      <c r="D34" s="24" t="s">
        <v>29</v>
      </c>
      <c r="E34" s="24" t="s">
        <v>29</v>
      </c>
      <c r="F34" s="24" t="s">
        <v>29</v>
      </c>
      <c r="G34" s="24" t="s">
        <v>14849</v>
      </c>
      <c r="H34" s="24" t="s">
        <v>14849</v>
      </c>
      <c r="I34" s="24" t="s">
        <v>14849</v>
      </c>
      <c r="J34" s="24" t="s">
        <v>14849</v>
      </c>
      <c r="K34" s="24">
        <v>11.482250964001301</v>
      </c>
      <c r="L34" s="24">
        <v>13.027540118755001</v>
      </c>
      <c r="M34" s="24">
        <v>12.3222352447943</v>
      </c>
      <c r="N34" s="24">
        <f t="shared" ref="N34:N65" si="3">(K34+L34+M34)/3</f>
        <v>12.277342109183534</v>
      </c>
      <c r="O34" s="24" t="str">
        <f t="shared" ref="O34:O65" si="4">IFERROR(INDEX(T:T,MATCH(A34, S:S, 0)), "ND")</f>
        <v>ND</v>
      </c>
      <c r="P34" s="24" t="str">
        <f t="shared" ref="P34:P65" si="5">IFERROR(E34/O34, "NA")</f>
        <v>NA</v>
      </c>
      <c r="S34" s="18" t="s">
        <v>8815</v>
      </c>
      <c r="T34" s="19">
        <v>7.2562335100000004</v>
      </c>
      <c r="U34" s="39"/>
    </row>
    <row r="35" spans="1:21" x14ac:dyDescent="0.2">
      <c r="A35" s="24" t="str">
        <f>"R74.7"</f>
        <v>R74.7</v>
      </c>
      <c r="B35" s="24" t="s">
        <v>9584</v>
      </c>
      <c r="C35" s="24" t="s">
        <v>9586</v>
      </c>
      <c r="D35" s="24" t="s">
        <v>29</v>
      </c>
      <c r="E35" s="24" t="s">
        <v>29</v>
      </c>
      <c r="F35" s="24" t="s">
        <v>29</v>
      </c>
      <c r="G35" s="24" t="s">
        <v>14849</v>
      </c>
      <c r="H35" s="24" t="s">
        <v>14849</v>
      </c>
      <c r="I35" s="24" t="s">
        <v>14849</v>
      </c>
      <c r="J35" s="24" t="s">
        <v>14849</v>
      </c>
      <c r="K35" s="24">
        <v>12.0918802020503</v>
      </c>
      <c r="L35" s="24">
        <v>13.313880515798401</v>
      </c>
      <c r="M35" s="24">
        <v>11.424761538800899</v>
      </c>
      <c r="N35" s="24">
        <f t="shared" si="3"/>
        <v>12.276840752216534</v>
      </c>
      <c r="O35" s="24" t="str">
        <f t="shared" si="4"/>
        <v>ND</v>
      </c>
      <c r="P35" s="24" t="str">
        <f t="shared" si="5"/>
        <v>NA</v>
      </c>
      <c r="S35" s="16" t="s">
        <v>4318</v>
      </c>
      <c r="T35" s="19">
        <v>7.0566296503743651</v>
      </c>
      <c r="U35" s="39"/>
    </row>
    <row r="36" spans="1:21" x14ac:dyDescent="0.2">
      <c r="A36" s="24" t="str">
        <f>"ubc-3"</f>
        <v>ubc-3</v>
      </c>
      <c r="B36" s="24" t="s">
        <v>11659</v>
      </c>
      <c r="C36" s="24" t="s">
        <v>11661</v>
      </c>
      <c r="D36" s="24" t="s">
        <v>29</v>
      </c>
      <c r="E36" s="24" t="s">
        <v>29</v>
      </c>
      <c r="F36" s="24" t="s">
        <v>29</v>
      </c>
      <c r="G36" s="24" t="s">
        <v>14849</v>
      </c>
      <c r="H36" s="24" t="s">
        <v>14849</v>
      </c>
      <c r="I36" s="24" t="s">
        <v>14849</v>
      </c>
      <c r="J36" s="24" t="s">
        <v>14849</v>
      </c>
      <c r="K36" s="24">
        <v>12.289436649750201</v>
      </c>
      <c r="L36" s="24">
        <v>12.704559597584</v>
      </c>
      <c r="M36" s="24">
        <v>11.7937150551431</v>
      </c>
      <c r="N36" s="24">
        <f t="shared" si="3"/>
        <v>12.262570434159102</v>
      </c>
      <c r="O36" s="24" t="str">
        <f t="shared" si="4"/>
        <v>ND</v>
      </c>
      <c r="P36" s="24" t="str">
        <f t="shared" si="5"/>
        <v>NA</v>
      </c>
      <c r="S36" s="18" t="s">
        <v>9471</v>
      </c>
      <c r="T36" s="19">
        <v>6.7355698300000002</v>
      </c>
      <c r="U36" s="39"/>
    </row>
    <row r="37" spans="1:21" x14ac:dyDescent="0.2">
      <c r="A37" s="60" t="str">
        <f>"ndub-10"</f>
        <v>ndub-10</v>
      </c>
      <c r="B37" s="24" t="s">
        <v>11240</v>
      </c>
      <c r="C37" s="24" t="s">
        <v>11242</v>
      </c>
      <c r="D37" s="24" t="s">
        <v>29</v>
      </c>
      <c r="E37" s="24" t="s">
        <v>29</v>
      </c>
      <c r="F37" s="24" t="s">
        <v>29</v>
      </c>
      <c r="G37" s="24" t="s">
        <v>14849</v>
      </c>
      <c r="H37" s="24" t="s">
        <v>14849</v>
      </c>
      <c r="I37" s="24" t="s">
        <v>14849</v>
      </c>
      <c r="J37" s="24" t="s">
        <v>14849</v>
      </c>
      <c r="K37" s="24">
        <v>12.084166018165799</v>
      </c>
      <c r="L37" s="24">
        <v>11.406272930597099</v>
      </c>
      <c r="M37" s="24">
        <v>13.123013683050701</v>
      </c>
      <c r="N37" s="24">
        <f t="shared" si="3"/>
        <v>12.204484210604534</v>
      </c>
      <c r="O37" s="24" t="str">
        <f t="shared" si="4"/>
        <v>ND</v>
      </c>
      <c r="P37" s="24" t="str">
        <f t="shared" si="5"/>
        <v>NA</v>
      </c>
      <c r="S37" s="16" t="s">
        <v>7800</v>
      </c>
      <c r="T37" s="17">
        <v>6.5615682544325828</v>
      </c>
      <c r="U37" s="40"/>
    </row>
    <row r="38" spans="1:21" x14ac:dyDescent="0.2">
      <c r="A38" s="22" t="str">
        <f>"T28F4.5"</f>
        <v>T28F4.5</v>
      </c>
      <c r="B38" s="22" t="s">
        <v>9987</v>
      </c>
      <c r="C38" s="22" t="s">
        <v>368</v>
      </c>
      <c r="D38" s="22" t="s">
        <v>29</v>
      </c>
      <c r="E38" s="22" t="s">
        <v>29</v>
      </c>
      <c r="F38" s="22" t="s">
        <v>29</v>
      </c>
      <c r="G38" s="22" t="s">
        <v>14849</v>
      </c>
      <c r="H38" s="22" t="s">
        <v>14849</v>
      </c>
      <c r="I38" s="22" t="s">
        <v>14849</v>
      </c>
      <c r="J38" s="22" t="s">
        <v>14849</v>
      </c>
      <c r="K38" s="22">
        <v>12.957881010046799</v>
      </c>
      <c r="L38" s="22">
        <v>11.9938763049875</v>
      </c>
      <c r="M38" s="22">
        <v>11.4398566036133</v>
      </c>
      <c r="N38" s="22">
        <f t="shared" si="3"/>
        <v>12.130537972882534</v>
      </c>
      <c r="O38" s="22" t="str">
        <f t="shared" si="4"/>
        <v>ND</v>
      </c>
      <c r="P38" s="22" t="str">
        <f t="shared" si="5"/>
        <v>NA</v>
      </c>
      <c r="S38" s="18" t="s">
        <v>5135</v>
      </c>
      <c r="T38" s="19">
        <v>6.4278586200000003</v>
      </c>
      <c r="U38" s="39"/>
    </row>
    <row r="39" spans="1:21" x14ac:dyDescent="0.2">
      <c r="A39" s="24" t="str">
        <f>"npp-14"</f>
        <v>npp-14</v>
      </c>
      <c r="B39" s="24" t="s">
        <v>7402</v>
      </c>
      <c r="C39" s="24" t="s">
        <v>7404</v>
      </c>
      <c r="D39" s="24" t="s">
        <v>29</v>
      </c>
      <c r="E39" s="24" t="s">
        <v>29</v>
      </c>
      <c r="F39" s="24" t="s">
        <v>29</v>
      </c>
      <c r="G39" s="24" t="s">
        <v>14849</v>
      </c>
      <c r="H39" s="24" t="s">
        <v>14849</v>
      </c>
      <c r="I39" s="24" t="s">
        <v>14849</v>
      </c>
      <c r="J39" s="24" t="s">
        <v>14849</v>
      </c>
      <c r="K39" s="24">
        <v>12.532395299677299</v>
      </c>
      <c r="L39" s="24">
        <v>12.3592906917828</v>
      </c>
      <c r="M39" s="24">
        <v>11.453290975989599</v>
      </c>
      <c r="N39" s="24">
        <f t="shared" si="3"/>
        <v>12.114992322483232</v>
      </c>
      <c r="O39" s="24" t="str">
        <f t="shared" si="4"/>
        <v>ND</v>
      </c>
      <c r="P39" s="24" t="str">
        <f t="shared" si="5"/>
        <v>NA</v>
      </c>
      <c r="S39" s="18" t="s">
        <v>6122</v>
      </c>
      <c r="T39" s="19">
        <v>6.3154922200000003</v>
      </c>
      <c r="U39" s="39"/>
    </row>
    <row r="40" spans="1:21" x14ac:dyDescent="0.2">
      <c r="A40" s="24" t="str">
        <f>"C48B6.2"</f>
        <v>C48B6.2</v>
      </c>
      <c r="B40" s="24" t="s">
        <v>2748</v>
      </c>
      <c r="C40" s="24" t="s">
        <v>2750</v>
      </c>
      <c r="D40" s="24" t="s">
        <v>29</v>
      </c>
      <c r="E40" s="24" t="s">
        <v>29</v>
      </c>
      <c r="F40" s="24" t="s">
        <v>29</v>
      </c>
      <c r="G40" s="24" t="s">
        <v>14849</v>
      </c>
      <c r="H40" s="24" t="s">
        <v>14849</v>
      </c>
      <c r="I40" s="24" t="s">
        <v>14849</v>
      </c>
      <c r="J40" s="24" t="s">
        <v>14849</v>
      </c>
      <c r="K40" s="24">
        <v>11.7755012798201</v>
      </c>
      <c r="L40" s="24">
        <v>11.811198400633</v>
      </c>
      <c r="M40" s="24">
        <v>12.4160564811431</v>
      </c>
      <c r="N40" s="24">
        <f t="shared" si="3"/>
        <v>12.000918720532068</v>
      </c>
      <c r="O40" s="24" t="str">
        <f t="shared" si="4"/>
        <v>ND</v>
      </c>
      <c r="P40" s="24" t="str">
        <f t="shared" si="5"/>
        <v>NA</v>
      </c>
      <c r="S40" s="18" t="s">
        <v>3078</v>
      </c>
      <c r="T40" s="19">
        <v>6.2592155700000003</v>
      </c>
      <c r="U40" s="39"/>
    </row>
    <row r="41" spans="1:21" x14ac:dyDescent="0.2">
      <c r="A41" s="24" t="str">
        <f>"nhl-2"</f>
        <v>nhl-2</v>
      </c>
      <c r="B41" s="24" t="s">
        <v>8447</v>
      </c>
      <c r="C41" s="24" t="s">
        <v>360</v>
      </c>
      <c r="D41" s="24" t="s">
        <v>29</v>
      </c>
      <c r="E41" s="24" t="s">
        <v>29</v>
      </c>
      <c r="F41" s="24" t="s">
        <v>29</v>
      </c>
      <c r="G41" s="24" t="s">
        <v>14849</v>
      </c>
      <c r="H41" s="24" t="s">
        <v>14849</v>
      </c>
      <c r="I41" s="24" t="s">
        <v>14849</v>
      </c>
      <c r="J41" s="24" t="s">
        <v>14849</v>
      </c>
      <c r="K41" s="24">
        <v>11.695580363887601</v>
      </c>
      <c r="L41" s="24">
        <v>12.387852394415299</v>
      </c>
      <c r="M41" s="24">
        <v>11.8694296705174</v>
      </c>
      <c r="N41" s="24">
        <f t="shared" si="3"/>
        <v>11.984287476273431</v>
      </c>
      <c r="O41" s="24" t="str">
        <f t="shared" si="4"/>
        <v>ND</v>
      </c>
      <c r="P41" s="24" t="str">
        <f t="shared" si="5"/>
        <v>NA</v>
      </c>
      <c r="S41" s="16" t="s">
        <v>5987</v>
      </c>
      <c r="T41" s="17">
        <v>6.2273672773130739</v>
      </c>
      <c r="U41" s="40"/>
    </row>
    <row r="42" spans="1:21" x14ac:dyDescent="0.2">
      <c r="A42" s="10" t="str">
        <f>"vps-32.1"</f>
        <v>vps-32.1</v>
      </c>
      <c r="B42" s="10" t="s">
        <v>7990</v>
      </c>
      <c r="C42" s="10" t="s">
        <v>7992</v>
      </c>
      <c r="D42" s="10" t="s">
        <v>29</v>
      </c>
      <c r="E42" s="10" t="s">
        <v>29</v>
      </c>
      <c r="F42" s="10" t="s">
        <v>29</v>
      </c>
      <c r="G42" s="10" t="s">
        <v>14849</v>
      </c>
      <c r="H42" s="10" t="s">
        <v>14849</v>
      </c>
      <c r="I42" s="10" t="s">
        <v>14849</v>
      </c>
      <c r="J42" s="10" t="s">
        <v>14849</v>
      </c>
      <c r="K42" s="10">
        <v>12.127012501089901</v>
      </c>
      <c r="L42" s="10">
        <v>11.7390051512919</v>
      </c>
      <c r="M42" s="10">
        <v>11.8378111754814</v>
      </c>
      <c r="N42" s="10">
        <f t="shared" si="3"/>
        <v>11.9012762759544</v>
      </c>
      <c r="O42" s="10">
        <f t="shared" si="4"/>
        <v>2.5931230799999998</v>
      </c>
      <c r="P42" s="10" t="str">
        <f t="shared" si="5"/>
        <v>NA</v>
      </c>
      <c r="S42" s="18" t="s">
        <v>12892</v>
      </c>
      <c r="T42" s="19">
        <v>6.1756567000000002</v>
      </c>
      <c r="U42" s="39"/>
    </row>
    <row r="43" spans="1:21" x14ac:dyDescent="0.2">
      <c r="A43" s="24" t="str">
        <f>"egl-15"</f>
        <v>egl-15</v>
      </c>
      <c r="B43" s="24" t="s">
        <v>7104</v>
      </c>
      <c r="C43" s="24" t="s">
        <v>7106</v>
      </c>
      <c r="D43" s="24" t="s">
        <v>29</v>
      </c>
      <c r="E43" s="24" t="s">
        <v>29</v>
      </c>
      <c r="F43" s="24" t="s">
        <v>29</v>
      </c>
      <c r="G43" s="24" t="s">
        <v>14849</v>
      </c>
      <c r="H43" s="24" t="s">
        <v>14849</v>
      </c>
      <c r="I43" s="24" t="s">
        <v>14849</v>
      </c>
      <c r="J43" s="24" t="s">
        <v>14849</v>
      </c>
      <c r="K43" s="24">
        <v>12.0627218424637</v>
      </c>
      <c r="L43" s="24">
        <v>10.5746252938551</v>
      </c>
      <c r="M43" s="24">
        <v>11.5693056440101</v>
      </c>
      <c r="N43" s="24">
        <f t="shared" si="3"/>
        <v>11.402217593442968</v>
      </c>
      <c r="O43" s="24" t="str">
        <f t="shared" si="4"/>
        <v>ND</v>
      </c>
      <c r="P43" s="24" t="str">
        <f t="shared" si="5"/>
        <v>NA</v>
      </c>
      <c r="S43" s="18" t="s">
        <v>10023</v>
      </c>
      <c r="T43" s="19">
        <v>6.1614871899999999</v>
      </c>
      <c r="U43" s="39"/>
    </row>
    <row r="44" spans="1:21" x14ac:dyDescent="0.2">
      <c r="A44" s="24" t="str">
        <f>"ZK353.9"</f>
        <v>ZK353.9</v>
      </c>
      <c r="B44" s="24" t="s">
        <v>11834</v>
      </c>
      <c r="C44" s="24" t="s">
        <v>11836</v>
      </c>
      <c r="D44" s="24" t="s">
        <v>29</v>
      </c>
      <c r="E44" s="24" t="s">
        <v>29</v>
      </c>
      <c r="F44" s="24" t="s">
        <v>29</v>
      </c>
      <c r="G44" s="24" t="s">
        <v>14849</v>
      </c>
      <c r="H44" s="24" t="s">
        <v>14849</v>
      </c>
      <c r="I44" s="24" t="s">
        <v>14849</v>
      </c>
      <c r="J44" s="24" t="s">
        <v>14849</v>
      </c>
      <c r="K44" s="24">
        <v>11.106140110681601</v>
      </c>
      <c r="L44" s="24">
        <v>11.2184562066991</v>
      </c>
      <c r="M44" s="24">
        <v>11.6959305371344</v>
      </c>
      <c r="N44" s="24">
        <f t="shared" si="3"/>
        <v>11.340175618171701</v>
      </c>
      <c r="O44" s="24" t="str">
        <f t="shared" si="4"/>
        <v>ND</v>
      </c>
      <c r="P44" s="24" t="str">
        <f t="shared" si="5"/>
        <v>NA</v>
      </c>
      <c r="S44" s="18" t="s">
        <v>32</v>
      </c>
      <c r="T44" s="19">
        <v>6.0233030899999997</v>
      </c>
      <c r="U44" s="39"/>
    </row>
    <row r="45" spans="1:21" x14ac:dyDescent="0.2">
      <c r="A45" s="22" t="str">
        <f>"R102.2"</f>
        <v>R102.2</v>
      </c>
      <c r="B45" s="22" t="s">
        <v>9490</v>
      </c>
      <c r="C45" s="22" t="s">
        <v>9491</v>
      </c>
      <c r="D45" s="22" t="s">
        <v>29</v>
      </c>
      <c r="E45" s="22" t="s">
        <v>29</v>
      </c>
      <c r="F45" s="22" t="s">
        <v>29</v>
      </c>
      <c r="G45" s="22" t="s">
        <v>14849</v>
      </c>
      <c r="H45" s="22" t="s">
        <v>14849</v>
      </c>
      <c r="I45" s="22" t="s">
        <v>14849</v>
      </c>
      <c r="J45" s="22" t="s">
        <v>14849</v>
      </c>
      <c r="K45" s="22">
        <v>10.2253572951943</v>
      </c>
      <c r="L45" s="22">
        <v>9.5360657443959607</v>
      </c>
      <c r="M45" s="22">
        <v>11.4687405399462</v>
      </c>
      <c r="N45" s="22">
        <f t="shared" si="3"/>
        <v>10.410054526512154</v>
      </c>
      <c r="O45" s="22" t="str">
        <f t="shared" si="4"/>
        <v>ND</v>
      </c>
      <c r="P45" s="22" t="str">
        <f t="shared" si="5"/>
        <v>NA</v>
      </c>
      <c r="S45" s="18" t="s">
        <v>2062</v>
      </c>
      <c r="T45" s="19">
        <v>6.0027472199999998</v>
      </c>
      <c r="U45" s="39"/>
    </row>
    <row r="46" spans="1:21" x14ac:dyDescent="0.2">
      <c r="A46" s="27" t="str">
        <f>"mlt-3"</f>
        <v>mlt-3</v>
      </c>
      <c r="B46" s="27" t="s">
        <v>13263</v>
      </c>
      <c r="C46" s="27" t="s">
        <v>4483</v>
      </c>
      <c r="D46" s="27">
        <v>8.7502710613282702</v>
      </c>
      <c r="E46" s="27">
        <f t="shared" ref="E46:E77" si="6">2^D46</f>
        <v>430.61986419321101</v>
      </c>
      <c r="F46" s="35">
        <v>4.4569420242347003E-14</v>
      </c>
      <c r="G46" s="27">
        <v>12.0313594007247</v>
      </c>
      <c r="H46" s="27">
        <v>10.1472465554517</v>
      </c>
      <c r="I46" s="27">
        <v>11.3353312261752</v>
      </c>
      <c r="J46" s="27">
        <f t="shared" ref="J46:J77" si="7">AVERAGEIF(G46:I46, "&gt;0")</f>
        <v>11.1713123941172</v>
      </c>
      <c r="K46" s="27">
        <v>19.989267547176301</v>
      </c>
      <c r="L46" s="27">
        <v>20.008262503161401</v>
      </c>
      <c r="M46" s="27">
        <v>19.767220315998799</v>
      </c>
      <c r="N46" s="27">
        <f t="shared" si="3"/>
        <v>19.9215834554455</v>
      </c>
      <c r="O46" s="27" t="str">
        <f t="shared" si="4"/>
        <v>ND</v>
      </c>
      <c r="P46" s="27" t="str">
        <f t="shared" si="5"/>
        <v>NA</v>
      </c>
      <c r="S46" s="18" t="s">
        <v>10275</v>
      </c>
      <c r="T46" s="19">
        <v>5.9248670499999996</v>
      </c>
      <c r="U46" s="39"/>
    </row>
    <row r="47" spans="1:21" x14ac:dyDescent="0.2">
      <c r="A47" s="25" t="str">
        <f>"nekl-3"</f>
        <v>nekl-3</v>
      </c>
      <c r="B47" s="25" t="s">
        <v>1902</v>
      </c>
      <c r="C47" s="25" t="s">
        <v>1904</v>
      </c>
      <c r="D47" s="25">
        <v>5.7826037986456198</v>
      </c>
      <c r="E47" s="25">
        <f t="shared" si="6"/>
        <v>55.04744883060021</v>
      </c>
      <c r="F47" s="26">
        <v>5.4850899138508103E-11</v>
      </c>
      <c r="G47" s="25">
        <v>12.2544733498094</v>
      </c>
      <c r="H47" s="25">
        <v>12.578076886291599</v>
      </c>
      <c r="I47" s="25">
        <v>12.269706398230401</v>
      </c>
      <c r="J47" s="25">
        <f t="shared" si="7"/>
        <v>12.367418878110465</v>
      </c>
      <c r="K47" s="25">
        <v>18.339625541060499</v>
      </c>
      <c r="L47" s="25">
        <v>18.284631107997999</v>
      </c>
      <c r="M47" s="25">
        <v>17.8258113812097</v>
      </c>
      <c r="N47" s="25">
        <f t="shared" si="3"/>
        <v>18.150022676756066</v>
      </c>
      <c r="O47" s="25" t="str">
        <f t="shared" si="4"/>
        <v>ND</v>
      </c>
      <c r="P47" s="25" t="str">
        <f t="shared" si="5"/>
        <v>NA</v>
      </c>
      <c r="S47" s="18" t="s">
        <v>757</v>
      </c>
      <c r="T47" s="19">
        <v>5.9086830800000003</v>
      </c>
      <c r="U47" s="39"/>
    </row>
    <row r="48" spans="1:21" x14ac:dyDescent="0.2">
      <c r="A48" s="24" t="str">
        <f>"bcc-1"</f>
        <v>bcc-1</v>
      </c>
      <c r="B48" s="24" t="s">
        <v>9356</v>
      </c>
      <c r="C48" s="24" t="s">
        <v>4483</v>
      </c>
      <c r="D48" s="24">
        <v>5.3665454668133004</v>
      </c>
      <c r="E48" s="24">
        <f t="shared" si="6"/>
        <v>41.256383803041906</v>
      </c>
      <c r="F48" s="29">
        <v>9.4002778299361898E-11</v>
      </c>
      <c r="G48" s="24">
        <v>12.1590463259011</v>
      </c>
      <c r="H48" s="24">
        <v>12.1598157288987</v>
      </c>
      <c r="I48" s="24">
        <v>12.947951243612399</v>
      </c>
      <c r="J48" s="24">
        <f t="shared" si="7"/>
        <v>12.422271099470734</v>
      </c>
      <c r="K48" s="24">
        <v>17.762933952999401</v>
      </c>
      <c r="L48" s="24">
        <v>17.8611711852433</v>
      </c>
      <c r="M48" s="24">
        <v>17.7423445606093</v>
      </c>
      <c r="N48" s="24">
        <f t="shared" si="3"/>
        <v>17.788816566283998</v>
      </c>
      <c r="O48" s="24" t="str">
        <f t="shared" si="4"/>
        <v>ND</v>
      </c>
      <c r="P48" s="24" t="str">
        <f t="shared" si="5"/>
        <v>NA</v>
      </c>
      <c r="S48" s="18" t="s">
        <v>10417</v>
      </c>
      <c r="T48" s="19">
        <v>5.8160155800000002</v>
      </c>
      <c r="U48" s="39"/>
    </row>
    <row r="49" spans="1:21" x14ac:dyDescent="0.2">
      <c r="A49" s="10" t="str">
        <f>"Y92H12BM.1"</f>
        <v>Y92H12BM.1</v>
      </c>
      <c r="B49" s="10" t="s">
        <v>914</v>
      </c>
      <c r="C49" s="10" t="s">
        <v>915</v>
      </c>
      <c r="D49" s="10">
        <v>4.0070155989190503</v>
      </c>
      <c r="E49" s="10">
        <f t="shared" si="6"/>
        <v>16.077994966697535</v>
      </c>
      <c r="F49" s="32">
        <v>6.5620275477706302E-11</v>
      </c>
      <c r="G49" s="10">
        <v>10.2205996185674</v>
      </c>
      <c r="H49" s="10" t="s">
        <v>14849</v>
      </c>
      <c r="I49" s="10">
        <v>10.361591120431401</v>
      </c>
      <c r="J49" s="10">
        <f t="shared" si="7"/>
        <v>10.2910953694994</v>
      </c>
      <c r="K49" s="10">
        <v>14.352828303312601</v>
      </c>
      <c r="L49" s="10">
        <v>14.586787130761101</v>
      </c>
      <c r="M49" s="10">
        <v>13.954717471181601</v>
      </c>
      <c r="N49" s="10">
        <f t="shared" si="3"/>
        <v>14.298110968418435</v>
      </c>
      <c r="O49" s="10">
        <f t="shared" si="4"/>
        <v>3.3613502799999999</v>
      </c>
      <c r="P49" s="10">
        <f t="shared" si="5"/>
        <v>4.7831953314599316</v>
      </c>
      <c r="S49" s="18" t="s">
        <v>12548</v>
      </c>
      <c r="T49" s="19">
        <v>5.7997844399999998</v>
      </c>
      <c r="U49" s="39"/>
    </row>
    <row r="50" spans="1:21" x14ac:dyDescent="0.2">
      <c r="A50" s="10" t="str">
        <f>"sec-6"</f>
        <v>sec-6</v>
      </c>
      <c r="B50" s="10" t="s">
        <v>8164</v>
      </c>
      <c r="C50" s="10" t="s">
        <v>8166</v>
      </c>
      <c r="D50" s="10">
        <v>3.9226990346203898</v>
      </c>
      <c r="E50" s="10">
        <f t="shared" si="6"/>
        <v>15.165267435492206</v>
      </c>
      <c r="F50" s="32">
        <v>3.0379267484903701E-5</v>
      </c>
      <c r="G50" s="10" t="s">
        <v>14849</v>
      </c>
      <c r="H50" s="10">
        <v>12.834371302891901</v>
      </c>
      <c r="I50" s="10" t="s">
        <v>14849</v>
      </c>
      <c r="J50" s="10">
        <f t="shared" si="7"/>
        <v>12.834371302891901</v>
      </c>
      <c r="K50" s="10">
        <v>16.370907169575901</v>
      </c>
      <c r="L50" s="10">
        <v>17.226127672750401</v>
      </c>
      <c r="M50" s="10">
        <v>16.6741761702106</v>
      </c>
      <c r="N50" s="10">
        <f t="shared" si="3"/>
        <v>16.7570703375123</v>
      </c>
      <c r="O50" s="10">
        <f t="shared" si="4"/>
        <v>3.2135458099999998</v>
      </c>
      <c r="P50" s="10">
        <f t="shared" si="5"/>
        <v>4.7191695193205314</v>
      </c>
      <c r="S50" s="18" t="s">
        <v>4027</v>
      </c>
      <c r="T50" s="19">
        <v>5.79721084</v>
      </c>
      <c r="U50" s="39"/>
    </row>
    <row r="51" spans="1:21" x14ac:dyDescent="0.2">
      <c r="A51" s="24" t="str">
        <f>"cdkr-3"</f>
        <v>cdkr-3</v>
      </c>
      <c r="B51" s="24" t="s">
        <v>13319</v>
      </c>
      <c r="C51" s="24" t="s">
        <v>13321</v>
      </c>
      <c r="D51" s="24">
        <v>3.8744321907240402</v>
      </c>
      <c r="E51" s="24">
        <f t="shared" si="6"/>
        <v>14.666291263777756</v>
      </c>
      <c r="F51" s="29">
        <v>1.04960168677961E-10</v>
      </c>
      <c r="G51" s="24">
        <v>9.3746290607799398</v>
      </c>
      <c r="H51" s="24">
        <v>9.0076505403956606</v>
      </c>
      <c r="I51" s="24" t="s">
        <v>14849</v>
      </c>
      <c r="J51" s="24">
        <f t="shared" si="7"/>
        <v>9.1911398005878002</v>
      </c>
      <c r="K51" s="24">
        <v>12.922979603332401</v>
      </c>
      <c r="L51" s="24">
        <v>13.2717942125542</v>
      </c>
      <c r="M51" s="24">
        <v>13.0019421580489</v>
      </c>
      <c r="N51" s="24">
        <f t="shared" si="3"/>
        <v>13.065571991311833</v>
      </c>
      <c r="O51" s="24" t="str">
        <f t="shared" si="4"/>
        <v>ND</v>
      </c>
      <c r="P51" s="24" t="str">
        <f t="shared" si="5"/>
        <v>NA</v>
      </c>
      <c r="S51" s="18" t="s">
        <v>4326</v>
      </c>
      <c r="T51" s="19">
        <v>5.6978899700000003</v>
      </c>
      <c r="U51" s="39"/>
    </row>
    <row r="52" spans="1:21" x14ac:dyDescent="0.2">
      <c r="A52" s="10" t="str">
        <f>"alfa-1"</f>
        <v>alfa-1</v>
      </c>
      <c r="B52" s="10" t="s">
        <v>11529</v>
      </c>
      <c r="C52" s="10" t="s">
        <v>11531</v>
      </c>
      <c r="D52" s="10">
        <v>3.7856863610662401</v>
      </c>
      <c r="E52" s="10">
        <f t="shared" si="6"/>
        <v>13.791298194502728</v>
      </c>
      <c r="F52" s="32">
        <v>1.3990373732556901E-8</v>
      </c>
      <c r="G52" s="10">
        <v>12.4065620262368</v>
      </c>
      <c r="H52" s="10">
        <v>12.247847300983899</v>
      </c>
      <c r="I52" s="10" t="s">
        <v>14849</v>
      </c>
      <c r="J52" s="10">
        <f t="shared" si="7"/>
        <v>12.327204663610349</v>
      </c>
      <c r="K52" s="10">
        <v>16.081944075564799</v>
      </c>
      <c r="L52" s="10">
        <v>16.4314791518985</v>
      </c>
      <c r="M52" s="10">
        <v>15.8252498465665</v>
      </c>
      <c r="N52" s="10">
        <f t="shared" si="3"/>
        <v>16.1128910246766</v>
      </c>
      <c r="O52" s="10">
        <f t="shared" si="4"/>
        <v>3.1386884199999998</v>
      </c>
      <c r="P52" s="10">
        <f t="shared" si="5"/>
        <v>4.3939685464231992</v>
      </c>
      <c r="S52" s="18" t="s">
        <v>11344</v>
      </c>
      <c r="T52" s="19">
        <v>5.5413512200000001</v>
      </c>
      <c r="U52" s="39"/>
    </row>
    <row r="53" spans="1:21" x14ac:dyDescent="0.2">
      <c r="A53" s="10" t="str">
        <f>"saps-1"</f>
        <v>saps-1</v>
      </c>
      <c r="B53" s="10" t="s">
        <v>627</v>
      </c>
      <c r="C53" s="10" t="s">
        <v>629</v>
      </c>
      <c r="D53" s="10">
        <v>3.7548936584408201</v>
      </c>
      <c r="E53" s="10">
        <f t="shared" si="6"/>
        <v>13.500057607407809</v>
      </c>
      <c r="F53" s="32">
        <v>3.2426962825701899E-9</v>
      </c>
      <c r="G53" s="10">
        <v>10.2053593211016</v>
      </c>
      <c r="H53" s="10" t="s">
        <v>14849</v>
      </c>
      <c r="I53" s="10">
        <v>10.379090651613501</v>
      </c>
      <c r="J53" s="10">
        <f t="shared" si="7"/>
        <v>10.292224986357549</v>
      </c>
      <c r="K53" s="10">
        <v>14.3403913274082</v>
      </c>
      <c r="L53" s="10">
        <v>14.1255755741866</v>
      </c>
      <c r="M53" s="10">
        <v>13.675389032800201</v>
      </c>
      <c r="N53" s="10">
        <f t="shared" si="3"/>
        <v>14.047118644798333</v>
      </c>
      <c r="O53" s="10">
        <f t="shared" si="4"/>
        <v>3.7304220099999998</v>
      </c>
      <c r="P53" s="10">
        <f t="shared" si="5"/>
        <v>3.6189089521825468</v>
      </c>
      <c r="S53" s="18" t="s">
        <v>11987</v>
      </c>
      <c r="T53" s="19">
        <v>5.4986622599999997</v>
      </c>
      <c r="U53" s="39"/>
    </row>
    <row r="54" spans="1:21" x14ac:dyDescent="0.2">
      <c r="A54" s="10" t="str">
        <f>"F42A10.5"</f>
        <v>F42A10.5</v>
      </c>
      <c r="B54" s="10" t="s">
        <v>8729</v>
      </c>
      <c r="C54" s="10" t="s">
        <v>8730</v>
      </c>
      <c r="D54" s="10">
        <v>3.5289463166700301</v>
      </c>
      <c r="E54" s="10">
        <f t="shared" si="6"/>
        <v>11.542999966692214</v>
      </c>
      <c r="F54" s="32">
        <v>3.2438538707275802E-7</v>
      </c>
      <c r="G54" s="10">
        <v>9.9566818556722403</v>
      </c>
      <c r="H54" s="10" t="s">
        <v>14849</v>
      </c>
      <c r="I54" s="10">
        <v>10.8966645353281</v>
      </c>
      <c r="J54" s="10">
        <f t="shared" si="7"/>
        <v>10.42667319550017</v>
      </c>
      <c r="K54" s="10">
        <v>14.2114512041002</v>
      </c>
      <c r="L54" s="10">
        <v>13.8025087953468</v>
      </c>
      <c r="M54" s="10">
        <v>13.8528985370636</v>
      </c>
      <c r="N54" s="10">
        <f t="shared" si="3"/>
        <v>13.9556195121702</v>
      </c>
      <c r="O54" s="10">
        <f t="shared" si="4"/>
        <v>4.1223131100000003</v>
      </c>
      <c r="P54" s="10">
        <f t="shared" si="5"/>
        <v>2.8001269332722312</v>
      </c>
      <c r="S54" s="18" t="s">
        <v>10985</v>
      </c>
      <c r="T54" s="19">
        <v>5.4897413400000001</v>
      </c>
      <c r="U54" s="39"/>
    </row>
    <row r="55" spans="1:21" x14ac:dyDescent="0.2">
      <c r="A55" s="10" t="str">
        <f>"natc-1"</f>
        <v>natc-1</v>
      </c>
      <c r="B55" s="10" t="s">
        <v>3298</v>
      </c>
      <c r="C55" s="10" t="s">
        <v>3300</v>
      </c>
      <c r="D55" s="10">
        <v>3.5095056122898001</v>
      </c>
      <c r="E55" s="10">
        <f t="shared" si="6"/>
        <v>11.3884982461734</v>
      </c>
      <c r="F55" s="32">
        <v>1.22768501588295E-7</v>
      </c>
      <c r="G55" s="10">
        <v>12.171743768465101</v>
      </c>
      <c r="H55" s="10">
        <v>11.878978978488099</v>
      </c>
      <c r="I55" s="10">
        <v>12.415713199401001</v>
      </c>
      <c r="J55" s="10">
        <f t="shared" si="7"/>
        <v>12.155478648784731</v>
      </c>
      <c r="K55" s="10">
        <v>15.387251564201399</v>
      </c>
      <c r="L55" s="10">
        <v>15.8960562676707</v>
      </c>
      <c r="M55" s="10">
        <v>15.7116449513513</v>
      </c>
      <c r="N55" s="10">
        <f t="shared" si="3"/>
        <v>15.664984261074466</v>
      </c>
      <c r="O55" s="10">
        <f t="shared" si="4"/>
        <v>4.4027046299999997</v>
      </c>
      <c r="P55" s="10">
        <f t="shared" si="5"/>
        <v>2.5867050377561669</v>
      </c>
      <c r="S55" s="16" t="s">
        <v>14805</v>
      </c>
      <c r="T55" s="19">
        <v>5.4884546661773141</v>
      </c>
      <c r="U55" s="39"/>
    </row>
    <row r="56" spans="1:21" x14ac:dyDescent="0.2">
      <c r="A56" s="25" t="str">
        <f>"mlt-2"</f>
        <v>mlt-2</v>
      </c>
      <c r="B56" s="25" t="s">
        <v>7389</v>
      </c>
      <c r="C56" s="25" t="s">
        <v>412</v>
      </c>
      <c r="D56" s="25">
        <v>3.3813319268839899</v>
      </c>
      <c r="E56" s="25">
        <f t="shared" si="6"/>
        <v>10.420350694458106</v>
      </c>
      <c r="F56" s="26">
        <v>1.99054474992054E-10</v>
      </c>
      <c r="G56" s="25">
        <v>11.158376817069801</v>
      </c>
      <c r="H56" s="25">
        <v>10.668773969975501</v>
      </c>
      <c r="I56" s="25">
        <v>11.1675085806671</v>
      </c>
      <c r="J56" s="25">
        <f t="shared" si="7"/>
        <v>10.998219789237467</v>
      </c>
      <c r="K56" s="25">
        <v>14.5298592376732</v>
      </c>
      <c r="L56" s="25">
        <v>14.493729083061201</v>
      </c>
      <c r="M56" s="25">
        <v>14.115066827630001</v>
      </c>
      <c r="N56" s="25">
        <f t="shared" si="3"/>
        <v>14.379551716121467</v>
      </c>
      <c r="O56" s="25" t="str">
        <f t="shared" si="4"/>
        <v>ND</v>
      </c>
      <c r="P56" s="25" t="str">
        <f t="shared" si="5"/>
        <v>NA</v>
      </c>
      <c r="S56" s="16" t="s">
        <v>644</v>
      </c>
      <c r="T56" s="19">
        <v>5.4147697799611878</v>
      </c>
      <c r="U56" s="39"/>
    </row>
    <row r="57" spans="1:21" x14ac:dyDescent="0.2">
      <c r="A57" s="10" t="str">
        <f>"T04F3.1"</f>
        <v>T04F3.1</v>
      </c>
      <c r="B57" s="10" t="s">
        <v>1555</v>
      </c>
      <c r="C57" s="10" t="s">
        <v>1556</v>
      </c>
      <c r="D57" s="10">
        <v>3.0987646754294702</v>
      </c>
      <c r="E57" s="10">
        <f t="shared" si="6"/>
        <v>8.5668490937165007</v>
      </c>
      <c r="F57" s="32">
        <v>1.3509285127661E-9</v>
      </c>
      <c r="G57" s="10">
        <v>13.0608550297052</v>
      </c>
      <c r="H57" s="10">
        <v>12.9476766261173</v>
      </c>
      <c r="I57" s="10">
        <v>13.1129313821629</v>
      </c>
      <c r="J57" s="10">
        <f t="shared" si="7"/>
        <v>13.040487679328466</v>
      </c>
      <c r="K57" s="10">
        <v>16.231508425763401</v>
      </c>
      <c r="L57" s="10">
        <v>16.458784082920101</v>
      </c>
      <c r="M57" s="10">
        <v>15.7274645555903</v>
      </c>
      <c r="N57" s="10">
        <f t="shared" si="3"/>
        <v>16.139252354757932</v>
      </c>
      <c r="O57" s="10">
        <f t="shared" si="4"/>
        <v>2.2527639000000002</v>
      </c>
      <c r="P57" s="10">
        <f t="shared" si="5"/>
        <v>3.8028171055637476</v>
      </c>
      <c r="S57" s="18" t="s">
        <v>14806</v>
      </c>
      <c r="T57" s="19">
        <v>5.3912494400000002</v>
      </c>
      <c r="U57" s="39"/>
    </row>
    <row r="58" spans="1:21" x14ac:dyDescent="0.2">
      <c r="A58" s="61" t="str">
        <f>"dnbp-1"</f>
        <v>dnbp-1</v>
      </c>
      <c r="B58" s="10" t="s">
        <v>1212</v>
      </c>
      <c r="C58" s="10" t="s">
        <v>1214</v>
      </c>
      <c r="D58" s="10">
        <v>2.8897819601644299</v>
      </c>
      <c r="E58" s="10">
        <f t="shared" si="6"/>
        <v>7.4115842703397989</v>
      </c>
      <c r="F58" s="32">
        <v>7.6906580641347704E-7</v>
      </c>
      <c r="G58" s="10">
        <v>12.9426890590256</v>
      </c>
      <c r="H58" s="10">
        <v>12.5556007278111</v>
      </c>
      <c r="I58" s="10">
        <v>12.2689083270746</v>
      </c>
      <c r="J58" s="10">
        <f t="shared" si="7"/>
        <v>12.589066037970433</v>
      </c>
      <c r="K58" s="10">
        <v>15.5191574231725</v>
      </c>
      <c r="L58" s="10">
        <v>15.729709642331899</v>
      </c>
      <c r="M58" s="10">
        <v>15.1876769289003</v>
      </c>
      <c r="N58" s="10">
        <f t="shared" si="3"/>
        <v>15.478847998134901</v>
      </c>
      <c r="O58" s="10">
        <f t="shared" si="4"/>
        <v>3.7943776300000001</v>
      </c>
      <c r="P58" s="10">
        <f t="shared" si="5"/>
        <v>1.9533069696965821</v>
      </c>
      <c r="S58" s="18" t="s">
        <v>14807</v>
      </c>
      <c r="T58" s="19">
        <v>5.35563623</v>
      </c>
      <c r="U58" s="39"/>
    </row>
    <row r="59" spans="1:21" x14ac:dyDescent="0.2">
      <c r="A59" s="60" t="str">
        <f>"Y92H12BL.7"</f>
        <v>Y92H12BL.7</v>
      </c>
      <c r="B59" s="24" t="s">
        <v>365</v>
      </c>
      <c r="C59" s="24" t="s">
        <v>111</v>
      </c>
      <c r="D59" s="24">
        <v>2.8322529943002102</v>
      </c>
      <c r="E59" s="24">
        <f t="shared" si="6"/>
        <v>7.1218546612341376</v>
      </c>
      <c r="F59" s="29">
        <v>5.6197954283801097E-7</v>
      </c>
      <c r="G59" s="24">
        <v>12.6321228576392</v>
      </c>
      <c r="H59" s="24">
        <v>11.6424485537731</v>
      </c>
      <c r="I59" s="24" t="s">
        <v>14849</v>
      </c>
      <c r="J59" s="24">
        <f t="shared" si="7"/>
        <v>12.13728570570615</v>
      </c>
      <c r="K59" s="24">
        <v>14.9954902333963</v>
      </c>
      <c r="L59" s="24">
        <v>15.2957631953429</v>
      </c>
      <c r="M59" s="24">
        <v>14.617362671279899</v>
      </c>
      <c r="N59" s="24">
        <f t="shared" si="3"/>
        <v>14.969538700006368</v>
      </c>
      <c r="O59" s="24" t="str">
        <f t="shared" si="4"/>
        <v>ND</v>
      </c>
      <c r="P59" s="24" t="str">
        <f t="shared" si="5"/>
        <v>NA</v>
      </c>
      <c r="S59" s="18" t="s">
        <v>9884</v>
      </c>
      <c r="T59" s="19">
        <v>5.3329647099999997</v>
      </c>
      <c r="U59" s="39"/>
    </row>
    <row r="60" spans="1:21" x14ac:dyDescent="0.2">
      <c r="A60" s="24" t="str">
        <f>"rpap-2"</f>
        <v>rpap-2</v>
      </c>
      <c r="B60" s="24" t="s">
        <v>4894</v>
      </c>
      <c r="C60" s="24" t="s">
        <v>4896</v>
      </c>
      <c r="D60" s="24">
        <v>2.8222134765001798</v>
      </c>
      <c r="E60" s="24">
        <f t="shared" si="6"/>
        <v>7.0724666884676273</v>
      </c>
      <c r="F60" s="29">
        <v>4.8406526771195197E-5</v>
      </c>
      <c r="G60" s="24" t="s">
        <v>14849</v>
      </c>
      <c r="H60" s="24">
        <v>9.2119993413352805</v>
      </c>
      <c r="I60" s="24">
        <v>11.290721356418301</v>
      </c>
      <c r="J60" s="24">
        <f t="shared" si="7"/>
        <v>10.251360348876791</v>
      </c>
      <c r="K60" s="24">
        <v>12.965570971247301</v>
      </c>
      <c r="L60" s="24">
        <v>13.248468878942001</v>
      </c>
      <c r="M60" s="24">
        <v>13.0066816259415</v>
      </c>
      <c r="N60" s="24">
        <f t="shared" si="3"/>
        <v>13.073573825376934</v>
      </c>
      <c r="O60" s="24" t="str">
        <f t="shared" si="4"/>
        <v>ND</v>
      </c>
      <c r="P60" s="24" t="str">
        <f t="shared" si="5"/>
        <v>NA</v>
      </c>
      <c r="S60" s="18" t="s">
        <v>11276</v>
      </c>
      <c r="T60" s="19">
        <v>5.3056272399999997</v>
      </c>
      <c r="U60" s="39"/>
    </row>
    <row r="61" spans="1:21" x14ac:dyDescent="0.2">
      <c r="A61" s="10" t="str">
        <f>"snap-29"</f>
        <v>snap-29</v>
      </c>
      <c r="B61" s="10" t="s">
        <v>6018</v>
      </c>
      <c r="C61" s="10" t="s">
        <v>6020</v>
      </c>
      <c r="D61" s="10">
        <v>2.8169225487142699</v>
      </c>
      <c r="E61" s="10">
        <f t="shared" si="6"/>
        <v>7.046576686402914</v>
      </c>
      <c r="F61" s="32">
        <v>3.79413878611824E-6</v>
      </c>
      <c r="G61" s="10" t="s">
        <v>14849</v>
      </c>
      <c r="H61" s="10" t="s">
        <v>14849</v>
      </c>
      <c r="I61" s="10">
        <v>11.6064249704422</v>
      </c>
      <c r="J61" s="10">
        <f t="shared" si="7"/>
        <v>11.6064249704422</v>
      </c>
      <c r="K61" s="10">
        <v>14.688724892270599</v>
      </c>
      <c r="L61" s="10">
        <v>14.389873513635299</v>
      </c>
      <c r="M61" s="10">
        <v>14.1914441515636</v>
      </c>
      <c r="N61" s="10">
        <f t="shared" si="3"/>
        <v>14.423347519156501</v>
      </c>
      <c r="O61" s="10">
        <f t="shared" si="4"/>
        <v>3.5951703799999999</v>
      </c>
      <c r="P61" s="10">
        <f t="shared" si="5"/>
        <v>1.9600118886167821</v>
      </c>
      <c r="S61" s="18" t="s">
        <v>2875</v>
      </c>
      <c r="T61" s="19">
        <v>5.3045302100000002</v>
      </c>
      <c r="U61" s="39"/>
    </row>
    <row r="62" spans="1:21" x14ac:dyDescent="0.2">
      <c r="A62" s="10" t="str">
        <f>"fah-1"</f>
        <v>fah-1</v>
      </c>
      <c r="B62" s="10" t="s">
        <v>11370</v>
      </c>
      <c r="C62" s="10" t="s">
        <v>11372</v>
      </c>
      <c r="D62" s="10">
        <v>2.7580216094643299</v>
      </c>
      <c r="E62" s="10">
        <f t="shared" si="6"/>
        <v>6.7646796232806965</v>
      </c>
      <c r="F62" s="32">
        <v>3.62231897982972E-6</v>
      </c>
      <c r="G62" s="10" t="s">
        <v>14849</v>
      </c>
      <c r="H62" s="10">
        <v>10.947054000479399</v>
      </c>
      <c r="I62" s="10" t="s">
        <v>14849</v>
      </c>
      <c r="J62" s="10">
        <f t="shared" si="7"/>
        <v>10.947054000479399</v>
      </c>
      <c r="K62" s="10">
        <v>13.7172422737889</v>
      </c>
      <c r="L62" s="10">
        <v>13.782179651693999</v>
      </c>
      <c r="M62" s="10">
        <v>13.6158049043483</v>
      </c>
      <c r="N62" s="10">
        <f t="shared" si="3"/>
        <v>13.705075609943734</v>
      </c>
      <c r="O62" s="10">
        <f t="shared" si="4"/>
        <v>2.7911792396759152</v>
      </c>
      <c r="P62" s="10">
        <f t="shared" si="5"/>
        <v>2.4235919811678399</v>
      </c>
      <c r="S62" s="18" t="s">
        <v>12857</v>
      </c>
      <c r="T62" s="19">
        <v>5.2960393799999999</v>
      </c>
      <c r="U62" s="39"/>
    </row>
    <row r="63" spans="1:21" x14ac:dyDescent="0.2">
      <c r="A63" s="10" t="str">
        <f>"K07E3.4"</f>
        <v>K07E3.4</v>
      </c>
      <c r="B63" s="10" t="s">
        <v>9212</v>
      </c>
      <c r="C63" s="10" t="s">
        <v>9213</v>
      </c>
      <c r="D63" s="10">
        <v>2.7573390110994702</v>
      </c>
      <c r="E63" s="10">
        <f t="shared" si="6"/>
        <v>6.7614797321654798</v>
      </c>
      <c r="F63" s="32">
        <v>2.0621378291495501E-9</v>
      </c>
      <c r="G63" s="10">
        <v>11.489625096168201</v>
      </c>
      <c r="H63" s="10">
        <v>11.257303900766599</v>
      </c>
      <c r="I63" s="10">
        <v>11.596108234036</v>
      </c>
      <c r="J63" s="10">
        <f t="shared" si="7"/>
        <v>11.447679076990267</v>
      </c>
      <c r="K63" s="10">
        <v>14.006645664278899</v>
      </c>
      <c r="L63" s="10">
        <v>14.1940277285241</v>
      </c>
      <c r="M63" s="10">
        <v>14.414380871466101</v>
      </c>
      <c r="N63" s="10">
        <f t="shared" si="3"/>
        <v>14.2050180880897</v>
      </c>
      <c r="O63" s="10">
        <f t="shared" si="4"/>
        <v>2.7277159700000002</v>
      </c>
      <c r="P63" s="10">
        <f t="shared" si="5"/>
        <v>2.4788063737316022</v>
      </c>
      <c r="S63" s="18" t="s">
        <v>11641</v>
      </c>
      <c r="T63" s="19">
        <v>5.2188431199999998</v>
      </c>
      <c r="U63" s="39"/>
    </row>
    <row r="64" spans="1:21" x14ac:dyDescent="0.2">
      <c r="A64" s="24" t="str">
        <f>"edc-4"</f>
        <v>edc-4</v>
      </c>
      <c r="B64" s="24" t="s">
        <v>431</v>
      </c>
      <c r="C64" s="24" t="s">
        <v>433</v>
      </c>
      <c r="D64" s="24">
        <v>2.7494508668411299</v>
      </c>
      <c r="E64" s="24">
        <f t="shared" si="6"/>
        <v>6.7246112453831843</v>
      </c>
      <c r="F64" s="29">
        <v>7.8757097841543402E-10</v>
      </c>
      <c r="G64" s="24">
        <v>11.920371341518599</v>
      </c>
      <c r="H64" s="24">
        <v>11.454727761420401</v>
      </c>
      <c r="I64" s="24">
        <v>11.7757898023814</v>
      </c>
      <c r="J64" s="24">
        <f t="shared" si="7"/>
        <v>11.716962968440134</v>
      </c>
      <c r="K64" s="24">
        <v>14.092691955825201</v>
      </c>
      <c r="L64" s="24">
        <v>14.7711369582471</v>
      </c>
      <c r="M64" s="24">
        <v>14.535412591771401</v>
      </c>
      <c r="N64" s="24">
        <f t="shared" si="3"/>
        <v>14.466413835281235</v>
      </c>
      <c r="O64" s="24" t="str">
        <f t="shared" si="4"/>
        <v>ND</v>
      </c>
      <c r="P64" s="24" t="str">
        <f t="shared" si="5"/>
        <v>NA</v>
      </c>
      <c r="S64" s="18" t="s">
        <v>3454</v>
      </c>
      <c r="T64" s="19">
        <v>5.1872334499999999</v>
      </c>
      <c r="U64" s="39"/>
    </row>
    <row r="65" spans="1:21" x14ac:dyDescent="0.2">
      <c r="A65" s="24" t="str">
        <f>"Y39G10AR.9"</f>
        <v>Y39G10AR.9</v>
      </c>
      <c r="B65" s="24" t="s">
        <v>11682</v>
      </c>
      <c r="C65" s="24" t="s">
        <v>534</v>
      </c>
      <c r="D65" s="24">
        <v>2.60428999644384</v>
      </c>
      <c r="E65" s="24">
        <f t="shared" si="6"/>
        <v>6.0809216301431368</v>
      </c>
      <c r="F65" s="24">
        <v>8.0791739889527598E-4</v>
      </c>
      <c r="G65" s="24" t="s">
        <v>14849</v>
      </c>
      <c r="H65" s="24" t="s">
        <v>14849</v>
      </c>
      <c r="I65" s="24">
        <v>11.0567671663791</v>
      </c>
      <c r="J65" s="24">
        <f t="shared" si="7"/>
        <v>11.0567671663791</v>
      </c>
      <c r="K65" s="24">
        <v>13.9837342137237</v>
      </c>
      <c r="L65" s="24">
        <v>13.843375674724101</v>
      </c>
      <c r="M65" s="24">
        <v>13.1560616000208</v>
      </c>
      <c r="N65" s="24">
        <f t="shared" si="3"/>
        <v>13.661057162822866</v>
      </c>
      <c r="O65" s="24" t="str">
        <f t="shared" si="4"/>
        <v>ND</v>
      </c>
      <c r="P65" s="24" t="str">
        <f t="shared" si="5"/>
        <v>NA</v>
      </c>
      <c r="S65" s="18" t="s">
        <v>7683</v>
      </c>
      <c r="T65" s="19">
        <v>5.1493989300000003</v>
      </c>
      <c r="U65" s="39"/>
    </row>
    <row r="66" spans="1:21" x14ac:dyDescent="0.2">
      <c r="A66" s="24" t="str">
        <f>"akt-2"</f>
        <v>akt-2</v>
      </c>
      <c r="B66" s="24" t="s">
        <v>13499</v>
      </c>
      <c r="C66" s="24" t="s">
        <v>13501</v>
      </c>
      <c r="D66" s="24">
        <v>2.5553375317609199</v>
      </c>
      <c r="E66" s="24">
        <f t="shared" si="6"/>
        <v>5.878049595965698</v>
      </c>
      <c r="F66" s="29">
        <v>6.3987956246077904E-9</v>
      </c>
      <c r="G66" s="24">
        <v>12.3354439398487</v>
      </c>
      <c r="H66" s="24">
        <v>12.0577846008914</v>
      </c>
      <c r="I66" s="24">
        <v>12.001807716803199</v>
      </c>
      <c r="J66" s="24">
        <f t="shared" si="7"/>
        <v>12.131678752514432</v>
      </c>
      <c r="K66" s="24">
        <v>14.6852475801781</v>
      </c>
      <c r="L66" s="24">
        <v>14.770230224576</v>
      </c>
      <c r="M66" s="24">
        <v>14.605571048071999</v>
      </c>
      <c r="N66" s="24">
        <f t="shared" ref="N66:N97" si="8">(K66+L66+M66)/3</f>
        <v>14.687016284275366</v>
      </c>
      <c r="O66" s="24" t="str">
        <f t="shared" ref="O66:O97" si="9">IFERROR(INDEX(T:T,MATCH(A66, S:S, 0)), "ND")</f>
        <v>ND</v>
      </c>
      <c r="P66" s="24" t="str">
        <f t="shared" ref="P66:P97" si="10">IFERROR(E66/O66, "NA")</f>
        <v>NA</v>
      </c>
      <c r="S66" s="18" t="s">
        <v>11194</v>
      </c>
      <c r="T66" s="19">
        <v>5.1442231500000002</v>
      </c>
      <c r="U66" s="39"/>
    </row>
    <row r="67" spans="1:21" x14ac:dyDescent="0.2">
      <c r="A67" s="60" t="str">
        <f>"phdh-1"</f>
        <v>phdh-1</v>
      </c>
      <c r="B67" s="24" t="s">
        <v>3461</v>
      </c>
      <c r="C67" s="24" t="s">
        <v>3463</v>
      </c>
      <c r="D67" s="24">
        <v>2.5464845461141401</v>
      </c>
      <c r="E67" s="24">
        <f t="shared" si="6"/>
        <v>5.8420898478054957</v>
      </c>
      <c r="F67" s="29">
        <v>3.8376221806327598E-6</v>
      </c>
      <c r="G67" s="24" t="s">
        <v>14849</v>
      </c>
      <c r="H67" s="24">
        <v>10.4433294662648</v>
      </c>
      <c r="I67" s="24">
        <v>10.9825491723435</v>
      </c>
      <c r="J67" s="24">
        <f t="shared" si="7"/>
        <v>10.71293931930415</v>
      </c>
      <c r="K67" s="24">
        <v>12.8418643050549</v>
      </c>
      <c r="L67" s="24">
        <v>13.0962484865621</v>
      </c>
      <c r="M67" s="24">
        <v>13.840158804637801</v>
      </c>
      <c r="N67" s="24">
        <f t="shared" si="8"/>
        <v>13.259423865418269</v>
      </c>
      <c r="O67" s="24" t="str">
        <f t="shared" si="9"/>
        <v>ND</v>
      </c>
      <c r="P67" s="24" t="str">
        <f t="shared" si="10"/>
        <v>NA</v>
      </c>
      <c r="S67" s="18" t="s">
        <v>3805</v>
      </c>
      <c r="T67" s="19">
        <v>5.0381587100000003</v>
      </c>
      <c r="U67" s="39"/>
    </row>
    <row r="68" spans="1:21" x14ac:dyDescent="0.2">
      <c r="A68" s="22" t="str">
        <f>"ttc-36"</f>
        <v>ttc-36</v>
      </c>
      <c r="B68" s="22" t="s">
        <v>8871</v>
      </c>
      <c r="C68" s="22" t="s">
        <v>8873</v>
      </c>
      <c r="D68" s="22">
        <v>2.51424529171888</v>
      </c>
      <c r="E68" s="22">
        <f t="shared" si="6"/>
        <v>5.7129871768930043</v>
      </c>
      <c r="F68" s="22">
        <v>1.78285368740453E-4</v>
      </c>
      <c r="G68" s="22">
        <v>12.280125187660801</v>
      </c>
      <c r="H68" s="22" t="s">
        <v>14849</v>
      </c>
      <c r="I68" s="22" t="s">
        <v>14849</v>
      </c>
      <c r="J68" s="22">
        <f t="shared" si="7"/>
        <v>12.280125187660801</v>
      </c>
      <c r="K68" s="22">
        <v>15.2935782270395</v>
      </c>
      <c r="L68" s="22">
        <v>14.7197507577275</v>
      </c>
      <c r="M68" s="22">
        <v>14.3697824533721</v>
      </c>
      <c r="N68" s="22">
        <f t="shared" si="8"/>
        <v>14.794370479379699</v>
      </c>
      <c r="O68" s="22" t="str">
        <f t="shared" si="9"/>
        <v>ND</v>
      </c>
      <c r="P68" s="22" t="str">
        <f t="shared" si="10"/>
        <v>NA</v>
      </c>
      <c r="S68" s="18" t="s">
        <v>315</v>
      </c>
      <c r="T68" s="19">
        <v>5.0101333800000001</v>
      </c>
      <c r="U68" s="39"/>
    </row>
    <row r="69" spans="1:21" x14ac:dyDescent="0.2">
      <c r="A69" s="10" t="str">
        <f>"pfkb-1.1"</f>
        <v>pfkb-1.1</v>
      </c>
      <c r="B69" s="10" t="s">
        <v>12597</v>
      </c>
      <c r="C69" s="10" t="s">
        <v>12599</v>
      </c>
      <c r="D69" s="10">
        <v>2.40384207079981</v>
      </c>
      <c r="E69" s="10">
        <f t="shared" si="6"/>
        <v>5.2921064106666265</v>
      </c>
      <c r="F69" s="10">
        <v>4.9324634218392597E-4</v>
      </c>
      <c r="G69" s="10">
        <v>11.6895300372028</v>
      </c>
      <c r="H69" s="10" t="s">
        <v>14849</v>
      </c>
      <c r="I69" s="10" t="s">
        <v>14849</v>
      </c>
      <c r="J69" s="10">
        <f t="shared" si="7"/>
        <v>11.6895300372028</v>
      </c>
      <c r="K69" s="10">
        <v>13.6295830564044</v>
      </c>
      <c r="L69" s="10">
        <v>14.276518455240099</v>
      </c>
      <c r="M69" s="10">
        <v>14.3740148123634</v>
      </c>
      <c r="N69" s="10">
        <f t="shared" si="8"/>
        <v>14.093372108002633</v>
      </c>
      <c r="O69" s="10">
        <f t="shared" si="9"/>
        <v>3.2164031500000001</v>
      </c>
      <c r="P69" s="10">
        <f t="shared" si="10"/>
        <v>1.6453492189455872</v>
      </c>
      <c r="S69" s="11" t="s">
        <v>5251</v>
      </c>
      <c r="T69" s="20">
        <v>4.9786246800000002</v>
      </c>
      <c r="U69" s="41" t="s">
        <v>14928</v>
      </c>
    </row>
    <row r="70" spans="1:21" x14ac:dyDescent="0.2">
      <c r="A70" s="10" t="str">
        <f>"Y55F3AM.9"</f>
        <v>Y55F3AM.9</v>
      </c>
      <c r="B70" s="10" t="s">
        <v>12336</v>
      </c>
      <c r="C70" s="10" t="s">
        <v>416</v>
      </c>
      <c r="D70" s="10">
        <v>2.3337146370453898</v>
      </c>
      <c r="E70" s="10">
        <f t="shared" si="6"/>
        <v>5.0410163620992829</v>
      </c>
      <c r="F70" s="10">
        <v>1.10112178475153E-4</v>
      </c>
      <c r="G70" s="10">
        <v>11.632250062475901</v>
      </c>
      <c r="H70" s="10" t="s">
        <v>14849</v>
      </c>
      <c r="I70" s="10">
        <v>11.243748697673</v>
      </c>
      <c r="J70" s="10">
        <f t="shared" si="7"/>
        <v>11.437999380074451</v>
      </c>
      <c r="K70" s="10">
        <v>13.7437217747789</v>
      </c>
      <c r="L70" s="10">
        <v>13.817139698297501</v>
      </c>
      <c r="M70" s="10">
        <v>13.754280578283099</v>
      </c>
      <c r="N70" s="10">
        <f t="shared" si="8"/>
        <v>13.771714017119834</v>
      </c>
      <c r="O70" s="10">
        <f t="shared" si="9"/>
        <v>2.6250738600000001</v>
      </c>
      <c r="P70" s="10">
        <f t="shared" si="10"/>
        <v>1.9203331528733758</v>
      </c>
      <c r="S70" s="11" t="s">
        <v>8357</v>
      </c>
      <c r="T70" s="20">
        <v>4.8608899699999997</v>
      </c>
      <c r="U70" s="39" t="s">
        <v>14917</v>
      </c>
    </row>
    <row r="71" spans="1:21" x14ac:dyDescent="0.2">
      <c r="A71" s="24" t="str">
        <f>"coel-1"</f>
        <v>coel-1</v>
      </c>
      <c r="B71" s="24" t="s">
        <v>2325</v>
      </c>
      <c r="C71" s="24" t="s">
        <v>2327</v>
      </c>
      <c r="D71" s="24">
        <v>2.1808709582215702</v>
      </c>
      <c r="E71" s="24">
        <f t="shared" si="6"/>
        <v>4.5342720652601498</v>
      </c>
      <c r="F71" s="29">
        <v>4.1841145835649401E-8</v>
      </c>
      <c r="G71" s="24">
        <v>12.7008024378291</v>
      </c>
      <c r="H71" s="24">
        <v>12.8139823967044</v>
      </c>
      <c r="I71" s="24">
        <v>12.4957051834004</v>
      </c>
      <c r="J71" s="24">
        <f t="shared" si="7"/>
        <v>12.670163339311301</v>
      </c>
      <c r="K71" s="24">
        <v>14.6852705392043</v>
      </c>
      <c r="L71" s="24">
        <v>15.2206633213989</v>
      </c>
      <c r="M71" s="24">
        <v>14.6471690319954</v>
      </c>
      <c r="N71" s="24">
        <f t="shared" si="8"/>
        <v>14.851034297532868</v>
      </c>
      <c r="O71" s="24" t="str">
        <f t="shared" si="9"/>
        <v>ND</v>
      </c>
      <c r="P71" s="24" t="str">
        <f t="shared" si="10"/>
        <v>NA</v>
      </c>
      <c r="S71" s="11" t="s">
        <v>6434</v>
      </c>
      <c r="T71" s="20">
        <v>4.8303157299999997</v>
      </c>
      <c r="U71" s="39"/>
    </row>
    <row r="72" spans="1:21" x14ac:dyDescent="0.2">
      <c r="A72" s="60" t="str">
        <f>"flor-1"</f>
        <v>flor-1</v>
      </c>
      <c r="B72" s="24" t="s">
        <v>3576</v>
      </c>
      <c r="C72" s="24" t="s">
        <v>323</v>
      </c>
      <c r="D72" s="24">
        <v>2.1683910947727298</v>
      </c>
      <c r="E72" s="24">
        <f t="shared" si="6"/>
        <v>4.4952180387216005</v>
      </c>
      <c r="F72" s="29">
        <v>1.4787974179029401E-6</v>
      </c>
      <c r="G72" s="24">
        <v>12.6938185838924</v>
      </c>
      <c r="H72" s="24">
        <v>13.0475693247812</v>
      </c>
      <c r="I72" s="24">
        <v>12.3123496955462</v>
      </c>
      <c r="J72" s="24">
        <f t="shared" si="7"/>
        <v>12.684579201406601</v>
      </c>
      <c r="K72" s="24">
        <v>15.0111301887616</v>
      </c>
      <c r="L72" s="24">
        <v>14.8737246930284</v>
      </c>
      <c r="M72" s="24">
        <v>14.674056006748</v>
      </c>
      <c r="N72" s="24">
        <f t="shared" si="8"/>
        <v>14.852970296179331</v>
      </c>
      <c r="O72" s="24" t="str">
        <f t="shared" si="9"/>
        <v>ND</v>
      </c>
      <c r="P72" s="24" t="str">
        <f t="shared" si="10"/>
        <v>NA</v>
      </c>
      <c r="S72" s="11" t="s">
        <v>88</v>
      </c>
      <c r="T72" s="20">
        <v>4.8081449999999997</v>
      </c>
      <c r="U72" s="39"/>
    </row>
    <row r="73" spans="1:21" x14ac:dyDescent="0.2">
      <c r="A73" s="24" t="str">
        <f>"unk-1"</f>
        <v>unk-1</v>
      </c>
      <c r="B73" s="24" t="s">
        <v>2671</v>
      </c>
      <c r="C73" s="24" t="s">
        <v>252</v>
      </c>
      <c r="D73" s="24">
        <v>2.0702850284299701</v>
      </c>
      <c r="E73" s="24">
        <f t="shared" si="6"/>
        <v>4.1996963724894734</v>
      </c>
      <c r="F73" s="29">
        <v>8.3426019347033304E-5</v>
      </c>
      <c r="G73" s="24" t="s">
        <v>14849</v>
      </c>
      <c r="H73" s="24">
        <v>9.5526295442138593</v>
      </c>
      <c r="I73" s="24">
        <v>10.804787310241499</v>
      </c>
      <c r="J73" s="24">
        <f t="shared" si="7"/>
        <v>10.178708427227679</v>
      </c>
      <c r="K73" s="24">
        <v>12.326318990887801</v>
      </c>
      <c r="L73" s="24">
        <v>12.5359582381124</v>
      </c>
      <c r="M73" s="24">
        <v>11.884703137972799</v>
      </c>
      <c r="N73" s="24">
        <f t="shared" si="8"/>
        <v>12.248993455657667</v>
      </c>
      <c r="O73" s="24" t="str">
        <f t="shared" si="9"/>
        <v>ND</v>
      </c>
      <c r="P73" s="24" t="str">
        <f t="shared" si="10"/>
        <v>NA</v>
      </c>
      <c r="S73" s="11" t="s">
        <v>465</v>
      </c>
      <c r="T73" s="20">
        <v>4.7841150700000004</v>
      </c>
      <c r="U73" s="39"/>
    </row>
    <row r="74" spans="1:21" x14ac:dyDescent="0.2">
      <c r="A74" s="24" t="str">
        <f>"cst-1"</f>
        <v>cst-1</v>
      </c>
      <c r="B74" s="24" t="s">
        <v>12799</v>
      </c>
      <c r="C74" s="24" t="s">
        <v>12801</v>
      </c>
      <c r="D74" s="24">
        <v>2.0654842745311202</v>
      </c>
      <c r="E74" s="24">
        <f t="shared" si="6"/>
        <v>4.1857445670156972</v>
      </c>
      <c r="F74" s="29">
        <v>6.9501456914947001E-7</v>
      </c>
      <c r="G74" s="24">
        <v>11.8324370268608</v>
      </c>
      <c r="H74" s="24">
        <v>11.9417970730352</v>
      </c>
      <c r="I74" s="24">
        <v>11.4361823409571</v>
      </c>
      <c r="J74" s="24">
        <f t="shared" si="7"/>
        <v>11.736805480284366</v>
      </c>
      <c r="K74" s="24">
        <v>13.5023841136</v>
      </c>
      <c r="L74" s="24">
        <v>14.0916192276585</v>
      </c>
      <c r="M74" s="24">
        <v>13.8128659231879</v>
      </c>
      <c r="N74" s="24">
        <f t="shared" si="8"/>
        <v>13.802289754815467</v>
      </c>
      <c r="O74" s="24" t="str">
        <f t="shared" si="9"/>
        <v>ND</v>
      </c>
      <c r="P74" s="24" t="str">
        <f t="shared" si="10"/>
        <v>NA</v>
      </c>
      <c r="S74" s="11" t="s">
        <v>944</v>
      </c>
      <c r="T74" s="20">
        <v>4.7641000399999998</v>
      </c>
      <c r="U74" s="39"/>
    </row>
    <row r="75" spans="1:21" x14ac:dyDescent="0.2">
      <c r="A75" s="24" t="str">
        <f>"tps-1"</f>
        <v>tps-1</v>
      </c>
      <c r="B75" s="24" t="s">
        <v>10719</v>
      </c>
      <c r="C75" s="24" t="s">
        <v>10721</v>
      </c>
      <c r="D75" s="24">
        <v>2.0089430495160299</v>
      </c>
      <c r="E75" s="24">
        <f t="shared" si="6"/>
        <v>4.0248724087455514</v>
      </c>
      <c r="F75" s="29">
        <v>1.0450344048176801E-5</v>
      </c>
      <c r="G75" s="24">
        <v>11.7701819910127</v>
      </c>
      <c r="H75" s="24">
        <v>11.207715835361199</v>
      </c>
      <c r="I75" s="24">
        <v>11.3418234565208</v>
      </c>
      <c r="J75" s="24">
        <f t="shared" si="7"/>
        <v>11.439907094298233</v>
      </c>
      <c r="K75" s="24">
        <v>13.501881733858401</v>
      </c>
      <c r="L75" s="24">
        <v>13.502646255292101</v>
      </c>
      <c r="M75" s="24">
        <v>13.342022442292301</v>
      </c>
      <c r="N75" s="24">
        <f t="shared" si="8"/>
        <v>13.448850143814269</v>
      </c>
      <c r="O75" s="24" t="str">
        <f t="shared" si="9"/>
        <v>ND</v>
      </c>
      <c r="P75" s="24" t="str">
        <f t="shared" si="10"/>
        <v>NA</v>
      </c>
      <c r="S75" s="11" t="s">
        <v>1209</v>
      </c>
      <c r="T75" s="20">
        <v>4.5818628099999996</v>
      </c>
      <c r="U75" s="39"/>
    </row>
    <row r="76" spans="1:21" x14ac:dyDescent="0.2">
      <c r="A76" s="10" t="str">
        <f>"vha-10"</f>
        <v>vha-10</v>
      </c>
      <c r="B76" s="10" t="s">
        <v>6271</v>
      </c>
      <c r="C76" s="10" t="s">
        <v>6273</v>
      </c>
      <c r="D76" s="10">
        <v>1.94926048493958</v>
      </c>
      <c r="E76" s="10">
        <f t="shared" si="6"/>
        <v>3.8617652952656707</v>
      </c>
      <c r="F76" s="10">
        <v>2.7415036539535399E-3</v>
      </c>
      <c r="G76" s="10">
        <v>11.4620113410319</v>
      </c>
      <c r="H76" s="10">
        <v>11.7880770133056</v>
      </c>
      <c r="I76" s="10">
        <v>10.858656167758699</v>
      </c>
      <c r="J76" s="10">
        <f t="shared" si="7"/>
        <v>11.369581507365401</v>
      </c>
      <c r="K76" s="10">
        <v>12.502802450880299</v>
      </c>
      <c r="L76" s="10">
        <v>12.8698641418846</v>
      </c>
      <c r="M76" s="10">
        <v>14.583859384149999</v>
      </c>
      <c r="N76" s="10">
        <f t="shared" si="8"/>
        <v>13.318841992304968</v>
      </c>
      <c r="O76" s="10">
        <f t="shared" si="9"/>
        <v>2.2777352857525219</v>
      </c>
      <c r="P76" s="10">
        <f t="shared" si="10"/>
        <v>1.6954407825270241</v>
      </c>
      <c r="S76" s="11" t="s">
        <v>9440</v>
      </c>
      <c r="T76" s="20">
        <v>4.5629360500000002</v>
      </c>
      <c r="U76" s="39"/>
    </row>
    <row r="77" spans="1:21" x14ac:dyDescent="0.2">
      <c r="A77" s="24" t="str">
        <f>"pes-7"</f>
        <v>pes-7</v>
      </c>
      <c r="B77" s="24" t="s">
        <v>3516</v>
      </c>
      <c r="C77" s="24" t="s">
        <v>758</v>
      </c>
      <c r="D77" s="24">
        <v>1.9256275269559899</v>
      </c>
      <c r="E77" s="24">
        <f t="shared" si="6"/>
        <v>3.7990205789069931</v>
      </c>
      <c r="F77" s="29">
        <v>3.6159473868323599E-5</v>
      </c>
      <c r="G77" s="24">
        <v>11.863976846072401</v>
      </c>
      <c r="H77" s="24">
        <v>11.456434208626501</v>
      </c>
      <c r="I77" s="24">
        <v>12.296316837863101</v>
      </c>
      <c r="J77" s="24">
        <f t="shared" si="7"/>
        <v>11.872242630854002</v>
      </c>
      <c r="K77" s="24">
        <v>13.832757454082399</v>
      </c>
      <c r="L77" s="24">
        <v>14.0773687996652</v>
      </c>
      <c r="M77" s="24">
        <v>13.4834842196823</v>
      </c>
      <c r="N77" s="24">
        <f t="shared" si="8"/>
        <v>13.797870157809967</v>
      </c>
      <c r="O77" s="24" t="str">
        <f t="shared" si="9"/>
        <v>ND</v>
      </c>
      <c r="P77" s="24" t="str">
        <f t="shared" si="10"/>
        <v>NA</v>
      </c>
      <c r="S77" s="11" t="s">
        <v>3930</v>
      </c>
      <c r="T77" s="20">
        <v>4.51665078</v>
      </c>
      <c r="U77" s="39"/>
    </row>
    <row r="78" spans="1:21" x14ac:dyDescent="0.2">
      <c r="A78" s="60" t="str">
        <f>"ZK822.1"</f>
        <v>ZK822.1</v>
      </c>
      <c r="B78" s="24" t="s">
        <v>10342</v>
      </c>
      <c r="C78" s="24" t="s">
        <v>10343</v>
      </c>
      <c r="D78" s="24">
        <v>1.8663362784203299</v>
      </c>
      <c r="E78" s="24">
        <f t="shared" ref="E78:E109" si="11">2^D78</f>
        <v>3.6460548840423801</v>
      </c>
      <c r="F78" s="29">
        <v>5.38083049510386E-5</v>
      </c>
      <c r="G78" s="24">
        <v>10.8044806880278</v>
      </c>
      <c r="H78" s="24">
        <v>9.1915806324417701</v>
      </c>
      <c r="I78" s="24">
        <v>10.203156143106501</v>
      </c>
      <c r="J78" s="24">
        <f t="shared" ref="J78:J109" si="12">AVERAGEIF(G78:I78, "&gt;0")</f>
        <v>10.066405821192024</v>
      </c>
      <c r="K78" s="24">
        <v>11.709193152064101</v>
      </c>
      <c r="L78" s="24">
        <v>12.187305020137</v>
      </c>
      <c r="M78" s="24">
        <v>11.901728126636</v>
      </c>
      <c r="N78" s="24">
        <f t="shared" si="8"/>
        <v>11.932742099612367</v>
      </c>
      <c r="O78" s="24" t="str">
        <f t="shared" si="9"/>
        <v>ND</v>
      </c>
      <c r="P78" s="24" t="str">
        <f t="shared" si="10"/>
        <v>NA</v>
      </c>
      <c r="S78" s="10" t="s">
        <v>14808</v>
      </c>
      <c r="T78" s="21">
        <v>4.4289296021776599</v>
      </c>
      <c r="U78" s="40"/>
    </row>
    <row r="79" spans="1:21" x14ac:dyDescent="0.2">
      <c r="A79" s="24" t="str">
        <f>"upp-1"</f>
        <v>upp-1</v>
      </c>
      <c r="B79" s="24" t="s">
        <v>10331</v>
      </c>
      <c r="C79" s="24" t="s">
        <v>10333</v>
      </c>
      <c r="D79" s="24">
        <v>1.8306648360265101</v>
      </c>
      <c r="E79" s="24">
        <f t="shared" si="11"/>
        <v>3.5570095209481782</v>
      </c>
      <c r="F79" s="24">
        <v>1.19170472500402E-4</v>
      </c>
      <c r="G79" s="24" t="s">
        <v>14849</v>
      </c>
      <c r="H79" s="24" t="s">
        <v>14849</v>
      </c>
      <c r="I79" s="24">
        <v>11.8890857869977</v>
      </c>
      <c r="J79" s="24">
        <f t="shared" si="12"/>
        <v>11.8890857869977</v>
      </c>
      <c r="K79" s="24">
        <v>13.9422762044707</v>
      </c>
      <c r="L79" s="24">
        <v>13.380445143767201</v>
      </c>
      <c r="M79" s="24">
        <v>13.836530520834801</v>
      </c>
      <c r="N79" s="24">
        <f t="shared" si="8"/>
        <v>13.719750623024233</v>
      </c>
      <c r="O79" s="24" t="str">
        <f t="shared" si="9"/>
        <v>ND</v>
      </c>
      <c r="P79" s="24" t="str">
        <f t="shared" si="10"/>
        <v>NA</v>
      </c>
      <c r="S79" s="11" t="s">
        <v>3299</v>
      </c>
      <c r="T79" s="20">
        <v>4.4027046299999997</v>
      </c>
      <c r="U79" s="39"/>
    </row>
    <row r="80" spans="1:21" x14ac:dyDescent="0.2">
      <c r="A80" s="24" t="str">
        <f>"deb-1"</f>
        <v>deb-1</v>
      </c>
      <c r="B80" s="24" t="s">
        <v>4794</v>
      </c>
      <c r="C80" s="24" t="s">
        <v>4796</v>
      </c>
      <c r="D80" s="24">
        <v>1.81743179617961</v>
      </c>
      <c r="E80" s="24">
        <f t="shared" si="11"/>
        <v>3.5245322251798492</v>
      </c>
      <c r="F80" s="29">
        <v>1.4061657796948599E-6</v>
      </c>
      <c r="G80" s="24">
        <v>11.2059148503439</v>
      </c>
      <c r="H80" s="24">
        <v>11.9431731353147</v>
      </c>
      <c r="I80" s="24">
        <v>11.845601764268601</v>
      </c>
      <c r="J80" s="24">
        <f t="shared" si="12"/>
        <v>11.664896583309067</v>
      </c>
      <c r="K80" s="24">
        <v>13.8321342088189</v>
      </c>
      <c r="L80" s="24">
        <v>13.170353325236601</v>
      </c>
      <c r="M80" s="24">
        <v>13.4444976044106</v>
      </c>
      <c r="N80" s="24">
        <f t="shared" si="8"/>
        <v>13.482328379488701</v>
      </c>
      <c r="O80" s="24" t="str">
        <f t="shared" si="9"/>
        <v>ND</v>
      </c>
      <c r="P80" s="24" t="str">
        <f t="shared" si="10"/>
        <v>NA</v>
      </c>
      <c r="S80" s="11" t="s">
        <v>14809</v>
      </c>
      <c r="T80" s="20">
        <v>4.39401449</v>
      </c>
      <c r="U80" s="39"/>
    </row>
    <row r="81" spans="1:21" x14ac:dyDescent="0.2">
      <c r="A81" s="24" t="str">
        <f>"tbb-4"</f>
        <v>tbb-4</v>
      </c>
      <c r="B81" s="24" t="s">
        <v>5521</v>
      </c>
      <c r="C81" s="24" t="s">
        <v>5523</v>
      </c>
      <c r="D81" s="24">
        <v>1.7502773903241799</v>
      </c>
      <c r="E81" s="24">
        <f t="shared" si="11"/>
        <v>3.3642324476147754</v>
      </c>
      <c r="F81" s="24">
        <v>3.1685838372150801E-4</v>
      </c>
      <c r="G81" s="24">
        <v>13.004426500781999</v>
      </c>
      <c r="H81" s="24">
        <v>13.9572049503802</v>
      </c>
      <c r="I81" s="24">
        <v>13.6296380764571</v>
      </c>
      <c r="J81" s="24">
        <f t="shared" si="12"/>
        <v>13.530423175873098</v>
      </c>
      <c r="K81" s="24">
        <v>16.1045531650295</v>
      </c>
      <c r="L81" s="24">
        <v>15.095880628370301</v>
      </c>
      <c r="M81" s="24">
        <v>14.641667905192</v>
      </c>
      <c r="N81" s="24">
        <f t="shared" si="8"/>
        <v>15.280700566197268</v>
      </c>
      <c r="O81" s="24" t="str">
        <f t="shared" si="9"/>
        <v>ND</v>
      </c>
      <c r="P81" s="24" t="str">
        <f t="shared" si="10"/>
        <v>NA</v>
      </c>
      <c r="S81" s="11" t="s">
        <v>9759</v>
      </c>
      <c r="T81" s="20">
        <v>4.2269197700000003</v>
      </c>
      <c r="U81" s="39"/>
    </row>
    <row r="82" spans="1:21" x14ac:dyDescent="0.2">
      <c r="A82" s="24" t="str">
        <f>"cpn-2"</f>
        <v>cpn-2</v>
      </c>
      <c r="B82" s="24" t="s">
        <v>3885</v>
      </c>
      <c r="C82" s="24" t="s">
        <v>3887</v>
      </c>
      <c r="D82" s="24">
        <v>1.7466649047832801</v>
      </c>
      <c r="E82" s="24">
        <f t="shared" si="11"/>
        <v>3.3558190007949937</v>
      </c>
      <c r="F82" s="24">
        <v>1.6837833937978901E-4</v>
      </c>
      <c r="G82" s="24" t="s">
        <v>14849</v>
      </c>
      <c r="H82" s="24" t="s">
        <v>14849</v>
      </c>
      <c r="I82" s="24">
        <v>11.2948914793593</v>
      </c>
      <c r="J82" s="24">
        <f t="shared" si="12"/>
        <v>11.2948914793593</v>
      </c>
      <c r="K82" s="24">
        <v>13.3265013103145</v>
      </c>
      <c r="L82" s="24">
        <v>12.8501443260561</v>
      </c>
      <c r="M82" s="24">
        <v>12.9480235160571</v>
      </c>
      <c r="N82" s="24">
        <f t="shared" si="8"/>
        <v>13.041556384142567</v>
      </c>
      <c r="O82" s="24" t="str">
        <f t="shared" si="9"/>
        <v>ND</v>
      </c>
      <c r="P82" s="24" t="str">
        <f t="shared" si="10"/>
        <v>NA</v>
      </c>
      <c r="S82" s="10" t="s">
        <v>7987</v>
      </c>
      <c r="T82" s="20">
        <v>4.1515668901613356</v>
      </c>
      <c r="U82" s="39"/>
    </row>
    <row r="83" spans="1:21" x14ac:dyDescent="0.2">
      <c r="A83" s="24" t="str">
        <f>"cogc-6"</f>
        <v>cogc-6</v>
      </c>
      <c r="B83" s="24" t="s">
        <v>9193</v>
      </c>
      <c r="C83" s="24" t="s">
        <v>9195</v>
      </c>
      <c r="D83" s="24">
        <v>1.69521893958908</v>
      </c>
      <c r="E83" s="24">
        <f t="shared" si="11"/>
        <v>3.238260258726716</v>
      </c>
      <c r="F83" s="24">
        <v>8.8558877417241992E-3</v>
      </c>
      <c r="G83" s="24">
        <v>10.9785201391502</v>
      </c>
      <c r="H83" s="24" t="s">
        <v>14849</v>
      </c>
      <c r="I83" s="24" t="s">
        <v>14849</v>
      </c>
      <c r="J83" s="24">
        <f t="shared" si="12"/>
        <v>10.9785201391502</v>
      </c>
      <c r="K83" s="24">
        <v>12.535910013713</v>
      </c>
      <c r="L83" s="24">
        <v>13.3406898320899</v>
      </c>
      <c r="M83" s="24">
        <v>12.144617390414799</v>
      </c>
      <c r="N83" s="24">
        <f t="shared" si="8"/>
        <v>12.673739078739233</v>
      </c>
      <c r="O83" s="24" t="str">
        <f t="shared" si="9"/>
        <v>ND</v>
      </c>
      <c r="P83" s="24" t="str">
        <f t="shared" si="10"/>
        <v>NA</v>
      </c>
      <c r="S83" s="11" t="s">
        <v>14172</v>
      </c>
      <c r="T83" s="20">
        <v>4.1223131100000003</v>
      </c>
      <c r="U83" s="39"/>
    </row>
    <row r="84" spans="1:21" x14ac:dyDescent="0.2">
      <c r="A84" s="24" t="str">
        <f>"nhr-10"</f>
        <v>nhr-10</v>
      </c>
      <c r="B84" s="24" t="s">
        <v>5549</v>
      </c>
      <c r="C84" s="24" t="s">
        <v>5551</v>
      </c>
      <c r="D84" s="24">
        <v>1.6776426082531699</v>
      </c>
      <c r="E84" s="24">
        <f t="shared" si="11"/>
        <v>3.1990479307538573</v>
      </c>
      <c r="F84" s="24">
        <v>1.8653525297310701E-2</v>
      </c>
      <c r="G84" s="24">
        <v>11.1984246727708</v>
      </c>
      <c r="H84" s="24">
        <v>12.161810945608799</v>
      </c>
      <c r="I84" s="24">
        <v>12.2536959016906</v>
      </c>
      <c r="J84" s="24">
        <f t="shared" si="12"/>
        <v>11.871310506690065</v>
      </c>
      <c r="K84" s="24">
        <v>12.8226373262503</v>
      </c>
      <c r="L84" s="24">
        <v>15.052713148913901</v>
      </c>
      <c r="M84" s="24">
        <v>12.771508869665499</v>
      </c>
      <c r="N84" s="24">
        <f t="shared" si="8"/>
        <v>13.548953114943233</v>
      </c>
      <c r="O84" s="24" t="str">
        <f t="shared" si="9"/>
        <v>ND</v>
      </c>
      <c r="P84" s="24" t="str">
        <f t="shared" si="10"/>
        <v>NA</v>
      </c>
      <c r="S84" s="10" t="s">
        <v>13532</v>
      </c>
      <c r="T84" s="21">
        <v>4.0876309905636603</v>
      </c>
      <c r="U84" s="40"/>
    </row>
    <row r="85" spans="1:21" x14ac:dyDescent="0.2">
      <c r="A85" s="24" t="str">
        <f>"skr-1"</f>
        <v>skr-1</v>
      </c>
      <c r="B85" s="24" t="s">
        <v>1249</v>
      </c>
      <c r="C85" s="24" t="s">
        <v>1251</v>
      </c>
      <c r="D85" s="24">
        <v>1.6195291848405899</v>
      </c>
      <c r="E85" s="24">
        <f t="shared" si="11"/>
        <v>3.0727474256322256</v>
      </c>
      <c r="F85" s="29">
        <v>8.0823354899597095E-6</v>
      </c>
      <c r="G85" s="24">
        <v>11.358583122997301</v>
      </c>
      <c r="H85" s="24">
        <v>11.8348191056741</v>
      </c>
      <c r="I85" s="24">
        <v>11.584985058258299</v>
      </c>
      <c r="J85" s="24">
        <f t="shared" si="12"/>
        <v>11.592795762309899</v>
      </c>
      <c r="K85" s="24">
        <v>13.036024842378101</v>
      </c>
      <c r="L85" s="24">
        <v>13.427263539237201</v>
      </c>
      <c r="M85" s="24">
        <v>13.173686459836199</v>
      </c>
      <c r="N85" s="24">
        <f t="shared" si="8"/>
        <v>13.212324947150499</v>
      </c>
      <c r="O85" s="24" t="str">
        <f t="shared" si="9"/>
        <v>ND</v>
      </c>
      <c r="P85" s="24" t="str">
        <f t="shared" si="10"/>
        <v>NA</v>
      </c>
      <c r="S85" s="11" t="s">
        <v>14213</v>
      </c>
      <c r="T85" s="20">
        <v>4.0803284199999998</v>
      </c>
      <c r="U85" s="39"/>
    </row>
    <row r="86" spans="1:21" x14ac:dyDescent="0.2">
      <c r="A86" s="24" t="str">
        <f>"mask-1"</f>
        <v>mask-1</v>
      </c>
      <c r="B86" s="24" t="s">
        <v>9512</v>
      </c>
      <c r="C86" s="24" t="s">
        <v>9514</v>
      </c>
      <c r="D86" s="24">
        <v>1.6183827210108599</v>
      </c>
      <c r="E86" s="24">
        <f t="shared" si="11"/>
        <v>3.0703065810141794</v>
      </c>
      <c r="F86" s="24">
        <v>2.78021120965266E-4</v>
      </c>
      <c r="G86" s="24">
        <v>10.693298322541899</v>
      </c>
      <c r="H86" s="24">
        <v>9.8785940519485802</v>
      </c>
      <c r="I86" s="24">
        <v>11.205195578796999</v>
      </c>
      <c r="J86" s="24">
        <f t="shared" si="12"/>
        <v>10.592362651095828</v>
      </c>
      <c r="K86" s="24">
        <v>11.996922699157899</v>
      </c>
      <c r="L86" s="24">
        <v>12.580251115252199</v>
      </c>
      <c r="M86" s="24">
        <v>12.05506230191</v>
      </c>
      <c r="N86" s="24">
        <f t="shared" si="8"/>
        <v>12.2107453721067</v>
      </c>
      <c r="O86" s="24" t="str">
        <f t="shared" si="9"/>
        <v>ND</v>
      </c>
      <c r="P86" s="24" t="str">
        <f t="shared" si="10"/>
        <v>NA</v>
      </c>
      <c r="S86" s="11" t="s">
        <v>1422</v>
      </c>
      <c r="T86" s="20">
        <v>4.0776110599999997</v>
      </c>
      <c r="U86" s="39"/>
    </row>
    <row r="87" spans="1:21" x14ac:dyDescent="0.2">
      <c r="A87" s="24" t="str">
        <f>"dbt-1"</f>
        <v>dbt-1</v>
      </c>
      <c r="B87" s="24" t="s">
        <v>10327</v>
      </c>
      <c r="C87" s="24" t="s">
        <v>10329</v>
      </c>
      <c r="D87" s="24">
        <v>1.6109432734790301</v>
      </c>
      <c r="E87" s="24">
        <f t="shared" si="11"/>
        <v>3.0545148905598118</v>
      </c>
      <c r="F87" s="24">
        <v>2.1720532678141499E-4</v>
      </c>
      <c r="G87" s="24">
        <v>15.4520094371713</v>
      </c>
      <c r="H87" s="24">
        <v>15.4012791002719</v>
      </c>
      <c r="I87" s="24">
        <v>15.732668859841899</v>
      </c>
      <c r="J87" s="24">
        <f t="shared" si="12"/>
        <v>15.5286524657617</v>
      </c>
      <c r="K87" s="24">
        <v>16.15834910541</v>
      </c>
      <c r="L87" s="24">
        <v>17.658793045100101</v>
      </c>
      <c r="M87" s="24">
        <v>17.601645067212001</v>
      </c>
      <c r="N87" s="24">
        <f t="shared" si="8"/>
        <v>17.139595739240701</v>
      </c>
      <c r="O87" s="24" t="str">
        <f t="shared" si="9"/>
        <v>ND</v>
      </c>
      <c r="P87" s="24" t="str">
        <f t="shared" si="10"/>
        <v>NA</v>
      </c>
      <c r="S87" s="11" t="s">
        <v>12679</v>
      </c>
      <c r="T87" s="20">
        <v>4.0673590600000002</v>
      </c>
      <c r="U87" s="39"/>
    </row>
    <row r="88" spans="1:21" x14ac:dyDescent="0.2">
      <c r="A88" s="60" t="str">
        <f>"smap-1"</f>
        <v>smap-1</v>
      </c>
      <c r="B88" s="24" t="s">
        <v>3607</v>
      </c>
      <c r="C88" s="24" t="s">
        <v>3609</v>
      </c>
      <c r="D88" s="24">
        <v>1.61001210543483</v>
      </c>
      <c r="E88" s="24">
        <f t="shared" si="11"/>
        <v>3.0525440312467058</v>
      </c>
      <c r="F88" s="29">
        <v>6.8143278145443197E-7</v>
      </c>
      <c r="G88" s="24">
        <v>12.915602510982101</v>
      </c>
      <c r="H88" s="24">
        <v>13.157025960157499</v>
      </c>
      <c r="I88" s="24">
        <v>12.995654712442301</v>
      </c>
      <c r="J88" s="24">
        <f t="shared" si="12"/>
        <v>13.022761061193968</v>
      </c>
      <c r="K88" s="24">
        <v>14.826238299782499</v>
      </c>
      <c r="L88" s="24">
        <v>14.649674669421801</v>
      </c>
      <c r="M88" s="24">
        <v>14.4224065306821</v>
      </c>
      <c r="N88" s="24">
        <f t="shared" si="8"/>
        <v>14.6327731666288</v>
      </c>
      <c r="O88" s="24" t="str">
        <f t="shared" si="9"/>
        <v>ND</v>
      </c>
      <c r="P88" s="24" t="str">
        <f t="shared" si="10"/>
        <v>NA</v>
      </c>
      <c r="S88" s="11" t="s">
        <v>12300</v>
      </c>
      <c r="T88" s="20">
        <v>4.0429665400000001</v>
      </c>
      <c r="U88" s="39"/>
    </row>
    <row r="89" spans="1:21" x14ac:dyDescent="0.2">
      <c r="A89" s="24" t="str">
        <f>"clp-7"</f>
        <v>clp-7</v>
      </c>
      <c r="B89" s="24" t="s">
        <v>12471</v>
      </c>
      <c r="C89" s="24" t="s">
        <v>12473</v>
      </c>
      <c r="D89" s="24">
        <v>1.5880624267282799</v>
      </c>
      <c r="E89" s="24">
        <f t="shared" si="11"/>
        <v>3.0064530452778095</v>
      </c>
      <c r="F89" s="24">
        <v>7.8612062835356998E-4</v>
      </c>
      <c r="G89" s="24">
        <v>11.961174344982</v>
      </c>
      <c r="H89" s="24" t="s">
        <v>14849</v>
      </c>
      <c r="I89" s="24" t="s">
        <v>14849</v>
      </c>
      <c r="J89" s="24">
        <f t="shared" si="12"/>
        <v>11.961174344982</v>
      </c>
      <c r="K89" s="24">
        <v>13.7485050826507</v>
      </c>
      <c r="L89" s="24">
        <v>13.6714087083308</v>
      </c>
      <c r="M89" s="24">
        <v>13.227796524149401</v>
      </c>
      <c r="N89" s="24">
        <f t="shared" si="8"/>
        <v>13.5492367717103</v>
      </c>
      <c r="O89" s="24" t="str">
        <f t="shared" si="9"/>
        <v>ND</v>
      </c>
      <c r="P89" s="24" t="str">
        <f t="shared" si="10"/>
        <v>NA</v>
      </c>
      <c r="S89" s="11" t="s">
        <v>7671</v>
      </c>
      <c r="T89" s="20">
        <v>4.0404980300000002</v>
      </c>
      <c r="U89" s="39"/>
    </row>
    <row r="90" spans="1:21" x14ac:dyDescent="0.2">
      <c r="A90" s="24" t="str">
        <f>"T24B1.1"</f>
        <v>T24B1.1</v>
      </c>
      <c r="B90" s="24" t="s">
        <v>6136</v>
      </c>
      <c r="C90" s="24" t="s">
        <v>6138</v>
      </c>
      <c r="D90" s="24">
        <v>1.5580012284384299</v>
      </c>
      <c r="E90" s="24">
        <f t="shared" si="11"/>
        <v>2.9444562315063036</v>
      </c>
      <c r="F90" s="24">
        <v>1.3677018830357299E-2</v>
      </c>
      <c r="G90" s="24">
        <v>10.7071110297013</v>
      </c>
      <c r="H90" s="24" t="s">
        <v>14849</v>
      </c>
      <c r="I90" s="24" t="s">
        <v>14849</v>
      </c>
      <c r="J90" s="24">
        <f t="shared" si="12"/>
        <v>10.7071110297013</v>
      </c>
      <c r="K90" s="24">
        <v>12.4035084590538</v>
      </c>
      <c r="L90" s="24">
        <v>12.2384286332999</v>
      </c>
      <c r="M90" s="24">
        <v>12.1533996820654</v>
      </c>
      <c r="N90" s="24">
        <f t="shared" si="8"/>
        <v>12.2651122581397</v>
      </c>
      <c r="O90" s="24" t="str">
        <f t="shared" si="9"/>
        <v>ND</v>
      </c>
      <c r="P90" s="24" t="str">
        <f t="shared" si="10"/>
        <v>NA</v>
      </c>
      <c r="S90" s="11" t="s">
        <v>3897</v>
      </c>
      <c r="T90" s="20">
        <v>4.0345622900000002</v>
      </c>
      <c r="U90" s="39"/>
    </row>
    <row r="91" spans="1:21" x14ac:dyDescent="0.2">
      <c r="A91" s="24" t="str">
        <f>"lec-1"</f>
        <v>lec-1</v>
      </c>
      <c r="B91" s="24" t="s">
        <v>5461</v>
      </c>
      <c r="C91" s="24" t="s">
        <v>5463</v>
      </c>
      <c r="D91" s="24">
        <v>1.5507927204974601</v>
      </c>
      <c r="E91" s="24">
        <f t="shared" si="11"/>
        <v>2.9297807821341788</v>
      </c>
      <c r="F91" s="24">
        <v>5.0814469066709101E-3</v>
      </c>
      <c r="G91" s="24">
        <v>12.777948663475399</v>
      </c>
      <c r="H91" s="24">
        <v>12.701584177042699</v>
      </c>
      <c r="I91" s="24">
        <v>13.1993468937816</v>
      </c>
      <c r="J91" s="24">
        <f t="shared" si="12"/>
        <v>12.892959911433232</v>
      </c>
      <c r="K91" s="24">
        <v>14.3233935081309</v>
      </c>
      <c r="L91" s="24">
        <v>13.5104967860974</v>
      </c>
      <c r="M91" s="24">
        <v>15.497367601563701</v>
      </c>
      <c r="N91" s="24">
        <f t="shared" si="8"/>
        <v>14.443752631930666</v>
      </c>
      <c r="O91" s="24" t="str">
        <f t="shared" si="9"/>
        <v>ND</v>
      </c>
      <c r="P91" s="24" t="str">
        <f t="shared" si="10"/>
        <v>NA</v>
      </c>
      <c r="S91" s="10" t="s">
        <v>4967</v>
      </c>
      <c r="T91" s="20">
        <v>4.0339140586133171</v>
      </c>
      <c r="U91" s="39"/>
    </row>
    <row r="92" spans="1:21" x14ac:dyDescent="0.2">
      <c r="A92" s="24" t="str">
        <f>"rle-1"</f>
        <v>rle-1</v>
      </c>
      <c r="B92" s="24" t="s">
        <v>4227</v>
      </c>
      <c r="C92" s="24" t="s">
        <v>4229</v>
      </c>
      <c r="D92" s="24">
        <v>1.52883625457231</v>
      </c>
      <c r="E92" s="24">
        <f t="shared" si="11"/>
        <v>2.8855298484177503</v>
      </c>
      <c r="F92" s="24">
        <v>2.0712179790121101E-2</v>
      </c>
      <c r="G92" s="24" t="s">
        <v>14849</v>
      </c>
      <c r="H92" s="24" t="s">
        <v>14849</v>
      </c>
      <c r="I92" s="24">
        <v>9.6831430153441698</v>
      </c>
      <c r="J92" s="24">
        <f t="shared" si="12"/>
        <v>9.6831430153441698</v>
      </c>
      <c r="K92" s="24">
        <v>10.076695571340499</v>
      </c>
      <c r="L92" s="24">
        <v>11.644307735410599</v>
      </c>
      <c r="M92" s="24">
        <v>11.9149345029983</v>
      </c>
      <c r="N92" s="24">
        <f t="shared" si="8"/>
        <v>11.211979269916467</v>
      </c>
      <c r="O92" s="24" t="str">
        <f t="shared" si="9"/>
        <v>ND</v>
      </c>
      <c r="P92" s="24" t="str">
        <f t="shared" si="10"/>
        <v>NA</v>
      </c>
      <c r="S92" s="11" t="s">
        <v>6169</v>
      </c>
      <c r="T92" s="20">
        <v>4.02411809</v>
      </c>
      <c r="U92" s="39"/>
    </row>
    <row r="93" spans="1:21" x14ac:dyDescent="0.2">
      <c r="A93" s="24" t="str">
        <f>"gakh-1"</f>
        <v>gakh-1</v>
      </c>
      <c r="B93" s="24" t="s">
        <v>8803</v>
      </c>
      <c r="C93" s="24" t="s">
        <v>323</v>
      </c>
      <c r="D93" s="24">
        <v>1.5201292435779801</v>
      </c>
      <c r="E93" s="24">
        <f t="shared" si="11"/>
        <v>2.8681674287905086</v>
      </c>
      <c r="F93" s="29">
        <v>9.1753516640437395E-5</v>
      </c>
      <c r="G93" s="24">
        <v>10.996683621467</v>
      </c>
      <c r="H93" s="24">
        <v>10.907850042309899</v>
      </c>
      <c r="I93" s="24">
        <v>11.100535440992701</v>
      </c>
      <c r="J93" s="24">
        <f t="shared" si="12"/>
        <v>11.001689701589868</v>
      </c>
      <c r="K93" s="24">
        <v>12.5752689547625</v>
      </c>
      <c r="L93" s="24">
        <v>12.8210694469975</v>
      </c>
      <c r="M93" s="24">
        <v>12.1691184337436</v>
      </c>
      <c r="N93" s="24">
        <f t="shared" si="8"/>
        <v>12.521818945167865</v>
      </c>
      <c r="O93" s="24" t="str">
        <f t="shared" si="9"/>
        <v>ND</v>
      </c>
      <c r="P93" s="24" t="str">
        <f t="shared" si="10"/>
        <v>NA</v>
      </c>
      <c r="S93" s="10" t="s">
        <v>14162</v>
      </c>
      <c r="T93" s="20">
        <v>4.0086542005910042</v>
      </c>
      <c r="U93" s="39"/>
    </row>
    <row r="94" spans="1:21" x14ac:dyDescent="0.2">
      <c r="A94" s="24" t="str">
        <f>"pck-1"</f>
        <v>pck-1</v>
      </c>
      <c r="B94" s="24" t="s">
        <v>3906</v>
      </c>
      <c r="C94" s="24" t="s">
        <v>3079</v>
      </c>
      <c r="D94" s="24">
        <v>1.5121088448568301</v>
      </c>
      <c r="E94" s="24">
        <f t="shared" si="11"/>
        <v>2.8522666173080351</v>
      </c>
      <c r="F94" s="29">
        <v>2.4074793627652901E-7</v>
      </c>
      <c r="G94" s="24">
        <v>13.0937306161621</v>
      </c>
      <c r="H94" s="24">
        <v>13.016597323665099</v>
      </c>
      <c r="I94" s="24">
        <v>13.092986790629499</v>
      </c>
      <c r="J94" s="24">
        <f t="shared" si="12"/>
        <v>13.067771576818899</v>
      </c>
      <c r="K94" s="24">
        <v>14.443781887679901</v>
      </c>
      <c r="L94" s="24">
        <v>14.419418371467399</v>
      </c>
      <c r="M94" s="24">
        <v>14.876441005879901</v>
      </c>
      <c r="N94" s="24">
        <f t="shared" si="8"/>
        <v>14.579880421675734</v>
      </c>
      <c r="O94" s="24" t="str">
        <f t="shared" si="9"/>
        <v>ND</v>
      </c>
      <c r="P94" s="24" t="str">
        <f t="shared" si="10"/>
        <v>NA</v>
      </c>
      <c r="S94" s="10" t="s">
        <v>14810</v>
      </c>
      <c r="T94" s="20">
        <v>4.0059125255190766</v>
      </c>
      <c r="U94" s="39"/>
    </row>
    <row r="95" spans="1:21" x14ac:dyDescent="0.2">
      <c r="A95" s="24" t="str">
        <f>"golg-4"</f>
        <v>golg-4</v>
      </c>
      <c r="B95" s="24" t="s">
        <v>280</v>
      </c>
      <c r="C95" s="24" t="s">
        <v>282</v>
      </c>
      <c r="D95" s="24">
        <v>1.50622032043364</v>
      </c>
      <c r="E95" s="24">
        <f t="shared" si="11"/>
        <v>2.8406484921424973</v>
      </c>
      <c r="F95" s="24">
        <v>1.079670027819E-2</v>
      </c>
      <c r="G95" s="24" t="s">
        <v>14849</v>
      </c>
      <c r="H95" s="24" t="s">
        <v>14849</v>
      </c>
      <c r="I95" s="24">
        <v>11.7186021239142</v>
      </c>
      <c r="J95" s="24">
        <f t="shared" si="12"/>
        <v>11.7186021239142</v>
      </c>
      <c r="K95" s="24">
        <v>13.412801787361101</v>
      </c>
      <c r="L95" s="24">
        <v>13.3946628351248</v>
      </c>
      <c r="M95" s="24">
        <v>12.867002710557699</v>
      </c>
      <c r="N95" s="24">
        <f t="shared" si="8"/>
        <v>13.224822444347867</v>
      </c>
      <c r="O95" s="24" t="str">
        <f t="shared" si="9"/>
        <v>ND</v>
      </c>
      <c r="P95" s="24" t="str">
        <f t="shared" si="10"/>
        <v>NA</v>
      </c>
      <c r="S95" s="11" t="s">
        <v>14088</v>
      </c>
      <c r="T95" s="20">
        <v>4.0005771499999998</v>
      </c>
      <c r="U95" s="39"/>
    </row>
    <row r="96" spans="1:21" x14ac:dyDescent="0.2">
      <c r="A96" s="24" t="str">
        <f>"let-805"</f>
        <v>let-805</v>
      </c>
      <c r="B96" s="24" t="s">
        <v>13484</v>
      </c>
      <c r="C96" s="24" t="s">
        <v>297</v>
      </c>
      <c r="D96" s="24">
        <v>1.44700495592807</v>
      </c>
      <c r="E96" s="24">
        <f t="shared" si="11"/>
        <v>2.726414580294402</v>
      </c>
      <c r="F96" s="29">
        <v>5.1568235945793697E-5</v>
      </c>
      <c r="G96" s="24">
        <v>14.348509767977999</v>
      </c>
      <c r="H96" s="24">
        <v>14.38411895041</v>
      </c>
      <c r="I96" s="24">
        <v>14.9965314538996</v>
      </c>
      <c r="J96" s="24">
        <f t="shared" si="12"/>
        <v>14.576386724095867</v>
      </c>
      <c r="K96" s="24">
        <v>16.211438163179501</v>
      </c>
      <c r="L96" s="24">
        <v>15.679113449487</v>
      </c>
      <c r="M96" s="24">
        <v>16.1796234274053</v>
      </c>
      <c r="N96" s="24">
        <f t="shared" si="8"/>
        <v>16.023391680023934</v>
      </c>
      <c r="O96" s="24" t="str">
        <f t="shared" si="9"/>
        <v>ND</v>
      </c>
      <c r="P96" s="24" t="str">
        <f t="shared" si="10"/>
        <v>NA</v>
      </c>
      <c r="S96" s="11" t="s">
        <v>4061</v>
      </c>
      <c r="T96" s="20">
        <v>3.90200031</v>
      </c>
      <c r="U96" s="39"/>
    </row>
    <row r="97" spans="1:21" x14ac:dyDescent="0.2">
      <c r="A97" s="24" t="str">
        <f>"flu-2"</f>
        <v>flu-2</v>
      </c>
      <c r="B97" s="24" t="s">
        <v>7605</v>
      </c>
      <c r="C97" s="24" t="s">
        <v>7607</v>
      </c>
      <c r="D97" s="24">
        <v>1.44692783534043</v>
      </c>
      <c r="E97" s="24">
        <f t="shared" si="11"/>
        <v>2.7262688411958189</v>
      </c>
      <c r="F97" s="24">
        <v>1.09856667379088E-4</v>
      </c>
      <c r="G97" s="24">
        <v>11.141284353545499</v>
      </c>
      <c r="H97" s="24">
        <v>10.290348927629401</v>
      </c>
      <c r="I97" s="24">
        <v>11.9000913725729</v>
      </c>
      <c r="J97" s="24">
        <f t="shared" si="12"/>
        <v>11.110574884582599</v>
      </c>
      <c r="K97" s="24">
        <v>12.458239592823899</v>
      </c>
      <c r="L97" s="24">
        <v>12.6283466627654</v>
      </c>
      <c r="M97" s="24">
        <v>12.585921904179701</v>
      </c>
      <c r="N97" s="24">
        <f t="shared" si="8"/>
        <v>12.557502719923001</v>
      </c>
      <c r="O97" s="24" t="str">
        <f t="shared" si="9"/>
        <v>ND</v>
      </c>
      <c r="P97" s="24" t="str">
        <f t="shared" si="10"/>
        <v>NA</v>
      </c>
      <c r="S97" s="10" t="s">
        <v>14166</v>
      </c>
      <c r="T97" s="21">
        <v>3.7979094356966026</v>
      </c>
      <c r="U97" s="40"/>
    </row>
    <row r="98" spans="1:21" x14ac:dyDescent="0.2">
      <c r="A98" s="24" t="str">
        <f>"sodh-1"</f>
        <v>sodh-1</v>
      </c>
      <c r="B98" s="24" t="s">
        <v>7208</v>
      </c>
      <c r="C98" s="24" t="s">
        <v>7210</v>
      </c>
      <c r="D98" s="24">
        <v>1.4123863868703801</v>
      </c>
      <c r="E98" s="24">
        <f t="shared" si="11"/>
        <v>2.6617708700860003</v>
      </c>
      <c r="F98" s="24">
        <v>6.8250272480362504E-3</v>
      </c>
      <c r="G98" s="24">
        <v>15.390750124306599</v>
      </c>
      <c r="H98" s="24">
        <v>16.145588328132401</v>
      </c>
      <c r="I98" s="24">
        <v>14.028495461305599</v>
      </c>
      <c r="J98" s="24">
        <f t="shared" si="12"/>
        <v>15.188277971248199</v>
      </c>
      <c r="K98" s="24">
        <v>16.1898086072243</v>
      </c>
      <c r="L98" s="24">
        <v>16.5438592521126</v>
      </c>
      <c r="M98" s="24">
        <v>17.068325215018799</v>
      </c>
      <c r="N98" s="24">
        <f t="shared" ref="N98:N129" si="13">(K98+L98+M98)/3</f>
        <v>16.600664358118568</v>
      </c>
      <c r="O98" s="24" t="str">
        <f t="shared" ref="O98:O129" si="14">IFERROR(INDEX(T:T,MATCH(A98, S:S, 0)), "ND")</f>
        <v>ND</v>
      </c>
      <c r="P98" s="24" t="str">
        <f t="shared" ref="P98:P129" si="15">IFERROR(E98/O98, "NA")</f>
        <v>NA</v>
      </c>
      <c r="S98" s="11" t="s">
        <v>1213</v>
      </c>
      <c r="T98" s="20">
        <v>3.7943776300000001</v>
      </c>
      <c r="U98" s="39"/>
    </row>
    <row r="99" spans="1:21" x14ac:dyDescent="0.2">
      <c r="A99" s="60" t="str">
        <f>"R09E10.5"</f>
        <v>R09E10.5</v>
      </c>
      <c r="B99" s="24" t="s">
        <v>9478</v>
      </c>
      <c r="C99" s="24" t="s">
        <v>9480</v>
      </c>
      <c r="D99" s="24">
        <v>1.40159251715794</v>
      </c>
      <c r="E99" s="24">
        <f t="shared" si="11"/>
        <v>2.6419305043241299</v>
      </c>
      <c r="F99" s="24">
        <v>1.35255807684869E-3</v>
      </c>
      <c r="G99" s="24">
        <v>12.261454430515901</v>
      </c>
      <c r="H99" s="24">
        <v>12.718548400893599</v>
      </c>
      <c r="I99" s="24">
        <v>12.9820640998117</v>
      </c>
      <c r="J99" s="24">
        <f t="shared" si="12"/>
        <v>12.654022310407067</v>
      </c>
      <c r="K99" s="24">
        <v>14.0202449103731</v>
      </c>
      <c r="L99" s="24">
        <v>13.886840497760801</v>
      </c>
      <c r="M99" s="24">
        <v>14.259759074561099</v>
      </c>
      <c r="N99" s="24">
        <f t="shared" si="13"/>
        <v>14.055614827565</v>
      </c>
      <c r="O99" s="24" t="str">
        <f t="shared" si="14"/>
        <v>ND</v>
      </c>
      <c r="P99" s="24" t="str">
        <f t="shared" si="15"/>
        <v>NA</v>
      </c>
      <c r="S99" s="11" t="s">
        <v>2882</v>
      </c>
      <c r="T99" s="20">
        <v>3.7548965700000001</v>
      </c>
      <c r="U99" s="39"/>
    </row>
    <row r="100" spans="1:21" x14ac:dyDescent="0.2">
      <c r="A100" s="24" t="str">
        <f>"patr-1"</f>
        <v>patr-1</v>
      </c>
      <c r="B100" s="24" t="s">
        <v>8760</v>
      </c>
      <c r="C100" s="24" t="s">
        <v>8762</v>
      </c>
      <c r="D100" s="24">
        <v>1.3681080744854399</v>
      </c>
      <c r="E100" s="24">
        <f t="shared" si="11"/>
        <v>2.5813183441542429</v>
      </c>
      <c r="F100" s="29">
        <v>2.91562959460499E-6</v>
      </c>
      <c r="G100" s="24">
        <v>14.010181173393001</v>
      </c>
      <c r="H100" s="24">
        <v>14.0970307779368</v>
      </c>
      <c r="I100" s="24">
        <v>13.7389172047664</v>
      </c>
      <c r="J100" s="24">
        <f t="shared" si="12"/>
        <v>13.948709718698735</v>
      </c>
      <c r="K100" s="24">
        <v>15.4651490170023</v>
      </c>
      <c r="L100" s="24">
        <v>15.4508670797967</v>
      </c>
      <c r="M100" s="24">
        <v>15.0344372827534</v>
      </c>
      <c r="N100" s="24">
        <f t="shared" si="13"/>
        <v>15.316817793184134</v>
      </c>
      <c r="O100" s="24" t="str">
        <f t="shared" si="14"/>
        <v>ND</v>
      </c>
      <c r="P100" s="24" t="str">
        <f t="shared" si="15"/>
        <v>NA</v>
      </c>
      <c r="S100" s="11" t="s">
        <v>12326</v>
      </c>
      <c r="T100" s="20">
        <v>3.7477500199999998</v>
      </c>
      <c r="U100" s="39"/>
    </row>
    <row r="101" spans="1:21" x14ac:dyDescent="0.2">
      <c r="A101" s="24" t="str">
        <f>"frm-5.1"</f>
        <v>frm-5.1</v>
      </c>
      <c r="B101" s="24" t="s">
        <v>448</v>
      </c>
      <c r="C101" s="24" t="s">
        <v>450</v>
      </c>
      <c r="D101" s="24">
        <v>1.35498406585627</v>
      </c>
      <c r="E101" s="24">
        <f t="shared" si="11"/>
        <v>2.5579429106693787</v>
      </c>
      <c r="F101" s="29">
        <v>3.47935920875432E-6</v>
      </c>
      <c r="G101" s="24">
        <v>10.9647975226712</v>
      </c>
      <c r="H101" s="24">
        <v>11.1260795649222</v>
      </c>
      <c r="I101" s="24">
        <v>10.9534852560286</v>
      </c>
      <c r="J101" s="24">
        <f t="shared" si="12"/>
        <v>11.014787447873999</v>
      </c>
      <c r="K101" s="24">
        <v>12.5353646404592</v>
      </c>
      <c r="L101" s="24">
        <v>12.3798141359408</v>
      </c>
      <c r="M101" s="24">
        <v>12.194135764790801</v>
      </c>
      <c r="N101" s="24">
        <f t="shared" si="13"/>
        <v>12.369771513730266</v>
      </c>
      <c r="O101" s="24" t="str">
        <f t="shared" si="14"/>
        <v>ND</v>
      </c>
      <c r="P101" s="24" t="str">
        <f t="shared" si="15"/>
        <v>NA</v>
      </c>
      <c r="S101" s="11" t="s">
        <v>628</v>
      </c>
      <c r="T101" s="20">
        <v>3.7304220099999998</v>
      </c>
      <c r="U101" s="39"/>
    </row>
    <row r="102" spans="1:21" x14ac:dyDescent="0.2">
      <c r="A102" s="24" t="str">
        <f>"ark-1"</f>
        <v>ark-1</v>
      </c>
      <c r="B102" s="24" t="s">
        <v>1061</v>
      </c>
      <c r="C102" s="24" t="s">
        <v>1063</v>
      </c>
      <c r="D102" s="24">
        <v>1.3456219880785401</v>
      </c>
      <c r="E102" s="24">
        <f t="shared" si="11"/>
        <v>2.5413973997623582</v>
      </c>
      <c r="F102" s="24">
        <v>2.9155218734817699E-3</v>
      </c>
      <c r="G102" s="24">
        <v>12.035233816597</v>
      </c>
      <c r="H102" s="24">
        <v>10.850001171099599</v>
      </c>
      <c r="I102" s="24">
        <v>12.7327167357912</v>
      </c>
      <c r="J102" s="24">
        <f t="shared" si="12"/>
        <v>11.872650574495934</v>
      </c>
      <c r="K102" s="24">
        <v>13.1267966258442</v>
      </c>
      <c r="L102" s="24">
        <v>13.0873923712891</v>
      </c>
      <c r="M102" s="24">
        <v>13.4406286905902</v>
      </c>
      <c r="N102" s="24">
        <f t="shared" si="13"/>
        <v>13.2182725625745</v>
      </c>
      <c r="O102" s="24" t="str">
        <f t="shared" si="14"/>
        <v>ND</v>
      </c>
      <c r="P102" s="24" t="str">
        <f t="shared" si="15"/>
        <v>NA</v>
      </c>
      <c r="S102" s="11" t="s">
        <v>12486</v>
      </c>
      <c r="T102" s="20">
        <v>3.69990569</v>
      </c>
      <c r="U102" s="39"/>
    </row>
    <row r="103" spans="1:21" x14ac:dyDescent="0.2">
      <c r="A103" s="24" t="str">
        <f>"F36A2.3"</f>
        <v>F36A2.3</v>
      </c>
      <c r="B103" s="24" t="s">
        <v>1453</v>
      </c>
      <c r="C103" s="24" t="s">
        <v>1454</v>
      </c>
      <c r="D103" s="24">
        <v>1.3182423622542401</v>
      </c>
      <c r="E103" s="24">
        <f t="shared" si="11"/>
        <v>2.4936212635669959</v>
      </c>
      <c r="F103" s="24">
        <v>1.1116028005605299E-3</v>
      </c>
      <c r="G103" s="24">
        <v>12.8446897951167</v>
      </c>
      <c r="H103" s="24">
        <v>11.5880551726987</v>
      </c>
      <c r="I103" s="24">
        <v>12.0966588820519</v>
      </c>
      <c r="J103" s="24">
        <f t="shared" si="12"/>
        <v>12.176467949955766</v>
      </c>
      <c r="K103" s="24">
        <v>13.672726297335</v>
      </c>
      <c r="L103" s="24">
        <v>13.399538494582901</v>
      </c>
      <c r="M103" s="24">
        <v>13.411866144712</v>
      </c>
      <c r="N103" s="24">
        <f t="shared" si="13"/>
        <v>13.494710312209968</v>
      </c>
      <c r="O103" s="24" t="str">
        <f t="shared" si="14"/>
        <v>ND</v>
      </c>
      <c r="P103" s="24" t="str">
        <f t="shared" si="15"/>
        <v>NA</v>
      </c>
      <c r="S103" s="11" t="s">
        <v>624</v>
      </c>
      <c r="T103" s="20">
        <v>3.6879316499999999</v>
      </c>
      <c r="U103" s="39"/>
    </row>
    <row r="104" spans="1:21" x14ac:dyDescent="0.2">
      <c r="A104" s="24" t="str">
        <f>"dcap-2"</f>
        <v>dcap-2</v>
      </c>
      <c r="B104" s="24" t="s">
        <v>4475</v>
      </c>
      <c r="C104" s="24" t="s">
        <v>4477</v>
      </c>
      <c r="D104" s="24">
        <v>1.30815877289157</v>
      </c>
      <c r="E104" s="24">
        <f t="shared" si="11"/>
        <v>2.4762530857162943</v>
      </c>
      <c r="F104" s="29">
        <v>7.7840155800499496E-5</v>
      </c>
      <c r="G104" s="24">
        <v>13.171143526585899</v>
      </c>
      <c r="H104" s="24">
        <v>13.499185360270401</v>
      </c>
      <c r="I104" s="24">
        <v>12.8498704311864</v>
      </c>
      <c r="J104" s="24">
        <f t="shared" si="12"/>
        <v>13.1733997726809</v>
      </c>
      <c r="K104" s="24">
        <v>14.601232868816799</v>
      </c>
      <c r="L104" s="24">
        <v>14.685831091742701</v>
      </c>
      <c r="M104" s="24">
        <v>14.157611676157901</v>
      </c>
      <c r="N104" s="24">
        <f t="shared" si="13"/>
        <v>14.481558545572467</v>
      </c>
      <c r="O104" s="24" t="str">
        <f t="shared" si="14"/>
        <v>ND</v>
      </c>
      <c r="P104" s="24" t="str">
        <f t="shared" si="15"/>
        <v>NA</v>
      </c>
      <c r="S104" s="11" t="s">
        <v>348</v>
      </c>
      <c r="T104" s="20">
        <v>3.6495920599999998</v>
      </c>
      <c r="U104" s="39"/>
    </row>
    <row r="105" spans="1:21" x14ac:dyDescent="0.2">
      <c r="A105" s="24" t="str">
        <f>"pqn-59"</f>
        <v>pqn-59</v>
      </c>
      <c r="B105" s="24" t="s">
        <v>4279</v>
      </c>
      <c r="C105" s="24" t="s">
        <v>4281</v>
      </c>
      <c r="D105" s="24">
        <v>1.3006584434106001</v>
      </c>
      <c r="E105" s="24">
        <f t="shared" si="11"/>
        <v>2.4634128673480458</v>
      </c>
      <c r="F105" s="24">
        <v>3.6844619695637099E-2</v>
      </c>
      <c r="G105" s="24">
        <v>14.3915627438619</v>
      </c>
      <c r="H105" s="24">
        <v>13.9588074309838</v>
      </c>
      <c r="I105" s="24">
        <v>14.408586708136101</v>
      </c>
      <c r="J105" s="24">
        <f t="shared" si="12"/>
        <v>14.2529856276606</v>
      </c>
      <c r="K105" s="24">
        <v>15.7663758926144</v>
      </c>
      <c r="L105" s="24">
        <v>15.361772738160001</v>
      </c>
      <c r="M105" s="24">
        <v>15.532783582439199</v>
      </c>
      <c r="N105" s="24">
        <f t="shared" si="13"/>
        <v>15.553644071071199</v>
      </c>
      <c r="O105" s="24" t="str">
        <f t="shared" si="14"/>
        <v>ND</v>
      </c>
      <c r="P105" s="24" t="str">
        <f t="shared" si="15"/>
        <v>NA</v>
      </c>
      <c r="S105" s="11" t="s">
        <v>14664</v>
      </c>
      <c r="T105" s="20">
        <v>3.6442160499999998</v>
      </c>
      <c r="U105" s="39"/>
    </row>
    <row r="106" spans="1:21" x14ac:dyDescent="0.2">
      <c r="A106" s="24" t="str">
        <f>"frm-4"</f>
        <v>frm-4</v>
      </c>
      <c r="B106" s="24" t="s">
        <v>2329</v>
      </c>
      <c r="C106" s="24" t="s">
        <v>2110</v>
      </c>
      <c r="D106" s="24">
        <v>1.29732186296837</v>
      </c>
      <c r="E106" s="24">
        <f t="shared" si="11"/>
        <v>2.4577222136476244</v>
      </c>
      <c r="F106" s="24">
        <v>1.8564175323590901E-4</v>
      </c>
      <c r="G106" s="24">
        <v>14.40201398858</v>
      </c>
      <c r="H106" s="24">
        <v>14.549888840563099</v>
      </c>
      <c r="I106" s="24">
        <v>13.893359466934999</v>
      </c>
      <c r="J106" s="24">
        <f t="shared" si="12"/>
        <v>14.281754098692701</v>
      </c>
      <c r="K106" s="24">
        <v>15.723878042989901</v>
      </c>
      <c r="L106" s="24">
        <v>15.6633028649895</v>
      </c>
      <c r="M106" s="24">
        <v>15.350046977003601</v>
      </c>
      <c r="N106" s="24">
        <f t="shared" si="13"/>
        <v>15.579075961660999</v>
      </c>
      <c r="O106" s="24" t="str">
        <f t="shared" si="14"/>
        <v>ND</v>
      </c>
      <c r="P106" s="24" t="str">
        <f t="shared" si="15"/>
        <v>NA</v>
      </c>
      <c r="S106" s="11" t="s">
        <v>1585</v>
      </c>
      <c r="T106" s="20">
        <v>3.6120241900000001</v>
      </c>
      <c r="U106" s="39"/>
    </row>
    <row r="107" spans="1:21" x14ac:dyDescent="0.2">
      <c r="A107" s="24" t="str">
        <f>"enol-1"</f>
        <v>enol-1</v>
      </c>
      <c r="B107" s="24" t="s">
        <v>10444</v>
      </c>
      <c r="C107" s="24" t="s">
        <v>10446</v>
      </c>
      <c r="D107" s="24">
        <v>1.2884629798260701</v>
      </c>
      <c r="E107" s="24">
        <f t="shared" si="11"/>
        <v>2.4426767867010315</v>
      </c>
      <c r="F107" s="24">
        <v>7.1212301436619097E-3</v>
      </c>
      <c r="G107" s="24">
        <v>11.807169937222399</v>
      </c>
      <c r="H107" s="24">
        <v>11.9018386680407</v>
      </c>
      <c r="I107" s="24">
        <v>12.3720372897989</v>
      </c>
      <c r="J107" s="24">
        <f t="shared" si="12"/>
        <v>12.027015298354002</v>
      </c>
      <c r="K107" s="24">
        <v>12.5817108750967</v>
      </c>
      <c r="L107" s="24">
        <v>12.838589610384799</v>
      </c>
      <c r="M107" s="24">
        <v>14.5261343490588</v>
      </c>
      <c r="N107" s="24">
        <f t="shared" si="13"/>
        <v>13.3154782781801</v>
      </c>
      <c r="O107" s="24" t="str">
        <f t="shared" si="14"/>
        <v>ND</v>
      </c>
      <c r="P107" s="24" t="str">
        <f t="shared" si="15"/>
        <v>NA</v>
      </c>
      <c r="S107" s="11" t="s">
        <v>10263</v>
      </c>
      <c r="T107" s="20">
        <v>3.60346374</v>
      </c>
      <c r="U107" s="39"/>
    </row>
    <row r="108" spans="1:21" x14ac:dyDescent="0.2">
      <c r="A108" s="24" t="str">
        <f>"fli-1"</f>
        <v>fli-1</v>
      </c>
      <c r="B108" s="24" t="s">
        <v>4942</v>
      </c>
      <c r="C108" s="24" t="s">
        <v>4944</v>
      </c>
      <c r="D108" s="24">
        <v>1.2797154770548</v>
      </c>
      <c r="E108" s="24">
        <f t="shared" si="11"/>
        <v>2.4279108980222395</v>
      </c>
      <c r="F108" s="24">
        <v>1.04007217005192E-3</v>
      </c>
      <c r="G108" s="24">
        <v>12.3950615498464</v>
      </c>
      <c r="H108" s="24">
        <v>12.4145588552809</v>
      </c>
      <c r="I108" s="24">
        <v>12.2396601654028</v>
      </c>
      <c r="J108" s="24">
        <f t="shared" si="12"/>
        <v>12.349760190176701</v>
      </c>
      <c r="K108" s="24">
        <v>13.4473748325047</v>
      </c>
      <c r="L108" s="24">
        <v>13.874305210885099</v>
      </c>
      <c r="M108" s="24">
        <v>13.5667469583046</v>
      </c>
      <c r="N108" s="24">
        <f t="shared" si="13"/>
        <v>13.629475667231466</v>
      </c>
      <c r="O108" s="24" t="str">
        <f t="shared" si="14"/>
        <v>ND</v>
      </c>
      <c r="P108" s="24" t="str">
        <f t="shared" si="15"/>
        <v>NA</v>
      </c>
      <c r="S108" s="11" t="s">
        <v>6019</v>
      </c>
      <c r="T108" s="20">
        <v>3.5951703799999999</v>
      </c>
      <c r="U108" s="39"/>
    </row>
    <row r="109" spans="1:21" x14ac:dyDescent="0.2">
      <c r="A109" s="24" t="str">
        <f>"ccnk-1"</f>
        <v>ccnk-1</v>
      </c>
      <c r="B109" s="24" t="s">
        <v>3526</v>
      </c>
      <c r="C109" s="24" t="s">
        <v>3528</v>
      </c>
      <c r="D109" s="24">
        <v>1.2777694619234099</v>
      </c>
      <c r="E109" s="24">
        <f t="shared" si="11"/>
        <v>2.4246381577033116</v>
      </c>
      <c r="F109" s="24">
        <v>2.0756917071092199E-3</v>
      </c>
      <c r="G109" s="24">
        <v>11.313731308336401</v>
      </c>
      <c r="H109" s="24">
        <v>12.129782205449599</v>
      </c>
      <c r="I109" s="24">
        <v>11.839033525064201</v>
      </c>
      <c r="J109" s="24">
        <f t="shared" si="12"/>
        <v>11.760849012950068</v>
      </c>
      <c r="K109" s="24">
        <v>13.179281817524201</v>
      </c>
      <c r="L109" s="24">
        <v>13.429305974395501</v>
      </c>
      <c r="M109" s="24">
        <v>12.5072676327006</v>
      </c>
      <c r="N109" s="24">
        <f t="shared" si="13"/>
        <v>13.038618474873436</v>
      </c>
      <c r="O109" s="24" t="str">
        <f t="shared" si="14"/>
        <v>ND</v>
      </c>
      <c r="P109" s="24" t="str">
        <f t="shared" si="15"/>
        <v>NA</v>
      </c>
      <c r="S109" s="11" t="s">
        <v>14245</v>
      </c>
      <c r="T109" s="20">
        <v>3.5934479100000001</v>
      </c>
      <c r="U109" s="39"/>
    </row>
    <row r="110" spans="1:21" x14ac:dyDescent="0.2">
      <c r="A110" s="24" t="str">
        <f>"pxf-1"</f>
        <v>pxf-1</v>
      </c>
      <c r="B110" s="24" t="s">
        <v>1368</v>
      </c>
      <c r="C110" s="24" t="s">
        <v>1370</v>
      </c>
      <c r="D110" s="24">
        <v>1.26631852603312</v>
      </c>
      <c r="E110" s="24">
        <f t="shared" ref="E110:E141" si="16">2^D110</f>
        <v>2.4054695317770989</v>
      </c>
      <c r="F110" s="24">
        <v>1.9661900393941199E-3</v>
      </c>
      <c r="G110" s="24">
        <v>12.122355848257399</v>
      </c>
      <c r="H110" s="24">
        <v>12.6580791645925</v>
      </c>
      <c r="I110" s="24" t="s">
        <v>14849</v>
      </c>
      <c r="J110" s="24">
        <f t="shared" ref="J110:J141" si="17">AVERAGEIF(G110:I110, "&gt;0")</f>
        <v>12.39021750642495</v>
      </c>
      <c r="K110" s="24">
        <v>13.5550904936786</v>
      </c>
      <c r="L110" s="24">
        <v>13.539877419895101</v>
      </c>
      <c r="M110" s="24">
        <v>13.874640183800601</v>
      </c>
      <c r="N110" s="24">
        <f t="shared" si="13"/>
        <v>13.656536032458101</v>
      </c>
      <c r="O110" s="24" t="str">
        <f t="shared" si="14"/>
        <v>ND</v>
      </c>
      <c r="P110" s="24" t="str">
        <f t="shared" si="15"/>
        <v>NA</v>
      </c>
      <c r="S110" s="11" t="s">
        <v>6023</v>
      </c>
      <c r="T110" s="20">
        <v>3.5795412899999999</v>
      </c>
      <c r="U110" s="39"/>
    </row>
    <row r="111" spans="1:21" x14ac:dyDescent="0.2">
      <c r="A111" s="24" t="str">
        <f>"smcr-8"</f>
        <v>smcr-8</v>
      </c>
      <c r="B111" s="24" t="s">
        <v>6688</v>
      </c>
      <c r="C111" s="24" t="s">
        <v>6690</v>
      </c>
      <c r="D111" s="24">
        <v>1.25422995012005</v>
      </c>
      <c r="E111" s="24">
        <f t="shared" si="16"/>
        <v>2.3853979212133565</v>
      </c>
      <c r="F111" s="24">
        <v>3.8568082491800102E-3</v>
      </c>
      <c r="G111" s="24">
        <v>10.566944265418099</v>
      </c>
      <c r="H111" s="24">
        <v>10.701803347173501</v>
      </c>
      <c r="I111" s="24">
        <v>11.874768332339899</v>
      </c>
      <c r="J111" s="24">
        <f t="shared" si="17"/>
        <v>11.047838648310501</v>
      </c>
      <c r="K111" s="24">
        <v>12.435195446290299</v>
      </c>
      <c r="L111" s="24">
        <v>12.809181769807999</v>
      </c>
      <c r="M111" s="24">
        <v>11.661828579193401</v>
      </c>
      <c r="N111" s="24">
        <f t="shared" si="13"/>
        <v>12.302068598430566</v>
      </c>
      <c r="O111" s="24" t="str">
        <f t="shared" si="14"/>
        <v>ND</v>
      </c>
      <c r="P111" s="24" t="str">
        <f t="shared" si="15"/>
        <v>NA</v>
      </c>
      <c r="S111" s="11" t="s">
        <v>3739</v>
      </c>
      <c r="T111" s="20">
        <v>3.5748882000000002</v>
      </c>
      <c r="U111" s="39"/>
    </row>
    <row r="112" spans="1:21" x14ac:dyDescent="0.2">
      <c r="A112" s="24" t="str">
        <f>"lmd-3"</f>
        <v>lmd-3</v>
      </c>
      <c r="B112" s="24" t="s">
        <v>2452</v>
      </c>
      <c r="C112" s="24" t="s">
        <v>2454</v>
      </c>
      <c r="D112" s="24">
        <v>1.2227916463216</v>
      </c>
      <c r="E112" s="24">
        <f t="shared" si="16"/>
        <v>2.3339791065822961</v>
      </c>
      <c r="F112" s="24">
        <v>4.4708726666399198E-4</v>
      </c>
      <c r="G112" s="24">
        <v>11.5491850995025</v>
      </c>
      <c r="H112" s="24">
        <v>11.157897653846801</v>
      </c>
      <c r="I112" s="24" t="s">
        <v>14849</v>
      </c>
      <c r="J112" s="24">
        <f t="shared" si="17"/>
        <v>11.35354137667465</v>
      </c>
      <c r="K112" s="24">
        <v>12.598667679199</v>
      </c>
      <c r="L112" s="24">
        <v>12.557346158539</v>
      </c>
      <c r="M112" s="24">
        <v>12.5729852312507</v>
      </c>
      <c r="N112" s="24">
        <f t="shared" si="13"/>
        <v>12.576333022996232</v>
      </c>
      <c r="O112" s="24" t="str">
        <f t="shared" si="14"/>
        <v>ND</v>
      </c>
      <c r="P112" s="24" t="str">
        <f t="shared" si="15"/>
        <v>NA</v>
      </c>
      <c r="S112" s="10" t="s">
        <v>14811</v>
      </c>
      <c r="T112" s="20">
        <v>3.5724707499043444</v>
      </c>
      <c r="U112" s="39"/>
    </row>
    <row r="113" spans="1:21" x14ac:dyDescent="0.2">
      <c r="A113" s="60" t="str">
        <f>"C05C12.5"</f>
        <v>C05C12.5</v>
      </c>
      <c r="B113" s="24" t="s">
        <v>7440</v>
      </c>
      <c r="C113" s="24" t="s">
        <v>7442</v>
      </c>
      <c r="D113" s="24">
        <v>1.2184363086785499</v>
      </c>
      <c r="E113" s="24">
        <f t="shared" si="16"/>
        <v>2.3269437052738957</v>
      </c>
      <c r="F113" s="24">
        <v>4.1004559611000697E-2</v>
      </c>
      <c r="G113" s="24">
        <v>14.7044970945797</v>
      </c>
      <c r="H113" s="24">
        <v>12.797142542227601</v>
      </c>
      <c r="I113" s="24">
        <v>14.174496722640701</v>
      </c>
      <c r="J113" s="24">
        <f t="shared" si="17"/>
        <v>13.892045453149334</v>
      </c>
      <c r="K113" s="24">
        <v>14.423199101752401</v>
      </c>
      <c r="L113" s="24">
        <v>15.821341575994399</v>
      </c>
      <c r="M113" s="24">
        <v>15.0869046077369</v>
      </c>
      <c r="N113" s="24">
        <f t="shared" si="13"/>
        <v>15.110481761827899</v>
      </c>
      <c r="O113" s="24" t="str">
        <f t="shared" si="14"/>
        <v>ND</v>
      </c>
      <c r="P113" s="24" t="str">
        <f t="shared" si="15"/>
        <v>NA</v>
      </c>
      <c r="S113" s="10" t="s">
        <v>10680</v>
      </c>
      <c r="T113" s="20">
        <v>3.5699404279015292</v>
      </c>
      <c r="U113" s="39"/>
    </row>
    <row r="114" spans="1:21" x14ac:dyDescent="0.2">
      <c r="A114" s="24" t="str">
        <f>"aakg-2"</f>
        <v>aakg-2</v>
      </c>
      <c r="B114" s="24" t="s">
        <v>3037</v>
      </c>
      <c r="C114" s="24" t="s">
        <v>225</v>
      </c>
      <c r="D114" s="24">
        <v>1.2122546603940101</v>
      </c>
      <c r="E114" s="24">
        <f t="shared" si="16"/>
        <v>2.3169945655350586</v>
      </c>
      <c r="F114" s="24">
        <v>1.09498984961123E-2</v>
      </c>
      <c r="G114" s="24">
        <v>12.941320178794999</v>
      </c>
      <c r="H114" s="24">
        <v>12.0119687468896</v>
      </c>
      <c r="I114" s="24">
        <v>13.085668195678</v>
      </c>
      <c r="J114" s="24">
        <f t="shared" si="17"/>
        <v>12.679652373787533</v>
      </c>
      <c r="K114" s="24">
        <v>14.540758276564</v>
      </c>
      <c r="L114" s="24">
        <v>13.672459964957399</v>
      </c>
      <c r="M114" s="24">
        <v>13.4625028610233</v>
      </c>
      <c r="N114" s="24">
        <f t="shared" si="13"/>
        <v>13.891907034181566</v>
      </c>
      <c r="O114" s="24" t="str">
        <f t="shared" si="14"/>
        <v>ND</v>
      </c>
      <c r="P114" s="24" t="str">
        <f t="shared" si="15"/>
        <v>NA</v>
      </c>
      <c r="S114" s="10" t="s">
        <v>7340</v>
      </c>
      <c r="T114" s="20">
        <v>3.5329462735661892</v>
      </c>
      <c r="U114" s="39"/>
    </row>
    <row r="115" spans="1:21" x14ac:dyDescent="0.2">
      <c r="A115" s="24" t="str">
        <f>"lec-2"</f>
        <v>lec-2</v>
      </c>
      <c r="B115" s="24" t="s">
        <v>8875</v>
      </c>
      <c r="C115" s="24" t="s">
        <v>8877</v>
      </c>
      <c r="D115" s="24">
        <v>1.2118800519806201</v>
      </c>
      <c r="E115" s="24">
        <f t="shared" si="16"/>
        <v>2.3163930156885986</v>
      </c>
      <c r="F115" s="24">
        <v>5.5666830379580701E-3</v>
      </c>
      <c r="G115" s="24">
        <v>12.8190894392477</v>
      </c>
      <c r="H115" s="24">
        <v>12.002261491499199</v>
      </c>
      <c r="I115" s="24">
        <v>12.582329626200501</v>
      </c>
      <c r="J115" s="24">
        <f t="shared" si="17"/>
        <v>12.467893518982466</v>
      </c>
      <c r="K115" s="24">
        <v>13.904971673057601</v>
      </c>
      <c r="L115" s="24">
        <v>13.3324408418272</v>
      </c>
      <c r="M115" s="24">
        <v>13.801908198004501</v>
      </c>
      <c r="N115" s="24">
        <f t="shared" si="13"/>
        <v>13.679773570963102</v>
      </c>
      <c r="O115" s="24" t="str">
        <f t="shared" si="14"/>
        <v>ND</v>
      </c>
      <c r="P115" s="24" t="str">
        <f t="shared" si="15"/>
        <v>NA</v>
      </c>
      <c r="S115" s="11" t="s">
        <v>14697</v>
      </c>
      <c r="T115" s="20">
        <v>3.5275356200000001</v>
      </c>
      <c r="U115" s="39"/>
    </row>
    <row r="116" spans="1:21" x14ac:dyDescent="0.2">
      <c r="A116" s="24" t="str">
        <f>"F41E6.5"</f>
        <v>F41E6.5</v>
      </c>
      <c r="B116" s="24" t="s">
        <v>608</v>
      </c>
      <c r="C116" s="24" t="s">
        <v>609</v>
      </c>
      <c r="D116" s="24">
        <v>1.2106025878782001</v>
      </c>
      <c r="E116" s="24">
        <f t="shared" si="16"/>
        <v>2.3143428255060785</v>
      </c>
      <c r="F116" s="24">
        <v>4.39947910942096E-4</v>
      </c>
      <c r="G116" s="24">
        <v>14.0175457745526</v>
      </c>
      <c r="H116" s="24">
        <v>13.8324611177493</v>
      </c>
      <c r="I116" s="24">
        <v>13.077694982252</v>
      </c>
      <c r="J116" s="24">
        <f t="shared" si="17"/>
        <v>13.642567291517965</v>
      </c>
      <c r="K116" s="24">
        <v>14.8135558282319</v>
      </c>
      <c r="L116" s="24">
        <v>14.8984227892437</v>
      </c>
      <c r="M116" s="24">
        <v>14.8475310207129</v>
      </c>
      <c r="N116" s="24">
        <f t="shared" si="13"/>
        <v>14.853169879396168</v>
      </c>
      <c r="O116" s="24" t="str">
        <f t="shared" si="14"/>
        <v>ND</v>
      </c>
      <c r="P116" s="24" t="str">
        <f t="shared" si="15"/>
        <v>NA</v>
      </c>
      <c r="S116" s="10" t="s">
        <v>14485</v>
      </c>
      <c r="T116" s="20">
        <v>3.5094892716802968</v>
      </c>
      <c r="U116" s="39"/>
    </row>
    <row r="117" spans="1:21" x14ac:dyDescent="0.2">
      <c r="A117" s="24" t="str">
        <f>"spe-5"</f>
        <v>spe-5</v>
      </c>
      <c r="B117" s="24" t="s">
        <v>12617</v>
      </c>
      <c r="C117" s="24" t="s">
        <v>12619</v>
      </c>
      <c r="D117" s="24">
        <v>1.1941397211387399</v>
      </c>
      <c r="E117" s="24">
        <f t="shared" si="16"/>
        <v>2.2880835304202489</v>
      </c>
      <c r="F117" s="24">
        <v>1.35033568882113E-4</v>
      </c>
      <c r="G117" s="24">
        <v>15.0066635252564</v>
      </c>
      <c r="H117" s="24">
        <v>14.7319682990149</v>
      </c>
      <c r="I117" s="24">
        <v>14.5434458057625</v>
      </c>
      <c r="J117" s="24">
        <f t="shared" si="17"/>
        <v>14.760692543344602</v>
      </c>
      <c r="K117" s="24">
        <v>15.6158981204032</v>
      </c>
      <c r="L117" s="24">
        <v>15.611983978182501</v>
      </c>
      <c r="M117" s="24">
        <v>16.6366146948642</v>
      </c>
      <c r="N117" s="24">
        <f t="shared" si="13"/>
        <v>15.954832264483301</v>
      </c>
      <c r="O117" s="24" t="str">
        <f t="shared" si="14"/>
        <v>ND</v>
      </c>
      <c r="P117" s="24" t="str">
        <f t="shared" si="15"/>
        <v>NA</v>
      </c>
      <c r="S117" s="11" t="s">
        <v>1709</v>
      </c>
      <c r="T117" s="20">
        <v>3.4727308099999998</v>
      </c>
      <c r="U117" s="39"/>
    </row>
    <row r="118" spans="1:21" x14ac:dyDescent="0.2">
      <c r="A118" s="24" t="str">
        <f>"Y38E10A.22"</f>
        <v>Y38E10A.22</v>
      </c>
      <c r="B118" s="24" t="s">
        <v>2203</v>
      </c>
      <c r="C118" s="24" t="s">
        <v>2204</v>
      </c>
      <c r="D118" s="24">
        <v>1.1879575168257801</v>
      </c>
      <c r="E118" s="24">
        <f t="shared" si="16"/>
        <v>2.2782996641556301</v>
      </c>
      <c r="F118" s="24">
        <v>3.3988031213421997E-2</v>
      </c>
      <c r="G118" s="24" t="s">
        <v>14849</v>
      </c>
      <c r="H118" s="24">
        <v>11.112072838470301</v>
      </c>
      <c r="I118" s="24" t="s">
        <v>14849</v>
      </c>
      <c r="J118" s="24">
        <f t="shared" si="17"/>
        <v>11.112072838470301</v>
      </c>
      <c r="K118" s="24">
        <v>12.342514738786701</v>
      </c>
      <c r="L118" s="24">
        <v>12.1985685980681</v>
      </c>
      <c r="M118" s="24">
        <v>12.3590077290333</v>
      </c>
      <c r="N118" s="24">
        <f t="shared" si="13"/>
        <v>12.300030355296032</v>
      </c>
      <c r="O118" s="24" t="str">
        <f t="shared" si="14"/>
        <v>ND</v>
      </c>
      <c r="P118" s="24" t="str">
        <f t="shared" si="15"/>
        <v>NA</v>
      </c>
      <c r="S118" s="10" t="s">
        <v>5147</v>
      </c>
      <c r="T118" s="20">
        <v>3.4624468677270763</v>
      </c>
      <c r="U118" s="39"/>
    </row>
    <row r="119" spans="1:21" x14ac:dyDescent="0.2">
      <c r="A119" s="24" t="str">
        <f>"F02A9.10"</f>
        <v>F02A9.10</v>
      </c>
      <c r="B119" s="24" t="s">
        <v>5086</v>
      </c>
      <c r="C119" s="24" t="s">
        <v>5088</v>
      </c>
      <c r="D119" s="24">
        <v>1.1813911562119299</v>
      </c>
      <c r="E119" s="24">
        <f t="shared" si="16"/>
        <v>2.2679536498140558</v>
      </c>
      <c r="F119" s="24">
        <v>3.7374051780576602E-2</v>
      </c>
      <c r="G119" s="24">
        <v>17.641257800795</v>
      </c>
      <c r="H119" s="24">
        <v>18.449527920070199</v>
      </c>
      <c r="I119" s="24">
        <v>17.754274264604899</v>
      </c>
      <c r="J119" s="24">
        <f t="shared" si="17"/>
        <v>17.948353328490033</v>
      </c>
      <c r="K119" s="24">
        <v>18.390265355161901</v>
      </c>
      <c r="L119" s="24">
        <v>19.370354168198599</v>
      </c>
      <c r="M119" s="24">
        <v>19.628613930745399</v>
      </c>
      <c r="N119" s="24">
        <f t="shared" si="13"/>
        <v>19.12974448470197</v>
      </c>
      <c r="O119" s="24" t="str">
        <f t="shared" si="14"/>
        <v>ND</v>
      </c>
      <c r="P119" s="24" t="str">
        <f t="shared" si="15"/>
        <v>NA</v>
      </c>
      <c r="S119" s="11" t="s">
        <v>14812</v>
      </c>
      <c r="T119" s="20">
        <v>3.4324472699999999</v>
      </c>
      <c r="U119" s="39"/>
    </row>
    <row r="120" spans="1:21" x14ac:dyDescent="0.2">
      <c r="A120" s="24" t="str">
        <f>"F46F11.1"</f>
        <v>F46F11.1</v>
      </c>
      <c r="B120" s="24" t="s">
        <v>6281</v>
      </c>
      <c r="C120" s="24" t="s">
        <v>6283</v>
      </c>
      <c r="D120" s="24">
        <v>1.1754423610286699</v>
      </c>
      <c r="E120" s="24">
        <f t="shared" si="16"/>
        <v>2.2586212448310174</v>
      </c>
      <c r="F120" s="24">
        <v>1.7817361520899399E-3</v>
      </c>
      <c r="G120" s="24" t="s">
        <v>14849</v>
      </c>
      <c r="H120" s="24">
        <v>11.070689215886601</v>
      </c>
      <c r="I120" s="24">
        <v>10.627808762578701</v>
      </c>
      <c r="J120" s="24">
        <f t="shared" si="17"/>
        <v>10.849248989232651</v>
      </c>
      <c r="K120" s="24">
        <v>11.9636089549247</v>
      </c>
      <c r="L120" s="24">
        <v>12.228705101062401</v>
      </c>
      <c r="M120" s="24">
        <v>11.8817599947969</v>
      </c>
      <c r="N120" s="24">
        <f t="shared" si="13"/>
        <v>12.024691350261334</v>
      </c>
      <c r="O120" s="24" t="str">
        <f t="shared" si="14"/>
        <v>ND</v>
      </c>
      <c r="P120" s="24" t="str">
        <f t="shared" si="15"/>
        <v>NA</v>
      </c>
      <c r="S120" s="10" t="s">
        <v>14813</v>
      </c>
      <c r="T120" s="20">
        <v>3.4226173322639637</v>
      </c>
      <c r="U120" s="39"/>
    </row>
    <row r="121" spans="1:21" x14ac:dyDescent="0.2">
      <c r="A121" s="24" t="str">
        <f>"ZK1321.4"</f>
        <v>ZK1321.4</v>
      </c>
      <c r="B121" s="24" t="s">
        <v>1447</v>
      </c>
      <c r="C121" s="24" t="s">
        <v>1281</v>
      </c>
      <c r="D121" s="24">
        <v>1.16251324771558</v>
      </c>
      <c r="E121" s="24">
        <f t="shared" si="16"/>
        <v>2.2384704101776056</v>
      </c>
      <c r="F121" s="24">
        <v>1.2879750825147199E-2</v>
      </c>
      <c r="G121" s="24">
        <v>13.0220844906886</v>
      </c>
      <c r="H121" s="24" t="s">
        <v>14849</v>
      </c>
      <c r="I121" s="24">
        <v>12.979926796930201</v>
      </c>
      <c r="J121" s="24">
        <f t="shared" si="17"/>
        <v>13.0010056438094</v>
      </c>
      <c r="K121" s="24">
        <v>14.0078866378506</v>
      </c>
      <c r="L121" s="24">
        <v>14.857806960461801</v>
      </c>
      <c r="M121" s="24">
        <v>13.6248630762624</v>
      </c>
      <c r="N121" s="24">
        <f t="shared" si="13"/>
        <v>14.163518891524935</v>
      </c>
      <c r="O121" s="24" t="str">
        <f t="shared" si="14"/>
        <v>ND</v>
      </c>
      <c r="P121" s="24" t="str">
        <f t="shared" si="15"/>
        <v>NA</v>
      </c>
      <c r="S121" s="11" t="s">
        <v>1705</v>
      </c>
      <c r="T121" s="20">
        <v>3.4104602499999999</v>
      </c>
      <c r="U121" s="39"/>
    </row>
    <row r="122" spans="1:21" x14ac:dyDescent="0.2">
      <c r="A122" s="24" t="str">
        <f>"exoc-7"</f>
        <v>exoc-7</v>
      </c>
      <c r="B122" s="24" t="s">
        <v>6208</v>
      </c>
      <c r="C122" s="24" t="s">
        <v>6210</v>
      </c>
      <c r="D122" s="24">
        <v>1.1618475984641401</v>
      </c>
      <c r="E122" s="24">
        <f t="shared" si="16"/>
        <v>2.2374378340492536</v>
      </c>
      <c r="F122" s="24">
        <v>2.5195060058828499E-2</v>
      </c>
      <c r="G122" s="24" t="s">
        <v>14849</v>
      </c>
      <c r="H122" s="24">
        <v>13.9436071254087</v>
      </c>
      <c r="I122" s="24">
        <v>12.953035403566799</v>
      </c>
      <c r="J122" s="24">
        <f t="shared" si="17"/>
        <v>13.448321264487749</v>
      </c>
      <c r="K122" s="24">
        <v>14.2556835599813</v>
      </c>
      <c r="L122" s="24">
        <v>15.2616290953474</v>
      </c>
      <c r="M122" s="24">
        <v>14.313193933527</v>
      </c>
      <c r="N122" s="24">
        <f t="shared" si="13"/>
        <v>14.6101688629519</v>
      </c>
      <c r="O122" s="24" t="str">
        <f t="shared" si="14"/>
        <v>ND</v>
      </c>
      <c r="P122" s="24" t="str">
        <f t="shared" si="15"/>
        <v>NA</v>
      </c>
      <c r="S122" s="10" t="s">
        <v>14814</v>
      </c>
      <c r="T122" s="20">
        <v>3.3905045955362612</v>
      </c>
      <c r="U122" s="39"/>
    </row>
    <row r="123" spans="1:21" x14ac:dyDescent="0.2">
      <c r="A123" s="24" t="str">
        <f>"cogc-3"</f>
        <v>cogc-3</v>
      </c>
      <c r="B123" s="24" t="s">
        <v>10628</v>
      </c>
      <c r="C123" s="24" t="s">
        <v>10630</v>
      </c>
      <c r="D123" s="24">
        <v>1.1591141040594699</v>
      </c>
      <c r="E123" s="24">
        <f t="shared" si="16"/>
        <v>2.2332025429954636</v>
      </c>
      <c r="F123" s="24">
        <v>1.5831179024180599E-2</v>
      </c>
      <c r="G123" s="24">
        <v>12.0167083843474</v>
      </c>
      <c r="H123" s="24">
        <v>10.067343166696199</v>
      </c>
      <c r="I123" s="24">
        <v>11.6866741377385</v>
      </c>
      <c r="J123" s="24">
        <f t="shared" si="17"/>
        <v>11.256908562927366</v>
      </c>
      <c r="K123" s="24">
        <v>12.062736012442601</v>
      </c>
      <c r="L123" s="24">
        <v>12.9130792749491</v>
      </c>
      <c r="M123" s="24">
        <v>12.2722527135688</v>
      </c>
      <c r="N123" s="24">
        <f t="shared" si="13"/>
        <v>12.416022666986834</v>
      </c>
      <c r="O123" s="24" t="str">
        <f t="shared" si="14"/>
        <v>ND</v>
      </c>
      <c r="P123" s="24" t="str">
        <f t="shared" si="15"/>
        <v>NA</v>
      </c>
      <c r="S123" s="11" t="s">
        <v>14171</v>
      </c>
      <c r="T123" s="20">
        <v>3.3613502799999999</v>
      </c>
      <c r="U123" s="39"/>
    </row>
    <row r="124" spans="1:21" x14ac:dyDescent="0.2">
      <c r="A124" s="24" t="str">
        <f>"got-2.2"</f>
        <v>got-2.2</v>
      </c>
      <c r="B124" s="24" t="s">
        <v>7601</v>
      </c>
      <c r="C124" s="24" t="s">
        <v>7603</v>
      </c>
      <c r="D124" s="24">
        <v>1.1547528644723499</v>
      </c>
      <c r="E124" s="24">
        <f t="shared" si="16"/>
        <v>2.2264618079994989</v>
      </c>
      <c r="F124" s="24">
        <v>2.5032805988953102E-2</v>
      </c>
      <c r="G124" s="24">
        <v>13.461934210153</v>
      </c>
      <c r="H124" s="24">
        <v>13.2478450434438</v>
      </c>
      <c r="I124" s="24">
        <v>12.912370288251299</v>
      </c>
      <c r="J124" s="24">
        <f t="shared" si="17"/>
        <v>13.207383180616034</v>
      </c>
      <c r="K124" s="24">
        <v>13.842798125138099</v>
      </c>
      <c r="L124" s="24">
        <v>13.409568088655</v>
      </c>
      <c r="M124" s="24">
        <v>15.834041921471901</v>
      </c>
      <c r="N124" s="24">
        <f t="shared" si="13"/>
        <v>14.362136045088334</v>
      </c>
      <c r="O124" s="24" t="str">
        <f t="shared" si="14"/>
        <v>ND</v>
      </c>
      <c r="P124" s="24" t="str">
        <f t="shared" si="15"/>
        <v>NA</v>
      </c>
      <c r="S124" s="11" t="s">
        <v>5322</v>
      </c>
      <c r="T124" s="20">
        <v>3.3128137099999999</v>
      </c>
      <c r="U124" s="39"/>
    </row>
    <row r="125" spans="1:21" x14ac:dyDescent="0.2">
      <c r="A125" s="24" t="str">
        <f>"vab-19"</f>
        <v>vab-19</v>
      </c>
      <c r="B125" s="24" t="s">
        <v>1464</v>
      </c>
      <c r="C125" s="24" t="s">
        <v>412</v>
      </c>
      <c r="D125" s="24">
        <v>1.13677393628029</v>
      </c>
      <c r="E125" s="24">
        <f t="shared" si="16"/>
        <v>2.1988877159764906</v>
      </c>
      <c r="F125" s="24">
        <v>1.43807886649633E-3</v>
      </c>
      <c r="G125" s="24">
        <v>12.239535952204699</v>
      </c>
      <c r="H125" s="24">
        <v>12.772471172460801</v>
      </c>
      <c r="I125" s="24">
        <v>12.244312061193099</v>
      </c>
      <c r="J125" s="24">
        <f t="shared" si="17"/>
        <v>12.418773061952868</v>
      </c>
      <c r="K125" s="24">
        <v>13.848347111159899</v>
      </c>
      <c r="L125" s="24">
        <v>13.5772809012194</v>
      </c>
      <c r="M125" s="24">
        <v>13.2410129823202</v>
      </c>
      <c r="N125" s="24">
        <f t="shared" si="13"/>
        <v>13.555546998233167</v>
      </c>
      <c r="O125" s="24" t="str">
        <f t="shared" si="14"/>
        <v>ND</v>
      </c>
      <c r="P125" s="24" t="str">
        <f t="shared" si="15"/>
        <v>NA</v>
      </c>
      <c r="S125" s="11" t="s">
        <v>14815</v>
      </c>
      <c r="T125" s="20">
        <v>3.2988511900000002</v>
      </c>
      <c r="U125" s="39"/>
    </row>
    <row r="126" spans="1:21" x14ac:dyDescent="0.2">
      <c r="A126" s="24" t="str">
        <f>"T04B8.5"</f>
        <v>T04B8.5</v>
      </c>
      <c r="B126" s="24" t="s">
        <v>3893</v>
      </c>
      <c r="C126" s="24" t="s">
        <v>3894</v>
      </c>
      <c r="D126" s="24">
        <v>1.1139741980726401</v>
      </c>
      <c r="E126" s="24">
        <f t="shared" si="16"/>
        <v>2.1644105792324089</v>
      </c>
      <c r="F126" s="24">
        <v>2.34301955203901E-2</v>
      </c>
      <c r="G126" s="24">
        <v>18.648688642001499</v>
      </c>
      <c r="H126" s="24">
        <v>18.824124948883199</v>
      </c>
      <c r="I126" s="24">
        <v>18.511102326069501</v>
      </c>
      <c r="J126" s="24">
        <f t="shared" si="17"/>
        <v>18.6613053056514</v>
      </c>
      <c r="K126" s="24">
        <v>19.905367044544299</v>
      </c>
      <c r="L126" s="24">
        <v>19.5614829728048</v>
      </c>
      <c r="M126" s="24">
        <v>19.858988493822899</v>
      </c>
      <c r="N126" s="24">
        <f t="shared" si="13"/>
        <v>19.775279503724001</v>
      </c>
      <c r="O126" s="24" t="str">
        <f t="shared" si="14"/>
        <v>ND</v>
      </c>
      <c r="P126" s="24" t="str">
        <f t="shared" si="15"/>
        <v>NA</v>
      </c>
      <c r="S126" s="11" t="s">
        <v>14816</v>
      </c>
      <c r="T126" s="20">
        <v>3.26683769</v>
      </c>
      <c r="U126" s="39"/>
    </row>
    <row r="127" spans="1:21" x14ac:dyDescent="0.2">
      <c r="A127" s="24" t="str">
        <f>"xpd-1"</f>
        <v>xpd-1</v>
      </c>
      <c r="B127" s="24" t="s">
        <v>12389</v>
      </c>
      <c r="C127" s="24" t="s">
        <v>12391</v>
      </c>
      <c r="D127" s="24">
        <v>1.09990610398077</v>
      </c>
      <c r="E127" s="24">
        <f t="shared" si="16"/>
        <v>2.1434074195166555</v>
      </c>
      <c r="F127" s="24">
        <v>4.0541400133928998E-2</v>
      </c>
      <c r="G127" s="24">
        <v>13.6767833719928</v>
      </c>
      <c r="H127" s="24">
        <v>14.511713363378799</v>
      </c>
      <c r="I127" s="24">
        <v>13.5127878204078</v>
      </c>
      <c r="J127" s="24">
        <f t="shared" si="17"/>
        <v>13.9004281852598</v>
      </c>
      <c r="K127" s="24">
        <v>14.9203829131988</v>
      </c>
      <c r="L127" s="24">
        <v>15.046332244117499</v>
      </c>
      <c r="M127" s="24">
        <v>15.034287710405399</v>
      </c>
      <c r="N127" s="24">
        <f t="shared" si="13"/>
        <v>15.000334289240568</v>
      </c>
      <c r="O127" s="24" t="str">
        <f t="shared" si="14"/>
        <v>ND</v>
      </c>
      <c r="P127" s="24" t="str">
        <f t="shared" si="15"/>
        <v>NA</v>
      </c>
      <c r="S127" s="11" t="s">
        <v>4256</v>
      </c>
      <c r="T127" s="20">
        <v>3.2404884100000002</v>
      </c>
      <c r="U127" s="39"/>
    </row>
    <row r="128" spans="1:21" x14ac:dyDescent="0.2">
      <c r="A128" s="24" t="str">
        <f>"F55A12.5"</f>
        <v>F55A12.5</v>
      </c>
      <c r="B128" s="24" t="s">
        <v>2836</v>
      </c>
      <c r="C128" s="24" t="s">
        <v>2837</v>
      </c>
      <c r="D128" s="24">
        <v>1.0952662453775499</v>
      </c>
      <c r="E128" s="24">
        <f t="shared" si="16"/>
        <v>2.1365250695047511</v>
      </c>
      <c r="F128" s="24">
        <v>9.9064642943357296E-3</v>
      </c>
      <c r="G128" s="24">
        <v>12.3963813559511</v>
      </c>
      <c r="H128" s="24">
        <v>12.75503789103</v>
      </c>
      <c r="I128" s="24">
        <v>12.653563417292901</v>
      </c>
      <c r="J128" s="24">
        <f t="shared" si="17"/>
        <v>12.601660888091333</v>
      </c>
      <c r="K128" s="24">
        <v>14.0247085674985</v>
      </c>
      <c r="L128" s="24">
        <v>13.976420173951499</v>
      </c>
      <c r="M128" s="24">
        <v>13.0896526589566</v>
      </c>
      <c r="N128" s="24">
        <f t="shared" si="13"/>
        <v>13.696927133468867</v>
      </c>
      <c r="O128" s="24" t="str">
        <f t="shared" si="14"/>
        <v>ND</v>
      </c>
      <c r="P128" s="24" t="str">
        <f t="shared" si="15"/>
        <v>NA</v>
      </c>
      <c r="S128" s="11" t="s">
        <v>12598</v>
      </c>
      <c r="T128" s="20">
        <v>3.2164031500000001</v>
      </c>
      <c r="U128" s="39"/>
    </row>
    <row r="129" spans="1:21" x14ac:dyDescent="0.2">
      <c r="A129" s="24" t="str">
        <f>"pptr-2"</f>
        <v>pptr-2</v>
      </c>
      <c r="B129" s="24" t="s">
        <v>589</v>
      </c>
      <c r="C129" s="24" t="s">
        <v>591</v>
      </c>
      <c r="D129" s="24">
        <v>1.0862629442685099</v>
      </c>
      <c r="E129" s="24">
        <f t="shared" si="16"/>
        <v>2.1232333611921126</v>
      </c>
      <c r="F129" s="24">
        <v>1.3621799307532999E-2</v>
      </c>
      <c r="G129" s="24" t="s">
        <v>14849</v>
      </c>
      <c r="H129" s="24" t="s">
        <v>14849</v>
      </c>
      <c r="I129" s="24">
        <v>11.1247155659065</v>
      </c>
      <c r="J129" s="24">
        <f t="shared" si="17"/>
        <v>11.1247155659065</v>
      </c>
      <c r="K129" s="24">
        <v>11.413395256486099</v>
      </c>
      <c r="L129" s="24">
        <v>12.45403879455</v>
      </c>
      <c r="M129" s="24">
        <v>12.765501479488901</v>
      </c>
      <c r="N129" s="24">
        <f t="shared" si="13"/>
        <v>12.210978510175002</v>
      </c>
      <c r="O129" s="24" t="str">
        <f t="shared" si="14"/>
        <v>ND</v>
      </c>
      <c r="P129" s="24" t="str">
        <f t="shared" si="15"/>
        <v>NA</v>
      </c>
      <c r="S129" s="11" t="s">
        <v>8165</v>
      </c>
      <c r="T129" s="20">
        <v>3.2135458099999998</v>
      </c>
      <c r="U129" s="39"/>
    </row>
    <row r="130" spans="1:21" x14ac:dyDescent="0.2">
      <c r="A130" s="24" t="str">
        <f>"acox-1.1"</f>
        <v>acox-1.1</v>
      </c>
      <c r="B130" s="24" t="s">
        <v>4419</v>
      </c>
      <c r="C130" s="24" t="s">
        <v>4421</v>
      </c>
      <c r="D130" s="24">
        <v>1.08624236277963</v>
      </c>
      <c r="E130" s="24">
        <f t="shared" si="16"/>
        <v>2.1232030713589403</v>
      </c>
      <c r="F130" s="24">
        <v>5.6572555200074303E-3</v>
      </c>
      <c r="G130" s="24">
        <v>11.3043976341429</v>
      </c>
      <c r="H130" s="24" t="s">
        <v>14849</v>
      </c>
      <c r="I130" s="24">
        <v>12.0934871534922</v>
      </c>
      <c r="J130" s="24">
        <f t="shared" si="17"/>
        <v>11.69894239381755</v>
      </c>
      <c r="K130" s="24">
        <v>12.989760182902801</v>
      </c>
      <c r="L130" s="24">
        <v>12.440163090439899</v>
      </c>
      <c r="M130" s="24">
        <v>12.9256309964489</v>
      </c>
      <c r="N130" s="24">
        <f t="shared" ref="N130:N143" si="18">(K130+L130+M130)/3</f>
        <v>12.785184756597202</v>
      </c>
      <c r="O130" s="24" t="str">
        <f t="shared" ref="O130:O143" si="19">IFERROR(INDEX(T:T,MATCH(A130, S:S, 0)), "ND")</f>
        <v>ND</v>
      </c>
      <c r="P130" s="24" t="str">
        <f t="shared" ref="P130:P143" si="20">IFERROR(E130/O130, "NA")</f>
        <v>NA</v>
      </c>
      <c r="S130" s="11" t="s">
        <v>396</v>
      </c>
      <c r="T130" s="20">
        <v>3.2054233700000001</v>
      </c>
      <c r="U130" s="39"/>
    </row>
    <row r="131" spans="1:21" x14ac:dyDescent="0.2">
      <c r="A131" s="56" t="str">
        <f>"C09E8.1"</f>
        <v>C09E8.1</v>
      </c>
      <c r="B131" s="24" t="s">
        <v>2262</v>
      </c>
      <c r="C131" s="24" t="s">
        <v>2264</v>
      </c>
      <c r="D131" s="24">
        <v>1.07850620498093</v>
      </c>
      <c r="E131" s="24">
        <f t="shared" si="16"/>
        <v>2.1118482991260485</v>
      </c>
      <c r="F131" s="24">
        <v>2.2035040004859301E-3</v>
      </c>
      <c r="G131" s="24">
        <v>10.539918489162901</v>
      </c>
      <c r="H131" s="24">
        <v>10.006446761058999</v>
      </c>
      <c r="I131" s="24">
        <v>11.112854420738699</v>
      </c>
      <c r="J131" s="24">
        <f t="shared" si="17"/>
        <v>10.553073223653533</v>
      </c>
      <c r="K131" s="24">
        <v>11.4951900058071</v>
      </c>
      <c r="L131" s="24">
        <v>12.056211921062999</v>
      </c>
      <c r="M131" s="24">
        <v>11.343336359033399</v>
      </c>
      <c r="N131" s="24">
        <f t="shared" si="18"/>
        <v>11.631579428634501</v>
      </c>
      <c r="O131" s="24" t="str">
        <f t="shared" si="19"/>
        <v>ND</v>
      </c>
      <c r="P131" s="24" t="str">
        <f t="shared" si="20"/>
        <v>NA</v>
      </c>
      <c r="S131" s="11" t="s">
        <v>14817</v>
      </c>
      <c r="T131" s="20">
        <v>3.1978355700000001</v>
      </c>
      <c r="U131" s="39"/>
    </row>
    <row r="132" spans="1:21" x14ac:dyDescent="0.2">
      <c r="A132" s="56" t="str">
        <f>"kin-29"</f>
        <v>kin-29</v>
      </c>
      <c r="B132" s="24" t="s">
        <v>9059</v>
      </c>
      <c r="C132" s="24" t="s">
        <v>9061</v>
      </c>
      <c r="D132" s="24">
        <v>1.07595221444117</v>
      </c>
      <c r="E132" s="24">
        <f t="shared" si="16"/>
        <v>2.10811301960889</v>
      </c>
      <c r="F132" s="24">
        <v>1.4018061295630799E-3</v>
      </c>
      <c r="G132" s="24">
        <v>13.405373966808201</v>
      </c>
      <c r="H132" s="24">
        <v>13.0207204336304</v>
      </c>
      <c r="I132" s="24">
        <v>13.0223940929574</v>
      </c>
      <c r="J132" s="24">
        <f t="shared" si="17"/>
        <v>13.149496164465333</v>
      </c>
      <c r="K132" s="24">
        <v>14.3219380934977</v>
      </c>
      <c r="L132" s="24">
        <v>14.4703595084725</v>
      </c>
      <c r="M132" s="24">
        <v>13.8840475347493</v>
      </c>
      <c r="N132" s="24">
        <f t="shared" si="18"/>
        <v>14.225448378906499</v>
      </c>
      <c r="O132" s="24" t="str">
        <f t="shared" si="19"/>
        <v>ND</v>
      </c>
      <c r="P132" s="24" t="str">
        <f t="shared" si="20"/>
        <v>NA</v>
      </c>
      <c r="S132" s="11" t="s">
        <v>12251</v>
      </c>
      <c r="T132" s="20">
        <v>3.1719083800000001</v>
      </c>
      <c r="U132" s="39"/>
    </row>
    <row r="133" spans="1:21" x14ac:dyDescent="0.2">
      <c r="A133" s="56" t="str">
        <f>"larp-1"</f>
        <v>larp-1</v>
      </c>
      <c r="B133" s="24" t="s">
        <v>788</v>
      </c>
      <c r="C133" s="24" t="s">
        <v>790</v>
      </c>
      <c r="D133" s="24">
        <v>1.06657459774486</v>
      </c>
      <c r="E133" s="24">
        <f t="shared" si="16"/>
        <v>2.0944545789115576</v>
      </c>
      <c r="F133" s="24">
        <v>1.8554380783963799E-4</v>
      </c>
      <c r="G133" s="24">
        <v>12.6874718631409</v>
      </c>
      <c r="H133" s="24">
        <v>12.978714145184201</v>
      </c>
      <c r="I133" s="24">
        <v>13.093040787917101</v>
      </c>
      <c r="J133" s="24">
        <f t="shared" si="17"/>
        <v>12.919742265414067</v>
      </c>
      <c r="K133" s="24">
        <v>14.0652459495291</v>
      </c>
      <c r="L133" s="24">
        <v>14.0305605072143</v>
      </c>
      <c r="M133" s="24">
        <v>13.8631441327334</v>
      </c>
      <c r="N133" s="24">
        <f t="shared" si="18"/>
        <v>13.986316863158933</v>
      </c>
      <c r="O133" s="24" t="str">
        <f t="shared" si="19"/>
        <v>ND</v>
      </c>
      <c r="P133" s="24" t="str">
        <f t="shared" si="20"/>
        <v>NA</v>
      </c>
      <c r="S133" s="11" t="s">
        <v>14818</v>
      </c>
      <c r="T133" s="20">
        <v>3.1679403800000001</v>
      </c>
      <c r="U133" s="39"/>
    </row>
    <row r="134" spans="1:21" x14ac:dyDescent="0.2">
      <c r="A134" s="57" t="str">
        <f>"ech-1.1"</f>
        <v>ech-1.1</v>
      </c>
      <c r="B134" s="24" t="s">
        <v>3449</v>
      </c>
      <c r="C134" s="24" t="s">
        <v>3451</v>
      </c>
      <c r="D134" s="24">
        <v>1.0613115526934001</v>
      </c>
      <c r="E134" s="24">
        <f t="shared" si="16"/>
        <v>2.0868277927697498</v>
      </c>
      <c r="F134" s="24">
        <v>5.5053354341995701E-4</v>
      </c>
      <c r="G134" s="24">
        <v>13.273828498303301</v>
      </c>
      <c r="H134" s="24">
        <v>13.1973258456997</v>
      </c>
      <c r="I134" s="24">
        <v>12.880880123295199</v>
      </c>
      <c r="J134" s="24">
        <f t="shared" si="17"/>
        <v>13.117344822432733</v>
      </c>
      <c r="K134" s="24">
        <v>13.8299672871645</v>
      </c>
      <c r="L134" s="24">
        <v>14.6358543657194</v>
      </c>
      <c r="M134" s="24">
        <v>14.0701474724946</v>
      </c>
      <c r="N134" s="24">
        <f t="shared" si="18"/>
        <v>14.178656375126167</v>
      </c>
      <c r="O134" s="24" t="str">
        <f t="shared" si="19"/>
        <v>ND</v>
      </c>
      <c r="P134" s="24" t="str">
        <f t="shared" si="20"/>
        <v>NA</v>
      </c>
      <c r="S134" s="11" t="s">
        <v>11530</v>
      </c>
      <c r="T134" s="20">
        <v>3.1386884199999998</v>
      </c>
      <c r="U134" s="39"/>
    </row>
    <row r="135" spans="1:21" x14ac:dyDescent="0.2">
      <c r="A135" s="56" t="str">
        <f>"alh-6"</f>
        <v>alh-6</v>
      </c>
      <c r="B135" s="24" t="s">
        <v>1101</v>
      </c>
      <c r="C135" s="24" t="s">
        <v>1103</v>
      </c>
      <c r="D135" s="24">
        <v>1.0426997399914999</v>
      </c>
      <c r="E135" s="24">
        <f t="shared" si="16"/>
        <v>2.0600791099360509</v>
      </c>
      <c r="F135" s="24">
        <v>1.78881377670363E-3</v>
      </c>
      <c r="G135" s="24">
        <v>11.871356682956</v>
      </c>
      <c r="H135" s="24">
        <v>12.4864279776176</v>
      </c>
      <c r="I135" s="24">
        <v>12.7841378270485</v>
      </c>
      <c r="J135" s="24">
        <f t="shared" si="17"/>
        <v>12.380640829207366</v>
      </c>
      <c r="K135" s="24">
        <v>13.221852110833</v>
      </c>
      <c r="L135" s="24">
        <v>13.0569541716927</v>
      </c>
      <c r="M135" s="24">
        <v>13.9912154250709</v>
      </c>
      <c r="N135" s="24">
        <f t="shared" si="18"/>
        <v>13.423340569198865</v>
      </c>
      <c r="O135" s="24" t="str">
        <f t="shared" si="19"/>
        <v>ND</v>
      </c>
      <c r="P135" s="24" t="str">
        <f t="shared" si="20"/>
        <v>NA</v>
      </c>
      <c r="S135" s="11" t="s">
        <v>9426</v>
      </c>
      <c r="T135" s="20">
        <v>3.13809</v>
      </c>
      <c r="U135" s="39"/>
    </row>
    <row r="136" spans="1:21" x14ac:dyDescent="0.2">
      <c r="A136" s="56" t="str">
        <f>"met-2"</f>
        <v>met-2</v>
      </c>
      <c r="B136" s="24" t="s">
        <v>5234</v>
      </c>
      <c r="C136" s="24" t="s">
        <v>5236</v>
      </c>
      <c r="D136" s="24">
        <v>1.0407534539347101</v>
      </c>
      <c r="E136" s="24">
        <f t="shared" si="16"/>
        <v>2.0573018078630882</v>
      </c>
      <c r="F136" s="24">
        <v>1.7794623378069E-3</v>
      </c>
      <c r="G136" s="24">
        <v>11.0095918363564</v>
      </c>
      <c r="H136" s="24">
        <v>11.3690473152629</v>
      </c>
      <c r="I136" s="24">
        <v>11.219486572823801</v>
      </c>
      <c r="J136" s="24">
        <f t="shared" si="17"/>
        <v>11.199375241481034</v>
      </c>
      <c r="K136" s="24">
        <v>12.1450751773961</v>
      </c>
      <c r="L136" s="24">
        <v>12.251923418252</v>
      </c>
      <c r="M136" s="24">
        <v>12.323387490599099</v>
      </c>
      <c r="N136" s="24">
        <f t="shared" si="18"/>
        <v>12.240128695415734</v>
      </c>
      <c r="O136" s="24" t="str">
        <f t="shared" si="19"/>
        <v>ND</v>
      </c>
      <c r="P136" s="24" t="str">
        <f t="shared" si="20"/>
        <v>NA</v>
      </c>
      <c r="S136" s="11" t="s">
        <v>983</v>
      </c>
      <c r="T136" s="20">
        <v>3.1329182800000002</v>
      </c>
      <c r="U136" s="39"/>
    </row>
    <row r="137" spans="1:21" x14ac:dyDescent="0.2">
      <c r="A137" s="56" t="str">
        <f>"pho-7"</f>
        <v>pho-7</v>
      </c>
      <c r="B137" s="24" t="s">
        <v>9877</v>
      </c>
      <c r="C137" s="24" t="s">
        <v>9879</v>
      </c>
      <c r="D137" s="24">
        <v>1.04053165180698</v>
      </c>
      <c r="E137" s="24">
        <f t="shared" si="16"/>
        <v>2.0569855394695367</v>
      </c>
      <c r="F137" s="24">
        <v>4.7828302092021097E-3</v>
      </c>
      <c r="G137" s="24">
        <v>10.816245397876401</v>
      </c>
      <c r="H137" s="24" t="s">
        <v>14849</v>
      </c>
      <c r="I137" s="24">
        <v>11.037533410927701</v>
      </c>
      <c r="J137" s="24">
        <f t="shared" si="17"/>
        <v>10.926889404402051</v>
      </c>
      <c r="K137" s="24">
        <v>12.4412438100653</v>
      </c>
      <c r="L137" s="24">
        <v>11.5503636604815</v>
      </c>
      <c r="M137" s="24">
        <v>11.9106556980803</v>
      </c>
      <c r="N137" s="24">
        <f t="shared" si="18"/>
        <v>11.967421056209034</v>
      </c>
      <c r="O137" s="24" t="str">
        <f t="shared" si="19"/>
        <v>ND</v>
      </c>
      <c r="P137" s="24" t="str">
        <f t="shared" si="20"/>
        <v>NA</v>
      </c>
      <c r="S137" s="11" t="s">
        <v>5398</v>
      </c>
      <c r="T137" s="20">
        <v>3.1192659200000001</v>
      </c>
      <c r="U137" s="39"/>
    </row>
    <row r="138" spans="1:21" x14ac:dyDescent="0.2">
      <c r="A138" s="56" t="str">
        <f>"panl-3"</f>
        <v>panl-3</v>
      </c>
      <c r="B138" s="24" t="s">
        <v>5357</v>
      </c>
      <c r="C138" s="24" t="s">
        <v>5359</v>
      </c>
      <c r="D138" s="24">
        <v>1.0375866809145</v>
      </c>
      <c r="E138" s="24">
        <f t="shared" si="16"/>
        <v>2.0527909011549625</v>
      </c>
      <c r="F138" s="24">
        <v>2.99652496450353E-3</v>
      </c>
      <c r="G138" s="24">
        <v>11.603543570277999</v>
      </c>
      <c r="H138" s="24">
        <v>10.788808355569101</v>
      </c>
      <c r="I138" s="24">
        <v>12.0450956405534</v>
      </c>
      <c r="J138" s="24">
        <f t="shared" si="17"/>
        <v>11.479149188800166</v>
      </c>
      <c r="K138" s="24">
        <v>12.45834754859</v>
      </c>
      <c r="L138" s="24">
        <v>12.634356360616099</v>
      </c>
      <c r="M138" s="24">
        <v>12.457503699937901</v>
      </c>
      <c r="N138" s="24">
        <f t="shared" si="18"/>
        <v>12.516735869714667</v>
      </c>
      <c r="O138" s="24" t="str">
        <f t="shared" si="19"/>
        <v>ND</v>
      </c>
      <c r="P138" s="24" t="str">
        <f t="shared" si="20"/>
        <v>NA</v>
      </c>
      <c r="S138" s="11" t="s">
        <v>13338</v>
      </c>
      <c r="T138" s="20">
        <v>3.0909888400000001</v>
      </c>
      <c r="U138" s="39"/>
    </row>
    <row r="139" spans="1:21" x14ac:dyDescent="0.2">
      <c r="A139" s="56" t="str">
        <f>"F17B5.1"</f>
        <v>F17B5.1</v>
      </c>
      <c r="B139" s="24" t="s">
        <v>4038</v>
      </c>
      <c r="C139" s="24" t="s">
        <v>4039</v>
      </c>
      <c r="D139" s="24">
        <v>1.0312753568224</v>
      </c>
      <c r="E139" s="24">
        <f t="shared" si="16"/>
        <v>2.0438302193728299</v>
      </c>
      <c r="F139" s="24">
        <v>4.9655560556490001E-2</v>
      </c>
      <c r="G139" s="24">
        <v>12.9340879445773</v>
      </c>
      <c r="H139" s="24">
        <v>12.9672409777063</v>
      </c>
      <c r="I139" s="24">
        <v>11.9848585536143</v>
      </c>
      <c r="J139" s="24">
        <f t="shared" si="17"/>
        <v>12.628729158632632</v>
      </c>
      <c r="K139" s="24">
        <v>13.899986884612099</v>
      </c>
      <c r="L139" s="24">
        <v>13.4626114557125</v>
      </c>
      <c r="M139" s="24">
        <v>13.6174152060405</v>
      </c>
      <c r="N139" s="24">
        <f t="shared" si="18"/>
        <v>13.660004515455034</v>
      </c>
      <c r="O139" s="24" t="str">
        <f t="shared" si="19"/>
        <v>ND</v>
      </c>
      <c r="P139" s="24" t="str">
        <f t="shared" si="20"/>
        <v>NA</v>
      </c>
      <c r="S139" s="11" t="s">
        <v>8080</v>
      </c>
      <c r="T139" s="20">
        <v>3.0728087799999999</v>
      </c>
      <c r="U139" s="39"/>
    </row>
    <row r="140" spans="1:21" x14ac:dyDescent="0.2">
      <c r="A140" s="56" t="str">
        <f>"spc-1"</f>
        <v>spc-1</v>
      </c>
      <c r="B140" s="24" t="s">
        <v>9277</v>
      </c>
      <c r="C140" s="24" t="s">
        <v>9279</v>
      </c>
      <c r="D140" s="24">
        <v>1.02541894455767</v>
      </c>
      <c r="E140" s="24">
        <f t="shared" si="16"/>
        <v>2.0355504023560238</v>
      </c>
      <c r="F140" s="24">
        <v>3.1957401616348698E-2</v>
      </c>
      <c r="G140" s="24" t="s">
        <v>14849</v>
      </c>
      <c r="H140" s="24" t="s">
        <v>14849</v>
      </c>
      <c r="I140" s="24">
        <v>10.7629725379456</v>
      </c>
      <c r="J140" s="24">
        <f t="shared" si="17"/>
        <v>10.7629725379456</v>
      </c>
      <c r="K140" s="24">
        <v>11.909773898339701</v>
      </c>
      <c r="L140" s="24">
        <v>11.5241324008327</v>
      </c>
      <c r="M140" s="24">
        <v>11.9312681483374</v>
      </c>
      <c r="N140" s="24">
        <f t="shared" si="18"/>
        <v>11.788391482503267</v>
      </c>
      <c r="O140" s="24" t="str">
        <f t="shared" si="19"/>
        <v>ND</v>
      </c>
      <c r="P140" s="24" t="str">
        <f t="shared" si="20"/>
        <v>NA</v>
      </c>
      <c r="S140" s="11" t="s">
        <v>11874</v>
      </c>
      <c r="T140" s="20">
        <v>3.04240968</v>
      </c>
      <c r="U140" s="39"/>
    </row>
    <row r="141" spans="1:21" x14ac:dyDescent="0.2">
      <c r="A141" s="57" t="str">
        <f>"hacl-1"</f>
        <v>hacl-1</v>
      </c>
      <c r="B141" s="24" t="s">
        <v>7314</v>
      </c>
      <c r="C141" s="24" t="s">
        <v>7316</v>
      </c>
      <c r="D141" s="24">
        <v>1.0167807988729001</v>
      </c>
      <c r="E141" s="24">
        <f t="shared" si="16"/>
        <v>2.0233989462066475</v>
      </c>
      <c r="F141" s="24">
        <v>4.1800747075638398E-3</v>
      </c>
      <c r="G141" s="24">
        <v>13.399309505526499</v>
      </c>
      <c r="H141" s="24">
        <v>12.302792946543899</v>
      </c>
      <c r="I141" s="24">
        <v>13.0402221832063</v>
      </c>
      <c r="J141" s="24">
        <f t="shared" si="17"/>
        <v>12.914108211758901</v>
      </c>
      <c r="K141" s="24">
        <v>13.2462173267183</v>
      </c>
      <c r="L141" s="24">
        <v>14.1910426203789</v>
      </c>
      <c r="M141" s="24">
        <v>14.3554070847982</v>
      </c>
      <c r="N141" s="24">
        <f t="shared" si="18"/>
        <v>13.9308890106318</v>
      </c>
      <c r="O141" s="24" t="str">
        <f t="shared" si="19"/>
        <v>ND</v>
      </c>
      <c r="P141" s="24" t="str">
        <f t="shared" si="20"/>
        <v>NA</v>
      </c>
      <c r="S141" s="11" t="s">
        <v>7358</v>
      </c>
      <c r="T141" s="20">
        <v>3.0399567200000002</v>
      </c>
      <c r="U141" s="39"/>
    </row>
    <row r="142" spans="1:21" x14ac:dyDescent="0.2">
      <c r="A142" s="56" t="str">
        <f>"efk-1"</f>
        <v>efk-1</v>
      </c>
      <c r="B142" s="24" t="s">
        <v>2984</v>
      </c>
      <c r="C142" s="24" t="s">
        <v>2986</v>
      </c>
      <c r="D142" s="24">
        <v>1.00541679465048</v>
      </c>
      <c r="E142" s="24">
        <f t="shared" ref="E142:E143" si="21">2^D142</f>
        <v>2.0075233868303162</v>
      </c>
      <c r="F142" s="24">
        <v>1.5193787575147E-4</v>
      </c>
      <c r="G142" s="24">
        <v>13.346379964293501</v>
      </c>
      <c r="H142" s="24">
        <v>13.580914837422499</v>
      </c>
      <c r="I142" s="24">
        <v>12.884244750239199</v>
      </c>
      <c r="J142" s="24">
        <f t="shared" ref="J142:J143" si="22">AVERAGEIF(G142:I142, "&gt;0")</f>
        <v>13.270513183985067</v>
      </c>
      <c r="K142" s="24">
        <v>14.557531321103101</v>
      </c>
      <c r="L142" s="24">
        <v>14.1134119493738</v>
      </c>
      <c r="M142" s="24">
        <v>14.1568466654297</v>
      </c>
      <c r="N142" s="24">
        <f t="shared" si="18"/>
        <v>14.275929978635533</v>
      </c>
      <c r="O142" s="24" t="str">
        <f t="shared" si="19"/>
        <v>ND</v>
      </c>
      <c r="P142" s="24" t="str">
        <f t="shared" si="20"/>
        <v>NA</v>
      </c>
      <c r="S142" s="11" t="s">
        <v>5031</v>
      </c>
      <c r="T142" s="20">
        <v>3.0350834999999998</v>
      </c>
      <c r="U142" s="39"/>
    </row>
    <row r="143" spans="1:21" x14ac:dyDescent="0.2">
      <c r="A143" s="56" t="str">
        <f>"syx-5"</f>
        <v>syx-5</v>
      </c>
      <c r="B143" s="24" t="s">
        <v>8954</v>
      </c>
      <c r="C143" s="24" t="s">
        <v>8956</v>
      </c>
      <c r="D143" s="24">
        <v>1.00085714211396</v>
      </c>
      <c r="E143" s="24">
        <f t="shared" si="21"/>
        <v>2.0011886043344531</v>
      </c>
      <c r="F143" s="24">
        <v>1.8436957614121799E-2</v>
      </c>
      <c r="G143" s="24" t="s">
        <v>14849</v>
      </c>
      <c r="H143" s="24" t="s">
        <v>14849</v>
      </c>
      <c r="I143" s="24">
        <v>12.790054353161</v>
      </c>
      <c r="J143" s="24">
        <f t="shared" si="22"/>
        <v>12.790054353161</v>
      </c>
      <c r="K143" s="24">
        <v>14.064115749876301</v>
      </c>
      <c r="L143" s="24">
        <v>13.5574745143666</v>
      </c>
      <c r="M143" s="24">
        <v>13.7511442215818</v>
      </c>
      <c r="N143" s="24">
        <f t="shared" si="18"/>
        <v>13.7909114952749</v>
      </c>
      <c r="O143" s="24" t="str">
        <f t="shared" si="19"/>
        <v>ND</v>
      </c>
      <c r="P143" s="24" t="str">
        <f t="shared" si="20"/>
        <v>NA</v>
      </c>
      <c r="S143" s="11" t="s">
        <v>14819</v>
      </c>
      <c r="T143" s="20">
        <v>3.0216343399999999</v>
      </c>
      <c r="U143" s="39"/>
    </row>
    <row r="144" spans="1:21" x14ac:dyDescent="0.2">
      <c r="A144" s="52"/>
      <c r="S144" s="11" t="s">
        <v>7523</v>
      </c>
      <c r="T144" s="20">
        <v>2.9844003699999999</v>
      </c>
      <c r="U144" s="39"/>
    </row>
    <row r="145" spans="1:21" x14ac:dyDescent="0.2">
      <c r="A145" s="52"/>
      <c r="S145" s="11" t="s">
        <v>1972</v>
      </c>
      <c r="T145" s="20">
        <v>2.9604292000000001</v>
      </c>
      <c r="U145" s="39"/>
    </row>
    <row r="146" spans="1:21" x14ac:dyDescent="0.2">
      <c r="A146" s="52"/>
      <c r="S146" s="11" t="s">
        <v>8753</v>
      </c>
      <c r="T146" s="20">
        <v>2.93598567</v>
      </c>
      <c r="U146" s="39"/>
    </row>
    <row r="147" spans="1:21" x14ac:dyDescent="0.2">
      <c r="A147" s="52"/>
      <c r="S147" s="11" t="s">
        <v>10298</v>
      </c>
      <c r="T147" s="20">
        <v>2.9140060499999998</v>
      </c>
      <c r="U147" s="39"/>
    </row>
    <row r="148" spans="1:21" x14ac:dyDescent="0.2">
      <c r="A148" s="52"/>
      <c r="S148" s="11" t="s">
        <v>1471</v>
      </c>
      <c r="T148" s="20">
        <v>2.9108313400000001</v>
      </c>
      <c r="U148" s="39"/>
    </row>
    <row r="149" spans="1:21" x14ac:dyDescent="0.2">
      <c r="A149" s="52"/>
      <c r="S149" s="11" t="s">
        <v>14820</v>
      </c>
      <c r="T149" s="20">
        <v>2.9063408000000002</v>
      </c>
      <c r="U149" s="39"/>
    </row>
    <row r="150" spans="1:21" x14ac:dyDescent="0.2">
      <c r="A150" s="52"/>
      <c r="S150" s="11" t="s">
        <v>5630</v>
      </c>
      <c r="T150" s="20">
        <v>2.8936961499999998</v>
      </c>
      <c r="U150" s="39"/>
    </row>
    <row r="151" spans="1:21" x14ac:dyDescent="0.2">
      <c r="A151" s="52"/>
      <c r="S151" s="11" t="s">
        <v>6905</v>
      </c>
      <c r="T151" s="20">
        <v>2.8920846600000001</v>
      </c>
      <c r="U151" s="39"/>
    </row>
    <row r="152" spans="1:21" x14ac:dyDescent="0.2">
      <c r="A152" s="52"/>
      <c r="S152" s="10" t="s">
        <v>10913</v>
      </c>
      <c r="T152" s="21">
        <v>2.8898607958470506</v>
      </c>
      <c r="U152" s="40"/>
    </row>
    <row r="153" spans="1:21" x14ac:dyDescent="0.2">
      <c r="A153" s="52"/>
      <c r="S153" s="11" t="s">
        <v>11309</v>
      </c>
      <c r="T153" s="20">
        <v>2.8844428600000001</v>
      </c>
      <c r="U153" s="39"/>
    </row>
    <row r="154" spans="1:21" x14ac:dyDescent="0.2">
      <c r="A154" s="52"/>
      <c r="S154" s="11" t="s">
        <v>1299</v>
      </c>
      <c r="T154" s="20">
        <v>2.8723567499999998</v>
      </c>
      <c r="U154" s="39"/>
    </row>
    <row r="155" spans="1:21" x14ac:dyDescent="0.2">
      <c r="A155" s="52"/>
      <c r="S155" s="11" t="s">
        <v>11585</v>
      </c>
      <c r="T155" s="20">
        <v>2.85350839</v>
      </c>
      <c r="U155" s="39"/>
    </row>
    <row r="156" spans="1:21" x14ac:dyDescent="0.2">
      <c r="A156" s="52"/>
      <c r="S156" s="11" t="s">
        <v>5622</v>
      </c>
      <c r="T156" s="20">
        <v>2.8418008499999998</v>
      </c>
      <c r="U156" s="39"/>
    </row>
    <row r="157" spans="1:21" x14ac:dyDescent="0.2">
      <c r="A157" s="52"/>
      <c r="S157" s="11" t="s">
        <v>4439</v>
      </c>
      <c r="T157" s="20">
        <v>2.83839576</v>
      </c>
      <c r="U157" s="39"/>
    </row>
    <row r="158" spans="1:21" x14ac:dyDescent="0.2">
      <c r="A158" s="52"/>
      <c r="S158" s="11" t="s">
        <v>13488</v>
      </c>
      <c r="T158" s="20">
        <v>2.8256087999999999</v>
      </c>
      <c r="U158" s="39"/>
    </row>
    <row r="159" spans="1:21" x14ac:dyDescent="0.2">
      <c r="A159" s="52"/>
      <c r="S159" s="11" t="s">
        <v>14821</v>
      </c>
      <c r="T159" s="20">
        <v>2.8244664199999998</v>
      </c>
      <c r="U159" s="39"/>
    </row>
    <row r="160" spans="1:21" x14ac:dyDescent="0.2">
      <c r="A160" s="52"/>
      <c r="S160" s="11" t="s">
        <v>1146</v>
      </c>
      <c r="T160" s="20">
        <v>2.8244629099999998</v>
      </c>
      <c r="U160" s="39"/>
    </row>
    <row r="161" spans="1:21" x14ac:dyDescent="0.2">
      <c r="A161" s="52"/>
      <c r="S161" s="11" t="s">
        <v>14822</v>
      </c>
      <c r="T161" s="20">
        <v>2.824373</v>
      </c>
      <c r="U161" s="39"/>
    </row>
    <row r="162" spans="1:21" x14ac:dyDescent="0.2">
      <c r="A162" s="52"/>
      <c r="S162" s="11" t="s">
        <v>14823</v>
      </c>
      <c r="T162" s="20">
        <v>2.7984265100000001</v>
      </c>
      <c r="U162" s="39"/>
    </row>
    <row r="163" spans="1:21" x14ac:dyDescent="0.2">
      <c r="A163" s="52"/>
      <c r="S163" s="10" t="s">
        <v>11371</v>
      </c>
      <c r="T163" s="20">
        <v>2.7911792396759152</v>
      </c>
      <c r="U163" s="39"/>
    </row>
    <row r="164" spans="1:21" x14ac:dyDescent="0.2">
      <c r="A164" s="52"/>
      <c r="S164" s="10" t="s">
        <v>1670</v>
      </c>
      <c r="T164" s="20">
        <v>2.7583972946551407</v>
      </c>
      <c r="U164" s="39"/>
    </row>
    <row r="165" spans="1:21" x14ac:dyDescent="0.2">
      <c r="A165" s="52"/>
      <c r="S165" s="11" t="s">
        <v>12210</v>
      </c>
      <c r="T165" s="20">
        <v>2.7508854500000002</v>
      </c>
      <c r="U165" s="39"/>
    </row>
    <row r="166" spans="1:21" x14ac:dyDescent="0.2">
      <c r="A166" s="52"/>
      <c r="S166" s="11" t="s">
        <v>10728</v>
      </c>
      <c r="T166" s="20">
        <v>2.7414156099999998</v>
      </c>
      <c r="U166" s="39"/>
    </row>
    <row r="167" spans="1:21" x14ac:dyDescent="0.2">
      <c r="A167" s="52"/>
      <c r="S167" s="10" t="s">
        <v>14164</v>
      </c>
      <c r="T167" s="21">
        <v>2.7286739180665229</v>
      </c>
      <c r="U167" s="40"/>
    </row>
    <row r="168" spans="1:21" x14ac:dyDescent="0.2">
      <c r="A168" s="53"/>
      <c r="S168" s="11" t="s">
        <v>14178</v>
      </c>
      <c r="T168" s="20">
        <v>2.7277159700000002</v>
      </c>
      <c r="U168" s="39"/>
    </row>
    <row r="169" spans="1:21" x14ac:dyDescent="0.2">
      <c r="A169" s="52"/>
      <c r="S169" s="11" t="s">
        <v>13036</v>
      </c>
      <c r="T169" s="20">
        <v>2.7237521500000001</v>
      </c>
      <c r="U169" s="39"/>
    </row>
    <row r="170" spans="1:21" x14ac:dyDescent="0.2">
      <c r="A170" s="52"/>
      <c r="S170" s="11" t="s">
        <v>14824</v>
      </c>
      <c r="T170" s="20">
        <v>2.7062234200000002</v>
      </c>
      <c r="U170" s="39"/>
    </row>
    <row r="171" spans="1:21" x14ac:dyDescent="0.2">
      <c r="A171" s="52"/>
      <c r="S171" s="11" t="s">
        <v>3478</v>
      </c>
      <c r="T171" s="20">
        <v>2.6950409099999999</v>
      </c>
      <c r="U171" s="39"/>
    </row>
    <row r="172" spans="1:21" x14ac:dyDescent="0.2">
      <c r="A172" s="52"/>
      <c r="S172" s="10" t="s">
        <v>14825</v>
      </c>
      <c r="T172" s="20">
        <v>2.6926505093943405</v>
      </c>
      <c r="U172" s="39"/>
    </row>
    <row r="173" spans="1:21" x14ac:dyDescent="0.2">
      <c r="A173" s="52"/>
      <c r="S173" s="11" t="s">
        <v>9998</v>
      </c>
      <c r="T173" s="20">
        <v>2.6827469499999999</v>
      </c>
      <c r="U173" s="39"/>
    </row>
    <row r="174" spans="1:21" x14ac:dyDescent="0.2">
      <c r="A174" s="52"/>
      <c r="S174" s="10" t="s">
        <v>7499</v>
      </c>
      <c r="T174" s="20">
        <v>2.6806548415707212</v>
      </c>
      <c r="U174" s="39"/>
    </row>
    <row r="175" spans="1:21" x14ac:dyDescent="0.2">
      <c r="A175" s="52"/>
      <c r="S175" s="11" t="s">
        <v>14826</v>
      </c>
      <c r="T175" s="20">
        <v>2.6793032800000001</v>
      </c>
      <c r="U175" s="39"/>
    </row>
    <row r="176" spans="1:21" x14ac:dyDescent="0.2">
      <c r="A176" s="52"/>
      <c r="S176" s="11" t="s">
        <v>8353</v>
      </c>
      <c r="T176" s="20">
        <v>2.6655700100000002</v>
      </c>
      <c r="U176" s="39"/>
    </row>
    <row r="177" spans="1:21" x14ac:dyDescent="0.2">
      <c r="A177" s="52"/>
      <c r="S177" s="11" t="s">
        <v>5394</v>
      </c>
      <c r="T177" s="20">
        <v>2.6556687499999998</v>
      </c>
      <c r="U177" s="39"/>
    </row>
    <row r="178" spans="1:21" x14ac:dyDescent="0.2">
      <c r="A178" s="52"/>
      <c r="S178" s="11" t="s">
        <v>5983</v>
      </c>
      <c r="T178" s="20">
        <v>2.6459550300000001</v>
      </c>
      <c r="U178" s="39"/>
    </row>
    <row r="179" spans="1:21" x14ac:dyDescent="0.2">
      <c r="A179" s="52"/>
      <c r="S179" s="11" t="s">
        <v>13871</v>
      </c>
      <c r="T179" s="20">
        <v>2.63493887</v>
      </c>
      <c r="U179" s="39"/>
    </row>
    <row r="180" spans="1:21" x14ac:dyDescent="0.2">
      <c r="A180" s="52"/>
      <c r="S180" s="11" t="s">
        <v>14827</v>
      </c>
      <c r="T180" s="20">
        <v>2.6260325600000001</v>
      </c>
      <c r="U180" s="39"/>
    </row>
    <row r="181" spans="1:21" x14ac:dyDescent="0.2">
      <c r="A181" s="52"/>
      <c r="S181" s="11" t="s">
        <v>14174</v>
      </c>
      <c r="T181" s="20">
        <v>2.6250738600000001</v>
      </c>
      <c r="U181" s="39"/>
    </row>
    <row r="182" spans="1:21" x14ac:dyDescent="0.2">
      <c r="A182" s="52"/>
      <c r="S182" s="11" t="s">
        <v>7323</v>
      </c>
      <c r="T182" s="20">
        <v>2.6221794300000001</v>
      </c>
      <c r="U182" s="39"/>
    </row>
    <row r="183" spans="1:21" x14ac:dyDescent="0.2">
      <c r="A183" s="52"/>
      <c r="S183" s="11" t="s">
        <v>14353</v>
      </c>
      <c r="T183" s="20">
        <v>2.6156528899999998</v>
      </c>
      <c r="U183" s="39"/>
    </row>
    <row r="184" spans="1:21" x14ac:dyDescent="0.2">
      <c r="A184" s="52"/>
      <c r="S184" s="10" t="s">
        <v>14828</v>
      </c>
      <c r="T184" s="20">
        <v>2.6129819099335019</v>
      </c>
      <c r="U184" s="39"/>
    </row>
    <row r="185" spans="1:21" x14ac:dyDescent="0.2">
      <c r="A185" s="52"/>
      <c r="S185" s="11" t="s">
        <v>8401</v>
      </c>
      <c r="T185" s="20">
        <v>2.60958449</v>
      </c>
      <c r="U185" s="39"/>
    </row>
    <row r="186" spans="1:21" x14ac:dyDescent="0.2">
      <c r="A186" s="52"/>
      <c r="S186" s="11" t="s">
        <v>11795</v>
      </c>
      <c r="T186" s="20">
        <v>2.6003555899999999</v>
      </c>
      <c r="U186" s="39"/>
    </row>
    <row r="187" spans="1:21" x14ac:dyDescent="0.2">
      <c r="A187" s="52"/>
      <c r="S187" s="11" t="s">
        <v>5726</v>
      </c>
      <c r="T187" s="20">
        <v>2.59333298</v>
      </c>
      <c r="U187" s="39"/>
    </row>
    <row r="188" spans="1:21" x14ac:dyDescent="0.2">
      <c r="A188" s="52"/>
      <c r="S188" s="11" t="s">
        <v>7991</v>
      </c>
      <c r="T188" s="20">
        <v>2.5931230799999998</v>
      </c>
      <c r="U188" s="39"/>
    </row>
    <row r="189" spans="1:21" x14ac:dyDescent="0.2">
      <c r="A189" s="52"/>
      <c r="S189" s="11" t="s">
        <v>14829</v>
      </c>
      <c r="T189" s="20">
        <v>2.5739457699999999</v>
      </c>
      <c r="U189" s="39"/>
    </row>
    <row r="190" spans="1:21" x14ac:dyDescent="0.2">
      <c r="A190" s="52"/>
      <c r="S190" s="11" t="s">
        <v>12757</v>
      </c>
      <c r="T190" s="20">
        <v>2.57074034</v>
      </c>
      <c r="U190" s="39"/>
    </row>
    <row r="191" spans="1:21" x14ac:dyDescent="0.2">
      <c r="A191" s="52"/>
      <c r="S191" s="10" t="s">
        <v>14830</v>
      </c>
      <c r="T191" s="20">
        <v>2.5360633189098243</v>
      </c>
      <c r="U191" s="39"/>
    </row>
    <row r="192" spans="1:21" x14ac:dyDescent="0.2">
      <c r="A192" s="52"/>
      <c r="S192" s="11" t="s">
        <v>14515</v>
      </c>
      <c r="T192" s="20">
        <v>2.52863543</v>
      </c>
      <c r="U192" s="39"/>
    </row>
    <row r="193" spans="1:21" x14ac:dyDescent="0.2">
      <c r="A193" s="52"/>
      <c r="S193" s="10" t="s">
        <v>10155</v>
      </c>
      <c r="T193" s="20">
        <v>2.5136782550893848</v>
      </c>
      <c r="U193" s="39"/>
    </row>
    <row r="194" spans="1:21" x14ac:dyDescent="0.2">
      <c r="A194" s="52"/>
      <c r="S194" s="11" t="s">
        <v>14524</v>
      </c>
      <c r="T194" s="20">
        <v>2.5135381300000001</v>
      </c>
      <c r="U194" s="39"/>
    </row>
    <row r="195" spans="1:21" x14ac:dyDescent="0.2">
      <c r="A195" s="52"/>
      <c r="S195" s="11" t="s">
        <v>14831</v>
      </c>
      <c r="T195" s="20">
        <v>2.5104880199999999</v>
      </c>
      <c r="U195" s="39"/>
    </row>
    <row r="196" spans="1:21" x14ac:dyDescent="0.2">
      <c r="A196" s="52"/>
      <c r="S196" s="11" t="s">
        <v>9285</v>
      </c>
      <c r="T196" s="20">
        <v>2.4946958399999999</v>
      </c>
      <c r="U196" s="39"/>
    </row>
    <row r="197" spans="1:21" x14ac:dyDescent="0.2">
      <c r="A197" s="52"/>
      <c r="S197" s="11" t="s">
        <v>3539</v>
      </c>
      <c r="T197" s="20">
        <v>2.4944524299999999</v>
      </c>
      <c r="U197" s="39"/>
    </row>
    <row r="198" spans="1:21" x14ac:dyDescent="0.2">
      <c r="A198" s="52"/>
      <c r="S198" s="10" t="s">
        <v>14264</v>
      </c>
      <c r="T198" s="21">
        <v>2.4658827188051093</v>
      </c>
      <c r="U198" s="40"/>
    </row>
    <row r="199" spans="1:21" x14ac:dyDescent="0.2">
      <c r="A199" s="52"/>
      <c r="S199" s="11" t="s">
        <v>5920</v>
      </c>
      <c r="T199" s="20">
        <v>2.4633087200000001</v>
      </c>
      <c r="U199" s="39"/>
    </row>
    <row r="200" spans="1:21" x14ac:dyDescent="0.2">
      <c r="A200" s="52"/>
      <c r="S200" s="10" t="s">
        <v>14832</v>
      </c>
      <c r="T200" s="21">
        <v>2.4557334764799923</v>
      </c>
      <c r="U200" s="40"/>
    </row>
    <row r="201" spans="1:21" x14ac:dyDescent="0.2">
      <c r="A201" s="52"/>
      <c r="S201" s="11" t="s">
        <v>14320</v>
      </c>
      <c r="T201" s="20">
        <v>2.44814482</v>
      </c>
      <c r="U201" s="39"/>
    </row>
    <row r="202" spans="1:21" x14ac:dyDescent="0.2">
      <c r="A202" s="52"/>
      <c r="S202" s="11" t="s">
        <v>952</v>
      </c>
      <c r="T202" s="20">
        <v>2.44797508</v>
      </c>
      <c r="U202" s="39"/>
    </row>
    <row r="203" spans="1:21" x14ac:dyDescent="0.2">
      <c r="A203" s="52"/>
      <c r="S203" s="11" t="s">
        <v>13794</v>
      </c>
      <c r="T203" s="20">
        <v>2.4469431199999998</v>
      </c>
      <c r="U203" s="39"/>
    </row>
    <row r="204" spans="1:21" x14ac:dyDescent="0.2">
      <c r="A204" s="52"/>
      <c r="S204" s="11" t="s">
        <v>11944</v>
      </c>
      <c r="T204" s="20">
        <v>2.4374346600000001</v>
      </c>
      <c r="U204" s="39"/>
    </row>
    <row r="205" spans="1:21" x14ac:dyDescent="0.2">
      <c r="A205" s="52"/>
      <c r="S205" s="11" t="s">
        <v>10180</v>
      </c>
      <c r="T205" s="20">
        <v>2.4317500999999999</v>
      </c>
      <c r="U205" s="39"/>
    </row>
    <row r="206" spans="1:21" x14ac:dyDescent="0.2">
      <c r="A206" s="52"/>
      <c r="S206" s="11" t="s">
        <v>6557</v>
      </c>
      <c r="T206" s="20">
        <v>2.42257934</v>
      </c>
      <c r="U206" s="39"/>
    </row>
    <row r="207" spans="1:21" x14ac:dyDescent="0.2">
      <c r="A207" s="53"/>
      <c r="S207" s="10" t="s">
        <v>14833</v>
      </c>
      <c r="T207" s="20">
        <v>2.4043285577118638</v>
      </c>
      <c r="U207" s="39"/>
    </row>
    <row r="208" spans="1:21" x14ac:dyDescent="0.2">
      <c r="A208" s="52"/>
      <c r="S208" s="10" t="s">
        <v>14834</v>
      </c>
      <c r="T208" s="20">
        <v>2.3896511107642122</v>
      </c>
      <c r="U208" s="39"/>
    </row>
    <row r="209" spans="1:21" x14ac:dyDescent="0.2">
      <c r="A209" s="52"/>
      <c r="S209" s="11" t="s">
        <v>5754</v>
      </c>
      <c r="T209" s="20">
        <v>2.3840881299999999</v>
      </c>
      <c r="U209" s="39"/>
    </row>
    <row r="210" spans="1:21" x14ac:dyDescent="0.2">
      <c r="A210" s="52"/>
      <c r="S210" s="11" t="s">
        <v>5654</v>
      </c>
      <c r="T210" s="20">
        <v>2.3740384899999998</v>
      </c>
      <c r="U210" s="39"/>
    </row>
    <row r="211" spans="1:21" x14ac:dyDescent="0.2">
      <c r="A211" s="52"/>
      <c r="S211" s="11" t="s">
        <v>7382</v>
      </c>
      <c r="T211" s="20">
        <v>2.3732021699999999</v>
      </c>
      <c r="U211" s="39"/>
    </row>
    <row r="212" spans="1:21" x14ac:dyDescent="0.2">
      <c r="A212" s="52"/>
      <c r="S212" s="10" t="s">
        <v>14835</v>
      </c>
      <c r="T212" s="20">
        <v>2.3613504247647152</v>
      </c>
      <c r="U212" s="39"/>
    </row>
    <row r="213" spans="1:21" x14ac:dyDescent="0.2">
      <c r="A213" s="52"/>
      <c r="S213" s="11" t="s">
        <v>5943</v>
      </c>
      <c r="T213" s="20">
        <v>2.3589548100000002</v>
      </c>
      <c r="U213" s="39"/>
    </row>
    <row r="214" spans="1:21" x14ac:dyDescent="0.2">
      <c r="A214" s="52"/>
      <c r="S214" s="11" t="s">
        <v>14836</v>
      </c>
      <c r="T214" s="20">
        <v>2.34472418</v>
      </c>
      <c r="U214" s="39"/>
    </row>
    <row r="215" spans="1:21" x14ac:dyDescent="0.2">
      <c r="A215" s="52"/>
      <c r="S215" s="11" t="s">
        <v>4979</v>
      </c>
      <c r="T215" s="20">
        <v>2.3367719299999998</v>
      </c>
      <c r="U215" s="39"/>
    </row>
    <row r="216" spans="1:21" x14ac:dyDescent="0.2">
      <c r="A216" s="52"/>
      <c r="S216" s="11" t="s">
        <v>5171</v>
      </c>
      <c r="T216" s="20">
        <v>2.3200671100000001</v>
      </c>
      <c r="U216" s="39"/>
    </row>
    <row r="217" spans="1:21" x14ac:dyDescent="0.2">
      <c r="A217" s="52"/>
      <c r="S217" s="11" t="s">
        <v>14435</v>
      </c>
      <c r="T217" s="20">
        <v>2.31945413</v>
      </c>
      <c r="U217" s="39"/>
    </row>
    <row r="218" spans="1:21" x14ac:dyDescent="0.2">
      <c r="A218" s="52"/>
      <c r="S218" s="10" t="s">
        <v>14837</v>
      </c>
      <c r="T218" s="20">
        <v>2.3074640686789936</v>
      </c>
      <c r="U218" s="39"/>
    </row>
    <row r="219" spans="1:21" x14ac:dyDescent="0.2">
      <c r="A219" s="52"/>
      <c r="S219" s="10" t="s">
        <v>14838</v>
      </c>
      <c r="T219" s="20">
        <v>2.2942140484523303</v>
      </c>
      <c r="U219" s="39"/>
    </row>
    <row r="220" spans="1:21" x14ac:dyDescent="0.2">
      <c r="A220" s="52"/>
      <c r="S220" s="10" t="s">
        <v>14394</v>
      </c>
      <c r="T220" s="20">
        <v>2.2870691712641826</v>
      </c>
      <c r="U220" s="39"/>
    </row>
    <row r="221" spans="1:21" x14ac:dyDescent="0.2">
      <c r="A221" s="52"/>
      <c r="S221" s="10" t="s">
        <v>6213</v>
      </c>
      <c r="T221" s="20">
        <v>2.2845523517470934</v>
      </c>
      <c r="U221" s="39"/>
    </row>
    <row r="222" spans="1:21" x14ac:dyDescent="0.2">
      <c r="A222" s="52"/>
      <c r="S222" s="11" t="s">
        <v>14839</v>
      </c>
      <c r="T222" s="20">
        <v>2.28333005</v>
      </c>
      <c r="U222" s="39"/>
    </row>
    <row r="223" spans="1:21" x14ac:dyDescent="0.2">
      <c r="A223" s="52"/>
      <c r="S223" s="10" t="s">
        <v>14653</v>
      </c>
      <c r="T223" s="20">
        <v>2.2795263866027669</v>
      </c>
      <c r="U223" s="39"/>
    </row>
    <row r="224" spans="1:21" x14ac:dyDescent="0.2">
      <c r="A224" s="52"/>
      <c r="S224" s="10" t="s">
        <v>6272</v>
      </c>
      <c r="T224" s="20">
        <v>2.2777352857525219</v>
      </c>
      <c r="U224" s="39"/>
    </row>
    <row r="225" spans="1:21" x14ac:dyDescent="0.2">
      <c r="A225" s="52"/>
      <c r="S225" s="11" t="s">
        <v>11496</v>
      </c>
      <c r="T225" s="20">
        <v>2.2734654299999999</v>
      </c>
      <c r="U225" s="39"/>
    </row>
    <row r="226" spans="1:21" x14ac:dyDescent="0.2">
      <c r="A226" s="52"/>
      <c r="S226" s="11" t="s">
        <v>14179</v>
      </c>
      <c r="T226" s="20">
        <v>2.2527639000000002</v>
      </c>
      <c r="U226" s="39"/>
    </row>
    <row r="227" spans="1:21" x14ac:dyDescent="0.2">
      <c r="A227" s="52"/>
      <c r="S227" s="11" t="s">
        <v>6609</v>
      </c>
      <c r="T227" s="20">
        <v>2.2526991999999999</v>
      </c>
      <c r="U227" s="39"/>
    </row>
    <row r="228" spans="1:21" x14ac:dyDescent="0.2">
      <c r="A228" s="52"/>
      <c r="S228" s="11" t="s">
        <v>14840</v>
      </c>
      <c r="T228" s="20">
        <v>2.2416322900000001</v>
      </c>
      <c r="U228" s="39"/>
    </row>
    <row r="229" spans="1:21" x14ac:dyDescent="0.2">
      <c r="A229" s="52"/>
      <c r="S229" s="10" t="s">
        <v>14841</v>
      </c>
      <c r="T229" s="20">
        <v>2.2353488547905687</v>
      </c>
      <c r="U229" s="39"/>
    </row>
    <row r="230" spans="1:21" x14ac:dyDescent="0.2">
      <c r="A230" s="52"/>
      <c r="S230" s="11" t="s">
        <v>14842</v>
      </c>
      <c r="T230" s="20">
        <v>2.2325585999999999</v>
      </c>
      <c r="U230" s="39"/>
    </row>
    <row r="231" spans="1:21" x14ac:dyDescent="0.2">
      <c r="A231" s="52"/>
      <c r="S231" s="11" t="s">
        <v>11179</v>
      </c>
      <c r="T231" s="20">
        <v>2.2288679600000001</v>
      </c>
      <c r="U231" s="39"/>
    </row>
    <row r="232" spans="1:21" x14ac:dyDescent="0.2">
      <c r="A232" s="52"/>
      <c r="S232" s="10" t="s">
        <v>14843</v>
      </c>
      <c r="T232" s="20">
        <v>2.2273063436391891</v>
      </c>
      <c r="U232" s="39"/>
    </row>
    <row r="233" spans="1:21" x14ac:dyDescent="0.2">
      <c r="A233" s="52"/>
      <c r="S233" s="11" t="s">
        <v>7634</v>
      </c>
      <c r="T233" s="20">
        <v>2.2172895499999998</v>
      </c>
      <c r="U233" s="39"/>
    </row>
    <row r="234" spans="1:21" x14ac:dyDescent="0.2">
      <c r="A234" s="52"/>
      <c r="S234" s="10" t="s">
        <v>14844</v>
      </c>
      <c r="T234" s="20">
        <v>2.2010617794804963</v>
      </c>
      <c r="U234" s="39"/>
    </row>
    <row r="235" spans="1:21" x14ac:dyDescent="0.2">
      <c r="A235" s="52"/>
      <c r="S235" s="11" t="s">
        <v>207</v>
      </c>
      <c r="T235" s="20">
        <v>2.1934022799999999</v>
      </c>
      <c r="U235" s="39"/>
    </row>
    <row r="236" spans="1:21" x14ac:dyDescent="0.2">
      <c r="A236" s="52"/>
      <c r="S236" s="11" t="s">
        <v>14845</v>
      </c>
      <c r="T236" s="20">
        <v>2.1915128199999998</v>
      </c>
      <c r="U236" s="39"/>
    </row>
    <row r="237" spans="1:21" x14ac:dyDescent="0.2">
      <c r="A237" s="52"/>
      <c r="S237" s="11" t="s">
        <v>303</v>
      </c>
      <c r="T237" s="20">
        <v>2.1821675200000001</v>
      </c>
      <c r="U237" s="39"/>
    </row>
    <row r="238" spans="1:21" x14ac:dyDescent="0.2">
      <c r="A238" s="52"/>
      <c r="S238" s="11" t="s">
        <v>14306</v>
      </c>
      <c r="T238" s="20">
        <v>2.1758025600000002</v>
      </c>
      <c r="U238" s="39"/>
    </row>
    <row r="239" spans="1:21" x14ac:dyDescent="0.2">
      <c r="A239" s="52"/>
      <c r="S239" s="11" t="s">
        <v>14259</v>
      </c>
      <c r="T239" s="20">
        <v>2.17545952</v>
      </c>
      <c r="U239" s="39"/>
    </row>
    <row r="240" spans="1:21" x14ac:dyDescent="0.2">
      <c r="A240" s="52"/>
      <c r="S240" s="11" t="s">
        <v>4539</v>
      </c>
      <c r="T240" s="20">
        <v>2.1642393700000002</v>
      </c>
      <c r="U240" s="39"/>
    </row>
    <row r="241" spans="1:21" x14ac:dyDescent="0.2">
      <c r="A241" s="52"/>
      <c r="S241" s="11" t="s">
        <v>415</v>
      </c>
      <c r="T241" s="20">
        <v>2.15698086</v>
      </c>
      <c r="U241" s="39"/>
    </row>
    <row r="242" spans="1:21" x14ac:dyDescent="0.2">
      <c r="A242" s="52"/>
      <c r="S242" s="11" t="s">
        <v>2405</v>
      </c>
      <c r="T242" s="20">
        <v>2.1461375500000002</v>
      </c>
      <c r="U242" s="39"/>
    </row>
    <row r="243" spans="1:21" x14ac:dyDescent="0.2">
      <c r="A243" s="52"/>
      <c r="S243" s="11" t="s">
        <v>711</v>
      </c>
      <c r="T243" s="20">
        <v>2.1460555700000001</v>
      </c>
      <c r="U243" s="39"/>
    </row>
    <row r="244" spans="1:21" x14ac:dyDescent="0.2">
      <c r="A244" s="52"/>
      <c r="S244" s="11" t="s">
        <v>5151</v>
      </c>
      <c r="T244" s="20">
        <v>2.1402167599999999</v>
      </c>
      <c r="U244" s="39"/>
    </row>
    <row r="245" spans="1:21" x14ac:dyDescent="0.2">
      <c r="A245" s="52"/>
      <c r="S245" s="11" t="s">
        <v>14846</v>
      </c>
      <c r="T245" s="20">
        <v>2.1308901699999998</v>
      </c>
      <c r="U245" s="39"/>
    </row>
    <row r="246" spans="1:21" x14ac:dyDescent="0.2">
      <c r="A246" s="52"/>
      <c r="S246" s="11" t="s">
        <v>5800</v>
      </c>
      <c r="T246" s="20">
        <v>2.1268589100000002</v>
      </c>
      <c r="U246" s="39"/>
    </row>
    <row r="247" spans="1:21" x14ac:dyDescent="0.2">
      <c r="A247" s="52"/>
      <c r="S247" s="11" t="s">
        <v>14452</v>
      </c>
      <c r="T247" s="20">
        <v>2.11454648</v>
      </c>
      <c r="U247" s="39"/>
    </row>
    <row r="248" spans="1:21" x14ac:dyDescent="0.2">
      <c r="A248" s="52"/>
      <c r="S248" s="11" t="s">
        <v>14732</v>
      </c>
      <c r="T248" s="20">
        <v>2.1104118999999999</v>
      </c>
      <c r="U248" s="39"/>
    </row>
    <row r="249" spans="1:21" x14ac:dyDescent="0.2">
      <c r="A249" s="52"/>
      <c r="S249" s="11" t="s">
        <v>1123</v>
      </c>
      <c r="T249" s="20">
        <v>2.1018122699999999</v>
      </c>
      <c r="U249" s="39"/>
    </row>
    <row r="250" spans="1:21" x14ac:dyDescent="0.2">
      <c r="A250" s="52"/>
      <c r="S250" s="11" t="s">
        <v>2511</v>
      </c>
      <c r="T250" s="20">
        <v>2.0950321299999999</v>
      </c>
      <c r="U250" s="39"/>
    </row>
    <row r="251" spans="1:21" x14ac:dyDescent="0.2">
      <c r="A251" s="52"/>
      <c r="S251" s="11" t="s">
        <v>1295</v>
      </c>
      <c r="T251" s="20">
        <v>2.0911383699999999</v>
      </c>
      <c r="U251" s="39"/>
    </row>
    <row r="252" spans="1:21" x14ac:dyDescent="0.2">
      <c r="A252" s="52"/>
      <c r="S252" s="10" t="s">
        <v>8887</v>
      </c>
      <c r="T252" s="20">
        <v>2.0871557869853428</v>
      </c>
      <c r="U252" s="39"/>
    </row>
    <row r="253" spans="1:21" x14ac:dyDescent="0.2">
      <c r="A253" s="52"/>
      <c r="S253" s="11" t="s">
        <v>14029</v>
      </c>
      <c r="T253" s="20">
        <v>2.07907866</v>
      </c>
      <c r="U253" s="39"/>
    </row>
    <row r="254" spans="1:21" x14ac:dyDescent="0.2">
      <c r="A254" s="52"/>
      <c r="S254" s="11" t="s">
        <v>10801</v>
      </c>
      <c r="T254" s="20">
        <v>2.0747279999999999</v>
      </c>
      <c r="U254" s="39"/>
    </row>
    <row r="255" spans="1:21" x14ac:dyDescent="0.2">
      <c r="A255" s="52"/>
      <c r="S255" s="11" t="s">
        <v>14000</v>
      </c>
      <c r="T255" s="20">
        <v>2.0621125600000001</v>
      </c>
      <c r="U255" s="39"/>
    </row>
    <row r="256" spans="1:21" x14ac:dyDescent="0.2">
      <c r="A256" s="53"/>
      <c r="S256" s="11" t="s">
        <v>11573</v>
      </c>
      <c r="T256" s="20">
        <v>2.054189</v>
      </c>
      <c r="U256" s="39"/>
    </row>
    <row r="257" spans="1:21" x14ac:dyDescent="0.2">
      <c r="A257" s="52"/>
      <c r="S257" s="11" t="s">
        <v>14425</v>
      </c>
      <c r="T257" s="20">
        <v>2.0410746</v>
      </c>
      <c r="U257" s="39"/>
    </row>
    <row r="258" spans="1:21" x14ac:dyDescent="0.2">
      <c r="A258" s="52"/>
      <c r="S258" s="11" t="s">
        <v>6070</v>
      </c>
      <c r="T258" s="20">
        <v>2.0385904099999999</v>
      </c>
      <c r="U258" s="39"/>
    </row>
    <row r="259" spans="1:21" x14ac:dyDescent="0.2">
      <c r="A259" s="52"/>
      <c r="S259" s="11" t="s">
        <v>3546</v>
      </c>
      <c r="T259" s="20">
        <v>2.0302970400000002</v>
      </c>
      <c r="U259" s="39"/>
    </row>
    <row r="260" spans="1:21" x14ac:dyDescent="0.2">
      <c r="A260" s="52"/>
      <c r="S260" s="11" t="s">
        <v>1674</v>
      </c>
      <c r="T260" s="20">
        <v>2.0183022500000001</v>
      </c>
      <c r="U260" s="39"/>
    </row>
    <row r="261" spans="1:21" x14ac:dyDescent="0.2">
      <c r="A261" s="52"/>
      <c r="S261" s="11" t="s">
        <v>14117</v>
      </c>
      <c r="T261" s="20">
        <v>2.0162053499999999</v>
      </c>
      <c r="U261" s="39"/>
    </row>
    <row r="262" spans="1:21" x14ac:dyDescent="0.2">
      <c r="A262" s="52"/>
      <c r="S262" s="10" t="s">
        <v>14847</v>
      </c>
      <c r="T262" s="21">
        <v>2.0051368904255464</v>
      </c>
      <c r="U262" s="40"/>
    </row>
    <row r="263" spans="1:21" x14ac:dyDescent="0.2">
      <c r="A263" s="52"/>
      <c r="S263" s="22" t="s">
        <v>14848</v>
      </c>
      <c r="T263" s="23" t="s">
        <v>14849</v>
      </c>
      <c r="U263" s="39" t="s">
        <v>14929</v>
      </c>
    </row>
    <row r="264" spans="1:21" x14ac:dyDescent="0.2">
      <c r="A264" s="53"/>
      <c r="S264" s="22" t="s">
        <v>6225</v>
      </c>
      <c r="T264" s="23" t="s">
        <v>14849</v>
      </c>
      <c r="U264" s="39" t="s">
        <v>14888</v>
      </c>
    </row>
    <row r="265" spans="1:21" x14ac:dyDescent="0.2">
      <c r="A265" s="52"/>
      <c r="S265" s="22" t="s">
        <v>14850</v>
      </c>
      <c r="T265" s="23" t="s">
        <v>14849</v>
      </c>
      <c r="U265" s="39"/>
    </row>
    <row r="266" spans="1:21" x14ac:dyDescent="0.2">
      <c r="A266" s="52"/>
      <c r="S266" s="22" t="s">
        <v>14851</v>
      </c>
      <c r="T266" s="23" t="s">
        <v>14849</v>
      </c>
      <c r="U266" s="39"/>
    </row>
    <row r="267" spans="1:21" x14ac:dyDescent="0.2">
      <c r="A267" s="52"/>
      <c r="S267" s="22" t="s">
        <v>14163</v>
      </c>
      <c r="T267" s="23" t="s">
        <v>14849</v>
      </c>
      <c r="U267" s="39"/>
    </row>
    <row r="268" spans="1:21" x14ac:dyDescent="0.2">
      <c r="A268" s="52"/>
      <c r="S268" s="22" t="s">
        <v>14852</v>
      </c>
      <c r="T268" s="23" t="s">
        <v>14849</v>
      </c>
      <c r="U268" s="39"/>
    </row>
    <row r="269" spans="1:21" x14ac:dyDescent="0.2">
      <c r="A269" s="52"/>
      <c r="S269" s="22" t="s">
        <v>14853</v>
      </c>
      <c r="T269" s="23" t="s">
        <v>14849</v>
      </c>
      <c r="U269" s="39"/>
    </row>
    <row r="270" spans="1:21" x14ac:dyDescent="0.2">
      <c r="A270" s="52"/>
      <c r="S270" s="22" t="s">
        <v>14183</v>
      </c>
      <c r="T270" s="23" t="s">
        <v>14849</v>
      </c>
      <c r="U270" s="39"/>
    </row>
    <row r="271" spans="1:21" x14ac:dyDescent="0.2">
      <c r="A271" s="52"/>
      <c r="S271" s="22" t="s">
        <v>14165</v>
      </c>
      <c r="T271" s="23" t="s">
        <v>14849</v>
      </c>
      <c r="U271" s="39"/>
    </row>
    <row r="272" spans="1:21" x14ac:dyDescent="0.2">
      <c r="A272" s="52"/>
      <c r="S272" s="22" t="s">
        <v>14854</v>
      </c>
      <c r="T272" s="23" t="s">
        <v>14849</v>
      </c>
      <c r="U272" s="39"/>
    </row>
    <row r="273" spans="1:21" x14ac:dyDescent="0.2">
      <c r="A273" s="52"/>
      <c r="S273" s="22" t="s">
        <v>14855</v>
      </c>
      <c r="T273" s="23" t="s">
        <v>14849</v>
      </c>
      <c r="U273" s="39"/>
    </row>
    <row r="274" spans="1:21" x14ac:dyDescent="0.2">
      <c r="A274" s="52"/>
      <c r="S274" s="22" t="s">
        <v>11544</v>
      </c>
      <c r="T274" s="23" t="s">
        <v>14849</v>
      </c>
      <c r="U274" s="39"/>
    </row>
    <row r="275" spans="1:21" x14ac:dyDescent="0.2">
      <c r="A275" s="52"/>
      <c r="S275" s="22" t="s">
        <v>10878</v>
      </c>
      <c r="T275" s="23" t="s">
        <v>14849</v>
      </c>
      <c r="U275" s="39"/>
    </row>
    <row r="276" spans="1:21" x14ac:dyDescent="0.2">
      <c r="A276" s="52"/>
      <c r="S276" s="22" t="s">
        <v>14856</v>
      </c>
      <c r="T276" s="23" t="s">
        <v>14849</v>
      </c>
      <c r="U276" s="39"/>
    </row>
    <row r="277" spans="1:21" x14ac:dyDescent="0.2">
      <c r="A277" s="52"/>
      <c r="S277" s="22" t="s">
        <v>14857</v>
      </c>
      <c r="T277" s="23" t="s">
        <v>14849</v>
      </c>
      <c r="U277" s="39"/>
    </row>
    <row r="278" spans="1:21" x14ac:dyDescent="0.2">
      <c r="A278" s="52"/>
      <c r="S278" s="22" t="s">
        <v>14858</v>
      </c>
      <c r="T278" s="23" t="s">
        <v>14849</v>
      </c>
      <c r="U278" s="39"/>
    </row>
    <row r="279" spans="1:21" x14ac:dyDescent="0.2">
      <c r="A279" s="52"/>
      <c r="S279" s="22" t="s">
        <v>14859</v>
      </c>
      <c r="T279" s="23" t="s">
        <v>14849</v>
      </c>
      <c r="U279" s="39"/>
    </row>
    <row r="280" spans="1:21" x14ac:dyDescent="0.2">
      <c r="A280" s="52"/>
      <c r="S280" s="22" t="s">
        <v>14860</v>
      </c>
      <c r="T280" s="23" t="s">
        <v>14849</v>
      </c>
      <c r="U280" s="39"/>
    </row>
    <row r="281" spans="1:21" x14ac:dyDescent="0.2">
      <c r="A281" s="52"/>
      <c r="S281" s="22" t="s">
        <v>14516</v>
      </c>
      <c r="T281" s="23" t="s">
        <v>14849</v>
      </c>
      <c r="U281" s="39"/>
    </row>
    <row r="282" spans="1:21" x14ac:dyDescent="0.2">
      <c r="A282" s="52"/>
      <c r="S282" s="22" t="s">
        <v>14861</v>
      </c>
      <c r="T282" s="23" t="s">
        <v>14849</v>
      </c>
      <c r="U282" s="39"/>
    </row>
    <row r="283" spans="1:21" x14ac:dyDescent="0.2">
      <c r="A283" s="52"/>
      <c r="S283" s="22" t="s">
        <v>13446</v>
      </c>
      <c r="T283" s="23" t="s">
        <v>14849</v>
      </c>
      <c r="U283" s="39"/>
    </row>
    <row r="284" spans="1:21" x14ac:dyDescent="0.2">
      <c r="A284" s="52"/>
      <c r="S284" s="22" t="s">
        <v>14160</v>
      </c>
      <c r="T284" s="23" t="s">
        <v>14849</v>
      </c>
      <c r="U284" s="39"/>
    </row>
    <row r="285" spans="1:21" x14ac:dyDescent="0.2">
      <c r="A285" s="52"/>
      <c r="S285" s="22" t="s">
        <v>4118</v>
      </c>
      <c r="T285" s="23" t="s">
        <v>14849</v>
      </c>
      <c r="U285" s="39"/>
    </row>
    <row r="286" spans="1:21" x14ac:dyDescent="0.2">
      <c r="A286" s="52"/>
      <c r="S286" s="22" t="s">
        <v>14862</v>
      </c>
      <c r="T286" s="23" t="s">
        <v>14849</v>
      </c>
      <c r="U286" s="39"/>
    </row>
    <row r="287" spans="1:21" x14ac:dyDescent="0.2">
      <c r="A287" s="52"/>
      <c r="S287" s="22" t="s">
        <v>8872</v>
      </c>
      <c r="T287" s="23" t="s">
        <v>14849</v>
      </c>
      <c r="U287" s="39"/>
    </row>
    <row r="288" spans="1:21" x14ac:dyDescent="0.2">
      <c r="A288" s="52"/>
      <c r="S288" s="22" t="s">
        <v>11283</v>
      </c>
      <c r="T288" s="23" t="s">
        <v>14849</v>
      </c>
      <c r="U288" s="39"/>
    </row>
    <row r="289" spans="1:21" x14ac:dyDescent="0.2">
      <c r="A289" s="52"/>
      <c r="S289" s="22" t="s">
        <v>14863</v>
      </c>
      <c r="T289" s="23" t="s">
        <v>14849</v>
      </c>
      <c r="U289" s="39"/>
    </row>
    <row r="290" spans="1:21" x14ac:dyDescent="0.2">
      <c r="A290" s="52"/>
    </row>
    <row r="291" spans="1:21" x14ac:dyDescent="0.2">
      <c r="A291" s="52"/>
    </row>
    <row r="292" spans="1:21" x14ac:dyDescent="0.2">
      <c r="A292" s="52"/>
    </row>
    <row r="293" spans="1:21" x14ac:dyDescent="0.2">
      <c r="A293" s="52"/>
    </row>
    <row r="294" spans="1:21" x14ac:dyDescent="0.2">
      <c r="A294" s="52"/>
    </row>
    <row r="295" spans="1:21" x14ac:dyDescent="0.2">
      <c r="A295" s="52"/>
    </row>
    <row r="296" spans="1:21" x14ac:dyDescent="0.2">
      <c r="A296" s="52"/>
    </row>
    <row r="297" spans="1:21" x14ac:dyDescent="0.2">
      <c r="A297" s="52"/>
    </row>
    <row r="298" spans="1:21" x14ac:dyDescent="0.2">
      <c r="A298" s="52"/>
    </row>
    <row r="299" spans="1:21" x14ac:dyDescent="0.2">
      <c r="A299" s="52"/>
    </row>
    <row r="300" spans="1:21" x14ac:dyDescent="0.2">
      <c r="A300" s="52"/>
    </row>
    <row r="301" spans="1:21" x14ac:dyDescent="0.2">
      <c r="A301" s="52"/>
    </row>
    <row r="302" spans="1:21" x14ac:dyDescent="0.2">
      <c r="A302" s="52"/>
    </row>
    <row r="303" spans="1:21" x14ac:dyDescent="0.2">
      <c r="A303" s="53"/>
    </row>
    <row r="304" spans="1:21" x14ac:dyDescent="0.2">
      <c r="A304" s="53"/>
    </row>
    <row r="305" spans="1:1" x14ac:dyDescent="0.2">
      <c r="A305" s="52"/>
    </row>
    <row r="306" spans="1:1" x14ac:dyDescent="0.2">
      <c r="A306" s="52"/>
    </row>
    <row r="307" spans="1:1" x14ac:dyDescent="0.2">
      <c r="A307" s="53"/>
    </row>
    <row r="308" spans="1:1" x14ac:dyDescent="0.2">
      <c r="A308" s="52"/>
    </row>
    <row r="309" spans="1:1" x14ac:dyDescent="0.2">
      <c r="A309" s="52"/>
    </row>
    <row r="310" spans="1:1" x14ac:dyDescent="0.2">
      <c r="A310" s="52"/>
    </row>
    <row r="311" spans="1:1" x14ac:dyDescent="0.2">
      <c r="A311" s="52"/>
    </row>
    <row r="312" spans="1:1" x14ac:dyDescent="0.2">
      <c r="A312" s="52"/>
    </row>
    <row r="313" spans="1:1" x14ac:dyDescent="0.2">
      <c r="A313" s="52"/>
    </row>
    <row r="314" spans="1:1" x14ac:dyDescent="0.2">
      <c r="A314" s="52"/>
    </row>
    <row r="315" spans="1:1" x14ac:dyDescent="0.2">
      <c r="A315" s="52"/>
    </row>
    <row r="316" spans="1:1" x14ac:dyDescent="0.2">
      <c r="A316" s="52"/>
    </row>
    <row r="317" spans="1:1" x14ac:dyDescent="0.2">
      <c r="A317" s="52"/>
    </row>
    <row r="318" spans="1:1" x14ac:dyDescent="0.2">
      <c r="A318" s="52"/>
    </row>
    <row r="319" spans="1:1" x14ac:dyDescent="0.2">
      <c r="A319" s="52"/>
    </row>
    <row r="320" spans="1:1" x14ac:dyDescent="0.2">
      <c r="A320" s="53"/>
    </row>
    <row r="321" spans="1:1" x14ac:dyDescent="0.2">
      <c r="A321" s="52"/>
    </row>
    <row r="322" spans="1:1" x14ac:dyDescent="0.2">
      <c r="A322" s="52"/>
    </row>
    <row r="323" spans="1:1" x14ac:dyDescent="0.2">
      <c r="A323" s="52"/>
    </row>
    <row r="324" spans="1:1" x14ac:dyDescent="0.2">
      <c r="A324" s="53"/>
    </row>
    <row r="325" spans="1:1" x14ac:dyDescent="0.2">
      <c r="A325" s="52"/>
    </row>
    <row r="326" spans="1:1" x14ac:dyDescent="0.2">
      <c r="A326" s="52"/>
    </row>
    <row r="327" spans="1:1" x14ac:dyDescent="0.2">
      <c r="A327" s="52"/>
    </row>
    <row r="328" spans="1:1" x14ac:dyDescent="0.2">
      <c r="A328" s="52"/>
    </row>
    <row r="329" spans="1:1" x14ac:dyDescent="0.2">
      <c r="A329" s="52"/>
    </row>
    <row r="330" spans="1:1" x14ac:dyDescent="0.2">
      <c r="A330" s="52"/>
    </row>
    <row r="331" spans="1:1" x14ac:dyDescent="0.2">
      <c r="A331" s="52"/>
    </row>
    <row r="332" spans="1:1" x14ac:dyDescent="0.2">
      <c r="A332" s="52"/>
    </row>
    <row r="333" spans="1:1" x14ac:dyDescent="0.2">
      <c r="A333" s="52"/>
    </row>
    <row r="334" spans="1:1" x14ac:dyDescent="0.2">
      <c r="A334" s="53"/>
    </row>
    <row r="335" spans="1:1" x14ac:dyDescent="0.2">
      <c r="A335" s="52"/>
    </row>
    <row r="336" spans="1:1" x14ac:dyDescent="0.2">
      <c r="A336" s="52"/>
    </row>
    <row r="337" spans="1:1" x14ac:dyDescent="0.2">
      <c r="A337" s="52"/>
    </row>
    <row r="338" spans="1:1" x14ac:dyDescent="0.2">
      <c r="A338" s="52"/>
    </row>
    <row r="339" spans="1:1" x14ac:dyDescent="0.2">
      <c r="A339" s="52"/>
    </row>
    <row r="340" spans="1:1" x14ac:dyDescent="0.2">
      <c r="A340" s="52"/>
    </row>
    <row r="341" spans="1:1" x14ac:dyDescent="0.2">
      <c r="A341" s="52"/>
    </row>
    <row r="342" spans="1:1" x14ac:dyDescent="0.2">
      <c r="A342" s="52"/>
    </row>
    <row r="343" spans="1:1" x14ac:dyDescent="0.2">
      <c r="A343" s="52"/>
    </row>
    <row r="344" spans="1:1" x14ac:dyDescent="0.2">
      <c r="A344" s="52"/>
    </row>
    <row r="345" spans="1:1" x14ac:dyDescent="0.2">
      <c r="A345" s="52"/>
    </row>
    <row r="346" spans="1:1" x14ac:dyDescent="0.2">
      <c r="A346" s="52"/>
    </row>
    <row r="347" spans="1:1" x14ac:dyDescent="0.2">
      <c r="A347" s="52"/>
    </row>
    <row r="348" spans="1:1" x14ac:dyDescent="0.2">
      <c r="A348" s="52"/>
    </row>
    <row r="349" spans="1:1" x14ac:dyDescent="0.2">
      <c r="A349" s="53"/>
    </row>
    <row r="350" spans="1:1" x14ac:dyDescent="0.2">
      <c r="A350" s="52"/>
    </row>
    <row r="351" spans="1:1" x14ac:dyDescent="0.2">
      <c r="A351" s="52"/>
    </row>
    <row r="352" spans="1:1" x14ac:dyDescent="0.2">
      <c r="A352" s="52"/>
    </row>
    <row r="353" spans="1:1" x14ac:dyDescent="0.2">
      <c r="A353" s="52"/>
    </row>
    <row r="354" spans="1:1" x14ac:dyDescent="0.2">
      <c r="A354" s="52"/>
    </row>
    <row r="355" spans="1:1" x14ac:dyDescent="0.2">
      <c r="A355" s="52"/>
    </row>
    <row r="356" spans="1:1" x14ac:dyDescent="0.2">
      <c r="A356" s="52"/>
    </row>
    <row r="357" spans="1:1" x14ac:dyDescent="0.2">
      <c r="A357" s="52"/>
    </row>
    <row r="358" spans="1:1" x14ac:dyDescent="0.2">
      <c r="A358" s="52"/>
    </row>
    <row r="359" spans="1:1" x14ac:dyDescent="0.2">
      <c r="A359" s="52"/>
    </row>
    <row r="360" spans="1:1" x14ac:dyDescent="0.2">
      <c r="A360" s="52"/>
    </row>
    <row r="361" spans="1:1" x14ac:dyDescent="0.2">
      <c r="A361" s="52"/>
    </row>
    <row r="362" spans="1:1" x14ac:dyDescent="0.2">
      <c r="A362" s="52"/>
    </row>
    <row r="363" spans="1:1" x14ac:dyDescent="0.2">
      <c r="A363" s="52"/>
    </row>
    <row r="364" spans="1:1" x14ac:dyDescent="0.2">
      <c r="A364" s="52"/>
    </row>
    <row r="365" spans="1:1" x14ac:dyDescent="0.2">
      <c r="A365" s="52"/>
    </row>
    <row r="366" spans="1:1" x14ac:dyDescent="0.2">
      <c r="A366" s="52"/>
    </row>
    <row r="367" spans="1:1" x14ac:dyDescent="0.2">
      <c r="A367" s="52"/>
    </row>
    <row r="368" spans="1:1" x14ac:dyDescent="0.2">
      <c r="A368" s="52"/>
    </row>
    <row r="369" spans="1:1" x14ac:dyDescent="0.2">
      <c r="A369" s="52"/>
    </row>
    <row r="370" spans="1:1" x14ac:dyDescent="0.2">
      <c r="A370" s="53"/>
    </row>
    <row r="371" spans="1:1" x14ac:dyDescent="0.2">
      <c r="A371" s="52"/>
    </row>
    <row r="372" spans="1:1" x14ac:dyDescent="0.2">
      <c r="A372" s="52"/>
    </row>
    <row r="373" spans="1:1" x14ac:dyDescent="0.2">
      <c r="A373" s="52"/>
    </row>
    <row r="374" spans="1:1" x14ac:dyDescent="0.2">
      <c r="A374" s="52"/>
    </row>
    <row r="375" spans="1:1" x14ac:dyDescent="0.2">
      <c r="A375" s="52"/>
    </row>
    <row r="376" spans="1:1" x14ac:dyDescent="0.2">
      <c r="A376" s="52"/>
    </row>
    <row r="377" spans="1:1" x14ac:dyDescent="0.2">
      <c r="A377" s="52"/>
    </row>
    <row r="378" spans="1:1" x14ac:dyDescent="0.2">
      <c r="A378" s="52"/>
    </row>
    <row r="379" spans="1:1" x14ac:dyDescent="0.2">
      <c r="A379" s="52"/>
    </row>
    <row r="380" spans="1:1" x14ac:dyDescent="0.2">
      <c r="A380" s="52"/>
    </row>
    <row r="381" spans="1:1" x14ac:dyDescent="0.2">
      <c r="A381" s="52"/>
    </row>
    <row r="382" spans="1:1" x14ac:dyDescent="0.2">
      <c r="A382" s="52"/>
    </row>
    <row r="383" spans="1:1" x14ac:dyDescent="0.2">
      <c r="A383" s="52"/>
    </row>
    <row r="384" spans="1:1" x14ac:dyDescent="0.2">
      <c r="A384" s="52"/>
    </row>
    <row r="385" spans="1:1" x14ac:dyDescent="0.2">
      <c r="A385" s="52"/>
    </row>
    <row r="386" spans="1:1" x14ac:dyDescent="0.2">
      <c r="A386" s="52"/>
    </row>
    <row r="387" spans="1:1" x14ac:dyDescent="0.2">
      <c r="A387" s="52"/>
    </row>
    <row r="388" spans="1:1" x14ac:dyDescent="0.2">
      <c r="A388" s="52"/>
    </row>
    <row r="389" spans="1:1" x14ac:dyDescent="0.2">
      <c r="A389" s="52"/>
    </row>
    <row r="390" spans="1:1" x14ac:dyDescent="0.2">
      <c r="A390" s="52"/>
    </row>
    <row r="391" spans="1:1" x14ac:dyDescent="0.2">
      <c r="A391" s="52"/>
    </row>
    <row r="392" spans="1:1" x14ac:dyDescent="0.2">
      <c r="A392" s="52"/>
    </row>
    <row r="393" spans="1:1" x14ac:dyDescent="0.2">
      <c r="A393" s="52"/>
    </row>
    <row r="394" spans="1:1" x14ac:dyDescent="0.2">
      <c r="A394" s="52"/>
    </row>
    <row r="395" spans="1:1" x14ac:dyDescent="0.2">
      <c r="A395" s="52"/>
    </row>
    <row r="396" spans="1:1" x14ac:dyDescent="0.2">
      <c r="A396" s="53"/>
    </row>
    <row r="397" spans="1:1" x14ac:dyDescent="0.2">
      <c r="A397" s="53"/>
    </row>
    <row r="398" spans="1:1" x14ac:dyDescent="0.2">
      <c r="A398" s="52"/>
    </row>
    <row r="399" spans="1:1" x14ac:dyDescent="0.2">
      <c r="A399" s="52"/>
    </row>
    <row r="400" spans="1:1" x14ac:dyDescent="0.2">
      <c r="A400" s="52"/>
    </row>
    <row r="401" spans="1:1" x14ac:dyDescent="0.2">
      <c r="A401" s="53"/>
    </row>
    <row r="402" spans="1:1" x14ac:dyDescent="0.2">
      <c r="A402" s="52"/>
    </row>
    <row r="403" spans="1:1" x14ac:dyDescent="0.2">
      <c r="A403" s="52"/>
    </row>
    <row r="404" spans="1:1" x14ac:dyDescent="0.2">
      <c r="A404" s="52"/>
    </row>
    <row r="405" spans="1:1" x14ac:dyDescent="0.2">
      <c r="A405" s="52"/>
    </row>
    <row r="406" spans="1:1" x14ac:dyDescent="0.2">
      <c r="A406" s="52"/>
    </row>
    <row r="407" spans="1:1" x14ac:dyDescent="0.2">
      <c r="A407" s="52"/>
    </row>
    <row r="408" spans="1:1" x14ac:dyDescent="0.2">
      <c r="A408" s="52"/>
    </row>
    <row r="409" spans="1:1" x14ac:dyDescent="0.2">
      <c r="A409" s="52"/>
    </row>
    <row r="410" spans="1:1" x14ac:dyDescent="0.2">
      <c r="A410" s="52"/>
    </row>
    <row r="411" spans="1:1" x14ac:dyDescent="0.2">
      <c r="A411" s="52"/>
    </row>
    <row r="412" spans="1:1" x14ac:dyDescent="0.2">
      <c r="A412" s="53"/>
    </row>
    <row r="413" spans="1:1" x14ac:dyDescent="0.2">
      <c r="A413" s="52"/>
    </row>
    <row r="414" spans="1:1" x14ac:dyDescent="0.2">
      <c r="A414" s="52"/>
    </row>
    <row r="415" spans="1:1" x14ac:dyDescent="0.2">
      <c r="A415" s="52"/>
    </row>
    <row r="416" spans="1:1" x14ac:dyDescent="0.2">
      <c r="A416" s="52"/>
    </row>
    <row r="417" spans="1:1" x14ac:dyDescent="0.2">
      <c r="A417" s="52"/>
    </row>
    <row r="418" spans="1:1" x14ac:dyDescent="0.2">
      <c r="A418" s="52"/>
    </row>
    <row r="419" spans="1:1" x14ac:dyDescent="0.2">
      <c r="A419" s="52"/>
    </row>
    <row r="420" spans="1:1" x14ac:dyDescent="0.2">
      <c r="A420" s="52"/>
    </row>
    <row r="421" spans="1:1" x14ac:dyDescent="0.2">
      <c r="A421" s="52"/>
    </row>
    <row r="422" spans="1:1" x14ac:dyDescent="0.2">
      <c r="A422" s="52"/>
    </row>
    <row r="423" spans="1:1" x14ac:dyDescent="0.2">
      <c r="A423" s="52"/>
    </row>
    <row r="424" spans="1:1" x14ac:dyDescent="0.2">
      <c r="A424" s="52"/>
    </row>
    <row r="425" spans="1:1" x14ac:dyDescent="0.2">
      <c r="A425" s="52"/>
    </row>
    <row r="426" spans="1:1" x14ac:dyDescent="0.2">
      <c r="A426" s="52"/>
    </row>
    <row r="427" spans="1:1" x14ac:dyDescent="0.2">
      <c r="A427" s="52"/>
    </row>
    <row r="428" spans="1:1" x14ac:dyDescent="0.2">
      <c r="A428" s="52"/>
    </row>
    <row r="429" spans="1:1" x14ac:dyDescent="0.2">
      <c r="A429" s="52"/>
    </row>
    <row r="430" spans="1:1" x14ac:dyDescent="0.2">
      <c r="A430" s="52"/>
    </row>
    <row r="431" spans="1:1" x14ac:dyDescent="0.2">
      <c r="A431" s="52"/>
    </row>
    <row r="432" spans="1:1" x14ac:dyDescent="0.2">
      <c r="A432" s="53"/>
    </row>
    <row r="433" spans="1:1" x14ac:dyDescent="0.2">
      <c r="A433" s="52"/>
    </row>
    <row r="434" spans="1:1" x14ac:dyDescent="0.2">
      <c r="A434" s="52"/>
    </row>
    <row r="435" spans="1:1" x14ac:dyDescent="0.2">
      <c r="A435" s="52"/>
    </row>
    <row r="436" spans="1:1" x14ac:dyDescent="0.2">
      <c r="A436" s="52"/>
    </row>
    <row r="437" spans="1:1" x14ac:dyDescent="0.2">
      <c r="A437" s="52"/>
    </row>
    <row r="438" spans="1:1" x14ac:dyDescent="0.2">
      <c r="A438" s="52"/>
    </row>
    <row r="439" spans="1:1" x14ac:dyDescent="0.2">
      <c r="A439" s="52"/>
    </row>
    <row r="440" spans="1:1" x14ac:dyDescent="0.2">
      <c r="A440" s="52"/>
    </row>
    <row r="441" spans="1:1" x14ac:dyDescent="0.2">
      <c r="A441" s="52"/>
    </row>
    <row r="442" spans="1:1" x14ac:dyDescent="0.2">
      <c r="A442" s="52"/>
    </row>
    <row r="443" spans="1:1" x14ac:dyDescent="0.2">
      <c r="A443" s="52"/>
    </row>
    <row r="444" spans="1:1" x14ac:dyDescent="0.2">
      <c r="A444" s="52"/>
    </row>
    <row r="445" spans="1:1" x14ac:dyDescent="0.2">
      <c r="A445" s="52"/>
    </row>
    <row r="446" spans="1:1" x14ac:dyDescent="0.2">
      <c r="A446" s="52"/>
    </row>
    <row r="447" spans="1:1" x14ac:dyDescent="0.2">
      <c r="A447" s="52"/>
    </row>
    <row r="448" spans="1:1" x14ac:dyDescent="0.2">
      <c r="A448" s="52"/>
    </row>
    <row r="449" spans="1:1" x14ac:dyDescent="0.2">
      <c r="A449" s="52"/>
    </row>
    <row r="450" spans="1:1" x14ac:dyDescent="0.2">
      <c r="A450" s="52"/>
    </row>
    <row r="451" spans="1:1" x14ac:dyDescent="0.2">
      <c r="A451" s="52"/>
    </row>
    <row r="452" spans="1:1" x14ac:dyDescent="0.2">
      <c r="A452" s="52"/>
    </row>
    <row r="453" spans="1:1" x14ac:dyDescent="0.2">
      <c r="A453" s="52"/>
    </row>
    <row r="454" spans="1:1" x14ac:dyDescent="0.2">
      <c r="A454" s="52"/>
    </row>
    <row r="455" spans="1:1" x14ac:dyDescent="0.2">
      <c r="A455" s="52"/>
    </row>
    <row r="456" spans="1:1" x14ac:dyDescent="0.2">
      <c r="A456" s="52"/>
    </row>
    <row r="457" spans="1:1" x14ac:dyDescent="0.2">
      <c r="A457" s="52"/>
    </row>
    <row r="458" spans="1:1" x14ac:dyDescent="0.2">
      <c r="A458" s="52"/>
    </row>
    <row r="459" spans="1:1" x14ac:dyDescent="0.2">
      <c r="A459" s="52"/>
    </row>
    <row r="460" spans="1:1" x14ac:dyDescent="0.2">
      <c r="A460" s="52"/>
    </row>
    <row r="461" spans="1:1" x14ac:dyDescent="0.2">
      <c r="A461" s="52"/>
    </row>
    <row r="462" spans="1:1" x14ac:dyDescent="0.2">
      <c r="A462" s="52"/>
    </row>
    <row r="463" spans="1:1" x14ac:dyDescent="0.2">
      <c r="A463" s="52"/>
    </row>
    <row r="464" spans="1:1" x14ac:dyDescent="0.2">
      <c r="A464" s="52"/>
    </row>
    <row r="465" spans="1:1" x14ac:dyDescent="0.2">
      <c r="A465" s="52"/>
    </row>
    <row r="466" spans="1:1" x14ac:dyDescent="0.2">
      <c r="A466" s="52"/>
    </row>
    <row r="467" spans="1:1" x14ac:dyDescent="0.2">
      <c r="A467" s="52"/>
    </row>
    <row r="468" spans="1:1" x14ac:dyDescent="0.2">
      <c r="A468" s="52"/>
    </row>
    <row r="469" spans="1:1" x14ac:dyDescent="0.2">
      <c r="A469" s="52"/>
    </row>
    <row r="470" spans="1:1" x14ac:dyDescent="0.2">
      <c r="A470" s="52"/>
    </row>
    <row r="471" spans="1:1" x14ac:dyDescent="0.2">
      <c r="A471" s="52"/>
    </row>
    <row r="472" spans="1:1" x14ac:dyDescent="0.2">
      <c r="A472" s="52"/>
    </row>
    <row r="473" spans="1:1" x14ac:dyDescent="0.2">
      <c r="A473" s="52"/>
    </row>
    <row r="474" spans="1:1" x14ac:dyDescent="0.2">
      <c r="A474" s="52"/>
    </row>
    <row r="475" spans="1:1" x14ac:dyDescent="0.2">
      <c r="A475" s="52"/>
    </row>
    <row r="476" spans="1:1" x14ac:dyDescent="0.2">
      <c r="A476" s="53"/>
    </row>
    <row r="477" spans="1:1" x14ac:dyDescent="0.2">
      <c r="A477" s="52"/>
    </row>
    <row r="478" spans="1:1" x14ac:dyDescent="0.2">
      <c r="A478" s="52"/>
    </row>
    <row r="479" spans="1:1" x14ac:dyDescent="0.2">
      <c r="A479" s="52"/>
    </row>
    <row r="480" spans="1:1" x14ac:dyDescent="0.2">
      <c r="A480" s="52"/>
    </row>
    <row r="481" spans="1:1" x14ac:dyDescent="0.2">
      <c r="A481" s="52"/>
    </row>
    <row r="482" spans="1:1" x14ac:dyDescent="0.2">
      <c r="A482" s="52"/>
    </row>
    <row r="483" spans="1:1" x14ac:dyDescent="0.2">
      <c r="A483" s="53"/>
    </row>
    <row r="484" spans="1:1" x14ac:dyDescent="0.2">
      <c r="A484" s="53"/>
    </row>
    <row r="485" spans="1:1" x14ac:dyDescent="0.2">
      <c r="A485" s="52"/>
    </row>
    <row r="486" spans="1:1" x14ac:dyDescent="0.2">
      <c r="A486" s="52"/>
    </row>
    <row r="487" spans="1:1" x14ac:dyDescent="0.2">
      <c r="A487" s="52"/>
    </row>
    <row r="488" spans="1:1" x14ac:dyDescent="0.2">
      <c r="A488" s="52"/>
    </row>
    <row r="489" spans="1:1" x14ac:dyDescent="0.2">
      <c r="A489" s="52"/>
    </row>
    <row r="490" spans="1:1" x14ac:dyDescent="0.2">
      <c r="A490" s="52"/>
    </row>
    <row r="491" spans="1:1" x14ac:dyDescent="0.2">
      <c r="A491" s="52"/>
    </row>
    <row r="492" spans="1:1" x14ac:dyDescent="0.2">
      <c r="A492" s="52"/>
    </row>
    <row r="493" spans="1:1" x14ac:dyDescent="0.2">
      <c r="A493" s="53"/>
    </row>
    <row r="494" spans="1:1" x14ac:dyDescent="0.2">
      <c r="A494" s="52"/>
    </row>
    <row r="495" spans="1:1" x14ac:dyDescent="0.2">
      <c r="A495" s="52"/>
    </row>
    <row r="496" spans="1:1" x14ac:dyDescent="0.2">
      <c r="A496" s="52"/>
    </row>
    <row r="497" spans="1:1" x14ac:dyDescent="0.2">
      <c r="A497" s="52"/>
    </row>
    <row r="498" spans="1:1" x14ac:dyDescent="0.2">
      <c r="A498" s="52"/>
    </row>
    <row r="499" spans="1:1" x14ac:dyDescent="0.2">
      <c r="A499" s="52"/>
    </row>
    <row r="500" spans="1:1" x14ac:dyDescent="0.2">
      <c r="A500" s="52"/>
    </row>
    <row r="501" spans="1:1" x14ac:dyDescent="0.2">
      <c r="A501" s="52"/>
    </row>
    <row r="502" spans="1:1" x14ac:dyDescent="0.2">
      <c r="A502" s="52"/>
    </row>
    <row r="503" spans="1:1" x14ac:dyDescent="0.2">
      <c r="A503" s="52"/>
    </row>
    <row r="504" spans="1:1" x14ac:dyDescent="0.2">
      <c r="A504" s="52"/>
    </row>
    <row r="505" spans="1:1" x14ac:dyDescent="0.2">
      <c r="A505" s="52"/>
    </row>
    <row r="506" spans="1:1" x14ac:dyDescent="0.2">
      <c r="A506" s="52"/>
    </row>
    <row r="507" spans="1:1" x14ac:dyDescent="0.2">
      <c r="A507" s="52"/>
    </row>
    <row r="508" spans="1:1" x14ac:dyDescent="0.2">
      <c r="A508" s="52"/>
    </row>
    <row r="509" spans="1:1" x14ac:dyDescent="0.2">
      <c r="A509" s="52"/>
    </row>
    <row r="510" spans="1:1" x14ac:dyDescent="0.2">
      <c r="A510" s="52"/>
    </row>
    <row r="511" spans="1:1" x14ac:dyDescent="0.2">
      <c r="A511" s="52"/>
    </row>
    <row r="512" spans="1:1" x14ac:dyDescent="0.2">
      <c r="A512" s="52"/>
    </row>
    <row r="513" spans="1:1" x14ac:dyDescent="0.2">
      <c r="A513" s="52"/>
    </row>
    <row r="514" spans="1:1" x14ac:dyDescent="0.2">
      <c r="A514" s="52"/>
    </row>
    <row r="515" spans="1:1" x14ac:dyDescent="0.2">
      <c r="A515" s="52"/>
    </row>
    <row r="516" spans="1:1" x14ac:dyDescent="0.2">
      <c r="A516" s="52"/>
    </row>
    <row r="517" spans="1:1" x14ac:dyDescent="0.2">
      <c r="A517" s="52"/>
    </row>
    <row r="518" spans="1:1" x14ac:dyDescent="0.2">
      <c r="A518" s="52"/>
    </row>
    <row r="519" spans="1:1" x14ac:dyDescent="0.2">
      <c r="A519" s="52"/>
    </row>
    <row r="520" spans="1:1" x14ac:dyDescent="0.2">
      <c r="A520" s="52"/>
    </row>
    <row r="521" spans="1:1" x14ac:dyDescent="0.2">
      <c r="A521" s="52"/>
    </row>
    <row r="522" spans="1:1" x14ac:dyDescent="0.2">
      <c r="A522" s="52"/>
    </row>
    <row r="523" spans="1:1" x14ac:dyDescent="0.2">
      <c r="A523" s="52"/>
    </row>
    <row r="524" spans="1:1" x14ac:dyDescent="0.2">
      <c r="A524" s="52"/>
    </row>
    <row r="525" spans="1:1" x14ac:dyDescent="0.2">
      <c r="A525" s="52"/>
    </row>
    <row r="526" spans="1:1" x14ac:dyDescent="0.2">
      <c r="A526" s="52"/>
    </row>
    <row r="527" spans="1:1" x14ac:dyDescent="0.2">
      <c r="A527" s="52"/>
    </row>
    <row r="528" spans="1:1" x14ac:dyDescent="0.2">
      <c r="A528" s="52"/>
    </row>
    <row r="529" spans="1:1" x14ac:dyDescent="0.2">
      <c r="A529" s="53"/>
    </row>
    <row r="530" spans="1:1" x14ac:dyDescent="0.2">
      <c r="A530" s="52"/>
    </row>
    <row r="531" spans="1:1" x14ac:dyDescent="0.2">
      <c r="A531" s="52"/>
    </row>
    <row r="532" spans="1:1" x14ac:dyDescent="0.2">
      <c r="A532" s="52"/>
    </row>
    <row r="533" spans="1:1" x14ac:dyDescent="0.2">
      <c r="A533" s="52"/>
    </row>
    <row r="534" spans="1:1" x14ac:dyDescent="0.2">
      <c r="A534" s="52"/>
    </row>
    <row r="535" spans="1:1" x14ac:dyDescent="0.2">
      <c r="A535" s="52"/>
    </row>
    <row r="536" spans="1:1" x14ac:dyDescent="0.2">
      <c r="A536" s="52"/>
    </row>
    <row r="537" spans="1:1" x14ac:dyDescent="0.2">
      <c r="A537" s="52"/>
    </row>
    <row r="538" spans="1:1" x14ac:dyDescent="0.2">
      <c r="A538" s="52"/>
    </row>
    <row r="539" spans="1:1" x14ac:dyDescent="0.2">
      <c r="A539" s="52"/>
    </row>
    <row r="540" spans="1:1" x14ac:dyDescent="0.2">
      <c r="A540" s="52"/>
    </row>
    <row r="541" spans="1:1" x14ac:dyDescent="0.2">
      <c r="A541" s="52"/>
    </row>
    <row r="542" spans="1:1" x14ac:dyDescent="0.2">
      <c r="A542" s="53"/>
    </row>
    <row r="543" spans="1:1" x14ac:dyDescent="0.2">
      <c r="A543" s="52"/>
    </row>
    <row r="544" spans="1:1" x14ac:dyDescent="0.2">
      <c r="A544" s="52"/>
    </row>
    <row r="545" spans="1:1" x14ac:dyDescent="0.2">
      <c r="A545" s="52"/>
    </row>
    <row r="546" spans="1:1" x14ac:dyDescent="0.2">
      <c r="A546" s="52"/>
    </row>
    <row r="547" spans="1:1" x14ac:dyDescent="0.2">
      <c r="A547" s="52"/>
    </row>
    <row r="548" spans="1:1" x14ac:dyDescent="0.2">
      <c r="A548" s="53"/>
    </row>
    <row r="549" spans="1:1" x14ac:dyDescent="0.2">
      <c r="A549" s="52"/>
    </row>
    <row r="550" spans="1:1" x14ac:dyDescent="0.2">
      <c r="A550" s="52"/>
    </row>
    <row r="551" spans="1:1" x14ac:dyDescent="0.2">
      <c r="A551" s="52"/>
    </row>
    <row r="552" spans="1:1" x14ac:dyDescent="0.2">
      <c r="A552" s="52"/>
    </row>
    <row r="553" spans="1:1" x14ac:dyDescent="0.2">
      <c r="A553" s="52"/>
    </row>
    <row r="554" spans="1:1" x14ac:dyDescent="0.2">
      <c r="A554" s="52"/>
    </row>
    <row r="555" spans="1:1" x14ac:dyDescent="0.2">
      <c r="A555" s="52"/>
    </row>
    <row r="556" spans="1:1" x14ac:dyDescent="0.2">
      <c r="A556" s="52"/>
    </row>
    <row r="557" spans="1:1" x14ac:dyDescent="0.2">
      <c r="A557" s="53"/>
    </row>
    <row r="558" spans="1:1" x14ac:dyDescent="0.2">
      <c r="A558" s="52"/>
    </row>
    <row r="559" spans="1:1" x14ac:dyDescent="0.2">
      <c r="A559" s="52"/>
    </row>
    <row r="560" spans="1:1" x14ac:dyDescent="0.2">
      <c r="A560" s="52"/>
    </row>
    <row r="561" spans="1:1" x14ac:dyDescent="0.2">
      <c r="A561" s="52"/>
    </row>
    <row r="562" spans="1:1" x14ac:dyDescent="0.2">
      <c r="A562" s="52"/>
    </row>
    <row r="563" spans="1:1" x14ac:dyDescent="0.2">
      <c r="A563" s="52"/>
    </row>
    <row r="564" spans="1:1" x14ac:dyDescent="0.2">
      <c r="A564" s="52"/>
    </row>
    <row r="565" spans="1:1" x14ac:dyDescent="0.2">
      <c r="A565" s="52"/>
    </row>
    <row r="566" spans="1:1" x14ac:dyDescent="0.2">
      <c r="A566" s="52"/>
    </row>
    <row r="567" spans="1:1" x14ac:dyDescent="0.2">
      <c r="A567" s="52"/>
    </row>
    <row r="568" spans="1:1" x14ac:dyDescent="0.2">
      <c r="A568" s="52"/>
    </row>
    <row r="569" spans="1:1" x14ac:dyDescent="0.2">
      <c r="A569" s="52"/>
    </row>
    <row r="570" spans="1:1" x14ac:dyDescent="0.2">
      <c r="A570" s="52"/>
    </row>
    <row r="571" spans="1:1" x14ac:dyDescent="0.2">
      <c r="A571" s="52"/>
    </row>
    <row r="572" spans="1:1" x14ac:dyDescent="0.2">
      <c r="A572" s="52"/>
    </row>
    <row r="573" spans="1:1" x14ac:dyDescent="0.2">
      <c r="A573" s="52"/>
    </row>
    <row r="574" spans="1:1" x14ac:dyDescent="0.2">
      <c r="A574" s="52"/>
    </row>
    <row r="575" spans="1:1" x14ac:dyDescent="0.2">
      <c r="A575" s="52"/>
    </row>
    <row r="576" spans="1:1" x14ac:dyDescent="0.2">
      <c r="A576" s="52"/>
    </row>
    <row r="577" spans="1:1" x14ac:dyDescent="0.2">
      <c r="A577" s="53"/>
    </row>
    <row r="578" spans="1:1" x14ac:dyDescent="0.2">
      <c r="A578" s="52"/>
    </row>
    <row r="579" spans="1:1" x14ac:dyDescent="0.2">
      <c r="A579" s="52"/>
    </row>
    <row r="580" spans="1:1" x14ac:dyDescent="0.2">
      <c r="A580" s="52"/>
    </row>
    <row r="581" spans="1:1" x14ac:dyDescent="0.2">
      <c r="A581" s="52"/>
    </row>
    <row r="582" spans="1:1" x14ac:dyDescent="0.2">
      <c r="A582" s="52"/>
    </row>
    <row r="583" spans="1:1" x14ac:dyDescent="0.2">
      <c r="A583" s="52"/>
    </row>
    <row r="584" spans="1:1" x14ac:dyDescent="0.2">
      <c r="A584" s="52"/>
    </row>
    <row r="585" spans="1:1" x14ac:dyDescent="0.2">
      <c r="A585" s="52"/>
    </row>
    <row r="586" spans="1:1" x14ac:dyDescent="0.2">
      <c r="A586" s="52"/>
    </row>
    <row r="587" spans="1:1" x14ac:dyDescent="0.2">
      <c r="A587" s="53"/>
    </row>
    <row r="588" spans="1:1" x14ac:dyDescent="0.2">
      <c r="A588" s="52"/>
    </row>
    <row r="589" spans="1:1" x14ac:dyDescent="0.2">
      <c r="A589" s="52"/>
    </row>
    <row r="590" spans="1:1" x14ac:dyDescent="0.2">
      <c r="A590" s="52"/>
    </row>
    <row r="591" spans="1:1" x14ac:dyDescent="0.2">
      <c r="A591" s="53"/>
    </row>
    <row r="592" spans="1:1" x14ac:dyDescent="0.2">
      <c r="A592" s="52"/>
    </row>
    <row r="593" spans="1:1" x14ac:dyDescent="0.2">
      <c r="A593" s="52"/>
    </row>
    <row r="594" spans="1:1" x14ac:dyDescent="0.2">
      <c r="A594" s="52"/>
    </row>
    <row r="595" spans="1:1" x14ac:dyDescent="0.2">
      <c r="A595" s="52"/>
    </row>
    <row r="596" spans="1:1" x14ac:dyDescent="0.2">
      <c r="A596" s="52"/>
    </row>
    <row r="597" spans="1:1" x14ac:dyDescent="0.2">
      <c r="A597" s="52"/>
    </row>
    <row r="598" spans="1:1" x14ac:dyDescent="0.2">
      <c r="A598" s="52"/>
    </row>
    <row r="599" spans="1:1" x14ac:dyDescent="0.2">
      <c r="A599" s="52"/>
    </row>
    <row r="600" spans="1:1" x14ac:dyDescent="0.2">
      <c r="A600" s="52"/>
    </row>
    <row r="601" spans="1:1" x14ac:dyDescent="0.2">
      <c r="A601" s="52"/>
    </row>
    <row r="602" spans="1:1" x14ac:dyDescent="0.2">
      <c r="A602" s="52"/>
    </row>
    <row r="603" spans="1:1" x14ac:dyDescent="0.2">
      <c r="A603" s="52"/>
    </row>
    <row r="604" spans="1:1" x14ac:dyDescent="0.2">
      <c r="A604" s="52"/>
    </row>
    <row r="605" spans="1:1" x14ac:dyDescent="0.2">
      <c r="A605" s="52"/>
    </row>
    <row r="606" spans="1:1" x14ac:dyDescent="0.2">
      <c r="A606" s="52"/>
    </row>
    <row r="607" spans="1:1" x14ac:dyDescent="0.2">
      <c r="A607" s="52"/>
    </row>
    <row r="608" spans="1:1" x14ac:dyDescent="0.2">
      <c r="A608" s="52"/>
    </row>
    <row r="609" spans="1:1" x14ac:dyDescent="0.2">
      <c r="A609" s="52"/>
    </row>
    <row r="610" spans="1:1" x14ac:dyDescent="0.2">
      <c r="A610" s="52"/>
    </row>
    <row r="611" spans="1:1" x14ac:dyDescent="0.2">
      <c r="A611" s="52"/>
    </row>
    <row r="612" spans="1:1" x14ac:dyDescent="0.2">
      <c r="A612" s="52"/>
    </row>
    <row r="613" spans="1:1" x14ac:dyDescent="0.2">
      <c r="A613" s="52"/>
    </row>
    <row r="614" spans="1:1" x14ac:dyDescent="0.2">
      <c r="A614" s="52"/>
    </row>
    <row r="615" spans="1:1" x14ac:dyDescent="0.2">
      <c r="A615" s="53"/>
    </row>
    <row r="616" spans="1:1" x14ac:dyDescent="0.2">
      <c r="A616" s="52"/>
    </row>
    <row r="617" spans="1:1" x14ac:dyDescent="0.2">
      <c r="A617" s="52"/>
    </row>
    <row r="618" spans="1:1" x14ac:dyDescent="0.2">
      <c r="A618" s="52"/>
    </row>
    <row r="619" spans="1:1" x14ac:dyDescent="0.2">
      <c r="A619" s="52"/>
    </row>
    <row r="620" spans="1:1" x14ac:dyDescent="0.2">
      <c r="A620" s="52"/>
    </row>
    <row r="621" spans="1:1" x14ac:dyDescent="0.2">
      <c r="A621" s="52"/>
    </row>
    <row r="622" spans="1:1" x14ac:dyDescent="0.2">
      <c r="A622" s="52"/>
    </row>
    <row r="623" spans="1:1" x14ac:dyDescent="0.2">
      <c r="A623" s="52"/>
    </row>
    <row r="624" spans="1:1" x14ac:dyDescent="0.2">
      <c r="A624" s="52"/>
    </row>
    <row r="625" spans="1:6" x14ac:dyDescent="0.2">
      <c r="A625" s="52"/>
    </row>
    <row r="626" spans="1:6" x14ac:dyDescent="0.2">
      <c r="A626" s="52"/>
    </row>
    <row r="627" spans="1:6" x14ac:dyDescent="0.2">
      <c r="A627" s="52"/>
    </row>
    <row r="628" spans="1:6" x14ac:dyDescent="0.2">
      <c r="A628" s="52"/>
    </row>
    <row r="629" spans="1:6" x14ac:dyDescent="0.2">
      <c r="A629" s="52"/>
    </row>
    <row r="630" spans="1:6" x14ac:dyDescent="0.2">
      <c r="A630" s="52"/>
    </row>
    <row r="631" spans="1:6" x14ac:dyDescent="0.2">
      <c r="A631" s="52"/>
    </row>
    <row r="632" spans="1:6" x14ac:dyDescent="0.2">
      <c r="A632" s="52"/>
    </row>
    <row r="633" spans="1:6" x14ac:dyDescent="0.2">
      <c r="A633" s="52"/>
    </row>
    <row r="634" spans="1:6" x14ac:dyDescent="0.2">
      <c r="A634" s="52"/>
    </row>
    <row r="635" spans="1:6" x14ac:dyDescent="0.2">
      <c r="A635" s="52"/>
      <c r="F635" s="29"/>
    </row>
    <row r="636" spans="1:6" x14ac:dyDescent="0.2">
      <c r="A636" s="52"/>
    </row>
    <row r="637" spans="1:6" x14ac:dyDescent="0.2">
      <c r="A637" s="52"/>
    </row>
    <row r="638" spans="1:6" x14ac:dyDescent="0.2">
      <c r="A638" s="52"/>
    </row>
    <row r="639" spans="1:6" x14ac:dyDescent="0.2">
      <c r="A639" s="52"/>
    </row>
    <row r="640" spans="1:6" x14ac:dyDescent="0.2">
      <c r="A640" s="52"/>
    </row>
    <row r="641" spans="1:1" x14ac:dyDescent="0.2">
      <c r="A641" s="53"/>
    </row>
    <row r="642" spans="1:1" x14ac:dyDescent="0.2">
      <c r="A642" s="52"/>
    </row>
    <row r="643" spans="1:1" x14ac:dyDescent="0.2">
      <c r="A643" s="53"/>
    </row>
    <row r="644" spans="1:1" x14ac:dyDescent="0.2">
      <c r="A644" s="52"/>
    </row>
    <row r="645" spans="1:1" x14ac:dyDescent="0.2">
      <c r="A645" s="52"/>
    </row>
    <row r="646" spans="1:1" x14ac:dyDescent="0.2">
      <c r="A646" s="52"/>
    </row>
    <row r="647" spans="1:1" x14ac:dyDescent="0.2">
      <c r="A647" s="52"/>
    </row>
    <row r="648" spans="1:1" x14ac:dyDescent="0.2">
      <c r="A648" s="52"/>
    </row>
    <row r="649" spans="1:1" x14ac:dyDescent="0.2">
      <c r="A649" s="53"/>
    </row>
    <row r="650" spans="1:1" x14ac:dyDescent="0.2">
      <c r="A650" s="52"/>
    </row>
    <row r="651" spans="1:1" x14ac:dyDescent="0.2">
      <c r="A651" s="52"/>
    </row>
    <row r="652" spans="1:1" x14ac:dyDescent="0.2">
      <c r="A652" s="52"/>
    </row>
    <row r="653" spans="1:1" x14ac:dyDescent="0.2">
      <c r="A653" s="52"/>
    </row>
    <row r="654" spans="1:1" x14ac:dyDescent="0.2">
      <c r="A654" s="52"/>
    </row>
    <row r="655" spans="1:1" x14ac:dyDescent="0.2">
      <c r="A655" s="52"/>
    </row>
    <row r="656" spans="1:1" x14ac:dyDescent="0.2">
      <c r="A656" s="52"/>
    </row>
    <row r="657" spans="1:1" x14ac:dyDescent="0.2">
      <c r="A657" s="52"/>
    </row>
    <row r="658" spans="1:1" x14ac:dyDescent="0.2">
      <c r="A658" s="52"/>
    </row>
    <row r="659" spans="1:1" x14ac:dyDescent="0.2">
      <c r="A659" s="52"/>
    </row>
    <row r="660" spans="1:1" x14ac:dyDescent="0.2">
      <c r="A660" s="52"/>
    </row>
    <row r="661" spans="1:1" x14ac:dyDescent="0.2">
      <c r="A661" s="53"/>
    </row>
    <row r="662" spans="1:1" x14ac:dyDescent="0.2">
      <c r="A662" s="52"/>
    </row>
    <row r="663" spans="1:1" x14ac:dyDescent="0.2">
      <c r="A663" s="52"/>
    </row>
    <row r="664" spans="1:1" x14ac:dyDescent="0.2">
      <c r="A664" s="53"/>
    </row>
    <row r="665" spans="1:1" x14ac:dyDescent="0.2">
      <c r="A665" s="52"/>
    </row>
    <row r="666" spans="1:1" x14ac:dyDescent="0.2">
      <c r="A666" s="52"/>
    </row>
    <row r="667" spans="1:1" x14ac:dyDescent="0.2">
      <c r="A667" s="52"/>
    </row>
    <row r="668" spans="1:1" x14ac:dyDescent="0.2">
      <c r="A668" s="52"/>
    </row>
    <row r="669" spans="1:1" x14ac:dyDescent="0.2">
      <c r="A669" s="52"/>
    </row>
    <row r="670" spans="1:1" x14ac:dyDescent="0.2">
      <c r="A670" s="52"/>
    </row>
    <row r="671" spans="1:1" x14ac:dyDescent="0.2">
      <c r="A671" s="52"/>
    </row>
    <row r="672" spans="1:1" x14ac:dyDescent="0.2">
      <c r="A672" s="52"/>
    </row>
    <row r="673" spans="1:1" x14ac:dyDescent="0.2">
      <c r="A673" s="52"/>
    </row>
    <row r="674" spans="1:1" x14ac:dyDescent="0.2">
      <c r="A674" s="52"/>
    </row>
    <row r="675" spans="1:1" x14ac:dyDescent="0.2">
      <c r="A675" s="52"/>
    </row>
    <row r="676" spans="1:1" x14ac:dyDescent="0.2">
      <c r="A676" s="52"/>
    </row>
    <row r="677" spans="1:1" x14ac:dyDescent="0.2">
      <c r="A677" s="52"/>
    </row>
    <row r="678" spans="1:1" x14ac:dyDescent="0.2">
      <c r="A678" s="52"/>
    </row>
    <row r="679" spans="1:1" x14ac:dyDescent="0.2">
      <c r="A679" s="52"/>
    </row>
    <row r="680" spans="1:1" x14ac:dyDescent="0.2">
      <c r="A680" s="52"/>
    </row>
    <row r="681" spans="1:1" x14ac:dyDescent="0.2">
      <c r="A681" s="52"/>
    </row>
    <row r="682" spans="1:1" x14ac:dyDescent="0.2">
      <c r="A682" s="52"/>
    </row>
    <row r="683" spans="1:1" x14ac:dyDescent="0.2">
      <c r="A683" s="52"/>
    </row>
    <row r="684" spans="1:1" x14ac:dyDescent="0.2">
      <c r="A684" s="52"/>
    </row>
    <row r="685" spans="1:1" x14ac:dyDescent="0.2">
      <c r="A685" s="52"/>
    </row>
    <row r="686" spans="1:1" x14ac:dyDescent="0.2">
      <c r="A686" s="52"/>
    </row>
    <row r="687" spans="1:1" x14ac:dyDescent="0.2">
      <c r="A687" s="52"/>
    </row>
    <row r="688" spans="1:1" x14ac:dyDescent="0.2">
      <c r="A688" s="53"/>
    </row>
    <row r="689" spans="1:1" x14ac:dyDescent="0.2">
      <c r="A689" s="52"/>
    </row>
    <row r="690" spans="1:1" x14ac:dyDescent="0.2">
      <c r="A690" s="52"/>
    </row>
    <row r="691" spans="1:1" x14ac:dyDescent="0.2">
      <c r="A691" s="52"/>
    </row>
    <row r="692" spans="1:1" x14ac:dyDescent="0.2">
      <c r="A692" s="52"/>
    </row>
    <row r="693" spans="1:1" x14ac:dyDescent="0.2">
      <c r="A693" s="52"/>
    </row>
    <row r="694" spans="1:1" x14ac:dyDescent="0.2">
      <c r="A694" s="52"/>
    </row>
    <row r="695" spans="1:1" x14ac:dyDescent="0.2">
      <c r="A695" s="52"/>
    </row>
    <row r="696" spans="1:1" x14ac:dyDescent="0.2">
      <c r="A696" s="52"/>
    </row>
    <row r="697" spans="1:1" x14ac:dyDescent="0.2">
      <c r="A697" s="52"/>
    </row>
    <row r="698" spans="1:1" x14ac:dyDescent="0.2">
      <c r="A698" s="52"/>
    </row>
    <row r="699" spans="1:1" x14ac:dyDescent="0.2">
      <c r="A699" s="52"/>
    </row>
    <row r="700" spans="1:1" x14ac:dyDescent="0.2">
      <c r="A700" s="52"/>
    </row>
    <row r="701" spans="1:1" x14ac:dyDescent="0.2">
      <c r="A701" s="52"/>
    </row>
    <row r="702" spans="1:1" x14ac:dyDescent="0.2">
      <c r="A702" s="52"/>
    </row>
    <row r="703" spans="1:1" x14ac:dyDescent="0.2">
      <c r="A703" s="52"/>
    </row>
    <row r="704" spans="1:1" x14ac:dyDescent="0.2">
      <c r="A704" s="53"/>
    </row>
    <row r="705" spans="1:1" x14ac:dyDescent="0.2">
      <c r="A705" s="52"/>
    </row>
    <row r="706" spans="1:1" x14ac:dyDescent="0.2">
      <c r="A706" s="52"/>
    </row>
    <row r="707" spans="1:1" x14ac:dyDescent="0.2">
      <c r="A707" s="52"/>
    </row>
    <row r="708" spans="1:1" x14ac:dyDescent="0.2">
      <c r="A708" s="52"/>
    </row>
    <row r="709" spans="1:1" x14ac:dyDescent="0.2">
      <c r="A709" s="52"/>
    </row>
    <row r="710" spans="1:1" x14ac:dyDescent="0.2">
      <c r="A710" s="52"/>
    </row>
    <row r="711" spans="1:1" x14ac:dyDescent="0.2">
      <c r="A711" s="52"/>
    </row>
    <row r="712" spans="1:1" x14ac:dyDescent="0.2">
      <c r="A712" s="52"/>
    </row>
    <row r="713" spans="1:1" x14ac:dyDescent="0.2">
      <c r="A713" s="52"/>
    </row>
    <row r="714" spans="1:1" x14ac:dyDescent="0.2">
      <c r="A714" s="52"/>
    </row>
    <row r="715" spans="1:1" x14ac:dyDescent="0.2">
      <c r="A715" s="53"/>
    </row>
    <row r="716" spans="1:1" x14ac:dyDescent="0.2">
      <c r="A716" s="52"/>
    </row>
    <row r="717" spans="1:1" x14ac:dyDescent="0.2">
      <c r="A717" s="52"/>
    </row>
    <row r="718" spans="1:1" x14ac:dyDescent="0.2">
      <c r="A718" s="52"/>
    </row>
    <row r="719" spans="1:1" x14ac:dyDescent="0.2">
      <c r="A719" s="52"/>
    </row>
    <row r="720" spans="1:1" x14ac:dyDescent="0.2">
      <c r="A720" s="52"/>
    </row>
    <row r="721" spans="1:1" x14ac:dyDescent="0.2">
      <c r="A721" s="52"/>
    </row>
    <row r="722" spans="1:1" x14ac:dyDescent="0.2">
      <c r="A722" s="52"/>
    </row>
    <row r="723" spans="1:1" x14ac:dyDescent="0.2">
      <c r="A723" s="52"/>
    </row>
    <row r="724" spans="1:1" x14ac:dyDescent="0.2">
      <c r="A724" s="52"/>
    </row>
    <row r="725" spans="1:1" x14ac:dyDescent="0.2">
      <c r="A725" s="52"/>
    </row>
    <row r="726" spans="1:1" x14ac:dyDescent="0.2">
      <c r="A726" s="52"/>
    </row>
    <row r="727" spans="1:1" x14ac:dyDescent="0.2">
      <c r="A727" s="52"/>
    </row>
    <row r="728" spans="1:1" x14ac:dyDescent="0.2">
      <c r="A728" s="53"/>
    </row>
    <row r="729" spans="1:1" x14ac:dyDescent="0.2">
      <c r="A729" s="52"/>
    </row>
    <row r="730" spans="1:1" x14ac:dyDescent="0.2">
      <c r="A730" s="52"/>
    </row>
    <row r="731" spans="1:1" x14ac:dyDescent="0.2">
      <c r="A731" s="53"/>
    </row>
    <row r="732" spans="1:1" x14ac:dyDescent="0.2">
      <c r="A732" s="52"/>
    </row>
    <row r="733" spans="1:1" x14ac:dyDescent="0.2">
      <c r="A733" s="52"/>
    </row>
    <row r="734" spans="1:1" x14ac:dyDescent="0.2">
      <c r="A734" s="52"/>
    </row>
    <row r="735" spans="1:1" x14ac:dyDescent="0.2">
      <c r="A735" s="52"/>
    </row>
    <row r="736" spans="1:1" x14ac:dyDescent="0.2">
      <c r="A736" s="52"/>
    </row>
    <row r="737" spans="1:1" x14ac:dyDescent="0.2">
      <c r="A737" s="52"/>
    </row>
    <row r="738" spans="1:1" x14ac:dyDescent="0.2">
      <c r="A738" s="52"/>
    </row>
    <row r="739" spans="1:1" x14ac:dyDescent="0.2">
      <c r="A739" s="52"/>
    </row>
    <row r="740" spans="1:1" x14ac:dyDescent="0.2">
      <c r="A740" s="52"/>
    </row>
    <row r="741" spans="1:1" x14ac:dyDescent="0.2">
      <c r="A741" s="52"/>
    </row>
    <row r="742" spans="1:1" x14ac:dyDescent="0.2">
      <c r="A742" s="52"/>
    </row>
    <row r="743" spans="1:1" x14ac:dyDescent="0.2">
      <c r="A743" s="52"/>
    </row>
    <row r="744" spans="1:1" x14ac:dyDescent="0.2">
      <c r="A744" s="52"/>
    </row>
    <row r="745" spans="1:1" x14ac:dyDescent="0.2">
      <c r="A745" s="52"/>
    </row>
    <row r="746" spans="1:1" x14ac:dyDescent="0.2">
      <c r="A746" s="52"/>
    </row>
    <row r="747" spans="1:1" x14ac:dyDescent="0.2">
      <c r="A747" s="52"/>
    </row>
    <row r="748" spans="1:1" x14ac:dyDescent="0.2">
      <c r="A748" s="52"/>
    </row>
    <row r="749" spans="1:1" x14ac:dyDescent="0.2">
      <c r="A749" s="52"/>
    </row>
    <row r="750" spans="1:1" x14ac:dyDescent="0.2">
      <c r="A750" s="52"/>
    </row>
    <row r="751" spans="1:1" x14ac:dyDescent="0.2">
      <c r="A751" s="52"/>
    </row>
    <row r="752" spans="1:1" x14ac:dyDescent="0.2">
      <c r="A752" s="52"/>
    </row>
    <row r="753" spans="1:1" x14ac:dyDescent="0.2">
      <c r="A753" s="52"/>
    </row>
    <row r="754" spans="1:1" x14ac:dyDescent="0.2">
      <c r="A754" s="52"/>
    </row>
    <row r="755" spans="1:1" x14ac:dyDescent="0.2">
      <c r="A755" s="52"/>
    </row>
    <row r="756" spans="1:1" x14ac:dyDescent="0.2">
      <c r="A756" s="52"/>
    </row>
    <row r="757" spans="1:1" x14ac:dyDescent="0.2">
      <c r="A757" s="52"/>
    </row>
    <row r="758" spans="1:1" x14ac:dyDescent="0.2">
      <c r="A758" s="52"/>
    </row>
    <row r="759" spans="1:1" x14ac:dyDescent="0.2">
      <c r="A759" s="52"/>
    </row>
    <row r="760" spans="1:1" x14ac:dyDescent="0.2">
      <c r="A760" s="52"/>
    </row>
    <row r="761" spans="1:1" x14ac:dyDescent="0.2">
      <c r="A761" s="52"/>
    </row>
    <row r="762" spans="1:1" x14ac:dyDescent="0.2">
      <c r="A762" s="52"/>
    </row>
    <row r="763" spans="1:1" x14ac:dyDescent="0.2">
      <c r="A763" s="52"/>
    </row>
    <row r="764" spans="1:1" x14ac:dyDescent="0.2">
      <c r="A764" s="52"/>
    </row>
    <row r="765" spans="1:1" x14ac:dyDescent="0.2">
      <c r="A765" s="52"/>
    </row>
    <row r="766" spans="1:1" x14ac:dyDescent="0.2">
      <c r="A766" s="52"/>
    </row>
    <row r="767" spans="1:1" x14ac:dyDescent="0.2">
      <c r="A767" s="52"/>
    </row>
    <row r="768" spans="1:1" x14ac:dyDescent="0.2">
      <c r="A768" s="52"/>
    </row>
    <row r="769" spans="1:1" x14ac:dyDescent="0.2">
      <c r="A769" s="52"/>
    </row>
    <row r="770" spans="1:1" x14ac:dyDescent="0.2">
      <c r="A770" s="52"/>
    </row>
    <row r="771" spans="1:1" x14ac:dyDescent="0.2">
      <c r="A771" s="52"/>
    </row>
    <row r="772" spans="1:1" x14ac:dyDescent="0.2">
      <c r="A772" s="52"/>
    </row>
    <row r="773" spans="1:1" x14ac:dyDescent="0.2">
      <c r="A773" s="52"/>
    </row>
    <row r="774" spans="1:1" x14ac:dyDescent="0.2">
      <c r="A774" s="52"/>
    </row>
    <row r="775" spans="1:1" x14ac:dyDescent="0.2">
      <c r="A775" s="52"/>
    </row>
    <row r="776" spans="1:1" x14ac:dyDescent="0.2">
      <c r="A776" s="52"/>
    </row>
    <row r="777" spans="1:1" x14ac:dyDescent="0.2">
      <c r="A777" s="52"/>
    </row>
    <row r="778" spans="1:1" x14ac:dyDescent="0.2">
      <c r="A778" s="52"/>
    </row>
    <row r="779" spans="1:1" x14ac:dyDescent="0.2">
      <c r="A779" s="52"/>
    </row>
    <row r="780" spans="1:1" x14ac:dyDescent="0.2">
      <c r="A780" s="52"/>
    </row>
    <row r="781" spans="1:1" x14ac:dyDescent="0.2">
      <c r="A781" s="53"/>
    </row>
    <row r="782" spans="1:1" x14ac:dyDescent="0.2">
      <c r="A782" s="52"/>
    </row>
    <row r="783" spans="1:1" x14ac:dyDescent="0.2">
      <c r="A783" s="53"/>
    </row>
    <row r="784" spans="1:1" x14ac:dyDescent="0.2">
      <c r="A784" s="52"/>
    </row>
    <row r="785" spans="1:1" x14ac:dyDescent="0.2">
      <c r="A785" s="52"/>
    </row>
    <row r="786" spans="1:1" x14ac:dyDescent="0.2">
      <c r="A786" s="52"/>
    </row>
    <row r="787" spans="1:1" x14ac:dyDescent="0.2">
      <c r="A787" s="52"/>
    </row>
    <row r="788" spans="1:1" x14ac:dyDescent="0.2">
      <c r="A788" s="52"/>
    </row>
    <row r="789" spans="1:1" x14ac:dyDescent="0.2">
      <c r="A789" s="53"/>
    </row>
    <row r="790" spans="1:1" x14ac:dyDescent="0.2">
      <c r="A790" s="52"/>
    </row>
    <row r="791" spans="1:1" x14ac:dyDescent="0.2">
      <c r="A791" s="52"/>
    </row>
    <row r="792" spans="1:1" x14ac:dyDescent="0.2">
      <c r="A792" s="52"/>
    </row>
    <row r="793" spans="1:1" x14ac:dyDescent="0.2">
      <c r="A793" s="52"/>
    </row>
    <row r="794" spans="1:1" x14ac:dyDescent="0.2">
      <c r="A794" s="52"/>
    </row>
    <row r="795" spans="1:1" x14ac:dyDescent="0.2">
      <c r="A795" s="52"/>
    </row>
    <row r="796" spans="1:1" x14ac:dyDescent="0.2">
      <c r="A796" s="52"/>
    </row>
    <row r="797" spans="1:1" x14ac:dyDescent="0.2">
      <c r="A797" s="52"/>
    </row>
    <row r="798" spans="1:1" x14ac:dyDescent="0.2">
      <c r="A798" s="52"/>
    </row>
    <row r="799" spans="1:1" x14ac:dyDescent="0.2">
      <c r="A799" s="52"/>
    </row>
    <row r="800" spans="1:1" x14ac:dyDescent="0.2">
      <c r="A800" s="52"/>
    </row>
    <row r="801" spans="1:1" x14ac:dyDescent="0.2">
      <c r="A801" s="52"/>
    </row>
    <row r="802" spans="1:1" x14ac:dyDescent="0.2">
      <c r="A802" s="52"/>
    </row>
    <row r="803" spans="1:1" x14ac:dyDescent="0.2">
      <c r="A803" s="52"/>
    </row>
    <row r="804" spans="1:1" x14ac:dyDescent="0.2">
      <c r="A804" s="52"/>
    </row>
    <row r="805" spans="1:1" x14ac:dyDescent="0.2">
      <c r="A805" s="52"/>
    </row>
    <row r="806" spans="1:1" x14ac:dyDescent="0.2">
      <c r="A806" s="52"/>
    </row>
    <row r="807" spans="1:1" x14ac:dyDescent="0.2">
      <c r="A807" s="52"/>
    </row>
    <row r="808" spans="1:1" x14ac:dyDescent="0.2">
      <c r="A808" s="52"/>
    </row>
    <row r="809" spans="1:1" x14ac:dyDescent="0.2">
      <c r="A809" s="52"/>
    </row>
    <row r="810" spans="1:1" x14ac:dyDescent="0.2">
      <c r="A810" s="52"/>
    </row>
    <row r="811" spans="1:1" x14ac:dyDescent="0.2">
      <c r="A811" s="52"/>
    </row>
    <row r="812" spans="1:1" x14ac:dyDescent="0.2">
      <c r="A812" s="52"/>
    </row>
    <row r="813" spans="1:1" x14ac:dyDescent="0.2">
      <c r="A813" s="52"/>
    </row>
    <row r="814" spans="1:1" x14ac:dyDescent="0.2">
      <c r="A814" s="52"/>
    </row>
    <row r="815" spans="1:1" x14ac:dyDescent="0.2">
      <c r="A815" s="52"/>
    </row>
    <row r="816" spans="1:1" x14ac:dyDescent="0.2">
      <c r="A816" s="52"/>
    </row>
    <row r="817" spans="1:1" x14ac:dyDescent="0.2">
      <c r="A817" s="52"/>
    </row>
    <row r="818" spans="1:1" x14ac:dyDescent="0.2">
      <c r="A818" s="52"/>
    </row>
    <row r="819" spans="1:1" x14ac:dyDescent="0.2">
      <c r="A819" s="52"/>
    </row>
    <row r="820" spans="1:1" x14ac:dyDescent="0.2">
      <c r="A820" s="52"/>
    </row>
    <row r="821" spans="1:1" x14ac:dyDescent="0.2">
      <c r="A821" s="52"/>
    </row>
    <row r="822" spans="1:1" x14ac:dyDescent="0.2">
      <c r="A822" s="52"/>
    </row>
    <row r="823" spans="1:1" x14ac:dyDescent="0.2">
      <c r="A823" s="52"/>
    </row>
    <row r="824" spans="1:1" x14ac:dyDescent="0.2">
      <c r="A824" s="52"/>
    </row>
    <row r="825" spans="1:1" x14ac:dyDescent="0.2">
      <c r="A825" s="52"/>
    </row>
    <row r="826" spans="1:1" x14ac:dyDescent="0.2">
      <c r="A826" s="52"/>
    </row>
    <row r="827" spans="1:1" x14ac:dyDescent="0.2">
      <c r="A827" s="52"/>
    </row>
    <row r="828" spans="1:1" x14ac:dyDescent="0.2">
      <c r="A828" s="52"/>
    </row>
    <row r="829" spans="1:1" x14ac:dyDescent="0.2">
      <c r="A829" s="52"/>
    </row>
    <row r="830" spans="1:1" x14ac:dyDescent="0.2">
      <c r="A830" s="53"/>
    </row>
    <row r="831" spans="1:1" x14ac:dyDescent="0.2">
      <c r="A831" s="52"/>
    </row>
    <row r="832" spans="1:1" x14ac:dyDescent="0.2">
      <c r="A832" s="52"/>
    </row>
    <row r="833" spans="1:1" x14ac:dyDescent="0.2">
      <c r="A833" s="52"/>
    </row>
    <row r="834" spans="1:1" x14ac:dyDescent="0.2">
      <c r="A834" s="53"/>
    </row>
    <row r="835" spans="1:1" x14ac:dyDescent="0.2">
      <c r="A835" s="53"/>
    </row>
    <row r="836" spans="1:1" x14ac:dyDescent="0.2">
      <c r="A836" s="52"/>
    </row>
    <row r="837" spans="1:1" x14ac:dyDescent="0.2">
      <c r="A837" s="52"/>
    </row>
    <row r="838" spans="1:1" x14ac:dyDescent="0.2">
      <c r="A838" s="52"/>
    </row>
    <row r="839" spans="1:1" x14ac:dyDescent="0.2">
      <c r="A839" s="53"/>
    </row>
    <row r="840" spans="1:1" x14ac:dyDescent="0.2">
      <c r="A840" s="52"/>
    </row>
    <row r="841" spans="1:1" x14ac:dyDescent="0.2">
      <c r="A841" s="52"/>
    </row>
    <row r="842" spans="1:1" x14ac:dyDescent="0.2">
      <c r="A842" s="52"/>
    </row>
    <row r="843" spans="1:1" x14ac:dyDescent="0.2">
      <c r="A843" s="52"/>
    </row>
    <row r="844" spans="1:1" x14ac:dyDescent="0.2">
      <c r="A844" s="52"/>
    </row>
    <row r="845" spans="1:1" x14ac:dyDescent="0.2">
      <c r="A845" s="52"/>
    </row>
    <row r="846" spans="1:1" x14ac:dyDescent="0.2">
      <c r="A846" s="52"/>
    </row>
    <row r="847" spans="1:1" x14ac:dyDescent="0.2">
      <c r="A847" s="52"/>
    </row>
    <row r="848" spans="1:1" x14ac:dyDescent="0.2">
      <c r="A848" s="52"/>
    </row>
    <row r="849" spans="1:1" x14ac:dyDescent="0.2">
      <c r="A849" s="53"/>
    </row>
    <row r="850" spans="1:1" x14ac:dyDescent="0.2">
      <c r="A850" s="52"/>
    </row>
    <row r="851" spans="1:1" x14ac:dyDescent="0.2">
      <c r="A851" s="52"/>
    </row>
    <row r="852" spans="1:1" x14ac:dyDescent="0.2">
      <c r="A852" s="52"/>
    </row>
    <row r="853" spans="1:1" x14ac:dyDescent="0.2">
      <c r="A853" s="52"/>
    </row>
    <row r="854" spans="1:1" x14ac:dyDescent="0.2">
      <c r="A854" s="52"/>
    </row>
    <row r="855" spans="1:1" x14ac:dyDescent="0.2">
      <c r="A855" s="53"/>
    </row>
    <row r="856" spans="1:1" x14ac:dyDescent="0.2">
      <c r="A856" s="52"/>
    </row>
    <row r="857" spans="1:1" x14ac:dyDescent="0.2">
      <c r="A857" s="52"/>
    </row>
    <row r="858" spans="1:1" x14ac:dyDescent="0.2">
      <c r="A858" s="52"/>
    </row>
    <row r="859" spans="1:1" x14ac:dyDescent="0.2">
      <c r="A859" s="53"/>
    </row>
    <row r="860" spans="1:1" x14ac:dyDescent="0.2">
      <c r="A860" s="52"/>
    </row>
    <row r="861" spans="1:1" x14ac:dyDescent="0.2">
      <c r="A861" s="52"/>
    </row>
    <row r="862" spans="1:1" x14ac:dyDescent="0.2">
      <c r="A862" s="52"/>
    </row>
    <row r="863" spans="1:1" x14ac:dyDescent="0.2">
      <c r="A863" s="52"/>
    </row>
    <row r="864" spans="1:1" x14ac:dyDescent="0.2">
      <c r="A864" s="52"/>
    </row>
    <row r="865" spans="1:1" x14ac:dyDescent="0.2">
      <c r="A865" s="52"/>
    </row>
    <row r="866" spans="1:1" x14ac:dyDescent="0.2">
      <c r="A866" s="52"/>
    </row>
    <row r="867" spans="1:1" x14ac:dyDescent="0.2">
      <c r="A867" s="52"/>
    </row>
    <row r="868" spans="1:1" x14ac:dyDescent="0.2">
      <c r="A868" s="52"/>
    </row>
    <row r="869" spans="1:1" x14ac:dyDescent="0.2">
      <c r="A869" s="52"/>
    </row>
    <row r="870" spans="1:1" x14ac:dyDescent="0.2">
      <c r="A870" s="52"/>
    </row>
    <row r="871" spans="1:1" x14ac:dyDescent="0.2">
      <c r="A871" s="52"/>
    </row>
    <row r="872" spans="1:1" x14ac:dyDescent="0.2">
      <c r="A872" s="52"/>
    </row>
    <row r="873" spans="1:1" x14ac:dyDescent="0.2">
      <c r="A873" s="52"/>
    </row>
    <row r="874" spans="1:1" x14ac:dyDescent="0.2">
      <c r="A874" s="52"/>
    </row>
    <row r="875" spans="1:1" x14ac:dyDescent="0.2">
      <c r="A875" s="52"/>
    </row>
    <row r="876" spans="1:1" x14ac:dyDescent="0.2">
      <c r="A876" s="52"/>
    </row>
    <row r="877" spans="1:1" x14ac:dyDescent="0.2">
      <c r="A877" s="52"/>
    </row>
    <row r="878" spans="1:1" x14ac:dyDescent="0.2">
      <c r="A878" s="52"/>
    </row>
    <row r="879" spans="1:1" x14ac:dyDescent="0.2">
      <c r="A879" s="52"/>
    </row>
    <row r="880" spans="1:1" x14ac:dyDescent="0.2">
      <c r="A880" s="52"/>
    </row>
    <row r="881" spans="1:1" x14ac:dyDescent="0.2">
      <c r="A881" s="52"/>
    </row>
    <row r="882" spans="1:1" x14ac:dyDescent="0.2">
      <c r="A882" s="52"/>
    </row>
    <row r="883" spans="1:1" x14ac:dyDescent="0.2">
      <c r="A883" s="53"/>
    </row>
    <row r="884" spans="1:1" x14ac:dyDescent="0.2">
      <c r="A884" s="52"/>
    </row>
    <row r="885" spans="1:1" x14ac:dyDescent="0.2">
      <c r="A885" s="52"/>
    </row>
    <row r="886" spans="1:1" x14ac:dyDescent="0.2">
      <c r="A886" s="52"/>
    </row>
    <row r="887" spans="1:1" x14ac:dyDescent="0.2">
      <c r="A887" s="52"/>
    </row>
    <row r="888" spans="1:1" x14ac:dyDescent="0.2">
      <c r="A888" s="52"/>
    </row>
    <row r="889" spans="1:1" x14ac:dyDescent="0.2">
      <c r="A889" s="52"/>
    </row>
    <row r="890" spans="1:1" x14ac:dyDescent="0.2">
      <c r="A890" s="53"/>
    </row>
    <row r="891" spans="1:1" x14ac:dyDescent="0.2">
      <c r="A891" s="52"/>
    </row>
    <row r="892" spans="1:1" x14ac:dyDescent="0.2">
      <c r="A892" s="52"/>
    </row>
    <row r="893" spans="1:1" x14ac:dyDescent="0.2">
      <c r="A893" s="52"/>
    </row>
    <row r="894" spans="1:1" x14ac:dyDescent="0.2">
      <c r="A894" s="52"/>
    </row>
    <row r="895" spans="1:1" x14ac:dyDescent="0.2">
      <c r="A895" s="52"/>
    </row>
    <row r="896" spans="1:1" x14ac:dyDescent="0.2">
      <c r="A896" s="53"/>
    </row>
    <row r="897" spans="1:1" x14ac:dyDescent="0.2">
      <c r="A897" s="53"/>
    </row>
    <row r="898" spans="1:1" x14ac:dyDescent="0.2">
      <c r="A898" s="52"/>
    </row>
    <row r="899" spans="1:1" x14ac:dyDescent="0.2">
      <c r="A899" s="52"/>
    </row>
    <row r="900" spans="1:1" x14ac:dyDescent="0.2">
      <c r="A900" s="52"/>
    </row>
    <row r="901" spans="1:1" x14ac:dyDescent="0.2">
      <c r="A901" s="52"/>
    </row>
    <row r="902" spans="1:1" x14ac:dyDescent="0.2">
      <c r="A902" s="52"/>
    </row>
    <row r="903" spans="1:1" x14ac:dyDescent="0.2">
      <c r="A903" s="52"/>
    </row>
    <row r="904" spans="1:1" x14ac:dyDescent="0.2">
      <c r="A904" s="52"/>
    </row>
    <row r="905" spans="1:1" x14ac:dyDescent="0.2">
      <c r="A905" s="53"/>
    </row>
    <row r="906" spans="1:1" x14ac:dyDescent="0.2">
      <c r="A906" s="52"/>
    </row>
    <row r="907" spans="1:1" x14ac:dyDescent="0.2">
      <c r="A907" s="52"/>
    </row>
    <row r="908" spans="1:1" x14ac:dyDescent="0.2">
      <c r="A908" s="52"/>
    </row>
    <row r="909" spans="1:1" x14ac:dyDescent="0.2">
      <c r="A909" s="53"/>
    </row>
    <row r="910" spans="1:1" x14ac:dyDescent="0.2">
      <c r="A910" s="52"/>
    </row>
    <row r="911" spans="1:1" x14ac:dyDescent="0.2">
      <c r="A911" s="52"/>
    </row>
    <row r="912" spans="1:1" x14ac:dyDescent="0.2">
      <c r="A912" s="53"/>
    </row>
    <row r="913" spans="1:1" x14ac:dyDescent="0.2">
      <c r="A913" s="52"/>
    </row>
    <row r="914" spans="1:1" x14ac:dyDescent="0.2">
      <c r="A914" s="52"/>
    </row>
    <row r="915" spans="1:1" x14ac:dyDescent="0.2">
      <c r="A915" s="52"/>
    </row>
    <row r="916" spans="1:1" x14ac:dyDescent="0.2">
      <c r="A916" s="52"/>
    </row>
    <row r="917" spans="1:1" x14ac:dyDescent="0.2">
      <c r="A917" s="52"/>
    </row>
    <row r="918" spans="1:1" x14ac:dyDescent="0.2">
      <c r="A918" s="52"/>
    </row>
    <row r="919" spans="1:1" x14ac:dyDescent="0.2">
      <c r="A919" s="52"/>
    </row>
    <row r="920" spans="1:1" x14ac:dyDescent="0.2">
      <c r="A920" s="52"/>
    </row>
    <row r="921" spans="1:1" x14ac:dyDescent="0.2">
      <c r="A921" s="52"/>
    </row>
    <row r="922" spans="1:1" x14ac:dyDescent="0.2">
      <c r="A922" s="52"/>
    </row>
    <row r="923" spans="1:1" x14ac:dyDescent="0.2">
      <c r="A923" s="52"/>
    </row>
    <row r="924" spans="1:1" x14ac:dyDescent="0.2">
      <c r="A924" s="52"/>
    </row>
    <row r="925" spans="1:1" x14ac:dyDescent="0.2">
      <c r="A925" s="53"/>
    </row>
    <row r="926" spans="1:1" x14ac:dyDescent="0.2">
      <c r="A926" s="52"/>
    </row>
    <row r="927" spans="1:1" x14ac:dyDescent="0.2">
      <c r="A927" s="52"/>
    </row>
    <row r="928" spans="1:1" x14ac:dyDescent="0.2">
      <c r="A928" s="52"/>
    </row>
    <row r="929" spans="1:1" x14ac:dyDescent="0.2">
      <c r="A929" s="52"/>
    </row>
    <row r="930" spans="1:1" x14ac:dyDescent="0.2">
      <c r="A930" s="52"/>
    </row>
    <row r="931" spans="1:1" x14ac:dyDescent="0.2">
      <c r="A931" s="53"/>
    </row>
    <row r="932" spans="1:1" x14ac:dyDescent="0.2">
      <c r="A932" s="52"/>
    </row>
    <row r="933" spans="1:1" x14ac:dyDescent="0.2">
      <c r="A933" s="52"/>
    </row>
    <row r="934" spans="1:1" x14ac:dyDescent="0.2">
      <c r="A934" s="52"/>
    </row>
    <row r="935" spans="1:1" x14ac:dyDescent="0.2">
      <c r="A935" s="52"/>
    </row>
    <row r="936" spans="1:1" x14ac:dyDescent="0.2">
      <c r="A936" s="52"/>
    </row>
    <row r="937" spans="1:1" x14ac:dyDescent="0.2">
      <c r="A937" s="52"/>
    </row>
    <row r="938" spans="1:1" x14ac:dyDescent="0.2">
      <c r="A938" s="52"/>
    </row>
    <row r="939" spans="1:1" x14ac:dyDescent="0.2">
      <c r="A939" s="53"/>
    </row>
    <row r="940" spans="1:1" x14ac:dyDescent="0.2">
      <c r="A940" s="52"/>
    </row>
    <row r="941" spans="1:1" x14ac:dyDescent="0.2">
      <c r="A941" s="52"/>
    </row>
    <row r="942" spans="1:1" x14ac:dyDescent="0.2">
      <c r="A942" s="52"/>
    </row>
    <row r="943" spans="1:1" x14ac:dyDescent="0.2">
      <c r="A943" s="52"/>
    </row>
    <row r="944" spans="1:1" x14ac:dyDescent="0.2">
      <c r="A944" s="52"/>
    </row>
    <row r="945" spans="1:1" x14ac:dyDescent="0.2">
      <c r="A945" s="52"/>
    </row>
    <row r="946" spans="1:1" x14ac:dyDescent="0.2">
      <c r="A946" s="52"/>
    </row>
    <row r="947" spans="1:1" x14ac:dyDescent="0.2">
      <c r="A947" s="52"/>
    </row>
    <row r="948" spans="1:1" x14ac:dyDescent="0.2">
      <c r="A948" s="52"/>
    </row>
    <row r="949" spans="1:1" x14ac:dyDescent="0.2">
      <c r="A949" s="52"/>
    </row>
    <row r="950" spans="1:1" x14ac:dyDescent="0.2">
      <c r="A950" s="52"/>
    </row>
    <row r="951" spans="1:1" x14ac:dyDescent="0.2">
      <c r="A951" s="52"/>
    </row>
    <row r="952" spans="1:1" x14ac:dyDescent="0.2">
      <c r="A952" s="52"/>
    </row>
    <row r="953" spans="1:1" x14ac:dyDescent="0.2">
      <c r="A953" s="52"/>
    </row>
    <row r="954" spans="1:1" x14ac:dyDescent="0.2">
      <c r="A954" s="52"/>
    </row>
    <row r="955" spans="1:1" x14ac:dyDescent="0.2">
      <c r="A955" s="52"/>
    </row>
    <row r="956" spans="1:1" x14ac:dyDescent="0.2">
      <c r="A956" s="52"/>
    </row>
    <row r="957" spans="1:1" x14ac:dyDescent="0.2">
      <c r="A957" s="52"/>
    </row>
    <row r="958" spans="1:1" x14ac:dyDescent="0.2">
      <c r="A958" s="52"/>
    </row>
    <row r="959" spans="1:1" x14ac:dyDescent="0.2">
      <c r="A959" s="52"/>
    </row>
    <row r="960" spans="1:1" x14ac:dyDescent="0.2">
      <c r="A960" s="52"/>
    </row>
    <row r="961" spans="1:1" x14ac:dyDescent="0.2">
      <c r="A961" s="52"/>
    </row>
    <row r="962" spans="1:1" x14ac:dyDescent="0.2">
      <c r="A962" s="52"/>
    </row>
    <row r="963" spans="1:1" x14ac:dyDescent="0.2">
      <c r="A963" s="52"/>
    </row>
    <row r="964" spans="1:1" x14ac:dyDescent="0.2">
      <c r="A964" s="52"/>
    </row>
    <row r="965" spans="1:1" x14ac:dyDescent="0.2">
      <c r="A965" s="52"/>
    </row>
    <row r="966" spans="1:1" x14ac:dyDescent="0.2">
      <c r="A966" s="52"/>
    </row>
    <row r="967" spans="1:1" x14ac:dyDescent="0.2">
      <c r="A967" s="52"/>
    </row>
    <row r="968" spans="1:1" x14ac:dyDescent="0.2">
      <c r="A968" s="52"/>
    </row>
    <row r="969" spans="1:1" x14ac:dyDescent="0.2">
      <c r="A969" s="52"/>
    </row>
    <row r="970" spans="1:1" x14ac:dyDescent="0.2">
      <c r="A970" s="52"/>
    </row>
    <row r="971" spans="1:1" x14ac:dyDescent="0.2">
      <c r="A971" s="52"/>
    </row>
    <row r="972" spans="1:1" x14ac:dyDescent="0.2">
      <c r="A972" s="52"/>
    </row>
    <row r="973" spans="1:1" x14ac:dyDescent="0.2">
      <c r="A973" s="52"/>
    </row>
    <row r="974" spans="1:1" x14ac:dyDescent="0.2">
      <c r="A974" s="52"/>
    </row>
    <row r="975" spans="1:1" x14ac:dyDescent="0.2">
      <c r="A975" s="52"/>
    </row>
    <row r="976" spans="1:1" x14ac:dyDescent="0.2">
      <c r="A976" s="52"/>
    </row>
    <row r="977" spans="1:1" x14ac:dyDescent="0.2">
      <c r="A977" s="52"/>
    </row>
    <row r="978" spans="1:1" x14ac:dyDescent="0.2">
      <c r="A978" s="52"/>
    </row>
    <row r="979" spans="1:1" x14ac:dyDescent="0.2">
      <c r="A979" s="52"/>
    </row>
    <row r="980" spans="1:1" x14ac:dyDescent="0.2">
      <c r="A980" s="52"/>
    </row>
    <row r="981" spans="1:1" x14ac:dyDescent="0.2">
      <c r="A981" s="52"/>
    </row>
    <row r="982" spans="1:1" x14ac:dyDescent="0.2">
      <c r="A982" s="52"/>
    </row>
    <row r="983" spans="1:1" x14ac:dyDescent="0.2">
      <c r="A983" s="52"/>
    </row>
    <row r="984" spans="1:1" x14ac:dyDescent="0.2">
      <c r="A984" s="53"/>
    </row>
    <row r="985" spans="1:1" x14ac:dyDescent="0.2">
      <c r="A985" s="52"/>
    </row>
    <row r="986" spans="1:1" x14ac:dyDescent="0.2">
      <c r="A986" s="52"/>
    </row>
    <row r="987" spans="1:1" x14ac:dyDescent="0.2">
      <c r="A987" s="52"/>
    </row>
    <row r="988" spans="1:1" x14ac:dyDescent="0.2">
      <c r="A988" s="52"/>
    </row>
    <row r="989" spans="1:1" x14ac:dyDescent="0.2">
      <c r="A989" s="53"/>
    </row>
    <row r="990" spans="1:1" x14ac:dyDescent="0.2">
      <c r="A990" s="52"/>
    </row>
    <row r="991" spans="1:1" x14ac:dyDescent="0.2">
      <c r="A991" s="52"/>
    </row>
    <row r="992" spans="1:1" x14ac:dyDescent="0.2">
      <c r="A992" s="52"/>
    </row>
    <row r="993" spans="1:1" x14ac:dyDescent="0.2">
      <c r="A993" s="52"/>
    </row>
    <row r="994" spans="1:1" x14ac:dyDescent="0.2">
      <c r="A994" s="52"/>
    </row>
    <row r="995" spans="1:1" x14ac:dyDescent="0.2">
      <c r="A995" s="52"/>
    </row>
    <row r="996" spans="1:1" x14ac:dyDescent="0.2">
      <c r="A996" s="52"/>
    </row>
    <row r="997" spans="1:1" x14ac:dyDescent="0.2">
      <c r="A997" s="52"/>
    </row>
    <row r="998" spans="1:1" x14ac:dyDescent="0.2">
      <c r="A998" s="52"/>
    </row>
    <row r="999" spans="1:1" x14ac:dyDescent="0.2">
      <c r="A999" s="52"/>
    </row>
    <row r="1000" spans="1:1" x14ac:dyDescent="0.2">
      <c r="A1000" s="52"/>
    </row>
    <row r="1001" spans="1:1" x14ac:dyDescent="0.2">
      <c r="A1001" s="52"/>
    </row>
    <row r="1002" spans="1:1" x14ac:dyDescent="0.2">
      <c r="A1002" s="52"/>
    </row>
    <row r="1003" spans="1:1" x14ac:dyDescent="0.2">
      <c r="A1003" s="52"/>
    </row>
    <row r="1004" spans="1:1" x14ac:dyDescent="0.2">
      <c r="A1004" s="52"/>
    </row>
    <row r="1005" spans="1:1" x14ac:dyDescent="0.2">
      <c r="A1005" s="52"/>
    </row>
    <row r="1006" spans="1:1" x14ac:dyDescent="0.2">
      <c r="A1006" s="52"/>
    </row>
    <row r="1007" spans="1:1" x14ac:dyDescent="0.2">
      <c r="A1007" s="52"/>
    </row>
    <row r="1008" spans="1:1" x14ac:dyDescent="0.2">
      <c r="A1008" s="52"/>
    </row>
    <row r="1009" spans="1:1" x14ac:dyDescent="0.2">
      <c r="A1009" s="52"/>
    </row>
    <row r="1010" spans="1:1" x14ac:dyDescent="0.2">
      <c r="A1010" s="53"/>
    </row>
    <row r="1011" spans="1:1" x14ac:dyDescent="0.2">
      <c r="A1011" s="52"/>
    </row>
    <row r="1012" spans="1:1" x14ac:dyDescent="0.2">
      <c r="A1012" s="52"/>
    </row>
    <row r="1013" spans="1:1" x14ac:dyDescent="0.2">
      <c r="A1013" s="52"/>
    </row>
    <row r="1014" spans="1:1" x14ac:dyDescent="0.2">
      <c r="A1014" s="52"/>
    </row>
    <row r="1015" spans="1:1" x14ac:dyDescent="0.2">
      <c r="A1015" s="53"/>
    </row>
    <row r="1016" spans="1:1" x14ac:dyDescent="0.2">
      <c r="A1016" s="52"/>
    </row>
    <row r="1017" spans="1:1" x14ac:dyDescent="0.2">
      <c r="A1017" s="52"/>
    </row>
    <row r="1018" spans="1:1" x14ac:dyDescent="0.2">
      <c r="A1018" s="52"/>
    </row>
    <row r="1019" spans="1:1" x14ac:dyDescent="0.2">
      <c r="A1019" s="52"/>
    </row>
    <row r="1020" spans="1:1" x14ac:dyDescent="0.2">
      <c r="A1020" s="53"/>
    </row>
    <row r="1021" spans="1:1" x14ac:dyDescent="0.2">
      <c r="A1021" s="52"/>
    </row>
    <row r="1022" spans="1:1" x14ac:dyDescent="0.2">
      <c r="A1022" s="52"/>
    </row>
    <row r="1023" spans="1:1" x14ac:dyDescent="0.2">
      <c r="A1023" s="52"/>
    </row>
    <row r="1024" spans="1:1" x14ac:dyDescent="0.2">
      <c r="A1024" s="52"/>
    </row>
    <row r="1025" spans="1:6" x14ac:dyDescent="0.2">
      <c r="A1025" s="52"/>
    </row>
    <row r="1026" spans="1:6" x14ac:dyDescent="0.2">
      <c r="A1026" s="52"/>
    </row>
    <row r="1027" spans="1:6" x14ac:dyDescent="0.2">
      <c r="A1027" s="53"/>
    </row>
    <row r="1028" spans="1:6" x14ac:dyDescent="0.2">
      <c r="A1028" s="52"/>
    </row>
    <row r="1029" spans="1:6" x14ac:dyDescent="0.2">
      <c r="A1029" s="52"/>
    </row>
    <row r="1030" spans="1:6" x14ac:dyDescent="0.2">
      <c r="A1030" s="52"/>
    </row>
    <row r="1031" spans="1:6" x14ac:dyDescent="0.2">
      <c r="A1031" s="52"/>
    </row>
    <row r="1032" spans="1:6" x14ac:dyDescent="0.2">
      <c r="A1032" s="52"/>
    </row>
    <row r="1033" spans="1:6" x14ac:dyDescent="0.2">
      <c r="A1033" s="52"/>
    </row>
    <row r="1034" spans="1:6" x14ac:dyDescent="0.2">
      <c r="A1034" s="53"/>
    </row>
    <row r="1035" spans="1:6" x14ac:dyDescent="0.2">
      <c r="A1035" s="52"/>
      <c r="F1035" s="29"/>
    </row>
    <row r="1036" spans="1:6" x14ac:dyDescent="0.2">
      <c r="A1036" s="52"/>
    </row>
    <row r="1037" spans="1:6" x14ac:dyDescent="0.2">
      <c r="A1037" s="52"/>
    </row>
    <row r="1038" spans="1:6" x14ac:dyDescent="0.2">
      <c r="A1038" s="52"/>
    </row>
    <row r="1039" spans="1:6" x14ac:dyDescent="0.2">
      <c r="A1039" s="52"/>
    </row>
    <row r="1040" spans="1:6" x14ac:dyDescent="0.2">
      <c r="A1040" s="52"/>
    </row>
    <row r="1041" spans="1:6" x14ac:dyDescent="0.2">
      <c r="A1041" s="53"/>
    </row>
    <row r="1042" spans="1:6" x14ac:dyDescent="0.2">
      <c r="A1042" s="52"/>
    </row>
    <row r="1043" spans="1:6" x14ac:dyDescent="0.2">
      <c r="A1043" s="52"/>
    </row>
    <row r="1044" spans="1:6" x14ac:dyDescent="0.2">
      <c r="A1044" s="52"/>
      <c r="F1044" s="29"/>
    </row>
    <row r="1045" spans="1:6" x14ac:dyDescent="0.2">
      <c r="A1045" s="52"/>
    </row>
    <row r="1046" spans="1:6" x14ac:dyDescent="0.2">
      <c r="A1046" s="52"/>
    </row>
    <row r="1047" spans="1:6" x14ac:dyDescent="0.2">
      <c r="A1047" s="52"/>
    </row>
    <row r="1048" spans="1:6" x14ac:dyDescent="0.2">
      <c r="A1048" s="52"/>
    </row>
    <row r="1049" spans="1:6" x14ac:dyDescent="0.2">
      <c r="A1049" s="52"/>
    </row>
    <row r="1050" spans="1:6" x14ac:dyDescent="0.2">
      <c r="A1050" s="53"/>
    </row>
    <row r="1051" spans="1:6" x14ac:dyDescent="0.2">
      <c r="A1051" s="53"/>
    </row>
    <row r="1052" spans="1:6" x14ac:dyDescent="0.2">
      <c r="A1052" s="53"/>
    </row>
    <row r="1053" spans="1:6" x14ac:dyDescent="0.2">
      <c r="A1053" s="53"/>
    </row>
    <row r="1054" spans="1:6" x14ac:dyDescent="0.2">
      <c r="A1054" s="52"/>
    </row>
    <row r="1055" spans="1:6" x14ac:dyDescent="0.2">
      <c r="A1055" s="52"/>
    </row>
    <row r="1056" spans="1:6" x14ac:dyDescent="0.2">
      <c r="A1056" s="52"/>
    </row>
    <row r="1057" spans="1:1" x14ac:dyDescent="0.2">
      <c r="A1057" s="52"/>
    </row>
    <row r="1058" spans="1:1" x14ac:dyDescent="0.2">
      <c r="A1058" s="52"/>
    </row>
    <row r="1059" spans="1:1" x14ac:dyDescent="0.2">
      <c r="A1059" s="52"/>
    </row>
    <row r="1060" spans="1:1" x14ac:dyDescent="0.2">
      <c r="A1060" s="52"/>
    </row>
    <row r="1061" spans="1:1" x14ac:dyDescent="0.2">
      <c r="A1061" s="52"/>
    </row>
    <row r="1062" spans="1:1" x14ac:dyDescent="0.2">
      <c r="A1062" s="52"/>
    </row>
    <row r="1063" spans="1:1" x14ac:dyDescent="0.2">
      <c r="A1063" s="52"/>
    </row>
    <row r="1064" spans="1:1" x14ac:dyDescent="0.2">
      <c r="A1064" s="52"/>
    </row>
    <row r="1065" spans="1:1" x14ac:dyDescent="0.2">
      <c r="A1065" s="52"/>
    </row>
    <row r="1066" spans="1:1" x14ac:dyDescent="0.2">
      <c r="A1066" s="52"/>
    </row>
    <row r="1067" spans="1:1" x14ac:dyDescent="0.2">
      <c r="A1067" s="53"/>
    </row>
    <row r="1068" spans="1:1" x14ac:dyDescent="0.2">
      <c r="A1068" s="52"/>
    </row>
    <row r="1069" spans="1:1" x14ac:dyDescent="0.2">
      <c r="A1069" s="52"/>
    </row>
    <row r="1070" spans="1:1" x14ac:dyDescent="0.2">
      <c r="A1070" s="52"/>
    </row>
    <row r="1071" spans="1:1" x14ac:dyDescent="0.2">
      <c r="A1071" s="52"/>
    </row>
    <row r="1072" spans="1:1" x14ac:dyDescent="0.2">
      <c r="A1072" s="52"/>
    </row>
    <row r="1073" spans="1:1" x14ac:dyDescent="0.2">
      <c r="A1073" s="52"/>
    </row>
    <row r="1074" spans="1:1" x14ac:dyDescent="0.2">
      <c r="A1074" s="52"/>
    </row>
    <row r="1075" spans="1:1" x14ac:dyDescent="0.2">
      <c r="A1075" s="52"/>
    </row>
    <row r="1076" spans="1:1" x14ac:dyDescent="0.2">
      <c r="A1076" s="52"/>
    </row>
    <row r="1077" spans="1:1" x14ac:dyDescent="0.2">
      <c r="A1077" s="52"/>
    </row>
    <row r="1078" spans="1:1" x14ac:dyDescent="0.2">
      <c r="A1078" s="52"/>
    </row>
    <row r="1079" spans="1:1" x14ac:dyDescent="0.2">
      <c r="A1079" s="52"/>
    </row>
    <row r="1080" spans="1:1" x14ac:dyDescent="0.2">
      <c r="A1080" s="52"/>
    </row>
    <row r="1081" spans="1:1" x14ac:dyDescent="0.2">
      <c r="A1081" s="52"/>
    </row>
    <row r="1082" spans="1:1" x14ac:dyDescent="0.2">
      <c r="A1082" s="52"/>
    </row>
    <row r="1083" spans="1:1" x14ac:dyDescent="0.2">
      <c r="A1083" s="52"/>
    </row>
    <row r="1084" spans="1:1" x14ac:dyDescent="0.2">
      <c r="A1084" s="52"/>
    </row>
    <row r="1085" spans="1:1" x14ac:dyDescent="0.2">
      <c r="A1085" s="52"/>
    </row>
    <row r="1086" spans="1:1" x14ac:dyDescent="0.2">
      <c r="A1086" s="52"/>
    </row>
    <row r="1087" spans="1:1" x14ac:dyDescent="0.2">
      <c r="A1087" s="52"/>
    </row>
    <row r="1088" spans="1:1" x14ac:dyDescent="0.2">
      <c r="A1088" s="52"/>
    </row>
    <row r="1089" spans="1:6" x14ac:dyDescent="0.2">
      <c r="A1089" s="52"/>
    </row>
    <row r="1090" spans="1:6" x14ac:dyDescent="0.2">
      <c r="A1090" s="52"/>
    </row>
    <row r="1091" spans="1:6" x14ac:dyDescent="0.2">
      <c r="A1091" s="52"/>
      <c r="F1091" s="29"/>
    </row>
    <row r="1092" spans="1:6" x14ac:dyDescent="0.2">
      <c r="A1092" s="52"/>
      <c r="F1092" s="29"/>
    </row>
    <row r="1093" spans="1:6" x14ac:dyDescent="0.2">
      <c r="A1093" s="53"/>
    </row>
    <row r="1094" spans="1:6" x14ac:dyDescent="0.2">
      <c r="A1094" s="52"/>
    </row>
    <row r="1095" spans="1:6" x14ac:dyDescent="0.2">
      <c r="A1095" s="52"/>
      <c r="F1095" s="29"/>
    </row>
    <row r="1096" spans="1:6" x14ac:dyDescent="0.2">
      <c r="A1096" s="52"/>
      <c r="F1096" s="29"/>
    </row>
    <row r="1097" spans="1:6" x14ac:dyDescent="0.2">
      <c r="A1097" s="52"/>
    </row>
    <row r="1098" spans="1:6" x14ac:dyDescent="0.2">
      <c r="A1098" s="52"/>
    </row>
    <row r="1099" spans="1:6" x14ac:dyDescent="0.2">
      <c r="A1099" s="53"/>
    </row>
    <row r="1100" spans="1:6" x14ac:dyDescent="0.2">
      <c r="A1100" s="52"/>
    </row>
    <row r="1101" spans="1:6" x14ac:dyDescent="0.2">
      <c r="A1101" s="52"/>
    </row>
    <row r="1102" spans="1:6" x14ac:dyDescent="0.2">
      <c r="A1102" s="52"/>
    </row>
    <row r="1103" spans="1:6" x14ac:dyDescent="0.2">
      <c r="A1103" s="52"/>
    </row>
    <row r="1104" spans="1:6" x14ac:dyDescent="0.2">
      <c r="A1104" s="52"/>
      <c r="F1104" s="29"/>
    </row>
    <row r="1105" spans="1:6" x14ac:dyDescent="0.2">
      <c r="A1105" s="52"/>
      <c r="F1105" s="29"/>
    </row>
    <row r="1106" spans="1:6" x14ac:dyDescent="0.2">
      <c r="A1106" s="52"/>
      <c r="F1106" s="29"/>
    </row>
    <row r="1107" spans="1:6" x14ac:dyDescent="0.2">
      <c r="A1107" s="52"/>
      <c r="F1107" s="29"/>
    </row>
    <row r="1108" spans="1:6" x14ac:dyDescent="0.2">
      <c r="A1108" s="52"/>
    </row>
    <row r="1109" spans="1:6" x14ac:dyDescent="0.2">
      <c r="A1109" s="52"/>
      <c r="F1109" s="29"/>
    </row>
    <row r="1110" spans="1:6" x14ac:dyDescent="0.2">
      <c r="A1110" s="52"/>
      <c r="F1110" s="29"/>
    </row>
    <row r="1111" spans="1:6" x14ac:dyDescent="0.2">
      <c r="A1111" s="52"/>
      <c r="F1111" s="29"/>
    </row>
    <row r="1112" spans="1:6" x14ac:dyDescent="0.2">
      <c r="A1112" s="52"/>
    </row>
    <row r="1113" spans="1:6" x14ac:dyDescent="0.2">
      <c r="A1113" s="52"/>
    </row>
    <row r="1114" spans="1:6" x14ac:dyDescent="0.2">
      <c r="A1114" s="52"/>
    </row>
    <row r="1115" spans="1:6" x14ac:dyDescent="0.2">
      <c r="A1115" s="52"/>
    </row>
    <row r="1116" spans="1:6" x14ac:dyDescent="0.2">
      <c r="A1116" s="52"/>
    </row>
    <row r="1117" spans="1:6" x14ac:dyDescent="0.2">
      <c r="A1117" s="52"/>
    </row>
    <row r="1118" spans="1:6" x14ac:dyDescent="0.2">
      <c r="A1118" s="52"/>
    </row>
    <row r="1119" spans="1:6" x14ac:dyDescent="0.2">
      <c r="A1119" s="52"/>
    </row>
    <row r="1120" spans="1:6" x14ac:dyDescent="0.2">
      <c r="A1120" s="52"/>
    </row>
    <row r="1121" spans="1:1" x14ac:dyDescent="0.2">
      <c r="A1121" s="52"/>
    </row>
    <row r="1122" spans="1:1" x14ac:dyDescent="0.2">
      <c r="A1122" s="53"/>
    </row>
    <row r="1123" spans="1:1" x14ac:dyDescent="0.2">
      <c r="A1123" s="52"/>
    </row>
    <row r="1124" spans="1:1" x14ac:dyDescent="0.2">
      <c r="A1124" s="53"/>
    </row>
    <row r="1125" spans="1:1" x14ac:dyDescent="0.2">
      <c r="A1125" s="53"/>
    </row>
    <row r="1126" spans="1:1" x14ac:dyDescent="0.2">
      <c r="A1126" s="52"/>
    </row>
    <row r="1127" spans="1:1" x14ac:dyDescent="0.2">
      <c r="A1127" s="52"/>
    </row>
    <row r="1128" spans="1:1" x14ac:dyDescent="0.2">
      <c r="A1128" s="52"/>
    </row>
    <row r="1129" spans="1:1" x14ac:dyDescent="0.2">
      <c r="A1129" s="52"/>
    </row>
    <row r="1130" spans="1:1" x14ac:dyDescent="0.2">
      <c r="A1130" s="52"/>
    </row>
    <row r="1131" spans="1:1" x14ac:dyDescent="0.2">
      <c r="A1131" s="52"/>
    </row>
    <row r="1132" spans="1:1" x14ac:dyDescent="0.2">
      <c r="A1132" s="52"/>
    </row>
    <row r="1133" spans="1:1" x14ac:dyDescent="0.2">
      <c r="A1133" s="52"/>
    </row>
    <row r="1134" spans="1:1" x14ac:dyDescent="0.2">
      <c r="A1134" s="52"/>
    </row>
    <row r="1135" spans="1:1" x14ac:dyDescent="0.2">
      <c r="A1135" s="52"/>
    </row>
    <row r="1136" spans="1:1" x14ac:dyDescent="0.2">
      <c r="A1136" s="52"/>
    </row>
    <row r="1137" spans="1:1" x14ac:dyDescent="0.2">
      <c r="A1137" s="52"/>
    </row>
    <row r="1138" spans="1:1" x14ac:dyDescent="0.2">
      <c r="A1138" s="52"/>
    </row>
    <row r="1139" spans="1:1" x14ac:dyDescent="0.2">
      <c r="A1139" s="52"/>
    </row>
    <row r="1140" spans="1:1" x14ac:dyDescent="0.2">
      <c r="A1140" s="52"/>
    </row>
    <row r="1141" spans="1:1" x14ac:dyDescent="0.2">
      <c r="A1141" s="52"/>
    </row>
    <row r="1142" spans="1:1" x14ac:dyDescent="0.2">
      <c r="A1142" s="52"/>
    </row>
    <row r="1143" spans="1:1" x14ac:dyDescent="0.2">
      <c r="A1143" s="52"/>
    </row>
    <row r="1144" spans="1:1" x14ac:dyDescent="0.2">
      <c r="A1144" s="52"/>
    </row>
    <row r="1145" spans="1:1" x14ac:dyDescent="0.2">
      <c r="A1145" s="52"/>
    </row>
    <row r="1146" spans="1:1" x14ac:dyDescent="0.2">
      <c r="A1146" s="52"/>
    </row>
    <row r="1147" spans="1:1" x14ac:dyDescent="0.2">
      <c r="A1147" s="52"/>
    </row>
    <row r="1148" spans="1:1" x14ac:dyDescent="0.2">
      <c r="A1148" s="52"/>
    </row>
    <row r="1149" spans="1:1" x14ac:dyDescent="0.2">
      <c r="A1149" s="52"/>
    </row>
    <row r="1150" spans="1:1" x14ac:dyDescent="0.2">
      <c r="A1150" s="52"/>
    </row>
    <row r="1151" spans="1:1" x14ac:dyDescent="0.2">
      <c r="A1151" s="52"/>
    </row>
    <row r="1152" spans="1:1" x14ac:dyDescent="0.2">
      <c r="A1152" s="52"/>
    </row>
    <row r="1153" spans="1:1" x14ac:dyDescent="0.2">
      <c r="A1153" s="52"/>
    </row>
    <row r="1154" spans="1:1" x14ac:dyDescent="0.2">
      <c r="A1154" s="52"/>
    </row>
    <row r="1155" spans="1:1" x14ac:dyDescent="0.2">
      <c r="A1155" s="52"/>
    </row>
    <row r="1156" spans="1:1" x14ac:dyDescent="0.2">
      <c r="A1156" s="52"/>
    </row>
    <row r="1157" spans="1:1" x14ac:dyDescent="0.2">
      <c r="A1157" s="52"/>
    </row>
    <row r="1158" spans="1:1" x14ac:dyDescent="0.2">
      <c r="A1158" s="52"/>
    </row>
    <row r="1159" spans="1:1" x14ac:dyDescent="0.2">
      <c r="A1159" s="52"/>
    </row>
    <row r="1160" spans="1:1" x14ac:dyDescent="0.2">
      <c r="A1160" s="52"/>
    </row>
    <row r="1161" spans="1:1" x14ac:dyDescent="0.2">
      <c r="A1161" s="52"/>
    </row>
    <row r="1162" spans="1:1" x14ac:dyDescent="0.2">
      <c r="A1162" s="52"/>
    </row>
    <row r="1163" spans="1:1" x14ac:dyDescent="0.2">
      <c r="A1163" s="52"/>
    </row>
    <row r="1164" spans="1:1" x14ac:dyDescent="0.2">
      <c r="A1164" s="52"/>
    </row>
    <row r="1165" spans="1:1" x14ac:dyDescent="0.2">
      <c r="A1165" s="52"/>
    </row>
    <row r="1166" spans="1:1" x14ac:dyDescent="0.2">
      <c r="A1166" s="52"/>
    </row>
    <row r="1167" spans="1:1" x14ac:dyDescent="0.2">
      <c r="A1167" s="52"/>
    </row>
    <row r="1168" spans="1:1" x14ac:dyDescent="0.2">
      <c r="A1168" s="52"/>
    </row>
    <row r="1169" spans="1:1" x14ac:dyDescent="0.2">
      <c r="A1169" s="52"/>
    </row>
    <row r="1170" spans="1:1" x14ac:dyDescent="0.2">
      <c r="A1170" s="52"/>
    </row>
    <row r="1171" spans="1:1" x14ac:dyDescent="0.2">
      <c r="A1171" s="52"/>
    </row>
    <row r="1172" spans="1:1" x14ac:dyDescent="0.2">
      <c r="A1172" s="53"/>
    </row>
    <row r="1173" spans="1:1" x14ac:dyDescent="0.2">
      <c r="A1173" s="52"/>
    </row>
    <row r="1174" spans="1:1" x14ac:dyDescent="0.2">
      <c r="A1174" s="52"/>
    </row>
    <row r="1175" spans="1:1" x14ac:dyDescent="0.2">
      <c r="A1175" s="52"/>
    </row>
    <row r="1176" spans="1:1" x14ac:dyDescent="0.2">
      <c r="A1176" s="52"/>
    </row>
    <row r="1177" spans="1:1" x14ac:dyDescent="0.2">
      <c r="A1177" s="52"/>
    </row>
    <row r="1178" spans="1:1" x14ac:dyDescent="0.2">
      <c r="A1178" s="52"/>
    </row>
    <row r="1179" spans="1:1" x14ac:dyDescent="0.2">
      <c r="A1179" s="52"/>
    </row>
    <row r="1180" spans="1:1" x14ac:dyDescent="0.2">
      <c r="A1180" s="53"/>
    </row>
    <row r="1181" spans="1:1" x14ac:dyDescent="0.2">
      <c r="A1181" s="52"/>
    </row>
    <row r="1182" spans="1:1" x14ac:dyDescent="0.2">
      <c r="A1182" s="52"/>
    </row>
    <row r="1183" spans="1:1" x14ac:dyDescent="0.2">
      <c r="A1183" s="52"/>
    </row>
    <row r="1184" spans="1:1" x14ac:dyDescent="0.2">
      <c r="A1184" s="52"/>
    </row>
    <row r="1185" spans="1:1" x14ac:dyDescent="0.2">
      <c r="A1185" s="52"/>
    </row>
    <row r="1186" spans="1:1" x14ac:dyDescent="0.2">
      <c r="A1186" s="52"/>
    </row>
    <row r="1187" spans="1:1" x14ac:dyDescent="0.2">
      <c r="A1187" s="52"/>
    </row>
    <row r="1188" spans="1:1" x14ac:dyDescent="0.2">
      <c r="A1188" s="52"/>
    </row>
    <row r="1189" spans="1:1" x14ac:dyDescent="0.2">
      <c r="A1189" s="52"/>
    </row>
    <row r="1190" spans="1:1" x14ac:dyDescent="0.2">
      <c r="A1190" s="52"/>
    </row>
    <row r="1191" spans="1:1" x14ac:dyDescent="0.2">
      <c r="A1191" s="52"/>
    </row>
    <row r="1192" spans="1:1" x14ac:dyDescent="0.2">
      <c r="A1192" s="52"/>
    </row>
    <row r="1193" spans="1:1" x14ac:dyDescent="0.2">
      <c r="A1193" s="52"/>
    </row>
    <row r="1194" spans="1:1" x14ac:dyDescent="0.2">
      <c r="A1194" s="52"/>
    </row>
    <row r="1195" spans="1:1" x14ac:dyDescent="0.2">
      <c r="A1195" s="52"/>
    </row>
    <row r="1196" spans="1:1" x14ac:dyDescent="0.2">
      <c r="A1196" s="52"/>
    </row>
    <row r="1197" spans="1:1" x14ac:dyDescent="0.2">
      <c r="A1197" s="52"/>
    </row>
    <row r="1198" spans="1:1" x14ac:dyDescent="0.2">
      <c r="A1198" s="52"/>
    </row>
    <row r="1199" spans="1:1" x14ac:dyDescent="0.2">
      <c r="A1199" s="53"/>
    </row>
    <row r="1200" spans="1:1" x14ac:dyDescent="0.2">
      <c r="A1200" s="52"/>
    </row>
    <row r="1201" spans="1:1" x14ac:dyDescent="0.2">
      <c r="A1201" s="52"/>
    </row>
    <row r="1202" spans="1:1" x14ac:dyDescent="0.2">
      <c r="A1202" s="52"/>
    </row>
    <row r="1203" spans="1:1" x14ac:dyDescent="0.2">
      <c r="A1203" s="52"/>
    </row>
    <row r="1204" spans="1:1" x14ac:dyDescent="0.2">
      <c r="A1204" s="53"/>
    </row>
    <row r="1205" spans="1:1" x14ac:dyDescent="0.2">
      <c r="A1205" s="52"/>
    </row>
    <row r="1206" spans="1:1" x14ac:dyDescent="0.2">
      <c r="A1206" s="52"/>
    </row>
    <row r="1207" spans="1:1" x14ac:dyDescent="0.2">
      <c r="A1207" s="52"/>
    </row>
    <row r="1208" spans="1:1" x14ac:dyDescent="0.2">
      <c r="A1208" s="52"/>
    </row>
    <row r="1209" spans="1:1" x14ac:dyDescent="0.2">
      <c r="A1209" s="52"/>
    </row>
    <row r="1210" spans="1:1" x14ac:dyDescent="0.2">
      <c r="A1210" s="52"/>
    </row>
    <row r="1211" spans="1:1" x14ac:dyDescent="0.2">
      <c r="A1211" s="52"/>
    </row>
    <row r="1212" spans="1:1" x14ac:dyDescent="0.2">
      <c r="A1212" s="52"/>
    </row>
    <row r="1213" spans="1:1" x14ac:dyDescent="0.2">
      <c r="A1213" s="52"/>
    </row>
    <row r="1214" spans="1:1" x14ac:dyDescent="0.2">
      <c r="A1214" s="52"/>
    </row>
    <row r="1215" spans="1:1" x14ac:dyDescent="0.2">
      <c r="A1215" s="52"/>
    </row>
    <row r="1216" spans="1:1" x14ac:dyDescent="0.2">
      <c r="A1216" s="52"/>
    </row>
    <row r="1217" spans="1:1" x14ac:dyDescent="0.2">
      <c r="A1217" s="52"/>
    </row>
    <row r="1218" spans="1:1" x14ac:dyDescent="0.2">
      <c r="A1218" s="52"/>
    </row>
    <row r="1219" spans="1:1" x14ac:dyDescent="0.2">
      <c r="A1219" s="52"/>
    </row>
    <row r="1220" spans="1:1" x14ac:dyDescent="0.2">
      <c r="A1220" s="52"/>
    </row>
    <row r="1221" spans="1:1" x14ac:dyDescent="0.2">
      <c r="A1221" s="52"/>
    </row>
    <row r="1222" spans="1:1" x14ac:dyDescent="0.2">
      <c r="A1222" s="52"/>
    </row>
    <row r="1223" spans="1:1" x14ac:dyDescent="0.2">
      <c r="A1223" s="52"/>
    </row>
    <row r="1224" spans="1:1" x14ac:dyDescent="0.2">
      <c r="A1224" s="52"/>
    </row>
    <row r="1225" spans="1:1" x14ac:dyDescent="0.2">
      <c r="A1225" s="52"/>
    </row>
    <row r="1226" spans="1:1" x14ac:dyDescent="0.2">
      <c r="A1226" s="52"/>
    </row>
    <row r="1227" spans="1:1" x14ac:dyDescent="0.2">
      <c r="A1227" s="52"/>
    </row>
    <row r="1228" spans="1:1" x14ac:dyDescent="0.2">
      <c r="A1228" s="52"/>
    </row>
    <row r="1229" spans="1:1" x14ac:dyDescent="0.2">
      <c r="A1229" s="52"/>
    </row>
    <row r="1230" spans="1:1" x14ac:dyDescent="0.2">
      <c r="A1230" s="52"/>
    </row>
    <row r="1231" spans="1:1" x14ac:dyDescent="0.2">
      <c r="A1231" s="52"/>
    </row>
    <row r="1232" spans="1:1" x14ac:dyDescent="0.2">
      <c r="A1232" s="52"/>
    </row>
    <row r="1233" spans="1:1" x14ac:dyDescent="0.2">
      <c r="A1233" s="52"/>
    </row>
    <row r="1234" spans="1:1" x14ac:dyDescent="0.2">
      <c r="A1234" s="52"/>
    </row>
    <row r="1235" spans="1:1" x14ac:dyDescent="0.2">
      <c r="A1235" s="52"/>
    </row>
    <row r="1236" spans="1:1" x14ac:dyDescent="0.2">
      <c r="A1236" s="52"/>
    </row>
    <row r="1237" spans="1:1" x14ac:dyDescent="0.2">
      <c r="A1237" s="52"/>
    </row>
    <row r="1238" spans="1:1" x14ac:dyDescent="0.2">
      <c r="A1238" s="52"/>
    </row>
    <row r="1239" spans="1:1" x14ac:dyDescent="0.2">
      <c r="A1239" s="53"/>
    </row>
    <row r="1240" spans="1:1" x14ac:dyDescent="0.2">
      <c r="A1240" s="52"/>
    </row>
    <row r="1241" spans="1:1" x14ac:dyDescent="0.2">
      <c r="A1241" s="52"/>
    </row>
    <row r="1242" spans="1:1" x14ac:dyDescent="0.2">
      <c r="A1242" s="52"/>
    </row>
    <row r="1243" spans="1:1" x14ac:dyDescent="0.2">
      <c r="A1243" s="52"/>
    </row>
    <row r="1244" spans="1:1" x14ac:dyDescent="0.2">
      <c r="A1244" s="52"/>
    </row>
    <row r="1245" spans="1:1" x14ac:dyDescent="0.2">
      <c r="A1245" s="52"/>
    </row>
    <row r="1246" spans="1:1" x14ac:dyDescent="0.2">
      <c r="A1246" s="52"/>
    </row>
    <row r="1247" spans="1:1" x14ac:dyDescent="0.2">
      <c r="A1247" s="52"/>
    </row>
    <row r="1248" spans="1:1" x14ac:dyDescent="0.2">
      <c r="A1248" s="52"/>
    </row>
    <row r="1249" spans="1:1" x14ac:dyDescent="0.2">
      <c r="A1249" s="52"/>
    </row>
    <row r="1250" spans="1:1" x14ac:dyDescent="0.2">
      <c r="A1250" s="52"/>
    </row>
    <row r="1251" spans="1:1" x14ac:dyDescent="0.2">
      <c r="A1251" s="52"/>
    </row>
    <row r="1252" spans="1:1" x14ac:dyDescent="0.2">
      <c r="A1252" s="52"/>
    </row>
    <row r="1253" spans="1:1" x14ac:dyDescent="0.2">
      <c r="A1253" s="52"/>
    </row>
    <row r="1254" spans="1:1" x14ac:dyDescent="0.2">
      <c r="A1254" s="52"/>
    </row>
    <row r="1255" spans="1:1" x14ac:dyDescent="0.2">
      <c r="A1255" s="52"/>
    </row>
    <row r="1256" spans="1:1" x14ac:dyDescent="0.2">
      <c r="A1256" s="52"/>
    </row>
    <row r="1257" spans="1:1" x14ac:dyDescent="0.2">
      <c r="A1257" s="52"/>
    </row>
    <row r="1258" spans="1:1" x14ac:dyDescent="0.2">
      <c r="A1258" s="52"/>
    </row>
    <row r="1259" spans="1:1" x14ac:dyDescent="0.2">
      <c r="A1259" s="52"/>
    </row>
    <row r="1260" spans="1:1" x14ac:dyDescent="0.2">
      <c r="A1260" s="52"/>
    </row>
    <row r="1261" spans="1:1" x14ac:dyDescent="0.2">
      <c r="A1261" s="52"/>
    </row>
    <row r="1262" spans="1:1" x14ac:dyDescent="0.2">
      <c r="A1262" s="52"/>
    </row>
    <row r="1263" spans="1:1" x14ac:dyDescent="0.2">
      <c r="A1263" s="52"/>
    </row>
    <row r="1264" spans="1:1" x14ac:dyDescent="0.2">
      <c r="A1264" s="52"/>
    </row>
    <row r="1265" spans="1:1" x14ac:dyDescent="0.2">
      <c r="A1265" s="52"/>
    </row>
    <row r="1266" spans="1:1" x14ac:dyDescent="0.2">
      <c r="A1266" s="52"/>
    </row>
    <row r="1267" spans="1:1" x14ac:dyDescent="0.2">
      <c r="A1267" s="52"/>
    </row>
    <row r="1268" spans="1:1" x14ac:dyDescent="0.2">
      <c r="A1268" s="52"/>
    </row>
    <row r="1269" spans="1:1" x14ac:dyDescent="0.2">
      <c r="A1269" s="52"/>
    </row>
    <row r="1270" spans="1:1" x14ac:dyDescent="0.2">
      <c r="A1270" s="52"/>
    </row>
    <row r="1271" spans="1:1" x14ac:dyDescent="0.2">
      <c r="A1271" s="52"/>
    </row>
    <row r="1272" spans="1:1" x14ac:dyDescent="0.2">
      <c r="A1272" s="52"/>
    </row>
    <row r="1273" spans="1:1" x14ac:dyDescent="0.2">
      <c r="A1273" s="52"/>
    </row>
    <row r="1274" spans="1:1" x14ac:dyDescent="0.2">
      <c r="A1274" s="52"/>
    </row>
    <row r="1275" spans="1:1" x14ac:dyDescent="0.2">
      <c r="A1275" s="52"/>
    </row>
    <row r="1276" spans="1:1" x14ac:dyDescent="0.2">
      <c r="A1276" s="52"/>
    </row>
    <row r="1277" spans="1:1" x14ac:dyDescent="0.2">
      <c r="A1277" s="52"/>
    </row>
    <row r="1278" spans="1:1" x14ac:dyDescent="0.2">
      <c r="A1278" s="52"/>
    </row>
    <row r="1279" spans="1:1" x14ac:dyDescent="0.2">
      <c r="A1279" s="52"/>
    </row>
    <row r="1280" spans="1:1" x14ac:dyDescent="0.2">
      <c r="A1280" s="52"/>
    </row>
    <row r="1281" spans="1:1" x14ac:dyDescent="0.2">
      <c r="A1281" s="52"/>
    </row>
    <row r="1282" spans="1:1" x14ac:dyDescent="0.2">
      <c r="A1282" s="52"/>
    </row>
    <row r="1283" spans="1:1" x14ac:dyDescent="0.2">
      <c r="A1283" s="52"/>
    </row>
    <row r="1284" spans="1:1" x14ac:dyDescent="0.2">
      <c r="A1284" s="52"/>
    </row>
    <row r="1285" spans="1:1" x14ac:dyDescent="0.2">
      <c r="A1285" s="52"/>
    </row>
    <row r="1286" spans="1:1" x14ac:dyDescent="0.2">
      <c r="A1286" s="52"/>
    </row>
    <row r="1287" spans="1:1" x14ac:dyDescent="0.2">
      <c r="A1287" s="52"/>
    </row>
    <row r="1288" spans="1:1" x14ac:dyDescent="0.2">
      <c r="A1288" s="52"/>
    </row>
    <row r="1289" spans="1:1" x14ac:dyDescent="0.2">
      <c r="A1289" s="52"/>
    </row>
    <row r="1290" spans="1:1" x14ac:dyDescent="0.2">
      <c r="A1290" s="52"/>
    </row>
    <row r="1291" spans="1:1" x14ac:dyDescent="0.2">
      <c r="A1291" s="52"/>
    </row>
    <row r="1292" spans="1:1" x14ac:dyDescent="0.2">
      <c r="A1292" s="52"/>
    </row>
    <row r="1293" spans="1:1" x14ac:dyDescent="0.2">
      <c r="A1293" s="52"/>
    </row>
    <row r="1294" spans="1:1" x14ac:dyDescent="0.2">
      <c r="A1294" s="52"/>
    </row>
    <row r="1295" spans="1:1" x14ac:dyDescent="0.2">
      <c r="A1295" s="52"/>
    </row>
    <row r="1296" spans="1:1" x14ac:dyDescent="0.2">
      <c r="A1296" s="52"/>
    </row>
    <row r="1297" spans="1:1" x14ac:dyDescent="0.2">
      <c r="A1297" s="52"/>
    </row>
    <row r="1298" spans="1:1" x14ac:dyDescent="0.2">
      <c r="A1298" s="52"/>
    </row>
    <row r="1299" spans="1:1" x14ac:dyDescent="0.2">
      <c r="A1299" s="52"/>
    </row>
    <row r="1300" spans="1:1" x14ac:dyDescent="0.2">
      <c r="A1300" s="52"/>
    </row>
    <row r="1301" spans="1:1" x14ac:dyDescent="0.2">
      <c r="A1301" s="52"/>
    </row>
    <row r="1302" spans="1:1" x14ac:dyDescent="0.2">
      <c r="A1302" s="52"/>
    </row>
    <row r="1303" spans="1:1" x14ac:dyDescent="0.2">
      <c r="A1303" s="52"/>
    </row>
    <row r="1304" spans="1:1" x14ac:dyDescent="0.2">
      <c r="A1304" s="52"/>
    </row>
    <row r="1305" spans="1:1" x14ac:dyDescent="0.2">
      <c r="A1305" s="52"/>
    </row>
    <row r="1306" spans="1:1" x14ac:dyDescent="0.2">
      <c r="A1306" s="52"/>
    </row>
    <row r="1307" spans="1:1" x14ac:dyDescent="0.2">
      <c r="A1307" s="52"/>
    </row>
    <row r="1308" spans="1:1" x14ac:dyDescent="0.2">
      <c r="A1308" s="52"/>
    </row>
    <row r="1309" spans="1:1" x14ac:dyDescent="0.2">
      <c r="A1309" s="52"/>
    </row>
    <row r="1310" spans="1:1" x14ac:dyDescent="0.2">
      <c r="A1310" s="52"/>
    </row>
    <row r="1311" spans="1:1" x14ac:dyDescent="0.2">
      <c r="A1311" s="52"/>
    </row>
    <row r="1312" spans="1:1" x14ac:dyDescent="0.2">
      <c r="A1312" s="52"/>
    </row>
    <row r="1313" spans="1:1" x14ac:dyDescent="0.2">
      <c r="A1313" s="52"/>
    </row>
    <row r="1314" spans="1:1" x14ac:dyDescent="0.2">
      <c r="A1314" s="52"/>
    </row>
    <row r="1315" spans="1:1" x14ac:dyDescent="0.2">
      <c r="A1315" s="52"/>
    </row>
    <row r="1316" spans="1:1" x14ac:dyDescent="0.2">
      <c r="A1316" s="52"/>
    </row>
    <row r="1317" spans="1:1" x14ac:dyDescent="0.2">
      <c r="A1317" s="52"/>
    </row>
    <row r="1318" spans="1:1" x14ac:dyDescent="0.2">
      <c r="A1318" s="52"/>
    </row>
    <row r="1319" spans="1:1" x14ac:dyDescent="0.2">
      <c r="A1319" s="52"/>
    </row>
    <row r="1320" spans="1:1" x14ac:dyDescent="0.2">
      <c r="A1320" s="52"/>
    </row>
    <row r="1321" spans="1:1" x14ac:dyDescent="0.2">
      <c r="A1321" s="52"/>
    </row>
    <row r="1322" spans="1:1" x14ac:dyDescent="0.2">
      <c r="A1322" s="52"/>
    </row>
    <row r="1323" spans="1:1" x14ac:dyDescent="0.2">
      <c r="A1323" s="52"/>
    </row>
    <row r="1324" spans="1:1" x14ac:dyDescent="0.2">
      <c r="A1324" s="52"/>
    </row>
    <row r="1325" spans="1:1" x14ac:dyDescent="0.2">
      <c r="A1325" s="52"/>
    </row>
    <row r="1326" spans="1:1" x14ac:dyDescent="0.2">
      <c r="A1326" s="52"/>
    </row>
    <row r="1327" spans="1:1" x14ac:dyDescent="0.2">
      <c r="A1327" s="52"/>
    </row>
    <row r="1328" spans="1:1" x14ac:dyDescent="0.2">
      <c r="A1328" s="52"/>
    </row>
    <row r="1329" spans="1:1" x14ac:dyDescent="0.2">
      <c r="A1329" s="52"/>
    </row>
    <row r="1330" spans="1:1" x14ac:dyDescent="0.2">
      <c r="A1330" s="52"/>
    </row>
    <row r="1331" spans="1:1" x14ac:dyDescent="0.2">
      <c r="A1331" s="52"/>
    </row>
    <row r="1332" spans="1:1" x14ac:dyDescent="0.2">
      <c r="A1332" s="52"/>
    </row>
    <row r="1333" spans="1:1" x14ac:dyDescent="0.2">
      <c r="A1333" s="52"/>
    </row>
    <row r="1334" spans="1:1" x14ac:dyDescent="0.2">
      <c r="A1334" s="52"/>
    </row>
    <row r="1335" spans="1:1" x14ac:dyDescent="0.2">
      <c r="A1335" s="52"/>
    </row>
    <row r="1336" spans="1:1" x14ac:dyDescent="0.2">
      <c r="A1336" s="52"/>
    </row>
    <row r="1337" spans="1:1" x14ac:dyDescent="0.2">
      <c r="A1337" s="52"/>
    </row>
    <row r="1338" spans="1:1" x14ac:dyDescent="0.2">
      <c r="A1338" s="52"/>
    </row>
    <row r="1339" spans="1:1" x14ac:dyDescent="0.2">
      <c r="A1339" s="52"/>
    </row>
    <row r="1340" spans="1:1" x14ac:dyDescent="0.2">
      <c r="A1340" s="52"/>
    </row>
    <row r="1341" spans="1:1" x14ac:dyDescent="0.2">
      <c r="A1341" s="52"/>
    </row>
    <row r="1342" spans="1:1" x14ac:dyDescent="0.2">
      <c r="A1342" s="52"/>
    </row>
    <row r="1343" spans="1:1" x14ac:dyDescent="0.2">
      <c r="A1343" s="52"/>
    </row>
    <row r="1344" spans="1:1" x14ac:dyDescent="0.2">
      <c r="A1344" s="52"/>
    </row>
    <row r="1345" spans="1:1" x14ac:dyDescent="0.2">
      <c r="A1345" s="52"/>
    </row>
    <row r="1346" spans="1:1" x14ac:dyDescent="0.2">
      <c r="A1346" s="52"/>
    </row>
    <row r="1347" spans="1:1" x14ac:dyDescent="0.2">
      <c r="A1347" s="53"/>
    </row>
    <row r="1348" spans="1:1" x14ac:dyDescent="0.2">
      <c r="A1348" s="52"/>
    </row>
    <row r="1349" spans="1:1" x14ac:dyDescent="0.2">
      <c r="A1349" s="52"/>
    </row>
    <row r="1350" spans="1:1" x14ac:dyDescent="0.2">
      <c r="A1350" s="52"/>
    </row>
    <row r="1351" spans="1:1" x14ac:dyDescent="0.2">
      <c r="A1351" s="52"/>
    </row>
    <row r="1352" spans="1:1" x14ac:dyDescent="0.2">
      <c r="A1352" s="52"/>
    </row>
    <row r="1353" spans="1:1" x14ac:dyDescent="0.2">
      <c r="A1353" s="52"/>
    </row>
    <row r="1354" spans="1:1" x14ac:dyDescent="0.2">
      <c r="A1354" s="52"/>
    </row>
    <row r="1355" spans="1:1" x14ac:dyDescent="0.2">
      <c r="A1355" s="52"/>
    </row>
    <row r="1356" spans="1:1" x14ac:dyDescent="0.2">
      <c r="A1356" s="52"/>
    </row>
    <row r="1357" spans="1:1" x14ac:dyDescent="0.2">
      <c r="A1357" s="52"/>
    </row>
    <row r="1358" spans="1:1" x14ac:dyDescent="0.2">
      <c r="A1358" s="52"/>
    </row>
    <row r="1359" spans="1:1" x14ac:dyDescent="0.2">
      <c r="A1359" s="52"/>
    </row>
    <row r="1360" spans="1:1" x14ac:dyDescent="0.2">
      <c r="A1360" s="52"/>
    </row>
    <row r="1361" spans="1:1" x14ac:dyDescent="0.2">
      <c r="A1361" s="52"/>
    </row>
    <row r="1362" spans="1:1" x14ac:dyDescent="0.2">
      <c r="A1362" s="53"/>
    </row>
    <row r="1363" spans="1:1" x14ac:dyDescent="0.2">
      <c r="A1363" s="52"/>
    </row>
    <row r="1364" spans="1:1" x14ac:dyDescent="0.2">
      <c r="A1364" s="52"/>
    </row>
    <row r="1365" spans="1:1" x14ac:dyDescent="0.2">
      <c r="A1365" s="52"/>
    </row>
    <row r="1366" spans="1:1" x14ac:dyDescent="0.2">
      <c r="A1366" s="52"/>
    </row>
    <row r="1367" spans="1:1" x14ac:dyDescent="0.2">
      <c r="A1367" s="52"/>
    </row>
    <row r="1368" spans="1:1" x14ac:dyDescent="0.2">
      <c r="A1368" s="52"/>
    </row>
    <row r="1369" spans="1:1" x14ac:dyDescent="0.2">
      <c r="A1369" s="52"/>
    </row>
    <row r="1370" spans="1:1" x14ac:dyDescent="0.2">
      <c r="A1370" s="52"/>
    </row>
    <row r="1371" spans="1:1" x14ac:dyDescent="0.2">
      <c r="A1371" s="52"/>
    </row>
    <row r="1372" spans="1:1" x14ac:dyDescent="0.2">
      <c r="A1372" s="52"/>
    </row>
    <row r="1373" spans="1:1" x14ac:dyDescent="0.2">
      <c r="A1373" s="52"/>
    </row>
    <row r="1374" spans="1:1" x14ac:dyDescent="0.2">
      <c r="A1374" s="52"/>
    </row>
    <row r="1375" spans="1:1" x14ac:dyDescent="0.2">
      <c r="A1375" s="53"/>
    </row>
    <row r="1376" spans="1:1" x14ac:dyDescent="0.2">
      <c r="A1376" s="52"/>
    </row>
    <row r="1377" spans="1:1" x14ac:dyDescent="0.2">
      <c r="A1377" s="52"/>
    </row>
    <row r="1378" spans="1:1" x14ac:dyDescent="0.2">
      <c r="A1378" s="53"/>
    </row>
    <row r="1379" spans="1:1" x14ac:dyDescent="0.2">
      <c r="A1379" s="52"/>
    </row>
    <row r="1380" spans="1:1" x14ac:dyDescent="0.2">
      <c r="A1380" s="52"/>
    </row>
    <row r="1381" spans="1:1" x14ac:dyDescent="0.2">
      <c r="A1381" s="52"/>
    </row>
    <row r="1382" spans="1:1" x14ac:dyDescent="0.2">
      <c r="A1382" s="52"/>
    </row>
    <row r="1383" spans="1:1" x14ac:dyDescent="0.2">
      <c r="A1383" s="52"/>
    </row>
    <row r="1384" spans="1:1" x14ac:dyDescent="0.2">
      <c r="A1384" s="52"/>
    </row>
    <row r="1385" spans="1:1" x14ac:dyDescent="0.2">
      <c r="A1385" s="52"/>
    </row>
    <row r="1386" spans="1:1" x14ac:dyDescent="0.2">
      <c r="A1386" s="52"/>
    </row>
    <row r="1387" spans="1:1" x14ac:dyDescent="0.2">
      <c r="A1387" s="52"/>
    </row>
    <row r="1388" spans="1:1" x14ac:dyDescent="0.2">
      <c r="A1388" s="52"/>
    </row>
    <row r="1389" spans="1:1" x14ac:dyDescent="0.2">
      <c r="A1389" s="52"/>
    </row>
    <row r="1390" spans="1:1" x14ac:dyDescent="0.2">
      <c r="A1390" s="52"/>
    </row>
    <row r="1391" spans="1:1" x14ac:dyDescent="0.2">
      <c r="A1391" s="52"/>
    </row>
    <row r="1392" spans="1:1" x14ac:dyDescent="0.2">
      <c r="A1392" s="52"/>
    </row>
    <row r="1393" spans="1:1" x14ac:dyDescent="0.2">
      <c r="A1393" s="53"/>
    </row>
    <row r="1394" spans="1:1" x14ac:dyDescent="0.2">
      <c r="A1394" s="52"/>
    </row>
    <row r="1395" spans="1:1" x14ac:dyDescent="0.2">
      <c r="A1395" s="52"/>
    </row>
    <row r="1396" spans="1:1" x14ac:dyDescent="0.2">
      <c r="A1396" s="52"/>
    </row>
    <row r="1397" spans="1:1" x14ac:dyDescent="0.2">
      <c r="A1397" s="52"/>
    </row>
    <row r="1398" spans="1:1" x14ac:dyDescent="0.2">
      <c r="A1398" s="52"/>
    </row>
    <row r="1399" spans="1:1" x14ac:dyDescent="0.2">
      <c r="A1399" s="52"/>
    </row>
    <row r="1400" spans="1:1" x14ac:dyDescent="0.2">
      <c r="A1400" s="52"/>
    </row>
    <row r="1401" spans="1:1" x14ac:dyDescent="0.2">
      <c r="A1401" s="52"/>
    </row>
    <row r="1402" spans="1:1" x14ac:dyDescent="0.2">
      <c r="A1402" s="52"/>
    </row>
    <row r="1403" spans="1:1" x14ac:dyDescent="0.2">
      <c r="A1403" s="52"/>
    </row>
    <row r="1404" spans="1:1" x14ac:dyDescent="0.2">
      <c r="A1404" s="52"/>
    </row>
    <row r="1405" spans="1:1" x14ac:dyDescent="0.2">
      <c r="A1405" s="52"/>
    </row>
    <row r="1406" spans="1:1" x14ac:dyDescent="0.2">
      <c r="A1406" s="52"/>
    </row>
    <row r="1407" spans="1:1" x14ac:dyDescent="0.2">
      <c r="A1407" s="53"/>
    </row>
    <row r="1408" spans="1:1" x14ac:dyDescent="0.2">
      <c r="A1408" s="52"/>
    </row>
    <row r="1409" spans="1:1" x14ac:dyDescent="0.2">
      <c r="A1409" s="52"/>
    </row>
    <row r="1410" spans="1:1" x14ac:dyDescent="0.2">
      <c r="A1410" s="53"/>
    </row>
    <row r="1411" spans="1:1" x14ac:dyDescent="0.2">
      <c r="A1411" s="52"/>
    </row>
    <row r="1412" spans="1:1" x14ac:dyDescent="0.2">
      <c r="A1412" s="52"/>
    </row>
    <row r="1413" spans="1:1" x14ac:dyDescent="0.2">
      <c r="A1413" s="52"/>
    </row>
    <row r="1414" spans="1:1" x14ac:dyDescent="0.2">
      <c r="A1414" s="53"/>
    </row>
    <row r="1415" spans="1:1" x14ac:dyDescent="0.2">
      <c r="A1415" s="53"/>
    </row>
    <row r="1416" spans="1:1" x14ac:dyDescent="0.2">
      <c r="A1416" s="52"/>
    </row>
    <row r="1417" spans="1:1" x14ac:dyDescent="0.2">
      <c r="A1417" s="52"/>
    </row>
    <row r="1418" spans="1:1" x14ac:dyDescent="0.2">
      <c r="A1418" s="52"/>
    </row>
    <row r="1419" spans="1:1" x14ac:dyDescent="0.2">
      <c r="A1419" s="52"/>
    </row>
    <row r="1420" spans="1:1" x14ac:dyDescent="0.2">
      <c r="A1420" s="52"/>
    </row>
    <row r="1421" spans="1:1" x14ac:dyDescent="0.2">
      <c r="A1421" s="52"/>
    </row>
    <row r="1422" spans="1:1" x14ac:dyDescent="0.2">
      <c r="A1422" s="52"/>
    </row>
    <row r="1423" spans="1:1" x14ac:dyDescent="0.2">
      <c r="A1423" s="52"/>
    </row>
    <row r="1424" spans="1:1" x14ac:dyDescent="0.2">
      <c r="A1424" s="52"/>
    </row>
    <row r="1425" spans="1:1" x14ac:dyDescent="0.2">
      <c r="A1425" s="52"/>
    </row>
    <row r="1426" spans="1:1" x14ac:dyDescent="0.2">
      <c r="A1426" s="53"/>
    </row>
    <row r="1427" spans="1:1" x14ac:dyDescent="0.2">
      <c r="A1427" s="52"/>
    </row>
    <row r="1428" spans="1:1" x14ac:dyDescent="0.2">
      <c r="A1428" s="52"/>
    </row>
    <row r="1429" spans="1:1" x14ac:dyDescent="0.2">
      <c r="A1429" s="52"/>
    </row>
    <row r="1430" spans="1:1" x14ac:dyDescent="0.2">
      <c r="A1430" s="52"/>
    </row>
    <row r="1431" spans="1:1" x14ac:dyDescent="0.2">
      <c r="A1431" s="52"/>
    </row>
    <row r="1432" spans="1:1" x14ac:dyDescent="0.2">
      <c r="A1432" s="52"/>
    </row>
    <row r="1433" spans="1:1" x14ac:dyDescent="0.2">
      <c r="A1433" s="52"/>
    </row>
    <row r="1434" spans="1:1" x14ac:dyDescent="0.2">
      <c r="A1434" s="52"/>
    </row>
    <row r="1435" spans="1:1" x14ac:dyDescent="0.2">
      <c r="A1435" s="52"/>
    </row>
    <row r="1436" spans="1:1" x14ac:dyDescent="0.2">
      <c r="A1436" s="52"/>
    </row>
    <row r="1437" spans="1:1" x14ac:dyDescent="0.2">
      <c r="A1437" s="52"/>
    </row>
    <row r="1438" spans="1:1" x14ac:dyDescent="0.2">
      <c r="A1438" s="52"/>
    </row>
    <row r="1439" spans="1:1" x14ac:dyDescent="0.2">
      <c r="A1439" s="52"/>
    </row>
    <row r="1440" spans="1:1" x14ac:dyDescent="0.2">
      <c r="A1440" s="52"/>
    </row>
    <row r="1441" spans="1:1" x14ac:dyDescent="0.2">
      <c r="A1441" s="53"/>
    </row>
    <row r="1442" spans="1:1" x14ac:dyDescent="0.2">
      <c r="A1442" s="52"/>
    </row>
    <row r="1443" spans="1:1" x14ac:dyDescent="0.2">
      <c r="A1443" s="52"/>
    </row>
    <row r="1444" spans="1:1" x14ac:dyDescent="0.2">
      <c r="A1444" s="52"/>
    </row>
    <row r="1445" spans="1:1" x14ac:dyDescent="0.2">
      <c r="A1445" s="52"/>
    </row>
    <row r="1446" spans="1:1" x14ac:dyDescent="0.2">
      <c r="A1446" s="52"/>
    </row>
    <row r="1447" spans="1:1" x14ac:dyDescent="0.2">
      <c r="A1447" s="52"/>
    </row>
    <row r="1448" spans="1:1" x14ac:dyDescent="0.2">
      <c r="A1448" s="52"/>
    </row>
    <row r="1449" spans="1:1" x14ac:dyDescent="0.2">
      <c r="A1449" s="52"/>
    </row>
    <row r="1450" spans="1:1" x14ac:dyDescent="0.2">
      <c r="A1450" s="52"/>
    </row>
    <row r="1451" spans="1:1" x14ac:dyDescent="0.2">
      <c r="A1451" s="52"/>
    </row>
    <row r="1452" spans="1:1" x14ac:dyDescent="0.2">
      <c r="A1452" s="52"/>
    </row>
    <row r="1453" spans="1:1" x14ac:dyDescent="0.2">
      <c r="A1453" s="52"/>
    </row>
    <row r="1454" spans="1:1" x14ac:dyDescent="0.2">
      <c r="A1454" s="52"/>
    </row>
    <row r="1455" spans="1:1" x14ac:dyDescent="0.2">
      <c r="A1455" s="52"/>
    </row>
    <row r="1456" spans="1:1" x14ac:dyDescent="0.2">
      <c r="A1456" s="52"/>
    </row>
    <row r="1457" spans="1:1" x14ac:dyDescent="0.2">
      <c r="A1457" s="52"/>
    </row>
    <row r="1458" spans="1:1" x14ac:dyDescent="0.2">
      <c r="A1458" s="52"/>
    </row>
    <row r="1459" spans="1:1" x14ac:dyDescent="0.2">
      <c r="A1459" s="52"/>
    </row>
    <row r="1460" spans="1:1" x14ac:dyDescent="0.2">
      <c r="A1460" s="52"/>
    </row>
    <row r="1461" spans="1:1" x14ac:dyDescent="0.2">
      <c r="A1461" s="52"/>
    </row>
    <row r="1462" spans="1:1" x14ac:dyDescent="0.2">
      <c r="A1462" s="52"/>
    </row>
    <row r="1463" spans="1:1" x14ac:dyDescent="0.2">
      <c r="A1463" s="52"/>
    </row>
    <row r="1464" spans="1:1" x14ac:dyDescent="0.2">
      <c r="A1464" s="52"/>
    </row>
    <row r="1465" spans="1:1" x14ac:dyDescent="0.2">
      <c r="A1465" s="52"/>
    </row>
    <row r="1466" spans="1:1" x14ac:dyDescent="0.2">
      <c r="A1466" s="52"/>
    </row>
    <row r="1467" spans="1:1" x14ac:dyDescent="0.2">
      <c r="A1467" s="52"/>
    </row>
    <row r="1468" spans="1:1" x14ac:dyDescent="0.2">
      <c r="A1468" s="52"/>
    </row>
    <row r="1469" spans="1:1" x14ac:dyDescent="0.2">
      <c r="A1469" s="52"/>
    </row>
    <row r="1470" spans="1:1" x14ac:dyDescent="0.2">
      <c r="A1470" s="52"/>
    </row>
    <row r="1471" spans="1:1" x14ac:dyDescent="0.2">
      <c r="A1471" s="53"/>
    </row>
    <row r="1472" spans="1:1" x14ac:dyDescent="0.2">
      <c r="A1472" s="52"/>
    </row>
    <row r="1473" spans="1:1" x14ac:dyDescent="0.2">
      <c r="A1473" s="52"/>
    </row>
    <row r="1474" spans="1:1" x14ac:dyDescent="0.2">
      <c r="A1474" s="52"/>
    </row>
    <row r="1475" spans="1:1" x14ac:dyDescent="0.2">
      <c r="A1475" s="52"/>
    </row>
    <row r="1476" spans="1:1" x14ac:dyDescent="0.2">
      <c r="A1476" s="52"/>
    </row>
    <row r="1477" spans="1:1" x14ac:dyDescent="0.2">
      <c r="A1477" s="52"/>
    </row>
    <row r="1478" spans="1:1" x14ac:dyDescent="0.2">
      <c r="A1478" s="52"/>
    </row>
    <row r="1479" spans="1:1" x14ac:dyDescent="0.2">
      <c r="A1479" s="52"/>
    </row>
    <row r="1480" spans="1:1" x14ac:dyDescent="0.2">
      <c r="A1480" s="52"/>
    </row>
    <row r="1481" spans="1:1" x14ac:dyDescent="0.2">
      <c r="A1481" s="52"/>
    </row>
    <row r="1482" spans="1:1" x14ac:dyDescent="0.2">
      <c r="A1482" s="52"/>
    </row>
    <row r="1483" spans="1:1" x14ac:dyDescent="0.2">
      <c r="A1483" s="52"/>
    </row>
    <row r="1484" spans="1:1" x14ac:dyDescent="0.2">
      <c r="A1484" s="52"/>
    </row>
    <row r="1485" spans="1:1" x14ac:dyDescent="0.2">
      <c r="A1485" s="52"/>
    </row>
    <row r="1486" spans="1:1" x14ac:dyDescent="0.2">
      <c r="A1486" s="52"/>
    </row>
    <row r="1487" spans="1:1" x14ac:dyDescent="0.2">
      <c r="A1487" s="52"/>
    </row>
    <row r="1488" spans="1:1" x14ac:dyDescent="0.2">
      <c r="A1488" s="53"/>
    </row>
    <row r="1489" spans="1:1" x14ac:dyDescent="0.2">
      <c r="A1489" s="52"/>
    </row>
    <row r="1490" spans="1:1" x14ac:dyDescent="0.2">
      <c r="A1490" s="53"/>
    </row>
    <row r="1491" spans="1:1" x14ac:dyDescent="0.2">
      <c r="A1491" s="52"/>
    </row>
    <row r="1492" spans="1:1" x14ac:dyDescent="0.2">
      <c r="A1492" s="52"/>
    </row>
    <row r="1493" spans="1:1" x14ac:dyDescent="0.2">
      <c r="A1493" s="52"/>
    </row>
    <row r="1494" spans="1:1" x14ac:dyDescent="0.2">
      <c r="A1494" s="52"/>
    </row>
    <row r="1495" spans="1:1" x14ac:dyDescent="0.2">
      <c r="A1495" s="53"/>
    </row>
    <row r="1496" spans="1:1" x14ac:dyDescent="0.2">
      <c r="A1496" s="52"/>
    </row>
    <row r="1497" spans="1:1" x14ac:dyDescent="0.2">
      <c r="A1497" s="52"/>
    </row>
    <row r="1498" spans="1:1" x14ac:dyDescent="0.2">
      <c r="A1498" s="52"/>
    </row>
    <row r="1499" spans="1:1" x14ac:dyDescent="0.2">
      <c r="A1499" s="52"/>
    </row>
    <row r="1500" spans="1:1" x14ac:dyDescent="0.2">
      <c r="A1500" s="52"/>
    </row>
    <row r="1501" spans="1:1" x14ac:dyDescent="0.2">
      <c r="A1501" s="52"/>
    </row>
    <row r="1502" spans="1:1" x14ac:dyDescent="0.2">
      <c r="A1502" s="52"/>
    </row>
    <row r="1503" spans="1:1" x14ac:dyDescent="0.2">
      <c r="A1503" s="53"/>
    </row>
    <row r="1504" spans="1:1" x14ac:dyDescent="0.2">
      <c r="A1504" s="52"/>
    </row>
    <row r="1505" spans="1:1" x14ac:dyDescent="0.2">
      <c r="A1505" s="52"/>
    </row>
    <row r="1506" spans="1:1" x14ac:dyDescent="0.2">
      <c r="A1506" s="52"/>
    </row>
    <row r="1507" spans="1:1" x14ac:dyDescent="0.2">
      <c r="A1507" s="53"/>
    </row>
    <row r="1508" spans="1:1" x14ac:dyDescent="0.2">
      <c r="A1508" s="52"/>
    </row>
    <row r="1509" spans="1:1" x14ac:dyDescent="0.2">
      <c r="A1509" s="52"/>
    </row>
    <row r="1510" spans="1:1" x14ac:dyDescent="0.2">
      <c r="A1510" s="52"/>
    </row>
    <row r="1511" spans="1:1" x14ac:dyDescent="0.2">
      <c r="A1511" s="52"/>
    </row>
    <row r="1512" spans="1:1" x14ac:dyDescent="0.2">
      <c r="A1512" s="52"/>
    </row>
    <row r="1513" spans="1:1" x14ac:dyDescent="0.2">
      <c r="A1513" s="52"/>
    </row>
    <row r="1514" spans="1:1" x14ac:dyDescent="0.2">
      <c r="A1514" s="52"/>
    </row>
    <row r="1515" spans="1:1" x14ac:dyDescent="0.2">
      <c r="A1515" s="52"/>
    </row>
    <row r="1516" spans="1:1" x14ac:dyDescent="0.2">
      <c r="A1516" s="52"/>
    </row>
    <row r="1517" spans="1:1" x14ac:dyDescent="0.2">
      <c r="A1517" s="52"/>
    </row>
    <row r="1518" spans="1:1" x14ac:dyDescent="0.2">
      <c r="A1518" s="52"/>
    </row>
    <row r="1519" spans="1:1" x14ac:dyDescent="0.2">
      <c r="A1519" s="52"/>
    </row>
    <row r="1520" spans="1:1" x14ac:dyDescent="0.2">
      <c r="A1520" s="52"/>
    </row>
    <row r="1521" spans="1:1" x14ac:dyDescent="0.2">
      <c r="A1521" s="52"/>
    </row>
    <row r="1522" spans="1:1" x14ac:dyDescent="0.2">
      <c r="A1522" s="52"/>
    </row>
    <row r="1523" spans="1:1" x14ac:dyDescent="0.2">
      <c r="A1523" s="52"/>
    </row>
    <row r="1524" spans="1:1" x14ac:dyDescent="0.2">
      <c r="A1524" s="52"/>
    </row>
    <row r="1525" spans="1:1" x14ac:dyDescent="0.2">
      <c r="A1525" s="52"/>
    </row>
    <row r="1526" spans="1:1" x14ac:dyDescent="0.2">
      <c r="A1526" s="52"/>
    </row>
    <row r="1527" spans="1:1" x14ac:dyDescent="0.2">
      <c r="A1527" s="53"/>
    </row>
    <row r="1528" spans="1:1" x14ac:dyDescent="0.2">
      <c r="A1528" s="52"/>
    </row>
    <row r="1529" spans="1:1" x14ac:dyDescent="0.2">
      <c r="A1529" s="52"/>
    </row>
    <row r="1530" spans="1:1" x14ac:dyDescent="0.2">
      <c r="A1530" s="52"/>
    </row>
    <row r="1531" spans="1:1" x14ac:dyDescent="0.2">
      <c r="A1531" s="52"/>
    </row>
    <row r="1532" spans="1:1" x14ac:dyDescent="0.2">
      <c r="A1532" s="52"/>
    </row>
    <row r="1533" spans="1:1" x14ac:dyDescent="0.2">
      <c r="A1533" s="52"/>
    </row>
    <row r="1534" spans="1:1" x14ac:dyDescent="0.2">
      <c r="A1534" s="52"/>
    </row>
    <row r="1535" spans="1:1" x14ac:dyDescent="0.2">
      <c r="A1535" s="52"/>
    </row>
    <row r="1536" spans="1:1" x14ac:dyDescent="0.2">
      <c r="A1536" s="52"/>
    </row>
    <row r="1537" spans="1:1" x14ac:dyDescent="0.2">
      <c r="A1537" s="52"/>
    </row>
    <row r="1538" spans="1:1" x14ac:dyDescent="0.2">
      <c r="A1538" s="52"/>
    </row>
    <row r="1539" spans="1:1" x14ac:dyDescent="0.2">
      <c r="A1539" s="53"/>
    </row>
    <row r="1540" spans="1:1" x14ac:dyDescent="0.2">
      <c r="A1540" s="52"/>
    </row>
    <row r="1541" spans="1:1" x14ac:dyDescent="0.2">
      <c r="A1541" s="52"/>
    </row>
    <row r="1542" spans="1:1" x14ac:dyDescent="0.2">
      <c r="A1542" s="52"/>
    </row>
    <row r="1543" spans="1:1" x14ac:dyDescent="0.2">
      <c r="A1543" s="52"/>
    </row>
    <row r="1544" spans="1:1" x14ac:dyDescent="0.2">
      <c r="A1544" s="53"/>
    </row>
    <row r="1545" spans="1:1" x14ac:dyDescent="0.2">
      <c r="A1545" s="52"/>
    </row>
    <row r="1546" spans="1:1" x14ac:dyDescent="0.2">
      <c r="A1546" s="52"/>
    </row>
    <row r="1547" spans="1:1" x14ac:dyDescent="0.2">
      <c r="A1547" s="52"/>
    </row>
    <row r="1548" spans="1:1" x14ac:dyDescent="0.2">
      <c r="A1548" s="52"/>
    </row>
    <row r="1549" spans="1:1" x14ac:dyDescent="0.2">
      <c r="A1549" s="53"/>
    </row>
    <row r="1550" spans="1:1" x14ac:dyDescent="0.2">
      <c r="A1550" s="52"/>
    </row>
    <row r="1551" spans="1:1" x14ac:dyDescent="0.2">
      <c r="A1551" s="52"/>
    </row>
    <row r="1552" spans="1:1" x14ac:dyDescent="0.2">
      <c r="A1552" s="52"/>
    </row>
    <row r="1553" spans="1:1" x14ac:dyDescent="0.2">
      <c r="A1553" s="52"/>
    </row>
    <row r="1554" spans="1:1" x14ac:dyDescent="0.2">
      <c r="A1554" s="52"/>
    </row>
    <row r="1555" spans="1:1" x14ac:dyDescent="0.2">
      <c r="A1555" s="52"/>
    </row>
    <row r="1556" spans="1:1" x14ac:dyDescent="0.2">
      <c r="A1556" s="52"/>
    </row>
    <row r="1557" spans="1:1" x14ac:dyDescent="0.2">
      <c r="A1557" s="52"/>
    </row>
    <row r="1558" spans="1:1" x14ac:dyDescent="0.2">
      <c r="A1558" s="52"/>
    </row>
    <row r="1559" spans="1:1" x14ac:dyDescent="0.2">
      <c r="A1559" s="52"/>
    </row>
    <row r="1560" spans="1:1" x14ac:dyDescent="0.2">
      <c r="A1560" s="52"/>
    </row>
    <row r="1561" spans="1:1" x14ac:dyDescent="0.2">
      <c r="A1561" s="52"/>
    </row>
    <row r="1562" spans="1:1" x14ac:dyDescent="0.2">
      <c r="A1562" s="53"/>
    </row>
    <row r="1563" spans="1:1" x14ac:dyDescent="0.2">
      <c r="A1563" s="52"/>
    </row>
    <row r="1564" spans="1:1" x14ac:dyDescent="0.2">
      <c r="A1564" s="52"/>
    </row>
    <row r="1565" spans="1:1" x14ac:dyDescent="0.2">
      <c r="A1565" s="52"/>
    </row>
    <row r="1566" spans="1:1" x14ac:dyDescent="0.2">
      <c r="A1566" s="52"/>
    </row>
    <row r="1567" spans="1:1" x14ac:dyDescent="0.2">
      <c r="A1567" s="52"/>
    </row>
    <row r="1568" spans="1:1" x14ac:dyDescent="0.2">
      <c r="A1568" s="53"/>
    </row>
    <row r="1569" spans="1:1" x14ac:dyDescent="0.2">
      <c r="A1569" s="52"/>
    </row>
    <row r="1570" spans="1:1" x14ac:dyDescent="0.2">
      <c r="A1570" s="53"/>
    </row>
    <row r="1571" spans="1:1" x14ac:dyDescent="0.2">
      <c r="A1571" s="52"/>
    </row>
    <row r="1572" spans="1:1" x14ac:dyDescent="0.2">
      <c r="A1572" s="52"/>
    </row>
    <row r="1573" spans="1:1" x14ac:dyDescent="0.2">
      <c r="A1573" s="52"/>
    </row>
    <row r="1574" spans="1:1" x14ac:dyDescent="0.2">
      <c r="A1574" s="52"/>
    </row>
    <row r="1575" spans="1:1" x14ac:dyDescent="0.2">
      <c r="A1575" s="52"/>
    </row>
    <row r="1576" spans="1:1" x14ac:dyDescent="0.2">
      <c r="A1576" s="52"/>
    </row>
    <row r="1577" spans="1:1" x14ac:dyDescent="0.2">
      <c r="A1577" s="52"/>
    </row>
    <row r="1578" spans="1:1" x14ac:dyDescent="0.2">
      <c r="A1578" s="52"/>
    </row>
    <row r="1579" spans="1:1" x14ac:dyDescent="0.2">
      <c r="A1579" s="52"/>
    </row>
    <row r="1580" spans="1:1" x14ac:dyDescent="0.2">
      <c r="A1580" s="52"/>
    </row>
    <row r="1581" spans="1:1" x14ac:dyDescent="0.2">
      <c r="A1581" s="53"/>
    </row>
    <row r="1582" spans="1:1" x14ac:dyDescent="0.2">
      <c r="A1582" s="52"/>
    </row>
    <row r="1583" spans="1:1" x14ac:dyDescent="0.2">
      <c r="A1583" s="52"/>
    </row>
    <row r="1584" spans="1:1" x14ac:dyDescent="0.2">
      <c r="A1584" s="52"/>
    </row>
    <row r="1585" spans="1:1" x14ac:dyDescent="0.2">
      <c r="A1585" s="52"/>
    </row>
    <row r="1586" spans="1:1" x14ac:dyDescent="0.2">
      <c r="A1586" s="52"/>
    </row>
    <row r="1587" spans="1:1" x14ac:dyDescent="0.2">
      <c r="A1587" s="52"/>
    </row>
    <row r="1588" spans="1:1" x14ac:dyDescent="0.2">
      <c r="A1588" s="53"/>
    </row>
    <row r="1589" spans="1:1" x14ac:dyDescent="0.2">
      <c r="A1589" s="52"/>
    </row>
    <row r="1590" spans="1:1" x14ac:dyDescent="0.2">
      <c r="A1590" s="52"/>
    </row>
    <row r="1591" spans="1:1" x14ac:dyDescent="0.2">
      <c r="A1591" s="52"/>
    </row>
    <row r="1592" spans="1:1" x14ac:dyDescent="0.2">
      <c r="A1592" s="52"/>
    </row>
    <row r="1593" spans="1:1" x14ac:dyDescent="0.2">
      <c r="A1593" s="53"/>
    </row>
    <row r="1594" spans="1:1" x14ac:dyDescent="0.2">
      <c r="A1594" s="52"/>
    </row>
    <row r="1595" spans="1:1" x14ac:dyDescent="0.2">
      <c r="A1595" s="52"/>
    </row>
    <row r="1596" spans="1:1" x14ac:dyDescent="0.2">
      <c r="A1596" s="52"/>
    </row>
    <row r="1597" spans="1:1" x14ac:dyDescent="0.2">
      <c r="A1597" s="52"/>
    </row>
    <row r="1598" spans="1:1" x14ac:dyDescent="0.2">
      <c r="A1598" s="52"/>
    </row>
    <row r="1599" spans="1:1" x14ac:dyDescent="0.2">
      <c r="A1599" s="52"/>
    </row>
    <row r="1600" spans="1:1" x14ac:dyDescent="0.2">
      <c r="A1600" s="52"/>
    </row>
    <row r="1601" spans="1:1" x14ac:dyDescent="0.2">
      <c r="A1601" s="52"/>
    </row>
    <row r="1602" spans="1:1" x14ac:dyDescent="0.2">
      <c r="A1602" s="52"/>
    </row>
    <row r="1603" spans="1:1" x14ac:dyDescent="0.2">
      <c r="A1603" s="52"/>
    </row>
    <row r="1604" spans="1:1" x14ac:dyDescent="0.2">
      <c r="A1604" s="52"/>
    </row>
    <row r="1605" spans="1:1" x14ac:dyDescent="0.2">
      <c r="A1605" s="52"/>
    </row>
    <row r="1606" spans="1:1" x14ac:dyDescent="0.2">
      <c r="A1606" s="52"/>
    </row>
    <row r="1607" spans="1:1" x14ac:dyDescent="0.2">
      <c r="A1607" s="52"/>
    </row>
    <row r="1608" spans="1:1" x14ac:dyDescent="0.2">
      <c r="A1608" s="52"/>
    </row>
    <row r="1609" spans="1:1" x14ac:dyDescent="0.2">
      <c r="A1609" s="52"/>
    </row>
    <row r="1610" spans="1:1" x14ac:dyDescent="0.2">
      <c r="A1610" s="52"/>
    </row>
    <row r="1611" spans="1:1" x14ac:dyDescent="0.2">
      <c r="A1611" s="52"/>
    </row>
    <row r="1612" spans="1:1" x14ac:dyDescent="0.2">
      <c r="A1612" s="52"/>
    </row>
    <row r="1613" spans="1:1" x14ac:dyDescent="0.2">
      <c r="A1613" s="52"/>
    </row>
    <row r="1614" spans="1:1" x14ac:dyDescent="0.2">
      <c r="A1614" s="52"/>
    </row>
    <row r="1615" spans="1:1" x14ac:dyDescent="0.2">
      <c r="A1615" s="52"/>
    </row>
    <row r="1616" spans="1:1" x14ac:dyDescent="0.2">
      <c r="A1616" s="52"/>
    </row>
    <row r="1617" spans="1:1" x14ac:dyDescent="0.2">
      <c r="A1617" s="52"/>
    </row>
    <row r="1618" spans="1:1" x14ac:dyDescent="0.2">
      <c r="A1618" s="52"/>
    </row>
    <row r="1619" spans="1:1" x14ac:dyDescent="0.2">
      <c r="A1619" s="52"/>
    </row>
    <row r="1620" spans="1:1" x14ac:dyDescent="0.2">
      <c r="A1620" s="52"/>
    </row>
    <row r="1621" spans="1:1" x14ac:dyDescent="0.2">
      <c r="A1621" s="52"/>
    </row>
    <row r="1622" spans="1:1" x14ac:dyDescent="0.2">
      <c r="A1622" s="52"/>
    </row>
    <row r="1623" spans="1:1" x14ac:dyDescent="0.2">
      <c r="A1623" s="52"/>
    </row>
    <row r="1624" spans="1:1" x14ac:dyDescent="0.2">
      <c r="A1624" s="53"/>
    </row>
    <row r="1625" spans="1:1" x14ac:dyDescent="0.2">
      <c r="A1625" s="52"/>
    </row>
    <row r="1626" spans="1:1" x14ac:dyDescent="0.2">
      <c r="A1626" s="52"/>
    </row>
    <row r="1627" spans="1:1" x14ac:dyDescent="0.2">
      <c r="A1627" s="53"/>
    </row>
    <row r="1628" spans="1:1" x14ac:dyDescent="0.2">
      <c r="A1628" s="53"/>
    </row>
    <row r="1629" spans="1:1" x14ac:dyDescent="0.2">
      <c r="A1629" s="52"/>
    </row>
    <row r="1630" spans="1:1" x14ac:dyDescent="0.2">
      <c r="A1630" s="52"/>
    </row>
    <row r="1631" spans="1:1" x14ac:dyDescent="0.2">
      <c r="A1631" s="52"/>
    </row>
    <row r="1632" spans="1:1" x14ac:dyDescent="0.2">
      <c r="A1632" s="52"/>
    </row>
    <row r="1633" spans="1:1" x14ac:dyDescent="0.2">
      <c r="A1633" s="52"/>
    </row>
    <row r="1634" spans="1:1" x14ac:dyDescent="0.2">
      <c r="A1634" s="52"/>
    </row>
    <row r="1635" spans="1:1" x14ac:dyDescent="0.2">
      <c r="A1635" s="52"/>
    </row>
    <row r="1636" spans="1:1" x14ac:dyDescent="0.2">
      <c r="A1636" s="52"/>
    </row>
    <row r="1637" spans="1:1" x14ac:dyDescent="0.2">
      <c r="A1637" s="52"/>
    </row>
    <row r="1638" spans="1:1" x14ac:dyDescent="0.2">
      <c r="A1638" s="52"/>
    </row>
    <row r="1639" spans="1:1" x14ac:dyDescent="0.2">
      <c r="A1639" s="52"/>
    </row>
    <row r="1640" spans="1:1" x14ac:dyDescent="0.2">
      <c r="A1640" s="52"/>
    </row>
    <row r="1641" spans="1:1" x14ac:dyDescent="0.2">
      <c r="A1641" s="52"/>
    </row>
    <row r="1642" spans="1:1" x14ac:dyDescent="0.2">
      <c r="A1642" s="52"/>
    </row>
    <row r="1643" spans="1:1" x14ac:dyDescent="0.2">
      <c r="A1643" s="53"/>
    </row>
    <row r="1644" spans="1:1" x14ac:dyDescent="0.2">
      <c r="A1644" s="52"/>
    </row>
    <row r="1645" spans="1:1" x14ac:dyDescent="0.2">
      <c r="A1645" s="52"/>
    </row>
    <row r="1646" spans="1:1" x14ac:dyDescent="0.2">
      <c r="A1646" s="52"/>
    </row>
    <row r="1647" spans="1:1" x14ac:dyDescent="0.2">
      <c r="A1647" s="52"/>
    </row>
    <row r="1648" spans="1:1" x14ac:dyDescent="0.2">
      <c r="A1648" s="52"/>
    </row>
    <row r="1649" spans="1:1" x14ac:dyDescent="0.2">
      <c r="A1649" s="52"/>
    </row>
    <row r="1650" spans="1:1" x14ac:dyDescent="0.2">
      <c r="A1650" s="52"/>
    </row>
    <row r="1651" spans="1:1" x14ac:dyDescent="0.2">
      <c r="A1651" s="52"/>
    </row>
    <row r="1652" spans="1:1" x14ac:dyDescent="0.2">
      <c r="A1652" s="52"/>
    </row>
    <row r="1653" spans="1:1" x14ac:dyDescent="0.2">
      <c r="A1653" s="52"/>
    </row>
    <row r="1654" spans="1:1" x14ac:dyDescent="0.2">
      <c r="A1654" s="52"/>
    </row>
    <row r="1655" spans="1:1" x14ac:dyDescent="0.2">
      <c r="A1655" s="52"/>
    </row>
    <row r="1656" spans="1:1" x14ac:dyDescent="0.2">
      <c r="A1656" s="52"/>
    </row>
    <row r="1657" spans="1:1" x14ac:dyDescent="0.2">
      <c r="A1657" s="52"/>
    </row>
    <row r="1658" spans="1:1" x14ac:dyDescent="0.2">
      <c r="A1658" s="52"/>
    </row>
    <row r="1659" spans="1:1" x14ac:dyDescent="0.2">
      <c r="A1659" s="52"/>
    </row>
    <row r="1660" spans="1:1" x14ac:dyDescent="0.2">
      <c r="A1660" s="52"/>
    </row>
    <row r="1661" spans="1:1" x14ac:dyDescent="0.2">
      <c r="A1661" s="52"/>
    </row>
    <row r="1662" spans="1:1" x14ac:dyDescent="0.2">
      <c r="A1662" s="52"/>
    </row>
    <row r="1663" spans="1:1" x14ac:dyDescent="0.2">
      <c r="A1663" s="52"/>
    </row>
    <row r="1664" spans="1:1" x14ac:dyDescent="0.2">
      <c r="A1664" s="52"/>
    </row>
    <row r="1665" spans="1:1" x14ac:dyDescent="0.2">
      <c r="A1665" s="52"/>
    </row>
    <row r="1666" spans="1:1" x14ac:dyDescent="0.2">
      <c r="A1666" s="52"/>
    </row>
    <row r="1667" spans="1:1" x14ac:dyDescent="0.2">
      <c r="A1667" s="52"/>
    </row>
    <row r="1668" spans="1:1" x14ac:dyDescent="0.2">
      <c r="A1668" s="52"/>
    </row>
    <row r="1669" spans="1:1" x14ac:dyDescent="0.2">
      <c r="A1669" s="52"/>
    </row>
    <row r="1670" spans="1:1" x14ac:dyDescent="0.2">
      <c r="A1670" s="52"/>
    </row>
    <row r="1671" spans="1:1" x14ac:dyDescent="0.2">
      <c r="A1671" s="52"/>
    </row>
    <row r="1672" spans="1:1" x14ac:dyDescent="0.2">
      <c r="A1672" s="52"/>
    </row>
    <row r="1673" spans="1:1" x14ac:dyDescent="0.2">
      <c r="A1673" s="52"/>
    </row>
    <row r="1674" spans="1:1" x14ac:dyDescent="0.2">
      <c r="A1674" s="52"/>
    </row>
    <row r="1675" spans="1:1" x14ac:dyDescent="0.2">
      <c r="A1675" s="52"/>
    </row>
    <row r="1676" spans="1:1" x14ac:dyDescent="0.2">
      <c r="A1676" s="52"/>
    </row>
    <row r="1677" spans="1:1" x14ac:dyDescent="0.2">
      <c r="A1677" s="52"/>
    </row>
    <row r="1678" spans="1:1" x14ac:dyDescent="0.2">
      <c r="A1678" s="52"/>
    </row>
    <row r="1679" spans="1:1" x14ac:dyDescent="0.2">
      <c r="A1679" s="52"/>
    </row>
    <row r="1680" spans="1:1" x14ac:dyDescent="0.2">
      <c r="A1680" s="52"/>
    </row>
    <row r="1681" spans="1:1" x14ac:dyDescent="0.2">
      <c r="A1681" s="52"/>
    </row>
    <row r="1682" spans="1:1" x14ac:dyDescent="0.2">
      <c r="A1682" s="52"/>
    </row>
    <row r="1683" spans="1:1" x14ac:dyDescent="0.2">
      <c r="A1683" s="52"/>
    </row>
    <row r="1684" spans="1:1" x14ac:dyDescent="0.2">
      <c r="A1684" s="52"/>
    </row>
    <row r="1685" spans="1:1" x14ac:dyDescent="0.2">
      <c r="A1685" s="52"/>
    </row>
    <row r="1686" spans="1:1" x14ac:dyDescent="0.2">
      <c r="A1686" s="52"/>
    </row>
    <row r="1687" spans="1:1" x14ac:dyDescent="0.2">
      <c r="A1687" s="52"/>
    </row>
    <row r="1688" spans="1:1" x14ac:dyDescent="0.2">
      <c r="A1688" s="52"/>
    </row>
    <row r="1689" spans="1:1" x14ac:dyDescent="0.2">
      <c r="A1689" s="52"/>
    </row>
    <row r="1690" spans="1:1" x14ac:dyDescent="0.2">
      <c r="A1690" s="52"/>
    </row>
    <row r="1691" spans="1:1" x14ac:dyDescent="0.2">
      <c r="A1691" s="52"/>
    </row>
    <row r="1692" spans="1:1" x14ac:dyDescent="0.2">
      <c r="A1692" s="52"/>
    </row>
    <row r="1693" spans="1:1" x14ac:dyDescent="0.2">
      <c r="A1693" s="52"/>
    </row>
    <row r="1694" spans="1:1" x14ac:dyDescent="0.2">
      <c r="A1694" s="52"/>
    </row>
    <row r="1695" spans="1:1" x14ac:dyDescent="0.2">
      <c r="A1695" s="52"/>
    </row>
    <row r="1696" spans="1:1" x14ac:dyDescent="0.2">
      <c r="A1696" s="52"/>
    </row>
    <row r="1697" spans="1:1" x14ac:dyDescent="0.2">
      <c r="A1697" s="52"/>
    </row>
    <row r="1698" spans="1:1" x14ac:dyDescent="0.2">
      <c r="A1698" s="52"/>
    </row>
    <row r="1699" spans="1:1" x14ac:dyDescent="0.2">
      <c r="A1699" s="52"/>
    </row>
    <row r="1700" spans="1:1" x14ac:dyDescent="0.2">
      <c r="A1700" s="52"/>
    </row>
    <row r="1701" spans="1:1" x14ac:dyDescent="0.2">
      <c r="A1701" s="52"/>
    </row>
    <row r="1702" spans="1:1" x14ac:dyDescent="0.2">
      <c r="A1702" s="52"/>
    </row>
    <row r="1703" spans="1:1" x14ac:dyDescent="0.2">
      <c r="A1703" s="52"/>
    </row>
    <row r="1704" spans="1:1" x14ac:dyDescent="0.2">
      <c r="A1704" s="52"/>
    </row>
    <row r="1705" spans="1:1" x14ac:dyDescent="0.2">
      <c r="A1705" s="52"/>
    </row>
    <row r="1706" spans="1:1" x14ac:dyDescent="0.2">
      <c r="A1706" s="52"/>
    </row>
    <row r="1707" spans="1:1" x14ac:dyDescent="0.2">
      <c r="A1707" s="52"/>
    </row>
    <row r="1708" spans="1:1" x14ac:dyDescent="0.2">
      <c r="A1708" s="52"/>
    </row>
    <row r="1709" spans="1:1" x14ac:dyDescent="0.2">
      <c r="A1709" s="52"/>
    </row>
    <row r="1710" spans="1:1" x14ac:dyDescent="0.2">
      <c r="A1710" s="52"/>
    </row>
    <row r="1711" spans="1:1" x14ac:dyDescent="0.2">
      <c r="A1711" s="52"/>
    </row>
    <row r="1712" spans="1:1" x14ac:dyDescent="0.2">
      <c r="A1712" s="52"/>
    </row>
    <row r="1713" spans="1:1" x14ac:dyDescent="0.2">
      <c r="A1713" s="52"/>
    </row>
    <row r="1714" spans="1:1" x14ac:dyDescent="0.2">
      <c r="A1714" s="52"/>
    </row>
    <row r="1715" spans="1:1" x14ac:dyDescent="0.2">
      <c r="A1715" s="52"/>
    </row>
    <row r="1716" spans="1:1" x14ac:dyDescent="0.2">
      <c r="A1716" s="52"/>
    </row>
    <row r="1717" spans="1:1" x14ac:dyDescent="0.2">
      <c r="A1717" s="52"/>
    </row>
    <row r="1718" spans="1:1" x14ac:dyDescent="0.2">
      <c r="A1718" s="52"/>
    </row>
    <row r="1719" spans="1:1" x14ac:dyDescent="0.2">
      <c r="A1719" s="52"/>
    </row>
    <row r="1720" spans="1:1" x14ac:dyDescent="0.2">
      <c r="A1720" s="52"/>
    </row>
    <row r="1721" spans="1:1" x14ac:dyDescent="0.2">
      <c r="A1721" s="52"/>
    </row>
    <row r="1722" spans="1:1" x14ac:dyDescent="0.2">
      <c r="A1722" s="52"/>
    </row>
    <row r="1723" spans="1:1" x14ac:dyDescent="0.2">
      <c r="A1723" s="52"/>
    </row>
    <row r="1724" spans="1:1" x14ac:dyDescent="0.2">
      <c r="A1724" s="52"/>
    </row>
    <row r="1725" spans="1:1" x14ac:dyDescent="0.2">
      <c r="A1725" s="52"/>
    </row>
    <row r="1726" spans="1:1" x14ac:dyDescent="0.2">
      <c r="A1726" s="52"/>
    </row>
    <row r="1727" spans="1:1" x14ac:dyDescent="0.2">
      <c r="A1727" s="52"/>
    </row>
    <row r="1728" spans="1:1" x14ac:dyDescent="0.2">
      <c r="A1728" s="53"/>
    </row>
    <row r="1729" spans="1:1" x14ac:dyDescent="0.2">
      <c r="A1729" s="52"/>
    </row>
    <row r="1730" spans="1:1" x14ac:dyDescent="0.2">
      <c r="A1730" s="52"/>
    </row>
    <row r="1731" spans="1:1" x14ac:dyDescent="0.2">
      <c r="A1731" s="52"/>
    </row>
    <row r="1732" spans="1:1" x14ac:dyDescent="0.2">
      <c r="A1732" s="52"/>
    </row>
    <row r="1733" spans="1:1" x14ac:dyDescent="0.2">
      <c r="A1733" s="52"/>
    </row>
    <row r="1734" spans="1:1" x14ac:dyDescent="0.2">
      <c r="A1734" s="52"/>
    </row>
    <row r="1735" spans="1:1" x14ac:dyDescent="0.2">
      <c r="A1735" s="53"/>
    </row>
    <row r="1736" spans="1:1" x14ac:dyDescent="0.2">
      <c r="A1736" s="52"/>
    </row>
    <row r="1737" spans="1:1" x14ac:dyDescent="0.2">
      <c r="A1737" s="52"/>
    </row>
    <row r="1738" spans="1:1" x14ac:dyDescent="0.2">
      <c r="A1738" s="52"/>
    </row>
    <row r="1739" spans="1:1" x14ac:dyDescent="0.2">
      <c r="A1739" s="52"/>
    </row>
    <row r="1740" spans="1:1" x14ac:dyDescent="0.2">
      <c r="A1740" s="52"/>
    </row>
    <row r="1741" spans="1:1" x14ac:dyDescent="0.2">
      <c r="A1741" s="52"/>
    </row>
    <row r="1742" spans="1:1" x14ac:dyDescent="0.2">
      <c r="A1742" s="52"/>
    </row>
    <row r="1743" spans="1:1" x14ac:dyDescent="0.2">
      <c r="A1743" s="52"/>
    </row>
    <row r="1744" spans="1:1" x14ac:dyDescent="0.2">
      <c r="A1744" s="52"/>
    </row>
    <row r="1745" spans="1:1" x14ac:dyDescent="0.2">
      <c r="A1745" s="52"/>
    </row>
    <row r="1746" spans="1:1" x14ac:dyDescent="0.2">
      <c r="A1746" s="52"/>
    </row>
    <row r="1747" spans="1:1" x14ac:dyDescent="0.2">
      <c r="A1747" s="52"/>
    </row>
    <row r="1748" spans="1:1" x14ac:dyDescent="0.2">
      <c r="A1748" s="52"/>
    </row>
    <row r="1749" spans="1:1" x14ac:dyDescent="0.2">
      <c r="A1749" s="52"/>
    </row>
    <row r="1750" spans="1:1" x14ac:dyDescent="0.2">
      <c r="A1750" s="53"/>
    </row>
    <row r="1751" spans="1:1" x14ac:dyDescent="0.2">
      <c r="A1751" s="52"/>
    </row>
    <row r="1752" spans="1:1" x14ac:dyDescent="0.2">
      <c r="A1752" s="52"/>
    </row>
    <row r="1753" spans="1:1" x14ac:dyDescent="0.2">
      <c r="A1753" s="52"/>
    </row>
    <row r="1754" spans="1:1" x14ac:dyDescent="0.2">
      <c r="A1754" s="52"/>
    </row>
    <row r="1755" spans="1:1" x14ac:dyDescent="0.2">
      <c r="A1755" s="52"/>
    </row>
    <row r="1756" spans="1:1" x14ac:dyDescent="0.2">
      <c r="A1756" s="52"/>
    </row>
    <row r="1757" spans="1:1" x14ac:dyDescent="0.2">
      <c r="A1757" s="52"/>
    </row>
    <row r="1758" spans="1:1" x14ac:dyDescent="0.2">
      <c r="A1758" s="52"/>
    </row>
    <row r="1759" spans="1:1" x14ac:dyDescent="0.2">
      <c r="A1759" s="52"/>
    </row>
    <row r="1760" spans="1:1" x14ac:dyDescent="0.2">
      <c r="A1760" s="52"/>
    </row>
    <row r="1761" spans="1:1" x14ac:dyDescent="0.2">
      <c r="A1761" s="52"/>
    </row>
    <row r="1762" spans="1:1" x14ac:dyDescent="0.2">
      <c r="A1762" s="52"/>
    </row>
    <row r="1763" spans="1:1" x14ac:dyDescent="0.2">
      <c r="A1763" s="52"/>
    </row>
    <row r="1764" spans="1:1" x14ac:dyDescent="0.2">
      <c r="A1764" s="52"/>
    </row>
    <row r="1765" spans="1:1" x14ac:dyDescent="0.2">
      <c r="A1765" s="52"/>
    </row>
    <row r="1766" spans="1:1" x14ac:dyDescent="0.2">
      <c r="A1766" s="52"/>
    </row>
    <row r="1767" spans="1:1" x14ac:dyDescent="0.2">
      <c r="A1767" s="52"/>
    </row>
    <row r="1768" spans="1:1" x14ac:dyDescent="0.2">
      <c r="A1768" s="52"/>
    </row>
    <row r="1769" spans="1:1" x14ac:dyDescent="0.2">
      <c r="A1769" s="52"/>
    </row>
    <row r="1770" spans="1:1" x14ac:dyDescent="0.2">
      <c r="A1770" s="52"/>
    </row>
    <row r="1771" spans="1:1" x14ac:dyDescent="0.2">
      <c r="A1771" s="52"/>
    </row>
    <row r="1772" spans="1:1" x14ac:dyDescent="0.2">
      <c r="A1772" s="52"/>
    </row>
    <row r="1773" spans="1:1" x14ac:dyDescent="0.2">
      <c r="A1773" s="52"/>
    </row>
    <row r="1774" spans="1:1" x14ac:dyDescent="0.2">
      <c r="A1774" s="53"/>
    </row>
    <row r="1775" spans="1:1" x14ac:dyDescent="0.2">
      <c r="A1775" s="52"/>
    </row>
    <row r="1776" spans="1:1" x14ac:dyDescent="0.2">
      <c r="A1776" s="52"/>
    </row>
    <row r="1777" spans="1:1" x14ac:dyDescent="0.2">
      <c r="A1777" s="52"/>
    </row>
    <row r="1778" spans="1:1" x14ac:dyDescent="0.2">
      <c r="A1778" s="52"/>
    </row>
    <row r="1779" spans="1:1" x14ac:dyDescent="0.2">
      <c r="A1779" s="52"/>
    </row>
    <row r="1780" spans="1:1" x14ac:dyDescent="0.2">
      <c r="A1780" s="52"/>
    </row>
    <row r="1781" spans="1:1" x14ac:dyDescent="0.2">
      <c r="A1781" s="52"/>
    </row>
    <row r="1782" spans="1:1" x14ac:dyDescent="0.2">
      <c r="A1782" s="52"/>
    </row>
    <row r="1783" spans="1:1" x14ac:dyDescent="0.2">
      <c r="A1783" s="52"/>
    </row>
    <row r="1784" spans="1:1" x14ac:dyDescent="0.2">
      <c r="A1784" s="52"/>
    </row>
    <row r="1785" spans="1:1" x14ac:dyDescent="0.2">
      <c r="A1785" s="52"/>
    </row>
    <row r="1786" spans="1:1" x14ac:dyDescent="0.2">
      <c r="A1786" s="52"/>
    </row>
    <row r="1787" spans="1:1" x14ac:dyDescent="0.2">
      <c r="A1787" s="52"/>
    </row>
    <row r="1788" spans="1:1" x14ac:dyDescent="0.2">
      <c r="A1788" s="52"/>
    </row>
    <row r="1789" spans="1:1" x14ac:dyDescent="0.2">
      <c r="A1789" s="52"/>
    </row>
    <row r="1790" spans="1:1" x14ac:dyDescent="0.2">
      <c r="A1790" s="53"/>
    </row>
    <row r="1791" spans="1:1" x14ac:dyDescent="0.2">
      <c r="A1791" s="52"/>
    </row>
    <row r="1792" spans="1:1" x14ac:dyDescent="0.2">
      <c r="A1792" s="52"/>
    </row>
    <row r="1793" spans="1:1" x14ac:dyDescent="0.2">
      <c r="A1793" s="52"/>
    </row>
    <row r="1794" spans="1:1" x14ac:dyDescent="0.2">
      <c r="A1794" s="52"/>
    </row>
    <row r="1795" spans="1:1" x14ac:dyDescent="0.2">
      <c r="A1795" s="52"/>
    </row>
    <row r="1796" spans="1:1" x14ac:dyDescent="0.2">
      <c r="A1796" s="52"/>
    </row>
    <row r="1797" spans="1:1" x14ac:dyDescent="0.2">
      <c r="A1797" s="52"/>
    </row>
    <row r="1798" spans="1:1" x14ac:dyDescent="0.2">
      <c r="A1798" s="52"/>
    </row>
    <row r="1799" spans="1:1" x14ac:dyDescent="0.2">
      <c r="A1799" s="52"/>
    </row>
    <row r="1800" spans="1:1" x14ac:dyDescent="0.2">
      <c r="A1800" s="52"/>
    </row>
    <row r="1801" spans="1:1" x14ac:dyDescent="0.2">
      <c r="A1801" s="52"/>
    </row>
    <row r="1802" spans="1:1" x14ac:dyDescent="0.2">
      <c r="A1802" s="52"/>
    </row>
    <row r="1803" spans="1:1" x14ac:dyDescent="0.2">
      <c r="A1803" s="52"/>
    </row>
    <row r="1804" spans="1:1" x14ac:dyDescent="0.2">
      <c r="A1804" s="52"/>
    </row>
    <row r="1805" spans="1:1" x14ac:dyDescent="0.2">
      <c r="A1805" s="52"/>
    </row>
    <row r="1806" spans="1:1" x14ac:dyDescent="0.2">
      <c r="A1806" s="52"/>
    </row>
    <row r="1807" spans="1:1" x14ac:dyDescent="0.2">
      <c r="A1807" s="52"/>
    </row>
    <row r="1808" spans="1:1" x14ac:dyDescent="0.2">
      <c r="A1808" s="52"/>
    </row>
    <row r="1809" spans="1:1" x14ac:dyDescent="0.2">
      <c r="A1809" s="52"/>
    </row>
    <row r="1810" spans="1:1" x14ac:dyDescent="0.2">
      <c r="A1810" s="52"/>
    </row>
    <row r="1811" spans="1:1" x14ac:dyDescent="0.2">
      <c r="A1811" s="52"/>
    </row>
    <row r="1812" spans="1:1" x14ac:dyDescent="0.2">
      <c r="A1812" s="52"/>
    </row>
    <row r="1813" spans="1:1" x14ac:dyDescent="0.2">
      <c r="A1813" s="52"/>
    </row>
    <row r="1814" spans="1:1" x14ac:dyDescent="0.2">
      <c r="A1814" s="52"/>
    </row>
    <row r="1815" spans="1:1" x14ac:dyDescent="0.2">
      <c r="A1815" s="52"/>
    </row>
    <row r="1816" spans="1:1" x14ac:dyDescent="0.2">
      <c r="A1816" s="52"/>
    </row>
    <row r="1817" spans="1:1" x14ac:dyDescent="0.2">
      <c r="A1817" s="52"/>
    </row>
    <row r="1818" spans="1:1" x14ac:dyDescent="0.2">
      <c r="A1818" s="52"/>
    </row>
    <row r="1819" spans="1:1" x14ac:dyDescent="0.2">
      <c r="A1819" s="52"/>
    </row>
    <row r="1820" spans="1:1" x14ac:dyDescent="0.2">
      <c r="A1820" s="52"/>
    </row>
    <row r="1821" spans="1:1" x14ac:dyDescent="0.2">
      <c r="A1821" s="52"/>
    </row>
    <row r="1822" spans="1:1" x14ac:dyDescent="0.2">
      <c r="A1822" s="52"/>
    </row>
    <row r="1823" spans="1:1" x14ac:dyDescent="0.2">
      <c r="A1823" s="52"/>
    </row>
    <row r="1824" spans="1:1" x14ac:dyDescent="0.2">
      <c r="A1824" s="52"/>
    </row>
    <row r="1825" spans="1:1" x14ac:dyDescent="0.2">
      <c r="A1825" s="52"/>
    </row>
    <row r="1826" spans="1:1" x14ac:dyDescent="0.2">
      <c r="A1826" s="52"/>
    </row>
    <row r="1827" spans="1:1" x14ac:dyDescent="0.2">
      <c r="A1827" s="52"/>
    </row>
    <row r="1828" spans="1:1" x14ac:dyDescent="0.2">
      <c r="A1828" s="52"/>
    </row>
    <row r="1829" spans="1:1" x14ac:dyDescent="0.2">
      <c r="A1829" s="52"/>
    </row>
    <row r="1830" spans="1:1" x14ac:dyDescent="0.2">
      <c r="A1830" s="52"/>
    </row>
    <row r="1831" spans="1:1" x14ac:dyDescent="0.2">
      <c r="A1831" s="52"/>
    </row>
    <row r="1832" spans="1:1" x14ac:dyDescent="0.2">
      <c r="A1832" s="52"/>
    </row>
    <row r="1833" spans="1:1" x14ac:dyDescent="0.2">
      <c r="A1833" s="53"/>
    </row>
    <row r="1834" spans="1:1" x14ac:dyDescent="0.2">
      <c r="A1834" s="52"/>
    </row>
    <row r="1835" spans="1:1" x14ac:dyDescent="0.2">
      <c r="A1835" s="52"/>
    </row>
    <row r="1836" spans="1:1" x14ac:dyDescent="0.2">
      <c r="A1836" s="52"/>
    </row>
    <row r="1837" spans="1:1" x14ac:dyDescent="0.2">
      <c r="A1837" s="53"/>
    </row>
    <row r="1838" spans="1:1" x14ac:dyDescent="0.2">
      <c r="A1838" s="52"/>
    </row>
    <row r="1839" spans="1:1" x14ac:dyDescent="0.2">
      <c r="A1839" s="52"/>
    </row>
    <row r="1840" spans="1:1" x14ac:dyDescent="0.2">
      <c r="A1840" s="52"/>
    </row>
    <row r="1841" spans="1:1" x14ac:dyDescent="0.2">
      <c r="A1841" s="52"/>
    </row>
    <row r="1842" spans="1:1" x14ac:dyDescent="0.2">
      <c r="A1842" s="52"/>
    </row>
    <row r="1843" spans="1:1" x14ac:dyDescent="0.2">
      <c r="A1843" s="52"/>
    </row>
    <row r="1844" spans="1:1" x14ac:dyDescent="0.2">
      <c r="A1844" s="52"/>
    </row>
    <row r="1845" spans="1:1" x14ac:dyDescent="0.2">
      <c r="A1845" s="52"/>
    </row>
    <row r="1846" spans="1:1" x14ac:dyDescent="0.2">
      <c r="A1846" s="52"/>
    </row>
    <row r="1847" spans="1:1" x14ac:dyDescent="0.2">
      <c r="A1847" s="52"/>
    </row>
    <row r="1848" spans="1:1" x14ac:dyDescent="0.2">
      <c r="A1848" s="52"/>
    </row>
    <row r="1849" spans="1:1" x14ac:dyDescent="0.2">
      <c r="A1849" s="52"/>
    </row>
    <row r="1850" spans="1:1" x14ac:dyDescent="0.2">
      <c r="A1850" s="52"/>
    </row>
    <row r="1851" spans="1:1" x14ac:dyDescent="0.2">
      <c r="A1851" s="52"/>
    </row>
    <row r="1852" spans="1:1" x14ac:dyDescent="0.2">
      <c r="A1852" s="52"/>
    </row>
    <row r="1853" spans="1:1" x14ac:dyDescent="0.2">
      <c r="A1853" s="52"/>
    </row>
    <row r="1854" spans="1:1" x14ac:dyDescent="0.2">
      <c r="A1854" s="52"/>
    </row>
    <row r="1855" spans="1:1" x14ac:dyDescent="0.2">
      <c r="A1855" s="53"/>
    </row>
    <row r="1856" spans="1:1" x14ac:dyDescent="0.2">
      <c r="A1856" s="52"/>
    </row>
    <row r="1857" spans="1:1" x14ac:dyDescent="0.2">
      <c r="A1857" s="52"/>
    </row>
    <row r="1858" spans="1:1" x14ac:dyDescent="0.2">
      <c r="A1858" s="52"/>
    </row>
    <row r="1859" spans="1:1" x14ac:dyDescent="0.2">
      <c r="A1859" s="52"/>
    </row>
    <row r="1860" spans="1:1" x14ac:dyDescent="0.2">
      <c r="A1860" s="52"/>
    </row>
    <row r="1861" spans="1:1" x14ac:dyDescent="0.2">
      <c r="A1861" s="53"/>
    </row>
    <row r="1862" spans="1:1" x14ac:dyDescent="0.2">
      <c r="A1862" s="52"/>
    </row>
    <row r="1863" spans="1:1" x14ac:dyDescent="0.2">
      <c r="A1863" s="52"/>
    </row>
    <row r="1864" spans="1:1" x14ac:dyDescent="0.2">
      <c r="A1864" s="52"/>
    </row>
    <row r="1865" spans="1:1" x14ac:dyDescent="0.2">
      <c r="A1865" s="52"/>
    </row>
    <row r="1866" spans="1:1" x14ac:dyDescent="0.2">
      <c r="A1866" s="53"/>
    </row>
    <row r="1867" spans="1:1" x14ac:dyDescent="0.2">
      <c r="A1867" s="53"/>
    </row>
    <row r="1868" spans="1:1" x14ac:dyDescent="0.2">
      <c r="A1868" s="52"/>
    </row>
    <row r="1869" spans="1:1" x14ac:dyDescent="0.2">
      <c r="A1869" s="52"/>
    </row>
    <row r="1870" spans="1:1" x14ac:dyDescent="0.2">
      <c r="A1870" s="53"/>
    </row>
    <row r="1871" spans="1:1" x14ac:dyDescent="0.2">
      <c r="A1871" s="52"/>
    </row>
    <row r="1872" spans="1:1" x14ac:dyDescent="0.2">
      <c r="A1872" s="52"/>
    </row>
    <row r="1873" spans="1:1" x14ac:dyDescent="0.2">
      <c r="A1873" s="52"/>
    </row>
    <row r="1874" spans="1:1" x14ac:dyDescent="0.2">
      <c r="A1874" s="52"/>
    </row>
    <row r="1875" spans="1:1" x14ac:dyDescent="0.2">
      <c r="A1875" s="52"/>
    </row>
    <row r="1876" spans="1:1" x14ac:dyDescent="0.2">
      <c r="A1876" s="52"/>
    </row>
    <row r="1877" spans="1:1" x14ac:dyDescent="0.2">
      <c r="A1877" s="52"/>
    </row>
    <row r="1878" spans="1:1" x14ac:dyDescent="0.2">
      <c r="A1878" s="52"/>
    </row>
    <row r="1879" spans="1:1" x14ac:dyDescent="0.2">
      <c r="A1879" s="52"/>
    </row>
    <row r="1880" spans="1:1" x14ac:dyDescent="0.2">
      <c r="A1880" s="52"/>
    </row>
    <row r="1881" spans="1:1" x14ac:dyDescent="0.2">
      <c r="A1881" s="52"/>
    </row>
    <row r="1882" spans="1:1" x14ac:dyDescent="0.2">
      <c r="A1882" s="52"/>
    </row>
    <row r="1883" spans="1:1" x14ac:dyDescent="0.2">
      <c r="A1883" s="52"/>
    </row>
    <row r="1884" spans="1:1" x14ac:dyDescent="0.2">
      <c r="A1884" s="52"/>
    </row>
    <row r="1885" spans="1:1" x14ac:dyDescent="0.2">
      <c r="A1885" s="53"/>
    </row>
    <row r="1886" spans="1:1" x14ac:dyDescent="0.2">
      <c r="A1886" s="52"/>
    </row>
    <row r="1887" spans="1:1" x14ac:dyDescent="0.2">
      <c r="A1887" s="52"/>
    </row>
    <row r="1888" spans="1:1" x14ac:dyDescent="0.2">
      <c r="A1888" s="52"/>
    </row>
    <row r="1889" spans="1:1" x14ac:dyDescent="0.2">
      <c r="A1889" s="52"/>
    </row>
    <row r="1890" spans="1:1" x14ac:dyDescent="0.2">
      <c r="A1890" s="52"/>
    </row>
    <row r="1891" spans="1:1" x14ac:dyDescent="0.2">
      <c r="A1891" s="52"/>
    </row>
    <row r="1892" spans="1:1" x14ac:dyDescent="0.2">
      <c r="A1892" s="52"/>
    </row>
    <row r="1893" spans="1:1" x14ac:dyDescent="0.2">
      <c r="A1893" s="52"/>
    </row>
    <row r="1894" spans="1:1" x14ac:dyDescent="0.2">
      <c r="A1894" s="53"/>
    </row>
    <row r="1895" spans="1:1" x14ac:dyDescent="0.2">
      <c r="A1895" s="52"/>
    </row>
    <row r="1896" spans="1:1" x14ac:dyDescent="0.2">
      <c r="A1896" s="52"/>
    </row>
    <row r="1897" spans="1:1" x14ac:dyDescent="0.2">
      <c r="A1897" s="52"/>
    </row>
    <row r="1898" spans="1:1" x14ac:dyDescent="0.2">
      <c r="A1898" s="53"/>
    </row>
    <row r="1899" spans="1:1" x14ac:dyDescent="0.2">
      <c r="A1899" s="52"/>
    </row>
    <row r="1900" spans="1:1" x14ac:dyDescent="0.2">
      <c r="A1900" s="52"/>
    </row>
    <row r="1901" spans="1:1" x14ac:dyDescent="0.2">
      <c r="A1901" s="52"/>
    </row>
    <row r="1902" spans="1:1" x14ac:dyDescent="0.2">
      <c r="A1902" s="52"/>
    </row>
    <row r="1903" spans="1:1" x14ac:dyDescent="0.2">
      <c r="A1903" s="52"/>
    </row>
    <row r="1904" spans="1:1" x14ac:dyDescent="0.2">
      <c r="A1904" s="52"/>
    </row>
    <row r="1905" spans="1:1" x14ac:dyDescent="0.2">
      <c r="A1905" s="52"/>
    </row>
    <row r="1906" spans="1:1" x14ac:dyDescent="0.2">
      <c r="A1906" s="52"/>
    </row>
    <row r="1907" spans="1:1" x14ac:dyDescent="0.2">
      <c r="A1907" s="52"/>
    </row>
    <row r="1908" spans="1:1" x14ac:dyDescent="0.2">
      <c r="A1908" s="52"/>
    </row>
    <row r="1909" spans="1:1" x14ac:dyDescent="0.2">
      <c r="A1909" s="52"/>
    </row>
    <row r="1910" spans="1:1" x14ac:dyDescent="0.2">
      <c r="A1910" s="52"/>
    </row>
    <row r="1911" spans="1:1" x14ac:dyDescent="0.2">
      <c r="A1911" s="52"/>
    </row>
    <row r="1912" spans="1:1" x14ac:dyDescent="0.2">
      <c r="A1912" s="52"/>
    </row>
    <row r="1913" spans="1:1" x14ac:dyDescent="0.2">
      <c r="A1913" s="52"/>
    </row>
    <row r="1914" spans="1:1" x14ac:dyDescent="0.2">
      <c r="A1914" s="52"/>
    </row>
    <row r="1915" spans="1:1" x14ac:dyDescent="0.2">
      <c r="A1915" s="52"/>
    </row>
    <row r="1916" spans="1:1" x14ac:dyDescent="0.2">
      <c r="A1916" s="52"/>
    </row>
    <row r="1917" spans="1:1" x14ac:dyDescent="0.2">
      <c r="A1917" s="52"/>
    </row>
    <row r="1918" spans="1:1" x14ac:dyDescent="0.2">
      <c r="A1918" s="52"/>
    </row>
    <row r="1919" spans="1:1" x14ac:dyDescent="0.2">
      <c r="A1919" s="53"/>
    </row>
    <row r="1920" spans="1:1" x14ac:dyDescent="0.2">
      <c r="A1920" s="52"/>
    </row>
    <row r="1921" spans="1:1" x14ac:dyDescent="0.2">
      <c r="A1921" s="52"/>
    </row>
    <row r="1922" spans="1:1" x14ac:dyDescent="0.2">
      <c r="A1922" s="52"/>
    </row>
    <row r="1923" spans="1:1" x14ac:dyDescent="0.2">
      <c r="A1923" s="52"/>
    </row>
    <row r="1924" spans="1:1" x14ac:dyDescent="0.2">
      <c r="A1924" s="53"/>
    </row>
    <row r="1925" spans="1:1" x14ac:dyDescent="0.2">
      <c r="A1925" s="52"/>
    </row>
    <row r="1926" spans="1:1" x14ac:dyDescent="0.2">
      <c r="A1926" s="52"/>
    </row>
    <row r="1927" spans="1:1" x14ac:dyDescent="0.2">
      <c r="A1927" s="52"/>
    </row>
    <row r="1928" spans="1:1" x14ac:dyDescent="0.2">
      <c r="A1928" s="52"/>
    </row>
    <row r="1929" spans="1:1" x14ac:dyDescent="0.2">
      <c r="A1929" s="53"/>
    </row>
    <row r="1930" spans="1:1" x14ac:dyDescent="0.2">
      <c r="A1930" s="52"/>
    </row>
    <row r="1931" spans="1:1" x14ac:dyDescent="0.2">
      <c r="A1931" s="53"/>
    </row>
    <row r="1932" spans="1:1" x14ac:dyDescent="0.2">
      <c r="A1932" s="53"/>
    </row>
    <row r="1933" spans="1:1" x14ac:dyDescent="0.2">
      <c r="A1933" s="52"/>
    </row>
    <row r="1934" spans="1:1" x14ac:dyDescent="0.2">
      <c r="A1934" s="52"/>
    </row>
    <row r="1935" spans="1:1" x14ac:dyDescent="0.2">
      <c r="A1935" s="52"/>
    </row>
    <row r="1936" spans="1:1" x14ac:dyDescent="0.2">
      <c r="A1936" s="52"/>
    </row>
    <row r="1937" spans="1:1" x14ac:dyDescent="0.2">
      <c r="A1937" s="52"/>
    </row>
    <row r="1938" spans="1:1" x14ac:dyDescent="0.2">
      <c r="A1938" s="52"/>
    </row>
    <row r="1939" spans="1:1" x14ac:dyDescent="0.2">
      <c r="A1939" s="53"/>
    </row>
    <row r="1940" spans="1:1" x14ac:dyDescent="0.2">
      <c r="A1940" s="53"/>
    </row>
    <row r="1941" spans="1:1" x14ac:dyDescent="0.2">
      <c r="A1941" s="53"/>
    </row>
    <row r="1942" spans="1:1" x14ac:dyDescent="0.2">
      <c r="A1942" s="52"/>
    </row>
    <row r="1943" spans="1:1" x14ac:dyDescent="0.2">
      <c r="A1943" s="52"/>
    </row>
    <row r="1944" spans="1:1" x14ac:dyDescent="0.2">
      <c r="A1944" s="52"/>
    </row>
    <row r="1945" spans="1:1" x14ac:dyDescent="0.2">
      <c r="A1945" s="52"/>
    </row>
    <row r="1946" spans="1:1" x14ac:dyDescent="0.2">
      <c r="A1946" s="52"/>
    </row>
    <row r="1947" spans="1:1" x14ac:dyDescent="0.2">
      <c r="A1947" s="52"/>
    </row>
    <row r="1948" spans="1:1" x14ac:dyDescent="0.2">
      <c r="A1948" s="52"/>
    </row>
    <row r="1949" spans="1:1" x14ac:dyDescent="0.2">
      <c r="A1949" s="52"/>
    </row>
    <row r="1950" spans="1:1" x14ac:dyDescent="0.2">
      <c r="A1950" s="53"/>
    </row>
    <row r="1951" spans="1:1" x14ac:dyDescent="0.2">
      <c r="A1951" s="52"/>
    </row>
    <row r="1952" spans="1:1" x14ac:dyDescent="0.2">
      <c r="A1952" s="52"/>
    </row>
    <row r="1953" spans="1:1" x14ac:dyDescent="0.2">
      <c r="A1953" s="52"/>
    </row>
    <row r="1954" spans="1:1" x14ac:dyDescent="0.2">
      <c r="A1954" s="52"/>
    </row>
    <row r="1955" spans="1:1" x14ac:dyDescent="0.2">
      <c r="A1955" s="52"/>
    </row>
    <row r="1956" spans="1:1" x14ac:dyDescent="0.2">
      <c r="A1956" s="53"/>
    </row>
    <row r="1957" spans="1:1" x14ac:dyDescent="0.2">
      <c r="A1957" s="52"/>
    </row>
    <row r="1958" spans="1:1" x14ac:dyDescent="0.2">
      <c r="A1958" s="52"/>
    </row>
    <row r="1959" spans="1:1" x14ac:dyDescent="0.2">
      <c r="A1959" s="52"/>
    </row>
    <row r="1960" spans="1:1" x14ac:dyDescent="0.2">
      <c r="A1960" s="52"/>
    </row>
    <row r="1961" spans="1:1" x14ac:dyDescent="0.2">
      <c r="A1961" s="52"/>
    </row>
    <row r="1962" spans="1:1" x14ac:dyDescent="0.2">
      <c r="A1962" s="52"/>
    </row>
    <row r="1963" spans="1:1" x14ac:dyDescent="0.2">
      <c r="A1963" s="52"/>
    </row>
    <row r="1964" spans="1:1" x14ac:dyDescent="0.2">
      <c r="A1964" s="52"/>
    </row>
    <row r="1965" spans="1:1" x14ac:dyDescent="0.2">
      <c r="A1965" s="52"/>
    </row>
    <row r="1966" spans="1:1" x14ac:dyDescent="0.2">
      <c r="A1966" s="52"/>
    </row>
    <row r="1967" spans="1:1" x14ac:dyDescent="0.2">
      <c r="A1967" s="52"/>
    </row>
    <row r="1968" spans="1:1" x14ac:dyDescent="0.2">
      <c r="A1968" s="52"/>
    </row>
    <row r="1969" spans="1:1" x14ac:dyDescent="0.2">
      <c r="A1969" s="52"/>
    </row>
    <row r="1970" spans="1:1" x14ac:dyDescent="0.2">
      <c r="A1970" s="52"/>
    </row>
    <row r="1971" spans="1:1" x14ac:dyDescent="0.2">
      <c r="A1971" s="52"/>
    </row>
    <row r="1972" spans="1:1" x14ac:dyDescent="0.2">
      <c r="A1972" s="52"/>
    </row>
    <row r="1973" spans="1:1" x14ac:dyDescent="0.2">
      <c r="A1973" s="52"/>
    </row>
    <row r="1974" spans="1:1" x14ac:dyDescent="0.2">
      <c r="A1974" s="52"/>
    </row>
    <row r="1975" spans="1:1" x14ac:dyDescent="0.2">
      <c r="A1975" s="52"/>
    </row>
    <row r="1976" spans="1:1" x14ac:dyDescent="0.2">
      <c r="A1976" s="52"/>
    </row>
    <row r="1977" spans="1:1" x14ac:dyDescent="0.2">
      <c r="A1977" s="52"/>
    </row>
    <row r="1978" spans="1:1" x14ac:dyDescent="0.2">
      <c r="A1978" s="52"/>
    </row>
    <row r="1979" spans="1:1" x14ac:dyDescent="0.2">
      <c r="A1979" s="52"/>
    </row>
    <row r="1980" spans="1:1" x14ac:dyDescent="0.2">
      <c r="A1980" s="52"/>
    </row>
    <row r="1981" spans="1:1" x14ac:dyDescent="0.2">
      <c r="A1981" s="52"/>
    </row>
    <row r="1982" spans="1:1" x14ac:dyDescent="0.2">
      <c r="A1982" s="52"/>
    </row>
    <row r="1983" spans="1:1" x14ac:dyDescent="0.2">
      <c r="A1983" s="53"/>
    </row>
    <row r="1984" spans="1:1" x14ac:dyDescent="0.2">
      <c r="A1984" s="52"/>
    </row>
    <row r="1985" spans="1:1" x14ac:dyDescent="0.2">
      <c r="A1985" s="52"/>
    </row>
    <row r="1986" spans="1:1" x14ac:dyDescent="0.2">
      <c r="A1986" s="52"/>
    </row>
    <row r="1987" spans="1:1" x14ac:dyDescent="0.2">
      <c r="A1987" s="52"/>
    </row>
    <row r="1988" spans="1:1" x14ac:dyDescent="0.2">
      <c r="A1988" s="52"/>
    </row>
    <row r="1989" spans="1:1" x14ac:dyDescent="0.2">
      <c r="A1989" s="52"/>
    </row>
    <row r="1990" spans="1:1" x14ac:dyDescent="0.2">
      <c r="A1990" s="52"/>
    </row>
    <row r="1991" spans="1:1" x14ac:dyDescent="0.2">
      <c r="A1991" s="52"/>
    </row>
    <row r="1992" spans="1:1" x14ac:dyDescent="0.2">
      <c r="A1992" s="52"/>
    </row>
    <row r="1993" spans="1:1" x14ac:dyDescent="0.2">
      <c r="A1993" s="52"/>
    </row>
    <row r="1994" spans="1:1" x14ac:dyDescent="0.2">
      <c r="A1994" s="52"/>
    </row>
    <row r="1995" spans="1:1" x14ac:dyDescent="0.2">
      <c r="A1995" s="52"/>
    </row>
    <row r="1996" spans="1:1" x14ac:dyDescent="0.2">
      <c r="A1996" s="52"/>
    </row>
    <row r="1997" spans="1:1" x14ac:dyDescent="0.2">
      <c r="A1997" s="52"/>
    </row>
    <row r="1998" spans="1:1" x14ac:dyDescent="0.2">
      <c r="A1998" s="52"/>
    </row>
    <row r="1999" spans="1:1" x14ac:dyDescent="0.2">
      <c r="A1999" s="52"/>
    </row>
    <row r="2000" spans="1:1" x14ac:dyDescent="0.2">
      <c r="A2000" s="52"/>
    </row>
    <row r="2001" spans="1:1" x14ac:dyDescent="0.2">
      <c r="A2001" s="53"/>
    </row>
    <row r="2002" spans="1:1" x14ac:dyDescent="0.2">
      <c r="A2002" s="52"/>
    </row>
    <row r="2003" spans="1:1" x14ac:dyDescent="0.2">
      <c r="A2003" s="52"/>
    </row>
    <row r="2004" spans="1:1" x14ac:dyDescent="0.2">
      <c r="A2004" s="52"/>
    </row>
    <row r="2005" spans="1:1" x14ac:dyDescent="0.2">
      <c r="A2005" s="52"/>
    </row>
    <row r="2006" spans="1:1" x14ac:dyDescent="0.2">
      <c r="A2006" s="52"/>
    </row>
    <row r="2007" spans="1:1" x14ac:dyDescent="0.2">
      <c r="A2007" s="52"/>
    </row>
    <row r="2008" spans="1:1" x14ac:dyDescent="0.2">
      <c r="A2008" s="52"/>
    </row>
    <row r="2009" spans="1:1" x14ac:dyDescent="0.2">
      <c r="A2009" s="52"/>
    </row>
    <row r="2010" spans="1:1" x14ac:dyDescent="0.2">
      <c r="A2010" s="53"/>
    </row>
    <row r="2011" spans="1:1" x14ac:dyDescent="0.2">
      <c r="A2011" s="52"/>
    </row>
    <row r="2012" spans="1:1" x14ac:dyDescent="0.2">
      <c r="A2012" s="52"/>
    </row>
    <row r="2013" spans="1:1" x14ac:dyDescent="0.2">
      <c r="A2013" s="52"/>
    </row>
    <row r="2014" spans="1:1" x14ac:dyDescent="0.2">
      <c r="A2014" s="52"/>
    </row>
    <row r="2015" spans="1:1" x14ac:dyDescent="0.2">
      <c r="A2015" s="52"/>
    </row>
    <row r="2016" spans="1:1" x14ac:dyDescent="0.2">
      <c r="A2016" s="52"/>
    </row>
    <row r="2017" spans="1:1" x14ac:dyDescent="0.2">
      <c r="A2017" s="52"/>
    </row>
    <row r="2018" spans="1:1" x14ac:dyDescent="0.2">
      <c r="A2018" s="52"/>
    </row>
    <row r="2019" spans="1:1" x14ac:dyDescent="0.2">
      <c r="A2019" s="53"/>
    </row>
    <row r="2020" spans="1:1" x14ac:dyDescent="0.2">
      <c r="A2020" s="53"/>
    </row>
    <row r="2021" spans="1:1" x14ac:dyDescent="0.2">
      <c r="A2021" s="52"/>
    </row>
    <row r="2022" spans="1:1" x14ac:dyDescent="0.2">
      <c r="A2022" s="52"/>
    </row>
    <row r="2023" spans="1:1" x14ac:dyDescent="0.2">
      <c r="A2023" s="52"/>
    </row>
    <row r="2024" spans="1:1" x14ac:dyDescent="0.2">
      <c r="A2024" s="52"/>
    </row>
    <row r="2025" spans="1:1" x14ac:dyDescent="0.2">
      <c r="A2025" s="52"/>
    </row>
    <row r="2026" spans="1:1" x14ac:dyDescent="0.2">
      <c r="A2026" s="52"/>
    </row>
    <row r="2027" spans="1:1" x14ac:dyDescent="0.2">
      <c r="A2027" s="52"/>
    </row>
    <row r="2028" spans="1:1" x14ac:dyDescent="0.2">
      <c r="A2028" s="52"/>
    </row>
    <row r="2029" spans="1:1" x14ac:dyDescent="0.2">
      <c r="A2029" s="52"/>
    </row>
    <row r="2030" spans="1:1" x14ac:dyDescent="0.2">
      <c r="A2030" s="52"/>
    </row>
    <row r="2031" spans="1:1" x14ac:dyDescent="0.2">
      <c r="A2031" s="52"/>
    </row>
    <row r="2032" spans="1:1" x14ac:dyDescent="0.2">
      <c r="A2032" s="52"/>
    </row>
    <row r="2033" spans="1:1" x14ac:dyDescent="0.2">
      <c r="A2033" s="52"/>
    </row>
    <row r="2034" spans="1:1" x14ac:dyDescent="0.2">
      <c r="A2034" s="52"/>
    </row>
    <row r="2035" spans="1:1" x14ac:dyDescent="0.2">
      <c r="A2035" s="52"/>
    </row>
    <row r="2036" spans="1:1" x14ac:dyDescent="0.2">
      <c r="A2036" s="52"/>
    </row>
    <row r="2037" spans="1:1" x14ac:dyDescent="0.2">
      <c r="A2037" s="52"/>
    </row>
    <row r="2038" spans="1:1" x14ac:dyDescent="0.2">
      <c r="A2038" s="52"/>
    </row>
    <row r="2039" spans="1:1" x14ac:dyDescent="0.2">
      <c r="A2039" s="52"/>
    </row>
    <row r="2040" spans="1:1" x14ac:dyDescent="0.2">
      <c r="A2040" s="52"/>
    </row>
    <row r="2041" spans="1:1" x14ac:dyDescent="0.2">
      <c r="A2041" s="52"/>
    </row>
    <row r="2042" spans="1:1" x14ac:dyDescent="0.2">
      <c r="A2042" s="52"/>
    </row>
    <row r="2043" spans="1:1" x14ac:dyDescent="0.2">
      <c r="A2043" s="52"/>
    </row>
    <row r="2044" spans="1:1" x14ac:dyDescent="0.2">
      <c r="A2044" s="52"/>
    </row>
    <row r="2045" spans="1:1" x14ac:dyDescent="0.2">
      <c r="A2045" s="52"/>
    </row>
    <row r="2046" spans="1:1" x14ac:dyDescent="0.2">
      <c r="A2046" s="52"/>
    </row>
    <row r="2047" spans="1:1" x14ac:dyDescent="0.2">
      <c r="A2047" s="53"/>
    </row>
    <row r="2048" spans="1:1" x14ac:dyDescent="0.2">
      <c r="A2048" s="52"/>
    </row>
    <row r="2049" spans="1:1" x14ac:dyDescent="0.2">
      <c r="A2049" s="52"/>
    </row>
    <row r="2050" spans="1:1" x14ac:dyDescent="0.2">
      <c r="A2050" s="52"/>
    </row>
    <row r="2051" spans="1:1" x14ac:dyDescent="0.2">
      <c r="A2051" s="52"/>
    </row>
    <row r="2052" spans="1:1" x14ac:dyDescent="0.2">
      <c r="A2052" s="52"/>
    </row>
    <row r="2053" spans="1:1" x14ac:dyDescent="0.2">
      <c r="A2053" s="52"/>
    </row>
    <row r="2054" spans="1:1" x14ac:dyDescent="0.2">
      <c r="A2054" s="52"/>
    </row>
    <row r="2055" spans="1:1" x14ac:dyDescent="0.2">
      <c r="A2055" s="52"/>
    </row>
    <row r="2056" spans="1:1" x14ac:dyDescent="0.2">
      <c r="A2056" s="52"/>
    </row>
    <row r="2057" spans="1:1" x14ac:dyDescent="0.2">
      <c r="A2057" s="52"/>
    </row>
    <row r="2058" spans="1:1" x14ac:dyDescent="0.2">
      <c r="A2058" s="52"/>
    </row>
    <row r="2059" spans="1:1" x14ac:dyDescent="0.2">
      <c r="A2059" s="52"/>
    </row>
    <row r="2060" spans="1:1" x14ac:dyDescent="0.2">
      <c r="A2060" s="52"/>
    </row>
    <row r="2061" spans="1:1" x14ac:dyDescent="0.2">
      <c r="A2061" s="52"/>
    </row>
    <row r="2062" spans="1:1" x14ac:dyDescent="0.2">
      <c r="A2062" s="52"/>
    </row>
    <row r="2063" spans="1:1" x14ac:dyDescent="0.2">
      <c r="A2063" s="52"/>
    </row>
    <row r="2064" spans="1:1" x14ac:dyDescent="0.2">
      <c r="A2064" s="52"/>
    </row>
    <row r="2065" spans="1:1" x14ac:dyDescent="0.2">
      <c r="A2065" s="52"/>
    </row>
    <row r="2066" spans="1:1" x14ac:dyDescent="0.2">
      <c r="A2066" s="53"/>
    </row>
    <row r="2067" spans="1:1" x14ac:dyDescent="0.2">
      <c r="A2067" s="52"/>
    </row>
    <row r="2068" spans="1:1" x14ac:dyDescent="0.2">
      <c r="A2068" s="52"/>
    </row>
    <row r="2069" spans="1:1" x14ac:dyDescent="0.2">
      <c r="A2069" s="52"/>
    </row>
    <row r="2070" spans="1:1" x14ac:dyDescent="0.2">
      <c r="A2070" s="52"/>
    </row>
    <row r="2071" spans="1:1" x14ac:dyDescent="0.2">
      <c r="A2071" s="53"/>
    </row>
    <row r="2072" spans="1:1" x14ac:dyDescent="0.2">
      <c r="A2072" s="53"/>
    </row>
    <row r="2073" spans="1:1" x14ac:dyDescent="0.2">
      <c r="A2073" s="52"/>
    </row>
    <row r="2074" spans="1:1" x14ac:dyDescent="0.2">
      <c r="A2074" s="52"/>
    </row>
    <row r="2075" spans="1:1" x14ac:dyDescent="0.2">
      <c r="A2075" s="52"/>
    </row>
    <row r="2076" spans="1:1" x14ac:dyDescent="0.2">
      <c r="A2076" s="52"/>
    </row>
    <row r="2077" spans="1:1" x14ac:dyDescent="0.2">
      <c r="A2077" s="52"/>
    </row>
    <row r="2078" spans="1:1" x14ac:dyDescent="0.2">
      <c r="A2078" s="52"/>
    </row>
    <row r="2079" spans="1:1" x14ac:dyDescent="0.2">
      <c r="A2079" s="52"/>
    </row>
    <row r="2080" spans="1:1" x14ac:dyDescent="0.2">
      <c r="A2080" s="52"/>
    </row>
    <row r="2081" spans="1:1" x14ac:dyDescent="0.2">
      <c r="A2081" s="52"/>
    </row>
    <row r="2082" spans="1:1" x14ac:dyDescent="0.2">
      <c r="A2082" s="52"/>
    </row>
    <row r="2083" spans="1:1" x14ac:dyDescent="0.2">
      <c r="A2083" s="52"/>
    </row>
    <row r="2084" spans="1:1" x14ac:dyDescent="0.2">
      <c r="A2084" s="52"/>
    </row>
    <row r="2085" spans="1:1" x14ac:dyDescent="0.2">
      <c r="A2085" s="52"/>
    </row>
    <row r="2086" spans="1:1" x14ac:dyDescent="0.2">
      <c r="A2086" s="52"/>
    </row>
    <row r="2087" spans="1:1" x14ac:dyDescent="0.2">
      <c r="A2087" s="52"/>
    </row>
    <row r="2088" spans="1:1" x14ac:dyDescent="0.2">
      <c r="A2088" s="52"/>
    </row>
    <row r="2089" spans="1:1" x14ac:dyDescent="0.2">
      <c r="A2089" s="52"/>
    </row>
    <row r="2090" spans="1:1" x14ac:dyDescent="0.2">
      <c r="A2090" s="52"/>
    </row>
    <row r="2091" spans="1:1" x14ac:dyDescent="0.2">
      <c r="A2091" s="52"/>
    </row>
    <row r="2092" spans="1:1" x14ac:dyDescent="0.2">
      <c r="A2092" s="52"/>
    </row>
    <row r="2093" spans="1:1" x14ac:dyDescent="0.2">
      <c r="A2093" s="52"/>
    </row>
    <row r="2094" spans="1:1" x14ac:dyDescent="0.2">
      <c r="A2094" s="52"/>
    </row>
    <row r="2095" spans="1:1" x14ac:dyDescent="0.2">
      <c r="A2095" s="52"/>
    </row>
    <row r="2096" spans="1:1" x14ac:dyDescent="0.2">
      <c r="A2096" s="52"/>
    </row>
    <row r="2097" spans="1:1" x14ac:dyDescent="0.2">
      <c r="A2097" s="52"/>
    </row>
    <row r="2098" spans="1:1" x14ac:dyDescent="0.2">
      <c r="A2098" s="52"/>
    </row>
    <row r="2099" spans="1:1" x14ac:dyDescent="0.2">
      <c r="A2099" s="52"/>
    </row>
    <row r="2100" spans="1:1" x14ac:dyDescent="0.2">
      <c r="A2100" s="52"/>
    </row>
    <row r="2101" spans="1:1" x14ac:dyDescent="0.2">
      <c r="A2101" s="52"/>
    </row>
    <row r="2102" spans="1:1" x14ac:dyDescent="0.2">
      <c r="A2102" s="52"/>
    </row>
    <row r="2103" spans="1:1" x14ac:dyDescent="0.2">
      <c r="A2103" s="52"/>
    </row>
    <row r="2104" spans="1:1" x14ac:dyDescent="0.2">
      <c r="A2104" s="52"/>
    </row>
    <row r="2105" spans="1:1" x14ac:dyDescent="0.2">
      <c r="A2105" s="52"/>
    </row>
    <row r="2106" spans="1:1" x14ac:dyDescent="0.2">
      <c r="A2106" s="52"/>
    </row>
    <row r="2107" spans="1:1" x14ac:dyDescent="0.2">
      <c r="A2107" s="52"/>
    </row>
    <row r="2108" spans="1:1" x14ac:dyDescent="0.2">
      <c r="A2108" s="53"/>
    </row>
    <row r="2109" spans="1:1" x14ac:dyDescent="0.2">
      <c r="A2109" s="52"/>
    </row>
    <row r="2110" spans="1:1" x14ac:dyDescent="0.2">
      <c r="A2110" s="52"/>
    </row>
    <row r="2111" spans="1:1" x14ac:dyDescent="0.2">
      <c r="A2111" s="52"/>
    </row>
    <row r="2112" spans="1:1" x14ac:dyDescent="0.2">
      <c r="A2112" s="52"/>
    </row>
    <row r="2113" spans="1:1" x14ac:dyDescent="0.2">
      <c r="A2113" s="52"/>
    </row>
    <row r="2114" spans="1:1" x14ac:dyDescent="0.2">
      <c r="A2114" s="52"/>
    </row>
    <row r="2115" spans="1:1" x14ac:dyDescent="0.2">
      <c r="A2115" s="52"/>
    </row>
    <row r="2116" spans="1:1" x14ac:dyDescent="0.2">
      <c r="A2116" s="52"/>
    </row>
    <row r="2117" spans="1:1" x14ac:dyDescent="0.2">
      <c r="A2117" s="52"/>
    </row>
    <row r="2118" spans="1:1" x14ac:dyDescent="0.2">
      <c r="A2118" s="52"/>
    </row>
    <row r="2119" spans="1:1" x14ac:dyDescent="0.2">
      <c r="A2119" s="52"/>
    </row>
    <row r="2120" spans="1:1" x14ac:dyDescent="0.2">
      <c r="A2120" s="52"/>
    </row>
    <row r="2121" spans="1:1" x14ac:dyDescent="0.2">
      <c r="A2121" s="52"/>
    </row>
    <row r="2122" spans="1:1" x14ac:dyDescent="0.2">
      <c r="A2122" s="52"/>
    </row>
    <row r="2123" spans="1:1" x14ac:dyDescent="0.2">
      <c r="A2123" s="52"/>
    </row>
    <row r="2124" spans="1:1" x14ac:dyDescent="0.2">
      <c r="A2124" s="52"/>
    </row>
    <row r="2125" spans="1:1" x14ac:dyDescent="0.2">
      <c r="A2125" s="52"/>
    </row>
    <row r="2126" spans="1:1" x14ac:dyDescent="0.2">
      <c r="A2126" s="52"/>
    </row>
    <row r="2127" spans="1:1" x14ac:dyDescent="0.2">
      <c r="A2127" s="52"/>
    </row>
    <row r="2128" spans="1:1" x14ac:dyDescent="0.2">
      <c r="A2128" s="52"/>
    </row>
    <row r="2129" spans="1:1" x14ac:dyDescent="0.2">
      <c r="A2129" s="52"/>
    </row>
    <row r="2130" spans="1:1" x14ac:dyDescent="0.2">
      <c r="A2130" s="52"/>
    </row>
    <row r="2131" spans="1:1" x14ac:dyDescent="0.2">
      <c r="A2131" s="52"/>
    </row>
    <row r="2132" spans="1:1" x14ac:dyDescent="0.2">
      <c r="A2132" s="52"/>
    </row>
    <row r="2133" spans="1:1" x14ac:dyDescent="0.2">
      <c r="A2133" s="52"/>
    </row>
    <row r="2134" spans="1:1" x14ac:dyDescent="0.2">
      <c r="A2134" s="52"/>
    </row>
    <row r="2135" spans="1:1" x14ac:dyDescent="0.2">
      <c r="A2135" s="52"/>
    </row>
    <row r="2136" spans="1:1" x14ac:dyDescent="0.2">
      <c r="A2136" s="52"/>
    </row>
    <row r="2137" spans="1:1" x14ac:dyDescent="0.2">
      <c r="A2137" s="52"/>
    </row>
    <row r="2138" spans="1:1" x14ac:dyDescent="0.2">
      <c r="A2138" s="52"/>
    </row>
    <row r="2139" spans="1:1" x14ac:dyDescent="0.2">
      <c r="A2139" s="52"/>
    </row>
    <row r="2140" spans="1:1" x14ac:dyDescent="0.2">
      <c r="A2140" s="52"/>
    </row>
    <row r="2141" spans="1:1" x14ac:dyDescent="0.2">
      <c r="A2141" s="52"/>
    </row>
    <row r="2142" spans="1:1" x14ac:dyDescent="0.2">
      <c r="A2142" s="52"/>
    </row>
    <row r="2143" spans="1:1" x14ac:dyDescent="0.2">
      <c r="A2143" s="52"/>
    </row>
    <row r="2144" spans="1:1" x14ac:dyDescent="0.2">
      <c r="A2144" s="52"/>
    </row>
    <row r="2145" spans="1:1" x14ac:dyDescent="0.2">
      <c r="A2145" s="52"/>
    </row>
    <row r="2146" spans="1:1" x14ac:dyDescent="0.2">
      <c r="A2146" s="52"/>
    </row>
    <row r="2147" spans="1:1" x14ac:dyDescent="0.2">
      <c r="A2147" s="52"/>
    </row>
    <row r="2148" spans="1:1" x14ac:dyDescent="0.2">
      <c r="A2148" s="52"/>
    </row>
    <row r="2149" spans="1:1" x14ac:dyDescent="0.2">
      <c r="A2149" s="52"/>
    </row>
    <row r="2150" spans="1:1" x14ac:dyDescent="0.2">
      <c r="A2150" s="52"/>
    </row>
    <row r="2151" spans="1:1" x14ac:dyDescent="0.2">
      <c r="A2151" s="52"/>
    </row>
    <row r="2152" spans="1:1" x14ac:dyDescent="0.2">
      <c r="A2152" s="52"/>
    </row>
    <row r="2153" spans="1:1" x14ac:dyDescent="0.2">
      <c r="A2153" s="52"/>
    </row>
    <row r="2154" spans="1:1" x14ac:dyDescent="0.2">
      <c r="A2154" s="52"/>
    </row>
    <row r="2155" spans="1:1" x14ac:dyDescent="0.2">
      <c r="A2155" s="52"/>
    </row>
    <row r="2156" spans="1:1" x14ac:dyDescent="0.2">
      <c r="A2156" s="52"/>
    </row>
    <row r="2157" spans="1:1" x14ac:dyDescent="0.2">
      <c r="A2157" s="52"/>
    </row>
    <row r="2158" spans="1:1" x14ac:dyDescent="0.2">
      <c r="A2158" s="52"/>
    </row>
    <row r="2159" spans="1:1" x14ac:dyDescent="0.2">
      <c r="A2159" s="52"/>
    </row>
    <row r="2160" spans="1:1" x14ac:dyDescent="0.2">
      <c r="A2160" s="52"/>
    </row>
    <row r="2161" spans="1:1" x14ac:dyDescent="0.2">
      <c r="A2161" s="52"/>
    </row>
    <row r="2162" spans="1:1" x14ac:dyDescent="0.2">
      <c r="A2162" s="52"/>
    </row>
    <row r="2163" spans="1:1" x14ac:dyDescent="0.2">
      <c r="A2163" s="52"/>
    </row>
    <row r="2164" spans="1:1" x14ac:dyDescent="0.2">
      <c r="A2164" s="52"/>
    </row>
    <row r="2165" spans="1:1" x14ac:dyDescent="0.2">
      <c r="A2165" s="52"/>
    </row>
    <row r="2166" spans="1:1" x14ac:dyDescent="0.2">
      <c r="A2166" s="52"/>
    </row>
    <row r="2167" spans="1:1" x14ac:dyDescent="0.2">
      <c r="A2167" s="52"/>
    </row>
    <row r="2168" spans="1:1" x14ac:dyDescent="0.2">
      <c r="A2168" s="52"/>
    </row>
    <row r="2169" spans="1:1" x14ac:dyDescent="0.2">
      <c r="A2169" s="52"/>
    </row>
    <row r="2170" spans="1:1" x14ac:dyDescent="0.2">
      <c r="A2170" s="52"/>
    </row>
    <row r="2171" spans="1:1" x14ac:dyDescent="0.2">
      <c r="A2171" s="52"/>
    </row>
    <row r="2172" spans="1:1" x14ac:dyDescent="0.2">
      <c r="A2172" s="52"/>
    </row>
    <row r="2173" spans="1:1" x14ac:dyDescent="0.2">
      <c r="A2173" s="52"/>
    </row>
    <row r="2174" spans="1:1" x14ac:dyDescent="0.2">
      <c r="A2174" s="52"/>
    </row>
    <row r="2175" spans="1:1" x14ac:dyDescent="0.2">
      <c r="A2175" s="52"/>
    </row>
    <row r="2176" spans="1:1" x14ac:dyDescent="0.2">
      <c r="A2176" s="52"/>
    </row>
    <row r="2177" spans="1:1" x14ac:dyDescent="0.2">
      <c r="A2177" s="52"/>
    </row>
    <row r="2178" spans="1:1" x14ac:dyDescent="0.2">
      <c r="A2178" s="52"/>
    </row>
    <row r="2179" spans="1:1" x14ac:dyDescent="0.2">
      <c r="A2179" s="52"/>
    </row>
    <row r="2180" spans="1:1" x14ac:dyDescent="0.2">
      <c r="A2180" s="52"/>
    </row>
    <row r="2181" spans="1:1" x14ac:dyDescent="0.2">
      <c r="A2181" s="52"/>
    </row>
    <row r="2182" spans="1:1" x14ac:dyDescent="0.2">
      <c r="A2182" s="52"/>
    </row>
    <row r="2183" spans="1:1" x14ac:dyDescent="0.2">
      <c r="A2183" s="52"/>
    </row>
    <row r="2184" spans="1:1" x14ac:dyDescent="0.2">
      <c r="A2184" s="52"/>
    </row>
    <row r="2185" spans="1:1" x14ac:dyDescent="0.2">
      <c r="A2185" s="52"/>
    </row>
    <row r="2186" spans="1:1" x14ac:dyDescent="0.2">
      <c r="A2186" s="52"/>
    </row>
    <row r="2187" spans="1:1" x14ac:dyDescent="0.2">
      <c r="A2187" s="52"/>
    </row>
    <row r="2188" spans="1:1" x14ac:dyDescent="0.2">
      <c r="A2188" s="52"/>
    </row>
    <row r="2189" spans="1:1" x14ac:dyDescent="0.2">
      <c r="A2189" s="52"/>
    </row>
    <row r="2190" spans="1:1" x14ac:dyDescent="0.2">
      <c r="A2190" s="52"/>
    </row>
    <row r="2191" spans="1:1" x14ac:dyDescent="0.2">
      <c r="A2191" s="52"/>
    </row>
    <row r="2192" spans="1:1" x14ac:dyDescent="0.2">
      <c r="A2192" s="52"/>
    </row>
    <row r="2193" spans="1:1" x14ac:dyDescent="0.2">
      <c r="A2193" s="52"/>
    </row>
    <row r="2194" spans="1:1" x14ac:dyDescent="0.2">
      <c r="A2194" s="52"/>
    </row>
    <row r="2195" spans="1:1" x14ac:dyDescent="0.2">
      <c r="A2195" s="52"/>
    </row>
    <row r="2196" spans="1:1" x14ac:dyDescent="0.2">
      <c r="A2196" s="53"/>
    </row>
    <row r="2197" spans="1:1" x14ac:dyDescent="0.2">
      <c r="A2197" s="52"/>
    </row>
    <row r="2198" spans="1:1" x14ac:dyDescent="0.2">
      <c r="A2198" s="52"/>
    </row>
    <row r="2199" spans="1:1" x14ac:dyDescent="0.2">
      <c r="A2199" s="52"/>
    </row>
    <row r="2200" spans="1:1" x14ac:dyDescent="0.2">
      <c r="A2200" s="52"/>
    </row>
    <row r="2201" spans="1:1" x14ac:dyDescent="0.2">
      <c r="A2201" s="52"/>
    </row>
    <row r="2202" spans="1:1" x14ac:dyDescent="0.2">
      <c r="A2202" s="52"/>
    </row>
    <row r="2203" spans="1:1" x14ac:dyDescent="0.2">
      <c r="A2203" s="52"/>
    </row>
    <row r="2204" spans="1:1" x14ac:dyDescent="0.2">
      <c r="A2204" s="52"/>
    </row>
    <row r="2205" spans="1:1" x14ac:dyDescent="0.2">
      <c r="A2205" s="52"/>
    </row>
    <row r="2206" spans="1:1" x14ac:dyDescent="0.2">
      <c r="A2206" s="53"/>
    </row>
    <row r="2207" spans="1:1" x14ac:dyDescent="0.2">
      <c r="A2207" s="52"/>
    </row>
    <row r="2208" spans="1:1" x14ac:dyDescent="0.2">
      <c r="A2208" s="52"/>
    </row>
    <row r="2209" spans="1:1" x14ac:dyDescent="0.2">
      <c r="A2209" s="52"/>
    </row>
    <row r="2210" spans="1:1" x14ac:dyDescent="0.2">
      <c r="A2210" s="52"/>
    </row>
    <row r="2211" spans="1:1" x14ac:dyDescent="0.2">
      <c r="A2211" s="52"/>
    </row>
    <row r="2212" spans="1:1" x14ac:dyDescent="0.2">
      <c r="A2212" s="52"/>
    </row>
    <row r="2213" spans="1:1" x14ac:dyDescent="0.2">
      <c r="A2213" s="52"/>
    </row>
    <row r="2214" spans="1:1" x14ac:dyDescent="0.2">
      <c r="A2214" s="52"/>
    </row>
    <row r="2215" spans="1:1" x14ac:dyDescent="0.2">
      <c r="A2215" s="52"/>
    </row>
    <row r="2216" spans="1:1" x14ac:dyDescent="0.2">
      <c r="A2216" s="52"/>
    </row>
    <row r="2217" spans="1:1" x14ac:dyDescent="0.2">
      <c r="A2217" s="52"/>
    </row>
    <row r="2218" spans="1:1" x14ac:dyDescent="0.2">
      <c r="A2218" s="52"/>
    </row>
    <row r="2219" spans="1:1" x14ac:dyDescent="0.2">
      <c r="A2219" s="52"/>
    </row>
    <row r="2220" spans="1:1" x14ac:dyDescent="0.2">
      <c r="A2220" s="52"/>
    </row>
    <row r="2221" spans="1:1" x14ac:dyDescent="0.2">
      <c r="A2221" s="52"/>
    </row>
    <row r="2222" spans="1:1" x14ac:dyDescent="0.2">
      <c r="A2222" s="52"/>
    </row>
    <row r="2223" spans="1:1" x14ac:dyDescent="0.2">
      <c r="A2223" s="52"/>
    </row>
    <row r="2224" spans="1:1" x14ac:dyDescent="0.2">
      <c r="A2224" s="52"/>
    </row>
    <row r="2225" spans="1:1" x14ac:dyDescent="0.2">
      <c r="A2225" s="52"/>
    </row>
    <row r="2226" spans="1:1" x14ac:dyDescent="0.2">
      <c r="A2226" s="52"/>
    </row>
    <row r="2227" spans="1:1" x14ac:dyDescent="0.2">
      <c r="A2227" s="52"/>
    </row>
    <row r="2228" spans="1:1" x14ac:dyDescent="0.2">
      <c r="A2228" s="52"/>
    </row>
    <row r="2229" spans="1:1" x14ac:dyDescent="0.2">
      <c r="A2229" s="52"/>
    </row>
    <row r="2230" spans="1:1" x14ac:dyDescent="0.2">
      <c r="A2230" s="52"/>
    </row>
    <row r="2231" spans="1:1" x14ac:dyDescent="0.2">
      <c r="A2231" s="52"/>
    </row>
    <row r="2232" spans="1:1" x14ac:dyDescent="0.2">
      <c r="A2232" s="52"/>
    </row>
    <row r="2233" spans="1:1" x14ac:dyDescent="0.2">
      <c r="A2233" s="52"/>
    </row>
    <row r="2234" spans="1:1" x14ac:dyDescent="0.2">
      <c r="A2234" s="52"/>
    </row>
    <row r="2235" spans="1:1" x14ac:dyDescent="0.2">
      <c r="A2235" s="52"/>
    </row>
    <row r="2236" spans="1:1" x14ac:dyDescent="0.2">
      <c r="A2236" s="52"/>
    </row>
    <row r="2237" spans="1:1" x14ac:dyDescent="0.2">
      <c r="A2237" s="52"/>
    </row>
    <row r="2238" spans="1:1" x14ac:dyDescent="0.2">
      <c r="A2238" s="52"/>
    </row>
    <row r="2239" spans="1:1" x14ac:dyDescent="0.2">
      <c r="A2239" s="52"/>
    </row>
    <row r="2240" spans="1:1" x14ac:dyDescent="0.2">
      <c r="A2240" s="52"/>
    </row>
    <row r="2241" spans="1:1" x14ac:dyDescent="0.2">
      <c r="A2241" s="52"/>
    </row>
    <row r="2242" spans="1:1" x14ac:dyDescent="0.2">
      <c r="A2242" s="52"/>
    </row>
    <row r="2243" spans="1:1" x14ac:dyDescent="0.2">
      <c r="A2243" s="52"/>
    </row>
    <row r="2244" spans="1:1" x14ac:dyDescent="0.2">
      <c r="A2244" s="52"/>
    </row>
    <row r="2245" spans="1:1" x14ac:dyDescent="0.2">
      <c r="A2245" s="52"/>
    </row>
    <row r="2246" spans="1:1" x14ac:dyDescent="0.2">
      <c r="A2246" s="53"/>
    </row>
    <row r="2247" spans="1:1" x14ac:dyDescent="0.2">
      <c r="A2247" s="52"/>
    </row>
    <row r="2248" spans="1:1" x14ac:dyDescent="0.2">
      <c r="A2248" s="52"/>
    </row>
    <row r="2249" spans="1:1" x14ac:dyDescent="0.2">
      <c r="A2249" s="52"/>
    </row>
    <row r="2250" spans="1:1" x14ac:dyDescent="0.2">
      <c r="A2250" s="52"/>
    </row>
    <row r="2251" spans="1:1" x14ac:dyDescent="0.2">
      <c r="A2251" s="52"/>
    </row>
    <row r="2252" spans="1:1" x14ac:dyDescent="0.2">
      <c r="A2252" s="52"/>
    </row>
    <row r="2253" spans="1:1" x14ac:dyDescent="0.2">
      <c r="A2253" s="53"/>
    </row>
    <row r="2254" spans="1:1" x14ac:dyDescent="0.2">
      <c r="A2254" s="52"/>
    </row>
    <row r="2255" spans="1:1" x14ac:dyDescent="0.2">
      <c r="A2255" s="52"/>
    </row>
    <row r="2256" spans="1:1" x14ac:dyDescent="0.2">
      <c r="A2256" s="52"/>
    </row>
    <row r="2257" spans="1:1" x14ac:dyDescent="0.2">
      <c r="A2257" s="52"/>
    </row>
    <row r="2258" spans="1:1" x14ac:dyDescent="0.2">
      <c r="A2258" s="52"/>
    </row>
    <row r="2259" spans="1:1" x14ac:dyDescent="0.2">
      <c r="A2259" s="52"/>
    </row>
    <row r="2260" spans="1:1" x14ac:dyDescent="0.2">
      <c r="A2260" s="52"/>
    </row>
    <row r="2261" spans="1:1" x14ac:dyDescent="0.2">
      <c r="A2261" s="52"/>
    </row>
    <row r="2262" spans="1:1" x14ac:dyDescent="0.2">
      <c r="A2262" s="52"/>
    </row>
    <row r="2263" spans="1:1" x14ac:dyDescent="0.2">
      <c r="A2263" s="52"/>
    </row>
    <row r="2264" spans="1:1" x14ac:dyDescent="0.2">
      <c r="A2264" s="53"/>
    </row>
    <row r="2265" spans="1:1" x14ac:dyDescent="0.2">
      <c r="A2265" s="52"/>
    </row>
    <row r="2266" spans="1:1" x14ac:dyDescent="0.2">
      <c r="A2266" s="52"/>
    </row>
    <row r="2267" spans="1:1" x14ac:dyDescent="0.2">
      <c r="A2267" s="52"/>
    </row>
    <row r="2268" spans="1:1" x14ac:dyDescent="0.2">
      <c r="A2268" s="53"/>
    </row>
    <row r="2269" spans="1:1" x14ac:dyDescent="0.2">
      <c r="A2269" s="52"/>
    </row>
    <row r="2270" spans="1:1" x14ac:dyDescent="0.2">
      <c r="A2270" s="52"/>
    </row>
    <row r="2271" spans="1:1" x14ac:dyDescent="0.2">
      <c r="A2271" s="53"/>
    </row>
    <row r="2272" spans="1:1" x14ac:dyDescent="0.2">
      <c r="A2272" s="53"/>
    </row>
    <row r="2273" spans="1:1" x14ac:dyDescent="0.2">
      <c r="A2273" s="53"/>
    </row>
    <row r="2274" spans="1:1" x14ac:dyDescent="0.2">
      <c r="A2274" s="52"/>
    </row>
    <row r="2275" spans="1:1" x14ac:dyDescent="0.2">
      <c r="A2275" s="52"/>
    </row>
    <row r="2276" spans="1:1" x14ac:dyDescent="0.2">
      <c r="A2276" s="52"/>
    </row>
    <row r="2277" spans="1:1" x14ac:dyDescent="0.2">
      <c r="A2277" s="52"/>
    </row>
    <row r="2278" spans="1:1" x14ac:dyDescent="0.2">
      <c r="A2278" s="52"/>
    </row>
    <row r="2279" spans="1:1" x14ac:dyDescent="0.2">
      <c r="A2279" s="52"/>
    </row>
    <row r="2280" spans="1:1" x14ac:dyDescent="0.2">
      <c r="A2280" s="52"/>
    </row>
    <row r="2281" spans="1:1" x14ac:dyDescent="0.2">
      <c r="A2281" s="52"/>
    </row>
    <row r="2282" spans="1:1" x14ac:dyDescent="0.2">
      <c r="A2282" s="52"/>
    </row>
    <row r="2283" spans="1:1" x14ac:dyDescent="0.2">
      <c r="A2283" s="52"/>
    </row>
    <row r="2284" spans="1:1" x14ac:dyDescent="0.2">
      <c r="A2284" s="52"/>
    </row>
    <row r="2285" spans="1:1" x14ac:dyDescent="0.2">
      <c r="A2285" s="52"/>
    </row>
    <row r="2286" spans="1:1" x14ac:dyDescent="0.2">
      <c r="A2286" s="52"/>
    </row>
    <row r="2287" spans="1:1" x14ac:dyDescent="0.2">
      <c r="A2287" s="52"/>
    </row>
    <row r="2288" spans="1:1" x14ac:dyDescent="0.2">
      <c r="A2288" s="52"/>
    </row>
    <row r="2289" spans="1:1" x14ac:dyDescent="0.2">
      <c r="A2289" s="52"/>
    </row>
    <row r="2290" spans="1:1" x14ac:dyDescent="0.2">
      <c r="A2290" s="52"/>
    </row>
    <row r="2291" spans="1:1" x14ac:dyDescent="0.2">
      <c r="A2291" s="52"/>
    </row>
    <row r="2292" spans="1:1" x14ac:dyDescent="0.2">
      <c r="A2292" s="52"/>
    </row>
    <row r="2293" spans="1:1" x14ac:dyDescent="0.2">
      <c r="A2293" s="52"/>
    </row>
    <row r="2294" spans="1:1" x14ac:dyDescent="0.2">
      <c r="A2294" s="52"/>
    </row>
    <row r="2295" spans="1:1" x14ac:dyDescent="0.2">
      <c r="A2295" s="52"/>
    </row>
    <row r="2296" spans="1:1" x14ac:dyDescent="0.2">
      <c r="A2296" s="52"/>
    </row>
    <row r="2297" spans="1:1" x14ac:dyDescent="0.2">
      <c r="A2297" s="52"/>
    </row>
    <row r="2298" spans="1:1" x14ac:dyDescent="0.2">
      <c r="A2298" s="52"/>
    </row>
    <row r="2299" spans="1:1" x14ac:dyDescent="0.2">
      <c r="A2299" s="52"/>
    </row>
    <row r="2300" spans="1:1" x14ac:dyDescent="0.2">
      <c r="A2300" s="52"/>
    </row>
    <row r="2301" spans="1:1" x14ac:dyDescent="0.2">
      <c r="A2301" s="52"/>
    </row>
    <row r="2302" spans="1:1" x14ac:dyDescent="0.2">
      <c r="A2302" s="52"/>
    </row>
    <row r="2303" spans="1:1" x14ac:dyDescent="0.2">
      <c r="A2303" s="52"/>
    </row>
    <row r="2304" spans="1:1" x14ac:dyDescent="0.2">
      <c r="A2304" s="52"/>
    </row>
    <row r="2305" spans="1:1" x14ac:dyDescent="0.2">
      <c r="A2305" s="52"/>
    </row>
    <row r="2306" spans="1:1" x14ac:dyDescent="0.2">
      <c r="A2306" s="52"/>
    </row>
    <row r="2307" spans="1:1" x14ac:dyDescent="0.2">
      <c r="A2307" s="52"/>
    </row>
    <row r="2308" spans="1:1" x14ac:dyDescent="0.2">
      <c r="A2308" s="52"/>
    </row>
    <row r="2309" spans="1:1" x14ac:dyDescent="0.2">
      <c r="A2309" s="52"/>
    </row>
    <row r="2310" spans="1:1" x14ac:dyDescent="0.2">
      <c r="A2310" s="52"/>
    </row>
    <row r="2311" spans="1:1" x14ac:dyDescent="0.2">
      <c r="A2311" s="52"/>
    </row>
    <row r="2312" spans="1:1" x14ac:dyDescent="0.2">
      <c r="A2312" s="52"/>
    </row>
    <row r="2313" spans="1:1" x14ac:dyDescent="0.2">
      <c r="A2313" s="52"/>
    </row>
    <row r="2314" spans="1:1" x14ac:dyDescent="0.2">
      <c r="A2314" s="52"/>
    </row>
    <row r="2315" spans="1:1" x14ac:dyDescent="0.2">
      <c r="A2315" s="52"/>
    </row>
    <row r="2316" spans="1:1" x14ac:dyDescent="0.2">
      <c r="A2316" s="52"/>
    </row>
    <row r="2317" spans="1:1" x14ac:dyDescent="0.2">
      <c r="A2317" s="52"/>
    </row>
    <row r="2318" spans="1:1" x14ac:dyDescent="0.2">
      <c r="A2318" s="52"/>
    </row>
    <row r="2319" spans="1:1" x14ac:dyDescent="0.2">
      <c r="A2319" s="52"/>
    </row>
    <row r="2320" spans="1:1" x14ac:dyDescent="0.2">
      <c r="A2320" s="52"/>
    </row>
    <row r="2321" spans="1:1" x14ac:dyDescent="0.2">
      <c r="A2321" s="52"/>
    </row>
    <row r="2322" spans="1:1" x14ac:dyDescent="0.2">
      <c r="A2322" s="52"/>
    </row>
    <row r="2323" spans="1:1" x14ac:dyDescent="0.2">
      <c r="A2323" s="52"/>
    </row>
    <row r="2324" spans="1:1" x14ac:dyDescent="0.2">
      <c r="A2324" s="52"/>
    </row>
    <row r="2325" spans="1:1" x14ac:dyDescent="0.2">
      <c r="A2325" s="52"/>
    </row>
    <row r="2326" spans="1:1" x14ac:dyDescent="0.2">
      <c r="A2326" s="52"/>
    </row>
    <row r="2327" spans="1:1" x14ac:dyDescent="0.2">
      <c r="A2327" s="52"/>
    </row>
    <row r="2328" spans="1:1" x14ac:dyDescent="0.2">
      <c r="A2328" s="52"/>
    </row>
    <row r="2329" spans="1:1" x14ac:dyDescent="0.2">
      <c r="A2329" s="52"/>
    </row>
    <row r="2330" spans="1:1" x14ac:dyDescent="0.2">
      <c r="A2330" s="52"/>
    </row>
    <row r="2331" spans="1:1" x14ac:dyDescent="0.2">
      <c r="A2331" s="52"/>
    </row>
    <row r="2332" spans="1:1" x14ac:dyDescent="0.2">
      <c r="A2332" s="52"/>
    </row>
    <row r="2333" spans="1:1" x14ac:dyDescent="0.2">
      <c r="A2333" s="52"/>
    </row>
    <row r="2334" spans="1:1" x14ac:dyDescent="0.2">
      <c r="A2334" s="52"/>
    </row>
    <row r="2335" spans="1:1" x14ac:dyDescent="0.2">
      <c r="A2335" s="52"/>
    </row>
    <row r="2336" spans="1:1" x14ac:dyDescent="0.2">
      <c r="A2336" s="52"/>
    </row>
    <row r="2337" spans="1:1" x14ac:dyDescent="0.2">
      <c r="A2337" s="52"/>
    </row>
    <row r="2338" spans="1:1" x14ac:dyDescent="0.2">
      <c r="A2338" s="52"/>
    </row>
    <row r="2339" spans="1:1" x14ac:dyDescent="0.2">
      <c r="A2339" s="52"/>
    </row>
    <row r="2340" spans="1:1" x14ac:dyDescent="0.2">
      <c r="A2340" s="52"/>
    </row>
    <row r="2341" spans="1:1" x14ac:dyDescent="0.2">
      <c r="A2341" s="52"/>
    </row>
    <row r="2342" spans="1:1" x14ac:dyDescent="0.2">
      <c r="A2342" s="52"/>
    </row>
    <row r="2343" spans="1:1" x14ac:dyDescent="0.2">
      <c r="A2343" s="52"/>
    </row>
    <row r="2344" spans="1:1" x14ac:dyDescent="0.2">
      <c r="A2344" s="52"/>
    </row>
    <row r="2345" spans="1:1" x14ac:dyDescent="0.2">
      <c r="A2345" s="52"/>
    </row>
    <row r="2346" spans="1:1" x14ac:dyDescent="0.2">
      <c r="A2346" s="52"/>
    </row>
    <row r="2347" spans="1:1" x14ac:dyDescent="0.2">
      <c r="A2347" s="52"/>
    </row>
    <row r="2348" spans="1:1" x14ac:dyDescent="0.2">
      <c r="A2348" s="52"/>
    </row>
    <row r="2349" spans="1:1" x14ac:dyDescent="0.2">
      <c r="A2349" s="52"/>
    </row>
    <row r="2350" spans="1:1" x14ac:dyDescent="0.2">
      <c r="A2350" s="52"/>
    </row>
    <row r="2351" spans="1:1" x14ac:dyDescent="0.2">
      <c r="A2351" s="52"/>
    </row>
    <row r="2352" spans="1:1" x14ac:dyDescent="0.2">
      <c r="A2352" s="52"/>
    </row>
    <row r="2353" spans="1:1" x14ac:dyDescent="0.2">
      <c r="A2353" s="52"/>
    </row>
    <row r="2354" spans="1:1" x14ac:dyDescent="0.2">
      <c r="A2354" s="52"/>
    </row>
    <row r="2355" spans="1:1" x14ac:dyDescent="0.2">
      <c r="A2355" s="52"/>
    </row>
    <row r="2356" spans="1:1" x14ac:dyDescent="0.2">
      <c r="A2356" s="52"/>
    </row>
    <row r="2357" spans="1:1" x14ac:dyDescent="0.2">
      <c r="A2357" s="52"/>
    </row>
    <row r="2358" spans="1:1" x14ac:dyDescent="0.2">
      <c r="A2358" s="52"/>
    </row>
    <row r="2359" spans="1:1" x14ac:dyDescent="0.2">
      <c r="A2359" s="52"/>
    </row>
    <row r="2360" spans="1:1" x14ac:dyDescent="0.2">
      <c r="A2360" s="52"/>
    </row>
    <row r="2361" spans="1:1" x14ac:dyDescent="0.2">
      <c r="A2361" s="52"/>
    </row>
    <row r="2362" spans="1:1" x14ac:dyDescent="0.2">
      <c r="A2362" s="52"/>
    </row>
    <row r="2363" spans="1:1" x14ac:dyDescent="0.2">
      <c r="A2363" s="52"/>
    </row>
    <row r="2364" spans="1:1" x14ac:dyDescent="0.2">
      <c r="A2364" s="52"/>
    </row>
    <row r="2365" spans="1:1" x14ac:dyDescent="0.2">
      <c r="A2365" s="52"/>
    </row>
    <row r="2366" spans="1:1" x14ac:dyDescent="0.2">
      <c r="A2366" s="52"/>
    </row>
    <row r="2367" spans="1:1" x14ac:dyDescent="0.2">
      <c r="A2367" s="52"/>
    </row>
    <row r="2368" spans="1:1" x14ac:dyDescent="0.2">
      <c r="A2368" s="52"/>
    </row>
    <row r="2369" spans="1:1" x14ac:dyDescent="0.2">
      <c r="A2369" s="52"/>
    </row>
    <row r="2370" spans="1:1" x14ac:dyDescent="0.2">
      <c r="A2370" s="52"/>
    </row>
    <row r="2371" spans="1:1" x14ac:dyDescent="0.2">
      <c r="A2371" s="53"/>
    </row>
    <row r="2372" spans="1:1" x14ac:dyDescent="0.2">
      <c r="A2372" s="53"/>
    </row>
    <row r="2373" spans="1:1" x14ac:dyDescent="0.2">
      <c r="A2373" s="52"/>
    </row>
    <row r="2374" spans="1:1" x14ac:dyDescent="0.2">
      <c r="A2374" s="53"/>
    </row>
    <row r="2375" spans="1:1" x14ac:dyDescent="0.2">
      <c r="A2375" s="53"/>
    </row>
    <row r="2376" spans="1:1" x14ac:dyDescent="0.2">
      <c r="A2376" s="52"/>
    </row>
    <row r="2377" spans="1:1" x14ac:dyDescent="0.2">
      <c r="A2377" s="52"/>
    </row>
    <row r="2378" spans="1:1" x14ac:dyDescent="0.2">
      <c r="A2378" s="52"/>
    </row>
    <row r="2379" spans="1:1" x14ac:dyDescent="0.2">
      <c r="A2379" s="52"/>
    </row>
    <row r="2380" spans="1:1" x14ac:dyDescent="0.2">
      <c r="A2380" s="52"/>
    </row>
    <row r="2381" spans="1:1" x14ac:dyDescent="0.2">
      <c r="A2381" s="52"/>
    </row>
    <row r="2382" spans="1:1" x14ac:dyDescent="0.2">
      <c r="A2382" s="52"/>
    </row>
    <row r="2383" spans="1:1" x14ac:dyDescent="0.2">
      <c r="A2383" s="53"/>
    </row>
    <row r="2384" spans="1:1" x14ac:dyDescent="0.2">
      <c r="A2384" s="52"/>
    </row>
    <row r="2385" spans="1:1" x14ac:dyDescent="0.2">
      <c r="A2385" s="52"/>
    </row>
    <row r="2386" spans="1:1" x14ac:dyDescent="0.2">
      <c r="A2386" s="52"/>
    </row>
    <row r="2387" spans="1:1" x14ac:dyDescent="0.2">
      <c r="A2387" s="52"/>
    </row>
    <row r="2388" spans="1:1" x14ac:dyDescent="0.2">
      <c r="A2388" s="53"/>
    </row>
    <row r="2389" spans="1:1" x14ac:dyDescent="0.2">
      <c r="A2389" s="52"/>
    </row>
    <row r="2390" spans="1:1" x14ac:dyDescent="0.2">
      <c r="A2390" s="52"/>
    </row>
    <row r="2391" spans="1:1" x14ac:dyDescent="0.2">
      <c r="A2391" s="52"/>
    </row>
    <row r="2392" spans="1:1" x14ac:dyDescent="0.2">
      <c r="A2392" s="52"/>
    </row>
    <row r="2393" spans="1:1" x14ac:dyDescent="0.2">
      <c r="A2393" s="52"/>
    </row>
    <row r="2394" spans="1:1" x14ac:dyDescent="0.2">
      <c r="A2394" s="53"/>
    </row>
    <row r="2395" spans="1:1" x14ac:dyDescent="0.2">
      <c r="A2395" s="53"/>
    </row>
    <row r="2396" spans="1:1" x14ac:dyDescent="0.2">
      <c r="A2396" s="53"/>
    </row>
    <row r="2397" spans="1:1" x14ac:dyDescent="0.2">
      <c r="A2397" s="52"/>
    </row>
    <row r="2398" spans="1:1" x14ac:dyDescent="0.2">
      <c r="A2398" s="52"/>
    </row>
    <row r="2399" spans="1:1" x14ac:dyDescent="0.2">
      <c r="A2399" s="53"/>
    </row>
    <row r="2400" spans="1:1" x14ac:dyDescent="0.2">
      <c r="A2400" s="52"/>
    </row>
    <row r="2401" spans="1:1" x14ac:dyDescent="0.2">
      <c r="A2401" s="52"/>
    </row>
    <row r="2402" spans="1:1" x14ac:dyDescent="0.2">
      <c r="A2402" s="52"/>
    </row>
    <row r="2403" spans="1:1" x14ac:dyDescent="0.2">
      <c r="A2403" s="52"/>
    </row>
    <row r="2404" spans="1:1" x14ac:dyDescent="0.2">
      <c r="A2404" s="52"/>
    </row>
    <row r="2405" spans="1:1" x14ac:dyDescent="0.2">
      <c r="A2405" s="52"/>
    </row>
    <row r="2406" spans="1:1" x14ac:dyDescent="0.2">
      <c r="A2406" s="52"/>
    </row>
    <row r="2407" spans="1:1" x14ac:dyDescent="0.2">
      <c r="A2407" s="52"/>
    </row>
    <row r="2408" spans="1:1" x14ac:dyDescent="0.2">
      <c r="A2408" s="52"/>
    </row>
    <row r="2409" spans="1:1" x14ac:dyDescent="0.2">
      <c r="A2409" s="53"/>
    </row>
    <row r="2410" spans="1:1" x14ac:dyDescent="0.2">
      <c r="A2410" s="52"/>
    </row>
    <row r="2411" spans="1:1" x14ac:dyDescent="0.2">
      <c r="A2411" s="52"/>
    </row>
    <row r="2412" spans="1:1" x14ac:dyDescent="0.2">
      <c r="A2412" s="52"/>
    </row>
    <row r="2413" spans="1:1" x14ac:dyDescent="0.2">
      <c r="A2413" s="53"/>
    </row>
    <row r="2414" spans="1:1" x14ac:dyDescent="0.2">
      <c r="A2414" s="52"/>
    </row>
    <row r="2415" spans="1:1" x14ac:dyDescent="0.2">
      <c r="A2415" s="52"/>
    </row>
    <row r="2416" spans="1:1" x14ac:dyDescent="0.2">
      <c r="A2416" s="53"/>
    </row>
    <row r="2417" spans="1:1" x14ac:dyDescent="0.2">
      <c r="A2417" s="52"/>
    </row>
    <row r="2418" spans="1:1" x14ac:dyDescent="0.2">
      <c r="A2418" s="53"/>
    </row>
    <row r="2419" spans="1:1" x14ac:dyDescent="0.2">
      <c r="A2419" s="52"/>
    </row>
    <row r="2420" spans="1:1" x14ac:dyDescent="0.2">
      <c r="A2420" s="52"/>
    </row>
    <row r="2421" spans="1:1" x14ac:dyDescent="0.2">
      <c r="A2421" s="52"/>
    </row>
    <row r="2422" spans="1:1" x14ac:dyDescent="0.2">
      <c r="A2422" s="52"/>
    </row>
    <row r="2423" spans="1:1" x14ac:dyDescent="0.2">
      <c r="A2423" s="53"/>
    </row>
    <row r="2424" spans="1:1" x14ac:dyDescent="0.2">
      <c r="A2424" s="52"/>
    </row>
    <row r="2425" spans="1:1" x14ac:dyDescent="0.2">
      <c r="A2425" s="52"/>
    </row>
    <row r="2426" spans="1:1" x14ac:dyDescent="0.2">
      <c r="A2426" s="53"/>
    </row>
    <row r="2427" spans="1:1" x14ac:dyDescent="0.2">
      <c r="A2427" s="52"/>
    </row>
    <row r="2428" spans="1:1" x14ac:dyDescent="0.2">
      <c r="A2428" s="52"/>
    </row>
    <row r="2429" spans="1:1" x14ac:dyDescent="0.2">
      <c r="A2429" s="52"/>
    </row>
    <row r="2430" spans="1:1" x14ac:dyDescent="0.2">
      <c r="A2430" s="52"/>
    </row>
    <row r="2431" spans="1:1" x14ac:dyDescent="0.2">
      <c r="A2431" s="52"/>
    </row>
    <row r="2432" spans="1:1" x14ac:dyDescent="0.2">
      <c r="A2432" s="52"/>
    </row>
    <row r="2433" spans="1:1" x14ac:dyDescent="0.2">
      <c r="A2433" s="52"/>
    </row>
    <row r="2434" spans="1:1" x14ac:dyDescent="0.2">
      <c r="A2434" s="52"/>
    </row>
    <row r="2435" spans="1:1" x14ac:dyDescent="0.2">
      <c r="A2435" s="52"/>
    </row>
    <row r="2436" spans="1:1" x14ac:dyDescent="0.2">
      <c r="A2436" s="52"/>
    </row>
    <row r="2437" spans="1:1" x14ac:dyDescent="0.2">
      <c r="A2437" s="52"/>
    </row>
    <row r="2438" spans="1:1" x14ac:dyDescent="0.2">
      <c r="A2438" s="52"/>
    </row>
    <row r="2439" spans="1:1" x14ac:dyDescent="0.2">
      <c r="A2439" s="52"/>
    </row>
    <row r="2440" spans="1:1" x14ac:dyDescent="0.2">
      <c r="A2440" s="52"/>
    </row>
    <row r="2441" spans="1:1" x14ac:dyDescent="0.2">
      <c r="A2441" s="52"/>
    </row>
    <row r="2442" spans="1:1" x14ac:dyDescent="0.2">
      <c r="A2442" s="52"/>
    </row>
    <row r="2443" spans="1:1" x14ac:dyDescent="0.2">
      <c r="A2443" s="52"/>
    </row>
    <row r="2444" spans="1:1" x14ac:dyDescent="0.2">
      <c r="A2444" s="52"/>
    </row>
    <row r="2445" spans="1:1" x14ac:dyDescent="0.2">
      <c r="A2445" s="52"/>
    </row>
    <row r="2446" spans="1:1" x14ac:dyDescent="0.2">
      <c r="A2446" s="52"/>
    </row>
    <row r="2447" spans="1:1" x14ac:dyDescent="0.2">
      <c r="A2447" s="52"/>
    </row>
    <row r="2448" spans="1:1" x14ac:dyDescent="0.2">
      <c r="A2448" s="52"/>
    </row>
    <row r="2449" spans="1:1" x14ac:dyDescent="0.2">
      <c r="A2449" s="52"/>
    </row>
    <row r="2450" spans="1:1" x14ac:dyDescent="0.2">
      <c r="A2450" s="52"/>
    </row>
    <row r="2451" spans="1:1" x14ac:dyDescent="0.2">
      <c r="A2451" s="52"/>
    </row>
    <row r="2452" spans="1:1" x14ac:dyDescent="0.2">
      <c r="A2452" s="52"/>
    </row>
    <row r="2453" spans="1:1" x14ac:dyDescent="0.2">
      <c r="A2453" s="52"/>
    </row>
    <row r="2454" spans="1:1" x14ac:dyDescent="0.2">
      <c r="A2454" s="52"/>
    </row>
    <row r="2455" spans="1:1" x14ac:dyDescent="0.2">
      <c r="A2455" s="52"/>
    </row>
    <row r="2456" spans="1:1" x14ac:dyDescent="0.2">
      <c r="A2456" s="52"/>
    </row>
    <row r="2457" spans="1:1" x14ac:dyDescent="0.2">
      <c r="A2457" s="52"/>
    </row>
    <row r="2458" spans="1:1" x14ac:dyDescent="0.2">
      <c r="A2458" s="52"/>
    </row>
    <row r="2459" spans="1:1" x14ac:dyDescent="0.2">
      <c r="A2459" s="52"/>
    </row>
    <row r="2460" spans="1:1" x14ac:dyDescent="0.2">
      <c r="A2460" s="52"/>
    </row>
    <row r="2461" spans="1:1" x14ac:dyDescent="0.2">
      <c r="A2461" s="52"/>
    </row>
    <row r="2462" spans="1:1" x14ac:dyDescent="0.2">
      <c r="A2462" s="52"/>
    </row>
    <row r="2463" spans="1:1" x14ac:dyDescent="0.2">
      <c r="A2463" s="53"/>
    </row>
    <row r="2464" spans="1:1" x14ac:dyDescent="0.2">
      <c r="A2464" s="52"/>
    </row>
    <row r="2465" spans="1:1" x14ac:dyDescent="0.2">
      <c r="A2465" s="52"/>
    </row>
    <row r="2466" spans="1:1" x14ac:dyDescent="0.2">
      <c r="A2466" s="52"/>
    </row>
    <row r="2467" spans="1:1" x14ac:dyDescent="0.2">
      <c r="A2467" s="52"/>
    </row>
    <row r="2468" spans="1:1" x14ac:dyDescent="0.2">
      <c r="A2468" s="52"/>
    </row>
    <row r="2469" spans="1:1" x14ac:dyDescent="0.2">
      <c r="A2469" s="52"/>
    </row>
    <row r="2470" spans="1:1" x14ac:dyDescent="0.2">
      <c r="A2470" s="52"/>
    </row>
    <row r="2471" spans="1:1" x14ac:dyDescent="0.2">
      <c r="A2471" s="52"/>
    </row>
    <row r="2472" spans="1:1" x14ac:dyDescent="0.2">
      <c r="A2472" s="52"/>
    </row>
    <row r="2473" spans="1:1" x14ac:dyDescent="0.2">
      <c r="A2473" s="52"/>
    </row>
    <row r="2474" spans="1:1" x14ac:dyDescent="0.2">
      <c r="A2474" s="52"/>
    </row>
    <row r="2475" spans="1:1" x14ac:dyDescent="0.2">
      <c r="A2475" s="52"/>
    </row>
    <row r="2476" spans="1:1" x14ac:dyDescent="0.2">
      <c r="A2476" s="52"/>
    </row>
    <row r="2477" spans="1:1" x14ac:dyDescent="0.2">
      <c r="A2477" s="52"/>
    </row>
    <row r="2478" spans="1:1" x14ac:dyDescent="0.2">
      <c r="A2478" s="52"/>
    </row>
    <row r="2479" spans="1:1" x14ac:dyDescent="0.2">
      <c r="A2479" s="53"/>
    </row>
    <row r="2480" spans="1:1" x14ac:dyDescent="0.2">
      <c r="A2480" s="52"/>
    </row>
    <row r="2481" spans="1:1" x14ac:dyDescent="0.2">
      <c r="A2481" s="52"/>
    </row>
    <row r="2482" spans="1:1" x14ac:dyDescent="0.2">
      <c r="A2482" s="52"/>
    </row>
    <row r="2483" spans="1:1" x14ac:dyDescent="0.2">
      <c r="A2483" s="52"/>
    </row>
    <row r="2484" spans="1:1" x14ac:dyDescent="0.2">
      <c r="A2484" s="52"/>
    </row>
    <row r="2485" spans="1:1" x14ac:dyDescent="0.2">
      <c r="A2485" s="52"/>
    </row>
    <row r="2486" spans="1:1" x14ac:dyDescent="0.2">
      <c r="A2486" s="52"/>
    </row>
    <row r="2487" spans="1:1" x14ac:dyDescent="0.2">
      <c r="A2487" s="52"/>
    </row>
    <row r="2488" spans="1:1" x14ac:dyDescent="0.2">
      <c r="A2488" s="52"/>
    </row>
    <row r="2489" spans="1:1" x14ac:dyDescent="0.2">
      <c r="A2489" s="52"/>
    </row>
    <row r="2490" spans="1:1" x14ac:dyDescent="0.2">
      <c r="A2490" s="52"/>
    </row>
    <row r="2491" spans="1:1" x14ac:dyDescent="0.2">
      <c r="A2491" s="52"/>
    </row>
    <row r="2492" spans="1:1" x14ac:dyDescent="0.2">
      <c r="A2492" s="52"/>
    </row>
    <row r="2493" spans="1:1" x14ac:dyDescent="0.2">
      <c r="A2493" s="52"/>
    </row>
    <row r="2494" spans="1:1" x14ac:dyDescent="0.2">
      <c r="A2494" s="52"/>
    </row>
    <row r="2495" spans="1:1" x14ac:dyDescent="0.2">
      <c r="A2495" s="52"/>
    </row>
    <row r="2496" spans="1:1" x14ac:dyDescent="0.2">
      <c r="A2496" s="52"/>
    </row>
    <row r="2497" spans="1:1" x14ac:dyDescent="0.2">
      <c r="A2497" s="52"/>
    </row>
    <row r="2498" spans="1:1" x14ac:dyDescent="0.2">
      <c r="A2498" s="53"/>
    </row>
    <row r="2499" spans="1:1" x14ac:dyDescent="0.2">
      <c r="A2499" s="52"/>
    </row>
    <row r="2500" spans="1:1" x14ac:dyDescent="0.2">
      <c r="A2500" s="52"/>
    </row>
    <row r="2501" spans="1:1" x14ac:dyDescent="0.2">
      <c r="A2501" s="52"/>
    </row>
    <row r="2502" spans="1:1" x14ac:dyDescent="0.2">
      <c r="A2502" s="52"/>
    </row>
    <row r="2503" spans="1:1" x14ac:dyDescent="0.2">
      <c r="A2503" s="52"/>
    </row>
    <row r="2504" spans="1:1" x14ac:dyDescent="0.2">
      <c r="A2504" s="52"/>
    </row>
    <row r="2505" spans="1:1" x14ac:dyDescent="0.2">
      <c r="A2505" s="52"/>
    </row>
    <row r="2506" spans="1:1" x14ac:dyDescent="0.2">
      <c r="A2506" s="52"/>
    </row>
    <row r="2507" spans="1:1" x14ac:dyDescent="0.2">
      <c r="A2507" s="52"/>
    </row>
    <row r="2508" spans="1:1" x14ac:dyDescent="0.2">
      <c r="A2508" s="52"/>
    </row>
    <row r="2509" spans="1:1" x14ac:dyDescent="0.2">
      <c r="A2509" s="52"/>
    </row>
    <row r="2510" spans="1:1" x14ac:dyDescent="0.2">
      <c r="A2510" s="52"/>
    </row>
    <row r="2511" spans="1:1" x14ac:dyDescent="0.2">
      <c r="A2511" s="52"/>
    </row>
    <row r="2512" spans="1:1" x14ac:dyDescent="0.2">
      <c r="A2512" s="52"/>
    </row>
    <row r="2513" spans="1:1" x14ac:dyDescent="0.2">
      <c r="A2513" s="52"/>
    </row>
    <row r="2514" spans="1:1" x14ac:dyDescent="0.2">
      <c r="A2514" s="52"/>
    </row>
    <row r="2515" spans="1:1" x14ac:dyDescent="0.2">
      <c r="A2515" s="52"/>
    </row>
    <row r="2516" spans="1:1" x14ac:dyDescent="0.2">
      <c r="A2516" s="52"/>
    </row>
    <row r="2517" spans="1:1" x14ac:dyDescent="0.2">
      <c r="A2517" s="52"/>
    </row>
    <row r="2518" spans="1:1" x14ac:dyDescent="0.2">
      <c r="A2518" s="52"/>
    </row>
    <row r="2519" spans="1:1" x14ac:dyDescent="0.2">
      <c r="A2519" s="52"/>
    </row>
    <row r="2520" spans="1:1" x14ac:dyDescent="0.2">
      <c r="A2520" s="52"/>
    </row>
    <row r="2521" spans="1:1" x14ac:dyDescent="0.2">
      <c r="A2521" s="52"/>
    </row>
    <row r="2522" spans="1:1" x14ac:dyDescent="0.2">
      <c r="A2522" s="52"/>
    </row>
    <row r="2523" spans="1:1" x14ac:dyDescent="0.2">
      <c r="A2523" s="52"/>
    </row>
    <row r="2524" spans="1:1" x14ac:dyDescent="0.2">
      <c r="A2524" s="52"/>
    </row>
    <row r="2525" spans="1:1" x14ac:dyDescent="0.2">
      <c r="A2525" s="52"/>
    </row>
    <row r="2526" spans="1:1" x14ac:dyDescent="0.2">
      <c r="A2526" s="53"/>
    </row>
    <row r="2527" spans="1:1" x14ac:dyDescent="0.2">
      <c r="A2527" s="53"/>
    </row>
    <row r="2528" spans="1:1" x14ac:dyDescent="0.2">
      <c r="A2528" s="52"/>
    </row>
    <row r="2529" spans="1:1" x14ac:dyDescent="0.2">
      <c r="A2529" s="52"/>
    </row>
    <row r="2530" spans="1:1" x14ac:dyDescent="0.2">
      <c r="A2530" s="53"/>
    </row>
    <row r="2531" spans="1:1" x14ac:dyDescent="0.2">
      <c r="A2531" s="52"/>
    </row>
    <row r="2532" spans="1:1" x14ac:dyDescent="0.2">
      <c r="A2532" s="52"/>
    </row>
    <row r="2533" spans="1:1" x14ac:dyDescent="0.2">
      <c r="A2533" s="52"/>
    </row>
    <row r="2534" spans="1:1" x14ac:dyDescent="0.2">
      <c r="A2534" s="52"/>
    </row>
    <row r="2535" spans="1:1" x14ac:dyDescent="0.2">
      <c r="A2535" s="52"/>
    </row>
    <row r="2536" spans="1:1" x14ac:dyDescent="0.2">
      <c r="A2536" s="52"/>
    </row>
    <row r="2537" spans="1:1" x14ac:dyDescent="0.2">
      <c r="A2537" s="52"/>
    </row>
    <row r="2538" spans="1:1" x14ac:dyDescent="0.2">
      <c r="A2538" s="52"/>
    </row>
    <row r="2539" spans="1:1" x14ac:dyDescent="0.2">
      <c r="A2539" s="52"/>
    </row>
    <row r="2540" spans="1:1" x14ac:dyDescent="0.2">
      <c r="A2540" s="53"/>
    </row>
    <row r="2541" spans="1:1" x14ac:dyDescent="0.2">
      <c r="A2541" s="52"/>
    </row>
    <row r="2542" spans="1:1" x14ac:dyDescent="0.2">
      <c r="A2542" s="52"/>
    </row>
    <row r="2543" spans="1:1" x14ac:dyDescent="0.2">
      <c r="A2543" s="52"/>
    </row>
    <row r="2544" spans="1:1" x14ac:dyDescent="0.2">
      <c r="A2544" s="52"/>
    </row>
    <row r="2545" spans="1:1" x14ac:dyDescent="0.2">
      <c r="A2545" s="52"/>
    </row>
    <row r="2546" spans="1:1" x14ac:dyDescent="0.2">
      <c r="A2546" s="52"/>
    </row>
    <row r="2547" spans="1:1" x14ac:dyDescent="0.2">
      <c r="A2547" s="52"/>
    </row>
    <row r="2548" spans="1:1" x14ac:dyDescent="0.2">
      <c r="A2548" s="52"/>
    </row>
    <row r="2549" spans="1:1" x14ac:dyDescent="0.2">
      <c r="A2549" s="52"/>
    </row>
    <row r="2550" spans="1:1" x14ac:dyDescent="0.2">
      <c r="A2550" s="52"/>
    </row>
    <row r="2551" spans="1:1" x14ac:dyDescent="0.2">
      <c r="A2551" s="52"/>
    </row>
    <row r="2552" spans="1:1" x14ac:dyDescent="0.2">
      <c r="A2552" s="52"/>
    </row>
    <row r="2553" spans="1:1" x14ac:dyDescent="0.2">
      <c r="A2553" s="52"/>
    </row>
    <row r="2554" spans="1:1" x14ac:dyDescent="0.2">
      <c r="A2554" s="52"/>
    </row>
    <row r="2555" spans="1:1" x14ac:dyDescent="0.2">
      <c r="A2555" s="52"/>
    </row>
    <row r="2556" spans="1:1" x14ac:dyDescent="0.2">
      <c r="A2556" s="52"/>
    </row>
    <row r="2557" spans="1:1" x14ac:dyDescent="0.2">
      <c r="A2557" s="52"/>
    </row>
    <row r="2558" spans="1:1" x14ac:dyDescent="0.2">
      <c r="A2558" s="52"/>
    </row>
    <row r="2559" spans="1:1" x14ac:dyDescent="0.2">
      <c r="A2559" s="52"/>
    </row>
    <row r="2560" spans="1:1" x14ac:dyDescent="0.2">
      <c r="A2560" s="52"/>
    </row>
    <row r="2561" spans="1:1" x14ac:dyDescent="0.2">
      <c r="A2561" s="52"/>
    </row>
    <row r="2562" spans="1:1" x14ac:dyDescent="0.2">
      <c r="A2562" s="52"/>
    </row>
    <row r="2563" spans="1:1" x14ac:dyDescent="0.2">
      <c r="A2563" s="53"/>
    </row>
    <row r="2564" spans="1:1" x14ac:dyDescent="0.2">
      <c r="A2564" s="52"/>
    </row>
    <row r="2565" spans="1:1" x14ac:dyDescent="0.2">
      <c r="A2565" s="52"/>
    </row>
    <row r="2566" spans="1:1" x14ac:dyDescent="0.2">
      <c r="A2566" s="52"/>
    </row>
    <row r="2567" spans="1:1" x14ac:dyDescent="0.2">
      <c r="A2567" s="52"/>
    </row>
    <row r="2568" spans="1:1" x14ac:dyDescent="0.2">
      <c r="A2568" s="52"/>
    </row>
    <row r="2569" spans="1:1" x14ac:dyDescent="0.2">
      <c r="A2569" s="52"/>
    </row>
    <row r="2570" spans="1:1" x14ac:dyDescent="0.2">
      <c r="A2570" s="52"/>
    </row>
    <row r="2571" spans="1:1" x14ac:dyDescent="0.2">
      <c r="A2571" s="52"/>
    </row>
    <row r="2572" spans="1:1" x14ac:dyDescent="0.2">
      <c r="A2572" s="52"/>
    </row>
    <row r="2573" spans="1:1" x14ac:dyDescent="0.2">
      <c r="A2573" s="52"/>
    </row>
    <row r="2574" spans="1:1" x14ac:dyDescent="0.2">
      <c r="A2574" s="52"/>
    </row>
    <row r="2575" spans="1:1" x14ac:dyDescent="0.2">
      <c r="A2575" s="52"/>
    </row>
    <row r="2576" spans="1:1" x14ac:dyDescent="0.2">
      <c r="A2576" s="52"/>
    </row>
    <row r="2577" spans="1:1" x14ac:dyDescent="0.2">
      <c r="A2577" s="52"/>
    </row>
    <row r="2578" spans="1:1" x14ac:dyDescent="0.2">
      <c r="A2578" s="52"/>
    </row>
    <row r="2579" spans="1:1" x14ac:dyDescent="0.2">
      <c r="A2579" s="52"/>
    </row>
    <row r="2580" spans="1:1" x14ac:dyDescent="0.2">
      <c r="A2580" s="52"/>
    </row>
    <row r="2581" spans="1:1" x14ac:dyDescent="0.2">
      <c r="A2581" s="52"/>
    </row>
    <row r="2582" spans="1:1" x14ac:dyDescent="0.2">
      <c r="A2582" s="52"/>
    </row>
    <row r="2583" spans="1:1" x14ac:dyDescent="0.2">
      <c r="A2583" s="52"/>
    </row>
    <row r="2584" spans="1:1" x14ac:dyDescent="0.2">
      <c r="A2584" s="52"/>
    </row>
    <row r="2585" spans="1:1" x14ac:dyDescent="0.2">
      <c r="A2585" s="52"/>
    </row>
    <row r="2586" spans="1:1" x14ac:dyDescent="0.2">
      <c r="A2586" s="52"/>
    </row>
    <row r="2587" spans="1:1" x14ac:dyDescent="0.2">
      <c r="A2587" s="52"/>
    </row>
    <row r="2588" spans="1:1" x14ac:dyDescent="0.2">
      <c r="A2588" s="52"/>
    </row>
    <row r="2589" spans="1:1" x14ac:dyDescent="0.2">
      <c r="A2589" s="52"/>
    </row>
    <row r="2590" spans="1:1" x14ac:dyDescent="0.2">
      <c r="A2590" s="52"/>
    </row>
    <row r="2591" spans="1:1" x14ac:dyDescent="0.2">
      <c r="A2591" s="52"/>
    </row>
    <row r="2592" spans="1:1" x14ac:dyDescent="0.2">
      <c r="A2592" s="52"/>
    </row>
    <row r="2593" spans="1:1" x14ac:dyDescent="0.2">
      <c r="A2593" s="52"/>
    </row>
    <row r="2594" spans="1:1" x14ac:dyDescent="0.2">
      <c r="A2594" s="52"/>
    </row>
    <row r="2595" spans="1:1" x14ac:dyDescent="0.2">
      <c r="A2595" s="52"/>
    </row>
    <row r="2596" spans="1:1" x14ac:dyDescent="0.2">
      <c r="A2596" s="52"/>
    </row>
    <row r="2597" spans="1:1" x14ac:dyDescent="0.2">
      <c r="A2597" s="52"/>
    </row>
    <row r="2598" spans="1:1" x14ac:dyDescent="0.2">
      <c r="A2598" s="52"/>
    </row>
    <row r="2599" spans="1:1" x14ac:dyDescent="0.2">
      <c r="A2599" s="52"/>
    </row>
    <row r="2600" spans="1:1" x14ac:dyDescent="0.2">
      <c r="A2600" s="53"/>
    </row>
    <row r="2601" spans="1:1" x14ac:dyDescent="0.2">
      <c r="A2601" s="52"/>
    </row>
    <row r="2602" spans="1:1" x14ac:dyDescent="0.2">
      <c r="A2602" s="52"/>
    </row>
    <row r="2603" spans="1:1" x14ac:dyDescent="0.2">
      <c r="A2603" s="52"/>
    </row>
    <row r="2604" spans="1:1" x14ac:dyDescent="0.2">
      <c r="A2604" s="52"/>
    </row>
    <row r="2605" spans="1:1" x14ac:dyDescent="0.2">
      <c r="A2605" s="52"/>
    </row>
    <row r="2606" spans="1:1" x14ac:dyDescent="0.2">
      <c r="A2606" s="52"/>
    </row>
    <row r="2607" spans="1:1" x14ac:dyDescent="0.2">
      <c r="A2607" s="52"/>
    </row>
    <row r="2608" spans="1:1" x14ac:dyDescent="0.2">
      <c r="A2608" s="52"/>
    </row>
    <row r="2609" spans="1:1" x14ac:dyDescent="0.2">
      <c r="A2609" s="52"/>
    </row>
    <row r="2610" spans="1:1" x14ac:dyDescent="0.2">
      <c r="A2610" s="52"/>
    </row>
    <row r="2611" spans="1:1" x14ac:dyDescent="0.2">
      <c r="A2611" s="52"/>
    </row>
    <row r="2612" spans="1:1" x14ac:dyDescent="0.2">
      <c r="A2612" s="52"/>
    </row>
    <row r="2613" spans="1:1" x14ac:dyDescent="0.2">
      <c r="A2613" s="52"/>
    </row>
    <row r="2614" spans="1:1" x14ac:dyDescent="0.2">
      <c r="A2614" s="52"/>
    </row>
    <row r="2615" spans="1:1" x14ac:dyDescent="0.2">
      <c r="A2615" s="52"/>
    </row>
    <row r="2616" spans="1:1" x14ac:dyDescent="0.2">
      <c r="A2616" s="52"/>
    </row>
    <row r="2617" spans="1:1" x14ac:dyDescent="0.2">
      <c r="A2617" s="52"/>
    </row>
    <row r="2618" spans="1:1" x14ac:dyDescent="0.2">
      <c r="A2618" s="52"/>
    </row>
    <row r="2619" spans="1:1" x14ac:dyDescent="0.2">
      <c r="A2619" s="52"/>
    </row>
    <row r="2620" spans="1:1" x14ac:dyDescent="0.2">
      <c r="A2620" s="52"/>
    </row>
    <row r="2621" spans="1:1" x14ac:dyDescent="0.2">
      <c r="A2621" s="52"/>
    </row>
    <row r="2622" spans="1:1" x14ac:dyDescent="0.2">
      <c r="A2622" s="52"/>
    </row>
    <row r="2623" spans="1:1" x14ac:dyDescent="0.2">
      <c r="A2623" s="52"/>
    </row>
    <row r="2624" spans="1:1" x14ac:dyDescent="0.2">
      <c r="A2624" s="52"/>
    </row>
    <row r="2625" spans="1:1" x14ac:dyDescent="0.2">
      <c r="A2625" s="52"/>
    </row>
    <row r="2626" spans="1:1" x14ac:dyDescent="0.2">
      <c r="A2626" s="52"/>
    </row>
    <row r="2627" spans="1:1" x14ac:dyDescent="0.2">
      <c r="A2627" s="52"/>
    </row>
    <row r="2628" spans="1:1" x14ac:dyDescent="0.2">
      <c r="A2628" s="52"/>
    </row>
    <row r="2629" spans="1:1" x14ac:dyDescent="0.2">
      <c r="A2629" s="52"/>
    </row>
    <row r="2630" spans="1:1" x14ac:dyDescent="0.2">
      <c r="A2630" s="52"/>
    </row>
    <row r="2631" spans="1:1" x14ac:dyDescent="0.2">
      <c r="A2631" s="52"/>
    </row>
    <row r="2632" spans="1:1" x14ac:dyDescent="0.2">
      <c r="A2632" s="52"/>
    </row>
    <row r="2633" spans="1:1" x14ac:dyDescent="0.2">
      <c r="A2633" s="52"/>
    </row>
    <row r="2634" spans="1:1" x14ac:dyDescent="0.2">
      <c r="A2634" s="52"/>
    </row>
    <row r="2635" spans="1:1" x14ac:dyDescent="0.2">
      <c r="A2635" s="52"/>
    </row>
    <row r="2636" spans="1:1" x14ac:dyDescent="0.2">
      <c r="A2636" s="52"/>
    </row>
    <row r="2637" spans="1:1" x14ac:dyDescent="0.2">
      <c r="A2637" s="52"/>
    </row>
    <row r="2638" spans="1:1" x14ac:dyDescent="0.2">
      <c r="A2638" s="53"/>
    </row>
    <row r="2639" spans="1:1" x14ac:dyDescent="0.2">
      <c r="A2639" s="52"/>
    </row>
    <row r="2640" spans="1:1" x14ac:dyDescent="0.2">
      <c r="A2640" s="52"/>
    </row>
    <row r="2641" spans="1:1" x14ac:dyDescent="0.2">
      <c r="A2641" s="52"/>
    </row>
    <row r="2642" spans="1:1" x14ac:dyDescent="0.2">
      <c r="A2642" s="52"/>
    </row>
    <row r="2643" spans="1:1" x14ac:dyDescent="0.2">
      <c r="A2643" s="52"/>
    </row>
    <row r="2644" spans="1:1" x14ac:dyDescent="0.2">
      <c r="A2644" s="52"/>
    </row>
    <row r="2645" spans="1:1" x14ac:dyDescent="0.2">
      <c r="A2645" s="52"/>
    </row>
    <row r="2646" spans="1:1" x14ac:dyDescent="0.2">
      <c r="A2646" s="52"/>
    </row>
    <row r="2647" spans="1:1" x14ac:dyDescent="0.2">
      <c r="A2647" s="52"/>
    </row>
    <row r="2648" spans="1:1" x14ac:dyDescent="0.2">
      <c r="A2648" s="52"/>
    </row>
    <row r="2649" spans="1:1" x14ac:dyDescent="0.2">
      <c r="A2649" s="52"/>
    </row>
    <row r="2650" spans="1:1" x14ac:dyDescent="0.2">
      <c r="A2650" s="52"/>
    </row>
    <row r="2651" spans="1:1" x14ac:dyDescent="0.2">
      <c r="A2651" s="52"/>
    </row>
    <row r="2652" spans="1:1" x14ac:dyDescent="0.2">
      <c r="A2652" s="52"/>
    </row>
    <row r="2653" spans="1:1" x14ac:dyDescent="0.2">
      <c r="A2653" s="52"/>
    </row>
    <row r="2654" spans="1:1" x14ac:dyDescent="0.2">
      <c r="A2654" s="52"/>
    </row>
    <row r="2655" spans="1:1" x14ac:dyDescent="0.2">
      <c r="A2655" s="52"/>
    </row>
    <row r="2656" spans="1:1" x14ac:dyDescent="0.2">
      <c r="A2656" s="52"/>
    </row>
    <row r="2657" spans="1:1" x14ac:dyDescent="0.2">
      <c r="A2657" s="52"/>
    </row>
    <row r="2658" spans="1:1" x14ac:dyDescent="0.2">
      <c r="A2658" s="53"/>
    </row>
    <row r="2659" spans="1:1" x14ac:dyDescent="0.2">
      <c r="A2659" s="52"/>
    </row>
    <row r="2660" spans="1:1" x14ac:dyDescent="0.2">
      <c r="A2660" s="52"/>
    </row>
    <row r="2661" spans="1:1" x14ac:dyDescent="0.2">
      <c r="A2661" s="52"/>
    </row>
    <row r="2662" spans="1:1" x14ac:dyDescent="0.2">
      <c r="A2662" s="52"/>
    </row>
    <row r="2663" spans="1:1" x14ac:dyDescent="0.2">
      <c r="A2663" s="52"/>
    </row>
    <row r="2664" spans="1:1" x14ac:dyDescent="0.2">
      <c r="A2664" s="53"/>
    </row>
    <row r="2665" spans="1:1" x14ac:dyDescent="0.2">
      <c r="A2665" s="52"/>
    </row>
    <row r="2666" spans="1:1" x14ac:dyDescent="0.2">
      <c r="A2666" s="52"/>
    </row>
    <row r="2667" spans="1:1" x14ac:dyDescent="0.2">
      <c r="A2667" s="52"/>
    </row>
    <row r="2668" spans="1:1" x14ac:dyDescent="0.2">
      <c r="A2668" s="52"/>
    </row>
    <row r="2669" spans="1:1" x14ac:dyDescent="0.2">
      <c r="A2669" s="52"/>
    </row>
    <row r="2670" spans="1:1" x14ac:dyDescent="0.2">
      <c r="A2670" s="52"/>
    </row>
    <row r="2671" spans="1:1" x14ac:dyDescent="0.2">
      <c r="A2671" s="52"/>
    </row>
    <row r="2672" spans="1:1" x14ac:dyDescent="0.2">
      <c r="A2672" s="52"/>
    </row>
    <row r="2673" spans="1:1" x14ac:dyDescent="0.2">
      <c r="A2673" s="52"/>
    </row>
    <row r="2674" spans="1:1" x14ac:dyDescent="0.2">
      <c r="A2674" s="52"/>
    </row>
    <row r="2675" spans="1:1" x14ac:dyDescent="0.2">
      <c r="A2675" s="52"/>
    </row>
    <row r="2676" spans="1:1" x14ac:dyDescent="0.2">
      <c r="A2676" s="52"/>
    </row>
    <row r="2677" spans="1:1" x14ac:dyDescent="0.2">
      <c r="A2677" s="52"/>
    </row>
    <row r="2678" spans="1:1" x14ac:dyDescent="0.2">
      <c r="A2678" s="52"/>
    </row>
    <row r="2679" spans="1:1" x14ac:dyDescent="0.2">
      <c r="A2679" s="52"/>
    </row>
    <row r="2680" spans="1:1" x14ac:dyDescent="0.2">
      <c r="A2680" s="52"/>
    </row>
    <row r="2681" spans="1:1" x14ac:dyDescent="0.2">
      <c r="A2681" s="52"/>
    </row>
    <row r="2682" spans="1:1" x14ac:dyDescent="0.2">
      <c r="A2682" s="52"/>
    </row>
    <row r="2683" spans="1:1" x14ac:dyDescent="0.2">
      <c r="A2683" s="52"/>
    </row>
    <row r="2684" spans="1:1" x14ac:dyDescent="0.2">
      <c r="A2684" s="52"/>
    </row>
    <row r="2685" spans="1:1" x14ac:dyDescent="0.2">
      <c r="A2685" s="52"/>
    </row>
    <row r="2686" spans="1:1" x14ac:dyDescent="0.2">
      <c r="A2686" s="52"/>
    </row>
    <row r="2687" spans="1:1" x14ac:dyDescent="0.2">
      <c r="A2687" s="52"/>
    </row>
    <row r="2688" spans="1:1" x14ac:dyDescent="0.2">
      <c r="A2688" s="52"/>
    </row>
    <row r="2689" spans="1:1" x14ac:dyDescent="0.2">
      <c r="A2689" s="53"/>
    </row>
    <row r="2690" spans="1:1" x14ac:dyDescent="0.2">
      <c r="A2690" s="53"/>
    </row>
    <row r="2691" spans="1:1" x14ac:dyDescent="0.2">
      <c r="A2691" s="52"/>
    </row>
    <row r="2692" spans="1:1" x14ac:dyDescent="0.2">
      <c r="A2692" s="52"/>
    </row>
    <row r="2693" spans="1:1" x14ac:dyDescent="0.2">
      <c r="A2693" s="52"/>
    </row>
    <row r="2694" spans="1:1" x14ac:dyDescent="0.2">
      <c r="A2694" s="52"/>
    </row>
    <row r="2695" spans="1:1" x14ac:dyDescent="0.2">
      <c r="A2695" s="53"/>
    </row>
    <row r="2696" spans="1:1" x14ac:dyDescent="0.2">
      <c r="A2696" s="52"/>
    </row>
    <row r="2697" spans="1:1" x14ac:dyDescent="0.2">
      <c r="A2697" s="52"/>
    </row>
    <row r="2698" spans="1:1" x14ac:dyDescent="0.2">
      <c r="A2698" s="52"/>
    </row>
    <row r="2699" spans="1:1" x14ac:dyDescent="0.2">
      <c r="A2699" s="52"/>
    </row>
    <row r="2700" spans="1:1" x14ac:dyDescent="0.2">
      <c r="A2700" s="52"/>
    </row>
    <row r="2701" spans="1:1" x14ac:dyDescent="0.2">
      <c r="A2701" s="52"/>
    </row>
    <row r="2702" spans="1:1" x14ac:dyDescent="0.2">
      <c r="A2702" s="52"/>
    </row>
    <row r="2703" spans="1:1" x14ac:dyDescent="0.2">
      <c r="A2703" s="52"/>
    </row>
    <row r="2704" spans="1:1" x14ac:dyDescent="0.2">
      <c r="A2704" s="52"/>
    </row>
    <row r="2705" spans="1:1" x14ac:dyDescent="0.2">
      <c r="A2705" s="52"/>
    </row>
    <row r="2706" spans="1:1" x14ac:dyDescent="0.2">
      <c r="A2706" s="52"/>
    </row>
    <row r="2707" spans="1:1" x14ac:dyDescent="0.2">
      <c r="A2707" s="52"/>
    </row>
    <row r="2708" spans="1:1" x14ac:dyDescent="0.2">
      <c r="A2708" s="52"/>
    </row>
    <row r="2709" spans="1:1" x14ac:dyDescent="0.2">
      <c r="A2709" s="52"/>
    </row>
    <row r="2710" spans="1:1" x14ac:dyDescent="0.2">
      <c r="A2710" s="52"/>
    </row>
    <row r="2711" spans="1:1" x14ac:dyDescent="0.2">
      <c r="A2711" s="52"/>
    </row>
    <row r="2712" spans="1:1" x14ac:dyDescent="0.2">
      <c r="A2712" s="52"/>
    </row>
    <row r="2713" spans="1:1" x14ac:dyDescent="0.2">
      <c r="A2713" s="52"/>
    </row>
    <row r="2714" spans="1:1" x14ac:dyDescent="0.2">
      <c r="A2714" s="52"/>
    </row>
    <row r="2715" spans="1:1" x14ac:dyDescent="0.2">
      <c r="A2715" s="52"/>
    </row>
    <row r="2716" spans="1:1" x14ac:dyDescent="0.2">
      <c r="A2716" s="52"/>
    </row>
    <row r="2717" spans="1:1" x14ac:dyDescent="0.2">
      <c r="A2717" s="52"/>
    </row>
    <row r="2718" spans="1:1" x14ac:dyDescent="0.2">
      <c r="A2718" s="52"/>
    </row>
    <row r="2719" spans="1:1" x14ac:dyDescent="0.2">
      <c r="A2719" s="52"/>
    </row>
    <row r="2720" spans="1:1" x14ac:dyDescent="0.2">
      <c r="A2720" s="52"/>
    </row>
    <row r="2721" spans="1:1" x14ac:dyDescent="0.2">
      <c r="A2721" s="52"/>
    </row>
    <row r="2722" spans="1:1" x14ac:dyDescent="0.2">
      <c r="A2722" s="52"/>
    </row>
    <row r="2723" spans="1:1" x14ac:dyDescent="0.2">
      <c r="A2723" s="52"/>
    </row>
    <row r="2724" spans="1:1" x14ac:dyDescent="0.2">
      <c r="A2724" s="52"/>
    </row>
    <row r="2725" spans="1:1" x14ac:dyDescent="0.2">
      <c r="A2725" s="52"/>
    </row>
    <row r="2726" spans="1:1" x14ac:dyDescent="0.2">
      <c r="A2726" s="52"/>
    </row>
    <row r="2727" spans="1:1" x14ac:dyDescent="0.2">
      <c r="A2727" s="52"/>
    </row>
    <row r="2728" spans="1:1" x14ac:dyDescent="0.2">
      <c r="A2728" s="53"/>
    </row>
    <row r="2729" spans="1:1" x14ac:dyDescent="0.2">
      <c r="A2729" s="52"/>
    </row>
    <row r="2730" spans="1:1" x14ac:dyDescent="0.2">
      <c r="A2730" s="52"/>
    </row>
    <row r="2731" spans="1:1" x14ac:dyDescent="0.2">
      <c r="A2731" s="52"/>
    </row>
    <row r="2732" spans="1:1" x14ac:dyDescent="0.2">
      <c r="A2732" s="52"/>
    </row>
    <row r="2733" spans="1:1" x14ac:dyDescent="0.2">
      <c r="A2733" s="52"/>
    </row>
    <row r="2734" spans="1:1" x14ac:dyDescent="0.2">
      <c r="A2734" s="52"/>
    </row>
    <row r="2735" spans="1:1" x14ac:dyDescent="0.2">
      <c r="A2735" s="52"/>
    </row>
    <row r="2736" spans="1:1" x14ac:dyDescent="0.2">
      <c r="A2736" s="52"/>
    </row>
    <row r="2737" spans="1:1" x14ac:dyDescent="0.2">
      <c r="A2737" s="52"/>
    </row>
    <row r="2738" spans="1:1" x14ac:dyDescent="0.2">
      <c r="A2738" s="52"/>
    </row>
    <row r="2739" spans="1:1" x14ac:dyDescent="0.2">
      <c r="A2739" s="52"/>
    </row>
    <row r="2740" spans="1:1" x14ac:dyDescent="0.2">
      <c r="A2740" s="52"/>
    </row>
    <row r="2741" spans="1:1" x14ac:dyDescent="0.2">
      <c r="A2741" s="52"/>
    </row>
    <row r="2742" spans="1:1" x14ac:dyDescent="0.2">
      <c r="A2742" s="52"/>
    </row>
    <row r="2743" spans="1:1" x14ac:dyDescent="0.2">
      <c r="A2743" s="52"/>
    </row>
    <row r="2744" spans="1:1" x14ac:dyDescent="0.2">
      <c r="A2744" s="52"/>
    </row>
    <row r="2745" spans="1:1" x14ac:dyDescent="0.2">
      <c r="A2745" s="52"/>
    </row>
    <row r="2746" spans="1:1" x14ac:dyDescent="0.2">
      <c r="A2746" s="53"/>
    </row>
    <row r="2747" spans="1:1" x14ac:dyDescent="0.2">
      <c r="A2747" s="52"/>
    </row>
    <row r="2748" spans="1:1" x14ac:dyDescent="0.2">
      <c r="A2748" s="52"/>
    </row>
    <row r="2749" spans="1:1" x14ac:dyDescent="0.2">
      <c r="A2749" s="52"/>
    </row>
    <row r="2750" spans="1:1" x14ac:dyDescent="0.2">
      <c r="A2750" s="52"/>
    </row>
    <row r="2751" spans="1:1" x14ac:dyDescent="0.2">
      <c r="A2751" s="52"/>
    </row>
    <row r="2752" spans="1:1" x14ac:dyDescent="0.2">
      <c r="A2752" s="52"/>
    </row>
    <row r="2753" spans="1:1" x14ac:dyDescent="0.2">
      <c r="A2753" s="52"/>
    </row>
    <row r="2754" spans="1:1" x14ac:dyDescent="0.2">
      <c r="A2754" s="52"/>
    </row>
    <row r="2755" spans="1:1" x14ac:dyDescent="0.2">
      <c r="A2755" s="52"/>
    </row>
    <row r="2756" spans="1:1" x14ac:dyDescent="0.2">
      <c r="A2756" s="52"/>
    </row>
    <row r="2757" spans="1:1" x14ac:dyDescent="0.2">
      <c r="A2757" s="52"/>
    </row>
    <row r="2758" spans="1:1" x14ac:dyDescent="0.2">
      <c r="A2758" s="52"/>
    </row>
    <row r="2759" spans="1:1" x14ac:dyDescent="0.2">
      <c r="A2759" s="53"/>
    </row>
    <row r="2760" spans="1:1" x14ac:dyDescent="0.2">
      <c r="A2760" s="52"/>
    </row>
    <row r="2761" spans="1:1" x14ac:dyDescent="0.2">
      <c r="A2761" s="52"/>
    </row>
    <row r="2762" spans="1:1" x14ac:dyDescent="0.2">
      <c r="A2762" s="52"/>
    </row>
    <row r="2763" spans="1:1" x14ac:dyDescent="0.2">
      <c r="A2763" s="52"/>
    </row>
    <row r="2764" spans="1:1" x14ac:dyDescent="0.2">
      <c r="A2764" s="52"/>
    </row>
    <row r="2765" spans="1:1" x14ac:dyDescent="0.2">
      <c r="A2765" s="52"/>
    </row>
    <row r="2766" spans="1:1" x14ac:dyDescent="0.2">
      <c r="A2766" s="52"/>
    </row>
    <row r="2767" spans="1:1" x14ac:dyDescent="0.2">
      <c r="A2767" s="52"/>
    </row>
    <row r="2768" spans="1:1" x14ac:dyDescent="0.2">
      <c r="A2768" s="52"/>
    </row>
    <row r="2769" spans="1:1" x14ac:dyDescent="0.2">
      <c r="A2769" s="52"/>
    </row>
    <row r="2770" spans="1:1" x14ac:dyDescent="0.2">
      <c r="A2770" s="52"/>
    </row>
    <row r="2771" spans="1:1" x14ac:dyDescent="0.2">
      <c r="A2771" s="52"/>
    </row>
    <row r="2772" spans="1:1" x14ac:dyDescent="0.2">
      <c r="A2772" s="52"/>
    </row>
    <row r="2773" spans="1:1" x14ac:dyDescent="0.2">
      <c r="A2773" s="52"/>
    </row>
    <row r="2774" spans="1:1" x14ac:dyDescent="0.2">
      <c r="A2774" s="52"/>
    </row>
    <row r="2775" spans="1:1" x14ac:dyDescent="0.2">
      <c r="A2775" s="52"/>
    </row>
    <row r="2776" spans="1:1" x14ac:dyDescent="0.2">
      <c r="A2776" s="52"/>
    </row>
    <row r="2777" spans="1:1" x14ac:dyDescent="0.2">
      <c r="A2777" s="52"/>
    </row>
    <row r="2778" spans="1:1" x14ac:dyDescent="0.2">
      <c r="A2778" s="52"/>
    </row>
    <row r="2779" spans="1:1" x14ac:dyDescent="0.2">
      <c r="A2779" s="52"/>
    </row>
    <row r="2780" spans="1:1" x14ac:dyDescent="0.2">
      <c r="A2780" s="52"/>
    </row>
    <row r="2781" spans="1:1" x14ac:dyDescent="0.2">
      <c r="A2781" s="52"/>
    </row>
    <row r="2782" spans="1:1" x14ac:dyDescent="0.2">
      <c r="A2782" s="52"/>
    </row>
    <row r="2783" spans="1:1" x14ac:dyDescent="0.2">
      <c r="A2783" s="52"/>
    </row>
    <row r="2784" spans="1:1" x14ac:dyDescent="0.2">
      <c r="A2784" s="52"/>
    </row>
    <row r="2785" spans="1:1" x14ac:dyDescent="0.2">
      <c r="A2785" s="52"/>
    </row>
    <row r="2786" spans="1:1" x14ac:dyDescent="0.2">
      <c r="A2786" s="52"/>
    </row>
    <row r="2787" spans="1:1" x14ac:dyDescent="0.2">
      <c r="A2787" s="52"/>
    </row>
    <row r="2788" spans="1:1" x14ac:dyDescent="0.2">
      <c r="A2788" s="52"/>
    </row>
    <row r="2789" spans="1:1" x14ac:dyDescent="0.2">
      <c r="A2789" s="52"/>
    </row>
    <row r="2790" spans="1:1" x14ac:dyDescent="0.2">
      <c r="A2790" s="52"/>
    </row>
    <row r="2791" spans="1:1" x14ac:dyDescent="0.2">
      <c r="A2791" s="52"/>
    </row>
    <row r="2792" spans="1:1" x14ac:dyDescent="0.2">
      <c r="A2792" s="52"/>
    </row>
    <row r="2793" spans="1:1" x14ac:dyDescent="0.2">
      <c r="A2793" s="52"/>
    </row>
    <row r="2794" spans="1:1" x14ac:dyDescent="0.2">
      <c r="A2794" s="52"/>
    </row>
    <row r="2795" spans="1:1" x14ac:dyDescent="0.2">
      <c r="A2795" s="53"/>
    </row>
    <row r="2796" spans="1:1" x14ac:dyDescent="0.2">
      <c r="A2796" s="52"/>
    </row>
    <row r="2797" spans="1:1" x14ac:dyDescent="0.2">
      <c r="A2797" s="52"/>
    </row>
    <row r="2798" spans="1:1" x14ac:dyDescent="0.2">
      <c r="A2798" s="52"/>
    </row>
    <row r="2799" spans="1:1" x14ac:dyDescent="0.2">
      <c r="A2799" s="52"/>
    </row>
    <row r="2800" spans="1:1" x14ac:dyDescent="0.2">
      <c r="A2800" s="52"/>
    </row>
    <row r="2801" spans="1:1" x14ac:dyDescent="0.2">
      <c r="A2801" s="52"/>
    </row>
    <row r="2802" spans="1:1" x14ac:dyDescent="0.2">
      <c r="A2802" s="52"/>
    </row>
    <row r="2803" spans="1:1" x14ac:dyDescent="0.2">
      <c r="A2803" s="52"/>
    </row>
    <row r="2804" spans="1:1" x14ac:dyDescent="0.2">
      <c r="A2804" s="52"/>
    </row>
    <row r="2805" spans="1:1" x14ac:dyDescent="0.2">
      <c r="A2805" s="52"/>
    </row>
    <row r="2806" spans="1:1" x14ac:dyDescent="0.2">
      <c r="A2806" s="52"/>
    </row>
    <row r="2807" spans="1:1" x14ac:dyDescent="0.2">
      <c r="A2807" s="52"/>
    </row>
    <row r="2808" spans="1:1" x14ac:dyDescent="0.2">
      <c r="A2808" s="52"/>
    </row>
    <row r="2809" spans="1:1" x14ac:dyDescent="0.2">
      <c r="A2809" s="52"/>
    </row>
    <row r="2810" spans="1:1" x14ac:dyDescent="0.2">
      <c r="A2810" s="53"/>
    </row>
    <row r="2811" spans="1:1" x14ac:dyDescent="0.2">
      <c r="A2811" s="53"/>
    </row>
    <row r="2812" spans="1:1" x14ac:dyDescent="0.2">
      <c r="A2812" s="52"/>
    </row>
    <row r="2813" spans="1:1" x14ac:dyDescent="0.2">
      <c r="A2813" s="52"/>
    </row>
    <row r="2814" spans="1:1" x14ac:dyDescent="0.2">
      <c r="A2814" s="52"/>
    </row>
    <row r="2815" spans="1:1" x14ac:dyDescent="0.2">
      <c r="A2815" s="52"/>
    </row>
    <row r="2816" spans="1:1" x14ac:dyDescent="0.2">
      <c r="A2816" s="52"/>
    </row>
    <row r="2817" spans="1:1" x14ac:dyDescent="0.2">
      <c r="A2817" s="52"/>
    </row>
    <row r="2818" spans="1:1" x14ac:dyDescent="0.2">
      <c r="A2818" s="53"/>
    </row>
    <row r="2819" spans="1:1" x14ac:dyDescent="0.2">
      <c r="A2819" s="52"/>
    </row>
    <row r="2820" spans="1:1" x14ac:dyDescent="0.2">
      <c r="A2820" s="52"/>
    </row>
    <row r="2821" spans="1:1" x14ac:dyDescent="0.2">
      <c r="A2821" s="52"/>
    </row>
    <row r="2822" spans="1:1" x14ac:dyDescent="0.2">
      <c r="A2822" s="52"/>
    </row>
    <row r="2823" spans="1:1" x14ac:dyDescent="0.2">
      <c r="A2823" s="52"/>
    </row>
    <row r="2824" spans="1:1" x14ac:dyDescent="0.2">
      <c r="A2824" s="52"/>
    </row>
    <row r="2825" spans="1:1" x14ac:dyDescent="0.2">
      <c r="A2825" s="52"/>
    </row>
    <row r="2826" spans="1:1" x14ac:dyDescent="0.2">
      <c r="A2826" s="52"/>
    </row>
    <row r="2827" spans="1:1" x14ac:dyDescent="0.2">
      <c r="A2827" s="52"/>
    </row>
    <row r="2828" spans="1:1" x14ac:dyDescent="0.2">
      <c r="A2828" s="52"/>
    </row>
    <row r="2829" spans="1:1" x14ac:dyDescent="0.2">
      <c r="A2829" s="52"/>
    </row>
    <row r="2830" spans="1:1" x14ac:dyDescent="0.2">
      <c r="A2830" s="52"/>
    </row>
    <row r="2831" spans="1:1" x14ac:dyDescent="0.2">
      <c r="A2831" s="52"/>
    </row>
    <row r="2832" spans="1:1" x14ac:dyDescent="0.2">
      <c r="A2832" s="52"/>
    </row>
    <row r="2833" spans="1:1" x14ac:dyDescent="0.2">
      <c r="A2833" s="53"/>
    </row>
    <row r="2834" spans="1:1" x14ac:dyDescent="0.2">
      <c r="A2834" s="52"/>
    </row>
    <row r="2835" spans="1:1" x14ac:dyDescent="0.2">
      <c r="A2835" s="52"/>
    </row>
    <row r="2836" spans="1:1" x14ac:dyDescent="0.2">
      <c r="A2836" s="52"/>
    </row>
    <row r="2837" spans="1:1" x14ac:dyDescent="0.2">
      <c r="A2837" s="52"/>
    </row>
    <row r="2838" spans="1:1" x14ac:dyDescent="0.2">
      <c r="A2838" s="52"/>
    </row>
    <row r="2839" spans="1:1" x14ac:dyDescent="0.2">
      <c r="A2839" s="52"/>
    </row>
    <row r="2840" spans="1:1" x14ac:dyDescent="0.2">
      <c r="A2840" s="52"/>
    </row>
    <row r="2841" spans="1:1" x14ac:dyDescent="0.2">
      <c r="A2841" s="52"/>
    </row>
    <row r="2842" spans="1:1" x14ac:dyDescent="0.2">
      <c r="A2842" s="52"/>
    </row>
    <row r="2843" spans="1:1" x14ac:dyDescent="0.2">
      <c r="A2843" s="52"/>
    </row>
    <row r="2844" spans="1:1" x14ac:dyDescent="0.2">
      <c r="A2844" s="52"/>
    </row>
    <row r="2845" spans="1:1" x14ac:dyDescent="0.2">
      <c r="A2845" s="52"/>
    </row>
    <row r="2846" spans="1:1" x14ac:dyDescent="0.2">
      <c r="A2846" s="52"/>
    </row>
    <row r="2847" spans="1:1" x14ac:dyDescent="0.2">
      <c r="A2847" s="52"/>
    </row>
    <row r="2848" spans="1:1" x14ac:dyDescent="0.2">
      <c r="A2848" s="52"/>
    </row>
    <row r="2849" spans="1:1" x14ac:dyDescent="0.2">
      <c r="A2849" s="52"/>
    </row>
    <row r="2850" spans="1:1" x14ac:dyDescent="0.2">
      <c r="A2850" s="52"/>
    </row>
    <row r="2851" spans="1:1" x14ac:dyDescent="0.2">
      <c r="A2851" s="52"/>
    </row>
    <row r="2852" spans="1:1" x14ac:dyDescent="0.2">
      <c r="A2852" s="52"/>
    </row>
    <row r="2853" spans="1:1" x14ac:dyDescent="0.2">
      <c r="A2853" s="52"/>
    </row>
    <row r="2854" spans="1:1" x14ac:dyDescent="0.2">
      <c r="A2854" s="52"/>
    </row>
    <row r="2855" spans="1:1" x14ac:dyDescent="0.2">
      <c r="A2855" s="52"/>
    </row>
    <row r="2856" spans="1:1" x14ac:dyDescent="0.2">
      <c r="A2856" s="52"/>
    </row>
    <row r="2857" spans="1:1" x14ac:dyDescent="0.2">
      <c r="A2857" s="52"/>
    </row>
    <row r="2858" spans="1:1" x14ac:dyDescent="0.2">
      <c r="A2858" s="52"/>
    </row>
    <row r="2859" spans="1:1" x14ac:dyDescent="0.2">
      <c r="A2859" s="52"/>
    </row>
    <row r="2860" spans="1:1" x14ac:dyDescent="0.2">
      <c r="A2860" s="52"/>
    </row>
    <row r="2861" spans="1:1" x14ac:dyDescent="0.2">
      <c r="A2861" s="52"/>
    </row>
    <row r="2862" spans="1:1" x14ac:dyDescent="0.2">
      <c r="A2862" s="52"/>
    </row>
    <row r="2863" spans="1:1" x14ac:dyDescent="0.2">
      <c r="A2863" s="52"/>
    </row>
    <row r="2864" spans="1:1" x14ac:dyDescent="0.2">
      <c r="A2864" s="52"/>
    </row>
    <row r="2865" spans="1:1" x14ac:dyDescent="0.2">
      <c r="A2865" s="52"/>
    </row>
    <row r="2866" spans="1:1" x14ac:dyDescent="0.2">
      <c r="A2866" s="52"/>
    </row>
    <row r="2867" spans="1:1" x14ac:dyDescent="0.2">
      <c r="A2867" s="52"/>
    </row>
    <row r="2868" spans="1:1" x14ac:dyDescent="0.2">
      <c r="A2868" s="52"/>
    </row>
    <row r="2869" spans="1:1" x14ac:dyDescent="0.2">
      <c r="A2869" s="52"/>
    </row>
    <row r="2870" spans="1:1" x14ac:dyDescent="0.2">
      <c r="A2870" s="52"/>
    </row>
    <row r="2871" spans="1:1" x14ac:dyDescent="0.2">
      <c r="A2871" s="52"/>
    </row>
    <row r="2872" spans="1:1" x14ac:dyDescent="0.2">
      <c r="A2872" s="52"/>
    </row>
    <row r="2873" spans="1:1" x14ac:dyDescent="0.2">
      <c r="A2873" s="52"/>
    </row>
    <row r="2874" spans="1:1" x14ac:dyDescent="0.2">
      <c r="A2874" s="52"/>
    </row>
    <row r="2875" spans="1:1" x14ac:dyDescent="0.2">
      <c r="A2875" s="52"/>
    </row>
    <row r="2876" spans="1:1" x14ac:dyDescent="0.2">
      <c r="A2876" s="52"/>
    </row>
    <row r="2877" spans="1:1" x14ac:dyDescent="0.2">
      <c r="A2877" s="52"/>
    </row>
    <row r="2878" spans="1:1" x14ac:dyDescent="0.2">
      <c r="A2878" s="52"/>
    </row>
    <row r="2879" spans="1:1" x14ac:dyDescent="0.2">
      <c r="A2879" s="52"/>
    </row>
    <row r="2880" spans="1:1" x14ac:dyDescent="0.2">
      <c r="A2880" s="52"/>
    </row>
    <row r="2881" spans="1:1" x14ac:dyDescent="0.2">
      <c r="A2881" s="52"/>
    </row>
    <row r="2882" spans="1:1" x14ac:dyDescent="0.2">
      <c r="A2882" s="52"/>
    </row>
    <row r="2883" spans="1:1" x14ac:dyDescent="0.2">
      <c r="A2883" s="52"/>
    </row>
    <row r="2884" spans="1:1" x14ac:dyDescent="0.2">
      <c r="A2884" s="52"/>
    </row>
    <row r="2885" spans="1:1" x14ac:dyDescent="0.2">
      <c r="A2885" s="52"/>
    </row>
    <row r="2886" spans="1:1" x14ac:dyDescent="0.2">
      <c r="A2886" s="52"/>
    </row>
    <row r="2887" spans="1:1" x14ac:dyDescent="0.2">
      <c r="A2887" s="52"/>
    </row>
    <row r="2888" spans="1:1" x14ac:dyDescent="0.2">
      <c r="A2888" s="53"/>
    </row>
    <row r="2889" spans="1:1" x14ac:dyDescent="0.2">
      <c r="A2889" s="52"/>
    </row>
    <row r="2890" spans="1:1" x14ac:dyDescent="0.2">
      <c r="A2890" s="52"/>
    </row>
    <row r="2891" spans="1:1" x14ac:dyDescent="0.2">
      <c r="A2891" s="52"/>
    </row>
    <row r="2892" spans="1:1" x14ac:dyDescent="0.2">
      <c r="A2892" s="52"/>
    </row>
    <row r="2893" spans="1:1" x14ac:dyDescent="0.2">
      <c r="A2893" s="52"/>
    </row>
    <row r="2894" spans="1:1" x14ac:dyDescent="0.2">
      <c r="A2894" s="52"/>
    </row>
    <row r="2895" spans="1:1" x14ac:dyDescent="0.2">
      <c r="A2895" s="52"/>
    </row>
    <row r="2896" spans="1:1" x14ac:dyDescent="0.2">
      <c r="A2896" s="52"/>
    </row>
    <row r="2897" spans="1:1" x14ac:dyDescent="0.2">
      <c r="A2897" s="53"/>
    </row>
    <row r="2898" spans="1:1" x14ac:dyDescent="0.2">
      <c r="A2898" s="52"/>
    </row>
    <row r="2899" spans="1:1" x14ac:dyDescent="0.2">
      <c r="A2899" s="52"/>
    </row>
    <row r="2900" spans="1:1" x14ac:dyDescent="0.2">
      <c r="A2900" s="52"/>
    </row>
    <row r="2901" spans="1:1" x14ac:dyDescent="0.2">
      <c r="A2901" s="52"/>
    </row>
    <row r="2902" spans="1:1" x14ac:dyDescent="0.2">
      <c r="A2902" s="52"/>
    </row>
    <row r="2903" spans="1:1" x14ac:dyDescent="0.2">
      <c r="A2903" s="52"/>
    </row>
    <row r="2904" spans="1:1" x14ac:dyDescent="0.2">
      <c r="A2904" s="52"/>
    </row>
    <row r="2905" spans="1:1" x14ac:dyDescent="0.2">
      <c r="A2905" s="53"/>
    </row>
    <row r="2906" spans="1:1" x14ac:dyDescent="0.2">
      <c r="A2906" s="52"/>
    </row>
    <row r="2907" spans="1:1" x14ac:dyDescent="0.2">
      <c r="A2907" s="52"/>
    </row>
    <row r="2908" spans="1:1" x14ac:dyDescent="0.2">
      <c r="A2908" s="52"/>
    </row>
    <row r="2909" spans="1:1" x14ac:dyDescent="0.2">
      <c r="A2909" s="52"/>
    </row>
    <row r="2910" spans="1:1" x14ac:dyDescent="0.2">
      <c r="A2910" s="53"/>
    </row>
    <row r="2911" spans="1:1" x14ac:dyDescent="0.2">
      <c r="A2911" s="52"/>
    </row>
    <row r="2912" spans="1:1" x14ac:dyDescent="0.2">
      <c r="A2912" s="52"/>
    </row>
    <row r="2913" spans="1:1" x14ac:dyDescent="0.2">
      <c r="A2913" s="52"/>
    </row>
    <row r="2914" spans="1:1" x14ac:dyDescent="0.2">
      <c r="A2914" s="52"/>
    </row>
    <row r="2915" spans="1:1" x14ac:dyDescent="0.2">
      <c r="A2915" s="53"/>
    </row>
    <row r="2916" spans="1:1" x14ac:dyDescent="0.2">
      <c r="A2916" s="52"/>
    </row>
    <row r="2917" spans="1:1" x14ac:dyDescent="0.2">
      <c r="A2917" s="52"/>
    </row>
    <row r="2918" spans="1:1" x14ac:dyDescent="0.2">
      <c r="A2918" s="52"/>
    </row>
    <row r="2919" spans="1:1" x14ac:dyDescent="0.2">
      <c r="A2919" s="52"/>
    </row>
    <row r="2920" spans="1:1" x14ac:dyDescent="0.2">
      <c r="A2920" s="52"/>
    </row>
    <row r="2921" spans="1:1" x14ac:dyDescent="0.2">
      <c r="A2921" s="52"/>
    </row>
    <row r="2922" spans="1:1" x14ac:dyDescent="0.2">
      <c r="A2922" s="52"/>
    </row>
    <row r="2923" spans="1:1" x14ac:dyDescent="0.2">
      <c r="A2923" s="52"/>
    </row>
    <row r="2924" spans="1:1" x14ac:dyDescent="0.2">
      <c r="A2924" s="52"/>
    </row>
    <row r="2925" spans="1:1" x14ac:dyDescent="0.2">
      <c r="A2925" s="53"/>
    </row>
    <row r="2926" spans="1:1" x14ac:dyDescent="0.2">
      <c r="A2926" s="52"/>
    </row>
    <row r="2927" spans="1:1" x14ac:dyDescent="0.2">
      <c r="A2927" s="52"/>
    </row>
    <row r="2928" spans="1:1" x14ac:dyDescent="0.2">
      <c r="A2928" s="52"/>
    </row>
    <row r="2929" spans="1:1" x14ac:dyDescent="0.2">
      <c r="A2929" s="53"/>
    </row>
    <row r="2930" spans="1:1" x14ac:dyDescent="0.2">
      <c r="A2930" s="52"/>
    </row>
    <row r="2931" spans="1:1" x14ac:dyDescent="0.2">
      <c r="A2931" s="52"/>
    </row>
    <row r="2932" spans="1:1" x14ac:dyDescent="0.2">
      <c r="A2932" s="52"/>
    </row>
    <row r="2933" spans="1:1" x14ac:dyDescent="0.2">
      <c r="A2933" s="52"/>
    </row>
    <row r="2934" spans="1:1" x14ac:dyDescent="0.2">
      <c r="A2934" s="52"/>
    </row>
    <row r="2935" spans="1:1" x14ac:dyDescent="0.2">
      <c r="A2935" s="52"/>
    </row>
    <row r="2936" spans="1:1" x14ac:dyDescent="0.2">
      <c r="A2936" s="52"/>
    </row>
    <row r="2937" spans="1:1" x14ac:dyDescent="0.2">
      <c r="A2937" s="52"/>
    </row>
    <row r="2938" spans="1:1" x14ac:dyDescent="0.2">
      <c r="A2938" s="52"/>
    </row>
    <row r="2939" spans="1:1" x14ac:dyDescent="0.2">
      <c r="A2939" s="52"/>
    </row>
    <row r="2940" spans="1:1" x14ac:dyDescent="0.2">
      <c r="A2940" s="52"/>
    </row>
    <row r="2941" spans="1:1" x14ac:dyDescent="0.2">
      <c r="A2941" s="52"/>
    </row>
    <row r="2942" spans="1:1" x14ac:dyDescent="0.2">
      <c r="A2942" s="52"/>
    </row>
    <row r="2943" spans="1:1" x14ac:dyDescent="0.2">
      <c r="A2943" s="52"/>
    </row>
    <row r="2944" spans="1:1" x14ac:dyDescent="0.2">
      <c r="A2944" s="52"/>
    </row>
    <row r="2945" spans="1:1" x14ac:dyDescent="0.2">
      <c r="A2945" s="52"/>
    </row>
    <row r="2946" spans="1:1" x14ac:dyDescent="0.2">
      <c r="A2946" s="52"/>
    </row>
    <row r="2947" spans="1:1" x14ac:dyDescent="0.2">
      <c r="A2947" s="52"/>
    </row>
    <row r="2948" spans="1:1" x14ac:dyDescent="0.2">
      <c r="A2948" s="52"/>
    </row>
    <row r="2949" spans="1:1" x14ac:dyDescent="0.2">
      <c r="A2949" s="52"/>
    </row>
    <row r="2950" spans="1:1" x14ac:dyDescent="0.2">
      <c r="A2950" s="52"/>
    </row>
    <row r="2951" spans="1:1" x14ac:dyDescent="0.2">
      <c r="A2951" s="52"/>
    </row>
    <row r="2952" spans="1:1" x14ac:dyDescent="0.2">
      <c r="A2952" s="52"/>
    </row>
    <row r="2953" spans="1:1" x14ac:dyDescent="0.2">
      <c r="A2953" s="52"/>
    </row>
    <row r="2954" spans="1:1" x14ac:dyDescent="0.2">
      <c r="A2954" s="53"/>
    </row>
    <row r="2955" spans="1:1" x14ac:dyDescent="0.2">
      <c r="A2955" s="52"/>
    </row>
    <row r="2956" spans="1:1" x14ac:dyDescent="0.2">
      <c r="A2956" s="52"/>
    </row>
    <row r="2957" spans="1:1" x14ac:dyDescent="0.2">
      <c r="A2957" s="52"/>
    </row>
    <row r="2958" spans="1:1" x14ac:dyDescent="0.2">
      <c r="A2958" s="52"/>
    </row>
    <row r="2959" spans="1:1" x14ac:dyDescent="0.2">
      <c r="A2959" s="52"/>
    </row>
    <row r="2960" spans="1:1" x14ac:dyDescent="0.2">
      <c r="A2960" s="52"/>
    </row>
    <row r="2961" spans="1:1" x14ac:dyDescent="0.2">
      <c r="A2961" s="52"/>
    </row>
    <row r="2962" spans="1:1" x14ac:dyDescent="0.2">
      <c r="A2962" s="52"/>
    </row>
    <row r="2963" spans="1:1" x14ac:dyDescent="0.2">
      <c r="A2963" s="52"/>
    </row>
    <row r="2964" spans="1:1" x14ac:dyDescent="0.2">
      <c r="A2964" s="52"/>
    </row>
    <row r="2965" spans="1:1" x14ac:dyDescent="0.2">
      <c r="A2965" s="52"/>
    </row>
    <row r="2966" spans="1:1" x14ac:dyDescent="0.2">
      <c r="A2966" s="52"/>
    </row>
    <row r="2967" spans="1:1" x14ac:dyDescent="0.2">
      <c r="A2967" s="52"/>
    </row>
    <row r="2968" spans="1:1" x14ac:dyDescent="0.2">
      <c r="A2968" s="52"/>
    </row>
    <row r="2969" spans="1:1" x14ac:dyDescent="0.2">
      <c r="A2969" s="52"/>
    </row>
    <row r="2970" spans="1:1" x14ac:dyDescent="0.2">
      <c r="A2970" s="52"/>
    </row>
    <row r="2971" spans="1:1" x14ac:dyDescent="0.2">
      <c r="A2971" s="52"/>
    </row>
    <row r="2972" spans="1:1" x14ac:dyDescent="0.2">
      <c r="A2972" s="52"/>
    </row>
    <row r="2973" spans="1:1" x14ac:dyDescent="0.2">
      <c r="A2973" s="52"/>
    </row>
    <row r="2974" spans="1:1" x14ac:dyDescent="0.2">
      <c r="A2974" s="53"/>
    </row>
    <row r="2975" spans="1:1" x14ac:dyDescent="0.2">
      <c r="A2975" s="52"/>
    </row>
    <row r="2976" spans="1:1" x14ac:dyDescent="0.2">
      <c r="A2976" s="52"/>
    </row>
    <row r="2977" spans="1:1" x14ac:dyDescent="0.2">
      <c r="A2977" s="52"/>
    </row>
    <row r="2978" spans="1:1" x14ac:dyDescent="0.2">
      <c r="A2978" s="52"/>
    </row>
    <row r="2979" spans="1:1" x14ac:dyDescent="0.2">
      <c r="A2979" s="52"/>
    </row>
    <row r="2980" spans="1:1" x14ac:dyDescent="0.2">
      <c r="A2980" s="52"/>
    </row>
    <row r="2981" spans="1:1" x14ac:dyDescent="0.2">
      <c r="A2981" s="52"/>
    </row>
    <row r="2982" spans="1:1" x14ac:dyDescent="0.2">
      <c r="A2982" s="52"/>
    </row>
    <row r="2983" spans="1:1" x14ac:dyDescent="0.2">
      <c r="A2983" s="52"/>
    </row>
    <row r="2984" spans="1:1" x14ac:dyDescent="0.2">
      <c r="A2984" s="52"/>
    </row>
    <row r="2985" spans="1:1" x14ac:dyDescent="0.2">
      <c r="A2985" s="52"/>
    </row>
    <row r="2986" spans="1:1" x14ac:dyDescent="0.2">
      <c r="A2986" s="52"/>
    </row>
    <row r="2987" spans="1:1" x14ac:dyDescent="0.2">
      <c r="A2987" s="52"/>
    </row>
    <row r="2988" spans="1:1" x14ac:dyDescent="0.2">
      <c r="A2988" s="52"/>
    </row>
    <row r="2989" spans="1:1" x14ac:dyDescent="0.2">
      <c r="A2989" s="52"/>
    </row>
    <row r="2990" spans="1:1" x14ac:dyDescent="0.2">
      <c r="A2990" s="52"/>
    </row>
    <row r="2991" spans="1:1" x14ac:dyDescent="0.2">
      <c r="A2991" s="52"/>
    </row>
    <row r="2992" spans="1:1" x14ac:dyDescent="0.2">
      <c r="A2992" s="52"/>
    </row>
    <row r="2993" spans="1:1" x14ac:dyDescent="0.2">
      <c r="A2993" s="52"/>
    </row>
    <row r="2994" spans="1:1" x14ac:dyDescent="0.2">
      <c r="A2994" s="52"/>
    </row>
    <row r="2995" spans="1:1" x14ac:dyDescent="0.2">
      <c r="A2995" s="52"/>
    </row>
    <row r="2996" spans="1:1" x14ac:dyDescent="0.2">
      <c r="A2996" s="52"/>
    </row>
    <row r="2997" spans="1:1" x14ac:dyDescent="0.2">
      <c r="A2997" s="52"/>
    </row>
    <row r="2998" spans="1:1" x14ac:dyDescent="0.2">
      <c r="A2998" s="52"/>
    </row>
    <row r="2999" spans="1:1" x14ac:dyDescent="0.2">
      <c r="A2999" s="52"/>
    </row>
    <row r="3000" spans="1:1" x14ac:dyDescent="0.2">
      <c r="A3000" s="52"/>
    </row>
    <row r="3001" spans="1:1" x14ac:dyDescent="0.2">
      <c r="A3001" s="52"/>
    </row>
    <row r="3002" spans="1:1" x14ac:dyDescent="0.2">
      <c r="A3002" s="53"/>
    </row>
    <row r="3003" spans="1:1" x14ac:dyDescent="0.2">
      <c r="A3003" s="52"/>
    </row>
    <row r="3004" spans="1:1" x14ac:dyDescent="0.2">
      <c r="A3004" s="52"/>
    </row>
    <row r="3005" spans="1:1" x14ac:dyDescent="0.2">
      <c r="A3005" s="52"/>
    </row>
    <row r="3006" spans="1:1" x14ac:dyDescent="0.2">
      <c r="A3006" s="52"/>
    </row>
    <row r="3007" spans="1:1" x14ac:dyDescent="0.2">
      <c r="A3007" s="52"/>
    </row>
    <row r="3008" spans="1:1" x14ac:dyDescent="0.2">
      <c r="A3008" s="52"/>
    </row>
    <row r="3009" spans="1:1" x14ac:dyDescent="0.2">
      <c r="A3009" s="52"/>
    </row>
    <row r="3010" spans="1:1" x14ac:dyDescent="0.2">
      <c r="A3010" s="52"/>
    </row>
    <row r="3011" spans="1:1" x14ac:dyDescent="0.2">
      <c r="A3011" s="52"/>
    </row>
    <row r="3012" spans="1:1" x14ac:dyDescent="0.2">
      <c r="A3012" s="52"/>
    </row>
    <row r="3013" spans="1:1" x14ac:dyDescent="0.2">
      <c r="A3013" s="52"/>
    </row>
    <row r="3014" spans="1:1" x14ac:dyDescent="0.2">
      <c r="A3014" s="52"/>
    </row>
    <row r="3015" spans="1:1" x14ac:dyDescent="0.2">
      <c r="A3015" s="52"/>
    </row>
    <row r="3016" spans="1:1" x14ac:dyDescent="0.2">
      <c r="A3016" s="52"/>
    </row>
    <row r="3017" spans="1:1" x14ac:dyDescent="0.2">
      <c r="A3017" s="52"/>
    </row>
    <row r="3018" spans="1:1" x14ac:dyDescent="0.2">
      <c r="A3018" s="52"/>
    </row>
    <row r="3019" spans="1:1" x14ac:dyDescent="0.2">
      <c r="A3019" s="52"/>
    </row>
    <row r="3020" spans="1:1" x14ac:dyDescent="0.2">
      <c r="A3020" s="52"/>
    </row>
    <row r="3021" spans="1:1" x14ac:dyDescent="0.2">
      <c r="A3021" s="52"/>
    </row>
    <row r="3022" spans="1:1" x14ac:dyDescent="0.2">
      <c r="A3022" s="52"/>
    </row>
    <row r="3023" spans="1:1" x14ac:dyDescent="0.2">
      <c r="A3023" s="52"/>
    </row>
    <row r="3024" spans="1:1" x14ac:dyDescent="0.2">
      <c r="A3024" s="52"/>
    </row>
    <row r="3025" spans="1:1" x14ac:dyDescent="0.2">
      <c r="A3025" s="52"/>
    </row>
    <row r="3026" spans="1:1" x14ac:dyDescent="0.2">
      <c r="A3026" s="52"/>
    </row>
    <row r="3027" spans="1:1" x14ac:dyDescent="0.2">
      <c r="A3027" s="52"/>
    </row>
    <row r="3028" spans="1:1" x14ac:dyDescent="0.2">
      <c r="A3028" s="52"/>
    </row>
    <row r="3029" spans="1:1" x14ac:dyDescent="0.2">
      <c r="A3029" s="52"/>
    </row>
    <row r="3030" spans="1:1" x14ac:dyDescent="0.2">
      <c r="A3030" s="52"/>
    </row>
    <row r="3031" spans="1:1" x14ac:dyDescent="0.2">
      <c r="A3031" s="52"/>
    </row>
    <row r="3032" spans="1:1" x14ac:dyDescent="0.2">
      <c r="A3032" s="52"/>
    </row>
    <row r="3033" spans="1:1" x14ac:dyDescent="0.2">
      <c r="A3033" s="52"/>
    </row>
    <row r="3034" spans="1:1" x14ac:dyDescent="0.2">
      <c r="A3034" s="52"/>
    </row>
    <row r="3035" spans="1:1" x14ac:dyDescent="0.2">
      <c r="A3035" s="52"/>
    </row>
    <row r="3036" spans="1:1" x14ac:dyDescent="0.2">
      <c r="A3036" s="52"/>
    </row>
    <row r="3037" spans="1:1" x14ac:dyDescent="0.2">
      <c r="A3037" s="52"/>
    </row>
    <row r="3038" spans="1:1" x14ac:dyDescent="0.2">
      <c r="A3038" s="52"/>
    </row>
    <row r="3039" spans="1:1" x14ac:dyDescent="0.2">
      <c r="A3039" s="52"/>
    </row>
    <row r="3040" spans="1:1" x14ac:dyDescent="0.2">
      <c r="A3040" s="52"/>
    </row>
    <row r="3041" spans="1:1" x14ac:dyDescent="0.2">
      <c r="A3041" s="52"/>
    </row>
    <row r="3042" spans="1:1" x14ac:dyDescent="0.2">
      <c r="A3042" s="52"/>
    </row>
    <row r="3043" spans="1:1" x14ac:dyDescent="0.2">
      <c r="A3043" s="52"/>
    </row>
    <row r="3044" spans="1:1" x14ac:dyDescent="0.2">
      <c r="A3044" s="52"/>
    </row>
    <row r="3045" spans="1:1" x14ac:dyDescent="0.2">
      <c r="A3045" s="52"/>
    </row>
    <row r="3046" spans="1:1" x14ac:dyDescent="0.2">
      <c r="A3046" s="53"/>
    </row>
    <row r="3047" spans="1:1" x14ac:dyDescent="0.2">
      <c r="A3047" s="53"/>
    </row>
    <row r="3048" spans="1:1" x14ac:dyDescent="0.2">
      <c r="A3048" s="53"/>
    </row>
    <row r="3049" spans="1:1" x14ac:dyDescent="0.2">
      <c r="A3049" s="52"/>
    </row>
    <row r="3050" spans="1:1" x14ac:dyDescent="0.2">
      <c r="A3050" s="53"/>
    </row>
    <row r="3051" spans="1:1" x14ac:dyDescent="0.2">
      <c r="A3051" s="53"/>
    </row>
    <row r="3052" spans="1:1" x14ac:dyDescent="0.2">
      <c r="A3052" s="52"/>
    </row>
    <row r="3053" spans="1:1" x14ac:dyDescent="0.2">
      <c r="A3053" s="52"/>
    </row>
    <row r="3054" spans="1:1" x14ac:dyDescent="0.2">
      <c r="A3054" s="52"/>
    </row>
    <row r="3055" spans="1:1" x14ac:dyDescent="0.2">
      <c r="A3055" s="52"/>
    </row>
    <row r="3056" spans="1:1" x14ac:dyDescent="0.2">
      <c r="A3056" s="52"/>
    </row>
    <row r="3057" spans="1:1" x14ac:dyDescent="0.2">
      <c r="A3057" s="52"/>
    </row>
    <row r="3058" spans="1:1" x14ac:dyDescent="0.2">
      <c r="A3058" s="52"/>
    </row>
    <row r="3059" spans="1:1" x14ac:dyDescent="0.2">
      <c r="A3059" s="52"/>
    </row>
    <row r="3060" spans="1:1" x14ac:dyDescent="0.2">
      <c r="A3060" s="52"/>
    </row>
    <row r="3061" spans="1:1" x14ac:dyDescent="0.2">
      <c r="A3061" s="52"/>
    </row>
    <row r="3062" spans="1:1" x14ac:dyDescent="0.2">
      <c r="A3062" s="52"/>
    </row>
    <row r="3063" spans="1:1" x14ac:dyDescent="0.2">
      <c r="A3063" s="52"/>
    </row>
    <row r="3064" spans="1:1" x14ac:dyDescent="0.2">
      <c r="A3064" s="52"/>
    </row>
    <row r="3065" spans="1:1" x14ac:dyDescent="0.2">
      <c r="A3065" s="52"/>
    </row>
    <row r="3066" spans="1:1" x14ac:dyDescent="0.2">
      <c r="A3066" s="52"/>
    </row>
    <row r="3067" spans="1:1" x14ac:dyDescent="0.2">
      <c r="A3067" s="52"/>
    </row>
    <row r="3068" spans="1:1" x14ac:dyDescent="0.2">
      <c r="A3068" s="52"/>
    </row>
    <row r="3069" spans="1:1" x14ac:dyDescent="0.2">
      <c r="A3069" s="52"/>
    </row>
    <row r="3070" spans="1:1" x14ac:dyDescent="0.2">
      <c r="A3070" s="52"/>
    </row>
    <row r="3071" spans="1:1" x14ac:dyDescent="0.2">
      <c r="A3071" s="52"/>
    </row>
    <row r="3072" spans="1:1" x14ac:dyDescent="0.2">
      <c r="A3072" s="52"/>
    </row>
    <row r="3073" spans="1:1" x14ac:dyDescent="0.2">
      <c r="A3073" s="52"/>
    </row>
    <row r="3074" spans="1:1" x14ac:dyDescent="0.2">
      <c r="A3074" s="52"/>
    </row>
    <row r="3075" spans="1:1" x14ac:dyDescent="0.2">
      <c r="A3075" s="52"/>
    </row>
    <row r="3076" spans="1:1" x14ac:dyDescent="0.2">
      <c r="A3076" s="53"/>
    </row>
    <row r="3077" spans="1:1" x14ac:dyDescent="0.2">
      <c r="A3077" s="52"/>
    </row>
    <row r="3078" spans="1:1" x14ac:dyDescent="0.2">
      <c r="A3078" s="52"/>
    </row>
    <row r="3079" spans="1:1" x14ac:dyDescent="0.2">
      <c r="A3079" s="52"/>
    </row>
    <row r="3080" spans="1:1" x14ac:dyDescent="0.2">
      <c r="A3080" s="52"/>
    </row>
    <row r="3081" spans="1:1" x14ac:dyDescent="0.2">
      <c r="A3081" s="52"/>
    </row>
    <row r="3082" spans="1:1" x14ac:dyDescent="0.2">
      <c r="A3082" s="52"/>
    </row>
    <row r="3083" spans="1:1" x14ac:dyDescent="0.2">
      <c r="A3083" s="52"/>
    </row>
    <row r="3084" spans="1:1" x14ac:dyDescent="0.2">
      <c r="A3084" s="52"/>
    </row>
    <row r="3085" spans="1:1" x14ac:dyDescent="0.2">
      <c r="A3085" s="52"/>
    </row>
    <row r="3086" spans="1:1" x14ac:dyDescent="0.2">
      <c r="A3086" s="52"/>
    </row>
    <row r="3087" spans="1:1" x14ac:dyDescent="0.2">
      <c r="A3087" s="52"/>
    </row>
    <row r="3088" spans="1:1" x14ac:dyDescent="0.2">
      <c r="A3088" s="52"/>
    </row>
    <row r="3089" spans="1:1" x14ac:dyDescent="0.2">
      <c r="A3089" s="52"/>
    </row>
    <row r="3090" spans="1:1" x14ac:dyDescent="0.2">
      <c r="A3090" s="52"/>
    </row>
    <row r="3091" spans="1:1" x14ac:dyDescent="0.2">
      <c r="A3091" s="52"/>
    </row>
    <row r="3092" spans="1:1" x14ac:dyDescent="0.2">
      <c r="A3092" s="52"/>
    </row>
    <row r="3093" spans="1:1" x14ac:dyDescent="0.2">
      <c r="A3093" s="52"/>
    </row>
    <row r="3094" spans="1:1" x14ac:dyDescent="0.2">
      <c r="A3094" s="52"/>
    </row>
    <row r="3095" spans="1:1" x14ac:dyDescent="0.2">
      <c r="A3095" s="52"/>
    </row>
    <row r="3096" spans="1:1" x14ac:dyDescent="0.2">
      <c r="A3096" s="52"/>
    </row>
    <row r="3097" spans="1:1" x14ac:dyDescent="0.2">
      <c r="A3097" s="52"/>
    </row>
    <row r="3098" spans="1:1" x14ac:dyDescent="0.2">
      <c r="A3098" s="52"/>
    </row>
    <row r="3099" spans="1:1" x14ac:dyDescent="0.2">
      <c r="A3099" s="52"/>
    </row>
    <row r="3100" spans="1:1" x14ac:dyDescent="0.2">
      <c r="A3100" s="52"/>
    </row>
    <row r="3101" spans="1:1" x14ac:dyDescent="0.2">
      <c r="A3101" s="52"/>
    </row>
    <row r="3102" spans="1:1" x14ac:dyDescent="0.2">
      <c r="A3102" s="52"/>
    </row>
    <row r="3103" spans="1:1" x14ac:dyDescent="0.2">
      <c r="A3103" s="52"/>
    </row>
    <row r="3104" spans="1:1" x14ac:dyDescent="0.2">
      <c r="A3104" s="52"/>
    </row>
    <row r="3105" spans="1:1" x14ac:dyDescent="0.2">
      <c r="A3105" s="53"/>
    </row>
    <row r="3106" spans="1:1" x14ac:dyDescent="0.2">
      <c r="A3106" s="52"/>
    </row>
    <row r="3107" spans="1:1" x14ac:dyDescent="0.2">
      <c r="A3107" s="52"/>
    </row>
    <row r="3108" spans="1:1" x14ac:dyDescent="0.2">
      <c r="A3108" s="52"/>
    </row>
    <row r="3109" spans="1:1" x14ac:dyDescent="0.2">
      <c r="A3109" s="52"/>
    </row>
    <row r="3110" spans="1:1" x14ac:dyDescent="0.2">
      <c r="A3110" s="52"/>
    </row>
    <row r="3111" spans="1:1" x14ac:dyDescent="0.2">
      <c r="A3111" s="52"/>
    </row>
    <row r="3112" spans="1:1" x14ac:dyDescent="0.2">
      <c r="A3112" s="52"/>
    </row>
    <row r="3113" spans="1:1" x14ac:dyDescent="0.2">
      <c r="A3113" s="52"/>
    </row>
    <row r="3114" spans="1:1" x14ac:dyDescent="0.2">
      <c r="A3114" s="52"/>
    </row>
    <row r="3115" spans="1:1" x14ac:dyDescent="0.2">
      <c r="A3115" s="52"/>
    </row>
    <row r="3116" spans="1:1" x14ac:dyDescent="0.2">
      <c r="A3116" s="52"/>
    </row>
    <row r="3117" spans="1:1" x14ac:dyDescent="0.2">
      <c r="A3117" s="52"/>
    </row>
    <row r="3118" spans="1:1" x14ac:dyDescent="0.2">
      <c r="A3118" s="52"/>
    </row>
    <row r="3119" spans="1:1" x14ac:dyDescent="0.2">
      <c r="A3119" s="52"/>
    </row>
    <row r="3120" spans="1:1" x14ac:dyDescent="0.2">
      <c r="A3120" s="52"/>
    </row>
    <row r="3121" spans="1:1" x14ac:dyDescent="0.2">
      <c r="A3121" s="52"/>
    </row>
    <row r="3122" spans="1:1" x14ac:dyDescent="0.2">
      <c r="A3122" s="52"/>
    </row>
    <row r="3123" spans="1:1" x14ac:dyDescent="0.2">
      <c r="A3123" s="52"/>
    </row>
    <row r="3124" spans="1:1" x14ac:dyDescent="0.2">
      <c r="A3124" s="52"/>
    </row>
    <row r="3125" spans="1:1" x14ac:dyDescent="0.2">
      <c r="A3125" s="52"/>
    </row>
    <row r="3126" spans="1:1" x14ac:dyDescent="0.2">
      <c r="A3126" s="52"/>
    </row>
    <row r="3127" spans="1:1" x14ac:dyDescent="0.2">
      <c r="A3127" s="53"/>
    </row>
    <row r="3128" spans="1:1" x14ac:dyDescent="0.2">
      <c r="A3128" s="52"/>
    </row>
    <row r="3129" spans="1:1" x14ac:dyDescent="0.2">
      <c r="A3129" s="52"/>
    </row>
    <row r="3130" spans="1:1" x14ac:dyDescent="0.2">
      <c r="A3130" s="53"/>
    </row>
    <row r="3131" spans="1:1" x14ac:dyDescent="0.2">
      <c r="A3131" s="52"/>
    </row>
    <row r="3132" spans="1:1" x14ac:dyDescent="0.2">
      <c r="A3132" s="52"/>
    </row>
    <row r="3133" spans="1:1" x14ac:dyDescent="0.2">
      <c r="A3133" s="52"/>
    </row>
    <row r="3134" spans="1:1" x14ac:dyDescent="0.2">
      <c r="A3134" s="52"/>
    </row>
    <row r="3135" spans="1:1" x14ac:dyDescent="0.2">
      <c r="A3135" s="52"/>
    </row>
    <row r="3136" spans="1:1" x14ac:dyDescent="0.2">
      <c r="A3136" s="52"/>
    </row>
    <row r="3137" spans="1:1" x14ac:dyDescent="0.2">
      <c r="A3137" s="52"/>
    </row>
    <row r="3138" spans="1:1" x14ac:dyDescent="0.2">
      <c r="A3138" s="52"/>
    </row>
    <row r="3139" spans="1:1" x14ac:dyDescent="0.2">
      <c r="A3139" s="52"/>
    </row>
    <row r="3140" spans="1:1" x14ac:dyDescent="0.2">
      <c r="A3140" s="52"/>
    </row>
    <row r="3141" spans="1:1" x14ac:dyDescent="0.2">
      <c r="A3141" s="52"/>
    </row>
    <row r="3142" spans="1:1" x14ac:dyDescent="0.2">
      <c r="A3142" s="52"/>
    </row>
    <row r="3143" spans="1:1" x14ac:dyDescent="0.2">
      <c r="A3143" s="52"/>
    </row>
    <row r="3144" spans="1:1" x14ac:dyDescent="0.2">
      <c r="A3144" s="52"/>
    </row>
    <row r="3145" spans="1:1" x14ac:dyDescent="0.2">
      <c r="A3145" s="52"/>
    </row>
    <row r="3146" spans="1:1" x14ac:dyDescent="0.2">
      <c r="A3146" s="52"/>
    </row>
    <row r="3147" spans="1:1" x14ac:dyDescent="0.2">
      <c r="A3147" s="52"/>
    </row>
    <row r="3148" spans="1:1" x14ac:dyDescent="0.2">
      <c r="A3148" s="52"/>
    </row>
    <row r="3149" spans="1:1" x14ac:dyDescent="0.2">
      <c r="A3149" s="52"/>
    </row>
    <row r="3150" spans="1:1" x14ac:dyDescent="0.2">
      <c r="A3150" s="52"/>
    </row>
    <row r="3151" spans="1:1" x14ac:dyDescent="0.2">
      <c r="A3151" s="52"/>
    </row>
    <row r="3152" spans="1:1" x14ac:dyDescent="0.2">
      <c r="A3152" s="52"/>
    </row>
    <row r="3153" spans="1:1" x14ac:dyDescent="0.2">
      <c r="A3153" s="52"/>
    </row>
    <row r="3154" spans="1:1" x14ac:dyDescent="0.2">
      <c r="A3154" s="52"/>
    </row>
    <row r="3155" spans="1:1" x14ac:dyDescent="0.2">
      <c r="A3155" s="52"/>
    </row>
    <row r="3156" spans="1:1" x14ac:dyDescent="0.2">
      <c r="A3156" s="52"/>
    </row>
    <row r="3157" spans="1:1" x14ac:dyDescent="0.2">
      <c r="A3157" s="52"/>
    </row>
    <row r="3158" spans="1:1" x14ac:dyDescent="0.2">
      <c r="A3158" s="52"/>
    </row>
    <row r="3159" spans="1:1" x14ac:dyDescent="0.2">
      <c r="A3159" s="52"/>
    </row>
    <row r="3160" spans="1:1" x14ac:dyDescent="0.2">
      <c r="A3160" s="52"/>
    </row>
    <row r="3161" spans="1:1" x14ac:dyDescent="0.2">
      <c r="A3161" s="52"/>
    </row>
    <row r="3162" spans="1:1" x14ac:dyDescent="0.2">
      <c r="A3162" s="52"/>
    </row>
    <row r="3163" spans="1:1" x14ac:dyDescent="0.2">
      <c r="A3163" s="52"/>
    </row>
    <row r="3164" spans="1:1" x14ac:dyDescent="0.2">
      <c r="A3164" s="52"/>
    </row>
    <row r="3165" spans="1:1" x14ac:dyDescent="0.2">
      <c r="A3165" s="52"/>
    </row>
    <row r="3166" spans="1:1" x14ac:dyDescent="0.2">
      <c r="A3166" s="52"/>
    </row>
    <row r="3167" spans="1:1" x14ac:dyDescent="0.2">
      <c r="A3167" s="53"/>
    </row>
    <row r="3168" spans="1:1" x14ac:dyDescent="0.2">
      <c r="A3168" s="52"/>
    </row>
    <row r="3169" spans="1:1" x14ac:dyDescent="0.2">
      <c r="A3169" s="52"/>
    </row>
    <row r="3170" spans="1:1" x14ac:dyDescent="0.2">
      <c r="A3170" s="52"/>
    </row>
    <row r="3171" spans="1:1" x14ac:dyDescent="0.2">
      <c r="A3171" s="53"/>
    </row>
    <row r="3172" spans="1:1" x14ac:dyDescent="0.2">
      <c r="A3172" s="52"/>
    </row>
    <row r="3173" spans="1:1" x14ac:dyDescent="0.2">
      <c r="A3173" s="52"/>
    </row>
    <row r="3174" spans="1:1" x14ac:dyDescent="0.2">
      <c r="A3174" s="52"/>
    </row>
    <row r="3175" spans="1:1" x14ac:dyDescent="0.2">
      <c r="A3175" s="52"/>
    </row>
    <row r="3176" spans="1:1" x14ac:dyDescent="0.2">
      <c r="A3176" s="52"/>
    </row>
    <row r="3177" spans="1:1" x14ac:dyDescent="0.2">
      <c r="A3177" s="52"/>
    </row>
    <row r="3178" spans="1:1" x14ac:dyDescent="0.2">
      <c r="A3178" s="52"/>
    </row>
    <row r="3179" spans="1:1" x14ac:dyDescent="0.2">
      <c r="A3179" s="52"/>
    </row>
    <row r="3180" spans="1:1" x14ac:dyDescent="0.2">
      <c r="A3180" s="52"/>
    </row>
    <row r="3181" spans="1:1" x14ac:dyDescent="0.2">
      <c r="A3181" s="52"/>
    </row>
    <row r="3182" spans="1:1" x14ac:dyDescent="0.2">
      <c r="A3182" s="52"/>
    </row>
    <row r="3183" spans="1:1" x14ac:dyDescent="0.2">
      <c r="A3183" s="52"/>
    </row>
    <row r="3184" spans="1:1" x14ac:dyDescent="0.2">
      <c r="A3184" s="53"/>
    </row>
    <row r="3185" spans="1:1" x14ac:dyDescent="0.2">
      <c r="A3185" s="52"/>
    </row>
    <row r="3186" spans="1:1" x14ac:dyDescent="0.2">
      <c r="A3186" s="52"/>
    </row>
    <row r="3187" spans="1:1" x14ac:dyDescent="0.2">
      <c r="A3187" s="52"/>
    </row>
    <row r="3188" spans="1:1" x14ac:dyDescent="0.2">
      <c r="A3188" s="52"/>
    </row>
    <row r="3189" spans="1:1" x14ac:dyDescent="0.2">
      <c r="A3189" s="52"/>
    </row>
    <row r="3190" spans="1:1" x14ac:dyDescent="0.2">
      <c r="A3190" s="52"/>
    </row>
    <row r="3191" spans="1:1" x14ac:dyDescent="0.2">
      <c r="A3191" s="53"/>
    </row>
    <row r="3192" spans="1:1" x14ac:dyDescent="0.2">
      <c r="A3192" s="52"/>
    </row>
    <row r="3193" spans="1:1" x14ac:dyDescent="0.2">
      <c r="A3193" s="52"/>
    </row>
    <row r="3194" spans="1:1" x14ac:dyDescent="0.2">
      <c r="A3194" s="53"/>
    </row>
    <row r="3195" spans="1:1" x14ac:dyDescent="0.2">
      <c r="A3195" s="52"/>
    </row>
    <row r="3196" spans="1:1" x14ac:dyDescent="0.2">
      <c r="A3196" s="52"/>
    </row>
    <row r="3197" spans="1:1" x14ac:dyDescent="0.2">
      <c r="A3197" s="52"/>
    </row>
    <row r="3198" spans="1:1" x14ac:dyDescent="0.2">
      <c r="A3198" s="52"/>
    </row>
    <row r="3199" spans="1:1" x14ac:dyDescent="0.2">
      <c r="A3199" s="52"/>
    </row>
    <row r="3200" spans="1:1" x14ac:dyDescent="0.2">
      <c r="A3200" s="52"/>
    </row>
    <row r="3201" spans="1:1" x14ac:dyDescent="0.2">
      <c r="A3201" s="52"/>
    </row>
    <row r="3202" spans="1:1" x14ac:dyDescent="0.2">
      <c r="A3202" s="53"/>
    </row>
    <row r="3203" spans="1:1" x14ac:dyDescent="0.2">
      <c r="A3203" s="52"/>
    </row>
    <row r="3204" spans="1:1" x14ac:dyDescent="0.2">
      <c r="A3204" s="52"/>
    </row>
    <row r="3205" spans="1:1" x14ac:dyDescent="0.2">
      <c r="A3205" s="52"/>
    </row>
    <row r="3206" spans="1:1" x14ac:dyDescent="0.2">
      <c r="A3206" s="53"/>
    </row>
    <row r="3207" spans="1:1" x14ac:dyDescent="0.2">
      <c r="A3207" s="52"/>
    </row>
    <row r="3208" spans="1:1" x14ac:dyDescent="0.2">
      <c r="A3208" s="52"/>
    </row>
    <row r="3209" spans="1:1" x14ac:dyDescent="0.2">
      <c r="A3209" s="53"/>
    </row>
    <row r="3210" spans="1:1" x14ac:dyDescent="0.2">
      <c r="A3210" s="52"/>
    </row>
    <row r="3211" spans="1:1" x14ac:dyDescent="0.2">
      <c r="A3211" s="52"/>
    </row>
    <row r="3212" spans="1:1" x14ac:dyDescent="0.2">
      <c r="A3212" s="53"/>
    </row>
    <row r="3213" spans="1:1" x14ac:dyDescent="0.2">
      <c r="A3213" s="52"/>
    </row>
    <row r="3214" spans="1:1" x14ac:dyDescent="0.2">
      <c r="A3214" s="52"/>
    </row>
    <row r="3215" spans="1:1" x14ac:dyDescent="0.2">
      <c r="A3215" s="52"/>
    </row>
    <row r="3216" spans="1:1" x14ac:dyDescent="0.2">
      <c r="A3216" s="52"/>
    </row>
    <row r="3217" spans="1:1" x14ac:dyDescent="0.2">
      <c r="A3217" s="52"/>
    </row>
    <row r="3218" spans="1:1" x14ac:dyDescent="0.2">
      <c r="A3218" s="52"/>
    </row>
    <row r="3219" spans="1:1" x14ac:dyDescent="0.2">
      <c r="A3219" s="52"/>
    </row>
    <row r="3220" spans="1:1" x14ac:dyDescent="0.2">
      <c r="A3220" s="52"/>
    </row>
    <row r="3221" spans="1:1" x14ac:dyDescent="0.2">
      <c r="A3221" s="52"/>
    </row>
    <row r="3222" spans="1:1" x14ac:dyDescent="0.2">
      <c r="A3222" s="52"/>
    </row>
    <row r="3223" spans="1:1" x14ac:dyDescent="0.2">
      <c r="A3223" s="52"/>
    </row>
    <row r="3224" spans="1:1" x14ac:dyDescent="0.2">
      <c r="A3224" s="52"/>
    </row>
    <row r="3225" spans="1:1" x14ac:dyDescent="0.2">
      <c r="A3225" s="52"/>
    </row>
    <row r="3226" spans="1:1" x14ac:dyDescent="0.2">
      <c r="A3226" s="52"/>
    </row>
    <row r="3227" spans="1:1" x14ac:dyDescent="0.2">
      <c r="A3227" s="52"/>
    </row>
    <row r="3228" spans="1:1" x14ac:dyDescent="0.2">
      <c r="A3228" s="52"/>
    </row>
    <row r="3229" spans="1:1" x14ac:dyDescent="0.2">
      <c r="A3229" s="52"/>
    </row>
    <row r="3230" spans="1:1" x14ac:dyDescent="0.2">
      <c r="A3230" s="52"/>
    </row>
    <row r="3231" spans="1:1" x14ac:dyDescent="0.2">
      <c r="A3231" s="52"/>
    </row>
    <row r="3232" spans="1:1" x14ac:dyDescent="0.2">
      <c r="A3232" s="53"/>
    </row>
    <row r="3233" spans="1:1" x14ac:dyDescent="0.2">
      <c r="A3233" s="52"/>
    </row>
    <row r="3234" spans="1:1" x14ac:dyDescent="0.2">
      <c r="A3234" s="52"/>
    </row>
    <row r="3235" spans="1:1" x14ac:dyDescent="0.2">
      <c r="A3235" s="52"/>
    </row>
    <row r="3236" spans="1:1" x14ac:dyDescent="0.2">
      <c r="A3236" s="52"/>
    </row>
    <row r="3237" spans="1:1" x14ac:dyDescent="0.2">
      <c r="A3237" s="52"/>
    </row>
    <row r="3238" spans="1:1" x14ac:dyDescent="0.2">
      <c r="A3238" s="52"/>
    </row>
    <row r="3239" spans="1:1" x14ac:dyDescent="0.2">
      <c r="A3239" s="52"/>
    </row>
    <row r="3240" spans="1:1" x14ac:dyDescent="0.2">
      <c r="A3240" s="52"/>
    </row>
    <row r="3241" spans="1:1" x14ac:dyDescent="0.2">
      <c r="A3241" s="52"/>
    </row>
    <row r="3242" spans="1:1" x14ac:dyDescent="0.2">
      <c r="A3242" s="52"/>
    </row>
    <row r="3243" spans="1:1" x14ac:dyDescent="0.2">
      <c r="A3243" s="52"/>
    </row>
    <row r="3244" spans="1:1" x14ac:dyDescent="0.2">
      <c r="A3244" s="52"/>
    </row>
    <row r="3245" spans="1:1" x14ac:dyDescent="0.2">
      <c r="A3245" s="52"/>
    </row>
    <row r="3246" spans="1:1" x14ac:dyDescent="0.2">
      <c r="A3246" s="52"/>
    </row>
    <row r="3247" spans="1:1" x14ac:dyDescent="0.2">
      <c r="A3247" s="52"/>
    </row>
    <row r="3248" spans="1:1" x14ac:dyDescent="0.2">
      <c r="A3248" s="52"/>
    </row>
    <row r="3249" spans="1:1" x14ac:dyDescent="0.2">
      <c r="A3249" s="52"/>
    </row>
    <row r="3250" spans="1:1" x14ac:dyDescent="0.2">
      <c r="A3250" s="52"/>
    </row>
    <row r="3251" spans="1:1" x14ac:dyDescent="0.2">
      <c r="A3251" s="52"/>
    </row>
    <row r="3252" spans="1:1" x14ac:dyDescent="0.2">
      <c r="A3252" s="52"/>
    </row>
    <row r="3253" spans="1:1" x14ac:dyDescent="0.2">
      <c r="A3253" s="52"/>
    </row>
    <row r="3254" spans="1:1" x14ac:dyDescent="0.2">
      <c r="A3254" s="52"/>
    </row>
    <row r="3255" spans="1:1" x14ac:dyDescent="0.2">
      <c r="A3255" s="52"/>
    </row>
    <row r="3256" spans="1:1" x14ac:dyDescent="0.2">
      <c r="A3256" s="52"/>
    </row>
    <row r="3257" spans="1:1" x14ac:dyDescent="0.2">
      <c r="A3257" s="52"/>
    </row>
    <row r="3258" spans="1:1" x14ac:dyDescent="0.2">
      <c r="A3258" s="52"/>
    </row>
    <row r="3259" spans="1:1" x14ac:dyDescent="0.2">
      <c r="A3259" s="52"/>
    </row>
    <row r="3260" spans="1:1" x14ac:dyDescent="0.2">
      <c r="A3260" s="52"/>
    </row>
    <row r="3261" spans="1:1" x14ac:dyDescent="0.2">
      <c r="A3261" s="52"/>
    </row>
    <row r="3262" spans="1:1" x14ac:dyDescent="0.2">
      <c r="A3262" s="52"/>
    </row>
    <row r="3263" spans="1:1" x14ac:dyDescent="0.2">
      <c r="A3263" s="52"/>
    </row>
    <row r="3264" spans="1:1" x14ac:dyDescent="0.2">
      <c r="A3264" s="52"/>
    </row>
    <row r="3265" spans="1:1" x14ac:dyDescent="0.2">
      <c r="A3265" s="52"/>
    </row>
    <row r="3266" spans="1:1" x14ac:dyDescent="0.2">
      <c r="A3266" s="52"/>
    </row>
    <row r="3267" spans="1:1" x14ac:dyDescent="0.2">
      <c r="A3267" s="52"/>
    </row>
    <row r="3268" spans="1:1" x14ac:dyDescent="0.2">
      <c r="A3268" s="52"/>
    </row>
    <row r="3269" spans="1:1" x14ac:dyDescent="0.2">
      <c r="A3269" s="52"/>
    </row>
    <row r="3270" spans="1:1" x14ac:dyDescent="0.2">
      <c r="A3270" s="52"/>
    </row>
    <row r="3271" spans="1:1" x14ac:dyDescent="0.2">
      <c r="A3271" s="53"/>
    </row>
    <row r="3272" spans="1:1" x14ac:dyDescent="0.2">
      <c r="A3272" s="52"/>
    </row>
    <row r="3273" spans="1:1" x14ac:dyDescent="0.2">
      <c r="A3273" s="52"/>
    </row>
    <row r="3274" spans="1:1" x14ac:dyDescent="0.2">
      <c r="A3274" s="52"/>
    </row>
    <row r="3275" spans="1:1" x14ac:dyDescent="0.2">
      <c r="A3275" s="52"/>
    </row>
    <row r="3276" spans="1:1" x14ac:dyDescent="0.2">
      <c r="A3276" s="52"/>
    </row>
    <row r="3277" spans="1:1" x14ac:dyDescent="0.2">
      <c r="A3277" s="52"/>
    </row>
    <row r="3278" spans="1:1" x14ac:dyDescent="0.2">
      <c r="A3278" s="52"/>
    </row>
    <row r="3279" spans="1:1" x14ac:dyDescent="0.2">
      <c r="A3279" s="52"/>
    </row>
    <row r="3280" spans="1:1" x14ac:dyDescent="0.2">
      <c r="A3280" s="52"/>
    </row>
    <row r="3281" spans="1:1" x14ac:dyDescent="0.2">
      <c r="A3281" s="52"/>
    </row>
    <row r="3282" spans="1:1" x14ac:dyDescent="0.2">
      <c r="A3282" s="52"/>
    </row>
    <row r="3283" spans="1:1" x14ac:dyDescent="0.2">
      <c r="A3283" s="53"/>
    </row>
    <row r="3284" spans="1:1" x14ac:dyDescent="0.2">
      <c r="A3284" s="52"/>
    </row>
    <row r="3285" spans="1:1" x14ac:dyDescent="0.2">
      <c r="A3285" s="52"/>
    </row>
    <row r="3286" spans="1:1" x14ac:dyDescent="0.2">
      <c r="A3286" s="52"/>
    </row>
    <row r="3287" spans="1:1" x14ac:dyDescent="0.2">
      <c r="A3287" s="52"/>
    </row>
    <row r="3288" spans="1:1" x14ac:dyDescent="0.2">
      <c r="A3288" s="52"/>
    </row>
    <row r="3289" spans="1:1" x14ac:dyDescent="0.2">
      <c r="A3289" s="52"/>
    </row>
    <row r="3290" spans="1:1" x14ac:dyDescent="0.2">
      <c r="A3290" s="52"/>
    </row>
    <row r="3291" spans="1:1" x14ac:dyDescent="0.2">
      <c r="A3291" s="52"/>
    </row>
    <row r="3292" spans="1:1" x14ac:dyDescent="0.2">
      <c r="A3292" s="52"/>
    </row>
    <row r="3293" spans="1:1" x14ac:dyDescent="0.2">
      <c r="A3293" s="52"/>
    </row>
    <row r="3294" spans="1:1" x14ac:dyDescent="0.2">
      <c r="A3294" s="52"/>
    </row>
    <row r="3295" spans="1:1" x14ac:dyDescent="0.2">
      <c r="A3295" s="52"/>
    </row>
    <row r="3296" spans="1:1" x14ac:dyDescent="0.2">
      <c r="A3296" s="52"/>
    </row>
    <row r="3297" spans="1:1" x14ac:dyDescent="0.2">
      <c r="A3297" s="52"/>
    </row>
    <row r="3298" spans="1:1" x14ac:dyDescent="0.2">
      <c r="A3298" s="52"/>
    </row>
    <row r="3299" spans="1:1" x14ac:dyDescent="0.2">
      <c r="A3299" s="52"/>
    </row>
    <row r="3300" spans="1:1" x14ac:dyDescent="0.2">
      <c r="A3300" s="52"/>
    </row>
    <row r="3301" spans="1:1" x14ac:dyDescent="0.2">
      <c r="A3301" s="53"/>
    </row>
    <row r="3302" spans="1:1" x14ac:dyDescent="0.2">
      <c r="A3302" s="52"/>
    </row>
    <row r="3303" spans="1:1" x14ac:dyDescent="0.2">
      <c r="A3303" s="52"/>
    </row>
    <row r="3304" spans="1:1" x14ac:dyDescent="0.2">
      <c r="A3304" s="53"/>
    </row>
    <row r="3305" spans="1:1" x14ac:dyDescent="0.2">
      <c r="A3305" s="52"/>
    </row>
    <row r="3306" spans="1:1" x14ac:dyDescent="0.2">
      <c r="A3306" s="52"/>
    </row>
    <row r="3307" spans="1:1" x14ac:dyDescent="0.2">
      <c r="A3307" s="53"/>
    </row>
    <row r="3308" spans="1:1" x14ac:dyDescent="0.2">
      <c r="A3308" s="52"/>
    </row>
    <row r="3309" spans="1:1" x14ac:dyDescent="0.2">
      <c r="A3309" s="52"/>
    </row>
    <row r="3310" spans="1:1" x14ac:dyDescent="0.2">
      <c r="A3310" s="52"/>
    </row>
    <row r="3311" spans="1:1" x14ac:dyDescent="0.2">
      <c r="A3311" s="52"/>
    </row>
    <row r="3312" spans="1:1" x14ac:dyDescent="0.2">
      <c r="A3312" s="53"/>
    </row>
    <row r="3313" spans="1:1" x14ac:dyDescent="0.2">
      <c r="A3313" s="52"/>
    </row>
    <row r="3314" spans="1:1" x14ac:dyDescent="0.2">
      <c r="A3314" s="52"/>
    </row>
    <row r="3315" spans="1:1" x14ac:dyDescent="0.2">
      <c r="A3315" s="52"/>
    </row>
    <row r="3316" spans="1:1" x14ac:dyDescent="0.2">
      <c r="A3316" s="52"/>
    </row>
    <row r="3317" spans="1:1" x14ac:dyDescent="0.2">
      <c r="A3317" s="52"/>
    </row>
    <row r="3318" spans="1:1" x14ac:dyDescent="0.2">
      <c r="A3318" s="53"/>
    </row>
    <row r="3319" spans="1:1" x14ac:dyDescent="0.2">
      <c r="A3319" s="52"/>
    </row>
    <row r="3320" spans="1:1" x14ac:dyDescent="0.2">
      <c r="A3320" s="52"/>
    </row>
    <row r="3321" spans="1:1" x14ac:dyDescent="0.2">
      <c r="A3321" s="52"/>
    </row>
    <row r="3322" spans="1:1" x14ac:dyDescent="0.2">
      <c r="A3322" s="52"/>
    </row>
    <row r="3323" spans="1:1" x14ac:dyDescent="0.2">
      <c r="A3323" s="52"/>
    </row>
    <row r="3324" spans="1:1" x14ac:dyDescent="0.2">
      <c r="A3324" s="52"/>
    </row>
    <row r="3325" spans="1:1" x14ac:dyDescent="0.2">
      <c r="A3325" s="52"/>
    </row>
    <row r="3326" spans="1:1" x14ac:dyDescent="0.2">
      <c r="A3326" s="52"/>
    </row>
    <row r="3327" spans="1:1" x14ac:dyDescent="0.2">
      <c r="A3327" s="52"/>
    </row>
    <row r="3328" spans="1:1" x14ac:dyDescent="0.2">
      <c r="A3328" s="52"/>
    </row>
    <row r="3329" spans="1:1" x14ac:dyDescent="0.2">
      <c r="A3329" s="52"/>
    </row>
    <row r="3330" spans="1:1" x14ac:dyDescent="0.2">
      <c r="A3330" s="52"/>
    </row>
    <row r="3331" spans="1:1" x14ac:dyDescent="0.2">
      <c r="A3331" s="52"/>
    </row>
    <row r="3332" spans="1:1" x14ac:dyDescent="0.2">
      <c r="A3332" s="52"/>
    </row>
    <row r="3333" spans="1:1" x14ac:dyDescent="0.2">
      <c r="A3333" s="52"/>
    </row>
    <row r="3334" spans="1:1" x14ac:dyDescent="0.2">
      <c r="A3334" s="52"/>
    </row>
    <row r="3335" spans="1:1" x14ac:dyDescent="0.2">
      <c r="A3335" s="52"/>
    </row>
    <row r="3336" spans="1:1" x14ac:dyDescent="0.2">
      <c r="A3336" s="52"/>
    </row>
    <row r="3337" spans="1:1" x14ac:dyDescent="0.2">
      <c r="A3337" s="52"/>
    </row>
    <row r="3338" spans="1:1" x14ac:dyDescent="0.2">
      <c r="A3338" s="52"/>
    </row>
    <row r="3339" spans="1:1" x14ac:dyDescent="0.2">
      <c r="A3339" s="52"/>
    </row>
    <row r="3340" spans="1:1" x14ac:dyDescent="0.2">
      <c r="A3340" s="52"/>
    </row>
    <row r="3341" spans="1:1" x14ac:dyDescent="0.2">
      <c r="A3341" s="52"/>
    </row>
    <row r="3342" spans="1:1" x14ac:dyDescent="0.2">
      <c r="A3342" s="52"/>
    </row>
    <row r="3343" spans="1:1" x14ac:dyDescent="0.2">
      <c r="A3343" s="52"/>
    </row>
    <row r="3344" spans="1:1" x14ac:dyDescent="0.2">
      <c r="A3344" s="52"/>
    </row>
    <row r="3345" spans="1:1" x14ac:dyDescent="0.2">
      <c r="A3345" s="52"/>
    </row>
    <row r="3346" spans="1:1" x14ac:dyDescent="0.2">
      <c r="A3346" s="52"/>
    </row>
    <row r="3347" spans="1:1" x14ac:dyDescent="0.2">
      <c r="A3347" s="52"/>
    </row>
    <row r="3348" spans="1:1" x14ac:dyDescent="0.2">
      <c r="A3348" s="52"/>
    </row>
    <row r="3349" spans="1:1" x14ac:dyDescent="0.2">
      <c r="A3349" s="52"/>
    </row>
    <row r="3350" spans="1:1" x14ac:dyDescent="0.2">
      <c r="A3350" s="52"/>
    </row>
    <row r="3351" spans="1:1" x14ac:dyDescent="0.2">
      <c r="A3351" s="52"/>
    </row>
    <row r="3352" spans="1:1" x14ac:dyDescent="0.2">
      <c r="A3352" s="52"/>
    </row>
    <row r="3353" spans="1:1" x14ac:dyDescent="0.2">
      <c r="A3353" s="52"/>
    </row>
    <row r="3354" spans="1:1" x14ac:dyDescent="0.2">
      <c r="A3354" s="52"/>
    </row>
    <row r="3355" spans="1:1" x14ac:dyDescent="0.2">
      <c r="A3355" s="52"/>
    </row>
    <row r="3356" spans="1:1" x14ac:dyDescent="0.2">
      <c r="A3356" s="52"/>
    </row>
    <row r="3357" spans="1:1" x14ac:dyDescent="0.2">
      <c r="A3357" s="52"/>
    </row>
    <row r="3358" spans="1:1" x14ac:dyDescent="0.2">
      <c r="A3358" s="53"/>
    </row>
    <row r="3359" spans="1:1" x14ac:dyDescent="0.2">
      <c r="A3359" s="52"/>
    </row>
    <row r="3360" spans="1:1" x14ac:dyDescent="0.2">
      <c r="A3360" s="52"/>
    </row>
    <row r="3361" spans="1:1" x14ac:dyDescent="0.2">
      <c r="A3361" s="52"/>
    </row>
    <row r="3362" spans="1:1" x14ac:dyDescent="0.2">
      <c r="A3362" s="52"/>
    </row>
    <row r="3363" spans="1:1" x14ac:dyDescent="0.2">
      <c r="A3363" s="52"/>
    </row>
    <row r="3364" spans="1:1" x14ac:dyDescent="0.2">
      <c r="A3364" s="53"/>
    </row>
    <row r="3365" spans="1:1" x14ac:dyDescent="0.2">
      <c r="A3365" s="53"/>
    </row>
    <row r="3366" spans="1:1" x14ac:dyDescent="0.2">
      <c r="A3366" s="52"/>
    </row>
    <row r="3367" spans="1:1" x14ac:dyDescent="0.2">
      <c r="A3367" s="52"/>
    </row>
    <row r="3368" spans="1:1" x14ac:dyDescent="0.2">
      <c r="A3368" s="52"/>
    </row>
    <row r="3369" spans="1:1" x14ac:dyDescent="0.2">
      <c r="A3369" s="52"/>
    </row>
    <row r="3370" spans="1:1" x14ac:dyDescent="0.2">
      <c r="A3370" s="52"/>
    </row>
    <row r="3371" spans="1:1" x14ac:dyDescent="0.2">
      <c r="A3371" s="52"/>
    </row>
    <row r="3372" spans="1:1" x14ac:dyDescent="0.2">
      <c r="A3372" s="52"/>
    </row>
    <row r="3373" spans="1:1" x14ac:dyDescent="0.2">
      <c r="A3373" s="52"/>
    </row>
    <row r="3374" spans="1:1" x14ac:dyDescent="0.2">
      <c r="A3374" s="52"/>
    </row>
    <row r="3375" spans="1:1" x14ac:dyDescent="0.2">
      <c r="A3375" s="52"/>
    </row>
    <row r="3376" spans="1:1" x14ac:dyDescent="0.2">
      <c r="A3376" s="52"/>
    </row>
    <row r="3377" spans="1:1" x14ac:dyDescent="0.2">
      <c r="A3377" s="52"/>
    </row>
    <row r="3378" spans="1:1" x14ac:dyDescent="0.2">
      <c r="A3378" s="52"/>
    </row>
    <row r="3379" spans="1:1" x14ac:dyDescent="0.2">
      <c r="A3379" s="52"/>
    </row>
    <row r="3380" spans="1:1" x14ac:dyDescent="0.2">
      <c r="A3380" s="52"/>
    </row>
    <row r="3381" spans="1:1" x14ac:dyDescent="0.2">
      <c r="A3381" s="52"/>
    </row>
    <row r="3382" spans="1:1" x14ac:dyDescent="0.2">
      <c r="A3382" s="52"/>
    </row>
    <row r="3383" spans="1:1" x14ac:dyDescent="0.2">
      <c r="A3383" s="52"/>
    </row>
    <row r="3384" spans="1:1" x14ac:dyDescent="0.2">
      <c r="A3384" s="52"/>
    </row>
    <row r="3385" spans="1:1" x14ac:dyDescent="0.2">
      <c r="A3385" s="52"/>
    </row>
    <row r="3386" spans="1:1" x14ac:dyDescent="0.2">
      <c r="A3386" s="52"/>
    </row>
    <row r="3387" spans="1:1" x14ac:dyDescent="0.2">
      <c r="A3387" s="52"/>
    </row>
    <row r="3388" spans="1:1" x14ac:dyDescent="0.2">
      <c r="A3388" s="52"/>
    </row>
    <row r="3389" spans="1:1" x14ac:dyDescent="0.2">
      <c r="A3389" s="52"/>
    </row>
    <row r="3390" spans="1:1" x14ac:dyDescent="0.2">
      <c r="A3390" s="52"/>
    </row>
    <row r="3391" spans="1:1" x14ac:dyDescent="0.2">
      <c r="A3391" s="53"/>
    </row>
    <row r="3392" spans="1:1" x14ac:dyDescent="0.2">
      <c r="A3392" s="52"/>
    </row>
    <row r="3393" spans="1:1" x14ac:dyDescent="0.2">
      <c r="A3393" s="53"/>
    </row>
    <row r="3394" spans="1:1" x14ac:dyDescent="0.2">
      <c r="A3394" s="52"/>
    </row>
    <row r="3395" spans="1:1" x14ac:dyDescent="0.2">
      <c r="A3395" s="52"/>
    </row>
    <row r="3396" spans="1:1" x14ac:dyDescent="0.2">
      <c r="A3396" s="52"/>
    </row>
    <row r="3397" spans="1:1" x14ac:dyDescent="0.2">
      <c r="A3397" s="52"/>
    </row>
    <row r="3398" spans="1:1" x14ac:dyDescent="0.2">
      <c r="A3398" s="52"/>
    </row>
    <row r="3399" spans="1:1" x14ac:dyDescent="0.2">
      <c r="A3399" s="52"/>
    </row>
    <row r="3400" spans="1:1" x14ac:dyDescent="0.2">
      <c r="A3400" s="52"/>
    </row>
    <row r="3401" spans="1:1" x14ac:dyDescent="0.2">
      <c r="A3401" s="52"/>
    </row>
    <row r="3402" spans="1:1" x14ac:dyDescent="0.2">
      <c r="A3402" s="52"/>
    </row>
    <row r="3403" spans="1:1" x14ac:dyDescent="0.2">
      <c r="A3403" s="52"/>
    </row>
    <row r="3404" spans="1:1" x14ac:dyDescent="0.2">
      <c r="A3404" s="52"/>
    </row>
    <row r="3405" spans="1:1" x14ac:dyDescent="0.2">
      <c r="A3405" s="52"/>
    </row>
    <row r="3406" spans="1:1" x14ac:dyDescent="0.2">
      <c r="A3406" s="52"/>
    </row>
    <row r="3407" spans="1:1" x14ac:dyDescent="0.2">
      <c r="A3407" s="52"/>
    </row>
    <row r="3408" spans="1:1" x14ac:dyDescent="0.2">
      <c r="A3408" s="52"/>
    </row>
    <row r="3409" spans="1:1" x14ac:dyDescent="0.2">
      <c r="A3409" s="52"/>
    </row>
    <row r="3410" spans="1:1" x14ac:dyDescent="0.2">
      <c r="A3410" s="52"/>
    </row>
    <row r="3411" spans="1:1" x14ac:dyDescent="0.2">
      <c r="A3411" s="52"/>
    </row>
    <row r="3412" spans="1:1" x14ac:dyDescent="0.2">
      <c r="A3412" s="52"/>
    </row>
    <row r="3413" spans="1:1" x14ac:dyDescent="0.2">
      <c r="A3413" s="52"/>
    </row>
    <row r="3414" spans="1:1" x14ac:dyDescent="0.2">
      <c r="A3414" s="52"/>
    </row>
    <row r="3415" spans="1:1" x14ac:dyDescent="0.2">
      <c r="A3415" s="52"/>
    </row>
    <row r="3416" spans="1:1" x14ac:dyDescent="0.2">
      <c r="A3416" s="52"/>
    </row>
    <row r="3417" spans="1:1" x14ac:dyDescent="0.2">
      <c r="A3417" s="52"/>
    </row>
    <row r="3418" spans="1:1" x14ac:dyDescent="0.2">
      <c r="A3418" s="52"/>
    </row>
    <row r="3419" spans="1:1" x14ac:dyDescent="0.2">
      <c r="A3419" s="52"/>
    </row>
    <row r="3420" spans="1:1" x14ac:dyDescent="0.2">
      <c r="A3420" s="52"/>
    </row>
    <row r="3421" spans="1:1" x14ac:dyDescent="0.2">
      <c r="A3421" s="52"/>
    </row>
    <row r="3422" spans="1:1" x14ac:dyDescent="0.2">
      <c r="A3422" s="52"/>
    </row>
    <row r="3423" spans="1:1" x14ac:dyDescent="0.2">
      <c r="A3423" s="52"/>
    </row>
    <row r="3424" spans="1:1" x14ac:dyDescent="0.2">
      <c r="A3424" s="52"/>
    </row>
    <row r="3425" spans="1:1" x14ac:dyDescent="0.2">
      <c r="A3425" s="52"/>
    </row>
    <row r="3426" spans="1:1" x14ac:dyDescent="0.2">
      <c r="A3426" s="52"/>
    </row>
    <row r="3427" spans="1:1" x14ac:dyDescent="0.2">
      <c r="A3427" s="52"/>
    </row>
    <row r="3428" spans="1:1" x14ac:dyDescent="0.2">
      <c r="A3428" s="52"/>
    </row>
    <row r="3429" spans="1:1" x14ac:dyDescent="0.2">
      <c r="A3429" s="52"/>
    </row>
    <row r="3430" spans="1:1" x14ac:dyDescent="0.2">
      <c r="A3430" s="52"/>
    </row>
    <row r="3431" spans="1:1" x14ac:dyDescent="0.2">
      <c r="A3431" s="52"/>
    </row>
    <row r="3432" spans="1:1" x14ac:dyDescent="0.2">
      <c r="A3432" s="52"/>
    </row>
    <row r="3433" spans="1:1" x14ac:dyDescent="0.2">
      <c r="A3433" s="52"/>
    </row>
    <row r="3434" spans="1:1" x14ac:dyDescent="0.2">
      <c r="A3434" s="53"/>
    </row>
    <row r="3435" spans="1:1" x14ac:dyDescent="0.2">
      <c r="A3435" s="52"/>
    </row>
    <row r="3436" spans="1:1" x14ac:dyDescent="0.2">
      <c r="A3436" s="52"/>
    </row>
    <row r="3437" spans="1:1" x14ac:dyDescent="0.2">
      <c r="A3437" s="52"/>
    </row>
    <row r="3438" spans="1:1" x14ac:dyDescent="0.2">
      <c r="A3438" s="52"/>
    </row>
    <row r="3439" spans="1:1" x14ac:dyDescent="0.2">
      <c r="A3439" s="52"/>
    </row>
    <row r="3440" spans="1:1" x14ac:dyDescent="0.2">
      <c r="A3440" s="52"/>
    </row>
    <row r="3441" spans="1:1" x14ac:dyDescent="0.2">
      <c r="A3441" s="52"/>
    </row>
    <row r="3442" spans="1:1" x14ac:dyDescent="0.2">
      <c r="A3442" s="52"/>
    </row>
    <row r="3443" spans="1:1" x14ac:dyDescent="0.2">
      <c r="A3443" s="52"/>
    </row>
    <row r="3444" spans="1:1" x14ac:dyDescent="0.2">
      <c r="A3444" s="52"/>
    </row>
    <row r="3445" spans="1:1" x14ac:dyDescent="0.2">
      <c r="A3445" s="52"/>
    </row>
    <row r="3446" spans="1:1" x14ac:dyDescent="0.2">
      <c r="A3446" s="52"/>
    </row>
    <row r="3447" spans="1:1" x14ac:dyDescent="0.2">
      <c r="A3447" s="53"/>
    </row>
    <row r="3448" spans="1:1" x14ac:dyDescent="0.2">
      <c r="A3448" s="52"/>
    </row>
    <row r="3449" spans="1:1" x14ac:dyDescent="0.2">
      <c r="A3449" s="52"/>
    </row>
    <row r="3450" spans="1:1" x14ac:dyDescent="0.2">
      <c r="A3450" s="52"/>
    </row>
    <row r="3451" spans="1:1" x14ac:dyDescent="0.2">
      <c r="A3451" s="52"/>
    </row>
    <row r="3452" spans="1:1" x14ac:dyDescent="0.2">
      <c r="A3452" s="52"/>
    </row>
    <row r="3453" spans="1:1" x14ac:dyDescent="0.2">
      <c r="A3453" s="52"/>
    </row>
    <row r="3454" spans="1:1" x14ac:dyDescent="0.2">
      <c r="A3454" s="52"/>
    </row>
    <row r="3455" spans="1:1" x14ac:dyDescent="0.2">
      <c r="A3455" s="52"/>
    </row>
    <row r="3456" spans="1:1" x14ac:dyDescent="0.2">
      <c r="A3456" s="52"/>
    </row>
    <row r="3457" spans="1:1" x14ac:dyDescent="0.2">
      <c r="A3457" s="52"/>
    </row>
    <row r="3458" spans="1:1" x14ac:dyDescent="0.2">
      <c r="A3458" s="52"/>
    </row>
    <row r="3459" spans="1:1" x14ac:dyDescent="0.2">
      <c r="A3459" s="52"/>
    </row>
    <row r="3460" spans="1:1" x14ac:dyDescent="0.2">
      <c r="A3460" s="52"/>
    </row>
    <row r="3461" spans="1:1" x14ac:dyDescent="0.2">
      <c r="A3461" s="52"/>
    </row>
    <row r="3462" spans="1:1" x14ac:dyDescent="0.2">
      <c r="A3462" s="52"/>
    </row>
    <row r="3463" spans="1:1" x14ac:dyDescent="0.2">
      <c r="A3463" s="52"/>
    </row>
    <row r="3464" spans="1:1" x14ac:dyDescent="0.2">
      <c r="A3464" s="52"/>
    </row>
    <row r="3465" spans="1:1" x14ac:dyDescent="0.2">
      <c r="A3465" s="52"/>
    </row>
    <row r="3466" spans="1:1" x14ac:dyDescent="0.2">
      <c r="A3466" s="52"/>
    </row>
    <row r="3467" spans="1:1" x14ac:dyDescent="0.2">
      <c r="A3467" s="52"/>
    </row>
    <row r="3468" spans="1:1" x14ac:dyDescent="0.2">
      <c r="A3468" s="52"/>
    </row>
    <row r="3469" spans="1:1" x14ac:dyDescent="0.2">
      <c r="A3469" s="53"/>
    </row>
    <row r="3470" spans="1:1" x14ac:dyDescent="0.2">
      <c r="A3470" s="52"/>
    </row>
    <row r="3471" spans="1:1" x14ac:dyDescent="0.2">
      <c r="A3471" s="52"/>
    </row>
    <row r="3472" spans="1:1" x14ac:dyDescent="0.2">
      <c r="A3472" s="52"/>
    </row>
    <row r="3473" spans="1:1" x14ac:dyDescent="0.2">
      <c r="A3473" s="52"/>
    </row>
    <row r="3474" spans="1:1" x14ac:dyDescent="0.2">
      <c r="A3474" s="52"/>
    </row>
    <row r="3475" spans="1:1" x14ac:dyDescent="0.2">
      <c r="A3475" s="52"/>
    </row>
    <row r="3476" spans="1:1" x14ac:dyDescent="0.2">
      <c r="A3476" s="52"/>
    </row>
    <row r="3477" spans="1:1" x14ac:dyDescent="0.2">
      <c r="A3477" s="52"/>
    </row>
    <row r="3478" spans="1:1" x14ac:dyDescent="0.2">
      <c r="A3478" s="52"/>
    </row>
    <row r="3479" spans="1:1" x14ac:dyDescent="0.2">
      <c r="A3479" s="53"/>
    </row>
    <row r="3480" spans="1:1" x14ac:dyDescent="0.2">
      <c r="A3480" s="52"/>
    </row>
    <row r="3481" spans="1:1" x14ac:dyDescent="0.2">
      <c r="A3481" s="52"/>
    </row>
    <row r="3482" spans="1:1" x14ac:dyDescent="0.2">
      <c r="A3482" s="52"/>
    </row>
    <row r="3483" spans="1:1" x14ac:dyDescent="0.2">
      <c r="A3483" s="53"/>
    </row>
    <row r="3484" spans="1:1" x14ac:dyDescent="0.2">
      <c r="A3484" s="53"/>
    </row>
    <row r="3485" spans="1:1" x14ac:dyDescent="0.2">
      <c r="A3485" s="52"/>
    </row>
    <row r="3486" spans="1:1" x14ac:dyDescent="0.2">
      <c r="A3486" s="52"/>
    </row>
    <row r="3487" spans="1:1" x14ac:dyDescent="0.2">
      <c r="A3487" s="52"/>
    </row>
    <row r="3488" spans="1:1" x14ac:dyDescent="0.2">
      <c r="A3488" s="53"/>
    </row>
    <row r="3489" spans="1:1" x14ac:dyDescent="0.2">
      <c r="A3489" s="52"/>
    </row>
    <row r="3490" spans="1:1" x14ac:dyDescent="0.2">
      <c r="A3490" s="52"/>
    </row>
    <row r="3491" spans="1:1" x14ac:dyDescent="0.2">
      <c r="A3491" s="52"/>
    </row>
    <row r="3492" spans="1:1" x14ac:dyDescent="0.2">
      <c r="A3492" s="52"/>
    </row>
    <row r="3493" spans="1:1" x14ac:dyDescent="0.2">
      <c r="A3493" s="52"/>
    </row>
    <row r="3494" spans="1:1" x14ac:dyDescent="0.2">
      <c r="A3494" s="52"/>
    </row>
    <row r="3495" spans="1:1" x14ac:dyDescent="0.2">
      <c r="A3495" s="52"/>
    </row>
    <row r="3496" spans="1:1" x14ac:dyDescent="0.2">
      <c r="A3496" s="53"/>
    </row>
    <row r="3497" spans="1:1" x14ac:dyDescent="0.2">
      <c r="A3497" s="52"/>
    </row>
    <row r="3498" spans="1:1" x14ac:dyDescent="0.2">
      <c r="A3498" s="52"/>
    </row>
    <row r="3499" spans="1:1" x14ac:dyDescent="0.2">
      <c r="A3499" s="52"/>
    </row>
    <row r="3500" spans="1:1" x14ac:dyDescent="0.2">
      <c r="A3500" s="52"/>
    </row>
    <row r="3501" spans="1:1" x14ac:dyDescent="0.2">
      <c r="A3501" s="52"/>
    </row>
    <row r="3502" spans="1:1" x14ac:dyDescent="0.2">
      <c r="A3502" s="52"/>
    </row>
    <row r="3503" spans="1:1" x14ac:dyDescent="0.2">
      <c r="A3503" s="52"/>
    </row>
    <row r="3504" spans="1:1" x14ac:dyDescent="0.2">
      <c r="A3504" s="52"/>
    </row>
    <row r="3505" spans="1:1" x14ac:dyDescent="0.2">
      <c r="A3505" s="52"/>
    </row>
    <row r="3506" spans="1:1" x14ac:dyDescent="0.2">
      <c r="A3506" s="52"/>
    </row>
    <row r="3507" spans="1:1" x14ac:dyDescent="0.2">
      <c r="A3507" s="52"/>
    </row>
    <row r="3508" spans="1:1" x14ac:dyDescent="0.2">
      <c r="A3508" s="52"/>
    </row>
    <row r="3509" spans="1:1" x14ac:dyDescent="0.2">
      <c r="A3509" s="52"/>
    </row>
    <row r="3510" spans="1:1" x14ac:dyDescent="0.2">
      <c r="A3510" s="52"/>
    </row>
    <row r="3511" spans="1:1" x14ac:dyDescent="0.2">
      <c r="A3511" s="52"/>
    </row>
    <row r="3512" spans="1:1" x14ac:dyDescent="0.2">
      <c r="A3512" s="52"/>
    </row>
    <row r="3513" spans="1:1" x14ac:dyDescent="0.2">
      <c r="A3513" s="52"/>
    </row>
    <row r="3514" spans="1:1" x14ac:dyDescent="0.2">
      <c r="A3514" s="52"/>
    </row>
    <row r="3515" spans="1:1" x14ac:dyDescent="0.2">
      <c r="A3515" s="52"/>
    </row>
    <row r="3516" spans="1:1" x14ac:dyDescent="0.2">
      <c r="A3516" s="52"/>
    </row>
    <row r="3517" spans="1:1" x14ac:dyDescent="0.2">
      <c r="A3517" s="52"/>
    </row>
    <row r="3518" spans="1:1" x14ac:dyDescent="0.2">
      <c r="A3518" s="52"/>
    </row>
    <row r="3519" spans="1:1" x14ac:dyDescent="0.2">
      <c r="A3519" s="52"/>
    </row>
    <row r="3520" spans="1:1" x14ac:dyDescent="0.2">
      <c r="A3520" s="52"/>
    </row>
    <row r="3521" spans="1:1" x14ac:dyDescent="0.2">
      <c r="A3521" s="52"/>
    </row>
    <row r="3522" spans="1:1" x14ac:dyDescent="0.2">
      <c r="A3522" s="52"/>
    </row>
    <row r="3523" spans="1:1" x14ac:dyDescent="0.2">
      <c r="A3523" s="52"/>
    </row>
    <row r="3524" spans="1:1" x14ac:dyDescent="0.2">
      <c r="A3524" s="52"/>
    </row>
    <row r="3525" spans="1:1" x14ac:dyDescent="0.2">
      <c r="A3525" s="52"/>
    </row>
    <row r="3526" spans="1:1" x14ac:dyDescent="0.2">
      <c r="A3526" s="52"/>
    </row>
    <row r="3527" spans="1:1" x14ac:dyDescent="0.2">
      <c r="A3527" s="52"/>
    </row>
    <row r="3528" spans="1:1" x14ac:dyDescent="0.2">
      <c r="A3528" s="52"/>
    </row>
    <row r="3529" spans="1:1" x14ac:dyDescent="0.2">
      <c r="A3529" s="52"/>
    </row>
    <row r="3530" spans="1:1" x14ac:dyDescent="0.2">
      <c r="A3530" s="52"/>
    </row>
    <row r="3531" spans="1:1" x14ac:dyDescent="0.2">
      <c r="A3531" s="52"/>
    </row>
    <row r="3532" spans="1:1" x14ac:dyDescent="0.2">
      <c r="A3532" s="52"/>
    </row>
    <row r="3533" spans="1:1" x14ac:dyDescent="0.2">
      <c r="A3533" s="52"/>
    </row>
    <row r="3534" spans="1:1" x14ac:dyDescent="0.2">
      <c r="A3534" s="52"/>
    </row>
    <row r="3535" spans="1:1" x14ac:dyDescent="0.2">
      <c r="A3535" s="52"/>
    </row>
    <row r="3536" spans="1:1" x14ac:dyDescent="0.2">
      <c r="A3536" s="52"/>
    </row>
    <row r="3537" spans="1:1" x14ac:dyDescent="0.2">
      <c r="A3537" s="52"/>
    </row>
    <row r="3538" spans="1:1" x14ac:dyDescent="0.2">
      <c r="A3538" s="52"/>
    </row>
    <row r="3539" spans="1:1" x14ac:dyDescent="0.2">
      <c r="A3539" s="52"/>
    </row>
    <row r="3540" spans="1:1" x14ac:dyDescent="0.2">
      <c r="A3540" s="52"/>
    </row>
    <row r="3541" spans="1:1" x14ac:dyDescent="0.2">
      <c r="A3541" s="52"/>
    </row>
    <row r="3542" spans="1:1" x14ac:dyDescent="0.2">
      <c r="A3542" s="52"/>
    </row>
    <row r="3543" spans="1:1" x14ac:dyDescent="0.2">
      <c r="A3543" s="52"/>
    </row>
    <row r="3544" spans="1:1" x14ac:dyDescent="0.2">
      <c r="A3544" s="52"/>
    </row>
    <row r="3545" spans="1:1" x14ac:dyDescent="0.2">
      <c r="A3545" s="52"/>
    </row>
    <row r="3546" spans="1:1" x14ac:dyDescent="0.2">
      <c r="A3546" s="52"/>
    </row>
    <row r="3547" spans="1:1" x14ac:dyDescent="0.2">
      <c r="A3547" s="52"/>
    </row>
    <row r="3548" spans="1:1" x14ac:dyDescent="0.2">
      <c r="A3548" s="52"/>
    </row>
    <row r="3549" spans="1:1" x14ac:dyDescent="0.2">
      <c r="A3549" s="52"/>
    </row>
    <row r="3550" spans="1:1" x14ac:dyDescent="0.2">
      <c r="A3550" s="52"/>
    </row>
    <row r="3551" spans="1:1" x14ac:dyDescent="0.2">
      <c r="A3551" s="52"/>
    </row>
    <row r="3552" spans="1:1" x14ac:dyDescent="0.2">
      <c r="A3552" s="52"/>
    </row>
    <row r="3553" spans="1:1" x14ac:dyDescent="0.2">
      <c r="A3553" s="52"/>
    </row>
    <row r="3554" spans="1:1" x14ac:dyDescent="0.2">
      <c r="A3554" s="52"/>
    </row>
    <row r="3555" spans="1:1" x14ac:dyDescent="0.2">
      <c r="A3555" s="52"/>
    </row>
    <row r="3556" spans="1:1" x14ac:dyDescent="0.2">
      <c r="A3556" s="52"/>
    </row>
    <row r="3557" spans="1:1" x14ac:dyDescent="0.2">
      <c r="A3557" s="52"/>
    </row>
    <row r="3558" spans="1:1" x14ac:dyDescent="0.2">
      <c r="A3558" s="52"/>
    </row>
    <row r="3559" spans="1:1" x14ac:dyDescent="0.2">
      <c r="A3559" s="52"/>
    </row>
    <row r="3560" spans="1:1" x14ac:dyDescent="0.2">
      <c r="A3560" s="52"/>
    </row>
    <row r="3561" spans="1:1" x14ac:dyDescent="0.2">
      <c r="A3561" s="52"/>
    </row>
    <row r="3562" spans="1:1" x14ac:dyDescent="0.2">
      <c r="A3562" s="52"/>
    </row>
    <row r="3563" spans="1:1" x14ac:dyDescent="0.2">
      <c r="A3563" s="52"/>
    </row>
    <row r="3564" spans="1:1" x14ac:dyDescent="0.2">
      <c r="A3564" s="52"/>
    </row>
    <row r="3565" spans="1:1" x14ac:dyDescent="0.2">
      <c r="A3565" s="52"/>
    </row>
    <row r="3566" spans="1:1" x14ac:dyDescent="0.2">
      <c r="A3566" s="52"/>
    </row>
    <row r="3567" spans="1:1" x14ac:dyDescent="0.2">
      <c r="A3567" s="52"/>
    </row>
    <row r="3568" spans="1:1" x14ac:dyDescent="0.2">
      <c r="A3568" s="52"/>
    </row>
    <row r="3569" spans="1:1" x14ac:dyDescent="0.2">
      <c r="A3569" s="52"/>
    </row>
    <row r="3570" spans="1:1" x14ac:dyDescent="0.2">
      <c r="A3570" s="52"/>
    </row>
    <row r="3571" spans="1:1" x14ac:dyDescent="0.2">
      <c r="A3571" s="52"/>
    </row>
    <row r="3572" spans="1:1" x14ac:dyDescent="0.2">
      <c r="A3572" s="53"/>
    </row>
    <row r="3573" spans="1:1" x14ac:dyDescent="0.2">
      <c r="A3573" s="52"/>
    </row>
    <row r="3574" spans="1:1" x14ac:dyDescent="0.2">
      <c r="A3574" s="52"/>
    </row>
    <row r="3575" spans="1:1" x14ac:dyDescent="0.2">
      <c r="A3575" s="52"/>
    </row>
    <row r="3576" spans="1:1" x14ac:dyDescent="0.2">
      <c r="A3576" s="52"/>
    </row>
    <row r="3577" spans="1:1" x14ac:dyDescent="0.2">
      <c r="A3577" s="52"/>
    </row>
    <row r="3578" spans="1:1" x14ac:dyDescent="0.2">
      <c r="A3578" s="52"/>
    </row>
    <row r="3579" spans="1:1" x14ac:dyDescent="0.2">
      <c r="A3579" s="52"/>
    </row>
    <row r="3580" spans="1:1" x14ac:dyDescent="0.2">
      <c r="A3580" s="52"/>
    </row>
    <row r="3581" spans="1:1" x14ac:dyDescent="0.2">
      <c r="A3581" s="52"/>
    </row>
    <row r="3582" spans="1:1" x14ac:dyDescent="0.2">
      <c r="A3582" s="52"/>
    </row>
    <row r="3583" spans="1:1" x14ac:dyDescent="0.2">
      <c r="A3583" s="52"/>
    </row>
    <row r="3584" spans="1:1" x14ac:dyDescent="0.2">
      <c r="A3584" s="52"/>
    </row>
    <row r="3585" spans="1:1" x14ac:dyDescent="0.2">
      <c r="A3585" s="52"/>
    </row>
    <row r="3586" spans="1:1" x14ac:dyDescent="0.2">
      <c r="A3586" s="52"/>
    </row>
    <row r="3587" spans="1:1" x14ac:dyDescent="0.2">
      <c r="A3587" s="52"/>
    </row>
    <row r="3588" spans="1:1" x14ac:dyDescent="0.2">
      <c r="A3588" s="52"/>
    </row>
    <row r="3589" spans="1:1" x14ac:dyDescent="0.2">
      <c r="A3589" s="52"/>
    </row>
    <row r="3590" spans="1:1" x14ac:dyDescent="0.2">
      <c r="A3590" s="52"/>
    </row>
    <row r="3591" spans="1:1" x14ac:dyDescent="0.2">
      <c r="A3591" s="52"/>
    </row>
    <row r="3592" spans="1:1" x14ac:dyDescent="0.2">
      <c r="A3592" s="52"/>
    </row>
    <row r="3593" spans="1:1" x14ac:dyDescent="0.2">
      <c r="A3593" s="52"/>
    </row>
    <row r="3594" spans="1:1" x14ac:dyDescent="0.2">
      <c r="A3594" s="52"/>
    </row>
    <row r="3595" spans="1:1" x14ac:dyDescent="0.2">
      <c r="A3595" s="52"/>
    </row>
    <row r="3596" spans="1:1" x14ac:dyDescent="0.2">
      <c r="A3596" s="52"/>
    </row>
    <row r="3597" spans="1:1" x14ac:dyDescent="0.2">
      <c r="A3597" s="52"/>
    </row>
    <row r="3598" spans="1:1" x14ac:dyDescent="0.2">
      <c r="A3598" s="52"/>
    </row>
    <row r="3599" spans="1:1" x14ac:dyDescent="0.2">
      <c r="A3599" s="52"/>
    </row>
    <row r="3600" spans="1:1" x14ac:dyDescent="0.2">
      <c r="A3600" s="52"/>
    </row>
    <row r="3601" spans="1:1" x14ac:dyDescent="0.2">
      <c r="A3601" s="52"/>
    </row>
    <row r="3602" spans="1:1" x14ac:dyDescent="0.2">
      <c r="A3602" s="52"/>
    </row>
    <row r="3603" spans="1:1" x14ac:dyDescent="0.2">
      <c r="A3603" s="52"/>
    </row>
    <row r="3604" spans="1:1" x14ac:dyDescent="0.2">
      <c r="A3604" s="52"/>
    </row>
    <row r="3605" spans="1:1" x14ac:dyDescent="0.2">
      <c r="A3605" s="52"/>
    </row>
    <row r="3606" spans="1:1" x14ac:dyDescent="0.2">
      <c r="A3606" s="52"/>
    </row>
    <row r="3607" spans="1:1" x14ac:dyDescent="0.2">
      <c r="A3607" s="52"/>
    </row>
    <row r="3608" spans="1:1" x14ac:dyDescent="0.2">
      <c r="A3608" s="53"/>
    </row>
    <row r="3609" spans="1:1" x14ac:dyDescent="0.2">
      <c r="A3609" s="52"/>
    </row>
    <row r="3610" spans="1:1" x14ac:dyDescent="0.2">
      <c r="A3610" s="52"/>
    </row>
    <row r="3611" spans="1:1" x14ac:dyDescent="0.2">
      <c r="A3611" s="52"/>
    </row>
    <row r="3612" spans="1:1" x14ac:dyDescent="0.2">
      <c r="A3612" s="52"/>
    </row>
    <row r="3613" spans="1:1" x14ac:dyDescent="0.2">
      <c r="A3613" s="52"/>
    </row>
    <row r="3614" spans="1:1" x14ac:dyDescent="0.2">
      <c r="A3614" s="53"/>
    </row>
    <row r="3615" spans="1:1" x14ac:dyDescent="0.2">
      <c r="A3615" s="53"/>
    </row>
    <row r="3616" spans="1:1" x14ac:dyDescent="0.2">
      <c r="A3616" s="52"/>
    </row>
    <row r="3617" spans="1:1" x14ac:dyDescent="0.2">
      <c r="A3617" s="52"/>
    </row>
    <row r="3618" spans="1:1" x14ac:dyDescent="0.2">
      <c r="A3618" s="52"/>
    </row>
    <row r="3619" spans="1:1" x14ac:dyDescent="0.2">
      <c r="A3619" s="53"/>
    </row>
    <row r="3620" spans="1:1" x14ac:dyDescent="0.2">
      <c r="A3620" s="52"/>
    </row>
    <row r="3621" spans="1:1" x14ac:dyDescent="0.2">
      <c r="A3621" s="52"/>
    </row>
    <row r="3622" spans="1:1" x14ac:dyDescent="0.2">
      <c r="A3622" s="52"/>
    </row>
    <row r="3623" spans="1:1" x14ac:dyDescent="0.2">
      <c r="A3623" s="52"/>
    </row>
    <row r="3624" spans="1:1" x14ac:dyDescent="0.2">
      <c r="A3624" s="52"/>
    </row>
    <row r="3625" spans="1:1" x14ac:dyDescent="0.2">
      <c r="A3625" s="52"/>
    </row>
    <row r="3626" spans="1:1" x14ac:dyDescent="0.2">
      <c r="A3626" s="52"/>
    </row>
    <row r="3627" spans="1:1" x14ac:dyDescent="0.2">
      <c r="A3627" s="52"/>
    </row>
    <row r="3628" spans="1:1" x14ac:dyDescent="0.2">
      <c r="A3628" s="53"/>
    </row>
    <row r="3629" spans="1:1" x14ac:dyDescent="0.2">
      <c r="A3629" s="52"/>
    </row>
    <row r="3630" spans="1:1" x14ac:dyDescent="0.2">
      <c r="A3630" s="52"/>
    </row>
    <row r="3631" spans="1:1" x14ac:dyDescent="0.2">
      <c r="A3631" s="52"/>
    </row>
    <row r="3632" spans="1:1" x14ac:dyDescent="0.2">
      <c r="A3632" s="52"/>
    </row>
    <row r="3633" spans="1:1" x14ac:dyDescent="0.2">
      <c r="A3633" s="53"/>
    </row>
    <row r="3634" spans="1:1" x14ac:dyDescent="0.2">
      <c r="A3634" s="53"/>
    </row>
    <row r="3635" spans="1:1" x14ac:dyDescent="0.2">
      <c r="A3635" s="52"/>
    </row>
    <row r="3636" spans="1:1" x14ac:dyDescent="0.2">
      <c r="A3636" s="52"/>
    </row>
    <row r="3637" spans="1:1" x14ac:dyDescent="0.2">
      <c r="A3637" s="52"/>
    </row>
    <row r="3638" spans="1:1" x14ac:dyDescent="0.2">
      <c r="A3638" s="52"/>
    </row>
    <row r="3639" spans="1:1" x14ac:dyDescent="0.2">
      <c r="A3639" s="52"/>
    </row>
    <row r="3640" spans="1:1" x14ac:dyDescent="0.2">
      <c r="A3640" s="52"/>
    </row>
    <row r="3641" spans="1:1" x14ac:dyDescent="0.2">
      <c r="A3641" s="52"/>
    </row>
    <row r="3642" spans="1:1" x14ac:dyDescent="0.2">
      <c r="A3642" s="52"/>
    </row>
    <row r="3643" spans="1:1" x14ac:dyDescent="0.2">
      <c r="A3643" s="52"/>
    </row>
    <row r="3644" spans="1:1" x14ac:dyDescent="0.2">
      <c r="A3644" s="52"/>
    </row>
    <row r="3645" spans="1:1" x14ac:dyDescent="0.2">
      <c r="A3645" s="52"/>
    </row>
    <row r="3646" spans="1:1" x14ac:dyDescent="0.2">
      <c r="A3646" s="52"/>
    </row>
    <row r="3647" spans="1:1" x14ac:dyDescent="0.2">
      <c r="A3647" s="52"/>
    </row>
    <row r="3648" spans="1:1" x14ac:dyDescent="0.2">
      <c r="A3648" s="53"/>
    </row>
    <row r="3649" spans="1:1" x14ac:dyDescent="0.2">
      <c r="A3649" s="52"/>
    </row>
    <row r="3650" spans="1:1" x14ac:dyDescent="0.2">
      <c r="A3650" s="52"/>
    </row>
    <row r="3651" spans="1:1" x14ac:dyDescent="0.2">
      <c r="A3651" s="52"/>
    </row>
    <row r="3652" spans="1:1" x14ac:dyDescent="0.2">
      <c r="A3652" s="52"/>
    </row>
    <row r="3653" spans="1:1" x14ac:dyDescent="0.2">
      <c r="A3653" s="52"/>
    </row>
    <row r="3654" spans="1:1" x14ac:dyDescent="0.2">
      <c r="A3654" s="52"/>
    </row>
    <row r="3655" spans="1:1" x14ac:dyDescent="0.2">
      <c r="A3655" s="52"/>
    </row>
    <row r="3656" spans="1:1" x14ac:dyDescent="0.2">
      <c r="A3656" s="52"/>
    </row>
    <row r="3657" spans="1:1" x14ac:dyDescent="0.2">
      <c r="A3657" s="52"/>
    </row>
    <row r="3658" spans="1:1" x14ac:dyDescent="0.2">
      <c r="A3658" s="52"/>
    </row>
    <row r="3659" spans="1:1" x14ac:dyDescent="0.2">
      <c r="A3659" s="52"/>
    </row>
    <row r="3660" spans="1:1" x14ac:dyDescent="0.2">
      <c r="A3660" s="52"/>
    </row>
    <row r="3661" spans="1:1" x14ac:dyDescent="0.2">
      <c r="A3661" s="52"/>
    </row>
    <row r="3662" spans="1:1" x14ac:dyDescent="0.2">
      <c r="A3662" s="52"/>
    </row>
    <row r="3663" spans="1:1" x14ac:dyDescent="0.2">
      <c r="A3663" s="52"/>
    </row>
    <row r="3664" spans="1:1" x14ac:dyDescent="0.2">
      <c r="A3664" s="52"/>
    </row>
    <row r="3665" spans="1:1" x14ac:dyDescent="0.2">
      <c r="A3665" s="52"/>
    </row>
    <row r="3666" spans="1:1" x14ac:dyDescent="0.2">
      <c r="A3666" s="52"/>
    </row>
    <row r="3667" spans="1:1" x14ac:dyDescent="0.2">
      <c r="A3667" s="52"/>
    </row>
    <row r="3668" spans="1:1" x14ac:dyDescent="0.2">
      <c r="A3668" s="53"/>
    </row>
    <row r="3669" spans="1:1" x14ac:dyDescent="0.2">
      <c r="A3669" s="52"/>
    </row>
    <row r="3670" spans="1:1" x14ac:dyDescent="0.2">
      <c r="A3670" s="52"/>
    </row>
    <row r="3671" spans="1:1" x14ac:dyDescent="0.2">
      <c r="A3671" s="52"/>
    </row>
    <row r="3672" spans="1:1" x14ac:dyDescent="0.2">
      <c r="A3672" s="52"/>
    </row>
    <row r="3673" spans="1:1" x14ac:dyDescent="0.2">
      <c r="A3673" s="52"/>
    </row>
    <row r="3674" spans="1:1" x14ac:dyDescent="0.2">
      <c r="A3674" s="52"/>
    </row>
    <row r="3675" spans="1:1" x14ac:dyDescent="0.2">
      <c r="A3675" s="52"/>
    </row>
    <row r="3676" spans="1:1" x14ac:dyDescent="0.2">
      <c r="A3676" s="52"/>
    </row>
    <row r="3677" spans="1:1" x14ac:dyDescent="0.2">
      <c r="A3677" s="52"/>
    </row>
    <row r="3678" spans="1:1" x14ac:dyDescent="0.2">
      <c r="A3678" s="52"/>
    </row>
    <row r="3679" spans="1:1" x14ac:dyDescent="0.2">
      <c r="A3679" s="52"/>
    </row>
    <row r="3680" spans="1:1" x14ac:dyDescent="0.2">
      <c r="A3680" s="52"/>
    </row>
    <row r="3681" spans="1:1" x14ac:dyDescent="0.2">
      <c r="A3681" s="52"/>
    </row>
    <row r="3682" spans="1:1" x14ac:dyDescent="0.2">
      <c r="A3682" s="52"/>
    </row>
    <row r="3683" spans="1:1" x14ac:dyDescent="0.2">
      <c r="A3683" s="52"/>
    </row>
    <row r="3684" spans="1:1" x14ac:dyDescent="0.2">
      <c r="A3684" s="52"/>
    </row>
    <row r="3685" spans="1:1" x14ac:dyDescent="0.2">
      <c r="A3685" s="52"/>
    </row>
    <row r="3686" spans="1:1" x14ac:dyDescent="0.2">
      <c r="A3686" s="52"/>
    </row>
    <row r="3687" spans="1:1" x14ac:dyDescent="0.2">
      <c r="A3687" s="52"/>
    </row>
    <row r="3688" spans="1:1" x14ac:dyDescent="0.2">
      <c r="A3688" s="52"/>
    </row>
    <row r="3689" spans="1:1" x14ac:dyDescent="0.2">
      <c r="A3689" s="52"/>
    </row>
    <row r="3690" spans="1:1" x14ac:dyDescent="0.2">
      <c r="A3690" s="52"/>
    </row>
    <row r="3691" spans="1:1" x14ac:dyDescent="0.2">
      <c r="A3691" s="53"/>
    </row>
    <row r="3692" spans="1:1" x14ac:dyDescent="0.2">
      <c r="A3692" s="52"/>
    </row>
    <row r="3693" spans="1:1" x14ac:dyDescent="0.2">
      <c r="A3693" s="52"/>
    </row>
    <row r="3694" spans="1:1" x14ac:dyDescent="0.2">
      <c r="A3694" s="52"/>
    </row>
    <row r="3695" spans="1:1" x14ac:dyDescent="0.2">
      <c r="A3695" s="52"/>
    </row>
    <row r="3696" spans="1:1" x14ac:dyDescent="0.2">
      <c r="A3696" s="52"/>
    </row>
    <row r="3697" spans="1:1" x14ac:dyDescent="0.2">
      <c r="A3697" s="52"/>
    </row>
    <row r="3698" spans="1:1" x14ac:dyDescent="0.2">
      <c r="A3698" s="52"/>
    </row>
    <row r="3699" spans="1:1" x14ac:dyDescent="0.2">
      <c r="A3699" s="52"/>
    </row>
    <row r="3700" spans="1:1" x14ac:dyDescent="0.2">
      <c r="A3700" s="52"/>
    </row>
    <row r="3701" spans="1:1" x14ac:dyDescent="0.2">
      <c r="A3701" s="52"/>
    </row>
    <row r="3702" spans="1:1" x14ac:dyDescent="0.2">
      <c r="A3702" s="52"/>
    </row>
    <row r="3703" spans="1:1" x14ac:dyDescent="0.2">
      <c r="A3703" s="52"/>
    </row>
    <row r="3704" spans="1:1" x14ac:dyDescent="0.2">
      <c r="A3704" s="52"/>
    </row>
    <row r="3705" spans="1:1" x14ac:dyDescent="0.2">
      <c r="A3705" s="52"/>
    </row>
    <row r="3706" spans="1:1" x14ac:dyDescent="0.2">
      <c r="A3706" s="52"/>
    </row>
    <row r="3707" spans="1:1" x14ac:dyDescent="0.2">
      <c r="A3707" s="52"/>
    </row>
    <row r="3708" spans="1:1" x14ac:dyDescent="0.2">
      <c r="A3708" s="52"/>
    </row>
    <row r="3709" spans="1:1" x14ac:dyDescent="0.2">
      <c r="A3709" s="52"/>
    </row>
    <row r="3710" spans="1:1" x14ac:dyDescent="0.2">
      <c r="A3710" s="53"/>
    </row>
    <row r="3711" spans="1:1" x14ac:dyDescent="0.2">
      <c r="A3711" s="52"/>
    </row>
    <row r="3712" spans="1:1" x14ac:dyDescent="0.2">
      <c r="A3712" s="52"/>
    </row>
    <row r="3713" spans="1:1" x14ac:dyDescent="0.2">
      <c r="A3713" s="52"/>
    </row>
    <row r="3714" spans="1:1" x14ac:dyDescent="0.2">
      <c r="A3714" s="52"/>
    </row>
    <row r="3715" spans="1:1" x14ac:dyDescent="0.2">
      <c r="A3715" s="52"/>
    </row>
    <row r="3716" spans="1:1" x14ac:dyDescent="0.2">
      <c r="A3716" s="52"/>
    </row>
    <row r="3717" spans="1:1" x14ac:dyDescent="0.2">
      <c r="A3717" s="52"/>
    </row>
    <row r="3718" spans="1:1" x14ac:dyDescent="0.2">
      <c r="A3718" s="52"/>
    </row>
    <row r="3719" spans="1:1" x14ac:dyDescent="0.2">
      <c r="A3719" s="52"/>
    </row>
    <row r="3720" spans="1:1" x14ac:dyDescent="0.2">
      <c r="A3720" s="52"/>
    </row>
    <row r="3721" spans="1:1" x14ac:dyDescent="0.2">
      <c r="A3721" s="52"/>
    </row>
    <row r="3722" spans="1:1" x14ac:dyDescent="0.2">
      <c r="A3722" s="52"/>
    </row>
    <row r="3723" spans="1:1" x14ac:dyDescent="0.2">
      <c r="A3723" s="52"/>
    </row>
    <row r="3724" spans="1:1" x14ac:dyDescent="0.2">
      <c r="A3724" s="52"/>
    </row>
    <row r="3725" spans="1:1" x14ac:dyDescent="0.2">
      <c r="A3725" s="52"/>
    </row>
    <row r="3726" spans="1:1" x14ac:dyDescent="0.2">
      <c r="A3726" s="52"/>
    </row>
    <row r="3727" spans="1:1" x14ac:dyDescent="0.2">
      <c r="A3727" s="52"/>
    </row>
    <row r="3728" spans="1:1" x14ac:dyDescent="0.2">
      <c r="A3728" s="53"/>
    </row>
    <row r="3729" spans="1:1" x14ac:dyDescent="0.2">
      <c r="A3729" s="52"/>
    </row>
    <row r="3730" spans="1:1" x14ac:dyDescent="0.2">
      <c r="A3730" s="52"/>
    </row>
    <row r="3731" spans="1:1" x14ac:dyDescent="0.2">
      <c r="A3731" s="52"/>
    </row>
    <row r="3732" spans="1:1" x14ac:dyDescent="0.2">
      <c r="A3732" s="53"/>
    </row>
    <row r="3733" spans="1:1" x14ac:dyDescent="0.2">
      <c r="A3733" s="52"/>
    </row>
    <row r="3734" spans="1:1" x14ac:dyDescent="0.2">
      <c r="A3734" s="52"/>
    </row>
    <row r="3735" spans="1:1" x14ac:dyDescent="0.2">
      <c r="A3735" s="52"/>
    </row>
    <row r="3736" spans="1:1" x14ac:dyDescent="0.2">
      <c r="A3736" s="52"/>
    </row>
    <row r="3737" spans="1:1" x14ac:dyDescent="0.2">
      <c r="A3737" s="52"/>
    </row>
    <row r="3738" spans="1:1" x14ac:dyDescent="0.2">
      <c r="A3738" s="52"/>
    </row>
    <row r="3739" spans="1:1" x14ac:dyDescent="0.2">
      <c r="A3739" s="52"/>
    </row>
    <row r="3740" spans="1:1" x14ac:dyDescent="0.2">
      <c r="A3740" s="52"/>
    </row>
    <row r="3741" spans="1:1" x14ac:dyDescent="0.2">
      <c r="A3741" s="52"/>
    </row>
    <row r="3742" spans="1:1" x14ac:dyDescent="0.2">
      <c r="A3742" s="52"/>
    </row>
    <row r="3743" spans="1:1" x14ac:dyDescent="0.2">
      <c r="A3743" s="52"/>
    </row>
    <row r="3744" spans="1:1" x14ac:dyDescent="0.2">
      <c r="A3744" s="52"/>
    </row>
    <row r="3745" spans="1:1" x14ac:dyDescent="0.2">
      <c r="A3745" s="52"/>
    </row>
    <row r="3746" spans="1:1" x14ac:dyDescent="0.2">
      <c r="A3746" s="52"/>
    </row>
    <row r="3747" spans="1:1" x14ac:dyDescent="0.2">
      <c r="A3747" s="52"/>
    </row>
    <row r="3748" spans="1:1" x14ac:dyDescent="0.2">
      <c r="A3748" s="52"/>
    </row>
    <row r="3749" spans="1:1" x14ac:dyDescent="0.2">
      <c r="A3749" s="52"/>
    </row>
    <row r="3750" spans="1:1" x14ac:dyDescent="0.2">
      <c r="A3750" s="53"/>
    </row>
    <row r="3751" spans="1:1" x14ac:dyDescent="0.2">
      <c r="A3751" s="52"/>
    </row>
    <row r="3752" spans="1:1" x14ac:dyDescent="0.2">
      <c r="A3752" s="52"/>
    </row>
    <row r="3753" spans="1:1" x14ac:dyDescent="0.2">
      <c r="A3753" s="52"/>
    </row>
    <row r="3754" spans="1:1" x14ac:dyDescent="0.2">
      <c r="A3754" s="52"/>
    </row>
    <row r="3755" spans="1:1" x14ac:dyDescent="0.2">
      <c r="A3755" s="52"/>
    </row>
    <row r="3756" spans="1:1" x14ac:dyDescent="0.2">
      <c r="A3756" s="52"/>
    </row>
    <row r="3757" spans="1:1" x14ac:dyDescent="0.2">
      <c r="A3757" s="52"/>
    </row>
    <row r="3758" spans="1:1" x14ac:dyDescent="0.2">
      <c r="A3758" s="52"/>
    </row>
    <row r="3759" spans="1:1" x14ac:dyDescent="0.2">
      <c r="A3759" s="52"/>
    </row>
    <row r="3760" spans="1:1" x14ac:dyDescent="0.2">
      <c r="A3760" s="52"/>
    </row>
    <row r="3761" spans="1:1" x14ac:dyDescent="0.2">
      <c r="A3761" s="52"/>
    </row>
    <row r="3762" spans="1:1" x14ac:dyDescent="0.2">
      <c r="A3762" s="52"/>
    </row>
    <row r="3763" spans="1:1" x14ac:dyDescent="0.2">
      <c r="A3763" s="52"/>
    </row>
    <row r="3764" spans="1:1" x14ac:dyDescent="0.2">
      <c r="A3764" s="52"/>
    </row>
    <row r="3765" spans="1:1" x14ac:dyDescent="0.2">
      <c r="A3765" s="52"/>
    </row>
    <row r="3766" spans="1:1" x14ac:dyDescent="0.2">
      <c r="A3766" s="52"/>
    </row>
    <row r="3767" spans="1:1" x14ac:dyDescent="0.2">
      <c r="A3767" s="53"/>
    </row>
    <row r="3768" spans="1:1" x14ac:dyDescent="0.2">
      <c r="A3768" s="52"/>
    </row>
    <row r="3769" spans="1:1" x14ac:dyDescent="0.2">
      <c r="A3769" s="52"/>
    </row>
    <row r="3770" spans="1:1" x14ac:dyDescent="0.2">
      <c r="A3770" s="52"/>
    </row>
    <row r="3771" spans="1:1" x14ac:dyDescent="0.2">
      <c r="A3771" s="52"/>
    </row>
    <row r="3772" spans="1:1" x14ac:dyDescent="0.2">
      <c r="A3772" s="52"/>
    </row>
    <row r="3773" spans="1:1" x14ac:dyDescent="0.2">
      <c r="A3773" s="52"/>
    </row>
    <row r="3774" spans="1:1" x14ac:dyDescent="0.2">
      <c r="A3774" s="52"/>
    </row>
    <row r="3775" spans="1:1" x14ac:dyDescent="0.2">
      <c r="A3775" s="52"/>
    </row>
    <row r="3776" spans="1:1" x14ac:dyDescent="0.2">
      <c r="A3776" s="52"/>
    </row>
    <row r="3777" spans="1:1" x14ac:dyDescent="0.2">
      <c r="A3777" s="52"/>
    </row>
    <row r="3778" spans="1:1" x14ac:dyDescent="0.2">
      <c r="A3778" s="52"/>
    </row>
    <row r="3779" spans="1:1" x14ac:dyDescent="0.2">
      <c r="A3779" s="52"/>
    </row>
    <row r="3780" spans="1:1" x14ac:dyDescent="0.2">
      <c r="A3780" s="52"/>
    </row>
    <row r="3781" spans="1:1" x14ac:dyDescent="0.2">
      <c r="A3781" s="52"/>
    </row>
    <row r="3782" spans="1:1" x14ac:dyDescent="0.2">
      <c r="A3782" s="52"/>
    </row>
    <row r="3783" spans="1:1" x14ac:dyDescent="0.2">
      <c r="A3783" s="52"/>
    </row>
    <row r="3784" spans="1:1" x14ac:dyDescent="0.2">
      <c r="A3784" s="53"/>
    </row>
    <row r="3785" spans="1:1" x14ac:dyDescent="0.2">
      <c r="A3785" s="52"/>
    </row>
    <row r="3786" spans="1:1" x14ac:dyDescent="0.2">
      <c r="A3786" s="52"/>
    </row>
    <row r="3787" spans="1:1" x14ac:dyDescent="0.2">
      <c r="A3787" s="52"/>
    </row>
    <row r="3788" spans="1:1" x14ac:dyDescent="0.2">
      <c r="A3788" s="53"/>
    </row>
    <row r="3789" spans="1:1" x14ac:dyDescent="0.2">
      <c r="A3789" s="52"/>
    </row>
    <row r="3790" spans="1:1" x14ac:dyDescent="0.2">
      <c r="A3790" s="52"/>
    </row>
    <row r="3791" spans="1:1" x14ac:dyDescent="0.2">
      <c r="A3791" s="52"/>
    </row>
    <row r="3792" spans="1:1" x14ac:dyDescent="0.2">
      <c r="A3792" s="52"/>
    </row>
    <row r="3793" spans="1:1" x14ac:dyDescent="0.2">
      <c r="A3793" s="52"/>
    </row>
    <row r="3794" spans="1:1" x14ac:dyDescent="0.2">
      <c r="A3794" s="52"/>
    </row>
    <row r="3795" spans="1:1" x14ac:dyDescent="0.2">
      <c r="A3795" s="52"/>
    </row>
    <row r="3796" spans="1:1" x14ac:dyDescent="0.2">
      <c r="A3796" s="52"/>
    </row>
    <row r="3797" spans="1:1" x14ac:dyDescent="0.2">
      <c r="A3797" s="52"/>
    </row>
    <row r="3798" spans="1:1" x14ac:dyDescent="0.2">
      <c r="A3798" s="52"/>
    </row>
    <row r="3799" spans="1:1" x14ac:dyDescent="0.2">
      <c r="A3799" s="52"/>
    </row>
    <row r="3800" spans="1:1" x14ac:dyDescent="0.2">
      <c r="A3800" s="52"/>
    </row>
    <row r="3801" spans="1:1" x14ac:dyDescent="0.2">
      <c r="A3801" s="52"/>
    </row>
    <row r="3802" spans="1:1" x14ac:dyDescent="0.2">
      <c r="A3802" s="52"/>
    </row>
    <row r="3803" spans="1:1" x14ac:dyDescent="0.2">
      <c r="A3803" s="52"/>
    </row>
    <row r="3804" spans="1:1" x14ac:dyDescent="0.2">
      <c r="A3804" s="52"/>
    </row>
    <row r="3805" spans="1:1" x14ac:dyDescent="0.2">
      <c r="A3805" s="52"/>
    </row>
    <row r="3806" spans="1:1" x14ac:dyDescent="0.2">
      <c r="A3806" s="53"/>
    </row>
    <row r="3807" spans="1:1" x14ac:dyDescent="0.2">
      <c r="A3807" s="52"/>
    </row>
    <row r="3808" spans="1:1" x14ac:dyDescent="0.2">
      <c r="A3808" s="52"/>
    </row>
    <row r="3809" spans="1:1" x14ac:dyDescent="0.2">
      <c r="A3809" s="52"/>
    </row>
    <row r="3810" spans="1:1" x14ac:dyDescent="0.2">
      <c r="A3810" s="52"/>
    </row>
    <row r="3811" spans="1:1" x14ac:dyDescent="0.2">
      <c r="A3811" s="52"/>
    </row>
    <row r="3812" spans="1:1" x14ac:dyDescent="0.2">
      <c r="A3812" s="52"/>
    </row>
    <row r="3813" spans="1:1" x14ac:dyDescent="0.2">
      <c r="A3813" s="52"/>
    </row>
    <row r="3814" spans="1:1" x14ac:dyDescent="0.2">
      <c r="A3814" s="52"/>
    </row>
    <row r="3815" spans="1:1" x14ac:dyDescent="0.2">
      <c r="A3815" s="52"/>
    </row>
    <row r="3816" spans="1:1" x14ac:dyDescent="0.2">
      <c r="A3816" s="52"/>
    </row>
    <row r="3817" spans="1:1" x14ac:dyDescent="0.2">
      <c r="A3817" s="52"/>
    </row>
    <row r="3818" spans="1:1" x14ac:dyDescent="0.2">
      <c r="A3818" s="52"/>
    </row>
    <row r="3819" spans="1:1" x14ac:dyDescent="0.2">
      <c r="A3819" s="52"/>
    </row>
    <row r="3820" spans="1:1" x14ac:dyDescent="0.2">
      <c r="A3820" s="52"/>
    </row>
    <row r="3821" spans="1:1" x14ac:dyDescent="0.2">
      <c r="A3821" s="52"/>
    </row>
    <row r="3822" spans="1:1" x14ac:dyDescent="0.2">
      <c r="A3822" s="53"/>
    </row>
    <row r="3823" spans="1:1" x14ac:dyDescent="0.2">
      <c r="A3823" s="53"/>
    </row>
    <row r="3824" spans="1:1" x14ac:dyDescent="0.2">
      <c r="A3824" s="52"/>
    </row>
    <row r="3825" spans="1:1" x14ac:dyDescent="0.2">
      <c r="A3825" s="53"/>
    </row>
    <row r="3826" spans="1:1" x14ac:dyDescent="0.2">
      <c r="A3826" s="52"/>
    </row>
    <row r="3827" spans="1:1" x14ac:dyDescent="0.2">
      <c r="A3827" s="53"/>
    </row>
    <row r="3828" spans="1:1" x14ac:dyDescent="0.2">
      <c r="A3828" s="52"/>
    </row>
    <row r="3829" spans="1:1" x14ac:dyDescent="0.2">
      <c r="A3829" s="52"/>
    </row>
    <row r="3830" spans="1:1" x14ac:dyDescent="0.2">
      <c r="A3830" s="52"/>
    </row>
    <row r="3831" spans="1:1" x14ac:dyDescent="0.2">
      <c r="A3831" s="52"/>
    </row>
    <row r="3832" spans="1:1" x14ac:dyDescent="0.2">
      <c r="A3832" s="52"/>
    </row>
    <row r="3833" spans="1:1" x14ac:dyDescent="0.2">
      <c r="A3833" s="52"/>
    </row>
    <row r="3834" spans="1:1" x14ac:dyDescent="0.2">
      <c r="A3834" s="52"/>
    </row>
    <row r="3835" spans="1:1" x14ac:dyDescent="0.2">
      <c r="A3835" s="52"/>
    </row>
    <row r="3836" spans="1:1" x14ac:dyDescent="0.2">
      <c r="A3836" s="53"/>
    </row>
    <row r="3837" spans="1:1" x14ac:dyDescent="0.2">
      <c r="A3837" s="52"/>
    </row>
    <row r="3838" spans="1:1" x14ac:dyDescent="0.2">
      <c r="A3838" s="52"/>
    </row>
    <row r="3839" spans="1:1" x14ac:dyDescent="0.2">
      <c r="A3839" s="52"/>
    </row>
    <row r="3840" spans="1:1" x14ac:dyDescent="0.2">
      <c r="A3840" s="52"/>
    </row>
    <row r="3841" spans="1:1" x14ac:dyDescent="0.2">
      <c r="A3841" s="52"/>
    </row>
    <row r="3842" spans="1:1" x14ac:dyDescent="0.2">
      <c r="A3842" s="52"/>
    </row>
    <row r="3843" spans="1:1" x14ac:dyDescent="0.2">
      <c r="A3843" s="52"/>
    </row>
    <row r="3844" spans="1:1" x14ac:dyDescent="0.2">
      <c r="A3844" s="52"/>
    </row>
    <row r="3845" spans="1:1" x14ac:dyDescent="0.2">
      <c r="A3845" s="52"/>
    </row>
    <row r="3846" spans="1:1" x14ac:dyDescent="0.2">
      <c r="A3846" s="52"/>
    </row>
    <row r="3847" spans="1:1" x14ac:dyDescent="0.2">
      <c r="A3847" s="52"/>
    </row>
    <row r="3848" spans="1:1" x14ac:dyDescent="0.2">
      <c r="A3848" s="52"/>
    </row>
    <row r="3849" spans="1:1" x14ac:dyDescent="0.2">
      <c r="A3849" s="52"/>
    </row>
    <row r="3850" spans="1:1" x14ac:dyDescent="0.2">
      <c r="A3850" s="52"/>
    </row>
    <row r="3851" spans="1:1" x14ac:dyDescent="0.2">
      <c r="A3851" s="52"/>
    </row>
    <row r="3852" spans="1:1" x14ac:dyDescent="0.2">
      <c r="A3852" s="52"/>
    </row>
    <row r="3853" spans="1:1" x14ac:dyDescent="0.2">
      <c r="A3853" s="52"/>
    </row>
    <row r="3854" spans="1:1" x14ac:dyDescent="0.2">
      <c r="A3854" s="52"/>
    </row>
    <row r="3855" spans="1:1" x14ac:dyDescent="0.2">
      <c r="A3855" s="52"/>
    </row>
    <row r="3856" spans="1:1" x14ac:dyDescent="0.2">
      <c r="A3856" s="52"/>
    </row>
    <row r="3857" spans="1:1" x14ac:dyDescent="0.2">
      <c r="A3857" s="52"/>
    </row>
    <row r="3858" spans="1:1" x14ac:dyDescent="0.2">
      <c r="A3858" s="52"/>
    </row>
    <row r="3859" spans="1:1" x14ac:dyDescent="0.2">
      <c r="A3859" s="52"/>
    </row>
    <row r="3860" spans="1:1" x14ac:dyDescent="0.2">
      <c r="A3860" s="52"/>
    </row>
    <row r="3861" spans="1:1" x14ac:dyDescent="0.2">
      <c r="A3861" s="53"/>
    </row>
    <row r="3862" spans="1:1" x14ac:dyDescent="0.2">
      <c r="A3862" s="52"/>
    </row>
    <row r="3863" spans="1:1" x14ac:dyDescent="0.2">
      <c r="A3863" s="52"/>
    </row>
    <row r="3864" spans="1:1" x14ac:dyDescent="0.2">
      <c r="A3864" s="52"/>
    </row>
    <row r="3865" spans="1:1" x14ac:dyDescent="0.2">
      <c r="A3865" s="53"/>
    </row>
    <row r="3866" spans="1:1" x14ac:dyDescent="0.2">
      <c r="A3866" s="53"/>
    </row>
    <row r="3867" spans="1:1" x14ac:dyDescent="0.2">
      <c r="A3867" s="52"/>
    </row>
    <row r="3868" spans="1:1" x14ac:dyDescent="0.2">
      <c r="A3868" s="52"/>
    </row>
    <row r="3869" spans="1:1" x14ac:dyDescent="0.2">
      <c r="A3869" s="52"/>
    </row>
    <row r="3870" spans="1:1" x14ac:dyDescent="0.2">
      <c r="A3870" s="52"/>
    </row>
    <row r="3871" spans="1:1" x14ac:dyDescent="0.2">
      <c r="A3871" s="53"/>
    </row>
    <row r="3872" spans="1:1" x14ac:dyDescent="0.2">
      <c r="A3872" s="52"/>
    </row>
    <row r="3873" spans="1:1" x14ac:dyDescent="0.2">
      <c r="A3873" s="52"/>
    </row>
    <row r="3874" spans="1:1" x14ac:dyDescent="0.2">
      <c r="A3874" s="52"/>
    </row>
    <row r="3875" spans="1:1" x14ac:dyDescent="0.2">
      <c r="A3875" s="52"/>
    </row>
    <row r="3876" spans="1:1" x14ac:dyDescent="0.2">
      <c r="A3876" s="52"/>
    </row>
    <row r="3877" spans="1:1" x14ac:dyDescent="0.2">
      <c r="A3877" s="52"/>
    </row>
    <row r="3878" spans="1:1" x14ac:dyDescent="0.2">
      <c r="A3878" s="52"/>
    </row>
    <row r="3879" spans="1:1" x14ac:dyDescent="0.2">
      <c r="A3879" s="52"/>
    </row>
    <row r="3880" spans="1:1" x14ac:dyDescent="0.2">
      <c r="A3880" s="52"/>
    </row>
    <row r="3881" spans="1:1" x14ac:dyDescent="0.2">
      <c r="A3881" s="52"/>
    </row>
    <row r="3882" spans="1:1" x14ac:dyDescent="0.2">
      <c r="A3882" s="52"/>
    </row>
    <row r="3883" spans="1:1" x14ac:dyDescent="0.2">
      <c r="A3883" s="52"/>
    </row>
    <row r="3884" spans="1:1" x14ac:dyDescent="0.2">
      <c r="A3884" s="53"/>
    </row>
    <row r="3885" spans="1:1" x14ac:dyDescent="0.2">
      <c r="A3885" s="52"/>
    </row>
    <row r="3886" spans="1:1" x14ac:dyDescent="0.2">
      <c r="A3886" s="52"/>
    </row>
    <row r="3887" spans="1:1" x14ac:dyDescent="0.2">
      <c r="A3887" s="52"/>
    </row>
    <row r="3888" spans="1:1" x14ac:dyDescent="0.2">
      <c r="A3888" s="52"/>
    </row>
    <row r="3889" spans="1:1" x14ac:dyDescent="0.2">
      <c r="A3889" s="52"/>
    </row>
    <row r="3890" spans="1:1" x14ac:dyDescent="0.2">
      <c r="A3890" s="52"/>
    </row>
    <row r="3891" spans="1:1" x14ac:dyDescent="0.2">
      <c r="A3891" s="52"/>
    </row>
    <row r="3892" spans="1:1" x14ac:dyDescent="0.2">
      <c r="A3892" s="52"/>
    </row>
    <row r="3893" spans="1:1" x14ac:dyDescent="0.2">
      <c r="A3893" s="53"/>
    </row>
    <row r="3894" spans="1:1" x14ac:dyDescent="0.2">
      <c r="A3894" s="52"/>
    </row>
    <row r="3895" spans="1:1" x14ac:dyDescent="0.2">
      <c r="A3895" s="53"/>
    </row>
    <row r="3896" spans="1:1" x14ac:dyDescent="0.2">
      <c r="A3896" s="52"/>
    </row>
    <row r="3897" spans="1:1" x14ac:dyDescent="0.2">
      <c r="A3897" s="52"/>
    </row>
    <row r="3898" spans="1:1" x14ac:dyDescent="0.2">
      <c r="A3898" s="52"/>
    </row>
    <row r="3899" spans="1:1" x14ac:dyDescent="0.2">
      <c r="A3899" s="52"/>
    </row>
    <row r="3900" spans="1:1" x14ac:dyDescent="0.2">
      <c r="A3900" s="52"/>
    </row>
    <row r="3901" spans="1:1" x14ac:dyDescent="0.2">
      <c r="A3901" s="52"/>
    </row>
    <row r="3902" spans="1:1" x14ac:dyDescent="0.2">
      <c r="A3902" s="52"/>
    </row>
    <row r="3903" spans="1:1" x14ac:dyDescent="0.2">
      <c r="A3903" s="52"/>
    </row>
    <row r="3904" spans="1:1" x14ac:dyDescent="0.2">
      <c r="A3904" s="52"/>
    </row>
    <row r="3905" spans="1:1" x14ac:dyDescent="0.2">
      <c r="A3905" s="52"/>
    </row>
    <row r="3906" spans="1:1" x14ac:dyDescent="0.2">
      <c r="A3906" s="52"/>
    </row>
    <row r="3907" spans="1:1" x14ac:dyDescent="0.2">
      <c r="A3907" s="52"/>
    </row>
    <row r="3908" spans="1:1" x14ac:dyDescent="0.2">
      <c r="A3908" s="52"/>
    </row>
    <row r="3909" spans="1:1" x14ac:dyDescent="0.2">
      <c r="A3909" s="52"/>
    </row>
    <row r="3910" spans="1:1" x14ac:dyDescent="0.2">
      <c r="A3910" s="52"/>
    </row>
    <row r="3911" spans="1:1" x14ac:dyDescent="0.2">
      <c r="A3911" s="52"/>
    </row>
    <row r="3912" spans="1:1" x14ac:dyDescent="0.2">
      <c r="A3912" s="52"/>
    </row>
    <row r="3913" spans="1:1" x14ac:dyDescent="0.2">
      <c r="A3913" s="52"/>
    </row>
    <row r="3914" spans="1:1" x14ac:dyDescent="0.2">
      <c r="A3914" s="52"/>
    </row>
    <row r="3915" spans="1:1" x14ac:dyDescent="0.2">
      <c r="A3915" s="52"/>
    </row>
    <row r="3916" spans="1:1" x14ac:dyDescent="0.2">
      <c r="A3916" s="52"/>
    </row>
    <row r="3917" spans="1:1" x14ac:dyDescent="0.2">
      <c r="A3917" s="52"/>
    </row>
    <row r="3918" spans="1:1" x14ac:dyDescent="0.2">
      <c r="A3918" s="52"/>
    </row>
    <row r="3919" spans="1:1" x14ac:dyDescent="0.2">
      <c r="A3919" s="52"/>
    </row>
    <row r="3920" spans="1:1" x14ac:dyDescent="0.2">
      <c r="A3920" s="52"/>
    </row>
    <row r="3921" spans="1:1" x14ac:dyDescent="0.2">
      <c r="A3921" s="52"/>
    </row>
    <row r="3922" spans="1:1" x14ac:dyDescent="0.2">
      <c r="A3922" s="52"/>
    </row>
    <row r="3923" spans="1:1" x14ac:dyDescent="0.2">
      <c r="A3923" s="52"/>
    </row>
    <row r="3924" spans="1:1" x14ac:dyDescent="0.2">
      <c r="A3924" s="52"/>
    </row>
    <row r="3925" spans="1:1" x14ac:dyDescent="0.2">
      <c r="A3925" s="52"/>
    </row>
    <row r="3926" spans="1:1" x14ac:dyDescent="0.2">
      <c r="A3926" s="52"/>
    </row>
    <row r="3927" spans="1:1" x14ac:dyDescent="0.2">
      <c r="A3927" s="52"/>
    </row>
    <row r="3928" spans="1:1" x14ac:dyDescent="0.2">
      <c r="A3928" s="52"/>
    </row>
    <row r="3929" spans="1:1" x14ac:dyDescent="0.2">
      <c r="A3929" s="52"/>
    </row>
    <row r="3930" spans="1:1" x14ac:dyDescent="0.2">
      <c r="A3930" s="52"/>
    </row>
    <row r="3931" spans="1:1" x14ac:dyDescent="0.2">
      <c r="A3931" s="52"/>
    </row>
    <row r="3932" spans="1:1" x14ac:dyDescent="0.2">
      <c r="A3932" s="52"/>
    </row>
    <row r="3933" spans="1:1" x14ac:dyDescent="0.2">
      <c r="A3933" s="52"/>
    </row>
    <row r="3934" spans="1:1" x14ac:dyDescent="0.2">
      <c r="A3934" s="52"/>
    </row>
    <row r="3935" spans="1:1" x14ac:dyDescent="0.2">
      <c r="A3935" s="52"/>
    </row>
    <row r="3936" spans="1:1" x14ac:dyDescent="0.2">
      <c r="A3936" s="52"/>
    </row>
    <row r="3937" spans="1:1" x14ac:dyDescent="0.2">
      <c r="A3937" s="52"/>
    </row>
    <row r="3938" spans="1:1" x14ac:dyDescent="0.2">
      <c r="A3938" s="52"/>
    </row>
    <row r="3939" spans="1:1" x14ac:dyDescent="0.2">
      <c r="A3939" s="52"/>
    </row>
    <row r="3940" spans="1:1" x14ac:dyDescent="0.2">
      <c r="A3940" s="53"/>
    </row>
    <row r="3941" spans="1:1" x14ac:dyDescent="0.2">
      <c r="A3941" s="52"/>
    </row>
    <row r="3942" spans="1:1" x14ac:dyDescent="0.2">
      <c r="A3942" s="52"/>
    </row>
    <row r="3943" spans="1:1" x14ac:dyDescent="0.2">
      <c r="A3943" s="52"/>
    </row>
    <row r="3944" spans="1:1" x14ac:dyDescent="0.2">
      <c r="A3944" s="52"/>
    </row>
    <row r="3945" spans="1:1" x14ac:dyDescent="0.2">
      <c r="A3945" s="52"/>
    </row>
    <row r="3946" spans="1:1" x14ac:dyDescent="0.2">
      <c r="A3946" s="53"/>
    </row>
    <row r="3947" spans="1:1" x14ac:dyDescent="0.2">
      <c r="A3947" s="52"/>
    </row>
    <row r="3948" spans="1:1" x14ac:dyDescent="0.2">
      <c r="A3948" s="52"/>
    </row>
    <row r="3949" spans="1:1" x14ac:dyDescent="0.2">
      <c r="A3949" s="52"/>
    </row>
    <row r="3950" spans="1:1" x14ac:dyDescent="0.2">
      <c r="A3950" s="52"/>
    </row>
    <row r="3951" spans="1:1" x14ac:dyDescent="0.2">
      <c r="A3951" s="52"/>
    </row>
    <row r="3952" spans="1:1" x14ac:dyDescent="0.2">
      <c r="A3952" s="52"/>
    </row>
    <row r="3953" spans="1:1" x14ac:dyDescent="0.2">
      <c r="A3953" s="52"/>
    </row>
    <row r="3954" spans="1:1" x14ac:dyDescent="0.2">
      <c r="A3954" s="52"/>
    </row>
    <row r="3955" spans="1:1" x14ac:dyDescent="0.2">
      <c r="A3955" s="53"/>
    </row>
    <row r="3956" spans="1:1" x14ac:dyDescent="0.2">
      <c r="A3956" s="52"/>
    </row>
    <row r="3957" spans="1:1" x14ac:dyDescent="0.2">
      <c r="A3957" s="52"/>
    </row>
    <row r="3958" spans="1:1" x14ac:dyDescent="0.2">
      <c r="A3958" s="52"/>
    </row>
    <row r="3959" spans="1:1" x14ac:dyDescent="0.2">
      <c r="A3959" s="52"/>
    </row>
    <row r="3960" spans="1:1" x14ac:dyDescent="0.2">
      <c r="A3960" s="52"/>
    </row>
    <row r="3961" spans="1:1" x14ac:dyDescent="0.2">
      <c r="A3961" s="52"/>
    </row>
    <row r="3962" spans="1:1" x14ac:dyDescent="0.2">
      <c r="A3962" s="52"/>
    </row>
    <row r="3963" spans="1:1" x14ac:dyDescent="0.2">
      <c r="A3963" s="52"/>
    </row>
    <row r="3964" spans="1:1" x14ac:dyDescent="0.2">
      <c r="A3964" s="52"/>
    </row>
    <row r="3965" spans="1:1" x14ac:dyDescent="0.2">
      <c r="A3965" s="52"/>
    </row>
    <row r="3966" spans="1:1" x14ac:dyDescent="0.2">
      <c r="A3966" s="52"/>
    </row>
    <row r="3967" spans="1:1" x14ac:dyDescent="0.2">
      <c r="A3967" s="52"/>
    </row>
    <row r="3968" spans="1:1" x14ac:dyDescent="0.2">
      <c r="A3968" s="52"/>
    </row>
    <row r="3969" spans="1:1" x14ac:dyDescent="0.2">
      <c r="A3969" s="52"/>
    </row>
    <row r="3970" spans="1:1" x14ac:dyDescent="0.2">
      <c r="A3970" s="52"/>
    </row>
    <row r="3971" spans="1:1" x14ac:dyDescent="0.2">
      <c r="A3971" s="52"/>
    </row>
    <row r="3972" spans="1:1" x14ac:dyDescent="0.2">
      <c r="A3972" s="52"/>
    </row>
    <row r="3973" spans="1:1" x14ac:dyDescent="0.2">
      <c r="A3973" s="52"/>
    </row>
    <row r="3974" spans="1:1" x14ac:dyDescent="0.2">
      <c r="A3974" s="52"/>
    </row>
    <row r="3975" spans="1:1" x14ac:dyDescent="0.2">
      <c r="A3975" s="52"/>
    </row>
    <row r="3976" spans="1:1" x14ac:dyDescent="0.2">
      <c r="A3976" s="52"/>
    </row>
    <row r="3977" spans="1:1" x14ac:dyDescent="0.2">
      <c r="A3977" s="52"/>
    </row>
    <row r="3978" spans="1:1" x14ac:dyDescent="0.2">
      <c r="A3978" s="52"/>
    </row>
    <row r="3979" spans="1:1" x14ac:dyDescent="0.2">
      <c r="A3979" s="52"/>
    </row>
    <row r="3980" spans="1:1" x14ac:dyDescent="0.2">
      <c r="A3980" s="52"/>
    </row>
    <row r="3981" spans="1:1" x14ac:dyDescent="0.2">
      <c r="A3981" s="52"/>
    </row>
    <row r="3982" spans="1:1" x14ac:dyDescent="0.2">
      <c r="A3982" s="52"/>
    </row>
    <row r="3983" spans="1:1" x14ac:dyDescent="0.2">
      <c r="A3983" s="52"/>
    </row>
    <row r="3984" spans="1:1" x14ac:dyDescent="0.2">
      <c r="A3984" s="52"/>
    </row>
    <row r="3985" spans="1:1" x14ac:dyDescent="0.2">
      <c r="A3985" s="52"/>
    </row>
    <row r="3986" spans="1:1" x14ac:dyDescent="0.2">
      <c r="A3986" s="53"/>
    </row>
    <row r="3987" spans="1:1" x14ac:dyDescent="0.2">
      <c r="A3987" s="52"/>
    </row>
    <row r="3988" spans="1:1" x14ac:dyDescent="0.2">
      <c r="A3988" s="52"/>
    </row>
    <row r="3989" spans="1:1" x14ac:dyDescent="0.2">
      <c r="A3989" s="52"/>
    </row>
    <row r="3990" spans="1:1" x14ac:dyDescent="0.2">
      <c r="A3990" s="52"/>
    </row>
    <row r="3991" spans="1:1" x14ac:dyDescent="0.2">
      <c r="A3991" s="52"/>
    </row>
    <row r="3992" spans="1:1" x14ac:dyDescent="0.2">
      <c r="A3992" s="53"/>
    </row>
    <row r="3993" spans="1:1" x14ac:dyDescent="0.2">
      <c r="A3993" s="52"/>
    </row>
    <row r="3994" spans="1:1" x14ac:dyDescent="0.2">
      <c r="A3994" s="52"/>
    </row>
    <row r="3995" spans="1:1" x14ac:dyDescent="0.2">
      <c r="A3995" s="53"/>
    </row>
    <row r="3996" spans="1:1" x14ac:dyDescent="0.2">
      <c r="A3996" s="52"/>
    </row>
    <row r="3997" spans="1:1" x14ac:dyDescent="0.2">
      <c r="A3997" s="52"/>
    </row>
    <row r="3998" spans="1:1" x14ac:dyDescent="0.2">
      <c r="A3998" s="52"/>
    </row>
    <row r="3999" spans="1:1" x14ac:dyDescent="0.2">
      <c r="A3999" s="52"/>
    </row>
    <row r="4000" spans="1:1" x14ac:dyDescent="0.2">
      <c r="A4000" s="52"/>
    </row>
    <row r="4001" spans="1:1" x14ac:dyDescent="0.2">
      <c r="A4001" s="52"/>
    </row>
    <row r="4002" spans="1:1" x14ac:dyDescent="0.2">
      <c r="A4002" s="52"/>
    </row>
    <row r="4003" spans="1:1" x14ac:dyDescent="0.2">
      <c r="A4003" s="52"/>
    </row>
    <row r="4004" spans="1:1" x14ac:dyDescent="0.2">
      <c r="A4004" s="52"/>
    </row>
    <row r="4005" spans="1:1" x14ac:dyDescent="0.2">
      <c r="A4005" s="52"/>
    </row>
    <row r="4006" spans="1:1" x14ac:dyDescent="0.2">
      <c r="A4006" s="53"/>
    </row>
    <row r="4007" spans="1:1" x14ac:dyDescent="0.2">
      <c r="A4007" s="52"/>
    </row>
    <row r="4008" spans="1:1" x14ac:dyDescent="0.2">
      <c r="A4008" s="52"/>
    </row>
    <row r="4009" spans="1:1" x14ac:dyDescent="0.2">
      <c r="A4009" s="52"/>
    </row>
    <row r="4010" spans="1:1" x14ac:dyDescent="0.2">
      <c r="A4010" s="52"/>
    </row>
    <row r="4011" spans="1:1" x14ac:dyDescent="0.2">
      <c r="A4011" s="52"/>
    </row>
    <row r="4012" spans="1:1" x14ac:dyDescent="0.2">
      <c r="A4012" s="52"/>
    </row>
    <row r="4013" spans="1:1" x14ac:dyDescent="0.2">
      <c r="A4013" s="52"/>
    </row>
    <row r="4014" spans="1:1" x14ac:dyDescent="0.2">
      <c r="A4014" s="52"/>
    </row>
    <row r="4015" spans="1:1" x14ac:dyDescent="0.2">
      <c r="A4015" s="52"/>
    </row>
    <row r="4016" spans="1:1" x14ac:dyDescent="0.2">
      <c r="A4016" s="52"/>
    </row>
    <row r="4017" spans="1:1" x14ac:dyDescent="0.2">
      <c r="A4017" s="52"/>
    </row>
    <row r="4018" spans="1:1" x14ac:dyDescent="0.2">
      <c r="A4018" s="52"/>
    </row>
    <row r="4019" spans="1:1" x14ac:dyDescent="0.2">
      <c r="A4019" s="52"/>
    </row>
    <row r="4020" spans="1:1" x14ac:dyDescent="0.2">
      <c r="A4020" s="52"/>
    </row>
    <row r="4021" spans="1:1" x14ac:dyDescent="0.2">
      <c r="A4021" s="52"/>
    </row>
    <row r="4022" spans="1:1" x14ac:dyDescent="0.2">
      <c r="A4022" s="53"/>
    </row>
    <row r="4023" spans="1:1" x14ac:dyDescent="0.2">
      <c r="A4023" s="52"/>
    </row>
    <row r="4024" spans="1:1" x14ac:dyDescent="0.2">
      <c r="A4024" s="52"/>
    </row>
    <row r="4025" spans="1:1" x14ac:dyDescent="0.2">
      <c r="A4025" s="52"/>
    </row>
    <row r="4026" spans="1:1" x14ac:dyDescent="0.2">
      <c r="A4026" s="52"/>
    </row>
    <row r="4027" spans="1:1" x14ac:dyDescent="0.2">
      <c r="A4027" s="52"/>
    </row>
    <row r="4028" spans="1:1" x14ac:dyDescent="0.2">
      <c r="A4028" s="53"/>
    </row>
    <row r="4029" spans="1:1" x14ac:dyDescent="0.2">
      <c r="A4029" s="52"/>
    </row>
    <row r="4030" spans="1:1" x14ac:dyDescent="0.2">
      <c r="A4030" s="52"/>
    </row>
    <row r="4031" spans="1:1" x14ac:dyDescent="0.2">
      <c r="A4031" s="52"/>
    </row>
    <row r="4032" spans="1:1" x14ac:dyDescent="0.2">
      <c r="A4032" s="52"/>
    </row>
    <row r="4033" spans="1:1" x14ac:dyDescent="0.2">
      <c r="A4033" s="52"/>
    </row>
    <row r="4034" spans="1:1" x14ac:dyDescent="0.2">
      <c r="A4034" s="52"/>
    </row>
    <row r="4035" spans="1:1" x14ac:dyDescent="0.2">
      <c r="A4035" s="52"/>
    </row>
    <row r="4036" spans="1:1" x14ac:dyDescent="0.2">
      <c r="A4036" s="52"/>
    </row>
    <row r="4037" spans="1:1" x14ac:dyDescent="0.2">
      <c r="A4037" s="52"/>
    </row>
    <row r="4038" spans="1:1" x14ac:dyDescent="0.2">
      <c r="A4038" s="52"/>
    </row>
    <row r="4039" spans="1:1" x14ac:dyDescent="0.2">
      <c r="A4039" s="52"/>
    </row>
    <row r="4040" spans="1:1" x14ac:dyDescent="0.2">
      <c r="A4040" s="52"/>
    </row>
    <row r="4041" spans="1:1" x14ac:dyDescent="0.2">
      <c r="A4041" s="52"/>
    </row>
    <row r="4042" spans="1:1" x14ac:dyDescent="0.2">
      <c r="A4042" s="52"/>
    </row>
    <row r="4043" spans="1:1" x14ac:dyDescent="0.2">
      <c r="A4043" s="52"/>
    </row>
    <row r="4044" spans="1:1" x14ac:dyDescent="0.2">
      <c r="A4044" s="52"/>
    </row>
    <row r="4045" spans="1:1" x14ac:dyDescent="0.2">
      <c r="A4045" s="52"/>
    </row>
    <row r="4046" spans="1:1" x14ac:dyDescent="0.2">
      <c r="A4046" s="52"/>
    </row>
    <row r="4047" spans="1:1" x14ac:dyDescent="0.2">
      <c r="A4047" s="52"/>
    </row>
    <row r="4048" spans="1:1" x14ac:dyDescent="0.2">
      <c r="A4048" s="52"/>
    </row>
    <row r="4049" spans="1:1" x14ac:dyDescent="0.2">
      <c r="A4049" s="52"/>
    </row>
    <row r="4050" spans="1:1" x14ac:dyDescent="0.2">
      <c r="A4050" s="52"/>
    </row>
    <row r="4051" spans="1:1" x14ac:dyDescent="0.2">
      <c r="A4051" s="52"/>
    </row>
    <row r="4052" spans="1:1" x14ac:dyDescent="0.2">
      <c r="A4052" s="52"/>
    </row>
    <row r="4053" spans="1:1" x14ac:dyDescent="0.2">
      <c r="A4053" s="52"/>
    </row>
    <row r="4054" spans="1:1" x14ac:dyDescent="0.2">
      <c r="A4054" s="52"/>
    </row>
    <row r="4055" spans="1:1" x14ac:dyDescent="0.2">
      <c r="A4055" s="52"/>
    </row>
    <row r="4056" spans="1:1" x14ac:dyDescent="0.2">
      <c r="A4056" s="52"/>
    </row>
    <row r="4057" spans="1:1" x14ac:dyDescent="0.2">
      <c r="A4057" s="52"/>
    </row>
    <row r="4058" spans="1:1" x14ac:dyDescent="0.2">
      <c r="A4058" s="52"/>
    </row>
    <row r="4059" spans="1:1" x14ac:dyDescent="0.2">
      <c r="A4059" s="52"/>
    </row>
    <row r="4060" spans="1:1" x14ac:dyDescent="0.2">
      <c r="A4060" s="52"/>
    </row>
    <row r="4061" spans="1:1" x14ac:dyDescent="0.2">
      <c r="A4061" s="52"/>
    </row>
    <row r="4062" spans="1:1" x14ac:dyDescent="0.2">
      <c r="A4062" s="52"/>
    </row>
    <row r="4063" spans="1:1" x14ac:dyDescent="0.2">
      <c r="A4063" s="52"/>
    </row>
    <row r="4064" spans="1:1" x14ac:dyDescent="0.2">
      <c r="A4064" s="52"/>
    </row>
    <row r="4065" spans="1:1" x14ac:dyDescent="0.2">
      <c r="A4065" s="52"/>
    </row>
    <row r="4066" spans="1:1" x14ac:dyDescent="0.2">
      <c r="A4066" s="52"/>
    </row>
    <row r="4067" spans="1:1" x14ac:dyDescent="0.2">
      <c r="A4067" s="52"/>
    </row>
    <row r="4068" spans="1:1" x14ac:dyDescent="0.2">
      <c r="A4068" s="52"/>
    </row>
    <row r="4069" spans="1:1" x14ac:dyDescent="0.2">
      <c r="A4069" s="52"/>
    </row>
    <row r="4070" spans="1:1" x14ac:dyDescent="0.2">
      <c r="A4070" s="52"/>
    </row>
    <row r="4071" spans="1:1" x14ac:dyDescent="0.2">
      <c r="A4071" s="52"/>
    </row>
    <row r="4072" spans="1:1" x14ac:dyDescent="0.2">
      <c r="A4072" s="52"/>
    </row>
    <row r="4073" spans="1:1" x14ac:dyDescent="0.2">
      <c r="A4073" s="52"/>
    </row>
    <row r="4074" spans="1:1" x14ac:dyDescent="0.2">
      <c r="A4074" s="52"/>
    </row>
    <row r="4075" spans="1:1" x14ac:dyDescent="0.2">
      <c r="A4075" s="52"/>
    </row>
    <row r="4076" spans="1:1" x14ac:dyDescent="0.2">
      <c r="A4076" s="52"/>
    </row>
    <row r="4077" spans="1:1" x14ac:dyDescent="0.2">
      <c r="A4077" s="52"/>
    </row>
    <row r="4078" spans="1:1" x14ac:dyDescent="0.2">
      <c r="A4078" s="52"/>
    </row>
    <row r="4079" spans="1:1" x14ac:dyDescent="0.2">
      <c r="A4079" s="52"/>
    </row>
    <row r="4080" spans="1:1" x14ac:dyDescent="0.2">
      <c r="A4080" s="53"/>
    </row>
    <row r="4081" spans="1:1" x14ac:dyDescent="0.2">
      <c r="A4081" s="52"/>
    </row>
    <row r="4082" spans="1:1" x14ac:dyDescent="0.2">
      <c r="A4082" s="52"/>
    </row>
    <row r="4083" spans="1:1" x14ac:dyDescent="0.2">
      <c r="A4083" s="52"/>
    </row>
    <row r="4084" spans="1:1" x14ac:dyDescent="0.2">
      <c r="A4084" s="52"/>
    </row>
    <row r="4085" spans="1:1" x14ac:dyDescent="0.2">
      <c r="A4085" s="52"/>
    </row>
    <row r="4086" spans="1:1" x14ac:dyDescent="0.2">
      <c r="A4086" s="52"/>
    </row>
    <row r="4087" spans="1:1" x14ac:dyDescent="0.2">
      <c r="A4087" s="52"/>
    </row>
    <row r="4088" spans="1:1" x14ac:dyDescent="0.2">
      <c r="A4088" s="52"/>
    </row>
    <row r="4089" spans="1:1" x14ac:dyDescent="0.2">
      <c r="A4089" s="52"/>
    </row>
    <row r="4090" spans="1:1" x14ac:dyDescent="0.2">
      <c r="A4090" s="52"/>
    </row>
    <row r="4091" spans="1:1" x14ac:dyDescent="0.2">
      <c r="A4091" s="52"/>
    </row>
    <row r="4092" spans="1:1" x14ac:dyDescent="0.2">
      <c r="A4092" s="52"/>
    </row>
    <row r="4093" spans="1:1" x14ac:dyDescent="0.2">
      <c r="A4093" s="52"/>
    </row>
    <row r="4094" spans="1:1" x14ac:dyDescent="0.2">
      <c r="A4094" s="52"/>
    </row>
    <row r="4095" spans="1:1" x14ac:dyDescent="0.2">
      <c r="A4095" s="52"/>
    </row>
    <row r="4096" spans="1:1" x14ac:dyDescent="0.2">
      <c r="A4096" s="52"/>
    </row>
    <row r="4097" spans="1:1" x14ac:dyDescent="0.2">
      <c r="A4097" s="52"/>
    </row>
    <row r="4098" spans="1:1" x14ac:dyDescent="0.2">
      <c r="A4098" s="52"/>
    </row>
    <row r="4099" spans="1:1" x14ac:dyDescent="0.2">
      <c r="A4099" s="52"/>
    </row>
    <row r="4100" spans="1:1" x14ac:dyDescent="0.2">
      <c r="A4100" s="52"/>
    </row>
    <row r="4101" spans="1:1" x14ac:dyDescent="0.2">
      <c r="A4101" s="52"/>
    </row>
    <row r="4102" spans="1:1" x14ac:dyDescent="0.2">
      <c r="A4102" s="52"/>
    </row>
    <row r="4103" spans="1:1" x14ac:dyDescent="0.2">
      <c r="A4103" s="52"/>
    </row>
    <row r="4104" spans="1:1" x14ac:dyDescent="0.2">
      <c r="A4104" s="52"/>
    </row>
    <row r="4105" spans="1:1" x14ac:dyDescent="0.2">
      <c r="A4105" s="52"/>
    </row>
    <row r="4106" spans="1:1" x14ac:dyDescent="0.2">
      <c r="A4106" s="52"/>
    </row>
    <row r="4107" spans="1:1" x14ac:dyDescent="0.2">
      <c r="A4107" s="52"/>
    </row>
    <row r="4108" spans="1:1" x14ac:dyDescent="0.2">
      <c r="A4108" s="52"/>
    </row>
    <row r="4109" spans="1:1" x14ac:dyDescent="0.2">
      <c r="A4109" s="52"/>
    </row>
    <row r="4110" spans="1:1" x14ac:dyDescent="0.2">
      <c r="A4110" s="53"/>
    </row>
    <row r="4111" spans="1:1" x14ac:dyDescent="0.2">
      <c r="A4111" s="52"/>
    </row>
    <row r="4112" spans="1:1" x14ac:dyDescent="0.2">
      <c r="A4112" s="52"/>
    </row>
    <row r="4113" spans="1:1" x14ac:dyDescent="0.2">
      <c r="A4113" s="52"/>
    </row>
    <row r="4114" spans="1:1" x14ac:dyDescent="0.2">
      <c r="A4114" s="52"/>
    </row>
    <row r="4115" spans="1:1" x14ac:dyDescent="0.2">
      <c r="A4115" s="52"/>
    </row>
    <row r="4116" spans="1:1" x14ac:dyDescent="0.2">
      <c r="A4116" s="52"/>
    </row>
    <row r="4117" spans="1:1" x14ac:dyDescent="0.2">
      <c r="A4117" s="52"/>
    </row>
    <row r="4118" spans="1:1" x14ac:dyDescent="0.2">
      <c r="A4118" s="52"/>
    </row>
    <row r="4119" spans="1:1" x14ac:dyDescent="0.2">
      <c r="A4119" s="52"/>
    </row>
    <row r="4120" spans="1:1" x14ac:dyDescent="0.2">
      <c r="A4120" s="52"/>
    </row>
    <row r="4121" spans="1:1" x14ac:dyDescent="0.2">
      <c r="A4121" s="52"/>
    </row>
    <row r="4122" spans="1:1" x14ac:dyDescent="0.2">
      <c r="A4122" s="53"/>
    </row>
    <row r="4123" spans="1:1" x14ac:dyDescent="0.2">
      <c r="A4123" s="52"/>
    </row>
    <row r="4124" spans="1:1" x14ac:dyDescent="0.2">
      <c r="A4124" s="52"/>
    </row>
    <row r="4125" spans="1:1" x14ac:dyDescent="0.2">
      <c r="A4125" s="52"/>
    </row>
    <row r="4126" spans="1:1" x14ac:dyDescent="0.2">
      <c r="A4126" s="52"/>
    </row>
    <row r="4127" spans="1:1" x14ac:dyDescent="0.2">
      <c r="A4127" s="52"/>
    </row>
    <row r="4128" spans="1:1" x14ac:dyDescent="0.2">
      <c r="A4128" s="52"/>
    </row>
    <row r="4129" spans="1:1" x14ac:dyDescent="0.2">
      <c r="A4129" s="52"/>
    </row>
    <row r="4130" spans="1:1" x14ac:dyDescent="0.2">
      <c r="A4130" s="52"/>
    </row>
    <row r="4131" spans="1:1" x14ac:dyDescent="0.2">
      <c r="A4131" s="52"/>
    </row>
    <row r="4132" spans="1:1" x14ac:dyDescent="0.2">
      <c r="A4132" s="52"/>
    </row>
    <row r="4133" spans="1:1" x14ac:dyDescent="0.2">
      <c r="A4133" s="52"/>
    </row>
    <row r="4134" spans="1:1" x14ac:dyDescent="0.2">
      <c r="A4134" s="52"/>
    </row>
    <row r="4135" spans="1:1" x14ac:dyDescent="0.2">
      <c r="A4135" s="52"/>
    </row>
    <row r="4136" spans="1:1" x14ac:dyDescent="0.2">
      <c r="A4136" s="52"/>
    </row>
    <row r="4137" spans="1:1" x14ac:dyDescent="0.2">
      <c r="A4137" s="52"/>
    </row>
    <row r="4138" spans="1:1" x14ac:dyDescent="0.2">
      <c r="A4138" s="52"/>
    </row>
    <row r="4139" spans="1:1" x14ac:dyDescent="0.2">
      <c r="A4139" s="52"/>
    </row>
    <row r="4140" spans="1:1" x14ac:dyDescent="0.2">
      <c r="A4140" s="52"/>
    </row>
    <row r="4141" spans="1:1" x14ac:dyDescent="0.2">
      <c r="A4141" s="52"/>
    </row>
    <row r="4142" spans="1:1" x14ac:dyDescent="0.2">
      <c r="A4142" s="52"/>
    </row>
    <row r="4143" spans="1:1" x14ac:dyDescent="0.2">
      <c r="A4143" s="52"/>
    </row>
    <row r="4144" spans="1:1" x14ac:dyDescent="0.2">
      <c r="A4144" s="52"/>
    </row>
    <row r="4145" spans="1:1" x14ac:dyDescent="0.2">
      <c r="A4145" s="52"/>
    </row>
    <row r="4146" spans="1:1" x14ac:dyDescent="0.2">
      <c r="A4146" s="52"/>
    </row>
    <row r="4147" spans="1:1" x14ac:dyDescent="0.2">
      <c r="A4147" s="52"/>
    </row>
    <row r="4148" spans="1:1" x14ac:dyDescent="0.2">
      <c r="A4148" s="52"/>
    </row>
    <row r="4149" spans="1:1" x14ac:dyDescent="0.2">
      <c r="A4149" s="52"/>
    </row>
    <row r="4150" spans="1:1" x14ac:dyDescent="0.2">
      <c r="A4150" s="52"/>
    </row>
    <row r="4151" spans="1:1" x14ac:dyDescent="0.2">
      <c r="A4151" s="52"/>
    </row>
    <row r="4152" spans="1:1" x14ac:dyDescent="0.2">
      <c r="A4152" s="53"/>
    </row>
    <row r="4153" spans="1:1" x14ac:dyDescent="0.2">
      <c r="A4153" s="52"/>
    </row>
    <row r="4154" spans="1:1" x14ac:dyDescent="0.2">
      <c r="A4154" s="52"/>
    </row>
    <row r="4155" spans="1:1" x14ac:dyDescent="0.2">
      <c r="A4155" s="52"/>
    </row>
    <row r="4156" spans="1:1" x14ac:dyDescent="0.2">
      <c r="A4156" s="52"/>
    </row>
    <row r="4157" spans="1:1" x14ac:dyDescent="0.2">
      <c r="A4157" s="52"/>
    </row>
    <row r="4158" spans="1:1" x14ac:dyDescent="0.2">
      <c r="A4158" s="52"/>
    </row>
    <row r="4159" spans="1:1" x14ac:dyDescent="0.2">
      <c r="A4159" s="52"/>
    </row>
    <row r="4160" spans="1:1" x14ac:dyDescent="0.2">
      <c r="A4160" s="52"/>
    </row>
    <row r="4161" spans="1:1" x14ac:dyDescent="0.2">
      <c r="A4161" s="52"/>
    </row>
    <row r="4162" spans="1:1" x14ac:dyDescent="0.2">
      <c r="A4162" s="52"/>
    </row>
    <row r="4163" spans="1:1" x14ac:dyDescent="0.2">
      <c r="A4163" s="52"/>
    </row>
    <row r="4164" spans="1:1" x14ac:dyDescent="0.2">
      <c r="A4164" s="52"/>
    </row>
    <row r="4165" spans="1:1" x14ac:dyDescent="0.2">
      <c r="A4165" s="52"/>
    </row>
    <row r="4166" spans="1:1" x14ac:dyDescent="0.2">
      <c r="A4166" s="52"/>
    </row>
    <row r="4167" spans="1:1" x14ac:dyDescent="0.2">
      <c r="A4167" s="52"/>
    </row>
    <row r="4168" spans="1:1" x14ac:dyDescent="0.2">
      <c r="A4168" s="52"/>
    </row>
    <row r="4169" spans="1:1" x14ac:dyDescent="0.2">
      <c r="A4169" s="52"/>
    </row>
    <row r="4170" spans="1:1" x14ac:dyDescent="0.2">
      <c r="A4170" s="52"/>
    </row>
    <row r="4171" spans="1:1" x14ac:dyDescent="0.2">
      <c r="A4171" s="52"/>
    </row>
    <row r="4172" spans="1:1" x14ac:dyDescent="0.2">
      <c r="A4172" s="52"/>
    </row>
    <row r="4173" spans="1:1" x14ac:dyDescent="0.2">
      <c r="A4173" s="52"/>
    </row>
    <row r="4174" spans="1:1" x14ac:dyDescent="0.2">
      <c r="A4174" s="52"/>
    </row>
    <row r="4175" spans="1:1" x14ac:dyDescent="0.2">
      <c r="A4175" s="52"/>
    </row>
    <row r="4176" spans="1:1" x14ac:dyDescent="0.2">
      <c r="A4176" s="52"/>
    </row>
    <row r="4177" spans="1:1" x14ac:dyDescent="0.2">
      <c r="A4177" s="52"/>
    </row>
    <row r="4178" spans="1:1" x14ac:dyDescent="0.2">
      <c r="A4178" s="52"/>
    </row>
    <row r="4179" spans="1:1" x14ac:dyDescent="0.2">
      <c r="A4179" s="52"/>
    </row>
    <row r="4180" spans="1:1" x14ac:dyDescent="0.2">
      <c r="A4180" s="52"/>
    </row>
    <row r="4181" spans="1:1" x14ac:dyDescent="0.2">
      <c r="A4181" s="52"/>
    </row>
    <row r="4182" spans="1:1" x14ac:dyDescent="0.2">
      <c r="A4182" s="52"/>
    </row>
    <row r="4183" spans="1:1" x14ac:dyDescent="0.2">
      <c r="A4183" s="52"/>
    </row>
    <row r="4184" spans="1:1" x14ac:dyDescent="0.2">
      <c r="A4184" s="53"/>
    </row>
    <row r="4185" spans="1:1" x14ac:dyDescent="0.2">
      <c r="A4185" s="52"/>
    </row>
    <row r="4186" spans="1:1" x14ac:dyDescent="0.2">
      <c r="A4186" s="52"/>
    </row>
    <row r="4187" spans="1:1" x14ac:dyDescent="0.2">
      <c r="A4187" s="52"/>
    </row>
    <row r="4188" spans="1:1" x14ac:dyDescent="0.2">
      <c r="A4188" s="52"/>
    </row>
    <row r="4189" spans="1:1" x14ac:dyDescent="0.2">
      <c r="A4189" s="52"/>
    </row>
    <row r="4190" spans="1:1" x14ac:dyDescent="0.2">
      <c r="A4190" s="53"/>
    </row>
    <row r="4191" spans="1:1" x14ac:dyDescent="0.2">
      <c r="A4191" s="52"/>
    </row>
    <row r="4192" spans="1:1" x14ac:dyDescent="0.2">
      <c r="A4192" s="52"/>
    </row>
    <row r="4193" spans="1:1" x14ac:dyDescent="0.2">
      <c r="A4193" s="52"/>
    </row>
    <row r="4194" spans="1:1" x14ac:dyDescent="0.2">
      <c r="A4194" s="52"/>
    </row>
    <row r="4195" spans="1:1" x14ac:dyDescent="0.2">
      <c r="A4195" s="52"/>
    </row>
    <row r="4196" spans="1:1" x14ac:dyDescent="0.2">
      <c r="A4196" s="52"/>
    </row>
    <row r="4197" spans="1:1" x14ac:dyDescent="0.2">
      <c r="A4197" s="52"/>
    </row>
    <row r="4198" spans="1:1" x14ac:dyDescent="0.2">
      <c r="A4198" s="52"/>
    </row>
    <row r="4199" spans="1:1" x14ac:dyDescent="0.2">
      <c r="A4199" s="52"/>
    </row>
    <row r="4200" spans="1:1" x14ac:dyDescent="0.2">
      <c r="A4200" s="52"/>
    </row>
    <row r="4201" spans="1:1" x14ac:dyDescent="0.2">
      <c r="A4201" s="52"/>
    </row>
    <row r="4202" spans="1:1" x14ac:dyDescent="0.2">
      <c r="A4202" s="52"/>
    </row>
    <row r="4203" spans="1:1" x14ac:dyDescent="0.2">
      <c r="A4203" s="52"/>
    </row>
    <row r="4204" spans="1:1" x14ac:dyDescent="0.2">
      <c r="A4204" s="53"/>
    </row>
    <row r="4205" spans="1:1" x14ac:dyDescent="0.2">
      <c r="A4205" s="52"/>
    </row>
    <row r="4206" spans="1:1" x14ac:dyDescent="0.2">
      <c r="A4206" s="52"/>
    </row>
    <row r="4207" spans="1:1" x14ac:dyDescent="0.2">
      <c r="A4207" s="52"/>
    </row>
    <row r="4208" spans="1:1" x14ac:dyDescent="0.2">
      <c r="A4208" s="52"/>
    </row>
    <row r="4209" spans="1:1" x14ac:dyDescent="0.2">
      <c r="A4209" s="52"/>
    </row>
    <row r="4210" spans="1:1" x14ac:dyDescent="0.2">
      <c r="A4210" s="52"/>
    </row>
    <row r="4211" spans="1:1" x14ac:dyDescent="0.2">
      <c r="A4211" s="52"/>
    </row>
    <row r="4212" spans="1:1" x14ac:dyDescent="0.2">
      <c r="A4212" s="52"/>
    </row>
    <row r="4213" spans="1:1" x14ac:dyDescent="0.2">
      <c r="A4213" s="52"/>
    </row>
    <row r="4214" spans="1:1" x14ac:dyDescent="0.2">
      <c r="A4214" s="52"/>
    </row>
    <row r="4215" spans="1:1" x14ac:dyDescent="0.2">
      <c r="A4215" s="52"/>
    </row>
    <row r="4216" spans="1:1" x14ac:dyDescent="0.2">
      <c r="A4216" s="52"/>
    </row>
    <row r="4217" spans="1:1" x14ac:dyDescent="0.2">
      <c r="A4217" s="52"/>
    </row>
    <row r="4218" spans="1:1" x14ac:dyDescent="0.2">
      <c r="A4218" s="52"/>
    </row>
    <row r="4219" spans="1:1" x14ac:dyDescent="0.2">
      <c r="A4219" s="52"/>
    </row>
    <row r="4220" spans="1:1" x14ac:dyDescent="0.2">
      <c r="A4220" s="52"/>
    </row>
    <row r="4221" spans="1:1" x14ac:dyDescent="0.2">
      <c r="A4221" s="52"/>
    </row>
    <row r="4222" spans="1:1" x14ac:dyDescent="0.2">
      <c r="A4222" s="52"/>
    </row>
    <row r="4223" spans="1:1" x14ac:dyDescent="0.2">
      <c r="A4223" s="52"/>
    </row>
    <row r="4224" spans="1:1" x14ac:dyDescent="0.2">
      <c r="A4224" s="52"/>
    </row>
    <row r="4225" spans="1:1" x14ac:dyDescent="0.2">
      <c r="A4225" s="52"/>
    </row>
    <row r="4226" spans="1:1" x14ac:dyDescent="0.2">
      <c r="A4226" s="52"/>
    </row>
    <row r="4227" spans="1:1" x14ac:dyDescent="0.2">
      <c r="A4227" s="52"/>
    </row>
    <row r="4228" spans="1:1" x14ac:dyDescent="0.2">
      <c r="A4228" s="53"/>
    </row>
    <row r="4229" spans="1:1" x14ac:dyDescent="0.2">
      <c r="A4229" s="53"/>
    </row>
    <row r="4230" spans="1:1" x14ac:dyDescent="0.2">
      <c r="A4230" s="52"/>
    </row>
    <row r="4231" spans="1:1" x14ac:dyDescent="0.2">
      <c r="A4231" s="53"/>
    </row>
    <row r="4232" spans="1:1" x14ac:dyDescent="0.2">
      <c r="A4232" s="52"/>
    </row>
    <row r="4233" spans="1:1" x14ac:dyDescent="0.2">
      <c r="A4233" s="52"/>
    </row>
    <row r="4234" spans="1:1" x14ac:dyDescent="0.2">
      <c r="A4234" s="52"/>
    </row>
    <row r="4235" spans="1:1" x14ac:dyDescent="0.2">
      <c r="A4235" s="52"/>
    </row>
    <row r="4236" spans="1:1" x14ac:dyDescent="0.2">
      <c r="A4236" s="52"/>
    </row>
    <row r="4237" spans="1:1" x14ac:dyDescent="0.2">
      <c r="A4237" s="52"/>
    </row>
    <row r="4238" spans="1:1" x14ac:dyDescent="0.2">
      <c r="A4238" s="52"/>
    </row>
    <row r="4239" spans="1:1" x14ac:dyDescent="0.2">
      <c r="A4239" s="52"/>
    </row>
    <row r="4240" spans="1:1" x14ac:dyDescent="0.2">
      <c r="A4240" s="52"/>
    </row>
    <row r="4241" spans="1:1" x14ac:dyDescent="0.2">
      <c r="A4241" s="52"/>
    </row>
    <row r="4242" spans="1:1" x14ac:dyDescent="0.2">
      <c r="A4242" s="52"/>
    </row>
    <row r="4243" spans="1:1" x14ac:dyDescent="0.2">
      <c r="A4243" s="52"/>
    </row>
    <row r="4244" spans="1:1" x14ac:dyDescent="0.2">
      <c r="A4244" s="52"/>
    </row>
    <row r="4245" spans="1:1" x14ac:dyDescent="0.2">
      <c r="A4245" s="53"/>
    </row>
    <row r="4246" spans="1:1" x14ac:dyDescent="0.2">
      <c r="A4246" s="52"/>
    </row>
    <row r="4247" spans="1:1" x14ac:dyDescent="0.2">
      <c r="A4247" s="52"/>
    </row>
    <row r="4248" spans="1:1" x14ac:dyDescent="0.2">
      <c r="A4248" s="52"/>
    </row>
    <row r="4249" spans="1:1" x14ac:dyDescent="0.2">
      <c r="A4249" s="52"/>
    </row>
    <row r="4250" spans="1:1" x14ac:dyDescent="0.2">
      <c r="A4250" s="52"/>
    </row>
    <row r="4251" spans="1:1" x14ac:dyDescent="0.2">
      <c r="A4251" s="52"/>
    </row>
    <row r="4252" spans="1:1" x14ac:dyDescent="0.2">
      <c r="A4252" s="52"/>
    </row>
    <row r="4253" spans="1:1" x14ac:dyDescent="0.2">
      <c r="A4253" s="52"/>
    </row>
    <row r="4254" spans="1:1" x14ac:dyDescent="0.2">
      <c r="A4254" s="53"/>
    </row>
    <row r="4255" spans="1:1" x14ac:dyDescent="0.2">
      <c r="A4255" s="52"/>
    </row>
    <row r="4256" spans="1:1" x14ac:dyDescent="0.2">
      <c r="A4256" s="52"/>
    </row>
    <row r="4257" spans="1:1" x14ac:dyDescent="0.2">
      <c r="A4257" s="52"/>
    </row>
    <row r="4258" spans="1:1" x14ac:dyDescent="0.2">
      <c r="A4258" s="52"/>
    </row>
    <row r="4259" spans="1:1" x14ac:dyDescent="0.2">
      <c r="A4259" s="52"/>
    </row>
    <row r="4260" spans="1:1" x14ac:dyDescent="0.2">
      <c r="A4260" s="52"/>
    </row>
    <row r="4261" spans="1:1" x14ac:dyDescent="0.2">
      <c r="A4261" s="52"/>
    </row>
    <row r="4262" spans="1:1" x14ac:dyDescent="0.2">
      <c r="A4262" s="53"/>
    </row>
    <row r="4263" spans="1:1" x14ac:dyDescent="0.2">
      <c r="A4263" s="52"/>
    </row>
    <row r="4264" spans="1:1" x14ac:dyDescent="0.2">
      <c r="A4264" s="53"/>
    </row>
    <row r="4265" spans="1:1" x14ac:dyDescent="0.2">
      <c r="A4265" s="52"/>
    </row>
    <row r="4266" spans="1:1" x14ac:dyDescent="0.2">
      <c r="A4266" s="53"/>
    </row>
    <row r="4267" spans="1:1" x14ac:dyDescent="0.2">
      <c r="A4267" s="52"/>
    </row>
    <row r="4268" spans="1:1" x14ac:dyDescent="0.2">
      <c r="A4268" s="52"/>
    </row>
    <row r="4269" spans="1:1" x14ac:dyDescent="0.2">
      <c r="A4269" s="52"/>
    </row>
    <row r="4270" spans="1:1" x14ac:dyDescent="0.2">
      <c r="A4270" s="52"/>
    </row>
    <row r="4271" spans="1:1" x14ac:dyDescent="0.2">
      <c r="A4271" s="52"/>
    </row>
    <row r="4272" spans="1:1" x14ac:dyDescent="0.2">
      <c r="A4272" s="52"/>
    </row>
    <row r="4273" spans="1:1" x14ac:dyDescent="0.2">
      <c r="A4273" s="52"/>
    </row>
    <row r="4274" spans="1:1" x14ac:dyDescent="0.2">
      <c r="A4274" s="52"/>
    </row>
    <row r="4275" spans="1:1" x14ac:dyDescent="0.2">
      <c r="A4275" s="52"/>
    </row>
    <row r="4276" spans="1:1" x14ac:dyDescent="0.2">
      <c r="A4276" s="52"/>
    </row>
    <row r="4277" spans="1:1" x14ac:dyDescent="0.2">
      <c r="A4277" s="52"/>
    </row>
    <row r="4278" spans="1:1" x14ac:dyDescent="0.2">
      <c r="A4278" s="52"/>
    </row>
    <row r="4279" spans="1:1" x14ac:dyDescent="0.2">
      <c r="A4279" s="52"/>
    </row>
    <row r="4280" spans="1:1" x14ac:dyDescent="0.2">
      <c r="A4280" s="52"/>
    </row>
    <row r="4281" spans="1:1" x14ac:dyDescent="0.2">
      <c r="A4281" s="53"/>
    </row>
    <row r="4282" spans="1:1" x14ac:dyDescent="0.2">
      <c r="A4282" s="52"/>
    </row>
    <row r="4283" spans="1:1" x14ac:dyDescent="0.2">
      <c r="A4283" s="52"/>
    </row>
    <row r="4284" spans="1:1" x14ac:dyDescent="0.2">
      <c r="A4284" s="52"/>
    </row>
    <row r="4285" spans="1:1" x14ac:dyDescent="0.2">
      <c r="A4285" s="53"/>
    </row>
    <row r="4286" spans="1:1" x14ac:dyDescent="0.2">
      <c r="A4286" s="52"/>
    </row>
    <row r="4287" spans="1:1" x14ac:dyDescent="0.2">
      <c r="A4287" s="52"/>
    </row>
    <row r="4288" spans="1:1" x14ac:dyDescent="0.2">
      <c r="A4288" s="52"/>
    </row>
    <row r="4289" spans="1:1" x14ac:dyDescent="0.2">
      <c r="A4289" s="52"/>
    </row>
    <row r="4290" spans="1:1" x14ac:dyDescent="0.2">
      <c r="A4290" s="52"/>
    </row>
    <row r="4291" spans="1:1" x14ac:dyDescent="0.2">
      <c r="A4291" s="52"/>
    </row>
    <row r="4292" spans="1:1" x14ac:dyDescent="0.2">
      <c r="A4292" s="52"/>
    </row>
    <row r="4293" spans="1:1" x14ac:dyDescent="0.2">
      <c r="A4293" s="52"/>
    </row>
    <row r="4294" spans="1:1" x14ac:dyDescent="0.2">
      <c r="A4294" s="52"/>
    </row>
    <row r="4295" spans="1:1" x14ac:dyDescent="0.2">
      <c r="A4295" s="53"/>
    </row>
    <row r="4296" spans="1:1" x14ac:dyDescent="0.2">
      <c r="A4296" s="52"/>
    </row>
    <row r="4297" spans="1:1" x14ac:dyDescent="0.2">
      <c r="A4297" s="52"/>
    </row>
    <row r="4298" spans="1:1" x14ac:dyDescent="0.2">
      <c r="A4298" s="52"/>
    </row>
    <row r="4299" spans="1:1" x14ac:dyDescent="0.2">
      <c r="A4299" s="53"/>
    </row>
    <row r="4300" spans="1:1" x14ac:dyDescent="0.2">
      <c r="A4300" s="52"/>
    </row>
    <row r="4301" spans="1:1" x14ac:dyDescent="0.2">
      <c r="A4301" s="52"/>
    </row>
    <row r="4302" spans="1:1" x14ac:dyDescent="0.2">
      <c r="A4302" s="52"/>
    </row>
    <row r="4303" spans="1:1" x14ac:dyDescent="0.2">
      <c r="A4303" s="52"/>
    </row>
    <row r="4304" spans="1:1" x14ac:dyDescent="0.2">
      <c r="A4304" s="52"/>
    </row>
    <row r="4305" spans="1:1" x14ac:dyDescent="0.2">
      <c r="A4305" s="52"/>
    </row>
    <row r="4306" spans="1:1" x14ac:dyDescent="0.2">
      <c r="A4306" s="52"/>
    </row>
    <row r="4307" spans="1:1" x14ac:dyDescent="0.2">
      <c r="A4307" s="52"/>
    </row>
    <row r="4308" spans="1:1" x14ac:dyDescent="0.2">
      <c r="A4308" s="52"/>
    </row>
    <row r="4309" spans="1:1" x14ac:dyDescent="0.2">
      <c r="A4309" s="52"/>
    </row>
    <row r="4310" spans="1:1" x14ac:dyDescent="0.2">
      <c r="A4310" s="52"/>
    </row>
    <row r="4311" spans="1:1" x14ac:dyDescent="0.2">
      <c r="A4311" s="52"/>
    </row>
    <row r="4312" spans="1:1" x14ac:dyDescent="0.2">
      <c r="A4312" s="52"/>
    </row>
    <row r="4313" spans="1:1" x14ac:dyDescent="0.2">
      <c r="A4313" s="52"/>
    </row>
    <row r="4314" spans="1:1" x14ac:dyDescent="0.2">
      <c r="A4314" s="52"/>
    </row>
    <row r="4315" spans="1:1" x14ac:dyDescent="0.2">
      <c r="A4315" s="52"/>
    </row>
    <row r="4316" spans="1:1" x14ac:dyDescent="0.2">
      <c r="A4316" s="52"/>
    </row>
    <row r="4317" spans="1:1" x14ac:dyDescent="0.2">
      <c r="A4317" s="52"/>
    </row>
    <row r="4318" spans="1:1" x14ac:dyDescent="0.2">
      <c r="A4318" s="52"/>
    </row>
    <row r="4319" spans="1:1" x14ac:dyDescent="0.2">
      <c r="A4319" s="52"/>
    </row>
    <row r="4320" spans="1:1" x14ac:dyDescent="0.2">
      <c r="A4320" s="52"/>
    </row>
    <row r="4321" spans="1:1" x14ac:dyDescent="0.2">
      <c r="A4321" s="52"/>
    </row>
    <row r="4322" spans="1:1" x14ac:dyDescent="0.2">
      <c r="A4322" s="52"/>
    </row>
    <row r="4323" spans="1:1" x14ac:dyDescent="0.2">
      <c r="A4323" s="53"/>
    </row>
    <row r="4324" spans="1:1" x14ac:dyDescent="0.2">
      <c r="A4324" s="52"/>
    </row>
    <row r="4325" spans="1:1" x14ac:dyDescent="0.2">
      <c r="A4325" s="52"/>
    </row>
    <row r="4326" spans="1:1" x14ac:dyDescent="0.2">
      <c r="A4326" s="52"/>
    </row>
    <row r="4327" spans="1:1" x14ac:dyDescent="0.2">
      <c r="A4327" s="52"/>
    </row>
    <row r="4328" spans="1:1" x14ac:dyDescent="0.2">
      <c r="A4328" s="52"/>
    </row>
    <row r="4329" spans="1:1" x14ac:dyDescent="0.2">
      <c r="A4329" s="52"/>
    </row>
    <row r="4330" spans="1:1" x14ac:dyDescent="0.2">
      <c r="A4330" s="52"/>
    </row>
    <row r="4331" spans="1:1" x14ac:dyDescent="0.2">
      <c r="A4331" s="52"/>
    </row>
    <row r="4332" spans="1:1" x14ac:dyDescent="0.2">
      <c r="A4332" s="52"/>
    </row>
    <row r="4333" spans="1:1" x14ac:dyDescent="0.2">
      <c r="A4333" s="52"/>
    </row>
    <row r="4334" spans="1:1" x14ac:dyDescent="0.2">
      <c r="A4334" s="52"/>
    </row>
    <row r="4335" spans="1:1" x14ac:dyDescent="0.2">
      <c r="A4335" s="52"/>
    </row>
    <row r="4336" spans="1:1" x14ac:dyDescent="0.2">
      <c r="A4336" s="52"/>
    </row>
    <row r="4337" spans="1:1" x14ac:dyDescent="0.2">
      <c r="A4337" s="52"/>
    </row>
    <row r="4338" spans="1:1" x14ac:dyDescent="0.2">
      <c r="A4338" s="52"/>
    </row>
    <row r="4339" spans="1:1" x14ac:dyDescent="0.2">
      <c r="A4339" s="52"/>
    </row>
    <row r="4340" spans="1:1" x14ac:dyDescent="0.2">
      <c r="A4340" s="52"/>
    </row>
    <row r="4341" spans="1:1" x14ac:dyDescent="0.2">
      <c r="A4341" s="52"/>
    </row>
    <row r="4342" spans="1:1" x14ac:dyDescent="0.2">
      <c r="A4342" s="52"/>
    </row>
    <row r="4343" spans="1:1" x14ac:dyDescent="0.2">
      <c r="A4343" s="53"/>
    </row>
    <row r="4344" spans="1:1" x14ac:dyDescent="0.2">
      <c r="A4344" s="52"/>
    </row>
    <row r="4345" spans="1:1" x14ac:dyDescent="0.2">
      <c r="A4345" s="52"/>
    </row>
    <row r="4346" spans="1:1" x14ac:dyDescent="0.2">
      <c r="A4346" s="52"/>
    </row>
    <row r="4347" spans="1:1" x14ac:dyDescent="0.2">
      <c r="A4347" s="52"/>
    </row>
    <row r="4348" spans="1:1" x14ac:dyDescent="0.2">
      <c r="A4348" s="52"/>
    </row>
    <row r="4349" spans="1:1" x14ac:dyDescent="0.2">
      <c r="A4349" s="52"/>
    </row>
    <row r="4350" spans="1:1" x14ac:dyDescent="0.2">
      <c r="A4350" s="52"/>
    </row>
    <row r="4351" spans="1:1" x14ac:dyDescent="0.2">
      <c r="A4351" s="52"/>
    </row>
    <row r="4352" spans="1:1" x14ac:dyDescent="0.2">
      <c r="A4352" s="52"/>
    </row>
    <row r="4353" spans="1:1" x14ac:dyDescent="0.2">
      <c r="A4353" s="52"/>
    </row>
    <row r="4354" spans="1:1" x14ac:dyDescent="0.2">
      <c r="A4354" s="52"/>
    </row>
    <row r="4355" spans="1:1" x14ac:dyDescent="0.2">
      <c r="A4355" s="52"/>
    </row>
    <row r="4356" spans="1:1" x14ac:dyDescent="0.2">
      <c r="A4356" s="52"/>
    </row>
    <row r="4357" spans="1:1" x14ac:dyDescent="0.2">
      <c r="A4357" s="52"/>
    </row>
    <row r="4358" spans="1:1" x14ac:dyDescent="0.2">
      <c r="A4358" s="52"/>
    </row>
    <row r="4359" spans="1:1" x14ac:dyDescent="0.2">
      <c r="A4359" s="52"/>
    </row>
    <row r="4360" spans="1:1" x14ac:dyDescent="0.2">
      <c r="A4360" s="52"/>
    </row>
    <row r="4361" spans="1:1" x14ac:dyDescent="0.2">
      <c r="A4361" s="52"/>
    </row>
    <row r="4362" spans="1:1" x14ac:dyDescent="0.2">
      <c r="A4362" s="52"/>
    </row>
    <row r="4363" spans="1:1" x14ac:dyDescent="0.2">
      <c r="A4363" s="52"/>
    </row>
    <row r="4364" spans="1:1" x14ac:dyDescent="0.2">
      <c r="A4364" s="52"/>
    </row>
    <row r="4365" spans="1:1" x14ac:dyDescent="0.2">
      <c r="A4365" s="52"/>
    </row>
    <row r="4366" spans="1:1" x14ac:dyDescent="0.2">
      <c r="A4366" s="52"/>
    </row>
    <row r="4367" spans="1:1" x14ac:dyDescent="0.2">
      <c r="A4367" s="52"/>
    </row>
    <row r="4368" spans="1:1" x14ac:dyDescent="0.2">
      <c r="A4368" s="52"/>
    </row>
    <row r="4369" spans="1:1" x14ac:dyDescent="0.2">
      <c r="A4369" s="52"/>
    </row>
    <row r="4370" spans="1:1" x14ac:dyDescent="0.2">
      <c r="A4370" s="52"/>
    </row>
    <row r="4371" spans="1:1" x14ac:dyDescent="0.2">
      <c r="A4371" s="53"/>
    </row>
    <row r="4372" spans="1:1" x14ac:dyDescent="0.2">
      <c r="A4372" s="52"/>
    </row>
    <row r="4373" spans="1:1" x14ac:dyDescent="0.2">
      <c r="A4373" s="52"/>
    </row>
    <row r="4374" spans="1:1" x14ac:dyDescent="0.2">
      <c r="A4374" s="52"/>
    </row>
    <row r="4375" spans="1:1" x14ac:dyDescent="0.2">
      <c r="A4375" s="52"/>
    </row>
    <row r="4376" spans="1:1" x14ac:dyDescent="0.2">
      <c r="A4376" s="52"/>
    </row>
    <row r="4377" spans="1:1" x14ac:dyDescent="0.2">
      <c r="A4377" s="52"/>
    </row>
    <row r="4378" spans="1:1" x14ac:dyDescent="0.2">
      <c r="A4378" s="52"/>
    </row>
    <row r="4379" spans="1:1" x14ac:dyDescent="0.2">
      <c r="A4379" s="53"/>
    </row>
    <row r="4380" spans="1:1" x14ac:dyDescent="0.2">
      <c r="A4380" s="52"/>
    </row>
    <row r="4381" spans="1:1" x14ac:dyDescent="0.2">
      <c r="A4381" s="52"/>
    </row>
    <row r="4382" spans="1:1" x14ac:dyDescent="0.2">
      <c r="A4382" s="52"/>
    </row>
    <row r="4383" spans="1:1" x14ac:dyDescent="0.2">
      <c r="A4383" s="52"/>
    </row>
    <row r="4384" spans="1:1" x14ac:dyDescent="0.2">
      <c r="A4384" s="53"/>
    </row>
    <row r="4385" spans="1:1" x14ac:dyDescent="0.2">
      <c r="A4385" s="52"/>
    </row>
    <row r="4386" spans="1:1" x14ac:dyDescent="0.2">
      <c r="A4386" s="52"/>
    </row>
    <row r="4387" spans="1:1" x14ac:dyDescent="0.2">
      <c r="A4387" s="52"/>
    </row>
    <row r="4388" spans="1:1" x14ac:dyDescent="0.2">
      <c r="A4388" s="52"/>
    </row>
    <row r="4389" spans="1:1" x14ac:dyDescent="0.2">
      <c r="A4389" s="52"/>
    </row>
    <row r="4390" spans="1:1" x14ac:dyDescent="0.2">
      <c r="A4390" s="52"/>
    </row>
    <row r="4391" spans="1:1" x14ac:dyDescent="0.2">
      <c r="A4391" s="52"/>
    </row>
    <row r="4392" spans="1:1" x14ac:dyDescent="0.2">
      <c r="A4392" s="52"/>
    </row>
    <row r="4393" spans="1:1" x14ac:dyDescent="0.2">
      <c r="A4393" s="52"/>
    </row>
    <row r="4394" spans="1:1" x14ac:dyDescent="0.2">
      <c r="A4394" s="52"/>
    </row>
    <row r="4395" spans="1:1" x14ac:dyDescent="0.2">
      <c r="A4395" s="52"/>
    </row>
    <row r="4396" spans="1:1" x14ac:dyDescent="0.2">
      <c r="A4396" s="52"/>
    </row>
    <row r="4397" spans="1:1" x14ac:dyDescent="0.2">
      <c r="A4397" s="52"/>
    </row>
    <row r="4398" spans="1:1" x14ac:dyDescent="0.2">
      <c r="A4398" s="52"/>
    </row>
    <row r="4399" spans="1:1" x14ac:dyDescent="0.2">
      <c r="A4399" s="52"/>
    </row>
    <row r="4400" spans="1:1" x14ac:dyDescent="0.2">
      <c r="A4400" s="52"/>
    </row>
    <row r="4401" spans="1:1" x14ac:dyDescent="0.2">
      <c r="A4401" s="52"/>
    </row>
    <row r="4402" spans="1:1" x14ac:dyDescent="0.2">
      <c r="A4402" s="52"/>
    </row>
    <row r="4403" spans="1:1" x14ac:dyDescent="0.2">
      <c r="A4403" s="52"/>
    </row>
    <row r="4404" spans="1:1" x14ac:dyDescent="0.2">
      <c r="A4404" s="53"/>
    </row>
    <row r="4405" spans="1:1" x14ac:dyDescent="0.2">
      <c r="A4405" s="52"/>
    </row>
    <row r="4406" spans="1:1" x14ac:dyDescent="0.2">
      <c r="A4406" s="52"/>
    </row>
    <row r="4407" spans="1:1" x14ac:dyDescent="0.2">
      <c r="A4407" s="52"/>
    </row>
    <row r="4408" spans="1:1" x14ac:dyDescent="0.2">
      <c r="A4408" s="52"/>
    </row>
    <row r="4409" spans="1:1" x14ac:dyDescent="0.2">
      <c r="A4409" s="52"/>
    </row>
    <row r="4410" spans="1:1" x14ac:dyDescent="0.2">
      <c r="A4410" s="52"/>
    </row>
    <row r="4411" spans="1:1" x14ac:dyDescent="0.2">
      <c r="A4411" s="52"/>
    </row>
    <row r="4412" spans="1:1" x14ac:dyDescent="0.2">
      <c r="A4412" s="52"/>
    </row>
    <row r="4413" spans="1:1" x14ac:dyDescent="0.2">
      <c r="A4413" s="52"/>
    </row>
    <row r="4414" spans="1:1" x14ac:dyDescent="0.2">
      <c r="A4414" s="53"/>
    </row>
    <row r="4415" spans="1:1" x14ac:dyDescent="0.2">
      <c r="A4415" s="52"/>
    </row>
    <row r="4416" spans="1:1" x14ac:dyDescent="0.2">
      <c r="A4416" s="52"/>
    </row>
    <row r="4417" spans="1:1" x14ac:dyDescent="0.2">
      <c r="A4417" s="52"/>
    </row>
    <row r="4418" spans="1:1" x14ac:dyDescent="0.2">
      <c r="A4418" s="52"/>
    </row>
    <row r="4419" spans="1:1" x14ac:dyDescent="0.2">
      <c r="A4419" s="52"/>
    </row>
    <row r="4420" spans="1:1" x14ac:dyDescent="0.2">
      <c r="A4420" s="52"/>
    </row>
    <row r="4421" spans="1:1" x14ac:dyDescent="0.2">
      <c r="A4421" s="52"/>
    </row>
    <row r="4422" spans="1:1" x14ac:dyDescent="0.2">
      <c r="A4422" s="52"/>
    </row>
    <row r="4423" spans="1:1" x14ac:dyDescent="0.2">
      <c r="A4423" s="52"/>
    </row>
    <row r="4424" spans="1:1" x14ac:dyDescent="0.2">
      <c r="A4424" s="52"/>
    </row>
    <row r="4425" spans="1:1" x14ac:dyDescent="0.2">
      <c r="A4425" s="52"/>
    </row>
    <row r="4426" spans="1:1" x14ac:dyDescent="0.2">
      <c r="A4426" s="52"/>
    </row>
    <row r="4427" spans="1:1" x14ac:dyDescent="0.2">
      <c r="A4427" s="52"/>
    </row>
    <row r="4428" spans="1:1" x14ac:dyDescent="0.2">
      <c r="A4428" s="52"/>
    </row>
    <row r="4429" spans="1:1" x14ac:dyDescent="0.2">
      <c r="A4429" s="52"/>
    </row>
    <row r="4430" spans="1:1" x14ac:dyDescent="0.2">
      <c r="A4430" s="52"/>
    </row>
    <row r="4431" spans="1:1" x14ac:dyDescent="0.2">
      <c r="A4431" s="52"/>
    </row>
    <row r="4432" spans="1:1" x14ac:dyDescent="0.2">
      <c r="A4432" s="52"/>
    </row>
    <row r="4433" spans="1:1" x14ac:dyDescent="0.2">
      <c r="A4433" s="52"/>
    </row>
    <row r="4434" spans="1:1" x14ac:dyDescent="0.2">
      <c r="A4434" s="52"/>
    </row>
    <row r="4435" spans="1:1" x14ac:dyDescent="0.2">
      <c r="A4435" s="52"/>
    </row>
    <row r="4436" spans="1:1" x14ac:dyDescent="0.2">
      <c r="A4436" s="52"/>
    </row>
    <row r="4437" spans="1:1" x14ac:dyDescent="0.2">
      <c r="A4437" s="52"/>
    </row>
    <row r="4438" spans="1:1" x14ac:dyDescent="0.2">
      <c r="A4438" s="52"/>
    </row>
    <row r="4439" spans="1:1" x14ac:dyDescent="0.2">
      <c r="A4439" s="52"/>
    </row>
    <row r="4440" spans="1:1" x14ac:dyDescent="0.2">
      <c r="A4440" s="52"/>
    </row>
    <row r="4441" spans="1:1" x14ac:dyDescent="0.2">
      <c r="A4441" s="52"/>
    </row>
    <row r="4442" spans="1:1" x14ac:dyDescent="0.2">
      <c r="A4442" s="52"/>
    </row>
    <row r="4443" spans="1:1" x14ac:dyDescent="0.2">
      <c r="A4443" s="52"/>
    </row>
    <row r="4444" spans="1:1" x14ac:dyDescent="0.2">
      <c r="A4444" s="52"/>
    </row>
    <row r="4445" spans="1:1" x14ac:dyDescent="0.2">
      <c r="A4445" s="52"/>
    </row>
    <row r="4446" spans="1:1" x14ac:dyDescent="0.2">
      <c r="A4446" s="52"/>
    </row>
    <row r="4447" spans="1:1" x14ac:dyDescent="0.2">
      <c r="A4447" s="52"/>
    </row>
    <row r="4448" spans="1:1" x14ac:dyDescent="0.2">
      <c r="A4448" s="52"/>
    </row>
    <row r="4449" spans="1:1" x14ac:dyDescent="0.2">
      <c r="A4449" s="52"/>
    </row>
    <row r="4450" spans="1:1" x14ac:dyDescent="0.2">
      <c r="A4450" s="52"/>
    </row>
    <row r="4451" spans="1:1" x14ac:dyDescent="0.2">
      <c r="A4451" s="52"/>
    </row>
    <row r="4452" spans="1:1" x14ac:dyDescent="0.2">
      <c r="A4452" s="53"/>
    </row>
    <row r="4453" spans="1:1" x14ac:dyDescent="0.2">
      <c r="A4453" s="52"/>
    </row>
    <row r="4454" spans="1:1" x14ac:dyDescent="0.2">
      <c r="A4454" s="53"/>
    </row>
    <row r="4455" spans="1:1" x14ac:dyDescent="0.2">
      <c r="A4455" s="53"/>
    </row>
    <row r="4456" spans="1:1" x14ac:dyDescent="0.2">
      <c r="A4456" s="53"/>
    </row>
    <row r="4457" spans="1:1" x14ac:dyDescent="0.2">
      <c r="A4457" s="53"/>
    </row>
    <row r="4458" spans="1:1" x14ac:dyDescent="0.2">
      <c r="A4458" s="53"/>
    </row>
    <row r="4459" spans="1:1" x14ac:dyDescent="0.2">
      <c r="A4459" s="52"/>
    </row>
    <row r="4460" spans="1:1" x14ac:dyDescent="0.2">
      <c r="A4460" s="53"/>
    </row>
    <row r="4461" spans="1:1" x14ac:dyDescent="0.2">
      <c r="A4461" s="52"/>
    </row>
    <row r="4462" spans="1:1" x14ac:dyDescent="0.2">
      <c r="A4462" s="52"/>
    </row>
    <row r="4463" spans="1:1" x14ac:dyDescent="0.2">
      <c r="A4463" s="53"/>
    </row>
    <row r="4464" spans="1:1" x14ac:dyDescent="0.2">
      <c r="A4464" s="52"/>
    </row>
    <row r="4465" spans="1:1" x14ac:dyDescent="0.2">
      <c r="A4465" s="52"/>
    </row>
    <row r="4466" spans="1:1" x14ac:dyDescent="0.2">
      <c r="A4466" s="52"/>
    </row>
    <row r="4467" spans="1:1" x14ac:dyDescent="0.2">
      <c r="A4467" s="53"/>
    </row>
    <row r="4468" spans="1:1" x14ac:dyDescent="0.2">
      <c r="A4468" s="52"/>
    </row>
    <row r="4469" spans="1:1" x14ac:dyDescent="0.2">
      <c r="A4469" s="53"/>
    </row>
    <row r="4470" spans="1:1" x14ac:dyDescent="0.2">
      <c r="A4470" s="52"/>
    </row>
    <row r="4471" spans="1:1" x14ac:dyDescent="0.2">
      <c r="A4471" s="52"/>
    </row>
    <row r="4472" spans="1:1" x14ac:dyDescent="0.2">
      <c r="A4472" s="52"/>
    </row>
    <row r="4473" spans="1:1" x14ac:dyDescent="0.2">
      <c r="A4473" s="52"/>
    </row>
    <row r="4474" spans="1:1" x14ac:dyDescent="0.2">
      <c r="A4474" s="52"/>
    </row>
    <row r="4475" spans="1:1" x14ac:dyDescent="0.2">
      <c r="A4475" s="53"/>
    </row>
    <row r="4476" spans="1:1" x14ac:dyDescent="0.2">
      <c r="A4476" s="53"/>
    </row>
    <row r="4477" spans="1:1" x14ac:dyDescent="0.2">
      <c r="A4477" s="52"/>
    </row>
    <row r="4478" spans="1:1" x14ac:dyDescent="0.2">
      <c r="A4478" s="52"/>
    </row>
    <row r="4479" spans="1:1" x14ac:dyDescent="0.2">
      <c r="A4479" s="53"/>
    </row>
    <row r="4480" spans="1:1" x14ac:dyDescent="0.2">
      <c r="A4480" s="52"/>
    </row>
    <row r="4481" spans="1:1" x14ac:dyDescent="0.2">
      <c r="A4481" s="53"/>
    </row>
    <row r="4482" spans="1:1" x14ac:dyDescent="0.2">
      <c r="A4482" s="52"/>
    </row>
    <row r="4483" spans="1:1" x14ac:dyDescent="0.2">
      <c r="A4483" s="52"/>
    </row>
    <row r="4484" spans="1:1" x14ac:dyDescent="0.2">
      <c r="A4484" s="53"/>
    </row>
    <row r="4485" spans="1:1" x14ac:dyDescent="0.2">
      <c r="A4485" s="53"/>
    </row>
    <row r="4486" spans="1:1" x14ac:dyDescent="0.2">
      <c r="A4486" s="53"/>
    </row>
    <row r="4487" spans="1:1" x14ac:dyDescent="0.2">
      <c r="A4487" s="53"/>
    </row>
    <row r="4488" spans="1:1" x14ac:dyDescent="0.2">
      <c r="A4488" s="52"/>
    </row>
    <row r="4489" spans="1:1" x14ac:dyDescent="0.2">
      <c r="A4489" s="52"/>
    </row>
    <row r="4490" spans="1:1" x14ac:dyDescent="0.2">
      <c r="A4490" s="52"/>
    </row>
    <row r="4491" spans="1:1" x14ac:dyDescent="0.2">
      <c r="A4491" s="52"/>
    </row>
    <row r="4492" spans="1:1" x14ac:dyDescent="0.2">
      <c r="A4492" s="52"/>
    </row>
    <row r="4493" spans="1:1" x14ac:dyDescent="0.2">
      <c r="A4493" s="52"/>
    </row>
    <row r="4494" spans="1:1" x14ac:dyDescent="0.2">
      <c r="A4494" s="52"/>
    </row>
    <row r="4495" spans="1:1" x14ac:dyDescent="0.2">
      <c r="A4495" s="52"/>
    </row>
    <row r="4496" spans="1:1" x14ac:dyDescent="0.2">
      <c r="A4496" s="52"/>
    </row>
    <row r="4497" spans="1:1" x14ac:dyDescent="0.2">
      <c r="A4497" s="52"/>
    </row>
    <row r="4498" spans="1:1" x14ac:dyDescent="0.2">
      <c r="A4498" s="52"/>
    </row>
    <row r="4499" spans="1:1" x14ac:dyDescent="0.2">
      <c r="A4499" s="52"/>
    </row>
    <row r="4500" spans="1:1" x14ac:dyDescent="0.2">
      <c r="A4500" s="52"/>
    </row>
    <row r="4501" spans="1:1" x14ac:dyDescent="0.2">
      <c r="A4501" s="52"/>
    </row>
    <row r="4502" spans="1:1" x14ac:dyDescent="0.2">
      <c r="A4502" s="52"/>
    </row>
    <row r="4503" spans="1:1" x14ac:dyDescent="0.2">
      <c r="A4503" s="52"/>
    </row>
    <row r="4504" spans="1:1" x14ac:dyDescent="0.2">
      <c r="A4504" s="52"/>
    </row>
    <row r="4505" spans="1:1" x14ac:dyDescent="0.2">
      <c r="A4505" s="52"/>
    </row>
    <row r="4506" spans="1:1" x14ac:dyDescent="0.2">
      <c r="A4506" s="52"/>
    </row>
    <row r="4507" spans="1:1" x14ac:dyDescent="0.2">
      <c r="A4507" s="53"/>
    </row>
    <row r="4508" spans="1:1" x14ac:dyDescent="0.2">
      <c r="A4508" s="52"/>
    </row>
    <row r="4509" spans="1:1" x14ac:dyDescent="0.2">
      <c r="A4509" s="52"/>
    </row>
    <row r="4510" spans="1:1" x14ac:dyDescent="0.2">
      <c r="A4510" s="52"/>
    </row>
    <row r="4511" spans="1:1" x14ac:dyDescent="0.2">
      <c r="A4511" s="52"/>
    </row>
    <row r="4512" spans="1:1" x14ac:dyDescent="0.2">
      <c r="A4512" s="52"/>
    </row>
    <row r="4513" spans="1:1" x14ac:dyDescent="0.2">
      <c r="A4513" s="52"/>
    </row>
    <row r="4514" spans="1:1" x14ac:dyDescent="0.2">
      <c r="A4514" s="52"/>
    </row>
    <row r="4515" spans="1:1" x14ac:dyDescent="0.2">
      <c r="A4515" s="52"/>
    </row>
    <row r="4516" spans="1:1" x14ac:dyDescent="0.2">
      <c r="A4516" s="52"/>
    </row>
    <row r="4517" spans="1:1" x14ac:dyDescent="0.2">
      <c r="A4517" s="52"/>
    </row>
    <row r="4518" spans="1:1" x14ac:dyDescent="0.2">
      <c r="A4518" s="52"/>
    </row>
    <row r="4519" spans="1:1" x14ac:dyDescent="0.2">
      <c r="A4519" s="52"/>
    </row>
    <row r="4520" spans="1:1" x14ac:dyDescent="0.2">
      <c r="A4520" s="52"/>
    </row>
    <row r="4521" spans="1:1" x14ac:dyDescent="0.2">
      <c r="A4521" s="52"/>
    </row>
    <row r="4522" spans="1:1" x14ac:dyDescent="0.2">
      <c r="A4522" s="52"/>
    </row>
    <row r="4523" spans="1:1" x14ac:dyDescent="0.2">
      <c r="A4523" s="52"/>
    </row>
    <row r="4524" spans="1:1" x14ac:dyDescent="0.2">
      <c r="A4524" s="52"/>
    </row>
    <row r="4525" spans="1:1" x14ac:dyDescent="0.2">
      <c r="A4525" s="52"/>
    </row>
    <row r="4526" spans="1:1" x14ac:dyDescent="0.2">
      <c r="A4526" s="52"/>
    </row>
    <row r="4527" spans="1:1" x14ac:dyDescent="0.2">
      <c r="A4527" s="52"/>
    </row>
    <row r="4528" spans="1:1" x14ac:dyDescent="0.2">
      <c r="A4528" s="52"/>
    </row>
    <row r="4529" spans="1:1" x14ac:dyDescent="0.2">
      <c r="A4529" s="53"/>
    </row>
    <row r="4530" spans="1:1" x14ac:dyDescent="0.2">
      <c r="A4530" s="52"/>
    </row>
    <row r="4531" spans="1:1" x14ac:dyDescent="0.2">
      <c r="A4531" s="52"/>
    </row>
    <row r="4532" spans="1:1" x14ac:dyDescent="0.2">
      <c r="A4532" s="52"/>
    </row>
    <row r="4533" spans="1:1" x14ac:dyDescent="0.2">
      <c r="A4533" s="52"/>
    </row>
    <row r="4534" spans="1:1" x14ac:dyDescent="0.2">
      <c r="A4534" s="52"/>
    </row>
    <row r="4535" spans="1:1" x14ac:dyDescent="0.2">
      <c r="A4535" s="52"/>
    </row>
    <row r="4536" spans="1:1" x14ac:dyDescent="0.2">
      <c r="A4536" s="52"/>
    </row>
    <row r="4537" spans="1:1" x14ac:dyDescent="0.2">
      <c r="A4537" s="52"/>
    </row>
    <row r="4538" spans="1:1" x14ac:dyDescent="0.2">
      <c r="A4538" s="52"/>
    </row>
    <row r="4539" spans="1:1" x14ac:dyDescent="0.2">
      <c r="A4539" s="52"/>
    </row>
    <row r="4540" spans="1:1" x14ac:dyDescent="0.2">
      <c r="A4540" s="52"/>
    </row>
    <row r="4541" spans="1:1" x14ac:dyDescent="0.2">
      <c r="A4541" s="52"/>
    </row>
    <row r="4542" spans="1:1" x14ac:dyDescent="0.2">
      <c r="A4542" s="52"/>
    </row>
    <row r="4543" spans="1:1" x14ac:dyDescent="0.2">
      <c r="A4543" s="52"/>
    </row>
    <row r="4544" spans="1:1" x14ac:dyDescent="0.2">
      <c r="A4544" s="52"/>
    </row>
    <row r="4545" spans="1:1" x14ac:dyDescent="0.2">
      <c r="A4545" s="52"/>
    </row>
    <row r="4546" spans="1:1" x14ac:dyDescent="0.2">
      <c r="A4546" s="52"/>
    </row>
    <row r="4547" spans="1:1" x14ac:dyDescent="0.2">
      <c r="A4547" s="52"/>
    </row>
    <row r="4548" spans="1:1" x14ac:dyDescent="0.2">
      <c r="A4548" s="52"/>
    </row>
    <row r="4549" spans="1:1" x14ac:dyDescent="0.2">
      <c r="A4549" s="52"/>
    </row>
    <row r="4550" spans="1:1" x14ac:dyDescent="0.2">
      <c r="A4550" s="52"/>
    </row>
    <row r="4551" spans="1:1" x14ac:dyDescent="0.2">
      <c r="A4551" s="52"/>
    </row>
    <row r="4552" spans="1:1" x14ac:dyDescent="0.2">
      <c r="A4552" s="52"/>
    </row>
    <row r="4553" spans="1:1" x14ac:dyDescent="0.2">
      <c r="A4553" s="52"/>
    </row>
    <row r="4554" spans="1:1" x14ac:dyDescent="0.2">
      <c r="A4554" s="52"/>
    </row>
    <row r="4555" spans="1:1" x14ac:dyDescent="0.2">
      <c r="A4555" s="52"/>
    </row>
    <row r="4556" spans="1:1" x14ac:dyDescent="0.2">
      <c r="A4556" s="52"/>
    </row>
    <row r="4557" spans="1:1" x14ac:dyDescent="0.2">
      <c r="A4557" s="52"/>
    </row>
    <row r="4558" spans="1:1" x14ac:dyDescent="0.2">
      <c r="A4558" s="52"/>
    </row>
    <row r="4559" spans="1:1" x14ac:dyDescent="0.2">
      <c r="A4559" s="52"/>
    </row>
    <row r="4560" spans="1:1" x14ac:dyDescent="0.2">
      <c r="A4560" s="52"/>
    </row>
    <row r="4561" spans="1:1" x14ac:dyDescent="0.2">
      <c r="A4561" s="52"/>
    </row>
    <row r="4562" spans="1:1" x14ac:dyDescent="0.2">
      <c r="A4562" s="52"/>
    </row>
    <row r="4563" spans="1:1" x14ac:dyDescent="0.2">
      <c r="A4563" s="52"/>
    </row>
    <row r="4564" spans="1:1" x14ac:dyDescent="0.2">
      <c r="A4564" s="52"/>
    </row>
    <row r="4565" spans="1:1" x14ac:dyDescent="0.2">
      <c r="A4565" s="52"/>
    </row>
    <row r="4566" spans="1:1" x14ac:dyDescent="0.2">
      <c r="A4566" s="52"/>
    </row>
    <row r="4567" spans="1:1" x14ac:dyDescent="0.2">
      <c r="A4567" s="52"/>
    </row>
    <row r="4568" spans="1:1" x14ac:dyDescent="0.2">
      <c r="A4568" s="52"/>
    </row>
    <row r="4569" spans="1:1" x14ac:dyDescent="0.2">
      <c r="A4569" s="53"/>
    </row>
    <row r="4570" spans="1:1" x14ac:dyDescent="0.2">
      <c r="A4570" s="52"/>
    </row>
    <row r="4571" spans="1:1" x14ac:dyDescent="0.2">
      <c r="A4571" s="52"/>
    </row>
    <row r="4572" spans="1:1" x14ac:dyDescent="0.2">
      <c r="A4572" s="52"/>
    </row>
    <row r="4573" spans="1:1" x14ac:dyDescent="0.2">
      <c r="A4573" s="52"/>
    </row>
    <row r="4574" spans="1:1" x14ac:dyDescent="0.2">
      <c r="A4574" s="52"/>
    </row>
    <row r="4575" spans="1:1" x14ac:dyDescent="0.2">
      <c r="A4575" s="52"/>
    </row>
    <row r="4576" spans="1:1" x14ac:dyDescent="0.2">
      <c r="A4576" s="52"/>
    </row>
    <row r="4577" spans="1:1" x14ac:dyDescent="0.2">
      <c r="A4577" s="52"/>
    </row>
    <row r="4578" spans="1:1" x14ac:dyDescent="0.2">
      <c r="A4578" s="52"/>
    </row>
    <row r="4579" spans="1:1" x14ac:dyDescent="0.2">
      <c r="A4579" s="52"/>
    </row>
    <row r="4580" spans="1:1" x14ac:dyDescent="0.2">
      <c r="A4580" s="53"/>
    </row>
    <row r="4581" spans="1:1" x14ac:dyDescent="0.2">
      <c r="A4581" s="53"/>
    </row>
    <row r="4582" spans="1:1" x14ac:dyDescent="0.2">
      <c r="A4582" s="52"/>
    </row>
    <row r="4583" spans="1:1" x14ac:dyDescent="0.2">
      <c r="A4583" s="52"/>
    </row>
    <row r="4584" spans="1:1" x14ac:dyDescent="0.2">
      <c r="A4584" s="52"/>
    </row>
    <row r="4585" spans="1:1" x14ac:dyDescent="0.2">
      <c r="A4585" s="52"/>
    </row>
    <row r="4586" spans="1:1" x14ac:dyDescent="0.2">
      <c r="A4586" s="52"/>
    </row>
    <row r="4587" spans="1:1" x14ac:dyDescent="0.2">
      <c r="A4587" s="52"/>
    </row>
    <row r="4588" spans="1:1" x14ac:dyDescent="0.2">
      <c r="A4588" s="53"/>
    </row>
    <row r="4589" spans="1:1" x14ac:dyDescent="0.2">
      <c r="A4589" s="52"/>
    </row>
    <row r="4590" spans="1:1" x14ac:dyDescent="0.2">
      <c r="A4590" s="52"/>
    </row>
    <row r="4591" spans="1:1" x14ac:dyDescent="0.2">
      <c r="A4591" s="52"/>
    </row>
    <row r="4592" spans="1:1" x14ac:dyDescent="0.2">
      <c r="A4592" s="52"/>
    </row>
    <row r="4593" spans="1:1" x14ac:dyDescent="0.2">
      <c r="A4593" s="52"/>
    </row>
    <row r="4594" spans="1:1" x14ac:dyDescent="0.2">
      <c r="A4594" s="52"/>
    </row>
    <row r="4595" spans="1:1" x14ac:dyDescent="0.2">
      <c r="A4595" s="52"/>
    </row>
    <row r="4596" spans="1:1" x14ac:dyDescent="0.2">
      <c r="A4596" s="52"/>
    </row>
    <row r="4597" spans="1:1" x14ac:dyDescent="0.2">
      <c r="A4597" s="52"/>
    </row>
    <row r="4598" spans="1:1" x14ac:dyDescent="0.2">
      <c r="A4598" s="52"/>
    </row>
    <row r="4599" spans="1:1" x14ac:dyDescent="0.2">
      <c r="A4599" s="52"/>
    </row>
    <row r="4600" spans="1:1" x14ac:dyDescent="0.2">
      <c r="A4600" s="52"/>
    </row>
    <row r="4601" spans="1:1" x14ac:dyDescent="0.2">
      <c r="A4601" s="52"/>
    </row>
    <row r="4602" spans="1:1" x14ac:dyDescent="0.2">
      <c r="A4602" s="53"/>
    </row>
    <row r="4603" spans="1:1" x14ac:dyDescent="0.2">
      <c r="A4603" s="52"/>
    </row>
    <row r="4604" spans="1:1" x14ac:dyDescent="0.2">
      <c r="A4604" s="52"/>
    </row>
    <row r="4605" spans="1:1" x14ac:dyDescent="0.2">
      <c r="A4605" s="52"/>
    </row>
    <row r="4606" spans="1:1" x14ac:dyDescent="0.2">
      <c r="A4606" s="52"/>
    </row>
    <row r="4607" spans="1:1" x14ac:dyDescent="0.2">
      <c r="A4607" s="52"/>
    </row>
    <row r="4608" spans="1:1" x14ac:dyDescent="0.2">
      <c r="A4608" s="52"/>
    </row>
    <row r="4609" spans="1:1" x14ac:dyDescent="0.2">
      <c r="A4609" s="53"/>
    </row>
    <row r="4610" spans="1:1" x14ac:dyDescent="0.2">
      <c r="A4610" s="52"/>
    </row>
    <row r="4611" spans="1:1" x14ac:dyDescent="0.2">
      <c r="A4611" s="52"/>
    </row>
    <row r="4612" spans="1:1" x14ac:dyDescent="0.2">
      <c r="A4612" s="52"/>
    </row>
    <row r="4613" spans="1:1" x14ac:dyDescent="0.2">
      <c r="A4613" s="52"/>
    </row>
    <row r="4614" spans="1:1" x14ac:dyDescent="0.2">
      <c r="A4614" s="52"/>
    </row>
    <row r="4615" spans="1:1" x14ac:dyDescent="0.2">
      <c r="A4615" s="52"/>
    </row>
    <row r="4616" spans="1:1" x14ac:dyDescent="0.2">
      <c r="A4616" s="52"/>
    </row>
    <row r="4617" spans="1:1" x14ac:dyDescent="0.2">
      <c r="A4617" s="52"/>
    </row>
    <row r="4618" spans="1:1" x14ac:dyDescent="0.2">
      <c r="A4618" s="52"/>
    </row>
    <row r="4619" spans="1:1" x14ac:dyDescent="0.2">
      <c r="A4619" s="52"/>
    </row>
    <row r="4620" spans="1:1" x14ac:dyDescent="0.2">
      <c r="A4620" s="52"/>
    </row>
    <row r="4621" spans="1:1" x14ac:dyDescent="0.2">
      <c r="A4621" s="52"/>
    </row>
    <row r="4622" spans="1:1" x14ac:dyDescent="0.2">
      <c r="A4622" s="52"/>
    </row>
    <row r="4623" spans="1:1" x14ac:dyDescent="0.2">
      <c r="A4623" s="52"/>
    </row>
    <row r="4624" spans="1:1" x14ac:dyDescent="0.2">
      <c r="A4624" s="52"/>
    </row>
    <row r="4625" spans="1:1" x14ac:dyDescent="0.2">
      <c r="A4625" s="52"/>
    </row>
    <row r="4626" spans="1:1" x14ac:dyDescent="0.2">
      <c r="A4626" s="52"/>
    </row>
    <row r="4627" spans="1:1" x14ac:dyDescent="0.2">
      <c r="A4627" s="52"/>
    </row>
    <row r="4628" spans="1:1" x14ac:dyDescent="0.2">
      <c r="A4628" s="52"/>
    </row>
    <row r="4629" spans="1:1" x14ac:dyDescent="0.2">
      <c r="A4629" s="52"/>
    </row>
    <row r="4630" spans="1:1" x14ac:dyDescent="0.2">
      <c r="A4630" s="52"/>
    </row>
    <row r="4631" spans="1:1" x14ac:dyDescent="0.2">
      <c r="A4631" s="52"/>
    </row>
    <row r="4632" spans="1:1" x14ac:dyDescent="0.2">
      <c r="A4632" s="52"/>
    </row>
    <row r="4633" spans="1:1" x14ac:dyDescent="0.2">
      <c r="A4633" s="52"/>
    </row>
    <row r="4634" spans="1:1" x14ac:dyDescent="0.2">
      <c r="A4634" s="52"/>
    </row>
    <row r="4635" spans="1:1" x14ac:dyDescent="0.2">
      <c r="A4635" s="52"/>
    </row>
    <row r="4636" spans="1:1" x14ac:dyDescent="0.2">
      <c r="A4636" s="52"/>
    </row>
    <row r="4637" spans="1:1" x14ac:dyDescent="0.2">
      <c r="A4637" s="52"/>
    </row>
    <row r="4638" spans="1:1" x14ac:dyDescent="0.2">
      <c r="A4638" s="52"/>
    </row>
    <row r="4639" spans="1:1" x14ac:dyDescent="0.2">
      <c r="A4639" s="52"/>
    </row>
    <row r="4640" spans="1:1" x14ac:dyDescent="0.2">
      <c r="A4640" s="52"/>
    </row>
    <row r="4641" spans="1:1" x14ac:dyDescent="0.2">
      <c r="A4641" s="52"/>
    </row>
    <row r="4642" spans="1:1" x14ac:dyDescent="0.2">
      <c r="A4642" s="52"/>
    </row>
    <row r="4643" spans="1:1" x14ac:dyDescent="0.2">
      <c r="A4643" s="52"/>
    </row>
    <row r="4644" spans="1:1" x14ac:dyDescent="0.2">
      <c r="A4644" s="52"/>
    </row>
    <row r="4645" spans="1:1" x14ac:dyDescent="0.2">
      <c r="A4645" s="52"/>
    </row>
    <row r="4646" spans="1:1" x14ac:dyDescent="0.2">
      <c r="A4646" s="52"/>
    </row>
    <row r="4647" spans="1:1" x14ac:dyDescent="0.2">
      <c r="A4647" s="52"/>
    </row>
    <row r="4648" spans="1:1" x14ac:dyDescent="0.2">
      <c r="A4648" s="52"/>
    </row>
    <row r="4649" spans="1:1" x14ac:dyDescent="0.2">
      <c r="A4649" s="52"/>
    </row>
    <row r="4650" spans="1:1" x14ac:dyDescent="0.2">
      <c r="A4650" s="52"/>
    </row>
    <row r="4651" spans="1:1" x14ac:dyDescent="0.2">
      <c r="A4651" s="52"/>
    </row>
    <row r="4652" spans="1:1" x14ac:dyDescent="0.2">
      <c r="A4652" s="52"/>
    </row>
    <row r="4653" spans="1:1" x14ac:dyDescent="0.2">
      <c r="A4653" s="52"/>
    </row>
    <row r="4654" spans="1:1" x14ac:dyDescent="0.2">
      <c r="A4654" s="52"/>
    </row>
    <row r="4655" spans="1:1" x14ac:dyDescent="0.2">
      <c r="A4655" s="52"/>
    </row>
    <row r="4656" spans="1:1" x14ac:dyDescent="0.2">
      <c r="A4656" s="52"/>
    </row>
    <row r="4657" spans="1:1" x14ac:dyDescent="0.2">
      <c r="A4657" s="52"/>
    </row>
    <row r="4658" spans="1:1" x14ac:dyDescent="0.2">
      <c r="A4658" s="52"/>
    </row>
    <row r="4659" spans="1:1" x14ac:dyDescent="0.2">
      <c r="A4659" s="52"/>
    </row>
    <row r="4660" spans="1:1" x14ac:dyDescent="0.2">
      <c r="A4660" s="52"/>
    </row>
    <row r="4661" spans="1:1" x14ac:dyDescent="0.2">
      <c r="A4661" s="52"/>
    </row>
    <row r="4662" spans="1:1" x14ac:dyDescent="0.2">
      <c r="A4662" s="52"/>
    </row>
    <row r="4663" spans="1:1" x14ac:dyDescent="0.2">
      <c r="A4663" s="52"/>
    </row>
    <row r="4664" spans="1:1" x14ac:dyDescent="0.2">
      <c r="A4664" s="53"/>
    </row>
    <row r="4665" spans="1:1" x14ac:dyDescent="0.2">
      <c r="A4665" s="52"/>
    </row>
    <row r="4666" spans="1:1" x14ac:dyDescent="0.2">
      <c r="A4666" s="52"/>
    </row>
    <row r="4667" spans="1:1" x14ac:dyDescent="0.2">
      <c r="A4667" s="52"/>
    </row>
    <row r="4668" spans="1:1" x14ac:dyDescent="0.2">
      <c r="A4668" s="52"/>
    </row>
    <row r="4669" spans="1:1" x14ac:dyDescent="0.2">
      <c r="A4669" s="52"/>
    </row>
    <row r="4670" spans="1:1" x14ac:dyDescent="0.2">
      <c r="A4670" s="52"/>
    </row>
    <row r="4671" spans="1:1" x14ac:dyDescent="0.2">
      <c r="A4671" s="53"/>
    </row>
    <row r="4672" spans="1:1" x14ac:dyDescent="0.2">
      <c r="A4672" s="52"/>
    </row>
    <row r="4673" spans="1:1" x14ac:dyDescent="0.2">
      <c r="A4673" s="52"/>
    </row>
    <row r="4674" spans="1:1" x14ac:dyDescent="0.2">
      <c r="A4674" s="52"/>
    </row>
    <row r="4675" spans="1:1" x14ac:dyDescent="0.2">
      <c r="A4675" s="52"/>
    </row>
    <row r="4676" spans="1:1" x14ac:dyDescent="0.2">
      <c r="A4676" s="52"/>
    </row>
    <row r="4677" spans="1:1" x14ac:dyDescent="0.2">
      <c r="A4677" s="52"/>
    </row>
    <row r="4678" spans="1:1" x14ac:dyDescent="0.2">
      <c r="A4678" s="52"/>
    </row>
    <row r="4679" spans="1:1" x14ac:dyDescent="0.2">
      <c r="A4679" s="52"/>
    </row>
    <row r="4680" spans="1:1" x14ac:dyDescent="0.2">
      <c r="A4680" s="52"/>
    </row>
    <row r="4681" spans="1:1" x14ac:dyDescent="0.2">
      <c r="A4681" s="52"/>
    </row>
    <row r="4682" spans="1:1" x14ac:dyDescent="0.2">
      <c r="A4682" s="52"/>
    </row>
    <row r="4683" spans="1:1" x14ac:dyDescent="0.2">
      <c r="A4683" s="52"/>
    </row>
    <row r="4684" spans="1:1" x14ac:dyDescent="0.2">
      <c r="A4684" s="52"/>
    </row>
    <row r="4685" spans="1:1" x14ac:dyDescent="0.2">
      <c r="A4685" s="52"/>
    </row>
    <row r="4686" spans="1:1" x14ac:dyDescent="0.2">
      <c r="A4686" s="52"/>
    </row>
    <row r="4687" spans="1:1" x14ac:dyDescent="0.2">
      <c r="A4687" s="52"/>
    </row>
    <row r="4688" spans="1:1" x14ac:dyDescent="0.2">
      <c r="A4688" s="53"/>
    </row>
    <row r="4689" spans="1:1" x14ac:dyDescent="0.2">
      <c r="A4689" s="52"/>
    </row>
    <row r="4690" spans="1:1" x14ac:dyDescent="0.2">
      <c r="A4690" s="52"/>
    </row>
    <row r="4691" spans="1:1" x14ac:dyDescent="0.2">
      <c r="A4691" s="52"/>
    </row>
    <row r="4692" spans="1:1" x14ac:dyDescent="0.2">
      <c r="A4692" s="52"/>
    </row>
    <row r="4693" spans="1:1" x14ac:dyDescent="0.2">
      <c r="A4693" s="52"/>
    </row>
    <row r="4694" spans="1:1" x14ac:dyDescent="0.2">
      <c r="A4694" s="52"/>
    </row>
    <row r="4695" spans="1:1" x14ac:dyDescent="0.2">
      <c r="A4695" s="52"/>
    </row>
    <row r="4696" spans="1:1" x14ac:dyDescent="0.2">
      <c r="A4696" s="52"/>
    </row>
    <row r="4697" spans="1:1" x14ac:dyDescent="0.2">
      <c r="A4697" s="53"/>
    </row>
    <row r="4698" spans="1:1" x14ac:dyDescent="0.2">
      <c r="A4698" s="52"/>
    </row>
    <row r="4699" spans="1:1" x14ac:dyDescent="0.2">
      <c r="A4699" s="52"/>
    </row>
    <row r="4700" spans="1:1" x14ac:dyDescent="0.2">
      <c r="A4700" s="53"/>
    </row>
    <row r="4701" spans="1:1" x14ac:dyDescent="0.2">
      <c r="A4701" s="52"/>
    </row>
    <row r="4702" spans="1:1" x14ac:dyDescent="0.2">
      <c r="A4702" s="52"/>
    </row>
    <row r="4703" spans="1:1" x14ac:dyDescent="0.2">
      <c r="A4703" s="53"/>
    </row>
    <row r="4704" spans="1:1" x14ac:dyDescent="0.2">
      <c r="A4704" s="52"/>
    </row>
    <row r="4705" spans="1:1" x14ac:dyDescent="0.2">
      <c r="A4705" s="52"/>
    </row>
    <row r="4706" spans="1:1" x14ac:dyDescent="0.2">
      <c r="A4706" s="52"/>
    </row>
    <row r="4707" spans="1:1" x14ac:dyDescent="0.2">
      <c r="A4707" s="52"/>
    </row>
    <row r="4708" spans="1:1" x14ac:dyDescent="0.2">
      <c r="A4708" s="52"/>
    </row>
    <row r="4709" spans="1:1" x14ac:dyDescent="0.2">
      <c r="A4709" s="52"/>
    </row>
    <row r="4710" spans="1:1" x14ac:dyDescent="0.2">
      <c r="A4710" s="52"/>
    </row>
    <row r="4711" spans="1:1" x14ac:dyDescent="0.2">
      <c r="A4711" s="52"/>
    </row>
    <row r="4712" spans="1:1" x14ac:dyDescent="0.2">
      <c r="A4712" s="52"/>
    </row>
    <row r="4713" spans="1:1" x14ac:dyDescent="0.2">
      <c r="A4713" s="52"/>
    </row>
    <row r="4714" spans="1:1" x14ac:dyDescent="0.2">
      <c r="A4714" s="52"/>
    </row>
    <row r="4715" spans="1:1" x14ac:dyDescent="0.2">
      <c r="A4715" s="52"/>
    </row>
    <row r="4716" spans="1:1" x14ac:dyDescent="0.2">
      <c r="A4716" s="53"/>
    </row>
    <row r="4717" spans="1:1" x14ac:dyDescent="0.2">
      <c r="A4717" s="52"/>
    </row>
    <row r="4718" spans="1:1" x14ac:dyDescent="0.2">
      <c r="A4718" s="52"/>
    </row>
    <row r="4719" spans="1:1" x14ac:dyDescent="0.2">
      <c r="A4719" s="52"/>
    </row>
    <row r="4720" spans="1:1" x14ac:dyDescent="0.2">
      <c r="A4720" s="52"/>
    </row>
    <row r="4721" spans="1:1" x14ac:dyDescent="0.2">
      <c r="A4721" s="52"/>
    </row>
    <row r="4722" spans="1:1" x14ac:dyDescent="0.2">
      <c r="A4722" s="52"/>
    </row>
    <row r="4723" spans="1:1" x14ac:dyDescent="0.2">
      <c r="A4723" s="52"/>
    </row>
    <row r="4724" spans="1:1" x14ac:dyDescent="0.2">
      <c r="A4724" s="52"/>
    </row>
    <row r="4725" spans="1:1" x14ac:dyDescent="0.2">
      <c r="A4725" s="52"/>
    </row>
    <row r="4726" spans="1:1" x14ac:dyDescent="0.2">
      <c r="A4726" s="52"/>
    </row>
    <row r="4727" spans="1:1" x14ac:dyDescent="0.2">
      <c r="A4727" s="52"/>
    </row>
    <row r="4728" spans="1:1" x14ac:dyDescent="0.2">
      <c r="A4728" s="52"/>
    </row>
    <row r="4729" spans="1:1" x14ac:dyDescent="0.2">
      <c r="A4729" s="52"/>
    </row>
    <row r="4730" spans="1:1" x14ac:dyDescent="0.2">
      <c r="A4730" s="52"/>
    </row>
    <row r="4731" spans="1:1" x14ac:dyDescent="0.2">
      <c r="A4731" s="52"/>
    </row>
    <row r="4732" spans="1:1" x14ac:dyDescent="0.2">
      <c r="A4732" s="52"/>
    </row>
    <row r="4733" spans="1:1" x14ac:dyDescent="0.2">
      <c r="A4733" s="53"/>
    </row>
    <row r="4734" spans="1:1" x14ac:dyDescent="0.2">
      <c r="A4734" s="52"/>
    </row>
    <row r="4735" spans="1:1" x14ac:dyDescent="0.2">
      <c r="A4735" s="52"/>
    </row>
    <row r="4736" spans="1:1" x14ac:dyDescent="0.2">
      <c r="A4736" s="53"/>
    </row>
    <row r="4737" spans="1:1" x14ac:dyDescent="0.2">
      <c r="A4737" s="52"/>
    </row>
    <row r="4738" spans="1:1" x14ac:dyDescent="0.2">
      <c r="A4738" s="52"/>
    </row>
    <row r="4739" spans="1:1" x14ac:dyDescent="0.2">
      <c r="A4739" s="52"/>
    </row>
    <row r="4740" spans="1:1" x14ac:dyDescent="0.2">
      <c r="A4740" s="52"/>
    </row>
    <row r="4741" spans="1:1" x14ac:dyDescent="0.2">
      <c r="A4741" s="52"/>
    </row>
    <row r="4742" spans="1:1" x14ac:dyDescent="0.2">
      <c r="A4742" s="52"/>
    </row>
    <row r="4743" spans="1:1" x14ac:dyDescent="0.2">
      <c r="A4743" s="52"/>
    </row>
    <row r="4744" spans="1:1" x14ac:dyDescent="0.2">
      <c r="A4744" s="53"/>
    </row>
    <row r="4745" spans="1:1" x14ac:dyDescent="0.2">
      <c r="A4745" s="52"/>
    </row>
    <row r="4746" spans="1:1" x14ac:dyDescent="0.2">
      <c r="A4746" s="52"/>
    </row>
    <row r="4747" spans="1:1" x14ac:dyDescent="0.2">
      <c r="A4747" s="52"/>
    </row>
    <row r="4748" spans="1:1" x14ac:dyDescent="0.2">
      <c r="A4748" s="52"/>
    </row>
    <row r="4749" spans="1:1" x14ac:dyDescent="0.2">
      <c r="A4749" s="52"/>
    </row>
    <row r="4750" spans="1:1" x14ac:dyDescent="0.2">
      <c r="A4750" s="52"/>
    </row>
    <row r="4751" spans="1:1" x14ac:dyDescent="0.2">
      <c r="A4751" s="52"/>
    </row>
    <row r="4752" spans="1:1" x14ac:dyDescent="0.2">
      <c r="A4752" s="52"/>
    </row>
    <row r="4753" spans="1:1" x14ac:dyDescent="0.2">
      <c r="A4753" s="52"/>
    </row>
    <row r="4754" spans="1:1" x14ac:dyDescent="0.2">
      <c r="A4754" s="52"/>
    </row>
    <row r="4755" spans="1:1" x14ac:dyDescent="0.2">
      <c r="A4755" s="52"/>
    </row>
    <row r="4756" spans="1:1" x14ac:dyDescent="0.2">
      <c r="A4756" s="52"/>
    </row>
    <row r="4757" spans="1:1" x14ac:dyDescent="0.2">
      <c r="A4757" s="52"/>
    </row>
    <row r="4758" spans="1:1" x14ac:dyDescent="0.2">
      <c r="A4758" s="52"/>
    </row>
    <row r="4759" spans="1:1" x14ac:dyDescent="0.2">
      <c r="A4759" s="52"/>
    </row>
    <row r="4760" spans="1:1" x14ac:dyDescent="0.2">
      <c r="A4760" s="52"/>
    </row>
    <row r="4761" spans="1:1" x14ac:dyDescent="0.2">
      <c r="A4761" s="52"/>
    </row>
    <row r="4762" spans="1:1" x14ac:dyDescent="0.2">
      <c r="A4762" s="52"/>
    </row>
    <row r="4763" spans="1:1" x14ac:dyDescent="0.2">
      <c r="A4763" s="52"/>
    </row>
    <row r="4764" spans="1:1" x14ac:dyDescent="0.2">
      <c r="A4764" s="52"/>
    </row>
    <row r="4765" spans="1:1" x14ac:dyDescent="0.2">
      <c r="A4765" s="52"/>
    </row>
    <row r="4766" spans="1:1" x14ac:dyDescent="0.2">
      <c r="A4766" s="52"/>
    </row>
    <row r="4767" spans="1:1" x14ac:dyDescent="0.2">
      <c r="A4767" s="52"/>
    </row>
    <row r="4768" spans="1:1" x14ac:dyDescent="0.2">
      <c r="A4768" s="52"/>
    </row>
    <row r="4769" spans="1:1" x14ac:dyDescent="0.2">
      <c r="A4769" s="52"/>
    </row>
    <row r="4770" spans="1:1" x14ac:dyDescent="0.2">
      <c r="A4770" s="52"/>
    </row>
    <row r="4771" spans="1:1" x14ac:dyDescent="0.2">
      <c r="A4771" s="52"/>
    </row>
    <row r="4772" spans="1:1" x14ac:dyDescent="0.2">
      <c r="A4772" s="52"/>
    </row>
    <row r="4773" spans="1:1" x14ac:dyDescent="0.2">
      <c r="A4773" s="53"/>
    </row>
    <row r="4774" spans="1:1" x14ac:dyDescent="0.2">
      <c r="A4774" s="52"/>
    </row>
    <row r="4775" spans="1:1" x14ac:dyDescent="0.2">
      <c r="A4775" s="52"/>
    </row>
    <row r="4776" spans="1:1" x14ac:dyDescent="0.2">
      <c r="A4776" s="52"/>
    </row>
    <row r="4777" spans="1:1" x14ac:dyDescent="0.2">
      <c r="A4777" s="52"/>
    </row>
    <row r="4778" spans="1:1" x14ac:dyDescent="0.2">
      <c r="A4778" s="52"/>
    </row>
    <row r="4779" spans="1:1" x14ac:dyDescent="0.2">
      <c r="A4779" s="52"/>
    </row>
    <row r="4780" spans="1:1" x14ac:dyDescent="0.2">
      <c r="A4780" s="52"/>
    </row>
    <row r="4781" spans="1:1" x14ac:dyDescent="0.2">
      <c r="A4781" s="52"/>
    </row>
    <row r="4782" spans="1:1" x14ac:dyDescent="0.2">
      <c r="A4782" s="52"/>
    </row>
    <row r="4783" spans="1:1" x14ac:dyDescent="0.2">
      <c r="A4783" s="52"/>
    </row>
    <row r="4784" spans="1:1" x14ac:dyDescent="0.2">
      <c r="A4784" s="52"/>
    </row>
    <row r="4785" spans="1:1" x14ac:dyDescent="0.2">
      <c r="A4785" s="52"/>
    </row>
    <row r="4786" spans="1:1" x14ac:dyDescent="0.2">
      <c r="A4786" s="52"/>
    </row>
    <row r="4787" spans="1:1" x14ac:dyDescent="0.2">
      <c r="A4787" s="53"/>
    </row>
    <row r="4788" spans="1:1" x14ac:dyDescent="0.2">
      <c r="A4788" s="52"/>
    </row>
    <row r="4789" spans="1:1" x14ac:dyDescent="0.2">
      <c r="A4789" s="52"/>
    </row>
    <row r="4790" spans="1:1" x14ac:dyDescent="0.2">
      <c r="A4790" s="52"/>
    </row>
    <row r="4791" spans="1:1" x14ac:dyDescent="0.2">
      <c r="A4791" s="52"/>
    </row>
    <row r="4792" spans="1:1" x14ac:dyDescent="0.2">
      <c r="A4792" s="52"/>
    </row>
    <row r="4793" spans="1:1" x14ac:dyDescent="0.2">
      <c r="A4793" s="52"/>
    </row>
    <row r="4794" spans="1:1" x14ac:dyDescent="0.2">
      <c r="A4794" s="52"/>
    </row>
    <row r="4795" spans="1:1" x14ac:dyDescent="0.2">
      <c r="A4795" s="52"/>
    </row>
    <row r="4796" spans="1:1" x14ac:dyDescent="0.2">
      <c r="A4796" s="52"/>
    </row>
    <row r="4797" spans="1:1" x14ac:dyDescent="0.2">
      <c r="A4797" s="52"/>
    </row>
    <row r="4798" spans="1:1" x14ac:dyDescent="0.2">
      <c r="A4798" s="52"/>
    </row>
    <row r="4799" spans="1:1" x14ac:dyDescent="0.2">
      <c r="A4799" s="52"/>
    </row>
    <row r="4800" spans="1:1" x14ac:dyDescent="0.2">
      <c r="A4800" s="52"/>
    </row>
    <row r="4801" spans="1:1" x14ac:dyDescent="0.2">
      <c r="A4801" s="52"/>
    </row>
    <row r="4802" spans="1:1" x14ac:dyDescent="0.2">
      <c r="A4802" s="52"/>
    </row>
    <row r="4803" spans="1:1" x14ac:dyDescent="0.2">
      <c r="A4803" s="52"/>
    </row>
    <row r="4804" spans="1:1" x14ac:dyDescent="0.2">
      <c r="A4804" s="52"/>
    </row>
    <row r="4805" spans="1:1" x14ac:dyDescent="0.2">
      <c r="A4805" s="53"/>
    </row>
    <row r="4806" spans="1:1" x14ac:dyDescent="0.2">
      <c r="A4806" s="52"/>
    </row>
    <row r="4807" spans="1:1" x14ac:dyDescent="0.2">
      <c r="A4807" s="52"/>
    </row>
    <row r="4808" spans="1:1" x14ac:dyDescent="0.2">
      <c r="A4808" s="53"/>
    </row>
    <row r="4809" spans="1:1" x14ac:dyDescent="0.2">
      <c r="A4809" s="52"/>
    </row>
    <row r="4810" spans="1:1" x14ac:dyDescent="0.2">
      <c r="A4810" s="52"/>
    </row>
    <row r="4811" spans="1:1" x14ac:dyDescent="0.2">
      <c r="A4811" s="52"/>
    </row>
    <row r="4812" spans="1:1" x14ac:dyDescent="0.2">
      <c r="A4812" s="53"/>
    </row>
    <row r="4813" spans="1:1" x14ac:dyDescent="0.2">
      <c r="A4813" s="52"/>
    </row>
    <row r="4814" spans="1:1" x14ac:dyDescent="0.2">
      <c r="A4814" s="52"/>
    </row>
    <row r="4815" spans="1:1" x14ac:dyDescent="0.2">
      <c r="A4815" s="52"/>
    </row>
    <row r="4816" spans="1:1" x14ac:dyDescent="0.2">
      <c r="A4816" s="52"/>
    </row>
    <row r="4817" spans="1:1" x14ac:dyDescent="0.2">
      <c r="A4817" s="52"/>
    </row>
    <row r="4818" spans="1:1" x14ac:dyDescent="0.2">
      <c r="A4818" s="52"/>
    </row>
    <row r="4819" spans="1:1" x14ac:dyDescent="0.2">
      <c r="A4819" s="52"/>
    </row>
    <row r="4820" spans="1:1" x14ac:dyDescent="0.2">
      <c r="A4820" s="52"/>
    </row>
    <row r="4821" spans="1:1" x14ac:dyDescent="0.2">
      <c r="A4821" s="52"/>
    </row>
    <row r="4822" spans="1:1" x14ac:dyDescent="0.2">
      <c r="A4822" s="52"/>
    </row>
    <row r="4823" spans="1:1" x14ac:dyDescent="0.2">
      <c r="A4823" s="52"/>
    </row>
    <row r="4824" spans="1:1" x14ac:dyDescent="0.2">
      <c r="A4824" s="53"/>
    </row>
    <row r="4825" spans="1:1" x14ac:dyDescent="0.2">
      <c r="A4825" s="52"/>
    </row>
    <row r="4826" spans="1:1" x14ac:dyDescent="0.2">
      <c r="A4826" s="52"/>
    </row>
    <row r="4827" spans="1:1" x14ac:dyDescent="0.2">
      <c r="A4827" s="52"/>
    </row>
    <row r="4828" spans="1:1" x14ac:dyDescent="0.2">
      <c r="A4828" s="52"/>
    </row>
    <row r="4829" spans="1:1" x14ac:dyDescent="0.2">
      <c r="A4829" s="52"/>
    </row>
    <row r="4830" spans="1:1" x14ac:dyDescent="0.2">
      <c r="A4830" s="52"/>
    </row>
    <row r="4831" spans="1:1" x14ac:dyDescent="0.2">
      <c r="A4831" s="52"/>
    </row>
    <row r="4832" spans="1:1" x14ac:dyDescent="0.2">
      <c r="A4832" s="52"/>
    </row>
    <row r="4833" spans="1:1" x14ac:dyDescent="0.2">
      <c r="A4833" s="52"/>
    </row>
    <row r="4834" spans="1:1" x14ac:dyDescent="0.2">
      <c r="A4834" s="52"/>
    </row>
    <row r="4835" spans="1:1" x14ac:dyDescent="0.2">
      <c r="A4835" s="52"/>
    </row>
    <row r="4836" spans="1:1" x14ac:dyDescent="0.2">
      <c r="A4836" s="52"/>
    </row>
    <row r="4837" spans="1:1" x14ac:dyDescent="0.2">
      <c r="A4837" s="52"/>
    </row>
    <row r="4838" spans="1:1" x14ac:dyDescent="0.2">
      <c r="A4838" s="52"/>
    </row>
    <row r="4839" spans="1:1" x14ac:dyDescent="0.2">
      <c r="A4839" s="52"/>
    </row>
    <row r="4840" spans="1:1" x14ac:dyDescent="0.2">
      <c r="A4840" s="53"/>
    </row>
    <row r="4841" spans="1:1" x14ac:dyDescent="0.2">
      <c r="A4841" s="52"/>
    </row>
    <row r="4842" spans="1:1" x14ac:dyDescent="0.2">
      <c r="A4842" s="52"/>
    </row>
    <row r="4843" spans="1:1" x14ac:dyDescent="0.2">
      <c r="A4843" s="52"/>
    </row>
    <row r="4844" spans="1:1" x14ac:dyDescent="0.2">
      <c r="A4844" s="52"/>
    </row>
    <row r="4845" spans="1:1" x14ac:dyDescent="0.2">
      <c r="A4845" s="52"/>
    </row>
    <row r="4846" spans="1:1" x14ac:dyDescent="0.2">
      <c r="A4846" s="52"/>
    </row>
    <row r="4847" spans="1:1" x14ac:dyDescent="0.2">
      <c r="A4847" s="52"/>
    </row>
    <row r="4848" spans="1:1" x14ac:dyDescent="0.2">
      <c r="A4848" s="52"/>
    </row>
    <row r="4849" spans="1:1" x14ac:dyDescent="0.2">
      <c r="A4849" s="52"/>
    </row>
    <row r="4850" spans="1:1" x14ac:dyDescent="0.2">
      <c r="A4850" s="52"/>
    </row>
    <row r="4851" spans="1:1" x14ac:dyDescent="0.2">
      <c r="A4851" s="52"/>
    </row>
    <row r="4852" spans="1:1" x14ac:dyDescent="0.2">
      <c r="A4852" s="52"/>
    </row>
    <row r="4853" spans="1:1" x14ac:dyDescent="0.2">
      <c r="A4853" s="52"/>
    </row>
    <row r="4854" spans="1:1" x14ac:dyDescent="0.2">
      <c r="A4854" s="52"/>
    </row>
    <row r="4855" spans="1:1" x14ac:dyDescent="0.2">
      <c r="A4855" s="52"/>
    </row>
    <row r="4856" spans="1:1" x14ac:dyDescent="0.2">
      <c r="A4856" s="52"/>
    </row>
    <row r="4857" spans="1:1" x14ac:dyDescent="0.2">
      <c r="A4857" s="52"/>
    </row>
    <row r="4858" spans="1:1" x14ac:dyDescent="0.2">
      <c r="A4858" s="52"/>
    </row>
    <row r="4859" spans="1:1" x14ac:dyDescent="0.2">
      <c r="A4859" s="52"/>
    </row>
    <row r="4860" spans="1:1" x14ac:dyDescent="0.2">
      <c r="A4860" s="52"/>
    </row>
    <row r="4861" spans="1:1" x14ac:dyDescent="0.2">
      <c r="A4861" s="52"/>
    </row>
    <row r="4862" spans="1:1" x14ac:dyDescent="0.2">
      <c r="A4862" s="52"/>
    </row>
    <row r="4863" spans="1:1" x14ac:dyDescent="0.2">
      <c r="A4863" s="52"/>
    </row>
    <row r="4864" spans="1:1" x14ac:dyDescent="0.2">
      <c r="A4864" s="52"/>
    </row>
    <row r="4865" spans="1:1" x14ac:dyDescent="0.2">
      <c r="A4865" s="52"/>
    </row>
    <row r="4866" spans="1:1" x14ac:dyDescent="0.2">
      <c r="A4866" s="52"/>
    </row>
    <row r="4867" spans="1:1" x14ac:dyDescent="0.2">
      <c r="A4867" s="52"/>
    </row>
    <row r="4868" spans="1:1" x14ac:dyDescent="0.2">
      <c r="A4868" s="52"/>
    </row>
    <row r="4869" spans="1:1" x14ac:dyDescent="0.2">
      <c r="A4869" s="52"/>
    </row>
    <row r="4870" spans="1:1" x14ac:dyDescent="0.2">
      <c r="A4870" s="52"/>
    </row>
    <row r="4871" spans="1:1" x14ac:dyDescent="0.2">
      <c r="A4871" s="53"/>
    </row>
    <row r="4872" spans="1:1" x14ac:dyDescent="0.2">
      <c r="A4872" s="52"/>
    </row>
    <row r="4873" spans="1:1" x14ac:dyDescent="0.2">
      <c r="A4873" s="52"/>
    </row>
    <row r="4874" spans="1:1" x14ac:dyDescent="0.2">
      <c r="A4874" s="52"/>
    </row>
    <row r="4875" spans="1:1" x14ac:dyDescent="0.2">
      <c r="A4875" s="53"/>
    </row>
    <row r="4876" spans="1:1" x14ac:dyDescent="0.2">
      <c r="A4876" s="53"/>
    </row>
    <row r="4877" spans="1:1" x14ac:dyDescent="0.2">
      <c r="A4877" s="52"/>
    </row>
    <row r="4878" spans="1:1" x14ac:dyDescent="0.2">
      <c r="A4878" s="52"/>
    </row>
    <row r="4879" spans="1:1" x14ac:dyDescent="0.2">
      <c r="A4879" s="52"/>
    </row>
    <row r="4880" spans="1:1" x14ac:dyDescent="0.2">
      <c r="A4880" s="52"/>
    </row>
    <row r="4881" spans="1:1" x14ac:dyDescent="0.2">
      <c r="A4881" s="52"/>
    </row>
    <row r="4882" spans="1:1" x14ac:dyDescent="0.2">
      <c r="A4882" s="52"/>
    </row>
    <row r="4883" spans="1:1" x14ac:dyDescent="0.2">
      <c r="A4883" s="52"/>
    </row>
    <row r="4884" spans="1:1" x14ac:dyDescent="0.2">
      <c r="A4884" s="52"/>
    </row>
    <row r="4885" spans="1:1" x14ac:dyDescent="0.2">
      <c r="A4885" s="53"/>
    </row>
    <row r="4886" spans="1:1" x14ac:dyDescent="0.2">
      <c r="A4886" s="52"/>
    </row>
    <row r="4887" spans="1:1" x14ac:dyDescent="0.2">
      <c r="A4887" s="52"/>
    </row>
    <row r="4888" spans="1:1" x14ac:dyDescent="0.2">
      <c r="A4888" s="52"/>
    </row>
    <row r="4889" spans="1:1" x14ac:dyDescent="0.2">
      <c r="A4889" s="52"/>
    </row>
    <row r="4890" spans="1:1" x14ac:dyDescent="0.2">
      <c r="A4890" s="52"/>
    </row>
    <row r="4891" spans="1:1" x14ac:dyDescent="0.2">
      <c r="A4891" s="52"/>
    </row>
    <row r="4892" spans="1:1" x14ac:dyDescent="0.2">
      <c r="A4892" s="52"/>
    </row>
    <row r="4893" spans="1:1" x14ac:dyDescent="0.2">
      <c r="A4893" s="52"/>
    </row>
    <row r="4894" spans="1:1" x14ac:dyDescent="0.2">
      <c r="A4894" s="52"/>
    </row>
    <row r="4895" spans="1:1" x14ac:dyDescent="0.2">
      <c r="A4895" s="52"/>
    </row>
    <row r="4896" spans="1:1" x14ac:dyDescent="0.2">
      <c r="A4896" s="53"/>
    </row>
    <row r="4897" spans="1:1" x14ac:dyDescent="0.2">
      <c r="A4897" s="52"/>
    </row>
    <row r="4898" spans="1:1" x14ac:dyDescent="0.2">
      <c r="A4898" s="52"/>
    </row>
    <row r="4899" spans="1:1" x14ac:dyDescent="0.2">
      <c r="A4899" s="52"/>
    </row>
    <row r="4900" spans="1:1" x14ac:dyDescent="0.2">
      <c r="A4900" s="53"/>
    </row>
    <row r="4901" spans="1:1" x14ac:dyDescent="0.2">
      <c r="A4901" s="52"/>
    </row>
    <row r="4902" spans="1:1" x14ac:dyDescent="0.2">
      <c r="A4902" s="52"/>
    </row>
    <row r="4903" spans="1:1" x14ac:dyDescent="0.2">
      <c r="A4903" s="52"/>
    </row>
    <row r="4904" spans="1:1" x14ac:dyDescent="0.2">
      <c r="A4904" s="52"/>
    </row>
    <row r="4905" spans="1:1" x14ac:dyDescent="0.2">
      <c r="A4905" s="52"/>
    </row>
    <row r="4906" spans="1:1" x14ac:dyDescent="0.2">
      <c r="A4906" s="52"/>
    </row>
    <row r="4907" spans="1:1" x14ac:dyDescent="0.2">
      <c r="A4907" s="53"/>
    </row>
    <row r="4908" spans="1:1" x14ac:dyDescent="0.2">
      <c r="A4908" s="52"/>
    </row>
    <row r="4909" spans="1:1" x14ac:dyDescent="0.2">
      <c r="A4909" s="53"/>
    </row>
    <row r="4910" spans="1:1" x14ac:dyDescent="0.2">
      <c r="A4910" s="52"/>
    </row>
    <row r="4911" spans="1:1" x14ac:dyDescent="0.2">
      <c r="A4911" s="52"/>
    </row>
    <row r="4912" spans="1:1" x14ac:dyDescent="0.2">
      <c r="A4912" s="52"/>
    </row>
    <row r="4913" spans="1:1" x14ac:dyDescent="0.2">
      <c r="A4913" s="52"/>
    </row>
    <row r="4914" spans="1:1" x14ac:dyDescent="0.2">
      <c r="A4914" s="52"/>
    </row>
    <row r="4915" spans="1:1" x14ac:dyDescent="0.2">
      <c r="A4915" s="52"/>
    </row>
    <row r="4916" spans="1:1" x14ac:dyDescent="0.2">
      <c r="A4916" s="52"/>
    </row>
    <row r="4917" spans="1:1" x14ac:dyDescent="0.2">
      <c r="A4917" s="53"/>
    </row>
    <row r="4918" spans="1:1" x14ac:dyDescent="0.2">
      <c r="A4918" s="53"/>
    </row>
    <row r="4919" spans="1:1" x14ac:dyDescent="0.2">
      <c r="A4919" s="53"/>
    </row>
    <row r="4920" spans="1:1" x14ac:dyDescent="0.2">
      <c r="A4920" s="52"/>
    </row>
    <row r="4921" spans="1:1" x14ac:dyDescent="0.2">
      <c r="A4921" s="52"/>
    </row>
    <row r="4922" spans="1:1" x14ac:dyDescent="0.2">
      <c r="A4922" s="53"/>
    </row>
    <row r="4923" spans="1:1" x14ac:dyDescent="0.2">
      <c r="A4923" s="52"/>
    </row>
    <row r="4924" spans="1:1" x14ac:dyDescent="0.2">
      <c r="A4924" s="52"/>
    </row>
    <row r="4925" spans="1:1" x14ac:dyDescent="0.2">
      <c r="A4925" s="52"/>
    </row>
    <row r="4926" spans="1:1" x14ac:dyDescent="0.2">
      <c r="A4926" s="52"/>
    </row>
    <row r="4927" spans="1:1" x14ac:dyDescent="0.2">
      <c r="A4927" s="53"/>
    </row>
    <row r="4928" spans="1:1" x14ac:dyDescent="0.2">
      <c r="A4928" s="52"/>
    </row>
    <row r="4929" spans="1:1" x14ac:dyDescent="0.2">
      <c r="A4929" s="52"/>
    </row>
    <row r="4930" spans="1:1" x14ac:dyDescent="0.2">
      <c r="A4930" s="52"/>
    </row>
    <row r="4931" spans="1:1" x14ac:dyDescent="0.2">
      <c r="A4931" s="52"/>
    </row>
    <row r="4932" spans="1:1" x14ac:dyDescent="0.2">
      <c r="A4932" s="52"/>
    </row>
    <row r="4933" spans="1:1" x14ac:dyDescent="0.2">
      <c r="A4933" s="52"/>
    </row>
    <row r="4934" spans="1:1" x14ac:dyDescent="0.2">
      <c r="A4934" s="52"/>
    </row>
    <row r="4935" spans="1:1" x14ac:dyDescent="0.2">
      <c r="A4935" s="52"/>
    </row>
    <row r="4936" spans="1:1" x14ac:dyDescent="0.2">
      <c r="A4936" s="52"/>
    </row>
    <row r="4937" spans="1:1" x14ac:dyDescent="0.2">
      <c r="A4937" s="52"/>
    </row>
    <row r="4938" spans="1:1" x14ac:dyDescent="0.2">
      <c r="A4938" s="52"/>
    </row>
    <row r="4939" spans="1:1" x14ac:dyDescent="0.2">
      <c r="A4939" s="52"/>
    </row>
    <row r="4940" spans="1:1" x14ac:dyDescent="0.2">
      <c r="A4940" s="52"/>
    </row>
    <row r="4941" spans="1:1" x14ac:dyDescent="0.2">
      <c r="A4941" s="52"/>
    </row>
    <row r="4942" spans="1:1" x14ac:dyDescent="0.2">
      <c r="A4942" s="52"/>
    </row>
    <row r="4943" spans="1:1" x14ac:dyDescent="0.2">
      <c r="A4943" s="52"/>
    </row>
    <row r="4944" spans="1:1" x14ac:dyDescent="0.2">
      <c r="A4944" s="52"/>
    </row>
    <row r="4945" spans="1:1" x14ac:dyDescent="0.2">
      <c r="A4945" s="52"/>
    </row>
    <row r="4946" spans="1:1" x14ac:dyDescent="0.2">
      <c r="A4946" s="52"/>
    </row>
    <row r="4947" spans="1:1" x14ac:dyDescent="0.2">
      <c r="A4947" s="52"/>
    </row>
    <row r="4948" spans="1:1" x14ac:dyDescent="0.2">
      <c r="A4948" s="52"/>
    </row>
    <row r="4949" spans="1:1" x14ac:dyDescent="0.2">
      <c r="A4949" s="52"/>
    </row>
    <row r="4950" spans="1:1" x14ac:dyDescent="0.2">
      <c r="A4950" s="52"/>
    </row>
    <row r="4951" spans="1:1" x14ac:dyDescent="0.2">
      <c r="A4951" s="52"/>
    </row>
    <row r="4952" spans="1:1" x14ac:dyDescent="0.2">
      <c r="A4952" s="52"/>
    </row>
    <row r="4953" spans="1:1" x14ac:dyDescent="0.2">
      <c r="A4953" s="52"/>
    </row>
    <row r="4954" spans="1:1" x14ac:dyDescent="0.2">
      <c r="A4954" s="52"/>
    </row>
    <row r="4955" spans="1:1" x14ac:dyDescent="0.2">
      <c r="A4955" s="52"/>
    </row>
    <row r="4956" spans="1:1" x14ac:dyDescent="0.2">
      <c r="A4956" s="52"/>
    </row>
    <row r="4957" spans="1:1" x14ac:dyDescent="0.2">
      <c r="A4957" s="52"/>
    </row>
    <row r="4958" spans="1:1" x14ac:dyDescent="0.2">
      <c r="A4958" s="52"/>
    </row>
    <row r="4959" spans="1:1" x14ac:dyDescent="0.2">
      <c r="A4959" s="52"/>
    </row>
    <row r="4960" spans="1:1" x14ac:dyDescent="0.2">
      <c r="A4960" s="52"/>
    </row>
    <row r="4961" spans="1:1" x14ac:dyDescent="0.2">
      <c r="A4961" s="52"/>
    </row>
    <row r="4962" spans="1:1" x14ac:dyDescent="0.2">
      <c r="A4962" s="52"/>
    </row>
    <row r="4963" spans="1:1" x14ac:dyDescent="0.2">
      <c r="A4963" s="52"/>
    </row>
    <row r="4964" spans="1:1" x14ac:dyDescent="0.2">
      <c r="A4964" s="52"/>
    </row>
    <row r="4965" spans="1:1" x14ac:dyDescent="0.2">
      <c r="A4965" s="52"/>
    </row>
    <row r="4966" spans="1:1" x14ac:dyDescent="0.2">
      <c r="A4966" s="52"/>
    </row>
    <row r="4967" spans="1:1" x14ac:dyDescent="0.2">
      <c r="A4967" s="53"/>
    </row>
    <row r="4968" spans="1:1" x14ac:dyDescent="0.2">
      <c r="A4968" s="52"/>
    </row>
    <row r="4969" spans="1:1" x14ac:dyDescent="0.2">
      <c r="A4969" s="52"/>
    </row>
    <row r="4970" spans="1:1" x14ac:dyDescent="0.2">
      <c r="A4970" s="52"/>
    </row>
    <row r="4971" spans="1:1" x14ac:dyDescent="0.2">
      <c r="A4971" s="52"/>
    </row>
    <row r="4972" spans="1:1" x14ac:dyDescent="0.2">
      <c r="A4972" s="52"/>
    </row>
    <row r="4973" spans="1:1" x14ac:dyDescent="0.2">
      <c r="A4973" s="52"/>
    </row>
    <row r="4974" spans="1:1" x14ac:dyDescent="0.2">
      <c r="A4974" s="52"/>
    </row>
    <row r="4975" spans="1:1" x14ac:dyDescent="0.2">
      <c r="A4975" s="52"/>
    </row>
    <row r="4976" spans="1:1" x14ac:dyDescent="0.2">
      <c r="A4976" s="52"/>
    </row>
    <row r="4977" spans="1:1" x14ac:dyDescent="0.2">
      <c r="A4977" s="52"/>
    </row>
    <row r="4978" spans="1:1" x14ac:dyDescent="0.2">
      <c r="A4978" s="52"/>
    </row>
    <row r="4979" spans="1:1" x14ac:dyDescent="0.2">
      <c r="A4979" s="52"/>
    </row>
    <row r="4980" spans="1:1" x14ac:dyDescent="0.2">
      <c r="A4980" s="52"/>
    </row>
    <row r="4981" spans="1:1" x14ac:dyDescent="0.2">
      <c r="A4981" s="52"/>
    </row>
    <row r="4982" spans="1:1" x14ac:dyDescent="0.2">
      <c r="A4982" s="52"/>
    </row>
    <row r="4983" spans="1:1" x14ac:dyDescent="0.2">
      <c r="A4983" s="52"/>
    </row>
    <row r="4984" spans="1:1" x14ac:dyDescent="0.2">
      <c r="A4984" s="52"/>
    </row>
    <row r="4985" spans="1:1" x14ac:dyDescent="0.2">
      <c r="A4985" s="52"/>
    </row>
    <row r="4986" spans="1:1" x14ac:dyDescent="0.2">
      <c r="A4986" s="52"/>
    </row>
    <row r="4987" spans="1:1" x14ac:dyDescent="0.2">
      <c r="A4987" s="52"/>
    </row>
    <row r="4988" spans="1:1" x14ac:dyDescent="0.2">
      <c r="A4988" s="52"/>
    </row>
    <row r="4989" spans="1:1" x14ac:dyDescent="0.2">
      <c r="A4989" s="52"/>
    </row>
    <row r="4990" spans="1:1" x14ac:dyDescent="0.2">
      <c r="A4990" s="53"/>
    </row>
    <row r="4991" spans="1:1" x14ac:dyDescent="0.2">
      <c r="A4991" s="52"/>
    </row>
    <row r="4992" spans="1:1" x14ac:dyDescent="0.2">
      <c r="A4992" s="52"/>
    </row>
    <row r="4993" spans="1:1" x14ac:dyDescent="0.2">
      <c r="A4993" s="52"/>
    </row>
    <row r="4994" spans="1:1" x14ac:dyDescent="0.2">
      <c r="A4994" s="52"/>
    </row>
    <row r="4995" spans="1:1" x14ac:dyDescent="0.2">
      <c r="A4995" s="52"/>
    </row>
    <row r="4996" spans="1:1" x14ac:dyDescent="0.2">
      <c r="A4996" s="52"/>
    </row>
    <row r="4997" spans="1:1" x14ac:dyDescent="0.2">
      <c r="A4997" s="52"/>
    </row>
    <row r="4998" spans="1:1" x14ac:dyDescent="0.2">
      <c r="A4998" s="52"/>
    </row>
    <row r="4999" spans="1:1" x14ac:dyDescent="0.2">
      <c r="A4999" s="52"/>
    </row>
    <row r="5000" spans="1:1" x14ac:dyDescent="0.2">
      <c r="A5000" s="52"/>
    </row>
    <row r="5001" spans="1:1" x14ac:dyDescent="0.2">
      <c r="A5001" s="52"/>
    </row>
    <row r="5002" spans="1:1" x14ac:dyDescent="0.2">
      <c r="A5002" s="52"/>
    </row>
    <row r="5003" spans="1:1" x14ac:dyDescent="0.2">
      <c r="A5003" s="52"/>
    </row>
    <row r="5004" spans="1:1" x14ac:dyDescent="0.2">
      <c r="A5004" s="52"/>
    </row>
    <row r="5005" spans="1:1" x14ac:dyDescent="0.2">
      <c r="A5005" s="52"/>
    </row>
    <row r="5006" spans="1:1" x14ac:dyDescent="0.2">
      <c r="A5006" s="53"/>
    </row>
    <row r="5007" spans="1:1" x14ac:dyDescent="0.2">
      <c r="A5007" s="52"/>
    </row>
    <row r="5008" spans="1:1" x14ac:dyDescent="0.2">
      <c r="A5008" s="52"/>
    </row>
    <row r="5009" spans="1:1" x14ac:dyDescent="0.2">
      <c r="A5009" s="52"/>
    </row>
    <row r="5010" spans="1:1" x14ac:dyDescent="0.2">
      <c r="A5010" s="52"/>
    </row>
    <row r="5011" spans="1:1" x14ac:dyDescent="0.2">
      <c r="A5011" s="53"/>
    </row>
    <row r="5012" spans="1:1" x14ac:dyDescent="0.2">
      <c r="A5012" s="52"/>
    </row>
    <row r="5013" spans="1:1" x14ac:dyDescent="0.2">
      <c r="A5013" s="53"/>
    </row>
    <row r="5014" spans="1:1" x14ac:dyDescent="0.2">
      <c r="A5014" s="52"/>
    </row>
    <row r="5015" spans="1:1" x14ac:dyDescent="0.2">
      <c r="A5015" s="52"/>
    </row>
    <row r="5016" spans="1:1" x14ac:dyDescent="0.2">
      <c r="A5016" s="53"/>
    </row>
    <row r="5017" spans="1:1" x14ac:dyDescent="0.2">
      <c r="A5017" s="52"/>
    </row>
    <row r="5018" spans="1:1" x14ac:dyDescent="0.2">
      <c r="A5018" s="53"/>
    </row>
    <row r="5019" spans="1:1" x14ac:dyDescent="0.2">
      <c r="A5019" s="52"/>
    </row>
    <row r="5020" spans="1:1" x14ac:dyDescent="0.2">
      <c r="A5020" s="52"/>
    </row>
    <row r="5021" spans="1:1" x14ac:dyDescent="0.2">
      <c r="A5021" s="52"/>
    </row>
    <row r="5022" spans="1:1" x14ac:dyDescent="0.2">
      <c r="A5022" s="52"/>
    </row>
    <row r="5023" spans="1:1" x14ac:dyDescent="0.2">
      <c r="A5023" s="53"/>
    </row>
    <row r="5024" spans="1:1" x14ac:dyDescent="0.2">
      <c r="A5024" s="52"/>
    </row>
    <row r="5025" spans="1:1" x14ac:dyDescent="0.2">
      <c r="A5025" s="52"/>
    </row>
    <row r="5026" spans="1:1" x14ac:dyDescent="0.2">
      <c r="A5026" s="52"/>
    </row>
    <row r="5027" spans="1:1" x14ac:dyDescent="0.2">
      <c r="A5027" s="53"/>
    </row>
    <row r="5028" spans="1:1" x14ac:dyDescent="0.2">
      <c r="A5028" s="52"/>
    </row>
    <row r="5029" spans="1:1" x14ac:dyDescent="0.2">
      <c r="A5029" s="52"/>
    </row>
    <row r="5030" spans="1:1" x14ac:dyDescent="0.2">
      <c r="A5030" s="52"/>
    </row>
    <row r="5031" spans="1:1" x14ac:dyDescent="0.2">
      <c r="A5031" s="52"/>
    </row>
    <row r="5032" spans="1:1" x14ac:dyDescent="0.2">
      <c r="A5032" s="52"/>
    </row>
    <row r="5033" spans="1:1" x14ac:dyDescent="0.2">
      <c r="A5033" s="52"/>
    </row>
    <row r="5034" spans="1:1" x14ac:dyDescent="0.2">
      <c r="A5034" s="52"/>
    </row>
    <row r="5035" spans="1:1" x14ac:dyDescent="0.2">
      <c r="A5035" s="52"/>
    </row>
    <row r="5036" spans="1:1" x14ac:dyDescent="0.2">
      <c r="A5036" s="52"/>
    </row>
    <row r="5037" spans="1:1" x14ac:dyDescent="0.2">
      <c r="A5037" s="52"/>
    </row>
    <row r="5038" spans="1:1" x14ac:dyDescent="0.2">
      <c r="A5038" s="52"/>
    </row>
    <row r="5039" spans="1:1" x14ac:dyDescent="0.2">
      <c r="A5039" s="53"/>
    </row>
    <row r="5040" spans="1:1" x14ac:dyDescent="0.2">
      <c r="A5040" s="52"/>
    </row>
    <row r="5041" spans="1:1" x14ac:dyDescent="0.2">
      <c r="A5041" s="52"/>
    </row>
    <row r="5042" spans="1:1" x14ac:dyDescent="0.2">
      <c r="A5042" s="52"/>
    </row>
    <row r="5043" spans="1:1" x14ac:dyDescent="0.2">
      <c r="A5043" s="52"/>
    </row>
    <row r="5044" spans="1:1" x14ac:dyDescent="0.2">
      <c r="A5044" s="52"/>
    </row>
    <row r="5045" spans="1:1" x14ac:dyDescent="0.2">
      <c r="A5045" s="52"/>
    </row>
    <row r="5046" spans="1:1" x14ac:dyDescent="0.2">
      <c r="A5046" s="52"/>
    </row>
    <row r="5047" spans="1:1" x14ac:dyDescent="0.2">
      <c r="A5047" s="53"/>
    </row>
    <row r="5048" spans="1:1" x14ac:dyDescent="0.2">
      <c r="A5048" s="52"/>
    </row>
    <row r="5049" spans="1:1" x14ac:dyDescent="0.2">
      <c r="A5049" s="52"/>
    </row>
    <row r="5050" spans="1:1" x14ac:dyDescent="0.2">
      <c r="A5050" s="52"/>
    </row>
    <row r="5051" spans="1:1" x14ac:dyDescent="0.2">
      <c r="A5051" s="52"/>
    </row>
    <row r="5052" spans="1:1" x14ac:dyDescent="0.2">
      <c r="A5052" s="52"/>
    </row>
    <row r="5053" spans="1:1" x14ac:dyDescent="0.2">
      <c r="A5053" s="52"/>
    </row>
    <row r="5054" spans="1:1" x14ac:dyDescent="0.2">
      <c r="A5054" s="52"/>
    </row>
    <row r="5055" spans="1:1" x14ac:dyDescent="0.2">
      <c r="A5055" s="52"/>
    </row>
    <row r="5056" spans="1:1" x14ac:dyDescent="0.2">
      <c r="A5056" s="52"/>
    </row>
    <row r="5057" spans="1:1" x14ac:dyDescent="0.2">
      <c r="A5057" s="52"/>
    </row>
    <row r="5058" spans="1:1" x14ac:dyDescent="0.2">
      <c r="A5058" s="52"/>
    </row>
    <row r="5059" spans="1:1" x14ac:dyDescent="0.2">
      <c r="A5059" s="52"/>
    </row>
    <row r="5060" spans="1:1" x14ac:dyDescent="0.2">
      <c r="A5060" s="52"/>
    </row>
    <row r="5061" spans="1:1" x14ac:dyDescent="0.2">
      <c r="A5061" s="52"/>
    </row>
    <row r="5062" spans="1:1" x14ac:dyDescent="0.2">
      <c r="A5062" s="52"/>
    </row>
    <row r="5063" spans="1:1" x14ac:dyDescent="0.2">
      <c r="A5063" s="52"/>
    </row>
    <row r="5064" spans="1:1" x14ac:dyDescent="0.2">
      <c r="A5064" s="52"/>
    </row>
    <row r="5065" spans="1:1" x14ac:dyDescent="0.2">
      <c r="A5065" s="52"/>
    </row>
    <row r="5066" spans="1:1" x14ac:dyDescent="0.2">
      <c r="A5066" s="52"/>
    </row>
    <row r="5067" spans="1:1" x14ac:dyDescent="0.2">
      <c r="A5067" s="52"/>
    </row>
    <row r="5068" spans="1:1" x14ac:dyDescent="0.2">
      <c r="A5068" s="52"/>
    </row>
    <row r="5069" spans="1:1" x14ac:dyDescent="0.2">
      <c r="A5069" s="52"/>
    </row>
    <row r="5070" spans="1:1" x14ac:dyDescent="0.2">
      <c r="A5070" s="52"/>
    </row>
    <row r="5071" spans="1:1" x14ac:dyDescent="0.2">
      <c r="A5071" s="52"/>
    </row>
    <row r="5072" spans="1:1" x14ac:dyDescent="0.2">
      <c r="A5072" s="52"/>
    </row>
    <row r="5073" spans="1:1" x14ac:dyDescent="0.2">
      <c r="A5073" s="52"/>
    </row>
    <row r="5074" spans="1:1" x14ac:dyDescent="0.2">
      <c r="A5074" s="52"/>
    </row>
    <row r="5075" spans="1:1" x14ac:dyDescent="0.2">
      <c r="A5075" s="52"/>
    </row>
    <row r="5076" spans="1:1" x14ac:dyDescent="0.2">
      <c r="A5076" s="53"/>
    </row>
    <row r="5077" spans="1:1" x14ac:dyDescent="0.2">
      <c r="A5077" s="52"/>
    </row>
    <row r="5078" spans="1:1" x14ac:dyDescent="0.2">
      <c r="A5078" s="52"/>
    </row>
    <row r="5079" spans="1:1" x14ac:dyDescent="0.2">
      <c r="A5079" s="52"/>
    </row>
    <row r="5080" spans="1:1" x14ac:dyDescent="0.2">
      <c r="A5080" s="52"/>
    </row>
    <row r="5081" spans="1:1" x14ac:dyDescent="0.2">
      <c r="A5081" s="52"/>
    </row>
    <row r="5082" spans="1:1" x14ac:dyDescent="0.2">
      <c r="A5082" s="52"/>
    </row>
    <row r="5083" spans="1:1" x14ac:dyDescent="0.2">
      <c r="A5083" s="52"/>
    </row>
    <row r="5084" spans="1:1" x14ac:dyDescent="0.2">
      <c r="A5084" s="52"/>
    </row>
    <row r="5085" spans="1:1" x14ac:dyDescent="0.2">
      <c r="A5085" s="52"/>
    </row>
    <row r="5086" spans="1:1" x14ac:dyDescent="0.2">
      <c r="A5086" s="52"/>
    </row>
    <row r="5087" spans="1:1" x14ac:dyDescent="0.2">
      <c r="A5087" s="52"/>
    </row>
    <row r="5088" spans="1:1" x14ac:dyDescent="0.2">
      <c r="A5088" s="52"/>
    </row>
    <row r="5089" spans="1:1" x14ac:dyDescent="0.2">
      <c r="A5089" s="52"/>
    </row>
    <row r="5090" spans="1:1" x14ac:dyDescent="0.2">
      <c r="A5090" s="52"/>
    </row>
    <row r="5091" spans="1:1" x14ac:dyDescent="0.2">
      <c r="A5091" s="52"/>
    </row>
    <row r="5092" spans="1:1" x14ac:dyDescent="0.2">
      <c r="A5092" s="52"/>
    </row>
    <row r="5093" spans="1:1" x14ac:dyDescent="0.2">
      <c r="A5093" s="52"/>
    </row>
    <row r="5094" spans="1:1" x14ac:dyDescent="0.2">
      <c r="A5094" s="52"/>
    </row>
    <row r="5095" spans="1:1" x14ac:dyDescent="0.2">
      <c r="A5095" s="52"/>
    </row>
    <row r="5096" spans="1:1" x14ac:dyDescent="0.2">
      <c r="A5096" s="52"/>
    </row>
    <row r="5097" spans="1:1" x14ac:dyDescent="0.2">
      <c r="A5097" s="52"/>
    </row>
    <row r="5098" spans="1:1" x14ac:dyDescent="0.2">
      <c r="A5098" s="52"/>
    </row>
    <row r="5099" spans="1:1" x14ac:dyDescent="0.2">
      <c r="A5099" s="52"/>
    </row>
    <row r="5100" spans="1:1" x14ac:dyDescent="0.2">
      <c r="A5100" s="52"/>
    </row>
    <row r="5101" spans="1:1" x14ac:dyDescent="0.2">
      <c r="A5101" s="52"/>
    </row>
    <row r="5102" spans="1:1" x14ac:dyDescent="0.2">
      <c r="A5102" s="52"/>
    </row>
    <row r="5103" spans="1:1" x14ac:dyDescent="0.2">
      <c r="A5103" s="52"/>
    </row>
    <row r="5104" spans="1:1" x14ac:dyDescent="0.2">
      <c r="A5104" s="52"/>
    </row>
    <row r="5105" spans="1:1" x14ac:dyDescent="0.2">
      <c r="A5105" s="52"/>
    </row>
    <row r="5106" spans="1:1" x14ac:dyDescent="0.2">
      <c r="A5106" s="52"/>
    </row>
    <row r="5107" spans="1:1" x14ac:dyDescent="0.2">
      <c r="A5107" s="52"/>
    </row>
    <row r="5108" spans="1:1" x14ac:dyDescent="0.2">
      <c r="A5108" s="52"/>
    </row>
    <row r="5109" spans="1:1" x14ac:dyDescent="0.2">
      <c r="A5109" s="52"/>
    </row>
    <row r="5110" spans="1:1" x14ac:dyDescent="0.2">
      <c r="A5110" s="52"/>
    </row>
    <row r="5111" spans="1:1" x14ac:dyDescent="0.2">
      <c r="A5111" s="52"/>
    </row>
    <row r="5112" spans="1:1" x14ac:dyDescent="0.2">
      <c r="A5112" s="52"/>
    </row>
    <row r="5113" spans="1:1" x14ac:dyDescent="0.2">
      <c r="A5113" s="52"/>
    </row>
    <row r="5114" spans="1:1" x14ac:dyDescent="0.2">
      <c r="A5114" s="52"/>
    </row>
    <row r="5115" spans="1:1" x14ac:dyDescent="0.2">
      <c r="A5115" s="52"/>
    </row>
    <row r="5116" spans="1:1" x14ac:dyDescent="0.2">
      <c r="A5116" s="52"/>
    </row>
    <row r="5117" spans="1:1" x14ac:dyDescent="0.2">
      <c r="A5117" s="52"/>
    </row>
    <row r="5118" spans="1:1" x14ac:dyDescent="0.2">
      <c r="A5118" s="52"/>
    </row>
    <row r="5119" spans="1:1" x14ac:dyDescent="0.2">
      <c r="A5119" s="52"/>
    </row>
    <row r="5120" spans="1:1" x14ac:dyDescent="0.2">
      <c r="A5120" s="52"/>
    </row>
    <row r="5121" spans="1:1" x14ac:dyDescent="0.2">
      <c r="A5121" s="52"/>
    </row>
    <row r="5122" spans="1:1" x14ac:dyDescent="0.2">
      <c r="A5122" s="52"/>
    </row>
    <row r="5123" spans="1:1" x14ac:dyDescent="0.2">
      <c r="A5123" s="52"/>
    </row>
    <row r="5124" spans="1:1" x14ac:dyDescent="0.2">
      <c r="A5124" s="52"/>
    </row>
    <row r="5125" spans="1:1" x14ac:dyDescent="0.2">
      <c r="A5125" s="52"/>
    </row>
    <row r="5126" spans="1:1" x14ac:dyDescent="0.2">
      <c r="A5126" s="52"/>
    </row>
    <row r="5127" spans="1:1" x14ac:dyDescent="0.2">
      <c r="A5127" s="52"/>
    </row>
    <row r="5128" spans="1:1" x14ac:dyDescent="0.2">
      <c r="A5128" s="52"/>
    </row>
    <row r="5129" spans="1:1" x14ac:dyDescent="0.2">
      <c r="A5129" s="52"/>
    </row>
    <row r="5130" spans="1:1" x14ac:dyDescent="0.2">
      <c r="A5130" s="52"/>
    </row>
    <row r="5131" spans="1:1" x14ac:dyDescent="0.2">
      <c r="A5131" s="52"/>
    </row>
    <row r="5132" spans="1:1" x14ac:dyDescent="0.2">
      <c r="A5132" s="52"/>
    </row>
    <row r="5133" spans="1:1" x14ac:dyDescent="0.2">
      <c r="A5133" s="52"/>
    </row>
    <row r="5134" spans="1:1" x14ac:dyDescent="0.2">
      <c r="A5134" s="53"/>
    </row>
    <row r="5135" spans="1:1" x14ac:dyDescent="0.2">
      <c r="A5135" s="52"/>
    </row>
    <row r="5136" spans="1:1" x14ac:dyDescent="0.2">
      <c r="A5136" s="52"/>
    </row>
    <row r="5137" spans="1:1" x14ac:dyDescent="0.2">
      <c r="A5137" s="52"/>
    </row>
    <row r="5138" spans="1:1" x14ac:dyDescent="0.2">
      <c r="A5138" s="52"/>
    </row>
    <row r="5139" spans="1:1" x14ac:dyDescent="0.2">
      <c r="A5139" s="52"/>
    </row>
    <row r="5140" spans="1:1" x14ac:dyDescent="0.2">
      <c r="A5140" s="52"/>
    </row>
    <row r="5141" spans="1:1" x14ac:dyDescent="0.2">
      <c r="A5141" s="52"/>
    </row>
    <row r="5142" spans="1:1" x14ac:dyDescent="0.2">
      <c r="A5142" s="52"/>
    </row>
    <row r="5143" spans="1:1" x14ac:dyDescent="0.2">
      <c r="A5143" s="52"/>
    </row>
    <row r="5144" spans="1:1" x14ac:dyDescent="0.2">
      <c r="A5144" s="52"/>
    </row>
    <row r="5145" spans="1:1" x14ac:dyDescent="0.2">
      <c r="A5145" s="52"/>
    </row>
    <row r="5146" spans="1:1" x14ac:dyDescent="0.2">
      <c r="A5146" s="52"/>
    </row>
    <row r="5147" spans="1:1" x14ac:dyDescent="0.2">
      <c r="A5147" s="52"/>
    </row>
    <row r="5148" spans="1:1" x14ac:dyDescent="0.2">
      <c r="A5148" s="52"/>
    </row>
    <row r="5149" spans="1:1" x14ac:dyDescent="0.2">
      <c r="A5149" s="52"/>
    </row>
    <row r="5150" spans="1:1" x14ac:dyDescent="0.2">
      <c r="A5150" s="52"/>
    </row>
    <row r="5151" spans="1:1" x14ac:dyDescent="0.2">
      <c r="A5151" s="52"/>
    </row>
    <row r="5152" spans="1:1" x14ac:dyDescent="0.2">
      <c r="A5152" s="52"/>
    </row>
    <row r="5153" spans="1:1" x14ac:dyDescent="0.2">
      <c r="A5153" s="53"/>
    </row>
    <row r="5154" spans="1:1" x14ac:dyDescent="0.2">
      <c r="A5154" s="52"/>
    </row>
    <row r="5155" spans="1:1" x14ac:dyDescent="0.2">
      <c r="A5155" s="52"/>
    </row>
    <row r="5156" spans="1:1" x14ac:dyDescent="0.2">
      <c r="A5156" s="52"/>
    </row>
    <row r="5157" spans="1:1" x14ac:dyDescent="0.2">
      <c r="A5157" s="52"/>
    </row>
    <row r="5158" spans="1:1" x14ac:dyDescent="0.2">
      <c r="A5158" s="52"/>
    </row>
    <row r="5159" spans="1:1" x14ac:dyDescent="0.2">
      <c r="A5159" s="52"/>
    </row>
    <row r="5160" spans="1:1" x14ac:dyDescent="0.2">
      <c r="A5160" s="52"/>
    </row>
    <row r="5161" spans="1:1" x14ac:dyDescent="0.2">
      <c r="A5161" s="52"/>
    </row>
    <row r="5162" spans="1:1" x14ac:dyDescent="0.2">
      <c r="A5162" s="52"/>
    </row>
    <row r="5163" spans="1:1" x14ac:dyDescent="0.2">
      <c r="A5163" s="52"/>
    </row>
    <row r="5164" spans="1:1" x14ac:dyDescent="0.2">
      <c r="A5164" s="52"/>
    </row>
    <row r="5165" spans="1:1" x14ac:dyDescent="0.2">
      <c r="A5165" s="52"/>
    </row>
    <row r="5166" spans="1:1" x14ac:dyDescent="0.2">
      <c r="A5166" s="52"/>
    </row>
    <row r="5167" spans="1:1" x14ac:dyDescent="0.2">
      <c r="A5167" s="52"/>
    </row>
    <row r="5168" spans="1:1" x14ac:dyDescent="0.2">
      <c r="A5168" s="52"/>
    </row>
    <row r="5169" spans="1:1" x14ac:dyDescent="0.2">
      <c r="A5169" s="52"/>
    </row>
    <row r="5170" spans="1:1" x14ac:dyDescent="0.2">
      <c r="A5170" s="52"/>
    </row>
    <row r="5171" spans="1:1" x14ac:dyDescent="0.2">
      <c r="A5171" s="52"/>
    </row>
    <row r="5172" spans="1:1" x14ac:dyDescent="0.2">
      <c r="A5172" s="52"/>
    </row>
    <row r="5173" spans="1:1" x14ac:dyDescent="0.2">
      <c r="A5173" s="52"/>
    </row>
    <row r="5174" spans="1:1" x14ac:dyDescent="0.2">
      <c r="A5174" s="52"/>
    </row>
    <row r="5175" spans="1:1" x14ac:dyDescent="0.2">
      <c r="A5175" s="52"/>
    </row>
    <row r="5176" spans="1:1" x14ac:dyDescent="0.2">
      <c r="A5176" s="52"/>
    </row>
    <row r="5177" spans="1:1" x14ac:dyDescent="0.2">
      <c r="A5177" s="52"/>
    </row>
    <row r="5178" spans="1:1" x14ac:dyDescent="0.2">
      <c r="A5178" s="52"/>
    </row>
    <row r="5179" spans="1:1" x14ac:dyDescent="0.2">
      <c r="A5179" s="52"/>
    </row>
    <row r="5180" spans="1:1" x14ac:dyDescent="0.2">
      <c r="A5180" s="52"/>
    </row>
    <row r="5181" spans="1:1" x14ac:dyDescent="0.2">
      <c r="A5181" s="52"/>
    </row>
    <row r="5182" spans="1:1" x14ac:dyDescent="0.2">
      <c r="A5182" s="52"/>
    </row>
    <row r="5183" spans="1:1" x14ac:dyDescent="0.2">
      <c r="A5183" s="52"/>
    </row>
    <row r="5184" spans="1:1" x14ac:dyDescent="0.2">
      <c r="A5184" s="52"/>
    </row>
    <row r="5185" spans="1:1" x14ac:dyDescent="0.2">
      <c r="A5185" s="52"/>
    </row>
    <row r="5186" spans="1:1" x14ac:dyDescent="0.2">
      <c r="A5186" s="52"/>
    </row>
    <row r="5187" spans="1:1" x14ac:dyDescent="0.2">
      <c r="A5187" s="52"/>
    </row>
    <row r="5188" spans="1:1" x14ac:dyDescent="0.2">
      <c r="A5188" s="52"/>
    </row>
    <row r="5189" spans="1:1" x14ac:dyDescent="0.2">
      <c r="A5189" s="52"/>
    </row>
    <row r="5190" spans="1:1" x14ac:dyDescent="0.2">
      <c r="A5190" s="52"/>
    </row>
    <row r="5191" spans="1:1" x14ac:dyDescent="0.2">
      <c r="A5191" s="53"/>
    </row>
    <row r="5192" spans="1:1" x14ac:dyDescent="0.2">
      <c r="A5192" s="52"/>
    </row>
    <row r="5193" spans="1:1" x14ac:dyDescent="0.2">
      <c r="A5193" s="52"/>
    </row>
    <row r="5194" spans="1:1" x14ac:dyDescent="0.2">
      <c r="A5194" s="52"/>
    </row>
    <row r="5195" spans="1:1" x14ac:dyDescent="0.2">
      <c r="A5195" s="52"/>
    </row>
    <row r="5196" spans="1:1" x14ac:dyDescent="0.2">
      <c r="A5196" s="53"/>
    </row>
    <row r="5197" spans="1:1" x14ac:dyDescent="0.2">
      <c r="A5197" s="52"/>
    </row>
    <row r="5198" spans="1:1" x14ac:dyDescent="0.2">
      <c r="A5198" s="52"/>
    </row>
    <row r="5199" spans="1:1" x14ac:dyDescent="0.2">
      <c r="A5199" s="52"/>
    </row>
    <row r="5200" spans="1:1" x14ac:dyDescent="0.2">
      <c r="A5200" s="53"/>
    </row>
    <row r="5201" spans="1:1" x14ac:dyDescent="0.2">
      <c r="A5201" s="52"/>
    </row>
    <row r="5202" spans="1:1" x14ac:dyDescent="0.2">
      <c r="A5202" s="52"/>
    </row>
    <row r="5203" spans="1:1" x14ac:dyDescent="0.2">
      <c r="A5203" s="53"/>
    </row>
    <row r="5204" spans="1:1" x14ac:dyDescent="0.2">
      <c r="A5204" s="52"/>
    </row>
    <row r="5205" spans="1:1" x14ac:dyDescent="0.2">
      <c r="A5205" s="52"/>
    </row>
    <row r="5206" spans="1:1" x14ac:dyDescent="0.2">
      <c r="A5206" s="53"/>
    </row>
    <row r="5207" spans="1:1" x14ac:dyDescent="0.2">
      <c r="A5207" s="52"/>
    </row>
    <row r="5208" spans="1:1" x14ac:dyDescent="0.2">
      <c r="A5208" s="53"/>
    </row>
    <row r="5209" spans="1:1" x14ac:dyDescent="0.2">
      <c r="A5209" s="52"/>
    </row>
    <row r="5210" spans="1:1" x14ac:dyDescent="0.2">
      <c r="A5210" s="52"/>
    </row>
    <row r="5211" spans="1:1" x14ac:dyDescent="0.2">
      <c r="A5211" s="52"/>
    </row>
    <row r="5212" spans="1:1" x14ac:dyDescent="0.2">
      <c r="A5212" s="52"/>
    </row>
    <row r="5213" spans="1:1" x14ac:dyDescent="0.2">
      <c r="A5213" s="52"/>
    </row>
    <row r="5214" spans="1:1" x14ac:dyDescent="0.2">
      <c r="A5214" s="52"/>
    </row>
    <row r="5215" spans="1:1" x14ac:dyDescent="0.2">
      <c r="A5215" s="52"/>
    </row>
    <row r="5216" spans="1:1" x14ac:dyDescent="0.2">
      <c r="A5216" s="52"/>
    </row>
    <row r="5217" spans="1:1" x14ac:dyDescent="0.2">
      <c r="A5217" s="52"/>
    </row>
    <row r="5218" spans="1:1" x14ac:dyDescent="0.2">
      <c r="A5218" s="53"/>
    </row>
    <row r="5219" spans="1:1" x14ac:dyDescent="0.2">
      <c r="A5219" s="53"/>
    </row>
    <row r="5220" spans="1:1" x14ac:dyDescent="0.2">
      <c r="A5220" s="52"/>
    </row>
    <row r="5221" spans="1:1" x14ac:dyDescent="0.2">
      <c r="A5221" s="52"/>
    </row>
    <row r="5222" spans="1:1" x14ac:dyDescent="0.2">
      <c r="A5222" s="52"/>
    </row>
    <row r="5223" spans="1:1" x14ac:dyDescent="0.2">
      <c r="A5223" s="53"/>
    </row>
    <row r="5224" spans="1:1" x14ac:dyDescent="0.2">
      <c r="A5224" s="53"/>
    </row>
    <row r="5225" spans="1:1" x14ac:dyDescent="0.2">
      <c r="A5225" s="52"/>
    </row>
    <row r="5226" spans="1:1" x14ac:dyDescent="0.2">
      <c r="A5226" s="52"/>
    </row>
    <row r="5227" spans="1:1" x14ac:dyDescent="0.2">
      <c r="A5227" s="52"/>
    </row>
    <row r="5228" spans="1:1" x14ac:dyDescent="0.2">
      <c r="A5228" s="52"/>
    </row>
    <row r="5229" spans="1:1" x14ac:dyDescent="0.2">
      <c r="A5229" s="52"/>
    </row>
    <row r="5230" spans="1:1" x14ac:dyDescent="0.2">
      <c r="A5230" s="52"/>
    </row>
    <row r="5231" spans="1:1" x14ac:dyDescent="0.2">
      <c r="A5231" s="52"/>
    </row>
    <row r="5232" spans="1:1" x14ac:dyDescent="0.2">
      <c r="A5232" s="52"/>
    </row>
    <row r="5233" spans="1:1" x14ac:dyDescent="0.2">
      <c r="A5233" s="52"/>
    </row>
    <row r="5234" spans="1:1" x14ac:dyDescent="0.2">
      <c r="A5234" s="52"/>
    </row>
    <row r="5235" spans="1:1" x14ac:dyDescent="0.2">
      <c r="A5235" s="52"/>
    </row>
    <row r="5236" spans="1:1" x14ac:dyDescent="0.2">
      <c r="A5236" s="52"/>
    </row>
    <row r="5237" spans="1:1" x14ac:dyDescent="0.2">
      <c r="A5237" s="52"/>
    </row>
    <row r="5238" spans="1:1" x14ac:dyDescent="0.2">
      <c r="A5238" s="52"/>
    </row>
    <row r="5239" spans="1:1" x14ac:dyDescent="0.2">
      <c r="A5239" s="52"/>
    </row>
    <row r="5240" spans="1:1" x14ac:dyDescent="0.2">
      <c r="A5240" s="52"/>
    </row>
    <row r="5241" spans="1:1" x14ac:dyDescent="0.2">
      <c r="A5241" s="52"/>
    </row>
    <row r="5242" spans="1:1" x14ac:dyDescent="0.2">
      <c r="A5242" s="52"/>
    </row>
    <row r="5243" spans="1:1" x14ac:dyDescent="0.2">
      <c r="A5243" s="52"/>
    </row>
    <row r="5244" spans="1:1" x14ac:dyDescent="0.2">
      <c r="A5244" s="52"/>
    </row>
    <row r="5245" spans="1:1" x14ac:dyDescent="0.2">
      <c r="A5245" s="52"/>
    </row>
    <row r="5246" spans="1:1" x14ac:dyDescent="0.2">
      <c r="A5246" s="52"/>
    </row>
    <row r="5247" spans="1:1" x14ac:dyDescent="0.2">
      <c r="A5247" s="52"/>
    </row>
    <row r="5248" spans="1:1" x14ac:dyDescent="0.2">
      <c r="A5248" s="52"/>
    </row>
    <row r="5249" spans="1:1" x14ac:dyDescent="0.2">
      <c r="A5249" s="52"/>
    </row>
    <row r="5250" spans="1:1" x14ac:dyDescent="0.2">
      <c r="A5250" s="52"/>
    </row>
    <row r="5251" spans="1:1" x14ac:dyDescent="0.2">
      <c r="A5251" s="52"/>
    </row>
    <row r="5252" spans="1:1" x14ac:dyDescent="0.2">
      <c r="A5252" s="52"/>
    </row>
    <row r="5253" spans="1:1" x14ac:dyDescent="0.2">
      <c r="A5253" s="52"/>
    </row>
    <row r="5254" spans="1:1" x14ac:dyDescent="0.2">
      <c r="A5254" s="52"/>
    </row>
    <row r="5255" spans="1:1" x14ac:dyDescent="0.2">
      <c r="A5255" s="53"/>
    </row>
    <row r="5256" spans="1:1" x14ac:dyDescent="0.2">
      <c r="A5256" s="52"/>
    </row>
    <row r="5257" spans="1:1" x14ac:dyDescent="0.2">
      <c r="A5257" s="52"/>
    </row>
    <row r="5258" spans="1:1" x14ac:dyDescent="0.2">
      <c r="A5258" s="52"/>
    </row>
    <row r="5259" spans="1:1" x14ac:dyDescent="0.2">
      <c r="A5259" s="52"/>
    </row>
    <row r="5260" spans="1:1" x14ac:dyDescent="0.2">
      <c r="A5260" s="52"/>
    </row>
    <row r="5261" spans="1:1" x14ac:dyDescent="0.2">
      <c r="A5261" s="52"/>
    </row>
    <row r="5262" spans="1:1" x14ac:dyDescent="0.2">
      <c r="A5262" s="52"/>
    </row>
    <row r="5263" spans="1:1" x14ac:dyDescent="0.2">
      <c r="A5263" s="52"/>
    </row>
    <row r="5264" spans="1:1" x14ac:dyDescent="0.2">
      <c r="A5264" s="52"/>
    </row>
    <row r="5265" spans="1:1" x14ac:dyDescent="0.2">
      <c r="A5265" s="52"/>
    </row>
    <row r="5266" spans="1:1" x14ac:dyDescent="0.2">
      <c r="A5266" s="52"/>
    </row>
    <row r="5267" spans="1:1" x14ac:dyDescent="0.2">
      <c r="A5267" s="52"/>
    </row>
    <row r="5268" spans="1:1" x14ac:dyDescent="0.2">
      <c r="A5268" s="52"/>
    </row>
    <row r="5269" spans="1:1" x14ac:dyDescent="0.2">
      <c r="A5269" s="52"/>
    </row>
    <row r="5270" spans="1:1" x14ac:dyDescent="0.2">
      <c r="A5270" s="52"/>
    </row>
    <row r="5271" spans="1:1" x14ac:dyDescent="0.2">
      <c r="A5271" s="52"/>
    </row>
    <row r="5272" spans="1:1" x14ac:dyDescent="0.2">
      <c r="A5272" s="52"/>
    </row>
    <row r="5273" spans="1:1" x14ac:dyDescent="0.2">
      <c r="A5273" s="52"/>
    </row>
    <row r="5274" spans="1:1" x14ac:dyDescent="0.2">
      <c r="A5274" s="52"/>
    </row>
    <row r="5275" spans="1:1" x14ac:dyDescent="0.2">
      <c r="A5275" s="52"/>
    </row>
    <row r="5276" spans="1:1" x14ac:dyDescent="0.2">
      <c r="A5276" s="52"/>
    </row>
    <row r="5277" spans="1:1" x14ac:dyDescent="0.2">
      <c r="A5277" s="52"/>
    </row>
    <row r="5278" spans="1:1" x14ac:dyDescent="0.2">
      <c r="A5278" s="52"/>
    </row>
    <row r="5279" spans="1:1" x14ac:dyDescent="0.2">
      <c r="A5279" s="52"/>
    </row>
    <row r="5280" spans="1:1" x14ac:dyDescent="0.2">
      <c r="A5280" s="52"/>
    </row>
    <row r="5281" spans="1:1" x14ac:dyDescent="0.2">
      <c r="A5281" s="52"/>
    </row>
    <row r="5282" spans="1:1" x14ac:dyDescent="0.2">
      <c r="A5282" s="53"/>
    </row>
    <row r="5283" spans="1:1" x14ac:dyDescent="0.2">
      <c r="A5283" s="52"/>
    </row>
    <row r="5284" spans="1:1" x14ac:dyDescent="0.2">
      <c r="A5284" s="52"/>
    </row>
    <row r="5285" spans="1:1" x14ac:dyDescent="0.2">
      <c r="A5285" s="52"/>
    </row>
    <row r="5286" spans="1:1" x14ac:dyDescent="0.2">
      <c r="A5286" s="53"/>
    </row>
    <row r="5287" spans="1:1" x14ac:dyDescent="0.2">
      <c r="A5287" s="52"/>
    </row>
    <row r="5288" spans="1:1" x14ac:dyDescent="0.2">
      <c r="A5288" s="52"/>
    </row>
    <row r="5289" spans="1:1" x14ac:dyDescent="0.2">
      <c r="A5289" s="52"/>
    </row>
    <row r="5290" spans="1:1" x14ac:dyDescent="0.2">
      <c r="A5290" s="52"/>
    </row>
    <row r="5291" spans="1:1" x14ac:dyDescent="0.2">
      <c r="A5291" s="52"/>
    </row>
    <row r="5292" spans="1:1" x14ac:dyDescent="0.2">
      <c r="A5292" s="52"/>
    </row>
    <row r="5293" spans="1:1" x14ac:dyDescent="0.2">
      <c r="A5293" s="53"/>
    </row>
    <row r="5294" spans="1:1" x14ac:dyDescent="0.2">
      <c r="A5294" s="53"/>
    </row>
    <row r="5295" spans="1:1" x14ac:dyDescent="0.2">
      <c r="A5295" s="52"/>
    </row>
    <row r="5296" spans="1:1" x14ac:dyDescent="0.2">
      <c r="A5296" s="52"/>
    </row>
    <row r="5297" spans="1:1" x14ac:dyDescent="0.2">
      <c r="A5297" s="52"/>
    </row>
    <row r="5298" spans="1:1" x14ac:dyDescent="0.2">
      <c r="A5298" s="52"/>
    </row>
    <row r="5299" spans="1:1" x14ac:dyDescent="0.2">
      <c r="A5299" s="52"/>
    </row>
    <row r="5300" spans="1:1" x14ac:dyDescent="0.2">
      <c r="A5300" s="53"/>
    </row>
    <row r="5301" spans="1:1" x14ac:dyDescent="0.2">
      <c r="A5301" s="52"/>
    </row>
    <row r="5302" spans="1:1" x14ac:dyDescent="0.2">
      <c r="A5302" s="52"/>
    </row>
    <row r="5303" spans="1:1" x14ac:dyDescent="0.2">
      <c r="A5303" s="52"/>
    </row>
    <row r="5304" spans="1:1" x14ac:dyDescent="0.2">
      <c r="A5304" s="52"/>
    </row>
    <row r="5305" spans="1:1" x14ac:dyDescent="0.2">
      <c r="A5305" s="52"/>
    </row>
    <row r="5306" spans="1:1" x14ac:dyDescent="0.2">
      <c r="A5306" s="52"/>
    </row>
    <row r="5307" spans="1:1" x14ac:dyDescent="0.2">
      <c r="A5307" s="52"/>
    </row>
    <row r="5308" spans="1:1" x14ac:dyDescent="0.2">
      <c r="A5308" s="52"/>
    </row>
    <row r="5309" spans="1:1" x14ac:dyDescent="0.2">
      <c r="A5309" s="52"/>
    </row>
    <row r="5310" spans="1:1" x14ac:dyDescent="0.2">
      <c r="A5310" s="52"/>
    </row>
    <row r="5311" spans="1:1" x14ac:dyDescent="0.2">
      <c r="A5311" s="52"/>
    </row>
    <row r="5312" spans="1:1" x14ac:dyDescent="0.2">
      <c r="A5312" s="52"/>
    </row>
    <row r="5313" spans="1:1" x14ac:dyDescent="0.2">
      <c r="A5313" s="52"/>
    </row>
    <row r="5314" spans="1:1" x14ac:dyDescent="0.2">
      <c r="A5314" s="53"/>
    </row>
    <row r="5315" spans="1:1" x14ac:dyDescent="0.2">
      <c r="A5315" s="53"/>
    </row>
    <row r="5316" spans="1:1" x14ac:dyDescent="0.2">
      <c r="A5316" s="52"/>
    </row>
    <row r="5317" spans="1:1" x14ac:dyDescent="0.2">
      <c r="A5317" s="52"/>
    </row>
    <row r="5318" spans="1:1" x14ac:dyDescent="0.2">
      <c r="A5318" s="52"/>
    </row>
    <row r="5319" spans="1:1" x14ac:dyDescent="0.2">
      <c r="A5319" s="52"/>
    </row>
    <row r="5320" spans="1:1" x14ac:dyDescent="0.2">
      <c r="A5320" s="52"/>
    </row>
    <row r="5321" spans="1:1" x14ac:dyDescent="0.2">
      <c r="A5321" s="52"/>
    </row>
    <row r="5322" spans="1:1" x14ac:dyDescent="0.2">
      <c r="A5322" s="52"/>
    </row>
    <row r="5323" spans="1:1" x14ac:dyDescent="0.2">
      <c r="A5323" s="52"/>
    </row>
    <row r="5324" spans="1:1" x14ac:dyDescent="0.2">
      <c r="A5324" s="52"/>
    </row>
    <row r="5325" spans="1:1" x14ac:dyDescent="0.2">
      <c r="A5325" s="52"/>
    </row>
    <row r="5326" spans="1:1" x14ac:dyDescent="0.2">
      <c r="A5326" s="52"/>
    </row>
    <row r="5327" spans="1:1" x14ac:dyDescent="0.2">
      <c r="A5327" s="52"/>
    </row>
    <row r="5328" spans="1:1" x14ac:dyDescent="0.2">
      <c r="A5328" s="52"/>
    </row>
    <row r="5329" spans="1:1" x14ac:dyDescent="0.2">
      <c r="A5329" s="52"/>
    </row>
    <row r="5330" spans="1:1" x14ac:dyDescent="0.2">
      <c r="A5330" s="52"/>
    </row>
    <row r="5331" spans="1:1" x14ac:dyDescent="0.2">
      <c r="A5331" s="52"/>
    </row>
    <row r="5332" spans="1:1" x14ac:dyDescent="0.2">
      <c r="A5332" s="52"/>
    </row>
    <row r="5333" spans="1:1" x14ac:dyDescent="0.2">
      <c r="A5333" s="52"/>
    </row>
    <row r="5334" spans="1:1" x14ac:dyDescent="0.2">
      <c r="A5334" s="52"/>
    </row>
    <row r="5335" spans="1:1" x14ac:dyDescent="0.2">
      <c r="A5335" s="52"/>
    </row>
    <row r="5336" spans="1:1" x14ac:dyDescent="0.2">
      <c r="A5336" s="52"/>
    </row>
    <row r="5337" spans="1:1" x14ac:dyDescent="0.2">
      <c r="A5337" s="52"/>
    </row>
    <row r="5338" spans="1:1" x14ac:dyDescent="0.2">
      <c r="A5338" s="52"/>
    </row>
    <row r="5339" spans="1:1" x14ac:dyDescent="0.2">
      <c r="A5339" s="52"/>
    </row>
    <row r="5340" spans="1:1" x14ac:dyDescent="0.2">
      <c r="A5340" s="52"/>
    </row>
    <row r="5341" spans="1:1" x14ac:dyDescent="0.2">
      <c r="A5341" s="52"/>
    </row>
    <row r="5342" spans="1:1" x14ac:dyDescent="0.2">
      <c r="A5342" s="52"/>
    </row>
    <row r="5343" spans="1:1" x14ac:dyDescent="0.2">
      <c r="A5343" s="52"/>
    </row>
    <row r="5344" spans="1:1" x14ac:dyDescent="0.2">
      <c r="A5344" s="52"/>
    </row>
    <row r="5345" spans="1:1" x14ac:dyDescent="0.2">
      <c r="A5345" s="52"/>
    </row>
    <row r="5346" spans="1:1" x14ac:dyDescent="0.2">
      <c r="A5346" s="52"/>
    </row>
    <row r="5347" spans="1:1" x14ac:dyDescent="0.2">
      <c r="A5347" s="52"/>
    </row>
    <row r="5348" spans="1:1" x14ac:dyDescent="0.2">
      <c r="A5348" s="52"/>
    </row>
    <row r="5349" spans="1:1" x14ac:dyDescent="0.2">
      <c r="A5349" s="52"/>
    </row>
    <row r="5350" spans="1:1" x14ac:dyDescent="0.2">
      <c r="A5350" s="53"/>
    </row>
    <row r="5351" spans="1:1" x14ac:dyDescent="0.2">
      <c r="A5351" s="53"/>
    </row>
    <row r="5352" spans="1:1" x14ac:dyDescent="0.2">
      <c r="A5352" s="52"/>
    </row>
    <row r="5353" spans="1:1" x14ac:dyDescent="0.2">
      <c r="A5353" s="52"/>
    </row>
    <row r="5354" spans="1:1" x14ac:dyDescent="0.2">
      <c r="A5354" s="52"/>
    </row>
    <row r="5355" spans="1:1" x14ac:dyDescent="0.2">
      <c r="A5355" s="52"/>
    </row>
    <row r="5356" spans="1:1" x14ac:dyDescent="0.2">
      <c r="A5356" s="52"/>
    </row>
    <row r="5357" spans="1:1" x14ac:dyDescent="0.2">
      <c r="A5357" s="52"/>
    </row>
    <row r="5358" spans="1:1" x14ac:dyDescent="0.2">
      <c r="A5358" s="52"/>
    </row>
    <row r="5359" spans="1:1" x14ac:dyDescent="0.2">
      <c r="A5359" s="52"/>
    </row>
    <row r="5360" spans="1:1" x14ac:dyDescent="0.2">
      <c r="A5360" s="52"/>
    </row>
    <row r="5361" spans="1:1" x14ac:dyDescent="0.2">
      <c r="A5361" s="52"/>
    </row>
    <row r="5362" spans="1:1" x14ac:dyDescent="0.2">
      <c r="A5362" s="52"/>
    </row>
    <row r="5363" spans="1:1" x14ac:dyDescent="0.2">
      <c r="A5363" s="52"/>
    </row>
    <row r="5364" spans="1:1" x14ac:dyDescent="0.2">
      <c r="A5364" s="52"/>
    </row>
    <row r="5365" spans="1:1" x14ac:dyDescent="0.2">
      <c r="A5365" s="52"/>
    </row>
    <row r="5366" spans="1:1" x14ac:dyDescent="0.2">
      <c r="A5366" s="53"/>
    </row>
    <row r="5367" spans="1:1" x14ac:dyDescent="0.2">
      <c r="A5367" s="53"/>
    </row>
    <row r="5368" spans="1:1" x14ac:dyDescent="0.2">
      <c r="A5368" s="53"/>
    </row>
    <row r="5369" spans="1:1" x14ac:dyDescent="0.2">
      <c r="A5369" s="53"/>
    </row>
    <row r="5370" spans="1:1" x14ac:dyDescent="0.2">
      <c r="A5370" s="53"/>
    </row>
    <row r="5371" spans="1:1" x14ac:dyDescent="0.2">
      <c r="A5371" s="53"/>
    </row>
    <row r="5372" spans="1:1" x14ac:dyDescent="0.2">
      <c r="A5372" s="53"/>
    </row>
    <row r="5373" spans="1:1" x14ac:dyDescent="0.2">
      <c r="A5373" s="53"/>
    </row>
    <row r="5374" spans="1:1" x14ac:dyDescent="0.2">
      <c r="A5374" s="53"/>
    </row>
    <row r="5375" spans="1:1" x14ac:dyDescent="0.2">
      <c r="A5375" s="52"/>
    </row>
    <row r="5376" spans="1:1" x14ac:dyDescent="0.2">
      <c r="A5376" s="52"/>
    </row>
    <row r="5377" spans="1:1" x14ac:dyDescent="0.2">
      <c r="A5377" s="52"/>
    </row>
    <row r="5378" spans="1:1" x14ac:dyDescent="0.2">
      <c r="A5378" s="52"/>
    </row>
    <row r="5379" spans="1:1" x14ac:dyDescent="0.2">
      <c r="A5379" s="52"/>
    </row>
    <row r="5380" spans="1:1" x14ac:dyDescent="0.2">
      <c r="A5380" s="52"/>
    </row>
    <row r="5381" spans="1:1" x14ac:dyDescent="0.2">
      <c r="A5381" s="52"/>
    </row>
    <row r="5382" spans="1:1" x14ac:dyDescent="0.2">
      <c r="A5382" s="52"/>
    </row>
    <row r="5383" spans="1:1" x14ac:dyDescent="0.2">
      <c r="A5383" s="52"/>
    </row>
    <row r="5384" spans="1:1" x14ac:dyDescent="0.2">
      <c r="A5384" s="52"/>
    </row>
    <row r="5385" spans="1:1" x14ac:dyDescent="0.2">
      <c r="A5385" s="52"/>
    </row>
    <row r="5386" spans="1:1" x14ac:dyDescent="0.2">
      <c r="A5386" s="52"/>
    </row>
    <row r="5387" spans="1:1" x14ac:dyDescent="0.2">
      <c r="A5387" s="52"/>
    </row>
    <row r="5388" spans="1:1" x14ac:dyDescent="0.2">
      <c r="A5388" s="52"/>
    </row>
    <row r="5389" spans="1:1" x14ac:dyDescent="0.2">
      <c r="A5389" s="52"/>
    </row>
    <row r="5390" spans="1:1" x14ac:dyDescent="0.2">
      <c r="A5390" s="52"/>
    </row>
    <row r="5391" spans="1:1" x14ac:dyDescent="0.2">
      <c r="A5391" s="52"/>
    </row>
    <row r="5392" spans="1:1" x14ac:dyDescent="0.2">
      <c r="A5392" s="52"/>
    </row>
    <row r="5393" spans="1:1" x14ac:dyDescent="0.2">
      <c r="A5393" s="52"/>
    </row>
    <row r="5394" spans="1:1" x14ac:dyDescent="0.2">
      <c r="A5394" s="52"/>
    </row>
    <row r="5395" spans="1:1" x14ac:dyDescent="0.2">
      <c r="A5395" s="52"/>
    </row>
    <row r="5396" spans="1:1" x14ac:dyDescent="0.2">
      <c r="A5396" s="52"/>
    </row>
    <row r="5397" spans="1:1" x14ac:dyDescent="0.2">
      <c r="A5397" s="52"/>
    </row>
    <row r="5398" spans="1:1" x14ac:dyDescent="0.2">
      <c r="A5398" s="52"/>
    </row>
    <row r="5399" spans="1:1" x14ac:dyDescent="0.2">
      <c r="A5399" s="52"/>
    </row>
    <row r="5400" spans="1:1" x14ac:dyDescent="0.2">
      <c r="A5400" s="52"/>
    </row>
    <row r="5401" spans="1:1" x14ac:dyDescent="0.2">
      <c r="A5401" s="53"/>
    </row>
    <row r="5402" spans="1:1" x14ac:dyDescent="0.2">
      <c r="A5402" s="52"/>
    </row>
    <row r="5403" spans="1:1" x14ac:dyDescent="0.2">
      <c r="A5403" s="52"/>
    </row>
    <row r="5404" spans="1:1" x14ac:dyDescent="0.2">
      <c r="A5404" s="52"/>
    </row>
    <row r="5405" spans="1:1" x14ac:dyDescent="0.2">
      <c r="A5405" s="53"/>
    </row>
    <row r="5406" spans="1:1" x14ac:dyDescent="0.2">
      <c r="A5406" s="52"/>
    </row>
    <row r="5407" spans="1:1" x14ac:dyDescent="0.2">
      <c r="A5407" s="52"/>
    </row>
    <row r="5408" spans="1:1" x14ac:dyDescent="0.2">
      <c r="A5408" s="52"/>
    </row>
    <row r="5409" spans="1:1" x14ac:dyDescent="0.2">
      <c r="A5409" s="52"/>
    </row>
    <row r="5410" spans="1:1" x14ac:dyDescent="0.2">
      <c r="A5410" s="53"/>
    </row>
    <row r="5411" spans="1:1" x14ac:dyDescent="0.2">
      <c r="A5411" s="52"/>
    </row>
    <row r="5412" spans="1:1" x14ac:dyDescent="0.2">
      <c r="A5412" s="52"/>
    </row>
    <row r="5413" spans="1:1" x14ac:dyDescent="0.2">
      <c r="A5413" s="52"/>
    </row>
    <row r="5414" spans="1:1" x14ac:dyDescent="0.2">
      <c r="A5414" s="53"/>
    </row>
    <row r="5415" spans="1:1" x14ac:dyDescent="0.2">
      <c r="A5415" s="52"/>
    </row>
    <row r="5416" spans="1:1" x14ac:dyDescent="0.2">
      <c r="A5416" s="52"/>
    </row>
    <row r="5417" spans="1:1" x14ac:dyDescent="0.2">
      <c r="A5417" s="53"/>
    </row>
    <row r="5418" spans="1:1" x14ac:dyDescent="0.2">
      <c r="A5418" s="53"/>
    </row>
    <row r="5419" spans="1:1" x14ac:dyDescent="0.2">
      <c r="A5419" s="52"/>
    </row>
    <row r="5420" spans="1:1" x14ac:dyDescent="0.2">
      <c r="A5420" s="52"/>
    </row>
    <row r="5421" spans="1:1" x14ac:dyDescent="0.2">
      <c r="A5421" s="52"/>
    </row>
    <row r="5422" spans="1:1" x14ac:dyDescent="0.2">
      <c r="A5422" s="52"/>
    </row>
    <row r="5423" spans="1:1" x14ac:dyDescent="0.2">
      <c r="A5423" s="52"/>
    </row>
    <row r="5424" spans="1:1" x14ac:dyDescent="0.2">
      <c r="A5424" s="52"/>
    </row>
    <row r="5425" spans="1:1" x14ac:dyDescent="0.2">
      <c r="A5425" s="52"/>
    </row>
    <row r="5426" spans="1:1" x14ac:dyDescent="0.2">
      <c r="A5426" s="53"/>
    </row>
    <row r="5427" spans="1:1" x14ac:dyDescent="0.2">
      <c r="A5427" s="52"/>
    </row>
    <row r="5428" spans="1:1" x14ac:dyDescent="0.2">
      <c r="A5428" s="52"/>
    </row>
    <row r="5429" spans="1:1" x14ac:dyDescent="0.2">
      <c r="A5429" s="52"/>
    </row>
    <row r="5430" spans="1:1" x14ac:dyDescent="0.2">
      <c r="A5430" s="52"/>
    </row>
    <row r="5431" spans="1:1" x14ac:dyDescent="0.2">
      <c r="A5431" s="52"/>
    </row>
    <row r="5432" spans="1:1" x14ac:dyDescent="0.2">
      <c r="A5432" s="52"/>
    </row>
    <row r="5433" spans="1:1" x14ac:dyDescent="0.2">
      <c r="A5433" s="53"/>
    </row>
    <row r="5434" spans="1:1" x14ac:dyDescent="0.2">
      <c r="A5434" s="52"/>
    </row>
    <row r="5435" spans="1:1" x14ac:dyDescent="0.2">
      <c r="A5435" s="52"/>
    </row>
    <row r="5436" spans="1:1" x14ac:dyDescent="0.2">
      <c r="A5436" s="52"/>
    </row>
    <row r="5437" spans="1:1" x14ac:dyDescent="0.2">
      <c r="A5437" s="52"/>
    </row>
    <row r="5438" spans="1:1" x14ac:dyDescent="0.2">
      <c r="A5438" s="52"/>
    </row>
    <row r="5439" spans="1:1" x14ac:dyDescent="0.2">
      <c r="A5439" s="52"/>
    </row>
    <row r="5440" spans="1:1" x14ac:dyDescent="0.2">
      <c r="A5440" s="52"/>
    </row>
    <row r="5441" spans="1:1" x14ac:dyDescent="0.2">
      <c r="A5441" s="52"/>
    </row>
    <row r="5442" spans="1:1" x14ac:dyDescent="0.2">
      <c r="A5442" s="52"/>
    </row>
    <row r="5443" spans="1:1" x14ac:dyDescent="0.2">
      <c r="A5443" s="52"/>
    </row>
    <row r="5444" spans="1:1" x14ac:dyDescent="0.2">
      <c r="A5444" s="52"/>
    </row>
    <row r="5445" spans="1:1" x14ac:dyDescent="0.2">
      <c r="A5445" s="52"/>
    </row>
    <row r="5446" spans="1:1" x14ac:dyDescent="0.2">
      <c r="A5446" s="52"/>
    </row>
    <row r="5447" spans="1:1" x14ac:dyDescent="0.2">
      <c r="A5447" s="52"/>
    </row>
    <row r="5448" spans="1:1" x14ac:dyDescent="0.2">
      <c r="A5448" s="52"/>
    </row>
    <row r="5449" spans="1:1" x14ac:dyDescent="0.2">
      <c r="A5449" s="52"/>
    </row>
    <row r="5450" spans="1:1" x14ac:dyDescent="0.2">
      <c r="A5450" s="53"/>
    </row>
    <row r="5451" spans="1:1" x14ac:dyDescent="0.2">
      <c r="A5451" s="52"/>
    </row>
    <row r="5452" spans="1:1" x14ac:dyDescent="0.2">
      <c r="A5452" s="52"/>
    </row>
    <row r="5453" spans="1:1" x14ac:dyDescent="0.2">
      <c r="A5453" s="52"/>
    </row>
    <row r="5454" spans="1:1" x14ac:dyDescent="0.2">
      <c r="A5454" s="52"/>
    </row>
    <row r="5455" spans="1:1" x14ac:dyDescent="0.2">
      <c r="A5455" s="52"/>
    </row>
    <row r="5456" spans="1:1" x14ac:dyDescent="0.2">
      <c r="A5456" s="52"/>
    </row>
    <row r="5457" spans="1:1" x14ac:dyDescent="0.2">
      <c r="A5457" s="52"/>
    </row>
    <row r="5458" spans="1:1" x14ac:dyDescent="0.2">
      <c r="A5458" s="52"/>
    </row>
    <row r="5459" spans="1:1" x14ac:dyDescent="0.2">
      <c r="A5459" s="52"/>
    </row>
    <row r="5460" spans="1:1" x14ac:dyDescent="0.2">
      <c r="A5460" s="52"/>
    </row>
    <row r="5461" spans="1:1" x14ac:dyDescent="0.2">
      <c r="A5461" s="52"/>
    </row>
    <row r="5462" spans="1:1" x14ac:dyDescent="0.2">
      <c r="A5462" s="52"/>
    </row>
    <row r="5463" spans="1:1" x14ac:dyDescent="0.2">
      <c r="A5463" s="52"/>
    </row>
    <row r="5464" spans="1:1" x14ac:dyDescent="0.2">
      <c r="A5464" s="52"/>
    </row>
    <row r="5465" spans="1:1" x14ac:dyDescent="0.2">
      <c r="A5465" s="52"/>
    </row>
    <row r="5466" spans="1:1" x14ac:dyDescent="0.2">
      <c r="A5466" s="52"/>
    </row>
    <row r="5467" spans="1:1" x14ac:dyDescent="0.2">
      <c r="A5467" s="52"/>
    </row>
    <row r="5468" spans="1:1" x14ac:dyDescent="0.2">
      <c r="A5468" s="52"/>
    </row>
    <row r="5469" spans="1:1" x14ac:dyDescent="0.2">
      <c r="A5469" s="52"/>
    </row>
    <row r="5470" spans="1:1" x14ac:dyDescent="0.2">
      <c r="A5470" s="52"/>
    </row>
    <row r="5471" spans="1:1" x14ac:dyDescent="0.2">
      <c r="A5471" s="52"/>
    </row>
    <row r="5472" spans="1:1" x14ac:dyDescent="0.2">
      <c r="A5472" s="52"/>
    </row>
    <row r="5473" spans="1:1" x14ac:dyDescent="0.2">
      <c r="A5473" s="52"/>
    </row>
    <row r="5474" spans="1:1" x14ac:dyDescent="0.2">
      <c r="A5474" s="52"/>
    </row>
    <row r="5475" spans="1:1" x14ac:dyDescent="0.2">
      <c r="A5475" s="52"/>
    </row>
    <row r="5476" spans="1:1" x14ac:dyDescent="0.2">
      <c r="A5476" s="52"/>
    </row>
    <row r="5477" spans="1:1" x14ac:dyDescent="0.2">
      <c r="A5477" s="52"/>
    </row>
    <row r="5478" spans="1:1" x14ac:dyDescent="0.2">
      <c r="A5478" s="52"/>
    </row>
    <row r="5479" spans="1:1" x14ac:dyDescent="0.2">
      <c r="A5479" s="52"/>
    </row>
    <row r="5480" spans="1:1" x14ac:dyDescent="0.2">
      <c r="A5480" s="52"/>
    </row>
    <row r="5481" spans="1:1" x14ac:dyDescent="0.2">
      <c r="A5481" s="52"/>
    </row>
    <row r="5482" spans="1:1" x14ac:dyDescent="0.2">
      <c r="A5482" s="52"/>
    </row>
    <row r="5483" spans="1:1" x14ac:dyDescent="0.2">
      <c r="A5483" s="52"/>
    </row>
    <row r="5484" spans="1:1" x14ac:dyDescent="0.2">
      <c r="A5484" s="52"/>
    </row>
    <row r="5485" spans="1:1" x14ac:dyDescent="0.2">
      <c r="A5485" s="53"/>
    </row>
    <row r="5486" spans="1:1" x14ac:dyDescent="0.2">
      <c r="A5486" s="53"/>
    </row>
    <row r="5487" spans="1:1" x14ac:dyDescent="0.2">
      <c r="A5487" s="53"/>
    </row>
    <row r="5488" spans="1:1" x14ac:dyDescent="0.2">
      <c r="A5488" s="52"/>
    </row>
    <row r="5489" spans="1:1" x14ac:dyDescent="0.2">
      <c r="A5489" s="52"/>
    </row>
    <row r="5490" spans="1:1" x14ac:dyDescent="0.2">
      <c r="A5490" s="52"/>
    </row>
    <row r="5491" spans="1:1" x14ac:dyDescent="0.2">
      <c r="A5491" s="52"/>
    </row>
    <row r="5492" spans="1:1" x14ac:dyDescent="0.2">
      <c r="A5492" s="52"/>
    </row>
    <row r="5493" spans="1:1" x14ac:dyDescent="0.2">
      <c r="A5493" s="52"/>
    </row>
    <row r="5494" spans="1:1" x14ac:dyDescent="0.2">
      <c r="A5494" s="52"/>
    </row>
    <row r="5495" spans="1:1" x14ac:dyDescent="0.2">
      <c r="A5495" s="52"/>
    </row>
    <row r="5496" spans="1:1" x14ac:dyDescent="0.2">
      <c r="A5496" s="52"/>
    </row>
    <row r="5497" spans="1:1" x14ac:dyDescent="0.2">
      <c r="A5497" s="52"/>
    </row>
    <row r="5498" spans="1:1" x14ac:dyDescent="0.2">
      <c r="A5498" s="52"/>
    </row>
    <row r="5499" spans="1:1" x14ac:dyDescent="0.2">
      <c r="A5499" s="52"/>
    </row>
    <row r="5500" spans="1:1" x14ac:dyDescent="0.2">
      <c r="A5500" s="52"/>
    </row>
    <row r="5501" spans="1:1" x14ac:dyDescent="0.2">
      <c r="A5501" s="52"/>
    </row>
    <row r="5502" spans="1:1" x14ac:dyDescent="0.2">
      <c r="A5502" s="52"/>
    </row>
    <row r="5503" spans="1:1" x14ac:dyDescent="0.2">
      <c r="A5503" s="52"/>
    </row>
    <row r="5504" spans="1:1" x14ac:dyDescent="0.2">
      <c r="A5504" s="52"/>
    </row>
    <row r="5505" spans="1:1" x14ac:dyDescent="0.2">
      <c r="A5505" s="52"/>
    </row>
    <row r="5506" spans="1:1" x14ac:dyDescent="0.2">
      <c r="A5506" s="52"/>
    </row>
    <row r="5507" spans="1:1" x14ac:dyDescent="0.2">
      <c r="A5507" s="52"/>
    </row>
    <row r="5508" spans="1:1" x14ac:dyDescent="0.2">
      <c r="A5508" s="52"/>
    </row>
    <row r="5509" spans="1:1" x14ac:dyDescent="0.2">
      <c r="A5509" s="52"/>
    </row>
    <row r="5510" spans="1:1" x14ac:dyDescent="0.2">
      <c r="A5510" s="52"/>
    </row>
    <row r="5511" spans="1:1" x14ac:dyDescent="0.2">
      <c r="A5511" s="52"/>
    </row>
    <row r="5512" spans="1:1" x14ac:dyDescent="0.2">
      <c r="A5512" s="52"/>
    </row>
    <row r="5513" spans="1:1" x14ac:dyDescent="0.2">
      <c r="A5513" s="52"/>
    </row>
    <row r="5514" spans="1:1" x14ac:dyDescent="0.2">
      <c r="A5514" s="52"/>
    </row>
    <row r="5515" spans="1:1" x14ac:dyDescent="0.2">
      <c r="A5515" s="52"/>
    </row>
    <row r="5516" spans="1:1" x14ac:dyDescent="0.2">
      <c r="A5516" s="52"/>
    </row>
    <row r="5517" spans="1:1" x14ac:dyDescent="0.2">
      <c r="A5517" s="52"/>
    </row>
    <row r="5518" spans="1:1" x14ac:dyDescent="0.2">
      <c r="A5518" s="52"/>
    </row>
    <row r="5519" spans="1:1" x14ac:dyDescent="0.2">
      <c r="A5519" s="52"/>
    </row>
    <row r="5520" spans="1:1" x14ac:dyDescent="0.2">
      <c r="A5520" s="52"/>
    </row>
    <row r="5521" spans="1:1" x14ac:dyDescent="0.2">
      <c r="A5521" s="52"/>
    </row>
    <row r="5522" spans="1:1" x14ac:dyDescent="0.2">
      <c r="A5522" s="53"/>
    </row>
    <row r="5523" spans="1:1" x14ac:dyDescent="0.2">
      <c r="A5523" s="52"/>
    </row>
    <row r="5524" spans="1:1" x14ac:dyDescent="0.2">
      <c r="A5524" s="52"/>
    </row>
    <row r="5525" spans="1:1" x14ac:dyDescent="0.2">
      <c r="A5525" s="52"/>
    </row>
    <row r="5526" spans="1:1" x14ac:dyDescent="0.2">
      <c r="A5526" s="52"/>
    </row>
    <row r="5527" spans="1:1" x14ac:dyDescent="0.2">
      <c r="A5527" s="52"/>
    </row>
    <row r="5528" spans="1:1" x14ac:dyDescent="0.2">
      <c r="A5528" s="52"/>
    </row>
    <row r="5529" spans="1:1" x14ac:dyDescent="0.2">
      <c r="A5529" s="52"/>
    </row>
    <row r="5530" spans="1:1" x14ac:dyDescent="0.2">
      <c r="A5530" s="52"/>
    </row>
    <row r="5531" spans="1:1" x14ac:dyDescent="0.2">
      <c r="A5531" s="52"/>
    </row>
    <row r="5532" spans="1:1" x14ac:dyDescent="0.2">
      <c r="A5532" s="53"/>
    </row>
    <row r="5533" spans="1:1" x14ac:dyDescent="0.2">
      <c r="A5533" s="52"/>
    </row>
    <row r="5534" spans="1:1" x14ac:dyDescent="0.2">
      <c r="A5534" s="52"/>
    </row>
    <row r="5535" spans="1:1" x14ac:dyDescent="0.2">
      <c r="A5535" s="52"/>
    </row>
    <row r="5536" spans="1:1" x14ac:dyDescent="0.2">
      <c r="A5536" s="52"/>
    </row>
    <row r="5537" spans="1:1" x14ac:dyDescent="0.2">
      <c r="A5537" s="53"/>
    </row>
    <row r="5538" spans="1:1" x14ac:dyDescent="0.2">
      <c r="A5538" s="52"/>
    </row>
    <row r="5539" spans="1:1" x14ac:dyDescent="0.2">
      <c r="A5539" s="52"/>
    </row>
    <row r="5540" spans="1:1" x14ac:dyDescent="0.2">
      <c r="A5540" s="52"/>
    </row>
    <row r="5541" spans="1:1" x14ac:dyDescent="0.2">
      <c r="A5541" s="52"/>
    </row>
    <row r="5542" spans="1:1" x14ac:dyDescent="0.2">
      <c r="A5542" s="52"/>
    </row>
    <row r="5543" spans="1:1" x14ac:dyDescent="0.2">
      <c r="A5543" s="52"/>
    </row>
    <row r="5544" spans="1:1" x14ac:dyDescent="0.2">
      <c r="A5544" s="52"/>
    </row>
    <row r="5545" spans="1:1" x14ac:dyDescent="0.2">
      <c r="A5545" s="52"/>
    </row>
    <row r="5546" spans="1:1" x14ac:dyDescent="0.2">
      <c r="A5546" s="52"/>
    </row>
    <row r="5547" spans="1:1" x14ac:dyDescent="0.2">
      <c r="A5547" s="52"/>
    </row>
    <row r="5548" spans="1:1" x14ac:dyDescent="0.2">
      <c r="A5548" s="52"/>
    </row>
    <row r="5549" spans="1:1" x14ac:dyDescent="0.2">
      <c r="A5549" s="52"/>
    </row>
    <row r="5550" spans="1:1" x14ac:dyDescent="0.2">
      <c r="A5550" s="52"/>
    </row>
    <row r="5551" spans="1:1" x14ac:dyDescent="0.2">
      <c r="A5551" s="52"/>
    </row>
    <row r="5552" spans="1:1" x14ac:dyDescent="0.2">
      <c r="A5552" s="52"/>
    </row>
    <row r="5553" spans="1:1" x14ac:dyDescent="0.2">
      <c r="A5553" s="52"/>
    </row>
    <row r="5554" spans="1:1" x14ac:dyDescent="0.2">
      <c r="A5554" s="52"/>
    </row>
    <row r="5555" spans="1:1" x14ac:dyDescent="0.2">
      <c r="A5555" s="52"/>
    </row>
    <row r="5556" spans="1:1" x14ac:dyDescent="0.2">
      <c r="A5556" s="52"/>
    </row>
    <row r="5557" spans="1:1" x14ac:dyDescent="0.2">
      <c r="A5557" s="52"/>
    </row>
    <row r="5558" spans="1:1" x14ac:dyDescent="0.2">
      <c r="A5558" s="52"/>
    </row>
    <row r="5559" spans="1:1" x14ac:dyDescent="0.2">
      <c r="A5559" s="52"/>
    </row>
    <row r="5560" spans="1:1" x14ac:dyDescent="0.2">
      <c r="A5560" s="52"/>
    </row>
    <row r="5561" spans="1:1" x14ac:dyDescent="0.2">
      <c r="A5561" s="52"/>
    </row>
    <row r="5562" spans="1:1" x14ac:dyDescent="0.2">
      <c r="A5562" s="52"/>
    </row>
    <row r="5563" spans="1:1" x14ac:dyDescent="0.2">
      <c r="A5563" s="52"/>
    </row>
    <row r="5564" spans="1:1" x14ac:dyDescent="0.2">
      <c r="A5564" s="52"/>
    </row>
    <row r="5565" spans="1:1" x14ac:dyDescent="0.2">
      <c r="A5565" s="52"/>
    </row>
    <row r="5566" spans="1:1" x14ac:dyDescent="0.2">
      <c r="A5566" s="52"/>
    </row>
    <row r="5567" spans="1:1" x14ac:dyDescent="0.2">
      <c r="A5567" s="52"/>
    </row>
    <row r="5568" spans="1:1" x14ac:dyDescent="0.2">
      <c r="A5568" s="52"/>
    </row>
    <row r="5569" spans="1:1" x14ac:dyDescent="0.2">
      <c r="A5569" s="52"/>
    </row>
    <row r="5570" spans="1:1" x14ac:dyDescent="0.2">
      <c r="A5570" s="52"/>
    </row>
    <row r="5571" spans="1:1" x14ac:dyDescent="0.2">
      <c r="A5571" s="52"/>
    </row>
    <row r="5572" spans="1:1" x14ac:dyDescent="0.2">
      <c r="A5572" s="52"/>
    </row>
    <row r="5573" spans="1:1" x14ac:dyDescent="0.2">
      <c r="A5573" s="52"/>
    </row>
    <row r="5574" spans="1:1" x14ac:dyDescent="0.2">
      <c r="A5574" s="52"/>
    </row>
    <row r="5575" spans="1:1" x14ac:dyDescent="0.2">
      <c r="A5575" s="52"/>
    </row>
    <row r="5576" spans="1:1" x14ac:dyDescent="0.2">
      <c r="A5576" s="52"/>
    </row>
    <row r="5577" spans="1:1" x14ac:dyDescent="0.2">
      <c r="A5577" s="52"/>
    </row>
    <row r="5578" spans="1:1" x14ac:dyDescent="0.2">
      <c r="A5578" s="52"/>
    </row>
    <row r="5579" spans="1:1" x14ac:dyDescent="0.2">
      <c r="A5579" s="53"/>
    </row>
    <row r="5580" spans="1:1" x14ac:dyDescent="0.2">
      <c r="A5580" s="52"/>
    </row>
    <row r="5581" spans="1:1" x14ac:dyDescent="0.2">
      <c r="A5581" s="52"/>
    </row>
    <row r="5582" spans="1:1" x14ac:dyDescent="0.2">
      <c r="A5582" s="52"/>
    </row>
    <row r="5583" spans="1:1" x14ac:dyDescent="0.2">
      <c r="A5583" s="52"/>
    </row>
    <row r="5584" spans="1:1" x14ac:dyDescent="0.2">
      <c r="A5584" s="52"/>
    </row>
    <row r="5585" spans="1:1" x14ac:dyDescent="0.2">
      <c r="A5585" s="52"/>
    </row>
    <row r="5586" spans="1:1" x14ac:dyDescent="0.2">
      <c r="A5586" s="53"/>
    </row>
    <row r="5587" spans="1:1" x14ac:dyDescent="0.2">
      <c r="A5587" s="52"/>
    </row>
    <row r="5588" spans="1:1" x14ac:dyDescent="0.2">
      <c r="A5588" s="52"/>
    </row>
    <row r="5589" spans="1:1" x14ac:dyDescent="0.2">
      <c r="A5589" s="52"/>
    </row>
    <row r="5590" spans="1:1" x14ac:dyDescent="0.2">
      <c r="A5590" s="52"/>
    </row>
    <row r="5591" spans="1:1" x14ac:dyDescent="0.2">
      <c r="A5591" s="52"/>
    </row>
    <row r="5592" spans="1:1" x14ac:dyDescent="0.2">
      <c r="A5592" s="52"/>
    </row>
    <row r="5593" spans="1:1" x14ac:dyDescent="0.2">
      <c r="A5593" s="52"/>
    </row>
    <row r="5594" spans="1:1" x14ac:dyDescent="0.2">
      <c r="A5594" s="52"/>
    </row>
    <row r="5595" spans="1:1" x14ac:dyDescent="0.2">
      <c r="A5595" s="52"/>
    </row>
    <row r="5596" spans="1:1" x14ac:dyDescent="0.2">
      <c r="A5596" s="52"/>
    </row>
    <row r="5597" spans="1:1" x14ac:dyDescent="0.2">
      <c r="A5597" s="52"/>
    </row>
    <row r="5598" spans="1:1" x14ac:dyDescent="0.2">
      <c r="A5598" s="52"/>
    </row>
    <row r="5599" spans="1:1" x14ac:dyDescent="0.2">
      <c r="A5599" s="52"/>
    </row>
    <row r="5600" spans="1:1" x14ac:dyDescent="0.2">
      <c r="A5600" s="52"/>
    </row>
    <row r="5601" spans="1:1" x14ac:dyDescent="0.2">
      <c r="A5601" s="53"/>
    </row>
    <row r="5602" spans="1:1" x14ac:dyDescent="0.2">
      <c r="A5602" s="52"/>
    </row>
    <row r="5603" spans="1:1" x14ac:dyDescent="0.2">
      <c r="A5603" s="52"/>
    </row>
    <row r="5604" spans="1:1" x14ac:dyDescent="0.2">
      <c r="A5604" s="52"/>
    </row>
    <row r="5605" spans="1:1" x14ac:dyDescent="0.2">
      <c r="A5605" s="52"/>
    </row>
    <row r="5606" spans="1:1" x14ac:dyDescent="0.2">
      <c r="A5606" s="52"/>
    </row>
    <row r="5607" spans="1:1" x14ac:dyDescent="0.2">
      <c r="A5607" s="52"/>
    </row>
    <row r="5608" spans="1:1" x14ac:dyDescent="0.2">
      <c r="A5608" s="52"/>
    </row>
    <row r="5609" spans="1:1" x14ac:dyDescent="0.2">
      <c r="A5609" s="52"/>
    </row>
    <row r="5610" spans="1:1" x14ac:dyDescent="0.2">
      <c r="A5610" s="52"/>
    </row>
    <row r="5611" spans="1:1" x14ac:dyDescent="0.2">
      <c r="A5611" s="52"/>
    </row>
    <row r="5612" spans="1:1" x14ac:dyDescent="0.2">
      <c r="A5612" s="52"/>
    </row>
    <row r="5613" spans="1:1" x14ac:dyDescent="0.2">
      <c r="A5613" s="52"/>
    </row>
    <row r="5614" spans="1:1" x14ac:dyDescent="0.2">
      <c r="A5614" s="52"/>
    </row>
    <row r="5615" spans="1:1" x14ac:dyDescent="0.2">
      <c r="A5615" s="52"/>
    </row>
    <row r="5616" spans="1:1" x14ac:dyDescent="0.2">
      <c r="A5616" s="52"/>
    </row>
    <row r="5617" spans="1:1" x14ac:dyDescent="0.2">
      <c r="A5617" s="52"/>
    </row>
    <row r="5618" spans="1:1" x14ac:dyDescent="0.2">
      <c r="A5618" s="52"/>
    </row>
    <row r="5619" spans="1:1" x14ac:dyDescent="0.2">
      <c r="A5619" s="52"/>
    </row>
    <row r="5620" spans="1:1" x14ac:dyDescent="0.2">
      <c r="A5620" s="52"/>
    </row>
    <row r="5621" spans="1:1" x14ac:dyDescent="0.2">
      <c r="A5621" s="53"/>
    </row>
    <row r="5622" spans="1:1" x14ac:dyDescent="0.2">
      <c r="A5622" s="52"/>
    </row>
    <row r="5623" spans="1:1" x14ac:dyDescent="0.2">
      <c r="A5623" s="52"/>
    </row>
    <row r="5624" spans="1:1" x14ac:dyDescent="0.2">
      <c r="A5624" s="53"/>
    </row>
    <row r="5625" spans="1:1" x14ac:dyDescent="0.2">
      <c r="A5625" s="52"/>
    </row>
    <row r="5626" spans="1:1" x14ac:dyDescent="0.2">
      <c r="A5626" s="52"/>
    </row>
    <row r="5627" spans="1:1" x14ac:dyDescent="0.2">
      <c r="A5627" s="52"/>
    </row>
    <row r="5628" spans="1:1" x14ac:dyDescent="0.2">
      <c r="A5628" s="52"/>
    </row>
    <row r="5629" spans="1:1" x14ac:dyDescent="0.2">
      <c r="A5629" s="52"/>
    </row>
    <row r="5630" spans="1:1" x14ac:dyDescent="0.2">
      <c r="A5630" s="52"/>
    </row>
    <row r="5631" spans="1:1" x14ac:dyDescent="0.2">
      <c r="A5631" s="52"/>
    </row>
    <row r="5632" spans="1:1" x14ac:dyDescent="0.2">
      <c r="A5632" s="52"/>
    </row>
    <row r="5633" spans="1:1" x14ac:dyDescent="0.2">
      <c r="A5633" s="52"/>
    </row>
    <row r="5634" spans="1:1" x14ac:dyDescent="0.2">
      <c r="A5634" s="52"/>
    </row>
    <row r="5635" spans="1:1" x14ac:dyDescent="0.2">
      <c r="A5635" s="52"/>
    </row>
    <row r="5636" spans="1:1" x14ac:dyDescent="0.2">
      <c r="A5636" s="52"/>
    </row>
    <row r="5637" spans="1:1" x14ac:dyDescent="0.2">
      <c r="A5637" s="52"/>
    </row>
    <row r="5638" spans="1:1" x14ac:dyDescent="0.2">
      <c r="A5638" s="52"/>
    </row>
    <row r="5639" spans="1:1" x14ac:dyDescent="0.2">
      <c r="A5639" s="52"/>
    </row>
    <row r="5640" spans="1:1" x14ac:dyDescent="0.2">
      <c r="A5640" s="52"/>
    </row>
    <row r="5641" spans="1:1" x14ac:dyDescent="0.2">
      <c r="A5641" s="52"/>
    </row>
    <row r="5642" spans="1:1" x14ac:dyDescent="0.2">
      <c r="A5642" s="52"/>
    </row>
    <row r="5643" spans="1:1" x14ac:dyDescent="0.2">
      <c r="A5643" s="52"/>
    </row>
    <row r="5644" spans="1:1" x14ac:dyDescent="0.2">
      <c r="A5644" s="52"/>
    </row>
    <row r="5645" spans="1:1" x14ac:dyDescent="0.2">
      <c r="A5645" s="52"/>
    </row>
    <row r="5646" spans="1:1" x14ac:dyDescent="0.2">
      <c r="A5646" s="52"/>
    </row>
    <row r="5647" spans="1:1" x14ac:dyDescent="0.2">
      <c r="A5647" s="52"/>
    </row>
    <row r="5648" spans="1:1" x14ac:dyDescent="0.2">
      <c r="A5648" s="52"/>
    </row>
    <row r="5649" spans="1:1" x14ac:dyDescent="0.2">
      <c r="A5649" s="52"/>
    </row>
    <row r="5650" spans="1:1" x14ac:dyDescent="0.2">
      <c r="A5650" s="52"/>
    </row>
    <row r="5651" spans="1:1" x14ac:dyDescent="0.2">
      <c r="A5651" s="52"/>
    </row>
    <row r="5652" spans="1:1" x14ac:dyDescent="0.2">
      <c r="A5652" s="52"/>
    </row>
    <row r="5653" spans="1:1" x14ac:dyDescent="0.2">
      <c r="A5653" s="53"/>
    </row>
    <row r="5654" spans="1:1" x14ac:dyDescent="0.2">
      <c r="A5654" s="52"/>
    </row>
    <row r="5655" spans="1:1" x14ac:dyDescent="0.2">
      <c r="A5655" s="52"/>
    </row>
    <row r="5656" spans="1:1" x14ac:dyDescent="0.2">
      <c r="A5656" s="52"/>
    </row>
    <row r="5657" spans="1:1" x14ac:dyDescent="0.2">
      <c r="A5657" s="52"/>
    </row>
    <row r="5658" spans="1:1" x14ac:dyDescent="0.2">
      <c r="A5658" s="52"/>
    </row>
    <row r="5659" spans="1:1" x14ac:dyDescent="0.2">
      <c r="A5659" s="52"/>
    </row>
    <row r="5660" spans="1:1" x14ac:dyDescent="0.2">
      <c r="A5660" s="52"/>
    </row>
    <row r="5661" spans="1:1" x14ac:dyDescent="0.2">
      <c r="A5661" s="52"/>
    </row>
    <row r="5662" spans="1:1" x14ac:dyDescent="0.2">
      <c r="A5662" s="53"/>
    </row>
    <row r="5663" spans="1:1" x14ac:dyDescent="0.2">
      <c r="A5663" s="52"/>
    </row>
    <row r="5664" spans="1:1" x14ac:dyDescent="0.2">
      <c r="A5664" s="52"/>
    </row>
    <row r="5665" spans="1:1" x14ac:dyDescent="0.2">
      <c r="A5665" s="52"/>
    </row>
    <row r="5666" spans="1:1" x14ac:dyDescent="0.2">
      <c r="A5666" s="52"/>
    </row>
    <row r="5667" spans="1:1" x14ac:dyDescent="0.2">
      <c r="A5667" s="52"/>
    </row>
    <row r="5668" spans="1:1" x14ac:dyDescent="0.2">
      <c r="A5668" s="52"/>
    </row>
    <row r="5669" spans="1:1" x14ac:dyDescent="0.2">
      <c r="A5669" s="52"/>
    </row>
    <row r="5670" spans="1:1" x14ac:dyDescent="0.2">
      <c r="A5670" s="52"/>
    </row>
    <row r="5671" spans="1:1" x14ac:dyDescent="0.2">
      <c r="A5671" s="52"/>
    </row>
    <row r="5672" spans="1:1" x14ac:dyDescent="0.2">
      <c r="A5672" s="52"/>
    </row>
    <row r="5673" spans="1:1" x14ac:dyDescent="0.2">
      <c r="A5673" s="52"/>
    </row>
    <row r="5674" spans="1:1" x14ac:dyDescent="0.2">
      <c r="A5674" s="52"/>
    </row>
    <row r="5675" spans="1:1" x14ac:dyDescent="0.2">
      <c r="A5675" s="52"/>
    </row>
    <row r="5676" spans="1:1" x14ac:dyDescent="0.2">
      <c r="A5676" s="53"/>
    </row>
    <row r="5677" spans="1:1" x14ac:dyDescent="0.2">
      <c r="A5677" s="52"/>
    </row>
    <row r="5678" spans="1:1" x14ac:dyDescent="0.2">
      <c r="A5678" s="53"/>
    </row>
    <row r="5679" spans="1:1" x14ac:dyDescent="0.2">
      <c r="A5679" s="52"/>
    </row>
    <row r="5680" spans="1:1" x14ac:dyDescent="0.2">
      <c r="A5680" s="52"/>
    </row>
    <row r="5681" spans="1:1" x14ac:dyDescent="0.2">
      <c r="A5681" s="52"/>
    </row>
    <row r="5682" spans="1:1" x14ac:dyDescent="0.2">
      <c r="A5682" s="52"/>
    </row>
    <row r="5683" spans="1:1" x14ac:dyDescent="0.2">
      <c r="A5683" s="52"/>
    </row>
    <row r="5684" spans="1:1" x14ac:dyDescent="0.2">
      <c r="A5684" s="52"/>
    </row>
    <row r="5685" spans="1:1" x14ac:dyDescent="0.2">
      <c r="A5685" s="52"/>
    </row>
    <row r="5686" spans="1:1" x14ac:dyDescent="0.2">
      <c r="A5686" s="52"/>
    </row>
    <row r="5687" spans="1:1" x14ac:dyDescent="0.2">
      <c r="A5687" s="52"/>
    </row>
    <row r="5688" spans="1:1" x14ac:dyDescent="0.2">
      <c r="A5688" s="52"/>
    </row>
    <row r="5689" spans="1:1" x14ac:dyDescent="0.2">
      <c r="A5689" s="52"/>
    </row>
    <row r="5690" spans="1:1" x14ac:dyDescent="0.2">
      <c r="A5690" s="52"/>
    </row>
    <row r="5691" spans="1:1" x14ac:dyDescent="0.2">
      <c r="A5691" s="52"/>
    </row>
    <row r="5692" spans="1:1" x14ac:dyDescent="0.2">
      <c r="A5692" s="52"/>
    </row>
    <row r="5693" spans="1:1" x14ac:dyDescent="0.2">
      <c r="A5693" s="52"/>
    </row>
    <row r="5694" spans="1:1" x14ac:dyDescent="0.2">
      <c r="A5694" s="52"/>
    </row>
    <row r="5695" spans="1:1" x14ac:dyDescent="0.2">
      <c r="A5695" s="52"/>
    </row>
    <row r="5696" spans="1:1" x14ac:dyDescent="0.2">
      <c r="A5696" s="53"/>
    </row>
    <row r="5697" spans="1:1" x14ac:dyDescent="0.2">
      <c r="A5697" s="52"/>
    </row>
    <row r="5698" spans="1:1" x14ac:dyDescent="0.2">
      <c r="A5698" s="52"/>
    </row>
    <row r="5699" spans="1:1" x14ac:dyDescent="0.2">
      <c r="A5699" s="52"/>
    </row>
    <row r="5700" spans="1:1" x14ac:dyDescent="0.2">
      <c r="A5700" s="52"/>
    </row>
    <row r="5701" spans="1:1" x14ac:dyDescent="0.2">
      <c r="A5701" s="52"/>
    </row>
    <row r="5702" spans="1:1" x14ac:dyDescent="0.2">
      <c r="A5702" s="52"/>
    </row>
    <row r="5703" spans="1:1" x14ac:dyDescent="0.2">
      <c r="A5703" s="52"/>
    </row>
    <row r="5704" spans="1:1" x14ac:dyDescent="0.2">
      <c r="A5704" s="52"/>
    </row>
    <row r="5705" spans="1:1" x14ac:dyDescent="0.2">
      <c r="A5705" s="52"/>
    </row>
    <row r="5706" spans="1:1" x14ac:dyDescent="0.2">
      <c r="A5706" s="52"/>
    </row>
    <row r="5707" spans="1:1" x14ac:dyDescent="0.2">
      <c r="A5707" s="52"/>
    </row>
    <row r="5708" spans="1:1" x14ac:dyDescent="0.2">
      <c r="A5708" s="52"/>
    </row>
    <row r="5709" spans="1:1" x14ac:dyDescent="0.2">
      <c r="A5709" s="53"/>
    </row>
    <row r="5710" spans="1:1" x14ac:dyDescent="0.2">
      <c r="A5710" s="52"/>
    </row>
    <row r="5711" spans="1:1" x14ac:dyDescent="0.2">
      <c r="A5711" s="52"/>
    </row>
    <row r="5712" spans="1:1" x14ac:dyDescent="0.2">
      <c r="A5712" s="52"/>
    </row>
    <row r="5713" spans="1:1" x14ac:dyDescent="0.2">
      <c r="A5713" s="52"/>
    </row>
    <row r="5714" spans="1:1" x14ac:dyDescent="0.2">
      <c r="A5714" s="52"/>
    </row>
    <row r="5715" spans="1:1" x14ac:dyDescent="0.2">
      <c r="A5715" s="52"/>
    </row>
    <row r="5716" spans="1:1" x14ac:dyDescent="0.2">
      <c r="A5716" s="52"/>
    </row>
    <row r="5717" spans="1:1" x14ac:dyDescent="0.2">
      <c r="A5717" s="52"/>
    </row>
    <row r="5718" spans="1:1" x14ac:dyDescent="0.2">
      <c r="A5718" s="52"/>
    </row>
    <row r="5719" spans="1:1" x14ac:dyDescent="0.2">
      <c r="A5719" s="52"/>
    </row>
    <row r="5720" spans="1:1" x14ac:dyDescent="0.2">
      <c r="A5720" s="52"/>
    </row>
    <row r="5721" spans="1:1" x14ac:dyDescent="0.2">
      <c r="A5721" s="52"/>
    </row>
    <row r="5722" spans="1:1" x14ac:dyDescent="0.2">
      <c r="A5722" s="52"/>
    </row>
    <row r="5723" spans="1:1" x14ac:dyDescent="0.2">
      <c r="A5723" s="52"/>
    </row>
    <row r="5724" spans="1:1" x14ac:dyDescent="0.2">
      <c r="A5724" s="52"/>
    </row>
    <row r="5725" spans="1:1" x14ac:dyDescent="0.2">
      <c r="A5725" s="52"/>
    </row>
    <row r="5726" spans="1:1" x14ac:dyDescent="0.2">
      <c r="A5726" s="52"/>
    </row>
    <row r="5727" spans="1:1" x14ac:dyDescent="0.2">
      <c r="A5727" s="52"/>
    </row>
    <row r="5728" spans="1:1" x14ac:dyDescent="0.2">
      <c r="A5728" s="52"/>
    </row>
    <row r="5729" spans="1:1" x14ac:dyDescent="0.2">
      <c r="A5729" s="52"/>
    </row>
    <row r="5730" spans="1:1" x14ac:dyDescent="0.2">
      <c r="A5730" s="53"/>
    </row>
    <row r="5731" spans="1:1" x14ac:dyDescent="0.2">
      <c r="A5731" s="52"/>
    </row>
    <row r="5732" spans="1:1" x14ac:dyDescent="0.2">
      <c r="A5732" s="52"/>
    </row>
    <row r="5733" spans="1:1" x14ac:dyDescent="0.2">
      <c r="A5733" s="52"/>
    </row>
    <row r="5734" spans="1:1" x14ac:dyDescent="0.2">
      <c r="A5734" s="52"/>
    </row>
    <row r="5735" spans="1:1" x14ac:dyDescent="0.2">
      <c r="A5735" s="52"/>
    </row>
    <row r="5736" spans="1:1" x14ac:dyDescent="0.2">
      <c r="A5736" s="52"/>
    </row>
    <row r="5737" spans="1:1" x14ac:dyDescent="0.2">
      <c r="A5737" s="53"/>
    </row>
    <row r="5738" spans="1:1" x14ac:dyDescent="0.2">
      <c r="A5738" s="53"/>
    </row>
    <row r="5739" spans="1:1" x14ac:dyDescent="0.2">
      <c r="A5739" s="53"/>
    </row>
    <row r="5740" spans="1:1" x14ac:dyDescent="0.2">
      <c r="A5740" s="52"/>
    </row>
    <row r="5741" spans="1:1" x14ac:dyDescent="0.2">
      <c r="A5741" s="52"/>
    </row>
    <row r="5742" spans="1:1" x14ac:dyDescent="0.2">
      <c r="A5742" s="52"/>
    </row>
    <row r="5743" spans="1:1" x14ac:dyDescent="0.2">
      <c r="A5743" s="52"/>
    </row>
    <row r="5744" spans="1:1" x14ac:dyDescent="0.2">
      <c r="A5744" s="52"/>
    </row>
    <row r="5745" spans="1:1" x14ac:dyDescent="0.2">
      <c r="A5745" s="53"/>
    </row>
    <row r="5746" spans="1:1" x14ac:dyDescent="0.2">
      <c r="A5746" s="52"/>
    </row>
    <row r="5747" spans="1:1" x14ac:dyDescent="0.2">
      <c r="A5747" s="53"/>
    </row>
    <row r="5748" spans="1:1" x14ac:dyDescent="0.2">
      <c r="A5748" s="52"/>
    </row>
    <row r="5749" spans="1:1" x14ac:dyDescent="0.2">
      <c r="A5749" s="52"/>
    </row>
    <row r="5750" spans="1:1" x14ac:dyDescent="0.2">
      <c r="A5750" s="52"/>
    </row>
    <row r="5751" spans="1:1" x14ac:dyDescent="0.2">
      <c r="A5751" s="53"/>
    </row>
    <row r="5752" spans="1:1" x14ac:dyDescent="0.2">
      <c r="A5752" s="52"/>
    </row>
    <row r="5753" spans="1:1" x14ac:dyDescent="0.2">
      <c r="A5753" s="52"/>
    </row>
    <row r="5754" spans="1:1" x14ac:dyDescent="0.2">
      <c r="A5754" s="52"/>
    </row>
    <row r="5755" spans="1:1" x14ac:dyDescent="0.2">
      <c r="A5755" s="52"/>
    </row>
    <row r="5756" spans="1:1" x14ac:dyDescent="0.2">
      <c r="A5756" s="52"/>
    </row>
    <row r="5757" spans="1:1" x14ac:dyDescent="0.2">
      <c r="A5757" s="52"/>
    </row>
    <row r="5758" spans="1:1" x14ac:dyDescent="0.2">
      <c r="A5758" s="52"/>
    </row>
    <row r="5759" spans="1:1" x14ac:dyDescent="0.2">
      <c r="A5759" s="52"/>
    </row>
    <row r="5760" spans="1:1" x14ac:dyDescent="0.2">
      <c r="A5760" s="52"/>
    </row>
    <row r="5761" spans="1:1" x14ac:dyDescent="0.2">
      <c r="A5761" s="52"/>
    </row>
    <row r="5762" spans="1:1" x14ac:dyDescent="0.2">
      <c r="A5762" s="52"/>
    </row>
    <row r="5763" spans="1:1" x14ac:dyDescent="0.2">
      <c r="A5763" s="52"/>
    </row>
    <row r="5764" spans="1:1" x14ac:dyDescent="0.2">
      <c r="A5764" s="52"/>
    </row>
    <row r="5765" spans="1:1" x14ac:dyDescent="0.2">
      <c r="A5765" s="52"/>
    </row>
    <row r="5766" spans="1:1" x14ac:dyDescent="0.2">
      <c r="A5766" s="52"/>
    </row>
    <row r="5767" spans="1:1" x14ac:dyDescent="0.2">
      <c r="A5767" s="52"/>
    </row>
    <row r="5768" spans="1:1" x14ac:dyDescent="0.2">
      <c r="A5768" s="52"/>
    </row>
    <row r="5769" spans="1:1" x14ac:dyDescent="0.2">
      <c r="A5769" s="52"/>
    </row>
    <row r="5770" spans="1:1" x14ac:dyDescent="0.2">
      <c r="A5770" s="52"/>
    </row>
    <row r="5771" spans="1:1" x14ac:dyDescent="0.2">
      <c r="A5771" s="52"/>
    </row>
    <row r="5772" spans="1:1" x14ac:dyDescent="0.2">
      <c r="A5772" s="52"/>
    </row>
    <row r="5773" spans="1:1" x14ac:dyDescent="0.2">
      <c r="A5773" s="52"/>
    </row>
    <row r="5774" spans="1:1" x14ac:dyDescent="0.2">
      <c r="A5774" s="52"/>
    </row>
    <row r="5775" spans="1:1" x14ac:dyDescent="0.2">
      <c r="A5775" s="52"/>
    </row>
    <row r="5776" spans="1:1" x14ac:dyDescent="0.2">
      <c r="A5776" s="53"/>
    </row>
    <row r="5777" spans="1:1" x14ac:dyDescent="0.2">
      <c r="A5777" s="52"/>
    </row>
    <row r="5778" spans="1:1" x14ac:dyDescent="0.2">
      <c r="A5778" s="52"/>
    </row>
    <row r="5779" spans="1:1" x14ac:dyDescent="0.2">
      <c r="A5779" s="52"/>
    </row>
    <row r="5780" spans="1:1" x14ac:dyDescent="0.2">
      <c r="A5780" s="52"/>
    </row>
    <row r="5781" spans="1:1" x14ac:dyDescent="0.2">
      <c r="A5781" s="52"/>
    </row>
    <row r="5782" spans="1:1" x14ac:dyDescent="0.2">
      <c r="A5782" s="52"/>
    </row>
    <row r="5783" spans="1:1" x14ac:dyDescent="0.2">
      <c r="A5783" s="52"/>
    </row>
    <row r="5784" spans="1:1" x14ac:dyDescent="0.2">
      <c r="A5784" s="52"/>
    </row>
    <row r="5785" spans="1:1" x14ac:dyDescent="0.2">
      <c r="A5785" s="53"/>
    </row>
    <row r="5786" spans="1:1" x14ac:dyDescent="0.2">
      <c r="A5786" s="52"/>
    </row>
    <row r="5787" spans="1:1" x14ac:dyDescent="0.2">
      <c r="A5787" s="52"/>
    </row>
    <row r="5788" spans="1:1" x14ac:dyDescent="0.2">
      <c r="A5788" s="52"/>
    </row>
    <row r="5789" spans="1:1" x14ac:dyDescent="0.2">
      <c r="A5789" s="52"/>
    </row>
    <row r="5790" spans="1:1" x14ac:dyDescent="0.2">
      <c r="A5790" s="52"/>
    </row>
    <row r="5791" spans="1:1" x14ac:dyDescent="0.2">
      <c r="A5791" s="52"/>
    </row>
    <row r="5792" spans="1:1" x14ac:dyDescent="0.2">
      <c r="A5792" s="52"/>
    </row>
    <row r="5793" spans="1:1" x14ac:dyDescent="0.2">
      <c r="A5793" s="52"/>
    </row>
    <row r="5794" spans="1:1" x14ac:dyDescent="0.2">
      <c r="A5794" s="52"/>
    </row>
    <row r="5795" spans="1:1" x14ac:dyDescent="0.2">
      <c r="A5795" s="52"/>
    </row>
    <row r="5796" spans="1:1" x14ac:dyDescent="0.2">
      <c r="A5796" s="52"/>
    </row>
    <row r="5797" spans="1:1" x14ac:dyDescent="0.2">
      <c r="A5797" s="52"/>
    </row>
    <row r="5798" spans="1:1" x14ac:dyDescent="0.2">
      <c r="A5798" s="52"/>
    </row>
    <row r="5799" spans="1:1" x14ac:dyDescent="0.2">
      <c r="A5799" s="52"/>
    </row>
    <row r="5800" spans="1:1" x14ac:dyDescent="0.2">
      <c r="A5800" s="52"/>
    </row>
    <row r="5801" spans="1:1" x14ac:dyDescent="0.2">
      <c r="A5801" s="52"/>
    </row>
    <row r="5802" spans="1:1" x14ac:dyDescent="0.2">
      <c r="A5802" s="52"/>
    </row>
    <row r="5803" spans="1:1" x14ac:dyDescent="0.2">
      <c r="A5803" s="52"/>
    </row>
    <row r="5804" spans="1:1" x14ac:dyDescent="0.2">
      <c r="A5804" s="52"/>
    </row>
    <row r="5805" spans="1:1" x14ac:dyDescent="0.2">
      <c r="A5805" s="52"/>
    </row>
    <row r="5806" spans="1:1" x14ac:dyDescent="0.2">
      <c r="A5806" s="52"/>
    </row>
    <row r="5807" spans="1:1" x14ac:dyDescent="0.2">
      <c r="A5807" s="52"/>
    </row>
    <row r="5808" spans="1:1" x14ac:dyDescent="0.2">
      <c r="A5808" s="52"/>
    </row>
    <row r="5809" spans="1:1" x14ac:dyDescent="0.2">
      <c r="A5809" s="53"/>
    </row>
    <row r="5810" spans="1:1" x14ac:dyDescent="0.2">
      <c r="A5810" s="52"/>
    </row>
    <row r="5811" spans="1:1" x14ac:dyDescent="0.2">
      <c r="A5811" s="53"/>
    </row>
    <row r="5812" spans="1:1" x14ac:dyDescent="0.2">
      <c r="A5812" s="52"/>
    </row>
    <row r="5813" spans="1:1" x14ac:dyDescent="0.2">
      <c r="A5813" s="52"/>
    </row>
    <row r="5814" spans="1:1" x14ac:dyDescent="0.2">
      <c r="A5814" s="52"/>
    </row>
    <row r="5815" spans="1:1" x14ac:dyDescent="0.2">
      <c r="A5815" s="52"/>
    </row>
    <row r="5816" spans="1:1" x14ac:dyDescent="0.2">
      <c r="A5816" s="52"/>
    </row>
    <row r="5817" spans="1:1" x14ac:dyDescent="0.2">
      <c r="A5817" s="52"/>
    </row>
    <row r="5818" spans="1:1" x14ac:dyDescent="0.2">
      <c r="A5818" s="52"/>
    </row>
    <row r="5819" spans="1:1" x14ac:dyDescent="0.2">
      <c r="A5819" s="52"/>
    </row>
    <row r="5820" spans="1:1" x14ac:dyDescent="0.2">
      <c r="A5820" s="52"/>
    </row>
    <row r="5821" spans="1:1" x14ac:dyDescent="0.2">
      <c r="A5821" s="52"/>
    </row>
    <row r="5822" spans="1:1" x14ac:dyDescent="0.2">
      <c r="A5822" s="52"/>
    </row>
    <row r="5823" spans="1:1" x14ac:dyDescent="0.2">
      <c r="A5823" s="52"/>
    </row>
    <row r="5824" spans="1:1" x14ac:dyDescent="0.2">
      <c r="A5824" s="52"/>
    </row>
    <row r="5825" spans="1:1" x14ac:dyDescent="0.2">
      <c r="A5825" s="52"/>
    </row>
    <row r="5826" spans="1:1" x14ac:dyDescent="0.2">
      <c r="A5826" s="52"/>
    </row>
    <row r="5827" spans="1:1" x14ac:dyDescent="0.2">
      <c r="A5827" s="52"/>
    </row>
    <row r="5828" spans="1:1" x14ac:dyDescent="0.2">
      <c r="A5828" s="52"/>
    </row>
    <row r="5829" spans="1:1" x14ac:dyDescent="0.2">
      <c r="A5829" s="52"/>
    </row>
    <row r="5830" spans="1:1" x14ac:dyDescent="0.2">
      <c r="A5830" s="52"/>
    </row>
    <row r="5831" spans="1:1" x14ac:dyDescent="0.2">
      <c r="A5831" s="52"/>
    </row>
    <row r="5832" spans="1:1" x14ac:dyDescent="0.2">
      <c r="A5832" s="53"/>
    </row>
    <row r="5833" spans="1:1" x14ac:dyDescent="0.2">
      <c r="A5833" s="52"/>
    </row>
    <row r="5834" spans="1:1" x14ac:dyDescent="0.2">
      <c r="A5834" s="52"/>
    </row>
    <row r="5835" spans="1:1" x14ac:dyDescent="0.2">
      <c r="A5835" s="52"/>
    </row>
    <row r="5836" spans="1:1" x14ac:dyDescent="0.2">
      <c r="A5836" s="52"/>
    </row>
    <row r="5837" spans="1:1" x14ac:dyDescent="0.2">
      <c r="A5837" s="52"/>
    </row>
    <row r="5838" spans="1:1" x14ac:dyDescent="0.2">
      <c r="A5838" s="52"/>
    </row>
    <row r="5839" spans="1:1" x14ac:dyDescent="0.2">
      <c r="A5839" s="52"/>
    </row>
    <row r="5840" spans="1:1" x14ac:dyDescent="0.2">
      <c r="A5840" s="52"/>
    </row>
    <row r="5841" spans="1:1" x14ac:dyDescent="0.2">
      <c r="A5841" s="52"/>
    </row>
    <row r="5842" spans="1:1" x14ac:dyDescent="0.2">
      <c r="A5842" s="52"/>
    </row>
    <row r="5843" spans="1:1" x14ac:dyDescent="0.2">
      <c r="A5843" s="52"/>
    </row>
    <row r="5844" spans="1:1" x14ac:dyDescent="0.2">
      <c r="A5844" s="52"/>
    </row>
    <row r="5845" spans="1:1" x14ac:dyDescent="0.2">
      <c r="A5845" s="52"/>
    </row>
    <row r="5846" spans="1:1" x14ac:dyDescent="0.2">
      <c r="A5846" s="52"/>
    </row>
    <row r="5847" spans="1:1" x14ac:dyDescent="0.2">
      <c r="A5847" s="52"/>
    </row>
    <row r="5848" spans="1:1" x14ac:dyDescent="0.2">
      <c r="A5848" s="52"/>
    </row>
    <row r="5849" spans="1:1" x14ac:dyDescent="0.2">
      <c r="A5849" s="52"/>
    </row>
    <row r="5850" spans="1:1" x14ac:dyDescent="0.2">
      <c r="A5850" s="52"/>
    </row>
    <row r="5851" spans="1:1" x14ac:dyDescent="0.2">
      <c r="A5851" s="52"/>
    </row>
    <row r="5852" spans="1:1" x14ac:dyDescent="0.2">
      <c r="A5852" s="52"/>
    </row>
    <row r="5853" spans="1:1" x14ac:dyDescent="0.2">
      <c r="A5853" s="52"/>
    </row>
    <row r="5854" spans="1:1" x14ac:dyDescent="0.2">
      <c r="A5854" s="52"/>
    </row>
    <row r="5855" spans="1:1" x14ac:dyDescent="0.2">
      <c r="A5855" s="52"/>
    </row>
    <row r="5856" spans="1:1" x14ac:dyDescent="0.2">
      <c r="A5856" s="52"/>
    </row>
    <row r="5857" spans="1:1" x14ac:dyDescent="0.2">
      <c r="A5857" s="52"/>
    </row>
    <row r="5858" spans="1:1" x14ac:dyDescent="0.2">
      <c r="A5858" s="52"/>
    </row>
    <row r="5859" spans="1:1" x14ac:dyDescent="0.2">
      <c r="A5859" s="52"/>
    </row>
    <row r="5860" spans="1:1" x14ac:dyDescent="0.2">
      <c r="A5860" s="52"/>
    </row>
    <row r="5861" spans="1:1" x14ac:dyDescent="0.2">
      <c r="A5861" s="52"/>
    </row>
    <row r="5862" spans="1:1" x14ac:dyDescent="0.2">
      <c r="A5862" s="52"/>
    </row>
    <row r="5863" spans="1:1" x14ac:dyDescent="0.2">
      <c r="A5863" s="52"/>
    </row>
    <row r="5864" spans="1:1" x14ac:dyDescent="0.2">
      <c r="A5864" s="52"/>
    </row>
    <row r="5865" spans="1:1" x14ac:dyDescent="0.2">
      <c r="A5865" s="53"/>
    </row>
    <row r="5866" spans="1:1" x14ac:dyDescent="0.2">
      <c r="A5866" s="52"/>
    </row>
    <row r="5867" spans="1:1" x14ac:dyDescent="0.2">
      <c r="A5867" s="52"/>
    </row>
    <row r="5868" spans="1:1" x14ac:dyDescent="0.2">
      <c r="A5868" s="53"/>
    </row>
    <row r="5869" spans="1:1" x14ac:dyDescent="0.2">
      <c r="A5869" s="52"/>
    </row>
    <row r="5870" spans="1:1" x14ac:dyDescent="0.2">
      <c r="A5870" s="52"/>
    </row>
    <row r="5871" spans="1:1" x14ac:dyDescent="0.2">
      <c r="A5871" s="52"/>
    </row>
    <row r="5872" spans="1:1" x14ac:dyDescent="0.2">
      <c r="A5872" s="52"/>
    </row>
    <row r="5873" spans="1:1" x14ac:dyDescent="0.2">
      <c r="A5873" s="52"/>
    </row>
    <row r="5874" spans="1:1" x14ac:dyDescent="0.2">
      <c r="A5874" s="52"/>
    </row>
    <row r="5875" spans="1:1" x14ac:dyDescent="0.2">
      <c r="A5875" s="52"/>
    </row>
    <row r="5876" spans="1:1" x14ac:dyDescent="0.2">
      <c r="A5876" s="53"/>
    </row>
    <row r="5877" spans="1:1" x14ac:dyDescent="0.2">
      <c r="A5877" s="53"/>
    </row>
    <row r="5878" spans="1:1" x14ac:dyDescent="0.2">
      <c r="A5878" s="52"/>
    </row>
    <row r="5879" spans="1:1" x14ac:dyDescent="0.2">
      <c r="A5879" s="52"/>
    </row>
    <row r="5880" spans="1:1" x14ac:dyDescent="0.2">
      <c r="A5880" s="52"/>
    </row>
    <row r="5881" spans="1:1" x14ac:dyDescent="0.2">
      <c r="A5881" s="52"/>
    </row>
    <row r="5882" spans="1:1" x14ac:dyDescent="0.2">
      <c r="A5882" s="52"/>
    </row>
    <row r="5883" spans="1:1" x14ac:dyDescent="0.2">
      <c r="A5883" s="52"/>
    </row>
    <row r="5884" spans="1:1" x14ac:dyDescent="0.2">
      <c r="A5884" s="52"/>
    </row>
    <row r="5885" spans="1:1" x14ac:dyDescent="0.2">
      <c r="A5885" s="52"/>
    </row>
    <row r="5886" spans="1:1" x14ac:dyDescent="0.2">
      <c r="A5886" s="52"/>
    </row>
    <row r="5887" spans="1:1" x14ac:dyDescent="0.2">
      <c r="A5887" s="52"/>
    </row>
    <row r="5888" spans="1:1" x14ac:dyDescent="0.2">
      <c r="A5888" s="52"/>
    </row>
    <row r="5889" spans="1:1" x14ac:dyDescent="0.2">
      <c r="A5889" s="52"/>
    </row>
    <row r="5890" spans="1:1" x14ac:dyDescent="0.2">
      <c r="A5890" s="52"/>
    </row>
    <row r="5891" spans="1:1" x14ac:dyDescent="0.2">
      <c r="A5891" s="52"/>
    </row>
    <row r="5892" spans="1:1" x14ac:dyDescent="0.2">
      <c r="A5892" s="52"/>
    </row>
    <row r="5893" spans="1:1" x14ac:dyDescent="0.2">
      <c r="A5893" s="52"/>
    </row>
    <row r="5894" spans="1:1" x14ac:dyDescent="0.2">
      <c r="A5894" s="53"/>
    </row>
    <row r="5895" spans="1:1" x14ac:dyDescent="0.2">
      <c r="A5895" s="53"/>
    </row>
    <row r="5896" spans="1:1" x14ac:dyDescent="0.2">
      <c r="A5896" s="52"/>
    </row>
    <row r="5897" spans="1:1" x14ac:dyDescent="0.2">
      <c r="A5897" s="52"/>
    </row>
    <row r="5898" spans="1:1" x14ac:dyDescent="0.2">
      <c r="A5898" s="53"/>
    </row>
    <row r="5899" spans="1:1" x14ac:dyDescent="0.2">
      <c r="A5899" s="52"/>
    </row>
    <row r="5900" spans="1:1" x14ac:dyDescent="0.2">
      <c r="A5900" s="52"/>
    </row>
    <row r="5901" spans="1:1" x14ac:dyDescent="0.2">
      <c r="A5901" s="52"/>
    </row>
    <row r="5902" spans="1:1" x14ac:dyDescent="0.2">
      <c r="A5902" s="52"/>
    </row>
    <row r="5903" spans="1:1" x14ac:dyDescent="0.2">
      <c r="A5903" s="52"/>
    </row>
    <row r="5904" spans="1:1" x14ac:dyDescent="0.2">
      <c r="A5904" s="52"/>
    </row>
    <row r="5905" spans="1:1" x14ac:dyDescent="0.2">
      <c r="A5905" s="52"/>
    </row>
    <row r="5906" spans="1:1" x14ac:dyDescent="0.2">
      <c r="A5906" s="52"/>
    </row>
    <row r="5907" spans="1:1" x14ac:dyDescent="0.2">
      <c r="A5907" s="52"/>
    </row>
    <row r="5908" spans="1:1" x14ac:dyDescent="0.2">
      <c r="A5908" s="52"/>
    </row>
    <row r="5909" spans="1:1" x14ac:dyDescent="0.2">
      <c r="A5909" s="52"/>
    </row>
    <row r="5910" spans="1:1" x14ac:dyDescent="0.2">
      <c r="A5910" s="52"/>
    </row>
    <row r="5911" spans="1:1" x14ac:dyDescent="0.2">
      <c r="A5911" s="52"/>
    </row>
    <row r="5912" spans="1:1" x14ac:dyDescent="0.2">
      <c r="A5912" s="52"/>
    </row>
    <row r="5913" spans="1:1" x14ac:dyDescent="0.2">
      <c r="A5913" s="52"/>
    </row>
    <row r="5914" spans="1:1" x14ac:dyDescent="0.2">
      <c r="A5914" s="52"/>
    </row>
    <row r="5915" spans="1:1" x14ac:dyDescent="0.2">
      <c r="A5915" s="52"/>
    </row>
    <row r="5916" spans="1:1" x14ac:dyDescent="0.2">
      <c r="A5916" s="52"/>
    </row>
    <row r="5917" spans="1:1" x14ac:dyDescent="0.2">
      <c r="A5917" s="52"/>
    </row>
    <row r="5918" spans="1:1" x14ac:dyDescent="0.2">
      <c r="A5918" s="52"/>
    </row>
    <row r="5919" spans="1:1" x14ac:dyDescent="0.2">
      <c r="A5919" s="52"/>
    </row>
    <row r="5920" spans="1:1" x14ac:dyDescent="0.2">
      <c r="A5920" s="52"/>
    </row>
    <row r="5921" spans="1:1" x14ac:dyDescent="0.2">
      <c r="A5921" s="52"/>
    </row>
    <row r="5922" spans="1:1" x14ac:dyDescent="0.2">
      <c r="A5922" s="52"/>
    </row>
    <row r="5923" spans="1:1" x14ac:dyDescent="0.2">
      <c r="A5923" s="53"/>
    </row>
    <row r="5924" spans="1:1" x14ac:dyDescent="0.2">
      <c r="A5924" s="52"/>
    </row>
    <row r="5925" spans="1:1" x14ac:dyDescent="0.2">
      <c r="A5925" s="53"/>
    </row>
    <row r="5926" spans="1:1" x14ac:dyDescent="0.2">
      <c r="A5926" s="52"/>
    </row>
    <row r="5927" spans="1:1" x14ac:dyDescent="0.2">
      <c r="A5927" s="52"/>
    </row>
    <row r="5928" spans="1:1" x14ac:dyDescent="0.2">
      <c r="A5928" s="52"/>
    </row>
    <row r="5929" spans="1:1" x14ac:dyDescent="0.2">
      <c r="A5929" s="53"/>
    </row>
    <row r="5930" spans="1:1" x14ac:dyDescent="0.2">
      <c r="A5930" s="52"/>
    </row>
    <row r="5931" spans="1:1" x14ac:dyDescent="0.2">
      <c r="A5931" s="52"/>
    </row>
    <row r="5932" spans="1:1" x14ac:dyDescent="0.2">
      <c r="A5932" s="52"/>
    </row>
    <row r="5933" spans="1:1" x14ac:dyDescent="0.2">
      <c r="A5933" s="52"/>
    </row>
    <row r="5934" spans="1:1" x14ac:dyDescent="0.2">
      <c r="A5934" s="52"/>
    </row>
    <row r="5935" spans="1:1" x14ac:dyDescent="0.2">
      <c r="A5935" s="52"/>
    </row>
    <row r="5936" spans="1:1" x14ac:dyDescent="0.2">
      <c r="A5936" s="52"/>
    </row>
    <row r="5937" spans="1:1" x14ac:dyDescent="0.2">
      <c r="A5937" s="52"/>
    </row>
    <row r="5938" spans="1:1" x14ac:dyDescent="0.2">
      <c r="A5938" s="52"/>
    </row>
    <row r="5939" spans="1:1" x14ac:dyDescent="0.2">
      <c r="A5939" s="52"/>
    </row>
    <row r="5940" spans="1:1" x14ac:dyDescent="0.2">
      <c r="A5940" s="52"/>
    </row>
    <row r="5941" spans="1:1" x14ac:dyDescent="0.2">
      <c r="A5941" s="52"/>
    </row>
    <row r="5942" spans="1:1" x14ac:dyDescent="0.2">
      <c r="A5942" s="52"/>
    </row>
    <row r="5943" spans="1:1" x14ac:dyDescent="0.2">
      <c r="A5943" s="52"/>
    </row>
    <row r="5944" spans="1:1" x14ac:dyDescent="0.2">
      <c r="A5944" s="52"/>
    </row>
    <row r="5945" spans="1:1" x14ac:dyDescent="0.2">
      <c r="A5945" s="52"/>
    </row>
    <row r="5946" spans="1:1" x14ac:dyDescent="0.2">
      <c r="A5946" s="52"/>
    </row>
    <row r="5947" spans="1:1" x14ac:dyDescent="0.2">
      <c r="A5947" s="52"/>
    </row>
    <row r="5948" spans="1:1" x14ac:dyDescent="0.2">
      <c r="A5948" s="52"/>
    </row>
    <row r="5949" spans="1:1" x14ac:dyDescent="0.2">
      <c r="A5949" s="52"/>
    </row>
    <row r="5950" spans="1:1" x14ac:dyDescent="0.2">
      <c r="A5950" s="52"/>
    </row>
    <row r="5951" spans="1:1" x14ac:dyDescent="0.2">
      <c r="A5951" s="52"/>
    </row>
    <row r="5952" spans="1:1" x14ac:dyDescent="0.2">
      <c r="A5952" s="52"/>
    </row>
    <row r="5953" spans="1:1" x14ac:dyDescent="0.2">
      <c r="A5953" s="52"/>
    </row>
    <row r="5954" spans="1:1" x14ac:dyDescent="0.2">
      <c r="A5954" s="52"/>
    </row>
    <row r="5955" spans="1:1" x14ac:dyDescent="0.2">
      <c r="A5955" s="52"/>
    </row>
    <row r="5956" spans="1:1" x14ac:dyDescent="0.2">
      <c r="A5956" s="52"/>
    </row>
    <row r="5957" spans="1:1" x14ac:dyDescent="0.2">
      <c r="A5957" s="52"/>
    </row>
    <row r="5958" spans="1:1" x14ac:dyDescent="0.2">
      <c r="A5958" s="52"/>
    </row>
    <row r="5959" spans="1:1" x14ac:dyDescent="0.2">
      <c r="A5959" s="52"/>
    </row>
    <row r="5960" spans="1:1" x14ac:dyDescent="0.2">
      <c r="A5960" s="52"/>
    </row>
    <row r="5961" spans="1:1" x14ac:dyDescent="0.2">
      <c r="A5961" s="52"/>
    </row>
    <row r="5962" spans="1:1" x14ac:dyDescent="0.2">
      <c r="A5962" s="52"/>
    </row>
    <row r="5963" spans="1:1" x14ac:dyDescent="0.2">
      <c r="A5963" s="52"/>
    </row>
    <row r="5964" spans="1:1" x14ac:dyDescent="0.2">
      <c r="A5964" s="52"/>
    </row>
    <row r="5965" spans="1:1" x14ac:dyDescent="0.2">
      <c r="A5965" s="53"/>
    </row>
    <row r="5966" spans="1:1" x14ac:dyDescent="0.2">
      <c r="A5966" s="52"/>
    </row>
    <row r="5967" spans="1:1" x14ac:dyDescent="0.2">
      <c r="A5967" s="52"/>
    </row>
    <row r="5968" spans="1:1" x14ac:dyDescent="0.2">
      <c r="A5968" s="52"/>
    </row>
    <row r="5969" spans="1:1" x14ac:dyDescent="0.2">
      <c r="A5969" s="52"/>
    </row>
    <row r="5970" spans="1:1" x14ac:dyDescent="0.2">
      <c r="A5970" s="52"/>
    </row>
    <row r="5971" spans="1:1" x14ac:dyDescent="0.2">
      <c r="A5971" s="52"/>
    </row>
    <row r="5972" spans="1:1" x14ac:dyDescent="0.2">
      <c r="A5972" s="52"/>
    </row>
    <row r="5973" spans="1:1" x14ac:dyDescent="0.2">
      <c r="A5973" s="52"/>
    </row>
    <row r="5974" spans="1:1" x14ac:dyDescent="0.2">
      <c r="A5974" s="52"/>
    </row>
    <row r="5975" spans="1:1" x14ac:dyDescent="0.2">
      <c r="A5975" s="52"/>
    </row>
    <row r="5976" spans="1:1" x14ac:dyDescent="0.2">
      <c r="A5976" s="52"/>
    </row>
    <row r="5977" spans="1:1" x14ac:dyDescent="0.2">
      <c r="A5977" s="52"/>
    </row>
    <row r="5978" spans="1:1" x14ac:dyDescent="0.2">
      <c r="A5978" s="52"/>
    </row>
    <row r="5979" spans="1:1" x14ac:dyDescent="0.2">
      <c r="A5979" s="52"/>
    </row>
    <row r="5980" spans="1:1" x14ac:dyDescent="0.2">
      <c r="A5980" s="52"/>
    </row>
    <row r="5981" spans="1:1" x14ac:dyDescent="0.2">
      <c r="A5981" s="52"/>
    </row>
    <row r="5982" spans="1:1" x14ac:dyDescent="0.2">
      <c r="A5982" s="52"/>
    </row>
    <row r="5983" spans="1:1" x14ac:dyDescent="0.2">
      <c r="A5983" s="52"/>
    </row>
    <row r="5984" spans="1:1" x14ac:dyDescent="0.2">
      <c r="A5984" s="52"/>
    </row>
    <row r="5985" spans="1:1" x14ac:dyDescent="0.2">
      <c r="A5985" s="52"/>
    </row>
    <row r="5986" spans="1:1" x14ac:dyDescent="0.2">
      <c r="A5986" s="52"/>
    </row>
    <row r="5987" spans="1:1" x14ac:dyDescent="0.2">
      <c r="A5987" s="52"/>
    </row>
    <row r="5988" spans="1:1" x14ac:dyDescent="0.2">
      <c r="A5988" s="52"/>
    </row>
    <row r="5989" spans="1:1" x14ac:dyDescent="0.2">
      <c r="A5989" s="52"/>
    </row>
    <row r="5990" spans="1:1" x14ac:dyDescent="0.2">
      <c r="A5990" s="52"/>
    </row>
    <row r="5991" spans="1:1" x14ac:dyDescent="0.2">
      <c r="A5991" s="52"/>
    </row>
    <row r="5992" spans="1:1" x14ac:dyDescent="0.2">
      <c r="A5992" s="52"/>
    </row>
    <row r="5993" spans="1:1" x14ac:dyDescent="0.2">
      <c r="A5993" s="52"/>
    </row>
    <row r="5994" spans="1:1" x14ac:dyDescent="0.2">
      <c r="A5994" s="52"/>
    </row>
    <row r="5995" spans="1:1" x14ac:dyDescent="0.2">
      <c r="A5995" s="52"/>
    </row>
    <row r="5996" spans="1:1" x14ac:dyDescent="0.2">
      <c r="A5996" s="52"/>
    </row>
    <row r="5997" spans="1:1" x14ac:dyDescent="0.2">
      <c r="A5997" s="52"/>
    </row>
    <row r="5998" spans="1:1" x14ac:dyDescent="0.2">
      <c r="A5998" s="52"/>
    </row>
    <row r="5999" spans="1:1" x14ac:dyDescent="0.2">
      <c r="A5999" s="52"/>
    </row>
    <row r="6000" spans="1:1" x14ac:dyDescent="0.2">
      <c r="A6000" s="52"/>
    </row>
    <row r="6001" spans="1:1" x14ac:dyDescent="0.2">
      <c r="A6001" s="52"/>
    </row>
    <row r="6002" spans="1:1" x14ac:dyDescent="0.2">
      <c r="A6002" s="52"/>
    </row>
    <row r="6003" spans="1:1" x14ac:dyDescent="0.2">
      <c r="A6003" s="52"/>
    </row>
    <row r="6004" spans="1:1" x14ac:dyDescent="0.2">
      <c r="A6004" s="52"/>
    </row>
    <row r="6005" spans="1:1" x14ac:dyDescent="0.2">
      <c r="A6005" s="52"/>
    </row>
    <row r="6006" spans="1:1" x14ac:dyDescent="0.2">
      <c r="A6006" s="52"/>
    </row>
    <row r="6007" spans="1:1" x14ac:dyDescent="0.2">
      <c r="A6007" s="52"/>
    </row>
    <row r="6008" spans="1:1" x14ac:dyDescent="0.2">
      <c r="A6008" s="52"/>
    </row>
    <row r="6009" spans="1:1" x14ac:dyDescent="0.2">
      <c r="A6009" s="52"/>
    </row>
    <row r="6010" spans="1:1" x14ac:dyDescent="0.2">
      <c r="A6010" s="52"/>
    </row>
    <row r="6011" spans="1:1" x14ac:dyDescent="0.2">
      <c r="A6011" s="52"/>
    </row>
    <row r="6012" spans="1:1" x14ac:dyDescent="0.2">
      <c r="A6012" s="52"/>
    </row>
    <row r="6013" spans="1:1" x14ac:dyDescent="0.2">
      <c r="A6013" s="52"/>
    </row>
    <row r="6014" spans="1:1" x14ac:dyDescent="0.2">
      <c r="A6014" s="52"/>
    </row>
    <row r="6015" spans="1:1" x14ac:dyDescent="0.2">
      <c r="A6015" s="52"/>
    </row>
    <row r="6016" spans="1:1" x14ac:dyDescent="0.2">
      <c r="A6016" s="52"/>
    </row>
    <row r="6017" spans="1:1" x14ac:dyDescent="0.2">
      <c r="A6017" s="52"/>
    </row>
    <row r="6018" spans="1:1" x14ac:dyDescent="0.2">
      <c r="A6018" s="52"/>
    </row>
    <row r="6019" spans="1:1" x14ac:dyDescent="0.2">
      <c r="A6019" s="53"/>
    </row>
    <row r="6020" spans="1:1" x14ac:dyDescent="0.2">
      <c r="A6020" s="52"/>
    </row>
    <row r="6021" spans="1:1" x14ac:dyDescent="0.2">
      <c r="A6021" s="52"/>
    </row>
    <row r="6022" spans="1:1" x14ac:dyDescent="0.2">
      <c r="A6022" s="52"/>
    </row>
    <row r="6023" spans="1:1" x14ac:dyDescent="0.2">
      <c r="A6023" s="52"/>
    </row>
    <row r="6024" spans="1:1" x14ac:dyDescent="0.2">
      <c r="A6024" s="52"/>
    </row>
    <row r="6025" spans="1:1" x14ac:dyDescent="0.2">
      <c r="A6025" s="52"/>
    </row>
    <row r="6026" spans="1:1" x14ac:dyDescent="0.2">
      <c r="A6026" s="53"/>
    </row>
    <row r="6027" spans="1:1" x14ac:dyDescent="0.2">
      <c r="A6027" s="52"/>
    </row>
    <row r="6028" spans="1:1" x14ac:dyDescent="0.2">
      <c r="A6028" s="52"/>
    </row>
    <row r="6029" spans="1:1" x14ac:dyDescent="0.2">
      <c r="A6029" s="52"/>
    </row>
    <row r="6030" spans="1:1" x14ac:dyDescent="0.2">
      <c r="A6030" s="52"/>
    </row>
    <row r="6031" spans="1:1" x14ac:dyDescent="0.2">
      <c r="A6031" s="52"/>
    </row>
    <row r="6032" spans="1:1" x14ac:dyDescent="0.2">
      <c r="A6032" s="52"/>
    </row>
    <row r="6033" spans="1:1" x14ac:dyDescent="0.2">
      <c r="A6033" s="52"/>
    </row>
    <row r="6034" spans="1:1" x14ac:dyDescent="0.2">
      <c r="A6034" s="52"/>
    </row>
    <row r="6035" spans="1:1" x14ac:dyDescent="0.2">
      <c r="A6035" s="52"/>
    </row>
    <row r="6036" spans="1:1" x14ac:dyDescent="0.2">
      <c r="A6036" s="52"/>
    </row>
    <row r="6037" spans="1:1" x14ac:dyDescent="0.2">
      <c r="A6037" s="52"/>
    </row>
    <row r="6038" spans="1:1" x14ac:dyDescent="0.2">
      <c r="A6038" s="53"/>
    </row>
    <row r="6039" spans="1:1" x14ac:dyDescent="0.2">
      <c r="A6039" s="52"/>
    </row>
    <row r="6040" spans="1:1" x14ac:dyDescent="0.2">
      <c r="A6040" s="52"/>
    </row>
    <row r="6041" spans="1:1" x14ac:dyDescent="0.2">
      <c r="A6041" s="52"/>
    </row>
    <row r="6042" spans="1:1" x14ac:dyDescent="0.2">
      <c r="A6042" s="52"/>
    </row>
    <row r="6043" spans="1:1" x14ac:dyDescent="0.2">
      <c r="A6043" s="52"/>
    </row>
    <row r="6044" spans="1:1" x14ac:dyDescent="0.2">
      <c r="A6044" s="52"/>
    </row>
    <row r="6045" spans="1:1" x14ac:dyDescent="0.2">
      <c r="A6045" s="52"/>
    </row>
    <row r="6046" spans="1:1" x14ac:dyDescent="0.2">
      <c r="A6046" s="52"/>
    </row>
    <row r="6047" spans="1:1" x14ac:dyDescent="0.2">
      <c r="A6047" s="52"/>
    </row>
    <row r="6048" spans="1:1" x14ac:dyDescent="0.2">
      <c r="A6048" s="52"/>
    </row>
    <row r="6049" spans="1:1" x14ac:dyDescent="0.2">
      <c r="A6049" s="52"/>
    </row>
    <row r="6050" spans="1:1" x14ac:dyDescent="0.2">
      <c r="A6050" s="52"/>
    </row>
    <row r="6051" spans="1:1" x14ac:dyDescent="0.2">
      <c r="A6051" s="52"/>
    </row>
    <row r="6052" spans="1:1" x14ac:dyDescent="0.2">
      <c r="A6052" s="52"/>
    </row>
    <row r="6053" spans="1:1" x14ac:dyDescent="0.2">
      <c r="A6053" s="52"/>
    </row>
    <row r="6054" spans="1:1" x14ac:dyDescent="0.2">
      <c r="A6054" s="52"/>
    </row>
    <row r="6055" spans="1:1" x14ac:dyDescent="0.2">
      <c r="A6055" s="52"/>
    </row>
    <row r="6056" spans="1:1" x14ac:dyDescent="0.2">
      <c r="A6056" s="52"/>
    </row>
    <row r="6057" spans="1:1" x14ac:dyDescent="0.2">
      <c r="A6057" s="52"/>
    </row>
    <row r="6058" spans="1:1" x14ac:dyDescent="0.2">
      <c r="A6058" s="52"/>
    </row>
    <row r="6059" spans="1:1" x14ac:dyDescent="0.2">
      <c r="A6059" s="52"/>
    </row>
    <row r="6060" spans="1:1" x14ac:dyDescent="0.2">
      <c r="A6060" s="52"/>
    </row>
    <row r="6061" spans="1:1" x14ac:dyDescent="0.2">
      <c r="A6061" s="52"/>
    </row>
    <row r="6062" spans="1:1" x14ac:dyDescent="0.2">
      <c r="A6062" s="52"/>
    </row>
    <row r="6063" spans="1:1" x14ac:dyDescent="0.2">
      <c r="A6063" s="53"/>
    </row>
    <row r="6064" spans="1:1" x14ac:dyDescent="0.2">
      <c r="A6064" s="52"/>
    </row>
    <row r="6065" spans="1:1" x14ac:dyDescent="0.2">
      <c r="A6065" s="53"/>
    </row>
    <row r="6066" spans="1:1" x14ac:dyDescent="0.2">
      <c r="A6066" s="52"/>
    </row>
    <row r="6067" spans="1:1" x14ac:dyDescent="0.2">
      <c r="A6067" s="52"/>
    </row>
    <row r="6068" spans="1:1" x14ac:dyDescent="0.2">
      <c r="A6068" s="52"/>
    </row>
    <row r="6069" spans="1:1" x14ac:dyDescent="0.2">
      <c r="A6069" s="52"/>
    </row>
    <row r="6070" spans="1:1" x14ac:dyDescent="0.2">
      <c r="A6070" s="52"/>
    </row>
    <row r="6071" spans="1:1" x14ac:dyDescent="0.2">
      <c r="A6071" s="52"/>
    </row>
    <row r="6072" spans="1:1" x14ac:dyDescent="0.2">
      <c r="A6072" s="52"/>
    </row>
    <row r="6073" spans="1:1" x14ac:dyDescent="0.2">
      <c r="A6073" s="52"/>
    </row>
    <row r="6074" spans="1:1" x14ac:dyDescent="0.2">
      <c r="A6074" s="52"/>
    </row>
    <row r="6075" spans="1:1" x14ac:dyDescent="0.2">
      <c r="A6075" s="52"/>
    </row>
    <row r="6076" spans="1:1" x14ac:dyDescent="0.2">
      <c r="A6076" s="52"/>
    </row>
    <row r="6077" spans="1:1" x14ac:dyDescent="0.2">
      <c r="A6077" s="52"/>
    </row>
    <row r="6078" spans="1:1" x14ac:dyDescent="0.2">
      <c r="A6078" s="52"/>
    </row>
    <row r="6079" spans="1:1" x14ac:dyDescent="0.2">
      <c r="A6079" s="52"/>
    </row>
    <row r="6080" spans="1:1" x14ac:dyDescent="0.2">
      <c r="A6080" s="52"/>
    </row>
    <row r="6081" spans="1:1" x14ac:dyDescent="0.2">
      <c r="A6081" s="52"/>
    </row>
    <row r="6082" spans="1:1" x14ac:dyDescent="0.2">
      <c r="A6082" s="53"/>
    </row>
    <row r="6083" spans="1:1" x14ac:dyDescent="0.2">
      <c r="A6083" s="52"/>
    </row>
    <row r="6084" spans="1:1" x14ac:dyDescent="0.2">
      <c r="A6084" s="52"/>
    </row>
    <row r="6085" spans="1:1" x14ac:dyDescent="0.2">
      <c r="A6085" s="52"/>
    </row>
    <row r="6086" spans="1:1" x14ac:dyDescent="0.2">
      <c r="A6086" s="52"/>
    </row>
    <row r="6087" spans="1:1" x14ac:dyDescent="0.2">
      <c r="A6087" s="52"/>
    </row>
    <row r="6088" spans="1:1" x14ac:dyDescent="0.2">
      <c r="A6088" s="52"/>
    </row>
    <row r="6089" spans="1:1" x14ac:dyDescent="0.2">
      <c r="A6089" s="52"/>
    </row>
    <row r="6090" spans="1:1" x14ac:dyDescent="0.2">
      <c r="A6090" s="52"/>
    </row>
    <row r="6091" spans="1:1" x14ac:dyDescent="0.2">
      <c r="A6091" s="52"/>
    </row>
    <row r="6092" spans="1:1" x14ac:dyDescent="0.2">
      <c r="A6092" s="52"/>
    </row>
    <row r="6093" spans="1:1" x14ac:dyDescent="0.2">
      <c r="A6093" s="52"/>
    </row>
    <row r="6094" spans="1:1" x14ac:dyDescent="0.2">
      <c r="A6094" s="52"/>
    </row>
    <row r="6095" spans="1:1" x14ac:dyDescent="0.2">
      <c r="A6095" s="52"/>
    </row>
    <row r="6096" spans="1:1" x14ac:dyDescent="0.2">
      <c r="A6096" s="52"/>
    </row>
    <row r="6097" spans="1:1" x14ac:dyDescent="0.2">
      <c r="A6097" s="52"/>
    </row>
    <row r="6098" spans="1:1" x14ac:dyDescent="0.2">
      <c r="A6098" s="52"/>
    </row>
    <row r="6099" spans="1:1" x14ac:dyDescent="0.2">
      <c r="A6099" s="52"/>
    </row>
    <row r="6100" spans="1:1" x14ac:dyDescent="0.2">
      <c r="A6100" s="52"/>
    </row>
    <row r="6101" spans="1:1" x14ac:dyDescent="0.2">
      <c r="A6101" s="52"/>
    </row>
    <row r="6102" spans="1:1" x14ac:dyDescent="0.2">
      <c r="A6102" s="52"/>
    </row>
    <row r="6103" spans="1:1" x14ac:dyDescent="0.2">
      <c r="A6103" s="52"/>
    </row>
    <row r="6104" spans="1:1" x14ac:dyDescent="0.2">
      <c r="A6104" s="52"/>
    </row>
    <row r="6105" spans="1:1" x14ac:dyDescent="0.2">
      <c r="A6105" s="52"/>
    </row>
    <row r="6106" spans="1:1" x14ac:dyDescent="0.2">
      <c r="A6106" s="52"/>
    </row>
    <row r="6107" spans="1:1" x14ac:dyDescent="0.2">
      <c r="A6107" s="52"/>
    </row>
    <row r="6108" spans="1:1" x14ac:dyDescent="0.2">
      <c r="A6108" s="52"/>
    </row>
    <row r="6109" spans="1:1" x14ac:dyDescent="0.2">
      <c r="A6109" s="52"/>
    </row>
    <row r="6110" spans="1:1" x14ac:dyDescent="0.2">
      <c r="A6110" s="52"/>
    </row>
    <row r="6111" spans="1:1" x14ac:dyDescent="0.2">
      <c r="A6111" s="52"/>
    </row>
    <row r="6112" spans="1:1" x14ac:dyDescent="0.2">
      <c r="A6112" s="52"/>
    </row>
    <row r="6113" spans="1:1" x14ac:dyDescent="0.2">
      <c r="A6113" s="52"/>
    </row>
    <row r="6114" spans="1:1" x14ac:dyDescent="0.2">
      <c r="A6114" s="52"/>
    </row>
    <row r="6115" spans="1:1" x14ac:dyDescent="0.2">
      <c r="A6115" s="52"/>
    </row>
    <row r="6116" spans="1:1" x14ac:dyDescent="0.2">
      <c r="A6116" s="52"/>
    </row>
    <row r="6117" spans="1:1" x14ac:dyDescent="0.2">
      <c r="A6117" s="52"/>
    </row>
    <row r="6118" spans="1:1" x14ac:dyDescent="0.2">
      <c r="A6118" s="52"/>
    </row>
    <row r="6119" spans="1:1" x14ac:dyDescent="0.2">
      <c r="A6119" s="52"/>
    </row>
    <row r="6120" spans="1:1" x14ac:dyDescent="0.2">
      <c r="A6120" s="52"/>
    </row>
    <row r="6121" spans="1:1" x14ac:dyDescent="0.2">
      <c r="A6121" s="52"/>
    </row>
    <row r="6122" spans="1:1" x14ac:dyDescent="0.2">
      <c r="A6122" s="52"/>
    </row>
    <row r="6123" spans="1:1" x14ac:dyDescent="0.2">
      <c r="A6123" s="52"/>
    </row>
    <row r="6124" spans="1:1" x14ac:dyDescent="0.2">
      <c r="A6124" s="52"/>
    </row>
    <row r="6125" spans="1:1" x14ac:dyDescent="0.2">
      <c r="A6125" s="52"/>
    </row>
    <row r="6126" spans="1:1" x14ac:dyDescent="0.2">
      <c r="A6126" s="52"/>
    </row>
    <row r="6127" spans="1:1" x14ac:dyDescent="0.2">
      <c r="A6127" s="53"/>
    </row>
    <row r="6128" spans="1:1" x14ac:dyDescent="0.2">
      <c r="A6128" s="52"/>
    </row>
    <row r="6129" spans="1:1" x14ac:dyDescent="0.2">
      <c r="A6129" s="53"/>
    </row>
    <row r="6130" spans="1:1" x14ac:dyDescent="0.2">
      <c r="A6130" s="52"/>
    </row>
    <row r="6131" spans="1:1" x14ac:dyDescent="0.2">
      <c r="A6131" s="53"/>
    </row>
    <row r="6132" spans="1:1" x14ac:dyDescent="0.2">
      <c r="A6132" s="52"/>
    </row>
    <row r="6133" spans="1:1" x14ac:dyDescent="0.2">
      <c r="A6133" s="52"/>
    </row>
    <row r="6134" spans="1:1" x14ac:dyDescent="0.2">
      <c r="A6134" s="52"/>
    </row>
    <row r="6135" spans="1:1" x14ac:dyDescent="0.2">
      <c r="A6135" s="52"/>
    </row>
    <row r="6136" spans="1:1" x14ac:dyDescent="0.2">
      <c r="A6136" s="52"/>
    </row>
    <row r="6137" spans="1:1" x14ac:dyDescent="0.2">
      <c r="A6137" s="52"/>
    </row>
    <row r="6138" spans="1:1" x14ac:dyDescent="0.2">
      <c r="A6138" s="52"/>
    </row>
    <row r="6139" spans="1:1" x14ac:dyDescent="0.2">
      <c r="A6139" s="53"/>
    </row>
    <row r="6140" spans="1:1" x14ac:dyDescent="0.2">
      <c r="A6140" s="52"/>
    </row>
    <row r="6141" spans="1:1" x14ac:dyDescent="0.2">
      <c r="A6141" s="52"/>
    </row>
    <row r="6142" spans="1:1" x14ac:dyDescent="0.2">
      <c r="A6142" s="52"/>
    </row>
    <row r="6143" spans="1:1" x14ac:dyDescent="0.2">
      <c r="A6143" s="52"/>
    </row>
    <row r="6144" spans="1:1" x14ac:dyDescent="0.2">
      <c r="A6144" s="52"/>
    </row>
    <row r="6145" spans="1:1" x14ac:dyDescent="0.2">
      <c r="A6145" s="52"/>
    </row>
    <row r="6146" spans="1:1" x14ac:dyDescent="0.2">
      <c r="A6146" s="52"/>
    </row>
    <row r="6147" spans="1:1" x14ac:dyDescent="0.2">
      <c r="A6147" s="52"/>
    </row>
    <row r="6148" spans="1:1" x14ac:dyDescent="0.2">
      <c r="A6148" s="52"/>
    </row>
    <row r="6149" spans="1:1" x14ac:dyDescent="0.2">
      <c r="A6149" s="52"/>
    </row>
    <row r="6150" spans="1:1" x14ac:dyDescent="0.2">
      <c r="A6150" s="52"/>
    </row>
    <row r="6151" spans="1:1" x14ac:dyDescent="0.2">
      <c r="A6151" s="52"/>
    </row>
    <row r="6152" spans="1:1" x14ac:dyDescent="0.2">
      <c r="A6152" s="52"/>
    </row>
    <row r="6153" spans="1:1" x14ac:dyDescent="0.2">
      <c r="A6153" s="52"/>
    </row>
    <row r="6154" spans="1:1" x14ac:dyDescent="0.2">
      <c r="A6154" s="52"/>
    </row>
    <row r="6155" spans="1:1" x14ac:dyDescent="0.2">
      <c r="A6155" s="52"/>
    </row>
    <row r="6156" spans="1:1" x14ac:dyDescent="0.2">
      <c r="A6156" s="52"/>
    </row>
    <row r="6157" spans="1:1" x14ac:dyDescent="0.2">
      <c r="A6157" s="52"/>
    </row>
    <row r="6158" spans="1:1" x14ac:dyDescent="0.2">
      <c r="A6158" s="52"/>
    </row>
    <row r="6159" spans="1:1" x14ac:dyDescent="0.2">
      <c r="A6159" s="52"/>
    </row>
    <row r="6160" spans="1:1" x14ac:dyDescent="0.2">
      <c r="A6160" s="52"/>
    </row>
    <row r="6161" spans="1:1" x14ac:dyDescent="0.2">
      <c r="A6161" s="52"/>
    </row>
    <row r="6162" spans="1:1" x14ac:dyDescent="0.2">
      <c r="A6162" s="52"/>
    </row>
    <row r="6163" spans="1:1" x14ac:dyDescent="0.2">
      <c r="A6163" s="52"/>
    </row>
    <row r="6164" spans="1:1" x14ac:dyDescent="0.2">
      <c r="A6164" s="52"/>
    </row>
    <row r="6165" spans="1:1" x14ac:dyDescent="0.2">
      <c r="A6165" s="53"/>
    </row>
    <row r="6166" spans="1:1" x14ac:dyDescent="0.2">
      <c r="A6166" s="52"/>
    </row>
    <row r="6167" spans="1:1" x14ac:dyDescent="0.2">
      <c r="A6167" s="52"/>
    </row>
    <row r="6168" spans="1:1" x14ac:dyDescent="0.2">
      <c r="A6168" s="52"/>
    </row>
    <row r="6169" spans="1:1" x14ac:dyDescent="0.2">
      <c r="A6169" s="52"/>
    </row>
    <row r="6170" spans="1:1" x14ac:dyDescent="0.2">
      <c r="A6170" s="52"/>
    </row>
    <row r="6171" spans="1:1" x14ac:dyDescent="0.2">
      <c r="A6171" s="52"/>
    </row>
    <row r="6172" spans="1:1" x14ac:dyDescent="0.2">
      <c r="A6172" s="53"/>
    </row>
    <row r="6173" spans="1:1" x14ac:dyDescent="0.2">
      <c r="A6173" s="52"/>
    </row>
    <row r="6174" spans="1:1" x14ac:dyDescent="0.2">
      <c r="A6174" s="52"/>
    </row>
    <row r="6175" spans="1:1" x14ac:dyDescent="0.2">
      <c r="A6175" s="52"/>
    </row>
    <row r="6176" spans="1:1" x14ac:dyDescent="0.2">
      <c r="A6176" s="52"/>
    </row>
    <row r="6177" spans="1:1" x14ac:dyDescent="0.2">
      <c r="A6177" s="53"/>
    </row>
    <row r="6178" spans="1:1" x14ac:dyDescent="0.2">
      <c r="A6178" s="52"/>
    </row>
    <row r="6179" spans="1:1" x14ac:dyDescent="0.2">
      <c r="A6179" s="52"/>
    </row>
    <row r="6180" spans="1:1" x14ac:dyDescent="0.2">
      <c r="A6180" s="52"/>
    </row>
    <row r="6181" spans="1:1" x14ac:dyDescent="0.2">
      <c r="A6181" s="52"/>
    </row>
    <row r="6182" spans="1:1" x14ac:dyDescent="0.2">
      <c r="A6182" s="52"/>
    </row>
    <row r="6183" spans="1:1" x14ac:dyDescent="0.2">
      <c r="A6183" s="52"/>
    </row>
    <row r="6184" spans="1:1" x14ac:dyDescent="0.2">
      <c r="A6184" s="52"/>
    </row>
    <row r="6185" spans="1:1" x14ac:dyDescent="0.2">
      <c r="A6185" s="52"/>
    </row>
    <row r="6186" spans="1:1" x14ac:dyDescent="0.2">
      <c r="A6186" s="52"/>
    </row>
    <row r="6187" spans="1:1" x14ac:dyDescent="0.2">
      <c r="A6187" s="52"/>
    </row>
    <row r="6188" spans="1:1" x14ac:dyDescent="0.2">
      <c r="A6188" s="52"/>
    </row>
    <row r="6189" spans="1:1" x14ac:dyDescent="0.2">
      <c r="A6189" s="52"/>
    </row>
    <row r="6190" spans="1:1" x14ac:dyDescent="0.2">
      <c r="A6190" s="52"/>
    </row>
    <row r="6191" spans="1:1" x14ac:dyDescent="0.2">
      <c r="A6191" s="52"/>
    </row>
    <row r="6192" spans="1:1" x14ac:dyDescent="0.2">
      <c r="A6192" s="52"/>
    </row>
    <row r="6193" spans="1:1" x14ac:dyDescent="0.2">
      <c r="A6193" s="52"/>
    </row>
    <row r="6194" spans="1:1" x14ac:dyDescent="0.2">
      <c r="A6194" s="52"/>
    </row>
    <row r="6195" spans="1:1" x14ac:dyDescent="0.2">
      <c r="A6195" s="52"/>
    </row>
    <row r="6196" spans="1:1" x14ac:dyDescent="0.2">
      <c r="A6196" s="52"/>
    </row>
    <row r="6197" spans="1:1" x14ac:dyDescent="0.2">
      <c r="A6197" s="52"/>
    </row>
    <row r="6198" spans="1:1" x14ac:dyDescent="0.2">
      <c r="A6198" s="52"/>
    </row>
    <row r="6199" spans="1:1" x14ac:dyDescent="0.2">
      <c r="A6199" s="52"/>
    </row>
    <row r="6200" spans="1:1" x14ac:dyDescent="0.2">
      <c r="A6200" s="52"/>
    </row>
    <row r="6201" spans="1:1" x14ac:dyDescent="0.2">
      <c r="A6201" s="52"/>
    </row>
    <row r="6202" spans="1:1" x14ac:dyDescent="0.2">
      <c r="A6202" s="52"/>
    </row>
    <row r="6203" spans="1:1" x14ac:dyDescent="0.2">
      <c r="A6203" s="52"/>
    </row>
    <row r="6204" spans="1:1" x14ac:dyDescent="0.2">
      <c r="A6204" s="52"/>
    </row>
    <row r="6205" spans="1:1" x14ac:dyDescent="0.2">
      <c r="A6205" s="52"/>
    </row>
    <row r="6206" spans="1:1" x14ac:dyDescent="0.2">
      <c r="A6206" s="52"/>
    </row>
    <row r="6207" spans="1:1" x14ac:dyDescent="0.2">
      <c r="A6207" s="52"/>
    </row>
    <row r="6208" spans="1:1" x14ac:dyDescent="0.2">
      <c r="A6208" s="52"/>
    </row>
    <row r="6209" spans="1:1" x14ac:dyDescent="0.2">
      <c r="A6209" s="52"/>
    </row>
    <row r="6210" spans="1:1" x14ac:dyDescent="0.2">
      <c r="A6210" s="52"/>
    </row>
    <row r="6211" spans="1:1" x14ac:dyDescent="0.2">
      <c r="A6211" s="53"/>
    </row>
    <row r="6212" spans="1:1" x14ac:dyDescent="0.2">
      <c r="A6212" s="52"/>
    </row>
    <row r="6213" spans="1:1" x14ac:dyDescent="0.2">
      <c r="A6213" s="52"/>
    </row>
    <row r="6214" spans="1:1" x14ac:dyDescent="0.2">
      <c r="A6214" s="52"/>
    </row>
    <row r="6215" spans="1:1" x14ac:dyDescent="0.2">
      <c r="A6215" s="52"/>
    </row>
    <row r="6216" spans="1:1" x14ac:dyDescent="0.2">
      <c r="A6216" s="52"/>
    </row>
    <row r="6217" spans="1:1" x14ac:dyDescent="0.2">
      <c r="A6217" s="52"/>
    </row>
    <row r="6218" spans="1:1" x14ac:dyDescent="0.2">
      <c r="A6218" s="52"/>
    </row>
    <row r="6219" spans="1:1" x14ac:dyDescent="0.2">
      <c r="A6219" s="52"/>
    </row>
    <row r="6220" spans="1:1" x14ac:dyDescent="0.2">
      <c r="A6220" s="52"/>
    </row>
    <row r="6221" spans="1:1" x14ac:dyDescent="0.2">
      <c r="A6221" s="52"/>
    </row>
    <row r="6222" spans="1:1" x14ac:dyDescent="0.2">
      <c r="A6222" s="52"/>
    </row>
    <row r="6223" spans="1:1" x14ac:dyDescent="0.2">
      <c r="A6223" s="52"/>
    </row>
    <row r="6224" spans="1:1" x14ac:dyDescent="0.2">
      <c r="A6224" s="53"/>
    </row>
    <row r="6225" spans="1:1" x14ac:dyDescent="0.2">
      <c r="A6225" s="52"/>
    </row>
    <row r="6226" spans="1:1" x14ac:dyDescent="0.2">
      <c r="A6226" s="52"/>
    </row>
    <row r="6227" spans="1:1" x14ac:dyDescent="0.2">
      <c r="A6227" s="53"/>
    </row>
    <row r="6228" spans="1:1" x14ac:dyDescent="0.2">
      <c r="A6228" s="53"/>
    </row>
    <row r="6229" spans="1:1" x14ac:dyDescent="0.2">
      <c r="A6229" s="52"/>
    </row>
    <row r="6230" spans="1:1" x14ac:dyDescent="0.2">
      <c r="A6230" s="52"/>
    </row>
    <row r="6231" spans="1:1" x14ac:dyDescent="0.2">
      <c r="A6231" s="53"/>
    </row>
    <row r="6232" spans="1:1" x14ac:dyDescent="0.2">
      <c r="A6232" s="52"/>
    </row>
    <row r="6233" spans="1:1" x14ac:dyDescent="0.2">
      <c r="A6233" s="52"/>
    </row>
    <row r="6234" spans="1:1" x14ac:dyDescent="0.2">
      <c r="A6234" s="52"/>
    </row>
    <row r="6235" spans="1:1" x14ac:dyDescent="0.2">
      <c r="A6235" s="52"/>
    </row>
    <row r="6236" spans="1:1" x14ac:dyDescent="0.2">
      <c r="A6236" s="52"/>
    </row>
    <row r="6237" spans="1:1" x14ac:dyDescent="0.2">
      <c r="A6237" s="52"/>
    </row>
    <row r="6238" spans="1:1" x14ac:dyDescent="0.2">
      <c r="A6238" s="52"/>
    </row>
    <row r="6239" spans="1:1" x14ac:dyDescent="0.2">
      <c r="A6239" s="52"/>
    </row>
    <row r="6240" spans="1:1" x14ac:dyDescent="0.2">
      <c r="A6240" s="52"/>
    </row>
    <row r="6241" spans="1:1" x14ac:dyDescent="0.2">
      <c r="A6241" s="52"/>
    </row>
    <row r="6242" spans="1:1" x14ac:dyDescent="0.2">
      <c r="A6242" s="52"/>
    </row>
    <row r="6243" spans="1:1" x14ac:dyDescent="0.2">
      <c r="A6243" s="52"/>
    </row>
    <row r="6244" spans="1:1" x14ac:dyDescent="0.2">
      <c r="A6244" s="52"/>
    </row>
    <row r="6245" spans="1:1" x14ac:dyDescent="0.2">
      <c r="A6245" s="52"/>
    </row>
    <row r="6246" spans="1:1" x14ac:dyDescent="0.2">
      <c r="A6246" s="52"/>
    </row>
    <row r="6247" spans="1:1" x14ac:dyDescent="0.2">
      <c r="A6247" s="52"/>
    </row>
    <row r="6248" spans="1:1" x14ac:dyDescent="0.2">
      <c r="A6248" s="52"/>
    </row>
    <row r="6249" spans="1:1" x14ac:dyDescent="0.2">
      <c r="A6249" s="52"/>
    </row>
    <row r="6250" spans="1:1" x14ac:dyDescent="0.2">
      <c r="A6250" s="52"/>
    </row>
    <row r="6251" spans="1:1" x14ac:dyDescent="0.2">
      <c r="A6251" s="52"/>
    </row>
    <row r="6252" spans="1:1" x14ac:dyDescent="0.2">
      <c r="A6252" s="52"/>
    </row>
    <row r="6253" spans="1:1" x14ac:dyDescent="0.2">
      <c r="A6253" s="52"/>
    </row>
    <row r="6254" spans="1:1" x14ac:dyDescent="0.2">
      <c r="A6254" s="52"/>
    </row>
    <row r="6255" spans="1:1" x14ac:dyDescent="0.2">
      <c r="A6255" s="52"/>
    </row>
    <row r="6256" spans="1:1" x14ac:dyDescent="0.2">
      <c r="A6256" s="52"/>
    </row>
    <row r="6257" spans="1:1" x14ac:dyDescent="0.2">
      <c r="A6257" s="52"/>
    </row>
    <row r="6258" spans="1:1" x14ac:dyDescent="0.2">
      <c r="A6258" s="52"/>
    </row>
    <row r="6259" spans="1:1" x14ac:dyDescent="0.2">
      <c r="A6259" s="52"/>
    </row>
    <row r="6260" spans="1:1" x14ac:dyDescent="0.2">
      <c r="A6260" s="52"/>
    </row>
    <row r="6261" spans="1:1" x14ac:dyDescent="0.2">
      <c r="A6261" s="53"/>
    </row>
    <row r="6262" spans="1:1" x14ac:dyDescent="0.2">
      <c r="A6262" s="53"/>
    </row>
    <row r="6263" spans="1:1" x14ac:dyDescent="0.2">
      <c r="A6263" s="52"/>
    </row>
    <row r="6264" spans="1:1" x14ac:dyDescent="0.2">
      <c r="A6264" s="52"/>
    </row>
    <row r="6265" spans="1:1" x14ac:dyDescent="0.2">
      <c r="A6265" s="52"/>
    </row>
    <row r="6266" spans="1:1" x14ac:dyDescent="0.2">
      <c r="A6266" s="52"/>
    </row>
    <row r="6267" spans="1:1" x14ac:dyDescent="0.2">
      <c r="A6267" s="52"/>
    </row>
    <row r="6268" spans="1:1" x14ac:dyDescent="0.2">
      <c r="A6268" s="52"/>
    </row>
    <row r="6269" spans="1:1" x14ac:dyDescent="0.2">
      <c r="A6269" s="52"/>
    </row>
    <row r="6270" spans="1:1" x14ac:dyDescent="0.2">
      <c r="A6270" s="52"/>
    </row>
    <row r="6271" spans="1:1" x14ac:dyDescent="0.2">
      <c r="A6271" s="52"/>
    </row>
    <row r="6272" spans="1:1" x14ac:dyDescent="0.2">
      <c r="A6272" s="52"/>
    </row>
    <row r="6273" spans="1:1" x14ac:dyDescent="0.2">
      <c r="A6273" s="52"/>
    </row>
    <row r="6274" spans="1:1" x14ac:dyDescent="0.2">
      <c r="A6274" s="52"/>
    </row>
    <row r="6275" spans="1:1" x14ac:dyDescent="0.2">
      <c r="A6275" s="52"/>
    </row>
    <row r="6276" spans="1:1" x14ac:dyDescent="0.2">
      <c r="A6276" s="52"/>
    </row>
    <row r="6277" spans="1:1" x14ac:dyDescent="0.2">
      <c r="A6277" s="52"/>
    </row>
    <row r="6278" spans="1:1" x14ac:dyDescent="0.2">
      <c r="A6278" s="52"/>
    </row>
    <row r="6279" spans="1:1" x14ac:dyDescent="0.2">
      <c r="A6279" s="52"/>
    </row>
    <row r="6280" spans="1:1" x14ac:dyDescent="0.2">
      <c r="A6280" s="53"/>
    </row>
    <row r="6281" spans="1:1" x14ac:dyDescent="0.2">
      <c r="A6281" s="53"/>
    </row>
    <row r="6282" spans="1:1" x14ac:dyDescent="0.2">
      <c r="A6282" s="53"/>
    </row>
    <row r="6283" spans="1:1" x14ac:dyDescent="0.2">
      <c r="A6283" s="53"/>
    </row>
    <row r="6284" spans="1:1" x14ac:dyDescent="0.2">
      <c r="A6284" s="52"/>
    </row>
    <row r="6285" spans="1:1" x14ac:dyDescent="0.2">
      <c r="A6285" s="52"/>
    </row>
    <row r="6286" spans="1:1" x14ac:dyDescent="0.2">
      <c r="A6286" s="52"/>
    </row>
    <row r="6287" spans="1:1" x14ac:dyDescent="0.2">
      <c r="A6287" s="52"/>
    </row>
    <row r="6288" spans="1:1" x14ac:dyDescent="0.2">
      <c r="A6288" s="52"/>
    </row>
    <row r="6289" spans="1:1" x14ac:dyDescent="0.2">
      <c r="A6289" s="52"/>
    </row>
    <row r="6290" spans="1:1" x14ac:dyDescent="0.2">
      <c r="A6290" s="52"/>
    </row>
    <row r="6291" spans="1:1" x14ac:dyDescent="0.2">
      <c r="A6291" s="52"/>
    </row>
    <row r="6292" spans="1:1" x14ac:dyDescent="0.2">
      <c r="A6292" s="52"/>
    </row>
    <row r="6293" spans="1:1" x14ac:dyDescent="0.2">
      <c r="A6293" s="52"/>
    </row>
    <row r="6294" spans="1:1" x14ac:dyDescent="0.2">
      <c r="A6294" s="52"/>
    </row>
    <row r="6295" spans="1:1" x14ac:dyDescent="0.2">
      <c r="A6295" s="52"/>
    </row>
    <row r="6296" spans="1:1" x14ac:dyDescent="0.2">
      <c r="A6296" s="52"/>
    </row>
    <row r="6297" spans="1:1" x14ac:dyDescent="0.2">
      <c r="A6297" s="52"/>
    </row>
    <row r="6298" spans="1:1" x14ac:dyDescent="0.2">
      <c r="A6298" s="52"/>
    </row>
    <row r="6299" spans="1:1" x14ac:dyDescent="0.2">
      <c r="A6299" s="52"/>
    </row>
    <row r="6300" spans="1:1" x14ac:dyDescent="0.2">
      <c r="A6300" s="52"/>
    </row>
    <row r="6301" spans="1:1" x14ac:dyDescent="0.2">
      <c r="A6301" s="52"/>
    </row>
    <row r="6302" spans="1:1" x14ac:dyDescent="0.2">
      <c r="A6302" s="52"/>
    </row>
    <row r="6303" spans="1:1" x14ac:dyDescent="0.2">
      <c r="A6303" s="53"/>
    </row>
    <row r="6304" spans="1:1" x14ac:dyDescent="0.2">
      <c r="A6304" s="52"/>
    </row>
    <row r="6305" spans="1:1" x14ac:dyDescent="0.2">
      <c r="A6305" s="52"/>
    </row>
    <row r="6306" spans="1:1" x14ac:dyDescent="0.2">
      <c r="A6306" s="52"/>
    </row>
    <row r="6307" spans="1:1" x14ac:dyDescent="0.2">
      <c r="A6307" s="52"/>
    </row>
    <row r="6308" spans="1:1" x14ac:dyDescent="0.2">
      <c r="A6308" s="52"/>
    </row>
    <row r="6309" spans="1:1" x14ac:dyDescent="0.2">
      <c r="A6309" s="52"/>
    </row>
    <row r="6310" spans="1:1" x14ac:dyDescent="0.2">
      <c r="A6310" s="52"/>
    </row>
    <row r="6311" spans="1:1" x14ac:dyDescent="0.2">
      <c r="A6311" s="52"/>
    </row>
    <row r="6312" spans="1:1" x14ac:dyDescent="0.2">
      <c r="A6312" s="52"/>
    </row>
    <row r="6313" spans="1:1" x14ac:dyDescent="0.2">
      <c r="A6313" s="52"/>
    </row>
    <row r="6314" spans="1:1" x14ac:dyDescent="0.2">
      <c r="A6314" s="53"/>
    </row>
    <row r="6315" spans="1:1" x14ac:dyDescent="0.2">
      <c r="A6315" s="52"/>
    </row>
    <row r="6316" spans="1:1" x14ac:dyDescent="0.2">
      <c r="A6316" s="52"/>
    </row>
    <row r="6317" spans="1:1" x14ac:dyDescent="0.2">
      <c r="A6317" s="52"/>
    </row>
    <row r="6318" spans="1:1" x14ac:dyDescent="0.2">
      <c r="A6318" s="52"/>
    </row>
    <row r="6319" spans="1:1" x14ac:dyDescent="0.2">
      <c r="A6319" s="52"/>
    </row>
    <row r="6320" spans="1:1" x14ac:dyDescent="0.2">
      <c r="A6320" s="52"/>
    </row>
    <row r="6321" spans="1:1" x14ac:dyDescent="0.2">
      <c r="A6321" s="52"/>
    </row>
    <row r="6322" spans="1:1" x14ac:dyDescent="0.2">
      <c r="A6322" s="52"/>
    </row>
    <row r="6323" spans="1:1" x14ac:dyDescent="0.2">
      <c r="A6323" s="52"/>
    </row>
    <row r="6324" spans="1:1" x14ac:dyDescent="0.2">
      <c r="A6324" s="52"/>
    </row>
    <row r="6325" spans="1:1" x14ac:dyDescent="0.2">
      <c r="A6325" s="52"/>
    </row>
    <row r="6326" spans="1:1" x14ac:dyDescent="0.2">
      <c r="A6326" s="52"/>
    </row>
    <row r="6327" spans="1:1" x14ac:dyDescent="0.2">
      <c r="A6327" s="52"/>
    </row>
    <row r="6328" spans="1:1" x14ac:dyDescent="0.2">
      <c r="A6328" s="52"/>
    </row>
    <row r="6329" spans="1:1" x14ac:dyDescent="0.2">
      <c r="A6329" s="52"/>
    </row>
    <row r="6330" spans="1:1" x14ac:dyDescent="0.2">
      <c r="A6330" s="53"/>
    </row>
    <row r="6331" spans="1:1" x14ac:dyDescent="0.2">
      <c r="A6331" s="52"/>
    </row>
    <row r="6332" spans="1:1" x14ac:dyDescent="0.2">
      <c r="A6332" s="52"/>
    </row>
    <row r="6333" spans="1:1" x14ac:dyDescent="0.2">
      <c r="A6333" s="52"/>
    </row>
    <row r="6334" spans="1:1" x14ac:dyDescent="0.2">
      <c r="A6334" s="52"/>
    </row>
    <row r="6335" spans="1:1" x14ac:dyDescent="0.2">
      <c r="A6335" s="52"/>
    </row>
    <row r="6336" spans="1:1" x14ac:dyDescent="0.2">
      <c r="A6336" s="53"/>
    </row>
    <row r="6337" spans="1:1" x14ac:dyDescent="0.2">
      <c r="A6337" s="52"/>
    </row>
    <row r="6338" spans="1:1" x14ac:dyDescent="0.2">
      <c r="A6338" s="52"/>
    </row>
    <row r="6339" spans="1:1" x14ac:dyDescent="0.2">
      <c r="A6339" s="52"/>
    </row>
    <row r="6340" spans="1:1" x14ac:dyDescent="0.2">
      <c r="A6340" s="52"/>
    </row>
    <row r="6341" spans="1:1" x14ac:dyDescent="0.2">
      <c r="A6341" s="52"/>
    </row>
    <row r="6342" spans="1:1" x14ac:dyDescent="0.2">
      <c r="A6342" s="52"/>
    </row>
    <row r="6343" spans="1:1" x14ac:dyDescent="0.2">
      <c r="A6343" s="52"/>
    </row>
    <row r="6344" spans="1:1" x14ac:dyDescent="0.2">
      <c r="A6344" s="52"/>
    </row>
    <row r="6345" spans="1:1" x14ac:dyDescent="0.2">
      <c r="A6345" s="52"/>
    </row>
    <row r="6346" spans="1:1" x14ac:dyDescent="0.2">
      <c r="A6346" s="52"/>
    </row>
    <row r="6347" spans="1:1" x14ac:dyDescent="0.2">
      <c r="A6347" s="52"/>
    </row>
    <row r="6348" spans="1:1" x14ac:dyDescent="0.2">
      <c r="A6348" s="52"/>
    </row>
    <row r="6349" spans="1:1" x14ac:dyDescent="0.2">
      <c r="A6349" s="52"/>
    </row>
    <row r="6350" spans="1:1" x14ac:dyDescent="0.2">
      <c r="A6350" s="52"/>
    </row>
    <row r="6351" spans="1:1" x14ac:dyDescent="0.2">
      <c r="A6351" s="52"/>
    </row>
    <row r="6352" spans="1:1" x14ac:dyDescent="0.2">
      <c r="A6352" s="52"/>
    </row>
    <row r="6353" spans="1:1" x14ac:dyDescent="0.2">
      <c r="A6353" s="52"/>
    </row>
    <row r="6354" spans="1:1" x14ac:dyDescent="0.2">
      <c r="A6354" s="52"/>
    </row>
    <row r="6355" spans="1:1" x14ac:dyDescent="0.2">
      <c r="A6355" s="52"/>
    </row>
    <row r="6356" spans="1:1" x14ac:dyDescent="0.2">
      <c r="A6356" s="52"/>
    </row>
    <row r="6357" spans="1:1" x14ac:dyDescent="0.2">
      <c r="A6357" s="52"/>
    </row>
    <row r="6358" spans="1:1" x14ac:dyDescent="0.2">
      <c r="A6358" s="52"/>
    </row>
    <row r="6359" spans="1:1" x14ac:dyDescent="0.2">
      <c r="A6359" s="52"/>
    </row>
    <row r="6360" spans="1:1" x14ac:dyDescent="0.2">
      <c r="A6360" s="52"/>
    </row>
    <row r="6361" spans="1:1" x14ac:dyDescent="0.2">
      <c r="A6361" s="52"/>
    </row>
    <row r="6362" spans="1:1" x14ac:dyDescent="0.2">
      <c r="A6362" s="52"/>
    </row>
    <row r="6363" spans="1:1" x14ac:dyDescent="0.2">
      <c r="A6363" s="52"/>
    </row>
    <row r="6364" spans="1:1" x14ac:dyDescent="0.2">
      <c r="A6364" s="52"/>
    </row>
    <row r="6365" spans="1:1" x14ac:dyDescent="0.2">
      <c r="A6365" s="52"/>
    </row>
    <row r="6366" spans="1:1" x14ac:dyDescent="0.2">
      <c r="A6366" s="53"/>
    </row>
    <row r="6367" spans="1:1" x14ac:dyDescent="0.2">
      <c r="A6367" s="52"/>
    </row>
    <row r="6368" spans="1:1" x14ac:dyDescent="0.2">
      <c r="A6368" s="53"/>
    </row>
    <row r="6369" spans="1:1" x14ac:dyDescent="0.2">
      <c r="A6369" s="52"/>
    </row>
    <row r="6370" spans="1:1" x14ac:dyDescent="0.2">
      <c r="A6370" s="52"/>
    </row>
    <row r="6371" spans="1:1" x14ac:dyDescent="0.2">
      <c r="A6371" s="53"/>
    </row>
    <row r="6372" spans="1:1" x14ac:dyDescent="0.2">
      <c r="A6372" s="53"/>
    </row>
    <row r="6373" spans="1:1" x14ac:dyDescent="0.2">
      <c r="A6373" s="52"/>
    </row>
    <row r="6374" spans="1:1" x14ac:dyDescent="0.2">
      <c r="A6374" s="52"/>
    </row>
    <row r="6375" spans="1:1" x14ac:dyDescent="0.2">
      <c r="A6375" s="52"/>
    </row>
    <row r="6376" spans="1:1" x14ac:dyDescent="0.2">
      <c r="A6376" s="53"/>
    </row>
    <row r="6377" spans="1:1" x14ac:dyDescent="0.2">
      <c r="A6377" s="52"/>
    </row>
    <row r="6378" spans="1:1" x14ac:dyDescent="0.2">
      <c r="A6378" s="52"/>
    </row>
    <row r="6379" spans="1:1" x14ac:dyDescent="0.2">
      <c r="A6379" s="52"/>
    </row>
    <row r="6380" spans="1:1" x14ac:dyDescent="0.2">
      <c r="A6380" s="52"/>
    </row>
    <row r="6381" spans="1:1" x14ac:dyDescent="0.2">
      <c r="A6381" s="52"/>
    </row>
    <row r="6382" spans="1:1" x14ac:dyDescent="0.2">
      <c r="A6382" s="52"/>
    </row>
    <row r="6383" spans="1:1" x14ac:dyDescent="0.2">
      <c r="A6383" s="52"/>
    </row>
    <row r="6384" spans="1:1" x14ac:dyDescent="0.2">
      <c r="A6384" s="52"/>
    </row>
    <row r="6385" spans="1:1" x14ac:dyDescent="0.2">
      <c r="A6385" s="52"/>
    </row>
    <row r="6386" spans="1:1" x14ac:dyDescent="0.2">
      <c r="A6386" s="52"/>
    </row>
    <row r="6387" spans="1:1" x14ac:dyDescent="0.2">
      <c r="A6387" s="52"/>
    </row>
    <row r="6388" spans="1:1" x14ac:dyDescent="0.2">
      <c r="A6388" s="52"/>
    </row>
    <row r="6389" spans="1:1" x14ac:dyDescent="0.2">
      <c r="A6389" s="52"/>
    </row>
    <row r="6390" spans="1:1" x14ac:dyDescent="0.2">
      <c r="A6390" s="52"/>
    </row>
    <row r="6391" spans="1:1" x14ac:dyDescent="0.2">
      <c r="A6391" s="52"/>
    </row>
    <row r="6392" spans="1:1" x14ac:dyDescent="0.2">
      <c r="A6392" s="53"/>
    </row>
    <row r="6393" spans="1:1" x14ac:dyDescent="0.2">
      <c r="A6393" s="52"/>
    </row>
    <row r="6394" spans="1:1" x14ac:dyDescent="0.2">
      <c r="A6394" s="52"/>
    </row>
    <row r="6395" spans="1:1" x14ac:dyDescent="0.2">
      <c r="A6395" s="53"/>
    </row>
    <row r="6396" spans="1:1" x14ac:dyDescent="0.2">
      <c r="A6396" s="52"/>
    </row>
    <row r="6397" spans="1:1" x14ac:dyDescent="0.2">
      <c r="A6397" s="52"/>
    </row>
    <row r="6398" spans="1:1" x14ac:dyDescent="0.2">
      <c r="A6398" s="52"/>
    </row>
    <row r="6399" spans="1:1" x14ac:dyDescent="0.2">
      <c r="A6399" s="52"/>
    </row>
    <row r="6400" spans="1:1" x14ac:dyDescent="0.2">
      <c r="A6400" s="53"/>
    </row>
    <row r="6401" spans="1:1" x14ac:dyDescent="0.2">
      <c r="A6401" s="52"/>
    </row>
    <row r="6402" spans="1:1" x14ac:dyDescent="0.2">
      <c r="A6402" s="52"/>
    </row>
    <row r="6403" spans="1:1" x14ac:dyDescent="0.2">
      <c r="A6403" s="52"/>
    </row>
    <row r="6404" spans="1:1" x14ac:dyDescent="0.2">
      <c r="A6404" s="52"/>
    </row>
    <row r="6405" spans="1:1" x14ac:dyDescent="0.2">
      <c r="A6405" s="52"/>
    </row>
    <row r="6406" spans="1:1" x14ac:dyDescent="0.2">
      <c r="A6406" s="52"/>
    </row>
    <row r="6407" spans="1:1" x14ac:dyDescent="0.2">
      <c r="A6407" s="52"/>
    </row>
    <row r="6408" spans="1:1" x14ac:dyDescent="0.2">
      <c r="A6408" s="52"/>
    </row>
    <row r="6409" spans="1:1" x14ac:dyDescent="0.2">
      <c r="A6409" s="52"/>
    </row>
    <row r="6410" spans="1:1" x14ac:dyDescent="0.2">
      <c r="A6410" s="52"/>
    </row>
    <row r="6411" spans="1:1" x14ac:dyDescent="0.2">
      <c r="A6411" s="52"/>
    </row>
    <row r="6412" spans="1:1" x14ac:dyDescent="0.2">
      <c r="A6412" s="52"/>
    </row>
    <row r="6413" spans="1:1" x14ac:dyDescent="0.2">
      <c r="A6413" s="52"/>
    </row>
    <row r="6414" spans="1:1" x14ac:dyDescent="0.2">
      <c r="A6414" s="52"/>
    </row>
    <row r="6415" spans="1:1" x14ac:dyDescent="0.2">
      <c r="A6415" s="52"/>
    </row>
    <row r="6416" spans="1:1" x14ac:dyDescent="0.2">
      <c r="A6416" s="52"/>
    </row>
    <row r="6417" spans="1:1" x14ac:dyDescent="0.2">
      <c r="A6417" s="52"/>
    </row>
    <row r="6418" spans="1:1" x14ac:dyDescent="0.2">
      <c r="A6418" s="52"/>
    </row>
    <row r="6419" spans="1:1" x14ac:dyDescent="0.2">
      <c r="A6419" s="52"/>
    </row>
    <row r="6420" spans="1:1" x14ac:dyDescent="0.2">
      <c r="A6420" s="52"/>
    </row>
    <row r="6421" spans="1:1" x14ac:dyDescent="0.2">
      <c r="A6421" s="52"/>
    </row>
    <row r="6422" spans="1:1" x14ac:dyDescent="0.2">
      <c r="A6422" s="52"/>
    </row>
    <row r="6423" spans="1:1" x14ac:dyDescent="0.2">
      <c r="A6423" s="52"/>
    </row>
    <row r="6424" spans="1:1" x14ac:dyDescent="0.2">
      <c r="A6424" s="52"/>
    </row>
    <row r="6425" spans="1:1" x14ac:dyDescent="0.2">
      <c r="A6425" s="52"/>
    </row>
    <row r="6426" spans="1:1" x14ac:dyDescent="0.2">
      <c r="A6426" s="52"/>
    </row>
    <row r="6427" spans="1:1" x14ac:dyDescent="0.2">
      <c r="A6427" s="52"/>
    </row>
    <row r="6428" spans="1:1" x14ac:dyDescent="0.2">
      <c r="A6428" s="52"/>
    </row>
    <row r="6429" spans="1:1" x14ac:dyDescent="0.2">
      <c r="A6429" s="52"/>
    </row>
    <row r="6430" spans="1:1" x14ac:dyDescent="0.2">
      <c r="A6430" s="52"/>
    </row>
    <row r="6431" spans="1:1" x14ac:dyDescent="0.2">
      <c r="A6431" s="52"/>
    </row>
    <row r="6432" spans="1:1" x14ac:dyDescent="0.2">
      <c r="A6432" s="52"/>
    </row>
    <row r="6433" spans="1:1" x14ac:dyDescent="0.2">
      <c r="A6433" s="52"/>
    </row>
    <row r="6434" spans="1:1" x14ac:dyDescent="0.2">
      <c r="A6434" s="52"/>
    </row>
    <row r="6435" spans="1:1" x14ac:dyDescent="0.2">
      <c r="A6435" s="52"/>
    </row>
    <row r="6436" spans="1:1" x14ac:dyDescent="0.2">
      <c r="A6436" s="52"/>
    </row>
    <row r="6437" spans="1:1" x14ac:dyDescent="0.2">
      <c r="A6437" s="52"/>
    </row>
    <row r="6438" spans="1:1" x14ac:dyDescent="0.2">
      <c r="A6438" s="52"/>
    </row>
    <row r="6439" spans="1:1" x14ac:dyDescent="0.2">
      <c r="A6439" s="52"/>
    </row>
    <row r="6440" spans="1:1" x14ac:dyDescent="0.2">
      <c r="A6440" s="52"/>
    </row>
    <row r="6441" spans="1:1" x14ac:dyDescent="0.2">
      <c r="A6441" s="52"/>
    </row>
    <row r="6442" spans="1:1" x14ac:dyDescent="0.2">
      <c r="A6442" s="52"/>
    </row>
    <row r="6443" spans="1:1" x14ac:dyDescent="0.2">
      <c r="A6443" s="52"/>
    </row>
    <row r="6444" spans="1:1" x14ac:dyDescent="0.2">
      <c r="A6444" s="52"/>
    </row>
    <row r="6445" spans="1:1" x14ac:dyDescent="0.2">
      <c r="A6445" s="52"/>
    </row>
    <row r="6446" spans="1:1" x14ac:dyDescent="0.2">
      <c r="A6446" s="52"/>
    </row>
    <row r="6447" spans="1:1" x14ac:dyDescent="0.2">
      <c r="A6447" s="52"/>
    </row>
    <row r="6448" spans="1:1" x14ac:dyDescent="0.2">
      <c r="A6448" s="52"/>
    </row>
    <row r="6449" spans="1:1" x14ac:dyDescent="0.2">
      <c r="A6449" s="52"/>
    </row>
    <row r="6450" spans="1:1" x14ac:dyDescent="0.2">
      <c r="A6450" s="52"/>
    </row>
    <row r="6451" spans="1:1" x14ac:dyDescent="0.2">
      <c r="A6451" s="52"/>
    </row>
    <row r="6452" spans="1:1" x14ac:dyDescent="0.2">
      <c r="A6452" s="52"/>
    </row>
    <row r="6453" spans="1:1" x14ac:dyDescent="0.2">
      <c r="A6453" s="52"/>
    </row>
    <row r="6454" spans="1:1" x14ac:dyDescent="0.2">
      <c r="A6454" s="52"/>
    </row>
    <row r="6455" spans="1:1" x14ac:dyDescent="0.2">
      <c r="A6455" s="52"/>
    </row>
    <row r="6456" spans="1:1" x14ac:dyDescent="0.2">
      <c r="A6456" s="53"/>
    </row>
    <row r="6457" spans="1:1" x14ac:dyDescent="0.2">
      <c r="A6457" s="52"/>
    </row>
    <row r="6458" spans="1:1" x14ac:dyDescent="0.2">
      <c r="A6458" s="52"/>
    </row>
    <row r="6459" spans="1:1" x14ac:dyDescent="0.2">
      <c r="A6459" s="52"/>
    </row>
    <row r="6460" spans="1:1" x14ac:dyDescent="0.2">
      <c r="A6460" s="52"/>
    </row>
    <row r="6461" spans="1:1" x14ac:dyDescent="0.2">
      <c r="A6461" s="52"/>
    </row>
    <row r="6462" spans="1:1" x14ac:dyDescent="0.2">
      <c r="A6462" s="52"/>
    </row>
    <row r="6463" spans="1:1" x14ac:dyDescent="0.2">
      <c r="A6463" s="52"/>
    </row>
    <row r="6464" spans="1:1" x14ac:dyDescent="0.2">
      <c r="A6464" s="52"/>
    </row>
    <row r="6465" spans="1:1" x14ac:dyDescent="0.2">
      <c r="A6465" s="52"/>
    </row>
    <row r="6466" spans="1:1" x14ac:dyDescent="0.2">
      <c r="A6466" s="52"/>
    </row>
    <row r="6467" spans="1:1" x14ac:dyDescent="0.2">
      <c r="A6467" s="52"/>
    </row>
    <row r="6468" spans="1:1" x14ac:dyDescent="0.2">
      <c r="A6468" s="52"/>
    </row>
    <row r="6469" spans="1:1" x14ac:dyDescent="0.2">
      <c r="A6469" s="52"/>
    </row>
    <row r="6470" spans="1:1" x14ac:dyDescent="0.2">
      <c r="A6470" s="52"/>
    </row>
    <row r="6471" spans="1:1" x14ac:dyDescent="0.2">
      <c r="A6471" s="52"/>
    </row>
    <row r="6472" spans="1:1" x14ac:dyDescent="0.2">
      <c r="A6472" s="52"/>
    </row>
    <row r="6473" spans="1:1" x14ac:dyDescent="0.2">
      <c r="A6473" s="52"/>
    </row>
    <row r="6474" spans="1:1" x14ac:dyDescent="0.2">
      <c r="A6474" s="52"/>
    </row>
    <row r="6475" spans="1:1" x14ac:dyDescent="0.2">
      <c r="A6475" s="52"/>
    </row>
    <row r="6476" spans="1:1" x14ac:dyDescent="0.2">
      <c r="A6476" s="52"/>
    </row>
    <row r="6477" spans="1:1" x14ac:dyDescent="0.2">
      <c r="A6477" s="52"/>
    </row>
    <row r="6478" spans="1:1" x14ac:dyDescent="0.2">
      <c r="A6478" s="52"/>
    </row>
    <row r="6479" spans="1:1" x14ac:dyDescent="0.2">
      <c r="A6479" s="52"/>
    </row>
    <row r="6480" spans="1:1" x14ac:dyDescent="0.2">
      <c r="A6480" s="53"/>
    </row>
    <row r="6481" spans="1:1" x14ac:dyDescent="0.2">
      <c r="A6481" s="52"/>
    </row>
    <row r="6482" spans="1:1" x14ac:dyDescent="0.2">
      <c r="A6482" s="52"/>
    </row>
    <row r="6483" spans="1:1" x14ac:dyDescent="0.2">
      <c r="A6483" s="52"/>
    </row>
    <row r="6484" spans="1:1" x14ac:dyDescent="0.2">
      <c r="A6484" s="52"/>
    </row>
    <row r="6485" spans="1:1" x14ac:dyDescent="0.2">
      <c r="A6485" s="52"/>
    </row>
    <row r="6486" spans="1:1" x14ac:dyDescent="0.2">
      <c r="A6486" s="52"/>
    </row>
    <row r="6487" spans="1:1" x14ac:dyDescent="0.2">
      <c r="A6487" s="52"/>
    </row>
    <row r="6488" spans="1:1" x14ac:dyDescent="0.2">
      <c r="A6488" s="52"/>
    </row>
    <row r="6489" spans="1:1" x14ac:dyDescent="0.2">
      <c r="A6489" s="52"/>
    </row>
    <row r="6490" spans="1:1" x14ac:dyDescent="0.2">
      <c r="A6490" s="52"/>
    </row>
    <row r="6491" spans="1:1" x14ac:dyDescent="0.2">
      <c r="A6491" s="52"/>
    </row>
    <row r="6492" spans="1:1" x14ac:dyDescent="0.2">
      <c r="A6492" s="52"/>
    </row>
    <row r="6493" spans="1:1" x14ac:dyDescent="0.2">
      <c r="A6493" s="52"/>
    </row>
    <row r="6494" spans="1:1" x14ac:dyDescent="0.2">
      <c r="A6494" s="52"/>
    </row>
    <row r="6495" spans="1:1" x14ac:dyDescent="0.2">
      <c r="A6495" s="52"/>
    </row>
    <row r="6496" spans="1:1" x14ac:dyDescent="0.2">
      <c r="A6496" s="53"/>
    </row>
    <row r="6497" spans="1:1" x14ac:dyDescent="0.2">
      <c r="A6497" s="52"/>
    </row>
    <row r="6498" spans="1:1" x14ac:dyDescent="0.2">
      <c r="A6498" s="52"/>
    </row>
    <row r="6499" spans="1:1" x14ac:dyDescent="0.2">
      <c r="A6499" s="52"/>
    </row>
    <row r="6500" spans="1:1" x14ac:dyDescent="0.2">
      <c r="A6500" s="52"/>
    </row>
    <row r="6501" spans="1:1" x14ac:dyDescent="0.2">
      <c r="A6501" s="52"/>
    </row>
    <row r="6502" spans="1:1" x14ac:dyDescent="0.2">
      <c r="A6502" s="52"/>
    </row>
    <row r="6503" spans="1:1" x14ac:dyDescent="0.2">
      <c r="A6503" s="52"/>
    </row>
    <row r="6504" spans="1:1" x14ac:dyDescent="0.2">
      <c r="A6504" s="53"/>
    </row>
    <row r="6505" spans="1:1" x14ac:dyDescent="0.2">
      <c r="A6505" s="52"/>
    </row>
    <row r="6506" spans="1:1" x14ac:dyDescent="0.2">
      <c r="A6506" s="52"/>
    </row>
    <row r="6507" spans="1:1" x14ac:dyDescent="0.2">
      <c r="A6507" s="52"/>
    </row>
    <row r="6508" spans="1:1" x14ac:dyDescent="0.2">
      <c r="A6508" s="52"/>
    </row>
    <row r="6509" spans="1:1" x14ac:dyDescent="0.2">
      <c r="A6509" s="52"/>
    </row>
    <row r="6510" spans="1:1" x14ac:dyDescent="0.2">
      <c r="A6510" s="52"/>
    </row>
    <row r="6511" spans="1:1" x14ac:dyDescent="0.2">
      <c r="A6511" s="52"/>
    </row>
    <row r="6512" spans="1:1" x14ac:dyDescent="0.2">
      <c r="A6512" s="52"/>
    </row>
    <row r="6513" spans="1:1" x14ac:dyDescent="0.2">
      <c r="A6513" s="52"/>
    </row>
    <row r="6514" spans="1:1" x14ac:dyDescent="0.2">
      <c r="A6514" s="52"/>
    </row>
    <row r="6515" spans="1:1" x14ac:dyDescent="0.2">
      <c r="A6515" s="52"/>
    </row>
    <row r="6516" spans="1:1" x14ac:dyDescent="0.2">
      <c r="A6516" s="52"/>
    </row>
    <row r="6517" spans="1:1" x14ac:dyDescent="0.2">
      <c r="A6517" s="52"/>
    </row>
    <row r="6518" spans="1:1" x14ac:dyDescent="0.2">
      <c r="A6518" s="53"/>
    </row>
    <row r="6519" spans="1:1" x14ac:dyDescent="0.2">
      <c r="A6519" s="52"/>
    </row>
    <row r="6520" spans="1:1" x14ac:dyDescent="0.2">
      <c r="A6520" s="52"/>
    </row>
    <row r="6521" spans="1:1" x14ac:dyDescent="0.2">
      <c r="A6521" s="52"/>
    </row>
    <row r="6522" spans="1:1" x14ac:dyDescent="0.2">
      <c r="A6522" s="52"/>
    </row>
    <row r="6523" spans="1:1" x14ac:dyDescent="0.2">
      <c r="A6523" s="52"/>
    </row>
    <row r="6524" spans="1:1" x14ac:dyDescent="0.2">
      <c r="A6524" s="52"/>
    </row>
    <row r="6525" spans="1:1" x14ac:dyDescent="0.2">
      <c r="A6525" s="52"/>
    </row>
    <row r="6526" spans="1:1" x14ac:dyDescent="0.2">
      <c r="A6526" s="52"/>
    </row>
    <row r="6527" spans="1:1" x14ac:dyDescent="0.2">
      <c r="A6527" s="52"/>
    </row>
    <row r="6528" spans="1:1" x14ac:dyDescent="0.2">
      <c r="A6528" s="52"/>
    </row>
    <row r="6529" spans="1:1" x14ac:dyDescent="0.2">
      <c r="A6529" s="52"/>
    </row>
    <row r="6530" spans="1:1" x14ac:dyDescent="0.2">
      <c r="A6530" s="52"/>
    </row>
    <row r="6531" spans="1:1" x14ac:dyDescent="0.2">
      <c r="A6531" s="52"/>
    </row>
    <row r="6532" spans="1:1" x14ac:dyDescent="0.2">
      <c r="A6532" s="52"/>
    </row>
    <row r="6533" spans="1:1" x14ac:dyDescent="0.2">
      <c r="A6533" s="52"/>
    </row>
    <row r="6534" spans="1:1" x14ac:dyDescent="0.2">
      <c r="A6534" s="52"/>
    </row>
    <row r="6535" spans="1:1" x14ac:dyDescent="0.2">
      <c r="A6535" s="52"/>
    </row>
    <row r="6536" spans="1:1" x14ac:dyDescent="0.2">
      <c r="A6536" s="52"/>
    </row>
    <row r="6537" spans="1:1" x14ac:dyDescent="0.2">
      <c r="A6537" s="52"/>
    </row>
    <row r="6538" spans="1:1" x14ac:dyDescent="0.2">
      <c r="A6538" s="52"/>
    </row>
    <row r="6539" spans="1:1" x14ac:dyDescent="0.2">
      <c r="A6539" s="52"/>
    </row>
    <row r="6540" spans="1:1" x14ac:dyDescent="0.2">
      <c r="A6540" s="52"/>
    </row>
    <row r="6541" spans="1:1" x14ac:dyDescent="0.2">
      <c r="A6541" s="52"/>
    </row>
    <row r="6542" spans="1:1" x14ac:dyDescent="0.2">
      <c r="A6542" s="53"/>
    </row>
    <row r="6543" spans="1:1" x14ac:dyDescent="0.2">
      <c r="A6543" s="52"/>
    </row>
    <row r="6544" spans="1:1" x14ac:dyDescent="0.2">
      <c r="A6544" s="52"/>
    </row>
    <row r="6545" spans="1:1" x14ac:dyDescent="0.2">
      <c r="A6545" s="52"/>
    </row>
    <row r="6546" spans="1:1" x14ac:dyDescent="0.2">
      <c r="A6546" s="52"/>
    </row>
    <row r="6547" spans="1:1" x14ac:dyDescent="0.2">
      <c r="A6547" s="52"/>
    </row>
    <row r="6548" spans="1:1" x14ac:dyDescent="0.2">
      <c r="A6548" s="52"/>
    </row>
    <row r="6549" spans="1:1" x14ac:dyDescent="0.2">
      <c r="A6549" s="52"/>
    </row>
    <row r="6550" spans="1:1" x14ac:dyDescent="0.2">
      <c r="A6550" s="52"/>
    </row>
    <row r="6551" spans="1:1" x14ac:dyDescent="0.2">
      <c r="A6551" s="52"/>
    </row>
    <row r="6552" spans="1:1" x14ac:dyDescent="0.2">
      <c r="A6552" s="52"/>
    </row>
    <row r="6553" spans="1:1" x14ac:dyDescent="0.2">
      <c r="A6553" s="52"/>
    </row>
    <row r="6554" spans="1:1" x14ac:dyDescent="0.2">
      <c r="A6554" s="52"/>
    </row>
    <row r="6555" spans="1:1" x14ac:dyDescent="0.2">
      <c r="A6555" s="52"/>
    </row>
    <row r="6556" spans="1:1" x14ac:dyDescent="0.2">
      <c r="A6556" s="52"/>
    </row>
    <row r="6557" spans="1:1" x14ac:dyDescent="0.2">
      <c r="A6557" s="52"/>
    </row>
    <row r="6558" spans="1:1" x14ac:dyDescent="0.2">
      <c r="A6558" s="52"/>
    </row>
    <row r="6559" spans="1:1" x14ac:dyDescent="0.2">
      <c r="A6559" s="52"/>
    </row>
    <row r="6560" spans="1:1" x14ac:dyDescent="0.2">
      <c r="A6560" s="52"/>
    </row>
    <row r="6561" spans="1:1" x14ac:dyDescent="0.2">
      <c r="A6561" s="52"/>
    </row>
    <row r="6562" spans="1:1" x14ac:dyDescent="0.2">
      <c r="A6562" s="52"/>
    </row>
    <row r="6563" spans="1:1" x14ac:dyDescent="0.2">
      <c r="A6563" s="52"/>
    </row>
    <row r="6564" spans="1:1" x14ac:dyDescent="0.2">
      <c r="A6564" s="52"/>
    </row>
    <row r="6565" spans="1:1" x14ac:dyDescent="0.2">
      <c r="A6565" s="52"/>
    </row>
    <row r="6566" spans="1:1" x14ac:dyDescent="0.2">
      <c r="A6566" s="52"/>
    </row>
    <row r="6567" spans="1:1" x14ac:dyDescent="0.2">
      <c r="A6567" s="52"/>
    </row>
    <row r="6568" spans="1:1" x14ac:dyDescent="0.2">
      <c r="A6568" s="52"/>
    </row>
    <row r="6569" spans="1:1" x14ac:dyDescent="0.2">
      <c r="A6569" s="52"/>
    </row>
    <row r="6570" spans="1:1" x14ac:dyDescent="0.2">
      <c r="A6570" s="52"/>
    </row>
    <row r="6571" spans="1:1" x14ac:dyDescent="0.2">
      <c r="A6571" s="52"/>
    </row>
    <row r="6572" spans="1:1" x14ac:dyDescent="0.2">
      <c r="A6572" s="52"/>
    </row>
    <row r="6573" spans="1:1" x14ac:dyDescent="0.2">
      <c r="A6573" s="52"/>
    </row>
    <row r="6574" spans="1:1" x14ac:dyDescent="0.2">
      <c r="A6574" s="52"/>
    </row>
    <row r="6575" spans="1:1" x14ac:dyDescent="0.2">
      <c r="A6575" s="52"/>
    </row>
    <row r="6576" spans="1:1" x14ac:dyDescent="0.2">
      <c r="A6576" s="52"/>
    </row>
    <row r="6577" spans="1:1" x14ac:dyDescent="0.2">
      <c r="A6577" s="52"/>
    </row>
    <row r="6578" spans="1:1" x14ac:dyDescent="0.2">
      <c r="A6578" s="52"/>
    </row>
    <row r="6579" spans="1:1" x14ac:dyDescent="0.2">
      <c r="A6579" s="52"/>
    </row>
    <row r="6580" spans="1:1" x14ac:dyDescent="0.2">
      <c r="A6580" s="52"/>
    </row>
    <row r="6581" spans="1:1" x14ac:dyDescent="0.2">
      <c r="A6581" s="52"/>
    </row>
    <row r="6582" spans="1:1" x14ac:dyDescent="0.2">
      <c r="A6582" s="52"/>
    </row>
    <row r="6583" spans="1:1" x14ac:dyDescent="0.2">
      <c r="A6583" s="52"/>
    </row>
    <row r="6584" spans="1:1" x14ac:dyDescent="0.2">
      <c r="A6584" s="52"/>
    </row>
    <row r="6585" spans="1:1" x14ac:dyDescent="0.2">
      <c r="A6585" s="52"/>
    </row>
    <row r="6586" spans="1:1" x14ac:dyDescent="0.2">
      <c r="A6586" s="53"/>
    </row>
    <row r="6587" spans="1:1" x14ac:dyDescent="0.2">
      <c r="A6587" s="52"/>
    </row>
    <row r="6588" spans="1:1" x14ac:dyDescent="0.2">
      <c r="A6588" s="52"/>
    </row>
    <row r="6589" spans="1:1" x14ac:dyDescent="0.2">
      <c r="A6589" s="52"/>
    </row>
    <row r="6590" spans="1:1" x14ac:dyDescent="0.2">
      <c r="A6590" s="52"/>
    </row>
    <row r="6591" spans="1:1" x14ac:dyDescent="0.2">
      <c r="A6591" s="52"/>
    </row>
    <row r="6592" spans="1:1" x14ac:dyDescent="0.2">
      <c r="A6592" s="52"/>
    </row>
    <row r="6593" spans="1:1" x14ac:dyDescent="0.2">
      <c r="A6593" s="52"/>
    </row>
    <row r="6594" spans="1:1" x14ac:dyDescent="0.2">
      <c r="A6594" s="52"/>
    </row>
    <row r="6595" spans="1:1" x14ac:dyDescent="0.2">
      <c r="A6595" s="52"/>
    </row>
    <row r="6596" spans="1:1" x14ac:dyDescent="0.2">
      <c r="A6596" s="52"/>
    </row>
    <row r="6597" spans="1:1" x14ac:dyDescent="0.2">
      <c r="A6597" s="52"/>
    </row>
    <row r="6598" spans="1:1" x14ac:dyDescent="0.2">
      <c r="A6598" s="52"/>
    </row>
    <row r="6599" spans="1:1" x14ac:dyDescent="0.2">
      <c r="A6599" s="52"/>
    </row>
    <row r="6600" spans="1:1" x14ac:dyDescent="0.2">
      <c r="A6600" s="52"/>
    </row>
    <row r="6601" spans="1:1" x14ac:dyDescent="0.2">
      <c r="A6601" s="52"/>
    </row>
    <row r="6602" spans="1:1" x14ac:dyDescent="0.2">
      <c r="A6602" s="53"/>
    </row>
    <row r="6603" spans="1:1" x14ac:dyDescent="0.2">
      <c r="A6603" s="52"/>
    </row>
    <row r="6604" spans="1:1" x14ac:dyDescent="0.2">
      <c r="A6604" s="52"/>
    </row>
    <row r="6605" spans="1:1" x14ac:dyDescent="0.2">
      <c r="A6605" s="52"/>
    </row>
    <row r="6606" spans="1:1" x14ac:dyDescent="0.2">
      <c r="A6606" s="52"/>
    </row>
    <row r="6607" spans="1:1" x14ac:dyDescent="0.2">
      <c r="A6607" s="52"/>
    </row>
    <row r="6608" spans="1:1" x14ac:dyDescent="0.2">
      <c r="A6608" s="52"/>
    </row>
    <row r="6609" spans="1:1" x14ac:dyDescent="0.2">
      <c r="A6609" s="52"/>
    </row>
    <row r="6610" spans="1:1" x14ac:dyDescent="0.2">
      <c r="A6610" s="52"/>
    </row>
    <row r="6611" spans="1:1" x14ac:dyDescent="0.2">
      <c r="A6611" s="52"/>
    </row>
    <row r="6612" spans="1:1" x14ac:dyDescent="0.2">
      <c r="A6612" s="53"/>
    </row>
    <row r="6613" spans="1:1" x14ac:dyDescent="0.2">
      <c r="A6613" s="52"/>
    </row>
    <row r="6614" spans="1:1" x14ac:dyDescent="0.2">
      <c r="A6614" s="52"/>
    </row>
    <row r="6615" spans="1:1" x14ac:dyDescent="0.2">
      <c r="A6615" s="52"/>
    </row>
    <row r="6616" spans="1:1" x14ac:dyDescent="0.2">
      <c r="A6616" s="52"/>
    </row>
    <row r="6617" spans="1:1" x14ac:dyDescent="0.2">
      <c r="A6617" s="52"/>
    </row>
    <row r="6618" spans="1:1" x14ac:dyDescent="0.2">
      <c r="A6618" s="52"/>
    </row>
    <row r="6619" spans="1:1" x14ac:dyDescent="0.2">
      <c r="A6619" s="52"/>
    </row>
    <row r="6620" spans="1:1" x14ac:dyDescent="0.2">
      <c r="A6620" s="52"/>
    </row>
    <row r="6621" spans="1:1" x14ac:dyDescent="0.2">
      <c r="A6621" s="52"/>
    </row>
    <row r="6622" spans="1:1" x14ac:dyDescent="0.2">
      <c r="A6622" s="52"/>
    </row>
    <row r="6623" spans="1:1" x14ac:dyDescent="0.2">
      <c r="A6623" s="52"/>
    </row>
    <row r="6624" spans="1:1" x14ac:dyDescent="0.2">
      <c r="A6624" s="52"/>
    </row>
    <row r="6625" spans="1:1" x14ac:dyDescent="0.2">
      <c r="A6625" s="53"/>
    </row>
    <row r="6626" spans="1:1" x14ac:dyDescent="0.2">
      <c r="A6626" s="52"/>
    </row>
    <row r="6627" spans="1:1" x14ac:dyDescent="0.2">
      <c r="A6627" s="52"/>
    </row>
    <row r="6628" spans="1:1" x14ac:dyDescent="0.2">
      <c r="A6628" s="52"/>
    </row>
    <row r="6629" spans="1:1" x14ac:dyDescent="0.2">
      <c r="A6629" s="52"/>
    </row>
    <row r="6630" spans="1:1" x14ac:dyDescent="0.2">
      <c r="A6630" s="53"/>
    </row>
    <row r="6631" spans="1:1" x14ac:dyDescent="0.2">
      <c r="A6631" s="53"/>
    </row>
    <row r="6632" spans="1:1" x14ac:dyDescent="0.2">
      <c r="A6632" s="52"/>
    </row>
    <row r="6633" spans="1:1" x14ac:dyDescent="0.2">
      <c r="A6633" s="52"/>
    </row>
    <row r="6634" spans="1:1" x14ac:dyDescent="0.2">
      <c r="A6634" s="52"/>
    </row>
    <row r="6635" spans="1:1" x14ac:dyDescent="0.2">
      <c r="A6635" s="52"/>
    </row>
    <row r="6636" spans="1:1" x14ac:dyDescent="0.2">
      <c r="A6636" s="52"/>
    </row>
    <row r="6637" spans="1:1" x14ac:dyDescent="0.2">
      <c r="A6637" s="52"/>
    </row>
    <row r="6638" spans="1:1" x14ac:dyDescent="0.2">
      <c r="A6638" s="52"/>
    </row>
    <row r="6639" spans="1:1" x14ac:dyDescent="0.2">
      <c r="A6639" s="52"/>
    </row>
    <row r="6640" spans="1:1" x14ac:dyDescent="0.2">
      <c r="A6640" s="52"/>
    </row>
    <row r="6641" spans="1:1" x14ac:dyDescent="0.2">
      <c r="A6641" s="52"/>
    </row>
    <row r="6642" spans="1:1" x14ac:dyDescent="0.2">
      <c r="A6642" s="52"/>
    </row>
    <row r="6643" spans="1:1" x14ac:dyDescent="0.2">
      <c r="A6643" s="52"/>
    </row>
    <row r="6644" spans="1:1" x14ac:dyDescent="0.2">
      <c r="A6644" s="52"/>
    </row>
    <row r="6645" spans="1:1" x14ac:dyDescent="0.2">
      <c r="A6645" s="53"/>
    </row>
    <row r="6646" spans="1:1" x14ac:dyDescent="0.2">
      <c r="A6646" s="53"/>
    </row>
    <row r="6647" spans="1:1" x14ac:dyDescent="0.2">
      <c r="A6647" s="52"/>
    </row>
    <row r="6648" spans="1:1" x14ac:dyDescent="0.2">
      <c r="A6648" s="52"/>
    </row>
    <row r="6649" spans="1:1" x14ac:dyDescent="0.2">
      <c r="A6649" s="52"/>
    </row>
    <row r="6650" spans="1:1" x14ac:dyDescent="0.2">
      <c r="A6650" s="52"/>
    </row>
    <row r="6651" spans="1:1" x14ac:dyDescent="0.2">
      <c r="A6651" s="53"/>
    </row>
    <row r="6652" spans="1:1" x14ac:dyDescent="0.2">
      <c r="A6652" s="52"/>
    </row>
    <row r="6653" spans="1:1" x14ac:dyDescent="0.2">
      <c r="A6653" s="52"/>
    </row>
    <row r="6654" spans="1:1" x14ac:dyDescent="0.2">
      <c r="A6654" s="52"/>
    </row>
    <row r="6655" spans="1:1" x14ac:dyDescent="0.2">
      <c r="A6655" s="52"/>
    </row>
    <row r="6656" spans="1:1" x14ac:dyDescent="0.2">
      <c r="A6656" s="52"/>
    </row>
    <row r="6657" spans="1:1" x14ac:dyDescent="0.2">
      <c r="A6657" s="52"/>
    </row>
    <row r="6658" spans="1:1" x14ac:dyDescent="0.2">
      <c r="A6658" s="52"/>
    </row>
    <row r="6659" spans="1:1" x14ac:dyDescent="0.2">
      <c r="A6659" s="52"/>
    </row>
    <row r="6660" spans="1:1" x14ac:dyDescent="0.2">
      <c r="A6660" s="52"/>
    </row>
    <row r="6661" spans="1:1" x14ac:dyDescent="0.2">
      <c r="A6661" s="52"/>
    </row>
    <row r="6662" spans="1:1" x14ac:dyDescent="0.2">
      <c r="A6662" s="52"/>
    </row>
    <row r="6663" spans="1:1" x14ac:dyDescent="0.2">
      <c r="A6663" s="52"/>
    </row>
    <row r="6664" spans="1:1" x14ac:dyDescent="0.2">
      <c r="A6664" s="52"/>
    </row>
    <row r="6665" spans="1:1" x14ac:dyDescent="0.2">
      <c r="A6665" s="52"/>
    </row>
    <row r="6666" spans="1:1" x14ac:dyDescent="0.2">
      <c r="A6666" s="53"/>
    </row>
    <row r="6667" spans="1:1" x14ac:dyDescent="0.2">
      <c r="A6667" s="52"/>
    </row>
    <row r="6668" spans="1:1" x14ac:dyDescent="0.2">
      <c r="A6668" s="53"/>
    </row>
    <row r="6669" spans="1:1" x14ac:dyDescent="0.2">
      <c r="A6669" s="52"/>
    </row>
    <row r="6670" spans="1:1" x14ac:dyDescent="0.2">
      <c r="A6670" s="52"/>
    </row>
    <row r="6671" spans="1:1" x14ac:dyDescent="0.2">
      <c r="A6671" s="52"/>
    </row>
    <row r="6672" spans="1:1" x14ac:dyDescent="0.2">
      <c r="A6672" s="52"/>
    </row>
    <row r="6673" spans="1:1" x14ac:dyDescent="0.2">
      <c r="A6673" s="52"/>
    </row>
    <row r="6674" spans="1:1" x14ac:dyDescent="0.2">
      <c r="A6674" s="52"/>
    </row>
    <row r="6675" spans="1:1" x14ac:dyDescent="0.2">
      <c r="A6675" s="52"/>
    </row>
    <row r="6676" spans="1:1" x14ac:dyDescent="0.2">
      <c r="A6676" s="52"/>
    </row>
    <row r="6677" spans="1:1" x14ac:dyDescent="0.2">
      <c r="A6677" s="52"/>
    </row>
    <row r="6678" spans="1:1" x14ac:dyDescent="0.2">
      <c r="A6678" s="52"/>
    </row>
    <row r="6679" spans="1:1" x14ac:dyDescent="0.2">
      <c r="A6679" s="52"/>
    </row>
    <row r="6680" spans="1:1" x14ac:dyDescent="0.2">
      <c r="A6680" s="52"/>
    </row>
    <row r="6681" spans="1:1" x14ac:dyDescent="0.2">
      <c r="A6681" s="53"/>
    </row>
    <row r="6682" spans="1:1" x14ac:dyDescent="0.2">
      <c r="A6682" s="52"/>
    </row>
    <row r="6683" spans="1:1" x14ac:dyDescent="0.2">
      <c r="A6683" s="52"/>
    </row>
    <row r="6684" spans="1:1" x14ac:dyDescent="0.2">
      <c r="A6684" s="52"/>
    </row>
    <row r="6685" spans="1:1" x14ac:dyDescent="0.2">
      <c r="A6685" s="53"/>
    </row>
    <row r="6686" spans="1:1" x14ac:dyDescent="0.2">
      <c r="A6686" s="52"/>
    </row>
    <row r="6687" spans="1:1" x14ac:dyDescent="0.2">
      <c r="A6687" s="52"/>
    </row>
    <row r="6688" spans="1:1" x14ac:dyDescent="0.2">
      <c r="A6688" s="52"/>
    </row>
    <row r="6689" spans="1:1" x14ac:dyDescent="0.2">
      <c r="A6689" s="53"/>
    </row>
    <row r="6690" spans="1:1" x14ac:dyDescent="0.2">
      <c r="A6690" s="52"/>
    </row>
    <row r="6691" spans="1:1" x14ac:dyDescent="0.2">
      <c r="A6691" s="52"/>
    </row>
    <row r="6692" spans="1:1" x14ac:dyDescent="0.2">
      <c r="A6692" s="52"/>
    </row>
    <row r="6693" spans="1:1" x14ac:dyDescent="0.2">
      <c r="A6693" s="52"/>
    </row>
    <row r="6694" spans="1:1" x14ac:dyDescent="0.2">
      <c r="A6694" s="52"/>
    </row>
    <row r="6695" spans="1:1" x14ac:dyDescent="0.2">
      <c r="A6695" s="52"/>
    </row>
    <row r="6696" spans="1:1" x14ac:dyDescent="0.2">
      <c r="A6696" s="52"/>
    </row>
    <row r="6697" spans="1:1" x14ac:dyDescent="0.2">
      <c r="A6697" s="52"/>
    </row>
    <row r="6698" spans="1:1" x14ac:dyDescent="0.2">
      <c r="A6698" s="52"/>
    </row>
    <row r="6699" spans="1:1" x14ac:dyDescent="0.2">
      <c r="A6699" s="52"/>
    </row>
    <row r="6700" spans="1:1" x14ac:dyDescent="0.2">
      <c r="A6700" s="52"/>
    </row>
    <row r="6701" spans="1:1" x14ac:dyDescent="0.2">
      <c r="A6701" s="52"/>
    </row>
    <row r="6702" spans="1:1" x14ac:dyDescent="0.2">
      <c r="A6702" s="52"/>
    </row>
    <row r="6703" spans="1:1" x14ac:dyDescent="0.2">
      <c r="A6703" s="52"/>
    </row>
    <row r="6704" spans="1:1" x14ac:dyDescent="0.2">
      <c r="A6704" s="52"/>
    </row>
    <row r="6705" spans="1:1" x14ac:dyDescent="0.2">
      <c r="A6705" s="52"/>
    </row>
    <row r="6706" spans="1:1" x14ac:dyDescent="0.2">
      <c r="A6706" s="52"/>
    </row>
    <row r="6707" spans="1:1" x14ac:dyDescent="0.2">
      <c r="A6707" s="52"/>
    </row>
    <row r="6708" spans="1:1" x14ac:dyDescent="0.2">
      <c r="A6708" s="52"/>
    </row>
    <row r="6709" spans="1:1" x14ac:dyDescent="0.2">
      <c r="A6709" s="52"/>
    </row>
    <row r="6710" spans="1:1" x14ac:dyDescent="0.2">
      <c r="A6710" s="52"/>
    </row>
    <row r="6711" spans="1:1" x14ac:dyDescent="0.2">
      <c r="A6711" s="52"/>
    </row>
    <row r="6712" spans="1:1" x14ac:dyDescent="0.2">
      <c r="A6712" s="52"/>
    </row>
    <row r="6713" spans="1:1" x14ac:dyDescent="0.2">
      <c r="A6713" s="52"/>
    </row>
    <row r="6714" spans="1:1" x14ac:dyDescent="0.2">
      <c r="A6714" s="52"/>
    </row>
    <row r="6715" spans="1:1" x14ac:dyDescent="0.2">
      <c r="A6715" s="52"/>
    </row>
    <row r="6716" spans="1:1" x14ac:dyDescent="0.2">
      <c r="A6716" s="52"/>
    </row>
    <row r="6717" spans="1:1" x14ac:dyDescent="0.2">
      <c r="A6717" s="52"/>
    </row>
    <row r="6718" spans="1:1" x14ac:dyDescent="0.2">
      <c r="A6718" s="52"/>
    </row>
    <row r="6719" spans="1:1" x14ac:dyDescent="0.2">
      <c r="A6719" s="52"/>
    </row>
    <row r="6720" spans="1:1" x14ac:dyDescent="0.2">
      <c r="A6720" s="52"/>
    </row>
    <row r="6721" spans="1:1" x14ac:dyDescent="0.2">
      <c r="A6721" s="52"/>
    </row>
    <row r="6722" spans="1:1" x14ac:dyDescent="0.2">
      <c r="A6722" s="53"/>
    </row>
    <row r="6723" spans="1:1" x14ac:dyDescent="0.2">
      <c r="A6723" s="52"/>
    </row>
    <row r="6724" spans="1:1" x14ac:dyDescent="0.2">
      <c r="A6724" s="52"/>
    </row>
    <row r="6725" spans="1:1" x14ac:dyDescent="0.2">
      <c r="A6725" s="52"/>
    </row>
    <row r="6726" spans="1:1" x14ac:dyDescent="0.2">
      <c r="A6726" s="52"/>
    </row>
    <row r="6727" spans="1:1" x14ac:dyDescent="0.2">
      <c r="A6727" s="52"/>
    </row>
    <row r="6728" spans="1:1" x14ac:dyDescent="0.2">
      <c r="A6728" s="52"/>
    </row>
    <row r="6729" spans="1:1" x14ac:dyDescent="0.2">
      <c r="A6729" s="52"/>
    </row>
    <row r="6730" spans="1:1" x14ac:dyDescent="0.2">
      <c r="A6730" s="53"/>
    </row>
    <row r="6731" spans="1:1" x14ac:dyDescent="0.2">
      <c r="A6731" s="52"/>
    </row>
    <row r="6732" spans="1:1" x14ac:dyDescent="0.2">
      <c r="A6732" s="52"/>
    </row>
    <row r="6733" spans="1:1" x14ac:dyDescent="0.2">
      <c r="A6733" s="52"/>
    </row>
    <row r="6734" spans="1:1" x14ac:dyDescent="0.2">
      <c r="A6734" s="53"/>
    </row>
    <row r="6735" spans="1:1" x14ac:dyDescent="0.2">
      <c r="A6735" s="53"/>
    </row>
    <row r="6736" spans="1:1" x14ac:dyDescent="0.2">
      <c r="A6736" s="52"/>
    </row>
    <row r="6737" spans="1:1" x14ac:dyDescent="0.2">
      <c r="A6737" s="53"/>
    </row>
    <row r="6738" spans="1:1" x14ac:dyDescent="0.2">
      <c r="A6738" s="52"/>
    </row>
    <row r="6739" spans="1:1" x14ac:dyDescent="0.2">
      <c r="A6739" s="52"/>
    </row>
    <row r="6740" spans="1:1" x14ac:dyDescent="0.2">
      <c r="A6740" s="52"/>
    </row>
    <row r="6741" spans="1:1" x14ac:dyDescent="0.2">
      <c r="A6741" s="52"/>
    </row>
    <row r="6742" spans="1:1" x14ac:dyDescent="0.2">
      <c r="A6742" s="52"/>
    </row>
    <row r="6743" spans="1:1" x14ac:dyDescent="0.2">
      <c r="A6743" s="52"/>
    </row>
    <row r="6744" spans="1:1" x14ac:dyDescent="0.2">
      <c r="A6744" s="52"/>
    </row>
    <row r="6745" spans="1:1" x14ac:dyDescent="0.2">
      <c r="A6745" s="52"/>
    </row>
    <row r="6746" spans="1:1" x14ac:dyDescent="0.2">
      <c r="A6746" s="52"/>
    </row>
    <row r="6747" spans="1:1" x14ac:dyDescent="0.2">
      <c r="A6747" s="52"/>
    </row>
    <row r="6748" spans="1:1" x14ac:dyDescent="0.2">
      <c r="A6748" s="52"/>
    </row>
    <row r="6749" spans="1:1" x14ac:dyDescent="0.2">
      <c r="A6749" s="52"/>
    </row>
    <row r="6750" spans="1:1" x14ac:dyDescent="0.2">
      <c r="A6750" s="52"/>
    </row>
    <row r="6751" spans="1:1" x14ac:dyDescent="0.2">
      <c r="A6751" s="52"/>
    </row>
    <row r="6752" spans="1:1" x14ac:dyDescent="0.2">
      <c r="A6752" s="52"/>
    </row>
    <row r="6753" spans="1:1" x14ac:dyDescent="0.2">
      <c r="A6753" s="52"/>
    </row>
    <row r="6754" spans="1:1" x14ac:dyDescent="0.2">
      <c r="A6754" s="52"/>
    </row>
    <row r="6755" spans="1:1" x14ac:dyDescent="0.2">
      <c r="A6755" s="52"/>
    </row>
    <row r="6756" spans="1:1" x14ac:dyDescent="0.2">
      <c r="A6756" s="52"/>
    </row>
    <row r="6757" spans="1:1" x14ac:dyDescent="0.2">
      <c r="A6757" s="52"/>
    </row>
    <row r="6758" spans="1:1" x14ac:dyDescent="0.2">
      <c r="A6758" s="52"/>
    </row>
    <row r="6759" spans="1:1" x14ac:dyDescent="0.2">
      <c r="A6759" s="52"/>
    </row>
    <row r="6760" spans="1:1" x14ac:dyDescent="0.2">
      <c r="A6760" s="52"/>
    </row>
    <row r="6761" spans="1:1" x14ac:dyDescent="0.2">
      <c r="A6761" s="52"/>
    </row>
    <row r="6762" spans="1:1" x14ac:dyDescent="0.2">
      <c r="A6762" s="52"/>
    </row>
    <row r="6763" spans="1:1" x14ac:dyDescent="0.2">
      <c r="A6763" s="52"/>
    </row>
    <row r="6764" spans="1:1" x14ac:dyDescent="0.2">
      <c r="A6764" s="52"/>
    </row>
    <row r="6765" spans="1:1" x14ac:dyDescent="0.2">
      <c r="A6765" s="52"/>
    </row>
    <row r="6766" spans="1:1" x14ac:dyDescent="0.2">
      <c r="A6766" s="52"/>
    </row>
    <row r="6767" spans="1:1" x14ac:dyDescent="0.2">
      <c r="A6767" s="52"/>
    </row>
    <row r="6768" spans="1:1" x14ac:dyDescent="0.2">
      <c r="A6768" s="52"/>
    </row>
    <row r="6769" spans="1:1" x14ac:dyDescent="0.2">
      <c r="A6769" s="52"/>
    </row>
    <row r="6770" spans="1:1" x14ac:dyDescent="0.2">
      <c r="A6770" s="52"/>
    </row>
    <row r="6771" spans="1:1" x14ac:dyDescent="0.2">
      <c r="A6771" s="52"/>
    </row>
    <row r="6772" spans="1:1" x14ac:dyDescent="0.2">
      <c r="A6772" s="52"/>
    </row>
    <row r="6773" spans="1:1" x14ac:dyDescent="0.2">
      <c r="A6773" s="52"/>
    </row>
    <row r="6774" spans="1:1" x14ac:dyDescent="0.2">
      <c r="A6774" s="52"/>
    </row>
    <row r="6775" spans="1:1" x14ac:dyDescent="0.2">
      <c r="A6775" s="52"/>
    </row>
    <row r="6776" spans="1:1" x14ac:dyDescent="0.2">
      <c r="A6776" s="52"/>
    </row>
    <row r="6777" spans="1:1" x14ac:dyDescent="0.2">
      <c r="A6777" s="52"/>
    </row>
    <row r="6778" spans="1:1" x14ac:dyDescent="0.2">
      <c r="A6778" s="52"/>
    </row>
    <row r="6779" spans="1:1" x14ac:dyDescent="0.2">
      <c r="A6779" s="52"/>
    </row>
    <row r="6780" spans="1:1" x14ac:dyDescent="0.2">
      <c r="A6780" s="52"/>
    </row>
    <row r="6781" spans="1:1" x14ac:dyDescent="0.2">
      <c r="A6781" s="52"/>
    </row>
    <row r="6782" spans="1:1" x14ac:dyDescent="0.2">
      <c r="A6782" s="52"/>
    </row>
    <row r="6783" spans="1:1" x14ac:dyDescent="0.2">
      <c r="A6783" s="52"/>
    </row>
    <row r="6784" spans="1:1" x14ac:dyDescent="0.2">
      <c r="A6784" s="52"/>
    </row>
    <row r="6785" spans="1:1" x14ac:dyDescent="0.2">
      <c r="A6785" s="52"/>
    </row>
    <row r="6786" spans="1:1" x14ac:dyDescent="0.2">
      <c r="A6786" s="52"/>
    </row>
    <row r="6787" spans="1:1" x14ac:dyDescent="0.2">
      <c r="A6787" s="52"/>
    </row>
    <row r="6788" spans="1:1" x14ac:dyDescent="0.2">
      <c r="A6788" s="52"/>
    </row>
    <row r="6789" spans="1:1" x14ac:dyDescent="0.2">
      <c r="A6789" s="52"/>
    </row>
    <row r="6790" spans="1:1" x14ac:dyDescent="0.2">
      <c r="A6790" s="53"/>
    </row>
    <row r="6791" spans="1:1" x14ac:dyDescent="0.2">
      <c r="A6791" s="52"/>
    </row>
    <row r="6792" spans="1:1" x14ac:dyDescent="0.2">
      <c r="A6792" s="52"/>
    </row>
    <row r="6793" spans="1:1" x14ac:dyDescent="0.2">
      <c r="A6793" s="52"/>
    </row>
    <row r="6794" spans="1:1" x14ac:dyDescent="0.2">
      <c r="A6794" s="53"/>
    </row>
    <row r="6795" spans="1:1" x14ac:dyDescent="0.2">
      <c r="A6795" s="52"/>
    </row>
    <row r="6796" spans="1:1" x14ac:dyDescent="0.2">
      <c r="A6796" s="53"/>
    </row>
    <row r="6797" spans="1:1" x14ac:dyDescent="0.2">
      <c r="A6797" s="53"/>
    </row>
    <row r="6798" spans="1:1" x14ac:dyDescent="0.2">
      <c r="A6798" s="52"/>
    </row>
    <row r="6799" spans="1:1" x14ac:dyDescent="0.2">
      <c r="A6799" s="52"/>
    </row>
    <row r="6800" spans="1:1" x14ac:dyDescent="0.2">
      <c r="A6800" s="52"/>
    </row>
    <row r="6801" spans="1:1" x14ac:dyDescent="0.2">
      <c r="A6801" s="52"/>
    </row>
    <row r="6802" spans="1:1" x14ac:dyDescent="0.2">
      <c r="A6802" s="52"/>
    </row>
    <row r="6803" spans="1:1" x14ac:dyDescent="0.2">
      <c r="A6803" s="52"/>
    </row>
    <row r="6804" spans="1:1" x14ac:dyDescent="0.2">
      <c r="A6804" s="52"/>
    </row>
    <row r="6805" spans="1:1" x14ac:dyDescent="0.2">
      <c r="A6805" s="52"/>
    </row>
    <row r="6806" spans="1:1" x14ac:dyDescent="0.2">
      <c r="A6806" s="52"/>
    </row>
    <row r="6807" spans="1:1" x14ac:dyDescent="0.2">
      <c r="A6807" s="52"/>
    </row>
    <row r="6808" spans="1:1" x14ac:dyDescent="0.2">
      <c r="A6808" s="52"/>
    </row>
    <row r="6809" spans="1:1" x14ac:dyDescent="0.2">
      <c r="A6809" s="52"/>
    </row>
    <row r="6810" spans="1:1" x14ac:dyDescent="0.2">
      <c r="A6810" s="52"/>
    </row>
    <row r="6811" spans="1:1" x14ac:dyDescent="0.2">
      <c r="A6811" s="52"/>
    </row>
    <row r="6812" spans="1:1" x14ac:dyDescent="0.2">
      <c r="A6812" s="52"/>
    </row>
    <row r="6813" spans="1:1" x14ac:dyDescent="0.2">
      <c r="A6813" s="52"/>
    </row>
    <row r="6814" spans="1:1" x14ac:dyDescent="0.2">
      <c r="A6814" s="52"/>
    </row>
    <row r="6815" spans="1:1" x14ac:dyDescent="0.2">
      <c r="A6815" s="52"/>
    </row>
    <row r="6816" spans="1:1" x14ac:dyDescent="0.2">
      <c r="A6816" s="52"/>
    </row>
    <row r="6817" spans="1:1" x14ac:dyDescent="0.2">
      <c r="A6817" s="52"/>
    </row>
    <row r="6818" spans="1:1" x14ac:dyDescent="0.2">
      <c r="A6818" s="52"/>
    </row>
    <row r="6819" spans="1:1" x14ac:dyDescent="0.2">
      <c r="A6819" s="52"/>
    </row>
    <row r="6820" spans="1:1" x14ac:dyDescent="0.2">
      <c r="A6820" s="52"/>
    </row>
    <row r="6821" spans="1:1" x14ac:dyDescent="0.2">
      <c r="A6821" s="52"/>
    </row>
    <row r="6822" spans="1:1" x14ac:dyDescent="0.2">
      <c r="A6822" s="52"/>
    </row>
    <row r="6823" spans="1:1" x14ac:dyDescent="0.2">
      <c r="A6823" s="52"/>
    </row>
    <row r="6824" spans="1:1" x14ac:dyDescent="0.2">
      <c r="A6824" s="52"/>
    </row>
    <row r="6825" spans="1:1" x14ac:dyDescent="0.2">
      <c r="A6825" s="52"/>
    </row>
    <row r="6826" spans="1:1" x14ac:dyDescent="0.2">
      <c r="A6826" s="52"/>
    </row>
    <row r="6827" spans="1:1" x14ac:dyDescent="0.2">
      <c r="A6827" s="52"/>
    </row>
    <row r="6828" spans="1:1" x14ac:dyDescent="0.2">
      <c r="A6828" s="52"/>
    </row>
    <row r="6829" spans="1:1" x14ac:dyDescent="0.2">
      <c r="A6829" s="52"/>
    </row>
    <row r="6830" spans="1:1" x14ac:dyDescent="0.2">
      <c r="A6830" s="52"/>
    </row>
    <row r="6831" spans="1:1" x14ac:dyDescent="0.2">
      <c r="A6831" s="52"/>
    </row>
    <row r="6832" spans="1:1" x14ac:dyDescent="0.2">
      <c r="A6832" s="52"/>
    </row>
    <row r="6833" spans="1:1" x14ac:dyDescent="0.2">
      <c r="A6833" s="52"/>
    </row>
    <row r="6834" spans="1:1" x14ac:dyDescent="0.2">
      <c r="A6834" s="52"/>
    </row>
    <row r="6835" spans="1:1" x14ac:dyDescent="0.2">
      <c r="A6835" s="52"/>
    </row>
    <row r="6836" spans="1:1" x14ac:dyDescent="0.2">
      <c r="A6836" s="52"/>
    </row>
    <row r="6837" spans="1:1" x14ac:dyDescent="0.2">
      <c r="A6837" s="52"/>
    </row>
    <row r="6838" spans="1:1" x14ac:dyDescent="0.2">
      <c r="A6838" s="53"/>
    </row>
    <row r="6839" spans="1:1" x14ac:dyDescent="0.2">
      <c r="A6839" s="52"/>
    </row>
    <row r="6840" spans="1:1" x14ac:dyDescent="0.2">
      <c r="A6840" s="53"/>
    </row>
    <row r="6841" spans="1:1" x14ac:dyDescent="0.2">
      <c r="A6841" s="53"/>
    </row>
    <row r="6842" spans="1:1" x14ac:dyDescent="0.2">
      <c r="A6842" s="52"/>
    </row>
    <row r="6843" spans="1:1" x14ac:dyDescent="0.2">
      <c r="A6843" s="52"/>
    </row>
    <row r="6844" spans="1:1" x14ac:dyDescent="0.2">
      <c r="A6844" s="52"/>
    </row>
    <row r="6845" spans="1:1" x14ac:dyDescent="0.2">
      <c r="A6845" s="52"/>
    </row>
    <row r="6846" spans="1:1" x14ac:dyDescent="0.2">
      <c r="A6846" s="52"/>
    </row>
    <row r="6847" spans="1:1" x14ac:dyDescent="0.2">
      <c r="A6847" s="53"/>
    </row>
    <row r="6848" spans="1:1" x14ac:dyDescent="0.2">
      <c r="A6848" s="52"/>
    </row>
    <row r="6849" spans="1:1" x14ac:dyDescent="0.2">
      <c r="A6849" s="52"/>
    </row>
    <row r="6850" spans="1:1" x14ac:dyDescent="0.2">
      <c r="A6850" s="52"/>
    </row>
    <row r="6851" spans="1:1" x14ac:dyDescent="0.2">
      <c r="A6851" s="52"/>
    </row>
    <row r="6852" spans="1:1" x14ac:dyDescent="0.2">
      <c r="A6852" s="52"/>
    </row>
    <row r="6853" spans="1:1" x14ac:dyDescent="0.2">
      <c r="A6853" s="52"/>
    </row>
    <row r="6854" spans="1:1" x14ac:dyDescent="0.2">
      <c r="A6854" s="52"/>
    </row>
    <row r="6855" spans="1:1" x14ac:dyDescent="0.2">
      <c r="A6855" s="52"/>
    </row>
    <row r="6856" spans="1:1" x14ac:dyDescent="0.2">
      <c r="A6856" s="52"/>
    </row>
    <row r="6857" spans="1:1" x14ac:dyDescent="0.2">
      <c r="A6857" s="52"/>
    </row>
    <row r="6858" spans="1:1" x14ac:dyDescent="0.2">
      <c r="A6858" s="53"/>
    </row>
    <row r="6859" spans="1:1" x14ac:dyDescent="0.2">
      <c r="A6859" s="53"/>
    </row>
    <row r="6860" spans="1:1" x14ac:dyDescent="0.2">
      <c r="A6860" s="52"/>
    </row>
    <row r="6861" spans="1:1" x14ac:dyDescent="0.2">
      <c r="A6861" s="52"/>
    </row>
    <row r="6862" spans="1:1" x14ac:dyDescent="0.2">
      <c r="A6862" s="52"/>
    </row>
    <row r="6863" spans="1:1" x14ac:dyDescent="0.2">
      <c r="A6863" s="52"/>
    </row>
    <row r="6864" spans="1:1" x14ac:dyDescent="0.2">
      <c r="A6864" s="53"/>
    </row>
    <row r="6865" spans="1:1" x14ac:dyDescent="0.2">
      <c r="A6865" s="52"/>
    </row>
    <row r="6866" spans="1:1" x14ac:dyDescent="0.2">
      <c r="A6866" s="52"/>
    </row>
    <row r="6867" spans="1:1" x14ac:dyDescent="0.2">
      <c r="A6867" s="52"/>
    </row>
    <row r="6868" spans="1:1" x14ac:dyDescent="0.2">
      <c r="A6868" s="52"/>
    </row>
    <row r="6869" spans="1:1" x14ac:dyDescent="0.2">
      <c r="A6869" s="53"/>
    </row>
    <row r="6870" spans="1:1" x14ac:dyDescent="0.2">
      <c r="A6870" s="52"/>
    </row>
    <row r="6871" spans="1:1" x14ac:dyDescent="0.2">
      <c r="A6871" s="52"/>
    </row>
    <row r="6872" spans="1:1" x14ac:dyDescent="0.2">
      <c r="A6872" s="52"/>
    </row>
    <row r="6873" spans="1:1" x14ac:dyDescent="0.2">
      <c r="A6873" s="52"/>
    </row>
    <row r="6874" spans="1:1" x14ac:dyDescent="0.2">
      <c r="A6874" s="52"/>
    </row>
    <row r="6875" spans="1:1" x14ac:dyDescent="0.2">
      <c r="A6875" s="52"/>
    </row>
    <row r="6876" spans="1:1" x14ac:dyDescent="0.2">
      <c r="A6876" s="53"/>
    </row>
    <row r="6877" spans="1:1" x14ac:dyDescent="0.2">
      <c r="A6877" s="52"/>
    </row>
    <row r="6878" spans="1:1" x14ac:dyDescent="0.2">
      <c r="A6878" s="52"/>
    </row>
    <row r="6879" spans="1:1" x14ac:dyDescent="0.2">
      <c r="A6879" s="52"/>
    </row>
    <row r="6880" spans="1:1" x14ac:dyDescent="0.2">
      <c r="A6880" s="52"/>
    </row>
    <row r="6881" spans="1:1" x14ac:dyDescent="0.2">
      <c r="A6881" s="52"/>
    </row>
    <row r="6882" spans="1:1" x14ac:dyDescent="0.2">
      <c r="A6882" s="52"/>
    </row>
    <row r="6883" spans="1:1" x14ac:dyDescent="0.2">
      <c r="A6883" s="52"/>
    </row>
    <row r="6884" spans="1:1" x14ac:dyDescent="0.2">
      <c r="A6884" s="52"/>
    </row>
    <row r="6885" spans="1:1" x14ac:dyDescent="0.2">
      <c r="A6885" s="52"/>
    </row>
    <row r="6886" spans="1:1" x14ac:dyDescent="0.2">
      <c r="A6886" s="52"/>
    </row>
    <row r="6887" spans="1:1" x14ac:dyDescent="0.2">
      <c r="A6887" s="52"/>
    </row>
    <row r="6888" spans="1:1" x14ac:dyDescent="0.2">
      <c r="A6888" s="52"/>
    </row>
    <row r="6889" spans="1:1" x14ac:dyDescent="0.2">
      <c r="A6889" s="52"/>
    </row>
    <row r="6890" spans="1:1" x14ac:dyDescent="0.2">
      <c r="A6890" s="52"/>
    </row>
    <row r="6891" spans="1:1" x14ac:dyDescent="0.2">
      <c r="A6891" s="52"/>
    </row>
    <row r="6892" spans="1:1" x14ac:dyDescent="0.2">
      <c r="A6892" s="52"/>
    </row>
    <row r="6893" spans="1:1" x14ac:dyDescent="0.2">
      <c r="A6893" s="52"/>
    </row>
    <row r="6894" spans="1:1" x14ac:dyDescent="0.2">
      <c r="A6894" s="52"/>
    </row>
    <row r="6895" spans="1:1" x14ac:dyDescent="0.2">
      <c r="A6895" s="52"/>
    </row>
    <row r="6896" spans="1:1" x14ac:dyDescent="0.2">
      <c r="A6896" s="52"/>
    </row>
    <row r="6897" spans="1:1" x14ac:dyDescent="0.2">
      <c r="A6897" s="52"/>
    </row>
    <row r="6898" spans="1:1" x14ac:dyDescent="0.2">
      <c r="A6898" s="52"/>
    </row>
    <row r="6899" spans="1:1" x14ac:dyDescent="0.2">
      <c r="A6899" s="52"/>
    </row>
    <row r="6900" spans="1:1" x14ac:dyDescent="0.2">
      <c r="A6900" s="52"/>
    </row>
    <row r="6901" spans="1:1" x14ac:dyDescent="0.2">
      <c r="A6901" s="52"/>
    </row>
    <row r="6902" spans="1:1" x14ac:dyDescent="0.2">
      <c r="A6902" s="52"/>
    </row>
    <row r="6903" spans="1:1" x14ac:dyDescent="0.2">
      <c r="A6903" s="52"/>
    </row>
    <row r="6904" spans="1:1" x14ac:dyDescent="0.2">
      <c r="A6904" s="52"/>
    </row>
    <row r="6905" spans="1:1" x14ac:dyDescent="0.2">
      <c r="A6905" s="52"/>
    </row>
    <row r="6906" spans="1:1" x14ac:dyDescent="0.2">
      <c r="A6906" s="52"/>
    </row>
    <row r="6907" spans="1:1" x14ac:dyDescent="0.2">
      <c r="A6907" s="53"/>
    </row>
    <row r="6908" spans="1:1" x14ac:dyDescent="0.2">
      <c r="A6908" s="52"/>
    </row>
    <row r="6909" spans="1:1" x14ac:dyDescent="0.2">
      <c r="A6909" s="52"/>
    </row>
    <row r="6910" spans="1:1" x14ac:dyDescent="0.2">
      <c r="A6910" s="52"/>
    </row>
    <row r="6911" spans="1:1" x14ac:dyDescent="0.2">
      <c r="A6911" s="52"/>
    </row>
    <row r="6912" spans="1:1" x14ac:dyDescent="0.2">
      <c r="A6912" s="52"/>
    </row>
    <row r="6913" spans="1:1" x14ac:dyDescent="0.2">
      <c r="A6913" s="52"/>
    </row>
    <row r="6914" spans="1:1" x14ac:dyDescent="0.2">
      <c r="A6914" s="52"/>
    </row>
    <row r="6915" spans="1:1" x14ac:dyDescent="0.2">
      <c r="A6915" s="52"/>
    </row>
    <row r="6916" spans="1:1" x14ac:dyDescent="0.2">
      <c r="A6916" s="52"/>
    </row>
    <row r="6917" spans="1:1" x14ac:dyDescent="0.2">
      <c r="A6917" s="52"/>
    </row>
    <row r="6918" spans="1:1" x14ac:dyDescent="0.2">
      <c r="A6918" s="52"/>
    </row>
    <row r="6919" spans="1:1" x14ac:dyDescent="0.2">
      <c r="A6919" s="52"/>
    </row>
    <row r="6920" spans="1:1" x14ac:dyDescent="0.2">
      <c r="A6920" s="52"/>
    </row>
    <row r="6921" spans="1:1" x14ac:dyDescent="0.2">
      <c r="A6921" s="53"/>
    </row>
    <row r="6922" spans="1:1" x14ac:dyDescent="0.2">
      <c r="A6922" s="52"/>
    </row>
    <row r="6923" spans="1:1" x14ac:dyDescent="0.2">
      <c r="A6923" s="52"/>
    </row>
    <row r="6924" spans="1:1" x14ac:dyDescent="0.2">
      <c r="A6924" s="52"/>
    </row>
    <row r="6925" spans="1:1" x14ac:dyDescent="0.2">
      <c r="A6925" s="52"/>
    </row>
    <row r="6926" spans="1:1" x14ac:dyDescent="0.2">
      <c r="A6926" s="52"/>
    </row>
    <row r="6927" spans="1:1" x14ac:dyDescent="0.2">
      <c r="A6927" s="52"/>
    </row>
    <row r="6928" spans="1:1" x14ac:dyDescent="0.2">
      <c r="A6928" s="52"/>
    </row>
    <row r="6929" spans="1:1" x14ac:dyDescent="0.2">
      <c r="A6929" s="52"/>
    </row>
    <row r="6930" spans="1:1" x14ac:dyDescent="0.2">
      <c r="A6930" s="52"/>
    </row>
    <row r="6931" spans="1:1" x14ac:dyDescent="0.2">
      <c r="A6931" s="52"/>
    </row>
    <row r="6932" spans="1:1" x14ac:dyDescent="0.2">
      <c r="A6932" s="52"/>
    </row>
    <row r="6933" spans="1:1" x14ac:dyDescent="0.2">
      <c r="A6933" s="52"/>
    </row>
    <row r="6934" spans="1:1" x14ac:dyDescent="0.2">
      <c r="A6934" s="52"/>
    </row>
    <row r="6935" spans="1:1" x14ac:dyDescent="0.2">
      <c r="A6935" s="52"/>
    </row>
    <row r="6936" spans="1:1" x14ac:dyDescent="0.2">
      <c r="A6936" s="52"/>
    </row>
    <row r="6937" spans="1:1" x14ac:dyDescent="0.2">
      <c r="A6937" s="52"/>
    </row>
    <row r="6938" spans="1:1" x14ac:dyDescent="0.2">
      <c r="A6938" s="52"/>
    </row>
    <row r="6939" spans="1:1" x14ac:dyDescent="0.2">
      <c r="A6939" s="52"/>
    </row>
    <row r="6940" spans="1:1" x14ac:dyDescent="0.2">
      <c r="A6940" s="52"/>
    </row>
    <row r="6941" spans="1:1" x14ac:dyDescent="0.2">
      <c r="A6941" s="52"/>
    </row>
    <row r="6942" spans="1:1" x14ac:dyDescent="0.2">
      <c r="A6942" s="52"/>
    </row>
    <row r="6943" spans="1:1" x14ac:dyDescent="0.2">
      <c r="A6943" s="53"/>
    </row>
    <row r="6944" spans="1:1" x14ac:dyDescent="0.2">
      <c r="A6944" s="52"/>
    </row>
    <row r="6945" spans="1:1" x14ac:dyDescent="0.2">
      <c r="A6945" s="52"/>
    </row>
    <row r="6946" spans="1:1" x14ac:dyDescent="0.2">
      <c r="A6946" s="52"/>
    </row>
    <row r="6947" spans="1:1" x14ac:dyDescent="0.2">
      <c r="A6947" s="52"/>
    </row>
    <row r="6948" spans="1:1" x14ac:dyDescent="0.2">
      <c r="A6948" s="52"/>
    </row>
    <row r="6949" spans="1:1" x14ac:dyDescent="0.2">
      <c r="A6949" s="52"/>
    </row>
    <row r="6950" spans="1:1" x14ac:dyDescent="0.2">
      <c r="A6950" s="52"/>
    </row>
    <row r="6951" spans="1:1" x14ac:dyDescent="0.2">
      <c r="A6951" s="52"/>
    </row>
    <row r="6952" spans="1:1" x14ac:dyDescent="0.2">
      <c r="A6952" s="52"/>
    </row>
    <row r="6953" spans="1:1" x14ac:dyDescent="0.2">
      <c r="A6953" s="52"/>
    </row>
    <row r="6954" spans="1:1" x14ac:dyDescent="0.2">
      <c r="A6954" s="52"/>
    </row>
    <row r="6955" spans="1:1" x14ac:dyDescent="0.2">
      <c r="A6955" s="52"/>
    </row>
    <row r="6956" spans="1:1" x14ac:dyDescent="0.2">
      <c r="A6956" s="52"/>
    </row>
    <row r="6957" spans="1:1" x14ac:dyDescent="0.2">
      <c r="A6957" s="52"/>
    </row>
    <row r="6958" spans="1:1" x14ac:dyDescent="0.2">
      <c r="A6958" s="52"/>
    </row>
    <row r="6959" spans="1:1" x14ac:dyDescent="0.2">
      <c r="A6959" s="52"/>
    </row>
    <row r="6960" spans="1:1" x14ac:dyDescent="0.2">
      <c r="A6960" s="52"/>
    </row>
    <row r="6961" spans="1:1" x14ac:dyDescent="0.2">
      <c r="A6961" s="52"/>
    </row>
    <row r="6962" spans="1:1" x14ac:dyDescent="0.2">
      <c r="A6962" s="52"/>
    </row>
    <row r="6963" spans="1:1" x14ac:dyDescent="0.2">
      <c r="A6963" s="52"/>
    </row>
    <row r="6964" spans="1:1" x14ac:dyDescent="0.2">
      <c r="A6964" s="52"/>
    </row>
    <row r="6965" spans="1:1" x14ac:dyDescent="0.2">
      <c r="A6965" s="53"/>
    </row>
    <row r="6966" spans="1:1" x14ac:dyDescent="0.2">
      <c r="A6966" s="52"/>
    </row>
    <row r="6967" spans="1:1" x14ac:dyDescent="0.2">
      <c r="A6967" s="52"/>
    </row>
    <row r="6968" spans="1:1" x14ac:dyDescent="0.2">
      <c r="A6968" s="52"/>
    </row>
    <row r="6969" spans="1:1" x14ac:dyDescent="0.2">
      <c r="A6969" s="52"/>
    </row>
    <row r="6970" spans="1:1" x14ac:dyDescent="0.2">
      <c r="A6970" s="52"/>
    </row>
    <row r="6971" spans="1:1" x14ac:dyDescent="0.2">
      <c r="A6971" s="52"/>
    </row>
    <row r="6972" spans="1:1" x14ac:dyDescent="0.2">
      <c r="A6972" s="53"/>
    </row>
    <row r="6973" spans="1:1" x14ac:dyDescent="0.2">
      <c r="A6973" s="52"/>
    </row>
    <row r="6974" spans="1:1" x14ac:dyDescent="0.2">
      <c r="A6974" s="52"/>
    </row>
    <row r="6975" spans="1:1" x14ac:dyDescent="0.2">
      <c r="A6975" s="52"/>
    </row>
    <row r="6976" spans="1:1" x14ac:dyDescent="0.2">
      <c r="A6976" s="52"/>
    </row>
    <row r="6977" spans="1:1" x14ac:dyDescent="0.2">
      <c r="A6977" s="53"/>
    </row>
    <row r="6978" spans="1:1" x14ac:dyDescent="0.2">
      <c r="A6978" s="52"/>
    </row>
    <row r="6979" spans="1:1" x14ac:dyDescent="0.2">
      <c r="A6979" s="52"/>
    </row>
    <row r="6980" spans="1:1" x14ac:dyDescent="0.2">
      <c r="A6980" s="52"/>
    </row>
    <row r="6981" spans="1:1" x14ac:dyDescent="0.2">
      <c r="A6981" s="52"/>
    </row>
    <row r="6982" spans="1:1" x14ac:dyDescent="0.2">
      <c r="A6982" s="52"/>
    </row>
    <row r="6983" spans="1:1" x14ac:dyDescent="0.2">
      <c r="A6983" s="52"/>
    </row>
    <row r="6984" spans="1:1" x14ac:dyDescent="0.2">
      <c r="A6984" s="52"/>
    </row>
    <row r="6985" spans="1:1" x14ac:dyDescent="0.2">
      <c r="A6985" s="52"/>
    </row>
    <row r="6986" spans="1:1" x14ac:dyDescent="0.2">
      <c r="A6986" s="52"/>
    </row>
    <row r="6987" spans="1:1" x14ac:dyDescent="0.2">
      <c r="A6987" s="52"/>
    </row>
    <row r="6988" spans="1:1" x14ac:dyDescent="0.2">
      <c r="A6988" s="52"/>
    </row>
    <row r="6989" spans="1:1" x14ac:dyDescent="0.2">
      <c r="A6989" s="52"/>
    </row>
    <row r="6990" spans="1:1" x14ac:dyDescent="0.2">
      <c r="A6990" s="52"/>
    </row>
    <row r="6991" spans="1:1" x14ac:dyDescent="0.2">
      <c r="A6991" s="52"/>
    </row>
    <row r="6992" spans="1:1" x14ac:dyDescent="0.2">
      <c r="A6992" s="52"/>
    </row>
    <row r="6993" spans="1:1" x14ac:dyDescent="0.2">
      <c r="A6993" s="52"/>
    </row>
    <row r="6994" spans="1:1" x14ac:dyDescent="0.2">
      <c r="A6994" s="52"/>
    </row>
    <row r="6995" spans="1:1" x14ac:dyDescent="0.2">
      <c r="A6995" s="52"/>
    </row>
    <row r="6996" spans="1:1" x14ac:dyDescent="0.2">
      <c r="A6996" s="52"/>
    </row>
    <row r="6997" spans="1:1" x14ac:dyDescent="0.2">
      <c r="A6997" s="52"/>
    </row>
    <row r="6998" spans="1:1" x14ac:dyDescent="0.2">
      <c r="A6998" s="52"/>
    </row>
    <row r="6999" spans="1:1" x14ac:dyDescent="0.2">
      <c r="A6999" s="52"/>
    </row>
    <row r="7000" spans="1:1" x14ac:dyDescent="0.2">
      <c r="A7000" s="52"/>
    </row>
    <row r="7001" spans="1:1" x14ac:dyDescent="0.2">
      <c r="A7001" s="52"/>
    </row>
    <row r="7002" spans="1:1" x14ac:dyDescent="0.2">
      <c r="A7002" s="52"/>
    </row>
    <row r="7003" spans="1:1" x14ac:dyDescent="0.2">
      <c r="A7003" s="52"/>
    </row>
    <row r="7004" spans="1:1" x14ac:dyDescent="0.2">
      <c r="A7004" s="52"/>
    </row>
    <row r="7005" spans="1:1" x14ac:dyDescent="0.2">
      <c r="A7005" s="52"/>
    </row>
    <row r="7006" spans="1:1" x14ac:dyDescent="0.2">
      <c r="A7006" s="52"/>
    </row>
    <row r="7007" spans="1:1" x14ac:dyDescent="0.2">
      <c r="A7007" s="52"/>
    </row>
    <row r="7008" spans="1:1" x14ac:dyDescent="0.2">
      <c r="A7008" s="52"/>
    </row>
    <row r="7009" spans="1:1" x14ac:dyDescent="0.2">
      <c r="A7009" s="52"/>
    </row>
    <row r="7010" spans="1:1" x14ac:dyDescent="0.2">
      <c r="A7010" s="52"/>
    </row>
    <row r="7011" spans="1:1" x14ac:dyDescent="0.2">
      <c r="A7011" s="52"/>
    </row>
    <row r="7012" spans="1:1" x14ac:dyDescent="0.2">
      <c r="A7012" s="52"/>
    </row>
    <row r="7013" spans="1:1" x14ac:dyDescent="0.2">
      <c r="A7013" s="52"/>
    </row>
    <row r="7014" spans="1:1" x14ac:dyDescent="0.2">
      <c r="A7014" s="52"/>
    </row>
    <row r="7015" spans="1:1" x14ac:dyDescent="0.2">
      <c r="A7015" s="52"/>
    </row>
    <row r="7016" spans="1:1" x14ac:dyDescent="0.2">
      <c r="A7016" s="52"/>
    </row>
    <row r="7017" spans="1:1" x14ac:dyDescent="0.2">
      <c r="A7017" s="53"/>
    </row>
    <row r="7018" spans="1:1" x14ac:dyDescent="0.2">
      <c r="A7018" s="53"/>
    </row>
    <row r="7019" spans="1:1" x14ac:dyDescent="0.2">
      <c r="A7019" s="52"/>
    </row>
    <row r="7020" spans="1:1" x14ac:dyDescent="0.2">
      <c r="A7020" s="52"/>
    </row>
    <row r="7021" spans="1:1" x14ac:dyDescent="0.2">
      <c r="A7021" s="52"/>
    </row>
    <row r="7022" spans="1:1" x14ac:dyDescent="0.2">
      <c r="A7022" s="52"/>
    </row>
    <row r="7023" spans="1:1" x14ac:dyDescent="0.2">
      <c r="A7023" s="52"/>
    </row>
    <row r="7024" spans="1:1" x14ac:dyDescent="0.2">
      <c r="A7024" s="52"/>
    </row>
    <row r="7025" spans="1:1" x14ac:dyDescent="0.2">
      <c r="A7025" s="52"/>
    </row>
    <row r="7026" spans="1:1" x14ac:dyDescent="0.2">
      <c r="A7026" s="52"/>
    </row>
    <row r="7027" spans="1:1" x14ac:dyDescent="0.2">
      <c r="A7027" s="52"/>
    </row>
    <row r="7028" spans="1:1" x14ac:dyDescent="0.2">
      <c r="A7028" s="52"/>
    </row>
    <row r="7029" spans="1:1" x14ac:dyDescent="0.2">
      <c r="A7029" s="52"/>
    </row>
    <row r="7030" spans="1:1" x14ac:dyDescent="0.2">
      <c r="A7030" s="53"/>
    </row>
    <row r="7031" spans="1:1" x14ac:dyDescent="0.2">
      <c r="A7031" s="53"/>
    </row>
    <row r="7032" spans="1:1" x14ac:dyDescent="0.2">
      <c r="A7032" s="52"/>
    </row>
    <row r="7033" spans="1:1" x14ac:dyDescent="0.2">
      <c r="A7033" s="52"/>
    </row>
    <row r="7034" spans="1:1" x14ac:dyDescent="0.2">
      <c r="A7034" s="52"/>
    </row>
    <row r="7035" spans="1:1" x14ac:dyDescent="0.2">
      <c r="A7035" s="52"/>
    </row>
    <row r="7036" spans="1:1" x14ac:dyDescent="0.2">
      <c r="A7036" s="52"/>
    </row>
    <row r="7037" spans="1:1" x14ac:dyDescent="0.2">
      <c r="A7037" s="52"/>
    </row>
    <row r="7038" spans="1:1" x14ac:dyDescent="0.2">
      <c r="A7038" s="52"/>
    </row>
    <row r="7039" spans="1:1" x14ac:dyDescent="0.2">
      <c r="A7039" s="52"/>
    </row>
    <row r="7040" spans="1:1" x14ac:dyDescent="0.2">
      <c r="A7040" s="52"/>
    </row>
    <row r="7041" spans="1:1" x14ac:dyDescent="0.2">
      <c r="A7041" s="52"/>
    </row>
    <row r="7042" spans="1:1" x14ac:dyDescent="0.2">
      <c r="A7042" s="52"/>
    </row>
    <row r="7043" spans="1:1" x14ac:dyDescent="0.2">
      <c r="A7043" s="52"/>
    </row>
    <row r="7044" spans="1:1" x14ac:dyDescent="0.2">
      <c r="A7044" s="52"/>
    </row>
    <row r="7045" spans="1:1" x14ac:dyDescent="0.2">
      <c r="A7045" s="52"/>
    </row>
    <row r="7046" spans="1:1" x14ac:dyDescent="0.2">
      <c r="A7046" s="52"/>
    </row>
    <row r="7047" spans="1:1" x14ac:dyDescent="0.2">
      <c r="A7047" s="52"/>
    </row>
    <row r="7048" spans="1:1" x14ac:dyDescent="0.2">
      <c r="A7048" s="52"/>
    </row>
    <row r="7049" spans="1:1" x14ac:dyDescent="0.2">
      <c r="A7049" s="52"/>
    </row>
    <row r="7050" spans="1:1" x14ac:dyDescent="0.2">
      <c r="A7050" s="52"/>
    </row>
    <row r="7051" spans="1:1" x14ac:dyDescent="0.2">
      <c r="A7051" s="52"/>
    </row>
    <row r="7052" spans="1:1" x14ac:dyDescent="0.2">
      <c r="A7052" s="52"/>
    </row>
    <row r="7053" spans="1:1" x14ac:dyDescent="0.2">
      <c r="A7053" s="52"/>
    </row>
    <row r="7054" spans="1:1" x14ac:dyDescent="0.2">
      <c r="A7054" s="52"/>
    </row>
    <row r="7055" spans="1:1" x14ac:dyDescent="0.2">
      <c r="A7055" s="52"/>
    </row>
    <row r="7056" spans="1:1" x14ac:dyDescent="0.2">
      <c r="A7056" s="52"/>
    </row>
    <row r="7057" spans="1:1" x14ac:dyDescent="0.2">
      <c r="A7057" s="52"/>
    </row>
    <row r="7058" spans="1:1" x14ac:dyDescent="0.2">
      <c r="A7058" s="52"/>
    </row>
    <row r="7059" spans="1:1" x14ac:dyDescent="0.2">
      <c r="A7059" s="53"/>
    </row>
    <row r="7060" spans="1:1" x14ac:dyDescent="0.2">
      <c r="A7060" s="52"/>
    </row>
    <row r="7061" spans="1:1" x14ac:dyDescent="0.2">
      <c r="A7061" s="52"/>
    </row>
    <row r="7062" spans="1:1" x14ac:dyDescent="0.2">
      <c r="A7062" s="52"/>
    </row>
    <row r="7063" spans="1:1" x14ac:dyDescent="0.2">
      <c r="A7063" s="53"/>
    </row>
    <row r="7064" spans="1:1" x14ac:dyDescent="0.2">
      <c r="A7064" s="52"/>
    </row>
    <row r="7065" spans="1:1" x14ac:dyDescent="0.2">
      <c r="A7065" s="52"/>
    </row>
    <row r="7066" spans="1:1" x14ac:dyDescent="0.2">
      <c r="A7066" s="52"/>
    </row>
    <row r="7067" spans="1:1" x14ac:dyDescent="0.2">
      <c r="A7067" s="52"/>
    </row>
    <row r="7068" spans="1:1" x14ac:dyDescent="0.2">
      <c r="A7068" s="52"/>
    </row>
    <row r="7069" spans="1:1" x14ac:dyDescent="0.2">
      <c r="A7069" s="52"/>
    </row>
    <row r="7070" spans="1:1" x14ac:dyDescent="0.2">
      <c r="A7070" s="52"/>
    </row>
    <row r="7071" spans="1:1" x14ac:dyDescent="0.2">
      <c r="A7071" s="52"/>
    </row>
    <row r="7072" spans="1:1" x14ac:dyDescent="0.2">
      <c r="A7072" s="52"/>
    </row>
    <row r="7073" spans="1:1" x14ac:dyDescent="0.2">
      <c r="A7073" s="52"/>
    </row>
    <row r="7074" spans="1:1" x14ac:dyDescent="0.2">
      <c r="A7074" s="52"/>
    </row>
    <row r="7075" spans="1:1" x14ac:dyDescent="0.2">
      <c r="A7075" s="52"/>
    </row>
    <row r="7076" spans="1:1" x14ac:dyDescent="0.2">
      <c r="A7076" s="52"/>
    </row>
    <row r="7077" spans="1:1" x14ac:dyDescent="0.2">
      <c r="A7077" s="52"/>
    </row>
    <row r="7078" spans="1:1" x14ac:dyDescent="0.2">
      <c r="A7078" s="52"/>
    </row>
    <row r="7079" spans="1:1" x14ac:dyDescent="0.2">
      <c r="A7079" s="52"/>
    </row>
    <row r="7080" spans="1:1" x14ac:dyDescent="0.2">
      <c r="A7080" s="52"/>
    </row>
    <row r="7081" spans="1:1" x14ac:dyDescent="0.2">
      <c r="A7081" s="52"/>
    </row>
    <row r="7082" spans="1:1" x14ac:dyDescent="0.2">
      <c r="A7082" s="52"/>
    </row>
    <row r="7083" spans="1:1" x14ac:dyDescent="0.2">
      <c r="A7083" s="52"/>
    </row>
    <row r="7084" spans="1:1" x14ac:dyDescent="0.2">
      <c r="A7084" s="52"/>
    </row>
    <row r="7085" spans="1:1" x14ac:dyDescent="0.2">
      <c r="A7085" s="52"/>
    </row>
    <row r="7086" spans="1:1" x14ac:dyDescent="0.2">
      <c r="A7086" s="52"/>
    </row>
    <row r="7087" spans="1:1" x14ac:dyDescent="0.2">
      <c r="A7087" s="52"/>
    </row>
    <row r="7088" spans="1:1" x14ac:dyDescent="0.2">
      <c r="A7088" s="52"/>
    </row>
    <row r="7089" spans="1:1" x14ac:dyDescent="0.2">
      <c r="A7089" s="52"/>
    </row>
    <row r="7090" spans="1:1" x14ac:dyDescent="0.2">
      <c r="A7090" s="52"/>
    </row>
    <row r="7091" spans="1:1" x14ac:dyDescent="0.2">
      <c r="A7091" s="52"/>
    </row>
    <row r="7092" spans="1:1" x14ac:dyDescent="0.2">
      <c r="A7092" s="52"/>
    </row>
    <row r="7093" spans="1:1" x14ac:dyDescent="0.2">
      <c r="A7093" s="52"/>
    </row>
    <row r="7094" spans="1:1" x14ac:dyDescent="0.2">
      <c r="A7094" s="52"/>
    </row>
    <row r="7095" spans="1:1" x14ac:dyDescent="0.2">
      <c r="A7095" s="52"/>
    </row>
    <row r="7096" spans="1:1" x14ac:dyDescent="0.2">
      <c r="A7096" s="52"/>
    </row>
    <row r="7097" spans="1:1" x14ac:dyDescent="0.2">
      <c r="A7097" s="52"/>
    </row>
    <row r="7098" spans="1:1" x14ac:dyDescent="0.2">
      <c r="A7098" s="53"/>
    </row>
    <row r="7099" spans="1:1" x14ac:dyDescent="0.2">
      <c r="A7099" s="52"/>
    </row>
    <row r="7100" spans="1:1" x14ac:dyDescent="0.2">
      <c r="A7100" s="52"/>
    </row>
    <row r="7101" spans="1:1" x14ac:dyDescent="0.2">
      <c r="A7101" s="52"/>
    </row>
    <row r="7102" spans="1:1" x14ac:dyDescent="0.2">
      <c r="A7102" s="52"/>
    </row>
    <row r="7103" spans="1:1" x14ac:dyDescent="0.2">
      <c r="A7103" s="52"/>
    </row>
    <row r="7104" spans="1:1" x14ac:dyDescent="0.2">
      <c r="A7104" s="52"/>
    </row>
    <row r="7105" spans="1:1" x14ac:dyDescent="0.2">
      <c r="A7105" s="53"/>
    </row>
    <row r="7106" spans="1:1" x14ac:dyDescent="0.2">
      <c r="A7106" s="53"/>
    </row>
    <row r="7107" spans="1:1" x14ac:dyDescent="0.2">
      <c r="A7107" s="53"/>
    </row>
    <row r="7108" spans="1:1" x14ac:dyDescent="0.2">
      <c r="A7108" s="53"/>
    </row>
    <row r="7109" spans="1:1" x14ac:dyDescent="0.2">
      <c r="A7109" s="53"/>
    </row>
    <row r="7110" spans="1:1" x14ac:dyDescent="0.2">
      <c r="A7110" s="53"/>
    </row>
    <row r="7111" spans="1:1" x14ac:dyDescent="0.2">
      <c r="A7111" s="52"/>
    </row>
    <row r="7112" spans="1:1" x14ac:dyDescent="0.2">
      <c r="A7112" s="52"/>
    </row>
    <row r="7113" spans="1:1" x14ac:dyDescent="0.2">
      <c r="A7113" s="52"/>
    </row>
    <row r="7114" spans="1:1" x14ac:dyDescent="0.2">
      <c r="A7114" s="52"/>
    </row>
    <row r="7115" spans="1:1" x14ac:dyDescent="0.2">
      <c r="A7115" s="52"/>
    </row>
    <row r="7116" spans="1:1" x14ac:dyDescent="0.2">
      <c r="A7116" s="52"/>
    </row>
    <row r="7117" spans="1:1" x14ac:dyDescent="0.2">
      <c r="A7117" s="52"/>
    </row>
    <row r="7118" spans="1:1" x14ac:dyDescent="0.2">
      <c r="A7118" s="52"/>
    </row>
    <row r="7119" spans="1:1" x14ac:dyDescent="0.2">
      <c r="A7119" s="52"/>
    </row>
    <row r="7120" spans="1:1" x14ac:dyDescent="0.2">
      <c r="A7120" s="52"/>
    </row>
    <row r="7121" spans="1:1" x14ac:dyDescent="0.2">
      <c r="A7121" s="52"/>
    </row>
    <row r="7122" spans="1:1" x14ac:dyDescent="0.2">
      <c r="A7122" s="52"/>
    </row>
    <row r="7123" spans="1:1" x14ac:dyDescent="0.2">
      <c r="A7123" s="52"/>
    </row>
    <row r="7124" spans="1:1" x14ac:dyDescent="0.2">
      <c r="A7124" s="52"/>
    </row>
    <row r="7125" spans="1:1" x14ac:dyDescent="0.2">
      <c r="A7125" s="52"/>
    </row>
    <row r="7126" spans="1:1" x14ac:dyDescent="0.2">
      <c r="A7126" s="52"/>
    </row>
    <row r="7127" spans="1:1" x14ac:dyDescent="0.2">
      <c r="A7127" s="52"/>
    </row>
    <row r="7128" spans="1:1" x14ac:dyDescent="0.2">
      <c r="A7128" s="52"/>
    </row>
    <row r="7129" spans="1:1" x14ac:dyDescent="0.2">
      <c r="A7129" s="52"/>
    </row>
    <row r="7130" spans="1:1" x14ac:dyDescent="0.2">
      <c r="A7130" s="52"/>
    </row>
    <row r="7131" spans="1:1" x14ac:dyDescent="0.2">
      <c r="A7131" s="52"/>
    </row>
    <row r="7132" spans="1:1" x14ac:dyDescent="0.2">
      <c r="A7132" s="52"/>
    </row>
    <row r="7133" spans="1:1" x14ac:dyDescent="0.2">
      <c r="A7133" s="52"/>
    </row>
    <row r="7134" spans="1:1" x14ac:dyDescent="0.2">
      <c r="A7134" s="52"/>
    </row>
    <row r="7135" spans="1:1" x14ac:dyDescent="0.2">
      <c r="A7135" s="52"/>
    </row>
    <row r="7136" spans="1:1" x14ac:dyDescent="0.2">
      <c r="A7136" s="52"/>
    </row>
    <row r="7137" spans="1:1" x14ac:dyDescent="0.2">
      <c r="A7137" s="52"/>
    </row>
    <row r="7138" spans="1:1" x14ac:dyDescent="0.2">
      <c r="A7138" s="52"/>
    </row>
    <row r="7139" spans="1:1" x14ac:dyDescent="0.2">
      <c r="A7139" s="52"/>
    </row>
    <row r="7140" spans="1:1" x14ac:dyDescent="0.2">
      <c r="A7140" s="52"/>
    </row>
    <row r="7141" spans="1:1" x14ac:dyDescent="0.2">
      <c r="A7141" s="52"/>
    </row>
    <row r="7142" spans="1:1" x14ac:dyDescent="0.2">
      <c r="A7142" s="52"/>
    </row>
    <row r="7143" spans="1:1" x14ac:dyDescent="0.2">
      <c r="A7143" s="52"/>
    </row>
    <row r="7144" spans="1:1" x14ac:dyDescent="0.2">
      <c r="A7144" s="52"/>
    </row>
    <row r="7145" spans="1:1" x14ac:dyDescent="0.2">
      <c r="A7145" s="52"/>
    </row>
    <row r="7146" spans="1:1" x14ac:dyDescent="0.2">
      <c r="A7146" s="52"/>
    </row>
    <row r="7147" spans="1:1" x14ac:dyDescent="0.2">
      <c r="A7147" s="52"/>
    </row>
    <row r="7148" spans="1:1" x14ac:dyDescent="0.2">
      <c r="A7148" s="52"/>
    </row>
    <row r="7149" spans="1:1" x14ac:dyDescent="0.2">
      <c r="A7149" s="52"/>
    </row>
    <row r="7150" spans="1:1" x14ac:dyDescent="0.2">
      <c r="A7150" s="52"/>
    </row>
    <row r="7151" spans="1:1" x14ac:dyDescent="0.2">
      <c r="A7151" s="52"/>
    </row>
    <row r="7152" spans="1:1" x14ac:dyDescent="0.2">
      <c r="A7152" s="52"/>
    </row>
    <row r="7153" spans="1:1" x14ac:dyDescent="0.2">
      <c r="A7153" s="52"/>
    </row>
    <row r="7154" spans="1:1" x14ac:dyDescent="0.2">
      <c r="A7154" s="52"/>
    </row>
    <row r="7155" spans="1:1" x14ac:dyDescent="0.2">
      <c r="A7155" s="52"/>
    </row>
    <row r="7156" spans="1:1" x14ac:dyDescent="0.2">
      <c r="A7156" s="52"/>
    </row>
    <row r="7157" spans="1:1" x14ac:dyDescent="0.2">
      <c r="A7157" s="52"/>
    </row>
    <row r="7158" spans="1:1" x14ac:dyDescent="0.2">
      <c r="A7158" s="52"/>
    </row>
    <row r="7159" spans="1:1" x14ac:dyDescent="0.2">
      <c r="A7159" s="52"/>
    </row>
    <row r="7160" spans="1:1" x14ac:dyDescent="0.2">
      <c r="A7160" s="52"/>
    </row>
    <row r="7161" spans="1:1" x14ac:dyDescent="0.2">
      <c r="A7161" s="52"/>
    </row>
    <row r="7162" spans="1:1" x14ac:dyDescent="0.2">
      <c r="A7162" s="52"/>
    </row>
    <row r="7163" spans="1:1" x14ac:dyDescent="0.2">
      <c r="A7163" s="52"/>
    </row>
    <row r="7164" spans="1:1" x14ac:dyDescent="0.2">
      <c r="A7164" s="52"/>
    </row>
    <row r="7165" spans="1:1" x14ac:dyDescent="0.2">
      <c r="A7165" s="52"/>
    </row>
    <row r="7166" spans="1:1" x14ac:dyDescent="0.2">
      <c r="A7166" s="52"/>
    </row>
    <row r="7167" spans="1:1" x14ac:dyDescent="0.2">
      <c r="A7167" s="52"/>
    </row>
    <row r="7168" spans="1:1" x14ac:dyDescent="0.2">
      <c r="A7168" s="52"/>
    </row>
    <row r="7169" spans="1:1" x14ac:dyDescent="0.2">
      <c r="A7169" s="52"/>
    </row>
    <row r="7170" spans="1:1" x14ac:dyDescent="0.2">
      <c r="A7170" s="52"/>
    </row>
    <row r="7171" spans="1:1" x14ac:dyDescent="0.2">
      <c r="A7171" s="52"/>
    </row>
    <row r="7172" spans="1:1" x14ac:dyDescent="0.2">
      <c r="A7172" s="52"/>
    </row>
    <row r="7173" spans="1:1" x14ac:dyDescent="0.2">
      <c r="A7173" s="52"/>
    </row>
    <row r="7174" spans="1:1" x14ac:dyDescent="0.2">
      <c r="A7174" s="52"/>
    </row>
    <row r="7175" spans="1:1" x14ac:dyDescent="0.2">
      <c r="A7175" s="52"/>
    </row>
    <row r="7176" spans="1:1" x14ac:dyDescent="0.2">
      <c r="A7176" s="52"/>
    </row>
    <row r="7177" spans="1:1" x14ac:dyDescent="0.2">
      <c r="A7177" s="52"/>
    </row>
    <row r="7178" spans="1:1" x14ac:dyDescent="0.2">
      <c r="A7178" s="52"/>
    </row>
    <row r="7179" spans="1:1" x14ac:dyDescent="0.2">
      <c r="A7179" s="52"/>
    </row>
    <row r="7180" spans="1:1" x14ac:dyDescent="0.2">
      <c r="A7180" s="52"/>
    </row>
    <row r="7181" spans="1:1" x14ac:dyDescent="0.2">
      <c r="A7181" s="52"/>
    </row>
    <row r="7182" spans="1:1" x14ac:dyDescent="0.2">
      <c r="A7182" s="52"/>
    </row>
    <row r="7183" spans="1:1" x14ac:dyDescent="0.2">
      <c r="A7183" s="52"/>
    </row>
    <row r="7184" spans="1:1" x14ac:dyDescent="0.2">
      <c r="A7184" s="53"/>
    </row>
    <row r="7185" spans="1:1" x14ac:dyDescent="0.2">
      <c r="A7185" s="52"/>
    </row>
    <row r="7186" spans="1:1" x14ac:dyDescent="0.2">
      <c r="A7186" s="52"/>
    </row>
    <row r="7187" spans="1:1" x14ac:dyDescent="0.2">
      <c r="A7187" s="52"/>
    </row>
    <row r="7188" spans="1:1" x14ac:dyDescent="0.2">
      <c r="A7188" s="52"/>
    </row>
    <row r="7189" spans="1:1" x14ac:dyDescent="0.2">
      <c r="A7189" s="52"/>
    </row>
    <row r="7190" spans="1:1" x14ac:dyDescent="0.2">
      <c r="A7190" s="53"/>
    </row>
    <row r="7191" spans="1:1" x14ac:dyDescent="0.2">
      <c r="A7191" s="52"/>
    </row>
    <row r="7192" spans="1:1" x14ac:dyDescent="0.2">
      <c r="A7192" s="52"/>
    </row>
    <row r="7193" spans="1:1" x14ac:dyDescent="0.2">
      <c r="A7193" s="52"/>
    </row>
    <row r="7194" spans="1:1" x14ac:dyDescent="0.2">
      <c r="A7194" s="52"/>
    </row>
    <row r="7195" spans="1:1" x14ac:dyDescent="0.2">
      <c r="A7195" s="52"/>
    </row>
    <row r="7196" spans="1:1" x14ac:dyDescent="0.2">
      <c r="A7196" s="52"/>
    </row>
    <row r="7197" spans="1:1" x14ac:dyDescent="0.2">
      <c r="A7197" s="52"/>
    </row>
    <row r="7198" spans="1:1" x14ac:dyDescent="0.2">
      <c r="A7198" s="52"/>
    </row>
    <row r="7199" spans="1:1" x14ac:dyDescent="0.2">
      <c r="A7199" s="52"/>
    </row>
    <row r="7200" spans="1:1" x14ac:dyDescent="0.2">
      <c r="A7200" s="52"/>
    </row>
    <row r="7201" spans="1:1" x14ac:dyDescent="0.2">
      <c r="A7201" s="52"/>
    </row>
    <row r="7202" spans="1:1" x14ac:dyDescent="0.2">
      <c r="A7202" s="52"/>
    </row>
    <row r="7203" spans="1:1" x14ac:dyDescent="0.2">
      <c r="A7203" s="52"/>
    </row>
    <row r="7204" spans="1:1" x14ac:dyDescent="0.2">
      <c r="A7204" s="52"/>
    </row>
    <row r="7205" spans="1:1" x14ac:dyDescent="0.2">
      <c r="A7205" s="52"/>
    </row>
    <row r="7206" spans="1:1" x14ac:dyDescent="0.2">
      <c r="A7206" s="52"/>
    </row>
    <row r="7207" spans="1:1" x14ac:dyDescent="0.2">
      <c r="A7207" s="52"/>
    </row>
    <row r="7208" spans="1:1" x14ac:dyDescent="0.2">
      <c r="A7208" s="52"/>
    </row>
    <row r="7209" spans="1:1" x14ac:dyDescent="0.2">
      <c r="A7209" s="52"/>
    </row>
    <row r="7210" spans="1:1" x14ac:dyDescent="0.2">
      <c r="A7210" s="52"/>
    </row>
    <row r="7211" spans="1:1" x14ac:dyDescent="0.2">
      <c r="A7211" s="52"/>
    </row>
    <row r="7212" spans="1:1" x14ac:dyDescent="0.2">
      <c r="A7212" s="52"/>
    </row>
    <row r="7213" spans="1:1" x14ac:dyDescent="0.2">
      <c r="A7213" s="52"/>
    </row>
    <row r="7214" spans="1:1" x14ac:dyDescent="0.2">
      <c r="A7214" s="52"/>
    </row>
    <row r="7215" spans="1:1" x14ac:dyDescent="0.2">
      <c r="A7215" s="52"/>
    </row>
    <row r="7216" spans="1:1" x14ac:dyDescent="0.2">
      <c r="A7216" s="52"/>
    </row>
    <row r="7217" spans="1:1" x14ac:dyDescent="0.2">
      <c r="A7217" s="52"/>
    </row>
    <row r="7218" spans="1:1" x14ac:dyDescent="0.2">
      <c r="A7218" s="52"/>
    </row>
    <row r="7219" spans="1:1" x14ac:dyDescent="0.2">
      <c r="A7219" s="53"/>
    </row>
    <row r="7220" spans="1:1" x14ac:dyDescent="0.2">
      <c r="A7220" s="52"/>
    </row>
    <row r="7221" spans="1:1" x14ac:dyDescent="0.2">
      <c r="A7221" s="52"/>
    </row>
    <row r="7222" spans="1:1" x14ac:dyDescent="0.2">
      <c r="A7222" s="52"/>
    </row>
    <row r="7223" spans="1:1" x14ac:dyDescent="0.2">
      <c r="A7223" s="52"/>
    </row>
    <row r="7224" spans="1:1" x14ac:dyDescent="0.2">
      <c r="A7224" s="52"/>
    </row>
    <row r="7225" spans="1:1" x14ac:dyDescent="0.2">
      <c r="A7225" s="52"/>
    </row>
    <row r="7226" spans="1:1" x14ac:dyDescent="0.2">
      <c r="A7226" s="52"/>
    </row>
    <row r="7227" spans="1:1" x14ac:dyDescent="0.2">
      <c r="A7227" s="52"/>
    </row>
    <row r="7228" spans="1:1" x14ac:dyDescent="0.2">
      <c r="A7228" s="52"/>
    </row>
    <row r="7229" spans="1:1" x14ac:dyDescent="0.2">
      <c r="A7229" s="52"/>
    </row>
    <row r="7230" spans="1:1" x14ac:dyDescent="0.2">
      <c r="A7230" s="52"/>
    </row>
    <row r="7231" spans="1:1" x14ac:dyDescent="0.2">
      <c r="A7231" s="52"/>
    </row>
    <row r="7232" spans="1:1" x14ac:dyDescent="0.2">
      <c r="A7232" s="52"/>
    </row>
    <row r="7233" spans="1:1" x14ac:dyDescent="0.2">
      <c r="A7233" s="52"/>
    </row>
    <row r="7234" spans="1:1" x14ac:dyDescent="0.2">
      <c r="A7234" s="52"/>
    </row>
    <row r="7235" spans="1:1" x14ac:dyDescent="0.2">
      <c r="A7235" s="52"/>
    </row>
    <row r="7236" spans="1:1" x14ac:dyDescent="0.2">
      <c r="A7236" s="52"/>
    </row>
    <row r="7237" spans="1:1" x14ac:dyDescent="0.2">
      <c r="A7237" s="52"/>
    </row>
    <row r="7238" spans="1:1" x14ac:dyDescent="0.2">
      <c r="A7238" s="52"/>
    </row>
    <row r="7239" spans="1:1" x14ac:dyDescent="0.2">
      <c r="A7239" s="52"/>
    </row>
    <row r="7240" spans="1:1" x14ac:dyDescent="0.2">
      <c r="A7240" s="52"/>
    </row>
    <row r="7241" spans="1:1" x14ac:dyDescent="0.2">
      <c r="A7241" s="52"/>
    </row>
    <row r="7242" spans="1:1" x14ac:dyDescent="0.2">
      <c r="A7242" s="52"/>
    </row>
    <row r="7243" spans="1:1" x14ac:dyDescent="0.2">
      <c r="A7243" s="52"/>
    </row>
    <row r="7244" spans="1:1" x14ac:dyDescent="0.2">
      <c r="A7244" s="52"/>
    </row>
    <row r="7245" spans="1:1" x14ac:dyDescent="0.2">
      <c r="A7245" s="52"/>
    </row>
    <row r="7246" spans="1:1" x14ac:dyDescent="0.2">
      <c r="A7246" s="53"/>
    </row>
    <row r="7247" spans="1:1" x14ac:dyDescent="0.2">
      <c r="A7247" s="52"/>
    </row>
    <row r="7248" spans="1:1" x14ac:dyDescent="0.2">
      <c r="A7248" s="52"/>
    </row>
    <row r="7249" spans="1:1" x14ac:dyDescent="0.2">
      <c r="A7249" s="52"/>
    </row>
    <row r="7250" spans="1:1" x14ac:dyDescent="0.2">
      <c r="A7250" s="52"/>
    </row>
    <row r="7251" spans="1:1" x14ac:dyDescent="0.2">
      <c r="A7251" s="52"/>
    </row>
    <row r="7252" spans="1:1" x14ac:dyDescent="0.2">
      <c r="A7252" s="53"/>
    </row>
    <row r="7253" spans="1:1" x14ac:dyDescent="0.2">
      <c r="A7253" s="52"/>
    </row>
    <row r="7254" spans="1:1" x14ac:dyDescent="0.2">
      <c r="A7254" s="52"/>
    </row>
    <row r="7255" spans="1:1" x14ac:dyDescent="0.2">
      <c r="A7255" s="52"/>
    </row>
    <row r="7256" spans="1:1" x14ac:dyDescent="0.2">
      <c r="A7256" s="52"/>
    </row>
    <row r="7257" spans="1:1" x14ac:dyDescent="0.2">
      <c r="A7257" s="52"/>
    </row>
    <row r="7258" spans="1:1" x14ac:dyDescent="0.2">
      <c r="A7258" s="52"/>
    </row>
    <row r="7259" spans="1:1" x14ac:dyDescent="0.2">
      <c r="A7259" s="52"/>
    </row>
    <row r="7260" spans="1:1" x14ac:dyDescent="0.2">
      <c r="A7260" s="52"/>
    </row>
    <row r="7261" spans="1:1" x14ac:dyDescent="0.2">
      <c r="A7261" s="52"/>
    </row>
    <row r="7262" spans="1:1" x14ac:dyDescent="0.2">
      <c r="A7262" s="52"/>
    </row>
    <row r="7263" spans="1:1" x14ac:dyDescent="0.2">
      <c r="A7263" s="52"/>
    </row>
    <row r="7264" spans="1:1" x14ac:dyDescent="0.2">
      <c r="A7264" s="53"/>
    </row>
    <row r="7265" spans="1:1" x14ac:dyDescent="0.2">
      <c r="A7265" s="52"/>
    </row>
    <row r="7266" spans="1:1" x14ac:dyDescent="0.2">
      <c r="A7266" s="52"/>
    </row>
    <row r="7267" spans="1:1" x14ac:dyDescent="0.2">
      <c r="A7267" s="52"/>
    </row>
    <row r="7268" spans="1:1" x14ac:dyDescent="0.2">
      <c r="A7268" s="53"/>
    </row>
    <row r="7269" spans="1:1" x14ac:dyDescent="0.2">
      <c r="A7269" s="53"/>
    </row>
    <row r="7270" spans="1:1" x14ac:dyDescent="0.2">
      <c r="A7270" s="52"/>
    </row>
    <row r="7271" spans="1:1" x14ac:dyDescent="0.2">
      <c r="A7271" s="52"/>
    </row>
    <row r="7272" spans="1:1" x14ac:dyDescent="0.2">
      <c r="A7272" s="52"/>
    </row>
    <row r="7273" spans="1:1" x14ac:dyDescent="0.2">
      <c r="A7273" s="52"/>
    </row>
    <row r="7274" spans="1:1" x14ac:dyDescent="0.2">
      <c r="A7274" s="52"/>
    </row>
    <row r="7275" spans="1:1" x14ac:dyDescent="0.2">
      <c r="A7275" s="53"/>
    </row>
    <row r="7276" spans="1:1" x14ac:dyDescent="0.2">
      <c r="A7276" s="53"/>
    </row>
    <row r="7277" spans="1:1" x14ac:dyDescent="0.2">
      <c r="A7277" s="53"/>
    </row>
    <row r="7278" spans="1:1" x14ac:dyDescent="0.2">
      <c r="A7278" s="52"/>
    </row>
    <row r="7279" spans="1:1" x14ac:dyDescent="0.2">
      <c r="A7279" s="52"/>
    </row>
    <row r="7280" spans="1:1" x14ac:dyDescent="0.2">
      <c r="A7280" s="52"/>
    </row>
    <row r="7281" spans="1:1" x14ac:dyDescent="0.2">
      <c r="A7281" s="52"/>
    </row>
    <row r="7282" spans="1:1" x14ac:dyDescent="0.2">
      <c r="A7282" s="52"/>
    </row>
    <row r="7283" spans="1:1" x14ac:dyDescent="0.2">
      <c r="A7283" s="52"/>
    </row>
    <row r="7284" spans="1:1" x14ac:dyDescent="0.2">
      <c r="A7284" s="52"/>
    </row>
    <row r="7285" spans="1:1" x14ac:dyDescent="0.2">
      <c r="A7285" s="52"/>
    </row>
    <row r="7286" spans="1:1" x14ac:dyDescent="0.2">
      <c r="A7286" s="52"/>
    </row>
    <row r="7287" spans="1:1" x14ac:dyDescent="0.2">
      <c r="A7287" s="52"/>
    </row>
    <row r="7288" spans="1:1" x14ac:dyDescent="0.2">
      <c r="A7288" s="52"/>
    </row>
    <row r="7289" spans="1:1" x14ac:dyDescent="0.2">
      <c r="A7289" s="53"/>
    </row>
    <row r="7290" spans="1:1" x14ac:dyDescent="0.2">
      <c r="A7290" s="52"/>
    </row>
    <row r="7291" spans="1:1" x14ac:dyDescent="0.2">
      <c r="A7291" s="52"/>
    </row>
    <row r="7292" spans="1:1" x14ac:dyDescent="0.2">
      <c r="A7292" s="53"/>
    </row>
    <row r="7293" spans="1:1" x14ac:dyDescent="0.2">
      <c r="A7293" s="53"/>
    </row>
    <row r="7294" spans="1:1" x14ac:dyDescent="0.2">
      <c r="A7294" s="52"/>
    </row>
    <row r="7295" spans="1:1" x14ac:dyDescent="0.2">
      <c r="A7295" s="52"/>
    </row>
    <row r="7296" spans="1:1" x14ac:dyDescent="0.2">
      <c r="A7296" s="52"/>
    </row>
    <row r="7297" spans="1:1" x14ac:dyDescent="0.2">
      <c r="A7297" s="52"/>
    </row>
    <row r="7298" spans="1:1" x14ac:dyDescent="0.2">
      <c r="A7298" s="52"/>
    </row>
    <row r="7299" spans="1:1" x14ac:dyDescent="0.2">
      <c r="A7299" s="52"/>
    </row>
    <row r="7300" spans="1:1" x14ac:dyDescent="0.2">
      <c r="A7300" s="52"/>
    </row>
    <row r="7301" spans="1:1" x14ac:dyDescent="0.2">
      <c r="A7301" s="52"/>
    </row>
    <row r="7302" spans="1:1" x14ac:dyDescent="0.2">
      <c r="A7302" s="52"/>
    </row>
    <row r="7303" spans="1:1" x14ac:dyDescent="0.2">
      <c r="A7303" s="52"/>
    </row>
    <row r="7304" spans="1:1" x14ac:dyDescent="0.2">
      <c r="A7304" s="52"/>
    </row>
    <row r="7305" spans="1:1" x14ac:dyDescent="0.2">
      <c r="A7305" s="53"/>
    </row>
    <row r="7306" spans="1:1" x14ac:dyDescent="0.2">
      <c r="A7306" s="53"/>
    </row>
    <row r="7307" spans="1:1" x14ac:dyDescent="0.2">
      <c r="A7307" s="52"/>
    </row>
    <row r="7308" spans="1:1" x14ac:dyDescent="0.2">
      <c r="A7308" s="52"/>
    </row>
    <row r="7309" spans="1:1" x14ac:dyDescent="0.2">
      <c r="A7309" s="52"/>
    </row>
    <row r="7310" spans="1:1" x14ac:dyDescent="0.2">
      <c r="A7310" s="52"/>
    </row>
    <row r="7311" spans="1:1" x14ac:dyDescent="0.2">
      <c r="A7311" s="52"/>
    </row>
    <row r="7312" spans="1:1" x14ac:dyDescent="0.2">
      <c r="A7312" s="53"/>
    </row>
    <row r="7313" spans="1:1" x14ac:dyDescent="0.2">
      <c r="A7313" s="52"/>
    </row>
    <row r="7314" spans="1:1" x14ac:dyDescent="0.2">
      <c r="A7314" s="52"/>
    </row>
    <row r="7315" spans="1:1" x14ac:dyDescent="0.2">
      <c r="A7315" s="52"/>
    </row>
    <row r="7316" spans="1:1" x14ac:dyDescent="0.2">
      <c r="A7316" s="52"/>
    </row>
    <row r="7317" spans="1:1" x14ac:dyDescent="0.2">
      <c r="A7317" s="52"/>
    </row>
    <row r="7318" spans="1:1" x14ac:dyDescent="0.2">
      <c r="A7318" s="52"/>
    </row>
    <row r="7319" spans="1:1" x14ac:dyDescent="0.2">
      <c r="A7319" s="52"/>
    </row>
    <row r="7320" spans="1:1" x14ac:dyDescent="0.2">
      <c r="A7320" s="52"/>
    </row>
    <row r="7321" spans="1:1" x14ac:dyDescent="0.2">
      <c r="A7321" s="52"/>
    </row>
    <row r="7322" spans="1:1" x14ac:dyDescent="0.2">
      <c r="A7322" s="52"/>
    </row>
    <row r="7323" spans="1:1" x14ac:dyDescent="0.2">
      <c r="A7323" s="52"/>
    </row>
    <row r="7324" spans="1:1" x14ac:dyDescent="0.2">
      <c r="A7324" s="52"/>
    </row>
    <row r="7325" spans="1:1" x14ac:dyDescent="0.2">
      <c r="A7325" s="52"/>
    </row>
    <row r="7326" spans="1:1" x14ac:dyDescent="0.2">
      <c r="A7326" s="52"/>
    </row>
    <row r="7327" spans="1:1" x14ac:dyDescent="0.2">
      <c r="A7327" s="52"/>
    </row>
    <row r="7328" spans="1:1" x14ac:dyDescent="0.2">
      <c r="A7328" s="52"/>
    </row>
    <row r="7329" spans="1:1" x14ac:dyDescent="0.2">
      <c r="A7329" s="52"/>
    </row>
    <row r="7330" spans="1:1" x14ac:dyDescent="0.2">
      <c r="A7330" s="52"/>
    </row>
    <row r="7331" spans="1:1" x14ac:dyDescent="0.2">
      <c r="A7331" s="52"/>
    </row>
    <row r="7332" spans="1:1" x14ac:dyDescent="0.2">
      <c r="A7332" s="52"/>
    </row>
    <row r="7333" spans="1:1" x14ac:dyDescent="0.2">
      <c r="A7333" s="52"/>
    </row>
    <row r="7334" spans="1:1" x14ac:dyDescent="0.2">
      <c r="A7334" s="52"/>
    </row>
    <row r="7335" spans="1:1" x14ac:dyDescent="0.2">
      <c r="A7335" s="52"/>
    </row>
    <row r="7336" spans="1:1" x14ac:dyDescent="0.2">
      <c r="A7336" s="52"/>
    </row>
    <row r="7337" spans="1:1" x14ac:dyDescent="0.2">
      <c r="A7337" s="52"/>
    </row>
    <row r="7338" spans="1:1" x14ac:dyDescent="0.2">
      <c r="A7338" s="52"/>
    </row>
    <row r="7339" spans="1:1" x14ac:dyDescent="0.2">
      <c r="A7339" s="52"/>
    </row>
    <row r="7340" spans="1:1" x14ac:dyDescent="0.2">
      <c r="A7340" s="52"/>
    </row>
    <row r="7341" spans="1:1" x14ac:dyDescent="0.2">
      <c r="A7341" s="52"/>
    </row>
    <row r="7342" spans="1:1" x14ac:dyDescent="0.2">
      <c r="A7342" s="52"/>
    </row>
    <row r="7343" spans="1:1" x14ac:dyDescent="0.2">
      <c r="A7343" s="52"/>
    </row>
    <row r="7344" spans="1:1" x14ac:dyDescent="0.2">
      <c r="A7344" s="52"/>
    </row>
    <row r="7345" spans="1:1" x14ac:dyDescent="0.2">
      <c r="A7345" s="52"/>
    </row>
    <row r="7346" spans="1:1" x14ac:dyDescent="0.2">
      <c r="A7346" s="52"/>
    </row>
    <row r="7347" spans="1:1" x14ac:dyDescent="0.2">
      <c r="A7347" s="52"/>
    </row>
    <row r="7348" spans="1:1" x14ac:dyDescent="0.2">
      <c r="A7348" s="52"/>
    </row>
    <row r="7349" spans="1:1" x14ac:dyDescent="0.2">
      <c r="A7349" s="52"/>
    </row>
    <row r="7350" spans="1:1" x14ac:dyDescent="0.2">
      <c r="A7350" s="52"/>
    </row>
    <row r="7351" spans="1:1" x14ac:dyDescent="0.2">
      <c r="A7351" s="52"/>
    </row>
    <row r="7352" spans="1:1" x14ac:dyDescent="0.2">
      <c r="A7352" s="52"/>
    </row>
    <row r="7353" spans="1:1" x14ac:dyDescent="0.2">
      <c r="A7353" s="52"/>
    </row>
    <row r="7354" spans="1:1" x14ac:dyDescent="0.2">
      <c r="A7354" s="52"/>
    </row>
    <row r="7355" spans="1:1" x14ac:dyDescent="0.2">
      <c r="A7355" s="52"/>
    </row>
    <row r="7356" spans="1:1" x14ac:dyDescent="0.2">
      <c r="A7356" s="52"/>
    </row>
    <row r="7357" spans="1:1" x14ac:dyDescent="0.2">
      <c r="A7357" s="52"/>
    </row>
    <row r="7358" spans="1:1" x14ac:dyDescent="0.2">
      <c r="A7358" s="52"/>
    </row>
    <row r="7359" spans="1:1" x14ac:dyDescent="0.2">
      <c r="A7359" s="52"/>
    </row>
    <row r="7360" spans="1:1" x14ac:dyDescent="0.2">
      <c r="A7360" s="52"/>
    </row>
    <row r="7361" spans="1:1" x14ac:dyDescent="0.2">
      <c r="A7361" s="52"/>
    </row>
    <row r="7362" spans="1:1" x14ac:dyDescent="0.2">
      <c r="A7362" s="52"/>
    </row>
    <row r="7363" spans="1:1" x14ac:dyDescent="0.2">
      <c r="A7363" s="52"/>
    </row>
    <row r="7364" spans="1:1" x14ac:dyDescent="0.2">
      <c r="A7364" s="52"/>
    </row>
    <row r="7365" spans="1:1" x14ac:dyDescent="0.2">
      <c r="A7365" s="52"/>
    </row>
    <row r="7366" spans="1:1" x14ac:dyDescent="0.2">
      <c r="A7366" s="52"/>
    </row>
    <row r="7367" spans="1:1" x14ac:dyDescent="0.2">
      <c r="A7367" s="52"/>
    </row>
    <row r="7368" spans="1:1" x14ac:dyDescent="0.2">
      <c r="A7368" s="52"/>
    </row>
    <row r="7369" spans="1:1" x14ac:dyDescent="0.2">
      <c r="A7369" s="52"/>
    </row>
    <row r="7370" spans="1:1" x14ac:dyDescent="0.2">
      <c r="A7370" s="52"/>
    </row>
    <row r="7371" spans="1:1" x14ac:dyDescent="0.2">
      <c r="A7371" s="52"/>
    </row>
    <row r="7372" spans="1:1" x14ac:dyDescent="0.2">
      <c r="A7372" s="52"/>
    </row>
    <row r="7373" spans="1:1" x14ac:dyDescent="0.2">
      <c r="A7373" s="52"/>
    </row>
    <row r="7374" spans="1:1" x14ac:dyDescent="0.2">
      <c r="A7374" s="52"/>
    </row>
    <row r="7375" spans="1:1" x14ac:dyDescent="0.2">
      <c r="A7375" s="52"/>
    </row>
    <row r="7376" spans="1:1" x14ac:dyDescent="0.2">
      <c r="A7376" s="53"/>
    </row>
    <row r="7377" spans="1:1" x14ac:dyDescent="0.2">
      <c r="A7377" s="53"/>
    </row>
    <row r="7378" spans="1:1" x14ac:dyDescent="0.2">
      <c r="A7378" s="52"/>
    </row>
    <row r="7379" spans="1:1" x14ac:dyDescent="0.2">
      <c r="A7379" s="53"/>
    </row>
    <row r="7380" spans="1:1" x14ac:dyDescent="0.2">
      <c r="A7380" s="52"/>
    </row>
    <row r="7381" spans="1:1" x14ac:dyDescent="0.2">
      <c r="A7381" s="52"/>
    </row>
    <row r="7382" spans="1:1" x14ac:dyDescent="0.2">
      <c r="A7382" s="52"/>
    </row>
    <row r="7383" spans="1:1" x14ac:dyDescent="0.2">
      <c r="A7383" s="52"/>
    </row>
    <row r="7384" spans="1:1" x14ac:dyDescent="0.2">
      <c r="A7384" s="53"/>
    </row>
    <row r="7385" spans="1:1" x14ac:dyDescent="0.2">
      <c r="A7385" s="52"/>
    </row>
    <row r="7386" spans="1:1" x14ac:dyDescent="0.2">
      <c r="A7386" s="52"/>
    </row>
    <row r="7387" spans="1:1" x14ac:dyDescent="0.2">
      <c r="A7387" s="53"/>
    </row>
    <row r="7388" spans="1:1" x14ac:dyDescent="0.2">
      <c r="A7388" s="52"/>
    </row>
    <row r="7389" spans="1:1" x14ac:dyDescent="0.2">
      <c r="A7389" s="52"/>
    </row>
    <row r="7390" spans="1:1" x14ac:dyDescent="0.2">
      <c r="A7390" s="53"/>
    </row>
    <row r="7391" spans="1:1" x14ac:dyDescent="0.2">
      <c r="A7391" s="52"/>
    </row>
    <row r="7392" spans="1:1" x14ac:dyDescent="0.2">
      <c r="A7392" s="52"/>
    </row>
    <row r="7393" spans="1:1" x14ac:dyDescent="0.2">
      <c r="A7393" s="53"/>
    </row>
    <row r="7394" spans="1:1" x14ac:dyDescent="0.2">
      <c r="A7394" s="52"/>
    </row>
    <row r="7395" spans="1:1" x14ac:dyDescent="0.2">
      <c r="A7395" s="53"/>
    </row>
    <row r="7396" spans="1:1" x14ac:dyDescent="0.2">
      <c r="A7396" s="53"/>
    </row>
    <row r="7397" spans="1:1" x14ac:dyDescent="0.2">
      <c r="A7397" s="52"/>
    </row>
    <row r="7398" spans="1:1" x14ac:dyDescent="0.2">
      <c r="A7398" s="52"/>
    </row>
    <row r="7399" spans="1:1" x14ac:dyDescent="0.2">
      <c r="A7399" s="52"/>
    </row>
    <row r="7400" spans="1:1" x14ac:dyDescent="0.2">
      <c r="A7400" s="52"/>
    </row>
    <row r="7401" spans="1:1" x14ac:dyDescent="0.2">
      <c r="A7401" s="52"/>
    </row>
    <row r="7402" spans="1:1" x14ac:dyDescent="0.2">
      <c r="A7402" s="52"/>
    </row>
    <row r="7403" spans="1:1" x14ac:dyDescent="0.2">
      <c r="A7403" s="52"/>
    </row>
    <row r="7404" spans="1:1" x14ac:dyDescent="0.2">
      <c r="A7404" s="52"/>
    </row>
    <row r="7405" spans="1:1" x14ac:dyDescent="0.2">
      <c r="A7405" s="52"/>
    </row>
    <row r="7406" spans="1:1" x14ac:dyDescent="0.2">
      <c r="A7406" s="52"/>
    </row>
    <row r="7407" spans="1:1" x14ac:dyDescent="0.2">
      <c r="A7407" s="52"/>
    </row>
    <row r="7408" spans="1:1" x14ac:dyDescent="0.2">
      <c r="A7408" s="52"/>
    </row>
    <row r="7409" spans="1:1" x14ac:dyDescent="0.2">
      <c r="A7409" s="52"/>
    </row>
    <row r="7410" spans="1:1" x14ac:dyDescent="0.2">
      <c r="A7410" s="52"/>
    </row>
    <row r="7411" spans="1:1" x14ac:dyDescent="0.2">
      <c r="A7411" s="52"/>
    </row>
    <row r="7412" spans="1:1" x14ac:dyDescent="0.2">
      <c r="A7412" s="52"/>
    </row>
    <row r="7413" spans="1:1" x14ac:dyDescent="0.2">
      <c r="A7413" s="52"/>
    </row>
    <row r="7414" spans="1:1" x14ac:dyDescent="0.2">
      <c r="A7414" s="52"/>
    </row>
    <row r="7415" spans="1:1" x14ac:dyDescent="0.2">
      <c r="A7415" s="52"/>
    </row>
    <row r="7416" spans="1:1" x14ac:dyDescent="0.2">
      <c r="A7416" s="53"/>
    </row>
    <row r="7417" spans="1:1" x14ac:dyDescent="0.2">
      <c r="A7417" s="53"/>
    </row>
    <row r="7418" spans="1:1" x14ac:dyDescent="0.2">
      <c r="A7418" s="53"/>
    </row>
    <row r="7419" spans="1:1" x14ac:dyDescent="0.2">
      <c r="A7419" s="52"/>
    </row>
    <row r="7420" spans="1:1" x14ac:dyDescent="0.2">
      <c r="A7420" s="52"/>
    </row>
    <row r="7421" spans="1:1" x14ac:dyDescent="0.2">
      <c r="A7421" s="52"/>
    </row>
    <row r="7422" spans="1:1" x14ac:dyDescent="0.2">
      <c r="A7422" s="52"/>
    </row>
    <row r="7423" spans="1:1" x14ac:dyDescent="0.2">
      <c r="A7423" s="52"/>
    </row>
    <row r="7424" spans="1:1" x14ac:dyDescent="0.2">
      <c r="A7424" s="52"/>
    </row>
    <row r="7425" spans="1:1" x14ac:dyDescent="0.2">
      <c r="A7425" s="52"/>
    </row>
    <row r="7426" spans="1:1" x14ac:dyDescent="0.2">
      <c r="A7426" s="52"/>
    </row>
    <row r="7427" spans="1:1" x14ac:dyDescent="0.2">
      <c r="A7427" s="52"/>
    </row>
    <row r="7428" spans="1:1" x14ac:dyDescent="0.2">
      <c r="A7428" s="52"/>
    </row>
    <row r="7429" spans="1:1" x14ac:dyDescent="0.2">
      <c r="A7429" s="52"/>
    </row>
    <row r="7430" spans="1:1" x14ac:dyDescent="0.2">
      <c r="A7430" s="52"/>
    </row>
    <row r="7431" spans="1:1" x14ac:dyDescent="0.2">
      <c r="A7431" s="53"/>
    </row>
    <row r="7432" spans="1:1" x14ac:dyDescent="0.2">
      <c r="A7432" s="52"/>
    </row>
    <row r="7433" spans="1:1" x14ac:dyDescent="0.2">
      <c r="A7433" s="52"/>
    </row>
    <row r="7434" spans="1:1" x14ac:dyDescent="0.2">
      <c r="A7434" s="52"/>
    </row>
    <row r="7435" spans="1:1" x14ac:dyDescent="0.2">
      <c r="A7435" s="52"/>
    </row>
    <row r="7436" spans="1:1" x14ac:dyDescent="0.2">
      <c r="A7436" s="52"/>
    </row>
    <row r="7437" spans="1:1" x14ac:dyDescent="0.2">
      <c r="A7437" s="52"/>
    </row>
    <row r="7438" spans="1:1" x14ac:dyDescent="0.2">
      <c r="A7438" s="52"/>
    </row>
    <row r="7439" spans="1:1" x14ac:dyDescent="0.2">
      <c r="A7439" s="52"/>
    </row>
    <row r="7440" spans="1:1" x14ac:dyDescent="0.2">
      <c r="A7440" s="52"/>
    </row>
    <row r="7441" spans="1:1" x14ac:dyDescent="0.2">
      <c r="A7441" s="52"/>
    </row>
    <row r="7442" spans="1:1" x14ac:dyDescent="0.2">
      <c r="A7442" s="53"/>
    </row>
    <row r="7443" spans="1:1" x14ac:dyDescent="0.2">
      <c r="A7443" s="52"/>
    </row>
    <row r="7444" spans="1:1" x14ac:dyDescent="0.2">
      <c r="A7444" s="52"/>
    </row>
    <row r="7445" spans="1:1" x14ac:dyDescent="0.2">
      <c r="A7445" s="52"/>
    </row>
    <row r="7446" spans="1:1" x14ac:dyDescent="0.2">
      <c r="A7446" s="52"/>
    </row>
    <row r="7447" spans="1:1" x14ac:dyDescent="0.2">
      <c r="A7447" s="52"/>
    </row>
    <row r="7448" spans="1:1" x14ac:dyDescent="0.2">
      <c r="A7448" s="52"/>
    </row>
    <row r="7449" spans="1:1" x14ac:dyDescent="0.2">
      <c r="A7449" s="52"/>
    </row>
    <row r="7450" spans="1:1" x14ac:dyDescent="0.2">
      <c r="A7450" s="52"/>
    </row>
    <row r="7451" spans="1:1" x14ac:dyDescent="0.2">
      <c r="A7451" s="52"/>
    </row>
    <row r="7452" spans="1:1" x14ac:dyDescent="0.2">
      <c r="A7452" s="52"/>
    </row>
    <row r="7453" spans="1:1" x14ac:dyDescent="0.2">
      <c r="A7453" s="52"/>
    </row>
    <row r="7454" spans="1:1" x14ac:dyDescent="0.2">
      <c r="A7454" s="52"/>
    </row>
    <row r="7455" spans="1:1" x14ac:dyDescent="0.2">
      <c r="A7455" s="52"/>
    </row>
    <row r="7456" spans="1:1" x14ac:dyDescent="0.2">
      <c r="A7456" s="52"/>
    </row>
    <row r="7457" spans="1:1" x14ac:dyDescent="0.2">
      <c r="A7457" s="52"/>
    </row>
    <row r="7458" spans="1:1" x14ac:dyDescent="0.2">
      <c r="A7458" s="52"/>
    </row>
    <row r="7459" spans="1:1" x14ac:dyDescent="0.2">
      <c r="A7459" s="52"/>
    </row>
    <row r="7460" spans="1:1" x14ac:dyDescent="0.2">
      <c r="A7460" s="52"/>
    </row>
    <row r="7461" spans="1:1" x14ac:dyDescent="0.2">
      <c r="A7461" s="52"/>
    </row>
    <row r="7462" spans="1:1" x14ac:dyDescent="0.2">
      <c r="A7462" s="52"/>
    </row>
    <row r="7463" spans="1:1" x14ac:dyDescent="0.2">
      <c r="A7463" s="52"/>
    </row>
    <row r="7464" spans="1:1" x14ac:dyDescent="0.2">
      <c r="A7464" s="52"/>
    </row>
    <row r="7465" spans="1:1" x14ac:dyDescent="0.2">
      <c r="A7465" s="52"/>
    </row>
    <row r="7466" spans="1:1" x14ac:dyDescent="0.2">
      <c r="A7466" s="52"/>
    </row>
    <row r="7467" spans="1:1" x14ac:dyDescent="0.2">
      <c r="A7467" s="52"/>
    </row>
    <row r="7468" spans="1:1" x14ac:dyDescent="0.2">
      <c r="A7468" s="52"/>
    </row>
    <row r="7469" spans="1:1" x14ac:dyDescent="0.2">
      <c r="A7469" s="52"/>
    </row>
    <row r="7470" spans="1:1" x14ac:dyDescent="0.2">
      <c r="A7470" s="52"/>
    </row>
    <row r="7471" spans="1:1" x14ac:dyDescent="0.2">
      <c r="A7471" s="52"/>
    </row>
    <row r="7472" spans="1:1" x14ac:dyDescent="0.2">
      <c r="A7472" s="52"/>
    </row>
    <row r="7473" spans="1:1" x14ac:dyDescent="0.2">
      <c r="A7473" s="52"/>
    </row>
    <row r="7474" spans="1:1" x14ac:dyDescent="0.2">
      <c r="A7474" s="53"/>
    </row>
    <row r="7475" spans="1:1" x14ac:dyDescent="0.2">
      <c r="A7475" s="52"/>
    </row>
    <row r="7476" spans="1:1" x14ac:dyDescent="0.2">
      <c r="A7476" s="52"/>
    </row>
    <row r="7477" spans="1:1" x14ac:dyDescent="0.2">
      <c r="A7477" s="52"/>
    </row>
    <row r="7478" spans="1:1" x14ac:dyDescent="0.2">
      <c r="A7478" s="52"/>
    </row>
    <row r="7479" spans="1:1" x14ac:dyDescent="0.2">
      <c r="A7479" s="52"/>
    </row>
    <row r="7480" spans="1:1" x14ac:dyDescent="0.2">
      <c r="A7480" s="52"/>
    </row>
    <row r="7481" spans="1:1" x14ac:dyDescent="0.2">
      <c r="A7481" s="52"/>
    </row>
    <row r="7482" spans="1:1" x14ac:dyDescent="0.2">
      <c r="A7482" s="52"/>
    </row>
    <row r="7483" spans="1:1" x14ac:dyDescent="0.2">
      <c r="A7483" s="52"/>
    </row>
    <row r="7484" spans="1:1" x14ac:dyDescent="0.2">
      <c r="A7484" s="52"/>
    </row>
    <row r="7485" spans="1:1" x14ac:dyDescent="0.2">
      <c r="A7485" s="52"/>
    </row>
    <row r="7486" spans="1:1" x14ac:dyDescent="0.2">
      <c r="A7486" s="52"/>
    </row>
    <row r="7487" spans="1:1" x14ac:dyDescent="0.2">
      <c r="A7487" s="52"/>
    </row>
    <row r="7488" spans="1:1" x14ac:dyDescent="0.2">
      <c r="A7488" s="52"/>
    </row>
    <row r="7489" spans="1:1" x14ac:dyDescent="0.2">
      <c r="A7489" s="52"/>
    </row>
    <row r="7490" spans="1:1" x14ac:dyDescent="0.2">
      <c r="A7490" s="52"/>
    </row>
    <row r="7491" spans="1:1" x14ac:dyDescent="0.2">
      <c r="A7491" s="52"/>
    </row>
    <row r="7492" spans="1:1" x14ac:dyDescent="0.2">
      <c r="A7492" s="52"/>
    </row>
    <row r="7493" spans="1:1" x14ac:dyDescent="0.2">
      <c r="A7493" s="52"/>
    </row>
    <row r="7494" spans="1:1" x14ac:dyDescent="0.2">
      <c r="A7494" s="52"/>
    </row>
    <row r="7495" spans="1:1" x14ac:dyDescent="0.2">
      <c r="A7495" s="53"/>
    </row>
    <row r="7496" spans="1:1" x14ac:dyDescent="0.2">
      <c r="A7496" s="53"/>
    </row>
    <row r="7497" spans="1:1" x14ac:dyDescent="0.2">
      <c r="A7497" s="52"/>
    </row>
    <row r="7498" spans="1:1" x14ac:dyDescent="0.2">
      <c r="A7498" s="52"/>
    </row>
    <row r="7499" spans="1:1" x14ac:dyDescent="0.2">
      <c r="A7499" s="52"/>
    </row>
    <row r="7500" spans="1:1" x14ac:dyDescent="0.2">
      <c r="A7500" s="52"/>
    </row>
    <row r="7501" spans="1:1" x14ac:dyDescent="0.2">
      <c r="A7501" s="52"/>
    </row>
    <row r="7502" spans="1:1" x14ac:dyDescent="0.2">
      <c r="A7502" s="52"/>
    </row>
    <row r="7503" spans="1:1" x14ac:dyDescent="0.2">
      <c r="A7503" s="52"/>
    </row>
    <row r="7504" spans="1:1" x14ac:dyDescent="0.2">
      <c r="A7504" s="52"/>
    </row>
    <row r="7505" spans="1:1" x14ac:dyDescent="0.2">
      <c r="A7505" s="52"/>
    </row>
    <row r="7506" spans="1:1" x14ac:dyDescent="0.2">
      <c r="A7506" s="53"/>
    </row>
    <row r="7507" spans="1:1" x14ac:dyDescent="0.2">
      <c r="A7507" s="52"/>
    </row>
    <row r="7508" spans="1:1" x14ac:dyDescent="0.2">
      <c r="A7508" s="52"/>
    </row>
    <row r="7509" spans="1:1" x14ac:dyDescent="0.2">
      <c r="A7509" s="52"/>
    </row>
    <row r="7510" spans="1:1" x14ac:dyDescent="0.2">
      <c r="A7510" s="52"/>
    </row>
    <row r="7511" spans="1:1" x14ac:dyDescent="0.2">
      <c r="A7511" s="52"/>
    </row>
    <row r="7512" spans="1:1" x14ac:dyDescent="0.2">
      <c r="A7512" s="52"/>
    </row>
    <row r="7513" spans="1:1" x14ac:dyDescent="0.2">
      <c r="A7513" s="52"/>
    </row>
    <row r="7514" spans="1:1" x14ac:dyDescent="0.2">
      <c r="A7514" s="52"/>
    </row>
    <row r="7515" spans="1:1" x14ac:dyDescent="0.2">
      <c r="A7515" s="52"/>
    </row>
    <row r="7516" spans="1:1" x14ac:dyDescent="0.2">
      <c r="A7516" s="52"/>
    </row>
    <row r="7517" spans="1:1" x14ac:dyDescent="0.2">
      <c r="A7517" s="52"/>
    </row>
    <row r="7518" spans="1:1" x14ac:dyDescent="0.2">
      <c r="A7518" s="52"/>
    </row>
    <row r="7519" spans="1:1" x14ac:dyDescent="0.2">
      <c r="A7519" s="52"/>
    </row>
    <row r="7520" spans="1:1" x14ac:dyDescent="0.2">
      <c r="A7520" s="52"/>
    </row>
    <row r="7521" spans="1:1" x14ac:dyDescent="0.2">
      <c r="A7521" s="53"/>
    </row>
    <row r="7522" spans="1:1" x14ac:dyDescent="0.2">
      <c r="A7522" s="52"/>
    </row>
    <row r="7523" spans="1:1" x14ac:dyDescent="0.2">
      <c r="A7523" s="52"/>
    </row>
    <row r="7524" spans="1:1" x14ac:dyDescent="0.2">
      <c r="A7524" s="53"/>
    </row>
    <row r="7525" spans="1:1" x14ac:dyDescent="0.2">
      <c r="A7525" s="52"/>
    </row>
    <row r="7526" spans="1:1" x14ac:dyDescent="0.2">
      <c r="A7526" s="52"/>
    </row>
    <row r="7527" spans="1:1" x14ac:dyDescent="0.2">
      <c r="A7527" s="52"/>
    </row>
    <row r="7528" spans="1:1" x14ac:dyDescent="0.2">
      <c r="A7528" s="52"/>
    </row>
    <row r="7529" spans="1:1" x14ac:dyDescent="0.2">
      <c r="A7529" s="52"/>
    </row>
    <row r="7530" spans="1:1" x14ac:dyDescent="0.2">
      <c r="A7530" s="52"/>
    </row>
    <row r="7531" spans="1:1" x14ac:dyDescent="0.2">
      <c r="A7531" s="52"/>
    </row>
    <row r="7532" spans="1:1" x14ac:dyDescent="0.2">
      <c r="A7532" s="52"/>
    </row>
    <row r="7533" spans="1:1" x14ac:dyDescent="0.2">
      <c r="A7533" s="53"/>
    </row>
    <row r="7534" spans="1:1" x14ac:dyDescent="0.2">
      <c r="A7534" s="52"/>
    </row>
    <row r="7535" spans="1:1" x14ac:dyDescent="0.2">
      <c r="A7535" s="52"/>
    </row>
    <row r="7536" spans="1:1" x14ac:dyDescent="0.2">
      <c r="A7536" s="52"/>
    </row>
    <row r="7537" spans="1:1" x14ac:dyDescent="0.2">
      <c r="A7537" s="53"/>
    </row>
    <row r="7538" spans="1:1" x14ac:dyDescent="0.2">
      <c r="A7538" s="53"/>
    </row>
    <row r="7539" spans="1:1" x14ac:dyDescent="0.2">
      <c r="A7539" s="52"/>
    </row>
    <row r="7540" spans="1:1" x14ac:dyDescent="0.2">
      <c r="A7540" s="52"/>
    </row>
    <row r="7541" spans="1:1" x14ac:dyDescent="0.2">
      <c r="A7541" s="52"/>
    </row>
    <row r="7542" spans="1:1" x14ac:dyDescent="0.2">
      <c r="A7542" s="52"/>
    </row>
    <row r="7543" spans="1:1" x14ac:dyDescent="0.2">
      <c r="A7543" s="52"/>
    </row>
    <row r="7544" spans="1:1" x14ac:dyDescent="0.2">
      <c r="A7544" s="52"/>
    </row>
    <row r="7545" spans="1:1" x14ac:dyDescent="0.2">
      <c r="A7545" s="52"/>
    </row>
    <row r="7546" spans="1:1" x14ac:dyDescent="0.2">
      <c r="A7546" s="52"/>
    </row>
    <row r="7547" spans="1:1" x14ac:dyDescent="0.2">
      <c r="A7547" s="52"/>
    </row>
    <row r="7548" spans="1:1" x14ac:dyDescent="0.2">
      <c r="A7548" s="52"/>
    </row>
    <row r="7549" spans="1:1" x14ac:dyDescent="0.2">
      <c r="A7549" s="52"/>
    </row>
    <row r="7550" spans="1:1" x14ac:dyDescent="0.2">
      <c r="A7550" s="52"/>
    </row>
    <row r="7551" spans="1:1" x14ac:dyDescent="0.2">
      <c r="A7551" s="53"/>
    </row>
    <row r="7552" spans="1:1" x14ac:dyDescent="0.2">
      <c r="A7552" s="53"/>
    </row>
    <row r="7553" spans="1:1" x14ac:dyDescent="0.2">
      <c r="A7553" s="52"/>
    </row>
    <row r="7554" spans="1:1" x14ac:dyDescent="0.2">
      <c r="A7554" s="52"/>
    </row>
    <row r="7555" spans="1:1" x14ac:dyDescent="0.2">
      <c r="A7555" s="52"/>
    </row>
    <row r="7556" spans="1:1" x14ac:dyDescent="0.2">
      <c r="A7556" s="52"/>
    </row>
    <row r="7557" spans="1:1" x14ac:dyDescent="0.2">
      <c r="A7557" s="52"/>
    </row>
    <row r="7558" spans="1:1" x14ac:dyDescent="0.2">
      <c r="A7558" s="52"/>
    </row>
    <row r="7559" spans="1:1" x14ac:dyDescent="0.2">
      <c r="A7559" s="52"/>
    </row>
    <row r="7560" spans="1:1" x14ac:dyDescent="0.2">
      <c r="A7560" s="52"/>
    </row>
    <row r="7561" spans="1:1" x14ac:dyDescent="0.2">
      <c r="A7561" s="52"/>
    </row>
    <row r="7562" spans="1:1" x14ac:dyDescent="0.2">
      <c r="A7562" s="52"/>
    </row>
    <row r="7563" spans="1:1" x14ac:dyDescent="0.2">
      <c r="A7563" s="52"/>
    </row>
    <row r="7564" spans="1:1" x14ac:dyDescent="0.2">
      <c r="A7564" s="52"/>
    </row>
    <row r="7565" spans="1:1" x14ac:dyDescent="0.2">
      <c r="A7565" s="52"/>
    </row>
    <row r="7566" spans="1:1" x14ac:dyDescent="0.2">
      <c r="A7566" s="52"/>
    </row>
    <row r="7567" spans="1:1" x14ac:dyDescent="0.2">
      <c r="A7567" s="52"/>
    </row>
    <row r="7568" spans="1:1" x14ac:dyDescent="0.2">
      <c r="A7568" s="52"/>
    </row>
    <row r="7569" spans="1:1" x14ac:dyDescent="0.2">
      <c r="A7569" s="52"/>
    </row>
    <row r="7570" spans="1:1" x14ac:dyDescent="0.2">
      <c r="A7570" s="52"/>
    </row>
    <row r="7571" spans="1:1" x14ac:dyDescent="0.2">
      <c r="A7571" s="52"/>
    </row>
    <row r="7572" spans="1:1" x14ac:dyDescent="0.2">
      <c r="A7572" s="52"/>
    </row>
    <row r="7573" spans="1:1" x14ac:dyDescent="0.2">
      <c r="A7573" s="52"/>
    </row>
    <row r="7574" spans="1:1" x14ac:dyDescent="0.2">
      <c r="A7574" s="52"/>
    </row>
    <row r="7575" spans="1:1" x14ac:dyDescent="0.2">
      <c r="A7575" s="52"/>
    </row>
    <row r="7576" spans="1:1" x14ac:dyDescent="0.2">
      <c r="A7576" s="52"/>
    </row>
    <row r="7577" spans="1:1" x14ac:dyDescent="0.2">
      <c r="A7577" s="52"/>
    </row>
    <row r="7578" spans="1:1" x14ac:dyDescent="0.2">
      <c r="A7578" s="52"/>
    </row>
    <row r="7579" spans="1:1" x14ac:dyDescent="0.2">
      <c r="A7579" s="52"/>
    </row>
    <row r="7580" spans="1:1" x14ac:dyDescent="0.2">
      <c r="A7580" s="52"/>
    </row>
    <row r="7581" spans="1:1" x14ac:dyDescent="0.2">
      <c r="A7581" s="52"/>
    </row>
    <row r="7582" spans="1:1" x14ac:dyDescent="0.2">
      <c r="A7582" s="53"/>
    </row>
    <row r="7583" spans="1:1" x14ac:dyDescent="0.2">
      <c r="A7583" s="52"/>
    </row>
    <row r="7584" spans="1:1" x14ac:dyDescent="0.2">
      <c r="A7584" s="52"/>
    </row>
    <row r="7585" spans="1:1" x14ac:dyDescent="0.2">
      <c r="A7585" s="52"/>
    </row>
    <row r="7586" spans="1:1" x14ac:dyDescent="0.2">
      <c r="A7586" s="52"/>
    </row>
    <row r="7587" spans="1:1" x14ac:dyDescent="0.2">
      <c r="A7587" s="52"/>
    </row>
    <row r="7588" spans="1:1" x14ac:dyDescent="0.2">
      <c r="A7588" s="52"/>
    </row>
    <row r="7589" spans="1:1" x14ac:dyDescent="0.2">
      <c r="A7589" s="52"/>
    </row>
    <row r="7590" spans="1:1" x14ac:dyDescent="0.2">
      <c r="A7590" s="52"/>
    </row>
    <row r="7591" spans="1:1" x14ac:dyDescent="0.2">
      <c r="A7591" s="52"/>
    </row>
    <row r="7592" spans="1:1" x14ac:dyDescent="0.2">
      <c r="A7592" s="52"/>
    </row>
    <row r="7593" spans="1:1" x14ac:dyDescent="0.2">
      <c r="A7593" s="52"/>
    </row>
    <row r="7594" spans="1:1" x14ac:dyDescent="0.2">
      <c r="A7594" s="52"/>
    </row>
    <row r="7595" spans="1:1" x14ac:dyDescent="0.2">
      <c r="A7595" s="52"/>
    </row>
    <row r="7596" spans="1:1" x14ac:dyDescent="0.2">
      <c r="A7596" s="52"/>
    </row>
    <row r="7597" spans="1:1" x14ac:dyDescent="0.2">
      <c r="A7597" s="52"/>
    </row>
    <row r="7598" spans="1:1" x14ac:dyDescent="0.2">
      <c r="A7598" s="52"/>
    </row>
    <row r="7599" spans="1:1" x14ac:dyDescent="0.2">
      <c r="A7599" s="52"/>
    </row>
    <row r="7600" spans="1:1" x14ac:dyDescent="0.2">
      <c r="A7600" s="52"/>
    </row>
    <row r="7601" spans="1:1" x14ac:dyDescent="0.2">
      <c r="A7601" s="52"/>
    </row>
    <row r="7602" spans="1:1" x14ac:dyDescent="0.2">
      <c r="A7602" s="52"/>
    </row>
    <row r="7603" spans="1:1" x14ac:dyDescent="0.2">
      <c r="A7603" s="52"/>
    </row>
    <row r="7604" spans="1:1" x14ac:dyDescent="0.2">
      <c r="A7604" s="52"/>
    </row>
    <row r="7605" spans="1:1" x14ac:dyDescent="0.2">
      <c r="A7605" s="52"/>
    </row>
    <row r="7606" spans="1:1" x14ac:dyDescent="0.2">
      <c r="A7606" s="52"/>
    </row>
    <row r="7607" spans="1:1" x14ac:dyDescent="0.2">
      <c r="A7607" s="52"/>
    </row>
    <row r="7608" spans="1:1" x14ac:dyDescent="0.2">
      <c r="A7608" s="52"/>
    </row>
    <row r="7609" spans="1:1" x14ac:dyDescent="0.2">
      <c r="A7609" s="52"/>
    </row>
    <row r="7610" spans="1:1" x14ac:dyDescent="0.2">
      <c r="A7610" s="52"/>
    </row>
    <row r="7611" spans="1:1" x14ac:dyDescent="0.2">
      <c r="A7611" s="52"/>
    </row>
    <row r="7612" spans="1:1" x14ac:dyDescent="0.2">
      <c r="A7612" s="52"/>
    </row>
    <row r="7613" spans="1:1" x14ac:dyDescent="0.2">
      <c r="A7613" s="52"/>
    </row>
    <row r="7614" spans="1:1" x14ac:dyDescent="0.2">
      <c r="A7614" s="52"/>
    </row>
    <row r="7615" spans="1:1" x14ac:dyDescent="0.2">
      <c r="A7615" s="52"/>
    </row>
    <row r="7616" spans="1:1" x14ac:dyDescent="0.2">
      <c r="A7616" s="52"/>
    </row>
    <row r="7617" spans="1:1" x14ac:dyDescent="0.2">
      <c r="A7617" s="52"/>
    </row>
    <row r="7618" spans="1:1" x14ac:dyDescent="0.2">
      <c r="A7618" s="52"/>
    </row>
    <row r="7619" spans="1:1" x14ac:dyDescent="0.2">
      <c r="A7619" s="52"/>
    </row>
    <row r="7620" spans="1:1" x14ac:dyDescent="0.2">
      <c r="A7620" s="52"/>
    </row>
    <row r="7621" spans="1:1" x14ac:dyDescent="0.2">
      <c r="A7621" s="52"/>
    </row>
    <row r="7622" spans="1:1" x14ac:dyDescent="0.2">
      <c r="A7622" s="52"/>
    </row>
    <row r="7623" spans="1:1" x14ac:dyDescent="0.2">
      <c r="A7623" s="52"/>
    </row>
    <row r="7624" spans="1:1" x14ac:dyDescent="0.2">
      <c r="A7624" s="52"/>
    </row>
    <row r="7625" spans="1:1" x14ac:dyDescent="0.2">
      <c r="A7625" s="52"/>
    </row>
    <row r="7626" spans="1:1" x14ac:dyDescent="0.2">
      <c r="A7626" s="52"/>
    </row>
    <row r="7627" spans="1:1" x14ac:dyDescent="0.2">
      <c r="A7627" s="52"/>
    </row>
    <row r="7628" spans="1:1" x14ac:dyDescent="0.2">
      <c r="A7628" s="52"/>
    </row>
    <row r="7629" spans="1:1" x14ac:dyDescent="0.2">
      <c r="A7629" s="52"/>
    </row>
    <row r="7630" spans="1:1" x14ac:dyDescent="0.2">
      <c r="A7630" s="52"/>
    </row>
    <row r="7631" spans="1:1" x14ac:dyDescent="0.2">
      <c r="A7631" s="53"/>
    </row>
    <row r="7632" spans="1:1" x14ac:dyDescent="0.2">
      <c r="A7632" s="52"/>
    </row>
    <row r="7633" spans="1:1" x14ac:dyDescent="0.2">
      <c r="A7633" s="52"/>
    </row>
    <row r="7634" spans="1:1" x14ac:dyDescent="0.2">
      <c r="A7634" s="52"/>
    </row>
    <row r="7635" spans="1:1" x14ac:dyDescent="0.2">
      <c r="A7635" s="52"/>
    </row>
    <row r="7636" spans="1:1" x14ac:dyDescent="0.2">
      <c r="A7636" s="52"/>
    </row>
    <row r="7637" spans="1:1" x14ac:dyDescent="0.2">
      <c r="A7637" s="52"/>
    </row>
    <row r="7638" spans="1:1" x14ac:dyDescent="0.2">
      <c r="A7638" s="52"/>
    </row>
    <row r="7639" spans="1:1" x14ac:dyDescent="0.2">
      <c r="A7639" s="52"/>
    </row>
    <row r="7640" spans="1:1" x14ac:dyDescent="0.2">
      <c r="A7640" s="52"/>
    </row>
    <row r="7641" spans="1:1" x14ac:dyDescent="0.2">
      <c r="A7641" s="52"/>
    </row>
    <row r="7642" spans="1:1" x14ac:dyDescent="0.2">
      <c r="A7642" s="52"/>
    </row>
    <row r="7643" spans="1:1" x14ac:dyDescent="0.2">
      <c r="A7643" s="52"/>
    </row>
    <row r="7644" spans="1:1" x14ac:dyDescent="0.2">
      <c r="A7644" s="52"/>
    </row>
    <row r="7645" spans="1:1" x14ac:dyDescent="0.2">
      <c r="A7645" s="52"/>
    </row>
    <row r="7646" spans="1:1" x14ac:dyDescent="0.2">
      <c r="A7646" s="53"/>
    </row>
    <row r="7647" spans="1:1" x14ac:dyDescent="0.2">
      <c r="A7647" s="52"/>
    </row>
    <row r="7648" spans="1:1" x14ac:dyDescent="0.2">
      <c r="A7648" s="52"/>
    </row>
    <row r="7649" spans="1:1" x14ac:dyDescent="0.2">
      <c r="A7649" s="52"/>
    </row>
    <row r="7650" spans="1:1" x14ac:dyDescent="0.2">
      <c r="A7650" s="52"/>
    </row>
    <row r="7651" spans="1:1" x14ac:dyDescent="0.2">
      <c r="A7651" s="52"/>
    </row>
    <row r="7652" spans="1:1" x14ac:dyDescent="0.2">
      <c r="A7652" s="52"/>
    </row>
    <row r="7653" spans="1:1" x14ac:dyDescent="0.2">
      <c r="A7653" s="52"/>
    </row>
    <row r="7654" spans="1:1" x14ac:dyDescent="0.2">
      <c r="A7654" s="52"/>
    </row>
    <row r="7655" spans="1:1" x14ac:dyDescent="0.2">
      <c r="A7655" s="52"/>
    </row>
    <row r="7656" spans="1:1" x14ac:dyDescent="0.2">
      <c r="A7656" s="52"/>
    </row>
    <row r="7657" spans="1:1" x14ac:dyDescent="0.2">
      <c r="A7657" s="52"/>
    </row>
    <row r="7658" spans="1:1" x14ac:dyDescent="0.2">
      <c r="A7658" s="52"/>
    </row>
    <row r="7659" spans="1:1" x14ac:dyDescent="0.2">
      <c r="A7659" s="52"/>
    </row>
    <row r="7660" spans="1:1" x14ac:dyDescent="0.2">
      <c r="A7660" s="52"/>
    </row>
    <row r="7661" spans="1:1" x14ac:dyDescent="0.2">
      <c r="A7661" s="52"/>
    </row>
    <row r="7662" spans="1:1" x14ac:dyDescent="0.2">
      <c r="A7662" s="52"/>
    </row>
    <row r="7663" spans="1:1" x14ac:dyDescent="0.2">
      <c r="A7663" s="52"/>
    </row>
    <row r="7664" spans="1:1" x14ac:dyDescent="0.2">
      <c r="A7664" s="52"/>
    </row>
    <row r="7665" spans="1:1" x14ac:dyDescent="0.2">
      <c r="A7665" s="52"/>
    </row>
    <row r="7666" spans="1:1" x14ac:dyDescent="0.2">
      <c r="A7666" s="52"/>
    </row>
    <row r="7667" spans="1:1" x14ac:dyDescent="0.2">
      <c r="A7667" s="52"/>
    </row>
    <row r="7668" spans="1:1" x14ac:dyDescent="0.2">
      <c r="A7668" s="52"/>
    </row>
    <row r="7669" spans="1:1" x14ac:dyDescent="0.2">
      <c r="A7669" s="52"/>
    </row>
    <row r="7670" spans="1:1" x14ac:dyDescent="0.2">
      <c r="A7670" s="52"/>
    </row>
    <row r="7671" spans="1:1" x14ac:dyDescent="0.2">
      <c r="A7671" s="52"/>
    </row>
    <row r="7672" spans="1:1" x14ac:dyDescent="0.2">
      <c r="A7672" s="52"/>
    </row>
    <row r="7673" spans="1:1" x14ac:dyDescent="0.2">
      <c r="A7673" s="52"/>
    </row>
    <row r="7674" spans="1:1" x14ac:dyDescent="0.2">
      <c r="A7674" s="52"/>
    </row>
    <row r="7675" spans="1:1" x14ac:dyDescent="0.2">
      <c r="A7675" s="53"/>
    </row>
    <row r="7676" spans="1:1" x14ac:dyDescent="0.2">
      <c r="A7676" s="52"/>
    </row>
    <row r="7677" spans="1:1" x14ac:dyDescent="0.2">
      <c r="A7677" s="53"/>
    </row>
    <row r="7678" spans="1:1" x14ac:dyDescent="0.2">
      <c r="A7678" s="52"/>
    </row>
    <row r="7679" spans="1:1" x14ac:dyDescent="0.2">
      <c r="A7679" s="52"/>
    </row>
    <row r="7680" spans="1:1" x14ac:dyDescent="0.2">
      <c r="A7680" s="52"/>
    </row>
    <row r="7681" spans="1:1" x14ac:dyDescent="0.2">
      <c r="A7681" s="52"/>
    </row>
    <row r="7682" spans="1:1" x14ac:dyDescent="0.2">
      <c r="A7682" s="52"/>
    </row>
    <row r="7683" spans="1:1" x14ac:dyDescent="0.2">
      <c r="A7683" s="52"/>
    </row>
    <row r="7684" spans="1:1" x14ac:dyDescent="0.2">
      <c r="A7684" s="52"/>
    </row>
    <row r="7685" spans="1:1" x14ac:dyDescent="0.2">
      <c r="A7685" s="52"/>
    </row>
    <row r="7686" spans="1:1" x14ac:dyDescent="0.2">
      <c r="A7686" s="52"/>
    </row>
    <row r="7687" spans="1:1" x14ac:dyDescent="0.2">
      <c r="A7687" s="52"/>
    </row>
    <row r="7688" spans="1:1" x14ac:dyDescent="0.2">
      <c r="A7688" s="52"/>
    </row>
    <row r="7689" spans="1:1" x14ac:dyDescent="0.2">
      <c r="A7689" s="52"/>
    </row>
    <row r="7690" spans="1:1" x14ac:dyDescent="0.2">
      <c r="A7690" s="52"/>
    </row>
    <row r="7691" spans="1:1" x14ac:dyDescent="0.2">
      <c r="A7691" s="52"/>
    </row>
    <row r="7692" spans="1:1" x14ac:dyDescent="0.2">
      <c r="A7692" s="52"/>
    </row>
    <row r="7693" spans="1:1" x14ac:dyDescent="0.2">
      <c r="A7693" s="52"/>
    </row>
    <row r="7694" spans="1:1" x14ac:dyDescent="0.2">
      <c r="A7694" s="53"/>
    </row>
    <row r="7695" spans="1:1" x14ac:dyDescent="0.2">
      <c r="A7695" s="52"/>
    </row>
    <row r="7696" spans="1:1" x14ac:dyDescent="0.2">
      <c r="A7696" s="52"/>
    </row>
    <row r="7697" spans="1:1" x14ac:dyDescent="0.2">
      <c r="A7697" s="52"/>
    </row>
    <row r="7698" spans="1:1" x14ac:dyDescent="0.2">
      <c r="A7698" s="52"/>
    </row>
    <row r="7699" spans="1:1" x14ac:dyDescent="0.2">
      <c r="A7699" s="52"/>
    </row>
    <row r="7700" spans="1:1" x14ac:dyDescent="0.2">
      <c r="A7700" s="52"/>
    </row>
    <row r="7701" spans="1:1" x14ac:dyDescent="0.2">
      <c r="A7701" s="52"/>
    </row>
    <row r="7702" spans="1:1" x14ac:dyDescent="0.2">
      <c r="A7702" s="53"/>
    </row>
    <row r="7703" spans="1:1" x14ac:dyDescent="0.2">
      <c r="A7703" s="52"/>
    </row>
    <row r="7704" spans="1:1" x14ac:dyDescent="0.2">
      <c r="A7704" s="52"/>
    </row>
    <row r="7705" spans="1:1" x14ac:dyDescent="0.2">
      <c r="A7705" s="52"/>
    </row>
    <row r="7706" spans="1:1" x14ac:dyDescent="0.2">
      <c r="A7706" s="52"/>
    </row>
    <row r="7707" spans="1:1" x14ac:dyDescent="0.2">
      <c r="A7707" s="53"/>
    </row>
    <row r="7708" spans="1:1" x14ac:dyDescent="0.2">
      <c r="A7708" s="52"/>
    </row>
    <row r="7709" spans="1:1" x14ac:dyDescent="0.2">
      <c r="A7709" s="52"/>
    </row>
    <row r="7710" spans="1:1" x14ac:dyDescent="0.2">
      <c r="A7710" s="52"/>
    </row>
    <row r="7711" spans="1:1" x14ac:dyDescent="0.2">
      <c r="A7711" s="52"/>
    </row>
    <row r="7712" spans="1:1" x14ac:dyDescent="0.2">
      <c r="A7712" s="52"/>
    </row>
    <row r="7713" spans="1:1" x14ac:dyDescent="0.2">
      <c r="A7713" s="52"/>
    </row>
    <row r="7714" spans="1:1" x14ac:dyDescent="0.2">
      <c r="A7714" s="52"/>
    </row>
    <row r="7715" spans="1:1" x14ac:dyDescent="0.2">
      <c r="A7715" s="52"/>
    </row>
    <row r="7716" spans="1:1" x14ac:dyDescent="0.2">
      <c r="A7716" s="52"/>
    </row>
    <row r="7717" spans="1:1" x14ac:dyDescent="0.2">
      <c r="A7717" s="52"/>
    </row>
    <row r="7718" spans="1:1" x14ac:dyDescent="0.2">
      <c r="A7718" s="52"/>
    </row>
    <row r="7719" spans="1:1" x14ac:dyDescent="0.2">
      <c r="A7719" s="52"/>
    </row>
    <row r="7720" spans="1:1" x14ac:dyDescent="0.2">
      <c r="A7720" s="52"/>
    </row>
    <row r="7721" spans="1:1" x14ac:dyDescent="0.2">
      <c r="A7721" s="52"/>
    </row>
    <row r="7722" spans="1:1" x14ac:dyDescent="0.2">
      <c r="A7722" s="52"/>
    </row>
    <row r="7723" spans="1:1" x14ac:dyDescent="0.2">
      <c r="A7723" s="52"/>
    </row>
    <row r="7724" spans="1:1" x14ac:dyDescent="0.2">
      <c r="A7724" s="53"/>
    </row>
    <row r="7725" spans="1:1" x14ac:dyDescent="0.2">
      <c r="A7725" s="52"/>
    </row>
    <row r="7726" spans="1:1" x14ac:dyDescent="0.2">
      <c r="A7726" s="52"/>
    </row>
    <row r="7727" spans="1:1" x14ac:dyDescent="0.2">
      <c r="A7727" s="52"/>
    </row>
    <row r="7728" spans="1:1" x14ac:dyDescent="0.2">
      <c r="A7728" s="52"/>
    </row>
    <row r="7729" spans="1:1" x14ac:dyDescent="0.2">
      <c r="A7729" s="52"/>
    </row>
    <row r="7730" spans="1:1" x14ac:dyDescent="0.2">
      <c r="A7730" s="52"/>
    </row>
    <row r="7731" spans="1:1" x14ac:dyDescent="0.2">
      <c r="A7731" s="52"/>
    </row>
    <row r="7732" spans="1:1" x14ac:dyDescent="0.2">
      <c r="A7732" s="52"/>
    </row>
    <row r="7733" spans="1:1" x14ac:dyDescent="0.2">
      <c r="A7733" s="52"/>
    </row>
    <row r="7734" spans="1:1" x14ac:dyDescent="0.2">
      <c r="A7734" s="52"/>
    </row>
    <row r="7735" spans="1:1" x14ac:dyDescent="0.2">
      <c r="A7735" s="52"/>
    </row>
    <row r="7736" spans="1:1" x14ac:dyDescent="0.2">
      <c r="A7736" s="52"/>
    </row>
    <row r="7737" spans="1:1" x14ac:dyDescent="0.2">
      <c r="A7737" s="52"/>
    </row>
    <row r="7738" spans="1:1" x14ac:dyDescent="0.2">
      <c r="A7738" s="53"/>
    </row>
    <row r="7739" spans="1:1" x14ac:dyDescent="0.2">
      <c r="A7739" s="53"/>
    </row>
    <row r="7740" spans="1:1" x14ac:dyDescent="0.2">
      <c r="A7740" s="52"/>
    </row>
    <row r="7741" spans="1:1" x14ac:dyDescent="0.2">
      <c r="A7741" s="52"/>
    </row>
    <row r="7742" spans="1:1" x14ac:dyDescent="0.2">
      <c r="A7742" s="52"/>
    </row>
    <row r="7743" spans="1:1" x14ac:dyDescent="0.2">
      <c r="A7743" s="52"/>
    </row>
    <row r="7744" spans="1:1" x14ac:dyDescent="0.2">
      <c r="A7744" s="52"/>
    </row>
    <row r="7745" spans="1:1" x14ac:dyDescent="0.2">
      <c r="A7745" s="52"/>
    </row>
    <row r="7746" spans="1:1" x14ac:dyDescent="0.2">
      <c r="A7746" s="52"/>
    </row>
    <row r="7747" spans="1:1" x14ac:dyDescent="0.2">
      <c r="A7747" s="52"/>
    </row>
    <row r="7748" spans="1:1" x14ac:dyDescent="0.2">
      <c r="A7748" s="52"/>
    </row>
    <row r="7749" spans="1:1" x14ac:dyDescent="0.2">
      <c r="A7749" s="52"/>
    </row>
    <row r="7750" spans="1:1" x14ac:dyDescent="0.2">
      <c r="A7750" s="52"/>
    </row>
    <row r="7751" spans="1:1" x14ac:dyDescent="0.2">
      <c r="A7751" s="52"/>
    </row>
    <row r="7752" spans="1:1" x14ac:dyDescent="0.2">
      <c r="A7752" s="53"/>
    </row>
    <row r="7753" spans="1:1" x14ac:dyDescent="0.2">
      <c r="A7753" s="52"/>
    </row>
    <row r="7754" spans="1:1" x14ac:dyDescent="0.2">
      <c r="A7754" s="52"/>
    </row>
    <row r="7755" spans="1:1" x14ac:dyDescent="0.2">
      <c r="A7755" s="52"/>
    </row>
    <row r="7756" spans="1:1" x14ac:dyDescent="0.2">
      <c r="A7756" s="52"/>
    </row>
    <row r="7757" spans="1:1" x14ac:dyDescent="0.2">
      <c r="A7757" s="52"/>
    </row>
    <row r="7758" spans="1:1" x14ac:dyDescent="0.2">
      <c r="A7758" s="52"/>
    </row>
    <row r="7759" spans="1:1" x14ac:dyDescent="0.2">
      <c r="A7759" s="52"/>
    </row>
    <row r="7760" spans="1:1" x14ac:dyDescent="0.2">
      <c r="A7760" s="52"/>
    </row>
    <row r="7761" spans="1:1" x14ac:dyDescent="0.2">
      <c r="A7761" s="52"/>
    </row>
    <row r="7762" spans="1:1" x14ac:dyDescent="0.2">
      <c r="A7762" s="53"/>
    </row>
    <row r="7763" spans="1:1" x14ac:dyDescent="0.2">
      <c r="A7763" s="53"/>
    </row>
    <row r="7764" spans="1:1" x14ac:dyDescent="0.2">
      <c r="A7764" s="52"/>
    </row>
    <row r="7765" spans="1:1" x14ac:dyDescent="0.2">
      <c r="A7765" s="52"/>
    </row>
    <row r="7766" spans="1:1" x14ac:dyDescent="0.2">
      <c r="A7766" s="52"/>
    </row>
    <row r="7767" spans="1:1" x14ac:dyDescent="0.2">
      <c r="A7767" s="52"/>
    </row>
    <row r="7768" spans="1:1" x14ac:dyDescent="0.2">
      <c r="A7768" s="52"/>
    </row>
    <row r="7769" spans="1:1" x14ac:dyDescent="0.2">
      <c r="A7769" s="53"/>
    </row>
    <row r="7770" spans="1:1" x14ac:dyDescent="0.2">
      <c r="A7770" s="52"/>
    </row>
    <row r="7771" spans="1:1" x14ac:dyDescent="0.2">
      <c r="A7771" s="52"/>
    </row>
    <row r="7772" spans="1:1" x14ac:dyDescent="0.2">
      <c r="A7772" s="52"/>
    </row>
    <row r="7773" spans="1:1" x14ac:dyDescent="0.2">
      <c r="A7773" s="52"/>
    </row>
    <row r="7774" spans="1:1" x14ac:dyDescent="0.2">
      <c r="A7774" s="53"/>
    </row>
    <row r="7775" spans="1:1" x14ac:dyDescent="0.2">
      <c r="A7775" s="52"/>
    </row>
    <row r="7776" spans="1:1" x14ac:dyDescent="0.2">
      <c r="A7776" s="52"/>
    </row>
    <row r="7777" spans="1:1" x14ac:dyDescent="0.2">
      <c r="A7777" s="52"/>
    </row>
    <row r="7778" spans="1:1" x14ac:dyDescent="0.2">
      <c r="A7778" s="52"/>
    </row>
    <row r="7779" spans="1:1" x14ac:dyDescent="0.2">
      <c r="A7779" s="52"/>
    </row>
    <row r="7780" spans="1:1" x14ac:dyDescent="0.2">
      <c r="A7780" s="52"/>
    </row>
    <row r="7781" spans="1:1" x14ac:dyDescent="0.2">
      <c r="A7781" s="52"/>
    </row>
    <row r="7782" spans="1:1" x14ac:dyDescent="0.2">
      <c r="A7782" s="52"/>
    </row>
    <row r="7783" spans="1:1" x14ac:dyDescent="0.2">
      <c r="A7783" s="52"/>
    </row>
    <row r="7784" spans="1:1" x14ac:dyDescent="0.2">
      <c r="A7784" s="52"/>
    </row>
    <row r="7785" spans="1:1" x14ac:dyDescent="0.2">
      <c r="A7785" s="52"/>
    </row>
    <row r="7786" spans="1:1" x14ac:dyDescent="0.2">
      <c r="A7786" s="52"/>
    </row>
    <row r="7787" spans="1:1" x14ac:dyDescent="0.2">
      <c r="A7787" s="52"/>
    </row>
    <row r="7788" spans="1:1" x14ac:dyDescent="0.2">
      <c r="A7788" s="52"/>
    </row>
    <row r="7789" spans="1:1" x14ac:dyDescent="0.2">
      <c r="A7789" s="53"/>
    </row>
    <row r="7790" spans="1:1" x14ac:dyDescent="0.2">
      <c r="A7790" s="52"/>
    </row>
    <row r="7791" spans="1:1" x14ac:dyDescent="0.2">
      <c r="A7791" s="52"/>
    </row>
    <row r="7792" spans="1:1" x14ac:dyDescent="0.2">
      <c r="A7792" s="52"/>
    </row>
    <row r="7793" spans="1:1" x14ac:dyDescent="0.2">
      <c r="A7793" s="53"/>
    </row>
    <row r="7794" spans="1:1" x14ac:dyDescent="0.2">
      <c r="A7794" s="52"/>
    </row>
    <row r="7795" spans="1:1" x14ac:dyDescent="0.2">
      <c r="A7795" s="52"/>
    </row>
    <row r="7796" spans="1:1" x14ac:dyDescent="0.2">
      <c r="A7796" s="52"/>
    </row>
    <row r="7797" spans="1:1" x14ac:dyDescent="0.2">
      <c r="A7797" s="52"/>
    </row>
    <row r="7798" spans="1:1" x14ac:dyDescent="0.2">
      <c r="A7798" s="52"/>
    </row>
    <row r="7799" spans="1:1" x14ac:dyDescent="0.2">
      <c r="A7799" s="52"/>
    </row>
    <row r="7800" spans="1:1" x14ac:dyDescent="0.2">
      <c r="A7800" s="52"/>
    </row>
    <row r="7801" spans="1:1" x14ac:dyDescent="0.2">
      <c r="A7801" s="52"/>
    </row>
    <row r="7802" spans="1:1" x14ac:dyDescent="0.2">
      <c r="A7802" s="52"/>
    </row>
    <row r="7803" spans="1:1" x14ac:dyDescent="0.2">
      <c r="A7803" s="52"/>
    </row>
    <row r="7804" spans="1:1" x14ac:dyDescent="0.2">
      <c r="A7804" s="52"/>
    </row>
    <row r="7805" spans="1:1" x14ac:dyDescent="0.2">
      <c r="A7805" s="52"/>
    </row>
    <row r="7806" spans="1:1" x14ac:dyDescent="0.2">
      <c r="A7806" s="52"/>
    </row>
    <row r="7807" spans="1:1" x14ac:dyDescent="0.2">
      <c r="A7807" s="52"/>
    </row>
    <row r="7808" spans="1:1" x14ac:dyDescent="0.2">
      <c r="A7808" s="52"/>
    </row>
    <row r="7809" spans="1:1" x14ac:dyDescent="0.2">
      <c r="A7809" s="52"/>
    </row>
    <row r="7810" spans="1:1" x14ac:dyDescent="0.2">
      <c r="A7810" s="52"/>
    </row>
    <row r="7811" spans="1:1" x14ac:dyDescent="0.2">
      <c r="A7811" s="52"/>
    </row>
    <row r="7812" spans="1:1" x14ac:dyDescent="0.2">
      <c r="A7812" s="52"/>
    </row>
    <row r="7813" spans="1:1" x14ac:dyDescent="0.2">
      <c r="A7813" s="52"/>
    </row>
    <row r="7814" spans="1:1" x14ac:dyDescent="0.2">
      <c r="A7814" s="52"/>
    </row>
    <row r="7815" spans="1:1" x14ac:dyDescent="0.2">
      <c r="A7815" s="52"/>
    </row>
    <row r="7816" spans="1:1" x14ac:dyDescent="0.2">
      <c r="A7816" s="52"/>
    </row>
    <row r="7817" spans="1:1" x14ac:dyDescent="0.2">
      <c r="A7817" s="52"/>
    </row>
    <row r="7818" spans="1:1" x14ac:dyDescent="0.2">
      <c r="A7818" s="52"/>
    </row>
    <row r="7819" spans="1:1" x14ac:dyDescent="0.2">
      <c r="A7819" s="52"/>
    </row>
    <row r="7820" spans="1:1" x14ac:dyDescent="0.2">
      <c r="A7820" s="52"/>
    </row>
    <row r="7821" spans="1:1" x14ac:dyDescent="0.2">
      <c r="A7821" s="52"/>
    </row>
    <row r="7822" spans="1:1" x14ac:dyDescent="0.2">
      <c r="A7822" s="52"/>
    </row>
    <row r="7823" spans="1:1" x14ac:dyDescent="0.2">
      <c r="A7823" s="52"/>
    </row>
    <row r="7824" spans="1:1" x14ac:dyDescent="0.2">
      <c r="A7824" s="52"/>
    </row>
    <row r="7825" spans="1:1" x14ac:dyDescent="0.2">
      <c r="A7825" s="53"/>
    </row>
    <row r="7826" spans="1:1" x14ac:dyDescent="0.2">
      <c r="A7826" s="52"/>
    </row>
    <row r="7827" spans="1:1" x14ac:dyDescent="0.2">
      <c r="A7827" s="52"/>
    </row>
    <row r="7828" spans="1:1" x14ac:dyDescent="0.2">
      <c r="A7828" s="52"/>
    </row>
    <row r="7829" spans="1:1" x14ac:dyDescent="0.2">
      <c r="A7829" s="52"/>
    </row>
    <row r="7830" spans="1:1" x14ac:dyDescent="0.2">
      <c r="A7830" s="52"/>
    </row>
    <row r="7831" spans="1:1" x14ac:dyDescent="0.2">
      <c r="A7831" s="52"/>
    </row>
    <row r="7832" spans="1:1" x14ac:dyDescent="0.2">
      <c r="A7832" s="52"/>
    </row>
    <row r="7833" spans="1:1" x14ac:dyDescent="0.2">
      <c r="A7833" s="52"/>
    </row>
    <row r="7834" spans="1:1" x14ac:dyDescent="0.2">
      <c r="A7834" s="52"/>
    </row>
    <row r="7835" spans="1:1" x14ac:dyDescent="0.2">
      <c r="A7835" s="53"/>
    </row>
    <row r="7836" spans="1:1" x14ac:dyDescent="0.2">
      <c r="A7836" s="52"/>
    </row>
    <row r="7837" spans="1:1" x14ac:dyDescent="0.2">
      <c r="A7837" s="52"/>
    </row>
    <row r="7838" spans="1:1" x14ac:dyDescent="0.2">
      <c r="A7838" s="52"/>
    </row>
    <row r="7839" spans="1:1" x14ac:dyDescent="0.2">
      <c r="A7839" s="52"/>
    </row>
    <row r="7840" spans="1:1" x14ac:dyDescent="0.2">
      <c r="A7840" s="52"/>
    </row>
    <row r="7841" spans="1:1" x14ac:dyDescent="0.2">
      <c r="A7841" s="52"/>
    </row>
    <row r="7842" spans="1:1" x14ac:dyDescent="0.2">
      <c r="A7842" s="53"/>
    </row>
    <row r="7843" spans="1:1" x14ac:dyDescent="0.2">
      <c r="A7843" s="52"/>
    </row>
    <row r="7844" spans="1:1" x14ac:dyDescent="0.2">
      <c r="A7844" s="52"/>
    </row>
    <row r="7845" spans="1:1" x14ac:dyDescent="0.2">
      <c r="A7845" s="52"/>
    </row>
    <row r="7846" spans="1:1" x14ac:dyDescent="0.2">
      <c r="A7846" s="52"/>
    </row>
    <row r="7847" spans="1:1" x14ac:dyDescent="0.2">
      <c r="A7847" s="52"/>
    </row>
    <row r="7848" spans="1:1" x14ac:dyDescent="0.2">
      <c r="A7848" s="52"/>
    </row>
    <row r="7849" spans="1:1" x14ac:dyDescent="0.2">
      <c r="A7849" s="52"/>
    </row>
    <row r="7850" spans="1:1" x14ac:dyDescent="0.2">
      <c r="A7850" s="52"/>
    </row>
    <row r="7851" spans="1:1" x14ac:dyDescent="0.2">
      <c r="A7851" s="52"/>
    </row>
    <row r="7852" spans="1:1" x14ac:dyDescent="0.2">
      <c r="A7852" s="52"/>
    </row>
    <row r="7853" spans="1:1" x14ac:dyDescent="0.2">
      <c r="A7853" s="52"/>
    </row>
    <row r="7854" spans="1:1" x14ac:dyDescent="0.2">
      <c r="A7854" s="52"/>
    </row>
    <row r="7855" spans="1:1" x14ac:dyDescent="0.2">
      <c r="A7855" s="52"/>
    </row>
    <row r="7856" spans="1:1" x14ac:dyDescent="0.2">
      <c r="A7856" s="52"/>
    </row>
    <row r="7857" spans="1:1" x14ac:dyDescent="0.2">
      <c r="A7857" s="52"/>
    </row>
    <row r="7858" spans="1:1" x14ac:dyDescent="0.2">
      <c r="A7858" s="52"/>
    </row>
    <row r="7859" spans="1:1" x14ac:dyDescent="0.2">
      <c r="A7859" s="52"/>
    </row>
    <row r="7860" spans="1:1" x14ac:dyDescent="0.2">
      <c r="A7860" s="52"/>
    </row>
    <row r="7861" spans="1:1" x14ac:dyDescent="0.2">
      <c r="A7861" s="52"/>
    </row>
    <row r="7862" spans="1:1" x14ac:dyDescent="0.2">
      <c r="A7862" s="52"/>
    </row>
    <row r="7863" spans="1:1" x14ac:dyDescent="0.2">
      <c r="A7863" s="52"/>
    </row>
    <row r="7864" spans="1:1" x14ac:dyDescent="0.2">
      <c r="A7864" s="52"/>
    </row>
    <row r="7865" spans="1:1" x14ac:dyDescent="0.2">
      <c r="A7865" s="52"/>
    </row>
    <row r="7866" spans="1:1" x14ac:dyDescent="0.2">
      <c r="A7866" s="52"/>
    </row>
    <row r="7867" spans="1:1" x14ac:dyDescent="0.2">
      <c r="A7867" s="52"/>
    </row>
    <row r="7868" spans="1:1" x14ac:dyDescent="0.2">
      <c r="A7868" s="52"/>
    </row>
    <row r="7869" spans="1:1" x14ac:dyDescent="0.2">
      <c r="A7869" s="52"/>
    </row>
    <row r="7870" spans="1:1" x14ac:dyDescent="0.2">
      <c r="A7870" s="53"/>
    </row>
    <row r="7871" spans="1:1" x14ac:dyDescent="0.2">
      <c r="A7871" s="52"/>
    </row>
    <row r="7872" spans="1:1" x14ac:dyDescent="0.2">
      <c r="A7872" s="52"/>
    </row>
    <row r="7873" spans="1:1" x14ac:dyDescent="0.2">
      <c r="A7873" s="52"/>
    </row>
    <row r="7874" spans="1:1" x14ac:dyDescent="0.2">
      <c r="A7874" s="52"/>
    </row>
    <row r="7875" spans="1:1" x14ac:dyDescent="0.2">
      <c r="A7875" s="52"/>
    </row>
    <row r="7876" spans="1:1" x14ac:dyDescent="0.2">
      <c r="A7876" s="52"/>
    </row>
    <row r="7877" spans="1:1" x14ac:dyDescent="0.2">
      <c r="A7877" s="52"/>
    </row>
    <row r="7878" spans="1:1" x14ac:dyDescent="0.2">
      <c r="A7878" s="52"/>
    </row>
    <row r="7879" spans="1:1" x14ac:dyDescent="0.2">
      <c r="A7879" s="52"/>
    </row>
    <row r="7880" spans="1:1" x14ac:dyDescent="0.2">
      <c r="A7880" s="52"/>
    </row>
    <row r="7881" spans="1:1" x14ac:dyDescent="0.2">
      <c r="A7881" s="52"/>
    </row>
    <row r="7882" spans="1:1" x14ac:dyDescent="0.2">
      <c r="A7882" s="52"/>
    </row>
    <row r="7883" spans="1:1" x14ac:dyDescent="0.2">
      <c r="A7883" s="52"/>
    </row>
    <row r="7884" spans="1:1" x14ac:dyDescent="0.2">
      <c r="A7884" s="52"/>
    </row>
    <row r="7885" spans="1:1" x14ac:dyDescent="0.2">
      <c r="A7885" s="53"/>
    </row>
    <row r="7886" spans="1:1" x14ac:dyDescent="0.2">
      <c r="A7886" s="52"/>
    </row>
    <row r="7887" spans="1:1" x14ac:dyDescent="0.2">
      <c r="A7887" s="52"/>
    </row>
    <row r="7888" spans="1:1" x14ac:dyDescent="0.2">
      <c r="A7888" s="52"/>
    </row>
    <row r="7889" spans="1:1" x14ac:dyDescent="0.2">
      <c r="A7889" s="52"/>
    </row>
    <row r="7890" spans="1:1" x14ac:dyDescent="0.2">
      <c r="A7890" s="52"/>
    </row>
    <row r="7891" spans="1:1" x14ac:dyDescent="0.2">
      <c r="A7891" s="52"/>
    </row>
    <row r="7892" spans="1:1" x14ac:dyDescent="0.2">
      <c r="A7892" s="52"/>
    </row>
    <row r="7893" spans="1:1" x14ac:dyDescent="0.2">
      <c r="A7893" s="52"/>
    </row>
    <row r="7894" spans="1:1" x14ac:dyDescent="0.2">
      <c r="A7894" s="53"/>
    </row>
    <row r="7895" spans="1:1" x14ac:dyDescent="0.2">
      <c r="A7895" s="52"/>
    </row>
    <row r="7896" spans="1:1" x14ac:dyDescent="0.2">
      <c r="A7896" s="52"/>
    </row>
    <row r="7897" spans="1:1" x14ac:dyDescent="0.2">
      <c r="A7897" s="52"/>
    </row>
    <row r="7898" spans="1:1" x14ac:dyDescent="0.2">
      <c r="A7898" s="52"/>
    </row>
    <row r="7899" spans="1:1" x14ac:dyDescent="0.2">
      <c r="A7899" s="52"/>
    </row>
    <row r="7900" spans="1:1" x14ac:dyDescent="0.2">
      <c r="A7900" s="52"/>
    </row>
    <row r="7901" spans="1:1" x14ac:dyDescent="0.2">
      <c r="A7901" s="52"/>
    </row>
    <row r="7902" spans="1:1" x14ac:dyDescent="0.2">
      <c r="A7902" s="52"/>
    </row>
    <row r="7903" spans="1:1" x14ac:dyDescent="0.2">
      <c r="A7903" s="52"/>
    </row>
    <row r="7904" spans="1:1" x14ac:dyDescent="0.2">
      <c r="A7904" s="52"/>
    </row>
    <row r="7905" spans="1:1" x14ac:dyDescent="0.2">
      <c r="A7905" s="52"/>
    </row>
    <row r="7906" spans="1:1" x14ac:dyDescent="0.2">
      <c r="A7906" s="52"/>
    </row>
    <row r="7907" spans="1:1" x14ac:dyDescent="0.2">
      <c r="A7907" s="52"/>
    </row>
    <row r="7908" spans="1:1" x14ac:dyDescent="0.2">
      <c r="A7908" s="52"/>
    </row>
    <row r="7909" spans="1:1" x14ac:dyDescent="0.2">
      <c r="A7909" s="52"/>
    </row>
    <row r="7910" spans="1:1" x14ac:dyDescent="0.2">
      <c r="A7910" s="52"/>
    </row>
    <row r="7911" spans="1:1" x14ac:dyDescent="0.2">
      <c r="A7911" s="52"/>
    </row>
    <row r="7912" spans="1:1" x14ac:dyDescent="0.2">
      <c r="A7912" s="52"/>
    </row>
    <row r="7913" spans="1:1" x14ac:dyDescent="0.2">
      <c r="A7913" s="52"/>
    </row>
    <row r="7914" spans="1:1" x14ac:dyDescent="0.2">
      <c r="A7914" s="52"/>
    </row>
    <row r="7915" spans="1:1" x14ac:dyDescent="0.2">
      <c r="A7915" s="52"/>
    </row>
    <row r="7916" spans="1:1" x14ac:dyDescent="0.2">
      <c r="A7916" s="52"/>
    </row>
    <row r="7917" spans="1:1" x14ac:dyDescent="0.2">
      <c r="A7917" s="53"/>
    </row>
    <row r="7918" spans="1:1" x14ac:dyDescent="0.2">
      <c r="A7918" s="52"/>
    </row>
    <row r="7919" spans="1:1" x14ac:dyDescent="0.2">
      <c r="A7919" s="52"/>
    </row>
    <row r="7920" spans="1:1" x14ac:dyDescent="0.2">
      <c r="A7920" s="52"/>
    </row>
    <row r="7921" spans="1:1" x14ac:dyDescent="0.2">
      <c r="A7921" s="52"/>
    </row>
    <row r="7922" spans="1:1" x14ac:dyDescent="0.2">
      <c r="A7922" s="52"/>
    </row>
    <row r="7923" spans="1:1" x14ac:dyDescent="0.2">
      <c r="A7923" s="52"/>
    </row>
    <row r="7924" spans="1:1" x14ac:dyDescent="0.2">
      <c r="A7924" s="52"/>
    </row>
    <row r="7925" spans="1:1" x14ac:dyDescent="0.2">
      <c r="A7925" s="52"/>
    </row>
    <row r="7926" spans="1:1" x14ac:dyDescent="0.2">
      <c r="A7926" s="52"/>
    </row>
    <row r="7927" spans="1:1" x14ac:dyDescent="0.2">
      <c r="A7927" s="52"/>
    </row>
    <row r="7928" spans="1:1" x14ac:dyDescent="0.2">
      <c r="A7928" s="52"/>
    </row>
    <row r="7929" spans="1:1" x14ac:dyDescent="0.2">
      <c r="A7929" s="52"/>
    </row>
    <row r="7930" spans="1:1" x14ac:dyDescent="0.2">
      <c r="A7930" s="52"/>
    </row>
    <row r="7931" spans="1:1" x14ac:dyDescent="0.2">
      <c r="A7931" s="52"/>
    </row>
    <row r="7932" spans="1:1" x14ac:dyDescent="0.2">
      <c r="A7932" s="52"/>
    </row>
    <row r="7933" spans="1:1" x14ac:dyDescent="0.2">
      <c r="A7933" s="52"/>
    </row>
    <row r="7934" spans="1:1" x14ac:dyDescent="0.2">
      <c r="A7934" s="52"/>
    </row>
    <row r="7935" spans="1:1" x14ac:dyDescent="0.2">
      <c r="A7935" s="52"/>
    </row>
    <row r="7936" spans="1:1" x14ac:dyDescent="0.2">
      <c r="A7936" s="53"/>
    </row>
    <row r="7937" spans="1:1" x14ac:dyDescent="0.2">
      <c r="A7937" s="53"/>
    </row>
    <row r="7938" spans="1:1" x14ac:dyDescent="0.2">
      <c r="A7938" s="52"/>
    </row>
    <row r="7939" spans="1:1" x14ac:dyDescent="0.2">
      <c r="A7939" s="52"/>
    </row>
    <row r="7940" spans="1:1" x14ac:dyDescent="0.2">
      <c r="A7940" s="52"/>
    </row>
    <row r="7941" spans="1:1" x14ac:dyDescent="0.2">
      <c r="A7941" s="53"/>
    </row>
    <row r="7942" spans="1:1" x14ac:dyDescent="0.2">
      <c r="A7942" s="52"/>
    </row>
    <row r="7943" spans="1:1" x14ac:dyDescent="0.2">
      <c r="A7943" s="53"/>
    </row>
    <row r="7944" spans="1:1" x14ac:dyDescent="0.2">
      <c r="A7944" s="53"/>
    </row>
    <row r="7945" spans="1:1" x14ac:dyDescent="0.2">
      <c r="A7945" s="52"/>
    </row>
    <row r="7946" spans="1:1" x14ac:dyDescent="0.2">
      <c r="A7946" s="53"/>
    </row>
    <row r="7947" spans="1:1" x14ac:dyDescent="0.2">
      <c r="A7947" s="52"/>
    </row>
    <row r="7948" spans="1:1" x14ac:dyDescent="0.2">
      <c r="A7948" s="52"/>
    </row>
    <row r="7949" spans="1:1" x14ac:dyDescent="0.2">
      <c r="A7949" s="52"/>
    </row>
    <row r="7950" spans="1:1" x14ac:dyDescent="0.2">
      <c r="A7950" s="52"/>
    </row>
    <row r="7951" spans="1:1" x14ac:dyDescent="0.2">
      <c r="A7951" s="52"/>
    </row>
    <row r="7952" spans="1:1" x14ac:dyDescent="0.2">
      <c r="A7952" s="52"/>
    </row>
    <row r="7953" spans="1:1" x14ac:dyDescent="0.2">
      <c r="A7953" s="52"/>
    </row>
    <row r="7954" spans="1:1" x14ac:dyDescent="0.2">
      <c r="A7954" s="53"/>
    </row>
    <row r="7955" spans="1:1" x14ac:dyDescent="0.2">
      <c r="A7955" s="52"/>
    </row>
    <row r="7956" spans="1:1" x14ac:dyDescent="0.2">
      <c r="A7956" s="52"/>
    </row>
    <row r="7957" spans="1:1" x14ac:dyDescent="0.2">
      <c r="A7957" s="52"/>
    </row>
    <row r="7958" spans="1:1" x14ac:dyDescent="0.2">
      <c r="A7958" s="52"/>
    </row>
    <row r="7959" spans="1:1" x14ac:dyDescent="0.2">
      <c r="A7959" s="52"/>
    </row>
    <row r="7960" spans="1:1" x14ac:dyDescent="0.2">
      <c r="A7960" s="52"/>
    </row>
    <row r="7961" spans="1:1" x14ac:dyDescent="0.2">
      <c r="A7961" s="52"/>
    </row>
    <row r="7962" spans="1:1" x14ac:dyDescent="0.2">
      <c r="A7962" s="52"/>
    </row>
    <row r="7963" spans="1:1" x14ac:dyDescent="0.2">
      <c r="A7963" s="52"/>
    </row>
    <row r="7964" spans="1:1" x14ac:dyDescent="0.2">
      <c r="A7964" s="52"/>
    </row>
    <row r="7965" spans="1:1" x14ac:dyDescent="0.2">
      <c r="A7965" s="52"/>
    </row>
    <row r="7966" spans="1:1" x14ac:dyDescent="0.2">
      <c r="A7966" s="52"/>
    </row>
    <row r="7967" spans="1:1" x14ac:dyDescent="0.2">
      <c r="A7967" s="52"/>
    </row>
    <row r="7968" spans="1:1" x14ac:dyDescent="0.2">
      <c r="A7968" s="52"/>
    </row>
    <row r="7969" spans="1:1" x14ac:dyDescent="0.2">
      <c r="A7969" s="52"/>
    </row>
    <row r="7970" spans="1:1" x14ac:dyDescent="0.2">
      <c r="A7970" s="52"/>
    </row>
    <row r="7971" spans="1:1" x14ac:dyDescent="0.2">
      <c r="A7971" s="52"/>
    </row>
    <row r="7972" spans="1:1" x14ac:dyDescent="0.2">
      <c r="A7972" s="52"/>
    </row>
    <row r="7973" spans="1:1" x14ac:dyDescent="0.2">
      <c r="A7973" s="52"/>
    </row>
    <row r="7974" spans="1:1" x14ac:dyDescent="0.2">
      <c r="A7974" s="52"/>
    </row>
    <row r="7975" spans="1:1" x14ac:dyDescent="0.2">
      <c r="A7975" s="52"/>
    </row>
    <row r="7976" spans="1:1" x14ac:dyDescent="0.2">
      <c r="A7976" s="52"/>
    </row>
    <row r="7977" spans="1:1" x14ac:dyDescent="0.2">
      <c r="A7977" s="52"/>
    </row>
    <row r="7978" spans="1:1" x14ac:dyDescent="0.2">
      <c r="A7978" s="52"/>
    </row>
    <row r="7979" spans="1:1" x14ac:dyDescent="0.2">
      <c r="A7979" s="53"/>
    </row>
    <row r="7980" spans="1:1" x14ac:dyDescent="0.2">
      <c r="A7980" s="52"/>
    </row>
    <row r="7981" spans="1:1" x14ac:dyDescent="0.2">
      <c r="A7981" s="52"/>
    </row>
    <row r="7982" spans="1:1" x14ac:dyDescent="0.2">
      <c r="A7982" s="52"/>
    </row>
    <row r="7983" spans="1:1" x14ac:dyDescent="0.2">
      <c r="A7983" s="52"/>
    </row>
    <row r="7984" spans="1:1" x14ac:dyDescent="0.2">
      <c r="A7984" s="52"/>
    </row>
    <row r="7985" spans="1:1" x14ac:dyDescent="0.2">
      <c r="A7985" s="52"/>
    </row>
    <row r="7986" spans="1:1" x14ac:dyDescent="0.2">
      <c r="A7986" s="52"/>
    </row>
    <row r="7987" spans="1:1" x14ac:dyDescent="0.2">
      <c r="A7987" s="52"/>
    </row>
    <row r="7988" spans="1:1" x14ac:dyDescent="0.2">
      <c r="A7988" s="53"/>
    </row>
    <row r="7989" spans="1:1" x14ac:dyDescent="0.2">
      <c r="A7989" s="52"/>
    </row>
    <row r="7990" spans="1:1" x14ac:dyDescent="0.2">
      <c r="A7990" s="52"/>
    </row>
    <row r="7991" spans="1:1" x14ac:dyDescent="0.2">
      <c r="A7991" s="52"/>
    </row>
    <row r="7992" spans="1:1" x14ac:dyDescent="0.2">
      <c r="A7992" s="52"/>
    </row>
    <row r="7993" spans="1:1" x14ac:dyDescent="0.2">
      <c r="A7993" s="52"/>
    </row>
    <row r="7994" spans="1:1" x14ac:dyDescent="0.2">
      <c r="A7994" s="52"/>
    </row>
    <row r="7995" spans="1:1" x14ac:dyDescent="0.2">
      <c r="A7995" s="52"/>
    </row>
    <row r="7996" spans="1:1" x14ac:dyDescent="0.2">
      <c r="A7996" s="52"/>
    </row>
    <row r="7997" spans="1:1" x14ac:dyDescent="0.2">
      <c r="A7997" s="52"/>
    </row>
    <row r="7998" spans="1:1" x14ac:dyDescent="0.2">
      <c r="A7998" s="52"/>
    </row>
    <row r="7999" spans="1:1" x14ac:dyDescent="0.2">
      <c r="A7999" s="52"/>
    </row>
    <row r="8000" spans="1:1" x14ac:dyDescent="0.2">
      <c r="A8000" s="52"/>
    </row>
    <row r="8001" spans="1:1" x14ac:dyDescent="0.2">
      <c r="A8001" s="52"/>
    </row>
    <row r="8002" spans="1:1" x14ac:dyDescent="0.2">
      <c r="A8002" s="52"/>
    </row>
    <row r="8003" spans="1:1" x14ac:dyDescent="0.2">
      <c r="A8003" s="52"/>
    </row>
    <row r="8004" spans="1:1" x14ac:dyDescent="0.2">
      <c r="A8004" s="53"/>
    </row>
    <row r="8005" spans="1:1" x14ac:dyDescent="0.2">
      <c r="A8005" s="52"/>
    </row>
    <row r="8006" spans="1:1" x14ac:dyDescent="0.2">
      <c r="A8006" s="52"/>
    </row>
    <row r="8007" spans="1:1" x14ac:dyDescent="0.2">
      <c r="A8007" s="52"/>
    </row>
    <row r="8008" spans="1:1" x14ac:dyDescent="0.2">
      <c r="A8008" s="52"/>
    </row>
    <row r="8009" spans="1:1" x14ac:dyDescent="0.2">
      <c r="A8009" s="52"/>
    </row>
    <row r="8010" spans="1:1" x14ac:dyDescent="0.2">
      <c r="A8010" s="52"/>
    </row>
    <row r="8011" spans="1:1" x14ac:dyDescent="0.2">
      <c r="A8011" s="52"/>
    </row>
    <row r="8012" spans="1:1" x14ac:dyDescent="0.2">
      <c r="A8012" s="52"/>
    </row>
    <row r="8013" spans="1:1" x14ac:dyDescent="0.2">
      <c r="A8013" s="52"/>
    </row>
    <row r="8014" spans="1:1" x14ac:dyDescent="0.2">
      <c r="A8014" s="52"/>
    </row>
    <row r="8015" spans="1:1" x14ac:dyDescent="0.2">
      <c r="A8015" s="52"/>
    </row>
    <row r="8016" spans="1:1" x14ac:dyDescent="0.2">
      <c r="A8016" s="52"/>
    </row>
    <row r="8017" spans="1:1" x14ac:dyDescent="0.2">
      <c r="A8017" s="52"/>
    </row>
    <row r="8018" spans="1:1" x14ac:dyDescent="0.2">
      <c r="A8018" s="52"/>
    </row>
    <row r="8019" spans="1:1" x14ac:dyDescent="0.2">
      <c r="A8019" s="52"/>
    </row>
    <row r="8020" spans="1:1" x14ac:dyDescent="0.2">
      <c r="A8020" s="52"/>
    </row>
    <row r="8021" spans="1:1" x14ac:dyDescent="0.2">
      <c r="A8021" s="52"/>
    </row>
    <row r="8022" spans="1:1" x14ac:dyDescent="0.2">
      <c r="A8022" s="52"/>
    </row>
    <row r="8023" spans="1:1" x14ac:dyDescent="0.2">
      <c r="A8023" s="52"/>
    </row>
    <row r="8024" spans="1:1" x14ac:dyDescent="0.2">
      <c r="A8024" s="52"/>
    </row>
    <row r="8025" spans="1:1" x14ac:dyDescent="0.2">
      <c r="A8025" s="52"/>
    </row>
    <row r="8026" spans="1:1" x14ac:dyDescent="0.2">
      <c r="A8026" s="52"/>
    </row>
    <row r="8027" spans="1:1" x14ac:dyDescent="0.2">
      <c r="A8027" s="52"/>
    </row>
    <row r="8028" spans="1:1" x14ac:dyDescent="0.2">
      <c r="A8028" s="52"/>
    </row>
    <row r="8029" spans="1:1" x14ac:dyDescent="0.2">
      <c r="A8029" s="52"/>
    </row>
    <row r="8030" spans="1:1" x14ac:dyDescent="0.2">
      <c r="A8030" s="52"/>
    </row>
    <row r="8031" spans="1:1" x14ac:dyDescent="0.2">
      <c r="A8031" s="52"/>
    </row>
    <row r="8032" spans="1:1" x14ac:dyDescent="0.2">
      <c r="A8032" s="52"/>
    </row>
    <row r="8033" spans="1:1" x14ac:dyDescent="0.2">
      <c r="A8033" s="52"/>
    </row>
    <row r="8034" spans="1:1" x14ac:dyDescent="0.2">
      <c r="A8034" s="52"/>
    </row>
    <row r="8035" spans="1:1" x14ac:dyDescent="0.2">
      <c r="A8035" s="52"/>
    </row>
    <row r="8036" spans="1:1" x14ac:dyDescent="0.2">
      <c r="A8036" s="52"/>
    </row>
    <row r="8037" spans="1:1" x14ac:dyDescent="0.2">
      <c r="A8037" s="52"/>
    </row>
    <row r="8038" spans="1:1" x14ac:dyDescent="0.2">
      <c r="A8038" s="52"/>
    </row>
    <row r="8039" spans="1:1" x14ac:dyDescent="0.2">
      <c r="A8039" s="52"/>
    </row>
    <row r="8040" spans="1:1" x14ac:dyDescent="0.2">
      <c r="A8040" s="52"/>
    </row>
    <row r="8041" spans="1:1" x14ac:dyDescent="0.2">
      <c r="A8041" s="52"/>
    </row>
    <row r="8042" spans="1:1" x14ac:dyDescent="0.2">
      <c r="A8042" s="52"/>
    </row>
    <row r="8043" spans="1:1" x14ac:dyDescent="0.2">
      <c r="A8043" s="52"/>
    </row>
    <row r="8044" spans="1:1" x14ac:dyDescent="0.2">
      <c r="A8044" s="52"/>
    </row>
    <row r="8045" spans="1:1" x14ac:dyDescent="0.2">
      <c r="A8045" s="52"/>
    </row>
    <row r="8046" spans="1:1" x14ac:dyDescent="0.2">
      <c r="A8046" s="52"/>
    </row>
    <row r="8047" spans="1:1" x14ac:dyDescent="0.2">
      <c r="A8047" s="52"/>
    </row>
    <row r="8048" spans="1:1" x14ac:dyDescent="0.2">
      <c r="A8048" s="52"/>
    </row>
    <row r="8049" spans="1:1" x14ac:dyDescent="0.2">
      <c r="A8049" s="52"/>
    </row>
    <row r="8050" spans="1:1" x14ac:dyDescent="0.2">
      <c r="A8050" s="52"/>
    </row>
    <row r="8051" spans="1:1" x14ac:dyDescent="0.2">
      <c r="A8051" s="52"/>
    </row>
    <row r="8052" spans="1:1" x14ac:dyDescent="0.2">
      <c r="A8052" s="52"/>
    </row>
    <row r="8053" spans="1:1" x14ac:dyDescent="0.2">
      <c r="A8053" s="52"/>
    </row>
    <row r="8054" spans="1:1" x14ac:dyDescent="0.2">
      <c r="A8054" s="52"/>
    </row>
    <row r="8055" spans="1:1" x14ac:dyDescent="0.2">
      <c r="A8055" s="52"/>
    </row>
    <row r="8056" spans="1:1" x14ac:dyDescent="0.2">
      <c r="A8056" s="52"/>
    </row>
    <row r="8057" spans="1:1" x14ac:dyDescent="0.2">
      <c r="A8057" s="52"/>
    </row>
    <row r="8058" spans="1:1" x14ac:dyDescent="0.2">
      <c r="A8058" s="53"/>
    </row>
    <row r="8059" spans="1:1" x14ac:dyDescent="0.2">
      <c r="A8059" s="52"/>
    </row>
    <row r="8060" spans="1:1" x14ac:dyDescent="0.2">
      <c r="A8060" s="52"/>
    </row>
    <row r="8061" spans="1:1" x14ac:dyDescent="0.2">
      <c r="A8061" s="52"/>
    </row>
    <row r="8062" spans="1:1" x14ac:dyDescent="0.2">
      <c r="A8062" s="52"/>
    </row>
    <row r="8063" spans="1:1" x14ac:dyDescent="0.2">
      <c r="A8063" s="52"/>
    </row>
    <row r="8064" spans="1:1" x14ac:dyDescent="0.2">
      <c r="A8064" s="52"/>
    </row>
    <row r="8065" spans="1:1" x14ac:dyDescent="0.2">
      <c r="A8065" s="52"/>
    </row>
    <row r="8066" spans="1:1" x14ac:dyDescent="0.2">
      <c r="A8066" s="52"/>
    </row>
    <row r="8067" spans="1:1" x14ac:dyDescent="0.2">
      <c r="A8067" s="52"/>
    </row>
    <row r="8068" spans="1:1" x14ac:dyDescent="0.2">
      <c r="A8068" s="52"/>
    </row>
    <row r="8069" spans="1:1" x14ac:dyDescent="0.2">
      <c r="A8069" s="52"/>
    </row>
    <row r="8070" spans="1:1" x14ac:dyDescent="0.2">
      <c r="A8070" s="52"/>
    </row>
    <row r="8071" spans="1:1" x14ac:dyDescent="0.2">
      <c r="A8071" s="52"/>
    </row>
    <row r="8072" spans="1:1" x14ac:dyDescent="0.2">
      <c r="A8072" s="52"/>
    </row>
    <row r="8073" spans="1:1" x14ac:dyDescent="0.2">
      <c r="A8073" s="52"/>
    </row>
    <row r="8074" spans="1:1" x14ac:dyDescent="0.2">
      <c r="A8074" s="52"/>
    </row>
    <row r="8075" spans="1:1" x14ac:dyDescent="0.2">
      <c r="A8075" s="52"/>
    </row>
    <row r="8076" spans="1:1" x14ac:dyDescent="0.2">
      <c r="A8076" s="52"/>
    </row>
    <row r="8077" spans="1:1" x14ac:dyDescent="0.2">
      <c r="A8077" s="52"/>
    </row>
    <row r="8078" spans="1:1" x14ac:dyDescent="0.2">
      <c r="A8078" s="52"/>
    </row>
    <row r="8079" spans="1:1" x14ac:dyDescent="0.2">
      <c r="A8079" s="52"/>
    </row>
    <row r="8080" spans="1:1" x14ac:dyDescent="0.2">
      <c r="A8080" s="52"/>
    </row>
    <row r="8081" spans="1:1" x14ac:dyDescent="0.2">
      <c r="A8081" s="52"/>
    </row>
    <row r="8082" spans="1:1" x14ac:dyDescent="0.2">
      <c r="A8082" s="52"/>
    </row>
    <row r="8083" spans="1:1" x14ac:dyDescent="0.2">
      <c r="A8083" s="52"/>
    </row>
    <row r="8084" spans="1:1" x14ac:dyDescent="0.2">
      <c r="A8084" s="52"/>
    </row>
    <row r="8085" spans="1:1" x14ac:dyDescent="0.2">
      <c r="A8085" s="52"/>
    </row>
    <row r="8086" spans="1:1" x14ac:dyDescent="0.2">
      <c r="A8086" s="52"/>
    </row>
    <row r="8087" spans="1:1" x14ac:dyDescent="0.2">
      <c r="A8087" s="52"/>
    </row>
    <row r="8088" spans="1:1" x14ac:dyDescent="0.2">
      <c r="A8088" s="52"/>
    </row>
    <row r="8089" spans="1:1" x14ac:dyDescent="0.2">
      <c r="A8089" s="52"/>
    </row>
    <row r="8090" spans="1:1" x14ac:dyDescent="0.2">
      <c r="A8090" s="52"/>
    </row>
    <row r="8091" spans="1:1" x14ac:dyDescent="0.2">
      <c r="A8091" s="52"/>
    </row>
    <row r="8092" spans="1:1" x14ac:dyDescent="0.2">
      <c r="A8092" s="53"/>
    </row>
    <row r="8093" spans="1:1" x14ac:dyDescent="0.2">
      <c r="A8093" s="52"/>
    </row>
    <row r="8094" spans="1:1" x14ac:dyDescent="0.2">
      <c r="A8094" s="53"/>
    </row>
    <row r="8095" spans="1:1" x14ac:dyDescent="0.2">
      <c r="A8095" s="52"/>
    </row>
    <row r="8096" spans="1:1" x14ac:dyDescent="0.2">
      <c r="A8096" s="52"/>
    </row>
    <row r="8097" spans="1:1" x14ac:dyDescent="0.2">
      <c r="A8097" s="52"/>
    </row>
    <row r="8098" spans="1:1" x14ac:dyDescent="0.2">
      <c r="A8098" s="52"/>
    </row>
    <row r="8099" spans="1:1" x14ac:dyDescent="0.2">
      <c r="A8099" s="52"/>
    </row>
    <row r="8100" spans="1:1" x14ac:dyDescent="0.2">
      <c r="A8100" s="52"/>
    </row>
    <row r="8101" spans="1:1" x14ac:dyDescent="0.2">
      <c r="A8101" s="52"/>
    </row>
    <row r="8102" spans="1:1" x14ac:dyDescent="0.2">
      <c r="A8102" s="52"/>
    </row>
    <row r="8103" spans="1:1" x14ac:dyDescent="0.2">
      <c r="A8103" s="52"/>
    </row>
    <row r="8104" spans="1:1" x14ac:dyDescent="0.2">
      <c r="A8104" s="52"/>
    </row>
    <row r="8105" spans="1:1" x14ac:dyDescent="0.2">
      <c r="A8105" s="52"/>
    </row>
    <row r="8106" spans="1:1" x14ac:dyDescent="0.2">
      <c r="A8106" s="52"/>
    </row>
    <row r="8107" spans="1:1" x14ac:dyDescent="0.2">
      <c r="A8107" s="52"/>
    </row>
    <row r="8108" spans="1:1" x14ac:dyDescent="0.2">
      <c r="A8108" s="52"/>
    </row>
    <row r="8109" spans="1:1" x14ac:dyDescent="0.2">
      <c r="A8109" s="52"/>
    </row>
    <row r="8110" spans="1:1" x14ac:dyDescent="0.2">
      <c r="A8110" s="52"/>
    </row>
    <row r="8111" spans="1:1" x14ac:dyDescent="0.2">
      <c r="A8111" s="52"/>
    </row>
    <row r="8112" spans="1:1" x14ac:dyDescent="0.2">
      <c r="A8112" s="53"/>
    </row>
    <row r="8113" spans="1:1" x14ac:dyDescent="0.2">
      <c r="A8113" s="52"/>
    </row>
    <row r="8114" spans="1:1" x14ac:dyDescent="0.2">
      <c r="A8114" s="52"/>
    </row>
    <row r="8115" spans="1:1" x14ac:dyDescent="0.2">
      <c r="A8115" s="52"/>
    </row>
    <row r="8116" spans="1:1" x14ac:dyDescent="0.2">
      <c r="A8116" s="52"/>
    </row>
    <row r="8117" spans="1:1" x14ac:dyDescent="0.2">
      <c r="A8117" s="52"/>
    </row>
    <row r="8118" spans="1:1" x14ac:dyDescent="0.2">
      <c r="A8118" s="52"/>
    </row>
    <row r="8119" spans="1:1" x14ac:dyDescent="0.2">
      <c r="A8119" s="52"/>
    </row>
    <row r="8120" spans="1:1" x14ac:dyDescent="0.2">
      <c r="A8120" s="52"/>
    </row>
    <row r="8121" spans="1:1" x14ac:dyDescent="0.2">
      <c r="A8121" s="52"/>
    </row>
    <row r="8122" spans="1:1" x14ac:dyDescent="0.2">
      <c r="A8122" s="52"/>
    </row>
    <row r="8123" spans="1:1" x14ac:dyDescent="0.2">
      <c r="A8123" s="52"/>
    </row>
    <row r="8124" spans="1:1" x14ac:dyDescent="0.2">
      <c r="A8124" s="52"/>
    </row>
    <row r="8125" spans="1:1" x14ac:dyDescent="0.2">
      <c r="A8125" s="52"/>
    </row>
    <row r="8126" spans="1:1" x14ac:dyDescent="0.2">
      <c r="A8126" s="52"/>
    </row>
    <row r="8127" spans="1:1" x14ac:dyDescent="0.2">
      <c r="A8127" s="52"/>
    </row>
    <row r="8128" spans="1:1" x14ac:dyDescent="0.2">
      <c r="A8128" s="52"/>
    </row>
    <row r="8129" spans="1:1" x14ac:dyDescent="0.2">
      <c r="A8129" s="52"/>
    </row>
    <row r="8130" spans="1:1" x14ac:dyDescent="0.2">
      <c r="A8130" s="52"/>
    </row>
    <row r="8131" spans="1:1" x14ac:dyDescent="0.2">
      <c r="A8131" s="52"/>
    </row>
    <row r="8132" spans="1:1" x14ac:dyDescent="0.2">
      <c r="A8132" s="52"/>
    </row>
    <row r="8133" spans="1:1" x14ac:dyDescent="0.2">
      <c r="A8133" s="52"/>
    </row>
    <row r="8134" spans="1:1" x14ac:dyDescent="0.2">
      <c r="A8134" s="52"/>
    </row>
    <row r="8135" spans="1:1" x14ac:dyDescent="0.2">
      <c r="A8135" s="52"/>
    </row>
    <row r="8136" spans="1:1" x14ac:dyDescent="0.2">
      <c r="A8136" s="52"/>
    </row>
    <row r="8137" spans="1:1" x14ac:dyDescent="0.2">
      <c r="A8137" s="52"/>
    </row>
    <row r="8138" spans="1:1" x14ac:dyDescent="0.2">
      <c r="A8138" s="52"/>
    </row>
    <row r="8139" spans="1:1" x14ac:dyDescent="0.2">
      <c r="A8139" s="52"/>
    </row>
    <row r="8140" spans="1:1" x14ac:dyDescent="0.2">
      <c r="A8140" s="52"/>
    </row>
    <row r="8141" spans="1:1" x14ac:dyDescent="0.2">
      <c r="A8141" s="52"/>
    </row>
    <row r="8142" spans="1:1" x14ac:dyDescent="0.2">
      <c r="A8142" s="52"/>
    </row>
    <row r="8143" spans="1:1" x14ac:dyDescent="0.2">
      <c r="A8143" s="52"/>
    </row>
    <row r="8144" spans="1:1" x14ac:dyDescent="0.2">
      <c r="A8144" s="52"/>
    </row>
    <row r="8145" spans="1:1" x14ac:dyDescent="0.2">
      <c r="A8145" s="52"/>
    </row>
    <row r="8146" spans="1:1" x14ac:dyDescent="0.2">
      <c r="A8146" s="52"/>
    </row>
    <row r="8147" spans="1:1" x14ac:dyDescent="0.2">
      <c r="A8147" s="52"/>
    </row>
    <row r="8148" spans="1:1" x14ac:dyDescent="0.2">
      <c r="A8148" s="52"/>
    </row>
    <row r="8149" spans="1:1" x14ac:dyDescent="0.2">
      <c r="A8149" s="52"/>
    </row>
    <row r="8150" spans="1:1" x14ac:dyDescent="0.2">
      <c r="A8150" s="52"/>
    </row>
    <row r="8151" spans="1:1" x14ac:dyDescent="0.2">
      <c r="A8151" s="52"/>
    </row>
    <row r="8152" spans="1:1" x14ac:dyDescent="0.2">
      <c r="A8152" s="52"/>
    </row>
    <row r="8153" spans="1:1" x14ac:dyDescent="0.2">
      <c r="A8153" s="52"/>
    </row>
    <row r="8154" spans="1:1" x14ac:dyDescent="0.2">
      <c r="A8154" s="52"/>
    </row>
    <row r="8155" spans="1:1" x14ac:dyDescent="0.2">
      <c r="A8155" s="52"/>
    </row>
    <row r="8156" spans="1:1" x14ac:dyDescent="0.2">
      <c r="A8156" s="52"/>
    </row>
    <row r="8157" spans="1:1" x14ac:dyDescent="0.2">
      <c r="A8157" s="52"/>
    </row>
    <row r="8158" spans="1:1" x14ac:dyDescent="0.2">
      <c r="A8158" s="52"/>
    </row>
    <row r="8159" spans="1:1" x14ac:dyDescent="0.2">
      <c r="A8159" s="52"/>
    </row>
    <row r="8160" spans="1:1" x14ac:dyDescent="0.2">
      <c r="A8160" s="52"/>
    </row>
    <row r="8161" spans="1:1" x14ac:dyDescent="0.2">
      <c r="A8161" s="52"/>
    </row>
    <row r="8162" spans="1:1" x14ac:dyDescent="0.2">
      <c r="A8162" s="52"/>
    </row>
    <row r="8163" spans="1:1" x14ac:dyDescent="0.2">
      <c r="A8163" s="52"/>
    </row>
    <row r="8164" spans="1:1" x14ac:dyDescent="0.2">
      <c r="A8164" s="52"/>
    </row>
    <row r="8165" spans="1:1" x14ac:dyDescent="0.2">
      <c r="A8165" s="52"/>
    </row>
    <row r="8166" spans="1:1" x14ac:dyDescent="0.2">
      <c r="A8166" s="52"/>
    </row>
    <row r="8167" spans="1:1" x14ac:dyDescent="0.2">
      <c r="A8167" s="52"/>
    </row>
    <row r="8168" spans="1:1" x14ac:dyDescent="0.2">
      <c r="A8168" s="52"/>
    </row>
    <row r="8169" spans="1:1" x14ac:dyDescent="0.2">
      <c r="A8169" s="52"/>
    </row>
    <row r="8170" spans="1:1" x14ac:dyDescent="0.2">
      <c r="A8170" s="52"/>
    </row>
    <row r="8171" spans="1:1" x14ac:dyDescent="0.2">
      <c r="A8171" s="52"/>
    </row>
    <row r="8172" spans="1:1" x14ac:dyDescent="0.2">
      <c r="A8172" s="52"/>
    </row>
    <row r="8173" spans="1:1" x14ac:dyDescent="0.2">
      <c r="A8173" s="52"/>
    </row>
    <row r="8174" spans="1:1" x14ac:dyDescent="0.2">
      <c r="A8174" s="52"/>
    </row>
    <row r="8175" spans="1:1" x14ac:dyDescent="0.2">
      <c r="A8175" s="52"/>
    </row>
    <row r="8176" spans="1:1" x14ac:dyDescent="0.2">
      <c r="A8176" s="52"/>
    </row>
    <row r="8177" spans="1:1" x14ac:dyDescent="0.2">
      <c r="A8177" s="52"/>
    </row>
    <row r="8178" spans="1:1" x14ac:dyDescent="0.2">
      <c r="A8178" s="52"/>
    </row>
    <row r="8179" spans="1:1" x14ac:dyDescent="0.2">
      <c r="A8179" s="52"/>
    </row>
    <row r="8180" spans="1:1" x14ac:dyDescent="0.2">
      <c r="A8180" s="52"/>
    </row>
    <row r="8181" spans="1:1" x14ac:dyDescent="0.2">
      <c r="A8181" s="52"/>
    </row>
    <row r="8182" spans="1:1" x14ac:dyDescent="0.2">
      <c r="A8182" s="52"/>
    </row>
    <row r="8183" spans="1:1" x14ac:dyDescent="0.2">
      <c r="A8183" s="52"/>
    </row>
    <row r="8184" spans="1:1" x14ac:dyDescent="0.2">
      <c r="A8184" s="52"/>
    </row>
    <row r="8185" spans="1:1" x14ac:dyDescent="0.2">
      <c r="A8185" s="52"/>
    </row>
    <row r="8186" spans="1:1" x14ac:dyDescent="0.2">
      <c r="A8186" s="52"/>
    </row>
    <row r="8187" spans="1:1" x14ac:dyDescent="0.2">
      <c r="A8187" s="52"/>
    </row>
    <row r="8188" spans="1:1" x14ac:dyDescent="0.2">
      <c r="A8188" s="52"/>
    </row>
    <row r="8189" spans="1:1" x14ac:dyDescent="0.2">
      <c r="A8189" s="52"/>
    </row>
    <row r="8190" spans="1:1" x14ac:dyDescent="0.2">
      <c r="A8190" s="52"/>
    </row>
    <row r="8191" spans="1:1" x14ac:dyDescent="0.2">
      <c r="A8191" s="52"/>
    </row>
    <row r="8192" spans="1:1" x14ac:dyDescent="0.2">
      <c r="A8192" s="52"/>
    </row>
    <row r="8193" spans="1:1" x14ac:dyDescent="0.2">
      <c r="A8193" s="52"/>
    </row>
    <row r="8194" spans="1:1" x14ac:dyDescent="0.2">
      <c r="A8194" s="52"/>
    </row>
    <row r="8195" spans="1:1" x14ac:dyDescent="0.2">
      <c r="A8195" s="52"/>
    </row>
    <row r="8196" spans="1:1" x14ac:dyDescent="0.2">
      <c r="A8196" s="52"/>
    </row>
    <row r="8197" spans="1:1" x14ac:dyDescent="0.2">
      <c r="A8197" s="52"/>
    </row>
    <row r="8198" spans="1:1" x14ac:dyDescent="0.2">
      <c r="A8198" s="52"/>
    </row>
    <row r="8199" spans="1:1" x14ac:dyDescent="0.2">
      <c r="A8199" s="52"/>
    </row>
    <row r="8200" spans="1:1" x14ac:dyDescent="0.2">
      <c r="A8200" s="52"/>
    </row>
    <row r="8201" spans="1:1" x14ac:dyDescent="0.2">
      <c r="A8201" s="52"/>
    </row>
    <row r="8202" spans="1:1" x14ac:dyDescent="0.2">
      <c r="A8202" s="52"/>
    </row>
    <row r="8203" spans="1:1" x14ac:dyDescent="0.2">
      <c r="A8203" s="52"/>
    </row>
    <row r="8204" spans="1:1" x14ac:dyDescent="0.2">
      <c r="A8204" s="52"/>
    </row>
    <row r="8205" spans="1:1" x14ac:dyDescent="0.2">
      <c r="A8205" s="52"/>
    </row>
    <row r="8206" spans="1:1" x14ac:dyDescent="0.2">
      <c r="A8206" s="52"/>
    </row>
    <row r="8207" spans="1:1" x14ac:dyDescent="0.2">
      <c r="A8207" s="52"/>
    </row>
    <row r="8208" spans="1:1" x14ac:dyDescent="0.2">
      <c r="A8208" s="52"/>
    </row>
    <row r="8209" spans="1:1" x14ac:dyDescent="0.2">
      <c r="A8209" s="52"/>
    </row>
    <row r="8210" spans="1:1" x14ac:dyDescent="0.2">
      <c r="A8210" s="52"/>
    </row>
    <row r="8211" spans="1:1" x14ac:dyDescent="0.2">
      <c r="A8211" s="52"/>
    </row>
    <row r="8212" spans="1:1" x14ac:dyDescent="0.2">
      <c r="A8212" s="52"/>
    </row>
    <row r="8213" spans="1:1" x14ac:dyDescent="0.2">
      <c r="A8213" s="52"/>
    </row>
    <row r="8214" spans="1:1" x14ac:dyDescent="0.2">
      <c r="A8214" s="52"/>
    </row>
    <row r="8215" spans="1:1" x14ac:dyDescent="0.2">
      <c r="A8215" s="52"/>
    </row>
    <row r="8216" spans="1:1" x14ac:dyDescent="0.2">
      <c r="A8216" s="52"/>
    </row>
    <row r="8217" spans="1:1" x14ac:dyDescent="0.2">
      <c r="A8217" s="52"/>
    </row>
    <row r="8218" spans="1:1" x14ac:dyDescent="0.2">
      <c r="A8218" s="52"/>
    </row>
    <row r="8219" spans="1:1" x14ac:dyDescent="0.2">
      <c r="A8219" s="52"/>
    </row>
    <row r="8220" spans="1:1" x14ac:dyDescent="0.2">
      <c r="A8220" s="52"/>
    </row>
    <row r="8221" spans="1:1" x14ac:dyDescent="0.2">
      <c r="A8221" s="52"/>
    </row>
    <row r="8222" spans="1:1" x14ac:dyDescent="0.2">
      <c r="A8222" s="52"/>
    </row>
    <row r="8223" spans="1:1" x14ac:dyDescent="0.2">
      <c r="A8223" s="52"/>
    </row>
    <row r="8224" spans="1:1" x14ac:dyDescent="0.2">
      <c r="A8224" s="52"/>
    </row>
    <row r="8225" spans="1:1" x14ac:dyDescent="0.2">
      <c r="A8225" s="52"/>
    </row>
    <row r="8226" spans="1:1" x14ac:dyDescent="0.2">
      <c r="A8226" s="52"/>
    </row>
    <row r="8227" spans="1:1" x14ac:dyDescent="0.2">
      <c r="A8227" s="52"/>
    </row>
    <row r="8228" spans="1:1" x14ac:dyDescent="0.2">
      <c r="A8228" s="52"/>
    </row>
    <row r="8229" spans="1:1" x14ac:dyDescent="0.2">
      <c r="A8229" s="52"/>
    </row>
    <row r="8230" spans="1:1" x14ac:dyDescent="0.2">
      <c r="A8230" s="52"/>
    </row>
    <row r="8231" spans="1:1" x14ac:dyDescent="0.2">
      <c r="A8231" s="52"/>
    </row>
    <row r="8232" spans="1:1" x14ac:dyDescent="0.2">
      <c r="A8232" s="52"/>
    </row>
    <row r="8233" spans="1:1" x14ac:dyDescent="0.2">
      <c r="A8233" s="52"/>
    </row>
    <row r="8234" spans="1:1" x14ac:dyDescent="0.2">
      <c r="A8234" s="52"/>
    </row>
    <row r="8235" spans="1:1" x14ac:dyDescent="0.2">
      <c r="A8235" s="52"/>
    </row>
    <row r="8236" spans="1:1" x14ac:dyDescent="0.2">
      <c r="A8236" s="52"/>
    </row>
    <row r="8237" spans="1:1" x14ac:dyDescent="0.2">
      <c r="A8237" s="52"/>
    </row>
    <row r="8238" spans="1:1" x14ac:dyDescent="0.2">
      <c r="A8238" s="52"/>
    </row>
    <row r="8239" spans="1:1" x14ac:dyDescent="0.2">
      <c r="A8239" s="54"/>
    </row>
    <row r="8240" spans="1:1" x14ac:dyDescent="0.2">
      <c r="A8240" s="54"/>
    </row>
    <row r="8241" spans="1:1" x14ac:dyDescent="0.2">
      <c r="A8241" s="54"/>
    </row>
    <row r="8242" spans="1:1" x14ac:dyDescent="0.2">
      <c r="A8242" s="54"/>
    </row>
    <row r="8243" spans="1:1" x14ac:dyDescent="0.2">
      <c r="A8243" s="54"/>
    </row>
    <row r="8244" spans="1:1" x14ac:dyDescent="0.2">
      <c r="A8244" s="54"/>
    </row>
    <row r="8245" spans="1:1" x14ac:dyDescent="0.2">
      <c r="A8245" s="54"/>
    </row>
    <row r="8246" spans="1:1" x14ac:dyDescent="0.2">
      <c r="A8246" s="54"/>
    </row>
    <row r="8247" spans="1:1" x14ac:dyDescent="0.2">
      <c r="A8247" s="54"/>
    </row>
    <row r="8248" spans="1:1" x14ac:dyDescent="0.2">
      <c r="A8248" s="54"/>
    </row>
    <row r="8249" spans="1:1" x14ac:dyDescent="0.2">
      <c r="A8249" s="54"/>
    </row>
    <row r="8250" spans="1:1" x14ac:dyDescent="0.2">
      <c r="A8250" s="54"/>
    </row>
    <row r="8251" spans="1:1" x14ac:dyDescent="0.2">
      <c r="A8251" s="54"/>
    </row>
    <row r="8252" spans="1:1" x14ac:dyDescent="0.2">
      <c r="A8252" s="54"/>
    </row>
    <row r="8253" spans="1:1" x14ac:dyDescent="0.2">
      <c r="A8253" s="54"/>
    </row>
    <row r="8254" spans="1:1" x14ac:dyDescent="0.2">
      <c r="A8254" s="54"/>
    </row>
    <row r="8255" spans="1:1" x14ac:dyDescent="0.2">
      <c r="A8255" s="54"/>
    </row>
    <row r="8256" spans="1:1" x14ac:dyDescent="0.2">
      <c r="A8256" s="54"/>
    </row>
    <row r="8257" spans="1:1" x14ac:dyDescent="0.2">
      <c r="A8257" s="54"/>
    </row>
    <row r="8258" spans="1:1" x14ac:dyDescent="0.2">
      <c r="A8258" s="54"/>
    </row>
    <row r="8259" spans="1:1" x14ac:dyDescent="0.2">
      <c r="A8259" s="54"/>
    </row>
    <row r="8260" spans="1:1" x14ac:dyDescent="0.2">
      <c r="A8260" s="54"/>
    </row>
    <row r="8261" spans="1:1" x14ac:dyDescent="0.2">
      <c r="A8261" s="54"/>
    </row>
    <row r="8262" spans="1:1" x14ac:dyDescent="0.2">
      <c r="A8262" s="54"/>
    </row>
    <row r="8263" spans="1:1" x14ac:dyDescent="0.2">
      <c r="A8263" s="54"/>
    </row>
    <row r="8264" spans="1:1" x14ac:dyDescent="0.2">
      <c r="A8264" s="54"/>
    </row>
    <row r="8265" spans="1:1" x14ac:dyDescent="0.2">
      <c r="A8265" s="54"/>
    </row>
    <row r="8266" spans="1:1" x14ac:dyDescent="0.2">
      <c r="A8266" s="54"/>
    </row>
    <row r="8267" spans="1:1" x14ac:dyDescent="0.2">
      <c r="A8267" s="54"/>
    </row>
    <row r="8268" spans="1:1" x14ac:dyDescent="0.2">
      <c r="A8268" s="54"/>
    </row>
    <row r="8269" spans="1:1" x14ac:dyDescent="0.2">
      <c r="A8269" s="54"/>
    </row>
    <row r="8270" spans="1:1" x14ac:dyDescent="0.2">
      <c r="A8270" s="54"/>
    </row>
    <row r="8271" spans="1:1" x14ac:dyDescent="0.2">
      <c r="A8271" s="54"/>
    </row>
    <row r="8272" spans="1:1" x14ac:dyDescent="0.2">
      <c r="A8272" s="54"/>
    </row>
    <row r="8273" spans="1:1" x14ac:dyDescent="0.2">
      <c r="A8273" s="54"/>
    </row>
    <row r="8274" spans="1:1" x14ac:dyDescent="0.2">
      <c r="A8274" s="54"/>
    </row>
    <row r="8275" spans="1:1" x14ac:dyDescent="0.2">
      <c r="A8275" s="54"/>
    </row>
    <row r="8276" spans="1:1" x14ac:dyDescent="0.2">
      <c r="A8276" s="54"/>
    </row>
    <row r="8277" spans="1:1" x14ac:dyDescent="0.2">
      <c r="A8277" s="54"/>
    </row>
    <row r="8278" spans="1:1" x14ac:dyDescent="0.2">
      <c r="A8278" s="54"/>
    </row>
    <row r="8279" spans="1:1" x14ac:dyDescent="0.2">
      <c r="A8279" s="54"/>
    </row>
    <row r="8280" spans="1:1" x14ac:dyDescent="0.2">
      <c r="A8280" s="54"/>
    </row>
    <row r="8281" spans="1:1" x14ac:dyDescent="0.2">
      <c r="A8281" s="54"/>
    </row>
    <row r="8282" spans="1:1" x14ac:dyDescent="0.2">
      <c r="A8282" s="54"/>
    </row>
    <row r="8283" spans="1:1" x14ac:dyDescent="0.2">
      <c r="A8283" s="54"/>
    </row>
    <row r="8284" spans="1:1" x14ac:dyDescent="0.2">
      <c r="A8284" s="54"/>
    </row>
    <row r="8285" spans="1:1" x14ac:dyDescent="0.2">
      <c r="A8285" s="54"/>
    </row>
    <row r="8286" spans="1:1" x14ac:dyDescent="0.2">
      <c r="A8286" s="54"/>
    </row>
    <row r="8287" spans="1:1" x14ac:dyDescent="0.2">
      <c r="A8287" s="54"/>
    </row>
    <row r="8288" spans="1:1" x14ac:dyDescent="0.2">
      <c r="A8288" s="54"/>
    </row>
    <row r="8289" spans="1:1" x14ac:dyDescent="0.2">
      <c r="A8289" s="54"/>
    </row>
    <row r="8290" spans="1:1" x14ac:dyDescent="0.2">
      <c r="A8290" s="54"/>
    </row>
    <row r="8291" spans="1:1" x14ac:dyDescent="0.2">
      <c r="A8291" s="54"/>
    </row>
    <row r="8292" spans="1:1" x14ac:dyDescent="0.2">
      <c r="A8292" s="54"/>
    </row>
    <row r="8293" spans="1:1" x14ac:dyDescent="0.2">
      <c r="A8293" s="54"/>
    </row>
    <row r="8294" spans="1:1" x14ac:dyDescent="0.2">
      <c r="A8294" s="54"/>
    </row>
    <row r="8295" spans="1:1" x14ac:dyDescent="0.2">
      <c r="A8295" s="54"/>
    </row>
    <row r="8296" spans="1:1" x14ac:dyDescent="0.2">
      <c r="A8296" s="54"/>
    </row>
    <row r="8297" spans="1:1" x14ac:dyDescent="0.2">
      <c r="A8297" s="54"/>
    </row>
    <row r="8298" spans="1:1" x14ac:dyDescent="0.2">
      <c r="A8298" s="54"/>
    </row>
    <row r="8299" spans="1:1" x14ac:dyDescent="0.2">
      <c r="A8299" s="54"/>
    </row>
    <row r="8300" spans="1:1" x14ac:dyDescent="0.2">
      <c r="A8300" s="54"/>
    </row>
    <row r="8301" spans="1:1" x14ac:dyDescent="0.2">
      <c r="A8301" s="54"/>
    </row>
    <row r="8302" spans="1:1" x14ac:dyDescent="0.2">
      <c r="A8302" s="54"/>
    </row>
    <row r="8303" spans="1:1" x14ac:dyDescent="0.2">
      <c r="A8303" s="55"/>
    </row>
    <row r="8304" spans="1:1" x14ac:dyDescent="0.2">
      <c r="A8304" s="54"/>
    </row>
    <row r="8305" spans="1:1" x14ac:dyDescent="0.2">
      <c r="A8305" s="54"/>
    </row>
    <row r="8306" spans="1:1" x14ac:dyDescent="0.2">
      <c r="A8306" s="54"/>
    </row>
    <row r="8307" spans="1:1" x14ac:dyDescent="0.2">
      <c r="A8307" s="54"/>
    </row>
    <row r="8308" spans="1:1" x14ac:dyDescent="0.2">
      <c r="A8308" s="54"/>
    </row>
    <row r="8309" spans="1:1" x14ac:dyDescent="0.2">
      <c r="A8309" s="54"/>
    </row>
    <row r="8310" spans="1:1" x14ac:dyDescent="0.2">
      <c r="A8310" s="54"/>
    </row>
    <row r="8311" spans="1:1" x14ac:dyDescent="0.2">
      <c r="A8311" s="54"/>
    </row>
    <row r="8312" spans="1:1" x14ac:dyDescent="0.2">
      <c r="A8312" s="54"/>
    </row>
    <row r="8313" spans="1:1" x14ac:dyDescent="0.2">
      <c r="A8313" s="54"/>
    </row>
    <row r="8314" spans="1:1" x14ac:dyDescent="0.2">
      <c r="A8314" s="54"/>
    </row>
    <row r="8315" spans="1:1" x14ac:dyDescent="0.2">
      <c r="A8315" s="54"/>
    </row>
    <row r="8316" spans="1:1" x14ac:dyDescent="0.2">
      <c r="A8316" s="54"/>
    </row>
    <row r="8317" spans="1:1" x14ac:dyDescent="0.2">
      <c r="A8317" s="54"/>
    </row>
    <row r="8318" spans="1:1" x14ac:dyDescent="0.2">
      <c r="A8318" s="54"/>
    </row>
    <row r="8319" spans="1:1" x14ac:dyDescent="0.2">
      <c r="A8319" s="54"/>
    </row>
    <row r="8320" spans="1:1" x14ac:dyDescent="0.2">
      <c r="A8320" s="54"/>
    </row>
    <row r="8321" spans="1:1" x14ac:dyDescent="0.2">
      <c r="A8321" s="54"/>
    </row>
    <row r="8322" spans="1:1" x14ac:dyDescent="0.2">
      <c r="A8322" s="54"/>
    </row>
    <row r="8323" spans="1:1" x14ac:dyDescent="0.2">
      <c r="A8323" s="54"/>
    </row>
    <row r="8324" spans="1:1" x14ac:dyDescent="0.2">
      <c r="A8324" s="54"/>
    </row>
    <row r="8325" spans="1:1" x14ac:dyDescent="0.2">
      <c r="A8325" s="54"/>
    </row>
    <row r="8326" spans="1:1" x14ac:dyDescent="0.2">
      <c r="A8326" s="54"/>
    </row>
    <row r="8327" spans="1:1" x14ac:dyDescent="0.2">
      <c r="A8327" s="54"/>
    </row>
    <row r="8328" spans="1:1" x14ac:dyDescent="0.2">
      <c r="A8328" s="54"/>
    </row>
    <row r="8329" spans="1:1" x14ac:dyDescent="0.2">
      <c r="A8329" s="54"/>
    </row>
    <row r="8330" spans="1:1" x14ac:dyDescent="0.2">
      <c r="A8330" s="54"/>
    </row>
    <row r="8331" spans="1:1" x14ac:dyDescent="0.2">
      <c r="A8331" s="54"/>
    </row>
    <row r="8332" spans="1:1" x14ac:dyDescent="0.2">
      <c r="A8332" s="54"/>
    </row>
    <row r="8333" spans="1:1" x14ac:dyDescent="0.2">
      <c r="A8333" s="54"/>
    </row>
    <row r="8334" spans="1:1" x14ac:dyDescent="0.2">
      <c r="A8334" s="54"/>
    </row>
    <row r="8335" spans="1:1" x14ac:dyDescent="0.2">
      <c r="A8335" s="54"/>
    </row>
    <row r="8336" spans="1:1" x14ac:dyDescent="0.2">
      <c r="A8336" s="54"/>
    </row>
    <row r="8337" spans="1:1" x14ac:dyDescent="0.2">
      <c r="A8337" s="54"/>
    </row>
    <row r="8338" spans="1:1" x14ac:dyDescent="0.2">
      <c r="A8338" s="54"/>
    </row>
    <row r="8339" spans="1:1" x14ac:dyDescent="0.2">
      <c r="A8339" s="54"/>
    </row>
    <row r="8340" spans="1:1" x14ac:dyDescent="0.2">
      <c r="A8340" s="54"/>
    </row>
    <row r="8341" spans="1:1" x14ac:dyDescent="0.2">
      <c r="A8341" s="54"/>
    </row>
    <row r="8342" spans="1:1" x14ac:dyDescent="0.2">
      <c r="A8342" s="54"/>
    </row>
    <row r="8343" spans="1:1" x14ac:dyDescent="0.2">
      <c r="A8343" s="54"/>
    </row>
    <row r="8344" spans="1:1" x14ac:dyDescent="0.2">
      <c r="A8344" s="54"/>
    </row>
    <row r="8345" spans="1:1" x14ac:dyDescent="0.2">
      <c r="A8345" s="54"/>
    </row>
    <row r="8346" spans="1:1" x14ac:dyDescent="0.2">
      <c r="A8346" s="54"/>
    </row>
    <row r="8347" spans="1:1" x14ac:dyDescent="0.2">
      <c r="A8347" s="54"/>
    </row>
    <row r="8348" spans="1:1" x14ac:dyDescent="0.2">
      <c r="A8348" s="54"/>
    </row>
    <row r="8349" spans="1:1" x14ac:dyDescent="0.2">
      <c r="A8349" s="54"/>
    </row>
    <row r="8350" spans="1:1" x14ac:dyDescent="0.2">
      <c r="A8350" s="54"/>
    </row>
    <row r="8351" spans="1:1" x14ac:dyDescent="0.2">
      <c r="A8351" s="54"/>
    </row>
    <row r="8352" spans="1:1" x14ac:dyDescent="0.2">
      <c r="A8352" s="55"/>
    </row>
    <row r="8353" spans="1:1" x14ac:dyDescent="0.2">
      <c r="A8353" s="54"/>
    </row>
    <row r="8354" spans="1:1" x14ac:dyDescent="0.2">
      <c r="A8354" s="54"/>
    </row>
    <row r="8355" spans="1:1" x14ac:dyDescent="0.2">
      <c r="A8355" s="54"/>
    </row>
    <row r="8356" spans="1:1" x14ac:dyDescent="0.2">
      <c r="A8356" s="54"/>
    </row>
    <row r="8357" spans="1:1" x14ac:dyDescent="0.2">
      <c r="A8357" s="54"/>
    </row>
    <row r="8358" spans="1:1" x14ac:dyDescent="0.2">
      <c r="A8358" s="54"/>
    </row>
    <row r="8359" spans="1:1" x14ac:dyDescent="0.2">
      <c r="A8359" s="54"/>
    </row>
    <row r="8360" spans="1:1" x14ac:dyDescent="0.2">
      <c r="A8360" s="54"/>
    </row>
    <row r="8361" spans="1:1" x14ac:dyDescent="0.2">
      <c r="A8361" s="54"/>
    </row>
    <row r="8362" spans="1:1" x14ac:dyDescent="0.2">
      <c r="A8362" s="54"/>
    </row>
    <row r="8363" spans="1:1" x14ac:dyDescent="0.2">
      <c r="A8363" s="54"/>
    </row>
    <row r="8364" spans="1:1" x14ac:dyDescent="0.2">
      <c r="A8364" s="54"/>
    </row>
    <row r="8365" spans="1:1" x14ac:dyDescent="0.2">
      <c r="A8365" s="54"/>
    </row>
    <row r="8366" spans="1:1" x14ac:dyDescent="0.2">
      <c r="A8366" s="54"/>
    </row>
    <row r="8367" spans="1:1" x14ac:dyDescent="0.2">
      <c r="A8367" s="54"/>
    </row>
    <row r="8368" spans="1:1" x14ac:dyDescent="0.2">
      <c r="A8368" s="54"/>
    </row>
    <row r="8369" spans="1:1" x14ac:dyDescent="0.2">
      <c r="A8369" s="54"/>
    </row>
    <row r="8370" spans="1:1" x14ac:dyDescent="0.2">
      <c r="A8370" s="54"/>
    </row>
    <row r="8371" spans="1:1" x14ac:dyDescent="0.2">
      <c r="A8371" s="55"/>
    </row>
    <row r="8372" spans="1:1" x14ac:dyDescent="0.2">
      <c r="A8372" s="54"/>
    </row>
    <row r="8373" spans="1:1" x14ac:dyDescent="0.2">
      <c r="A8373" s="54"/>
    </row>
    <row r="8374" spans="1:1" x14ac:dyDescent="0.2">
      <c r="A8374" s="54"/>
    </row>
    <row r="8375" spans="1:1" x14ac:dyDescent="0.2">
      <c r="A8375" s="54"/>
    </row>
    <row r="8376" spans="1:1" x14ac:dyDescent="0.2">
      <c r="A8376" s="54"/>
    </row>
    <row r="8377" spans="1:1" x14ac:dyDescent="0.2">
      <c r="A8377" s="55"/>
    </row>
    <row r="8378" spans="1:1" x14ac:dyDescent="0.2">
      <c r="A8378" s="54"/>
    </row>
    <row r="8379" spans="1:1" x14ac:dyDescent="0.2">
      <c r="A8379" s="54"/>
    </row>
    <row r="8380" spans="1:1" x14ac:dyDescent="0.2">
      <c r="A8380" s="54"/>
    </row>
    <row r="8381" spans="1:1" x14ac:dyDescent="0.2">
      <c r="A8381" s="54"/>
    </row>
    <row r="8382" spans="1:1" x14ac:dyDescent="0.2">
      <c r="A8382" s="54"/>
    </row>
    <row r="8383" spans="1:1" x14ac:dyDescent="0.2">
      <c r="A8383" s="54"/>
    </row>
    <row r="8384" spans="1:1" x14ac:dyDescent="0.2">
      <c r="A8384" s="54"/>
    </row>
    <row r="8385" spans="1:1" x14ac:dyDescent="0.2">
      <c r="A8385" s="54"/>
    </row>
    <row r="8386" spans="1:1" x14ac:dyDescent="0.2">
      <c r="A8386" s="54"/>
    </row>
    <row r="8387" spans="1:1" x14ac:dyDescent="0.2">
      <c r="A8387" s="54"/>
    </row>
    <row r="8388" spans="1:1" x14ac:dyDescent="0.2">
      <c r="A8388" s="54"/>
    </row>
    <row r="8389" spans="1:1" x14ac:dyDescent="0.2">
      <c r="A8389" s="54"/>
    </row>
    <row r="8390" spans="1:1" x14ac:dyDescent="0.2">
      <c r="A8390" s="54"/>
    </row>
    <row r="8391" spans="1:1" x14ac:dyDescent="0.2">
      <c r="A8391" s="54"/>
    </row>
    <row r="8392" spans="1:1" x14ac:dyDescent="0.2">
      <c r="A8392" s="54"/>
    </row>
    <row r="8393" spans="1:1" x14ac:dyDescent="0.2">
      <c r="A8393" s="54"/>
    </row>
    <row r="8394" spans="1:1" x14ac:dyDescent="0.2">
      <c r="A8394" s="54"/>
    </row>
    <row r="8395" spans="1:1" x14ac:dyDescent="0.2">
      <c r="A8395" s="54"/>
    </row>
    <row r="8396" spans="1:1" x14ac:dyDescent="0.2">
      <c r="A8396" s="54"/>
    </row>
    <row r="8397" spans="1:1" x14ac:dyDescent="0.2">
      <c r="A8397" s="54"/>
    </row>
    <row r="8398" spans="1:1" x14ac:dyDescent="0.2">
      <c r="A8398" s="54"/>
    </row>
    <row r="8399" spans="1:1" x14ac:dyDescent="0.2">
      <c r="A8399" s="54"/>
    </row>
    <row r="8400" spans="1:1" x14ac:dyDescent="0.2">
      <c r="A8400" s="54"/>
    </row>
    <row r="8401" spans="1:1" x14ac:dyDescent="0.2">
      <c r="A8401" s="54"/>
    </row>
    <row r="8402" spans="1:1" x14ac:dyDescent="0.2">
      <c r="A8402" s="54"/>
    </row>
    <row r="8403" spans="1:1" x14ac:dyDescent="0.2">
      <c r="A8403" s="54"/>
    </row>
    <row r="8404" spans="1:1" x14ac:dyDescent="0.2">
      <c r="A8404" s="54"/>
    </row>
    <row r="8405" spans="1:1" x14ac:dyDescent="0.2">
      <c r="A8405" s="54"/>
    </row>
    <row r="8406" spans="1:1" x14ac:dyDescent="0.2">
      <c r="A8406" s="54"/>
    </row>
    <row r="8407" spans="1:1" x14ac:dyDescent="0.2">
      <c r="A8407" s="54"/>
    </row>
    <row r="8408" spans="1:1" x14ac:dyDescent="0.2">
      <c r="A8408" s="54"/>
    </row>
    <row r="8409" spans="1:1" x14ac:dyDescent="0.2">
      <c r="A8409" s="55"/>
    </row>
    <row r="8410" spans="1:1" x14ac:dyDescent="0.2">
      <c r="A8410" s="54"/>
    </row>
    <row r="8411" spans="1:1" x14ac:dyDescent="0.2">
      <c r="A8411" s="55"/>
    </row>
    <row r="8412" spans="1:1" x14ac:dyDescent="0.2">
      <c r="A8412" s="54"/>
    </row>
    <row r="8413" spans="1:1" x14ac:dyDescent="0.2">
      <c r="A8413" s="54"/>
    </row>
    <row r="8414" spans="1:1" x14ac:dyDescent="0.2">
      <c r="A8414" s="54"/>
    </row>
    <row r="8415" spans="1:1" x14ac:dyDescent="0.2">
      <c r="A8415" s="54"/>
    </row>
    <row r="8416" spans="1:1" x14ac:dyDescent="0.2">
      <c r="A8416" s="54"/>
    </row>
    <row r="8417" spans="1:1" x14ac:dyDescent="0.2">
      <c r="A8417" s="54"/>
    </row>
    <row r="8418" spans="1:1" x14ac:dyDescent="0.2">
      <c r="A8418" s="54"/>
    </row>
    <row r="8419" spans="1:1" x14ac:dyDescent="0.2">
      <c r="A8419" s="54"/>
    </row>
    <row r="8420" spans="1:1" x14ac:dyDescent="0.2">
      <c r="A8420" s="54"/>
    </row>
    <row r="8421" spans="1:1" x14ac:dyDescent="0.2">
      <c r="A8421" s="54"/>
    </row>
    <row r="8422" spans="1:1" x14ac:dyDescent="0.2">
      <c r="A8422" s="55"/>
    </row>
    <row r="8423" spans="1:1" x14ac:dyDescent="0.2">
      <c r="A8423" s="54"/>
    </row>
    <row r="8424" spans="1:1" x14ac:dyDescent="0.2">
      <c r="A8424" s="54"/>
    </row>
    <row r="8425" spans="1:1" x14ac:dyDescent="0.2">
      <c r="A8425" s="54"/>
    </row>
    <row r="8426" spans="1:1" x14ac:dyDescent="0.2">
      <c r="A8426" s="54"/>
    </row>
    <row r="8427" spans="1:1" x14ac:dyDescent="0.2">
      <c r="A8427" s="54"/>
    </row>
    <row r="8428" spans="1:1" x14ac:dyDescent="0.2">
      <c r="A8428" s="54"/>
    </row>
    <row r="8429" spans="1:1" x14ac:dyDescent="0.2">
      <c r="A8429" s="54"/>
    </row>
    <row r="8430" spans="1:1" x14ac:dyDescent="0.2">
      <c r="A8430" s="54"/>
    </row>
    <row r="8431" spans="1:1" x14ac:dyDescent="0.2">
      <c r="A8431" s="54"/>
    </row>
    <row r="8432" spans="1:1" x14ac:dyDescent="0.2">
      <c r="A8432" s="54"/>
    </row>
    <row r="8433" spans="1:1" x14ac:dyDescent="0.2">
      <c r="A8433" s="54"/>
    </row>
    <row r="8434" spans="1:1" x14ac:dyDescent="0.2">
      <c r="A8434" s="54"/>
    </row>
    <row r="8435" spans="1:1" x14ac:dyDescent="0.2">
      <c r="A8435" s="54"/>
    </row>
    <row r="8436" spans="1:1" x14ac:dyDescent="0.2">
      <c r="A8436" s="55"/>
    </row>
    <row r="8437" spans="1:1" x14ac:dyDescent="0.2">
      <c r="A8437" s="55"/>
    </row>
    <row r="8438" spans="1:1" x14ac:dyDescent="0.2">
      <c r="A8438" s="55"/>
    </row>
    <row r="8439" spans="1:1" x14ac:dyDescent="0.2">
      <c r="A8439" s="54"/>
    </row>
    <row r="8440" spans="1:1" x14ac:dyDescent="0.2">
      <c r="A8440" s="54"/>
    </row>
    <row r="8441" spans="1:1" x14ac:dyDescent="0.2">
      <c r="A8441" s="54"/>
    </row>
    <row r="8442" spans="1:1" x14ac:dyDescent="0.2">
      <c r="A8442" s="54"/>
    </row>
    <row r="8443" spans="1:1" x14ac:dyDescent="0.2">
      <c r="A8443" s="54"/>
    </row>
    <row r="8444" spans="1:1" x14ac:dyDescent="0.2">
      <c r="A8444" s="54"/>
    </row>
    <row r="8445" spans="1:1" x14ac:dyDescent="0.2">
      <c r="A8445" s="54"/>
    </row>
    <row r="8446" spans="1:1" x14ac:dyDescent="0.2">
      <c r="A8446" s="54"/>
    </row>
    <row r="8447" spans="1:1" x14ac:dyDescent="0.2">
      <c r="A8447" s="54"/>
    </row>
    <row r="8448" spans="1:1" x14ac:dyDescent="0.2">
      <c r="A8448" s="54"/>
    </row>
    <row r="8449" spans="1:1" x14ac:dyDescent="0.2">
      <c r="A8449" s="54"/>
    </row>
    <row r="8450" spans="1:1" x14ac:dyDescent="0.2">
      <c r="A8450" s="54"/>
    </row>
    <row r="8451" spans="1:1" x14ac:dyDescent="0.2">
      <c r="A8451" s="54"/>
    </row>
    <row r="8452" spans="1:1" x14ac:dyDescent="0.2">
      <c r="A8452" s="54"/>
    </row>
    <row r="8453" spans="1:1" x14ac:dyDescent="0.2">
      <c r="A8453" s="54"/>
    </row>
    <row r="8454" spans="1:1" x14ac:dyDescent="0.2">
      <c r="A8454" s="54"/>
    </row>
    <row r="8455" spans="1:1" x14ac:dyDescent="0.2">
      <c r="A8455" s="55"/>
    </row>
    <row r="8456" spans="1:1" x14ac:dyDescent="0.2">
      <c r="A8456" s="55"/>
    </row>
    <row r="8457" spans="1:1" x14ac:dyDescent="0.2">
      <c r="A8457" s="55"/>
    </row>
    <row r="8458" spans="1:1" x14ac:dyDescent="0.2">
      <c r="A8458" s="54"/>
    </row>
    <row r="8459" spans="1:1" x14ac:dyDescent="0.2">
      <c r="A8459" s="54"/>
    </row>
    <row r="8460" spans="1:1" x14ac:dyDescent="0.2">
      <c r="A8460" s="54"/>
    </row>
    <row r="8461" spans="1:1" x14ac:dyDescent="0.2">
      <c r="A8461" s="54"/>
    </row>
    <row r="8462" spans="1:1" x14ac:dyDescent="0.2">
      <c r="A8462" s="54"/>
    </row>
    <row r="8463" spans="1:1" x14ac:dyDescent="0.2">
      <c r="A8463" s="54"/>
    </row>
    <row r="8464" spans="1:1" x14ac:dyDescent="0.2">
      <c r="A8464" s="54"/>
    </row>
    <row r="8465" spans="1:1" x14ac:dyDescent="0.2">
      <c r="A8465" s="54"/>
    </row>
    <row r="8466" spans="1:1" x14ac:dyDescent="0.2">
      <c r="A8466" s="54"/>
    </row>
    <row r="8467" spans="1:1" x14ac:dyDescent="0.2">
      <c r="A8467" s="54"/>
    </row>
    <row r="8468" spans="1:1" x14ac:dyDescent="0.2">
      <c r="A8468" s="55"/>
    </row>
    <row r="8469" spans="1:1" x14ac:dyDescent="0.2">
      <c r="A8469" s="55"/>
    </row>
    <row r="8470" spans="1:1" x14ac:dyDescent="0.2">
      <c r="A8470" s="54"/>
    </row>
    <row r="8471" spans="1:1" x14ac:dyDescent="0.2">
      <c r="A8471" s="54"/>
    </row>
    <row r="8472" spans="1:1" x14ac:dyDescent="0.2">
      <c r="A8472" s="54"/>
    </row>
    <row r="8473" spans="1:1" x14ac:dyDescent="0.2">
      <c r="A8473" s="54"/>
    </row>
    <row r="8474" spans="1:1" x14ac:dyDescent="0.2">
      <c r="A8474" s="54"/>
    </row>
    <row r="8475" spans="1:1" x14ac:dyDescent="0.2">
      <c r="A8475" s="54"/>
    </row>
    <row r="8476" spans="1:1" x14ac:dyDescent="0.2">
      <c r="A8476" s="55"/>
    </row>
    <row r="8477" spans="1:1" x14ac:dyDescent="0.2">
      <c r="A8477" s="54"/>
    </row>
    <row r="8478" spans="1:1" x14ac:dyDescent="0.2">
      <c r="A8478" s="54"/>
    </row>
    <row r="8479" spans="1:1" x14ac:dyDescent="0.2">
      <c r="A8479" s="54"/>
    </row>
    <row r="8480" spans="1:1" x14ac:dyDescent="0.2">
      <c r="A8480" s="54"/>
    </row>
    <row r="8481" spans="1:1" x14ac:dyDescent="0.2">
      <c r="A8481" s="54"/>
    </row>
    <row r="8482" spans="1:1" x14ac:dyDescent="0.2">
      <c r="A8482" s="54"/>
    </row>
    <row r="8483" spans="1:1" x14ac:dyDescent="0.2">
      <c r="A8483" s="54"/>
    </row>
    <row r="8484" spans="1:1" x14ac:dyDescent="0.2">
      <c r="A8484" s="54"/>
    </row>
    <row r="8485" spans="1:1" x14ac:dyDescent="0.2">
      <c r="A8485" s="54"/>
    </row>
    <row r="8486" spans="1:1" x14ac:dyDescent="0.2">
      <c r="A8486" s="54"/>
    </row>
    <row r="8487" spans="1:1" x14ac:dyDescent="0.2">
      <c r="A8487" s="54"/>
    </row>
    <row r="8488" spans="1:1" x14ac:dyDescent="0.2">
      <c r="A8488" s="54"/>
    </row>
    <row r="8489" spans="1:1" x14ac:dyDescent="0.2">
      <c r="A8489" s="54"/>
    </row>
    <row r="8490" spans="1:1" x14ac:dyDescent="0.2">
      <c r="A8490" s="54"/>
    </row>
    <row r="8491" spans="1:1" x14ac:dyDescent="0.2">
      <c r="A8491" s="54"/>
    </row>
    <row r="8492" spans="1:1" x14ac:dyDescent="0.2">
      <c r="A8492" s="54"/>
    </row>
    <row r="8493" spans="1:1" x14ac:dyDescent="0.2">
      <c r="A8493" s="54"/>
    </row>
    <row r="8494" spans="1:1" x14ac:dyDescent="0.2">
      <c r="A8494" s="54"/>
    </row>
    <row r="8495" spans="1:1" x14ac:dyDescent="0.2">
      <c r="A8495" s="54"/>
    </row>
    <row r="8496" spans="1:1" x14ac:dyDescent="0.2">
      <c r="A8496" s="54"/>
    </row>
    <row r="8497" spans="1:1" x14ac:dyDescent="0.2">
      <c r="A8497" s="54"/>
    </row>
    <row r="8498" spans="1:1" x14ac:dyDescent="0.2">
      <c r="A8498" s="55"/>
    </row>
    <row r="8499" spans="1:1" x14ac:dyDescent="0.2">
      <c r="A8499" s="54"/>
    </row>
    <row r="8500" spans="1:1" x14ac:dyDescent="0.2">
      <c r="A8500" s="54"/>
    </row>
    <row r="8501" spans="1:1" x14ac:dyDescent="0.2">
      <c r="A8501" s="54"/>
    </row>
    <row r="8502" spans="1:1" x14ac:dyDescent="0.2">
      <c r="A8502" s="54"/>
    </row>
    <row r="8503" spans="1:1" x14ac:dyDescent="0.2">
      <c r="A8503" s="54"/>
    </row>
    <row r="8504" spans="1:1" x14ac:dyDescent="0.2">
      <c r="A8504" s="54"/>
    </row>
    <row r="8505" spans="1:1" x14ac:dyDescent="0.2">
      <c r="A8505" s="54"/>
    </row>
    <row r="8506" spans="1:1" x14ac:dyDescent="0.2">
      <c r="A8506" s="54"/>
    </row>
    <row r="8507" spans="1:1" x14ac:dyDescent="0.2">
      <c r="A8507" s="54"/>
    </row>
    <row r="8508" spans="1:1" x14ac:dyDescent="0.2">
      <c r="A8508" s="55"/>
    </row>
    <row r="8509" spans="1:1" x14ac:dyDescent="0.2">
      <c r="A8509" s="54"/>
    </row>
    <row r="8510" spans="1:1" x14ac:dyDescent="0.2">
      <c r="A8510" s="54"/>
    </row>
    <row r="8511" spans="1:1" x14ac:dyDescent="0.2">
      <c r="A8511" s="54"/>
    </row>
    <row r="8512" spans="1:1" x14ac:dyDescent="0.2">
      <c r="A8512" s="55"/>
    </row>
    <row r="8513" spans="1:1" x14ac:dyDescent="0.2">
      <c r="A8513" s="55"/>
    </row>
    <row r="8514" spans="1:1" x14ac:dyDescent="0.2">
      <c r="A8514" s="54"/>
    </row>
    <row r="8515" spans="1:1" x14ac:dyDescent="0.2">
      <c r="A8515" s="54"/>
    </row>
    <row r="8516" spans="1:1" x14ac:dyDescent="0.2">
      <c r="A8516" s="54"/>
    </row>
    <row r="8517" spans="1:1" x14ac:dyDescent="0.2">
      <c r="A8517" s="54"/>
    </row>
    <row r="8518" spans="1:1" x14ac:dyDescent="0.2">
      <c r="A8518" s="54"/>
    </row>
    <row r="8519" spans="1:1" x14ac:dyDescent="0.2">
      <c r="A8519" s="54"/>
    </row>
    <row r="8520" spans="1:1" x14ac:dyDescent="0.2">
      <c r="A8520" s="54"/>
    </row>
    <row r="8521" spans="1:1" x14ac:dyDescent="0.2">
      <c r="A8521" s="54"/>
    </row>
    <row r="8522" spans="1:1" x14ac:dyDescent="0.2">
      <c r="A8522" s="54"/>
    </row>
    <row r="8523" spans="1:1" x14ac:dyDescent="0.2">
      <c r="A8523" s="54"/>
    </row>
    <row r="8524" spans="1:1" x14ac:dyDescent="0.2">
      <c r="A8524" s="54"/>
    </row>
    <row r="8525" spans="1:1" x14ac:dyDescent="0.2">
      <c r="A8525" s="54"/>
    </row>
    <row r="8526" spans="1:1" x14ac:dyDescent="0.2">
      <c r="A8526" s="54"/>
    </row>
    <row r="8527" spans="1:1" x14ac:dyDescent="0.2">
      <c r="A8527" s="54"/>
    </row>
    <row r="8528" spans="1:1" x14ac:dyDescent="0.2">
      <c r="A8528" s="54"/>
    </row>
    <row r="8529" spans="1:1" x14ac:dyDescent="0.2">
      <c r="A8529" s="54"/>
    </row>
    <row r="8530" spans="1:1" x14ac:dyDescent="0.2">
      <c r="A8530" s="54"/>
    </row>
    <row r="8531" spans="1:1" x14ac:dyDescent="0.2">
      <c r="A8531" s="54"/>
    </row>
    <row r="8532" spans="1:1" x14ac:dyDescent="0.2">
      <c r="A8532" s="54"/>
    </row>
    <row r="8533" spans="1:1" x14ac:dyDescent="0.2">
      <c r="A8533" s="54"/>
    </row>
    <row r="8534" spans="1:1" x14ac:dyDescent="0.2">
      <c r="A8534" s="54"/>
    </row>
    <row r="8535" spans="1:1" x14ac:dyDescent="0.2">
      <c r="A8535" s="54"/>
    </row>
    <row r="8536" spans="1:1" x14ac:dyDescent="0.2">
      <c r="A8536" s="54"/>
    </row>
    <row r="8537" spans="1:1" x14ac:dyDescent="0.2">
      <c r="A8537" s="54"/>
    </row>
    <row r="8538" spans="1:1" x14ac:dyDescent="0.2">
      <c r="A8538" s="54"/>
    </row>
    <row r="8539" spans="1:1" x14ac:dyDescent="0.2">
      <c r="A8539" s="54"/>
    </row>
    <row r="8540" spans="1:1" x14ac:dyDescent="0.2">
      <c r="A8540" s="54"/>
    </row>
    <row r="8541" spans="1:1" x14ac:dyDescent="0.2">
      <c r="A8541" s="54"/>
    </row>
    <row r="8542" spans="1:1" x14ac:dyDescent="0.2">
      <c r="A8542" s="54"/>
    </row>
    <row r="8543" spans="1:1" x14ac:dyDescent="0.2">
      <c r="A8543" s="54"/>
    </row>
    <row r="8544" spans="1:1" x14ac:dyDescent="0.2">
      <c r="A8544" s="54"/>
    </row>
    <row r="8545" spans="1:1" x14ac:dyDescent="0.2">
      <c r="A8545" s="54"/>
    </row>
    <row r="8546" spans="1:1" x14ac:dyDescent="0.2">
      <c r="A8546" s="54"/>
    </row>
    <row r="8547" spans="1:1" x14ac:dyDescent="0.2">
      <c r="A8547" s="54"/>
    </row>
    <row r="8548" spans="1:1" x14ac:dyDescent="0.2">
      <c r="A8548" s="54"/>
    </row>
    <row r="8549" spans="1:1" x14ac:dyDescent="0.2">
      <c r="A8549" s="54"/>
    </row>
    <row r="8550" spans="1:1" x14ac:dyDescent="0.2">
      <c r="A8550" s="54"/>
    </row>
    <row r="8551" spans="1:1" x14ac:dyDescent="0.2">
      <c r="A8551" s="54"/>
    </row>
    <row r="8552" spans="1:1" x14ac:dyDescent="0.2">
      <c r="A8552" s="54"/>
    </row>
    <row r="8553" spans="1:1" x14ac:dyDescent="0.2">
      <c r="A8553" s="54"/>
    </row>
    <row r="8554" spans="1:1" x14ac:dyDescent="0.2">
      <c r="A8554" s="54"/>
    </row>
    <row r="8555" spans="1:1" x14ac:dyDescent="0.2">
      <c r="A8555" s="54"/>
    </row>
    <row r="8556" spans="1:1" x14ac:dyDescent="0.2">
      <c r="A8556" s="54"/>
    </row>
    <row r="8557" spans="1:1" x14ac:dyDescent="0.2">
      <c r="A8557" s="54"/>
    </row>
    <row r="8558" spans="1:1" x14ac:dyDescent="0.2">
      <c r="A8558" s="54"/>
    </row>
    <row r="8559" spans="1:1" x14ac:dyDescent="0.2">
      <c r="A8559" s="54"/>
    </row>
    <row r="8560" spans="1:1" x14ac:dyDescent="0.2">
      <c r="A8560" s="54"/>
    </row>
    <row r="8561" spans="1:1" x14ac:dyDescent="0.2">
      <c r="A8561" s="54"/>
    </row>
    <row r="8562" spans="1:1" x14ac:dyDescent="0.2">
      <c r="A8562" s="55"/>
    </row>
    <row r="8563" spans="1:1" x14ac:dyDescent="0.2">
      <c r="A8563" s="54"/>
    </row>
    <row r="8564" spans="1:1" x14ac:dyDescent="0.2">
      <c r="A8564" s="55"/>
    </row>
    <row r="8565" spans="1:1" x14ac:dyDescent="0.2">
      <c r="A8565" s="54"/>
    </row>
    <row r="8566" spans="1:1" x14ac:dyDescent="0.2">
      <c r="A8566" s="54"/>
    </row>
    <row r="8567" spans="1:1" x14ac:dyDescent="0.2">
      <c r="A8567" s="54"/>
    </row>
    <row r="8568" spans="1:1" x14ac:dyDescent="0.2">
      <c r="A8568" s="54"/>
    </row>
    <row r="8569" spans="1:1" x14ac:dyDescent="0.2">
      <c r="A8569" s="54"/>
    </row>
    <row r="8570" spans="1:1" x14ac:dyDescent="0.2">
      <c r="A8570" s="54"/>
    </row>
    <row r="8571" spans="1:1" x14ac:dyDescent="0.2">
      <c r="A8571" s="54"/>
    </row>
    <row r="8572" spans="1:1" x14ac:dyDescent="0.2">
      <c r="A8572" s="55"/>
    </row>
    <row r="8573" spans="1:1" x14ac:dyDescent="0.2">
      <c r="A8573" s="54"/>
    </row>
    <row r="8574" spans="1:1" x14ac:dyDescent="0.2">
      <c r="A8574" s="54"/>
    </row>
    <row r="8575" spans="1:1" x14ac:dyDescent="0.2">
      <c r="A8575" s="54"/>
    </row>
    <row r="8576" spans="1:1" x14ac:dyDescent="0.2">
      <c r="A8576" s="54"/>
    </row>
    <row r="8577" spans="1:1" x14ac:dyDescent="0.2">
      <c r="A8577" s="54"/>
    </row>
    <row r="8578" spans="1:1" x14ac:dyDescent="0.2">
      <c r="A8578" s="54"/>
    </row>
    <row r="8579" spans="1:1" x14ac:dyDescent="0.2">
      <c r="A8579" s="54"/>
    </row>
    <row r="8580" spans="1:1" x14ac:dyDescent="0.2">
      <c r="A8580" s="54"/>
    </row>
    <row r="8581" spans="1:1" x14ac:dyDescent="0.2">
      <c r="A8581" s="54"/>
    </row>
    <row r="8582" spans="1:1" x14ac:dyDescent="0.2">
      <c r="A8582" s="54"/>
    </row>
    <row r="8583" spans="1:1" x14ac:dyDescent="0.2">
      <c r="A8583" s="54"/>
    </row>
    <row r="8584" spans="1:1" x14ac:dyDescent="0.2">
      <c r="A8584" s="54"/>
    </row>
    <row r="8585" spans="1:1" x14ac:dyDescent="0.2">
      <c r="A8585" s="54"/>
    </row>
    <row r="8586" spans="1:1" x14ac:dyDescent="0.2">
      <c r="A8586" s="54"/>
    </row>
    <row r="8587" spans="1:1" x14ac:dyDescent="0.2">
      <c r="A8587" s="54"/>
    </row>
    <row r="8588" spans="1:1" x14ac:dyDescent="0.2">
      <c r="A8588" s="54"/>
    </row>
    <row r="8589" spans="1:1" x14ac:dyDescent="0.2">
      <c r="A8589" s="54"/>
    </row>
    <row r="8590" spans="1:1" x14ac:dyDescent="0.2">
      <c r="A8590" s="54"/>
    </row>
    <row r="8591" spans="1:1" x14ac:dyDescent="0.2">
      <c r="A8591" s="54"/>
    </row>
    <row r="8592" spans="1:1" x14ac:dyDescent="0.2">
      <c r="A8592" s="54"/>
    </row>
    <row r="8593" spans="1:1" x14ac:dyDescent="0.2">
      <c r="A8593" s="54"/>
    </row>
    <row r="8594" spans="1:1" x14ac:dyDescent="0.2">
      <c r="A8594" s="54"/>
    </row>
    <row r="8595" spans="1:1" x14ac:dyDescent="0.2">
      <c r="A8595" s="54"/>
    </row>
    <row r="8596" spans="1:1" x14ac:dyDescent="0.2">
      <c r="A8596" s="54"/>
    </row>
    <row r="8597" spans="1:1" x14ac:dyDescent="0.2">
      <c r="A8597" s="54"/>
    </row>
    <row r="8598" spans="1:1" x14ac:dyDescent="0.2">
      <c r="A8598" s="54"/>
    </row>
    <row r="8599" spans="1:1" x14ac:dyDescent="0.2">
      <c r="A8599" s="54"/>
    </row>
    <row r="8600" spans="1:1" x14ac:dyDescent="0.2">
      <c r="A8600" s="54"/>
    </row>
    <row r="8601" spans="1:1" x14ac:dyDescent="0.2">
      <c r="A8601" s="54"/>
    </row>
    <row r="8602" spans="1:1" x14ac:dyDescent="0.2">
      <c r="A8602" s="54"/>
    </row>
    <row r="8603" spans="1:1" x14ac:dyDescent="0.2">
      <c r="A8603" s="54"/>
    </row>
    <row r="8604" spans="1:1" x14ac:dyDescent="0.2">
      <c r="A8604" s="54"/>
    </row>
    <row r="8605" spans="1:1" x14ac:dyDescent="0.2">
      <c r="A8605" s="54"/>
    </row>
    <row r="8606" spans="1:1" x14ac:dyDescent="0.2">
      <c r="A8606" s="54"/>
    </row>
    <row r="8607" spans="1:1" x14ac:dyDescent="0.2">
      <c r="A8607" s="54"/>
    </row>
    <row r="8608" spans="1:1" x14ac:dyDescent="0.2">
      <c r="A8608" s="54"/>
    </row>
    <row r="8609" spans="1:1" x14ac:dyDescent="0.2">
      <c r="A8609" s="54"/>
    </row>
    <row r="8610" spans="1:1" x14ac:dyDescent="0.2">
      <c r="A8610" s="54"/>
    </row>
    <row r="8611" spans="1:1" x14ac:dyDescent="0.2">
      <c r="A8611" s="54"/>
    </row>
    <row r="8612" spans="1:1" x14ac:dyDescent="0.2">
      <c r="A8612" s="54"/>
    </row>
    <row r="8613" spans="1:1" x14ac:dyDescent="0.2">
      <c r="A8613" s="54"/>
    </row>
    <row r="8614" spans="1:1" x14ac:dyDescent="0.2">
      <c r="A8614" s="54"/>
    </row>
    <row r="8615" spans="1:1" x14ac:dyDescent="0.2">
      <c r="A8615" s="54"/>
    </row>
    <row r="8616" spans="1:1" x14ac:dyDescent="0.2">
      <c r="A8616" s="54"/>
    </row>
    <row r="8617" spans="1:1" x14ac:dyDescent="0.2">
      <c r="A8617" s="54"/>
    </row>
    <row r="8618" spans="1:1" x14ac:dyDescent="0.2">
      <c r="A8618" s="54"/>
    </row>
    <row r="8619" spans="1:1" x14ac:dyDescent="0.2">
      <c r="A8619" s="54"/>
    </row>
    <row r="8620" spans="1:1" x14ac:dyDescent="0.2">
      <c r="A8620" s="54"/>
    </row>
    <row r="8621" spans="1:1" x14ac:dyDescent="0.2">
      <c r="A8621" s="54"/>
    </row>
    <row r="8622" spans="1:1" x14ac:dyDescent="0.2">
      <c r="A8622" s="54"/>
    </row>
    <row r="8623" spans="1:1" x14ac:dyDescent="0.2">
      <c r="A8623" s="54"/>
    </row>
    <row r="8624" spans="1:1" x14ac:dyDescent="0.2">
      <c r="A8624" s="54"/>
    </row>
    <row r="8625" spans="1:1" x14ac:dyDescent="0.2">
      <c r="A8625" s="54"/>
    </row>
    <row r="8626" spans="1:1" x14ac:dyDescent="0.2">
      <c r="A8626" s="54"/>
    </row>
    <row r="8627" spans="1:1" x14ac:dyDescent="0.2">
      <c r="A8627" s="54"/>
    </row>
    <row r="8628" spans="1:1" x14ac:dyDescent="0.2">
      <c r="A8628" s="54"/>
    </row>
    <row r="8629" spans="1:1" x14ac:dyDescent="0.2">
      <c r="A8629" s="54"/>
    </row>
    <row r="8630" spans="1:1" x14ac:dyDescent="0.2">
      <c r="A8630" s="54"/>
    </row>
    <row r="8631" spans="1:1" x14ac:dyDescent="0.2">
      <c r="A8631" s="54"/>
    </row>
    <row r="8632" spans="1:1" x14ac:dyDescent="0.2">
      <c r="A8632" s="55"/>
    </row>
    <row r="8633" spans="1:1" x14ac:dyDescent="0.2">
      <c r="A8633" s="54"/>
    </row>
    <row r="8634" spans="1:1" x14ac:dyDescent="0.2">
      <c r="A8634" s="54"/>
    </row>
    <row r="8635" spans="1:1" x14ac:dyDescent="0.2">
      <c r="A8635" s="54"/>
    </row>
    <row r="8636" spans="1:1" x14ac:dyDescent="0.2">
      <c r="A8636" s="55"/>
    </row>
    <row r="8637" spans="1:1" x14ac:dyDescent="0.2">
      <c r="A8637" s="54"/>
    </row>
    <row r="8638" spans="1:1" x14ac:dyDescent="0.2">
      <c r="A8638" s="54"/>
    </row>
    <row r="8639" spans="1:1" x14ac:dyDescent="0.2">
      <c r="A8639" s="54"/>
    </row>
    <row r="8640" spans="1:1" x14ac:dyDescent="0.2">
      <c r="A8640" s="54"/>
    </row>
    <row r="8641" spans="1:1" x14ac:dyDescent="0.2">
      <c r="A8641" s="54"/>
    </row>
    <row r="8642" spans="1:1" x14ac:dyDescent="0.2">
      <c r="A8642" s="54"/>
    </row>
    <row r="8643" spans="1:1" x14ac:dyDescent="0.2">
      <c r="A8643" s="54"/>
    </row>
    <row r="8644" spans="1:1" x14ac:dyDescent="0.2">
      <c r="A8644" s="54"/>
    </row>
    <row r="8645" spans="1:1" x14ac:dyDescent="0.2">
      <c r="A8645" s="54"/>
    </row>
    <row r="8646" spans="1:1" x14ac:dyDescent="0.2">
      <c r="A8646" s="54"/>
    </row>
    <row r="8647" spans="1:1" x14ac:dyDescent="0.2">
      <c r="A8647" s="54"/>
    </row>
    <row r="8648" spans="1:1" x14ac:dyDescent="0.2">
      <c r="A8648" s="54"/>
    </row>
    <row r="8649" spans="1:1" x14ac:dyDescent="0.2">
      <c r="A8649" s="54"/>
    </row>
    <row r="8650" spans="1:1" x14ac:dyDescent="0.2">
      <c r="A8650" s="54"/>
    </row>
    <row r="8651" spans="1:1" x14ac:dyDescent="0.2">
      <c r="A8651" s="54"/>
    </row>
    <row r="8652" spans="1:1" x14ac:dyDescent="0.2">
      <c r="A8652" s="54"/>
    </row>
    <row r="8653" spans="1:1" x14ac:dyDescent="0.2">
      <c r="A8653" s="54"/>
    </row>
    <row r="8654" spans="1:1" x14ac:dyDescent="0.2">
      <c r="A8654" s="54"/>
    </row>
    <row r="8655" spans="1:1" x14ac:dyDescent="0.2">
      <c r="A8655" s="54"/>
    </row>
    <row r="8656" spans="1:1" x14ac:dyDescent="0.2">
      <c r="A8656" s="54"/>
    </row>
    <row r="8657" spans="1:1" x14ac:dyDescent="0.2">
      <c r="A8657" s="54"/>
    </row>
    <row r="8658" spans="1:1" x14ac:dyDescent="0.2">
      <c r="A8658" s="54"/>
    </row>
    <row r="8659" spans="1:1" x14ac:dyDescent="0.2">
      <c r="A8659" s="54"/>
    </row>
    <row r="8660" spans="1:1" x14ac:dyDescent="0.2">
      <c r="A8660" s="54"/>
    </row>
    <row r="8661" spans="1:1" x14ac:dyDescent="0.2">
      <c r="A8661" s="54"/>
    </row>
    <row r="8662" spans="1:1" x14ac:dyDescent="0.2">
      <c r="A8662" s="54"/>
    </row>
    <row r="8663" spans="1:1" x14ac:dyDescent="0.2">
      <c r="A8663" s="54"/>
    </row>
    <row r="8664" spans="1:1" x14ac:dyDescent="0.2">
      <c r="A8664" s="54"/>
    </row>
    <row r="8665" spans="1:1" x14ac:dyDescent="0.2">
      <c r="A8665" s="54"/>
    </row>
    <row r="8666" spans="1:1" x14ac:dyDescent="0.2">
      <c r="A8666" s="54"/>
    </row>
    <row r="8667" spans="1:1" x14ac:dyDescent="0.2">
      <c r="A8667" s="54"/>
    </row>
    <row r="8668" spans="1:1" x14ac:dyDescent="0.2">
      <c r="A8668" s="54"/>
    </row>
    <row r="8669" spans="1:1" x14ac:dyDescent="0.2">
      <c r="A8669" s="54"/>
    </row>
    <row r="8670" spans="1:1" x14ac:dyDescent="0.2">
      <c r="A8670" s="54"/>
    </row>
    <row r="8671" spans="1:1" x14ac:dyDescent="0.2">
      <c r="A8671" s="54"/>
    </row>
    <row r="8672" spans="1:1" x14ac:dyDescent="0.2">
      <c r="A8672" s="54"/>
    </row>
    <row r="8673" spans="1:1" x14ac:dyDescent="0.2">
      <c r="A8673" s="54"/>
    </row>
    <row r="8674" spans="1:1" x14ac:dyDescent="0.2">
      <c r="A8674" s="54"/>
    </row>
    <row r="8675" spans="1:1" x14ac:dyDescent="0.2">
      <c r="A8675" s="54"/>
    </row>
    <row r="8676" spans="1:1" x14ac:dyDescent="0.2">
      <c r="A8676" s="54"/>
    </row>
    <row r="8677" spans="1:1" x14ac:dyDescent="0.2">
      <c r="A8677" s="54"/>
    </row>
    <row r="8678" spans="1:1" x14ac:dyDescent="0.2">
      <c r="A8678" s="54"/>
    </row>
    <row r="8679" spans="1:1" x14ac:dyDescent="0.2">
      <c r="A8679" s="54"/>
    </row>
    <row r="8680" spans="1:1" x14ac:dyDescent="0.2">
      <c r="A8680" s="54"/>
    </row>
    <row r="8681" spans="1:1" x14ac:dyDescent="0.2">
      <c r="A8681" s="54"/>
    </row>
    <row r="8682" spans="1:1" x14ac:dyDescent="0.2">
      <c r="A8682" s="54"/>
    </row>
    <row r="8683" spans="1:1" x14ac:dyDescent="0.2">
      <c r="A8683" s="54"/>
    </row>
    <row r="8684" spans="1:1" x14ac:dyDescent="0.2">
      <c r="A8684" s="54"/>
    </row>
    <row r="8685" spans="1:1" x14ac:dyDescent="0.2">
      <c r="A8685" s="54"/>
    </row>
    <row r="8686" spans="1:1" x14ac:dyDescent="0.2">
      <c r="A8686" s="54"/>
    </row>
    <row r="8687" spans="1:1" x14ac:dyDescent="0.2">
      <c r="A8687" s="54"/>
    </row>
    <row r="8688" spans="1:1" x14ac:dyDescent="0.2">
      <c r="A8688" s="55"/>
    </row>
    <row r="8689" spans="1:1" x14ac:dyDescent="0.2">
      <c r="A8689" s="54"/>
    </row>
    <row r="8690" spans="1:1" x14ac:dyDescent="0.2">
      <c r="A8690" s="54"/>
    </row>
    <row r="8691" spans="1:1" x14ac:dyDescent="0.2">
      <c r="A8691" s="55"/>
    </row>
    <row r="8692" spans="1:1" x14ac:dyDescent="0.2">
      <c r="A8692" s="54"/>
    </row>
    <row r="8693" spans="1:1" x14ac:dyDescent="0.2">
      <c r="A8693" s="54"/>
    </row>
    <row r="8694" spans="1:1" x14ac:dyDescent="0.2">
      <c r="A8694" s="54"/>
    </row>
    <row r="8695" spans="1:1" x14ac:dyDescent="0.2">
      <c r="A8695" s="54"/>
    </row>
    <row r="8696" spans="1:1" x14ac:dyDescent="0.2">
      <c r="A8696" s="54"/>
    </row>
    <row r="8697" spans="1:1" x14ac:dyDescent="0.2">
      <c r="A8697" s="54"/>
    </row>
    <row r="8698" spans="1:1" x14ac:dyDescent="0.2">
      <c r="A8698" s="54"/>
    </row>
    <row r="8699" spans="1:1" x14ac:dyDescent="0.2">
      <c r="A8699" s="54"/>
    </row>
    <row r="8700" spans="1:1" x14ac:dyDescent="0.2">
      <c r="A8700" s="55"/>
    </row>
    <row r="8701" spans="1:1" x14ac:dyDescent="0.2">
      <c r="A8701" s="54"/>
    </row>
    <row r="8702" spans="1:1" x14ac:dyDescent="0.2">
      <c r="A8702" s="55"/>
    </row>
    <row r="8703" spans="1:1" x14ac:dyDescent="0.2">
      <c r="A8703" s="54"/>
    </row>
    <row r="8704" spans="1:1" x14ac:dyDescent="0.2">
      <c r="A8704" s="54"/>
    </row>
    <row r="8705" spans="1:1" x14ac:dyDescent="0.2">
      <c r="A8705" s="54"/>
    </row>
    <row r="8706" spans="1:1" x14ac:dyDescent="0.2">
      <c r="A8706" s="54"/>
    </row>
    <row r="8707" spans="1:1" x14ac:dyDescent="0.2">
      <c r="A8707" s="54"/>
    </row>
    <row r="8708" spans="1:1" x14ac:dyDescent="0.2">
      <c r="A8708" s="54"/>
    </row>
    <row r="8709" spans="1:1" x14ac:dyDescent="0.2">
      <c r="A8709" s="54"/>
    </row>
    <row r="8710" spans="1:1" x14ac:dyDescent="0.2">
      <c r="A8710" s="54"/>
    </row>
    <row r="8711" spans="1:1" x14ac:dyDescent="0.2">
      <c r="A8711" s="54"/>
    </row>
    <row r="8712" spans="1:1" x14ac:dyDescent="0.2">
      <c r="A8712" s="54"/>
    </row>
    <row r="8713" spans="1:1" x14ac:dyDescent="0.2">
      <c r="A8713" s="54"/>
    </row>
    <row r="8714" spans="1:1" x14ac:dyDescent="0.2">
      <c r="A8714" s="54"/>
    </row>
    <row r="8715" spans="1:1" x14ac:dyDescent="0.2">
      <c r="A8715" s="54"/>
    </row>
    <row r="8716" spans="1:1" x14ac:dyDescent="0.2">
      <c r="A8716" s="54"/>
    </row>
    <row r="8717" spans="1:1" x14ac:dyDescent="0.2">
      <c r="A8717" s="54"/>
    </row>
    <row r="8718" spans="1:1" x14ac:dyDescent="0.2">
      <c r="A8718" s="54"/>
    </row>
    <row r="8719" spans="1:1" x14ac:dyDescent="0.2">
      <c r="A8719" s="54"/>
    </row>
    <row r="8720" spans="1:1" x14ac:dyDescent="0.2">
      <c r="A8720" s="54"/>
    </row>
    <row r="8721" spans="1:1" x14ac:dyDescent="0.2">
      <c r="A8721" s="54"/>
    </row>
    <row r="8722" spans="1:1" x14ac:dyDescent="0.2">
      <c r="A8722" s="54"/>
    </row>
    <row r="8723" spans="1:1" x14ac:dyDescent="0.2">
      <c r="A8723" s="54"/>
    </row>
    <row r="8724" spans="1:1" x14ac:dyDescent="0.2">
      <c r="A8724" s="54"/>
    </row>
    <row r="8725" spans="1:1" x14ac:dyDescent="0.2">
      <c r="A8725" s="54"/>
    </row>
    <row r="8726" spans="1:1" x14ac:dyDescent="0.2">
      <c r="A8726" s="54"/>
    </row>
    <row r="8727" spans="1:1" x14ac:dyDescent="0.2">
      <c r="A8727" s="54"/>
    </row>
    <row r="8728" spans="1:1" x14ac:dyDescent="0.2">
      <c r="A8728" s="54"/>
    </row>
    <row r="8729" spans="1:1" x14ac:dyDescent="0.2">
      <c r="A8729" s="54"/>
    </row>
    <row r="8730" spans="1:1" x14ac:dyDescent="0.2">
      <c r="A8730" s="54"/>
    </row>
    <row r="8731" spans="1:1" x14ac:dyDescent="0.2">
      <c r="A8731" s="54"/>
    </row>
    <row r="8732" spans="1:1" x14ac:dyDescent="0.2">
      <c r="A8732" s="54"/>
    </row>
    <row r="8733" spans="1:1" x14ac:dyDescent="0.2">
      <c r="A8733" s="54"/>
    </row>
    <row r="8734" spans="1:1" x14ac:dyDescent="0.2">
      <c r="A8734" s="54"/>
    </row>
    <row r="8735" spans="1:1" x14ac:dyDescent="0.2">
      <c r="A8735" s="55"/>
    </row>
    <row r="8736" spans="1:1" x14ac:dyDescent="0.2">
      <c r="A8736" s="54"/>
    </row>
    <row r="8737" spans="1:1" x14ac:dyDescent="0.2">
      <c r="A8737" s="54"/>
    </row>
    <row r="8738" spans="1:1" x14ac:dyDescent="0.2">
      <c r="A8738" s="54"/>
    </row>
    <row r="8739" spans="1:1" x14ac:dyDescent="0.2">
      <c r="A8739" s="54"/>
    </row>
    <row r="8740" spans="1:1" x14ac:dyDescent="0.2">
      <c r="A8740" s="54"/>
    </row>
    <row r="8741" spans="1:1" x14ac:dyDescent="0.2">
      <c r="A8741" s="54"/>
    </row>
    <row r="8742" spans="1:1" x14ac:dyDescent="0.2">
      <c r="A8742" s="54"/>
    </row>
    <row r="8743" spans="1:1" x14ac:dyDescent="0.2">
      <c r="A8743" s="54"/>
    </row>
    <row r="8744" spans="1:1" x14ac:dyDescent="0.2">
      <c r="A8744" s="54"/>
    </row>
    <row r="8745" spans="1:1" x14ac:dyDescent="0.2">
      <c r="A8745" s="54"/>
    </row>
    <row r="8746" spans="1:1" x14ac:dyDescent="0.2">
      <c r="A8746" s="54"/>
    </row>
    <row r="8747" spans="1:1" x14ac:dyDescent="0.2">
      <c r="A8747" s="54"/>
    </row>
    <row r="8748" spans="1:1" x14ac:dyDescent="0.2">
      <c r="A8748" s="54"/>
    </row>
    <row r="8749" spans="1:1" x14ac:dyDescent="0.2">
      <c r="A8749" s="54"/>
    </row>
    <row r="8750" spans="1:1" x14ac:dyDescent="0.2">
      <c r="A8750" s="54"/>
    </row>
    <row r="8751" spans="1:1" x14ac:dyDescent="0.2">
      <c r="A8751" s="54"/>
    </row>
    <row r="8752" spans="1:1" x14ac:dyDescent="0.2">
      <c r="A8752" s="54"/>
    </row>
    <row r="8753" spans="1:1" x14ac:dyDescent="0.2">
      <c r="A8753" s="54"/>
    </row>
    <row r="8754" spans="1:1" x14ac:dyDescent="0.2">
      <c r="A8754" s="54"/>
    </row>
    <row r="8755" spans="1:1" x14ac:dyDescent="0.2">
      <c r="A8755" s="54"/>
    </row>
    <row r="8756" spans="1:1" x14ac:dyDescent="0.2">
      <c r="A8756" s="54"/>
    </row>
    <row r="8757" spans="1:1" x14ac:dyDescent="0.2">
      <c r="A8757" s="54"/>
    </row>
    <row r="8758" spans="1:1" x14ac:dyDescent="0.2">
      <c r="A8758" s="54"/>
    </row>
    <row r="8759" spans="1:1" x14ac:dyDescent="0.2">
      <c r="A8759" s="54"/>
    </row>
    <row r="8760" spans="1:1" x14ac:dyDescent="0.2">
      <c r="A8760" s="54"/>
    </row>
    <row r="8761" spans="1:1" x14ac:dyDescent="0.2">
      <c r="A8761" s="54"/>
    </row>
    <row r="8762" spans="1:1" x14ac:dyDescent="0.2">
      <c r="A8762" s="54"/>
    </row>
    <row r="8763" spans="1:1" x14ac:dyDescent="0.2">
      <c r="A8763" s="54"/>
    </row>
    <row r="8764" spans="1:1" x14ac:dyDescent="0.2">
      <c r="A8764" s="55"/>
    </row>
    <row r="8765" spans="1:1" x14ac:dyDescent="0.2">
      <c r="A8765" s="54"/>
    </row>
    <row r="8766" spans="1:1" x14ac:dyDescent="0.2">
      <c r="A8766" s="55"/>
    </row>
    <row r="8767" spans="1:1" x14ac:dyDescent="0.2">
      <c r="A8767" s="55"/>
    </row>
    <row r="8768" spans="1:1" x14ac:dyDescent="0.2">
      <c r="A8768" s="54"/>
    </row>
    <row r="8769" spans="1:1" x14ac:dyDescent="0.2">
      <c r="A8769" s="54"/>
    </row>
    <row r="8770" spans="1:1" x14ac:dyDescent="0.2">
      <c r="A8770" s="54"/>
    </row>
    <row r="8771" spans="1:1" x14ac:dyDescent="0.2">
      <c r="A8771" s="54"/>
    </row>
    <row r="8772" spans="1:1" x14ac:dyDescent="0.2">
      <c r="A8772" s="54"/>
    </row>
    <row r="8773" spans="1:1" x14ac:dyDescent="0.2">
      <c r="A8773" s="54"/>
    </row>
    <row r="8774" spans="1:1" x14ac:dyDescent="0.2">
      <c r="A8774" s="54"/>
    </row>
    <row r="8775" spans="1:1" x14ac:dyDescent="0.2">
      <c r="A8775" s="54"/>
    </row>
    <row r="8776" spans="1:1" x14ac:dyDescent="0.2">
      <c r="A8776" s="55"/>
    </row>
    <row r="8777" spans="1:1" x14ac:dyDescent="0.2">
      <c r="A8777" s="55"/>
    </row>
    <row r="8778" spans="1:1" x14ac:dyDescent="0.2">
      <c r="A8778" s="54"/>
    </row>
    <row r="8779" spans="1:1" x14ac:dyDescent="0.2">
      <c r="A8779" s="54"/>
    </row>
    <row r="8780" spans="1:1" x14ac:dyDescent="0.2">
      <c r="A8780" s="55"/>
    </row>
    <row r="8781" spans="1:1" x14ac:dyDescent="0.2">
      <c r="A8781" s="54"/>
    </row>
    <row r="8782" spans="1:1" x14ac:dyDescent="0.2">
      <c r="A8782" s="54"/>
    </row>
    <row r="8783" spans="1:1" x14ac:dyDescent="0.2">
      <c r="A8783" s="54"/>
    </row>
    <row r="8784" spans="1:1" x14ac:dyDescent="0.2">
      <c r="A8784" s="54"/>
    </row>
    <row r="8785" spans="1:1" x14ac:dyDescent="0.2">
      <c r="A8785" s="55"/>
    </row>
    <row r="8786" spans="1:1" x14ac:dyDescent="0.2">
      <c r="A8786" s="54"/>
    </row>
    <row r="8787" spans="1:1" x14ac:dyDescent="0.2">
      <c r="A8787" s="54"/>
    </row>
    <row r="8788" spans="1:1" x14ac:dyDescent="0.2">
      <c r="A8788" s="55"/>
    </row>
    <row r="8789" spans="1:1" x14ac:dyDescent="0.2">
      <c r="A8789" s="54"/>
    </row>
    <row r="8790" spans="1:1" x14ac:dyDescent="0.2">
      <c r="A8790" s="54"/>
    </row>
    <row r="8791" spans="1:1" x14ac:dyDescent="0.2">
      <c r="A8791" s="54"/>
    </row>
    <row r="8792" spans="1:1" x14ac:dyDescent="0.2">
      <c r="A8792" s="54"/>
    </row>
    <row r="8793" spans="1:1" x14ac:dyDescent="0.2">
      <c r="A8793" s="54"/>
    </row>
    <row r="8794" spans="1:1" x14ac:dyDescent="0.2">
      <c r="A8794" s="54"/>
    </row>
    <row r="8795" spans="1:1" x14ac:dyDescent="0.2">
      <c r="A8795" s="55"/>
    </row>
    <row r="8796" spans="1:1" x14ac:dyDescent="0.2">
      <c r="A8796" s="54"/>
    </row>
    <row r="8797" spans="1:1" x14ac:dyDescent="0.2">
      <c r="A8797" s="54"/>
    </row>
    <row r="8798" spans="1:1" x14ac:dyDescent="0.2">
      <c r="A8798" s="54"/>
    </row>
    <row r="8799" spans="1:1" x14ac:dyDescent="0.2">
      <c r="A8799" s="54"/>
    </row>
    <row r="8800" spans="1:1" x14ac:dyDescent="0.2">
      <c r="A8800" s="54"/>
    </row>
    <row r="8801" spans="1:1" x14ac:dyDescent="0.2">
      <c r="A8801" s="54"/>
    </row>
    <row r="8802" spans="1:1" x14ac:dyDescent="0.2">
      <c r="A8802" s="55"/>
    </row>
    <row r="8803" spans="1:1" x14ac:dyDescent="0.2">
      <c r="A8803" s="54"/>
    </row>
    <row r="8804" spans="1:1" x14ac:dyDescent="0.2">
      <c r="A8804" s="54"/>
    </row>
    <row r="8805" spans="1:1" x14ac:dyDescent="0.2">
      <c r="A8805" s="54"/>
    </row>
    <row r="8806" spans="1:1" x14ac:dyDescent="0.2">
      <c r="A8806" s="54"/>
    </row>
    <row r="8807" spans="1:1" x14ac:dyDescent="0.2">
      <c r="A8807" s="54"/>
    </row>
    <row r="8808" spans="1:1" x14ac:dyDescent="0.2">
      <c r="A8808" s="54"/>
    </row>
    <row r="8809" spans="1:1" x14ac:dyDescent="0.2">
      <c r="A8809" s="54"/>
    </row>
    <row r="8810" spans="1:1" x14ac:dyDescent="0.2">
      <c r="A8810" s="54"/>
    </row>
    <row r="8811" spans="1:1" x14ac:dyDescent="0.2">
      <c r="A8811" s="55"/>
    </row>
    <row r="8812" spans="1:1" x14ac:dyDescent="0.2">
      <c r="A8812" s="55"/>
    </row>
    <row r="8813" spans="1:1" x14ac:dyDescent="0.2">
      <c r="A8813" s="54"/>
    </row>
    <row r="8814" spans="1:1" x14ac:dyDescent="0.2">
      <c r="A8814" s="54"/>
    </row>
    <row r="8815" spans="1:1" x14ac:dyDescent="0.2">
      <c r="A8815" s="55"/>
    </row>
    <row r="8816" spans="1:1" x14ac:dyDescent="0.2">
      <c r="A8816" s="54"/>
    </row>
    <row r="8817" spans="1:1" x14ac:dyDescent="0.2">
      <c r="A8817" s="54"/>
    </row>
    <row r="8818" spans="1:1" x14ac:dyDescent="0.2">
      <c r="A8818" s="54"/>
    </row>
    <row r="8819" spans="1:1" x14ac:dyDescent="0.2">
      <c r="A8819" s="54"/>
    </row>
    <row r="8820" spans="1:1" x14ac:dyDescent="0.2">
      <c r="A8820" s="54"/>
    </row>
    <row r="8821" spans="1:1" x14ac:dyDescent="0.2">
      <c r="A8821" s="54"/>
    </row>
    <row r="8822" spans="1:1" x14ac:dyDescent="0.2">
      <c r="A8822" s="54"/>
    </row>
    <row r="8823" spans="1:1" x14ac:dyDescent="0.2">
      <c r="A8823" s="54"/>
    </row>
    <row r="8824" spans="1:1" x14ac:dyDescent="0.2">
      <c r="A8824" s="54"/>
    </row>
    <row r="8825" spans="1:1" x14ac:dyDescent="0.2">
      <c r="A8825" s="54"/>
    </row>
    <row r="8826" spans="1:1" x14ac:dyDescent="0.2">
      <c r="A8826" s="55"/>
    </row>
    <row r="8827" spans="1:1" x14ac:dyDescent="0.2">
      <c r="A8827" s="54"/>
    </row>
    <row r="8828" spans="1:1" x14ac:dyDescent="0.2">
      <c r="A8828" s="54"/>
    </row>
    <row r="8829" spans="1:1" x14ac:dyDescent="0.2">
      <c r="A8829" s="54"/>
    </row>
    <row r="8830" spans="1:1" x14ac:dyDescent="0.2">
      <c r="A8830" s="54"/>
    </row>
    <row r="8831" spans="1:1" x14ac:dyDescent="0.2">
      <c r="A8831" s="54"/>
    </row>
    <row r="8832" spans="1:1" x14ac:dyDescent="0.2">
      <c r="A8832" s="54"/>
    </row>
    <row r="8833" spans="1:1" x14ac:dyDescent="0.2">
      <c r="A8833" s="54"/>
    </row>
    <row r="8834" spans="1:1" x14ac:dyDescent="0.2">
      <c r="A8834" s="55"/>
    </row>
    <row r="8835" spans="1:1" x14ac:dyDescent="0.2">
      <c r="A8835" s="54"/>
    </row>
    <row r="8836" spans="1:1" x14ac:dyDescent="0.2">
      <c r="A8836" s="54"/>
    </row>
    <row r="8837" spans="1:1" x14ac:dyDescent="0.2">
      <c r="A8837" s="54"/>
    </row>
    <row r="8838" spans="1:1" x14ac:dyDescent="0.2">
      <c r="A8838" s="54"/>
    </row>
    <row r="8839" spans="1:1" x14ac:dyDescent="0.2">
      <c r="A8839" s="54"/>
    </row>
    <row r="8840" spans="1:1" x14ac:dyDescent="0.2">
      <c r="A8840" s="55"/>
    </row>
    <row r="8841" spans="1:1" x14ac:dyDescent="0.2">
      <c r="A8841" s="54"/>
    </row>
    <row r="8842" spans="1:1" x14ac:dyDescent="0.2">
      <c r="A8842" s="54"/>
    </row>
    <row r="8843" spans="1:1" x14ac:dyDescent="0.2">
      <c r="A8843" s="54"/>
    </row>
    <row r="8844" spans="1:1" x14ac:dyDescent="0.2">
      <c r="A8844" s="54"/>
    </row>
    <row r="8845" spans="1:1" x14ac:dyDescent="0.2">
      <c r="A8845" s="55"/>
    </row>
    <row r="8846" spans="1:1" x14ac:dyDescent="0.2">
      <c r="A8846" s="54"/>
    </row>
    <row r="8847" spans="1:1" x14ac:dyDescent="0.2">
      <c r="A8847" s="54"/>
    </row>
    <row r="8848" spans="1:1" x14ac:dyDescent="0.2">
      <c r="A8848" s="55"/>
    </row>
    <row r="8849" spans="1:1" x14ac:dyDescent="0.2">
      <c r="A8849" s="54"/>
    </row>
    <row r="8850" spans="1:1" x14ac:dyDescent="0.2">
      <c r="A8850" s="54"/>
    </row>
    <row r="8851" spans="1:1" x14ac:dyDescent="0.2">
      <c r="A8851" s="54"/>
    </row>
    <row r="8852" spans="1:1" x14ac:dyDescent="0.2">
      <c r="A8852" s="54"/>
    </row>
    <row r="8853" spans="1:1" x14ac:dyDescent="0.2">
      <c r="A8853" s="54"/>
    </row>
    <row r="8854" spans="1:1" x14ac:dyDescent="0.2">
      <c r="A8854" s="54"/>
    </row>
    <row r="8855" spans="1:1" x14ac:dyDescent="0.2">
      <c r="A8855" s="54"/>
    </row>
    <row r="8856" spans="1:1" x14ac:dyDescent="0.2">
      <c r="A8856" s="54"/>
    </row>
    <row r="8857" spans="1:1" x14ac:dyDescent="0.2">
      <c r="A8857" s="54"/>
    </row>
    <row r="8858" spans="1:1" x14ac:dyDescent="0.2">
      <c r="A8858" s="54"/>
    </row>
    <row r="8859" spans="1:1" x14ac:dyDescent="0.2">
      <c r="A8859" s="54"/>
    </row>
    <row r="8860" spans="1:1" x14ac:dyDescent="0.2">
      <c r="A8860" s="54"/>
    </row>
    <row r="8861" spans="1:1" x14ac:dyDescent="0.2">
      <c r="A8861" s="54"/>
    </row>
    <row r="8862" spans="1:1" x14ac:dyDescent="0.2">
      <c r="A8862" s="54"/>
    </row>
    <row r="8863" spans="1:1" x14ac:dyDescent="0.2">
      <c r="A8863" s="54"/>
    </row>
    <row r="8864" spans="1:1" x14ac:dyDescent="0.2">
      <c r="A8864" s="54"/>
    </row>
    <row r="8865" spans="1:1" x14ac:dyDescent="0.2">
      <c r="A8865" s="54"/>
    </row>
    <row r="8866" spans="1:1" x14ac:dyDescent="0.2">
      <c r="A8866" s="54"/>
    </row>
    <row r="8867" spans="1:1" x14ac:dyDescent="0.2">
      <c r="A8867" s="54"/>
    </row>
    <row r="8868" spans="1:1" x14ac:dyDescent="0.2">
      <c r="A8868" s="54"/>
    </row>
    <row r="8869" spans="1:1" x14ac:dyDescent="0.2">
      <c r="A8869" s="54"/>
    </row>
    <row r="8870" spans="1:1" x14ac:dyDescent="0.2">
      <c r="A8870" s="54"/>
    </row>
    <row r="8871" spans="1:1" x14ac:dyDescent="0.2">
      <c r="A8871" s="54"/>
    </row>
    <row r="8872" spans="1:1" x14ac:dyDescent="0.2">
      <c r="A8872" s="54"/>
    </row>
    <row r="8873" spans="1:1" x14ac:dyDescent="0.2">
      <c r="A8873" s="54"/>
    </row>
    <row r="8874" spans="1:1" x14ac:dyDescent="0.2">
      <c r="A8874" s="54"/>
    </row>
    <row r="8875" spans="1:1" x14ac:dyDescent="0.2">
      <c r="A8875" s="54"/>
    </row>
    <row r="8876" spans="1:1" x14ac:dyDescent="0.2">
      <c r="A8876" s="54"/>
    </row>
    <row r="8877" spans="1:1" x14ac:dyDescent="0.2">
      <c r="A8877" s="54"/>
    </row>
    <row r="8878" spans="1:1" x14ac:dyDescent="0.2">
      <c r="A8878" s="54"/>
    </row>
    <row r="8879" spans="1:1" x14ac:dyDescent="0.2">
      <c r="A8879" s="54"/>
    </row>
    <row r="8880" spans="1:1" x14ac:dyDescent="0.2">
      <c r="A8880" s="54"/>
    </row>
    <row r="8881" spans="1:1" x14ac:dyDescent="0.2">
      <c r="A8881" s="54"/>
    </row>
    <row r="8882" spans="1:1" x14ac:dyDescent="0.2">
      <c r="A8882" s="54"/>
    </row>
    <row r="8883" spans="1:1" x14ac:dyDescent="0.2">
      <c r="A8883" s="54"/>
    </row>
    <row r="8884" spans="1:1" x14ac:dyDescent="0.2">
      <c r="A8884" s="54"/>
    </row>
    <row r="8885" spans="1:1" x14ac:dyDescent="0.2">
      <c r="A8885" s="54"/>
    </row>
    <row r="8886" spans="1:1" x14ac:dyDescent="0.2">
      <c r="A8886" s="54"/>
    </row>
    <row r="8887" spans="1:1" x14ac:dyDescent="0.2">
      <c r="A8887" s="54"/>
    </row>
    <row r="8888" spans="1:1" x14ac:dyDescent="0.2">
      <c r="A8888" s="54"/>
    </row>
    <row r="8889" spans="1:1" x14ac:dyDescent="0.2">
      <c r="A8889" s="54"/>
    </row>
    <row r="8890" spans="1:1" x14ac:dyDescent="0.2">
      <c r="A8890" s="54"/>
    </row>
    <row r="8891" spans="1:1" x14ac:dyDescent="0.2">
      <c r="A8891" s="54"/>
    </row>
    <row r="8892" spans="1:1" x14ac:dyDescent="0.2">
      <c r="A8892" s="54"/>
    </row>
    <row r="8893" spans="1:1" x14ac:dyDescent="0.2">
      <c r="A8893" s="54"/>
    </row>
    <row r="8894" spans="1:1" x14ac:dyDescent="0.2">
      <c r="A8894" s="54"/>
    </row>
    <row r="8895" spans="1:1" x14ac:dyDescent="0.2">
      <c r="A8895" s="54"/>
    </row>
    <row r="8896" spans="1:1" x14ac:dyDescent="0.2">
      <c r="A8896" s="54"/>
    </row>
    <row r="8897" spans="1:1" x14ac:dyDescent="0.2">
      <c r="A8897" s="54"/>
    </row>
    <row r="8898" spans="1:1" x14ac:dyDescent="0.2">
      <c r="A8898" s="54"/>
    </row>
    <row r="8899" spans="1:1" x14ac:dyDescent="0.2">
      <c r="A8899" s="54"/>
    </row>
    <row r="8900" spans="1:1" x14ac:dyDescent="0.2">
      <c r="A8900" s="54"/>
    </row>
    <row r="8901" spans="1:1" x14ac:dyDescent="0.2">
      <c r="A8901" s="54"/>
    </row>
    <row r="8902" spans="1:1" x14ac:dyDescent="0.2">
      <c r="A8902" s="54"/>
    </row>
    <row r="8903" spans="1:1" x14ac:dyDescent="0.2">
      <c r="A8903" s="54"/>
    </row>
    <row r="8904" spans="1:1" x14ac:dyDescent="0.2">
      <c r="A8904" s="54"/>
    </row>
    <row r="8905" spans="1:1" x14ac:dyDescent="0.2">
      <c r="A8905" s="54"/>
    </row>
    <row r="8906" spans="1:1" x14ac:dyDescent="0.2">
      <c r="A8906" s="54"/>
    </row>
    <row r="8907" spans="1:1" x14ac:dyDescent="0.2">
      <c r="A8907" s="54"/>
    </row>
    <row r="8908" spans="1:1" x14ac:dyDescent="0.2">
      <c r="A8908" s="54"/>
    </row>
    <row r="8909" spans="1:1" x14ac:dyDescent="0.2">
      <c r="A8909" s="54"/>
    </row>
    <row r="8910" spans="1:1" x14ac:dyDescent="0.2">
      <c r="A8910" s="54"/>
    </row>
    <row r="8911" spans="1:1" x14ac:dyDescent="0.2">
      <c r="A8911" s="54"/>
    </row>
    <row r="8912" spans="1:1" x14ac:dyDescent="0.2">
      <c r="A8912" s="54"/>
    </row>
    <row r="8913" spans="1:1" x14ac:dyDescent="0.2">
      <c r="A8913" s="54"/>
    </row>
    <row r="8914" spans="1:1" x14ac:dyDescent="0.2">
      <c r="A8914" s="55"/>
    </row>
    <row r="8915" spans="1:1" x14ac:dyDescent="0.2">
      <c r="A8915" s="55"/>
    </row>
    <row r="8916" spans="1:1" x14ac:dyDescent="0.2">
      <c r="A8916" s="54"/>
    </row>
    <row r="8917" spans="1:1" x14ac:dyDescent="0.2">
      <c r="A8917" s="54"/>
    </row>
    <row r="8918" spans="1:1" x14ac:dyDescent="0.2">
      <c r="A8918" s="54"/>
    </row>
    <row r="8919" spans="1:1" x14ac:dyDescent="0.2">
      <c r="A8919" s="54"/>
    </row>
    <row r="8920" spans="1:1" x14ac:dyDescent="0.2">
      <c r="A8920" s="54"/>
    </row>
    <row r="8921" spans="1:1" x14ac:dyDescent="0.2">
      <c r="A8921" s="54"/>
    </row>
    <row r="8922" spans="1:1" x14ac:dyDescent="0.2">
      <c r="A8922" s="54"/>
    </row>
    <row r="8923" spans="1:1" x14ac:dyDescent="0.2">
      <c r="A8923" s="54"/>
    </row>
    <row r="8924" spans="1:1" x14ac:dyDescent="0.2">
      <c r="A8924" s="54"/>
    </row>
    <row r="8925" spans="1:1" x14ac:dyDescent="0.2">
      <c r="A8925" s="54"/>
    </row>
    <row r="8926" spans="1:1" x14ac:dyDescent="0.2">
      <c r="A8926" s="54"/>
    </row>
    <row r="8927" spans="1:1" x14ac:dyDescent="0.2">
      <c r="A8927" s="54"/>
    </row>
    <row r="8928" spans="1:1" x14ac:dyDescent="0.2">
      <c r="A8928" s="54"/>
    </row>
    <row r="8929" spans="1:1" x14ac:dyDescent="0.2">
      <c r="A8929" s="54"/>
    </row>
    <row r="8930" spans="1:1" x14ac:dyDescent="0.2">
      <c r="A8930" s="54"/>
    </row>
    <row r="8931" spans="1:1" x14ac:dyDescent="0.2">
      <c r="A8931" s="54"/>
    </row>
    <row r="8932" spans="1:1" x14ac:dyDescent="0.2">
      <c r="A8932" s="54"/>
    </row>
    <row r="8933" spans="1:1" x14ac:dyDescent="0.2">
      <c r="A8933" s="54"/>
    </row>
    <row r="8934" spans="1:1" x14ac:dyDescent="0.2">
      <c r="A8934" s="54"/>
    </row>
    <row r="8935" spans="1:1" x14ac:dyDescent="0.2">
      <c r="A8935" s="54"/>
    </row>
    <row r="8936" spans="1:1" x14ac:dyDescent="0.2">
      <c r="A8936" s="54"/>
    </row>
    <row r="8937" spans="1:1" x14ac:dyDescent="0.2">
      <c r="A8937" s="54"/>
    </row>
    <row r="8938" spans="1:1" x14ac:dyDescent="0.2">
      <c r="A8938" s="54"/>
    </row>
    <row r="8939" spans="1:1" x14ac:dyDescent="0.2">
      <c r="A8939" s="54"/>
    </row>
    <row r="8940" spans="1:1" x14ac:dyDescent="0.2">
      <c r="A8940" s="54"/>
    </row>
    <row r="8941" spans="1:1" x14ac:dyDescent="0.2">
      <c r="A8941" s="54"/>
    </row>
    <row r="8942" spans="1:1" x14ac:dyDescent="0.2">
      <c r="A8942" s="54"/>
    </row>
    <row r="8943" spans="1:1" x14ac:dyDescent="0.2">
      <c r="A8943" s="54"/>
    </row>
    <row r="8944" spans="1:1" x14ac:dyDescent="0.2">
      <c r="A8944" s="54"/>
    </row>
    <row r="8945" spans="1:1" x14ac:dyDescent="0.2">
      <c r="A8945" s="54"/>
    </row>
    <row r="8946" spans="1:1" x14ac:dyDescent="0.2">
      <c r="A8946" s="54"/>
    </row>
    <row r="8947" spans="1:1" x14ac:dyDescent="0.2">
      <c r="A8947" s="54"/>
    </row>
    <row r="8948" spans="1:1" x14ac:dyDescent="0.2">
      <c r="A8948" s="54"/>
    </row>
    <row r="8949" spans="1:1" x14ac:dyDescent="0.2">
      <c r="A8949" s="54"/>
    </row>
    <row r="8950" spans="1:1" x14ac:dyDescent="0.2">
      <c r="A8950" s="54"/>
    </row>
    <row r="8951" spans="1:1" x14ac:dyDescent="0.2">
      <c r="A8951" s="54"/>
    </row>
    <row r="8952" spans="1:1" x14ac:dyDescent="0.2">
      <c r="A8952" s="54"/>
    </row>
    <row r="8953" spans="1:1" x14ac:dyDescent="0.2">
      <c r="A8953" s="54"/>
    </row>
    <row r="8954" spans="1:1" x14ac:dyDescent="0.2">
      <c r="A8954" s="54"/>
    </row>
    <row r="8955" spans="1:1" x14ac:dyDescent="0.2">
      <c r="A8955" s="54"/>
    </row>
    <row r="8956" spans="1:1" x14ac:dyDescent="0.2">
      <c r="A8956" s="54"/>
    </row>
    <row r="8957" spans="1:1" x14ac:dyDescent="0.2">
      <c r="A8957" s="54"/>
    </row>
    <row r="8958" spans="1:1" x14ac:dyDescent="0.2">
      <c r="A8958" s="54"/>
    </row>
    <row r="8959" spans="1:1" x14ac:dyDescent="0.2">
      <c r="A8959" s="54"/>
    </row>
    <row r="8960" spans="1:1" x14ac:dyDescent="0.2">
      <c r="A8960" s="54"/>
    </row>
    <row r="8961" spans="1:1" x14ac:dyDescent="0.2">
      <c r="A8961" s="54"/>
    </row>
    <row r="8962" spans="1:1" x14ac:dyDescent="0.2">
      <c r="A8962" s="54"/>
    </row>
    <row r="8963" spans="1:1" x14ac:dyDescent="0.2">
      <c r="A8963" s="54"/>
    </row>
    <row r="8964" spans="1:1" x14ac:dyDescent="0.2">
      <c r="A8964" s="54"/>
    </row>
    <row r="8965" spans="1:1" x14ac:dyDescent="0.2">
      <c r="A8965" s="54"/>
    </row>
    <row r="8966" spans="1:1" x14ac:dyDescent="0.2">
      <c r="A8966" s="54"/>
    </row>
    <row r="8967" spans="1:1" x14ac:dyDescent="0.2">
      <c r="A8967" s="54"/>
    </row>
    <row r="8968" spans="1:1" x14ac:dyDescent="0.2">
      <c r="A8968" s="54"/>
    </row>
    <row r="8969" spans="1:1" x14ac:dyDescent="0.2">
      <c r="A8969" s="54"/>
    </row>
    <row r="8970" spans="1:1" x14ac:dyDescent="0.2">
      <c r="A8970" s="55"/>
    </row>
    <row r="8971" spans="1:1" x14ac:dyDescent="0.2">
      <c r="A8971" s="54"/>
    </row>
    <row r="8972" spans="1:1" x14ac:dyDescent="0.2">
      <c r="A8972" s="54"/>
    </row>
    <row r="8973" spans="1:1" x14ac:dyDescent="0.2">
      <c r="A8973" s="54"/>
    </row>
    <row r="8974" spans="1:1" x14ac:dyDescent="0.2">
      <c r="A8974" s="54"/>
    </row>
    <row r="8975" spans="1:1" x14ac:dyDescent="0.2">
      <c r="A8975" s="54"/>
    </row>
    <row r="8976" spans="1:1" x14ac:dyDescent="0.2">
      <c r="A8976" s="55"/>
    </row>
    <row r="8977" spans="1:1" x14ac:dyDescent="0.2">
      <c r="A8977" s="54"/>
    </row>
    <row r="8978" spans="1:1" x14ac:dyDescent="0.2">
      <c r="A8978" s="54"/>
    </row>
    <row r="8979" spans="1:1" x14ac:dyDescent="0.2">
      <c r="A8979" s="54"/>
    </row>
    <row r="8980" spans="1:1" x14ac:dyDescent="0.2">
      <c r="A8980" s="54"/>
    </row>
    <row r="8981" spans="1:1" x14ac:dyDescent="0.2">
      <c r="A8981" s="54"/>
    </row>
    <row r="8982" spans="1:1" x14ac:dyDescent="0.2">
      <c r="A8982" s="54"/>
    </row>
    <row r="8983" spans="1:1" x14ac:dyDescent="0.2">
      <c r="A8983" s="54"/>
    </row>
    <row r="8984" spans="1:1" x14ac:dyDescent="0.2">
      <c r="A8984" s="54"/>
    </row>
    <row r="8985" spans="1:1" x14ac:dyDescent="0.2">
      <c r="A8985" s="54"/>
    </row>
    <row r="8986" spans="1:1" x14ac:dyDescent="0.2">
      <c r="A8986" s="54"/>
    </row>
    <row r="8987" spans="1:1" x14ac:dyDescent="0.2">
      <c r="A8987" s="54"/>
    </row>
    <row r="8988" spans="1:1" x14ac:dyDescent="0.2">
      <c r="A8988" s="54"/>
    </row>
    <row r="8989" spans="1:1" x14ac:dyDescent="0.2">
      <c r="A8989" s="54"/>
    </row>
    <row r="8990" spans="1:1" x14ac:dyDescent="0.2">
      <c r="A8990" s="54"/>
    </row>
    <row r="8991" spans="1:1" x14ac:dyDescent="0.2">
      <c r="A8991" s="54"/>
    </row>
    <row r="8992" spans="1:1" x14ac:dyDescent="0.2">
      <c r="A8992" s="55"/>
    </row>
    <row r="8993" spans="1:1" x14ac:dyDescent="0.2">
      <c r="A8993" s="54"/>
    </row>
    <row r="8994" spans="1:1" x14ac:dyDescent="0.2">
      <c r="A8994" s="54"/>
    </row>
    <row r="8995" spans="1:1" x14ac:dyDescent="0.2">
      <c r="A8995" s="55"/>
    </row>
    <row r="8996" spans="1:1" x14ac:dyDescent="0.2">
      <c r="A8996" s="54"/>
    </row>
    <row r="8997" spans="1:1" x14ac:dyDescent="0.2">
      <c r="A8997" s="54"/>
    </row>
    <row r="8998" spans="1:1" x14ac:dyDescent="0.2">
      <c r="A8998" s="54"/>
    </row>
    <row r="8999" spans="1:1" x14ac:dyDescent="0.2">
      <c r="A8999" s="54"/>
    </row>
    <row r="9000" spans="1:1" x14ac:dyDescent="0.2">
      <c r="A9000" s="54"/>
    </row>
    <row r="9001" spans="1:1" x14ac:dyDescent="0.2">
      <c r="A9001" s="54"/>
    </row>
    <row r="9002" spans="1:1" x14ac:dyDescent="0.2">
      <c r="A9002" s="54"/>
    </row>
    <row r="9003" spans="1:1" x14ac:dyDescent="0.2">
      <c r="A9003" s="54"/>
    </row>
    <row r="9004" spans="1:1" x14ac:dyDescent="0.2">
      <c r="A9004" s="54"/>
    </row>
    <row r="9005" spans="1:1" x14ac:dyDescent="0.2">
      <c r="A9005" s="54"/>
    </row>
    <row r="9006" spans="1:1" x14ac:dyDescent="0.2">
      <c r="A9006" s="54"/>
    </row>
    <row r="9007" spans="1:1" x14ac:dyDescent="0.2">
      <c r="A9007" s="54"/>
    </row>
    <row r="9008" spans="1:1" x14ac:dyDescent="0.2">
      <c r="A9008" s="54"/>
    </row>
    <row r="9009" spans="1:1" x14ac:dyDescent="0.2">
      <c r="A9009" s="54"/>
    </row>
    <row r="9010" spans="1:1" x14ac:dyDescent="0.2">
      <c r="A9010" s="54"/>
    </row>
    <row r="9011" spans="1:1" x14ac:dyDescent="0.2">
      <c r="A9011" s="54"/>
    </row>
    <row r="9012" spans="1:1" x14ac:dyDescent="0.2">
      <c r="A9012" s="54"/>
    </row>
    <row r="9013" spans="1:1" x14ac:dyDescent="0.2">
      <c r="A9013" s="54"/>
    </row>
    <row r="9014" spans="1:1" x14ac:dyDescent="0.2">
      <c r="A9014" s="54"/>
    </row>
    <row r="9015" spans="1:1" x14ac:dyDescent="0.2">
      <c r="A9015" s="55"/>
    </row>
    <row r="9016" spans="1:1" x14ac:dyDescent="0.2">
      <c r="A9016" s="54"/>
    </row>
    <row r="9017" spans="1:1" x14ac:dyDescent="0.2">
      <c r="A9017" s="54"/>
    </row>
    <row r="9018" spans="1:1" x14ac:dyDescent="0.2">
      <c r="A9018" s="54"/>
    </row>
    <row r="9019" spans="1:1" x14ac:dyDescent="0.2">
      <c r="A9019" s="54"/>
    </row>
    <row r="9020" spans="1:1" x14ac:dyDescent="0.2">
      <c r="A9020" s="54"/>
    </row>
    <row r="9021" spans="1:1" x14ac:dyDescent="0.2">
      <c r="A9021" s="54"/>
    </row>
    <row r="9022" spans="1:1" x14ac:dyDescent="0.2">
      <c r="A9022" s="54"/>
    </row>
    <row r="9023" spans="1:1" x14ac:dyDescent="0.2">
      <c r="A9023" s="54"/>
    </row>
    <row r="9024" spans="1:1" x14ac:dyDescent="0.2">
      <c r="A9024" s="54"/>
    </row>
    <row r="9025" spans="1:1" x14ac:dyDescent="0.2">
      <c r="A9025" s="54"/>
    </row>
    <row r="9026" spans="1:1" x14ac:dyDescent="0.2">
      <c r="A9026" s="54"/>
    </row>
    <row r="9027" spans="1:1" x14ac:dyDescent="0.2">
      <c r="A9027" s="54"/>
    </row>
    <row r="9028" spans="1:1" x14ac:dyDescent="0.2">
      <c r="A9028" s="54"/>
    </row>
    <row r="9029" spans="1:1" x14ac:dyDescent="0.2">
      <c r="A9029" s="55"/>
    </row>
    <row r="9030" spans="1:1" x14ac:dyDescent="0.2">
      <c r="A9030" s="54"/>
    </row>
    <row r="9031" spans="1:1" x14ac:dyDescent="0.2">
      <c r="A9031" s="54"/>
    </row>
    <row r="9032" spans="1:1" x14ac:dyDescent="0.2">
      <c r="A9032" s="54"/>
    </row>
    <row r="9033" spans="1:1" x14ac:dyDescent="0.2">
      <c r="A9033" s="54"/>
    </row>
    <row r="9034" spans="1:1" x14ac:dyDescent="0.2">
      <c r="A9034" s="54"/>
    </row>
    <row r="9035" spans="1:1" x14ac:dyDescent="0.2">
      <c r="A9035" s="54"/>
    </row>
    <row r="9036" spans="1:1" x14ac:dyDescent="0.2">
      <c r="A9036" s="54"/>
    </row>
    <row r="9037" spans="1:1" x14ac:dyDescent="0.2">
      <c r="A9037" s="54"/>
    </row>
    <row r="9038" spans="1:1" x14ac:dyDescent="0.2">
      <c r="A9038" s="54"/>
    </row>
    <row r="9039" spans="1:1" x14ac:dyDescent="0.2">
      <c r="A9039" s="54"/>
    </row>
    <row r="9040" spans="1:1" x14ac:dyDescent="0.2">
      <c r="A9040" s="54"/>
    </row>
    <row r="9041" spans="1:1" x14ac:dyDescent="0.2">
      <c r="A9041" s="55"/>
    </row>
    <row r="9042" spans="1:1" x14ac:dyDescent="0.2">
      <c r="A9042" s="54"/>
    </row>
    <row r="9043" spans="1:1" x14ac:dyDescent="0.2">
      <c r="A9043" s="54"/>
    </row>
    <row r="9044" spans="1:1" x14ac:dyDescent="0.2">
      <c r="A9044" s="54"/>
    </row>
    <row r="9045" spans="1:1" x14ac:dyDescent="0.2">
      <c r="A9045" s="54"/>
    </row>
    <row r="9046" spans="1:1" x14ac:dyDescent="0.2">
      <c r="A9046" s="54"/>
    </row>
    <row r="9047" spans="1:1" x14ac:dyDescent="0.2">
      <c r="A9047" s="54"/>
    </row>
    <row r="9048" spans="1:1" x14ac:dyDescent="0.2">
      <c r="A9048" s="54"/>
    </row>
    <row r="9049" spans="1:1" x14ac:dyDescent="0.2">
      <c r="A9049" s="54"/>
    </row>
    <row r="9050" spans="1:1" x14ac:dyDescent="0.2">
      <c r="A9050" s="54"/>
    </row>
    <row r="9051" spans="1:1" x14ac:dyDescent="0.2">
      <c r="A9051" s="54"/>
    </row>
    <row r="9052" spans="1:1" x14ac:dyDescent="0.2">
      <c r="A9052" s="54"/>
    </row>
    <row r="9053" spans="1:1" x14ac:dyDescent="0.2">
      <c r="A9053" s="54"/>
    </row>
    <row r="9054" spans="1:1" x14ac:dyDescent="0.2">
      <c r="A9054" s="55"/>
    </row>
    <row r="9055" spans="1:1" x14ac:dyDescent="0.2">
      <c r="A9055" s="54"/>
    </row>
    <row r="9056" spans="1:1" x14ac:dyDescent="0.2">
      <c r="A9056" s="54"/>
    </row>
    <row r="9057" spans="1:1" x14ac:dyDescent="0.2">
      <c r="A9057" s="54"/>
    </row>
    <row r="9058" spans="1:1" x14ac:dyDescent="0.2">
      <c r="A9058" s="54"/>
    </row>
    <row r="9059" spans="1:1" x14ac:dyDescent="0.2">
      <c r="A9059" s="54"/>
    </row>
    <row r="9060" spans="1:1" x14ac:dyDescent="0.2">
      <c r="A9060" s="54"/>
    </row>
    <row r="9061" spans="1:1" x14ac:dyDescent="0.2">
      <c r="A9061" s="54"/>
    </row>
    <row r="9062" spans="1:1" x14ac:dyDescent="0.2">
      <c r="A9062" s="54"/>
    </row>
    <row r="9063" spans="1:1" x14ac:dyDescent="0.2">
      <c r="A9063" s="54"/>
    </row>
    <row r="9064" spans="1:1" x14ac:dyDescent="0.2">
      <c r="A9064" s="54"/>
    </row>
    <row r="9065" spans="1:1" x14ac:dyDescent="0.2">
      <c r="A9065" s="54"/>
    </row>
    <row r="9066" spans="1:1" x14ac:dyDescent="0.2">
      <c r="A9066" s="54"/>
    </row>
    <row r="9067" spans="1:1" x14ac:dyDescent="0.2">
      <c r="A9067" s="54"/>
    </row>
    <row r="9068" spans="1:1" x14ac:dyDescent="0.2">
      <c r="A9068" s="54"/>
    </row>
    <row r="9069" spans="1:1" x14ac:dyDescent="0.2">
      <c r="A9069" s="54"/>
    </row>
    <row r="9070" spans="1:1" x14ac:dyDescent="0.2">
      <c r="A9070" s="55"/>
    </row>
    <row r="9071" spans="1:1" x14ac:dyDescent="0.2">
      <c r="A9071" s="54"/>
    </row>
    <row r="9072" spans="1:1" x14ac:dyDescent="0.2">
      <c r="A9072" s="54"/>
    </row>
    <row r="9073" spans="1:1" x14ac:dyDescent="0.2">
      <c r="A9073" s="54"/>
    </row>
    <row r="9074" spans="1:1" x14ac:dyDescent="0.2">
      <c r="A9074" s="54"/>
    </row>
    <row r="9075" spans="1:1" x14ac:dyDescent="0.2">
      <c r="A9075" s="55"/>
    </row>
    <row r="9076" spans="1:1" x14ac:dyDescent="0.2">
      <c r="A9076" s="54"/>
    </row>
    <row r="9077" spans="1:1" x14ac:dyDescent="0.2">
      <c r="A9077" s="54"/>
    </row>
    <row r="9078" spans="1:1" x14ac:dyDescent="0.2">
      <c r="A9078" s="54"/>
    </row>
    <row r="9079" spans="1:1" x14ac:dyDescent="0.2">
      <c r="A9079" s="54"/>
    </row>
    <row r="9080" spans="1:1" x14ac:dyDescent="0.2">
      <c r="A9080" s="54"/>
    </row>
    <row r="9081" spans="1:1" x14ac:dyDescent="0.2">
      <c r="A9081" s="54"/>
    </row>
    <row r="9082" spans="1:1" x14ac:dyDescent="0.2">
      <c r="A9082" s="54"/>
    </row>
    <row r="9083" spans="1:1" x14ac:dyDescent="0.2">
      <c r="A9083" s="54"/>
    </row>
    <row r="9084" spans="1:1" x14ac:dyDescent="0.2">
      <c r="A9084" s="54"/>
    </row>
    <row r="9085" spans="1:1" x14ac:dyDescent="0.2">
      <c r="A9085" s="54"/>
    </row>
    <row r="9086" spans="1:1" x14ac:dyDescent="0.2">
      <c r="A9086" s="54"/>
    </row>
    <row r="9087" spans="1:1" x14ac:dyDescent="0.2">
      <c r="A9087" s="55"/>
    </row>
    <row r="9088" spans="1:1" x14ac:dyDescent="0.2">
      <c r="A9088" s="54"/>
    </row>
    <row r="9089" spans="1:1" x14ac:dyDescent="0.2">
      <c r="A9089" s="54"/>
    </row>
    <row r="9090" spans="1:1" x14ac:dyDescent="0.2">
      <c r="A9090" s="54"/>
    </row>
    <row r="9091" spans="1:1" x14ac:dyDescent="0.2">
      <c r="A9091" s="54"/>
    </row>
    <row r="9092" spans="1:1" x14ac:dyDescent="0.2">
      <c r="A9092" s="54"/>
    </row>
    <row r="9093" spans="1:1" x14ac:dyDescent="0.2">
      <c r="A9093" s="54"/>
    </row>
    <row r="9094" spans="1:1" x14ac:dyDescent="0.2">
      <c r="A9094" s="54"/>
    </row>
    <row r="9095" spans="1:1" x14ac:dyDescent="0.2">
      <c r="A9095" s="54"/>
    </row>
    <row r="9096" spans="1:1" x14ac:dyDescent="0.2">
      <c r="A9096" s="55"/>
    </row>
    <row r="9097" spans="1:1" x14ac:dyDescent="0.2">
      <c r="A9097" s="54"/>
    </row>
    <row r="9098" spans="1:1" x14ac:dyDescent="0.2">
      <c r="A9098" s="54"/>
    </row>
    <row r="9099" spans="1:1" x14ac:dyDescent="0.2">
      <c r="A9099" s="54"/>
    </row>
    <row r="9100" spans="1:1" x14ac:dyDescent="0.2">
      <c r="A9100" s="54"/>
    </row>
    <row r="9101" spans="1:1" x14ac:dyDescent="0.2">
      <c r="A9101" s="55"/>
    </row>
    <row r="9102" spans="1:1" x14ac:dyDescent="0.2">
      <c r="A9102" s="54"/>
    </row>
    <row r="9103" spans="1:1" x14ac:dyDescent="0.2">
      <c r="A9103" s="54"/>
    </row>
    <row r="9104" spans="1:1" x14ac:dyDescent="0.2">
      <c r="A9104" s="54"/>
    </row>
    <row r="9105" spans="1:1" x14ac:dyDescent="0.2">
      <c r="A9105" s="54"/>
    </row>
    <row r="9106" spans="1:1" x14ac:dyDescent="0.2">
      <c r="A9106" s="54"/>
    </row>
    <row r="9107" spans="1:1" x14ac:dyDescent="0.2">
      <c r="A9107" s="54"/>
    </row>
    <row r="9108" spans="1:1" x14ac:dyDescent="0.2">
      <c r="A9108" s="55"/>
    </row>
    <row r="9109" spans="1:1" x14ac:dyDescent="0.2">
      <c r="A9109" s="54"/>
    </row>
    <row r="9110" spans="1:1" x14ac:dyDescent="0.2">
      <c r="A9110" s="54"/>
    </row>
    <row r="9111" spans="1:1" x14ac:dyDescent="0.2">
      <c r="A9111" s="54"/>
    </row>
    <row r="9112" spans="1:1" x14ac:dyDescent="0.2">
      <c r="A9112" s="54"/>
    </row>
    <row r="9113" spans="1:1" x14ac:dyDescent="0.2">
      <c r="A9113" s="54"/>
    </row>
    <row r="9114" spans="1:1" x14ac:dyDescent="0.2">
      <c r="A9114" s="54"/>
    </row>
    <row r="9115" spans="1:1" x14ac:dyDescent="0.2">
      <c r="A9115" s="54"/>
    </row>
    <row r="9116" spans="1:1" x14ac:dyDescent="0.2">
      <c r="A9116" s="54"/>
    </row>
    <row r="9117" spans="1:1" x14ac:dyDescent="0.2">
      <c r="A9117" s="54"/>
    </row>
    <row r="9118" spans="1:1" x14ac:dyDescent="0.2">
      <c r="A9118" s="54"/>
    </row>
    <row r="9119" spans="1:1" x14ac:dyDescent="0.2">
      <c r="A9119" s="54"/>
    </row>
    <row r="9120" spans="1:1" x14ac:dyDescent="0.2">
      <c r="A9120" s="54"/>
    </row>
    <row r="9121" spans="1:1" x14ac:dyDescent="0.2">
      <c r="A9121" s="55"/>
    </row>
    <row r="9122" spans="1:1" x14ac:dyDescent="0.2">
      <c r="A9122" s="54"/>
    </row>
    <row r="9123" spans="1:1" x14ac:dyDescent="0.2">
      <c r="A9123" s="55"/>
    </row>
    <row r="9124" spans="1:1" x14ac:dyDescent="0.2">
      <c r="A9124" s="54"/>
    </row>
    <row r="9125" spans="1:1" x14ac:dyDescent="0.2">
      <c r="A9125" s="54"/>
    </row>
    <row r="9126" spans="1:1" x14ac:dyDescent="0.2">
      <c r="A9126" s="54"/>
    </row>
    <row r="9127" spans="1:1" x14ac:dyDescent="0.2">
      <c r="A9127" s="54"/>
    </row>
    <row r="9128" spans="1:1" x14ac:dyDescent="0.2">
      <c r="A9128" s="54"/>
    </row>
    <row r="9129" spans="1:1" x14ac:dyDescent="0.2">
      <c r="A9129" s="54"/>
    </row>
    <row r="9130" spans="1:1" x14ac:dyDescent="0.2">
      <c r="A9130" s="54"/>
    </row>
    <row r="9131" spans="1:1" x14ac:dyDescent="0.2">
      <c r="A9131" s="54"/>
    </row>
    <row r="9132" spans="1:1" x14ac:dyDescent="0.2">
      <c r="A9132" s="54"/>
    </row>
    <row r="9133" spans="1:1" x14ac:dyDescent="0.2">
      <c r="A9133" s="55"/>
    </row>
    <row r="9134" spans="1:1" x14ac:dyDescent="0.2">
      <c r="A9134" s="54"/>
    </row>
    <row r="9135" spans="1:1" x14ac:dyDescent="0.2">
      <c r="A9135" s="54"/>
    </row>
    <row r="9136" spans="1:1" x14ac:dyDescent="0.2">
      <c r="A9136" s="54"/>
    </row>
    <row r="9137" spans="1:1" x14ac:dyDescent="0.2">
      <c r="A9137" s="54"/>
    </row>
    <row r="9138" spans="1:1" x14ac:dyDescent="0.2">
      <c r="A9138" s="54"/>
    </row>
    <row r="9139" spans="1:1" x14ac:dyDescent="0.2">
      <c r="A9139" s="52"/>
    </row>
    <row r="9140" spans="1:1" x14ac:dyDescent="0.2">
      <c r="A9140" s="52"/>
    </row>
    <row r="9141" spans="1:1" x14ac:dyDescent="0.2">
      <c r="A9141" s="52"/>
    </row>
    <row r="9142" spans="1:1" x14ac:dyDescent="0.2">
      <c r="A9142" s="52"/>
    </row>
    <row r="9143" spans="1:1" x14ac:dyDescent="0.2">
      <c r="A9143" s="52"/>
    </row>
    <row r="9144" spans="1:1" x14ac:dyDescent="0.2">
      <c r="A9144" s="52"/>
    </row>
    <row r="9145" spans="1:1" x14ac:dyDescent="0.2">
      <c r="A9145" s="52"/>
    </row>
    <row r="9146" spans="1:1" x14ac:dyDescent="0.2">
      <c r="A9146" s="52"/>
    </row>
    <row r="9147" spans="1:1" x14ac:dyDescent="0.2">
      <c r="A9147" s="52"/>
    </row>
    <row r="9148" spans="1:1" x14ac:dyDescent="0.2">
      <c r="A9148" s="52"/>
    </row>
    <row r="9149" spans="1:1" x14ac:dyDescent="0.2">
      <c r="A9149" s="52"/>
    </row>
    <row r="9150" spans="1:1" x14ac:dyDescent="0.2">
      <c r="A9150" s="52"/>
    </row>
    <row r="9151" spans="1:1" x14ac:dyDescent="0.2">
      <c r="A9151" s="52"/>
    </row>
    <row r="9152" spans="1:1" x14ac:dyDescent="0.2">
      <c r="A9152" s="52"/>
    </row>
    <row r="9153" spans="1:1" x14ac:dyDescent="0.2">
      <c r="A9153" s="52"/>
    </row>
    <row r="9154" spans="1:1" x14ac:dyDescent="0.2">
      <c r="A9154" s="52"/>
    </row>
    <row r="9155" spans="1:1" x14ac:dyDescent="0.2">
      <c r="A9155" s="52"/>
    </row>
    <row r="9156" spans="1:1" x14ac:dyDescent="0.2">
      <c r="A9156" s="52"/>
    </row>
    <row r="9157" spans="1:1" x14ac:dyDescent="0.2">
      <c r="A9157" s="52"/>
    </row>
    <row r="9158" spans="1:1" x14ac:dyDescent="0.2">
      <c r="A9158" s="52"/>
    </row>
    <row r="9159" spans="1:1" x14ac:dyDescent="0.2">
      <c r="A9159" s="52"/>
    </row>
    <row r="9160" spans="1:1" x14ac:dyDescent="0.2">
      <c r="A9160" s="52"/>
    </row>
    <row r="9161" spans="1:1" x14ac:dyDescent="0.2">
      <c r="A9161" s="52"/>
    </row>
    <row r="9162" spans="1:1" x14ac:dyDescent="0.2">
      <c r="A9162" s="52"/>
    </row>
    <row r="9163" spans="1:1" x14ac:dyDescent="0.2">
      <c r="A9163" s="52"/>
    </row>
    <row r="9164" spans="1:1" x14ac:dyDescent="0.2">
      <c r="A9164" s="52"/>
    </row>
    <row r="9165" spans="1:1" x14ac:dyDescent="0.2">
      <c r="A9165" s="52"/>
    </row>
    <row r="9166" spans="1:1" x14ac:dyDescent="0.2">
      <c r="A9166" s="52"/>
    </row>
    <row r="9167" spans="1:1" x14ac:dyDescent="0.2">
      <c r="A9167" s="52"/>
    </row>
    <row r="9168" spans="1:1" x14ac:dyDescent="0.2">
      <c r="A9168" s="52"/>
    </row>
    <row r="9169" spans="1:1" x14ac:dyDescent="0.2">
      <c r="A9169" s="52"/>
    </row>
    <row r="9170" spans="1:1" x14ac:dyDescent="0.2">
      <c r="A9170" s="52"/>
    </row>
    <row r="9171" spans="1:1" x14ac:dyDescent="0.2">
      <c r="A9171" s="52"/>
    </row>
    <row r="9172" spans="1:1" x14ac:dyDescent="0.2">
      <c r="A9172" s="52"/>
    </row>
    <row r="9173" spans="1:1" x14ac:dyDescent="0.2">
      <c r="A9173" s="52"/>
    </row>
    <row r="9174" spans="1:1" x14ac:dyDescent="0.2">
      <c r="A9174" s="52"/>
    </row>
    <row r="9175" spans="1:1" x14ac:dyDescent="0.2">
      <c r="A9175" s="52"/>
    </row>
    <row r="9176" spans="1:1" x14ac:dyDescent="0.2">
      <c r="A9176" s="52"/>
    </row>
    <row r="9177" spans="1:1" x14ac:dyDescent="0.2">
      <c r="A9177" s="53"/>
    </row>
    <row r="9178" spans="1:1" x14ac:dyDescent="0.2">
      <c r="A9178" s="52"/>
    </row>
    <row r="9179" spans="1:1" x14ac:dyDescent="0.2">
      <c r="A9179" s="52"/>
    </row>
    <row r="9180" spans="1:1" x14ac:dyDescent="0.2">
      <c r="A9180" s="52"/>
    </row>
    <row r="9181" spans="1:1" x14ac:dyDescent="0.2">
      <c r="A9181" s="52"/>
    </row>
    <row r="9182" spans="1:1" x14ac:dyDescent="0.2">
      <c r="A9182" s="52"/>
    </row>
    <row r="9183" spans="1:1" x14ac:dyDescent="0.2">
      <c r="A9183" s="52"/>
    </row>
    <row r="9184" spans="1:1" x14ac:dyDescent="0.2">
      <c r="A9184" s="52"/>
    </row>
    <row r="9185" spans="1:1" x14ac:dyDescent="0.2">
      <c r="A9185" s="52"/>
    </row>
    <row r="9186" spans="1:1" x14ac:dyDescent="0.2">
      <c r="A9186" s="52"/>
    </row>
    <row r="9187" spans="1:1" x14ac:dyDescent="0.2">
      <c r="A9187" s="52"/>
    </row>
    <row r="9188" spans="1:1" x14ac:dyDescent="0.2">
      <c r="A9188" s="52"/>
    </row>
    <row r="9189" spans="1:1" x14ac:dyDescent="0.2">
      <c r="A9189" s="52"/>
    </row>
    <row r="9190" spans="1:1" x14ac:dyDescent="0.2">
      <c r="A9190" s="52"/>
    </row>
    <row r="9191" spans="1:1" x14ac:dyDescent="0.2">
      <c r="A9191" s="52"/>
    </row>
    <row r="9192" spans="1:1" x14ac:dyDescent="0.2">
      <c r="A9192" s="52"/>
    </row>
    <row r="9193" spans="1:1" x14ac:dyDescent="0.2">
      <c r="A9193" s="52"/>
    </row>
    <row r="9194" spans="1:1" x14ac:dyDescent="0.2">
      <c r="A9194" s="52"/>
    </row>
    <row r="9195" spans="1:1" x14ac:dyDescent="0.2">
      <c r="A9195" s="52"/>
    </row>
    <row r="9196" spans="1:1" x14ac:dyDescent="0.2">
      <c r="A9196" s="52"/>
    </row>
    <row r="9197" spans="1:1" x14ac:dyDescent="0.2">
      <c r="A9197" s="52"/>
    </row>
    <row r="9198" spans="1:1" x14ac:dyDescent="0.2">
      <c r="A9198" s="53"/>
    </row>
    <row r="9199" spans="1:1" x14ac:dyDescent="0.2">
      <c r="A9199" s="52"/>
    </row>
    <row r="9200" spans="1:1" x14ac:dyDescent="0.2">
      <c r="A9200" s="52"/>
    </row>
    <row r="9201" spans="1:1" x14ac:dyDescent="0.2">
      <c r="A9201" s="52"/>
    </row>
    <row r="9202" spans="1:1" x14ac:dyDescent="0.2">
      <c r="A9202" s="52"/>
    </row>
    <row r="9203" spans="1:1" x14ac:dyDescent="0.2">
      <c r="A9203" s="52"/>
    </row>
    <row r="9204" spans="1:1" x14ac:dyDescent="0.2">
      <c r="A9204" s="52"/>
    </row>
    <row r="9205" spans="1:1" x14ac:dyDescent="0.2">
      <c r="A9205" s="52"/>
    </row>
    <row r="9206" spans="1:1" x14ac:dyDescent="0.2">
      <c r="A9206" s="52"/>
    </row>
    <row r="9207" spans="1:1" x14ac:dyDescent="0.2">
      <c r="A9207" s="52"/>
    </row>
    <row r="9208" spans="1:1" x14ac:dyDescent="0.2">
      <c r="A9208" s="52"/>
    </row>
    <row r="9209" spans="1:1" x14ac:dyDescent="0.2">
      <c r="A9209" s="52"/>
    </row>
    <row r="9210" spans="1:1" x14ac:dyDescent="0.2">
      <c r="A9210" s="52"/>
    </row>
    <row r="9211" spans="1:1" x14ac:dyDescent="0.2">
      <c r="A9211" s="52"/>
    </row>
    <row r="9212" spans="1:1" x14ac:dyDescent="0.2">
      <c r="A9212" s="52"/>
    </row>
    <row r="9213" spans="1:1" x14ac:dyDescent="0.2">
      <c r="A9213" s="52"/>
    </row>
    <row r="9214" spans="1:1" x14ac:dyDescent="0.2">
      <c r="A9214" s="52"/>
    </row>
    <row r="9215" spans="1:1" x14ac:dyDescent="0.2">
      <c r="A9215" s="52"/>
    </row>
    <row r="9216" spans="1:1" x14ac:dyDescent="0.2">
      <c r="A9216" s="52"/>
    </row>
    <row r="9217" spans="1:1" x14ac:dyDescent="0.2">
      <c r="A9217" s="52"/>
    </row>
    <row r="9218" spans="1:1" x14ac:dyDescent="0.2">
      <c r="A9218" s="52"/>
    </row>
    <row r="9219" spans="1:1" x14ac:dyDescent="0.2">
      <c r="A9219" s="52"/>
    </row>
    <row r="9220" spans="1:1" x14ac:dyDescent="0.2">
      <c r="A9220" s="52"/>
    </row>
    <row r="9221" spans="1:1" x14ac:dyDescent="0.2">
      <c r="A9221" s="52"/>
    </row>
    <row r="9222" spans="1:1" x14ac:dyDescent="0.2">
      <c r="A9222" s="52"/>
    </row>
    <row r="9223" spans="1:1" x14ac:dyDescent="0.2">
      <c r="A9223" s="52"/>
    </row>
    <row r="9224" spans="1:1" x14ac:dyDescent="0.2">
      <c r="A9224" s="52"/>
    </row>
    <row r="9225" spans="1:1" x14ac:dyDescent="0.2">
      <c r="A9225" s="52"/>
    </row>
    <row r="9226" spans="1:1" x14ac:dyDescent="0.2">
      <c r="A9226" s="52"/>
    </row>
    <row r="9227" spans="1:1" x14ac:dyDescent="0.2">
      <c r="A9227" s="53"/>
    </row>
    <row r="9228" spans="1:1" x14ac:dyDescent="0.2">
      <c r="A9228" s="52"/>
    </row>
    <row r="9229" spans="1:1" x14ac:dyDescent="0.2">
      <c r="A9229" s="52"/>
    </row>
    <row r="9230" spans="1:1" x14ac:dyDescent="0.2">
      <c r="A9230" s="52"/>
    </row>
    <row r="9231" spans="1:1" x14ac:dyDescent="0.2">
      <c r="A9231" s="53"/>
    </row>
    <row r="9232" spans="1:1" x14ac:dyDescent="0.2">
      <c r="A9232" s="52"/>
    </row>
    <row r="9233" spans="1:1" x14ac:dyDescent="0.2">
      <c r="A9233" s="52"/>
    </row>
    <row r="9234" spans="1:1" x14ac:dyDescent="0.2">
      <c r="A9234" s="52"/>
    </row>
    <row r="9235" spans="1:1" x14ac:dyDescent="0.2">
      <c r="A9235" s="52"/>
    </row>
    <row r="9236" spans="1:1" x14ac:dyDescent="0.2">
      <c r="A9236" s="52"/>
    </row>
    <row r="9237" spans="1:1" x14ac:dyDescent="0.2">
      <c r="A9237" s="52"/>
    </row>
    <row r="9238" spans="1:1" x14ac:dyDescent="0.2">
      <c r="A9238" s="52"/>
    </row>
    <row r="9239" spans="1:1" x14ac:dyDescent="0.2">
      <c r="A9239" s="52"/>
    </row>
    <row r="9240" spans="1:1" x14ac:dyDescent="0.2">
      <c r="A9240" s="52"/>
    </row>
    <row r="9241" spans="1:1" x14ac:dyDescent="0.2">
      <c r="A9241" s="52"/>
    </row>
    <row r="9242" spans="1:1" x14ac:dyDescent="0.2">
      <c r="A9242" s="52"/>
    </row>
    <row r="9243" spans="1:1" x14ac:dyDescent="0.2">
      <c r="A9243" s="52"/>
    </row>
    <row r="9244" spans="1:1" x14ac:dyDescent="0.2">
      <c r="A9244" s="52"/>
    </row>
    <row r="9245" spans="1:1" x14ac:dyDescent="0.2">
      <c r="A9245" s="52"/>
    </row>
    <row r="9246" spans="1:1" x14ac:dyDescent="0.2">
      <c r="A9246" s="53"/>
    </row>
    <row r="9247" spans="1:1" x14ac:dyDescent="0.2">
      <c r="A9247" s="52"/>
    </row>
    <row r="9248" spans="1:1" x14ac:dyDescent="0.2">
      <c r="A9248" s="52"/>
    </row>
    <row r="9249" spans="1:1" x14ac:dyDescent="0.2">
      <c r="A9249" s="52"/>
    </row>
    <row r="9250" spans="1:1" x14ac:dyDescent="0.2">
      <c r="A9250" s="52"/>
    </row>
    <row r="9251" spans="1:1" x14ac:dyDescent="0.2">
      <c r="A9251" s="52"/>
    </row>
    <row r="9252" spans="1:1" x14ac:dyDescent="0.2">
      <c r="A9252" s="52"/>
    </row>
    <row r="9253" spans="1:1" x14ac:dyDescent="0.2">
      <c r="A9253" s="52"/>
    </row>
    <row r="9254" spans="1:1" x14ac:dyDescent="0.2">
      <c r="A9254" s="52"/>
    </row>
    <row r="9255" spans="1:1" x14ac:dyDescent="0.2">
      <c r="A9255" s="52"/>
    </row>
    <row r="9256" spans="1:1" x14ac:dyDescent="0.2">
      <c r="A9256" s="52"/>
    </row>
    <row r="9257" spans="1:1" x14ac:dyDescent="0.2">
      <c r="A9257" s="52"/>
    </row>
    <row r="9258" spans="1:1" x14ac:dyDescent="0.2">
      <c r="A9258" s="52"/>
    </row>
    <row r="9259" spans="1:1" x14ac:dyDescent="0.2">
      <c r="A9259" s="52"/>
    </row>
    <row r="9260" spans="1:1" x14ac:dyDescent="0.2">
      <c r="A9260" s="52"/>
    </row>
    <row r="9261" spans="1:1" x14ac:dyDescent="0.2">
      <c r="A9261" s="52"/>
    </row>
    <row r="9262" spans="1:1" x14ac:dyDescent="0.2">
      <c r="A9262" s="52"/>
    </row>
    <row r="9263" spans="1:1" x14ac:dyDescent="0.2">
      <c r="A9263" s="52"/>
    </row>
    <row r="9264" spans="1:1" x14ac:dyDescent="0.2">
      <c r="A9264" s="52"/>
    </row>
    <row r="9265" spans="1:1" x14ac:dyDescent="0.2">
      <c r="A9265" s="52"/>
    </row>
    <row r="9266" spans="1:1" x14ac:dyDescent="0.2">
      <c r="A9266" s="52"/>
    </row>
    <row r="9267" spans="1:1" x14ac:dyDescent="0.2">
      <c r="A9267" s="52"/>
    </row>
    <row r="9268" spans="1:1" x14ac:dyDescent="0.2">
      <c r="A9268" s="52"/>
    </row>
    <row r="9269" spans="1:1" x14ac:dyDescent="0.2">
      <c r="A9269" s="52"/>
    </row>
    <row r="9270" spans="1:1" x14ac:dyDescent="0.2">
      <c r="A9270" s="52"/>
    </row>
    <row r="9271" spans="1:1" x14ac:dyDescent="0.2">
      <c r="A9271" s="52"/>
    </row>
    <row r="9272" spans="1:1" x14ac:dyDescent="0.2">
      <c r="A9272" s="53"/>
    </row>
    <row r="9273" spans="1:1" x14ac:dyDescent="0.2">
      <c r="A9273" s="52"/>
    </row>
    <row r="9274" spans="1:1" x14ac:dyDescent="0.2">
      <c r="A9274" s="52"/>
    </row>
    <row r="9275" spans="1:1" x14ac:dyDescent="0.2">
      <c r="A9275" s="52"/>
    </row>
    <row r="9276" spans="1:1" x14ac:dyDescent="0.2">
      <c r="A9276" s="52"/>
    </row>
    <row r="9277" spans="1:1" x14ac:dyDescent="0.2">
      <c r="A9277" s="52"/>
    </row>
    <row r="9278" spans="1:1" x14ac:dyDescent="0.2">
      <c r="A9278" s="52"/>
    </row>
    <row r="9279" spans="1:1" x14ac:dyDescent="0.2">
      <c r="A9279" s="52"/>
    </row>
    <row r="9280" spans="1:1" x14ac:dyDescent="0.2">
      <c r="A9280" s="52"/>
    </row>
    <row r="9281" spans="1:1" x14ac:dyDescent="0.2">
      <c r="A9281" s="52"/>
    </row>
    <row r="9282" spans="1:1" x14ac:dyDescent="0.2">
      <c r="A9282" s="52"/>
    </row>
    <row r="9283" spans="1:1" x14ac:dyDescent="0.2">
      <c r="A9283" s="52"/>
    </row>
    <row r="9284" spans="1:1" x14ac:dyDescent="0.2">
      <c r="A9284" s="52"/>
    </row>
    <row r="9285" spans="1:1" x14ac:dyDescent="0.2">
      <c r="A9285" s="52"/>
    </row>
    <row r="9286" spans="1:1" x14ac:dyDescent="0.2">
      <c r="A9286" s="52"/>
    </row>
    <row r="9287" spans="1:1" x14ac:dyDescent="0.2">
      <c r="A9287" s="52"/>
    </row>
    <row r="9288" spans="1:1" x14ac:dyDescent="0.2">
      <c r="A9288" s="52"/>
    </row>
    <row r="9289" spans="1:1" x14ac:dyDescent="0.2">
      <c r="A9289" s="52"/>
    </row>
    <row r="9290" spans="1:1" x14ac:dyDescent="0.2">
      <c r="A9290" s="52"/>
    </row>
    <row r="9291" spans="1:1" x14ac:dyDescent="0.2">
      <c r="A9291" s="52"/>
    </row>
    <row r="9292" spans="1:1" x14ac:dyDescent="0.2">
      <c r="A9292" s="52"/>
    </row>
    <row r="9293" spans="1:1" x14ac:dyDescent="0.2">
      <c r="A9293" s="52"/>
    </row>
    <row r="9294" spans="1:1" x14ac:dyDescent="0.2">
      <c r="A9294" s="52"/>
    </row>
    <row r="9295" spans="1:1" x14ac:dyDescent="0.2">
      <c r="A9295" s="52"/>
    </row>
    <row r="9296" spans="1:1" x14ac:dyDescent="0.2">
      <c r="A9296" s="52"/>
    </row>
    <row r="9297" spans="1:1" x14ac:dyDescent="0.2">
      <c r="A9297" s="52"/>
    </row>
    <row r="9298" spans="1:1" x14ac:dyDescent="0.2">
      <c r="A9298" s="52"/>
    </row>
    <row r="9299" spans="1:1" x14ac:dyDescent="0.2">
      <c r="A9299" s="52"/>
    </row>
    <row r="9300" spans="1:1" x14ac:dyDescent="0.2">
      <c r="A9300" s="52"/>
    </row>
    <row r="9301" spans="1:1" x14ac:dyDescent="0.2">
      <c r="A9301" s="52"/>
    </row>
    <row r="9302" spans="1:1" x14ac:dyDescent="0.2">
      <c r="A9302" s="52"/>
    </row>
    <row r="9303" spans="1:1" x14ac:dyDescent="0.2">
      <c r="A9303" s="52"/>
    </row>
    <row r="9304" spans="1:1" x14ac:dyDescent="0.2">
      <c r="A9304" s="52"/>
    </row>
    <row r="9305" spans="1:1" x14ac:dyDescent="0.2">
      <c r="A9305" s="52"/>
    </row>
    <row r="9306" spans="1:1" x14ac:dyDescent="0.2">
      <c r="A9306" s="52"/>
    </row>
    <row r="9307" spans="1:1" x14ac:dyDescent="0.2">
      <c r="A9307" s="52"/>
    </row>
    <row r="9308" spans="1:1" x14ac:dyDescent="0.2">
      <c r="A9308" s="52"/>
    </row>
    <row r="9309" spans="1:1" x14ac:dyDescent="0.2">
      <c r="A9309" s="52"/>
    </row>
    <row r="9310" spans="1:1" x14ac:dyDescent="0.2">
      <c r="A9310" s="52"/>
    </row>
    <row r="9311" spans="1:1" x14ac:dyDescent="0.2">
      <c r="A9311" s="52"/>
    </row>
    <row r="9312" spans="1:1" x14ac:dyDescent="0.2">
      <c r="A9312" s="52"/>
    </row>
    <row r="9313" spans="1:1" x14ac:dyDescent="0.2">
      <c r="A9313" s="52"/>
    </row>
    <row r="9314" spans="1:1" x14ac:dyDescent="0.2">
      <c r="A9314" s="52"/>
    </row>
    <row r="9315" spans="1:1" x14ac:dyDescent="0.2">
      <c r="A9315" s="52"/>
    </row>
    <row r="9316" spans="1:1" x14ac:dyDescent="0.2">
      <c r="A9316" s="52"/>
    </row>
    <row r="9317" spans="1:1" x14ac:dyDescent="0.2">
      <c r="A9317" s="52"/>
    </row>
    <row r="9318" spans="1:1" x14ac:dyDescent="0.2">
      <c r="A9318" s="52"/>
    </row>
    <row r="9319" spans="1:1" x14ac:dyDescent="0.2">
      <c r="A9319" s="52"/>
    </row>
    <row r="9320" spans="1:1" x14ac:dyDescent="0.2">
      <c r="A9320" s="52"/>
    </row>
    <row r="9321" spans="1:1" x14ac:dyDescent="0.2">
      <c r="A9321" s="52"/>
    </row>
    <row r="9322" spans="1:1" x14ac:dyDescent="0.2">
      <c r="A9322" s="52"/>
    </row>
    <row r="9323" spans="1:1" x14ac:dyDescent="0.2">
      <c r="A9323" s="52"/>
    </row>
    <row r="9324" spans="1:1" x14ac:dyDescent="0.2">
      <c r="A9324" s="52"/>
    </row>
    <row r="9325" spans="1:1" x14ac:dyDescent="0.2">
      <c r="A9325" s="52"/>
    </row>
    <row r="9326" spans="1:1" x14ac:dyDescent="0.2">
      <c r="A9326" s="52"/>
    </row>
    <row r="9327" spans="1:1" x14ac:dyDescent="0.2">
      <c r="A9327" s="52"/>
    </row>
    <row r="9328" spans="1:1" x14ac:dyDescent="0.2">
      <c r="A9328" s="52"/>
    </row>
    <row r="9329" spans="1:1" x14ac:dyDescent="0.2">
      <c r="A9329" s="52"/>
    </row>
    <row r="9330" spans="1:1" x14ac:dyDescent="0.2">
      <c r="A9330" s="52"/>
    </row>
    <row r="9331" spans="1:1" x14ac:dyDescent="0.2">
      <c r="A9331" s="52"/>
    </row>
    <row r="9332" spans="1:1" x14ac:dyDescent="0.2">
      <c r="A9332" s="52"/>
    </row>
    <row r="9333" spans="1:1" x14ac:dyDescent="0.2">
      <c r="A9333" s="52"/>
    </row>
    <row r="9334" spans="1:1" x14ac:dyDescent="0.2">
      <c r="A9334" s="52"/>
    </row>
    <row r="9335" spans="1:1" x14ac:dyDescent="0.2">
      <c r="A9335" s="52"/>
    </row>
    <row r="9336" spans="1:1" x14ac:dyDescent="0.2">
      <c r="A9336" s="53"/>
    </row>
    <row r="9337" spans="1:1" x14ac:dyDescent="0.2">
      <c r="A9337" s="52"/>
    </row>
    <row r="9338" spans="1:1" x14ac:dyDescent="0.2">
      <c r="A9338" s="52"/>
    </row>
    <row r="9339" spans="1:1" x14ac:dyDescent="0.2">
      <c r="A9339" s="52"/>
    </row>
    <row r="9340" spans="1:1" x14ac:dyDescent="0.2">
      <c r="A9340" s="52"/>
    </row>
    <row r="9341" spans="1:1" x14ac:dyDescent="0.2">
      <c r="A9341" s="52"/>
    </row>
    <row r="9342" spans="1:1" x14ac:dyDescent="0.2">
      <c r="A9342" s="52"/>
    </row>
    <row r="9343" spans="1:1" x14ac:dyDescent="0.2">
      <c r="A9343" s="52"/>
    </row>
    <row r="9344" spans="1:1" x14ac:dyDescent="0.2">
      <c r="A9344" s="52"/>
    </row>
    <row r="9345" spans="1:1" x14ac:dyDescent="0.2">
      <c r="A9345" s="52"/>
    </row>
    <row r="9346" spans="1:1" x14ac:dyDescent="0.2">
      <c r="A9346" s="52"/>
    </row>
    <row r="9347" spans="1:1" x14ac:dyDescent="0.2">
      <c r="A9347" s="52"/>
    </row>
    <row r="9348" spans="1:1" x14ac:dyDescent="0.2">
      <c r="A9348" s="52"/>
    </row>
    <row r="9349" spans="1:1" x14ac:dyDescent="0.2">
      <c r="A9349" s="52"/>
    </row>
    <row r="9350" spans="1:1" x14ac:dyDescent="0.2">
      <c r="A9350" s="52"/>
    </row>
    <row r="9351" spans="1:1" x14ac:dyDescent="0.2">
      <c r="A9351" s="52"/>
    </row>
    <row r="9352" spans="1:1" x14ac:dyDescent="0.2">
      <c r="A9352" s="52"/>
    </row>
    <row r="9353" spans="1:1" x14ac:dyDescent="0.2">
      <c r="A9353" s="52"/>
    </row>
    <row r="9354" spans="1:1" x14ac:dyDescent="0.2">
      <c r="A9354" s="52"/>
    </row>
    <row r="9355" spans="1:1" x14ac:dyDescent="0.2">
      <c r="A9355" s="52"/>
    </row>
    <row r="9356" spans="1:1" x14ac:dyDescent="0.2">
      <c r="A9356" s="52"/>
    </row>
    <row r="9357" spans="1:1" x14ac:dyDescent="0.2">
      <c r="A9357" s="52"/>
    </row>
    <row r="9358" spans="1:1" x14ac:dyDescent="0.2">
      <c r="A9358" s="52"/>
    </row>
    <row r="9359" spans="1:1" x14ac:dyDescent="0.2">
      <c r="A9359" s="52"/>
    </row>
    <row r="9360" spans="1:1" x14ac:dyDescent="0.2">
      <c r="A9360" s="52"/>
    </row>
    <row r="9361" spans="1:1" x14ac:dyDescent="0.2">
      <c r="A9361" s="53"/>
    </row>
    <row r="9362" spans="1:1" x14ac:dyDescent="0.2">
      <c r="A9362" s="52"/>
    </row>
    <row r="9363" spans="1:1" x14ac:dyDescent="0.2">
      <c r="A9363" s="52"/>
    </row>
    <row r="9364" spans="1:1" x14ac:dyDescent="0.2">
      <c r="A9364" s="52"/>
    </row>
    <row r="9365" spans="1:1" x14ac:dyDescent="0.2">
      <c r="A9365" s="52"/>
    </row>
    <row r="9366" spans="1:1" x14ac:dyDescent="0.2">
      <c r="A9366" s="53"/>
    </row>
    <row r="9367" spans="1:1" x14ac:dyDescent="0.2">
      <c r="A9367" s="52"/>
    </row>
    <row r="9368" spans="1:1" x14ac:dyDescent="0.2">
      <c r="A9368" s="52"/>
    </row>
    <row r="9369" spans="1:1" x14ac:dyDescent="0.2">
      <c r="A9369" s="52"/>
    </row>
    <row r="9370" spans="1:1" x14ac:dyDescent="0.2">
      <c r="A9370" s="52"/>
    </row>
    <row r="9371" spans="1:1" x14ac:dyDescent="0.2">
      <c r="A9371" s="52"/>
    </row>
    <row r="9372" spans="1:1" x14ac:dyDescent="0.2">
      <c r="A9372" s="52"/>
    </row>
    <row r="9373" spans="1:1" x14ac:dyDescent="0.2">
      <c r="A9373" s="52"/>
    </row>
    <row r="9374" spans="1:1" x14ac:dyDescent="0.2">
      <c r="A9374" s="52"/>
    </row>
    <row r="9375" spans="1:1" x14ac:dyDescent="0.2">
      <c r="A9375" s="52"/>
    </row>
    <row r="9376" spans="1:1" x14ac:dyDescent="0.2">
      <c r="A9376" s="52"/>
    </row>
    <row r="9377" spans="1:1" x14ac:dyDescent="0.2">
      <c r="A9377" s="52"/>
    </row>
    <row r="9378" spans="1:1" x14ac:dyDescent="0.2">
      <c r="A9378" s="52"/>
    </row>
    <row r="9379" spans="1:1" x14ac:dyDescent="0.2">
      <c r="A9379" s="52"/>
    </row>
    <row r="9380" spans="1:1" x14ac:dyDescent="0.2">
      <c r="A9380" s="52"/>
    </row>
    <row r="9381" spans="1:1" x14ac:dyDescent="0.2">
      <c r="A9381" s="53"/>
    </row>
    <row r="9382" spans="1:1" x14ac:dyDescent="0.2">
      <c r="A9382" s="52"/>
    </row>
    <row r="9383" spans="1:1" x14ac:dyDescent="0.2">
      <c r="A9383" s="52"/>
    </row>
    <row r="9384" spans="1:1" x14ac:dyDescent="0.2">
      <c r="A9384" s="52"/>
    </row>
    <row r="9385" spans="1:1" x14ac:dyDescent="0.2">
      <c r="A9385" s="52"/>
    </row>
    <row r="9386" spans="1:1" x14ac:dyDescent="0.2">
      <c r="A9386" s="52"/>
    </row>
    <row r="9387" spans="1:1" x14ac:dyDescent="0.2">
      <c r="A9387" s="52"/>
    </row>
    <row r="9388" spans="1:1" x14ac:dyDescent="0.2">
      <c r="A9388" s="52"/>
    </row>
    <row r="9389" spans="1:1" x14ac:dyDescent="0.2">
      <c r="A9389" s="53"/>
    </row>
    <row r="9390" spans="1:1" x14ac:dyDescent="0.2">
      <c r="A9390" s="52"/>
    </row>
    <row r="9391" spans="1:1" x14ac:dyDescent="0.2">
      <c r="A9391" s="52"/>
    </row>
    <row r="9392" spans="1:1" x14ac:dyDescent="0.2">
      <c r="A9392" s="52"/>
    </row>
    <row r="9393" spans="1:1" x14ac:dyDescent="0.2">
      <c r="A9393" s="52"/>
    </row>
    <row r="9394" spans="1:1" x14ac:dyDescent="0.2">
      <c r="A9394" s="52"/>
    </row>
    <row r="9395" spans="1:1" x14ac:dyDescent="0.2">
      <c r="A9395" s="52"/>
    </row>
    <row r="9396" spans="1:1" x14ac:dyDescent="0.2">
      <c r="A9396" s="52"/>
    </row>
    <row r="9397" spans="1:1" x14ac:dyDescent="0.2">
      <c r="A9397" s="52"/>
    </row>
    <row r="9398" spans="1:1" x14ac:dyDescent="0.2">
      <c r="A9398" s="52"/>
    </row>
    <row r="9399" spans="1:1" x14ac:dyDescent="0.2">
      <c r="A9399" s="52"/>
    </row>
    <row r="9400" spans="1:1" x14ac:dyDescent="0.2">
      <c r="A9400" s="52"/>
    </row>
    <row r="9401" spans="1:1" x14ac:dyDescent="0.2">
      <c r="A9401" s="52"/>
    </row>
    <row r="9402" spans="1:1" x14ac:dyDescent="0.2">
      <c r="A9402" s="52"/>
    </row>
    <row r="9403" spans="1:1" x14ac:dyDescent="0.2">
      <c r="A9403" s="52"/>
    </row>
    <row r="9404" spans="1:1" x14ac:dyDescent="0.2">
      <c r="A9404" s="52"/>
    </row>
    <row r="9405" spans="1:1" x14ac:dyDescent="0.2">
      <c r="A9405" s="52"/>
    </row>
    <row r="9406" spans="1:1" x14ac:dyDescent="0.2">
      <c r="A9406" s="52"/>
    </row>
    <row r="9407" spans="1:1" x14ac:dyDescent="0.2">
      <c r="A9407" s="52"/>
    </row>
    <row r="9408" spans="1:1" x14ac:dyDescent="0.2">
      <c r="A9408" s="52"/>
    </row>
    <row r="9409" spans="1:1" x14ac:dyDescent="0.2">
      <c r="A9409" s="52"/>
    </row>
    <row r="9410" spans="1:1" x14ac:dyDescent="0.2">
      <c r="A9410" s="52"/>
    </row>
    <row r="9411" spans="1:1" x14ac:dyDescent="0.2">
      <c r="A9411" s="52"/>
    </row>
    <row r="9412" spans="1:1" x14ac:dyDescent="0.2">
      <c r="A9412" s="52"/>
    </row>
    <row r="9413" spans="1:1" x14ac:dyDescent="0.2">
      <c r="A9413" s="52"/>
    </row>
    <row r="9414" spans="1:1" x14ac:dyDescent="0.2">
      <c r="A9414" s="52"/>
    </row>
    <row r="9415" spans="1:1" x14ac:dyDescent="0.2">
      <c r="A9415" s="52"/>
    </row>
    <row r="9416" spans="1:1" x14ac:dyDescent="0.2">
      <c r="A9416" s="53"/>
    </row>
    <row r="9417" spans="1:1" x14ac:dyDescent="0.2">
      <c r="A9417" s="52"/>
    </row>
    <row r="9418" spans="1:1" x14ac:dyDescent="0.2">
      <c r="A9418" s="52"/>
    </row>
    <row r="9419" spans="1:1" x14ac:dyDescent="0.2">
      <c r="A9419" s="52"/>
    </row>
    <row r="9420" spans="1:1" x14ac:dyDescent="0.2">
      <c r="A9420" s="52"/>
    </row>
    <row r="9421" spans="1:1" x14ac:dyDescent="0.2">
      <c r="A9421" s="53"/>
    </row>
    <row r="9422" spans="1:1" x14ac:dyDescent="0.2">
      <c r="A9422" s="52"/>
    </row>
    <row r="9423" spans="1:1" x14ac:dyDescent="0.2">
      <c r="A9423" s="52"/>
    </row>
    <row r="9424" spans="1:1" x14ac:dyDescent="0.2">
      <c r="A9424" s="52"/>
    </row>
    <row r="9425" spans="1:1" x14ac:dyDescent="0.2">
      <c r="A9425" s="52"/>
    </row>
    <row r="9426" spans="1:1" x14ac:dyDescent="0.2">
      <c r="A9426" s="53"/>
    </row>
    <row r="9427" spans="1:1" x14ac:dyDescent="0.2">
      <c r="A9427" s="52"/>
    </row>
    <row r="9428" spans="1:1" x14ac:dyDescent="0.2">
      <c r="A9428" s="52"/>
    </row>
    <row r="9429" spans="1:1" x14ac:dyDescent="0.2">
      <c r="A9429" s="52"/>
    </row>
    <row r="9430" spans="1:1" x14ac:dyDescent="0.2">
      <c r="A9430" s="52"/>
    </row>
    <row r="9431" spans="1:1" x14ac:dyDescent="0.2">
      <c r="A9431" s="52"/>
    </row>
    <row r="9432" spans="1:1" x14ac:dyDescent="0.2">
      <c r="A9432" s="52"/>
    </row>
    <row r="9433" spans="1:1" x14ac:dyDescent="0.2">
      <c r="A9433" s="53"/>
    </row>
    <row r="9434" spans="1:1" x14ac:dyDescent="0.2">
      <c r="A9434" s="52"/>
    </row>
    <row r="9435" spans="1:1" x14ac:dyDescent="0.2">
      <c r="A9435" s="52"/>
    </row>
    <row r="9436" spans="1:1" x14ac:dyDescent="0.2">
      <c r="A9436" s="52"/>
    </row>
    <row r="9437" spans="1:1" x14ac:dyDescent="0.2">
      <c r="A9437" s="52"/>
    </row>
    <row r="9438" spans="1:1" x14ac:dyDescent="0.2">
      <c r="A9438" s="52"/>
    </row>
    <row r="9439" spans="1:1" x14ac:dyDescent="0.2">
      <c r="A9439" s="52"/>
    </row>
    <row r="9440" spans="1:1" x14ac:dyDescent="0.2">
      <c r="A9440" s="52"/>
    </row>
    <row r="9441" spans="1:1" x14ac:dyDescent="0.2">
      <c r="A9441" s="53"/>
    </row>
    <row r="9442" spans="1:1" x14ac:dyDescent="0.2">
      <c r="A9442" s="52"/>
    </row>
    <row r="9443" spans="1:1" x14ac:dyDescent="0.2">
      <c r="A9443" s="52"/>
    </row>
    <row r="9444" spans="1:1" x14ac:dyDescent="0.2">
      <c r="A9444" s="52"/>
    </row>
    <row r="9445" spans="1:1" x14ac:dyDescent="0.2">
      <c r="A9445" s="52"/>
    </row>
    <row r="9446" spans="1:1" x14ac:dyDescent="0.2">
      <c r="A9446" s="52"/>
    </row>
    <row r="9447" spans="1:1" x14ac:dyDescent="0.2">
      <c r="A9447" s="52"/>
    </row>
    <row r="9448" spans="1:1" x14ac:dyDescent="0.2">
      <c r="A9448" s="52"/>
    </row>
    <row r="9449" spans="1:1" x14ac:dyDescent="0.2">
      <c r="A9449" s="52"/>
    </row>
    <row r="9450" spans="1:1" x14ac:dyDescent="0.2">
      <c r="A9450" s="52"/>
    </row>
    <row r="9451" spans="1:1" x14ac:dyDescent="0.2">
      <c r="A9451" s="52"/>
    </row>
    <row r="9452" spans="1:1" x14ac:dyDescent="0.2">
      <c r="A9452" s="52"/>
    </row>
    <row r="9453" spans="1:1" x14ac:dyDescent="0.2">
      <c r="A9453" s="52"/>
    </row>
    <row r="9454" spans="1:1" x14ac:dyDescent="0.2">
      <c r="A9454" s="52"/>
    </row>
    <row r="9455" spans="1:1" x14ac:dyDescent="0.2">
      <c r="A9455" s="52"/>
    </row>
    <row r="9456" spans="1:1" x14ac:dyDescent="0.2">
      <c r="A9456" s="52"/>
    </row>
    <row r="9457" spans="1:1" x14ac:dyDescent="0.2">
      <c r="A9457" s="52"/>
    </row>
    <row r="9458" spans="1:1" x14ac:dyDescent="0.2">
      <c r="A9458" s="52"/>
    </row>
    <row r="9459" spans="1:1" x14ac:dyDescent="0.2">
      <c r="A9459" s="52"/>
    </row>
    <row r="9460" spans="1:1" x14ac:dyDescent="0.2">
      <c r="A9460" s="52"/>
    </row>
    <row r="9461" spans="1:1" x14ac:dyDescent="0.2">
      <c r="A9461" s="52"/>
    </row>
    <row r="9462" spans="1:1" x14ac:dyDescent="0.2">
      <c r="A9462" s="52"/>
    </row>
    <row r="9463" spans="1:1" x14ac:dyDescent="0.2">
      <c r="A9463" s="52"/>
    </row>
    <row r="9464" spans="1:1" x14ac:dyDescent="0.2">
      <c r="A9464" s="52"/>
    </row>
    <row r="9465" spans="1:1" x14ac:dyDescent="0.2">
      <c r="A9465" s="52"/>
    </row>
    <row r="9466" spans="1:1" x14ac:dyDescent="0.2">
      <c r="A9466" s="52"/>
    </row>
    <row r="9467" spans="1:1" x14ac:dyDescent="0.2">
      <c r="A9467" s="52"/>
    </row>
    <row r="9468" spans="1:1" x14ac:dyDescent="0.2">
      <c r="A9468" s="53"/>
    </row>
    <row r="9469" spans="1:1" x14ac:dyDescent="0.2">
      <c r="A9469" s="52"/>
    </row>
    <row r="9470" spans="1:1" x14ac:dyDescent="0.2">
      <c r="A9470" s="52"/>
    </row>
    <row r="9471" spans="1:1" x14ac:dyDescent="0.2">
      <c r="A9471" s="52"/>
    </row>
    <row r="9472" spans="1:1" x14ac:dyDescent="0.2">
      <c r="A9472" s="52"/>
    </row>
    <row r="9473" spans="1:1" x14ac:dyDescent="0.2">
      <c r="A9473" s="52"/>
    </row>
    <row r="9474" spans="1:1" x14ac:dyDescent="0.2">
      <c r="A9474" s="52"/>
    </row>
    <row r="9475" spans="1:1" x14ac:dyDescent="0.2">
      <c r="A9475" s="52"/>
    </row>
    <row r="9476" spans="1:1" x14ac:dyDescent="0.2">
      <c r="A9476" s="52"/>
    </row>
    <row r="9477" spans="1:1" x14ac:dyDescent="0.2">
      <c r="A9477" s="52"/>
    </row>
    <row r="9478" spans="1:1" x14ac:dyDescent="0.2">
      <c r="A9478" s="52"/>
    </row>
    <row r="9479" spans="1:1" x14ac:dyDescent="0.2">
      <c r="A9479" s="52"/>
    </row>
    <row r="9480" spans="1:1" x14ac:dyDescent="0.2">
      <c r="A9480" s="52"/>
    </row>
    <row r="9481" spans="1:1" x14ac:dyDescent="0.2">
      <c r="A9481" s="53"/>
    </row>
    <row r="9482" spans="1:1" x14ac:dyDescent="0.2">
      <c r="A9482" s="52"/>
    </row>
    <row r="9483" spans="1:1" x14ac:dyDescent="0.2">
      <c r="A9483" s="52"/>
    </row>
    <row r="9484" spans="1:1" x14ac:dyDescent="0.2">
      <c r="A9484" s="52"/>
    </row>
    <row r="9485" spans="1:1" x14ac:dyDescent="0.2">
      <c r="A9485" s="52"/>
    </row>
    <row r="9486" spans="1:1" x14ac:dyDescent="0.2">
      <c r="A9486" s="52"/>
    </row>
    <row r="9487" spans="1:1" x14ac:dyDescent="0.2">
      <c r="A9487" s="52"/>
    </row>
    <row r="9488" spans="1:1" x14ac:dyDescent="0.2">
      <c r="A9488" s="52"/>
    </row>
    <row r="9489" spans="1:1" x14ac:dyDescent="0.2">
      <c r="A9489" s="52"/>
    </row>
    <row r="9490" spans="1:1" x14ac:dyDescent="0.2">
      <c r="A9490" s="52"/>
    </row>
    <row r="9491" spans="1:1" x14ac:dyDescent="0.2">
      <c r="A9491" s="52"/>
    </row>
    <row r="9492" spans="1:1" x14ac:dyDescent="0.2">
      <c r="A9492" s="52"/>
    </row>
    <row r="9493" spans="1:1" x14ac:dyDescent="0.2">
      <c r="A9493" s="52"/>
    </row>
    <row r="9494" spans="1:1" x14ac:dyDescent="0.2">
      <c r="A9494" s="52"/>
    </row>
    <row r="9495" spans="1:1" x14ac:dyDescent="0.2">
      <c r="A9495" s="52"/>
    </row>
    <row r="9496" spans="1:1" x14ac:dyDescent="0.2">
      <c r="A9496" s="52"/>
    </row>
    <row r="9497" spans="1:1" x14ac:dyDescent="0.2">
      <c r="A9497" s="52"/>
    </row>
    <row r="9498" spans="1:1" x14ac:dyDescent="0.2">
      <c r="A9498" s="52"/>
    </row>
    <row r="9499" spans="1:1" x14ac:dyDescent="0.2">
      <c r="A9499" s="52"/>
    </row>
    <row r="9500" spans="1:1" x14ac:dyDescent="0.2">
      <c r="A9500" s="53"/>
    </row>
    <row r="9501" spans="1:1" x14ac:dyDescent="0.2">
      <c r="A9501" s="52"/>
    </row>
    <row r="9502" spans="1:1" x14ac:dyDescent="0.2">
      <c r="A9502" s="52"/>
    </row>
    <row r="9503" spans="1:1" x14ac:dyDescent="0.2">
      <c r="A9503" s="52"/>
    </row>
    <row r="9504" spans="1:1" x14ac:dyDescent="0.2">
      <c r="A9504" s="52"/>
    </row>
    <row r="9505" spans="1:1" x14ac:dyDescent="0.2">
      <c r="A9505" s="52"/>
    </row>
    <row r="9506" spans="1:1" x14ac:dyDescent="0.2">
      <c r="A9506" s="52"/>
    </row>
    <row r="9507" spans="1:1" x14ac:dyDescent="0.2">
      <c r="A9507" s="52"/>
    </row>
    <row r="9508" spans="1:1" x14ac:dyDescent="0.2">
      <c r="A9508" s="52"/>
    </row>
    <row r="9509" spans="1:1" x14ac:dyDescent="0.2">
      <c r="A9509" s="53"/>
    </row>
    <row r="9510" spans="1:1" x14ac:dyDescent="0.2">
      <c r="A9510" s="52"/>
    </row>
    <row r="9511" spans="1:1" x14ac:dyDescent="0.2">
      <c r="A9511" s="52"/>
    </row>
    <row r="9512" spans="1:1" x14ac:dyDescent="0.2">
      <c r="A9512" s="53"/>
    </row>
    <row r="9513" spans="1:1" x14ac:dyDescent="0.2">
      <c r="A9513" s="52"/>
    </row>
    <row r="9514" spans="1:1" x14ac:dyDescent="0.2">
      <c r="A9514" s="52"/>
    </row>
    <row r="9515" spans="1:1" x14ac:dyDescent="0.2">
      <c r="A9515" s="52"/>
    </row>
    <row r="9516" spans="1:1" x14ac:dyDescent="0.2">
      <c r="A9516" s="52"/>
    </row>
    <row r="9517" spans="1:1" x14ac:dyDescent="0.2">
      <c r="A9517" s="52"/>
    </row>
    <row r="9518" spans="1:1" x14ac:dyDescent="0.2">
      <c r="A9518" s="52"/>
    </row>
    <row r="9519" spans="1:1" x14ac:dyDescent="0.2">
      <c r="A9519" s="52"/>
    </row>
    <row r="9520" spans="1:1" x14ac:dyDescent="0.2">
      <c r="A9520" s="52"/>
    </row>
    <row r="9521" spans="1:1" x14ac:dyDescent="0.2">
      <c r="A9521" s="52"/>
    </row>
    <row r="9522" spans="1:1" x14ac:dyDescent="0.2">
      <c r="A9522" s="52"/>
    </row>
    <row r="9523" spans="1:1" x14ac:dyDescent="0.2">
      <c r="A9523" s="52"/>
    </row>
    <row r="9524" spans="1:1" x14ac:dyDescent="0.2">
      <c r="A9524" s="52"/>
    </row>
    <row r="9525" spans="1:1" x14ac:dyDescent="0.2">
      <c r="A9525" s="52"/>
    </row>
    <row r="9526" spans="1:1" x14ac:dyDescent="0.2">
      <c r="A9526" s="52"/>
    </row>
    <row r="9527" spans="1:1" x14ac:dyDescent="0.2">
      <c r="A9527" s="52"/>
    </row>
    <row r="9528" spans="1:1" x14ac:dyDescent="0.2">
      <c r="A9528" s="52"/>
    </row>
    <row r="9529" spans="1:1" x14ac:dyDescent="0.2">
      <c r="A9529" s="52"/>
    </row>
    <row r="9530" spans="1:1" x14ac:dyDescent="0.2">
      <c r="A9530" s="52"/>
    </row>
    <row r="9531" spans="1:1" x14ac:dyDescent="0.2">
      <c r="A9531" s="52"/>
    </row>
    <row r="9532" spans="1:1" x14ac:dyDescent="0.2">
      <c r="A9532" s="52"/>
    </row>
    <row r="9533" spans="1:1" x14ac:dyDescent="0.2">
      <c r="A9533" s="52"/>
    </row>
    <row r="9534" spans="1:1" x14ac:dyDescent="0.2">
      <c r="A9534" s="52"/>
    </row>
    <row r="9535" spans="1:1" x14ac:dyDescent="0.2">
      <c r="A9535" s="52"/>
    </row>
    <row r="9536" spans="1:1" x14ac:dyDescent="0.2">
      <c r="A9536" s="53"/>
    </row>
    <row r="9537" spans="1:1" x14ac:dyDescent="0.2">
      <c r="A9537" s="52"/>
    </row>
    <row r="9538" spans="1:1" x14ac:dyDescent="0.2">
      <c r="A9538" s="52"/>
    </row>
    <row r="9539" spans="1:1" x14ac:dyDescent="0.2">
      <c r="A9539" s="52"/>
    </row>
    <row r="9540" spans="1:1" x14ac:dyDescent="0.2">
      <c r="A9540" s="52"/>
    </row>
    <row r="9541" spans="1:1" x14ac:dyDescent="0.2">
      <c r="A9541" s="52"/>
    </row>
    <row r="9542" spans="1:1" x14ac:dyDescent="0.2">
      <c r="A9542" s="52"/>
    </row>
    <row r="9543" spans="1:1" x14ac:dyDescent="0.2">
      <c r="A9543" s="52"/>
    </row>
    <row r="9544" spans="1:1" x14ac:dyDescent="0.2">
      <c r="A9544" s="52"/>
    </row>
    <row r="9545" spans="1:1" x14ac:dyDescent="0.2">
      <c r="A9545" s="52"/>
    </row>
    <row r="9546" spans="1:1" x14ac:dyDescent="0.2">
      <c r="A9546" s="52"/>
    </row>
    <row r="9547" spans="1:1" x14ac:dyDescent="0.2">
      <c r="A9547" s="52"/>
    </row>
    <row r="9548" spans="1:1" x14ac:dyDescent="0.2">
      <c r="A9548" s="52"/>
    </row>
    <row r="9549" spans="1:1" x14ac:dyDescent="0.2">
      <c r="A9549" s="52"/>
    </row>
    <row r="9550" spans="1:1" x14ac:dyDescent="0.2">
      <c r="A9550" s="52"/>
    </row>
    <row r="9551" spans="1:1" x14ac:dyDescent="0.2">
      <c r="A9551" s="52"/>
    </row>
    <row r="9552" spans="1:1" x14ac:dyDescent="0.2">
      <c r="A9552" s="52"/>
    </row>
    <row r="9553" spans="1:1" x14ac:dyDescent="0.2">
      <c r="A9553" s="52"/>
    </row>
    <row r="9554" spans="1:1" x14ac:dyDescent="0.2">
      <c r="A9554" s="52"/>
    </row>
    <row r="9555" spans="1:1" x14ac:dyDescent="0.2">
      <c r="A9555" s="52"/>
    </row>
    <row r="9556" spans="1:1" x14ac:dyDescent="0.2">
      <c r="A9556" s="52"/>
    </row>
    <row r="9557" spans="1:1" x14ac:dyDescent="0.2">
      <c r="A9557" s="52"/>
    </row>
    <row r="9558" spans="1:1" x14ac:dyDescent="0.2">
      <c r="A9558" s="52"/>
    </row>
    <row r="9559" spans="1:1" x14ac:dyDescent="0.2">
      <c r="A9559" s="52"/>
    </row>
    <row r="9560" spans="1:1" x14ac:dyDescent="0.2">
      <c r="A9560" s="52"/>
    </row>
    <row r="9561" spans="1:1" x14ac:dyDescent="0.2">
      <c r="A9561" s="52"/>
    </row>
    <row r="9562" spans="1:1" x14ac:dyDescent="0.2">
      <c r="A9562" s="52"/>
    </row>
    <row r="9563" spans="1:1" x14ac:dyDescent="0.2">
      <c r="A9563" s="52"/>
    </row>
    <row r="9564" spans="1:1" x14ac:dyDescent="0.2">
      <c r="A9564" s="52"/>
    </row>
    <row r="9565" spans="1:1" x14ac:dyDescent="0.2">
      <c r="A9565" s="52"/>
    </row>
    <row r="9566" spans="1:1" x14ac:dyDescent="0.2">
      <c r="A9566" s="52"/>
    </row>
    <row r="9567" spans="1:1" x14ac:dyDescent="0.2">
      <c r="A9567" s="52"/>
    </row>
    <row r="9568" spans="1:1" x14ac:dyDescent="0.2">
      <c r="A9568" s="53"/>
    </row>
    <row r="9569" spans="1:1" x14ac:dyDescent="0.2">
      <c r="A9569" s="52"/>
    </row>
    <row r="9570" spans="1:1" x14ac:dyDescent="0.2">
      <c r="A9570" s="53"/>
    </row>
    <row r="9571" spans="1:1" x14ac:dyDescent="0.2">
      <c r="A9571" s="52"/>
    </row>
    <row r="9572" spans="1:1" x14ac:dyDescent="0.2">
      <c r="A9572" s="53"/>
    </row>
    <row r="9573" spans="1:1" x14ac:dyDescent="0.2">
      <c r="A9573" s="52"/>
    </row>
    <row r="9574" spans="1:1" x14ac:dyDescent="0.2">
      <c r="A9574" s="52"/>
    </row>
    <row r="9575" spans="1:1" x14ac:dyDescent="0.2">
      <c r="A9575" s="52"/>
    </row>
    <row r="9576" spans="1:1" x14ac:dyDescent="0.2">
      <c r="A9576" s="52"/>
    </row>
    <row r="9577" spans="1:1" x14ac:dyDescent="0.2">
      <c r="A9577" s="53"/>
    </row>
    <row r="9578" spans="1:1" x14ac:dyDescent="0.2">
      <c r="A9578" s="53"/>
    </row>
    <row r="9579" spans="1:1" x14ac:dyDescent="0.2">
      <c r="A9579" s="52"/>
    </row>
    <row r="9580" spans="1:1" x14ac:dyDescent="0.2">
      <c r="A9580" s="53"/>
    </row>
    <row r="9581" spans="1:1" x14ac:dyDescent="0.2">
      <c r="A9581" s="52"/>
    </row>
    <row r="9582" spans="1:1" x14ac:dyDescent="0.2">
      <c r="A9582" s="53"/>
    </row>
    <row r="9583" spans="1:1" x14ac:dyDescent="0.2">
      <c r="A9583" s="52"/>
    </row>
    <row r="9584" spans="1:1" x14ac:dyDescent="0.2">
      <c r="A9584" s="52"/>
    </row>
    <row r="9585" spans="1:1" x14ac:dyDescent="0.2">
      <c r="A9585" s="52"/>
    </row>
    <row r="9586" spans="1:1" x14ac:dyDescent="0.2">
      <c r="A9586" s="52"/>
    </row>
    <row r="9587" spans="1:1" x14ac:dyDescent="0.2">
      <c r="A9587" s="52"/>
    </row>
    <row r="9588" spans="1:1" x14ac:dyDescent="0.2">
      <c r="A9588" s="52"/>
    </row>
    <row r="9589" spans="1:1" x14ac:dyDescent="0.2">
      <c r="A9589" s="52"/>
    </row>
    <row r="9590" spans="1:1" x14ac:dyDescent="0.2">
      <c r="A9590" s="52"/>
    </row>
    <row r="9591" spans="1:1" x14ac:dyDescent="0.2">
      <c r="A9591" s="52"/>
    </row>
    <row r="9592" spans="1:1" x14ac:dyDescent="0.2">
      <c r="A9592" s="52"/>
    </row>
    <row r="9593" spans="1:1" x14ac:dyDescent="0.2">
      <c r="A9593" s="52"/>
    </row>
    <row r="9594" spans="1:1" x14ac:dyDescent="0.2">
      <c r="A9594" s="52"/>
    </row>
    <row r="9595" spans="1:1" x14ac:dyDescent="0.2">
      <c r="A9595" s="52"/>
    </row>
    <row r="9596" spans="1:1" x14ac:dyDescent="0.2">
      <c r="A9596" s="52"/>
    </row>
    <row r="9597" spans="1:1" x14ac:dyDescent="0.2">
      <c r="A9597" s="52"/>
    </row>
    <row r="9598" spans="1:1" x14ac:dyDescent="0.2">
      <c r="A9598" s="52"/>
    </row>
    <row r="9599" spans="1:1" x14ac:dyDescent="0.2">
      <c r="A9599" s="52"/>
    </row>
    <row r="9600" spans="1:1" x14ac:dyDescent="0.2">
      <c r="A9600" s="52"/>
    </row>
    <row r="9601" spans="1:1" x14ac:dyDescent="0.2">
      <c r="A9601" s="52"/>
    </row>
    <row r="9602" spans="1:1" x14ac:dyDescent="0.2">
      <c r="A9602" s="52"/>
    </row>
    <row r="9603" spans="1:1" x14ac:dyDescent="0.2">
      <c r="A9603" s="52"/>
    </row>
    <row r="9604" spans="1:1" x14ac:dyDescent="0.2">
      <c r="A9604" s="52"/>
    </row>
    <row r="9605" spans="1:1" x14ac:dyDescent="0.2">
      <c r="A9605" s="52"/>
    </row>
    <row r="9606" spans="1:1" x14ac:dyDescent="0.2">
      <c r="A9606" s="52"/>
    </row>
    <row r="9607" spans="1:1" x14ac:dyDescent="0.2">
      <c r="A9607" s="52"/>
    </row>
    <row r="9608" spans="1:1" x14ac:dyDescent="0.2">
      <c r="A9608" s="52"/>
    </row>
    <row r="9609" spans="1:1" x14ac:dyDescent="0.2">
      <c r="A9609" s="52"/>
    </row>
    <row r="9610" spans="1:1" x14ac:dyDescent="0.2">
      <c r="A9610" s="53"/>
    </row>
    <row r="9611" spans="1:1" x14ac:dyDescent="0.2">
      <c r="A9611" s="52"/>
    </row>
    <row r="9612" spans="1:1" x14ac:dyDescent="0.2">
      <c r="A9612" s="52"/>
    </row>
    <row r="9613" spans="1:1" x14ac:dyDescent="0.2">
      <c r="A9613" s="52"/>
    </row>
    <row r="9614" spans="1:1" x14ac:dyDescent="0.2">
      <c r="A9614" s="52"/>
    </row>
    <row r="9615" spans="1:1" x14ac:dyDescent="0.2">
      <c r="A9615" s="52"/>
    </row>
    <row r="9616" spans="1:1" x14ac:dyDescent="0.2">
      <c r="A9616" s="52"/>
    </row>
    <row r="9617" spans="1:1" x14ac:dyDescent="0.2">
      <c r="A9617" s="52"/>
    </row>
    <row r="9618" spans="1:1" x14ac:dyDescent="0.2">
      <c r="A9618" s="52"/>
    </row>
    <row r="9619" spans="1:1" x14ac:dyDescent="0.2">
      <c r="A9619" s="52"/>
    </row>
    <row r="9620" spans="1:1" x14ac:dyDescent="0.2">
      <c r="A9620" s="52"/>
    </row>
    <row r="9621" spans="1:1" x14ac:dyDescent="0.2">
      <c r="A9621" s="52"/>
    </row>
    <row r="9622" spans="1:1" x14ac:dyDescent="0.2">
      <c r="A9622" s="52"/>
    </row>
    <row r="9623" spans="1:1" x14ac:dyDescent="0.2">
      <c r="A9623" s="52"/>
    </row>
    <row r="9624" spans="1:1" x14ac:dyDescent="0.2">
      <c r="A9624" s="52"/>
    </row>
    <row r="9625" spans="1:1" x14ac:dyDescent="0.2">
      <c r="A9625" s="52"/>
    </row>
    <row r="9626" spans="1:1" x14ac:dyDescent="0.2">
      <c r="A9626" s="52"/>
    </row>
    <row r="9627" spans="1:1" x14ac:dyDescent="0.2">
      <c r="A9627" s="52"/>
    </row>
    <row r="9628" spans="1:1" x14ac:dyDescent="0.2">
      <c r="A9628" s="52"/>
    </row>
    <row r="9629" spans="1:1" x14ac:dyDescent="0.2">
      <c r="A9629" s="52"/>
    </row>
    <row r="9630" spans="1:1" x14ac:dyDescent="0.2">
      <c r="A9630" s="52"/>
    </row>
    <row r="9631" spans="1:1" x14ac:dyDescent="0.2">
      <c r="A9631" s="52"/>
    </row>
    <row r="9632" spans="1:1" x14ac:dyDescent="0.2">
      <c r="A9632" s="52"/>
    </row>
    <row r="9633" spans="1:1" x14ac:dyDescent="0.2">
      <c r="A9633" s="53"/>
    </row>
    <row r="9634" spans="1:1" x14ac:dyDescent="0.2">
      <c r="A9634" s="53"/>
    </row>
    <row r="9635" spans="1:1" x14ac:dyDescent="0.2">
      <c r="A9635" s="52"/>
    </row>
    <row r="9636" spans="1:1" x14ac:dyDescent="0.2">
      <c r="A9636" s="52"/>
    </row>
    <row r="9637" spans="1:1" x14ac:dyDescent="0.2">
      <c r="A9637" s="53"/>
    </row>
    <row r="9638" spans="1:1" x14ac:dyDescent="0.2">
      <c r="A9638" s="52"/>
    </row>
    <row r="9639" spans="1:1" x14ac:dyDescent="0.2">
      <c r="A9639" s="52"/>
    </row>
    <row r="9640" spans="1:1" x14ac:dyDescent="0.2">
      <c r="A9640" s="52"/>
    </row>
    <row r="9641" spans="1:1" x14ac:dyDescent="0.2">
      <c r="A9641" s="52"/>
    </row>
    <row r="9642" spans="1:1" x14ac:dyDescent="0.2">
      <c r="A9642" s="52"/>
    </row>
    <row r="9643" spans="1:1" x14ac:dyDescent="0.2">
      <c r="A9643" s="52"/>
    </row>
    <row r="9644" spans="1:1" x14ac:dyDescent="0.2">
      <c r="A9644" s="52"/>
    </row>
    <row r="9645" spans="1:1" x14ac:dyDescent="0.2">
      <c r="A9645" s="52"/>
    </row>
    <row r="9646" spans="1:1" x14ac:dyDescent="0.2">
      <c r="A9646" s="52"/>
    </row>
    <row r="9647" spans="1:1" x14ac:dyDescent="0.2">
      <c r="A9647" s="52"/>
    </row>
    <row r="9648" spans="1:1" x14ac:dyDescent="0.2">
      <c r="A9648" s="52"/>
    </row>
    <row r="9649" spans="1:1" x14ac:dyDescent="0.2">
      <c r="A9649" s="52"/>
    </row>
    <row r="9650" spans="1:1" x14ac:dyDescent="0.2">
      <c r="A9650" s="52"/>
    </row>
    <row r="9651" spans="1:1" x14ac:dyDescent="0.2">
      <c r="A9651" s="52"/>
    </row>
    <row r="9652" spans="1:1" x14ac:dyDescent="0.2">
      <c r="A9652" s="52"/>
    </row>
    <row r="9653" spans="1:1" x14ac:dyDescent="0.2">
      <c r="A9653" s="52"/>
    </row>
    <row r="9654" spans="1:1" x14ac:dyDescent="0.2">
      <c r="A9654" s="52"/>
    </row>
    <row r="9655" spans="1:1" x14ac:dyDescent="0.2">
      <c r="A9655" s="52"/>
    </row>
    <row r="9656" spans="1:1" x14ac:dyDescent="0.2">
      <c r="A9656" s="52"/>
    </row>
    <row r="9657" spans="1:1" x14ac:dyDescent="0.2">
      <c r="A9657" s="52"/>
    </row>
    <row r="9658" spans="1:1" x14ac:dyDescent="0.2">
      <c r="A9658" s="52"/>
    </row>
    <row r="9659" spans="1:1" x14ac:dyDescent="0.2">
      <c r="A9659" s="52"/>
    </row>
    <row r="9660" spans="1:1" x14ac:dyDescent="0.2">
      <c r="A9660" s="52"/>
    </row>
    <row r="9661" spans="1:1" x14ac:dyDescent="0.2">
      <c r="A9661" s="52"/>
    </row>
    <row r="9662" spans="1:1" x14ac:dyDescent="0.2">
      <c r="A9662" s="52"/>
    </row>
    <row r="9663" spans="1:1" x14ac:dyDescent="0.2">
      <c r="A9663" s="52"/>
    </row>
    <row r="9664" spans="1:1" x14ac:dyDescent="0.2">
      <c r="A9664" s="52"/>
    </row>
    <row r="9665" spans="1:1" x14ac:dyDescent="0.2">
      <c r="A9665" s="53"/>
    </row>
    <row r="9666" spans="1:1" x14ac:dyDescent="0.2">
      <c r="A9666" s="52"/>
    </row>
    <row r="9667" spans="1:1" x14ac:dyDescent="0.2">
      <c r="A9667" s="52"/>
    </row>
    <row r="9668" spans="1:1" x14ac:dyDescent="0.2">
      <c r="A9668" s="52"/>
    </row>
    <row r="9669" spans="1:1" x14ac:dyDescent="0.2">
      <c r="A9669" s="52"/>
    </row>
    <row r="9670" spans="1:1" x14ac:dyDescent="0.2">
      <c r="A9670" s="52"/>
    </row>
    <row r="9671" spans="1:1" x14ac:dyDescent="0.2">
      <c r="A9671" s="52"/>
    </row>
    <row r="9672" spans="1:1" x14ac:dyDescent="0.2">
      <c r="A9672" s="53"/>
    </row>
    <row r="9673" spans="1:1" x14ac:dyDescent="0.2">
      <c r="A9673" s="52"/>
    </row>
    <row r="9674" spans="1:1" x14ac:dyDescent="0.2">
      <c r="A9674" s="52"/>
    </row>
    <row r="9675" spans="1:1" x14ac:dyDescent="0.2">
      <c r="A9675" s="52"/>
    </row>
    <row r="9676" spans="1:1" x14ac:dyDescent="0.2">
      <c r="A9676" s="52"/>
    </row>
    <row r="9677" spans="1:1" x14ac:dyDescent="0.2">
      <c r="A9677" s="52"/>
    </row>
    <row r="9678" spans="1:1" x14ac:dyDescent="0.2">
      <c r="A9678" s="52"/>
    </row>
    <row r="9679" spans="1:1" x14ac:dyDescent="0.2">
      <c r="A9679" s="52"/>
    </row>
    <row r="9680" spans="1:1" x14ac:dyDescent="0.2">
      <c r="A9680" s="52"/>
    </row>
    <row r="9681" spans="1:1" x14ac:dyDescent="0.2">
      <c r="A9681" s="52"/>
    </row>
    <row r="9682" spans="1:1" x14ac:dyDescent="0.2">
      <c r="A9682" s="52"/>
    </row>
    <row r="9683" spans="1:1" x14ac:dyDescent="0.2">
      <c r="A9683" s="52"/>
    </row>
    <row r="9684" spans="1:1" x14ac:dyDescent="0.2">
      <c r="A9684" s="52"/>
    </row>
    <row r="9685" spans="1:1" x14ac:dyDescent="0.2">
      <c r="A9685" s="52"/>
    </row>
    <row r="9686" spans="1:1" x14ac:dyDescent="0.2">
      <c r="A9686" s="52"/>
    </row>
    <row r="9687" spans="1:1" x14ac:dyDescent="0.2">
      <c r="A9687" s="52"/>
    </row>
    <row r="9688" spans="1:1" x14ac:dyDescent="0.2">
      <c r="A9688" s="52"/>
    </row>
    <row r="9689" spans="1:1" x14ac:dyDescent="0.2">
      <c r="A9689" s="52"/>
    </row>
    <row r="9690" spans="1:1" x14ac:dyDescent="0.2">
      <c r="A9690" s="52"/>
    </row>
    <row r="9691" spans="1:1" x14ac:dyDescent="0.2">
      <c r="A9691" s="52"/>
    </row>
    <row r="9692" spans="1:1" x14ac:dyDescent="0.2">
      <c r="A9692" s="52"/>
    </row>
    <row r="9693" spans="1:1" x14ac:dyDescent="0.2">
      <c r="A9693" s="52"/>
    </row>
    <row r="9694" spans="1:1" x14ac:dyDescent="0.2">
      <c r="A9694" s="52"/>
    </row>
    <row r="9695" spans="1:1" x14ac:dyDescent="0.2">
      <c r="A9695" s="52"/>
    </row>
    <row r="9696" spans="1:1" x14ac:dyDescent="0.2">
      <c r="A9696" s="52"/>
    </row>
    <row r="9697" spans="1:1" x14ac:dyDescent="0.2">
      <c r="A9697" s="52"/>
    </row>
    <row r="9698" spans="1:1" x14ac:dyDescent="0.2">
      <c r="A9698" s="52"/>
    </row>
    <row r="9699" spans="1:1" x14ac:dyDescent="0.2">
      <c r="A9699" s="52"/>
    </row>
    <row r="9700" spans="1:1" x14ac:dyDescent="0.2">
      <c r="A9700" s="52"/>
    </row>
    <row r="9701" spans="1:1" x14ac:dyDescent="0.2">
      <c r="A9701" s="52"/>
    </row>
    <row r="9702" spans="1:1" x14ac:dyDescent="0.2">
      <c r="A9702" s="52"/>
    </row>
    <row r="9703" spans="1:1" x14ac:dyDescent="0.2">
      <c r="A9703" s="52"/>
    </row>
    <row r="9704" spans="1:1" x14ac:dyDescent="0.2">
      <c r="A9704" s="52"/>
    </row>
    <row r="9705" spans="1:1" x14ac:dyDescent="0.2">
      <c r="A9705" s="52"/>
    </row>
    <row r="9706" spans="1:1" x14ac:dyDescent="0.2">
      <c r="A9706" s="52"/>
    </row>
    <row r="9707" spans="1:1" x14ac:dyDescent="0.2">
      <c r="A9707" s="53"/>
    </row>
    <row r="9708" spans="1:1" x14ac:dyDescent="0.2">
      <c r="A9708" s="52"/>
    </row>
    <row r="9709" spans="1:1" x14ac:dyDescent="0.2">
      <c r="A9709" s="53"/>
    </row>
    <row r="9710" spans="1:1" x14ac:dyDescent="0.2">
      <c r="A9710" s="52"/>
    </row>
    <row r="9711" spans="1:1" x14ac:dyDescent="0.2">
      <c r="A9711" s="52"/>
    </row>
    <row r="9712" spans="1:1" x14ac:dyDescent="0.2">
      <c r="A9712" s="52"/>
    </row>
    <row r="9713" spans="1:1" x14ac:dyDescent="0.2">
      <c r="A9713" s="53"/>
    </row>
    <row r="9714" spans="1:1" x14ac:dyDescent="0.2">
      <c r="A9714" s="53"/>
    </row>
    <row r="9715" spans="1:1" x14ac:dyDescent="0.2">
      <c r="A9715" s="52"/>
    </row>
    <row r="9716" spans="1:1" x14ac:dyDescent="0.2">
      <c r="A9716" s="52"/>
    </row>
    <row r="9717" spans="1:1" x14ac:dyDescent="0.2">
      <c r="A9717" s="52"/>
    </row>
    <row r="9718" spans="1:1" x14ac:dyDescent="0.2">
      <c r="A9718" s="52"/>
    </row>
    <row r="9719" spans="1:1" x14ac:dyDescent="0.2">
      <c r="A9719" s="52"/>
    </row>
    <row r="9720" spans="1:1" x14ac:dyDescent="0.2">
      <c r="A9720" s="52"/>
    </row>
    <row r="9721" spans="1:1" x14ac:dyDescent="0.2">
      <c r="A9721" s="52"/>
    </row>
    <row r="9722" spans="1:1" x14ac:dyDescent="0.2">
      <c r="A9722" s="52"/>
    </row>
    <row r="9723" spans="1:1" x14ac:dyDescent="0.2">
      <c r="A9723" s="52"/>
    </row>
    <row r="9724" spans="1:1" x14ac:dyDescent="0.2">
      <c r="A9724" s="52"/>
    </row>
    <row r="9725" spans="1:1" x14ac:dyDescent="0.2">
      <c r="A9725" s="52"/>
    </row>
    <row r="9726" spans="1:1" x14ac:dyDescent="0.2">
      <c r="A9726" s="52"/>
    </row>
    <row r="9727" spans="1:1" x14ac:dyDescent="0.2">
      <c r="A9727" s="52"/>
    </row>
    <row r="9728" spans="1:1" x14ac:dyDescent="0.2">
      <c r="A9728" s="52"/>
    </row>
    <row r="9729" spans="1:1" x14ac:dyDescent="0.2">
      <c r="A9729" s="52"/>
    </row>
    <row r="9730" spans="1:1" x14ac:dyDescent="0.2">
      <c r="A9730" s="52"/>
    </row>
    <row r="9731" spans="1:1" x14ac:dyDescent="0.2">
      <c r="A9731" s="52"/>
    </row>
    <row r="9732" spans="1:1" x14ac:dyDescent="0.2">
      <c r="A9732" s="52"/>
    </row>
    <row r="9733" spans="1:1" x14ac:dyDescent="0.2">
      <c r="A9733" s="52"/>
    </row>
    <row r="9734" spans="1:1" x14ac:dyDescent="0.2">
      <c r="A9734" s="52"/>
    </row>
    <row r="9735" spans="1:1" x14ac:dyDescent="0.2">
      <c r="A9735" s="53"/>
    </row>
    <row r="9736" spans="1:1" x14ac:dyDescent="0.2">
      <c r="A9736" s="52"/>
    </row>
    <row r="9737" spans="1:1" x14ac:dyDescent="0.2">
      <c r="A9737" s="53"/>
    </row>
    <row r="9738" spans="1:1" x14ac:dyDescent="0.2">
      <c r="A9738" s="53"/>
    </row>
    <row r="9739" spans="1:1" x14ac:dyDescent="0.2">
      <c r="A9739" s="52"/>
    </row>
    <row r="9740" spans="1:1" x14ac:dyDescent="0.2">
      <c r="A9740" s="52"/>
    </row>
    <row r="9741" spans="1:1" x14ac:dyDescent="0.2">
      <c r="A9741" s="52"/>
    </row>
    <row r="9742" spans="1:1" x14ac:dyDescent="0.2">
      <c r="A9742" s="52"/>
    </row>
    <row r="9743" spans="1:1" x14ac:dyDescent="0.2">
      <c r="A9743" s="52"/>
    </row>
    <row r="9744" spans="1:1" x14ac:dyDescent="0.2">
      <c r="A9744" s="52"/>
    </row>
    <row r="9745" spans="1:1" x14ac:dyDescent="0.2">
      <c r="A9745" s="52"/>
    </row>
    <row r="9746" spans="1:1" x14ac:dyDescent="0.2">
      <c r="A9746" s="52"/>
    </row>
    <row r="9747" spans="1:1" x14ac:dyDescent="0.2">
      <c r="A9747" s="52"/>
    </row>
    <row r="9748" spans="1:1" x14ac:dyDescent="0.2">
      <c r="A9748" s="52"/>
    </row>
    <row r="9749" spans="1:1" x14ac:dyDescent="0.2">
      <c r="A9749" s="52"/>
    </row>
    <row r="9750" spans="1:1" x14ac:dyDescent="0.2">
      <c r="A9750" s="52"/>
    </row>
    <row r="9751" spans="1:1" x14ac:dyDescent="0.2">
      <c r="A9751" s="52"/>
    </row>
    <row r="9752" spans="1:1" x14ac:dyDescent="0.2">
      <c r="A9752" s="52"/>
    </row>
    <row r="9753" spans="1:1" x14ac:dyDescent="0.2">
      <c r="A9753" s="53"/>
    </row>
    <row r="9754" spans="1:1" x14ac:dyDescent="0.2">
      <c r="A9754" s="53"/>
    </row>
    <row r="9755" spans="1:1" x14ac:dyDescent="0.2">
      <c r="A9755" s="52"/>
    </row>
    <row r="9756" spans="1:1" x14ac:dyDescent="0.2">
      <c r="A9756" s="53"/>
    </row>
    <row r="9757" spans="1:1" x14ac:dyDescent="0.2">
      <c r="A9757" s="52"/>
    </row>
    <row r="9758" spans="1:1" x14ac:dyDescent="0.2">
      <c r="A9758" s="52"/>
    </row>
    <row r="9759" spans="1:1" x14ac:dyDescent="0.2">
      <c r="A9759" s="52"/>
    </row>
    <row r="9760" spans="1:1" x14ac:dyDescent="0.2">
      <c r="A9760" s="52"/>
    </row>
    <row r="9761" spans="1:1" x14ac:dyDescent="0.2">
      <c r="A9761" s="52"/>
    </row>
    <row r="9762" spans="1:1" x14ac:dyDescent="0.2">
      <c r="A9762" s="52"/>
    </row>
    <row r="9763" spans="1:1" x14ac:dyDescent="0.2">
      <c r="A9763" s="52"/>
    </row>
    <row r="9764" spans="1:1" x14ac:dyDescent="0.2">
      <c r="A9764" s="52"/>
    </row>
    <row r="9765" spans="1:1" x14ac:dyDescent="0.2">
      <c r="A9765" s="52"/>
    </row>
    <row r="9766" spans="1:1" x14ac:dyDescent="0.2">
      <c r="A9766" s="52"/>
    </row>
    <row r="9767" spans="1:1" x14ac:dyDescent="0.2">
      <c r="A9767" s="52"/>
    </row>
    <row r="9768" spans="1:1" x14ac:dyDescent="0.2">
      <c r="A9768" s="52"/>
    </row>
    <row r="9769" spans="1:1" x14ac:dyDescent="0.2">
      <c r="A9769" s="53"/>
    </row>
    <row r="9770" spans="1:1" x14ac:dyDescent="0.2">
      <c r="A9770" s="52"/>
    </row>
    <row r="9771" spans="1:1" x14ac:dyDescent="0.2">
      <c r="A9771" s="52"/>
    </row>
    <row r="9772" spans="1:1" x14ac:dyDescent="0.2">
      <c r="A9772" s="52"/>
    </row>
    <row r="9773" spans="1:1" x14ac:dyDescent="0.2">
      <c r="A9773" s="52"/>
    </row>
    <row r="9774" spans="1:1" x14ac:dyDescent="0.2">
      <c r="A9774" s="52"/>
    </row>
    <row r="9775" spans="1:1" x14ac:dyDescent="0.2">
      <c r="A9775" s="52"/>
    </row>
    <row r="9776" spans="1:1" x14ac:dyDescent="0.2">
      <c r="A9776" s="52"/>
    </row>
    <row r="9777" spans="1:1" x14ac:dyDescent="0.2">
      <c r="A9777" s="52"/>
    </row>
    <row r="9778" spans="1:1" x14ac:dyDescent="0.2">
      <c r="A9778" s="52"/>
    </row>
    <row r="9779" spans="1:1" x14ac:dyDescent="0.2">
      <c r="A9779" s="52"/>
    </row>
    <row r="9780" spans="1:1" x14ac:dyDescent="0.2">
      <c r="A9780" s="52"/>
    </row>
    <row r="9781" spans="1:1" x14ac:dyDescent="0.2">
      <c r="A9781" s="52"/>
    </row>
    <row r="9782" spans="1:1" x14ac:dyDescent="0.2">
      <c r="A9782" s="52"/>
    </row>
    <row r="9783" spans="1:1" x14ac:dyDescent="0.2">
      <c r="A9783" s="52"/>
    </row>
    <row r="9784" spans="1:1" x14ac:dyDescent="0.2">
      <c r="A9784" s="52"/>
    </row>
    <row r="9785" spans="1:1" x14ac:dyDescent="0.2">
      <c r="A9785" s="52"/>
    </row>
    <row r="9786" spans="1:1" x14ac:dyDescent="0.2">
      <c r="A9786" s="52"/>
    </row>
    <row r="9787" spans="1:1" x14ac:dyDescent="0.2">
      <c r="A9787" s="52"/>
    </row>
    <row r="9788" spans="1:1" x14ac:dyDescent="0.2">
      <c r="A9788" s="52"/>
    </row>
    <row r="9789" spans="1:1" x14ac:dyDescent="0.2">
      <c r="A9789" s="52"/>
    </row>
    <row r="9790" spans="1:1" x14ac:dyDescent="0.2">
      <c r="A9790" s="52"/>
    </row>
    <row r="9791" spans="1:1" x14ac:dyDescent="0.2">
      <c r="A9791" s="52"/>
    </row>
    <row r="9792" spans="1:1" x14ac:dyDescent="0.2">
      <c r="A9792" s="52"/>
    </row>
    <row r="9793" spans="1:1" x14ac:dyDescent="0.2">
      <c r="A9793" s="52"/>
    </row>
    <row r="9794" spans="1:1" x14ac:dyDescent="0.2">
      <c r="A9794" s="52"/>
    </row>
    <row r="9795" spans="1:1" x14ac:dyDescent="0.2">
      <c r="A9795" s="52"/>
    </row>
    <row r="9796" spans="1:1" x14ac:dyDescent="0.2">
      <c r="A9796" s="52"/>
    </row>
    <row r="9797" spans="1:1" x14ac:dyDescent="0.2">
      <c r="A9797" s="52"/>
    </row>
    <row r="9798" spans="1:1" x14ac:dyDescent="0.2">
      <c r="A9798" s="52"/>
    </row>
    <row r="9799" spans="1:1" x14ac:dyDescent="0.2">
      <c r="A9799" s="52"/>
    </row>
    <row r="9800" spans="1:1" x14ac:dyDescent="0.2">
      <c r="A9800" s="52"/>
    </row>
    <row r="9801" spans="1:1" x14ac:dyDescent="0.2">
      <c r="A9801" s="52"/>
    </row>
    <row r="9802" spans="1:1" x14ac:dyDescent="0.2">
      <c r="A9802" s="52"/>
    </row>
    <row r="9803" spans="1:1" x14ac:dyDescent="0.2">
      <c r="A9803" s="52"/>
    </row>
    <row r="9804" spans="1:1" x14ac:dyDescent="0.2">
      <c r="A9804" s="52"/>
    </row>
    <row r="9805" spans="1:1" x14ac:dyDescent="0.2">
      <c r="A9805" s="52"/>
    </row>
    <row r="9806" spans="1:1" x14ac:dyDescent="0.2">
      <c r="A9806" s="52"/>
    </row>
    <row r="9807" spans="1:1" x14ac:dyDescent="0.2">
      <c r="A9807" s="52"/>
    </row>
    <row r="9808" spans="1:1" x14ac:dyDescent="0.2">
      <c r="A9808" s="52"/>
    </row>
    <row r="9809" spans="1:1" x14ac:dyDescent="0.2">
      <c r="A9809" s="52"/>
    </row>
    <row r="9810" spans="1:1" x14ac:dyDescent="0.2">
      <c r="A9810" s="52"/>
    </row>
    <row r="9811" spans="1:1" x14ac:dyDescent="0.2">
      <c r="A9811" s="52"/>
    </row>
    <row r="9812" spans="1:1" x14ac:dyDescent="0.2">
      <c r="A9812" s="52"/>
    </row>
    <row r="9813" spans="1:1" x14ac:dyDescent="0.2">
      <c r="A9813" s="52"/>
    </row>
    <row r="9814" spans="1:1" x14ac:dyDescent="0.2">
      <c r="A9814" s="52"/>
    </row>
    <row r="9815" spans="1:1" x14ac:dyDescent="0.2">
      <c r="A9815" s="52"/>
    </row>
    <row r="9816" spans="1:1" x14ac:dyDescent="0.2">
      <c r="A9816" s="52"/>
    </row>
    <row r="9817" spans="1:1" x14ac:dyDescent="0.2">
      <c r="A9817" s="52"/>
    </row>
    <row r="9818" spans="1:1" x14ac:dyDescent="0.2">
      <c r="A9818" s="53"/>
    </row>
    <row r="9819" spans="1:1" x14ac:dyDescent="0.2">
      <c r="A9819" s="52"/>
    </row>
    <row r="9820" spans="1:1" x14ac:dyDescent="0.2">
      <c r="A9820" s="53"/>
    </row>
    <row r="9821" spans="1:1" x14ac:dyDescent="0.2">
      <c r="A9821" s="53"/>
    </row>
    <row r="9822" spans="1:1" x14ac:dyDescent="0.2">
      <c r="A9822" s="52"/>
    </row>
    <row r="9823" spans="1:1" x14ac:dyDescent="0.2">
      <c r="A9823" s="52"/>
    </row>
    <row r="9824" spans="1:1" x14ac:dyDescent="0.2">
      <c r="A9824" s="52"/>
    </row>
    <row r="9825" spans="1:1" x14ac:dyDescent="0.2">
      <c r="A9825" s="53"/>
    </row>
    <row r="9826" spans="1:1" x14ac:dyDescent="0.2">
      <c r="A9826" s="52"/>
    </row>
    <row r="9827" spans="1:1" x14ac:dyDescent="0.2">
      <c r="A9827" s="52"/>
    </row>
    <row r="9828" spans="1:1" x14ac:dyDescent="0.2">
      <c r="A9828" s="52"/>
    </row>
    <row r="9829" spans="1:1" x14ac:dyDescent="0.2">
      <c r="A9829" s="52"/>
    </row>
    <row r="9830" spans="1:1" x14ac:dyDescent="0.2">
      <c r="A9830" s="53"/>
    </row>
    <row r="9831" spans="1:1" x14ac:dyDescent="0.2">
      <c r="A9831" s="52"/>
    </row>
    <row r="9832" spans="1:1" x14ac:dyDescent="0.2">
      <c r="A9832" s="53"/>
    </row>
    <row r="9833" spans="1:1" x14ac:dyDescent="0.2">
      <c r="A9833" s="53"/>
    </row>
    <row r="9834" spans="1:1" x14ac:dyDescent="0.2">
      <c r="A9834" s="52"/>
    </row>
    <row r="9835" spans="1:1" x14ac:dyDescent="0.2">
      <c r="A9835" s="52"/>
    </row>
    <row r="9836" spans="1:1" x14ac:dyDescent="0.2">
      <c r="A9836" s="52"/>
    </row>
    <row r="9837" spans="1:1" x14ac:dyDescent="0.2">
      <c r="A9837" s="53"/>
    </row>
    <row r="9838" spans="1:1" x14ac:dyDescent="0.2">
      <c r="A9838" s="52"/>
    </row>
    <row r="9839" spans="1:1" x14ac:dyDescent="0.2">
      <c r="A9839" s="52"/>
    </row>
    <row r="9840" spans="1:1" x14ac:dyDescent="0.2">
      <c r="A9840" s="52"/>
    </row>
    <row r="9841" spans="1:1" x14ac:dyDescent="0.2">
      <c r="A9841" s="53"/>
    </row>
    <row r="9842" spans="1:1" x14ac:dyDescent="0.2">
      <c r="A9842" s="52"/>
    </row>
    <row r="9843" spans="1:1" x14ac:dyDescent="0.2">
      <c r="A9843" s="52"/>
    </row>
    <row r="9844" spans="1:1" x14ac:dyDescent="0.2">
      <c r="A9844" s="53"/>
    </row>
    <row r="9845" spans="1:1" x14ac:dyDescent="0.2">
      <c r="A9845" s="52"/>
    </row>
    <row r="9846" spans="1:1" x14ac:dyDescent="0.2">
      <c r="A9846" s="52"/>
    </row>
    <row r="9847" spans="1:1" x14ac:dyDescent="0.2">
      <c r="A9847" s="52"/>
    </row>
    <row r="9848" spans="1:1" x14ac:dyDescent="0.2">
      <c r="A9848" s="52"/>
    </row>
    <row r="9849" spans="1:1" x14ac:dyDescent="0.2">
      <c r="A9849" s="52"/>
    </row>
    <row r="9850" spans="1:1" x14ac:dyDescent="0.2">
      <c r="A9850" s="52"/>
    </row>
    <row r="9851" spans="1:1" x14ac:dyDescent="0.2">
      <c r="A9851" s="52"/>
    </row>
    <row r="9852" spans="1:1" x14ac:dyDescent="0.2">
      <c r="A9852" s="52"/>
    </row>
    <row r="9853" spans="1:1" x14ac:dyDescent="0.2">
      <c r="A9853" s="52"/>
    </row>
    <row r="9854" spans="1:1" x14ac:dyDescent="0.2">
      <c r="A9854" s="52"/>
    </row>
    <row r="9855" spans="1:1" x14ac:dyDescent="0.2">
      <c r="A9855" s="52"/>
    </row>
    <row r="9856" spans="1:1" x14ac:dyDescent="0.2">
      <c r="A9856" s="52"/>
    </row>
    <row r="9857" spans="1:1" x14ac:dyDescent="0.2">
      <c r="A9857" s="52"/>
    </row>
    <row r="9858" spans="1:1" x14ac:dyDescent="0.2">
      <c r="A9858" s="52"/>
    </row>
    <row r="9859" spans="1:1" x14ac:dyDescent="0.2">
      <c r="A9859" s="52"/>
    </row>
    <row r="9860" spans="1:1" x14ac:dyDescent="0.2">
      <c r="A9860" s="52"/>
    </row>
    <row r="9861" spans="1:1" x14ac:dyDescent="0.2">
      <c r="A9861" s="52"/>
    </row>
    <row r="9862" spans="1:1" x14ac:dyDescent="0.2">
      <c r="A9862" s="52"/>
    </row>
    <row r="9863" spans="1:1" x14ac:dyDescent="0.2">
      <c r="A9863" s="52"/>
    </row>
    <row r="9864" spans="1:1" x14ac:dyDescent="0.2">
      <c r="A9864" s="52"/>
    </row>
    <row r="9865" spans="1:1" x14ac:dyDescent="0.2">
      <c r="A9865" s="52"/>
    </row>
    <row r="9866" spans="1:1" x14ac:dyDescent="0.2">
      <c r="A9866" s="52"/>
    </row>
    <row r="9867" spans="1:1" x14ac:dyDescent="0.2">
      <c r="A9867" s="52"/>
    </row>
    <row r="9868" spans="1:1" x14ac:dyDescent="0.2">
      <c r="A9868" s="52"/>
    </row>
    <row r="9869" spans="1:1" x14ac:dyDescent="0.2">
      <c r="A9869" s="52"/>
    </row>
    <row r="9870" spans="1:1" x14ac:dyDescent="0.2">
      <c r="A9870" s="53"/>
    </row>
    <row r="9871" spans="1:1" x14ac:dyDescent="0.2">
      <c r="A9871" s="52"/>
    </row>
    <row r="9872" spans="1:1" x14ac:dyDescent="0.2">
      <c r="A9872" s="52"/>
    </row>
    <row r="9873" spans="1:1" x14ac:dyDescent="0.2">
      <c r="A9873" s="52"/>
    </row>
    <row r="9874" spans="1:1" x14ac:dyDescent="0.2">
      <c r="A9874" s="52"/>
    </row>
    <row r="9875" spans="1:1" x14ac:dyDescent="0.2">
      <c r="A9875" s="52"/>
    </row>
    <row r="9876" spans="1:1" x14ac:dyDescent="0.2">
      <c r="A9876" s="52"/>
    </row>
    <row r="9877" spans="1:1" x14ac:dyDescent="0.2">
      <c r="A9877" s="52"/>
    </row>
    <row r="9878" spans="1:1" x14ac:dyDescent="0.2">
      <c r="A9878" s="52"/>
    </row>
    <row r="9879" spans="1:1" x14ac:dyDescent="0.2">
      <c r="A9879" s="52"/>
    </row>
    <row r="9880" spans="1:1" x14ac:dyDescent="0.2">
      <c r="A9880" s="52"/>
    </row>
    <row r="9881" spans="1:1" x14ac:dyDescent="0.2">
      <c r="A9881" s="52"/>
    </row>
    <row r="9882" spans="1:1" x14ac:dyDescent="0.2">
      <c r="A9882" s="53"/>
    </row>
    <row r="9883" spans="1:1" x14ac:dyDescent="0.2">
      <c r="A9883" s="52"/>
    </row>
    <row r="9884" spans="1:1" x14ac:dyDescent="0.2">
      <c r="A9884" s="52"/>
    </row>
    <row r="9885" spans="1:1" x14ac:dyDescent="0.2">
      <c r="A9885" s="52"/>
    </row>
    <row r="9886" spans="1:1" x14ac:dyDescent="0.2">
      <c r="A9886" s="52"/>
    </row>
    <row r="9887" spans="1:1" x14ac:dyDescent="0.2">
      <c r="A9887" s="52"/>
    </row>
    <row r="9888" spans="1:1" x14ac:dyDescent="0.2">
      <c r="A9888" s="52"/>
    </row>
    <row r="9889" spans="1:1" x14ac:dyDescent="0.2">
      <c r="A9889" s="52"/>
    </row>
    <row r="9890" spans="1:1" x14ac:dyDescent="0.2">
      <c r="A9890" s="52"/>
    </row>
    <row r="9891" spans="1:1" x14ac:dyDescent="0.2">
      <c r="A9891" s="52"/>
    </row>
    <row r="9892" spans="1:1" x14ac:dyDescent="0.2">
      <c r="A9892" s="52"/>
    </row>
    <row r="9893" spans="1:1" x14ac:dyDescent="0.2">
      <c r="A9893" s="52"/>
    </row>
    <row r="9894" spans="1:1" x14ac:dyDescent="0.2">
      <c r="A9894" s="52"/>
    </row>
    <row r="9895" spans="1:1" x14ac:dyDescent="0.2">
      <c r="A9895" s="52"/>
    </row>
    <row r="9896" spans="1:1" x14ac:dyDescent="0.2">
      <c r="A9896" s="52"/>
    </row>
    <row r="9897" spans="1:1" x14ac:dyDescent="0.2">
      <c r="A9897" s="52"/>
    </row>
    <row r="9898" spans="1:1" x14ac:dyDescent="0.2">
      <c r="A9898" s="52"/>
    </row>
    <row r="9899" spans="1:1" x14ac:dyDescent="0.2">
      <c r="A9899" s="52"/>
    </row>
    <row r="9900" spans="1:1" x14ac:dyDescent="0.2">
      <c r="A9900" s="52"/>
    </row>
    <row r="9901" spans="1:1" x14ac:dyDescent="0.2">
      <c r="A9901" s="52"/>
    </row>
    <row r="9902" spans="1:1" x14ac:dyDescent="0.2">
      <c r="A9902" s="52"/>
    </row>
    <row r="9903" spans="1:1" x14ac:dyDescent="0.2">
      <c r="A9903" s="52"/>
    </row>
    <row r="9904" spans="1:1" x14ac:dyDescent="0.2">
      <c r="A9904" s="52"/>
    </row>
    <row r="9905" spans="1:1" x14ac:dyDescent="0.2">
      <c r="A9905" s="52"/>
    </row>
    <row r="9906" spans="1:1" x14ac:dyDescent="0.2">
      <c r="A9906" s="52"/>
    </row>
    <row r="9907" spans="1:1" x14ac:dyDescent="0.2">
      <c r="A9907" s="52"/>
    </row>
    <row r="9908" spans="1:1" x14ac:dyDescent="0.2">
      <c r="A9908" s="52"/>
    </row>
    <row r="9909" spans="1:1" x14ac:dyDescent="0.2">
      <c r="A9909" s="52"/>
    </row>
    <row r="9910" spans="1:1" x14ac:dyDescent="0.2">
      <c r="A9910" s="52"/>
    </row>
    <row r="9911" spans="1:1" x14ac:dyDescent="0.2">
      <c r="A9911" s="52"/>
    </row>
    <row r="9912" spans="1:1" x14ac:dyDescent="0.2">
      <c r="A9912" s="52"/>
    </row>
    <row r="9913" spans="1:1" x14ac:dyDescent="0.2">
      <c r="A9913" s="52"/>
    </row>
    <row r="9914" spans="1:1" x14ac:dyDescent="0.2">
      <c r="A9914" s="52"/>
    </row>
    <row r="9915" spans="1:1" x14ac:dyDescent="0.2">
      <c r="A9915" s="52"/>
    </row>
    <row r="9916" spans="1:1" x14ac:dyDescent="0.2">
      <c r="A9916" s="52"/>
    </row>
    <row r="9917" spans="1:1" x14ac:dyDescent="0.2">
      <c r="A9917" s="52"/>
    </row>
    <row r="9918" spans="1:1" x14ac:dyDescent="0.2">
      <c r="A9918" s="52"/>
    </row>
    <row r="9919" spans="1:1" x14ac:dyDescent="0.2">
      <c r="A9919" s="52"/>
    </row>
    <row r="9920" spans="1:1" x14ac:dyDescent="0.2">
      <c r="A9920" s="52"/>
    </row>
    <row r="9921" spans="1:1" x14ac:dyDescent="0.2">
      <c r="A9921" s="52"/>
    </row>
    <row r="9922" spans="1:1" x14ac:dyDescent="0.2">
      <c r="A9922" s="52"/>
    </row>
    <row r="9923" spans="1:1" x14ac:dyDescent="0.2">
      <c r="A9923" s="52"/>
    </row>
    <row r="9924" spans="1:1" x14ac:dyDescent="0.2">
      <c r="A9924" s="52"/>
    </row>
    <row r="9925" spans="1:1" x14ac:dyDescent="0.2">
      <c r="A9925" s="52"/>
    </row>
    <row r="9926" spans="1:1" x14ac:dyDescent="0.2">
      <c r="A9926" s="52"/>
    </row>
    <row r="9927" spans="1:1" x14ac:dyDescent="0.2">
      <c r="A9927" s="52"/>
    </row>
    <row r="9928" spans="1:1" x14ac:dyDescent="0.2">
      <c r="A9928" s="52"/>
    </row>
    <row r="9929" spans="1:1" x14ac:dyDescent="0.2">
      <c r="A9929" s="52"/>
    </row>
    <row r="9930" spans="1:1" x14ac:dyDescent="0.2">
      <c r="A9930" s="52"/>
    </row>
    <row r="9931" spans="1:1" x14ac:dyDescent="0.2">
      <c r="A9931" s="52"/>
    </row>
    <row r="9932" spans="1:1" x14ac:dyDescent="0.2">
      <c r="A9932" s="52"/>
    </row>
    <row r="9933" spans="1:1" x14ac:dyDescent="0.2">
      <c r="A9933" s="52"/>
    </row>
    <row r="9934" spans="1:1" x14ac:dyDescent="0.2">
      <c r="A9934" s="52"/>
    </row>
    <row r="9935" spans="1:1" x14ac:dyDescent="0.2">
      <c r="A9935" s="52"/>
    </row>
    <row r="9936" spans="1:1" x14ac:dyDescent="0.2">
      <c r="A9936" s="52"/>
    </row>
    <row r="9937" spans="1:1" x14ac:dyDescent="0.2">
      <c r="A9937" s="52"/>
    </row>
    <row r="9938" spans="1:1" x14ac:dyDescent="0.2">
      <c r="A9938" s="52"/>
    </row>
    <row r="9939" spans="1:1" x14ac:dyDescent="0.2">
      <c r="A9939" s="52"/>
    </row>
    <row r="9940" spans="1:1" x14ac:dyDescent="0.2">
      <c r="A9940" s="52"/>
    </row>
    <row r="9941" spans="1:1" x14ac:dyDescent="0.2">
      <c r="A9941" s="52"/>
    </row>
    <row r="9942" spans="1:1" x14ac:dyDescent="0.2">
      <c r="A9942" s="52"/>
    </row>
    <row r="9943" spans="1:1" x14ac:dyDescent="0.2">
      <c r="A9943" s="52"/>
    </row>
    <row r="9944" spans="1:1" x14ac:dyDescent="0.2">
      <c r="A9944" s="52"/>
    </row>
    <row r="9945" spans="1:1" x14ac:dyDescent="0.2">
      <c r="A9945" s="52"/>
    </row>
    <row r="9946" spans="1:1" x14ac:dyDescent="0.2">
      <c r="A9946" s="52"/>
    </row>
    <row r="9947" spans="1:1" x14ac:dyDescent="0.2">
      <c r="A9947" s="52"/>
    </row>
    <row r="9948" spans="1:1" x14ac:dyDescent="0.2">
      <c r="A9948" s="52"/>
    </row>
    <row r="9949" spans="1:1" x14ac:dyDescent="0.2">
      <c r="A9949" s="52"/>
    </row>
    <row r="9950" spans="1:1" x14ac:dyDescent="0.2">
      <c r="A9950" s="52"/>
    </row>
    <row r="9951" spans="1:1" x14ac:dyDescent="0.2">
      <c r="A9951" s="53"/>
    </row>
    <row r="9952" spans="1:1" x14ac:dyDescent="0.2">
      <c r="A9952" s="52"/>
    </row>
    <row r="9953" spans="1:1" x14ac:dyDescent="0.2">
      <c r="A9953" s="52"/>
    </row>
    <row r="9954" spans="1:1" x14ac:dyDescent="0.2">
      <c r="A9954" s="52"/>
    </row>
    <row r="9955" spans="1:1" x14ac:dyDescent="0.2">
      <c r="A9955" s="52"/>
    </row>
    <row r="9956" spans="1:1" x14ac:dyDescent="0.2">
      <c r="A9956" s="52"/>
    </row>
    <row r="9957" spans="1:1" x14ac:dyDescent="0.2">
      <c r="A9957" s="52"/>
    </row>
    <row r="9958" spans="1:1" x14ac:dyDescent="0.2">
      <c r="A9958" s="52"/>
    </row>
    <row r="9959" spans="1:1" x14ac:dyDescent="0.2">
      <c r="A9959" s="52"/>
    </row>
    <row r="9960" spans="1:1" x14ac:dyDescent="0.2">
      <c r="A9960" s="52"/>
    </row>
    <row r="9961" spans="1:1" x14ac:dyDescent="0.2">
      <c r="A9961" s="52"/>
    </row>
    <row r="9962" spans="1:1" x14ac:dyDescent="0.2">
      <c r="A9962" s="52"/>
    </row>
    <row r="9963" spans="1:1" x14ac:dyDescent="0.2">
      <c r="A9963" s="52"/>
    </row>
    <row r="9964" spans="1:1" x14ac:dyDescent="0.2">
      <c r="A9964" s="52"/>
    </row>
    <row r="9965" spans="1:1" x14ac:dyDescent="0.2">
      <c r="A9965" s="52"/>
    </row>
    <row r="9966" spans="1:1" x14ac:dyDescent="0.2">
      <c r="A9966" s="52"/>
    </row>
    <row r="9967" spans="1:1" x14ac:dyDescent="0.2">
      <c r="A9967" s="52"/>
    </row>
    <row r="9968" spans="1:1" x14ac:dyDescent="0.2">
      <c r="A9968" s="53"/>
    </row>
    <row r="9969" spans="1:1" x14ac:dyDescent="0.2">
      <c r="A9969" s="52"/>
    </row>
    <row r="9970" spans="1:1" x14ac:dyDescent="0.2">
      <c r="A9970" s="52"/>
    </row>
    <row r="9971" spans="1:1" x14ac:dyDescent="0.2">
      <c r="A9971" s="52"/>
    </row>
    <row r="9972" spans="1:1" x14ac:dyDescent="0.2">
      <c r="A9972" s="52"/>
    </row>
    <row r="9973" spans="1:1" x14ac:dyDescent="0.2">
      <c r="A9973" s="52"/>
    </row>
    <row r="9974" spans="1:1" x14ac:dyDescent="0.2">
      <c r="A9974" s="52"/>
    </row>
    <row r="9975" spans="1:1" x14ac:dyDescent="0.2">
      <c r="A9975" s="52"/>
    </row>
    <row r="9976" spans="1:1" x14ac:dyDescent="0.2">
      <c r="A9976" s="52"/>
    </row>
    <row r="9977" spans="1:1" x14ac:dyDescent="0.2">
      <c r="A9977" s="52"/>
    </row>
    <row r="9978" spans="1:1" x14ac:dyDescent="0.2">
      <c r="A9978" s="52"/>
    </row>
    <row r="9979" spans="1:1" x14ac:dyDescent="0.2">
      <c r="A9979" s="52"/>
    </row>
    <row r="9980" spans="1:1" x14ac:dyDescent="0.2">
      <c r="A9980" s="52"/>
    </row>
    <row r="9981" spans="1:1" x14ac:dyDescent="0.2">
      <c r="A9981" s="53"/>
    </row>
    <row r="9982" spans="1:1" x14ac:dyDescent="0.2">
      <c r="A9982" s="53"/>
    </row>
    <row r="9983" spans="1:1" x14ac:dyDescent="0.2">
      <c r="A9983" s="53"/>
    </row>
    <row r="9984" spans="1:1" x14ac:dyDescent="0.2">
      <c r="A9984" s="52"/>
    </row>
    <row r="9985" spans="1:1" x14ac:dyDescent="0.2">
      <c r="A9985" s="52"/>
    </row>
    <row r="9986" spans="1:1" x14ac:dyDescent="0.2">
      <c r="A9986" s="52"/>
    </row>
    <row r="9987" spans="1:1" x14ac:dyDescent="0.2">
      <c r="A9987" s="52"/>
    </row>
    <row r="9988" spans="1:1" x14ac:dyDescent="0.2">
      <c r="A9988" s="52"/>
    </row>
    <row r="9989" spans="1:1" x14ac:dyDescent="0.2">
      <c r="A9989" s="52"/>
    </row>
    <row r="9990" spans="1:1" x14ac:dyDescent="0.2">
      <c r="A9990" s="52"/>
    </row>
    <row r="9991" spans="1:1" x14ac:dyDescent="0.2">
      <c r="A9991" s="52"/>
    </row>
    <row r="9992" spans="1:1" x14ac:dyDescent="0.2">
      <c r="A9992" s="52"/>
    </row>
    <row r="9993" spans="1:1" x14ac:dyDescent="0.2">
      <c r="A9993" s="52"/>
    </row>
    <row r="9994" spans="1:1" x14ac:dyDescent="0.2">
      <c r="A9994" s="52"/>
    </row>
    <row r="9995" spans="1:1" x14ac:dyDescent="0.2">
      <c r="A9995" s="52"/>
    </row>
    <row r="9996" spans="1:1" x14ac:dyDescent="0.2">
      <c r="A9996" s="52"/>
    </row>
    <row r="9997" spans="1:1" x14ac:dyDescent="0.2">
      <c r="A9997" s="52"/>
    </row>
    <row r="9998" spans="1:1" x14ac:dyDescent="0.2">
      <c r="A9998" s="52"/>
    </row>
    <row r="9999" spans="1:1" x14ac:dyDescent="0.2">
      <c r="A9999" s="52"/>
    </row>
    <row r="10000" spans="1:1" x14ac:dyDescent="0.2">
      <c r="A10000" s="52"/>
    </row>
    <row r="10001" spans="1:1" x14ac:dyDescent="0.2">
      <c r="A10001" s="52"/>
    </row>
    <row r="10002" spans="1:1" x14ac:dyDescent="0.2">
      <c r="A10002" s="52"/>
    </row>
    <row r="10003" spans="1:1" x14ac:dyDescent="0.2">
      <c r="A10003" s="52"/>
    </row>
    <row r="10004" spans="1:1" x14ac:dyDescent="0.2">
      <c r="A10004" s="52"/>
    </row>
    <row r="10005" spans="1:1" x14ac:dyDescent="0.2">
      <c r="A10005" s="52"/>
    </row>
    <row r="10006" spans="1:1" x14ac:dyDescent="0.2">
      <c r="A10006" s="52"/>
    </row>
    <row r="10007" spans="1:1" x14ac:dyDescent="0.2">
      <c r="A10007" s="52"/>
    </row>
    <row r="10008" spans="1:1" x14ac:dyDescent="0.2">
      <c r="A10008" s="52"/>
    </row>
    <row r="10009" spans="1:1" x14ac:dyDescent="0.2">
      <c r="A10009" s="52"/>
    </row>
    <row r="10010" spans="1:1" x14ac:dyDescent="0.2">
      <c r="A10010" s="52"/>
    </row>
    <row r="10011" spans="1:1" x14ac:dyDescent="0.2">
      <c r="A10011" s="52"/>
    </row>
    <row r="10012" spans="1:1" x14ac:dyDescent="0.2">
      <c r="A10012" s="52"/>
    </row>
    <row r="10013" spans="1:1" x14ac:dyDescent="0.2">
      <c r="A10013" s="52"/>
    </row>
    <row r="10014" spans="1:1" x14ac:dyDescent="0.2">
      <c r="A10014" s="52"/>
    </row>
    <row r="10015" spans="1:1" x14ac:dyDescent="0.2">
      <c r="A10015" s="52"/>
    </row>
    <row r="10016" spans="1:1" x14ac:dyDescent="0.2">
      <c r="A10016" s="52"/>
    </row>
    <row r="10017" spans="1:1" x14ac:dyDescent="0.2">
      <c r="A10017" s="52"/>
    </row>
    <row r="10018" spans="1:1" x14ac:dyDescent="0.2">
      <c r="A10018" s="52"/>
    </row>
    <row r="10019" spans="1:1" x14ac:dyDescent="0.2">
      <c r="A10019" s="52"/>
    </row>
    <row r="10020" spans="1:1" x14ac:dyDescent="0.2">
      <c r="A10020" s="52"/>
    </row>
    <row r="10021" spans="1:1" x14ac:dyDescent="0.2">
      <c r="A10021" s="52"/>
    </row>
    <row r="10022" spans="1:1" x14ac:dyDescent="0.2">
      <c r="A10022" s="52"/>
    </row>
    <row r="10023" spans="1:1" x14ac:dyDescent="0.2">
      <c r="A10023" s="52"/>
    </row>
    <row r="10024" spans="1:1" x14ac:dyDescent="0.2">
      <c r="A10024" s="52"/>
    </row>
    <row r="10025" spans="1:1" x14ac:dyDescent="0.2">
      <c r="A10025" s="52"/>
    </row>
    <row r="10026" spans="1:1" x14ac:dyDescent="0.2">
      <c r="A10026" s="52"/>
    </row>
    <row r="10027" spans="1:1" x14ac:dyDescent="0.2">
      <c r="A10027" s="52"/>
    </row>
    <row r="10028" spans="1:1" x14ac:dyDescent="0.2">
      <c r="A10028" s="52"/>
    </row>
    <row r="10029" spans="1:1" x14ac:dyDescent="0.2">
      <c r="A10029" s="52"/>
    </row>
    <row r="10030" spans="1:1" x14ac:dyDescent="0.2">
      <c r="A10030" s="52"/>
    </row>
    <row r="10031" spans="1:1" x14ac:dyDescent="0.2">
      <c r="A10031" s="52"/>
    </row>
    <row r="10032" spans="1:1" x14ac:dyDescent="0.2">
      <c r="A10032" s="53"/>
    </row>
    <row r="10033" spans="1:1" x14ac:dyDescent="0.2">
      <c r="A10033" s="52"/>
    </row>
    <row r="10034" spans="1:1" x14ac:dyDescent="0.2">
      <c r="A10034" s="52"/>
    </row>
    <row r="10035" spans="1:1" x14ac:dyDescent="0.2">
      <c r="A10035" s="52"/>
    </row>
    <row r="10036" spans="1:1" x14ac:dyDescent="0.2">
      <c r="A10036" s="52"/>
    </row>
    <row r="10037" spans="1:1" x14ac:dyDescent="0.2">
      <c r="A10037" s="52"/>
    </row>
    <row r="10038" spans="1:1" x14ac:dyDescent="0.2">
      <c r="A10038" s="52"/>
    </row>
    <row r="10039" spans="1:1" x14ac:dyDescent="0.2">
      <c r="A10039" s="52"/>
    </row>
    <row r="10040" spans="1:1" x14ac:dyDescent="0.2">
      <c r="A10040" s="52"/>
    </row>
    <row r="10041" spans="1:1" x14ac:dyDescent="0.2">
      <c r="A10041" s="52"/>
    </row>
    <row r="10042" spans="1:1" x14ac:dyDescent="0.2">
      <c r="A10042" s="52"/>
    </row>
    <row r="10043" spans="1:1" x14ac:dyDescent="0.2">
      <c r="A10043" s="52"/>
    </row>
    <row r="10044" spans="1:1" x14ac:dyDescent="0.2">
      <c r="A10044" s="52"/>
    </row>
    <row r="10045" spans="1:1" x14ac:dyDescent="0.2">
      <c r="A10045" s="52"/>
    </row>
    <row r="10046" spans="1:1" x14ac:dyDescent="0.2">
      <c r="A10046" s="52"/>
    </row>
    <row r="10047" spans="1:1" x14ac:dyDescent="0.2">
      <c r="A10047" s="52"/>
    </row>
    <row r="10048" spans="1:1" x14ac:dyDescent="0.2">
      <c r="A10048" s="52"/>
    </row>
    <row r="10049" spans="1:1" x14ac:dyDescent="0.2">
      <c r="A10049" s="52"/>
    </row>
    <row r="10050" spans="1:1" x14ac:dyDescent="0.2">
      <c r="A10050" s="52"/>
    </row>
    <row r="10051" spans="1:1" x14ac:dyDescent="0.2">
      <c r="A10051" s="52"/>
    </row>
    <row r="10052" spans="1:1" x14ac:dyDescent="0.2">
      <c r="A10052" s="52"/>
    </row>
    <row r="10053" spans="1:1" x14ac:dyDescent="0.2">
      <c r="A10053" s="52"/>
    </row>
    <row r="10054" spans="1:1" x14ac:dyDescent="0.2">
      <c r="A10054" s="52"/>
    </row>
    <row r="10055" spans="1:1" x14ac:dyDescent="0.2">
      <c r="A10055" s="52"/>
    </row>
    <row r="10056" spans="1:1" x14ac:dyDescent="0.2">
      <c r="A10056" s="52"/>
    </row>
    <row r="10057" spans="1:1" x14ac:dyDescent="0.2">
      <c r="A10057" s="52"/>
    </row>
    <row r="10058" spans="1:1" x14ac:dyDescent="0.2">
      <c r="A10058" s="52"/>
    </row>
    <row r="10059" spans="1:1" x14ac:dyDescent="0.2">
      <c r="A10059" s="52"/>
    </row>
    <row r="10060" spans="1:1" x14ac:dyDescent="0.2">
      <c r="A10060" s="52"/>
    </row>
    <row r="10061" spans="1:1" x14ac:dyDescent="0.2">
      <c r="A10061" s="52"/>
    </row>
    <row r="10062" spans="1:1" x14ac:dyDescent="0.2">
      <c r="A10062" s="52"/>
    </row>
    <row r="10063" spans="1:1" x14ac:dyDescent="0.2">
      <c r="A10063" s="52"/>
    </row>
    <row r="10064" spans="1:1" x14ac:dyDescent="0.2">
      <c r="A10064" s="52"/>
    </row>
    <row r="10065" spans="1:1" x14ac:dyDescent="0.2">
      <c r="A10065" s="52"/>
    </row>
    <row r="10066" spans="1:1" x14ac:dyDescent="0.2">
      <c r="A10066" s="52"/>
    </row>
    <row r="10067" spans="1:1" x14ac:dyDescent="0.2">
      <c r="A10067" s="52"/>
    </row>
    <row r="10068" spans="1:1" x14ac:dyDescent="0.2">
      <c r="A10068" s="52"/>
    </row>
    <row r="10069" spans="1:1" x14ac:dyDescent="0.2">
      <c r="A10069" s="52"/>
    </row>
    <row r="10070" spans="1:1" x14ac:dyDescent="0.2">
      <c r="A10070" s="52"/>
    </row>
    <row r="10071" spans="1:1" x14ac:dyDescent="0.2">
      <c r="A10071" s="52"/>
    </row>
    <row r="10072" spans="1:1" x14ac:dyDescent="0.2">
      <c r="A10072" s="52"/>
    </row>
    <row r="10073" spans="1:1" x14ac:dyDescent="0.2">
      <c r="A10073" s="52"/>
    </row>
    <row r="10074" spans="1:1" x14ac:dyDescent="0.2">
      <c r="A10074" s="52"/>
    </row>
    <row r="10075" spans="1:1" x14ac:dyDescent="0.2">
      <c r="A10075" s="52"/>
    </row>
    <row r="10076" spans="1:1" x14ac:dyDescent="0.2">
      <c r="A10076" s="52"/>
    </row>
    <row r="10077" spans="1:1" x14ac:dyDescent="0.2">
      <c r="A10077" s="52"/>
    </row>
    <row r="10078" spans="1:1" x14ac:dyDescent="0.2">
      <c r="A10078" s="52"/>
    </row>
    <row r="10079" spans="1:1" x14ac:dyDescent="0.2">
      <c r="A10079" s="52"/>
    </row>
    <row r="10080" spans="1:1" x14ac:dyDescent="0.2">
      <c r="A10080" s="52"/>
    </row>
    <row r="10081" spans="1:1" x14ac:dyDescent="0.2">
      <c r="A10081" s="52"/>
    </row>
    <row r="10082" spans="1:1" x14ac:dyDescent="0.2">
      <c r="A10082" s="52"/>
    </row>
    <row r="10083" spans="1:1" x14ac:dyDescent="0.2">
      <c r="A10083" s="52"/>
    </row>
    <row r="10084" spans="1:1" x14ac:dyDescent="0.2">
      <c r="A10084" s="52"/>
    </row>
    <row r="10085" spans="1:1" x14ac:dyDescent="0.2">
      <c r="A10085" s="52"/>
    </row>
    <row r="10086" spans="1:1" x14ac:dyDescent="0.2">
      <c r="A10086" s="52"/>
    </row>
    <row r="10087" spans="1:1" x14ac:dyDescent="0.2">
      <c r="A10087" s="52"/>
    </row>
    <row r="10088" spans="1:1" x14ac:dyDescent="0.2">
      <c r="A10088" s="52"/>
    </row>
    <row r="10089" spans="1:1" x14ac:dyDescent="0.2">
      <c r="A10089" s="52"/>
    </row>
    <row r="10090" spans="1:1" x14ac:dyDescent="0.2">
      <c r="A10090" s="52"/>
    </row>
    <row r="10091" spans="1:1" x14ac:dyDescent="0.2">
      <c r="A10091" s="52"/>
    </row>
    <row r="10092" spans="1:1" x14ac:dyDescent="0.2">
      <c r="A10092" s="52"/>
    </row>
    <row r="10093" spans="1:1" x14ac:dyDescent="0.2">
      <c r="A10093" s="52"/>
    </row>
    <row r="10094" spans="1:1" x14ac:dyDescent="0.2">
      <c r="A10094" s="52"/>
    </row>
    <row r="10095" spans="1:1" x14ac:dyDescent="0.2">
      <c r="A10095" s="52"/>
    </row>
    <row r="10096" spans="1:1" x14ac:dyDescent="0.2">
      <c r="A10096" s="52"/>
    </row>
    <row r="10097" spans="1:1" x14ac:dyDescent="0.2">
      <c r="A10097" s="52"/>
    </row>
    <row r="10098" spans="1:1" x14ac:dyDescent="0.2">
      <c r="A10098" s="52"/>
    </row>
    <row r="10099" spans="1:1" x14ac:dyDescent="0.2">
      <c r="A10099" s="52"/>
    </row>
    <row r="10100" spans="1:1" x14ac:dyDescent="0.2">
      <c r="A10100" s="53"/>
    </row>
    <row r="10101" spans="1:1" x14ac:dyDescent="0.2">
      <c r="A10101" s="52"/>
    </row>
    <row r="10102" spans="1:1" x14ac:dyDescent="0.2">
      <c r="A10102" s="52"/>
    </row>
    <row r="10103" spans="1:1" x14ac:dyDescent="0.2">
      <c r="A10103" s="52"/>
    </row>
    <row r="10104" spans="1:1" x14ac:dyDescent="0.2">
      <c r="A10104" s="52"/>
    </row>
    <row r="10105" spans="1:1" x14ac:dyDescent="0.2">
      <c r="A10105" s="52"/>
    </row>
    <row r="10106" spans="1:1" x14ac:dyDescent="0.2">
      <c r="A10106" s="52"/>
    </row>
    <row r="10107" spans="1:1" x14ac:dyDescent="0.2">
      <c r="A10107" s="52"/>
    </row>
    <row r="10108" spans="1:1" x14ac:dyDescent="0.2">
      <c r="A10108" s="52"/>
    </row>
    <row r="10109" spans="1:1" x14ac:dyDescent="0.2">
      <c r="A10109" s="52"/>
    </row>
    <row r="10110" spans="1:1" x14ac:dyDescent="0.2">
      <c r="A10110" s="52"/>
    </row>
    <row r="10111" spans="1:1" x14ac:dyDescent="0.2">
      <c r="A10111" s="52"/>
    </row>
    <row r="10112" spans="1:1" x14ac:dyDescent="0.2">
      <c r="A10112" s="52"/>
    </row>
    <row r="10113" spans="1:1" x14ac:dyDescent="0.2">
      <c r="A10113" s="52"/>
    </row>
    <row r="10114" spans="1:1" x14ac:dyDescent="0.2">
      <c r="A10114" s="52"/>
    </row>
    <row r="10115" spans="1:1" x14ac:dyDescent="0.2">
      <c r="A10115" s="52"/>
    </row>
    <row r="10116" spans="1:1" x14ac:dyDescent="0.2">
      <c r="A10116" s="52"/>
    </row>
    <row r="10117" spans="1:1" x14ac:dyDescent="0.2">
      <c r="A10117" s="52"/>
    </row>
    <row r="10118" spans="1:1" x14ac:dyDescent="0.2">
      <c r="A10118" s="52"/>
    </row>
    <row r="10119" spans="1:1" x14ac:dyDescent="0.2">
      <c r="A10119" s="52"/>
    </row>
    <row r="10120" spans="1:1" x14ac:dyDescent="0.2">
      <c r="A10120" s="52"/>
    </row>
    <row r="10121" spans="1:1" x14ac:dyDescent="0.2">
      <c r="A10121" s="52"/>
    </row>
    <row r="10122" spans="1:1" x14ac:dyDescent="0.2">
      <c r="A10122" s="52"/>
    </row>
    <row r="10123" spans="1:1" x14ac:dyDescent="0.2">
      <c r="A10123" s="52"/>
    </row>
    <row r="10124" spans="1:1" x14ac:dyDescent="0.2">
      <c r="A10124" s="52"/>
    </row>
    <row r="10125" spans="1:1" x14ac:dyDescent="0.2">
      <c r="A10125" s="52"/>
    </row>
    <row r="10126" spans="1:1" x14ac:dyDescent="0.2">
      <c r="A10126" s="52"/>
    </row>
    <row r="10127" spans="1:1" x14ac:dyDescent="0.2">
      <c r="A10127" s="52"/>
    </row>
    <row r="10128" spans="1:1" x14ac:dyDescent="0.2">
      <c r="A10128" s="52"/>
    </row>
    <row r="10129" spans="1:1" x14ac:dyDescent="0.2">
      <c r="A10129" s="52"/>
    </row>
    <row r="10130" spans="1:1" x14ac:dyDescent="0.2">
      <c r="A10130" s="52"/>
    </row>
    <row r="10131" spans="1:1" x14ac:dyDescent="0.2">
      <c r="A10131" s="52"/>
    </row>
    <row r="10132" spans="1:1" x14ac:dyDescent="0.2">
      <c r="A10132" s="52"/>
    </row>
    <row r="10133" spans="1:1" x14ac:dyDescent="0.2">
      <c r="A10133" s="52"/>
    </row>
    <row r="10134" spans="1:1" x14ac:dyDescent="0.2">
      <c r="A10134" s="52"/>
    </row>
    <row r="10135" spans="1:1" x14ac:dyDescent="0.2">
      <c r="A10135" s="52"/>
    </row>
    <row r="10136" spans="1:1" x14ac:dyDescent="0.2">
      <c r="A10136" s="52"/>
    </row>
    <row r="10137" spans="1:1" x14ac:dyDescent="0.2">
      <c r="A10137" s="52"/>
    </row>
    <row r="10138" spans="1:1" x14ac:dyDescent="0.2">
      <c r="A10138" s="52"/>
    </row>
    <row r="10139" spans="1:1" x14ac:dyDescent="0.2">
      <c r="A10139" s="52"/>
    </row>
    <row r="10140" spans="1:1" x14ac:dyDescent="0.2">
      <c r="A10140" s="52"/>
    </row>
    <row r="10141" spans="1:1" x14ac:dyDescent="0.2">
      <c r="A10141" s="52"/>
    </row>
    <row r="10142" spans="1:1" x14ac:dyDescent="0.2">
      <c r="A10142" s="52"/>
    </row>
    <row r="10143" spans="1:1" x14ac:dyDescent="0.2">
      <c r="A10143" s="52"/>
    </row>
    <row r="10144" spans="1:1" x14ac:dyDescent="0.2">
      <c r="A10144" s="52"/>
    </row>
    <row r="10145" spans="1:1" x14ac:dyDescent="0.2">
      <c r="A10145" s="52"/>
    </row>
    <row r="10146" spans="1:1" x14ac:dyDescent="0.2">
      <c r="A10146" s="52"/>
    </row>
    <row r="10147" spans="1:1" x14ac:dyDescent="0.2">
      <c r="A10147" s="52"/>
    </row>
    <row r="10148" spans="1:1" x14ac:dyDescent="0.2">
      <c r="A10148" s="52"/>
    </row>
    <row r="10149" spans="1:1" x14ac:dyDescent="0.2">
      <c r="A10149" s="52"/>
    </row>
    <row r="10150" spans="1:1" x14ac:dyDescent="0.2">
      <c r="A10150" s="52"/>
    </row>
    <row r="10151" spans="1:1" x14ac:dyDescent="0.2">
      <c r="A10151" s="52"/>
    </row>
    <row r="10152" spans="1:1" x14ac:dyDescent="0.2">
      <c r="A10152" s="52"/>
    </row>
    <row r="10153" spans="1:1" x14ac:dyDescent="0.2">
      <c r="A10153" s="52"/>
    </row>
    <row r="10154" spans="1:1" x14ac:dyDescent="0.2">
      <c r="A10154" s="52"/>
    </row>
    <row r="10155" spans="1:1" x14ac:dyDescent="0.2">
      <c r="A10155" s="52"/>
    </row>
    <row r="10156" spans="1:1" x14ac:dyDescent="0.2">
      <c r="A10156" s="52"/>
    </row>
    <row r="10157" spans="1:1" x14ac:dyDescent="0.2">
      <c r="A10157" s="52"/>
    </row>
    <row r="10158" spans="1:1" x14ac:dyDescent="0.2">
      <c r="A10158" s="52"/>
    </row>
    <row r="10159" spans="1:1" x14ac:dyDescent="0.2">
      <c r="A10159" s="52"/>
    </row>
    <row r="10160" spans="1:1" x14ac:dyDescent="0.2">
      <c r="A10160" s="52"/>
    </row>
    <row r="10161" spans="1:1" x14ac:dyDescent="0.2">
      <c r="A10161" s="52"/>
    </row>
    <row r="10162" spans="1:1" x14ac:dyDescent="0.2">
      <c r="A10162" s="52"/>
    </row>
    <row r="10163" spans="1:1" x14ac:dyDescent="0.2">
      <c r="A10163" s="52"/>
    </row>
    <row r="10164" spans="1:1" x14ac:dyDescent="0.2">
      <c r="A10164" s="52"/>
    </row>
    <row r="10165" spans="1:1" x14ac:dyDescent="0.2">
      <c r="A10165" s="52"/>
    </row>
    <row r="10166" spans="1:1" x14ac:dyDescent="0.2">
      <c r="A10166" s="52"/>
    </row>
    <row r="10167" spans="1:1" x14ac:dyDescent="0.2">
      <c r="A10167" s="52"/>
    </row>
    <row r="10168" spans="1:1" x14ac:dyDescent="0.2">
      <c r="A10168" s="52"/>
    </row>
    <row r="10169" spans="1:1" x14ac:dyDescent="0.2">
      <c r="A10169" s="52"/>
    </row>
    <row r="10170" spans="1:1" x14ac:dyDescent="0.2">
      <c r="A10170" s="52"/>
    </row>
    <row r="10171" spans="1:1" x14ac:dyDescent="0.2">
      <c r="A10171" s="52"/>
    </row>
    <row r="10172" spans="1:1" x14ac:dyDescent="0.2">
      <c r="A10172" s="52"/>
    </row>
    <row r="10173" spans="1:1" x14ac:dyDescent="0.2">
      <c r="A10173" s="52"/>
    </row>
    <row r="10174" spans="1:1" x14ac:dyDescent="0.2">
      <c r="A10174" s="52"/>
    </row>
    <row r="10175" spans="1:1" x14ac:dyDescent="0.2">
      <c r="A10175" s="52"/>
    </row>
    <row r="10176" spans="1:1" x14ac:dyDescent="0.2">
      <c r="A10176" s="52"/>
    </row>
    <row r="10177" spans="1:1" x14ac:dyDescent="0.2">
      <c r="A10177" s="52"/>
    </row>
    <row r="10178" spans="1:1" x14ac:dyDescent="0.2">
      <c r="A10178" s="52"/>
    </row>
    <row r="10179" spans="1:1" x14ac:dyDescent="0.2">
      <c r="A10179" s="52"/>
    </row>
    <row r="10180" spans="1:1" x14ac:dyDescent="0.2">
      <c r="A10180" s="52"/>
    </row>
    <row r="10181" spans="1:1" x14ac:dyDescent="0.2">
      <c r="A10181" s="52"/>
    </row>
    <row r="10182" spans="1:1" x14ac:dyDescent="0.2">
      <c r="A10182" s="52"/>
    </row>
    <row r="10183" spans="1:1" x14ac:dyDescent="0.2">
      <c r="A10183" s="52"/>
    </row>
    <row r="10184" spans="1:1" x14ac:dyDescent="0.2">
      <c r="A10184" s="52"/>
    </row>
    <row r="10185" spans="1:1" x14ac:dyDescent="0.2">
      <c r="A10185" s="52"/>
    </row>
    <row r="10186" spans="1:1" x14ac:dyDescent="0.2">
      <c r="A10186" s="52"/>
    </row>
    <row r="10187" spans="1:1" x14ac:dyDescent="0.2">
      <c r="A10187" s="52"/>
    </row>
    <row r="10188" spans="1:1" x14ac:dyDescent="0.2">
      <c r="A10188" s="52"/>
    </row>
    <row r="10189" spans="1:1" x14ac:dyDescent="0.2">
      <c r="A10189" s="52"/>
    </row>
    <row r="10190" spans="1:1" x14ac:dyDescent="0.2">
      <c r="A10190" s="52"/>
    </row>
    <row r="10191" spans="1:1" x14ac:dyDescent="0.2">
      <c r="A10191" s="53"/>
    </row>
    <row r="10192" spans="1:1" x14ac:dyDescent="0.2">
      <c r="A10192" s="52"/>
    </row>
    <row r="10193" spans="1:1" x14ac:dyDescent="0.2">
      <c r="A10193" s="52"/>
    </row>
    <row r="10194" spans="1:1" x14ac:dyDescent="0.2">
      <c r="A10194" s="52"/>
    </row>
    <row r="10195" spans="1:1" x14ac:dyDescent="0.2">
      <c r="A10195" s="52"/>
    </row>
    <row r="10196" spans="1:1" x14ac:dyDescent="0.2">
      <c r="A10196" s="52"/>
    </row>
    <row r="10197" spans="1:1" x14ac:dyDescent="0.2">
      <c r="A10197" s="52"/>
    </row>
    <row r="10198" spans="1:1" x14ac:dyDescent="0.2">
      <c r="A10198" s="52"/>
    </row>
    <row r="10199" spans="1:1" x14ac:dyDescent="0.2">
      <c r="A10199" s="52"/>
    </row>
    <row r="10200" spans="1:1" x14ac:dyDescent="0.2">
      <c r="A10200" s="52"/>
    </row>
    <row r="10201" spans="1:1" x14ac:dyDescent="0.2">
      <c r="A10201" s="52"/>
    </row>
    <row r="10202" spans="1:1" x14ac:dyDescent="0.2">
      <c r="A10202" s="52"/>
    </row>
    <row r="10203" spans="1:1" x14ac:dyDescent="0.2">
      <c r="A10203" s="52"/>
    </row>
    <row r="10204" spans="1:1" x14ac:dyDescent="0.2">
      <c r="A10204" s="52"/>
    </row>
    <row r="10205" spans="1:1" x14ac:dyDescent="0.2">
      <c r="A10205" s="52"/>
    </row>
    <row r="10206" spans="1:1" x14ac:dyDescent="0.2">
      <c r="A10206" s="52"/>
    </row>
    <row r="10207" spans="1:1" x14ac:dyDescent="0.2">
      <c r="A10207" s="52"/>
    </row>
    <row r="10208" spans="1:1" x14ac:dyDescent="0.2">
      <c r="A10208" s="53"/>
    </row>
    <row r="10209" spans="1:1" x14ac:dyDescent="0.2">
      <c r="A10209" s="52"/>
    </row>
    <row r="10210" spans="1:1" x14ac:dyDescent="0.2">
      <c r="A10210" s="52"/>
    </row>
    <row r="10211" spans="1:1" x14ac:dyDescent="0.2">
      <c r="A10211" s="52"/>
    </row>
    <row r="10212" spans="1:1" x14ac:dyDescent="0.2">
      <c r="A10212" s="52"/>
    </row>
    <row r="10213" spans="1:1" x14ac:dyDescent="0.2">
      <c r="A10213" s="52"/>
    </row>
    <row r="10214" spans="1:1" x14ac:dyDescent="0.2">
      <c r="A10214" s="52"/>
    </row>
    <row r="10215" spans="1:1" x14ac:dyDescent="0.2">
      <c r="A10215" s="52"/>
    </row>
    <row r="10216" spans="1:1" x14ac:dyDescent="0.2">
      <c r="A10216" s="52"/>
    </row>
    <row r="10217" spans="1:1" x14ac:dyDescent="0.2">
      <c r="A10217" s="53"/>
    </row>
    <row r="10218" spans="1:1" x14ac:dyDescent="0.2">
      <c r="A10218" s="52"/>
    </row>
    <row r="10219" spans="1:1" x14ac:dyDescent="0.2">
      <c r="A10219" s="52"/>
    </row>
    <row r="10220" spans="1:1" x14ac:dyDescent="0.2">
      <c r="A10220" s="52"/>
    </row>
    <row r="10221" spans="1:1" x14ac:dyDescent="0.2">
      <c r="A10221" s="52"/>
    </row>
    <row r="10222" spans="1:1" x14ac:dyDescent="0.2">
      <c r="A10222" s="52"/>
    </row>
    <row r="10223" spans="1:1" x14ac:dyDescent="0.2">
      <c r="A10223" s="52"/>
    </row>
    <row r="10224" spans="1:1" x14ac:dyDescent="0.2">
      <c r="A10224" s="52"/>
    </row>
    <row r="10225" spans="1:1" x14ac:dyDescent="0.2">
      <c r="A10225" s="52"/>
    </row>
    <row r="10226" spans="1:1" x14ac:dyDescent="0.2">
      <c r="A10226" s="52"/>
    </row>
    <row r="10227" spans="1:1" x14ac:dyDescent="0.2">
      <c r="A10227" s="52"/>
    </row>
    <row r="10228" spans="1:1" x14ac:dyDescent="0.2">
      <c r="A10228" s="52"/>
    </row>
    <row r="10229" spans="1:1" x14ac:dyDescent="0.2">
      <c r="A10229" s="52"/>
    </row>
    <row r="10230" spans="1:1" x14ac:dyDescent="0.2">
      <c r="A10230" s="52"/>
    </row>
    <row r="10231" spans="1:1" x14ac:dyDescent="0.2">
      <c r="A10231" s="52"/>
    </row>
    <row r="10232" spans="1:1" x14ac:dyDescent="0.2">
      <c r="A10232" s="52"/>
    </row>
    <row r="10233" spans="1:1" x14ac:dyDescent="0.2">
      <c r="A10233" s="52"/>
    </row>
    <row r="10234" spans="1:1" x14ac:dyDescent="0.2">
      <c r="A10234" s="52"/>
    </row>
    <row r="10235" spans="1:1" x14ac:dyDescent="0.2">
      <c r="A10235" s="52"/>
    </row>
    <row r="10236" spans="1:1" x14ac:dyDescent="0.2">
      <c r="A10236" s="52"/>
    </row>
    <row r="10237" spans="1:1" x14ac:dyDescent="0.2">
      <c r="A10237" s="53"/>
    </row>
    <row r="10238" spans="1:1" x14ac:dyDescent="0.2">
      <c r="A10238" s="52"/>
    </row>
    <row r="10239" spans="1:1" x14ac:dyDescent="0.2">
      <c r="A10239" s="52"/>
    </row>
    <row r="10240" spans="1:1" x14ac:dyDescent="0.2">
      <c r="A10240" s="52"/>
    </row>
    <row r="10241" spans="1:1" x14ac:dyDescent="0.2">
      <c r="A10241" s="52"/>
    </row>
    <row r="10242" spans="1:1" x14ac:dyDescent="0.2">
      <c r="A10242" s="52"/>
    </row>
    <row r="10243" spans="1:1" x14ac:dyDescent="0.2">
      <c r="A10243" s="52"/>
    </row>
    <row r="10244" spans="1:1" x14ac:dyDescent="0.2">
      <c r="A10244" s="52"/>
    </row>
    <row r="10245" spans="1:1" x14ac:dyDescent="0.2">
      <c r="A10245" s="52"/>
    </row>
    <row r="10246" spans="1:1" x14ac:dyDescent="0.2">
      <c r="A10246" s="52"/>
    </row>
    <row r="10247" spans="1:1" x14ac:dyDescent="0.2">
      <c r="A10247" s="52"/>
    </row>
    <row r="10248" spans="1:1" x14ac:dyDescent="0.2">
      <c r="A10248" s="52"/>
    </row>
    <row r="10249" spans="1:1" x14ac:dyDescent="0.2">
      <c r="A10249" s="53"/>
    </row>
    <row r="10250" spans="1:1" x14ac:dyDescent="0.2">
      <c r="A10250" s="52"/>
    </row>
    <row r="10251" spans="1:1" x14ac:dyDescent="0.2">
      <c r="A10251" s="52"/>
    </row>
    <row r="10252" spans="1:1" x14ac:dyDescent="0.2">
      <c r="A10252" s="52"/>
    </row>
    <row r="10253" spans="1:1" x14ac:dyDescent="0.2">
      <c r="A10253" s="52"/>
    </row>
    <row r="10254" spans="1:1" x14ac:dyDescent="0.2">
      <c r="A10254" s="52"/>
    </row>
    <row r="10255" spans="1:1" x14ac:dyDescent="0.2">
      <c r="A10255" s="52"/>
    </row>
    <row r="10256" spans="1:1" x14ac:dyDescent="0.2">
      <c r="A10256" s="52"/>
    </row>
    <row r="10257" spans="1:1" x14ac:dyDescent="0.2">
      <c r="A10257" s="52"/>
    </row>
    <row r="10258" spans="1:1" x14ac:dyDescent="0.2">
      <c r="A10258" s="52"/>
    </row>
    <row r="10259" spans="1:1" x14ac:dyDescent="0.2">
      <c r="A10259" s="52"/>
    </row>
    <row r="10260" spans="1:1" x14ac:dyDescent="0.2">
      <c r="A10260" s="52"/>
    </row>
    <row r="10261" spans="1:1" x14ac:dyDescent="0.2">
      <c r="A10261" s="52"/>
    </row>
    <row r="10262" spans="1:1" x14ac:dyDescent="0.2">
      <c r="A10262" s="52"/>
    </row>
    <row r="10263" spans="1:1" x14ac:dyDescent="0.2">
      <c r="A10263" s="52"/>
    </row>
    <row r="10264" spans="1:1" x14ac:dyDescent="0.2">
      <c r="A10264" s="52"/>
    </row>
    <row r="10265" spans="1:1" x14ac:dyDescent="0.2">
      <c r="A10265" s="52"/>
    </row>
    <row r="10266" spans="1:1" x14ac:dyDescent="0.2">
      <c r="A10266" s="52"/>
    </row>
    <row r="10267" spans="1:1" x14ac:dyDescent="0.2">
      <c r="A10267" s="52"/>
    </row>
    <row r="10268" spans="1:1" x14ac:dyDescent="0.2">
      <c r="A10268" s="52"/>
    </row>
    <row r="10269" spans="1:1" x14ac:dyDescent="0.2">
      <c r="A10269" s="52"/>
    </row>
    <row r="10270" spans="1:1" x14ac:dyDescent="0.2">
      <c r="A10270" s="52"/>
    </row>
    <row r="10271" spans="1:1" x14ac:dyDescent="0.2">
      <c r="A10271" s="52"/>
    </row>
    <row r="10272" spans="1:1" x14ac:dyDescent="0.2">
      <c r="A10272" s="52"/>
    </row>
    <row r="10273" spans="1:1" x14ac:dyDescent="0.2">
      <c r="A10273" s="52"/>
    </row>
    <row r="10274" spans="1:1" x14ac:dyDescent="0.2">
      <c r="A10274" s="52"/>
    </row>
    <row r="10275" spans="1:1" x14ac:dyDescent="0.2">
      <c r="A10275" s="52"/>
    </row>
    <row r="10276" spans="1:1" x14ac:dyDescent="0.2">
      <c r="A10276" s="52"/>
    </row>
    <row r="10277" spans="1:1" x14ac:dyDescent="0.2">
      <c r="A10277" s="52"/>
    </row>
    <row r="10278" spans="1:1" x14ac:dyDescent="0.2">
      <c r="A10278" s="52"/>
    </row>
    <row r="10279" spans="1:1" x14ac:dyDescent="0.2">
      <c r="A10279" s="52"/>
    </row>
    <row r="10280" spans="1:1" x14ac:dyDescent="0.2">
      <c r="A10280" s="52"/>
    </row>
    <row r="10281" spans="1:1" x14ac:dyDescent="0.2">
      <c r="A10281" s="52"/>
    </row>
    <row r="10282" spans="1:1" x14ac:dyDescent="0.2">
      <c r="A10282" s="52"/>
    </row>
    <row r="10283" spans="1:1" x14ac:dyDescent="0.2">
      <c r="A10283" s="52"/>
    </row>
    <row r="10284" spans="1:1" x14ac:dyDescent="0.2">
      <c r="A10284" s="52"/>
    </row>
    <row r="10285" spans="1:1" x14ac:dyDescent="0.2">
      <c r="A10285" s="52"/>
    </row>
    <row r="10286" spans="1:1" x14ac:dyDescent="0.2">
      <c r="A10286" s="52"/>
    </row>
    <row r="10287" spans="1:1" x14ac:dyDescent="0.2">
      <c r="A10287" s="52"/>
    </row>
    <row r="10288" spans="1:1" x14ac:dyDescent="0.2">
      <c r="A10288" s="52"/>
    </row>
    <row r="10289" spans="1:1" x14ac:dyDescent="0.2">
      <c r="A10289" s="52"/>
    </row>
    <row r="10290" spans="1:1" x14ac:dyDescent="0.2">
      <c r="A10290" s="52"/>
    </row>
    <row r="10291" spans="1:1" x14ac:dyDescent="0.2">
      <c r="A10291" s="52"/>
    </row>
    <row r="10292" spans="1:1" x14ac:dyDescent="0.2">
      <c r="A10292" s="52"/>
    </row>
    <row r="10293" spans="1:1" x14ac:dyDescent="0.2">
      <c r="A10293" s="52"/>
    </row>
    <row r="10294" spans="1:1" x14ac:dyDescent="0.2">
      <c r="A10294" s="52"/>
    </row>
    <row r="10295" spans="1:1" x14ac:dyDescent="0.2">
      <c r="A10295" s="52"/>
    </row>
    <row r="10296" spans="1:1" x14ac:dyDescent="0.2">
      <c r="A10296" s="52"/>
    </row>
    <row r="10297" spans="1:1" x14ac:dyDescent="0.2">
      <c r="A10297" s="52"/>
    </row>
    <row r="10298" spans="1:1" x14ac:dyDescent="0.2">
      <c r="A10298" s="52"/>
    </row>
    <row r="10299" spans="1:1" x14ac:dyDescent="0.2">
      <c r="A10299" s="52"/>
    </row>
    <row r="10300" spans="1:1" x14ac:dyDescent="0.2">
      <c r="A10300" s="52"/>
    </row>
    <row r="10301" spans="1:1" x14ac:dyDescent="0.2">
      <c r="A10301" s="52"/>
    </row>
    <row r="10302" spans="1:1" x14ac:dyDescent="0.2">
      <c r="A10302" s="52"/>
    </row>
    <row r="10303" spans="1:1" x14ac:dyDescent="0.2">
      <c r="A10303" s="52"/>
    </row>
    <row r="10304" spans="1:1" x14ac:dyDescent="0.2">
      <c r="A10304" s="52"/>
    </row>
    <row r="10305" spans="1:1" x14ac:dyDescent="0.2">
      <c r="A10305" s="52"/>
    </row>
    <row r="10306" spans="1:1" x14ac:dyDescent="0.2">
      <c r="A10306" s="52"/>
    </row>
    <row r="10307" spans="1:1" x14ac:dyDescent="0.2">
      <c r="A10307" s="53"/>
    </row>
    <row r="10308" spans="1:1" x14ac:dyDescent="0.2">
      <c r="A10308" s="52"/>
    </row>
    <row r="10309" spans="1:1" x14ac:dyDescent="0.2">
      <c r="A10309" s="52"/>
    </row>
    <row r="10310" spans="1:1" x14ac:dyDescent="0.2">
      <c r="A10310" s="52"/>
    </row>
    <row r="10311" spans="1:1" x14ac:dyDescent="0.2">
      <c r="A10311" s="52"/>
    </row>
    <row r="10312" spans="1:1" x14ac:dyDescent="0.2">
      <c r="A10312" s="52"/>
    </row>
    <row r="10313" spans="1:1" x14ac:dyDescent="0.2">
      <c r="A10313" s="52"/>
    </row>
    <row r="10314" spans="1:1" x14ac:dyDescent="0.2">
      <c r="A10314" s="52"/>
    </row>
    <row r="10315" spans="1:1" x14ac:dyDescent="0.2">
      <c r="A10315" s="52"/>
    </row>
    <row r="10316" spans="1:1" x14ac:dyDescent="0.2">
      <c r="A10316" s="52"/>
    </row>
    <row r="10317" spans="1:1" x14ac:dyDescent="0.2">
      <c r="A10317" s="52"/>
    </row>
    <row r="10318" spans="1:1" x14ac:dyDescent="0.2">
      <c r="A10318" s="52"/>
    </row>
    <row r="10319" spans="1:1" x14ac:dyDescent="0.2">
      <c r="A10319" s="52"/>
    </row>
    <row r="10320" spans="1:1" x14ac:dyDescent="0.2">
      <c r="A10320" s="52"/>
    </row>
    <row r="10321" spans="1:1" x14ac:dyDescent="0.2">
      <c r="A10321" s="52"/>
    </row>
    <row r="10322" spans="1:1" x14ac:dyDescent="0.2">
      <c r="A10322" s="52"/>
    </row>
    <row r="10323" spans="1:1" x14ac:dyDescent="0.2">
      <c r="A10323" s="52"/>
    </row>
    <row r="10324" spans="1:1" x14ac:dyDescent="0.2">
      <c r="A10324" s="53"/>
    </row>
    <row r="10325" spans="1:1" x14ac:dyDescent="0.2">
      <c r="A10325" s="53"/>
    </row>
    <row r="10326" spans="1:1" x14ac:dyDescent="0.2">
      <c r="A10326" s="53"/>
    </row>
    <row r="10327" spans="1:1" x14ac:dyDescent="0.2">
      <c r="A10327" s="52"/>
    </row>
    <row r="10328" spans="1:1" x14ac:dyDescent="0.2">
      <c r="A10328" s="52"/>
    </row>
    <row r="10329" spans="1:1" x14ac:dyDescent="0.2">
      <c r="A10329" s="52"/>
    </row>
    <row r="10330" spans="1:1" x14ac:dyDescent="0.2">
      <c r="A10330" s="52"/>
    </row>
    <row r="10331" spans="1:1" x14ac:dyDescent="0.2">
      <c r="A10331" s="52"/>
    </row>
    <row r="10332" spans="1:1" x14ac:dyDescent="0.2">
      <c r="A10332" s="52"/>
    </row>
    <row r="10333" spans="1:1" x14ac:dyDescent="0.2">
      <c r="A10333" s="52"/>
    </row>
    <row r="10334" spans="1:1" x14ac:dyDescent="0.2">
      <c r="A10334" s="52"/>
    </row>
    <row r="10335" spans="1:1" x14ac:dyDescent="0.2">
      <c r="A10335" s="52"/>
    </row>
    <row r="10336" spans="1:1" x14ac:dyDescent="0.2">
      <c r="A10336" s="52"/>
    </row>
    <row r="10337" spans="1:1" x14ac:dyDescent="0.2">
      <c r="A10337" s="52"/>
    </row>
    <row r="10338" spans="1:1" x14ac:dyDescent="0.2">
      <c r="A10338" s="53"/>
    </row>
    <row r="10339" spans="1:1" x14ac:dyDescent="0.2">
      <c r="A10339" s="52"/>
    </row>
    <row r="10340" spans="1:1" x14ac:dyDescent="0.2">
      <c r="A10340" s="52"/>
    </row>
    <row r="10341" spans="1:1" x14ac:dyDescent="0.2">
      <c r="A10341" s="53"/>
    </row>
    <row r="10342" spans="1:1" x14ac:dyDescent="0.2">
      <c r="A10342" s="52"/>
    </row>
    <row r="10343" spans="1:1" x14ac:dyDescent="0.2">
      <c r="A10343" s="52"/>
    </row>
    <row r="10344" spans="1:1" x14ac:dyDescent="0.2">
      <c r="A10344" s="52"/>
    </row>
    <row r="10345" spans="1:1" x14ac:dyDescent="0.2">
      <c r="A10345" s="52"/>
    </row>
    <row r="10346" spans="1:1" x14ac:dyDescent="0.2">
      <c r="A10346" s="52"/>
    </row>
    <row r="10347" spans="1:1" x14ac:dyDescent="0.2">
      <c r="A10347" s="52"/>
    </row>
    <row r="10348" spans="1:1" x14ac:dyDescent="0.2">
      <c r="A10348" s="52"/>
    </row>
    <row r="10349" spans="1:1" x14ac:dyDescent="0.2">
      <c r="A10349" s="52"/>
    </row>
    <row r="10350" spans="1:1" x14ac:dyDescent="0.2">
      <c r="A10350" s="52"/>
    </row>
    <row r="10351" spans="1:1" x14ac:dyDescent="0.2">
      <c r="A10351" s="52"/>
    </row>
    <row r="10352" spans="1:1" x14ac:dyDescent="0.2">
      <c r="A10352" s="52"/>
    </row>
    <row r="10353" spans="1:1" x14ac:dyDescent="0.2">
      <c r="A10353" s="52"/>
    </row>
    <row r="10354" spans="1:1" x14ac:dyDescent="0.2">
      <c r="A10354" s="52"/>
    </row>
    <row r="10355" spans="1:1" x14ac:dyDescent="0.2">
      <c r="A10355" s="52"/>
    </row>
    <row r="10356" spans="1:1" x14ac:dyDescent="0.2">
      <c r="A10356" s="53"/>
    </row>
    <row r="10357" spans="1:1" x14ac:dyDescent="0.2">
      <c r="A10357" s="52"/>
    </row>
    <row r="10358" spans="1:1" x14ac:dyDescent="0.2">
      <c r="A10358" s="52"/>
    </row>
    <row r="10359" spans="1:1" x14ac:dyDescent="0.2">
      <c r="A10359" s="52"/>
    </row>
    <row r="10360" spans="1:1" x14ac:dyDescent="0.2">
      <c r="A10360" s="52"/>
    </row>
    <row r="10361" spans="1:1" x14ac:dyDescent="0.2">
      <c r="A10361" s="52"/>
    </row>
    <row r="10362" spans="1:1" x14ac:dyDescent="0.2">
      <c r="A10362" s="52"/>
    </row>
    <row r="10363" spans="1:1" x14ac:dyDescent="0.2">
      <c r="A10363" s="53"/>
    </row>
    <row r="10364" spans="1:1" x14ac:dyDescent="0.2">
      <c r="A10364" s="52"/>
    </row>
    <row r="10365" spans="1:1" x14ac:dyDescent="0.2">
      <c r="A10365" s="52"/>
    </row>
    <row r="10366" spans="1:1" x14ac:dyDescent="0.2">
      <c r="A10366" s="52"/>
    </row>
    <row r="10367" spans="1:1" x14ac:dyDescent="0.2">
      <c r="A10367" s="52"/>
    </row>
    <row r="10368" spans="1:1" x14ac:dyDescent="0.2">
      <c r="A10368" s="52"/>
    </row>
    <row r="10369" spans="1:1" x14ac:dyDescent="0.2">
      <c r="A10369" s="52"/>
    </row>
    <row r="10370" spans="1:1" x14ac:dyDescent="0.2">
      <c r="A10370" s="52"/>
    </row>
    <row r="10371" spans="1:1" x14ac:dyDescent="0.2">
      <c r="A10371" s="52"/>
    </row>
    <row r="10372" spans="1:1" x14ac:dyDescent="0.2">
      <c r="A10372" s="52"/>
    </row>
    <row r="10373" spans="1:1" x14ac:dyDescent="0.2">
      <c r="A10373" s="52"/>
    </row>
    <row r="10374" spans="1:1" x14ac:dyDescent="0.2">
      <c r="A10374" s="52"/>
    </row>
    <row r="10375" spans="1:1" x14ac:dyDescent="0.2">
      <c r="A10375" s="52"/>
    </row>
    <row r="10376" spans="1:1" x14ac:dyDescent="0.2">
      <c r="A10376" s="52"/>
    </row>
    <row r="10377" spans="1:1" x14ac:dyDescent="0.2">
      <c r="A10377" s="52"/>
    </row>
    <row r="10378" spans="1:1" x14ac:dyDescent="0.2">
      <c r="A10378" s="52"/>
    </row>
    <row r="10379" spans="1:1" x14ac:dyDescent="0.2">
      <c r="A10379" s="52"/>
    </row>
    <row r="10380" spans="1:1" x14ac:dyDescent="0.2">
      <c r="A10380" s="52"/>
    </row>
    <row r="10381" spans="1:1" x14ac:dyDescent="0.2">
      <c r="A10381" s="52"/>
    </row>
    <row r="10382" spans="1:1" x14ac:dyDescent="0.2">
      <c r="A10382" s="52"/>
    </row>
    <row r="10383" spans="1:1" x14ac:dyDescent="0.2">
      <c r="A10383" s="52"/>
    </row>
    <row r="10384" spans="1:1" x14ac:dyDescent="0.2">
      <c r="A10384" s="52"/>
    </row>
    <row r="10385" spans="1:1" x14ac:dyDescent="0.2">
      <c r="A10385" s="52"/>
    </row>
    <row r="10386" spans="1:1" x14ac:dyDescent="0.2">
      <c r="A10386" s="52"/>
    </row>
    <row r="10387" spans="1:1" x14ac:dyDescent="0.2">
      <c r="A10387" s="52"/>
    </row>
    <row r="10388" spans="1:1" x14ac:dyDescent="0.2">
      <c r="A10388" s="52"/>
    </row>
    <row r="10389" spans="1:1" x14ac:dyDescent="0.2">
      <c r="A10389" s="52"/>
    </row>
    <row r="10390" spans="1:1" x14ac:dyDescent="0.2">
      <c r="A10390" s="52"/>
    </row>
    <row r="10391" spans="1:1" x14ac:dyDescent="0.2">
      <c r="A10391" s="52"/>
    </row>
    <row r="10392" spans="1:1" x14ac:dyDescent="0.2">
      <c r="A10392" s="52"/>
    </row>
    <row r="10393" spans="1:1" x14ac:dyDescent="0.2">
      <c r="A10393" s="52"/>
    </row>
    <row r="10394" spans="1:1" x14ac:dyDescent="0.2">
      <c r="A10394" s="52"/>
    </row>
    <row r="10395" spans="1:1" x14ac:dyDescent="0.2">
      <c r="A10395" s="52"/>
    </row>
    <row r="10396" spans="1:1" x14ac:dyDescent="0.2">
      <c r="A10396" s="53"/>
    </row>
    <row r="10397" spans="1:1" x14ac:dyDescent="0.2">
      <c r="A10397" s="52"/>
    </row>
    <row r="10398" spans="1:1" x14ac:dyDescent="0.2">
      <c r="A10398" s="52"/>
    </row>
    <row r="10399" spans="1:1" x14ac:dyDescent="0.2">
      <c r="A10399" s="52"/>
    </row>
    <row r="10400" spans="1:1" x14ac:dyDescent="0.2">
      <c r="A10400" s="52"/>
    </row>
    <row r="10401" spans="1:1" x14ac:dyDescent="0.2">
      <c r="A10401" s="52"/>
    </row>
    <row r="10402" spans="1:1" x14ac:dyDescent="0.2">
      <c r="A10402" s="52"/>
    </row>
    <row r="10403" spans="1:1" x14ac:dyDescent="0.2">
      <c r="A10403" s="52"/>
    </row>
    <row r="10404" spans="1:1" x14ac:dyDescent="0.2">
      <c r="A10404" s="52"/>
    </row>
    <row r="10405" spans="1:1" x14ac:dyDescent="0.2">
      <c r="A10405" s="52"/>
    </row>
    <row r="10406" spans="1:1" x14ac:dyDescent="0.2">
      <c r="A10406" s="52"/>
    </row>
    <row r="10407" spans="1:1" x14ac:dyDescent="0.2">
      <c r="A10407" s="52"/>
    </row>
    <row r="10408" spans="1:1" x14ac:dyDescent="0.2">
      <c r="A10408" s="52"/>
    </row>
    <row r="10409" spans="1:1" x14ac:dyDescent="0.2">
      <c r="A10409" s="52"/>
    </row>
    <row r="10410" spans="1:1" x14ac:dyDescent="0.2">
      <c r="A10410" s="53"/>
    </row>
    <row r="10411" spans="1:1" x14ac:dyDescent="0.2">
      <c r="A10411" s="52"/>
    </row>
    <row r="10412" spans="1:1" x14ac:dyDescent="0.2">
      <c r="A10412" s="52"/>
    </row>
    <row r="10413" spans="1:1" x14ac:dyDescent="0.2">
      <c r="A10413" s="52"/>
    </row>
    <row r="10414" spans="1:1" x14ac:dyDescent="0.2">
      <c r="A10414" s="52"/>
    </row>
    <row r="10415" spans="1:1" x14ac:dyDescent="0.2">
      <c r="A10415" s="52"/>
    </row>
    <row r="10416" spans="1:1" x14ac:dyDescent="0.2">
      <c r="A10416" s="52"/>
    </row>
    <row r="10417" spans="1:1" x14ac:dyDescent="0.2">
      <c r="A10417" s="52"/>
    </row>
    <row r="10418" spans="1:1" x14ac:dyDescent="0.2">
      <c r="A10418" s="52"/>
    </row>
    <row r="10419" spans="1:1" x14ac:dyDescent="0.2">
      <c r="A10419" s="52"/>
    </row>
    <row r="10420" spans="1:1" x14ac:dyDescent="0.2">
      <c r="A10420" s="52"/>
    </row>
    <row r="10421" spans="1:1" x14ac:dyDescent="0.2">
      <c r="A10421" s="52"/>
    </row>
    <row r="10422" spans="1:1" x14ac:dyDescent="0.2">
      <c r="A10422" s="52"/>
    </row>
    <row r="10423" spans="1:1" x14ac:dyDescent="0.2">
      <c r="A10423" s="52"/>
    </row>
    <row r="10424" spans="1:1" x14ac:dyDescent="0.2">
      <c r="A10424" s="52"/>
    </row>
    <row r="10425" spans="1:1" x14ac:dyDescent="0.2">
      <c r="A10425" s="52"/>
    </row>
    <row r="10426" spans="1:1" x14ac:dyDescent="0.2">
      <c r="A10426" s="52"/>
    </row>
    <row r="10427" spans="1:1" x14ac:dyDescent="0.2">
      <c r="A10427" s="52"/>
    </row>
    <row r="10428" spans="1:1" x14ac:dyDescent="0.2">
      <c r="A10428" s="52"/>
    </row>
    <row r="10429" spans="1:1" x14ac:dyDescent="0.2">
      <c r="A10429" s="53"/>
    </row>
    <row r="10430" spans="1:1" x14ac:dyDescent="0.2">
      <c r="A10430" s="52"/>
    </row>
    <row r="10431" spans="1:1" x14ac:dyDescent="0.2">
      <c r="A10431" s="52"/>
    </row>
    <row r="10432" spans="1:1" x14ac:dyDescent="0.2">
      <c r="A10432" s="52"/>
    </row>
    <row r="10433" spans="1:1" x14ac:dyDescent="0.2">
      <c r="A10433" s="52"/>
    </row>
    <row r="10434" spans="1:1" x14ac:dyDescent="0.2">
      <c r="A10434" s="52"/>
    </row>
    <row r="10435" spans="1:1" x14ac:dyDescent="0.2">
      <c r="A10435" s="52"/>
    </row>
    <row r="10436" spans="1:1" x14ac:dyDescent="0.2">
      <c r="A10436" s="52"/>
    </row>
    <row r="10437" spans="1:1" x14ac:dyDescent="0.2">
      <c r="A10437" s="52"/>
    </row>
    <row r="10438" spans="1:1" x14ac:dyDescent="0.2">
      <c r="A10438" s="52"/>
    </row>
    <row r="10439" spans="1:1" x14ac:dyDescent="0.2">
      <c r="A10439" s="53"/>
    </row>
    <row r="10440" spans="1:1" x14ac:dyDescent="0.2">
      <c r="A10440" s="52"/>
    </row>
    <row r="10441" spans="1:1" x14ac:dyDescent="0.2">
      <c r="A10441" s="52"/>
    </row>
    <row r="10442" spans="1:1" x14ac:dyDescent="0.2">
      <c r="A10442" s="52"/>
    </row>
    <row r="10443" spans="1:1" x14ac:dyDescent="0.2">
      <c r="A10443" s="52"/>
    </row>
    <row r="10444" spans="1:1" x14ac:dyDescent="0.2">
      <c r="A10444" s="52"/>
    </row>
    <row r="10445" spans="1:1" x14ac:dyDescent="0.2">
      <c r="A10445" s="52"/>
    </row>
    <row r="10446" spans="1:1" x14ac:dyDescent="0.2">
      <c r="A10446" s="52"/>
    </row>
    <row r="10447" spans="1:1" x14ac:dyDescent="0.2">
      <c r="A10447" s="53"/>
    </row>
    <row r="10448" spans="1:1" x14ac:dyDescent="0.2">
      <c r="A10448" s="52"/>
    </row>
    <row r="10449" spans="1:1" x14ac:dyDescent="0.2">
      <c r="A10449" s="52"/>
    </row>
    <row r="10450" spans="1:1" x14ac:dyDescent="0.2">
      <c r="A10450" s="52"/>
    </row>
    <row r="10451" spans="1:1" x14ac:dyDescent="0.2">
      <c r="A10451" s="52"/>
    </row>
    <row r="10452" spans="1:1" x14ac:dyDescent="0.2">
      <c r="A10452" s="52"/>
    </row>
    <row r="10453" spans="1:1" x14ac:dyDescent="0.2">
      <c r="A10453" s="52"/>
    </row>
    <row r="10454" spans="1:1" x14ac:dyDescent="0.2">
      <c r="A10454" s="52"/>
    </row>
    <row r="10455" spans="1:1" x14ac:dyDescent="0.2">
      <c r="A10455" s="52"/>
    </row>
    <row r="10456" spans="1:1" x14ac:dyDescent="0.2">
      <c r="A10456" s="52"/>
    </row>
    <row r="10457" spans="1:1" x14ac:dyDescent="0.2">
      <c r="A10457" s="52"/>
    </row>
    <row r="10458" spans="1:1" x14ac:dyDescent="0.2">
      <c r="A10458" s="52"/>
    </row>
    <row r="10459" spans="1:1" x14ac:dyDescent="0.2">
      <c r="A10459" s="52"/>
    </row>
    <row r="10460" spans="1:1" x14ac:dyDescent="0.2">
      <c r="A10460" s="52"/>
    </row>
    <row r="10461" spans="1:1" x14ac:dyDescent="0.2">
      <c r="A10461" s="52"/>
    </row>
    <row r="10462" spans="1:1" x14ac:dyDescent="0.2">
      <c r="A10462" s="52"/>
    </row>
    <row r="10463" spans="1:1" x14ac:dyDescent="0.2">
      <c r="A10463" s="53"/>
    </row>
    <row r="10464" spans="1:1" x14ac:dyDescent="0.2">
      <c r="A10464" s="52"/>
    </row>
    <row r="10465" spans="1:1" x14ac:dyDescent="0.2">
      <c r="A10465" s="52"/>
    </row>
    <row r="10466" spans="1:1" x14ac:dyDescent="0.2">
      <c r="A10466" s="52"/>
    </row>
    <row r="10467" spans="1:1" x14ac:dyDescent="0.2">
      <c r="A10467" s="52"/>
    </row>
    <row r="10468" spans="1:1" x14ac:dyDescent="0.2">
      <c r="A10468" s="52"/>
    </row>
    <row r="10469" spans="1:1" x14ac:dyDescent="0.2">
      <c r="A10469" s="52"/>
    </row>
    <row r="10470" spans="1:1" x14ac:dyDescent="0.2">
      <c r="A10470" s="52"/>
    </row>
    <row r="10471" spans="1:1" x14ac:dyDescent="0.2">
      <c r="A10471" s="52"/>
    </row>
    <row r="10472" spans="1:1" x14ac:dyDescent="0.2">
      <c r="A10472" s="52"/>
    </row>
    <row r="10473" spans="1:1" x14ac:dyDescent="0.2">
      <c r="A10473" s="52"/>
    </row>
    <row r="10474" spans="1:1" x14ac:dyDescent="0.2">
      <c r="A10474" s="52"/>
    </row>
    <row r="10475" spans="1:1" x14ac:dyDescent="0.2">
      <c r="A10475" s="52"/>
    </row>
    <row r="10476" spans="1:1" x14ac:dyDescent="0.2">
      <c r="A10476" s="52"/>
    </row>
    <row r="10477" spans="1:1" x14ac:dyDescent="0.2">
      <c r="A10477" s="53"/>
    </row>
    <row r="10478" spans="1:1" x14ac:dyDescent="0.2">
      <c r="A10478" s="52"/>
    </row>
    <row r="10479" spans="1:1" x14ac:dyDescent="0.2">
      <c r="A10479" s="52"/>
    </row>
    <row r="10480" spans="1:1" x14ac:dyDescent="0.2">
      <c r="A10480" s="52"/>
    </row>
    <row r="10481" spans="1:1" x14ac:dyDescent="0.2">
      <c r="A10481" s="52"/>
    </row>
    <row r="10482" spans="1:1" x14ac:dyDescent="0.2">
      <c r="A10482" s="52"/>
    </row>
    <row r="10483" spans="1:1" x14ac:dyDescent="0.2">
      <c r="A10483" s="53"/>
    </row>
    <row r="10484" spans="1:1" x14ac:dyDescent="0.2">
      <c r="A10484" s="52"/>
    </row>
    <row r="10485" spans="1:1" x14ac:dyDescent="0.2">
      <c r="A10485" s="52"/>
    </row>
    <row r="10486" spans="1:1" x14ac:dyDescent="0.2">
      <c r="A10486" s="52"/>
    </row>
    <row r="10487" spans="1:1" x14ac:dyDescent="0.2">
      <c r="A10487" s="52"/>
    </row>
    <row r="10488" spans="1:1" x14ac:dyDescent="0.2">
      <c r="A10488" s="52"/>
    </row>
    <row r="10489" spans="1:1" x14ac:dyDescent="0.2">
      <c r="A10489" s="52"/>
    </row>
    <row r="10490" spans="1:1" x14ac:dyDescent="0.2">
      <c r="A10490" s="52"/>
    </row>
    <row r="10491" spans="1:1" x14ac:dyDescent="0.2">
      <c r="A10491" s="52"/>
    </row>
    <row r="10492" spans="1:1" x14ac:dyDescent="0.2">
      <c r="A10492" s="53"/>
    </row>
    <row r="10493" spans="1:1" x14ac:dyDescent="0.2">
      <c r="A10493" s="52"/>
    </row>
    <row r="10494" spans="1:1" x14ac:dyDescent="0.2">
      <c r="A10494" s="52"/>
    </row>
    <row r="10495" spans="1:1" x14ac:dyDescent="0.2">
      <c r="A10495" s="52"/>
    </row>
    <row r="10496" spans="1:1" x14ac:dyDescent="0.2">
      <c r="A10496" s="52"/>
    </row>
    <row r="10497" spans="1:1" x14ac:dyDescent="0.2">
      <c r="A10497" s="52"/>
    </row>
    <row r="10498" spans="1:1" x14ac:dyDescent="0.2">
      <c r="A10498" s="52"/>
    </row>
    <row r="10499" spans="1:1" x14ac:dyDescent="0.2">
      <c r="A10499" s="52"/>
    </row>
    <row r="10500" spans="1:1" x14ac:dyDescent="0.2">
      <c r="A10500" s="52"/>
    </row>
    <row r="10501" spans="1:1" x14ac:dyDescent="0.2">
      <c r="A10501" s="52"/>
    </row>
    <row r="10502" spans="1:1" x14ac:dyDescent="0.2">
      <c r="A10502" s="52"/>
    </row>
    <row r="10503" spans="1:1" x14ac:dyDescent="0.2">
      <c r="A10503" s="52"/>
    </row>
    <row r="10504" spans="1:1" x14ac:dyDescent="0.2">
      <c r="A10504" s="52"/>
    </row>
    <row r="10505" spans="1:1" x14ac:dyDescent="0.2">
      <c r="A10505" s="52"/>
    </row>
    <row r="10506" spans="1:1" x14ac:dyDescent="0.2">
      <c r="A10506" s="52"/>
    </row>
    <row r="10507" spans="1:1" x14ac:dyDescent="0.2">
      <c r="A10507" s="52"/>
    </row>
    <row r="10508" spans="1:1" x14ac:dyDescent="0.2">
      <c r="A10508" s="52"/>
    </row>
    <row r="10509" spans="1:1" x14ac:dyDescent="0.2">
      <c r="A10509" s="53"/>
    </row>
    <row r="10510" spans="1:1" x14ac:dyDescent="0.2">
      <c r="A10510" s="52"/>
    </row>
    <row r="10511" spans="1:1" x14ac:dyDescent="0.2">
      <c r="A10511" s="53"/>
    </row>
    <row r="10512" spans="1:1" x14ac:dyDescent="0.2">
      <c r="A10512" s="52"/>
    </row>
    <row r="10513" spans="1:1" x14ac:dyDescent="0.2">
      <c r="A10513" s="52"/>
    </row>
    <row r="10514" spans="1:1" x14ac:dyDescent="0.2">
      <c r="A10514" s="52"/>
    </row>
    <row r="10515" spans="1:1" x14ac:dyDescent="0.2">
      <c r="A10515" s="52"/>
    </row>
    <row r="10516" spans="1:1" x14ac:dyDescent="0.2">
      <c r="A10516" s="52"/>
    </row>
    <row r="10517" spans="1:1" x14ac:dyDescent="0.2">
      <c r="A10517" s="52"/>
    </row>
    <row r="10518" spans="1:1" x14ac:dyDescent="0.2">
      <c r="A10518" s="52"/>
    </row>
    <row r="10519" spans="1:1" x14ac:dyDescent="0.2">
      <c r="A10519" s="52"/>
    </row>
    <row r="10520" spans="1:1" x14ac:dyDescent="0.2">
      <c r="A10520" s="52"/>
    </row>
    <row r="10521" spans="1:1" x14ac:dyDescent="0.2">
      <c r="A10521" s="52"/>
    </row>
    <row r="10522" spans="1:1" x14ac:dyDescent="0.2">
      <c r="A10522" s="52"/>
    </row>
    <row r="10523" spans="1:1" x14ac:dyDescent="0.2">
      <c r="A10523" s="52"/>
    </row>
    <row r="10524" spans="1:1" x14ac:dyDescent="0.2">
      <c r="A10524" s="52"/>
    </row>
    <row r="10525" spans="1:1" x14ac:dyDescent="0.2">
      <c r="A10525" s="52"/>
    </row>
    <row r="10526" spans="1:1" x14ac:dyDescent="0.2">
      <c r="A10526" s="52"/>
    </row>
    <row r="10527" spans="1:1" x14ac:dyDescent="0.2">
      <c r="A10527" s="52"/>
    </row>
    <row r="10528" spans="1:1" x14ac:dyDescent="0.2">
      <c r="A10528" s="52"/>
    </row>
    <row r="10529" spans="1:1" x14ac:dyDescent="0.2">
      <c r="A10529" s="52"/>
    </row>
    <row r="10530" spans="1:1" x14ac:dyDescent="0.2">
      <c r="A10530" s="52"/>
    </row>
    <row r="10531" spans="1:1" x14ac:dyDescent="0.2">
      <c r="A10531" s="53"/>
    </row>
    <row r="10532" spans="1:1" x14ac:dyDescent="0.2">
      <c r="A10532" s="52"/>
    </row>
    <row r="10533" spans="1:1" x14ac:dyDescent="0.2">
      <c r="A10533" s="52"/>
    </row>
    <row r="10534" spans="1:1" x14ac:dyDescent="0.2">
      <c r="A10534" s="52"/>
    </row>
    <row r="10535" spans="1:1" x14ac:dyDescent="0.2">
      <c r="A10535" s="52"/>
    </row>
    <row r="10536" spans="1:1" x14ac:dyDescent="0.2">
      <c r="A10536" s="52"/>
    </row>
    <row r="10537" spans="1:1" x14ac:dyDescent="0.2">
      <c r="A10537" s="52"/>
    </row>
    <row r="10538" spans="1:1" x14ac:dyDescent="0.2">
      <c r="A10538" s="52"/>
    </row>
    <row r="10539" spans="1:1" x14ac:dyDescent="0.2">
      <c r="A10539" s="52"/>
    </row>
    <row r="10540" spans="1:1" x14ac:dyDescent="0.2">
      <c r="A10540" s="52"/>
    </row>
    <row r="10541" spans="1:1" x14ac:dyDescent="0.2">
      <c r="A10541" s="52"/>
    </row>
    <row r="10542" spans="1:1" x14ac:dyDescent="0.2">
      <c r="A10542" s="52"/>
    </row>
    <row r="10543" spans="1:1" x14ac:dyDescent="0.2">
      <c r="A10543" s="52"/>
    </row>
    <row r="10544" spans="1:1" x14ac:dyDescent="0.2">
      <c r="A10544" s="52"/>
    </row>
    <row r="10545" spans="1:1" x14ac:dyDescent="0.2">
      <c r="A10545" s="52"/>
    </row>
    <row r="10546" spans="1:1" x14ac:dyDescent="0.2">
      <c r="A10546" s="52"/>
    </row>
    <row r="10547" spans="1:1" x14ac:dyDescent="0.2">
      <c r="A10547" s="53"/>
    </row>
    <row r="10548" spans="1:1" x14ac:dyDescent="0.2">
      <c r="A10548" s="52"/>
    </row>
    <row r="10549" spans="1:1" x14ac:dyDescent="0.2">
      <c r="A10549" s="53"/>
    </row>
    <row r="10550" spans="1:1" x14ac:dyDescent="0.2">
      <c r="A10550" s="52"/>
    </row>
    <row r="10551" spans="1:1" x14ac:dyDescent="0.2">
      <c r="A10551" s="52"/>
    </row>
    <row r="10552" spans="1:1" x14ac:dyDescent="0.2">
      <c r="A10552" s="52"/>
    </row>
    <row r="10553" spans="1:1" x14ac:dyDescent="0.2">
      <c r="A10553" s="52"/>
    </row>
    <row r="10554" spans="1:1" x14ac:dyDescent="0.2">
      <c r="A10554" s="52"/>
    </row>
    <row r="10555" spans="1:1" x14ac:dyDescent="0.2">
      <c r="A10555" s="52"/>
    </row>
    <row r="10556" spans="1:1" x14ac:dyDescent="0.2">
      <c r="A10556" s="52"/>
    </row>
    <row r="10557" spans="1:1" x14ac:dyDescent="0.2">
      <c r="A10557" s="52"/>
    </row>
    <row r="10558" spans="1:1" x14ac:dyDescent="0.2">
      <c r="A10558" s="52"/>
    </row>
    <row r="10559" spans="1:1" x14ac:dyDescent="0.2">
      <c r="A10559" s="53"/>
    </row>
    <row r="10560" spans="1:1" x14ac:dyDescent="0.2">
      <c r="A10560" s="52"/>
    </row>
    <row r="10561" spans="1:1" x14ac:dyDescent="0.2">
      <c r="A10561" s="52"/>
    </row>
    <row r="10562" spans="1:1" x14ac:dyDescent="0.2">
      <c r="A10562" s="52"/>
    </row>
    <row r="10563" spans="1:1" x14ac:dyDescent="0.2">
      <c r="A10563" s="52"/>
    </row>
    <row r="10564" spans="1:1" x14ac:dyDescent="0.2">
      <c r="A10564" s="52"/>
    </row>
    <row r="10565" spans="1:1" x14ac:dyDescent="0.2">
      <c r="A10565" s="52"/>
    </row>
    <row r="10566" spans="1:1" x14ac:dyDescent="0.2">
      <c r="A10566" s="52"/>
    </row>
    <row r="10567" spans="1:1" x14ac:dyDescent="0.2">
      <c r="A10567" s="52"/>
    </row>
    <row r="10568" spans="1:1" x14ac:dyDescent="0.2">
      <c r="A10568" s="52"/>
    </row>
    <row r="10569" spans="1:1" x14ac:dyDescent="0.2">
      <c r="A10569" s="52"/>
    </row>
    <row r="10570" spans="1:1" x14ac:dyDescent="0.2">
      <c r="A10570" s="52"/>
    </row>
    <row r="10571" spans="1:1" x14ac:dyDescent="0.2">
      <c r="A10571" s="52"/>
    </row>
    <row r="10572" spans="1:1" x14ac:dyDescent="0.2">
      <c r="A10572" s="52"/>
    </row>
    <row r="10573" spans="1:1" x14ac:dyDescent="0.2">
      <c r="A10573" s="52"/>
    </row>
    <row r="10574" spans="1:1" x14ac:dyDescent="0.2">
      <c r="A10574" s="52"/>
    </row>
    <row r="10575" spans="1:1" x14ac:dyDescent="0.2">
      <c r="A10575" s="52"/>
    </row>
    <row r="10576" spans="1:1" x14ac:dyDescent="0.2">
      <c r="A10576" s="52"/>
    </row>
    <row r="10577" spans="1:1" x14ac:dyDescent="0.2">
      <c r="A10577" s="52"/>
    </row>
    <row r="10578" spans="1:1" x14ac:dyDescent="0.2">
      <c r="A10578" s="52"/>
    </row>
    <row r="10579" spans="1:1" x14ac:dyDescent="0.2">
      <c r="A10579" s="52"/>
    </row>
    <row r="10580" spans="1:1" x14ac:dyDescent="0.2">
      <c r="A10580" s="52"/>
    </row>
    <row r="10581" spans="1:1" x14ac:dyDescent="0.2">
      <c r="A10581" s="52"/>
    </row>
    <row r="10582" spans="1:1" x14ac:dyDescent="0.2">
      <c r="A10582" s="52"/>
    </row>
    <row r="10583" spans="1:1" x14ac:dyDescent="0.2">
      <c r="A10583" s="52"/>
    </row>
    <row r="10584" spans="1:1" x14ac:dyDescent="0.2">
      <c r="A10584" s="52"/>
    </row>
    <row r="10585" spans="1:1" x14ac:dyDescent="0.2">
      <c r="A10585" s="53"/>
    </row>
    <row r="10586" spans="1:1" x14ac:dyDescent="0.2">
      <c r="A10586" s="52"/>
    </row>
    <row r="10587" spans="1:1" x14ac:dyDescent="0.2">
      <c r="A10587" s="53"/>
    </row>
    <row r="10588" spans="1:1" x14ac:dyDescent="0.2">
      <c r="A10588" s="52"/>
    </row>
    <row r="10589" spans="1:1" x14ac:dyDescent="0.2">
      <c r="A10589" s="52"/>
    </row>
    <row r="10590" spans="1:1" x14ac:dyDescent="0.2">
      <c r="A10590" s="52"/>
    </row>
    <row r="10591" spans="1:1" x14ac:dyDescent="0.2">
      <c r="A10591" s="52"/>
    </row>
    <row r="10592" spans="1:1" x14ac:dyDescent="0.2">
      <c r="A10592" s="52"/>
    </row>
    <row r="10593" spans="1:1" x14ac:dyDescent="0.2">
      <c r="A10593" s="52"/>
    </row>
    <row r="10594" spans="1:1" x14ac:dyDescent="0.2">
      <c r="A10594" s="52"/>
    </row>
    <row r="10595" spans="1:1" x14ac:dyDescent="0.2">
      <c r="A10595" s="52"/>
    </row>
    <row r="10596" spans="1:1" x14ac:dyDescent="0.2">
      <c r="A10596" s="52"/>
    </row>
    <row r="10597" spans="1:1" x14ac:dyDescent="0.2">
      <c r="A10597" s="52"/>
    </row>
    <row r="10598" spans="1:1" x14ac:dyDescent="0.2">
      <c r="A10598" s="52"/>
    </row>
    <row r="10599" spans="1:1" x14ac:dyDescent="0.2">
      <c r="A10599" s="52"/>
    </row>
    <row r="10600" spans="1:1" x14ac:dyDescent="0.2">
      <c r="A10600" s="52"/>
    </row>
    <row r="10601" spans="1:1" x14ac:dyDescent="0.2">
      <c r="A10601" s="52"/>
    </row>
    <row r="10602" spans="1:1" x14ac:dyDescent="0.2">
      <c r="A10602" s="52"/>
    </row>
    <row r="10603" spans="1:1" x14ac:dyDescent="0.2">
      <c r="A10603" s="52"/>
    </row>
    <row r="10604" spans="1:1" x14ac:dyDescent="0.2">
      <c r="A10604" s="52"/>
    </row>
    <row r="10605" spans="1:1" x14ac:dyDescent="0.2">
      <c r="A10605" s="52"/>
    </row>
    <row r="10606" spans="1:1" x14ac:dyDescent="0.2">
      <c r="A10606" s="52"/>
    </row>
    <row r="10607" spans="1:1" x14ac:dyDescent="0.2">
      <c r="A10607" s="53"/>
    </row>
    <row r="10608" spans="1:1" x14ac:dyDescent="0.2">
      <c r="A10608" s="52"/>
    </row>
    <row r="10609" spans="1:1" x14ac:dyDescent="0.2">
      <c r="A10609" s="52"/>
    </row>
    <row r="10610" spans="1:1" x14ac:dyDescent="0.2">
      <c r="A10610" s="52"/>
    </row>
    <row r="10611" spans="1:1" x14ac:dyDescent="0.2">
      <c r="A10611" s="52"/>
    </row>
    <row r="10612" spans="1:1" x14ac:dyDescent="0.2">
      <c r="A10612" s="52"/>
    </row>
    <row r="10613" spans="1:1" x14ac:dyDescent="0.2">
      <c r="A10613" s="52"/>
    </row>
    <row r="10614" spans="1:1" x14ac:dyDescent="0.2">
      <c r="A10614" s="52"/>
    </row>
    <row r="10615" spans="1:1" x14ac:dyDescent="0.2">
      <c r="A10615" s="52"/>
    </row>
    <row r="10616" spans="1:1" x14ac:dyDescent="0.2">
      <c r="A10616" s="52"/>
    </row>
    <row r="10617" spans="1:1" x14ac:dyDescent="0.2">
      <c r="A10617" s="52"/>
    </row>
    <row r="10618" spans="1:1" x14ac:dyDescent="0.2">
      <c r="A10618" s="52"/>
    </row>
    <row r="10619" spans="1:1" x14ac:dyDescent="0.2">
      <c r="A10619" s="52"/>
    </row>
    <row r="10620" spans="1:1" x14ac:dyDescent="0.2">
      <c r="A10620" s="52"/>
    </row>
    <row r="10621" spans="1:1" x14ac:dyDescent="0.2">
      <c r="A10621" s="52"/>
    </row>
    <row r="10622" spans="1:1" x14ac:dyDescent="0.2">
      <c r="A10622" s="52"/>
    </row>
    <row r="10623" spans="1:1" x14ac:dyDescent="0.2">
      <c r="A10623" s="52"/>
    </row>
    <row r="10624" spans="1:1" x14ac:dyDescent="0.2">
      <c r="A10624" s="53"/>
    </row>
    <row r="10625" spans="1:1" x14ac:dyDescent="0.2">
      <c r="A10625" s="52"/>
    </row>
    <row r="10626" spans="1:1" x14ac:dyDescent="0.2">
      <c r="A10626" s="52"/>
    </row>
    <row r="10627" spans="1:1" x14ac:dyDescent="0.2">
      <c r="A10627" s="52"/>
    </row>
    <row r="10628" spans="1:1" x14ac:dyDescent="0.2">
      <c r="A10628" s="52"/>
    </row>
    <row r="10629" spans="1:1" x14ac:dyDescent="0.2">
      <c r="A10629" s="52"/>
    </row>
    <row r="10630" spans="1:1" x14ac:dyDescent="0.2">
      <c r="A10630" s="52"/>
    </row>
    <row r="10631" spans="1:1" x14ac:dyDescent="0.2">
      <c r="A10631" s="52"/>
    </row>
    <row r="10632" spans="1:1" x14ac:dyDescent="0.2">
      <c r="A10632" s="52"/>
    </row>
    <row r="10633" spans="1:1" x14ac:dyDescent="0.2">
      <c r="A10633" s="52"/>
    </row>
    <row r="10634" spans="1:1" x14ac:dyDescent="0.2">
      <c r="A10634" s="52"/>
    </row>
    <row r="10635" spans="1:1" x14ac:dyDescent="0.2">
      <c r="A10635" s="52"/>
    </row>
    <row r="10636" spans="1:1" x14ac:dyDescent="0.2">
      <c r="A10636" s="52"/>
    </row>
    <row r="10637" spans="1:1" x14ac:dyDescent="0.2">
      <c r="A10637" s="52"/>
    </row>
    <row r="10638" spans="1:1" x14ac:dyDescent="0.2">
      <c r="A10638" s="52"/>
    </row>
    <row r="10639" spans="1:1" x14ac:dyDescent="0.2">
      <c r="A10639" s="52"/>
    </row>
    <row r="10640" spans="1:1" x14ac:dyDescent="0.2">
      <c r="A10640" s="52"/>
    </row>
    <row r="10641" spans="1:1" x14ac:dyDescent="0.2">
      <c r="A10641" s="52"/>
    </row>
    <row r="10642" spans="1:1" x14ac:dyDescent="0.2">
      <c r="A10642" s="52"/>
    </row>
    <row r="10643" spans="1:1" x14ac:dyDescent="0.2">
      <c r="A10643" s="53"/>
    </row>
    <row r="10644" spans="1:1" x14ac:dyDescent="0.2">
      <c r="A10644" s="52"/>
    </row>
    <row r="10645" spans="1:1" x14ac:dyDescent="0.2">
      <c r="A10645" s="52"/>
    </row>
    <row r="10646" spans="1:1" x14ac:dyDescent="0.2">
      <c r="A10646" s="52"/>
    </row>
    <row r="10647" spans="1:1" x14ac:dyDescent="0.2">
      <c r="A10647" s="52"/>
    </row>
    <row r="10648" spans="1:1" x14ac:dyDescent="0.2">
      <c r="A10648" s="52"/>
    </row>
    <row r="10649" spans="1:1" x14ac:dyDescent="0.2">
      <c r="A10649" s="52"/>
    </row>
    <row r="10650" spans="1:1" x14ac:dyDescent="0.2">
      <c r="A10650" s="52"/>
    </row>
    <row r="10651" spans="1:1" x14ac:dyDescent="0.2">
      <c r="A10651" s="52"/>
    </row>
    <row r="10652" spans="1:1" x14ac:dyDescent="0.2">
      <c r="A10652" s="52"/>
    </row>
    <row r="10653" spans="1:1" x14ac:dyDescent="0.2">
      <c r="A10653" s="52"/>
    </row>
    <row r="10654" spans="1:1" x14ac:dyDescent="0.2">
      <c r="A10654" s="52"/>
    </row>
    <row r="10655" spans="1:1" x14ac:dyDescent="0.2">
      <c r="A10655" s="52"/>
    </row>
    <row r="10656" spans="1:1" x14ac:dyDescent="0.2">
      <c r="A10656" s="52"/>
    </row>
    <row r="10657" spans="1:1" x14ac:dyDescent="0.2">
      <c r="A10657" s="52"/>
    </row>
    <row r="10658" spans="1:1" x14ac:dyDescent="0.2">
      <c r="A10658" s="53"/>
    </row>
    <row r="10659" spans="1:1" x14ac:dyDescent="0.2">
      <c r="A10659" s="52"/>
    </row>
    <row r="10660" spans="1:1" x14ac:dyDescent="0.2">
      <c r="A10660" s="52"/>
    </row>
    <row r="10661" spans="1:1" x14ac:dyDescent="0.2">
      <c r="A10661" s="52"/>
    </row>
    <row r="10662" spans="1:1" x14ac:dyDescent="0.2">
      <c r="A10662" s="52"/>
    </row>
    <row r="10663" spans="1:1" x14ac:dyDescent="0.2">
      <c r="A10663" s="53"/>
    </row>
    <row r="10664" spans="1:1" x14ac:dyDescent="0.2">
      <c r="A10664" s="52"/>
    </row>
    <row r="10665" spans="1:1" x14ac:dyDescent="0.2">
      <c r="A10665" s="52"/>
    </row>
    <row r="10666" spans="1:1" x14ac:dyDescent="0.2">
      <c r="A10666" s="52"/>
    </row>
    <row r="10667" spans="1:1" x14ac:dyDescent="0.2">
      <c r="A10667" s="52"/>
    </row>
    <row r="10668" spans="1:1" x14ac:dyDescent="0.2">
      <c r="A10668" s="52"/>
    </row>
    <row r="10669" spans="1:1" x14ac:dyDescent="0.2">
      <c r="A10669" s="52"/>
    </row>
    <row r="10670" spans="1:1" x14ac:dyDescent="0.2">
      <c r="A10670" s="52"/>
    </row>
    <row r="10671" spans="1:1" x14ac:dyDescent="0.2">
      <c r="A10671" s="52"/>
    </row>
    <row r="10672" spans="1:1" x14ac:dyDescent="0.2">
      <c r="A10672" s="52"/>
    </row>
    <row r="10673" spans="1:1" x14ac:dyDescent="0.2">
      <c r="A10673" s="52"/>
    </row>
    <row r="10674" spans="1:1" x14ac:dyDescent="0.2">
      <c r="A10674" s="52"/>
    </row>
    <row r="10675" spans="1:1" x14ac:dyDescent="0.2">
      <c r="A10675" s="52"/>
    </row>
    <row r="10676" spans="1:1" x14ac:dyDescent="0.2">
      <c r="A10676" s="52"/>
    </row>
    <row r="10677" spans="1:1" x14ac:dyDescent="0.2">
      <c r="A10677" s="52"/>
    </row>
    <row r="10678" spans="1:1" x14ac:dyDescent="0.2">
      <c r="A10678" s="52"/>
    </row>
    <row r="10679" spans="1:1" x14ac:dyDescent="0.2">
      <c r="A10679" s="52"/>
    </row>
    <row r="10680" spans="1:1" x14ac:dyDescent="0.2">
      <c r="A10680" s="53"/>
    </row>
    <row r="10681" spans="1:1" x14ac:dyDescent="0.2">
      <c r="A10681" s="52"/>
    </row>
    <row r="10682" spans="1:1" x14ac:dyDescent="0.2">
      <c r="A10682" s="52"/>
    </row>
    <row r="10683" spans="1:1" x14ac:dyDescent="0.2">
      <c r="A10683" s="52"/>
    </row>
    <row r="10684" spans="1:1" x14ac:dyDescent="0.2">
      <c r="A10684" s="52"/>
    </row>
    <row r="10685" spans="1:1" x14ac:dyDescent="0.2">
      <c r="A10685" s="52"/>
    </row>
    <row r="10686" spans="1:1" x14ac:dyDescent="0.2">
      <c r="A10686" s="52"/>
    </row>
    <row r="10687" spans="1:1" x14ac:dyDescent="0.2">
      <c r="A10687" s="52"/>
    </row>
    <row r="10688" spans="1:1" x14ac:dyDescent="0.2">
      <c r="A10688" s="52"/>
    </row>
    <row r="10689" spans="1:1" x14ac:dyDescent="0.2">
      <c r="A10689" s="52"/>
    </row>
    <row r="10690" spans="1:1" x14ac:dyDescent="0.2">
      <c r="A10690" s="52"/>
    </row>
    <row r="10691" spans="1:1" x14ac:dyDescent="0.2">
      <c r="A10691" s="52"/>
    </row>
    <row r="10692" spans="1:1" x14ac:dyDescent="0.2">
      <c r="A10692" s="52"/>
    </row>
    <row r="10693" spans="1:1" x14ac:dyDescent="0.2">
      <c r="A10693" s="52"/>
    </row>
    <row r="10694" spans="1:1" x14ac:dyDescent="0.2">
      <c r="A10694" s="52"/>
    </row>
    <row r="10695" spans="1:1" x14ac:dyDescent="0.2">
      <c r="A10695" s="52"/>
    </row>
    <row r="10696" spans="1:1" x14ac:dyDescent="0.2">
      <c r="A10696" s="52"/>
    </row>
    <row r="10697" spans="1:1" x14ac:dyDescent="0.2">
      <c r="A10697" s="52"/>
    </row>
    <row r="10698" spans="1:1" x14ac:dyDescent="0.2">
      <c r="A10698" s="52"/>
    </row>
    <row r="10699" spans="1:1" x14ac:dyDescent="0.2">
      <c r="A10699" s="52"/>
    </row>
    <row r="10700" spans="1:1" x14ac:dyDescent="0.2">
      <c r="A10700" s="52"/>
    </row>
    <row r="10701" spans="1:1" x14ac:dyDescent="0.2">
      <c r="A10701" s="52"/>
    </row>
    <row r="10702" spans="1:1" x14ac:dyDescent="0.2">
      <c r="A10702" s="52"/>
    </row>
    <row r="10703" spans="1:1" x14ac:dyDescent="0.2">
      <c r="A10703" s="52"/>
    </row>
    <row r="10704" spans="1:1" x14ac:dyDescent="0.2">
      <c r="A10704" s="52"/>
    </row>
    <row r="10705" spans="1:1" x14ac:dyDescent="0.2">
      <c r="A10705" s="52"/>
    </row>
    <row r="10706" spans="1:1" x14ac:dyDescent="0.2">
      <c r="A10706" s="52"/>
    </row>
    <row r="10707" spans="1:1" x14ac:dyDescent="0.2">
      <c r="A10707" s="52"/>
    </row>
    <row r="10708" spans="1:1" x14ac:dyDescent="0.2">
      <c r="A10708" s="52"/>
    </row>
    <row r="10709" spans="1:1" x14ac:dyDescent="0.2">
      <c r="A10709" s="52"/>
    </row>
    <row r="10710" spans="1:1" x14ac:dyDescent="0.2">
      <c r="A10710" s="52"/>
    </row>
    <row r="10711" spans="1:1" x14ac:dyDescent="0.2">
      <c r="A10711" s="52"/>
    </row>
    <row r="10712" spans="1:1" x14ac:dyDescent="0.2">
      <c r="A10712" s="52"/>
    </row>
    <row r="10713" spans="1:1" x14ac:dyDescent="0.2">
      <c r="A10713" s="52"/>
    </row>
    <row r="10714" spans="1:1" x14ac:dyDescent="0.2">
      <c r="A10714" s="52"/>
    </row>
    <row r="10715" spans="1:1" x14ac:dyDescent="0.2">
      <c r="A10715" s="52"/>
    </row>
    <row r="10716" spans="1:1" x14ac:dyDescent="0.2">
      <c r="A10716" s="52"/>
    </row>
    <row r="10717" spans="1:1" x14ac:dyDescent="0.2">
      <c r="A10717" s="52"/>
    </row>
    <row r="10718" spans="1:1" x14ac:dyDescent="0.2">
      <c r="A10718" s="52"/>
    </row>
    <row r="10719" spans="1:1" x14ac:dyDescent="0.2">
      <c r="A10719" s="52"/>
    </row>
    <row r="10720" spans="1:1" x14ac:dyDescent="0.2">
      <c r="A10720" s="52"/>
    </row>
    <row r="10721" spans="1:1" x14ac:dyDescent="0.2">
      <c r="A10721" s="53"/>
    </row>
    <row r="10722" spans="1:1" x14ac:dyDescent="0.2">
      <c r="A10722" s="52"/>
    </row>
    <row r="10723" spans="1:1" x14ac:dyDescent="0.2">
      <c r="A10723" s="52"/>
    </row>
    <row r="10724" spans="1:1" x14ac:dyDescent="0.2">
      <c r="A10724" s="52"/>
    </row>
    <row r="10725" spans="1:1" x14ac:dyDescent="0.2">
      <c r="A10725" s="52"/>
    </row>
    <row r="10726" spans="1:1" x14ac:dyDescent="0.2">
      <c r="A10726" s="52"/>
    </row>
    <row r="10727" spans="1:1" x14ac:dyDescent="0.2">
      <c r="A10727" s="52"/>
    </row>
    <row r="10728" spans="1:1" x14ac:dyDescent="0.2">
      <c r="A10728" s="52"/>
    </row>
    <row r="10729" spans="1:1" x14ac:dyDescent="0.2">
      <c r="A10729" s="52"/>
    </row>
    <row r="10730" spans="1:1" x14ac:dyDescent="0.2">
      <c r="A10730" s="52"/>
    </row>
    <row r="10731" spans="1:1" x14ac:dyDescent="0.2">
      <c r="A10731" s="52"/>
    </row>
    <row r="10732" spans="1:1" x14ac:dyDescent="0.2">
      <c r="A10732" s="52"/>
    </row>
    <row r="10733" spans="1:1" x14ac:dyDescent="0.2">
      <c r="A10733" s="52"/>
    </row>
    <row r="10734" spans="1:1" x14ac:dyDescent="0.2">
      <c r="A10734" s="53"/>
    </row>
    <row r="10735" spans="1:1" x14ac:dyDescent="0.2">
      <c r="A10735" s="52"/>
    </row>
    <row r="10736" spans="1:1" x14ac:dyDescent="0.2">
      <c r="A10736" s="52"/>
    </row>
    <row r="10737" spans="1:1" x14ac:dyDescent="0.2">
      <c r="A10737" s="52"/>
    </row>
    <row r="10738" spans="1:1" x14ac:dyDescent="0.2">
      <c r="A10738" s="52"/>
    </row>
    <row r="10739" spans="1:1" x14ac:dyDescent="0.2">
      <c r="A10739" s="52"/>
    </row>
    <row r="10740" spans="1:1" x14ac:dyDescent="0.2">
      <c r="A10740" s="52"/>
    </row>
    <row r="10741" spans="1:1" x14ac:dyDescent="0.2">
      <c r="A10741" s="53"/>
    </row>
    <row r="10742" spans="1:1" x14ac:dyDescent="0.2">
      <c r="A10742" s="52"/>
    </row>
    <row r="10743" spans="1:1" x14ac:dyDescent="0.2">
      <c r="A10743" s="52"/>
    </row>
    <row r="10744" spans="1:1" x14ac:dyDescent="0.2">
      <c r="A10744" s="52"/>
    </row>
    <row r="10745" spans="1:1" x14ac:dyDescent="0.2">
      <c r="A10745" s="52"/>
    </row>
    <row r="10746" spans="1:1" x14ac:dyDescent="0.2">
      <c r="A10746" s="52"/>
    </row>
    <row r="10747" spans="1:1" x14ac:dyDescent="0.2">
      <c r="A10747" s="52"/>
    </row>
    <row r="10748" spans="1:1" x14ac:dyDescent="0.2">
      <c r="A10748" s="52"/>
    </row>
    <row r="10749" spans="1:1" x14ac:dyDescent="0.2">
      <c r="A10749" s="52"/>
    </row>
    <row r="10750" spans="1:1" x14ac:dyDescent="0.2">
      <c r="A10750" s="52"/>
    </row>
    <row r="10751" spans="1:1" x14ac:dyDescent="0.2">
      <c r="A10751" s="52"/>
    </row>
    <row r="10752" spans="1:1" x14ac:dyDescent="0.2">
      <c r="A10752" s="52"/>
    </row>
    <row r="10753" spans="1:1" x14ac:dyDescent="0.2">
      <c r="A10753" s="52"/>
    </row>
    <row r="10754" spans="1:1" x14ac:dyDescent="0.2">
      <c r="A10754" s="52"/>
    </row>
    <row r="10755" spans="1:1" x14ac:dyDescent="0.2">
      <c r="A10755" s="52"/>
    </row>
    <row r="10756" spans="1:1" x14ac:dyDescent="0.2">
      <c r="A10756" s="52"/>
    </row>
    <row r="10757" spans="1:1" x14ac:dyDescent="0.2">
      <c r="A10757" s="52"/>
    </row>
    <row r="10758" spans="1:1" x14ac:dyDescent="0.2">
      <c r="A10758" s="52"/>
    </row>
    <row r="10759" spans="1:1" x14ac:dyDescent="0.2">
      <c r="A10759" s="53"/>
    </row>
    <row r="10760" spans="1:1" x14ac:dyDescent="0.2">
      <c r="A10760" s="52"/>
    </row>
    <row r="10761" spans="1:1" x14ac:dyDescent="0.2">
      <c r="A10761" s="52"/>
    </row>
    <row r="10762" spans="1:1" x14ac:dyDescent="0.2">
      <c r="A10762" s="52"/>
    </row>
    <row r="10763" spans="1:1" x14ac:dyDescent="0.2">
      <c r="A10763" s="52"/>
    </row>
    <row r="10764" spans="1:1" x14ac:dyDescent="0.2">
      <c r="A10764" s="52"/>
    </row>
    <row r="10765" spans="1:1" x14ac:dyDescent="0.2">
      <c r="A10765" s="52"/>
    </row>
    <row r="10766" spans="1:1" x14ac:dyDescent="0.2">
      <c r="A10766" s="52"/>
    </row>
    <row r="10767" spans="1:1" x14ac:dyDescent="0.2">
      <c r="A10767" s="52"/>
    </row>
    <row r="10768" spans="1:1" x14ac:dyDescent="0.2">
      <c r="A10768" s="52"/>
    </row>
    <row r="10769" spans="1:1" x14ac:dyDescent="0.2">
      <c r="A10769" s="52"/>
    </row>
    <row r="10770" spans="1:1" x14ac:dyDescent="0.2">
      <c r="A10770" s="53"/>
    </row>
    <row r="10771" spans="1:1" x14ac:dyDescent="0.2">
      <c r="A10771" s="52"/>
    </row>
    <row r="10772" spans="1:1" x14ac:dyDescent="0.2">
      <c r="A10772" s="52"/>
    </row>
    <row r="10773" spans="1:1" x14ac:dyDescent="0.2">
      <c r="A10773" s="52"/>
    </row>
    <row r="10774" spans="1:1" x14ac:dyDescent="0.2">
      <c r="A10774" s="52"/>
    </row>
    <row r="10775" spans="1:1" x14ac:dyDescent="0.2">
      <c r="A10775" s="52"/>
    </row>
    <row r="10776" spans="1:1" x14ac:dyDescent="0.2">
      <c r="A10776" s="52"/>
    </row>
    <row r="10777" spans="1:1" x14ac:dyDescent="0.2">
      <c r="A10777" s="52"/>
    </row>
    <row r="10778" spans="1:1" x14ac:dyDescent="0.2">
      <c r="A10778" s="53"/>
    </row>
    <row r="10779" spans="1:1" x14ac:dyDescent="0.2">
      <c r="A10779" s="53"/>
    </row>
    <row r="10780" spans="1:1" x14ac:dyDescent="0.2">
      <c r="A10780" s="52"/>
    </row>
    <row r="10781" spans="1:1" x14ac:dyDescent="0.2">
      <c r="A10781" s="52"/>
    </row>
    <row r="10782" spans="1:1" x14ac:dyDescent="0.2">
      <c r="A10782" s="52"/>
    </row>
    <row r="10783" spans="1:1" x14ac:dyDescent="0.2">
      <c r="A10783" s="52"/>
    </row>
    <row r="10784" spans="1:1" x14ac:dyDescent="0.2">
      <c r="A10784" s="52"/>
    </row>
    <row r="10785" spans="1:1" x14ac:dyDescent="0.2">
      <c r="A10785" s="52"/>
    </row>
    <row r="10786" spans="1:1" x14ac:dyDescent="0.2">
      <c r="A10786" s="52"/>
    </row>
    <row r="10787" spans="1:1" x14ac:dyDescent="0.2">
      <c r="A10787" s="52"/>
    </row>
    <row r="10788" spans="1:1" x14ac:dyDescent="0.2">
      <c r="A10788" s="52"/>
    </row>
    <row r="10789" spans="1:1" x14ac:dyDescent="0.2">
      <c r="A10789" s="52"/>
    </row>
    <row r="10790" spans="1:1" x14ac:dyDescent="0.2">
      <c r="A10790" s="52"/>
    </row>
    <row r="10791" spans="1:1" x14ac:dyDescent="0.2">
      <c r="A10791" s="52"/>
    </row>
    <row r="10792" spans="1:1" x14ac:dyDescent="0.2">
      <c r="A10792" s="53"/>
    </row>
    <row r="10793" spans="1:1" x14ac:dyDescent="0.2">
      <c r="A10793" s="52"/>
    </row>
    <row r="10794" spans="1:1" x14ac:dyDescent="0.2">
      <c r="A10794" s="52"/>
    </row>
    <row r="10795" spans="1:1" x14ac:dyDescent="0.2">
      <c r="A10795" s="52"/>
    </row>
    <row r="10796" spans="1:1" x14ac:dyDescent="0.2">
      <c r="A10796" s="52"/>
    </row>
    <row r="10797" spans="1:1" x14ac:dyDescent="0.2">
      <c r="A10797" s="53"/>
    </row>
    <row r="10798" spans="1:1" x14ac:dyDescent="0.2">
      <c r="A10798" s="52"/>
    </row>
    <row r="10799" spans="1:1" x14ac:dyDescent="0.2">
      <c r="A10799" s="53"/>
    </row>
    <row r="10800" spans="1:1" x14ac:dyDescent="0.2">
      <c r="A10800" s="52"/>
    </row>
    <row r="10801" spans="1:1" x14ac:dyDescent="0.2">
      <c r="A10801" s="52"/>
    </row>
    <row r="10802" spans="1:1" x14ac:dyDescent="0.2">
      <c r="A10802" s="52"/>
    </row>
    <row r="10803" spans="1:1" x14ac:dyDescent="0.2">
      <c r="A10803" s="52"/>
    </row>
    <row r="10804" spans="1:1" x14ac:dyDescent="0.2">
      <c r="A10804" s="52"/>
    </row>
    <row r="10805" spans="1:1" x14ac:dyDescent="0.2">
      <c r="A10805" s="52"/>
    </row>
    <row r="10806" spans="1:1" x14ac:dyDescent="0.2">
      <c r="A10806" s="52"/>
    </row>
    <row r="10807" spans="1:1" x14ac:dyDescent="0.2">
      <c r="A10807" s="52"/>
    </row>
    <row r="10808" spans="1:1" x14ac:dyDescent="0.2">
      <c r="A10808" s="52"/>
    </row>
    <row r="10809" spans="1:1" x14ac:dyDescent="0.2">
      <c r="A10809" s="52"/>
    </row>
    <row r="10810" spans="1:1" x14ac:dyDescent="0.2">
      <c r="A10810" s="52"/>
    </row>
    <row r="10811" spans="1:1" x14ac:dyDescent="0.2">
      <c r="A10811" s="53"/>
    </row>
    <row r="10812" spans="1:1" x14ac:dyDescent="0.2">
      <c r="A10812" s="52"/>
    </row>
    <row r="10813" spans="1:1" x14ac:dyDescent="0.2">
      <c r="A10813" s="52"/>
    </row>
    <row r="10814" spans="1:1" x14ac:dyDescent="0.2">
      <c r="A10814" s="52"/>
    </row>
    <row r="10815" spans="1:1" x14ac:dyDescent="0.2">
      <c r="A10815" s="52"/>
    </row>
    <row r="10816" spans="1:1" x14ac:dyDescent="0.2">
      <c r="A10816" s="52"/>
    </row>
    <row r="10817" spans="1:1" x14ac:dyDescent="0.2">
      <c r="A10817" s="52"/>
    </row>
    <row r="10818" spans="1:1" x14ac:dyDescent="0.2">
      <c r="A10818" s="52"/>
    </row>
    <row r="10819" spans="1:1" x14ac:dyDescent="0.2">
      <c r="A10819" s="52"/>
    </row>
    <row r="10820" spans="1:1" x14ac:dyDescent="0.2">
      <c r="A10820" s="52"/>
    </row>
    <row r="10821" spans="1:1" x14ac:dyDescent="0.2">
      <c r="A10821" s="52"/>
    </row>
    <row r="10822" spans="1:1" x14ac:dyDescent="0.2">
      <c r="A10822" s="52"/>
    </row>
    <row r="10823" spans="1:1" x14ac:dyDescent="0.2">
      <c r="A10823" s="53"/>
    </row>
    <row r="10824" spans="1:1" x14ac:dyDescent="0.2">
      <c r="A10824" s="52"/>
    </row>
    <row r="10825" spans="1:1" x14ac:dyDescent="0.2">
      <c r="A10825" s="52"/>
    </row>
    <row r="10826" spans="1:1" x14ac:dyDescent="0.2">
      <c r="A10826" s="53"/>
    </row>
    <row r="10827" spans="1:1" x14ac:dyDescent="0.2">
      <c r="A10827" s="52"/>
    </row>
    <row r="10828" spans="1:1" x14ac:dyDescent="0.2">
      <c r="A10828" s="52"/>
    </row>
    <row r="10829" spans="1:1" x14ac:dyDescent="0.2">
      <c r="A10829" s="52"/>
    </row>
    <row r="10830" spans="1:1" x14ac:dyDescent="0.2">
      <c r="A10830" s="52"/>
    </row>
    <row r="10831" spans="1:1" x14ac:dyDescent="0.2">
      <c r="A10831" s="52"/>
    </row>
    <row r="10832" spans="1:1" x14ac:dyDescent="0.2">
      <c r="A10832" s="52"/>
    </row>
    <row r="10833" spans="1:1" x14ac:dyDescent="0.2">
      <c r="A10833" s="52"/>
    </row>
    <row r="10834" spans="1:1" x14ac:dyDescent="0.2">
      <c r="A10834" s="52"/>
    </row>
    <row r="10835" spans="1:1" x14ac:dyDescent="0.2">
      <c r="A10835" s="52"/>
    </row>
    <row r="10836" spans="1:1" x14ac:dyDescent="0.2">
      <c r="A10836" s="52"/>
    </row>
    <row r="10837" spans="1:1" x14ac:dyDescent="0.2">
      <c r="A10837" s="52"/>
    </row>
    <row r="10838" spans="1:1" x14ac:dyDescent="0.2">
      <c r="A10838" s="52"/>
    </row>
    <row r="10839" spans="1:1" x14ac:dyDescent="0.2">
      <c r="A10839" s="52"/>
    </row>
    <row r="10840" spans="1:1" x14ac:dyDescent="0.2">
      <c r="A10840" s="52"/>
    </row>
    <row r="10841" spans="1:1" x14ac:dyDescent="0.2">
      <c r="A10841" s="52"/>
    </row>
    <row r="10842" spans="1:1" x14ac:dyDescent="0.2">
      <c r="A10842" s="53"/>
    </row>
    <row r="10843" spans="1:1" x14ac:dyDescent="0.2">
      <c r="A10843" s="52"/>
    </row>
    <row r="10844" spans="1:1" x14ac:dyDescent="0.2">
      <c r="A10844" s="52"/>
    </row>
    <row r="10845" spans="1:1" x14ac:dyDescent="0.2">
      <c r="A10845" s="52"/>
    </row>
    <row r="10846" spans="1:1" x14ac:dyDescent="0.2">
      <c r="A10846" s="52"/>
    </row>
    <row r="10847" spans="1:1" x14ac:dyDescent="0.2">
      <c r="A10847" s="52"/>
    </row>
    <row r="10848" spans="1:1" x14ac:dyDescent="0.2">
      <c r="A10848" s="52"/>
    </row>
    <row r="10849" spans="1:1" x14ac:dyDescent="0.2">
      <c r="A10849" s="52"/>
    </row>
    <row r="10850" spans="1:1" x14ac:dyDescent="0.2">
      <c r="A10850" s="52"/>
    </row>
    <row r="10851" spans="1:1" x14ac:dyDescent="0.2">
      <c r="A10851" s="52"/>
    </row>
    <row r="10852" spans="1:1" x14ac:dyDescent="0.2">
      <c r="A10852" s="52"/>
    </row>
    <row r="10853" spans="1:1" x14ac:dyDescent="0.2">
      <c r="A10853" s="52"/>
    </row>
    <row r="10854" spans="1:1" x14ac:dyDescent="0.2">
      <c r="A10854" s="52"/>
    </row>
    <row r="10855" spans="1:1" x14ac:dyDescent="0.2">
      <c r="A10855" s="53"/>
    </row>
    <row r="10856" spans="1:1" x14ac:dyDescent="0.2">
      <c r="A10856" s="52"/>
    </row>
    <row r="10857" spans="1:1" x14ac:dyDescent="0.2">
      <c r="A10857" s="52"/>
    </row>
    <row r="10858" spans="1:1" x14ac:dyDescent="0.2">
      <c r="A10858" s="52"/>
    </row>
    <row r="10859" spans="1:1" x14ac:dyDescent="0.2">
      <c r="A10859" s="52"/>
    </row>
    <row r="10860" spans="1:1" x14ac:dyDescent="0.2">
      <c r="A10860" s="52"/>
    </row>
    <row r="10861" spans="1:1" x14ac:dyDescent="0.2">
      <c r="A10861" s="52"/>
    </row>
    <row r="10862" spans="1:1" x14ac:dyDescent="0.2">
      <c r="A10862" s="52"/>
    </row>
    <row r="10863" spans="1:1" x14ac:dyDescent="0.2">
      <c r="A10863" s="52"/>
    </row>
    <row r="10864" spans="1:1" x14ac:dyDescent="0.2">
      <c r="A10864" s="52"/>
    </row>
    <row r="10865" spans="1:1" x14ac:dyDescent="0.2">
      <c r="A10865" s="52"/>
    </row>
    <row r="10866" spans="1:1" x14ac:dyDescent="0.2">
      <c r="A10866" s="52"/>
    </row>
    <row r="10867" spans="1:1" x14ac:dyDescent="0.2">
      <c r="A10867" s="52"/>
    </row>
    <row r="10868" spans="1:1" x14ac:dyDescent="0.2">
      <c r="A10868" s="52"/>
    </row>
    <row r="10869" spans="1:1" x14ac:dyDescent="0.2">
      <c r="A10869" s="52"/>
    </row>
    <row r="10870" spans="1:1" x14ac:dyDescent="0.2">
      <c r="A10870" s="53"/>
    </row>
    <row r="10871" spans="1:1" x14ac:dyDescent="0.2">
      <c r="A10871" s="52"/>
    </row>
    <row r="10872" spans="1:1" x14ac:dyDescent="0.2">
      <c r="A10872" s="52"/>
    </row>
    <row r="10873" spans="1:1" x14ac:dyDescent="0.2">
      <c r="A10873" s="53"/>
    </row>
    <row r="10874" spans="1:1" x14ac:dyDescent="0.2">
      <c r="A10874" s="52"/>
    </row>
    <row r="10875" spans="1:1" x14ac:dyDescent="0.2">
      <c r="A10875" s="52"/>
    </row>
    <row r="10876" spans="1:1" x14ac:dyDescent="0.2">
      <c r="A10876" s="52"/>
    </row>
    <row r="10877" spans="1:1" x14ac:dyDescent="0.2">
      <c r="A10877" s="52"/>
    </row>
    <row r="10878" spans="1:1" x14ac:dyDescent="0.2">
      <c r="A10878" s="52"/>
    </row>
    <row r="10879" spans="1:1" x14ac:dyDescent="0.2">
      <c r="A10879" s="52"/>
    </row>
    <row r="10880" spans="1:1" x14ac:dyDescent="0.2">
      <c r="A10880" s="52"/>
    </row>
    <row r="10881" spans="1:1" x14ac:dyDescent="0.2">
      <c r="A10881" s="52"/>
    </row>
    <row r="10882" spans="1:1" x14ac:dyDescent="0.2">
      <c r="A10882" s="52"/>
    </row>
    <row r="10883" spans="1:1" x14ac:dyDescent="0.2">
      <c r="A10883" s="52"/>
    </row>
    <row r="10884" spans="1:1" x14ac:dyDescent="0.2">
      <c r="A10884" s="52"/>
    </row>
    <row r="10885" spans="1:1" x14ac:dyDescent="0.2">
      <c r="A10885" s="52"/>
    </row>
    <row r="10886" spans="1:1" x14ac:dyDescent="0.2">
      <c r="A10886" s="52"/>
    </row>
    <row r="10887" spans="1:1" x14ac:dyDescent="0.2">
      <c r="A10887" s="52"/>
    </row>
    <row r="10888" spans="1:1" x14ac:dyDescent="0.2">
      <c r="A10888" s="52"/>
    </row>
    <row r="10889" spans="1:1" x14ac:dyDescent="0.2">
      <c r="A10889" s="52"/>
    </row>
    <row r="10890" spans="1:1" x14ac:dyDescent="0.2">
      <c r="A10890" s="52"/>
    </row>
    <row r="10891" spans="1:1" x14ac:dyDescent="0.2">
      <c r="A10891" s="52"/>
    </row>
    <row r="10892" spans="1:1" x14ac:dyDescent="0.2">
      <c r="A10892" s="52"/>
    </row>
    <row r="10893" spans="1:1" x14ac:dyDescent="0.2">
      <c r="A10893" s="52"/>
    </row>
    <row r="10894" spans="1:1" x14ac:dyDescent="0.2">
      <c r="A10894" s="53"/>
    </row>
    <row r="10895" spans="1:1" x14ac:dyDescent="0.2">
      <c r="A10895" s="52"/>
    </row>
    <row r="10896" spans="1:1" x14ac:dyDescent="0.2">
      <c r="A10896" s="52"/>
    </row>
    <row r="10897" spans="1:1" x14ac:dyDescent="0.2">
      <c r="A10897" s="52"/>
    </row>
    <row r="10898" spans="1:1" x14ac:dyDescent="0.2">
      <c r="A10898" s="53"/>
    </row>
    <row r="10899" spans="1:1" x14ac:dyDescent="0.2">
      <c r="A10899" s="52"/>
    </row>
    <row r="10900" spans="1:1" x14ac:dyDescent="0.2">
      <c r="A10900" s="52"/>
    </row>
    <row r="10901" spans="1:1" x14ac:dyDescent="0.2">
      <c r="A10901" s="52"/>
    </row>
    <row r="10902" spans="1:1" x14ac:dyDescent="0.2">
      <c r="A10902" s="52"/>
    </row>
    <row r="10903" spans="1:1" x14ac:dyDescent="0.2">
      <c r="A10903" s="52"/>
    </row>
    <row r="10904" spans="1:1" x14ac:dyDescent="0.2">
      <c r="A10904" s="52"/>
    </row>
    <row r="10905" spans="1:1" x14ac:dyDescent="0.2">
      <c r="A10905" s="52"/>
    </row>
    <row r="10906" spans="1:1" x14ac:dyDescent="0.2">
      <c r="A10906" s="52"/>
    </row>
    <row r="10907" spans="1:1" x14ac:dyDescent="0.2">
      <c r="A10907" s="52"/>
    </row>
    <row r="10908" spans="1:1" x14ac:dyDescent="0.2">
      <c r="A10908" s="52"/>
    </row>
    <row r="10909" spans="1:1" x14ac:dyDescent="0.2">
      <c r="A10909" s="52"/>
    </row>
    <row r="10910" spans="1:1" x14ac:dyDescent="0.2">
      <c r="A10910" s="52"/>
    </row>
    <row r="10911" spans="1:1" x14ac:dyDescent="0.2">
      <c r="A10911" s="52"/>
    </row>
    <row r="10912" spans="1:1" x14ac:dyDescent="0.2">
      <c r="A10912" s="52"/>
    </row>
    <row r="10913" spans="1:1" x14ac:dyDescent="0.2">
      <c r="A10913" s="52"/>
    </row>
    <row r="10914" spans="1:1" x14ac:dyDescent="0.2">
      <c r="A10914" s="52"/>
    </row>
    <row r="10915" spans="1:1" x14ac:dyDescent="0.2">
      <c r="A10915" s="52"/>
    </row>
    <row r="10916" spans="1:1" x14ac:dyDescent="0.2">
      <c r="A10916" s="52"/>
    </row>
    <row r="10917" spans="1:1" x14ac:dyDescent="0.2">
      <c r="A10917" s="52"/>
    </row>
    <row r="10918" spans="1:1" x14ac:dyDescent="0.2">
      <c r="A10918" s="52"/>
    </row>
    <row r="10919" spans="1:1" x14ac:dyDescent="0.2">
      <c r="A10919" s="52"/>
    </row>
    <row r="10920" spans="1:1" x14ac:dyDescent="0.2">
      <c r="A10920" s="52"/>
    </row>
    <row r="10921" spans="1:1" x14ac:dyDescent="0.2">
      <c r="A10921" s="52"/>
    </row>
    <row r="10922" spans="1:1" x14ac:dyDescent="0.2">
      <c r="A10922" s="52"/>
    </row>
    <row r="10923" spans="1:1" x14ac:dyDescent="0.2">
      <c r="A10923" s="52"/>
    </row>
    <row r="10924" spans="1:1" x14ac:dyDescent="0.2">
      <c r="A10924" s="52"/>
    </row>
    <row r="10925" spans="1:1" x14ac:dyDescent="0.2">
      <c r="A10925" s="52"/>
    </row>
    <row r="10926" spans="1:1" x14ac:dyDescent="0.2">
      <c r="A10926" s="53"/>
    </row>
    <row r="10927" spans="1:1" x14ac:dyDescent="0.2">
      <c r="A10927" s="52"/>
    </row>
    <row r="10928" spans="1:1" x14ac:dyDescent="0.2">
      <c r="A10928" s="52"/>
    </row>
    <row r="10929" spans="1:1" x14ac:dyDescent="0.2">
      <c r="A10929" s="52"/>
    </row>
    <row r="10930" spans="1:1" x14ac:dyDescent="0.2">
      <c r="A10930" s="52"/>
    </row>
    <row r="10931" spans="1:1" x14ac:dyDescent="0.2">
      <c r="A10931" s="52"/>
    </row>
    <row r="10932" spans="1:1" x14ac:dyDescent="0.2">
      <c r="A10932" s="52"/>
    </row>
    <row r="10933" spans="1:1" x14ac:dyDescent="0.2">
      <c r="A10933" s="52"/>
    </row>
    <row r="10934" spans="1:1" x14ac:dyDescent="0.2">
      <c r="A10934" s="52"/>
    </row>
    <row r="10935" spans="1:1" x14ac:dyDescent="0.2">
      <c r="A10935" s="52"/>
    </row>
    <row r="10936" spans="1:1" x14ac:dyDescent="0.2">
      <c r="A10936" s="52"/>
    </row>
    <row r="10937" spans="1:1" x14ac:dyDescent="0.2">
      <c r="A10937" s="52"/>
    </row>
    <row r="10938" spans="1:1" x14ac:dyDescent="0.2">
      <c r="A10938" s="52"/>
    </row>
    <row r="10939" spans="1:1" x14ac:dyDescent="0.2">
      <c r="A10939" s="52"/>
    </row>
    <row r="10940" spans="1:1" x14ac:dyDescent="0.2">
      <c r="A10940" s="52"/>
    </row>
    <row r="10941" spans="1:1" x14ac:dyDescent="0.2">
      <c r="A10941" s="52"/>
    </row>
    <row r="10942" spans="1:1" x14ac:dyDescent="0.2">
      <c r="A10942" s="52"/>
    </row>
    <row r="10943" spans="1:1" x14ac:dyDescent="0.2">
      <c r="A10943" s="52"/>
    </row>
    <row r="10944" spans="1:1" x14ac:dyDescent="0.2">
      <c r="A10944" s="52"/>
    </row>
    <row r="10945" spans="1:1" x14ac:dyDescent="0.2">
      <c r="A10945" s="52"/>
    </row>
    <row r="10946" spans="1:1" x14ac:dyDescent="0.2">
      <c r="A10946" s="52"/>
    </row>
    <row r="10947" spans="1:1" x14ac:dyDescent="0.2">
      <c r="A10947" s="52"/>
    </row>
    <row r="10948" spans="1:1" x14ac:dyDescent="0.2">
      <c r="A10948" s="52"/>
    </row>
    <row r="10949" spans="1:1" x14ac:dyDescent="0.2">
      <c r="A10949" s="52"/>
    </row>
    <row r="10950" spans="1:1" x14ac:dyDescent="0.2">
      <c r="A10950" s="52"/>
    </row>
    <row r="10951" spans="1:1" x14ac:dyDescent="0.2">
      <c r="A10951" s="52"/>
    </row>
    <row r="10952" spans="1:1" x14ac:dyDescent="0.2">
      <c r="A10952" s="52"/>
    </row>
    <row r="10953" spans="1:1" x14ac:dyDescent="0.2">
      <c r="A10953" s="52"/>
    </row>
    <row r="10954" spans="1:1" x14ac:dyDescent="0.2">
      <c r="A10954" s="52"/>
    </row>
    <row r="10955" spans="1:1" x14ac:dyDescent="0.2">
      <c r="A10955" s="52"/>
    </row>
    <row r="10956" spans="1:1" x14ac:dyDescent="0.2">
      <c r="A10956" s="52"/>
    </row>
    <row r="10957" spans="1:1" x14ac:dyDescent="0.2">
      <c r="A10957" s="52"/>
    </row>
    <row r="10958" spans="1:1" x14ac:dyDescent="0.2">
      <c r="A10958" s="52"/>
    </row>
    <row r="10959" spans="1:1" x14ac:dyDescent="0.2">
      <c r="A10959" s="52"/>
    </row>
    <row r="10960" spans="1:1" x14ac:dyDescent="0.2">
      <c r="A10960" s="52"/>
    </row>
    <row r="10961" spans="1:1" x14ac:dyDescent="0.2">
      <c r="A10961" s="52"/>
    </row>
    <row r="10962" spans="1:1" x14ac:dyDescent="0.2">
      <c r="A10962" s="52"/>
    </row>
    <row r="10963" spans="1:1" x14ac:dyDescent="0.2">
      <c r="A10963" s="52"/>
    </row>
    <row r="10964" spans="1:1" x14ac:dyDescent="0.2">
      <c r="A10964" s="52"/>
    </row>
    <row r="10965" spans="1:1" x14ac:dyDescent="0.2">
      <c r="A10965" s="52"/>
    </row>
    <row r="10966" spans="1:1" x14ac:dyDescent="0.2">
      <c r="A10966" s="53"/>
    </row>
    <row r="10967" spans="1:1" x14ac:dyDescent="0.2">
      <c r="A10967" s="52"/>
    </row>
    <row r="10968" spans="1:1" x14ac:dyDescent="0.2">
      <c r="A10968" s="53"/>
    </row>
    <row r="10969" spans="1:1" x14ac:dyDescent="0.2">
      <c r="A10969" s="52"/>
    </row>
    <row r="10970" spans="1:1" x14ac:dyDescent="0.2">
      <c r="A10970" s="53"/>
    </row>
    <row r="10971" spans="1:1" x14ac:dyDescent="0.2">
      <c r="A10971" s="52"/>
    </row>
    <row r="10972" spans="1:1" x14ac:dyDescent="0.2">
      <c r="A10972" s="52"/>
    </row>
    <row r="10973" spans="1:1" x14ac:dyDescent="0.2">
      <c r="A10973" s="52"/>
    </row>
    <row r="10974" spans="1:1" x14ac:dyDescent="0.2">
      <c r="A10974" s="52"/>
    </row>
    <row r="10975" spans="1:1" x14ac:dyDescent="0.2">
      <c r="A10975" s="52"/>
    </row>
    <row r="10976" spans="1:1" x14ac:dyDescent="0.2">
      <c r="A10976" s="52"/>
    </row>
    <row r="10977" spans="1:1" x14ac:dyDescent="0.2">
      <c r="A10977" s="53"/>
    </row>
    <row r="10978" spans="1:1" x14ac:dyDescent="0.2">
      <c r="A10978" s="52"/>
    </row>
    <row r="10979" spans="1:1" x14ac:dyDescent="0.2">
      <c r="A10979" s="52"/>
    </row>
    <row r="10980" spans="1:1" x14ac:dyDescent="0.2">
      <c r="A10980" s="52"/>
    </row>
    <row r="10981" spans="1:1" x14ac:dyDescent="0.2">
      <c r="A10981" s="52"/>
    </row>
    <row r="10982" spans="1:1" x14ac:dyDescent="0.2">
      <c r="A10982" s="52"/>
    </row>
    <row r="10983" spans="1:1" x14ac:dyDescent="0.2">
      <c r="A10983" s="52"/>
    </row>
    <row r="10984" spans="1:1" x14ac:dyDescent="0.2">
      <c r="A10984" s="52"/>
    </row>
    <row r="10985" spans="1:1" x14ac:dyDescent="0.2">
      <c r="A10985" s="52"/>
    </row>
    <row r="10986" spans="1:1" x14ac:dyDescent="0.2">
      <c r="A10986" s="52"/>
    </row>
    <row r="10987" spans="1:1" x14ac:dyDescent="0.2">
      <c r="A10987" s="52"/>
    </row>
    <row r="10988" spans="1:1" x14ac:dyDescent="0.2">
      <c r="A10988" s="52"/>
    </row>
    <row r="10989" spans="1:1" x14ac:dyDescent="0.2">
      <c r="A10989" s="52"/>
    </row>
    <row r="10990" spans="1:1" x14ac:dyDescent="0.2">
      <c r="A10990" s="52"/>
    </row>
    <row r="10991" spans="1:1" x14ac:dyDescent="0.2">
      <c r="A10991" s="52"/>
    </row>
    <row r="10992" spans="1:1" x14ac:dyDescent="0.2">
      <c r="A10992" s="52"/>
    </row>
    <row r="10993" spans="1:1" x14ac:dyDescent="0.2">
      <c r="A10993" s="52"/>
    </row>
    <row r="10994" spans="1:1" x14ac:dyDescent="0.2">
      <c r="A10994" s="52"/>
    </row>
    <row r="10995" spans="1:1" x14ac:dyDescent="0.2">
      <c r="A10995" s="52"/>
    </row>
    <row r="10996" spans="1:1" x14ac:dyDescent="0.2">
      <c r="A10996" s="52"/>
    </row>
    <row r="10997" spans="1:1" x14ac:dyDescent="0.2">
      <c r="A10997" s="52"/>
    </row>
    <row r="10998" spans="1:1" x14ac:dyDescent="0.2">
      <c r="A10998" s="52"/>
    </row>
    <row r="10999" spans="1:1" x14ac:dyDescent="0.2">
      <c r="A10999" s="52"/>
    </row>
    <row r="11000" spans="1:1" x14ac:dyDescent="0.2">
      <c r="A11000" s="52"/>
    </row>
    <row r="11001" spans="1:1" x14ac:dyDescent="0.2">
      <c r="A11001" s="52"/>
    </row>
    <row r="11002" spans="1:1" x14ac:dyDescent="0.2">
      <c r="A11002" s="52"/>
    </row>
    <row r="11003" spans="1:1" x14ac:dyDescent="0.2">
      <c r="A11003" s="52"/>
    </row>
    <row r="11004" spans="1:1" x14ac:dyDescent="0.2">
      <c r="A11004" s="52"/>
    </row>
    <row r="11005" spans="1:1" x14ac:dyDescent="0.2">
      <c r="A11005" s="52"/>
    </row>
    <row r="11006" spans="1:1" x14ac:dyDescent="0.2">
      <c r="A11006" s="52"/>
    </row>
    <row r="11007" spans="1:1" x14ac:dyDescent="0.2">
      <c r="A11007" s="52"/>
    </row>
    <row r="11008" spans="1:1" x14ac:dyDescent="0.2">
      <c r="A11008" s="52"/>
    </row>
    <row r="11009" spans="1:1" x14ac:dyDescent="0.2">
      <c r="A11009" s="52"/>
    </row>
    <row r="11010" spans="1:1" x14ac:dyDescent="0.2">
      <c r="A11010" s="52"/>
    </row>
    <row r="11011" spans="1:1" x14ac:dyDescent="0.2">
      <c r="A11011" s="52"/>
    </row>
    <row r="11012" spans="1:1" x14ac:dyDescent="0.2">
      <c r="A11012" s="53"/>
    </row>
    <row r="11013" spans="1:1" x14ac:dyDescent="0.2">
      <c r="A11013" s="52"/>
    </row>
    <row r="11014" spans="1:1" x14ac:dyDescent="0.2">
      <c r="A11014" s="52"/>
    </row>
    <row r="11015" spans="1:1" x14ac:dyDescent="0.2">
      <c r="A11015" s="53"/>
    </row>
    <row r="11016" spans="1:1" x14ac:dyDescent="0.2">
      <c r="A11016" s="53"/>
    </row>
    <row r="11017" spans="1:1" x14ac:dyDescent="0.2">
      <c r="A11017" s="52"/>
    </row>
    <row r="11018" spans="1:1" x14ac:dyDescent="0.2">
      <c r="A11018" s="52"/>
    </row>
    <row r="11019" spans="1:1" x14ac:dyDescent="0.2">
      <c r="A11019" s="52"/>
    </row>
    <row r="11020" spans="1:1" x14ac:dyDescent="0.2">
      <c r="A11020" s="52"/>
    </row>
    <row r="11021" spans="1:1" x14ac:dyDescent="0.2">
      <c r="A11021" s="52"/>
    </row>
    <row r="11022" spans="1:1" x14ac:dyDescent="0.2">
      <c r="A11022" s="52"/>
    </row>
    <row r="11023" spans="1:1" x14ac:dyDescent="0.2">
      <c r="A11023" s="52"/>
    </row>
    <row r="11024" spans="1:1" x14ac:dyDescent="0.2">
      <c r="A11024" s="52"/>
    </row>
    <row r="11025" spans="1:1" x14ac:dyDescent="0.2">
      <c r="A11025" s="52"/>
    </row>
    <row r="11026" spans="1:1" x14ac:dyDescent="0.2">
      <c r="A11026" s="52"/>
    </row>
    <row r="11027" spans="1:1" x14ac:dyDescent="0.2">
      <c r="A11027" s="52"/>
    </row>
    <row r="11028" spans="1:1" x14ac:dyDescent="0.2">
      <c r="A11028" s="53"/>
    </row>
    <row r="11029" spans="1:1" x14ac:dyDescent="0.2">
      <c r="A11029" s="52"/>
    </row>
    <row r="11030" spans="1:1" x14ac:dyDescent="0.2">
      <c r="A11030" s="52"/>
    </row>
    <row r="11031" spans="1:1" x14ac:dyDescent="0.2">
      <c r="A11031" s="52"/>
    </row>
    <row r="11032" spans="1:1" x14ac:dyDescent="0.2">
      <c r="A11032" s="52"/>
    </row>
    <row r="11033" spans="1:1" x14ac:dyDescent="0.2">
      <c r="A11033" s="52"/>
    </row>
    <row r="11034" spans="1:1" x14ac:dyDescent="0.2">
      <c r="A11034" s="52"/>
    </row>
    <row r="11035" spans="1:1" x14ac:dyDescent="0.2">
      <c r="A11035" s="52"/>
    </row>
    <row r="11036" spans="1:1" x14ac:dyDescent="0.2">
      <c r="A11036" s="52"/>
    </row>
    <row r="11037" spans="1:1" x14ac:dyDescent="0.2">
      <c r="A11037" s="52"/>
    </row>
    <row r="11038" spans="1:1" x14ac:dyDescent="0.2">
      <c r="A11038" s="53"/>
    </row>
    <row r="11039" spans="1:1" x14ac:dyDescent="0.2">
      <c r="A11039" s="52"/>
    </row>
    <row r="11040" spans="1:1" x14ac:dyDescent="0.2">
      <c r="A11040" s="52"/>
    </row>
    <row r="11041" spans="1:1" x14ac:dyDescent="0.2">
      <c r="A11041" s="52"/>
    </row>
    <row r="11042" spans="1:1" x14ac:dyDescent="0.2">
      <c r="A11042" s="52"/>
    </row>
    <row r="11043" spans="1:1" x14ac:dyDescent="0.2">
      <c r="A11043" s="52"/>
    </row>
    <row r="11044" spans="1:1" x14ac:dyDescent="0.2">
      <c r="A11044" s="52"/>
    </row>
    <row r="11045" spans="1:1" x14ac:dyDescent="0.2">
      <c r="A11045" s="52"/>
    </row>
    <row r="11046" spans="1:1" x14ac:dyDescent="0.2">
      <c r="A11046" s="52"/>
    </row>
    <row r="11047" spans="1:1" x14ac:dyDescent="0.2">
      <c r="A11047" s="52"/>
    </row>
    <row r="11048" spans="1:1" x14ac:dyDescent="0.2">
      <c r="A11048" s="52"/>
    </row>
    <row r="11049" spans="1:1" x14ac:dyDescent="0.2">
      <c r="A11049" s="53"/>
    </row>
    <row r="11050" spans="1:1" x14ac:dyDescent="0.2">
      <c r="A11050" s="52"/>
    </row>
    <row r="11051" spans="1:1" x14ac:dyDescent="0.2">
      <c r="A11051" s="52"/>
    </row>
    <row r="11052" spans="1:1" x14ac:dyDescent="0.2">
      <c r="A11052" s="53"/>
    </row>
    <row r="11053" spans="1:1" x14ac:dyDescent="0.2">
      <c r="A11053" s="52"/>
    </row>
    <row r="11054" spans="1:1" x14ac:dyDescent="0.2">
      <c r="A11054" s="52"/>
    </row>
    <row r="11055" spans="1:1" x14ac:dyDescent="0.2">
      <c r="A11055" s="52"/>
    </row>
    <row r="11056" spans="1:1" x14ac:dyDescent="0.2">
      <c r="A11056" s="52"/>
    </row>
    <row r="11057" spans="1:1" x14ac:dyDescent="0.2">
      <c r="A11057" s="52"/>
    </row>
    <row r="11058" spans="1:1" x14ac:dyDescent="0.2">
      <c r="A11058" s="52"/>
    </row>
    <row r="11059" spans="1:1" x14ac:dyDescent="0.2">
      <c r="A11059" s="52"/>
    </row>
    <row r="11060" spans="1:1" x14ac:dyDescent="0.2">
      <c r="A11060" s="52"/>
    </row>
    <row r="11061" spans="1:1" x14ac:dyDescent="0.2">
      <c r="A11061" s="52"/>
    </row>
    <row r="11062" spans="1:1" x14ac:dyDescent="0.2">
      <c r="A11062" s="52"/>
    </row>
    <row r="11063" spans="1:1" x14ac:dyDescent="0.2">
      <c r="A11063" s="52"/>
    </row>
    <row r="11064" spans="1:1" x14ac:dyDescent="0.2">
      <c r="A11064" s="52"/>
    </row>
    <row r="11065" spans="1:1" x14ac:dyDescent="0.2">
      <c r="A11065" s="52"/>
    </row>
    <row r="11066" spans="1:1" x14ac:dyDescent="0.2">
      <c r="A11066" s="52"/>
    </row>
    <row r="11067" spans="1:1" x14ac:dyDescent="0.2">
      <c r="A11067" s="52"/>
    </row>
    <row r="11068" spans="1:1" x14ac:dyDescent="0.2">
      <c r="A11068" s="52"/>
    </row>
    <row r="11069" spans="1:1" x14ac:dyDescent="0.2">
      <c r="A11069" s="53"/>
    </row>
    <row r="11070" spans="1:1" x14ac:dyDescent="0.2">
      <c r="A11070" s="52"/>
    </row>
    <row r="11071" spans="1:1" x14ac:dyDescent="0.2">
      <c r="A11071" s="52"/>
    </row>
    <row r="11072" spans="1:1" x14ac:dyDescent="0.2">
      <c r="A11072" s="52"/>
    </row>
    <row r="11073" spans="1:1" x14ac:dyDescent="0.2">
      <c r="A11073" s="53"/>
    </row>
    <row r="11074" spans="1:1" x14ac:dyDescent="0.2">
      <c r="A11074" s="52"/>
    </row>
    <row r="11075" spans="1:1" x14ac:dyDescent="0.2">
      <c r="A11075" s="52"/>
    </row>
    <row r="11076" spans="1:1" x14ac:dyDescent="0.2">
      <c r="A11076" s="52"/>
    </row>
    <row r="11077" spans="1:1" x14ac:dyDescent="0.2">
      <c r="A11077" s="52"/>
    </row>
    <row r="11078" spans="1:1" x14ac:dyDescent="0.2">
      <c r="A11078" s="52"/>
    </row>
    <row r="11079" spans="1:1" x14ac:dyDescent="0.2">
      <c r="A11079" s="52"/>
    </row>
    <row r="11080" spans="1:1" x14ac:dyDescent="0.2">
      <c r="A11080" s="52"/>
    </row>
    <row r="11081" spans="1:1" x14ac:dyDescent="0.2">
      <c r="A11081" s="52"/>
    </row>
    <row r="11082" spans="1:1" x14ac:dyDescent="0.2">
      <c r="A11082" s="52"/>
    </row>
    <row r="11083" spans="1:1" x14ac:dyDescent="0.2">
      <c r="A11083" s="52"/>
    </row>
    <row r="11084" spans="1:1" x14ac:dyDescent="0.2">
      <c r="A11084" s="52"/>
    </row>
    <row r="11085" spans="1:1" x14ac:dyDescent="0.2">
      <c r="A11085" s="52"/>
    </row>
    <row r="11086" spans="1:1" x14ac:dyDescent="0.2">
      <c r="A11086" s="52"/>
    </row>
    <row r="11087" spans="1:1" x14ac:dyDescent="0.2">
      <c r="A11087" s="52"/>
    </row>
    <row r="11088" spans="1:1" x14ac:dyDescent="0.2">
      <c r="A11088" s="52"/>
    </row>
    <row r="11089" spans="1:1" x14ac:dyDescent="0.2">
      <c r="A11089" s="52"/>
    </row>
    <row r="11090" spans="1:1" x14ac:dyDescent="0.2">
      <c r="A11090" s="52"/>
    </row>
    <row r="11091" spans="1:1" x14ac:dyDescent="0.2">
      <c r="A11091" s="52"/>
    </row>
    <row r="11092" spans="1:1" x14ac:dyDescent="0.2">
      <c r="A11092" s="52"/>
    </row>
    <row r="11093" spans="1:1" x14ac:dyDescent="0.2">
      <c r="A11093" s="52"/>
    </row>
    <row r="11094" spans="1:1" x14ac:dyDescent="0.2">
      <c r="A11094" s="52"/>
    </row>
    <row r="11095" spans="1:1" x14ac:dyDescent="0.2">
      <c r="A11095" s="52"/>
    </row>
    <row r="11096" spans="1:1" x14ac:dyDescent="0.2">
      <c r="A11096" s="52"/>
    </row>
    <row r="11097" spans="1:1" x14ac:dyDescent="0.2">
      <c r="A11097" s="53"/>
    </row>
    <row r="11098" spans="1:1" x14ac:dyDescent="0.2">
      <c r="A11098" s="52"/>
    </row>
    <row r="11099" spans="1:1" x14ac:dyDescent="0.2">
      <c r="A11099" s="53"/>
    </row>
    <row r="11100" spans="1:1" x14ac:dyDescent="0.2">
      <c r="A11100" s="53"/>
    </row>
    <row r="11101" spans="1:1" x14ac:dyDescent="0.2">
      <c r="A11101" s="52"/>
    </row>
    <row r="11102" spans="1:1" x14ac:dyDescent="0.2">
      <c r="A11102" s="52"/>
    </row>
    <row r="11103" spans="1:1" x14ac:dyDescent="0.2">
      <c r="A11103" s="52"/>
    </row>
    <row r="11104" spans="1:1" x14ac:dyDescent="0.2">
      <c r="A11104" s="52"/>
    </row>
    <row r="11105" spans="1:1" x14ac:dyDescent="0.2">
      <c r="A11105" s="52"/>
    </row>
    <row r="11106" spans="1:1" x14ac:dyDescent="0.2">
      <c r="A11106" s="52"/>
    </row>
    <row r="11107" spans="1:1" x14ac:dyDescent="0.2">
      <c r="A11107" s="52"/>
    </row>
    <row r="11108" spans="1:1" x14ac:dyDescent="0.2">
      <c r="A11108" s="52"/>
    </row>
    <row r="11109" spans="1:1" x14ac:dyDescent="0.2">
      <c r="A11109" s="52"/>
    </row>
    <row r="11110" spans="1:1" x14ac:dyDescent="0.2">
      <c r="A11110" s="53"/>
    </row>
    <row r="11111" spans="1:1" x14ac:dyDescent="0.2">
      <c r="A11111" s="52"/>
    </row>
    <row r="11112" spans="1:1" x14ac:dyDescent="0.2">
      <c r="A11112" s="52"/>
    </row>
    <row r="11113" spans="1:1" x14ac:dyDescent="0.2">
      <c r="A11113" s="52"/>
    </row>
    <row r="11114" spans="1:1" x14ac:dyDescent="0.2">
      <c r="A11114" s="52"/>
    </row>
    <row r="11115" spans="1:1" x14ac:dyDescent="0.2">
      <c r="A11115" s="52"/>
    </row>
    <row r="11116" spans="1:1" x14ac:dyDescent="0.2">
      <c r="A11116" s="52"/>
    </row>
    <row r="11117" spans="1:1" x14ac:dyDescent="0.2">
      <c r="A11117" s="53"/>
    </row>
    <row r="11118" spans="1:1" x14ac:dyDescent="0.2">
      <c r="A11118" s="53"/>
    </row>
    <row r="11119" spans="1:1" x14ac:dyDescent="0.2">
      <c r="A11119" s="52"/>
    </row>
    <row r="11120" spans="1:1" x14ac:dyDescent="0.2">
      <c r="A11120" s="52"/>
    </row>
    <row r="11121" spans="1:1" x14ac:dyDescent="0.2">
      <c r="A11121" s="52"/>
    </row>
    <row r="11122" spans="1:1" x14ac:dyDescent="0.2">
      <c r="A11122" s="52"/>
    </row>
    <row r="11123" spans="1:1" x14ac:dyDescent="0.2">
      <c r="A11123" s="52"/>
    </row>
    <row r="11124" spans="1:1" x14ac:dyDescent="0.2">
      <c r="A11124" s="52"/>
    </row>
    <row r="11125" spans="1:1" x14ac:dyDescent="0.2">
      <c r="A11125" s="52"/>
    </row>
    <row r="11126" spans="1:1" x14ac:dyDescent="0.2">
      <c r="A11126" s="52"/>
    </row>
    <row r="11127" spans="1:1" x14ac:dyDescent="0.2">
      <c r="A11127" s="52"/>
    </row>
    <row r="11128" spans="1:1" x14ac:dyDescent="0.2">
      <c r="A11128" s="53"/>
    </row>
    <row r="11129" spans="1:1" x14ac:dyDescent="0.2">
      <c r="A11129" s="52"/>
    </row>
    <row r="11130" spans="1:1" x14ac:dyDescent="0.2">
      <c r="A11130" s="52"/>
    </row>
    <row r="11131" spans="1:1" x14ac:dyDescent="0.2">
      <c r="A11131" s="52"/>
    </row>
    <row r="11132" spans="1:1" x14ac:dyDescent="0.2">
      <c r="A11132" s="52"/>
    </row>
    <row r="11133" spans="1:1" x14ac:dyDescent="0.2">
      <c r="A11133" s="52"/>
    </row>
    <row r="11134" spans="1:1" x14ac:dyDescent="0.2">
      <c r="A11134" s="52"/>
    </row>
    <row r="11135" spans="1:1" x14ac:dyDescent="0.2">
      <c r="A11135" s="52"/>
    </row>
    <row r="11136" spans="1:1" x14ac:dyDescent="0.2">
      <c r="A11136" s="52"/>
    </row>
    <row r="11137" spans="1:1" x14ac:dyDescent="0.2">
      <c r="A11137" s="52"/>
    </row>
    <row r="11138" spans="1:1" x14ac:dyDescent="0.2">
      <c r="A11138" s="52"/>
    </row>
    <row r="11139" spans="1:1" x14ac:dyDescent="0.2">
      <c r="A11139" s="52"/>
    </row>
    <row r="11140" spans="1:1" x14ac:dyDescent="0.2">
      <c r="A11140" s="52"/>
    </row>
    <row r="11141" spans="1:1" x14ac:dyDescent="0.2">
      <c r="A11141" s="52"/>
    </row>
    <row r="11142" spans="1:1" x14ac:dyDescent="0.2">
      <c r="A11142" s="52"/>
    </row>
    <row r="11143" spans="1:1" x14ac:dyDescent="0.2">
      <c r="A11143" s="52"/>
    </row>
    <row r="11144" spans="1:1" x14ac:dyDescent="0.2">
      <c r="A11144" s="52"/>
    </row>
    <row r="11145" spans="1:1" x14ac:dyDescent="0.2">
      <c r="A11145" s="52"/>
    </row>
    <row r="11146" spans="1:1" x14ac:dyDescent="0.2">
      <c r="A11146" s="52"/>
    </row>
    <row r="11147" spans="1:1" x14ac:dyDescent="0.2">
      <c r="A11147" s="52"/>
    </row>
    <row r="11148" spans="1:1" x14ac:dyDescent="0.2">
      <c r="A11148" s="52"/>
    </row>
    <row r="11149" spans="1:1" x14ac:dyDescent="0.2">
      <c r="A11149" s="52"/>
    </row>
    <row r="11150" spans="1:1" x14ac:dyDescent="0.2">
      <c r="A11150" s="52"/>
    </row>
    <row r="11151" spans="1:1" x14ac:dyDescent="0.2">
      <c r="A11151" s="52"/>
    </row>
    <row r="11152" spans="1:1" x14ac:dyDescent="0.2">
      <c r="A11152" s="52"/>
    </row>
    <row r="11153" spans="1:1" x14ac:dyDescent="0.2">
      <c r="A11153" s="52"/>
    </row>
    <row r="11154" spans="1:1" x14ac:dyDescent="0.2">
      <c r="A11154" s="52"/>
    </row>
    <row r="11155" spans="1:1" x14ac:dyDescent="0.2">
      <c r="A11155" s="52"/>
    </row>
    <row r="11156" spans="1:1" x14ac:dyDescent="0.2">
      <c r="A11156" s="52"/>
    </row>
    <row r="11157" spans="1:1" x14ac:dyDescent="0.2">
      <c r="A11157" s="53"/>
    </row>
    <row r="11158" spans="1:1" x14ac:dyDescent="0.2">
      <c r="A11158" s="52"/>
    </row>
    <row r="11159" spans="1:1" x14ac:dyDescent="0.2">
      <c r="A11159" s="53"/>
    </row>
    <row r="11160" spans="1:1" x14ac:dyDescent="0.2">
      <c r="A11160" s="52"/>
    </row>
    <row r="11161" spans="1:1" x14ac:dyDescent="0.2">
      <c r="A11161" s="52"/>
    </row>
    <row r="11162" spans="1:1" x14ac:dyDescent="0.2">
      <c r="A11162" s="52"/>
    </row>
    <row r="11163" spans="1:1" x14ac:dyDescent="0.2">
      <c r="A11163" s="52"/>
    </row>
    <row r="11164" spans="1:1" x14ac:dyDescent="0.2">
      <c r="A11164" s="52"/>
    </row>
    <row r="11165" spans="1:1" x14ac:dyDescent="0.2">
      <c r="A11165" s="52"/>
    </row>
    <row r="11166" spans="1:1" x14ac:dyDescent="0.2">
      <c r="A11166" s="52"/>
    </row>
    <row r="11167" spans="1:1" x14ac:dyDescent="0.2">
      <c r="A11167" s="52"/>
    </row>
    <row r="11168" spans="1:1" x14ac:dyDescent="0.2">
      <c r="A11168" s="52"/>
    </row>
    <row r="11169" spans="1:1" x14ac:dyDescent="0.2">
      <c r="A11169" s="52"/>
    </row>
    <row r="11170" spans="1:1" x14ac:dyDescent="0.2">
      <c r="A11170" s="52"/>
    </row>
    <row r="11171" spans="1:1" x14ac:dyDescent="0.2">
      <c r="A11171" s="52"/>
    </row>
    <row r="11172" spans="1:1" x14ac:dyDescent="0.2">
      <c r="A11172" s="52"/>
    </row>
    <row r="11173" spans="1:1" x14ac:dyDescent="0.2">
      <c r="A11173" s="53"/>
    </row>
    <row r="11174" spans="1:1" x14ac:dyDescent="0.2">
      <c r="A11174" s="52"/>
    </row>
    <row r="11175" spans="1:1" x14ac:dyDescent="0.2">
      <c r="A11175" s="52"/>
    </row>
    <row r="11176" spans="1:1" x14ac:dyDescent="0.2">
      <c r="A11176" s="53"/>
    </row>
    <row r="11177" spans="1:1" x14ac:dyDescent="0.2">
      <c r="A11177" s="52"/>
    </row>
    <row r="11178" spans="1:1" x14ac:dyDescent="0.2">
      <c r="A11178" s="52"/>
    </row>
    <row r="11179" spans="1:1" x14ac:dyDescent="0.2">
      <c r="A11179" s="52"/>
    </row>
    <row r="11180" spans="1:1" x14ac:dyDescent="0.2">
      <c r="A11180" s="52"/>
    </row>
    <row r="11181" spans="1:1" x14ac:dyDescent="0.2">
      <c r="A11181" s="52"/>
    </row>
    <row r="11182" spans="1:1" x14ac:dyDescent="0.2">
      <c r="A11182" s="52"/>
    </row>
    <row r="11183" spans="1:1" x14ac:dyDescent="0.2">
      <c r="A11183" s="52"/>
    </row>
    <row r="11184" spans="1:1" x14ac:dyDescent="0.2">
      <c r="A11184" s="52"/>
    </row>
    <row r="11185" spans="1:1" x14ac:dyDescent="0.2">
      <c r="A11185" s="52"/>
    </row>
    <row r="11186" spans="1:1" x14ac:dyDescent="0.2">
      <c r="A11186" s="52"/>
    </row>
    <row r="11187" spans="1:1" x14ac:dyDescent="0.2">
      <c r="A11187" s="52"/>
    </row>
    <row r="11188" spans="1:1" x14ac:dyDescent="0.2">
      <c r="A11188" s="52"/>
    </row>
    <row r="11189" spans="1:1" x14ac:dyDescent="0.2">
      <c r="A11189" s="52"/>
    </row>
    <row r="11190" spans="1:1" x14ac:dyDescent="0.2">
      <c r="A11190" s="52"/>
    </row>
    <row r="11191" spans="1:1" x14ac:dyDescent="0.2">
      <c r="A11191" s="52"/>
    </row>
    <row r="11192" spans="1:1" x14ac:dyDescent="0.2">
      <c r="A11192" s="53"/>
    </row>
    <row r="11193" spans="1:1" x14ac:dyDescent="0.2">
      <c r="A11193" s="52"/>
    </row>
    <row r="11194" spans="1:1" x14ac:dyDescent="0.2">
      <c r="A11194" s="52"/>
    </row>
    <row r="11195" spans="1:1" x14ac:dyDescent="0.2">
      <c r="A11195" s="52"/>
    </row>
    <row r="11196" spans="1:1" x14ac:dyDescent="0.2">
      <c r="A11196" s="52"/>
    </row>
    <row r="11197" spans="1:1" x14ac:dyDescent="0.2">
      <c r="A11197" s="52"/>
    </row>
    <row r="11198" spans="1:1" x14ac:dyDescent="0.2">
      <c r="A11198" s="52"/>
    </row>
    <row r="11199" spans="1:1" x14ac:dyDescent="0.2">
      <c r="A11199" s="52"/>
    </row>
    <row r="11200" spans="1:1" x14ac:dyDescent="0.2">
      <c r="A11200" s="52"/>
    </row>
    <row r="11201" spans="1:1" x14ac:dyDescent="0.2">
      <c r="A11201" s="52"/>
    </row>
    <row r="11202" spans="1:1" x14ac:dyDescent="0.2">
      <c r="A11202" s="52"/>
    </row>
    <row r="11203" spans="1:1" x14ac:dyDescent="0.2">
      <c r="A11203" s="52"/>
    </row>
    <row r="11204" spans="1:1" x14ac:dyDescent="0.2">
      <c r="A11204" s="52"/>
    </row>
    <row r="11205" spans="1:1" x14ac:dyDescent="0.2">
      <c r="A11205" s="52"/>
    </row>
    <row r="11206" spans="1:1" x14ac:dyDescent="0.2">
      <c r="A11206" s="52"/>
    </row>
    <row r="11207" spans="1:1" x14ac:dyDescent="0.2">
      <c r="A11207" s="52"/>
    </row>
    <row r="11208" spans="1:1" x14ac:dyDescent="0.2">
      <c r="A11208" s="53"/>
    </row>
    <row r="11209" spans="1:1" x14ac:dyDescent="0.2">
      <c r="A11209" s="52"/>
    </row>
    <row r="11210" spans="1:1" x14ac:dyDescent="0.2">
      <c r="A11210" s="52"/>
    </row>
    <row r="11211" spans="1:1" x14ac:dyDescent="0.2">
      <c r="A11211" s="52"/>
    </row>
    <row r="11212" spans="1:1" x14ac:dyDescent="0.2">
      <c r="A11212" s="52"/>
    </row>
    <row r="11213" spans="1:1" x14ac:dyDescent="0.2">
      <c r="A11213" s="52"/>
    </row>
    <row r="11214" spans="1:1" x14ac:dyDescent="0.2">
      <c r="A11214" s="53"/>
    </row>
    <row r="11215" spans="1:1" x14ac:dyDescent="0.2">
      <c r="A11215" s="52"/>
    </row>
    <row r="11216" spans="1:1" x14ac:dyDescent="0.2">
      <c r="A11216" s="52"/>
    </row>
    <row r="11217" spans="1:1" x14ac:dyDescent="0.2">
      <c r="A11217" s="52"/>
    </row>
    <row r="11218" spans="1:1" x14ac:dyDescent="0.2">
      <c r="A11218" s="52"/>
    </row>
    <row r="11219" spans="1:1" x14ac:dyDescent="0.2">
      <c r="A11219" s="52"/>
    </row>
    <row r="11220" spans="1:1" x14ac:dyDescent="0.2">
      <c r="A11220" s="52"/>
    </row>
    <row r="11221" spans="1:1" x14ac:dyDescent="0.2">
      <c r="A11221" s="52"/>
    </row>
    <row r="11222" spans="1:1" x14ac:dyDescent="0.2">
      <c r="A11222" s="52"/>
    </row>
    <row r="11223" spans="1:1" x14ac:dyDescent="0.2">
      <c r="A11223" s="52"/>
    </row>
    <row r="11224" spans="1:1" x14ac:dyDescent="0.2">
      <c r="A11224" s="52"/>
    </row>
    <row r="11225" spans="1:1" x14ac:dyDescent="0.2">
      <c r="A11225" s="52"/>
    </row>
    <row r="11226" spans="1:1" x14ac:dyDescent="0.2">
      <c r="A11226" s="53"/>
    </row>
    <row r="11227" spans="1:1" x14ac:dyDescent="0.2">
      <c r="A11227" s="53"/>
    </row>
    <row r="11228" spans="1:1" x14ac:dyDescent="0.2">
      <c r="A11228" s="52"/>
    </row>
    <row r="11229" spans="1:1" x14ac:dyDescent="0.2">
      <c r="A11229" s="52"/>
    </row>
    <row r="11230" spans="1:1" x14ac:dyDescent="0.2">
      <c r="A11230" s="52"/>
    </row>
    <row r="11231" spans="1:1" x14ac:dyDescent="0.2">
      <c r="A11231" s="52"/>
    </row>
    <row r="11232" spans="1:1" x14ac:dyDescent="0.2">
      <c r="A11232" s="52"/>
    </row>
    <row r="11233" spans="1:1" x14ac:dyDescent="0.2">
      <c r="A11233" s="52"/>
    </row>
    <row r="11234" spans="1:1" x14ac:dyDescent="0.2">
      <c r="A11234" s="52"/>
    </row>
    <row r="11235" spans="1:1" x14ac:dyDescent="0.2">
      <c r="A11235" s="52"/>
    </row>
    <row r="11236" spans="1:1" x14ac:dyDescent="0.2">
      <c r="A11236" s="52"/>
    </row>
    <row r="11237" spans="1:1" x14ac:dyDescent="0.2">
      <c r="A11237" s="52"/>
    </row>
    <row r="11238" spans="1:1" x14ac:dyDescent="0.2">
      <c r="A11238" s="52"/>
    </row>
    <row r="11239" spans="1:1" x14ac:dyDescent="0.2">
      <c r="A11239" s="52"/>
    </row>
    <row r="11240" spans="1:1" x14ac:dyDescent="0.2">
      <c r="A11240" s="52"/>
    </row>
    <row r="11241" spans="1:1" x14ac:dyDescent="0.2">
      <c r="A11241" s="52"/>
    </row>
    <row r="11242" spans="1:1" x14ac:dyDescent="0.2">
      <c r="A11242" s="52"/>
    </row>
    <row r="11243" spans="1:1" x14ac:dyDescent="0.2">
      <c r="A11243" s="52"/>
    </row>
    <row r="11244" spans="1:1" x14ac:dyDescent="0.2">
      <c r="A11244" s="52"/>
    </row>
    <row r="11245" spans="1:1" x14ac:dyDescent="0.2">
      <c r="A11245" s="52"/>
    </row>
    <row r="11246" spans="1:1" x14ac:dyDescent="0.2">
      <c r="A11246" s="52"/>
    </row>
    <row r="11247" spans="1:1" x14ac:dyDescent="0.2">
      <c r="A11247" s="52"/>
    </row>
    <row r="11248" spans="1:1" x14ac:dyDescent="0.2">
      <c r="A11248" s="52"/>
    </row>
    <row r="11249" spans="1:1" x14ac:dyDescent="0.2">
      <c r="A11249" s="52"/>
    </row>
    <row r="11250" spans="1:1" x14ac:dyDescent="0.2">
      <c r="A11250" s="52"/>
    </row>
    <row r="11251" spans="1:1" x14ac:dyDescent="0.2">
      <c r="A11251" s="52"/>
    </row>
    <row r="11252" spans="1:1" x14ac:dyDescent="0.2">
      <c r="A11252" s="52"/>
    </row>
    <row r="11253" spans="1:1" x14ac:dyDescent="0.2">
      <c r="A11253" s="52"/>
    </row>
    <row r="11254" spans="1:1" x14ac:dyDescent="0.2">
      <c r="A11254" s="52"/>
    </row>
    <row r="11255" spans="1:1" x14ac:dyDescent="0.2">
      <c r="A11255" s="52"/>
    </row>
    <row r="11256" spans="1:1" x14ac:dyDescent="0.2">
      <c r="A11256" s="52"/>
    </row>
    <row r="11257" spans="1:1" x14ac:dyDescent="0.2">
      <c r="A11257" s="52"/>
    </row>
    <row r="11258" spans="1:1" x14ac:dyDescent="0.2">
      <c r="A11258" s="53"/>
    </row>
    <row r="11259" spans="1:1" x14ac:dyDescent="0.2">
      <c r="A11259" s="52"/>
    </row>
    <row r="11260" spans="1:1" x14ac:dyDescent="0.2">
      <c r="A11260" s="52"/>
    </row>
    <row r="11261" spans="1:1" x14ac:dyDescent="0.2">
      <c r="A11261" s="52"/>
    </row>
    <row r="11262" spans="1:1" x14ac:dyDescent="0.2">
      <c r="A11262" s="52"/>
    </row>
    <row r="11263" spans="1:1" x14ac:dyDescent="0.2">
      <c r="A11263" s="52"/>
    </row>
    <row r="11264" spans="1:1" x14ac:dyDescent="0.2">
      <c r="A11264" s="52"/>
    </row>
    <row r="11265" spans="1:1" x14ac:dyDescent="0.2">
      <c r="A11265" s="52"/>
    </row>
    <row r="11266" spans="1:1" x14ac:dyDescent="0.2">
      <c r="A11266" s="53"/>
    </row>
    <row r="11267" spans="1:1" x14ac:dyDescent="0.2">
      <c r="A11267" s="53"/>
    </row>
    <row r="11268" spans="1:1" x14ac:dyDescent="0.2">
      <c r="A11268" s="52"/>
    </row>
    <row r="11269" spans="1:1" x14ac:dyDescent="0.2">
      <c r="A11269" s="52"/>
    </row>
    <row r="11270" spans="1:1" x14ac:dyDescent="0.2">
      <c r="A11270" s="52"/>
    </row>
    <row r="11271" spans="1:1" x14ac:dyDescent="0.2">
      <c r="A11271" s="52"/>
    </row>
    <row r="11272" spans="1:1" x14ac:dyDescent="0.2">
      <c r="A11272" s="52"/>
    </row>
    <row r="11273" spans="1:1" x14ac:dyDescent="0.2">
      <c r="A11273" s="52"/>
    </row>
    <row r="11274" spans="1:1" x14ac:dyDescent="0.2">
      <c r="A11274" s="52"/>
    </row>
    <row r="11275" spans="1:1" x14ac:dyDescent="0.2">
      <c r="A11275" s="52"/>
    </row>
    <row r="11276" spans="1:1" x14ac:dyDescent="0.2">
      <c r="A11276" s="52"/>
    </row>
    <row r="11277" spans="1:1" x14ac:dyDescent="0.2">
      <c r="A11277" s="52"/>
    </row>
    <row r="11278" spans="1:1" x14ac:dyDescent="0.2">
      <c r="A11278" s="52"/>
    </row>
    <row r="11279" spans="1:1" x14ac:dyDescent="0.2">
      <c r="A11279" s="52"/>
    </row>
    <row r="11280" spans="1:1" x14ac:dyDescent="0.2">
      <c r="A11280" s="52"/>
    </row>
    <row r="11281" spans="1:1" x14ac:dyDescent="0.2">
      <c r="A11281" s="52"/>
    </row>
    <row r="11282" spans="1:1" x14ac:dyDescent="0.2">
      <c r="A11282" s="52"/>
    </row>
    <row r="11283" spans="1:1" x14ac:dyDescent="0.2">
      <c r="A11283" s="52"/>
    </row>
    <row r="11284" spans="1:1" x14ac:dyDescent="0.2">
      <c r="A11284" s="52"/>
    </row>
    <row r="11285" spans="1:1" x14ac:dyDescent="0.2">
      <c r="A11285" s="52"/>
    </row>
    <row r="11286" spans="1:1" x14ac:dyDescent="0.2">
      <c r="A11286" s="52"/>
    </row>
    <row r="11287" spans="1:1" x14ac:dyDescent="0.2">
      <c r="A11287" s="52"/>
    </row>
    <row r="11288" spans="1:1" x14ac:dyDescent="0.2">
      <c r="A11288" s="52"/>
    </row>
    <row r="11289" spans="1:1" x14ac:dyDescent="0.2">
      <c r="A11289" s="52"/>
    </row>
    <row r="11290" spans="1:1" x14ac:dyDescent="0.2">
      <c r="A11290" s="52"/>
    </row>
    <row r="11291" spans="1:1" x14ac:dyDescent="0.2">
      <c r="A11291" s="52"/>
    </row>
    <row r="11292" spans="1:1" x14ac:dyDescent="0.2">
      <c r="A11292" s="52"/>
    </row>
    <row r="11293" spans="1:1" x14ac:dyDescent="0.2">
      <c r="A11293" s="52"/>
    </row>
    <row r="11294" spans="1:1" x14ac:dyDescent="0.2">
      <c r="A11294" s="53"/>
    </row>
    <row r="11295" spans="1:1" x14ac:dyDescent="0.2">
      <c r="A11295" s="52"/>
    </row>
    <row r="11296" spans="1:1" x14ac:dyDescent="0.2">
      <c r="A11296" s="52"/>
    </row>
    <row r="11297" spans="1:1" x14ac:dyDescent="0.2">
      <c r="A11297" s="52"/>
    </row>
    <row r="11298" spans="1:1" x14ac:dyDescent="0.2">
      <c r="A11298" s="52"/>
    </row>
    <row r="11299" spans="1:1" x14ac:dyDescent="0.2">
      <c r="A11299" s="52"/>
    </row>
    <row r="11300" spans="1:1" x14ac:dyDescent="0.2">
      <c r="A11300" s="52"/>
    </row>
    <row r="11301" spans="1:1" x14ac:dyDescent="0.2">
      <c r="A11301" s="53"/>
    </row>
    <row r="11302" spans="1:1" x14ac:dyDescent="0.2">
      <c r="A11302" s="53"/>
    </row>
    <row r="11303" spans="1:1" x14ac:dyDescent="0.2">
      <c r="A11303" s="52"/>
    </row>
    <row r="11304" spans="1:1" x14ac:dyDescent="0.2">
      <c r="A11304" s="53"/>
    </row>
    <row r="11305" spans="1:1" x14ac:dyDescent="0.2">
      <c r="A11305" s="52"/>
    </row>
    <row r="11306" spans="1:1" x14ac:dyDescent="0.2">
      <c r="A11306" s="52"/>
    </row>
    <row r="11307" spans="1:1" x14ac:dyDescent="0.2">
      <c r="A11307" s="52"/>
    </row>
    <row r="11308" spans="1:1" x14ac:dyDescent="0.2">
      <c r="A11308" s="52"/>
    </row>
    <row r="11309" spans="1:1" x14ac:dyDescent="0.2">
      <c r="A11309" s="52"/>
    </row>
    <row r="11310" spans="1:1" x14ac:dyDescent="0.2">
      <c r="A11310" s="52"/>
    </row>
    <row r="11311" spans="1:1" x14ac:dyDescent="0.2">
      <c r="A11311" s="52"/>
    </row>
    <row r="11312" spans="1:1" x14ac:dyDescent="0.2">
      <c r="A11312" s="52"/>
    </row>
    <row r="11313" spans="1:1" x14ac:dyDescent="0.2">
      <c r="A11313" s="52"/>
    </row>
    <row r="11314" spans="1:1" x14ac:dyDescent="0.2">
      <c r="A11314" s="52"/>
    </row>
    <row r="11315" spans="1:1" x14ac:dyDescent="0.2">
      <c r="A11315" s="52"/>
    </row>
    <row r="11316" spans="1:1" x14ac:dyDescent="0.2">
      <c r="A11316" s="52"/>
    </row>
    <row r="11317" spans="1:1" x14ac:dyDescent="0.2">
      <c r="A11317" s="52"/>
    </row>
    <row r="11318" spans="1:1" x14ac:dyDescent="0.2">
      <c r="A11318" s="52"/>
    </row>
    <row r="11319" spans="1:1" x14ac:dyDescent="0.2">
      <c r="A11319" s="52"/>
    </row>
    <row r="11320" spans="1:1" x14ac:dyDescent="0.2">
      <c r="A11320" s="52"/>
    </row>
    <row r="11321" spans="1:1" x14ac:dyDescent="0.2">
      <c r="A11321" s="52"/>
    </row>
    <row r="11322" spans="1:1" x14ac:dyDescent="0.2">
      <c r="A11322" s="52"/>
    </row>
    <row r="11323" spans="1:1" x14ac:dyDescent="0.2">
      <c r="A11323" s="53"/>
    </row>
    <row r="11324" spans="1:1" x14ac:dyDescent="0.2">
      <c r="A11324" s="52"/>
    </row>
    <row r="11325" spans="1:1" x14ac:dyDescent="0.2">
      <c r="A11325" s="52"/>
    </row>
    <row r="11326" spans="1:1" x14ac:dyDescent="0.2">
      <c r="A11326" s="52"/>
    </row>
    <row r="11327" spans="1:1" x14ac:dyDescent="0.2">
      <c r="A11327" s="52"/>
    </row>
    <row r="11328" spans="1:1" x14ac:dyDescent="0.2">
      <c r="A11328" s="52"/>
    </row>
    <row r="11329" spans="1:1" x14ac:dyDescent="0.2">
      <c r="A11329" s="52"/>
    </row>
    <row r="11330" spans="1:1" x14ac:dyDescent="0.2">
      <c r="A11330" s="52"/>
    </row>
    <row r="11331" spans="1:1" x14ac:dyDescent="0.2">
      <c r="A11331" s="52"/>
    </row>
    <row r="11332" spans="1:1" x14ac:dyDescent="0.2">
      <c r="A11332" s="52"/>
    </row>
    <row r="11333" spans="1:1" x14ac:dyDescent="0.2">
      <c r="A11333" s="52"/>
    </row>
    <row r="11334" spans="1:1" x14ac:dyDescent="0.2">
      <c r="A11334" s="52"/>
    </row>
    <row r="11335" spans="1:1" x14ac:dyDescent="0.2">
      <c r="A11335" s="52"/>
    </row>
    <row r="11336" spans="1:1" x14ac:dyDescent="0.2">
      <c r="A11336" s="52"/>
    </row>
    <row r="11337" spans="1:1" x14ac:dyDescent="0.2">
      <c r="A11337" s="53"/>
    </row>
    <row r="11338" spans="1:1" x14ac:dyDescent="0.2">
      <c r="A11338" s="53"/>
    </row>
    <row r="11339" spans="1:1" x14ac:dyDescent="0.2">
      <c r="A11339" s="53"/>
    </row>
    <row r="11340" spans="1:1" x14ac:dyDescent="0.2">
      <c r="A11340" s="52"/>
    </row>
    <row r="11341" spans="1:1" x14ac:dyDescent="0.2">
      <c r="A11341" s="52"/>
    </row>
    <row r="11342" spans="1:1" x14ac:dyDescent="0.2">
      <c r="A11342" s="53"/>
    </row>
    <row r="11343" spans="1:1" x14ac:dyDescent="0.2">
      <c r="A11343" s="52"/>
    </row>
    <row r="11344" spans="1:1" x14ac:dyDescent="0.2">
      <c r="A11344" s="52"/>
    </row>
    <row r="11345" spans="1:1" x14ac:dyDescent="0.2">
      <c r="A11345" s="52"/>
    </row>
    <row r="11346" spans="1:1" x14ac:dyDescent="0.2">
      <c r="A11346" s="52"/>
    </row>
    <row r="11347" spans="1:1" x14ac:dyDescent="0.2">
      <c r="A11347" s="52"/>
    </row>
    <row r="11348" spans="1:1" x14ac:dyDescent="0.2">
      <c r="A11348" s="52"/>
    </row>
    <row r="11349" spans="1:1" x14ac:dyDescent="0.2">
      <c r="A11349" s="52"/>
    </row>
    <row r="11350" spans="1:1" x14ac:dyDescent="0.2">
      <c r="A11350" s="52"/>
    </row>
    <row r="11351" spans="1:1" x14ac:dyDescent="0.2">
      <c r="A11351" s="52"/>
    </row>
    <row r="11352" spans="1:1" x14ac:dyDescent="0.2">
      <c r="A11352" s="52"/>
    </row>
    <row r="11353" spans="1:1" x14ac:dyDescent="0.2">
      <c r="A11353" s="52"/>
    </row>
    <row r="11354" spans="1:1" x14ac:dyDescent="0.2">
      <c r="A11354" s="52"/>
    </row>
    <row r="11355" spans="1:1" x14ac:dyDescent="0.2">
      <c r="A11355" s="52"/>
    </row>
    <row r="11356" spans="1:1" x14ac:dyDescent="0.2">
      <c r="A11356" s="52"/>
    </row>
    <row r="11357" spans="1:1" x14ac:dyDescent="0.2">
      <c r="A11357" s="52"/>
    </row>
    <row r="11358" spans="1:1" x14ac:dyDescent="0.2">
      <c r="A11358" s="52"/>
    </row>
    <row r="11359" spans="1:1" x14ac:dyDescent="0.2">
      <c r="A11359" s="52"/>
    </row>
    <row r="11360" spans="1:1" x14ac:dyDescent="0.2">
      <c r="A11360" s="52"/>
    </row>
    <row r="11361" spans="1:1" x14ac:dyDescent="0.2">
      <c r="A11361" s="52"/>
    </row>
    <row r="11362" spans="1:1" x14ac:dyDescent="0.2">
      <c r="A11362" s="52"/>
    </row>
    <row r="11363" spans="1:1" x14ac:dyDescent="0.2">
      <c r="A11363" s="52"/>
    </row>
    <row r="11364" spans="1:1" x14ac:dyDescent="0.2">
      <c r="A11364" s="52"/>
    </row>
    <row r="11365" spans="1:1" x14ac:dyDescent="0.2">
      <c r="A11365" s="52"/>
    </row>
    <row r="11366" spans="1:1" x14ac:dyDescent="0.2">
      <c r="A11366" s="52"/>
    </row>
    <row r="11367" spans="1:1" x14ac:dyDescent="0.2">
      <c r="A11367" s="52"/>
    </row>
    <row r="11368" spans="1:1" x14ac:dyDescent="0.2">
      <c r="A11368" s="53"/>
    </row>
    <row r="11369" spans="1:1" x14ac:dyDescent="0.2">
      <c r="A11369" s="52"/>
    </row>
    <row r="11370" spans="1:1" x14ac:dyDescent="0.2">
      <c r="A11370" s="52"/>
    </row>
    <row r="11371" spans="1:1" x14ac:dyDescent="0.2">
      <c r="A11371" s="52"/>
    </row>
    <row r="11372" spans="1:1" x14ac:dyDescent="0.2">
      <c r="A11372" s="52"/>
    </row>
    <row r="11373" spans="1:1" x14ac:dyDescent="0.2">
      <c r="A11373" s="52"/>
    </row>
    <row r="11374" spans="1:1" x14ac:dyDescent="0.2">
      <c r="A11374" s="53"/>
    </row>
    <row r="11375" spans="1:1" x14ac:dyDescent="0.2">
      <c r="A11375" s="52"/>
    </row>
    <row r="11376" spans="1:1" x14ac:dyDescent="0.2">
      <c r="A11376" s="52"/>
    </row>
    <row r="11377" spans="1:1" x14ac:dyDescent="0.2">
      <c r="A11377" s="52"/>
    </row>
    <row r="11378" spans="1:1" x14ac:dyDescent="0.2">
      <c r="A11378" s="52"/>
    </row>
    <row r="11379" spans="1:1" x14ac:dyDescent="0.2">
      <c r="A11379" s="53"/>
    </row>
    <row r="11380" spans="1:1" x14ac:dyDescent="0.2">
      <c r="A11380" s="52"/>
    </row>
    <row r="11381" spans="1:1" x14ac:dyDescent="0.2">
      <c r="A11381" s="52"/>
    </row>
    <row r="11382" spans="1:1" x14ac:dyDescent="0.2">
      <c r="A11382" s="52"/>
    </row>
    <row r="11383" spans="1:1" x14ac:dyDescent="0.2">
      <c r="A11383" s="52"/>
    </row>
    <row r="11384" spans="1:1" x14ac:dyDescent="0.2">
      <c r="A11384" s="52"/>
    </row>
    <row r="11385" spans="1:1" x14ac:dyDescent="0.2">
      <c r="A11385" s="52"/>
    </row>
    <row r="11386" spans="1:1" x14ac:dyDescent="0.2">
      <c r="A11386" s="53"/>
    </row>
    <row r="11387" spans="1:1" x14ac:dyDescent="0.2">
      <c r="A11387" s="52"/>
    </row>
    <row r="11388" spans="1:1" x14ac:dyDescent="0.2">
      <c r="A11388" s="53"/>
    </row>
    <row r="11389" spans="1:1" x14ac:dyDescent="0.2">
      <c r="A11389" s="52"/>
    </row>
    <row r="11390" spans="1:1" x14ac:dyDescent="0.2">
      <c r="A11390" s="52"/>
    </row>
    <row r="11391" spans="1:1" x14ac:dyDescent="0.2">
      <c r="A11391" s="52"/>
    </row>
    <row r="11392" spans="1:1" x14ac:dyDescent="0.2">
      <c r="A11392" s="52"/>
    </row>
    <row r="11393" spans="1:1" x14ac:dyDescent="0.2">
      <c r="A11393" s="52"/>
    </row>
    <row r="11394" spans="1:1" x14ac:dyDescent="0.2">
      <c r="A11394" s="52"/>
    </row>
    <row r="11395" spans="1:1" x14ac:dyDescent="0.2">
      <c r="A11395" s="52"/>
    </row>
    <row r="11396" spans="1:1" x14ac:dyDescent="0.2">
      <c r="A11396" s="52"/>
    </row>
    <row r="11397" spans="1:1" x14ac:dyDescent="0.2">
      <c r="A11397" s="52"/>
    </row>
    <row r="11398" spans="1:1" x14ac:dyDescent="0.2">
      <c r="A11398" s="52"/>
    </row>
    <row r="11399" spans="1:1" x14ac:dyDescent="0.2">
      <c r="A11399" s="52"/>
    </row>
    <row r="11400" spans="1:1" x14ac:dyDescent="0.2">
      <c r="A11400" s="52"/>
    </row>
    <row r="11401" spans="1:1" x14ac:dyDescent="0.2">
      <c r="A11401" s="52"/>
    </row>
    <row r="11402" spans="1:1" x14ac:dyDescent="0.2">
      <c r="A11402" s="52"/>
    </row>
    <row r="11403" spans="1:1" x14ac:dyDescent="0.2">
      <c r="A11403" s="53"/>
    </row>
    <row r="11404" spans="1:1" x14ac:dyDescent="0.2">
      <c r="A11404" s="52"/>
    </row>
    <row r="11405" spans="1:1" x14ac:dyDescent="0.2">
      <c r="A11405" s="52"/>
    </row>
    <row r="11406" spans="1:1" x14ac:dyDescent="0.2">
      <c r="A11406" s="52"/>
    </row>
    <row r="11407" spans="1:1" x14ac:dyDescent="0.2">
      <c r="A11407" s="52"/>
    </row>
    <row r="11408" spans="1:1" x14ac:dyDescent="0.2">
      <c r="A11408" s="52"/>
    </row>
    <row r="11409" spans="1:1" x14ac:dyDescent="0.2">
      <c r="A11409" s="52"/>
    </row>
    <row r="11410" spans="1:1" x14ac:dyDescent="0.2">
      <c r="A11410" s="52"/>
    </row>
    <row r="11411" spans="1:1" x14ac:dyDescent="0.2">
      <c r="A11411" s="52"/>
    </row>
    <row r="11412" spans="1:1" x14ac:dyDescent="0.2">
      <c r="A11412" s="52"/>
    </row>
    <row r="11413" spans="1:1" x14ac:dyDescent="0.2">
      <c r="A11413" s="52"/>
    </row>
    <row r="11414" spans="1:1" x14ac:dyDescent="0.2">
      <c r="A11414" s="52"/>
    </row>
    <row r="11415" spans="1:1" x14ac:dyDescent="0.2">
      <c r="A11415" s="52"/>
    </row>
    <row r="11416" spans="1:1" x14ac:dyDescent="0.2">
      <c r="A11416" s="52"/>
    </row>
    <row r="11417" spans="1:1" x14ac:dyDescent="0.2">
      <c r="A11417" s="52"/>
    </row>
    <row r="11418" spans="1:1" x14ac:dyDescent="0.2">
      <c r="A11418" s="52"/>
    </row>
    <row r="11419" spans="1:1" x14ac:dyDescent="0.2">
      <c r="A11419" s="52"/>
    </row>
    <row r="11420" spans="1:1" x14ac:dyDescent="0.2">
      <c r="A11420" s="52"/>
    </row>
    <row r="11421" spans="1:1" x14ac:dyDescent="0.2">
      <c r="A11421" s="53"/>
    </row>
    <row r="11422" spans="1:1" x14ac:dyDescent="0.2">
      <c r="A11422" s="52"/>
    </row>
    <row r="11423" spans="1:1" x14ac:dyDescent="0.2">
      <c r="A11423" s="52"/>
    </row>
    <row r="11424" spans="1:1" x14ac:dyDescent="0.2">
      <c r="A11424" s="52"/>
    </row>
    <row r="11425" spans="1:1" x14ac:dyDescent="0.2">
      <c r="A11425" s="53"/>
    </row>
    <row r="11426" spans="1:1" x14ac:dyDescent="0.2">
      <c r="A11426" s="52"/>
    </row>
    <row r="11427" spans="1:1" x14ac:dyDescent="0.2">
      <c r="A11427" s="52"/>
    </row>
    <row r="11428" spans="1:1" x14ac:dyDescent="0.2">
      <c r="A11428" s="52"/>
    </row>
    <row r="11429" spans="1:1" x14ac:dyDescent="0.2">
      <c r="A11429" s="52"/>
    </row>
    <row r="11430" spans="1:1" x14ac:dyDescent="0.2">
      <c r="A11430" s="52"/>
    </row>
    <row r="11431" spans="1:1" x14ac:dyDescent="0.2">
      <c r="A11431" s="52"/>
    </row>
    <row r="11432" spans="1:1" x14ac:dyDescent="0.2">
      <c r="A11432" s="52"/>
    </row>
    <row r="11433" spans="1:1" x14ac:dyDescent="0.2">
      <c r="A11433" s="52"/>
    </row>
    <row r="11434" spans="1:1" x14ac:dyDescent="0.2">
      <c r="A11434" s="52"/>
    </row>
    <row r="11435" spans="1:1" x14ac:dyDescent="0.2">
      <c r="A11435" s="52"/>
    </row>
    <row r="11436" spans="1:1" x14ac:dyDescent="0.2">
      <c r="A11436" s="52"/>
    </row>
    <row r="11437" spans="1:1" x14ac:dyDescent="0.2">
      <c r="A11437" s="52"/>
    </row>
    <row r="11438" spans="1:1" x14ac:dyDescent="0.2">
      <c r="A11438" s="53"/>
    </row>
    <row r="11439" spans="1:1" x14ac:dyDescent="0.2">
      <c r="A11439" s="52"/>
    </row>
    <row r="11440" spans="1:1" x14ac:dyDescent="0.2">
      <c r="A11440" s="52"/>
    </row>
    <row r="11441" spans="1:1" x14ac:dyDescent="0.2">
      <c r="A11441" s="52"/>
    </row>
    <row r="11442" spans="1:1" x14ac:dyDescent="0.2">
      <c r="A11442" s="52"/>
    </row>
    <row r="11443" spans="1:1" x14ac:dyDescent="0.2">
      <c r="A11443" s="52"/>
    </row>
    <row r="11444" spans="1:1" x14ac:dyDescent="0.2">
      <c r="A11444" s="52"/>
    </row>
    <row r="11445" spans="1:1" x14ac:dyDescent="0.2">
      <c r="A11445" s="52"/>
    </row>
    <row r="11446" spans="1:1" x14ac:dyDescent="0.2">
      <c r="A11446" s="52"/>
    </row>
    <row r="11447" spans="1:1" x14ac:dyDescent="0.2">
      <c r="A11447" s="52"/>
    </row>
    <row r="11448" spans="1:1" x14ac:dyDescent="0.2">
      <c r="A11448" s="52"/>
    </row>
    <row r="11449" spans="1:1" x14ac:dyDescent="0.2">
      <c r="A11449" s="52"/>
    </row>
    <row r="11450" spans="1:1" x14ac:dyDescent="0.2">
      <c r="A11450" s="52"/>
    </row>
    <row r="11451" spans="1:1" x14ac:dyDescent="0.2">
      <c r="A11451" s="53"/>
    </row>
    <row r="11452" spans="1:1" x14ac:dyDescent="0.2">
      <c r="A11452" s="52"/>
    </row>
    <row r="11453" spans="1:1" x14ac:dyDescent="0.2">
      <c r="A11453" s="52"/>
    </row>
    <row r="11454" spans="1:1" x14ac:dyDescent="0.2">
      <c r="A11454" s="52"/>
    </row>
    <row r="11455" spans="1:1" x14ac:dyDescent="0.2">
      <c r="A11455" s="52"/>
    </row>
    <row r="11456" spans="1:1" x14ac:dyDescent="0.2">
      <c r="A11456" s="52"/>
    </row>
    <row r="11457" spans="1:1" x14ac:dyDescent="0.2">
      <c r="A11457" s="52"/>
    </row>
    <row r="11458" spans="1:1" x14ac:dyDescent="0.2">
      <c r="A11458" s="52"/>
    </row>
    <row r="11459" spans="1:1" x14ac:dyDescent="0.2">
      <c r="A11459" s="52"/>
    </row>
    <row r="11460" spans="1:1" x14ac:dyDescent="0.2">
      <c r="A11460" s="52"/>
    </row>
    <row r="11461" spans="1:1" x14ac:dyDescent="0.2">
      <c r="A11461" s="52"/>
    </row>
    <row r="11462" spans="1:1" x14ac:dyDescent="0.2">
      <c r="A11462" s="53"/>
    </row>
    <row r="11463" spans="1:1" x14ac:dyDescent="0.2">
      <c r="A11463" s="52"/>
    </row>
    <row r="11464" spans="1:1" x14ac:dyDescent="0.2">
      <c r="A11464" s="52"/>
    </row>
    <row r="11465" spans="1:1" x14ac:dyDescent="0.2">
      <c r="A11465" s="52"/>
    </row>
    <row r="11466" spans="1:1" x14ac:dyDescent="0.2">
      <c r="A11466" s="52"/>
    </row>
    <row r="11467" spans="1:1" x14ac:dyDescent="0.2">
      <c r="A11467" s="52"/>
    </row>
    <row r="11468" spans="1:1" x14ac:dyDescent="0.2">
      <c r="A11468" s="52"/>
    </row>
    <row r="11469" spans="1:1" x14ac:dyDescent="0.2">
      <c r="A11469" s="52"/>
    </row>
    <row r="11470" spans="1:1" x14ac:dyDescent="0.2">
      <c r="A11470" s="52"/>
    </row>
    <row r="11471" spans="1:1" x14ac:dyDescent="0.2">
      <c r="A11471" s="52"/>
    </row>
    <row r="11472" spans="1:1" x14ac:dyDescent="0.2">
      <c r="A11472" s="52"/>
    </row>
    <row r="11473" spans="1:1" x14ac:dyDescent="0.2">
      <c r="A11473" s="52"/>
    </row>
    <row r="11474" spans="1:1" x14ac:dyDescent="0.2">
      <c r="A11474" s="52"/>
    </row>
    <row r="11475" spans="1:1" x14ac:dyDescent="0.2">
      <c r="A11475" s="52"/>
    </row>
    <row r="11476" spans="1:1" x14ac:dyDescent="0.2">
      <c r="A11476" s="52"/>
    </row>
    <row r="11477" spans="1:1" x14ac:dyDescent="0.2">
      <c r="A11477" s="53"/>
    </row>
    <row r="11478" spans="1:1" x14ac:dyDescent="0.2">
      <c r="A11478" s="52"/>
    </row>
    <row r="11479" spans="1:1" x14ac:dyDescent="0.2">
      <c r="A11479" s="52"/>
    </row>
    <row r="11480" spans="1:1" x14ac:dyDescent="0.2">
      <c r="A11480" s="52"/>
    </row>
    <row r="11481" spans="1:1" x14ac:dyDescent="0.2">
      <c r="A11481" s="52"/>
    </row>
    <row r="11482" spans="1:1" x14ac:dyDescent="0.2">
      <c r="A11482" s="52"/>
    </row>
    <row r="11483" spans="1:1" x14ac:dyDescent="0.2">
      <c r="A11483" s="52"/>
    </row>
    <row r="11484" spans="1:1" x14ac:dyDescent="0.2">
      <c r="A11484" s="52"/>
    </row>
    <row r="11485" spans="1:1" x14ac:dyDescent="0.2">
      <c r="A11485" s="52"/>
    </row>
    <row r="11486" spans="1:1" x14ac:dyDescent="0.2">
      <c r="A11486" s="52"/>
    </row>
    <row r="11487" spans="1:1" x14ac:dyDescent="0.2">
      <c r="A11487" s="52"/>
    </row>
    <row r="11488" spans="1:1" x14ac:dyDescent="0.2">
      <c r="A11488" s="52"/>
    </row>
    <row r="11489" spans="1:1" x14ac:dyDescent="0.2">
      <c r="A11489" s="52"/>
    </row>
    <row r="11490" spans="1:1" x14ac:dyDescent="0.2">
      <c r="A11490" s="52"/>
    </row>
    <row r="11491" spans="1:1" x14ac:dyDescent="0.2">
      <c r="A11491" s="52"/>
    </row>
    <row r="11492" spans="1:1" x14ac:dyDescent="0.2">
      <c r="A11492" s="52"/>
    </row>
    <row r="11493" spans="1:1" x14ac:dyDescent="0.2">
      <c r="A11493" s="52"/>
    </row>
    <row r="11494" spans="1:1" x14ac:dyDescent="0.2">
      <c r="A11494" s="53"/>
    </row>
    <row r="11495" spans="1:1" x14ac:dyDescent="0.2">
      <c r="A11495" s="52"/>
    </row>
    <row r="11496" spans="1:1" x14ac:dyDescent="0.2">
      <c r="A11496" s="52"/>
    </row>
    <row r="11497" spans="1:1" x14ac:dyDescent="0.2">
      <c r="A11497" s="52"/>
    </row>
    <row r="11498" spans="1:1" x14ac:dyDescent="0.2">
      <c r="A11498" s="52"/>
    </row>
    <row r="11499" spans="1:1" x14ac:dyDescent="0.2">
      <c r="A11499" s="52"/>
    </row>
    <row r="11500" spans="1:1" x14ac:dyDescent="0.2">
      <c r="A11500" s="52"/>
    </row>
    <row r="11501" spans="1:1" x14ac:dyDescent="0.2">
      <c r="A11501" s="52"/>
    </row>
    <row r="11502" spans="1:1" x14ac:dyDescent="0.2">
      <c r="A11502" s="52"/>
    </row>
    <row r="11503" spans="1:1" x14ac:dyDescent="0.2">
      <c r="A11503" s="52"/>
    </row>
    <row r="11504" spans="1:1" x14ac:dyDescent="0.2">
      <c r="A11504" s="52"/>
    </row>
    <row r="11505" spans="1:1" x14ac:dyDescent="0.2">
      <c r="A11505" s="52"/>
    </row>
    <row r="11506" spans="1:1" x14ac:dyDescent="0.2">
      <c r="A11506" s="52"/>
    </row>
    <row r="11507" spans="1:1" x14ac:dyDescent="0.2">
      <c r="A11507" s="52"/>
    </row>
    <row r="11508" spans="1:1" x14ac:dyDescent="0.2">
      <c r="A11508" s="52"/>
    </row>
    <row r="11509" spans="1:1" x14ac:dyDescent="0.2">
      <c r="A11509" s="52"/>
    </row>
    <row r="11510" spans="1:1" x14ac:dyDescent="0.2">
      <c r="A11510" s="52"/>
    </row>
    <row r="11511" spans="1:1" x14ac:dyDescent="0.2">
      <c r="A11511" s="52"/>
    </row>
    <row r="11512" spans="1:1" x14ac:dyDescent="0.2">
      <c r="A11512" s="52"/>
    </row>
    <row r="11513" spans="1:1" x14ac:dyDescent="0.2">
      <c r="A11513" s="52"/>
    </row>
    <row r="11514" spans="1:1" x14ac:dyDescent="0.2">
      <c r="A11514" s="52"/>
    </row>
    <row r="11515" spans="1:1" x14ac:dyDescent="0.2">
      <c r="A11515" s="52"/>
    </row>
    <row r="11516" spans="1:1" x14ac:dyDescent="0.2">
      <c r="A11516" s="52"/>
    </row>
    <row r="11517" spans="1:1" x14ac:dyDescent="0.2">
      <c r="A11517" s="52"/>
    </row>
    <row r="11518" spans="1:1" x14ac:dyDescent="0.2">
      <c r="A11518" s="52"/>
    </row>
    <row r="11519" spans="1:1" x14ac:dyDescent="0.2">
      <c r="A11519" s="52"/>
    </row>
    <row r="11520" spans="1:1" x14ac:dyDescent="0.2">
      <c r="A11520" s="52"/>
    </row>
    <row r="11521" spans="1:1" x14ac:dyDescent="0.2">
      <c r="A11521" s="52"/>
    </row>
    <row r="11522" spans="1:1" x14ac:dyDescent="0.2">
      <c r="A11522" s="52"/>
    </row>
    <row r="11523" spans="1:1" x14ac:dyDescent="0.2">
      <c r="A11523" s="52"/>
    </row>
    <row r="11524" spans="1:1" x14ac:dyDescent="0.2">
      <c r="A11524" s="52"/>
    </row>
    <row r="11525" spans="1:1" x14ac:dyDescent="0.2">
      <c r="A11525" s="52"/>
    </row>
    <row r="11526" spans="1:1" x14ac:dyDescent="0.2">
      <c r="A11526" s="53"/>
    </row>
    <row r="11527" spans="1:1" x14ac:dyDescent="0.2">
      <c r="A11527" s="52"/>
    </row>
    <row r="11528" spans="1:1" x14ac:dyDescent="0.2">
      <c r="A11528" s="52"/>
    </row>
    <row r="11529" spans="1:1" x14ac:dyDescent="0.2">
      <c r="A11529" s="52"/>
    </row>
    <row r="11530" spans="1:1" x14ac:dyDescent="0.2">
      <c r="A11530" s="52"/>
    </row>
    <row r="11531" spans="1:1" x14ac:dyDescent="0.2">
      <c r="A11531" s="52"/>
    </row>
    <row r="11532" spans="1:1" x14ac:dyDescent="0.2">
      <c r="A11532" s="53"/>
    </row>
    <row r="11533" spans="1:1" x14ac:dyDescent="0.2">
      <c r="A11533" s="52"/>
    </row>
    <row r="11534" spans="1:1" x14ac:dyDescent="0.2">
      <c r="A11534" s="53"/>
    </row>
    <row r="11535" spans="1:1" x14ac:dyDescent="0.2">
      <c r="A11535" s="52"/>
    </row>
    <row r="11536" spans="1:1" x14ac:dyDescent="0.2">
      <c r="A11536" s="52"/>
    </row>
    <row r="11537" spans="1:1" x14ac:dyDescent="0.2">
      <c r="A11537" s="52"/>
    </row>
    <row r="11538" spans="1:1" x14ac:dyDescent="0.2">
      <c r="A11538" s="52"/>
    </row>
    <row r="11539" spans="1:1" x14ac:dyDescent="0.2">
      <c r="A11539" s="52"/>
    </row>
    <row r="11540" spans="1:1" x14ac:dyDescent="0.2">
      <c r="A11540" s="52"/>
    </row>
    <row r="11541" spans="1:1" x14ac:dyDescent="0.2">
      <c r="A11541" s="52"/>
    </row>
    <row r="11542" spans="1:1" x14ac:dyDescent="0.2">
      <c r="A11542" s="52"/>
    </row>
    <row r="11543" spans="1:1" x14ac:dyDescent="0.2">
      <c r="A11543" s="52"/>
    </row>
    <row r="11544" spans="1:1" x14ac:dyDescent="0.2">
      <c r="A11544" s="52"/>
    </row>
    <row r="11545" spans="1:1" x14ac:dyDescent="0.2">
      <c r="A11545" s="52"/>
    </row>
    <row r="11546" spans="1:1" x14ac:dyDescent="0.2">
      <c r="A11546" s="52"/>
    </row>
    <row r="11547" spans="1:1" x14ac:dyDescent="0.2">
      <c r="A11547" s="52"/>
    </row>
    <row r="11548" spans="1:1" x14ac:dyDescent="0.2">
      <c r="A11548" s="52"/>
    </row>
    <row r="11549" spans="1:1" x14ac:dyDescent="0.2">
      <c r="A11549" s="53"/>
    </row>
    <row r="11550" spans="1:1" x14ac:dyDescent="0.2">
      <c r="A11550" s="52"/>
    </row>
    <row r="11551" spans="1:1" x14ac:dyDescent="0.2">
      <c r="A11551" s="52"/>
    </row>
    <row r="11552" spans="1:1" x14ac:dyDescent="0.2">
      <c r="A11552" s="52"/>
    </row>
    <row r="11553" spans="1:1" x14ac:dyDescent="0.2">
      <c r="A11553" s="52"/>
    </row>
    <row r="11554" spans="1:1" x14ac:dyDescent="0.2">
      <c r="A11554" s="52"/>
    </row>
    <row r="11555" spans="1:1" x14ac:dyDescent="0.2">
      <c r="A11555" s="52"/>
    </row>
    <row r="11556" spans="1:1" x14ac:dyDescent="0.2">
      <c r="A11556" s="52"/>
    </row>
    <row r="11557" spans="1:1" x14ac:dyDescent="0.2">
      <c r="A11557" s="53"/>
    </row>
    <row r="11558" spans="1:1" x14ac:dyDescent="0.2">
      <c r="A11558" s="52"/>
    </row>
    <row r="11559" spans="1:1" x14ac:dyDescent="0.2">
      <c r="A11559" s="52"/>
    </row>
    <row r="11560" spans="1:1" x14ac:dyDescent="0.2">
      <c r="A11560" s="52"/>
    </row>
    <row r="11561" spans="1:1" x14ac:dyDescent="0.2">
      <c r="A11561" s="52"/>
    </row>
    <row r="11562" spans="1:1" x14ac:dyDescent="0.2">
      <c r="A11562" s="53"/>
    </row>
    <row r="11563" spans="1:1" x14ac:dyDescent="0.2">
      <c r="A11563" s="52"/>
    </row>
    <row r="11564" spans="1:1" x14ac:dyDescent="0.2">
      <c r="A11564" s="52"/>
    </row>
    <row r="11565" spans="1:1" x14ac:dyDescent="0.2">
      <c r="A11565" s="52"/>
    </row>
    <row r="11566" spans="1:1" x14ac:dyDescent="0.2">
      <c r="A11566" s="53"/>
    </row>
    <row r="11567" spans="1:1" x14ac:dyDescent="0.2">
      <c r="A11567" s="52"/>
    </row>
    <row r="11568" spans="1:1" x14ac:dyDescent="0.2">
      <c r="A11568" s="52"/>
    </row>
    <row r="11569" spans="1:1" x14ac:dyDescent="0.2">
      <c r="A11569" s="52"/>
    </row>
    <row r="11570" spans="1:1" x14ac:dyDescent="0.2">
      <c r="A11570" s="52"/>
    </row>
    <row r="11571" spans="1:1" x14ac:dyDescent="0.2">
      <c r="A11571" s="52"/>
    </row>
    <row r="11572" spans="1:1" x14ac:dyDescent="0.2">
      <c r="A11572" s="52"/>
    </row>
    <row r="11573" spans="1:1" x14ac:dyDescent="0.2">
      <c r="A11573" s="52"/>
    </row>
    <row r="11574" spans="1:1" x14ac:dyDescent="0.2">
      <c r="A11574" s="52"/>
    </row>
    <row r="11575" spans="1:1" x14ac:dyDescent="0.2">
      <c r="A11575" s="52"/>
    </row>
    <row r="11576" spans="1:1" x14ac:dyDescent="0.2">
      <c r="A11576" s="52"/>
    </row>
    <row r="11577" spans="1:1" x14ac:dyDescent="0.2">
      <c r="A11577" s="52"/>
    </row>
    <row r="11578" spans="1:1" x14ac:dyDescent="0.2">
      <c r="A11578" s="52"/>
    </row>
    <row r="11579" spans="1:1" x14ac:dyDescent="0.2">
      <c r="A11579" s="52"/>
    </row>
    <row r="11580" spans="1:1" x14ac:dyDescent="0.2">
      <c r="A11580" s="52"/>
    </row>
    <row r="11581" spans="1:1" x14ac:dyDescent="0.2">
      <c r="A11581" s="52"/>
    </row>
    <row r="11582" spans="1:1" x14ac:dyDescent="0.2">
      <c r="A11582" s="52"/>
    </row>
    <row r="11583" spans="1:1" x14ac:dyDescent="0.2">
      <c r="A11583" s="52"/>
    </row>
    <row r="11584" spans="1:1" x14ac:dyDescent="0.2">
      <c r="A11584" s="52"/>
    </row>
    <row r="11585" spans="1:1" x14ac:dyDescent="0.2">
      <c r="A11585" s="52"/>
    </row>
    <row r="11586" spans="1:1" x14ac:dyDescent="0.2">
      <c r="A11586" s="52"/>
    </row>
    <row r="11587" spans="1:1" x14ac:dyDescent="0.2">
      <c r="A11587" s="52"/>
    </row>
    <row r="11588" spans="1:1" x14ac:dyDescent="0.2">
      <c r="A11588" s="52"/>
    </row>
    <row r="11589" spans="1:1" x14ac:dyDescent="0.2">
      <c r="A11589" s="52"/>
    </row>
    <row r="11590" spans="1:1" x14ac:dyDescent="0.2">
      <c r="A11590" s="52"/>
    </row>
    <row r="11591" spans="1:1" x14ac:dyDescent="0.2">
      <c r="A11591" s="52"/>
    </row>
    <row r="11592" spans="1:1" x14ac:dyDescent="0.2">
      <c r="A11592" s="52"/>
    </row>
    <row r="11593" spans="1:1" x14ac:dyDescent="0.2">
      <c r="A11593" s="52"/>
    </row>
    <row r="11594" spans="1:1" x14ac:dyDescent="0.2">
      <c r="A11594" s="52"/>
    </row>
    <row r="11595" spans="1:1" x14ac:dyDescent="0.2">
      <c r="A11595" s="52"/>
    </row>
    <row r="11596" spans="1:1" x14ac:dyDescent="0.2">
      <c r="A11596" s="52"/>
    </row>
    <row r="11597" spans="1:1" x14ac:dyDescent="0.2">
      <c r="A11597" s="52"/>
    </row>
    <row r="11598" spans="1:1" x14ac:dyDescent="0.2">
      <c r="A11598" s="52"/>
    </row>
    <row r="11599" spans="1:1" x14ac:dyDescent="0.2">
      <c r="A11599" s="52"/>
    </row>
    <row r="11600" spans="1:1" x14ac:dyDescent="0.2">
      <c r="A11600" s="52"/>
    </row>
    <row r="11601" spans="1:1" x14ac:dyDescent="0.2">
      <c r="A11601" s="52"/>
    </row>
    <row r="11602" spans="1:1" x14ac:dyDescent="0.2">
      <c r="A11602" s="52"/>
    </row>
    <row r="11603" spans="1:1" x14ac:dyDescent="0.2">
      <c r="A11603" s="52"/>
    </row>
    <row r="11604" spans="1:1" x14ac:dyDescent="0.2">
      <c r="A11604" s="52"/>
    </row>
    <row r="11605" spans="1:1" x14ac:dyDescent="0.2">
      <c r="A11605" s="52"/>
    </row>
    <row r="11606" spans="1:1" x14ac:dyDescent="0.2">
      <c r="A11606" s="52"/>
    </row>
    <row r="11607" spans="1:1" x14ac:dyDescent="0.2">
      <c r="A11607" s="52"/>
    </row>
    <row r="11608" spans="1:1" x14ac:dyDescent="0.2">
      <c r="A11608" s="52"/>
    </row>
    <row r="11609" spans="1:1" x14ac:dyDescent="0.2">
      <c r="A11609" s="52"/>
    </row>
    <row r="11610" spans="1:1" x14ac:dyDescent="0.2">
      <c r="A11610" s="52"/>
    </row>
    <row r="11611" spans="1:1" x14ac:dyDescent="0.2">
      <c r="A11611" s="52"/>
    </row>
    <row r="11612" spans="1:1" x14ac:dyDescent="0.2">
      <c r="A11612" s="52"/>
    </row>
    <row r="11613" spans="1:1" x14ac:dyDescent="0.2">
      <c r="A11613" s="52"/>
    </row>
    <row r="11614" spans="1:1" x14ac:dyDescent="0.2">
      <c r="A11614" s="52"/>
    </row>
    <row r="11615" spans="1:1" x14ac:dyDescent="0.2">
      <c r="A11615" s="53"/>
    </row>
    <row r="11616" spans="1:1" x14ac:dyDescent="0.2">
      <c r="A11616" s="53"/>
    </row>
    <row r="11617" spans="1:1" x14ac:dyDescent="0.2">
      <c r="A11617" s="53"/>
    </row>
    <row r="11618" spans="1:1" x14ac:dyDescent="0.2">
      <c r="A11618" s="52"/>
    </row>
    <row r="11619" spans="1:1" x14ac:dyDescent="0.2">
      <c r="A11619" s="52"/>
    </row>
    <row r="11620" spans="1:1" x14ac:dyDescent="0.2">
      <c r="A11620" s="52"/>
    </row>
    <row r="11621" spans="1:1" x14ac:dyDescent="0.2">
      <c r="A11621" s="52"/>
    </row>
    <row r="11622" spans="1:1" x14ac:dyDescent="0.2">
      <c r="A11622" s="52"/>
    </row>
    <row r="11623" spans="1:1" x14ac:dyDescent="0.2">
      <c r="A11623" s="52"/>
    </row>
    <row r="11624" spans="1:1" x14ac:dyDescent="0.2">
      <c r="A11624" s="52"/>
    </row>
    <row r="11625" spans="1:1" x14ac:dyDescent="0.2">
      <c r="A11625" s="52"/>
    </row>
    <row r="11626" spans="1:1" x14ac:dyDescent="0.2">
      <c r="A11626" s="52"/>
    </row>
    <row r="11627" spans="1:1" x14ac:dyDescent="0.2">
      <c r="A11627" s="52"/>
    </row>
    <row r="11628" spans="1:1" x14ac:dyDescent="0.2">
      <c r="A11628" s="52"/>
    </row>
    <row r="11629" spans="1:1" x14ac:dyDescent="0.2">
      <c r="A11629" s="52"/>
    </row>
    <row r="11630" spans="1:1" x14ac:dyDescent="0.2">
      <c r="A11630" s="52"/>
    </row>
    <row r="11631" spans="1:1" x14ac:dyDescent="0.2">
      <c r="A11631" s="52"/>
    </row>
    <row r="11632" spans="1:1" x14ac:dyDescent="0.2">
      <c r="A11632" s="52"/>
    </row>
    <row r="11633" spans="1:1" x14ac:dyDescent="0.2">
      <c r="A11633" s="52"/>
    </row>
    <row r="11634" spans="1:1" x14ac:dyDescent="0.2">
      <c r="A11634" s="52"/>
    </row>
    <row r="11635" spans="1:1" x14ac:dyDescent="0.2">
      <c r="A11635" s="52"/>
    </row>
    <row r="11636" spans="1:1" x14ac:dyDescent="0.2">
      <c r="A11636" s="52"/>
    </row>
    <row r="11637" spans="1:1" x14ac:dyDescent="0.2">
      <c r="A11637" s="52"/>
    </row>
    <row r="11638" spans="1:1" x14ac:dyDescent="0.2">
      <c r="A11638" s="52"/>
    </row>
    <row r="11639" spans="1:1" x14ac:dyDescent="0.2">
      <c r="A11639" s="52"/>
    </row>
    <row r="11640" spans="1:1" x14ac:dyDescent="0.2">
      <c r="A11640" s="52"/>
    </row>
    <row r="11641" spans="1:1" x14ac:dyDescent="0.2">
      <c r="A11641" s="52"/>
    </row>
    <row r="11642" spans="1:1" x14ac:dyDescent="0.2">
      <c r="A11642" s="52"/>
    </row>
    <row r="11643" spans="1:1" x14ac:dyDescent="0.2">
      <c r="A11643" s="52"/>
    </row>
    <row r="11644" spans="1:1" x14ac:dyDescent="0.2">
      <c r="A11644" s="52"/>
    </row>
  </sheetData>
  <autoFilter ref="A1:A993" xr:uid="{8DE13887-D68E-C24A-90E7-348F39F0109A}">
    <sortState xmlns:xlrd2="http://schemas.microsoft.com/office/spreadsheetml/2017/richdata2" ref="A2:Q11644">
      <sortCondition sortBy="cellColor" ref="A1:A11644" dxfId="163"/>
    </sortState>
  </autoFilter>
  <sortState xmlns:xlrd2="http://schemas.microsoft.com/office/spreadsheetml/2017/richdata2" ref="A2:Q11645">
    <sortCondition descending="1" ref="E1:E11645"/>
  </sortState>
  <conditionalFormatting sqref="A1">
    <cfRule type="duplicateValues" dxfId="59" priority="12"/>
    <cfRule type="duplicateValues" dxfId="58" priority="13"/>
    <cfRule type="duplicateValues" dxfId="57" priority="14"/>
    <cfRule type="duplicateValues" dxfId="56" priority="15"/>
    <cfRule type="duplicateValues" dxfId="55" priority="16"/>
    <cfRule type="duplicateValues" dxfId="54" priority="17"/>
    <cfRule type="duplicateValues" dxfId="53" priority="18"/>
    <cfRule type="duplicateValues" dxfId="52" priority="19"/>
    <cfRule type="duplicateValues" dxfId="51" priority="20"/>
  </conditionalFormatting>
  <conditionalFormatting sqref="A1:A1048576">
    <cfRule type="duplicateValues" dxfId="50" priority="1"/>
  </conditionalFormatting>
  <conditionalFormatting sqref="A131:A3474">
    <cfRule type="duplicateValues" dxfId="49" priority="67"/>
  </conditionalFormatting>
  <conditionalFormatting sqref="A3476:A3479">
    <cfRule type="duplicateValues" dxfId="48" priority="2"/>
  </conditionalFormatting>
  <conditionalFormatting sqref="A11645:A1048576 A1:A39">
    <cfRule type="duplicateValues" dxfId="47" priority="11"/>
  </conditionalFormatting>
  <conditionalFormatting sqref="A11645:A1048576 A1:A68">
    <cfRule type="duplicateValues" dxfId="46" priority="10"/>
  </conditionalFormatting>
  <conditionalFormatting sqref="A11645:A1048576 A1:A130">
    <cfRule type="duplicateValues" dxfId="45" priority="4"/>
    <cfRule type="duplicateValues" dxfId="44" priority="7"/>
  </conditionalFormatting>
  <conditionalFormatting sqref="S228:S262">
    <cfRule type="duplicateValues" dxfId="43" priority="23"/>
    <cfRule type="duplicateValues" dxfId="42" priority="24"/>
  </conditionalFormatting>
  <conditionalFormatting sqref="S263:S289">
    <cfRule type="duplicateValues" dxfId="41" priority="21"/>
    <cfRule type="duplicateValues" dxfId="40" priority="2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90CE-AD07-5644-B798-F468EEBFB226}">
  <dimension ref="A1:N1122"/>
  <sheetViews>
    <sheetView workbookViewId="0">
      <pane ySplit="1" topLeftCell="A2" activePane="bottomLeft" state="frozen"/>
      <selection pane="bottomLeft" activeCell="O33" sqref="O33"/>
    </sheetView>
  </sheetViews>
  <sheetFormatPr baseColWidth="10" defaultRowHeight="16" x14ac:dyDescent="0.2"/>
  <cols>
    <col min="1" max="1" width="15" style="24" customWidth="1"/>
    <col min="2" max="2" width="12.33203125" style="24" customWidth="1"/>
    <col min="3" max="7" width="10.83203125" style="44"/>
    <col min="8" max="8" width="10.83203125" style="49"/>
    <col min="9" max="9" width="18" style="49" customWidth="1"/>
    <col min="10" max="10" width="17.33203125" style="49" customWidth="1"/>
    <col min="11" max="12" width="17.6640625" style="49" customWidth="1"/>
    <col min="13" max="13" width="16.1640625" style="49" customWidth="1"/>
    <col min="14" max="14" width="17.5" style="49" customWidth="1"/>
    <col min="15" max="16384" width="10.83203125" style="44"/>
  </cols>
  <sheetData>
    <row r="1" spans="1:14" x14ac:dyDescent="0.2">
      <c r="A1" s="7" t="s">
        <v>14898</v>
      </c>
      <c r="B1" s="7" t="s">
        <v>14899</v>
      </c>
      <c r="C1" s="43" t="s">
        <v>14900</v>
      </c>
      <c r="H1" s="45" t="s">
        <v>14901</v>
      </c>
      <c r="I1" s="45" t="s">
        <v>14902</v>
      </c>
      <c r="J1" s="45" t="s">
        <v>14903</v>
      </c>
      <c r="K1" s="45" t="s">
        <v>14904</v>
      </c>
      <c r="L1" s="45" t="s">
        <v>14905</v>
      </c>
      <c r="M1" s="45" t="s">
        <v>14906</v>
      </c>
      <c r="N1" s="45" t="s">
        <v>14907</v>
      </c>
    </row>
    <row r="2" spans="1:14" x14ac:dyDescent="0.2">
      <c r="A2" s="24" t="str">
        <f>"Y54G2A.40"</f>
        <v>Y54G2A.40</v>
      </c>
      <c r="B2" s="22" t="str">
        <f>"R102.2"</f>
        <v>R102.2</v>
      </c>
      <c r="C2" s="42" t="s">
        <v>14161</v>
      </c>
      <c r="H2" s="44" t="s">
        <v>13500</v>
      </c>
      <c r="I2" s="44" t="s">
        <v>5147</v>
      </c>
      <c r="J2" s="44" t="s">
        <v>3334</v>
      </c>
      <c r="K2" s="44" t="s">
        <v>9357</v>
      </c>
      <c r="L2" s="44" t="s">
        <v>2401</v>
      </c>
      <c r="M2" s="44" t="s">
        <v>10564</v>
      </c>
      <c r="N2" s="44" t="s">
        <v>10629</v>
      </c>
    </row>
    <row r="3" spans="1:14" x14ac:dyDescent="0.2">
      <c r="A3" s="24" t="str">
        <f>"M01H9.3"</f>
        <v>M01H9.3</v>
      </c>
      <c r="B3" s="10" t="str">
        <f>"tap-1"</f>
        <v>tap-1</v>
      </c>
      <c r="C3" s="42" t="s">
        <v>14167</v>
      </c>
      <c r="H3" s="44" t="s">
        <v>11530</v>
      </c>
      <c r="I3" s="44" t="s">
        <v>3364</v>
      </c>
      <c r="J3" s="44" t="s">
        <v>11585</v>
      </c>
      <c r="K3" s="44" t="s">
        <v>1213</v>
      </c>
      <c r="L3" s="44" t="s">
        <v>9854</v>
      </c>
      <c r="M3" s="44" t="s">
        <v>10287</v>
      </c>
      <c r="N3" s="44" t="s">
        <v>10328</v>
      </c>
    </row>
    <row r="4" spans="1:14" x14ac:dyDescent="0.2">
      <c r="A4" s="10" t="str">
        <f>"tap-1"</f>
        <v>tap-1</v>
      </c>
      <c r="B4" s="24" t="str">
        <f>"Y54G2A.40"</f>
        <v>Y54G2A.40</v>
      </c>
      <c r="C4" s="46" t="s">
        <v>1670</v>
      </c>
      <c r="H4" s="44" t="s">
        <v>13320</v>
      </c>
      <c r="I4" s="44"/>
      <c r="J4" s="44" t="s">
        <v>2749</v>
      </c>
      <c r="K4" s="44" t="s">
        <v>10445</v>
      </c>
      <c r="L4" s="44" t="s">
        <v>3022</v>
      </c>
      <c r="M4" s="44" t="s">
        <v>2046</v>
      </c>
      <c r="N4" s="44" t="s">
        <v>9060</v>
      </c>
    </row>
    <row r="5" spans="1:14" x14ac:dyDescent="0.2">
      <c r="A5" s="24" t="str">
        <f>"gldi-7"</f>
        <v>gldi-7</v>
      </c>
      <c r="B5" s="24" t="str">
        <f>"M01H9.3"</f>
        <v>M01H9.3</v>
      </c>
      <c r="C5" s="42" t="s">
        <v>13367</v>
      </c>
      <c r="H5" s="44" t="s">
        <v>4979</v>
      </c>
      <c r="I5" s="44"/>
      <c r="J5" s="44" t="s">
        <v>12800</v>
      </c>
      <c r="K5" s="44" t="s">
        <v>3577</v>
      </c>
      <c r="L5" s="44" t="s">
        <v>14908</v>
      </c>
      <c r="M5" s="44" t="s">
        <v>3458</v>
      </c>
      <c r="N5" s="44" t="s">
        <v>5087</v>
      </c>
    </row>
    <row r="6" spans="1:14" x14ac:dyDescent="0.2">
      <c r="A6" s="10" t="str">
        <f>"K02B12.7"</f>
        <v>K02B12.7</v>
      </c>
      <c r="B6" s="22" t="str">
        <f>"Y62E10A.13"</f>
        <v>Y62E10A.13</v>
      </c>
      <c r="C6" s="46" t="s">
        <v>14162</v>
      </c>
      <c r="H6" s="44" t="s">
        <v>12472</v>
      </c>
      <c r="I6" s="44"/>
      <c r="J6" s="44" t="s">
        <v>9426</v>
      </c>
      <c r="K6" s="44" t="s">
        <v>2330</v>
      </c>
      <c r="L6" s="44" t="s">
        <v>10159</v>
      </c>
      <c r="M6" s="44" t="s">
        <v>1964</v>
      </c>
      <c r="N6" s="44" t="s">
        <v>14426</v>
      </c>
    </row>
    <row r="7" spans="1:14" x14ac:dyDescent="0.2">
      <c r="A7" s="22" t="str">
        <f>"scb-1"</f>
        <v>scb-1</v>
      </c>
      <c r="B7" s="10" t="str">
        <f>"F25H8.2"</f>
        <v>F25H8.2</v>
      </c>
      <c r="C7" s="46" t="s">
        <v>12486</v>
      </c>
      <c r="H7" s="44" t="s">
        <v>4795</v>
      </c>
      <c r="I7" s="44"/>
      <c r="J7" s="44" t="s">
        <v>711</v>
      </c>
      <c r="K7" s="44" t="s">
        <v>7602</v>
      </c>
      <c r="L7" s="44" t="s">
        <v>14169</v>
      </c>
      <c r="M7" s="44" t="s">
        <v>3539</v>
      </c>
      <c r="N7" s="44" t="s">
        <v>14256</v>
      </c>
    </row>
    <row r="8" spans="1:14" x14ac:dyDescent="0.2">
      <c r="A8" s="10" t="str">
        <f>"del-6"</f>
        <v>del-6</v>
      </c>
      <c r="B8" s="10" t="str">
        <f>"mdt-4"</f>
        <v>mdt-4</v>
      </c>
      <c r="C8" s="42" t="s">
        <v>8067</v>
      </c>
      <c r="H8" s="44" t="s">
        <v>432</v>
      </c>
      <c r="I8" s="44"/>
      <c r="J8" s="44" t="s">
        <v>7105</v>
      </c>
      <c r="K8" s="44" t="s">
        <v>14178</v>
      </c>
      <c r="L8" s="44" t="s">
        <v>1541</v>
      </c>
      <c r="M8" s="44" t="s">
        <v>4851</v>
      </c>
      <c r="N8" s="44" t="s">
        <v>14181</v>
      </c>
    </row>
    <row r="9" spans="1:14" x14ac:dyDescent="0.2">
      <c r="A9" s="24" t="str">
        <f>"hmr-1"</f>
        <v>hmr-1</v>
      </c>
      <c r="B9" s="10" t="str">
        <f>"ppfr-4"</f>
        <v>ppfr-4</v>
      </c>
      <c r="C9" s="42" t="s">
        <v>11883</v>
      </c>
      <c r="H9" s="44" t="s">
        <v>2985</v>
      </c>
      <c r="I9" s="44"/>
      <c r="J9" s="44" t="s">
        <v>14180</v>
      </c>
      <c r="K9" s="44" t="s">
        <v>8876</v>
      </c>
      <c r="L9" s="44" t="s">
        <v>10913</v>
      </c>
      <c r="M9" s="44" t="s">
        <v>4799</v>
      </c>
      <c r="N9" s="44" t="s">
        <v>4420</v>
      </c>
    </row>
    <row r="10" spans="1:14" x14ac:dyDescent="0.2">
      <c r="A10" s="10" t="str">
        <f>"F25H8.2"</f>
        <v>F25H8.2</v>
      </c>
      <c r="B10" s="10" t="str">
        <f>"eef-1B.1"</f>
        <v>eef-1B.1</v>
      </c>
      <c r="C10" s="46" t="s">
        <v>11585</v>
      </c>
      <c r="H10" s="44" t="s">
        <v>14164</v>
      </c>
      <c r="I10" s="44"/>
      <c r="J10" s="44" t="s">
        <v>14172</v>
      </c>
      <c r="K10" s="44" t="s">
        <v>13485</v>
      </c>
      <c r="L10" s="44" t="s">
        <v>4061</v>
      </c>
      <c r="M10" s="44" t="s">
        <v>8080</v>
      </c>
      <c r="N10" s="44" t="s">
        <v>4280</v>
      </c>
    </row>
    <row r="11" spans="1:14" x14ac:dyDescent="0.2">
      <c r="A11" s="10" t="str">
        <f>"eef-1B.1"</f>
        <v>eef-1B.1</v>
      </c>
      <c r="B11" s="22" t="str">
        <f>"T28F4.5"</f>
        <v>T28F4.5</v>
      </c>
      <c r="C11" s="46" t="s">
        <v>10298</v>
      </c>
      <c r="H11" s="44" t="s">
        <v>11371</v>
      </c>
      <c r="I11" s="44"/>
      <c r="J11" s="44" t="s">
        <v>14168</v>
      </c>
      <c r="K11" s="47" t="s">
        <v>13264</v>
      </c>
      <c r="L11" s="44" t="s">
        <v>14175</v>
      </c>
      <c r="M11" s="44" t="s">
        <v>9759</v>
      </c>
      <c r="N11" s="44" t="s">
        <v>7441</v>
      </c>
    </row>
    <row r="12" spans="1:14" x14ac:dyDescent="0.2">
      <c r="A12" s="24" t="str">
        <f>"unc-25"</f>
        <v>unc-25</v>
      </c>
      <c r="B12" s="24" t="str">
        <f>"srp-2"</f>
        <v>srp-2</v>
      </c>
      <c r="C12" s="46" t="s">
        <v>14164</v>
      </c>
      <c r="H12" s="44" t="s">
        <v>14161</v>
      </c>
      <c r="I12" s="44"/>
      <c r="J12" s="44" t="s">
        <v>449</v>
      </c>
      <c r="K12" s="44" t="s">
        <v>3299</v>
      </c>
      <c r="L12" s="44" t="s">
        <v>6129</v>
      </c>
      <c r="M12" s="44" t="s">
        <v>8169</v>
      </c>
      <c r="N12" s="44" t="s">
        <v>281</v>
      </c>
    </row>
    <row r="13" spans="1:14" x14ac:dyDescent="0.2">
      <c r="A13" s="10" t="str">
        <f>"ppfr-4"</f>
        <v>ppfr-4</v>
      </c>
      <c r="B13" s="10" t="str">
        <f>"clp-1"</f>
        <v>clp-1</v>
      </c>
      <c r="C13" s="42" t="s">
        <v>14159</v>
      </c>
      <c r="H13" s="44" t="s">
        <v>10298</v>
      </c>
      <c r="I13" s="44"/>
      <c r="J13" s="44" t="s">
        <v>8804</v>
      </c>
      <c r="K13" s="47" t="s">
        <v>1903</v>
      </c>
      <c r="L13" s="44" t="s">
        <v>11979</v>
      </c>
      <c r="M13" s="44" t="s">
        <v>14451</v>
      </c>
      <c r="N13" s="44" t="s">
        <v>8872</v>
      </c>
    </row>
    <row r="14" spans="1:14" x14ac:dyDescent="0.2">
      <c r="A14" s="22" t="str">
        <f>"Y62E10A.13"</f>
        <v>Y62E10A.13</v>
      </c>
      <c r="B14" s="27" t="str">
        <f>"nekl-3"</f>
        <v>nekl-3</v>
      </c>
      <c r="C14" s="48" t="s">
        <v>14163</v>
      </c>
      <c r="H14" s="44" t="s">
        <v>3907</v>
      </c>
      <c r="I14" s="44"/>
      <c r="J14" s="44" t="s">
        <v>13367</v>
      </c>
      <c r="K14" s="44" t="s">
        <v>8165</v>
      </c>
      <c r="L14" s="44" t="s">
        <v>11004</v>
      </c>
      <c r="M14" s="44" t="s">
        <v>6821</v>
      </c>
      <c r="N14" s="44" t="s">
        <v>7315</v>
      </c>
    </row>
    <row r="15" spans="1:14" x14ac:dyDescent="0.2">
      <c r="A15" s="24" t="str">
        <f>"Y47G6A.18"</f>
        <v>Y47G6A.18</v>
      </c>
      <c r="B15" s="24" t="str">
        <f>"cdkr-3"</f>
        <v>cdkr-3</v>
      </c>
      <c r="C15" s="46" t="s">
        <v>4979</v>
      </c>
      <c r="H15" s="44" t="s">
        <v>3462</v>
      </c>
      <c r="I15" s="44"/>
      <c r="J15" s="44" t="s">
        <v>14162</v>
      </c>
      <c r="K15" s="44" t="s">
        <v>12618</v>
      </c>
      <c r="L15" s="44" t="s">
        <v>3185</v>
      </c>
      <c r="M15" s="44" t="s">
        <v>14088</v>
      </c>
      <c r="N15" s="44" t="s">
        <v>2453</v>
      </c>
    </row>
    <row r="16" spans="1:14" x14ac:dyDescent="0.2">
      <c r="A16" s="10" t="str">
        <f>"mdt-4"</f>
        <v>mdt-4</v>
      </c>
      <c r="B16" s="10" t="str">
        <f>"fah-1"</f>
        <v>fah-1</v>
      </c>
      <c r="C16" s="42" t="s">
        <v>14761</v>
      </c>
      <c r="H16" s="44" t="s">
        <v>12486</v>
      </c>
      <c r="I16" s="44"/>
      <c r="J16" s="44" t="s">
        <v>789</v>
      </c>
      <c r="K16" s="44" t="s">
        <v>14358</v>
      </c>
      <c r="L16" s="44" t="s">
        <v>13338</v>
      </c>
      <c r="M16" s="44" t="s">
        <v>10433</v>
      </c>
      <c r="N16" s="44" t="s">
        <v>14627</v>
      </c>
    </row>
    <row r="17" spans="1:14" x14ac:dyDescent="0.2">
      <c r="A17" s="24" t="str">
        <f>"T04A11.2"</f>
        <v>T04A11.2</v>
      </c>
      <c r="B17" s="10" t="str">
        <f>"natc-1"</f>
        <v>natc-1</v>
      </c>
      <c r="C17" s="46" t="s">
        <v>7340</v>
      </c>
      <c r="H17" s="44" t="s">
        <v>14165</v>
      </c>
      <c r="I17" s="44"/>
      <c r="J17" s="47" t="s">
        <v>7390</v>
      </c>
      <c r="K17" s="44" t="s">
        <v>10720</v>
      </c>
      <c r="L17" s="44" t="s">
        <v>14170</v>
      </c>
      <c r="M17" s="44" t="s">
        <v>3842</v>
      </c>
      <c r="N17" s="44" t="s">
        <v>11544</v>
      </c>
    </row>
    <row r="18" spans="1:14" x14ac:dyDescent="0.2">
      <c r="A18" s="24" t="str">
        <f>"mom-4"</f>
        <v>mom-4</v>
      </c>
      <c r="B18" s="10" t="str">
        <f>"exc-15"</f>
        <v>exc-15</v>
      </c>
      <c r="C18" s="46" t="s">
        <v>14166</v>
      </c>
      <c r="H18" s="44" t="s">
        <v>628</v>
      </c>
      <c r="I18" s="44"/>
      <c r="J18" s="44" t="s">
        <v>13492</v>
      </c>
      <c r="K18" s="44"/>
      <c r="L18" s="44" t="s">
        <v>14909</v>
      </c>
      <c r="M18" s="44" t="s">
        <v>7453</v>
      </c>
      <c r="N18" s="44" t="s">
        <v>14328</v>
      </c>
    </row>
    <row r="19" spans="1:14" x14ac:dyDescent="0.2">
      <c r="A19" s="24" t="str">
        <f>"best-17"</f>
        <v>best-17</v>
      </c>
      <c r="B19" s="25" t="str">
        <f>"mlt-3"</f>
        <v>mlt-3</v>
      </c>
      <c r="C19" s="46" t="s">
        <v>9426</v>
      </c>
      <c r="H19" s="44" t="s">
        <v>14160</v>
      </c>
      <c r="I19" s="44"/>
      <c r="J19" s="44" t="s">
        <v>8448</v>
      </c>
      <c r="K19" s="44"/>
      <c r="L19" s="44" t="s">
        <v>11023</v>
      </c>
      <c r="M19" s="44" t="s">
        <v>8936</v>
      </c>
      <c r="N19" s="44" t="s">
        <v>6282</v>
      </c>
    </row>
    <row r="20" spans="1:14" x14ac:dyDescent="0.2">
      <c r="A20" s="24" t="str">
        <f>"CTEL55X.1"</f>
        <v>CTEL55X.1</v>
      </c>
      <c r="B20" s="10" t="str">
        <f>"eif-2A"</f>
        <v>eif-2A</v>
      </c>
      <c r="C20" s="42" t="s">
        <v>13492</v>
      </c>
      <c r="H20" s="44" t="s">
        <v>1670</v>
      </c>
      <c r="I20" s="44"/>
      <c r="J20" s="44" t="s">
        <v>5358</v>
      </c>
      <c r="K20" s="44"/>
      <c r="L20" s="44" t="s">
        <v>5726</v>
      </c>
      <c r="M20" s="44" t="s">
        <v>7089</v>
      </c>
      <c r="N20" s="44" t="s">
        <v>7606</v>
      </c>
    </row>
    <row r="21" spans="1:14" x14ac:dyDescent="0.2">
      <c r="A21" s="10" t="str">
        <f>"mag-1"</f>
        <v>mag-1</v>
      </c>
      <c r="B21" s="24" t="str">
        <f>"bcc-1"</f>
        <v>bcc-1</v>
      </c>
      <c r="C21" s="46" t="s">
        <v>1422</v>
      </c>
      <c r="H21" s="44" t="s">
        <v>14167</v>
      </c>
      <c r="I21" s="44"/>
      <c r="J21" s="44" t="s">
        <v>3517</v>
      </c>
      <c r="K21" s="44"/>
      <c r="L21" s="47" t="s">
        <v>972</v>
      </c>
      <c r="M21" s="44" t="s">
        <v>3683</v>
      </c>
      <c r="N21" s="44" t="s">
        <v>1465</v>
      </c>
    </row>
    <row r="22" spans="1:14" x14ac:dyDescent="0.2">
      <c r="A22" s="24" t="str">
        <f>"ubc-3"</f>
        <v>ubc-3</v>
      </c>
      <c r="B22" s="10" t="str">
        <f>"sec-6"</f>
        <v>sec-6</v>
      </c>
      <c r="C22" s="42" t="s">
        <v>9929</v>
      </c>
      <c r="H22" s="44" t="s">
        <v>14163</v>
      </c>
      <c r="I22" s="44"/>
      <c r="J22" s="44" t="s">
        <v>590</v>
      </c>
      <c r="K22" s="44"/>
      <c r="L22" s="44" t="s">
        <v>14101</v>
      </c>
      <c r="M22" s="44" t="s">
        <v>88</v>
      </c>
      <c r="N22" s="44" t="s">
        <v>6272</v>
      </c>
    </row>
    <row r="23" spans="1:14" x14ac:dyDescent="0.2">
      <c r="A23" s="24" t="str">
        <f>"kin-9"</f>
        <v>kin-9</v>
      </c>
      <c r="B23" s="10" t="str">
        <f>"saps-1"</f>
        <v>saps-1</v>
      </c>
      <c r="C23" s="42" t="s">
        <v>14426</v>
      </c>
      <c r="I23" s="44"/>
      <c r="J23" s="44" t="s">
        <v>10093</v>
      </c>
      <c r="K23" s="44"/>
      <c r="L23" s="47" t="s">
        <v>2856</v>
      </c>
      <c r="M23" s="44" t="s">
        <v>11481</v>
      </c>
      <c r="N23" s="44" t="s">
        <v>9585</v>
      </c>
    </row>
    <row r="24" spans="1:14" x14ac:dyDescent="0.2">
      <c r="A24" s="22" t="str">
        <f>"R102.2"</f>
        <v>R102.2</v>
      </c>
      <c r="B24" s="10" t="str">
        <f>"alfa-1"</f>
        <v>alfa-1</v>
      </c>
      <c r="C24" s="46" t="s">
        <v>14353</v>
      </c>
      <c r="I24" s="44"/>
      <c r="J24" s="44" t="s">
        <v>1422</v>
      </c>
      <c r="K24" s="44"/>
      <c r="L24" s="44" t="s">
        <v>10850</v>
      </c>
      <c r="M24" s="44" t="s">
        <v>12757</v>
      </c>
      <c r="N24" s="44" t="s">
        <v>14394</v>
      </c>
    </row>
    <row r="25" spans="1:14" x14ac:dyDescent="0.2">
      <c r="A25" s="24" t="str">
        <f>"srp-2"</f>
        <v>srp-2</v>
      </c>
      <c r="B25" s="10" t="str">
        <f>"glna-1"</f>
        <v>glna-1</v>
      </c>
      <c r="C25" s="42" t="s">
        <v>10093</v>
      </c>
      <c r="I25" s="44"/>
      <c r="J25" s="44" t="s">
        <v>4895</v>
      </c>
      <c r="K25" s="44"/>
      <c r="L25" s="44" t="s">
        <v>9455</v>
      </c>
      <c r="M25" s="44" t="s">
        <v>3150</v>
      </c>
      <c r="N25" s="44" t="s">
        <v>12598</v>
      </c>
    </row>
    <row r="26" spans="1:14" x14ac:dyDescent="0.2">
      <c r="A26" s="10" t="str">
        <f>"clp-1"</f>
        <v>clp-1</v>
      </c>
      <c r="B26" s="24" t="str">
        <f>"edc-4"</f>
        <v>edc-4</v>
      </c>
      <c r="C26" s="46" t="s">
        <v>14394</v>
      </c>
      <c r="I26" s="44"/>
      <c r="J26" s="44" t="s">
        <v>3608</v>
      </c>
      <c r="K26" s="44"/>
      <c r="L26" s="44" t="s">
        <v>4118</v>
      </c>
      <c r="M26" s="44" t="s">
        <v>14528</v>
      </c>
      <c r="N26" s="44" t="s">
        <v>4476</v>
      </c>
    </row>
    <row r="27" spans="1:14" x14ac:dyDescent="0.2">
      <c r="A27" s="24" t="str">
        <f>"puf-9"</f>
        <v>puf-9</v>
      </c>
      <c r="B27" s="10" t="str">
        <f>"K07E3.4"</f>
        <v>K07E3.4</v>
      </c>
      <c r="C27" s="42" t="s">
        <v>3334</v>
      </c>
      <c r="I27" s="44"/>
      <c r="J27" s="44" t="s">
        <v>14166</v>
      </c>
      <c r="K27" s="44"/>
      <c r="L27" s="44" t="s">
        <v>7784</v>
      </c>
      <c r="M27" s="44" t="s">
        <v>847</v>
      </c>
      <c r="N27" s="44" t="s">
        <v>10332</v>
      </c>
    </row>
    <row r="28" spans="1:14" x14ac:dyDescent="0.2">
      <c r="A28" s="24" t="str">
        <f>"C48B6.2"</f>
        <v>C48B6.2</v>
      </c>
      <c r="B28" s="24" t="str">
        <f>"phdh-1"</f>
        <v>phdh-1</v>
      </c>
      <c r="C28" s="42" t="s">
        <v>1361</v>
      </c>
      <c r="I28" s="44"/>
      <c r="J28" s="44" t="s">
        <v>14159</v>
      </c>
      <c r="K28" s="44"/>
      <c r="L28" s="44" t="s">
        <v>11309</v>
      </c>
      <c r="M28" s="44" t="s">
        <v>13888</v>
      </c>
      <c r="N28" s="44" t="s">
        <v>14282</v>
      </c>
    </row>
    <row r="29" spans="1:14" x14ac:dyDescent="0.2">
      <c r="A29" s="10" t="str">
        <f>"C07A12.7"</f>
        <v>C07A12.7</v>
      </c>
      <c r="B29" s="10" t="str">
        <f>"prdx-2"</f>
        <v>prdx-2</v>
      </c>
      <c r="C29" s="42" t="s">
        <v>8672</v>
      </c>
      <c r="I29" s="44"/>
      <c r="J29" s="44" t="s">
        <v>14179</v>
      </c>
      <c r="K29" s="44"/>
      <c r="L29" s="44" t="s">
        <v>6505</v>
      </c>
      <c r="M29" s="44" t="s">
        <v>14910</v>
      </c>
      <c r="N29" s="44" t="s">
        <v>8067</v>
      </c>
    </row>
    <row r="30" spans="1:14" x14ac:dyDescent="0.2">
      <c r="A30" s="10" t="str">
        <f>"tes-1"</f>
        <v>tes-1</v>
      </c>
      <c r="B30" s="24" t="str">
        <f>"ZK813.3"</f>
        <v>ZK813.3</v>
      </c>
      <c r="C30" s="48" t="s">
        <v>11544</v>
      </c>
      <c r="I30" s="44"/>
      <c r="J30" s="44" t="s">
        <v>7340</v>
      </c>
      <c r="K30" s="44"/>
      <c r="L30" s="44" t="s">
        <v>13154</v>
      </c>
      <c r="M30" s="44" t="s">
        <v>14688</v>
      </c>
      <c r="N30" s="44" t="s">
        <v>5235</v>
      </c>
    </row>
    <row r="31" spans="1:14" x14ac:dyDescent="0.2">
      <c r="A31" s="10" t="str">
        <f>"T02G5.7"</f>
        <v>T02G5.7</v>
      </c>
      <c r="B31" s="10" t="str">
        <f>"sta-1"</f>
        <v>sta-1</v>
      </c>
      <c r="C31" s="42" t="s">
        <v>14168</v>
      </c>
      <c r="I31" s="44"/>
      <c r="J31" s="44" t="s">
        <v>11660</v>
      </c>
      <c r="K31" s="44"/>
      <c r="L31" s="44" t="s">
        <v>5171</v>
      </c>
      <c r="M31" s="44" t="s">
        <v>14653</v>
      </c>
      <c r="N31" s="44" t="s">
        <v>11883</v>
      </c>
    </row>
    <row r="32" spans="1:14" x14ac:dyDescent="0.2">
      <c r="A32" s="10" t="str">
        <f>"ubc-7"</f>
        <v>ubc-7</v>
      </c>
      <c r="B32" s="24" t="str">
        <f>"brc-2"</f>
        <v>brc-2</v>
      </c>
      <c r="C32" s="46" t="s">
        <v>711</v>
      </c>
      <c r="I32" s="44"/>
      <c r="J32" s="44" t="s">
        <v>1361</v>
      </c>
      <c r="K32" s="44"/>
      <c r="L32" s="44" t="s">
        <v>14158</v>
      </c>
      <c r="M32" s="44" t="s">
        <v>14911</v>
      </c>
      <c r="N32" s="44" t="s">
        <v>8955</v>
      </c>
    </row>
    <row r="33" spans="1:14" x14ac:dyDescent="0.2">
      <c r="A33" s="10" t="str">
        <f>"vps-32.1"</f>
        <v>vps-32.1</v>
      </c>
      <c r="B33" s="24" t="str">
        <f>"ule-5"</f>
        <v>ule-5</v>
      </c>
      <c r="C33" s="42" t="s">
        <v>2727</v>
      </c>
      <c r="I33" s="44"/>
      <c r="J33" s="44" t="s">
        <v>7991</v>
      </c>
      <c r="K33" s="44"/>
      <c r="L33" s="44" t="s">
        <v>7634</v>
      </c>
      <c r="M33" s="44" t="s">
        <v>14770</v>
      </c>
      <c r="N33" s="44" t="s">
        <v>14364</v>
      </c>
    </row>
    <row r="34" spans="1:14" x14ac:dyDescent="0.2">
      <c r="A34" s="10" t="str">
        <f>"dhp-1"</f>
        <v>dhp-1</v>
      </c>
      <c r="B34" s="24" t="str">
        <f>"ttll-5"</f>
        <v>ttll-5</v>
      </c>
      <c r="C34" s="42" t="s">
        <v>1724</v>
      </c>
      <c r="I34" s="44"/>
      <c r="J34" s="44" t="s">
        <v>14174</v>
      </c>
      <c r="K34" s="44"/>
      <c r="L34" s="44"/>
      <c r="M34" s="44" t="s">
        <v>14769</v>
      </c>
      <c r="N34" s="44" t="s">
        <v>7209</v>
      </c>
    </row>
    <row r="35" spans="1:14" x14ac:dyDescent="0.2">
      <c r="A35" s="24" t="str">
        <f>"hpo-13"</f>
        <v>hpo-13</v>
      </c>
      <c r="B35" s="10" t="str">
        <f>"dnbp-1"</f>
        <v>dnbp-1</v>
      </c>
      <c r="C35" s="42" t="s">
        <v>9585</v>
      </c>
      <c r="J35" s="44" t="s">
        <v>14176</v>
      </c>
      <c r="L35" s="44"/>
      <c r="M35" s="44" t="s">
        <v>14560</v>
      </c>
      <c r="N35" s="44" t="s">
        <v>2672</v>
      </c>
    </row>
    <row r="36" spans="1:14" x14ac:dyDescent="0.2">
      <c r="A36" s="24" t="str">
        <f>"aka-1"</f>
        <v>aka-1</v>
      </c>
      <c r="B36" s="24" t="str">
        <f>"Y62H9A.5"</f>
        <v>Y62H9A.5</v>
      </c>
      <c r="C36" s="42" t="s">
        <v>11660</v>
      </c>
      <c r="J36" s="44" t="s">
        <v>14171</v>
      </c>
      <c r="L36" s="44"/>
      <c r="M36" s="44" t="s">
        <v>14559</v>
      </c>
      <c r="N36" s="44" t="s">
        <v>12390</v>
      </c>
    </row>
    <row r="37" spans="1:14" x14ac:dyDescent="0.2">
      <c r="A37" s="10" t="str">
        <f>"dnj-16"</f>
        <v>dnj-16</v>
      </c>
      <c r="B37" s="24" t="str">
        <f>"got-2.2"</f>
        <v>got-2.2</v>
      </c>
      <c r="C37" s="42" t="s">
        <v>11241</v>
      </c>
      <c r="J37" s="44"/>
      <c r="N37" s="44" t="s">
        <v>6019</v>
      </c>
    </row>
    <row r="38" spans="1:14" x14ac:dyDescent="0.2">
      <c r="A38" s="24" t="str">
        <f>"lab-2"</f>
        <v>lab-2</v>
      </c>
      <c r="B38" s="24" t="str">
        <f>"flor-1"</f>
        <v>flor-1</v>
      </c>
      <c r="C38" s="48" t="s">
        <v>14160</v>
      </c>
      <c r="N38" s="44" t="s">
        <v>4228</v>
      </c>
    </row>
    <row r="39" spans="1:14" x14ac:dyDescent="0.2">
      <c r="A39" s="24" t="str">
        <f>"F53C11.5"</f>
        <v>F53C11.5</v>
      </c>
      <c r="B39" s="24" t="str">
        <f>"T04B8.5"</f>
        <v>T04B8.5</v>
      </c>
      <c r="C39" s="42" t="s">
        <v>7403</v>
      </c>
      <c r="N39" s="44" t="s">
        <v>3038</v>
      </c>
    </row>
    <row r="40" spans="1:14" x14ac:dyDescent="0.2">
      <c r="A40" s="24" t="str">
        <f>"R07E5.1"</f>
        <v>R07E5.1</v>
      </c>
      <c r="B40" s="10" t="str">
        <f>"copz-1"</f>
        <v>copz-1</v>
      </c>
      <c r="C40" s="42" t="s">
        <v>2749</v>
      </c>
      <c r="N40" s="44" t="s">
        <v>9194</v>
      </c>
    </row>
    <row r="41" spans="1:14" x14ac:dyDescent="0.2">
      <c r="A41" s="10" t="str">
        <f>"ret-1"</f>
        <v>ret-1</v>
      </c>
      <c r="B41" s="24" t="str">
        <f>"akt-2"</f>
        <v>akt-2</v>
      </c>
      <c r="C41" s="42" t="s">
        <v>8448</v>
      </c>
      <c r="N41" s="44" t="s">
        <v>14353</v>
      </c>
    </row>
    <row r="42" spans="1:14" x14ac:dyDescent="0.2">
      <c r="A42" s="24" t="str">
        <f>"mtm-10"</f>
        <v>mtm-10</v>
      </c>
      <c r="B42" s="10" t="str">
        <f>"Y18H1A.4"</f>
        <v>Y18H1A.4</v>
      </c>
      <c r="C42" s="46" t="s">
        <v>7991</v>
      </c>
      <c r="N42" s="44" t="s">
        <v>3450</v>
      </c>
    </row>
    <row r="43" spans="1:14" x14ac:dyDescent="0.2">
      <c r="A43" s="24" t="str">
        <f>"sec-10"</f>
        <v>sec-10</v>
      </c>
      <c r="B43" s="24" t="str">
        <f>"lec-2"</f>
        <v>lec-2</v>
      </c>
      <c r="C43" s="42" t="s">
        <v>7105</v>
      </c>
      <c r="N43" s="44" t="s">
        <v>5550</v>
      </c>
    </row>
    <row r="44" spans="1:14" x14ac:dyDescent="0.2">
      <c r="A44" s="24" t="str">
        <f>"odr-4"</f>
        <v>odr-4</v>
      </c>
      <c r="B44" s="24" t="str">
        <f>"perm-4"</f>
        <v>perm-4</v>
      </c>
      <c r="C44" s="42" t="s">
        <v>11835</v>
      </c>
      <c r="N44" s="44" t="s">
        <v>6209</v>
      </c>
    </row>
    <row r="45" spans="1:14" x14ac:dyDescent="0.2">
      <c r="A45" s="24" t="str">
        <f>"nhl-2"</f>
        <v>nhl-2</v>
      </c>
      <c r="B45" s="24" t="str">
        <f>"deb-1"</f>
        <v>deb-1</v>
      </c>
      <c r="C45" s="48" t="s">
        <v>14165</v>
      </c>
      <c r="N45" s="44" t="s">
        <v>8761</v>
      </c>
    </row>
    <row r="46" spans="1:14" x14ac:dyDescent="0.2">
      <c r="A46" s="24" t="str">
        <f>"best-3"</f>
        <v>best-3</v>
      </c>
      <c r="B46" s="24" t="str">
        <f>"F20D6.6"</f>
        <v>F20D6.6</v>
      </c>
      <c r="C46" s="50" t="s">
        <v>13264</v>
      </c>
      <c r="N46" s="44" t="s">
        <v>14761</v>
      </c>
    </row>
    <row r="47" spans="1:14" x14ac:dyDescent="0.2">
      <c r="A47" s="24" t="str">
        <f>"egl-15"</f>
        <v>egl-15</v>
      </c>
      <c r="B47" s="24" t="str">
        <f>"F25B5.6"</f>
        <v>F25B5.6</v>
      </c>
      <c r="C47" s="51" t="s">
        <v>1903</v>
      </c>
      <c r="N47" s="44" t="s">
        <v>1250</v>
      </c>
    </row>
    <row r="48" spans="1:14" x14ac:dyDescent="0.2">
      <c r="A48" s="22" t="str">
        <f>"T28F4.5"</f>
        <v>T28F4.5</v>
      </c>
      <c r="B48" s="24" t="str">
        <f>"sir-2.4"</f>
        <v>sir-2.4</v>
      </c>
      <c r="C48" s="42" t="s">
        <v>9357</v>
      </c>
      <c r="N48" s="44" t="s">
        <v>8672</v>
      </c>
    </row>
    <row r="49" spans="1:14" x14ac:dyDescent="0.2">
      <c r="A49" s="24" t="str">
        <f>"K05C4.7"</f>
        <v>K05C4.7</v>
      </c>
      <c r="B49" s="24" t="str">
        <f>"clp-7"</f>
        <v>clp-7</v>
      </c>
      <c r="C49" s="46" t="s">
        <v>14171</v>
      </c>
      <c r="N49" s="44" t="s">
        <v>3527</v>
      </c>
    </row>
    <row r="50" spans="1:14" x14ac:dyDescent="0.2">
      <c r="A50" s="25" t="str">
        <f>"mlt-2"</f>
        <v>mlt-2</v>
      </c>
      <c r="B50" s="24" t="str">
        <f>"abts-4"</f>
        <v>abts-4</v>
      </c>
      <c r="C50" s="46" t="s">
        <v>8165</v>
      </c>
      <c r="N50" s="44" t="s">
        <v>9513</v>
      </c>
    </row>
    <row r="51" spans="1:14" x14ac:dyDescent="0.2">
      <c r="A51" s="24" t="str">
        <f>"hpo-9"</f>
        <v>hpo-9</v>
      </c>
      <c r="B51" s="24" t="str">
        <f>"tps-1"</f>
        <v>tps-1</v>
      </c>
      <c r="C51" s="42" t="s">
        <v>13320</v>
      </c>
      <c r="N51" s="44" t="s">
        <v>5522</v>
      </c>
    </row>
    <row r="52" spans="1:14" x14ac:dyDescent="0.2">
      <c r="A52" s="10" t="str">
        <f>"Y92H12BM.1"</f>
        <v>Y92H12BM.1</v>
      </c>
      <c r="B52" s="24" t="str">
        <f>"ZK813.1"</f>
        <v>ZK813.1</v>
      </c>
      <c r="C52" s="46" t="s">
        <v>11530</v>
      </c>
      <c r="N52" s="44" t="s">
        <v>14226</v>
      </c>
    </row>
    <row r="53" spans="1:14" x14ac:dyDescent="0.2">
      <c r="A53" s="10" t="str">
        <f>"jac-1"</f>
        <v>jac-1</v>
      </c>
      <c r="B53" s="24" t="str">
        <f>"Y62H9A.3"</f>
        <v>Y62H9A.3</v>
      </c>
      <c r="C53" s="46" t="s">
        <v>628</v>
      </c>
      <c r="N53" s="44" t="s">
        <v>1724</v>
      </c>
    </row>
    <row r="54" spans="1:14" x14ac:dyDescent="0.2">
      <c r="A54" s="10" t="str">
        <f>"F42A10.5"</f>
        <v>F42A10.5</v>
      </c>
      <c r="B54" s="24" t="str">
        <f>"catp-4"</f>
        <v>catp-4</v>
      </c>
      <c r="C54" s="46" t="s">
        <v>14172</v>
      </c>
      <c r="N54" s="44" t="s">
        <v>11241</v>
      </c>
    </row>
    <row r="55" spans="1:14" x14ac:dyDescent="0.2">
      <c r="A55" s="24" t="str">
        <f>"cdc-37"</f>
        <v>cdc-37</v>
      </c>
      <c r="B55" s="24" t="str">
        <f>"nhr-7"</f>
        <v>nhr-7</v>
      </c>
      <c r="C55" s="46" t="s">
        <v>3299</v>
      </c>
      <c r="N55" s="44" t="s">
        <v>7403</v>
      </c>
    </row>
    <row r="56" spans="1:14" x14ac:dyDescent="0.2">
      <c r="A56" s="10" t="str">
        <f>"alfa-1"</f>
        <v>alfa-1</v>
      </c>
      <c r="B56" s="24" t="str">
        <f>"pacs-1"</f>
        <v>pacs-1</v>
      </c>
      <c r="C56" s="51" t="s">
        <v>7390</v>
      </c>
      <c r="N56" s="44" t="s">
        <v>9479</v>
      </c>
    </row>
    <row r="57" spans="1:14" x14ac:dyDescent="0.2">
      <c r="A57" s="10" t="str">
        <f>"saps-1"</f>
        <v>saps-1</v>
      </c>
      <c r="B57" s="24" t="str">
        <f>"enol-1"</f>
        <v>enol-1</v>
      </c>
      <c r="C57" s="46" t="s">
        <v>14179</v>
      </c>
      <c r="N57" s="44" t="s">
        <v>2727</v>
      </c>
    </row>
    <row r="58" spans="1:14" x14ac:dyDescent="0.2">
      <c r="A58" s="25" t="str">
        <f>"mlt-4"</f>
        <v>mlt-4</v>
      </c>
      <c r="B58" s="24" t="str">
        <f>"efk-1"</f>
        <v>efk-1</v>
      </c>
      <c r="C58" s="46" t="s">
        <v>1213</v>
      </c>
      <c r="N58" s="44" t="s">
        <v>11835</v>
      </c>
    </row>
    <row r="59" spans="1:14" x14ac:dyDescent="0.2">
      <c r="A59" s="27" t="str">
        <f>"nekl-2"</f>
        <v>nekl-2</v>
      </c>
      <c r="B59" s="24" t="str">
        <f>"pck-1"</f>
        <v>pck-1</v>
      </c>
      <c r="C59" s="42" t="s">
        <v>14176</v>
      </c>
      <c r="N59" s="44" t="s">
        <v>9929</v>
      </c>
    </row>
    <row r="60" spans="1:14" x14ac:dyDescent="0.2">
      <c r="A60" s="24" t="str">
        <f>"col-176"</f>
        <v>col-176</v>
      </c>
      <c r="B60" s="24" t="str">
        <f>"Y45F10C.2"</f>
        <v>Y45F10C.2</v>
      </c>
      <c r="C60" s="42" t="s">
        <v>4895</v>
      </c>
      <c r="N60" s="44" t="s">
        <v>2263</v>
      </c>
    </row>
    <row r="61" spans="1:14" x14ac:dyDescent="0.2">
      <c r="A61" s="10" t="str">
        <f>"fkb-6"</f>
        <v>fkb-6</v>
      </c>
      <c r="B61" s="24" t="str">
        <f>"cyc-2.1"</f>
        <v>cyc-2.1</v>
      </c>
      <c r="C61" s="46" t="s">
        <v>6019</v>
      </c>
      <c r="N61" s="44" t="s">
        <v>9878</v>
      </c>
    </row>
    <row r="62" spans="1:14" x14ac:dyDescent="0.2">
      <c r="A62" s="24" t="str">
        <f>"cdkr-3"</f>
        <v>cdkr-3</v>
      </c>
      <c r="B62" s="24" t="str">
        <f>"frm-4"</f>
        <v>frm-4</v>
      </c>
      <c r="C62" s="46" t="s">
        <v>11371</v>
      </c>
      <c r="N62" s="44" t="s">
        <v>6689</v>
      </c>
    </row>
    <row r="63" spans="1:14" x14ac:dyDescent="0.2">
      <c r="A63" s="24" t="str">
        <f>"rpap-2"</f>
        <v>rpap-2</v>
      </c>
      <c r="B63" s="24" t="str">
        <f>"sti-1"</f>
        <v>sti-1</v>
      </c>
      <c r="C63" s="46" t="s">
        <v>14178</v>
      </c>
      <c r="N63" s="44" t="s">
        <v>1369</v>
      </c>
    </row>
    <row r="64" spans="1:14" x14ac:dyDescent="0.2">
      <c r="A64" s="24" t="str">
        <f>"panl-3"</f>
        <v>panl-3</v>
      </c>
      <c r="B64" s="24" t="str">
        <f>"spe-5"</f>
        <v>spe-5</v>
      </c>
      <c r="C64" s="42" t="s">
        <v>432</v>
      </c>
      <c r="N64" s="44" t="s">
        <v>2326</v>
      </c>
    </row>
    <row r="65" spans="1:14" x14ac:dyDescent="0.2">
      <c r="A65" s="10" t="str">
        <f>"Y55F3AM.9"</f>
        <v>Y55F3AM.9</v>
      </c>
      <c r="B65" s="24" t="str">
        <f>"mthf-1"</f>
        <v>mthf-1</v>
      </c>
      <c r="C65" s="42" t="s">
        <v>14627</v>
      </c>
      <c r="N65" s="44" t="s">
        <v>4943</v>
      </c>
    </row>
    <row r="66" spans="1:14" x14ac:dyDescent="0.2">
      <c r="A66" s="24" t="str">
        <f>"H35B03.1"</f>
        <v>H35B03.1</v>
      </c>
      <c r="B66" s="24" t="str">
        <f>"F09E5.3"</f>
        <v>F09E5.3</v>
      </c>
      <c r="C66" s="42" t="s">
        <v>13500</v>
      </c>
      <c r="N66" s="44" t="s">
        <v>1062</v>
      </c>
    </row>
    <row r="67" spans="1:14" x14ac:dyDescent="0.2">
      <c r="A67" s="24" t="str">
        <f>"Y92H12BL.7"</f>
        <v>Y92H12BL.7</v>
      </c>
      <c r="B67" s="24" t="str">
        <f>"T19C4.1"</f>
        <v>T19C4.1</v>
      </c>
      <c r="C67" s="42" t="s">
        <v>3462</v>
      </c>
      <c r="N67" s="44" t="s">
        <v>9278</v>
      </c>
    </row>
    <row r="68" spans="1:14" x14ac:dyDescent="0.2">
      <c r="A68" s="10" t="str">
        <f>"fah-1"</f>
        <v>fah-1</v>
      </c>
      <c r="B68" s="24" t="str">
        <f>"W08E12.7"</f>
        <v>W08E12.7</v>
      </c>
      <c r="C68" s="48" t="s">
        <v>8872</v>
      </c>
      <c r="N68" s="44" t="s">
        <v>5462</v>
      </c>
    </row>
    <row r="69" spans="1:14" x14ac:dyDescent="0.2">
      <c r="A69" s="10" t="str">
        <f>"sna-2"</f>
        <v>sna-2</v>
      </c>
      <c r="B69" s="24" t="str">
        <f>"aco-1"</f>
        <v>aco-1</v>
      </c>
      <c r="C69" s="46" t="s">
        <v>12598</v>
      </c>
      <c r="N69" s="44" t="s">
        <v>3886</v>
      </c>
    </row>
    <row r="70" spans="1:14" x14ac:dyDescent="0.2">
      <c r="A70" s="10" t="str">
        <f>"znf-622"</f>
        <v>znf-622</v>
      </c>
      <c r="B70" s="24" t="str">
        <f>"C29F7.3"</f>
        <v>C29F7.3</v>
      </c>
      <c r="C70" s="46" t="s">
        <v>14174</v>
      </c>
      <c r="N70" s="44" t="s">
        <v>6137</v>
      </c>
    </row>
    <row r="71" spans="1:14" x14ac:dyDescent="0.2">
      <c r="A71" s="24" t="str">
        <f>"spk-1"</f>
        <v>spk-1</v>
      </c>
      <c r="B71" s="24" t="str">
        <f>"let-805"</f>
        <v>let-805</v>
      </c>
      <c r="C71" s="42" t="s">
        <v>2326</v>
      </c>
      <c r="N71" s="44" t="s">
        <v>1102</v>
      </c>
    </row>
    <row r="72" spans="1:14" x14ac:dyDescent="0.2">
      <c r="A72" s="24" t="str">
        <f>"edc-4"</f>
        <v>edc-4</v>
      </c>
      <c r="B72" s="24" t="str">
        <f>"vha-2"</f>
        <v>vha-2</v>
      </c>
      <c r="C72" s="42" t="s">
        <v>3577</v>
      </c>
    </row>
    <row r="73" spans="1:14" x14ac:dyDescent="0.2">
      <c r="A73" s="24" t="str">
        <f>"clp-7"</f>
        <v>clp-7</v>
      </c>
      <c r="B73" s="24" t="str">
        <f>"ctc-2"</f>
        <v>ctc-2</v>
      </c>
      <c r="C73" s="42" t="s">
        <v>2672</v>
      </c>
    </row>
    <row r="74" spans="1:14" x14ac:dyDescent="0.2">
      <c r="A74" s="24" t="str">
        <f>"frm-5.1"</f>
        <v>frm-5.1</v>
      </c>
      <c r="B74" s="24" t="str">
        <f>"gsp-1"</f>
        <v>gsp-1</v>
      </c>
      <c r="C74" s="42" t="s">
        <v>12800</v>
      </c>
    </row>
    <row r="75" spans="1:14" x14ac:dyDescent="0.2">
      <c r="A75" s="10" t="str">
        <f>"T04F3.1"</f>
        <v>T04F3.1</v>
      </c>
      <c r="B75" s="24" t="str">
        <f>"lam-1"</f>
        <v>lam-1</v>
      </c>
      <c r="C75" s="42" t="s">
        <v>10720</v>
      </c>
    </row>
    <row r="76" spans="1:14" x14ac:dyDescent="0.2">
      <c r="A76" s="24" t="str">
        <f>"col-160"</f>
        <v>col-160</v>
      </c>
      <c r="C76" s="46" t="s">
        <v>6272</v>
      </c>
    </row>
    <row r="77" spans="1:14" x14ac:dyDescent="0.2">
      <c r="A77" s="24" t="str">
        <f>"phdh-1"</f>
        <v>phdh-1</v>
      </c>
      <c r="C77" s="42" t="s">
        <v>3517</v>
      </c>
    </row>
    <row r="78" spans="1:14" x14ac:dyDescent="0.2">
      <c r="A78" s="24" t="str">
        <f>"pptr-2"</f>
        <v>pptr-2</v>
      </c>
      <c r="C78" s="42" t="s">
        <v>14181</v>
      </c>
    </row>
    <row r="79" spans="1:14" x14ac:dyDescent="0.2">
      <c r="A79" s="24" t="str">
        <f>"deb-1"</f>
        <v>deb-1</v>
      </c>
      <c r="C79" s="42" t="s">
        <v>10332</v>
      </c>
    </row>
    <row r="80" spans="1:14" x14ac:dyDescent="0.2">
      <c r="A80" s="24" t="str">
        <f>"akt-2"</f>
        <v>akt-2</v>
      </c>
      <c r="C80" s="42" t="s">
        <v>4795</v>
      </c>
    </row>
    <row r="81" spans="1:3" x14ac:dyDescent="0.2">
      <c r="A81" s="24" t="str">
        <f>"hmp-1"</f>
        <v>hmp-1</v>
      </c>
      <c r="C81" s="42" t="s">
        <v>5522</v>
      </c>
    </row>
    <row r="82" spans="1:3" x14ac:dyDescent="0.2">
      <c r="A82" s="24" t="str">
        <f>"tat-1"</f>
        <v>tat-1</v>
      </c>
      <c r="C82" s="42" t="s">
        <v>3886</v>
      </c>
    </row>
    <row r="83" spans="1:3" x14ac:dyDescent="0.2">
      <c r="A83" s="24" t="str">
        <f>"F36A2.3"</f>
        <v>F36A2.3</v>
      </c>
      <c r="C83" s="42" t="s">
        <v>9194</v>
      </c>
    </row>
    <row r="84" spans="1:3" x14ac:dyDescent="0.2">
      <c r="A84" s="24" t="str">
        <f>"pes-7"</f>
        <v>pes-7</v>
      </c>
      <c r="C84" s="42" t="s">
        <v>5550</v>
      </c>
    </row>
    <row r="85" spans="1:3" x14ac:dyDescent="0.2">
      <c r="A85" s="24" t="str">
        <f>"daf-18"</f>
        <v>daf-18</v>
      </c>
      <c r="C85" s="42" t="s">
        <v>1250</v>
      </c>
    </row>
    <row r="86" spans="1:3" x14ac:dyDescent="0.2">
      <c r="A86" s="24" t="str">
        <f>"cst-1"</f>
        <v>cst-1</v>
      </c>
      <c r="C86" s="42" t="s">
        <v>9513</v>
      </c>
    </row>
    <row r="87" spans="1:3" x14ac:dyDescent="0.2">
      <c r="A87" s="24" t="str">
        <f>"larp-1"</f>
        <v>larp-1</v>
      </c>
      <c r="C87" s="42" t="s">
        <v>10328</v>
      </c>
    </row>
    <row r="88" spans="1:3" x14ac:dyDescent="0.2">
      <c r="A88" s="24" t="str">
        <f>"pck-1"</f>
        <v>pck-1</v>
      </c>
      <c r="C88" s="42" t="s">
        <v>3608</v>
      </c>
    </row>
    <row r="89" spans="1:3" x14ac:dyDescent="0.2">
      <c r="A89" s="24" t="str">
        <f>"smap-1"</f>
        <v>smap-1</v>
      </c>
      <c r="C89" s="42" t="s">
        <v>12472</v>
      </c>
    </row>
    <row r="90" spans="1:3" x14ac:dyDescent="0.2">
      <c r="A90" s="24" t="str">
        <f>"gakh-1"</f>
        <v>gakh-1</v>
      </c>
      <c r="C90" s="42" t="s">
        <v>6137</v>
      </c>
    </row>
    <row r="91" spans="1:3" x14ac:dyDescent="0.2">
      <c r="A91" s="24" t="str">
        <f>"efk-1"</f>
        <v>efk-1</v>
      </c>
      <c r="C91" s="42" t="s">
        <v>5462</v>
      </c>
    </row>
    <row r="92" spans="1:3" x14ac:dyDescent="0.2">
      <c r="C92" s="42" t="s">
        <v>4228</v>
      </c>
    </row>
    <row r="93" spans="1:3" x14ac:dyDescent="0.2">
      <c r="C93" s="42" t="s">
        <v>8804</v>
      </c>
    </row>
    <row r="94" spans="1:3" x14ac:dyDescent="0.2">
      <c r="C94" s="42" t="s">
        <v>3907</v>
      </c>
    </row>
    <row r="95" spans="1:3" x14ac:dyDescent="0.2">
      <c r="C95" s="42" t="s">
        <v>281</v>
      </c>
    </row>
    <row r="96" spans="1:3" x14ac:dyDescent="0.2">
      <c r="C96" s="42" t="s">
        <v>13485</v>
      </c>
    </row>
    <row r="97" spans="2:3" x14ac:dyDescent="0.2">
      <c r="C97" s="42" t="s">
        <v>7606</v>
      </c>
    </row>
    <row r="98" spans="2:3" x14ac:dyDescent="0.2">
      <c r="C98" s="42" t="s">
        <v>7209</v>
      </c>
    </row>
    <row r="99" spans="2:3" x14ac:dyDescent="0.2">
      <c r="C99" s="42" t="s">
        <v>9479</v>
      </c>
    </row>
    <row r="100" spans="2:3" x14ac:dyDescent="0.2">
      <c r="B100" s="42"/>
      <c r="C100" s="42" t="s">
        <v>8761</v>
      </c>
    </row>
    <row r="101" spans="2:3" x14ac:dyDescent="0.2">
      <c r="B101" s="42"/>
      <c r="C101" s="42" t="s">
        <v>449</v>
      </c>
    </row>
    <row r="102" spans="2:3" x14ac:dyDescent="0.2">
      <c r="B102" s="42"/>
      <c r="C102" s="42" t="s">
        <v>1062</v>
      </c>
    </row>
    <row r="103" spans="2:3" x14ac:dyDescent="0.2">
      <c r="B103" s="42"/>
      <c r="C103" s="42" t="s">
        <v>14180</v>
      </c>
    </row>
    <row r="104" spans="2:3" x14ac:dyDescent="0.2">
      <c r="C104" s="42" t="s">
        <v>4476</v>
      </c>
    </row>
    <row r="105" spans="2:3" x14ac:dyDescent="0.2">
      <c r="C105" s="42" t="s">
        <v>4280</v>
      </c>
    </row>
    <row r="106" spans="2:3" x14ac:dyDescent="0.2">
      <c r="C106" s="42" t="s">
        <v>2330</v>
      </c>
    </row>
    <row r="107" spans="2:3" x14ac:dyDescent="0.2">
      <c r="B107" s="42"/>
      <c r="C107" s="42" t="s">
        <v>10445</v>
      </c>
    </row>
    <row r="108" spans="2:3" x14ac:dyDescent="0.2">
      <c r="C108" s="42" t="s">
        <v>4943</v>
      </c>
    </row>
    <row r="109" spans="2:3" x14ac:dyDescent="0.2">
      <c r="B109" s="42"/>
      <c r="C109" s="42" t="s">
        <v>3527</v>
      </c>
    </row>
    <row r="110" spans="2:3" x14ac:dyDescent="0.2">
      <c r="B110" s="42"/>
      <c r="C110" s="42" t="s">
        <v>1369</v>
      </c>
    </row>
    <row r="111" spans="2:3" x14ac:dyDescent="0.2">
      <c r="C111" s="42" t="s">
        <v>6689</v>
      </c>
    </row>
    <row r="112" spans="2:3" x14ac:dyDescent="0.2">
      <c r="C112" s="42" t="s">
        <v>2453</v>
      </c>
    </row>
    <row r="113" spans="1:3" x14ac:dyDescent="0.2">
      <c r="B113" s="42"/>
      <c r="C113" s="42" t="s">
        <v>7441</v>
      </c>
    </row>
    <row r="114" spans="1:3" x14ac:dyDescent="0.2">
      <c r="B114" s="42"/>
      <c r="C114" s="42" t="s">
        <v>3038</v>
      </c>
    </row>
    <row r="115" spans="1:3" x14ac:dyDescent="0.2">
      <c r="B115" s="42"/>
      <c r="C115" s="42" t="s">
        <v>8876</v>
      </c>
    </row>
    <row r="116" spans="1:3" x14ac:dyDescent="0.2">
      <c r="A116" s="42"/>
      <c r="B116" s="42"/>
      <c r="C116" s="42" t="s">
        <v>14226</v>
      </c>
    </row>
    <row r="117" spans="1:3" x14ac:dyDescent="0.2">
      <c r="B117" s="42"/>
      <c r="C117" s="42" t="s">
        <v>12618</v>
      </c>
    </row>
    <row r="118" spans="1:3" x14ac:dyDescent="0.2">
      <c r="A118" s="42"/>
      <c r="B118" s="42"/>
      <c r="C118" s="42" t="s">
        <v>14282</v>
      </c>
    </row>
    <row r="119" spans="1:3" x14ac:dyDescent="0.2">
      <c r="B119" s="42"/>
      <c r="C119" s="42" t="s">
        <v>5087</v>
      </c>
    </row>
    <row r="120" spans="1:3" x14ac:dyDescent="0.2">
      <c r="B120" s="42"/>
      <c r="C120" s="42" t="s">
        <v>6282</v>
      </c>
    </row>
    <row r="121" spans="1:3" x14ac:dyDescent="0.2">
      <c r="A121" s="42"/>
      <c r="B121" s="42"/>
      <c r="C121" s="42" t="s">
        <v>14256</v>
      </c>
    </row>
    <row r="122" spans="1:3" x14ac:dyDescent="0.2">
      <c r="A122" s="42"/>
      <c r="B122" s="42"/>
      <c r="C122" s="42" t="s">
        <v>6209</v>
      </c>
    </row>
    <row r="123" spans="1:3" x14ac:dyDescent="0.2">
      <c r="A123" s="42"/>
      <c r="B123" s="42"/>
      <c r="C123" s="42" t="s">
        <v>10629</v>
      </c>
    </row>
    <row r="124" spans="1:3" x14ac:dyDescent="0.2">
      <c r="A124" s="42"/>
      <c r="B124" s="42"/>
      <c r="C124" s="42" t="s">
        <v>7602</v>
      </c>
    </row>
    <row r="125" spans="1:3" x14ac:dyDescent="0.2">
      <c r="A125" s="42"/>
      <c r="B125" s="42"/>
      <c r="C125" s="42" t="s">
        <v>1465</v>
      </c>
    </row>
    <row r="126" spans="1:3" x14ac:dyDescent="0.2">
      <c r="A126" s="42"/>
      <c r="B126" s="42"/>
      <c r="C126" s="42" t="s">
        <v>14358</v>
      </c>
    </row>
    <row r="127" spans="1:3" x14ac:dyDescent="0.2">
      <c r="A127" s="42"/>
      <c r="B127" s="42"/>
      <c r="C127" s="42" t="s">
        <v>12390</v>
      </c>
    </row>
    <row r="128" spans="1:3" x14ac:dyDescent="0.2">
      <c r="A128" s="42"/>
      <c r="B128" s="42"/>
      <c r="C128" s="42" t="s">
        <v>14328</v>
      </c>
    </row>
    <row r="129" spans="1:3" x14ac:dyDescent="0.2">
      <c r="A129" s="42"/>
      <c r="B129" s="42"/>
      <c r="C129" s="42" t="s">
        <v>590</v>
      </c>
    </row>
    <row r="130" spans="1:3" x14ac:dyDescent="0.2">
      <c r="A130" s="42"/>
      <c r="B130" s="42"/>
      <c r="C130" s="42" t="s">
        <v>4420</v>
      </c>
    </row>
    <row r="131" spans="1:3" x14ac:dyDescent="0.2">
      <c r="A131" s="42"/>
      <c r="B131" s="42"/>
      <c r="C131" s="42" t="s">
        <v>2263</v>
      </c>
    </row>
    <row r="132" spans="1:3" x14ac:dyDescent="0.2">
      <c r="A132" s="42"/>
      <c r="B132" s="42"/>
      <c r="C132" s="42" t="s">
        <v>9060</v>
      </c>
    </row>
    <row r="133" spans="1:3" x14ac:dyDescent="0.2">
      <c r="A133" s="42"/>
      <c r="B133" s="42"/>
      <c r="C133" s="42" t="s">
        <v>789</v>
      </c>
    </row>
    <row r="134" spans="1:3" x14ac:dyDescent="0.2">
      <c r="A134" s="42"/>
      <c r="B134" s="42"/>
      <c r="C134" s="42" t="s">
        <v>3450</v>
      </c>
    </row>
    <row r="135" spans="1:3" x14ac:dyDescent="0.2">
      <c r="A135" s="42"/>
      <c r="B135" s="42"/>
      <c r="C135" s="42" t="s">
        <v>1102</v>
      </c>
    </row>
    <row r="136" spans="1:3" x14ac:dyDescent="0.2">
      <c r="A136" s="42"/>
      <c r="C136" s="42" t="s">
        <v>5235</v>
      </c>
    </row>
    <row r="137" spans="1:3" x14ac:dyDescent="0.2">
      <c r="A137" s="42"/>
      <c r="B137" s="42"/>
      <c r="C137" s="42" t="s">
        <v>9878</v>
      </c>
    </row>
    <row r="138" spans="1:3" x14ac:dyDescent="0.2">
      <c r="A138" s="42"/>
      <c r="B138" s="42"/>
      <c r="C138" s="42" t="s">
        <v>5358</v>
      </c>
    </row>
    <row r="139" spans="1:3" x14ac:dyDescent="0.2">
      <c r="A139" s="42"/>
      <c r="B139" s="42"/>
      <c r="C139" s="42" t="s">
        <v>14364</v>
      </c>
    </row>
    <row r="140" spans="1:3" x14ac:dyDescent="0.2">
      <c r="A140" s="42"/>
      <c r="B140" s="42"/>
      <c r="C140" s="42" t="s">
        <v>9278</v>
      </c>
    </row>
    <row r="141" spans="1:3" x14ac:dyDescent="0.2">
      <c r="A141" s="42"/>
      <c r="B141" s="42"/>
      <c r="C141" s="42" t="s">
        <v>7315</v>
      </c>
    </row>
    <row r="142" spans="1:3" x14ac:dyDescent="0.2">
      <c r="A142" s="42"/>
      <c r="B142" s="42"/>
      <c r="C142" s="42" t="s">
        <v>2985</v>
      </c>
    </row>
    <row r="143" spans="1:3" x14ac:dyDescent="0.2">
      <c r="A143" s="42"/>
      <c r="B143" s="42"/>
      <c r="C143" s="42" t="s">
        <v>8955</v>
      </c>
    </row>
    <row r="144" spans="1:3" x14ac:dyDescent="0.2">
      <c r="A144" s="42"/>
      <c r="B144" s="42"/>
      <c r="C144" s="42"/>
    </row>
    <row r="145" spans="1:3" x14ac:dyDescent="0.2">
      <c r="A145" s="42"/>
      <c r="B145" s="42"/>
      <c r="C145" s="42"/>
    </row>
    <row r="146" spans="1:3" x14ac:dyDescent="0.2">
      <c r="A146" s="42"/>
      <c r="B146" s="42"/>
      <c r="C146" s="42"/>
    </row>
    <row r="147" spans="1:3" x14ac:dyDescent="0.2">
      <c r="A147" s="42"/>
      <c r="B147" s="42"/>
      <c r="C147" s="42"/>
    </row>
    <row r="148" spans="1:3" x14ac:dyDescent="0.2">
      <c r="A148" s="42"/>
      <c r="B148" s="42"/>
      <c r="C148" s="42"/>
    </row>
    <row r="149" spans="1:3" x14ac:dyDescent="0.2">
      <c r="A149" s="42"/>
      <c r="B149" s="42"/>
      <c r="C149" s="42"/>
    </row>
    <row r="150" spans="1:3" x14ac:dyDescent="0.2">
      <c r="A150" s="42"/>
      <c r="B150" s="42"/>
      <c r="C150" s="42"/>
    </row>
    <row r="151" spans="1:3" x14ac:dyDescent="0.2">
      <c r="A151" s="42"/>
      <c r="B151" s="42"/>
      <c r="C151" s="42"/>
    </row>
    <row r="152" spans="1:3" x14ac:dyDescent="0.2">
      <c r="A152" s="42"/>
      <c r="C152" s="42"/>
    </row>
    <row r="153" spans="1:3" x14ac:dyDescent="0.2">
      <c r="A153" s="42"/>
      <c r="B153" s="42"/>
      <c r="C153" s="42"/>
    </row>
    <row r="154" spans="1:3" x14ac:dyDescent="0.2">
      <c r="A154" s="42"/>
      <c r="C154" s="42"/>
    </row>
    <row r="155" spans="1:3" x14ac:dyDescent="0.2">
      <c r="A155" s="42"/>
      <c r="B155" s="42"/>
      <c r="C155" s="42"/>
    </row>
    <row r="156" spans="1:3" x14ac:dyDescent="0.2">
      <c r="B156" s="42"/>
      <c r="C156" s="42"/>
    </row>
    <row r="157" spans="1:3" x14ac:dyDescent="0.2">
      <c r="A157" s="42"/>
      <c r="B157" s="42"/>
      <c r="C157" s="42"/>
    </row>
    <row r="158" spans="1:3" x14ac:dyDescent="0.2">
      <c r="B158" s="42"/>
      <c r="C158" s="42"/>
    </row>
    <row r="159" spans="1:3" x14ac:dyDescent="0.2">
      <c r="A159" s="42"/>
      <c r="B159" s="42"/>
      <c r="C159" s="42"/>
    </row>
    <row r="160" spans="1:3" x14ac:dyDescent="0.2">
      <c r="A160" s="42"/>
      <c r="B160" s="42"/>
      <c r="C160" s="42"/>
    </row>
    <row r="161" spans="1:3" x14ac:dyDescent="0.2">
      <c r="A161" s="42"/>
      <c r="B161" s="42"/>
      <c r="C161" s="42"/>
    </row>
    <row r="162" spans="1:3" x14ac:dyDescent="0.2">
      <c r="A162" s="42"/>
      <c r="B162" s="42"/>
      <c r="C162" s="42"/>
    </row>
    <row r="163" spans="1:3" x14ac:dyDescent="0.2">
      <c r="A163" s="42"/>
      <c r="C163" s="42"/>
    </row>
    <row r="164" spans="1:3" x14ac:dyDescent="0.2">
      <c r="A164" s="42"/>
      <c r="B164" s="42"/>
      <c r="C164" s="42"/>
    </row>
    <row r="165" spans="1:3" x14ac:dyDescent="0.2">
      <c r="A165" s="42"/>
      <c r="B165" s="42"/>
      <c r="C165" s="42"/>
    </row>
    <row r="166" spans="1:3" x14ac:dyDescent="0.2">
      <c r="A166" s="42"/>
      <c r="B166" s="42"/>
      <c r="C166" s="42"/>
    </row>
    <row r="167" spans="1:3" x14ac:dyDescent="0.2">
      <c r="B167" s="42"/>
      <c r="C167" s="42"/>
    </row>
    <row r="168" spans="1:3" x14ac:dyDescent="0.2">
      <c r="A168" s="42"/>
      <c r="B168" s="42"/>
      <c r="C168" s="42"/>
    </row>
    <row r="169" spans="1:3" x14ac:dyDescent="0.2">
      <c r="A169" s="42"/>
      <c r="C169" s="42"/>
    </row>
    <row r="170" spans="1:3" x14ac:dyDescent="0.2">
      <c r="A170" s="42"/>
      <c r="B170" s="42"/>
      <c r="C170" s="42"/>
    </row>
    <row r="171" spans="1:3" x14ac:dyDescent="0.2">
      <c r="A171" s="42"/>
      <c r="C171" s="42"/>
    </row>
    <row r="172" spans="1:3" x14ac:dyDescent="0.2">
      <c r="B172" s="42"/>
      <c r="C172" s="42"/>
    </row>
    <row r="173" spans="1:3" x14ac:dyDescent="0.2">
      <c r="A173" s="42"/>
      <c r="B173" s="42"/>
      <c r="C173" s="42"/>
    </row>
    <row r="174" spans="1:3" x14ac:dyDescent="0.2">
      <c r="B174" s="42"/>
      <c r="C174" s="42"/>
    </row>
    <row r="175" spans="1:3" x14ac:dyDescent="0.2">
      <c r="A175" s="42"/>
      <c r="C175" s="42"/>
    </row>
    <row r="176" spans="1:3" x14ac:dyDescent="0.2">
      <c r="A176" s="42"/>
      <c r="B176" s="42"/>
      <c r="C176" s="42"/>
    </row>
    <row r="177" spans="1:3" x14ac:dyDescent="0.2">
      <c r="A177" s="42"/>
      <c r="C177" s="42"/>
    </row>
    <row r="178" spans="1:3" x14ac:dyDescent="0.2">
      <c r="B178" s="42"/>
      <c r="C178" s="42"/>
    </row>
    <row r="179" spans="1:3" x14ac:dyDescent="0.2">
      <c r="A179" s="42"/>
      <c r="B179" s="42"/>
      <c r="C179" s="42"/>
    </row>
    <row r="180" spans="1:3" x14ac:dyDescent="0.2">
      <c r="B180" s="42"/>
      <c r="C180" s="42"/>
    </row>
    <row r="181" spans="1:3" x14ac:dyDescent="0.2">
      <c r="A181" s="42"/>
      <c r="B181" s="42"/>
      <c r="C181" s="42"/>
    </row>
    <row r="182" spans="1:3" x14ac:dyDescent="0.2">
      <c r="A182" s="42"/>
      <c r="C182" s="42"/>
    </row>
    <row r="183" spans="1:3" x14ac:dyDescent="0.2">
      <c r="A183" s="42"/>
      <c r="C183" s="42"/>
    </row>
    <row r="184" spans="1:3" x14ac:dyDescent="0.2">
      <c r="A184" s="42"/>
      <c r="B184" s="42"/>
      <c r="C184" s="42"/>
    </row>
    <row r="185" spans="1:3" x14ac:dyDescent="0.2">
      <c r="A185" s="42"/>
      <c r="B185" s="42"/>
      <c r="C185" s="42"/>
    </row>
    <row r="186" spans="1:3" x14ac:dyDescent="0.2">
      <c r="B186" s="42"/>
      <c r="C186" s="42"/>
    </row>
    <row r="187" spans="1:3" x14ac:dyDescent="0.2">
      <c r="C187" s="42"/>
    </row>
    <row r="188" spans="1:3" x14ac:dyDescent="0.2">
      <c r="A188" s="42"/>
      <c r="B188" s="42"/>
      <c r="C188" s="42"/>
    </row>
    <row r="189" spans="1:3" x14ac:dyDescent="0.2">
      <c r="A189" s="42"/>
      <c r="B189" s="42"/>
      <c r="C189" s="42"/>
    </row>
    <row r="190" spans="1:3" x14ac:dyDescent="0.2">
      <c r="A190" s="42"/>
      <c r="B190" s="42"/>
      <c r="C190" s="42"/>
    </row>
    <row r="191" spans="1:3" x14ac:dyDescent="0.2">
      <c r="B191" s="42"/>
      <c r="C191" s="42"/>
    </row>
    <row r="192" spans="1:3" x14ac:dyDescent="0.2">
      <c r="A192" s="42"/>
      <c r="C192" s="42"/>
    </row>
    <row r="193" spans="1:3" x14ac:dyDescent="0.2">
      <c r="A193" s="42"/>
      <c r="C193" s="42"/>
    </row>
    <row r="194" spans="1:3" x14ac:dyDescent="0.2">
      <c r="A194" s="42"/>
      <c r="C194" s="42"/>
    </row>
    <row r="195" spans="1:3" x14ac:dyDescent="0.2">
      <c r="C195" s="42"/>
    </row>
    <row r="196" spans="1:3" x14ac:dyDescent="0.2">
      <c r="B196" s="42"/>
      <c r="C196" s="42"/>
    </row>
    <row r="197" spans="1:3" x14ac:dyDescent="0.2">
      <c r="C197" s="42"/>
    </row>
    <row r="198" spans="1:3" x14ac:dyDescent="0.2">
      <c r="B198" s="42"/>
      <c r="C198" s="42"/>
    </row>
    <row r="199" spans="1:3" x14ac:dyDescent="0.2">
      <c r="A199" s="42"/>
      <c r="B199" s="42"/>
      <c r="C199" s="42"/>
    </row>
    <row r="200" spans="1:3" x14ac:dyDescent="0.2">
      <c r="B200" s="42"/>
      <c r="C200" s="42"/>
    </row>
    <row r="201" spans="1:3" x14ac:dyDescent="0.2">
      <c r="B201" s="42"/>
      <c r="C201" s="42"/>
    </row>
    <row r="202" spans="1:3" x14ac:dyDescent="0.2">
      <c r="A202" s="42"/>
      <c r="C202" s="42"/>
    </row>
    <row r="203" spans="1:3" x14ac:dyDescent="0.2">
      <c r="A203" s="42"/>
      <c r="B203" s="42"/>
      <c r="C203" s="42"/>
    </row>
    <row r="204" spans="1:3" x14ac:dyDescent="0.2">
      <c r="A204" s="42"/>
      <c r="B204" s="42"/>
      <c r="C204" s="42"/>
    </row>
    <row r="205" spans="1:3" x14ac:dyDescent="0.2">
      <c r="C205" s="42"/>
    </row>
    <row r="206" spans="1:3" x14ac:dyDescent="0.2">
      <c r="A206" s="42"/>
      <c r="B206" s="42"/>
      <c r="C206" s="42"/>
    </row>
    <row r="207" spans="1:3" x14ac:dyDescent="0.2">
      <c r="A207" s="42"/>
      <c r="C207" s="42"/>
    </row>
    <row r="208" spans="1:3" x14ac:dyDescent="0.2">
      <c r="B208" s="42"/>
      <c r="C208" s="42"/>
    </row>
    <row r="209" spans="1:3" x14ac:dyDescent="0.2">
      <c r="B209" s="42"/>
      <c r="C209" s="42"/>
    </row>
    <row r="210" spans="1:3" x14ac:dyDescent="0.2">
      <c r="A210" s="42"/>
      <c r="B210" s="42"/>
      <c r="C210" s="42"/>
    </row>
    <row r="211" spans="1:3" x14ac:dyDescent="0.2">
      <c r="A211" s="42"/>
      <c r="B211" s="42"/>
      <c r="C211" s="42"/>
    </row>
    <row r="212" spans="1:3" x14ac:dyDescent="0.2">
      <c r="A212" s="42"/>
      <c r="B212" s="42"/>
      <c r="C212" s="42"/>
    </row>
    <row r="213" spans="1:3" x14ac:dyDescent="0.2">
      <c r="A213" s="42"/>
      <c r="B213" s="42"/>
      <c r="C213" s="42"/>
    </row>
    <row r="214" spans="1:3" x14ac:dyDescent="0.2">
      <c r="A214" s="42"/>
      <c r="B214" s="42"/>
      <c r="C214" s="42"/>
    </row>
    <row r="215" spans="1:3" x14ac:dyDescent="0.2">
      <c r="A215" s="42"/>
      <c r="B215" s="42"/>
      <c r="C215" s="42"/>
    </row>
    <row r="216" spans="1:3" x14ac:dyDescent="0.2">
      <c r="A216" s="42"/>
      <c r="B216" s="42"/>
      <c r="C216" s="42"/>
    </row>
    <row r="217" spans="1:3" x14ac:dyDescent="0.2">
      <c r="A217" s="42"/>
      <c r="B217" s="42"/>
      <c r="C217" s="42"/>
    </row>
    <row r="218" spans="1:3" x14ac:dyDescent="0.2">
      <c r="A218" s="42"/>
      <c r="B218" s="42"/>
      <c r="C218" s="42"/>
    </row>
    <row r="219" spans="1:3" x14ac:dyDescent="0.2">
      <c r="A219" s="42"/>
      <c r="B219" s="42"/>
      <c r="C219" s="42"/>
    </row>
    <row r="220" spans="1:3" x14ac:dyDescent="0.2">
      <c r="A220" s="42"/>
      <c r="B220" s="42"/>
      <c r="C220" s="42"/>
    </row>
    <row r="221" spans="1:3" x14ac:dyDescent="0.2">
      <c r="A221" s="42"/>
      <c r="B221" s="42"/>
      <c r="C221" s="42"/>
    </row>
    <row r="222" spans="1:3" x14ac:dyDescent="0.2">
      <c r="A222" s="42"/>
      <c r="B222" s="42"/>
      <c r="C222" s="42"/>
    </row>
    <row r="223" spans="1:3" x14ac:dyDescent="0.2">
      <c r="A223" s="42"/>
      <c r="B223" s="42"/>
      <c r="C223" s="42"/>
    </row>
    <row r="224" spans="1:3" x14ac:dyDescent="0.2">
      <c r="A224" s="42"/>
      <c r="C224" s="42"/>
    </row>
    <row r="225" spans="1:3" x14ac:dyDescent="0.2">
      <c r="A225" s="42"/>
      <c r="B225" s="42"/>
      <c r="C225" s="42"/>
    </row>
    <row r="226" spans="1:3" x14ac:dyDescent="0.2">
      <c r="B226" s="42"/>
      <c r="C226" s="42"/>
    </row>
    <row r="227" spans="1:3" x14ac:dyDescent="0.2">
      <c r="A227" s="42"/>
      <c r="B227" s="42"/>
      <c r="C227" s="42"/>
    </row>
    <row r="228" spans="1:3" x14ac:dyDescent="0.2">
      <c r="A228" s="42"/>
      <c r="B228" s="42"/>
      <c r="C228" s="42"/>
    </row>
    <row r="229" spans="1:3" x14ac:dyDescent="0.2">
      <c r="A229" s="42"/>
      <c r="B229" s="42"/>
      <c r="C229" s="42"/>
    </row>
    <row r="230" spans="1:3" x14ac:dyDescent="0.2">
      <c r="A230" s="42"/>
      <c r="B230" s="42"/>
      <c r="C230" s="42"/>
    </row>
    <row r="231" spans="1:3" x14ac:dyDescent="0.2">
      <c r="A231" s="42"/>
      <c r="B231" s="42"/>
      <c r="C231" s="42"/>
    </row>
    <row r="232" spans="1:3" x14ac:dyDescent="0.2">
      <c r="A232" s="42"/>
      <c r="B232" s="42"/>
      <c r="C232" s="42"/>
    </row>
    <row r="233" spans="1:3" x14ac:dyDescent="0.2">
      <c r="A233" s="42"/>
      <c r="C233" s="42"/>
    </row>
    <row r="234" spans="1:3" x14ac:dyDescent="0.2">
      <c r="A234" s="42"/>
      <c r="C234" s="42"/>
    </row>
    <row r="235" spans="1:3" x14ac:dyDescent="0.2">
      <c r="A235" s="42"/>
      <c r="C235" s="42"/>
    </row>
    <row r="236" spans="1:3" x14ac:dyDescent="0.2">
      <c r="C236" s="42"/>
    </row>
    <row r="237" spans="1:3" x14ac:dyDescent="0.2">
      <c r="C237" s="42"/>
    </row>
    <row r="238" spans="1:3" x14ac:dyDescent="0.2">
      <c r="C238" s="42"/>
    </row>
    <row r="239" spans="1:3" x14ac:dyDescent="0.2">
      <c r="C239" s="42"/>
    </row>
    <row r="240" spans="1:3" x14ac:dyDescent="0.2">
      <c r="C240" s="42"/>
    </row>
    <row r="241" spans="3:3" x14ac:dyDescent="0.2">
      <c r="C241" s="42"/>
    </row>
    <row r="242" spans="3:3" x14ac:dyDescent="0.2">
      <c r="C242" s="42"/>
    </row>
    <row r="243" spans="3:3" x14ac:dyDescent="0.2">
      <c r="C243" s="42"/>
    </row>
    <row r="244" spans="3:3" x14ac:dyDescent="0.2">
      <c r="C244" s="42"/>
    </row>
    <row r="245" spans="3:3" x14ac:dyDescent="0.2">
      <c r="C245" s="42"/>
    </row>
    <row r="246" spans="3:3" x14ac:dyDescent="0.2">
      <c r="C246" s="42"/>
    </row>
    <row r="247" spans="3:3" x14ac:dyDescent="0.2">
      <c r="C247" s="42"/>
    </row>
    <row r="248" spans="3:3" x14ac:dyDescent="0.2">
      <c r="C248" s="42"/>
    </row>
    <row r="249" spans="3:3" x14ac:dyDescent="0.2">
      <c r="C249" s="42"/>
    </row>
    <row r="250" spans="3:3" x14ac:dyDescent="0.2">
      <c r="C250" s="42"/>
    </row>
    <row r="251" spans="3:3" x14ac:dyDescent="0.2">
      <c r="C251" s="42"/>
    </row>
    <row r="252" spans="3:3" x14ac:dyDescent="0.2">
      <c r="C252" s="42"/>
    </row>
    <row r="253" spans="3:3" x14ac:dyDescent="0.2">
      <c r="C253" s="42"/>
    </row>
    <row r="254" spans="3:3" x14ac:dyDescent="0.2">
      <c r="C254" s="42"/>
    </row>
    <row r="255" spans="3:3" x14ac:dyDescent="0.2">
      <c r="C255" s="42"/>
    </row>
    <row r="256" spans="3:3" x14ac:dyDescent="0.2">
      <c r="C256" s="42"/>
    </row>
    <row r="257" spans="3:3" x14ac:dyDescent="0.2">
      <c r="C257" s="42"/>
    </row>
    <row r="258" spans="3:3" x14ac:dyDescent="0.2">
      <c r="C258" s="42"/>
    </row>
    <row r="259" spans="3:3" x14ac:dyDescent="0.2">
      <c r="C259" s="42"/>
    </row>
    <row r="260" spans="3:3" x14ac:dyDescent="0.2">
      <c r="C260" s="42"/>
    </row>
    <row r="261" spans="3:3" x14ac:dyDescent="0.2">
      <c r="C261" s="42"/>
    </row>
    <row r="262" spans="3:3" x14ac:dyDescent="0.2">
      <c r="C262" s="42"/>
    </row>
    <row r="263" spans="3:3" x14ac:dyDescent="0.2">
      <c r="C263" s="42"/>
    </row>
    <row r="264" spans="3:3" x14ac:dyDescent="0.2">
      <c r="C264" s="42"/>
    </row>
    <row r="265" spans="3:3" x14ac:dyDescent="0.2">
      <c r="C265" s="42"/>
    </row>
    <row r="266" spans="3:3" x14ac:dyDescent="0.2">
      <c r="C266" s="42"/>
    </row>
    <row r="267" spans="3:3" x14ac:dyDescent="0.2">
      <c r="C267" s="42"/>
    </row>
    <row r="268" spans="3:3" x14ac:dyDescent="0.2">
      <c r="C268" s="42"/>
    </row>
    <row r="269" spans="3:3" x14ac:dyDescent="0.2">
      <c r="C269" s="42"/>
    </row>
    <row r="270" spans="3:3" x14ac:dyDescent="0.2">
      <c r="C270" s="42"/>
    </row>
    <row r="271" spans="3:3" x14ac:dyDescent="0.2">
      <c r="C271" s="42"/>
    </row>
    <row r="272" spans="3:3" x14ac:dyDescent="0.2">
      <c r="C272" s="42"/>
    </row>
    <row r="273" spans="3:3" x14ac:dyDescent="0.2">
      <c r="C273" s="42"/>
    </row>
    <row r="274" spans="3:3" x14ac:dyDescent="0.2">
      <c r="C274" s="42"/>
    </row>
    <row r="275" spans="3:3" x14ac:dyDescent="0.2">
      <c r="C275" s="42"/>
    </row>
    <row r="276" spans="3:3" x14ac:dyDescent="0.2">
      <c r="C276" s="42"/>
    </row>
    <row r="277" spans="3:3" x14ac:dyDescent="0.2">
      <c r="C277" s="42"/>
    </row>
    <row r="278" spans="3:3" x14ac:dyDescent="0.2">
      <c r="C278" s="42"/>
    </row>
    <row r="279" spans="3:3" x14ac:dyDescent="0.2">
      <c r="C279" s="42"/>
    </row>
    <row r="280" spans="3:3" x14ac:dyDescent="0.2">
      <c r="C280" s="42"/>
    </row>
    <row r="281" spans="3:3" x14ac:dyDescent="0.2">
      <c r="C281" s="42"/>
    </row>
    <row r="282" spans="3:3" x14ac:dyDescent="0.2">
      <c r="C282" s="42"/>
    </row>
    <row r="283" spans="3:3" x14ac:dyDescent="0.2">
      <c r="C283" s="42"/>
    </row>
    <row r="284" spans="3:3" x14ac:dyDescent="0.2">
      <c r="C284" s="42"/>
    </row>
    <row r="285" spans="3:3" x14ac:dyDescent="0.2">
      <c r="C285" s="42"/>
    </row>
    <row r="286" spans="3:3" x14ac:dyDescent="0.2">
      <c r="C286" s="42"/>
    </row>
    <row r="287" spans="3:3" x14ac:dyDescent="0.2">
      <c r="C287" s="42"/>
    </row>
    <row r="288" spans="3:3" x14ac:dyDescent="0.2">
      <c r="C288" s="42"/>
    </row>
    <row r="289" spans="3:3" x14ac:dyDescent="0.2">
      <c r="C289" s="42"/>
    </row>
    <row r="290" spans="3:3" x14ac:dyDescent="0.2">
      <c r="C290" s="42"/>
    </row>
    <row r="291" spans="3:3" x14ac:dyDescent="0.2">
      <c r="C291" s="42"/>
    </row>
    <row r="292" spans="3:3" x14ac:dyDescent="0.2">
      <c r="C292" s="42"/>
    </row>
    <row r="293" spans="3:3" x14ac:dyDescent="0.2">
      <c r="C293" s="42"/>
    </row>
    <row r="294" spans="3:3" x14ac:dyDescent="0.2">
      <c r="C294" s="42"/>
    </row>
    <row r="295" spans="3:3" x14ac:dyDescent="0.2">
      <c r="C295" s="42"/>
    </row>
    <row r="296" spans="3:3" x14ac:dyDescent="0.2">
      <c r="C296" s="42"/>
    </row>
    <row r="297" spans="3:3" x14ac:dyDescent="0.2">
      <c r="C297" s="42"/>
    </row>
    <row r="298" spans="3:3" x14ac:dyDescent="0.2">
      <c r="C298" s="42"/>
    </row>
    <row r="299" spans="3:3" x14ac:dyDescent="0.2">
      <c r="C299" s="42"/>
    </row>
    <row r="300" spans="3:3" x14ac:dyDescent="0.2">
      <c r="C300" s="42"/>
    </row>
    <row r="301" spans="3:3" x14ac:dyDescent="0.2">
      <c r="C301" s="42"/>
    </row>
    <row r="302" spans="3:3" x14ac:dyDescent="0.2">
      <c r="C302" s="42"/>
    </row>
    <row r="303" spans="3:3" x14ac:dyDescent="0.2">
      <c r="C303" s="42"/>
    </row>
    <row r="304" spans="3:3" x14ac:dyDescent="0.2">
      <c r="C304" s="42"/>
    </row>
    <row r="305" spans="3:3" x14ac:dyDescent="0.2">
      <c r="C305" s="42"/>
    </row>
    <row r="306" spans="3:3" x14ac:dyDescent="0.2">
      <c r="C306" s="42"/>
    </row>
    <row r="307" spans="3:3" x14ac:dyDescent="0.2">
      <c r="C307" s="42"/>
    </row>
    <row r="308" spans="3:3" x14ac:dyDescent="0.2">
      <c r="C308" s="42"/>
    </row>
    <row r="309" spans="3:3" x14ac:dyDescent="0.2">
      <c r="C309" s="42"/>
    </row>
    <row r="310" spans="3:3" x14ac:dyDescent="0.2">
      <c r="C310" s="42"/>
    </row>
    <row r="311" spans="3:3" x14ac:dyDescent="0.2">
      <c r="C311" s="42"/>
    </row>
    <row r="312" spans="3:3" x14ac:dyDescent="0.2">
      <c r="C312" s="42"/>
    </row>
    <row r="313" spans="3:3" x14ac:dyDescent="0.2">
      <c r="C313" s="42"/>
    </row>
    <row r="314" spans="3:3" x14ac:dyDescent="0.2">
      <c r="C314" s="42"/>
    </row>
    <row r="315" spans="3:3" x14ac:dyDescent="0.2">
      <c r="C315" s="42"/>
    </row>
    <row r="316" spans="3:3" x14ac:dyDescent="0.2">
      <c r="C316" s="42"/>
    </row>
    <row r="317" spans="3:3" x14ac:dyDescent="0.2">
      <c r="C317" s="42"/>
    </row>
    <row r="318" spans="3:3" x14ac:dyDescent="0.2">
      <c r="C318" s="42"/>
    </row>
    <row r="319" spans="3:3" x14ac:dyDescent="0.2">
      <c r="C319" s="42"/>
    </row>
    <row r="320" spans="3:3" x14ac:dyDescent="0.2">
      <c r="C320" s="42"/>
    </row>
    <row r="321" spans="3:3" x14ac:dyDescent="0.2">
      <c r="C321" s="42"/>
    </row>
    <row r="322" spans="3:3" x14ac:dyDescent="0.2">
      <c r="C322" s="42"/>
    </row>
    <row r="323" spans="3:3" x14ac:dyDescent="0.2">
      <c r="C323" s="42"/>
    </row>
    <row r="324" spans="3:3" x14ac:dyDescent="0.2">
      <c r="C324" s="42"/>
    </row>
    <row r="325" spans="3:3" x14ac:dyDescent="0.2">
      <c r="C325" s="42"/>
    </row>
    <row r="326" spans="3:3" x14ac:dyDescent="0.2">
      <c r="C326" s="42"/>
    </row>
    <row r="327" spans="3:3" x14ac:dyDescent="0.2">
      <c r="C327" s="42"/>
    </row>
    <row r="328" spans="3:3" x14ac:dyDescent="0.2">
      <c r="C328" s="42"/>
    </row>
    <row r="329" spans="3:3" x14ac:dyDescent="0.2">
      <c r="C329" s="42"/>
    </row>
    <row r="330" spans="3:3" x14ac:dyDescent="0.2">
      <c r="C330" s="42"/>
    </row>
    <row r="331" spans="3:3" x14ac:dyDescent="0.2">
      <c r="C331" s="42"/>
    </row>
    <row r="332" spans="3:3" x14ac:dyDescent="0.2">
      <c r="C332" s="42"/>
    </row>
    <row r="333" spans="3:3" x14ac:dyDescent="0.2">
      <c r="C333" s="42"/>
    </row>
    <row r="334" spans="3:3" x14ac:dyDescent="0.2">
      <c r="C334" s="42"/>
    </row>
    <row r="335" spans="3:3" x14ac:dyDescent="0.2">
      <c r="C335" s="42"/>
    </row>
    <row r="336" spans="3:3" x14ac:dyDescent="0.2">
      <c r="C336" s="42"/>
    </row>
    <row r="337" spans="3:3" x14ac:dyDescent="0.2">
      <c r="C337" s="42"/>
    </row>
    <row r="338" spans="3:3" x14ac:dyDescent="0.2">
      <c r="C338" s="42"/>
    </row>
    <row r="339" spans="3:3" x14ac:dyDescent="0.2">
      <c r="C339" s="42"/>
    </row>
    <row r="340" spans="3:3" x14ac:dyDescent="0.2">
      <c r="C340" s="42"/>
    </row>
    <row r="341" spans="3:3" x14ac:dyDescent="0.2">
      <c r="C341" s="42"/>
    </row>
    <row r="342" spans="3:3" x14ac:dyDescent="0.2">
      <c r="C342" s="42"/>
    </row>
    <row r="343" spans="3:3" x14ac:dyDescent="0.2">
      <c r="C343" s="42"/>
    </row>
    <row r="344" spans="3:3" x14ac:dyDescent="0.2">
      <c r="C344" s="42"/>
    </row>
    <row r="345" spans="3:3" x14ac:dyDescent="0.2">
      <c r="C345" s="42"/>
    </row>
    <row r="346" spans="3:3" x14ac:dyDescent="0.2">
      <c r="C346" s="42"/>
    </row>
    <row r="347" spans="3:3" x14ac:dyDescent="0.2">
      <c r="C347" s="42"/>
    </row>
    <row r="348" spans="3:3" x14ac:dyDescent="0.2">
      <c r="C348" s="42"/>
    </row>
    <row r="349" spans="3:3" x14ac:dyDescent="0.2">
      <c r="C349" s="42"/>
    </row>
    <row r="350" spans="3:3" x14ac:dyDescent="0.2">
      <c r="C350" s="42"/>
    </row>
    <row r="351" spans="3:3" x14ac:dyDescent="0.2">
      <c r="C351" s="42"/>
    </row>
    <row r="352" spans="3:3" x14ac:dyDescent="0.2">
      <c r="C352" s="42"/>
    </row>
    <row r="353" spans="3:3" x14ac:dyDescent="0.2">
      <c r="C353" s="42"/>
    </row>
    <row r="354" spans="3:3" x14ac:dyDescent="0.2">
      <c r="C354" s="42"/>
    </row>
    <row r="355" spans="3:3" x14ac:dyDescent="0.2">
      <c r="C355" s="42"/>
    </row>
    <row r="356" spans="3:3" x14ac:dyDescent="0.2">
      <c r="C356" s="42"/>
    </row>
    <row r="357" spans="3:3" x14ac:dyDescent="0.2">
      <c r="C357" s="42"/>
    </row>
    <row r="358" spans="3:3" x14ac:dyDescent="0.2">
      <c r="C358" s="42"/>
    </row>
    <row r="359" spans="3:3" x14ac:dyDescent="0.2">
      <c r="C359" s="42"/>
    </row>
    <row r="360" spans="3:3" x14ac:dyDescent="0.2">
      <c r="C360" s="42"/>
    </row>
    <row r="361" spans="3:3" x14ac:dyDescent="0.2">
      <c r="C361" s="42"/>
    </row>
    <row r="362" spans="3:3" x14ac:dyDescent="0.2">
      <c r="C362" s="42"/>
    </row>
    <row r="363" spans="3:3" x14ac:dyDescent="0.2">
      <c r="C363" s="42"/>
    </row>
    <row r="364" spans="3:3" x14ac:dyDescent="0.2">
      <c r="C364" s="42"/>
    </row>
    <row r="365" spans="3:3" x14ac:dyDescent="0.2">
      <c r="C365" s="42"/>
    </row>
    <row r="366" spans="3:3" x14ac:dyDescent="0.2">
      <c r="C366" s="42"/>
    </row>
    <row r="367" spans="3:3" x14ac:dyDescent="0.2">
      <c r="C367" s="42"/>
    </row>
    <row r="368" spans="3:3" x14ac:dyDescent="0.2">
      <c r="C368" s="42"/>
    </row>
    <row r="369" spans="3:3" x14ac:dyDescent="0.2">
      <c r="C369" s="42"/>
    </row>
    <row r="370" spans="3:3" x14ac:dyDescent="0.2">
      <c r="C370" s="42"/>
    </row>
    <row r="371" spans="3:3" x14ac:dyDescent="0.2">
      <c r="C371" s="42"/>
    </row>
    <row r="372" spans="3:3" x14ac:dyDescent="0.2">
      <c r="C372" s="42"/>
    </row>
    <row r="373" spans="3:3" x14ac:dyDescent="0.2">
      <c r="C373" s="42"/>
    </row>
    <row r="374" spans="3:3" x14ac:dyDescent="0.2">
      <c r="C374" s="42"/>
    </row>
    <row r="375" spans="3:3" x14ac:dyDescent="0.2">
      <c r="C375" s="42"/>
    </row>
    <row r="376" spans="3:3" x14ac:dyDescent="0.2">
      <c r="C376" s="42"/>
    </row>
    <row r="377" spans="3:3" x14ac:dyDescent="0.2">
      <c r="C377" s="42"/>
    </row>
    <row r="378" spans="3:3" x14ac:dyDescent="0.2">
      <c r="C378" s="42"/>
    </row>
    <row r="379" spans="3:3" x14ac:dyDescent="0.2">
      <c r="C379" s="42"/>
    </row>
    <row r="380" spans="3:3" x14ac:dyDescent="0.2">
      <c r="C380" s="42"/>
    </row>
    <row r="381" spans="3:3" x14ac:dyDescent="0.2">
      <c r="C381" s="42"/>
    </row>
    <row r="382" spans="3:3" x14ac:dyDescent="0.2">
      <c r="C382" s="42"/>
    </row>
    <row r="383" spans="3:3" x14ac:dyDescent="0.2">
      <c r="C383" s="42"/>
    </row>
    <row r="384" spans="3:3" x14ac:dyDescent="0.2">
      <c r="C384" s="42"/>
    </row>
    <row r="385" spans="3:3" x14ac:dyDescent="0.2">
      <c r="C385" s="42"/>
    </row>
    <row r="386" spans="3:3" x14ac:dyDescent="0.2">
      <c r="C386" s="42"/>
    </row>
    <row r="387" spans="3:3" x14ac:dyDescent="0.2">
      <c r="C387" s="42"/>
    </row>
    <row r="388" spans="3:3" x14ac:dyDescent="0.2">
      <c r="C388" s="42"/>
    </row>
    <row r="389" spans="3:3" x14ac:dyDescent="0.2">
      <c r="C389" s="42"/>
    </row>
    <row r="390" spans="3:3" x14ac:dyDescent="0.2">
      <c r="C390" s="42"/>
    </row>
    <row r="391" spans="3:3" x14ac:dyDescent="0.2">
      <c r="C391" s="42"/>
    </row>
    <row r="392" spans="3:3" x14ac:dyDescent="0.2">
      <c r="C392" s="42"/>
    </row>
    <row r="393" spans="3:3" x14ac:dyDescent="0.2">
      <c r="C393" s="42"/>
    </row>
    <row r="394" spans="3:3" x14ac:dyDescent="0.2">
      <c r="C394" s="42"/>
    </row>
    <row r="395" spans="3:3" x14ac:dyDescent="0.2">
      <c r="C395" s="42"/>
    </row>
    <row r="396" spans="3:3" x14ac:dyDescent="0.2">
      <c r="C396" s="42"/>
    </row>
    <row r="397" spans="3:3" x14ac:dyDescent="0.2">
      <c r="C397" s="42"/>
    </row>
    <row r="398" spans="3:3" x14ac:dyDescent="0.2">
      <c r="C398" s="42"/>
    </row>
    <row r="399" spans="3:3" x14ac:dyDescent="0.2">
      <c r="C399" s="42"/>
    </row>
    <row r="400" spans="3:3" x14ac:dyDescent="0.2">
      <c r="C400" s="42"/>
    </row>
    <row r="401" spans="3:3" x14ac:dyDescent="0.2">
      <c r="C401" s="42"/>
    </row>
    <row r="402" spans="3:3" x14ac:dyDescent="0.2">
      <c r="C402" s="42"/>
    </row>
    <row r="403" spans="3:3" x14ac:dyDescent="0.2">
      <c r="C403" s="42"/>
    </row>
    <row r="404" spans="3:3" x14ac:dyDescent="0.2">
      <c r="C404" s="42"/>
    </row>
    <row r="405" spans="3:3" x14ac:dyDescent="0.2">
      <c r="C405" s="42"/>
    </row>
    <row r="406" spans="3:3" x14ac:dyDescent="0.2">
      <c r="C406" s="42"/>
    </row>
    <row r="407" spans="3:3" x14ac:dyDescent="0.2">
      <c r="C407" s="42"/>
    </row>
    <row r="408" spans="3:3" x14ac:dyDescent="0.2">
      <c r="C408" s="42"/>
    </row>
    <row r="409" spans="3:3" x14ac:dyDescent="0.2">
      <c r="C409" s="42"/>
    </row>
    <row r="410" spans="3:3" x14ac:dyDescent="0.2">
      <c r="C410" s="42"/>
    </row>
    <row r="411" spans="3:3" x14ac:dyDescent="0.2">
      <c r="C411" s="42"/>
    </row>
    <row r="412" spans="3:3" x14ac:dyDescent="0.2">
      <c r="C412" s="42"/>
    </row>
    <row r="413" spans="3:3" x14ac:dyDescent="0.2">
      <c r="C413" s="42"/>
    </row>
    <row r="414" spans="3:3" x14ac:dyDescent="0.2">
      <c r="C414" s="42"/>
    </row>
    <row r="415" spans="3:3" x14ac:dyDescent="0.2">
      <c r="C415" s="42"/>
    </row>
    <row r="416" spans="3:3" x14ac:dyDescent="0.2">
      <c r="C416" s="42"/>
    </row>
    <row r="417" spans="3:3" x14ac:dyDescent="0.2">
      <c r="C417" s="42"/>
    </row>
    <row r="418" spans="3:3" x14ac:dyDescent="0.2">
      <c r="C418" s="42"/>
    </row>
    <row r="419" spans="3:3" x14ac:dyDescent="0.2">
      <c r="C419" s="42"/>
    </row>
    <row r="420" spans="3:3" x14ac:dyDescent="0.2">
      <c r="C420" s="42"/>
    </row>
    <row r="421" spans="3:3" x14ac:dyDescent="0.2">
      <c r="C421" s="42"/>
    </row>
    <row r="422" spans="3:3" x14ac:dyDescent="0.2">
      <c r="C422" s="42"/>
    </row>
    <row r="423" spans="3:3" x14ac:dyDescent="0.2">
      <c r="C423" s="42"/>
    </row>
    <row r="424" spans="3:3" x14ac:dyDescent="0.2">
      <c r="C424" s="42"/>
    </row>
    <row r="425" spans="3:3" x14ac:dyDescent="0.2">
      <c r="C425" s="42"/>
    </row>
    <row r="426" spans="3:3" x14ac:dyDescent="0.2">
      <c r="C426" s="42"/>
    </row>
    <row r="427" spans="3:3" x14ac:dyDescent="0.2">
      <c r="C427" s="42"/>
    </row>
    <row r="428" spans="3:3" x14ac:dyDescent="0.2">
      <c r="C428" s="42"/>
    </row>
    <row r="429" spans="3:3" x14ac:dyDescent="0.2">
      <c r="C429" s="42"/>
    </row>
    <row r="430" spans="3:3" x14ac:dyDescent="0.2">
      <c r="C430" s="42"/>
    </row>
    <row r="431" spans="3:3" x14ac:dyDescent="0.2">
      <c r="C431" s="42"/>
    </row>
    <row r="432" spans="3:3" x14ac:dyDescent="0.2">
      <c r="C432" s="42"/>
    </row>
    <row r="433" spans="3:3" x14ac:dyDescent="0.2">
      <c r="C433" s="42"/>
    </row>
    <row r="434" spans="3:3" x14ac:dyDescent="0.2">
      <c r="C434" s="42"/>
    </row>
    <row r="435" spans="3:3" x14ac:dyDescent="0.2">
      <c r="C435" s="42"/>
    </row>
    <row r="436" spans="3:3" x14ac:dyDescent="0.2">
      <c r="C436" s="42"/>
    </row>
    <row r="437" spans="3:3" x14ac:dyDescent="0.2">
      <c r="C437" s="42"/>
    </row>
    <row r="438" spans="3:3" x14ac:dyDescent="0.2">
      <c r="C438" s="42"/>
    </row>
    <row r="439" spans="3:3" x14ac:dyDescent="0.2">
      <c r="C439" s="42"/>
    </row>
    <row r="440" spans="3:3" x14ac:dyDescent="0.2">
      <c r="C440" s="42"/>
    </row>
    <row r="441" spans="3:3" x14ac:dyDescent="0.2">
      <c r="C441" s="42"/>
    </row>
    <row r="442" spans="3:3" x14ac:dyDescent="0.2">
      <c r="C442" s="42"/>
    </row>
    <row r="443" spans="3:3" x14ac:dyDescent="0.2">
      <c r="C443" s="42"/>
    </row>
    <row r="444" spans="3:3" x14ac:dyDescent="0.2">
      <c r="C444" s="42"/>
    </row>
    <row r="445" spans="3:3" x14ac:dyDescent="0.2">
      <c r="C445" s="42"/>
    </row>
    <row r="446" spans="3:3" x14ac:dyDescent="0.2">
      <c r="C446" s="42"/>
    </row>
    <row r="447" spans="3:3" x14ac:dyDescent="0.2">
      <c r="C447" s="42"/>
    </row>
    <row r="448" spans="3:3" x14ac:dyDescent="0.2">
      <c r="C448" s="42"/>
    </row>
    <row r="449" spans="3:3" x14ac:dyDescent="0.2">
      <c r="C449" s="42"/>
    </row>
    <row r="450" spans="3:3" x14ac:dyDescent="0.2">
      <c r="C450" s="42"/>
    </row>
    <row r="451" spans="3:3" x14ac:dyDescent="0.2">
      <c r="C451" s="42"/>
    </row>
    <row r="452" spans="3:3" x14ac:dyDescent="0.2">
      <c r="C452" s="42"/>
    </row>
    <row r="453" spans="3:3" x14ac:dyDescent="0.2">
      <c r="C453" s="42"/>
    </row>
    <row r="454" spans="3:3" x14ac:dyDescent="0.2">
      <c r="C454" s="42"/>
    </row>
    <row r="455" spans="3:3" x14ac:dyDescent="0.2">
      <c r="C455" s="42"/>
    </row>
    <row r="456" spans="3:3" x14ac:dyDescent="0.2">
      <c r="C456" s="42"/>
    </row>
    <row r="457" spans="3:3" x14ac:dyDescent="0.2">
      <c r="C457" s="42"/>
    </row>
    <row r="458" spans="3:3" x14ac:dyDescent="0.2">
      <c r="C458" s="42"/>
    </row>
    <row r="459" spans="3:3" x14ac:dyDescent="0.2">
      <c r="C459" s="42"/>
    </row>
    <row r="460" spans="3:3" x14ac:dyDescent="0.2">
      <c r="C460" s="42"/>
    </row>
    <row r="461" spans="3:3" x14ac:dyDescent="0.2">
      <c r="C461" s="42"/>
    </row>
    <row r="462" spans="3:3" x14ac:dyDescent="0.2">
      <c r="C462" s="42"/>
    </row>
    <row r="463" spans="3:3" x14ac:dyDescent="0.2">
      <c r="C463" s="42"/>
    </row>
    <row r="464" spans="3:3" x14ac:dyDescent="0.2">
      <c r="C464" s="42"/>
    </row>
    <row r="465" spans="3:3" x14ac:dyDescent="0.2">
      <c r="C465" s="42"/>
    </row>
    <row r="466" spans="3:3" x14ac:dyDescent="0.2">
      <c r="C466" s="42"/>
    </row>
    <row r="467" spans="3:3" x14ac:dyDescent="0.2">
      <c r="C467" s="42"/>
    </row>
    <row r="468" spans="3:3" x14ac:dyDescent="0.2">
      <c r="C468" s="42"/>
    </row>
    <row r="469" spans="3:3" x14ac:dyDescent="0.2">
      <c r="C469" s="42"/>
    </row>
    <row r="470" spans="3:3" x14ac:dyDescent="0.2">
      <c r="C470" s="42"/>
    </row>
    <row r="471" spans="3:3" x14ac:dyDescent="0.2">
      <c r="C471" s="42"/>
    </row>
    <row r="472" spans="3:3" x14ac:dyDescent="0.2">
      <c r="C472" s="42"/>
    </row>
    <row r="473" spans="3:3" x14ac:dyDescent="0.2">
      <c r="C473" s="42"/>
    </row>
    <row r="474" spans="3:3" x14ac:dyDescent="0.2">
      <c r="C474" s="42"/>
    </row>
    <row r="475" spans="3:3" x14ac:dyDescent="0.2">
      <c r="C475" s="42"/>
    </row>
    <row r="476" spans="3:3" x14ac:dyDescent="0.2">
      <c r="C476" s="42"/>
    </row>
    <row r="477" spans="3:3" x14ac:dyDescent="0.2">
      <c r="C477" s="42"/>
    </row>
    <row r="478" spans="3:3" x14ac:dyDescent="0.2">
      <c r="C478" s="42"/>
    </row>
    <row r="479" spans="3:3" x14ac:dyDescent="0.2">
      <c r="C479" s="42"/>
    </row>
    <row r="480" spans="3:3" x14ac:dyDescent="0.2">
      <c r="C480" s="42"/>
    </row>
    <row r="481" spans="3:3" x14ac:dyDescent="0.2">
      <c r="C481" s="42"/>
    </row>
    <row r="482" spans="3:3" x14ac:dyDescent="0.2">
      <c r="C482" s="42"/>
    </row>
    <row r="483" spans="3:3" x14ac:dyDescent="0.2">
      <c r="C483" s="42"/>
    </row>
    <row r="484" spans="3:3" x14ac:dyDescent="0.2">
      <c r="C484" s="42"/>
    </row>
    <row r="485" spans="3:3" x14ac:dyDescent="0.2">
      <c r="C485" s="42"/>
    </row>
    <row r="486" spans="3:3" x14ac:dyDescent="0.2">
      <c r="C486" s="42"/>
    </row>
    <row r="487" spans="3:3" x14ac:dyDescent="0.2">
      <c r="C487" s="42"/>
    </row>
    <row r="488" spans="3:3" x14ac:dyDescent="0.2">
      <c r="C488" s="42"/>
    </row>
    <row r="489" spans="3:3" x14ac:dyDescent="0.2">
      <c r="C489" s="42"/>
    </row>
    <row r="490" spans="3:3" x14ac:dyDescent="0.2">
      <c r="C490" s="42"/>
    </row>
    <row r="491" spans="3:3" x14ac:dyDescent="0.2">
      <c r="C491" s="42"/>
    </row>
    <row r="492" spans="3:3" x14ac:dyDescent="0.2">
      <c r="C492" s="42"/>
    </row>
    <row r="493" spans="3:3" x14ac:dyDescent="0.2">
      <c r="C493" s="42"/>
    </row>
    <row r="494" spans="3:3" x14ac:dyDescent="0.2">
      <c r="C494" s="42"/>
    </row>
    <row r="495" spans="3:3" x14ac:dyDescent="0.2">
      <c r="C495" s="42"/>
    </row>
    <row r="496" spans="3:3" x14ac:dyDescent="0.2">
      <c r="C496" s="42"/>
    </row>
    <row r="497" spans="3:3" x14ac:dyDescent="0.2">
      <c r="C497" s="42"/>
    </row>
    <row r="498" spans="3:3" x14ac:dyDescent="0.2">
      <c r="C498" s="42"/>
    </row>
    <row r="499" spans="3:3" x14ac:dyDescent="0.2">
      <c r="C499" s="42"/>
    </row>
    <row r="500" spans="3:3" x14ac:dyDescent="0.2">
      <c r="C500" s="42"/>
    </row>
    <row r="501" spans="3:3" x14ac:dyDescent="0.2">
      <c r="C501" s="42"/>
    </row>
    <row r="502" spans="3:3" x14ac:dyDescent="0.2">
      <c r="C502" s="42"/>
    </row>
    <row r="503" spans="3:3" x14ac:dyDescent="0.2">
      <c r="C503" s="42"/>
    </row>
    <row r="504" spans="3:3" x14ac:dyDescent="0.2">
      <c r="C504" s="42"/>
    </row>
    <row r="505" spans="3:3" x14ac:dyDescent="0.2">
      <c r="C505" s="42"/>
    </row>
    <row r="506" spans="3:3" x14ac:dyDescent="0.2">
      <c r="C506" s="42"/>
    </row>
    <row r="507" spans="3:3" x14ac:dyDescent="0.2">
      <c r="C507" s="42"/>
    </row>
    <row r="508" spans="3:3" x14ac:dyDescent="0.2">
      <c r="C508" s="42"/>
    </row>
    <row r="509" spans="3:3" x14ac:dyDescent="0.2">
      <c r="C509" s="42"/>
    </row>
    <row r="510" spans="3:3" x14ac:dyDescent="0.2">
      <c r="C510" s="42"/>
    </row>
    <row r="511" spans="3:3" x14ac:dyDescent="0.2">
      <c r="C511" s="42"/>
    </row>
    <row r="512" spans="3:3" x14ac:dyDescent="0.2">
      <c r="C512" s="42"/>
    </row>
    <row r="513" spans="3:3" x14ac:dyDescent="0.2">
      <c r="C513" s="42"/>
    </row>
    <row r="514" spans="3:3" x14ac:dyDescent="0.2">
      <c r="C514" s="42"/>
    </row>
    <row r="515" spans="3:3" x14ac:dyDescent="0.2">
      <c r="C515" s="42"/>
    </row>
    <row r="516" spans="3:3" x14ac:dyDescent="0.2">
      <c r="C516" s="42"/>
    </row>
    <row r="517" spans="3:3" x14ac:dyDescent="0.2">
      <c r="C517" s="42"/>
    </row>
    <row r="518" spans="3:3" x14ac:dyDescent="0.2">
      <c r="C518" s="42"/>
    </row>
    <row r="519" spans="3:3" x14ac:dyDescent="0.2">
      <c r="C519" s="42"/>
    </row>
    <row r="520" spans="3:3" x14ac:dyDescent="0.2">
      <c r="C520" s="42"/>
    </row>
    <row r="521" spans="3:3" x14ac:dyDescent="0.2">
      <c r="C521" s="42"/>
    </row>
    <row r="522" spans="3:3" x14ac:dyDescent="0.2">
      <c r="C522" s="42"/>
    </row>
    <row r="523" spans="3:3" x14ac:dyDescent="0.2">
      <c r="C523" s="42"/>
    </row>
    <row r="524" spans="3:3" x14ac:dyDescent="0.2">
      <c r="C524" s="42"/>
    </row>
    <row r="525" spans="3:3" x14ac:dyDescent="0.2">
      <c r="C525" s="42"/>
    </row>
    <row r="526" spans="3:3" x14ac:dyDescent="0.2">
      <c r="C526" s="42"/>
    </row>
    <row r="527" spans="3:3" x14ac:dyDescent="0.2">
      <c r="C527" s="42"/>
    </row>
    <row r="528" spans="3:3" x14ac:dyDescent="0.2">
      <c r="C528" s="42"/>
    </row>
    <row r="529" spans="3:3" x14ac:dyDescent="0.2">
      <c r="C529" s="42"/>
    </row>
    <row r="530" spans="3:3" x14ac:dyDescent="0.2">
      <c r="C530" s="42"/>
    </row>
    <row r="531" spans="3:3" x14ac:dyDescent="0.2">
      <c r="C531" s="42"/>
    </row>
    <row r="532" spans="3:3" x14ac:dyDescent="0.2">
      <c r="C532" s="42"/>
    </row>
    <row r="533" spans="3:3" x14ac:dyDescent="0.2">
      <c r="C533" s="42"/>
    </row>
    <row r="534" spans="3:3" x14ac:dyDescent="0.2">
      <c r="C534" s="42"/>
    </row>
    <row r="535" spans="3:3" x14ac:dyDescent="0.2">
      <c r="C535" s="42"/>
    </row>
    <row r="536" spans="3:3" x14ac:dyDescent="0.2">
      <c r="C536" s="42"/>
    </row>
    <row r="537" spans="3:3" x14ac:dyDescent="0.2">
      <c r="C537" s="42"/>
    </row>
    <row r="538" spans="3:3" x14ac:dyDescent="0.2">
      <c r="C538" s="42"/>
    </row>
    <row r="539" spans="3:3" x14ac:dyDescent="0.2">
      <c r="C539" s="42"/>
    </row>
    <row r="540" spans="3:3" x14ac:dyDescent="0.2">
      <c r="C540" s="42"/>
    </row>
    <row r="541" spans="3:3" x14ac:dyDescent="0.2">
      <c r="C541" s="42"/>
    </row>
    <row r="542" spans="3:3" x14ac:dyDescent="0.2">
      <c r="C542" s="42"/>
    </row>
    <row r="543" spans="3:3" x14ac:dyDescent="0.2">
      <c r="C543" s="42"/>
    </row>
    <row r="544" spans="3:3" x14ac:dyDescent="0.2">
      <c r="C544" s="42"/>
    </row>
    <row r="545" spans="3:3" x14ac:dyDescent="0.2">
      <c r="C545" s="42"/>
    </row>
    <row r="546" spans="3:3" x14ac:dyDescent="0.2">
      <c r="C546" s="42"/>
    </row>
    <row r="547" spans="3:3" x14ac:dyDescent="0.2">
      <c r="C547" s="42"/>
    </row>
    <row r="548" spans="3:3" x14ac:dyDescent="0.2">
      <c r="C548" s="42"/>
    </row>
    <row r="549" spans="3:3" x14ac:dyDescent="0.2">
      <c r="C549" s="42"/>
    </row>
    <row r="550" spans="3:3" x14ac:dyDescent="0.2">
      <c r="C550" s="42"/>
    </row>
    <row r="551" spans="3:3" x14ac:dyDescent="0.2">
      <c r="C551" s="42"/>
    </row>
    <row r="552" spans="3:3" x14ac:dyDescent="0.2">
      <c r="C552" s="42"/>
    </row>
    <row r="553" spans="3:3" x14ac:dyDescent="0.2">
      <c r="C553" s="42"/>
    </row>
    <row r="554" spans="3:3" x14ac:dyDescent="0.2">
      <c r="C554" s="42"/>
    </row>
    <row r="555" spans="3:3" x14ac:dyDescent="0.2">
      <c r="C555" s="42"/>
    </row>
    <row r="556" spans="3:3" x14ac:dyDescent="0.2">
      <c r="C556" s="42"/>
    </row>
    <row r="557" spans="3:3" x14ac:dyDescent="0.2">
      <c r="C557" s="42"/>
    </row>
    <row r="558" spans="3:3" x14ac:dyDescent="0.2">
      <c r="C558" s="42"/>
    </row>
    <row r="559" spans="3:3" x14ac:dyDescent="0.2">
      <c r="C559" s="42"/>
    </row>
    <row r="560" spans="3:3" x14ac:dyDescent="0.2">
      <c r="C560" s="42"/>
    </row>
    <row r="561" spans="3:3" x14ac:dyDescent="0.2">
      <c r="C561" s="42"/>
    </row>
    <row r="562" spans="3:3" x14ac:dyDescent="0.2">
      <c r="C562" s="42"/>
    </row>
    <row r="563" spans="3:3" x14ac:dyDescent="0.2">
      <c r="C563" s="42"/>
    </row>
    <row r="564" spans="3:3" x14ac:dyDescent="0.2">
      <c r="C564" s="42"/>
    </row>
    <row r="565" spans="3:3" x14ac:dyDescent="0.2">
      <c r="C565" s="42"/>
    </row>
    <row r="566" spans="3:3" x14ac:dyDescent="0.2">
      <c r="C566" s="42"/>
    </row>
    <row r="567" spans="3:3" x14ac:dyDescent="0.2">
      <c r="C567" s="42"/>
    </row>
    <row r="568" spans="3:3" x14ac:dyDescent="0.2">
      <c r="C568" s="42"/>
    </row>
    <row r="569" spans="3:3" x14ac:dyDescent="0.2">
      <c r="C569" s="42"/>
    </row>
    <row r="570" spans="3:3" x14ac:dyDescent="0.2">
      <c r="C570" s="42"/>
    </row>
    <row r="571" spans="3:3" x14ac:dyDescent="0.2">
      <c r="C571" s="42"/>
    </row>
    <row r="572" spans="3:3" x14ac:dyDescent="0.2">
      <c r="C572" s="42"/>
    </row>
    <row r="573" spans="3:3" x14ac:dyDescent="0.2">
      <c r="C573" s="42"/>
    </row>
    <row r="574" spans="3:3" x14ac:dyDescent="0.2">
      <c r="C574" s="42"/>
    </row>
    <row r="575" spans="3:3" x14ac:dyDescent="0.2">
      <c r="C575" s="42"/>
    </row>
    <row r="576" spans="3:3" x14ac:dyDescent="0.2">
      <c r="C576" s="42"/>
    </row>
    <row r="577" spans="3:3" x14ac:dyDescent="0.2">
      <c r="C577" s="42"/>
    </row>
    <row r="578" spans="3:3" x14ac:dyDescent="0.2">
      <c r="C578" s="42"/>
    </row>
    <row r="579" spans="3:3" x14ac:dyDescent="0.2">
      <c r="C579" s="42"/>
    </row>
    <row r="580" spans="3:3" x14ac:dyDescent="0.2">
      <c r="C580" s="42"/>
    </row>
    <row r="581" spans="3:3" x14ac:dyDescent="0.2">
      <c r="C581" s="42"/>
    </row>
    <row r="582" spans="3:3" x14ac:dyDescent="0.2">
      <c r="C582" s="42"/>
    </row>
    <row r="583" spans="3:3" x14ac:dyDescent="0.2">
      <c r="C583" s="42"/>
    </row>
    <row r="584" spans="3:3" x14ac:dyDescent="0.2">
      <c r="C584" s="42"/>
    </row>
    <row r="585" spans="3:3" x14ac:dyDescent="0.2">
      <c r="C585" s="42"/>
    </row>
    <row r="586" spans="3:3" x14ac:dyDescent="0.2">
      <c r="C586" s="42"/>
    </row>
    <row r="587" spans="3:3" x14ac:dyDescent="0.2">
      <c r="C587" s="42"/>
    </row>
    <row r="588" spans="3:3" x14ac:dyDescent="0.2">
      <c r="C588" s="42"/>
    </row>
    <row r="589" spans="3:3" x14ac:dyDescent="0.2">
      <c r="C589" s="42"/>
    </row>
    <row r="590" spans="3:3" x14ac:dyDescent="0.2">
      <c r="C590" s="42"/>
    </row>
    <row r="591" spans="3:3" x14ac:dyDescent="0.2">
      <c r="C591" s="42"/>
    </row>
    <row r="592" spans="3:3" x14ac:dyDescent="0.2">
      <c r="C592" s="42"/>
    </row>
    <row r="593" spans="3:3" x14ac:dyDescent="0.2">
      <c r="C593" s="42"/>
    </row>
    <row r="594" spans="3:3" x14ac:dyDescent="0.2">
      <c r="C594" s="42"/>
    </row>
    <row r="595" spans="3:3" x14ac:dyDescent="0.2">
      <c r="C595" s="42"/>
    </row>
    <row r="596" spans="3:3" x14ac:dyDescent="0.2">
      <c r="C596" s="42"/>
    </row>
    <row r="597" spans="3:3" x14ac:dyDescent="0.2">
      <c r="C597" s="42"/>
    </row>
    <row r="598" spans="3:3" x14ac:dyDescent="0.2">
      <c r="C598" s="42"/>
    </row>
    <row r="599" spans="3:3" x14ac:dyDescent="0.2">
      <c r="C599" s="42"/>
    </row>
    <row r="600" spans="3:3" x14ac:dyDescent="0.2">
      <c r="C600" s="42"/>
    </row>
    <row r="601" spans="3:3" x14ac:dyDescent="0.2">
      <c r="C601" s="42"/>
    </row>
    <row r="602" spans="3:3" x14ac:dyDescent="0.2">
      <c r="C602" s="42"/>
    </row>
    <row r="603" spans="3:3" x14ac:dyDescent="0.2">
      <c r="C603" s="42"/>
    </row>
    <row r="604" spans="3:3" x14ac:dyDescent="0.2">
      <c r="C604" s="42"/>
    </row>
    <row r="605" spans="3:3" x14ac:dyDescent="0.2">
      <c r="C605" s="42"/>
    </row>
    <row r="606" spans="3:3" x14ac:dyDescent="0.2">
      <c r="C606" s="42"/>
    </row>
    <row r="607" spans="3:3" x14ac:dyDescent="0.2">
      <c r="C607" s="42"/>
    </row>
    <row r="608" spans="3:3" x14ac:dyDescent="0.2">
      <c r="C608" s="42"/>
    </row>
    <row r="609" spans="3:3" x14ac:dyDescent="0.2">
      <c r="C609" s="42"/>
    </row>
    <row r="610" spans="3:3" x14ac:dyDescent="0.2">
      <c r="C610" s="42"/>
    </row>
    <row r="611" spans="3:3" x14ac:dyDescent="0.2">
      <c r="C611" s="42"/>
    </row>
    <row r="612" spans="3:3" x14ac:dyDescent="0.2">
      <c r="C612" s="42"/>
    </row>
    <row r="613" spans="3:3" x14ac:dyDescent="0.2">
      <c r="C613" s="42"/>
    </row>
    <row r="614" spans="3:3" x14ac:dyDescent="0.2">
      <c r="C614" s="42"/>
    </row>
    <row r="615" spans="3:3" x14ac:dyDescent="0.2">
      <c r="C615" s="42"/>
    </row>
    <row r="616" spans="3:3" x14ac:dyDescent="0.2">
      <c r="C616" s="42"/>
    </row>
    <row r="617" spans="3:3" x14ac:dyDescent="0.2">
      <c r="C617" s="42"/>
    </row>
    <row r="618" spans="3:3" x14ac:dyDescent="0.2">
      <c r="C618" s="42"/>
    </row>
    <row r="619" spans="3:3" x14ac:dyDescent="0.2">
      <c r="C619" s="42"/>
    </row>
    <row r="620" spans="3:3" x14ac:dyDescent="0.2">
      <c r="C620" s="42"/>
    </row>
    <row r="621" spans="3:3" x14ac:dyDescent="0.2">
      <c r="C621" s="42"/>
    </row>
    <row r="622" spans="3:3" x14ac:dyDescent="0.2">
      <c r="C622" s="42"/>
    </row>
    <row r="623" spans="3:3" x14ac:dyDescent="0.2">
      <c r="C623" s="42"/>
    </row>
    <row r="624" spans="3:3" x14ac:dyDescent="0.2">
      <c r="C624" s="42"/>
    </row>
    <row r="625" spans="3:3" x14ac:dyDescent="0.2">
      <c r="C625" s="42"/>
    </row>
    <row r="626" spans="3:3" x14ac:dyDescent="0.2">
      <c r="C626" s="42"/>
    </row>
    <row r="627" spans="3:3" x14ac:dyDescent="0.2">
      <c r="C627" s="42"/>
    </row>
    <row r="628" spans="3:3" x14ac:dyDescent="0.2">
      <c r="C628" s="42"/>
    </row>
    <row r="629" spans="3:3" x14ac:dyDescent="0.2">
      <c r="C629" s="42"/>
    </row>
    <row r="630" spans="3:3" x14ac:dyDescent="0.2">
      <c r="C630" s="42"/>
    </row>
    <row r="631" spans="3:3" x14ac:dyDescent="0.2">
      <c r="C631" s="42"/>
    </row>
    <row r="632" spans="3:3" x14ac:dyDescent="0.2">
      <c r="C632" s="42"/>
    </row>
    <row r="633" spans="3:3" x14ac:dyDescent="0.2">
      <c r="C633" s="42"/>
    </row>
    <row r="634" spans="3:3" x14ac:dyDescent="0.2">
      <c r="C634" s="42"/>
    </row>
    <row r="635" spans="3:3" x14ac:dyDescent="0.2">
      <c r="C635" s="42"/>
    </row>
    <row r="636" spans="3:3" x14ac:dyDescent="0.2">
      <c r="C636" s="42"/>
    </row>
    <row r="637" spans="3:3" x14ac:dyDescent="0.2">
      <c r="C637" s="42"/>
    </row>
    <row r="638" spans="3:3" x14ac:dyDescent="0.2">
      <c r="C638" s="42"/>
    </row>
    <row r="639" spans="3:3" x14ac:dyDescent="0.2">
      <c r="C639" s="42"/>
    </row>
    <row r="640" spans="3:3" x14ac:dyDescent="0.2">
      <c r="C640" s="42"/>
    </row>
    <row r="641" spans="3:3" x14ac:dyDescent="0.2">
      <c r="C641" s="42"/>
    </row>
    <row r="642" spans="3:3" x14ac:dyDescent="0.2">
      <c r="C642" s="42"/>
    </row>
    <row r="643" spans="3:3" x14ac:dyDescent="0.2">
      <c r="C643" s="42"/>
    </row>
    <row r="644" spans="3:3" x14ac:dyDescent="0.2">
      <c r="C644" s="42"/>
    </row>
    <row r="645" spans="3:3" x14ac:dyDescent="0.2">
      <c r="C645" s="42"/>
    </row>
    <row r="646" spans="3:3" x14ac:dyDescent="0.2">
      <c r="C646" s="42"/>
    </row>
    <row r="647" spans="3:3" x14ac:dyDescent="0.2">
      <c r="C647" s="42"/>
    </row>
    <row r="648" spans="3:3" x14ac:dyDescent="0.2">
      <c r="C648" s="42"/>
    </row>
    <row r="649" spans="3:3" x14ac:dyDescent="0.2">
      <c r="C649" s="42"/>
    </row>
    <row r="650" spans="3:3" x14ac:dyDescent="0.2">
      <c r="C650" s="42"/>
    </row>
    <row r="651" spans="3:3" x14ac:dyDescent="0.2">
      <c r="C651" s="42"/>
    </row>
    <row r="652" spans="3:3" x14ac:dyDescent="0.2">
      <c r="C652" s="42"/>
    </row>
    <row r="653" spans="3:3" x14ac:dyDescent="0.2">
      <c r="C653" s="42"/>
    </row>
    <row r="654" spans="3:3" x14ac:dyDescent="0.2">
      <c r="C654" s="42"/>
    </row>
    <row r="655" spans="3:3" x14ac:dyDescent="0.2">
      <c r="C655" s="42"/>
    </row>
    <row r="656" spans="3:3" x14ac:dyDescent="0.2">
      <c r="C656" s="42"/>
    </row>
    <row r="657" spans="3:3" x14ac:dyDescent="0.2">
      <c r="C657" s="42"/>
    </row>
    <row r="658" spans="3:3" x14ac:dyDescent="0.2">
      <c r="C658" s="42"/>
    </row>
    <row r="659" spans="3:3" x14ac:dyDescent="0.2">
      <c r="C659" s="42"/>
    </row>
    <row r="660" spans="3:3" x14ac:dyDescent="0.2">
      <c r="C660" s="42"/>
    </row>
    <row r="661" spans="3:3" x14ac:dyDescent="0.2">
      <c r="C661" s="42"/>
    </row>
    <row r="662" spans="3:3" x14ac:dyDescent="0.2">
      <c r="C662" s="42"/>
    </row>
    <row r="663" spans="3:3" x14ac:dyDescent="0.2">
      <c r="C663" s="42"/>
    </row>
    <row r="664" spans="3:3" x14ac:dyDescent="0.2">
      <c r="C664" s="42"/>
    </row>
    <row r="665" spans="3:3" x14ac:dyDescent="0.2">
      <c r="C665" s="42"/>
    </row>
    <row r="666" spans="3:3" x14ac:dyDescent="0.2">
      <c r="C666" s="42"/>
    </row>
    <row r="667" spans="3:3" x14ac:dyDescent="0.2">
      <c r="C667" s="42"/>
    </row>
    <row r="668" spans="3:3" x14ac:dyDescent="0.2">
      <c r="C668" s="42"/>
    </row>
    <row r="669" spans="3:3" x14ac:dyDescent="0.2">
      <c r="C669" s="42"/>
    </row>
    <row r="670" spans="3:3" x14ac:dyDescent="0.2">
      <c r="C670" s="42"/>
    </row>
    <row r="671" spans="3:3" x14ac:dyDescent="0.2">
      <c r="C671" s="42"/>
    </row>
    <row r="672" spans="3:3" x14ac:dyDescent="0.2">
      <c r="C672" s="42"/>
    </row>
    <row r="673" spans="3:3" x14ac:dyDescent="0.2">
      <c r="C673" s="42"/>
    </row>
    <row r="674" spans="3:3" x14ac:dyDescent="0.2">
      <c r="C674" s="42"/>
    </row>
    <row r="675" spans="3:3" x14ac:dyDescent="0.2">
      <c r="C675" s="42"/>
    </row>
    <row r="676" spans="3:3" x14ac:dyDescent="0.2">
      <c r="C676" s="42"/>
    </row>
    <row r="677" spans="3:3" x14ac:dyDescent="0.2">
      <c r="C677" s="42"/>
    </row>
    <row r="678" spans="3:3" x14ac:dyDescent="0.2">
      <c r="C678" s="42"/>
    </row>
    <row r="679" spans="3:3" x14ac:dyDescent="0.2">
      <c r="C679" s="42"/>
    </row>
    <row r="680" spans="3:3" x14ac:dyDescent="0.2">
      <c r="C680" s="42"/>
    </row>
    <row r="681" spans="3:3" x14ac:dyDescent="0.2">
      <c r="C681" s="42"/>
    </row>
    <row r="682" spans="3:3" x14ac:dyDescent="0.2">
      <c r="C682" s="42"/>
    </row>
    <row r="683" spans="3:3" x14ac:dyDescent="0.2">
      <c r="C683" s="42"/>
    </row>
    <row r="684" spans="3:3" x14ac:dyDescent="0.2">
      <c r="C684" s="42"/>
    </row>
    <row r="685" spans="3:3" x14ac:dyDescent="0.2">
      <c r="C685" s="42"/>
    </row>
    <row r="686" spans="3:3" x14ac:dyDescent="0.2">
      <c r="C686" s="42"/>
    </row>
    <row r="687" spans="3:3" x14ac:dyDescent="0.2">
      <c r="C687" s="42"/>
    </row>
    <row r="688" spans="3:3" x14ac:dyDescent="0.2">
      <c r="C688" s="42"/>
    </row>
    <row r="689" spans="3:3" x14ac:dyDescent="0.2">
      <c r="C689" s="42"/>
    </row>
    <row r="690" spans="3:3" x14ac:dyDescent="0.2">
      <c r="C690" s="42"/>
    </row>
    <row r="691" spans="3:3" x14ac:dyDescent="0.2">
      <c r="C691" s="42"/>
    </row>
    <row r="692" spans="3:3" x14ac:dyDescent="0.2">
      <c r="C692" s="42"/>
    </row>
    <row r="693" spans="3:3" x14ac:dyDescent="0.2">
      <c r="C693" s="42"/>
    </row>
    <row r="694" spans="3:3" x14ac:dyDescent="0.2">
      <c r="C694" s="42"/>
    </row>
    <row r="695" spans="3:3" x14ac:dyDescent="0.2">
      <c r="C695" s="42"/>
    </row>
    <row r="696" spans="3:3" x14ac:dyDescent="0.2">
      <c r="C696" s="42"/>
    </row>
    <row r="697" spans="3:3" x14ac:dyDescent="0.2">
      <c r="C697" s="42"/>
    </row>
    <row r="698" spans="3:3" x14ac:dyDescent="0.2">
      <c r="C698" s="42"/>
    </row>
    <row r="699" spans="3:3" x14ac:dyDescent="0.2">
      <c r="C699" s="42"/>
    </row>
    <row r="700" spans="3:3" x14ac:dyDescent="0.2">
      <c r="C700" s="42"/>
    </row>
    <row r="701" spans="3:3" x14ac:dyDescent="0.2">
      <c r="C701" s="42"/>
    </row>
    <row r="702" spans="3:3" x14ac:dyDescent="0.2">
      <c r="C702" s="42"/>
    </row>
    <row r="703" spans="3:3" x14ac:dyDescent="0.2">
      <c r="C703" s="42"/>
    </row>
    <row r="704" spans="3:3" x14ac:dyDescent="0.2">
      <c r="C704" s="42"/>
    </row>
    <row r="705" spans="3:3" x14ac:dyDescent="0.2">
      <c r="C705" s="42"/>
    </row>
    <row r="706" spans="3:3" x14ac:dyDescent="0.2">
      <c r="C706" s="42"/>
    </row>
    <row r="707" spans="3:3" x14ac:dyDescent="0.2">
      <c r="C707" s="42"/>
    </row>
    <row r="708" spans="3:3" x14ac:dyDescent="0.2">
      <c r="C708" s="42"/>
    </row>
    <row r="709" spans="3:3" x14ac:dyDescent="0.2">
      <c r="C709" s="42"/>
    </row>
    <row r="710" spans="3:3" x14ac:dyDescent="0.2">
      <c r="C710" s="42"/>
    </row>
    <row r="711" spans="3:3" x14ac:dyDescent="0.2">
      <c r="C711" s="42"/>
    </row>
    <row r="712" spans="3:3" x14ac:dyDescent="0.2">
      <c r="C712" s="42"/>
    </row>
    <row r="713" spans="3:3" x14ac:dyDescent="0.2">
      <c r="C713" s="42"/>
    </row>
    <row r="714" spans="3:3" x14ac:dyDescent="0.2">
      <c r="C714" s="42"/>
    </row>
    <row r="715" spans="3:3" x14ac:dyDescent="0.2">
      <c r="C715" s="42"/>
    </row>
    <row r="716" spans="3:3" x14ac:dyDescent="0.2">
      <c r="C716" s="42"/>
    </row>
    <row r="717" spans="3:3" x14ac:dyDescent="0.2">
      <c r="C717" s="42"/>
    </row>
    <row r="718" spans="3:3" x14ac:dyDescent="0.2">
      <c r="C718" s="42"/>
    </row>
    <row r="719" spans="3:3" x14ac:dyDescent="0.2">
      <c r="C719" s="42"/>
    </row>
    <row r="720" spans="3:3" x14ac:dyDescent="0.2">
      <c r="C720" s="42"/>
    </row>
    <row r="721" spans="3:3" x14ac:dyDescent="0.2">
      <c r="C721" s="42"/>
    </row>
    <row r="722" spans="3:3" x14ac:dyDescent="0.2">
      <c r="C722" s="42"/>
    </row>
    <row r="723" spans="3:3" x14ac:dyDescent="0.2">
      <c r="C723" s="42"/>
    </row>
    <row r="724" spans="3:3" x14ac:dyDescent="0.2">
      <c r="C724" s="42"/>
    </row>
    <row r="725" spans="3:3" x14ac:dyDescent="0.2">
      <c r="C725" s="42"/>
    </row>
    <row r="726" spans="3:3" x14ac:dyDescent="0.2">
      <c r="C726" s="42"/>
    </row>
    <row r="727" spans="3:3" x14ac:dyDescent="0.2">
      <c r="C727" s="42"/>
    </row>
    <row r="728" spans="3:3" x14ac:dyDescent="0.2">
      <c r="C728" s="42"/>
    </row>
    <row r="729" spans="3:3" x14ac:dyDescent="0.2">
      <c r="C729" s="42"/>
    </row>
    <row r="730" spans="3:3" x14ac:dyDescent="0.2">
      <c r="C730" s="42"/>
    </row>
    <row r="731" spans="3:3" x14ac:dyDescent="0.2">
      <c r="C731" s="42"/>
    </row>
    <row r="732" spans="3:3" x14ac:dyDescent="0.2">
      <c r="C732" s="42"/>
    </row>
    <row r="733" spans="3:3" x14ac:dyDescent="0.2">
      <c r="C733" s="42"/>
    </row>
    <row r="734" spans="3:3" x14ac:dyDescent="0.2">
      <c r="C734" s="42"/>
    </row>
    <row r="735" spans="3:3" x14ac:dyDescent="0.2">
      <c r="C735" s="42"/>
    </row>
    <row r="736" spans="3:3" x14ac:dyDescent="0.2">
      <c r="C736" s="42"/>
    </row>
    <row r="737" spans="3:3" x14ac:dyDescent="0.2">
      <c r="C737" s="42"/>
    </row>
    <row r="738" spans="3:3" x14ac:dyDescent="0.2">
      <c r="C738" s="42"/>
    </row>
    <row r="739" spans="3:3" x14ac:dyDescent="0.2">
      <c r="C739" s="42"/>
    </row>
    <row r="740" spans="3:3" x14ac:dyDescent="0.2">
      <c r="C740" s="42"/>
    </row>
    <row r="741" spans="3:3" x14ac:dyDescent="0.2">
      <c r="C741" s="42"/>
    </row>
    <row r="742" spans="3:3" x14ac:dyDescent="0.2">
      <c r="C742" s="42"/>
    </row>
    <row r="743" spans="3:3" x14ac:dyDescent="0.2">
      <c r="C743" s="42"/>
    </row>
    <row r="744" spans="3:3" x14ac:dyDescent="0.2">
      <c r="C744" s="42"/>
    </row>
    <row r="745" spans="3:3" x14ac:dyDescent="0.2">
      <c r="C745" s="42"/>
    </row>
    <row r="746" spans="3:3" x14ac:dyDescent="0.2">
      <c r="C746" s="42"/>
    </row>
    <row r="747" spans="3:3" x14ac:dyDescent="0.2">
      <c r="C747" s="42"/>
    </row>
    <row r="748" spans="3:3" x14ac:dyDescent="0.2">
      <c r="C748" s="42"/>
    </row>
    <row r="749" spans="3:3" x14ac:dyDescent="0.2">
      <c r="C749" s="42"/>
    </row>
    <row r="750" spans="3:3" x14ac:dyDescent="0.2">
      <c r="C750" s="42"/>
    </row>
    <row r="751" spans="3:3" x14ac:dyDescent="0.2">
      <c r="C751" s="42"/>
    </row>
    <row r="752" spans="3:3" x14ac:dyDescent="0.2">
      <c r="C752" s="42"/>
    </row>
    <row r="753" spans="3:3" x14ac:dyDescent="0.2">
      <c r="C753" s="42"/>
    </row>
    <row r="754" spans="3:3" x14ac:dyDescent="0.2">
      <c r="C754" s="42"/>
    </row>
    <row r="755" spans="3:3" x14ac:dyDescent="0.2">
      <c r="C755" s="42"/>
    </row>
    <row r="756" spans="3:3" x14ac:dyDescent="0.2">
      <c r="C756" s="42"/>
    </row>
    <row r="757" spans="3:3" x14ac:dyDescent="0.2">
      <c r="C757" s="42"/>
    </row>
    <row r="758" spans="3:3" x14ac:dyDescent="0.2">
      <c r="C758" s="42"/>
    </row>
    <row r="759" spans="3:3" x14ac:dyDescent="0.2">
      <c r="C759" s="42"/>
    </row>
    <row r="760" spans="3:3" x14ac:dyDescent="0.2">
      <c r="C760" s="42"/>
    </row>
    <row r="761" spans="3:3" x14ac:dyDescent="0.2">
      <c r="C761" s="42"/>
    </row>
    <row r="762" spans="3:3" x14ac:dyDescent="0.2">
      <c r="C762" s="42"/>
    </row>
    <row r="763" spans="3:3" x14ac:dyDescent="0.2">
      <c r="C763" s="42"/>
    </row>
    <row r="764" spans="3:3" x14ac:dyDescent="0.2">
      <c r="C764" s="42"/>
    </row>
    <row r="765" spans="3:3" x14ac:dyDescent="0.2">
      <c r="C765" s="42"/>
    </row>
    <row r="766" spans="3:3" x14ac:dyDescent="0.2">
      <c r="C766" s="42"/>
    </row>
    <row r="767" spans="3:3" x14ac:dyDescent="0.2">
      <c r="C767" s="42"/>
    </row>
    <row r="768" spans="3:3" x14ac:dyDescent="0.2">
      <c r="C768" s="42"/>
    </row>
    <row r="769" spans="3:3" x14ac:dyDescent="0.2">
      <c r="C769" s="42"/>
    </row>
    <row r="770" spans="3:3" x14ac:dyDescent="0.2">
      <c r="C770" s="42"/>
    </row>
    <row r="771" spans="3:3" x14ac:dyDescent="0.2">
      <c r="C771" s="42"/>
    </row>
    <row r="772" spans="3:3" x14ac:dyDescent="0.2">
      <c r="C772" s="42"/>
    </row>
    <row r="773" spans="3:3" x14ac:dyDescent="0.2">
      <c r="C773" s="42"/>
    </row>
    <row r="774" spans="3:3" x14ac:dyDescent="0.2">
      <c r="C774" s="42"/>
    </row>
    <row r="775" spans="3:3" x14ac:dyDescent="0.2">
      <c r="C775" s="42"/>
    </row>
    <row r="776" spans="3:3" x14ac:dyDescent="0.2">
      <c r="C776" s="42"/>
    </row>
    <row r="777" spans="3:3" x14ac:dyDescent="0.2">
      <c r="C777" s="42"/>
    </row>
    <row r="778" spans="3:3" x14ac:dyDescent="0.2">
      <c r="C778" s="42"/>
    </row>
    <row r="779" spans="3:3" x14ac:dyDescent="0.2">
      <c r="C779" s="42"/>
    </row>
    <row r="780" spans="3:3" x14ac:dyDescent="0.2">
      <c r="C780" s="42"/>
    </row>
    <row r="781" spans="3:3" x14ac:dyDescent="0.2">
      <c r="C781" s="42"/>
    </row>
    <row r="782" spans="3:3" x14ac:dyDescent="0.2">
      <c r="C782" s="42"/>
    </row>
    <row r="783" spans="3:3" x14ac:dyDescent="0.2">
      <c r="C783" s="42"/>
    </row>
    <row r="784" spans="3:3" x14ac:dyDescent="0.2">
      <c r="C784" s="42"/>
    </row>
    <row r="785" spans="3:3" x14ac:dyDescent="0.2">
      <c r="C785" s="42"/>
    </row>
    <row r="786" spans="3:3" x14ac:dyDescent="0.2">
      <c r="C786" s="42"/>
    </row>
    <row r="787" spans="3:3" x14ac:dyDescent="0.2">
      <c r="C787" s="42"/>
    </row>
    <row r="788" spans="3:3" x14ac:dyDescent="0.2">
      <c r="C788" s="42"/>
    </row>
    <row r="789" spans="3:3" x14ac:dyDescent="0.2">
      <c r="C789" s="42"/>
    </row>
    <row r="790" spans="3:3" x14ac:dyDescent="0.2">
      <c r="C790" s="42"/>
    </row>
    <row r="791" spans="3:3" x14ac:dyDescent="0.2">
      <c r="C791" s="42"/>
    </row>
    <row r="792" spans="3:3" x14ac:dyDescent="0.2">
      <c r="C792" s="42"/>
    </row>
    <row r="793" spans="3:3" x14ac:dyDescent="0.2">
      <c r="C793" s="42"/>
    </row>
    <row r="794" spans="3:3" x14ac:dyDescent="0.2">
      <c r="C794" s="42"/>
    </row>
    <row r="795" spans="3:3" x14ac:dyDescent="0.2">
      <c r="C795" s="42"/>
    </row>
    <row r="796" spans="3:3" x14ac:dyDescent="0.2">
      <c r="C796" s="42"/>
    </row>
    <row r="797" spans="3:3" x14ac:dyDescent="0.2">
      <c r="C797" s="42"/>
    </row>
    <row r="798" spans="3:3" x14ac:dyDescent="0.2">
      <c r="C798" s="42"/>
    </row>
    <row r="799" spans="3:3" x14ac:dyDescent="0.2">
      <c r="C799" s="42"/>
    </row>
    <row r="800" spans="3:3" x14ac:dyDescent="0.2">
      <c r="C800" s="42"/>
    </row>
    <row r="801" spans="3:3" x14ac:dyDescent="0.2">
      <c r="C801" s="42"/>
    </row>
    <row r="802" spans="3:3" x14ac:dyDescent="0.2">
      <c r="C802" s="42"/>
    </row>
    <row r="803" spans="3:3" x14ac:dyDescent="0.2">
      <c r="C803" s="42"/>
    </row>
    <row r="804" spans="3:3" x14ac:dyDescent="0.2">
      <c r="C804" s="42"/>
    </row>
    <row r="805" spans="3:3" x14ac:dyDescent="0.2">
      <c r="C805" s="42"/>
    </row>
    <row r="806" spans="3:3" x14ac:dyDescent="0.2">
      <c r="C806" s="42"/>
    </row>
    <row r="807" spans="3:3" x14ac:dyDescent="0.2">
      <c r="C807" s="42"/>
    </row>
    <row r="808" spans="3:3" x14ac:dyDescent="0.2">
      <c r="C808" s="42"/>
    </row>
    <row r="809" spans="3:3" x14ac:dyDescent="0.2">
      <c r="C809" s="42"/>
    </row>
    <row r="810" spans="3:3" x14ac:dyDescent="0.2">
      <c r="C810" s="42"/>
    </row>
    <row r="811" spans="3:3" x14ac:dyDescent="0.2">
      <c r="C811" s="42"/>
    </row>
    <row r="812" spans="3:3" x14ac:dyDescent="0.2">
      <c r="C812" s="42"/>
    </row>
    <row r="813" spans="3:3" x14ac:dyDescent="0.2">
      <c r="C813" s="42"/>
    </row>
    <row r="814" spans="3:3" x14ac:dyDescent="0.2">
      <c r="C814" s="42"/>
    </row>
    <row r="815" spans="3:3" x14ac:dyDescent="0.2">
      <c r="C815" s="42"/>
    </row>
    <row r="816" spans="3:3" x14ac:dyDescent="0.2">
      <c r="C816" s="42"/>
    </row>
    <row r="817" spans="3:3" x14ac:dyDescent="0.2">
      <c r="C817" s="42"/>
    </row>
    <row r="818" spans="3:3" x14ac:dyDescent="0.2">
      <c r="C818" s="42"/>
    </row>
    <row r="819" spans="3:3" x14ac:dyDescent="0.2">
      <c r="C819" s="42"/>
    </row>
    <row r="820" spans="3:3" x14ac:dyDescent="0.2">
      <c r="C820" s="42"/>
    </row>
    <row r="821" spans="3:3" x14ac:dyDescent="0.2">
      <c r="C821" s="42"/>
    </row>
    <row r="822" spans="3:3" x14ac:dyDescent="0.2">
      <c r="C822" s="42"/>
    </row>
    <row r="823" spans="3:3" x14ac:dyDescent="0.2">
      <c r="C823" s="42"/>
    </row>
    <row r="824" spans="3:3" x14ac:dyDescent="0.2">
      <c r="C824" s="42"/>
    </row>
    <row r="825" spans="3:3" x14ac:dyDescent="0.2">
      <c r="C825" s="42"/>
    </row>
    <row r="826" spans="3:3" x14ac:dyDescent="0.2">
      <c r="C826" s="42"/>
    </row>
    <row r="827" spans="3:3" x14ac:dyDescent="0.2">
      <c r="C827" s="42"/>
    </row>
    <row r="828" spans="3:3" x14ac:dyDescent="0.2">
      <c r="C828" s="42"/>
    </row>
    <row r="829" spans="3:3" x14ac:dyDescent="0.2">
      <c r="C829" s="42"/>
    </row>
    <row r="830" spans="3:3" x14ac:dyDescent="0.2">
      <c r="C830" s="42"/>
    </row>
    <row r="831" spans="3:3" x14ac:dyDescent="0.2">
      <c r="C831" s="42"/>
    </row>
    <row r="832" spans="3:3" x14ac:dyDescent="0.2">
      <c r="C832" s="42"/>
    </row>
    <row r="833" spans="3:3" x14ac:dyDescent="0.2">
      <c r="C833" s="42"/>
    </row>
    <row r="834" spans="3:3" x14ac:dyDescent="0.2">
      <c r="C834" s="42"/>
    </row>
    <row r="835" spans="3:3" x14ac:dyDescent="0.2">
      <c r="C835" s="42"/>
    </row>
    <row r="836" spans="3:3" x14ac:dyDescent="0.2">
      <c r="C836" s="42"/>
    </row>
    <row r="837" spans="3:3" x14ac:dyDescent="0.2">
      <c r="C837" s="42"/>
    </row>
    <row r="838" spans="3:3" x14ac:dyDescent="0.2">
      <c r="C838" s="42"/>
    </row>
    <row r="839" spans="3:3" x14ac:dyDescent="0.2">
      <c r="C839" s="42"/>
    </row>
    <row r="840" spans="3:3" x14ac:dyDescent="0.2">
      <c r="C840" s="42"/>
    </row>
    <row r="841" spans="3:3" x14ac:dyDescent="0.2">
      <c r="C841" s="42"/>
    </row>
    <row r="842" spans="3:3" x14ac:dyDescent="0.2">
      <c r="C842" s="42"/>
    </row>
    <row r="843" spans="3:3" x14ac:dyDescent="0.2">
      <c r="C843" s="42"/>
    </row>
    <row r="844" spans="3:3" x14ac:dyDescent="0.2">
      <c r="C844" s="42"/>
    </row>
    <row r="845" spans="3:3" x14ac:dyDescent="0.2">
      <c r="C845" s="42"/>
    </row>
    <row r="846" spans="3:3" x14ac:dyDescent="0.2">
      <c r="C846" s="42"/>
    </row>
    <row r="847" spans="3:3" x14ac:dyDescent="0.2">
      <c r="C847" s="42"/>
    </row>
    <row r="848" spans="3:3" x14ac:dyDescent="0.2">
      <c r="C848" s="42"/>
    </row>
    <row r="849" spans="3:3" x14ac:dyDescent="0.2">
      <c r="C849" s="42"/>
    </row>
    <row r="850" spans="3:3" x14ac:dyDescent="0.2">
      <c r="C850" s="42"/>
    </row>
    <row r="851" spans="3:3" x14ac:dyDescent="0.2">
      <c r="C851" s="42"/>
    </row>
    <row r="852" spans="3:3" x14ac:dyDescent="0.2">
      <c r="C852" s="42"/>
    </row>
    <row r="853" spans="3:3" x14ac:dyDescent="0.2">
      <c r="C853" s="42"/>
    </row>
    <row r="854" spans="3:3" x14ac:dyDescent="0.2">
      <c r="C854" s="42"/>
    </row>
    <row r="855" spans="3:3" x14ac:dyDescent="0.2">
      <c r="C855" s="42"/>
    </row>
    <row r="856" spans="3:3" x14ac:dyDescent="0.2">
      <c r="C856" s="42"/>
    </row>
    <row r="857" spans="3:3" x14ac:dyDescent="0.2">
      <c r="C857" s="42"/>
    </row>
    <row r="858" spans="3:3" x14ac:dyDescent="0.2">
      <c r="C858" s="42"/>
    </row>
    <row r="859" spans="3:3" x14ac:dyDescent="0.2">
      <c r="C859" s="42"/>
    </row>
    <row r="860" spans="3:3" x14ac:dyDescent="0.2">
      <c r="C860" s="42"/>
    </row>
    <row r="861" spans="3:3" x14ac:dyDescent="0.2">
      <c r="C861" s="42"/>
    </row>
    <row r="862" spans="3:3" x14ac:dyDescent="0.2">
      <c r="C862" s="42"/>
    </row>
    <row r="863" spans="3:3" x14ac:dyDescent="0.2">
      <c r="C863" s="42"/>
    </row>
    <row r="864" spans="3:3" x14ac:dyDescent="0.2">
      <c r="C864" s="42"/>
    </row>
    <row r="865" spans="3:3" x14ac:dyDescent="0.2">
      <c r="C865" s="42"/>
    </row>
    <row r="866" spans="3:3" x14ac:dyDescent="0.2">
      <c r="C866" s="42"/>
    </row>
    <row r="867" spans="3:3" x14ac:dyDescent="0.2">
      <c r="C867" s="42"/>
    </row>
    <row r="868" spans="3:3" x14ac:dyDescent="0.2">
      <c r="C868" s="42"/>
    </row>
    <row r="869" spans="3:3" x14ac:dyDescent="0.2">
      <c r="C869" s="42"/>
    </row>
    <row r="870" spans="3:3" x14ac:dyDescent="0.2">
      <c r="C870" s="42"/>
    </row>
    <row r="871" spans="3:3" x14ac:dyDescent="0.2">
      <c r="C871" s="42"/>
    </row>
    <row r="872" spans="3:3" x14ac:dyDescent="0.2">
      <c r="C872" s="42"/>
    </row>
    <row r="873" spans="3:3" x14ac:dyDescent="0.2">
      <c r="C873" s="42"/>
    </row>
    <row r="874" spans="3:3" x14ac:dyDescent="0.2">
      <c r="C874" s="42"/>
    </row>
    <row r="875" spans="3:3" x14ac:dyDescent="0.2">
      <c r="C875" s="42"/>
    </row>
    <row r="876" spans="3:3" x14ac:dyDescent="0.2">
      <c r="C876" s="42"/>
    </row>
    <row r="877" spans="3:3" x14ac:dyDescent="0.2">
      <c r="C877" s="42"/>
    </row>
    <row r="878" spans="3:3" x14ac:dyDescent="0.2">
      <c r="C878" s="42"/>
    </row>
    <row r="879" spans="3:3" x14ac:dyDescent="0.2">
      <c r="C879" s="42"/>
    </row>
    <row r="880" spans="3:3" x14ac:dyDescent="0.2">
      <c r="C880" s="42"/>
    </row>
    <row r="881" spans="3:3" x14ac:dyDescent="0.2">
      <c r="C881" s="42"/>
    </row>
    <row r="882" spans="3:3" x14ac:dyDescent="0.2">
      <c r="C882" s="42"/>
    </row>
    <row r="883" spans="3:3" x14ac:dyDescent="0.2">
      <c r="C883" s="42"/>
    </row>
    <row r="884" spans="3:3" x14ac:dyDescent="0.2">
      <c r="C884" s="42"/>
    </row>
    <row r="885" spans="3:3" x14ac:dyDescent="0.2">
      <c r="C885" s="42"/>
    </row>
    <row r="886" spans="3:3" x14ac:dyDescent="0.2">
      <c r="C886" s="42"/>
    </row>
    <row r="887" spans="3:3" x14ac:dyDescent="0.2">
      <c r="C887" s="42"/>
    </row>
    <row r="888" spans="3:3" x14ac:dyDescent="0.2">
      <c r="C888" s="42"/>
    </row>
    <row r="889" spans="3:3" x14ac:dyDescent="0.2">
      <c r="C889" s="42"/>
    </row>
    <row r="890" spans="3:3" x14ac:dyDescent="0.2">
      <c r="C890" s="42"/>
    </row>
    <row r="891" spans="3:3" x14ac:dyDescent="0.2">
      <c r="C891" s="42"/>
    </row>
    <row r="892" spans="3:3" x14ac:dyDescent="0.2">
      <c r="C892" s="42"/>
    </row>
    <row r="893" spans="3:3" x14ac:dyDescent="0.2">
      <c r="C893" s="42"/>
    </row>
    <row r="894" spans="3:3" x14ac:dyDescent="0.2">
      <c r="C894" s="42"/>
    </row>
    <row r="895" spans="3:3" x14ac:dyDescent="0.2">
      <c r="C895" s="42"/>
    </row>
    <row r="896" spans="3:3" x14ac:dyDescent="0.2">
      <c r="C896" s="42"/>
    </row>
    <row r="897" spans="3:3" x14ac:dyDescent="0.2">
      <c r="C897" s="42"/>
    </row>
    <row r="898" spans="3:3" x14ac:dyDescent="0.2">
      <c r="C898" s="42"/>
    </row>
    <row r="899" spans="3:3" x14ac:dyDescent="0.2">
      <c r="C899" s="42"/>
    </row>
    <row r="900" spans="3:3" x14ac:dyDescent="0.2">
      <c r="C900" s="42"/>
    </row>
    <row r="901" spans="3:3" x14ac:dyDescent="0.2">
      <c r="C901" s="42"/>
    </row>
    <row r="902" spans="3:3" x14ac:dyDescent="0.2">
      <c r="C902" s="42"/>
    </row>
    <row r="903" spans="3:3" x14ac:dyDescent="0.2">
      <c r="C903" s="42"/>
    </row>
    <row r="904" spans="3:3" x14ac:dyDescent="0.2">
      <c r="C904" s="42"/>
    </row>
    <row r="905" spans="3:3" x14ac:dyDescent="0.2">
      <c r="C905" s="42"/>
    </row>
    <row r="906" spans="3:3" x14ac:dyDescent="0.2">
      <c r="C906" s="42"/>
    </row>
    <row r="907" spans="3:3" x14ac:dyDescent="0.2">
      <c r="C907" s="42"/>
    </row>
    <row r="908" spans="3:3" x14ac:dyDescent="0.2">
      <c r="C908" s="42"/>
    </row>
    <row r="909" spans="3:3" x14ac:dyDescent="0.2">
      <c r="C909" s="42"/>
    </row>
    <row r="910" spans="3:3" x14ac:dyDescent="0.2">
      <c r="C910" s="42"/>
    </row>
    <row r="911" spans="3:3" x14ac:dyDescent="0.2">
      <c r="C911" s="42"/>
    </row>
    <row r="912" spans="3:3" x14ac:dyDescent="0.2">
      <c r="C912" s="42"/>
    </row>
    <row r="913" spans="3:3" x14ac:dyDescent="0.2">
      <c r="C913" s="42"/>
    </row>
    <row r="914" spans="3:3" x14ac:dyDescent="0.2">
      <c r="C914" s="42"/>
    </row>
    <row r="915" spans="3:3" x14ac:dyDescent="0.2">
      <c r="C915" s="42"/>
    </row>
    <row r="916" spans="3:3" x14ac:dyDescent="0.2">
      <c r="C916" s="42"/>
    </row>
    <row r="917" spans="3:3" x14ac:dyDescent="0.2">
      <c r="C917" s="42"/>
    </row>
    <row r="918" spans="3:3" x14ac:dyDescent="0.2">
      <c r="C918" s="42"/>
    </row>
    <row r="919" spans="3:3" x14ac:dyDescent="0.2">
      <c r="C919" s="42"/>
    </row>
    <row r="920" spans="3:3" x14ac:dyDescent="0.2">
      <c r="C920" s="42"/>
    </row>
    <row r="921" spans="3:3" x14ac:dyDescent="0.2">
      <c r="C921" s="42"/>
    </row>
    <row r="922" spans="3:3" x14ac:dyDescent="0.2">
      <c r="C922" s="42"/>
    </row>
    <row r="923" spans="3:3" x14ac:dyDescent="0.2">
      <c r="C923" s="42"/>
    </row>
    <row r="924" spans="3:3" x14ac:dyDescent="0.2">
      <c r="C924" s="42"/>
    </row>
    <row r="925" spans="3:3" x14ac:dyDescent="0.2">
      <c r="C925" s="42"/>
    </row>
    <row r="926" spans="3:3" x14ac:dyDescent="0.2">
      <c r="C926" s="42"/>
    </row>
    <row r="927" spans="3:3" x14ac:dyDescent="0.2">
      <c r="C927" s="42"/>
    </row>
    <row r="928" spans="3:3" x14ac:dyDescent="0.2">
      <c r="C928" s="42"/>
    </row>
    <row r="929" spans="3:3" x14ac:dyDescent="0.2">
      <c r="C929" s="42"/>
    </row>
    <row r="930" spans="3:3" x14ac:dyDescent="0.2">
      <c r="C930" s="42"/>
    </row>
    <row r="931" spans="3:3" x14ac:dyDescent="0.2">
      <c r="C931" s="42"/>
    </row>
    <row r="932" spans="3:3" x14ac:dyDescent="0.2">
      <c r="C932" s="42"/>
    </row>
    <row r="933" spans="3:3" x14ac:dyDescent="0.2">
      <c r="C933" s="42"/>
    </row>
    <row r="934" spans="3:3" x14ac:dyDescent="0.2">
      <c r="C934" s="42"/>
    </row>
    <row r="935" spans="3:3" x14ac:dyDescent="0.2">
      <c r="C935" s="42"/>
    </row>
    <row r="936" spans="3:3" x14ac:dyDescent="0.2">
      <c r="C936" s="42"/>
    </row>
    <row r="937" spans="3:3" x14ac:dyDescent="0.2">
      <c r="C937" s="42"/>
    </row>
    <row r="938" spans="3:3" x14ac:dyDescent="0.2">
      <c r="C938" s="42"/>
    </row>
    <row r="939" spans="3:3" x14ac:dyDescent="0.2">
      <c r="C939" s="42"/>
    </row>
    <row r="940" spans="3:3" x14ac:dyDescent="0.2">
      <c r="C940" s="42"/>
    </row>
    <row r="941" spans="3:3" x14ac:dyDescent="0.2">
      <c r="C941" s="42"/>
    </row>
    <row r="942" spans="3:3" x14ac:dyDescent="0.2">
      <c r="C942" s="42"/>
    </row>
    <row r="943" spans="3:3" x14ac:dyDescent="0.2">
      <c r="C943" s="42"/>
    </row>
    <row r="944" spans="3:3" x14ac:dyDescent="0.2">
      <c r="C944" s="42"/>
    </row>
    <row r="945" spans="3:3" x14ac:dyDescent="0.2">
      <c r="C945" s="42"/>
    </row>
    <row r="946" spans="3:3" x14ac:dyDescent="0.2">
      <c r="C946" s="42"/>
    </row>
    <row r="947" spans="3:3" x14ac:dyDescent="0.2">
      <c r="C947" s="42"/>
    </row>
    <row r="948" spans="3:3" x14ac:dyDescent="0.2">
      <c r="C948" s="42"/>
    </row>
    <row r="949" spans="3:3" x14ac:dyDescent="0.2">
      <c r="C949" s="42"/>
    </row>
    <row r="950" spans="3:3" x14ac:dyDescent="0.2">
      <c r="C950" s="42"/>
    </row>
    <row r="951" spans="3:3" x14ac:dyDescent="0.2">
      <c r="C951" s="42"/>
    </row>
    <row r="952" spans="3:3" x14ac:dyDescent="0.2">
      <c r="C952" s="42"/>
    </row>
    <row r="953" spans="3:3" x14ac:dyDescent="0.2">
      <c r="C953" s="42"/>
    </row>
    <row r="954" spans="3:3" x14ac:dyDescent="0.2">
      <c r="C954" s="42"/>
    </row>
    <row r="955" spans="3:3" x14ac:dyDescent="0.2">
      <c r="C955" s="42"/>
    </row>
    <row r="956" spans="3:3" x14ac:dyDescent="0.2">
      <c r="C956" s="42"/>
    </row>
    <row r="957" spans="3:3" x14ac:dyDescent="0.2">
      <c r="C957" s="42"/>
    </row>
    <row r="958" spans="3:3" x14ac:dyDescent="0.2">
      <c r="C958" s="42"/>
    </row>
    <row r="959" spans="3:3" x14ac:dyDescent="0.2">
      <c r="C959" s="42"/>
    </row>
    <row r="960" spans="3:3" x14ac:dyDescent="0.2">
      <c r="C960" s="42"/>
    </row>
    <row r="961" spans="3:3" x14ac:dyDescent="0.2">
      <c r="C961" s="42"/>
    </row>
    <row r="962" spans="3:3" x14ac:dyDescent="0.2">
      <c r="C962" s="42"/>
    </row>
    <row r="963" spans="3:3" x14ac:dyDescent="0.2">
      <c r="C963" s="42"/>
    </row>
    <row r="964" spans="3:3" x14ac:dyDescent="0.2">
      <c r="C964" s="42"/>
    </row>
    <row r="965" spans="3:3" x14ac:dyDescent="0.2">
      <c r="C965" s="42"/>
    </row>
    <row r="966" spans="3:3" x14ac:dyDescent="0.2">
      <c r="C966" s="42"/>
    </row>
    <row r="967" spans="3:3" x14ac:dyDescent="0.2">
      <c r="C967" s="42"/>
    </row>
    <row r="968" spans="3:3" x14ac:dyDescent="0.2">
      <c r="C968" s="42"/>
    </row>
    <row r="969" spans="3:3" x14ac:dyDescent="0.2">
      <c r="C969" s="42"/>
    </row>
    <row r="970" spans="3:3" x14ac:dyDescent="0.2">
      <c r="C970" s="42"/>
    </row>
    <row r="971" spans="3:3" x14ac:dyDescent="0.2">
      <c r="C971" s="42"/>
    </row>
    <row r="972" spans="3:3" x14ac:dyDescent="0.2">
      <c r="C972" s="42"/>
    </row>
    <row r="973" spans="3:3" x14ac:dyDescent="0.2">
      <c r="C973" s="42"/>
    </row>
    <row r="974" spans="3:3" x14ac:dyDescent="0.2">
      <c r="C974" s="42"/>
    </row>
    <row r="975" spans="3:3" x14ac:dyDescent="0.2">
      <c r="C975" s="42"/>
    </row>
    <row r="976" spans="3:3" x14ac:dyDescent="0.2">
      <c r="C976" s="42"/>
    </row>
    <row r="977" spans="3:3" x14ac:dyDescent="0.2">
      <c r="C977" s="42"/>
    </row>
    <row r="978" spans="3:3" x14ac:dyDescent="0.2">
      <c r="C978" s="42"/>
    </row>
    <row r="979" spans="3:3" x14ac:dyDescent="0.2">
      <c r="C979" s="42"/>
    </row>
    <row r="980" spans="3:3" x14ac:dyDescent="0.2">
      <c r="C980" s="42"/>
    </row>
    <row r="981" spans="3:3" x14ac:dyDescent="0.2">
      <c r="C981" s="42"/>
    </row>
    <row r="982" spans="3:3" x14ac:dyDescent="0.2">
      <c r="C982" s="42"/>
    </row>
    <row r="983" spans="3:3" x14ac:dyDescent="0.2">
      <c r="C983" s="42"/>
    </row>
    <row r="984" spans="3:3" x14ac:dyDescent="0.2">
      <c r="C984" s="42"/>
    </row>
    <row r="985" spans="3:3" x14ac:dyDescent="0.2">
      <c r="C985" s="42"/>
    </row>
    <row r="986" spans="3:3" x14ac:dyDescent="0.2">
      <c r="C986" s="42"/>
    </row>
    <row r="987" spans="3:3" x14ac:dyDescent="0.2">
      <c r="C987" s="42"/>
    </row>
    <row r="988" spans="3:3" x14ac:dyDescent="0.2">
      <c r="C988" s="42"/>
    </row>
    <row r="989" spans="3:3" x14ac:dyDescent="0.2">
      <c r="C989" s="42"/>
    </row>
    <row r="990" spans="3:3" x14ac:dyDescent="0.2">
      <c r="C990" s="42"/>
    </row>
    <row r="991" spans="3:3" x14ac:dyDescent="0.2">
      <c r="C991" s="42"/>
    </row>
    <row r="992" spans="3:3" x14ac:dyDescent="0.2">
      <c r="C992" s="42"/>
    </row>
    <row r="993" spans="3:3" x14ac:dyDescent="0.2">
      <c r="C993" s="42"/>
    </row>
    <row r="994" spans="3:3" x14ac:dyDescent="0.2">
      <c r="C994" s="42"/>
    </row>
    <row r="995" spans="3:3" x14ac:dyDescent="0.2">
      <c r="C995" s="42"/>
    </row>
    <row r="996" spans="3:3" x14ac:dyDescent="0.2">
      <c r="C996" s="42"/>
    </row>
    <row r="997" spans="3:3" x14ac:dyDescent="0.2">
      <c r="C997" s="42"/>
    </row>
    <row r="998" spans="3:3" x14ac:dyDescent="0.2">
      <c r="C998" s="42"/>
    </row>
    <row r="999" spans="3:3" x14ac:dyDescent="0.2">
      <c r="C999" s="42"/>
    </row>
    <row r="1000" spans="3:3" x14ac:dyDescent="0.2">
      <c r="C1000" s="42"/>
    </row>
    <row r="1001" spans="3:3" x14ac:dyDescent="0.2">
      <c r="C1001" s="42"/>
    </row>
    <row r="1002" spans="3:3" x14ac:dyDescent="0.2">
      <c r="C1002" s="42"/>
    </row>
    <row r="1003" spans="3:3" x14ac:dyDescent="0.2">
      <c r="C1003" s="42"/>
    </row>
    <row r="1004" spans="3:3" x14ac:dyDescent="0.2">
      <c r="C1004" s="42"/>
    </row>
    <row r="1005" spans="3:3" x14ac:dyDescent="0.2">
      <c r="C1005" s="42"/>
    </row>
    <row r="1006" spans="3:3" x14ac:dyDescent="0.2">
      <c r="C1006" s="42"/>
    </row>
    <row r="1007" spans="3:3" x14ac:dyDescent="0.2">
      <c r="C1007" s="42"/>
    </row>
    <row r="1008" spans="3:3" x14ac:dyDescent="0.2">
      <c r="C1008" s="42"/>
    </row>
    <row r="1009" spans="3:3" x14ac:dyDescent="0.2">
      <c r="C1009" s="42"/>
    </row>
    <row r="1010" spans="3:3" x14ac:dyDescent="0.2">
      <c r="C1010" s="42"/>
    </row>
    <row r="1011" spans="3:3" x14ac:dyDescent="0.2">
      <c r="C1011" s="42"/>
    </row>
    <row r="1012" spans="3:3" x14ac:dyDescent="0.2">
      <c r="C1012" s="42"/>
    </row>
    <row r="1013" spans="3:3" x14ac:dyDescent="0.2">
      <c r="C1013" s="42"/>
    </row>
    <row r="1014" spans="3:3" x14ac:dyDescent="0.2">
      <c r="C1014" s="42"/>
    </row>
    <row r="1015" spans="3:3" x14ac:dyDescent="0.2">
      <c r="C1015" s="42"/>
    </row>
    <row r="1016" spans="3:3" x14ac:dyDescent="0.2">
      <c r="C1016" s="42"/>
    </row>
    <row r="1017" spans="3:3" x14ac:dyDescent="0.2">
      <c r="C1017" s="42"/>
    </row>
    <row r="1018" spans="3:3" x14ac:dyDescent="0.2">
      <c r="C1018" s="42"/>
    </row>
    <row r="1019" spans="3:3" x14ac:dyDescent="0.2">
      <c r="C1019" s="42"/>
    </row>
    <row r="1020" spans="3:3" x14ac:dyDescent="0.2">
      <c r="C1020" s="42"/>
    </row>
    <row r="1021" spans="3:3" x14ac:dyDescent="0.2">
      <c r="C1021" s="42"/>
    </row>
    <row r="1022" spans="3:3" x14ac:dyDescent="0.2">
      <c r="C1022" s="42"/>
    </row>
    <row r="1023" spans="3:3" x14ac:dyDescent="0.2">
      <c r="C1023" s="42"/>
    </row>
    <row r="1024" spans="3:3" x14ac:dyDescent="0.2">
      <c r="C1024" s="42"/>
    </row>
    <row r="1025" spans="3:3" x14ac:dyDescent="0.2">
      <c r="C1025" s="42"/>
    </row>
    <row r="1026" spans="3:3" x14ac:dyDescent="0.2">
      <c r="C1026" s="42"/>
    </row>
    <row r="1027" spans="3:3" x14ac:dyDescent="0.2">
      <c r="C1027" s="42"/>
    </row>
    <row r="1028" spans="3:3" x14ac:dyDescent="0.2">
      <c r="C1028" s="42"/>
    </row>
    <row r="1029" spans="3:3" x14ac:dyDescent="0.2">
      <c r="C1029" s="42"/>
    </row>
    <row r="1030" spans="3:3" x14ac:dyDescent="0.2">
      <c r="C1030" s="42"/>
    </row>
    <row r="1031" spans="3:3" x14ac:dyDescent="0.2">
      <c r="C1031" s="42"/>
    </row>
    <row r="1032" spans="3:3" x14ac:dyDescent="0.2">
      <c r="C1032" s="42"/>
    </row>
    <row r="1033" spans="3:3" x14ac:dyDescent="0.2">
      <c r="C1033" s="42"/>
    </row>
    <row r="1034" spans="3:3" x14ac:dyDescent="0.2">
      <c r="C1034" s="42"/>
    </row>
    <row r="1035" spans="3:3" x14ac:dyDescent="0.2">
      <c r="C1035" s="42"/>
    </row>
    <row r="1036" spans="3:3" x14ac:dyDescent="0.2">
      <c r="C1036" s="42"/>
    </row>
    <row r="1037" spans="3:3" x14ac:dyDescent="0.2">
      <c r="C1037" s="42"/>
    </row>
    <row r="1038" spans="3:3" x14ac:dyDescent="0.2">
      <c r="C1038" s="42"/>
    </row>
    <row r="1039" spans="3:3" x14ac:dyDescent="0.2">
      <c r="C1039" s="42"/>
    </row>
    <row r="1040" spans="3:3" x14ac:dyDescent="0.2">
      <c r="C1040" s="42"/>
    </row>
    <row r="1041" spans="3:3" x14ac:dyDescent="0.2">
      <c r="C1041" s="42"/>
    </row>
    <row r="1042" spans="3:3" x14ac:dyDescent="0.2">
      <c r="C1042" s="42"/>
    </row>
    <row r="1043" spans="3:3" x14ac:dyDescent="0.2">
      <c r="C1043" s="42"/>
    </row>
    <row r="1044" spans="3:3" x14ac:dyDescent="0.2">
      <c r="C1044" s="42"/>
    </row>
    <row r="1045" spans="3:3" x14ac:dyDescent="0.2">
      <c r="C1045" s="42"/>
    </row>
    <row r="1046" spans="3:3" x14ac:dyDescent="0.2">
      <c r="C1046" s="42"/>
    </row>
    <row r="1047" spans="3:3" x14ac:dyDescent="0.2">
      <c r="C1047" s="42"/>
    </row>
    <row r="1048" spans="3:3" x14ac:dyDescent="0.2">
      <c r="C1048" s="42"/>
    </row>
    <row r="1049" spans="3:3" x14ac:dyDescent="0.2">
      <c r="C1049" s="42"/>
    </row>
    <row r="1050" spans="3:3" x14ac:dyDescent="0.2">
      <c r="C1050" s="42"/>
    </row>
    <row r="1051" spans="3:3" x14ac:dyDescent="0.2">
      <c r="C1051" s="42"/>
    </row>
    <row r="1052" spans="3:3" x14ac:dyDescent="0.2">
      <c r="C1052" s="42"/>
    </row>
    <row r="1053" spans="3:3" x14ac:dyDescent="0.2">
      <c r="C1053" s="42"/>
    </row>
    <row r="1054" spans="3:3" x14ac:dyDescent="0.2">
      <c r="C1054" s="42"/>
    </row>
    <row r="1055" spans="3:3" x14ac:dyDescent="0.2">
      <c r="C1055" s="42"/>
    </row>
    <row r="1056" spans="3:3" x14ac:dyDescent="0.2">
      <c r="C1056" s="42"/>
    </row>
    <row r="1057" spans="3:3" x14ac:dyDescent="0.2">
      <c r="C1057" s="42"/>
    </row>
    <row r="1058" spans="3:3" x14ac:dyDescent="0.2">
      <c r="C1058" s="42"/>
    </row>
    <row r="1059" spans="3:3" x14ac:dyDescent="0.2">
      <c r="C1059" s="42"/>
    </row>
    <row r="1060" spans="3:3" x14ac:dyDescent="0.2">
      <c r="C1060" s="42"/>
    </row>
    <row r="1061" spans="3:3" x14ac:dyDescent="0.2">
      <c r="C1061" s="42"/>
    </row>
    <row r="1062" spans="3:3" x14ac:dyDescent="0.2">
      <c r="C1062" s="42"/>
    </row>
    <row r="1063" spans="3:3" x14ac:dyDescent="0.2">
      <c r="C1063" s="42"/>
    </row>
    <row r="1064" spans="3:3" x14ac:dyDescent="0.2">
      <c r="C1064" s="42"/>
    </row>
    <row r="1065" spans="3:3" x14ac:dyDescent="0.2">
      <c r="C1065" s="42"/>
    </row>
    <row r="1066" spans="3:3" x14ac:dyDescent="0.2">
      <c r="C1066" s="42"/>
    </row>
    <row r="1067" spans="3:3" x14ac:dyDescent="0.2">
      <c r="C1067" s="42"/>
    </row>
    <row r="1068" spans="3:3" x14ac:dyDescent="0.2">
      <c r="C1068" s="42"/>
    </row>
    <row r="1069" spans="3:3" x14ac:dyDescent="0.2">
      <c r="C1069" s="42"/>
    </row>
    <row r="1070" spans="3:3" x14ac:dyDescent="0.2">
      <c r="C1070" s="42"/>
    </row>
    <row r="1071" spans="3:3" x14ac:dyDescent="0.2">
      <c r="C1071" s="42"/>
    </row>
    <row r="1072" spans="3:3" x14ac:dyDescent="0.2">
      <c r="C1072" s="42"/>
    </row>
    <row r="1073" spans="3:3" x14ac:dyDescent="0.2">
      <c r="C1073" s="42"/>
    </row>
    <row r="1074" spans="3:3" x14ac:dyDescent="0.2">
      <c r="C1074" s="42"/>
    </row>
    <row r="1075" spans="3:3" x14ac:dyDescent="0.2">
      <c r="C1075" s="42"/>
    </row>
    <row r="1076" spans="3:3" x14ac:dyDescent="0.2">
      <c r="C1076" s="42"/>
    </row>
    <row r="1077" spans="3:3" x14ac:dyDescent="0.2">
      <c r="C1077" s="42"/>
    </row>
    <row r="1078" spans="3:3" x14ac:dyDescent="0.2">
      <c r="C1078" s="42"/>
    </row>
    <row r="1079" spans="3:3" x14ac:dyDescent="0.2">
      <c r="C1079" s="42"/>
    </row>
    <row r="1080" spans="3:3" x14ac:dyDescent="0.2">
      <c r="C1080" s="42"/>
    </row>
    <row r="1081" spans="3:3" x14ac:dyDescent="0.2">
      <c r="C1081" s="42"/>
    </row>
    <row r="1082" spans="3:3" x14ac:dyDescent="0.2">
      <c r="C1082" s="42"/>
    </row>
    <row r="1083" spans="3:3" x14ac:dyDescent="0.2">
      <c r="C1083" s="42"/>
    </row>
    <row r="1084" spans="3:3" x14ac:dyDescent="0.2">
      <c r="C1084" s="42"/>
    </row>
    <row r="1085" spans="3:3" x14ac:dyDescent="0.2">
      <c r="C1085" s="42"/>
    </row>
    <row r="1086" spans="3:3" x14ac:dyDescent="0.2">
      <c r="C1086" s="42"/>
    </row>
    <row r="1087" spans="3:3" x14ac:dyDescent="0.2">
      <c r="C1087" s="42"/>
    </row>
    <row r="1088" spans="3:3" x14ac:dyDescent="0.2">
      <c r="C1088" s="42"/>
    </row>
    <row r="1089" spans="3:3" x14ac:dyDescent="0.2">
      <c r="C1089" s="42"/>
    </row>
    <row r="1090" spans="3:3" x14ac:dyDescent="0.2">
      <c r="C1090" s="42"/>
    </row>
    <row r="1091" spans="3:3" x14ac:dyDescent="0.2">
      <c r="C1091" s="42"/>
    </row>
    <row r="1092" spans="3:3" x14ac:dyDescent="0.2">
      <c r="C1092" s="42"/>
    </row>
    <row r="1093" spans="3:3" x14ac:dyDescent="0.2">
      <c r="C1093" s="42"/>
    </row>
    <row r="1094" spans="3:3" x14ac:dyDescent="0.2">
      <c r="C1094" s="42"/>
    </row>
    <row r="1095" spans="3:3" x14ac:dyDescent="0.2">
      <c r="C1095" s="42"/>
    </row>
    <row r="1096" spans="3:3" x14ac:dyDescent="0.2">
      <c r="C1096" s="42"/>
    </row>
    <row r="1097" spans="3:3" x14ac:dyDescent="0.2">
      <c r="C1097" s="42"/>
    </row>
    <row r="1098" spans="3:3" x14ac:dyDescent="0.2">
      <c r="C1098" s="42"/>
    </row>
    <row r="1099" spans="3:3" x14ac:dyDescent="0.2">
      <c r="C1099" s="42"/>
    </row>
    <row r="1100" spans="3:3" x14ac:dyDescent="0.2">
      <c r="C1100" s="42"/>
    </row>
    <row r="1101" spans="3:3" x14ac:dyDescent="0.2">
      <c r="C1101" s="42"/>
    </row>
    <row r="1102" spans="3:3" x14ac:dyDescent="0.2">
      <c r="C1102" s="42"/>
    </row>
    <row r="1103" spans="3:3" x14ac:dyDescent="0.2">
      <c r="C1103" s="42"/>
    </row>
    <row r="1104" spans="3:3" x14ac:dyDescent="0.2">
      <c r="C1104" s="42"/>
    </row>
    <row r="1105" spans="3:3" x14ac:dyDescent="0.2">
      <c r="C1105" s="42"/>
    </row>
    <row r="1106" spans="3:3" x14ac:dyDescent="0.2">
      <c r="C1106" s="42"/>
    </row>
    <row r="1107" spans="3:3" x14ac:dyDescent="0.2">
      <c r="C1107" s="42"/>
    </row>
    <row r="1108" spans="3:3" x14ac:dyDescent="0.2">
      <c r="C1108" s="42"/>
    </row>
    <row r="1109" spans="3:3" x14ac:dyDescent="0.2">
      <c r="C1109" s="42"/>
    </row>
    <row r="1110" spans="3:3" x14ac:dyDescent="0.2">
      <c r="C1110" s="42"/>
    </row>
    <row r="1111" spans="3:3" x14ac:dyDescent="0.2">
      <c r="C1111" s="42"/>
    </row>
    <row r="1112" spans="3:3" x14ac:dyDescent="0.2">
      <c r="C1112" s="42"/>
    </row>
    <row r="1113" spans="3:3" x14ac:dyDescent="0.2">
      <c r="C1113" s="42"/>
    </row>
    <row r="1114" spans="3:3" x14ac:dyDescent="0.2">
      <c r="C1114" s="42"/>
    </row>
    <row r="1115" spans="3:3" x14ac:dyDescent="0.2">
      <c r="C1115" s="42"/>
    </row>
    <row r="1116" spans="3:3" x14ac:dyDescent="0.2">
      <c r="C1116" s="42"/>
    </row>
    <row r="1117" spans="3:3" x14ac:dyDescent="0.2">
      <c r="C1117" s="42"/>
    </row>
    <row r="1118" spans="3:3" x14ac:dyDescent="0.2">
      <c r="C1118" s="42"/>
    </row>
    <row r="1119" spans="3:3" x14ac:dyDescent="0.2">
      <c r="C1119" s="42"/>
    </row>
    <row r="1120" spans="3:3" x14ac:dyDescent="0.2">
      <c r="C1120" s="42"/>
    </row>
    <row r="1121" spans="3:3" x14ac:dyDescent="0.2">
      <c r="C1121" s="42"/>
    </row>
    <row r="1122" spans="3:3" x14ac:dyDescent="0.2">
      <c r="C1122" s="42"/>
    </row>
  </sheetData>
  <conditionalFormatting sqref="A1:A1048576">
    <cfRule type="duplicateValues" dxfId="39" priority="24"/>
  </conditionalFormatting>
  <conditionalFormatting sqref="A88:A114">
    <cfRule type="duplicateValues" dxfId="38" priority="26"/>
    <cfRule type="duplicateValues" dxfId="37" priority="25"/>
  </conditionalFormatting>
  <conditionalFormatting sqref="A115:A1048576 A1:A87">
    <cfRule type="duplicateValues" dxfId="36" priority="27"/>
  </conditionalFormatting>
  <conditionalFormatting sqref="A202:A236">
    <cfRule type="duplicateValues" dxfId="35" priority="29"/>
    <cfRule type="duplicateValues" dxfId="34" priority="28"/>
  </conditionalFormatting>
  <conditionalFormatting sqref="A237:A1048576 A1">
    <cfRule type="duplicateValues" dxfId="33" priority="32"/>
  </conditionalFormatting>
  <conditionalFormatting sqref="A237:A1048576 A1:A19">
    <cfRule type="duplicateValues" dxfId="32" priority="31"/>
  </conditionalFormatting>
  <conditionalFormatting sqref="A237:A1048576 A1:A42">
    <cfRule type="duplicateValues" dxfId="31" priority="30"/>
  </conditionalFormatting>
  <conditionalFormatting sqref="A237:A1048576">
    <cfRule type="duplicateValues" dxfId="30" priority="36"/>
    <cfRule type="duplicateValues" dxfId="29" priority="35"/>
    <cfRule type="duplicateValues" dxfId="28" priority="34"/>
    <cfRule type="duplicateValues" dxfId="27" priority="33"/>
  </conditionalFormatting>
  <conditionalFormatting sqref="B1"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</conditionalFormatting>
  <conditionalFormatting sqref="B1:B1048576">
    <cfRule type="duplicateValues" dxfId="21" priority="4"/>
  </conditionalFormatting>
  <conditionalFormatting sqref="B3:B5">
    <cfRule type="duplicateValues" dxfId="20" priority="19"/>
    <cfRule type="duplicateValues" dxfId="19" priority="20"/>
  </conditionalFormatting>
  <conditionalFormatting sqref="B73:B99">
    <cfRule type="duplicateValues" dxfId="18" priority="6"/>
    <cfRule type="duplicateValues" dxfId="17" priority="5"/>
  </conditionalFormatting>
  <conditionalFormatting sqref="B100:B1048576 B1:B72">
    <cfRule type="duplicateValues" dxfId="16" priority="7"/>
  </conditionalFormatting>
  <conditionalFormatting sqref="B199:B233">
    <cfRule type="duplicateValues" dxfId="15" priority="9"/>
    <cfRule type="duplicateValues" dxfId="14" priority="8"/>
  </conditionalFormatting>
  <conditionalFormatting sqref="B234:B1048576 B1:B22">
    <cfRule type="duplicateValues" dxfId="13" priority="11"/>
  </conditionalFormatting>
  <conditionalFormatting sqref="B234:B1048576 B1:B39">
    <cfRule type="duplicateValues" dxfId="12" priority="10"/>
  </conditionalFormatting>
  <conditionalFormatting sqref="B234:B1048576 B2">
    <cfRule type="duplicateValues" dxfId="11" priority="21"/>
  </conditionalFormatting>
  <conditionalFormatting sqref="B234:B1048576 B2:B5">
    <cfRule type="duplicateValues" dxfId="10" priority="18"/>
  </conditionalFormatting>
  <conditionalFormatting sqref="B234:B1048576">
    <cfRule type="duplicateValues" dxfId="9" priority="22"/>
    <cfRule type="duplicateValues" dxfId="8" priority="23"/>
    <cfRule type="duplicateValues" dxfId="7" priority="17"/>
  </conditionalFormatting>
  <conditionalFormatting sqref="H23:H1048576 H2">
    <cfRule type="duplicateValues" dxfId="6" priority="3"/>
  </conditionalFormatting>
  <conditionalFormatting sqref="I4:I1048576 I2">
    <cfRule type="duplicateValues" dxfId="5" priority="2"/>
  </conditionalFormatting>
  <conditionalFormatting sqref="J37:J1048576 H3:H22 J2">
    <cfRule type="duplicateValues" dxfId="4" priority="37"/>
  </conditionalFormatting>
  <conditionalFormatting sqref="K18:K1048576 I3 K2">
    <cfRule type="duplicateValues" dxfId="3" priority="38"/>
  </conditionalFormatting>
  <conditionalFormatting sqref="L37:L1048576 J3:J36 L2">
    <cfRule type="duplicateValues" dxfId="2" priority="1"/>
  </conditionalFormatting>
  <conditionalFormatting sqref="M37:M1048576 K3:K17 M2">
    <cfRule type="duplicateValues" dxfId="1" priority="39"/>
  </conditionalFormatting>
  <conditionalFormatting sqref="N72:N1048576 L3:L33 N2">
    <cfRule type="duplicateValues" dxfId="0" priority="40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DDF5-9B58-C74C-870F-889F021A2ED1}">
  <dimension ref="A1:Y3865"/>
  <sheetViews>
    <sheetView topLeftCell="B1" workbookViewId="0">
      <pane ySplit="1" topLeftCell="A3586" activePane="bottomLeft" state="frozen"/>
      <selection pane="bottomLeft" activeCell="M3606" sqref="M3606"/>
    </sheetView>
  </sheetViews>
  <sheetFormatPr baseColWidth="10" defaultRowHeight="16" x14ac:dyDescent="0.2"/>
  <sheetData>
    <row r="1" spans="1:2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 t="s">
        <v>26</v>
      </c>
      <c r="C2" t="s">
        <v>14163</v>
      </c>
      <c r="D2" t="s">
        <v>27</v>
      </c>
      <c r="E2" t="s">
        <v>26</v>
      </c>
      <c r="F2" t="s">
        <v>28</v>
      </c>
      <c r="G2" t="s">
        <v>26</v>
      </c>
      <c r="H2" t="str">
        <f>"Y62E10A.13"</f>
        <v>Y62E10A.13</v>
      </c>
      <c r="I2" t="s">
        <v>27</v>
      </c>
      <c r="J2" t="s">
        <v>29</v>
      </c>
      <c r="K2" t="s">
        <v>29</v>
      </c>
      <c r="L2" t="s">
        <v>29</v>
      </c>
      <c r="M2">
        <v>13.4964912441952</v>
      </c>
      <c r="N2">
        <v>13.8279005601467</v>
      </c>
      <c r="O2">
        <v>12.9812132938714</v>
      </c>
      <c r="P2" t="s">
        <v>29</v>
      </c>
      <c r="Q2" t="s">
        <v>29</v>
      </c>
      <c r="R2" t="s">
        <v>29</v>
      </c>
      <c r="S2">
        <v>13.4076224643969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</row>
    <row r="3" spans="1:25" x14ac:dyDescent="0.2">
      <c r="A3" t="s">
        <v>30</v>
      </c>
      <c r="B3" t="s">
        <v>31</v>
      </c>
      <c r="C3" t="s">
        <v>32</v>
      </c>
      <c r="D3" t="s">
        <v>33</v>
      </c>
      <c r="E3" t="s">
        <v>31</v>
      </c>
      <c r="F3" t="s">
        <v>28</v>
      </c>
      <c r="G3" t="s">
        <v>31</v>
      </c>
      <c r="H3" t="str">
        <f>"pezo-1"</f>
        <v>pezo-1</v>
      </c>
      <c r="I3" t="s">
        <v>33</v>
      </c>
      <c r="J3">
        <v>13.282996593715801</v>
      </c>
      <c r="K3">
        <v>12.865895743721699</v>
      </c>
      <c r="L3">
        <v>12.4526999150845</v>
      </c>
      <c r="M3">
        <v>12.6201261241506</v>
      </c>
      <c r="N3">
        <v>12.837357864123501</v>
      </c>
      <c r="O3">
        <v>12.709058139800799</v>
      </c>
      <c r="P3">
        <v>-0.14501670814906101</v>
      </c>
      <c r="Q3">
        <v>-0.80869421951153397</v>
      </c>
      <c r="R3">
        <v>0.51866080321341101</v>
      </c>
      <c r="S3">
        <v>12.930511805078099</v>
      </c>
      <c r="T3">
        <v>-0.461222997318392</v>
      </c>
      <c r="U3">
        <v>-6.7716953936915898</v>
      </c>
      <c r="V3">
        <v>0.65052088256352503</v>
      </c>
      <c r="W3">
        <v>0.98133847635541405</v>
      </c>
      <c r="X3">
        <v>0</v>
      </c>
      <c r="Y3">
        <v>0</v>
      </c>
    </row>
    <row r="4" spans="1:25" x14ac:dyDescent="0.2">
      <c r="A4" t="s">
        <v>34</v>
      </c>
      <c r="B4" t="s">
        <v>35</v>
      </c>
      <c r="C4" t="s">
        <v>36</v>
      </c>
      <c r="D4" t="s">
        <v>37</v>
      </c>
      <c r="E4" t="s">
        <v>35</v>
      </c>
      <c r="F4" t="s">
        <v>28</v>
      </c>
      <c r="G4" t="s">
        <v>35</v>
      </c>
      <c r="H4" t="str">
        <f>"ath-1"</f>
        <v>ath-1</v>
      </c>
      <c r="I4" t="s">
        <v>37</v>
      </c>
      <c r="J4">
        <v>12.7095298953362</v>
      </c>
      <c r="K4">
        <v>12.7652658658606</v>
      </c>
      <c r="L4">
        <v>12.939357715113999</v>
      </c>
      <c r="M4">
        <v>11.668148990746401</v>
      </c>
      <c r="N4">
        <v>12.4947382961728</v>
      </c>
      <c r="O4">
        <v>12.8532058560601</v>
      </c>
      <c r="P4">
        <v>-0.46602011111052</v>
      </c>
      <c r="Q4">
        <v>-1.1107195879942799</v>
      </c>
      <c r="R4">
        <v>0.178679365773242</v>
      </c>
      <c r="S4">
        <v>12.551815261980799</v>
      </c>
      <c r="T4">
        <v>-1.5416612168168999</v>
      </c>
      <c r="U4">
        <v>-5.7189655586764303</v>
      </c>
      <c r="V4">
        <v>0.14413022669366099</v>
      </c>
      <c r="W4">
        <v>0.73463339032441799</v>
      </c>
      <c r="X4">
        <v>0</v>
      </c>
      <c r="Y4">
        <v>0</v>
      </c>
    </row>
    <row r="5" spans="1:25" x14ac:dyDescent="0.2">
      <c r="A5" t="s">
        <v>38</v>
      </c>
      <c r="B5" t="s">
        <v>39</v>
      </c>
      <c r="C5" t="s">
        <v>40</v>
      </c>
      <c r="D5" t="s">
        <v>41</v>
      </c>
      <c r="E5" t="s">
        <v>39</v>
      </c>
      <c r="F5" t="s">
        <v>28</v>
      </c>
      <c r="G5" t="s">
        <v>39</v>
      </c>
      <c r="H5" t="str">
        <f>"dip-2"</f>
        <v>dip-2</v>
      </c>
      <c r="I5" t="s">
        <v>41</v>
      </c>
      <c r="J5">
        <v>13.1984248096933</v>
      </c>
      <c r="K5">
        <v>13.4672348236471</v>
      </c>
      <c r="L5">
        <v>12.804513000497799</v>
      </c>
      <c r="M5">
        <v>13.301667751541901</v>
      </c>
      <c r="N5">
        <v>13.375084259065201</v>
      </c>
      <c r="O5">
        <v>13.1135457898637</v>
      </c>
      <c r="P5">
        <v>0.106708388877554</v>
      </c>
      <c r="Q5">
        <v>-0.43180454633496801</v>
      </c>
      <c r="R5">
        <v>0.64522132409007504</v>
      </c>
      <c r="S5">
        <v>13.392078524361899</v>
      </c>
      <c r="T5">
        <v>0.42029280271298702</v>
      </c>
      <c r="U5">
        <v>-6.7900954932151203</v>
      </c>
      <c r="V5">
        <v>0.67989831758671204</v>
      </c>
      <c r="W5">
        <v>0.98642420921484297</v>
      </c>
      <c r="X5">
        <v>0</v>
      </c>
      <c r="Y5">
        <v>0</v>
      </c>
    </row>
    <row r="6" spans="1:25" x14ac:dyDescent="0.2">
      <c r="A6" t="s">
        <v>42</v>
      </c>
      <c r="B6" t="s">
        <v>43</v>
      </c>
      <c r="C6" t="s">
        <v>44</v>
      </c>
      <c r="D6" t="s">
        <v>45</v>
      </c>
      <c r="E6" t="s">
        <v>43</v>
      </c>
      <c r="F6" t="s">
        <v>28</v>
      </c>
      <c r="G6" t="s">
        <v>43</v>
      </c>
      <c r="H6" t="str">
        <f>"kdin-1"</f>
        <v>kdin-1</v>
      </c>
      <c r="I6" t="s">
        <v>45</v>
      </c>
      <c r="J6">
        <v>11.9682145512107</v>
      </c>
      <c r="K6">
        <v>11.9708624839687</v>
      </c>
      <c r="L6">
        <v>12.199884482952401</v>
      </c>
      <c r="M6">
        <v>12.007054278819499</v>
      </c>
      <c r="N6">
        <v>12.607251328710101</v>
      </c>
      <c r="O6">
        <v>11.682449131634099</v>
      </c>
      <c r="P6">
        <v>5.25977403439786E-2</v>
      </c>
      <c r="Q6">
        <v>-0.56769730023465903</v>
      </c>
      <c r="R6">
        <v>0.67289278092261595</v>
      </c>
      <c r="S6">
        <v>12.4332348517468</v>
      </c>
      <c r="T6">
        <v>0.17898588813820601</v>
      </c>
      <c r="U6">
        <v>-6.8657144805339101</v>
      </c>
      <c r="V6">
        <v>0.86007765131089597</v>
      </c>
      <c r="W6">
        <v>0.99370971747667503</v>
      </c>
      <c r="X6">
        <v>0</v>
      </c>
      <c r="Y6">
        <v>0</v>
      </c>
    </row>
    <row r="7" spans="1:25" x14ac:dyDescent="0.2">
      <c r="A7" t="s">
        <v>46</v>
      </c>
      <c r="B7" t="s">
        <v>47</v>
      </c>
      <c r="C7" t="s">
        <v>48</v>
      </c>
      <c r="D7" t="s">
        <v>49</v>
      </c>
      <c r="E7" t="s">
        <v>47</v>
      </c>
      <c r="F7" t="s">
        <v>28</v>
      </c>
      <c r="G7" t="s">
        <v>47</v>
      </c>
      <c r="H7" t="str">
        <f>"ugt-21"</f>
        <v>ugt-21</v>
      </c>
      <c r="I7" t="s">
        <v>49</v>
      </c>
      <c r="J7">
        <v>12.4211393675922</v>
      </c>
      <c r="K7">
        <v>12.1908356078187</v>
      </c>
      <c r="L7">
        <v>12.4189816583633</v>
      </c>
      <c r="M7">
        <v>12.1611840685093</v>
      </c>
      <c r="N7">
        <v>12.6898293882234</v>
      </c>
      <c r="O7">
        <v>12.518355392559601</v>
      </c>
      <c r="P7">
        <v>0.112804071839328</v>
      </c>
      <c r="Q7">
        <v>-0.32143975710828698</v>
      </c>
      <c r="R7">
        <v>0.54704790078694299</v>
      </c>
      <c r="S7">
        <v>12.2130979798164</v>
      </c>
      <c r="T7">
        <v>0.54832889746636904</v>
      </c>
      <c r="U7">
        <v>-6.7263008798474297</v>
      </c>
      <c r="V7">
        <v>0.59063865816139005</v>
      </c>
      <c r="W7">
        <v>0.96347128208895305</v>
      </c>
      <c r="X7">
        <v>0</v>
      </c>
      <c r="Y7">
        <v>0</v>
      </c>
    </row>
    <row r="8" spans="1:25" x14ac:dyDescent="0.2">
      <c r="A8" t="s">
        <v>50</v>
      </c>
      <c r="B8" t="s">
        <v>51</v>
      </c>
      <c r="C8" t="s">
        <v>14184</v>
      </c>
      <c r="D8" t="s">
        <v>52</v>
      </c>
      <c r="E8" t="s">
        <v>51</v>
      </c>
      <c r="F8" t="s">
        <v>28</v>
      </c>
      <c r="G8" t="s">
        <v>51</v>
      </c>
      <c r="H8" t="str">
        <f>"F10C1.9"</f>
        <v>F10C1.9</v>
      </c>
      <c r="I8" t="s">
        <v>52</v>
      </c>
      <c r="J8" t="s">
        <v>29</v>
      </c>
      <c r="K8" t="s">
        <v>29</v>
      </c>
      <c r="L8">
        <v>10.503052522668201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>
        <v>11.696607796670699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</row>
    <row r="9" spans="1:25" x14ac:dyDescent="0.2">
      <c r="A9" t="s">
        <v>53</v>
      </c>
      <c r="B9" t="s">
        <v>54</v>
      </c>
      <c r="C9" t="s">
        <v>14185</v>
      </c>
      <c r="D9" t="s">
        <v>55</v>
      </c>
      <c r="E9" t="s">
        <v>54</v>
      </c>
      <c r="F9" t="s">
        <v>28</v>
      </c>
      <c r="G9" t="s">
        <v>54</v>
      </c>
      <c r="H9" t="str">
        <f>"Y105E8A.25"</f>
        <v>Y105E8A.25</v>
      </c>
      <c r="I9" t="s">
        <v>55</v>
      </c>
      <c r="J9">
        <v>11.2682112146897</v>
      </c>
      <c r="K9">
        <v>11.446953549600501</v>
      </c>
      <c r="L9">
        <v>11.340464839810901</v>
      </c>
      <c r="M9">
        <v>11.4836969401708</v>
      </c>
      <c r="N9">
        <v>11.9978326570285</v>
      </c>
      <c r="O9">
        <v>11.6821841822559</v>
      </c>
      <c r="P9">
        <v>0.36936139178474803</v>
      </c>
      <c r="Q9">
        <v>-0.12832401815887901</v>
      </c>
      <c r="R9">
        <v>0.86704680172837501</v>
      </c>
      <c r="S9">
        <v>11.7704436333134</v>
      </c>
      <c r="T9">
        <v>1.57415001767841</v>
      </c>
      <c r="U9">
        <v>-5.6722249918914098</v>
      </c>
      <c r="V9">
        <v>0.135144298566726</v>
      </c>
      <c r="W9">
        <v>0.72544466191224499</v>
      </c>
      <c r="X9">
        <v>0</v>
      </c>
      <c r="Y9">
        <v>0</v>
      </c>
    </row>
    <row r="10" spans="1:25" x14ac:dyDescent="0.2">
      <c r="A10" t="s">
        <v>56</v>
      </c>
      <c r="B10" t="s">
        <v>57</v>
      </c>
      <c r="C10" t="s">
        <v>58</v>
      </c>
      <c r="D10" t="s">
        <v>59</v>
      </c>
      <c r="E10" t="s">
        <v>57</v>
      </c>
      <c r="F10" t="s">
        <v>28</v>
      </c>
      <c r="G10" t="s">
        <v>57</v>
      </c>
      <c r="H10" t="str">
        <f>"pgp-2"</f>
        <v>pgp-2</v>
      </c>
      <c r="I10" t="s">
        <v>59</v>
      </c>
      <c r="J10">
        <v>13.1654671292203</v>
      </c>
      <c r="K10">
        <v>13.4306250780376</v>
      </c>
      <c r="L10">
        <v>12.560630204745699</v>
      </c>
      <c r="M10">
        <v>13.4253803059269</v>
      </c>
      <c r="N10">
        <v>13.041986428872899</v>
      </c>
      <c r="O10">
        <v>13.380528644935501</v>
      </c>
      <c r="P10">
        <v>0.23039098924388701</v>
      </c>
      <c r="Q10">
        <v>-0.29185867159449602</v>
      </c>
      <c r="R10">
        <v>0.75264065008226899</v>
      </c>
      <c r="S10">
        <v>13.0842276840166</v>
      </c>
      <c r="T10">
        <v>0.93118792573585496</v>
      </c>
      <c r="U10">
        <v>-6.4394012248681101</v>
      </c>
      <c r="V10">
        <v>0.36487253662438801</v>
      </c>
      <c r="W10">
        <v>0.888292466632014</v>
      </c>
      <c r="X10">
        <v>0</v>
      </c>
      <c r="Y10">
        <v>0</v>
      </c>
    </row>
    <row r="11" spans="1:25" x14ac:dyDescent="0.2">
      <c r="A11" t="s">
        <v>60</v>
      </c>
      <c r="B11" t="s">
        <v>61</v>
      </c>
      <c r="C11" t="s">
        <v>62</v>
      </c>
      <c r="D11" t="s">
        <v>63</v>
      </c>
      <c r="E11" t="s">
        <v>61</v>
      </c>
      <c r="F11" t="s">
        <v>28</v>
      </c>
      <c r="G11" t="s">
        <v>61</v>
      </c>
      <c r="H11" t="str">
        <f>"B0432.7"</f>
        <v>B0432.7</v>
      </c>
      <c r="I11" t="s">
        <v>63</v>
      </c>
      <c r="J11" t="s">
        <v>29</v>
      </c>
      <c r="K11" t="s">
        <v>29</v>
      </c>
      <c r="L11" t="s">
        <v>29</v>
      </c>
      <c r="M11" t="s">
        <v>29</v>
      </c>
      <c r="N11">
        <v>11.3985711985649</v>
      </c>
      <c r="O11" t="s">
        <v>29</v>
      </c>
      <c r="P11" t="s">
        <v>29</v>
      </c>
      <c r="Q11" t="s">
        <v>29</v>
      </c>
      <c r="R11" t="s">
        <v>29</v>
      </c>
      <c r="S11">
        <v>11.517497028117401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</row>
    <row r="12" spans="1:25" x14ac:dyDescent="0.2">
      <c r="A12" t="s">
        <v>64</v>
      </c>
      <c r="B12" t="s">
        <v>65</v>
      </c>
      <c r="C12" t="s">
        <v>14186</v>
      </c>
      <c r="D12" t="s">
        <v>66</v>
      </c>
      <c r="E12" t="s">
        <v>65</v>
      </c>
      <c r="F12" t="s">
        <v>28</v>
      </c>
      <c r="G12" t="s">
        <v>65</v>
      </c>
      <c r="H12" t="str">
        <f>"F22G12.5"</f>
        <v>F22G12.5</v>
      </c>
      <c r="I12" t="s">
        <v>66</v>
      </c>
      <c r="J12">
        <v>12.704864816668101</v>
      </c>
      <c r="K12">
        <v>12.507767575927</v>
      </c>
      <c r="L12">
        <v>12.482655631378501</v>
      </c>
      <c r="M12">
        <v>12.1093025408776</v>
      </c>
      <c r="N12">
        <v>12.559127424482</v>
      </c>
      <c r="O12">
        <v>12.7433904237043</v>
      </c>
      <c r="P12">
        <v>-9.4489211636579598E-2</v>
      </c>
      <c r="Q12">
        <v>-0.54405212195438701</v>
      </c>
      <c r="R12">
        <v>0.35507369868122801</v>
      </c>
      <c r="S12">
        <v>12.5139599658243</v>
      </c>
      <c r="T12">
        <v>-0.44365130631953698</v>
      </c>
      <c r="U12">
        <v>-6.7799283992317996</v>
      </c>
      <c r="V12">
        <v>0.66292393661553195</v>
      </c>
      <c r="W12">
        <v>0.98403695854437601</v>
      </c>
      <c r="X12">
        <v>0</v>
      </c>
      <c r="Y12">
        <v>0</v>
      </c>
    </row>
    <row r="13" spans="1:25" x14ac:dyDescent="0.2">
      <c r="A13" t="s">
        <v>67</v>
      </c>
      <c r="B13" t="s">
        <v>68</v>
      </c>
      <c r="C13" t="s">
        <v>14187</v>
      </c>
      <c r="D13" t="s">
        <v>69</v>
      </c>
      <c r="E13" t="s">
        <v>68</v>
      </c>
      <c r="F13" t="s">
        <v>28</v>
      </c>
      <c r="G13" t="s">
        <v>68</v>
      </c>
      <c r="H13" t="str">
        <f>"Y50D4B.1"</f>
        <v>Y50D4B.1</v>
      </c>
      <c r="I13" t="s">
        <v>69</v>
      </c>
      <c r="J13" t="s">
        <v>29</v>
      </c>
      <c r="K13">
        <v>11.912920480102001</v>
      </c>
      <c r="L13">
        <v>11.681123694574101</v>
      </c>
      <c r="M13">
        <v>11.367185466301001</v>
      </c>
      <c r="N13" t="s">
        <v>29</v>
      </c>
      <c r="O13">
        <v>13.2047121903578</v>
      </c>
      <c r="P13">
        <v>0.48892674099137801</v>
      </c>
      <c r="Q13">
        <v>-1.0925632439280799</v>
      </c>
      <c r="R13">
        <v>2.0704167259108401</v>
      </c>
      <c r="S13">
        <v>12.122025394299101</v>
      </c>
      <c r="T13">
        <v>0.65935446384872598</v>
      </c>
      <c r="U13">
        <v>-6.4572484319221699</v>
      </c>
      <c r="V13">
        <v>0.51973290078161605</v>
      </c>
      <c r="W13">
        <v>0.94227592550871997</v>
      </c>
      <c r="X13">
        <v>0</v>
      </c>
      <c r="Y13">
        <v>0</v>
      </c>
    </row>
    <row r="14" spans="1:25" x14ac:dyDescent="0.2">
      <c r="A14" t="s">
        <v>70</v>
      </c>
      <c r="B14" t="s">
        <v>71</v>
      </c>
      <c r="C14" t="s">
        <v>72</v>
      </c>
      <c r="D14" t="s">
        <v>73</v>
      </c>
      <c r="E14" t="s">
        <v>71</v>
      </c>
      <c r="F14" t="s">
        <v>28</v>
      </c>
      <c r="G14" t="s">
        <v>71</v>
      </c>
      <c r="H14" t="str">
        <f>"fbxa-72"</f>
        <v>fbxa-72</v>
      </c>
      <c r="I14" t="s">
        <v>73</v>
      </c>
      <c r="J14">
        <v>14.859290241560799</v>
      </c>
      <c r="K14">
        <v>15.0396959144314</v>
      </c>
      <c r="L14">
        <v>14.5074316901436</v>
      </c>
      <c r="M14">
        <v>14.8160105801408</v>
      </c>
      <c r="N14">
        <v>14.9161329490281</v>
      </c>
      <c r="O14">
        <v>14.747407872484899</v>
      </c>
      <c r="P14">
        <v>2.4377851839304299E-2</v>
      </c>
      <c r="Q14">
        <v>-1.0602602173210001</v>
      </c>
      <c r="R14">
        <v>1.10901592099961</v>
      </c>
      <c r="S14">
        <v>14.298591870548201</v>
      </c>
      <c r="T14">
        <v>4.7239261862147199E-2</v>
      </c>
      <c r="U14">
        <v>-6.8813236682775099</v>
      </c>
      <c r="V14">
        <v>0.96284574524308697</v>
      </c>
      <c r="W14">
        <v>0.99968702248720698</v>
      </c>
      <c r="X14">
        <v>0</v>
      </c>
      <c r="Y14">
        <v>0</v>
      </c>
    </row>
    <row r="15" spans="1:25" x14ac:dyDescent="0.2">
      <c r="A15" t="s">
        <v>74</v>
      </c>
      <c r="B15" t="s">
        <v>75</v>
      </c>
      <c r="C15" t="s">
        <v>76</v>
      </c>
      <c r="D15" t="s">
        <v>77</v>
      </c>
      <c r="E15" t="s">
        <v>75</v>
      </c>
      <c r="F15" t="s">
        <v>28</v>
      </c>
      <c r="G15" t="s">
        <v>75</v>
      </c>
      <c r="H15" t="str">
        <f>"itsn-1"</f>
        <v>itsn-1</v>
      </c>
      <c r="I15" t="s">
        <v>77</v>
      </c>
      <c r="J15">
        <v>10.436166300737099</v>
      </c>
      <c r="K15">
        <v>12.007443924763299</v>
      </c>
      <c r="L15">
        <v>10.395857267852501</v>
      </c>
      <c r="M15">
        <v>12.6747674609162</v>
      </c>
      <c r="N15">
        <v>12.9758434706985</v>
      </c>
      <c r="O15">
        <v>12.4717948164452</v>
      </c>
      <c r="P15">
        <v>1.7609794182356799</v>
      </c>
      <c r="Q15">
        <v>0.86465086828328996</v>
      </c>
      <c r="R15">
        <v>2.6573079681880598</v>
      </c>
      <c r="S15">
        <v>12.8145163722891</v>
      </c>
      <c r="T15">
        <v>4.1470289144161798</v>
      </c>
      <c r="U15">
        <v>-0.694117195976516</v>
      </c>
      <c r="V15">
        <v>6.8255356961940397E-4</v>
      </c>
      <c r="W15">
        <v>2.3417920409210102E-2</v>
      </c>
      <c r="X15">
        <v>1</v>
      </c>
      <c r="Y15">
        <v>1</v>
      </c>
    </row>
    <row r="16" spans="1:25" x14ac:dyDescent="0.2">
      <c r="A16" t="s">
        <v>78</v>
      </c>
      <c r="B16" t="s">
        <v>79</v>
      </c>
      <c r="C16" t="s">
        <v>80</v>
      </c>
      <c r="D16" t="s">
        <v>81</v>
      </c>
      <c r="E16" t="s">
        <v>79</v>
      </c>
      <c r="F16" t="s">
        <v>28</v>
      </c>
      <c r="G16" t="s">
        <v>79</v>
      </c>
      <c r="H16" t="str">
        <f>"imp-3"</f>
        <v>imp-3</v>
      </c>
      <c r="I16" t="s">
        <v>81</v>
      </c>
      <c r="J16">
        <v>13.162868108464201</v>
      </c>
      <c r="K16">
        <v>12.481849879755201</v>
      </c>
      <c r="L16">
        <v>12.4149036675209</v>
      </c>
      <c r="M16">
        <v>13.424287819526601</v>
      </c>
      <c r="N16">
        <v>13.3028745218294</v>
      </c>
      <c r="O16">
        <v>13.489443686982399</v>
      </c>
      <c r="P16">
        <v>0.71899479086604901</v>
      </c>
      <c r="Q16">
        <v>-4.2110009740965897E-2</v>
      </c>
      <c r="R16">
        <v>1.4800995914730599</v>
      </c>
      <c r="S16">
        <v>12.4496958019367</v>
      </c>
      <c r="T16">
        <v>1.99402819969474</v>
      </c>
      <c r="U16">
        <v>-5.0131166925905903</v>
      </c>
      <c r="V16">
        <v>6.2546129924153093E-2</v>
      </c>
      <c r="W16">
        <v>0.53705942841316601</v>
      </c>
      <c r="X16">
        <v>0</v>
      </c>
      <c r="Y16">
        <v>0</v>
      </c>
    </row>
    <row r="17" spans="1:25" x14ac:dyDescent="0.2">
      <c r="A17" t="s">
        <v>82</v>
      </c>
      <c r="B17" t="s">
        <v>83</v>
      </c>
      <c r="C17" t="s">
        <v>84</v>
      </c>
      <c r="D17" t="s">
        <v>85</v>
      </c>
      <c r="E17" t="s">
        <v>83</v>
      </c>
      <c r="F17" t="s">
        <v>28</v>
      </c>
      <c r="G17" t="s">
        <v>83</v>
      </c>
      <c r="H17" t="str">
        <f>"picd-1"</f>
        <v>picd-1</v>
      </c>
      <c r="I17" t="s">
        <v>85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>
        <v>9.2892493477924205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</row>
    <row r="18" spans="1:25" x14ac:dyDescent="0.2">
      <c r="A18" t="s">
        <v>86</v>
      </c>
      <c r="B18" t="s">
        <v>87</v>
      </c>
      <c r="C18" t="s">
        <v>88</v>
      </c>
      <c r="D18" t="s">
        <v>89</v>
      </c>
      <c r="E18" t="s">
        <v>87</v>
      </c>
      <c r="F18" t="s">
        <v>28</v>
      </c>
      <c r="G18" t="s">
        <v>87</v>
      </c>
      <c r="H18" t="str">
        <f>"prdx-2"</f>
        <v>prdx-2</v>
      </c>
      <c r="I18" t="s">
        <v>89</v>
      </c>
      <c r="J18">
        <v>15.0014972762035</v>
      </c>
      <c r="K18">
        <v>14.877990213328401</v>
      </c>
      <c r="L18">
        <v>15.334473720984899</v>
      </c>
      <c r="M18">
        <v>16.713244711264299</v>
      </c>
      <c r="N18">
        <v>16.368808622136701</v>
      </c>
      <c r="O18">
        <v>16.561815849644098</v>
      </c>
      <c r="P18">
        <v>1.47663599084273</v>
      </c>
      <c r="Q18">
        <v>0.91735334750934505</v>
      </c>
      <c r="R18">
        <v>2.0359186341761202</v>
      </c>
      <c r="S18">
        <v>16.246699711095602</v>
      </c>
      <c r="T18">
        <v>5.5492542193872296</v>
      </c>
      <c r="U18">
        <v>2.4077382635938198</v>
      </c>
      <c r="V18" s="2">
        <v>2.9346286504653701E-5</v>
      </c>
      <c r="W18">
        <v>1.8427253110846701E-3</v>
      </c>
      <c r="X18">
        <v>1</v>
      </c>
      <c r="Y18">
        <v>1</v>
      </c>
    </row>
    <row r="19" spans="1:25" x14ac:dyDescent="0.2">
      <c r="A19" t="s">
        <v>90</v>
      </c>
      <c r="B19" t="s">
        <v>91</v>
      </c>
      <c r="C19" t="s">
        <v>92</v>
      </c>
      <c r="D19" t="s">
        <v>93</v>
      </c>
      <c r="E19" t="s">
        <v>91</v>
      </c>
      <c r="F19" t="s">
        <v>28</v>
      </c>
      <c r="G19" t="s">
        <v>91</v>
      </c>
      <c r="H19" t="str">
        <f>"etr-1"</f>
        <v>etr-1</v>
      </c>
      <c r="I19" t="s">
        <v>93</v>
      </c>
      <c r="J19">
        <v>12.823249130698599</v>
      </c>
      <c r="K19">
        <v>12.8472568723456</v>
      </c>
      <c r="L19">
        <v>13.3802198277168</v>
      </c>
      <c r="M19">
        <v>13.059004970306701</v>
      </c>
      <c r="N19">
        <v>13.1833623008181</v>
      </c>
      <c r="O19">
        <v>13.6869326143017</v>
      </c>
      <c r="P19">
        <v>0.29285801822183499</v>
      </c>
      <c r="Q19">
        <v>-0.33094526974543698</v>
      </c>
      <c r="R19">
        <v>0.91666130618910802</v>
      </c>
      <c r="S19">
        <v>13.1539979650974</v>
      </c>
      <c r="T19">
        <v>1.00126968053234</v>
      </c>
      <c r="U19">
        <v>-6.3703112030897202</v>
      </c>
      <c r="V19">
        <v>0.33268590431438499</v>
      </c>
      <c r="W19">
        <v>0.87368774661315896</v>
      </c>
      <c r="X19">
        <v>0</v>
      </c>
      <c r="Y19">
        <v>0</v>
      </c>
    </row>
    <row r="20" spans="1:25" x14ac:dyDescent="0.2">
      <c r="A20" t="s">
        <v>94</v>
      </c>
      <c r="B20" t="s">
        <v>95</v>
      </c>
      <c r="C20" t="s">
        <v>14188</v>
      </c>
      <c r="D20" t="s">
        <v>96</v>
      </c>
      <c r="E20" t="s">
        <v>95</v>
      </c>
      <c r="F20" t="s">
        <v>28</v>
      </c>
      <c r="G20" t="s">
        <v>95</v>
      </c>
      <c r="H20" t="str">
        <f>"Y66D12A.16"</f>
        <v>Y66D12A.16</v>
      </c>
      <c r="I20" t="s">
        <v>96</v>
      </c>
      <c r="J20">
        <v>12.3172696741407</v>
      </c>
      <c r="K20">
        <v>12.865930687648101</v>
      </c>
      <c r="L20">
        <v>12.5186439321878</v>
      </c>
      <c r="M20">
        <v>12.4717866704549</v>
      </c>
      <c r="N20">
        <v>13.0071832874834</v>
      </c>
      <c r="O20">
        <v>11.8014898829723</v>
      </c>
      <c r="P20">
        <v>-0.140461484355345</v>
      </c>
      <c r="Q20">
        <v>-0.83756811610220405</v>
      </c>
      <c r="R20">
        <v>0.55664514739151305</v>
      </c>
      <c r="S20">
        <v>13.273188403172901</v>
      </c>
      <c r="T20">
        <v>-0.42531240751382698</v>
      </c>
      <c r="U20">
        <v>-6.7881876409254298</v>
      </c>
      <c r="V20">
        <v>0.67597687772194803</v>
      </c>
      <c r="W20">
        <v>0.98642420921484297</v>
      </c>
      <c r="X20">
        <v>0</v>
      </c>
      <c r="Y20">
        <v>0</v>
      </c>
    </row>
    <row r="21" spans="1:25" x14ac:dyDescent="0.2">
      <c r="A21" t="s">
        <v>97</v>
      </c>
      <c r="B21" t="s">
        <v>98</v>
      </c>
      <c r="C21" t="s">
        <v>99</v>
      </c>
      <c r="D21" t="s">
        <v>100</v>
      </c>
      <c r="E21" t="s">
        <v>98</v>
      </c>
      <c r="F21" t="s">
        <v>28</v>
      </c>
      <c r="G21" t="s">
        <v>98</v>
      </c>
      <c r="H21" t="str">
        <f>"mlk-1"</f>
        <v>mlk-1</v>
      </c>
      <c r="I21" t="s">
        <v>100</v>
      </c>
      <c r="J21">
        <v>11.972993916624301</v>
      </c>
      <c r="K21">
        <v>12.927030802074301</v>
      </c>
      <c r="L21">
        <v>12.1562018748075</v>
      </c>
      <c r="M21">
        <v>12.157014788806499</v>
      </c>
      <c r="N21">
        <v>12.427577203648999</v>
      </c>
      <c r="O21">
        <v>12.641617628663001</v>
      </c>
      <c r="P21">
        <v>5.6661009204127297E-2</v>
      </c>
      <c r="Q21">
        <v>-0.63331482194809796</v>
      </c>
      <c r="R21">
        <v>0.74663684035635303</v>
      </c>
      <c r="S21">
        <v>12.5622565902502</v>
      </c>
      <c r="T21">
        <v>0.17514269702334001</v>
      </c>
      <c r="U21">
        <v>-6.8663079475264697</v>
      </c>
      <c r="V21">
        <v>0.86332611703649698</v>
      </c>
      <c r="W21">
        <v>0.99394475928068404</v>
      </c>
      <c r="X21">
        <v>0</v>
      </c>
      <c r="Y21">
        <v>0</v>
      </c>
    </row>
    <row r="22" spans="1:25" x14ac:dyDescent="0.2">
      <c r="A22" t="s">
        <v>101</v>
      </c>
      <c r="B22" t="s">
        <v>102</v>
      </c>
      <c r="C22" t="s">
        <v>103</v>
      </c>
      <c r="D22" t="s">
        <v>104</v>
      </c>
      <c r="E22" t="s">
        <v>102</v>
      </c>
      <c r="F22" t="s">
        <v>28</v>
      </c>
      <c r="G22" t="s">
        <v>102</v>
      </c>
      <c r="H22" t="str">
        <f>"aat-3"</f>
        <v>aat-3</v>
      </c>
      <c r="I22" t="s">
        <v>104</v>
      </c>
      <c r="J22">
        <v>12.022461581947701</v>
      </c>
      <c r="K22">
        <v>12.379284360087601</v>
      </c>
      <c r="L22">
        <v>11.6172189865252</v>
      </c>
      <c r="M22">
        <v>12.4190626554907</v>
      </c>
      <c r="N22">
        <v>12.1467314469251</v>
      </c>
      <c r="O22">
        <v>11.8746805246476</v>
      </c>
      <c r="P22">
        <v>0.14050323283430899</v>
      </c>
      <c r="Q22">
        <v>-0.71353337815164997</v>
      </c>
      <c r="R22">
        <v>0.99453984382026805</v>
      </c>
      <c r="S22">
        <v>11.761077263965801</v>
      </c>
      <c r="T22">
        <v>0.34894691114980098</v>
      </c>
      <c r="U22">
        <v>-6.81869105328781</v>
      </c>
      <c r="V22">
        <v>0.731708677432785</v>
      </c>
      <c r="W22">
        <v>0.99057748145465696</v>
      </c>
      <c r="X22">
        <v>0</v>
      </c>
      <c r="Y22">
        <v>0</v>
      </c>
    </row>
    <row r="23" spans="1:25" x14ac:dyDescent="0.2">
      <c r="A23" t="s">
        <v>105</v>
      </c>
      <c r="B23" t="s">
        <v>106</v>
      </c>
      <c r="C23" t="s">
        <v>14189</v>
      </c>
      <c r="D23" t="s">
        <v>107</v>
      </c>
      <c r="E23" t="s">
        <v>106</v>
      </c>
      <c r="F23" t="s">
        <v>28</v>
      </c>
      <c r="G23" t="s">
        <v>106</v>
      </c>
      <c r="H23" t="str">
        <f>"T08B1.1"</f>
        <v>T08B1.1</v>
      </c>
      <c r="I23" t="s">
        <v>107</v>
      </c>
      <c r="J23">
        <v>13.7180235315952</v>
      </c>
      <c r="K23">
        <v>13.936038984359501</v>
      </c>
      <c r="L23">
        <v>13.5574042128504</v>
      </c>
      <c r="M23">
        <v>14.1920642637693</v>
      </c>
      <c r="N23">
        <v>13.2394406994141</v>
      </c>
      <c r="O23">
        <v>13.823862772058799</v>
      </c>
      <c r="P23">
        <v>1.46336688123423E-2</v>
      </c>
      <c r="Q23">
        <v>-0.51063397173173797</v>
      </c>
      <c r="R23">
        <v>0.539901309356423</v>
      </c>
      <c r="S23">
        <v>13.5848610947815</v>
      </c>
      <c r="T23">
        <v>5.8555148729778198E-2</v>
      </c>
      <c r="U23">
        <v>-6.8806982556082499</v>
      </c>
      <c r="V23">
        <v>0.95395535915156504</v>
      </c>
      <c r="W23">
        <v>0.99968702248720698</v>
      </c>
      <c r="X23">
        <v>0</v>
      </c>
      <c r="Y23">
        <v>0</v>
      </c>
    </row>
    <row r="24" spans="1:25" x14ac:dyDescent="0.2">
      <c r="A24" t="s">
        <v>108</v>
      </c>
      <c r="B24" t="s">
        <v>109</v>
      </c>
      <c r="C24" t="s">
        <v>110</v>
      </c>
      <c r="D24" t="s">
        <v>111</v>
      </c>
      <c r="E24" t="s">
        <v>109</v>
      </c>
      <c r="F24" t="s">
        <v>28</v>
      </c>
      <c r="G24" t="s">
        <v>109</v>
      </c>
      <c r="H24" t="str">
        <f>"rga-4"</f>
        <v>rga-4</v>
      </c>
      <c r="I24" t="s">
        <v>111</v>
      </c>
      <c r="J24">
        <v>12.455328870860599</v>
      </c>
      <c r="K24">
        <v>12.690967906338599</v>
      </c>
      <c r="L24">
        <v>12.8251758247509</v>
      </c>
      <c r="M24">
        <v>12.786331816933799</v>
      </c>
      <c r="N24">
        <v>11.964081311259701</v>
      </c>
      <c r="O24">
        <v>12.337690986696201</v>
      </c>
      <c r="P24">
        <v>-0.29445616235344702</v>
      </c>
      <c r="Q24">
        <v>-0.75264859530405603</v>
      </c>
      <c r="R24">
        <v>0.163736270597163</v>
      </c>
      <c r="S24">
        <v>12.9153451813094</v>
      </c>
      <c r="T24">
        <v>-1.370611403818</v>
      </c>
      <c r="U24">
        <v>-5.94881852799982</v>
      </c>
      <c r="V24">
        <v>0.1907983928227</v>
      </c>
      <c r="W24">
        <v>0.78295732499061499</v>
      </c>
      <c r="X24">
        <v>0</v>
      </c>
      <c r="Y24">
        <v>0</v>
      </c>
    </row>
    <row r="25" spans="1:25" x14ac:dyDescent="0.2">
      <c r="A25" t="s">
        <v>112</v>
      </c>
      <c r="B25" t="s">
        <v>113</v>
      </c>
      <c r="C25" t="s">
        <v>114</v>
      </c>
      <c r="D25" t="s">
        <v>115</v>
      </c>
      <c r="E25" t="s">
        <v>113</v>
      </c>
      <c r="F25" t="s">
        <v>28</v>
      </c>
      <c r="G25" t="s">
        <v>113</v>
      </c>
      <c r="H25" t="str">
        <f>"bet-2"</f>
        <v>bet-2</v>
      </c>
      <c r="I25" t="s">
        <v>115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>
        <v>12.330215349106901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</row>
    <row r="26" spans="1:25" x14ac:dyDescent="0.2">
      <c r="A26" t="s">
        <v>116</v>
      </c>
      <c r="B26" t="s">
        <v>117</v>
      </c>
      <c r="C26" t="s">
        <v>118</v>
      </c>
      <c r="D26" t="s">
        <v>119</v>
      </c>
      <c r="E26" t="s">
        <v>117</v>
      </c>
      <c r="F26" t="s">
        <v>28</v>
      </c>
      <c r="G26" t="s">
        <v>117</v>
      </c>
      <c r="H26" t="str">
        <f>"lpd-3"</f>
        <v>lpd-3</v>
      </c>
      <c r="I26" t="s">
        <v>119</v>
      </c>
      <c r="J26">
        <v>12.6945924509671</v>
      </c>
      <c r="K26">
        <v>12.810779044882301</v>
      </c>
      <c r="L26">
        <v>12.331851913634701</v>
      </c>
      <c r="M26">
        <v>12.593511773425</v>
      </c>
      <c r="N26">
        <v>12.4334067319583</v>
      </c>
      <c r="O26">
        <v>12.5704686372467</v>
      </c>
      <c r="P26">
        <v>-7.9945422284684001E-2</v>
      </c>
      <c r="Q26">
        <v>-0.54591559286929103</v>
      </c>
      <c r="R26">
        <v>0.386024748299923</v>
      </c>
      <c r="S26">
        <v>12.132369944001001</v>
      </c>
      <c r="T26">
        <v>-0.36390247954752297</v>
      </c>
      <c r="U26">
        <v>-6.81312851039295</v>
      </c>
      <c r="V26">
        <v>0.720726001736684</v>
      </c>
      <c r="W26">
        <v>0.98910356032152003</v>
      </c>
      <c r="X26">
        <v>0</v>
      </c>
      <c r="Y26">
        <v>0</v>
      </c>
    </row>
    <row r="27" spans="1:25" x14ac:dyDescent="0.2">
      <c r="A27" t="s">
        <v>120</v>
      </c>
      <c r="B27" t="s">
        <v>121</v>
      </c>
      <c r="C27" t="s">
        <v>122</v>
      </c>
      <c r="D27" t="s">
        <v>123</v>
      </c>
      <c r="E27" t="s">
        <v>121</v>
      </c>
      <c r="F27" t="s">
        <v>28</v>
      </c>
      <c r="G27" t="s">
        <v>121</v>
      </c>
      <c r="H27" t="str">
        <f>"pqn-80"</f>
        <v>pqn-80</v>
      </c>
      <c r="I27" t="s">
        <v>123</v>
      </c>
      <c r="J27" t="s">
        <v>29</v>
      </c>
      <c r="K27">
        <v>11.462594663458299</v>
      </c>
      <c r="L27">
        <v>11.7258711929304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>
        <v>12.418747127503099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</row>
    <row r="28" spans="1:25" x14ac:dyDescent="0.2">
      <c r="A28" t="s">
        <v>124</v>
      </c>
      <c r="B28" t="s">
        <v>125</v>
      </c>
      <c r="C28" t="s">
        <v>126</v>
      </c>
      <c r="D28" t="s">
        <v>127</v>
      </c>
      <c r="E28" t="s">
        <v>125</v>
      </c>
      <c r="F28" t="s">
        <v>28</v>
      </c>
      <c r="G28" t="s">
        <v>125</v>
      </c>
      <c r="H28" t="str">
        <f>"arid-1"</f>
        <v>arid-1</v>
      </c>
      <c r="I28" t="s">
        <v>127</v>
      </c>
      <c r="J28">
        <v>13.448596792282</v>
      </c>
      <c r="K28">
        <v>13.9489472159587</v>
      </c>
      <c r="L28">
        <v>13.6829624094047</v>
      </c>
      <c r="M28">
        <v>13.265270114122799</v>
      </c>
      <c r="N28">
        <v>13.742423398517801</v>
      </c>
      <c r="O28">
        <v>13.9927757751603</v>
      </c>
      <c r="P28">
        <v>-2.6679043281525601E-2</v>
      </c>
      <c r="Q28">
        <v>-0.73707414828870998</v>
      </c>
      <c r="R28">
        <v>0.68371606172565802</v>
      </c>
      <c r="S28">
        <v>13.795525295074</v>
      </c>
      <c r="T28">
        <v>-7.9272089271325799E-2</v>
      </c>
      <c r="U28">
        <v>-6.8791964960535896</v>
      </c>
      <c r="V28">
        <v>0.937747579694856</v>
      </c>
      <c r="W28">
        <v>0.99926809132575301</v>
      </c>
      <c r="X28">
        <v>0</v>
      </c>
      <c r="Y28">
        <v>0</v>
      </c>
    </row>
    <row r="29" spans="1:25" x14ac:dyDescent="0.2">
      <c r="A29" t="s">
        <v>128</v>
      </c>
      <c r="B29" t="s">
        <v>129</v>
      </c>
      <c r="C29" t="s">
        <v>14190</v>
      </c>
      <c r="D29" t="s">
        <v>130</v>
      </c>
      <c r="E29" t="s">
        <v>129</v>
      </c>
      <c r="F29" t="s">
        <v>28</v>
      </c>
      <c r="G29" t="s">
        <v>129</v>
      </c>
      <c r="H29" t="str">
        <f>"F37B4.10"</f>
        <v>F37B4.10</v>
      </c>
      <c r="I29" t="s">
        <v>130</v>
      </c>
      <c r="J29">
        <v>13.099283076177</v>
      </c>
      <c r="K29" t="s">
        <v>29</v>
      </c>
      <c r="L29" t="s">
        <v>29</v>
      </c>
      <c r="M29">
        <v>12.952552462227001</v>
      </c>
      <c r="N29">
        <v>12.904612117187</v>
      </c>
      <c r="O29">
        <v>13.8862945242058</v>
      </c>
      <c r="P29">
        <v>0.14853662502961901</v>
      </c>
      <c r="Q29">
        <v>-0.86848923274781298</v>
      </c>
      <c r="R29">
        <v>1.1655624828070501</v>
      </c>
      <c r="S29">
        <v>12.5935878183558</v>
      </c>
      <c r="T29">
        <v>0.31578304003414498</v>
      </c>
      <c r="U29">
        <v>-6.4886210727398002</v>
      </c>
      <c r="V29">
        <v>0.75721996987342099</v>
      </c>
      <c r="W29">
        <v>0.99278624068726296</v>
      </c>
      <c r="X29">
        <v>0</v>
      </c>
      <c r="Y29">
        <v>0</v>
      </c>
    </row>
    <row r="30" spans="1:25" x14ac:dyDescent="0.2">
      <c r="A30" t="s">
        <v>131</v>
      </c>
      <c r="B30" t="s">
        <v>132</v>
      </c>
      <c r="C30" t="s">
        <v>133</v>
      </c>
      <c r="D30" t="s">
        <v>134</v>
      </c>
      <c r="E30" t="s">
        <v>132</v>
      </c>
      <c r="F30" t="s">
        <v>28</v>
      </c>
      <c r="G30" t="s">
        <v>132</v>
      </c>
      <c r="H30" t="str">
        <f>"ubr-4"</f>
        <v>ubr-4</v>
      </c>
      <c r="I30" t="s">
        <v>134</v>
      </c>
      <c r="J30">
        <v>13.90974455169</v>
      </c>
      <c r="K30">
        <v>14.064627753212401</v>
      </c>
      <c r="L30">
        <v>13.7621109500054</v>
      </c>
      <c r="M30">
        <v>13.893618038811001</v>
      </c>
      <c r="N30">
        <v>13.766608005399499</v>
      </c>
      <c r="O30">
        <v>14.0256151396663</v>
      </c>
      <c r="P30">
        <v>-1.6880690343708E-2</v>
      </c>
      <c r="Q30">
        <v>-1.0525422076222</v>
      </c>
      <c r="R30">
        <v>1.01878082693478</v>
      </c>
      <c r="S30">
        <v>14.149404937755</v>
      </c>
      <c r="T30">
        <v>-3.4258226569730002E-2</v>
      </c>
      <c r="U30">
        <v>-6.8818763772984797</v>
      </c>
      <c r="V30">
        <v>0.97305047226261798</v>
      </c>
      <c r="W30">
        <v>0.99968702248720698</v>
      </c>
      <c r="X30">
        <v>0</v>
      </c>
      <c r="Y30">
        <v>0</v>
      </c>
    </row>
    <row r="31" spans="1:25" x14ac:dyDescent="0.2">
      <c r="A31" t="s">
        <v>135</v>
      </c>
      <c r="B31" t="s">
        <v>136</v>
      </c>
      <c r="C31" t="s">
        <v>137</v>
      </c>
      <c r="D31" t="s">
        <v>138</v>
      </c>
      <c r="E31" t="s">
        <v>136</v>
      </c>
      <c r="F31" t="s">
        <v>28</v>
      </c>
      <c r="G31" t="s">
        <v>136</v>
      </c>
      <c r="H31" t="str">
        <f>"ccar-1"</f>
        <v>ccar-1</v>
      </c>
      <c r="I31" t="s">
        <v>138</v>
      </c>
      <c r="J31">
        <v>16.951760196840102</v>
      </c>
      <c r="K31">
        <v>17.377483820987699</v>
      </c>
      <c r="L31">
        <v>17.217009998279</v>
      </c>
      <c r="M31">
        <v>16.792587472667801</v>
      </c>
      <c r="N31">
        <v>16.746850920020801</v>
      </c>
      <c r="O31">
        <v>16.922375960095501</v>
      </c>
      <c r="P31">
        <v>-0.361479887774244</v>
      </c>
      <c r="Q31">
        <v>-0.87733197417739694</v>
      </c>
      <c r="R31">
        <v>0.154372198628908</v>
      </c>
      <c r="S31">
        <v>16.925888058349301</v>
      </c>
      <c r="T31">
        <v>-1.4728260620098901</v>
      </c>
      <c r="U31">
        <v>-5.8133372464239299</v>
      </c>
      <c r="V31">
        <v>0.158169223243523</v>
      </c>
      <c r="W31">
        <v>0.75509006781821697</v>
      </c>
      <c r="X31">
        <v>0</v>
      </c>
      <c r="Y31">
        <v>0</v>
      </c>
    </row>
    <row r="32" spans="1:25" x14ac:dyDescent="0.2">
      <c r="A32" t="s">
        <v>139</v>
      </c>
      <c r="B32" t="s">
        <v>140</v>
      </c>
      <c r="C32" t="s">
        <v>14191</v>
      </c>
      <c r="D32" t="s">
        <v>141</v>
      </c>
      <c r="E32" t="s">
        <v>140</v>
      </c>
      <c r="F32" t="s">
        <v>28</v>
      </c>
      <c r="G32" t="s">
        <v>142</v>
      </c>
      <c r="H32" t="str">
        <f>"K08D9.4"</f>
        <v>K08D9.4</v>
      </c>
      <c r="I32" t="s">
        <v>141</v>
      </c>
      <c r="J32" t="s">
        <v>29</v>
      </c>
      <c r="K32">
        <v>11.5013848064975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>
        <v>12.0073412630014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</row>
    <row r="33" spans="1:25" x14ac:dyDescent="0.2">
      <c r="A33" t="s">
        <v>143</v>
      </c>
      <c r="B33" t="s">
        <v>144</v>
      </c>
      <c r="C33" t="s">
        <v>145</v>
      </c>
      <c r="D33" t="s">
        <v>146</v>
      </c>
      <c r="E33" t="s">
        <v>144</v>
      </c>
      <c r="F33" t="s">
        <v>28</v>
      </c>
      <c r="G33" t="s">
        <v>144</v>
      </c>
      <c r="H33" t="str">
        <f>"sago-1"</f>
        <v>sago-1</v>
      </c>
      <c r="I33" t="s">
        <v>146</v>
      </c>
      <c r="J33">
        <v>13.026458836901</v>
      </c>
      <c r="K33">
        <v>12.9472142918475</v>
      </c>
      <c r="L33">
        <v>12.3381433603773</v>
      </c>
      <c r="M33">
        <v>13.1560805228972</v>
      </c>
      <c r="N33">
        <v>13.110228209811799</v>
      </c>
      <c r="O33">
        <v>12.9149390781763</v>
      </c>
      <c r="P33">
        <v>0.28981044058653899</v>
      </c>
      <c r="Q33">
        <v>-0.18249155611728801</v>
      </c>
      <c r="R33">
        <v>0.76211243729036604</v>
      </c>
      <c r="S33">
        <v>13.2022305949837</v>
      </c>
      <c r="T33">
        <v>1.2952221376392801</v>
      </c>
      <c r="U33">
        <v>-6.04458698365094</v>
      </c>
      <c r="V33">
        <v>0.212663247265891</v>
      </c>
      <c r="W33">
        <v>0.79508962856638699</v>
      </c>
      <c r="X33">
        <v>0</v>
      </c>
      <c r="Y33">
        <v>0</v>
      </c>
    </row>
    <row r="34" spans="1:25" x14ac:dyDescent="0.2">
      <c r="A34" t="s">
        <v>147</v>
      </c>
      <c r="B34" t="s">
        <v>148</v>
      </c>
      <c r="C34" t="s">
        <v>149</v>
      </c>
      <c r="D34" t="s">
        <v>150</v>
      </c>
      <c r="E34" t="s">
        <v>148</v>
      </c>
      <c r="F34" t="s">
        <v>28</v>
      </c>
      <c r="G34" t="s">
        <v>148</v>
      </c>
      <c r="H34" t="str">
        <f>"sago-2"</f>
        <v>sago-2</v>
      </c>
      <c r="I34" t="s">
        <v>150</v>
      </c>
      <c r="J34">
        <v>11.4138783948791</v>
      </c>
      <c r="K34" t="s">
        <v>29</v>
      </c>
      <c r="L34">
        <v>10.8673317241549</v>
      </c>
      <c r="M34">
        <v>10.128219456477501</v>
      </c>
      <c r="N34">
        <v>11.2021906225694</v>
      </c>
      <c r="O34">
        <v>11.073005166284201</v>
      </c>
      <c r="P34">
        <v>-0.33946664440662699</v>
      </c>
      <c r="Q34">
        <v>-1.00955249694036</v>
      </c>
      <c r="R34">
        <v>0.33061920812710899</v>
      </c>
      <c r="S34">
        <v>11.3169302493356</v>
      </c>
      <c r="T34">
        <v>-1.08045893294731</v>
      </c>
      <c r="U34">
        <v>-6.1805279965140496</v>
      </c>
      <c r="V34">
        <v>0.297122318591035</v>
      </c>
      <c r="W34">
        <v>0.85855590823088301</v>
      </c>
      <c r="X34">
        <v>0</v>
      </c>
      <c r="Y34">
        <v>0</v>
      </c>
    </row>
    <row r="35" spans="1:25" x14ac:dyDescent="0.2">
      <c r="A35" t="s">
        <v>151</v>
      </c>
      <c r="B35" t="s">
        <v>152</v>
      </c>
      <c r="C35" t="s">
        <v>153</v>
      </c>
      <c r="D35" t="s">
        <v>154</v>
      </c>
      <c r="E35" t="s">
        <v>152</v>
      </c>
      <c r="F35" t="s">
        <v>28</v>
      </c>
      <c r="G35" t="s">
        <v>152</v>
      </c>
      <c r="H35" t="str">
        <f>"coh-1"</f>
        <v>coh-1</v>
      </c>
      <c r="I35" t="s">
        <v>154</v>
      </c>
      <c r="J35">
        <v>13.876177505705201</v>
      </c>
      <c r="K35">
        <v>14.279266139181701</v>
      </c>
      <c r="L35">
        <v>13.710110469629999</v>
      </c>
      <c r="M35">
        <v>13.716221629564799</v>
      </c>
      <c r="N35">
        <v>12.9327142461966</v>
      </c>
      <c r="O35">
        <v>13.6514925332097</v>
      </c>
      <c r="P35">
        <v>-0.52170856851524405</v>
      </c>
      <c r="Q35">
        <v>-1.11904075367525</v>
      </c>
      <c r="R35">
        <v>7.5623616644762498E-2</v>
      </c>
      <c r="S35">
        <v>13.7170720994029</v>
      </c>
      <c r="T35">
        <v>-1.8525143619245099</v>
      </c>
      <c r="U35">
        <v>-5.2498803786714898</v>
      </c>
      <c r="V35">
        <v>8.2613542408185497E-2</v>
      </c>
      <c r="W35">
        <v>0.60425905304272798</v>
      </c>
      <c r="X35">
        <v>0</v>
      </c>
      <c r="Y35">
        <v>0</v>
      </c>
    </row>
    <row r="36" spans="1:25" x14ac:dyDescent="0.2">
      <c r="A36" t="s">
        <v>155</v>
      </c>
      <c r="B36" t="s">
        <v>156</v>
      </c>
      <c r="C36" t="s">
        <v>157</v>
      </c>
      <c r="D36" t="s">
        <v>158</v>
      </c>
      <c r="E36" t="s">
        <v>156</v>
      </c>
      <c r="F36" t="s">
        <v>28</v>
      </c>
      <c r="G36" t="s">
        <v>156</v>
      </c>
      <c r="H36" t="str">
        <f>"imb-2"</f>
        <v>imb-2</v>
      </c>
      <c r="I36" t="s">
        <v>158</v>
      </c>
      <c r="J36">
        <v>13.2486945533857</v>
      </c>
      <c r="K36">
        <v>13.231685559856601</v>
      </c>
      <c r="L36">
        <v>13.364968064540101</v>
      </c>
      <c r="M36">
        <v>13.4800573911832</v>
      </c>
      <c r="N36">
        <v>13.2914912579198</v>
      </c>
      <c r="O36">
        <v>13.1634495133109</v>
      </c>
      <c r="P36">
        <v>2.9883328210486199E-2</v>
      </c>
      <c r="Q36">
        <v>-0.38293505309685499</v>
      </c>
      <c r="R36">
        <v>0.442701709517827</v>
      </c>
      <c r="S36">
        <v>13.491193264995101</v>
      </c>
      <c r="T36">
        <v>0.15279880272040799</v>
      </c>
      <c r="U36">
        <v>-6.8702608840581902</v>
      </c>
      <c r="V36">
        <v>0.88036696717755802</v>
      </c>
      <c r="W36">
        <v>0.99702926582654094</v>
      </c>
      <c r="X36">
        <v>0</v>
      </c>
      <c r="Y36">
        <v>0</v>
      </c>
    </row>
    <row r="37" spans="1:25" x14ac:dyDescent="0.2">
      <c r="A37" t="s">
        <v>159</v>
      </c>
      <c r="B37" t="s">
        <v>160</v>
      </c>
      <c r="C37" t="s">
        <v>161</v>
      </c>
      <c r="D37" t="s">
        <v>162</v>
      </c>
      <c r="E37" t="s">
        <v>160</v>
      </c>
      <c r="F37" t="s">
        <v>28</v>
      </c>
      <c r="G37" t="s">
        <v>160</v>
      </c>
      <c r="H37" t="str">
        <f>"utx-1"</f>
        <v>utx-1</v>
      </c>
      <c r="I37" t="s">
        <v>162</v>
      </c>
      <c r="J37">
        <v>12.029042675617999</v>
      </c>
      <c r="K37">
        <v>11.796116640603101</v>
      </c>
      <c r="L37">
        <v>11.6380062852413</v>
      </c>
      <c r="M37">
        <v>11.573729642923499</v>
      </c>
      <c r="N37">
        <v>11.5041260935123</v>
      </c>
      <c r="O37">
        <v>11.821086175843799</v>
      </c>
      <c r="P37">
        <v>-0.188074563060912</v>
      </c>
      <c r="Q37">
        <v>-0.806149803215505</v>
      </c>
      <c r="R37">
        <v>0.43000067709368101</v>
      </c>
      <c r="S37">
        <v>12.2970947046401</v>
      </c>
      <c r="T37">
        <v>-0.64541379698676604</v>
      </c>
      <c r="U37">
        <v>-6.6662397729412897</v>
      </c>
      <c r="V37">
        <v>0.52786654814160605</v>
      </c>
      <c r="W37">
        <v>0.94259531549477504</v>
      </c>
      <c r="X37">
        <v>0</v>
      </c>
      <c r="Y37">
        <v>0</v>
      </c>
    </row>
    <row r="38" spans="1:25" x14ac:dyDescent="0.2">
      <c r="A38" t="s">
        <v>163</v>
      </c>
      <c r="B38" t="s">
        <v>164</v>
      </c>
      <c r="C38" t="s">
        <v>165</v>
      </c>
      <c r="D38" t="s">
        <v>166</v>
      </c>
      <c r="E38" t="s">
        <v>164</v>
      </c>
      <c r="F38" t="s">
        <v>28</v>
      </c>
      <c r="G38" t="s">
        <v>164</v>
      </c>
      <c r="H38" t="str">
        <f>"irg-7"</f>
        <v>irg-7</v>
      </c>
      <c r="I38" t="s">
        <v>166</v>
      </c>
      <c r="J38" t="s">
        <v>29</v>
      </c>
      <c r="K38" t="s">
        <v>29</v>
      </c>
      <c r="L38">
        <v>10.973969859717</v>
      </c>
      <c r="M38">
        <v>10.551276485056</v>
      </c>
      <c r="N38" t="s">
        <v>29</v>
      </c>
      <c r="O38" t="s">
        <v>29</v>
      </c>
      <c r="P38">
        <v>-0.42269337466108298</v>
      </c>
      <c r="Q38">
        <v>-1.6412781712028699</v>
      </c>
      <c r="R38">
        <v>0.79589142188070106</v>
      </c>
      <c r="S38">
        <v>11.141884688093</v>
      </c>
      <c r="T38">
        <v>-0.82276005674594499</v>
      </c>
      <c r="U38">
        <v>-5.9854228537338399</v>
      </c>
      <c r="V38">
        <v>0.438168790268611</v>
      </c>
      <c r="W38">
        <v>0.91824106585927701</v>
      </c>
      <c r="X38">
        <v>0</v>
      </c>
      <c r="Y38">
        <v>0</v>
      </c>
    </row>
    <row r="39" spans="1:25" x14ac:dyDescent="0.2">
      <c r="A39" t="s">
        <v>167</v>
      </c>
      <c r="B39" t="s">
        <v>168</v>
      </c>
      <c r="C39" t="s">
        <v>169</v>
      </c>
      <c r="D39" t="s">
        <v>170</v>
      </c>
      <c r="E39" t="s">
        <v>168</v>
      </c>
      <c r="F39" t="s">
        <v>28</v>
      </c>
      <c r="G39" t="s">
        <v>168</v>
      </c>
      <c r="H39" t="str">
        <f>"brf-1"</f>
        <v>brf-1</v>
      </c>
      <c r="I39" t="s">
        <v>170</v>
      </c>
      <c r="J39" t="s">
        <v>29</v>
      </c>
      <c r="K39" t="s">
        <v>29</v>
      </c>
      <c r="L39" t="s">
        <v>29</v>
      </c>
      <c r="M39">
        <v>9.6351377800959206</v>
      </c>
      <c r="N39" t="s">
        <v>29</v>
      </c>
      <c r="O39" t="s">
        <v>29</v>
      </c>
      <c r="P39" t="s">
        <v>29</v>
      </c>
      <c r="Q39" t="s">
        <v>29</v>
      </c>
      <c r="R39" t="s">
        <v>29</v>
      </c>
      <c r="S39">
        <v>9.7464014845668991</v>
      </c>
      <c r="T39" t="s">
        <v>29</v>
      </c>
      <c r="U39" t="s">
        <v>29</v>
      </c>
      <c r="V39" t="s">
        <v>29</v>
      </c>
      <c r="W39" t="s">
        <v>29</v>
      </c>
      <c r="X39" t="s">
        <v>29</v>
      </c>
      <c r="Y39" t="s">
        <v>29</v>
      </c>
    </row>
    <row r="40" spans="1:25" x14ac:dyDescent="0.2">
      <c r="A40" t="s">
        <v>171</v>
      </c>
      <c r="B40" t="s">
        <v>172</v>
      </c>
      <c r="C40" t="s">
        <v>173</v>
      </c>
      <c r="D40" t="s">
        <v>174</v>
      </c>
      <c r="E40" t="s">
        <v>172</v>
      </c>
      <c r="F40" t="s">
        <v>28</v>
      </c>
      <c r="G40" t="s">
        <v>172</v>
      </c>
      <c r="H40" t="str">
        <f>"trpp-11"</f>
        <v>trpp-11</v>
      </c>
      <c r="I40" t="s">
        <v>174</v>
      </c>
      <c r="J40">
        <v>12.033310599609001</v>
      </c>
      <c r="K40">
        <v>11.657040342852699</v>
      </c>
      <c r="L40">
        <v>11.8283550834579</v>
      </c>
      <c r="M40">
        <v>11.8358870726719</v>
      </c>
      <c r="N40">
        <v>11.396699476778499</v>
      </c>
      <c r="O40">
        <v>11.856304558688</v>
      </c>
      <c r="P40">
        <v>-0.14327163926040701</v>
      </c>
      <c r="Q40">
        <v>-0.74534044549614797</v>
      </c>
      <c r="R40">
        <v>0.45879716697533401</v>
      </c>
      <c r="S40">
        <v>11.688224348361</v>
      </c>
      <c r="T40">
        <v>-0.50015730533859204</v>
      </c>
      <c r="U40">
        <v>-6.7526973244174497</v>
      </c>
      <c r="V40">
        <v>0.62305907785532</v>
      </c>
      <c r="W40">
        <v>0.97279262440453396</v>
      </c>
      <c r="X40">
        <v>0</v>
      </c>
      <c r="Y40">
        <v>0</v>
      </c>
    </row>
    <row r="41" spans="1:25" x14ac:dyDescent="0.2">
      <c r="A41" t="s">
        <v>175</v>
      </c>
      <c r="B41" t="s">
        <v>176</v>
      </c>
      <c r="C41" t="s">
        <v>177</v>
      </c>
      <c r="D41" t="s">
        <v>178</v>
      </c>
      <c r="E41" t="s">
        <v>176</v>
      </c>
      <c r="F41" t="s">
        <v>28</v>
      </c>
      <c r="G41" t="s">
        <v>176</v>
      </c>
      <c r="H41" t="str">
        <f>"tbc-14"</f>
        <v>tbc-14</v>
      </c>
      <c r="I41" t="s">
        <v>178</v>
      </c>
      <c r="J41">
        <v>13.1900786089445</v>
      </c>
      <c r="K41">
        <v>12.825233207658</v>
      </c>
      <c r="L41">
        <v>13.0172558691551</v>
      </c>
      <c r="M41">
        <v>13.3835484630469</v>
      </c>
      <c r="N41">
        <v>12.945257608133</v>
      </c>
      <c r="O41">
        <v>12.854007186090101</v>
      </c>
      <c r="P41">
        <v>5.0081857170779301E-2</v>
      </c>
      <c r="Q41">
        <v>-0.48599469668732298</v>
      </c>
      <c r="R41">
        <v>0.586158411028881</v>
      </c>
      <c r="S41">
        <v>13.0642465646857</v>
      </c>
      <c r="T41">
        <v>0.19635688116720701</v>
      </c>
      <c r="U41">
        <v>-6.8623660181317501</v>
      </c>
      <c r="V41">
        <v>0.84654351733682398</v>
      </c>
      <c r="W41">
        <v>0.99370971747667503</v>
      </c>
      <c r="X41">
        <v>0</v>
      </c>
      <c r="Y41">
        <v>0</v>
      </c>
    </row>
    <row r="42" spans="1:25" x14ac:dyDescent="0.2">
      <c r="A42" t="s">
        <v>179</v>
      </c>
      <c r="B42" t="s">
        <v>180</v>
      </c>
      <c r="C42" t="s">
        <v>181</v>
      </c>
      <c r="D42" t="s">
        <v>182</v>
      </c>
      <c r="E42" t="s">
        <v>180</v>
      </c>
      <c r="F42" t="s">
        <v>28</v>
      </c>
      <c r="G42" t="s">
        <v>180</v>
      </c>
      <c r="H42" t="str">
        <f>"fipp-1"</f>
        <v>fipp-1</v>
      </c>
      <c r="I42" t="s">
        <v>182</v>
      </c>
      <c r="J42" t="s">
        <v>29</v>
      </c>
      <c r="K42" t="s">
        <v>29</v>
      </c>
      <c r="L42" t="s">
        <v>29</v>
      </c>
      <c r="M42" t="s">
        <v>29</v>
      </c>
      <c r="N42" t="s">
        <v>29</v>
      </c>
      <c r="O42" t="s">
        <v>29</v>
      </c>
      <c r="P42" t="s">
        <v>29</v>
      </c>
      <c r="Q42" t="s">
        <v>29</v>
      </c>
      <c r="R42" t="s">
        <v>29</v>
      </c>
      <c r="S42">
        <v>11.3787189149522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</row>
    <row r="43" spans="1:25" x14ac:dyDescent="0.2">
      <c r="A43" t="s">
        <v>183</v>
      </c>
      <c r="B43" t="s">
        <v>184</v>
      </c>
      <c r="C43" t="s">
        <v>185</v>
      </c>
      <c r="D43" t="s">
        <v>186</v>
      </c>
      <c r="E43" t="s">
        <v>184</v>
      </c>
      <c r="F43" t="s">
        <v>28</v>
      </c>
      <c r="G43" t="s">
        <v>184</v>
      </c>
      <c r="H43" t="str">
        <f>"ajm-1"</f>
        <v>ajm-1</v>
      </c>
      <c r="I43" t="s">
        <v>186</v>
      </c>
      <c r="J43">
        <v>13.9619122428366</v>
      </c>
      <c r="K43">
        <v>14.778824155643401</v>
      </c>
      <c r="L43">
        <v>14.872437289692501</v>
      </c>
      <c r="M43">
        <v>13.7563162055113</v>
      </c>
      <c r="N43">
        <v>13.558971485053901</v>
      </c>
      <c r="O43">
        <v>14.3544537617425</v>
      </c>
      <c r="P43">
        <v>-0.64781074528827698</v>
      </c>
      <c r="Q43">
        <v>-1.47831088226915</v>
      </c>
      <c r="R43">
        <v>0.18268939169259399</v>
      </c>
      <c r="S43">
        <v>14.5859202270368</v>
      </c>
      <c r="T43">
        <v>-1.6394604795948899</v>
      </c>
      <c r="U43">
        <v>-5.5750621834006102</v>
      </c>
      <c r="V43">
        <v>0.11857794106570101</v>
      </c>
      <c r="W43">
        <v>0.70633820408179904</v>
      </c>
      <c r="X43">
        <v>0</v>
      </c>
      <c r="Y43">
        <v>0</v>
      </c>
    </row>
    <row r="44" spans="1:25" x14ac:dyDescent="0.2">
      <c r="A44" t="s">
        <v>187</v>
      </c>
      <c r="B44" t="s">
        <v>188</v>
      </c>
      <c r="C44" t="s">
        <v>14192</v>
      </c>
      <c r="D44" t="s">
        <v>189</v>
      </c>
      <c r="E44" t="s">
        <v>188</v>
      </c>
      <c r="F44" t="s">
        <v>28</v>
      </c>
      <c r="G44" t="s">
        <v>188</v>
      </c>
      <c r="H44" t="str">
        <f>"Y56A3A.31"</f>
        <v>Y56A3A.31</v>
      </c>
      <c r="I44" t="s">
        <v>189</v>
      </c>
      <c r="J44">
        <v>13.4171147768871</v>
      </c>
      <c r="K44">
        <v>13.3401072730198</v>
      </c>
      <c r="L44">
        <v>13.5707338440701</v>
      </c>
      <c r="M44">
        <v>13.5746394153942</v>
      </c>
      <c r="N44">
        <v>13.5222541846538</v>
      </c>
      <c r="O44">
        <v>13.303072730275</v>
      </c>
      <c r="P44">
        <v>2.40034787819727E-2</v>
      </c>
      <c r="Q44">
        <v>-0.83112860243103703</v>
      </c>
      <c r="R44">
        <v>0.87913555999498205</v>
      </c>
      <c r="S44">
        <v>13.6003234859001</v>
      </c>
      <c r="T44">
        <v>5.89974853617415E-2</v>
      </c>
      <c r="U44">
        <v>-6.8806710921340803</v>
      </c>
      <c r="V44">
        <v>0.95360795351556205</v>
      </c>
      <c r="W44">
        <v>0.99968702248720698</v>
      </c>
      <c r="X44">
        <v>0</v>
      </c>
      <c r="Y44">
        <v>0</v>
      </c>
    </row>
    <row r="45" spans="1:25" x14ac:dyDescent="0.2">
      <c r="A45" t="s">
        <v>190</v>
      </c>
      <c r="B45" t="s">
        <v>191</v>
      </c>
      <c r="C45" t="s">
        <v>192</v>
      </c>
      <c r="D45" t="s">
        <v>193</v>
      </c>
      <c r="E45" t="s">
        <v>191</v>
      </c>
      <c r="F45" t="s">
        <v>28</v>
      </c>
      <c r="G45" t="s">
        <v>191</v>
      </c>
      <c r="H45" t="str">
        <f>"farl-11"</f>
        <v>farl-11</v>
      </c>
      <c r="I45" t="s">
        <v>193</v>
      </c>
      <c r="J45">
        <v>12.3737794419299</v>
      </c>
      <c r="K45">
        <v>12.130765968734099</v>
      </c>
      <c r="L45">
        <v>12.547826193270801</v>
      </c>
      <c r="M45">
        <v>12.2858602016353</v>
      </c>
      <c r="N45">
        <v>12.7568949999807</v>
      </c>
      <c r="O45">
        <v>12.916284944454601</v>
      </c>
      <c r="P45">
        <v>0.30222284737860899</v>
      </c>
      <c r="Q45">
        <v>-8.8558120902409596E-2</v>
      </c>
      <c r="R45">
        <v>0.69300381565962699</v>
      </c>
      <c r="S45">
        <v>12.7204433386574</v>
      </c>
      <c r="T45">
        <v>1.63246508514587</v>
      </c>
      <c r="U45">
        <v>-5.58652269016563</v>
      </c>
      <c r="V45">
        <v>0.12107827600049199</v>
      </c>
      <c r="W45">
        <v>0.708618319665276</v>
      </c>
      <c r="X45">
        <v>0</v>
      </c>
      <c r="Y45">
        <v>0</v>
      </c>
    </row>
    <row r="46" spans="1:25" x14ac:dyDescent="0.2">
      <c r="A46" t="s">
        <v>194</v>
      </c>
      <c r="B46" t="s">
        <v>195</v>
      </c>
      <c r="C46" t="s">
        <v>196</v>
      </c>
      <c r="D46" t="s">
        <v>197</v>
      </c>
      <c r="E46" t="s">
        <v>195</v>
      </c>
      <c r="F46" t="s">
        <v>28</v>
      </c>
      <c r="G46" t="s">
        <v>195</v>
      </c>
      <c r="H46" t="str">
        <f>"hgap-2"</f>
        <v>hgap-2</v>
      </c>
      <c r="I46" t="s">
        <v>197</v>
      </c>
      <c r="J46">
        <v>13.266287489802099</v>
      </c>
      <c r="K46">
        <v>13.514548576489901</v>
      </c>
      <c r="L46">
        <v>13.3624727133802</v>
      </c>
      <c r="M46">
        <v>13.4029516709367</v>
      </c>
      <c r="N46">
        <v>13.6863295523759</v>
      </c>
      <c r="O46">
        <v>13.6104857152164</v>
      </c>
      <c r="P46">
        <v>0.18548605295227599</v>
      </c>
      <c r="Q46">
        <v>-0.60214228490195798</v>
      </c>
      <c r="R46">
        <v>0.97311439080651096</v>
      </c>
      <c r="S46">
        <v>13.439041766514499</v>
      </c>
      <c r="T46">
        <v>0.49497406028361901</v>
      </c>
      <c r="U46">
        <v>-6.7553552185727197</v>
      </c>
      <c r="V46">
        <v>0.62664088974607302</v>
      </c>
      <c r="W46">
        <v>0.97279262440453396</v>
      </c>
      <c r="X46">
        <v>0</v>
      </c>
      <c r="Y46">
        <v>0</v>
      </c>
    </row>
    <row r="47" spans="1:25" x14ac:dyDescent="0.2">
      <c r="A47" t="s">
        <v>198</v>
      </c>
      <c r="B47" t="s">
        <v>199</v>
      </c>
      <c r="C47" t="s">
        <v>200</v>
      </c>
      <c r="D47" t="s">
        <v>201</v>
      </c>
      <c r="E47" t="s">
        <v>199</v>
      </c>
      <c r="F47" t="s">
        <v>28</v>
      </c>
      <c r="G47" t="s">
        <v>199</v>
      </c>
      <c r="H47" t="str">
        <f>"spat-2"</f>
        <v>spat-2</v>
      </c>
      <c r="I47" t="s">
        <v>201</v>
      </c>
      <c r="J47" t="s">
        <v>29</v>
      </c>
      <c r="K47">
        <v>12.364659983617599</v>
      </c>
      <c r="L47" t="s">
        <v>29</v>
      </c>
      <c r="M47">
        <v>12.631980385472399</v>
      </c>
      <c r="N47">
        <v>12.790824533198601</v>
      </c>
      <c r="O47" t="s">
        <v>29</v>
      </c>
      <c r="P47">
        <v>0.346742475717912</v>
      </c>
      <c r="Q47">
        <v>-0.65466728286329701</v>
      </c>
      <c r="R47">
        <v>1.3481522342991199</v>
      </c>
      <c r="S47">
        <v>12.717434976884199</v>
      </c>
      <c r="T47">
        <v>0.77261318784917199</v>
      </c>
      <c r="U47">
        <v>-6.1718492267282397</v>
      </c>
      <c r="V47">
        <v>0.45780854372360802</v>
      </c>
      <c r="W47">
        <v>0.92799154546826901</v>
      </c>
      <c r="X47">
        <v>0</v>
      </c>
      <c r="Y47">
        <v>0</v>
      </c>
    </row>
    <row r="48" spans="1:25" x14ac:dyDescent="0.2">
      <c r="A48" t="s">
        <v>202</v>
      </c>
      <c r="B48" t="s">
        <v>203</v>
      </c>
      <c r="C48" t="s">
        <v>14193</v>
      </c>
      <c r="D48" t="s">
        <v>204</v>
      </c>
      <c r="E48" t="s">
        <v>203</v>
      </c>
      <c r="F48" t="s">
        <v>28</v>
      </c>
      <c r="G48" t="s">
        <v>203</v>
      </c>
      <c r="H48" t="str">
        <f>"Y55F3BR.6"</f>
        <v>Y55F3BR.6</v>
      </c>
      <c r="I48" t="s">
        <v>204</v>
      </c>
      <c r="J48">
        <v>14.228042468245899</v>
      </c>
      <c r="K48" t="s">
        <v>29</v>
      </c>
      <c r="L48" t="s">
        <v>29</v>
      </c>
      <c r="M48" t="s">
        <v>29</v>
      </c>
      <c r="N48" t="s">
        <v>29</v>
      </c>
      <c r="O48">
        <v>13.6884353394453</v>
      </c>
      <c r="P48">
        <v>-0.53960712880064099</v>
      </c>
      <c r="Q48">
        <v>-2.2476386013875902</v>
      </c>
      <c r="R48">
        <v>1.16842434378631</v>
      </c>
      <c r="S48">
        <v>14.0705480609725</v>
      </c>
      <c r="T48">
        <v>-0.71595564041800197</v>
      </c>
      <c r="U48">
        <v>-6.0748223301971596</v>
      </c>
      <c r="V48">
        <v>0.49238466310747803</v>
      </c>
      <c r="W48">
        <v>0.94062983959761604</v>
      </c>
      <c r="X48">
        <v>0</v>
      </c>
      <c r="Y48">
        <v>0</v>
      </c>
    </row>
    <row r="49" spans="1:25" x14ac:dyDescent="0.2">
      <c r="A49" t="s">
        <v>205</v>
      </c>
      <c r="B49" t="s">
        <v>206</v>
      </c>
      <c r="C49" t="s">
        <v>207</v>
      </c>
      <c r="D49" t="s">
        <v>208</v>
      </c>
      <c r="E49" t="s">
        <v>206</v>
      </c>
      <c r="F49" t="s">
        <v>28</v>
      </c>
      <c r="G49" t="s">
        <v>206</v>
      </c>
      <c r="H49" t="str">
        <f>"vab-10"</f>
        <v>vab-10</v>
      </c>
      <c r="I49" t="s">
        <v>208</v>
      </c>
      <c r="J49">
        <v>14.179956953749899</v>
      </c>
      <c r="K49">
        <v>14.4377412108465</v>
      </c>
      <c r="L49">
        <v>14.2445464099474</v>
      </c>
      <c r="M49">
        <v>14.446317033556999</v>
      </c>
      <c r="N49">
        <v>14.573380795308401</v>
      </c>
      <c r="O49">
        <v>14.7256900440187</v>
      </c>
      <c r="P49">
        <v>0.29438109944676499</v>
      </c>
      <c r="Q49">
        <v>-5.9812289312313603E-2</v>
      </c>
      <c r="R49">
        <v>0.64857448820584396</v>
      </c>
      <c r="S49">
        <v>14.6073487361127</v>
      </c>
      <c r="T49">
        <v>1.7468756274382999</v>
      </c>
      <c r="U49">
        <v>-5.4115385951795698</v>
      </c>
      <c r="V49">
        <v>9.7799284553142796E-2</v>
      </c>
      <c r="W49">
        <v>0.64706962026413395</v>
      </c>
      <c r="X49">
        <v>0</v>
      </c>
      <c r="Y49">
        <v>0</v>
      </c>
    </row>
    <row r="50" spans="1:25" x14ac:dyDescent="0.2">
      <c r="A50" t="s">
        <v>209</v>
      </c>
      <c r="B50" t="s">
        <v>210</v>
      </c>
      <c r="C50" t="s">
        <v>14194</v>
      </c>
      <c r="D50" t="s">
        <v>211</v>
      </c>
      <c r="E50" t="s">
        <v>210</v>
      </c>
      <c r="F50" t="s">
        <v>28</v>
      </c>
      <c r="G50" t="s">
        <v>210</v>
      </c>
      <c r="H50" t="str">
        <f>"F43B10.1"</f>
        <v>F43B10.1</v>
      </c>
      <c r="I50" t="s">
        <v>211</v>
      </c>
      <c r="J50">
        <v>12.5862178820097</v>
      </c>
      <c r="K50">
        <v>13.053102137911599</v>
      </c>
      <c r="L50">
        <v>13.219347741859799</v>
      </c>
      <c r="M50">
        <v>12.8307439167169</v>
      </c>
      <c r="N50">
        <v>12.623496780298399</v>
      </c>
      <c r="O50">
        <v>12.555457523088201</v>
      </c>
      <c r="P50">
        <v>-0.282989847225874</v>
      </c>
      <c r="Q50">
        <v>-0.777311862917903</v>
      </c>
      <c r="R50">
        <v>0.21133216846615499</v>
      </c>
      <c r="S50">
        <v>12.891987440011</v>
      </c>
      <c r="T50">
        <v>-1.2142564844141299</v>
      </c>
      <c r="U50">
        <v>-6.1412153956359203</v>
      </c>
      <c r="V50">
        <v>0.24238259438587201</v>
      </c>
      <c r="W50">
        <v>0.82472934687515598</v>
      </c>
      <c r="X50">
        <v>0</v>
      </c>
      <c r="Y50">
        <v>0</v>
      </c>
    </row>
    <row r="51" spans="1:25" x14ac:dyDescent="0.2">
      <c r="A51" t="s">
        <v>212</v>
      </c>
      <c r="B51" t="s">
        <v>213</v>
      </c>
      <c r="C51" t="s">
        <v>14195</v>
      </c>
      <c r="D51" t="s">
        <v>214</v>
      </c>
      <c r="E51" t="s">
        <v>213</v>
      </c>
      <c r="F51" t="s">
        <v>28</v>
      </c>
      <c r="G51" t="s">
        <v>213</v>
      </c>
      <c r="H51" t="str">
        <f>"H05L14.2"</f>
        <v>H05L14.2</v>
      </c>
      <c r="I51" t="s">
        <v>214</v>
      </c>
      <c r="J51">
        <v>11.6333501971164</v>
      </c>
      <c r="K51">
        <v>11.092310578738299</v>
      </c>
      <c r="L51">
        <v>12.0330338834797</v>
      </c>
      <c r="M51">
        <v>11.5038190266056</v>
      </c>
      <c r="N51">
        <v>12.043066893221001</v>
      </c>
      <c r="O51">
        <v>11.059103019679799</v>
      </c>
      <c r="P51">
        <v>-5.0901906609306401E-2</v>
      </c>
      <c r="Q51">
        <v>-0.57869535812617401</v>
      </c>
      <c r="R51">
        <v>0.47689154490756203</v>
      </c>
      <c r="S51">
        <v>12.169680910982899</v>
      </c>
      <c r="T51">
        <v>-0.20568928008668599</v>
      </c>
      <c r="U51">
        <v>-6.8601800435010398</v>
      </c>
      <c r="V51">
        <v>0.83981842681401297</v>
      </c>
      <c r="W51">
        <v>0.99370971747667503</v>
      </c>
      <c r="X51">
        <v>0</v>
      </c>
      <c r="Y51">
        <v>0</v>
      </c>
    </row>
    <row r="52" spans="1:25" x14ac:dyDescent="0.2">
      <c r="A52" t="s">
        <v>215</v>
      </c>
      <c r="B52" t="s">
        <v>216</v>
      </c>
      <c r="C52" t="s">
        <v>217</v>
      </c>
      <c r="D52" t="s">
        <v>218</v>
      </c>
      <c r="E52" t="s">
        <v>216</v>
      </c>
      <c r="F52" t="s">
        <v>28</v>
      </c>
      <c r="G52" t="s">
        <v>216</v>
      </c>
      <c r="H52" t="str">
        <f>"ubc-15"</f>
        <v>ubc-15</v>
      </c>
      <c r="I52" t="s">
        <v>218</v>
      </c>
      <c r="J52" t="s">
        <v>29</v>
      </c>
      <c r="K52" t="s">
        <v>29</v>
      </c>
      <c r="L52" t="s">
        <v>29</v>
      </c>
      <c r="M52" t="s">
        <v>29</v>
      </c>
      <c r="N52" t="s">
        <v>29</v>
      </c>
      <c r="O52" t="s">
        <v>29</v>
      </c>
      <c r="P52" t="s">
        <v>29</v>
      </c>
      <c r="Q52" t="s">
        <v>29</v>
      </c>
      <c r="R52" t="s">
        <v>29</v>
      </c>
      <c r="S52">
        <v>12.4103078793504</v>
      </c>
      <c r="T52" t="s">
        <v>29</v>
      </c>
      <c r="U52" t="s">
        <v>29</v>
      </c>
      <c r="V52" t="s">
        <v>29</v>
      </c>
      <c r="W52" t="s">
        <v>29</v>
      </c>
      <c r="X52" t="s">
        <v>29</v>
      </c>
      <c r="Y52" t="s">
        <v>29</v>
      </c>
    </row>
    <row r="53" spans="1:25" x14ac:dyDescent="0.2">
      <c r="A53" t="s">
        <v>219</v>
      </c>
      <c r="B53" t="s">
        <v>220</v>
      </c>
      <c r="C53" t="s">
        <v>14196</v>
      </c>
      <c r="D53" t="s">
        <v>221</v>
      </c>
      <c r="E53" t="s">
        <v>220</v>
      </c>
      <c r="F53" t="s">
        <v>28</v>
      </c>
      <c r="G53" t="s">
        <v>220</v>
      </c>
      <c r="H53" t="str">
        <f>"F42G2.2"</f>
        <v>F42G2.2</v>
      </c>
      <c r="I53" t="s">
        <v>221</v>
      </c>
      <c r="J53" t="s">
        <v>29</v>
      </c>
      <c r="K53" t="s">
        <v>29</v>
      </c>
      <c r="L53">
        <v>11.7749973551536</v>
      </c>
      <c r="M53" t="s">
        <v>29</v>
      </c>
      <c r="N53">
        <v>10.8394088903007</v>
      </c>
      <c r="O53" t="s">
        <v>29</v>
      </c>
      <c r="P53">
        <v>-0.93558846485285796</v>
      </c>
      <c r="Q53">
        <v>-2.0610074093136399</v>
      </c>
      <c r="R53">
        <v>0.18983047960793001</v>
      </c>
      <c r="S53">
        <v>11.8522968350778</v>
      </c>
      <c r="T53">
        <v>-1.8549727221521699</v>
      </c>
      <c r="U53">
        <v>-4.7747816820331499</v>
      </c>
      <c r="V53">
        <v>9.3596649176083305E-2</v>
      </c>
      <c r="W53">
        <v>0.63569316011837795</v>
      </c>
      <c r="X53">
        <v>0</v>
      </c>
      <c r="Y53">
        <v>0</v>
      </c>
    </row>
    <row r="54" spans="1:25" x14ac:dyDescent="0.2">
      <c r="A54" t="s">
        <v>222</v>
      </c>
      <c r="B54" t="s">
        <v>223</v>
      </c>
      <c r="C54" t="s">
        <v>224</v>
      </c>
      <c r="D54" t="s">
        <v>225</v>
      </c>
      <c r="E54" t="s">
        <v>223</v>
      </c>
      <c r="F54" t="s">
        <v>28</v>
      </c>
      <c r="G54" t="s">
        <v>223</v>
      </c>
      <c r="H54" t="str">
        <f>"aakg-1"</f>
        <v>aakg-1</v>
      </c>
      <c r="I54" t="s">
        <v>225</v>
      </c>
      <c r="J54">
        <v>12.022926156126699</v>
      </c>
      <c r="K54">
        <v>12.415505450300101</v>
      </c>
      <c r="L54">
        <v>11.617307840359301</v>
      </c>
      <c r="M54">
        <v>12.1910427226536</v>
      </c>
      <c r="N54">
        <v>12.573006955263001</v>
      </c>
      <c r="O54">
        <v>12.174709526596599</v>
      </c>
      <c r="P54">
        <v>0.29433991924232</v>
      </c>
      <c r="Q54">
        <v>-0.171436726602857</v>
      </c>
      <c r="R54">
        <v>0.76011656508749803</v>
      </c>
      <c r="S54">
        <v>12.603750103843501</v>
      </c>
      <c r="T54">
        <v>1.34035854407174</v>
      </c>
      <c r="U54">
        <v>-5.9877418879909596</v>
      </c>
      <c r="V54">
        <v>0.19897393057274501</v>
      </c>
      <c r="W54">
        <v>0.79075284576134597</v>
      </c>
      <c r="X54">
        <v>0</v>
      </c>
      <c r="Y54">
        <v>0</v>
      </c>
    </row>
    <row r="55" spans="1:25" x14ac:dyDescent="0.2">
      <c r="A55" t="s">
        <v>226</v>
      </c>
      <c r="B55" t="s">
        <v>227</v>
      </c>
      <c r="C55" t="s">
        <v>228</v>
      </c>
      <c r="D55" t="s">
        <v>229</v>
      </c>
      <c r="E55" t="s">
        <v>227</v>
      </c>
      <c r="F55" t="s">
        <v>28</v>
      </c>
      <c r="G55" t="s">
        <v>227</v>
      </c>
      <c r="H55" t="str">
        <f>"argn-1"</f>
        <v>argn-1</v>
      </c>
      <c r="I55" t="s">
        <v>229</v>
      </c>
      <c r="J55">
        <v>13.176354262628999</v>
      </c>
      <c r="K55">
        <v>12.971672319152599</v>
      </c>
      <c r="L55">
        <v>13.6400111841814</v>
      </c>
      <c r="M55">
        <v>13.3759116530996</v>
      </c>
      <c r="N55">
        <v>13.777642481779701</v>
      </c>
      <c r="O55">
        <v>13.2890826502884</v>
      </c>
      <c r="P55">
        <v>0.21819967306818799</v>
      </c>
      <c r="Q55">
        <v>-0.20204423505050001</v>
      </c>
      <c r="R55">
        <v>0.63844358118687705</v>
      </c>
      <c r="S55">
        <v>13.3787151124024</v>
      </c>
      <c r="T55">
        <v>1.0959801340059701</v>
      </c>
      <c r="U55">
        <v>-6.2745064051794799</v>
      </c>
      <c r="V55">
        <v>0.28846484675689199</v>
      </c>
      <c r="W55">
        <v>0.856190392347986</v>
      </c>
      <c r="X55">
        <v>0</v>
      </c>
      <c r="Y55">
        <v>0</v>
      </c>
    </row>
    <row r="56" spans="1:25" x14ac:dyDescent="0.2">
      <c r="A56" t="s">
        <v>230</v>
      </c>
      <c r="B56" t="s">
        <v>231</v>
      </c>
      <c r="C56" t="s">
        <v>232</v>
      </c>
      <c r="D56" t="s">
        <v>233</v>
      </c>
      <c r="E56" t="s">
        <v>231</v>
      </c>
      <c r="F56" t="s">
        <v>28</v>
      </c>
      <c r="G56" t="s">
        <v>231</v>
      </c>
      <c r="H56" t="str">
        <f>"unc-108"</f>
        <v>unc-108</v>
      </c>
      <c r="I56" t="s">
        <v>233</v>
      </c>
      <c r="J56">
        <v>15.204015792641</v>
      </c>
      <c r="K56">
        <v>15.258716210621699</v>
      </c>
      <c r="L56">
        <v>14.7111165174394</v>
      </c>
      <c r="M56">
        <v>14.7303169707689</v>
      </c>
      <c r="N56">
        <v>14.0543284490297</v>
      </c>
      <c r="O56">
        <v>15.246711416866599</v>
      </c>
      <c r="P56">
        <v>-0.38083056134565402</v>
      </c>
      <c r="Q56">
        <v>-1.03548362104223</v>
      </c>
      <c r="R56">
        <v>0.27382249835092598</v>
      </c>
      <c r="S56">
        <v>14.306495191261099</v>
      </c>
      <c r="T56">
        <v>-1.2226808326191101</v>
      </c>
      <c r="U56">
        <v>-6.1326167575898802</v>
      </c>
      <c r="V56">
        <v>0.23730967424914201</v>
      </c>
      <c r="W56">
        <v>0.82181747752460499</v>
      </c>
      <c r="X56">
        <v>0</v>
      </c>
      <c r="Y56">
        <v>0</v>
      </c>
    </row>
    <row r="57" spans="1:25" x14ac:dyDescent="0.2">
      <c r="A57" t="s">
        <v>234</v>
      </c>
      <c r="B57" t="s">
        <v>235</v>
      </c>
      <c r="C57" t="s">
        <v>236</v>
      </c>
      <c r="D57" t="s">
        <v>237</v>
      </c>
      <c r="E57" t="s">
        <v>235</v>
      </c>
      <c r="F57" t="s">
        <v>28</v>
      </c>
      <c r="G57" t="s">
        <v>235</v>
      </c>
      <c r="H57" t="str">
        <f>"ampd-1"</f>
        <v>ampd-1</v>
      </c>
      <c r="I57" t="s">
        <v>237</v>
      </c>
      <c r="J57">
        <v>12.726094433296501</v>
      </c>
      <c r="K57">
        <v>11.783712190855301</v>
      </c>
      <c r="L57">
        <v>12.351551426175501</v>
      </c>
      <c r="M57">
        <v>16.808033047248099</v>
      </c>
      <c r="N57">
        <v>16.984770261003298</v>
      </c>
      <c r="O57">
        <v>16.199924592392001</v>
      </c>
      <c r="P57">
        <v>4.3771232834387197</v>
      </c>
      <c r="Q57">
        <v>3.5545942591475499</v>
      </c>
      <c r="R57">
        <v>5.1996523077298802</v>
      </c>
      <c r="S57">
        <v>15.958799802712999</v>
      </c>
      <c r="T57">
        <v>11.184847326136699</v>
      </c>
      <c r="U57">
        <v>12.094781309239499</v>
      </c>
      <c r="V57" s="2">
        <v>1.65772110488441E-9</v>
      </c>
      <c r="W57" s="2">
        <v>7.8812797672218799E-7</v>
      </c>
      <c r="X57">
        <v>1</v>
      </c>
      <c r="Y57">
        <v>1</v>
      </c>
    </row>
    <row r="58" spans="1:25" x14ac:dyDescent="0.2">
      <c r="A58" t="s">
        <v>238</v>
      </c>
      <c r="B58" t="s">
        <v>239</v>
      </c>
      <c r="C58" t="s">
        <v>240</v>
      </c>
      <c r="D58" t="s">
        <v>241</v>
      </c>
      <c r="E58" t="s">
        <v>239</v>
      </c>
      <c r="F58" t="s">
        <v>28</v>
      </c>
      <c r="G58" t="s">
        <v>239</v>
      </c>
      <c r="H58" t="str">
        <f>"unc-68"</f>
        <v>unc-68</v>
      </c>
      <c r="I58" t="s">
        <v>241</v>
      </c>
      <c r="J58">
        <v>11.668501225041901</v>
      </c>
      <c r="K58">
        <v>11.7646107681313</v>
      </c>
      <c r="L58">
        <v>11.0104726657997</v>
      </c>
      <c r="M58">
        <v>11.1587526075122</v>
      </c>
      <c r="N58">
        <v>11.433044139859399</v>
      </c>
      <c r="O58">
        <v>10.992266067071601</v>
      </c>
      <c r="P58">
        <v>-0.28650728150990001</v>
      </c>
      <c r="Q58">
        <v>-0.89888478302376595</v>
      </c>
      <c r="R58">
        <v>0.32587022000396498</v>
      </c>
      <c r="S58">
        <v>11.2030041267413</v>
      </c>
      <c r="T58">
        <v>-0.98756672984631799</v>
      </c>
      <c r="U58">
        <v>-6.3856635502560799</v>
      </c>
      <c r="V58">
        <v>0.33729808393118799</v>
      </c>
      <c r="W58">
        <v>0.87368774661315896</v>
      </c>
      <c r="X58">
        <v>0</v>
      </c>
      <c r="Y58">
        <v>0</v>
      </c>
    </row>
    <row r="59" spans="1:25" x14ac:dyDescent="0.2">
      <c r="A59" t="s">
        <v>242</v>
      </c>
      <c r="B59" t="s">
        <v>243</v>
      </c>
      <c r="C59" t="s">
        <v>244</v>
      </c>
      <c r="D59" t="s">
        <v>245</v>
      </c>
      <c r="E59" t="s">
        <v>243</v>
      </c>
      <c r="F59" t="s">
        <v>28</v>
      </c>
      <c r="G59" t="s">
        <v>243</v>
      </c>
      <c r="H59" t="str">
        <f>"C25H3.11"</f>
        <v>C25H3.11</v>
      </c>
      <c r="I59" t="s">
        <v>245</v>
      </c>
      <c r="J59">
        <v>10.949068131483701</v>
      </c>
      <c r="K59">
        <v>9.1988829662563703</v>
      </c>
      <c r="L59">
        <v>11.292826433694101</v>
      </c>
      <c r="M59">
        <v>10.774851902327899</v>
      </c>
      <c r="N59" t="s">
        <v>29</v>
      </c>
      <c r="O59">
        <v>10.5051493374906</v>
      </c>
      <c r="P59">
        <v>0.15974144276452201</v>
      </c>
      <c r="Q59">
        <v>-1.05963918374618</v>
      </c>
      <c r="R59">
        <v>1.37912206927522</v>
      </c>
      <c r="S59">
        <v>10.5786249075736</v>
      </c>
      <c r="T59">
        <v>0.27939582859266898</v>
      </c>
      <c r="U59">
        <v>-6.7311974461465196</v>
      </c>
      <c r="V59">
        <v>0.78378329910834998</v>
      </c>
      <c r="W59">
        <v>0.99278624068726296</v>
      </c>
      <c r="X59">
        <v>0</v>
      </c>
      <c r="Y59">
        <v>0</v>
      </c>
    </row>
    <row r="60" spans="1:25" x14ac:dyDescent="0.2">
      <c r="A60" t="s">
        <v>246</v>
      </c>
      <c r="B60" t="s">
        <v>247</v>
      </c>
      <c r="C60" t="s">
        <v>248</v>
      </c>
      <c r="D60" t="s">
        <v>218</v>
      </c>
      <c r="E60" t="s">
        <v>247</v>
      </c>
      <c r="F60" t="s">
        <v>28</v>
      </c>
      <c r="G60" t="s">
        <v>247</v>
      </c>
      <c r="H60" t="str">
        <f>"ubc-26"</f>
        <v>ubc-26</v>
      </c>
      <c r="I60" t="s">
        <v>218</v>
      </c>
      <c r="J60">
        <v>13.0304877162895</v>
      </c>
      <c r="K60">
        <v>13.2428179381898</v>
      </c>
      <c r="L60">
        <v>13.706172229730999</v>
      </c>
      <c r="M60">
        <v>13.182747538218401</v>
      </c>
      <c r="N60">
        <v>13.409364165638801</v>
      </c>
      <c r="O60">
        <v>13.3381912921562</v>
      </c>
      <c r="P60">
        <v>-1.63916293989157E-2</v>
      </c>
      <c r="Q60">
        <v>-0.42222460966606901</v>
      </c>
      <c r="R60">
        <v>0.389441350868237</v>
      </c>
      <c r="S60">
        <v>13.3339863567112</v>
      </c>
      <c r="T60">
        <v>-8.5255970457180003E-2</v>
      </c>
      <c r="U60">
        <v>-6.8786806857260103</v>
      </c>
      <c r="V60">
        <v>0.93306005525385605</v>
      </c>
      <c r="W60">
        <v>0.99926809132575301</v>
      </c>
      <c r="X60">
        <v>0</v>
      </c>
      <c r="Y60">
        <v>0</v>
      </c>
    </row>
    <row r="61" spans="1:25" x14ac:dyDescent="0.2">
      <c r="A61" t="s">
        <v>249</v>
      </c>
      <c r="B61" t="s">
        <v>250</v>
      </c>
      <c r="C61" t="s">
        <v>251</v>
      </c>
      <c r="D61" t="s">
        <v>252</v>
      </c>
      <c r="E61" t="s">
        <v>250</v>
      </c>
      <c r="F61" t="s">
        <v>28</v>
      </c>
      <c r="G61" t="s">
        <v>250</v>
      </c>
      <c r="H61" t="str">
        <f>"rbm-26"</f>
        <v>rbm-26</v>
      </c>
      <c r="I61" t="s">
        <v>252</v>
      </c>
      <c r="J61" t="s">
        <v>29</v>
      </c>
      <c r="K61" t="s">
        <v>29</v>
      </c>
      <c r="L61" t="s">
        <v>29</v>
      </c>
      <c r="M61" t="s">
        <v>29</v>
      </c>
      <c r="N61" t="s">
        <v>29</v>
      </c>
      <c r="O61" t="s">
        <v>29</v>
      </c>
      <c r="P61" t="s">
        <v>29</v>
      </c>
      <c r="Q61" t="s">
        <v>29</v>
      </c>
      <c r="R61" t="s">
        <v>29</v>
      </c>
      <c r="S61">
        <v>12.116946644335</v>
      </c>
      <c r="T61" t="s">
        <v>29</v>
      </c>
      <c r="U61" t="s">
        <v>29</v>
      </c>
      <c r="V61" t="s">
        <v>29</v>
      </c>
      <c r="W61" t="s">
        <v>29</v>
      </c>
      <c r="X61" t="s">
        <v>29</v>
      </c>
      <c r="Y61" t="s">
        <v>29</v>
      </c>
    </row>
    <row r="62" spans="1:25" x14ac:dyDescent="0.2">
      <c r="A62" t="s">
        <v>253</v>
      </c>
      <c r="B62" t="s">
        <v>254</v>
      </c>
      <c r="C62" t="s">
        <v>255</v>
      </c>
      <c r="D62" t="s">
        <v>256</v>
      </c>
      <c r="E62" t="s">
        <v>254</v>
      </c>
      <c r="F62" t="s">
        <v>28</v>
      </c>
      <c r="G62" t="s">
        <v>254</v>
      </c>
      <c r="H62" t="str">
        <f>"popl-7"</f>
        <v>popl-7</v>
      </c>
      <c r="I62" t="s">
        <v>256</v>
      </c>
      <c r="J62">
        <v>12.661963338902</v>
      </c>
      <c r="K62">
        <v>12.6445809519506</v>
      </c>
      <c r="L62">
        <v>13.080964895317001</v>
      </c>
      <c r="M62">
        <v>11.8234628238373</v>
      </c>
      <c r="N62">
        <v>12.431197833992</v>
      </c>
      <c r="O62">
        <v>13.1953073313095</v>
      </c>
      <c r="P62">
        <v>-0.31251373234361202</v>
      </c>
      <c r="Q62">
        <v>-0.92270532773715397</v>
      </c>
      <c r="R62">
        <v>0.29767786304992899</v>
      </c>
      <c r="S62">
        <v>12.764272222603999</v>
      </c>
      <c r="T62">
        <v>-1.0863065895847199</v>
      </c>
      <c r="U62">
        <v>-6.2839894531453302</v>
      </c>
      <c r="V62">
        <v>0.29354347185033403</v>
      </c>
      <c r="W62">
        <v>0.85855590823088301</v>
      </c>
      <c r="X62">
        <v>0</v>
      </c>
      <c r="Y62">
        <v>0</v>
      </c>
    </row>
    <row r="63" spans="1:25" x14ac:dyDescent="0.2">
      <c r="A63" t="s">
        <v>257</v>
      </c>
      <c r="B63" t="s">
        <v>258</v>
      </c>
      <c r="C63" t="s">
        <v>14197</v>
      </c>
      <c r="D63" t="s">
        <v>259</v>
      </c>
      <c r="E63" t="s">
        <v>258</v>
      </c>
      <c r="F63" t="s">
        <v>28</v>
      </c>
      <c r="G63" t="s">
        <v>258</v>
      </c>
      <c r="H63" t="str">
        <f>"Y48E1B.17"</f>
        <v>Y48E1B.17</v>
      </c>
      <c r="I63" t="s">
        <v>259</v>
      </c>
      <c r="J63" t="s">
        <v>29</v>
      </c>
      <c r="K63">
        <v>10.004524028772</v>
      </c>
      <c r="L63" t="s">
        <v>29</v>
      </c>
      <c r="M63" t="s">
        <v>29</v>
      </c>
      <c r="N63" t="s">
        <v>29</v>
      </c>
      <c r="O63" t="s">
        <v>29</v>
      </c>
      <c r="P63" t="s">
        <v>29</v>
      </c>
      <c r="Q63" t="s">
        <v>29</v>
      </c>
      <c r="R63" t="s">
        <v>29</v>
      </c>
      <c r="S63">
        <v>10.934123658481299</v>
      </c>
      <c r="T63" t="s">
        <v>29</v>
      </c>
      <c r="U63" t="s">
        <v>29</v>
      </c>
      <c r="V63" t="s">
        <v>29</v>
      </c>
      <c r="W63" t="s">
        <v>29</v>
      </c>
      <c r="X63" t="s">
        <v>29</v>
      </c>
      <c r="Y63" t="s">
        <v>29</v>
      </c>
    </row>
    <row r="64" spans="1:25" x14ac:dyDescent="0.2">
      <c r="A64" t="s">
        <v>260</v>
      </c>
      <c r="B64" t="s">
        <v>261</v>
      </c>
      <c r="C64" t="s">
        <v>14198</v>
      </c>
      <c r="D64" t="s">
        <v>262</v>
      </c>
      <c r="E64" t="s">
        <v>261</v>
      </c>
      <c r="F64" t="s">
        <v>28</v>
      </c>
      <c r="G64" t="s">
        <v>261</v>
      </c>
      <c r="H64" t="str">
        <f>"Y55F3C.17"</f>
        <v>Y55F3C.17</v>
      </c>
      <c r="I64" t="s">
        <v>262</v>
      </c>
      <c r="J64">
        <v>13.3713843315209</v>
      </c>
      <c r="K64">
        <v>13.8938146839377</v>
      </c>
      <c r="L64">
        <v>13.449076791245799</v>
      </c>
      <c r="M64">
        <v>12.963267678982501</v>
      </c>
      <c r="N64">
        <v>12.9904633570351</v>
      </c>
      <c r="O64">
        <v>13.5105212541695</v>
      </c>
      <c r="P64">
        <v>-0.41667450550573198</v>
      </c>
      <c r="Q64">
        <v>-1.0507931031719799</v>
      </c>
      <c r="R64">
        <v>0.21744409216051899</v>
      </c>
      <c r="S64">
        <v>13.4553214115153</v>
      </c>
      <c r="T64">
        <v>-1.4014191380369501</v>
      </c>
      <c r="U64">
        <v>-5.9089268734385403</v>
      </c>
      <c r="V64">
        <v>0.18158046269849601</v>
      </c>
      <c r="W64">
        <v>0.78295732499061499</v>
      </c>
      <c r="X64">
        <v>0</v>
      </c>
      <c r="Y64">
        <v>0</v>
      </c>
    </row>
    <row r="65" spans="1:25" x14ac:dyDescent="0.2">
      <c r="A65" t="s">
        <v>263</v>
      </c>
      <c r="B65" t="s">
        <v>264</v>
      </c>
      <c r="C65" t="s">
        <v>265</v>
      </c>
      <c r="D65" t="s">
        <v>266</v>
      </c>
      <c r="E65" t="s">
        <v>264</v>
      </c>
      <c r="F65" t="s">
        <v>28</v>
      </c>
      <c r="G65" t="s">
        <v>264</v>
      </c>
      <c r="H65" t="str">
        <f>"abts-3"</f>
        <v>abts-3</v>
      </c>
      <c r="I65" t="s">
        <v>266</v>
      </c>
      <c r="J65">
        <v>11.9899415223493</v>
      </c>
      <c r="K65">
        <v>12.4214031280351</v>
      </c>
      <c r="L65">
        <v>12.2406066694959</v>
      </c>
      <c r="M65">
        <v>12.567559840569301</v>
      </c>
      <c r="N65" t="s">
        <v>29</v>
      </c>
      <c r="O65">
        <v>12.254920581537201</v>
      </c>
      <c r="P65">
        <v>0.193923104426485</v>
      </c>
      <c r="Q65">
        <v>-0.86740164188437796</v>
      </c>
      <c r="R65">
        <v>1.2552478507373499</v>
      </c>
      <c r="S65">
        <v>12.7624767933876</v>
      </c>
      <c r="T65">
        <v>0.38755272440941402</v>
      </c>
      <c r="U65">
        <v>-6.6937822521853301</v>
      </c>
      <c r="V65">
        <v>0.70348744246420203</v>
      </c>
      <c r="W65">
        <v>0.98642420921484297</v>
      </c>
      <c r="X65">
        <v>0</v>
      </c>
      <c r="Y65">
        <v>0</v>
      </c>
    </row>
    <row r="66" spans="1:25" x14ac:dyDescent="0.2">
      <c r="A66" t="s">
        <v>267</v>
      </c>
      <c r="B66" t="s">
        <v>268</v>
      </c>
      <c r="C66" t="s">
        <v>269</v>
      </c>
      <c r="D66" t="s">
        <v>270</v>
      </c>
      <c r="E66" t="s">
        <v>268</v>
      </c>
      <c r="F66" t="s">
        <v>28</v>
      </c>
      <c r="G66" t="s">
        <v>268</v>
      </c>
      <c r="H66" t="str">
        <f>"grd-6"</f>
        <v>grd-6</v>
      </c>
      <c r="I66" t="s">
        <v>270</v>
      </c>
      <c r="J66" t="s">
        <v>29</v>
      </c>
      <c r="K66">
        <v>13.106788590240001</v>
      </c>
      <c r="L66">
        <v>12.788298635310101</v>
      </c>
      <c r="M66" t="s">
        <v>29</v>
      </c>
      <c r="N66" t="s">
        <v>29</v>
      </c>
      <c r="O66" t="s">
        <v>29</v>
      </c>
      <c r="P66" t="s">
        <v>29</v>
      </c>
      <c r="Q66" t="s">
        <v>29</v>
      </c>
      <c r="R66" t="s">
        <v>29</v>
      </c>
      <c r="S66">
        <v>13.0365761850497</v>
      </c>
      <c r="T66" t="s">
        <v>29</v>
      </c>
      <c r="U66" t="s">
        <v>29</v>
      </c>
      <c r="V66" t="s">
        <v>29</v>
      </c>
      <c r="W66" t="s">
        <v>29</v>
      </c>
      <c r="X66" t="s">
        <v>29</v>
      </c>
      <c r="Y66" t="s">
        <v>29</v>
      </c>
    </row>
    <row r="67" spans="1:25" x14ac:dyDescent="0.2">
      <c r="A67" t="s">
        <v>271</v>
      </c>
      <c r="B67" t="s">
        <v>272</v>
      </c>
      <c r="C67" t="s">
        <v>273</v>
      </c>
      <c r="D67" t="s">
        <v>274</v>
      </c>
      <c r="E67" t="s">
        <v>272</v>
      </c>
      <c r="F67" t="s">
        <v>28</v>
      </c>
      <c r="G67" t="s">
        <v>272</v>
      </c>
      <c r="H67" t="str">
        <f>"tsr-1"</f>
        <v>tsr-1</v>
      </c>
      <c r="I67" t="s">
        <v>274</v>
      </c>
      <c r="J67">
        <v>12.287667062648</v>
      </c>
      <c r="K67" t="s">
        <v>29</v>
      </c>
      <c r="L67">
        <v>12.2043153021382</v>
      </c>
      <c r="M67">
        <v>12.652063315618699</v>
      </c>
      <c r="N67">
        <v>12.2600834846164</v>
      </c>
      <c r="O67">
        <v>11.1478094025661</v>
      </c>
      <c r="P67">
        <v>-0.22600578145931399</v>
      </c>
      <c r="Q67">
        <v>-0.96441466173785595</v>
      </c>
      <c r="R67">
        <v>0.51240309881922896</v>
      </c>
      <c r="S67">
        <v>12.266053404641401</v>
      </c>
      <c r="T67">
        <v>-0.65277609786158797</v>
      </c>
      <c r="U67">
        <v>-6.5509557232985003</v>
      </c>
      <c r="V67">
        <v>0.52384864191742797</v>
      </c>
      <c r="W67">
        <v>0.94245155746843701</v>
      </c>
      <c r="X67">
        <v>0</v>
      </c>
      <c r="Y67">
        <v>0</v>
      </c>
    </row>
    <row r="68" spans="1:25" x14ac:dyDescent="0.2">
      <c r="A68" t="s">
        <v>275</v>
      </c>
      <c r="B68" t="s">
        <v>276</v>
      </c>
      <c r="C68" t="s">
        <v>277</v>
      </c>
      <c r="D68" t="s">
        <v>278</v>
      </c>
      <c r="E68" t="s">
        <v>276</v>
      </c>
      <c r="F68" t="s">
        <v>28</v>
      </c>
      <c r="G68" t="s">
        <v>276</v>
      </c>
      <c r="H68" t="str">
        <f>"tag-296"</f>
        <v>tag-296</v>
      </c>
      <c r="I68" t="s">
        <v>278</v>
      </c>
      <c r="J68" t="s">
        <v>29</v>
      </c>
      <c r="K68" t="s">
        <v>29</v>
      </c>
      <c r="L68">
        <v>11.391877686451201</v>
      </c>
      <c r="M68">
        <v>11.0552575424095</v>
      </c>
      <c r="N68">
        <v>11.439571182084199</v>
      </c>
      <c r="O68" t="s">
        <v>29</v>
      </c>
      <c r="P68">
        <v>-0.144463324204338</v>
      </c>
      <c r="Q68">
        <v>-1.6121266852837099</v>
      </c>
      <c r="R68">
        <v>1.3232000368750401</v>
      </c>
      <c r="S68">
        <v>11.981490566472401</v>
      </c>
      <c r="T68">
        <v>-0.214672376435558</v>
      </c>
      <c r="U68">
        <v>-6.4590674563627299</v>
      </c>
      <c r="V68">
        <v>0.83365898953306505</v>
      </c>
      <c r="W68">
        <v>0.99370240586176295</v>
      </c>
      <c r="X68">
        <v>0</v>
      </c>
      <c r="Y68">
        <v>0</v>
      </c>
    </row>
    <row r="69" spans="1:25" x14ac:dyDescent="0.2">
      <c r="A69" t="s">
        <v>279</v>
      </c>
      <c r="B69" t="s">
        <v>280</v>
      </c>
      <c r="C69" t="s">
        <v>281</v>
      </c>
      <c r="D69" t="s">
        <v>282</v>
      </c>
      <c r="E69" t="s">
        <v>280</v>
      </c>
      <c r="F69" t="s">
        <v>28</v>
      </c>
      <c r="G69" t="s">
        <v>280</v>
      </c>
      <c r="H69" t="str">
        <f>"golg-4"</f>
        <v>golg-4</v>
      </c>
      <c r="I69" t="s">
        <v>282</v>
      </c>
      <c r="J69" t="s">
        <v>29</v>
      </c>
      <c r="K69" t="s">
        <v>29</v>
      </c>
      <c r="L69">
        <v>11.7186021239142</v>
      </c>
      <c r="M69">
        <v>12.501876796958999</v>
      </c>
      <c r="N69">
        <v>12.6096199152284</v>
      </c>
      <c r="O69">
        <v>11.9929055991374</v>
      </c>
      <c r="P69">
        <v>0.64953197986071698</v>
      </c>
      <c r="Q69">
        <v>-0.44951850943252603</v>
      </c>
      <c r="R69">
        <v>1.74858246915396</v>
      </c>
      <c r="S69">
        <v>12.1251675915577</v>
      </c>
      <c r="T69">
        <v>1.26845419003744</v>
      </c>
      <c r="U69">
        <v>-5.7426190342900201</v>
      </c>
      <c r="V69">
        <v>0.225475973172235</v>
      </c>
      <c r="W69">
        <v>0.80254977402909</v>
      </c>
      <c r="X69">
        <v>0</v>
      </c>
      <c r="Y69">
        <v>0</v>
      </c>
    </row>
    <row r="70" spans="1:25" x14ac:dyDescent="0.2">
      <c r="A70" t="s">
        <v>283</v>
      </c>
      <c r="B70" t="s">
        <v>284</v>
      </c>
      <c r="C70" t="s">
        <v>285</v>
      </c>
      <c r="D70" t="s">
        <v>286</v>
      </c>
      <c r="E70" t="s">
        <v>284</v>
      </c>
      <c r="F70" t="s">
        <v>28</v>
      </c>
      <c r="G70" t="s">
        <v>284</v>
      </c>
      <c r="H70" t="str">
        <f>"arx-3"</f>
        <v>arx-3</v>
      </c>
      <c r="I70" t="s">
        <v>286</v>
      </c>
      <c r="J70">
        <v>15.1930163342673</v>
      </c>
      <c r="K70">
        <v>15.495005531883599</v>
      </c>
      <c r="L70">
        <v>15.222398888755301</v>
      </c>
      <c r="M70">
        <v>15.259935453833499</v>
      </c>
      <c r="N70">
        <v>15.159176099291299</v>
      </c>
      <c r="O70">
        <v>15.2785020925447</v>
      </c>
      <c r="P70">
        <v>-7.0935703078893297E-2</v>
      </c>
      <c r="Q70">
        <v>-0.46599674097594601</v>
      </c>
      <c r="R70">
        <v>0.32412533481816003</v>
      </c>
      <c r="S70">
        <v>14.872964295287399</v>
      </c>
      <c r="T70">
        <v>-0.37901001885549501</v>
      </c>
      <c r="U70">
        <v>-6.8075198948917404</v>
      </c>
      <c r="V70">
        <v>0.70940146187624598</v>
      </c>
      <c r="W70">
        <v>0.98781927411052195</v>
      </c>
      <c r="X70">
        <v>0</v>
      </c>
      <c r="Y70">
        <v>0</v>
      </c>
    </row>
    <row r="71" spans="1:25" x14ac:dyDescent="0.2">
      <c r="A71" t="s">
        <v>287</v>
      </c>
      <c r="B71" t="s">
        <v>288</v>
      </c>
      <c r="C71" t="s">
        <v>289</v>
      </c>
      <c r="D71" t="s">
        <v>290</v>
      </c>
      <c r="E71" t="s">
        <v>288</v>
      </c>
      <c r="F71" t="s">
        <v>28</v>
      </c>
      <c r="G71" t="s">
        <v>288</v>
      </c>
      <c r="H71" t="str">
        <f>"tag-241"</f>
        <v>tag-241</v>
      </c>
      <c r="I71" t="s">
        <v>290</v>
      </c>
      <c r="J71" t="s">
        <v>29</v>
      </c>
      <c r="K71" t="s">
        <v>29</v>
      </c>
      <c r="L71">
        <v>11.025936775173401</v>
      </c>
      <c r="M71" t="s">
        <v>29</v>
      </c>
      <c r="N71" t="s">
        <v>29</v>
      </c>
      <c r="O71">
        <v>10.5159400757074</v>
      </c>
      <c r="P71">
        <v>-0.50999669946596904</v>
      </c>
      <c r="Q71">
        <v>-1.4816160138562999</v>
      </c>
      <c r="R71">
        <v>0.46162261492436701</v>
      </c>
      <c r="S71">
        <v>11.593738286432099</v>
      </c>
      <c r="T71">
        <v>-1.2450154484731</v>
      </c>
      <c r="U71">
        <v>-5.5696919013731998</v>
      </c>
      <c r="V71">
        <v>0.25377165552459402</v>
      </c>
      <c r="W71">
        <v>0.83701250057606502</v>
      </c>
      <c r="X71">
        <v>0</v>
      </c>
      <c r="Y71">
        <v>0</v>
      </c>
    </row>
    <row r="72" spans="1:25" x14ac:dyDescent="0.2">
      <c r="A72" t="s">
        <v>291</v>
      </c>
      <c r="B72" t="s">
        <v>292</v>
      </c>
      <c r="C72" t="s">
        <v>14199</v>
      </c>
      <c r="D72" t="s">
        <v>293</v>
      </c>
      <c r="E72" t="s">
        <v>292</v>
      </c>
      <c r="F72" t="s">
        <v>28</v>
      </c>
      <c r="G72" t="s">
        <v>292</v>
      </c>
      <c r="H72" t="str">
        <f>"M142.5"</f>
        <v>M142.5</v>
      </c>
      <c r="I72" t="s">
        <v>293</v>
      </c>
      <c r="J72">
        <v>13.9597657903136</v>
      </c>
      <c r="K72">
        <v>13.6489172795035</v>
      </c>
      <c r="L72">
        <v>14.0840934187157</v>
      </c>
      <c r="M72">
        <v>13.963553292394399</v>
      </c>
      <c r="N72">
        <v>13.865931744486099</v>
      </c>
      <c r="O72">
        <v>14.0981535189278</v>
      </c>
      <c r="P72">
        <v>7.82873557585297E-2</v>
      </c>
      <c r="Q72">
        <v>-0.31027808765124798</v>
      </c>
      <c r="R72">
        <v>0.46685279916830802</v>
      </c>
      <c r="S72">
        <v>13.506531091800801</v>
      </c>
      <c r="T72">
        <v>0.42346738118850702</v>
      </c>
      <c r="U72">
        <v>-6.7892639514108604</v>
      </c>
      <c r="V72">
        <v>0.67700027668201002</v>
      </c>
      <c r="W72">
        <v>0.98642420921484297</v>
      </c>
      <c r="X72">
        <v>0</v>
      </c>
      <c r="Y72">
        <v>0</v>
      </c>
    </row>
    <row r="73" spans="1:25" x14ac:dyDescent="0.2">
      <c r="A73" t="s">
        <v>294</v>
      </c>
      <c r="B73" t="s">
        <v>295</v>
      </c>
      <c r="C73" t="s">
        <v>296</v>
      </c>
      <c r="D73" t="s">
        <v>297</v>
      </c>
      <c r="E73" t="s">
        <v>295</v>
      </c>
      <c r="F73" t="s">
        <v>28</v>
      </c>
      <c r="G73" t="s">
        <v>295</v>
      </c>
      <c r="H73" t="str">
        <f>"C34F6.10"</f>
        <v>C34F6.10</v>
      </c>
      <c r="I73" t="s">
        <v>297</v>
      </c>
      <c r="J73">
        <v>12.7581496221649</v>
      </c>
      <c r="K73">
        <v>12.8311332975253</v>
      </c>
      <c r="L73">
        <v>13.041801910472</v>
      </c>
      <c r="M73">
        <v>12.265695950760399</v>
      </c>
      <c r="N73">
        <v>13.1544602724965</v>
      </c>
      <c r="O73">
        <v>12.932810092367101</v>
      </c>
      <c r="P73">
        <v>-9.2706171512695307E-2</v>
      </c>
      <c r="Q73">
        <v>-0.57487933889110598</v>
      </c>
      <c r="R73">
        <v>0.38946699586571498</v>
      </c>
      <c r="S73">
        <v>13.309277658161101</v>
      </c>
      <c r="T73">
        <v>-0.40584072115500702</v>
      </c>
      <c r="U73">
        <v>-6.7965834508899796</v>
      </c>
      <c r="V73">
        <v>0.68995326844433702</v>
      </c>
      <c r="W73">
        <v>0.98642420921484297</v>
      </c>
      <c r="X73">
        <v>0</v>
      </c>
      <c r="Y73">
        <v>0</v>
      </c>
    </row>
    <row r="74" spans="1:25" x14ac:dyDescent="0.2">
      <c r="A74" t="s">
        <v>298</v>
      </c>
      <c r="B74" t="s">
        <v>299</v>
      </c>
      <c r="C74" t="s">
        <v>14200</v>
      </c>
      <c r="D74" t="s">
        <v>300</v>
      </c>
      <c r="E74" t="s">
        <v>299</v>
      </c>
      <c r="F74" t="s">
        <v>28</v>
      </c>
      <c r="G74" t="s">
        <v>299</v>
      </c>
      <c r="H74" t="str">
        <f>"Y37E3.17"</f>
        <v>Y37E3.17</v>
      </c>
      <c r="I74" t="s">
        <v>300</v>
      </c>
      <c r="J74">
        <v>17.864265409814799</v>
      </c>
      <c r="K74">
        <v>17.611998659504099</v>
      </c>
      <c r="L74">
        <v>17.347175468623401</v>
      </c>
      <c r="M74">
        <v>17.241592424497799</v>
      </c>
      <c r="N74">
        <v>17.097933002915202</v>
      </c>
      <c r="O74">
        <v>17.509277427370399</v>
      </c>
      <c r="P74">
        <v>-0.32487889438633</v>
      </c>
      <c r="Q74">
        <v>-0.76125801998116405</v>
      </c>
      <c r="R74">
        <v>0.111500231208503</v>
      </c>
      <c r="S74">
        <v>17.065949750418099</v>
      </c>
      <c r="T74">
        <v>-1.5647683165609301</v>
      </c>
      <c r="U74">
        <v>-5.6842578357013203</v>
      </c>
      <c r="V74">
        <v>0.135148945428363</v>
      </c>
      <c r="W74">
        <v>0.72544466191224499</v>
      </c>
      <c r="X74">
        <v>0</v>
      </c>
      <c r="Y74">
        <v>0</v>
      </c>
    </row>
    <row r="75" spans="1:25" x14ac:dyDescent="0.2">
      <c r="A75" t="s">
        <v>301</v>
      </c>
      <c r="B75" t="s">
        <v>302</v>
      </c>
      <c r="C75" t="s">
        <v>303</v>
      </c>
      <c r="D75" t="s">
        <v>304</v>
      </c>
      <c r="E75" t="s">
        <v>302</v>
      </c>
      <c r="F75" t="s">
        <v>28</v>
      </c>
      <c r="G75" t="s">
        <v>302</v>
      </c>
      <c r="H75" t="str">
        <f>"ifg-1"</f>
        <v>ifg-1</v>
      </c>
      <c r="I75" t="s">
        <v>304</v>
      </c>
      <c r="J75">
        <v>14.8652522564962</v>
      </c>
      <c r="K75">
        <v>15.2896552122958</v>
      </c>
      <c r="L75">
        <v>15.579131391897</v>
      </c>
      <c r="M75">
        <v>15.137017689086299</v>
      </c>
      <c r="N75">
        <v>15.245597381578101</v>
      </c>
      <c r="O75">
        <v>15.3149377810727</v>
      </c>
      <c r="P75">
        <v>-1.21620029839882E-2</v>
      </c>
      <c r="Q75">
        <v>-0.57658495245671604</v>
      </c>
      <c r="R75">
        <v>0.55226094648874002</v>
      </c>
      <c r="S75">
        <v>15.554875030206199</v>
      </c>
      <c r="T75">
        <v>-4.5289023308528999E-2</v>
      </c>
      <c r="U75">
        <v>-6.8814179428326998</v>
      </c>
      <c r="V75">
        <v>0.96437850085937704</v>
      </c>
      <c r="W75">
        <v>0.99968702248720698</v>
      </c>
      <c r="X75">
        <v>0</v>
      </c>
      <c r="Y75">
        <v>0</v>
      </c>
    </row>
    <row r="76" spans="1:25" x14ac:dyDescent="0.2">
      <c r="A76" t="s">
        <v>305</v>
      </c>
      <c r="B76" t="s">
        <v>306</v>
      </c>
      <c r="C76" t="s">
        <v>307</v>
      </c>
      <c r="D76" t="s">
        <v>308</v>
      </c>
      <c r="E76" t="s">
        <v>306</v>
      </c>
      <c r="F76" t="s">
        <v>28</v>
      </c>
      <c r="G76" t="s">
        <v>306</v>
      </c>
      <c r="H76" t="str">
        <f>"dnj-25"</f>
        <v>dnj-25</v>
      </c>
      <c r="I76" t="s">
        <v>308</v>
      </c>
      <c r="J76">
        <v>13.281938950412201</v>
      </c>
      <c r="K76">
        <v>13.3365580381911</v>
      </c>
      <c r="L76">
        <v>13.1928344368733</v>
      </c>
      <c r="M76">
        <v>13.7467295385997</v>
      </c>
      <c r="N76">
        <v>13.613278032272</v>
      </c>
      <c r="O76">
        <v>13.6386022305106</v>
      </c>
      <c r="P76">
        <v>0.39575945863524897</v>
      </c>
      <c r="Q76">
        <v>-4.5572336216114999E-2</v>
      </c>
      <c r="R76">
        <v>0.83709125348661295</v>
      </c>
      <c r="S76">
        <v>13.097337301897801</v>
      </c>
      <c r="T76">
        <v>1.8928495667032701</v>
      </c>
      <c r="U76">
        <v>-5.1811784063875104</v>
      </c>
      <c r="V76">
        <v>7.5638507026625099E-2</v>
      </c>
      <c r="W76">
        <v>0.59090364174790699</v>
      </c>
      <c r="X76">
        <v>0</v>
      </c>
      <c r="Y76">
        <v>0</v>
      </c>
    </row>
    <row r="77" spans="1:25" x14ac:dyDescent="0.2">
      <c r="A77" t="s">
        <v>309</v>
      </c>
      <c r="B77" t="s">
        <v>310</v>
      </c>
      <c r="C77" t="s">
        <v>311</v>
      </c>
      <c r="D77" t="s">
        <v>312</v>
      </c>
      <c r="E77" t="s">
        <v>310</v>
      </c>
      <c r="F77" t="s">
        <v>28</v>
      </c>
      <c r="G77" t="s">
        <v>310</v>
      </c>
      <c r="H77" t="str">
        <f>"acl-14"</f>
        <v>acl-14</v>
      </c>
      <c r="I77" t="s">
        <v>312</v>
      </c>
      <c r="J77">
        <v>15.7646241402628</v>
      </c>
      <c r="K77">
        <v>16.050063255917198</v>
      </c>
      <c r="L77">
        <v>16.024560857998502</v>
      </c>
      <c r="M77">
        <v>15.8707355779525</v>
      </c>
      <c r="N77">
        <v>15.8878273115662</v>
      </c>
      <c r="O77">
        <v>15.7490951136491</v>
      </c>
      <c r="P77">
        <v>-0.110530083670223</v>
      </c>
      <c r="Q77">
        <v>-0.50927805183945196</v>
      </c>
      <c r="R77">
        <v>0.28821788449900498</v>
      </c>
      <c r="S77">
        <v>16.189588530426299</v>
      </c>
      <c r="T77">
        <v>-0.58260543106714802</v>
      </c>
      <c r="U77">
        <v>-6.7068166355774697</v>
      </c>
      <c r="V77">
        <v>0.567428273137628</v>
      </c>
      <c r="W77">
        <v>0.95857933654925198</v>
      </c>
      <c r="X77">
        <v>0</v>
      </c>
      <c r="Y77">
        <v>0</v>
      </c>
    </row>
    <row r="78" spans="1:25" x14ac:dyDescent="0.2">
      <c r="A78" t="s">
        <v>313</v>
      </c>
      <c r="B78" t="s">
        <v>314</v>
      </c>
      <c r="C78" t="s">
        <v>315</v>
      </c>
      <c r="D78" t="s">
        <v>316</v>
      </c>
      <c r="E78" t="s">
        <v>314</v>
      </c>
      <c r="F78" t="s">
        <v>28</v>
      </c>
      <c r="G78" t="s">
        <v>314</v>
      </c>
      <c r="H78" t="str">
        <f>"cash-1"</f>
        <v>cash-1</v>
      </c>
      <c r="I78" t="s">
        <v>316</v>
      </c>
      <c r="J78">
        <v>12.816555692430599</v>
      </c>
      <c r="K78" t="s">
        <v>29</v>
      </c>
      <c r="L78">
        <v>13.1805658848872</v>
      </c>
      <c r="M78">
        <v>15.2037908775215</v>
      </c>
      <c r="N78">
        <v>15.192938826760001</v>
      </c>
      <c r="O78">
        <v>14.9358985729945</v>
      </c>
      <c r="P78">
        <v>2.1123153037664499</v>
      </c>
      <c r="Q78">
        <v>1.4804958322261199</v>
      </c>
      <c r="R78">
        <v>2.74413477530678</v>
      </c>
      <c r="S78">
        <v>14.6469742367543</v>
      </c>
      <c r="T78">
        <v>7.0569290766426702</v>
      </c>
      <c r="U78">
        <v>5.1810463882556697</v>
      </c>
      <c r="V78" s="2">
        <v>1.9952538170030102E-6</v>
      </c>
      <c r="W78">
        <v>1.844501306385E-4</v>
      </c>
      <c r="X78">
        <v>1</v>
      </c>
      <c r="Y78">
        <v>1</v>
      </c>
    </row>
    <row r="79" spans="1:25" x14ac:dyDescent="0.2">
      <c r="A79" t="s">
        <v>317</v>
      </c>
      <c r="B79" t="s">
        <v>318</v>
      </c>
      <c r="C79" t="s">
        <v>14201</v>
      </c>
      <c r="D79" t="s">
        <v>319</v>
      </c>
      <c r="E79" t="s">
        <v>318</v>
      </c>
      <c r="F79" t="s">
        <v>28</v>
      </c>
      <c r="G79" t="s">
        <v>318</v>
      </c>
      <c r="H79" t="str">
        <f>"Y59A8B.21"</f>
        <v>Y59A8B.21</v>
      </c>
      <c r="I79" t="s">
        <v>319</v>
      </c>
      <c r="J79" t="s">
        <v>29</v>
      </c>
      <c r="K79" t="s">
        <v>29</v>
      </c>
      <c r="L79" t="s">
        <v>29</v>
      </c>
      <c r="M79" t="s">
        <v>29</v>
      </c>
      <c r="N79" t="s">
        <v>29</v>
      </c>
      <c r="O79" t="s">
        <v>29</v>
      </c>
      <c r="P79" t="s">
        <v>29</v>
      </c>
      <c r="Q79" t="s">
        <v>29</v>
      </c>
      <c r="R79" t="s">
        <v>29</v>
      </c>
      <c r="S79">
        <v>12.5767904366046</v>
      </c>
      <c r="T79" t="s">
        <v>29</v>
      </c>
      <c r="U79" t="s">
        <v>29</v>
      </c>
      <c r="V79" t="s">
        <v>29</v>
      </c>
      <c r="W79" t="s">
        <v>29</v>
      </c>
      <c r="X79" t="s">
        <v>29</v>
      </c>
      <c r="Y79" t="s">
        <v>29</v>
      </c>
    </row>
    <row r="80" spans="1:25" x14ac:dyDescent="0.2">
      <c r="A80" t="s">
        <v>320</v>
      </c>
      <c r="B80" t="s">
        <v>321</v>
      </c>
      <c r="C80" t="s">
        <v>322</v>
      </c>
      <c r="D80" t="s">
        <v>323</v>
      </c>
      <c r="E80" t="s">
        <v>321</v>
      </c>
      <c r="F80" t="s">
        <v>28</v>
      </c>
      <c r="G80" t="s">
        <v>321</v>
      </c>
      <c r="H80" t="str">
        <f>"gck-4"</f>
        <v>gck-4</v>
      </c>
      <c r="I80" t="s">
        <v>323</v>
      </c>
      <c r="J80">
        <v>11.419962283005001</v>
      </c>
      <c r="K80">
        <v>10.897083651458001</v>
      </c>
      <c r="L80" t="s">
        <v>29</v>
      </c>
      <c r="M80">
        <v>10.7000530538084</v>
      </c>
      <c r="N80">
        <v>11.3275952464745</v>
      </c>
      <c r="O80">
        <v>10.443773116166</v>
      </c>
      <c r="P80">
        <v>-0.33471582841516301</v>
      </c>
      <c r="Q80">
        <v>-0.92334560559351497</v>
      </c>
      <c r="R80">
        <v>0.25391394876318901</v>
      </c>
      <c r="S80">
        <v>11.133119609290899</v>
      </c>
      <c r="T80">
        <v>-1.2294794285299799</v>
      </c>
      <c r="U80">
        <v>-6.0125472169806198</v>
      </c>
      <c r="V80">
        <v>0.240854163896014</v>
      </c>
      <c r="W80">
        <v>0.82420784257223501</v>
      </c>
      <c r="X80">
        <v>0</v>
      </c>
      <c r="Y80">
        <v>0</v>
      </c>
    </row>
    <row r="81" spans="1:25" x14ac:dyDescent="0.2">
      <c r="A81" t="s">
        <v>324</v>
      </c>
      <c r="B81" t="s">
        <v>325</v>
      </c>
      <c r="C81" t="s">
        <v>326</v>
      </c>
      <c r="D81" t="s">
        <v>327</v>
      </c>
      <c r="E81" t="s">
        <v>325</v>
      </c>
      <c r="F81" t="s">
        <v>28</v>
      </c>
      <c r="G81" t="s">
        <v>325</v>
      </c>
      <c r="H81" t="str">
        <f>"rbc-1"</f>
        <v>rbc-1</v>
      </c>
      <c r="I81" t="s">
        <v>327</v>
      </c>
      <c r="J81">
        <v>12.599445732312599</v>
      </c>
      <c r="K81">
        <v>12.870113694479199</v>
      </c>
      <c r="L81">
        <v>12.4699473647189</v>
      </c>
      <c r="M81">
        <v>13.0090939055757</v>
      </c>
      <c r="N81">
        <v>12.669446528987301</v>
      </c>
      <c r="O81">
        <v>12.6344697653889</v>
      </c>
      <c r="P81">
        <v>0.12450113614708</v>
      </c>
      <c r="Q81">
        <v>-0.289610086107283</v>
      </c>
      <c r="R81">
        <v>0.53861235840144295</v>
      </c>
      <c r="S81">
        <v>12.690315133678199</v>
      </c>
      <c r="T81">
        <v>0.63460914753603803</v>
      </c>
      <c r="U81">
        <v>-6.6739074491602501</v>
      </c>
      <c r="V81">
        <v>0.53418331908051397</v>
      </c>
      <c r="W81">
        <v>0.94494516919629801</v>
      </c>
      <c r="X81">
        <v>0</v>
      </c>
      <c r="Y81">
        <v>0</v>
      </c>
    </row>
    <row r="82" spans="1:25" x14ac:dyDescent="0.2">
      <c r="A82" t="s">
        <v>328</v>
      </c>
      <c r="B82" t="s">
        <v>329</v>
      </c>
      <c r="C82" t="s">
        <v>14202</v>
      </c>
      <c r="D82" t="s">
        <v>330</v>
      </c>
      <c r="E82" t="s">
        <v>329</v>
      </c>
      <c r="F82" t="s">
        <v>28</v>
      </c>
      <c r="G82" t="s">
        <v>329</v>
      </c>
      <c r="H82" t="str">
        <f>"F49E2.5"</f>
        <v>F49E2.5</v>
      </c>
      <c r="I82" t="s">
        <v>330</v>
      </c>
      <c r="J82">
        <v>14.592202287136599</v>
      </c>
      <c r="K82">
        <v>15.1846971802848</v>
      </c>
      <c r="L82">
        <v>16.081330277118699</v>
      </c>
      <c r="M82">
        <v>15.3172779093205</v>
      </c>
      <c r="N82">
        <v>15.1287074449027</v>
      </c>
      <c r="O82">
        <v>15.818560117247401</v>
      </c>
      <c r="P82">
        <v>0.135438575643546</v>
      </c>
      <c r="Q82">
        <v>-1.0756275530525301</v>
      </c>
      <c r="R82">
        <v>1.3465047043396201</v>
      </c>
      <c r="S82">
        <v>14.5637080424301</v>
      </c>
      <c r="T82">
        <v>0.23505366819854001</v>
      </c>
      <c r="U82">
        <v>-6.8536663656225203</v>
      </c>
      <c r="V82">
        <v>0.81683578263762902</v>
      </c>
      <c r="W82">
        <v>0.99278624068726296</v>
      </c>
      <c r="X82">
        <v>0</v>
      </c>
      <c r="Y82">
        <v>0</v>
      </c>
    </row>
    <row r="83" spans="1:25" x14ac:dyDescent="0.2">
      <c r="A83" t="s">
        <v>331</v>
      </c>
      <c r="B83" t="s">
        <v>332</v>
      </c>
      <c r="C83" t="s">
        <v>333</v>
      </c>
      <c r="D83" t="s">
        <v>334</v>
      </c>
      <c r="E83" t="s">
        <v>332</v>
      </c>
      <c r="F83" t="s">
        <v>28</v>
      </c>
      <c r="G83" t="s">
        <v>332</v>
      </c>
      <c r="H83" t="str">
        <f>"pkn-1"</f>
        <v>pkn-1</v>
      </c>
      <c r="I83" t="s">
        <v>334</v>
      </c>
      <c r="J83">
        <v>13.6514567613322</v>
      </c>
      <c r="K83">
        <v>13.7043564276553</v>
      </c>
      <c r="L83">
        <v>13.55907656568</v>
      </c>
      <c r="M83">
        <v>13.547165966220099</v>
      </c>
      <c r="N83">
        <v>13.6282634015132</v>
      </c>
      <c r="O83">
        <v>13.192719681733299</v>
      </c>
      <c r="P83">
        <v>-0.18224690173361299</v>
      </c>
      <c r="Q83">
        <v>-0.55240414533649196</v>
      </c>
      <c r="R83">
        <v>0.187910341869265</v>
      </c>
      <c r="S83">
        <v>13.5644220279137</v>
      </c>
      <c r="T83">
        <v>-1.03925928796086</v>
      </c>
      <c r="U83">
        <v>-6.3339300297298804</v>
      </c>
      <c r="V83">
        <v>0.31332952293858402</v>
      </c>
      <c r="W83">
        <v>0.86464399033134998</v>
      </c>
      <c r="X83">
        <v>0</v>
      </c>
      <c r="Y83">
        <v>0</v>
      </c>
    </row>
    <row r="84" spans="1:25" x14ac:dyDescent="0.2">
      <c r="A84" t="s">
        <v>335</v>
      </c>
      <c r="B84" t="s">
        <v>336</v>
      </c>
      <c r="C84" t="s">
        <v>337</v>
      </c>
      <c r="D84" t="s">
        <v>338</v>
      </c>
      <c r="E84" t="s">
        <v>336</v>
      </c>
      <c r="F84" t="s">
        <v>28</v>
      </c>
      <c r="G84" t="s">
        <v>336</v>
      </c>
      <c r="H84" t="str">
        <f>"eps-8"</f>
        <v>eps-8</v>
      </c>
      <c r="I84" t="s">
        <v>338</v>
      </c>
      <c r="J84">
        <v>15.557852146034</v>
      </c>
      <c r="K84">
        <v>16.130876982472</v>
      </c>
      <c r="L84">
        <v>16.0971461853125</v>
      </c>
      <c r="M84">
        <v>15.314031975315</v>
      </c>
      <c r="N84">
        <v>15.190494142100899</v>
      </c>
      <c r="O84">
        <v>15.8241796260585</v>
      </c>
      <c r="P84">
        <v>-0.485723190114635</v>
      </c>
      <c r="Q84">
        <v>-0.98473992228483098</v>
      </c>
      <c r="R84">
        <v>1.3293542055560501E-2</v>
      </c>
      <c r="S84">
        <v>15.9353682278948</v>
      </c>
      <c r="T84">
        <v>-2.0458144602327599</v>
      </c>
      <c r="U84">
        <v>-4.9196876884879197</v>
      </c>
      <c r="V84">
        <v>5.5760381446912199E-2</v>
      </c>
      <c r="W84">
        <v>0.50684438128921605</v>
      </c>
      <c r="X84">
        <v>0</v>
      </c>
      <c r="Y84">
        <v>0</v>
      </c>
    </row>
    <row r="85" spans="1:25" x14ac:dyDescent="0.2">
      <c r="A85" t="s">
        <v>339</v>
      </c>
      <c r="B85" t="s">
        <v>340</v>
      </c>
      <c r="C85" t="s">
        <v>341</v>
      </c>
      <c r="D85" t="s">
        <v>342</v>
      </c>
      <c r="E85" t="s">
        <v>340</v>
      </c>
      <c r="F85" t="s">
        <v>28</v>
      </c>
      <c r="G85" t="s">
        <v>340</v>
      </c>
      <c r="H85" t="str">
        <f>"tnt-3"</f>
        <v>tnt-3</v>
      </c>
      <c r="I85" t="s">
        <v>342</v>
      </c>
      <c r="J85" t="s">
        <v>29</v>
      </c>
      <c r="K85">
        <v>12.1550918570865</v>
      </c>
      <c r="L85" t="s">
        <v>29</v>
      </c>
      <c r="M85">
        <v>11.6847589547562</v>
      </c>
      <c r="N85" t="s">
        <v>29</v>
      </c>
      <c r="O85">
        <v>11.0483320181362</v>
      </c>
      <c r="P85">
        <v>-0.788546370640265</v>
      </c>
      <c r="Q85">
        <v>-1.81149808065481</v>
      </c>
      <c r="R85">
        <v>0.23440533937427799</v>
      </c>
      <c r="S85">
        <v>11.765654767238599</v>
      </c>
      <c r="T85">
        <v>-1.69863394186307</v>
      </c>
      <c r="U85">
        <v>-5.1220801492783004</v>
      </c>
      <c r="V85">
        <v>0.117726960050548</v>
      </c>
      <c r="W85">
        <v>0.70517961426106401</v>
      </c>
      <c r="X85">
        <v>0</v>
      </c>
      <c r="Y85">
        <v>0</v>
      </c>
    </row>
    <row r="86" spans="1:25" x14ac:dyDescent="0.2">
      <c r="A86" t="s">
        <v>343</v>
      </c>
      <c r="B86" t="s">
        <v>344</v>
      </c>
      <c r="C86" t="s">
        <v>14203</v>
      </c>
      <c r="D86" t="s">
        <v>345</v>
      </c>
      <c r="E86" t="s">
        <v>344</v>
      </c>
      <c r="F86" t="s">
        <v>28</v>
      </c>
      <c r="G86" t="s">
        <v>344</v>
      </c>
      <c r="H86" t="str">
        <f>"K09F5.6"</f>
        <v>K09F5.6</v>
      </c>
      <c r="I86" t="s">
        <v>345</v>
      </c>
      <c r="J86">
        <v>13.2673003420763</v>
      </c>
      <c r="K86">
        <v>13.9617634650859</v>
      </c>
      <c r="L86">
        <v>13.4754044682143</v>
      </c>
      <c r="M86">
        <v>13.2667319847071</v>
      </c>
      <c r="N86">
        <v>13.248044435925101</v>
      </c>
      <c r="O86">
        <v>13.244347170073899</v>
      </c>
      <c r="P86">
        <v>-0.31511489489015299</v>
      </c>
      <c r="Q86">
        <v>-0.82349270133247898</v>
      </c>
      <c r="R86">
        <v>0.19326291155217401</v>
      </c>
      <c r="S86">
        <v>13.508310468339401</v>
      </c>
      <c r="T86">
        <v>-1.30837537666104</v>
      </c>
      <c r="U86">
        <v>-6.0282907857371599</v>
      </c>
      <c r="V86">
        <v>0.20826673150779601</v>
      </c>
      <c r="W86">
        <v>0.79180661593008295</v>
      </c>
      <c r="X86">
        <v>0</v>
      </c>
      <c r="Y86">
        <v>0</v>
      </c>
    </row>
    <row r="87" spans="1:25" x14ac:dyDescent="0.2">
      <c r="A87" t="s">
        <v>346</v>
      </c>
      <c r="B87" t="s">
        <v>347</v>
      </c>
      <c r="C87" t="s">
        <v>348</v>
      </c>
      <c r="D87" t="s">
        <v>349</v>
      </c>
      <c r="E87" t="s">
        <v>347</v>
      </c>
      <c r="F87" t="s">
        <v>28</v>
      </c>
      <c r="G87" t="s">
        <v>347</v>
      </c>
      <c r="H87" t="str">
        <f>"lfi-1"</f>
        <v>lfi-1</v>
      </c>
      <c r="I87" t="s">
        <v>349</v>
      </c>
      <c r="J87">
        <v>14.631135156295899</v>
      </c>
      <c r="K87">
        <v>15.2369671847826</v>
      </c>
      <c r="L87">
        <v>15.0601041066721</v>
      </c>
      <c r="M87">
        <v>15.1562938265726</v>
      </c>
      <c r="N87">
        <v>15.173950930847599</v>
      </c>
      <c r="O87">
        <v>15.3689489168277</v>
      </c>
      <c r="P87">
        <v>0.25699574216576698</v>
      </c>
      <c r="Q87">
        <v>-0.23294143434053499</v>
      </c>
      <c r="R87">
        <v>0.74693291867206801</v>
      </c>
      <c r="S87">
        <v>15.775593825512599</v>
      </c>
      <c r="T87">
        <v>1.1024985989321101</v>
      </c>
      <c r="U87">
        <v>-6.2682437886636597</v>
      </c>
      <c r="V87">
        <v>0.28485205914020501</v>
      </c>
      <c r="W87">
        <v>0.856190392347986</v>
      </c>
      <c r="X87">
        <v>0</v>
      </c>
      <c r="Y87">
        <v>0</v>
      </c>
    </row>
    <row r="88" spans="1:25" x14ac:dyDescent="0.2">
      <c r="A88" t="s">
        <v>350</v>
      </c>
      <c r="B88" t="s">
        <v>351</v>
      </c>
      <c r="C88" t="s">
        <v>14204</v>
      </c>
      <c r="D88" t="s">
        <v>352</v>
      </c>
      <c r="E88" t="s">
        <v>351</v>
      </c>
      <c r="F88" t="s">
        <v>28</v>
      </c>
      <c r="G88" t="s">
        <v>351</v>
      </c>
      <c r="H88" t="str">
        <f>"H11E01.3"</f>
        <v>H11E01.3</v>
      </c>
      <c r="I88" t="s">
        <v>352</v>
      </c>
      <c r="J88" t="s">
        <v>29</v>
      </c>
      <c r="K88" t="s">
        <v>29</v>
      </c>
      <c r="L88" t="s">
        <v>29</v>
      </c>
      <c r="M88" t="s">
        <v>29</v>
      </c>
      <c r="N88" t="s">
        <v>29</v>
      </c>
      <c r="O88" t="s">
        <v>29</v>
      </c>
      <c r="P88" t="s">
        <v>29</v>
      </c>
      <c r="Q88" t="s">
        <v>29</v>
      </c>
      <c r="R88" t="s">
        <v>29</v>
      </c>
      <c r="S88">
        <v>12.114371619777099</v>
      </c>
      <c r="T88" t="s">
        <v>29</v>
      </c>
      <c r="U88" t="s">
        <v>29</v>
      </c>
      <c r="V88" t="s">
        <v>29</v>
      </c>
      <c r="W88" t="s">
        <v>29</v>
      </c>
      <c r="X88" t="s">
        <v>29</v>
      </c>
      <c r="Y88" t="s">
        <v>29</v>
      </c>
    </row>
    <row r="89" spans="1:25" x14ac:dyDescent="0.2">
      <c r="A89" t="s">
        <v>353</v>
      </c>
      <c r="B89" t="s">
        <v>354</v>
      </c>
      <c r="C89" t="s">
        <v>355</v>
      </c>
      <c r="D89" t="s">
        <v>356</v>
      </c>
      <c r="E89" t="s">
        <v>354</v>
      </c>
      <c r="F89" t="s">
        <v>28</v>
      </c>
      <c r="G89" t="s">
        <v>354</v>
      </c>
      <c r="H89" t="str">
        <f>"bed-2"</f>
        <v>bed-2</v>
      </c>
      <c r="I89" t="s">
        <v>356</v>
      </c>
      <c r="J89">
        <v>11.278714302233199</v>
      </c>
      <c r="K89" t="s">
        <v>29</v>
      </c>
      <c r="L89">
        <v>11.4688148657127</v>
      </c>
      <c r="M89" t="s">
        <v>29</v>
      </c>
      <c r="N89" t="s">
        <v>29</v>
      </c>
      <c r="O89">
        <v>11.524163650900601</v>
      </c>
      <c r="P89">
        <v>0.15039906692763699</v>
      </c>
      <c r="Q89">
        <v>-0.72231554364351802</v>
      </c>
      <c r="R89">
        <v>1.0231136774987899</v>
      </c>
      <c r="S89">
        <v>12.264990616880301</v>
      </c>
      <c r="T89">
        <v>0.37975245351797998</v>
      </c>
      <c r="U89">
        <v>-6.4070212181510096</v>
      </c>
      <c r="V89">
        <v>0.71142727463011701</v>
      </c>
      <c r="W89">
        <v>0.98786722894487999</v>
      </c>
      <c r="X89">
        <v>0</v>
      </c>
      <c r="Y89">
        <v>0</v>
      </c>
    </row>
    <row r="90" spans="1:25" x14ac:dyDescent="0.2">
      <c r="A90" t="s">
        <v>357</v>
      </c>
      <c r="B90" t="s">
        <v>358</v>
      </c>
      <c r="C90" t="s">
        <v>359</v>
      </c>
      <c r="D90" t="s">
        <v>360</v>
      </c>
      <c r="E90" t="s">
        <v>358</v>
      </c>
      <c r="F90" t="s">
        <v>28</v>
      </c>
      <c r="G90" t="s">
        <v>358</v>
      </c>
      <c r="H90" t="str">
        <f>"znf-598"</f>
        <v>znf-598</v>
      </c>
      <c r="I90" t="s">
        <v>360</v>
      </c>
      <c r="J90">
        <v>12.391716121316501</v>
      </c>
      <c r="K90">
        <v>13.1925579933366</v>
      </c>
      <c r="L90">
        <v>13.1988715403673</v>
      </c>
      <c r="M90">
        <v>13.063267778738499</v>
      </c>
      <c r="N90">
        <v>13.220417413314999</v>
      </c>
      <c r="O90">
        <v>13.783811011328201</v>
      </c>
      <c r="P90">
        <v>0.42811684945378298</v>
      </c>
      <c r="Q90">
        <v>-0.22038318390105699</v>
      </c>
      <c r="R90">
        <v>1.07661688280862</v>
      </c>
      <c r="S90">
        <v>13.674357553005301</v>
      </c>
      <c r="T90">
        <v>1.4002379624325201</v>
      </c>
      <c r="U90">
        <v>-5.9106428169433904</v>
      </c>
      <c r="V90">
        <v>0.18065897995126801</v>
      </c>
      <c r="W90">
        <v>0.78295732499061499</v>
      </c>
      <c r="X90">
        <v>0</v>
      </c>
      <c r="Y90">
        <v>0</v>
      </c>
    </row>
    <row r="91" spans="1:25" x14ac:dyDescent="0.2">
      <c r="A91" t="s">
        <v>361</v>
      </c>
      <c r="B91" t="s">
        <v>362</v>
      </c>
      <c r="C91" t="s">
        <v>14205</v>
      </c>
      <c r="D91" t="s">
        <v>363</v>
      </c>
      <c r="E91" t="s">
        <v>362</v>
      </c>
      <c r="F91" t="s">
        <v>28</v>
      </c>
      <c r="G91" t="s">
        <v>362</v>
      </c>
      <c r="H91" t="str">
        <f>"F10G7.10"</f>
        <v>F10G7.10</v>
      </c>
      <c r="I91" t="s">
        <v>363</v>
      </c>
      <c r="J91">
        <v>11.434668440659999</v>
      </c>
      <c r="K91">
        <v>11.1660789972995</v>
      </c>
      <c r="L91">
        <v>11.5369624252472</v>
      </c>
      <c r="M91">
        <v>11.2216896404789</v>
      </c>
      <c r="N91">
        <v>11.9532001374314</v>
      </c>
      <c r="O91">
        <v>11.2581938624296</v>
      </c>
      <c r="P91">
        <v>9.84579257110543E-2</v>
      </c>
      <c r="Q91">
        <v>-0.445819958186155</v>
      </c>
      <c r="R91">
        <v>0.64273580960826404</v>
      </c>
      <c r="S91">
        <v>11.8190252449008</v>
      </c>
      <c r="T91">
        <v>0.38183875686353602</v>
      </c>
      <c r="U91">
        <v>-6.8064015097126598</v>
      </c>
      <c r="V91">
        <v>0.70734099524290195</v>
      </c>
      <c r="W91">
        <v>0.986995809356777</v>
      </c>
      <c r="X91">
        <v>0</v>
      </c>
      <c r="Y91">
        <v>0</v>
      </c>
    </row>
    <row r="92" spans="1:25" x14ac:dyDescent="0.2">
      <c r="A92" t="s">
        <v>364</v>
      </c>
      <c r="B92" t="s">
        <v>365</v>
      </c>
      <c r="C92" t="s">
        <v>14176</v>
      </c>
      <c r="D92" t="s">
        <v>111</v>
      </c>
      <c r="E92" t="s">
        <v>365</v>
      </c>
      <c r="F92" t="s">
        <v>28</v>
      </c>
      <c r="G92" t="s">
        <v>365</v>
      </c>
      <c r="H92" t="str">
        <f>"Y92H12BL.7"</f>
        <v>Y92H12BL.7</v>
      </c>
      <c r="I92" t="s">
        <v>111</v>
      </c>
      <c r="J92">
        <v>12.6321228576392</v>
      </c>
      <c r="K92">
        <v>11.6424485537731</v>
      </c>
      <c r="L92" t="s">
        <v>29</v>
      </c>
      <c r="M92">
        <v>14.423235786004</v>
      </c>
      <c r="N92">
        <v>14.197602298905201</v>
      </c>
      <c r="O92">
        <v>14.4654479459576</v>
      </c>
      <c r="P92">
        <v>2.22480963791608</v>
      </c>
      <c r="Q92">
        <v>1.49824342176556</v>
      </c>
      <c r="R92">
        <v>2.95137585406661</v>
      </c>
      <c r="S92">
        <v>13.7733412537817</v>
      </c>
      <c r="T92">
        <v>6.5306929143537902</v>
      </c>
      <c r="U92">
        <v>3.6819442175780801</v>
      </c>
      <c r="V92" s="2">
        <v>9.8431601917944307E-6</v>
      </c>
      <c r="W92">
        <v>7.1213124170199703E-4</v>
      </c>
      <c r="X92">
        <v>1</v>
      </c>
      <c r="Y92">
        <v>1</v>
      </c>
    </row>
    <row r="93" spans="1:25" x14ac:dyDescent="0.2">
      <c r="A93" t="s">
        <v>366</v>
      </c>
      <c r="B93" t="s">
        <v>367</v>
      </c>
      <c r="C93" t="s">
        <v>14206</v>
      </c>
      <c r="D93" t="s">
        <v>368</v>
      </c>
      <c r="E93" t="s">
        <v>367</v>
      </c>
      <c r="F93" t="s">
        <v>28</v>
      </c>
      <c r="G93" t="s">
        <v>367</v>
      </c>
      <c r="H93" t="str">
        <f>"W04B5.8"</f>
        <v>W04B5.8</v>
      </c>
      <c r="I93" t="s">
        <v>368</v>
      </c>
      <c r="J93" t="s">
        <v>29</v>
      </c>
      <c r="K93">
        <v>12.8368133326777</v>
      </c>
      <c r="L93">
        <v>12.980253184725401</v>
      </c>
      <c r="M93">
        <v>13.049599737878101</v>
      </c>
      <c r="N93">
        <v>13.207428556921901</v>
      </c>
      <c r="O93">
        <v>11.7116553349688</v>
      </c>
      <c r="P93">
        <v>-0.25230538211194697</v>
      </c>
      <c r="Q93">
        <v>-1.6692122213746801</v>
      </c>
      <c r="R93">
        <v>1.1646014571507901</v>
      </c>
      <c r="S93">
        <v>13.320219323007001</v>
      </c>
      <c r="T93">
        <v>-0.38501040156793098</v>
      </c>
      <c r="U93">
        <v>-6.6938225668896703</v>
      </c>
      <c r="V93">
        <v>0.70650510617434703</v>
      </c>
      <c r="W93">
        <v>0.986995809356777</v>
      </c>
      <c r="X93">
        <v>0</v>
      </c>
      <c r="Y93">
        <v>0</v>
      </c>
    </row>
    <row r="94" spans="1:25" x14ac:dyDescent="0.2">
      <c r="A94" t="s">
        <v>369</v>
      </c>
      <c r="B94" t="s">
        <v>370</v>
      </c>
      <c r="C94" t="s">
        <v>14207</v>
      </c>
      <c r="D94" t="s">
        <v>371</v>
      </c>
      <c r="E94" t="s">
        <v>370</v>
      </c>
      <c r="F94" t="s">
        <v>28</v>
      </c>
      <c r="G94" t="s">
        <v>370</v>
      </c>
      <c r="H94" t="str">
        <f>"Y39E4B.10"</f>
        <v>Y39E4B.10</v>
      </c>
      <c r="I94" t="s">
        <v>371</v>
      </c>
      <c r="J94">
        <v>11.985098178459699</v>
      </c>
      <c r="K94" t="s">
        <v>29</v>
      </c>
      <c r="L94">
        <v>12.227700087741701</v>
      </c>
      <c r="M94">
        <v>12.663750765041099</v>
      </c>
      <c r="N94">
        <v>12.3002757171902</v>
      </c>
      <c r="O94">
        <v>11.238477428585799</v>
      </c>
      <c r="P94">
        <v>-3.8897829495001097E-2</v>
      </c>
      <c r="Q94">
        <v>-0.743420736778028</v>
      </c>
      <c r="R94">
        <v>0.66562507778802504</v>
      </c>
      <c r="S94">
        <v>12.191451083306999</v>
      </c>
      <c r="T94">
        <v>-0.117752966126068</v>
      </c>
      <c r="U94">
        <v>-6.7649049678488096</v>
      </c>
      <c r="V94">
        <v>0.90783660468869698</v>
      </c>
      <c r="W94">
        <v>0.99833354317360001</v>
      </c>
      <c r="X94">
        <v>0</v>
      </c>
      <c r="Y94">
        <v>0</v>
      </c>
    </row>
    <row r="95" spans="1:25" x14ac:dyDescent="0.2">
      <c r="A95" t="s">
        <v>372</v>
      </c>
      <c r="B95" t="s">
        <v>373</v>
      </c>
      <c r="C95" t="s">
        <v>374</v>
      </c>
      <c r="D95" t="s">
        <v>375</v>
      </c>
      <c r="E95" t="s">
        <v>373</v>
      </c>
      <c r="F95" t="s">
        <v>28</v>
      </c>
      <c r="G95" t="s">
        <v>373</v>
      </c>
      <c r="H95" t="str">
        <f>"esyt-2"</f>
        <v>esyt-2</v>
      </c>
      <c r="I95" t="s">
        <v>375</v>
      </c>
      <c r="J95">
        <v>12.7652900125223</v>
      </c>
      <c r="K95">
        <v>12.750382375574301</v>
      </c>
      <c r="L95">
        <v>12.255869170806999</v>
      </c>
      <c r="M95">
        <v>12.5162681165792</v>
      </c>
      <c r="N95">
        <v>12.967500115995</v>
      </c>
      <c r="O95">
        <v>12.9472876144815</v>
      </c>
      <c r="P95">
        <v>0.219838096050708</v>
      </c>
      <c r="Q95">
        <v>-0.212667072528894</v>
      </c>
      <c r="R95">
        <v>0.65234326463031</v>
      </c>
      <c r="S95">
        <v>12.664391382466199</v>
      </c>
      <c r="T95">
        <v>1.07290597891382</v>
      </c>
      <c r="U95">
        <v>-6.29901208952852</v>
      </c>
      <c r="V95">
        <v>0.29839968591925897</v>
      </c>
      <c r="W95">
        <v>0.85855590823088301</v>
      </c>
      <c r="X95">
        <v>0</v>
      </c>
      <c r="Y95">
        <v>0</v>
      </c>
    </row>
    <row r="96" spans="1:25" x14ac:dyDescent="0.2">
      <c r="A96" t="s">
        <v>376</v>
      </c>
      <c r="B96" t="s">
        <v>377</v>
      </c>
      <c r="C96" t="s">
        <v>378</v>
      </c>
      <c r="D96" t="s">
        <v>379</v>
      </c>
      <c r="E96" t="s">
        <v>377</v>
      </c>
      <c r="F96" t="s">
        <v>28</v>
      </c>
      <c r="G96" t="s">
        <v>377</v>
      </c>
      <c r="H96" t="str">
        <f>"aqp-7"</f>
        <v>aqp-7</v>
      </c>
      <c r="I96" t="s">
        <v>379</v>
      </c>
      <c r="J96">
        <v>16.634206706149101</v>
      </c>
      <c r="K96">
        <v>16.729333986490602</v>
      </c>
      <c r="L96">
        <v>16.345736660066699</v>
      </c>
      <c r="M96">
        <v>16.0346341973558</v>
      </c>
      <c r="N96">
        <v>16.0642184327202</v>
      </c>
      <c r="O96">
        <v>16.069821261675202</v>
      </c>
      <c r="P96">
        <v>-0.51353448698505499</v>
      </c>
      <c r="Q96">
        <v>-0.87285628149067895</v>
      </c>
      <c r="R96">
        <v>-0.15421269247943001</v>
      </c>
      <c r="S96">
        <v>16.072786665033899</v>
      </c>
      <c r="T96">
        <v>-3.0038522525442102</v>
      </c>
      <c r="U96">
        <v>-3.0742568898216298</v>
      </c>
      <c r="V96">
        <v>7.6575734374610301E-3</v>
      </c>
      <c r="W96">
        <v>0.152601223951319</v>
      </c>
      <c r="X96">
        <v>0</v>
      </c>
      <c r="Y96">
        <v>0</v>
      </c>
    </row>
    <row r="97" spans="1:25" x14ac:dyDescent="0.2">
      <c r="A97" t="s">
        <v>380</v>
      </c>
      <c r="B97" t="s">
        <v>381</v>
      </c>
      <c r="C97" t="s">
        <v>382</v>
      </c>
      <c r="D97" t="s">
        <v>383</v>
      </c>
      <c r="E97" t="s">
        <v>381</v>
      </c>
      <c r="F97" t="s">
        <v>28</v>
      </c>
      <c r="G97" t="s">
        <v>381</v>
      </c>
      <c r="H97" t="str">
        <f>"rom-5"</f>
        <v>rom-5</v>
      </c>
      <c r="I97" t="s">
        <v>383</v>
      </c>
      <c r="J97">
        <v>13.156427746221601</v>
      </c>
      <c r="K97">
        <v>13.298832924669201</v>
      </c>
      <c r="L97">
        <v>13.275505059713099</v>
      </c>
      <c r="M97">
        <v>12.352129039465501</v>
      </c>
      <c r="N97">
        <v>13.400842578418599</v>
      </c>
      <c r="O97">
        <v>12.7621127293882</v>
      </c>
      <c r="P97">
        <v>-0.405227127777186</v>
      </c>
      <c r="Q97">
        <v>-1.00036080729512</v>
      </c>
      <c r="R97">
        <v>0.189906551740751</v>
      </c>
      <c r="S97">
        <v>13.188202277763301</v>
      </c>
      <c r="T97">
        <v>-1.43725555591557</v>
      </c>
      <c r="U97">
        <v>-5.8616583321553897</v>
      </c>
      <c r="V97">
        <v>0.16890792269112601</v>
      </c>
      <c r="W97">
        <v>0.76875593074037796</v>
      </c>
      <c r="X97">
        <v>0</v>
      </c>
      <c r="Y97">
        <v>0</v>
      </c>
    </row>
    <row r="98" spans="1:25" x14ac:dyDescent="0.2">
      <c r="A98" t="s">
        <v>384</v>
      </c>
      <c r="B98" t="s">
        <v>385</v>
      </c>
      <c r="C98" t="s">
        <v>14208</v>
      </c>
      <c r="D98" t="s">
        <v>386</v>
      </c>
      <c r="E98" t="s">
        <v>385</v>
      </c>
      <c r="F98" t="s">
        <v>28</v>
      </c>
      <c r="G98" t="s">
        <v>385</v>
      </c>
      <c r="H98" t="str">
        <f>"Y52B11A.3"</f>
        <v>Y52B11A.3</v>
      </c>
      <c r="I98" t="s">
        <v>386</v>
      </c>
      <c r="J98">
        <v>12.380919618555801</v>
      </c>
      <c r="K98">
        <v>12.0317704704864</v>
      </c>
      <c r="L98">
        <v>12.0748050218253</v>
      </c>
      <c r="M98" t="s">
        <v>29</v>
      </c>
      <c r="N98" t="s">
        <v>29</v>
      </c>
      <c r="O98">
        <v>12.2136944321418</v>
      </c>
      <c r="P98">
        <v>5.1196061852612801E-2</v>
      </c>
      <c r="Q98">
        <v>-1.33748837819668</v>
      </c>
      <c r="R98">
        <v>1.4398805019019101</v>
      </c>
      <c r="S98">
        <v>11.6346332625372</v>
      </c>
      <c r="T98">
        <v>7.9711362064365604E-2</v>
      </c>
      <c r="U98">
        <v>-6.5376914733491898</v>
      </c>
      <c r="V98">
        <v>0.93769059363833196</v>
      </c>
      <c r="W98">
        <v>0.99926809132575301</v>
      </c>
      <c r="X98">
        <v>0</v>
      </c>
      <c r="Y98">
        <v>0</v>
      </c>
    </row>
    <row r="99" spans="1:25" x14ac:dyDescent="0.2">
      <c r="A99" t="s">
        <v>387</v>
      </c>
      <c r="B99" t="s">
        <v>388</v>
      </c>
      <c r="C99" t="s">
        <v>389</v>
      </c>
      <c r="D99" t="s">
        <v>390</v>
      </c>
      <c r="E99" t="s">
        <v>388</v>
      </c>
      <c r="F99" t="s">
        <v>28</v>
      </c>
      <c r="G99" t="s">
        <v>388</v>
      </c>
      <c r="H99" t="str">
        <f>"cyh-1"</f>
        <v>cyh-1</v>
      </c>
      <c r="I99" t="s">
        <v>390</v>
      </c>
      <c r="J99" t="s">
        <v>29</v>
      </c>
      <c r="K99" t="s">
        <v>29</v>
      </c>
      <c r="L99" t="s">
        <v>29</v>
      </c>
      <c r="M99" t="s">
        <v>29</v>
      </c>
      <c r="N99" t="s">
        <v>29</v>
      </c>
      <c r="O99" t="s">
        <v>29</v>
      </c>
      <c r="P99" t="s">
        <v>29</v>
      </c>
      <c r="Q99" t="s">
        <v>29</v>
      </c>
      <c r="R99" t="s">
        <v>29</v>
      </c>
      <c r="S99">
        <v>11.297266891761399</v>
      </c>
      <c r="T99" t="s">
        <v>29</v>
      </c>
      <c r="U99" t="s">
        <v>29</v>
      </c>
      <c r="V99" t="s">
        <v>29</v>
      </c>
      <c r="W99" t="s">
        <v>29</v>
      </c>
      <c r="X99" t="s">
        <v>29</v>
      </c>
      <c r="Y99" t="s">
        <v>29</v>
      </c>
    </row>
    <row r="100" spans="1:25" x14ac:dyDescent="0.2">
      <c r="A100" t="s">
        <v>391</v>
      </c>
      <c r="B100" t="s">
        <v>392</v>
      </c>
      <c r="C100" t="s">
        <v>14209</v>
      </c>
      <c r="D100" t="s">
        <v>393</v>
      </c>
      <c r="E100" t="s">
        <v>392</v>
      </c>
      <c r="F100" t="s">
        <v>28</v>
      </c>
      <c r="G100" t="s">
        <v>392</v>
      </c>
      <c r="H100" t="str">
        <f>"Y51H7C.13"</f>
        <v>Y51H7C.13</v>
      </c>
      <c r="I100" t="s">
        <v>393</v>
      </c>
      <c r="J100">
        <v>13.681471182037299</v>
      </c>
      <c r="K100">
        <v>14.0416810718188</v>
      </c>
      <c r="L100">
        <v>15.9067220321029</v>
      </c>
      <c r="M100">
        <v>14.122928789807</v>
      </c>
      <c r="N100">
        <v>13.6213529732746</v>
      </c>
      <c r="O100">
        <v>13.9908916936726</v>
      </c>
      <c r="P100">
        <v>-0.63156694306827399</v>
      </c>
      <c r="Q100">
        <v>-1.7005297260738901</v>
      </c>
      <c r="R100">
        <v>0.43739583993733999</v>
      </c>
      <c r="S100">
        <v>14.1676574790348</v>
      </c>
      <c r="T100">
        <v>-1.2417933177849201</v>
      </c>
      <c r="U100">
        <v>-6.10995077043912</v>
      </c>
      <c r="V100">
        <v>0.230342793769031</v>
      </c>
      <c r="W100">
        <v>0.81119663244797402</v>
      </c>
      <c r="X100">
        <v>0</v>
      </c>
      <c r="Y100">
        <v>0</v>
      </c>
    </row>
    <row r="101" spans="1:25" x14ac:dyDescent="0.2">
      <c r="A101" t="s">
        <v>394</v>
      </c>
      <c r="B101" t="s">
        <v>395</v>
      </c>
      <c r="C101" t="s">
        <v>396</v>
      </c>
      <c r="D101" t="s">
        <v>397</v>
      </c>
      <c r="E101" t="s">
        <v>395</v>
      </c>
      <c r="F101" t="s">
        <v>28</v>
      </c>
      <c r="G101" t="s">
        <v>395</v>
      </c>
      <c r="H101" t="str">
        <f>"frl-1"</f>
        <v>frl-1</v>
      </c>
      <c r="I101" t="s">
        <v>397</v>
      </c>
      <c r="J101">
        <v>12.931208719771501</v>
      </c>
      <c r="K101" t="s">
        <v>29</v>
      </c>
      <c r="L101">
        <v>12.578462880197399</v>
      </c>
      <c r="M101">
        <v>13.291123713884</v>
      </c>
      <c r="N101">
        <v>13.457184714177</v>
      </c>
      <c r="O101">
        <v>13.3583767342052</v>
      </c>
      <c r="P101">
        <v>0.61405925410431506</v>
      </c>
      <c r="Q101">
        <v>-3.02332983887964E-2</v>
      </c>
      <c r="R101">
        <v>1.25835180659743</v>
      </c>
      <c r="S101">
        <v>12.690187198741601</v>
      </c>
      <c r="T101">
        <v>2.0606983050701602</v>
      </c>
      <c r="U101">
        <v>-4.8238630868451997</v>
      </c>
      <c r="V101">
        <v>6.0100738479676202E-2</v>
      </c>
      <c r="W101">
        <v>0.52698517899660702</v>
      </c>
      <c r="X101">
        <v>0</v>
      </c>
      <c r="Y101">
        <v>0</v>
      </c>
    </row>
    <row r="102" spans="1:25" x14ac:dyDescent="0.2">
      <c r="A102" t="s">
        <v>398</v>
      </c>
      <c r="B102" t="s">
        <v>399</v>
      </c>
      <c r="C102" t="s">
        <v>400</v>
      </c>
      <c r="D102" t="s">
        <v>401</v>
      </c>
      <c r="E102" t="s">
        <v>399</v>
      </c>
      <c r="F102" t="s">
        <v>28</v>
      </c>
      <c r="G102" t="s">
        <v>399</v>
      </c>
      <c r="H102" t="str">
        <f>"nos-3"</f>
        <v>nos-3</v>
      </c>
      <c r="I102" t="s">
        <v>401</v>
      </c>
      <c r="J102">
        <v>12.7812160806352</v>
      </c>
      <c r="K102">
        <v>13.209561860090099</v>
      </c>
      <c r="L102">
        <v>13.3844952356633</v>
      </c>
      <c r="M102">
        <v>12.897483566302901</v>
      </c>
      <c r="N102">
        <v>13.062912950887601</v>
      </c>
      <c r="O102">
        <v>12.8141410703939</v>
      </c>
      <c r="P102">
        <v>-0.20024519626800499</v>
      </c>
      <c r="Q102">
        <v>-0.74037071080838401</v>
      </c>
      <c r="R102">
        <v>0.33988031827237403</v>
      </c>
      <c r="S102">
        <v>13.3092072845012</v>
      </c>
      <c r="T102">
        <v>-0.78635190502881602</v>
      </c>
      <c r="U102">
        <v>-6.5634820555670403</v>
      </c>
      <c r="V102">
        <v>0.44322749657788202</v>
      </c>
      <c r="W102">
        <v>0.92018784068071902</v>
      </c>
      <c r="X102">
        <v>0</v>
      </c>
      <c r="Y102">
        <v>0</v>
      </c>
    </row>
    <row r="103" spans="1:25" x14ac:dyDescent="0.2">
      <c r="A103" t="s">
        <v>402</v>
      </c>
      <c r="B103" t="s">
        <v>403</v>
      </c>
      <c r="C103" t="s">
        <v>404</v>
      </c>
      <c r="D103" t="s">
        <v>405</v>
      </c>
      <c r="E103" t="s">
        <v>403</v>
      </c>
      <c r="F103" t="s">
        <v>28</v>
      </c>
      <c r="G103" t="s">
        <v>403</v>
      </c>
      <c r="H103" t="str">
        <f>"metl-17"</f>
        <v>metl-17</v>
      </c>
      <c r="I103" t="s">
        <v>405</v>
      </c>
      <c r="J103">
        <v>12.541388780083899</v>
      </c>
      <c r="K103" t="s">
        <v>29</v>
      </c>
      <c r="L103">
        <v>11.994983610275799</v>
      </c>
      <c r="M103">
        <v>11.568993941478199</v>
      </c>
      <c r="N103">
        <v>11.713730433051699</v>
      </c>
      <c r="O103">
        <v>10.701490468887799</v>
      </c>
      <c r="P103">
        <v>-0.94011458070729903</v>
      </c>
      <c r="Q103">
        <v>-1.6460566865986199</v>
      </c>
      <c r="R103">
        <v>-0.234172474815973</v>
      </c>
      <c r="S103">
        <v>11.8013285377139</v>
      </c>
      <c r="T103">
        <v>-2.93453568863259</v>
      </c>
      <c r="U103">
        <v>-3.3682341795597299</v>
      </c>
      <c r="V103">
        <v>1.3707129784389999E-2</v>
      </c>
      <c r="W103">
        <v>0.221443339429368</v>
      </c>
      <c r="X103">
        <v>0</v>
      </c>
      <c r="Y103">
        <v>0</v>
      </c>
    </row>
    <row r="104" spans="1:25" x14ac:dyDescent="0.2">
      <c r="A104" t="s">
        <v>406</v>
      </c>
      <c r="B104" t="s">
        <v>407</v>
      </c>
      <c r="C104" t="s">
        <v>408</v>
      </c>
      <c r="D104" t="s">
        <v>409</v>
      </c>
      <c r="E104" t="s">
        <v>407</v>
      </c>
      <c r="F104" t="s">
        <v>28</v>
      </c>
      <c r="G104" t="s">
        <v>407</v>
      </c>
      <c r="H104" t="str">
        <f>"ppk-3"</f>
        <v>ppk-3</v>
      </c>
      <c r="I104" t="s">
        <v>409</v>
      </c>
      <c r="J104">
        <v>21.417621885181301</v>
      </c>
      <c r="K104">
        <v>21.662727414251499</v>
      </c>
      <c r="L104">
        <v>21.1433322445247</v>
      </c>
      <c r="M104">
        <v>21.442220096449098</v>
      </c>
      <c r="N104">
        <v>21.251336488285201</v>
      </c>
      <c r="O104">
        <v>21.3113565949687</v>
      </c>
      <c r="P104">
        <v>-7.2922788084852599E-2</v>
      </c>
      <c r="Q104">
        <v>-0.79060583246759397</v>
      </c>
      <c r="R104">
        <v>0.64476025629788902</v>
      </c>
      <c r="S104">
        <v>20.4191776850104</v>
      </c>
      <c r="T104">
        <v>-0.213561563680499</v>
      </c>
      <c r="U104">
        <v>-6.8586898256060804</v>
      </c>
      <c r="V104">
        <v>0.83330324791916499</v>
      </c>
      <c r="W104">
        <v>0.99370240586176295</v>
      </c>
      <c r="X104">
        <v>0</v>
      </c>
      <c r="Y104">
        <v>0</v>
      </c>
    </row>
    <row r="105" spans="1:25" x14ac:dyDescent="0.2">
      <c r="A105" t="s">
        <v>410</v>
      </c>
      <c r="B105" t="s">
        <v>411</v>
      </c>
      <c r="C105" t="s">
        <v>14210</v>
      </c>
      <c r="D105" t="s">
        <v>412</v>
      </c>
      <c r="E105" t="s">
        <v>411</v>
      </c>
      <c r="F105" t="s">
        <v>28</v>
      </c>
      <c r="G105" t="s">
        <v>411</v>
      </c>
      <c r="H105" t="str">
        <f>"T26A5.2"</f>
        <v>T26A5.2</v>
      </c>
      <c r="I105" t="s">
        <v>412</v>
      </c>
      <c r="J105" t="s">
        <v>29</v>
      </c>
      <c r="K105" t="s">
        <v>29</v>
      </c>
      <c r="L105" t="s">
        <v>29</v>
      </c>
      <c r="M105" t="s">
        <v>29</v>
      </c>
      <c r="N105" t="s">
        <v>29</v>
      </c>
      <c r="O105" t="s">
        <v>29</v>
      </c>
      <c r="P105" t="s">
        <v>29</v>
      </c>
      <c r="Q105" t="s">
        <v>29</v>
      </c>
      <c r="R105" t="s">
        <v>29</v>
      </c>
      <c r="S105">
        <v>12.9942017015369</v>
      </c>
      <c r="T105" t="s">
        <v>29</v>
      </c>
      <c r="U105" t="s">
        <v>29</v>
      </c>
      <c r="V105" t="s">
        <v>29</v>
      </c>
      <c r="W105" t="s">
        <v>29</v>
      </c>
      <c r="X105" t="s">
        <v>29</v>
      </c>
      <c r="Y105" t="s">
        <v>29</v>
      </c>
    </row>
    <row r="106" spans="1:25" x14ac:dyDescent="0.2">
      <c r="A106" t="s">
        <v>413</v>
      </c>
      <c r="B106" t="s">
        <v>414</v>
      </c>
      <c r="C106" t="s">
        <v>415</v>
      </c>
      <c r="D106" t="s">
        <v>416</v>
      </c>
      <c r="E106" t="s">
        <v>414</v>
      </c>
      <c r="F106" t="s">
        <v>28</v>
      </c>
      <c r="G106" t="s">
        <v>414</v>
      </c>
      <c r="H106" t="str">
        <f>"usp-5"</f>
        <v>usp-5</v>
      </c>
      <c r="I106" t="s">
        <v>416</v>
      </c>
      <c r="J106">
        <v>10.599355728830901</v>
      </c>
      <c r="K106" t="s">
        <v>29</v>
      </c>
      <c r="L106">
        <v>11.7055309883216</v>
      </c>
      <c r="M106">
        <v>12.1097791149231</v>
      </c>
      <c r="N106">
        <v>12.704178686637301</v>
      </c>
      <c r="O106">
        <v>11.8986730226387</v>
      </c>
      <c r="P106">
        <v>1.0851002494901301</v>
      </c>
      <c r="Q106">
        <v>0.33875536333462403</v>
      </c>
      <c r="R106">
        <v>1.8314451356456301</v>
      </c>
      <c r="S106">
        <v>12.780827868188601</v>
      </c>
      <c r="T106">
        <v>3.0837547517789599</v>
      </c>
      <c r="U106">
        <v>-2.8756816201402202</v>
      </c>
      <c r="V106">
        <v>7.1615603673176797E-3</v>
      </c>
      <c r="W106">
        <v>0.14532727379532501</v>
      </c>
      <c r="X106">
        <v>1</v>
      </c>
      <c r="Y106">
        <v>0</v>
      </c>
    </row>
    <row r="107" spans="1:25" x14ac:dyDescent="0.2">
      <c r="A107" t="s">
        <v>417</v>
      </c>
      <c r="B107" t="s">
        <v>418</v>
      </c>
      <c r="C107" t="s">
        <v>419</v>
      </c>
      <c r="D107" t="s">
        <v>420</v>
      </c>
      <c r="E107" t="s">
        <v>418</v>
      </c>
      <c r="F107" t="s">
        <v>28</v>
      </c>
      <c r="G107" t="s">
        <v>418</v>
      </c>
      <c r="H107" t="str">
        <f>"clh-1"</f>
        <v>clh-1</v>
      </c>
      <c r="I107" t="s">
        <v>420</v>
      </c>
      <c r="J107">
        <v>12.7532538866521</v>
      </c>
      <c r="K107">
        <v>12.226948512995801</v>
      </c>
      <c r="L107">
        <v>12.7468976092416</v>
      </c>
      <c r="M107">
        <v>12.3508454229033</v>
      </c>
      <c r="N107" t="s">
        <v>29</v>
      </c>
      <c r="O107">
        <v>12.1412339055983</v>
      </c>
      <c r="P107">
        <v>-0.32966033871239397</v>
      </c>
      <c r="Q107">
        <v>-1.28864140238273</v>
      </c>
      <c r="R107">
        <v>0.62932072495794</v>
      </c>
      <c r="S107">
        <v>12.3726818265174</v>
      </c>
      <c r="T107">
        <v>-0.73781683725400804</v>
      </c>
      <c r="U107">
        <v>-6.4897489487024798</v>
      </c>
      <c r="V107">
        <v>0.47290297203519399</v>
      </c>
      <c r="W107">
        <v>0.93180644815460401</v>
      </c>
      <c r="X107">
        <v>0</v>
      </c>
      <c r="Y107">
        <v>0</v>
      </c>
    </row>
    <row r="108" spans="1:25" x14ac:dyDescent="0.2">
      <c r="A108" t="s">
        <v>421</v>
      </c>
      <c r="B108" t="s">
        <v>422</v>
      </c>
      <c r="C108" t="s">
        <v>14211</v>
      </c>
      <c r="D108" t="s">
        <v>368</v>
      </c>
      <c r="E108" t="s">
        <v>422</v>
      </c>
      <c r="F108" t="s">
        <v>28</v>
      </c>
      <c r="G108" t="s">
        <v>422</v>
      </c>
      <c r="H108" t="str">
        <f>"W05F2.4"</f>
        <v>W05F2.4</v>
      </c>
      <c r="I108" t="s">
        <v>368</v>
      </c>
      <c r="J108" t="s">
        <v>29</v>
      </c>
      <c r="K108" t="s">
        <v>29</v>
      </c>
      <c r="L108">
        <v>11.2118933008125</v>
      </c>
      <c r="M108">
        <v>10.767797677035301</v>
      </c>
      <c r="N108" t="s">
        <v>29</v>
      </c>
      <c r="O108" t="s">
        <v>29</v>
      </c>
      <c r="P108">
        <v>-0.44409562377718398</v>
      </c>
      <c r="Q108">
        <v>-1.3900819542124601</v>
      </c>
      <c r="R108">
        <v>0.50189070665809399</v>
      </c>
      <c r="S108">
        <v>11.693350056633999</v>
      </c>
      <c r="T108">
        <v>-1.0638880674210101</v>
      </c>
      <c r="U108">
        <v>-5.7698264510690498</v>
      </c>
      <c r="V108">
        <v>0.315406450597157</v>
      </c>
      <c r="W108">
        <v>0.865163117388565</v>
      </c>
      <c r="X108">
        <v>0</v>
      </c>
      <c r="Y108">
        <v>0</v>
      </c>
    </row>
    <row r="109" spans="1:25" x14ac:dyDescent="0.2">
      <c r="A109" t="s">
        <v>423</v>
      </c>
      <c r="B109" t="s">
        <v>424</v>
      </c>
      <c r="C109" t="s">
        <v>425</v>
      </c>
      <c r="D109" t="s">
        <v>426</v>
      </c>
      <c r="E109" t="s">
        <v>424</v>
      </c>
      <c r="F109" t="s">
        <v>28</v>
      </c>
      <c r="G109" t="s">
        <v>424</v>
      </c>
      <c r="H109" t="str">
        <f>"mvk-1"</f>
        <v>mvk-1</v>
      </c>
      <c r="I109" t="s">
        <v>426</v>
      </c>
      <c r="J109">
        <v>14.828496191709</v>
      </c>
      <c r="K109">
        <v>14.7858084973003</v>
      </c>
      <c r="L109">
        <v>14.455038046820301</v>
      </c>
      <c r="M109">
        <v>14.5701297413587</v>
      </c>
      <c r="N109">
        <v>14.4036909276983</v>
      </c>
      <c r="O109">
        <v>14.6387484380895</v>
      </c>
      <c r="P109">
        <v>-0.15225787622776499</v>
      </c>
      <c r="Q109">
        <v>-0.54963930091262503</v>
      </c>
      <c r="R109">
        <v>0.245123548457096</v>
      </c>
      <c r="S109">
        <v>14.1429183135579</v>
      </c>
      <c r="T109">
        <v>-0.80531301585728399</v>
      </c>
      <c r="U109">
        <v>-6.5496918893236504</v>
      </c>
      <c r="V109">
        <v>0.43120999506186197</v>
      </c>
      <c r="W109">
        <v>0.91512503332874395</v>
      </c>
      <c r="X109">
        <v>0</v>
      </c>
      <c r="Y109">
        <v>0</v>
      </c>
    </row>
    <row r="110" spans="1:25" x14ac:dyDescent="0.2">
      <c r="A110" t="s">
        <v>427</v>
      </c>
      <c r="B110" t="s">
        <v>428</v>
      </c>
      <c r="C110" t="s">
        <v>14212</v>
      </c>
      <c r="D110" t="s">
        <v>429</v>
      </c>
      <c r="E110" t="s">
        <v>428</v>
      </c>
      <c r="F110" t="s">
        <v>28</v>
      </c>
      <c r="G110" t="s">
        <v>428</v>
      </c>
      <c r="H110" t="str">
        <f>"Y32H12A.7"</f>
        <v>Y32H12A.7</v>
      </c>
      <c r="I110" t="s">
        <v>429</v>
      </c>
      <c r="J110" t="s">
        <v>29</v>
      </c>
      <c r="K110">
        <v>11.407124804301899</v>
      </c>
      <c r="L110">
        <v>12.8389829239474</v>
      </c>
      <c r="M110" t="s">
        <v>29</v>
      </c>
      <c r="N110" t="s">
        <v>29</v>
      </c>
      <c r="O110">
        <v>12.859381586556999</v>
      </c>
      <c r="P110">
        <v>0.73632772243241496</v>
      </c>
      <c r="Q110">
        <v>-0.62558406370087005</v>
      </c>
      <c r="R110">
        <v>2.0982395085657002</v>
      </c>
      <c r="S110">
        <v>12.9070936299238</v>
      </c>
      <c r="T110">
        <v>1.20639370923065</v>
      </c>
      <c r="U110">
        <v>-5.7542263885243798</v>
      </c>
      <c r="V110">
        <v>0.25571695679319301</v>
      </c>
      <c r="W110">
        <v>0.83701250057606502</v>
      </c>
      <c r="X110">
        <v>0</v>
      </c>
      <c r="Y110">
        <v>0</v>
      </c>
    </row>
    <row r="111" spans="1:25" x14ac:dyDescent="0.2">
      <c r="A111" t="s">
        <v>430</v>
      </c>
      <c r="B111" t="s">
        <v>431</v>
      </c>
      <c r="C111" t="s">
        <v>432</v>
      </c>
      <c r="D111" t="s">
        <v>433</v>
      </c>
      <c r="E111" t="s">
        <v>431</v>
      </c>
      <c r="F111" t="s">
        <v>28</v>
      </c>
      <c r="G111" t="s">
        <v>431</v>
      </c>
      <c r="H111" t="str">
        <f>"edc-4"</f>
        <v>edc-4</v>
      </c>
      <c r="I111" t="s">
        <v>433</v>
      </c>
      <c r="J111">
        <v>11.920371341518599</v>
      </c>
      <c r="K111">
        <v>11.454727761420401</v>
      </c>
      <c r="L111">
        <v>11.7757898023814</v>
      </c>
      <c r="M111">
        <v>13.584397128355199</v>
      </c>
      <c r="N111">
        <v>14.0337186808776</v>
      </c>
      <c r="O111">
        <v>13.284814397141</v>
      </c>
      <c r="P111">
        <v>1.91734710035115</v>
      </c>
      <c r="Q111">
        <v>1.42437904609229</v>
      </c>
      <c r="R111">
        <v>2.4103151546100099</v>
      </c>
      <c r="S111">
        <v>13.818289367550401</v>
      </c>
      <c r="T111">
        <v>8.1747499537122597</v>
      </c>
      <c r="U111">
        <v>7.4500859195064502</v>
      </c>
      <c r="V111" s="2">
        <v>1.8768689001468099E-7</v>
      </c>
      <c r="W111" s="2">
        <v>2.4984878798754399E-5</v>
      </c>
      <c r="X111">
        <v>1</v>
      </c>
      <c r="Y111">
        <v>1</v>
      </c>
    </row>
    <row r="112" spans="1:25" x14ac:dyDescent="0.2">
      <c r="A112" t="s">
        <v>434</v>
      </c>
      <c r="B112" t="s">
        <v>435</v>
      </c>
      <c r="C112" t="s">
        <v>14213</v>
      </c>
      <c r="D112" t="s">
        <v>436</v>
      </c>
      <c r="E112" t="s">
        <v>435</v>
      </c>
      <c r="F112" t="s">
        <v>28</v>
      </c>
      <c r="G112" t="s">
        <v>435</v>
      </c>
      <c r="H112" t="str">
        <f>"Y39A3CL.4"</f>
        <v>Y39A3CL.4</v>
      </c>
      <c r="I112" t="s">
        <v>436</v>
      </c>
      <c r="J112">
        <v>14.1356381697272</v>
      </c>
      <c r="K112">
        <v>14.264659704578399</v>
      </c>
      <c r="L112">
        <v>13.9579323421415</v>
      </c>
      <c r="M112">
        <v>14.655571653346099</v>
      </c>
      <c r="N112">
        <v>14.667509083303401</v>
      </c>
      <c r="O112">
        <v>14.5629634130607</v>
      </c>
      <c r="P112">
        <v>0.50927131108772605</v>
      </c>
      <c r="Q112">
        <v>-1.5525331936412701E-2</v>
      </c>
      <c r="R112">
        <v>1.03406795411187</v>
      </c>
      <c r="S112">
        <v>14.4212616868606</v>
      </c>
      <c r="T112">
        <v>2.0396266434262702</v>
      </c>
      <c r="U112">
        <v>-4.9303731449817603</v>
      </c>
      <c r="V112">
        <v>5.6432508704474103E-2</v>
      </c>
      <c r="W112">
        <v>0.50896311373574399</v>
      </c>
      <c r="X112">
        <v>0</v>
      </c>
      <c r="Y112">
        <v>0</v>
      </c>
    </row>
    <row r="113" spans="1:25" x14ac:dyDescent="0.2">
      <c r="A113" t="s">
        <v>437</v>
      </c>
      <c r="B113" t="s">
        <v>438</v>
      </c>
      <c r="C113" t="s">
        <v>439</v>
      </c>
      <c r="D113" t="s">
        <v>66</v>
      </c>
      <c r="E113" t="s">
        <v>438</v>
      </c>
      <c r="F113" t="s">
        <v>28</v>
      </c>
      <c r="G113" t="s">
        <v>438</v>
      </c>
      <c r="H113" t="str">
        <f>"pkhm-2"</f>
        <v>pkhm-2</v>
      </c>
      <c r="I113" t="s">
        <v>66</v>
      </c>
      <c r="J113">
        <v>12.5778990188821</v>
      </c>
      <c r="K113">
        <v>11.726790452989601</v>
      </c>
      <c r="L113">
        <v>12.5578729855966</v>
      </c>
      <c r="M113">
        <v>12.2818147272344</v>
      </c>
      <c r="N113">
        <v>11.878093247335901</v>
      </c>
      <c r="O113">
        <v>12.3612992603737</v>
      </c>
      <c r="P113">
        <v>-0.11378507417469801</v>
      </c>
      <c r="Q113">
        <v>-0.76802579336176102</v>
      </c>
      <c r="R113">
        <v>0.54045564501236398</v>
      </c>
      <c r="S113">
        <v>12.3041241001019</v>
      </c>
      <c r="T113">
        <v>-0.36889031748303902</v>
      </c>
      <c r="U113">
        <v>-6.8112223028651204</v>
      </c>
      <c r="V113">
        <v>0.71707702790207695</v>
      </c>
      <c r="W113">
        <v>0.98786722894487999</v>
      </c>
      <c r="X113">
        <v>0</v>
      </c>
      <c r="Y113">
        <v>0</v>
      </c>
    </row>
    <row r="114" spans="1:25" x14ac:dyDescent="0.2">
      <c r="A114" t="s">
        <v>440</v>
      </c>
      <c r="B114" t="s">
        <v>441</v>
      </c>
      <c r="C114" t="s">
        <v>442</v>
      </c>
      <c r="D114" t="s">
        <v>252</v>
      </c>
      <c r="E114" t="s">
        <v>441</v>
      </c>
      <c r="F114" t="s">
        <v>28</v>
      </c>
      <c r="G114" t="s">
        <v>441</v>
      </c>
      <c r="H114" t="str">
        <f>"mex-1"</f>
        <v>mex-1</v>
      </c>
      <c r="I114" t="s">
        <v>252</v>
      </c>
      <c r="J114">
        <v>11.720929577572999</v>
      </c>
      <c r="K114" t="s">
        <v>29</v>
      </c>
      <c r="L114">
        <v>12.6519363026981</v>
      </c>
      <c r="M114">
        <v>12.545599344289</v>
      </c>
      <c r="N114">
        <v>12.2978674227375</v>
      </c>
      <c r="O114" t="s">
        <v>29</v>
      </c>
      <c r="P114">
        <v>0.235300443377746</v>
      </c>
      <c r="Q114">
        <v>-0.52317210005818704</v>
      </c>
      <c r="R114">
        <v>0.99377298681367898</v>
      </c>
      <c r="S114">
        <v>13.886193444622499</v>
      </c>
      <c r="T114">
        <v>0.67659361337007295</v>
      </c>
      <c r="U114">
        <v>-6.4426675549008801</v>
      </c>
      <c r="V114">
        <v>0.51160638016815896</v>
      </c>
      <c r="W114">
        <v>0.94171793871661102</v>
      </c>
      <c r="X114">
        <v>0</v>
      </c>
      <c r="Y114">
        <v>0</v>
      </c>
    </row>
    <row r="115" spans="1:25" x14ac:dyDescent="0.2">
      <c r="A115" t="s">
        <v>443</v>
      </c>
      <c r="B115" t="s">
        <v>444</v>
      </c>
      <c r="C115" t="s">
        <v>445</v>
      </c>
      <c r="D115" t="s">
        <v>446</v>
      </c>
      <c r="E115" t="s">
        <v>444</v>
      </c>
      <c r="F115" t="s">
        <v>28</v>
      </c>
      <c r="G115" t="s">
        <v>444</v>
      </c>
      <c r="H115" t="str">
        <f>"ctps-1"</f>
        <v>ctps-1</v>
      </c>
      <c r="I115" t="s">
        <v>446</v>
      </c>
      <c r="J115">
        <v>15.2610876888126</v>
      </c>
      <c r="K115">
        <v>15.140798721927201</v>
      </c>
      <c r="L115">
        <v>15.2749991624353</v>
      </c>
      <c r="M115">
        <v>15.288007224854701</v>
      </c>
      <c r="N115">
        <v>15.2938368442782</v>
      </c>
      <c r="O115">
        <v>15.174316849483001</v>
      </c>
      <c r="P115">
        <v>2.64251151469104E-2</v>
      </c>
      <c r="Q115">
        <v>-0.30332161265660901</v>
      </c>
      <c r="R115">
        <v>0.35617184295042897</v>
      </c>
      <c r="S115">
        <v>15.0736774918691</v>
      </c>
      <c r="T115">
        <v>0.16843366821389399</v>
      </c>
      <c r="U115">
        <v>-6.8676782129676699</v>
      </c>
      <c r="V115">
        <v>0.86813121831179796</v>
      </c>
      <c r="W115">
        <v>0.99457622291666603</v>
      </c>
      <c r="X115">
        <v>0</v>
      </c>
      <c r="Y115">
        <v>0</v>
      </c>
    </row>
    <row r="116" spans="1:25" x14ac:dyDescent="0.2">
      <c r="A116" t="s">
        <v>447</v>
      </c>
      <c r="B116" t="s">
        <v>448</v>
      </c>
      <c r="C116" t="s">
        <v>449</v>
      </c>
      <c r="D116" t="s">
        <v>450</v>
      </c>
      <c r="E116" t="s">
        <v>448</v>
      </c>
      <c r="F116" t="s">
        <v>28</v>
      </c>
      <c r="G116" t="s">
        <v>448</v>
      </c>
      <c r="H116" t="str">
        <f>"frm-5.1"</f>
        <v>frm-5.1</v>
      </c>
      <c r="I116" t="s">
        <v>450</v>
      </c>
      <c r="J116">
        <v>10.9647975226712</v>
      </c>
      <c r="K116">
        <v>11.1260795649222</v>
      </c>
      <c r="L116">
        <v>10.9534852560286</v>
      </c>
      <c r="M116">
        <v>13.009372664772201</v>
      </c>
      <c r="N116">
        <v>13.007576495861199</v>
      </c>
      <c r="O116">
        <v>12.6256028112533</v>
      </c>
      <c r="P116">
        <v>1.8660632094215801</v>
      </c>
      <c r="Q116">
        <v>1.4516660100219101</v>
      </c>
      <c r="R116">
        <v>2.2804604088212601</v>
      </c>
      <c r="S116">
        <v>11.8706109908562</v>
      </c>
      <c r="T116">
        <v>9.5512248410449292</v>
      </c>
      <c r="U116">
        <v>8.7494013680132792</v>
      </c>
      <c r="V116" s="2">
        <v>5.4928453561890498E-8</v>
      </c>
      <c r="W116" s="2">
        <v>9.6211522870511402E-6</v>
      </c>
      <c r="X116">
        <v>1</v>
      </c>
      <c r="Y116">
        <v>1</v>
      </c>
    </row>
    <row r="117" spans="1:25" x14ac:dyDescent="0.2">
      <c r="A117" t="s">
        <v>451</v>
      </c>
      <c r="B117" t="s">
        <v>452</v>
      </c>
      <c r="C117" t="s">
        <v>453</v>
      </c>
      <c r="D117" t="s">
        <v>454</v>
      </c>
      <c r="E117" t="s">
        <v>452</v>
      </c>
      <c r="F117" t="s">
        <v>28</v>
      </c>
      <c r="G117" t="s">
        <v>452</v>
      </c>
      <c r="H117" t="str">
        <f>"azyx-1"</f>
        <v>azyx-1</v>
      </c>
      <c r="I117" t="s">
        <v>454</v>
      </c>
      <c r="J117">
        <v>14.446789829825001</v>
      </c>
      <c r="K117">
        <v>14.594690938462501</v>
      </c>
      <c r="L117">
        <v>15.0425673489544</v>
      </c>
      <c r="M117">
        <v>14.255421712595099</v>
      </c>
      <c r="N117">
        <v>14.2603695986997</v>
      </c>
      <c r="O117">
        <v>14.132603963679999</v>
      </c>
      <c r="P117">
        <v>-0.47855094742240201</v>
      </c>
      <c r="Q117">
        <v>-0.89207343961111996</v>
      </c>
      <c r="R117">
        <v>-6.5028455233684099E-2</v>
      </c>
      <c r="S117">
        <v>14.942897646458899</v>
      </c>
      <c r="T117">
        <v>-2.4323247388373299</v>
      </c>
      <c r="U117">
        <v>-4.2160977906480097</v>
      </c>
      <c r="V117">
        <v>2.5730193664546801E-2</v>
      </c>
      <c r="W117">
        <v>0.34668050411178902</v>
      </c>
      <c r="X117">
        <v>0</v>
      </c>
      <c r="Y117">
        <v>0</v>
      </c>
    </row>
    <row r="118" spans="1:25" x14ac:dyDescent="0.2">
      <c r="A118" t="s">
        <v>455</v>
      </c>
      <c r="B118" t="s">
        <v>456</v>
      </c>
      <c r="C118" t="s">
        <v>457</v>
      </c>
      <c r="D118" t="s">
        <v>458</v>
      </c>
      <c r="E118" t="s">
        <v>456</v>
      </c>
      <c r="F118" t="s">
        <v>28</v>
      </c>
      <c r="G118" t="s">
        <v>456</v>
      </c>
      <c r="H118" t="str">
        <f>"ttr-42"</f>
        <v>ttr-42</v>
      </c>
      <c r="I118" t="s">
        <v>458</v>
      </c>
      <c r="J118" t="s">
        <v>29</v>
      </c>
      <c r="K118" t="s">
        <v>29</v>
      </c>
      <c r="L118">
        <v>12.221877817763</v>
      </c>
      <c r="M118">
        <v>11.755624729631201</v>
      </c>
      <c r="N118">
        <v>11.301811628053899</v>
      </c>
      <c r="O118">
        <v>11.5538493219674</v>
      </c>
      <c r="P118">
        <v>-0.68478259121213003</v>
      </c>
      <c r="Q118">
        <v>-2.4909073421766301</v>
      </c>
      <c r="R118">
        <v>1.1213421597523701</v>
      </c>
      <c r="S118">
        <v>11.462171488339701</v>
      </c>
      <c r="T118">
        <v>-0.85922968343546702</v>
      </c>
      <c r="U118">
        <v>-6.1549333399183803</v>
      </c>
      <c r="V118">
        <v>0.41276985500195001</v>
      </c>
      <c r="W118">
        <v>0.91512503332874395</v>
      </c>
      <c r="X118">
        <v>0</v>
      </c>
      <c r="Y118">
        <v>0</v>
      </c>
    </row>
    <row r="119" spans="1:25" x14ac:dyDescent="0.2">
      <c r="A119" t="s">
        <v>459</v>
      </c>
      <c r="B119" t="s">
        <v>460</v>
      </c>
      <c r="C119" t="s">
        <v>461</v>
      </c>
      <c r="D119" t="s">
        <v>462</v>
      </c>
      <c r="E119" t="s">
        <v>460</v>
      </c>
      <c r="F119" t="s">
        <v>28</v>
      </c>
      <c r="G119" t="s">
        <v>460</v>
      </c>
      <c r="H119" t="str">
        <f>"C29E4.15"</f>
        <v>C29E4.15</v>
      </c>
      <c r="I119" t="s">
        <v>462</v>
      </c>
      <c r="J119">
        <v>12.6521910036065</v>
      </c>
      <c r="K119">
        <v>11.845547701575599</v>
      </c>
      <c r="L119">
        <v>12.600294699841101</v>
      </c>
      <c r="M119">
        <v>12.3552292400116</v>
      </c>
      <c r="N119">
        <v>11.5821191595341</v>
      </c>
      <c r="O119">
        <v>12.5153651036299</v>
      </c>
      <c r="P119">
        <v>-0.215106633949183</v>
      </c>
      <c r="Q119">
        <v>-1.3112098275422801</v>
      </c>
      <c r="R119">
        <v>0.88099655964390999</v>
      </c>
      <c r="S119">
        <v>12.096432443199401</v>
      </c>
      <c r="T119">
        <v>-0.42120571393906098</v>
      </c>
      <c r="U119">
        <v>-6.7889805537684396</v>
      </c>
      <c r="V119">
        <v>0.68004761789628498</v>
      </c>
      <c r="W119">
        <v>0.98642420921484297</v>
      </c>
      <c r="X119">
        <v>0</v>
      </c>
      <c r="Y119">
        <v>0</v>
      </c>
    </row>
    <row r="120" spans="1:25" x14ac:dyDescent="0.2">
      <c r="A120" t="s">
        <v>463</v>
      </c>
      <c r="B120" t="s">
        <v>464</v>
      </c>
      <c r="C120" t="s">
        <v>465</v>
      </c>
      <c r="D120" t="s">
        <v>466</v>
      </c>
      <c r="E120" t="s">
        <v>464</v>
      </c>
      <c r="F120" t="s">
        <v>28</v>
      </c>
      <c r="G120" t="s">
        <v>464</v>
      </c>
      <c r="H120" t="str">
        <f>"cnnm-1"</f>
        <v>cnnm-1</v>
      </c>
      <c r="I120" t="s">
        <v>466</v>
      </c>
      <c r="J120">
        <v>10.374466721912301</v>
      </c>
      <c r="K120">
        <v>10.5409232451601</v>
      </c>
      <c r="L120">
        <v>10.476359967086299</v>
      </c>
      <c r="M120">
        <v>10.7352181074721</v>
      </c>
      <c r="N120">
        <v>11.7645163253235</v>
      </c>
      <c r="O120">
        <v>10.557952999317999</v>
      </c>
      <c r="P120">
        <v>0.55531249931833104</v>
      </c>
      <c r="Q120">
        <v>-0.40237134564275101</v>
      </c>
      <c r="R120">
        <v>1.5129963442794101</v>
      </c>
      <c r="S120">
        <v>11.065424958854299</v>
      </c>
      <c r="T120">
        <v>1.2366787358985301</v>
      </c>
      <c r="U120">
        <v>-6.1141019060416797</v>
      </c>
      <c r="V120">
        <v>0.235351442969813</v>
      </c>
      <c r="W120">
        <v>0.82101635451104504</v>
      </c>
      <c r="X120">
        <v>0</v>
      </c>
      <c r="Y120">
        <v>0</v>
      </c>
    </row>
    <row r="121" spans="1:25" x14ac:dyDescent="0.2">
      <c r="A121" t="s">
        <v>467</v>
      </c>
      <c r="B121" t="s">
        <v>468</v>
      </c>
      <c r="C121" t="s">
        <v>469</v>
      </c>
      <c r="D121" t="s">
        <v>470</v>
      </c>
      <c r="E121" t="s">
        <v>468</v>
      </c>
      <c r="F121" t="s">
        <v>28</v>
      </c>
      <c r="G121" t="s">
        <v>468</v>
      </c>
      <c r="H121" t="str">
        <f>"oac-59"</f>
        <v>oac-59</v>
      </c>
      <c r="I121" t="s">
        <v>470</v>
      </c>
      <c r="J121">
        <v>11.7390312606493</v>
      </c>
      <c r="K121">
        <v>11.972055981290801</v>
      </c>
      <c r="L121">
        <v>12.1303130080538</v>
      </c>
      <c r="M121">
        <v>11.9259948906384</v>
      </c>
      <c r="N121">
        <v>12.3223952382404</v>
      </c>
      <c r="O121">
        <v>11.366996898121901</v>
      </c>
      <c r="P121">
        <v>-7.5337740997753103E-2</v>
      </c>
      <c r="Q121">
        <v>-0.60339105563381701</v>
      </c>
      <c r="R121">
        <v>0.452715573638311</v>
      </c>
      <c r="S121">
        <v>12.2210617308252</v>
      </c>
      <c r="T121">
        <v>-0.30261074900067902</v>
      </c>
      <c r="U121">
        <v>-6.8344637322199198</v>
      </c>
      <c r="V121">
        <v>0.76611065110103205</v>
      </c>
      <c r="W121">
        <v>0.99278624068726296</v>
      </c>
      <c r="X121">
        <v>0</v>
      </c>
      <c r="Y121">
        <v>0</v>
      </c>
    </row>
    <row r="122" spans="1:25" x14ac:dyDescent="0.2">
      <c r="A122" t="s">
        <v>471</v>
      </c>
      <c r="B122" t="s">
        <v>472</v>
      </c>
      <c r="C122" t="s">
        <v>473</v>
      </c>
      <c r="D122" t="s">
        <v>319</v>
      </c>
      <c r="E122" t="s">
        <v>472</v>
      </c>
      <c r="F122" t="s">
        <v>28</v>
      </c>
      <c r="G122" t="s">
        <v>472</v>
      </c>
      <c r="H122" t="str">
        <f>"C42C1.8"</f>
        <v>C42C1.8</v>
      </c>
      <c r="I122" t="s">
        <v>319</v>
      </c>
      <c r="J122">
        <v>13.442807793329999</v>
      </c>
      <c r="K122">
        <v>12.851552048913099</v>
      </c>
      <c r="L122">
        <v>13.367682829589301</v>
      </c>
      <c r="M122">
        <v>13.551038844950099</v>
      </c>
      <c r="N122">
        <v>13.717951430239401</v>
      </c>
      <c r="O122">
        <v>13.295973920761201</v>
      </c>
      <c r="P122">
        <v>0.30097384137276401</v>
      </c>
      <c r="Q122">
        <v>-0.196645430462319</v>
      </c>
      <c r="R122">
        <v>0.79859311320784798</v>
      </c>
      <c r="S122">
        <v>13.711911953873001</v>
      </c>
      <c r="T122">
        <v>1.28286539319308</v>
      </c>
      <c r="U122">
        <v>-6.0592386670402503</v>
      </c>
      <c r="V122">
        <v>0.21793074224817699</v>
      </c>
      <c r="W122">
        <v>0.79508962856638699</v>
      </c>
      <c r="X122">
        <v>0</v>
      </c>
      <c r="Y122">
        <v>0</v>
      </c>
    </row>
    <row r="123" spans="1:25" x14ac:dyDescent="0.2">
      <c r="A123" t="s">
        <v>474</v>
      </c>
      <c r="B123" t="s">
        <v>475</v>
      </c>
      <c r="C123" t="s">
        <v>476</v>
      </c>
      <c r="D123" t="s">
        <v>477</v>
      </c>
      <c r="E123" t="s">
        <v>475</v>
      </c>
      <c r="F123" t="s">
        <v>28</v>
      </c>
      <c r="G123" t="s">
        <v>475</v>
      </c>
      <c r="H123" t="str">
        <f>"hpo-12"</f>
        <v>hpo-12</v>
      </c>
      <c r="I123" t="s">
        <v>477</v>
      </c>
      <c r="J123">
        <v>13.535933422964201</v>
      </c>
      <c r="K123">
        <v>13.6633420036478</v>
      </c>
      <c r="L123">
        <v>13.7305853659495</v>
      </c>
      <c r="M123">
        <v>13.6055255879608</v>
      </c>
      <c r="N123">
        <v>13.771454272735999</v>
      </c>
      <c r="O123">
        <v>13.7705039028393</v>
      </c>
      <c r="P123">
        <v>7.2540990324876403E-2</v>
      </c>
      <c r="Q123">
        <v>-0.57575128514081897</v>
      </c>
      <c r="R123">
        <v>0.72083326579057205</v>
      </c>
      <c r="S123">
        <v>13.4143974901439</v>
      </c>
      <c r="T123">
        <v>0.237335204605649</v>
      </c>
      <c r="U123">
        <v>-6.8529152244387701</v>
      </c>
      <c r="V123">
        <v>0.81542868313580996</v>
      </c>
      <c r="W123">
        <v>0.99278624068726296</v>
      </c>
      <c r="X123">
        <v>0</v>
      </c>
      <c r="Y123">
        <v>0</v>
      </c>
    </row>
    <row r="124" spans="1:25" x14ac:dyDescent="0.2">
      <c r="A124" t="s">
        <v>478</v>
      </c>
      <c r="B124" t="s">
        <v>479</v>
      </c>
      <c r="C124" t="s">
        <v>480</v>
      </c>
      <c r="D124" t="s">
        <v>481</v>
      </c>
      <c r="E124" t="s">
        <v>479</v>
      </c>
      <c r="F124" t="s">
        <v>28</v>
      </c>
      <c r="G124" t="s">
        <v>479</v>
      </c>
      <c r="H124" t="str">
        <f>"rpl-34"</f>
        <v>rpl-34</v>
      </c>
      <c r="I124" t="s">
        <v>481</v>
      </c>
      <c r="J124">
        <v>19.636546243082002</v>
      </c>
      <c r="K124">
        <v>19.492956322883501</v>
      </c>
      <c r="L124">
        <v>19.4092060741932</v>
      </c>
      <c r="M124">
        <v>19.483100475063399</v>
      </c>
      <c r="N124">
        <v>19.196691408986101</v>
      </c>
      <c r="O124">
        <v>19.340164870428499</v>
      </c>
      <c r="P124">
        <v>-0.172917295226863</v>
      </c>
      <c r="Q124">
        <v>-0.63575008266034905</v>
      </c>
      <c r="R124">
        <v>0.28991549220662199</v>
      </c>
      <c r="S124">
        <v>18.9544411213407</v>
      </c>
      <c r="T124">
        <v>-0.78524798329859302</v>
      </c>
      <c r="U124">
        <v>-6.5657920447444997</v>
      </c>
      <c r="V124">
        <v>0.44258112098790597</v>
      </c>
      <c r="W124">
        <v>0.92006726233944303</v>
      </c>
      <c r="X124">
        <v>0</v>
      </c>
      <c r="Y124">
        <v>0</v>
      </c>
    </row>
    <row r="125" spans="1:25" x14ac:dyDescent="0.2">
      <c r="A125" t="s">
        <v>482</v>
      </c>
      <c r="B125" t="s">
        <v>483</v>
      </c>
      <c r="C125" t="s">
        <v>484</v>
      </c>
      <c r="D125" t="s">
        <v>485</v>
      </c>
      <c r="E125" t="s">
        <v>483</v>
      </c>
      <c r="F125" t="s">
        <v>28</v>
      </c>
      <c r="G125" t="s">
        <v>483</v>
      </c>
      <c r="H125" t="str">
        <f>"erl-1"</f>
        <v>erl-1</v>
      </c>
      <c r="I125" t="s">
        <v>485</v>
      </c>
      <c r="J125">
        <v>13.2279729845612</v>
      </c>
      <c r="K125">
        <v>14.1718601124535</v>
      </c>
      <c r="L125">
        <v>14.2594434457862</v>
      </c>
      <c r="M125">
        <v>13.854199166910201</v>
      </c>
      <c r="N125">
        <v>13.9254552458661</v>
      </c>
      <c r="O125">
        <v>14.218798656760001</v>
      </c>
      <c r="P125">
        <v>0.113058842245172</v>
      </c>
      <c r="Q125">
        <v>-0.45856233807542701</v>
      </c>
      <c r="R125">
        <v>0.68468002256577098</v>
      </c>
      <c r="S125">
        <v>14.333735966427399</v>
      </c>
      <c r="T125">
        <v>0.41570833728611301</v>
      </c>
      <c r="U125">
        <v>-6.7926325533131404</v>
      </c>
      <c r="V125">
        <v>0.68256590992927302</v>
      </c>
      <c r="W125">
        <v>0.98642420921484297</v>
      </c>
      <c r="X125">
        <v>0</v>
      </c>
      <c r="Y125">
        <v>0</v>
      </c>
    </row>
    <row r="126" spans="1:25" x14ac:dyDescent="0.2">
      <c r="A126" t="s">
        <v>486</v>
      </c>
      <c r="B126" t="s">
        <v>487</v>
      </c>
      <c r="C126" t="s">
        <v>488</v>
      </c>
      <c r="D126" t="s">
        <v>489</v>
      </c>
      <c r="E126" t="s">
        <v>487</v>
      </c>
      <c r="F126" t="s">
        <v>28</v>
      </c>
      <c r="G126" t="s">
        <v>487</v>
      </c>
      <c r="H126" t="str">
        <f>"tag-335"</f>
        <v>tag-335</v>
      </c>
      <c r="I126" t="s">
        <v>489</v>
      </c>
      <c r="J126">
        <v>14.2636521158108</v>
      </c>
      <c r="K126">
        <v>14.0357732295008</v>
      </c>
      <c r="L126">
        <v>13.8328005513596</v>
      </c>
      <c r="M126">
        <v>14.314157808060299</v>
      </c>
      <c r="N126">
        <v>14.496605852294699</v>
      </c>
      <c r="O126">
        <v>14.598349867059101</v>
      </c>
      <c r="P126">
        <v>0.42562921024762601</v>
      </c>
      <c r="Q126">
        <v>-0.124282349933323</v>
      </c>
      <c r="R126">
        <v>0.97554077042857501</v>
      </c>
      <c r="S126">
        <v>13.4883251488066</v>
      </c>
      <c r="T126">
        <v>1.6267884822772301</v>
      </c>
      <c r="U126">
        <v>-5.5938543200002702</v>
      </c>
      <c r="V126">
        <v>0.121261457949914</v>
      </c>
      <c r="W126">
        <v>0.708618319665276</v>
      </c>
      <c r="X126">
        <v>0</v>
      </c>
      <c r="Y126">
        <v>0</v>
      </c>
    </row>
    <row r="127" spans="1:25" x14ac:dyDescent="0.2">
      <c r="A127" t="s">
        <v>490</v>
      </c>
      <c r="B127" t="s">
        <v>491</v>
      </c>
      <c r="C127" t="s">
        <v>492</v>
      </c>
      <c r="D127" t="s">
        <v>493</v>
      </c>
      <c r="E127" t="s">
        <v>491</v>
      </c>
      <c r="F127" t="s">
        <v>28</v>
      </c>
      <c r="G127" t="s">
        <v>491</v>
      </c>
      <c r="H127" t="str">
        <f>"lsy-13"</f>
        <v>lsy-13</v>
      </c>
      <c r="I127" t="s">
        <v>493</v>
      </c>
      <c r="J127">
        <v>9.9029345388336605</v>
      </c>
      <c r="K127" t="s">
        <v>29</v>
      </c>
      <c r="L127">
        <v>10.900212602518399</v>
      </c>
      <c r="M127">
        <v>11.074550092591499</v>
      </c>
      <c r="N127">
        <v>11.282989105776799</v>
      </c>
      <c r="O127">
        <v>9.3693495591662206</v>
      </c>
      <c r="P127">
        <v>0.17405601516882999</v>
      </c>
      <c r="Q127">
        <v>-0.84974094347549001</v>
      </c>
      <c r="R127">
        <v>1.19785297381315</v>
      </c>
      <c r="S127">
        <v>11.660007800671099</v>
      </c>
      <c r="T127">
        <v>0.36758894851776203</v>
      </c>
      <c r="U127">
        <v>-6.7007190902814902</v>
      </c>
      <c r="V127">
        <v>0.71914245341734895</v>
      </c>
      <c r="W127">
        <v>0.98910356032152003</v>
      </c>
      <c r="X127">
        <v>0</v>
      </c>
      <c r="Y127">
        <v>0</v>
      </c>
    </row>
    <row r="128" spans="1:25" x14ac:dyDescent="0.2">
      <c r="A128" t="s">
        <v>494</v>
      </c>
      <c r="B128" t="s">
        <v>495</v>
      </c>
      <c r="C128" t="s">
        <v>496</v>
      </c>
      <c r="D128" t="s">
        <v>497</v>
      </c>
      <c r="E128" t="s">
        <v>495</v>
      </c>
      <c r="F128" t="s">
        <v>28</v>
      </c>
      <c r="G128" t="s">
        <v>495</v>
      </c>
      <c r="H128" t="str">
        <f>"met-1"</f>
        <v>met-1</v>
      </c>
      <c r="I128" t="s">
        <v>497</v>
      </c>
      <c r="J128">
        <v>10.315723539793799</v>
      </c>
      <c r="K128">
        <v>11.1726730836307</v>
      </c>
      <c r="L128">
        <v>10.7580330408252</v>
      </c>
      <c r="M128">
        <v>11.5357631365894</v>
      </c>
      <c r="N128">
        <v>11.5639307672872</v>
      </c>
      <c r="O128">
        <v>10.5736860968003</v>
      </c>
      <c r="P128">
        <v>0.47565011214241398</v>
      </c>
      <c r="Q128">
        <v>-0.11520080729589099</v>
      </c>
      <c r="R128">
        <v>1.06650103158072</v>
      </c>
      <c r="S128">
        <v>11.733570337010301</v>
      </c>
      <c r="T128">
        <v>1.7074941231623899</v>
      </c>
      <c r="U128">
        <v>-5.47578289070288</v>
      </c>
      <c r="V128">
        <v>0.107184169811248</v>
      </c>
      <c r="W128">
        <v>0.66924749930925698</v>
      </c>
      <c r="X128">
        <v>0</v>
      </c>
      <c r="Y128">
        <v>0</v>
      </c>
    </row>
    <row r="129" spans="1:25" x14ac:dyDescent="0.2">
      <c r="A129" t="s">
        <v>498</v>
      </c>
      <c r="B129" t="s">
        <v>499</v>
      </c>
      <c r="C129" t="s">
        <v>14214</v>
      </c>
      <c r="D129" t="s">
        <v>500</v>
      </c>
      <c r="E129" t="s">
        <v>499</v>
      </c>
      <c r="F129" t="s">
        <v>28</v>
      </c>
      <c r="G129" t="s">
        <v>499</v>
      </c>
      <c r="H129" t="str">
        <f>"Y39B6A.3"</f>
        <v>Y39B6A.3</v>
      </c>
      <c r="I129" t="s">
        <v>500</v>
      </c>
      <c r="J129">
        <v>12.381458148591999</v>
      </c>
      <c r="K129">
        <v>11.3412117982888</v>
      </c>
      <c r="L129">
        <v>11.9586425952563</v>
      </c>
      <c r="M129">
        <v>11.5446074510826</v>
      </c>
      <c r="N129">
        <v>12.021678142609</v>
      </c>
      <c r="O129" t="s">
        <v>29</v>
      </c>
      <c r="P129">
        <v>-0.110628050533252</v>
      </c>
      <c r="Q129">
        <v>-0.81414326591541297</v>
      </c>
      <c r="R129">
        <v>0.59288716484890802</v>
      </c>
      <c r="S129">
        <v>11.685642218949001</v>
      </c>
      <c r="T129">
        <v>-0.34000007214426597</v>
      </c>
      <c r="U129">
        <v>-6.7110003918771799</v>
      </c>
      <c r="V129">
        <v>0.73933091372418602</v>
      </c>
      <c r="W129">
        <v>0.99147544347995398</v>
      </c>
      <c r="X129">
        <v>0</v>
      </c>
      <c r="Y129">
        <v>0</v>
      </c>
    </row>
    <row r="130" spans="1:25" x14ac:dyDescent="0.2">
      <c r="A130" t="s">
        <v>501</v>
      </c>
      <c r="B130" t="s">
        <v>502</v>
      </c>
      <c r="C130" t="s">
        <v>503</v>
      </c>
      <c r="D130" t="s">
        <v>130</v>
      </c>
      <c r="E130" t="s">
        <v>502</v>
      </c>
      <c r="F130" t="s">
        <v>28</v>
      </c>
      <c r="G130" t="s">
        <v>502</v>
      </c>
      <c r="H130" t="str">
        <f>"row-1"</f>
        <v>row-1</v>
      </c>
      <c r="I130" t="s">
        <v>130</v>
      </c>
      <c r="J130" t="s">
        <v>29</v>
      </c>
      <c r="K130" t="s">
        <v>29</v>
      </c>
      <c r="L130" t="s">
        <v>29</v>
      </c>
      <c r="M130" t="s">
        <v>29</v>
      </c>
      <c r="N130" t="s">
        <v>29</v>
      </c>
      <c r="O130" t="s">
        <v>29</v>
      </c>
      <c r="P130" t="s">
        <v>29</v>
      </c>
      <c r="Q130" t="s">
        <v>29</v>
      </c>
      <c r="R130" t="s">
        <v>29</v>
      </c>
      <c r="S130">
        <v>11.2330448596966</v>
      </c>
      <c r="T130" t="s">
        <v>29</v>
      </c>
      <c r="U130" t="s">
        <v>29</v>
      </c>
      <c r="V130" t="s">
        <v>29</v>
      </c>
      <c r="W130" t="s">
        <v>29</v>
      </c>
      <c r="X130" t="s">
        <v>29</v>
      </c>
      <c r="Y130" t="s">
        <v>29</v>
      </c>
    </row>
    <row r="131" spans="1:25" x14ac:dyDescent="0.2">
      <c r="A131" t="s">
        <v>504</v>
      </c>
      <c r="B131" t="s">
        <v>505</v>
      </c>
      <c r="C131" t="s">
        <v>506</v>
      </c>
      <c r="D131" t="s">
        <v>507</v>
      </c>
      <c r="E131" t="s">
        <v>505</v>
      </c>
      <c r="F131" t="s">
        <v>28</v>
      </c>
      <c r="G131" t="s">
        <v>505</v>
      </c>
      <c r="H131" t="str">
        <f>"sin-3"</f>
        <v>sin-3</v>
      </c>
      <c r="I131" t="s">
        <v>507</v>
      </c>
      <c r="J131">
        <v>11.6480191132655</v>
      </c>
      <c r="K131" t="s">
        <v>29</v>
      </c>
      <c r="L131">
        <v>10.614621730748601</v>
      </c>
      <c r="M131">
        <v>13.527301061022101</v>
      </c>
      <c r="N131">
        <v>11.6097207978233</v>
      </c>
      <c r="O131">
        <v>12.1677814314705</v>
      </c>
      <c r="P131">
        <v>1.3036140080982199</v>
      </c>
      <c r="Q131">
        <v>0.262344173289906</v>
      </c>
      <c r="R131">
        <v>2.34488384290654</v>
      </c>
      <c r="S131">
        <v>12.2638025317678</v>
      </c>
      <c r="T131">
        <v>2.7069047599643801</v>
      </c>
      <c r="U131">
        <v>-3.6967461524507401</v>
      </c>
      <c r="V131">
        <v>1.8063159280101399E-2</v>
      </c>
      <c r="W131">
        <v>0.27099109231500002</v>
      </c>
      <c r="X131">
        <v>1</v>
      </c>
      <c r="Y131">
        <v>0</v>
      </c>
    </row>
    <row r="132" spans="1:25" x14ac:dyDescent="0.2">
      <c r="A132" t="s">
        <v>508</v>
      </c>
      <c r="B132" t="s">
        <v>509</v>
      </c>
      <c r="C132" t="s">
        <v>510</v>
      </c>
      <c r="D132" t="s">
        <v>511</v>
      </c>
      <c r="E132" t="s">
        <v>509</v>
      </c>
      <c r="F132" t="s">
        <v>28</v>
      </c>
      <c r="G132" t="s">
        <v>509</v>
      </c>
      <c r="H132" t="str">
        <f>"nra-2"</f>
        <v>nra-2</v>
      </c>
      <c r="I132" t="s">
        <v>511</v>
      </c>
      <c r="J132">
        <v>16.962349748523302</v>
      </c>
      <c r="K132">
        <v>16.936019265169101</v>
      </c>
      <c r="L132">
        <v>16.731362662265401</v>
      </c>
      <c r="M132">
        <v>16.829288935624401</v>
      </c>
      <c r="N132">
        <v>16.621849586179898</v>
      </c>
      <c r="O132">
        <v>16.771377297390998</v>
      </c>
      <c r="P132">
        <v>-0.135738618920868</v>
      </c>
      <c r="Q132">
        <v>-0.50249810844034903</v>
      </c>
      <c r="R132">
        <v>0.23102087059861201</v>
      </c>
      <c r="S132">
        <v>16.400328946861102</v>
      </c>
      <c r="T132">
        <v>-0.77788353601791804</v>
      </c>
      <c r="U132">
        <v>-6.5716062471492496</v>
      </c>
      <c r="V132">
        <v>0.44680097632805499</v>
      </c>
      <c r="W132">
        <v>0.92249172671965796</v>
      </c>
      <c r="X132">
        <v>0</v>
      </c>
      <c r="Y132">
        <v>0</v>
      </c>
    </row>
    <row r="133" spans="1:25" x14ac:dyDescent="0.2">
      <c r="A133" t="s">
        <v>512</v>
      </c>
      <c r="B133" t="s">
        <v>513</v>
      </c>
      <c r="C133" t="s">
        <v>14215</v>
      </c>
      <c r="D133" t="s">
        <v>514</v>
      </c>
      <c r="E133" t="s">
        <v>513</v>
      </c>
      <c r="F133" t="s">
        <v>28</v>
      </c>
      <c r="G133" t="s">
        <v>513</v>
      </c>
      <c r="H133" t="str">
        <f>"Y60A3A.19"</f>
        <v>Y60A3A.19</v>
      </c>
      <c r="I133" t="s">
        <v>514</v>
      </c>
      <c r="J133">
        <v>13.087548164005</v>
      </c>
      <c r="K133">
        <v>13.121127937564101</v>
      </c>
      <c r="L133">
        <v>12.616455501356</v>
      </c>
      <c r="M133" t="s">
        <v>29</v>
      </c>
      <c r="N133">
        <v>13.1798619308434</v>
      </c>
      <c r="O133">
        <v>13.452848317400999</v>
      </c>
      <c r="P133">
        <v>0.374644589813794</v>
      </c>
      <c r="Q133">
        <v>-0.26315586959182002</v>
      </c>
      <c r="R133">
        <v>1.0124450492194099</v>
      </c>
      <c r="S133">
        <v>13.0323769639904</v>
      </c>
      <c r="T133">
        <v>1.2700531094484</v>
      </c>
      <c r="U133">
        <v>-5.9645128976489801</v>
      </c>
      <c r="V133">
        <v>0.226505205923102</v>
      </c>
      <c r="W133">
        <v>0.80449234291577698</v>
      </c>
      <c r="X133">
        <v>0</v>
      </c>
      <c r="Y133">
        <v>0</v>
      </c>
    </row>
    <row r="134" spans="1:25" x14ac:dyDescent="0.2">
      <c r="A134" t="s">
        <v>515</v>
      </c>
      <c r="B134" t="s">
        <v>516</v>
      </c>
      <c r="C134" t="s">
        <v>517</v>
      </c>
      <c r="D134" t="s">
        <v>518</v>
      </c>
      <c r="E134" t="s">
        <v>516</v>
      </c>
      <c r="F134" t="s">
        <v>28</v>
      </c>
      <c r="G134" t="s">
        <v>516</v>
      </c>
      <c r="H134" t="str">
        <f>"rpom-1"</f>
        <v>rpom-1</v>
      </c>
      <c r="I134" t="s">
        <v>518</v>
      </c>
      <c r="J134">
        <v>11.8418801414364</v>
      </c>
      <c r="K134">
        <v>11.8818538680973</v>
      </c>
      <c r="L134">
        <v>11.729792759423299</v>
      </c>
      <c r="M134">
        <v>11.2800050588632</v>
      </c>
      <c r="N134">
        <v>11.908294525248399</v>
      </c>
      <c r="O134">
        <v>11.871752619064701</v>
      </c>
      <c r="P134">
        <v>-0.13115818859352901</v>
      </c>
      <c r="Q134">
        <v>-0.62892170356333499</v>
      </c>
      <c r="R134">
        <v>0.36660532637627702</v>
      </c>
      <c r="S134">
        <v>12.0820546370574</v>
      </c>
      <c r="T134">
        <v>-0.55888426086887999</v>
      </c>
      <c r="U134">
        <v>-6.7198094453254598</v>
      </c>
      <c r="V134">
        <v>0.58402946759264396</v>
      </c>
      <c r="W134">
        <v>0.96315662445407302</v>
      </c>
      <c r="X134">
        <v>0</v>
      </c>
      <c r="Y134">
        <v>0</v>
      </c>
    </row>
    <row r="135" spans="1:25" x14ac:dyDescent="0.2">
      <c r="A135" t="s">
        <v>519</v>
      </c>
      <c r="B135" t="s">
        <v>520</v>
      </c>
      <c r="C135" t="s">
        <v>521</v>
      </c>
      <c r="D135" t="s">
        <v>522</v>
      </c>
      <c r="E135" t="s">
        <v>520</v>
      </c>
      <c r="F135" t="s">
        <v>28</v>
      </c>
      <c r="G135" t="s">
        <v>520</v>
      </c>
      <c r="H135" t="str">
        <f>"lotr-1"</f>
        <v>lotr-1</v>
      </c>
      <c r="I135" t="s">
        <v>522</v>
      </c>
      <c r="J135">
        <v>12.831218963143399</v>
      </c>
      <c r="K135">
        <v>13.0959604936183</v>
      </c>
      <c r="L135">
        <v>13.2151885961964</v>
      </c>
      <c r="M135">
        <v>13.314657628943101</v>
      </c>
      <c r="N135">
        <v>13.4582190999235</v>
      </c>
      <c r="O135">
        <v>12.827833275253999</v>
      </c>
      <c r="P135">
        <v>0.15278065038747199</v>
      </c>
      <c r="Q135">
        <v>-0.56370029120481202</v>
      </c>
      <c r="R135">
        <v>0.86926159197975505</v>
      </c>
      <c r="S135">
        <v>13.763253197964399</v>
      </c>
      <c r="T135">
        <v>0.45010488356998002</v>
      </c>
      <c r="U135">
        <v>-6.7769409112179098</v>
      </c>
      <c r="V135">
        <v>0.65835667708019896</v>
      </c>
      <c r="W135">
        <v>0.98382359994193702</v>
      </c>
      <c r="X135">
        <v>0</v>
      </c>
      <c r="Y135">
        <v>0</v>
      </c>
    </row>
    <row r="136" spans="1:25" x14ac:dyDescent="0.2">
      <c r="A136" t="s">
        <v>523</v>
      </c>
      <c r="B136" t="s">
        <v>524</v>
      </c>
      <c r="C136" t="s">
        <v>525</v>
      </c>
      <c r="D136" t="s">
        <v>526</v>
      </c>
      <c r="E136" t="s">
        <v>524</v>
      </c>
      <c r="F136" t="s">
        <v>28</v>
      </c>
      <c r="G136" t="s">
        <v>524</v>
      </c>
      <c r="H136" t="str">
        <f>"cids-2"</f>
        <v>cids-2</v>
      </c>
      <c r="I136" t="s">
        <v>526</v>
      </c>
      <c r="J136">
        <v>12.3583946646957</v>
      </c>
      <c r="K136">
        <v>11.2701599846822</v>
      </c>
      <c r="L136">
        <v>12.5814340346547</v>
      </c>
      <c r="M136" t="s">
        <v>29</v>
      </c>
      <c r="N136">
        <v>12.2357493995955</v>
      </c>
      <c r="O136">
        <v>11.528941795637801</v>
      </c>
      <c r="P136">
        <v>-0.187650630394254</v>
      </c>
      <c r="Q136">
        <v>-0.95844353678093097</v>
      </c>
      <c r="R136">
        <v>0.58314227599242296</v>
      </c>
      <c r="S136">
        <v>12.7730267916843</v>
      </c>
      <c r="T136">
        <v>-0.52638022207837398</v>
      </c>
      <c r="U136">
        <v>-6.6264228628452804</v>
      </c>
      <c r="V136">
        <v>0.60755954177470395</v>
      </c>
      <c r="W136">
        <v>0.97103528123305605</v>
      </c>
      <c r="X136">
        <v>0</v>
      </c>
      <c r="Y136">
        <v>0</v>
      </c>
    </row>
    <row r="137" spans="1:25" x14ac:dyDescent="0.2">
      <c r="A137" t="s">
        <v>527</v>
      </c>
      <c r="B137" t="s">
        <v>528</v>
      </c>
      <c r="C137" t="s">
        <v>14216</v>
      </c>
      <c r="D137" t="s">
        <v>368</v>
      </c>
      <c r="E137" t="s">
        <v>528</v>
      </c>
      <c r="F137" t="s">
        <v>28</v>
      </c>
      <c r="G137" t="s">
        <v>528</v>
      </c>
      <c r="H137" t="str">
        <f>"R13H4.2"</f>
        <v>R13H4.2</v>
      </c>
      <c r="I137" t="s">
        <v>368</v>
      </c>
      <c r="J137">
        <v>15.469095585387601</v>
      </c>
      <c r="K137">
        <v>15.7878758995046</v>
      </c>
      <c r="L137">
        <v>15.784527923188101</v>
      </c>
      <c r="M137">
        <v>15.313618231832701</v>
      </c>
      <c r="N137">
        <v>15.2922978453974</v>
      </c>
      <c r="O137">
        <v>15.352226386112299</v>
      </c>
      <c r="P137">
        <v>-0.361118981579306</v>
      </c>
      <c r="Q137">
        <v>-0.78168380934759896</v>
      </c>
      <c r="R137">
        <v>5.9445846188987003E-2</v>
      </c>
      <c r="S137">
        <v>15.729340747172399</v>
      </c>
      <c r="T137">
        <v>-1.8047202054867</v>
      </c>
      <c r="U137">
        <v>-5.3204465680592197</v>
      </c>
      <c r="V137">
        <v>8.7974717732739197E-2</v>
      </c>
      <c r="W137">
        <v>0.62272311637140598</v>
      </c>
      <c r="X137">
        <v>0</v>
      </c>
      <c r="Y137">
        <v>0</v>
      </c>
    </row>
    <row r="138" spans="1:25" x14ac:dyDescent="0.2">
      <c r="A138" t="s">
        <v>529</v>
      </c>
      <c r="B138" t="s">
        <v>530</v>
      </c>
      <c r="C138" t="s">
        <v>14217</v>
      </c>
      <c r="D138" t="s">
        <v>531</v>
      </c>
      <c r="E138" t="s">
        <v>530</v>
      </c>
      <c r="F138" t="s">
        <v>28</v>
      </c>
      <c r="G138" t="s">
        <v>530</v>
      </c>
      <c r="H138" t="str">
        <f>"ZK228.4"</f>
        <v>ZK228.4</v>
      </c>
      <c r="I138" t="s">
        <v>531</v>
      </c>
      <c r="J138">
        <v>13.8069418419408</v>
      </c>
      <c r="K138">
        <v>14.115033551488599</v>
      </c>
      <c r="L138">
        <v>13.799736916453099</v>
      </c>
      <c r="M138">
        <v>14.1427199018729</v>
      </c>
      <c r="N138">
        <v>14.431014682408099</v>
      </c>
      <c r="O138">
        <v>13.9243363013367</v>
      </c>
      <c r="P138">
        <v>0.25878619191171598</v>
      </c>
      <c r="Q138">
        <v>-0.135331601427334</v>
      </c>
      <c r="R138">
        <v>0.65290398525076498</v>
      </c>
      <c r="S138">
        <v>13.7876288699482</v>
      </c>
      <c r="T138">
        <v>1.39272248509076</v>
      </c>
      <c r="U138">
        <v>-5.9204643583597498</v>
      </c>
      <c r="V138">
        <v>0.18287973927297899</v>
      </c>
      <c r="W138">
        <v>0.78295732499061499</v>
      </c>
      <c r="X138">
        <v>0</v>
      </c>
      <c r="Y138">
        <v>0</v>
      </c>
    </row>
    <row r="139" spans="1:25" x14ac:dyDescent="0.2">
      <c r="A139" t="s">
        <v>532</v>
      </c>
      <c r="B139" t="s">
        <v>533</v>
      </c>
      <c r="C139" t="s">
        <v>14218</v>
      </c>
      <c r="D139" t="s">
        <v>534</v>
      </c>
      <c r="E139" t="s">
        <v>533</v>
      </c>
      <c r="F139" t="s">
        <v>28</v>
      </c>
      <c r="G139" t="s">
        <v>533</v>
      </c>
      <c r="H139" t="str">
        <f>"F49D11.10"</f>
        <v>F49D11.10</v>
      </c>
      <c r="I139" t="s">
        <v>534</v>
      </c>
      <c r="J139">
        <v>14.4899863035522</v>
      </c>
      <c r="K139">
        <v>14.514627785272801</v>
      </c>
      <c r="L139">
        <v>14.182783174433601</v>
      </c>
      <c r="M139">
        <v>14.2838587081838</v>
      </c>
      <c r="N139">
        <v>14.1907763221314</v>
      </c>
      <c r="O139">
        <v>14.159287440748001</v>
      </c>
      <c r="P139">
        <v>-0.18449159739842499</v>
      </c>
      <c r="Q139">
        <v>-0.54014184084016703</v>
      </c>
      <c r="R139">
        <v>0.17115864604331599</v>
      </c>
      <c r="S139">
        <v>14.209007910347299</v>
      </c>
      <c r="T139">
        <v>-1.0902999546128</v>
      </c>
      <c r="U139">
        <v>-6.28133133384899</v>
      </c>
      <c r="V139">
        <v>0.29004523813590699</v>
      </c>
      <c r="W139">
        <v>0.856190392347986</v>
      </c>
      <c r="X139">
        <v>0</v>
      </c>
      <c r="Y139">
        <v>0</v>
      </c>
    </row>
    <row r="140" spans="1:25" x14ac:dyDescent="0.2">
      <c r="A140" t="s">
        <v>535</v>
      </c>
      <c r="B140" t="s">
        <v>536</v>
      </c>
      <c r="C140" t="s">
        <v>537</v>
      </c>
      <c r="D140" t="s">
        <v>538</v>
      </c>
      <c r="E140" t="s">
        <v>536</v>
      </c>
      <c r="F140" t="s">
        <v>28</v>
      </c>
      <c r="G140" t="s">
        <v>536</v>
      </c>
      <c r="H140" t="str">
        <f>"mrg-1"</f>
        <v>mrg-1</v>
      </c>
      <c r="I140" t="s">
        <v>538</v>
      </c>
      <c r="J140">
        <v>13.2070818418964</v>
      </c>
      <c r="K140">
        <v>13.2231514230747</v>
      </c>
      <c r="L140">
        <v>13.456888421184599</v>
      </c>
      <c r="M140">
        <v>12.807789139658899</v>
      </c>
      <c r="N140">
        <v>12.7524734904878</v>
      </c>
      <c r="O140">
        <v>12.9987843818</v>
      </c>
      <c r="P140">
        <v>-0.44269155806968802</v>
      </c>
      <c r="Q140">
        <v>-0.875206785051166</v>
      </c>
      <c r="R140">
        <v>-1.0176331088210699E-2</v>
      </c>
      <c r="S140">
        <v>13.008067457342699</v>
      </c>
      <c r="T140">
        <v>-2.1968061280151199</v>
      </c>
      <c r="U140">
        <v>-4.6888988102814002</v>
      </c>
      <c r="V140">
        <v>4.55081625470918E-2</v>
      </c>
      <c r="W140">
        <v>0.46600358448222001</v>
      </c>
      <c r="X140">
        <v>0</v>
      </c>
      <c r="Y140">
        <v>0</v>
      </c>
    </row>
    <row r="141" spans="1:25" x14ac:dyDescent="0.2">
      <c r="A141" t="s">
        <v>539</v>
      </c>
      <c r="B141" t="s">
        <v>540</v>
      </c>
      <c r="C141" t="s">
        <v>541</v>
      </c>
      <c r="D141" t="s">
        <v>542</v>
      </c>
      <c r="E141" t="s">
        <v>540</v>
      </c>
      <c r="F141" t="s">
        <v>28</v>
      </c>
      <c r="G141" t="s">
        <v>540</v>
      </c>
      <c r="H141" t="str">
        <f>"obr-1"</f>
        <v>obr-1</v>
      </c>
      <c r="I141" t="s">
        <v>542</v>
      </c>
      <c r="J141">
        <v>13.0382708233617</v>
      </c>
      <c r="K141">
        <v>12.3298011522082</v>
      </c>
      <c r="L141">
        <v>12.898041574288399</v>
      </c>
      <c r="M141">
        <v>12.7404686643392</v>
      </c>
      <c r="N141">
        <v>12.8985170282723</v>
      </c>
      <c r="O141">
        <v>12.326799629116101</v>
      </c>
      <c r="P141">
        <v>-0.100109409376886</v>
      </c>
      <c r="Q141">
        <v>-0.69915406146139203</v>
      </c>
      <c r="R141">
        <v>0.49893524270762002</v>
      </c>
      <c r="S141">
        <v>12.7019896653236</v>
      </c>
      <c r="T141">
        <v>-0.35274893960169601</v>
      </c>
      <c r="U141">
        <v>-6.8175119824024701</v>
      </c>
      <c r="V141">
        <v>0.72863905386644401</v>
      </c>
      <c r="W141">
        <v>0.99057748145465696</v>
      </c>
      <c r="X141">
        <v>0</v>
      </c>
      <c r="Y141">
        <v>0</v>
      </c>
    </row>
    <row r="142" spans="1:25" x14ac:dyDescent="0.2">
      <c r="A142" t="s">
        <v>543</v>
      </c>
      <c r="B142" t="s">
        <v>544</v>
      </c>
      <c r="C142" t="s">
        <v>545</v>
      </c>
      <c r="D142" t="s">
        <v>546</v>
      </c>
      <c r="E142" t="s">
        <v>544</v>
      </c>
      <c r="F142" t="s">
        <v>28</v>
      </c>
      <c r="G142" t="s">
        <v>544</v>
      </c>
      <c r="H142" t="str">
        <f>"cisd-1"</f>
        <v>cisd-1</v>
      </c>
      <c r="I142" t="s">
        <v>546</v>
      </c>
      <c r="J142">
        <v>13.7316226306387</v>
      </c>
      <c r="K142">
        <v>13.457753260197199</v>
      </c>
      <c r="L142">
        <v>13.6190011461634</v>
      </c>
      <c r="M142">
        <v>14.0111524943466</v>
      </c>
      <c r="N142">
        <v>13.834691883705499</v>
      </c>
      <c r="O142">
        <v>13.7209453220007</v>
      </c>
      <c r="P142">
        <v>0.252804221017842</v>
      </c>
      <c r="Q142">
        <v>-0.35658718593873601</v>
      </c>
      <c r="R142">
        <v>0.86219562797441895</v>
      </c>
      <c r="S142">
        <v>13.5394104635687</v>
      </c>
      <c r="T142">
        <v>0.87192776697972296</v>
      </c>
      <c r="U142">
        <v>-6.49354720181777</v>
      </c>
      <c r="V142">
        <v>0.39479611076077298</v>
      </c>
      <c r="W142">
        <v>0.90975406915825197</v>
      </c>
      <c r="X142">
        <v>0</v>
      </c>
      <c r="Y142">
        <v>0</v>
      </c>
    </row>
    <row r="143" spans="1:25" x14ac:dyDescent="0.2">
      <c r="A143" t="s">
        <v>547</v>
      </c>
      <c r="B143" t="s">
        <v>548</v>
      </c>
      <c r="C143" t="s">
        <v>14219</v>
      </c>
      <c r="D143" t="s">
        <v>73</v>
      </c>
      <c r="E143" t="s">
        <v>548</v>
      </c>
      <c r="F143" t="s">
        <v>28</v>
      </c>
      <c r="G143" t="s">
        <v>548</v>
      </c>
      <c r="H143" t="str">
        <f>"F10A3.17"</f>
        <v>F10A3.17</v>
      </c>
      <c r="I143" t="s">
        <v>73</v>
      </c>
      <c r="J143">
        <v>10.472091408429399</v>
      </c>
      <c r="K143" t="s">
        <v>29</v>
      </c>
      <c r="L143" t="s">
        <v>29</v>
      </c>
      <c r="M143">
        <v>10.358903480878499</v>
      </c>
      <c r="N143" t="s">
        <v>29</v>
      </c>
      <c r="O143" t="s">
        <v>29</v>
      </c>
      <c r="P143">
        <v>-0.113187927550902</v>
      </c>
      <c r="Q143">
        <v>-1.9111696995401399</v>
      </c>
      <c r="R143">
        <v>1.6847938444383299</v>
      </c>
      <c r="S143">
        <v>10.4035259665875</v>
      </c>
      <c r="T143">
        <v>-0.14266555452768001</v>
      </c>
      <c r="U143">
        <v>-6.3324227268485798</v>
      </c>
      <c r="V143">
        <v>0.88973359643222705</v>
      </c>
      <c r="W143">
        <v>0.99702926582654094</v>
      </c>
      <c r="X143">
        <v>0</v>
      </c>
      <c r="Y143">
        <v>0</v>
      </c>
    </row>
    <row r="144" spans="1:25" x14ac:dyDescent="0.2">
      <c r="A144" t="s">
        <v>549</v>
      </c>
      <c r="B144" t="s">
        <v>550</v>
      </c>
      <c r="C144" t="s">
        <v>14220</v>
      </c>
      <c r="D144" t="s">
        <v>551</v>
      </c>
      <c r="E144" t="s">
        <v>550</v>
      </c>
      <c r="F144" t="s">
        <v>28</v>
      </c>
      <c r="G144" t="s">
        <v>550</v>
      </c>
      <c r="H144" t="str">
        <f>"Y94H6A.7"</f>
        <v>Y94H6A.7</v>
      </c>
      <c r="I144" t="s">
        <v>551</v>
      </c>
      <c r="J144">
        <v>12.847587839938299</v>
      </c>
      <c r="K144" t="s">
        <v>29</v>
      </c>
      <c r="L144">
        <v>12.906446515391499</v>
      </c>
      <c r="M144">
        <v>11.5945130842355</v>
      </c>
      <c r="N144">
        <v>12.6906968734681</v>
      </c>
      <c r="O144">
        <v>11.7143908598705</v>
      </c>
      <c r="P144">
        <v>-0.87715023847351103</v>
      </c>
      <c r="Q144">
        <v>-1.66710977375833</v>
      </c>
      <c r="R144">
        <v>-8.7190703188695207E-2</v>
      </c>
      <c r="S144">
        <v>12.5826100023368</v>
      </c>
      <c r="T144">
        <v>-2.40080222309629</v>
      </c>
      <c r="U144">
        <v>-4.2450343706828599</v>
      </c>
      <c r="V144">
        <v>3.2176084747628703E-2</v>
      </c>
      <c r="W144">
        <v>0.38938912741857601</v>
      </c>
      <c r="X144">
        <v>0</v>
      </c>
      <c r="Y144">
        <v>0</v>
      </c>
    </row>
    <row r="145" spans="1:25" x14ac:dyDescent="0.2">
      <c r="A145" t="s">
        <v>552</v>
      </c>
      <c r="B145" t="s">
        <v>553</v>
      </c>
      <c r="C145" t="s">
        <v>554</v>
      </c>
      <c r="D145" t="s">
        <v>214</v>
      </c>
      <c r="E145" t="s">
        <v>553</v>
      </c>
      <c r="F145" t="s">
        <v>28</v>
      </c>
      <c r="G145" t="s">
        <v>553</v>
      </c>
      <c r="H145" t="str">
        <f>"rcs-1"</f>
        <v>rcs-1</v>
      </c>
      <c r="I145" t="s">
        <v>214</v>
      </c>
      <c r="J145" t="s">
        <v>29</v>
      </c>
      <c r="K145">
        <v>11.959174333254699</v>
      </c>
      <c r="L145" t="s">
        <v>29</v>
      </c>
      <c r="M145">
        <v>12.2890919470247</v>
      </c>
      <c r="N145">
        <v>10.1954888483346</v>
      </c>
      <c r="O145" t="s">
        <v>29</v>
      </c>
      <c r="P145">
        <v>-0.71688393557508201</v>
      </c>
      <c r="Q145">
        <v>-2.1378744356753399</v>
      </c>
      <c r="R145">
        <v>0.70410656452518094</v>
      </c>
      <c r="S145">
        <v>12.1098392532218</v>
      </c>
      <c r="T145">
        <v>-1.11169427040237</v>
      </c>
      <c r="U145">
        <v>-5.8598031665821599</v>
      </c>
      <c r="V145">
        <v>0.29019914740640901</v>
      </c>
      <c r="W145">
        <v>0.856190392347986</v>
      </c>
      <c r="X145">
        <v>0</v>
      </c>
      <c r="Y145">
        <v>0</v>
      </c>
    </row>
    <row r="146" spans="1:25" x14ac:dyDescent="0.2">
      <c r="A146" t="s">
        <v>555</v>
      </c>
      <c r="B146" t="s">
        <v>556</v>
      </c>
      <c r="C146" t="s">
        <v>557</v>
      </c>
      <c r="D146" t="s">
        <v>558</v>
      </c>
      <c r="E146" t="s">
        <v>556</v>
      </c>
      <c r="F146" t="s">
        <v>28</v>
      </c>
      <c r="G146" t="s">
        <v>556</v>
      </c>
      <c r="H146" t="str">
        <f>"plin-1"</f>
        <v>plin-1</v>
      </c>
      <c r="I146" t="s">
        <v>558</v>
      </c>
      <c r="J146">
        <v>12.9937018269391</v>
      </c>
      <c r="K146">
        <v>12.7688557330785</v>
      </c>
      <c r="L146">
        <v>12.932871289041699</v>
      </c>
      <c r="M146">
        <v>13.296074049480399</v>
      </c>
      <c r="N146">
        <v>12.6615560436456</v>
      </c>
      <c r="O146">
        <v>13.073771348882101</v>
      </c>
      <c r="P146">
        <v>0.111990864316311</v>
      </c>
      <c r="Q146">
        <v>-0.37212389056224399</v>
      </c>
      <c r="R146">
        <v>0.59610561919486704</v>
      </c>
      <c r="S146">
        <v>12.8833570295368</v>
      </c>
      <c r="T146">
        <v>0.48829726333539702</v>
      </c>
      <c r="U146">
        <v>-6.7584005261570903</v>
      </c>
      <c r="V146">
        <v>0.63161637670739701</v>
      </c>
      <c r="W146">
        <v>0.97279262440453396</v>
      </c>
      <c r="X146">
        <v>0</v>
      </c>
      <c r="Y146">
        <v>0</v>
      </c>
    </row>
    <row r="147" spans="1:25" x14ac:dyDescent="0.2">
      <c r="A147" t="s">
        <v>559</v>
      </c>
      <c r="B147" t="s">
        <v>560</v>
      </c>
      <c r="C147" t="s">
        <v>14221</v>
      </c>
      <c r="D147" t="s">
        <v>561</v>
      </c>
      <c r="E147" t="s">
        <v>560</v>
      </c>
      <c r="F147" t="s">
        <v>28</v>
      </c>
      <c r="G147" t="s">
        <v>560</v>
      </c>
      <c r="H147" t="str">
        <f>"F23B12.4"</f>
        <v>F23B12.4</v>
      </c>
      <c r="I147" t="s">
        <v>561</v>
      </c>
      <c r="J147" t="s">
        <v>29</v>
      </c>
      <c r="K147">
        <v>11.8818382955477</v>
      </c>
      <c r="L147">
        <v>12.4612606596541</v>
      </c>
      <c r="M147" t="s">
        <v>29</v>
      </c>
      <c r="N147" t="s">
        <v>29</v>
      </c>
      <c r="O147" t="s">
        <v>29</v>
      </c>
      <c r="P147" t="s">
        <v>29</v>
      </c>
      <c r="Q147" t="s">
        <v>29</v>
      </c>
      <c r="R147" t="s">
        <v>29</v>
      </c>
      <c r="S147">
        <v>12.628891281517401</v>
      </c>
      <c r="T147" t="s">
        <v>29</v>
      </c>
      <c r="U147" t="s">
        <v>29</v>
      </c>
      <c r="V147" t="s">
        <v>29</v>
      </c>
      <c r="W147" t="s">
        <v>29</v>
      </c>
      <c r="X147" t="s">
        <v>29</v>
      </c>
      <c r="Y147" t="s">
        <v>29</v>
      </c>
    </row>
    <row r="148" spans="1:25" x14ac:dyDescent="0.2">
      <c r="A148" t="s">
        <v>562</v>
      </c>
      <c r="B148" t="s">
        <v>563</v>
      </c>
      <c r="C148" t="s">
        <v>14222</v>
      </c>
      <c r="D148" t="s">
        <v>564</v>
      </c>
      <c r="E148" t="s">
        <v>563</v>
      </c>
      <c r="F148" t="s">
        <v>28</v>
      </c>
      <c r="G148" t="s">
        <v>563</v>
      </c>
      <c r="H148" t="str">
        <f>"K09A9.6"</f>
        <v>K09A9.6</v>
      </c>
      <c r="I148" t="s">
        <v>564</v>
      </c>
      <c r="J148">
        <v>13.9323258885304</v>
      </c>
      <c r="K148">
        <v>13.177089425579601</v>
      </c>
      <c r="L148">
        <v>13.272744377156901</v>
      </c>
      <c r="M148">
        <v>13.451585703623801</v>
      </c>
      <c r="N148">
        <v>11.8477087405865</v>
      </c>
      <c r="O148">
        <v>12.9039472983373</v>
      </c>
      <c r="P148">
        <v>-0.72630598290647597</v>
      </c>
      <c r="Q148">
        <v>-1.57473012286122</v>
      </c>
      <c r="R148">
        <v>0.122118157048269</v>
      </c>
      <c r="S148">
        <v>12.488891983018</v>
      </c>
      <c r="T148">
        <v>-1.8157503418455601</v>
      </c>
      <c r="U148">
        <v>-5.3082954079868898</v>
      </c>
      <c r="V148">
        <v>8.8318903523829206E-2</v>
      </c>
      <c r="W148">
        <v>0.62272311637140598</v>
      </c>
      <c r="X148">
        <v>0</v>
      </c>
      <c r="Y148">
        <v>0</v>
      </c>
    </row>
    <row r="149" spans="1:25" x14ac:dyDescent="0.2">
      <c r="A149" t="s">
        <v>565</v>
      </c>
      <c r="B149" t="s">
        <v>566</v>
      </c>
      <c r="C149" t="s">
        <v>567</v>
      </c>
      <c r="D149" t="s">
        <v>568</v>
      </c>
      <c r="E149" t="s">
        <v>566</v>
      </c>
      <c r="F149" t="s">
        <v>28</v>
      </c>
      <c r="G149" t="s">
        <v>566</v>
      </c>
      <c r="H149" t="str">
        <f>"ekl-4"</f>
        <v>ekl-4</v>
      </c>
      <c r="I149" t="s">
        <v>568</v>
      </c>
      <c r="J149">
        <v>12.1137098885039</v>
      </c>
      <c r="K149">
        <v>12.7595698965418</v>
      </c>
      <c r="L149" t="s">
        <v>29</v>
      </c>
      <c r="M149" t="s">
        <v>29</v>
      </c>
      <c r="N149" t="s">
        <v>29</v>
      </c>
      <c r="O149" t="s">
        <v>29</v>
      </c>
      <c r="P149" t="s">
        <v>29</v>
      </c>
      <c r="Q149" t="s">
        <v>29</v>
      </c>
      <c r="R149" t="s">
        <v>29</v>
      </c>
      <c r="S149">
        <v>12.196171038674001</v>
      </c>
      <c r="T149" t="s">
        <v>29</v>
      </c>
      <c r="U149" t="s">
        <v>29</v>
      </c>
      <c r="V149" t="s">
        <v>29</v>
      </c>
      <c r="W149" t="s">
        <v>29</v>
      </c>
      <c r="X149" t="s">
        <v>29</v>
      </c>
      <c r="Y149" t="s">
        <v>29</v>
      </c>
    </row>
    <row r="150" spans="1:25" x14ac:dyDescent="0.2">
      <c r="A150" t="s">
        <v>569</v>
      </c>
      <c r="B150" t="s">
        <v>570</v>
      </c>
      <c r="C150" t="s">
        <v>14223</v>
      </c>
      <c r="D150" t="s">
        <v>571</v>
      </c>
      <c r="E150" t="s">
        <v>570</v>
      </c>
      <c r="F150" t="s">
        <v>28</v>
      </c>
      <c r="G150" t="s">
        <v>570</v>
      </c>
      <c r="H150" t="str">
        <f>"E01A2.1"</f>
        <v>E01A2.1</v>
      </c>
      <c r="I150" t="s">
        <v>571</v>
      </c>
      <c r="J150">
        <v>14.1622685301804</v>
      </c>
      <c r="K150">
        <v>14.146713489019101</v>
      </c>
      <c r="L150">
        <v>14.403363386478</v>
      </c>
      <c r="M150">
        <v>14.396297465259799</v>
      </c>
      <c r="N150">
        <v>14.2032524540813</v>
      </c>
      <c r="O150">
        <v>14.6347713042669</v>
      </c>
      <c r="P150">
        <v>0.173991939310181</v>
      </c>
      <c r="Q150">
        <v>-0.215074207224624</v>
      </c>
      <c r="R150">
        <v>0.56305808584498496</v>
      </c>
      <c r="S150">
        <v>13.911515870413901</v>
      </c>
      <c r="T150">
        <v>0.94396457914883403</v>
      </c>
      <c r="U150">
        <v>-6.4274713790913003</v>
      </c>
      <c r="V150">
        <v>0.35849229136694399</v>
      </c>
      <c r="W150">
        <v>0.88269106754885296</v>
      </c>
      <c r="X150">
        <v>0</v>
      </c>
      <c r="Y150">
        <v>0</v>
      </c>
    </row>
    <row r="151" spans="1:25" x14ac:dyDescent="0.2">
      <c r="A151" t="s">
        <v>572</v>
      </c>
      <c r="B151" t="s">
        <v>573</v>
      </c>
      <c r="C151" t="s">
        <v>14224</v>
      </c>
      <c r="D151" t="s">
        <v>534</v>
      </c>
      <c r="E151" t="s">
        <v>573</v>
      </c>
      <c r="F151" t="s">
        <v>28</v>
      </c>
      <c r="G151" t="s">
        <v>573</v>
      </c>
      <c r="H151" t="str">
        <f>"T02H6.1"</f>
        <v>T02H6.1</v>
      </c>
      <c r="I151" t="s">
        <v>534</v>
      </c>
      <c r="J151">
        <v>13.592685677136201</v>
      </c>
      <c r="K151">
        <v>13.406103928018201</v>
      </c>
      <c r="L151">
        <v>13.3717040441023</v>
      </c>
      <c r="M151">
        <v>13.562234707611101</v>
      </c>
      <c r="N151">
        <v>13.630559133890101</v>
      </c>
      <c r="O151">
        <v>13.2917133535252</v>
      </c>
      <c r="P151">
        <v>3.80045152566151E-2</v>
      </c>
      <c r="Q151">
        <v>-0.44534039106544399</v>
      </c>
      <c r="R151">
        <v>0.52134942157867503</v>
      </c>
      <c r="S151">
        <v>12.931178368995001</v>
      </c>
      <c r="T151">
        <v>0.16596941548577099</v>
      </c>
      <c r="U151">
        <v>-6.86806371398675</v>
      </c>
      <c r="V151">
        <v>0.87015094470366205</v>
      </c>
      <c r="W151">
        <v>0.99457622291666603</v>
      </c>
      <c r="X151">
        <v>0</v>
      </c>
      <c r="Y151">
        <v>0</v>
      </c>
    </row>
    <row r="152" spans="1:25" x14ac:dyDescent="0.2">
      <c r="A152" t="s">
        <v>574</v>
      </c>
      <c r="B152" t="s">
        <v>575</v>
      </c>
      <c r="C152" t="s">
        <v>576</v>
      </c>
      <c r="D152" t="s">
        <v>577</v>
      </c>
      <c r="E152" t="s">
        <v>575</v>
      </c>
      <c r="F152" t="s">
        <v>28</v>
      </c>
      <c r="G152" t="s">
        <v>575</v>
      </c>
      <c r="H152" t="str">
        <f>"seu-1"</f>
        <v>seu-1</v>
      </c>
      <c r="I152" t="s">
        <v>577</v>
      </c>
      <c r="J152">
        <v>12.069990629684099</v>
      </c>
      <c r="K152">
        <v>12.3992420778953</v>
      </c>
      <c r="L152">
        <v>11.7172524547167</v>
      </c>
      <c r="M152" t="s">
        <v>29</v>
      </c>
      <c r="N152">
        <v>12.0035582874882</v>
      </c>
      <c r="O152">
        <v>9.8155373470507694</v>
      </c>
      <c r="P152">
        <v>-1.15261390349587</v>
      </c>
      <c r="Q152">
        <v>-2.4987481350624399</v>
      </c>
      <c r="R152">
        <v>0.19352032807070699</v>
      </c>
      <c r="S152">
        <v>12.084891277057499</v>
      </c>
      <c r="T152">
        <v>-1.88678831950246</v>
      </c>
      <c r="U152">
        <v>-5.1155677168902001</v>
      </c>
      <c r="V152">
        <v>8.6105354699686096E-2</v>
      </c>
      <c r="W152">
        <v>0.61772369610315103</v>
      </c>
      <c r="X152">
        <v>0</v>
      </c>
      <c r="Y152">
        <v>0</v>
      </c>
    </row>
    <row r="153" spans="1:25" x14ac:dyDescent="0.2">
      <c r="A153" t="s">
        <v>578</v>
      </c>
      <c r="B153" t="s">
        <v>579</v>
      </c>
      <c r="C153" t="s">
        <v>580</v>
      </c>
      <c r="D153" t="s">
        <v>581</v>
      </c>
      <c r="E153" t="s">
        <v>579</v>
      </c>
      <c r="F153" t="s">
        <v>28</v>
      </c>
      <c r="G153" t="s">
        <v>579</v>
      </c>
      <c r="H153" t="str">
        <f>"syf-3"</f>
        <v>syf-3</v>
      </c>
      <c r="I153" t="s">
        <v>581</v>
      </c>
      <c r="J153">
        <v>14.200869110575001</v>
      </c>
      <c r="K153">
        <v>14.3713454555152</v>
      </c>
      <c r="L153">
        <v>14.0959376805655</v>
      </c>
      <c r="M153">
        <v>14.209655572796001</v>
      </c>
      <c r="N153">
        <v>14.3597826607089</v>
      </c>
      <c r="O153">
        <v>14.1186875804382</v>
      </c>
      <c r="P153">
        <v>6.6578557624481496E-3</v>
      </c>
      <c r="Q153">
        <v>-0.655023182249441</v>
      </c>
      <c r="R153">
        <v>0.66833889377433697</v>
      </c>
      <c r="S153">
        <v>14.7738064110414</v>
      </c>
      <c r="T153">
        <v>2.1148433612225001E-2</v>
      </c>
      <c r="U153">
        <v>-6.8822558868193999</v>
      </c>
      <c r="V153">
        <v>0.98336127688802499</v>
      </c>
      <c r="W153">
        <v>0.99968702248720698</v>
      </c>
      <c r="X153">
        <v>0</v>
      </c>
      <c r="Y153">
        <v>0</v>
      </c>
    </row>
    <row r="154" spans="1:25" x14ac:dyDescent="0.2">
      <c r="A154" t="s">
        <v>582</v>
      </c>
      <c r="B154" t="s">
        <v>583</v>
      </c>
      <c r="C154" t="s">
        <v>14225</v>
      </c>
      <c r="D154" t="s">
        <v>130</v>
      </c>
      <c r="E154" t="s">
        <v>583</v>
      </c>
      <c r="F154" t="s">
        <v>28</v>
      </c>
      <c r="G154" t="s">
        <v>583</v>
      </c>
      <c r="H154" t="str">
        <f>"F27D4.6"</f>
        <v>F27D4.6</v>
      </c>
      <c r="I154" t="s">
        <v>130</v>
      </c>
      <c r="J154" t="s">
        <v>29</v>
      </c>
      <c r="K154" t="s">
        <v>29</v>
      </c>
      <c r="L154" t="s">
        <v>29</v>
      </c>
      <c r="M154" t="s">
        <v>29</v>
      </c>
      <c r="N154" t="s">
        <v>29</v>
      </c>
      <c r="O154" t="s">
        <v>29</v>
      </c>
      <c r="P154" t="s">
        <v>29</v>
      </c>
      <c r="Q154" t="s">
        <v>29</v>
      </c>
      <c r="R154" t="s">
        <v>29</v>
      </c>
      <c r="S154">
        <v>10.296015551180201</v>
      </c>
      <c r="T154" t="s">
        <v>29</v>
      </c>
      <c r="U154" t="s">
        <v>29</v>
      </c>
      <c r="V154" t="s">
        <v>29</v>
      </c>
      <c r="W154" t="s">
        <v>29</v>
      </c>
      <c r="X154" t="s">
        <v>29</v>
      </c>
      <c r="Y154" t="s">
        <v>29</v>
      </c>
    </row>
    <row r="155" spans="1:25" x14ac:dyDescent="0.2">
      <c r="A155" t="s">
        <v>584</v>
      </c>
      <c r="B155" t="s">
        <v>585</v>
      </c>
      <c r="C155" t="s">
        <v>586</v>
      </c>
      <c r="D155" t="s">
        <v>587</v>
      </c>
      <c r="E155" t="s">
        <v>585</v>
      </c>
      <c r="F155" t="s">
        <v>28</v>
      </c>
      <c r="G155" t="s">
        <v>585</v>
      </c>
      <c r="H155" t="str">
        <f>"C27H6.9"</f>
        <v>C27H6.9</v>
      </c>
      <c r="I155" t="s">
        <v>587</v>
      </c>
      <c r="J155" t="s">
        <v>29</v>
      </c>
      <c r="K155" t="s">
        <v>29</v>
      </c>
      <c r="L155">
        <v>12.0712631125683</v>
      </c>
      <c r="M155" t="s">
        <v>29</v>
      </c>
      <c r="N155">
        <v>11.979176923467699</v>
      </c>
      <c r="O155" t="s">
        <v>29</v>
      </c>
      <c r="P155">
        <v>-9.20861891006588E-2</v>
      </c>
      <c r="Q155">
        <v>-0.951785996703019</v>
      </c>
      <c r="R155">
        <v>0.76761361850170096</v>
      </c>
      <c r="S155">
        <v>12.199157961630201</v>
      </c>
      <c r="T155">
        <v>-0.23900916869918301</v>
      </c>
      <c r="U155">
        <v>-6.3129816577965299</v>
      </c>
      <c r="V155">
        <v>0.81597592061842295</v>
      </c>
      <c r="W155">
        <v>0.99278624068726296</v>
      </c>
      <c r="X155">
        <v>0</v>
      </c>
      <c r="Y155">
        <v>0</v>
      </c>
    </row>
    <row r="156" spans="1:25" x14ac:dyDescent="0.2">
      <c r="A156" t="s">
        <v>588</v>
      </c>
      <c r="B156" t="s">
        <v>589</v>
      </c>
      <c r="C156" t="s">
        <v>590</v>
      </c>
      <c r="D156" t="s">
        <v>591</v>
      </c>
      <c r="E156" t="s">
        <v>589</v>
      </c>
      <c r="F156" t="s">
        <v>28</v>
      </c>
      <c r="G156" t="s">
        <v>589</v>
      </c>
      <c r="H156" t="str">
        <f>"pptr-2"</f>
        <v>pptr-2</v>
      </c>
      <c r="I156" t="s">
        <v>591</v>
      </c>
      <c r="J156" t="s">
        <v>29</v>
      </c>
      <c r="K156" t="s">
        <v>29</v>
      </c>
      <c r="L156">
        <v>11.1247155659065</v>
      </c>
      <c r="M156">
        <v>12.615452592558899</v>
      </c>
      <c r="N156">
        <v>12.6446517000401</v>
      </c>
      <c r="O156">
        <v>13.0570999799681</v>
      </c>
      <c r="P156">
        <v>1.64768585828255</v>
      </c>
      <c r="Q156">
        <v>0.81928755897361405</v>
      </c>
      <c r="R156">
        <v>2.4760841575914898</v>
      </c>
      <c r="S156">
        <v>12.4450194991334</v>
      </c>
      <c r="T156">
        <v>4.2420601423161903</v>
      </c>
      <c r="U156">
        <v>-0.43903118188196899</v>
      </c>
      <c r="V156">
        <v>7.2046916761391803E-4</v>
      </c>
      <c r="W156">
        <v>2.4219407977970901E-2</v>
      </c>
      <c r="X156">
        <v>1</v>
      </c>
      <c r="Y156">
        <v>1</v>
      </c>
    </row>
    <row r="157" spans="1:25" x14ac:dyDescent="0.2">
      <c r="A157" t="s">
        <v>592</v>
      </c>
      <c r="B157" t="s">
        <v>593</v>
      </c>
      <c r="C157" t="s">
        <v>594</v>
      </c>
      <c r="D157" t="s">
        <v>595</v>
      </c>
      <c r="E157" t="s">
        <v>593</v>
      </c>
      <c r="F157" t="s">
        <v>28</v>
      </c>
      <c r="G157" t="s">
        <v>593</v>
      </c>
      <c r="H157" t="str">
        <f>"maph-1.2"</f>
        <v>maph-1.2</v>
      </c>
      <c r="I157" t="s">
        <v>595</v>
      </c>
      <c r="J157">
        <v>15.3720687322707</v>
      </c>
      <c r="K157">
        <v>15.767534578130901</v>
      </c>
      <c r="L157">
        <v>16.115121458604399</v>
      </c>
      <c r="M157">
        <v>14.965557311934401</v>
      </c>
      <c r="N157">
        <v>14.7647495597763</v>
      </c>
      <c r="O157">
        <v>15.085116824471701</v>
      </c>
      <c r="P157">
        <v>-0.81310035760787303</v>
      </c>
      <c r="Q157">
        <v>-1.5979722584182401</v>
      </c>
      <c r="R157">
        <v>-2.8228456797501598E-2</v>
      </c>
      <c r="S157">
        <v>15.734042371989901</v>
      </c>
      <c r="T157">
        <v>-2.1773983226692</v>
      </c>
      <c r="U157">
        <v>-4.6878773708596899</v>
      </c>
      <c r="V157">
        <v>4.3081314361283499E-2</v>
      </c>
      <c r="W157">
        <v>0.45515750537889399</v>
      </c>
      <c r="X157">
        <v>0</v>
      </c>
      <c r="Y157">
        <v>0</v>
      </c>
    </row>
    <row r="158" spans="1:25" x14ac:dyDescent="0.2">
      <c r="A158" t="s">
        <v>596</v>
      </c>
      <c r="B158" t="s">
        <v>597</v>
      </c>
      <c r="C158" t="s">
        <v>598</v>
      </c>
      <c r="D158" t="s">
        <v>599</v>
      </c>
      <c r="E158" t="s">
        <v>597</v>
      </c>
      <c r="F158" t="s">
        <v>28</v>
      </c>
      <c r="G158" t="s">
        <v>597</v>
      </c>
      <c r="H158" t="str">
        <f>"srp-7"</f>
        <v>srp-7</v>
      </c>
      <c r="I158" t="s">
        <v>599</v>
      </c>
      <c r="J158" t="s">
        <v>29</v>
      </c>
      <c r="K158" t="s">
        <v>29</v>
      </c>
      <c r="L158">
        <v>12.6605251980811</v>
      </c>
      <c r="M158">
        <v>12.993119406656101</v>
      </c>
      <c r="N158">
        <v>12.313623281744601</v>
      </c>
      <c r="O158">
        <v>12.7782204849432</v>
      </c>
      <c r="P158">
        <v>3.4462526366860799E-2</v>
      </c>
      <c r="Q158">
        <v>-1.08250355303362</v>
      </c>
      <c r="R158">
        <v>1.15142860576734</v>
      </c>
      <c r="S158">
        <v>12.688270438004301</v>
      </c>
      <c r="T158">
        <v>6.7290249633912405E-2</v>
      </c>
      <c r="U158">
        <v>-6.5386403235858301</v>
      </c>
      <c r="V158">
        <v>0.94746846364755199</v>
      </c>
      <c r="W158">
        <v>0.99968702248720698</v>
      </c>
      <c r="X158">
        <v>0</v>
      </c>
      <c r="Y158">
        <v>0</v>
      </c>
    </row>
    <row r="159" spans="1:25" x14ac:dyDescent="0.2">
      <c r="A159" t="s">
        <v>600</v>
      </c>
      <c r="B159" t="s">
        <v>601</v>
      </c>
      <c r="C159" t="s">
        <v>602</v>
      </c>
      <c r="D159" t="s">
        <v>603</v>
      </c>
      <c r="E159" t="s">
        <v>601</v>
      </c>
      <c r="F159" t="s">
        <v>28</v>
      </c>
      <c r="G159" t="s">
        <v>601</v>
      </c>
      <c r="H159" t="str">
        <f>"ascc-1"</f>
        <v>ascc-1</v>
      </c>
      <c r="I159" t="s">
        <v>603</v>
      </c>
      <c r="J159">
        <v>12.328350857320199</v>
      </c>
      <c r="K159" t="s">
        <v>29</v>
      </c>
      <c r="L159">
        <v>12.325287322029601</v>
      </c>
      <c r="M159">
        <v>12.2486439760391</v>
      </c>
      <c r="N159">
        <v>12.5051247914129</v>
      </c>
      <c r="O159" t="s">
        <v>29</v>
      </c>
      <c r="P159">
        <v>5.0065294051114199E-2</v>
      </c>
      <c r="Q159">
        <v>-0.57768125516857904</v>
      </c>
      <c r="R159">
        <v>0.67781184327080701</v>
      </c>
      <c r="S159">
        <v>12.3256312499635</v>
      </c>
      <c r="T159">
        <v>0.17117657402454201</v>
      </c>
      <c r="U159">
        <v>-6.6668806971409103</v>
      </c>
      <c r="V159">
        <v>0.86655266377269002</v>
      </c>
      <c r="W159">
        <v>0.99457622291666603</v>
      </c>
      <c r="X159">
        <v>0</v>
      </c>
      <c r="Y159">
        <v>0</v>
      </c>
    </row>
    <row r="160" spans="1:25" x14ac:dyDescent="0.2">
      <c r="A160" t="s">
        <v>604</v>
      </c>
      <c r="B160" t="s">
        <v>605</v>
      </c>
      <c r="C160" t="s">
        <v>606</v>
      </c>
      <c r="D160" t="s">
        <v>204</v>
      </c>
      <c r="E160" t="s">
        <v>605</v>
      </c>
      <c r="F160" t="s">
        <v>28</v>
      </c>
      <c r="G160" t="s">
        <v>605</v>
      </c>
      <c r="H160" t="str">
        <f>"hsp-43"</f>
        <v>hsp-43</v>
      </c>
      <c r="I160" t="s">
        <v>204</v>
      </c>
      <c r="J160">
        <v>11.438198171032001</v>
      </c>
      <c r="K160">
        <v>12.618811558162699</v>
      </c>
      <c r="L160">
        <v>12.9506230678285</v>
      </c>
      <c r="M160">
        <v>12.3145528589998</v>
      </c>
      <c r="N160">
        <v>12.644656058732</v>
      </c>
      <c r="O160">
        <v>12.4567584870275</v>
      </c>
      <c r="P160">
        <v>0.13611153591205</v>
      </c>
      <c r="Q160">
        <v>-0.61150549933324105</v>
      </c>
      <c r="R160">
        <v>0.88372857115734105</v>
      </c>
      <c r="S160">
        <v>13.039985713259</v>
      </c>
      <c r="T160">
        <v>0.38265576364898102</v>
      </c>
      <c r="U160">
        <v>-6.8062970785290799</v>
      </c>
      <c r="V160">
        <v>0.70648203887409</v>
      </c>
      <c r="W160">
        <v>0.986995809356777</v>
      </c>
      <c r="X160">
        <v>0</v>
      </c>
      <c r="Y160">
        <v>0</v>
      </c>
    </row>
    <row r="161" spans="1:25" x14ac:dyDescent="0.2">
      <c r="A161" t="s">
        <v>607</v>
      </c>
      <c r="B161" t="s">
        <v>608</v>
      </c>
      <c r="C161" t="s">
        <v>14226</v>
      </c>
      <c r="D161" t="s">
        <v>609</v>
      </c>
      <c r="E161" t="s">
        <v>608</v>
      </c>
      <c r="F161" t="s">
        <v>28</v>
      </c>
      <c r="G161" t="s">
        <v>608</v>
      </c>
      <c r="H161" t="str">
        <f>"F41E6.5"</f>
        <v>F41E6.5</v>
      </c>
      <c r="I161" t="s">
        <v>609</v>
      </c>
      <c r="J161">
        <v>14.0175457745526</v>
      </c>
      <c r="K161">
        <v>13.8324611177493</v>
      </c>
      <c r="L161">
        <v>13.077694982252</v>
      </c>
      <c r="M161">
        <v>13.877976489377399</v>
      </c>
      <c r="N161">
        <v>13.7953599700789</v>
      </c>
      <c r="O161">
        <v>14.579910823345401</v>
      </c>
      <c r="P161">
        <v>0.441848469415898</v>
      </c>
      <c r="Q161">
        <v>-0.150405787397657</v>
      </c>
      <c r="R161">
        <v>1.03410272622945</v>
      </c>
      <c r="S161">
        <v>13.441056620345201</v>
      </c>
      <c r="T161">
        <v>1.5680419498059399</v>
      </c>
      <c r="U161">
        <v>-5.67955204942115</v>
      </c>
      <c r="V161">
        <v>0.13438387054648601</v>
      </c>
      <c r="W161">
        <v>0.72544466191224499</v>
      </c>
      <c r="X161">
        <v>0</v>
      </c>
      <c r="Y161">
        <v>0</v>
      </c>
    </row>
    <row r="162" spans="1:25" x14ac:dyDescent="0.2">
      <c r="A162" t="s">
        <v>610</v>
      </c>
      <c r="B162" t="s">
        <v>611</v>
      </c>
      <c r="C162" t="s">
        <v>612</v>
      </c>
      <c r="D162" t="s">
        <v>613</v>
      </c>
      <c r="E162" t="s">
        <v>611</v>
      </c>
      <c r="F162" t="s">
        <v>28</v>
      </c>
      <c r="G162" t="s">
        <v>611</v>
      </c>
      <c r="H162" t="str">
        <f>"trpp-1"</f>
        <v>trpp-1</v>
      </c>
      <c r="I162" t="s">
        <v>613</v>
      </c>
      <c r="J162">
        <v>12.5250822255478</v>
      </c>
      <c r="K162">
        <v>12.4569775124834</v>
      </c>
      <c r="L162">
        <v>12.6001029564002</v>
      </c>
      <c r="M162">
        <v>11.9501960697278</v>
      </c>
      <c r="N162">
        <v>12.3667687839826</v>
      </c>
      <c r="O162">
        <v>12.2932413566619</v>
      </c>
      <c r="P162">
        <v>-0.32398549468634003</v>
      </c>
      <c r="Q162">
        <v>-0.721935065901816</v>
      </c>
      <c r="R162">
        <v>7.3964076529135905E-2</v>
      </c>
      <c r="S162">
        <v>12.1744969265952</v>
      </c>
      <c r="T162">
        <v>-1.73635743643792</v>
      </c>
      <c r="U162">
        <v>-5.4340923101522502</v>
      </c>
      <c r="V162">
        <v>0.103131248704421</v>
      </c>
      <c r="W162">
        <v>0.66068385805670304</v>
      </c>
      <c r="X162">
        <v>0</v>
      </c>
      <c r="Y162">
        <v>0</v>
      </c>
    </row>
    <row r="163" spans="1:25" x14ac:dyDescent="0.2">
      <c r="A163" t="s">
        <v>614</v>
      </c>
      <c r="B163" t="s">
        <v>615</v>
      </c>
      <c r="C163" t="s">
        <v>616</v>
      </c>
      <c r="D163" t="s">
        <v>617</v>
      </c>
      <c r="E163" t="s">
        <v>615</v>
      </c>
      <c r="F163" t="s">
        <v>28</v>
      </c>
      <c r="G163" t="s">
        <v>615</v>
      </c>
      <c r="H163" t="str">
        <f>"C14H10.3"</f>
        <v>C14H10.3</v>
      </c>
      <c r="I163" t="s">
        <v>617</v>
      </c>
      <c r="J163">
        <v>12.132654454309099</v>
      </c>
      <c r="K163">
        <v>11.4513527075482</v>
      </c>
      <c r="L163">
        <v>12.3163287997289</v>
      </c>
      <c r="M163">
        <v>12.012909829287301</v>
      </c>
      <c r="N163">
        <v>12.1097375387992</v>
      </c>
      <c r="O163">
        <v>11.9374252767036</v>
      </c>
      <c r="P163">
        <v>5.3245561067974699E-2</v>
      </c>
      <c r="Q163">
        <v>-0.53567987485329305</v>
      </c>
      <c r="R163">
        <v>0.64217099698924296</v>
      </c>
      <c r="S163">
        <v>11.7107471075315</v>
      </c>
      <c r="T163">
        <v>0.190841626278385</v>
      </c>
      <c r="U163">
        <v>-6.8634210645610301</v>
      </c>
      <c r="V163">
        <v>0.85092415518528397</v>
      </c>
      <c r="W163">
        <v>0.99370971747667503</v>
      </c>
      <c r="X163">
        <v>0</v>
      </c>
      <c r="Y163">
        <v>0</v>
      </c>
    </row>
    <row r="164" spans="1:25" x14ac:dyDescent="0.2">
      <c r="A164" t="s">
        <v>618</v>
      </c>
      <c r="B164" t="s">
        <v>619</v>
      </c>
      <c r="C164" t="s">
        <v>620</v>
      </c>
      <c r="D164" t="s">
        <v>621</v>
      </c>
      <c r="E164" t="s">
        <v>619</v>
      </c>
      <c r="F164" t="s">
        <v>28</v>
      </c>
      <c r="G164" t="s">
        <v>619</v>
      </c>
      <c r="H164" t="str">
        <f>"poml-3"</f>
        <v>poml-3</v>
      </c>
      <c r="I164" t="s">
        <v>621</v>
      </c>
      <c r="J164">
        <v>13.7622286554127</v>
      </c>
      <c r="K164">
        <v>14.137218308839699</v>
      </c>
      <c r="L164">
        <v>13.607769825243899</v>
      </c>
      <c r="M164">
        <v>13.039017627638399</v>
      </c>
      <c r="N164">
        <v>12.8653975718571</v>
      </c>
      <c r="O164">
        <v>13.7775828170662</v>
      </c>
      <c r="P164">
        <v>-0.60840625764487699</v>
      </c>
      <c r="Q164">
        <v>-1.2995822983613301</v>
      </c>
      <c r="R164">
        <v>8.2769783071574204E-2</v>
      </c>
      <c r="S164">
        <v>13.4503498248779</v>
      </c>
      <c r="T164">
        <v>-1.8670438882379701</v>
      </c>
      <c r="U164">
        <v>-5.2265870771635896</v>
      </c>
      <c r="V164">
        <v>8.0450486547639297E-2</v>
      </c>
      <c r="W164">
        <v>0.603016259528251</v>
      </c>
      <c r="X164">
        <v>0</v>
      </c>
      <c r="Y164">
        <v>0</v>
      </c>
    </row>
    <row r="165" spans="1:25" x14ac:dyDescent="0.2">
      <c r="A165" t="s">
        <v>622</v>
      </c>
      <c r="B165" t="s">
        <v>623</v>
      </c>
      <c r="C165" t="s">
        <v>624</v>
      </c>
      <c r="D165" t="s">
        <v>625</v>
      </c>
      <c r="E165" t="s">
        <v>623</v>
      </c>
      <c r="F165" t="s">
        <v>28</v>
      </c>
      <c r="G165" t="s">
        <v>623</v>
      </c>
      <c r="H165" t="str">
        <f>"unc-57"</f>
        <v>unc-57</v>
      </c>
      <c r="I165" t="s">
        <v>625</v>
      </c>
      <c r="J165">
        <v>14.174044119574599</v>
      </c>
      <c r="K165">
        <v>11.180074259500801</v>
      </c>
      <c r="L165">
        <v>11.9036152343092</v>
      </c>
      <c r="M165">
        <v>13.8526335130737</v>
      </c>
      <c r="N165">
        <v>13.569393446795001</v>
      </c>
      <c r="O165">
        <v>13.2313420754438</v>
      </c>
      <c r="P165">
        <v>1.13187847397599</v>
      </c>
      <c r="Q165">
        <v>-0.10896943849320299</v>
      </c>
      <c r="R165">
        <v>2.3727263864451702</v>
      </c>
      <c r="S165">
        <v>12.850809555655401</v>
      </c>
      <c r="T165">
        <v>1.92544562848348</v>
      </c>
      <c r="U165">
        <v>-5.1276394525711604</v>
      </c>
      <c r="V165">
        <v>7.1175492541874399E-2</v>
      </c>
      <c r="W165">
        <v>0.57411666068961398</v>
      </c>
      <c r="X165">
        <v>0</v>
      </c>
      <c r="Y165">
        <v>0</v>
      </c>
    </row>
    <row r="166" spans="1:25" x14ac:dyDescent="0.2">
      <c r="A166" t="s">
        <v>626</v>
      </c>
      <c r="B166" t="s">
        <v>627</v>
      </c>
      <c r="C166" t="s">
        <v>628</v>
      </c>
      <c r="D166" t="s">
        <v>629</v>
      </c>
      <c r="E166" t="s">
        <v>627</v>
      </c>
      <c r="F166" t="s">
        <v>28</v>
      </c>
      <c r="G166" t="s">
        <v>627</v>
      </c>
      <c r="H166" t="str">
        <f>"saps-1"</f>
        <v>saps-1</v>
      </c>
      <c r="I166" t="s">
        <v>629</v>
      </c>
      <c r="J166">
        <v>10.2053593211016</v>
      </c>
      <c r="K166" t="s">
        <v>29</v>
      </c>
      <c r="L166">
        <v>10.379090651613501</v>
      </c>
      <c r="M166">
        <v>13.410088841401601</v>
      </c>
      <c r="N166">
        <v>13.6100410381109</v>
      </c>
      <c r="O166">
        <v>13.3208570618579</v>
      </c>
      <c r="P166">
        <v>3.1547706607659398</v>
      </c>
      <c r="Q166">
        <v>2.44454201800548</v>
      </c>
      <c r="R166">
        <v>3.8649993035263899</v>
      </c>
      <c r="S166">
        <v>12.8348921521709</v>
      </c>
      <c r="T166">
        <v>9.3760437131294907</v>
      </c>
      <c r="U166">
        <v>8.9785411619635607</v>
      </c>
      <c r="V166" s="2">
        <v>4.1665559734947803E-8</v>
      </c>
      <c r="W166" s="2">
        <v>8.6664364248691402E-6</v>
      </c>
      <c r="X166">
        <v>1</v>
      </c>
      <c r="Y166">
        <v>1</v>
      </c>
    </row>
    <row r="167" spans="1:25" x14ac:dyDescent="0.2">
      <c r="A167" t="s">
        <v>630</v>
      </c>
      <c r="B167" t="s">
        <v>631</v>
      </c>
      <c r="C167" t="s">
        <v>632</v>
      </c>
      <c r="D167" t="s">
        <v>633</v>
      </c>
      <c r="E167" t="s">
        <v>631</v>
      </c>
      <c r="F167" t="s">
        <v>28</v>
      </c>
      <c r="G167" t="s">
        <v>631</v>
      </c>
      <c r="H167" t="str">
        <f>"lin-61"</f>
        <v>lin-61</v>
      </c>
      <c r="I167" t="s">
        <v>633</v>
      </c>
      <c r="J167">
        <v>14.217630626344301</v>
      </c>
      <c r="K167">
        <v>14.3276963588887</v>
      </c>
      <c r="L167">
        <v>14.373458528923299</v>
      </c>
      <c r="M167">
        <v>14.0796493377968</v>
      </c>
      <c r="N167">
        <v>14.4164109350238</v>
      </c>
      <c r="O167">
        <v>14.4221739064793</v>
      </c>
      <c r="P167">
        <v>-1.8377828542703899E-4</v>
      </c>
      <c r="Q167">
        <v>-0.439260922854601</v>
      </c>
      <c r="R167">
        <v>0.43889336628374698</v>
      </c>
      <c r="S167">
        <v>14.3957581726242</v>
      </c>
      <c r="T167">
        <v>-8.7972285980613297E-4</v>
      </c>
      <c r="U167">
        <v>-6.8824891700529003</v>
      </c>
      <c r="V167">
        <v>0.99930781563098003</v>
      </c>
      <c r="W167">
        <v>0.99996163501229596</v>
      </c>
      <c r="X167">
        <v>0</v>
      </c>
      <c r="Y167">
        <v>0</v>
      </c>
    </row>
    <row r="168" spans="1:25" x14ac:dyDescent="0.2">
      <c r="A168" t="s">
        <v>634</v>
      </c>
      <c r="B168" t="s">
        <v>635</v>
      </c>
      <c r="C168" t="s">
        <v>636</v>
      </c>
      <c r="D168" t="s">
        <v>637</v>
      </c>
      <c r="E168" t="s">
        <v>635</v>
      </c>
      <c r="F168" t="s">
        <v>28</v>
      </c>
      <c r="G168" t="s">
        <v>635</v>
      </c>
      <c r="H168" t="str">
        <f>"tlf-1"</f>
        <v>tlf-1</v>
      </c>
      <c r="I168" t="s">
        <v>637</v>
      </c>
      <c r="J168">
        <v>13.0217825015507</v>
      </c>
      <c r="K168">
        <v>13.591494370282099</v>
      </c>
      <c r="L168">
        <v>13.582128014976799</v>
      </c>
      <c r="M168">
        <v>13.4006609321863</v>
      </c>
      <c r="N168">
        <v>12.765177563675</v>
      </c>
      <c r="O168">
        <v>13.016012415631</v>
      </c>
      <c r="P168">
        <v>-0.337851325105756</v>
      </c>
      <c r="Q168">
        <v>-0.84335749031617402</v>
      </c>
      <c r="R168">
        <v>0.167654840104662</v>
      </c>
      <c r="S168">
        <v>13.3696045299491</v>
      </c>
      <c r="T168">
        <v>-1.4107471550128801</v>
      </c>
      <c r="U168">
        <v>-5.8969441261551196</v>
      </c>
      <c r="V168">
        <v>0.17646681793317201</v>
      </c>
      <c r="W168">
        <v>0.77568784401157198</v>
      </c>
      <c r="X168">
        <v>0</v>
      </c>
      <c r="Y168">
        <v>0</v>
      </c>
    </row>
    <row r="169" spans="1:25" x14ac:dyDescent="0.2">
      <c r="A169" t="s">
        <v>638</v>
      </c>
      <c r="B169" t="s">
        <v>639</v>
      </c>
      <c r="C169" t="s">
        <v>640</v>
      </c>
      <c r="D169" t="s">
        <v>641</v>
      </c>
      <c r="E169" t="s">
        <v>639</v>
      </c>
      <c r="F169" t="s">
        <v>28</v>
      </c>
      <c r="G169" t="s">
        <v>639</v>
      </c>
      <c r="H169" t="str">
        <f>"smc-3"</f>
        <v>smc-3</v>
      </c>
      <c r="I169" t="s">
        <v>641</v>
      </c>
      <c r="J169">
        <v>13.781427780034599</v>
      </c>
      <c r="K169">
        <v>13.656505429044699</v>
      </c>
      <c r="L169">
        <v>13.540706484128201</v>
      </c>
      <c r="M169">
        <v>13.423042410658599</v>
      </c>
      <c r="N169">
        <v>13.4285745534575</v>
      </c>
      <c r="O169">
        <v>13.5283812485868</v>
      </c>
      <c r="P169">
        <v>-0.19954716016818899</v>
      </c>
      <c r="Q169">
        <v>-0.76090430536741605</v>
      </c>
      <c r="R169">
        <v>0.36180998503103901</v>
      </c>
      <c r="S169">
        <v>13.3873976314283</v>
      </c>
      <c r="T169">
        <v>-0.75033690885791204</v>
      </c>
      <c r="U169">
        <v>-6.5922585380251899</v>
      </c>
      <c r="V169">
        <v>0.463374193996554</v>
      </c>
      <c r="W169">
        <v>0.92978583625257705</v>
      </c>
      <c r="X169">
        <v>0</v>
      </c>
      <c r="Y169">
        <v>0</v>
      </c>
    </row>
    <row r="170" spans="1:25" x14ac:dyDescent="0.2">
      <c r="A170" t="s">
        <v>642</v>
      </c>
      <c r="B170" t="s">
        <v>643</v>
      </c>
      <c r="C170" t="s">
        <v>644</v>
      </c>
      <c r="D170" t="s">
        <v>645</v>
      </c>
      <c r="E170" t="s">
        <v>643</v>
      </c>
      <c r="F170" t="s">
        <v>28</v>
      </c>
      <c r="G170" t="s">
        <v>643</v>
      </c>
      <c r="H170" t="str">
        <f>"vha-7"</f>
        <v>vha-7</v>
      </c>
      <c r="I170" t="s">
        <v>645</v>
      </c>
      <c r="J170" t="s">
        <v>29</v>
      </c>
      <c r="K170" t="s">
        <v>29</v>
      </c>
      <c r="L170" t="s">
        <v>29</v>
      </c>
      <c r="M170">
        <v>12.454833256534901</v>
      </c>
      <c r="N170">
        <v>12.431698488457</v>
      </c>
      <c r="O170">
        <v>12.032255103328399</v>
      </c>
      <c r="P170" t="s">
        <v>29</v>
      </c>
      <c r="Q170" t="s">
        <v>29</v>
      </c>
      <c r="R170" t="s">
        <v>29</v>
      </c>
      <c r="S170">
        <v>12.211671165452801</v>
      </c>
      <c r="T170" t="s">
        <v>29</v>
      </c>
      <c r="U170" t="s">
        <v>29</v>
      </c>
      <c r="V170" t="s">
        <v>29</v>
      </c>
      <c r="W170" t="s">
        <v>29</v>
      </c>
      <c r="X170" t="s">
        <v>29</v>
      </c>
      <c r="Y170" t="s">
        <v>29</v>
      </c>
    </row>
    <row r="171" spans="1:25" x14ac:dyDescent="0.2">
      <c r="A171" t="s">
        <v>646</v>
      </c>
      <c r="B171" t="s">
        <v>647</v>
      </c>
      <c r="C171" t="s">
        <v>648</v>
      </c>
      <c r="D171" t="s">
        <v>649</v>
      </c>
      <c r="E171" t="s">
        <v>647</v>
      </c>
      <c r="F171" t="s">
        <v>28</v>
      </c>
      <c r="G171" t="s">
        <v>647</v>
      </c>
      <c r="H171" t="str">
        <f>"gcn-1"</f>
        <v>gcn-1</v>
      </c>
      <c r="I171" t="s">
        <v>649</v>
      </c>
      <c r="J171">
        <v>15.964548926492199</v>
      </c>
      <c r="K171">
        <v>15.8508543896682</v>
      </c>
      <c r="L171">
        <v>16.051860464837699</v>
      </c>
      <c r="M171">
        <v>16.122807507034899</v>
      </c>
      <c r="N171">
        <v>16.2407321439645</v>
      </c>
      <c r="O171">
        <v>15.9961766572372</v>
      </c>
      <c r="P171">
        <v>0.16415084241283201</v>
      </c>
      <c r="Q171">
        <v>-0.17902997122497899</v>
      </c>
      <c r="R171">
        <v>0.50733165605064301</v>
      </c>
      <c r="S171">
        <v>16.352897313762199</v>
      </c>
      <c r="T171">
        <v>1.00533922921448</v>
      </c>
      <c r="U171">
        <v>-6.3689196717071903</v>
      </c>
      <c r="V171">
        <v>0.328134908089388</v>
      </c>
      <c r="W171">
        <v>0.87223081000118396</v>
      </c>
      <c r="X171">
        <v>0</v>
      </c>
      <c r="Y171">
        <v>0</v>
      </c>
    </row>
    <row r="172" spans="1:25" x14ac:dyDescent="0.2">
      <c r="A172" t="s">
        <v>650</v>
      </c>
      <c r="B172" t="s">
        <v>651</v>
      </c>
      <c r="C172" t="s">
        <v>652</v>
      </c>
      <c r="D172" t="s">
        <v>93</v>
      </c>
      <c r="E172" t="s">
        <v>651</v>
      </c>
      <c r="F172" t="s">
        <v>28</v>
      </c>
      <c r="G172" t="s">
        <v>651</v>
      </c>
      <c r="H172" t="str">
        <f>"nono-1"</f>
        <v>nono-1</v>
      </c>
      <c r="I172" t="s">
        <v>93</v>
      </c>
      <c r="J172">
        <v>15.251357895192699</v>
      </c>
      <c r="K172">
        <v>15.5516103424454</v>
      </c>
      <c r="L172">
        <v>15.6290413821201</v>
      </c>
      <c r="M172">
        <v>15.080817530462999</v>
      </c>
      <c r="N172">
        <v>15.1833815233219</v>
      </c>
      <c r="O172">
        <v>15.039993012996</v>
      </c>
      <c r="P172">
        <v>-0.37593918432576601</v>
      </c>
      <c r="Q172">
        <v>-0.80137528545401904</v>
      </c>
      <c r="R172">
        <v>4.9496916802486801E-2</v>
      </c>
      <c r="S172">
        <v>15.5956466359636</v>
      </c>
      <c r="T172">
        <v>-1.85727309729644</v>
      </c>
      <c r="U172">
        <v>-5.2359239799299404</v>
      </c>
      <c r="V172">
        <v>7.9808759947424895E-2</v>
      </c>
      <c r="W172">
        <v>0.60076942510977904</v>
      </c>
      <c r="X172">
        <v>0</v>
      </c>
      <c r="Y172">
        <v>0</v>
      </c>
    </row>
    <row r="173" spans="1:25" x14ac:dyDescent="0.2">
      <c r="A173" t="s">
        <v>653</v>
      </c>
      <c r="B173" t="s">
        <v>654</v>
      </c>
      <c r="C173" t="s">
        <v>655</v>
      </c>
      <c r="D173" t="s">
        <v>656</v>
      </c>
      <c r="E173" t="s">
        <v>654</v>
      </c>
      <c r="F173" t="s">
        <v>28</v>
      </c>
      <c r="G173" t="s">
        <v>654</v>
      </c>
      <c r="H173" t="str">
        <f>"C14F11.4"</f>
        <v>C14F11.4</v>
      </c>
      <c r="I173" t="s">
        <v>656</v>
      </c>
      <c r="J173">
        <v>12.369704354746199</v>
      </c>
      <c r="K173" t="s">
        <v>29</v>
      </c>
      <c r="L173">
        <v>11.3892584058023</v>
      </c>
      <c r="M173">
        <v>10.3127222079452</v>
      </c>
      <c r="N173">
        <v>11.2307172078285</v>
      </c>
      <c r="O173">
        <v>11.8951915362747</v>
      </c>
      <c r="P173">
        <v>-0.73327106292480204</v>
      </c>
      <c r="Q173">
        <v>-2.0269514217797902</v>
      </c>
      <c r="R173">
        <v>0.56040929593018496</v>
      </c>
      <c r="S173">
        <v>11.4544052576517</v>
      </c>
      <c r="T173">
        <v>-1.2255324260565601</v>
      </c>
      <c r="U173">
        <v>-6.0171546989273601</v>
      </c>
      <c r="V173">
        <v>0.24228752014810501</v>
      </c>
      <c r="W173">
        <v>0.82472934687515598</v>
      </c>
      <c r="X173">
        <v>0</v>
      </c>
      <c r="Y173">
        <v>0</v>
      </c>
    </row>
    <row r="174" spans="1:25" x14ac:dyDescent="0.2">
      <c r="A174" t="s">
        <v>657</v>
      </c>
      <c r="B174" t="s">
        <v>658</v>
      </c>
      <c r="C174" t="s">
        <v>659</v>
      </c>
      <c r="D174" t="s">
        <v>660</v>
      </c>
      <c r="E174" t="s">
        <v>658</v>
      </c>
      <c r="F174" t="s">
        <v>28</v>
      </c>
      <c r="G174" t="s">
        <v>658</v>
      </c>
      <c r="H174" t="str">
        <f>"abts-1"</f>
        <v>abts-1</v>
      </c>
      <c r="I174" t="s">
        <v>660</v>
      </c>
      <c r="J174">
        <v>13.6304461500602</v>
      </c>
      <c r="K174">
        <v>13.7888631645076</v>
      </c>
      <c r="L174">
        <v>13.7540425608102</v>
      </c>
      <c r="M174">
        <v>14.034359117935301</v>
      </c>
      <c r="N174">
        <v>13.758584085164401</v>
      </c>
      <c r="O174">
        <v>13.815088733373599</v>
      </c>
      <c r="P174">
        <v>0.14489335369841999</v>
      </c>
      <c r="Q174">
        <v>-0.361509546255945</v>
      </c>
      <c r="R174">
        <v>0.65129625365278399</v>
      </c>
      <c r="S174">
        <v>13.5527592544301</v>
      </c>
      <c r="T174">
        <v>0.60137420228348604</v>
      </c>
      <c r="U174">
        <v>-6.6954311334910503</v>
      </c>
      <c r="V174">
        <v>0.55513316624305098</v>
      </c>
      <c r="W174">
        <v>0.95555711976758795</v>
      </c>
      <c r="X174">
        <v>0</v>
      </c>
      <c r="Y174">
        <v>0</v>
      </c>
    </row>
    <row r="175" spans="1:25" x14ac:dyDescent="0.2">
      <c r="A175" t="s">
        <v>661</v>
      </c>
      <c r="B175" t="s">
        <v>662</v>
      </c>
      <c r="C175" t="s">
        <v>14227</v>
      </c>
      <c r="D175" t="s">
        <v>663</v>
      </c>
      <c r="E175" t="s">
        <v>662</v>
      </c>
      <c r="F175" t="s">
        <v>28</v>
      </c>
      <c r="G175" t="s">
        <v>662</v>
      </c>
      <c r="H175" t="str">
        <f>"ZK858.6"</f>
        <v>ZK858.6</v>
      </c>
      <c r="I175" t="s">
        <v>663</v>
      </c>
      <c r="J175">
        <v>10.9790727809321</v>
      </c>
      <c r="K175" t="s">
        <v>29</v>
      </c>
      <c r="L175" t="s">
        <v>29</v>
      </c>
      <c r="M175">
        <v>10.667755025132999</v>
      </c>
      <c r="N175" t="s">
        <v>29</v>
      </c>
      <c r="O175">
        <v>11.1252629293291</v>
      </c>
      <c r="P175">
        <v>-8.2563803701120306E-2</v>
      </c>
      <c r="Q175">
        <v>-1.44312426852154</v>
      </c>
      <c r="R175">
        <v>1.2779966611193001</v>
      </c>
      <c r="S175">
        <v>10.5868727440967</v>
      </c>
      <c r="T175">
        <v>-0.13372097634194</v>
      </c>
      <c r="U175">
        <v>-6.4738966883913998</v>
      </c>
      <c r="V175">
        <v>0.89606124667374498</v>
      </c>
      <c r="W175">
        <v>0.99833354317360001</v>
      </c>
      <c r="X175">
        <v>0</v>
      </c>
      <c r="Y175">
        <v>0</v>
      </c>
    </row>
    <row r="176" spans="1:25" x14ac:dyDescent="0.2">
      <c r="A176" t="s">
        <v>664</v>
      </c>
      <c r="B176" t="s">
        <v>665</v>
      </c>
      <c r="C176" t="s">
        <v>14228</v>
      </c>
      <c r="D176" t="s">
        <v>666</v>
      </c>
      <c r="E176" t="s">
        <v>665</v>
      </c>
      <c r="F176" t="s">
        <v>28</v>
      </c>
      <c r="G176" t="s">
        <v>665</v>
      </c>
      <c r="H176" t="str">
        <f>"Y43F8B.1"</f>
        <v>Y43F8B.1</v>
      </c>
      <c r="I176" t="s">
        <v>666</v>
      </c>
      <c r="J176">
        <v>10.7182511004692</v>
      </c>
      <c r="K176">
        <v>11.082651441038299</v>
      </c>
      <c r="L176">
        <v>11.2344068270087</v>
      </c>
      <c r="M176">
        <v>10.6346734365804</v>
      </c>
      <c r="N176">
        <v>11.0510390868782</v>
      </c>
      <c r="O176">
        <v>11.3574027973137</v>
      </c>
      <c r="P176">
        <v>2.6019840853663801E-3</v>
      </c>
      <c r="Q176">
        <v>-0.70676544050799295</v>
      </c>
      <c r="R176">
        <v>0.71196940867872605</v>
      </c>
      <c r="S176">
        <v>11.483228422795699</v>
      </c>
      <c r="T176">
        <v>7.7800596137058602E-3</v>
      </c>
      <c r="U176">
        <v>-6.8824577374157698</v>
      </c>
      <c r="V176">
        <v>0.99388928308961599</v>
      </c>
      <c r="W176">
        <v>0.99968702248720698</v>
      </c>
      <c r="X176">
        <v>0</v>
      </c>
      <c r="Y176">
        <v>0</v>
      </c>
    </row>
    <row r="177" spans="1:25" x14ac:dyDescent="0.2">
      <c r="A177" t="s">
        <v>667</v>
      </c>
      <c r="B177" t="s">
        <v>668</v>
      </c>
      <c r="C177" t="s">
        <v>669</v>
      </c>
      <c r="D177" t="s">
        <v>670</v>
      </c>
      <c r="E177" t="s">
        <v>668</v>
      </c>
      <c r="F177" t="s">
        <v>28</v>
      </c>
      <c r="G177" t="s">
        <v>668</v>
      </c>
      <c r="H177" t="str">
        <f>"mcd-1"</f>
        <v>mcd-1</v>
      </c>
      <c r="I177" t="s">
        <v>670</v>
      </c>
      <c r="J177" t="s">
        <v>29</v>
      </c>
      <c r="K177">
        <v>10.671466434401401</v>
      </c>
      <c r="L177">
        <v>10.5652218394284</v>
      </c>
      <c r="M177" t="s">
        <v>29</v>
      </c>
      <c r="N177">
        <v>10.853519786574701</v>
      </c>
      <c r="O177">
        <v>10.852035303024801</v>
      </c>
      <c r="P177">
        <v>0.23443340788480799</v>
      </c>
      <c r="Q177">
        <v>-0.42724869949021699</v>
      </c>
      <c r="R177">
        <v>0.89611551525983302</v>
      </c>
      <c r="S177">
        <v>11.597007307001499</v>
      </c>
      <c r="T177">
        <v>0.76605041862866396</v>
      </c>
      <c r="U177">
        <v>-6.3780023041313001</v>
      </c>
      <c r="V177">
        <v>0.45744055751205598</v>
      </c>
      <c r="W177">
        <v>0.92799154546826901</v>
      </c>
      <c r="X177">
        <v>0</v>
      </c>
      <c r="Y177">
        <v>0</v>
      </c>
    </row>
    <row r="178" spans="1:25" x14ac:dyDescent="0.2">
      <c r="A178" t="s">
        <v>671</v>
      </c>
      <c r="B178" t="s">
        <v>672</v>
      </c>
      <c r="C178" t="s">
        <v>673</v>
      </c>
      <c r="D178" t="s">
        <v>674</v>
      </c>
      <c r="E178" t="s">
        <v>672</v>
      </c>
      <c r="F178" t="s">
        <v>28</v>
      </c>
      <c r="G178" t="s">
        <v>672</v>
      </c>
      <c r="H178" t="str">
        <f>"ints-6"</f>
        <v>ints-6</v>
      </c>
      <c r="I178" t="s">
        <v>674</v>
      </c>
      <c r="J178">
        <v>11.3497895333924</v>
      </c>
      <c r="K178" t="s">
        <v>29</v>
      </c>
      <c r="L178">
        <v>11.4652781849937</v>
      </c>
      <c r="M178">
        <v>10.2845678249773</v>
      </c>
      <c r="N178">
        <v>11.3612390102665</v>
      </c>
      <c r="O178">
        <v>10.4307971976367</v>
      </c>
      <c r="P178">
        <v>-0.71533251489951899</v>
      </c>
      <c r="Q178">
        <v>-1.41566047863663</v>
      </c>
      <c r="R178">
        <v>-1.5004551162409299E-2</v>
      </c>
      <c r="S178">
        <v>11.502788036708001</v>
      </c>
      <c r="T178">
        <v>-2.2084813829952101</v>
      </c>
      <c r="U178">
        <v>-4.5770945719671099</v>
      </c>
      <c r="V178">
        <v>4.5937361207381601E-2</v>
      </c>
      <c r="W178">
        <v>0.466677028988077</v>
      </c>
      <c r="X178">
        <v>0</v>
      </c>
      <c r="Y178">
        <v>0</v>
      </c>
    </row>
    <row r="179" spans="1:25" x14ac:dyDescent="0.2">
      <c r="A179" t="s">
        <v>675</v>
      </c>
      <c r="B179" t="s">
        <v>676</v>
      </c>
      <c r="C179" t="s">
        <v>677</v>
      </c>
      <c r="D179" t="s">
        <v>678</v>
      </c>
      <c r="E179" t="s">
        <v>676</v>
      </c>
      <c r="F179" t="s">
        <v>28</v>
      </c>
      <c r="G179" t="s">
        <v>676</v>
      </c>
      <c r="H179" t="str">
        <f>"shn-1"</f>
        <v>shn-1</v>
      </c>
      <c r="I179" t="s">
        <v>678</v>
      </c>
      <c r="J179">
        <v>13.178429603658801</v>
      </c>
      <c r="K179" t="s">
        <v>29</v>
      </c>
      <c r="L179">
        <v>11.485126343624</v>
      </c>
      <c r="M179" t="s">
        <v>29</v>
      </c>
      <c r="N179">
        <v>12.1589995553972</v>
      </c>
      <c r="O179" t="s">
        <v>29</v>
      </c>
      <c r="P179">
        <v>-0.17277841824418999</v>
      </c>
      <c r="Q179">
        <v>-2.0526102338844501</v>
      </c>
      <c r="R179">
        <v>1.70705339739606</v>
      </c>
      <c r="S179">
        <v>12.161426060652399</v>
      </c>
      <c r="T179">
        <v>-0.20045436175902701</v>
      </c>
      <c r="U179">
        <v>-6.4621818774410498</v>
      </c>
      <c r="V179">
        <v>0.84451161728824597</v>
      </c>
      <c r="W179">
        <v>0.99370971747667503</v>
      </c>
      <c r="X179">
        <v>0</v>
      </c>
      <c r="Y179">
        <v>0</v>
      </c>
    </row>
    <row r="180" spans="1:25" x14ac:dyDescent="0.2">
      <c r="A180" t="s">
        <v>679</v>
      </c>
      <c r="B180" t="s">
        <v>680</v>
      </c>
      <c r="C180" t="s">
        <v>681</v>
      </c>
      <c r="D180" t="s">
        <v>682</v>
      </c>
      <c r="E180" t="s">
        <v>680</v>
      </c>
      <c r="F180" t="s">
        <v>28</v>
      </c>
      <c r="G180" t="s">
        <v>680</v>
      </c>
      <c r="H180" t="str">
        <f>"pyk-1"</f>
        <v>pyk-1</v>
      </c>
      <c r="I180" t="s">
        <v>682</v>
      </c>
      <c r="J180">
        <v>15.5115451111244</v>
      </c>
      <c r="K180">
        <v>14.7824753178155</v>
      </c>
      <c r="L180">
        <v>14.829755570976999</v>
      </c>
      <c r="M180">
        <v>15.2055600665937</v>
      </c>
      <c r="N180">
        <v>14.044607868361799</v>
      </c>
      <c r="O180">
        <v>15.3611811270237</v>
      </c>
      <c r="P180">
        <v>-0.170808979312598</v>
      </c>
      <c r="Q180">
        <v>-1.06439123502447</v>
      </c>
      <c r="R180">
        <v>0.72277327639927103</v>
      </c>
      <c r="S180">
        <v>14.9809767420446</v>
      </c>
      <c r="T180">
        <v>-0.40176183084414602</v>
      </c>
      <c r="U180">
        <v>-6.7985337957296101</v>
      </c>
      <c r="V180">
        <v>0.69261695737618301</v>
      </c>
      <c r="W180">
        <v>0.98642420921484297</v>
      </c>
      <c r="X180">
        <v>0</v>
      </c>
      <c r="Y180">
        <v>0</v>
      </c>
    </row>
    <row r="181" spans="1:25" x14ac:dyDescent="0.2">
      <c r="A181" t="s">
        <v>683</v>
      </c>
      <c r="B181" t="s">
        <v>684</v>
      </c>
      <c r="C181" t="s">
        <v>14229</v>
      </c>
      <c r="D181" t="s">
        <v>685</v>
      </c>
      <c r="E181" t="s">
        <v>684</v>
      </c>
      <c r="F181" t="s">
        <v>28</v>
      </c>
      <c r="G181" t="s">
        <v>684</v>
      </c>
      <c r="H181" t="str">
        <f>"Y53C12A.10"</f>
        <v>Y53C12A.10</v>
      </c>
      <c r="I181" t="s">
        <v>685</v>
      </c>
      <c r="J181">
        <v>13.8661493989676</v>
      </c>
      <c r="K181">
        <v>14.1896947576281</v>
      </c>
      <c r="L181">
        <v>14.114637559579901</v>
      </c>
      <c r="M181">
        <v>13.9547611362864</v>
      </c>
      <c r="N181">
        <v>14.0126346970968</v>
      </c>
      <c r="O181">
        <v>14.1335375315179</v>
      </c>
      <c r="P181">
        <v>-2.3182783758130699E-2</v>
      </c>
      <c r="Q181">
        <v>-0.78945119887656601</v>
      </c>
      <c r="R181">
        <v>0.74308563136030503</v>
      </c>
      <c r="S181">
        <v>13.268945149158199</v>
      </c>
      <c r="T181">
        <v>-6.4170317690540296E-2</v>
      </c>
      <c r="U181">
        <v>-6.88032397194283</v>
      </c>
      <c r="V181">
        <v>0.949634703706836</v>
      </c>
      <c r="W181">
        <v>0.99968702248720698</v>
      </c>
      <c r="X181">
        <v>0</v>
      </c>
      <c r="Y181">
        <v>0</v>
      </c>
    </row>
    <row r="182" spans="1:25" x14ac:dyDescent="0.2">
      <c r="A182" t="s">
        <v>686</v>
      </c>
      <c r="B182" t="s">
        <v>687</v>
      </c>
      <c r="C182" t="s">
        <v>688</v>
      </c>
      <c r="D182" t="s">
        <v>689</v>
      </c>
      <c r="E182" t="s">
        <v>687</v>
      </c>
      <c r="F182" t="s">
        <v>28</v>
      </c>
      <c r="G182" t="s">
        <v>687</v>
      </c>
      <c r="H182" t="str">
        <f>"hrpu-1"</f>
        <v>hrpu-1</v>
      </c>
      <c r="I182" t="s">
        <v>689</v>
      </c>
      <c r="J182" t="s">
        <v>29</v>
      </c>
      <c r="K182">
        <v>10.683481620643599</v>
      </c>
      <c r="L182">
        <v>11.163164087270999</v>
      </c>
      <c r="M182" t="s">
        <v>29</v>
      </c>
      <c r="N182" t="s">
        <v>29</v>
      </c>
      <c r="O182" t="s">
        <v>29</v>
      </c>
      <c r="P182" t="s">
        <v>29</v>
      </c>
      <c r="Q182" t="s">
        <v>29</v>
      </c>
      <c r="R182" t="s">
        <v>29</v>
      </c>
      <c r="S182">
        <v>12.3534092652407</v>
      </c>
      <c r="T182" t="s">
        <v>29</v>
      </c>
      <c r="U182" t="s">
        <v>29</v>
      </c>
      <c r="V182" t="s">
        <v>29</v>
      </c>
      <c r="W182" t="s">
        <v>29</v>
      </c>
      <c r="X182" t="s">
        <v>29</v>
      </c>
      <c r="Y182" t="s">
        <v>29</v>
      </c>
    </row>
    <row r="183" spans="1:25" x14ac:dyDescent="0.2">
      <c r="A183" t="s">
        <v>690</v>
      </c>
      <c r="B183" t="s">
        <v>691</v>
      </c>
      <c r="C183" t="s">
        <v>692</v>
      </c>
      <c r="D183" t="s">
        <v>130</v>
      </c>
      <c r="E183" t="s">
        <v>691</v>
      </c>
      <c r="F183" t="s">
        <v>28</v>
      </c>
      <c r="G183" t="s">
        <v>691</v>
      </c>
      <c r="H183" t="str">
        <f>"ztf-18"</f>
        <v>ztf-18</v>
      </c>
      <c r="I183" t="s">
        <v>130</v>
      </c>
      <c r="J183" t="s">
        <v>29</v>
      </c>
      <c r="K183">
        <v>11.508327310771101</v>
      </c>
      <c r="L183" t="s">
        <v>29</v>
      </c>
      <c r="M183" t="s">
        <v>29</v>
      </c>
      <c r="N183">
        <v>11.3453793123171</v>
      </c>
      <c r="O183" t="s">
        <v>29</v>
      </c>
      <c r="P183">
        <v>-0.162947998454017</v>
      </c>
      <c r="Q183">
        <v>-1.73751213982195</v>
      </c>
      <c r="R183">
        <v>1.41161614291391</v>
      </c>
      <c r="S183">
        <v>12.783393341002601</v>
      </c>
      <c r="T183">
        <v>-0.22804280106386399</v>
      </c>
      <c r="U183">
        <v>-6.3159269575505403</v>
      </c>
      <c r="V183">
        <v>0.82383623097591796</v>
      </c>
      <c r="W183">
        <v>0.992837538801569</v>
      </c>
      <c r="X183">
        <v>0</v>
      </c>
      <c r="Y183">
        <v>0</v>
      </c>
    </row>
    <row r="184" spans="1:25" x14ac:dyDescent="0.2">
      <c r="A184" t="s">
        <v>693</v>
      </c>
      <c r="B184" t="s">
        <v>694</v>
      </c>
      <c r="C184" t="s">
        <v>695</v>
      </c>
      <c r="D184" t="s">
        <v>696</v>
      </c>
      <c r="E184" t="s">
        <v>694</v>
      </c>
      <c r="F184" t="s">
        <v>28</v>
      </c>
      <c r="G184" t="s">
        <v>694</v>
      </c>
      <c r="H184" t="str">
        <f>"wars-2"</f>
        <v>wars-2</v>
      </c>
      <c r="I184" t="s">
        <v>696</v>
      </c>
      <c r="J184" t="s">
        <v>29</v>
      </c>
      <c r="K184">
        <v>9.6540454100667894</v>
      </c>
      <c r="L184" t="s">
        <v>29</v>
      </c>
      <c r="M184" t="s">
        <v>29</v>
      </c>
      <c r="N184">
        <v>10.1209394644514</v>
      </c>
      <c r="O184" t="s">
        <v>29</v>
      </c>
      <c r="P184">
        <v>0.46689405438465498</v>
      </c>
      <c r="Q184">
        <v>-1.2100159022638499</v>
      </c>
      <c r="R184">
        <v>2.14380401103316</v>
      </c>
      <c r="S184">
        <v>10.3816905931993</v>
      </c>
      <c r="T184">
        <v>0.660407678779243</v>
      </c>
      <c r="U184">
        <v>-6.1088297982631099</v>
      </c>
      <c r="V184">
        <v>0.530428086325752</v>
      </c>
      <c r="W184">
        <v>0.94347340668743696</v>
      </c>
      <c r="X184">
        <v>0</v>
      </c>
      <c r="Y184">
        <v>0</v>
      </c>
    </row>
    <row r="185" spans="1:25" x14ac:dyDescent="0.2">
      <c r="A185" t="s">
        <v>697</v>
      </c>
      <c r="B185" t="s">
        <v>698</v>
      </c>
      <c r="C185" t="s">
        <v>699</v>
      </c>
      <c r="D185" t="s">
        <v>700</v>
      </c>
      <c r="E185" t="s">
        <v>698</v>
      </c>
      <c r="F185" t="s">
        <v>28</v>
      </c>
      <c r="G185" t="s">
        <v>701</v>
      </c>
      <c r="H185" t="str">
        <f>"vha-2"</f>
        <v>vha-2</v>
      </c>
      <c r="I185" t="s">
        <v>702</v>
      </c>
      <c r="J185">
        <v>15.292373885452101</v>
      </c>
      <c r="K185">
        <v>15.6223166964692</v>
      </c>
      <c r="L185">
        <v>16.1259357773319</v>
      </c>
      <c r="M185">
        <v>16.085301329098801</v>
      </c>
      <c r="N185">
        <v>15.7092661167492</v>
      </c>
      <c r="O185">
        <v>15.8966870959582</v>
      </c>
      <c r="P185">
        <v>0.21687606085099301</v>
      </c>
      <c r="Q185">
        <v>-0.33394522039667501</v>
      </c>
      <c r="R185">
        <v>0.76769734209866103</v>
      </c>
      <c r="S185">
        <v>15.7452637148319</v>
      </c>
      <c r="T185">
        <v>0.82754842899887404</v>
      </c>
      <c r="U185">
        <v>-6.5314097476709696</v>
      </c>
      <c r="V185">
        <v>0.41882583277861002</v>
      </c>
      <c r="W185">
        <v>0.91512503332874395</v>
      </c>
      <c r="X185">
        <v>0</v>
      </c>
      <c r="Y185">
        <v>0</v>
      </c>
    </row>
    <row r="186" spans="1:25" x14ac:dyDescent="0.2">
      <c r="A186" t="s">
        <v>703</v>
      </c>
      <c r="B186" t="s">
        <v>704</v>
      </c>
      <c r="C186" t="s">
        <v>705</v>
      </c>
      <c r="D186" t="s">
        <v>706</v>
      </c>
      <c r="E186" t="s">
        <v>704</v>
      </c>
      <c r="F186" t="s">
        <v>28</v>
      </c>
      <c r="G186" t="s">
        <v>704</v>
      </c>
      <c r="H186" t="str">
        <f>"mrpl-46"</f>
        <v>mrpl-46</v>
      </c>
      <c r="I186" t="s">
        <v>706</v>
      </c>
      <c r="J186">
        <v>15.068567680621999</v>
      </c>
      <c r="K186">
        <v>15.0048844026221</v>
      </c>
      <c r="L186">
        <v>15.170048140534</v>
      </c>
      <c r="M186">
        <v>15.214080596449501</v>
      </c>
      <c r="N186">
        <v>15.113156266617199</v>
      </c>
      <c r="O186">
        <v>15.365724662233401</v>
      </c>
      <c r="P186">
        <v>0.14982043384063501</v>
      </c>
      <c r="Q186">
        <v>-0.33434479773075598</v>
      </c>
      <c r="R186">
        <v>0.63398566541202495</v>
      </c>
      <c r="S186">
        <v>14.843908713755599</v>
      </c>
      <c r="T186">
        <v>0.65317185738497197</v>
      </c>
      <c r="U186">
        <v>-6.6616814095325996</v>
      </c>
      <c r="V186">
        <v>0.52243570063363198</v>
      </c>
      <c r="W186">
        <v>0.94245155746843701</v>
      </c>
      <c r="X186">
        <v>0</v>
      </c>
      <c r="Y186">
        <v>0</v>
      </c>
    </row>
    <row r="187" spans="1:25" x14ac:dyDescent="0.2">
      <c r="A187" t="s">
        <v>707</v>
      </c>
      <c r="B187" t="s">
        <v>708</v>
      </c>
      <c r="C187" t="s">
        <v>14230</v>
      </c>
      <c r="D187" t="s">
        <v>368</v>
      </c>
      <c r="E187" t="s">
        <v>708</v>
      </c>
      <c r="F187" t="s">
        <v>28</v>
      </c>
      <c r="G187" t="s">
        <v>708</v>
      </c>
      <c r="H187" t="str">
        <f>"F40G9.5"</f>
        <v>F40G9.5</v>
      </c>
      <c r="I187" t="s">
        <v>368</v>
      </c>
      <c r="J187">
        <v>12.8290064192574</v>
      </c>
      <c r="K187">
        <v>12.693469575200499</v>
      </c>
      <c r="L187">
        <v>12.5909815294156</v>
      </c>
      <c r="M187">
        <v>12.7963014709661</v>
      </c>
      <c r="N187">
        <v>12.84979355646</v>
      </c>
      <c r="O187">
        <v>12.534391384154301</v>
      </c>
      <c r="P187">
        <v>2.2342962568966802E-2</v>
      </c>
      <c r="Q187">
        <v>-0.50520680301029197</v>
      </c>
      <c r="R187">
        <v>0.54989272814822598</v>
      </c>
      <c r="S187">
        <v>12.4145795259391</v>
      </c>
      <c r="T187">
        <v>8.9397904030743505E-2</v>
      </c>
      <c r="U187">
        <v>-6.8783016970086104</v>
      </c>
      <c r="V187">
        <v>0.92981690799583105</v>
      </c>
      <c r="W187">
        <v>0.99926809132575301</v>
      </c>
      <c r="X187">
        <v>0</v>
      </c>
      <c r="Y187">
        <v>0</v>
      </c>
    </row>
    <row r="188" spans="1:25" x14ac:dyDescent="0.2">
      <c r="A188" t="s">
        <v>709</v>
      </c>
      <c r="B188" t="s">
        <v>710</v>
      </c>
      <c r="C188" t="s">
        <v>711</v>
      </c>
      <c r="D188" t="s">
        <v>308</v>
      </c>
      <c r="E188" t="s">
        <v>710</v>
      </c>
      <c r="F188" t="s">
        <v>28</v>
      </c>
      <c r="G188" t="s">
        <v>710</v>
      </c>
      <c r="H188" t="str">
        <f>"dnj-16"</f>
        <v>dnj-16</v>
      </c>
      <c r="I188" t="s">
        <v>308</v>
      </c>
      <c r="J188" t="s">
        <v>29</v>
      </c>
      <c r="K188" t="s">
        <v>29</v>
      </c>
      <c r="L188" t="s">
        <v>29</v>
      </c>
      <c r="M188">
        <v>11.927886938655</v>
      </c>
      <c r="N188">
        <v>12.4481343269038</v>
      </c>
      <c r="O188">
        <v>11.853813193161001</v>
      </c>
      <c r="P188" t="s">
        <v>29</v>
      </c>
      <c r="Q188" t="s">
        <v>29</v>
      </c>
      <c r="R188" t="s">
        <v>29</v>
      </c>
      <c r="S188">
        <v>12.022282923342299</v>
      </c>
      <c r="T188" t="s">
        <v>29</v>
      </c>
      <c r="U188" t="s">
        <v>29</v>
      </c>
      <c r="V188" t="s">
        <v>29</v>
      </c>
      <c r="W188" t="s">
        <v>29</v>
      </c>
      <c r="X188" t="s">
        <v>29</v>
      </c>
      <c r="Y188" t="s">
        <v>29</v>
      </c>
    </row>
    <row r="189" spans="1:25" x14ac:dyDescent="0.2">
      <c r="A189" t="s">
        <v>712</v>
      </c>
      <c r="B189" t="s">
        <v>713</v>
      </c>
      <c r="C189" t="s">
        <v>714</v>
      </c>
      <c r="D189" t="s">
        <v>93</v>
      </c>
      <c r="E189" t="s">
        <v>713</v>
      </c>
      <c r="F189" t="s">
        <v>28</v>
      </c>
      <c r="G189" t="s">
        <v>713</v>
      </c>
      <c r="H189" t="str">
        <f>"cfim-2"</f>
        <v>cfim-2</v>
      </c>
      <c r="I189" t="s">
        <v>93</v>
      </c>
      <c r="J189">
        <v>11.9931854477384</v>
      </c>
      <c r="K189">
        <v>12.985910388092</v>
      </c>
      <c r="L189">
        <v>12.901469719962201</v>
      </c>
      <c r="M189">
        <v>12.2668337132513</v>
      </c>
      <c r="N189">
        <v>12.5566548402549</v>
      </c>
      <c r="O189">
        <v>12.7955917035654</v>
      </c>
      <c r="P189">
        <v>-8.7161766240337002E-2</v>
      </c>
      <c r="Q189">
        <v>-0.69534927799318202</v>
      </c>
      <c r="R189">
        <v>0.52102574551250802</v>
      </c>
      <c r="S189">
        <v>12.777832198747401</v>
      </c>
      <c r="T189">
        <v>-0.30250916513962001</v>
      </c>
      <c r="U189">
        <v>-6.8346558192390496</v>
      </c>
      <c r="V189">
        <v>0.765956577456258</v>
      </c>
      <c r="W189">
        <v>0.99278624068726296</v>
      </c>
      <c r="X189">
        <v>0</v>
      </c>
      <c r="Y189">
        <v>0</v>
      </c>
    </row>
    <row r="190" spans="1:25" x14ac:dyDescent="0.2">
      <c r="A190" t="s">
        <v>715</v>
      </c>
      <c r="B190" t="s">
        <v>716</v>
      </c>
      <c r="C190" t="s">
        <v>717</v>
      </c>
      <c r="D190" t="s">
        <v>718</v>
      </c>
      <c r="E190" t="s">
        <v>716</v>
      </c>
      <c r="F190" t="s">
        <v>28</v>
      </c>
      <c r="G190" t="s">
        <v>716</v>
      </c>
      <c r="H190" t="str">
        <f>"thoc-5"</f>
        <v>thoc-5</v>
      </c>
      <c r="I190" t="s">
        <v>718</v>
      </c>
      <c r="J190">
        <v>13.220205358242101</v>
      </c>
      <c r="K190">
        <v>13.306239019002501</v>
      </c>
      <c r="L190">
        <v>13.450658026659999</v>
      </c>
      <c r="M190">
        <v>13.761730854533299</v>
      </c>
      <c r="N190">
        <v>13.653727477717799</v>
      </c>
      <c r="O190">
        <v>13.755082058869601</v>
      </c>
      <c r="P190">
        <v>0.39781266240539298</v>
      </c>
      <c r="Q190">
        <v>3.9453368024718903E-2</v>
      </c>
      <c r="R190">
        <v>0.75617195678606697</v>
      </c>
      <c r="S190">
        <v>13.543802373772801</v>
      </c>
      <c r="T190">
        <v>2.33320255319527</v>
      </c>
      <c r="U190">
        <v>-4.4028400395031504</v>
      </c>
      <c r="V190">
        <v>3.1511027036475597E-2</v>
      </c>
      <c r="W190">
        <v>0.38454578694047797</v>
      </c>
      <c r="X190">
        <v>0</v>
      </c>
      <c r="Y190">
        <v>0</v>
      </c>
    </row>
    <row r="191" spans="1:25" x14ac:dyDescent="0.2">
      <c r="A191" t="s">
        <v>719</v>
      </c>
      <c r="B191" t="s">
        <v>720</v>
      </c>
      <c r="C191" t="s">
        <v>721</v>
      </c>
      <c r="D191" t="s">
        <v>304</v>
      </c>
      <c r="E191" t="s">
        <v>720</v>
      </c>
      <c r="F191" t="s">
        <v>28</v>
      </c>
      <c r="G191" t="s">
        <v>720</v>
      </c>
      <c r="H191" t="str">
        <f>"smg-3"</f>
        <v>smg-3</v>
      </c>
      <c r="I191" t="s">
        <v>304</v>
      </c>
      <c r="J191">
        <v>12.7079632612773</v>
      </c>
      <c r="K191">
        <v>12.254736698743001</v>
      </c>
      <c r="L191">
        <v>12.554194841900101</v>
      </c>
      <c r="M191">
        <v>12.552896732233201</v>
      </c>
      <c r="N191">
        <v>12.712119255559401</v>
      </c>
      <c r="O191">
        <v>12.6006927609582</v>
      </c>
      <c r="P191">
        <v>0.116271315610119</v>
      </c>
      <c r="Q191">
        <v>-0.27704983811565198</v>
      </c>
      <c r="R191">
        <v>0.50959246933588898</v>
      </c>
      <c r="S191">
        <v>12.464438717969699</v>
      </c>
      <c r="T191">
        <v>0.62701049754625904</v>
      </c>
      <c r="U191">
        <v>-6.6782474181028402</v>
      </c>
      <c r="V191">
        <v>0.53955487867331098</v>
      </c>
      <c r="W191">
        <v>0.94712119647965798</v>
      </c>
      <c r="X191">
        <v>0</v>
      </c>
      <c r="Y191">
        <v>0</v>
      </c>
    </row>
    <row r="192" spans="1:25" x14ac:dyDescent="0.2">
      <c r="A192" t="s">
        <v>722</v>
      </c>
      <c r="B192" t="s">
        <v>723</v>
      </c>
      <c r="C192" t="s">
        <v>724</v>
      </c>
      <c r="D192" t="s">
        <v>725</v>
      </c>
      <c r="E192" t="s">
        <v>723</v>
      </c>
      <c r="F192" t="s">
        <v>28</v>
      </c>
      <c r="G192" t="s">
        <v>723</v>
      </c>
      <c r="H192" t="str">
        <f>"sao-1"</f>
        <v>sao-1</v>
      </c>
      <c r="I192" t="s">
        <v>725</v>
      </c>
      <c r="J192">
        <v>13.551506205368399</v>
      </c>
      <c r="K192">
        <v>13.3271287236505</v>
      </c>
      <c r="L192">
        <v>14.184705689855701</v>
      </c>
      <c r="M192">
        <v>13.5281790980347</v>
      </c>
      <c r="N192">
        <v>14.279324548464301</v>
      </c>
      <c r="O192">
        <v>13.891563073927401</v>
      </c>
      <c r="P192">
        <v>0.21190870051729499</v>
      </c>
      <c r="Q192">
        <v>-0.89839224646003601</v>
      </c>
      <c r="R192">
        <v>1.3222096474946301</v>
      </c>
      <c r="S192">
        <v>14.139569357686399</v>
      </c>
      <c r="T192">
        <v>0.40114426828427902</v>
      </c>
      <c r="U192">
        <v>-6.7987905373914401</v>
      </c>
      <c r="V192">
        <v>0.69306340471855399</v>
      </c>
      <c r="W192">
        <v>0.98642420921484297</v>
      </c>
      <c r="X192">
        <v>0</v>
      </c>
      <c r="Y192">
        <v>0</v>
      </c>
    </row>
    <row r="193" spans="1:25" x14ac:dyDescent="0.2">
      <c r="A193" t="s">
        <v>726</v>
      </c>
      <c r="B193" t="s">
        <v>727</v>
      </c>
      <c r="C193" t="s">
        <v>14231</v>
      </c>
      <c r="D193" t="s">
        <v>514</v>
      </c>
      <c r="E193" t="s">
        <v>727</v>
      </c>
      <c r="F193" t="s">
        <v>28</v>
      </c>
      <c r="G193" t="s">
        <v>727</v>
      </c>
      <c r="H193" t="str">
        <f>"W02D9.2"</f>
        <v>W02D9.2</v>
      </c>
      <c r="I193" t="s">
        <v>514</v>
      </c>
      <c r="J193">
        <v>11.795457107000001</v>
      </c>
      <c r="K193" t="s">
        <v>29</v>
      </c>
      <c r="L193" t="s">
        <v>29</v>
      </c>
      <c r="M193">
        <v>11.409630227277599</v>
      </c>
      <c r="N193" t="s">
        <v>29</v>
      </c>
      <c r="O193" t="s">
        <v>29</v>
      </c>
      <c r="P193">
        <v>-0.385826879722448</v>
      </c>
      <c r="Q193">
        <v>-1.16801630726094</v>
      </c>
      <c r="R193">
        <v>0.39636254781605001</v>
      </c>
      <c r="S193">
        <v>11.591384227472201</v>
      </c>
      <c r="T193">
        <v>-1.1006454171821201</v>
      </c>
      <c r="U193">
        <v>-5.7344072606095597</v>
      </c>
      <c r="V193">
        <v>0.29710477228402399</v>
      </c>
      <c r="W193">
        <v>0.85855590823088301</v>
      </c>
      <c r="X193">
        <v>0</v>
      </c>
      <c r="Y193">
        <v>0</v>
      </c>
    </row>
    <row r="194" spans="1:25" x14ac:dyDescent="0.2">
      <c r="A194" t="s">
        <v>728</v>
      </c>
      <c r="B194" t="s">
        <v>729</v>
      </c>
      <c r="C194" t="s">
        <v>14232</v>
      </c>
      <c r="D194" t="s">
        <v>730</v>
      </c>
      <c r="E194" t="s">
        <v>729</v>
      </c>
      <c r="F194" t="s">
        <v>28</v>
      </c>
      <c r="G194" t="s">
        <v>729</v>
      </c>
      <c r="H194" t="str">
        <f>"D1086.11"</f>
        <v>D1086.11</v>
      </c>
      <c r="I194" t="s">
        <v>730</v>
      </c>
      <c r="J194" t="s">
        <v>29</v>
      </c>
      <c r="K194" t="s">
        <v>29</v>
      </c>
      <c r="L194">
        <v>11.544403435268199</v>
      </c>
      <c r="M194">
        <v>9.6388577353969502</v>
      </c>
      <c r="N194">
        <v>10.564748445902801</v>
      </c>
      <c r="O194">
        <v>11.5843364836928</v>
      </c>
      <c r="P194">
        <v>-0.94842254693732797</v>
      </c>
      <c r="Q194">
        <v>-2.7149389077640098</v>
      </c>
      <c r="R194">
        <v>0.81809381388935098</v>
      </c>
      <c r="S194">
        <v>11.508017701391401</v>
      </c>
      <c r="T194">
        <v>-1.1450535874365799</v>
      </c>
      <c r="U194">
        <v>-5.8848168058766603</v>
      </c>
      <c r="V194">
        <v>0.27025306531144999</v>
      </c>
      <c r="W194">
        <v>0.856190392347986</v>
      </c>
      <c r="X194">
        <v>0</v>
      </c>
      <c r="Y194">
        <v>0</v>
      </c>
    </row>
    <row r="195" spans="1:25" x14ac:dyDescent="0.2">
      <c r="A195" t="s">
        <v>731</v>
      </c>
      <c r="B195" t="s">
        <v>732</v>
      </c>
      <c r="C195" t="s">
        <v>733</v>
      </c>
      <c r="D195" t="s">
        <v>734</v>
      </c>
      <c r="E195" t="s">
        <v>732</v>
      </c>
      <c r="F195" t="s">
        <v>28</v>
      </c>
      <c r="G195" t="s">
        <v>732</v>
      </c>
      <c r="H195" t="str">
        <f>"tspo-1"</f>
        <v>tspo-1</v>
      </c>
      <c r="I195" t="s">
        <v>734</v>
      </c>
      <c r="J195">
        <v>14.133937834789901</v>
      </c>
      <c r="K195">
        <v>14.330766256709801</v>
      </c>
      <c r="L195">
        <v>14.618223442207199</v>
      </c>
      <c r="M195">
        <v>14.439315938070999</v>
      </c>
      <c r="N195">
        <v>13.8200703069315</v>
      </c>
      <c r="O195">
        <v>14.5491256738225</v>
      </c>
      <c r="P195">
        <v>-9.1471871627309298E-2</v>
      </c>
      <c r="Q195">
        <v>-1.1600638217230299</v>
      </c>
      <c r="R195">
        <v>0.97712007846841398</v>
      </c>
      <c r="S195">
        <v>14.0089447380224</v>
      </c>
      <c r="T195">
        <v>-0.180686489535963</v>
      </c>
      <c r="U195">
        <v>-6.86539450739052</v>
      </c>
      <c r="V195">
        <v>0.85876336920396901</v>
      </c>
      <c r="W195">
        <v>0.99370971747667503</v>
      </c>
      <c r="X195">
        <v>0</v>
      </c>
      <c r="Y195">
        <v>0</v>
      </c>
    </row>
    <row r="196" spans="1:25" x14ac:dyDescent="0.2">
      <c r="A196" t="s">
        <v>735</v>
      </c>
      <c r="B196" t="s">
        <v>736</v>
      </c>
      <c r="C196" t="s">
        <v>14233</v>
      </c>
      <c r="D196" t="s">
        <v>737</v>
      </c>
      <c r="E196" t="s">
        <v>736</v>
      </c>
      <c r="F196" t="s">
        <v>28</v>
      </c>
      <c r="G196" t="s">
        <v>736</v>
      </c>
      <c r="H196" t="str">
        <f>"H06I04.6"</f>
        <v>H06I04.6</v>
      </c>
      <c r="I196" t="s">
        <v>737</v>
      </c>
      <c r="J196">
        <v>12.3189994534217</v>
      </c>
      <c r="K196" t="s">
        <v>29</v>
      </c>
      <c r="L196">
        <v>12.927378813190799</v>
      </c>
      <c r="M196" t="s">
        <v>29</v>
      </c>
      <c r="N196" t="s">
        <v>29</v>
      </c>
      <c r="O196" t="s">
        <v>29</v>
      </c>
      <c r="P196" t="s">
        <v>29</v>
      </c>
      <c r="Q196" t="s">
        <v>29</v>
      </c>
      <c r="R196" t="s">
        <v>29</v>
      </c>
      <c r="S196">
        <v>13.158261907745199</v>
      </c>
      <c r="T196" t="s">
        <v>29</v>
      </c>
      <c r="U196" t="s">
        <v>29</v>
      </c>
      <c r="V196" t="s">
        <v>29</v>
      </c>
      <c r="W196" t="s">
        <v>29</v>
      </c>
      <c r="X196" t="s">
        <v>29</v>
      </c>
      <c r="Y196" t="s">
        <v>29</v>
      </c>
    </row>
    <row r="197" spans="1:25" x14ac:dyDescent="0.2">
      <c r="A197" t="s">
        <v>738</v>
      </c>
      <c r="B197" t="s">
        <v>739</v>
      </c>
      <c r="C197" t="s">
        <v>740</v>
      </c>
      <c r="D197" t="s">
        <v>741</v>
      </c>
      <c r="E197" t="s">
        <v>739</v>
      </c>
      <c r="F197" t="s">
        <v>28</v>
      </c>
      <c r="G197" t="s">
        <v>739</v>
      </c>
      <c r="H197" t="str">
        <f>"pqn-41"</f>
        <v>pqn-41</v>
      </c>
      <c r="I197" t="s">
        <v>741</v>
      </c>
      <c r="J197">
        <v>11.0031757699834</v>
      </c>
      <c r="K197">
        <v>11.397350079688801</v>
      </c>
      <c r="L197" t="s">
        <v>29</v>
      </c>
      <c r="M197" t="s">
        <v>29</v>
      </c>
      <c r="N197">
        <v>10.6428787036392</v>
      </c>
      <c r="O197" t="s">
        <v>29</v>
      </c>
      <c r="P197">
        <v>-0.55738422119689601</v>
      </c>
      <c r="Q197">
        <v>-1.18207554632489</v>
      </c>
      <c r="R197">
        <v>6.7307103931100495E-2</v>
      </c>
      <c r="S197">
        <v>11.277108912738999</v>
      </c>
      <c r="T197">
        <v>-1.9661510904280699</v>
      </c>
      <c r="U197">
        <v>-4.7254928391163</v>
      </c>
      <c r="V197">
        <v>7.5274854412123601E-2</v>
      </c>
      <c r="W197">
        <v>0.58944638937305305</v>
      </c>
      <c r="X197">
        <v>0</v>
      </c>
      <c r="Y197">
        <v>0</v>
      </c>
    </row>
    <row r="198" spans="1:25" x14ac:dyDescent="0.2">
      <c r="A198" t="s">
        <v>742</v>
      </c>
      <c r="B198" t="s">
        <v>743</v>
      </c>
      <c r="C198" t="s">
        <v>744</v>
      </c>
      <c r="D198" t="s">
        <v>745</v>
      </c>
      <c r="E198" t="s">
        <v>743</v>
      </c>
      <c r="F198" t="s">
        <v>28</v>
      </c>
      <c r="G198" t="s">
        <v>743</v>
      </c>
      <c r="H198" t="str">
        <f>"pola-1"</f>
        <v>pola-1</v>
      </c>
      <c r="I198" t="s">
        <v>745</v>
      </c>
      <c r="J198">
        <v>13.3792555802676</v>
      </c>
      <c r="K198">
        <v>13.350241392625</v>
      </c>
      <c r="L198">
        <v>13.2180346670449</v>
      </c>
      <c r="M198">
        <v>13.618617653462399</v>
      </c>
      <c r="N198">
        <v>13.722300995663</v>
      </c>
      <c r="O198">
        <v>13.737031250934599</v>
      </c>
      <c r="P198">
        <v>0.37680608670746302</v>
      </c>
      <c r="Q198">
        <v>-3.6646069808513801E-2</v>
      </c>
      <c r="R198">
        <v>0.79025824322343896</v>
      </c>
      <c r="S198">
        <v>13.452940607277499</v>
      </c>
      <c r="T198">
        <v>1.9330459507373801</v>
      </c>
      <c r="U198">
        <v>-5.1193375234551102</v>
      </c>
      <c r="V198">
        <v>7.1247049538705004E-2</v>
      </c>
      <c r="W198">
        <v>0.57411666068961398</v>
      </c>
      <c r="X198">
        <v>0</v>
      </c>
      <c r="Y198">
        <v>0</v>
      </c>
    </row>
    <row r="199" spans="1:25" x14ac:dyDescent="0.2">
      <c r="A199" t="s">
        <v>746</v>
      </c>
      <c r="B199" t="s">
        <v>747</v>
      </c>
      <c r="C199" t="s">
        <v>14234</v>
      </c>
      <c r="D199" t="s">
        <v>368</v>
      </c>
      <c r="E199" t="s">
        <v>747</v>
      </c>
      <c r="F199" t="s">
        <v>28</v>
      </c>
      <c r="G199" t="s">
        <v>747</v>
      </c>
      <c r="H199" t="str">
        <f>"ZK1058.9"</f>
        <v>ZK1058.9</v>
      </c>
      <c r="I199" t="s">
        <v>368</v>
      </c>
      <c r="J199">
        <v>14.792740023764299</v>
      </c>
      <c r="K199">
        <v>14.999037109270001</v>
      </c>
      <c r="L199">
        <v>15.479583782748101</v>
      </c>
      <c r="M199">
        <v>14.8307773766242</v>
      </c>
      <c r="N199">
        <v>14.8054891318048</v>
      </c>
      <c r="O199">
        <v>14.849892563342699</v>
      </c>
      <c r="P199">
        <v>-0.26173394800357402</v>
      </c>
      <c r="Q199">
        <v>-0.77140747395470699</v>
      </c>
      <c r="R199">
        <v>0.24793957794756</v>
      </c>
      <c r="S199">
        <v>15.343523609172401</v>
      </c>
      <c r="T199">
        <v>-1.0793455211820999</v>
      </c>
      <c r="U199">
        <v>-6.2929754805664899</v>
      </c>
      <c r="V199">
        <v>0.29476739246884998</v>
      </c>
      <c r="W199">
        <v>0.85855590823088301</v>
      </c>
      <c r="X199">
        <v>0</v>
      </c>
      <c r="Y199">
        <v>0</v>
      </c>
    </row>
    <row r="200" spans="1:25" x14ac:dyDescent="0.2">
      <c r="A200" t="s">
        <v>748</v>
      </c>
      <c r="B200" t="s">
        <v>749</v>
      </c>
      <c r="C200" t="s">
        <v>14235</v>
      </c>
      <c r="D200" t="s">
        <v>750</v>
      </c>
      <c r="E200" t="s">
        <v>749</v>
      </c>
      <c r="F200" t="s">
        <v>28</v>
      </c>
      <c r="G200" t="s">
        <v>749</v>
      </c>
      <c r="H200" t="str">
        <f>"Y116A8C.10"</f>
        <v>Y116A8C.10</v>
      </c>
      <c r="I200" t="s">
        <v>750</v>
      </c>
      <c r="J200" t="s">
        <v>29</v>
      </c>
      <c r="K200" t="s">
        <v>29</v>
      </c>
      <c r="L200" t="s">
        <v>29</v>
      </c>
      <c r="M200" t="s">
        <v>29</v>
      </c>
      <c r="N200" t="s">
        <v>29</v>
      </c>
      <c r="O200">
        <v>10.0048990776365</v>
      </c>
      <c r="P200" t="s">
        <v>29</v>
      </c>
      <c r="Q200" t="s">
        <v>29</v>
      </c>
      <c r="R200" t="s">
        <v>29</v>
      </c>
      <c r="S200">
        <v>10.8588080997971</v>
      </c>
      <c r="T200" t="s">
        <v>29</v>
      </c>
      <c r="U200" t="s">
        <v>29</v>
      </c>
      <c r="V200" t="s">
        <v>29</v>
      </c>
      <c r="W200" t="s">
        <v>29</v>
      </c>
      <c r="X200" t="s">
        <v>29</v>
      </c>
      <c r="Y200" t="s">
        <v>29</v>
      </c>
    </row>
    <row r="201" spans="1:25" x14ac:dyDescent="0.2">
      <c r="A201" t="s">
        <v>751</v>
      </c>
      <c r="B201" t="s">
        <v>752</v>
      </c>
      <c r="C201" t="s">
        <v>753</v>
      </c>
      <c r="D201" t="s">
        <v>754</v>
      </c>
      <c r="E201" t="s">
        <v>752</v>
      </c>
      <c r="F201" t="s">
        <v>28</v>
      </c>
      <c r="G201" t="s">
        <v>752</v>
      </c>
      <c r="H201" t="str">
        <f>"laf-1"</f>
        <v>laf-1</v>
      </c>
      <c r="I201" t="s">
        <v>754</v>
      </c>
      <c r="J201">
        <v>18.203558081856801</v>
      </c>
      <c r="K201">
        <v>18.609690555733</v>
      </c>
      <c r="L201">
        <v>18.855208178549699</v>
      </c>
      <c r="M201">
        <v>18.302702228011501</v>
      </c>
      <c r="N201">
        <v>18.435801910455702</v>
      </c>
      <c r="O201">
        <v>18.455544287380899</v>
      </c>
      <c r="P201">
        <v>-0.15813613009717301</v>
      </c>
      <c r="Q201">
        <v>-0.60662752689932897</v>
      </c>
      <c r="R201">
        <v>0.29035526670498302</v>
      </c>
      <c r="S201">
        <v>18.776394295197299</v>
      </c>
      <c r="T201">
        <v>-0.74108752571024605</v>
      </c>
      <c r="U201">
        <v>-6.5998879191503104</v>
      </c>
      <c r="V201">
        <v>0.468254610872329</v>
      </c>
      <c r="W201">
        <v>0.92978583625257705</v>
      </c>
      <c r="X201">
        <v>0</v>
      </c>
      <c r="Y201">
        <v>0</v>
      </c>
    </row>
    <row r="202" spans="1:25" x14ac:dyDescent="0.2">
      <c r="A202" t="s">
        <v>755</v>
      </c>
      <c r="B202" t="s">
        <v>756</v>
      </c>
      <c r="C202" t="s">
        <v>757</v>
      </c>
      <c r="D202" t="s">
        <v>758</v>
      </c>
      <c r="E202" t="s">
        <v>756</v>
      </c>
      <c r="F202" t="s">
        <v>28</v>
      </c>
      <c r="G202" t="s">
        <v>756</v>
      </c>
      <c r="H202" t="str">
        <f>"fln-2"</f>
        <v>fln-2</v>
      </c>
      <c r="I202" t="s">
        <v>758</v>
      </c>
      <c r="J202">
        <v>14.478208477083299</v>
      </c>
      <c r="K202">
        <v>14.9566417813509</v>
      </c>
      <c r="L202">
        <v>14.925909545466199</v>
      </c>
      <c r="M202">
        <v>17.3165899941954</v>
      </c>
      <c r="N202">
        <v>17.257620190733</v>
      </c>
      <c r="O202">
        <v>17.543331179536398</v>
      </c>
      <c r="P202">
        <v>2.5855938535214902</v>
      </c>
      <c r="Q202">
        <v>1.94700974421566</v>
      </c>
      <c r="R202">
        <v>3.22417796282731</v>
      </c>
      <c r="S202">
        <v>15.883805864123</v>
      </c>
      <c r="T202">
        <v>8.5101009641398306</v>
      </c>
      <c r="U202">
        <v>8.0250133836063409</v>
      </c>
      <c r="V202" s="2">
        <v>1.0514116063890399E-7</v>
      </c>
      <c r="W202" s="2">
        <v>1.5904990118466899E-5</v>
      </c>
      <c r="X202">
        <v>1</v>
      </c>
      <c r="Y202">
        <v>1</v>
      </c>
    </row>
    <row r="203" spans="1:25" x14ac:dyDescent="0.2">
      <c r="A203" t="s">
        <v>759</v>
      </c>
      <c r="B203" t="s">
        <v>760</v>
      </c>
      <c r="C203" t="s">
        <v>761</v>
      </c>
      <c r="D203" t="s">
        <v>762</v>
      </c>
      <c r="E203" t="s">
        <v>760</v>
      </c>
      <c r="F203" t="s">
        <v>28</v>
      </c>
      <c r="G203" t="s">
        <v>760</v>
      </c>
      <c r="H203" t="str">
        <f>"tdp-1"</f>
        <v>tdp-1</v>
      </c>
      <c r="I203" t="s">
        <v>762</v>
      </c>
      <c r="J203">
        <v>13.483921303622999</v>
      </c>
      <c r="K203">
        <v>13.977061643172901</v>
      </c>
      <c r="L203">
        <v>13.7015580679699</v>
      </c>
      <c r="M203">
        <v>13.375079889595501</v>
      </c>
      <c r="N203">
        <v>13.6338723338181</v>
      </c>
      <c r="O203">
        <v>13.8802379298247</v>
      </c>
      <c r="P203">
        <v>-9.1116953842483597E-2</v>
      </c>
      <c r="Q203">
        <v>-0.75049512969564602</v>
      </c>
      <c r="R203">
        <v>0.56826122201067797</v>
      </c>
      <c r="S203">
        <v>13.7175744939096</v>
      </c>
      <c r="T203">
        <v>-0.29044047389820699</v>
      </c>
      <c r="U203">
        <v>-6.8385185216621602</v>
      </c>
      <c r="V203">
        <v>0.77481826920976604</v>
      </c>
      <c r="W203">
        <v>0.99278624068726296</v>
      </c>
      <c r="X203">
        <v>0</v>
      </c>
      <c r="Y203">
        <v>0</v>
      </c>
    </row>
    <row r="204" spans="1:25" x14ac:dyDescent="0.2">
      <c r="A204" t="s">
        <v>763</v>
      </c>
      <c r="B204" t="s">
        <v>764</v>
      </c>
      <c r="C204" t="s">
        <v>765</v>
      </c>
      <c r="D204" t="s">
        <v>766</v>
      </c>
      <c r="E204" t="s">
        <v>764</v>
      </c>
      <c r="F204" t="s">
        <v>28</v>
      </c>
      <c r="G204" t="s">
        <v>764</v>
      </c>
      <c r="H204" t="str">
        <f>"gcn-2"</f>
        <v>gcn-2</v>
      </c>
      <c r="I204" t="s">
        <v>766</v>
      </c>
      <c r="J204">
        <v>11.307321971629399</v>
      </c>
      <c r="K204" t="s">
        <v>29</v>
      </c>
      <c r="L204" t="s">
        <v>29</v>
      </c>
      <c r="M204">
        <v>10.7688978705464</v>
      </c>
      <c r="N204">
        <v>11.4932685347953</v>
      </c>
      <c r="O204" t="s">
        <v>29</v>
      </c>
      <c r="P204">
        <v>-0.17623876895853199</v>
      </c>
      <c r="Q204">
        <v>-1.1033786528273699</v>
      </c>
      <c r="R204">
        <v>0.75090111491030498</v>
      </c>
      <c r="S204">
        <v>11.2815628097546</v>
      </c>
      <c r="T204">
        <v>-0.41457317637900898</v>
      </c>
      <c r="U204">
        <v>-6.39306613652185</v>
      </c>
      <c r="V204">
        <v>0.68583299210180904</v>
      </c>
      <c r="W204">
        <v>0.98642420921484297</v>
      </c>
      <c r="X204">
        <v>0</v>
      </c>
      <c r="Y204">
        <v>0</v>
      </c>
    </row>
    <row r="205" spans="1:25" x14ac:dyDescent="0.2">
      <c r="A205" t="s">
        <v>767</v>
      </c>
      <c r="B205" t="s">
        <v>768</v>
      </c>
      <c r="C205" t="s">
        <v>14236</v>
      </c>
      <c r="D205" t="s">
        <v>107</v>
      </c>
      <c r="E205" t="s">
        <v>768</v>
      </c>
      <c r="F205" t="s">
        <v>28</v>
      </c>
      <c r="G205" t="s">
        <v>768</v>
      </c>
      <c r="H205" t="str">
        <f>"T27D12.1"</f>
        <v>T27D12.1</v>
      </c>
      <c r="I205" t="s">
        <v>107</v>
      </c>
      <c r="J205" t="s">
        <v>29</v>
      </c>
      <c r="K205">
        <v>12.7648425398153</v>
      </c>
      <c r="L205">
        <v>12.310004910864301</v>
      </c>
      <c r="M205" t="s">
        <v>29</v>
      </c>
      <c r="N205">
        <v>12.2766749360253</v>
      </c>
      <c r="O205">
        <v>12.5039378802682</v>
      </c>
      <c r="P205">
        <v>-0.147117317193038</v>
      </c>
      <c r="Q205">
        <v>-0.73121679649357096</v>
      </c>
      <c r="R205">
        <v>0.43698216210749502</v>
      </c>
      <c r="S205">
        <v>12.224401131443001</v>
      </c>
      <c r="T205">
        <v>-0.54458317791903599</v>
      </c>
      <c r="U205">
        <v>-6.5268102924071103</v>
      </c>
      <c r="V205">
        <v>0.59533287721729899</v>
      </c>
      <c r="W205">
        <v>0.96600088511905002</v>
      </c>
      <c r="X205">
        <v>0</v>
      </c>
      <c r="Y205">
        <v>0</v>
      </c>
    </row>
    <row r="206" spans="1:25" x14ac:dyDescent="0.2">
      <c r="A206" t="s">
        <v>769</v>
      </c>
      <c r="B206" t="s">
        <v>770</v>
      </c>
      <c r="C206" t="s">
        <v>771</v>
      </c>
      <c r="D206" t="s">
        <v>772</v>
      </c>
      <c r="E206" t="s">
        <v>770</v>
      </c>
      <c r="F206" t="s">
        <v>28</v>
      </c>
      <c r="G206" t="s">
        <v>770</v>
      </c>
      <c r="H206" t="str">
        <f>"ech-2"</f>
        <v>ech-2</v>
      </c>
      <c r="I206" t="s">
        <v>772</v>
      </c>
      <c r="J206">
        <v>13.388482291831799</v>
      </c>
      <c r="K206">
        <v>13.4020509972037</v>
      </c>
      <c r="L206">
        <v>13.3803472520135</v>
      </c>
      <c r="M206">
        <v>12.356805646183</v>
      </c>
      <c r="N206">
        <v>13.624771816416599</v>
      </c>
      <c r="O206">
        <v>13.078459227906601</v>
      </c>
      <c r="P206">
        <v>-0.37028128351429102</v>
      </c>
      <c r="Q206">
        <v>-0.97557563420590299</v>
      </c>
      <c r="R206">
        <v>0.23501306717732001</v>
      </c>
      <c r="S206">
        <v>13.381630813428099</v>
      </c>
      <c r="T206">
        <v>-1.2975218191484299</v>
      </c>
      <c r="U206">
        <v>-6.0412517613149701</v>
      </c>
      <c r="V206">
        <v>0.212967606524157</v>
      </c>
      <c r="W206">
        <v>0.79508962856638699</v>
      </c>
      <c r="X206">
        <v>0</v>
      </c>
      <c r="Y206">
        <v>0</v>
      </c>
    </row>
    <row r="207" spans="1:25" x14ac:dyDescent="0.2">
      <c r="A207" t="s">
        <v>773</v>
      </c>
      <c r="B207" t="s">
        <v>774</v>
      </c>
      <c r="C207" t="s">
        <v>775</v>
      </c>
      <c r="D207" t="s">
        <v>776</v>
      </c>
      <c r="E207" t="s">
        <v>774</v>
      </c>
      <c r="F207" t="s">
        <v>28</v>
      </c>
      <c r="G207" t="s">
        <v>774</v>
      </c>
      <c r="H207" t="str">
        <f>"dsb-2"</f>
        <v>dsb-2</v>
      </c>
      <c r="I207" t="s">
        <v>776</v>
      </c>
      <c r="J207" t="s">
        <v>29</v>
      </c>
      <c r="K207" t="s">
        <v>29</v>
      </c>
      <c r="L207" t="s">
        <v>29</v>
      </c>
      <c r="M207" t="s">
        <v>29</v>
      </c>
      <c r="N207" t="s">
        <v>29</v>
      </c>
      <c r="O207" t="s">
        <v>29</v>
      </c>
      <c r="P207" t="s">
        <v>29</v>
      </c>
      <c r="Q207" t="s">
        <v>29</v>
      </c>
      <c r="R207" t="s">
        <v>29</v>
      </c>
      <c r="S207">
        <v>10.5622636086425</v>
      </c>
      <c r="T207" t="s">
        <v>29</v>
      </c>
      <c r="U207" t="s">
        <v>29</v>
      </c>
      <c r="V207" t="s">
        <v>29</v>
      </c>
      <c r="W207" t="s">
        <v>29</v>
      </c>
      <c r="X207" t="s">
        <v>29</v>
      </c>
      <c r="Y207" t="s">
        <v>29</v>
      </c>
    </row>
    <row r="208" spans="1:25" x14ac:dyDescent="0.2">
      <c r="A208" t="s">
        <v>777</v>
      </c>
      <c r="B208" t="s">
        <v>778</v>
      </c>
      <c r="C208" t="s">
        <v>779</v>
      </c>
      <c r="D208" t="s">
        <v>780</v>
      </c>
      <c r="E208" t="s">
        <v>778</v>
      </c>
      <c r="F208" t="s">
        <v>28</v>
      </c>
      <c r="G208" t="s">
        <v>778</v>
      </c>
      <c r="H208" t="str">
        <f>"bca-2"</f>
        <v>bca-2</v>
      </c>
      <c r="I208" t="s">
        <v>780</v>
      </c>
      <c r="J208" t="s">
        <v>29</v>
      </c>
      <c r="K208" t="s">
        <v>29</v>
      </c>
      <c r="L208">
        <v>13.7045364613502</v>
      </c>
      <c r="M208">
        <v>13.551618398097199</v>
      </c>
      <c r="N208">
        <v>13.735395946992799</v>
      </c>
      <c r="O208" t="s">
        <v>29</v>
      </c>
      <c r="P208">
        <v>-6.1029288805244199E-2</v>
      </c>
      <c r="Q208">
        <v>-0.80491561876640405</v>
      </c>
      <c r="R208">
        <v>0.68285704115591594</v>
      </c>
      <c r="S208">
        <v>13.3803765062408</v>
      </c>
      <c r="T208">
        <v>-0.18078376400066201</v>
      </c>
      <c r="U208">
        <v>-6.4660204078589603</v>
      </c>
      <c r="V208">
        <v>0.85985629346116699</v>
      </c>
      <c r="W208">
        <v>0.99370971747667503</v>
      </c>
      <c r="X208">
        <v>0</v>
      </c>
      <c r="Y208">
        <v>0</v>
      </c>
    </row>
    <row r="209" spans="1:25" x14ac:dyDescent="0.2">
      <c r="A209" t="s">
        <v>781</v>
      </c>
      <c r="B209" t="s">
        <v>782</v>
      </c>
      <c r="C209" t="s">
        <v>783</v>
      </c>
      <c r="D209" t="s">
        <v>784</v>
      </c>
      <c r="E209" t="s">
        <v>782</v>
      </c>
      <c r="F209" t="s">
        <v>28</v>
      </c>
      <c r="G209" t="s">
        <v>782</v>
      </c>
      <c r="H209" t="str">
        <f>"elli-1"</f>
        <v>elli-1</v>
      </c>
      <c r="I209" t="s">
        <v>784</v>
      </c>
      <c r="J209">
        <v>9.8611278675839902</v>
      </c>
      <c r="K209">
        <v>9.8964021774208604</v>
      </c>
      <c r="L209">
        <v>11.0593323334183</v>
      </c>
      <c r="M209" t="s">
        <v>29</v>
      </c>
      <c r="N209">
        <v>10.895417926739899</v>
      </c>
      <c r="O209" t="s">
        <v>29</v>
      </c>
      <c r="P209">
        <v>0.62313046726550803</v>
      </c>
      <c r="Q209">
        <v>-0.35051626172807299</v>
      </c>
      <c r="R209">
        <v>1.59677719625909</v>
      </c>
      <c r="S209">
        <v>11.330998448619701</v>
      </c>
      <c r="T209">
        <v>1.3736290591410301</v>
      </c>
      <c r="U209">
        <v>-5.6133498567731097</v>
      </c>
      <c r="V209">
        <v>0.19131398294370999</v>
      </c>
      <c r="W209">
        <v>0.78295732499061499</v>
      </c>
      <c r="X209">
        <v>0</v>
      </c>
      <c r="Y209">
        <v>0</v>
      </c>
    </row>
    <row r="210" spans="1:25" x14ac:dyDescent="0.2">
      <c r="A210" t="s">
        <v>785</v>
      </c>
      <c r="B210" t="s">
        <v>786</v>
      </c>
      <c r="C210" t="s">
        <v>14237</v>
      </c>
      <c r="D210" t="s">
        <v>323</v>
      </c>
      <c r="E210" t="s">
        <v>786</v>
      </c>
      <c r="F210" t="s">
        <v>28</v>
      </c>
      <c r="G210" t="s">
        <v>786</v>
      </c>
      <c r="H210" t="str">
        <f>"T12G3.2"</f>
        <v>T12G3.2</v>
      </c>
      <c r="I210" t="s">
        <v>323</v>
      </c>
      <c r="J210">
        <v>11.111285807706199</v>
      </c>
      <c r="K210">
        <v>11.745743854775</v>
      </c>
      <c r="L210">
        <v>11.0669722048652</v>
      </c>
      <c r="M210">
        <v>10.7103970643493</v>
      </c>
      <c r="N210">
        <v>11.4547502218898</v>
      </c>
      <c r="O210">
        <v>11.416970798414001</v>
      </c>
      <c r="P210">
        <v>-0.113961260897758</v>
      </c>
      <c r="Q210">
        <v>-0.96901101798298905</v>
      </c>
      <c r="R210">
        <v>0.74108849618747297</v>
      </c>
      <c r="S210">
        <v>11.433126786883999</v>
      </c>
      <c r="T210">
        <v>-0.28269321670786901</v>
      </c>
      <c r="U210">
        <v>-6.8405622401456396</v>
      </c>
      <c r="V210">
        <v>0.78106019805184002</v>
      </c>
      <c r="W210">
        <v>0.99278624068726296</v>
      </c>
      <c r="X210">
        <v>0</v>
      </c>
      <c r="Y210">
        <v>0</v>
      </c>
    </row>
    <row r="211" spans="1:25" x14ac:dyDescent="0.2">
      <c r="A211" t="s">
        <v>787</v>
      </c>
      <c r="B211" t="s">
        <v>788</v>
      </c>
      <c r="C211" t="s">
        <v>789</v>
      </c>
      <c r="D211" t="s">
        <v>790</v>
      </c>
      <c r="E211" t="s">
        <v>788</v>
      </c>
      <c r="F211" t="s">
        <v>28</v>
      </c>
      <c r="G211" t="s">
        <v>788</v>
      </c>
      <c r="H211" t="str">
        <f>"larp-1"</f>
        <v>larp-1</v>
      </c>
      <c r="I211" t="s">
        <v>790</v>
      </c>
      <c r="J211">
        <v>12.6874718631409</v>
      </c>
      <c r="K211">
        <v>12.978714145184201</v>
      </c>
      <c r="L211">
        <v>13.093040787917101</v>
      </c>
      <c r="M211">
        <v>14.3763100057147</v>
      </c>
      <c r="N211">
        <v>14.1276137008589</v>
      </c>
      <c r="O211">
        <v>14.0374799129059</v>
      </c>
      <c r="P211">
        <v>1.2607256077457401</v>
      </c>
      <c r="Q211">
        <v>0.787503182647185</v>
      </c>
      <c r="R211">
        <v>1.73394803284429</v>
      </c>
      <c r="S211">
        <v>13.658188576401001</v>
      </c>
      <c r="T211">
        <v>5.6234814981236703</v>
      </c>
      <c r="U211">
        <v>2.3854871859526598</v>
      </c>
      <c r="V211" s="2">
        <v>3.1101078864750802E-5</v>
      </c>
      <c r="W211">
        <v>1.8482926868194801E-3</v>
      </c>
      <c r="X211">
        <v>1</v>
      </c>
      <c r="Y211">
        <v>1</v>
      </c>
    </row>
    <row r="212" spans="1:25" x14ac:dyDescent="0.2">
      <c r="A212" t="s">
        <v>791</v>
      </c>
      <c r="B212" t="s">
        <v>792</v>
      </c>
      <c r="C212" t="s">
        <v>793</v>
      </c>
      <c r="D212" t="s">
        <v>93</v>
      </c>
      <c r="E212" t="s">
        <v>792</v>
      </c>
      <c r="F212" t="s">
        <v>28</v>
      </c>
      <c r="G212" t="s">
        <v>792</v>
      </c>
      <c r="H212" t="str">
        <f>"sup-26"</f>
        <v>sup-26</v>
      </c>
      <c r="I212" t="s">
        <v>93</v>
      </c>
      <c r="J212">
        <v>14.2144888813737</v>
      </c>
      <c r="K212">
        <v>14.315779523582</v>
      </c>
      <c r="L212">
        <v>14.646365234739299</v>
      </c>
      <c r="M212">
        <v>14.630897236547399</v>
      </c>
      <c r="N212">
        <v>14.5488113372406</v>
      </c>
      <c r="O212">
        <v>14.5563320127461</v>
      </c>
      <c r="P212">
        <v>0.186468982279754</v>
      </c>
      <c r="Q212">
        <v>-0.36717797799176699</v>
      </c>
      <c r="R212">
        <v>0.740115942551275</v>
      </c>
      <c r="S212">
        <v>15.1690019862349</v>
      </c>
      <c r="T212">
        <v>0.70789067893401902</v>
      </c>
      <c r="U212">
        <v>-6.6242969569045904</v>
      </c>
      <c r="V212">
        <v>0.48813154055336999</v>
      </c>
      <c r="W212">
        <v>0.94046689344422196</v>
      </c>
      <c r="X212">
        <v>0</v>
      </c>
      <c r="Y212">
        <v>0</v>
      </c>
    </row>
    <row r="213" spans="1:25" x14ac:dyDescent="0.2">
      <c r="A213" t="s">
        <v>794</v>
      </c>
      <c r="B213" t="s">
        <v>795</v>
      </c>
      <c r="C213" t="s">
        <v>14238</v>
      </c>
      <c r="D213" t="s">
        <v>796</v>
      </c>
      <c r="E213" t="s">
        <v>795</v>
      </c>
      <c r="F213" t="s">
        <v>28</v>
      </c>
      <c r="G213" t="s">
        <v>795</v>
      </c>
      <c r="H213" t="str">
        <f>"ZK355.2"</f>
        <v>ZK355.2</v>
      </c>
      <c r="I213" t="s">
        <v>796</v>
      </c>
      <c r="J213" t="s">
        <v>29</v>
      </c>
      <c r="K213" t="s">
        <v>29</v>
      </c>
      <c r="L213" t="s">
        <v>29</v>
      </c>
      <c r="M213">
        <v>11.888256633337001</v>
      </c>
      <c r="N213">
        <v>13.000229190920599</v>
      </c>
      <c r="O213" t="s">
        <v>29</v>
      </c>
      <c r="P213" t="s">
        <v>29</v>
      </c>
      <c r="Q213" t="s">
        <v>29</v>
      </c>
      <c r="R213" t="s">
        <v>29</v>
      </c>
      <c r="S213">
        <v>13.015933411984699</v>
      </c>
      <c r="T213" t="s">
        <v>29</v>
      </c>
      <c r="U213" t="s">
        <v>29</v>
      </c>
      <c r="V213" t="s">
        <v>29</v>
      </c>
      <c r="W213" t="s">
        <v>29</v>
      </c>
      <c r="X213" t="s">
        <v>29</v>
      </c>
      <c r="Y213" t="s">
        <v>29</v>
      </c>
    </row>
    <row r="214" spans="1:25" x14ac:dyDescent="0.2">
      <c r="A214" t="s">
        <v>797</v>
      </c>
      <c r="B214" t="s">
        <v>798</v>
      </c>
      <c r="C214" t="s">
        <v>799</v>
      </c>
      <c r="D214" t="s">
        <v>800</v>
      </c>
      <c r="E214" t="s">
        <v>798</v>
      </c>
      <c r="F214" t="s">
        <v>28</v>
      </c>
      <c r="G214" t="s">
        <v>798</v>
      </c>
      <c r="H214" t="str">
        <f>"pigw-1"</f>
        <v>pigw-1</v>
      </c>
      <c r="I214" t="s">
        <v>800</v>
      </c>
      <c r="J214">
        <v>12.075195721157</v>
      </c>
      <c r="K214" t="s">
        <v>29</v>
      </c>
      <c r="L214">
        <v>12.6558042737958</v>
      </c>
      <c r="M214">
        <v>11.805352795789201</v>
      </c>
      <c r="N214">
        <v>11.851370935538201</v>
      </c>
      <c r="O214">
        <v>12.076183687171101</v>
      </c>
      <c r="P214">
        <v>-0.45453085797690901</v>
      </c>
      <c r="Q214">
        <v>-1.3204811520569799</v>
      </c>
      <c r="R214">
        <v>0.41141943610316001</v>
      </c>
      <c r="S214">
        <v>12.8814814922472</v>
      </c>
      <c r="T214">
        <v>-1.12658068598284</v>
      </c>
      <c r="U214">
        <v>-6.1299775431475396</v>
      </c>
      <c r="V214">
        <v>0.27900064282758402</v>
      </c>
      <c r="W214">
        <v>0.856190392347986</v>
      </c>
      <c r="X214">
        <v>0</v>
      </c>
      <c r="Y214">
        <v>0</v>
      </c>
    </row>
    <row r="215" spans="1:25" x14ac:dyDescent="0.2">
      <c r="A215" t="s">
        <v>801</v>
      </c>
      <c r="B215" t="s">
        <v>802</v>
      </c>
      <c r="C215" t="s">
        <v>14239</v>
      </c>
      <c r="D215" t="s">
        <v>93</v>
      </c>
      <c r="E215" t="s">
        <v>802</v>
      </c>
      <c r="F215" t="s">
        <v>28</v>
      </c>
      <c r="G215" t="s">
        <v>802</v>
      </c>
      <c r="H215" t="str">
        <f>"Y59E9AL.36"</f>
        <v>Y59E9AL.36</v>
      </c>
      <c r="I215" t="s">
        <v>93</v>
      </c>
      <c r="J215">
        <v>12.676554939234</v>
      </c>
      <c r="K215">
        <v>13.137658377817599</v>
      </c>
      <c r="L215">
        <v>12.649557109264199</v>
      </c>
      <c r="M215">
        <v>12.714842368853001</v>
      </c>
      <c r="N215">
        <v>12.9868004509994</v>
      </c>
      <c r="O215">
        <v>12.818224373393001</v>
      </c>
      <c r="P215">
        <v>1.8698922309845E-2</v>
      </c>
      <c r="Q215">
        <v>-0.49143437903183002</v>
      </c>
      <c r="R215">
        <v>0.52883222365152005</v>
      </c>
      <c r="S215">
        <v>13.026167628555299</v>
      </c>
      <c r="T215">
        <v>7.7746783732377298E-2</v>
      </c>
      <c r="U215">
        <v>-6.8793108810303396</v>
      </c>
      <c r="V215">
        <v>0.93899976116275996</v>
      </c>
      <c r="W215">
        <v>0.99926809132575301</v>
      </c>
      <c r="X215">
        <v>0</v>
      </c>
      <c r="Y215">
        <v>0</v>
      </c>
    </row>
    <row r="216" spans="1:25" x14ac:dyDescent="0.2">
      <c r="A216" t="s">
        <v>803</v>
      </c>
      <c r="B216" t="s">
        <v>804</v>
      </c>
      <c r="C216" t="s">
        <v>805</v>
      </c>
      <c r="D216" t="s">
        <v>806</v>
      </c>
      <c r="E216" t="s">
        <v>804</v>
      </c>
      <c r="F216" t="s">
        <v>28</v>
      </c>
      <c r="G216" t="s">
        <v>804</v>
      </c>
      <c r="H216" t="str">
        <f>"snx-6"</f>
        <v>snx-6</v>
      </c>
      <c r="I216" t="s">
        <v>806</v>
      </c>
      <c r="J216" t="s">
        <v>29</v>
      </c>
      <c r="K216" t="s">
        <v>29</v>
      </c>
      <c r="L216">
        <v>9.9205278718667191</v>
      </c>
      <c r="M216">
        <v>10.2128454239144</v>
      </c>
      <c r="N216">
        <v>10.5868035068662</v>
      </c>
      <c r="O216" t="s">
        <v>29</v>
      </c>
      <c r="P216">
        <v>0.479296593523587</v>
      </c>
      <c r="Q216">
        <v>-0.211195035163148</v>
      </c>
      <c r="R216">
        <v>1.16978822221032</v>
      </c>
      <c r="S216">
        <v>10.7148466286969</v>
      </c>
      <c r="T216">
        <v>1.50083576047472</v>
      </c>
      <c r="U216">
        <v>-5.39263998965603</v>
      </c>
      <c r="V216">
        <v>0.15748144770069</v>
      </c>
      <c r="W216">
        <v>0.75409821287467205</v>
      </c>
      <c r="X216">
        <v>0</v>
      </c>
      <c r="Y216">
        <v>0</v>
      </c>
    </row>
    <row r="217" spans="1:25" x14ac:dyDescent="0.2">
      <c r="A217" t="s">
        <v>807</v>
      </c>
      <c r="B217" t="s">
        <v>808</v>
      </c>
      <c r="C217" t="s">
        <v>809</v>
      </c>
      <c r="D217" t="s">
        <v>810</v>
      </c>
      <c r="E217" t="s">
        <v>808</v>
      </c>
      <c r="F217" t="s">
        <v>28</v>
      </c>
      <c r="G217" t="s">
        <v>808</v>
      </c>
      <c r="H217" t="str">
        <f>"unc-70"</f>
        <v>unc-70</v>
      </c>
      <c r="I217" t="s">
        <v>810</v>
      </c>
      <c r="J217">
        <v>13.0706214659726</v>
      </c>
      <c r="K217">
        <v>13.1030813040925</v>
      </c>
      <c r="L217">
        <v>13.268847731923801</v>
      </c>
      <c r="M217">
        <v>13.294473400063801</v>
      </c>
      <c r="N217">
        <v>12.9726992540373</v>
      </c>
      <c r="O217">
        <v>13.012411180765399</v>
      </c>
      <c r="P217">
        <v>-5.4322222374120002E-2</v>
      </c>
      <c r="Q217">
        <v>-0.44884377544751602</v>
      </c>
      <c r="R217">
        <v>0.34019933069927599</v>
      </c>
      <c r="S217">
        <v>13.0516642004199</v>
      </c>
      <c r="T217">
        <v>-0.29064095246453803</v>
      </c>
      <c r="U217">
        <v>-6.8383262215947003</v>
      </c>
      <c r="V217">
        <v>0.77486339969377505</v>
      </c>
      <c r="W217">
        <v>0.99278624068726296</v>
      </c>
      <c r="X217">
        <v>0</v>
      </c>
      <c r="Y217">
        <v>0</v>
      </c>
    </row>
    <row r="218" spans="1:25" x14ac:dyDescent="0.2">
      <c r="A218" t="s">
        <v>811</v>
      </c>
      <c r="B218" t="s">
        <v>812</v>
      </c>
      <c r="C218" t="s">
        <v>813</v>
      </c>
      <c r="D218" t="s">
        <v>814</v>
      </c>
      <c r="E218" t="s">
        <v>812</v>
      </c>
      <c r="F218" t="s">
        <v>28</v>
      </c>
      <c r="G218" t="s">
        <v>812</v>
      </c>
      <c r="H218" t="str">
        <f>"emc-5"</f>
        <v>emc-5</v>
      </c>
      <c r="I218" t="s">
        <v>814</v>
      </c>
      <c r="J218">
        <v>12.3990893561718</v>
      </c>
      <c r="K218">
        <v>12.7433069818329</v>
      </c>
      <c r="L218">
        <v>12.2790541193344</v>
      </c>
      <c r="M218">
        <v>12.954427816985</v>
      </c>
      <c r="N218">
        <v>12.687365091862899</v>
      </c>
      <c r="O218">
        <v>12.8389691039364</v>
      </c>
      <c r="P218">
        <v>0.35310385181506698</v>
      </c>
      <c r="Q218">
        <v>-1.9300351365450798E-2</v>
      </c>
      <c r="R218">
        <v>0.72550805499558502</v>
      </c>
      <c r="S218">
        <v>12.9395072389829</v>
      </c>
      <c r="T218">
        <v>2.0501003767793899</v>
      </c>
      <c r="U218">
        <v>-4.9457880950487896</v>
      </c>
      <c r="V218">
        <v>6.1258710123215702E-2</v>
      </c>
      <c r="W218">
        <v>0.53229500597927404</v>
      </c>
      <c r="X218">
        <v>0</v>
      </c>
      <c r="Y218">
        <v>0</v>
      </c>
    </row>
    <row r="219" spans="1:25" x14ac:dyDescent="0.2">
      <c r="A219" t="s">
        <v>815</v>
      </c>
      <c r="B219" t="s">
        <v>816</v>
      </c>
      <c r="C219" t="s">
        <v>14240</v>
      </c>
      <c r="D219" t="s">
        <v>817</v>
      </c>
      <c r="E219" t="s">
        <v>816</v>
      </c>
      <c r="F219" t="s">
        <v>28</v>
      </c>
      <c r="G219" t="s">
        <v>816</v>
      </c>
      <c r="H219" t="str">
        <f>"Y49E10.21"</f>
        <v>Y49E10.21</v>
      </c>
      <c r="I219" t="s">
        <v>817</v>
      </c>
      <c r="J219">
        <v>10.497818434214601</v>
      </c>
      <c r="K219">
        <v>12.006622550299801</v>
      </c>
      <c r="L219">
        <v>11.352045813218099</v>
      </c>
      <c r="M219">
        <v>11.800184695526999</v>
      </c>
      <c r="N219">
        <v>11.8947394006909</v>
      </c>
      <c r="O219">
        <v>11.7586233737724</v>
      </c>
      <c r="P219">
        <v>0.53235355741923995</v>
      </c>
      <c r="Q219">
        <v>-0.127579890329025</v>
      </c>
      <c r="R219">
        <v>1.1922870051675001</v>
      </c>
      <c r="S219">
        <v>11.7087651157065</v>
      </c>
      <c r="T219">
        <v>1.7109981890611501</v>
      </c>
      <c r="U219">
        <v>-5.4704707039774396</v>
      </c>
      <c r="V219">
        <v>0.106522466088494</v>
      </c>
      <c r="W219">
        <v>0.66924749930925698</v>
      </c>
      <c r="X219">
        <v>0</v>
      </c>
      <c r="Y219">
        <v>0</v>
      </c>
    </row>
    <row r="220" spans="1:25" x14ac:dyDescent="0.2">
      <c r="A220" t="s">
        <v>818</v>
      </c>
      <c r="B220" t="s">
        <v>819</v>
      </c>
      <c r="C220" t="s">
        <v>820</v>
      </c>
      <c r="D220" t="s">
        <v>821</v>
      </c>
      <c r="E220" t="s">
        <v>819</v>
      </c>
      <c r="F220" t="s">
        <v>28</v>
      </c>
      <c r="G220" t="s">
        <v>819</v>
      </c>
      <c r="H220" t="str">
        <f>"iars-2"</f>
        <v>iars-2</v>
      </c>
      <c r="I220" t="s">
        <v>821</v>
      </c>
      <c r="J220">
        <v>14.0383586735135</v>
      </c>
      <c r="K220">
        <v>14.086387012429901</v>
      </c>
      <c r="L220">
        <v>13.973205408380201</v>
      </c>
      <c r="M220">
        <v>13.906501025644801</v>
      </c>
      <c r="N220">
        <v>14.2271765671144</v>
      </c>
      <c r="O220">
        <v>13.539621255977099</v>
      </c>
      <c r="P220">
        <v>-0.141550748529122</v>
      </c>
      <c r="Q220">
        <v>-0.64320584633062405</v>
      </c>
      <c r="R220">
        <v>0.36010434927238</v>
      </c>
      <c r="S220">
        <v>14.0342546643663</v>
      </c>
      <c r="T220">
        <v>-0.59560310553802598</v>
      </c>
      <c r="U220">
        <v>-6.6985013186537099</v>
      </c>
      <c r="V220">
        <v>0.55933526428771696</v>
      </c>
      <c r="W220">
        <v>0.95650569706421396</v>
      </c>
      <c r="X220">
        <v>0</v>
      </c>
      <c r="Y220">
        <v>0</v>
      </c>
    </row>
    <row r="221" spans="1:25" x14ac:dyDescent="0.2">
      <c r="A221" t="s">
        <v>822</v>
      </c>
      <c r="B221" t="s">
        <v>823</v>
      </c>
      <c r="C221" t="s">
        <v>824</v>
      </c>
      <c r="D221" t="s">
        <v>825</v>
      </c>
      <c r="E221" t="s">
        <v>823</v>
      </c>
      <c r="F221" t="s">
        <v>28</v>
      </c>
      <c r="G221" t="s">
        <v>823</v>
      </c>
      <c r="H221" t="str">
        <f>"ints-2"</f>
        <v>ints-2</v>
      </c>
      <c r="I221" t="s">
        <v>825</v>
      </c>
      <c r="J221">
        <v>12.1416225753633</v>
      </c>
      <c r="K221">
        <v>11.523453812559699</v>
      </c>
      <c r="L221">
        <v>11.8372032534889</v>
      </c>
      <c r="M221">
        <v>11.961691689021499</v>
      </c>
      <c r="N221">
        <v>11.4501959579739</v>
      </c>
      <c r="O221">
        <v>10.8865805262588</v>
      </c>
      <c r="P221">
        <v>-0.40127048938588999</v>
      </c>
      <c r="Q221">
        <v>-1.19991106505829</v>
      </c>
      <c r="R221">
        <v>0.397370086286506</v>
      </c>
      <c r="S221">
        <v>12.074147441668799</v>
      </c>
      <c r="T221">
        <v>-1.0605615148843099</v>
      </c>
      <c r="U221">
        <v>-6.3119359198680698</v>
      </c>
      <c r="V221">
        <v>0.30381602245404898</v>
      </c>
      <c r="W221">
        <v>0.85855590823088301</v>
      </c>
      <c r="X221">
        <v>0</v>
      </c>
      <c r="Y221">
        <v>0</v>
      </c>
    </row>
    <row r="222" spans="1:25" x14ac:dyDescent="0.2">
      <c r="A222" t="s">
        <v>826</v>
      </c>
      <c r="B222" t="s">
        <v>827</v>
      </c>
      <c r="C222" t="s">
        <v>14241</v>
      </c>
      <c r="D222" t="s">
        <v>828</v>
      </c>
      <c r="E222" t="s">
        <v>827</v>
      </c>
      <c r="F222" t="s">
        <v>28</v>
      </c>
      <c r="G222" t="s">
        <v>827</v>
      </c>
      <c r="H222" t="str">
        <f>"F53C11.4"</f>
        <v>F53C11.4</v>
      </c>
      <c r="I222" t="s">
        <v>828</v>
      </c>
      <c r="J222" t="s">
        <v>29</v>
      </c>
      <c r="K222" t="s">
        <v>29</v>
      </c>
      <c r="L222" t="s">
        <v>29</v>
      </c>
      <c r="M222" t="s">
        <v>29</v>
      </c>
      <c r="N222">
        <v>11.5698825588009</v>
      </c>
      <c r="O222" t="s">
        <v>29</v>
      </c>
      <c r="P222" t="s">
        <v>29</v>
      </c>
      <c r="Q222" t="s">
        <v>29</v>
      </c>
      <c r="R222" t="s">
        <v>29</v>
      </c>
      <c r="S222">
        <v>10.8709378593169</v>
      </c>
      <c r="T222" t="s">
        <v>29</v>
      </c>
      <c r="U222" t="s">
        <v>29</v>
      </c>
      <c r="V222" t="s">
        <v>29</v>
      </c>
      <c r="W222" t="s">
        <v>29</v>
      </c>
      <c r="X222" t="s">
        <v>29</v>
      </c>
      <c r="Y222" t="s">
        <v>29</v>
      </c>
    </row>
    <row r="223" spans="1:25" x14ac:dyDescent="0.2">
      <c r="A223" t="s">
        <v>829</v>
      </c>
      <c r="B223" t="s">
        <v>830</v>
      </c>
      <c r="C223" t="s">
        <v>831</v>
      </c>
      <c r="D223" t="s">
        <v>832</v>
      </c>
      <c r="E223" t="s">
        <v>830</v>
      </c>
      <c r="F223" t="s">
        <v>28</v>
      </c>
      <c r="G223" t="s">
        <v>830</v>
      </c>
      <c r="H223" t="str">
        <f>"algn-3"</f>
        <v>algn-3</v>
      </c>
      <c r="I223" t="s">
        <v>832</v>
      </c>
      <c r="J223">
        <v>12.219232231587201</v>
      </c>
      <c r="K223">
        <v>12.8886891920032</v>
      </c>
      <c r="L223">
        <v>12.3779437900973</v>
      </c>
      <c r="M223">
        <v>12.526878464986099</v>
      </c>
      <c r="N223">
        <v>12.523902234450601</v>
      </c>
      <c r="O223">
        <v>12.560785312366001</v>
      </c>
      <c r="P223">
        <v>4.1900266038345201E-2</v>
      </c>
      <c r="Q223">
        <v>-0.37181407978963299</v>
      </c>
      <c r="R223">
        <v>0.45561461186632302</v>
      </c>
      <c r="S223">
        <v>12.632616148656901</v>
      </c>
      <c r="T223">
        <v>0.214815556881365</v>
      </c>
      <c r="U223">
        <v>-6.8582534873539203</v>
      </c>
      <c r="V223">
        <v>0.83264295423844603</v>
      </c>
      <c r="W223">
        <v>0.99370240586176295</v>
      </c>
      <c r="X223">
        <v>0</v>
      </c>
      <c r="Y223">
        <v>0</v>
      </c>
    </row>
    <row r="224" spans="1:25" x14ac:dyDescent="0.2">
      <c r="A224" t="s">
        <v>833</v>
      </c>
      <c r="B224" t="s">
        <v>834</v>
      </c>
      <c r="C224" t="s">
        <v>835</v>
      </c>
      <c r="D224" t="s">
        <v>836</v>
      </c>
      <c r="E224" t="s">
        <v>834</v>
      </c>
      <c r="F224" t="s">
        <v>28</v>
      </c>
      <c r="G224" t="s">
        <v>834</v>
      </c>
      <c r="H224" t="str">
        <f>"rog-1"</f>
        <v>rog-1</v>
      </c>
      <c r="I224" t="s">
        <v>836</v>
      </c>
      <c r="J224" t="s">
        <v>29</v>
      </c>
      <c r="K224" t="s">
        <v>29</v>
      </c>
      <c r="L224" t="s">
        <v>29</v>
      </c>
      <c r="M224" t="s">
        <v>29</v>
      </c>
      <c r="N224" t="s">
        <v>29</v>
      </c>
      <c r="O224" t="s">
        <v>29</v>
      </c>
      <c r="P224" t="s">
        <v>29</v>
      </c>
      <c r="Q224" t="s">
        <v>29</v>
      </c>
      <c r="R224" t="s">
        <v>29</v>
      </c>
      <c r="S224">
        <v>9.9610640282896092</v>
      </c>
      <c r="T224" t="s">
        <v>29</v>
      </c>
      <c r="U224" t="s">
        <v>29</v>
      </c>
      <c r="V224" t="s">
        <v>29</v>
      </c>
      <c r="W224" t="s">
        <v>29</v>
      </c>
      <c r="X224" t="s">
        <v>29</v>
      </c>
      <c r="Y224" t="s">
        <v>29</v>
      </c>
    </row>
    <row r="225" spans="1:25" x14ac:dyDescent="0.2">
      <c r="A225" t="s">
        <v>837</v>
      </c>
      <c r="B225" t="s">
        <v>838</v>
      </c>
      <c r="C225" t="s">
        <v>839</v>
      </c>
      <c r="D225" t="s">
        <v>840</v>
      </c>
      <c r="E225" t="s">
        <v>838</v>
      </c>
      <c r="F225" t="s">
        <v>28</v>
      </c>
      <c r="G225" t="s">
        <v>838</v>
      </c>
      <c r="H225" t="str">
        <f>"znfx-1"</f>
        <v>znfx-1</v>
      </c>
      <c r="I225" t="s">
        <v>840</v>
      </c>
      <c r="J225">
        <v>12.014202056659499</v>
      </c>
      <c r="K225">
        <v>12.2226705934491</v>
      </c>
      <c r="L225">
        <v>12.4856901785815</v>
      </c>
      <c r="M225">
        <v>12.4661767053303</v>
      </c>
      <c r="N225">
        <v>12.5896441605344</v>
      </c>
      <c r="O225">
        <v>12.701564147499001</v>
      </c>
      <c r="P225">
        <v>0.34494072822453398</v>
      </c>
      <c r="Q225">
        <v>-0.216782777564475</v>
      </c>
      <c r="R225">
        <v>0.90666423401354301</v>
      </c>
      <c r="S225">
        <v>13.0247156115834</v>
      </c>
      <c r="T225">
        <v>1.3096748389353201</v>
      </c>
      <c r="U225">
        <v>-6.0256867861110104</v>
      </c>
      <c r="V225">
        <v>0.21014735859676201</v>
      </c>
      <c r="W225">
        <v>0.79492804357574798</v>
      </c>
      <c r="X225">
        <v>0</v>
      </c>
      <c r="Y225">
        <v>0</v>
      </c>
    </row>
    <row r="226" spans="1:25" x14ac:dyDescent="0.2">
      <c r="A226" t="s">
        <v>841</v>
      </c>
      <c r="B226" t="s">
        <v>842</v>
      </c>
      <c r="C226" t="s">
        <v>843</v>
      </c>
      <c r="D226" t="s">
        <v>844</v>
      </c>
      <c r="E226" t="s">
        <v>842</v>
      </c>
      <c r="F226" t="s">
        <v>28</v>
      </c>
      <c r="G226" t="s">
        <v>842</v>
      </c>
      <c r="H226" t="str">
        <f>"taf-3"</f>
        <v>taf-3</v>
      </c>
      <c r="I226" t="s">
        <v>844</v>
      </c>
      <c r="J226">
        <v>11.7687791997842</v>
      </c>
      <c r="K226">
        <v>11.154428807336799</v>
      </c>
      <c r="L226">
        <v>12.192931411879201</v>
      </c>
      <c r="M226">
        <v>11.991156894307901</v>
      </c>
      <c r="N226">
        <v>11.977195578536</v>
      </c>
      <c r="O226">
        <v>11.8892931918793</v>
      </c>
      <c r="P226">
        <v>0.24716874857434401</v>
      </c>
      <c r="Q226">
        <v>-0.66610199967881401</v>
      </c>
      <c r="R226">
        <v>1.1604394968275</v>
      </c>
      <c r="S226">
        <v>11.536320215143499</v>
      </c>
      <c r="T226">
        <v>0.58516892560183698</v>
      </c>
      <c r="U226">
        <v>-6.7023095814936502</v>
      </c>
      <c r="V226">
        <v>0.56853317235939804</v>
      </c>
      <c r="W226">
        <v>0.95899594273265498</v>
      </c>
      <c r="X226">
        <v>0</v>
      </c>
      <c r="Y226">
        <v>0</v>
      </c>
    </row>
    <row r="227" spans="1:25" x14ac:dyDescent="0.2">
      <c r="A227" t="s">
        <v>845</v>
      </c>
      <c r="B227" t="s">
        <v>846</v>
      </c>
      <c r="C227" t="s">
        <v>847</v>
      </c>
      <c r="D227" t="s">
        <v>848</v>
      </c>
      <c r="E227" t="s">
        <v>846</v>
      </c>
      <c r="F227" t="s">
        <v>28</v>
      </c>
      <c r="G227" t="s">
        <v>846</v>
      </c>
      <c r="H227" t="str">
        <f>"ttll-5"</f>
        <v>ttll-5</v>
      </c>
      <c r="I227" t="s">
        <v>848</v>
      </c>
      <c r="J227">
        <v>13.103535762065199</v>
      </c>
      <c r="K227">
        <v>13.0934947178756</v>
      </c>
      <c r="L227">
        <v>12.5409057265725</v>
      </c>
      <c r="M227">
        <v>12.7551820612348</v>
      </c>
      <c r="N227">
        <v>12.7591259034856</v>
      </c>
      <c r="O227" t="s">
        <v>29</v>
      </c>
      <c r="P227">
        <v>-0.155491419810872</v>
      </c>
      <c r="Q227">
        <v>-1.0853493065092299</v>
      </c>
      <c r="R227">
        <v>0.774366466887486</v>
      </c>
      <c r="S227">
        <v>12.785663894733201</v>
      </c>
      <c r="T227">
        <v>-0.35890684651969901</v>
      </c>
      <c r="U227">
        <v>-6.7043678740045802</v>
      </c>
      <c r="V227">
        <v>0.72505973672648105</v>
      </c>
      <c r="W227">
        <v>0.99057748145465696</v>
      </c>
      <c r="X227">
        <v>0</v>
      </c>
      <c r="Y227">
        <v>0</v>
      </c>
    </row>
    <row r="228" spans="1:25" x14ac:dyDescent="0.2">
      <c r="A228" t="s">
        <v>849</v>
      </c>
      <c r="B228" t="s">
        <v>850</v>
      </c>
      <c r="C228" t="s">
        <v>851</v>
      </c>
      <c r="D228" t="s">
        <v>852</v>
      </c>
      <c r="E228" t="s">
        <v>850</v>
      </c>
      <c r="F228" t="s">
        <v>28</v>
      </c>
      <c r="G228" t="s">
        <v>850</v>
      </c>
      <c r="H228" t="str">
        <f>"zfr-1"</f>
        <v>zfr-1</v>
      </c>
      <c r="I228" t="s">
        <v>852</v>
      </c>
      <c r="J228">
        <v>14.6032778238748</v>
      </c>
      <c r="K228">
        <v>14.806110374133601</v>
      </c>
      <c r="L228">
        <v>14.8687476527834</v>
      </c>
      <c r="M228">
        <v>14.5480062118001</v>
      </c>
      <c r="N228">
        <v>14.428279636828499</v>
      </c>
      <c r="O228">
        <v>14.4960139629527</v>
      </c>
      <c r="P228">
        <v>-0.26861201307017701</v>
      </c>
      <c r="Q228">
        <v>-0.63910609466443202</v>
      </c>
      <c r="R228">
        <v>0.101882068524078</v>
      </c>
      <c r="S228">
        <v>14.7442836535943</v>
      </c>
      <c r="T228">
        <v>-1.52383052838744</v>
      </c>
      <c r="U228">
        <v>-5.7424726658168499</v>
      </c>
      <c r="V228">
        <v>0.14502828649132901</v>
      </c>
      <c r="W228">
        <v>0.73463339032441799</v>
      </c>
      <c r="X228">
        <v>0</v>
      </c>
      <c r="Y228">
        <v>0</v>
      </c>
    </row>
    <row r="229" spans="1:25" x14ac:dyDescent="0.2">
      <c r="A229" t="s">
        <v>853</v>
      </c>
      <c r="B229" t="s">
        <v>854</v>
      </c>
      <c r="C229" t="s">
        <v>855</v>
      </c>
      <c r="D229" t="s">
        <v>856</v>
      </c>
      <c r="E229" t="s">
        <v>854</v>
      </c>
      <c r="F229" t="s">
        <v>28</v>
      </c>
      <c r="G229" t="s">
        <v>854</v>
      </c>
      <c r="H229" t="str">
        <f>"hum-7"</f>
        <v>hum-7</v>
      </c>
      <c r="I229" t="s">
        <v>856</v>
      </c>
      <c r="J229" t="s">
        <v>29</v>
      </c>
      <c r="K229" t="s">
        <v>29</v>
      </c>
      <c r="L229" t="s">
        <v>29</v>
      </c>
      <c r="M229" t="s">
        <v>29</v>
      </c>
      <c r="N229" t="s">
        <v>29</v>
      </c>
      <c r="O229" t="s">
        <v>29</v>
      </c>
      <c r="P229" t="s">
        <v>29</v>
      </c>
      <c r="Q229" t="s">
        <v>29</v>
      </c>
      <c r="R229" t="s">
        <v>29</v>
      </c>
      <c r="S229">
        <v>11.033685438254301</v>
      </c>
      <c r="T229" t="s">
        <v>29</v>
      </c>
      <c r="U229" t="s">
        <v>29</v>
      </c>
      <c r="V229" t="s">
        <v>29</v>
      </c>
      <c r="W229" t="s">
        <v>29</v>
      </c>
      <c r="X229" t="s">
        <v>29</v>
      </c>
      <c r="Y229" t="s">
        <v>29</v>
      </c>
    </row>
    <row r="230" spans="1:25" x14ac:dyDescent="0.2">
      <c r="A230" t="s">
        <v>857</v>
      </c>
      <c r="B230" t="s">
        <v>858</v>
      </c>
      <c r="C230" t="s">
        <v>859</v>
      </c>
      <c r="D230" t="s">
        <v>860</v>
      </c>
      <c r="E230" t="s">
        <v>858</v>
      </c>
      <c r="F230" t="s">
        <v>28</v>
      </c>
      <c r="G230" t="s">
        <v>861</v>
      </c>
      <c r="H230" t="str">
        <f>"kin-9"</f>
        <v>kin-9</v>
      </c>
      <c r="I230" t="s">
        <v>323</v>
      </c>
      <c r="J230" t="s">
        <v>29</v>
      </c>
      <c r="K230" t="s">
        <v>29</v>
      </c>
      <c r="L230" t="s">
        <v>29</v>
      </c>
      <c r="M230">
        <v>13.534144230382299</v>
      </c>
      <c r="N230">
        <v>12.7515893139895</v>
      </c>
      <c r="O230">
        <v>12.3059613303249</v>
      </c>
      <c r="P230" t="s">
        <v>29</v>
      </c>
      <c r="Q230" t="s">
        <v>29</v>
      </c>
      <c r="R230" t="s">
        <v>29</v>
      </c>
      <c r="S230">
        <v>12.1438313690693</v>
      </c>
      <c r="T230" t="s">
        <v>29</v>
      </c>
      <c r="U230" t="s">
        <v>29</v>
      </c>
      <c r="V230" t="s">
        <v>29</v>
      </c>
      <c r="W230" t="s">
        <v>29</v>
      </c>
      <c r="X230" t="s">
        <v>29</v>
      </c>
      <c r="Y230" t="s">
        <v>29</v>
      </c>
    </row>
    <row r="231" spans="1:25" x14ac:dyDescent="0.2">
      <c r="A231" t="s">
        <v>862</v>
      </c>
      <c r="B231" t="s">
        <v>863</v>
      </c>
      <c r="C231" t="s">
        <v>864</v>
      </c>
      <c r="D231" t="s">
        <v>865</v>
      </c>
      <c r="E231" t="s">
        <v>863</v>
      </c>
      <c r="F231" t="s">
        <v>28</v>
      </c>
      <c r="G231" t="s">
        <v>863</v>
      </c>
      <c r="H231" t="str">
        <f>"otub-3"</f>
        <v>otub-3</v>
      </c>
      <c r="I231" t="s">
        <v>865</v>
      </c>
      <c r="J231">
        <v>11.4370952069295</v>
      </c>
      <c r="K231">
        <v>11.964136231009601</v>
      </c>
      <c r="L231">
        <v>11.0927154716552</v>
      </c>
      <c r="M231">
        <v>11.2207398046574</v>
      </c>
      <c r="N231">
        <v>11.470762751006999</v>
      </c>
      <c r="O231" t="s">
        <v>29</v>
      </c>
      <c r="P231">
        <v>-0.15223102536593</v>
      </c>
      <c r="Q231">
        <v>-0.94415048825439796</v>
      </c>
      <c r="R231">
        <v>0.63968843752253701</v>
      </c>
      <c r="S231">
        <v>11.138914649473399</v>
      </c>
      <c r="T231">
        <v>-0.428932591456683</v>
      </c>
      <c r="U231">
        <v>-6.6731483171901997</v>
      </c>
      <c r="V231">
        <v>0.67716038279434398</v>
      </c>
      <c r="W231">
        <v>0.98642420921484297</v>
      </c>
      <c r="X231">
        <v>0</v>
      </c>
      <c r="Y231">
        <v>0</v>
      </c>
    </row>
    <row r="232" spans="1:25" x14ac:dyDescent="0.2">
      <c r="A232" t="s">
        <v>866</v>
      </c>
      <c r="B232" t="s">
        <v>867</v>
      </c>
      <c r="C232" t="s">
        <v>868</v>
      </c>
      <c r="D232" t="s">
        <v>869</v>
      </c>
      <c r="E232" t="s">
        <v>867</v>
      </c>
      <c r="F232" t="s">
        <v>28</v>
      </c>
      <c r="G232" t="s">
        <v>867</v>
      </c>
      <c r="H232" t="str">
        <f>"pmp-3"</f>
        <v>pmp-3</v>
      </c>
      <c r="I232" t="s">
        <v>869</v>
      </c>
      <c r="J232">
        <v>11.0494051461502</v>
      </c>
      <c r="K232" t="s">
        <v>29</v>
      </c>
      <c r="L232" t="s">
        <v>29</v>
      </c>
      <c r="M232" t="s">
        <v>29</v>
      </c>
      <c r="N232" t="s">
        <v>29</v>
      </c>
      <c r="O232" t="s">
        <v>29</v>
      </c>
      <c r="P232" t="s">
        <v>29</v>
      </c>
      <c r="Q232" t="s">
        <v>29</v>
      </c>
      <c r="R232" t="s">
        <v>29</v>
      </c>
      <c r="S232">
        <v>10.602018757753701</v>
      </c>
      <c r="T232" t="s">
        <v>29</v>
      </c>
      <c r="U232" t="s">
        <v>29</v>
      </c>
      <c r="V232" t="s">
        <v>29</v>
      </c>
      <c r="W232" t="s">
        <v>29</v>
      </c>
      <c r="X232" t="s">
        <v>29</v>
      </c>
      <c r="Y232" t="s">
        <v>29</v>
      </c>
    </row>
    <row r="233" spans="1:25" x14ac:dyDescent="0.2">
      <c r="A233" t="s">
        <v>870</v>
      </c>
      <c r="B233" t="s">
        <v>871</v>
      </c>
      <c r="C233" t="s">
        <v>14183</v>
      </c>
      <c r="D233" t="s">
        <v>368</v>
      </c>
      <c r="E233" t="s">
        <v>871</v>
      </c>
      <c r="F233" t="s">
        <v>28</v>
      </c>
      <c r="G233" t="s">
        <v>871</v>
      </c>
      <c r="H233" t="str">
        <f>"W05B5.1"</f>
        <v>W05B5.1</v>
      </c>
      <c r="I233" t="s">
        <v>368</v>
      </c>
      <c r="J233">
        <v>11.5418454265444</v>
      </c>
      <c r="K233" t="s">
        <v>29</v>
      </c>
      <c r="L233">
        <v>11.029308279841599</v>
      </c>
      <c r="M233">
        <v>12.050642151711299</v>
      </c>
      <c r="N233">
        <v>12.0379434924278</v>
      </c>
      <c r="O233">
        <v>12.774490526550901</v>
      </c>
      <c r="P233">
        <v>1.00211520370367</v>
      </c>
      <c r="Q233">
        <v>0.22974370050027901</v>
      </c>
      <c r="R233">
        <v>1.77448670690706</v>
      </c>
      <c r="S233">
        <v>11.5150082097982</v>
      </c>
      <c r="T233">
        <v>3.0774777612883399</v>
      </c>
      <c r="U233">
        <v>-3.4290574704727401</v>
      </c>
      <c r="V233">
        <v>1.8219161231486699E-2</v>
      </c>
      <c r="W233">
        <v>0.27189851380442998</v>
      </c>
      <c r="X233">
        <v>1</v>
      </c>
      <c r="Y233">
        <v>0</v>
      </c>
    </row>
    <row r="234" spans="1:25" x14ac:dyDescent="0.2">
      <c r="A234" t="s">
        <v>872</v>
      </c>
      <c r="B234" t="s">
        <v>873</v>
      </c>
      <c r="C234" t="s">
        <v>14242</v>
      </c>
      <c r="D234" t="s">
        <v>874</v>
      </c>
      <c r="E234" t="s">
        <v>873</v>
      </c>
      <c r="F234" t="s">
        <v>28</v>
      </c>
      <c r="G234" t="s">
        <v>873</v>
      </c>
      <c r="H234" t="str">
        <f>"T26C11.4"</f>
        <v>T26C11.4</v>
      </c>
      <c r="I234" t="s">
        <v>874</v>
      </c>
      <c r="J234" t="s">
        <v>29</v>
      </c>
      <c r="K234">
        <v>10.755945998737699</v>
      </c>
      <c r="L234">
        <v>11.349839729488</v>
      </c>
      <c r="M234">
        <v>10.5568243504355</v>
      </c>
      <c r="N234">
        <v>11.543799451838099</v>
      </c>
      <c r="O234" t="s">
        <v>29</v>
      </c>
      <c r="P234">
        <v>-2.58096297607224E-3</v>
      </c>
      <c r="Q234">
        <v>-0.73732353566063003</v>
      </c>
      <c r="R234">
        <v>0.73216160970848598</v>
      </c>
      <c r="S234">
        <v>11.482159740307599</v>
      </c>
      <c r="T234">
        <v>-7.6611079616767802E-3</v>
      </c>
      <c r="U234">
        <v>-6.6822963232337296</v>
      </c>
      <c r="V234">
        <v>0.99401436703855905</v>
      </c>
      <c r="W234">
        <v>0.99968702248720698</v>
      </c>
      <c r="X234">
        <v>0</v>
      </c>
      <c r="Y234">
        <v>0</v>
      </c>
    </row>
    <row r="235" spans="1:25" x14ac:dyDescent="0.2">
      <c r="A235" t="s">
        <v>875</v>
      </c>
      <c r="B235" t="s">
        <v>876</v>
      </c>
      <c r="C235" t="s">
        <v>877</v>
      </c>
      <c r="D235" t="s">
        <v>878</v>
      </c>
      <c r="E235" t="s">
        <v>876</v>
      </c>
      <c r="F235" t="s">
        <v>28</v>
      </c>
      <c r="G235" t="s">
        <v>876</v>
      </c>
      <c r="H235" t="str">
        <f>"pqn-87"</f>
        <v>pqn-87</v>
      </c>
      <c r="I235" t="s">
        <v>878</v>
      </c>
      <c r="J235">
        <v>12.6382118322897</v>
      </c>
      <c r="K235">
        <v>10.6013862155075</v>
      </c>
      <c r="L235">
        <v>11.9762274987603</v>
      </c>
      <c r="M235">
        <v>11.600107788434499</v>
      </c>
      <c r="N235">
        <v>12.073154743179</v>
      </c>
      <c r="O235">
        <v>12.0760137478108</v>
      </c>
      <c r="P235">
        <v>0.17781691095559701</v>
      </c>
      <c r="Q235">
        <v>-0.59648553552668604</v>
      </c>
      <c r="R235">
        <v>0.95211935743788001</v>
      </c>
      <c r="S235">
        <v>12.2018645331885</v>
      </c>
      <c r="T235">
        <v>0.48709308003409901</v>
      </c>
      <c r="U235">
        <v>-6.7586280318282999</v>
      </c>
      <c r="V235">
        <v>0.63284135571989697</v>
      </c>
      <c r="W235">
        <v>0.97279262440453396</v>
      </c>
      <c r="X235">
        <v>0</v>
      </c>
      <c r="Y235">
        <v>0</v>
      </c>
    </row>
    <row r="236" spans="1:25" x14ac:dyDescent="0.2">
      <c r="A236" t="s">
        <v>879</v>
      </c>
      <c r="B236" t="s">
        <v>880</v>
      </c>
      <c r="C236" t="s">
        <v>14243</v>
      </c>
      <c r="D236" t="s">
        <v>881</v>
      </c>
      <c r="E236" t="s">
        <v>880</v>
      </c>
      <c r="F236" t="s">
        <v>28</v>
      </c>
      <c r="G236" t="s">
        <v>880</v>
      </c>
      <c r="H236" t="str">
        <f>"F55A11.6"</f>
        <v>F55A11.6</v>
      </c>
      <c r="I236" t="s">
        <v>881</v>
      </c>
      <c r="J236">
        <v>11.287494539237001</v>
      </c>
      <c r="K236" t="s">
        <v>29</v>
      </c>
      <c r="L236" t="s">
        <v>29</v>
      </c>
      <c r="M236" t="s">
        <v>29</v>
      </c>
      <c r="N236" t="s">
        <v>29</v>
      </c>
      <c r="O236">
        <v>11.758342869471999</v>
      </c>
      <c r="P236">
        <v>0.470848330235075</v>
      </c>
      <c r="Q236">
        <v>-0.475510889862303</v>
      </c>
      <c r="R236">
        <v>1.4172075503324499</v>
      </c>
      <c r="S236">
        <v>11.381007339987301</v>
      </c>
      <c r="T236">
        <v>1.1275331575721099</v>
      </c>
      <c r="U236">
        <v>-5.7038223104984898</v>
      </c>
      <c r="V236">
        <v>0.28901192582320101</v>
      </c>
      <c r="W236">
        <v>0.856190392347986</v>
      </c>
      <c r="X236">
        <v>0</v>
      </c>
      <c r="Y236">
        <v>0</v>
      </c>
    </row>
    <row r="237" spans="1:25" x14ac:dyDescent="0.2">
      <c r="A237" t="s">
        <v>882</v>
      </c>
      <c r="B237" t="s">
        <v>883</v>
      </c>
      <c r="C237" t="s">
        <v>14244</v>
      </c>
      <c r="D237" t="s">
        <v>561</v>
      </c>
      <c r="E237" t="s">
        <v>883</v>
      </c>
      <c r="F237" t="s">
        <v>28</v>
      </c>
      <c r="G237" t="s">
        <v>883</v>
      </c>
      <c r="H237" t="str">
        <f>"ZC434.9"</f>
        <v>ZC434.9</v>
      </c>
      <c r="I237" t="s">
        <v>561</v>
      </c>
      <c r="J237">
        <v>13.2802871362821</v>
      </c>
      <c r="K237" t="s">
        <v>29</v>
      </c>
      <c r="L237">
        <v>12.759887081627101</v>
      </c>
      <c r="M237">
        <v>12.913782387136299</v>
      </c>
      <c r="N237" t="s">
        <v>29</v>
      </c>
      <c r="O237" t="s">
        <v>29</v>
      </c>
      <c r="P237">
        <v>-0.106304721818232</v>
      </c>
      <c r="Q237">
        <v>-1.04486175836913</v>
      </c>
      <c r="R237">
        <v>0.83225231473266403</v>
      </c>
      <c r="S237">
        <v>12.721368470964601</v>
      </c>
      <c r="T237">
        <v>-0.249585630908879</v>
      </c>
      <c r="U237">
        <v>-6.4502966750536901</v>
      </c>
      <c r="V237">
        <v>0.807550884994922</v>
      </c>
      <c r="W237">
        <v>0.99278624068726296</v>
      </c>
      <c r="X237">
        <v>0</v>
      </c>
      <c r="Y237">
        <v>0</v>
      </c>
    </row>
    <row r="238" spans="1:25" x14ac:dyDescent="0.2">
      <c r="A238" t="s">
        <v>884</v>
      </c>
      <c r="B238" t="s">
        <v>885</v>
      </c>
      <c r="C238" t="s">
        <v>886</v>
      </c>
      <c r="D238" t="s">
        <v>887</v>
      </c>
      <c r="E238" t="s">
        <v>885</v>
      </c>
      <c r="F238" t="s">
        <v>28</v>
      </c>
      <c r="G238" t="s">
        <v>885</v>
      </c>
      <c r="H238" t="str">
        <f>"B0511.12"</f>
        <v>B0511.12</v>
      </c>
      <c r="I238" t="s">
        <v>887</v>
      </c>
      <c r="J238" t="s">
        <v>29</v>
      </c>
      <c r="K238">
        <v>13.633028672366599</v>
      </c>
      <c r="L238" t="s">
        <v>29</v>
      </c>
      <c r="M238">
        <v>11.6635579194171</v>
      </c>
      <c r="N238">
        <v>12.7396276465141</v>
      </c>
      <c r="O238">
        <v>11.9931225486747</v>
      </c>
      <c r="P238">
        <v>-1.50092596749798</v>
      </c>
      <c r="Q238">
        <v>-3.0108242317651799</v>
      </c>
      <c r="R238">
        <v>8.9722967692158501E-3</v>
      </c>
      <c r="S238">
        <v>11.880653929092199</v>
      </c>
      <c r="T238">
        <v>-2.1679866222884199</v>
      </c>
      <c r="U238">
        <v>-4.4458518164093599</v>
      </c>
      <c r="V238">
        <v>5.1170222247109202E-2</v>
      </c>
      <c r="W238">
        <v>0.491491856479917</v>
      </c>
      <c r="X238">
        <v>-1</v>
      </c>
      <c r="Y238">
        <v>0</v>
      </c>
    </row>
    <row r="239" spans="1:25" x14ac:dyDescent="0.2">
      <c r="A239" t="s">
        <v>888</v>
      </c>
      <c r="B239" t="s">
        <v>889</v>
      </c>
      <c r="C239" t="s">
        <v>14245</v>
      </c>
      <c r="D239" t="s">
        <v>890</v>
      </c>
      <c r="E239" t="s">
        <v>889</v>
      </c>
      <c r="F239" t="s">
        <v>28</v>
      </c>
      <c r="G239" t="s">
        <v>889</v>
      </c>
      <c r="H239" t="str">
        <f>"F38A1.8"</f>
        <v>F38A1.8</v>
      </c>
      <c r="I239" t="s">
        <v>890</v>
      </c>
      <c r="J239">
        <v>13.686242002215501</v>
      </c>
      <c r="K239">
        <v>13.667998078095399</v>
      </c>
      <c r="L239">
        <v>13.494038374502701</v>
      </c>
      <c r="M239">
        <v>14.321317779145099</v>
      </c>
      <c r="N239">
        <v>14.281483990670599</v>
      </c>
      <c r="O239">
        <v>13.979577098214399</v>
      </c>
      <c r="P239">
        <v>0.57803347107217795</v>
      </c>
      <c r="Q239">
        <v>0.182585252778593</v>
      </c>
      <c r="R239">
        <v>0.97348168936576396</v>
      </c>
      <c r="S239">
        <v>14.040037880015699</v>
      </c>
      <c r="T239">
        <v>3.0854135112819101</v>
      </c>
      <c r="U239">
        <v>-2.9356209588942801</v>
      </c>
      <c r="V239">
        <v>6.7485262302202304E-3</v>
      </c>
      <c r="W239">
        <v>0.13863639070477099</v>
      </c>
      <c r="X239">
        <v>0</v>
      </c>
      <c r="Y239">
        <v>0</v>
      </c>
    </row>
    <row r="240" spans="1:25" x14ac:dyDescent="0.2">
      <c r="A240" t="s">
        <v>891</v>
      </c>
      <c r="B240" t="s">
        <v>892</v>
      </c>
      <c r="C240" t="s">
        <v>893</v>
      </c>
      <c r="D240" t="s">
        <v>107</v>
      </c>
      <c r="E240" t="s">
        <v>892</v>
      </c>
      <c r="F240" t="s">
        <v>28</v>
      </c>
      <c r="G240" t="s">
        <v>894</v>
      </c>
      <c r="H240" t="str">
        <f>"str-176"</f>
        <v>str-176</v>
      </c>
      <c r="I240" t="s">
        <v>107</v>
      </c>
      <c r="J240">
        <v>14.691667800415299</v>
      </c>
      <c r="K240">
        <v>14.019044334253</v>
      </c>
      <c r="L240">
        <v>14.1799997720278</v>
      </c>
      <c r="M240">
        <v>14.9300117545561</v>
      </c>
      <c r="N240">
        <v>14.416390369832101</v>
      </c>
      <c r="O240">
        <v>14.082687817658</v>
      </c>
      <c r="P240">
        <v>0.17945934511667799</v>
      </c>
      <c r="Q240">
        <v>-0.47038621213835502</v>
      </c>
      <c r="R240">
        <v>0.82930490237171095</v>
      </c>
      <c r="S240">
        <v>14.2148312333278</v>
      </c>
      <c r="T240">
        <v>0.59271759174814498</v>
      </c>
      <c r="U240">
        <v>-6.6984727681456704</v>
      </c>
      <c r="V240">
        <v>0.56289286082405798</v>
      </c>
      <c r="W240">
        <v>0.95650569706421396</v>
      </c>
      <c r="X240">
        <v>0</v>
      </c>
      <c r="Y240">
        <v>0</v>
      </c>
    </row>
    <row r="241" spans="1:25" x14ac:dyDescent="0.2">
      <c r="A241" t="s">
        <v>895</v>
      </c>
      <c r="B241" t="s">
        <v>896</v>
      </c>
      <c r="C241" t="s">
        <v>14246</v>
      </c>
      <c r="D241" t="s">
        <v>897</v>
      </c>
      <c r="E241" t="s">
        <v>896</v>
      </c>
      <c r="F241" t="s">
        <v>28</v>
      </c>
      <c r="G241" t="s">
        <v>896</v>
      </c>
      <c r="H241" t="str">
        <f>"Y50D4A.1"</f>
        <v>Y50D4A.1</v>
      </c>
      <c r="I241" t="s">
        <v>897</v>
      </c>
      <c r="J241">
        <v>11.959115936977399</v>
      </c>
      <c r="K241">
        <v>13.3807630915841</v>
      </c>
      <c r="L241">
        <v>12.9641653475742</v>
      </c>
      <c r="M241">
        <v>12.800305974378899</v>
      </c>
      <c r="N241">
        <v>13.079605836044101</v>
      </c>
      <c r="O241">
        <v>13.1516550217488</v>
      </c>
      <c r="P241">
        <v>0.242507485345381</v>
      </c>
      <c r="Q241">
        <v>-0.352277499185078</v>
      </c>
      <c r="R241">
        <v>0.83729246987584105</v>
      </c>
      <c r="S241">
        <v>13.168204247553399</v>
      </c>
      <c r="T241">
        <v>0.86479801073238005</v>
      </c>
      <c r="U241">
        <v>-6.4981899799848701</v>
      </c>
      <c r="V241">
        <v>0.40001332494195802</v>
      </c>
      <c r="W241">
        <v>0.91027279600179201</v>
      </c>
      <c r="X241">
        <v>0</v>
      </c>
      <c r="Y241">
        <v>0</v>
      </c>
    </row>
    <row r="242" spans="1:25" x14ac:dyDescent="0.2">
      <c r="A242" t="s">
        <v>898</v>
      </c>
      <c r="B242" t="s">
        <v>899</v>
      </c>
      <c r="C242" t="s">
        <v>900</v>
      </c>
      <c r="D242" t="s">
        <v>901</v>
      </c>
      <c r="E242" t="s">
        <v>899</v>
      </c>
      <c r="F242" t="s">
        <v>28</v>
      </c>
      <c r="G242" t="s">
        <v>899</v>
      </c>
      <c r="H242" t="str">
        <f>"nhr-119"</f>
        <v>nhr-119</v>
      </c>
      <c r="I242" t="s">
        <v>901</v>
      </c>
      <c r="J242" t="s">
        <v>29</v>
      </c>
      <c r="K242" t="s">
        <v>29</v>
      </c>
      <c r="L242" t="s">
        <v>29</v>
      </c>
      <c r="M242" t="s">
        <v>29</v>
      </c>
      <c r="N242">
        <v>10.780970486458299</v>
      </c>
      <c r="O242" t="s">
        <v>29</v>
      </c>
      <c r="P242" t="s">
        <v>29</v>
      </c>
      <c r="Q242" t="s">
        <v>29</v>
      </c>
      <c r="R242" t="s">
        <v>29</v>
      </c>
      <c r="S242">
        <v>11.2970360588912</v>
      </c>
      <c r="T242" t="s">
        <v>29</v>
      </c>
      <c r="U242" t="s">
        <v>29</v>
      </c>
      <c r="V242" t="s">
        <v>29</v>
      </c>
      <c r="W242" t="s">
        <v>29</v>
      </c>
      <c r="X242" t="s">
        <v>29</v>
      </c>
      <c r="Y242" t="s">
        <v>29</v>
      </c>
    </row>
    <row r="243" spans="1:25" x14ac:dyDescent="0.2">
      <c r="A243" t="s">
        <v>902</v>
      </c>
      <c r="B243" t="s">
        <v>903</v>
      </c>
      <c r="C243" t="s">
        <v>904</v>
      </c>
      <c r="D243" t="s">
        <v>905</v>
      </c>
      <c r="E243" t="s">
        <v>903</v>
      </c>
      <c r="F243" t="s">
        <v>28</v>
      </c>
      <c r="G243" t="s">
        <v>903</v>
      </c>
      <c r="H243" t="str">
        <f>"pqn-52"</f>
        <v>pqn-52</v>
      </c>
      <c r="I243" t="s">
        <v>905</v>
      </c>
      <c r="J243">
        <v>16.076508162008601</v>
      </c>
      <c r="K243">
        <v>15.9103727093534</v>
      </c>
      <c r="L243">
        <v>16.7894165353541</v>
      </c>
      <c r="M243">
        <v>16.004730911743799</v>
      </c>
      <c r="N243">
        <v>15.6150050884475</v>
      </c>
      <c r="O243">
        <v>15.653613015217401</v>
      </c>
      <c r="P243">
        <v>-0.50098279710248195</v>
      </c>
      <c r="Q243">
        <v>-1.31886286573344</v>
      </c>
      <c r="R243">
        <v>0.31689727152847402</v>
      </c>
      <c r="S243">
        <v>15.970391558551</v>
      </c>
      <c r="T243">
        <v>-1.28743615603203</v>
      </c>
      <c r="U243">
        <v>-6.05463352683085</v>
      </c>
      <c r="V243">
        <v>0.214344803342191</v>
      </c>
      <c r="W243">
        <v>0.79508962856638699</v>
      </c>
      <c r="X243">
        <v>0</v>
      </c>
      <c r="Y243">
        <v>0</v>
      </c>
    </row>
    <row r="244" spans="1:25" x14ac:dyDescent="0.2">
      <c r="A244" t="s">
        <v>906</v>
      </c>
      <c r="B244" t="s">
        <v>907</v>
      </c>
      <c r="C244" t="s">
        <v>908</v>
      </c>
      <c r="D244" t="s">
        <v>909</v>
      </c>
      <c r="E244" t="s">
        <v>907</v>
      </c>
      <c r="F244" t="s">
        <v>28</v>
      </c>
      <c r="G244" t="s">
        <v>907</v>
      </c>
      <c r="H244" t="str">
        <f>"ttn-1"</f>
        <v>ttn-1</v>
      </c>
      <c r="I244" t="s">
        <v>909</v>
      </c>
      <c r="J244">
        <v>14.3170271097219</v>
      </c>
      <c r="K244">
        <v>14.4381174917685</v>
      </c>
      <c r="L244">
        <v>14.7130061646836</v>
      </c>
      <c r="M244">
        <v>14.2035927859163</v>
      </c>
      <c r="N244">
        <v>14.099430619963499</v>
      </c>
      <c r="O244">
        <v>14.549841593543199</v>
      </c>
      <c r="P244">
        <v>-0.20509525558368899</v>
      </c>
      <c r="Q244">
        <v>-0.74250686226806795</v>
      </c>
      <c r="R244">
        <v>0.33231635110068902</v>
      </c>
      <c r="S244">
        <v>14.376157807070999</v>
      </c>
      <c r="T244">
        <v>-0.802123214155814</v>
      </c>
      <c r="U244">
        <v>-6.5522766480783501</v>
      </c>
      <c r="V244">
        <v>0.43300531826161698</v>
      </c>
      <c r="W244">
        <v>0.91512503332874395</v>
      </c>
      <c r="X244">
        <v>0</v>
      </c>
      <c r="Y244">
        <v>0</v>
      </c>
    </row>
    <row r="245" spans="1:25" x14ac:dyDescent="0.2">
      <c r="A245" t="s">
        <v>910</v>
      </c>
      <c r="B245" t="s">
        <v>911</v>
      </c>
      <c r="C245" t="s">
        <v>14247</v>
      </c>
      <c r="D245" t="s">
        <v>912</v>
      </c>
      <c r="E245" t="s">
        <v>911</v>
      </c>
      <c r="F245" t="s">
        <v>28</v>
      </c>
      <c r="G245" t="s">
        <v>911</v>
      </c>
      <c r="H245" t="str">
        <f>"T10F2.5"</f>
        <v>T10F2.5</v>
      </c>
      <c r="I245" t="s">
        <v>912</v>
      </c>
      <c r="J245">
        <v>14.3955559119595</v>
      </c>
      <c r="K245" t="s">
        <v>29</v>
      </c>
      <c r="L245">
        <v>13.4747996115987</v>
      </c>
      <c r="M245">
        <v>13.6099620283912</v>
      </c>
      <c r="N245">
        <v>14.123103109988699</v>
      </c>
      <c r="O245">
        <v>13.8155935246178</v>
      </c>
      <c r="P245">
        <v>-8.56248741132042E-2</v>
      </c>
      <c r="Q245">
        <v>-0.80290519564669505</v>
      </c>
      <c r="R245">
        <v>0.63165544742028701</v>
      </c>
      <c r="S245">
        <v>13.180131236710199</v>
      </c>
      <c r="T245">
        <v>-0.26034907697776999</v>
      </c>
      <c r="U245">
        <v>-6.73604128079704</v>
      </c>
      <c r="V245">
        <v>0.79904656835477805</v>
      </c>
      <c r="W245">
        <v>0.99278624068726296</v>
      </c>
      <c r="X245">
        <v>0</v>
      </c>
      <c r="Y245">
        <v>0</v>
      </c>
    </row>
    <row r="246" spans="1:25" x14ac:dyDescent="0.2">
      <c r="A246" t="s">
        <v>913</v>
      </c>
      <c r="B246" t="s">
        <v>914</v>
      </c>
      <c r="C246" t="s">
        <v>14171</v>
      </c>
      <c r="D246" t="s">
        <v>915</v>
      </c>
      <c r="E246" t="s">
        <v>914</v>
      </c>
      <c r="F246" t="s">
        <v>28</v>
      </c>
      <c r="G246" t="s">
        <v>914</v>
      </c>
      <c r="H246" t="str">
        <f>"Y92H12BM.1"</f>
        <v>Y92H12BM.1</v>
      </c>
      <c r="I246" t="s">
        <v>915</v>
      </c>
      <c r="J246">
        <v>10.2205996185674</v>
      </c>
      <c r="K246" t="s">
        <v>29</v>
      </c>
      <c r="L246">
        <v>10.361591120431401</v>
      </c>
      <c r="M246">
        <v>13.595347729640901</v>
      </c>
      <c r="N246">
        <v>13.808978929060901</v>
      </c>
      <c r="O246">
        <v>13.847095093061601</v>
      </c>
      <c r="P246">
        <v>3.4593785477550498</v>
      </c>
      <c r="Q246">
        <v>2.9021393487207798</v>
      </c>
      <c r="R246">
        <v>4.01661774678933</v>
      </c>
      <c r="S246">
        <v>13.1312676075153</v>
      </c>
      <c r="T246">
        <v>13.167579783216899</v>
      </c>
      <c r="U246">
        <v>13.045820724485401</v>
      </c>
      <c r="V246" s="2">
        <v>5.7680929762664995E-10</v>
      </c>
      <c r="W246" s="2">
        <v>3.8392426850029798E-7</v>
      </c>
      <c r="X246">
        <v>1</v>
      </c>
      <c r="Y246">
        <v>1</v>
      </c>
    </row>
    <row r="247" spans="1:25" x14ac:dyDescent="0.2">
      <c r="A247" t="s">
        <v>916</v>
      </c>
      <c r="B247" t="s">
        <v>917</v>
      </c>
      <c r="C247" t="s">
        <v>918</v>
      </c>
      <c r="D247" t="s">
        <v>919</v>
      </c>
      <c r="E247" t="s">
        <v>917</v>
      </c>
      <c r="F247" t="s">
        <v>28</v>
      </c>
      <c r="G247" t="s">
        <v>917</v>
      </c>
      <c r="H247" t="str">
        <f>"mtg-1"</f>
        <v>mtg-1</v>
      </c>
      <c r="I247" t="s">
        <v>919</v>
      </c>
      <c r="J247">
        <v>10.892559198808399</v>
      </c>
      <c r="K247">
        <v>11.00562227132</v>
      </c>
      <c r="L247">
        <v>11.165406456319801</v>
      </c>
      <c r="M247">
        <v>10.8199405339997</v>
      </c>
      <c r="N247">
        <v>11.754426615658801</v>
      </c>
      <c r="O247" t="s">
        <v>29</v>
      </c>
      <c r="P247">
        <v>0.26598759934652</v>
      </c>
      <c r="Q247">
        <v>-0.43287052414506599</v>
      </c>
      <c r="R247">
        <v>0.96484572283810599</v>
      </c>
      <c r="S247">
        <v>11.7630028361218</v>
      </c>
      <c r="T247">
        <v>0.81689128879563899</v>
      </c>
      <c r="U247">
        <v>-6.4274553551401601</v>
      </c>
      <c r="V247">
        <v>0.42777494222767298</v>
      </c>
      <c r="W247">
        <v>0.91512503332874395</v>
      </c>
      <c r="X247">
        <v>0</v>
      </c>
      <c r="Y247">
        <v>0</v>
      </c>
    </row>
    <row r="248" spans="1:25" x14ac:dyDescent="0.2">
      <c r="A248" t="s">
        <v>920</v>
      </c>
      <c r="B248" t="s">
        <v>921</v>
      </c>
      <c r="C248" t="s">
        <v>922</v>
      </c>
      <c r="D248" t="s">
        <v>93</v>
      </c>
      <c r="E248" t="s">
        <v>921</v>
      </c>
      <c r="F248" t="s">
        <v>28</v>
      </c>
      <c r="G248" t="s">
        <v>921</v>
      </c>
      <c r="H248" t="str">
        <f>"hrpu-2"</f>
        <v>hrpu-2</v>
      </c>
      <c r="I248" t="s">
        <v>93</v>
      </c>
      <c r="J248">
        <v>17.362313263654201</v>
      </c>
      <c r="K248">
        <v>17.768661615750599</v>
      </c>
      <c r="L248">
        <v>17.793895299654999</v>
      </c>
      <c r="M248">
        <v>17.459313507806499</v>
      </c>
      <c r="N248">
        <v>17.398974531404601</v>
      </c>
      <c r="O248">
        <v>17.3819271991694</v>
      </c>
      <c r="P248">
        <v>-0.22821831355976499</v>
      </c>
      <c r="Q248">
        <v>-0.66817697604235204</v>
      </c>
      <c r="R248">
        <v>0.21174034892282201</v>
      </c>
      <c r="S248">
        <v>17.651722802158201</v>
      </c>
      <c r="T248">
        <v>-1.0902626436996099</v>
      </c>
      <c r="U248">
        <v>-6.2813711684797902</v>
      </c>
      <c r="V248">
        <v>0.29006122753111402</v>
      </c>
      <c r="W248">
        <v>0.856190392347986</v>
      </c>
      <c r="X248">
        <v>0</v>
      </c>
      <c r="Y248">
        <v>0</v>
      </c>
    </row>
    <row r="249" spans="1:25" x14ac:dyDescent="0.2">
      <c r="A249" t="s">
        <v>923</v>
      </c>
      <c r="B249" t="s">
        <v>924</v>
      </c>
      <c r="C249" t="s">
        <v>925</v>
      </c>
      <c r="D249" t="s">
        <v>926</v>
      </c>
      <c r="E249" t="s">
        <v>924</v>
      </c>
      <c r="F249" t="s">
        <v>28</v>
      </c>
      <c r="G249" t="s">
        <v>924</v>
      </c>
      <c r="H249" t="str">
        <f>"slc-36.2"</f>
        <v>slc-36.2</v>
      </c>
      <c r="I249" t="s">
        <v>926</v>
      </c>
      <c r="J249">
        <v>15.0153462890482</v>
      </c>
      <c r="K249">
        <v>15.156529550622301</v>
      </c>
      <c r="L249">
        <v>14.9193734868983</v>
      </c>
      <c r="M249">
        <v>14.945446611092301</v>
      </c>
      <c r="N249">
        <v>15.047089252647201</v>
      </c>
      <c r="O249">
        <v>14.6652697456592</v>
      </c>
      <c r="P249">
        <v>-0.144481239056688</v>
      </c>
      <c r="Q249">
        <v>-0.60655847203642099</v>
      </c>
      <c r="R249">
        <v>0.31759599392304499</v>
      </c>
      <c r="S249">
        <v>14.9781872952759</v>
      </c>
      <c r="T249">
        <v>-0.65718765938152701</v>
      </c>
      <c r="U249">
        <v>-6.6595327045744801</v>
      </c>
      <c r="V249">
        <v>0.51942408238066295</v>
      </c>
      <c r="W249">
        <v>0.94227592550871997</v>
      </c>
      <c r="X249">
        <v>0</v>
      </c>
      <c r="Y249">
        <v>0</v>
      </c>
    </row>
    <row r="250" spans="1:25" x14ac:dyDescent="0.2">
      <c r="A250" t="s">
        <v>927</v>
      </c>
      <c r="B250" t="s">
        <v>928</v>
      </c>
      <c r="C250" t="s">
        <v>929</v>
      </c>
      <c r="D250" t="s">
        <v>930</v>
      </c>
      <c r="E250" t="s">
        <v>928</v>
      </c>
      <c r="F250" t="s">
        <v>28</v>
      </c>
      <c r="G250" t="s">
        <v>928</v>
      </c>
      <c r="H250" t="str">
        <f>"abtm-1"</f>
        <v>abtm-1</v>
      </c>
      <c r="I250" t="s">
        <v>930</v>
      </c>
      <c r="J250">
        <v>13.950891351375001</v>
      </c>
      <c r="K250">
        <v>13.9453088298523</v>
      </c>
      <c r="L250">
        <v>13.5627318949975</v>
      </c>
      <c r="M250">
        <v>13.749901985668901</v>
      </c>
      <c r="N250">
        <v>13.5522825805284</v>
      </c>
      <c r="O250">
        <v>13.5418610657791</v>
      </c>
      <c r="P250">
        <v>-0.20496214808278501</v>
      </c>
      <c r="Q250">
        <v>-0.63129593663042105</v>
      </c>
      <c r="R250">
        <v>0.221371640464851</v>
      </c>
      <c r="S250">
        <v>13.6740276515748</v>
      </c>
      <c r="T250">
        <v>-1.0104537120444099</v>
      </c>
      <c r="U250">
        <v>-6.3638252043792303</v>
      </c>
      <c r="V250">
        <v>0.32574637235486298</v>
      </c>
      <c r="W250">
        <v>0.87094589458108596</v>
      </c>
      <c r="X250">
        <v>0</v>
      </c>
      <c r="Y250">
        <v>0</v>
      </c>
    </row>
    <row r="251" spans="1:25" x14ac:dyDescent="0.2">
      <c r="A251" t="s">
        <v>931</v>
      </c>
      <c r="B251" t="s">
        <v>932</v>
      </c>
      <c r="C251" t="s">
        <v>933</v>
      </c>
      <c r="D251" t="s">
        <v>178</v>
      </c>
      <c r="E251" t="s">
        <v>932</v>
      </c>
      <c r="F251" t="s">
        <v>28</v>
      </c>
      <c r="G251" t="s">
        <v>932</v>
      </c>
      <c r="H251" t="str">
        <f>"tbc-9"</f>
        <v>tbc-9</v>
      </c>
      <c r="I251" t="s">
        <v>178</v>
      </c>
      <c r="J251">
        <v>11.006377981375101</v>
      </c>
      <c r="K251">
        <v>11.898298025546101</v>
      </c>
      <c r="L251">
        <v>11.521636654200901</v>
      </c>
      <c r="M251">
        <v>11.246604247653501</v>
      </c>
      <c r="N251">
        <v>11.622069661182101</v>
      </c>
      <c r="O251">
        <v>11.880970286867999</v>
      </c>
      <c r="P251">
        <v>0.107777178193821</v>
      </c>
      <c r="Q251">
        <v>-0.67633137155404599</v>
      </c>
      <c r="R251">
        <v>0.89188572794168797</v>
      </c>
      <c r="S251">
        <v>11.697421566274301</v>
      </c>
      <c r="T251">
        <v>0.293151570574264</v>
      </c>
      <c r="U251">
        <v>-6.8372403392106103</v>
      </c>
      <c r="V251">
        <v>0.77345096270851599</v>
      </c>
      <c r="W251">
        <v>0.99278624068726296</v>
      </c>
      <c r="X251">
        <v>0</v>
      </c>
      <c r="Y251">
        <v>0</v>
      </c>
    </row>
    <row r="252" spans="1:25" x14ac:dyDescent="0.2">
      <c r="A252" t="s">
        <v>934</v>
      </c>
      <c r="B252" t="s">
        <v>935</v>
      </c>
      <c r="C252" t="s">
        <v>936</v>
      </c>
      <c r="D252" t="s">
        <v>937</v>
      </c>
      <c r="E252" t="s">
        <v>935</v>
      </c>
      <c r="F252" t="s">
        <v>28</v>
      </c>
      <c r="G252" t="s">
        <v>935</v>
      </c>
      <c r="H252" t="str">
        <f>"cir-1"</f>
        <v>cir-1</v>
      </c>
      <c r="I252" t="s">
        <v>937</v>
      </c>
      <c r="J252">
        <v>12.702419251531699</v>
      </c>
      <c r="K252">
        <v>12.5906853584743</v>
      </c>
      <c r="L252">
        <v>13.176833625487999</v>
      </c>
      <c r="M252">
        <v>12.662829908128399</v>
      </c>
      <c r="N252">
        <v>13.026084948920399</v>
      </c>
      <c r="O252">
        <v>12.8737604172999</v>
      </c>
      <c r="P252">
        <v>3.0912346284871699E-2</v>
      </c>
      <c r="Q252">
        <v>-0.65329874618948303</v>
      </c>
      <c r="R252">
        <v>0.71512343875922701</v>
      </c>
      <c r="S252">
        <v>12.9179646629446</v>
      </c>
      <c r="T252">
        <v>9.6357043221178107E-2</v>
      </c>
      <c r="U252">
        <v>-6.8775881788996296</v>
      </c>
      <c r="V252">
        <v>0.92452151405346095</v>
      </c>
      <c r="W252">
        <v>0.99843270744267199</v>
      </c>
      <c r="X252">
        <v>0</v>
      </c>
      <c r="Y252">
        <v>0</v>
      </c>
    </row>
    <row r="253" spans="1:25" x14ac:dyDescent="0.2">
      <c r="A253" t="s">
        <v>938</v>
      </c>
      <c r="B253" t="s">
        <v>939</v>
      </c>
      <c r="C253" t="s">
        <v>940</v>
      </c>
      <c r="D253" t="s">
        <v>941</v>
      </c>
      <c r="E253" t="s">
        <v>939</v>
      </c>
      <c r="F253" t="s">
        <v>28</v>
      </c>
      <c r="G253" t="s">
        <v>939</v>
      </c>
      <c r="H253" t="str">
        <f>"sax-3"</f>
        <v>sax-3</v>
      </c>
      <c r="I253" t="s">
        <v>941</v>
      </c>
      <c r="J253" t="s">
        <v>29</v>
      </c>
      <c r="K253" t="s">
        <v>29</v>
      </c>
      <c r="L253" t="s">
        <v>29</v>
      </c>
      <c r="M253" t="s">
        <v>29</v>
      </c>
      <c r="N253" t="s">
        <v>29</v>
      </c>
      <c r="O253" t="s">
        <v>29</v>
      </c>
      <c r="P253" t="s">
        <v>29</v>
      </c>
      <c r="Q253" t="s">
        <v>29</v>
      </c>
      <c r="R253" t="s">
        <v>29</v>
      </c>
      <c r="S253">
        <v>10.700055777954001</v>
      </c>
      <c r="T253" t="s">
        <v>29</v>
      </c>
      <c r="U253" t="s">
        <v>29</v>
      </c>
      <c r="V253" t="s">
        <v>29</v>
      </c>
      <c r="W253" t="s">
        <v>29</v>
      </c>
      <c r="X253" t="s">
        <v>29</v>
      </c>
      <c r="Y253" t="s">
        <v>29</v>
      </c>
    </row>
    <row r="254" spans="1:25" x14ac:dyDescent="0.2">
      <c r="A254" t="s">
        <v>942</v>
      </c>
      <c r="B254" t="s">
        <v>943</v>
      </c>
      <c r="C254" t="s">
        <v>944</v>
      </c>
      <c r="D254" t="s">
        <v>945</v>
      </c>
      <c r="E254" t="s">
        <v>943</v>
      </c>
      <c r="F254" t="s">
        <v>28</v>
      </c>
      <c r="G254" t="s">
        <v>943</v>
      </c>
      <c r="H254" t="str">
        <f>"pud-2.1"</f>
        <v>pud-2.1</v>
      </c>
      <c r="I254" t="s">
        <v>945</v>
      </c>
      <c r="J254">
        <v>12.579989328216101</v>
      </c>
      <c r="K254" t="s">
        <v>29</v>
      </c>
      <c r="L254" t="s">
        <v>29</v>
      </c>
      <c r="M254">
        <v>11.288154373960699</v>
      </c>
      <c r="N254" t="s">
        <v>29</v>
      </c>
      <c r="O254" t="s">
        <v>29</v>
      </c>
      <c r="P254">
        <v>-1.2918349542554</v>
      </c>
      <c r="Q254">
        <v>-3.4791490691340701</v>
      </c>
      <c r="R254">
        <v>0.89547916062327204</v>
      </c>
      <c r="S254">
        <v>12.743811753127099</v>
      </c>
      <c r="T254">
        <v>-1.2769771330291599</v>
      </c>
      <c r="U254">
        <v>-5.5426659345685803</v>
      </c>
      <c r="V254">
        <v>0.22412599103158601</v>
      </c>
      <c r="W254">
        <v>0.80117217846736799</v>
      </c>
      <c r="X254">
        <v>0</v>
      </c>
      <c r="Y254">
        <v>0</v>
      </c>
    </row>
    <row r="255" spans="1:25" x14ac:dyDescent="0.2">
      <c r="A255" t="s">
        <v>946</v>
      </c>
      <c r="B255" t="s">
        <v>947</v>
      </c>
      <c r="C255" t="s">
        <v>948</v>
      </c>
      <c r="D255" t="s">
        <v>949</v>
      </c>
      <c r="E255" t="s">
        <v>947</v>
      </c>
      <c r="F255" t="s">
        <v>28</v>
      </c>
      <c r="G255" t="s">
        <v>947</v>
      </c>
      <c r="H255" t="str">
        <f>"lgmn-1"</f>
        <v>lgmn-1</v>
      </c>
      <c r="I255" t="s">
        <v>949</v>
      </c>
      <c r="J255">
        <v>14.397330712238199</v>
      </c>
      <c r="K255">
        <v>13.7209944856377</v>
      </c>
      <c r="L255">
        <v>14.0968536431469</v>
      </c>
      <c r="M255">
        <v>14.133660026669199</v>
      </c>
      <c r="N255">
        <v>13.5993074197838</v>
      </c>
      <c r="O255">
        <v>14.2265177018192</v>
      </c>
      <c r="P255">
        <v>-8.5231230916834405E-2</v>
      </c>
      <c r="Q255">
        <v>-0.88164516317761099</v>
      </c>
      <c r="R255">
        <v>0.71118270134394201</v>
      </c>
      <c r="S255">
        <v>13.8277194209185</v>
      </c>
      <c r="T255">
        <v>-0.22493261118813301</v>
      </c>
      <c r="U255">
        <v>-6.8560916338373703</v>
      </c>
      <c r="V255">
        <v>0.824580215519092</v>
      </c>
      <c r="W255">
        <v>0.992837538801569</v>
      </c>
      <c r="X255">
        <v>0</v>
      </c>
      <c r="Y255">
        <v>0</v>
      </c>
    </row>
    <row r="256" spans="1:25" x14ac:dyDescent="0.2">
      <c r="A256" t="s">
        <v>950</v>
      </c>
      <c r="B256" t="s">
        <v>951</v>
      </c>
      <c r="C256" t="s">
        <v>952</v>
      </c>
      <c r="D256" t="s">
        <v>953</v>
      </c>
      <c r="E256" t="s">
        <v>951</v>
      </c>
      <c r="F256" t="s">
        <v>28</v>
      </c>
      <c r="G256" t="s">
        <v>951</v>
      </c>
      <c r="H256" t="str">
        <f>"rde-4"</f>
        <v>rde-4</v>
      </c>
      <c r="I256" t="s">
        <v>953</v>
      </c>
      <c r="J256">
        <v>13.9415403978082</v>
      </c>
      <c r="K256">
        <v>13.631220333598799</v>
      </c>
      <c r="L256">
        <v>13.6145439469664</v>
      </c>
      <c r="M256">
        <v>14.8282666316902</v>
      </c>
      <c r="N256">
        <v>14.9940216308663</v>
      </c>
      <c r="O256">
        <v>15.01972550977</v>
      </c>
      <c r="P256">
        <v>1.2182363646510701</v>
      </c>
      <c r="Q256">
        <v>0.62093295435132401</v>
      </c>
      <c r="R256">
        <v>1.81553977495082</v>
      </c>
      <c r="S256">
        <v>14.3896274708015</v>
      </c>
      <c r="T256">
        <v>4.2867590950264196</v>
      </c>
      <c r="U256">
        <v>-0.30726072762594597</v>
      </c>
      <c r="V256">
        <v>4.4924121449284402E-4</v>
      </c>
      <c r="W256">
        <v>1.66119417981354E-2</v>
      </c>
      <c r="X256">
        <v>1</v>
      </c>
      <c r="Y256">
        <v>1</v>
      </c>
    </row>
    <row r="257" spans="1:25" x14ac:dyDescent="0.2">
      <c r="A257" t="s">
        <v>954</v>
      </c>
      <c r="B257" t="s">
        <v>955</v>
      </c>
      <c r="C257" t="s">
        <v>956</v>
      </c>
      <c r="D257" t="s">
        <v>957</v>
      </c>
      <c r="E257" t="s">
        <v>955</v>
      </c>
      <c r="F257" t="s">
        <v>28</v>
      </c>
      <c r="G257" t="s">
        <v>955</v>
      </c>
      <c r="H257" t="str">
        <f>"egl-8"</f>
        <v>egl-8</v>
      </c>
      <c r="I257" t="s">
        <v>957</v>
      </c>
      <c r="J257">
        <v>13.1672224866586</v>
      </c>
      <c r="K257" t="s">
        <v>29</v>
      </c>
      <c r="L257" t="s">
        <v>29</v>
      </c>
      <c r="M257">
        <v>12.825320649204199</v>
      </c>
      <c r="N257">
        <v>12.3410983356712</v>
      </c>
      <c r="O257">
        <v>12.1279655849763</v>
      </c>
      <c r="P257">
        <v>-0.73576096337470398</v>
      </c>
      <c r="Q257">
        <v>-1.8858677459375499</v>
      </c>
      <c r="R257">
        <v>0.414345819188144</v>
      </c>
      <c r="S257">
        <v>11.485753495443101</v>
      </c>
      <c r="T257">
        <v>-1.38320268062357</v>
      </c>
      <c r="U257">
        <v>-5.6008982179949403</v>
      </c>
      <c r="V257">
        <v>0.190083621155201</v>
      </c>
      <c r="W257">
        <v>0.78295732499061499</v>
      </c>
      <c r="X257">
        <v>0</v>
      </c>
      <c r="Y257">
        <v>0</v>
      </c>
    </row>
    <row r="258" spans="1:25" x14ac:dyDescent="0.2">
      <c r="A258" t="s">
        <v>958</v>
      </c>
      <c r="B258" t="s">
        <v>959</v>
      </c>
      <c r="C258" t="s">
        <v>960</v>
      </c>
      <c r="D258" t="s">
        <v>961</v>
      </c>
      <c r="E258" t="s">
        <v>959</v>
      </c>
      <c r="F258" t="s">
        <v>28</v>
      </c>
      <c r="G258" t="s">
        <v>959</v>
      </c>
      <c r="H258" t="str">
        <f>"tat-5"</f>
        <v>tat-5</v>
      </c>
      <c r="I258" t="s">
        <v>961</v>
      </c>
      <c r="J258">
        <v>13.082799011155201</v>
      </c>
      <c r="K258">
        <v>13.147862547203299</v>
      </c>
      <c r="L258">
        <v>13.0058582987875</v>
      </c>
      <c r="M258">
        <v>13.2386327693639</v>
      </c>
      <c r="N258">
        <v>13.171909017554601</v>
      </c>
      <c r="O258">
        <v>13.0657435878801</v>
      </c>
      <c r="P258">
        <v>7.9921839217524507E-2</v>
      </c>
      <c r="Q258">
        <v>-0.34098539108755999</v>
      </c>
      <c r="R258">
        <v>0.50082906952260897</v>
      </c>
      <c r="S258">
        <v>13.046465909581199</v>
      </c>
      <c r="T258">
        <v>0.40274356808268302</v>
      </c>
      <c r="U258">
        <v>-6.7976115853570898</v>
      </c>
      <c r="V258">
        <v>0.692501706834452</v>
      </c>
      <c r="W258">
        <v>0.98642420921484297</v>
      </c>
      <c r="X258">
        <v>0</v>
      </c>
      <c r="Y258">
        <v>0</v>
      </c>
    </row>
    <row r="259" spans="1:25" x14ac:dyDescent="0.2">
      <c r="A259" t="s">
        <v>962</v>
      </c>
      <c r="B259" t="s">
        <v>963</v>
      </c>
      <c r="C259" t="s">
        <v>964</v>
      </c>
      <c r="D259" t="s">
        <v>965</v>
      </c>
      <c r="E259" t="s">
        <v>963</v>
      </c>
      <c r="F259" t="s">
        <v>28</v>
      </c>
      <c r="G259" t="s">
        <v>963</v>
      </c>
      <c r="H259" t="str">
        <f>"cdr-7"</f>
        <v>cdr-7</v>
      </c>
      <c r="I259" t="s">
        <v>965</v>
      </c>
      <c r="J259">
        <v>12.8812266799053</v>
      </c>
      <c r="K259">
        <v>12.9979240849033</v>
      </c>
      <c r="L259">
        <v>12.8937601310476</v>
      </c>
      <c r="M259">
        <v>13.1821425132163</v>
      </c>
      <c r="N259">
        <v>12.7028594298424</v>
      </c>
      <c r="O259" t="s">
        <v>29</v>
      </c>
      <c r="P259">
        <v>1.8197339577318099E-2</v>
      </c>
      <c r="Q259">
        <v>-0.856246649692738</v>
      </c>
      <c r="R259">
        <v>0.89264132884737402</v>
      </c>
      <c r="S259">
        <v>12.8984447104651</v>
      </c>
      <c r="T259">
        <v>4.4665047007091799E-2</v>
      </c>
      <c r="U259">
        <v>-6.7711493142703096</v>
      </c>
      <c r="V259">
        <v>0.96500983655933303</v>
      </c>
      <c r="W259">
        <v>0.99968702248720698</v>
      </c>
      <c r="X259">
        <v>0</v>
      </c>
      <c r="Y259">
        <v>0</v>
      </c>
    </row>
    <row r="260" spans="1:25" x14ac:dyDescent="0.2">
      <c r="A260" t="s">
        <v>966</v>
      </c>
      <c r="B260" t="s">
        <v>967</v>
      </c>
      <c r="C260" t="s">
        <v>968</v>
      </c>
      <c r="D260" t="s">
        <v>969</v>
      </c>
      <c r="E260" t="s">
        <v>967</v>
      </c>
      <c r="F260" t="s">
        <v>28</v>
      </c>
      <c r="G260" t="s">
        <v>967</v>
      </c>
      <c r="H260" t="str">
        <f>"4D656"</f>
        <v>4D656</v>
      </c>
      <c r="I260" t="s">
        <v>969</v>
      </c>
      <c r="J260">
        <v>15.3072138391459</v>
      </c>
      <c r="K260">
        <v>14.8888759869014</v>
      </c>
      <c r="L260">
        <v>14.605415080087999</v>
      </c>
      <c r="M260">
        <v>14.868200966956501</v>
      </c>
      <c r="N260">
        <v>14.3489204190239</v>
      </c>
      <c r="O260">
        <v>14.7252560179806</v>
      </c>
      <c r="P260">
        <v>-0.28637583405808398</v>
      </c>
      <c r="Q260">
        <v>-0.84089294054103603</v>
      </c>
      <c r="R260">
        <v>0.26814127242486702</v>
      </c>
      <c r="S260">
        <v>14.4472387559283</v>
      </c>
      <c r="T260">
        <v>-1.0854602694665501</v>
      </c>
      <c r="U260">
        <v>-6.2864884240266896</v>
      </c>
      <c r="V260">
        <v>0.29212463810211198</v>
      </c>
      <c r="W260">
        <v>0.85855590823088301</v>
      </c>
      <c r="X260">
        <v>0</v>
      </c>
      <c r="Y260">
        <v>0</v>
      </c>
    </row>
    <row r="261" spans="1:25" x14ac:dyDescent="0.2">
      <c r="A261" t="s">
        <v>970</v>
      </c>
      <c r="B261" t="s">
        <v>971</v>
      </c>
      <c r="C261" t="s">
        <v>972</v>
      </c>
      <c r="D261" t="s">
        <v>412</v>
      </c>
      <c r="E261" t="s">
        <v>971</v>
      </c>
      <c r="F261" t="s">
        <v>28</v>
      </c>
      <c r="G261" t="s">
        <v>971</v>
      </c>
      <c r="H261" t="str">
        <f>"mlt-4"</f>
        <v>mlt-4</v>
      </c>
      <c r="I261" t="s">
        <v>412</v>
      </c>
      <c r="J261" t="s">
        <v>29</v>
      </c>
      <c r="K261">
        <v>13.793987917205101</v>
      </c>
      <c r="L261" t="s">
        <v>29</v>
      </c>
      <c r="M261">
        <v>17.021979699881499</v>
      </c>
      <c r="N261">
        <v>17.063535179238201</v>
      </c>
      <c r="O261">
        <v>16.717502293178701</v>
      </c>
      <c r="P261">
        <v>3.14035114022768</v>
      </c>
      <c r="Q261">
        <v>2.2236036566187098</v>
      </c>
      <c r="R261">
        <v>4.05709862383664</v>
      </c>
      <c r="S261">
        <v>13.6669146930357</v>
      </c>
      <c r="T261">
        <v>7.3058388928296196</v>
      </c>
      <c r="U261">
        <v>4.9977155788318504</v>
      </c>
      <c r="V261" s="2">
        <v>2.6941323623223799E-6</v>
      </c>
      <c r="W261">
        <v>2.42326283832672E-4</v>
      </c>
      <c r="X261">
        <v>1</v>
      </c>
      <c r="Y261">
        <v>1</v>
      </c>
    </row>
    <row r="262" spans="1:25" x14ac:dyDescent="0.2">
      <c r="A262" t="s">
        <v>973</v>
      </c>
      <c r="B262" t="s">
        <v>974</v>
      </c>
      <c r="C262" t="s">
        <v>975</v>
      </c>
      <c r="D262" t="s">
        <v>976</v>
      </c>
      <c r="E262" t="s">
        <v>974</v>
      </c>
      <c r="F262" t="s">
        <v>28</v>
      </c>
      <c r="G262" t="s">
        <v>974</v>
      </c>
      <c r="H262" t="str">
        <f>"fbp-1"</f>
        <v>fbp-1</v>
      </c>
      <c r="I262" t="s">
        <v>976</v>
      </c>
      <c r="J262">
        <v>14.9163050370198</v>
      </c>
      <c r="K262">
        <v>13.193836632654801</v>
      </c>
      <c r="L262">
        <v>12.770316590151999</v>
      </c>
      <c r="M262">
        <v>13.5277248601962</v>
      </c>
      <c r="N262">
        <v>12.543110174165999</v>
      </c>
      <c r="O262">
        <v>14.297831092971601</v>
      </c>
      <c r="P262">
        <v>-0.17059737749757001</v>
      </c>
      <c r="Q262">
        <v>-1.75526343895321</v>
      </c>
      <c r="R262">
        <v>1.4140686839580701</v>
      </c>
      <c r="S262">
        <v>13.520150897350399</v>
      </c>
      <c r="T262">
        <v>-0.22627006783240999</v>
      </c>
      <c r="U262">
        <v>-6.8557772284778897</v>
      </c>
      <c r="V262">
        <v>0.823555737370949</v>
      </c>
      <c r="W262">
        <v>0.992837538801569</v>
      </c>
      <c r="X262">
        <v>0</v>
      </c>
      <c r="Y262">
        <v>0</v>
      </c>
    </row>
    <row r="263" spans="1:25" x14ac:dyDescent="0.2">
      <c r="A263" t="s">
        <v>977</v>
      </c>
      <c r="B263" t="s">
        <v>978</v>
      </c>
      <c r="C263" t="s">
        <v>979</v>
      </c>
      <c r="D263" t="s">
        <v>980</v>
      </c>
      <c r="E263" t="s">
        <v>978</v>
      </c>
      <c r="F263" t="s">
        <v>28</v>
      </c>
      <c r="G263" t="s">
        <v>978</v>
      </c>
      <c r="H263" t="str">
        <f>"pbo-4"</f>
        <v>pbo-4</v>
      </c>
      <c r="I263" t="s">
        <v>980</v>
      </c>
      <c r="J263">
        <v>13.353476951068201</v>
      </c>
      <c r="K263">
        <v>13.046382967313701</v>
      </c>
      <c r="L263">
        <v>13.1717755421896</v>
      </c>
      <c r="M263">
        <v>13.2525716145107</v>
      </c>
      <c r="N263">
        <v>12.921968458432399</v>
      </c>
      <c r="O263">
        <v>13.3433162296388</v>
      </c>
      <c r="P263">
        <v>-1.7926385996556601E-2</v>
      </c>
      <c r="Q263">
        <v>-0.79154056429464803</v>
      </c>
      <c r="R263">
        <v>0.75568779230153504</v>
      </c>
      <c r="S263">
        <v>12.213644851611701</v>
      </c>
      <c r="T263">
        <v>-4.8912328267071703E-2</v>
      </c>
      <c r="U263">
        <v>-6.8812357155630499</v>
      </c>
      <c r="V263">
        <v>0.96156274157930799</v>
      </c>
      <c r="W263">
        <v>0.99968702248720698</v>
      </c>
      <c r="X263">
        <v>0</v>
      </c>
      <c r="Y263">
        <v>0</v>
      </c>
    </row>
    <row r="264" spans="1:25" x14ac:dyDescent="0.2">
      <c r="A264" t="s">
        <v>981</v>
      </c>
      <c r="B264" t="s">
        <v>982</v>
      </c>
      <c r="C264" t="s">
        <v>983</v>
      </c>
      <c r="D264" t="s">
        <v>984</v>
      </c>
      <c r="E264" t="s">
        <v>982</v>
      </c>
      <c r="F264" t="s">
        <v>28</v>
      </c>
      <c r="G264" t="s">
        <v>982</v>
      </c>
      <c r="H264" t="str">
        <f>"erm-1"</f>
        <v>erm-1</v>
      </c>
      <c r="I264" t="s">
        <v>984</v>
      </c>
      <c r="J264">
        <v>14.033120887856599</v>
      </c>
      <c r="K264">
        <v>14.037620336681799</v>
      </c>
      <c r="L264">
        <v>13.8524193951518</v>
      </c>
      <c r="M264">
        <v>14.380254619179301</v>
      </c>
      <c r="N264">
        <v>14.306041152055499</v>
      </c>
      <c r="O264">
        <v>14.8496160014735</v>
      </c>
      <c r="P264">
        <v>0.53758371767272295</v>
      </c>
      <c r="Q264">
        <v>-4.6794107302932299E-2</v>
      </c>
      <c r="R264">
        <v>1.12196154264838</v>
      </c>
      <c r="S264">
        <v>14.163374363051799</v>
      </c>
      <c r="T264">
        <v>1.9335031850486899</v>
      </c>
      <c r="U264">
        <v>-5.1104468713628304</v>
      </c>
      <c r="V264">
        <v>6.91528617119056E-2</v>
      </c>
      <c r="W264">
        <v>0.56684907334291101</v>
      </c>
      <c r="X264">
        <v>0</v>
      </c>
      <c r="Y264">
        <v>0</v>
      </c>
    </row>
    <row r="265" spans="1:25" x14ac:dyDescent="0.2">
      <c r="A265" t="s">
        <v>985</v>
      </c>
      <c r="B265" t="s">
        <v>986</v>
      </c>
      <c r="C265" t="s">
        <v>987</v>
      </c>
      <c r="D265" t="s">
        <v>988</v>
      </c>
      <c r="E265" t="s">
        <v>986</v>
      </c>
      <c r="F265" t="s">
        <v>28</v>
      </c>
      <c r="G265" t="s">
        <v>986</v>
      </c>
      <c r="H265" t="str">
        <f>"atg-7"</f>
        <v>atg-7</v>
      </c>
      <c r="I265" t="s">
        <v>988</v>
      </c>
      <c r="J265">
        <v>13.8006759754781</v>
      </c>
      <c r="K265">
        <v>13.6252261075558</v>
      </c>
      <c r="L265">
        <v>13.3768789074139</v>
      </c>
      <c r="M265">
        <v>13.184199146727</v>
      </c>
      <c r="N265">
        <v>13.2147656306828</v>
      </c>
      <c r="O265">
        <v>13.6422127091882</v>
      </c>
      <c r="P265">
        <v>-0.25386783461664703</v>
      </c>
      <c r="Q265">
        <v>-0.93794557076420304</v>
      </c>
      <c r="R265">
        <v>0.43020990153090799</v>
      </c>
      <c r="S265">
        <v>12.8759384810872</v>
      </c>
      <c r="T265">
        <v>-0.78000023878038105</v>
      </c>
      <c r="U265">
        <v>-6.5699403552862101</v>
      </c>
      <c r="V265">
        <v>0.445585558814797</v>
      </c>
      <c r="W265">
        <v>0.92249172671965796</v>
      </c>
      <c r="X265">
        <v>0</v>
      </c>
      <c r="Y265">
        <v>0</v>
      </c>
    </row>
    <row r="266" spans="1:25" x14ac:dyDescent="0.2">
      <c r="A266" t="s">
        <v>989</v>
      </c>
      <c r="B266" t="s">
        <v>990</v>
      </c>
      <c r="C266" t="s">
        <v>991</v>
      </c>
      <c r="D266" t="s">
        <v>992</v>
      </c>
      <c r="E266" t="s">
        <v>990</v>
      </c>
      <c r="F266" t="s">
        <v>28</v>
      </c>
      <c r="G266" t="s">
        <v>990</v>
      </c>
      <c r="H266" t="str">
        <f>"ras-1"</f>
        <v>ras-1</v>
      </c>
      <c r="I266" t="s">
        <v>992</v>
      </c>
      <c r="J266">
        <v>11.651274194247</v>
      </c>
      <c r="K266">
        <v>10.6620645698994</v>
      </c>
      <c r="L266">
        <v>11.3822355898085</v>
      </c>
      <c r="M266">
        <v>11.4352606584747</v>
      </c>
      <c r="N266">
        <v>11.6392574527449</v>
      </c>
      <c r="O266">
        <v>11.3349912399616</v>
      </c>
      <c r="P266">
        <v>0.23797833240874799</v>
      </c>
      <c r="Q266">
        <v>-0.483731043650029</v>
      </c>
      <c r="R266">
        <v>0.95968770846752505</v>
      </c>
      <c r="S266">
        <v>11.0660210036402</v>
      </c>
      <c r="T266">
        <v>0.70326122908715005</v>
      </c>
      <c r="U266">
        <v>-6.62560583341679</v>
      </c>
      <c r="V266">
        <v>0.49273993590676801</v>
      </c>
      <c r="W266">
        <v>0.94062983959761604</v>
      </c>
      <c r="X266">
        <v>0</v>
      </c>
      <c r="Y266">
        <v>0</v>
      </c>
    </row>
    <row r="267" spans="1:25" x14ac:dyDescent="0.2">
      <c r="A267" t="s">
        <v>993</v>
      </c>
      <c r="B267" t="s">
        <v>994</v>
      </c>
      <c r="C267" t="s">
        <v>995</v>
      </c>
      <c r="D267" t="s">
        <v>996</v>
      </c>
      <c r="E267" t="s">
        <v>994</v>
      </c>
      <c r="F267" t="s">
        <v>28</v>
      </c>
      <c r="G267" t="s">
        <v>994</v>
      </c>
      <c r="H267" t="str">
        <f>"sdc-2"</f>
        <v>sdc-2</v>
      </c>
      <c r="I267" t="s">
        <v>996</v>
      </c>
      <c r="J267">
        <v>12.401295483673</v>
      </c>
      <c r="K267">
        <v>11.903235321874099</v>
      </c>
      <c r="L267">
        <v>11.9629648645854</v>
      </c>
      <c r="M267">
        <v>12.6824645160786</v>
      </c>
      <c r="N267" t="s">
        <v>29</v>
      </c>
      <c r="O267">
        <v>12.4156066638458</v>
      </c>
      <c r="P267">
        <v>0.45987036658470098</v>
      </c>
      <c r="Q267">
        <v>-9.0879210304329106E-2</v>
      </c>
      <c r="R267">
        <v>1.01061994347373</v>
      </c>
      <c r="S267">
        <v>12.3700662255828</v>
      </c>
      <c r="T267">
        <v>1.7921450034503399</v>
      </c>
      <c r="U267">
        <v>-5.2456198503434397</v>
      </c>
      <c r="V267">
        <v>9.4903462079995393E-2</v>
      </c>
      <c r="W267">
        <v>0.638807831017425</v>
      </c>
      <c r="X267">
        <v>0</v>
      </c>
      <c r="Y267">
        <v>0</v>
      </c>
    </row>
    <row r="268" spans="1:25" x14ac:dyDescent="0.2">
      <c r="A268" t="s">
        <v>997</v>
      </c>
      <c r="B268" t="s">
        <v>998</v>
      </c>
      <c r="C268" t="s">
        <v>999</v>
      </c>
      <c r="D268" t="s">
        <v>1000</v>
      </c>
      <c r="E268" t="s">
        <v>998</v>
      </c>
      <c r="F268" t="s">
        <v>28</v>
      </c>
      <c r="G268" t="s">
        <v>998</v>
      </c>
      <c r="H268" t="str">
        <f>"snf-3"</f>
        <v>snf-3</v>
      </c>
      <c r="I268" t="s">
        <v>1000</v>
      </c>
      <c r="J268">
        <v>14.1768577516769</v>
      </c>
      <c r="K268">
        <v>14.145559985029699</v>
      </c>
      <c r="L268">
        <v>14.084594271419</v>
      </c>
      <c r="M268">
        <v>14.0824651929134</v>
      </c>
      <c r="N268">
        <v>13.9162620138313</v>
      </c>
      <c r="O268">
        <v>14.026170382987701</v>
      </c>
      <c r="P268">
        <v>-0.12737147279776401</v>
      </c>
      <c r="Q268">
        <v>-0.59249292550288002</v>
      </c>
      <c r="R268">
        <v>0.337749979907353</v>
      </c>
      <c r="S268">
        <v>14.140569839959801</v>
      </c>
      <c r="T268">
        <v>-0.57557021660401197</v>
      </c>
      <c r="U268">
        <v>-6.7109948356195597</v>
      </c>
      <c r="V268">
        <v>0.57207317271321301</v>
      </c>
      <c r="W268">
        <v>0.96052030798546795</v>
      </c>
      <c r="X268">
        <v>0</v>
      </c>
      <c r="Y268">
        <v>0</v>
      </c>
    </row>
    <row r="269" spans="1:25" x14ac:dyDescent="0.2">
      <c r="A269" t="s">
        <v>1001</v>
      </c>
      <c r="B269" t="s">
        <v>1002</v>
      </c>
      <c r="C269" t="s">
        <v>14173</v>
      </c>
      <c r="D269" t="s">
        <v>1003</v>
      </c>
      <c r="E269" t="s">
        <v>1002</v>
      </c>
      <c r="F269" t="s">
        <v>28</v>
      </c>
      <c r="G269" t="s">
        <v>1002</v>
      </c>
      <c r="H269" t="str">
        <f>"ZC247.1"</f>
        <v>ZC247.1</v>
      </c>
      <c r="I269" t="s">
        <v>1003</v>
      </c>
      <c r="J269">
        <v>13.829354127713399</v>
      </c>
      <c r="K269">
        <v>14.1692928373669</v>
      </c>
      <c r="L269">
        <v>14.048621893857399</v>
      </c>
      <c r="M269">
        <v>16.6399813027253</v>
      </c>
      <c r="N269">
        <v>16.577052570002401</v>
      </c>
      <c r="O269">
        <v>16.414292998514998</v>
      </c>
      <c r="P269">
        <v>2.5280193374350102</v>
      </c>
      <c r="Q269">
        <v>1.8249562795871299</v>
      </c>
      <c r="R269">
        <v>3.2310823952828902</v>
      </c>
      <c r="S269">
        <v>16.144526158829901</v>
      </c>
      <c r="T269">
        <v>7.5575081829086503</v>
      </c>
      <c r="U269">
        <v>6.3510106374010897</v>
      </c>
      <c r="V269" s="2">
        <v>5.6651312770068002E-7</v>
      </c>
      <c r="W269" s="2">
        <v>6.2845189632928798E-5</v>
      </c>
      <c r="X269">
        <v>1</v>
      </c>
      <c r="Y269">
        <v>1</v>
      </c>
    </row>
    <row r="270" spans="1:25" x14ac:dyDescent="0.2">
      <c r="A270" t="s">
        <v>1004</v>
      </c>
      <c r="B270" t="s">
        <v>1005</v>
      </c>
      <c r="C270" t="s">
        <v>1006</v>
      </c>
      <c r="D270" t="s">
        <v>1007</v>
      </c>
      <c r="E270" t="s">
        <v>1005</v>
      </c>
      <c r="F270" t="s">
        <v>28</v>
      </c>
      <c r="G270" t="s">
        <v>1005</v>
      </c>
      <c r="H270" t="str">
        <f>"ego-1"</f>
        <v>ego-1</v>
      </c>
      <c r="I270" t="s">
        <v>1007</v>
      </c>
      <c r="J270">
        <v>12.1156990249267</v>
      </c>
      <c r="K270">
        <v>12.8950772813802</v>
      </c>
      <c r="L270">
        <v>12.5225331812621</v>
      </c>
      <c r="M270">
        <v>12.1025183145978</v>
      </c>
      <c r="N270">
        <v>12.474287444242499</v>
      </c>
      <c r="O270">
        <v>12.927692395642101</v>
      </c>
      <c r="P270">
        <v>-9.6037776954958094E-3</v>
      </c>
      <c r="Q270">
        <v>-0.85101257944745101</v>
      </c>
      <c r="R270">
        <v>0.83180502405645895</v>
      </c>
      <c r="S270">
        <v>12.734529429514399</v>
      </c>
      <c r="T270">
        <v>-2.4209430746705899E-2</v>
      </c>
      <c r="U270">
        <v>-6.8821813065547897</v>
      </c>
      <c r="V270">
        <v>0.98098688018888403</v>
      </c>
      <c r="W270">
        <v>0.99968702248720698</v>
      </c>
      <c r="X270">
        <v>0</v>
      </c>
      <c r="Y270">
        <v>0</v>
      </c>
    </row>
    <row r="271" spans="1:25" x14ac:dyDescent="0.2">
      <c r="A271" t="s">
        <v>1008</v>
      </c>
      <c r="B271" t="s">
        <v>1009</v>
      </c>
      <c r="C271" t="s">
        <v>1010</v>
      </c>
      <c r="D271" t="s">
        <v>1011</v>
      </c>
      <c r="E271" t="s">
        <v>1009</v>
      </c>
      <c r="F271" t="s">
        <v>28</v>
      </c>
      <c r="G271" t="s">
        <v>1009</v>
      </c>
      <c r="H271" t="str">
        <f>"aex-6"</f>
        <v>aex-6</v>
      </c>
      <c r="I271" t="s">
        <v>1011</v>
      </c>
      <c r="J271">
        <v>12.488691836957001</v>
      </c>
      <c r="K271">
        <v>12.8888142651079</v>
      </c>
      <c r="L271">
        <v>12.124058702218999</v>
      </c>
      <c r="M271">
        <v>12.682681784984601</v>
      </c>
      <c r="N271">
        <v>12.3230794565651</v>
      </c>
      <c r="O271">
        <v>12.7974619599549</v>
      </c>
      <c r="P271">
        <v>0.100552799073562</v>
      </c>
      <c r="Q271">
        <v>-0.45726502190344498</v>
      </c>
      <c r="R271">
        <v>0.65837062005056801</v>
      </c>
      <c r="S271">
        <v>12.372080978729601</v>
      </c>
      <c r="T271">
        <v>0.38234138538967199</v>
      </c>
      <c r="U271">
        <v>-6.80595462706916</v>
      </c>
      <c r="V271">
        <v>0.70727203434368202</v>
      </c>
      <c r="W271">
        <v>0.986995809356777</v>
      </c>
      <c r="X271">
        <v>0</v>
      </c>
      <c r="Y271">
        <v>0</v>
      </c>
    </row>
    <row r="272" spans="1:25" x14ac:dyDescent="0.2">
      <c r="A272" t="s">
        <v>1012</v>
      </c>
      <c r="B272" t="s">
        <v>1013</v>
      </c>
      <c r="C272" t="s">
        <v>1014</v>
      </c>
      <c r="D272" t="s">
        <v>1015</v>
      </c>
      <c r="E272" t="s">
        <v>1013</v>
      </c>
      <c r="F272" t="s">
        <v>28</v>
      </c>
      <c r="G272" t="s">
        <v>1013</v>
      </c>
      <c r="H272" t="str">
        <f>"mog-3"</f>
        <v>mog-3</v>
      </c>
      <c r="I272" t="s">
        <v>1015</v>
      </c>
      <c r="J272">
        <v>12.7392851872394</v>
      </c>
      <c r="K272">
        <v>13.276121445714599</v>
      </c>
      <c r="L272">
        <v>13.701992012826</v>
      </c>
      <c r="M272">
        <v>13.089847884126099</v>
      </c>
      <c r="N272">
        <v>13.4671689571275</v>
      </c>
      <c r="O272">
        <v>13.1151428633273</v>
      </c>
      <c r="P272">
        <v>-1.5079647066386301E-2</v>
      </c>
      <c r="Q272">
        <v>-0.78948685075796499</v>
      </c>
      <c r="R272">
        <v>0.75932755662519202</v>
      </c>
      <c r="S272">
        <v>13.358511756209801</v>
      </c>
      <c r="T272">
        <v>-4.1530140347846897E-2</v>
      </c>
      <c r="U272">
        <v>-6.8815788417179302</v>
      </c>
      <c r="V272">
        <v>0.96742484652711302</v>
      </c>
      <c r="W272">
        <v>0.99968702248720698</v>
      </c>
      <c r="X272">
        <v>0</v>
      </c>
      <c r="Y272">
        <v>0</v>
      </c>
    </row>
    <row r="273" spans="1:25" x14ac:dyDescent="0.2">
      <c r="A273" t="s">
        <v>1016</v>
      </c>
      <c r="B273" t="s">
        <v>1017</v>
      </c>
      <c r="C273" t="s">
        <v>1018</v>
      </c>
      <c r="D273" t="s">
        <v>1019</v>
      </c>
      <c r="E273" t="s">
        <v>1017</v>
      </c>
      <c r="F273" t="s">
        <v>28</v>
      </c>
      <c r="G273" t="s">
        <v>1017</v>
      </c>
      <c r="H273" t="str">
        <f>"mig-2"</f>
        <v>mig-2</v>
      </c>
      <c r="I273" t="s">
        <v>1019</v>
      </c>
      <c r="J273">
        <v>10.5100221716925</v>
      </c>
      <c r="K273" t="s">
        <v>29</v>
      </c>
      <c r="L273" t="s">
        <v>29</v>
      </c>
      <c r="M273" t="s">
        <v>29</v>
      </c>
      <c r="N273" t="s">
        <v>29</v>
      </c>
      <c r="O273">
        <v>10.6563970616389</v>
      </c>
      <c r="P273">
        <v>0.14637488994636499</v>
      </c>
      <c r="Q273">
        <v>-1.26612668971845</v>
      </c>
      <c r="R273">
        <v>1.5588764696111801</v>
      </c>
      <c r="S273">
        <v>11.597492506214399</v>
      </c>
      <c r="T273">
        <v>0.23484533868983701</v>
      </c>
      <c r="U273">
        <v>-6.3137354302172097</v>
      </c>
      <c r="V273">
        <v>0.81964561495041399</v>
      </c>
      <c r="W273">
        <v>0.992837538801569</v>
      </c>
      <c r="X273">
        <v>0</v>
      </c>
      <c r="Y273">
        <v>0</v>
      </c>
    </row>
    <row r="274" spans="1:25" x14ac:dyDescent="0.2">
      <c r="A274" t="s">
        <v>1020</v>
      </c>
      <c r="B274" t="s">
        <v>1021</v>
      </c>
      <c r="C274" t="s">
        <v>1022</v>
      </c>
      <c r="D274" t="s">
        <v>1023</v>
      </c>
      <c r="E274" t="s">
        <v>1021</v>
      </c>
      <c r="F274" t="s">
        <v>28</v>
      </c>
      <c r="G274" t="s">
        <v>1021</v>
      </c>
      <c r="H274" t="str">
        <f>"pgl-3"</f>
        <v>pgl-3</v>
      </c>
      <c r="I274" t="s">
        <v>1023</v>
      </c>
      <c r="J274">
        <v>12.5856973363002</v>
      </c>
      <c r="K274">
        <v>12.1154599185439</v>
      </c>
      <c r="L274">
        <v>12.6401706208802</v>
      </c>
      <c r="M274">
        <v>12.8823867752164</v>
      </c>
      <c r="N274">
        <v>13.029006076071299</v>
      </c>
      <c r="O274">
        <v>13.720464283656399</v>
      </c>
      <c r="P274">
        <v>0.76350975307329705</v>
      </c>
      <c r="Q274">
        <v>-0.86685925275896802</v>
      </c>
      <c r="R274">
        <v>2.3938787589055601</v>
      </c>
      <c r="S274">
        <v>13.433528842336299</v>
      </c>
      <c r="T274">
        <v>0.98428573646708695</v>
      </c>
      <c r="U274">
        <v>-6.3896474615173204</v>
      </c>
      <c r="V274">
        <v>0.33809685102446302</v>
      </c>
      <c r="W274">
        <v>0.87368774661315896</v>
      </c>
      <c r="X274">
        <v>0</v>
      </c>
      <c r="Y274">
        <v>0</v>
      </c>
    </row>
    <row r="275" spans="1:25" x14ac:dyDescent="0.2">
      <c r="A275" t="s">
        <v>1024</v>
      </c>
      <c r="B275" t="s">
        <v>1025</v>
      </c>
      <c r="C275" t="s">
        <v>1026</v>
      </c>
      <c r="D275" t="s">
        <v>1027</v>
      </c>
      <c r="E275" t="s">
        <v>1025</v>
      </c>
      <c r="F275" t="s">
        <v>28</v>
      </c>
      <c r="G275" t="s">
        <v>1025</v>
      </c>
      <c r="H275" t="str">
        <f>"usp-50"</f>
        <v>usp-50</v>
      </c>
      <c r="I275" t="s">
        <v>1027</v>
      </c>
      <c r="J275">
        <v>13.2053315352273</v>
      </c>
      <c r="K275">
        <v>13.5108546111531</v>
      </c>
      <c r="L275">
        <v>13.2401599799792</v>
      </c>
      <c r="M275">
        <v>13.1783647568804</v>
      </c>
      <c r="N275">
        <v>13.327958268127</v>
      </c>
      <c r="O275">
        <v>13.731834289902499</v>
      </c>
      <c r="P275">
        <v>9.393706285009E-2</v>
      </c>
      <c r="Q275">
        <v>-0.58206677397000495</v>
      </c>
      <c r="R275">
        <v>0.76994089967018498</v>
      </c>
      <c r="S275">
        <v>12.8444770036816</v>
      </c>
      <c r="T275">
        <v>0.29331740164794201</v>
      </c>
      <c r="U275">
        <v>-6.8375111882767001</v>
      </c>
      <c r="V275">
        <v>0.77285191045908197</v>
      </c>
      <c r="W275">
        <v>0.99278624068726296</v>
      </c>
      <c r="X275">
        <v>0</v>
      </c>
      <c r="Y275">
        <v>0</v>
      </c>
    </row>
    <row r="276" spans="1:25" x14ac:dyDescent="0.2">
      <c r="A276" t="s">
        <v>1028</v>
      </c>
      <c r="B276" t="s">
        <v>1029</v>
      </c>
      <c r="C276" t="s">
        <v>1030</v>
      </c>
      <c r="D276" t="s">
        <v>1031</v>
      </c>
      <c r="E276" t="s">
        <v>1029</v>
      </c>
      <c r="F276" t="s">
        <v>28</v>
      </c>
      <c r="G276" t="s">
        <v>1029</v>
      </c>
      <c r="H276" t="str">
        <f>"fecl-1"</f>
        <v>fecl-1</v>
      </c>
      <c r="I276" t="s">
        <v>1031</v>
      </c>
      <c r="J276">
        <v>13.4516224916753</v>
      </c>
      <c r="K276">
        <v>13.437085312799899</v>
      </c>
      <c r="L276">
        <v>13.3092271582774</v>
      </c>
      <c r="M276">
        <v>12.7511094401167</v>
      </c>
      <c r="N276">
        <v>13.386447523091899</v>
      </c>
      <c r="O276">
        <v>13.8482763705062</v>
      </c>
      <c r="P276">
        <v>-7.0700543012581094E-2</v>
      </c>
      <c r="Q276">
        <v>-0.64630104787562903</v>
      </c>
      <c r="R276">
        <v>0.50489996185046604</v>
      </c>
      <c r="S276">
        <v>13.7816773857099</v>
      </c>
      <c r="T276">
        <v>-0.25926959922283699</v>
      </c>
      <c r="U276">
        <v>-6.8473274750192799</v>
      </c>
      <c r="V276">
        <v>0.79855990405133104</v>
      </c>
      <c r="W276">
        <v>0.99278624068726296</v>
      </c>
      <c r="X276">
        <v>0</v>
      </c>
      <c r="Y276">
        <v>0</v>
      </c>
    </row>
    <row r="277" spans="1:25" x14ac:dyDescent="0.2">
      <c r="A277" t="s">
        <v>1032</v>
      </c>
      <c r="B277" t="s">
        <v>1033</v>
      </c>
      <c r="C277" t="s">
        <v>1034</v>
      </c>
      <c r="D277" t="s">
        <v>1035</v>
      </c>
      <c r="E277" t="s">
        <v>1033</v>
      </c>
      <c r="F277" t="s">
        <v>28</v>
      </c>
      <c r="G277" t="s">
        <v>1033</v>
      </c>
      <c r="H277" t="str">
        <f>"klp-18"</f>
        <v>klp-18</v>
      </c>
      <c r="I277" t="s">
        <v>1035</v>
      </c>
      <c r="J277">
        <v>12.6331679170562</v>
      </c>
      <c r="K277">
        <v>12.5392431172982</v>
      </c>
      <c r="L277">
        <v>12.8243261178241</v>
      </c>
      <c r="M277">
        <v>12.718154769133401</v>
      </c>
      <c r="N277">
        <v>13.185867098321999</v>
      </c>
      <c r="O277">
        <v>12.4864936368391</v>
      </c>
      <c r="P277">
        <v>0.13125945070535</v>
      </c>
      <c r="Q277">
        <v>-0.47836757362076499</v>
      </c>
      <c r="R277">
        <v>0.74088647503146599</v>
      </c>
      <c r="S277">
        <v>13.3698662598699</v>
      </c>
      <c r="T277">
        <v>0.45448168342228401</v>
      </c>
      <c r="U277">
        <v>-6.7748908417164904</v>
      </c>
      <c r="V277">
        <v>0.65526705384106698</v>
      </c>
      <c r="W277">
        <v>0.98231025008246398</v>
      </c>
      <c r="X277">
        <v>0</v>
      </c>
      <c r="Y277">
        <v>0</v>
      </c>
    </row>
    <row r="278" spans="1:25" x14ac:dyDescent="0.2">
      <c r="A278" t="s">
        <v>1036</v>
      </c>
      <c r="B278" t="s">
        <v>1037</v>
      </c>
      <c r="C278" t="s">
        <v>1038</v>
      </c>
      <c r="D278" t="s">
        <v>1039</v>
      </c>
      <c r="E278" t="s">
        <v>1037</v>
      </c>
      <c r="F278" t="s">
        <v>28</v>
      </c>
      <c r="G278" t="s">
        <v>1037</v>
      </c>
      <c r="H278" t="str">
        <f>"cyl-1"</f>
        <v>cyl-1</v>
      </c>
      <c r="I278" t="s">
        <v>1039</v>
      </c>
      <c r="J278">
        <v>14.0521255648109</v>
      </c>
      <c r="K278">
        <v>13.9091086775842</v>
      </c>
      <c r="L278" t="s">
        <v>29</v>
      </c>
      <c r="M278" t="s">
        <v>29</v>
      </c>
      <c r="N278" t="s">
        <v>29</v>
      </c>
      <c r="O278" t="s">
        <v>29</v>
      </c>
      <c r="P278" t="s">
        <v>29</v>
      </c>
      <c r="Q278" t="s">
        <v>29</v>
      </c>
      <c r="R278" t="s">
        <v>29</v>
      </c>
      <c r="S278">
        <v>13.576649920282</v>
      </c>
      <c r="T278" t="s">
        <v>29</v>
      </c>
      <c r="U278" t="s">
        <v>29</v>
      </c>
      <c r="V278" t="s">
        <v>29</v>
      </c>
      <c r="W278" t="s">
        <v>29</v>
      </c>
      <c r="X278" t="s">
        <v>29</v>
      </c>
      <c r="Y278" t="s">
        <v>29</v>
      </c>
    </row>
    <row r="279" spans="1:25" x14ac:dyDescent="0.2">
      <c r="A279" t="s">
        <v>1040</v>
      </c>
      <c r="B279" t="s">
        <v>1041</v>
      </c>
      <c r="C279" t="s">
        <v>1042</v>
      </c>
      <c r="D279" t="s">
        <v>1043</v>
      </c>
      <c r="E279" t="s">
        <v>1041</v>
      </c>
      <c r="F279" t="s">
        <v>28</v>
      </c>
      <c r="G279" t="s">
        <v>1041</v>
      </c>
      <c r="H279" t="str">
        <f>"crn-3"</f>
        <v>crn-3</v>
      </c>
      <c r="I279" t="s">
        <v>1043</v>
      </c>
      <c r="J279">
        <v>12.629023409688401</v>
      </c>
      <c r="K279">
        <v>12.8640206522273</v>
      </c>
      <c r="L279">
        <v>12.7822252294383</v>
      </c>
      <c r="M279">
        <v>12.0768271390868</v>
      </c>
      <c r="N279">
        <v>12.5607353504295</v>
      </c>
      <c r="O279">
        <v>12.6825108959956</v>
      </c>
      <c r="P279">
        <v>-0.31839863528072798</v>
      </c>
      <c r="Q279">
        <v>-0.83060750501330904</v>
      </c>
      <c r="R279">
        <v>0.193810234451854</v>
      </c>
      <c r="S279">
        <v>12.932195771513401</v>
      </c>
      <c r="T279">
        <v>-1.3121216941882401</v>
      </c>
      <c r="U279">
        <v>-6.0236247543906796</v>
      </c>
      <c r="V279">
        <v>0.20702774268535301</v>
      </c>
      <c r="W279">
        <v>0.79075284576134597</v>
      </c>
      <c r="X279">
        <v>0</v>
      </c>
      <c r="Y279">
        <v>0</v>
      </c>
    </row>
    <row r="280" spans="1:25" x14ac:dyDescent="0.2">
      <c r="A280" t="s">
        <v>1044</v>
      </c>
      <c r="B280" t="s">
        <v>1045</v>
      </c>
      <c r="C280" t="s">
        <v>1046</v>
      </c>
      <c r="D280" t="s">
        <v>1047</v>
      </c>
      <c r="E280" t="s">
        <v>1045</v>
      </c>
      <c r="F280" t="s">
        <v>28</v>
      </c>
      <c r="G280" t="s">
        <v>1045</v>
      </c>
      <c r="H280" t="str">
        <f>"nmy-2"</f>
        <v>nmy-2</v>
      </c>
      <c r="I280" t="s">
        <v>1047</v>
      </c>
      <c r="J280">
        <v>13.379951518382599</v>
      </c>
      <c r="K280">
        <v>13.7179605550988</v>
      </c>
      <c r="L280">
        <v>14.016053108175999</v>
      </c>
      <c r="M280">
        <v>13.0986404359811</v>
      </c>
      <c r="N280">
        <v>13.4117070398139</v>
      </c>
      <c r="O280">
        <v>13.5570760802214</v>
      </c>
      <c r="P280">
        <v>-0.34884720854699802</v>
      </c>
      <c r="Q280">
        <v>-1.66064049802367</v>
      </c>
      <c r="R280">
        <v>0.96294608092967005</v>
      </c>
      <c r="S280">
        <v>14.2986944357603</v>
      </c>
      <c r="T280">
        <v>-0.558936357482815</v>
      </c>
      <c r="U280">
        <v>-6.7206790157381402</v>
      </c>
      <c r="V280">
        <v>0.58313288304153998</v>
      </c>
      <c r="W280">
        <v>0.96315662445407302</v>
      </c>
      <c r="X280">
        <v>0</v>
      </c>
      <c r="Y280">
        <v>0</v>
      </c>
    </row>
    <row r="281" spans="1:25" x14ac:dyDescent="0.2">
      <c r="A281" t="s">
        <v>1048</v>
      </c>
      <c r="B281" t="s">
        <v>1049</v>
      </c>
      <c r="C281" t="s">
        <v>1050</v>
      </c>
      <c r="D281" t="s">
        <v>1051</v>
      </c>
      <c r="E281" t="s">
        <v>1049</v>
      </c>
      <c r="F281" t="s">
        <v>28</v>
      </c>
      <c r="G281" t="s">
        <v>1049</v>
      </c>
      <c r="H281" t="str">
        <f>"phf-5"</f>
        <v>phf-5</v>
      </c>
      <c r="I281" t="s">
        <v>1051</v>
      </c>
      <c r="J281" t="s">
        <v>29</v>
      </c>
      <c r="K281" t="s">
        <v>29</v>
      </c>
      <c r="L281" t="s">
        <v>29</v>
      </c>
      <c r="M281" t="s">
        <v>29</v>
      </c>
      <c r="N281" t="s">
        <v>29</v>
      </c>
      <c r="O281" t="s">
        <v>29</v>
      </c>
      <c r="P281" t="s">
        <v>29</v>
      </c>
      <c r="Q281" t="s">
        <v>29</v>
      </c>
      <c r="R281" t="s">
        <v>29</v>
      </c>
      <c r="S281">
        <v>9.9358739531215292</v>
      </c>
      <c r="T281" t="s">
        <v>29</v>
      </c>
      <c r="U281" t="s">
        <v>29</v>
      </c>
      <c r="V281" t="s">
        <v>29</v>
      </c>
      <c r="W281" t="s">
        <v>29</v>
      </c>
      <c r="X281" t="s">
        <v>29</v>
      </c>
      <c r="Y281" t="s">
        <v>29</v>
      </c>
    </row>
    <row r="282" spans="1:25" x14ac:dyDescent="0.2">
      <c r="A282" t="s">
        <v>1052</v>
      </c>
      <c r="B282" t="s">
        <v>1053</v>
      </c>
      <c r="C282" t="s">
        <v>1054</v>
      </c>
      <c r="D282" t="s">
        <v>1055</v>
      </c>
      <c r="E282" t="s">
        <v>1053</v>
      </c>
      <c r="F282" t="s">
        <v>28</v>
      </c>
      <c r="G282" t="s">
        <v>1053</v>
      </c>
      <c r="H282" t="str">
        <f>"xpf-1"</f>
        <v>xpf-1</v>
      </c>
      <c r="I282" t="s">
        <v>1055</v>
      </c>
      <c r="J282">
        <v>11.591112257867699</v>
      </c>
      <c r="K282">
        <v>12.113217186713101</v>
      </c>
      <c r="L282">
        <v>12.6248310468585</v>
      </c>
      <c r="M282">
        <v>12.1421239493685</v>
      </c>
      <c r="N282">
        <v>11.791845948392799</v>
      </c>
      <c r="O282">
        <v>10.580882430067801</v>
      </c>
      <c r="P282">
        <v>-0.60476938787010304</v>
      </c>
      <c r="Q282">
        <v>-1.5120545999547901</v>
      </c>
      <c r="R282">
        <v>0.30251582421457901</v>
      </c>
      <c r="S282">
        <v>12.488723588194301</v>
      </c>
      <c r="T282">
        <v>-1.42163325343108</v>
      </c>
      <c r="U282">
        <v>-5.8823844668875296</v>
      </c>
      <c r="V282">
        <v>0.17573253972606501</v>
      </c>
      <c r="W282">
        <v>0.77568784401157198</v>
      </c>
      <c r="X282">
        <v>0</v>
      </c>
      <c r="Y282">
        <v>0</v>
      </c>
    </row>
    <row r="283" spans="1:25" x14ac:dyDescent="0.2">
      <c r="A283" t="s">
        <v>1056</v>
      </c>
      <c r="B283" t="s">
        <v>1057</v>
      </c>
      <c r="C283" t="s">
        <v>1058</v>
      </c>
      <c r="D283" t="s">
        <v>1059</v>
      </c>
      <c r="E283" t="s">
        <v>1057</v>
      </c>
      <c r="F283" t="s">
        <v>28</v>
      </c>
      <c r="G283" t="s">
        <v>1057</v>
      </c>
      <c r="H283" t="str">
        <f>"let-418"</f>
        <v>let-418</v>
      </c>
      <c r="I283" t="s">
        <v>1059</v>
      </c>
      <c r="J283">
        <v>14.0048712548164</v>
      </c>
      <c r="K283">
        <v>14.150860954862599</v>
      </c>
      <c r="L283">
        <v>13.990400634923899</v>
      </c>
      <c r="M283">
        <v>14.083433377173501</v>
      </c>
      <c r="N283">
        <v>14.0260238216438</v>
      </c>
      <c r="O283">
        <v>14.0388943658991</v>
      </c>
      <c r="P283">
        <v>7.3957337118279998E-4</v>
      </c>
      <c r="Q283">
        <v>-0.42056333195258599</v>
      </c>
      <c r="R283">
        <v>0.42204247869495098</v>
      </c>
      <c r="S283">
        <v>14.322985565006</v>
      </c>
      <c r="T283">
        <v>3.6896003330249699E-3</v>
      </c>
      <c r="U283">
        <v>-6.8824824615775997</v>
      </c>
      <c r="V283">
        <v>0.99709695175063495</v>
      </c>
      <c r="W283">
        <v>0.99993024577696799</v>
      </c>
      <c r="X283">
        <v>0</v>
      </c>
      <c r="Y283">
        <v>0</v>
      </c>
    </row>
    <row r="284" spans="1:25" x14ac:dyDescent="0.2">
      <c r="A284" t="s">
        <v>1060</v>
      </c>
      <c r="B284" t="s">
        <v>1061</v>
      </c>
      <c r="C284" t="s">
        <v>1062</v>
      </c>
      <c r="D284" t="s">
        <v>1063</v>
      </c>
      <c r="E284" t="s">
        <v>1061</v>
      </c>
      <c r="F284" t="s">
        <v>28</v>
      </c>
      <c r="G284" t="s">
        <v>1061</v>
      </c>
      <c r="H284" t="str">
        <f>"ark-1"</f>
        <v>ark-1</v>
      </c>
      <c r="I284" t="s">
        <v>1063</v>
      </c>
      <c r="J284">
        <v>12.035233816597</v>
      </c>
      <c r="K284">
        <v>10.850001171099599</v>
      </c>
      <c r="L284">
        <v>12.7327167357912</v>
      </c>
      <c r="M284">
        <v>12.9044498369498</v>
      </c>
      <c r="N284">
        <v>12.753464355849299</v>
      </c>
      <c r="O284">
        <v>13.7396874970113</v>
      </c>
      <c r="P284">
        <v>1.2598833221075301</v>
      </c>
      <c r="Q284">
        <v>0.44715531437364298</v>
      </c>
      <c r="R284">
        <v>2.0726113298414202</v>
      </c>
      <c r="S284">
        <v>12.6177167652405</v>
      </c>
      <c r="T284">
        <v>3.2880213611968201</v>
      </c>
      <c r="U284">
        <v>-2.5582149968830898</v>
      </c>
      <c r="V284">
        <v>4.6683781757993602E-3</v>
      </c>
      <c r="W284">
        <v>0.10497542276392099</v>
      </c>
      <c r="X284">
        <v>1</v>
      </c>
      <c r="Y284">
        <v>0</v>
      </c>
    </row>
    <row r="285" spans="1:25" x14ac:dyDescent="0.2">
      <c r="A285" t="s">
        <v>1064</v>
      </c>
      <c r="B285" t="s">
        <v>1065</v>
      </c>
      <c r="C285" t="s">
        <v>1066</v>
      </c>
      <c r="D285" t="s">
        <v>1067</v>
      </c>
      <c r="E285" t="s">
        <v>1065</v>
      </c>
      <c r="F285" t="s">
        <v>28</v>
      </c>
      <c r="G285" t="s">
        <v>1065</v>
      </c>
      <c r="H285" t="str">
        <f>"evl-14"</f>
        <v>evl-14</v>
      </c>
      <c r="I285" t="s">
        <v>1067</v>
      </c>
      <c r="J285">
        <v>13.9249939332888</v>
      </c>
      <c r="K285">
        <v>14.2463263187695</v>
      </c>
      <c r="L285">
        <v>13.8981525864017</v>
      </c>
      <c r="M285">
        <v>13.818606832801899</v>
      </c>
      <c r="N285">
        <v>13.6807007068413</v>
      </c>
      <c r="O285">
        <v>13.9417209241878</v>
      </c>
      <c r="P285">
        <v>-0.209481458209721</v>
      </c>
      <c r="Q285">
        <v>-0.80350997645354405</v>
      </c>
      <c r="R285">
        <v>0.384547060034102</v>
      </c>
      <c r="S285">
        <v>14.0275962680855</v>
      </c>
      <c r="T285">
        <v>-0.74119214200305705</v>
      </c>
      <c r="U285">
        <v>-6.5998093328824101</v>
      </c>
      <c r="V285">
        <v>0.46819274832973701</v>
      </c>
      <c r="W285">
        <v>0.92978583625257705</v>
      </c>
      <c r="X285">
        <v>0</v>
      </c>
      <c r="Y285">
        <v>0</v>
      </c>
    </row>
    <row r="286" spans="1:25" x14ac:dyDescent="0.2">
      <c r="A286" t="s">
        <v>1068</v>
      </c>
      <c r="B286" t="s">
        <v>1069</v>
      </c>
      <c r="C286" t="s">
        <v>1070</v>
      </c>
      <c r="D286" t="s">
        <v>1071</v>
      </c>
      <c r="E286" t="s">
        <v>1069</v>
      </c>
      <c r="F286" t="s">
        <v>28</v>
      </c>
      <c r="G286" t="s">
        <v>1069</v>
      </c>
      <c r="H286" t="str">
        <f>"cept-1"</f>
        <v>cept-1</v>
      </c>
      <c r="I286" t="s">
        <v>1071</v>
      </c>
      <c r="J286">
        <v>13.6927065484238</v>
      </c>
      <c r="K286">
        <v>13.654526259104999</v>
      </c>
      <c r="L286">
        <v>14.0227527398498</v>
      </c>
      <c r="M286">
        <v>13.849580237114299</v>
      </c>
      <c r="N286">
        <v>13.7404772963833</v>
      </c>
      <c r="O286">
        <v>13.6824891107317</v>
      </c>
      <c r="P286">
        <v>-3.2479634383122402E-2</v>
      </c>
      <c r="Q286">
        <v>-0.483674381064502</v>
      </c>
      <c r="R286">
        <v>0.41871511229825797</v>
      </c>
      <c r="S286">
        <v>13.696373885467301</v>
      </c>
      <c r="T286">
        <v>-0.15194874258122301</v>
      </c>
      <c r="U286">
        <v>-6.8703964748954904</v>
      </c>
      <c r="V286">
        <v>0.88102709899629805</v>
      </c>
      <c r="W286">
        <v>0.99702926582654094</v>
      </c>
      <c r="X286">
        <v>0</v>
      </c>
      <c r="Y286">
        <v>0</v>
      </c>
    </row>
    <row r="287" spans="1:25" x14ac:dyDescent="0.2">
      <c r="A287" t="s">
        <v>1072</v>
      </c>
      <c r="B287" t="s">
        <v>1073</v>
      </c>
      <c r="C287" t="s">
        <v>1074</v>
      </c>
      <c r="D287" t="s">
        <v>1075</v>
      </c>
      <c r="E287" t="s">
        <v>1073</v>
      </c>
      <c r="F287" t="s">
        <v>28</v>
      </c>
      <c r="G287" t="s">
        <v>1073</v>
      </c>
      <c r="H287" t="str">
        <f>"lec-9"</f>
        <v>lec-9</v>
      </c>
      <c r="I287" t="s">
        <v>1075</v>
      </c>
      <c r="J287">
        <v>13.845855712800899</v>
      </c>
      <c r="K287">
        <v>13.803403611434099</v>
      </c>
      <c r="L287">
        <v>13.7499894233951</v>
      </c>
      <c r="M287">
        <v>13.5005491951029</v>
      </c>
      <c r="N287">
        <v>12.882292183481299</v>
      </c>
      <c r="O287">
        <v>13.972894949169399</v>
      </c>
      <c r="P287">
        <v>-0.34783747329219</v>
      </c>
      <c r="Q287">
        <v>-1.21644311784245</v>
      </c>
      <c r="R287">
        <v>0.52076817125807295</v>
      </c>
      <c r="S287">
        <v>12.980188608202401</v>
      </c>
      <c r="T287">
        <v>-0.84167849992586796</v>
      </c>
      <c r="U287">
        <v>-6.5195524813119698</v>
      </c>
      <c r="V287">
        <v>0.41107520939863701</v>
      </c>
      <c r="W287">
        <v>0.91512503332874395</v>
      </c>
      <c r="X287">
        <v>0</v>
      </c>
      <c r="Y287">
        <v>0</v>
      </c>
    </row>
    <row r="288" spans="1:25" x14ac:dyDescent="0.2">
      <c r="A288" t="s">
        <v>1076</v>
      </c>
      <c r="B288" t="s">
        <v>1077</v>
      </c>
      <c r="C288" t="s">
        <v>1078</v>
      </c>
      <c r="D288" t="s">
        <v>1079</v>
      </c>
      <c r="E288" t="s">
        <v>1077</v>
      </c>
      <c r="F288" t="s">
        <v>28</v>
      </c>
      <c r="G288" t="s">
        <v>1077</v>
      </c>
      <c r="H288" t="str">
        <f>"smn-1"</f>
        <v>smn-1</v>
      </c>
      <c r="I288" t="s">
        <v>1079</v>
      </c>
      <c r="J288">
        <v>11.9067106717334</v>
      </c>
      <c r="K288">
        <v>11.2181767906856</v>
      </c>
      <c r="L288">
        <v>12.7865733832174</v>
      </c>
      <c r="M288">
        <v>12.5640966227317</v>
      </c>
      <c r="N288">
        <v>12.6101185137126</v>
      </c>
      <c r="O288">
        <v>12.784472588953101</v>
      </c>
      <c r="P288">
        <v>0.68240895992036199</v>
      </c>
      <c r="Q288">
        <v>-6.4934362247677194E-2</v>
      </c>
      <c r="R288">
        <v>1.4297522820884001</v>
      </c>
      <c r="S288">
        <v>12.841351769370499</v>
      </c>
      <c r="T288">
        <v>1.9367523516032801</v>
      </c>
      <c r="U288">
        <v>-5.1132463668101904</v>
      </c>
      <c r="V288">
        <v>7.0759386256758497E-2</v>
      </c>
      <c r="W288">
        <v>0.57296164832723195</v>
      </c>
      <c r="X288">
        <v>0</v>
      </c>
      <c r="Y288">
        <v>0</v>
      </c>
    </row>
    <row r="289" spans="1:25" x14ac:dyDescent="0.2">
      <c r="A289" t="s">
        <v>1080</v>
      </c>
      <c r="B289" t="s">
        <v>1081</v>
      </c>
      <c r="C289" t="s">
        <v>1082</v>
      </c>
      <c r="D289" t="s">
        <v>1083</v>
      </c>
      <c r="E289" t="s">
        <v>1081</v>
      </c>
      <c r="F289" t="s">
        <v>28</v>
      </c>
      <c r="G289" t="s">
        <v>1081</v>
      </c>
      <c r="H289" t="str">
        <f>"hcf-1"</f>
        <v>hcf-1</v>
      </c>
      <c r="I289" t="s">
        <v>1083</v>
      </c>
      <c r="J289">
        <v>14.9291905796025</v>
      </c>
      <c r="K289">
        <v>15.3168712913623</v>
      </c>
      <c r="L289">
        <v>15.1452504885384</v>
      </c>
      <c r="M289">
        <v>14.9110435487018</v>
      </c>
      <c r="N289">
        <v>14.8599023480032</v>
      </c>
      <c r="O289">
        <v>14.8865467315032</v>
      </c>
      <c r="P289">
        <v>-0.244606577098301</v>
      </c>
      <c r="Q289">
        <v>-0.60706450661308997</v>
      </c>
      <c r="R289">
        <v>0.117851352416489</v>
      </c>
      <c r="S289">
        <v>14.821298992729499</v>
      </c>
      <c r="T289">
        <v>-1.41841409493318</v>
      </c>
      <c r="U289">
        <v>-5.8868492882259904</v>
      </c>
      <c r="V289">
        <v>0.17325084941327101</v>
      </c>
      <c r="W289">
        <v>0.77568784401157198</v>
      </c>
      <c r="X289">
        <v>0</v>
      </c>
      <c r="Y289">
        <v>0</v>
      </c>
    </row>
    <row r="290" spans="1:25" x14ac:dyDescent="0.2">
      <c r="A290" t="s">
        <v>1084</v>
      </c>
      <c r="B290" t="s">
        <v>1085</v>
      </c>
      <c r="C290" t="s">
        <v>1086</v>
      </c>
      <c r="D290" t="s">
        <v>1087</v>
      </c>
      <c r="E290" t="s">
        <v>1085</v>
      </c>
      <c r="F290" t="s">
        <v>28</v>
      </c>
      <c r="G290" t="s">
        <v>1085</v>
      </c>
      <c r="H290" t="str">
        <f>"ptp-2"</f>
        <v>ptp-2</v>
      </c>
      <c r="I290" t="s">
        <v>1087</v>
      </c>
      <c r="J290">
        <v>14.7469912095331</v>
      </c>
      <c r="K290">
        <v>15.0939498705874</v>
      </c>
      <c r="L290">
        <v>15.015363379500601</v>
      </c>
      <c r="M290">
        <v>14.784516722893301</v>
      </c>
      <c r="N290">
        <v>14.840160492239001</v>
      </c>
      <c r="O290">
        <v>14.859501387676699</v>
      </c>
      <c r="P290">
        <v>-0.12404195227070899</v>
      </c>
      <c r="Q290">
        <v>-0.47692284047197397</v>
      </c>
      <c r="R290">
        <v>0.22883893593055701</v>
      </c>
      <c r="S290">
        <v>15.038095519713</v>
      </c>
      <c r="T290">
        <v>-0.73881034541403801</v>
      </c>
      <c r="U290">
        <v>-6.6015959208335504</v>
      </c>
      <c r="V290">
        <v>0.469602388392863</v>
      </c>
      <c r="W290">
        <v>0.93025996938776601</v>
      </c>
      <c r="X290">
        <v>0</v>
      </c>
      <c r="Y290">
        <v>0</v>
      </c>
    </row>
    <row r="291" spans="1:25" x14ac:dyDescent="0.2">
      <c r="A291" t="s">
        <v>1088</v>
      </c>
      <c r="B291" t="s">
        <v>1089</v>
      </c>
      <c r="C291" t="s">
        <v>1090</v>
      </c>
      <c r="D291" t="s">
        <v>1091</v>
      </c>
      <c r="E291" t="s">
        <v>1089</v>
      </c>
      <c r="F291" t="s">
        <v>28</v>
      </c>
      <c r="G291" t="s">
        <v>1089</v>
      </c>
      <c r="H291" t="str">
        <f>"cept-2"</f>
        <v>cept-2</v>
      </c>
      <c r="I291" t="s">
        <v>1091</v>
      </c>
      <c r="J291">
        <v>13.740166683002</v>
      </c>
      <c r="K291">
        <v>14.150501207521</v>
      </c>
      <c r="L291">
        <v>14.175852550568401</v>
      </c>
      <c r="M291">
        <v>13.9015038620519</v>
      </c>
      <c r="N291">
        <v>13.921882573130301</v>
      </c>
      <c r="O291">
        <v>14.068946027844699</v>
      </c>
      <c r="P291">
        <v>-5.8062659354837003E-2</v>
      </c>
      <c r="Q291">
        <v>-0.54845183777781403</v>
      </c>
      <c r="R291">
        <v>0.43232651906814001</v>
      </c>
      <c r="S291">
        <v>14.3721886865531</v>
      </c>
      <c r="T291">
        <v>-0.24885625346462201</v>
      </c>
      <c r="U291">
        <v>-6.8501879981422702</v>
      </c>
      <c r="V291">
        <v>0.80630568790586699</v>
      </c>
      <c r="W291">
        <v>0.99278624068726296</v>
      </c>
      <c r="X291">
        <v>0</v>
      </c>
      <c r="Y291">
        <v>0</v>
      </c>
    </row>
    <row r="292" spans="1:25" x14ac:dyDescent="0.2">
      <c r="A292" t="s">
        <v>1092</v>
      </c>
      <c r="B292" t="s">
        <v>1093</v>
      </c>
      <c r="C292" t="s">
        <v>1094</v>
      </c>
      <c r="D292" t="s">
        <v>1095</v>
      </c>
      <c r="E292" t="s">
        <v>1093</v>
      </c>
      <c r="F292" t="s">
        <v>28</v>
      </c>
      <c r="G292" t="s">
        <v>1093</v>
      </c>
      <c r="H292" t="str">
        <f>"gna-2"</f>
        <v>gna-2</v>
      </c>
      <c r="I292" t="s">
        <v>1095</v>
      </c>
      <c r="J292">
        <v>12.631299011449</v>
      </c>
      <c r="K292">
        <v>12.0974036792544</v>
      </c>
      <c r="L292">
        <v>13.273172806553999</v>
      </c>
      <c r="M292">
        <v>12.482917067940001</v>
      </c>
      <c r="N292">
        <v>13.212111946255099</v>
      </c>
      <c r="O292">
        <v>13.0860149842525</v>
      </c>
      <c r="P292">
        <v>0.259722833730057</v>
      </c>
      <c r="Q292">
        <v>-0.57334182131366995</v>
      </c>
      <c r="R292">
        <v>1.0927874887737801</v>
      </c>
      <c r="S292">
        <v>13.561797581913501</v>
      </c>
      <c r="T292">
        <v>0.65808415923708996</v>
      </c>
      <c r="U292">
        <v>-6.6583899361646601</v>
      </c>
      <c r="V292">
        <v>0.51935127737311304</v>
      </c>
      <c r="W292">
        <v>0.94227592550871997</v>
      </c>
      <c r="X292">
        <v>0</v>
      </c>
      <c r="Y292">
        <v>0</v>
      </c>
    </row>
    <row r="293" spans="1:25" x14ac:dyDescent="0.2">
      <c r="A293" t="s">
        <v>1096</v>
      </c>
      <c r="B293" t="s">
        <v>1097</v>
      </c>
      <c r="C293" t="s">
        <v>1098</v>
      </c>
      <c r="D293" t="s">
        <v>1099</v>
      </c>
      <c r="E293" t="s">
        <v>1097</v>
      </c>
      <c r="F293" t="s">
        <v>28</v>
      </c>
      <c r="G293" t="s">
        <v>1097</v>
      </c>
      <c r="H293" t="str">
        <f>"sulp-7"</f>
        <v>sulp-7</v>
      </c>
      <c r="I293" t="s">
        <v>1099</v>
      </c>
      <c r="J293">
        <v>12.738999415622301</v>
      </c>
      <c r="K293" t="s">
        <v>29</v>
      </c>
      <c r="L293">
        <v>12.412896623589299</v>
      </c>
      <c r="M293">
        <v>12.2215478953812</v>
      </c>
      <c r="N293">
        <v>12.413830139097101</v>
      </c>
      <c r="O293" t="s">
        <v>29</v>
      </c>
      <c r="P293">
        <v>-0.25825900236661797</v>
      </c>
      <c r="Q293">
        <v>-0.99677112060587203</v>
      </c>
      <c r="R293">
        <v>0.48025311587263603</v>
      </c>
      <c r="S293">
        <v>12.270753107646099</v>
      </c>
      <c r="T293">
        <v>-0.75611018374922301</v>
      </c>
      <c r="U293">
        <v>-6.3856785214647296</v>
      </c>
      <c r="V293">
        <v>0.46317307467563001</v>
      </c>
      <c r="W293">
        <v>0.92978583625257705</v>
      </c>
      <c r="X293">
        <v>0</v>
      </c>
      <c r="Y293">
        <v>0</v>
      </c>
    </row>
    <row r="294" spans="1:25" x14ac:dyDescent="0.2">
      <c r="A294" t="s">
        <v>1100</v>
      </c>
      <c r="B294" t="s">
        <v>1101</v>
      </c>
      <c r="C294" t="s">
        <v>1102</v>
      </c>
      <c r="D294" t="s">
        <v>1103</v>
      </c>
      <c r="E294" t="s">
        <v>1101</v>
      </c>
      <c r="F294" t="s">
        <v>28</v>
      </c>
      <c r="G294" t="s">
        <v>1101</v>
      </c>
      <c r="H294" t="str">
        <f>"alh-6"</f>
        <v>alh-6</v>
      </c>
      <c r="I294" t="s">
        <v>1103</v>
      </c>
      <c r="J294">
        <v>11.871356682956</v>
      </c>
      <c r="K294">
        <v>12.4864279776176</v>
      </c>
      <c r="L294">
        <v>12.7841378270485</v>
      </c>
      <c r="M294">
        <v>13.0520062269976</v>
      </c>
      <c r="N294">
        <v>12.323977407327</v>
      </c>
      <c r="O294">
        <v>12.7219445272138</v>
      </c>
      <c r="P294">
        <v>0.31866855797210802</v>
      </c>
      <c r="Q294">
        <v>-0.275974705682132</v>
      </c>
      <c r="R294">
        <v>0.91331182162634905</v>
      </c>
      <c r="S294">
        <v>13.0603524343096</v>
      </c>
      <c r="T294">
        <v>1.1311826227643</v>
      </c>
      <c r="U294">
        <v>-6.2362528067919101</v>
      </c>
      <c r="V294">
        <v>0.27378012233321902</v>
      </c>
      <c r="W294">
        <v>0.856190392347986</v>
      </c>
      <c r="X294">
        <v>0</v>
      </c>
      <c r="Y294">
        <v>0</v>
      </c>
    </row>
    <row r="295" spans="1:25" x14ac:dyDescent="0.2">
      <c r="A295" t="s">
        <v>1104</v>
      </c>
      <c r="B295" t="s">
        <v>1105</v>
      </c>
      <c r="C295" t="s">
        <v>14248</v>
      </c>
      <c r="D295" t="s">
        <v>107</v>
      </c>
      <c r="E295" t="s">
        <v>1105</v>
      </c>
      <c r="F295" t="s">
        <v>28</v>
      </c>
      <c r="G295" t="s">
        <v>1105</v>
      </c>
      <c r="H295" t="str">
        <f>"F17C11.12"</f>
        <v>F17C11.12</v>
      </c>
      <c r="I295" t="s">
        <v>107</v>
      </c>
      <c r="J295">
        <v>13.1270388075569</v>
      </c>
      <c r="K295">
        <v>13.4668204381453</v>
      </c>
      <c r="L295">
        <v>13.250384159494301</v>
      </c>
      <c r="M295">
        <v>13.1962412787696</v>
      </c>
      <c r="N295">
        <v>12.9787605379121</v>
      </c>
      <c r="O295">
        <v>12.978475142869099</v>
      </c>
      <c r="P295">
        <v>-0.23025548188188699</v>
      </c>
      <c r="Q295">
        <v>-0.67187088954743901</v>
      </c>
      <c r="R295">
        <v>0.211359925783665</v>
      </c>
      <c r="S295">
        <v>13.098051807215599</v>
      </c>
      <c r="T295">
        <v>-1.10589855648376</v>
      </c>
      <c r="U295">
        <v>-6.2630029122742403</v>
      </c>
      <c r="V295">
        <v>0.28522829311626402</v>
      </c>
      <c r="W295">
        <v>0.856190392347986</v>
      </c>
      <c r="X295">
        <v>0</v>
      </c>
      <c r="Y295">
        <v>0</v>
      </c>
    </row>
    <row r="296" spans="1:25" x14ac:dyDescent="0.2">
      <c r="A296" t="s">
        <v>1106</v>
      </c>
      <c r="B296" t="s">
        <v>1107</v>
      </c>
      <c r="C296" t="s">
        <v>1108</v>
      </c>
      <c r="D296" t="s">
        <v>1109</v>
      </c>
      <c r="E296" t="s">
        <v>1107</v>
      </c>
      <c r="F296" t="s">
        <v>28</v>
      </c>
      <c r="G296" t="s">
        <v>1107</v>
      </c>
      <c r="H296" t="str">
        <f>"mboa-3"</f>
        <v>mboa-3</v>
      </c>
      <c r="I296" t="s">
        <v>1109</v>
      </c>
      <c r="J296">
        <v>12.456619126785601</v>
      </c>
      <c r="K296">
        <v>13.4499960219214</v>
      </c>
      <c r="L296">
        <v>12.938266254362601</v>
      </c>
      <c r="M296">
        <v>13.5696742296573</v>
      </c>
      <c r="N296">
        <v>13.5323714714798</v>
      </c>
      <c r="O296" t="s">
        <v>29</v>
      </c>
      <c r="P296">
        <v>0.60272904954530804</v>
      </c>
      <c r="Q296">
        <v>-0.225522349337755</v>
      </c>
      <c r="R296">
        <v>1.4309804484283699</v>
      </c>
      <c r="S296">
        <v>13.7638091414683</v>
      </c>
      <c r="T296">
        <v>1.57342914302755</v>
      </c>
      <c r="U296">
        <v>-5.5691928531261601</v>
      </c>
      <c r="V296">
        <v>0.139825157465055</v>
      </c>
      <c r="W296">
        <v>0.72822867612473297</v>
      </c>
      <c r="X296">
        <v>0</v>
      </c>
      <c r="Y296">
        <v>0</v>
      </c>
    </row>
    <row r="297" spans="1:25" x14ac:dyDescent="0.2">
      <c r="A297" t="s">
        <v>1110</v>
      </c>
      <c r="B297" t="s">
        <v>1111</v>
      </c>
      <c r="C297" t="s">
        <v>1112</v>
      </c>
      <c r="D297" t="s">
        <v>1113</v>
      </c>
      <c r="E297" t="s">
        <v>1111</v>
      </c>
      <c r="F297" t="s">
        <v>28</v>
      </c>
      <c r="G297" t="s">
        <v>1111</v>
      </c>
      <c r="H297" t="str">
        <f>"ttm-5"</f>
        <v>ttm-5</v>
      </c>
      <c r="I297" t="s">
        <v>1113</v>
      </c>
      <c r="J297">
        <v>11.972407193116</v>
      </c>
      <c r="K297">
        <v>11.8458040285299</v>
      </c>
      <c r="L297">
        <v>12.251774420618901</v>
      </c>
      <c r="M297">
        <v>12.2683321128213</v>
      </c>
      <c r="N297">
        <v>11.870017534334901</v>
      </c>
      <c r="O297">
        <v>11.877281644022201</v>
      </c>
      <c r="P297">
        <v>-1.8118117028779E-2</v>
      </c>
      <c r="Q297">
        <v>-0.42340213724683001</v>
      </c>
      <c r="R297">
        <v>0.38716590318927202</v>
      </c>
      <c r="S297">
        <v>12.070816634763901</v>
      </c>
      <c r="T297">
        <v>-9.59501090975967E-2</v>
      </c>
      <c r="U297">
        <v>-6.8776075822533302</v>
      </c>
      <c r="V297">
        <v>0.92493029959307604</v>
      </c>
      <c r="W297">
        <v>0.99843270744267199</v>
      </c>
      <c r="X297">
        <v>0</v>
      </c>
      <c r="Y297">
        <v>0</v>
      </c>
    </row>
    <row r="298" spans="1:25" x14ac:dyDescent="0.2">
      <c r="A298" t="s">
        <v>1114</v>
      </c>
      <c r="B298" t="s">
        <v>1115</v>
      </c>
      <c r="C298" t="s">
        <v>1116</v>
      </c>
      <c r="D298" t="s">
        <v>420</v>
      </c>
      <c r="E298" t="s">
        <v>1115</v>
      </c>
      <c r="F298" t="s">
        <v>28</v>
      </c>
      <c r="G298" t="s">
        <v>1115</v>
      </c>
      <c r="H298" t="str">
        <f>"clh-6"</f>
        <v>clh-6</v>
      </c>
      <c r="I298" t="s">
        <v>420</v>
      </c>
      <c r="J298" t="s">
        <v>29</v>
      </c>
      <c r="K298" t="s">
        <v>29</v>
      </c>
      <c r="L298" t="s">
        <v>29</v>
      </c>
      <c r="M298" t="s">
        <v>29</v>
      </c>
      <c r="N298" t="s">
        <v>29</v>
      </c>
      <c r="O298" t="s">
        <v>29</v>
      </c>
      <c r="P298" t="s">
        <v>29</v>
      </c>
      <c r="Q298" t="s">
        <v>29</v>
      </c>
      <c r="R298" t="s">
        <v>29</v>
      </c>
      <c r="S298">
        <v>11.309412223722401</v>
      </c>
      <c r="T298" t="s">
        <v>29</v>
      </c>
      <c r="U298" t="s">
        <v>29</v>
      </c>
      <c r="V298" t="s">
        <v>29</v>
      </c>
      <c r="W298" t="s">
        <v>29</v>
      </c>
      <c r="X298" t="s">
        <v>29</v>
      </c>
      <c r="Y298" t="s">
        <v>29</v>
      </c>
    </row>
    <row r="299" spans="1:25" x14ac:dyDescent="0.2">
      <c r="A299" t="s">
        <v>1117</v>
      </c>
      <c r="B299" t="s">
        <v>1118</v>
      </c>
      <c r="C299" t="s">
        <v>1119</v>
      </c>
      <c r="D299" t="s">
        <v>1120</v>
      </c>
      <c r="E299" t="s">
        <v>1118</v>
      </c>
      <c r="F299" t="s">
        <v>28</v>
      </c>
      <c r="G299" t="s">
        <v>1118</v>
      </c>
      <c r="H299" t="str">
        <f>"ztf-6"</f>
        <v>ztf-6</v>
      </c>
      <c r="I299" t="s">
        <v>1120</v>
      </c>
      <c r="J299" t="s">
        <v>29</v>
      </c>
      <c r="K299" t="s">
        <v>29</v>
      </c>
      <c r="L299" t="s">
        <v>29</v>
      </c>
      <c r="M299" t="s">
        <v>29</v>
      </c>
      <c r="N299" t="s">
        <v>29</v>
      </c>
      <c r="O299" t="s">
        <v>29</v>
      </c>
      <c r="P299" t="s">
        <v>29</v>
      </c>
      <c r="Q299" t="s">
        <v>29</v>
      </c>
      <c r="R299" t="s">
        <v>29</v>
      </c>
      <c r="S299">
        <v>11.8161814462905</v>
      </c>
      <c r="T299" t="s">
        <v>29</v>
      </c>
      <c r="U299" t="s">
        <v>29</v>
      </c>
      <c r="V299" t="s">
        <v>29</v>
      </c>
      <c r="W299" t="s">
        <v>29</v>
      </c>
      <c r="X299" t="s">
        <v>29</v>
      </c>
      <c r="Y299" t="s">
        <v>29</v>
      </c>
    </row>
    <row r="300" spans="1:25" x14ac:dyDescent="0.2">
      <c r="A300" t="s">
        <v>1121</v>
      </c>
      <c r="B300" t="s">
        <v>1122</v>
      </c>
      <c r="C300" t="s">
        <v>1123</v>
      </c>
      <c r="D300" t="s">
        <v>1124</v>
      </c>
      <c r="E300" t="s">
        <v>1122</v>
      </c>
      <c r="F300" t="s">
        <v>28</v>
      </c>
      <c r="G300" t="s">
        <v>1122</v>
      </c>
      <c r="H300" t="str">
        <f>"oma-1"</f>
        <v>oma-1</v>
      </c>
      <c r="I300" t="s">
        <v>1124</v>
      </c>
      <c r="J300">
        <v>13.6793749054565</v>
      </c>
      <c r="K300">
        <v>12.5413503989656</v>
      </c>
      <c r="L300">
        <v>13.582878738166301</v>
      </c>
      <c r="M300">
        <v>13.4795985535174</v>
      </c>
      <c r="N300">
        <v>14.196480972306899</v>
      </c>
      <c r="O300">
        <v>12.8708155482023</v>
      </c>
      <c r="P300">
        <v>0.247763677146082</v>
      </c>
      <c r="Q300">
        <v>-0.77014915438411602</v>
      </c>
      <c r="R300">
        <v>1.26567650867628</v>
      </c>
      <c r="S300">
        <v>14.2195912369951</v>
      </c>
      <c r="T300">
        <v>0.51377984343791006</v>
      </c>
      <c r="U300">
        <v>-6.7452145772994401</v>
      </c>
      <c r="V300">
        <v>0.61405988175884596</v>
      </c>
      <c r="W300">
        <v>0.97238011246645495</v>
      </c>
      <c r="X300">
        <v>0</v>
      </c>
      <c r="Y300">
        <v>0</v>
      </c>
    </row>
    <row r="301" spans="1:25" x14ac:dyDescent="0.2">
      <c r="A301" t="s">
        <v>1125</v>
      </c>
      <c r="B301" t="s">
        <v>1126</v>
      </c>
      <c r="C301" t="s">
        <v>1127</v>
      </c>
      <c r="D301" t="s">
        <v>1128</v>
      </c>
      <c r="E301" t="s">
        <v>1126</v>
      </c>
      <c r="F301" t="s">
        <v>28</v>
      </c>
      <c r="G301" t="s">
        <v>1126</v>
      </c>
      <c r="H301" t="str">
        <f>"dpy-11"</f>
        <v>dpy-11</v>
      </c>
      <c r="I301" t="s">
        <v>1128</v>
      </c>
      <c r="J301">
        <v>13.102819671752901</v>
      </c>
      <c r="K301">
        <v>13.764396115159199</v>
      </c>
      <c r="L301">
        <v>14.266773538895</v>
      </c>
      <c r="M301">
        <v>14.711811214429</v>
      </c>
      <c r="N301">
        <v>14.1044700261161</v>
      </c>
      <c r="O301">
        <v>14.5647391568811</v>
      </c>
      <c r="P301">
        <v>0.74901035720631803</v>
      </c>
      <c r="Q301">
        <v>1.4855879830004901E-2</v>
      </c>
      <c r="R301">
        <v>1.48316483458263</v>
      </c>
      <c r="S301">
        <v>14.0320865815471</v>
      </c>
      <c r="T301">
        <v>2.1443362356621498</v>
      </c>
      <c r="U301">
        <v>-4.7469262752816901</v>
      </c>
      <c r="V301">
        <v>4.5991911967242297E-2</v>
      </c>
      <c r="W301">
        <v>0.466677028988077</v>
      </c>
      <c r="X301">
        <v>0</v>
      </c>
      <c r="Y301">
        <v>0</v>
      </c>
    </row>
    <row r="302" spans="1:25" x14ac:dyDescent="0.2">
      <c r="A302" t="s">
        <v>1129</v>
      </c>
      <c r="B302" t="s">
        <v>1130</v>
      </c>
      <c r="C302" t="s">
        <v>14159</v>
      </c>
      <c r="D302" t="s">
        <v>1131</v>
      </c>
      <c r="E302" t="s">
        <v>1130</v>
      </c>
      <c r="F302" t="s">
        <v>28</v>
      </c>
      <c r="G302" t="s">
        <v>1130</v>
      </c>
      <c r="H302" t="str">
        <f>"T04A11.2"</f>
        <v>T04A11.2</v>
      </c>
      <c r="I302" t="s">
        <v>1131</v>
      </c>
      <c r="J302" t="s">
        <v>29</v>
      </c>
      <c r="K302" t="s">
        <v>29</v>
      </c>
      <c r="L302" t="s">
        <v>29</v>
      </c>
      <c r="M302">
        <v>13.067558344424301</v>
      </c>
      <c r="N302">
        <v>13.1204322167117</v>
      </c>
      <c r="O302">
        <v>13.7083019238563</v>
      </c>
      <c r="P302" t="s">
        <v>29</v>
      </c>
      <c r="Q302" t="s">
        <v>29</v>
      </c>
      <c r="R302" t="s">
        <v>29</v>
      </c>
      <c r="S302">
        <v>12.4855194859049</v>
      </c>
      <c r="T302" t="s">
        <v>29</v>
      </c>
      <c r="U302" t="s">
        <v>29</v>
      </c>
      <c r="V302" t="s">
        <v>29</v>
      </c>
      <c r="W302" t="s">
        <v>29</v>
      </c>
      <c r="X302" t="s">
        <v>29</v>
      </c>
      <c r="Y302" t="s">
        <v>29</v>
      </c>
    </row>
    <row r="303" spans="1:25" x14ac:dyDescent="0.2">
      <c r="A303" t="s">
        <v>1132</v>
      </c>
      <c r="B303" t="s">
        <v>1133</v>
      </c>
      <c r="C303" t="s">
        <v>1134</v>
      </c>
      <c r="D303" t="s">
        <v>1135</v>
      </c>
      <c r="E303" t="s">
        <v>1133</v>
      </c>
      <c r="F303" t="s">
        <v>28</v>
      </c>
      <c r="G303" t="s">
        <v>1133</v>
      </c>
      <c r="H303" t="str">
        <f>"bus-8"</f>
        <v>bus-8</v>
      </c>
      <c r="I303" t="s">
        <v>1135</v>
      </c>
      <c r="J303" t="s">
        <v>29</v>
      </c>
      <c r="K303" t="s">
        <v>29</v>
      </c>
      <c r="L303">
        <v>13.009271125738</v>
      </c>
      <c r="M303" t="s">
        <v>29</v>
      </c>
      <c r="N303" t="s">
        <v>29</v>
      </c>
      <c r="O303">
        <v>12.413663206804801</v>
      </c>
      <c r="P303">
        <v>-0.59560791893324905</v>
      </c>
      <c r="Q303">
        <v>-1.50296335577101</v>
      </c>
      <c r="R303">
        <v>0.31174751790451299</v>
      </c>
      <c r="S303">
        <v>12.1781973696104</v>
      </c>
      <c r="T303">
        <v>-1.46470413590715</v>
      </c>
      <c r="U303">
        <v>-5.3100719192976902</v>
      </c>
      <c r="V303">
        <v>0.17403774899701699</v>
      </c>
      <c r="W303">
        <v>0.77568784401157198</v>
      </c>
      <c r="X303">
        <v>0</v>
      </c>
      <c r="Y303">
        <v>0</v>
      </c>
    </row>
    <row r="304" spans="1:25" x14ac:dyDescent="0.2">
      <c r="A304" t="s">
        <v>1136</v>
      </c>
      <c r="B304" t="s">
        <v>1137</v>
      </c>
      <c r="C304" t="s">
        <v>1138</v>
      </c>
      <c r="D304" t="s">
        <v>1139</v>
      </c>
      <c r="E304" t="s">
        <v>1137</v>
      </c>
      <c r="F304" t="s">
        <v>28</v>
      </c>
      <c r="G304" t="s">
        <v>1137</v>
      </c>
      <c r="H304" t="str">
        <f>"klp-16"</f>
        <v>klp-16</v>
      </c>
      <c r="I304" t="s">
        <v>1139</v>
      </c>
      <c r="J304">
        <v>13.744967417236801</v>
      </c>
      <c r="K304">
        <v>13.8184537135512</v>
      </c>
      <c r="L304">
        <v>14.486390894661801</v>
      </c>
      <c r="M304">
        <v>14.1233578017184</v>
      </c>
      <c r="N304">
        <v>13.883824423592699</v>
      </c>
      <c r="O304">
        <v>13.2470832331236</v>
      </c>
      <c r="P304">
        <v>-0.26518218900503099</v>
      </c>
      <c r="Q304">
        <v>-0.95869611728886905</v>
      </c>
      <c r="R304">
        <v>0.42833173927880602</v>
      </c>
      <c r="S304">
        <v>14.383488247488</v>
      </c>
      <c r="T304">
        <v>-0.80712198425028503</v>
      </c>
      <c r="U304">
        <v>-6.5475285409302701</v>
      </c>
      <c r="V304">
        <v>0.43081291463351001</v>
      </c>
      <c r="W304">
        <v>0.91512503332874395</v>
      </c>
      <c r="X304">
        <v>0</v>
      </c>
      <c r="Y304">
        <v>0</v>
      </c>
    </row>
    <row r="305" spans="1:25" x14ac:dyDescent="0.2">
      <c r="A305" t="s">
        <v>1140</v>
      </c>
      <c r="B305" t="s">
        <v>1141</v>
      </c>
      <c r="C305" t="s">
        <v>1142</v>
      </c>
      <c r="D305" t="s">
        <v>1143</v>
      </c>
      <c r="E305" t="s">
        <v>1141</v>
      </c>
      <c r="F305" t="s">
        <v>28</v>
      </c>
      <c r="G305" t="s">
        <v>1141</v>
      </c>
      <c r="H305" t="str">
        <f>"rme-1"</f>
        <v>rme-1</v>
      </c>
      <c r="I305" t="s">
        <v>1143</v>
      </c>
      <c r="J305">
        <v>15.1960671312125</v>
      </c>
      <c r="K305">
        <v>15.0647679567269</v>
      </c>
      <c r="L305">
        <v>15.1076996063611</v>
      </c>
      <c r="M305">
        <v>15.4903157561358</v>
      </c>
      <c r="N305">
        <v>15.533757137027999</v>
      </c>
      <c r="O305">
        <v>15.2677360040369</v>
      </c>
      <c r="P305">
        <v>0.30775806763344898</v>
      </c>
      <c r="Q305">
        <v>-0.11801029854619501</v>
      </c>
      <c r="R305">
        <v>0.73352643381309202</v>
      </c>
      <c r="S305">
        <v>15.263480389632999</v>
      </c>
      <c r="T305">
        <v>1.51924763368918</v>
      </c>
      <c r="U305">
        <v>-5.7489161777541504</v>
      </c>
      <c r="V305">
        <v>0.14617075665691801</v>
      </c>
      <c r="W305">
        <v>0.73593990643604101</v>
      </c>
      <c r="X305">
        <v>0</v>
      </c>
      <c r="Y305">
        <v>0</v>
      </c>
    </row>
    <row r="306" spans="1:25" x14ac:dyDescent="0.2">
      <c r="A306" t="s">
        <v>1144</v>
      </c>
      <c r="B306" t="s">
        <v>1145</v>
      </c>
      <c r="C306" t="s">
        <v>1146</v>
      </c>
      <c r="D306" t="s">
        <v>1147</v>
      </c>
      <c r="E306" t="s">
        <v>1145</v>
      </c>
      <c r="F306" t="s">
        <v>28</v>
      </c>
      <c r="G306" t="s">
        <v>1145</v>
      </c>
      <c r="H306" t="str">
        <f>"usp-48"</f>
        <v>usp-48</v>
      </c>
      <c r="I306" t="s">
        <v>1147</v>
      </c>
      <c r="J306">
        <v>11.8425482550174</v>
      </c>
      <c r="K306">
        <v>11.935821028334599</v>
      </c>
      <c r="L306">
        <v>12.0505093450966</v>
      </c>
      <c r="M306">
        <v>12.1704228386357</v>
      </c>
      <c r="N306">
        <v>12.7049053316378</v>
      </c>
      <c r="O306">
        <v>12.2502335252811</v>
      </c>
      <c r="P306">
        <v>0.43222768903532</v>
      </c>
      <c r="Q306">
        <v>-0.331124503758366</v>
      </c>
      <c r="R306">
        <v>1.19557988182901</v>
      </c>
      <c r="S306">
        <v>12.3049034015473</v>
      </c>
      <c r="T306">
        <v>1.1951918982019001</v>
      </c>
      <c r="U306">
        <v>-6.1640543487497599</v>
      </c>
      <c r="V306">
        <v>0.24851992504977</v>
      </c>
      <c r="W306">
        <v>0.83290464306710399</v>
      </c>
      <c r="X306">
        <v>0</v>
      </c>
      <c r="Y306">
        <v>0</v>
      </c>
    </row>
    <row r="307" spans="1:25" x14ac:dyDescent="0.2">
      <c r="A307" t="s">
        <v>1148</v>
      </c>
      <c r="B307" t="s">
        <v>1149</v>
      </c>
      <c r="C307" t="s">
        <v>1150</v>
      </c>
      <c r="D307" t="s">
        <v>1151</v>
      </c>
      <c r="E307" t="s">
        <v>1149</v>
      </c>
      <c r="F307" t="s">
        <v>28</v>
      </c>
      <c r="G307" t="s">
        <v>1149</v>
      </c>
      <c r="H307" t="str">
        <f>"mrps-27"</f>
        <v>mrps-27</v>
      </c>
      <c r="I307" t="s">
        <v>1151</v>
      </c>
      <c r="J307">
        <v>10.919888378023501</v>
      </c>
      <c r="K307">
        <v>11.471532077507099</v>
      </c>
      <c r="L307">
        <v>11.905663186193699</v>
      </c>
      <c r="M307">
        <v>10.5245341023252</v>
      </c>
      <c r="N307">
        <v>11.7701085573466</v>
      </c>
      <c r="O307">
        <v>10.9238091308306</v>
      </c>
      <c r="P307">
        <v>-0.35954395040729598</v>
      </c>
      <c r="Q307">
        <v>-1.0999000989402501</v>
      </c>
      <c r="R307">
        <v>0.38081219812565997</v>
      </c>
      <c r="S307">
        <v>12.121064996795001</v>
      </c>
      <c r="T307">
        <v>-1.0300559809496199</v>
      </c>
      <c r="U307">
        <v>-6.3424396154550902</v>
      </c>
      <c r="V307">
        <v>0.31840368334035801</v>
      </c>
      <c r="W307">
        <v>0.86570305652650403</v>
      </c>
      <c r="X307">
        <v>0</v>
      </c>
      <c r="Y307">
        <v>0</v>
      </c>
    </row>
    <row r="308" spans="1:25" x14ac:dyDescent="0.2">
      <c r="A308" t="s">
        <v>1152</v>
      </c>
      <c r="B308" t="s">
        <v>1153</v>
      </c>
      <c r="C308" t="s">
        <v>1154</v>
      </c>
      <c r="D308" t="s">
        <v>1155</v>
      </c>
      <c r="E308" t="s">
        <v>1153</v>
      </c>
      <c r="F308" t="s">
        <v>28</v>
      </c>
      <c r="G308" t="s">
        <v>1153</v>
      </c>
      <c r="H308" t="str">
        <f>"chs-1"</f>
        <v>chs-1</v>
      </c>
      <c r="I308" t="s">
        <v>1155</v>
      </c>
      <c r="J308" t="s">
        <v>29</v>
      </c>
      <c r="K308" t="s">
        <v>29</v>
      </c>
      <c r="L308" t="s">
        <v>29</v>
      </c>
      <c r="M308" t="s">
        <v>29</v>
      </c>
      <c r="N308">
        <v>10.685224222084299</v>
      </c>
      <c r="O308" t="s">
        <v>29</v>
      </c>
      <c r="P308" t="s">
        <v>29</v>
      </c>
      <c r="Q308" t="s">
        <v>29</v>
      </c>
      <c r="R308" t="s">
        <v>29</v>
      </c>
      <c r="S308">
        <v>12.202970194474601</v>
      </c>
      <c r="T308" t="s">
        <v>29</v>
      </c>
      <c r="U308" t="s">
        <v>29</v>
      </c>
      <c r="V308" t="s">
        <v>29</v>
      </c>
      <c r="W308" t="s">
        <v>29</v>
      </c>
      <c r="X308" t="s">
        <v>29</v>
      </c>
      <c r="Y308" t="s">
        <v>29</v>
      </c>
    </row>
    <row r="309" spans="1:25" x14ac:dyDescent="0.2">
      <c r="A309" t="s">
        <v>1156</v>
      </c>
      <c r="B309" t="s">
        <v>1157</v>
      </c>
      <c r="C309" t="s">
        <v>1158</v>
      </c>
      <c r="D309" t="s">
        <v>1159</v>
      </c>
      <c r="E309" t="s">
        <v>1157</v>
      </c>
      <c r="F309" t="s">
        <v>28</v>
      </c>
      <c r="G309" t="s">
        <v>1157</v>
      </c>
      <c r="H309" t="str">
        <f>"mel-11"</f>
        <v>mel-11</v>
      </c>
      <c r="I309" t="s">
        <v>1159</v>
      </c>
      <c r="J309" t="s">
        <v>29</v>
      </c>
      <c r="K309" t="s">
        <v>29</v>
      </c>
      <c r="L309">
        <v>11.7055193885022</v>
      </c>
      <c r="M309" t="s">
        <v>29</v>
      </c>
      <c r="N309" t="s">
        <v>29</v>
      </c>
      <c r="O309" t="s">
        <v>29</v>
      </c>
      <c r="P309" t="s">
        <v>29</v>
      </c>
      <c r="Q309" t="s">
        <v>29</v>
      </c>
      <c r="R309" t="s">
        <v>29</v>
      </c>
      <c r="S309">
        <v>12.261414956861</v>
      </c>
      <c r="T309" t="s">
        <v>29</v>
      </c>
      <c r="U309" t="s">
        <v>29</v>
      </c>
      <c r="V309" t="s">
        <v>29</v>
      </c>
      <c r="W309" t="s">
        <v>29</v>
      </c>
      <c r="X309" t="s">
        <v>29</v>
      </c>
      <c r="Y309" t="s">
        <v>29</v>
      </c>
    </row>
    <row r="310" spans="1:25" x14ac:dyDescent="0.2">
      <c r="A310" t="s">
        <v>1160</v>
      </c>
      <c r="B310" t="s">
        <v>1161</v>
      </c>
      <c r="C310" t="s">
        <v>1162</v>
      </c>
      <c r="D310" t="s">
        <v>1163</v>
      </c>
      <c r="E310" t="s">
        <v>1161</v>
      </c>
      <c r="F310" t="s">
        <v>28</v>
      </c>
      <c r="G310" t="s">
        <v>1161</v>
      </c>
      <c r="H310" t="str">
        <f>"lam-3"</f>
        <v>lam-3</v>
      </c>
      <c r="I310" t="s">
        <v>1163</v>
      </c>
      <c r="J310">
        <v>11.053443030278199</v>
      </c>
      <c r="K310">
        <v>11.121600099133801</v>
      </c>
      <c r="L310">
        <v>12.140856389869899</v>
      </c>
      <c r="M310">
        <v>11.557758307978901</v>
      </c>
      <c r="N310">
        <v>11.8189738233849</v>
      </c>
      <c r="O310">
        <v>11.164887874868599</v>
      </c>
      <c r="P310">
        <v>7.5240162316816794E-2</v>
      </c>
      <c r="Q310">
        <v>-1.0303963541124099</v>
      </c>
      <c r="R310">
        <v>1.1808766787460501</v>
      </c>
      <c r="S310">
        <v>11.264065512203199</v>
      </c>
      <c r="T310">
        <v>0.14364395791131199</v>
      </c>
      <c r="U310">
        <v>-6.8716814589865196</v>
      </c>
      <c r="V310">
        <v>0.88748102108756999</v>
      </c>
      <c r="W310">
        <v>0.99702926582654094</v>
      </c>
      <c r="X310">
        <v>0</v>
      </c>
      <c r="Y310">
        <v>0</v>
      </c>
    </row>
    <row r="311" spans="1:25" x14ac:dyDescent="0.2">
      <c r="A311" t="s">
        <v>1164</v>
      </c>
      <c r="B311" t="s">
        <v>1165</v>
      </c>
      <c r="C311" t="s">
        <v>1166</v>
      </c>
      <c r="D311" t="s">
        <v>828</v>
      </c>
      <c r="E311" t="s">
        <v>1165</v>
      </c>
      <c r="F311" t="s">
        <v>28</v>
      </c>
      <c r="G311" t="s">
        <v>1165</v>
      </c>
      <c r="H311" t="str">
        <f>"rin-1"</f>
        <v>rin-1</v>
      </c>
      <c r="I311" t="s">
        <v>828</v>
      </c>
      <c r="J311">
        <v>12.6116085520441</v>
      </c>
      <c r="K311">
        <v>12.050059158870001</v>
      </c>
      <c r="L311">
        <v>13.689453810892401</v>
      </c>
      <c r="M311">
        <v>12.4173711898787</v>
      </c>
      <c r="N311">
        <v>12.6671691060599</v>
      </c>
      <c r="O311">
        <v>12.7042634741298</v>
      </c>
      <c r="P311">
        <v>-0.187439250579333</v>
      </c>
      <c r="Q311">
        <v>-1.0399915971115099</v>
      </c>
      <c r="R311">
        <v>0.66511309595284196</v>
      </c>
      <c r="S311">
        <v>13.404680107037199</v>
      </c>
      <c r="T311">
        <v>-0.464076415784338</v>
      </c>
      <c r="U311">
        <v>-6.7703290294600302</v>
      </c>
      <c r="V311">
        <v>0.64851658702280002</v>
      </c>
      <c r="W311">
        <v>0.98013769373836501</v>
      </c>
      <c r="X311">
        <v>0</v>
      </c>
      <c r="Y311">
        <v>0</v>
      </c>
    </row>
    <row r="312" spans="1:25" x14ac:dyDescent="0.2">
      <c r="A312" t="s">
        <v>1167</v>
      </c>
      <c r="B312" t="s">
        <v>1168</v>
      </c>
      <c r="C312" t="s">
        <v>1169</v>
      </c>
      <c r="D312" t="s">
        <v>1170</v>
      </c>
      <c r="E312" t="s">
        <v>1168</v>
      </c>
      <c r="F312" t="s">
        <v>28</v>
      </c>
      <c r="G312" t="s">
        <v>1168</v>
      </c>
      <c r="H312" t="str">
        <f>"ptr-25"</f>
        <v>ptr-25</v>
      </c>
      <c r="I312" t="s">
        <v>1170</v>
      </c>
      <c r="J312">
        <v>11.5442025712195</v>
      </c>
      <c r="K312">
        <v>12.508087092114501</v>
      </c>
      <c r="L312">
        <v>12.1897002571552</v>
      </c>
      <c r="M312" t="s">
        <v>29</v>
      </c>
      <c r="N312">
        <v>11.932859405369401</v>
      </c>
      <c r="O312">
        <v>11.685130038887101</v>
      </c>
      <c r="P312">
        <v>-0.27166858470150501</v>
      </c>
      <c r="Q312">
        <v>-1.0229589202609399</v>
      </c>
      <c r="R312">
        <v>0.47962175085792702</v>
      </c>
      <c r="S312">
        <v>12.256206532410101</v>
      </c>
      <c r="T312">
        <v>-0.76697489359845505</v>
      </c>
      <c r="U312">
        <v>-6.4692387115235404</v>
      </c>
      <c r="V312">
        <v>0.45433842099841698</v>
      </c>
      <c r="W312">
        <v>0.92582104169957002</v>
      </c>
      <c r="X312">
        <v>0</v>
      </c>
      <c r="Y312">
        <v>0</v>
      </c>
    </row>
    <row r="313" spans="1:25" x14ac:dyDescent="0.2">
      <c r="A313" t="s">
        <v>1171</v>
      </c>
      <c r="B313" t="s">
        <v>1172</v>
      </c>
      <c r="C313" t="s">
        <v>1173</v>
      </c>
      <c r="D313" t="s">
        <v>1174</v>
      </c>
      <c r="E313" t="s">
        <v>1172</v>
      </c>
      <c r="F313" t="s">
        <v>28</v>
      </c>
      <c r="G313" t="s">
        <v>1172</v>
      </c>
      <c r="H313" t="str">
        <f>"bmk-1"</f>
        <v>bmk-1</v>
      </c>
      <c r="I313" t="s">
        <v>1174</v>
      </c>
      <c r="J313">
        <v>12.217928860204299</v>
      </c>
      <c r="K313" t="s">
        <v>29</v>
      </c>
      <c r="L313">
        <v>12.5362924370308</v>
      </c>
      <c r="M313">
        <v>12.665794132107999</v>
      </c>
      <c r="N313">
        <v>12.500194914708899</v>
      </c>
      <c r="O313">
        <v>11.9786588279106</v>
      </c>
      <c r="P313">
        <v>4.4386429582434798E-3</v>
      </c>
      <c r="Q313">
        <v>-0.53941692356815396</v>
      </c>
      <c r="R313">
        <v>0.54829420948464103</v>
      </c>
      <c r="S313">
        <v>12.4086995598868</v>
      </c>
      <c r="T313">
        <v>1.7406371160546601E-2</v>
      </c>
      <c r="U313">
        <v>-6.77204518224318</v>
      </c>
      <c r="V313">
        <v>0.98634344646458105</v>
      </c>
      <c r="W313">
        <v>0.99968702248720698</v>
      </c>
      <c r="X313">
        <v>0</v>
      </c>
      <c r="Y313">
        <v>0</v>
      </c>
    </row>
    <row r="314" spans="1:25" x14ac:dyDescent="0.2">
      <c r="A314" t="s">
        <v>1175</v>
      </c>
      <c r="B314" t="s">
        <v>1176</v>
      </c>
      <c r="C314" t="s">
        <v>1177</v>
      </c>
      <c r="D314" t="s">
        <v>1178</v>
      </c>
      <c r="E314" t="s">
        <v>1176</v>
      </c>
      <c r="F314" t="s">
        <v>28</v>
      </c>
      <c r="G314" t="s">
        <v>1176</v>
      </c>
      <c r="H314" t="str">
        <f>"dsc-4"</f>
        <v>dsc-4</v>
      </c>
      <c r="I314" t="s">
        <v>1178</v>
      </c>
      <c r="J314">
        <v>16.286210709081701</v>
      </c>
      <c r="K314">
        <v>16.130940200701101</v>
      </c>
      <c r="L314">
        <v>15.790695743520001</v>
      </c>
      <c r="M314">
        <v>16.066607915584498</v>
      </c>
      <c r="N314">
        <v>15.591322995096199</v>
      </c>
      <c r="O314">
        <v>16.002232135607098</v>
      </c>
      <c r="P314">
        <v>-0.18256120233833301</v>
      </c>
      <c r="Q314">
        <v>-0.60475199969395199</v>
      </c>
      <c r="R314">
        <v>0.23962959501728701</v>
      </c>
      <c r="S314">
        <v>15.3322625722168</v>
      </c>
      <c r="T314">
        <v>-0.90885005508011896</v>
      </c>
      <c r="U314">
        <v>-6.4606657488041703</v>
      </c>
      <c r="V314">
        <v>0.37550752847851698</v>
      </c>
      <c r="W314">
        <v>0.89611784539566797</v>
      </c>
      <c r="X314">
        <v>0</v>
      </c>
      <c r="Y314">
        <v>0</v>
      </c>
    </row>
    <row r="315" spans="1:25" x14ac:dyDescent="0.2">
      <c r="A315" t="s">
        <v>1179</v>
      </c>
      <c r="B315" t="s">
        <v>1180</v>
      </c>
      <c r="C315" t="s">
        <v>1181</v>
      </c>
      <c r="D315" t="s">
        <v>1182</v>
      </c>
      <c r="E315" t="s">
        <v>1180</v>
      </c>
      <c r="F315" t="s">
        <v>28</v>
      </c>
      <c r="G315" t="s">
        <v>1180</v>
      </c>
      <c r="H315" t="str">
        <f>"hda-3"</f>
        <v>hda-3</v>
      </c>
      <c r="I315" t="s">
        <v>1182</v>
      </c>
      <c r="J315">
        <v>13.750714720425</v>
      </c>
      <c r="K315">
        <v>14.007404804104301</v>
      </c>
      <c r="L315">
        <v>13.3808918575335</v>
      </c>
      <c r="M315">
        <v>13.668531845875499</v>
      </c>
      <c r="N315">
        <v>13.522296753882699</v>
      </c>
      <c r="O315">
        <v>13.570558304597901</v>
      </c>
      <c r="P315">
        <v>-0.12587482590224</v>
      </c>
      <c r="Q315">
        <v>-0.52155224298358704</v>
      </c>
      <c r="R315">
        <v>0.26980259117910599</v>
      </c>
      <c r="S315">
        <v>13.3896746449088</v>
      </c>
      <c r="T315">
        <v>-0.668636579351372</v>
      </c>
      <c r="U315">
        <v>-6.6517936426851403</v>
      </c>
      <c r="V315">
        <v>0.51226102989145605</v>
      </c>
      <c r="W315">
        <v>0.94175858862430595</v>
      </c>
      <c r="X315">
        <v>0</v>
      </c>
      <c r="Y315">
        <v>0</v>
      </c>
    </row>
    <row r="316" spans="1:25" x14ac:dyDescent="0.2">
      <c r="A316" t="s">
        <v>1183</v>
      </c>
      <c r="B316" t="s">
        <v>1184</v>
      </c>
      <c r="C316" t="s">
        <v>1185</v>
      </c>
      <c r="D316" t="s">
        <v>1186</v>
      </c>
      <c r="E316" t="s">
        <v>1184</v>
      </c>
      <c r="F316" t="s">
        <v>28</v>
      </c>
      <c r="G316" t="s">
        <v>1184</v>
      </c>
      <c r="H316" t="str">
        <f>"mog-7"</f>
        <v>mog-7</v>
      </c>
      <c r="I316" t="s">
        <v>1186</v>
      </c>
      <c r="J316">
        <v>12.633595898995599</v>
      </c>
      <c r="K316">
        <v>12.0520411715158</v>
      </c>
      <c r="L316">
        <v>12.469234078291599</v>
      </c>
      <c r="M316">
        <v>12.361110611207501</v>
      </c>
      <c r="N316">
        <v>13.095877552001699</v>
      </c>
      <c r="O316" t="s">
        <v>29</v>
      </c>
      <c r="P316">
        <v>0.343537032003573</v>
      </c>
      <c r="Q316">
        <v>-0.32975165198656697</v>
      </c>
      <c r="R316">
        <v>1.01682571599371</v>
      </c>
      <c r="S316">
        <v>12.7332929545805</v>
      </c>
      <c r="T316">
        <v>1.0882128496547501</v>
      </c>
      <c r="U316">
        <v>-6.1723273244473296</v>
      </c>
      <c r="V316">
        <v>0.293796201253541</v>
      </c>
      <c r="W316">
        <v>0.85855590823088301</v>
      </c>
      <c r="X316">
        <v>0</v>
      </c>
      <c r="Y316">
        <v>0</v>
      </c>
    </row>
    <row r="317" spans="1:25" x14ac:dyDescent="0.2">
      <c r="A317" t="s">
        <v>1187</v>
      </c>
      <c r="B317" t="s">
        <v>1188</v>
      </c>
      <c r="C317" t="s">
        <v>1189</v>
      </c>
      <c r="D317" t="s">
        <v>1190</v>
      </c>
      <c r="E317" t="s">
        <v>1188</v>
      </c>
      <c r="F317" t="s">
        <v>28</v>
      </c>
      <c r="G317" t="s">
        <v>1188</v>
      </c>
      <c r="H317" t="str">
        <f>"ppfr-1"</f>
        <v>ppfr-1</v>
      </c>
      <c r="I317" t="s">
        <v>1190</v>
      </c>
      <c r="J317">
        <v>12.0628240692105</v>
      </c>
      <c r="K317">
        <v>11.467592192369301</v>
      </c>
      <c r="L317">
        <v>12.4236180565527</v>
      </c>
      <c r="M317">
        <v>12.087701466068999</v>
      </c>
      <c r="N317">
        <v>12.3164512576107</v>
      </c>
      <c r="O317">
        <v>12.2094331811929</v>
      </c>
      <c r="P317">
        <v>0.21985052891336401</v>
      </c>
      <c r="Q317">
        <v>-0.27937862203480801</v>
      </c>
      <c r="R317">
        <v>0.71907967986153498</v>
      </c>
      <c r="S317">
        <v>12.533112031202799</v>
      </c>
      <c r="T317">
        <v>0.92956035091742095</v>
      </c>
      <c r="U317">
        <v>-6.4409104118096101</v>
      </c>
      <c r="V317">
        <v>0.36569081972850598</v>
      </c>
      <c r="W317">
        <v>0.88894346687426895</v>
      </c>
      <c r="X317">
        <v>0</v>
      </c>
      <c r="Y317">
        <v>0</v>
      </c>
    </row>
    <row r="318" spans="1:25" x14ac:dyDescent="0.2">
      <c r="A318" t="s">
        <v>1191</v>
      </c>
      <c r="B318" t="s">
        <v>1192</v>
      </c>
      <c r="C318" t="s">
        <v>1193</v>
      </c>
      <c r="D318" t="s">
        <v>1194</v>
      </c>
      <c r="E318" t="s">
        <v>1192</v>
      </c>
      <c r="F318" t="s">
        <v>28</v>
      </c>
      <c r="G318" t="s">
        <v>1192</v>
      </c>
      <c r="H318" t="str">
        <f>"cdk-5"</f>
        <v>cdk-5</v>
      </c>
      <c r="I318" t="s">
        <v>1194</v>
      </c>
      <c r="J318">
        <v>13.4856273585149</v>
      </c>
      <c r="K318">
        <v>13.653203648504499</v>
      </c>
      <c r="L318">
        <v>13.551430449921799</v>
      </c>
      <c r="M318">
        <v>13.3904055793554</v>
      </c>
      <c r="N318">
        <v>13.2227555106262</v>
      </c>
      <c r="O318">
        <v>13.232774469362001</v>
      </c>
      <c r="P318">
        <v>-0.28144196586588099</v>
      </c>
      <c r="Q318">
        <v>-0.77114602717686997</v>
      </c>
      <c r="R318">
        <v>0.20826209544510799</v>
      </c>
      <c r="S318">
        <v>13.147289434224801</v>
      </c>
      <c r="T318">
        <v>-1.21900273400279</v>
      </c>
      <c r="U318">
        <v>-6.13566376614697</v>
      </c>
      <c r="V318">
        <v>0.24062544531891999</v>
      </c>
      <c r="W318">
        <v>0.82420784257223501</v>
      </c>
      <c r="X318">
        <v>0</v>
      </c>
      <c r="Y318">
        <v>0</v>
      </c>
    </row>
    <row r="319" spans="1:25" x14ac:dyDescent="0.2">
      <c r="A319" t="s">
        <v>1195</v>
      </c>
      <c r="B319" t="s">
        <v>1196</v>
      </c>
      <c r="C319" t="s">
        <v>1197</v>
      </c>
      <c r="D319" t="s">
        <v>1198</v>
      </c>
      <c r="E319" t="s">
        <v>1196</v>
      </c>
      <c r="F319" t="s">
        <v>28</v>
      </c>
      <c r="G319" t="s">
        <v>1196</v>
      </c>
      <c r="H319" t="str">
        <f>"fars-2"</f>
        <v>fars-2</v>
      </c>
      <c r="I319" t="s">
        <v>1198</v>
      </c>
      <c r="J319" t="s">
        <v>29</v>
      </c>
      <c r="K319" t="s">
        <v>29</v>
      </c>
      <c r="L319">
        <v>12.118108049451299</v>
      </c>
      <c r="M319" t="s">
        <v>29</v>
      </c>
      <c r="N319">
        <v>12.1351858240476</v>
      </c>
      <c r="O319" t="s">
        <v>29</v>
      </c>
      <c r="P319">
        <v>1.70777745962933E-2</v>
      </c>
      <c r="Q319">
        <v>-1.3760044372842399</v>
      </c>
      <c r="R319">
        <v>1.4101599864768299</v>
      </c>
      <c r="S319">
        <v>12.0777731758191</v>
      </c>
      <c r="T319">
        <v>2.7354036417848299E-2</v>
      </c>
      <c r="U319">
        <v>-6.3429881457204198</v>
      </c>
      <c r="V319">
        <v>0.97872116692147604</v>
      </c>
      <c r="W319">
        <v>0.99968702248720698</v>
      </c>
      <c r="X319">
        <v>0</v>
      </c>
      <c r="Y319">
        <v>0</v>
      </c>
    </row>
    <row r="320" spans="1:25" x14ac:dyDescent="0.2">
      <c r="A320" t="s">
        <v>1199</v>
      </c>
      <c r="B320" t="s">
        <v>1200</v>
      </c>
      <c r="C320" t="s">
        <v>1201</v>
      </c>
      <c r="D320" t="s">
        <v>1202</v>
      </c>
      <c r="E320" t="s">
        <v>1200</v>
      </c>
      <c r="F320" t="s">
        <v>28</v>
      </c>
      <c r="G320" t="s">
        <v>1200</v>
      </c>
      <c r="H320" t="str">
        <f>"mec-8"</f>
        <v>mec-8</v>
      </c>
      <c r="I320" t="s">
        <v>1202</v>
      </c>
      <c r="J320">
        <v>12.9479500766769</v>
      </c>
      <c r="K320">
        <v>13.6892009693637</v>
      </c>
      <c r="L320">
        <v>13.1291818965449</v>
      </c>
      <c r="M320">
        <v>12.593838036806201</v>
      </c>
      <c r="N320">
        <v>12.8385410029522</v>
      </c>
      <c r="O320">
        <v>13.4816505442282</v>
      </c>
      <c r="P320">
        <v>-0.28410111953297301</v>
      </c>
      <c r="Q320">
        <v>-0.84270047617923605</v>
      </c>
      <c r="R320">
        <v>0.27449823711328902</v>
      </c>
      <c r="S320">
        <v>13.4413261409137</v>
      </c>
      <c r="T320">
        <v>-1.0735506200062299</v>
      </c>
      <c r="U320">
        <v>-6.2983336117001896</v>
      </c>
      <c r="V320">
        <v>0.29811878252083002</v>
      </c>
      <c r="W320">
        <v>0.85855590823088301</v>
      </c>
      <c r="X320">
        <v>0</v>
      </c>
      <c r="Y320">
        <v>0</v>
      </c>
    </row>
    <row r="321" spans="1:25" x14ac:dyDescent="0.2">
      <c r="A321" t="s">
        <v>1203</v>
      </c>
      <c r="B321" t="s">
        <v>1204</v>
      </c>
      <c r="C321" t="s">
        <v>1205</v>
      </c>
      <c r="D321" t="s">
        <v>1206</v>
      </c>
      <c r="E321" t="s">
        <v>1204</v>
      </c>
      <c r="F321" t="s">
        <v>28</v>
      </c>
      <c r="G321" t="s">
        <v>1204</v>
      </c>
      <c r="H321" t="str">
        <f>"csk-1"</f>
        <v>csk-1</v>
      </c>
      <c r="I321" t="s">
        <v>1206</v>
      </c>
      <c r="J321">
        <v>13.5974972678216</v>
      </c>
      <c r="K321">
        <v>14.2063492553294</v>
      </c>
      <c r="L321">
        <v>13.948305245929999</v>
      </c>
      <c r="M321">
        <v>13.9131069023045</v>
      </c>
      <c r="N321">
        <v>13.711277540957999</v>
      </c>
      <c r="O321">
        <v>13.6841398504229</v>
      </c>
      <c r="P321">
        <v>-0.14787582513189401</v>
      </c>
      <c r="Q321">
        <v>-0.590237062202431</v>
      </c>
      <c r="R321">
        <v>0.29448541193864203</v>
      </c>
      <c r="S321">
        <v>13.699065033994501</v>
      </c>
      <c r="T321">
        <v>-0.70561877871808298</v>
      </c>
      <c r="U321">
        <v>-6.6253342351316098</v>
      </c>
      <c r="V321">
        <v>0.49004094689364402</v>
      </c>
      <c r="W321">
        <v>0.94062983959761604</v>
      </c>
      <c r="X321">
        <v>0</v>
      </c>
      <c r="Y321">
        <v>0</v>
      </c>
    </row>
    <row r="322" spans="1:25" x14ac:dyDescent="0.2">
      <c r="A322" t="s">
        <v>1207</v>
      </c>
      <c r="B322" t="s">
        <v>1208</v>
      </c>
      <c r="C322" t="s">
        <v>1209</v>
      </c>
      <c r="D322" t="s">
        <v>1210</v>
      </c>
      <c r="E322" t="s">
        <v>1208</v>
      </c>
      <c r="F322" t="s">
        <v>28</v>
      </c>
      <c r="G322" t="s">
        <v>1208</v>
      </c>
      <c r="H322" t="str">
        <f>"fmo-3"</f>
        <v>fmo-3</v>
      </c>
      <c r="I322" t="s">
        <v>1210</v>
      </c>
      <c r="J322">
        <v>13.8452037670992</v>
      </c>
      <c r="K322">
        <v>12.770636256442501</v>
      </c>
      <c r="L322">
        <v>12.4849951339915</v>
      </c>
      <c r="M322">
        <v>13.376216600912899</v>
      </c>
      <c r="N322">
        <v>13.452520709424601</v>
      </c>
      <c r="O322" t="s">
        <v>29</v>
      </c>
      <c r="P322">
        <v>0.38075693599101601</v>
      </c>
      <c r="Q322">
        <v>-0.45039503762033301</v>
      </c>
      <c r="R322">
        <v>1.2119089096023701</v>
      </c>
      <c r="S322">
        <v>13.7666956303669</v>
      </c>
      <c r="T322">
        <v>0.977032451343264</v>
      </c>
      <c r="U322">
        <v>-6.2850643602221803</v>
      </c>
      <c r="V322">
        <v>0.34415557589059897</v>
      </c>
      <c r="W322">
        <v>0.87900979014882197</v>
      </c>
      <c r="X322">
        <v>0</v>
      </c>
      <c r="Y322">
        <v>0</v>
      </c>
    </row>
    <row r="323" spans="1:25" x14ac:dyDescent="0.2">
      <c r="A323" t="s">
        <v>1211</v>
      </c>
      <c r="B323" t="s">
        <v>1212</v>
      </c>
      <c r="C323" t="s">
        <v>1213</v>
      </c>
      <c r="D323" t="s">
        <v>1214</v>
      </c>
      <c r="E323" t="s">
        <v>1212</v>
      </c>
      <c r="F323" t="s">
        <v>28</v>
      </c>
      <c r="G323" t="s">
        <v>1212</v>
      </c>
      <c r="H323" t="str">
        <f>"dnbp-1"</f>
        <v>dnbp-1</v>
      </c>
      <c r="I323" t="s">
        <v>1214</v>
      </c>
      <c r="J323">
        <v>12.9426890590256</v>
      </c>
      <c r="K323">
        <v>12.5556007278111</v>
      </c>
      <c r="L323">
        <v>12.2689083270746</v>
      </c>
      <c r="M323">
        <v>14.759844782595099</v>
      </c>
      <c r="N323">
        <v>14.726015918587301</v>
      </c>
      <c r="O323">
        <v>14.3603338694382</v>
      </c>
      <c r="P323">
        <v>2.02633215223638</v>
      </c>
      <c r="Q323">
        <v>1.2046142480624</v>
      </c>
      <c r="R323">
        <v>2.8480500564103601</v>
      </c>
      <c r="S323">
        <v>14.1075664223287</v>
      </c>
      <c r="T323">
        <v>5.1829903337409302</v>
      </c>
      <c r="U323">
        <v>1.63350148523309</v>
      </c>
      <c r="V323" s="2">
        <v>6.3737909523234494E-5</v>
      </c>
      <c r="W323">
        <v>3.2633809675896102E-3</v>
      </c>
      <c r="X323">
        <v>1</v>
      </c>
      <c r="Y323">
        <v>1</v>
      </c>
    </row>
    <row r="324" spans="1:25" x14ac:dyDescent="0.2">
      <c r="A324" t="s">
        <v>1215</v>
      </c>
      <c r="B324" t="s">
        <v>1216</v>
      </c>
      <c r="C324" t="s">
        <v>1217</v>
      </c>
      <c r="D324" t="s">
        <v>1218</v>
      </c>
      <c r="E324" t="s">
        <v>1216</v>
      </c>
      <c r="F324" t="s">
        <v>28</v>
      </c>
      <c r="G324" t="s">
        <v>1216</v>
      </c>
      <c r="H324" t="str">
        <f>"unc-26"</f>
        <v>unc-26</v>
      </c>
      <c r="I324" t="s">
        <v>1218</v>
      </c>
      <c r="J324">
        <v>12.0129295274646</v>
      </c>
      <c r="K324" t="s">
        <v>29</v>
      </c>
      <c r="L324" t="s">
        <v>29</v>
      </c>
      <c r="M324">
        <v>11.9439353530302</v>
      </c>
      <c r="N324">
        <v>11.8915520232758</v>
      </c>
      <c r="O324">
        <v>12.6041204391239</v>
      </c>
      <c r="P324">
        <v>0.13360641101205301</v>
      </c>
      <c r="Q324">
        <v>-0.81540197443541595</v>
      </c>
      <c r="R324">
        <v>1.0826147964595201</v>
      </c>
      <c r="S324">
        <v>12.0660410699327</v>
      </c>
      <c r="T324">
        <v>0.304399890955318</v>
      </c>
      <c r="U324">
        <v>-6.4923188526387898</v>
      </c>
      <c r="V324">
        <v>0.76568002009894998</v>
      </c>
      <c r="W324">
        <v>0.99278624068726296</v>
      </c>
      <c r="X324">
        <v>0</v>
      </c>
      <c r="Y324">
        <v>0</v>
      </c>
    </row>
    <row r="325" spans="1:25" x14ac:dyDescent="0.2">
      <c r="A325" t="s">
        <v>1219</v>
      </c>
      <c r="B325" t="s">
        <v>1220</v>
      </c>
      <c r="C325" t="s">
        <v>1221</v>
      </c>
      <c r="D325" t="s">
        <v>1007</v>
      </c>
      <c r="E325" t="s">
        <v>1220</v>
      </c>
      <c r="F325" t="s">
        <v>28</v>
      </c>
      <c r="G325" t="s">
        <v>1220</v>
      </c>
      <c r="H325" t="str">
        <f>"rrf-1"</f>
        <v>rrf-1</v>
      </c>
      <c r="I325" t="s">
        <v>1007</v>
      </c>
      <c r="J325">
        <v>11.583039084650499</v>
      </c>
      <c r="K325">
        <v>11.507984394167901</v>
      </c>
      <c r="L325">
        <v>11.916157721974299</v>
      </c>
      <c r="M325">
        <v>11.994744672015299</v>
      </c>
      <c r="N325">
        <v>12.2642307710084</v>
      </c>
      <c r="O325">
        <v>11.558575271506101</v>
      </c>
      <c r="P325">
        <v>0.27012317124570401</v>
      </c>
      <c r="Q325">
        <v>-0.24530780114497699</v>
      </c>
      <c r="R325">
        <v>0.78555414363638498</v>
      </c>
      <c r="S325">
        <v>12.184722879051799</v>
      </c>
      <c r="T325">
        <v>1.10621957946617</v>
      </c>
      <c r="U325">
        <v>-6.2634870508499203</v>
      </c>
      <c r="V325">
        <v>0.28413483483792701</v>
      </c>
      <c r="W325">
        <v>0.856190392347986</v>
      </c>
      <c r="X325">
        <v>0</v>
      </c>
      <c r="Y325">
        <v>0</v>
      </c>
    </row>
    <row r="326" spans="1:25" x14ac:dyDescent="0.2">
      <c r="A326" t="s">
        <v>1222</v>
      </c>
      <c r="B326" t="s">
        <v>1223</v>
      </c>
      <c r="C326" t="s">
        <v>1224</v>
      </c>
      <c r="D326" t="s">
        <v>1225</v>
      </c>
      <c r="E326" t="s">
        <v>1223</v>
      </c>
      <c r="F326" t="s">
        <v>28</v>
      </c>
      <c r="G326" t="s">
        <v>1223</v>
      </c>
      <c r="H326" t="str">
        <f>"tufm-1"</f>
        <v>tufm-1</v>
      </c>
      <c r="I326" t="s">
        <v>1225</v>
      </c>
      <c r="J326">
        <v>19.644334271224</v>
      </c>
      <c r="K326">
        <v>19.5853219709483</v>
      </c>
      <c r="L326">
        <v>19.468301882493598</v>
      </c>
      <c r="M326">
        <v>19.479875622049001</v>
      </c>
      <c r="N326">
        <v>19.288650722724299</v>
      </c>
      <c r="O326">
        <v>19.334779887190301</v>
      </c>
      <c r="P326">
        <v>-0.19821729756738199</v>
      </c>
      <c r="Q326">
        <v>-0.61221019657766196</v>
      </c>
      <c r="R326">
        <v>0.21577560144289801</v>
      </c>
      <c r="S326">
        <v>19.1133835738841</v>
      </c>
      <c r="T326">
        <v>-1.00633174301647</v>
      </c>
      <c r="U326">
        <v>-6.3679328444508201</v>
      </c>
      <c r="V326">
        <v>0.32767042802346202</v>
      </c>
      <c r="W326">
        <v>0.87178721197791498</v>
      </c>
      <c r="X326">
        <v>0</v>
      </c>
      <c r="Y326">
        <v>0</v>
      </c>
    </row>
    <row r="327" spans="1:25" x14ac:dyDescent="0.2">
      <c r="A327" t="s">
        <v>1226</v>
      </c>
      <c r="B327" t="s">
        <v>1227</v>
      </c>
      <c r="C327" t="s">
        <v>1228</v>
      </c>
      <c r="D327" t="s">
        <v>1229</v>
      </c>
      <c r="E327" t="s">
        <v>1227</v>
      </c>
      <c r="F327" t="s">
        <v>28</v>
      </c>
      <c r="G327" t="s">
        <v>1227</v>
      </c>
      <c r="H327" t="str">
        <f>"strd-1"</f>
        <v>strd-1</v>
      </c>
      <c r="I327" t="s">
        <v>1229</v>
      </c>
      <c r="J327">
        <v>13.449231583787499</v>
      </c>
      <c r="K327">
        <v>13.941086198284699</v>
      </c>
      <c r="L327">
        <v>13.0693631244828</v>
      </c>
      <c r="M327">
        <v>13.3514838531846</v>
      </c>
      <c r="N327">
        <v>13.261463340594799</v>
      </c>
      <c r="O327">
        <v>13.4358336276127</v>
      </c>
      <c r="P327">
        <v>-0.136966695054342</v>
      </c>
      <c r="Q327">
        <v>-0.624442691523733</v>
      </c>
      <c r="R327">
        <v>0.35050930141504799</v>
      </c>
      <c r="S327">
        <v>13.305812470727901</v>
      </c>
      <c r="T327">
        <v>-0.59307791758192896</v>
      </c>
      <c r="U327">
        <v>-6.7000420321040002</v>
      </c>
      <c r="V327">
        <v>0.56098495844811203</v>
      </c>
      <c r="W327">
        <v>0.95650569706421396</v>
      </c>
      <c r="X327">
        <v>0</v>
      </c>
      <c r="Y327">
        <v>0</v>
      </c>
    </row>
    <row r="328" spans="1:25" x14ac:dyDescent="0.2">
      <c r="A328" t="s">
        <v>1230</v>
      </c>
      <c r="B328" t="s">
        <v>1231</v>
      </c>
      <c r="C328" t="s">
        <v>1232</v>
      </c>
      <c r="D328" t="s">
        <v>1233</v>
      </c>
      <c r="E328" t="s">
        <v>1231</v>
      </c>
      <c r="F328" t="s">
        <v>28</v>
      </c>
      <c r="G328" t="s">
        <v>1231</v>
      </c>
      <c r="H328" t="str">
        <f>"sel-5"</f>
        <v>sel-5</v>
      </c>
      <c r="I328" t="s">
        <v>1233</v>
      </c>
      <c r="J328" t="s">
        <v>29</v>
      </c>
      <c r="K328">
        <v>12.8190114276104</v>
      </c>
      <c r="L328">
        <v>12.9811738989326</v>
      </c>
      <c r="M328">
        <v>12.1151024739194</v>
      </c>
      <c r="N328">
        <v>12.248242752854701</v>
      </c>
      <c r="O328">
        <v>12.652559404998</v>
      </c>
      <c r="P328">
        <v>-0.56145778601413598</v>
      </c>
      <c r="Q328">
        <v>-1.27851916593187</v>
      </c>
      <c r="R328">
        <v>0.15560359390360201</v>
      </c>
      <c r="S328">
        <v>12.500723855944299</v>
      </c>
      <c r="T328">
        <v>-1.6929651597945099</v>
      </c>
      <c r="U328">
        <v>-5.3976107247094598</v>
      </c>
      <c r="V328">
        <v>0.11446579082217601</v>
      </c>
      <c r="W328">
        <v>0.69769624882087999</v>
      </c>
      <c r="X328">
        <v>0</v>
      </c>
      <c r="Y328">
        <v>0</v>
      </c>
    </row>
    <row r="329" spans="1:25" x14ac:dyDescent="0.2">
      <c r="A329" t="s">
        <v>1234</v>
      </c>
      <c r="B329" t="s">
        <v>1235</v>
      </c>
      <c r="C329" t="s">
        <v>14249</v>
      </c>
      <c r="D329" t="s">
        <v>1236</v>
      </c>
      <c r="E329" t="s">
        <v>1235</v>
      </c>
      <c r="F329" t="s">
        <v>28</v>
      </c>
      <c r="G329" t="s">
        <v>1235</v>
      </c>
      <c r="H329" t="str">
        <f>"T25C12.3"</f>
        <v>T25C12.3</v>
      </c>
      <c r="I329" t="s">
        <v>1236</v>
      </c>
      <c r="J329" t="s">
        <v>29</v>
      </c>
      <c r="K329" t="s">
        <v>29</v>
      </c>
      <c r="L329">
        <v>10.267936007842399</v>
      </c>
      <c r="M329" t="s">
        <v>29</v>
      </c>
      <c r="N329">
        <v>10.2259206787491</v>
      </c>
      <c r="O329" t="s">
        <v>29</v>
      </c>
      <c r="P329">
        <v>-4.2015329093306499E-2</v>
      </c>
      <c r="Q329">
        <v>-1.5120516896341301</v>
      </c>
      <c r="R329">
        <v>1.4280210314475099</v>
      </c>
      <c r="S329">
        <v>9.9123107171547797</v>
      </c>
      <c r="T329">
        <v>-6.6061039658115994E-2</v>
      </c>
      <c r="U329">
        <v>-6.3410043425896996</v>
      </c>
      <c r="V329">
        <v>0.94897138758064703</v>
      </c>
      <c r="W329">
        <v>0.99968702248720698</v>
      </c>
      <c r="X329">
        <v>0</v>
      </c>
      <c r="Y329">
        <v>0</v>
      </c>
    </row>
    <row r="330" spans="1:25" x14ac:dyDescent="0.2">
      <c r="A330" t="s">
        <v>1237</v>
      </c>
      <c r="B330" t="s">
        <v>1238</v>
      </c>
      <c r="C330" t="s">
        <v>1239</v>
      </c>
      <c r="D330" t="s">
        <v>1240</v>
      </c>
      <c r="E330" t="s">
        <v>1238</v>
      </c>
      <c r="F330" t="s">
        <v>28</v>
      </c>
      <c r="G330" t="s">
        <v>1238</v>
      </c>
      <c r="H330" t="str">
        <f>"elb-1"</f>
        <v>elb-1</v>
      </c>
      <c r="I330" t="s">
        <v>1240</v>
      </c>
      <c r="J330">
        <v>14.047917190281501</v>
      </c>
      <c r="K330">
        <v>14.2266775654724</v>
      </c>
      <c r="L330">
        <v>13.734063280390901</v>
      </c>
      <c r="M330">
        <v>13.470167826355601</v>
      </c>
      <c r="N330">
        <v>13.2814732141386</v>
      </c>
      <c r="O330">
        <v>13.856749178065201</v>
      </c>
      <c r="P330">
        <v>-0.46675593919511699</v>
      </c>
      <c r="Q330">
        <v>-0.892046748408173</v>
      </c>
      <c r="R330">
        <v>-4.1465129982061602E-2</v>
      </c>
      <c r="S330">
        <v>13.2163783692944</v>
      </c>
      <c r="T330">
        <v>-2.3166150236679699</v>
      </c>
      <c r="U330">
        <v>-4.44357110560368</v>
      </c>
      <c r="V330">
        <v>3.3347949603651103E-2</v>
      </c>
      <c r="W330">
        <v>0.39921574201780802</v>
      </c>
      <c r="X330">
        <v>0</v>
      </c>
      <c r="Y330">
        <v>0</v>
      </c>
    </row>
    <row r="331" spans="1:25" x14ac:dyDescent="0.2">
      <c r="A331" t="s">
        <v>1241</v>
      </c>
      <c r="B331" t="s">
        <v>1242</v>
      </c>
      <c r="C331" t="s">
        <v>1243</v>
      </c>
      <c r="D331" t="s">
        <v>1244</v>
      </c>
      <c r="E331" t="s">
        <v>1242</v>
      </c>
      <c r="F331" t="s">
        <v>28</v>
      </c>
      <c r="G331" t="s">
        <v>1242</v>
      </c>
      <c r="H331" t="str">
        <f>"glf-1"</f>
        <v>glf-1</v>
      </c>
      <c r="I331" t="s">
        <v>1244</v>
      </c>
      <c r="J331">
        <v>14.166126296233999</v>
      </c>
      <c r="K331">
        <v>14.0788662938958</v>
      </c>
      <c r="L331">
        <v>14.214054475529</v>
      </c>
      <c r="M331">
        <v>14.2750380139329</v>
      </c>
      <c r="N331">
        <v>14.298962509182999</v>
      </c>
      <c r="O331">
        <v>14.2805056580018</v>
      </c>
      <c r="P331">
        <v>0.13181970515296201</v>
      </c>
      <c r="Q331">
        <v>-0.37433440499637899</v>
      </c>
      <c r="R331">
        <v>0.63797381530230302</v>
      </c>
      <c r="S331">
        <v>13.9326786580686</v>
      </c>
      <c r="T331">
        <v>0.54738145698600904</v>
      </c>
      <c r="U331">
        <v>-6.7272448568064904</v>
      </c>
      <c r="V331">
        <v>0.59087887221861601</v>
      </c>
      <c r="W331">
        <v>0.96347128208895305</v>
      </c>
      <c r="X331">
        <v>0</v>
      </c>
      <c r="Y331">
        <v>0</v>
      </c>
    </row>
    <row r="332" spans="1:25" x14ac:dyDescent="0.2">
      <c r="A332" t="s">
        <v>1245</v>
      </c>
      <c r="B332" t="s">
        <v>1246</v>
      </c>
      <c r="C332" t="s">
        <v>1247</v>
      </c>
      <c r="D332" t="s">
        <v>758</v>
      </c>
      <c r="E332" t="s">
        <v>1246</v>
      </c>
      <c r="F332" t="s">
        <v>28</v>
      </c>
      <c r="G332" t="s">
        <v>1246</v>
      </c>
      <c r="H332" t="str">
        <f>"cpt-2"</f>
        <v>cpt-2</v>
      </c>
      <c r="I332" t="s">
        <v>758</v>
      </c>
      <c r="J332">
        <v>12.778908234847901</v>
      </c>
      <c r="K332">
        <v>12.590631619164901</v>
      </c>
      <c r="L332">
        <v>12.9847425917475</v>
      </c>
      <c r="M332">
        <v>12.697835914740599</v>
      </c>
      <c r="N332">
        <v>12.858200572040801</v>
      </c>
      <c r="O332">
        <v>12.555373186035199</v>
      </c>
      <c r="P332">
        <v>-8.0957590981247704E-2</v>
      </c>
      <c r="Q332">
        <v>-0.92860353469621704</v>
      </c>
      <c r="R332">
        <v>0.76668835273372204</v>
      </c>
      <c r="S332">
        <v>12.875901323464801</v>
      </c>
      <c r="T332">
        <v>-0.20160119478890301</v>
      </c>
      <c r="U332">
        <v>-6.8612129849236903</v>
      </c>
      <c r="V332">
        <v>0.84263587139727303</v>
      </c>
      <c r="W332">
        <v>0.99370971747667503</v>
      </c>
      <c r="X332">
        <v>0</v>
      </c>
      <c r="Y332">
        <v>0</v>
      </c>
    </row>
    <row r="333" spans="1:25" x14ac:dyDescent="0.2">
      <c r="A333" t="s">
        <v>1248</v>
      </c>
      <c r="B333" t="s">
        <v>1249</v>
      </c>
      <c r="C333" t="s">
        <v>1250</v>
      </c>
      <c r="D333" t="s">
        <v>1251</v>
      </c>
      <c r="E333" t="s">
        <v>1249</v>
      </c>
      <c r="F333" t="s">
        <v>28</v>
      </c>
      <c r="G333" t="s">
        <v>1249</v>
      </c>
      <c r="H333" t="str">
        <f>"skr-1"</f>
        <v>skr-1</v>
      </c>
      <c r="I333" t="s">
        <v>1251</v>
      </c>
      <c r="J333">
        <v>11.358583122997301</v>
      </c>
      <c r="K333">
        <v>11.8348191056741</v>
      </c>
      <c r="L333">
        <v>11.584985058258299</v>
      </c>
      <c r="M333">
        <v>12.3990591720863</v>
      </c>
      <c r="N333">
        <v>12.4930974259559</v>
      </c>
      <c r="O333">
        <v>12.5072018841635</v>
      </c>
      <c r="P333">
        <v>0.87365706509204</v>
      </c>
      <c r="Q333">
        <v>0.342184200538801</v>
      </c>
      <c r="R333">
        <v>1.4051299296452799</v>
      </c>
      <c r="S333">
        <v>12.3371249479507</v>
      </c>
      <c r="T333">
        <v>3.48665861981861</v>
      </c>
      <c r="U333">
        <v>-2.1502454483982301</v>
      </c>
      <c r="V333">
        <v>3.0739234436115998E-3</v>
      </c>
      <c r="W333">
        <v>7.5477073230359806E-2</v>
      </c>
      <c r="X333">
        <v>0</v>
      </c>
      <c r="Y333">
        <v>0</v>
      </c>
    </row>
    <row r="334" spans="1:25" x14ac:dyDescent="0.2">
      <c r="A334" t="s">
        <v>1252</v>
      </c>
      <c r="B334" t="s">
        <v>1253</v>
      </c>
      <c r="C334" t="s">
        <v>14250</v>
      </c>
      <c r="D334" t="s">
        <v>1254</v>
      </c>
      <c r="E334" t="s">
        <v>1253</v>
      </c>
      <c r="F334" t="s">
        <v>28</v>
      </c>
      <c r="G334" t="s">
        <v>1253</v>
      </c>
      <c r="H334" t="str">
        <f>"F44E5.4"</f>
        <v>F44E5.4</v>
      </c>
      <c r="I334" t="s">
        <v>1254</v>
      </c>
      <c r="J334">
        <v>17.901323571209701</v>
      </c>
      <c r="K334">
        <v>18.0356353608726</v>
      </c>
      <c r="L334">
        <v>17.8159957662496</v>
      </c>
      <c r="M334">
        <v>17.793605282293498</v>
      </c>
      <c r="N334">
        <v>17.807141676223001</v>
      </c>
      <c r="O334">
        <v>17.588154048754099</v>
      </c>
      <c r="P334">
        <v>-0.18801789702041599</v>
      </c>
      <c r="Q334">
        <v>-0.57670832056542298</v>
      </c>
      <c r="R334">
        <v>0.200672526524592</v>
      </c>
      <c r="S334">
        <v>17.4347214503568</v>
      </c>
      <c r="T334">
        <v>-1.01668838771635</v>
      </c>
      <c r="U334">
        <v>-6.3575837916094997</v>
      </c>
      <c r="V334">
        <v>0.32285132366111902</v>
      </c>
      <c r="W334">
        <v>0.86906013099403701</v>
      </c>
      <c r="X334">
        <v>0</v>
      </c>
      <c r="Y334">
        <v>0</v>
      </c>
    </row>
    <row r="335" spans="1:25" x14ac:dyDescent="0.2">
      <c r="A335" t="s">
        <v>1255</v>
      </c>
      <c r="B335" t="s">
        <v>1256</v>
      </c>
      <c r="C335" t="s">
        <v>1257</v>
      </c>
      <c r="D335" t="s">
        <v>1258</v>
      </c>
      <c r="E335" t="s">
        <v>1256</v>
      </c>
      <c r="F335" t="s">
        <v>28</v>
      </c>
      <c r="G335" t="s">
        <v>1256</v>
      </c>
      <c r="H335" t="str">
        <f>"alh-3"</f>
        <v>alh-3</v>
      </c>
      <c r="I335" t="s">
        <v>1258</v>
      </c>
      <c r="J335">
        <v>14.1518035525473</v>
      </c>
      <c r="K335">
        <v>13.679372549079901</v>
      </c>
      <c r="L335">
        <v>13.512808298807499</v>
      </c>
      <c r="M335">
        <v>13.654017881248601</v>
      </c>
      <c r="N335">
        <v>13.2339269940731</v>
      </c>
      <c r="O335">
        <v>13.735450168785301</v>
      </c>
      <c r="P335">
        <v>-0.240196452109222</v>
      </c>
      <c r="Q335">
        <v>-0.78831358042833499</v>
      </c>
      <c r="R335">
        <v>0.307920676209891</v>
      </c>
      <c r="S335">
        <v>13.6538408608903</v>
      </c>
      <c r="T335">
        <v>-0.92105534608923401</v>
      </c>
      <c r="U335">
        <v>-6.4495229132457297</v>
      </c>
      <c r="V335">
        <v>0.36927251153984098</v>
      </c>
      <c r="W335">
        <v>0.89092663541315897</v>
      </c>
      <c r="X335">
        <v>0</v>
      </c>
      <c r="Y335">
        <v>0</v>
      </c>
    </row>
    <row r="336" spans="1:25" x14ac:dyDescent="0.2">
      <c r="A336" t="s">
        <v>1259</v>
      </c>
      <c r="B336" t="s">
        <v>1260</v>
      </c>
      <c r="C336" t="s">
        <v>1261</v>
      </c>
      <c r="D336" t="s">
        <v>1262</v>
      </c>
      <c r="E336" t="s">
        <v>1260</v>
      </c>
      <c r="F336" t="s">
        <v>28</v>
      </c>
      <c r="G336" t="s">
        <v>1260</v>
      </c>
      <c r="H336" t="str">
        <f>"ncx-3"</f>
        <v>ncx-3</v>
      </c>
      <c r="I336" t="s">
        <v>1262</v>
      </c>
      <c r="J336" t="s">
        <v>29</v>
      </c>
      <c r="K336" t="s">
        <v>29</v>
      </c>
      <c r="L336" t="s">
        <v>29</v>
      </c>
      <c r="M336" t="s">
        <v>29</v>
      </c>
      <c r="N336" t="s">
        <v>29</v>
      </c>
      <c r="O336" t="s">
        <v>29</v>
      </c>
      <c r="P336" t="s">
        <v>29</v>
      </c>
      <c r="Q336" t="s">
        <v>29</v>
      </c>
      <c r="R336" t="s">
        <v>29</v>
      </c>
      <c r="S336">
        <v>11.0643033385366</v>
      </c>
      <c r="T336" t="s">
        <v>29</v>
      </c>
      <c r="U336" t="s">
        <v>29</v>
      </c>
      <c r="V336" t="s">
        <v>29</v>
      </c>
      <c r="W336" t="s">
        <v>29</v>
      </c>
      <c r="X336" t="s">
        <v>29</v>
      </c>
      <c r="Y336" t="s">
        <v>29</v>
      </c>
    </row>
    <row r="337" spans="1:25" x14ac:dyDescent="0.2">
      <c r="A337" t="s">
        <v>1263</v>
      </c>
      <c r="B337" t="s">
        <v>1264</v>
      </c>
      <c r="C337" t="s">
        <v>1265</v>
      </c>
      <c r="D337" t="s">
        <v>1266</v>
      </c>
      <c r="E337" t="s">
        <v>1264</v>
      </c>
      <c r="F337" t="s">
        <v>28</v>
      </c>
      <c r="G337" t="s">
        <v>1264</v>
      </c>
      <c r="H337" t="str">
        <f>"ehbp-1"</f>
        <v>ehbp-1</v>
      </c>
      <c r="I337" t="s">
        <v>1266</v>
      </c>
      <c r="J337">
        <v>14.3128360901303</v>
      </c>
      <c r="K337">
        <v>14.4509278566026</v>
      </c>
      <c r="L337">
        <v>14.278770241382</v>
      </c>
      <c r="M337">
        <v>14.185129827419001</v>
      </c>
      <c r="N337">
        <v>14.200058870852599</v>
      </c>
      <c r="O337">
        <v>14.292765306020099</v>
      </c>
      <c r="P337">
        <v>-0.121526727941122</v>
      </c>
      <c r="Q337">
        <v>-0.61188689071189895</v>
      </c>
      <c r="R337">
        <v>0.36883343482965503</v>
      </c>
      <c r="S337">
        <v>14.186384356094001</v>
      </c>
      <c r="T337">
        <v>-0.52312639983981901</v>
      </c>
      <c r="U337">
        <v>-6.7402152987823003</v>
      </c>
      <c r="V337">
        <v>0.60767971466307202</v>
      </c>
      <c r="W337">
        <v>0.97103528123305605</v>
      </c>
      <c r="X337">
        <v>0</v>
      </c>
      <c r="Y337">
        <v>0</v>
      </c>
    </row>
    <row r="338" spans="1:25" x14ac:dyDescent="0.2">
      <c r="A338" t="s">
        <v>1267</v>
      </c>
      <c r="B338" t="s">
        <v>1268</v>
      </c>
      <c r="C338" t="s">
        <v>1269</v>
      </c>
      <c r="D338" t="s">
        <v>965</v>
      </c>
      <c r="E338" t="s">
        <v>1268</v>
      </c>
      <c r="F338" t="s">
        <v>28</v>
      </c>
      <c r="G338" t="s">
        <v>1268</v>
      </c>
      <c r="H338" t="str">
        <f>"cdr-2"</f>
        <v>cdr-2</v>
      </c>
      <c r="I338" t="s">
        <v>965</v>
      </c>
      <c r="J338">
        <v>10.7892361565487</v>
      </c>
      <c r="K338">
        <v>10.389033335669399</v>
      </c>
      <c r="L338">
        <v>10.6162890291201</v>
      </c>
      <c r="M338">
        <v>11.235384249603801</v>
      </c>
      <c r="N338">
        <v>11.2923468670182</v>
      </c>
      <c r="O338">
        <v>10.240956650891601</v>
      </c>
      <c r="P338">
        <v>0.32470974872511199</v>
      </c>
      <c r="Q338">
        <v>-0.30377077422544602</v>
      </c>
      <c r="R338">
        <v>0.95319027167567105</v>
      </c>
      <c r="S338">
        <v>11.9332201529272</v>
      </c>
      <c r="T338">
        <v>1.1019074270501199</v>
      </c>
      <c r="U338">
        <v>-6.2663601618997902</v>
      </c>
      <c r="V338">
        <v>0.28798922880185801</v>
      </c>
      <c r="W338">
        <v>0.856190392347986</v>
      </c>
      <c r="X338">
        <v>0</v>
      </c>
      <c r="Y338">
        <v>0</v>
      </c>
    </row>
    <row r="339" spans="1:25" x14ac:dyDescent="0.2">
      <c r="A339" t="s">
        <v>1270</v>
      </c>
      <c r="B339" t="s">
        <v>1271</v>
      </c>
      <c r="C339" t="s">
        <v>1272</v>
      </c>
      <c r="D339" t="s">
        <v>1273</v>
      </c>
      <c r="E339" t="s">
        <v>1271</v>
      </c>
      <c r="F339" t="s">
        <v>28</v>
      </c>
      <c r="G339" t="s">
        <v>1271</v>
      </c>
      <c r="H339" t="str">
        <f>"dlg-1"</f>
        <v>dlg-1</v>
      </c>
      <c r="I339" t="s">
        <v>1273</v>
      </c>
      <c r="J339">
        <v>10.754325751509199</v>
      </c>
      <c r="K339" t="s">
        <v>29</v>
      </c>
      <c r="L339">
        <v>11.829034914046099</v>
      </c>
      <c r="M339">
        <v>11.6848812713102</v>
      </c>
      <c r="N339">
        <v>11.8152793409292</v>
      </c>
      <c r="O339">
        <v>11.8711386979608</v>
      </c>
      <c r="P339">
        <v>0.49875277062246298</v>
      </c>
      <c r="Q339">
        <v>-0.27617187119083098</v>
      </c>
      <c r="R339">
        <v>1.2736774124357599</v>
      </c>
      <c r="S339">
        <v>11.5855001587079</v>
      </c>
      <c r="T339">
        <v>1.3651343033596</v>
      </c>
      <c r="U339">
        <v>-5.8483943927668696</v>
      </c>
      <c r="V339">
        <v>0.19122248042641399</v>
      </c>
      <c r="W339">
        <v>0.78295732499061499</v>
      </c>
      <c r="X339">
        <v>0</v>
      </c>
      <c r="Y339">
        <v>0</v>
      </c>
    </row>
    <row r="340" spans="1:25" x14ac:dyDescent="0.2">
      <c r="A340" t="s">
        <v>1274</v>
      </c>
      <c r="B340" t="s">
        <v>1275</v>
      </c>
      <c r="C340" t="s">
        <v>1276</v>
      </c>
      <c r="D340" t="s">
        <v>1277</v>
      </c>
      <c r="E340" t="s">
        <v>1275</v>
      </c>
      <c r="F340" t="s">
        <v>28</v>
      </c>
      <c r="G340" t="s">
        <v>1275</v>
      </c>
      <c r="H340" t="str">
        <f>"hum-5"</f>
        <v>hum-5</v>
      </c>
      <c r="I340" t="s">
        <v>1277</v>
      </c>
      <c r="J340">
        <v>13.9555327494575</v>
      </c>
      <c r="K340">
        <v>13.961278345318901</v>
      </c>
      <c r="L340">
        <v>13.8302634791348</v>
      </c>
      <c r="M340">
        <v>13.647499652529699</v>
      </c>
      <c r="N340">
        <v>13.911427390485301</v>
      </c>
      <c r="O340">
        <v>13.850437623383399</v>
      </c>
      <c r="P340">
        <v>-0.112569969170949</v>
      </c>
      <c r="Q340">
        <v>-0.55305801901465401</v>
      </c>
      <c r="R340">
        <v>0.32791808067275702</v>
      </c>
      <c r="S340">
        <v>13.739847918594</v>
      </c>
      <c r="T340">
        <v>-0.53713188001900103</v>
      </c>
      <c r="U340">
        <v>-6.7329579761375697</v>
      </c>
      <c r="V340">
        <v>0.59779256345062204</v>
      </c>
      <c r="W340">
        <v>0.96669273623113094</v>
      </c>
      <c r="X340">
        <v>0</v>
      </c>
      <c r="Y340">
        <v>0</v>
      </c>
    </row>
    <row r="341" spans="1:25" x14ac:dyDescent="0.2">
      <c r="A341" t="s">
        <v>1278</v>
      </c>
      <c r="B341" t="s">
        <v>1279</v>
      </c>
      <c r="C341" t="s">
        <v>1280</v>
      </c>
      <c r="D341" t="s">
        <v>1281</v>
      </c>
      <c r="E341" t="s">
        <v>1279</v>
      </c>
      <c r="F341" t="s">
        <v>28</v>
      </c>
      <c r="G341" t="s">
        <v>1279</v>
      </c>
      <c r="H341" t="str">
        <f>"mpz-1"</f>
        <v>mpz-1</v>
      </c>
      <c r="I341" t="s">
        <v>1281</v>
      </c>
      <c r="J341">
        <v>10.9126122127937</v>
      </c>
      <c r="K341">
        <v>11.033509032961399</v>
      </c>
      <c r="L341">
        <v>11.2616513230259</v>
      </c>
      <c r="M341">
        <v>10.9071307095876</v>
      </c>
      <c r="N341">
        <v>11.542332535107001</v>
      </c>
      <c r="O341" t="s">
        <v>29</v>
      </c>
      <c r="P341">
        <v>0.155474099420294</v>
      </c>
      <c r="Q341">
        <v>-0.45240576100973401</v>
      </c>
      <c r="R341">
        <v>0.76335395985032195</v>
      </c>
      <c r="S341">
        <v>10.9715615343067</v>
      </c>
      <c r="T341">
        <v>0.54894923926321004</v>
      </c>
      <c r="U341">
        <v>-6.6144907205775301</v>
      </c>
      <c r="V341">
        <v>0.59175288637985302</v>
      </c>
      <c r="W341">
        <v>0.96355457670086098</v>
      </c>
      <c r="X341">
        <v>0</v>
      </c>
      <c r="Y341">
        <v>0</v>
      </c>
    </row>
    <row r="342" spans="1:25" x14ac:dyDescent="0.2">
      <c r="A342" t="s">
        <v>1282</v>
      </c>
      <c r="B342" t="s">
        <v>1283</v>
      </c>
      <c r="C342" t="s">
        <v>1284</v>
      </c>
      <c r="D342" t="s">
        <v>1285</v>
      </c>
      <c r="E342" t="s">
        <v>1283</v>
      </c>
      <c r="F342" t="s">
        <v>28</v>
      </c>
      <c r="G342" t="s">
        <v>1283</v>
      </c>
      <c r="H342" t="str">
        <f>"pdi-3"</f>
        <v>pdi-3</v>
      </c>
      <c r="I342" t="s">
        <v>1285</v>
      </c>
      <c r="J342">
        <v>15.2874705611632</v>
      </c>
      <c r="K342">
        <v>15.3889538538669</v>
      </c>
      <c r="L342">
        <v>15.109437500266999</v>
      </c>
      <c r="M342">
        <v>14.9857036173686</v>
      </c>
      <c r="N342">
        <v>14.885895763554499</v>
      </c>
      <c r="O342">
        <v>15.2726676437838</v>
      </c>
      <c r="P342">
        <v>-0.21386496353006201</v>
      </c>
      <c r="Q342">
        <v>-0.81819718009726605</v>
      </c>
      <c r="R342">
        <v>0.39046725303714203</v>
      </c>
      <c r="S342">
        <v>14.462814491268601</v>
      </c>
      <c r="T342">
        <v>-0.74380040130789604</v>
      </c>
      <c r="U342">
        <v>-6.5978466763705699</v>
      </c>
      <c r="V342">
        <v>0.466652000717862</v>
      </c>
      <c r="W342">
        <v>0.92978583625257705</v>
      </c>
      <c r="X342">
        <v>0</v>
      </c>
      <c r="Y342">
        <v>0</v>
      </c>
    </row>
    <row r="343" spans="1:25" x14ac:dyDescent="0.2">
      <c r="A343" t="s">
        <v>1286</v>
      </c>
      <c r="B343" t="s">
        <v>1287</v>
      </c>
      <c r="C343" t="s">
        <v>1288</v>
      </c>
      <c r="D343" t="s">
        <v>323</v>
      </c>
      <c r="E343" t="s">
        <v>1287</v>
      </c>
      <c r="F343" t="s">
        <v>28</v>
      </c>
      <c r="G343" t="s">
        <v>1287</v>
      </c>
      <c r="H343" t="str">
        <f>"hpo-11"</f>
        <v>hpo-11</v>
      </c>
      <c r="I343" t="s">
        <v>323</v>
      </c>
      <c r="J343">
        <v>10.7143828950128</v>
      </c>
      <c r="K343" t="s">
        <v>29</v>
      </c>
      <c r="L343" t="s">
        <v>29</v>
      </c>
      <c r="M343">
        <v>9.6558106932491299</v>
      </c>
      <c r="N343" t="s">
        <v>29</v>
      </c>
      <c r="O343" t="s">
        <v>29</v>
      </c>
      <c r="P343">
        <v>-1.0585722017636601</v>
      </c>
      <c r="Q343">
        <v>-3.1374649685893501</v>
      </c>
      <c r="R343">
        <v>1.0203205650620299</v>
      </c>
      <c r="S343">
        <v>10.974754461169599</v>
      </c>
      <c r="T343">
        <v>-1.3174251152351799</v>
      </c>
      <c r="U343">
        <v>-5.4803731537032796</v>
      </c>
      <c r="V343">
        <v>0.245986404528136</v>
      </c>
      <c r="W343">
        <v>0.82858578367372204</v>
      </c>
      <c r="X343">
        <v>0</v>
      </c>
      <c r="Y343">
        <v>0</v>
      </c>
    </row>
    <row r="344" spans="1:25" x14ac:dyDescent="0.2">
      <c r="A344" t="s">
        <v>1289</v>
      </c>
      <c r="B344" t="s">
        <v>1290</v>
      </c>
      <c r="C344" t="s">
        <v>1291</v>
      </c>
      <c r="D344" t="s">
        <v>1292</v>
      </c>
      <c r="E344" t="s">
        <v>1290</v>
      </c>
      <c r="F344" t="s">
        <v>28</v>
      </c>
      <c r="G344" t="s">
        <v>1290</v>
      </c>
      <c r="H344" t="str">
        <f>"rpoa-1"</f>
        <v>rpoa-1</v>
      </c>
      <c r="I344" t="s">
        <v>1292</v>
      </c>
      <c r="J344">
        <v>14.225429513119201</v>
      </c>
      <c r="K344">
        <v>14.227056019040299</v>
      </c>
      <c r="L344">
        <v>14.0081088808895</v>
      </c>
      <c r="M344">
        <v>14.131110100819701</v>
      </c>
      <c r="N344">
        <v>14.0001914669659</v>
      </c>
      <c r="O344">
        <v>13.9559974288522</v>
      </c>
      <c r="P344">
        <v>-0.12443180547041501</v>
      </c>
      <c r="Q344">
        <v>-0.48732425874836699</v>
      </c>
      <c r="R344">
        <v>0.23846064780753701</v>
      </c>
      <c r="S344">
        <v>14.013800468425099</v>
      </c>
      <c r="T344">
        <v>-0.72068582335668196</v>
      </c>
      <c r="U344">
        <v>-6.61501379573179</v>
      </c>
      <c r="V344">
        <v>0.48041228923627999</v>
      </c>
      <c r="W344">
        <v>0.93764446794243095</v>
      </c>
      <c r="X344">
        <v>0</v>
      </c>
      <c r="Y344">
        <v>0</v>
      </c>
    </row>
    <row r="345" spans="1:25" x14ac:dyDescent="0.2">
      <c r="A345" t="s">
        <v>1293</v>
      </c>
      <c r="B345" t="s">
        <v>1294</v>
      </c>
      <c r="C345" t="s">
        <v>1295</v>
      </c>
      <c r="D345" t="s">
        <v>1296</v>
      </c>
      <c r="E345" t="s">
        <v>1294</v>
      </c>
      <c r="F345" t="s">
        <v>28</v>
      </c>
      <c r="G345" t="s">
        <v>1294</v>
      </c>
      <c r="H345" t="str">
        <f>"mel-46"</f>
        <v>mel-46</v>
      </c>
      <c r="I345" t="s">
        <v>1296</v>
      </c>
      <c r="J345">
        <v>12.659010680387601</v>
      </c>
      <c r="K345">
        <v>13.0575985676613</v>
      </c>
      <c r="L345">
        <v>13.0860803563377</v>
      </c>
      <c r="M345">
        <v>12.833559736792701</v>
      </c>
      <c r="N345">
        <v>13.249354615759801</v>
      </c>
      <c r="O345">
        <v>12.786671955490799</v>
      </c>
      <c r="P345">
        <v>2.2298901218906798E-2</v>
      </c>
      <c r="Q345">
        <v>-0.55479138148148399</v>
      </c>
      <c r="R345">
        <v>0.59938918391929796</v>
      </c>
      <c r="S345">
        <v>13.536355010202101</v>
      </c>
      <c r="T345">
        <v>8.1214245746841607E-2</v>
      </c>
      <c r="U345">
        <v>-6.8790439469362896</v>
      </c>
      <c r="V345">
        <v>0.93617300777720203</v>
      </c>
      <c r="W345">
        <v>0.99926809132575301</v>
      </c>
      <c r="X345">
        <v>0</v>
      </c>
      <c r="Y345">
        <v>0</v>
      </c>
    </row>
    <row r="346" spans="1:25" x14ac:dyDescent="0.2">
      <c r="A346" t="s">
        <v>1297</v>
      </c>
      <c r="B346" t="s">
        <v>1298</v>
      </c>
      <c r="C346" t="s">
        <v>1299</v>
      </c>
      <c r="D346" t="s">
        <v>1300</v>
      </c>
      <c r="E346" t="s">
        <v>1298</v>
      </c>
      <c r="F346" t="s">
        <v>28</v>
      </c>
      <c r="G346" t="s">
        <v>1298</v>
      </c>
      <c r="H346" t="str">
        <f>"atx-2"</f>
        <v>atx-2</v>
      </c>
      <c r="I346" t="s">
        <v>1300</v>
      </c>
      <c r="J346">
        <v>14.272602288537399</v>
      </c>
      <c r="K346">
        <v>14.807295717801001</v>
      </c>
      <c r="L346">
        <v>15.1880177255108</v>
      </c>
      <c r="M346">
        <v>15.059345662293</v>
      </c>
      <c r="N346">
        <v>15.2050371122432</v>
      </c>
      <c r="O346">
        <v>15.1260674265662</v>
      </c>
      <c r="P346">
        <v>0.37417815641771801</v>
      </c>
      <c r="Q346">
        <v>-0.26404923763994997</v>
      </c>
      <c r="R346">
        <v>1.0124055504753899</v>
      </c>
      <c r="S346">
        <v>15.292618366764801</v>
      </c>
      <c r="T346">
        <v>1.2375222126212899</v>
      </c>
      <c r="U346">
        <v>-6.1144720809150996</v>
      </c>
      <c r="V346">
        <v>0.23281699153450899</v>
      </c>
      <c r="W346">
        <v>0.81600158874549</v>
      </c>
      <c r="X346">
        <v>0</v>
      </c>
      <c r="Y346">
        <v>0</v>
      </c>
    </row>
    <row r="347" spans="1:25" x14ac:dyDescent="0.2">
      <c r="A347" t="s">
        <v>1301</v>
      </c>
      <c r="B347" t="s">
        <v>1302</v>
      </c>
      <c r="C347" t="s">
        <v>1303</v>
      </c>
      <c r="D347" t="s">
        <v>1304</v>
      </c>
      <c r="E347" t="s">
        <v>1302</v>
      </c>
      <c r="F347" t="s">
        <v>28</v>
      </c>
      <c r="G347" t="s">
        <v>1302</v>
      </c>
      <c r="H347" t="str">
        <f>"dli-1"</f>
        <v>dli-1</v>
      </c>
      <c r="I347" t="s">
        <v>1304</v>
      </c>
      <c r="J347">
        <v>15.2438454655392</v>
      </c>
      <c r="K347">
        <v>15.2378670830534</v>
      </c>
      <c r="L347">
        <v>14.968450756229799</v>
      </c>
      <c r="M347">
        <v>14.8459793508946</v>
      </c>
      <c r="N347">
        <v>14.8300219779959</v>
      </c>
      <c r="O347">
        <v>14.918773724795599</v>
      </c>
      <c r="P347">
        <v>-0.28512941704542299</v>
      </c>
      <c r="Q347">
        <v>-0.74966119689940303</v>
      </c>
      <c r="R347">
        <v>0.17940236280855601</v>
      </c>
      <c r="S347">
        <v>14.5732529961167</v>
      </c>
      <c r="T347">
        <v>-1.29008732610093</v>
      </c>
      <c r="U347">
        <v>-6.0513694267772298</v>
      </c>
      <c r="V347">
        <v>0.213442925107449</v>
      </c>
      <c r="W347">
        <v>0.79508962856638699</v>
      </c>
      <c r="X347">
        <v>0</v>
      </c>
      <c r="Y347">
        <v>0</v>
      </c>
    </row>
    <row r="348" spans="1:25" x14ac:dyDescent="0.2">
      <c r="A348" t="s">
        <v>1305</v>
      </c>
      <c r="B348" t="s">
        <v>1306</v>
      </c>
      <c r="C348" t="s">
        <v>1307</v>
      </c>
      <c r="D348" t="s">
        <v>1308</v>
      </c>
      <c r="E348" t="s">
        <v>1306</v>
      </c>
      <c r="F348" t="s">
        <v>28</v>
      </c>
      <c r="G348" t="s">
        <v>1306</v>
      </c>
      <c r="H348" t="str">
        <f>"rme-8"</f>
        <v>rme-8</v>
      </c>
      <c r="I348" t="s">
        <v>1308</v>
      </c>
      <c r="J348">
        <v>14.0718559334157</v>
      </c>
      <c r="K348">
        <v>14.212542836101401</v>
      </c>
      <c r="L348">
        <v>13.9735863020673</v>
      </c>
      <c r="M348">
        <v>14.2789517545517</v>
      </c>
      <c r="N348">
        <v>14.2664887323246</v>
      </c>
      <c r="O348">
        <v>14.3225480573685</v>
      </c>
      <c r="P348">
        <v>0.20333449088679201</v>
      </c>
      <c r="Q348">
        <v>-0.220871101455311</v>
      </c>
      <c r="R348">
        <v>0.62754008322889498</v>
      </c>
      <c r="S348">
        <v>14.3340316709682</v>
      </c>
      <c r="T348">
        <v>1.0074585252128501</v>
      </c>
      <c r="U348">
        <v>-6.3668114656969301</v>
      </c>
      <c r="V348">
        <v>0.32714367421225199</v>
      </c>
      <c r="W348">
        <v>0.87178721197791498</v>
      </c>
      <c r="X348">
        <v>0</v>
      </c>
      <c r="Y348">
        <v>0</v>
      </c>
    </row>
    <row r="349" spans="1:25" x14ac:dyDescent="0.2">
      <c r="A349" t="s">
        <v>1309</v>
      </c>
      <c r="B349" t="s">
        <v>1310</v>
      </c>
      <c r="C349" s="3">
        <v>45536</v>
      </c>
      <c r="D349" t="s">
        <v>1311</v>
      </c>
      <c r="E349" t="s">
        <v>1310</v>
      </c>
      <c r="F349" t="s">
        <v>28</v>
      </c>
      <c r="G349" t="s">
        <v>1310</v>
      </c>
      <c r="H349" t="str">
        <f>"sep-1"</f>
        <v>sep-1</v>
      </c>
      <c r="I349" t="s">
        <v>1311</v>
      </c>
      <c r="J349">
        <v>9.8167349871714507</v>
      </c>
      <c r="K349">
        <v>9.0292293646411608</v>
      </c>
      <c r="L349">
        <v>9.7022527838363501</v>
      </c>
      <c r="M349" t="s">
        <v>29</v>
      </c>
      <c r="N349">
        <v>10.2099906272851</v>
      </c>
      <c r="O349" t="s">
        <v>29</v>
      </c>
      <c r="P349">
        <v>0.69391824873548003</v>
      </c>
      <c r="Q349">
        <v>-0.41915433909309602</v>
      </c>
      <c r="R349">
        <v>1.8069908365640599</v>
      </c>
      <c r="S349">
        <v>10.2042100887105</v>
      </c>
      <c r="T349">
        <v>1.3596584746694</v>
      </c>
      <c r="U349">
        <v>-5.6300532987845999</v>
      </c>
      <c r="V349">
        <v>0.199153690118233</v>
      </c>
      <c r="W349">
        <v>0.79075284576134597</v>
      </c>
      <c r="X349">
        <v>0</v>
      </c>
      <c r="Y349">
        <v>0</v>
      </c>
    </row>
    <row r="350" spans="1:25" x14ac:dyDescent="0.2">
      <c r="A350" t="s">
        <v>1312</v>
      </c>
      <c r="B350" t="s">
        <v>1313</v>
      </c>
      <c r="C350" t="s">
        <v>1314</v>
      </c>
      <c r="D350" t="s">
        <v>1315</v>
      </c>
      <c r="E350" t="s">
        <v>1313</v>
      </c>
      <c r="F350" t="s">
        <v>28</v>
      </c>
      <c r="G350" t="s">
        <v>1313</v>
      </c>
      <c r="H350" t="str">
        <f>"cand-1"</f>
        <v>cand-1</v>
      </c>
      <c r="I350" t="s">
        <v>1315</v>
      </c>
      <c r="J350">
        <v>14.517908693180701</v>
      </c>
      <c r="K350">
        <v>14.392438107303001</v>
      </c>
      <c r="L350">
        <v>14.7572176618102</v>
      </c>
      <c r="M350">
        <v>14.6280891133234</v>
      </c>
      <c r="N350">
        <v>14.8153846998201</v>
      </c>
      <c r="O350">
        <v>14.527431667072401</v>
      </c>
      <c r="P350">
        <v>0.101113672640642</v>
      </c>
      <c r="Q350">
        <v>-0.33560781305918602</v>
      </c>
      <c r="R350">
        <v>0.53783515834046902</v>
      </c>
      <c r="S350">
        <v>14.9006687287205</v>
      </c>
      <c r="T350">
        <v>0.48662883519796901</v>
      </c>
      <c r="U350">
        <v>-6.7595779250606203</v>
      </c>
      <c r="V350">
        <v>0.63242785314024996</v>
      </c>
      <c r="W350">
        <v>0.97279262440453396</v>
      </c>
      <c r="X350">
        <v>0</v>
      </c>
      <c r="Y350">
        <v>0</v>
      </c>
    </row>
    <row r="351" spans="1:25" x14ac:dyDescent="0.2">
      <c r="A351" t="s">
        <v>1316</v>
      </c>
      <c r="B351" t="s">
        <v>1317</v>
      </c>
      <c r="C351" t="s">
        <v>1318</v>
      </c>
      <c r="D351" t="s">
        <v>1319</v>
      </c>
      <c r="E351" t="s">
        <v>1317</v>
      </c>
      <c r="F351" t="s">
        <v>28</v>
      </c>
      <c r="G351" t="s">
        <v>1317</v>
      </c>
      <c r="H351" t="str">
        <f>"fat-5"</f>
        <v>fat-5</v>
      </c>
      <c r="I351" t="s">
        <v>1319</v>
      </c>
      <c r="J351">
        <v>13.4687060311308</v>
      </c>
      <c r="K351">
        <v>13.672785556954899</v>
      </c>
      <c r="L351">
        <v>13.417166199935799</v>
      </c>
      <c r="M351">
        <v>13.8630059814578</v>
      </c>
      <c r="N351">
        <v>13.9212882988678</v>
      </c>
      <c r="O351">
        <v>14.005386999951</v>
      </c>
      <c r="P351">
        <v>0.41034116408508198</v>
      </c>
      <c r="Q351">
        <v>-4.96686136081834E-2</v>
      </c>
      <c r="R351">
        <v>0.87035094177834804</v>
      </c>
      <c r="S351">
        <v>13.8818646497171</v>
      </c>
      <c r="T351">
        <v>1.87486730826557</v>
      </c>
      <c r="U351">
        <v>-5.2072609760149504</v>
      </c>
      <c r="V351">
        <v>7.7228125362387601E-2</v>
      </c>
      <c r="W351">
        <v>0.59705360988270995</v>
      </c>
      <c r="X351">
        <v>0</v>
      </c>
      <c r="Y351">
        <v>0</v>
      </c>
    </row>
    <row r="352" spans="1:25" x14ac:dyDescent="0.2">
      <c r="A352" t="s">
        <v>1320</v>
      </c>
      <c r="B352" t="s">
        <v>1321</v>
      </c>
      <c r="C352" t="s">
        <v>1322</v>
      </c>
      <c r="D352" t="s">
        <v>1323</v>
      </c>
      <c r="E352" t="s">
        <v>1321</v>
      </c>
      <c r="F352" t="s">
        <v>28</v>
      </c>
      <c r="G352" t="s">
        <v>1321</v>
      </c>
      <c r="H352" t="str">
        <f>"hyl-1"</f>
        <v>hyl-1</v>
      </c>
      <c r="I352" t="s">
        <v>1323</v>
      </c>
      <c r="J352">
        <v>11.3736066673988</v>
      </c>
      <c r="K352">
        <v>11.4039478600994</v>
      </c>
      <c r="L352">
        <v>11.418847043341099</v>
      </c>
      <c r="M352">
        <v>11.587810909452401</v>
      </c>
      <c r="N352">
        <v>11.794543579194499</v>
      </c>
      <c r="O352">
        <v>11.687903177815199</v>
      </c>
      <c r="P352">
        <v>0.29128536520758902</v>
      </c>
      <c r="Q352">
        <v>-0.20414999985052201</v>
      </c>
      <c r="R352">
        <v>0.7867207302657</v>
      </c>
      <c r="S352">
        <v>11.9472396046569</v>
      </c>
      <c r="T352">
        <v>1.2410282693225401</v>
      </c>
      <c r="U352">
        <v>-6.1103008237278704</v>
      </c>
      <c r="V352">
        <v>0.23155153936226999</v>
      </c>
      <c r="W352">
        <v>0.81426145830756702</v>
      </c>
      <c r="X352">
        <v>0</v>
      </c>
      <c r="Y352">
        <v>0</v>
      </c>
    </row>
    <row r="353" spans="1:25" x14ac:dyDescent="0.2">
      <c r="A353" t="s">
        <v>1324</v>
      </c>
      <c r="B353" t="s">
        <v>1325</v>
      </c>
      <c r="C353" t="s">
        <v>14251</v>
      </c>
      <c r="D353" t="s">
        <v>1326</v>
      </c>
      <c r="E353" t="s">
        <v>1325</v>
      </c>
      <c r="F353" t="s">
        <v>28</v>
      </c>
      <c r="G353" t="s">
        <v>1325</v>
      </c>
      <c r="H353" t="str">
        <f>"F22E12.1"</f>
        <v>F22E12.1</v>
      </c>
      <c r="I353" t="s">
        <v>1326</v>
      </c>
      <c r="J353" t="s">
        <v>29</v>
      </c>
      <c r="K353" t="s">
        <v>29</v>
      </c>
      <c r="L353">
        <v>10.3151066904927</v>
      </c>
      <c r="M353" t="s">
        <v>29</v>
      </c>
      <c r="N353" t="s">
        <v>29</v>
      </c>
      <c r="O353" t="s">
        <v>29</v>
      </c>
      <c r="P353" t="s">
        <v>29</v>
      </c>
      <c r="Q353" t="s">
        <v>29</v>
      </c>
      <c r="R353" t="s">
        <v>29</v>
      </c>
      <c r="S353">
        <v>11.318484082181699</v>
      </c>
      <c r="T353" t="s">
        <v>29</v>
      </c>
      <c r="U353" t="s">
        <v>29</v>
      </c>
      <c r="V353" t="s">
        <v>29</v>
      </c>
      <c r="W353" t="s">
        <v>29</v>
      </c>
      <c r="X353" t="s">
        <v>29</v>
      </c>
      <c r="Y353" t="s">
        <v>29</v>
      </c>
    </row>
    <row r="354" spans="1:25" x14ac:dyDescent="0.2">
      <c r="A354" t="s">
        <v>1327</v>
      </c>
      <c r="B354" t="s">
        <v>1328</v>
      </c>
      <c r="C354" t="s">
        <v>1329</v>
      </c>
      <c r="D354" t="s">
        <v>433</v>
      </c>
      <c r="E354" t="s">
        <v>1328</v>
      </c>
      <c r="F354" t="s">
        <v>28</v>
      </c>
      <c r="G354" t="s">
        <v>1328</v>
      </c>
      <c r="H354" t="str">
        <f>"mcrs-1"</f>
        <v>mcrs-1</v>
      </c>
      <c r="I354" t="s">
        <v>433</v>
      </c>
      <c r="J354" t="s">
        <v>29</v>
      </c>
      <c r="K354">
        <v>11.7227562783953</v>
      </c>
      <c r="L354">
        <v>11.701707425820199</v>
      </c>
      <c r="M354">
        <v>11.3615139967951</v>
      </c>
      <c r="N354" t="s">
        <v>29</v>
      </c>
      <c r="O354">
        <v>12.203484996556099</v>
      </c>
      <c r="P354">
        <v>7.0267644567868701E-2</v>
      </c>
      <c r="Q354">
        <v>-0.72991253344407203</v>
      </c>
      <c r="R354">
        <v>0.87044782257980902</v>
      </c>
      <c r="S354">
        <v>12.3370929463556</v>
      </c>
      <c r="T354">
        <v>0.19151933252761699</v>
      </c>
      <c r="U354">
        <v>-6.6627824644162104</v>
      </c>
      <c r="V354">
        <v>0.85134900420218196</v>
      </c>
      <c r="W354">
        <v>0.99370971747667503</v>
      </c>
      <c r="X354">
        <v>0</v>
      </c>
      <c r="Y354">
        <v>0</v>
      </c>
    </row>
    <row r="355" spans="1:25" x14ac:dyDescent="0.2">
      <c r="A355" t="s">
        <v>1330</v>
      </c>
      <c r="B355" t="s">
        <v>1331</v>
      </c>
      <c r="C355" t="s">
        <v>14252</v>
      </c>
      <c r="D355" t="s">
        <v>1332</v>
      </c>
      <c r="E355" t="s">
        <v>1331</v>
      </c>
      <c r="F355" t="s">
        <v>28</v>
      </c>
      <c r="G355" t="s">
        <v>1331</v>
      </c>
      <c r="H355" t="str">
        <f>"K12D12.5"</f>
        <v>K12D12.5</v>
      </c>
      <c r="I355" t="s">
        <v>1332</v>
      </c>
      <c r="J355">
        <v>10.947591079334799</v>
      </c>
      <c r="K355">
        <v>10.247978539264899</v>
      </c>
      <c r="L355">
        <v>11.448062766458101</v>
      </c>
      <c r="M355">
        <v>11.4532834014479</v>
      </c>
      <c r="N355">
        <v>11.7555867883066</v>
      </c>
      <c r="O355">
        <v>10.9905476261464</v>
      </c>
      <c r="P355">
        <v>0.51859514361433101</v>
      </c>
      <c r="Q355">
        <v>-0.25303176609692601</v>
      </c>
      <c r="R355">
        <v>1.2902220533255899</v>
      </c>
      <c r="S355">
        <v>11.8997410838177</v>
      </c>
      <c r="T355">
        <v>1.41863638320076</v>
      </c>
      <c r="U355">
        <v>-5.8864964565138296</v>
      </c>
      <c r="V355">
        <v>0.17418895517477001</v>
      </c>
      <c r="W355">
        <v>0.77568784401157198</v>
      </c>
      <c r="X355">
        <v>0</v>
      </c>
      <c r="Y355">
        <v>0</v>
      </c>
    </row>
    <row r="356" spans="1:25" x14ac:dyDescent="0.2">
      <c r="A356" t="s">
        <v>1333</v>
      </c>
      <c r="B356" t="s">
        <v>1334</v>
      </c>
      <c r="C356" t="s">
        <v>1335</v>
      </c>
      <c r="D356" t="s">
        <v>1336</v>
      </c>
      <c r="E356" t="s">
        <v>1334</v>
      </c>
      <c r="F356" t="s">
        <v>28</v>
      </c>
      <c r="G356" t="s">
        <v>1334</v>
      </c>
      <c r="H356" t="str">
        <f>"mtm-6"</f>
        <v>mtm-6</v>
      </c>
      <c r="I356" t="s">
        <v>1336</v>
      </c>
      <c r="J356">
        <v>13.196225577796501</v>
      </c>
      <c r="K356">
        <v>12.220588167091201</v>
      </c>
      <c r="L356">
        <v>12.523280419469399</v>
      </c>
      <c r="M356">
        <v>13.195913453633301</v>
      </c>
      <c r="N356">
        <v>12.5470293653102</v>
      </c>
      <c r="O356">
        <v>12.5314801791855</v>
      </c>
      <c r="P356">
        <v>0.11144294459062799</v>
      </c>
      <c r="Q356">
        <v>-0.47130678302486201</v>
      </c>
      <c r="R356">
        <v>0.69419267220611802</v>
      </c>
      <c r="S356">
        <v>12.788944996041799</v>
      </c>
      <c r="T356">
        <v>0.40562062443184999</v>
      </c>
      <c r="U356">
        <v>-6.7964008873355199</v>
      </c>
      <c r="V356">
        <v>0.69042894707957403</v>
      </c>
      <c r="W356">
        <v>0.98642420921484297</v>
      </c>
      <c r="X356">
        <v>0</v>
      </c>
      <c r="Y356">
        <v>0</v>
      </c>
    </row>
    <row r="357" spans="1:25" x14ac:dyDescent="0.2">
      <c r="A357" t="s">
        <v>1337</v>
      </c>
      <c r="B357" t="s">
        <v>1338</v>
      </c>
      <c r="C357" t="s">
        <v>1339</v>
      </c>
      <c r="D357" t="s">
        <v>1340</v>
      </c>
      <c r="E357" t="s">
        <v>1338</v>
      </c>
      <c r="F357" t="s">
        <v>28</v>
      </c>
      <c r="G357" t="s">
        <v>1338</v>
      </c>
      <c r="H357" t="str">
        <f>"dcp-66"</f>
        <v>dcp-66</v>
      </c>
      <c r="I357" t="s">
        <v>1340</v>
      </c>
      <c r="J357" t="s">
        <v>29</v>
      </c>
      <c r="K357" t="s">
        <v>29</v>
      </c>
      <c r="L357" t="s">
        <v>29</v>
      </c>
      <c r="M357" t="s">
        <v>29</v>
      </c>
      <c r="N357" t="s">
        <v>29</v>
      </c>
      <c r="O357" t="s">
        <v>29</v>
      </c>
      <c r="P357" t="s">
        <v>29</v>
      </c>
      <c r="Q357" t="s">
        <v>29</v>
      </c>
      <c r="R357" t="s">
        <v>29</v>
      </c>
      <c r="S357">
        <v>11.0128868755836</v>
      </c>
      <c r="T357" t="s">
        <v>29</v>
      </c>
      <c r="U357" t="s">
        <v>29</v>
      </c>
      <c r="V357" t="s">
        <v>29</v>
      </c>
      <c r="W357" t="s">
        <v>29</v>
      </c>
      <c r="X357" t="s">
        <v>29</v>
      </c>
      <c r="Y357" t="s">
        <v>29</v>
      </c>
    </row>
    <row r="358" spans="1:25" x14ac:dyDescent="0.2">
      <c r="A358" t="s">
        <v>1341</v>
      </c>
      <c r="B358" t="s">
        <v>1342</v>
      </c>
      <c r="C358" t="s">
        <v>1343</v>
      </c>
      <c r="D358" t="s">
        <v>1344</v>
      </c>
      <c r="E358" t="s">
        <v>1342</v>
      </c>
      <c r="F358" t="s">
        <v>28</v>
      </c>
      <c r="G358" t="s">
        <v>1342</v>
      </c>
      <c r="H358" t="str">
        <f>"yars-1"</f>
        <v>yars-1</v>
      </c>
      <c r="I358" t="s">
        <v>1344</v>
      </c>
      <c r="J358">
        <v>12.737881612191501</v>
      </c>
      <c r="K358">
        <v>12.507518729129099</v>
      </c>
      <c r="L358">
        <v>12.820248081201401</v>
      </c>
      <c r="M358">
        <v>12.885444535953299</v>
      </c>
      <c r="N358">
        <v>13.1991665563609</v>
      </c>
      <c r="O358">
        <v>12.964666316002299</v>
      </c>
      <c r="P358">
        <v>0.32787632859816401</v>
      </c>
      <c r="Q358">
        <v>-0.34435748872747302</v>
      </c>
      <c r="R358">
        <v>1.0001101459238</v>
      </c>
      <c r="S358">
        <v>12.744900940487399</v>
      </c>
      <c r="T358">
        <v>1.0295316927081</v>
      </c>
      <c r="U358">
        <v>-6.3438432070392397</v>
      </c>
      <c r="V358">
        <v>0.31774428997204501</v>
      </c>
      <c r="W358">
        <v>0.86534615141322802</v>
      </c>
      <c r="X358">
        <v>0</v>
      </c>
      <c r="Y358">
        <v>0</v>
      </c>
    </row>
    <row r="359" spans="1:25" x14ac:dyDescent="0.2">
      <c r="A359" t="s">
        <v>1345</v>
      </c>
      <c r="B359" t="s">
        <v>1346</v>
      </c>
      <c r="C359" t="s">
        <v>1347</v>
      </c>
      <c r="D359" t="s">
        <v>107</v>
      </c>
      <c r="E359" t="s">
        <v>1346</v>
      </c>
      <c r="F359" t="s">
        <v>28</v>
      </c>
      <c r="G359" t="s">
        <v>1346</v>
      </c>
      <c r="H359" t="str">
        <f>"C06H5.6"</f>
        <v>C06H5.6</v>
      </c>
      <c r="I359" t="s">
        <v>107</v>
      </c>
      <c r="J359">
        <v>12.920789659665701</v>
      </c>
      <c r="K359">
        <v>13.1900626236137</v>
      </c>
      <c r="L359">
        <v>12.9300542262511</v>
      </c>
      <c r="M359">
        <v>13.511240581514</v>
      </c>
      <c r="N359">
        <v>13.326653296478099</v>
      </c>
      <c r="O359">
        <v>13.0878041428606</v>
      </c>
      <c r="P359">
        <v>0.29493050377406099</v>
      </c>
      <c r="Q359">
        <v>-0.11269816495894799</v>
      </c>
      <c r="R359">
        <v>0.70255917250707101</v>
      </c>
      <c r="S359">
        <v>12.9142849245618</v>
      </c>
      <c r="T359">
        <v>1.5346328907204401</v>
      </c>
      <c r="U359">
        <v>-5.72822663484932</v>
      </c>
      <c r="V359">
        <v>0.144537199878471</v>
      </c>
      <c r="W359">
        <v>0.73463339032441799</v>
      </c>
      <c r="X359">
        <v>0</v>
      </c>
      <c r="Y359">
        <v>0</v>
      </c>
    </row>
    <row r="360" spans="1:25" x14ac:dyDescent="0.2">
      <c r="A360" t="s">
        <v>1348</v>
      </c>
      <c r="B360" t="s">
        <v>1349</v>
      </c>
      <c r="C360" t="s">
        <v>14253</v>
      </c>
      <c r="D360" t="s">
        <v>1350</v>
      </c>
      <c r="E360" t="s">
        <v>1349</v>
      </c>
      <c r="F360" t="s">
        <v>28</v>
      </c>
      <c r="G360" t="s">
        <v>1349</v>
      </c>
      <c r="H360" t="str">
        <f>"Y45F10B.13"</f>
        <v>Y45F10B.13</v>
      </c>
      <c r="I360" t="s">
        <v>1350</v>
      </c>
      <c r="J360">
        <v>12.5595942152693</v>
      </c>
      <c r="K360">
        <v>13.1699410668555</v>
      </c>
      <c r="L360">
        <v>13.669751500443001</v>
      </c>
      <c r="M360">
        <v>12.6193418604764</v>
      </c>
      <c r="N360">
        <v>12.943378519266</v>
      </c>
      <c r="O360">
        <v>12.8083470687126</v>
      </c>
      <c r="P360">
        <v>-0.34273977803759897</v>
      </c>
      <c r="Q360">
        <v>-0.95915480511158901</v>
      </c>
      <c r="R360">
        <v>0.27367524903639201</v>
      </c>
      <c r="S360">
        <v>13.2462280550559</v>
      </c>
      <c r="T360">
        <v>-1.1736573065940099</v>
      </c>
      <c r="U360">
        <v>-6.18872047746195</v>
      </c>
      <c r="V360">
        <v>0.25681266109991102</v>
      </c>
      <c r="W360">
        <v>0.83706879678059698</v>
      </c>
      <c r="X360">
        <v>0</v>
      </c>
      <c r="Y360">
        <v>0</v>
      </c>
    </row>
    <row r="361" spans="1:25" x14ac:dyDescent="0.2">
      <c r="A361" t="s">
        <v>1351</v>
      </c>
      <c r="B361" t="s">
        <v>1352</v>
      </c>
      <c r="C361" t="s">
        <v>1353</v>
      </c>
      <c r="D361" t="s">
        <v>1354</v>
      </c>
      <c r="E361" t="s">
        <v>1352</v>
      </c>
      <c r="F361" t="s">
        <v>28</v>
      </c>
      <c r="G361" t="s">
        <v>1352</v>
      </c>
      <c r="H361" t="str">
        <f>"madd-3"</f>
        <v>madd-3</v>
      </c>
      <c r="I361" t="s">
        <v>1354</v>
      </c>
      <c r="J361">
        <v>15.267025474323001</v>
      </c>
      <c r="K361">
        <v>15.557545909299</v>
      </c>
      <c r="L361">
        <v>14.9965568489506</v>
      </c>
      <c r="M361">
        <v>15.243025870186299</v>
      </c>
      <c r="N361">
        <v>15.0602831077881</v>
      </c>
      <c r="O361">
        <v>15.115045829196101</v>
      </c>
      <c r="P361">
        <v>-0.134257808467353</v>
      </c>
      <c r="Q361">
        <v>-0.56768724566451401</v>
      </c>
      <c r="R361">
        <v>0.29917162872980702</v>
      </c>
      <c r="S361">
        <v>14.9422245628287</v>
      </c>
      <c r="T361">
        <v>-0.65104898025292601</v>
      </c>
      <c r="U361">
        <v>-6.6636298082156298</v>
      </c>
      <c r="V361">
        <v>0.52328777039625995</v>
      </c>
      <c r="W361">
        <v>0.94245155746843701</v>
      </c>
      <c r="X361">
        <v>0</v>
      </c>
      <c r="Y361">
        <v>0</v>
      </c>
    </row>
    <row r="362" spans="1:25" x14ac:dyDescent="0.2">
      <c r="A362" t="s">
        <v>1355</v>
      </c>
      <c r="B362" t="s">
        <v>1356</v>
      </c>
      <c r="C362" t="s">
        <v>1357</v>
      </c>
      <c r="D362" t="s">
        <v>1358</v>
      </c>
      <c r="E362" t="s">
        <v>1356</v>
      </c>
      <c r="F362" t="s">
        <v>28</v>
      </c>
      <c r="G362" t="s">
        <v>1356</v>
      </c>
      <c r="H362" t="str">
        <f>"ppgn-1"</f>
        <v>ppgn-1</v>
      </c>
      <c r="I362" t="s">
        <v>1358</v>
      </c>
      <c r="J362">
        <v>13.539866053678301</v>
      </c>
      <c r="K362">
        <v>13.3232812301423</v>
      </c>
      <c r="L362">
        <v>13.5029066009924</v>
      </c>
      <c r="M362">
        <v>13.330419354863899</v>
      </c>
      <c r="N362">
        <v>12.9742523235763</v>
      </c>
      <c r="O362">
        <v>13.386179774624299</v>
      </c>
      <c r="P362">
        <v>-0.22506747724947099</v>
      </c>
      <c r="Q362">
        <v>-0.87214560985572098</v>
      </c>
      <c r="R362">
        <v>0.42201065535677901</v>
      </c>
      <c r="S362">
        <v>13.573412696052101</v>
      </c>
      <c r="T362">
        <v>-0.73774376764748495</v>
      </c>
      <c r="U362">
        <v>-6.6010594045594102</v>
      </c>
      <c r="V362">
        <v>0.47142198360736398</v>
      </c>
      <c r="W362">
        <v>0.93056407806222996</v>
      </c>
      <c r="X362">
        <v>0</v>
      </c>
      <c r="Y362">
        <v>0</v>
      </c>
    </row>
    <row r="363" spans="1:25" x14ac:dyDescent="0.2">
      <c r="A363" t="s">
        <v>1359</v>
      </c>
      <c r="B363" t="s">
        <v>1360</v>
      </c>
      <c r="C363" t="s">
        <v>1361</v>
      </c>
      <c r="D363" t="s">
        <v>1362</v>
      </c>
      <c r="E363" t="s">
        <v>1360</v>
      </c>
      <c r="F363" t="s">
        <v>28</v>
      </c>
      <c r="G363" t="s">
        <v>1360</v>
      </c>
      <c r="H363" t="str">
        <f>"unc-25"</f>
        <v>unc-25</v>
      </c>
      <c r="I363" t="s">
        <v>1362</v>
      </c>
      <c r="J363" t="s">
        <v>29</v>
      </c>
      <c r="K363" t="s">
        <v>29</v>
      </c>
      <c r="L363" t="s">
        <v>29</v>
      </c>
      <c r="M363">
        <v>13.4940009441053</v>
      </c>
      <c r="N363">
        <v>13.466625811318099</v>
      </c>
      <c r="O363">
        <v>13.6531202034113</v>
      </c>
      <c r="P363" t="s">
        <v>29</v>
      </c>
      <c r="Q363" t="s">
        <v>29</v>
      </c>
      <c r="R363" t="s">
        <v>29</v>
      </c>
      <c r="S363">
        <v>12.5110283951598</v>
      </c>
      <c r="T363" t="s">
        <v>29</v>
      </c>
      <c r="U363" t="s">
        <v>29</v>
      </c>
      <c r="V363" t="s">
        <v>29</v>
      </c>
      <c r="W363" t="s">
        <v>29</v>
      </c>
      <c r="X363" t="s">
        <v>29</v>
      </c>
      <c r="Y363" t="s">
        <v>29</v>
      </c>
    </row>
    <row r="364" spans="1:25" x14ac:dyDescent="0.2">
      <c r="A364" t="s">
        <v>1363</v>
      </c>
      <c r="B364" t="s">
        <v>1364</v>
      </c>
      <c r="C364" t="s">
        <v>1365</v>
      </c>
      <c r="D364" t="s">
        <v>1366</v>
      </c>
      <c r="E364" t="s">
        <v>1364</v>
      </c>
      <c r="F364" t="s">
        <v>28</v>
      </c>
      <c r="G364" t="s">
        <v>1364</v>
      </c>
      <c r="H364" t="str">
        <f>"vha-4"</f>
        <v>vha-4</v>
      </c>
      <c r="I364" t="s">
        <v>1366</v>
      </c>
      <c r="J364">
        <v>14.664499006318</v>
      </c>
      <c r="K364">
        <v>14.5836080785701</v>
      </c>
      <c r="L364">
        <v>15.260969451973899</v>
      </c>
      <c r="M364">
        <v>15.0294760136258</v>
      </c>
      <c r="N364">
        <v>14.547093421282501</v>
      </c>
      <c r="O364">
        <v>14.5892983293793</v>
      </c>
      <c r="P364">
        <v>-0.11440292419145801</v>
      </c>
      <c r="Q364">
        <v>-0.603138604000511</v>
      </c>
      <c r="R364">
        <v>0.37433275561759599</v>
      </c>
      <c r="S364">
        <v>14.708331594762701</v>
      </c>
      <c r="T364">
        <v>-0.49198922672897699</v>
      </c>
      <c r="U364">
        <v>-6.7568735782401603</v>
      </c>
      <c r="V364">
        <v>0.62870787244807702</v>
      </c>
      <c r="W364">
        <v>0.97279262440453396</v>
      </c>
      <c r="X364">
        <v>0</v>
      </c>
      <c r="Y364">
        <v>0</v>
      </c>
    </row>
    <row r="365" spans="1:25" x14ac:dyDescent="0.2">
      <c r="A365" t="s">
        <v>1367</v>
      </c>
      <c r="B365" t="s">
        <v>1368</v>
      </c>
      <c r="C365" t="s">
        <v>1369</v>
      </c>
      <c r="D365" t="s">
        <v>1370</v>
      </c>
      <c r="E365" t="s">
        <v>1368</v>
      </c>
      <c r="F365" t="s">
        <v>28</v>
      </c>
      <c r="G365" t="s">
        <v>1368</v>
      </c>
      <c r="H365" t="str">
        <f>"pxf-1"</f>
        <v>pxf-1</v>
      </c>
      <c r="I365" t="s">
        <v>1370</v>
      </c>
      <c r="J365">
        <v>12.122355848257399</v>
      </c>
      <c r="K365">
        <v>12.6580791645925</v>
      </c>
      <c r="L365" t="s">
        <v>29</v>
      </c>
      <c r="M365">
        <v>13.082547285584299</v>
      </c>
      <c r="N365">
        <v>13.1881538314249</v>
      </c>
      <c r="O365">
        <v>12.886990825325199</v>
      </c>
      <c r="P365">
        <v>0.66234647435316396</v>
      </c>
      <c r="Q365">
        <v>-5.2456138537080803E-2</v>
      </c>
      <c r="R365">
        <v>1.37714908724341</v>
      </c>
      <c r="S365">
        <v>12.8490879671174</v>
      </c>
      <c r="T365">
        <v>1.9887994461955301</v>
      </c>
      <c r="U365">
        <v>-4.9338597759432599</v>
      </c>
      <c r="V365">
        <v>6.6786531990012193E-2</v>
      </c>
      <c r="W365">
        <v>0.554278250530575</v>
      </c>
      <c r="X365">
        <v>0</v>
      </c>
      <c r="Y365">
        <v>0</v>
      </c>
    </row>
    <row r="366" spans="1:25" x14ac:dyDescent="0.2">
      <c r="A366" t="s">
        <v>1371</v>
      </c>
      <c r="B366" t="s">
        <v>1372</v>
      </c>
      <c r="C366" t="s">
        <v>1373</v>
      </c>
      <c r="D366" t="s">
        <v>1374</v>
      </c>
      <c r="E366" t="s">
        <v>1372</v>
      </c>
      <c r="F366" t="s">
        <v>28</v>
      </c>
      <c r="G366" t="s">
        <v>1372</v>
      </c>
      <c r="H366" t="str">
        <f>"arl-8"</f>
        <v>arl-8</v>
      </c>
      <c r="I366" t="s">
        <v>1374</v>
      </c>
      <c r="J366">
        <v>14.1750955673223</v>
      </c>
      <c r="K366">
        <v>14.021425695934299</v>
      </c>
      <c r="L366">
        <v>13.725781000373701</v>
      </c>
      <c r="M366">
        <v>13.789834292559499</v>
      </c>
      <c r="N366">
        <v>13.8142193081169</v>
      </c>
      <c r="O366">
        <v>14.307915295485699</v>
      </c>
      <c r="P366">
        <v>-3.4444558227129099E-3</v>
      </c>
      <c r="Q366">
        <v>-0.57170544566629999</v>
      </c>
      <c r="R366">
        <v>0.56481653402087395</v>
      </c>
      <c r="S366">
        <v>14.0460806144466</v>
      </c>
      <c r="T366">
        <v>-1.2794484387687601E-2</v>
      </c>
      <c r="U366">
        <v>-6.8824037745770603</v>
      </c>
      <c r="V366">
        <v>0.98994162817897902</v>
      </c>
      <c r="W366">
        <v>0.99968702248720698</v>
      </c>
      <c r="X366">
        <v>0</v>
      </c>
      <c r="Y366">
        <v>0</v>
      </c>
    </row>
    <row r="367" spans="1:25" x14ac:dyDescent="0.2">
      <c r="A367" t="s">
        <v>1375</v>
      </c>
      <c r="B367" t="s">
        <v>1376</v>
      </c>
      <c r="C367" t="s">
        <v>1377</v>
      </c>
      <c r="D367" t="s">
        <v>1378</v>
      </c>
      <c r="E367" t="s">
        <v>1376</v>
      </c>
      <c r="F367" t="s">
        <v>28</v>
      </c>
      <c r="G367" t="s">
        <v>1376</v>
      </c>
      <c r="H367" t="str">
        <f>"ucr-2.1"</f>
        <v>ucr-2.1</v>
      </c>
      <c r="I367" t="s">
        <v>1378</v>
      </c>
      <c r="J367">
        <v>15.8315709115665</v>
      </c>
      <c r="K367">
        <v>15.7627992676569</v>
      </c>
      <c r="L367">
        <v>15.486899568176</v>
      </c>
      <c r="M367">
        <v>15.716971973222799</v>
      </c>
      <c r="N367">
        <v>15.507208259829699</v>
      </c>
      <c r="O367">
        <v>15.915038291187701</v>
      </c>
      <c r="P367">
        <v>1.9316258946927799E-2</v>
      </c>
      <c r="Q367">
        <v>-0.43032712338329998</v>
      </c>
      <c r="R367">
        <v>0.468959641277156</v>
      </c>
      <c r="S367">
        <v>15.064694835441401</v>
      </c>
      <c r="T367">
        <v>9.0678604075525193E-2</v>
      </c>
      <c r="U367">
        <v>-6.8781808775098101</v>
      </c>
      <c r="V367">
        <v>0.92881437031576597</v>
      </c>
      <c r="W367">
        <v>0.99926809132575301</v>
      </c>
      <c r="X367">
        <v>0</v>
      </c>
      <c r="Y367">
        <v>0</v>
      </c>
    </row>
    <row r="368" spans="1:25" x14ac:dyDescent="0.2">
      <c r="A368" t="s">
        <v>1379</v>
      </c>
      <c r="B368" t="s">
        <v>1380</v>
      </c>
      <c r="C368" t="s">
        <v>1381</v>
      </c>
      <c r="D368" t="s">
        <v>1382</v>
      </c>
      <c r="E368" t="s">
        <v>1380</v>
      </c>
      <c r="F368" t="s">
        <v>28</v>
      </c>
      <c r="G368" t="s">
        <v>1380</v>
      </c>
      <c r="H368" t="str">
        <f>"tba-4"</f>
        <v>tba-4</v>
      </c>
      <c r="I368" t="s">
        <v>1382</v>
      </c>
      <c r="J368">
        <v>16.7839359582734</v>
      </c>
      <c r="K368">
        <v>16.341458863653699</v>
      </c>
      <c r="L368">
        <v>16.4464911975215</v>
      </c>
      <c r="M368">
        <v>16.6209491287267</v>
      </c>
      <c r="N368">
        <v>16.7622258842392</v>
      </c>
      <c r="O368">
        <v>16.626293682314699</v>
      </c>
      <c r="P368">
        <v>0.145860891943983</v>
      </c>
      <c r="Q368">
        <v>-0.19837136924834101</v>
      </c>
      <c r="R368">
        <v>0.49009315313630603</v>
      </c>
      <c r="S368">
        <v>16.282160822231099</v>
      </c>
      <c r="T368">
        <v>0.89059408925427197</v>
      </c>
      <c r="U368">
        <v>-6.4770795540394897</v>
      </c>
      <c r="V368">
        <v>0.38496450288911099</v>
      </c>
      <c r="W368">
        <v>0.901591742163942</v>
      </c>
      <c r="X368">
        <v>0</v>
      </c>
      <c r="Y368">
        <v>0</v>
      </c>
    </row>
    <row r="369" spans="1:25" x14ac:dyDescent="0.2">
      <c r="A369" t="s">
        <v>1383</v>
      </c>
      <c r="B369" t="s">
        <v>1384</v>
      </c>
      <c r="C369" t="s">
        <v>1385</v>
      </c>
      <c r="D369" t="s">
        <v>1386</v>
      </c>
      <c r="E369" t="s">
        <v>1384</v>
      </c>
      <c r="F369" t="s">
        <v>28</v>
      </c>
      <c r="G369" t="s">
        <v>1384</v>
      </c>
      <c r="H369" t="str">
        <f>"hpl-2"</f>
        <v>hpl-2</v>
      </c>
      <c r="I369" t="s">
        <v>1386</v>
      </c>
      <c r="J369" t="s">
        <v>29</v>
      </c>
      <c r="K369" t="s">
        <v>29</v>
      </c>
      <c r="L369" t="s">
        <v>29</v>
      </c>
      <c r="M369" t="s">
        <v>29</v>
      </c>
      <c r="N369" t="s">
        <v>29</v>
      </c>
      <c r="O369" t="s">
        <v>29</v>
      </c>
      <c r="P369" t="s">
        <v>29</v>
      </c>
      <c r="Q369" t="s">
        <v>29</v>
      </c>
      <c r="R369" t="s">
        <v>29</v>
      </c>
      <c r="S369">
        <v>11.1663667579577</v>
      </c>
      <c r="T369" t="s">
        <v>29</v>
      </c>
      <c r="U369" t="s">
        <v>29</v>
      </c>
      <c r="V369" t="s">
        <v>29</v>
      </c>
      <c r="W369" t="s">
        <v>29</v>
      </c>
      <c r="X369" t="s">
        <v>29</v>
      </c>
      <c r="Y369" t="s">
        <v>29</v>
      </c>
    </row>
    <row r="370" spans="1:25" x14ac:dyDescent="0.2">
      <c r="A370" t="s">
        <v>1387</v>
      </c>
      <c r="B370" t="s">
        <v>1388</v>
      </c>
      <c r="C370" t="s">
        <v>1389</v>
      </c>
      <c r="D370" t="s">
        <v>1390</v>
      </c>
      <c r="E370" t="s">
        <v>1388</v>
      </c>
      <c r="F370" t="s">
        <v>28</v>
      </c>
      <c r="G370" t="s">
        <v>1388</v>
      </c>
      <c r="H370" t="str">
        <f>"casc-3"</f>
        <v>casc-3</v>
      </c>
      <c r="I370" t="s">
        <v>1390</v>
      </c>
      <c r="J370">
        <v>14.841141108697199</v>
      </c>
      <c r="K370">
        <v>15.1435918346028</v>
      </c>
      <c r="L370">
        <v>15.3740581353696</v>
      </c>
      <c r="M370">
        <v>14.8422903688585</v>
      </c>
      <c r="N370">
        <v>14.5976890564413</v>
      </c>
      <c r="O370">
        <v>14.651515290697899</v>
      </c>
      <c r="P370">
        <v>-0.42243212089065801</v>
      </c>
      <c r="Q370">
        <v>-1.0225308979157199</v>
      </c>
      <c r="R370">
        <v>0.177666656134401</v>
      </c>
      <c r="S370">
        <v>14.7122789775445</v>
      </c>
      <c r="T370">
        <v>-1.4858816011899001</v>
      </c>
      <c r="U370">
        <v>-5.7956077760201996</v>
      </c>
      <c r="V370">
        <v>0.15573195860317901</v>
      </c>
      <c r="W370">
        <v>0.75094320293391503</v>
      </c>
      <c r="X370">
        <v>0</v>
      </c>
      <c r="Y370">
        <v>0</v>
      </c>
    </row>
    <row r="371" spans="1:25" x14ac:dyDescent="0.2">
      <c r="A371" t="s">
        <v>1391</v>
      </c>
      <c r="B371" t="s">
        <v>1392</v>
      </c>
      <c r="C371" t="s">
        <v>1393</v>
      </c>
      <c r="D371" t="s">
        <v>1394</v>
      </c>
      <c r="E371" t="s">
        <v>1392</v>
      </c>
      <c r="F371" t="s">
        <v>28</v>
      </c>
      <c r="G371" t="s">
        <v>1392</v>
      </c>
      <c r="H371" t="str">
        <f>"tpxl-1"</f>
        <v>tpxl-1</v>
      </c>
      <c r="I371" t="s">
        <v>1394</v>
      </c>
      <c r="J371">
        <v>12.213339452384099</v>
      </c>
      <c r="K371">
        <v>12.3314088027214</v>
      </c>
      <c r="L371">
        <v>12.761935878460299</v>
      </c>
      <c r="M371">
        <v>11.6591682576982</v>
      </c>
      <c r="N371" t="s">
        <v>29</v>
      </c>
      <c r="O371" t="s">
        <v>29</v>
      </c>
      <c r="P371">
        <v>-0.77639312015700701</v>
      </c>
      <c r="Q371">
        <v>-1.5648840504236801</v>
      </c>
      <c r="R371">
        <v>1.20978101096685E-2</v>
      </c>
      <c r="S371">
        <v>13.1655678370981</v>
      </c>
      <c r="T371">
        <v>-2.1133764759296398</v>
      </c>
      <c r="U371">
        <v>-4.5139749050975704</v>
      </c>
      <c r="V371">
        <v>5.31478107730982E-2</v>
      </c>
      <c r="W371">
        <v>0.499649475290596</v>
      </c>
      <c r="X371">
        <v>0</v>
      </c>
      <c r="Y371">
        <v>0</v>
      </c>
    </row>
    <row r="372" spans="1:25" x14ac:dyDescent="0.2">
      <c r="A372" t="s">
        <v>1395</v>
      </c>
      <c r="B372" t="s">
        <v>1396</v>
      </c>
      <c r="C372" t="s">
        <v>1397</v>
      </c>
      <c r="D372" t="s">
        <v>1398</v>
      </c>
      <c r="E372" t="s">
        <v>1396</v>
      </c>
      <c r="F372" t="s">
        <v>28</v>
      </c>
      <c r="G372" t="s">
        <v>1396</v>
      </c>
      <c r="H372" t="str">
        <f>"ile-1"</f>
        <v>ile-1</v>
      </c>
      <c r="I372" t="s">
        <v>1398</v>
      </c>
      <c r="J372">
        <v>12.023025862529</v>
      </c>
      <c r="K372">
        <v>11.900736900211401</v>
      </c>
      <c r="L372">
        <v>12.4857594113428</v>
      </c>
      <c r="M372">
        <v>11.9221170465655</v>
      </c>
      <c r="N372">
        <v>12.4864784705858</v>
      </c>
      <c r="O372">
        <v>12.4348750264804</v>
      </c>
      <c r="P372">
        <v>0.14464945651615899</v>
      </c>
      <c r="Q372">
        <v>-0.52945266245112999</v>
      </c>
      <c r="R372">
        <v>0.81875157548344901</v>
      </c>
      <c r="S372">
        <v>12.077261280396201</v>
      </c>
      <c r="T372">
        <v>0.45294047070896998</v>
      </c>
      <c r="U372">
        <v>-6.7756149455835804</v>
      </c>
      <c r="V372">
        <v>0.65635427967996496</v>
      </c>
      <c r="W372">
        <v>0.98305447469618501</v>
      </c>
      <c r="X372">
        <v>0</v>
      </c>
      <c r="Y372">
        <v>0</v>
      </c>
    </row>
    <row r="373" spans="1:25" x14ac:dyDescent="0.2">
      <c r="A373" t="s">
        <v>1399</v>
      </c>
      <c r="B373" t="s">
        <v>1400</v>
      </c>
      <c r="C373" t="s">
        <v>1401</v>
      </c>
      <c r="D373" t="s">
        <v>1225</v>
      </c>
      <c r="E373" t="s">
        <v>1400</v>
      </c>
      <c r="F373" t="s">
        <v>28</v>
      </c>
      <c r="G373" t="s">
        <v>1400</v>
      </c>
      <c r="H373" t="str">
        <f>"tufm-2"</f>
        <v>tufm-2</v>
      </c>
      <c r="I373" t="s">
        <v>1225</v>
      </c>
      <c r="J373">
        <v>14.6357255236224</v>
      </c>
      <c r="K373">
        <v>14.8003288754538</v>
      </c>
      <c r="L373">
        <v>14.7399041797799</v>
      </c>
      <c r="M373">
        <v>14.4247509582357</v>
      </c>
      <c r="N373">
        <v>14.4407129592852</v>
      </c>
      <c r="O373">
        <v>14.4303113565165</v>
      </c>
      <c r="P373">
        <v>-0.29339443493956502</v>
      </c>
      <c r="Q373">
        <v>-0.70743530455507997</v>
      </c>
      <c r="R373">
        <v>0.120646434675951</v>
      </c>
      <c r="S373">
        <v>14.6736801447587</v>
      </c>
      <c r="T373">
        <v>-1.48936510050409</v>
      </c>
      <c r="U373">
        <v>-5.7905632327351801</v>
      </c>
      <c r="V373">
        <v>0.15380457829650901</v>
      </c>
      <c r="W373">
        <v>0.74833572598067699</v>
      </c>
      <c r="X373">
        <v>0</v>
      </c>
      <c r="Y373">
        <v>0</v>
      </c>
    </row>
    <row r="374" spans="1:25" x14ac:dyDescent="0.2">
      <c r="A374" t="s">
        <v>1402</v>
      </c>
      <c r="B374" t="s">
        <v>1403</v>
      </c>
      <c r="C374" t="s">
        <v>1404</v>
      </c>
      <c r="D374" t="s">
        <v>1405</v>
      </c>
      <c r="E374" t="s">
        <v>1403</v>
      </c>
      <c r="F374" t="s">
        <v>28</v>
      </c>
      <c r="G374" t="s">
        <v>1403</v>
      </c>
      <c r="H374" t="str">
        <f>"sek-1"</f>
        <v>sek-1</v>
      </c>
      <c r="I374" t="s">
        <v>1405</v>
      </c>
      <c r="J374">
        <v>13.689178275342501</v>
      </c>
      <c r="K374">
        <v>13.611310699954601</v>
      </c>
      <c r="L374">
        <v>13.1715702642583</v>
      </c>
      <c r="M374">
        <v>12.638179577275199</v>
      </c>
      <c r="N374">
        <v>13.3726249605053</v>
      </c>
      <c r="O374">
        <v>12.065173787314899</v>
      </c>
      <c r="P374">
        <v>-0.79869363815334005</v>
      </c>
      <c r="Q374">
        <v>-1.5566418497079899</v>
      </c>
      <c r="R374">
        <v>-4.0745426598686602E-2</v>
      </c>
      <c r="S374">
        <v>13.056828997760899</v>
      </c>
      <c r="T374">
        <v>-2.2242863965417001</v>
      </c>
      <c r="U374">
        <v>-4.6114048842300503</v>
      </c>
      <c r="V374">
        <v>4.0055098161350999E-2</v>
      </c>
      <c r="W374">
        <v>0.43563191725809203</v>
      </c>
      <c r="X374">
        <v>0</v>
      </c>
      <c r="Y374">
        <v>0</v>
      </c>
    </row>
    <row r="375" spans="1:25" x14ac:dyDescent="0.2">
      <c r="A375" t="s">
        <v>1406</v>
      </c>
      <c r="B375" t="s">
        <v>1407</v>
      </c>
      <c r="C375" t="s">
        <v>1408</v>
      </c>
      <c r="D375" t="s">
        <v>1409</v>
      </c>
      <c r="E375" t="s">
        <v>1407</v>
      </c>
      <c r="F375" t="s">
        <v>28</v>
      </c>
      <c r="G375" t="s">
        <v>1407</v>
      </c>
      <c r="H375" t="str">
        <f>"M03C11.8"</f>
        <v>M03C11.8</v>
      </c>
      <c r="I375" t="s">
        <v>1409</v>
      </c>
      <c r="J375">
        <v>12.7427490688098</v>
      </c>
      <c r="K375">
        <v>11.8808438998143</v>
      </c>
      <c r="L375">
        <v>12.4386699721928</v>
      </c>
      <c r="M375">
        <v>12.067515523335301</v>
      </c>
      <c r="N375">
        <v>12.848556334534599</v>
      </c>
      <c r="O375">
        <v>12.559860125128701</v>
      </c>
      <c r="P375">
        <v>0.13788968072722699</v>
      </c>
      <c r="Q375">
        <v>-0.45616517934187101</v>
      </c>
      <c r="R375">
        <v>0.73194454079632498</v>
      </c>
      <c r="S375">
        <v>12.719894150706301</v>
      </c>
      <c r="T375">
        <v>0.49232823421784599</v>
      </c>
      <c r="U375">
        <v>-6.7559716223636599</v>
      </c>
      <c r="V375">
        <v>0.62921805230206396</v>
      </c>
      <c r="W375">
        <v>0.97279262440453396</v>
      </c>
      <c r="X375">
        <v>0</v>
      </c>
      <c r="Y375">
        <v>0</v>
      </c>
    </row>
    <row r="376" spans="1:25" x14ac:dyDescent="0.2">
      <c r="A376" t="s">
        <v>1410</v>
      </c>
      <c r="B376" t="s">
        <v>1411</v>
      </c>
      <c r="C376" t="s">
        <v>1412</v>
      </c>
      <c r="D376" t="s">
        <v>1413</v>
      </c>
      <c r="E376" t="s">
        <v>1411</v>
      </c>
      <c r="F376" t="s">
        <v>28</v>
      </c>
      <c r="G376" t="s">
        <v>1411</v>
      </c>
      <c r="H376" t="str">
        <f>"col-117"</f>
        <v>col-117</v>
      </c>
      <c r="I376" t="s">
        <v>1413</v>
      </c>
      <c r="J376">
        <v>11.165066323230899</v>
      </c>
      <c r="K376">
        <v>10.917623638670801</v>
      </c>
      <c r="L376">
        <v>10.682630218995101</v>
      </c>
      <c r="M376">
        <v>11.3616700518758</v>
      </c>
      <c r="N376" t="s">
        <v>29</v>
      </c>
      <c r="O376">
        <v>10.3862003041784</v>
      </c>
      <c r="P376">
        <v>-4.7838215605194599E-2</v>
      </c>
      <c r="Q376">
        <v>-0.90029621656044301</v>
      </c>
      <c r="R376">
        <v>0.80461978535005296</v>
      </c>
      <c r="S376">
        <v>10.8037178777598</v>
      </c>
      <c r="T376">
        <v>-0.12366012291773799</v>
      </c>
      <c r="U376">
        <v>-6.7639702190939204</v>
      </c>
      <c r="V376">
        <v>0.90383620481843796</v>
      </c>
      <c r="W376">
        <v>0.99833354317360001</v>
      </c>
      <c r="X376">
        <v>0</v>
      </c>
      <c r="Y376">
        <v>0</v>
      </c>
    </row>
    <row r="377" spans="1:25" x14ac:dyDescent="0.2">
      <c r="A377" t="s">
        <v>1414</v>
      </c>
      <c r="B377" t="s">
        <v>1415</v>
      </c>
      <c r="C377" t="s">
        <v>1416</v>
      </c>
      <c r="D377" t="s">
        <v>1210</v>
      </c>
      <c r="E377" t="s">
        <v>1415</v>
      </c>
      <c r="F377" t="s">
        <v>28</v>
      </c>
      <c r="G377" t="s">
        <v>1415</v>
      </c>
      <c r="H377" t="str">
        <f>"fmo-4"</f>
        <v>fmo-4</v>
      </c>
      <c r="I377" t="s">
        <v>1210</v>
      </c>
      <c r="J377">
        <v>13.854025648151399</v>
      </c>
      <c r="K377">
        <v>13.8422529209471</v>
      </c>
      <c r="L377">
        <v>14.2291823154457</v>
      </c>
      <c r="M377">
        <v>14.1480317186827</v>
      </c>
      <c r="N377">
        <v>14.1460475894753</v>
      </c>
      <c r="O377">
        <v>13.753915564602201</v>
      </c>
      <c r="P377">
        <v>4.0844662738681599E-2</v>
      </c>
      <c r="Q377">
        <v>-0.36172983159002697</v>
      </c>
      <c r="R377">
        <v>0.44341915706739099</v>
      </c>
      <c r="S377">
        <v>14.0205156370581</v>
      </c>
      <c r="T377">
        <v>0.21324633284573299</v>
      </c>
      <c r="U377">
        <v>-6.85875994378857</v>
      </c>
      <c r="V377">
        <v>0.83354539327784205</v>
      </c>
      <c r="W377">
        <v>0.99370240586176295</v>
      </c>
      <c r="X377">
        <v>0</v>
      </c>
      <c r="Y377">
        <v>0</v>
      </c>
    </row>
    <row r="378" spans="1:25" x14ac:dyDescent="0.2">
      <c r="A378" t="s">
        <v>1417</v>
      </c>
      <c r="B378" t="s">
        <v>1418</v>
      </c>
      <c r="C378" t="s">
        <v>1419</v>
      </c>
      <c r="D378" t="s">
        <v>531</v>
      </c>
      <c r="E378" t="s">
        <v>1418</v>
      </c>
      <c r="F378" t="s">
        <v>28</v>
      </c>
      <c r="G378" t="s">
        <v>1418</v>
      </c>
      <c r="H378" t="str">
        <f>"anat-1"</f>
        <v>anat-1</v>
      </c>
      <c r="I378" t="s">
        <v>531</v>
      </c>
      <c r="J378">
        <v>11.8299060203883</v>
      </c>
      <c r="K378" t="s">
        <v>29</v>
      </c>
      <c r="L378">
        <v>11.985359745473399</v>
      </c>
      <c r="M378" t="s">
        <v>29</v>
      </c>
      <c r="N378" t="s">
        <v>29</v>
      </c>
      <c r="O378" t="s">
        <v>29</v>
      </c>
      <c r="P378" t="s">
        <v>29</v>
      </c>
      <c r="Q378" t="s">
        <v>29</v>
      </c>
      <c r="R378" t="s">
        <v>29</v>
      </c>
      <c r="S378">
        <v>11.870223537362101</v>
      </c>
      <c r="T378" t="s">
        <v>29</v>
      </c>
      <c r="U378" t="s">
        <v>29</v>
      </c>
      <c r="V378" t="s">
        <v>29</v>
      </c>
      <c r="W378" t="s">
        <v>29</v>
      </c>
      <c r="X378" t="s">
        <v>29</v>
      </c>
      <c r="Y378" t="s">
        <v>29</v>
      </c>
    </row>
    <row r="379" spans="1:25" x14ac:dyDescent="0.2">
      <c r="A379" t="s">
        <v>1420</v>
      </c>
      <c r="B379" t="s">
        <v>1421</v>
      </c>
      <c r="C379" t="s">
        <v>1422</v>
      </c>
      <c r="D379" t="s">
        <v>1423</v>
      </c>
      <c r="E379" t="s">
        <v>1421</v>
      </c>
      <c r="F379" t="s">
        <v>28</v>
      </c>
      <c r="G379" t="s">
        <v>1421</v>
      </c>
      <c r="H379" t="str">
        <f>"ret-1"</f>
        <v>ret-1</v>
      </c>
      <c r="I379" t="s">
        <v>1423</v>
      </c>
      <c r="J379" t="s">
        <v>29</v>
      </c>
      <c r="K379" t="s">
        <v>29</v>
      </c>
      <c r="L379" t="s">
        <v>29</v>
      </c>
      <c r="M379">
        <v>11.503928377449199</v>
      </c>
      <c r="N379">
        <v>12.128648595039</v>
      </c>
      <c r="O379">
        <v>11.8898935654392</v>
      </c>
      <c r="P379" t="s">
        <v>29</v>
      </c>
      <c r="Q379" t="s">
        <v>29</v>
      </c>
      <c r="R379" t="s">
        <v>29</v>
      </c>
      <c r="S379">
        <v>12.389539178109599</v>
      </c>
      <c r="T379" t="s">
        <v>29</v>
      </c>
      <c r="U379" t="s">
        <v>29</v>
      </c>
      <c r="V379" t="s">
        <v>29</v>
      </c>
      <c r="W379" t="s">
        <v>29</v>
      </c>
      <c r="X379" t="s">
        <v>29</v>
      </c>
      <c r="Y379" t="s">
        <v>29</v>
      </c>
    </row>
    <row r="380" spans="1:25" x14ac:dyDescent="0.2">
      <c r="A380" t="s">
        <v>1424</v>
      </c>
      <c r="B380" t="s">
        <v>1425</v>
      </c>
      <c r="C380" t="s">
        <v>1426</v>
      </c>
      <c r="D380" t="s">
        <v>1427</v>
      </c>
      <c r="E380" t="s">
        <v>1425</v>
      </c>
      <c r="F380" t="s">
        <v>28</v>
      </c>
      <c r="G380" t="s">
        <v>1425</v>
      </c>
      <c r="H380" t="str">
        <f>"drh-1"</f>
        <v>drh-1</v>
      </c>
      <c r="I380" t="s">
        <v>1427</v>
      </c>
      <c r="J380">
        <v>11.776849267092199</v>
      </c>
      <c r="K380">
        <v>12.036673325118</v>
      </c>
      <c r="L380">
        <v>12.265249490777901</v>
      </c>
      <c r="M380">
        <v>12.7218708706322</v>
      </c>
      <c r="N380">
        <v>12.052013305388</v>
      </c>
      <c r="O380">
        <v>12.697842589518199</v>
      </c>
      <c r="P380">
        <v>0.46431822751680402</v>
      </c>
      <c r="Q380">
        <v>-0.19022226529879699</v>
      </c>
      <c r="R380">
        <v>1.1188587203324101</v>
      </c>
      <c r="S380">
        <v>12.296988620906999</v>
      </c>
      <c r="T380">
        <v>1.50462662847288</v>
      </c>
      <c r="U380">
        <v>-5.7700462257983602</v>
      </c>
      <c r="V380">
        <v>0.1520306296534</v>
      </c>
      <c r="W380">
        <v>0.74633248813841202</v>
      </c>
      <c r="X380">
        <v>0</v>
      </c>
      <c r="Y380">
        <v>0</v>
      </c>
    </row>
    <row r="381" spans="1:25" x14ac:dyDescent="0.2">
      <c r="A381" t="s">
        <v>1428</v>
      </c>
      <c r="B381" t="s">
        <v>1429</v>
      </c>
      <c r="C381" t="s">
        <v>1430</v>
      </c>
      <c r="D381" t="s">
        <v>1431</v>
      </c>
      <c r="E381" t="s">
        <v>1429</v>
      </c>
      <c r="F381" t="s">
        <v>28</v>
      </c>
      <c r="G381" t="s">
        <v>1429</v>
      </c>
      <c r="H381" t="str">
        <f>"ent-1"</f>
        <v>ent-1</v>
      </c>
      <c r="I381" t="s">
        <v>1431</v>
      </c>
      <c r="J381">
        <v>15.439649010032401</v>
      </c>
      <c r="K381">
        <v>15.844948941655099</v>
      </c>
      <c r="L381">
        <v>15.3125010436222</v>
      </c>
      <c r="M381">
        <v>15.6329781331138</v>
      </c>
      <c r="N381">
        <v>15.4611452444026</v>
      </c>
      <c r="O381">
        <v>15.7422131381854</v>
      </c>
      <c r="P381">
        <v>7.9745840130671694E-2</v>
      </c>
      <c r="Q381">
        <v>-0.37001880176443502</v>
      </c>
      <c r="R381">
        <v>0.529510482025778</v>
      </c>
      <c r="S381">
        <v>15.6664030666076</v>
      </c>
      <c r="T381">
        <v>0.37425942013563701</v>
      </c>
      <c r="U381">
        <v>-6.8093797230665203</v>
      </c>
      <c r="V381">
        <v>0.71286703683798902</v>
      </c>
      <c r="W381">
        <v>0.98786722894487999</v>
      </c>
      <c r="X381">
        <v>0</v>
      </c>
      <c r="Y381">
        <v>0</v>
      </c>
    </row>
    <row r="382" spans="1:25" x14ac:dyDescent="0.2">
      <c r="A382" t="s">
        <v>1432</v>
      </c>
      <c r="B382" t="s">
        <v>1433</v>
      </c>
      <c r="C382" t="s">
        <v>14254</v>
      </c>
      <c r="D382" t="s">
        <v>1434</v>
      </c>
      <c r="E382" t="s">
        <v>1433</v>
      </c>
      <c r="F382" t="s">
        <v>28</v>
      </c>
      <c r="G382" t="s">
        <v>1433</v>
      </c>
      <c r="H382" t="str">
        <f>"Y43C5B.3"</f>
        <v>Y43C5B.3</v>
      </c>
      <c r="I382" t="s">
        <v>1434</v>
      </c>
      <c r="J382">
        <v>12.7239143258564</v>
      </c>
      <c r="K382">
        <v>11.9690120691975</v>
      </c>
      <c r="L382">
        <v>12.8123579444068</v>
      </c>
      <c r="M382">
        <v>12.252775165992199</v>
      </c>
      <c r="N382">
        <v>11.9750593748995</v>
      </c>
      <c r="O382">
        <v>12.044945834043</v>
      </c>
      <c r="P382">
        <v>-0.410834654841988</v>
      </c>
      <c r="Q382">
        <v>-0.87159373140875496</v>
      </c>
      <c r="R382">
        <v>4.9924421724778699E-2</v>
      </c>
      <c r="S382">
        <v>12.363603511145</v>
      </c>
      <c r="T382">
        <v>-1.9016683428380901</v>
      </c>
      <c r="U382">
        <v>-5.1749030645706</v>
      </c>
      <c r="V382">
        <v>7.6735823292391495E-2</v>
      </c>
      <c r="W382">
        <v>0.59667481289037105</v>
      </c>
      <c r="X382">
        <v>0</v>
      </c>
      <c r="Y382">
        <v>0</v>
      </c>
    </row>
    <row r="383" spans="1:25" x14ac:dyDescent="0.2">
      <c r="A383" t="s">
        <v>1435</v>
      </c>
      <c r="B383" t="s">
        <v>1436</v>
      </c>
      <c r="C383" t="s">
        <v>1437</v>
      </c>
      <c r="D383" t="s">
        <v>1438</v>
      </c>
      <c r="E383" t="s">
        <v>1436</v>
      </c>
      <c r="F383" t="s">
        <v>28</v>
      </c>
      <c r="G383" t="s">
        <v>1436</v>
      </c>
      <c r="H383" t="str">
        <f>"trip-4"</f>
        <v>trip-4</v>
      </c>
      <c r="I383" t="s">
        <v>1438</v>
      </c>
      <c r="J383">
        <v>11.8883673614296</v>
      </c>
      <c r="K383">
        <v>11.732611452059899</v>
      </c>
      <c r="L383">
        <v>12.052126725496301</v>
      </c>
      <c r="M383">
        <v>11.895955146536901</v>
      </c>
      <c r="N383">
        <v>12.578901096161299</v>
      </c>
      <c r="O383">
        <v>12.090594613923701</v>
      </c>
      <c r="P383">
        <v>0.29744843921203001</v>
      </c>
      <c r="Q383">
        <v>-0.73954631759698797</v>
      </c>
      <c r="R383">
        <v>1.3344431960210501</v>
      </c>
      <c r="S383">
        <v>12.042102944825</v>
      </c>
      <c r="T383">
        <v>0.611753890145183</v>
      </c>
      <c r="U383">
        <v>-6.6873311095363404</v>
      </c>
      <c r="V383">
        <v>0.54992490115502701</v>
      </c>
      <c r="W383">
        <v>0.95372533928426795</v>
      </c>
      <c r="X383">
        <v>0</v>
      </c>
      <c r="Y383">
        <v>0</v>
      </c>
    </row>
    <row r="384" spans="1:25" x14ac:dyDescent="0.2">
      <c r="A384" t="s">
        <v>1439</v>
      </c>
      <c r="B384" t="s">
        <v>1440</v>
      </c>
      <c r="C384" t="s">
        <v>1441</v>
      </c>
      <c r="D384" t="s">
        <v>1442</v>
      </c>
      <c r="E384" t="s">
        <v>1440</v>
      </c>
      <c r="F384" t="s">
        <v>28</v>
      </c>
      <c r="G384" t="s">
        <v>1440</v>
      </c>
      <c r="H384" t="str">
        <f>"air-1"</f>
        <v>air-1</v>
      </c>
      <c r="I384" t="s">
        <v>1442</v>
      </c>
      <c r="J384">
        <v>14.385894521904</v>
      </c>
      <c r="K384">
        <v>14.2076182420272</v>
      </c>
      <c r="L384">
        <v>14.4796169670757</v>
      </c>
      <c r="M384">
        <v>14.3525285711668</v>
      </c>
      <c r="N384">
        <v>14.3596823534217</v>
      </c>
      <c r="O384">
        <v>14.101078010650401</v>
      </c>
      <c r="P384">
        <v>-8.6613598589355703E-2</v>
      </c>
      <c r="Q384">
        <v>-0.634706837265687</v>
      </c>
      <c r="R384">
        <v>0.46147964008697501</v>
      </c>
      <c r="S384">
        <v>14.198762593371599</v>
      </c>
      <c r="T384">
        <v>-0.33214227147395697</v>
      </c>
      <c r="U384">
        <v>-6.8250271392044999</v>
      </c>
      <c r="V384">
        <v>0.74364061571017304</v>
      </c>
      <c r="W384">
        <v>0.99159672419203304</v>
      </c>
      <c r="X384">
        <v>0</v>
      </c>
      <c r="Y384">
        <v>0</v>
      </c>
    </row>
    <row r="385" spans="1:25" x14ac:dyDescent="0.2">
      <c r="A385" t="s">
        <v>1443</v>
      </c>
      <c r="B385" t="s">
        <v>1444</v>
      </c>
      <c r="C385" t="s">
        <v>14255</v>
      </c>
      <c r="D385" t="s">
        <v>1445</v>
      </c>
      <c r="E385" t="s">
        <v>1444</v>
      </c>
      <c r="F385" t="s">
        <v>28</v>
      </c>
      <c r="G385" t="s">
        <v>1444</v>
      </c>
      <c r="H385" t="str">
        <f>"R05H10.3"</f>
        <v>R05H10.3</v>
      </c>
      <c r="I385" t="s">
        <v>1445</v>
      </c>
      <c r="J385">
        <v>12.024327459460499</v>
      </c>
      <c r="K385">
        <v>11.8919419835266</v>
      </c>
      <c r="L385">
        <v>11.8595293019156</v>
      </c>
      <c r="M385">
        <v>11.8243015117969</v>
      </c>
      <c r="N385">
        <v>11.9417218678983</v>
      </c>
      <c r="O385">
        <v>11.7376751510427</v>
      </c>
      <c r="P385">
        <v>-9.0700071388285494E-2</v>
      </c>
      <c r="Q385">
        <v>-0.57254236636400702</v>
      </c>
      <c r="R385">
        <v>0.391142223587436</v>
      </c>
      <c r="S385">
        <v>12.278621467170399</v>
      </c>
      <c r="T385">
        <v>-0.397331249827588</v>
      </c>
      <c r="U385">
        <v>-6.80013146297249</v>
      </c>
      <c r="V385">
        <v>0.69609799318878296</v>
      </c>
      <c r="W385">
        <v>0.98642420921484297</v>
      </c>
      <c r="X385">
        <v>0</v>
      </c>
      <c r="Y385">
        <v>0</v>
      </c>
    </row>
    <row r="386" spans="1:25" x14ac:dyDescent="0.2">
      <c r="A386" t="s">
        <v>1446</v>
      </c>
      <c r="B386" t="s">
        <v>1447</v>
      </c>
      <c r="C386" t="s">
        <v>14256</v>
      </c>
      <c r="D386" t="s">
        <v>1281</v>
      </c>
      <c r="E386" t="s">
        <v>1447</v>
      </c>
      <c r="F386" t="s">
        <v>28</v>
      </c>
      <c r="G386" t="s">
        <v>1447</v>
      </c>
      <c r="H386" t="str">
        <f>"ZK1321.4"</f>
        <v>ZK1321.4</v>
      </c>
      <c r="I386" t="s">
        <v>1281</v>
      </c>
      <c r="J386">
        <v>13.0220844906886</v>
      </c>
      <c r="K386" t="s">
        <v>29</v>
      </c>
      <c r="L386">
        <v>12.979926796930201</v>
      </c>
      <c r="M386">
        <v>13.049959571989501</v>
      </c>
      <c r="N386">
        <v>12.9834920456184</v>
      </c>
      <c r="O386">
        <v>13.349624373404</v>
      </c>
      <c r="P386">
        <v>0.12668635319459501</v>
      </c>
      <c r="Q386">
        <v>-0.75367074019439195</v>
      </c>
      <c r="R386">
        <v>1.00704344658358</v>
      </c>
      <c r="S386">
        <v>13.574205664277001</v>
      </c>
      <c r="T386">
        <v>0.30522527706096603</v>
      </c>
      <c r="U386">
        <v>-6.7234738707243302</v>
      </c>
      <c r="V386">
        <v>0.76415518679695604</v>
      </c>
      <c r="W386">
        <v>0.99278624068726296</v>
      </c>
      <c r="X386">
        <v>0</v>
      </c>
      <c r="Y386">
        <v>0</v>
      </c>
    </row>
    <row r="387" spans="1:25" x14ac:dyDescent="0.2">
      <c r="A387" t="s">
        <v>1448</v>
      </c>
      <c r="B387" t="s">
        <v>1449</v>
      </c>
      <c r="C387" t="s">
        <v>1450</v>
      </c>
      <c r="D387" t="s">
        <v>1451</v>
      </c>
      <c r="E387" t="s">
        <v>1449</v>
      </c>
      <c r="F387" t="s">
        <v>28</v>
      </c>
      <c r="G387" t="s">
        <v>1449</v>
      </c>
      <c r="H387" t="str">
        <f>"nrfl-1"</f>
        <v>nrfl-1</v>
      </c>
      <c r="I387" t="s">
        <v>1451</v>
      </c>
      <c r="J387" t="s">
        <v>29</v>
      </c>
      <c r="K387">
        <v>11.0680092289558</v>
      </c>
      <c r="L387">
        <v>11.726289515645799</v>
      </c>
      <c r="M387">
        <v>11.070063973476101</v>
      </c>
      <c r="N387">
        <v>12.0464842963425</v>
      </c>
      <c r="O387">
        <v>12.0883618948679</v>
      </c>
      <c r="P387">
        <v>0.33782068259467801</v>
      </c>
      <c r="Q387">
        <v>-0.48486882246811303</v>
      </c>
      <c r="R387">
        <v>1.1605101876574699</v>
      </c>
      <c r="S387">
        <v>11.7624026927577</v>
      </c>
      <c r="T387">
        <v>0.87096320454964704</v>
      </c>
      <c r="U387">
        <v>-6.3835589041966099</v>
      </c>
      <c r="V387">
        <v>0.39673837192191402</v>
      </c>
      <c r="W387">
        <v>0.90975406915825197</v>
      </c>
      <c r="X387">
        <v>0</v>
      </c>
      <c r="Y387">
        <v>0</v>
      </c>
    </row>
    <row r="388" spans="1:25" x14ac:dyDescent="0.2">
      <c r="A388" t="s">
        <v>1452</v>
      </c>
      <c r="B388" t="s">
        <v>1453</v>
      </c>
      <c r="C388" t="s">
        <v>14180</v>
      </c>
      <c r="D388" t="s">
        <v>1454</v>
      </c>
      <c r="E388" t="s">
        <v>1453</v>
      </c>
      <c r="F388" t="s">
        <v>28</v>
      </c>
      <c r="G388" t="s">
        <v>1453</v>
      </c>
      <c r="H388" t="str">
        <f>"F36A2.3"</f>
        <v>F36A2.3</v>
      </c>
      <c r="I388" t="s">
        <v>1454</v>
      </c>
      <c r="J388">
        <v>12.8446897951167</v>
      </c>
      <c r="K388">
        <v>11.5880551726987</v>
      </c>
      <c r="L388">
        <v>12.0966588820519</v>
      </c>
      <c r="M388">
        <v>13.682766956027001</v>
      </c>
      <c r="N388">
        <v>13.9201458294049</v>
      </c>
      <c r="O388">
        <v>13.2022816284586</v>
      </c>
      <c r="P388">
        <v>1.42526352134108</v>
      </c>
      <c r="Q388">
        <v>0.71562380211127397</v>
      </c>
      <c r="R388">
        <v>2.1349032405708801</v>
      </c>
      <c r="S388">
        <v>12.9464485009961</v>
      </c>
      <c r="T388">
        <v>4.2394280362098398</v>
      </c>
      <c r="U388">
        <v>-0.49721031865704601</v>
      </c>
      <c r="V388">
        <v>5.5949661226716095E-4</v>
      </c>
      <c r="W388">
        <v>2.0239181800272898E-2</v>
      </c>
      <c r="X388">
        <v>1</v>
      </c>
      <c r="Y388">
        <v>1</v>
      </c>
    </row>
    <row r="389" spans="1:25" x14ac:dyDescent="0.2">
      <c r="A389" t="s">
        <v>1455</v>
      </c>
      <c r="B389" t="s">
        <v>1456</v>
      </c>
      <c r="C389" t="s">
        <v>1457</v>
      </c>
      <c r="D389" t="s">
        <v>1458</v>
      </c>
      <c r="E389" t="s">
        <v>1456</v>
      </c>
      <c r="F389" t="s">
        <v>28</v>
      </c>
      <c r="G389" t="s">
        <v>1456</v>
      </c>
      <c r="H389" t="str">
        <f>"pigb-1"</f>
        <v>pigb-1</v>
      </c>
      <c r="I389" t="s">
        <v>1458</v>
      </c>
      <c r="J389" t="s">
        <v>29</v>
      </c>
      <c r="K389">
        <v>10.5868232466143</v>
      </c>
      <c r="L389" t="s">
        <v>29</v>
      </c>
      <c r="M389" t="s">
        <v>29</v>
      </c>
      <c r="N389" t="s">
        <v>29</v>
      </c>
      <c r="O389" t="s">
        <v>29</v>
      </c>
      <c r="P389" t="s">
        <v>29</v>
      </c>
      <c r="Q389" t="s">
        <v>29</v>
      </c>
      <c r="R389" t="s">
        <v>29</v>
      </c>
      <c r="S389">
        <v>12.6583070571115</v>
      </c>
      <c r="T389" t="s">
        <v>29</v>
      </c>
      <c r="U389" t="s">
        <v>29</v>
      </c>
      <c r="V389" t="s">
        <v>29</v>
      </c>
      <c r="W389" t="s">
        <v>29</v>
      </c>
      <c r="X389" t="s">
        <v>29</v>
      </c>
      <c r="Y389" t="s">
        <v>29</v>
      </c>
    </row>
    <row r="390" spans="1:25" x14ac:dyDescent="0.2">
      <c r="A390" t="s">
        <v>1459</v>
      </c>
      <c r="B390" t="s">
        <v>1460</v>
      </c>
      <c r="C390" t="s">
        <v>1461</v>
      </c>
      <c r="D390" t="s">
        <v>1462</v>
      </c>
      <c r="E390" t="s">
        <v>1460</v>
      </c>
      <c r="F390" t="s">
        <v>28</v>
      </c>
      <c r="G390" t="s">
        <v>1460</v>
      </c>
      <c r="H390" t="str">
        <f>"tim-1"</f>
        <v>tim-1</v>
      </c>
      <c r="I390" t="s">
        <v>1462</v>
      </c>
      <c r="J390" t="s">
        <v>29</v>
      </c>
      <c r="K390" t="s">
        <v>29</v>
      </c>
      <c r="L390" t="s">
        <v>29</v>
      </c>
      <c r="M390" t="s">
        <v>29</v>
      </c>
      <c r="N390" t="s">
        <v>29</v>
      </c>
      <c r="O390" t="s">
        <v>29</v>
      </c>
      <c r="P390" t="s">
        <v>29</v>
      </c>
      <c r="Q390" t="s">
        <v>29</v>
      </c>
      <c r="R390" t="s">
        <v>29</v>
      </c>
      <c r="S390">
        <v>10.729330988371</v>
      </c>
      <c r="T390" t="s">
        <v>29</v>
      </c>
      <c r="U390" t="s">
        <v>29</v>
      </c>
      <c r="V390" t="s">
        <v>29</v>
      </c>
      <c r="W390" t="s">
        <v>29</v>
      </c>
      <c r="X390" t="s">
        <v>29</v>
      </c>
      <c r="Y390" t="s">
        <v>29</v>
      </c>
    </row>
    <row r="391" spans="1:25" x14ac:dyDescent="0.2">
      <c r="A391" t="s">
        <v>1463</v>
      </c>
      <c r="B391" t="s">
        <v>1464</v>
      </c>
      <c r="C391" t="s">
        <v>1465</v>
      </c>
      <c r="D391" t="s">
        <v>412</v>
      </c>
      <c r="E391" t="s">
        <v>1464</v>
      </c>
      <c r="F391" t="s">
        <v>28</v>
      </c>
      <c r="G391" t="s">
        <v>1464</v>
      </c>
      <c r="H391" t="str">
        <f>"vab-19"</f>
        <v>vab-19</v>
      </c>
      <c r="I391" t="s">
        <v>412</v>
      </c>
      <c r="J391">
        <v>12.239535952204699</v>
      </c>
      <c r="K391">
        <v>12.772471172460801</v>
      </c>
      <c r="L391">
        <v>12.244312061193099</v>
      </c>
      <c r="M391">
        <v>13.597947782008999</v>
      </c>
      <c r="N391">
        <v>13.4255357024155</v>
      </c>
      <c r="O391">
        <v>12.9163870361068</v>
      </c>
      <c r="P391">
        <v>0.89451711155755798</v>
      </c>
      <c r="Q391">
        <v>0.26784045142685797</v>
      </c>
      <c r="R391">
        <v>1.52119377168826</v>
      </c>
      <c r="S391">
        <v>12.8369998457626</v>
      </c>
      <c r="T391">
        <v>3.0275732709017298</v>
      </c>
      <c r="U391">
        <v>-3.08627435294515</v>
      </c>
      <c r="V391">
        <v>8.0519596181531598E-3</v>
      </c>
      <c r="W391">
        <v>0.15592244623443599</v>
      </c>
      <c r="X391">
        <v>0</v>
      </c>
      <c r="Y391">
        <v>0</v>
      </c>
    </row>
    <row r="392" spans="1:25" x14ac:dyDescent="0.2">
      <c r="A392" t="s">
        <v>1466</v>
      </c>
      <c r="B392" t="s">
        <v>1467</v>
      </c>
      <c r="C392" t="s">
        <v>14257</v>
      </c>
      <c r="D392" t="s">
        <v>1468</v>
      </c>
      <c r="E392" t="s">
        <v>1467</v>
      </c>
      <c r="F392" t="s">
        <v>28</v>
      </c>
      <c r="G392" t="s">
        <v>1467</v>
      </c>
      <c r="H392" t="str">
        <f>"Y32F6A.5"</f>
        <v>Y32F6A.5</v>
      </c>
      <c r="I392" t="s">
        <v>1468</v>
      </c>
      <c r="J392" t="s">
        <v>29</v>
      </c>
      <c r="K392">
        <v>12.0357223262935</v>
      </c>
      <c r="L392">
        <v>12.6550830564662</v>
      </c>
      <c r="M392">
        <v>12.3204277837728</v>
      </c>
      <c r="N392" t="s">
        <v>29</v>
      </c>
      <c r="O392" t="s">
        <v>29</v>
      </c>
      <c r="P392">
        <v>-2.49749076070724E-2</v>
      </c>
      <c r="Q392">
        <v>-0.99692268363201297</v>
      </c>
      <c r="R392">
        <v>0.94697286841786799</v>
      </c>
      <c r="S392">
        <v>12.871855525471799</v>
      </c>
      <c r="T392">
        <v>-5.6622449512635703E-2</v>
      </c>
      <c r="U392">
        <v>-6.4817165717460901</v>
      </c>
      <c r="V392">
        <v>0.95587101982716605</v>
      </c>
      <c r="W392">
        <v>0.99968702248720698</v>
      </c>
      <c r="X392">
        <v>0</v>
      </c>
      <c r="Y392">
        <v>0</v>
      </c>
    </row>
    <row r="393" spans="1:25" x14ac:dyDescent="0.2">
      <c r="A393" t="s">
        <v>1469</v>
      </c>
      <c r="B393" t="s">
        <v>1470</v>
      </c>
      <c r="C393" t="s">
        <v>1471</v>
      </c>
      <c r="D393" t="s">
        <v>1472</v>
      </c>
      <c r="E393" t="s">
        <v>1470</v>
      </c>
      <c r="F393" t="s">
        <v>28</v>
      </c>
      <c r="G393" t="s">
        <v>1470</v>
      </c>
      <c r="H393" t="str">
        <f>"daf-22"</f>
        <v>daf-22</v>
      </c>
      <c r="I393" t="s">
        <v>1472</v>
      </c>
      <c r="J393">
        <v>13.5870087495341</v>
      </c>
      <c r="K393">
        <v>13.4481702251207</v>
      </c>
      <c r="L393">
        <v>13.4957307932799</v>
      </c>
      <c r="M393">
        <v>14.0770988220257</v>
      </c>
      <c r="N393">
        <v>13.7898688925802</v>
      </c>
      <c r="O393">
        <v>13.805751572711101</v>
      </c>
      <c r="P393">
        <v>0.38060317312750103</v>
      </c>
      <c r="Q393">
        <v>-8.1301712487953495E-2</v>
      </c>
      <c r="R393">
        <v>0.84250805874295498</v>
      </c>
      <c r="S393">
        <v>14.1515981058504</v>
      </c>
      <c r="T393">
        <v>1.7318583267313801</v>
      </c>
      <c r="U393">
        <v>-5.4348464669227203</v>
      </c>
      <c r="V393">
        <v>0.100500589288104</v>
      </c>
      <c r="W393">
        <v>0.65399513636263495</v>
      </c>
      <c r="X393">
        <v>0</v>
      </c>
      <c r="Y393">
        <v>0</v>
      </c>
    </row>
    <row r="394" spans="1:25" x14ac:dyDescent="0.2">
      <c r="A394" t="s">
        <v>1473</v>
      </c>
      <c r="B394" t="s">
        <v>1474</v>
      </c>
      <c r="C394" t="s">
        <v>1475</v>
      </c>
      <c r="D394" t="s">
        <v>1210</v>
      </c>
      <c r="E394" t="s">
        <v>1474</v>
      </c>
      <c r="F394" t="s">
        <v>28</v>
      </c>
      <c r="G394" t="s">
        <v>1474</v>
      </c>
      <c r="H394" t="str">
        <f>"fmo-1"</f>
        <v>fmo-1</v>
      </c>
      <c r="I394" t="s">
        <v>1210</v>
      </c>
      <c r="J394">
        <v>13.0837806828212</v>
      </c>
      <c r="K394">
        <v>13.198611235504501</v>
      </c>
      <c r="L394">
        <v>13.072751042176399</v>
      </c>
      <c r="M394">
        <v>12.683191889706</v>
      </c>
      <c r="N394">
        <v>13.137619566769301</v>
      </c>
      <c r="O394">
        <v>13.1895125289416</v>
      </c>
      <c r="P394">
        <v>-0.114939658361779</v>
      </c>
      <c r="Q394">
        <v>-0.67793038645151404</v>
      </c>
      <c r="R394">
        <v>0.448051069727956</v>
      </c>
      <c r="S394">
        <v>12.8152911116051</v>
      </c>
      <c r="T394">
        <v>-0.43094185085617198</v>
      </c>
      <c r="U394">
        <v>-6.7856885835370804</v>
      </c>
      <c r="V394">
        <v>0.67195848735103103</v>
      </c>
      <c r="W394">
        <v>0.98642420921484297</v>
      </c>
      <c r="X394">
        <v>0</v>
      </c>
      <c r="Y394">
        <v>0</v>
      </c>
    </row>
    <row r="395" spans="1:25" x14ac:dyDescent="0.2">
      <c r="A395" t="s">
        <v>1476</v>
      </c>
      <c r="B395" t="s">
        <v>1477</v>
      </c>
      <c r="C395" t="s">
        <v>1478</v>
      </c>
      <c r="D395" t="s">
        <v>1479</v>
      </c>
      <c r="E395" t="s">
        <v>1477</v>
      </c>
      <c r="F395" t="s">
        <v>28</v>
      </c>
      <c r="G395" t="s">
        <v>1477</v>
      </c>
      <c r="H395" t="str">
        <f>"aap-1"</f>
        <v>aap-1</v>
      </c>
      <c r="I395" t="s">
        <v>1479</v>
      </c>
      <c r="J395">
        <v>13.4741048843961</v>
      </c>
      <c r="K395">
        <v>13.510555409000901</v>
      </c>
      <c r="L395">
        <v>13.7532231442884</v>
      </c>
      <c r="M395">
        <v>14.185110142530601</v>
      </c>
      <c r="N395">
        <v>13.283470669821501</v>
      </c>
      <c r="O395">
        <v>13.6731178262489</v>
      </c>
      <c r="P395">
        <v>0.13460506697191699</v>
      </c>
      <c r="Q395">
        <v>-0.33300910701754</v>
      </c>
      <c r="R395">
        <v>0.60221924096137303</v>
      </c>
      <c r="S395">
        <v>13.579673546988699</v>
      </c>
      <c r="T395">
        <v>0.61055286226044203</v>
      </c>
      <c r="U395">
        <v>-6.6887055690933401</v>
      </c>
      <c r="V395">
        <v>0.55012674507145398</v>
      </c>
      <c r="W395">
        <v>0.95372533928426795</v>
      </c>
      <c r="X395">
        <v>0</v>
      </c>
      <c r="Y395">
        <v>0</v>
      </c>
    </row>
    <row r="396" spans="1:25" x14ac:dyDescent="0.2">
      <c r="A396" t="s">
        <v>1480</v>
      </c>
      <c r="B396" t="s">
        <v>1481</v>
      </c>
      <c r="C396" t="s">
        <v>1482</v>
      </c>
      <c r="D396" t="s">
        <v>1483</v>
      </c>
      <c r="E396" t="s">
        <v>1481</v>
      </c>
      <c r="F396" t="s">
        <v>28</v>
      </c>
      <c r="G396" t="s">
        <v>1481</v>
      </c>
      <c r="H396" t="str">
        <f>"hmg-12"</f>
        <v>hmg-12</v>
      </c>
      <c r="I396" t="s">
        <v>1483</v>
      </c>
      <c r="J396">
        <v>13.4982163410856</v>
      </c>
      <c r="K396">
        <v>13.524481087845301</v>
      </c>
      <c r="L396">
        <v>13.899836407435499</v>
      </c>
      <c r="M396">
        <v>12.8040662076084</v>
      </c>
      <c r="N396">
        <v>12.4017920422859</v>
      </c>
      <c r="O396">
        <v>12.670308128209999</v>
      </c>
      <c r="P396">
        <v>-1.01545581942067</v>
      </c>
      <c r="Q396">
        <v>-1.6216815342359301</v>
      </c>
      <c r="R396">
        <v>-0.40923010460541898</v>
      </c>
      <c r="S396">
        <v>13.1581080340681</v>
      </c>
      <c r="T396">
        <v>-3.5528445698131899</v>
      </c>
      <c r="U396">
        <v>-2.0136242202513501</v>
      </c>
      <c r="V396">
        <v>2.6739556466608798E-3</v>
      </c>
      <c r="W396">
        <v>6.8216507389800604E-2</v>
      </c>
      <c r="X396">
        <v>-1</v>
      </c>
      <c r="Y396">
        <v>0</v>
      </c>
    </row>
    <row r="397" spans="1:25" x14ac:dyDescent="0.2">
      <c r="A397" t="s">
        <v>1484</v>
      </c>
      <c r="B397" t="s">
        <v>1485</v>
      </c>
      <c r="C397" t="s">
        <v>1486</v>
      </c>
      <c r="D397" t="s">
        <v>1487</v>
      </c>
      <c r="E397" t="s">
        <v>1485</v>
      </c>
      <c r="F397" t="s">
        <v>28</v>
      </c>
      <c r="G397" t="s">
        <v>1485</v>
      </c>
      <c r="H397" t="str">
        <f>"sur-6"</f>
        <v>sur-6</v>
      </c>
      <c r="I397" t="s">
        <v>1487</v>
      </c>
      <c r="J397" t="s">
        <v>29</v>
      </c>
      <c r="K397" t="s">
        <v>29</v>
      </c>
      <c r="L397" t="s">
        <v>29</v>
      </c>
      <c r="M397" t="s">
        <v>29</v>
      </c>
      <c r="N397" t="s">
        <v>29</v>
      </c>
      <c r="O397" t="s">
        <v>29</v>
      </c>
      <c r="P397" t="s">
        <v>29</v>
      </c>
      <c r="Q397" t="s">
        <v>29</v>
      </c>
      <c r="R397" t="s">
        <v>29</v>
      </c>
      <c r="S397">
        <v>14.8825116147817</v>
      </c>
      <c r="T397" t="s">
        <v>29</v>
      </c>
      <c r="U397" t="s">
        <v>29</v>
      </c>
      <c r="V397" t="s">
        <v>29</v>
      </c>
      <c r="W397" t="s">
        <v>29</v>
      </c>
      <c r="X397" t="s">
        <v>29</v>
      </c>
      <c r="Y397" t="s">
        <v>29</v>
      </c>
    </row>
    <row r="398" spans="1:25" x14ac:dyDescent="0.2">
      <c r="A398" t="s">
        <v>1488</v>
      </c>
      <c r="B398" t="s">
        <v>1489</v>
      </c>
      <c r="C398" t="s">
        <v>1490</v>
      </c>
      <c r="D398" t="s">
        <v>1491</v>
      </c>
      <c r="E398" t="s">
        <v>1489</v>
      </c>
      <c r="F398" t="s">
        <v>28</v>
      </c>
      <c r="G398" t="s">
        <v>1489</v>
      </c>
      <c r="H398" t="str">
        <f>"lin-35"</f>
        <v>lin-35</v>
      </c>
      <c r="I398" t="s">
        <v>1491</v>
      </c>
      <c r="J398">
        <v>14.2346106059177</v>
      </c>
      <c r="K398">
        <v>14.0431964930444</v>
      </c>
      <c r="L398">
        <v>13.7620929247867</v>
      </c>
      <c r="M398">
        <v>14.1887141228554</v>
      </c>
      <c r="N398">
        <v>13.850949367241199</v>
      </c>
      <c r="O398">
        <v>13.902619438971699</v>
      </c>
      <c r="P398">
        <v>-3.2539031560160601E-2</v>
      </c>
      <c r="Q398">
        <v>-0.51470331717835305</v>
      </c>
      <c r="R398">
        <v>0.449625254058031</v>
      </c>
      <c r="S398">
        <v>13.9783432799431</v>
      </c>
      <c r="T398">
        <v>-0.14184110230361299</v>
      </c>
      <c r="U398">
        <v>-6.8719834533254298</v>
      </c>
      <c r="V398">
        <v>0.88879018256778097</v>
      </c>
      <c r="W398">
        <v>0.99702926582654094</v>
      </c>
      <c r="X398">
        <v>0</v>
      </c>
      <c r="Y398">
        <v>0</v>
      </c>
    </row>
    <row r="399" spans="1:25" x14ac:dyDescent="0.2">
      <c r="A399" t="s">
        <v>1492</v>
      </c>
      <c r="B399" t="s">
        <v>1493</v>
      </c>
      <c r="C399" t="s">
        <v>14258</v>
      </c>
      <c r="D399" t="s">
        <v>1494</v>
      </c>
      <c r="E399" t="s">
        <v>1493</v>
      </c>
      <c r="F399" t="s">
        <v>28</v>
      </c>
      <c r="G399" t="s">
        <v>1493</v>
      </c>
      <c r="H399" t="str">
        <f>"T01D3.6"</f>
        <v>T01D3.6</v>
      </c>
      <c r="I399" t="s">
        <v>1494</v>
      </c>
      <c r="J399">
        <v>11.993197467177801</v>
      </c>
      <c r="K399">
        <v>12.844255493079</v>
      </c>
      <c r="L399">
        <v>13.500465262969</v>
      </c>
      <c r="M399">
        <v>13.460217636902399</v>
      </c>
      <c r="N399">
        <v>13.143335243799999</v>
      </c>
      <c r="O399">
        <v>13.3510506051314</v>
      </c>
      <c r="P399">
        <v>0.538895087536018</v>
      </c>
      <c r="Q399">
        <v>-0.204945400477657</v>
      </c>
      <c r="R399">
        <v>1.2827355755496901</v>
      </c>
      <c r="S399">
        <v>13.4624756435596</v>
      </c>
      <c r="T399">
        <v>1.5292356858579499</v>
      </c>
      <c r="U399">
        <v>-5.73530268147681</v>
      </c>
      <c r="V399">
        <v>0.144712626899062</v>
      </c>
      <c r="W399">
        <v>0.73463339032441799</v>
      </c>
      <c r="X399">
        <v>0</v>
      </c>
      <c r="Y399">
        <v>0</v>
      </c>
    </row>
    <row r="400" spans="1:25" x14ac:dyDescent="0.2">
      <c r="A400" t="s">
        <v>1495</v>
      </c>
      <c r="B400" t="s">
        <v>1496</v>
      </c>
      <c r="C400" t="s">
        <v>1497</v>
      </c>
      <c r="D400" t="s">
        <v>1498</v>
      </c>
      <c r="E400" t="s">
        <v>1496</v>
      </c>
      <c r="F400" t="s">
        <v>28</v>
      </c>
      <c r="G400" t="s">
        <v>1496</v>
      </c>
      <c r="H400" t="str">
        <f>"ubr-5"</f>
        <v>ubr-5</v>
      </c>
      <c r="I400" t="s">
        <v>1498</v>
      </c>
      <c r="J400">
        <v>12.035750755586999</v>
      </c>
      <c r="K400">
        <v>11.766643347477601</v>
      </c>
      <c r="L400">
        <v>11.8762040043298</v>
      </c>
      <c r="M400">
        <v>12.215902818987701</v>
      </c>
      <c r="N400">
        <v>12.0537147807827</v>
      </c>
      <c r="O400">
        <v>12.1314068539298</v>
      </c>
      <c r="P400">
        <v>0.240808782101951</v>
      </c>
      <c r="Q400">
        <v>-0.64030239821646995</v>
      </c>
      <c r="R400">
        <v>1.12191996242037</v>
      </c>
      <c r="S400">
        <v>12.377505137599201</v>
      </c>
      <c r="T400">
        <v>0.57688815571614604</v>
      </c>
      <c r="U400">
        <v>-6.7097707554692798</v>
      </c>
      <c r="V400">
        <v>0.57162232824593595</v>
      </c>
      <c r="W400">
        <v>0.96052030798546795</v>
      </c>
      <c r="X400">
        <v>0</v>
      </c>
      <c r="Y400">
        <v>0</v>
      </c>
    </row>
    <row r="401" spans="1:25" x14ac:dyDescent="0.2">
      <c r="A401" t="s">
        <v>1499</v>
      </c>
      <c r="B401" t="s">
        <v>1500</v>
      </c>
      <c r="C401" t="s">
        <v>1501</v>
      </c>
      <c r="D401" t="s">
        <v>1502</v>
      </c>
      <c r="E401" t="s">
        <v>1500</v>
      </c>
      <c r="F401" t="s">
        <v>28</v>
      </c>
      <c r="G401" t="s">
        <v>1500</v>
      </c>
      <c r="H401" t="str">
        <f>"pmr-1"</f>
        <v>pmr-1</v>
      </c>
      <c r="I401" t="s">
        <v>1502</v>
      </c>
      <c r="J401">
        <v>12.8785200073946</v>
      </c>
      <c r="K401">
        <v>12.7260438067115</v>
      </c>
      <c r="L401">
        <v>12.7428876000522</v>
      </c>
      <c r="M401">
        <v>12.8269643567454</v>
      </c>
      <c r="N401">
        <v>12.570261317690001</v>
      </c>
      <c r="O401">
        <v>12.9593631977655</v>
      </c>
      <c r="P401">
        <v>3.0458193475340102E-3</v>
      </c>
      <c r="Q401">
        <v>-0.490101619519973</v>
      </c>
      <c r="R401">
        <v>0.49619325821504101</v>
      </c>
      <c r="S401">
        <v>12.6616158667481</v>
      </c>
      <c r="T401">
        <v>1.3172522980760199E-2</v>
      </c>
      <c r="U401">
        <v>-6.8823979471161696</v>
      </c>
      <c r="V401">
        <v>0.98966496774447699</v>
      </c>
      <c r="W401">
        <v>0.99968702248720698</v>
      </c>
      <c r="X401">
        <v>0</v>
      </c>
      <c r="Y401">
        <v>0</v>
      </c>
    </row>
    <row r="402" spans="1:25" x14ac:dyDescent="0.2">
      <c r="A402" t="s">
        <v>1503</v>
      </c>
      <c r="B402" t="s">
        <v>1504</v>
      </c>
      <c r="C402" t="s">
        <v>1505</v>
      </c>
      <c r="D402" t="s">
        <v>1506</v>
      </c>
      <c r="E402" t="s">
        <v>1504</v>
      </c>
      <c r="F402" t="s">
        <v>28</v>
      </c>
      <c r="G402" t="s">
        <v>1504</v>
      </c>
      <c r="H402" t="str">
        <f>"nhx-4"</f>
        <v>nhx-4</v>
      </c>
      <c r="I402" t="s">
        <v>1506</v>
      </c>
      <c r="J402">
        <v>12.7455585266719</v>
      </c>
      <c r="K402">
        <v>13.0547192830104</v>
      </c>
      <c r="L402">
        <v>12.9481063737272</v>
      </c>
      <c r="M402">
        <v>12.4342502476595</v>
      </c>
      <c r="N402">
        <v>12.9359421751208</v>
      </c>
      <c r="O402">
        <v>13.2142580406104</v>
      </c>
      <c r="P402">
        <v>-5.4644573339560402E-2</v>
      </c>
      <c r="Q402">
        <v>-0.51251688487233704</v>
      </c>
      <c r="R402">
        <v>0.403227738193216</v>
      </c>
      <c r="S402">
        <v>13.0234722253991</v>
      </c>
      <c r="T402">
        <v>-0.25191421287647697</v>
      </c>
      <c r="U402">
        <v>-6.84929052764421</v>
      </c>
      <c r="V402">
        <v>0.80414622263102897</v>
      </c>
      <c r="W402">
        <v>0.99278624068726296</v>
      </c>
      <c r="X402">
        <v>0</v>
      </c>
      <c r="Y402">
        <v>0</v>
      </c>
    </row>
    <row r="403" spans="1:25" x14ac:dyDescent="0.2">
      <c r="A403" t="s">
        <v>1507</v>
      </c>
      <c r="B403" t="s">
        <v>1508</v>
      </c>
      <c r="C403" t="s">
        <v>1509</v>
      </c>
      <c r="D403" t="s">
        <v>1510</v>
      </c>
      <c r="E403" t="s">
        <v>1508</v>
      </c>
      <c r="F403" t="s">
        <v>28</v>
      </c>
      <c r="G403" t="s">
        <v>1508</v>
      </c>
      <c r="H403" t="str">
        <f>"cey-4"</f>
        <v>cey-4</v>
      </c>
      <c r="I403" t="s">
        <v>1510</v>
      </c>
      <c r="J403">
        <v>18.349673019891998</v>
      </c>
      <c r="K403">
        <v>18.1781661866024</v>
      </c>
      <c r="L403">
        <v>17.9694937375954</v>
      </c>
      <c r="M403">
        <v>18.1793572916377</v>
      </c>
      <c r="N403">
        <v>17.761902200677699</v>
      </c>
      <c r="O403">
        <v>17.940779196516299</v>
      </c>
      <c r="P403">
        <v>-0.20509808508604599</v>
      </c>
      <c r="Q403">
        <v>-0.68214417769911595</v>
      </c>
      <c r="R403">
        <v>0.27194800752702403</v>
      </c>
      <c r="S403">
        <v>17.504428554419999</v>
      </c>
      <c r="T403">
        <v>-0.90363652279492102</v>
      </c>
      <c r="U403">
        <v>-6.4653841877854701</v>
      </c>
      <c r="V403">
        <v>0.378192238679395</v>
      </c>
      <c r="W403">
        <v>0.89651771527130897</v>
      </c>
      <c r="X403">
        <v>0</v>
      </c>
      <c r="Y403">
        <v>0</v>
      </c>
    </row>
    <row r="404" spans="1:25" x14ac:dyDescent="0.2">
      <c r="A404" t="s">
        <v>1511</v>
      </c>
      <c r="B404" t="s">
        <v>1512</v>
      </c>
      <c r="C404" t="s">
        <v>1513</v>
      </c>
      <c r="D404" t="s">
        <v>1514</v>
      </c>
      <c r="E404" t="s">
        <v>1512</v>
      </c>
      <c r="F404" t="s">
        <v>28</v>
      </c>
      <c r="G404" t="s">
        <v>1512</v>
      </c>
      <c r="H404" t="str">
        <f>"adbp-1"</f>
        <v>adbp-1</v>
      </c>
      <c r="I404" t="s">
        <v>1514</v>
      </c>
      <c r="J404" t="s">
        <v>29</v>
      </c>
      <c r="K404" t="s">
        <v>29</v>
      </c>
      <c r="L404" t="s">
        <v>29</v>
      </c>
      <c r="M404" t="s">
        <v>29</v>
      </c>
      <c r="N404">
        <v>11.4172137518957</v>
      </c>
      <c r="O404" t="s">
        <v>29</v>
      </c>
      <c r="P404" t="s">
        <v>29</v>
      </c>
      <c r="Q404" t="s">
        <v>29</v>
      </c>
      <c r="R404" t="s">
        <v>29</v>
      </c>
      <c r="S404">
        <v>10.884805813458</v>
      </c>
      <c r="T404" t="s">
        <v>29</v>
      </c>
      <c r="U404" t="s">
        <v>29</v>
      </c>
      <c r="V404" t="s">
        <v>29</v>
      </c>
      <c r="W404" t="s">
        <v>29</v>
      </c>
      <c r="X404" t="s">
        <v>29</v>
      </c>
      <c r="Y404" t="s">
        <v>29</v>
      </c>
    </row>
    <row r="405" spans="1:25" x14ac:dyDescent="0.2">
      <c r="A405" t="s">
        <v>1515</v>
      </c>
      <c r="B405" t="s">
        <v>1516</v>
      </c>
      <c r="C405" t="s">
        <v>14259</v>
      </c>
      <c r="D405" t="s">
        <v>1454</v>
      </c>
      <c r="E405" t="s">
        <v>1516</v>
      </c>
      <c r="F405" t="s">
        <v>28</v>
      </c>
      <c r="G405" t="s">
        <v>1516</v>
      </c>
      <c r="H405" t="str">
        <f>"VF13D12L.3"</f>
        <v>VF13D12L.3</v>
      </c>
      <c r="I405" t="s">
        <v>1454</v>
      </c>
      <c r="J405">
        <v>13.707022649868399</v>
      </c>
      <c r="K405" t="s">
        <v>29</v>
      </c>
      <c r="L405">
        <v>11.018879925232801</v>
      </c>
      <c r="M405">
        <v>12.96755007916</v>
      </c>
      <c r="N405">
        <v>13.717545150856401</v>
      </c>
      <c r="O405">
        <v>13.0663985517167</v>
      </c>
      <c r="P405">
        <v>0.88754663969376502</v>
      </c>
      <c r="Q405">
        <v>-0.44314408554203</v>
      </c>
      <c r="R405">
        <v>2.2182373649295601</v>
      </c>
      <c r="S405">
        <v>13.1679832164202</v>
      </c>
      <c r="T405">
        <v>1.42251108715834</v>
      </c>
      <c r="U405">
        <v>-5.77368302334816</v>
      </c>
      <c r="V405">
        <v>0.17548213117567099</v>
      </c>
      <c r="W405">
        <v>0.77568784401157198</v>
      </c>
      <c r="X405">
        <v>0</v>
      </c>
      <c r="Y405">
        <v>0</v>
      </c>
    </row>
    <row r="406" spans="1:25" x14ac:dyDescent="0.2">
      <c r="A406" t="s">
        <v>1517</v>
      </c>
      <c r="B406" t="s">
        <v>1518</v>
      </c>
      <c r="C406" t="s">
        <v>1519</v>
      </c>
      <c r="D406" t="s">
        <v>1520</v>
      </c>
      <c r="E406" t="s">
        <v>1518</v>
      </c>
      <c r="F406" t="s">
        <v>28</v>
      </c>
      <c r="G406" t="s">
        <v>1518</v>
      </c>
      <c r="H406" t="str">
        <f>"ints-7"</f>
        <v>ints-7</v>
      </c>
      <c r="I406" t="s">
        <v>1520</v>
      </c>
      <c r="J406">
        <v>13.4402976980135</v>
      </c>
      <c r="K406">
        <v>13.470086855413999</v>
      </c>
      <c r="L406">
        <v>13.367818433837201</v>
      </c>
      <c r="M406">
        <v>12.175732275511001</v>
      </c>
      <c r="N406">
        <v>11.9948937229998</v>
      </c>
      <c r="O406">
        <v>13.3426439318765</v>
      </c>
      <c r="P406">
        <v>-0.92164435229247499</v>
      </c>
      <c r="Q406">
        <v>-1.5671730553965999</v>
      </c>
      <c r="R406">
        <v>-0.27611564918834502</v>
      </c>
      <c r="S406">
        <v>13.208834925681201</v>
      </c>
      <c r="T406">
        <v>-3.0008225974376002</v>
      </c>
      <c r="U406">
        <v>-3.0805454646263799</v>
      </c>
      <c r="V406">
        <v>7.7080965487831901E-3</v>
      </c>
      <c r="W406">
        <v>0.15269372210922899</v>
      </c>
      <c r="X406">
        <v>0</v>
      </c>
      <c r="Y406">
        <v>0</v>
      </c>
    </row>
    <row r="407" spans="1:25" x14ac:dyDescent="0.2">
      <c r="A407" t="s">
        <v>1521</v>
      </c>
      <c r="B407" t="s">
        <v>1522</v>
      </c>
      <c r="C407" t="s">
        <v>1523</v>
      </c>
      <c r="D407" t="s">
        <v>73</v>
      </c>
      <c r="E407" t="s">
        <v>1522</v>
      </c>
      <c r="F407" t="s">
        <v>28</v>
      </c>
      <c r="G407" t="s">
        <v>1522</v>
      </c>
      <c r="H407" t="str">
        <f>"fbxa-101"</f>
        <v>fbxa-101</v>
      </c>
      <c r="I407" t="s">
        <v>73</v>
      </c>
      <c r="J407">
        <v>13.088669418382599</v>
      </c>
      <c r="K407">
        <v>13.1071617400493</v>
      </c>
      <c r="L407">
        <v>12.966896428369299</v>
      </c>
      <c r="M407">
        <v>12.7833407317506</v>
      </c>
      <c r="N407">
        <v>12.7496017329693</v>
      </c>
      <c r="O407">
        <v>13.0058573981346</v>
      </c>
      <c r="P407">
        <v>-0.20797590798221299</v>
      </c>
      <c r="Q407">
        <v>-0.958391720873769</v>
      </c>
      <c r="R407">
        <v>0.54243990490934202</v>
      </c>
      <c r="S407">
        <v>12.736448220927899</v>
      </c>
      <c r="T407">
        <v>-0.59108870130461999</v>
      </c>
      <c r="U407">
        <v>-6.7001427800447297</v>
      </c>
      <c r="V407">
        <v>0.56332399981182402</v>
      </c>
      <c r="W407">
        <v>0.95650569706421396</v>
      </c>
      <c r="X407">
        <v>0</v>
      </c>
      <c r="Y407">
        <v>0</v>
      </c>
    </row>
    <row r="408" spans="1:25" x14ac:dyDescent="0.2">
      <c r="A408" t="s">
        <v>1524</v>
      </c>
      <c r="B408" t="s">
        <v>1525</v>
      </c>
      <c r="C408" t="s">
        <v>1526</v>
      </c>
      <c r="D408" t="s">
        <v>1527</v>
      </c>
      <c r="E408" t="s">
        <v>1525</v>
      </c>
      <c r="F408" t="s">
        <v>28</v>
      </c>
      <c r="G408" t="s">
        <v>1525</v>
      </c>
      <c r="H408" t="str">
        <f>"piki-1"</f>
        <v>piki-1</v>
      </c>
      <c r="I408" t="s">
        <v>1527</v>
      </c>
      <c r="J408" t="s">
        <v>29</v>
      </c>
      <c r="K408" t="s">
        <v>29</v>
      </c>
      <c r="L408">
        <v>10.3200184053863</v>
      </c>
      <c r="M408" t="s">
        <v>29</v>
      </c>
      <c r="N408" t="s">
        <v>29</v>
      </c>
      <c r="O408" t="s">
        <v>29</v>
      </c>
      <c r="P408" t="s">
        <v>29</v>
      </c>
      <c r="Q408" t="s">
        <v>29</v>
      </c>
      <c r="R408" t="s">
        <v>29</v>
      </c>
      <c r="S408">
        <v>11.099427594828001</v>
      </c>
      <c r="T408" t="s">
        <v>29</v>
      </c>
      <c r="U408" t="s">
        <v>29</v>
      </c>
      <c r="V408" t="s">
        <v>29</v>
      </c>
      <c r="W408" t="s">
        <v>29</v>
      </c>
      <c r="X408" t="s">
        <v>29</v>
      </c>
      <c r="Y408" t="s">
        <v>29</v>
      </c>
    </row>
    <row r="409" spans="1:25" x14ac:dyDescent="0.2">
      <c r="A409" t="s">
        <v>1528</v>
      </c>
      <c r="B409" t="s">
        <v>1529</v>
      </c>
      <c r="C409" t="s">
        <v>1530</v>
      </c>
      <c r="D409" t="s">
        <v>1531</v>
      </c>
      <c r="E409" t="s">
        <v>1529</v>
      </c>
      <c r="F409" t="s">
        <v>28</v>
      </c>
      <c r="G409" t="s">
        <v>1529</v>
      </c>
      <c r="H409" t="str">
        <f>"wars-1"</f>
        <v>wars-1</v>
      </c>
      <c r="I409" t="s">
        <v>1531</v>
      </c>
      <c r="J409">
        <v>14.2552026979531</v>
      </c>
      <c r="K409">
        <v>14.135891331913999</v>
      </c>
      <c r="L409">
        <v>14.3832734856983</v>
      </c>
      <c r="M409">
        <v>14.3934646621169</v>
      </c>
      <c r="N409">
        <v>14.6334166828706</v>
      </c>
      <c r="O409">
        <v>14.425044104472301</v>
      </c>
      <c r="P409">
        <v>0.22585264463148</v>
      </c>
      <c r="Q409">
        <v>-0.22705504535528301</v>
      </c>
      <c r="R409">
        <v>0.67876033461824403</v>
      </c>
      <c r="S409">
        <v>14.4855464457926</v>
      </c>
      <c r="T409">
        <v>1.0481127371719501</v>
      </c>
      <c r="U409">
        <v>-6.3256072593466497</v>
      </c>
      <c r="V409">
        <v>0.308537147176978</v>
      </c>
      <c r="W409">
        <v>0.86207931095287205</v>
      </c>
      <c r="X409">
        <v>0</v>
      </c>
      <c r="Y409">
        <v>0</v>
      </c>
    </row>
    <row r="410" spans="1:25" x14ac:dyDescent="0.2">
      <c r="A410" t="s">
        <v>1532</v>
      </c>
      <c r="B410" t="s">
        <v>1533</v>
      </c>
      <c r="C410" t="s">
        <v>1534</v>
      </c>
      <c r="D410" t="s">
        <v>1535</v>
      </c>
      <c r="E410" t="s">
        <v>1533</v>
      </c>
      <c r="F410" t="s">
        <v>28</v>
      </c>
      <c r="G410" t="s">
        <v>1533</v>
      </c>
      <c r="H410" t="str">
        <f>"umps-1"</f>
        <v>umps-1</v>
      </c>
      <c r="I410" t="s">
        <v>1535</v>
      </c>
      <c r="J410">
        <v>13.9392052428133</v>
      </c>
      <c r="K410">
        <v>13.373800604247</v>
      </c>
      <c r="L410">
        <v>13.835720836753699</v>
      </c>
      <c r="M410">
        <v>13.763687221185901</v>
      </c>
      <c r="N410">
        <v>13.6020932823323</v>
      </c>
      <c r="O410">
        <v>13.679487889573799</v>
      </c>
      <c r="P410">
        <v>-3.4486096907404097E-2</v>
      </c>
      <c r="Q410">
        <v>-0.53989229311201803</v>
      </c>
      <c r="R410">
        <v>0.47092009929721002</v>
      </c>
      <c r="S410">
        <v>13.7544083924384</v>
      </c>
      <c r="T410">
        <v>-0.14472815044169901</v>
      </c>
      <c r="U410">
        <v>-6.87147965174979</v>
      </c>
      <c r="V410">
        <v>0.88674473263118803</v>
      </c>
      <c r="W410">
        <v>0.99702926582654094</v>
      </c>
      <c r="X410">
        <v>0</v>
      </c>
      <c r="Y410">
        <v>0</v>
      </c>
    </row>
    <row r="411" spans="1:25" x14ac:dyDescent="0.2">
      <c r="A411" t="s">
        <v>1536</v>
      </c>
      <c r="B411" t="s">
        <v>1537</v>
      </c>
      <c r="C411" t="s">
        <v>1538</v>
      </c>
      <c r="D411" t="s">
        <v>965</v>
      </c>
      <c r="E411" t="s">
        <v>1537</v>
      </c>
      <c r="F411" t="s">
        <v>28</v>
      </c>
      <c r="G411" t="s">
        <v>1537</v>
      </c>
      <c r="H411" t="str">
        <f>"cdr-4"</f>
        <v>cdr-4</v>
      </c>
      <c r="I411" t="s">
        <v>965</v>
      </c>
      <c r="J411">
        <v>14.4598372230367</v>
      </c>
      <c r="K411">
        <v>14.179986990376699</v>
      </c>
      <c r="L411">
        <v>14.4005301217737</v>
      </c>
      <c r="M411">
        <v>14.380057131172499</v>
      </c>
      <c r="N411">
        <v>14.434680204690601</v>
      </c>
      <c r="O411">
        <v>14.5290389662851</v>
      </c>
      <c r="P411">
        <v>0.101140655653676</v>
      </c>
      <c r="Q411">
        <v>-0.28467227987872801</v>
      </c>
      <c r="R411">
        <v>0.486953591186081</v>
      </c>
      <c r="S411">
        <v>14.7341301233512</v>
      </c>
      <c r="T411">
        <v>0.55334882646483796</v>
      </c>
      <c r="U411">
        <v>-6.7234539011387904</v>
      </c>
      <c r="V411">
        <v>0.58727318137033802</v>
      </c>
      <c r="W411">
        <v>0.963273565916412</v>
      </c>
      <c r="X411">
        <v>0</v>
      </c>
      <c r="Y411">
        <v>0</v>
      </c>
    </row>
    <row r="412" spans="1:25" x14ac:dyDescent="0.2">
      <c r="A412" t="s">
        <v>1539</v>
      </c>
      <c r="B412" t="s">
        <v>1540</v>
      </c>
      <c r="C412" t="s">
        <v>1541</v>
      </c>
      <c r="D412" t="s">
        <v>1542</v>
      </c>
      <c r="E412" t="s">
        <v>1540</v>
      </c>
      <c r="F412" t="s">
        <v>28</v>
      </c>
      <c r="G412" t="s">
        <v>1540</v>
      </c>
      <c r="H412" t="str">
        <f>"daf-18"</f>
        <v>daf-18</v>
      </c>
      <c r="I412" t="s">
        <v>1542</v>
      </c>
      <c r="J412">
        <v>11.209621920793101</v>
      </c>
      <c r="K412" t="s">
        <v>29</v>
      </c>
      <c r="L412">
        <v>11.215239594054299</v>
      </c>
      <c r="M412">
        <v>12.567656607301</v>
      </c>
      <c r="N412">
        <v>12.665002332623899</v>
      </c>
      <c r="O412">
        <v>12.477354583014399</v>
      </c>
      <c r="P412">
        <v>1.3575737502227101</v>
      </c>
      <c r="Q412">
        <v>0.89262840896136997</v>
      </c>
      <c r="R412">
        <v>1.8225190914840601</v>
      </c>
      <c r="S412">
        <v>12.2786352724418</v>
      </c>
      <c r="T412">
        <v>6.3131887790925703</v>
      </c>
      <c r="U412">
        <v>2.74444283598601</v>
      </c>
      <c r="V412" s="2">
        <v>2.7892653484415299E-5</v>
      </c>
      <c r="W412">
        <v>1.78512982300258E-3</v>
      </c>
      <c r="X412">
        <v>1</v>
      </c>
      <c r="Y412">
        <v>1</v>
      </c>
    </row>
    <row r="413" spans="1:25" x14ac:dyDescent="0.2">
      <c r="A413" t="s">
        <v>1543</v>
      </c>
      <c r="B413" t="s">
        <v>1544</v>
      </c>
      <c r="C413" t="s">
        <v>1545</v>
      </c>
      <c r="D413" t="s">
        <v>1546</v>
      </c>
      <c r="E413" t="s">
        <v>1544</v>
      </c>
      <c r="F413" t="s">
        <v>28</v>
      </c>
      <c r="G413" t="s">
        <v>1544</v>
      </c>
      <c r="H413" t="str">
        <f>"hip-1"</f>
        <v>hip-1</v>
      </c>
      <c r="I413" t="s">
        <v>1546</v>
      </c>
      <c r="J413">
        <v>13.258814409724</v>
      </c>
      <c r="K413">
        <v>12.7055243277456</v>
      </c>
      <c r="L413">
        <v>12.940731087664799</v>
      </c>
      <c r="M413">
        <v>16.894799583699498</v>
      </c>
      <c r="N413">
        <v>16.7044121879436</v>
      </c>
      <c r="O413">
        <v>16.017660814407702</v>
      </c>
      <c r="P413">
        <v>3.5706009203054401</v>
      </c>
      <c r="Q413">
        <v>2.7556639129348701</v>
      </c>
      <c r="R413">
        <v>4.3855379276760003</v>
      </c>
      <c r="S413">
        <v>14.984900625148599</v>
      </c>
      <c r="T413">
        <v>9.2089430157400294</v>
      </c>
      <c r="U413">
        <v>9.1744030042180995</v>
      </c>
      <c r="V413" s="2">
        <v>3.2875574725713298E-8</v>
      </c>
      <c r="W413" s="2">
        <v>7.29399417914493E-6</v>
      </c>
      <c r="X413">
        <v>1</v>
      </c>
      <c r="Y413">
        <v>1</v>
      </c>
    </row>
    <row r="414" spans="1:25" x14ac:dyDescent="0.2">
      <c r="A414" t="s">
        <v>1547</v>
      </c>
      <c r="B414" t="s">
        <v>1548</v>
      </c>
      <c r="C414" t="s">
        <v>1549</v>
      </c>
      <c r="D414" t="s">
        <v>1170</v>
      </c>
      <c r="E414" t="s">
        <v>1548</v>
      </c>
      <c r="F414" t="s">
        <v>28</v>
      </c>
      <c r="G414" t="s">
        <v>1548</v>
      </c>
      <c r="H414" t="str">
        <f>"ptr-23"</f>
        <v>ptr-23</v>
      </c>
      <c r="I414" t="s">
        <v>1170</v>
      </c>
      <c r="J414">
        <v>13.0945455092884</v>
      </c>
      <c r="K414">
        <v>12.633639179119699</v>
      </c>
      <c r="L414">
        <v>12.848679273831999</v>
      </c>
      <c r="M414">
        <v>12.9811395511034</v>
      </c>
      <c r="N414">
        <v>11.787567820016699</v>
      </c>
      <c r="O414">
        <v>13.341065217816601</v>
      </c>
      <c r="P414">
        <v>-0.155697124434448</v>
      </c>
      <c r="Q414">
        <v>-0.82875375192396294</v>
      </c>
      <c r="R414">
        <v>0.51735950305506595</v>
      </c>
      <c r="S414">
        <v>13.240438580529499</v>
      </c>
      <c r="T414">
        <v>-0.49065758445239499</v>
      </c>
      <c r="U414">
        <v>-6.7568223318220602</v>
      </c>
      <c r="V414">
        <v>0.63037326876716604</v>
      </c>
      <c r="W414">
        <v>0.97279262440453396</v>
      </c>
      <c r="X414">
        <v>0</v>
      </c>
      <c r="Y414">
        <v>0</v>
      </c>
    </row>
    <row r="415" spans="1:25" x14ac:dyDescent="0.2">
      <c r="A415" t="s">
        <v>1550</v>
      </c>
      <c r="B415" t="s">
        <v>1551</v>
      </c>
      <c r="C415" t="s">
        <v>1552</v>
      </c>
      <c r="D415" t="s">
        <v>1553</v>
      </c>
      <c r="E415" t="s">
        <v>1551</v>
      </c>
      <c r="F415" t="s">
        <v>28</v>
      </c>
      <c r="G415" t="s">
        <v>1551</v>
      </c>
      <c r="H415" t="str">
        <f>"cua-1"</f>
        <v>cua-1</v>
      </c>
      <c r="I415" t="s">
        <v>1553</v>
      </c>
      <c r="J415">
        <v>12.903724451107999</v>
      </c>
      <c r="K415">
        <v>12.753879711388</v>
      </c>
      <c r="L415">
        <v>12.6904225668758</v>
      </c>
      <c r="M415">
        <v>13.1006772660024</v>
      </c>
      <c r="N415">
        <v>12.982226307789199</v>
      </c>
      <c r="O415">
        <v>13.471628835312901</v>
      </c>
      <c r="P415">
        <v>0.402168559910898</v>
      </c>
      <c r="Q415">
        <v>1.24296965747271E-2</v>
      </c>
      <c r="R415">
        <v>0.79190742324706798</v>
      </c>
      <c r="S415">
        <v>12.809013953132199</v>
      </c>
      <c r="T415">
        <v>2.2007768428161398</v>
      </c>
      <c r="U415">
        <v>-4.6715360322529698</v>
      </c>
      <c r="V415">
        <v>4.39490378894591E-2</v>
      </c>
      <c r="W415">
        <v>0.45850281534833798</v>
      </c>
      <c r="X415">
        <v>0</v>
      </c>
      <c r="Y415">
        <v>0</v>
      </c>
    </row>
    <row r="416" spans="1:25" x14ac:dyDescent="0.2">
      <c r="A416" t="s">
        <v>1554</v>
      </c>
      <c r="B416" t="s">
        <v>1555</v>
      </c>
      <c r="C416" t="s">
        <v>14179</v>
      </c>
      <c r="D416" t="s">
        <v>1556</v>
      </c>
      <c r="E416" t="s">
        <v>1555</v>
      </c>
      <c r="F416" t="s">
        <v>28</v>
      </c>
      <c r="G416" t="s">
        <v>1555</v>
      </c>
      <c r="H416" t="str">
        <f>"T04F3.1"</f>
        <v>T04F3.1</v>
      </c>
      <c r="I416" t="s">
        <v>1556</v>
      </c>
      <c r="J416">
        <v>13.0608550297052</v>
      </c>
      <c r="K416">
        <v>12.9476766261173</v>
      </c>
      <c r="L416">
        <v>13.1129313821629</v>
      </c>
      <c r="M416">
        <v>14.827210294448401</v>
      </c>
      <c r="N416">
        <v>14.893543565935</v>
      </c>
      <c r="O416">
        <v>14.789396760372901</v>
      </c>
      <c r="P416">
        <v>1.7962291942569699</v>
      </c>
      <c r="Q416">
        <v>1.24317500254321</v>
      </c>
      <c r="R416">
        <v>2.34928338597074</v>
      </c>
      <c r="S416">
        <v>14.3844421234332</v>
      </c>
      <c r="T416">
        <v>6.8555779868965203</v>
      </c>
      <c r="U416">
        <v>4.7665710258991396</v>
      </c>
      <c r="V416" s="2">
        <v>2.88564397312996E-6</v>
      </c>
      <c r="W416">
        <v>2.5272166164675E-4</v>
      </c>
      <c r="X416">
        <v>1</v>
      </c>
      <c r="Y416">
        <v>1</v>
      </c>
    </row>
    <row r="417" spans="1:25" x14ac:dyDescent="0.2">
      <c r="A417" t="s">
        <v>1557</v>
      </c>
      <c r="B417" t="s">
        <v>1558</v>
      </c>
      <c r="C417" t="s">
        <v>1559</v>
      </c>
      <c r="D417" t="s">
        <v>1560</v>
      </c>
      <c r="E417" t="s">
        <v>1558</v>
      </c>
      <c r="F417" t="s">
        <v>28</v>
      </c>
      <c r="G417" t="s">
        <v>1558</v>
      </c>
      <c r="H417" t="str">
        <f>"icp-1"</f>
        <v>icp-1</v>
      </c>
      <c r="I417" t="s">
        <v>1560</v>
      </c>
      <c r="J417">
        <v>12.1700197711471</v>
      </c>
      <c r="K417">
        <v>12.251146588160401</v>
      </c>
      <c r="L417">
        <v>12.8572569321272</v>
      </c>
      <c r="M417">
        <v>13.2420664558372</v>
      </c>
      <c r="N417" t="s">
        <v>29</v>
      </c>
      <c r="O417">
        <v>11.2442621876391</v>
      </c>
      <c r="P417">
        <v>-0.182976775406715</v>
      </c>
      <c r="Q417">
        <v>-1.2008564260277299</v>
      </c>
      <c r="R417">
        <v>0.83490287521430395</v>
      </c>
      <c r="S417">
        <v>12.457935921332099</v>
      </c>
      <c r="T417">
        <v>-0.38867515653025297</v>
      </c>
      <c r="U417">
        <v>-6.6923320997396099</v>
      </c>
      <c r="V417">
        <v>0.70385807224443198</v>
      </c>
      <c r="W417">
        <v>0.98642420921484297</v>
      </c>
      <c r="X417">
        <v>0</v>
      </c>
      <c r="Y417">
        <v>0</v>
      </c>
    </row>
    <row r="418" spans="1:25" x14ac:dyDescent="0.2">
      <c r="A418" t="s">
        <v>1561</v>
      </c>
      <c r="B418" t="s">
        <v>1562</v>
      </c>
      <c r="C418" t="s">
        <v>1563</v>
      </c>
      <c r="D418" t="s">
        <v>1007</v>
      </c>
      <c r="E418" t="s">
        <v>1562</v>
      </c>
      <c r="F418" t="s">
        <v>28</v>
      </c>
      <c r="G418" t="s">
        <v>1562</v>
      </c>
      <c r="H418" t="str">
        <f>"rrf-3"</f>
        <v>rrf-3</v>
      </c>
      <c r="I418" t="s">
        <v>1007</v>
      </c>
      <c r="J418">
        <v>12.2242117347652</v>
      </c>
      <c r="K418" t="s">
        <v>29</v>
      </c>
      <c r="L418">
        <v>12.428869312163</v>
      </c>
      <c r="M418">
        <v>12.014463671372299</v>
      </c>
      <c r="N418">
        <v>12.016989989291901</v>
      </c>
      <c r="O418" t="s">
        <v>29</v>
      </c>
      <c r="P418">
        <v>-0.310813693132024</v>
      </c>
      <c r="Q418">
        <v>-1.0644028589410499</v>
      </c>
      <c r="R418">
        <v>0.44277547267700501</v>
      </c>
      <c r="S418">
        <v>12.3767414943832</v>
      </c>
      <c r="T418">
        <v>-0.89176976162328503</v>
      </c>
      <c r="U418">
        <v>-6.2731464681404203</v>
      </c>
      <c r="V418">
        <v>0.388853879788359</v>
      </c>
      <c r="W418">
        <v>0.90560231765966404</v>
      </c>
      <c r="X418">
        <v>0</v>
      </c>
      <c r="Y418">
        <v>0</v>
      </c>
    </row>
    <row r="419" spans="1:25" x14ac:dyDescent="0.2">
      <c r="A419" t="s">
        <v>1564</v>
      </c>
      <c r="B419" t="s">
        <v>1565</v>
      </c>
      <c r="C419" t="s">
        <v>1566</v>
      </c>
      <c r="D419" t="s">
        <v>1567</v>
      </c>
      <c r="E419" t="s">
        <v>1565</v>
      </c>
      <c r="F419" t="s">
        <v>28</v>
      </c>
      <c r="G419" t="s">
        <v>1565</v>
      </c>
      <c r="H419" t="str">
        <f>"src-1"</f>
        <v>src-1</v>
      </c>
      <c r="I419" t="s">
        <v>1567</v>
      </c>
      <c r="J419">
        <v>13.4542108398055</v>
      </c>
      <c r="K419">
        <v>13.5438983068283</v>
      </c>
      <c r="L419">
        <v>13.313376625630299</v>
      </c>
      <c r="M419">
        <v>13.4535895376168</v>
      </c>
      <c r="N419">
        <v>13.3827000474764</v>
      </c>
      <c r="O419">
        <v>13.2964736259077</v>
      </c>
      <c r="P419">
        <v>-5.9574187087760001E-2</v>
      </c>
      <c r="Q419">
        <v>-0.58159474049008097</v>
      </c>
      <c r="R419">
        <v>0.46244636631456099</v>
      </c>
      <c r="S419">
        <v>13.1546960820381</v>
      </c>
      <c r="T419">
        <v>-0.23986287529819</v>
      </c>
      <c r="U419">
        <v>-6.8524767819816699</v>
      </c>
      <c r="V419">
        <v>0.81316261300235304</v>
      </c>
      <c r="W419">
        <v>0.99278624068726296</v>
      </c>
      <c r="X419">
        <v>0</v>
      </c>
      <c r="Y419">
        <v>0</v>
      </c>
    </row>
    <row r="420" spans="1:25" x14ac:dyDescent="0.2">
      <c r="A420" t="s">
        <v>1568</v>
      </c>
      <c r="B420" t="s">
        <v>1569</v>
      </c>
      <c r="C420" t="s">
        <v>14260</v>
      </c>
      <c r="D420" t="s">
        <v>1570</v>
      </c>
      <c r="E420" t="s">
        <v>1569</v>
      </c>
      <c r="F420" t="s">
        <v>28</v>
      </c>
      <c r="G420" t="s">
        <v>1569</v>
      </c>
      <c r="H420" t="str">
        <f>"F12F6.1"</f>
        <v>F12F6.1</v>
      </c>
      <c r="I420" t="s">
        <v>1570</v>
      </c>
      <c r="J420">
        <v>12.258291002130299</v>
      </c>
      <c r="K420" t="s">
        <v>29</v>
      </c>
      <c r="L420">
        <v>12.001675968764401</v>
      </c>
      <c r="M420">
        <v>11.757781587662199</v>
      </c>
      <c r="N420">
        <v>11.740903541889899</v>
      </c>
      <c r="O420">
        <v>11.852997062154699</v>
      </c>
      <c r="P420">
        <v>-0.346089421545136</v>
      </c>
      <c r="Q420">
        <v>-0.92251450401763202</v>
      </c>
      <c r="R420">
        <v>0.23033566092735999</v>
      </c>
      <c r="S420">
        <v>12.127198751581799</v>
      </c>
      <c r="T420">
        <v>-1.2805220477585399</v>
      </c>
      <c r="U420">
        <v>-5.9534224773188997</v>
      </c>
      <c r="V420">
        <v>0.21994332543546599</v>
      </c>
      <c r="W420">
        <v>0.79782322686656104</v>
      </c>
      <c r="X420">
        <v>0</v>
      </c>
      <c r="Y420">
        <v>0</v>
      </c>
    </row>
    <row r="421" spans="1:25" x14ac:dyDescent="0.2">
      <c r="A421" t="s">
        <v>1571</v>
      </c>
      <c r="B421" t="s">
        <v>1572</v>
      </c>
      <c r="C421" t="s">
        <v>1573</v>
      </c>
      <c r="D421" t="s">
        <v>1574</v>
      </c>
      <c r="E421" t="s">
        <v>1572</v>
      </c>
      <c r="F421" t="s">
        <v>28</v>
      </c>
      <c r="G421" t="s">
        <v>1572</v>
      </c>
      <c r="H421" t="str">
        <f>"cogc-1"</f>
        <v>cogc-1</v>
      </c>
      <c r="I421" t="s">
        <v>1574</v>
      </c>
      <c r="J421">
        <v>13.973510772074601</v>
      </c>
      <c r="K421">
        <v>14.168811817982901</v>
      </c>
      <c r="L421">
        <v>13.704364925570401</v>
      </c>
      <c r="M421">
        <v>13.752218453362101</v>
      </c>
      <c r="N421">
        <v>13.801545743959601</v>
      </c>
      <c r="O421">
        <v>14.0462300770883</v>
      </c>
      <c r="P421">
        <v>-8.2231080405959403E-2</v>
      </c>
      <c r="Q421">
        <v>-0.52703003829825501</v>
      </c>
      <c r="R421">
        <v>0.36256787748633701</v>
      </c>
      <c r="S421">
        <v>13.636379336106501</v>
      </c>
      <c r="T421">
        <v>-0.39023143271717198</v>
      </c>
      <c r="U421">
        <v>-6.8030352591551697</v>
      </c>
      <c r="V421">
        <v>0.70124152989650701</v>
      </c>
      <c r="W421">
        <v>0.98642420921484297</v>
      </c>
      <c r="X421">
        <v>0</v>
      </c>
      <c r="Y421">
        <v>0</v>
      </c>
    </row>
    <row r="422" spans="1:25" x14ac:dyDescent="0.2">
      <c r="A422" t="s">
        <v>1575</v>
      </c>
      <c r="B422" t="s">
        <v>1576</v>
      </c>
      <c r="C422" t="s">
        <v>1577</v>
      </c>
      <c r="D422" t="s">
        <v>1578</v>
      </c>
      <c r="E422" t="s">
        <v>1576</v>
      </c>
      <c r="F422" t="s">
        <v>28</v>
      </c>
      <c r="G422" t="s">
        <v>1576</v>
      </c>
      <c r="H422" t="str">
        <f>"eor-2"</f>
        <v>eor-2</v>
      </c>
      <c r="I422" t="s">
        <v>1578</v>
      </c>
      <c r="J422" t="s">
        <v>29</v>
      </c>
      <c r="K422" t="s">
        <v>29</v>
      </c>
      <c r="L422" t="s">
        <v>29</v>
      </c>
      <c r="M422" t="s">
        <v>29</v>
      </c>
      <c r="N422" t="s">
        <v>29</v>
      </c>
      <c r="O422" t="s">
        <v>29</v>
      </c>
      <c r="P422" t="s">
        <v>29</v>
      </c>
      <c r="Q422" t="s">
        <v>29</v>
      </c>
      <c r="R422" t="s">
        <v>29</v>
      </c>
      <c r="S422">
        <v>10.373014095438499</v>
      </c>
      <c r="T422" t="s">
        <v>29</v>
      </c>
      <c r="U422" t="s">
        <v>29</v>
      </c>
      <c r="V422" t="s">
        <v>29</v>
      </c>
      <c r="W422" t="s">
        <v>29</v>
      </c>
      <c r="X422" t="s">
        <v>29</v>
      </c>
      <c r="Y422" t="s">
        <v>29</v>
      </c>
    </row>
    <row r="423" spans="1:25" x14ac:dyDescent="0.2">
      <c r="A423" t="s">
        <v>1579</v>
      </c>
      <c r="B423" t="s">
        <v>1580</v>
      </c>
      <c r="C423" t="s">
        <v>1581</v>
      </c>
      <c r="D423" t="s">
        <v>1582</v>
      </c>
      <c r="E423" t="s">
        <v>1580</v>
      </c>
      <c r="F423" t="s">
        <v>28</v>
      </c>
      <c r="G423" t="s">
        <v>1580</v>
      </c>
      <c r="H423" t="str">
        <f>"mrp-5"</f>
        <v>mrp-5</v>
      </c>
      <c r="I423" t="s">
        <v>1582</v>
      </c>
      <c r="J423">
        <v>15.1070554255855</v>
      </c>
      <c r="K423">
        <v>15.0330234746872</v>
      </c>
      <c r="L423">
        <v>15.0382102606749</v>
      </c>
      <c r="M423">
        <v>15.1008217253372</v>
      </c>
      <c r="N423">
        <v>14.8604575000351</v>
      </c>
      <c r="O423">
        <v>14.858143340333999</v>
      </c>
      <c r="P423">
        <v>-0.11962219841379</v>
      </c>
      <c r="Q423">
        <v>-0.504372892452982</v>
      </c>
      <c r="R423">
        <v>0.26512849562540303</v>
      </c>
      <c r="S423">
        <v>14.997866624961</v>
      </c>
      <c r="T423">
        <v>-0.65346883597000005</v>
      </c>
      <c r="U423">
        <v>-6.6620191122661501</v>
      </c>
      <c r="V423">
        <v>0.52176280190429603</v>
      </c>
      <c r="W423">
        <v>0.94229050540486703</v>
      </c>
      <c r="X423">
        <v>0</v>
      </c>
      <c r="Y423">
        <v>0</v>
      </c>
    </row>
    <row r="424" spans="1:25" x14ac:dyDescent="0.2">
      <c r="A424" t="s">
        <v>1583</v>
      </c>
      <c r="B424" t="s">
        <v>1584</v>
      </c>
      <c r="C424" t="s">
        <v>1585</v>
      </c>
      <c r="D424" t="s">
        <v>1586</v>
      </c>
      <c r="E424" t="s">
        <v>1584</v>
      </c>
      <c r="F424" t="s">
        <v>28</v>
      </c>
      <c r="G424" t="s">
        <v>1584</v>
      </c>
      <c r="H424" t="str">
        <f>"nud-1"</f>
        <v>nud-1</v>
      </c>
      <c r="I424" t="s">
        <v>1586</v>
      </c>
      <c r="J424">
        <v>13.0852069342123</v>
      </c>
      <c r="K424">
        <v>13.2539630210937</v>
      </c>
      <c r="L424">
        <v>13.115148196417</v>
      </c>
      <c r="M424">
        <v>15.161014828472799</v>
      </c>
      <c r="N424">
        <v>15.467901845115501</v>
      </c>
      <c r="O424">
        <v>15.625286488694</v>
      </c>
      <c r="P424">
        <v>2.2666283368530999</v>
      </c>
      <c r="Q424">
        <v>1.66109988966864</v>
      </c>
      <c r="R424">
        <v>2.8721567840375601</v>
      </c>
      <c r="S424">
        <v>13.543809123354199</v>
      </c>
      <c r="T424">
        <v>7.8675276218579597</v>
      </c>
      <c r="U424">
        <v>6.9097210750806202</v>
      </c>
      <c r="V424" s="2">
        <v>3.2323085429965102E-7</v>
      </c>
      <c r="W424" s="2">
        <v>3.7093527003766898E-5</v>
      </c>
      <c r="X424">
        <v>1</v>
      </c>
      <c r="Y424">
        <v>1</v>
      </c>
    </row>
    <row r="425" spans="1:25" x14ac:dyDescent="0.2">
      <c r="A425" t="s">
        <v>1587</v>
      </c>
      <c r="B425" t="s">
        <v>1588</v>
      </c>
      <c r="C425" t="s">
        <v>14261</v>
      </c>
      <c r="D425" t="s">
        <v>1589</v>
      </c>
      <c r="E425" t="s">
        <v>1588</v>
      </c>
      <c r="F425" t="s">
        <v>28</v>
      </c>
      <c r="G425" t="s">
        <v>1588</v>
      </c>
      <c r="H425" t="str">
        <f>"F21D5.7"</f>
        <v>F21D5.7</v>
      </c>
      <c r="I425" t="s">
        <v>1589</v>
      </c>
      <c r="J425">
        <v>15.517749089219899</v>
      </c>
      <c r="K425">
        <v>15.3013401786177</v>
      </c>
      <c r="L425">
        <v>15.375373518185601</v>
      </c>
      <c r="M425">
        <v>15.6516303287063</v>
      </c>
      <c r="N425">
        <v>15.6022422732613</v>
      </c>
      <c r="O425">
        <v>15.6069486534999</v>
      </c>
      <c r="P425">
        <v>0.22211948981480001</v>
      </c>
      <c r="Q425">
        <v>-0.126347089743713</v>
      </c>
      <c r="R425">
        <v>0.57058606937331302</v>
      </c>
      <c r="S425">
        <v>15.389390086248699</v>
      </c>
      <c r="T425">
        <v>1.3397323614294601</v>
      </c>
      <c r="U425">
        <v>-5.9892272322239304</v>
      </c>
      <c r="V425">
        <v>0.19709875162975601</v>
      </c>
      <c r="W425">
        <v>0.79075284576134597</v>
      </c>
      <c r="X425">
        <v>0</v>
      </c>
      <c r="Y425">
        <v>0</v>
      </c>
    </row>
    <row r="426" spans="1:25" x14ac:dyDescent="0.2">
      <c r="A426" t="s">
        <v>1590</v>
      </c>
      <c r="B426" t="s">
        <v>1591</v>
      </c>
      <c r="C426" t="s">
        <v>1592</v>
      </c>
      <c r="D426" t="s">
        <v>1593</v>
      </c>
      <c r="E426" t="s">
        <v>1591</v>
      </c>
      <c r="F426" t="s">
        <v>28</v>
      </c>
      <c r="G426" t="s">
        <v>1591</v>
      </c>
      <c r="H426" t="str">
        <f>"slc-25a10"</f>
        <v>slc-25a10</v>
      </c>
      <c r="I426" t="s">
        <v>1593</v>
      </c>
      <c r="J426">
        <v>18.123491746814899</v>
      </c>
      <c r="K426">
        <v>18.010309773350599</v>
      </c>
      <c r="L426">
        <v>17.912721724314</v>
      </c>
      <c r="M426">
        <v>17.9356911364527</v>
      </c>
      <c r="N426">
        <v>17.684330692749999</v>
      </c>
      <c r="O426">
        <v>17.897941550983099</v>
      </c>
      <c r="P426">
        <v>-0.17618662143122399</v>
      </c>
      <c r="Q426">
        <v>-0.57841865660437997</v>
      </c>
      <c r="R426">
        <v>0.22604541374193099</v>
      </c>
      <c r="S426">
        <v>17.748965515142501</v>
      </c>
      <c r="T426">
        <v>-0.92063776173512601</v>
      </c>
      <c r="U426">
        <v>-6.4499063800357099</v>
      </c>
      <c r="V426">
        <v>0.36948467209144098</v>
      </c>
      <c r="W426">
        <v>0.89092663541315897</v>
      </c>
      <c r="X426">
        <v>0</v>
      </c>
      <c r="Y426">
        <v>0</v>
      </c>
    </row>
    <row r="427" spans="1:25" x14ac:dyDescent="0.2">
      <c r="A427" t="s">
        <v>1594</v>
      </c>
      <c r="B427" t="s">
        <v>1595</v>
      </c>
      <c r="C427" t="s">
        <v>14262</v>
      </c>
      <c r="D427" t="s">
        <v>1596</v>
      </c>
      <c r="E427" t="s">
        <v>1595</v>
      </c>
      <c r="F427" t="s">
        <v>28</v>
      </c>
      <c r="G427" t="s">
        <v>1595</v>
      </c>
      <c r="H427" t="str">
        <f>"T19A6.1"</f>
        <v>T19A6.1</v>
      </c>
      <c r="I427" t="s">
        <v>1596</v>
      </c>
      <c r="J427">
        <v>13.114764291204001</v>
      </c>
      <c r="K427">
        <v>13.375378328747299</v>
      </c>
      <c r="L427">
        <v>13.244143333251399</v>
      </c>
      <c r="M427">
        <v>12.771763609672901</v>
      </c>
      <c r="N427">
        <v>12.898005891505999</v>
      </c>
      <c r="O427">
        <v>13.029612639154699</v>
      </c>
      <c r="P427">
        <v>-0.344967937623048</v>
      </c>
      <c r="Q427">
        <v>-1.11459278320217</v>
      </c>
      <c r="R427">
        <v>0.42465690795607802</v>
      </c>
      <c r="S427">
        <v>13.186408043006001</v>
      </c>
      <c r="T427">
        <v>-0.95596338561891203</v>
      </c>
      <c r="U427">
        <v>-6.4142782647332099</v>
      </c>
      <c r="V427">
        <v>0.354349917050853</v>
      </c>
      <c r="W427">
        <v>0.87950242192597095</v>
      </c>
      <c r="X427">
        <v>0</v>
      </c>
      <c r="Y427">
        <v>0</v>
      </c>
    </row>
    <row r="428" spans="1:25" x14ac:dyDescent="0.2">
      <c r="A428" t="s">
        <v>1597</v>
      </c>
      <c r="B428" t="s">
        <v>1598</v>
      </c>
      <c r="C428" t="s">
        <v>1599</v>
      </c>
      <c r="D428" t="s">
        <v>1600</v>
      </c>
      <c r="E428" t="s">
        <v>1598</v>
      </c>
      <c r="F428" t="s">
        <v>28</v>
      </c>
      <c r="G428" t="s">
        <v>1601</v>
      </c>
      <c r="H428" t="str">
        <f>"dpy-14"</f>
        <v>dpy-14</v>
      </c>
      <c r="I428" t="s">
        <v>1413</v>
      </c>
      <c r="J428" t="s">
        <v>29</v>
      </c>
      <c r="K428" t="s">
        <v>29</v>
      </c>
      <c r="L428">
        <v>13.083461691703301</v>
      </c>
      <c r="M428">
        <v>14.0249342794248</v>
      </c>
      <c r="N428" t="s">
        <v>29</v>
      </c>
      <c r="O428">
        <v>12.320359104414001</v>
      </c>
      <c r="P428">
        <v>8.9185000216062293E-2</v>
      </c>
      <c r="Q428">
        <v>-1.86208363639803</v>
      </c>
      <c r="R428">
        <v>2.0404536368301498</v>
      </c>
      <c r="S428">
        <v>13.160602521534299</v>
      </c>
      <c r="T428">
        <v>0.100716922487286</v>
      </c>
      <c r="U428">
        <v>-6.47801832867487</v>
      </c>
      <c r="V428">
        <v>0.92160467735162999</v>
      </c>
      <c r="W428">
        <v>0.99843270744267199</v>
      </c>
      <c r="X428">
        <v>0</v>
      </c>
      <c r="Y428">
        <v>0</v>
      </c>
    </row>
    <row r="429" spans="1:25" x14ac:dyDescent="0.2">
      <c r="A429" t="s">
        <v>1602</v>
      </c>
      <c r="B429" t="s">
        <v>1603</v>
      </c>
      <c r="C429" t="s">
        <v>1604</v>
      </c>
      <c r="D429" t="s">
        <v>1605</v>
      </c>
      <c r="E429" t="s">
        <v>1603</v>
      </c>
      <c r="F429" t="s">
        <v>28</v>
      </c>
      <c r="G429" t="s">
        <v>1603</v>
      </c>
      <c r="H429" t="str">
        <f>"scm-1"</f>
        <v>scm-1</v>
      </c>
      <c r="I429" t="s">
        <v>1605</v>
      </c>
      <c r="J429">
        <v>11.890140060516201</v>
      </c>
      <c r="K429">
        <v>11.182026696443099</v>
      </c>
      <c r="L429">
        <v>11.689736264157</v>
      </c>
      <c r="M429">
        <v>11.155559404925</v>
      </c>
      <c r="N429">
        <v>11.934255859734799</v>
      </c>
      <c r="O429">
        <v>11.830638940757201</v>
      </c>
      <c r="P429">
        <v>5.2850394766885203E-2</v>
      </c>
      <c r="Q429">
        <v>-0.536890817937555</v>
      </c>
      <c r="R429">
        <v>0.64259160747132604</v>
      </c>
      <c r="S429">
        <v>11.678364330548</v>
      </c>
      <c r="T429">
        <v>0.19112978134329101</v>
      </c>
      <c r="U429">
        <v>-6.8632228113115703</v>
      </c>
      <c r="V429">
        <v>0.85100478308838001</v>
      </c>
      <c r="W429">
        <v>0.99370971747667503</v>
      </c>
      <c r="X429">
        <v>0</v>
      </c>
      <c r="Y429">
        <v>0</v>
      </c>
    </row>
    <row r="430" spans="1:25" x14ac:dyDescent="0.2">
      <c r="A430" t="s">
        <v>1606</v>
      </c>
      <c r="B430" t="s">
        <v>1607</v>
      </c>
      <c r="C430" t="s">
        <v>1608</v>
      </c>
      <c r="D430" t="s">
        <v>1609</v>
      </c>
      <c r="E430" t="s">
        <v>1607</v>
      </c>
      <c r="F430" t="s">
        <v>28</v>
      </c>
      <c r="G430" t="s">
        <v>1607</v>
      </c>
      <c r="H430" t="str">
        <f>"elo-1"</f>
        <v>elo-1</v>
      </c>
      <c r="I430" t="s">
        <v>1609</v>
      </c>
      <c r="J430">
        <v>17.196985394378999</v>
      </c>
      <c r="K430">
        <v>16.708204457616901</v>
      </c>
      <c r="L430">
        <v>17.224481561043198</v>
      </c>
      <c r="M430">
        <v>17.121210430506501</v>
      </c>
      <c r="N430">
        <v>17.1403936507445</v>
      </c>
      <c r="O430">
        <v>16.917454460636201</v>
      </c>
      <c r="P430">
        <v>1.6462376282699899E-2</v>
      </c>
      <c r="Q430">
        <v>-0.54015574851425296</v>
      </c>
      <c r="R430">
        <v>0.57308050107965303</v>
      </c>
      <c r="S430">
        <v>17.063422877613402</v>
      </c>
      <c r="T430">
        <v>6.2162388530269903E-2</v>
      </c>
      <c r="U430">
        <v>-6.8804707769155398</v>
      </c>
      <c r="V430">
        <v>0.95112256180856503</v>
      </c>
      <c r="W430">
        <v>0.99968702248720698</v>
      </c>
      <c r="X430">
        <v>0</v>
      </c>
      <c r="Y430">
        <v>0</v>
      </c>
    </row>
    <row r="431" spans="1:25" x14ac:dyDescent="0.2">
      <c r="A431" t="s">
        <v>1610</v>
      </c>
      <c r="B431" t="s">
        <v>1611</v>
      </c>
      <c r="C431" t="s">
        <v>14263</v>
      </c>
      <c r="D431" t="s">
        <v>1612</v>
      </c>
      <c r="E431" t="s">
        <v>1611</v>
      </c>
      <c r="F431" t="s">
        <v>28</v>
      </c>
      <c r="G431" t="s">
        <v>1611</v>
      </c>
      <c r="H431" t="str">
        <f>"T09F3.2"</f>
        <v>T09F3.2</v>
      </c>
      <c r="I431" t="s">
        <v>1612</v>
      </c>
      <c r="J431">
        <v>12.908001760118999</v>
      </c>
      <c r="K431">
        <v>11.7016845713775</v>
      </c>
      <c r="L431">
        <v>12.3052844686397</v>
      </c>
      <c r="M431">
        <v>13.163054495418001</v>
      </c>
      <c r="N431">
        <v>11.9426747628493</v>
      </c>
      <c r="O431">
        <v>12.602631133419299</v>
      </c>
      <c r="P431">
        <v>0.26446319718350603</v>
      </c>
      <c r="Q431">
        <v>-0.46773419504033198</v>
      </c>
      <c r="R431">
        <v>0.99666058940734403</v>
      </c>
      <c r="S431">
        <v>12.5078821667071</v>
      </c>
      <c r="T431">
        <v>0.76610199978954996</v>
      </c>
      <c r="U431">
        <v>-6.5794070152130502</v>
      </c>
      <c r="V431">
        <v>0.45484296970516702</v>
      </c>
      <c r="W431">
        <v>0.92582104169957002</v>
      </c>
      <c r="X431">
        <v>0</v>
      </c>
      <c r="Y431">
        <v>0</v>
      </c>
    </row>
    <row r="432" spans="1:25" x14ac:dyDescent="0.2">
      <c r="A432" t="s">
        <v>1613</v>
      </c>
      <c r="B432" t="s">
        <v>1614</v>
      </c>
      <c r="C432" t="s">
        <v>1615</v>
      </c>
      <c r="D432" t="s">
        <v>1616</v>
      </c>
      <c r="E432" t="s">
        <v>1614</v>
      </c>
      <c r="F432" t="s">
        <v>28</v>
      </c>
      <c r="G432" t="s">
        <v>1614</v>
      </c>
      <c r="H432" t="str">
        <f>"smu-1"</f>
        <v>smu-1</v>
      </c>
      <c r="I432" t="s">
        <v>1616</v>
      </c>
      <c r="J432">
        <v>11.8410542203109</v>
      </c>
      <c r="K432">
        <v>11.652585241833799</v>
      </c>
      <c r="L432" t="s">
        <v>29</v>
      </c>
      <c r="M432" t="s">
        <v>29</v>
      </c>
      <c r="N432" t="s">
        <v>29</v>
      </c>
      <c r="O432" t="s">
        <v>29</v>
      </c>
      <c r="P432" t="s">
        <v>29</v>
      </c>
      <c r="Q432" t="s">
        <v>29</v>
      </c>
      <c r="R432" t="s">
        <v>29</v>
      </c>
      <c r="S432">
        <v>12.352002481849199</v>
      </c>
      <c r="T432" t="s">
        <v>29</v>
      </c>
      <c r="U432" t="s">
        <v>29</v>
      </c>
      <c r="V432" t="s">
        <v>29</v>
      </c>
      <c r="W432" t="s">
        <v>29</v>
      </c>
      <c r="X432" t="s">
        <v>29</v>
      </c>
      <c r="Y432" t="s">
        <v>29</v>
      </c>
    </row>
    <row r="433" spans="1:25" x14ac:dyDescent="0.2">
      <c r="A433" t="s">
        <v>1617</v>
      </c>
      <c r="B433" t="s">
        <v>1618</v>
      </c>
      <c r="C433" t="s">
        <v>1619</v>
      </c>
      <c r="D433" t="s">
        <v>984</v>
      </c>
      <c r="E433" t="s">
        <v>1618</v>
      </c>
      <c r="F433" t="s">
        <v>28</v>
      </c>
      <c r="G433" t="s">
        <v>1618</v>
      </c>
      <c r="H433" t="str">
        <f>"frm-1"</f>
        <v>frm-1</v>
      </c>
      <c r="I433" t="s">
        <v>984</v>
      </c>
      <c r="J433">
        <v>14.5666578181405</v>
      </c>
      <c r="K433">
        <v>14.858098006293799</v>
      </c>
      <c r="L433">
        <v>14.5313410123963</v>
      </c>
      <c r="M433">
        <v>14.9205969491318</v>
      </c>
      <c r="N433">
        <v>14.846727248918301</v>
      </c>
      <c r="O433">
        <v>14.9588047104103</v>
      </c>
      <c r="P433">
        <v>0.25667735720992702</v>
      </c>
      <c r="Q433">
        <v>-0.212409429810968</v>
      </c>
      <c r="R433">
        <v>0.72576414423082203</v>
      </c>
      <c r="S433">
        <v>14.663447219626001</v>
      </c>
      <c r="T433">
        <v>1.1500768777880499</v>
      </c>
      <c r="U433">
        <v>-6.21599211859108</v>
      </c>
      <c r="V433">
        <v>0.26525021965172502</v>
      </c>
      <c r="W433">
        <v>0.85044099739631995</v>
      </c>
      <c r="X433">
        <v>0</v>
      </c>
      <c r="Y433">
        <v>0</v>
      </c>
    </row>
    <row r="434" spans="1:25" x14ac:dyDescent="0.2">
      <c r="A434" t="s">
        <v>1620</v>
      </c>
      <c r="B434" t="s">
        <v>1621</v>
      </c>
      <c r="C434" t="s">
        <v>1622</v>
      </c>
      <c r="D434" t="s">
        <v>150</v>
      </c>
      <c r="E434" t="s">
        <v>1621</v>
      </c>
      <c r="F434" t="s">
        <v>28</v>
      </c>
      <c r="G434" t="s">
        <v>1621</v>
      </c>
      <c r="H434" t="str">
        <f>"rde-1"</f>
        <v>rde-1</v>
      </c>
      <c r="I434" t="s">
        <v>150</v>
      </c>
      <c r="J434" t="s">
        <v>29</v>
      </c>
      <c r="K434" t="s">
        <v>29</v>
      </c>
      <c r="L434">
        <v>10.540774533859301</v>
      </c>
      <c r="M434" t="s">
        <v>29</v>
      </c>
      <c r="N434" t="s">
        <v>29</v>
      </c>
      <c r="O434" t="s">
        <v>29</v>
      </c>
      <c r="P434" t="s">
        <v>29</v>
      </c>
      <c r="Q434" t="s">
        <v>29</v>
      </c>
      <c r="R434" t="s">
        <v>29</v>
      </c>
      <c r="S434">
        <v>11.358485710413699</v>
      </c>
      <c r="T434" t="s">
        <v>29</v>
      </c>
      <c r="U434" t="s">
        <v>29</v>
      </c>
      <c r="V434" t="s">
        <v>29</v>
      </c>
      <c r="W434" t="s">
        <v>29</v>
      </c>
      <c r="X434" t="s">
        <v>29</v>
      </c>
      <c r="Y434" t="s">
        <v>29</v>
      </c>
    </row>
    <row r="435" spans="1:25" x14ac:dyDescent="0.2">
      <c r="A435" t="s">
        <v>1623</v>
      </c>
      <c r="B435" t="s">
        <v>1624</v>
      </c>
      <c r="C435" t="s">
        <v>1625</v>
      </c>
      <c r="D435" t="s">
        <v>1626</v>
      </c>
      <c r="E435" t="s">
        <v>1624</v>
      </c>
      <c r="F435" t="s">
        <v>28</v>
      </c>
      <c r="G435" t="s">
        <v>1624</v>
      </c>
      <c r="H435" t="str">
        <f>"ivd-1"</f>
        <v>ivd-1</v>
      </c>
      <c r="I435" t="s">
        <v>1626</v>
      </c>
      <c r="J435">
        <v>14.777082869807799</v>
      </c>
      <c r="K435">
        <v>14.4814864469041</v>
      </c>
      <c r="L435">
        <v>14.480543406809799</v>
      </c>
      <c r="M435">
        <v>14.696179101383301</v>
      </c>
      <c r="N435">
        <v>14.8265961963039</v>
      </c>
      <c r="O435">
        <v>14.6079604901552</v>
      </c>
      <c r="P435">
        <v>0.130541021440234</v>
      </c>
      <c r="Q435">
        <v>-0.771526279534263</v>
      </c>
      <c r="R435">
        <v>1.03260832241473</v>
      </c>
      <c r="S435">
        <v>14.753771215410801</v>
      </c>
      <c r="T435">
        <v>0.30415893535280702</v>
      </c>
      <c r="U435">
        <v>-6.8342776846065503</v>
      </c>
      <c r="V435">
        <v>0.76451529766392801</v>
      </c>
      <c r="W435">
        <v>0.99278624068726296</v>
      </c>
      <c r="X435">
        <v>0</v>
      </c>
      <c r="Y435">
        <v>0</v>
      </c>
    </row>
    <row r="436" spans="1:25" x14ac:dyDescent="0.2">
      <c r="A436" t="s">
        <v>1627</v>
      </c>
      <c r="B436" t="s">
        <v>1628</v>
      </c>
      <c r="C436" t="s">
        <v>1629</v>
      </c>
      <c r="D436" t="s">
        <v>1630</v>
      </c>
      <c r="E436" t="s">
        <v>1628</v>
      </c>
      <c r="F436" t="s">
        <v>28</v>
      </c>
      <c r="G436" t="s">
        <v>1628</v>
      </c>
      <c r="H436" t="str">
        <f>"npp-10"</f>
        <v>npp-10</v>
      </c>
      <c r="I436" t="s">
        <v>1630</v>
      </c>
      <c r="J436">
        <v>14.6263726404837</v>
      </c>
      <c r="K436">
        <v>14.5838062703705</v>
      </c>
      <c r="L436">
        <v>14.4478429236291</v>
      </c>
      <c r="M436">
        <v>14.6453250554521</v>
      </c>
      <c r="N436">
        <v>14.3607576381398</v>
      </c>
      <c r="O436">
        <v>14.28203338734</v>
      </c>
      <c r="P436">
        <v>-0.123301917850464</v>
      </c>
      <c r="Q436">
        <v>-0.52111492022136396</v>
      </c>
      <c r="R436">
        <v>0.27451108452043699</v>
      </c>
      <c r="S436">
        <v>14.2475810261682</v>
      </c>
      <c r="T436">
        <v>-0.65424569117724796</v>
      </c>
      <c r="U436">
        <v>-6.6609638912252596</v>
      </c>
      <c r="V436">
        <v>0.52176056678693095</v>
      </c>
      <c r="W436">
        <v>0.94229050540486703</v>
      </c>
      <c r="X436">
        <v>0</v>
      </c>
      <c r="Y436">
        <v>0</v>
      </c>
    </row>
    <row r="437" spans="1:25" x14ac:dyDescent="0.2">
      <c r="A437" t="s">
        <v>1631</v>
      </c>
      <c r="B437" t="s">
        <v>1632</v>
      </c>
      <c r="C437" t="s">
        <v>1633</v>
      </c>
      <c r="D437" t="s">
        <v>1634</v>
      </c>
      <c r="E437" t="s">
        <v>1632</v>
      </c>
      <c r="F437" t="s">
        <v>28</v>
      </c>
      <c r="G437" t="s">
        <v>1632</v>
      </c>
      <c r="H437" t="str">
        <f>"asp-1"</f>
        <v>asp-1</v>
      </c>
      <c r="I437" t="s">
        <v>1634</v>
      </c>
      <c r="J437">
        <v>15.463372943603501</v>
      </c>
      <c r="K437">
        <v>15.533652655570201</v>
      </c>
      <c r="L437">
        <v>15.446504021939999</v>
      </c>
      <c r="M437">
        <v>15.394074847749099</v>
      </c>
      <c r="N437">
        <v>15.291627322255</v>
      </c>
      <c r="O437">
        <v>15.9820387632211</v>
      </c>
      <c r="P437">
        <v>7.4737104037199104E-2</v>
      </c>
      <c r="Q437">
        <v>-0.43077967492838898</v>
      </c>
      <c r="R437">
        <v>0.58025388300278802</v>
      </c>
      <c r="S437">
        <v>15.6717246675575</v>
      </c>
      <c r="T437">
        <v>0.31073716812618501</v>
      </c>
      <c r="U437">
        <v>-6.8321754371263799</v>
      </c>
      <c r="V437">
        <v>0.75959072196050104</v>
      </c>
      <c r="W437">
        <v>0.99278624068726296</v>
      </c>
      <c r="X437">
        <v>0</v>
      </c>
      <c r="Y437">
        <v>0</v>
      </c>
    </row>
    <row r="438" spans="1:25" x14ac:dyDescent="0.2">
      <c r="A438" t="s">
        <v>1635</v>
      </c>
      <c r="B438" t="s">
        <v>1636</v>
      </c>
      <c r="C438" t="s">
        <v>1637</v>
      </c>
      <c r="D438" t="s">
        <v>1638</v>
      </c>
      <c r="E438" t="s">
        <v>1636</v>
      </c>
      <c r="F438" t="s">
        <v>28</v>
      </c>
      <c r="G438" t="s">
        <v>1636</v>
      </c>
      <c r="H438" t="str">
        <f>"chp-1"</f>
        <v>chp-1</v>
      </c>
      <c r="I438" t="s">
        <v>1638</v>
      </c>
      <c r="J438" t="s">
        <v>29</v>
      </c>
      <c r="K438" t="s">
        <v>29</v>
      </c>
      <c r="L438">
        <v>11.443078455932101</v>
      </c>
      <c r="M438">
        <v>12.3923842699202</v>
      </c>
      <c r="N438">
        <v>12.8231097793779</v>
      </c>
      <c r="O438">
        <v>12.084501682618701</v>
      </c>
      <c r="P438">
        <v>0.99025345470678905</v>
      </c>
      <c r="Q438">
        <v>-0.116655505800646</v>
      </c>
      <c r="R438">
        <v>2.0971624152142199</v>
      </c>
      <c r="S438">
        <v>12.0750810958857</v>
      </c>
      <c r="T438">
        <v>1.95109976048244</v>
      </c>
      <c r="U438">
        <v>-4.79282504482088</v>
      </c>
      <c r="V438">
        <v>7.4996581461959894E-2</v>
      </c>
      <c r="W438">
        <v>0.58865241298444004</v>
      </c>
      <c r="X438">
        <v>0</v>
      </c>
      <c r="Y438">
        <v>0</v>
      </c>
    </row>
    <row r="439" spans="1:25" x14ac:dyDescent="0.2">
      <c r="A439" t="s">
        <v>1639</v>
      </c>
      <c r="B439" t="s">
        <v>1640</v>
      </c>
      <c r="C439" t="s">
        <v>1641</v>
      </c>
      <c r="D439" t="s">
        <v>1642</v>
      </c>
      <c r="E439" t="s">
        <v>1640</v>
      </c>
      <c r="F439" t="s">
        <v>28</v>
      </c>
      <c r="G439" t="s">
        <v>1640</v>
      </c>
      <c r="H439" t="str">
        <f>"noca-1"</f>
        <v>noca-1</v>
      </c>
      <c r="I439" t="s">
        <v>1642</v>
      </c>
      <c r="J439">
        <v>11.096417471402701</v>
      </c>
      <c r="K439">
        <v>12.2085218466552</v>
      </c>
      <c r="L439">
        <v>12.1867580615984</v>
      </c>
      <c r="M439">
        <v>11.9336626600188</v>
      </c>
      <c r="N439">
        <v>12.5430513266096</v>
      </c>
      <c r="O439">
        <v>12.572922501872799</v>
      </c>
      <c r="P439">
        <v>0.51931303628163406</v>
      </c>
      <c r="Q439">
        <v>-0.248809470782443</v>
      </c>
      <c r="R439">
        <v>1.2874355433457101</v>
      </c>
      <c r="S439">
        <v>12.205978920731299</v>
      </c>
      <c r="T439">
        <v>1.44191725822128</v>
      </c>
      <c r="U439">
        <v>-5.8554610746992504</v>
      </c>
      <c r="V439">
        <v>0.17002099420189101</v>
      </c>
      <c r="W439">
        <v>0.77088537970557702</v>
      </c>
      <c r="X439">
        <v>0</v>
      </c>
      <c r="Y439">
        <v>0</v>
      </c>
    </row>
    <row r="440" spans="1:25" x14ac:dyDescent="0.2">
      <c r="A440" t="s">
        <v>1643</v>
      </c>
      <c r="B440" t="s">
        <v>1644</v>
      </c>
      <c r="C440" t="s">
        <v>1645</v>
      </c>
      <c r="D440" t="s">
        <v>1646</v>
      </c>
      <c r="E440" t="s">
        <v>1644</v>
      </c>
      <c r="F440" t="s">
        <v>28</v>
      </c>
      <c r="G440" t="s">
        <v>1644</v>
      </c>
      <c r="H440" t="str">
        <f>"vet-6"</f>
        <v>vet-6</v>
      </c>
      <c r="I440" t="s">
        <v>1646</v>
      </c>
      <c r="J440" t="s">
        <v>29</v>
      </c>
      <c r="K440" t="s">
        <v>29</v>
      </c>
      <c r="L440" t="s">
        <v>29</v>
      </c>
      <c r="M440" t="s">
        <v>29</v>
      </c>
      <c r="N440">
        <v>10.3040060131208</v>
      </c>
      <c r="O440" t="s">
        <v>29</v>
      </c>
      <c r="P440" t="s">
        <v>29</v>
      </c>
      <c r="Q440" t="s">
        <v>29</v>
      </c>
      <c r="R440" t="s">
        <v>29</v>
      </c>
      <c r="S440">
        <v>10.081167346674899</v>
      </c>
      <c r="T440" t="s">
        <v>29</v>
      </c>
      <c r="U440" t="s">
        <v>29</v>
      </c>
      <c r="V440" t="s">
        <v>29</v>
      </c>
      <c r="W440" t="s">
        <v>29</v>
      </c>
      <c r="X440" t="s">
        <v>29</v>
      </c>
      <c r="Y440" t="s">
        <v>29</v>
      </c>
    </row>
    <row r="441" spans="1:25" x14ac:dyDescent="0.2">
      <c r="A441" t="s">
        <v>1647</v>
      </c>
      <c r="B441" t="s">
        <v>1648</v>
      </c>
      <c r="C441" t="s">
        <v>1649</v>
      </c>
      <c r="D441" t="s">
        <v>1502</v>
      </c>
      <c r="E441" t="s">
        <v>1648</v>
      </c>
      <c r="F441" t="s">
        <v>28</v>
      </c>
      <c r="G441" t="s">
        <v>1648</v>
      </c>
      <c r="H441" t="str">
        <f>"sca-1"</f>
        <v>sca-1</v>
      </c>
      <c r="I441" t="s">
        <v>1502</v>
      </c>
      <c r="J441">
        <v>20.373217007339601</v>
      </c>
      <c r="K441">
        <v>20.176343122638201</v>
      </c>
      <c r="L441">
        <v>20.142347498717999</v>
      </c>
      <c r="M441">
        <v>20.228083219738</v>
      </c>
      <c r="N441">
        <v>20.115876696159301</v>
      </c>
      <c r="O441">
        <v>20.025697945796502</v>
      </c>
      <c r="P441">
        <v>-0.107416589000653</v>
      </c>
      <c r="Q441">
        <v>-0.44991125492892398</v>
      </c>
      <c r="R441">
        <v>0.23507807692761801</v>
      </c>
      <c r="S441">
        <v>19.980234325131001</v>
      </c>
      <c r="T441">
        <v>-0.65918916201424704</v>
      </c>
      <c r="U441">
        <v>-6.6581889363094904</v>
      </c>
      <c r="V441">
        <v>0.51816779864867901</v>
      </c>
      <c r="W441">
        <v>0.94227592550871997</v>
      </c>
      <c r="X441">
        <v>0</v>
      </c>
      <c r="Y441">
        <v>0</v>
      </c>
    </row>
    <row r="442" spans="1:25" x14ac:dyDescent="0.2">
      <c r="A442" t="s">
        <v>1650</v>
      </c>
      <c r="B442" t="s">
        <v>1651</v>
      </c>
      <c r="C442" t="s">
        <v>1652</v>
      </c>
      <c r="D442" t="s">
        <v>1653</v>
      </c>
      <c r="E442" t="s">
        <v>1651</v>
      </c>
      <c r="F442" t="s">
        <v>28</v>
      </c>
      <c r="G442" t="s">
        <v>1651</v>
      </c>
      <c r="H442" t="str">
        <f>"vha-5"</f>
        <v>vha-5</v>
      </c>
      <c r="I442" t="s">
        <v>1653</v>
      </c>
      <c r="J442">
        <v>12.2431183102492</v>
      </c>
      <c r="K442">
        <v>11.9375194500894</v>
      </c>
      <c r="L442">
        <v>11.9787894106565</v>
      </c>
      <c r="M442" t="s">
        <v>29</v>
      </c>
      <c r="N442">
        <v>12.0923615363354</v>
      </c>
      <c r="O442">
        <v>11.617666931414</v>
      </c>
      <c r="P442">
        <v>-0.19812815645704199</v>
      </c>
      <c r="Q442">
        <v>-1.0535233720292601</v>
      </c>
      <c r="R442">
        <v>0.65726705911518102</v>
      </c>
      <c r="S442">
        <v>11.891307818368199</v>
      </c>
      <c r="T442">
        <v>-0.49713149093253001</v>
      </c>
      <c r="U442">
        <v>-6.6426084135178698</v>
      </c>
      <c r="V442">
        <v>0.62686971784337497</v>
      </c>
      <c r="W442">
        <v>0.97279262440453396</v>
      </c>
      <c r="X442">
        <v>0</v>
      </c>
      <c r="Y442">
        <v>0</v>
      </c>
    </row>
    <row r="443" spans="1:25" x14ac:dyDescent="0.2">
      <c r="A443" t="s">
        <v>1654</v>
      </c>
      <c r="B443" t="s">
        <v>1655</v>
      </c>
      <c r="C443" t="s">
        <v>1656</v>
      </c>
      <c r="D443" t="s">
        <v>1657</v>
      </c>
      <c r="E443" t="s">
        <v>1655</v>
      </c>
      <c r="F443" t="s">
        <v>28</v>
      </c>
      <c r="G443" t="s">
        <v>1655</v>
      </c>
      <c r="H443" t="str">
        <f>"ldb-1"</f>
        <v>ldb-1</v>
      </c>
      <c r="I443" t="s">
        <v>1657</v>
      </c>
      <c r="J443">
        <v>12.309040047451401</v>
      </c>
      <c r="K443">
        <v>12.9609904025349</v>
      </c>
      <c r="L443">
        <v>12.8625469956392</v>
      </c>
      <c r="M443">
        <v>12.991277282767699</v>
      </c>
      <c r="N443">
        <v>12.67105621853</v>
      </c>
      <c r="O443">
        <v>12.6854157369135</v>
      </c>
      <c r="P443">
        <v>7.1723930861942606E-2</v>
      </c>
      <c r="Q443">
        <v>-0.36462594829210199</v>
      </c>
      <c r="R443">
        <v>0.50807381001598795</v>
      </c>
      <c r="S443">
        <v>13.149019481839201</v>
      </c>
      <c r="T443">
        <v>0.34695986197203699</v>
      </c>
      <c r="U443">
        <v>-6.8196196501807202</v>
      </c>
      <c r="V443">
        <v>0.73290559759681895</v>
      </c>
      <c r="W443">
        <v>0.99057748145465696</v>
      </c>
      <c r="X443">
        <v>0</v>
      </c>
      <c r="Y443">
        <v>0</v>
      </c>
    </row>
    <row r="444" spans="1:25" x14ac:dyDescent="0.2">
      <c r="A444" t="s">
        <v>1658</v>
      </c>
      <c r="B444" t="s">
        <v>1659</v>
      </c>
      <c r="C444" t="s">
        <v>1660</v>
      </c>
      <c r="D444" t="s">
        <v>534</v>
      </c>
      <c r="E444" t="s">
        <v>1659</v>
      </c>
      <c r="F444" t="s">
        <v>28</v>
      </c>
      <c r="G444" t="s">
        <v>1659</v>
      </c>
      <c r="H444" t="str">
        <f>"plrg-1"</f>
        <v>plrg-1</v>
      </c>
      <c r="I444" t="s">
        <v>534</v>
      </c>
      <c r="J444" t="s">
        <v>29</v>
      </c>
      <c r="K444">
        <v>11.346661620494</v>
      </c>
      <c r="L444">
        <v>11.906667514282301</v>
      </c>
      <c r="M444">
        <v>11.7593907096478</v>
      </c>
      <c r="N444" t="s">
        <v>29</v>
      </c>
      <c r="O444">
        <v>12.031763858181799</v>
      </c>
      <c r="P444">
        <v>0.26891271652667498</v>
      </c>
      <c r="Q444">
        <v>-0.27006267902394998</v>
      </c>
      <c r="R444">
        <v>0.80788811207729905</v>
      </c>
      <c r="S444">
        <v>11.964849573745999</v>
      </c>
      <c r="T444">
        <v>1.0881466077695701</v>
      </c>
      <c r="U444">
        <v>-6.0803610906998298</v>
      </c>
      <c r="V444">
        <v>0.29808665711373</v>
      </c>
      <c r="W444">
        <v>0.85855590823088301</v>
      </c>
      <c r="X444">
        <v>0</v>
      </c>
      <c r="Y444">
        <v>0</v>
      </c>
    </row>
    <row r="445" spans="1:25" x14ac:dyDescent="0.2">
      <c r="A445" t="s">
        <v>1661</v>
      </c>
      <c r="B445" t="s">
        <v>1662</v>
      </c>
      <c r="C445" t="s">
        <v>1663</v>
      </c>
      <c r="D445" t="s">
        <v>901</v>
      </c>
      <c r="E445" t="s">
        <v>1662</v>
      </c>
      <c r="F445" t="s">
        <v>28</v>
      </c>
      <c r="G445" t="s">
        <v>1662</v>
      </c>
      <c r="H445" t="str">
        <f>"nhr-70"</f>
        <v>nhr-70</v>
      </c>
      <c r="I445" t="s">
        <v>901</v>
      </c>
      <c r="J445">
        <v>11.431458861905901</v>
      </c>
      <c r="K445">
        <v>11.7398203100374</v>
      </c>
      <c r="L445">
        <v>11.561287381933299</v>
      </c>
      <c r="M445" t="s">
        <v>29</v>
      </c>
      <c r="N445">
        <v>11.8457597244344</v>
      </c>
      <c r="O445">
        <v>11.291988602920201</v>
      </c>
      <c r="P445">
        <v>-8.6480209482058291E-3</v>
      </c>
      <c r="Q445">
        <v>-0.75262069400644904</v>
      </c>
      <c r="R445">
        <v>0.73532465211003695</v>
      </c>
      <c r="S445">
        <v>12.0201176903487</v>
      </c>
      <c r="T445">
        <v>-2.4948913772110001E-2</v>
      </c>
      <c r="U445">
        <v>-6.7718754373947903</v>
      </c>
      <c r="V445">
        <v>0.98045047148794395</v>
      </c>
      <c r="W445">
        <v>0.99968702248720698</v>
      </c>
      <c r="X445">
        <v>0</v>
      </c>
      <c r="Y445">
        <v>0</v>
      </c>
    </row>
    <row r="446" spans="1:25" x14ac:dyDescent="0.2">
      <c r="A446" t="s">
        <v>1664</v>
      </c>
      <c r="B446" t="s">
        <v>1665</v>
      </c>
      <c r="C446" t="s">
        <v>1666</v>
      </c>
      <c r="D446" t="s">
        <v>1667</v>
      </c>
      <c r="E446" t="s">
        <v>1665</v>
      </c>
      <c r="F446" t="s">
        <v>28</v>
      </c>
      <c r="G446" t="s">
        <v>1665</v>
      </c>
      <c r="H446" t="str">
        <f>"zyg-9"</f>
        <v>zyg-9</v>
      </c>
      <c r="I446" t="s">
        <v>1667</v>
      </c>
      <c r="J446">
        <v>14.889692370207801</v>
      </c>
      <c r="K446">
        <v>14.793627255219899</v>
      </c>
      <c r="L446">
        <v>14.8574529779044</v>
      </c>
      <c r="M446">
        <v>14.5558161848904</v>
      </c>
      <c r="N446">
        <v>14.844067964945101</v>
      </c>
      <c r="O446">
        <v>14.7931601062455</v>
      </c>
      <c r="P446">
        <v>-0.115909449083738</v>
      </c>
      <c r="Q446">
        <v>-0.51530016244148102</v>
      </c>
      <c r="R446">
        <v>0.283481264274006</v>
      </c>
      <c r="S446">
        <v>14.8009748274952</v>
      </c>
      <c r="T446">
        <v>-0.61259139546900598</v>
      </c>
      <c r="U446">
        <v>-6.6879732138622199</v>
      </c>
      <c r="V446">
        <v>0.54830405962267703</v>
      </c>
      <c r="W446">
        <v>0.95316664632635595</v>
      </c>
      <c r="X446">
        <v>0</v>
      </c>
      <c r="Y446">
        <v>0</v>
      </c>
    </row>
    <row r="447" spans="1:25" x14ac:dyDescent="0.2">
      <c r="A447" t="s">
        <v>1668</v>
      </c>
      <c r="B447" t="s">
        <v>1669</v>
      </c>
      <c r="C447" t="s">
        <v>1670</v>
      </c>
      <c r="D447" t="s">
        <v>1671</v>
      </c>
      <c r="E447" t="s">
        <v>1669</v>
      </c>
      <c r="F447" t="s">
        <v>28</v>
      </c>
      <c r="G447" t="s">
        <v>1669</v>
      </c>
      <c r="H447" t="str">
        <f>"tap-1"</f>
        <v>tap-1</v>
      </c>
      <c r="I447" t="s">
        <v>1671</v>
      </c>
      <c r="J447" t="s">
        <v>29</v>
      </c>
      <c r="K447" t="s">
        <v>29</v>
      </c>
      <c r="L447" t="s">
        <v>29</v>
      </c>
      <c r="M447">
        <v>16.076813620261898</v>
      </c>
      <c r="N447">
        <v>16.164836016760798</v>
      </c>
      <c r="O447">
        <v>15.972823901541201</v>
      </c>
      <c r="P447" t="s">
        <v>29</v>
      </c>
      <c r="Q447" t="s">
        <v>29</v>
      </c>
      <c r="R447" t="s">
        <v>29</v>
      </c>
      <c r="S447">
        <v>15.719028572276301</v>
      </c>
      <c r="T447" t="s">
        <v>29</v>
      </c>
      <c r="U447" t="s">
        <v>29</v>
      </c>
      <c r="V447" t="s">
        <v>29</v>
      </c>
      <c r="W447" t="s">
        <v>29</v>
      </c>
      <c r="X447" t="s">
        <v>29</v>
      </c>
      <c r="Y447" t="s">
        <v>29</v>
      </c>
    </row>
    <row r="448" spans="1:25" x14ac:dyDescent="0.2">
      <c r="A448" t="s">
        <v>1672</v>
      </c>
      <c r="B448" t="s">
        <v>1673</v>
      </c>
      <c r="C448" t="s">
        <v>1674</v>
      </c>
      <c r="D448" t="s">
        <v>1675</v>
      </c>
      <c r="E448" t="s">
        <v>1673</v>
      </c>
      <c r="F448" t="s">
        <v>28</v>
      </c>
      <c r="G448" t="s">
        <v>1673</v>
      </c>
      <c r="H448" t="str">
        <f>"ipla-1"</f>
        <v>ipla-1</v>
      </c>
      <c r="I448" t="s">
        <v>1675</v>
      </c>
      <c r="J448">
        <v>14.219416626884</v>
      </c>
      <c r="K448">
        <v>13.752667560429799</v>
      </c>
      <c r="L448">
        <v>13.8241970493644</v>
      </c>
      <c r="M448">
        <v>14.201625591975899</v>
      </c>
      <c r="N448">
        <v>14.3471114672342</v>
      </c>
      <c r="O448">
        <v>14.4625094670743</v>
      </c>
      <c r="P448">
        <v>0.40498842986873701</v>
      </c>
      <c r="Q448">
        <v>-0.163386180582725</v>
      </c>
      <c r="R448">
        <v>0.97336304032020005</v>
      </c>
      <c r="S448">
        <v>13.0562618434897</v>
      </c>
      <c r="T448">
        <v>1.51967091750199</v>
      </c>
      <c r="U448">
        <v>-5.7496331999942099</v>
      </c>
      <c r="V448">
        <v>0.149533677872486</v>
      </c>
      <c r="W448">
        <v>0.74457992962374298</v>
      </c>
      <c r="X448">
        <v>0</v>
      </c>
      <c r="Y448">
        <v>0</v>
      </c>
    </row>
    <row r="449" spans="1:25" x14ac:dyDescent="0.2">
      <c r="A449" t="s">
        <v>1676</v>
      </c>
      <c r="B449" t="s">
        <v>1677</v>
      </c>
      <c r="C449" t="s">
        <v>1678</v>
      </c>
      <c r="D449" t="s">
        <v>1679</v>
      </c>
      <c r="E449" t="s">
        <v>1677</v>
      </c>
      <c r="F449" t="s">
        <v>28</v>
      </c>
      <c r="G449" t="s">
        <v>1677</v>
      </c>
      <c r="H449" t="str">
        <f>"ced-5"</f>
        <v>ced-5</v>
      </c>
      <c r="I449" t="s">
        <v>1679</v>
      </c>
      <c r="J449">
        <v>12.574463768407799</v>
      </c>
      <c r="K449">
        <v>12.3624117595262</v>
      </c>
      <c r="L449">
        <v>12.1226269959802</v>
      </c>
      <c r="M449">
        <v>12.028950487650199</v>
      </c>
      <c r="N449">
        <v>12.375595402011299</v>
      </c>
      <c r="O449">
        <v>12.878850015813001</v>
      </c>
      <c r="P449">
        <v>7.4631127186751897E-2</v>
      </c>
      <c r="Q449">
        <v>-0.49326240885365902</v>
      </c>
      <c r="R449">
        <v>0.64252466322716295</v>
      </c>
      <c r="S449">
        <v>12.6144361212056</v>
      </c>
      <c r="T449">
        <v>0.27739784874271101</v>
      </c>
      <c r="U449">
        <v>-6.8422501374081399</v>
      </c>
      <c r="V449">
        <v>0.784840284103</v>
      </c>
      <c r="W449">
        <v>0.99278624068726296</v>
      </c>
      <c r="X449">
        <v>0</v>
      </c>
      <c r="Y449">
        <v>0</v>
      </c>
    </row>
    <row r="450" spans="1:25" x14ac:dyDescent="0.2">
      <c r="A450" t="s">
        <v>1680</v>
      </c>
      <c r="B450" t="s">
        <v>1681</v>
      </c>
      <c r="C450" t="s">
        <v>1682</v>
      </c>
      <c r="D450" t="s">
        <v>1683</v>
      </c>
      <c r="E450" t="s">
        <v>1681</v>
      </c>
      <c r="F450" t="s">
        <v>28</v>
      </c>
      <c r="G450" t="s">
        <v>1681</v>
      </c>
      <c r="H450" t="str">
        <f>"gck-3"</f>
        <v>gck-3</v>
      </c>
      <c r="I450" t="s">
        <v>1683</v>
      </c>
      <c r="J450">
        <v>14.6187431203739</v>
      </c>
      <c r="K450">
        <v>14.3615911891828</v>
      </c>
      <c r="L450">
        <v>14.308419971859401</v>
      </c>
      <c r="M450">
        <v>14.2094168996758</v>
      </c>
      <c r="N450">
        <v>14.037331204642699</v>
      </c>
      <c r="O450">
        <v>14.090301793439901</v>
      </c>
      <c r="P450">
        <v>-0.31723479455256198</v>
      </c>
      <c r="Q450">
        <v>-0.72766909028529203</v>
      </c>
      <c r="R450">
        <v>9.3199501180168606E-2</v>
      </c>
      <c r="S450">
        <v>13.8056083612978</v>
      </c>
      <c r="T450">
        <v>-1.6245372913666301</v>
      </c>
      <c r="U450">
        <v>-5.5971814920297298</v>
      </c>
      <c r="V450">
        <v>0.121743541200167</v>
      </c>
      <c r="W450">
        <v>0.708618319665276</v>
      </c>
      <c r="X450">
        <v>0</v>
      </c>
      <c r="Y450">
        <v>0</v>
      </c>
    </row>
    <row r="451" spans="1:25" x14ac:dyDescent="0.2">
      <c r="A451" t="s">
        <v>1684</v>
      </c>
      <c r="B451" t="s">
        <v>1685</v>
      </c>
      <c r="C451" t="s">
        <v>1686</v>
      </c>
      <c r="D451" t="s">
        <v>1687</v>
      </c>
      <c r="E451" t="s">
        <v>1685</v>
      </c>
      <c r="F451" t="s">
        <v>28</v>
      </c>
      <c r="G451" t="s">
        <v>1685</v>
      </c>
      <c r="H451" t="str">
        <f>"rad-54.l"</f>
        <v>rad-54.l</v>
      </c>
      <c r="I451" t="s">
        <v>1687</v>
      </c>
      <c r="J451" t="s">
        <v>29</v>
      </c>
      <c r="K451" t="s">
        <v>29</v>
      </c>
      <c r="L451" t="s">
        <v>29</v>
      </c>
      <c r="M451" t="s">
        <v>29</v>
      </c>
      <c r="N451" t="s">
        <v>29</v>
      </c>
      <c r="O451" t="s">
        <v>29</v>
      </c>
      <c r="P451" t="s">
        <v>29</v>
      </c>
      <c r="Q451" t="s">
        <v>29</v>
      </c>
      <c r="R451" t="s">
        <v>29</v>
      </c>
      <c r="S451">
        <v>13.4240184415982</v>
      </c>
      <c r="T451" t="s">
        <v>29</v>
      </c>
      <c r="U451" t="s">
        <v>29</v>
      </c>
      <c r="V451" t="s">
        <v>29</v>
      </c>
      <c r="W451" t="s">
        <v>29</v>
      </c>
      <c r="X451" t="s">
        <v>29</v>
      </c>
      <c r="Y451" t="s">
        <v>29</v>
      </c>
    </row>
    <row r="452" spans="1:25" x14ac:dyDescent="0.2">
      <c r="A452" t="s">
        <v>1688</v>
      </c>
      <c r="B452" t="s">
        <v>1689</v>
      </c>
      <c r="C452" t="s">
        <v>14264</v>
      </c>
      <c r="D452" t="s">
        <v>1690</v>
      </c>
      <c r="E452" t="s">
        <v>1689</v>
      </c>
      <c r="F452" t="s">
        <v>28</v>
      </c>
      <c r="G452" t="s">
        <v>1689</v>
      </c>
      <c r="H452" t="str">
        <f>"Y39A1A.3"</f>
        <v>Y39A1A.3</v>
      </c>
      <c r="I452" t="s">
        <v>1690</v>
      </c>
      <c r="J452">
        <v>10.761835547939301</v>
      </c>
      <c r="K452">
        <v>11.9478501226502</v>
      </c>
      <c r="L452">
        <v>11.2482936056675</v>
      </c>
      <c r="M452">
        <v>11.965381004058701</v>
      </c>
      <c r="N452">
        <v>11.349337415327</v>
      </c>
      <c r="O452">
        <v>11.982234773109701</v>
      </c>
      <c r="P452">
        <v>0.44632463874612999</v>
      </c>
      <c r="Q452">
        <v>-0.168996865931618</v>
      </c>
      <c r="R452">
        <v>1.06164614342388</v>
      </c>
      <c r="S452">
        <v>11.805887698832899</v>
      </c>
      <c r="T452">
        <v>1.5385028269200001</v>
      </c>
      <c r="U452">
        <v>-5.7227885960008296</v>
      </c>
      <c r="V452">
        <v>0.14359371669230001</v>
      </c>
      <c r="W452">
        <v>0.73463339032441799</v>
      </c>
      <c r="X452">
        <v>0</v>
      </c>
      <c r="Y452">
        <v>0</v>
      </c>
    </row>
    <row r="453" spans="1:25" x14ac:dyDescent="0.2">
      <c r="A453" t="s">
        <v>1691</v>
      </c>
      <c r="B453" t="s">
        <v>1692</v>
      </c>
      <c r="C453" t="s">
        <v>1693</v>
      </c>
      <c r="D453" t="s">
        <v>1694</v>
      </c>
      <c r="E453" t="s">
        <v>1692</v>
      </c>
      <c r="F453" t="s">
        <v>28</v>
      </c>
      <c r="G453" t="s">
        <v>1692</v>
      </c>
      <c r="H453" t="str">
        <f>"fce-2"</f>
        <v>fce-2</v>
      </c>
      <c r="I453" t="s">
        <v>1694</v>
      </c>
      <c r="J453" t="s">
        <v>29</v>
      </c>
      <c r="K453" t="s">
        <v>29</v>
      </c>
      <c r="L453" t="s">
        <v>29</v>
      </c>
      <c r="M453">
        <v>10.535076165372001</v>
      </c>
      <c r="N453" t="s">
        <v>29</v>
      </c>
      <c r="O453" t="s">
        <v>29</v>
      </c>
      <c r="P453" t="s">
        <v>29</v>
      </c>
      <c r="Q453" t="s">
        <v>29</v>
      </c>
      <c r="R453" t="s">
        <v>29</v>
      </c>
      <c r="S453">
        <v>11.969190726375</v>
      </c>
      <c r="T453" t="s">
        <v>29</v>
      </c>
      <c r="U453" t="s">
        <v>29</v>
      </c>
      <c r="V453" t="s">
        <v>29</v>
      </c>
      <c r="W453" t="s">
        <v>29</v>
      </c>
      <c r="X453" t="s">
        <v>29</v>
      </c>
      <c r="Y453" t="s">
        <v>29</v>
      </c>
    </row>
    <row r="454" spans="1:25" x14ac:dyDescent="0.2">
      <c r="A454" t="s">
        <v>1695</v>
      </c>
      <c r="B454" t="s">
        <v>1696</v>
      </c>
      <c r="C454" t="s">
        <v>1697</v>
      </c>
      <c r="D454" t="s">
        <v>1698</v>
      </c>
      <c r="E454" t="s">
        <v>1696</v>
      </c>
      <c r="F454" t="s">
        <v>28</v>
      </c>
      <c r="G454" t="s">
        <v>1696</v>
      </c>
      <c r="H454" t="str">
        <f>"sftb-1"</f>
        <v>sftb-1</v>
      </c>
      <c r="I454" t="s">
        <v>1698</v>
      </c>
      <c r="J454">
        <v>13.6879974991427</v>
      </c>
      <c r="K454">
        <v>13.923082717124499</v>
      </c>
      <c r="L454">
        <v>13.880922579373699</v>
      </c>
      <c r="M454">
        <v>13.9652952298265</v>
      </c>
      <c r="N454">
        <v>13.795154694562701</v>
      </c>
      <c r="O454">
        <v>13.274772630789901</v>
      </c>
      <c r="P454">
        <v>-0.152260080153962</v>
      </c>
      <c r="Q454">
        <v>-0.74659342953367003</v>
      </c>
      <c r="R454">
        <v>0.44207326922574702</v>
      </c>
      <c r="S454">
        <v>14.152902001849901</v>
      </c>
      <c r="T454">
        <v>-0.53845382581460799</v>
      </c>
      <c r="U454">
        <v>-6.7322269918019098</v>
      </c>
      <c r="V454">
        <v>0.59689862699891505</v>
      </c>
      <c r="W454">
        <v>0.96643413452906302</v>
      </c>
      <c r="X454">
        <v>0</v>
      </c>
      <c r="Y454">
        <v>0</v>
      </c>
    </row>
    <row r="455" spans="1:25" x14ac:dyDescent="0.2">
      <c r="A455" t="s">
        <v>1699</v>
      </c>
      <c r="B455" t="s">
        <v>1700</v>
      </c>
      <c r="C455" t="s">
        <v>1701</v>
      </c>
      <c r="D455" t="s">
        <v>1702</v>
      </c>
      <c r="E455" t="s">
        <v>1700</v>
      </c>
      <c r="F455" t="s">
        <v>28</v>
      </c>
      <c r="G455" t="s">
        <v>1700</v>
      </c>
      <c r="H455" t="str">
        <f>"alg-1"</f>
        <v>alg-1</v>
      </c>
      <c r="I455" t="s">
        <v>1702</v>
      </c>
      <c r="J455">
        <v>13.4969972896688</v>
      </c>
      <c r="K455">
        <v>14.1745283280012</v>
      </c>
      <c r="L455">
        <v>14.2835432656014</v>
      </c>
      <c r="M455">
        <v>13.626371713957701</v>
      </c>
      <c r="N455">
        <v>13.8934770058785</v>
      </c>
      <c r="O455">
        <v>13.767609549227201</v>
      </c>
      <c r="P455">
        <v>-0.22253687140263501</v>
      </c>
      <c r="Q455">
        <v>-0.83461182430353298</v>
      </c>
      <c r="R455">
        <v>0.38953808149826302</v>
      </c>
      <c r="S455">
        <v>14.3497200712794</v>
      </c>
      <c r="T455">
        <v>-0.76416982297520997</v>
      </c>
      <c r="U455">
        <v>-6.5822967081054902</v>
      </c>
      <c r="V455">
        <v>0.45472491514932101</v>
      </c>
      <c r="W455">
        <v>0.92582104169957002</v>
      </c>
      <c r="X455">
        <v>0</v>
      </c>
      <c r="Y455">
        <v>0</v>
      </c>
    </row>
    <row r="456" spans="1:25" x14ac:dyDescent="0.2">
      <c r="A456" t="s">
        <v>1703</v>
      </c>
      <c r="B456" t="s">
        <v>1704</v>
      </c>
      <c r="C456" t="s">
        <v>1705</v>
      </c>
      <c r="D456" t="s">
        <v>1706</v>
      </c>
      <c r="E456" t="s">
        <v>1704</v>
      </c>
      <c r="F456" t="s">
        <v>28</v>
      </c>
      <c r="G456" t="s">
        <v>1704</v>
      </c>
      <c r="H456" t="str">
        <f>"ufd-3"</f>
        <v>ufd-3</v>
      </c>
      <c r="I456" t="s">
        <v>1706</v>
      </c>
      <c r="J456">
        <v>12.7102140961687</v>
      </c>
      <c r="K456">
        <v>12.6811677271367</v>
      </c>
      <c r="L456">
        <v>12.6025783971059</v>
      </c>
      <c r="M456">
        <v>13.7929195182148</v>
      </c>
      <c r="N456">
        <v>13.8688638066923</v>
      </c>
      <c r="O456">
        <v>13.501192015892601</v>
      </c>
      <c r="P456">
        <v>1.05633837346282</v>
      </c>
      <c r="Q456">
        <v>0.58100279426141699</v>
      </c>
      <c r="R456">
        <v>1.53167395266422</v>
      </c>
      <c r="S456">
        <v>13.5282176972791</v>
      </c>
      <c r="T456">
        <v>4.6708427562554196</v>
      </c>
      <c r="U456">
        <v>0.53036998454127804</v>
      </c>
      <c r="V456">
        <v>1.9300602615114799E-4</v>
      </c>
      <c r="W456">
        <v>8.2349237824489892E-3</v>
      </c>
      <c r="X456">
        <v>1</v>
      </c>
      <c r="Y456">
        <v>1</v>
      </c>
    </row>
    <row r="457" spans="1:25" x14ac:dyDescent="0.2">
      <c r="A457" t="s">
        <v>1707</v>
      </c>
      <c r="B457" t="s">
        <v>1708</v>
      </c>
      <c r="C457" t="s">
        <v>1709</v>
      </c>
      <c r="D457" t="s">
        <v>1710</v>
      </c>
      <c r="E457" t="s">
        <v>1708</v>
      </c>
      <c r="F457" t="s">
        <v>28</v>
      </c>
      <c r="G457" t="s">
        <v>1708</v>
      </c>
      <c r="H457" t="str">
        <f>"txl-1"</f>
        <v>txl-1</v>
      </c>
      <c r="I457" t="s">
        <v>1710</v>
      </c>
      <c r="J457">
        <v>12.018839695545299</v>
      </c>
      <c r="K457">
        <v>12.742008559831399</v>
      </c>
      <c r="L457">
        <v>11.239904278333601</v>
      </c>
      <c r="M457">
        <v>13.366608870351399</v>
      </c>
      <c r="N457">
        <v>13.784593211676601</v>
      </c>
      <c r="O457">
        <v>13.452764647220899</v>
      </c>
      <c r="P457">
        <v>1.53440473184616</v>
      </c>
      <c r="Q457">
        <v>0.85154969726901297</v>
      </c>
      <c r="R457">
        <v>2.21725976642331</v>
      </c>
      <c r="S457">
        <v>12.9064336683767</v>
      </c>
      <c r="T457">
        <v>4.7430906670414803</v>
      </c>
      <c r="U457">
        <v>0.56997102714375503</v>
      </c>
      <c r="V457">
        <v>1.9125812299951401E-4</v>
      </c>
      <c r="W457">
        <v>8.2349237824489892E-3</v>
      </c>
      <c r="X457">
        <v>1</v>
      </c>
      <c r="Y457">
        <v>1</v>
      </c>
    </row>
    <row r="458" spans="1:25" x14ac:dyDescent="0.2">
      <c r="A458" t="s">
        <v>1711</v>
      </c>
      <c r="B458" t="s">
        <v>1712</v>
      </c>
      <c r="C458" t="s">
        <v>1713</v>
      </c>
      <c r="D458" t="s">
        <v>1714</v>
      </c>
      <c r="E458" t="s">
        <v>1712</v>
      </c>
      <c r="F458" t="s">
        <v>28</v>
      </c>
      <c r="G458" t="s">
        <v>1712</v>
      </c>
      <c r="H458" t="str">
        <f>"dut-1"</f>
        <v>dut-1</v>
      </c>
      <c r="I458" t="s">
        <v>1714</v>
      </c>
      <c r="J458">
        <v>11.534904113826901</v>
      </c>
      <c r="K458">
        <v>11.583909431677499</v>
      </c>
      <c r="L458">
        <v>11.3837966268537</v>
      </c>
      <c r="M458">
        <v>11.199371297716599</v>
      </c>
      <c r="N458">
        <v>10.8970762294199</v>
      </c>
      <c r="O458">
        <v>11.888052688769999</v>
      </c>
      <c r="P458">
        <v>-0.17270331881722001</v>
      </c>
      <c r="Q458">
        <v>-0.69095777258562696</v>
      </c>
      <c r="R458">
        <v>0.345551134951187</v>
      </c>
      <c r="S458">
        <v>11.8577213569296</v>
      </c>
      <c r="T458">
        <v>-0.71523627587544503</v>
      </c>
      <c r="U458">
        <v>-6.6160528540062096</v>
      </c>
      <c r="V458">
        <v>0.48630813846941501</v>
      </c>
      <c r="W458">
        <v>0.93985684368537403</v>
      </c>
      <c r="X458">
        <v>0</v>
      </c>
      <c r="Y458">
        <v>0</v>
      </c>
    </row>
    <row r="459" spans="1:25" x14ac:dyDescent="0.2">
      <c r="A459" t="s">
        <v>1715</v>
      </c>
      <c r="B459" t="s">
        <v>1716</v>
      </c>
      <c r="C459" t="s">
        <v>1717</v>
      </c>
      <c r="D459" t="s">
        <v>965</v>
      </c>
      <c r="E459" t="s">
        <v>1716</v>
      </c>
      <c r="F459" t="s">
        <v>28</v>
      </c>
      <c r="G459" t="s">
        <v>1716</v>
      </c>
      <c r="H459" t="str">
        <f>"cdr-6"</f>
        <v>cdr-6</v>
      </c>
      <c r="I459" t="s">
        <v>965</v>
      </c>
      <c r="J459">
        <v>15.2601846642153</v>
      </c>
      <c r="K459">
        <v>15.225481118135701</v>
      </c>
      <c r="L459">
        <v>15.1439247377629</v>
      </c>
      <c r="M459">
        <v>15.182335999350901</v>
      </c>
      <c r="N459">
        <v>15.1002914250875</v>
      </c>
      <c r="O459">
        <v>15.047467230878199</v>
      </c>
      <c r="P459">
        <v>-9.9831954932440695E-2</v>
      </c>
      <c r="Q459">
        <v>-0.45202507919628199</v>
      </c>
      <c r="R459">
        <v>0.25236116933140101</v>
      </c>
      <c r="S459">
        <v>15.374177152416999</v>
      </c>
      <c r="T459">
        <v>-0.59832715771504597</v>
      </c>
      <c r="U459">
        <v>-6.6968322366966699</v>
      </c>
      <c r="V459">
        <v>0.55755853695351698</v>
      </c>
      <c r="W459">
        <v>0.95635987123881905</v>
      </c>
      <c r="X459">
        <v>0</v>
      </c>
      <c r="Y459">
        <v>0</v>
      </c>
    </row>
    <row r="460" spans="1:25" x14ac:dyDescent="0.2">
      <c r="A460" t="s">
        <v>1718</v>
      </c>
      <c r="B460" t="s">
        <v>1719</v>
      </c>
      <c r="C460" t="s">
        <v>1720</v>
      </c>
      <c r="D460" t="s">
        <v>1721</v>
      </c>
      <c r="E460" t="s">
        <v>1719</v>
      </c>
      <c r="F460" t="s">
        <v>28</v>
      </c>
      <c r="G460" t="s">
        <v>1719</v>
      </c>
      <c r="H460" t="str">
        <f>"efa-6"</f>
        <v>efa-6</v>
      </c>
      <c r="I460" t="s">
        <v>1721</v>
      </c>
      <c r="J460">
        <v>10.697092645768199</v>
      </c>
      <c r="K460">
        <v>10.6134227384302</v>
      </c>
      <c r="L460">
        <v>10.5977058621901</v>
      </c>
      <c r="M460">
        <v>10.5447061616662</v>
      </c>
      <c r="N460">
        <v>11.075319679576999</v>
      </c>
      <c r="O460">
        <v>9.5022070027183894</v>
      </c>
      <c r="P460">
        <v>-0.26199613414224698</v>
      </c>
      <c r="Q460">
        <v>-0.95759099076588305</v>
      </c>
      <c r="R460">
        <v>0.43359872248138798</v>
      </c>
      <c r="S460">
        <v>10.288610843425801</v>
      </c>
      <c r="T460">
        <v>-0.80330436518579895</v>
      </c>
      <c r="U460">
        <v>-6.5489774796196301</v>
      </c>
      <c r="V460">
        <v>0.434431272128458</v>
      </c>
      <c r="W460">
        <v>0.91629432854535298</v>
      </c>
      <c r="X460">
        <v>0</v>
      </c>
      <c r="Y460">
        <v>0</v>
      </c>
    </row>
    <row r="461" spans="1:25" x14ac:dyDescent="0.2">
      <c r="A461" t="s">
        <v>1722</v>
      </c>
      <c r="B461" t="s">
        <v>1723</v>
      </c>
      <c r="C461" t="s">
        <v>1724</v>
      </c>
      <c r="D461" t="s">
        <v>945</v>
      </c>
      <c r="E461" t="s">
        <v>1723</v>
      </c>
      <c r="F461" t="s">
        <v>28</v>
      </c>
      <c r="G461" t="s">
        <v>1723</v>
      </c>
      <c r="H461" t="str">
        <f>"pud-1.2"</f>
        <v>pud-1.2</v>
      </c>
      <c r="I461" t="s">
        <v>945</v>
      </c>
      <c r="J461" t="s">
        <v>29</v>
      </c>
      <c r="K461" t="s">
        <v>29</v>
      </c>
      <c r="L461" t="s">
        <v>29</v>
      </c>
      <c r="M461">
        <v>12.563406627490201</v>
      </c>
      <c r="N461" t="s">
        <v>29</v>
      </c>
      <c r="O461" t="s">
        <v>29</v>
      </c>
      <c r="P461" t="s">
        <v>29</v>
      </c>
      <c r="Q461" t="s">
        <v>29</v>
      </c>
      <c r="R461" t="s">
        <v>29</v>
      </c>
      <c r="S461">
        <v>12.577568964952199</v>
      </c>
      <c r="T461" t="s">
        <v>29</v>
      </c>
      <c r="U461" t="s">
        <v>29</v>
      </c>
      <c r="V461" t="s">
        <v>29</v>
      </c>
      <c r="W461" t="s">
        <v>29</v>
      </c>
      <c r="X461" t="s">
        <v>29</v>
      </c>
      <c r="Y461" t="s">
        <v>29</v>
      </c>
    </row>
    <row r="462" spans="1:25" x14ac:dyDescent="0.2">
      <c r="A462" t="s">
        <v>1725</v>
      </c>
      <c r="B462" t="s">
        <v>1726</v>
      </c>
      <c r="C462" t="s">
        <v>1727</v>
      </c>
      <c r="D462" t="s">
        <v>1728</v>
      </c>
      <c r="E462" t="s">
        <v>1726</v>
      </c>
      <c r="F462" t="s">
        <v>28</v>
      </c>
      <c r="G462" t="s">
        <v>1726</v>
      </c>
      <c r="H462" t="str">
        <f>"nbet-1"</f>
        <v>nbet-1</v>
      </c>
      <c r="I462" t="s">
        <v>1728</v>
      </c>
      <c r="J462">
        <v>11.492436891521001</v>
      </c>
      <c r="K462" t="s">
        <v>29</v>
      </c>
      <c r="L462" t="s">
        <v>29</v>
      </c>
      <c r="M462">
        <v>12.962541770722201</v>
      </c>
      <c r="N462">
        <v>12.861928750112099</v>
      </c>
      <c r="O462">
        <v>12.1487935198362</v>
      </c>
      <c r="P462">
        <v>1.1653177887025099</v>
      </c>
      <c r="Q462">
        <v>9.5714854476855807E-2</v>
      </c>
      <c r="R462">
        <v>2.23492072292817</v>
      </c>
      <c r="S462">
        <v>13.263142577137501</v>
      </c>
      <c r="T462">
        <v>2.3761114271264998</v>
      </c>
      <c r="U462">
        <v>-4.0988734552702901</v>
      </c>
      <c r="V462">
        <v>3.5178082797924302E-2</v>
      </c>
      <c r="W462">
        <v>0.40934496346675497</v>
      </c>
      <c r="X462">
        <v>1</v>
      </c>
      <c r="Y462">
        <v>0</v>
      </c>
    </row>
    <row r="463" spans="1:25" x14ac:dyDescent="0.2">
      <c r="A463" t="s">
        <v>1729</v>
      </c>
      <c r="B463" t="s">
        <v>1730</v>
      </c>
      <c r="C463" t="s">
        <v>1731</v>
      </c>
      <c r="D463" t="s">
        <v>1732</v>
      </c>
      <c r="E463" t="s">
        <v>1730</v>
      </c>
      <c r="F463" t="s">
        <v>28</v>
      </c>
      <c r="G463" t="s">
        <v>1730</v>
      </c>
      <c r="H463" t="str">
        <f>"set-25"</f>
        <v>set-25</v>
      </c>
      <c r="I463" t="s">
        <v>1732</v>
      </c>
      <c r="J463" t="s">
        <v>29</v>
      </c>
      <c r="K463" t="s">
        <v>29</v>
      </c>
      <c r="L463" t="s">
        <v>29</v>
      </c>
      <c r="M463" t="s">
        <v>29</v>
      </c>
      <c r="N463" t="s">
        <v>29</v>
      </c>
      <c r="O463" t="s">
        <v>29</v>
      </c>
      <c r="P463" t="s">
        <v>29</v>
      </c>
      <c r="Q463" t="s">
        <v>29</v>
      </c>
      <c r="R463" t="s">
        <v>29</v>
      </c>
      <c r="S463">
        <v>11.2226139781912</v>
      </c>
      <c r="T463" t="s">
        <v>29</v>
      </c>
      <c r="U463" t="s">
        <v>29</v>
      </c>
      <c r="V463" t="s">
        <v>29</v>
      </c>
      <c r="W463" t="s">
        <v>29</v>
      </c>
      <c r="X463" t="s">
        <v>29</v>
      </c>
      <c r="Y463" t="s">
        <v>29</v>
      </c>
    </row>
    <row r="464" spans="1:25" x14ac:dyDescent="0.2">
      <c r="A464" t="s">
        <v>1733</v>
      </c>
      <c r="B464" t="s">
        <v>1734</v>
      </c>
      <c r="C464" t="s">
        <v>1735</v>
      </c>
      <c r="D464" t="s">
        <v>1736</v>
      </c>
      <c r="E464" t="s">
        <v>1734</v>
      </c>
      <c r="F464" t="s">
        <v>28</v>
      </c>
      <c r="G464" t="s">
        <v>1734</v>
      </c>
      <c r="H464" t="str">
        <f>"trr-1"</f>
        <v>trr-1</v>
      </c>
      <c r="I464" t="s">
        <v>1736</v>
      </c>
      <c r="J464">
        <v>13.4317674719642</v>
      </c>
      <c r="K464">
        <v>13.8588218780839</v>
      </c>
      <c r="L464">
        <v>13.6595522944801</v>
      </c>
      <c r="M464">
        <v>13.472444802445301</v>
      </c>
      <c r="N464">
        <v>13.6410640612626</v>
      </c>
      <c r="O464">
        <v>13.3786626639787</v>
      </c>
      <c r="P464">
        <v>-0.15265670561388101</v>
      </c>
      <c r="Q464">
        <v>-0.56892776411221102</v>
      </c>
      <c r="R464">
        <v>0.26361435288445001</v>
      </c>
      <c r="S464">
        <v>13.966418353771701</v>
      </c>
      <c r="T464">
        <v>-0.77078309621652097</v>
      </c>
      <c r="U464">
        <v>-6.5771635575937903</v>
      </c>
      <c r="V464">
        <v>0.45089300206636002</v>
      </c>
      <c r="W464">
        <v>0.92456679659694796</v>
      </c>
      <c r="X464">
        <v>0</v>
      </c>
      <c r="Y464">
        <v>0</v>
      </c>
    </row>
    <row r="465" spans="1:25" x14ac:dyDescent="0.2">
      <c r="A465" t="s">
        <v>1737</v>
      </c>
      <c r="B465" t="s">
        <v>1738</v>
      </c>
      <c r="C465" t="s">
        <v>1739</v>
      </c>
      <c r="D465" t="s">
        <v>1740</v>
      </c>
      <c r="E465" t="s">
        <v>1738</v>
      </c>
      <c r="F465" t="s">
        <v>28</v>
      </c>
      <c r="G465" t="s">
        <v>1738</v>
      </c>
      <c r="H465" t="str">
        <f>"pud-3"</f>
        <v>pud-3</v>
      </c>
      <c r="I465" t="s">
        <v>1740</v>
      </c>
      <c r="J465">
        <v>15.3121547128207</v>
      </c>
      <c r="K465">
        <v>15.094281319254399</v>
      </c>
      <c r="L465">
        <v>14.694136123487</v>
      </c>
      <c r="M465">
        <v>15.3630092171701</v>
      </c>
      <c r="N465">
        <v>15.445383069372999</v>
      </c>
      <c r="O465">
        <v>15.899431573184801</v>
      </c>
      <c r="P465">
        <v>0.535750568055258</v>
      </c>
      <c r="Q465">
        <v>-7.4359766694145193E-2</v>
      </c>
      <c r="R465">
        <v>1.14586090280466</v>
      </c>
      <c r="S465">
        <v>14.545197447237401</v>
      </c>
      <c r="T465">
        <v>1.8456390555556801</v>
      </c>
      <c r="U465">
        <v>-5.2547772786199198</v>
      </c>
      <c r="V465">
        <v>8.1556678747256098E-2</v>
      </c>
      <c r="W465">
        <v>0.60425905304272798</v>
      </c>
      <c r="X465">
        <v>0</v>
      </c>
      <c r="Y465">
        <v>0</v>
      </c>
    </row>
    <row r="466" spans="1:25" x14ac:dyDescent="0.2">
      <c r="A466" t="s">
        <v>1741</v>
      </c>
      <c r="B466" t="s">
        <v>1742</v>
      </c>
      <c r="C466" t="s">
        <v>1743</v>
      </c>
      <c r="D466" t="s">
        <v>1744</v>
      </c>
      <c r="E466" t="s">
        <v>1742</v>
      </c>
      <c r="F466" t="s">
        <v>28</v>
      </c>
      <c r="G466" t="s">
        <v>1742</v>
      </c>
      <c r="H466" t="str">
        <f>"C27C12.3"</f>
        <v>C27C12.3</v>
      </c>
      <c r="I466" t="s">
        <v>1744</v>
      </c>
      <c r="J466" t="s">
        <v>29</v>
      </c>
      <c r="K466" t="s">
        <v>29</v>
      </c>
      <c r="L466" t="s">
        <v>29</v>
      </c>
      <c r="M466" t="s">
        <v>29</v>
      </c>
      <c r="N466" t="s">
        <v>29</v>
      </c>
      <c r="O466" t="s">
        <v>29</v>
      </c>
      <c r="P466" t="s">
        <v>29</v>
      </c>
      <c r="Q466" t="s">
        <v>29</v>
      </c>
      <c r="R466" t="s">
        <v>29</v>
      </c>
      <c r="S466">
        <v>10.758963090336101</v>
      </c>
      <c r="T466" t="s">
        <v>29</v>
      </c>
      <c r="U466" t="s">
        <v>29</v>
      </c>
      <c r="V466" t="s">
        <v>29</v>
      </c>
      <c r="W466" t="s">
        <v>29</v>
      </c>
      <c r="X466" t="s">
        <v>29</v>
      </c>
      <c r="Y466" t="s">
        <v>29</v>
      </c>
    </row>
    <row r="467" spans="1:25" x14ac:dyDescent="0.2">
      <c r="A467" t="s">
        <v>1745</v>
      </c>
      <c r="B467" t="s">
        <v>1746</v>
      </c>
      <c r="C467" t="s">
        <v>14265</v>
      </c>
      <c r="D467" t="s">
        <v>1747</v>
      </c>
      <c r="E467" t="s">
        <v>1746</v>
      </c>
      <c r="F467" t="s">
        <v>28</v>
      </c>
      <c r="G467" t="s">
        <v>1746</v>
      </c>
      <c r="H467" t="str">
        <f>"F54E12.2"</f>
        <v>F54E12.2</v>
      </c>
      <c r="I467" t="s">
        <v>1747</v>
      </c>
      <c r="J467">
        <v>12.9698958874187</v>
      </c>
      <c r="K467">
        <v>13.164206427601</v>
      </c>
      <c r="L467">
        <v>13.005843664370101</v>
      </c>
      <c r="M467">
        <v>13.2131797455675</v>
      </c>
      <c r="N467">
        <v>13.394152367976201</v>
      </c>
      <c r="O467">
        <v>13.3660073203583</v>
      </c>
      <c r="P467">
        <v>0.27779781817074101</v>
      </c>
      <c r="Q467">
        <v>-0.16519940645422099</v>
      </c>
      <c r="R467">
        <v>0.72079504279570406</v>
      </c>
      <c r="S467">
        <v>13.2183159169292</v>
      </c>
      <c r="T467">
        <v>1.3300787496348401</v>
      </c>
      <c r="U467">
        <v>-6.0007096145862997</v>
      </c>
      <c r="V467">
        <v>0.20226317881683001</v>
      </c>
      <c r="W467">
        <v>0.79075284576134597</v>
      </c>
      <c r="X467">
        <v>0</v>
      </c>
      <c r="Y467">
        <v>0</v>
      </c>
    </row>
    <row r="468" spans="1:25" x14ac:dyDescent="0.2">
      <c r="A468" t="s">
        <v>1748</v>
      </c>
      <c r="B468" t="s">
        <v>1749</v>
      </c>
      <c r="C468" t="s">
        <v>1750</v>
      </c>
      <c r="D468" t="s">
        <v>1751</v>
      </c>
      <c r="E468" t="s">
        <v>1749</v>
      </c>
      <c r="F468" t="s">
        <v>28</v>
      </c>
      <c r="G468" t="s">
        <v>1749</v>
      </c>
      <c r="H468" t="str">
        <f>"sig-7"</f>
        <v>sig-7</v>
      </c>
      <c r="I468" t="s">
        <v>1751</v>
      </c>
      <c r="J468">
        <v>11.0747690281601</v>
      </c>
      <c r="K468">
        <v>12.4213512505482</v>
      </c>
      <c r="L468">
        <v>12.3169343125621</v>
      </c>
      <c r="M468">
        <v>10.534646796098601</v>
      </c>
      <c r="N468">
        <v>11.6292337989217</v>
      </c>
      <c r="O468">
        <v>11.357276837586999</v>
      </c>
      <c r="P468">
        <v>-0.76396571955439496</v>
      </c>
      <c r="Q468">
        <v>-1.60479831756865</v>
      </c>
      <c r="R468">
        <v>7.6866878459863203E-2</v>
      </c>
      <c r="S468">
        <v>12.243726788643301</v>
      </c>
      <c r="T468">
        <v>-1.9271426407749299</v>
      </c>
      <c r="U468">
        <v>-5.12902429722058</v>
      </c>
      <c r="V468">
        <v>7.2030001145605996E-2</v>
      </c>
      <c r="W468">
        <v>0.57541565353348401</v>
      </c>
      <c r="X468">
        <v>0</v>
      </c>
      <c r="Y468">
        <v>0</v>
      </c>
    </row>
    <row r="469" spans="1:25" x14ac:dyDescent="0.2">
      <c r="A469" t="s">
        <v>1752</v>
      </c>
      <c r="B469" t="s">
        <v>1753</v>
      </c>
      <c r="C469" t="s">
        <v>1754</v>
      </c>
      <c r="D469" t="s">
        <v>1755</v>
      </c>
      <c r="E469" t="s">
        <v>1753</v>
      </c>
      <c r="F469" t="s">
        <v>28</v>
      </c>
      <c r="G469" t="s">
        <v>1753</v>
      </c>
      <c r="H469" t="str">
        <f>"cnk-1"</f>
        <v>cnk-1</v>
      </c>
      <c r="I469" t="s">
        <v>1755</v>
      </c>
      <c r="J469">
        <v>12.5564470590884</v>
      </c>
      <c r="K469">
        <v>13.6029291216265</v>
      </c>
      <c r="L469">
        <v>12.119215711239001</v>
      </c>
      <c r="M469">
        <v>12.417860419101</v>
      </c>
      <c r="N469">
        <v>12.2747684146669</v>
      </c>
      <c r="O469">
        <v>12.682742387557999</v>
      </c>
      <c r="P469">
        <v>-0.30107355687599502</v>
      </c>
      <c r="Q469">
        <v>-0.99725924746361605</v>
      </c>
      <c r="R469">
        <v>0.39511213371162601</v>
      </c>
      <c r="S469">
        <v>12.566645940161701</v>
      </c>
      <c r="T469">
        <v>-0.92819540386814403</v>
      </c>
      <c r="U469">
        <v>-6.43922360717335</v>
      </c>
      <c r="V469">
        <v>0.36915006555135299</v>
      </c>
      <c r="W469">
        <v>0.89092663541315897</v>
      </c>
      <c r="X469">
        <v>0</v>
      </c>
      <c r="Y469">
        <v>0</v>
      </c>
    </row>
    <row r="470" spans="1:25" x14ac:dyDescent="0.2">
      <c r="A470" t="s">
        <v>1756</v>
      </c>
      <c r="B470" t="s">
        <v>1757</v>
      </c>
      <c r="C470" t="s">
        <v>14266</v>
      </c>
      <c r="D470" t="s">
        <v>1758</v>
      </c>
      <c r="E470" t="s">
        <v>1757</v>
      </c>
      <c r="F470" t="s">
        <v>28</v>
      </c>
      <c r="G470" t="s">
        <v>1757</v>
      </c>
      <c r="H470" t="str">
        <f>"F49C12.15"</f>
        <v>F49C12.15</v>
      </c>
      <c r="I470" t="s">
        <v>1758</v>
      </c>
      <c r="J470">
        <v>12.367652087197699</v>
      </c>
      <c r="K470">
        <v>12.1129444121269</v>
      </c>
      <c r="L470">
        <v>12.4273808066961</v>
      </c>
      <c r="M470">
        <v>11.7328523330759</v>
      </c>
      <c r="N470">
        <v>11.6894009292006</v>
      </c>
      <c r="O470">
        <v>11.9619081052717</v>
      </c>
      <c r="P470">
        <v>-0.50793864615743101</v>
      </c>
      <c r="Q470">
        <v>-1.16789787601508</v>
      </c>
      <c r="R470">
        <v>0.15202058370021401</v>
      </c>
      <c r="S470">
        <v>11.943161982557699</v>
      </c>
      <c r="T470">
        <v>-1.6641075632764599</v>
      </c>
      <c r="U470">
        <v>-5.5462752944915898</v>
      </c>
      <c r="V470">
        <v>0.12018787930090501</v>
      </c>
      <c r="W470">
        <v>0.70732126648809501</v>
      </c>
      <c r="X470">
        <v>0</v>
      </c>
      <c r="Y470">
        <v>0</v>
      </c>
    </row>
    <row r="471" spans="1:25" x14ac:dyDescent="0.2">
      <c r="A471" t="s">
        <v>1759</v>
      </c>
      <c r="B471" t="s">
        <v>1760</v>
      </c>
      <c r="C471" t="s">
        <v>1761</v>
      </c>
      <c r="D471" t="s">
        <v>115</v>
      </c>
      <c r="E471" t="s">
        <v>1760</v>
      </c>
      <c r="F471" t="s">
        <v>28</v>
      </c>
      <c r="G471" t="s">
        <v>1760</v>
      </c>
      <c r="H471" t="str">
        <f>"pbrm-1"</f>
        <v>pbrm-1</v>
      </c>
      <c r="I471" t="s">
        <v>115</v>
      </c>
      <c r="J471">
        <v>11.1450287874968</v>
      </c>
      <c r="K471">
        <v>11.545214199255</v>
      </c>
      <c r="L471">
        <v>11.9111282436637</v>
      </c>
      <c r="M471">
        <v>11.836790046568201</v>
      </c>
      <c r="N471">
        <v>11.5064475262534</v>
      </c>
      <c r="O471">
        <v>11.2730263893499</v>
      </c>
      <c r="P471">
        <v>4.9642439186499097E-3</v>
      </c>
      <c r="Q471">
        <v>-0.806102890307827</v>
      </c>
      <c r="R471">
        <v>0.81603137814512605</v>
      </c>
      <c r="S471">
        <v>12.0582773753788</v>
      </c>
      <c r="T471">
        <v>1.30538288663832E-2</v>
      </c>
      <c r="U471">
        <v>-6.8823995909258704</v>
      </c>
      <c r="V471">
        <v>0.98975808831149303</v>
      </c>
      <c r="W471">
        <v>0.99968702248720698</v>
      </c>
      <c r="X471">
        <v>0</v>
      </c>
      <c r="Y471">
        <v>0</v>
      </c>
    </row>
    <row r="472" spans="1:25" x14ac:dyDescent="0.2">
      <c r="A472" t="s">
        <v>1762</v>
      </c>
      <c r="B472" t="s">
        <v>1763</v>
      </c>
      <c r="C472" t="s">
        <v>14267</v>
      </c>
      <c r="D472" t="s">
        <v>1764</v>
      </c>
      <c r="E472" t="s">
        <v>1763</v>
      </c>
      <c r="F472" t="s">
        <v>28</v>
      </c>
      <c r="G472" t="s">
        <v>1763</v>
      </c>
      <c r="H472" t="str">
        <f>"ZK1010.2"</f>
        <v>ZK1010.2</v>
      </c>
      <c r="I472" t="s">
        <v>1764</v>
      </c>
      <c r="J472">
        <v>13.086881832261501</v>
      </c>
      <c r="K472">
        <v>12.743301568526</v>
      </c>
      <c r="L472">
        <v>12.848235877676499</v>
      </c>
      <c r="M472">
        <v>11.4372885444127</v>
      </c>
      <c r="N472">
        <v>12.601895837652499</v>
      </c>
      <c r="O472">
        <v>12.502577194787101</v>
      </c>
      <c r="P472">
        <v>-0.71221923387053798</v>
      </c>
      <c r="Q472">
        <v>-1.3815759608551801</v>
      </c>
      <c r="R472">
        <v>-4.2862506885892798E-2</v>
      </c>
      <c r="S472">
        <v>12.395033083981801</v>
      </c>
      <c r="T472">
        <v>-2.2459810032663499</v>
      </c>
      <c r="U472">
        <v>-4.5722936682284203</v>
      </c>
      <c r="V472">
        <v>3.8375269042602002E-2</v>
      </c>
      <c r="W472">
        <v>0.42323366778142302</v>
      </c>
      <c r="X472">
        <v>0</v>
      </c>
      <c r="Y472">
        <v>0</v>
      </c>
    </row>
    <row r="473" spans="1:25" x14ac:dyDescent="0.2">
      <c r="A473" t="s">
        <v>1765</v>
      </c>
      <c r="B473" t="s">
        <v>1766</v>
      </c>
      <c r="C473" s="2" t="s">
        <v>1767</v>
      </c>
      <c r="D473" t="s">
        <v>1768</v>
      </c>
      <c r="E473" t="s">
        <v>1766</v>
      </c>
      <c r="F473" t="s">
        <v>28</v>
      </c>
      <c r="G473" t="s">
        <v>1766</v>
      </c>
      <c r="H473" t="str">
        <f>"3E324"</f>
        <v>3E324</v>
      </c>
      <c r="I473" t="s">
        <v>1768</v>
      </c>
      <c r="J473">
        <v>13.0491168400308</v>
      </c>
      <c r="K473">
        <v>13.0568108309319</v>
      </c>
      <c r="L473">
        <v>12.8513698381126</v>
      </c>
      <c r="M473">
        <v>13.2738344810566</v>
      </c>
      <c r="N473">
        <v>13.3054000859364</v>
      </c>
      <c r="O473">
        <v>13.1028253260857</v>
      </c>
      <c r="P473">
        <v>0.241587461334518</v>
      </c>
      <c r="Q473">
        <v>-0.241558679893114</v>
      </c>
      <c r="R473">
        <v>0.72473360256215003</v>
      </c>
      <c r="S473">
        <v>13.179186739009699</v>
      </c>
      <c r="T473">
        <v>1.0554699861685399</v>
      </c>
      <c r="U473">
        <v>-6.3172283514682501</v>
      </c>
      <c r="V473">
        <v>0.30607064911381798</v>
      </c>
      <c r="W473">
        <v>0.85855590823088301</v>
      </c>
      <c r="X473">
        <v>0</v>
      </c>
      <c r="Y473">
        <v>0</v>
      </c>
    </row>
    <row r="474" spans="1:25" x14ac:dyDescent="0.2">
      <c r="A474" t="s">
        <v>1769</v>
      </c>
      <c r="B474" t="s">
        <v>1770</v>
      </c>
      <c r="C474" t="s">
        <v>1771</v>
      </c>
      <c r="D474" t="s">
        <v>1772</v>
      </c>
      <c r="E474" t="s">
        <v>1770</v>
      </c>
      <c r="F474" t="s">
        <v>28</v>
      </c>
      <c r="G474" t="s">
        <v>1770</v>
      </c>
      <c r="H474" t="str">
        <f>"spn-4"</f>
        <v>spn-4</v>
      </c>
      <c r="I474" t="s">
        <v>1772</v>
      </c>
      <c r="J474">
        <v>11.4550040987136</v>
      </c>
      <c r="K474">
        <v>12.9145587965505</v>
      </c>
      <c r="L474" t="s">
        <v>29</v>
      </c>
      <c r="M474" t="s">
        <v>29</v>
      </c>
      <c r="N474">
        <v>11.683036693215801</v>
      </c>
      <c r="O474" t="s">
        <v>29</v>
      </c>
      <c r="P474">
        <v>-0.50174475441620103</v>
      </c>
      <c r="Q474">
        <v>-1.6809687407537199</v>
      </c>
      <c r="R474">
        <v>0.67747923192131998</v>
      </c>
      <c r="S474">
        <v>12.6888369047805</v>
      </c>
      <c r="T474">
        <v>-0.93759272650681302</v>
      </c>
      <c r="U474">
        <v>-6.0329003263958096</v>
      </c>
      <c r="V474">
        <v>0.368773077551102</v>
      </c>
      <c r="W474">
        <v>0.89092663541315897</v>
      </c>
      <c r="X474">
        <v>0</v>
      </c>
      <c r="Y474">
        <v>0</v>
      </c>
    </row>
    <row r="475" spans="1:25" x14ac:dyDescent="0.2">
      <c r="A475" t="s">
        <v>1773</v>
      </c>
      <c r="B475" t="s">
        <v>1774</v>
      </c>
      <c r="C475" t="s">
        <v>1775</v>
      </c>
      <c r="D475" t="s">
        <v>1776</v>
      </c>
      <c r="E475" t="s">
        <v>1774</v>
      </c>
      <c r="F475" t="s">
        <v>28</v>
      </c>
      <c r="G475" t="s">
        <v>1774</v>
      </c>
      <c r="H475" t="str">
        <f>"pos-1"</f>
        <v>pos-1</v>
      </c>
      <c r="I475" t="s">
        <v>1776</v>
      </c>
      <c r="J475" t="s">
        <v>29</v>
      </c>
      <c r="K475" t="s">
        <v>29</v>
      </c>
      <c r="L475" t="s">
        <v>29</v>
      </c>
      <c r="M475" t="s">
        <v>29</v>
      </c>
      <c r="N475" t="s">
        <v>29</v>
      </c>
      <c r="O475" t="s">
        <v>29</v>
      </c>
      <c r="P475" t="s">
        <v>29</v>
      </c>
      <c r="Q475" t="s">
        <v>29</v>
      </c>
      <c r="R475" t="s">
        <v>29</v>
      </c>
      <c r="S475">
        <v>11.997104205950601</v>
      </c>
      <c r="T475" t="s">
        <v>29</v>
      </c>
      <c r="U475" t="s">
        <v>29</v>
      </c>
      <c r="V475" t="s">
        <v>29</v>
      </c>
      <c r="W475" t="s">
        <v>29</v>
      </c>
      <c r="X475" t="s">
        <v>29</v>
      </c>
      <c r="Y475" t="s">
        <v>29</v>
      </c>
    </row>
    <row r="476" spans="1:25" x14ac:dyDescent="0.2">
      <c r="A476" t="s">
        <v>1777</v>
      </c>
      <c r="B476" t="s">
        <v>1778</v>
      </c>
      <c r="C476" t="s">
        <v>1779</v>
      </c>
      <c r="D476" t="s">
        <v>211</v>
      </c>
      <c r="E476" t="s">
        <v>1778</v>
      </c>
      <c r="F476" t="s">
        <v>28</v>
      </c>
      <c r="G476" t="s">
        <v>1778</v>
      </c>
      <c r="H476" t="str">
        <f>"pat-10"</f>
        <v>pat-10</v>
      </c>
      <c r="I476" t="s">
        <v>211</v>
      </c>
      <c r="J476" t="s">
        <v>29</v>
      </c>
      <c r="K476" t="s">
        <v>29</v>
      </c>
      <c r="L476" t="s">
        <v>29</v>
      </c>
      <c r="M476" t="s">
        <v>29</v>
      </c>
      <c r="N476" t="s">
        <v>29</v>
      </c>
      <c r="O476" t="s">
        <v>29</v>
      </c>
      <c r="P476" t="s">
        <v>29</v>
      </c>
      <c r="Q476" t="s">
        <v>29</v>
      </c>
      <c r="R476" t="s">
        <v>29</v>
      </c>
      <c r="S476">
        <v>11.7661478047148</v>
      </c>
      <c r="T476" t="s">
        <v>29</v>
      </c>
      <c r="U476" t="s">
        <v>29</v>
      </c>
      <c r="V476" t="s">
        <v>29</v>
      </c>
      <c r="W476" t="s">
        <v>29</v>
      </c>
      <c r="X476" t="s">
        <v>29</v>
      </c>
      <c r="Y476" t="s">
        <v>29</v>
      </c>
    </row>
    <row r="477" spans="1:25" x14ac:dyDescent="0.2">
      <c r="A477" t="s">
        <v>1780</v>
      </c>
      <c r="B477" t="s">
        <v>1781</v>
      </c>
      <c r="C477" t="s">
        <v>1782</v>
      </c>
      <c r="D477" t="s">
        <v>1783</v>
      </c>
      <c r="E477" t="s">
        <v>1781</v>
      </c>
      <c r="F477" t="s">
        <v>28</v>
      </c>
      <c r="G477" t="s">
        <v>1781</v>
      </c>
      <c r="H477" t="str">
        <f>"snf-11"</f>
        <v>snf-11</v>
      </c>
      <c r="I477" t="s">
        <v>1783</v>
      </c>
      <c r="J477">
        <v>13.0613030673316</v>
      </c>
      <c r="K477">
        <v>12.715417183550199</v>
      </c>
      <c r="L477">
        <v>12.7265974826066</v>
      </c>
      <c r="M477">
        <v>12.6614086800236</v>
      </c>
      <c r="N477">
        <v>13.3770609561032</v>
      </c>
      <c r="O477">
        <v>13.13341893834</v>
      </c>
      <c r="P477">
        <v>0.222856946992778</v>
      </c>
      <c r="Q477">
        <v>-0.33441494643328001</v>
      </c>
      <c r="R477">
        <v>0.78012884041883601</v>
      </c>
      <c r="S477">
        <v>13.3830179543918</v>
      </c>
      <c r="T477">
        <v>0.84412944624341901</v>
      </c>
      <c r="U477">
        <v>-6.5167549052090896</v>
      </c>
      <c r="V477">
        <v>0.41039083623596201</v>
      </c>
      <c r="W477">
        <v>0.91512503332874395</v>
      </c>
      <c r="X477">
        <v>0</v>
      </c>
      <c r="Y477">
        <v>0</v>
      </c>
    </row>
    <row r="478" spans="1:25" x14ac:dyDescent="0.2">
      <c r="A478" t="s">
        <v>1784</v>
      </c>
      <c r="B478" t="s">
        <v>1785</v>
      </c>
      <c r="C478" t="s">
        <v>1786</v>
      </c>
      <c r="D478" t="s">
        <v>1787</v>
      </c>
      <c r="E478" t="s">
        <v>1785</v>
      </c>
      <c r="F478" t="s">
        <v>28</v>
      </c>
      <c r="G478" t="s">
        <v>1785</v>
      </c>
      <c r="H478" t="str">
        <f>"fld-1"</f>
        <v>fld-1</v>
      </c>
      <c r="I478" t="s">
        <v>1787</v>
      </c>
      <c r="J478">
        <v>13.9773698579998</v>
      </c>
      <c r="K478">
        <v>14.2589463576598</v>
      </c>
      <c r="L478">
        <v>13.9915494466459</v>
      </c>
      <c r="M478">
        <v>14.090405437804799</v>
      </c>
      <c r="N478">
        <v>13.792031167641399</v>
      </c>
      <c r="O478">
        <v>13.9536415725296</v>
      </c>
      <c r="P478">
        <v>-0.13059582810991099</v>
      </c>
      <c r="Q478">
        <v>-0.56808722812190904</v>
      </c>
      <c r="R478">
        <v>0.30689557190208799</v>
      </c>
      <c r="S478">
        <v>14.4984717711095</v>
      </c>
      <c r="T478">
        <v>-0.62741124243881996</v>
      </c>
      <c r="U478">
        <v>-6.67906340917171</v>
      </c>
      <c r="V478">
        <v>0.53831372101057196</v>
      </c>
      <c r="W478">
        <v>0.94638566482999598</v>
      </c>
      <c r="X478">
        <v>0</v>
      </c>
      <c r="Y478">
        <v>0</v>
      </c>
    </row>
    <row r="479" spans="1:25" x14ac:dyDescent="0.2">
      <c r="A479" t="s">
        <v>1788</v>
      </c>
      <c r="B479" t="s">
        <v>1789</v>
      </c>
      <c r="C479" t="s">
        <v>1790</v>
      </c>
      <c r="D479" t="s">
        <v>1791</v>
      </c>
      <c r="E479" t="s">
        <v>1789</v>
      </c>
      <c r="F479" t="s">
        <v>28</v>
      </c>
      <c r="G479" t="s">
        <v>1789</v>
      </c>
      <c r="H479" t="str">
        <f>"ltd-1"</f>
        <v>ltd-1</v>
      </c>
      <c r="I479" t="s">
        <v>1791</v>
      </c>
      <c r="J479">
        <v>12.0246989470941</v>
      </c>
      <c r="K479" t="s">
        <v>29</v>
      </c>
      <c r="L479">
        <v>11.900834844101899</v>
      </c>
      <c r="M479">
        <v>12.0294933973745</v>
      </c>
      <c r="N479" t="s">
        <v>29</v>
      </c>
      <c r="O479">
        <v>11.4545532335005</v>
      </c>
      <c r="P479">
        <v>-0.22074358016050699</v>
      </c>
      <c r="Q479">
        <v>-0.87750067702774404</v>
      </c>
      <c r="R479">
        <v>0.43601351670673</v>
      </c>
      <c r="S479">
        <v>11.845241771104799</v>
      </c>
      <c r="T479">
        <v>-0.72139844243137596</v>
      </c>
      <c r="U479">
        <v>-6.4127797332569099</v>
      </c>
      <c r="V479">
        <v>0.48262739745424799</v>
      </c>
      <c r="W479">
        <v>0.938191576359659</v>
      </c>
      <c r="X479">
        <v>0</v>
      </c>
      <c r="Y479">
        <v>0</v>
      </c>
    </row>
    <row r="480" spans="1:25" x14ac:dyDescent="0.2">
      <c r="A480" t="s">
        <v>1792</v>
      </c>
      <c r="B480" t="s">
        <v>1793</v>
      </c>
      <c r="C480" t="s">
        <v>1794</v>
      </c>
      <c r="D480" t="s">
        <v>1795</v>
      </c>
      <c r="E480" t="s">
        <v>1793</v>
      </c>
      <c r="F480" t="s">
        <v>28</v>
      </c>
      <c r="G480" t="s">
        <v>1793</v>
      </c>
      <c r="H480" t="str">
        <f>"swsn-4"</f>
        <v>swsn-4</v>
      </c>
      <c r="I480" t="s">
        <v>1795</v>
      </c>
      <c r="J480">
        <v>12.670855634457</v>
      </c>
      <c r="K480">
        <v>12.6899850900123</v>
      </c>
      <c r="L480">
        <v>12.1435020669725</v>
      </c>
      <c r="M480">
        <v>12.091294919872</v>
      </c>
      <c r="N480">
        <v>12.2266691518081</v>
      </c>
      <c r="O480">
        <v>12.7078695780584</v>
      </c>
      <c r="P480">
        <v>-0.15950304723446099</v>
      </c>
      <c r="Q480">
        <v>-0.71896725709359299</v>
      </c>
      <c r="R480">
        <v>0.39996116262467102</v>
      </c>
      <c r="S480">
        <v>12.7626149686254</v>
      </c>
      <c r="T480">
        <v>-0.60179238596821705</v>
      </c>
      <c r="U480">
        <v>-6.6946984776280196</v>
      </c>
      <c r="V480">
        <v>0.55530272524955404</v>
      </c>
      <c r="W480">
        <v>0.95555711976758795</v>
      </c>
      <c r="X480">
        <v>0</v>
      </c>
      <c r="Y480">
        <v>0</v>
      </c>
    </row>
    <row r="481" spans="1:25" x14ac:dyDescent="0.2">
      <c r="A481" t="s">
        <v>1796</v>
      </c>
      <c r="B481" t="s">
        <v>1797</v>
      </c>
      <c r="C481" t="s">
        <v>1798</v>
      </c>
      <c r="D481" t="s">
        <v>1799</v>
      </c>
      <c r="E481" t="s">
        <v>1797</v>
      </c>
      <c r="F481" t="s">
        <v>28</v>
      </c>
      <c r="G481" t="s">
        <v>1797</v>
      </c>
      <c r="H481" t="str">
        <f>"ipla-7"</f>
        <v>ipla-7</v>
      </c>
      <c r="I481" t="s">
        <v>1799</v>
      </c>
      <c r="J481">
        <v>13.092515751843701</v>
      </c>
      <c r="K481">
        <v>12.5549831911372</v>
      </c>
      <c r="L481">
        <v>12.399862471255201</v>
      </c>
      <c r="M481">
        <v>12.52270850967</v>
      </c>
      <c r="N481">
        <v>12.838351626190899</v>
      </c>
      <c r="O481" t="s">
        <v>29</v>
      </c>
      <c r="P481">
        <v>-1.92373681487545E-3</v>
      </c>
      <c r="Q481">
        <v>-0.79738591338138498</v>
      </c>
      <c r="R481">
        <v>0.79353843975163396</v>
      </c>
      <c r="S481">
        <v>12.4714732303541</v>
      </c>
      <c r="T481">
        <v>-5.1906054073213997E-3</v>
      </c>
      <c r="U481">
        <v>-6.7721905091024404</v>
      </c>
      <c r="V481">
        <v>0.99593230048190196</v>
      </c>
      <c r="W481">
        <v>0.99968702248720698</v>
      </c>
      <c r="X481">
        <v>0</v>
      </c>
      <c r="Y481">
        <v>0</v>
      </c>
    </row>
    <row r="482" spans="1:25" x14ac:dyDescent="0.2">
      <c r="A482" t="s">
        <v>1800</v>
      </c>
      <c r="B482" t="s">
        <v>1801</v>
      </c>
      <c r="C482" t="s">
        <v>1802</v>
      </c>
      <c r="D482" t="s">
        <v>1803</v>
      </c>
      <c r="E482" t="s">
        <v>1801</v>
      </c>
      <c r="F482" t="s">
        <v>28</v>
      </c>
      <c r="G482" t="s">
        <v>1801</v>
      </c>
      <c r="H482" t="str">
        <f>"popl-5"</f>
        <v>popl-5</v>
      </c>
      <c r="I482" t="s">
        <v>1803</v>
      </c>
      <c r="J482">
        <v>11.890642741389399</v>
      </c>
      <c r="K482">
        <v>11.9224682755821</v>
      </c>
      <c r="L482">
        <v>11.9491761441829</v>
      </c>
      <c r="M482">
        <v>12.2511088353027</v>
      </c>
      <c r="N482">
        <v>11.6064991762053</v>
      </c>
      <c r="O482">
        <v>11.900643710484699</v>
      </c>
      <c r="P482">
        <v>-1.3451463872371501E-3</v>
      </c>
      <c r="Q482">
        <v>-0.50685308328829903</v>
      </c>
      <c r="R482">
        <v>0.50416279051382495</v>
      </c>
      <c r="S482">
        <v>12.4702558520256</v>
      </c>
      <c r="T482">
        <v>-5.7112801481186302E-3</v>
      </c>
      <c r="U482">
        <v>-6.88247227156186</v>
      </c>
      <c r="V482">
        <v>0.99552427007583999</v>
      </c>
      <c r="W482">
        <v>0.99968702248720698</v>
      </c>
      <c r="X482">
        <v>0</v>
      </c>
      <c r="Y482">
        <v>0</v>
      </c>
    </row>
    <row r="483" spans="1:25" x14ac:dyDescent="0.2">
      <c r="A483" t="s">
        <v>1804</v>
      </c>
      <c r="B483" t="s">
        <v>1805</v>
      </c>
      <c r="C483" t="s">
        <v>1806</v>
      </c>
      <c r="D483" t="s">
        <v>1807</v>
      </c>
      <c r="E483" t="s">
        <v>1805</v>
      </c>
      <c r="F483" t="s">
        <v>28</v>
      </c>
      <c r="G483" t="s">
        <v>1805</v>
      </c>
      <c r="H483" t="str">
        <f>"stim-1"</f>
        <v>stim-1</v>
      </c>
      <c r="I483" t="s">
        <v>1807</v>
      </c>
      <c r="J483" t="s">
        <v>29</v>
      </c>
      <c r="K483" t="s">
        <v>29</v>
      </c>
      <c r="L483" t="s">
        <v>29</v>
      </c>
      <c r="M483" t="s">
        <v>29</v>
      </c>
      <c r="N483" t="s">
        <v>29</v>
      </c>
      <c r="O483" t="s">
        <v>29</v>
      </c>
      <c r="P483" t="s">
        <v>29</v>
      </c>
      <c r="Q483" t="s">
        <v>29</v>
      </c>
      <c r="R483" t="s">
        <v>29</v>
      </c>
      <c r="S483">
        <v>10.257598824155799</v>
      </c>
      <c r="T483" t="s">
        <v>29</v>
      </c>
      <c r="U483" t="s">
        <v>29</v>
      </c>
      <c r="V483" t="s">
        <v>29</v>
      </c>
      <c r="W483" t="s">
        <v>29</v>
      </c>
      <c r="X483" t="s">
        <v>29</v>
      </c>
      <c r="Y483" t="s">
        <v>29</v>
      </c>
    </row>
    <row r="484" spans="1:25" x14ac:dyDescent="0.2">
      <c r="A484" t="s">
        <v>1808</v>
      </c>
      <c r="B484" t="s">
        <v>1809</v>
      </c>
      <c r="C484" t="s">
        <v>1810</v>
      </c>
      <c r="D484" t="s">
        <v>1811</v>
      </c>
      <c r="E484" t="s">
        <v>1809</v>
      </c>
      <c r="F484" t="s">
        <v>28</v>
      </c>
      <c r="G484" t="s">
        <v>1809</v>
      </c>
      <c r="H484" t="str">
        <f>"ndg-4"</f>
        <v>ndg-4</v>
      </c>
      <c r="I484" t="s">
        <v>1811</v>
      </c>
      <c r="J484">
        <v>12.8195019546454</v>
      </c>
      <c r="K484" t="s">
        <v>29</v>
      </c>
      <c r="L484">
        <v>12.749433869727399</v>
      </c>
      <c r="M484">
        <v>13.2115775645402</v>
      </c>
      <c r="N484">
        <v>12.5544983190913</v>
      </c>
      <c r="O484" t="s">
        <v>29</v>
      </c>
      <c r="P484">
        <v>9.8570029629362593E-2</v>
      </c>
      <c r="Q484">
        <v>-0.79113667536627996</v>
      </c>
      <c r="R484">
        <v>0.98827673462500498</v>
      </c>
      <c r="S484">
        <v>13.396812990750499</v>
      </c>
      <c r="T484">
        <v>0.237787990298719</v>
      </c>
      <c r="U484">
        <v>-6.6525491524985298</v>
      </c>
      <c r="V484">
        <v>0.81551606191005999</v>
      </c>
      <c r="W484">
        <v>0.99278624068726296</v>
      </c>
      <c r="X484">
        <v>0</v>
      </c>
      <c r="Y484">
        <v>0</v>
      </c>
    </row>
    <row r="485" spans="1:25" x14ac:dyDescent="0.2">
      <c r="A485" t="s">
        <v>1812</v>
      </c>
      <c r="B485" t="s">
        <v>1813</v>
      </c>
      <c r="C485" t="s">
        <v>1814</v>
      </c>
      <c r="D485" t="s">
        <v>1815</v>
      </c>
      <c r="E485" t="s">
        <v>1813</v>
      </c>
      <c r="F485" t="s">
        <v>28</v>
      </c>
      <c r="G485" t="s">
        <v>1813</v>
      </c>
      <c r="H485" t="str">
        <f>"uig-1"</f>
        <v>uig-1</v>
      </c>
      <c r="I485" t="s">
        <v>1815</v>
      </c>
      <c r="J485" t="s">
        <v>29</v>
      </c>
      <c r="K485">
        <v>11.856553309118</v>
      </c>
      <c r="L485">
        <v>11.7988848146096</v>
      </c>
      <c r="M485">
        <v>11.0145770524292</v>
      </c>
      <c r="N485" t="s">
        <v>29</v>
      </c>
      <c r="O485" t="s">
        <v>29</v>
      </c>
      <c r="P485">
        <v>-0.81314200943455905</v>
      </c>
      <c r="Q485">
        <v>-1.80859119409878</v>
      </c>
      <c r="R485">
        <v>0.182307175229661</v>
      </c>
      <c r="S485">
        <v>11.753076254060099</v>
      </c>
      <c r="T485">
        <v>-1.8000103269966801</v>
      </c>
      <c r="U485">
        <v>-4.9753450955893799</v>
      </c>
      <c r="V485">
        <v>9.9577903779265606E-2</v>
      </c>
      <c r="W485">
        <v>0.65399513636263495</v>
      </c>
      <c r="X485">
        <v>0</v>
      </c>
      <c r="Y485">
        <v>0</v>
      </c>
    </row>
    <row r="486" spans="1:25" x14ac:dyDescent="0.2">
      <c r="A486" t="s">
        <v>1816</v>
      </c>
      <c r="B486" t="s">
        <v>1817</v>
      </c>
      <c r="C486" t="s">
        <v>1818</v>
      </c>
      <c r="D486" t="s">
        <v>1819</v>
      </c>
      <c r="E486" t="s">
        <v>1817</v>
      </c>
      <c r="F486" t="s">
        <v>28</v>
      </c>
      <c r="G486" t="s">
        <v>1817</v>
      </c>
      <c r="H486" t="str">
        <f>"taf-5"</f>
        <v>taf-5</v>
      </c>
      <c r="I486" t="s">
        <v>1819</v>
      </c>
      <c r="J486">
        <v>12.5413827077983</v>
      </c>
      <c r="K486">
        <v>12.3699971784798</v>
      </c>
      <c r="L486">
        <v>11.8593375368718</v>
      </c>
      <c r="M486" t="s">
        <v>29</v>
      </c>
      <c r="N486" t="s">
        <v>29</v>
      </c>
      <c r="O486" t="s">
        <v>29</v>
      </c>
      <c r="P486" t="s">
        <v>29</v>
      </c>
      <c r="Q486" t="s">
        <v>29</v>
      </c>
      <c r="R486" t="s">
        <v>29</v>
      </c>
      <c r="S486">
        <v>12.1289324099982</v>
      </c>
      <c r="T486" t="s">
        <v>29</v>
      </c>
      <c r="U486" t="s">
        <v>29</v>
      </c>
      <c r="V486" t="s">
        <v>29</v>
      </c>
      <c r="W486" t="s">
        <v>29</v>
      </c>
      <c r="X486" t="s">
        <v>29</v>
      </c>
      <c r="Y486" t="s">
        <v>29</v>
      </c>
    </row>
    <row r="487" spans="1:25" x14ac:dyDescent="0.2">
      <c r="A487" t="s">
        <v>1820</v>
      </c>
      <c r="B487" t="s">
        <v>1821</v>
      </c>
      <c r="C487" t="s">
        <v>1822</v>
      </c>
      <c r="D487" t="s">
        <v>1823</v>
      </c>
      <c r="E487" t="s">
        <v>1821</v>
      </c>
      <c r="F487" t="s">
        <v>28</v>
      </c>
      <c r="G487" t="s">
        <v>1821</v>
      </c>
      <c r="H487" t="str">
        <f>"sars-2"</f>
        <v>sars-2</v>
      </c>
      <c r="I487" t="s">
        <v>1823</v>
      </c>
      <c r="J487">
        <v>13.176514002945099</v>
      </c>
      <c r="K487">
        <v>13.533435091770301</v>
      </c>
      <c r="L487">
        <v>13.122901037454699</v>
      </c>
      <c r="M487">
        <v>13.272235142031599</v>
      </c>
      <c r="N487">
        <v>13.281819835200601</v>
      </c>
      <c r="O487">
        <v>13.229926588314999</v>
      </c>
      <c r="P487">
        <v>-1.6289522207639399E-2</v>
      </c>
      <c r="Q487">
        <v>-0.49874185921643799</v>
      </c>
      <c r="R487">
        <v>0.46616281480115901</v>
      </c>
      <c r="S487">
        <v>12.973276417325801</v>
      </c>
      <c r="T487">
        <v>-7.12695382037737E-2</v>
      </c>
      <c r="U487">
        <v>-6.8798277157962904</v>
      </c>
      <c r="V487">
        <v>0.94402009589187796</v>
      </c>
      <c r="W487">
        <v>0.99926809132575301</v>
      </c>
      <c r="X487">
        <v>0</v>
      </c>
      <c r="Y487">
        <v>0</v>
      </c>
    </row>
    <row r="488" spans="1:25" x14ac:dyDescent="0.2">
      <c r="A488" t="s">
        <v>1824</v>
      </c>
      <c r="B488" t="s">
        <v>1825</v>
      </c>
      <c r="C488" t="s">
        <v>1826</v>
      </c>
      <c r="D488" t="s">
        <v>1827</v>
      </c>
      <c r="E488" t="s">
        <v>1825</v>
      </c>
      <c r="F488" t="s">
        <v>28</v>
      </c>
      <c r="G488" t="s">
        <v>1825</v>
      </c>
      <c r="H488" t="str">
        <f>"gip-2"</f>
        <v>gip-2</v>
      </c>
      <c r="I488" t="s">
        <v>1827</v>
      </c>
      <c r="J488">
        <v>13.9771139868762</v>
      </c>
      <c r="K488">
        <v>13.885263412204299</v>
      </c>
      <c r="L488">
        <v>13.874626023735701</v>
      </c>
      <c r="M488">
        <v>13.747073412361599</v>
      </c>
      <c r="N488">
        <v>13.7602204269281</v>
      </c>
      <c r="O488">
        <v>13.731198280068501</v>
      </c>
      <c r="P488">
        <v>-0.16617043448595401</v>
      </c>
      <c r="Q488">
        <v>-0.52391715456393795</v>
      </c>
      <c r="R488">
        <v>0.19157628559202999</v>
      </c>
      <c r="S488">
        <v>14.0232005890821</v>
      </c>
      <c r="T488">
        <v>-0.98045599836951103</v>
      </c>
      <c r="U488">
        <v>-6.39259665483719</v>
      </c>
      <c r="V488">
        <v>0.34069336513600701</v>
      </c>
      <c r="W488">
        <v>0.876350511665964</v>
      </c>
      <c r="X488">
        <v>0</v>
      </c>
      <c r="Y488">
        <v>0</v>
      </c>
    </row>
    <row r="489" spans="1:25" x14ac:dyDescent="0.2">
      <c r="A489" t="s">
        <v>1828</v>
      </c>
      <c r="B489" t="s">
        <v>1829</v>
      </c>
      <c r="C489" t="s">
        <v>1830</v>
      </c>
      <c r="D489" t="s">
        <v>1831</v>
      </c>
      <c r="E489" t="s">
        <v>1829</v>
      </c>
      <c r="F489" t="s">
        <v>28</v>
      </c>
      <c r="G489" t="s">
        <v>1829</v>
      </c>
      <c r="H489" t="str">
        <f>"rab-8"</f>
        <v>rab-8</v>
      </c>
      <c r="I489" t="s">
        <v>1831</v>
      </c>
      <c r="J489">
        <v>15.527358154041901</v>
      </c>
      <c r="K489">
        <v>15.3616082403947</v>
      </c>
      <c r="L489">
        <v>14.999127392160201</v>
      </c>
      <c r="M489">
        <v>15.062962039868999</v>
      </c>
      <c r="N489">
        <v>15.025230111291901</v>
      </c>
      <c r="O489">
        <v>15.5202267953114</v>
      </c>
      <c r="P489">
        <v>-9.3224946708188497E-2</v>
      </c>
      <c r="Q489">
        <v>-0.60198622318028805</v>
      </c>
      <c r="R489">
        <v>0.41553632976391103</v>
      </c>
      <c r="S489">
        <v>14.7437084652891</v>
      </c>
      <c r="T489">
        <v>-0.38513289006266999</v>
      </c>
      <c r="U489">
        <v>-6.80531153523191</v>
      </c>
      <c r="V489">
        <v>0.70467830664697795</v>
      </c>
      <c r="W489">
        <v>0.98660892070725403</v>
      </c>
      <c r="X489">
        <v>0</v>
      </c>
      <c r="Y489">
        <v>0</v>
      </c>
    </row>
    <row r="490" spans="1:25" x14ac:dyDescent="0.2">
      <c r="A490" t="s">
        <v>1832</v>
      </c>
      <c r="B490" t="s">
        <v>1833</v>
      </c>
      <c r="C490" t="s">
        <v>1834</v>
      </c>
      <c r="D490" t="s">
        <v>1835</v>
      </c>
      <c r="E490" t="s">
        <v>1833</v>
      </c>
      <c r="F490" t="s">
        <v>28</v>
      </c>
      <c r="G490" t="s">
        <v>1833</v>
      </c>
      <c r="H490" t="str">
        <f>"cdc-5l"</f>
        <v>cdc-5l</v>
      </c>
      <c r="I490" t="s">
        <v>1835</v>
      </c>
      <c r="J490">
        <v>12.050871214379001</v>
      </c>
      <c r="K490">
        <v>12.1813091490611</v>
      </c>
      <c r="L490">
        <v>12.676323211787199</v>
      </c>
      <c r="M490">
        <v>12.3419229433098</v>
      </c>
      <c r="N490">
        <v>12.2192725292521</v>
      </c>
      <c r="O490">
        <v>12.540502537536399</v>
      </c>
      <c r="P490">
        <v>6.4398144956969702E-2</v>
      </c>
      <c r="Q490">
        <v>-0.55192244310034899</v>
      </c>
      <c r="R490">
        <v>0.68071873301428798</v>
      </c>
      <c r="S490">
        <v>12.9304597414885</v>
      </c>
      <c r="T490">
        <v>0.220554891963684</v>
      </c>
      <c r="U490">
        <v>-6.8570303289693202</v>
      </c>
      <c r="V490">
        <v>0.82808225374579902</v>
      </c>
      <c r="W490">
        <v>0.99339170295129098</v>
      </c>
      <c r="X490">
        <v>0</v>
      </c>
      <c r="Y490">
        <v>0</v>
      </c>
    </row>
    <row r="491" spans="1:25" x14ac:dyDescent="0.2">
      <c r="A491" t="s">
        <v>1836</v>
      </c>
      <c r="B491" t="s">
        <v>1837</v>
      </c>
      <c r="C491" t="s">
        <v>1838</v>
      </c>
      <c r="D491" t="s">
        <v>1839</v>
      </c>
      <c r="E491" t="s">
        <v>1837</v>
      </c>
      <c r="F491" t="s">
        <v>28</v>
      </c>
      <c r="G491" t="s">
        <v>1837</v>
      </c>
      <c r="H491" t="str">
        <f>"dap-3"</f>
        <v>dap-3</v>
      </c>
      <c r="I491" t="s">
        <v>1839</v>
      </c>
      <c r="J491">
        <v>13.2748551349137</v>
      </c>
      <c r="K491">
        <v>13.430288869232999</v>
      </c>
      <c r="L491">
        <v>13.707675020495399</v>
      </c>
      <c r="M491">
        <v>12.957297975950601</v>
      </c>
      <c r="N491">
        <v>13.411400369945699</v>
      </c>
      <c r="O491">
        <v>13.1931538520071</v>
      </c>
      <c r="P491">
        <v>-0.28365560891288599</v>
      </c>
      <c r="Q491">
        <v>-0.71911923626969498</v>
      </c>
      <c r="R491">
        <v>0.151808018443923</v>
      </c>
      <c r="S491">
        <v>13.6404110169173</v>
      </c>
      <c r="T491">
        <v>-1.37495822358523</v>
      </c>
      <c r="U491">
        <v>-5.9437605861455802</v>
      </c>
      <c r="V491">
        <v>0.18710562307166301</v>
      </c>
      <c r="W491">
        <v>0.78295732499061499</v>
      </c>
      <c r="X491">
        <v>0</v>
      </c>
      <c r="Y491">
        <v>0</v>
      </c>
    </row>
    <row r="492" spans="1:25" x14ac:dyDescent="0.2">
      <c r="A492" t="s">
        <v>1840</v>
      </c>
      <c r="B492" t="s">
        <v>1841</v>
      </c>
      <c r="C492" t="s">
        <v>1842</v>
      </c>
      <c r="D492" t="s">
        <v>1843</v>
      </c>
      <c r="E492" t="s">
        <v>1841</v>
      </c>
      <c r="F492" t="s">
        <v>28</v>
      </c>
      <c r="G492" t="s">
        <v>1841</v>
      </c>
      <c r="H492" t="str">
        <f>"hmt-1"</f>
        <v>hmt-1</v>
      </c>
      <c r="I492" t="s">
        <v>1843</v>
      </c>
      <c r="J492">
        <v>13.535588924299599</v>
      </c>
      <c r="K492">
        <v>13.6432359626278</v>
      </c>
      <c r="L492">
        <v>13.5209054573036</v>
      </c>
      <c r="M492">
        <v>13.5448886450783</v>
      </c>
      <c r="N492">
        <v>13.817724936357999</v>
      </c>
      <c r="O492">
        <v>13.458942495246699</v>
      </c>
      <c r="P492">
        <v>4.0608577483979502E-2</v>
      </c>
      <c r="Q492">
        <v>-0.492636582468513</v>
      </c>
      <c r="R492">
        <v>0.57385373743647194</v>
      </c>
      <c r="S492">
        <v>13.7630007113925</v>
      </c>
      <c r="T492">
        <v>0.16074625635864701</v>
      </c>
      <c r="U492">
        <v>-6.8689567183745703</v>
      </c>
      <c r="V492">
        <v>0.87419966068889599</v>
      </c>
      <c r="W492">
        <v>0.99542051916754504</v>
      </c>
      <c r="X492">
        <v>0</v>
      </c>
      <c r="Y492">
        <v>0</v>
      </c>
    </row>
    <row r="493" spans="1:25" x14ac:dyDescent="0.2">
      <c r="A493" t="s">
        <v>1844</v>
      </c>
      <c r="B493" t="s">
        <v>1845</v>
      </c>
      <c r="C493" t="s">
        <v>1846</v>
      </c>
      <c r="D493" t="s">
        <v>1847</v>
      </c>
      <c r="E493" t="s">
        <v>1845</v>
      </c>
      <c r="F493" t="s">
        <v>28</v>
      </c>
      <c r="G493" t="s">
        <v>1845</v>
      </c>
      <c r="H493" t="str">
        <f>"sup-17"</f>
        <v>sup-17</v>
      </c>
      <c r="I493" t="s">
        <v>1847</v>
      </c>
      <c r="J493">
        <v>11.9979163930964</v>
      </c>
      <c r="K493">
        <v>11.2565053961887</v>
      </c>
      <c r="L493">
        <v>11.8717135504306</v>
      </c>
      <c r="M493">
        <v>11.5564504825591</v>
      </c>
      <c r="N493">
        <v>11.9707751370066</v>
      </c>
      <c r="O493">
        <v>11.618903975919601</v>
      </c>
      <c r="P493">
        <v>6.6647519231839399E-3</v>
      </c>
      <c r="Q493">
        <v>-0.78857346348658797</v>
      </c>
      <c r="R493">
        <v>0.80190296733295596</v>
      </c>
      <c r="S493">
        <v>11.641988316025</v>
      </c>
      <c r="T493">
        <v>1.7776091473228599E-2</v>
      </c>
      <c r="U493">
        <v>-6.8823233727514204</v>
      </c>
      <c r="V493">
        <v>0.98603869988207404</v>
      </c>
      <c r="W493">
        <v>0.99968702248720698</v>
      </c>
      <c r="X493">
        <v>0</v>
      </c>
      <c r="Y493">
        <v>0</v>
      </c>
    </row>
    <row r="494" spans="1:25" x14ac:dyDescent="0.2">
      <c r="A494" t="s">
        <v>1848</v>
      </c>
      <c r="B494" t="s">
        <v>1849</v>
      </c>
      <c r="C494" t="s">
        <v>14268</v>
      </c>
      <c r="D494" t="s">
        <v>1850</v>
      </c>
      <c r="E494" t="s">
        <v>1849</v>
      </c>
      <c r="F494" t="s">
        <v>28</v>
      </c>
      <c r="G494" t="s">
        <v>1849</v>
      </c>
      <c r="H494" t="str">
        <f>"H03A11.2"</f>
        <v>H03A11.2</v>
      </c>
      <c r="I494" t="s">
        <v>1850</v>
      </c>
      <c r="J494">
        <v>13.239451033533999</v>
      </c>
      <c r="K494">
        <v>14.8061622002113</v>
      </c>
      <c r="L494">
        <v>14.851796171352101</v>
      </c>
      <c r="M494">
        <v>13.619953412406099</v>
      </c>
      <c r="N494">
        <v>13.4505402382577</v>
      </c>
      <c r="O494">
        <v>13.833894615759499</v>
      </c>
      <c r="P494">
        <v>-0.66434037955805703</v>
      </c>
      <c r="Q494">
        <v>-1.44778914580092</v>
      </c>
      <c r="R494">
        <v>0.119108386684804</v>
      </c>
      <c r="S494">
        <v>14.199683517117199</v>
      </c>
      <c r="T494">
        <v>-1.79857925173266</v>
      </c>
      <c r="U494">
        <v>-5.3353174883339198</v>
      </c>
      <c r="V494">
        <v>9.1101003487930404E-2</v>
      </c>
      <c r="W494">
        <v>0.63154672732174599</v>
      </c>
      <c r="X494">
        <v>0</v>
      </c>
      <c r="Y494">
        <v>0</v>
      </c>
    </row>
    <row r="495" spans="1:25" x14ac:dyDescent="0.2">
      <c r="A495" t="s">
        <v>1851</v>
      </c>
      <c r="B495" t="s">
        <v>1852</v>
      </c>
      <c r="C495" t="s">
        <v>1853</v>
      </c>
      <c r="D495" t="s">
        <v>1854</v>
      </c>
      <c r="E495" t="s">
        <v>1852</v>
      </c>
      <c r="F495" t="s">
        <v>28</v>
      </c>
      <c r="G495" t="s">
        <v>1852</v>
      </c>
      <c r="H495" t="str">
        <f>"asd-2"</f>
        <v>asd-2</v>
      </c>
      <c r="I495" t="s">
        <v>1854</v>
      </c>
      <c r="J495" t="s">
        <v>29</v>
      </c>
      <c r="K495" t="s">
        <v>29</v>
      </c>
      <c r="L495">
        <v>10.8645502093476</v>
      </c>
      <c r="M495">
        <v>10.833371439354501</v>
      </c>
      <c r="N495" t="s">
        <v>29</v>
      </c>
      <c r="O495">
        <v>11.392809596167099</v>
      </c>
      <c r="P495">
        <v>0.248540308413185</v>
      </c>
      <c r="Q495">
        <v>-1.2076539187375599</v>
      </c>
      <c r="R495">
        <v>1.7047345355639301</v>
      </c>
      <c r="S495">
        <v>11.6952951981603</v>
      </c>
      <c r="T495">
        <v>0.37610163482666997</v>
      </c>
      <c r="U495">
        <v>-6.4084736217266496</v>
      </c>
      <c r="V495">
        <v>0.71406201014016002</v>
      </c>
      <c r="W495">
        <v>0.98786722894487999</v>
      </c>
      <c r="X495">
        <v>0</v>
      </c>
      <c r="Y495">
        <v>0</v>
      </c>
    </row>
    <row r="496" spans="1:25" x14ac:dyDescent="0.2">
      <c r="A496" t="s">
        <v>1855</v>
      </c>
      <c r="B496" t="s">
        <v>1856</v>
      </c>
      <c r="C496" t="s">
        <v>1857</v>
      </c>
      <c r="D496" t="s">
        <v>1858</v>
      </c>
      <c r="E496" t="s">
        <v>1856</v>
      </c>
      <c r="F496" t="s">
        <v>28</v>
      </c>
      <c r="G496" t="s">
        <v>1856</v>
      </c>
      <c r="H496" t="str">
        <f>"eif-2bdelta"</f>
        <v>eif-2bdelta</v>
      </c>
      <c r="I496" t="s">
        <v>1858</v>
      </c>
      <c r="J496">
        <v>15.008952711310799</v>
      </c>
      <c r="K496">
        <v>15.124180410922399</v>
      </c>
      <c r="L496">
        <v>14.9295723701675</v>
      </c>
      <c r="M496">
        <v>15.175281928969</v>
      </c>
      <c r="N496">
        <v>15.069320462961601</v>
      </c>
      <c r="O496">
        <v>15.2048638341937</v>
      </c>
      <c r="P496">
        <v>0.128920244574557</v>
      </c>
      <c r="Q496">
        <v>-0.46430412114545</v>
      </c>
      <c r="R496">
        <v>0.722144610294564</v>
      </c>
      <c r="S496">
        <v>14.335052827869401</v>
      </c>
      <c r="T496">
        <v>0.46094771866554901</v>
      </c>
      <c r="U496">
        <v>-6.7714816307136596</v>
      </c>
      <c r="V496">
        <v>0.65108033527426501</v>
      </c>
      <c r="W496">
        <v>0.98133847635541405</v>
      </c>
      <c r="X496">
        <v>0</v>
      </c>
      <c r="Y496">
        <v>0</v>
      </c>
    </row>
    <row r="497" spans="1:25" x14ac:dyDescent="0.2">
      <c r="A497" t="s">
        <v>1859</v>
      </c>
      <c r="B497" t="s">
        <v>1860</v>
      </c>
      <c r="C497" t="s">
        <v>1861</v>
      </c>
      <c r="D497" t="s">
        <v>1862</v>
      </c>
      <c r="E497" t="s">
        <v>1860</v>
      </c>
      <c r="F497" t="s">
        <v>28</v>
      </c>
      <c r="G497" t="s">
        <v>1860</v>
      </c>
      <c r="H497" t="str">
        <f>"sel-1"</f>
        <v>sel-1</v>
      </c>
      <c r="I497" t="s">
        <v>1862</v>
      </c>
      <c r="J497">
        <v>14.282331414042099</v>
      </c>
      <c r="K497">
        <v>14.048556360606501</v>
      </c>
      <c r="L497">
        <v>14.0600428634395</v>
      </c>
      <c r="M497">
        <v>14.2379141012656</v>
      </c>
      <c r="N497">
        <v>14.0868675475598</v>
      </c>
      <c r="O497">
        <v>13.9872484098762</v>
      </c>
      <c r="P497">
        <v>-2.63001931288489E-2</v>
      </c>
      <c r="Q497">
        <v>-0.432062251646536</v>
      </c>
      <c r="R497">
        <v>0.37946186538883803</v>
      </c>
      <c r="S497">
        <v>13.650367835935899</v>
      </c>
      <c r="T497">
        <v>-0.136816197383793</v>
      </c>
      <c r="U497">
        <v>-6.8726839530114603</v>
      </c>
      <c r="V497">
        <v>0.892793224028542</v>
      </c>
      <c r="W497">
        <v>0.99705229851241195</v>
      </c>
      <c r="X497">
        <v>0</v>
      </c>
      <c r="Y497">
        <v>0</v>
      </c>
    </row>
    <row r="498" spans="1:25" x14ac:dyDescent="0.2">
      <c r="A498" t="s">
        <v>1863</v>
      </c>
      <c r="B498" t="s">
        <v>1864</v>
      </c>
      <c r="C498" t="s">
        <v>1865</v>
      </c>
      <c r="D498" t="s">
        <v>1866</v>
      </c>
      <c r="E498" t="s">
        <v>1864</v>
      </c>
      <c r="F498" t="s">
        <v>28</v>
      </c>
      <c r="G498" t="s">
        <v>1864</v>
      </c>
      <c r="H498" t="str">
        <f>"abcf-2"</f>
        <v>abcf-2</v>
      </c>
      <c r="I498" t="s">
        <v>1866</v>
      </c>
      <c r="J498">
        <v>18.458701775454099</v>
      </c>
      <c r="K498">
        <v>18.409820803709199</v>
      </c>
      <c r="L498">
        <v>18.3824047854831</v>
      </c>
      <c r="M498">
        <v>18.545749618945099</v>
      </c>
      <c r="N498">
        <v>18.430953723342899</v>
      </c>
      <c r="O498">
        <v>18.469222263338001</v>
      </c>
      <c r="P498">
        <v>6.4999413659883501E-2</v>
      </c>
      <c r="Q498">
        <v>-0.26524291892642599</v>
      </c>
      <c r="R498">
        <v>0.39524174624619302</v>
      </c>
      <c r="S498">
        <v>18.099688575379702</v>
      </c>
      <c r="T498">
        <v>0.41368446193070602</v>
      </c>
      <c r="U498">
        <v>-6.7935011777347203</v>
      </c>
      <c r="V498">
        <v>0.68402075799203699</v>
      </c>
      <c r="W498">
        <v>0.98642420921484297</v>
      </c>
      <c r="X498">
        <v>0</v>
      </c>
      <c r="Y498">
        <v>0</v>
      </c>
    </row>
    <row r="499" spans="1:25" x14ac:dyDescent="0.2">
      <c r="A499" t="s">
        <v>1867</v>
      </c>
      <c r="B499" t="s">
        <v>1868</v>
      </c>
      <c r="C499" t="s">
        <v>14269</v>
      </c>
      <c r="D499" t="s">
        <v>1869</v>
      </c>
      <c r="E499" t="s">
        <v>1868</v>
      </c>
      <c r="F499" t="s">
        <v>28</v>
      </c>
      <c r="G499" t="s">
        <v>1868</v>
      </c>
      <c r="H499" t="str">
        <f>"W09C5.1"</f>
        <v>W09C5.1</v>
      </c>
      <c r="I499" t="s">
        <v>1869</v>
      </c>
      <c r="J499">
        <v>17.139143756925101</v>
      </c>
      <c r="K499">
        <v>17.337866952962301</v>
      </c>
      <c r="L499">
        <v>17.213416406605202</v>
      </c>
      <c r="M499">
        <v>17.127390075330599</v>
      </c>
      <c r="N499">
        <v>17.0406573813694</v>
      </c>
      <c r="O499">
        <v>16.8969965307294</v>
      </c>
      <c r="P499">
        <v>-0.20846104302110999</v>
      </c>
      <c r="Q499">
        <v>-0.64478189257815599</v>
      </c>
      <c r="R499">
        <v>0.22785980653593599</v>
      </c>
      <c r="S499">
        <v>17.489378144654601</v>
      </c>
      <c r="T499">
        <v>-1.0041797362916001</v>
      </c>
      <c r="U499">
        <v>-6.3700714213328498</v>
      </c>
      <c r="V499">
        <v>0.32867811857193102</v>
      </c>
      <c r="W499">
        <v>0.87233669330403496</v>
      </c>
      <c r="X499">
        <v>0</v>
      </c>
      <c r="Y499">
        <v>0</v>
      </c>
    </row>
    <row r="500" spans="1:25" x14ac:dyDescent="0.2">
      <c r="A500" t="s">
        <v>1870</v>
      </c>
      <c r="B500" t="s">
        <v>1871</v>
      </c>
      <c r="C500" t="s">
        <v>1872</v>
      </c>
      <c r="D500" t="s">
        <v>1873</v>
      </c>
      <c r="E500" t="s">
        <v>1871</v>
      </c>
      <c r="F500" t="s">
        <v>28</v>
      </c>
      <c r="G500" t="s">
        <v>1871</v>
      </c>
      <c r="H500" t="str">
        <f>"agef-1"</f>
        <v>agef-1</v>
      </c>
      <c r="I500" t="s">
        <v>1873</v>
      </c>
      <c r="J500">
        <v>12.6689761131025</v>
      </c>
      <c r="K500">
        <v>12.5944658176704</v>
      </c>
      <c r="L500">
        <v>12.9377873122681</v>
      </c>
      <c r="M500">
        <v>12.6626762786416</v>
      </c>
      <c r="N500">
        <v>13.0049502505624</v>
      </c>
      <c r="O500">
        <v>12.5722403492881</v>
      </c>
      <c r="P500">
        <v>1.28792118170367E-2</v>
      </c>
      <c r="Q500">
        <v>-0.43730557136342801</v>
      </c>
      <c r="R500">
        <v>0.46306399499750101</v>
      </c>
      <c r="S500">
        <v>13.007229961439799</v>
      </c>
      <c r="T500">
        <v>6.0129970086996699E-2</v>
      </c>
      <c r="U500">
        <v>-6.8806006160166797</v>
      </c>
      <c r="V500">
        <v>0.95271855802216698</v>
      </c>
      <c r="W500">
        <v>0.99968702248720698</v>
      </c>
      <c r="X500">
        <v>0</v>
      </c>
      <c r="Y500">
        <v>0</v>
      </c>
    </row>
    <row r="501" spans="1:25" x14ac:dyDescent="0.2">
      <c r="A501" t="s">
        <v>1874</v>
      </c>
      <c r="B501" t="s">
        <v>1875</v>
      </c>
      <c r="C501" t="s">
        <v>1876</v>
      </c>
      <c r="D501" t="s">
        <v>1877</v>
      </c>
      <c r="E501" t="s">
        <v>1875</v>
      </c>
      <c r="F501" t="s">
        <v>28</v>
      </c>
      <c r="G501" t="s">
        <v>1875</v>
      </c>
      <c r="H501" t="str">
        <f>"myrf-1"</f>
        <v>myrf-1</v>
      </c>
      <c r="I501" t="s">
        <v>1877</v>
      </c>
      <c r="J501">
        <v>11.2566324553313</v>
      </c>
      <c r="K501" t="s">
        <v>29</v>
      </c>
      <c r="L501" t="s">
        <v>29</v>
      </c>
      <c r="M501">
        <v>10.741075030507201</v>
      </c>
      <c r="N501">
        <v>10.669917746658101</v>
      </c>
      <c r="O501">
        <v>10.613319241166201</v>
      </c>
      <c r="P501">
        <v>-0.58186178255416499</v>
      </c>
      <c r="Q501">
        <v>-1.58358022134181</v>
      </c>
      <c r="R501">
        <v>0.41985665623347601</v>
      </c>
      <c r="S501">
        <v>10.739623103875401</v>
      </c>
      <c r="T501">
        <v>-1.3425790830021</v>
      </c>
      <c r="U501">
        <v>-5.6471326046744199</v>
      </c>
      <c r="V501">
        <v>0.216728919955579</v>
      </c>
      <c r="W501">
        <v>0.79508962856638699</v>
      </c>
      <c r="X501">
        <v>0</v>
      </c>
      <c r="Y501">
        <v>0</v>
      </c>
    </row>
    <row r="502" spans="1:25" x14ac:dyDescent="0.2">
      <c r="A502" t="s">
        <v>1878</v>
      </c>
      <c r="B502" t="s">
        <v>1879</v>
      </c>
      <c r="C502" t="s">
        <v>1880</v>
      </c>
      <c r="D502" t="s">
        <v>1881</v>
      </c>
      <c r="E502" t="s">
        <v>1879</v>
      </c>
      <c r="F502" t="s">
        <v>28</v>
      </c>
      <c r="G502" t="s">
        <v>1879</v>
      </c>
      <c r="H502" t="str">
        <f>"plc-1"</f>
        <v>plc-1</v>
      </c>
      <c r="I502" t="s">
        <v>1881</v>
      </c>
      <c r="J502">
        <v>12.292582742573099</v>
      </c>
      <c r="K502">
        <v>11.854611600002499</v>
      </c>
      <c r="L502" t="s">
        <v>29</v>
      </c>
      <c r="M502" t="s">
        <v>29</v>
      </c>
      <c r="N502" t="s">
        <v>29</v>
      </c>
      <c r="O502">
        <v>11.9877927182755</v>
      </c>
      <c r="P502">
        <v>-8.5804453012340104E-2</v>
      </c>
      <c r="Q502">
        <v>-1.8695413792917599</v>
      </c>
      <c r="R502">
        <v>1.69793247326708</v>
      </c>
      <c r="S502">
        <v>11.515244527103</v>
      </c>
      <c r="T502">
        <v>-0.106000207986316</v>
      </c>
      <c r="U502">
        <v>-6.4774363717558598</v>
      </c>
      <c r="V502">
        <v>0.91750867123936197</v>
      </c>
      <c r="W502">
        <v>0.99833354317360001</v>
      </c>
      <c r="X502">
        <v>0</v>
      </c>
      <c r="Y502">
        <v>0</v>
      </c>
    </row>
    <row r="503" spans="1:25" x14ac:dyDescent="0.2">
      <c r="A503" t="s">
        <v>1882</v>
      </c>
      <c r="B503" t="s">
        <v>1883</v>
      </c>
      <c r="C503" t="s">
        <v>1884</v>
      </c>
      <c r="D503" t="s">
        <v>1885</v>
      </c>
      <c r="E503" t="s">
        <v>1883</v>
      </c>
      <c r="F503" t="s">
        <v>28</v>
      </c>
      <c r="G503" t="s">
        <v>1883</v>
      </c>
      <c r="H503" t="str">
        <f>"capg-1"</f>
        <v>capg-1</v>
      </c>
      <c r="I503" t="s">
        <v>1885</v>
      </c>
      <c r="J503">
        <v>12.209655726509901</v>
      </c>
      <c r="K503">
        <v>12.6135431815716</v>
      </c>
      <c r="L503">
        <v>12.7159784282135</v>
      </c>
      <c r="M503">
        <v>12.4019218990813</v>
      </c>
      <c r="N503">
        <v>12.577076560155099</v>
      </c>
      <c r="O503">
        <v>12.635499710127901</v>
      </c>
      <c r="P503">
        <v>2.5106944356432199E-2</v>
      </c>
      <c r="Q503">
        <v>-0.49683531011698301</v>
      </c>
      <c r="R503">
        <v>0.54704919882984704</v>
      </c>
      <c r="S503">
        <v>12.9695384767641</v>
      </c>
      <c r="T503">
        <v>0.10153631928995201</v>
      </c>
      <c r="U503">
        <v>-6.8770876060406199</v>
      </c>
      <c r="V503">
        <v>0.92032002694412696</v>
      </c>
      <c r="W503">
        <v>0.99843270744267199</v>
      </c>
      <c r="X503">
        <v>0</v>
      </c>
      <c r="Y503">
        <v>0</v>
      </c>
    </row>
    <row r="504" spans="1:25" x14ac:dyDescent="0.2">
      <c r="A504" t="s">
        <v>1886</v>
      </c>
      <c r="B504" t="s">
        <v>1887</v>
      </c>
      <c r="C504" t="s">
        <v>1888</v>
      </c>
      <c r="D504" t="s">
        <v>1889</v>
      </c>
      <c r="E504" t="s">
        <v>1887</v>
      </c>
      <c r="F504" t="s">
        <v>28</v>
      </c>
      <c r="G504" t="s">
        <v>1887</v>
      </c>
      <c r="H504" t="str">
        <f>"arf-3"</f>
        <v>arf-3</v>
      </c>
      <c r="I504" t="s">
        <v>1889</v>
      </c>
      <c r="J504">
        <v>18.225184589490699</v>
      </c>
      <c r="K504">
        <v>18.1472297924212</v>
      </c>
      <c r="L504">
        <v>18.043600316090401</v>
      </c>
      <c r="M504">
        <v>18.190617851854999</v>
      </c>
      <c r="N504">
        <v>18.004651135341</v>
      </c>
      <c r="O504">
        <v>18.184131581674599</v>
      </c>
      <c r="P504">
        <v>-1.220470971057E-2</v>
      </c>
      <c r="Q504">
        <v>-0.33180916811992101</v>
      </c>
      <c r="R504">
        <v>0.30739974869878101</v>
      </c>
      <c r="S504">
        <v>17.738259446811799</v>
      </c>
      <c r="T504">
        <v>-8.0261475302150997E-2</v>
      </c>
      <c r="U504">
        <v>-6.8791243033309497</v>
      </c>
      <c r="V504">
        <v>0.93692009258490505</v>
      </c>
      <c r="W504">
        <v>0.99926809132575301</v>
      </c>
      <c r="X504">
        <v>0</v>
      </c>
      <c r="Y504">
        <v>0</v>
      </c>
    </row>
    <row r="505" spans="1:25" x14ac:dyDescent="0.2">
      <c r="A505" t="s">
        <v>1890</v>
      </c>
      <c r="B505" t="s">
        <v>1891</v>
      </c>
      <c r="C505" t="s">
        <v>1892</v>
      </c>
      <c r="D505" t="s">
        <v>1893</v>
      </c>
      <c r="E505" t="s">
        <v>1891</v>
      </c>
      <c r="F505" t="s">
        <v>28</v>
      </c>
      <c r="G505" t="s">
        <v>1891</v>
      </c>
      <c r="H505" t="str">
        <f>"gld-4"</f>
        <v>gld-4</v>
      </c>
      <c r="I505" t="s">
        <v>1893</v>
      </c>
      <c r="J505">
        <v>11.253988126139699</v>
      </c>
      <c r="K505">
        <v>11.616233918751099</v>
      </c>
      <c r="L505">
        <v>11.961821930329799</v>
      </c>
      <c r="M505" t="s">
        <v>29</v>
      </c>
      <c r="N505">
        <v>11.1516894085741</v>
      </c>
      <c r="O505">
        <v>10.7310365014671</v>
      </c>
      <c r="P505">
        <v>-0.66931837005292405</v>
      </c>
      <c r="Q505">
        <v>-1.4676176811044199</v>
      </c>
      <c r="R505">
        <v>0.128980940998567</v>
      </c>
      <c r="S505">
        <v>11.4624949281448</v>
      </c>
      <c r="T505">
        <v>-1.8128181250797299</v>
      </c>
      <c r="U505">
        <v>-5.2177227182060104</v>
      </c>
      <c r="V505">
        <v>9.3195082185439801E-2</v>
      </c>
      <c r="W505">
        <v>0.63555990474004798</v>
      </c>
      <c r="X505">
        <v>0</v>
      </c>
      <c r="Y505">
        <v>0</v>
      </c>
    </row>
    <row r="506" spans="1:25" x14ac:dyDescent="0.2">
      <c r="A506" t="s">
        <v>1894</v>
      </c>
      <c r="B506" t="s">
        <v>1895</v>
      </c>
      <c r="C506" t="s">
        <v>1896</v>
      </c>
      <c r="D506" t="s">
        <v>1897</v>
      </c>
      <c r="E506" t="s">
        <v>1895</v>
      </c>
      <c r="F506" t="s">
        <v>28</v>
      </c>
      <c r="G506" t="s">
        <v>1895</v>
      </c>
      <c r="H506" t="str">
        <f>"alp-1"</f>
        <v>alp-1</v>
      </c>
      <c r="I506" t="s">
        <v>1897</v>
      </c>
      <c r="J506">
        <v>12.7586184087038</v>
      </c>
      <c r="K506">
        <v>13.605087876642701</v>
      </c>
      <c r="L506">
        <v>13.4491450818138</v>
      </c>
      <c r="M506">
        <v>13.7660981039459</v>
      </c>
      <c r="N506">
        <v>12.9350599639004</v>
      </c>
      <c r="O506">
        <v>12.605829005631399</v>
      </c>
      <c r="P506">
        <v>-0.16862143122755699</v>
      </c>
      <c r="Q506">
        <v>-1.4013624906386599</v>
      </c>
      <c r="R506">
        <v>1.0641196281835501</v>
      </c>
      <c r="S506">
        <v>13.2844913942328</v>
      </c>
      <c r="T506">
        <v>-0.28749706994742802</v>
      </c>
      <c r="U506">
        <v>-6.8394031742626202</v>
      </c>
      <c r="V506">
        <v>0.77703454866281596</v>
      </c>
      <c r="W506">
        <v>0.99278624068726296</v>
      </c>
      <c r="X506">
        <v>0</v>
      </c>
      <c r="Y506">
        <v>0</v>
      </c>
    </row>
    <row r="507" spans="1:25" x14ac:dyDescent="0.2">
      <c r="A507" t="s">
        <v>1898</v>
      </c>
      <c r="B507" t="s">
        <v>1899</v>
      </c>
      <c r="C507" t="s">
        <v>14270</v>
      </c>
      <c r="D507" t="s">
        <v>1900</v>
      </c>
      <c r="E507" t="s">
        <v>1899</v>
      </c>
      <c r="F507" t="s">
        <v>28</v>
      </c>
      <c r="G507" t="s">
        <v>1899</v>
      </c>
      <c r="H507" t="str">
        <f>"F18C12.3"</f>
        <v>F18C12.3</v>
      </c>
      <c r="I507" t="s">
        <v>1900</v>
      </c>
      <c r="J507">
        <v>10.2765750443944</v>
      </c>
      <c r="K507">
        <v>11.6242882127935</v>
      </c>
      <c r="L507" t="s">
        <v>29</v>
      </c>
      <c r="M507" t="s">
        <v>29</v>
      </c>
      <c r="N507">
        <v>10.1072500592644</v>
      </c>
      <c r="O507">
        <v>9.0875898035118503</v>
      </c>
      <c r="P507">
        <v>-1.3530116972057999</v>
      </c>
      <c r="Q507">
        <v>-2.5651161749006599</v>
      </c>
      <c r="R507">
        <v>-0.14090721951093699</v>
      </c>
      <c r="S507">
        <v>11.903992857476799</v>
      </c>
      <c r="T507">
        <v>-2.4344816655011998</v>
      </c>
      <c r="U507">
        <v>-4.1248430090167503</v>
      </c>
      <c r="V507">
        <v>3.1634953195182502E-2</v>
      </c>
      <c r="W507">
        <v>0.38454578694047797</v>
      </c>
      <c r="X507">
        <v>-1</v>
      </c>
      <c r="Y507">
        <v>0</v>
      </c>
    </row>
    <row r="508" spans="1:25" x14ac:dyDescent="0.2">
      <c r="A508" s="28" t="s">
        <v>1901</v>
      </c>
      <c r="B508" s="28" t="s">
        <v>1902</v>
      </c>
      <c r="C508" s="28" t="s">
        <v>1903</v>
      </c>
      <c r="D508" s="28" t="s">
        <v>1904</v>
      </c>
      <c r="E508" s="28" t="s">
        <v>1902</v>
      </c>
      <c r="F508" s="28" t="s">
        <v>28</v>
      </c>
      <c r="G508" s="28" t="s">
        <v>1902</v>
      </c>
      <c r="H508" s="28" t="str">
        <f>"nekl-3"</f>
        <v>nekl-3</v>
      </c>
      <c r="I508" s="28" t="s">
        <v>1904</v>
      </c>
      <c r="J508" s="28">
        <v>12.2544733498094</v>
      </c>
      <c r="K508" s="28">
        <v>12.578076886291599</v>
      </c>
      <c r="L508" s="28">
        <v>12.269706398230401</v>
      </c>
      <c r="M508" s="28">
        <v>13.844847808495</v>
      </c>
      <c r="N508" s="28">
        <v>13.9204711843729</v>
      </c>
      <c r="O508" s="28">
        <v>13.512111111999801</v>
      </c>
      <c r="P508" s="28">
        <v>1.39172449017876</v>
      </c>
      <c r="Q508" s="28">
        <v>0.59714951460759402</v>
      </c>
      <c r="R508" s="28">
        <v>2.18629946574992</v>
      </c>
      <c r="S508" s="28">
        <v>15.936232495483599</v>
      </c>
      <c r="T508" s="28">
        <v>3.7150778267727298</v>
      </c>
      <c r="U508" s="28">
        <v>-1.67778424984745</v>
      </c>
      <c r="V508" s="28">
        <v>1.9000796534050001E-3</v>
      </c>
      <c r="W508" s="28">
        <v>5.22600420374532E-2</v>
      </c>
      <c r="X508" s="28">
        <v>1</v>
      </c>
      <c r="Y508" s="28">
        <v>1</v>
      </c>
    </row>
    <row r="509" spans="1:25" x14ac:dyDescent="0.2">
      <c r="A509" t="s">
        <v>1905</v>
      </c>
      <c r="B509" t="s">
        <v>1906</v>
      </c>
      <c r="C509" t="s">
        <v>1907</v>
      </c>
      <c r="D509" t="s">
        <v>1908</v>
      </c>
      <c r="E509" t="s">
        <v>1906</v>
      </c>
      <c r="F509" t="s">
        <v>28</v>
      </c>
      <c r="G509" t="s">
        <v>1906</v>
      </c>
      <c r="H509" t="str">
        <f>"rict-1"</f>
        <v>rict-1</v>
      </c>
      <c r="I509" t="s">
        <v>1908</v>
      </c>
      <c r="J509">
        <v>12.092804639028</v>
      </c>
      <c r="K509">
        <v>11.431969871197699</v>
      </c>
      <c r="L509">
        <v>10.845277078160301</v>
      </c>
      <c r="M509">
        <v>11.4519065237475</v>
      </c>
      <c r="N509">
        <v>12.258425593566299</v>
      </c>
      <c r="O509">
        <v>12.016820303456999</v>
      </c>
      <c r="P509">
        <v>0.45236694412822798</v>
      </c>
      <c r="Q509">
        <v>-0.25199907224221701</v>
      </c>
      <c r="R509">
        <v>1.15673296049867</v>
      </c>
      <c r="S509">
        <v>11.615297941918101</v>
      </c>
      <c r="T509">
        <v>1.3697271798036701</v>
      </c>
      <c r="U509">
        <v>-5.9499533783076499</v>
      </c>
      <c r="V509">
        <v>0.19106847444118299</v>
      </c>
      <c r="W509">
        <v>0.78295732499061499</v>
      </c>
      <c r="X509">
        <v>0</v>
      </c>
      <c r="Y509">
        <v>0</v>
      </c>
    </row>
    <row r="510" spans="1:25" x14ac:dyDescent="0.2">
      <c r="A510" t="s">
        <v>1909</v>
      </c>
      <c r="B510" t="s">
        <v>1910</v>
      </c>
      <c r="C510" t="s">
        <v>1911</v>
      </c>
      <c r="D510" t="s">
        <v>1912</v>
      </c>
      <c r="E510" t="s">
        <v>1910</v>
      </c>
      <c r="F510" t="s">
        <v>28</v>
      </c>
      <c r="G510" t="s">
        <v>1910</v>
      </c>
      <c r="H510" t="str">
        <f>"mrp-4"</f>
        <v>mrp-4</v>
      </c>
      <c r="I510" t="s">
        <v>1912</v>
      </c>
      <c r="J510">
        <v>14.388225487221201</v>
      </c>
      <c r="K510">
        <v>14.667234580799599</v>
      </c>
      <c r="L510">
        <v>14.421636699655901</v>
      </c>
      <c r="M510">
        <v>14.473366051395899</v>
      </c>
      <c r="N510">
        <v>14.608106752452301</v>
      </c>
      <c r="O510">
        <v>14.2666180525784</v>
      </c>
      <c r="P510">
        <v>-4.30019704166789E-2</v>
      </c>
      <c r="Q510">
        <v>-0.41971955239214798</v>
      </c>
      <c r="R510">
        <v>0.33371561155879098</v>
      </c>
      <c r="S510">
        <v>14.635302741999601</v>
      </c>
      <c r="T510">
        <v>-0.23991918605628701</v>
      </c>
      <c r="U510">
        <v>-6.8524627114229704</v>
      </c>
      <c r="V510">
        <v>0.81311963028407896</v>
      </c>
      <c r="W510">
        <v>0.99278624068726296</v>
      </c>
      <c r="X510">
        <v>0</v>
      </c>
      <c r="Y510">
        <v>0</v>
      </c>
    </row>
    <row r="511" spans="1:25" x14ac:dyDescent="0.2">
      <c r="A511" t="s">
        <v>1913</v>
      </c>
      <c r="B511" t="s">
        <v>1914</v>
      </c>
      <c r="C511" t="s">
        <v>1915</v>
      </c>
      <c r="D511" t="s">
        <v>561</v>
      </c>
      <c r="E511" t="s">
        <v>1914</v>
      </c>
      <c r="F511" t="s">
        <v>28</v>
      </c>
      <c r="G511" t="s">
        <v>1914</v>
      </c>
      <c r="H511" t="str">
        <f>"tag-297"</f>
        <v>tag-297</v>
      </c>
      <c r="I511" t="s">
        <v>561</v>
      </c>
      <c r="J511">
        <v>12.0354519293943</v>
      </c>
      <c r="K511">
        <v>11.9145449742539</v>
      </c>
      <c r="L511">
        <v>11.930644629389599</v>
      </c>
      <c r="M511">
        <v>11.745599167687899</v>
      </c>
      <c r="N511">
        <v>11.909704470473701</v>
      </c>
      <c r="O511">
        <v>12.122722428946799</v>
      </c>
      <c r="P511">
        <v>-3.4205155309800603E-2</v>
      </c>
      <c r="Q511">
        <v>-0.53885693567191895</v>
      </c>
      <c r="R511">
        <v>0.47044662505231799</v>
      </c>
      <c r="S511">
        <v>11.588570533529399</v>
      </c>
      <c r="T511">
        <v>-0.143070392995784</v>
      </c>
      <c r="U511">
        <v>-6.8717675467940698</v>
      </c>
      <c r="V511">
        <v>0.88792706344088401</v>
      </c>
      <c r="W511">
        <v>0.99702926582654094</v>
      </c>
      <c r="X511">
        <v>0</v>
      </c>
      <c r="Y511">
        <v>0</v>
      </c>
    </row>
    <row r="512" spans="1:25" x14ac:dyDescent="0.2">
      <c r="A512" t="s">
        <v>1916</v>
      </c>
      <c r="B512" t="s">
        <v>1917</v>
      </c>
      <c r="C512" t="s">
        <v>1918</v>
      </c>
      <c r="D512" t="s">
        <v>1919</v>
      </c>
      <c r="E512" t="s">
        <v>1917</v>
      </c>
      <c r="F512" t="s">
        <v>28</v>
      </c>
      <c r="G512" t="s">
        <v>1917</v>
      </c>
      <c r="H512" t="str">
        <f>"gldr-2"</f>
        <v>gldr-2</v>
      </c>
      <c r="I512" t="s">
        <v>1919</v>
      </c>
      <c r="J512">
        <v>10.7524377002426</v>
      </c>
      <c r="K512">
        <v>12.4083502139686</v>
      </c>
      <c r="L512">
        <v>12.090977375316699</v>
      </c>
      <c r="M512">
        <v>12.206396172904601</v>
      </c>
      <c r="N512">
        <v>11.968261612688099</v>
      </c>
      <c r="O512">
        <v>12.454444254234099</v>
      </c>
      <c r="P512">
        <v>0.45911225009965101</v>
      </c>
      <c r="Q512">
        <v>-0.30293931950876202</v>
      </c>
      <c r="R512">
        <v>1.2211638197080601</v>
      </c>
      <c r="S512">
        <v>12.9156012620676</v>
      </c>
      <c r="T512">
        <v>1.2930830284509101</v>
      </c>
      <c r="U512">
        <v>-6.0454758982207002</v>
      </c>
      <c r="V512">
        <v>0.217068665428268</v>
      </c>
      <c r="W512">
        <v>0.79508962856638699</v>
      </c>
      <c r="X512">
        <v>0</v>
      </c>
      <c r="Y512">
        <v>0</v>
      </c>
    </row>
    <row r="513" spans="1:25" x14ac:dyDescent="0.2">
      <c r="A513" t="s">
        <v>1920</v>
      </c>
      <c r="B513" t="s">
        <v>1921</v>
      </c>
      <c r="C513" t="s">
        <v>1922</v>
      </c>
      <c r="D513" t="s">
        <v>1923</v>
      </c>
      <c r="E513" t="s">
        <v>1921</v>
      </c>
      <c r="F513" t="s">
        <v>28</v>
      </c>
      <c r="G513" t="s">
        <v>1921</v>
      </c>
      <c r="H513" t="str">
        <f>"mca-1"</f>
        <v>mca-1</v>
      </c>
      <c r="I513" t="s">
        <v>1923</v>
      </c>
      <c r="J513">
        <v>13.869994050471</v>
      </c>
      <c r="K513">
        <v>13.9282777663743</v>
      </c>
      <c r="L513">
        <v>13.6083280829136</v>
      </c>
      <c r="M513">
        <v>14.0480143543592</v>
      </c>
      <c r="N513">
        <v>13.852111560052</v>
      </c>
      <c r="O513">
        <v>13.822447931300101</v>
      </c>
      <c r="P513">
        <v>0.10532464865079801</v>
      </c>
      <c r="Q513">
        <v>-0.326900809438532</v>
      </c>
      <c r="R513">
        <v>0.53755010674012904</v>
      </c>
      <c r="S513">
        <v>13.8166835188941</v>
      </c>
      <c r="T513">
        <v>0.51216770336641204</v>
      </c>
      <c r="U513">
        <v>-6.7464351735006201</v>
      </c>
      <c r="V513">
        <v>0.61479668392790798</v>
      </c>
      <c r="W513">
        <v>0.97238011246645495</v>
      </c>
      <c r="X513">
        <v>0</v>
      </c>
      <c r="Y513">
        <v>0</v>
      </c>
    </row>
    <row r="514" spans="1:25" x14ac:dyDescent="0.2">
      <c r="A514" t="s">
        <v>1924</v>
      </c>
      <c r="B514" t="s">
        <v>1925</v>
      </c>
      <c r="C514" t="s">
        <v>1926</v>
      </c>
      <c r="D514" t="s">
        <v>1927</v>
      </c>
      <c r="E514" t="s">
        <v>1925</v>
      </c>
      <c r="F514" t="s">
        <v>28</v>
      </c>
      <c r="G514" t="s">
        <v>1925</v>
      </c>
      <c r="H514" t="str">
        <f>"msi-1"</f>
        <v>msi-1</v>
      </c>
      <c r="I514" t="s">
        <v>1927</v>
      </c>
      <c r="J514">
        <v>13.66436034649</v>
      </c>
      <c r="K514">
        <v>13.409842194079999</v>
      </c>
      <c r="L514">
        <v>13.9709609288441</v>
      </c>
      <c r="M514">
        <v>13.7350033370418</v>
      </c>
      <c r="N514">
        <v>13.5305823591713</v>
      </c>
      <c r="O514">
        <v>13.7140189940994</v>
      </c>
      <c r="P514">
        <v>-2.18529263671456E-2</v>
      </c>
      <c r="Q514">
        <v>-0.48330152024701101</v>
      </c>
      <c r="R514">
        <v>0.43959566751272</v>
      </c>
      <c r="S514">
        <v>13.7645332556119</v>
      </c>
      <c r="T514">
        <v>-9.9962311162750103E-2</v>
      </c>
      <c r="U514">
        <v>-6.8772537400572196</v>
      </c>
      <c r="V514">
        <v>0.92155083540987304</v>
      </c>
      <c r="W514">
        <v>0.99843270744267199</v>
      </c>
      <c r="X514">
        <v>0</v>
      </c>
      <c r="Y514">
        <v>0</v>
      </c>
    </row>
    <row r="515" spans="1:25" x14ac:dyDescent="0.2">
      <c r="A515" t="s">
        <v>1928</v>
      </c>
      <c r="B515" t="s">
        <v>1929</v>
      </c>
      <c r="C515" t="s">
        <v>14271</v>
      </c>
      <c r="D515" t="s">
        <v>1930</v>
      </c>
      <c r="E515" t="s">
        <v>1929</v>
      </c>
      <c r="F515" t="s">
        <v>28</v>
      </c>
      <c r="G515" t="s">
        <v>1931</v>
      </c>
      <c r="H515" t="str">
        <f>"F45D11.15"</f>
        <v>F45D11.15</v>
      </c>
      <c r="I515" t="s">
        <v>689</v>
      </c>
      <c r="J515">
        <v>19.660261542670799</v>
      </c>
      <c r="K515">
        <v>19.923904303998601</v>
      </c>
      <c r="L515">
        <v>18.606609014420201</v>
      </c>
      <c r="M515">
        <v>17.256191555387499</v>
      </c>
      <c r="N515">
        <v>16.823671248419899</v>
      </c>
      <c r="O515">
        <v>18.554640162976298</v>
      </c>
      <c r="P515">
        <v>-1.8520906314353101</v>
      </c>
      <c r="Q515">
        <v>-3.0378101211074999</v>
      </c>
      <c r="R515">
        <v>-0.66637114176312595</v>
      </c>
      <c r="S515">
        <v>17.490977138687398</v>
      </c>
      <c r="T515">
        <v>-3.2830144151638101</v>
      </c>
      <c r="U515">
        <v>-2.4870277739176099</v>
      </c>
      <c r="V515">
        <v>4.1583993528048696E-3</v>
      </c>
      <c r="W515">
        <v>9.4143898273024496E-2</v>
      </c>
      <c r="X515">
        <v>-1</v>
      </c>
      <c r="Y515">
        <v>0</v>
      </c>
    </row>
    <row r="516" spans="1:25" x14ac:dyDescent="0.2">
      <c r="A516" t="s">
        <v>1932</v>
      </c>
      <c r="B516" t="s">
        <v>1933</v>
      </c>
      <c r="C516" t="s">
        <v>14272</v>
      </c>
      <c r="D516" t="s">
        <v>1934</v>
      </c>
      <c r="E516" t="s">
        <v>1933</v>
      </c>
      <c r="F516" t="s">
        <v>28</v>
      </c>
      <c r="G516" t="s">
        <v>1933</v>
      </c>
      <c r="H516" t="str">
        <f>"T12D8.9"</f>
        <v>T12D8.9</v>
      </c>
      <c r="I516" t="s">
        <v>1934</v>
      </c>
      <c r="J516">
        <v>12.266443329639801</v>
      </c>
      <c r="K516">
        <v>11.9069249885014</v>
      </c>
      <c r="L516">
        <v>12.399631137043601</v>
      </c>
      <c r="M516">
        <v>12.531048097368</v>
      </c>
      <c r="N516">
        <v>12.0867370347848</v>
      </c>
      <c r="O516">
        <v>11.960190066171499</v>
      </c>
      <c r="P516">
        <v>1.65858104651306E-3</v>
      </c>
      <c r="Q516">
        <v>-0.72171259162244605</v>
      </c>
      <c r="R516">
        <v>0.72502975371547196</v>
      </c>
      <c r="S516">
        <v>11.701755751666701</v>
      </c>
      <c r="T516">
        <v>4.8191230298741498E-3</v>
      </c>
      <c r="U516">
        <v>-6.8824774399597901</v>
      </c>
      <c r="V516">
        <v>0.99620822805967602</v>
      </c>
      <c r="W516">
        <v>0.99968702248720698</v>
      </c>
      <c r="X516">
        <v>0</v>
      </c>
      <c r="Y516">
        <v>0</v>
      </c>
    </row>
    <row r="517" spans="1:25" x14ac:dyDescent="0.2">
      <c r="A517" t="s">
        <v>1935</v>
      </c>
      <c r="B517" t="s">
        <v>1936</v>
      </c>
      <c r="C517" t="s">
        <v>1937</v>
      </c>
      <c r="D517" t="s">
        <v>1938</v>
      </c>
      <c r="E517" t="s">
        <v>1936</v>
      </c>
      <c r="F517" t="s">
        <v>28</v>
      </c>
      <c r="G517" t="s">
        <v>1936</v>
      </c>
      <c r="H517" t="str">
        <f>"ltah-1.1"</f>
        <v>ltah-1.1</v>
      </c>
      <c r="I517" t="s">
        <v>1938</v>
      </c>
      <c r="J517">
        <v>13.833983118888</v>
      </c>
      <c r="K517">
        <v>13.809674538369</v>
      </c>
      <c r="L517">
        <v>14.013512489161201</v>
      </c>
      <c r="M517">
        <v>13.633096471231701</v>
      </c>
      <c r="N517">
        <v>13.9809340777032</v>
      </c>
      <c r="O517">
        <v>13.816173205816799</v>
      </c>
      <c r="P517">
        <v>-7.5655463888834304E-2</v>
      </c>
      <c r="Q517">
        <v>-0.96647801242435005</v>
      </c>
      <c r="R517">
        <v>0.81516708464668097</v>
      </c>
      <c r="S517">
        <v>14.1193532531037</v>
      </c>
      <c r="T517">
        <v>-0.179266487990629</v>
      </c>
      <c r="U517">
        <v>-6.8656618924856696</v>
      </c>
      <c r="V517">
        <v>0.85986076504045905</v>
      </c>
      <c r="W517">
        <v>0.99370971747667503</v>
      </c>
      <c r="X517">
        <v>0</v>
      </c>
      <c r="Y517">
        <v>0</v>
      </c>
    </row>
    <row r="518" spans="1:25" x14ac:dyDescent="0.2">
      <c r="A518" t="s">
        <v>1939</v>
      </c>
      <c r="B518" t="s">
        <v>1940</v>
      </c>
      <c r="C518" t="s">
        <v>1941</v>
      </c>
      <c r="D518" t="s">
        <v>1942</v>
      </c>
      <c r="E518" t="s">
        <v>1940</v>
      </c>
      <c r="F518" t="s">
        <v>28</v>
      </c>
      <c r="G518" t="s">
        <v>1940</v>
      </c>
      <c r="H518" t="str">
        <f>"hsf-1"</f>
        <v>hsf-1</v>
      </c>
      <c r="I518" t="s">
        <v>1942</v>
      </c>
      <c r="J518" t="s">
        <v>29</v>
      </c>
      <c r="K518" t="s">
        <v>29</v>
      </c>
      <c r="L518" t="s">
        <v>29</v>
      </c>
      <c r="M518" t="s">
        <v>29</v>
      </c>
      <c r="N518" t="s">
        <v>29</v>
      </c>
      <c r="O518" t="s">
        <v>29</v>
      </c>
      <c r="P518" t="s">
        <v>29</v>
      </c>
      <c r="Q518" t="s">
        <v>29</v>
      </c>
      <c r="R518" t="s">
        <v>29</v>
      </c>
      <c r="S518">
        <v>11.3397495128618</v>
      </c>
      <c r="T518" t="s">
        <v>29</v>
      </c>
      <c r="U518" t="s">
        <v>29</v>
      </c>
      <c r="V518" t="s">
        <v>29</v>
      </c>
      <c r="W518" t="s">
        <v>29</v>
      </c>
      <c r="X518" t="s">
        <v>29</v>
      </c>
      <c r="Y518" t="s">
        <v>29</v>
      </c>
    </row>
    <row r="519" spans="1:25" x14ac:dyDescent="0.2">
      <c r="A519" t="s">
        <v>1943</v>
      </c>
      <c r="B519" t="s">
        <v>1944</v>
      </c>
      <c r="C519" t="s">
        <v>1945</v>
      </c>
      <c r="D519" t="s">
        <v>1946</v>
      </c>
      <c r="E519" t="s">
        <v>1944</v>
      </c>
      <c r="F519" t="s">
        <v>28</v>
      </c>
      <c r="G519" t="s">
        <v>1944</v>
      </c>
      <c r="H519" t="str">
        <f>"hhat-1"</f>
        <v>hhat-1</v>
      </c>
      <c r="I519" t="s">
        <v>1946</v>
      </c>
      <c r="J519">
        <v>14.380832629699</v>
      </c>
      <c r="K519">
        <v>15.0155528193264</v>
      </c>
      <c r="L519">
        <v>14.8685446212488</v>
      </c>
      <c r="M519">
        <v>14.813457608692101</v>
      </c>
      <c r="N519">
        <v>14.83164854865</v>
      </c>
      <c r="O519">
        <v>14.436921379204501</v>
      </c>
      <c r="P519">
        <v>-6.0967511242527202E-2</v>
      </c>
      <c r="Q519">
        <v>-0.63292387198421995</v>
      </c>
      <c r="R519">
        <v>0.51098884949916601</v>
      </c>
      <c r="S519">
        <v>15.0654599674814</v>
      </c>
      <c r="T519">
        <v>-0.22404130104466899</v>
      </c>
      <c r="U519">
        <v>-6.8563001313048</v>
      </c>
      <c r="V519">
        <v>0.82526313032756005</v>
      </c>
      <c r="W519">
        <v>0.99330043317545003</v>
      </c>
      <c r="X519">
        <v>0</v>
      </c>
      <c r="Y519">
        <v>0</v>
      </c>
    </row>
    <row r="520" spans="1:25" x14ac:dyDescent="0.2">
      <c r="A520" t="s">
        <v>1947</v>
      </c>
      <c r="B520" t="s">
        <v>1948</v>
      </c>
      <c r="C520" t="s">
        <v>1949</v>
      </c>
      <c r="D520" t="s">
        <v>1950</v>
      </c>
      <c r="E520" t="s">
        <v>1948</v>
      </c>
      <c r="F520" t="s">
        <v>28</v>
      </c>
      <c r="G520" t="s">
        <v>1948</v>
      </c>
      <c r="H520" t="str">
        <f>"pak-2"</f>
        <v>pak-2</v>
      </c>
      <c r="I520" t="s">
        <v>1950</v>
      </c>
      <c r="J520">
        <v>13.1878272472966</v>
      </c>
      <c r="K520">
        <v>13.480087061372201</v>
      </c>
      <c r="L520">
        <v>13.344605520843899</v>
      </c>
      <c r="M520">
        <v>12.949024516273401</v>
      </c>
      <c r="N520">
        <v>13.1921510140078</v>
      </c>
      <c r="O520">
        <v>13.835158302912401</v>
      </c>
      <c r="P520">
        <v>-1.2061998773045699E-2</v>
      </c>
      <c r="Q520">
        <v>-0.51108781656327495</v>
      </c>
      <c r="R520">
        <v>0.486963819017184</v>
      </c>
      <c r="S520">
        <v>13.3240097675711</v>
      </c>
      <c r="T520">
        <v>-5.1020684172947001E-2</v>
      </c>
      <c r="U520">
        <v>-6.8811252997982004</v>
      </c>
      <c r="V520">
        <v>0.95990740199785096</v>
      </c>
      <c r="W520">
        <v>0.99968702248720698</v>
      </c>
      <c r="X520">
        <v>0</v>
      </c>
      <c r="Y520">
        <v>0</v>
      </c>
    </row>
    <row r="521" spans="1:25" x14ac:dyDescent="0.2">
      <c r="A521" t="s">
        <v>1951</v>
      </c>
      <c r="B521" t="s">
        <v>1952</v>
      </c>
      <c r="C521" t="s">
        <v>1953</v>
      </c>
      <c r="D521" t="s">
        <v>1954</v>
      </c>
      <c r="E521" t="s">
        <v>1952</v>
      </c>
      <c r="F521" t="s">
        <v>28</v>
      </c>
      <c r="G521" t="s">
        <v>1955</v>
      </c>
      <c r="H521" t="str">
        <f>"ant-1.4"</f>
        <v>ant-1.4</v>
      </c>
      <c r="I521" t="s">
        <v>1954</v>
      </c>
      <c r="J521">
        <v>20.675902039732399</v>
      </c>
      <c r="K521">
        <v>20.683003599328998</v>
      </c>
      <c r="L521">
        <v>20.481140468722302</v>
      </c>
      <c r="M521">
        <v>20.5019379139144</v>
      </c>
      <c r="N521">
        <v>20.332353044243298</v>
      </c>
      <c r="O521">
        <v>20.495255779397201</v>
      </c>
      <c r="P521">
        <v>-0.17016645674296199</v>
      </c>
      <c r="Q521">
        <v>-0.53671059606815996</v>
      </c>
      <c r="R521">
        <v>0.19637768258223701</v>
      </c>
      <c r="S521">
        <v>19.997214391371401</v>
      </c>
      <c r="T521">
        <v>-0.97575366035477196</v>
      </c>
      <c r="U521">
        <v>-6.3979356341541296</v>
      </c>
      <c r="V521">
        <v>0.342193473174148</v>
      </c>
      <c r="W521">
        <v>0.876350511665964</v>
      </c>
      <c r="X521">
        <v>0</v>
      </c>
      <c r="Y521">
        <v>0</v>
      </c>
    </row>
    <row r="522" spans="1:25" x14ac:dyDescent="0.2">
      <c r="A522" t="s">
        <v>1956</v>
      </c>
      <c r="B522" t="s">
        <v>1957</v>
      </c>
      <c r="C522" t="s">
        <v>14273</v>
      </c>
      <c r="D522" t="s">
        <v>323</v>
      </c>
      <c r="E522" t="s">
        <v>1957</v>
      </c>
      <c r="F522" t="s">
        <v>28</v>
      </c>
      <c r="G522" t="s">
        <v>1957</v>
      </c>
      <c r="H522" t="str">
        <f>"ZK524.4"</f>
        <v>ZK524.4</v>
      </c>
      <c r="I522" t="s">
        <v>323</v>
      </c>
      <c r="J522">
        <v>11.8416214453758</v>
      </c>
      <c r="K522">
        <v>11.856877738942201</v>
      </c>
      <c r="L522">
        <v>11.879762117974201</v>
      </c>
      <c r="M522">
        <v>12.2615092538576</v>
      </c>
      <c r="N522">
        <v>12.5623485363675</v>
      </c>
      <c r="O522">
        <v>12.307715928455201</v>
      </c>
      <c r="P522">
        <v>0.51777080546270005</v>
      </c>
      <c r="Q522">
        <v>0.123209009768288</v>
      </c>
      <c r="R522">
        <v>0.91233260115711201</v>
      </c>
      <c r="S522">
        <v>12.420472404545601</v>
      </c>
      <c r="T522">
        <v>2.7699538972075901</v>
      </c>
      <c r="U522">
        <v>-3.57422310898614</v>
      </c>
      <c r="V522">
        <v>1.3162292704232E-2</v>
      </c>
      <c r="W522">
        <v>0.215783793693025</v>
      </c>
      <c r="X522">
        <v>0</v>
      </c>
      <c r="Y522">
        <v>0</v>
      </c>
    </row>
    <row r="523" spans="1:25" x14ac:dyDescent="0.2">
      <c r="A523" t="s">
        <v>1958</v>
      </c>
      <c r="B523" t="s">
        <v>1959</v>
      </c>
      <c r="C523" t="s">
        <v>1960</v>
      </c>
      <c r="D523" t="s">
        <v>1961</v>
      </c>
      <c r="E523" t="s">
        <v>1959</v>
      </c>
      <c r="F523" t="s">
        <v>28</v>
      </c>
      <c r="G523" t="s">
        <v>1959</v>
      </c>
      <c r="H523" t="str">
        <f>"rsa-2"</f>
        <v>rsa-2</v>
      </c>
      <c r="I523" t="s">
        <v>1961</v>
      </c>
      <c r="J523">
        <v>11.7840483961503</v>
      </c>
      <c r="K523" t="s">
        <v>29</v>
      </c>
      <c r="L523">
        <v>12.262528793306</v>
      </c>
      <c r="M523">
        <v>11.968378760741601</v>
      </c>
      <c r="N523">
        <v>12.3977475309217</v>
      </c>
      <c r="O523" t="s">
        <v>29</v>
      </c>
      <c r="P523">
        <v>0.159774551103533</v>
      </c>
      <c r="Q523">
        <v>-0.43817384526658898</v>
      </c>
      <c r="R523">
        <v>0.75772294747365498</v>
      </c>
      <c r="S523">
        <v>12.2512988423923</v>
      </c>
      <c r="T523">
        <v>0.57773828111992298</v>
      </c>
      <c r="U523">
        <v>-6.5075487384579702</v>
      </c>
      <c r="V523">
        <v>0.57339126274762497</v>
      </c>
      <c r="W523">
        <v>0.96052030798546795</v>
      </c>
      <c r="X523">
        <v>0</v>
      </c>
      <c r="Y523">
        <v>0</v>
      </c>
    </row>
    <row r="524" spans="1:25" x14ac:dyDescent="0.2">
      <c r="A524" t="s">
        <v>1962</v>
      </c>
      <c r="B524" t="s">
        <v>1963</v>
      </c>
      <c r="C524" t="s">
        <v>1964</v>
      </c>
      <c r="D524" t="s">
        <v>1965</v>
      </c>
      <c r="E524" t="s">
        <v>1963</v>
      </c>
      <c r="F524" t="s">
        <v>28</v>
      </c>
      <c r="G524" t="s">
        <v>1963</v>
      </c>
      <c r="H524" t="str">
        <f>"catp-4"</f>
        <v>catp-4</v>
      </c>
      <c r="I524" t="s">
        <v>1965</v>
      </c>
      <c r="J524">
        <v>14.251786216585799</v>
      </c>
      <c r="K524">
        <v>14.0552744036892</v>
      </c>
      <c r="L524">
        <v>13.7213498042242</v>
      </c>
      <c r="M524">
        <v>14.4764858234412</v>
      </c>
      <c r="N524">
        <v>13.9029792946654</v>
      </c>
      <c r="O524">
        <v>14.624687290951</v>
      </c>
      <c r="P524">
        <v>0.32524732818609298</v>
      </c>
      <c r="Q524">
        <v>-0.43541714535317799</v>
      </c>
      <c r="R524">
        <v>1.0859118017253599</v>
      </c>
      <c r="S524">
        <v>14.144740559914201</v>
      </c>
      <c r="T524">
        <v>0.89869663917090503</v>
      </c>
      <c r="U524">
        <v>-6.46983212392142</v>
      </c>
      <c r="V524">
        <v>0.38074784561994302</v>
      </c>
      <c r="W524">
        <v>0.89676491877082198</v>
      </c>
      <c r="X524">
        <v>0</v>
      </c>
      <c r="Y524">
        <v>0</v>
      </c>
    </row>
    <row r="525" spans="1:25" x14ac:dyDescent="0.2">
      <c r="A525" t="s">
        <v>1966</v>
      </c>
      <c r="B525" t="s">
        <v>1967</v>
      </c>
      <c r="C525" t="s">
        <v>1968</v>
      </c>
      <c r="D525" t="s">
        <v>1969</v>
      </c>
      <c r="E525" t="s">
        <v>1967</v>
      </c>
      <c r="F525" t="s">
        <v>28</v>
      </c>
      <c r="G525" t="s">
        <v>1967</v>
      </c>
      <c r="H525" t="str">
        <f>"vps-52"</f>
        <v>vps-52</v>
      </c>
      <c r="I525" t="s">
        <v>1969</v>
      </c>
      <c r="J525">
        <v>12.7630486141855</v>
      </c>
      <c r="K525">
        <v>13.118729066249101</v>
      </c>
      <c r="L525">
        <v>12.750208348561999</v>
      </c>
      <c r="M525">
        <v>12.845650690185799</v>
      </c>
      <c r="N525">
        <v>13.062728017213599</v>
      </c>
      <c r="O525">
        <v>13.5151840996087</v>
      </c>
      <c r="P525">
        <v>0.26385892600384198</v>
      </c>
      <c r="Q525">
        <v>-0.2313235807979</v>
      </c>
      <c r="R525">
        <v>0.75904143280558301</v>
      </c>
      <c r="S525">
        <v>12.7009266714735</v>
      </c>
      <c r="T525">
        <v>1.13644416246792</v>
      </c>
      <c r="U525">
        <v>-6.2287375083163496</v>
      </c>
      <c r="V525">
        <v>0.27372472050191099</v>
      </c>
      <c r="W525">
        <v>0.856190392347986</v>
      </c>
      <c r="X525">
        <v>0</v>
      </c>
      <c r="Y525">
        <v>0</v>
      </c>
    </row>
    <row r="526" spans="1:25" x14ac:dyDescent="0.2">
      <c r="A526" t="s">
        <v>1970</v>
      </c>
      <c r="B526" t="s">
        <v>1971</v>
      </c>
      <c r="C526" t="s">
        <v>1972</v>
      </c>
      <c r="D526" t="s">
        <v>810</v>
      </c>
      <c r="E526" t="s">
        <v>1971</v>
      </c>
      <c r="F526" t="s">
        <v>28</v>
      </c>
      <c r="G526" t="s">
        <v>1971</v>
      </c>
      <c r="H526" t="str">
        <f>"sma-1"</f>
        <v>sma-1</v>
      </c>
      <c r="I526" t="s">
        <v>810</v>
      </c>
      <c r="J526">
        <v>12.552601899764401</v>
      </c>
      <c r="K526">
        <v>12.7728096190092</v>
      </c>
      <c r="L526">
        <v>13.0319269199864</v>
      </c>
      <c r="M526">
        <v>14.096949106136501</v>
      </c>
      <c r="N526">
        <v>14.3274598332499</v>
      </c>
      <c r="O526">
        <v>14.2175951823092</v>
      </c>
      <c r="P526">
        <v>1.4282218943118601</v>
      </c>
      <c r="Q526">
        <v>0.649294338819561</v>
      </c>
      <c r="R526">
        <v>2.2071494498041599</v>
      </c>
      <c r="S526">
        <v>13.704217614047501</v>
      </c>
      <c r="T526">
        <v>3.8538173869904102</v>
      </c>
      <c r="U526">
        <v>-1.25397015297784</v>
      </c>
      <c r="V526">
        <v>1.1738623673104101E-3</v>
      </c>
      <c r="W526">
        <v>3.5024195720561799E-2</v>
      </c>
      <c r="X526">
        <v>1</v>
      </c>
      <c r="Y526">
        <v>1</v>
      </c>
    </row>
    <row r="527" spans="1:25" x14ac:dyDescent="0.2">
      <c r="A527" t="s">
        <v>1973</v>
      </c>
      <c r="B527" t="s">
        <v>1974</v>
      </c>
      <c r="C527" t="s">
        <v>1975</v>
      </c>
      <c r="D527" t="s">
        <v>1976</v>
      </c>
      <c r="E527" t="s">
        <v>1974</v>
      </c>
      <c r="F527" t="s">
        <v>28</v>
      </c>
      <c r="G527" t="s">
        <v>1974</v>
      </c>
      <c r="H527" t="str">
        <f>"ntl-3"</f>
        <v>ntl-3</v>
      </c>
      <c r="I527" t="s">
        <v>1976</v>
      </c>
      <c r="J527">
        <v>11.6488954690195</v>
      </c>
      <c r="K527">
        <v>12.784666291009399</v>
      </c>
      <c r="L527">
        <v>12.447509080989301</v>
      </c>
      <c r="M527">
        <v>12.4780017007801</v>
      </c>
      <c r="N527">
        <v>12.449594692986899</v>
      </c>
      <c r="O527">
        <v>13.471247053430901</v>
      </c>
      <c r="P527">
        <v>0.50592420205988198</v>
      </c>
      <c r="Q527">
        <v>-0.40832436233122998</v>
      </c>
      <c r="R527">
        <v>1.42017276645099</v>
      </c>
      <c r="S527">
        <v>12.3195208478653</v>
      </c>
      <c r="T527">
        <v>1.18021946806663</v>
      </c>
      <c r="U527">
        <v>-6.1796569954308103</v>
      </c>
      <c r="V527">
        <v>0.25641845975641298</v>
      </c>
      <c r="W527">
        <v>0.83706879678059698</v>
      </c>
      <c r="X527">
        <v>0</v>
      </c>
      <c r="Y527">
        <v>0</v>
      </c>
    </row>
    <row r="528" spans="1:25" x14ac:dyDescent="0.2">
      <c r="A528" t="s">
        <v>1977</v>
      </c>
      <c r="B528" t="s">
        <v>1978</v>
      </c>
      <c r="C528" t="s">
        <v>1979</v>
      </c>
      <c r="D528" t="s">
        <v>1980</v>
      </c>
      <c r="E528" t="s">
        <v>1978</v>
      </c>
      <c r="F528" t="s">
        <v>28</v>
      </c>
      <c r="G528" t="s">
        <v>1978</v>
      </c>
      <c r="H528" t="str">
        <f>"polh-1"</f>
        <v>polh-1</v>
      </c>
      <c r="I528" t="s">
        <v>1980</v>
      </c>
      <c r="J528" t="s">
        <v>29</v>
      </c>
      <c r="K528" t="s">
        <v>29</v>
      </c>
      <c r="L528" t="s">
        <v>29</v>
      </c>
      <c r="M528" t="s">
        <v>29</v>
      </c>
      <c r="N528" t="s">
        <v>29</v>
      </c>
      <c r="O528" t="s">
        <v>29</v>
      </c>
      <c r="P528" t="s">
        <v>29</v>
      </c>
      <c r="Q528" t="s">
        <v>29</v>
      </c>
      <c r="R528" t="s">
        <v>29</v>
      </c>
      <c r="S528">
        <v>9.1376999309035902</v>
      </c>
      <c r="T528" t="s">
        <v>29</v>
      </c>
      <c r="U528" t="s">
        <v>29</v>
      </c>
      <c r="V528" t="s">
        <v>29</v>
      </c>
      <c r="W528" t="s">
        <v>29</v>
      </c>
      <c r="X528" t="s">
        <v>29</v>
      </c>
      <c r="Y528" t="s">
        <v>29</v>
      </c>
    </row>
    <row r="529" spans="1:25" x14ac:dyDescent="0.2">
      <c r="A529" t="s">
        <v>1981</v>
      </c>
      <c r="B529" t="s">
        <v>1982</v>
      </c>
      <c r="C529" t="s">
        <v>1983</v>
      </c>
      <c r="D529" t="s">
        <v>534</v>
      </c>
      <c r="E529" t="s">
        <v>1982</v>
      </c>
      <c r="F529" t="s">
        <v>28</v>
      </c>
      <c r="G529" t="s">
        <v>1982</v>
      </c>
      <c r="H529" t="str">
        <f>"sec-31"</f>
        <v>sec-31</v>
      </c>
      <c r="I529" t="s">
        <v>534</v>
      </c>
      <c r="J529">
        <v>11.4555157557883</v>
      </c>
      <c r="K529">
        <v>11.0635055567114</v>
      </c>
      <c r="L529">
        <v>11.490658090813399</v>
      </c>
      <c r="M529">
        <v>11.3794230921606</v>
      </c>
      <c r="N529">
        <v>11.704428240995901</v>
      </c>
      <c r="O529">
        <v>11.4440283434064</v>
      </c>
      <c r="P529">
        <v>0.172733424416567</v>
      </c>
      <c r="Q529">
        <v>-0.246800112468576</v>
      </c>
      <c r="R529">
        <v>0.59226696130170997</v>
      </c>
      <c r="S529">
        <v>11.7659315515917</v>
      </c>
      <c r="T529">
        <v>0.86907991393644501</v>
      </c>
      <c r="U529">
        <v>-6.4952928985253697</v>
      </c>
      <c r="V529">
        <v>0.39698206882857801</v>
      </c>
      <c r="W529">
        <v>0.90975406915825197</v>
      </c>
      <c r="X529">
        <v>0</v>
      </c>
      <c r="Y529">
        <v>0</v>
      </c>
    </row>
    <row r="530" spans="1:25" x14ac:dyDescent="0.2">
      <c r="A530" t="s">
        <v>1984</v>
      </c>
      <c r="B530" t="s">
        <v>1985</v>
      </c>
      <c r="C530" t="s">
        <v>1986</v>
      </c>
      <c r="D530" t="s">
        <v>1987</v>
      </c>
      <c r="E530" t="s">
        <v>1985</v>
      </c>
      <c r="F530" t="s">
        <v>28</v>
      </c>
      <c r="G530" t="s">
        <v>1985</v>
      </c>
      <c r="H530" t="str">
        <f>"ipgm-1"</f>
        <v>ipgm-1</v>
      </c>
      <c r="I530" t="s">
        <v>1987</v>
      </c>
      <c r="J530">
        <v>12.932515737472301</v>
      </c>
      <c r="K530">
        <v>12.6737773245731</v>
      </c>
      <c r="L530">
        <v>12.6343900068044</v>
      </c>
      <c r="M530">
        <v>12.4426051625948</v>
      </c>
      <c r="N530">
        <v>12.198141876493199</v>
      </c>
      <c r="O530">
        <v>12.4150168949782</v>
      </c>
      <c r="P530">
        <v>-0.39497304492784702</v>
      </c>
      <c r="Q530">
        <v>-0.87629733997093195</v>
      </c>
      <c r="R530">
        <v>8.6351250115238698E-2</v>
      </c>
      <c r="S530">
        <v>12.4343710521575</v>
      </c>
      <c r="T530">
        <v>-1.7321268259240299</v>
      </c>
      <c r="U530">
        <v>-5.4362608738768801</v>
      </c>
      <c r="V530">
        <v>0.10146608002950799</v>
      </c>
      <c r="W530">
        <v>0.65568760065670495</v>
      </c>
      <c r="X530">
        <v>0</v>
      </c>
      <c r="Y530">
        <v>0</v>
      </c>
    </row>
    <row r="531" spans="1:25" x14ac:dyDescent="0.2">
      <c r="A531" t="s">
        <v>1988</v>
      </c>
      <c r="B531" t="s">
        <v>1989</v>
      </c>
      <c r="C531" t="s">
        <v>1990</v>
      </c>
      <c r="D531" t="s">
        <v>1991</v>
      </c>
      <c r="E531" t="s">
        <v>1989</v>
      </c>
      <c r="F531" t="s">
        <v>28</v>
      </c>
      <c r="G531" t="s">
        <v>1989</v>
      </c>
      <c r="H531" t="str">
        <f>"ash-2"</f>
        <v>ash-2</v>
      </c>
      <c r="I531" t="s">
        <v>1991</v>
      </c>
      <c r="J531">
        <v>12.487639197185599</v>
      </c>
      <c r="K531">
        <v>12.864716407979101</v>
      </c>
      <c r="L531">
        <v>12.660531609141801</v>
      </c>
      <c r="M531">
        <v>12.670511976942199</v>
      </c>
      <c r="N531">
        <v>12.6244703900259</v>
      </c>
      <c r="O531">
        <v>13.0139688288908</v>
      </c>
      <c r="P531">
        <v>9.8687993850791897E-2</v>
      </c>
      <c r="Q531">
        <v>-0.40820010798537598</v>
      </c>
      <c r="R531">
        <v>0.60557609568696003</v>
      </c>
      <c r="S531">
        <v>12.910225356792701</v>
      </c>
      <c r="T531">
        <v>0.409208585185181</v>
      </c>
      <c r="U531">
        <v>-6.7954074048541102</v>
      </c>
      <c r="V531">
        <v>0.68724272826667898</v>
      </c>
      <c r="W531">
        <v>0.98642420921484297</v>
      </c>
      <c r="X531">
        <v>0</v>
      </c>
      <c r="Y531">
        <v>0</v>
      </c>
    </row>
    <row r="532" spans="1:25" x14ac:dyDescent="0.2">
      <c r="A532" t="s">
        <v>1992</v>
      </c>
      <c r="B532" t="s">
        <v>1993</v>
      </c>
      <c r="C532" t="s">
        <v>1994</v>
      </c>
      <c r="D532" t="s">
        <v>1995</v>
      </c>
      <c r="E532" t="s">
        <v>1993</v>
      </c>
      <c r="F532" t="s">
        <v>28</v>
      </c>
      <c r="G532" t="s">
        <v>1993</v>
      </c>
      <c r="H532" t="str">
        <f>"fat-4"</f>
        <v>fat-4</v>
      </c>
      <c r="I532" t="s">
        <v>1995</v>
      </c>
      <c r="J532">
        <v>12.592029192245001</v>
      </c>
      <c r="K532">
        <v>12.6693132245857</v>
      </c>
      <c r="L532">
        <v>12.5615664944829</v>
      </c>
      <c r="M532">
        <v>12.761474833314599</v>
      </c>
      <c r="N532">
        <v>12.920214914341001</v>
      </c>
      <c r="O532">
        <v>12.2563016588231</v>
      </c>
      <c r="P532">
        <v>3.8360831721702099E-2</v>
      </c>
      <c r="Q532">
        <v>-0.58567855777710698</v>
      </c>
      <c r="R532">
        <v>0.66240022122051101</v>
      </c>
      <c r="S532">
        <v>12.7278365403533</v>
      </c>
      <c r="T532">
        <v>0.13038437251882901</v>
      </c>
      <c r="U532">
        <v>-6.8735527394417701</v>
      </c>
      <c r="V532">
        <v>0.89789817396889904</v>
      </c>
      <c r="W532">
        <v>0.99833354317360001</v>
      </c>
      <c r="X532">
        <v>0</v>
      </c>
      <c r="Y532">
        <v>0</v>
      </c>
    </row>
    <row r="533" spans="1:25" x14ac:dyDescent="0.2">
      <c r="A533" t="s">
        <v>1996</v>
      </c>
      <c r="B533" t="s">
        <v>1997</v>
      </c>
      <c r="C533" t="s">
        <v>1998</v>
      </c>
      <c r="D533" t="s">
        <v>1999</v>
      </c>
      <c r="E533" t="s">
        <v>1997</v>
      </c>
      <c r="F533" t="s">
        <v>28</v>
      </c>
      <c r="G533" t="s">
        <v>1997</v>
      </c>
      <c r="H533" t="str">
        <f>"dhs-12"</f>
        <v>dhs-12</v>
      </c>
      <c r="I533" t="s">
        <v>1999</v>
      </c>
      <c r="J533">
        <v>13.658561360924599</v>
      </c>
      <c r="K533">
        <v>13.4720065577458</v>
      </c>
      <c r="L533">
        <v>13.3374604383167</v>
      </c>
      <c r="M533">
        <v>13.2458053709514</v>
      </c>
      <c r="N533">
        <v>13.3420437093458</v>
      </c>
      <c r="O533">
        <v>13.041052939427701</v>
      </c>
      <c r="P533">
        <v>-0.27970877908735903</v>
      </c>
      <c r="Q533">
        <v>-0.79471423260559104</v>
      </c>
      <c r="R533">
        <v>0.23529667443087299</v>
      </c>
      <c r="S533">
        <v>12.878314356271201</v>
      </c>
      <c r="T533">
        <v>-1.1464213959617</v>
      </c>
      <c r="U533">
        <v>-6.2193714463107401</v>
      </c>
      <c r="V533">
        <v>0.267598775311927</v>
      </c>
      <c r="W533">
        <v>0.85467248007494701</v>
      </c>
      <c r="X533">
        <v>0</v>
      </c>
      <c r="Y533">
        <v>0</v>
      </c>
    </row>
    <row r="534" spans="1:25" x14ac:dyDescent="0.2">
      <c r="A534" t="s">
        <v>2000</v>
      </c>
      <c r="B534" t="s">
        <v>2001</v>
      </c>
      <c r="C534" t="s">
        <v>2002</v>
      </c>
      <c r="D534" t="s">
        <v>2003</v>
      </c>
      <c r="E534" t="s">
        <v>2001</v>
      </c>
      <c r="F534" t="s">
        <v>28</v>
      </c>
      <c r="G534" t="s">
        <v>2001</v>
      </c>
      <c r="H534" t="str">
        <f>"cacn-1"</f>
        <v>cacn-1</v>
      </c>
      <c r="I534" t="s">
        <v>2003</v>
      </c>
      <c r="J534">
        <v>13.751655190869201</v>
      </c>
      <c r="K534">
        <v>13.5138685225781</v>
      </c>
      <c r="L534">
        <v>13.542387044805499</v>
      </c>
      <c r="M534">
        <v>13.9060094850125</v>
      </c>
      <c r="N534">
        <v>13.6722813746028</v>
      </c>
      <c r="O534">
        <v>13.7159467518577</v>
      </c>
      <c r="P534">
        <v>0.162108951073371</v>
      </c>
      <c r="Q534">
        <v>-0.249033467818119</v>
      </c>
      <c r="R534">
        <v>0.57325136996486203</v>
      </c>
      <c r="S534">
        <v>13.1279279874677</v>
      </c>
      <c r="T534">
        <v>0.83630412487496397</v>
      </c>
      <c r="U534">
        <v>-6.5225630883886696</v>
      </c>
      <c r="V534">
        <v>0.41537985351082901</v>
      </c>
      <c r="W534">
        <v>0.91512503332874395</v>
      </c>
      <c r="X534">
        <v>0</v>
      </c>
      <c r="Y534">
        <v>0</v>
      </c>
    </row>
    <row r="535" spans="1:25" x14ac:dyDescent="0.2">
      <c r="A535" t="s">
        <v>2004</v>
      </c>
      <c r="B535" t="s">
        <v>2005</v>
      </c>
      <c r="C535" t="s">
        <v>2006</v>
      </c>
      <c r="D535" t="s">
        <v>2007</v>
      </c>
      <c r="E535" t="s">
        <v>2005</v>
      </c>
      <c r="F535" t="s">
        <v>28</v>
      </c>
      <c r="G535" t="s">
        <v>2005</v>
      </c>
      <c r="H535" t="str">
        <f>"smc-6"</f>
        <v>smc-6</v>
      </c>
      <c r="I535" t="s">
        <v>2007</v>
      </c>
      <c r="J535">
        <v>11.6859344901151</v>
      </c>
      <c r="K535" t="s">
        <v>29</v>
      </c>
      <c r="L535">
        <v>11.882496989086899</v>
      </c>
      <c r="M535">
        <v>11.7632519691092</v>
      </c>
      <c r="N535">
        <v>11.796695813239401</v>
      </c>
      <c r="O535">
        <v>11.5507336710268</v>
      </c>
      <c r="P535">
        <v>-8.0655255142561402E-2</v>
      </c>
      <c r="Q535">
        <v>-0.57563540319426998</v>
      </c>
      <c r="R535">
        <v>0.41432489290914698</v>
      </c>
      <c r="S535">
        <v>11.689943907727301</v>
      </c>
      <c r="T535">
        <v>-0.34973313502463499</v>
      </c>
      <c r="U535">
        <v>-6.7077762460863797</v>
      </c>
      <c r="V535">
        <v>0.73178307082415905</v>
      </c>
      <c r="W535">
        <v>0.99057748145465696</v>
      </c>
      <c r="X535">
        <v>0</v>
      </c>
      <c r="Y535">
        <v>0</v>
      </c>
    </row>
    <row r="536" spans="1:25" x14ac:dyDescent="0.2">
      <c r="A536" t="s">
        <v>2008</v>
      </c>
      <c r="B536" t="s">
        <v>2009</v>
      </c>
      <c r="C536" t="s">
        <v>2010</v>
      </c>
      <c r="D536" t="s">
        <v>2011</v>
      </c>
      <c r="E536" t="s">
        <v>2009</v>
      </c>
      <c r="F536" t="s">
        <v>28</v>
      </c>
      <c r="G536" t="s">
        <v>2009</v>
      </c>
      <c r="H536" t="str">
        <f>"him-4"</f>
        <v>him-4</v>
      </c>
      <c r="I536" t="s">
        <v>2011</v>
      </c>
      <c r="J536">
        <v>13.620322485715199</v>
      </c>
      <c r="K536">
        <v>13.4317502471447</v>
      </c>
      <c r="L536">
        <v>13.378999643986999</v>
      </c>
      <c r="M536">
        <v>13.413387259712101</v>
      </c>
      <c r="N536">
        <v>13.0963345211721</v>
      </c>
      <c r="O536">
        <v>13.258211350782901</v>
      </c>
      <c r="P536">
        <v>-0.22104641505994799</v>
      </c>
      <c r="Q536">
        <v>-0.64277355494553201</v>
      </c>
      <c r="R536">
        <v>0.20068072482563501</v>
      </c>
      <c r="S536">
        <v>13.337692979706601</v>
      </c>
      <c r="T536">
        <v>-1.10165202854328</v>
      </c>
      <c r="U536">
        <v>-6.2691561485985501</v>
      </c>
      <c r="V536">
        <v>0.28521024118634603</v>
      </c>
      <c r="W536">
        <v>0.856190392347986</v>
      </c>
      <c r="X536">
        <v>0</v>
      </c>
      <c r="Y536">
        <v>0</v>
      </c>
    </row>
    <row r="537" spans="1:25" x14ac:dyDescent="0.2">
      <c r="A537" t="s">
        <v>2012</v>
      </c>
      <c r="B537" t="s">
        <v>2013</v>
      </c>
      <c r="C537" t="s">
        <v>2014</v>
      </c>
      <c r="D537" t="s">
        <v>2015</v>
      </c>
      <c r="E537" t="s">
        <v>2013</v>
      </c>
      <c r="F537" t="s">
        <v>28</v>
      </c>
      <c r="G537" t="s">
        <v>2013</v>
      </c>
      <c r="H537" t="str">
        <f>"emb-27"</f>
        <v>emb-27</v>
      </c>
      <c r="I537" t="s">
        <v>2015</v>
      </c>
      <c r="J537">
        <v>12.488221086891899</v>
      </c>
      <c r="K537">
        <v>12.698316290976599</v>
      </c>
      <c r="L537">
        <v>13.417361732020099</v>
      </c>
      <c r="M537">
        <v>13.1442584355769</v>
      </c>
      <c r="N537">
        <v>12.803509250198401</v>
      </c>
      <c r="O537">
        <v>13.105288329926299</v>
      </c>
      <c r="P537">
        <v>0.149718968604343</v>
      </c>
      <c r="Q537">
        <v>-0.47551583172908402</v>
      </c>
      <c r="R537">
        <v>0.77495376893777002</v>
      </c>
      <c r="S537">
        <v>13.2853291096165</v>
      </c>
      <c r="T537">
        <v>0.503299150206032</v>
      </c>
      <c r="U537">
        <v>-6.7510731289513997</v>
      </c>
      <c r="V537">
        <v>0.62089264417040602</v>
      </c>
      <c r="W537">
        <v>0.97279262440453396</v>
      </c>
      <c r="X537">
        <v>0</v>
      </c>
      <c r="Y537">
        <v>0</v>
      </c>
    </row>
    <row r="538" spans="1:25" x14ac:dyDescent="0.2">
      <c r="A538" t="s">
        <v>2016</v>
      </c>
      <c r="B538" t="s">
        <v>2017</v>
      </c>
      <c r="C538" t="s">
        <v>14274</v>
      </c>
      <c r="D538" t="s">
        <v>1131</v>
      </c>
      <c r="E538" t="s">
        <v>2017</v>
      </c>
      <c r="F538" t="s">
        <v>28</v>
      </c>
      <c r="G538" t="s">
        <v>2017</v>
      </c>
      <c r="H538" t="str">
        <f>"T04A11.1"</f>
        <v>T04A11.1</v>
      </c>
      <c r="I538" t="s">
        <v>1131</v>
      </c>
      <c r="J538">
        <v>13.1892788906394</v>
      </c>
      <c r="K538">
        <v>13.0538538302593</v>
      </c>
      <c r="L538">
        <v>12.7526725434996</v>
      </c>
      <c r="M538">
        <v>12.754078259236399</v>
      </c>
      <c r="N538">
        <v>12.3751824525256</v>
      </c>
      <c r="O538">
        <v>13.3031252166017</v>
      </c>
      <c r="P538">
        <v>-0.18780644534483801</v>
      </c>
      <c r="Q538">
        <v>-0.87977186318279699</v>
      </c>
      <c r="R538">
        <v>0.50415897249312003</v>
      </c>
      <c r="S538">
        <v>12.554153227639601</v>
      </c>
      <c r="T538">
        <v>-0.57567269696391099</v>
      </c>
      <c r="U538">
        <v>-6.7099918184470804</v>
      </c>
      <c r="V538">
        <v>0.57289710401233296</v>
      </c>
      <c r="W538">
        <v>0.96052030798546795</v>
      </c>
      <c r="X538">
        <v>0</v>
      </c>
      <c r="Y538">
        <v>0</v>
      </c>
    </row>
    <row r="539" spans="1:25" x14ac:dyDescent="0.2">
      <c r="A539" t="s">
        <v>2018</v>
      </c>
      <c r="B539" t="s">
        <v>2019</v>
      </c>
      <c r="C539" t="s">
        <v>2020</v>
      </c>
      <c r="D539" t="s">
        <v>2021</v>
      </c>
      <c r="E539" t="s">
        <v>2019</v>
      </c>
      <c r="F539" t="s">
        <v>28</v>
      </c>
      <c r="G539" t="s">
        <v>2019</v>
      </c>
      <c r="H539" t="str">
        <f>"nrde-2"</f>
        <v>nrde-2</v>
      </c>
      <c r="I539" t="s">
        <v>2021</v>
      </c>
      <c r="J539">
        <v>11.7631538470376</v>
      </c>
      <c r="K539">
        <v>11.708857513804199</v>
      </c>
      <c r="L539">
        <v>11.744188910590299</v>
      </c>
      <c r="M539">
        <v>11.518957940836501</v>
      </c>
      <c r="N539">
        <v>12.031657715266499</v>
      </c>
      <c r="O539">
        <v>11.8733022167158</v>
      </c>
      <c r="P539">
        <v>6.9239200462215295E-2</v>
      </c>
      <c r="Q539">
        <v>-0.44316379144181201</v>
      </c>
      <c r="R539">
        <v>0.58164219236624204</v>
      </c>
      <c r="S539">
        <v>12.450720123205601</v>
      </c>
      <c r="T539">
        <v>0.28660906156235599</v>
      </c>
      <c r="U539">
        <v>-6.8393956872473103</v>
      </c>
      <c r="V539">
        <v>0.77811384315319898</v>
      </c>
      <c r="W539">
        <v>0.99278624068726296</v>
      </c>
      <c r="X539">
        <v>0</v>
      </c>
      <c r="Y539">
        <v>0</v>
      </c>
    </row>
    <row r="540" spans="1:25" x14ac:dyDescent="0.2">
      <c r="A540" t="s">
        <v>2022</v>
      </c>
      <c r="B540" t="s">
        <v>2023</v>
      </c>
      <c r="C540" t="s">
        <v>2024</v>
      </c>
      <c r="D540" t="s">
        <v>2025</v>
      </c>
      <c r="E540" t="s">
        <v>2023</v>
      </c>
      <c r="F540" t="s">
        <v>28</v>
      </c>
      <c r="G540" t="s">
        <v>2023</v>
      </c>
      <c r="H540" t="str">
        <f>"cpt-5"</f>
        <v>cpt-5</v>
      </c>
      <c r="I540" t="s">
        <v>2025</v>
      </c>
      <c r="J540">
        <v>11.850603137558201</v>
      </c>
      <c r="K540">
        <v>12.013847436618001</v>
      </c>
      <c r="L540">
        <v>12.5807042418121</v>
      </c>
      <c r="M540">
        <v>12.009183092304999</v>
      </c>
      <c r="N540">
        <v>11.953652315542501</v>
      </c>
      <c r="O540">
        <v>12.907913359727701</v>
      </c>
      <c r="P540">
        <v>0.141864650528985</v>
      </c>
      <c r="Q540">
        <v>-0.46314332660164498</v>
      </c>
      <c r="R540">
        <v>0.74687262765961604</v>
      </c>
      <c r="S540">
        <v>12.219775809894999</v>
      </c>
      <c r="T540">
        <v>0.50009751606414099</v>
      </c>
      <c r="U540">
        <v>-6.7515289713278097</v>
      </c>
      <c r="V540">
        <v>0.62431360145869996</v>
      </c>
      <c r="W540">
        <v>0.97279262440453396</v>
      </c>
      <c r="X540">
        <v>0</v>
      </c>
      <c r="Y540">
        <v>0</v>
      </c>
    </row>
    <row r="541" spans="1:25" x14ac:dyDescent="0.2">
      <c r="A541" t="s">
        <v>2026</v>
      </c>
      <c r="B541" t="s">
        <v>2027</v>
      </c>
      <c r="C541" t="s">
        <v>2028</v>
      </c>
      <c r="D541" t="s">
        <v>59</v>
      </c>
      <c r="E541" t="s">
        <v>2027</v>
      </c>
      <c r="F541" t="s">
        <v>28</v>
      </c>
      <c r="G541" t="s">
        <v>2027</v>
      </c>
      <c r="H541" t="str">
        <f>"pgp-9"</f>
        <v>pgp-9</v>
      </c>
      <c r="I541" t="s">
        <v>59</v>
      </c>
      <c r="J541">
        <v>12.3579294485035</v>
      </c>
      <c r="K541">
        <v>11.990475583419901</v>
      </c>
      <c r="L541">
        <v>12.0607910572921</v>
      </c>
      <c r="M541">
        <v>12.053783136486199</v>
      </c>
      <c r="N541">
        <v>12.4665601688957</v>
      </c>
      <c r="O541">
        <v>12.416992323411099</v>
      </c>
      <c r="P541">
        <v>0.176046513192537</v>
      </c>
      <c r="Q541">
        <v>-0.373002726547213</v>
      </c>
      <c r="R541">
        <v>0.72509575293228701</v>
      </c>
      <c r="S541">
        <v>12.343773546310601</v>
      </c>
      <c r="T541">
        <v>0.67392046745418599</v>
      </c>
      <c r="U541">
        <v>-6.6481790639756699</v>
      </c>
      <c r="V541">
        <v>0.50897409601596499</v>
      </c>
      <c r="W541">
        <v>0.94062983959761604</v>
      </c>
      <c r="X541">
        <v>0</v>
      </c>
      <c r="Y541">
        <v>0</v>
      </c>
    </row>
    <row r="542" spans="1:25" x14ac:dyDescent="0.2">
      <c r="A542" t="s">
        <v>2029</v>
      </c>
      <c r="B542" t="s">
        <v>2030</v>
      </c>
      <c r="C542" t="s">
        <v>2031</v>
      </c>
      <c r="D542" t="s">
        <v>2032</v>
      </c>
      <c r="E542" t="s">
        <v>2030</v>
      </c>
      <c r="F542" t="s">
        <v>28</v>
      </c>
      <c r="G542" t="s">
        <v>2030</v>
      </c>
      <c r="H542" t="str">
        <f>"unc-45"</f>
        <v>unc-45</v>
      </c>
      <c r="I542" t="s">
        <v>2032</v>
      </c>
      <c r="J542">
        <v>14.660532299958099</v>
      </c>
      <c r="K542">
        <v>14.624206604957401</v>
      </c>
      <c r="L542">
        <v>14.5611148353393</v>
      </c>
      <c r="M542">
        <v>15.2337410383403</v>
      </c>
      <c r="N542">
        <v>15.463921262049199</v>
      </c>
      <c r="O542">
        <v>15.088123888074101</v>
      </c>
      <c r="P542">
        <v>0.64664414940294701</v>
      </c>
      <c r="Q542">
        <v>0.24581695628911401</v>
      </c>
      <c r="R542">
        <v>1.0474713425167801</v>
      </c>
      <c r="S542">
        <v>14.6540465220058</v>
      </c>
      <c r="T542">
        <v>3.39078839620147</v>
      </c>
      <c r="U542">
        <v>-2.2568517162352899</v>
      </c>
      <c r="V542">
        <v>3.2787779047184101E-3</v>
      </c>
      <c r="W542">
        <v>7.7388460048956595E-2</v>
      </c>
      <c r="X542">
        <v>0</v>
      </c>
      <c r="Y542">
        <v>0</v>
      </c>
    </row>
    <row r="543" spans="1:25" x14ac:dyDescent="0.2">
      <c r="A543" t="s">
        <v>2033</v>
      </c>
      <c r="B543" t="s">
        <v>2034</v>
      </c>
      <c r="C543" t="s">
        <v>2035</v>
      </c>
      <c r="D543" t="s">
        <v>2036</v>
      </c>
      <c r="E543" t="s">
        <v>2034</v>
      </c>
      <c r="F543" t="s">
        <v>28</v>
      </c>
      <c r="G543" t="s">
        <v>2034</v>
      </c>
      <c r="H543" t="str">
        <f>"hid-1"</f>
        <v>hid-1</v>
      </c>
      <c r="I543" t="s">
        <v>2036</v>
      </c>
      <c r="J543">
        <v>13.646336598876699</v>
      </c>
      <c r="K543">
        <v>14.0525243384278</v>
      </c>
      <c r="L543">
        <v>13.794629545373301</v>
      </c>
      <c r="M543">
        <v>13.8197636761462</v>
      </c>
      <c r="N543">
        <v>14.0381817243697</v>
      </c>
      <c r="O543">
        <v>14.094688454787301</v>
      </c>
      <c r="P543">
        <v>0.15304779087514001</v>
      </c>
      <c r="Q543">
        <v>-0.26258687176239698</v>
      </c>
      <c r="R543">
        <v>0.56868245351267799</v>
      </c>
      <c r="S543">
        <v>13.9483191700349</v>
      </c>
      <c r="T543">
        <v>0.77394093751857496</v>
      </c>
      <c r="U543">
        <v>-6.5746978858019096</v>
      </c>
      <c r="V543">
        <v>0.44907028139142702</v>
      </c>
      <c r="W543">
        <v>0.92249172671965796</v>
      </c>
      <c r="X543">
        <v>0</v>
      </c>
      <c r="Y543">
        <v>0</v>
      </c>
    </row>
    <row r="544" spans="1:25" x14ac:dyDescent="0.2">
      <c r="A544" t="s">
        <v>2037</v>
      </c>
      <c r="B544" t="s">
        <v>2038</v>
      </c>
      <c r="C544" t="s">
        <v>2039</v>
      </c>
      <c r="D544" t="s">
        <v>2040</v>
      </c>
      <c r="E544" t="s">
        <v>2038</v>
      </c>
      <c r="F544" t="s">
        <v>28</v>
      </c>
      <c r="G544" t="s">
        <v>2038</v>
      </c>
      <c r="H544" t="str">
        <f>"acr-18"</f>
        <v>acr-18</v>
      </c>
      <c r="I544" t="s">
        <v>2040</v>
      </c>
      <c r="J544" t="s">
        <v>29</v>
      </c>
      <c r="K544">
        <v>15.2104210431956</v>
      </c>
      <c r="L544">
        <v>14.296537255423701</v>
      </c>
      <c r="M544" t="s">
        <v>29</v>
      </c>
      <c r="N544" t="s">
        <v>29</v>
      </c>
      <c r="O544">
        <v>11.834447138822499</v>
      </c>
      <c r="P544">
        <v>-2.9190320104871099</v>
      </c>
      <c r="Q544">
        <v>-3.9980824948989602</v>
      </c>
      <c r="R544">
        <v>-1.8399815260752601</v>
      </c>
      <c r="S544">
        <v>13.2864674301275</v>
      </c>
      <c r="T544">
        <v>-6.1305776654401001</v>
      </c>
      <c r="U544">
        <v>1.2403919791173099</v>
      </c>
      <c r="V544">
        <v>1.8132469025400799E-4</v>
      </c>
      <c r="W544">
        <v>7.9401127521755103E-3</v>
      </c>
      <c r="X544">
        <v>-1</v>
      </c>
      <c r="Y544">
        <v>-1</v>
      </c>
    </row>
    <row r="545" spans="1:25" x14ac:dyDescent="0.2">
      <c r="A545" t="s">
        <v>2041</v>
      </c>
      <c r="B545" t="s">
        <v>2042</v>
      </c>
      <c r="C545" t="s">
        <v>14275</v>
      </c>
      <c r="D545" t="s">
        <v>2043</v>
      </c>
      <c r="E545" t="s">
        <v>2042</v>
      </c>
      <c r="F545" t="s">
        <v>28</v>
      </c>
      <c r="G545" t="s">
        <v>2042</v>
      </c>
      <c r="H545" t="str">
        <f>"T24B8.7"</f>
        <v>T24B8.7</v>
      </c>
      <c r="I545" t="s">
        <v>2043</v>
      </c>
      <c r="J545">
        <v>12.5120294215737</v>
      </c>
      <c r="K545">
        <v>12.6181544107453</v>
      </c>
      <c r="L545">
        <v>12.358843898386899</v>
      </c>
      <c r="M545">
        <v>12.6258293272661</v>
      </c>
      <c r="N545">
        <v>12.695134172282801</v>
      </c>
      <c r="O545">
        <v>12.209565617913899</v>
      </c>
      <c r="P545">
        <v>1.3833795585636501E-2</v>
      </c>
      <c r="Q545">
        <v>-0.410334872401032</v>
      </c>
      <c r="R545">
        <v>0.43800246357230499</v>
      </c>
      <c r="S545">
        <v>12.9834960715264</v>
      </c>
      <c r="T545">
        <v>6.8548077934298596E-2</v>
      </c>
      <c r="U545">
        <v>-6.8800347654293601</v>
      </c>
      <c r="V545">
        <v>0.94610949179854598</v>
      </c>
      <c r="W545">
        <v>0.99968702248720698</v>
      </c>
      <c r="X545">
        <v>0</v>
      </c>
      <c r="Y545">
        <v>0</v>
      </c>
    </row>
    <row r="546" spans="1:25" x14ac:dyDescent="0.2">
      <c r="A546" t="s">
        <v>2044</v>
      </c>
      <c r="B546" t="s">
        <v>2045</v>
      </c>
      <c r="C546" t="s">
        <v>2046</v>
      </c>
      <c r="D546" t="s">
        <v>2047</v>
      </c>
      <c r="E546" t="s">
        <v>2045</v>
      </c>
      <c r="F546" t="s">
        <v>28</v>
      </c>
      <c r="G546" t="s">
        <v>2045</v>
      </c>
      <c r="H546" t="str">
        <f>"brc-2"</f>
        <v>brc-2</v>
      </c>
      <c r="I546" t="s">
        <v>2047</v>
      </c>
      <c r="J546">
        <v>13.890232003537299</v>
      </c>
      <c r="K546" t="s">
        <v>29</v>
      </c>
      <c r="L546">
        <v>13.3530568476966</v>
      </c>
      <c r="M546">
        <v>14.0366870652584</v>
      </c>
      <c r="N546">
        <v>13.8744487161058</v>
      </c>
      <c r="O546">
        <v>13.659431792458401</v>
      </c>
      <c r="P546">
        <v>0.23521143232392899</v>
      </c>
      <c r="Q546">
        <v>-0.57082111467611996</v>
      </c>
      <c r="R546">
        <v>1.0412439793239801</v>
      </c>
      <c r="S546">
        <v>14.0221368995026</v>
      </c>
      <c r="T546">
        <v>0.61596475239736403</v>
      </c>
      <c r="U546">
        <v>-6.5760752142928904</v>
      </c>
      <c r="V546">
        <v>0.54612761821861699</v>
      </c>
      <c r="W546">
        <v>0.951577336875161</v>
      </c>
      <c r="X546">
        <v>0</v>
      </c>
      <c r="Y546">
        <v>0</v>
      </c>
    </row>
    <row r="547" spans="1:25" x14ac:dyDescent="0.2">
      <c r="A547" t="s">
        <v>2048</v>
      </c>
      <c r="B547" t="s">
        <v>2049</v>
      </c>
      <c r="C547" t="s">
        <v>2050</v>
      </c>
      <c r="D547" t="s">
        <v>2051</v>
      </c>
      <c r="E547" t="s">
        <v>2049</v>
      </c>
      <c r="F547" t="s">
        <v>28</v>
      </c>
      <c r="G547" t="s">
        <v>2052</v>
      </c>
      <c r="H547" t="str">
        <f>"fbxc-2"</f>
        <v>fbxc-2</v>
      </c>
      <c r="I547" t="s">
        <v>2051</v>
      </c>
      <c r="J547">
        <v>10.1488591162333</v>
      </c>
      <c r="K547" t="s">
        <v>29</v>
      </c>
      <c r="L547" t="s">
        <v>29</v>
      </c>
      <c r="M547">
        <v>11.171912398019099</v>
      </c>
      <c r="N547">
        <v>11.049671900513101</v>
      </c>
      <c r="O547" t="s">
        <v>29</v>
      </c>
      <c r="P547">
        <v>0.961933033032778</v>
      </c>
      <c r="Q547">
        <v>-0.47492839419967198</v>
      </c>
      <c r="R547">
        <v>2.39879446026523</v>
      </c>
      <c r="S547">
        <v>10.9094478530873</v>
      </c>
      <c r="T547">
        <v>1.49381509260109</v>
      </c>
      <c r="U547">
        <v>-5.4036711775959798</v>
      </c>
      <c r="V547">
        <v>0.166409927880214</v>
      </c>
      <c r="W547">
        <v>0.76796940364641997</v>
      </c>
      <c r="X547">
        <v>0</v>
      </c>
      <c r="Y547">
        <v>0</v>
      </c>
    </row>
    <row r="548" spans="1:25" x14ac:dyDescent="0.2">
      <c r="A548" t="s">
        <v>2053</v>
      </c>
      <c r="B548" t="s">
        <v>2054</v>
      </c>
      <c r="C548" t="s">
        <v>2055</v>
      </c>
      <c r="D548" t="s">
        <v>297</v>
      </c>
      <c r="E548" t="s">
        <v>2054</v>
      </c>
      <c r="F548" t="s">
        <v>28</v>
      </c>
      <c r="G548" t="s">
        <v>2054</v>
      </c>
      <c r="H548" t="str">
        <f>"cle-1"</f>
        <v>cle-1</v>
      </c>
      <c r="I548" t="s">
        <v>297</v>
      </c>
      <c r="J548" t="s">
        <v>29</v>
      </c>
      <c r="K548" t="s">
        <v>29</v>
      </c>
      <c r="L548">
        <v>11.1491155303199</v>
      </c>
      <c r="M548" t="s">
        <v>29</v>
      </c>
      <c r="N548">
        <v>11.921857259709499</v>
      </c>
      <c r="O548" t="s">
        <v>29</v>
      </c>
      <c r="P548">
        <v>0.772741729389679</v>
      </c>
      <c r="Q548">
        <v>-0.108933909921706</v>
      </c>
      <c r="R548">
        <v>1.6544173687010599</v>
      </c>
      <c r="S548">
        <v>11.5906858259803</v>
      </c>
      <c r="T548">
        <v>1.9556557739878</v>
      </c>
      <c r="U548">
        <v>-4.6266025781464704</v>
      </c>
      <c r="V548">
        <v>7.9310211099032704E-2</v>
      </c>
      <c r="W548">
        <v>0.60076942510977904</v>
      </c>
      <c r="X548">
        <v>0</v>
      </c>
      <c r="Y548">
        <v>0</v>
      </c>
    </row>
    <row r="549" spans="1:25" x14ac:dyDescent="0.2">
      <c r="A549" t="s">
        <v>2056</v>
      </c>
      <c r="B549" t="s">
        <v>2057</v>
      </c>
      <c r="C549" t="s">
        <v>2058</v>
      </c>
      <c r="D549" t="s">
        <v>2059</v>
      </c>
      <c r="E549" t="s">
        <v>2057</v>
      </c>
      <c r="F549" t="s">
        <v>28</v>
      </c>
      <c r="G549" t="s">
        <v>2057</v>
      </c>
      <c r="H549" t="str">
        <f>"fat-2"</f>
        <v>fat-2</v>
      </c>
      <c r="I549" t="s">
        <v>2059</v>
      </c>
      <c r="J549">
        <v>14.283532749749</v>
      </c>
      <c r="K549">
        <v>14.2428927134773</v>
      </c>
      <c r="L549">
        <v>14.8540159582802</v>
      </c>
      <c r="M549">
        <v>14.5371270780917</v>
      </c>
      <c r="N549">
        <v>14.996428094403701</v>
      </c>
      <c r="O549">
        <v>13.9573872847805</v>
      </c>
      <c r="P549">
        <v>3.6833678589788497E-2</v>
      </c>
      <c r="Q549">
        <v>-0.63928326893806098</v>
      </c>
      <c r="R549">
        <v>0.71295062611763804</v>
      </c>
      <c r="S549">
        <v>15.020534554688901</v>
      </c>
      <c r="T549">
        <v>0.114502715196115</v>
      </c>
      <c r="U549">
        <v>-6.8756417025356003</v>
      </c>
      <c r="V549">
        <v>0.910114244930466</v>
      </c>
      <c r="W549">
        <v>0.99833354317360001</v>
      </c>
      <c r="X549">
        <v>0</v>
      </c>
      <c r="Y549">
        <v>0</v>
      </c>
    </row>
    <row r="550" spans="1:25" x14ac:dyDescent="0.2">
      <c r="A550" t="s">
        <v>2060</v>
      </c>
      <c r="B550" t="s">
        <v>2061</v>
      </c>
      <c r="C550" t="s">
        <v>2062</v>
      </c>
      <c r="D550" t="s">
        <v>992</v>
      </c>
      <c r="E550" t="s">
        <v>2061</v>
      </c>
      <c r="F550" t="s">
        <v>28</v>
      </c>
      <c r="G550" t="s">
        <v>2061</v>
      </c>
      <c r="H550" t="str">
        <f>"ras-2"</f>
        <v>ras-2</v>
      </c>
      <c r="I550" t="s">
        <v>992</v>
      </c>
      <c r="J550" t="s">
        <v>29</v>
      </c>
      <c r="K550" t="s">
        <v>29</v>
      </c>
      <c r="L550" t="s">
        <v>29</v>
      </c>
      <c r="M550" t="s">
        <v>29</v>
      </c>
      <c r="N550" t="s">
        <v>29</v>
      </c>
      <c r="O550" t="s">
        <v>29</v>
      </c>
      <c r="P550" t="s">
        <v>29</v>
      </c>
      <c r="Q550" t="s">
        <v>29</v>
      </c>
      <c r="R550" t="s">
        <v>29</v>
      </c>
      <c r="S550">
        <v>13.567330253393299</v>
      </c>
      <c r="T550" t="s">
        <v>29</v>
      </c>
      <c r="U550" t="s">
        <v>29</v>
      </c>
      <c r="V550" t="s">
        <v>29</v>
      </c>
      <c r="W550" t="s">
        <v>29</v>
      </c>
      <c r="X550" t="s">
        <v>29</v>
      </c>
      <c r="Y550" t="s">
        <v>29</v>
      </c>
    </row>
    <row r="551" spans="1:25" x14ac:dyDescent="0.2">
      <c r="A551" t="s">
        <v>2063</v>
      </c>
      <c r="B551" t="s">
        <v>2064</v>
      </c>
      <c r="C551" t="s">
        <v>2065</v>
      </c>
      <c r="D551" t="s">
        <v>2066</v>
      </c>
      <c r="E551" t="s">
        <v>2064</v>
      </c>
      <c r="F551" t="s">
        <v>28</v>
      </c>
      <c r="G551" t="s">
        <v>2064</v>
      </c>
      <c r="H551" t="str">
        <f>"ragc-1"</f>
        <v>ragc-1</v>
      </c>
      <c r="I551" t="s">
        <v>2066</v>
      </c>
      <c r="J551">
        <v>14.8296860536247</v>
      </c>
      <c r="K551">
        <v>14.7683733158318</v>
      </c>
      <c r="L551">
        <v>14.679942156169</v>
      </c>
      <c r="M551">
        <v>14.815678601501</v>
      </c>
      <c r="N551">
        <v>14.6321566266432</v>
      </c>
      <c r="O551">
        <v>14.822176520127501</v>
      </c>
      <c r="P551">
        <v>-2.6632591179378599E-3</v>
      </c>
      <c r="Q551">
        <v>-0.324349474692676</v>
      </c>
      <c r="R551">
        <v>0.31902295645680001</v>
      </c>
      <c r="S551">
        <v>14.4629660263041</v>
      </c>
      <c r="T551">
        <v>-1.7400971036501001E-2</v>
      </c>
      <c r="U551">
        <v>-6.8823313665820196</v>
      </c>
      <c r="V551">
        <v>0.98630927923732303</v>
      </c>
      <c r="W551">
        <v>0.99968702248720698</v>
      </c>
      <c r="X551">
        <v>0</v>
      </c>
      <c r="Y551">
        <v>0</v>
      </c>
    </row>
    <row r="552" spans="1:25" x14ac:dyDescent="0.2">
      <c r="A552" t="s">
        <v>2067</v>
      </c>
      <c r="B552" t="s">
        <v>2068</v>
      </c>
      <c r="C552" t="s">
        <v>2069</v>
      </c>
      <c r="D552" t="s">
        <v>2070</v>
      </c>
      <c r="E552" t="s">
        <v>2068</v>
      </c>
      <c r="F552" t="s">
        <v>28</v>
      </c>
      <c r="G552" t="s">
        <v>2068</v>
      </c>
      <c r="H552" t="str">
        <f>"abts-2"</f>
        <v>abts-2</v>
      </c>
      <c r="I552" t="s">
        <v>2070</v>
      </c>
      <c r="J552">
        <v>11.200003621774499</v>
      </c>
      <c r="K552" t="s">
        <v>29</v>
      </c>
      <c r="L552">
        <v>11.039600914899999</v>
      </c>
      <c r="M552" t="s">
        <v>29</v>
      </c>
      <c r="N552">
        <v>11.897100165574599</v>
      </c>
      <c r="O552">
        <v>10.743237177138401</v>
      </c>
      <c r="P552">
        <v>0.20036640301926101</v>
      </c>
      <c r="Q552">
        <v>-0.94936041558282702</v>
      </c>
      <c r="R552">
        <v>1.3500932216213499</v>
      </c>
      <c r="S552">
        <v>11.3771390395873</v>
      </c>
      <c r="T552">
        <v>0.376805717833614</v>
      </c>
      <c r="U552">
        <v>-6.6074258757013196</v>
      </c>
      <c r="V552">
        <v>0.71244569703106098</v>
      </c>
      <c r="W552">
        <v>0.98786722894487999</v>
      </c>
      <c r="X552">
        <v>0</v>
      </c>
      <c r="Y552">
        <v>0</v>
      </c>
    </row>
    <row r="553" spans="1:25" x14ac:dyDescent="0.2">
      <c r="A553" t="s">
        <v>2071</v>
      </c>
      <c r="B553" t="s">
        <v>2072</v>
      </c>
      <c r="C553" t="s">
        <v>14276</v>
      </c>
      <c r="D553" t="s">
        <v>2073</v>
      </c>
      <c r="E553" t="s">
        <v>2072</v>
      </c>
      <c r="F553" t="s">
        <v>28</v>
      </c>
      <c r="G553" t="s">
        <v>2072</v>
      </c>
      <c r="H553" t="str">
        <f>"DY3.8"</f>
        <v>DY3.8</v>
      </c>
      <c r="I553" t="s">
        <v>2073</v>
      </c>
      <c r="J553">
        <v>12.145562663469599</v>
      </c>
      <c r="K553">
        <v>13.052876481014801</v>
      </c>
      <c r="L553">
        <v>12.942022806186101</v>
      </c>
      <c r="M553">
        <v>12.1334585369243</v>
      </c>
      <c r="N553">
        <v>12.7912538985172</v>
      </c>
      <c r="O553">
        <v>12.922319551802699</v>
      </c>
      <c r="P553">
        <v>-9.7809987808748403E-2</v>
      </c>
      <c r="Q553">
        <v>-0.930961300843408</v>
      </c>
      <c r="R553">
        <v>0.735341325225911</v>
      </c>
      <c r="S553">
        <v>13.513155201725199</v>
      </c>
      <c r="T553">
        <v>-0.247804583395243</v>
      </c>
      <c r="U553">
        <v>-6.8503629180555503</v>
      </c>
      <c r="V553">
        <v>0.80727221165369001</v>
      </c>
      <c r="W553">
        <v>0.99278624068726296</v>
      </c>
      <c r="X553">
        <v>0</v>
      </c>
      <c r="Y553">
        <v>0</v>
      </c>
    </row>
    <row r="554" spans="1:25" x14ac:dyDescent="0.2">
      <c r="A554" t="s">
        <v>2074</v>
      </c>
      <c r="B554" t="s">
        <v>2075</v>
      </c>
      <c r="C554" t="s">
        <v>2076</v>
      </c>
      <c r="D554" t="s">
        <v>2077</v>
      </c>
      <c r="E554" t="s">
        <v>2075</v>
      </c>
      <c r="F554" t="s">
        <v>28</v>
      </c>
      <c r="G554" t="s">
        <v>2075</v>
      </c>
      <c r="H554" t="str">
        <f>"ipla-3"</f>
        <v>ipla-3</v>
      </c>
      <c r="I554" t="s">
        <v>2077</v>
      </c>
      <c r="J554">
        <v>12.5123697691171</v>
      </c>
      <c r="K554">
        <v>12.512461058931001</v>
      </c>
      <c r="L554">
        <v>11.7794449514516</v>
      </c>
      <c r="M554">
        <v>11.825432278250499</v>
      </c>
      <c r="N554">
        <v>12.3887963359869</v>
      </c>
      <c r="O554">
        <v>12.292489402169499</v>
      </c>
      <c r="P554">
        <v>-9.9185921030914101E-2</v>
      </c>
      <c r="Q554">
        <v>-0.57363689745889002</v>
      </c>
      <c r="R554">
        <v>0.37526505539706201</v>
      </c>
      <c r="S554">
        <v>12.2729020093445</v>
      </c>
      <c r="T554">
        <v>-0.44586182729294799</v>
      </c>
      <c r="U554">
        <v>-6.7782150531009604</v>
      </c>
      <c r="V554">
        <v>0.66210965197566896</v>
      </c>
      <c r="W554">
        <v>0.98382359994193702</v>
      </c>
      <c r="X554">
        <v>0</v>
      </c>
      <c r="Y554">
        <v>0</v>
      </c>
    </row>
    <row r="555" spans="1:25" x14ac:dyDescent="0.2">
      <c r="A555" t="s">
        <v>2078</v>
      </c>
      <c r="B555" t="s">
        <v>2079</v>
      </c>
      <c r="C555" t="s">
        <v>2080</v>
      </c>
      <c r="D555" t="s">
        <v>2081</v>
      </c>
      <c r="E555" t="s">
        <v>2079</v>
      </c>
      <c r="F555" t="s">
        <v>28</v>
      </c>
      <c r="G555" t="s">
        <v>2079</v>
      </c>
      <c r="H555" t="str">
        <f>"scpr-1"</f>
        <v>scpr-1</v>
      </c>
      <c r="I555" t="s">
        <v>2081</v>
      </c>
      <c r="J555" t="s">
        <v>29</v>
      </c>
      <c r="K555">
        <v>10.7888864490651</v>
      </c>
      <c r="L555">
        <v>10.5970978130151</v>
      </c>
      <c r="M555">
        <v>9.9264241580298105</v>
      </c>
      <c r="N555">
        <v>11.2835186462405</v>
      </c>
      <c r="O555" t="s">
        <v>29</v>
      </c>
      <c r="P555">
        <v>-8.80207289049455E-2</v>
      </c>
      <c r="Q555">
        <v>-0.98849677665587199</v>
      </c>
      <c r="R555">
        <v>0.81245531884598099</v>
      </c>
      <c r="S555">
        <v>11.262973480526901</v>
      </c>
      <c r="T555">
        <v>-0.21318557140012601</v>
      </c>
      <c r="U555">
        <v>-6.6581191381874003</v>
      </c>
      <c r="V555">
        <v>0.83479223612779196</v>
      </c>
      <c r="W555">
        <v>0.99370971747667503</v>
      </c>
      <c r="X555">
        <v>0</v>
      </c>
      <c r="Y555">
        <v>0</v>
      </c>
    </row>
    <row r="556" spans="1:25" x14ac:dyDescent="0.2">
      <c r="A556" t="s">
        <v>2082</v>
      </c>
      <c r="B556" t="s">
        <v>2083</v>
      </c>
      <c r="C556" t="s">
        <v>2084</v>
      </c>
      <c r="D556" t="s">
        <v>2085</v>
      </c>
      <c r="E556" t="s">
        <v>2083</v>
      </c>
      <c r="F556" t="s">
        <v>28</v>
      </c>
      <c r="G556" t="s">
        <v>2083</v>
      </c>
      <c r="H556" t="str">
        <f>"dpy-26"</f>
        <v>dpy-26</v>
      </c>
      <c r="I556" t="s">
        <v>2085</v>
      </c>
      <c r="J556" t="s">
        <v>29</v>
      </c>
      <c r="K556" t="s">
        <v>29</v>
      </c>
      <c r="L556">
        <v>12.050122456826299</v>
      </c>
      <c r="M556">
        <v>12.090022110723799</v>
      </c>
      <c r="N556">
        <v>12.2642986187465</v>
      </c>
      <c r="O556" t="s">
        <v>29</v>
      </c>
      <c r="P556">
        <v>0.12703790790886599</v>
      </c>
      <c r="Q556">
        <v>-0.666594434376792</v>
      </c>
      <c r="R556">
        <v>0.92067025019452398</v>
      </c>
      <c r="S556">
        <v>12.305357984801301</v>
      </c>
      <c r="T556">
        <v>0.34910734613480399</v>
      </c>
      <c r="U556">
        <v>-6.4192142491181103</v>
      </c>
      <c r="V556">
        <v>0.73311067813185704</v>
      </c>
      <c r="W556">
        <v>0.99057748145465696</v>
      </c>
      <c r="X556">
        <v>0</v>
      </c>
      <c r="Y556">
        <v>0</v>
      </c>
    </row>
    <row r="557" spans="1:25" x14ac:dyDescent="0.2">
      <c r="A557" t="s">
        <v>2086</v>
      </c>
      <c r="B557" t="s">
        <v>2087</v>
      </c>
      <c r="C557" t="s">
        <v>14277</v>
      </c>
      <c r="D557" t="s">
        <v>2088</v>
      </c>
      <c r="E557" t="s">
        <v>2087</v>
      </c>
      <c r="F557" t="s">
        <v>28</v>
      </c>
      <c r="G557" t="s">
        <v>2087</v>
      </c>
      <c r="H557" t="str">
        <f>"F40E10.6"</f>
        <v>F40E10.6</v>
      </c>
      <c r="I557" t="s">
        <v>2088</v>
      </c>
      <c r="J557">
        <v>12.8127459114065</v>
      </c>
      <c r="K557">
        <v>13.189152047768401</v>
      </c>
      <c r="L557">
        <v>12.912504078415299</v>
      </c>
      <c r="M557">
        <v>13.065725893134401</v>
      </c>
      <c r="N557">
        <v>12.8324443469399</v>
      </c>
      <c r="O557">
        <v>12.7823306636987</v>
      </c>
      <c r="P557">
        <v>-7.7967044605722804E-2</v>
      </c>
      <c r="Q557">
        <v>-0.92217879703143202</v>
      </c>
      <c r="R557">
        <v>0.76624470781998599</v>
      </c>
      <c r="S557">
        <v>13.0470014833643</v>
      </c>
      <c r="T557">
        <v>-0.19494391862618399</v>
      </c>
      <c r="U557">
        <v>-6.8625934078358304</v>
      </c>
      <c r="V557">
        <v>0.8477619109833</v>
      </c>
      <c r="W557">
        <v>0.99370971747667503</v>
      </c>
      <c r="X557">
        <v>0</v>
      </c>
      <c r="Y557">
        <v>0</v>
      </c>
    </row>
    <row r="558" spans="1:25" x14ac:dyDescent="0.2">
      <c r="A558" t="s">
        <v>2089</v>
      </c>
      <c r="B558" t="s">
        <v>2090</v>
      </c>
      <c r="C558" t="s">
        <v>2091</v>
      </c>
      <c r="D558" t="s">
        <v>2092</v>
      </c>
      <c r="E558" t="s">
        <v>2090</v>
      </c>
      <c r="F558" t="s">
        <v>28</v>
      </c>
      <c r="G558" t="s">
        <v>2090</v>
      </c>
      <c r="H558" t="str">
        <f>"uso-1"</f>
        <v>uso-1</v>
      </c>
      <c r="I558" t="s">
        <v>2092</v>
      </c>
      <c r="J558">
        <v>14.791677053719299</v>
      </c>
      <c r="K558">
        <v>14.841098782256701</v>
      </c>
      <c r="L558">
        <v>14.7562755652086</v>
      </c>
      <c r="M558">
        <v>14.7804348524205</v>
      </c>
      <c r="N558">
        <v>14.8122349699516</v>
      </c>
      <c r="O558">
        <v>14.927321505980901</v>
      </c>
      <c r="P558">
        <v>4.36466423894721E-2</v>
      </c>
      <c r="Q558">
        <v>-0.35216839396094701</v>
      </c>
      <c r="R558">
        <v>0.439461678739892</v>
      </c>
      <c r="S558">
        <v>14.6714263273686</v>
      </c>
      <c r="T558">
        <v>0.23176671495416301</v>
      </c>
      <c r="U558">
        <v>-6.8544656369080004</v>
      </c>
      <c r="V558">
        <v>0.81934880838702795</v>
      </c>
      <c r="W558">
        <v>0.992837538801569</v>
      </c>
      <c r="X558">
        <v>0</v>
      </c>
      <c r="Y558">
        <v>0</v>
      </c>
    </row>
    <row r="559" spans="1:25" x14ac:dyDescent="0.2">
      <c r="A559" t="s">
        <v>2093</v>
      </c>
      <c r="B559" t="s">
        <v>2094</v>
      </c>
      <c r="C559" t="s">
        <v>2095</v>
      </c>
      <c r="D559" t="s">
        <v>2096</v>
      </c>
      <c r="E559" t="s">
        <v>2094</v>
      </c>
      <c r="F559" t="s">
        <v>28</v>
      </c>
      <c r="G559" t="s">
        <v>2094</v>
      </c>
      <c r="H559" t="str">
        <f>"fat-7"</f>
        <v>fat-7</v>
      </c>
      <c r="I559" t="s">
        <v>2096</v>
      </c>
      <c r="J559">
        <v>13.4158979073078</v>
      </c>
      <c r="K559">
        <v>13.3182734568881</v>
      </c>
      <c r="L559">
        <v>13.413866744708001</v>
      </c>
      <c r="M559">
        <v>13.077190095991099</v>
      </c>
      <c r="N559">
        <v>13.0319100994337</v>
      </c>
      <c r="O559">
        <v>12.941369198226599</v>
      </c>
      <c r="P559">
        <v>-0.36585623841749998</v>
      </c>
      <c r="Q559">
        <v>-0.80556024727557995</v>
      </c>
      <c r="R559">
        <v>7.3847770440580204E-2</v>
      </c>
      <c r="S559">
        <v>13.421450019957501</v>
      </c>
      <c r="T559">
        <v>-1.7488096972606799</v>
      </c>
      <c r="U559">
        <v>-5.4085264602298304</v>
      </c>
      <c r="V559">
        <v>9.7456000310354701E-2</v>
      </c>
      <c r="W559">
        <v>0.64608280683836705</v>
      </c>
      <c r="X559">
        <v>0</v>
      </c>
      <c r="Y559">
        <v>0</v>
      </c>
    </row>
    <row r="560" spans="1:25" x14ac:dyDescent="0.2">
      <c r="A560" t="s">
        <v>2097</v>
      </c>
      <c r="B560" t="s">
        <v>2098</v>
      </c>
      <c r="C560" t="s">
        <v>2099</v>
      </c>
      <c r="D560" t="s">
        <v>844</v>
      </c>
      <c r="E560" t="s">
        <v>2098</v>
      </c>
      <c r="F560" t="s">
        <v>28</v>
      </c>
      <c r="G560" t="s">
        <v>2098</v>
      </c>
      <c r="H560" t="str">
        <f>"set-16"</f>
        <v>set-16</v>
      </c>
      <c r="I560" t="s">
        <v>844</v>
      </c>
      <c r="J560">
        <v>11.462981667900101</v>
      </c>
      <c r="K560">
        <v>11.278984360069</v>
      </c>
      <c r="L560">
        <v>11.500587095682899</v>
      </c>
      <c r="M560">
        <v>10.6878103591974</v>
      </c>
      <c r="N560">
        <v>11.982976528639499</v>
      </c>
      <c r="O560" t="s">
        <v>29</v>
      </c>
      <c r="P560">
        <v>-7.8790930632177195E-2</v>
      </c>
      <c r="Q560">
        <v>-1.00801726562498</v>
      </c>
      <c r="R560">
        <v>0.85043540436062304</v>
      </c>
      <c r="S560">
        <v>11.999123991177401</v>
      </c>
      <c r="T560">
        <v>-0.180840761211194</v>
      </c>
      <c r="U560">
        <v>-6.7549986860646403</v>
      </c>
      <c r="V560">
        <v>0.85893019997009501</v>
      </c>
      <c r="W560">
        <v>0.99370971747667503</v>
      </c>
      <c r="X560">
        <v>0</v>
      </c>
      <c r="Y560">
        <v>0</v>
      </c>
    </row>
    <row r="561" spans="1:25" x14ac:dyDescent="0.2">
      <c r="A561" t="s">
        <v>2100</v>
      </c>
      <c r="B561" t="s">
        <v>2101</v>
      </c>
      <c r="C561" t="s">
        <v>14278</v>
      </c>
      <c r="D561" t="s">
        <v>2102</v>
      </c>
      <c r="E561" t="s">
        <v>2101</v>
      </c>
      <c r="F561" t="s">
        <v>28</v>
      </c>
      <c r="G561" t="s">
        <v>2101</v>
      </c>
      <c r="H561" t="str">
        <f>"F46C5.6"</f>
        <v>F46C5.6</v>
      </c>
      <c r="I561" t="s">
        <v>2102</v>
      </c>
      <c r="J561">
        <v>11.841937983907499</v>
      </c>
      <c r="K561">
        <v>12.4505905573633</v>
      </c>
      <c r="L561">
        <v>12.6980440253912</v>
      </c>
      <c r="M561">
        <v>11.6409995347524</v>
      </c>
      <c r="N561">
        <v>11.823791562135</v>
      </c>
      <c r="O561" t="s">
        <v>29</v>
      </c>
      <c r="P561">
        <v>-0.59779530711029105</v>
      </c>
      <c r="Q561">
        <v>-1.1267786792144801</v>
      </c>
      <c r="R561">
        <v>-6.8811935006101901E-2</v>
      </c>
      <c r="S561">
        <v>12.579486962625699</v>
      </c>
      <c r="T561">
        <v>-2.42550611228127</v>
      </c>
      <c r="U561">
        <v>-4.1833186279919197</v>
      </c>
      <c r="V561">
        <v>2.9511985382393299E-2</v>
      </c>
      <c r="W561">
        <v>0.38068173392482502</v>
      </c>
      <c r="X561">
        <v>0</v>
      </c>
      <c r="Y561">
        <v>0</v>
      </c>
    </row>
    <row r="562" spans="1:25" x14ac:dyDescent="0.2">
      <c r="A562" t="s">
        <v>2103</v>
      </c>
      <c r="B562" t="s">
        <v>2104</v>
      </c>
      <c r="C562" t="s">
        <v>2105</v>
      </c>
      <c r="D562" t="s">
        <v>2106</v>
      </c>
      <c r="E562" t="s">
        <v>2104</v>
      </c>
      <c r="F562" t="s">
        <v>28</v>
      </c>
      <c r="G562" t="s">
        <v>2104</v>
      </c>
      <c r="H562" t="str">
        <f>"ida-1"</f>
        <v>ida-1</v>
      </c>
      <c r="I562" t="s">
        <v>2106</v>
      </c>
      <c r="J562">
        <v>13.374536041016199</v>
      </c>
      <c r="K562">
        <v>13.438635664111899</v>
      </c>
      <c r="L562">
        <v>12.7847522485462</v>
      </c>
      <c r="M562">
        <v>12.8286879729218</v>
      </c>
      <c r="N562">
        <v>12.773774138280899</v>
      </c>
      <c r="O562">
        <v>13.0233831073869</v>
      </c>
      <c r="P562">
        <v>-0.324026245028257</v>
      </c>
      <c r="Q562">
        <v>-0.83647801395385002</v>
      </c>
      <c r="R562">
        <v>0.18842552389733599</v>
      </c>
      <c r="S562">
        <v>12.6393114462222</v>
      </c>
      <c r="T562">
        <v>-1.34114804610455</v>
      </c>
      <c r="U562">
        <v>-5.9867426663083796</v>
      </c>
      <c r="V562">
        <v>0.19872309365458499</v>
      </c>
      <c r="W562">
        <v>0.79075284576134597</v>
      </c>
      <c r="X562">
        <v>0</v>
      </c>
      <c r="Y562">
        <v>0</v>
      </c>
    </row>
    <row r="563" spans="1:25" x14ac:dyDescent="0.2">
      <c r="A563" t="s">
        <v>2107</v>
      </c>
      <c r="B563" t="s">
        <v>2108</v>
      </c>
      <c r="C563" t="s">
        <v>2109</v>
      </c>
      <c r="D563" t="s">
        <v>2110</v>
      </c>
      <c r="E563" t="s">
        <v>2108</v>
      </c>
      <c r="F563" t="s">
        <v>28</v>
      </c>
      <c r="G563" t="s">
        <v>2108</v>
      </c>
      <c r="H563" t="str">
        <f>"tln-1"</f>
        <v>tln-1</v>
      </c>
      <c r="I563" t="s">
        <v>2110</v>
      </c>
      <c r="J563">
        <v>14.374439283456899</v>
      </c>
      <c r="K563">
        <v>14.3570059692701</v>
      </c>
      <c r="L563">
        <v>14.6551975879393</v>
      </c>
      <c r="M563">
        <v>14.415833005859</v>
      </c>
      <c r="N563">
        <v>14.383691177755001</v>
      </c>
      <c r="O563">
        <v>14.4900725317419</v>
      </c>
      <c r="P563">
        <v>-3.2348708436810397E-2</v>
      </c>
      <c r="Q563">
        <v>-0.64296530724313095</v>
      </c>
      <c r="R563">
        <v>0.57826789036950998</v>
      </c>
      <c r="S563">
        <v>14.494425986165</v>
      </c>
      <c r="T563">
        <v>-0.111347598016728</v>
      </c>
      <c r="U563">
        <v>-6.87601375853394</v>
      </c>
      <c r="V563">
        <v>0.91258010538402201</v>
      </c>
      <c r="W563">
        <v>0.99833354317360001</v>
      </c>
      <c r="X563">
        <v>0</v>
      </c>
      <c r="Y563">
        <v>0</v>
      </c>
    </row>
    <row r="564" spans="1:25" x14ac:dyDescent="0.2">
      <c r="A564" t="s">
        <v>2111</v>
      </c>
      <c r="B564" t="s">
        <v>2112</v>
      </c>
      <c r="C564" t="s">
        <v>2113</v>
      </c>
      <c r="D564" t="s">
        <v>2114</v>
      </c>
      <c r="E564" t="s">
        <v>2112</v>
      </c>
      <c r="F564" t="s">
        <v>28</v>
      </c>
      <c r="G564" t="s">
        <v>2112</v>
      </c>
      <c r="H564" t="str">
        <f>"din-1"</f>
        <v>din-1</v>
      </c>
      <c r="I564" t="s">
        <v>2114</v>
      </c>
      <c r="J564" t="s">
        <v>29</v>
      </c>
      <c r="K564">
        <v>11.2995666530626</v>
      </c>
      <c r="L564">
        <v>11.471602050286</v>
      </c>
      <c r="M564" t="s">
        <v>29</v>
      </c>
      <c r="N564">
        <v>10.9209509368001</v>
      </c>
      <c r="O564" t="s">
        <v>29</v>
      </c>
      <c r="P564">
        <v>-0.46463341487415899</v>
      </c>
      <c r="Q564">
        <v>-1.2500760958950099</v>
      </c>
      <c r="R564">
        <v>0.32080926614669503</v>
      </c>
      <c r="S564">
        <v>11.421376461922</v>
      </c>
      <c r="T564">
        <v>-1.30353781911272</v>
      </c>
      <c r="U564">
        <v>-5.6426397881909196</v>
      </c>
      <c r="V564">
        <v>0.21926312972222201</v>
      </c>
      <c r="W564">
        <v>0.79662412196021304</v>
      </c>
      <c r="X564">
        <v>0</v>
      </c>
      <c r="Y564">
        <v>0</v>
      </c>
    </row>
    <row r="565" spans="1:25" x14ac:dyDescent="0.2">
      <c r="A565" t="s">
        <v>2115</v>
      </c>
      <c r="B565" t="s">
        <v>2116</v>
      </c>
      <c r="C565" t="s">
        <v>2117</v>
      </c>
      <c r="D565" t="s">
        <v>2118</v>
      </c>
      <c r="E565" t="s">
        <v>2116</v>
      </c>
      <c r="F565" t="s">
        <v>28</v>
      </c>
      <c r="G565" t="s">
        <v>2116</v>
      </c>
      <c r="H565" t="str">
        <f>"let-92"</f>
        <v>let-92</v>
      </c>
      <c r="I565" t="s">
        <v>2118</v>
      </c>
      <c r="J565">
        <v>16.332489699021</v>
      </c>
      <c r="K565">
        <v>16.064269450478101</v>
      </c>
      <c r="L565">
        <v>16.1206149516014</v>
      </c>
      <c r="M565">
        <v>16.265735772422399</v>
      </c>
      <c r="N565">
        <v>16.319395109633401</v>
      </c>
      <c r="O565">
        <v>16.105172725758099</v>
      </c>
      <c r="P565">
        <v>5.7643168904448303E-2</v>
      </c>
      <c r="Q565">
        <v>-0.42524486615699297</v>
      </c>
      <c r="R565">
        <v>0.54053120396589005</v>
      </c>
      <c r="S565">
        <v>15.956633309807</v>
      </c>
      <c r="T565">
        <v>0.25089610338565299</v>
      </c>
      <c r="U565">
        <v>-6.8496572243242202</v>
      </c>
      <c r="V565">
        <v>0.80475264621853704</v>
      </c>
      <c r="W565">
        <v>0.99278624068726296</v>
      </c>
      <c r="X565">
        <v>0</v>
      </c>
      <c r="Y565">
        <v>0</v>
      </c>
    </row>
    <row r="566" spans="1:25" x14ac:dyDescent="0.2">
      <c r="A566" t="s">
        <v>2119</v>
      </c>
      <c r="B566" t="s">
        <v>2120</v>
      </c>
      <c r="C566" t="s">
        <v>14279</v>
      </c>
      <c r="D566" t="s">
        <v>2121</v>
      </c>
      <c r="E566" t="s">
        <v>2120</v>
      </c>
      <c r="F566" t="s">
        <v>28</v>
      </c>
      <c r="G566" t="s">
        <v>2120</v>
      </c>
      <c r="H566" t="str">
        <f>"T28D6.6"</f>
        <v>T28D6.6</v>
      </c>
      <c r="I566" t="s">
        <v>2121</v>
      </c>
      <c r="J566">
        <v>15.2510756511914</v>
      </c>
      <c r="K566">
        <v>15.149672309143799</v>
      </c>
      <c r="L566">
        <v>15.1689850754969</v>
      </c>
      <c r="M566">
        <v>15.308558476182199</v>
      </c>
      <c r="N566">
        <v>15.1827818134339</v>
      </c>
      <c r="O566">
        <v>15.011770858512399</v>
      </c>
      <c r="P566">
        <v>-2.2207295901216301E-2</v>
      </c>
      <c r="Q566">
        <v>-0.43150879169919598</v>
      </c>
      <c r="R566">
        <v>0.38709419989676402</v>
      </c>
      <c r="S566">
        <v>14.872168563805801</v>
      </c>
      <c r="T566">
        <v>-0.11403675764897001</v>
      </c>
      <c r="U566">
        <v>-6.87569730221235</v>
      </c>
      <c r="V566">
        <v>0.91047835236357699</v>
      </c>
      <c r="W566">
        <v>0.99833354317360001</v>
      </c>
      <c r="X566">
        <v>0</v>
      </c>
      <c r="Y566">
        <v>0</v>
      </c>
    </row>
    <row r="567" spans="1:25" x14ac:dyDescent="0.2">
      <c r="A567" t="s">
        <v>2122</v>
      </c>
      <c r="B567" t="s">
        <v>2123</v>
      </c>
      <c r="C567" t="s">
        <v>2124</v>
      </c>
      <c r="D567" t="s">
        <v>2125</v>
      </c>
      <c r="E567" t="s">
        <v>2123</v>
      </c>
      <c r="F567" t="s">
        <v>28</v>
      </c>
      <c r="G567" t="s">
        <v>2123</v>
      </c>
      <c r="H567" t="str">
        <f>"taf-1"</f>
        <v>taf-1</v>
      </c>
      <c r="I567" t="s">
        <v>2125</v>
      </c>
      <c r="J567">
        <v>10.1422174062927</v>
      </c>
      <c r="K567">
        <v>10.676058354696901</v>
      </c>
      <c r="L567">
        <v>10.4964867624752</v>
      </c>
      <c r="M567" t="s">
        <v>29</v>
      </c>
      <c r="N567">
        <v>10.570845268636599</v>
      </c>
      <c r="O567">
        <v>9.7949481706637709</v>
      </c>
      <c r="P567">
        <v>-0.25535745483810102</v>
      </c>
      <c r="Q567">
        <v>-0.89968743364166104</v>
      </c>
      <c r="R567">
        <v>0.38897252396545801</v>
      </c>
      <c r="S567">
        <v>11.2096604458147</v>
      </c>
      <c r="T567">
        <v>-0.85061315626385003</v>
      </c>
      <c r="U567">
        <v>-6.3991398618694504</v>
      </c>
      <c r="V567">
        <v>0.409403378889312</v>
      </c>
      <c r="W567">
        <v>0.91512503332874395</v>
      </c>
      <c r="X567">
        <v>0</v>
      </c>
      <c r="Y567">
        <v>0</v>
      </c>
    </row>
    <row r="568" spans="1:25" x14ac:dyDescent="0.2">
      <c r="A568" t="s">
        <v>2126</v>
      </c>
      <c r="B568" t="s">
        <v>2127</v>
      </c>
      <c r="C568" t="s">
        <v>2128</v>
      </c>
      <c r="D568" t="s">
        <v>2129</v>
      </c>
      <c r="E568" t="s">
        <v>2127</v>
      </c>
      <c r="F568" t="s">
        <v>28</v>
      </c>
      <c r="G568" t="s">
        <v>2127</v>
      </c>
      <c r="H568" t="str">
        <f>"pes-5"</f>
        <v>pes-5</v>
      </c>
      <c r="I568" t="s">
        <v>2129</v>
      </c>
      <c r="J568" t="s">
        <v>29</v>
      </c>
      <c r="K568" t="s">
        <v>29</v>
      </c>
      <c r="L568">
        <v>11.5182380027712</v>
      </c>
      <c r="M568" t="s">
        <v>29</v>
      </c>
      <c r="N568" t="s">
        <v>29</v>
      </c>
      <c r="O568" t="s">
        <v>29</v>
      </c>
      <c r="P568" t="s">
        <v>29</v>
      </c>
      <c r="Q568" t="s">
        <v>29</v>
      </c>
      <c r="R568" t="s">
        <v>29</v>
      </c>
      <c r="S568">
        <v>11.8907092824277</v>
      </c>
      <c r="T568" t="s">
        <v>29</v>
      </c>
      <c r="U568" t="s">
        <v>29</v>
      </c>
      <c r="V568" t="s">
        <v>29</v>
      </c>
      <c r="W568" t="s">
        <v>29</v>
      </c>
      <c r="X568" t="s">
        <v>29</v>
      </c>
      <c r="Y568" t="s">
        <v>29</v>
      </c>
    </row>
    <row r="569" spans="1:25" x14ac:dyDescent="0.2">
      <c r="A569" t="s">
        <v>2130</v>
      </c>
      <c r="B569" t="s">
        <v>2131</v>
      </c>
      <c r="C569" t="s">
        <v>2132</v>
      </c>
      <c r="D569" t="s">
        <v>2133</v>
      </c>
      <c r="E569" t="s">
        <v>2131</v>
      </c>
      <c r="F569" t="s">
        <v>28</v>
      </c>
      <c r="G569" t="s">
        <v>2131</v>
      </c>
      <c r="H569" t="str">
        <f>"fat-6"</f>
        <v>fat-6</v>
      </c>
      <c r="I569" t="s">
        <v>2133</v>
      </c>
      <c r="J569">
        <v>13.314817705269199</v>
      </c>
      <c r="K569">
        <v>14.050125849430501</v>
      </c>
      <c r="L569">
        <v>14.1792810062306</v>
      </c>
      <c r="M569">
        <v>13.6245670855134</v>
      </c>
      <c r="N569">
        <v>14.2025862745709</v>
      </c>
      <c r="O569">
        <v>14.0458861317068</v>
      </c>
      <c r="P569">
        <v>0.109604976953598</v>
      </c>
      <c r="Q569">
        <v>-0.44982060318753198</v>
      </c>
      <c r="R569">
        <v>0.66903055709472803</v>
      </c>
      <c r="S569">
        <v>14.2872488259967</v>
      </c>
      <c r="T569">
        <v>0.41179442936535698</v>
      </c>
      <c r="U569">
        <v>-6.7943086035036604</v>
      </c>
      <c r="V569">
        <v>0.68538054510471802</v>
      </c>
      <c r="W569">
        <v>0.98642420921484297</v>
      </c>
      <c r="X569">
        <v>0</v>
      </c>
      <c r="Y569">
        <v>0</v>
      </c>
    </row>
    <row r="570" spans="1:25" x14ac:dyDescent="0.2">
      <c r="A570" t="s">
        <v>2134</v>
      </c>
      <c r="B570" t="s">
        <v>2135</v>
      </c>
      <c r="C570" t="s">
        <v>2136</v>
      </c>
      <c r="D570" t="s">
        <v>2137</v>
      </c>
      <c r="E570" t="s">
        <v>2135</v>
      </c>
      <c r="F570" t="s">
        <v>28</v>
      </c>
      <c r="G570" t="s">
        <v>2135</v>
      </c>
      <c r="H570" t="str">
        <f>"vha-6"</f>
        <v>vha-6</v>
      </c>
      <c r="I570" t="s">
        <v>2137</v>
      </c>
      <c r="J570">
        <v>11.5981851214421</v>
      </c>
      <c r="K570">
        <v>12.21490979308</v>
      </c>
      <c r="L570">
        <v>13.0815298845417</v>
      </c>
      <c r="M570">
        <v>12.1867994723516</v>
      </c>
      <c r="N570">
        <v>11.1708655135882</v>
      </c>
      <c r="O570">
        <v>12.746348914064299</v>
      </c>
      <c r="P570">
        <v>-0.26353696635322499</v>
      </c>
      <c r="Q570">
        <v>-1.3961124904832101</v>
      </c>
      <c r="R570">
        <v>0.86903855777675598</v>
      </c>
      <c r="S570">
        <v>12.286148897876799</v>
      </c>
      <c r="T570">
        <v>-0.48906533779611699</v>
      </c>
      <c r="U570">
        <v>-6.7583522709003603</v>
      </c>
      <c r="V570">
        <v>0.63073571976468201</v>
      </c>
      <c r="W570">
        <v>0.97279262440453396</v>
      </c>
      <c r="X570">
        <v>0</v>
      </c>
      <c r="Y570">
        <v>0</v>
      </c>
    </row>
    <row r="571" spans="1:25" x14ac:dyDescent="0.2">
      <c r="A571" t="s">
        <v>2138</v>
      </c>
      <c r="B571" t="s">
        <v>2139</v>
      </c>
      <c r="C571" t="s">
        <v>2140</v>
      </c>
      <c r="D571" t="s">
        <v>2141</v>
      </c>
      <c r="E571" t="s">
        <v>2139</v>
      </c>
      <c r="F571" t="s">
        <v>28</v>
      </c>
      <c r="G571" t="s">
        <v>2139</v>
      </c>
      <c r="H571" t="str">
        <f>"cpz-1"</f>
        <v>cpz-1</v>
      </c>
      <c r="I571" t="s">
        <v>2141</v>
      </c>
      <c r="J571">
        <v>12.3503628916037</v>
      </c>
      <c r="K571">
        <v>12.6917314235252</v>
      </c>
      <c r="L571">
        <v>12.381210927647199</v>
      </c>
      <c r="M571">
        <v>12.507633922195099</v>
      </c>
      <c r="N571">
        <v>12.0655695221441</v>
      </c>
      <c r="O571">
        <v>11.8968029836462</v>
      </c>
      <c r="P571">
        <v>-0.31776627159688298</v>
      </c>
      <c r="Q571">
        <v>-0.847564059972573</v>
      </c>
      <c r="R571">
        <v>0.21203151677880799</v>
      </c>
      <c r="S571">
        <v>12.336661024887499</v>
      </c>
      <c r="T571">
        <v>-1.2721759675940101</v>
      </c>
      <c r="U571">
        <v>-6.0722526747193797</v>
      </c>
      <c r="V571">
        <v>0.22160767711190099</v>
      </c>
      <c r="W571">
        <v>0.79910794991631495</v>
      </c>
      <c r="X571">
        <v>0</v>
      </c>
      <c r="Y571">
        <v>0</v>
      </c>
    </row>
    <row r="572" spans="1:25" x14ac:dyDescent="0.2">
      <c r="A572" t="s">
        <v>2142</v>
      </c>
      <c r="B572" t="s">
        <v>2143</v>
      </c>
      <c r="C572" t="s">
        <v>2144</v>
      </c>
      <c r="D572" t="s">
        <v>2145</v>
      </c>
      <c r="E572" t="s">
        <v>2143</v>
      </c>
      <c r="F572" t="s">
        <v>28</v>
      </c>
      <c r="G572" t="s">
        <v>2143</v>
      </c>
      <c r="H572" t="str">
        <f>"max-2"</f>
        <v>max-2</v>
      </c>
      <c r="I572" t="s">
        <v>2145</v>
      </c>
      <c r="J572" t="s">
        <v>29</v>
      </c>
      <c r="K572" t="s">
        <v>29</v>
      </c>
      <c r="L572" t="s">
        <v>29</v>
      </c>
      <c r="M572">
        <v>10.969458326365</v>
      </c>
      <c r="N572" t="s">
        <v>29</v>
      </c>
      <c r="O572" t="s">
        <v>29</v>
      </c>
      <c r="P572" t="s">
        <v>29</v>
      </c>
      <c r="Q572" t="s">
        <v>29</v>
      </c>
      <c r="R572" t="s">
        <v>29</v>
      </c>
      <c r="S572">
        <v>10.9772669875652</v>
      </c>
      <c r="T572" t="s">
        <v>29</v>
      </c>
      <c r="U572" t="s">
        <v>29</v>
      </c>
      <c r="V572" t="s">
        <v>29</v>
      </c>
      <c r="W572" t="s">
        <v>29</v>
      </c>
      <c r="X572" t="s">
        <v>29</v>
      </c>
      <c r="Y572" t="s">
        <v>29</v>
      </c>
    </row>
    <row r="573" spans="1:25" x14ac:dyDescent="0.2">
      <c r="A573" t="s">
        <v>2146</v>
      </c>
      <c r="B573" t="s">
        <v>2147</v>
      </c>
      <c r="C573" t="s">
        <v>2148</v>
      </c>
      <c r="D573" t="s">
        <v>2149</v>
      </c>
      <c r="E573" t="s">
        <v>2147</v>
      </c>
      <c r="F573" t="s">
        <v>28</v>
      </c>
      <c r="G573" t="s">
        <v>2147</v>
      </c>
      <c r="H573" t="str">
        <f>"ten-1"</f>
        <v>ten-1</v>
      </c>
      <c r="I573" t="s">
        <v>2149</v>
      </c>
      <c r="J573">
        <v>14.743420094405201</v>
      </c>
      <c r="K573">
        <v>14.6230204886702</v>
      </c>
      <c r="L573">
        <v>13.7484940014633</v>
      </c>
      <c r="M573">
        <v>14.512468179745399</v>
      </c>
      <c r="N573" t="s">
        <v>29</v>
      </c>
      <c r="O573">
        <v>14.8727483972489</v>
      </c>
      <c r="P573">
        <v>0.32096342698424801</v>
      </c>
      <c r="Q573">
        <v>-0.71046920541088898</v>
      </c>
      <c r="R573">
        <v>1.35239605937938</v>
      </c>
      <c r="S573">
        <v>14.220123634589701</v>
      </c>
      <c r="T573">
        <v>0.66003081307920597</v>
      </c>
      <c r="U573">
        <v>-6.5467719782101899</v>
      </c>
      <c r="V573">
        <v>0.51868469734517997</v>
      </c>
      <c r="W573">
        <v>0.94227592550871997</v>
      </c>
      <c r="X573">
        <v>0</v>
      </c>
      <c r="Y573">
        <v>0</v>
      </c>
    </row>
    <row r="574" spans="1:25" x14ac:dyDescent="0.2">
      <c r="A574" t="s">
        <v>2150</v>
      </c>
      <c r="B574" t="s">
        <v>2151</v>
      </c>
      <c r="C574" t="s">
        <v>2152</v>
      </c>
      <c r="D574" t="s">
        <v>2153</v>
      </c>
      <c r="E574" t="s">
        <v>2151</v>
      </c>
      <c r="F574" t="s">
        <v>28</v>
      </c>
      <c r="G574" t="s">
        <v>2151</v>
      </c>
      <c r="H574" t="str">
        <f>"klp-12"</f>
        <v>klp-12</v>
      </c>
      <c r="I574" t="s">
        <v>2153</v>
      </c>
      <c r="J574">
        <v>13.470762268653299</v>
      </c>
      <c r="K574">
        <v>13.3472813623194</v>
      </c>
      <c r="L574">
        <v>13.4817635419613</v>
      </c>
      <c r="M574">
        <v>13.5100261933322</v>
      </c>
      <c r="N574">
        <v>13.5196059665</v>
      </c>
      <c r="O574">
        <v>13.436113872246301</v>
      </c>
      <c r="P574">
        <v>5.5312953048188597E-2</v>
      </c>
      <c r="Q574">
        <v>-0.355091931390074</v>
      </c>
      <c r="R574">
        <v>0.46571783748645201</v>
      </c>
      <c r="S574">
        <v>13.6196965804076</v>
      </c>
      <c r="T574">
        <v>0.28327407981247599</v>
      </c>
      <c r="U574">
        <v>-6.8406568182967904</v>
      </c>
      <c r="V574">
        <v>0.78021775113183001</v>
      </c>
      <c r="W574">
        <v>0.99278624068726296</v>
      </c>
      <c r="X574">
        <v>0</v>
      </c>
      <c r="Y574">
        <v>0</v>
      </c>
    </row>
    <row r="575" spans="1:25" x14ac:dyDescent="0.2">
      <c r="A575" t="s">
        <v>2154</v>
      </c>
      <c r="B575" t="s">
        <v>2155</v>
      </c>
      <c r="C575" t="s">
        <v>2156</v>
      </c>
      <c r="D575" t="s">
        <v>2157</v>
      </c>
      <c r="E575" t="s">
        <v>2155</v>
      </c>
      <c r="F575" t="s">
        <v>28</v>
      </c>
      <c r="G575" t="s">
        <v>2155</v>
      </c>
      <c r="H575" t="str">
        <f>"gbf-1"</f>
        <v>gbf-1</v>
      </c>
      <c r="I575" t="s">
        <v>2157</v>
      </c>
      <c r="J575">
        <v>13.608977487654199</v>
      </c>
      <c r="K575">
        <v>13.7386337545618</v>
      </c>
      <c r="L575">
        <v>13.666543723321301</v>
      </c>
      <c r="M575">
        <v>13.696659107924599</v>
      </c>
      <c r="N575">
        <v>13.782403134245699</v>
      </c>
      <c r="O575">
        <v>13.6275131350589</v>
      </c>
      <c r="P575">
        <v>3.0806803897329298E-2</v>
      </c>
      <c r="Q575">
        <v>-0.35615919907379701</v>
      </c>
      <c r="R575">
        <v>0.41777280686845603</v>
      </c>
      <c r="S575">
        <v>13.6445627733919</v>
      </c>
      <c r="T575">
        <v>0.168044323081702</v>
      </c>
      <c r="U575">
        <v>-6.8677010684384499</v>
      </c>
      <c r="V575">
        <v>0.86854360963093802</v>
      </c>
      <c r="W575">
        <v>0.99457622291666603</v>
      </c>
      <c r="X575">
        <v>0</v>
      </c>
      <c r="Y575">
        <v>0</v>
      </c>
    </row>
    <row r="576" spans="1:25" x14ac:dyDescent="0.2">
      <c r="A576" t="s">
        <v>2158</v>
      </c>
      <c r="B576" t="s">
        <v>2159</v>
      </c>
      <c r="C576" t="s">
        <v>2160</v>
      </c>
      <c r="D576" t="s">
        <v>2161</v>
      </c>
      <c r="E576" t="s">
        <v>2159</v>
      </c>
      <c r="F576" t="s">
        <v>28</v>
      </c>
      <c r="G576" t="s">
        <v>2159</v>
      </c>
      <c r="H576" t="str">
        <f>"syp-1"</f>
        <v>syp-1</v>
      </c>
      <c r="I576" t="s">
        <v>2161</v>
      </c>
      <c r="J576" t="s">
        <v>29</v>
      </c>
      <c r="K576" t="s">
        <v>29</v>
      </c>
      <c r="L576" t="s">
        <v>29</v>
      </c>
      <c r="M576" t="s">
        <v>29</v>
      </c>
      <c r="N576" t="s">
        <v>29</v>
      </c>
      <c r="O576" t="s">
        <v>29</v>
      </c>
      <c r="P576" t="s">
        <v>29</v>
      </c>
      <c r="Q576" t="s">
        <v>29</v>
      </c>
      <c r="R576" t="s">
        <v>29</v>
      </c>
      <c r="S576">
        <v>11.664202858163399</v>
      </c>
      <c r="T576" t="s">
        <v>29</v>
      </c>
      <c r="U576" t="s">
        <v>29</v>
      </c>
      <c r="V576" t="s">
        <v>29</v>
      </c>
      <c r="W576" t="s">
        <v>29</v>
      </c>
      <c r="X576" t="s">
        <v>29</v>
      </c>
      <c r="Y576" t="s">
        <v>29</v>
      </c>
    </row>
    <row r="577" spans="1:25" x14ac:dyDescent="0.2">
      <c r="A577" t="s">
        <v>2162</v>
      </c>
      <c r="B577" t="s">
        <v>2163</v>
      </c>
      <c r="C577" t="s">
        <v>2164</v>
      </c>
      <c r="D577" t="s">
        <v>420</v>
      </c>
      <c r="E577" t="s">
        <v>2163</v>
      </c>
      <c r="F577" t="s">
        <v>28</v>
      </c>
      <c r="G577" t="s">
        <v>2163</v>
      </c>
      <c r="H577" t="str">
        <f>"clh-5"</f>
        <v>clh-5</v>
      </c>
      <c r="I577" t="s">
        <v>420</v>
      </c>
      <c r="J577">
        <v>10.891111909326799</v>
      </c>
      <c r="K577" t="s">
        <v>29</v>
      </c>
      <c r="L577">
        <v>12.8497652859278</v>
      </c>
      <c r="M577">
        <v>13.1377909033714</v>
      </c>
      <c r="N577">
        <v>12.8369535552992</v>
      </c>
      <c r="O577">
        <v>12.491903172898599</v>
      </c>
      <c r="P577">
        <v>0.95177727956244396</v>
      </c>
      <c r="Q577">
        <v>-1.0913488578793E-2</v>
      </c>
      <c r="R577">
        <v>1.91446804770368</v>
      </c>
      <c r="S577">
        <v>12.697251533811301</v>
      </c>
      <c r="T577">
        <v>2.13764592191208</v>
      </c>
      <c r="U577">
        <v>-4.6963744929448099</v>
      </c>
      <c r="V577">
        <v>5.2283613397732603E-2</v>
      </c>
      <c r="W577">
        <v>0.49530293508943901</v>
      </c>
      <c r="X577">
        <v>0</v>
      </c>
      <c r="Y577">
        <v>0</v>
      </c>
    </row>
    <row r="578" spans="1:25" x14ac:dyDescent="0.2">
      <c r="A578" t="s">
        <v>2165</v>
      </c>
      <c r="B578" t="s">
        <v>2166</v>
      </c>
      <c r="C578" t="s">
        <v>2167</v>
      </c>
      <c r="D578" t="s">
        <v>2168</v>
      </c>
      <c r="E578" t="s">
        <v>2166</v>
      </c>
      <c r="F578" t="s">
        <v>28</v>
      </c>
      <c r="G578" t="s">
        <v>2166</v>
      </c>
      <c r="H578" t="str">
        <f>"iffb-1"</f>
        <v>iffb-1</v>
      </c>
      <c r="I578" t="s">
        <v>2168</v>
      </c>
      <c r="J578">
        <v>17.498610346568999</v>
      </c>
      <c r="K578">
        <v>17.183322967964202</v>
      </c>
      <c r="L578">
        <v>17.630829089728898</v>
      </c>
      <c r="M578">
        <v>17.793196946367399</v>
      </c>
      <c r="N578">
        <v>17.978939456616601</v>
      </c>
      <c r="O578">
        <v>17.7995853281022</v>
      </c>
      <c r="P578">
        <v>0.419653108941411</v>
      </c>
      <c r="Q578">
        <v>-0.133951528158929</v>
      </c>
      <c r="R578">
        <v>0.97325774604175097</v>
      </c>
      <c r="S578">
        <v>17.088848907107199</v>
      </c>
      <c r="T578">
        <v>1.59324747480062</v>
      </c>
      <c r="U578">
        <v>-5.6430717233888004</v>
      </c>
      <c r="V578">
        <v>0.12861407882270101</v>
      </c>
      <c r="W578">
        <v>0.71998552612350397</v>
      </c>
      <c r="X578">
        <v>0</v>
      </c>
      <c r="Y578">
        <v>0</v>
      </c>
    </row>
    <row r="579" spans="1:25" x14ac:dyDescent="0.2">
      <c r="A579" t="s">
        <v>2169</v>
      </c>
      <c r="B579" t="s">
        <v>2170</v>
      </c>
      <c r="C579" t="s">
        <v>2171</v>
      </c>
      <c r="D579" t="s">
        <v>2172</v>
      </c>
      <c r="E579" t="s">
        <v>2170</v>
      </c>
      <c r="F579" t="s">
        <v>28</v>
      </c>
      <c r="G579" t="s">
        <v>2170</v>
      </c>
      <c r="H579" t="str">
        <f>"egl-30"</f>
        <v>egl-30</v>
      </c>
      <c r="I579" t="s">
        <v>2172</v>
      </c>
      <c r="J579">
        <v>14.3803357623806</v>
      </c>
      <c r="K579">
        <v>14.3441197388498</v>
      </c>
      <c r="L579">
        <v>14.1299064493031</v>
      </c>
      <c r="M579">
        <v>14.1647203865806</v>
      </c>
      <c r="N579">
        <v>13.955709119408599</v>
      </c>
      <c r="O579">
        <v>14.146288832475999</v>
      </c>
      <c r="P579">
        <v>-0.19588120402275799</v>
      </c>
      <c r="Q579">
        <v>-0.64822850813192401</v>
      </c>
      <c r="R579">
        <v>0.25646610008640902</v>
      </c>
      <c r="S579">
        <v>13.7733627980029</v>
      </c>
      <c r="T579">
        <v>-0.91015062493222398</v>
      </c>
      <c r="U579">
        <v>-6.4594848315274804</v>
      </c>
      <c r="V579">
        <v>0.37483979552948099</v>
      </c>
      <c r="W579">
        <v>0.89611784539566797</v>
      </c>
      <c r="X579">
        <v>0</v>
      </c>
      <c r="Y579">
        <v>0</v>
      </c>
    </row>
    <row r="580" spans="1:25" x14ac:dyDescent="0.2">
      <c r="A580" t="s">
        <v>2173</v>
      </c>
      <c r="B580" t="s">
        <v>2174</v>
      </c>
      <c r="C580" t="s">
        <v>2175</v>
      </c>
      <c r="D580" t="s">
        <v>2176</v>
      </c>
      <c r="E580" t="s">
        <v>2174</v>
      </c>
      <c r="F580" t="s">
        <v>28</v>
      </c>
      <c r="G580" t="s">
        <v>2174</v>
      </c>
      <c r="H580" t="str">
        <f>"szy-20"</f>
        <v>szy-20</v>
      </c>
      <c r="I580" t="s">
        <v>2176</v>
      </c>
      <c r="J580" t="s">
        <v>29</v>
      </c>
      <c r="K580" t="s">
        <v>29</v>
      </c>
      <c r="L580">
        <v>11.1889345671425</v>
      </c>
      <c r="M580" t="s">
        <v>29</v>
      </c>
      <c r="N580" t="s">
        <v>29</v>
      </c>
      <c r="O580" t="s">
        <v>29</v>
      </c>
      <c r="P580" t="s">
        <v>29</v>
      </c>
      <c r="Q580" t="s">
        <v>29</v>
      </c>
      <c r="R580" t="s">
        <v>29</v>
      </c>
      <c r="S580">
        <v>12.058265739600399</v>
      </c>
      <c r="T580" t="s">
        <v>29</v>
      </c>
      <c r="U580" t="s">
        <v>29</v>
      </c>
      <c r="V580" t="s">
        <v>29</v>
      </c>
      <c r="W580" t="s">
        <v>29</v>
      </c>
      <c r="X580" t="s">
        <v>29</v>
      </c>
      <c r="Y580" t="s">
        <v>29</v>
      </c>
    </row>
    <row r="581" spans="1:25" x14ac:dyDescent="0.2">
      <c r="A581" t="s">
        <v>2177</v>
      </c>
      <c r="B581" t="s">
        <v>2178</v>
      </c>
      <c r="C581" t="s">
        <v>2179</v>
      </c>
      <c r="D581" t="s">
        <v>2180</v>
      </c>
      <c r="E581" t="s">
        <v>2178</v>
      </c>
      <c r="F581" t="s">
        <v>28</v>
      </c>
      <c r="G581" t="s">
        <v>2178</v>
      </c>
      <c r="H581" t="str">
        <f>"hum-2"</f>
        <v>hum-2</v>
      </c>
      <c r="I581" t="s">
        <v>2180</v>
      </c>
      <c r="J581">
        <v>12.7721505319992</v>
      </c>
      <c r="K581">
        <v>11.6137314163062</v>
      </c>
      <c r="L581">
        <v>12.1159005358763</v>
      </c>
      <c r="M581">
        <v>12.5943806872551</v>
      </c>
      <c r="N581">
        <v>12.3444465734303</v>
      </c>
      <c r="O581">
        <v>12.394877466781899</v>
      </c>
      <c r="P581">
        <v>0.27730741442854001</v>
      </c>
      <c r="Q581">
        <v>-0.31821062891429203</v>
      </c>
      <c r="R581">
        <v>0.87282545777137099</v>
      </c>
      <c r="S581">
        <v>12.5246801505109</v>
      </c>
      <c r="T581">
        <v>0.98291637474664095</v>
      </c>
      <c r="U581">
        <v>-6.3902027869100504</v>
      </c>
      <c r="V581">
        <v>0.33951587483796197</v>
      </c>
      <c r="W581">
        <v>0.87572912566616701</v>
      </c>
      <c r="X581">
        <v>0</v>
      </c>
      <c r="Y581">
        <v>0</v>
      </c>
    </row>
    <row r="582" spans="1:25" x14ac:dyDescent="0.2">
      <c r="A582" t="s">
        <v>2181</v>
      </c>
      <c r="B582" t="s">
        <v>2182</v>
      </c>
      <c r="C582" t="s">
        <v>14280</v>
      </c>
      <c r="D582" t="s">
        <v>2183</v>
      </c>
      <c r="E582" t="s">
        <v>2182</v>
      </c>
      <c r="F582" t="s">
        <v>28</v>
      </c>
      <c r="G582" t="s">
        <v>2182</v>
      </c>
      <c r="H582" t="str">
        <f>"Y48C3A.14"</f>
        <v>Y48C3A.14</v>
      </c>
      <c r="I582" t="s">
        <v>2183</v>
      </c>
      <c r="J582">
        <v>14.435348783273099</v>
      </c>
      <c r="K582">
        <v>14.5465676421439</v>
      </c>
      <c r="L582">
        <v>14.857931291914801</v>
      </c>
      <c r="M582">
        <v>14.2766887318773</v>
      </c>
      <c r="N582">
        <v>14.1422311522372</v>
      </c>
      <c r="O582">
        <v>14.273452865170301</v>
      </c>
      <c r="P582">
        <v>-0.38249165601561702</v>
      </c>
      <c r="Q582">
        <v>-1.041242894209</v>
      </c>
      <c r="R582">
        <v>0.27625958217776703</v>
      </c>
      <c r="S582">
        <v>14.5543313230366</v>
      </c>
      <c r="T582">
        <v>-1.22560502855413</v>
      </c>
      <c r="U582">
        <v>-6.1285767963342304</v>
      </c>
      <c r="V582">
        <v>0.23715830611920499</v>
      </c>
      <c r="W582">
        <v>0.82181747752460499</v>
      </c>
      <c r="X582">
        <v>0</v>
      </c>
      <c r="Y582">
        <v>0</v>
      </c>
    </row>
    <row r="583" spans="1:25" x14ac:dyDescent="0.2">
      <c r="A583" t="s">
        <v>2184</v>
      </c>
      <c r="B583" t="s">
        <v>2185</v>
      </c>
      <c r="C583" t="s">
        <v>14281</v>
      </c>
      <c r="D583" t="s">
        <v>66</v>
      </c>
      <c r="E583" t="s">
        <v>2185</v>
      </c>
      <c r="F583" t="s">
        <v>28</v>
      </c>
      <c r="G583" t="s">
        <v>2185</v>
      </c>
      <c r="H583" t="str">
        <f>"M03C11.3"</f>
        <v>M03C11.3</v>
      </c>
      <c r="I583" t="s">
        <v>66</v>
      </c>
      <c r="J583">
        <v>12.352400208264401</v>
      </c>
      <c r="K583">
        <v>13.0179778511029</v>
      </c>
      <c r="L583">
        <v>12.7770815913736</v>
      </c>
      <c r="M583">
        <v>12.626787409437799</v>
      </c>
      <c r="N583">
        <v>12.7158537441042</v>
      </c>
      <c r="O583">
        <v>12.6497817876954</v>
      </c>
      <c r="P583">
        <v>-5.16789031678613E-2</v>
      </c>
      <c r="Q583">
        <v>-0.580855590247775</v>
      </c>
      <c r="R583">
        <v>0.477497783912053</v>
      </c>
      <c r="S583">
        <v>12.9011463035823</v>
      </c>
      <c r="T583">
        <v>-0.20828317553301201</v>
      </c>
      <c r="U583">
        <v>-6.8596146469753299</v>
      </c>
      <c r="V583">
        <v>0.837829151126955</v>
      </c>
      <c r="W583">
        <v>0.99370971747667503</v>
      </c>
      <c r="X583">
        <v>0</v>
      </c>
      <c r="Y583">
        <v>0</v>
      </c>
    </row>
    <row r="584" spans="1:25" x14ac:dyDescent="0.2">
      <c r="A584" t="s">
        <v>2186</v>
      </c>
      <c r="B584" t="s">
        <v>2187</v>
      </c>
      <c r="C584" t="s">
        <v>2188</v>
      </c>
      <c r="D584" t="s">
        <v>2189</v>
      </c>
      <c r="E584" t="s">
        <v>2187</v>
      </c>
      <c r="F584" t="s">
        <v>28</v>
      </c>
      <c r="G584" t="s">
        <v>2187</v>
      </c>
      <c r="H584" t="str">
        <f>"stl-1"</f>
        <v>stl-1</v>
      </c>
      <c r="I584" t="s">
        <v>2189</v>
      </c>
      <c r="J584">
        <v>15.7242120271346</v>
      </c>
      <c r="K584">
        <v>16.308009175071</v>
      </c>
      <c r="L584">
        <v>16.655620031359799</v>
      </c>
      <c r="M584">
        <v>16.095717223766801</v>
      </c>
      <c r="N584">
        <v>16.486367125676399</v>
      </c>
      <c r="O584">
        <v>16.467971675214201</v>
      </c>
      <c r="P584">
        <v>0.12073826369731901</v>
      </c>
      <c r="Q584">
        <v>-0.56104501868204804</v>
      </c>
      <c r="R584">
        <v>0.80252154607668602</v>
      </c>
      <c r="S584">
        <v>16.825299659839899</v>
      </c>
      <c r="T584">
        <v>0.37221261773771602</v>
      </c>
      <c r="U584">
        <v>-6.8103831639650103</v>
      </c>
      <c r="V584">
        <v>0.71410585170000196</v>
      </c>
      <c r="W584">
        <v>0.98786722894487999</v>
      </c>
      <c r="X584">
        <v>0</v>
      </c>
      <c r="Y584">
        <v>0</v>
      </c>
    </row>
    <row r="585" spans="1:25" x14ac:dyDescent="0.2">
      <c r="A585" t="s">
        <v>2190</v>
      </c>
      <c r="B585" t="s">
        <v>2191</v>
      </c>
      <c r="C585" t="s">
        <v>2192</v>
      </c>
      <c r="D585" t="s">
        <v>2193</v>
      </c>
      <c r="E585" t="s">
        <v>2191</v>
      </c>
      <c r="F585" t="s">
        <v>28</v>
      </c>
      <c r="G585" t="s">
        <v>2191</v>
      </c>
      <c r="H585" t="str">
        <f>"spat-1"</f>
        <v>spat-1</v>
      </c>
      <c r="I585" t="s">
        <v>2193</v>
      </c>
      <c r="J585" t="s">
        <v>29</v>
      </c>
      <c r="K585" t="s">
        <v>29</v>
      </c>
      <c r="L585" t="s">
        <v>29</v>
      </c>
      <c r="M585" t="s">
        <v>29</v>
      </c>
      <c r="N585" t="s">
        <v>29</v>
      </c>
      <c r="O585" t="s">
        <v>29</v>
      </c>
      <c r="P585" t="s">
        <v>29</v>
      </c>
      <c r="Q585" t="s">
        <v>29</v>
      </c>
      <c r="R585" t="s">
        <v>29</v>
      </c>
      <c r="S585">
        <v>10.0985558044644</v>
      </c>
      <c r="T585" t="s">
        <v>29</v>
      </c>
      <c r="U585" t="s">
        <v>29</v>
      </c>
      <c r="V585" t="s">
        <v>29</v>
      </c>
      <c r="W585" t="s">
        <v>29</v>
      </c>
      <c r="X585" t="s">
        <v>29</v>
      </c>
      <c r="Y585" t="s">
        <v>29</v>
      </c>
    </row>
    <row r="586" spans="1:25" x14ac:dyDescent="0.2">
      <c r="A586" t="s">
        <v>2194</v>
      </c>
      <c r="B586" t="s">
        <v>2195</v>
      </c>
      <c r="C586" t="s">
        <v>2196</v>
      </c>
      <c r="D586" t="s">
        <v>2197</v>
      </c>
      <c r="E586" t="s">
        <v>2195</v>
      </c>
      <c r="F586" t="s">
        <v>28</v>
      </c>
      <c r="G586" t="s">
        <v>2195</v>
      </c>
      <c r="H586" t="str">
        <f>"lea-1"</f>
        <v>lea-1</v>
      </c>
      <c r="I586" t="s">
        <v>2197</v>
      </c>
      <c r="J586">
        <v>12.3888086287417</v>
      </c>
      <c r="K586">
        <v>12.778827821609999</v>
      </c>
      <c r="L586">
        <v>12.302385086334599</v>
      </c>
      <c r="M586">
        <v>14.7461497765304</v>
      </c>
      <c r="N586">
        <v>14.862031909896601</v>
      </c>
      <c r="O586">
        <v>14.466767082292201</v>
      </c>
      <c r="P586">
        <v>2.20164241067762</v>
      </c>
      <c r="Q586">
        <v>1.34099253423586</v>
      </c>
      <c r="R586">
        <v>3.0622922871193801</v>
      </c>
      <c r="S586">
        <v>14.059171454592001</v>
      </c>
      <c r="T586">
        <v>5.3766626094009498</v>
      </c>
      <c r="U586">
        <v>2.04465369973413</v>
      </c>
      <c r="V586" s="2">
        <v>4.2213848064916798E-5</v>
      </c>
      <c r="W586">
        <v>2.38114722644141E-3</v>
      </c>
      <c r="X586">
        <v>1</v>
      </c>
      <c r="Y586">
        <v>1</v>
      </c>
    </row>
    <row r="587" spans="1:25" x14ac:dyDescent="0.2">
      <c r="A587" t="s">
        <v>2198</v>
      </c>
      <c r="B587" t="s">
        <v>2199</v>
      </c>
      <c r="C587" t="s">
        <v>2200</v>
      </c>
      <c r="D587" t="s">
        <v>2201</v>
      </c>
      <c r="E587" t="s">
        <v>2199</v>
      </c>
      <c r="F587" t="s">
        <v>28</v>
      </c>
      <c r="G587" t="s">
        <v>2199</v>
      </c>
      <c r="H587" t="str">
        <f>"wdfy-3"</f>
        <v>wdfy-3</v>
      </c>
      <c r="I587" t="s">
        <v>2201</v>
      </c>
      <c r="J587">
        <v>11.518684150523701</v>
      </c>
      <c r="K587">
        <v>11.9291006115188</v>
      </c>
      <c r="L587">
        <v>11.627342432674601</v>
      </c>
      <c r="M587">
        <v>11.4642728899932</v>
      </c>
      <c r="N587">
        <v>11.878403616039201</v>
      </c>
      <c r="O587">
        <v>12.209463824045599</v>
      </c>
      <c r="P587">
        <v>0.15900437845363899</v>
      </c>
      <c r="Q587">
        <v>-0.35132092648729801</v>
      </c>
      <c r="R587">
        <v>0.66932968339457699</v>
      </c>
      <c r="S587">
        <v>11.960982276758299</v>
      </c>
      <c r="T587">
        <v>0.65767599863687498</v>
      </c>
      <c r="U587">
        <v>-6.6586643151425298</v>
      </c>
      <c r="V587">
        <v>0.51960716942818697</v>
      </c>
      <c r="W587">
        <v>0.94227592550871997</v>
      </c>
      <c r="X587">
        <v>0</v>
      </c>
      <c r="Y587">
        <v>0</v>
      </c>
    </row>
    <row r="588" spans="1:25" x14ac:dyDescent="0.2">
      <c r="A588" t="s">
        <v>2202</v>
      </c>
      <c r="B588" t="s">
        <v>2203</v>
      </c>
      <c r="C588" t="s">
        <v>14282</v>
      </c>
      <c r="D588" t="s">
        <v>2204</v>
      </c>
      <c r="E588" t="s">
        <v>2203</v>
      </c>
      <c r="F588" t="s">
        <v>28</v>
      </c>
      <c r="G588" t="s">
        <v>2203</v>
      </c>
      <c r="H588" t="str">
        <f>"Y38E10A.22"</f>
        <v>Y38E10A.22</v>
      </c>
      <c r="I588" t="s">
        <v>2204</v>
      </c>
      <c r="J588" t="s">
        <v>29</v>
      </c>
      <c r="K588">
        <v>11.112072838470301</v>
      </c>
      <c r="L588" t="s">
        <v>29</v>
      </c>
      <c r="M588">
        <v>11.9455789995089</v>
      </c>
      <c r="N588">
        <v>12.092092884643201</v>
      </c>
      <c r="O588">
        <v>11.647717510315999</v>
      </c>
      <c r="P588">
        <v>0.78305695968574596</v>
      </c>
      <c r="Q588">
        <v>-0.30221954893483599</v>
      </c>
      <c r="R588">
        <v>1.86833346830633</v>
      </c>
      <c r="S588">
        <v>12.490399687287001</v>
      </c>
      <c r="T588">
        <v>1.53884386382628</v>
      </c>
      <c r="U588">
        <v>-5.3941955787891596</v>
      </c>
      <c r="V588">
        <v>0.14481316329004801</v>
      </c>
      <c r="W588">
        <v>0.73463339032441799</v>
      </c>
      <c r="X588">
        <v>0</v>
      </c>
      <c r="Y588">
        <v>0</v>
      </c>
    </row>
    <row r="589" spans="1:25" x14ac:dyDescent="0.2">
      <c r="A589" t="s">
        <v>2205</v>
      </c>
      <c r="B589" t="s">
        <v>2206</v>
      </c>
      <c r="C589" t="s">
        <v>2207</v>
      </c>
      <c r="D589" t="s">
        <v>825</v>
      </c>
      <c r="E589" t="s">
        <v>2206</v>
      </c>
      <c r="F589" t="s">
        <v>28</v>
      </c>
      <c r="G589" t="s">
        <v>2206</v>
      </c>
      <c r="H589" t="str">
        <f>"ints-8"</f>
        <v>ints-8</v>
      </c>
      <c r="I589" t="s">
        <v>825</v>
      </c>
      <c r="J589">
        <v>12.2926676508496</v>
      </c>
      <c r="K589">
        <v>12.870219043933099</v>
      </c>
      <c r="L589">
        <v>12.839190441544501</v>
      </c>
      <c r="M589">
        <v>13.5057878709846</v>
      </c>
      <c r="N589">
        <v>13.4833255055281</v>
      </c>
      <c r="O589">
        <v>13.4124675209882</v>
      </c>
      <c r="P589">
        <v>0.79983458705791399</v>
      </c>
      <c r="Q589">
        <v>0.40366070039846003</v>
      </c>
      <c r="R589">
        <v>1.19600847371737</v>
      </c>
      <c r="S589">
        <v>13.479824417022099</v>
      </c>
      <c r="T589">
        <v>4.2615181976343104</v>
      </c>
      <c r="U589">
        <v>-0.450165034947203</v>
      </c>
      <c r="V589">
        <v>5.3356391284861096E-4</v>
      </c>
      <c r="W589">
        <v>1.9513194527034899E-2</v>
      </c>
      <c r="X589">
        <v>0</v>
      </c>
      <c r="Y589">
        <v>0</v>
      </c>
    </row>
    <row r="590" spans="1:25" x14ac:dyDescent="0.2">
      <c r="A590" t="s">
        <v>2208</v>
      </c>
      <c r="B590" t="s">
        <v>2209</v>
      </c>
      <c r="C590" t="s">
        <v>14169</v>
      </c>
      <c r="D590" t="s">
        <v>2210</v>
      </c>
      <c r="E590" t="s">
        <v>2209</v>
      </c>
      <c r="F590" t="s">
        <v>28</v>
      </c>
      <c r="G590" t="s">
        <v>2209</v>
      </c>
      <c r="H590" t="str">
        <f>"CTEL55X.1"</f>
        <v>CTEL55X.1</v>
      </c>
      <c r="I590" t="s">
        <v>2210</v>
      </c>
      <c r="J590" t="s">
        <v>29</v>
      </c>
      <c r="K590" t="s">
        <v>29</v>
      </c>
      <c r="L590" t="s">
        <v>29</v>
      </c>
      <c r="M590">
        <v>13.7060161766967</v>
      </c>
      <c r="N590">
        <v>13.545268108561899</v>
      </c>
      <c r="O590">
        <v>11.918678097237001</v>
      </c>
      <c r="P590" t="s">
        <v>29</v>
      </c>
      <c r="Q590" t="s">
        <v>29</v>
      </c>
      <c r="R590" t="s">
        <v>29</v>
      </c>
      <c r="S590">
        <v>13.6722542139869</v>
      </c>
      <c r="T590" t="s">
        <v>29</v>
      </c>
      <c r="U590" t="s">
        <v>29</v>
      </c>
      <c r="V590" t="s">
        <v>29</v>
      </c>
      <c r="W590" t="s">
        <v>29</v>
      </c>
      <c r="X590" t="s">
        <v>29</v>
      </c>
      <c r="Y590" t="s">
        <v>29</v>
      </c>
    </row>
    <row r="591" spans="1:25" x14ac:dyDescent="0.2">
      <c r="A591" t="s">
        <v>2211</v>
      </c>
      <c r="B591" t="s">
        <v>2212</v>
      </c>
      <c r="C591" t="s">
        <v>2213</v>
      </c>
      <c r="D591" t="s">
        <v>2214</v>
      </c>
      <c r="E591" t="s">
        <v>2212</v>
      </c>
      <c r="F591" t="s">
        <v>28</v>
      </c>
      <c r="G591" t="s">
        <v>2212</v>
      </c>
      <c r="H591" t="str">
        <f>"ain-2"</f>
        <v>ain-2</v>
      </c>
      <c r="I591" t="s">
        <v>2214</v>
      </c>
      <c r="J591">
        <v>12.4571024987751</v>
      </c>
      <c r="K591">
        <v>12.9359570179257</v>
      </c>
      <c r="L591">
        <v>13.387569947931</v>
      </c>
      <c r="M591">
        <v>12.649159545727199</v>
      </c>
      <c r="N591">
        <v>12.9554718195552</v>
      </c>
      <c r="O591">
        <v>12.79939628436</v>
      </c>
      <c r="P591">
        <v>-0.12553393832982501</v>
      </c>
      <c r="Q591">
        <v>-0.92173560952710498</v>
      </c>
      <c r="R591">
        <v>0.67066773286745496</v>
      </c>
      <c r="S591">
        <v>13.74048256267</v>
      </c>
      <c r="T591">
        <v>-0.33441642434700503</v>
      </c>
      <c r="U591">
        <v>-6.8238753106881704</v>
      </c>
      <c r="V591">
        <v>0.74243727618269695</v>
      </c>
      <c r="W591">
        <v>0.99159672419203304</v>
      </c>
      <c r="X591">
        <v>0</v>
      </c>
      <c r="Y591">
        <v>0</v>
      </c>
    </row>
    <row r="592" spans="1:25" x14ac:dyDescent="0.2">
      <c r="A592" t="s">
        <v>2215</v>
      </c>
      <c r="B592" t="s">
        <v>2216</v>
      </c>
      <c r="C592" t="s">
        <v>14283</v>
      </c>
      <c r="D592" t="s">
        <v>2217</v>
      </c>
      <c r="E592" t="s">
        <v>2216</v>
      </c>
      <c r="F592" t="s">
        <v>28</v>
      </c>
      <c r="G592" t="s">
        <v>2216</v>
      </c>
      <c r="H592" t="str">
        <f>"F56C9.6"</f>
        <v>F56C9.6</v>
      </c>
      <c r="I592" t="s">
        <v>2217</v>
      </c>
      <c r="J592" t="s">
        <v>29</v>
      </c>
      <c r="K592" t="s">
        <v>29</v>
      </c>
      <c r="L592" t="s">
        <v>29</v>
      </c>
      <c r="M592" t="s">
        <v>29</v>
      </c>
      <c r="N592" t="s">
        <v>29</v>
      </c>
      <c r="O592" t="s">
        <v>29</v>
      </c>
      <c r="P592" t="s">
        <v>29</v>
      </c>
      <c r="Q592" t="s">
        <v>29</v>
      </c>
      <c r="R592" t="s">
        <v>29</v>
      </c>
      <c r="S592">
        <v>12.752331645559799</v>
      </c>
      <c r="T592" t="s">
        <v>29</v>
      </c>
      <c r="U592" t="s">
        <v>29</v>
      </c>
      <c r="V592" t="s">
        <v>29</v>
      </c>
      <c r="W592" t="s">
        <v>29</v>
      </c>
      <c r="X592" t="s">
        <v>29</v>
      </c>
      <c r="Y592" t="s">
        <v>29</v>
      </c>
    </row>
    <row r="593" spans="1:25" x14ac:dyDescent="0.2">
      <c r="A593" t="s">
        <v>2218</v>
      </c>
      <c r="B593" t="s">
        <v>2219</v>
      </c>
      <c r="C593" t="s">
        <v>2220</v>
      </c>
      <c r="D593" t="s">
        <v>2221</v>
      </c>
      <c r="E593" t="s">
        <v>2219</v>
      </c>
      <c r="F593" t="s">
        <v>28</v>
      </c>
      <c r="G593" t="s">
        <v>2219</v>
      </c>
      <c r="H593" t="str">
        <f>"unc-82"</f>
        <v>unc-82</v>
      </c>
      <c r="I593" t="s">
        <v>2221</v>
      </c>
      <c r="J593">
        <v>12.8864498342222</v>
      </c>
      <c r="K593">
        <v>13.450451649784499</v>
      </c>
      <c r="L593">
        <v>13.5456643208133</v>
      </c>
      <c r="M593">
        <v>13.0479020566983</v>
      </c>
      <c r="N593">
        <v>13.170012071855201</v>
      </c>
      <c r="O593">
        <v>13.330925206268599</v>
      </c>
      <c r="P593">
        <v>-0.11124215666595599</v>
      </c>
      <c r="Q593">
        <v>-0.63589469585653302</v>
      </c>
      <c r="R593">
        <v>0.41341038252462098</v>
      </c>
      <c r="S593">
        <v>13.3196157906875</v>
      </c>
      <c r="T593">
        <v>-0.44755625799088</v>
      </c>
      <c r="U593">
        <v>-6.7781257530809196</v>
      </c>
      <c r="V593">
        <v>0.66015871618491095</v>
      </c>
      <c r="W593">
        <v>0.98382359994193702</v>
      </c>
      <c r="X593">
        <v>0</v>
      </c>
      <c r="Y593">
        <v>0</v>
      </c>
    </row>
    <row r="594" spans="1:25" x14ac:dyDescent="0.2">
      <c r="A594" t="s">
        <v>2222</v>
      </c>
      <c r="B594" t="s">
        <v>2223</v>
      </c>
      <c r="C594" t="s">
        <v>2224</v>
      </c>
      <c r="D594" t="s">
        <v>2225</v>
      </c>
      <c r="E594" t="s">
        <v>2223</v>
      </c>
      <c r="F594" t="s">
        <v>28</v>
      </c>
      <c r="G594" t="s">
        <v>2223</v>
      </c>
      <c r="H594" t="str">
        <f>"ttc-7"</f>
        <v>ttc-7</v>
      </c>
      <c r="I594" t="s">
        <v>2225</v>
      </c>
      <c r="J594">
        <v>12.376626954308801</v>
      </c>
      <c r="K594">
        <v>12.5264200866508</v>
      </c>
      <c r="L594">
        <v>12.307385548031</v>
      </c>
      <c r="M594">
        <v>12.4915281663963</v>
      </c>
      <c r="N594">
        <v>13.005781045452499</v>
      </c>
      <c r="O594" t="s">
        <v>29</v>
      </c>
      <c r="P594">
        <v>0.34517707626083699</v>
      </c>
      <c r="Q594">
        <v>-0.129893300407113</v>
      </c>
      <c r="R594">
        <v>0.82024745292878698</v>
      </c>
      <c r="S594">
        <v>12.5380818771729</v>
      </c>
      <c r="T594">
        <v>1.55946591933144</v>
      </c>
      <c r="U594">
        <v>-5.5877541719999204</v>
      </c>
      <c r="V594">
        <v>0.14136640625778199</v>
      </c>
      <c r="W594">
        <v>0.73171825718948003</v>
      </c>
      <c r="X594">
        <v>0</v>
      </c>
      <c r="Y594">
        <v>0</v>
      </c>
    </row>
    <row r="595" spans="1:25" x14ac:dyDescent="0.2">
      <c r="A595" t="s">
        <v>2226</v>
      </c>
      <c r="B595" t="s">
        <v>2227</v>
      </c>
      <c r="C595" t="s">
        <v>2228</v>
      </c>
      <c r="D595" t="s">
        <v>93</v>
      </c>
      <c r="E595" t="s">
        <v>2227</v>
      </c>
      <c r="F595" t="s">
        <v>28</v>
      </c>
      <c r="G595" t="s">
        <v>2227</v>
      </c>
      <c r="H595" t="str">
        <f>"grld-1"</f>
        <v>grld-1</v>
      </c>
      <c r="I595" t="s">
        <v>93</v>
      </c>
      <c r="J595">
        <v>13.5644365053009</v>
      </c>
      <c r="K595">
        <v>13.6919475525984</v>
      </c>
      <c r="L595">
        <v>13.820050056344799</v>
      </c>
      <c r="M595">
        <v>13.290756366495099</v>
      </c>
      <c r="N595">
        <v>13.224400280045099</v>
      </c>
      <c r="O595">
        <v>13.52180451131</v>
      </c>
      <c r="P595">
        <v>-0.34649098546461898</v>
      </c>
      <c r="Q595">
        <v>-0.77257866061639402</v>
      </c>
      <c r="R595">
        <v>7.9596689687155595E-2</v>
      </c>
      <c r="S595">
        <v>13.4831025639833</v>
      </c>
      <c r="T595">
        <v>-1.72481491052206</v>
      </c>
      <c r="U595">
        <v>-5.4494519325615798</v>
      </c>
      <c r="V595">
        <v>0.103947807333574</v>
      </c>
      <c r="W595">
        <v>0.66144990976316598</v>
      </c>
      <c r="X595">
        <v>0</v>
      </c>
      <c r="Y595">
        <v>0</v>
      </c>
    </row>
    <row r="596" spans="1:25" x14ac:dyDescent="0.2">
      <c r="A596" t="s">
        <v>2229</v>
      </c>
      <c r="B596" t="s">
        <v>2230</v>
      </c>
      <c r="C596" t="s">
        <v>14284</v>
      </c>
      <c r="D596" t="s">
        <v>130</v>
      </c>
      <c r="E596" t="s">
        <v>2230</v>
      </c>
      <c r="F596" t="s">
        <v>28</v>
      </c>
      <c r="G596" t="s">
        <v>2230</v>
      </c>
      <c r="H596" t="str">
        <f>"F57C9.4"</f>
        <v>F57C9.4</v>
      </c>
      <c r="I596" t="s">
        <v>130</v>
      </c>
      <c r="J596">
        <v>13.689705160148799</v>
      </c>
      <c r="K596">
        <v>13.031408158847199</v>
      </c>
      <c r="L596">
        <v>12.774712279642999</v>
      </c>
      <c r="M596">
        <v>12.9061630696244</v>
      </c>
      <c r="N596">
        <v>12.838745065899699</v>
      </c>
      <c r="O596">
        <v>13.050353945009499</v>
      </c>
      <c r="P596">
        <v>-0.23352117270178499</v>
      </c>
      <c r="Q596">
        <v>-0.87994577724156497</v>
      </c>
      <c r="R596">
        <v>0.41290343183799499</v>
      </c>
      <c r="S596">
        <v>12.8901283419459</v>
      </c>
      <c r="T596">
        <v>-0.76622781672976303</v>
      </c>
      <c r="U596">
        <v>-6.5793092591486699</v>
      </c>
      <c r="V596">
        <v>0.45477022385183002</v>
      </c>
      <c r="W596">
        <v>0.92582104169957002</v>
      </c>
      <c r="X596">
        <v>0</v>
      </c>
      <c r="Y596">
        <v>0</v>
      </c>
    </row>
    <row r="597" spans="1:25" x14ac:dyDescent="0.2">
      <c r="A597" t="s">
        <v>2231</v>
      </c>
      <c r="B597" t="s">
        <v>2232</v>
      </c>
      <c r="C597" t="s">
        <v>14285</v>
      </c>
      <c r="D597" t="s">
        <v>2233</v>
      </c>
      <c r="E597" t="s">
        <v>2232</v>
      </c>
      <c r="F597" t="s">
        <v>28</v>
      </c>
      <c r="G597" t="s">
        <v>2232</v>
      </c>
      <c r="H597" t="str">
        <f>"F26G5.1"</f>
        <v>F26G5.1</v>
      </c>
      <c r="I597" t="s">
        <v>2233</v>
      </c>
      <c r="J597" t="s">
        <v>29</v>
      </c>
      <c r="K597" t="s">
        <v>29</v>
      </c>
      <c r="L597" t="s">
        <v>29</v>
      </c>
      <c r="M597" t="s">
        <v>29</v>
      </c>
      <c r="N597" t="s">
        <v>29</v>
      </c>
      <c r="O597" t="s">
        <v>29</v>
      </c>
      <c r="P597" t="s">
        <v>29</v>
      </c>
      <c r="Q597" t="s">
        <v>29</v>
      </c>
      <c r="R597" t="s">
        <v>29</v>
      </c>
      <c r="S597">
        <v>12.8273394404097</v>
      </c>
      <c r="T597" t="s">
        <v>29</v>
      </c>
      <c r="U597" t="s">
        <v>29</v>
      </c>
      <c r="V597" t="s">
        <v>29</v>
      </c>
      <c r="W597" t="s">
        <v>29</v>
      </c>
      <c r="X597" t="s">
        <v>29</v>
      </c>
      <c r="Y597" t="s">
        <v>29</v>
      </c>
    </row>
    <row r="598" spans="1:25" x14ac:dyDescent="0.2">
      <c r="A598" t="s">
        <v>2234</v>
      </c>
      <c r="B598" t="s">
        <v>2235</v>
      </c>
      <c r="C598" t="s">
        <v>2236</v>
      </c>
      <c r="D598" t="s">
        <v>2237</v>
      </c>
      <c r="E598" t="s">
        <v>2235</v>
      </c>
      <c r="F598" t="s">
        <v>28</v>
      </c>
      <c r="G598" t="s">
        <v>2235</v>
      </c>
      <c r="H598" t="str">
        <f>"nra-4"</f>
        <v>nra-4</v>
      </c>
      <c r="I598" t="s">
        <v>2237</v>
      </c>
      <c r="J598">
        <v>14.526337281289299</v>
      </c>
      <c r="K598">
        <v>14.779175343021199</v>
      </c>
      <c r="L598">
        <v>14.621498306040801</v>
      </c>
      <c r="M598">
        <v>14.447611679366201</v>
      </c>
      <c r="N598">
        <v>14.725829719795801</v>
      </c>
      <c r="O598">
        <v>14.577093506237301</v>
      </c>
      <c r="P598">
        <v>-5.8825341650685203E-2</v>
      </c>
      <c r="Q598">
        <v>-0.45095202993646</v>
      </c>
      <c r="R598">
        <v>0.33330134663508998</v>
      </c>
      <c r="S598">
        <v>14.469436236345</v>
      </c>
      <c r="T598">
        <v>-0.31530479097445702</v>
      </c>
      <c r="U598">
        <v>-6.8306895618967696</v>
      </c>
      <c r="V598">
        <v>0.75617752285562301</v>
      </c>
      <c r="W598">
        <v>0.99278624068726296</v>
      </c>
      <c r="X598">
        <v>0</v>
      </c>
      <c r="Y598">
        <v>0</v>
      </c>
    </row>
    <row r="599" spans="1:25" x14ac:dyDescent="0.2">
      <c r="A599" t="s">
        <v>2238</v>
      </c>
      <c r="B599" t="s">
        <v>2239</v>
      </c>
      <c r="C599" t="s">
        <v>2240</v>
      </c>
      <c r="D599" t="s">
        <v>375</v>
      </c>
      <c r="E599" t="s">
        <v>2239</v>
      </c>
      <c r="F599" t="s">
        <v>28</v>
      </c>
      <c r="G599" t="s">
        <v>2239</v>
      </c>
      <c r="H599" t="str">
        <f>"tmem-24"</f>
        <v>tmem-24</v>
      </c>
      <c r="I599" t="s">
        <v>375</v>
      </c>
      <c r="J599">
        <v>12.4069194045583</v>
      </c>
      <c r="K599">
        <v>12.744186073923601</v>
      </c>
      <c r="L599">
        <v>12.9041312974531</v>
      </c>
      <c r="M599">
        <v>13.0441679516184</v>
      </c>
      <c r="N599">
        <v>12.944227919123</v>
      </c>
      <c r="O599">
        <v>12.6353731963413</v>
      </c>
      <c r="P599">
        <v>0.18951076371587799</v>
      </c>
      <c r="Q599">
        <v>-0.44338123645815603</v>
      </c>
      <c r="R599">
        <v>0.82240276388991296</v>
      </c>
      <c r="S599">
        <v>12.888504270933399</v>
      </c>
      <c r="T599">
        <v>0.63511709929169102</v>
      </c>
      <c r="U599">
        <v>-6.6729987418496099</v>
      </c>
      <c r="V599">
        <v>0.53438872739463095</v>
      </c>
      <c r="W599">
        <v>0.94494516919629801</v>
      </c>
      <c r="X599">
        <v>0</v>
      </c>
      <c r="Y599">
        <v>0</v>
      </c>
    </row>
    <row r="600" spans="1:25" x14ac:dyDescent="0.2">
      <c r="A600" t="s">
        <v>2241</v>
      </c>
      <c r="B600" t="s">
        <v>2242</v>
      </c>
      <c r="C600" t="s">
        <v>14286</v>
      </c>
      <c r="D600" t="s">
        <v>2243</v>
      </c>
      <c r="E600" t="s">
        <v>2242</v>
      </c>
      <c r="F600" t="s">
        <v>28</v>
      </c>
      <c r="G600" t="s">
        <v>2242</v>
      </c>
      <c r="H600" t="str">
        <f>"F26F12.3"</f>
        <v>F26F12.3</v>
      </c>
      <c r="I600" t="s">
        <v>2243</v>
      </c>
      <c r="J600" t="s">
        <v>29</v>
      </c>
      <c r="K600" t="s">
        <v>29</v>
      </c>
      <c r="L600" t="s">
        <v>29</v>
      </c>
      <c r="M600" t="s">
        <v>29</v>
      </c>
      <c r="N600" t="s">
        <v>29</v>
      </c>
      <c r="O600" t="s">
        <v>29</v>
      </c>
      <c r="P600" t="s">
        <v>29</v>
      </c>
      <c r="Q600" t="s">
        <v>29</v>
      </c>
      <c r="R600" t="s">
        <v>29</v>
      </c>
      <c r="S600">
        <v>11.377056041876999</v>
      </c>
      <c r="T600" t="s">
        <v>29</v>
      </c>
      <c r="U600" t="s">
        <v>29</v>
      </c>
      <c r="V600" t="s">
        <v>29</v>
      </c>
      <c r="W600" t="s">
        <v>29</v>
      </c>
      <c r="X600" t="s">
        <v>29</v>
      </c>
      <c r="Y600" t="s">
        <v>29</v>
      </c>
    </row>
    <row r="601" spans="1:25" x14ac:dyDescent="0.2">
      <c r="A601" t="s">
        <v>2244</v>
      </c>
      <c r="B601" t="s">
        <v>2245</v>
      </c>
      <c r="C601" t="s">
        <v>2246</v>
      </c>
      <c r="D601" t="s">
        <v>107</v>
      </c>
      <c r="E601" t="s">
        <v>2245</v>
      </c>
      <c r="F601" t="s">
        <v>28</v>
      </c>
      <c r="G601" t="s">
        <v>2245</v>
      </c>
      <c r="H601" t="str">
        <f>"vpat-1"</f>
        <v>vpat-1</v>
      </c>
      <c r="I601" t="s">
        <v>107</v>
      </c>
      <c r="J601">
        <v>11.9478726904851</v>
      </c>
      <c r="K601">
        <v>11.7406518160857</v>
      </c>
      <c r="L601">
        <v>12.731378483223301</v>
      </c>
      <c r="M601">
        <v>12.415000229602599</v>
      </c>
      <c r="N601">
        <v>11.571401994841001</v>
      </c>
      <c r="O601">
        <v>12.114312028685401</v>
      </c>
      <c r="P601">
        <v>-0.106396245555064</v>
      </c>
      <c r="Q601">
        <v>-0.671101514674323</v>
      </c>
      <c r="R601">
        <v>0.45830902356419401</v>
      </c>
      <c r="S601">
        <v>12.6414551121775</v>
      </c>
      <c r="T601">
        <v>-0.40438622731907797</v>
      </c>
      <c r="U601">
        <v>-6.7962563249441796</v>
      </c>
      <c r="V601">
        <v>0.69208460085762502</v>
      </c>
      <c r="W601">
        <v>0.98642420921484297</v>
      </c>
      <c r="X601">
        <v>0</v>
      </c>
      <c r="Y601">
        <v>0</v>
      </c>
    </row>
    <row r="602" spans="1:25" x14ac:dyDescent="0.2">
      <c r="A602" t="s">
        <v>2247</v>
      </c>
      <c r="B602" t="s">
        <v>2248</v>
      </c>
      <c r="C602" t="s">
        <v>2249</v>
      </c>
      <c r="D602" t="s">
        <v>2250</v>
      </c>
      <c r="E602" t="s">
        <v>2248</v>
      </c>
      <c r="F602" t="s">
        <v>28</v>
      </c>
      <c r="G602" t="s">
        <v>2248</v>
      </c>
      <c r="H602" t="str">
        <f>"spat-3"</f>
        <v>spat-3</v>
      </c>
      <c r="I602" t="s">
        <v>2250</v>
      </c>
      <c r="J602">
        <v>11.399466061455</v>
      </c>
      <c r="K602" t="s">
        <v>29</v>
      </c>
      <c r="L602">
        <v>11.8189073564492</v>
      </c>
      <c r="M602" t="s">
        <v>29</v>
      </c>
      <c r="N602">
        <v>11.5014452947481</v>
      </c>
      <c r="O602" t="s">
        <v>29</v>
      </c>
      <c r="P602">
        <v>-0.107741414203954</v>
      </c>
      <c r="Q602">
        <v>-0.86129703906754296</v>
      </c>
      <c r="R602">
        <v>0.64581421065963596</v>
      </c>
      <c r="S602">
        <v>11.734969144600299</v>
      </c>
      <c r="T602">
        <v>-0.31506129163867402</v>
      </c>
      <c r="U602">
        <v>-6.43072529599565</v>
      </c>
      <c r="V602">
        <v>0.75866708712781905</v>
      </c>
      <c r="W602">
        <v>0.99278624068726296</v>
      </c>
      <c r="X602">
        <v>0</v>
      </c>
      <c r="Y602">
        <v>0</v>
      </c>
    </row>
    <row r="603" spans="1:25" x14ac:dyDescent="0.2">
      <c r="A603" t="s">
        <v>2251</v>
      </c>
      <c r="B603" t="s">
        <v>2252</v>
      </c>
      <c r="C603" t="s">
        <v>2253</v>
      </c>
      <c r="D603" t="s">
        <v>55</v>
      </c>
      <c r="E603" t="s">
        <v>2252</v>
      </c>
      <c r="F603" t="s">
        <v>28</v>
      </c>
      <c r="G603" t="s">
        <v>2252</v>
      </c>
      <c r="H603" t="str">
        <f>"cgef-1"</f>
        <v>cgef-1</v>
      </c>
      <c r="I603" t="s">
        <v>55</v>
      </c>
      <c r="J603">
        <v>11.5312410300383</v>
      </c>
      <c r="K603">
        <v>11.8874988930594</v>
      </c>
      <c r="L603" t="s">
        <v>29</v>
      </c>
      <c r="M603">
        <v>12.5608611751073</v>
      </c>
      <c r="N603">
        <v>11.0819093672698</v>
      </c>
      <c r="O603" t="s">
        <v>29</v>
      </c>
      <c r="P603">
        <v>0.112015309639691</v>
      </c>
      <c r="Q603">
        <v>-0.91375846413825201</v>
      </c>
      <c r="R603">
        <v>1.1377890834176301</v>
      </c>
      <c r="S603">
        <v>11.1729782720461</v>
      </c>
      <c r="T603">
        <v>0.238161087685554</v>
      </c>
      <c r="U603">
        <v>-6.6521291156927704</v>
      </c>
      <c r="V603">
        <v>0.81580931351378005</v>
      </c>
      <c r="W603">
        <v>0.99278624068726296</v>
      </c>
      <c r="X603">
        <v>0</v>
      </c>
      <c r="Y603">
        <v>0</v>
      </c>
    </row>
    <row r="604" spans="1:25" x14ac:dyDescent="0.2">
      <c r="A604" t="s">
        <v>2254</v>
      </c>
      <c r="B604" t="s">
        <v>2255</v>
      </c>
      <c r="C604" t="s">
        <v>2256</v>
      </c>
      <c r="D604" t="s">
        <v>2257</v>
      </c>
      <c r="E604" t="s">
        <v>2255</v>
      </c>
      <c r="F604" t="s">
        <v>28</v>
      </c>
      <c r="G604" t="s">
        <v>2255</v>
      </c>
      <c r="H604" t="str">
        <f>"mtch-1"</f>
        <v>mtch-1</v>
      </c>
      <c r="I604" t="s">
        <v>2257</v>
      </c>
      <c r="J604">
        <v>11.090524320393801</v>
      </c>
      <c r="K604" t="s">
        <v>29</v>
      </c>
      <c r="L604">
        <v>11.9792469673203</v>
      </c>
      <c r="M604">
        <v>11.906974546536301</v>
      </c>
      <c r="N604">
        <v>12.042996527888301</v>
      </c>
      <c r="O604" t="s">
        <v>29</v>
      </c>
      <c r="P604">
        <v>0.440099893355203</v>
      </c>
      <c r="Q604">
        <v>-0.93996232889034703</v>
      </c>
      <c r="R604">
        <v>1.8201621156007499</v>
      </c>
      <c r="S604">
        <v>11.8295703342439</v>
      </c>
      <c r="T604">
        <v>0.68950884247728395</v>
      </c>
      <c r="U604">
        <v>-6.4347305345978398</v>
      </c>
      <c r="V604">
        <v>0.50272287167762197</v>
      </c>
      <c r="W604">
        <v>0.94062983959761604</v>
      </c>
      <c r="X604">
        <v>0</v>
      </c>
      <c r="Y604">
        <v>0</v>
      </c>
    </row>
    <row r="605" spans="1:25" x14ac:dyDescent="0.2">
      <c r="A605" t="s">
        <v>2258</v>
      </c>
      <c r="B605" t="s">
        <v>2259</v>
      </c>
      <c r="C605" t="s">
        <v>2260</v>
      </c>
      <c r="D605" t="s">
        <v>412</v>
      </c>
      <c r="E605" t="s">
        <v>2259</v>
      </c>
      <c r="F605" t="s">
        <v>28</v>
      </c>
      <c r="G605" t="s">
        <v>2259</v>
      </c>
      <c r="H605" t="str">
        <f>"nrde-4"</f>
        <v>nrde-4</v>
      </c>
      <c r="I605" t="s">
        <v>412</v>
      </c>
      <c r="J605">
        <v>13.1067373128906</v>
      </c>
      <c r="K605">
        <v>13.1705867717047</v>
      </c>
      <c r="L605">
        <v>13.081096144529701</v>
      </c>
      <c r="M605">
        <v>12.285809343724701</v>
      </c>
      <c r="N605">
        <v>12.9873140223606</v>
      </c>
      <c r="O605" t="s">
        <v>29</v>
      </c>
      <c r="P605">
        <v>-0.48291172666570997</v>
      </c>
      <c r="Q605">
        <v>-0.96975742977760104</v>
      </c>
      <c r="R605">
        <v>3.93397644617988E-3</v>
      </c>
      <c r="S605">
        <v>13.044849445287401</v>
      </c>
      <c r="T605">
        <v>-2.1289639283378801</v>
      </c>
      <c r="U605">
        <v>-4.7008271984580201</v>
      </c>
      <c r="V605">
        <v>5.1635579096946702E-2</v>
      </c>
      <c r="W605">
        <v>0.491491856479917</v>
      </c>
      <c r="X605">
        <v>0</v>
      </c>
      <c r="Y605">
        <v>0</v>
      </c>
    </row>
    <row r="606" spans="1:25" x14ac:dyDescent="0.2">
      <c r="A606" t="s">
        <v>2261</v>
      </c>
      <c r="B606" t="s">
        <v>2262</v>
      </c>
      <c r="C606" t="s">
        <v>2263</v>
      </c>
      <c r="D606" t="s">
        <v>2264</v>
      </c>
      <c r="E606" t="s">
        <v>2262</v>
      </c>
      <c r="F606" t="s">
        <v>28</v>
      </c>
      <c r="G606" t="s">
        <v>2262</v>
      </c>
      <c r="H606" t="str">
        <f>"C09E8.1"</f>
        <v>C09E8.1</v>
      </c>
      <c r="I606" t="s">
        <v>2264</v>
      </c>
      <c r="J606">
        <v>10.539918489162901</v>
      </c>
      <c r="K606">
        <v>10.006446761058999</v>
      </c>
      <c r="L606">
        <v>11.112854420738699</v>
      </c>
      <c r="M606" t="s">
        <v>29</v>
      </c>
      <c r="N606">
        <v>11.216549060575799</v>
      </c>
      <c r="O606" t="s">
        <v>29</v>
      </c>
      <c r="P606">
        <v>0.66347583692227197</v>
      </c>
      <c r="Q606">
        <v>-0.21079009904819199</v>
      </c>
      <c r="R606">
        <v>1.5377417728927401</v>
      </c>
      <c r="S606">
        <v>11.606492957750699</v>
      </c>
      <c r="T606">
        <v>1.62882132442429</v>
      </c>
      <c r="U606">
        <v>-5.2686328827911604</v>
      </c>
      <c r="V606">
        <v>0.12580388781961099</v>
      </c>
      <c r="W606">
        <v>0.71690982647887802</v>
      </c>
      <c r="X606">
        <v>0</v>
      </c>
      <c r="Y606">
        <v>0</v>
      </c>
    </row>
    <row r="607" spans="1:25" x14ac:dyDescent="0.2">
      <c r="A607" t="s">
        <v>2265</v>
      </c>
      <c r="B607" t="s">
        <v>2266</v>
      </c>
      <c r="C607" t="s">
        <v>2267</v>
      </c>
      <c r="D607" t="s">
        <v>2268</v>
      </c>
      <c r="E607" t="s">
        <v>2266</v>
      </c>
      <c r="F607" t="s">
        <v>28</v>
      </c>
      <c r="G607" t="s">
        <v>2266</v>
      </c>
      <c r="H607" t="str">
        <f>"vps-45"</f>
        <v>vps-45</v>
      </c>
      <c r="I607" t="s">
        <v>2268</v>
      </c>
      <c r="J607">
        <v>12.655692304053201</v>
      </c>
      <c r="K607">
        <v>12.2836201670794</v>
      </c>
      <c r="L607">
        <v>12.6412542336087</v>
      </c>
      <c r="M607">
        <v>13.031116651959699</v>
      </c>
      <c r="N607">
        <v>13.1056934568918</v>
      </c>
      <c r="O607">
        <v>12.211910739894799</v>
      </c>
      <c r="P607">
        <v>0.25605138133501598</v>
      </c>
      <c r="Q607">
        <v>-0.34981910974501101</v>
      </c>
      <c r="R607">
        <v>0.86192187241504403</v>
      </c>
      <c r="S607">
        <v>12.705694617544999</v>
      </c>
      <c r="T607">
        <v>0.89206671574906804</v>
      </c>
      <c r="U607">
        <v>-6.4750151258887199</v>
      </c>
      <c r="V607">
        <v>0.38488661405131702</v>
      </c>
      <c r="W607">
        <v>0.901591742163942</v>
      </c>
      <c r="X607">
        <v>0</v>
      </c>
      <c r="Y607">
        <v>0</v>
      </c>
    </row>
    <row r="608" spans="1:25" x14ac:dyDescent="0.2">
      <c r="A608" t="s">
        <v>2269</v>
      </c>
      <c r="B608" t="s">
        <v>2270</v>
      </c>
      <c r="C608" t="s">
        <v>2271</v>
      </c>
      <c r="D608" t="s">
        <v>2272</v>
      </c>
      <c r="E608" t="s">
        <v>2270</v>
      </c>
      <c r="F608" t="s">
        <v>28</v>
      </c>
      <c r="G608" t="s">
        <v>2270</v>
      </c>
      <c r="H608" t="str">
        <f>"acdh-13"</f>
        <v>acdh-13</v>
      </c>
      <c r="I608" t="s">
        <v>2272</v>
      </c>
      <c r="J608">
        <v>15.643580036166</v>
      </c>
      <c r="K608">
        <v>15.777101313323399</v>
      </c>
      <c r="L608">
        <v>15.6939068677829</v>
      </c>
      <c r="M608">
        <v>15.551725956441601</v>
      </c>
      <c r="N608">
        <v>15.7213726254194</v>
      </c>
      <c r="O608">
        <v>15.6362565635841</v>
      </c>
      <c r="P608">
        <v>-6.84110239423905E-2</v>
      </c>
      <c r="Q608">
        <v>-0.72134268723421802</v>
      </c>
      <c r="R608">
        <v>0.58452063934943699</v>
      </c>
      <c r="S608">
        <v>15.9337496489015</v>
      </c>
      <c r="T608">
        <v>-0.220217016297826</v>
      </c>
      <c r="U608">
        <v>-6.8571853738556898</v>
      </c>
      <c r="V608">
        <v>0.82819489038519001</v>
      </c>
      <c r="W608">
        <v>0.99339170295129098</v>
      </c>
      <c r="X608">
        <v>0</v>
      </c>
      <c r="Y608">
        <v>0</v>
      </c>
    </row>
    <row r="609" spans="1:25" x14ac:dyDescent="0.2">
      <c r="A609" t="s">
        <v>2273</v>
      </c>
      <c r="B609" t="s">
        <v>2274</v>
      </c>
      <c r="C609" t="s">
        <v>2275</v>
      </c>
      <c r="D609" t="s">
        <v>2276</v>
      </c>
      <c r="E609" t="s">
        <v>2274</v>
      </c>
      <c r="F609" t="s">
        <v>28</v>
      </c>
      <c r="G609" t="s">
        <v>2274</v>
      </c>
      <c r="H609" t="str">
        <f>"smk-1"</f>
        <v>smk-1</v>
      </c>
      <c r="I609" t="s">
        <v>2276</v>
      </c>
      <c r="J609">
        <v>9.7086412145530101</v>
      </c>
      <c r="K609" t="s">
        <v>29</v>
      </c>
      <c r="L609" t="s">
        <v>29</v>
      </c>
      <c r="M609">
        <v>10.857613000595199</v>
      </c>
      <c r="N609">
        <v>10.988952360280701</v>
      </c>
      <c r="O609" t="s">
        <v>29</v>
      </c>
      <c r="P609">
        <v>1.2146414658849101</v>
      </c>
      <c r="Q609">
        <v>-0.64367277911452703</v>
      </c>
      <c r="R609">
        <v>3.0729557108843499</v>
      </c>
      <c r="S609">
        <v>11.367245694130499</v>
      </c>
      <c r="T609">
        <v>1.41324088012426</v>
      </c>
      <c r="U609">
        <v>-5.5075759499924599</v>
      </c>
      <c r="V609">
        <v>0.18126710271243199</v>
      </c>
      <c r="W609">
        <v>0.78295732499061499</v>
      </c>
      <c r="X609">
        <v>0</v>
      </c>
      <c r="Y609">
        <v>0</v>
      </c>
    </row>
    <row r="610" spans="1:25" x14ac:dyDescent="0.2">
      <c r="A610" t="s">
        <v>2277</v>
      </c>
      <c r="B610" t="s">
        <v>2278</v>
      </c>
      <c r="C610" t="s">
        <v>2279</v>
      </c>
      <c r="D610" t="s">
        <v>2280</v>
      </c>
      <c r="E610" t="s">
        <v>2278</v>
      </c>
      <c r="F610" t="s">
        <v>28</v>
      </c>
      <c r="G610" t="s">
        <v>2278</v>
      </c>
      <c r="H610" t="str">
        <f>"lntl-1"</f>
        <v>lntl-1</v>
      </c>
      <c r="I610" t="s">
        <v>2280</v>
      </c>
      <c r="J610">
        <v>12.238291826774301</v>
      </c>
      <c r="K610">
        <v>12.660270900519899</v>
      </c>
      <c r="L610">
        <v>12.7706417398157</v>
      </c>
      <c r="M610">
        <v>12.202337942785</v>
      </c>
      <c r="N610">
        <v>12.683576651926099</v>
      </c>
      <c r="O610">
        <v>13.380920017177701</v>
      </c>
      <c r="P610">
        <v>0.19921004825959401</v>
      </c>
      <c r="Q610">
        <v>-0.56637297635475004</v>
      </c>
      <c r="R610">
        <v>0.96479307287393901</v>
      </c>
      <c r="S610">
        <v>12.9449009419881</v>
      </c>
      <c r="T610">
        <v>0.551910269695847</v>
      </c>
      <c r="U610">
        <v>-6.7238056503287504</v>
      </c>
      <c r="V610">
        <v>0.58868618745999202</v>
      </c>
      <c r="W610">
        <v>0.963273565916412</v>
      </c>
      <c r="X610">
        <v>0</v>
      </c>
      <c r="Y610">
        <v>0</v>
      </c>
    </row>
    <row r="611" spans="1:25" x14ac:dyDescent="0.2">
      <c r="A611" t="s">
        <v>2281</v>
      </c>
      <c r="B611" t="s">
        <v>2282</v>
      </c>
      <c r="C611" t="s">
        <v>2283</v>
      </c>
      <c r="D611" t="s">
        <v>1262</v>
      </c>
      <c r="E611" t="s">
        <v>2282</v>
      </c>
      <c r="F611" t="s">
        <v>28</v>
      </c>
      <c r="G611" t="s">
        <v>2282</v>
      </c>
      <c r="H611" t="str">
        <f>"ncx-2"</f>
        <v>ncx-2</v>
      </c>
      <c r="I611" t="s">
        <v>1262</v>
      </c>
      <c r="J611">
        <v>16.138224426978301</v>
      </c>
      <c r="K611">
        <v>15.8996258677358</v>
      </c>
      <c r="L611">
        <v>15.6848823441664</v>
      </c>
      <c r="M611">
        <v>15.8152967735512</v>
      </c>
      <c r="N611">
        <v>15.435455084313601</v>
      </c>
      <c r="O611">
        <v>15.4543988847912</v>
      </c>
      <c r="P611">
        <v>-0.33919396540816599</v>
      </c>
      <c r="Q611">
        <v>-0.78411628960966295</v>
      </c>
      <c r="R611">
        <v>0.10572835879333201</v>
      </c>
      <c r="S611">
        <v>15.557222083928201</v>
      </c>
      <c r="T611">
        <v>-1.60234648882238</v>
      </c>
      <c r="U611">
        <v>-5.6297955149181398</v>
      </c>
      <c r="V611">
        <v>0.126583169732885</v>
      </c>
      <c r="W611">
        <v>0.71762718189871799</v>
      </c>
      <c r="X611">
        <v>0</v>
      </c>
      <c r="Y611">
        <v>0</v>
      </c>
    </row>
    <row r="612" spans="1:25" x14ac:dyDescent="0.2">
      <c r="A612" t="s">
        <v>2284</v>
      </c>
      <c r="B612" t="s">
        <v>2285</v>
      </c>
      <c r="C612" t="s">
        <v>2286</v>
      </c>
      <c r="D612" t="s">
        <v>2287</v>
      </c>
      <c r="E612" t="s">
        <v>2285</v>
      </c>
      <c r="F612" t="s">
        <v>28</v>
      </c>
      <c r="G612" t="s">
        <v>2285</v>
      </c>
      <c r="H612" t="str">
        <f>"pnk-1"</f>
        <v>pnk-1</v>
      </c>
      <c r="I612" t="s">
        <v>2287</v>
      </c>
      <c r="J612">
        <v>14.307133387941301</v>
      </c>
      <c r="K612">
        <v>14.218428492879999</v>
      </c>
      <c r="L612">
        <v>13.787329641236999</v>
      </c>
      <c r="M612">
        <v>13.8152511703969</v>
      </c>
      <c r="N612">
        <v>13.580292355409</v>
      </c>
      <c r="O612">
        <v>14.031225507727299</v>
      </c>
      <c r="P612">
        <v>-0.29537416284167001</v>
      </c>
      <c r="Q612">
        <v>-0.83626121134824605</v>
      </c>
      <c r="R612">
        <v>0.245512885664907</v>
      </c>
      <c r="S612">
        <v>13.325191188448599</v>
      </c>
      <c r="T612">
        <v>-1.1526990479941299</v>
      </c>
      <c r="U612">
        <v>-6.2123610044334603</v>
      </c>
      <c r="V612">
        <v>0.26508298839570499</v>
      </c>
      <c r="W612">
        <v>0.85044099739631995</v>
      </c>
      <c r="X612">
        <v>0</v>
      </c>
      <c r="Y612">
        <v>0</v>
      </c>
    </row>
    <row r="613" spans="1:25" x14ac:dyDescent="0.2">
      <c r="A613" t="s">
        <v>2288</v>
      </c>
      <c r="B613" t="s">
        <v>2289</v>
      </c>
      <c r="C613" t="s">
        <v>2290</v>
      </c>
      <c r="D613" t="s">
        <v>49</v>
      </c>
      <c r="E613" t="s">
        <v>2289</v>
      </c>
      <c r="F613" t="s">
        <v>28</v>
      </c>
      <c r="G613" t="s">
        <v>2289</v>
      </c>
      <c r="H613" t="str">
        <f>"ugt-26"</f>
        <v>ugt-26</v>
      </c>
      <c r="I613" t="s">
        <v>49</v>
      </c>
      <c r="J613">
        <v>12.818777989554899</v>
      </c>
      <c r="K613">
        <v>12.9809719306713</v>
      </c>
      <c r="L613">
        <v>12.880031957538099</v>
      </c>
      <c r="M613">
        <v>12.9524413007498</v>
      </c>
      <c r="N613">
        <v>12.6887972284869</v>
      </c>
      <c r="O613">
        <v>11.875535114877</v>
      </c>
      <c r="P613">
        <v>-0.38766941121687998</v>
      </c>
      <c r="Q613">
        <v>-0.98125068097835999</v>
      </c>
      <c r="R613">
        <v>0.20591185854460001</v>
      </c>
      <c r="S613">
        <v>12.7474851369494</v>
      </c>
      <c r="T613">
        <v>-1.3929096655534901</v>
      </c>
      <c r="U613">
        <v>-5.9200134974735601</v>
      </c>
      <c r="V613">
        <v>0.184089444446668</v>
      </c>
      <c r="W613">
        <v>0.78295732499061499</v>
      </c>
      <c r="X613">
        <v>0</v>
      </c>
      <c r="Y613">
        <v>0</v>
      </c>
    </row>
    <row r="614" spans="1:25" x14ac:dyDescent="0.2">
      <c r="A614" t="s">
        <v>2291</v>
      </c>
      <c r="B614" t="s">
        <v>2292</v>
      </c>
      <c r="C614" t="s">
        <v>2293</v>
      </c>
      <c r="D614" t="s">
        <v>2294</v>
      </c>
      <c r="E614" t="s">
        <v>2292</v>
      </c>
      <c r="F614" t="s">
        <v>28</v>
      </c>
      <c r="G614" t="s">
        <v>2292</v>
      </c>
      <c r="H614" t="str">
        <f>"gyg-1"</f>
        <v>gyg-1</v>
      </c>
      <c r="I614" t="s">
        <v>2294</v>
      </c>
      <c r="J614">
        <v>13.060149478402</v>
      </c>
      <c r="K614">
        <v>13.4321277205252</v>
      </c>
      <c r="L614">
        <v>13.5752175033612</v>
      </c>
      <c r="M614">
        <v>13.0320245354139</v>
      </c>
      <c r="N614">
        <v>13.3729198124999</v>
      </c>
      <c r="O614">
        <v>12.7346184225035</v>
      </c>
      <c r="P614">
        <v>-0.309310643956966</v>
      </c>
      <c r="Q614">
        <v>-0.91966942552979103</v>
      </c>
      <c r="R614">
        <v>0.30104813761585902</v>
      </c>
      <c r="S614">
        <v>13.257854512828301</v>
      </c>
      <c r="T614">
        <v>-1.07487805812543</v>
      </c>
      <c r="U614">
        <v>-6.2960824341021002</v>
      </c>
      <c r="V614">
        <v>0.29847559966628401</v>
      </c>
      <c r="W614">
        <v>0.85855590823088301</v>
      </c>
      <c r="X614">
        <v>0</v>
      </c>
      <c r="Y614">
        <v>0</v>
      </c>
    </row>
    <row r="615" spans="1:25" x14ac:dyDescent="0.2">
      <c r="A615" t="s">
        <v>2295</v>
      </c>
      <c r="B615" t="s">
        <v>2296</v>
      </c>
      <c r="C615" t="s">
        <v>2297</v>
      </c>
      <c r="D615" t="s">
        <v>2298</v>
      </c>
      <c r="E615" t="s">
        <v>2296</v>
      </c>
      <c r="F615" t="s">
        <v>28</v>
      </c>
      <c r="G615" t="s">
        <v>2296</v>
      </c>
      <c r="H615" t="str">
        <f>"vig-1"</f>
        <v>vig-1</v>
      </c>
      <c r="I615" t="s">
        <v>2298</v>
      </c>
      <c r="J615">
        <v>17.061575975628902</v>
      </c>
      <c r="K615">
        <v>17.140281734348601</v>
      </c>
      <c r="L615">
        <v>17.6345106345697</v>
      </c>
      <c r="M615">
        <v>17.0746772800514</v>
      </c>
      <c r="N615">
        <v>17.049948222760801</v>
      </c>
      <c r="O615">
        <v>16.8144714178257</v>
      </c>
      <c r="P615">
        <v>-0.299090474636451</v>
      </c>
      <c r="Q615">
        <v>-0.83721834729579703</v>
      </c>
      <c r="R615">
        <v>0.239037398022896</v>
      </c>
      <c r="S615">
        <v>16.879603506161502</v>
      </c>
      <c r="T615">
        <v>-1.16817957326882</v>
      </c>
      <c r="U615">
        <v>-6.1956118177372597</v>
      </c>
      <c r="V615">
        <v>0.25806267593055698</v>
      </c>
      <c r="W615">
        <v>0.83706879678059698</v>
      </c>
      <c r="X615">
        <v>0</v>
      </c>
      <c r="Y615">
        <v>0</v>
      </c>
    </row>
    <row r="616" spans="1:25" x14ac:dyDescent="0.2">
      <c r="A616" t="s">
        <v>2299</v>
      </c>
      <c r="B616" t="s">
        <v>2300</v>
      </c>
      <c r="C616" t="s">
        <v>2301</v>
      </c>
      <c r="D616" t="s">
        <v>2302</v>
      </c>
      <c r="E616" t="s">
        <v>2300</v>
      </c>
      <c r="F616" t="s">
        <v>28</v>
      </c>
      <c r="G616" t="s">
        <v>2300</v>
      </c>
      <c r="H616" t="str">
        <f>"srr-4"</f>
        <v>srr-4</v>
      </c>
      <c r="I616" t="s">
        <v>2302</v>
      </c>
      <c r="J616">
        <v>14.074095859119801</v>
      </c>
      <c r="K616">
        <v>14.5830046016517</v>
      </c>
      <c r="L616">
        <v>14.6265958708876</v>
      </c>
      <c r="M616">
        <v>14.2202563047284</v>
      </c>
      <c r="N616">
        <v>13.8744705011141</v>
      </c>
      <c r="O616">
        <v>14.279446840486299</v>
      </c>
      <c r="P616">
        <v>-0.30317422844343</v>
      </c>
      <c r="Q616">
        <v>-0.90705100464758703</v>
      </c>
      <c r="R616">
        <v>0.30070254776072802</v>
      </c>
      <c r="S616">
        <v>14.4875962930162</v>
      </c>
      <c r="T616">
        <v>-1.05520409088612</v>
      </c>
      <c r="U616">
        <v>-6.3182723057219903</v>
      </c>
      <c r="V616">
        <v>0.30537085740386999</v>
      </c>
      <c r="W616">
        <v>0.85855590823088301</v>
      </c>
      <c r="X616">
        <v>0</v>
      </c>
      <c r="Y616">
        <v>0</v>
      </c>
    </row>
    <row r="617" spans="1:25" x14ac:dyDescent="0.2">
      <c r="A617" t="s">
        <v>2303</v>
      </c>
      <c r="B617" t="s">
        <v>2304</v>
      </c>
      <c r="C617" t="s">
        <v>2305</v>
      </c>
      <c r="D617" t="s">
        <v>2306</v>
      </c>
      <c r="E617" t="s">
        <v>2304</v>
      </c>
      <c r="F617" t="s">
        <v>28</v>
      </c>
      <c r="G617" t="s">
        <v>2304</v>
      </c>
      <c r="H617" t="str">
        <f>"acdh-2"</f>
        <v>acdh-2</v>
      </c>
      <c r="I617" t="s">
        <v>2306</v>
      </c>
      <c r="J617">
        <v>12.970053684633299</v>
      </c>
      <c r="K617">
        <v>12.4990330095214</v>
      </c>
      <c r="L617">
        <v>13.313699398316199</v>
      </c>
      <c r="M617" t="s">
        <v>29</v>
      </c>
      <c r="N617">
        <v>11.4998332565655</v>
      </c>
      <c r="O617" t="s">
        <v>29</v>
      </c>
      <c r="P617">
        <v>-1.42776210759142</v>
      </c>
      <c r="Q617">
        <v>-2.2214621444792102</v>
      </c>
      <c r="R617">
        <v>-0.63406207070362697</v>
      </c>
      <c r="S617">
        <v>12.9539731439748</v>
      </c>
      <c r="T617">
        <v>-3.8365517185373199</v>
      </c>
      <c r="U617">
        <v>-1.2379898931843301</v>
      </c>
      <c r="V617">
        <v>1.6366205595348901E-3</v>
      </c>
      <c r="W617">
        <v>4.6954079501139001E-2</v>
      </c>
      <c r="X617">
        <v>-1</v>
      </c>
      <c r="Y617">
        <v>-1</v>
      </c>
    </row>
    <row r="618" spans="1:25" x14ac:dyDescent="0.2">
      <c r="A618" t="s">
        <v>2307</v>
      </c>
      <c r="B618" t="s">
        <v>2308</v>
      </c>
      <c r="C618" t="s">
        <v>2309</v>
      </c>
      <c r="D618" t="s">
        <v>2310</v>
      </c>
      <c r="E618" t="s">
        <v>2308</v>
      </c>
      <c r="F618" t="s">
        <v>28</v>
      </c>
      <c r="G618" t="s">
        <v>2311</v>
      </c>
      <c r="H618" t="str">
        <f>"npl-4.1"</f>
        <v>npl-4.1</v>
      </c>
      <c r="I618" t="s">
        <v>2312</v>
      </c>
      <c r="J618" t="s">
        <v>29</v>
      </c>
      <c r="K618">
        <v>13.3691043152439</v>
      </c>
      <c r="L618" t="s">
        <v>29</v>
      </c>
      <c r="M618" t="s">
        <v>29</v>
      </c>
      <c r="N618" t="s">
        <v>29</v>
      </c>
      <c r="O618">
        <v>12.530555751786601</v>
      </c>
      <c r="P618">
        <v>-0.83854856345731599</v>
      </c>
      <c r="Q618">
        <v>-2.3511105191052</v>
      </c>
      <c r="R618">
        <v>0.67401339219056899</v>
      </c>
      <c r="S618">
        <v>11.3440176152208</v>
      </c>
      <c r="T618">
        <v>-1.25637519019135</v>
      </c>
      <c r="U618">
        <v>-5.5617125286269502</v>
      </c>
      <c r="V618">
        <v>0.2409718241655</v>
      </c>
      <c r="W618">
        <v>0.82420784257223501</v>
      </c>
      <c r="X618">
        <v>0</v>
      </c>
      <c r="Y618">
        <v>0</v>
      </c>
    </row>
    <row r="619" spans="1:25" x14ac:dyDescent="0.2">
      <c r="A619" t="s">
        <v>2313</v>
      </c>
      <c r="B619" t="s">
        <v>2314</v>
      </c>
      <c r="C619" t="s">
        <v>2315</v>
      </c>
      <c r="D619" t="s">
        <v>2316</v>
      </c>
      <c r="E619" t="s">
        <v>2314</v>
      </c>
      <c r="F619" t="s">
        <v>28</v>
      </c>
      <c r="G619" t="s">
        <v>2314</v>
      </c>
      <c r="H619" t="str">
        <f>"ndub-5"</f>
        <v>ndub-5</v>
      </c>
      <c r="I619" t="s">
        <v>2316</v>
      </c>
      <c r="J619">
        <v>12.6929496369874</v>
      </c>
      <c r="K619">
        <v>13.447327813480101</v>
      </c>
      <c r="L619">
        <v>13.0519332073064</v>
      </c>
      <c r="M619">
        <v>12.2739218273985</v>
      </c>
      <c r="N619">
        <v>12.5774593092515</v>
      </c>
      <c r="O619">
        <v>12.8575263832783</v>
      </c>
      <c r="P619">
        <v>-0.494434379281874</v>
      </c>
      <c r="Q619">
        <v>-1.19803723345201</v>
      </c>
      <c r="R619">
        <v>0.20916847488826201</v>
      </c>
      <c r="S619">
        <v>12.8220540316544</v>
      </c>
      <c r="T619">
        <v>-1.48330711998181</v>
      </c>
      <c r="U619">
        <v>-5.7991472129061199</v>
      </c>
      <c r="V619">
        <v>0.15640761675196199</v>
      </c>
      <c r="W619">
        <v>0.75220310484180597</v>
      </c>
      <c r="X619">
        <v>0</v>
      </c>
      <c r="Y619">
        <v>0</v>
      </c>
    </row>
    <row r="620" spans="1:25" x14ac:dyDescent="0.2">
      <c r="A620" t="s">
        <v>2317</v>
      </c>
      <c r="B620" t="s">
        <v>2318</v>
      </c>
      <c r="C620" t="s">
        <v>2319</v>
      </c>
      <c r="D620" t="s">
        <v>2320</v>
      </c>
      <c r="E620" t="s">
        <v>2318</v>
      </c>
      <c r="F620" t="s">
        <v>28</v>
      </c>
      <c r="G620" t="s">
        <v>2318</v>
      </c>
      <c r="H620" t="str">
        <f>"C18B2.5"</f>
        <v>C18B2.5</v>
      </c>
      <c r="I620" t="s">
        <v>2320</v>
      </c>
      <c r="J620">
        <v>12.6999984593633</v>
      </c>
      <c r="K620">
        <v>12.5652425917134</v>
      </c>
      <c r="L620">
        <v>12.4774946288408</v>
      </c>
      <c r="M620">
        <v>12.521508831308701</v>
      </c>
      <c r="N620">
        <v>12.4662702847159</v>
      </c>
      <c r="O620">
        <v>12.668239460428101</v>
      </c>
      <c r="P620">
        <v>-2.8905701154862101E-2</v>
      </c>
      <c r="Q620">
        <v>-0.78330842228238895</v>
      </c>
      <c r="R620">
        <v>0.72549701997266502</v>
      </c>
      <c r="S620">
        <v>12.007654613025499</v>
      </c>
      <c r="T620">
        <v>-8.0877976173803295E-2</v>
      </c>
      <c r="U620">
        <v>-6.87906174920625</v>
      </c>
      <c r="V620">
        <v>0.93648935596433303</v>
      </c>
      <c r="W620">
        <v>0.99926809132575301</v>
      </c>
      <c r="X620">
        <v>0</v>
      </c>
      <c r="Y620">
        <v>0</v>
      </c>
    </row>
    <row r="621" spans="1:25" x14ac:dyDescent="0.2">
      <c r="A621" t="s">
        <v>2321</v>
      </c>
      <c r="B621" t="s">
        <v>2322</v>
      </c>
      <c r="C621" t="s">
        <v>14287</v>
      </c>
      <c r="D621" t="s">
        <v>2323</v>
      </c>
      <c r="E621" t="s">
        <v>2322</v>
      </c>
      <c r="F621" t="s">
        <v>28</v>
      </c>
      <c r="G621" t="s">
        <v>2322</v>
      </c>
      <c r="H621" t="str">
        <f>"F25E5.8"</f>
        <v>F25E5.8</v>
      </c>
      <c r="I621" t="s">
        <v>2323</v>
      </c>
      <c r="J621" t="s">
        <v>29</v>
      </c>
      <c r="K621" t="s">
        <v>29</v>
      </c>
      <c r="L621" t="s">
        <v>29</v>
      </c>
      <c r="M621" t="s">
        <v>29</v>
      </c>
      <c r="N621">
        <v>11.3307768861053</v>
      </c>
      <c r="O621">
        <v>10.830201739223501</v>
      </c>
      <c r="P621" t="s">
        <v>29</v>
      </c>
      <c r="Q621" t="s">
        <v>29</v>
      </c>
      <c r="R621" t="s">
        <v>29</v>
      </c>
      <c r="S621">
        <v>11.3506322019935</v>
      </c>
      <c r="T621" t="s">
        <v>29</v>
      </c>
      <c r="U621" t="s">
        <v>29</v>
      </c>
      <c r="V621" t="s">
        <v>29</v>
      </c>
      <c r="W621" t="s">
        <v>29</v>
      </c>
      <c r="X621" t="s">
        <v>29</v>
      </c>
      <c r="Y621" t="s">
        <v>29</v>
      </c>
    </row>
    <row r="622" spans="1:25" x14ac:dyDescent="0.2">
      <c r="A622" t="s">
        <v>2324</v>
      </c>
      <c r="B622" t="s">
        <v>2325</v>
      </c>
      <c r="C622" t="s">
        <v>2326</v>
      </c>
      <c r="D622" t="s">
        <v>2327</v>
      </c>
      <c r="E622" t="s">
        <v>2325</v>
      </c>
      <c r="F622" t="s">
        <v>28</v>
      </c>
      <c r="G622" t="s">
        <v>2325</v>
      </c>
      <c r="H622" t="str">
        <f>"coel-1"</f>
        <v>coel-1</v>
      </c>
      <c r="I622" t="s">
        <v>2327</v>
      </c>
      <c r="J622">
        <v>12.7008024378291</v>
      </c>
      <c r="K622">
        <v>12.8139823967044</v>
      </c>
      <c r="L622">
        <v>12.4957051834004</v>
      </c>
      <c r="M622">
        <v>13.1815921054739</v>
      </c>
      <c r="N622">
        <v>13.158472065787199</v>
      </c>
      <c r="O622">
        <v>13.7117338144156</v>
      </c>
      <c r="P622">
        <v>0.68043598924759696</v>
      </c>
      <c r="Q622">
        <v>0.18931560155551799</v>
      </c>
      <c r="R622">
        <v>1.17155637693968</v>
      </c>
      <c r="S622">
        <v>13.645953801030799</v>
      </c>
      <c r="T622">
        <v>2.9244845137929598</v>
      </c>
      <c r="U622">
        <v>-3.2641274171858199</v>
      </c>
      <c r="V622">
        <v>9.5041915940441007E-3</v>
      </c>
      <c r="W622">
        <v>0.17005349260741301</v>
      </c>
      <c r="X622">
        <v>0</v>
      </c>
      <c r="Y622">
        <v>0</v>
      </c>
    </row>
    <row r="623" spans="1:25" x14ac:dyDescent="0.2">
      <c r="A623" t="s">
        <v>2328</v>
      </c>
      <c r="B623" t="s">
        <v>2329</v>
      </c>
      <c r="C623" t="s">
        <v>2330</v>
      </c>
      <c r="D623" t="s">
        <v>2110</v>
      </c>
      <c r="E623" t="s">
        <v>2329</v>
      </c>
      <c r="F623" t="s">
        <v>28</v>
      </c>
      <c r="G623" t="s">
        <v>2329</v>
      </c>
      <c r="H623" t="str">
        <f>"frm-4"</f>
        <v>frm-4</v>
      </c>
      <c r="I623" t="s">
        <v>2110</v>
      </c>
      <c r="J623">
        <v>14.40201398858</v>
      </c>
      <c r="K623">
        <v>14.549888840563099</v>
      </c>
      <c r="L623">
        <v>13.893359466934999</v>
      </c>
      <c r="M623">
        <v>15.327469777096001</v>
      </c>
      <c r="N623">
        <v>15.2239171954459</v>
      </c>
      <c r="O623">
        <v>15.195718599862101</v>
      </c>
      <c r="P623">
        <v>0.96728109210864799</v>
      </c>
      <c r="Q623">
        <v>0.385723019776823</v>
      </c>
      <c r="R623">
        <v>1.54883916444047</v>
      </c>
      <c r="S623">
        <v>14.6578710628756</v>
      </c>
      <c r="T623">
        <v>3.4958446363457099</v>
      </c>
      <c r="U623">
        <v>-2.0310316125511299</v>
      </c>
      <c r="V623">
        <v>2.5988810977455299E-3</v>
      </c>
      <c r="W623">
        <v>6.7570908541383895E-2</v>
      </c>
      <c r="X623">
        <v>0</v>
      </c>
      <c r="Y623">
        <v>0</v>
      </c>
    </row>
    <row r="624" spans="1:25" x14ac:dyDescent="0.2">
      <c r="A624" t="s">
        <v>2331</v>
      </c>
      <c r="B624" t="s">
        <v>2332</v>
      </c>
      <c r="C624" t="s">
        <v>2333</v>
      </c>
      <c r="D624" t="s">
        <v>2334</v>
      </c>
      <c r="E624" t="s">
        <v>2332</v>
      </c>
      <c r="F624" t="s">
        <v>28</v>
      </c>
      <c r="G624" t="s">
        <v>2332</v>
      </c>
      <c r="H624" t="str">
        <f>"clec-266"</f>
        <v>clec-266</v>
      </c>
      <c r="I624" t="s">
        <v>2334</v>
      </c>
      <c r="J624">
        <v>13.110552609749201</v>
      </c>
      <c r="K624">
        <v>13.2048790030688</v>
      </c>
      <c r="L624">
        <v>13.0762438086433</v>
      </c>
      <c r="M624">
        <v>12.231555811297699</v>
      </c>
      <c r="N624">
        <v>13.2414976447104</v>
      </c>
      <c r="O624">
        <v>12.4233912267766</v>
      </c>
      <c r="P624">
        <v>-0.49841024622554803</v>
      </c>
      <c r="Q624">
        <v>-1.07281358352153</v>
      </c>
      <c r="R624">
        <v>7.5993091070435601E-2</v>
      </c>
      <c r="S624">
        <v>13.2091057161027</v>
      </c>
      <c r="T624">
        <v>-1.8315552355615601</v>
      </c>
      <c r="U624">
        <v>-5.2802405243418997</v>
      </c>
      <c r="V624">
        <v>8.4708849884140694E-2</v>
      </c>
      <c r="W624">
        <v>0.61418529937782196</v>
      </c>
      <c r="X624">
        <v>0</v>
      </c>
      <c r="Y624">
        <v>0</v>
      </c>
    </row>
    <row r="625" spans="1:25" x14ac:dyDescent="0.2">
      <c r="A625" t="s">
        <v>2335</v>
      </c>
      <c r="B625" t="s">
        <v>2336</v>
      </c>
      <c r="C625" t="s">
        <v>2337</v>
      </c>
      <c r="D625" t="s">
        <v>2338</v>
      </c>
      <c r="E625" t="s">
        <v>2336</v>
      </c>
      <c r="F625" t="s">
        <v>28</v>
      </c>
      <c r="G625" t="s">
        <v>2336</v>
      </c>
      <c r="H625" t="str">
        <f>"hpo-10"</f>
        <v>hpo-10</v>
      </c>
      <c r="I625" t="s">
        <v>2338</v>
      </c>
      <c r="J625">
        <v>12.952414592453399</v>
      </c>
      <c r="K625">
        <v>13.132901333393599</v>
      </c>
      <c r="L625">
        <v>13.3609969155571</v>
      </c>
      <c r="M625">
        <v>13.1092351134753</v>
      </c>
      <c r="N625">
        <v>13.379393830764601</v>
      </c>
      <c r="O625">
        <v>13.019537264259</v>
      </c>
      <c r="P625">
        <v>2.0617789031600602E-2</v>
      </c>
      <c r="Q625">
        <v>-0.46014438177397499</v>
      </c>
      <c r="R625">
        <v>0.50137995983717598</v>
      </c>
      <c r="S625">
        <v>13.318735575961799</v>
      </c>
      <c r="T625">
        <v>9.0137252714655405E-2</v>
      </c>
      <c r="U625">
        <v>-6.8782453944794</v>
      </c>
      <c r="V625">
        <v>0.929179371615237</v>
      </c>
      <c r="W625">
        <v>0.99926809132575301</v>
      </c>
      <c r="X625">
        <v>0</v>
      </c>
      <c r="Y625">
        <v>0</v>
      </c>
    </row>
    <row r="626" spans="1:25" x14ac:dyDescent="0.2">
      <c r="A626" t="s">
        <v>2339</v>
      </c>
      <c r="B626" t="s">
        <v>2340</v>
      </c>
      <c r="C626" t="s">
        <v>14288</v>
      </c>
      <c r="D626" t="s">
        <v>2341</v>
      </c>
      <c r="E626" t="s">
        <v>2340</v>
      </c>
      <c r="F626" t="s">
        <v>28</v>
      </c>
      <c r="G626" t="s">
        <v>2340</v>
      </c>
      <c r="H626" t="str">
        <f>"Y110A7A.15"</f>
        <v>Y110A7A.15</v>
      </c>
      <c r="I626" t="s">
        <v>2341</v>
      </c>
      <c r="J626">
        <v>13.496841647163899</v>
      </c>
      <c r="K626">
        <v>12.9803934625712</v>
      </c>
      <c r="L626">
        <v>13.678939549862299</v>
      </c>
      <c r="M626">
        <v>13.445296834022001</v>
      </c>
      <c r="N626">
        <v>13.8964873908221</v>
      </c>
      <c r="O626">
        <v>13.503267476686</v>
      </c>
      <c r="P626">
        <v>0.22962568064424699</v>
      </c>
      <c r="Q626">
        <v>-0.203852713697807</v>
      </c>
      <c r="R626">
        <v>0.66310407498630097</v>
      </c>
      <c r="S626">
        <v>14.020101769002901</v>
      </c>
      <c r="T626">
        <v>1.11815758394632</v>
      </c>
      <c r="U626">
        <v>-6.2505281479967501</v>
      </c>
      <c r="V626">
        <v>0.27914735196116203</v>
      </c>
      <c r="W626">
        <v>0.856190392347986</v>
      </c>
      <c r="X626">
        <v>0</v>
      </c>
      <c r="Y626">
        <v>0</v>
      </c>
    </row>
    <row r="627" spans="1:25" x14ac:dyDescent="0.2">
      <c r="A627" t="s">
        <v>2342</v>
      </c>
      <c r="B627" t="s">
        <v>2343</v>
      </c>
      <c r="C627" t="s">
        <v>2344</v>
      </c>
      <c r="D627" t="s">
        <v>2345</v>
      </c>
      <c r="E627" t="s">
        <v>2343</v>
      </c>
      <c r="F627" t="s">
        <v>28</v>
      </c>
      <c r="G627" t="s">
        <v>2343</v>
      </c>
      <c r="H627" t="str">
        <f>"mrpl-14"</f>
        <v>mrpl-14</v>
      </c>
      <c r="I627" t="s">
        <v>2345</v>
      </c>
      <c r="J627">
        <v>12.663672413904999</v>
      </c>
      <c r="K627">
        <v>13.541136499829999</v>
      </c>
      <c r="L627" t="s">
        <v>29</v>
      </c>
      <c r="M627" t="s">
        <v>29</v>
      </c>
      <c r="N627" t="s">
        <v>29</v>
      </c>
      <c r="O627" t="s">
        <v>29</v>
      </c>
      <c r="P627" t="s">
        <v>29</v>
      </c>
      <c r="Q627" t="s">
        <v>29</v>
      </c>
      <c r="R627" t="s">
        <v>29</v>
      </c>
      <c r="S627">
        <v>12.384155898546799</v>
      </c>
      <c r="T627" t="s">
        <v>29</v>
      </c>
      <c r="U627" t="s">
        <v>29</v>
      </c>
      <c r="V627" t="s">
        <v>29</v>
      </c>
      <c r="W627" t="s">
        <v>29</v>
      </c>
      <c r="X627" t="s">
        <v>29</v>
      </c>
      <c r="Y627" t="s">
        <v>29</v>
      </c>
    </row>
    <row r="628" spans="1:25" x14ac:dyDescent="0.2">
      <c r="A628" t="s">
        <v>2346</v>
      </c>
      <c r="B628" t="s">
        <v>2347</v>
      </c>
      <c r="C628" t="s">
        <v>2348</v>
      </c>
      <c r="D628" t="s">
        <v>561</v>
      </c>
      <c r="E628" t="s">
        <v>2347</v>
      </c>
      <c r="F628" t="s">
        <v>28</v>
      </c>
      <c r="G628" t="s">
        <v>2347</v>
      </c>
      <c r="H628" t="str">
        <f>"skpo-3"</f>
        <v>skpo-3</v>
      </c>
      <c r="I628" t="s">
        <v>561</v>
      </c>
      <c r="J628">
        <v>15.1045297617614</v>
      </c>
      <c r="K628">
        <v>15.2516126426104</v>
      </c>
      <c r="L628">
        <v>15.671579448299299</v>
      </c>
      <c r="M628">
        <v>14.661133964913599</v>
      </c>
      <c r="N628">
        <v>14.5814332174099</v>
      </c>
      <c r="O628">
        <v>14.4695925544696</v>
      </c>
      <c r="P628">
        <v>-0.77185403862604895</v>
      </c>
      <c r="Q628">
        <v>-1.1305937690910499</v>
      </c>
      <c r="R628">
        <v>-0.41311430816104999</v>
      </c>
      <c r="S628">
        <v>15.451466664158801</v>
      </c>
      <c r="T628">
        <v>-4.5221838694574199</v>
      </c>
      <c r="U628">
        <v>0.20686925620139801</v>
      </c>
      <c r="V628">
        <v>2.6735016852918699E-4</v>
      </c>
      <c r="W628">
        <v>1.0850504400794299E-2</v>
      </c>
      <c r="X628">
        <v>0</v>
      </c>
      <c r="Y628">
        <v>0</v>
      </c>
    </row>
    <row r="629" spans="1:25" x14ac:dyDescent="0.2">
      <c r="A629" t="s">
        <v>2349</v>
      </c>
      <c r="B629" t="s">
        <v>2350</v>
      </c>
      <c r="C629" t="s">
        <v>2351</v>
      </c>
      <c r="D629" t="s">
        <v>130</v>
      </c>
      <c r="E629" t="s">
        <v>2350</v>
      </c>
      <c r="F629" t="s">
        <v>28</v>
      </c>
      <c r="G629" t="s">
        <v>2350</v>
      </c>
      <c r="H629" t="str">
        <f>"pqn-21"</f>
        <v>pqn-21</v>
      </c>
      <c r="I629" t="s">
        <v>130</v>
      </c>
      <c r="J629" t="s">
        <v>29</v>
      </c>
      <c r="K629">
        <v>10.161008457720801</v>
      </c>
      <c r="L629" t="s">
        <v>29</v>
      </c>
      <c r="M629" t="s">
        <v>29</v>
      </c>
      <c r="N629" t="s">
        <v>29</v>
      </c>
      <c r="O629" t="s">
        <v>29</v>
      </c>
      <c r="P629" t="s">
        <v>29</v>
      </c>
      <c r="Q629" t="s">
        <v>29</v>
      </c>
      <c r="R629" t="s">
        <v>29</v>
      </c>
      <c r="S629">
        <v>10.6706910384236</v>
      </c>
      <c r="T629" t="s">
        <v>29</v>
      </c>
      <c r="U629" t="s">
        <v>29</v>
      </c>
      <c r="V629" t="s">
        <v>29</v>
      </c>
      <c r="W629" t="s">
        <v>29</v>
      </c>
      <c r="X629" t="s">
        <v>29</v>
      </c>
      <c r="Y629" t="s">
        <v>29</v>
      </c>
    </row>
    <row r="630" spans="1:25" x14ac:dyDescent="0.2">
      <c r="A630" t="s">
        <v>2352</v>
      </c>
      <c r="B630" t="s">
        <v>2353</v>
      </c>
      <c r="C630" t="s">
        <v>2354</v>
      </c>
      <c r="D630" t="s">
        <v>2355</v>
      </c>
      <c r="E630" t="s">
        <v>2353</v>
      </c>
      <c r="F630" t="s">
        <v>28</v>
      </c>
      <c r="G630" t="s">
        <v>2353</v>
      </c>
      <c r="H630" t="str">
        <f>"C37C3.1"</f>
        <v>C37C3.1</v>
      </c>
      <c r="I630" t="s">
        <v>2355</v>
      </c>
      <c r="J630">
        <v>12.160847780781101</v>
      </c>
      <c r="K630" t="s">
        <v>29</v>
      </c>
      <c r="L630">
        <v>12.4904324122421</v>
      </c>
      <c r="M630">
        <v>12.4638021337216</v>
      </c>
      <c r="N630">
        <v>12.664072667112</v>
      </c>
      <c r="O630">
        <v>12.342904332087301</v>
      </c>
      <c r="P630">
        <v>0.16461961446204201</v>
      </c>
      <c r="Q630">
        <v>-0.46580351551562799</v>
      </c>
      <c r="R630">
        <v>0.79504274443971201</v>
      </c>
      <c r="S630">
        <v>12.8701609701421</v>
      </c>
      <c r="T630">
        <v>0.55691773375499098</v>
      </c>
      <c r="U630">
        <v>-6.6105408818980003</v>
      </c>
      <c r="V630">
        <v>0.58585514619916501</v>
      </c>
      <c r="W630">
        <v>0.963273565916412</v>
      </c>
      <c r="X630">
        <v>0</v>
      </c>
      <c r="Y630">
        <v>0</v>
      </c>
    </row>
    <row r="631" spans="1:25" x14ac:dyDescent="0.2">
      <c r="A631" t="s">
        <v>2356</v>
      </c>
      <c r="B631" t="s">
        <v>2357</v>
      </c>
      <c r="C631" t="s">
        <v>2358</v>
      </c>
      <c r="D631" t="s">
        <v>2359</v>
      </c>
      <c r="E631" t="s">
        <v>2357</v>
      </c>
      <c r="F631" t="s">
        <v>28</v>
      </c>
      <c r="G631" t="s">
        <v>2357</v>
      </c>
      <c r="H631" t="str">
        <f>"nhr-88"</f>
        <v>nhr-88</v>
      </c>
      <c r="I631" t="s">
        <v>2359</v>
      </c>
      <c r="J631">
        <v>10.377973012733699</v>
      </c>
      <c r="K631">
        <v>10.1794519847922</v>
      </c>
      <c r="L631" t="s">
        <v>29</v>
      </c>
      <c r="M631" t="s">
        <v>29</v>
      </c>
      <c r="N631">
        <v>10.879930345549599</v>
      </c>
      <c r="O631" t="s">
        <v>29</v>
      </c>
      <c r="P631">
        <v>0.60121784678662105</v>
      </c>
      <c r="Q631">
        <v>-0.29628100449736899</v>
      </c>
      <c r="R631">
        <v>1.4987166980706099</v>
      </c>
      <c r="S631">
        <v>11.6974311126563</v>
      </c>
      <c r="T631">
        <v>1.4947372338326099</v>
      </c>
      <c r="U631">
        <v>-5.4024678826166399</v>
      </c>
      <c r="V631">
        <v>0.166173119814857</v>
      </c>
      <c r="W631">
        <v>0.76796940364641997</v>
      </c>
      <c r="X631">
        <v>0</v>
      </c>
      <c r="Y631">
        <v>0</v>
      </c>
    </row>
    <row r="632" spans="1:25" x14ac:dyDescent="0.2">
      <c r="A632" t="s">
        <v>2360</v>
      </c>
      <c r="B632" t="s">
        <v>2361</v>
      </c>
      <c r="C632" t="s">
        <v>14289</v>
      </c>
      <c r="D632" t="s">
        <v>2362</v>
      </c>
      <c r="E632" t="s">
        <v>2361</v>
      </c>
      <c r="F632" t="s">
        <v>28</v>
      </c>
      <c r="G632" t="s">
        <v>2361</v>
      </c>
      <c r="H632" t="str">
        <f>"F38A5.2"</f>
        <v>F38A5.2</v>
      </c>
      <c r="I632" t="s">
        <v>2362</v>
      </c>
      <c r="J632">
        <v>13.6998140169152</v>
      </c>
      <c r="K632">
        <v>13.6951252486238</v>
      </c>
      <c r="L632">
        <v>13.6375887771138</v>
      </c>
      <c r="M632">
        <v>13.5542878174971</v>
      </c>
      <c r="N632">
        <v>13.444313165829101</v>
      </c>
      <c r="O632">
        <v>13.7221767383467</v>
      </c>
      <c r="P632">
        <v>-0.103916773659948</v>
      </c>
      <c r="Q632">
        <v>-0.63724366417204803</v>
      </c>
      <c r="R632">
        <v>0.42941011685215102</v>
      </c>
      <c r="S632">
        <v>13.760071023336801</v>
      </c>
      <c r="T632">
        <v>-0.40952902388316798</v>
      </c>
      <c r="U632">
        <v>-6.7952716096662504</v>
      </c>
      <c r="V632">
        <v>0.68701185372364504</v>
      </c>
      <c r="W632">
        <v>0.98642420921484297</v>
      </c>
      <c r="X632">
        <v>0</v>
      </c>
      <c r="Y632">
        <v>0</v>
      </c>
    </row>
    <row r="633" spans="1:25" x14ac:dyDescent="0.2">
      <c r="A633" t="s">
        <v>2363</v>
      </c>
      <c r="B633" t="s">
        <v>2364</v>
      </c>
      <c r="C633" t="s">
        <v>2365</v>
      </c>
      <c r="D633" t="s">
        <v>2366</v>
      </c>
      <c r="E633" t="s">
        <v>2364</v>
      </c>
      <c r="F633" t="s">
        <v>28</v>
      </c>
      <c r="G633" t="s">
        <v>2364</v>
      </c>
      <c r="H633" t="str">
        <f>"pqn-22"</f>
        <v>pqn-22</v>
      </c>
      <c r="I633" t="s">
        <v>2366</v>
      </c>
      <c r="J633">
        <v>13.8463715427072</v>
      </c>
      <c r="K633">
        <v>13.8707202066033</v>
      </c>
      <c r="L633">
        <v>15.162493003378</v>
      </c>
      <c r="M633">
        <v>13.4887304433036</v>
      </c>
      <c r="N633">
        <v>13.7906965520874</v>
      </c>
      <c r="O633">
        <v>14.122388152251499</v>
      </c>
      <c r="P633">
        <v>-0.49258986834866603</v>
      </c>
      <c r="Q633">
        <v>-1.7787566241736199</v>
      </c>
      <c r="R633">
        <v>0.79357688747629096</v>
      </c>
      <c r="S633">
        <v>14.739304274841301</v>
      </c>
      <c r="T633">
        <v>-0.80497187755474597</v>
      </c>
      <c r="U633">
        <v>-6.54996877570197</v>
      </c>
      <c r="V633">
        <v>0.43140177466603902</v>
      </c>
      <c r="W633">
        <v>0.91512503332874395</v>
      </c>
      <c r="X633">
        <v>0</v>
      </c>
      <c r="Y633">
        <v>0</v>
      </c>
    </row>
    <row r="634" spans="1:25" x14ac:dyDescent="0.2">
      <c r="A634" t="s">
        <v>2367</v>
      </c>
      <c r="B634" t="s">
        <v>2368</v>
      </c>
      <c r="C634" t="s">
        <v>14290</v>
      </c>
      <c r="D634" t="s">
        <v>2369</v>
      </c>
      <c r="E634" t="s">
        <v>2368</v>
      </c>
      <c r="F634" t="s">
        <v>28</v>
      </c>
      <c r="G634" t="s">
        <v>2368</v>
      </c>
      <c r="H634" t="str">
        <f>"R148.5"</f>
        <v>R148.5</v>
      </c>
      <c r="I634" t="s">
        <v>2369</v>
      </c>
      <c r="J634">
        <v>17.003464928130398</v>
      </c>
      <c r="K634">
        <v>17.148023185239602</v>
      </c>
      <c r="L634">
        <v>17.136040885563201</v>
      </c>
      <c r="M634">
        <v>16.931707273725699</v>
      </c>
      <c r="N634">
        <v>16.9340957872373</v>
      </c>
      <c r="O634">
        <v>17.433156928435899</v>
      </c>
      <c r="P634">
        <v>3.8103301552219202E-3</v>
      </c>
      <c r="Q634">
        <v>-0.86577608053141897</v>
      </c>
      <c r="R634">
        <v>0.87339674084186303</v>
      </c>
      <c r="S634">
        <v>17.071155998297801</v>
      </c>
      <c r="T634">
        <v>9.2096341152001805E-3</v>
      </c>
      <c r="U634">
        <v>-6.88244525761439</v>
      </c>
      <c r="V634">
        <v>0.99275377418398902</v>
      </c>
      <c r="W634">
        <v>0.99968702248720698</v>
      </c>
      <c r="X634">
        <v>0</v>
      </c>
      <c r="Y634">
        <v>0</v>
      </c>
    </row>
    <row r="635" spans="1:25" x14ac:dyDescent="0.2">
      <c r="A635" t="s">
        <v>2370</v>
      </c>
      <c r="B635" t="s">
        <v>2371</v>
      </c>
      <c r="C635" t="s">
        <v>14291</v>
      </c>
      <c r="D635" t="s">
        <v>2372</v>
      </c>
      <c r="E635" t="s">
        <v>2371</v>
      </c>
      <c r="F635" t="s">
        <v>28</v>
      </c>
      <c r="G635" t="s">
        <v>2371</v>
      </c>
      <c r="H635" t="str">
        <f>"M01B12.4"</f>
        <v>M01B12.4</v>
      </c>
      <c r="I635" t="s">
        <v>2372</v>
      </c>
      <c r="J635">
        <v>12.0793676140041</v>
      </c>
      <c r="K635">
        <v>11.397912145151899</v>
      </c>
      <c r="L635">
        <v>12.9046583509969</v>
      </c>
      <c r="M635">
        <v>11.577046767567801</v>
      </c>
      <c r="N635">
        <v>11.830574004318599</v>
      </c>
      <c r="O635">
        <v>11.380341492379401</v>
      </c>
      <c r="P635">
        <v>-0.53132528196240103</v>
      </c>
      <c r="Q635">
        <v>-1.2562759379558599</v>
      </c>
      <c r="R635">
        <v>0.19362537403105401</v>
      </c>
      <c r="S635">
        <v>12.645193911865499</v>
      </c>
      <c r="T635">
        <v>-1.55453879231143</v>
      </c>
      <c r="U635">
        <v>-5.7001474486414399</v>
      </c>
      <c r="V635">
        <v>0.13973919906212201</v>
      </c>
      <c r="W635">
        <v>0.72822867612473297</v>
      </c>
      <c r="X635">
        <v>0</v>
      </c>
      <c r="Y635">
        <v>0</v>
      </c>
    </row>
    <row r="636" spans="1:25" x14ac:dyDescent="0.2">
      <c r="A636" t="s">
        <v>2373</v>
      </c>
      <c r="B636" t="s">
        <v>2374</v>
      </c>
      <c r="C636" t="s">
        <v>14292</v>
      </c>
      <c r="D636" t="s">
        <v>297</v>
      </c>
      <c r="E636" t="s">
        <v>2374</v>
      </c>
      <c r="F636" t="s">
        <v>28</v>
      </c>
      <c r="G636" t="s">
        <v>2374</v>
      </c>
      <c r="H636" t="str">
        <f>"R07E4.1"</f>
        <v>R07E4.1</v>
      </c>
      <c r="I636" t="s">
        <v>297</v>
      </c>
      <c r="J636">
        <v>11.9125864395116</v>
      </c>
      <c r="K636">
        <v>11.5822206911353</v>
      </c>
      <c r="L636">
        <v>11.613815743872101</v>
      </c>
      <c r="M636">
        <v>11.5621417164891</v>
      </c>
      <c r="N636">
        <v>12.243305000808601</v>
      </c>
      <c r="O636" t="s">
        <v>29</v>
      </c>
      <c r="P636">
        <v>0.19984906714247699</v>
      </c>
      <c r="Q636">
        <v>-0.43225713284413603</v>
      </c>
      <c r="R636">
        <v>0.83195526712908996</v>
      </c>
      <c r="S636">
        <v>12.1789813760281</v>
      </c>
      <c r="T636">
        <v>0.67430080962598005</v>
      </c>
      <c r="U636">
        <v>-6.5363478926891396</v>
      </c>
      <c r="V636">
        <v>0.51045054098297604</v>
      </c>
      <c r="W636">
        <v>0.94063089722665905</v>
      </c>
      <c r="X636">
        <v>0</v>
      </c>
      <c r="Y636">
        <v>0</v>
      </c>
    </row>
    <row r="637" spans="1:25" x14ac:dyDescent="0.2">
      <c r="A637" t="s">
        <v>2375</v>
      </c>
      <c r="B637" t="s">
        <v>2376</v>
      </c>
      <c r="C637" t="s">
        <v>2377</v>
      </c>
      <c r="D637" t="s">
        <v>2378</v>
      </c>
      <c r="E637" t="s">
        <v>2376</v>
      </c>
      <c r="F637" t="s">
        <v>28</v>
      </c>
      <c r="G637" t="s">
        <v>2376</v>
      </c>
      <c r="H637" t="str">
        <f>"kcc-2"</f>
        <v>kcc-2</v>
      </c>
      <c r="I637" t="s">
        <v>2378</v>
      </c>
      <c r="J637">
        <v>13.750620947115999</v>
      </c>
      <c r="K637">
        <v>12.690656023196899</v>
      </c>
      <c r="L637">
        <v>12.3835710551138</v>
      </c>
      <c r="M637">
        <v>12.8727237661017</v>
      </c>
      <c r="N637">
        <v>12.865829199517799</v>
      </c>
      <c r="O637">
        <v>13.2138710232998</v>
      </c>
      <c r="P637">
        <v>4.25253211641934E-2</v>
      </c>
      <c r="Q637">
        <v>-0.55654811632078505</v>
      </c>
      <c r="R637">
        <v>0.64159875864917204</v>
      </c>
      <c r="S637">
        <v>12.612520940143201</v>
      </c>
      <c r="T637">
        <v>0.15056258701771999</v>
      </c>
      <c r="U637">
        <v>-6.8705747230512104</v>
      </c>
      <c r="V637">
        <v>0.88221487869019299</v>
      </c>
      <c r="W637">
        <v>0.99702926582654094</v>
      </c>
      <c r="X637">
        <v>0</v>
      </c>
      <c r="Y637">
        <v>0</v>
      </c>
    </row>
    <row r="638" spans="1:25" x14ac:dyDescent="0.2">
      <c r="A638" t="s">
        <v>2379</v>
      </c>
      <c r="B638" t="s">
        <v>2380</v>
      </c>
      <c r="C638" t="s">
        <v>2381</v>
      </c>
      <c r="D638" t="s">
        <v>2382</v>
      </c>
      <c r="E638" t="s">
        <v>2380</v>
      </c>
      <c r="F638" t="s">
        <v>28</v>
      </c>
      <c r="G638" t="s">
        <v>2380</v>
      </c>
      <c r="H638" t="str">
        <f>"plpp-1.1"</f>
        <v>plpp-1.1</v>
      </c>
      <c r="I638" t="s">
        <v>2382</v>
      </c>
      <c r="J638" t="s">
        <v>29</v>
      </c>
      <c r="K638" t="s">
        <v>29</v>
      </c>
      <c r="L638" t="s">
        <v>29</v>
      </c>
      <c r="M638" t="s">
        <v>29</v>
      </c>
      <c r="N638">
        <v>12.243433321721501</v>
      </c>
      <c r="O638" t="s">
        <v>29</v>
      </c>
      <c r="P638" t="s">
        <v>29</v>
      </c>
      <c r="Q638" t="s">
        <v>29</v>
      </c>
      <c r="R638" t="s">
        <v>29</v>
      </c>
      <c r="S638">
        <v>11.681794544416499</v>
      </c>
      <c r="T638" t="s">
        <v>29</v>
      </c>
      <c r="U638" t="s">
        <v>29</v>
      </c>
      <c r="V638" t="s">
        <v>29</v>
      </c>
      <c r="W638" t="s">
        <v>29</v>
      </c>
      <c r="X638" t="s">
        <v>29</v>
      </c>
      <c r="Y638" t="s">
        <v>29</v>
      </c>
    </row>
    <row r="639" spans="1:25" x14ac:dyDescent="0.2">
      <c r="A639" t="s">
        <v>2383</v>
      </c>
      <c r="B639" t="s">
        <v>2384</v>
      </c>
      <c r="C639" t="s">
        <v>2385</v>
      </c>
      <c r="D639" t="s">
        <v>150</v>
      </c>
      <c r="E639" t="s">
        <v>2384</v>
      </c>
      <c r="F639" t="s">
        <v>28</v>
      </c>
      <c r="G639" t="s">
        <v>2384</v>
      </c>
      <c r="H639" t="str">
        <f>"csr-1"</f>
        <v>csr-1</v>
      </c>
      <c r="I639" t="s">
        <v>150</v>
      </c>
      <c r="J639">
        <v>17.6784076849037</v>
      </c>
      <c r="K639">
        <v>17.464885720919</v>
      </c>
      <c r="L639">
        <v>17.8221530689191</v>
      </c>
      <c r="M639">
        <v>17.691440660585901</v>
      </c>
      <c r="N639">
        <v>17.867293271366002</v>
      </c>
      <c r="O639">
        <v>17.474580418835298</v>
      </c>
      <c r="P639">
        <v>2.2622625348500201E-2</v>
      </c>
      <c r="Q639">
        <v>-0.422856966845021</v>
      </c>
      <c r="R639">
        <v>0.46810221754202103</v>
      </c>
      <c r="S639">
        <v>17.647364259189398</v>
      </c>
      <c r="T639">
        <v>0.106735208546874</v>
      </c>
      <c r="U639">
        <v>-6.87653897770881</v>
      </c>
      <c r="V639">
        <v>0.91618652519688704</v>
      </c>
      <c r="W639">
        <v>0.99833354317360001</v>
      </c>
      <c r="X639">
        <v>0</v>
      </c>
      <c r="Y639">
        <v>0</v>
      </c>
    </row>
    <row r="640" spans="1:25" x14ac:dyDescent="0.2">
      <c r="A640" t="s">
        <v>2386</v>
      </c>
      <c r="B640" t="s">
        <v>2387</v>
      </c>
      <c r="C640" t="s">
        <v>14293</v>
      </c>
      <c r="D640" t="s">
        <v>2388</v>
      </c>
      <c r="E640" t="s">
        <v>2387</v>
      </c>
      <c r="F640" t="s">
        <v>28</v>
      </c>
      <c r="G640" t="s">
        <v>2387</v>
      </c>
      <c r="H640" t="str">
        <f>"F19F10.11"</f>
        <v>F19F10.11</v>
      </c>
      <c r="I640" t="s">
        <v>2388</v>
      </c>
      <c r="J640" t="s">
        <v>29</v>
      </c>
      <c r="K640" t="s">
        <v>29</v>
      </c>
      <c r="L640" t="s">
        <v>29</v>
      </c>
      <c r="M640" t="s">
        <v>29</v>
      </c>
      <c r="N640">
        <v>10.2998279821377</v>
      </c>
      <c r="O640" t="s">
        <v>29</v>
      </c>
      <c r="P640" t="s">
        <v>29</v>
      </c>
      <c r="Q640" t="s">
        <v>29</v>
      </c>
      <c r="R640" t="s">
        <v>29</v>
      </c>
      <c r="S640">
        <v>10.7326641226355</v>
      </c>
      <c r="T640" t="s">
        <v>29</v>
      </c>
      <c r="U640" t="s">
        <v>29</v>
      </c>
      <c r="V640" t="s">
        <v>29</v>
      </c>
      <c r="W640" t="s">
        <v>29</v>
      </c>
      <c r="X640" t="s">
        <v>29</v>
      </c>
      <c r="Y640" t="s">
        <v>29</v>
      </c>
    </row>
    <row r="641" spans="1:25" x14ac:dyDescent="0.2">
      <c r="A641" t="s">
        <v>2389</v>
      </c>
      <c r="B641" t="s">
        <v>2390</v>
      </c>
      <c r="C641" t="s">
        <v>2391</v>
      </c>
      <c r="D641" t="s">
        <v>2392</v>
      </c>
      <c r="E641" t="s">
        <v>2390</v>
      </c>
      <c r="F641" t="s">
        <v>28</v>
      </c>
      <c r="G641" t="s">
        <v>2390</v>
      </c>
      <c r="H641" t="str">
        <f>"madf-6"</f>
        <v>madf-6</v>
      </c>
      <c r="I641" t="s">
        <v>2392</v>
      </c>
      <c r="J641" t="s">
        <v>29</v>
      </c>
      <c r="K641" t="s">
        <v>29</v>
      </c>
      <c r="L641" t="s">
        <v>29</v>
      </c>
      <c r="M641" t="s">
        <v>29</v>
      </c>
      <c r="N641">
        <v>14.267998435207099</v>
      </c>
      <c r="O641">
        <v>12.094595053148099</v>
      </c>
      <c r="P641" t="s">
        <v>29</v>
      </c>
      <c r="Q641" t="s">
        <v>29</v>
      </c>
      <c r="R641" t="s">
        <v>29</v>
      </c>
      <c r="S641">
        <v>12.2000577624886</v>
      </c>
      <c r="T641" t="s">
        <v>29</v>
      </c>
      <c r="U641" t="s">
        <v>29</v>
      </c>
      <c r="V641" t="s">
        <v>29</v>
      </c>
      <c r="W641" t="s">
        <v>29</v>
      </c>
      <c r="X641" t="s">
        <v>29</v>
      </c>
      <c r="Y641" t="s">
        <v>29</v>
      </c>
    </row>
    <row r="642" spans="1:25" x14ac:dyDescent="0.2">
      <c r="A642" t="s">
        <v>2393</v>
      </c>
      <c r="B642" t="s">
        <v>2394</v>
      </c>
      <c r="C642" t="s">
        <v>2395</v>
      </c>
      <c r="D642" t="s">
        <v>2306</v>
      </c>
      <c r="E642" t="s">
        <v>2394</v>
      </c>
      <c r="F642" t="s">
        <v>28</v>
      </c>
      <c r="G642" t="s">
        <v>2394</v>
      </c>
      <c r="H642" t="str">
        <f>"acdh-1"</f>
        <v>acdh-1</v>
      </c>
      <c r="I642" t="s">
        <v>2306</v>
      </c>
      <c r="J642">
        <v>16.179015709146299</v>
      </c>
      <c r="K642">
        <v>15.5957201924254</v>
      </c>
      <c r="L642">
        <v>16.0729971298423</v>
      </c>
      <c r="M642">
        <v>15.672770156121301</v>
      </c>
      <c r="N642">
        <v>16.040941410697901</v>
      </c>
      <c r="O642">
        <v>15.637708932250799</v>
      </c>
      <c r="P642">
        <v>-0.16543751078133101</v>
      </c>
      <c r="Q642">
        <v>-0.550523422716793</v>
      </c>
      <c r="R642">
        <v>0.21964840115413201</v>
      </c>
      <c r="S642">
        <v>15.5845283237785</v>
      </c>
      <c r="T642">
        <v>-0.90296074323050401</v>
      </c>
      <c r="U642">
        <v>-6.4659939816069398</v>
      </c>
      <c r="V642">
        <v>0.378541169008692</v>
      </c>
      <c r="W642">
        <v>0.89664413555937805</v>
      </c>
      <c r="X642">
        <v>0</v>
      </c>
      <c r="Y642">
        <v>0</v>
      </c>
    </row>
    <row r="643" spans="1:25" x14ac:dyDescent="0.2">
      <c r="A643" t="s">
        <v>2396</v>
      </c>
      <c r="B643" t="s">
        <v>2397</v>
      </c>
      <c r="C643" t="s">
        <v>14294</v>
      </c>
      <c r="D643" t="s">
        <v>2398</v>
      </c>
      <c r="E643" t="s">
        <v>2397</v>
      </c>
      <c r="F643" t="s">
        <v>28</v>
      </c>
      <c r="G643" t="s">
        <v>2397</v>
      </c>
      <c r="H643" t="str">
        <f>"Y37E11AL.3"</f>
        <v>Y37E11AL.3</v>
      </c>
      <c r="I643" t="s">
        <v>2398</v>
      </c>
      <c r="J643" t="s">
        <v>29</v>
      </c>
      <c r="K643" t="s">
        <v>29</v>
      </c>
      <c r="L643" t="s">
        <v>29</v>
      </c>
      <c r="M643" t="s">
        <v>29</v>
      </c>
      <c r="N643" t="s">
        <v>29</v>
      </c>
      <c r="O643" t="s">
        <v>29</v>
      </c>
      <c r="P643" t="s">
        <v>29</v>
      </c>
      <c r="Q643" t="s">
        <v>29</v>
      </c>
      <c r="R643" t="s">
        <v>29</v>
      </c>
      <c r="S643">
        <v>12.8756393172266</v>
      </c>
      <c r="T643" t="s">
        <v>29</v>
      </c>
      <c r="U643" t="s">
        <v>29</v>
      </c>
      <c r="V643" t="s">
        <v>29</v>
      </c>
      <c r="W643" t="s">
        <v>29</v>
      </c>
      <c r="X643" t="s">
        <v>29</v>
      </c>
      <c r="Y643" t="s">
        <v>29</v>
      </c>
    </row>
    <row r="644" spans="1:25" x14ac:dyDescent="0.2">
      <c r="A644" t="s">
        <v>2399</v>
      </c>
      <c r="B644" t="s">
        <v>2400</v>
      </c>
      <c r="C644" t="s">
        <v>2401</v>
      </c>
      <c r="D644" t="s">
        <v>2402</v>
      </c>
      <c r="E644" t="s">
        <v>2400</v>
      </c>
      <c r="F644" t="s">
        <v>28</v>
      </c>
      <c r="G644" t="s">
        <v>2400</v>
      </c>
      <c r="H644" t="str">
        <f>"aka-1"</f>
        <v>aka-1</v>
      </c>
      <c r="I644" t="s">
        <v>2402</v>
      </c>
      <c r="J644" t="s">
        <v>29</v>
      </c>
      <c r="K644" t="s">
        <v>29</v>
      </c>
      <c r="L644" t="s">
        <v>29</v>
      </c>
      <c r="M644">
        <v>12.100271278887501</v>
      </c>
      <c r="N644">
        <v>11.856545352229899</v>
      </c>
      <c r="O644">
        <v>12.622371800753999</v>
      </c>
      <c r="P644" t="s">
        <v>29</v>
      </c>
      <c r="Q644" t="s">
        <v>29</v>
      </c>
      <c r="R644" t="s">
        <v>29</v>
      </c>
      <c r="S644">
        <v>11.6258380126246</v>
      </c>
      <c r="T644" t="s">
        <v>29</v>
      </c>
      <c r="U644" t="s">
        <v>29</v>
      </c>
      <c r="V644" t="s">
        <v>29</v>
      </c>
      <c r="W644" t="s">
        <v>29</v>
      </c>
      <c r="X644" t="s">
        <v>29</v>
      </c>
      <c r="Y644" t="s">
        <v>29</v>
      </c>
    </row>
    <row r="645" spans="1:25" x14ac:dyDescent="0.2">
      <c r="A645" t="s">
        <v>2403</v>
      </c>
      <c r="B645" t="s">
        <v>2404</v>
      </c>
      <c r="C645" t="s">
        <v>2405</v>
      </c>
      <c r="D645" t="s">
        <v>2406</v>
      </c>
      <c r="E645" t="s">
        <v>2404</v>
      </c>
      <c r="F645" t="s">
        <v>28</v>
      </c>
      <c r="G645" t="s">
        <v>2404</v>
      </c>
      <c r="H645" t="str">
        <f>"glrx-3"</f>
        <v>glrx-3</v>
      </c>
      <c r="I645" t="s">
        <v>2406</v>
      </c>
      <c r="J645">
        <v>12.0296120961442</v>
      </c>
      <c r="K645">
        <v>12.1830109353611</v>
      </c>
      <c r="L645">
        <v>12.694364522816199</v>
      </c>
      <c r="M645">
        <v>12.2469074342998</v>
      </c>
      <c r="N645">
        <v>12.8363879049639</v>
      </c>
      <c r="O645">
        <v>12.9029367966679</v>
      </c>
      <c r="P645">
        <v>0.35974819387004198</v>
      </c>
      <c r="Q645">
        <v>-0.517107652307355</v>
      </c>
      <c r="R645">
        <v>1.2366040400474401</v>
      </c>
      <c r="S645">
        <v>12.9772138926796</v>
      </c>
      <c r="T645">
        <v>0.86230902903040896</v>
      </c>
      <c r="U645">
        <v>-6.5019080030499801</v>
      </c>
      <c r="V645">
        <v>0.39992616054378599</v>
      </c>
      <c r="W645">
        <v>0.91027279600179201</v>
      </c>
      <c r="X645">
        <v>0</v>
      </c>
      <c r="Y645">
        <v>0</v>
      </c>
    </row>
    <row r="646" spans="1:25" x14ac:dyDescent="0.2">
      <c r="A646" t="s">
        <v>2407</v>
      </c>
      <c r="B646" t="s">
        <v>2408</v>
      </c>
      <c r="C646" t="s">
        <v>2409</v>
      </c>
      <c r="D646" t="s">
        <v>2410</v>
      </c>
      <c r="E646" t="s">
        <v>2408</v>
      </c>
      <c r="F646" t="s">
        <v>28</v>
      </c>
      <c r="G646" t="s">
        <v>2408</v>
      </c>
      <c r="H646" t="str">
        <f>"praf-3"</f>
        <v>praf-3</v>
      </c>
      <c r="I646" t="s">
        <v>2410</v>
      </c>
      <c r="J646">
        <v>12.746779587862701</v>
      </c>
      <c r="K646">
        <v>13.360903555293101</v>
      </c>
      <c r="L646">
        <v>13.446971683676599</v>
      </c>
      <c r="M646" t="s">
        <v>29</v>
      </c>
      <c r="N646">
        <v>12.7891720625902</v>
      </c>
      <c r="O646">
        <v>13.5641802698673</v>
      </c>
      <c r="P646">
        <v>-8.2087760487450402E-3</v>
      </c>
      <c r="Q646">
        <v>-0.84263708580658503</v>
      </c>
      <c r="R646">
        <v>0.82621953370909496</v>
      </c>
      <c r="S646">
        <v>13.764000304546199</v>
      </c>
      <c r="T646">
        <v>-2.09812318664617E-2</v>
      </c>
      <c r="U646">
        <v>-6.7719729034591296</v>
      </c>
      <c r="V646">
        <v>0.98353911216185497</v>
      </c>
      <c r="W646">
        <v>0.99968702248720698</v>
      </c>
      <c r="X646">
        <v>0</v>
      </c>
      <c r="Y646">
        <v>0</v>
      </c>
    </row>
    <row r="647" spans="1:25" x14ac:dyDescent="0.2">
      <c r="A647" t="s">
        <v>2411</v>
      </c>
      <c r="B647" t="s">
        <v>2412</v>
      </c>
      <c r="C647" t="s">
        <v>2413</v>
      </c>
      <c r="D647" t="s">
        <v>2414</v>
      </c>
      <c r="E647" t="s">
        <v>2412</v>
      </c>
      <c r="F647" t="s">
        <v>28</v>
      </c>
      <c r="G647" t="s">
        <v>2412</v>
      </c>
      <c r="H647" t="str">
        <f>"F36D4.5"</f>
        <v>F36D4.5</v>
      </c>
      <c r="I647" t="s">
        <v>2414</v>
      </c>
      <c r="J647">
        <v>13.207752590998901</v>
      </c>
      <c r="K647">
        <v>12.205401016481</v>
      </c>
      <c r="L647">
        <v>12.1332466650207</v>
      </c>
      <c r="M647">
        <v>11.990116000132399</v>
      </c>
      <c r="N647">
        <v>12.1864731583247</v>
      </c>
      <c r="O647">
        <v>12.3857963877114</v>
      </c>
      <c r="P647">
        <v>-0.328004908777347</v>
      </c>
      <c r="Q647">
        <v>-0.97730975484452098</v>
      </c>
      <c r="R647">
        <v>0.32129993728982698</v>
      </c>
      <c r="S647">
        <v>12.3247540369277</v>
      </c>
      <c r="T647">
        <v>-1.07147299273692</v>
      </c>
      <c r="U647">
        <v>-6.2996641344179496</v>
      </c>
      <c r="V647">
        <v>0.29995676986972702</v>
      </c>
      <c r="W647">
        <v>0.85855590823088301</v>
      </c>
      <c r="X647">
        <v>0</v>
      </c>
      <c r="Y647">
        <v>0</v>
      </c>
    </row>
    <row r="648" spans="1:25" x14ac:dyDescent="0.2">
      <c r="A648" t="s">
        <v>2415</v>
      </c>
      <c r="B648" t="s">
        <v>2416</v>
      </c>
      <c r="C648" t="s">
        <v>14295</v>
      </c>
      <c r="D648" t="s">
        <v>2417</v>
      </c>
      <c r="E648" t="s">
        <v>2416</v>
      </c>
      <c r="F648" t="s">
        <v>28</v>
      </c>
      <c r="G648" t="s">
        <v>2416</v>
      </c>
      <c r="H648" t="str">
        <f>"E02H9.3"</f>
        <v>E02H9.3</v>
      </c>
      <c r="I648" t="s">
        <v>2417</v>
      </c>
      <c r="J648">
        <v>13.722243961849999</v>
      </c>
      <c r="K648">
        <v>13.7176065428455</v>
      </c>
      <c r="L648">
        <v>13.7682481237151</v>
      </c>
      <c r="M648">
        <v>13.6490461991374</v>
      </c>
      <c r="N648">
        <v>13.4796200005984</v>
      </c>
      <c r="O648">
        <v>13.922669931590599</v>
      </c>
      <c r="P648">
        <v>-5.2254165694726899E-2</v>
      </c>
      <c r="Q648">
        <v>-0.53640517514035502</v>
      </c>
      <c r="R648">
        <v>0.43189684375090098</v>
      </c>
      <c r="S648">
        <v>13.365810743139299</v>
      </c>
      <c r="T648">
        <v>-0.22892309358927401</v>
      </c>
      <c r="U648">
        <v>-6.8549711175832302</v>
      </c>
      <c r="V648">
        <v>0.82184808791161801</v>
      </c>
      <c r="W648">
        <v>0.992837538801569</v>
      </c>
      <c r="X648">
        <v>0</v>
      </c>
      <c r="Y648">
        <v>0</v>
      </c>
    </row>
    <row r="649" spans="1:25" x14ac:dyDescent="0.2">
      <c r="A649" t="s">
        <v>2418</v>
      </c>
      <c r="B649" t="s">
        <v>2419</v>
      </c>
      <c r="C649" t="s">
        <v>14296</v>
      </c>
      <c r="D649" t="s">
        <v>2420</v>
      </c>
      <c r="E649" t="s">
        <v>2419</v>
      </c>
      <c r="F649" t="s">
        <v>28</v>
      </c>
      <c r="G649" t="s">
        <v>2419</v>
      </c>
      <c r="H649" t="str">
        <f>"Y54F10AL.1"</f>
        <v>Y54F10AL.1</v>
      </c>
      <c r="I649" t="s">
        <v>2420</v>
      </c>
      <c r="J649">
        <v>14.1593526426749</v>
      </c>
      <c r="K649">
        <v>14.386212004603999</v>
      </c>
      <c r="L649">
        <v>14.1694870420196</v>
      </c>
      <c r="M649">
        <v>14.459698460199</v>
      </c>
      <c r="N649">
        <v>14.1318955253324</v>
      </c>
      <c r="O649">
        <v>14.1745779232307</v>
      </c>
      <c r="P649">
        <v>1.7040073154527501E-2</v>
      </c>
      <c r="Q649">
        <v>-0.37741392019351599</v>
      </c>
      <c r="R649">
        <v>0.41149406650257098</v>
      </c>
      <c r="S649">
        <v>13.7642456015422</v>
      </c>
      <c r="T649">
        <v>9.1185358721157697E-2</v>
      </c>
      <c r="U649">
        <v>-6.8781325969003202</v>
      </c>
      <c r="V649">
        <v>0.92841771446649002</v>
      </c>
      <c r="W649">
        <v>0.99926809132575301</v>
      </c>
      <c r="X649">
        <v>0</v>
      </c>
      <c r="Y649">
        <v>0</v>
      </c>
    </row>
    <row r="650" spans="1:25" x14ac:dyDescent="0.2">
      <c r="A650" t="s">
        <v>2421</v>
      </c>
      <c r="B650" t="s">
        <v>2422</v>
      </c>
      <c r="C650" t="s">
        <v>2423</v>
      </c>
      <c r="D650" t="s">
        <v>1344</v>
      </c>
      <c r="E650" t="s">
        <v>2422</v>
      </c>
      <c r="F650" t="s">
        <v>28</v>
      </c>
      <c r="G650" t="s">
        <v>2422</v>
      </c>
      <c r="H650" t="str">
        <f>"yars-2"</f>
        <v>yars-2</v>
      </c>
      <c r="I650" t="s">
        <v>1344</v>
      </c>
      <c r="J650">
        <v>13.807304388417201</v>
      </c>
      <c r="K650">
        <v>13.896796742341101</v>
      </c>
      <c r="L650">
        <v>13.806754828145399</v>
      </c>
      <c r="M650">
        <v>13.593615235178</v>
      </c>
      <c r="N650">
        <v>13.5813071914805</v>
      </c>
      <c r="O650">
        <v>13.061071889574499</v>
      </c>
      <c r="P650">
        <v>-0.42495388089019998</v>
      </c>
      <c r="Q650">
        <v>-1.1150919256156699</v>
      </c>
      <c r="R650">
        <v>0.26518416383526999</v>
      </c>
      <c r="S650">
        <v>13.476486558278401</v>
      </c>
      <c r="T650">
        <v>-1.2997380820017801</v>
      </c>
      <c r="U650">
        <v>-6.0390071004625696</v>
      </c>
      <c r="V650">
        <v>0.21114560464260401</v>
      </c>
      <c r="W650">
        <v>0.79492804357574798</v>
      </c>
      <c r="X650">
        <v>0</v>
      </c>
      <c r="Y650">
        <v>0</v>
      </c>
    </row>
    <row r="651" spans="1:25" x14ac:dyDescent="0.2">
      <c r="A651" t="s">
        <v>2424</v>
      </c>
      <c r="B651" t="s">
        <v>2425</v>
      </c>
      <c r="C651" t="s">
        <v>14297</v>
      </c>
      <c r="D651" t="s">
        <v>66</v>
      </c>
      <c r="E651" t="s">
        <v>2425</v>
      </c>
      <c r="F651" t="s">
        <v>28</v>
      </c>
      <c r="G651" t="s">
        <v>2425</v>
      </c>
      <c r="H651" t="str">
        <f>"F11D5.1"</f>
        <v>F11D5.1</v>
      </c>
      <c r="I651" t="s">
        <v>66</v>
      </c>
      <c r="J651">
        <v>12.3578200382712</v>
      </c>
      <c r="K651">
        <v>13.3354726010643</v>
      </c>
      <c r="L651">
        <v>12.4156167177243</v>
      </c>
      <c r="M651">
        <v>12.5073976194697</v>
      </c>
      <c r="N651" t="s">
        <v>29</v>
      </c>
      <c r="O651" t="s">
        <v>29</v>
      </c>
      <c r="P651">
        <v>-0.19557216621687501</v>
      </c>
      <c r="Q651">
        <v>-1.6686963528010199</v>
      </c>
      <c r="R651">
        <v>1.2775520203672699</v>
      </c>
      <c r="S651">
        <v>11.973523081458</v>
      </c>
      <c r="T651">
        <v>-0.28704826785554099</v>
      </c>
      <c r="U651">
        <v>-6.4976979724040804</v>
      </c>
      <c r="V651">
        <v>0.77863598761407804</v>
      </c>
      <c r="W651">
        <v>0.99278624068726296</v>
      </c>
      <c r="X651">
        <v>0</v>
      </c>
      <c r="Y651">
        <v>0</v>
      </c>
    </row>
    <row r="652" spans="1:25" x14ac:dyDescent="0.2">
      <c r="A652" t="s">
        <v>2426</v>
      </c>
      <c r="B652" t="s">
        <v>2427</v>
      </c>
      <c r="C652" t="s">
        <v>2428</v>
      </c>
      <c r="D652" t="s">
        <v>107</v>
      </c>
      <c r="E652" t="s">
        <v>2427</v>
      </c>
      <c r="F652" t="s">
        <v>28</v>
      </c>
      <c r="G652" t="s">
        <v>2427</v>
      </c>
      <c r="H652" t="str">
        <f>"slc-17.6"</f>
        <v>slc-17.6</v>
      </c>
      <c r="I652" t="s">
        <v>107</v>
      </c>
      <c r="J652">
        <v>12.859501878098101</v>
      </c>
      <c r="K652">
        <v>13.152811979058599</v>
      </c>
      <c r="L652">
        <v>13.2815187333126</v>
      </c>
      <c r="M652">
        <v>12.867777594187601</v>
      </c>
      <c r="N652">
        <v>12.8803472047046</v>
      </c>
      <c r="O652">
        <v>12.612870988125</v>
      </c>
      <c r="P652">
        <v>-0.31094560115068298</v>
      </c>
      <c r="Q652">
        <v>-1.0361511224809501</v>
      </c>
      <c r="R652">
        <v>0.41425992017958102</v>
      </c>
      <c r="S652">
        <v>13.2234073420848</v>
      </c>
      <c r="T652">
        <v>-0.90943747318838697</v>
      </c>
      <c r="U652">
        <v>-6.4585186658053901</v>
      </c>
      <c r="V652">
        <v>0.376703385128768</v>
      </c>
      <c r="W652">
        <v>0.89611784539566797</v>
      </c>
      <c r="X652">
        <v>0</v>
      </c>
      <c r="Y652">
        <v>0</v>
      </c>
    </row>
    <row r="653" spans="1:25" x14ac:dyDescent="0.2">
      <c r="A653" t="s">
        <v>2429</v>
      </c>
      <c r="B653" t="s">
        <v>2430</v>
      </c>
      <c r="C653" t="s">
        <v>2431</v>
      </c>
      <c r="D653" t="s">
        <v>2432</v>
      </c>
      <c r="E653" t="s">
        <v>2430</v>
      </c>
      <c r="F653" t="s">
        <v>28</v>
      </c>
      <c r="G653" t="s">
        <v>2430</v>
      </c>
      <c r="H653" t="str">
        <f>"exp-2"</f>
        <v>exp-2</v>
      </c>
      <c r="I653" t="s">
        <v>2432</v>
      </c>
      <c r="J653">
        <v>12.269775079350101</v>
      </c>
      <c r="K653" t="s">
        <v>29</v>
      </c>
      <c r="L653" t="s">
        <v>29</v>
      </c>
      <c r="M653" t="s">
        <v>29</v>
      </c>
      <c r="N653">
        <v>12.259696660913001</v>
      </c>
      <c r="O653">
        <v>12.3805979175823</v>
      </c>
      <c r="P653">
        <v>5.0372209897505002E-2</v>
      </c>
      <c r="Q653">
        <v>-1.9158481283084099</v>
      </c>
      <c r="R653">
        <v>2.0165925481034299</v>
      </c>
      <c r="S653">
        <v>12.0310167491714</v>
      </c>
      <c r="T653">
        <v>5.6452933404414103E-2</v>
      </c>
      <c r="U653">
        <v>-6.4817267927764703</v>
      </c>
      <c r="V653">
        <v>0.95600297966801195</v>
      </c>
      <c r="W653">
        <v>0.99968702248720698</v>
      </c>
      <c r="X653">
        <v>0</v>
      </c>
      <c r="Y653">
        <v>0</v>
      </c>
    </row>
    <row r="654" spans="1:25" x14ac:dyDescent="0.2">
      <c r="A654" t="s">
        <v>2433</v>
      </c>
      <c r="B654" t="s">
        <v>2434</v>
      </c>
      <c r="C654" t="s">
        <v>2435</v>
      </c>
      <c r="D654" t="s">
        <v>2436</v>
      </c>
      <c r="E654" t="s">
        <v>2434</v>
      </c>
      <c r="F654" t="s">
        <v>28</v>
      </c>
      <c r="G654" t="s">
        <v>2434</v>
      </c>
      <c r="H654" t="str">
        <f>"sec-16a.2"</f>
        <v>sec-16a.2</v>
      </c>
      <c r="I654" t="s">
        <v>2436</v>
      </c>
      <c r="J654" t="s">
        <v>29</v>
      </c>
      <c r="K654">
        <v>11.8342395200886</v>
      </c>
      <c r="L654">
        <v>12.030851137415601</v>
      </c>
      <c r="M654">
        <v>12.635855686087201</v>
      </c>
      <c r="N654">
        <v>12.641897644558799</v>
      </c>
      <c r="O654">
        <v>12.4055180019764</v>
      </c>
      <c r="P654">
        <v>0.62854511545536895</v>
      </c>
      <c r="Q654">
        <v>0.12371575160202</v>
      </c>
      <c r="R654">
        <v>1.1333744793087199</v>
      </c>
      <c r="S654">
        <v>12.526990266239</v>
      </c>
      <c r="T654">
        <v>2.6554214158265101</v>
      </c>
      <c r="U654">
        <v>-3.7401916135385198</v>
      </c>
      <c r="V654">
        <v>1.8076929835916501E-2</v>
      </c>
      <c r="W654">
        <v>0.27099109231500002</v>
      </c>
      <c r="X654">
        <v>0</v>
      </c>
      <c r="Y654">
        <v>0</v>
      </c>
    </row>
    <row r="655" spans="1:25" x14ac:dyDescent="0.2">
      <c r="A655" t="s">
        <v>2437</v>
      </c>
      <c r="B655" t="s">
        <v>2438</v>
      </c>
      <c r="C655" t="s">
        <v>14298</v>
      </c>
      <c r="D655" t="s">
        <v>2439</v>
      </c>
      <c r="E655" t="s">
        <v>2438</v>
      </c>
      <c r="F655" t="s">
        <v>28</v>
      </c>
      <c r="G655" t="s">
        <v>2438</v>
      </c>
      <c r="H655" t="str">
        <f>"T23E7.2"</f>
        <v>T23E7.2</v>
      </c>
      <c r="I655" t="s">
        <v>2439</v>
      </c>
      <c r="J655">
        <v>18.487258856953499</v>
      </c>
      <c r="K655">
        <v>18.763600742295601</v>
      </c>
      <c r="L655">
        <v>18.769348271049299</v>
      </c>
      <c r="M655">
        <v>18.368549162115102</v>
      </c>
      <c r="N655">
        <v>18.444973798319001</v>
      </c>
      <c r="O655">
        <v>18.629990100223999</v>
      </c>
      <c r="P655">
        <v>-0.19223160321343999</v>
      </c>
      <c r="Q655">
        <v>-0.68265357620465394</v>
      </c>
      <c r="R655">
        <v>0.29819036977777402</v>
      </c>
      <c r="S655">
        <v>18.7828205607128</v>
      </c>
      <c r="T655">
        <v>-0.82384854862384804</v>
      </c>
      <c r="U655">
        <v>-6.5344838241154797</v>
      </c>
      <c r="V655">
        <v>0.42087062227371402</v>
      </c>
      <c r="W655">
        <v>0.91512503332874395</v>
      </c>
      <c r="X655">
        <v>0</v>
      </c>
      <c r="Y655">
        <v>0</v>
      </c>
    </row>
    <row r="656" spans="1:25" x14ac:dyDescent="0.2">
      <c r="A656" t="s">
        <v>2440</v>
      </c>
      <c r="B656" t="s">
        <v>2441</v>
      </c>
      <c r="C656" t="s">
        <v>14299</v>
      </c>
      <c r="D656" t="s">
        <v>111</v>
      </c>
      <c r="E656" t="s">
        <v>2441</v>
      </c>
      <c r="F656" t="s">
        <v>28</v>
      </c>
      <c r="G656" t="s">
        <v>2441</v>
      </c>
      <c r="H656" t="str">
        <f>"F23H11.4"</f>
        <v>F23H11.4</v>
      </c>
      <c r="I656" t="s">
        <v>111</v>
      </c>
      <c r="J656">
        <v>12.261421163581799</v>
      </c>
      <c r="K656">
        <v>11.186360961142199</v>
      </c>
      <c r="L656">
        <v>11.9306254902615</v>
      </c>
      <c r="M656">
        <v>11.849937888142801</v>
      </c>
      <c r="N656">
        <v>12.3035632028232</v>
      </c>
      <c r="O656" t="s">
        <v>29</v>
      </c>
      <c r="P656">
        <v>0.28394800715451601</v>
      </c>
      <c r="Q656">
        <v>-0.52042909897650602</v>
      </c>
      <c r="R656">
        <v>1.08832511328554</v>
      </c>
      <c r="S656">
        <v>11.835231483724799</v>
      </c>
      <c r="T656">
        <v>0.75287127854998104</v>
      </c>
      <c r="U656">
        <v>-6.4792689748831798</v>
      </c>
      <c r="V656">
        <v>0.46326111193987501</v>
      </c>
      <c r="W656">
        <v>0.92978583625257705</v>
      </c>
      <c r="X656">
        <v>0</v>
      </c>
      <c r="Y656">
        <v>0</v>
      </c>
    </row>
    <row r="657" spans="1:25" x14ac:dyDescent="0.2">
      <c r="A657" t="s">
        <v>2442</v>
      </c>
      <c r="B657" t="s">
        <v>2443</v>
      </c>
      <c r="C657" t="s">
        <v>14300</v>
      </c>
      <c r="D657" t="s">
        <v>2444</v>
      </c>
      <c r="E657" t="s">
        <v>2443</v>
      </c>
      <c r="F657" t="s">
        <v>28</v>
      </c>
      <c r="G657" t="s">
        <v>2443</v>
      </c>
      <c r="H657" t="str">
        <f>"T04C9.1"</f>
        <v>T04C9.1</v>
      </c>
      <c r="I657" t="s">
        <v>2444</v>
      </c>
      <c r="J657">
        <v>12.2899824829195</v>
      </c>
      <c r="K657">
        <v>12.767446440412501</v>
      </c>
      <c r="L657">
        <v>12.7799527872175</v>
      </c>
      <c r="M657">
        <v>12.1258245786349</v>
      </c>
      <c r="N657">
        <v>12.7200229088521</v>
      </c>
      <c r="O657">
        <v>12.7050557152696</v>
      </c>
      <c r="P657">
        <v>-9.5492835930997402E-2</v>
      </c>
      <c r="Q657">
        <v>-0.48735661526616297</v>
      </c>
      <c r="R657">
        <v>0.29637094340416897</v>
      </c>
      <c r="S657">
        <v>12.8149869499881</v>
      </c>
      <c r="T657">
        <v>-0.51438190388197702</v>
      </c>
      <c r="U657">
        <v>-6.74489517816576</v>
      </c>
      <c r="V657">
        <v>0.61364793237882098</v>
      </c>
      <c r="W657">
        <v>0.97238011246645495</v>
      </c>
      <c r="X657">
        <v>0</v>
      </c>
      <c r="Y657">
        <v>0</v>
      </c>
    </row>
    <row r="658" spans="1:25" x14ac:dyDescent="0.2">
      <c r="A658" t="s">
        <v>2445</v>
      </c>
      <c r="B658" t="s">
        <v>2446</v>
      </c>
      <c r="C658" t="s">
        <v>2447</v>
      </c>
      <c r="D658" t="s">
        <v>984</v>
      </c>
      <c r="E658" t="s">
        <v>2446</v>
      </c>
      <c r="F658" t="s">
        <v>28</v>
      </c>
      <c r="G658" t="s">
        <v>2446</v>
      </c>
      <c r="H658" t="str">
        <f>"frm-2"</f>
        <v>frm-2</v>
      </c>
      <c r="I658" t="s">
        <v>984</v>
      </c>
      <c r="J658">
        <v>12.5999199576442</v>
      </c>
      <c r="K658">
        <v>13.1403345896187</v>
      </c>
      <c r="L658">
        <v>13.034278340326001</v>
      </c>
      <c r="M658">
        <v>12.914751178530899</v>
      </c>
      <c r="N658">
        <v>12.7033594945838</v>
      </c>
      <c r="O658">
        <v>12.655984678865</v>
      </c>
      <c r="P658">
        <v>-0.16681251186972401</v>
      </c>
      <c r="Q658">
        <v>-0.75045254862087196</v>
      </c>
      <c r="R658">
        <v>0.41682752488142499</v>
      </c>
      <c r="S658">
        <v>12.979955167461</v>
      </c>
      <c r="T658">
        <v>-0.60330032469236805</v>
      </c>
      <c r="U658">
        <v>-6.6937662602637404</v>
      </c>
      <c r="V658">
        <v>0.55432260034760805</v>
      </c>
      <c r="W658">
        <v>0.95555711976758795</v>
      </c>
      <c r="X658">
        <v>0</v>
      </c>
      <c r="Y658">
        <v>0</v>
      </c>
    </row>
    <row r="659" spans="1:25" x14ac:dyDescent="0.2">
      <c r="A659" t="s">
        <v>2448</v>
      </c>
      <c r="B659" t="s">
        <v>2449</v>
      </c>
      <c r="C659" t="s">
        <v>14301</v>
      </c>
      <c r="D659" t="s">
        <v>2450</v>
      </c>
      <c r="E659" t="s">
        <v>2449</v>
      </c>
      <c r="F659" t="s">
        <v>28</v>
      </c>
      <c r="G659" t="s">
        <v>2449</v>
      </c>
      <c r="H659" t="str">
        <f>"F49E8.7"</f>
        <v>F49E8.7</v>
      </c>
      <c r="I659" t="s">
        <v>2450</v>
      </c>
      <c r="J659">
        <v>13.1949312801851</v>
      </c>
      <c r="K659">
        <v>13.044493234703801</v>
      </c>
      <c r="L659">
        <v>13.1109099514942</v>
      </c>
      <c r="M659">
        <v>13.262816123232501</v>
      </c>
      <c r="N659">
        <v>12.5928687103115</v>
      </c>
      <c r="O659">
        <v>13.439286244565601</v>
      </c>
      <c r="P659">
        <v>-1.8454462757848199E-2</v>
      </c>
      <c r="Q659">
        <v>-0.55448334292628598</v>
      </c>
      <c r="R659">
        <v>0.51757441741058996</v>
      </c>
      <c r="S659">
        <v>13.0583332423375</v>
      </c>
      <c r="T659">
        <v>-7.2671350414215602E-2</v>
      </c>
      <c r="U659">
        <v>-6.8797219896141097</v>
      </c>
      <c r="V659">
        <v>0.94292104933523702</v>
      </c>
      <c r="W659">
        <v>0.99926809132575301</v>
      </c>
      <c r="X659">
        <v>0</v>
      </c>
      <c r="Y659">
        <v>0</v>
      </c>
    </row>
    <row r="660" spans="1:25" x14ac:dyDescent="0.2">
      <c r="A660" t="s">
        <v>2451</v>
      </c>
      <c r="B660" t="s">
        <v>2452</v>
      </c>
      <c r="C660" t="s">
        <v>2453</v>
      </c>
      <c r="D660" t="s">
        <v>2454</v>
      </c>
      <c r="E660" t="s">
        <v>2452</v>
      </c>
      <c r="F660" t="s">
        <v>28</v>
      </c>
      <c r="G660" t="s">
        <v>2452</v>
      </c>
      <c r="H660" t="str">
        <f>"lmd-3"</f>
        <v>lmd-3</v>
      </c>
      <c r="I660" t="s">
        <v>2454</v>
      </c>
      <c r="J660">
        <v>11.5491850995025</v>
      </c>
      <c r="K660">
        <v>11.157897653846801</v>
      </c>
      <c r="L660" t="s">
        <v>29</v>
      </c>
      <c r="M660">
        <v>11.885899895884499</v>
      </c>
      <c r="N660">
        <v>12.3346481337377</v>
      </c>
      <c r="O660">
        <v>11.665173274531201</v>
      </c>
      <c r="P660">
        <v>0.60836572470981498</v>
      </c>
      <c r="Q660">
        <v>2.6353491786118101E-2</v>
      </c>
      <c r="R660">
        <v>1.1903779576335101</v>
      </c>
      <c r="S660">
        <v>11.5392390156319</v>
      </c>
      <c r="T660">
        <v>2.2293293354946901</v>
      </c>
      <c r="U660">
        <v>-4.5178972691573804</v>
      </c>
      <c r="V660">
        <v>4.1617840865903102E-2</v>
      </c>
      <c r="W660">
        <v>0.44250534952628001</v>
      </c>
      <c r="X660">
        <v>0</v>
      </c>
      <c r="Y660">
        <v>0</v>
      </c>
    </row>
    <row r="661" spans="1:25" x14ac:dyDescent="0.2">
      <c r="A661" t="s">
        <v>2455</v>
      </c>
      <c r="B661" t="s">
        <v>2456</v>
      </c>
      <c r="C661" t="s">
        <v>14302</v>
      </c>
      <c r="D661" t="s">
        <v>2457</v>
      </c>
      <c r="E661" t="s">
        <v>2456</v>
      </c>
      <c r="F661" t="s">
        <v>28</v>
      </c>
      <c r="G661" t="s">
        <v>2456</v>
      </c>
      <c r="H661" t="str">
        <f>"T22F3.2"</f>
        <v>T22F3.2</v>
      </c>
      <c r="I661" t="s">
        <v>2457</v>
      </c>
      <c r="J661">
        <v>13.2952231891311</v>
      </c>
      <c r="K661">
        <v>13.3861291791435</v>
      </c>
      <c r="L661">
        <v>13.2557624762683</v>
      </c>
      <c r="M661">
        <v>13.3398509415667</v>
      </c>
      <c r="N661">
        <v>13.0321285519582</v>
      </c>
      <c r="O661">
        <v>13.156498076304301</v>
      </c>
      <c r="P661">
        <v>-0.13621242490454899</v>
      </c>
      <c r="Q661">
        <v>-0.72520449534861298</v>
      </c>
      <c r="R661">
        <v>0.452779645539514</v>
      </c>
      <c r="S661">
        <v>13.3765983619419</v>
      </c>
      <c r="T661">
        <v>-0.48607108811647398</v>
      </c>
      <c r="U661">
        <v>-6.7598576549495499</v>
      </c>
      <c r="V661">
        <v>0.632815498979174</v>
      </c>
      <c r="W661">
        <v>0.97279262440453396</v>
      </c>
      <c r="X661">
        <v>0</v>
      </c>
      <c r="Y661">
        <v>0</v>
      </c>
    </row>
    <row r="662" spans="1:25" x14ac:dyDescent="0.2">
      <c r="A662" t="s">
        <v>2458</v>
      </c>
      <c r="B662" t="s">
        <v>2459</v>
      </c>
      <c r="C662" t="s">
        <v>2460</v>
      </c>
      <c r="D662" t="s">
        <v>2461</v>
      </c>
      <c r="E662" t="s">
        <v>2459</v>
      </c>
      <c r="F662" t="s">
        <v>28</v>
      </c>
      <c r="G662" t="s">
        <v>2459</v>
      </c>
      <c r="H662" t="str">
        <f>"tag-153"</f>
        <v>tag-153</v>
      </c>
      <c r="I662" t="s">
        <v>2461</v>
      </c>
      <c r="J662">
        <v>12.236531524980601</v>
      </c>
      <c r="K662">
        <v>11.7398447286068</v>
      </c>
      <c r="L662">
        <v>11.7652289216866</v>
      </c>
      <c r="M662">
        <v>10.8776262586741</v>
      </c>
      <c r="N662">
        <v>11.4815412114234</v>
      </c>
      <c r="O662">
        <v>10.6107285562549</v>
      </c>
      <c r="P662">
        <v>-0.92390304964050296</v>
      </c>
      <c r="Q662">
        <v>-1.40788403259576</v>
      </c>
      <c r="R662">
        <v>-0.43992206668524397</v>
      </c>
      <c r="S662">
        <v>11.9927563920099</v>
      </c>
      <c r="T662">
        <v>-4.0972267188333102</v>
      </c>
      <c r="U662">
        <v>-1.07508687740158</v>
      </c>
      <c r="V662">
        <v>1.1041809426524901E-3</v>
      </c>
      <c r="W662">
        <v>3.3406492519522497E-2</v>
      </c>
      <c r="X662">
        <v>0</v>
      </c>
      <c r="Y662">
        <v>0</v>
      </c>
    </row>
    <row r="663" spans="1:25" x14ac:dyDescent="0.2">
      <c r="A663" t="s">
        <v>2462</v>
      </c>
      <c r="B663" t="s">
        <v>2463</v>
      </c>
      <c r="C663" t="s">
        <v>2464</v>
      </c>
      <c r="D663" t="s">
        <v>2388</v>
      </c>
      <c r="E663" t="s">
        <v>2463</v>
      </c>
      <c r="F663" t="s">
        <v>28</v>
      </c>
      <c r="G663" t="s">
        <v>2463</v>
      </c>
      <c r="H663" t="str">
        <f>"gon-14"</f>
        <v>gon-14</v>
      </c>
      <c r="I663" t="s">
        <v>2388</v>
      </c>
      <c r="J663" t="s">
        <v>29</v>
      </c>
      <c r="K663" t="s">
        <v>29</v>
      </c>
      <c r="L663" t="s">
        <v>29</v>
      </c>
      <c r="M663" t="s">
        <v>29</v>
      </c>
      <c r="N663" t="s">
        <v>29</v>
      </c>
      <c r="O663" t="s">
        <v>29</v>
      </c>
      <c r="P663" t="s">
        <v>29</v>
      </c>
      <c r="Q663" t="s">
        <v>29</v>
      </c>
      <c r="R663" t="s">
        <v>29</v>
      </c>
      <c r="S663">
        <v>11.6431309786861</v>
      </c>
      <c r="T663" t="s">
        <v>29</v>
      </c>
      <c r="U663" t="s">
        <v>29</v>
      </c>
      <c r="V663" t="s">
        <v>29</v>
      </c>
      <c r="W663" t="s">
        <v>29</v>
      </c>
      <c r="X663" t="s">
        <v>29</v>
      </c>
      <c r="Y663" t="s">
        <v>29</v>
      </c>
    </row>
    <row r="664" spans="1:25" x14ac:dyDescent="0.2">
      <c r="A664" t="s">
        <v>2465</v>
      </c>
      <c r="B664" t="s">
        <v>2466</v>
      </c>
      <c r="C664" t="s">
        <v>2467</v>
      </c>
      <c r="D664" t="s">
        <v>1866</v>
      </c>
      <c r="E664" t="s">
        <v>2466</v>
      </c>
      <c r="F664" t="s">
        <v>28</v>
      </c>
      <c r="G664" t="s">
        <v>2466</v>
      </c>
      <c r="H664" t="str">
        <f>"pmp-5"</f>
        <v>pmp-5</v>
      </c>
      <c r="I664" t="s">
        <v>1866</v>
      </c>
      <c r="J664">
        <v>17.288264955517501</v>
      </c>
      <c r="K664">
        <v>17.086346484657</v>
      </c>
      <c r="L664">
        <v>17.048472275201799</v>
      </c>
      <c r="M664">
        <v>16.559542484544799</v>
      </c>
      <c r="N664">
        <v>16.3827328088855</v>
      </c>
      <c r="O664">
        <v>16.728919274567598</v>
      </c>
      <c r="P664">
        <v>-0.58396304912614705</v>
      </c>
      <c r="Q664">
        <v>-1.0395437046368601</v>
      </c>
      <c r="R664">
        <v>-0.12838239361543699</v>
      </c>
      <c r="S664">
        <v>16.784625033620699</v>
      </c>
      <c r="T664">
        <v>-2.6940931369210701</v>
      </c>
      <c r="U664">
        <v>-3.7054004756783399</v>
      </c>
      <c r="V664">
        <v>1.4888763474114299E-2</v>
      </c>
      <c r="W664">
        <v>0.236988506661205</v>
      </c>
      <c r="X664">
        <v>0</v>
      </c>
      <c r="Y664">
        <v>0</v>
      </c>
    </row>
    <row r="665" spans="1:25" x14ac:dyDescent="0.2">
      <c r="A665" t="s">
        <v>2468</v>
      </c>
      <c r="B665" t="s">
        <v>2469</v>
      </c>
      <c r="C665" t="s">
        <v>2470</v>
      </c>
      <c r="D665" t="s">
        <v>2471</v>
      </c>
      <c r="E665" t="s">
        <v>2469</v>
      </c>
      <c r="F665" t="s">
        <v>28</v>
      </c>
      <c r="G665" t="s">
        <v>2469</v>
      </c>
      <c r="H665" t="str">
        <f>"tns-1"</f>
        <v>tns-1</v>
      </c>
      <c r="I665" t="s">
        <v>2471</v>
      </c>
      <c r="J665">
        <v>15.9169626048028</v>
      </c>
      <c r="K665">
        <v>16.502316771995901</v>
      </c>
      <c r="L665">
        <v>16.419002041451598</v>
      </c>
      <c r="M665">
        <v>16.1052761452721</v>
      </c>
      <c r="N665">
        <v>15.984686393411</v>
      </c>
      <c r="O665">
        <v>16.156181218833201</v>
      </c>
      <c r="P665">
        <v>-0.19737922024468399</v>
      </c>
      <c r="Q665">
        <v>-0.629526385166566</v>
      </c>
      <c r="R665">
        <v>0.234767944677197</v>
      </c>
      <c r="S665">
        <v>16.238116121404701</v>
      </c>
      <c r="T665">
        <v>-0.95998019621590902</v>
      </c>
      <c r="U665">
        <v>-6.4130873750588302</v>
      </c>
      <c r="V665">
        <v>0.34985742457109498</v>
      </c>
      <c r="W665">
        <v>0.87950242192597095</v>
      </c>
      <c r="X665">
        <v>0</v>
      </c>
      <c r="Y665">
        <v>0</v>
      </c>
    </row>
    <row r="666" spans="1:25" x14ac:dyDescent="0.2">
      <c r="A666" t="s">
        <v>2472</v>
      </c>
      <c r="B666" t="s">
        <v>2473</v>
      </c>
      <c r="C666" t="s">
        <v>14303</v>
      </c>
      <c r="D666" t="s">
        <v>2474</v>
      </c>
      <c r="E666" t="s">
        <v>2473</v>
      </c>
      <c r="F666" t="s">
        <v>28</v>
      </c>
      <c r="G666" t="s">
        <v>2473</v>
      </c>
      <c r="H666" t="str">
        <f>"F46H5.7"</f>
        <v>F46H5.7</v>
      </c>
      <c r="I666" t="s">
        <v>2474</v>
      </c>
      <c r="J666">
        <v>14.265900068559899</v>
      </c>
      <c r="K666">
        <v>14.348863737617</v>
      </c>
      <c r="L666">
        <v>13.5252274866652</v>
      </c>
      <c r="M666">
        <v>14.848722252591999</v>
      </c>
      <c r="N666">
        <v>15.1506893827497</v>
      </c>
      <c r="O666">
        <v>14.880165360215999</v>
      </c>
      <c r="P666">
        <v>0.91319523423854898</v>
      </c>
      <c r="Q666">
        <v>2.82460386234272E-2</v>
      </c>
      <c r="R666">
        <v>1.79814442985367</v>
      </c>
      <c r="S666">
        <v>14.5724435608572</v>
      </c>
      <c r="T666">
        <v>2.1688914196817399</v>
      </c>
      <c r="U666">
        <v>-4.7031207421575001</v>
      </c>
      <c r="V666">
        <v>4.3813645851861399E-2</v>
      </c>
      <c r="W666">
        <v>0.45850281534833798</v>
      </c>
      <c r="X666">
        <v>0</v>
      </c>
      <c r="Y666">
        <v>0</v>
      </c>
    </row>
    <row r="667" spans="1:25" x14ac:dyDescent="0.2">
      <c r="A667" t="s">
        <v>2475</v>
      </c>
      <c r="B667" t="s">
        <v>2476</v>
      </c>
      <c r="C667" t="s">
        <v>14304</v>
      </c>
      <c r="D667" t="s">
        <v>2477</v>
      </c>
      <c r="E667" t="s">
        <v>2476</v>
      </c>
      <c r="F667" t="s">
        <v>28</v>
      </c>
      <c r="G667" t="s">
        <v>2476</v>
      </c>
      <c r="H667" t="str">
        <f>"F53A10.2"</f>
        <v>F53A10.2</v>
      </c>
      <c r="I667" t="s">
        <v>2477</v>
      </c>
      <c r="J667">
        <v>11.404036460330101</v>
      </c>
      <c r="K667">
        <v>11.1478869317875</v>
      </c>
      <c r="L667" t="s">
        <v>29</v>
      </c>
      <c r="M667">
        <v>10.7458867729781</v>
      </c>
      <c r="N667" t="s">
        <v>29</v>
      </c>
      <c r="O667" t="s">
        <v>29</v>
      </c>
      <c r="P667">
        <v>-0.53007492308069903</v>
      </c>
      <c r="Q667">
        <v>-1.42392991051337</v>
      </c>
      <c r="R667">
        <v>0.36378006435197102</v>
      </c>
      <c r="S667">
        <v>10.926695908469901</v>
      </c>
      <c r="T667">
        <v>-1.3067661754509201</v>
      </c>
      <c r="U667">
        <v>-5.6387665187092697</v>
      </c>
      <c r="V667">
        <v>0.21820204784382699</v>
      </c>
      <c r="W667">
        <v>0.79508962856638699</v>
      </c>
      <c r="X667">
        <v>0</v>
      </c>
      <c r="Y667">
        <v>0</v>
      </c>
    </row>
    <row r="668" spans="1:25" x14ac:dyDescent="0.2">
      <c r="A668" t="s">
        <v>2478</v>
      </c>
      <c r="B668" t="s">
        <v>2479</v>
      </c>
      <c r="C668" t="s">
        <v>2480</v>
      </c>
      <c r="D668" t="s">
        <v>2481</v>
      </c>
      <c r="E668" t="s">
        <v>2479</v>
      </c>
      <c r="F668" t="s">
        <v>28</v>
      </c>
      <c r="G668" t="s">
        <v>2479</v>
      </c>
      <c r="H668" t="str">
        <f>"ubxn-3"</f>
        <v>ubxn-3</v>
      </c>
      <c r="I668" t="s">
        <v>2481</v>
      </c>
      <c r="J668">
        <v>13.035609724678499</v>
      </c>
      <c r="K668">
        <v>12.9134151178612</v>
      </c>
      <c r="L668">
        <v>12.7140132909324</v>
      </c>
      <c r="M668">
        <v>12.6904909511679</v>
      </c>
      <c r="N668">
        <v>12.773338098664301</v>
      </c>
      <c r="O668">
        <v>13.220201024004201</v>
      </c>
      <c r="P668">
        <v>6.9973134547467496E-3</v>
      </c>
      <c r="Q668">
        <v>-0.40876310625592399</v>
      </c>
      <c r="R668">
        <v>0.42275773316541798</v>
      </c>
      <c r="S668">
        <v>13.0491559672314</v>
      </c>
      <c r="T668">
        <v>3.5894655769866002E-2</v>
      </c>
      <c r="U668">
        <v>-6.8818092279352303</v>
      </c>
      <c r="V668">
        <v>0.97184298851860496</v>
      </c>
      <c r="W668">
        <v>0.99968702248720698</v>
      </c>
      <c r="X668">
        <v>0</v>
      </c>
      <c r="Y668">
        <v>0</v>
      </c>
    </row>
    <row r="669" spans="1:25" x14ac:dyDescent="0.2">
      <c r="A669" t="s">
        <v>2482</v>
      </c>
      <c r="B669" t="s">
        <v>2483</v>
      </c>
      <c r="C669" t="s">
        <v>14305</v>
      </c>
      <c r="D669" t="s">
        <v>130</v>
      </c>
      <c r="E669" t="s">
        <v>2483</v>
      </c>
      <c r="F669" t="s">
        <v>28</v>
      </c>
      <c r="G669" t="s">
        <v>2483</v>
      </c>
      <c r="H669" t="str">
        <f>"Y14H12B.1"</f>
        <v>Y14H12B.1</v>
      </c>
      <c r="I669" t="s">
        <v>130</v>
      </c>
      <c r="J669" t="s">
        <v>29</v>
      </c>
      <c r="K669" t="s">
        <v>29</v>
      </c>
      <c r="L669" t="s">
        <v>29</v>
      </c>
      <c r="M669" t="s">
        <v>29</v>
      </c>
      <c r="N669">
        <v>12.916292671755301</v>
      </c>
      <c r="O669" t="s">
        <v>29</v>
      </c>
      <c r="P669" t="s">
        <v>29</v>
      </c>
      <c r="Q669" t="s">
        <v>29</v>
      </c>
      <c r="R669" t="s">
        <v>29</v>
      </c>
      <c r="S669">
        <v>13.4925330212748</v>
      </c>
      <c r="T669" t="s">
        <v>29</v>
      </c>
      <c r="U669" t="s">
        <v>29</v>
      </c>
      <c r="V669" t="s">
        <v>29</v>
      </c>
      <c r="W669" t="s">
        <v>29</v>
      </c>
      <c r="X669" t="s">
        <v>29</v>
      </c>
      <c r="Y669" t="s">
        <v>29</v>
      </c>
    </row>
    <row r="670" spans="1:25" x14ac:dyDescent="0.2">
      <c r="A670" t="s">
        <v>2484</v>
      </c>
      <c r="B670" t="s">
        <v>2485</v>
      </c>
      <c r="C670" t="s">
        <v>2486</v>
      </c>
      <c r="D670" t="s">
        <v>603</v>
      </c>
      <c r="E670" t="s">
        <v>2485</v>
      </c>
      <c r="F670" t="s">
        <v>28</v>
      </c>
      <c r="G670" t="s">
        <v>2485</v>
      </c>
      <c r="H670" t="str">
        <f>"mex-3"</f>
        <v>mex-3</v>
      </c>
      <c r="I670" t="s">
        <v>603</v>
      </c>
      <c r="J670">
        <v>12.3147512625427</v>
      </c>
      <c r="K670">
        <v>12.1765696108229</v>
      </c>
      <c r="L670">
        <v>13.0974362860547</v>
      </c>
      <c r="M670">
        <v>12.641255449308799</v>
      </c>
      <c r="N670">
        <v>13.3150803236417</v>
      </c>
      <c r="O670">
        <v>12.1062041991682</v>
      </c>
      <c r="P670">
        <v>0.15792760423280899</v>
      </c>
      <c r="Q670">
        <v>-0.65699490908587599</v>
      </c>
      <c r="R670">
        <v>0.97285011755149398</v>
      </c>
      <c r="S670">
        <v>13.3805662383613</v>
      </c>
      <c r="T670">
        <v>0.409064455529763</v>
      </c>
      <c r="U670">
        <v>-6.7952200656296702</v>
      </c>
      <c r="V670">
        <v>0.68763117932835804</v>
      </c>
      <c r="W670">
        <v>0.98642420921484297</v>
      </c>
      <c r="X670">
        <v>0</v>
      </c>
      <c r="Y670">
        <v>0</v>
      </c>
    </row>
    <row r="671" spans="1:25" x14ac:dyDescent="0.2">
      <c r="A671" t="s">
        <v>2487</v>
      </c>
      <c r="B671" t="s">
        <v>2488</v>
      </c>
      <c r="C671" t="s">
        <v>14306</v>
      </c>
      <c r="D671" t="s">
        <v>2489</v>
      </c>
      <c r="E671" t="s">
        <v>2488</v>
      </c>
      <c r="F671" t="s">
        <v>28</v>
      </c>
      <c r="G671" t="s">
        <v>2488</v>
      </c>
      <c r="H671" t="str">
        <f>"F56B3.4"</f>
        <v>F56B3.4</v>
      </c>
      <c r="I671" t="s">
        <v>2489</v>
      </c>
      <c r="J671">
        <v>13.461511313122701</v>
      </c>
      <c r="K671">
        <v>12.9543738790875</v>
      </c>
      <c r="L671">
        <v>12.9353630124854</v>
      </c>
      <c r="M671">
        <v>13.8054439386535</v>
      </c>
      <c r="N671">
        <v>13.810281526353</v>
      </c>
      <c r="O671">
        <v>13.6771239056252</v>
      </c>
      <c r="P671">
        <v>0.64720038864532703</v>
      </c>
      <c r="Q671">
        <v>8.4476334165053804E-2</v>
      </c>
      <c r="R671">
        <v>1.2099244431256</v>
      </c>
      <c r="S671">
        <v>13.273845265492501</v>
      </c>
      <c r="T671">
        <v>2.4394550443254301</v>
      </c>
      <c r="U671">
        <v>-4.2286357182610796</v>
      </c>
      <c r="V671">
        <v>2.6817078212382502E-2</v>
      </c>
      <c r="W671">
        <v>0.35645685773147801</v>
      </c>
      <c r="X671">
        <v>0</v>
      </c>
      <c r="Y671">
        <v>0</v>
      </c>
    </row>
    <row r="672" spans="1:25" x14ac:dyDescent="0.2">
      <c r="A672" t="s">
        <v>2490</v>
      </c>
      <c r="B672" t="s">
        <v>2491</v>
      </c>
      <c r="C672" t="s">
        <v>2492</v>
      </c>
      <c r="D672" t="s">
        <v>2493</v>
      </c>
      <c r="E672" t="s">
        <v>2491</v>
      </c>
      <c r="F672" t="s">
        <v>28</v>
      </c>
      <c r="G672" t="s">
        <v>2491</v>
      </c>
      <c r="H672" t="str">
        <f>"gck-1"</f>
        <v>gck-1</v>
      </c>
      <c r="I672" t="s">
        <v>2493</v>
      </c>
      <c r="J672">
        <v>12.9082222933068</v>
      </c>
      <c r="K672">
        <v>13.295168140867499</v>
      </c>
      <c r="L672">
        <v>13.333898301237699</v>
      </c>
      <c r="M672">
        <v>12.5636778136607</v>
      </c>
      <c r="N672">
        <v>13.1258284198605</v>
      </c>
      <c r="O672">
        <v>13.201825506776</v>
      </c>
      <c r="P672">
        <v>-0.215318998371583</v>
      </c>
      <c r="Q672">
        <v>-0.77318203541257902</v>
      </c>
      <c r="R672">
        <v>0.34254403866941402</v>
      </c>
      <c r="S672">
        <v>13.3213978744846</v>
      </c>
      <c r="T672">
        <v>-0.81471324575714799</v>
      </c>
      <c r="U672">
        <v>-6.5413197608562399</v>
      </c>
      <c r="V672">
        <v>0.42657204202406901</v>
      </c>
      <c r="W672">
        <v>0.91512503332874395</v>
      </c>
      <c r="X672">
        <v>0</v>
      </c>
      <c r="Y672">
        <v>0</v>
      </c>
    </row>
    <row r="673" spans="1:25" x14ac:dyDescent="0.2">
      <c r="A673" t="s">
        <v>2494</v>
      </c>
      <c r="B673" t="s">
        <v>2495</v>
      </c>
      <c r="C673" t="s">
        <v>14307</v>
      </c>
      <c r="D673" t="s">
        <v>2496</v>
      </c>
      <c r="E673" t="s">
        <v>2495</v>
      </c>
      <c r="F673" t="s">
        <v>28</v>
      </c>
      <c r="G673" t="s">
        <v>2495</v>
      </c>
      <c r="H673" t="str">
        <f>"H14E04.2"</f>
        <v>H14E04.2</v>
      </c>
      <c r="I673" t="s">
        <v>2496</v>
      </c>
      <c r="J673">
        <v>12.2916587230833</v>
      </c>
      <c r="K673">
        <v>11.954915796608301</v>
      </c>
      <c r="L673">
        <v>12.4181164474405</v>
      </c>
      <c r="M673">
        <v>12.3457799224156</v>
      </c>
      <c r="N673">
        <v>12.3109726320371</v>
      </c>
      <c r="O673">
        <v>12.143385980472701</v>
      </c>
      <c r="P673">
        <v>4.5149189264478203E-2</v>
      </c>
      <c r="Q673">
        <v>-0.433302654493541</v>
      </c>
      <c r="R673">
        <v>0.52360103302249805</v>
      </c>
      <c r="S673">
        <v>12.3823395606167</v>
      </c>
      <c r="T673">
        <v>0.20015260805191001</v>
      </c>
      <c r="U673">
        <v>-6.8614451358156803</v>
      </c>
      <c r="V673">
        <v>0.84389958725901504</v>
      </c>
      <c r="W673">
        <v>0.99370971747667503</v>
      </c>
      <c r="X673">
        <v>0</v>
      </c>
      <c r="Y673">
        <v>0</v>
      </c>
    </row>
    <row r="674" spans="1:25" x14ac:dyDescent="0.2">
      <c r="A674" t="s">
        <v>2497</v>
      </c>
      <c r="B674" t="s">
        <v>2498</v>
      </c>
      <c r="C674" t="s">
        <v>14308</v>
      </c>
      <c r="D674" t="s">
        <v>93</v>
      </c>
      <c r="E674" t="s">
        <v>2498</v>
      </c>
      <c r="F674" t="s">
        <v>28</v>
      </c>
      <c r="G674" t="s">
        <v>2498</v>
      </c>
      <c r="H674" t="str">
        <f>"H05C05.1"</f>
        <v>H05C05.1</v>
      </c>
      <c r="I674" t="s">
        <v>93</v>
      </c>
      <c r="J674">
        <v>16.487008051711999</v>
      </c>
      <c r="K674">
        <v>16.621358623173101</v>
      </c>
      <c r="L674">
        <v>16.7704967480053</v>
      </c>
      <c r="M674">
        <v>16.450136513947601</v>
      </c>
      <c r="N674">
        <v>16.523689600106</v>
      </c>
      <c r="O674">
        <v>16.3777875893154</v>
      </c>
      <c r="P674">
        <v>-0.17574990650712899</v>
      </c>
      <c r="Q674">
        <v>-0.65926533680622301</v>
      </c>
      <c r="R674">
        <v>0.30776552379196598</v>
      </c>
      <c r="S674">
        <v>16.710897569667701</v>
      </c>
      <c r="T674">
        <v>-0.76397171135853703</v>
      </c>
      <c r="U674">
        <v>-6.5824498415731796</v>
      </c>
      <c r="V674">
        <v>0.45484001304326599</v>
      </c>
      <c r="W674">
        <v>0.92582104169957002</v>
      </c>
      <c r="X674">
        <v>0</v>
      </c>
      <c r="Y674">
        <v>0</v>
      </c>
    </row>
    <row r="675" spans="1:25" x14ac:dyDescent="0.2">
      <c r="A675" t="s">
        <v>2499</v>
      </c>
      <c r="B675" t="s">
        <v>2500</v>
      </c>
      <c r="C675" t="s">
        <v>2501</v>
      </c>
      <c r="D675" t="s">
        <v>2502</v>
      </c>
      <c r="E675" t="s">
        <v>2500</v>
      </c>
      <c r="F675" t="s">
        <v>28</v>
      </c>
      <c r="G675" t="s">
        <v>2500</v>
      </c>
      <c r="H675" t="str">
        <f>"emc-1"</f>
        <v>emc-1</v>
      </c>
      <c r="I675" t="s">
        <v>2502</v>
      </c>
      <c r="J675">
        <v>14.497776864263299</v>
      </c>
      <c r="K675">
        <v>14.377996137183001</v>
      </c>
      <c r="L675">
        <v>14.1454522113947</v>
      </c>
      <c r="M675">
        <v>13.967387126998601</v>
      </c>
      <c r="N675">
        <v>13.8551295777107</v>
      </c>
      <c r="O675">
        <v>14.2806972725046</v>
      </c>
      <c r="P675">
        <v>-0.30600374520902601</v>
      </c>
      <c r="Q675">
        <v>-0.895281752632475</v>
      </c>
      <c r="R675">
        <v>0.28327426221442398</v>
      </c>
      <c r="S675">
        <v>13.633342330467601</v>
      </c>
      <c r="T675">
        <v>-1.0914378787074599</v>
      </c>
      <c r="U675">
        <v>-6.2801158681108502</v>
      </c>
      <c r="V675">
        <v>0.28955789606271898</v>
      </c>
      <c r="W675">
        <v>0.856190392347986</v>
      </c>
      <c r="X675">
        <v>0</v>
      </c>
      <c r="Y675">
        <v>0</v>
      </c>
    </row>
    <row r="676" spans="1:25" x14ac:dyDescent="0.2">
      <c r="A676" t="s">
        <v>2503</v>
      </c>
      <c r="B676" t="s">
        <v>2504</v>
      </c>
      <c r="C676" t="s">
        <v>2505</v>
      </c>
      <c r="D676" t="s">
        <v>534</v>
      </c>
      <c r="E676" t="s">
        <v>2504</v>
      </c>
      <c r="F676" t="s">
        <v>28</v>
      </c>
      <c r="G676" t="s">
        <v>2504</v>
      </c>
      <c r="H676" t="str">
        <f>"wdr-62"</f>
        <v>wdr-62</v>
      </c>
      <c r="I676" t="s">
        <v>534</v>
      </c>
      <c r="J676" t="s">
        <v>29</v>
      </c>
      <c r="K676">
        <v>10.499841664551401</v>
      </c>
      <c r="L676">
        <v>10.244368524957</v>
      </c>
      <c r="M676" t="s">
        <v>29</v>
      </c>
      <c r="N676" t="s">
        <v>29</v>
      </c>
      <c r="O676" t="s">
        <v>29</v>
      </c>
      <c r="P676" t="s">
        <v>29</v>
      </c>
      <c r="Q676" t="s">
        <v>29</v>
      </c>
      <c r="R676" t="s">
        <v>29</v>
      </c>
      <c r="S676">
        <v>10.2300857561074</v>
      </c>
      <c r="T676" t="s">
        <v>29</v>
      </c>
      <c r="U676" t="s">
        <v>29</v>
      </c>
      <c r="V676" t="s">
        <v>29</v>
      </c>
      <c r="W676" t="s">
        <v>29</v>
      </c>
      <c r="X676" t="s">
        <v>29</v>
      </c>
      <c r="Y676" t="s">
        <v>29</v>
      </c>
    </row>
    <row r="677" spans="1:25" x14ac:dyDescent="0.2">
      <c r="A677" t="s">
        <v>2506</v>
      </c>
      <c r="B677" t="s">
        <v>2507</v>
      </c>
      <c r="C677" t="s">
        <v>2508</v>
      </c>
      <c r="D677" t="s">
        <v>93</v>
      </c>
      <c r="E677" t="s">
        <v>2507</v>
      </c>
      <c r="F677" t="s">
        <v>28</v>
      </c>
      <c r="G677" t="s">
        <v>2507</v>
      </c>
      <c r="H677" t="str">
        <f>"hrpa-2"</f>
        <v>hrpa-2</v>
      </c>
      <c r="I677" t="s">
        <v>93</v>
      </c>
      <c r="J677" t="s">
        <v>29</v>
      </c>
      <c r="K677" t="s">
        <v>29</v>
      </c>
      <c r="L677" t="s">
        <v>29</v>
      </c>
      <c r="M677" t="s">
        <v>29</v>
      </c>
      <c r="N677" t="s">
        <v>29</v>
      </c>
      <c r="O677" t="s">
        <v>29</v>
      </c>
      <c r="P677" t="s">
        <v>29</v>
      </c>
      <c r="Q677" t="s">
        <v>29</v>
      </c>
      <c r="R677" t="s">
        <v>29</v>
      </c>
      <c r="S677">
        <v>10.654036370191101</v>
      </c>
      <c r="T677" t="s">
        <v>29</v>
      </c>
      <c r="U677" t="s">
        <v>29</v>
      </c>
      <c r="V677" t="s">
        <v>29</v>
      </c>
      <c r="W677" t="s">
        <v>29</v>
      </c>
      <c r="X677" t="s">
        <v>29</v>
      </c>
      <c r="Y677" t="s">
        <v>29</v>
      </c>
    </row>
    <row r="678" spans="1:25" x14ac:dyDescent="0.2">
      <c r="A678" t="s">
        <v>2509</v>
      </c>
      <c r="B678" t="s">
        <v>2510</v>
      </c>
      <c r="C678" t="s">
        <v>2511</v>
      </c>
      <c r="D678" t="s">
        <v>319</v>
      </c>
      <c r="E678" t="s">
        <v>2510</v>
      </c>
      <c r="F678" t="s">
        <v>28</v>
      </c>
      <c r="G678" t="s">
        <v>2510</v>
      </c>
      <c r="H678" t="str">
        <f>"mct-4"</f>
        <v>mct-4</v>
      </c>
      <c r="I678" t="s">
        <v>319</v>
      </c>
      <c r="J678">
        <v>14.650778926955301</v>
      </c>
      <c r="K678">
        <v>14.8443101766828</v>
      </c>
      <c r="L678">
        <v>14.8732296307792</v>
      </c>
      <c r="M678">
        <v>14.967676737873299</v>
      </c>
      <c r="N678">
        <v>15.083999963007299</v>
      </c>
      <c r="O678">
        <v>14.777768850246201</v>
      </c>
      <c r="P678">
        <v>0.153708938903172</v>
      </c>
      <c r="Q678">
        <v>-0.23770770953675299</v>
      </c>
      <c r="R678">
        <v>0.54512558734309702</v>
      </c>
      <c r="S678">
        <v>14.9749129847074</v>
      </c>
      <c r="T678">
        <v>0.82891470430929404</v>
      </c>
      <c r="U678">
        <v>-6.5295605945466804</v>
      </c>
      <c r="V678">
        <v>0.41870996990541398</v>
      </c>
      <c r="W678">
        <v>0.91512503332874395</v>
      </c>
      <c r="X678">
        <v>0</v>
      </c>
      <c r="Y678">
        <v>0</v>
      </c>
    </row>
    <row r="679" spans="1:25" x14ac:dyDescent="0.2">
      <c r="A679" t="s">
        <v>2512</v>
      </c>
      <c r="B679" t="s">
        <v>2513</v>
      </c>
      <c r="C679" t="s">
        <v>2514</v>
      </c>
      <c r="D679" t="s">
        <v>2515</v>
      </c>
      <c r="E679" t="s">
        <v>2513</v>
      </c>
      <c r="F679" t="s">
        <v>28</v>
      </c>
      <c r="G679" t="s">
        <v>2513</v>
      </c>
      <c r="H679" t="str">
        <f>"gei-4"</f>
        <v>gei-4</v>
      </c>
      <c r="I679" t="s">
        <v>2515</v>
      </c>
      <c r="J679">
        <v>12.631410749339601</v>
      </c>
      <c r="K679">
        <v>13.509243204571399</v>
      </c>
      <c r="L679">
        <v>13.468303006065399</v>
      </c>
      <c r="M679">
        <v>12.8174415858765</v>
      </c>
      <c r="N679">
        <v>12.931254161976501</v>
      </c>
      <c r="O679">
        <v>13.168696094907</v>
      </c>
      <c r="P679">
        <v>-0.230521705738823</v>
      </c>
      <c r="Q679">
        <v>-0.730105825745754</v>
      </c>
      <c r="R679">
        <v>0.26906241426810701</v>
      </c>
      <c r="S679">
        <v>13.6610830868287</v>
      </c>
      <c r="T679">
        <v>-0.96983021937911595</v>
      </c>
      <c r="U679">
        <v>-6.4036516344352004</v>
      </c>
      <c r="V679">
        <v>0.34505776784172199</v>
      </c>
      <c r="W679">
        <v>0.87901395057154197</v>
      </c>
      <c r="X679">
        <v>0</v>
      </c>
      <c r="Y679">
        <v>0</v>
      </c>
    </row>
    <row r="680" spans="1:25" x14ac:dyDescent="0.2">
      <c r="A680" t="s">
        <v>2516</v>
      </c>
      <c r="B680" t="s">
        <v>2517</v>
      </c>
      <c r="C680" t="s">
        <v>14161</v>
      </c>
      <c r="D680" t="s">
        <v>2518</v>
      </c>
      <c r="E680" t="s">
        <v>2517</v>
      </c>
      <c r="F680" t="s">
        <v>28</v>
      </c>
      <c r="G680" t="s">
        <v>2517</v>
      </c>
      <c r="H680" t="str">
        <f>"M01H9.3"</f>
        <v>M01H9.3</v>
      </c>
      <c r="I680" t="s">
        <v>2518</v>
      </c>
      <c r="J680" t="s">
        <v>29</v>
      </c>
      <c r="K680" t="s">
        <v>29</v>
      </c>
      <c r="L680" t="s">
        <v>29</v>
      </c>
      <c r="M680">
        <v>16.283879849001199</v>
      </c>
      <c r="N680">
        <v>16.027675982681298</v>
      </c>
      <c r="O680">
        <v>16.830239534060599</v>
      </c>
      <c r="P680" t="s">
        <v>29</v>
      </c>
      <c r="Q680" t="s">
        <v>29</v>
      </c>
      <c r="R680" t="s">
        <v>29</v>
      </c>
      <c r="S680">
        <v>15.559359198075001</v>
      </c>
      <c r="T680" t="s">
        <v>29</v>
      </c>
      <c r="U680" t="s">
        <v>29</v>
      </c>
      <c r="V680" t="s">
        <v>29</v>
      </c>
      <c r="W680" t="s">
        <v>29</v>
      </c>
      <c r="X680" t="s">
        <v>29</v>
      </c>
      <c r="Y680" t="s">
        <v>29</v>
      </c>
    </row>
    <row r="681" spans="1:25" x14ac:dyDescent="0.2">
      <c r="A681" t="s">
        <v>2519</v>
      </c>
      <c r="B681" t="s">
        <v>2520</v>
      </c>
      <c r="C681" t="s">
        <v>14309</v>
      </c>
      <c r="D681" t="s">
        <v>666</v>
      </c>
      <c r="E681" t="s">
        <v>2520</v>
      </c>
      <c r="F681" t="s">
        <v>28</v>
      </c>
      <c r="G681" t="s">
        <v>2520</v>
      </c>
      <c r="H681" t="str">
        <f>"ZK180.5"</f>
        <v>ZK180.5</v>
      </c>
      <c r="I681" t="s">
        <v>666</v>
      </c>
      <c r="J681" t="s">
        <v>29</v>
      </c>
      <c r="K681" t="s">
        <v>29</v>
      </c>
      <c r="L681">
        <v>11.636905023415901</v>
      </c>
      <c r="M681">
        <v>11.1922535332258</v>
      </c>
      <c r="N681" t="s">
        <v>29</v>
      </c>
      <c r="O681">
        <v>10.225661309712899</v>
      </c>
      <c r="P681">
        <v>-0.927947601946576</v>
      </c>
      <c r="Q681">
        <v>-2.4415100402871399</v>
      </c>
      <c r="R681">
        <v>0.58561483639399203</v>
      </c>
      <c r="S681">
        <v>10.7250128272807</v>
      </c>
      <c r="T681">
        <v>-1.50667019036515</v>
      </c>
      <c r="U681">
        <v>-5.3906406310291803</v>
      </c>
      <c r="V681">
        <v>0.183477748503133</v>
      </c>
      <c r="W681">
        <v>0.78295732499061499</v>
      </c>
      <c r="X681">
        <v>0</v>
      </c>
      <c r="Y681">
        <v>0</v>
      </c>
    </row>
    <row r="682" spans="1:25" x14ac:dyDescent="0.2">
      <c r="A682" t="s">
        <v>2521</v>
      </c>
      <c r="B682" t="s">
        <v>2522</v>
      </c>
      <c r="C682" t="s">
        <v>2523</v>
      </c>
      <c r="D682" t="s">
        <v>2524</v>
      </c>
      <c r="E682" t="s">
        <v>2522</v>
      </c>
      <c r="F682" t="s">
        <v>28</v>
      </c>
      <c r="G682" t="s">
        <v>2522</v>
      </c>
      <c r="H682" t="str">
        <f>"wapl-1"</f>
        <v>wapl-1</v>
      </c>
      <c r="I682" t="s">
        <v>2524</v>
      </c>
      <c r="J682">
        <v>14.2126431041711</v>
      </c>
      <c r="K682">
        <v>13.8629424779619</v>
      </c>
      <c r="L682">
        <v>13.9009953092394</v>
      </c>
      <c r="M682">
        <v>14.0384842638697</v>
      </c>
      <c r="N682">
        <v>13.795122624442399</v>
      </c>
      <c r="O682">
        <v>14.000460188905601</v>
      </c>
      <c r="P682">
        <v>-4.7504604718245198E-2</v>
      </c>
      <c r="Q682">
        <v>-0.47346574324253898</v>
      </c>
      <c r="R682">
        <v>0.37845653380604799</v>
      </c>
      <c r="S682">
        <v>13.871516222289801</v>
      </c>
      <c r="T682">
        <v>-0.23440034291881101</v>
      </c>
      <c r="U682">
        <v>-6.85382612206645</v>
      </c>
      <c r="V682">
        <v>0.81733511780192303</v>
      </c>
      <c r="W682">
        <v>0.99278624068726296</v>
      </c>
      <c r="X682">
        <v>0</v>
      </c>
      <c r="Y682">
        <v>0</v>
      </c>
    </row>
    <row r="683" spans="1:25" x14ac:dyDescent="0.2">
      <c r="A683" t="s">
        <v>2525</v>
      </c>
      <c r="B683" t="s">
        <v>2526</v>
      </c>
      <c r="C683" t="s">
        <v>14310</v>
      </c>
      <c r="D683" t="s">
        <v>2527</v>
      </c>
      <c r="E683" t="s">
        <v>2526</v>
      </c>
      <c r="F683" t="s">
        <v>28</v>
      </c>
      <c r="G683" t="s">
        <v>2526</v>
      </c>
      <c r="H683" t="str">
        <f>"Y67D8A.2"</f>
        <v>Y67D8A.2</v>
      </c>
      <c r="I683" t="s">
        <v>2527</v>
      </c>
      <c r="J683">
        <v>12.573559682252</v>
      </c>
      <c r="K683">
        <v>12.066183878227299</v>
      </c>
      <c r="L683">
        <v>12.6050993426731</v>
      </c>
      <c r="M683">
        <v>12.9167912065141</v>
      </c>
      <c r="N683">
        <v>12.6359385552548</v>
      </c>
      <c r="O683">
        <v>12.061208718914999</v>
      </c>
      <c r="P683">
        <v>0.12303185917718</v>
      </c>
      <c r="Q683">
        <v>-0.33089405075171902</v>
      </c>
      <c r="R683">
        <v>0.57695776910607899</v>
      </c>
      <c r="S683">
        <v>12.532777561550899</v>
      </c>
      <c r="T683">
        <v>0.57488654440615194</v>
      </c>
      <c r="U683">
        <v>-6.7104577695247798</v>
      </c>
      <c r="V683">
        <v>0.57341592763345295</v>
      </c>
      <c r="W683">
        <v>0.96052030798546795</v>
      </c>
      <c r="X683">
        <v>0</v>
      </c>
      <c r="Y683">
        <v>0</v>
      </c>
    </row>
    <row r="684" spans="1:25" x14ac:dyDescent="0.2">
      <c r="A684" t="s">
        <v>2528</v>
      </c>
      <c r="B684" t="s">
        <v>2529</v>
      </c>
      <c r="C684" t="s">
        <v>2530</v>
      </c>
      <c r="D684" t="s">
        <v>2531</v>
      </c>
      <c r="E684" t="s">
        <v>2529</v>
      </c>
      <c r="F684" t="s">
        <v>28</v>
      </c>
      <c r="G684" t="s">
        <v>2529</v>
      </c>
      <c r="H684" t="str">
        <f>"fnip-2"</f>
        <v>fnip-2</v>
      </c>
      <c r="I684" t="s">
        <v>2531</v>
      </c>
      <c r="J684">
        <v>12.7568947828264</v>
      </c>
      <c r="K684">
        <v>12.9334017189777</v>
      </c>
      <c r="L684">
        <v>12.744961570494301</v>
      </c>
      <c r="M684">
        <v>12.4174475386847</v>
      </c>
      <c r="N684">
        <v>13.043876503223</v>
      </c>
      <c r="O684">
        <v>12.719159944022101</v>
      </c>
      <c r="P684">
        <v>-8.4924695456200197E-2</v>
      </c>
      <c r="Q684">
        <v>-0.58572016764710899</v>
      </c>
      <c r="R684">
        <v>0.41587077673470901</v>
      </c>
      <c r="S684">
        <v>13.348089840836799</v>
      </c>
      <c r="T684">
        <v>-0.35968566881827702</v>
      </c>
      <c r="U684">
        <v>-6.8147201473337597</v>
      </c>
      <c r="V684">
        <v>0.72381636663624604</v>
      </c>
      <c r="W684">
        <v>0.99057748145465696</v>
      </c>
      <c r="X684">
        <v>0</v>
      </c>
      <c r="Y684">
        <v>0</v>
      </c>
    </row>
    <row r="685" spans="1:25" x14ac:dyDescent="0.2">
      <c r="A685" t="s">
        <v>2532</v>
      </c>
      <c r="B685" t="s">
        <v>2533</v>
      </c>
      <c r="C685" t="s">
        <v>14311</v>
      </c>
      <c r="D685" t="s">
        <v>2534</v>
      </c>
      <c r="E685" t="s">
        <v>2533</v>
      </c>
      <c r="F685" t="s">
        <v>28</v>
      </c>
      <c r="G685" t="s">
        <v>2533</v>
      </c>
      <c r="H685" t="str">
        <f>"ZC328.3"</f>
        <v>ZC328.3</v>
      </c>
      <c r="I685" t="s">
        <v>2534</v>
      </c>
      <c r="J685" t="s">
        <v>29</v>
      </c>
      <c r="K685" t="s">
        <v>29</v>
      </c>
      <c r="L685" t="s">
        <v>29</v>
      </c>
      <c r="M685" t="s">
        <v>29</v>
      </c>
      <c r="N685">
        <v>10.2603985409934</v>
      </c>
      <c r="O685" t="s">
        <v>29</v>
      </c>
      <c r="P685" t="s">
        <v>29</v>
      </c>
      <c r="Q685" t="s">
        <v>29</v>
      </c>
      <c r="R685" t="s">
        <v>29</v>
      </c>
      <c r="S685">
        <v>10.7264338736446</v>
      </c>
      <c r="T685" t="s">
        <v>29</v>
      </c>
      <c r="U685" t="s">
        <v>29</v>
      </c>
      <c r="V685" t="s">
        <v>29</v>
      </c>
      <c r="W685" t="s">
        <v>29</v>
      </c>
      <c r="X685" t="s">
        <v>29</v>
      </c>
      <c r="Y685" t="s">
        <v>29</v>
      </c>
    </row>
    <row r="686" spans="1:25" x14ac:dyDescent="0.2">
      <c r="A686" t="s">
        <v>2535</v>
      </c>
      <c r="B686" t="s">
        <v>2536</v>
      </c>
      <c r="C686" t="s">
        <v>2537</v>
      </c>
      <c r="D686" t="s">
        <v>2538</v>
      </c>
      <c r="E686" t="s">
        <v>2536</v>
      </c>
      <c r="F686" t="s">
        <v>28</v>
      </c>
      <c r="G686" t="s">
        <v>2536</v>
      </c>
      <c r="H686" t="str">
        <f>"pod-2"</f>
        <v>pod-2</v>
      </c>
      <c r="I686" t="s">
        <v>2538</v>
      </c>
      <c r="J686">
        <v>17.605670530669901</v>
      </c>
      <c r="K686">
        <v>17.9152786740677</v>
      </c>
      <c r="L686">
        <v>17.631092150898599</v>
      </c>
      <c r="M686">
        <v>17.740126447687501</v>
      </c>
      <c r="N686">
        <v>18.102372277244001</v>
      </c>
      <c r="O686">
        <v>17.493580622218801</v>
      </c>
      <c r="P686">
        <v>6.1345997171382997E-2</v>
      </c>
      <c r="Q686">
        <v>-0.466412864285144</v>
      </c>
      <c r="R686">
        <v>0.58910485862790996</v>
      </c>
      <c r="S686">
        <v>17.632666923833199</v>
      </c>
      <c r="T686">
        <v>0.244311105705105</v>
      </c>
      <c r="U686">
        <v>-6.8513551801877401</v>
      </c>
      <c r="V686">
        <v>0.80976911546164398</v>
      </c>
      <c r="W686">
        <v>0.99278624068726296</v>
      </c>
      <c r="X686">
        <v>0</v>
      </c>
      <c r="Y686">
        <v>0</v>
      </c>
    </row>
    <row r="687" spans="1:25" x14ac:dyDescent="0.2">
      <c r="A687" t="s">
        <v>2539</v>
      </c>
      <c r="B687" t="s">
        <v>2540</v>
      </c>
      <c r="C687" t="s">
        <v>2541</v>
      </c>
      <c r="D687" t="s">
        <v>2542</v>
      </c>
      <c r="E687" t="s">
        <v>2540</v>
      </c>
      <c r="F687" t="s">
        <v>28</v>
      </c>
      <c r="G687" t="s">
        <v>2540</v>
      </c>
      <c r="H687" t="str">
        <f>"ral-1"</f>
        <v>ral-1</v>
      </c>
      <c r="I687" t="s">
        <v>2542</v>
      </c>
      <c r="J687">
        <v>14.9192226781323</v>
      </c>
      <c r="K687">
        <v>14.7242491036715</v>
      </c>
      <c r="L687">
        <v>14.6440181158789</v>
      </c>
      <c r="M687">
        <v>14.745140818935299</v>
      </c>
      <c r="N687">
        <v>14.5679892658518</v>
      </c>
      <c r="O687">
        <v>14.436465387673801</v>
      </c>
      <c r="P687">
        <v>-0.17929814174060599</v>
      </c>
      <c r="Q687">
        <v>-0.60879872240249899</v>
      </c>
      <c r="R687">
        <v>0.25020243892128702</v>
      </c>
      <c r="S687">
        <v>14.403182828393099</v>
      </c>
      <c r="T687">
        <v>-0.87741397302188395</v>
      </c>
      <c r="U687">
        <v>-6.4887403695528096</v>
      </c>
      <c r="V687">
        <v>0.39188953083233902</v>
      </c>
      <c r="W687">
        <v>0.90920284405177998</v>
      </c>
      <c r="X687">
        <v>0</v>
      </c>
      <c r="Y687">
        <v>0</v>
      </c>
    </row>
    <row r="688" spans="1:25" x14ac:dyDescent="0.2">
      <c r="A688" t="s">
        <v>2543</v>
      </c>
      <c r="B688" t="s">
        <v>2544</v>
      </c>
      <c r="C688" t="s">
        <v>14312</v>
      </c>
      <c r="D688" t="s">
        <v>2545</v>
      </c>
      <c r="E688" t="s">
        <v>2544</v>
      </c>
      <c r="F688" t="s">
        <v>28</v>
      </c>
      <c r="G688" t="s">
        <v>2544</v>
      </c>
      <c r="H688" t="str">
        <f>"Y119D3B.12"</f>
        <v>Y119D3B.12</v>
      </c>
      <c r="I688" t="s">
        <v>2545</v>
      </c>
      <c r="J688">
        <v>11.6837141319615</v>
      </c>
      <c r="K688">
        <v>11.717599145776299</v>
      </c>
      <c r="L688">
        <v>12.515699366843901</v>
      </c>
      <c r="M688">
        <v>11.7841650335937</v>
      </c>
      <c r="N688">
        <v>12.428740045422501</v>
      </c>
      <c r="O688">
        <v>11.351584237514</v>
      </c>
      <c r="P688">
        <v>-0.117507776017149</v>
      </c>
      <c r="Q688">
        <v>-0.86336348441204802</v>
      </c>
      <c r="R688">
        <v>0.62834793237775</v>
      </c>
      <c r="S688">
        <v>13.0234935374803</v>
      </c>
      <c r="T688">
        <v>-0.33416527556402398</v>
      </c>
      <c r="U688">
        <v>-6.8239630064589596</v>
      </c>
      <c r="V688">
        <v>0.74262320310465202</v>
      </c>
      <c r="W688">
        <v>0.99159672419203304</v>
      </c>
      <c r="X688">
        <v>0</v>
      </c>
      <c r="Y688">
        <v>0</v>
      </c>
    </row>
    <row r="689" spans="1:25" x14ac:dyDescent="0.2">
      <c r="A689" t="s">
        <v>2546</v>
      </c>
      <c r="B689" t="s">
        <v>2547</v>
      </c>
      <c r="C689" t="s">
        <v>14313</v>
      </c>
      <c r="D689" t="s">
        <v>2548</v>
      </c>
      <c r="E689" t="s">
        <v>2547</v>
      </c>
      <c r="F689" t="s">
        <v>28</v>
      </c>
      <c r="G689" t="s">
        <v>2547</v>
      </c>
      <c r="H689" t="str">
        <f>"F19B6.1"</f>
        <v>F19B6.1</v>
      </c>
      <c r="I689" t="s">
        <v>2548</v>
      </c>
      <c r="J689">
        <v>13.4578143767407</v>
      </c>
      <c r="K689">
        <v>13.003588703238799</v>
      </c>
      <c r="L689">
        <v>13.3693075401758</v>
      </c>
      <c r="M689">
        <v>13.650612619674099</v>
      </c>
      <c r="N689">
        <v>13.6339785770865</v>
      </c>
      <c r="O689">
        <v>12.8919206314212</v>
      </c>
      <c r="P689">
        <v>0.115267069342149</v>
      </c>
      <c r="Q689">
        <v>-0.39467167385099</v>
      </c>
      <c r="R689">
        <v>0.62520581253528895</v>
      </c>
      <c r="S689">
        <v>13.6219074238369</v>
      </c>
      <c r="T689">
        <v>0.47944276790368701</v>
      </c>
      <c r="U689">
        <v>-6.7624603665348202</v>
      </c>
      <c r="V689">
        <v>0.63815361882944199</v>
      </c>
      <c r="W689">
        <v>0.97476997913256702</v>
      </c>
      <c r="X689">
        <v>0</v>
      </c>
      <c r="Y689">
        <v>0</v>
      </c>
    </row>
    <row r="690" spans="1:25" x14ac:dyDescent="0.2">
      <c r="A690" t="s">
        <v>2549</v>
      </c>
      <c r="B690" t="s">
        <v>2550</v>
      </c>
      <c r="C690" t="s">
        <v>14314</v>
      </c>
      <c r="D690" t="s">
        <v>2551</v>
      </c>
      <c r="E690" t="s">
        <v>2550</v>
      </c>
      <c r="F690" t="s">
        <v>28</v>
      </c>
      <c r="G690" t="s">
        <v>2550</v>
      </c>
      <c r="H690" t="str">
        <f>"F46B6.5"</f>
        <v>F46B6.5</v>
      </c>
      <c r="I690" t="s">
        <v>2551</v>
      </c>
      <c r="J690">
        <v>10.7305527141125</v>
      </c>
      <c r="K690">
        <v>11.572016215433999</v>
      </c>
      <c r="L690">
        <v>11.453337467638899</v>
      </c>
      <c r="M690">
        <v>10.8013052450552</v>
      </c>
      <c r="N690">
        <v>11.4876076897771</v>
      </c>
      <c r="O690">
        <v>10.355712750135099</v>
      </c>
      <c r="P690">
        <v>-0.37042690407266798</v>
      </c>
      <c r="Q690">
        <v>-0.94478024686129103</v>
      </c>
      <c r="R690">
        <v>0.203926438715956</v>
      </c>
      <c r="S690">
        <v>11.7803846393436</v>
      </c>
      <c r="T690">
        <v>-1.37551387241695</v>
      </c>
      <c r="U690">
        <v>-5.9425162256738497</v>
      </c>
      <c r="V690">
        <v>0.189306577837239</v>
      </c>
      <c r="W690">
        <v>0.78295732499061499</v>
      </c>
      <c r="X690">
        <v>0</v>
      </c>
      <c r="Y690">
        <v>0</v>
      </c>
    </row>
    <row r="691" spans="1:25" x14ac:dyDescent="0.2">
      <c r="A691" t="s">
        <v>2552</v>
      </c>
      <c r="B691" t="s">
        <v>2553</v>
      </c>
      <c r="C691" t="s">
        <v>2554</v>
      </c>
      <c r="D691" t="s">
        <v>2477</v>
      </c>
      <c r="E691" t="s">
        <v>2553</v>
      </c>
      <c r="F691" t="s">
        <v>28</v>
      </c>
      <c r="G691" t="s">
        <v>2553</v>
      </c>
      <c r="H691" t="str">
        <f>"sipa-1"</f>
        <v>sipa-1</v>
      </c>
      <c r="I691" t="s">
        <v>2477</v>
      </c>
      <c r="J691" t="s">
        <v>29</v>
      </c>
      <c r="K691" t="s">
        <v>29</v>
      </c>
      <c r="L691" t="s">
        <v>29</v>
      </c>
      <c r="M691">
        <v>11.9455410556453</v>
      </c>
      <c r="N691">
        <v>11.7259799429587</v>
      </c>
      <c r="O691" t="s">
        <v>29</v>
      </c>
      <c r="P691" t="s">
        <v>29</v>
      </c>
      <c r="Q691" t="s">
        <v>29</v>
      </c>
      <c r="R691" t="s">
        <v>29</v>
      </c>
      <c r="S691">
        <v>11.830758406543399</v>
      </c>
      <c r="T691" t="s">
        <v>29</v>
      </c>
      <c r="U691" t="s">
        <v>29</v>
      </c>
      <c r="V691" t="s">
        <v>29</v>
      </c>
      <c r="W691" t="s">
        <v>29</v>
      </c>
      <c r="X691" t="s">
        <v>29</v>
      </c>
      <c r="Y691" t="s">
        <v>29</v>
      </c>
    </row>
    <row r="692" spans="1:25" x14ac:dyDescent="0.2">
      <c r="A692" t="s">
        <v>2555</v>
      </c>
      <c r="B692" t="s">
        <v>2556</v>
      </c>
      <c r="C692" t="s">
        <v>2557</v>
      </c>
      <c r="D692" t="s">
        <v>93</v>
      </c>
      <c r="E692" t="s">
        <v>2556</v>
      </c>
      <c r="F692" t="s">
        <v>28</v>
      </c>
      <c r="G692" t="s">
        <v>2556</v>
      </c>
      <c r="H692" t="str">
        <f>"rbm-25"</f>
        <v>rbm-25</v>
      </c>
      <c r="I692" t="s">
        <v>93</v>
      </c>
      <c r="J692">
        <v>11.7038115024974</v>
      </c>
      <c r="K692">
        <v>12.745187327638099</v>
      </c>
      <c r="L692">
        <v>12.7990038322394</v>
      </c>
      <c r="M692">
        <v>10.480922122599999</v>
      </c>
      <c r="N692">
        <v>11.677444670696101</v>
      </c>
      <c r="O692">
        <v>10.693871324291999</v>
      </c>
      <c r="P692">
        <v>-1.4652548482622501</v>
      </c>
      <c r="Q692">
        <v>-2.23270376287822</v>
      </c>
      <c r="R692">
        <v>-0.69780593364627497</v>
      </c>
      <c r="S692">
        <v>12.273229962035</v>
      </c>
      <c r="T692">
        <v>-4.0719768162211398</v>
      </c>
      <c r="U692">
        <v>-1.02685223046762</v>
      </c>
      <c r="V692">
        <v>1.0150396770042601E-3</v>
      </c>
      <c r="W692">
        <v>3.1570579860468899E-2</v>
      </c>
      <c r="X692">
        <v>-1</v>
      </c>
      <c r="Y692">
        <v>-1</v>
      </c>
    </row>
    <row r="693" spans="1:25" x14ac:dyDescent="0.2">
      <c r="A693" t="s">
        <v>2558</v>
      </c>
      <c r="B693" t="s">
        <v>2559</v>
      </c>
      <c r="C693" t="s">
        <v>2560</v>
      </c>
      <c r="D693" t="s">
        <v>2561</v>
      </c>
      <c r="E693" t="s">
        <v>2559</v>
      </c>
      <c r="F693" t="s">
        <v>28</v>
      </c>
      <c r="G693" t="s">
        <v>2559</v>
      </c>
      <c r="H693" t="str">
        <f>"C50B6.3"</f>
        <v>C50B6.3</v>
      </c>
      <c r="I693" t="s">
        <v>2561</v>
      </c>
      <c r="J693">
        <v>12.2394522405166</v>
      </c>
      <c r="K693">
        <v>12.422421879404601</v>
      </c>
      <c r="L693">
        <v>12.5516178459199</v>
      </c>
      <c r="M693">
        <v>12.4973239032396</v>
      </c>
      <c r="N693">
        <v>12.6354012801655</v>
      </c>
      <c r="O693">
        <v>12.527024420279499</v>
      </c>
      <c r="P693">
        <v>0.148752545947824</v>
      </c>
      <c r="Q693">
        <v>-0.42555098840906702</v>
      </c>
      <c r="R693">
        <v>0.72305608030471502</v>
      </c>
      <c r="S693">
        <v>12.747430116306299</v>
      </c>
      <c r="T693">
        <v>0.55241380650746497</v>
      </c>
      <c r="U693">
        <v>-6.7229892326942799</v>
      </c>
      <c r="V693">
        <v>0.58885902424760395</v>
      </c>
      <c r="W693">
        <v>0.963273565916412</v>
      </c>
      <c r="X693">
        <v>0</v>
      </c>
      <c r="Y693">
        <v>0</v>
      </c>
    </row>
    <row r="694" spans="1:25" x14ac:dyDescent="0.2">
      <c r="A694" t="s">
        <v>2562</v>
      </c>
      <c r="B694" t="s">
        <v>2563</v>
      </c>
      <c r="C694" t="s">
        <v>2564</v>
      </c>
      <c r="D694" t="s">
        <v>1382</v>
      </c>
      <c r="E694" t="s">
        <v>2563</v>
      </c>
      <c r="F694" t="s">
        <v>28</v>
      </c>
      <c r="G694" t="s">
        <v>2563</v>
      </c>
      <c r="H694" t="str">
        <f>"tba-1"</f>
        <v>tba-1</v>
      </c>
      <c r="I694" t="s">
        <v>1382</v>
      </c>
      <c r="J694">
        <v>21.050561193917101</v>
      </c>
      <c r="K694">
        <v>21.011768206041101</v>
      </c>
      <c r="L694">
        <v>20.994787730256999</v>
      </c>
      <c r="M694">
        <v>20.9454835466547</v>
      </c>
      <c r="N694">
        <v>21.082476621455601</v>
      </c>
      <c r="O694">
        <v>21.197646414704501</v>
      </c>
      <c r="P694">
        <v>5.6163150866574099E-2</v>
      </c>
      <c r="Q694">
        <v>-0.28174738497935697</v>
      </c>
      <c r="R694">
        <v>0.39407368671250498</v>
      </c>
      <c r="S694">
        <v>20.886386311451002</v>
      </c>
      <c r="T694">
        <v>0.34933511646725302</v>
      </c>
      <c r="U694">
        <v>-6.8189451658370004</v>
      </c>
      <c r="V694">
        <v>0.73091483066010099</v>
      </c>
      <c r="W694">
        <v>0.99057748145465696</v>
      </c>
      <c r="X694">
        <v>0</v>
      </c>
      <c r="Y694">
        <v>0</v>
      </c>
    </row>
    <row r="695" spans="1:25" x14ac:dyDescent="0.2">
      <c r="A695" t="s">
        <v>2565</v>
      </c>
      <c r="B695" t="s">
        <v>2566</v>
      </c>
      <c r="C695" t="s">
        <v>2567</v>
      </c>
      <c r="D695" t="s">
        <v>2568</v>
      </c>
      <c r="E695" t="s">
        <v>2566</v>
      </c>
      <c r="F695" t="s">
        <v>28</v>
      </c>
      <c r="G695" t="s">
        <v>2566</v>
      </c>
      <c r="H695" t="str">
        <f>"swsn-1"</f>
        <v>swsn-1</v>
      </c>
      <c r="I695" t="s">
        <v>2568</v>
      </c>
      <c r="J695">
        <v>11.3530984974793</v>
      </c>
      <c r="K695">
        <v>13.353726927402001</v>
      </c>
      <c r="L695">
        <v>11.4911909716506</v>
      </c>
      <c r="M695">
        <v>11.6097858609031</v>
      </c>
      <c r="N695">
        <v>11.466661933032301</v>
      </c>
      <c r="O695">
        <v>11.052360610117599</v>
      </c>
      <c r="P695">
        <v>-0.68973599749300996</v>
      </c>
      <c r="Q695">
        <v>-1.65183235783453</v>
      </c>
      <c r="R695">
        <v>0.27236036284850901</v>
      </c>
      <c r="S695">
        <v>12.0613447963933</v>
      </c>
      <c r="T695">
        <v>-1.52899451220014</v>
      </c>
      <c r="U695">
        <v>-5.7366695424855498</v>
      </c>
      <c r="V695">
        <v>0.14722219711118201</v>
      </c>
      <c r="W695">
        <v>0.73899769530318804</v>
      </c>
      <c r="X695">
        <v>0</v>
      </c>
      <c r="Y695">
        <v>0</v>
      </c>
    </row>
    <row r="696" spans="1:25" x14ac:dyDescent="0.2">
      <c r="A696" t="s">
        <v>2569</v>
      </c>
      <c r="B696" t="s">
        <v>2570</v>
      </c>
      <c r="C696" t="s">
        <v>2571</v>
      </c>
      <c r="D696" t="s">
        <v>2572</v>
      </c>
      <c r="E696" t="s">
        <v>2570</v>
      </c>
      <c r="F696" t="s">
        <v>28</v>
      </c>
      <c r="G696" t="s">
        <v>2570</v>
      </c>
      <c r="H696" t="str">
        <f>"ego-2"</f>
        <v>ego-2</v>
      </c>
      <c r="I696" t="s">
        <v>2572</v>
      </c>
      <c r="J696">
        <v>13.047137474352301</v>
      </c>
      <c r="K696">
        <v>13.098456389251099</v>
      </c>
      <c r="L696">
        <v>12.971641130125899</v>
      </c>
      <c r="M696">
        <v>13.242339365563501</v>
      </c>
      <c r="N696">
        <v>13.2278260444719</v>
      </c>
      <c r="O696">
        <v>13.127185911262201</v>
      </c>
      <c r="P696">
        <v>0.160038775856094</v>
      </c>
      <c r="Q696">
        <v>-0.34158319006466997</v>
      </c>
      <c r="R696">
        <v>0.66166074177685796</v>
      </c>
      <c r="S696">
        <v>13.1712000658842</v>
      </c>
      <c r="T696">
        <v>0.67056547286611001</v>
      </c>
      <c r="U696">
        <v>-6.65047726764631</v>
      </c>
      <c r="V696">
        <v>0.51105973696654905</v>
      </c>
      <c r="W696">
        <v>0.94123232131968804</v>
      </c>
      <c r="X696">
        <v>0</v>
      </c>
      <c r="Y696">
        <v>0</v>
      </c>
    </row>
    <row r="697" spans="1:25" x14ac:dyDescent="0.2">
      <c r="A697" t="s">
        <v>2573</v>
      </c>
      <c r="B697" t="s">
        <v>2574</v>
      </c>
      <c r="C697" t="s">
        <v>2575</v>
      </c>
      <c r="D697" t="s">
        <v>2576</v>
      </c>
      <c r="E697" t="s">
        <v>2574</v>
      </c>
      <c r="F697" t="s">
        <v>28</v>
      </c>
      <c r="G697" t="s">
        <v>2574</v>
      </c>
      <c r="H697" t="str">
        <f>"noah-1"</f>
        <v>noah-1</v>
      </c>
      <c r="I697" t="s">
        <v>2576</v>
      </c>
      <c r="J697">
        <v>12.4449117085094</v>
      </c>
      <c r="K697">
        <v>13.559291511065201</v>
      </c>
      <c r="L697">
        <v>13.2870573661453</v>
      </c>
      <c r="M697">
        <v>13.4485415907463</v>
      </c>
      <c r="N697">
        <v>12.8161338310008</v>
      </c>
      <c r="O697">
        <v>12.9064044792368</v>
      </c>
      <c r="P697">
        <v>-4.0060228245272E-2</v>
      </c>
      <c r="Q697">
        <v>-0.71905307928110596</v>
      </c>
      <c r="R697">
        <v>0.63893262279056195</v>
      </c>
      <c r="S697">
        <v>12.730639589577899</v>
      </c>
      <c r="T697">
        <v>-0.12514046012212901</v>
      </c>
      <c r="U697">
        <v>-6.8742567921585502</v>
      </c>
      <c r="V697">
        <v>0.90198139789758902</v>
      </c>
      <c r="W697">
        <v>0.99833354317360001</v>
      </c>
      <c r="X697">
        <v>0</v>
      </c>
      <c r="Y697">
        <v>0</v>
      </c>
    </row>
    <row r="698" spans="1:25" x14ac:dyDescent="0.2">
      <c r="A698" t="s">
        <v>2577</v>
      </c>
      <c r="B698" t="s">
        <v>2578</v>
      </c>
      <c r="C698" t="s">
        <v>2579</v>
      </c>
      <c r="D698" t="s">
        <v>2580</v>
      </c>
      <c r="E698" t="s">
        <v>2578</v>
      </c>
      <c r="F698" t="s">
        <v>28</v>
      </c>
      <c r="G698" t="s">
        <v>2578</v>
      </c>
      <c r="H698" t="str">
        <f>"slo-2"</f>
        <v>slo-2</v>
      </c>
      <c r="I698" t="s">
        <v>2580</v>
      </c>
      <c r="J698" t="s">
        <v>29</v>
      </c>
      <c r="K698">
        <v>13.030493854466901</v>
      </c>
      <c r="L698">
        <v>11.5649541317903</v>
      </c>
      <c r="M698" t="s">
        <v>29</v>
      </c>
      <c r="N698">
        <v>12.625457576021001</v>
      </c>
      <c r="O698" t="s">
        <v>29</v>
      </c>
      <c r="P698">
        <v>0.32773358289245502</v>
      </c>
      <c r="Q698">
        <v>-1.0137245605484899</v>
      </c>
      <c r="R698">
        <v>1.6691917263334</v>
      </c>
      <c r="S698">
        <v>12.414044142919799</v>
      </c>
      <c r="T698">
        <v>0.56468926439600098</v>
      </c>
      <c r="U698">
        <v>-6.3114393703197198</v>
      </c>
      <c r="V698">
        <v>0.58796543803371404</v>
      </c>
      <c r="W698">
        <v>0.963273565916412</v>
      </c>
      <c r="X698">
        <v>0</v>
      </c>
      <c r="Y698">
        <v>0</v>
      </c>
    </row>
    <row r="699" spans="1:25" x14ac:dyDescent="0.2">
      <c r="A699" t="s">
        <v>2581</v>
      </c>
      <c r="B699" t="s">
        <v>2582</v>
      </c>
      <c r="C699" t="s">
        <v>2583</v>
      </c>
      <c r="D699" t="s">
        <v>2584</v>
      </c>
      <c r="E699" t="s">
        <v>2582</v>
      </c>
      <c r="F699" t="s">
        <v>28</v>
      </c>
      <c r="G699" t="s">
        <v>2582</v>
      </c>
      <c r="H699" t="str">
        <f>"idh-1"</f>
        <v>idh-1</v>
      </c>
      <c r="I699" t="s">
        <v>2584</v>
      </c>
      <c r="J699">
        <v>15.516734771637299</v>
      </c>
      <c r="K699">
        <v>14.9817552741568</v>
      </c>
      <c r="L699">
        <v>15.378714415092499</v>
      </c>
      <c r="M699">
        <v>15.6347010899896</v>
      </c>
      <c r="N699">
        <v>15.3670186070872</v>
      </c>
      <c r="O699">
        <v>15.421420335851799</v>
      </c>
      <c r="P699">
        <v>0.18197852401397999</v>
      </c>
      <c r="Q699">
        <v>-0.33264376043375099</v>
      </c>
      <c r="R699">
        <v>0.69660080846171002</v>
      </c>
      <c r="S699">
        <v>15.212935898146201</v>
      </c>
      <c r="T699">
        <v>0.74323142334506398</v>
      </c>
      <c r="U699">
        <v>-6.5982753719020604</v>
      </c>
      <c r="V699">
        <v>0.46698784597412701</v>
      </c>
      <c r="W699">
        <v>0.92978583625257705</v>
      </c>
      <c r="X699">
        <v>0</v>
      </c>
      <c r="Y699">
        <v>0</v>
      </c>
    </row>
    <row r="700" spans="1:25" x14ac:dyDescent="0.2">
      <c r="A700" t="s">
        <v>2585</v>
      </c>
      <c r="B700" t="s">
        <v>2586</v>
      </c>
      <c r="C700" t="s">
        <v>2587</v>
      </c>
      <c r="D700" t="s">
        <v>2588</v>
      </c>
      <c r="E700" t="s">
        <v>2586</v>
      </c>
      <c r="F700" t="s">
        <v>28</v>
      </c>
      <c r="G700" t="s">
        <v>2586</v>
      </c>
      <c r="H700" t="str">
        <f>"dur-1"</f>
        <v>dur-1</v>
      </c>
      <c r="I700" t="s">
        <v>2588</v>
      </c>
      <c r="J700">
        <v>13.778830978299601</v>
      </c>
      <c r="K700">
        <v>13.954425189521199</v>
      </c>
      <c r="L700">
        <v>14.151184830176501</v>
      </c>
      <c r="M700">
        <v>13.518675934043401</v>
      </c>
      <c r="N700">
        <v>13.433703603438</v>
      </c>
      <c r="O700">
        <v>13.4462475310755</v>
      </c>
      <c r="P700">
        <v>-0.495271309813484</v>
      </c>
      <c r="Q700">
        <v>-1.10845094948432</v>
      </c>
      <c r="R700">
        <v>0.117908329857351</v>
      </c>
      <c r="S700">
        <v>13.9121363650176</v>
      </c>
      <c r="T700">
        <v>-1.6976492192719901</v>
      </c>
      <c r="U700">
        <v>-5.4874056616123301</v>
      </c>
      <c r="V700">
        <v>0.10689589463647101</v>
      </c>
      <c r="W700">
        <v>0.66924749930925698</v>
      </c>
      <c r="X700">
        <v>0</v>
      </c>
      <c r="Y700">
        <v>0</v>
      </c>
    </row>
    <row r="701" spans="1:25" x14ac:dyDescent="0.2">
      <c r="A701" t="s">
        <v>2589</v>
      </c>
      <c r="B701" t="s">
        <v>2590</v>
      </c>
      <c r="C701" t="s">
        <v>2591</v>
      </c>
      <c r="D701" t="s">
        <v>2592</v>
      </c>
      <c r="E701" t="s">
        <v>2590</v>
      </c>
      <c r="F701" t="s">
        <v>28</v>
      </c>
      <c r="G701" t="s">
        <v>2590</v>
      </c>
      <c r="H701" t="str">
        <f>"B0001.7"</f>
        <v>B0001.7</v>
      </c>
      <c r="I701" t="s">
        <v>2592</v>
      </c>
      <c r="J701">
        <v>13.500331396279799</v>
      </c>
      <c r="K701">
        <v>14.3053328188163</v>
      </c>
      <c r="L701">
        <v>12.9979306477696</v>
      </c>
      <c r="M701">
        <v>12.849114716510501</v>
      </c>
      <c r="N701">
        <v>13.1870055972452</v>
      </c>
      <c r="O701">
        <v>12.689291577856</v>
      </c>
      <c r="P701">
        <v>-0.692727657084658</v>
      </c>
      <c r="Q701">
        <v>-1.3912287018884</v>
      </c>
      <c r="R701">
        <v>5.7733877190825301E-3</v>
      </c>
      <c r="S701">
        <v>13.3270903169585</v>
      </c>
      <c r="T701">
        <v>-2.11513003806144</v>
      </c>
      <c r="U701">
        <v>-4.8197544465180604</v>
      </c>
      <c r="V701">
        <v>5.1689347887010503E-2</v>
      </c>
      <c r="W701">
        <v>0.491491856479917</v>
      </c>
      <c r="X701">
        <v>0</v>
      </c>
      <c r="Y701">
        <v>0</v>
      </c>
    </row>
    <row r="702" spans="1:25" x14ac:dyDescent="0.2">
      <c r="A702" t="s">
        <v>2593</v>
      </c>
      <c r="B702" t="s">
        <v>2594</v>
      </c>
      <c r="C702" t="s">
        <v>2595</v>
      </c>
      <c r="D702" t="s">
        <v>319</v>
      </c>
      <c r="E702" t="s">
        <v>2594</v>
      </c>
      <c r="F702" t="s">
        <v>28</v>
      </c>
      <c r="G702" t="s">
        <v>2594</v>
      </c>
      <c r="H702" t="str">
        <f>"C27A7.6"</f>
        <v>C27A7.6</v>
      </c>
      <c r="I702" t="s">
        <v>319</v>
      </c>
      <c r="J702">
        <v>13.076085525341</v>
      </c>
      <c r="K702">
        <v>12.1556764508769</v>
      </c>
      <c r="L702">
        <v>13.2476728116013</v>
      </c>
      <c r="M702">
        <v>13.472250897911399</v>
      </c>
      <c r="N702">
        <v>12.9781167926217</v>
      </c>
      <c r="O702">
        <v>13.013334585460299</v>
      </c>
      <c r="P702">
        <v>0.32808916272475303</v>
      </c>
      <c r="Q702">
        <v>-0.25638734299251498</v>
      </c>
      <c r="R702">
        <v>0.91256566844202103</v>
      </c>
      <c r="S702">
        <v>13.214894259636401</v>
      </c>
      <c r="T702">
        <v>1.1906232433224999</v>
      </c>
      <c r="U702">
        <v>-6.1685909952157303</v>
      </c>
      <c r="V702">
        <v>0.251279555837427</v>
      </c>
      <c r="W702">
        <v>0.83542293888806696</v>
      </c>
      <c r="X702">
        <v>0</v>
      </c>
      <c r="Y702">
        <v>0</v>
      </c>
    </row>
    <row r="703" spans="1:25" x14ac:dyDescent="0.2">
      <c r="A703" t="s">
        <v>2596</v>
      </c>
      <c r="B703" t="s">
        <v>2597</v>
      </c>
      <c r="C703" t="s">
        <v>2598</v>
      </c>
      <c r="D703" t="s">
        <v>2221</v>
      </c>
      <c r="E703" t="s">
        <v>2597</v>
      </c>
      <c r="F703" t="s">
        <v>28</v>
      </c>
      <c r="G703" t="s">
        <v>2597</v>
      </c>
      <c r="H703" t="str">
        <f>"kin-4"</f>
        <v>kin-4</v>
      </c>
      <c r="I703" t="s">
        <v>2221</v>
      </c>
      <c r="J703">
        <v>11.4970768380013</v>
      </c>
      <c r="K703">
        <v>11.8756629795264</v>
      </c>
      <c r="L703">
        <v>11.8940197098417</v>
      </c>
      <c r="M703">
        <v>11.343945227560001</v>
      </c>
      <c r="N703">
        <v>11.970115063753299</v>
      </c>
      <c r="O703">
        <v>12.109631416373199</v>
      </c>
      <c r="P703">
        <v>5.2310726772372397E-2</v>
      </c>
      <c r="Q703">
        <v>-0.39571729023700097</v>
      </c>
      <c r="R703">
        <v>0.50033874378174503</v>
      </c>
      <c r="S703">
        <v>11.9850707306564</v>
      </c>
      <c r="T703">
        <v>0.247648162900104</v>
      </c>
      <c r="U703">
        <v>-6.85029428889277</v>
      </c>
      <c r="V703">
        <v>0.80757726239530203</v>
      </c>
      <c r="W703">
        <v>0.99278624068726296</v>
      </c>
      <c r="X703">
        <v>0</v>
      </c>
      <c r="Y703">
        <v>0</v>
      </c>
    </row>
    <row r="704" spans="1:25" x14ac:dyDescent="0.2">
      <c r="A704" t="s">
        <v>2599</v>
      </c>
      <c r="B704" t="s">
        <v>2600</v>
      </c>
      <c r="C704" t="s">
        <v>2601</v>
      </c>
      <c r="D704" t="s">
        <v>2602</v>
      </c>
      <c r="E704" t="s">
        <v>2600</v>
      </c>
      <c r="F704" t="s">
        <v>28</v>
      </c>
      <c r="G704" t="s">
        <v>2600</v>
      </c>
      <c r="H704" t="str">
        <f>"mpst-3"</f>
        <v>mpst-3</v>
      </c>
      <c r="I704" t="s">
        <v>2602</v>
      </c>
      <c r="J704" t="s">
        <v>29</v>
      </c>
      <c r="K704" t="s">
        <v>29</v>
      </c>
      <c r="L704" t="s">
        <v>29</v>
      </c>
      <c r="M704" t="s">
        <v>29</v>
      </c>
      <c r="N704" t="s">
        <v>29</v>
      </c>
      <c r="O704" t="s">
        <v>29</v>
      </c>
      <c r="P704" t="s">
        <v>29</v>
      </c>
      <c r="Q704" t="s">
        <v>29</v>
      </c>
      <c r="R704" t="s">
        <v>29</v>
      </c>
      <c r="S704">
        <v>11.724677416994799</v>
      </c>
      <c r="T704" t="s">
        <v>29</v>
      </c>
      <c r="U704" t="s">
        <v>29</v>
      </c>
      <c r="V704" t="s">
        <v>29</v>
      </c>
      <c r="W704" t="s">
        <v>29</v>
      </c>
      <c r="X704" t="s">
        <v>29</v>
      </c>
      <c r="Y704" t="s">
        <v>29</v>
      </c>
    </row>
    <row r="705" spans="1:25" x14ac:dyDescent="0.2">
      <c r="A705" t="s">
        <v>2603</v>
      </c>
      <c r="B705" t="s">
        <v>2604</v>
      </c>
      <c r="C705" t="s">
        <v>14315</v>
      </c>
      <c r="D705" t="s">
        <v>2605</v>
      </c>
      <c r="E705" t="s">
        <v>2604</v>
      </c>
      <c r="F705" t="s">
        <v>28</v>
      </c>
      <c r="G705" t="s">
        <v>2604</v>
      </c>
      <c r="H705" t="str">
        <f>"F28C6.8"</f>
        <v>F28C6.8</v>
      </c>
      <c r="I705" t="s">
        <v>2605</v>
      </c>
      <c r="J705">
        <v>12.874911851800899</v>
      </c>
      <c r="K705">
        <v>13.684134399404</v>
      </c>
      <c r="L705">
        <v>13.950612662569201</v>
      </c>
      <c r="M705">
        <v>12.9413520774249</v>
      </c>
      <c r="N705">
        <v>12.842649402623</v>
      </c>
      <c r="O705">
        <v>13.597280645417399</v>
      </c>
      <c r="P705">
        <v>-0.376125596102934</v>
      </c>
      <c r="Q705">
        <v>-1.00311407792429</v>
      </c>
      <c r="R705">
        <v>0.25086288571842402</v>
      </c>
      <c r="S705">
        <v>13.678167087539499</v>
      </c>
      <c r="T705">
        <v>-1.2662613162233201</v>
      </c>
      <c r="U705">
        <v>-6.0799920470705402</v>
      </c>
      <c r="V705">
        <v>0.222600800718745</v>
      </c>
      <c r="W705">
        <v>0.79915368370224704</v>
      </c>
      <c r="X705">
        <v>0</v>
      </c>
      <c r="Y705">
        <v>0</v>
      </c>
    </row>
    <row r="706" spans="1:25" x14ac:dyDescent="0.2">
      <c r="A706" t="s">
        <v>2606</v>
      </c>
      <c r="B706" t="s">
        <v>2607</v>
      </c>
      <c r="C706" t="s">
        <v>14316</v>
      </c>
      <c r="D706" t="s">
        <v>2608</v>
      </c>
      <c r="E706" t="s">
        <v>2607</v>
      </c>
      <c r="F706" t="s">
        <v>28</v>
      </c>
      <c r="G706" t="s">
        <v>2607</v>
      </c>
      <c r="H706" t="str">
        <f>"F01G4.4"</f>
        <v>F01G4.4</v>
      </c>
      <c r="I706" t="s">
        <v>2608</v>
      </c>
      <c r="J706">
        <v>12.7986456836265</v>
      </c>
      <c r="K706">
        <v>12.835961708212601</v>
      </c>
      <c r="L706">
        <v>13.370904040890499</v>
      </c>
      <c r="M706">
        <v>12.109470306969699</v>
      </c>
      <c r="N706">
        <v>12.614335809642499</v>
      </c>
      <c r="O706">
        <v>12.3920380797026</v>
      </c>
      <c r="P706">
        <v>-0.62988907880494305</v>
      </c>
      <c r="Q706">
        <v>-1.63647282876013</v>
      </c>
      <c r="R706">
        <v>0.37669467115024402</v>
      </c>
      <c r="S706">
        <v>12.793496443155499</v>
      </c>
      <c r="T706">
        <v>-1.32728349327127</v>
      </c>
      <c r="U706">
        <v>-6.0042220060776597</v>
      </c>
      <c r="V706">
        <v>0.203165057952199</v>
      </c>
      <c r="W706">
        <v>0.79075284576134597</v>
      </c>
      <c r="X706">
        <v>0</v>
      </c>
      <c r="Y706">
        <v>0</v>
      </c>
    </row>
    <row r="707" spans="1:25" x14ac:dyDescent="0.2">
      <c r="A707" t="s">
        <v>2609</v>
      </c>
      <c r="B707" t="s">
        <v>2610</v>
      </c>
      <c r="C707" t="s">
        <v>14317</v>
      </c>
      <c r="D707" t="s">
        <v>2611</v>
      </c>
      <c r="E707" t="s">
        <v>2610</v>
      </c>
      <c r="F707" t="s">
        <v>28</v>
      </c>
      <c r="G707" t="s">
        <v>2612</v>
      </c>
      <c r="H707" t="str">
        <f>"Y52E8A.6"</f>
        <v>Y52E8A.6</v>
      </c>
      <c r="I707" t="s">
        <v>2611</v>
      </c>
      <c r="J707" t="s">
        <v>29</v>
      </c>
      <c r="K707" t="s">
        <v>29</v>
      </c>
      <c r="L707" t="s">
        <v>29</v>
      </c>
      <c r="M707" t="s">
        <v>29</v>
      </c>
      <c r="N707" t="s">
        <v>29</v>
      </c>
      <c r="O707" t="s">
        <v>29</v>
      </c>
      <c r="P707" t="s">
        <v>29</v>
      </c>
      <c r="Q707" t="s">
        <v>29</v>
      </c>
      <c r="R707" t="s">
        <v>29</v>
      </c>
      <c r="S707">
        <v>10.3821469070938</v>
      </c>
      <c r="T707" t="s">
        <v>29</v>
      </c>
      <c r="U707" t="s">
        <v>29</v>
      </c>
      <c r="V707" t="s">
        <v>29</v>
      </c>
      <c r="W707" t="s">
        <v>29</v>
      </c>
      <c r="X707" t="s">
        <v>29</v>
      </c>
      <c r="Y707" t="s">
        <v>29</v>
      </c>
    </row>
    <row r="708" spans="1:25" x14ac:dyDescent="0.2">
      <c r="A708" t="s">
        <v>2613</v>
      </c>
      <c r="B708" t="s">
        <v>2614</v>
      </c>
      <c r="C708" t="s">
        <v>2615</v>
      </c>
      <c r="D708" t="s">
        <v>2616</v>
      </c>
      <c r="E708" t="s">
        <v>2614</v>
      </c>
      <c r="F708" t="s">
        <v>28</v>
      </c>
      <c r="G708" t="s">
        <v>2614</v>
      </c>
      <c r="H708" t="str">
        <f>"let-526"</f>
        <v>let-526</v>
      </c>
      <c r="I708" t="s">
        <v>2616</v>
      </c>
      <c r="J708">
        <v>12.5020260868897</v>
      </c>
      <c r="K708">
        <v>12.886985895358899</v>
      </c>
      <c r="L708">
        <v>12.443137043417201</v>
      </c>
      <c r="M708">
        <v>11.844107932722499</v>
      </c>
      <c r="N708">
        <v>12.259932213645699</v>
      </c>
      <c r="O708">
        <v>12.4807683211803</v>
      </c>
      <c r="P708">
        <v>-0.415780186039093</v>
      </c>
      <c r="Q708">
        <v>-1.00575744233025</v>
      </c>
      <c r="R708">
        <v>0.17419707025205899</v>
      </c>
      <c r="S708">
        <v>12.676002339565001</v>
      </c>
      <c r="T708">
        <v>-1.48757384048735</v>
      </c>
      <c r="U708">
        <v>-5.7932786977716901</v>
      </c>
      <c r="V708">
        <v>0.15528915667874099</v>
      </c>
      <c r="W708">
        <v>0.75094320293391503</v>
      </c>
      <c r="X708">
        <v>0</v>
      </c>
      <c r="Y708">
        <v>0</v>
      </c>
    </row>
    <row r="709" spans="1:25" x14ac:dyDescent="0.2">
      <c r="A709" t="s">
        <v>2617</v>
      </c>
      <c r="B709" t="s">
        <v>2618</v>
      </c>
      <c r="C709" t="s">
        <v>2619</v>
      </c>
      <c r="D709" t="s">
        <v>2620</v>
      </c>
      <c r="E709" t="s">
        <v>2618</v>
      </c>
      <c r="F709" t="s">
        <v>28</v>
      </c>
      <c r="G709" t="s">
        <v>2618</v>
      </c>
      <c r="H709" t="str">
        <f>"his-40"</f>
        <v>his-40</v>
      </c>
      <c r="I709" t="s">
        <v>2620</v>
      </c>
      <c r="J709">
        <v>18.653634011100099</v>
      </c>
      <c r="K709">
        <v>18.762123523707402</v>
      </c>
      <c r="L709">
        <v>18.556785879429899</v>
      </c>
      <c r="M709">
        <v>18.604616643796302</v>
      </c>
      <c r="N709">
        <v>17.986011399826001</v>
      </c>
      <c r="O709">
        <v>18.340193122303798</v>
      </c>
      <c r="P709">
        <v>-0.34724074943705602</v>
      </c>
      <c r="Q709">
        <v>-0.83086635113324203</v>
      </c>
      <c r="R709">
        <v>0.13638485225913</v>
      </c>
      <c r="S709">
        <v>18.643505867200499</v>
      </c>
      <c r="T709">
        <v>-1.5090857388931</v>
      </c>
      <c r="U709">
        <v>-5.7631504228045802</v>
      </c>
      <c r="V709">
        <v>0.14873068449020399</v>
      </c>
      <c r="W709">
        <v>0.74432438794495803</v>
      </c>
      <c r="X709">
        <v>0</v>
      </c>
      <c r="Y709">
        <v>0</v>
      </c>
    </row>
    <row r="710" spans="1:25" x14ac:dyDescent="0.2">
      <c r="A710" t="s">
        <v>2621</v>
      </c>
      <c r="B710" t="s">
        <v>2622</v>
      </c>
      <c r="C710" t="s">
        <v>2623</v>
      </c>
      <c r="D710" t="s">
        <v>2624</v>
      </c>
      <c r="E710" t="s">
        <v>2622</v>
      </c>
      <c r="F710" t="s">
        <v>28</v>
      </c>
      <c r="G710" t="s">
        <v>2622</v>
      </c>
      <c r="H710" t="str">
        <f>"lsy-12"</f>
        <v>lsy-12</v>
      </c>
      <c r="I710" t="s">
        <v>2624</v>
      </c>
      <c r="J710" t="s">
        <v>29</v>
      </c>
      <c r="K710" t="s">
        <v>29</v>
      </c>
      <c r="L710" t="s">
        <v>29</v>
      </c>
      <c r="M710" t="s">
        <v>29</v>
      </c>
      <c r="N710">
        <v>11.5567331229005</v>
      </c>
      <c r="O710">
        <v>11.796809925833999</v>
      </c>
      <c r="P710" t="s">
        <v>29</v>
      </c>
      <c r="Q710" t="s">
        <v>29</v>
      </c>
      <c r="R710" t="s">
        <v>29</v>
      </c>
      <c r="S710">
        <v>12.9447097352604</v>
      </c>
      <c r="T710" t="s">
        <v>29</v>
      </c>
      <c r="U710" t="s">
        <v>29</v>
      </c>
      <c r="V710" t="s">
        <v>29</v>
      </c>
      <c r="W710" t="s">
        <v>29</v>
      </c>
      <c r="X710" t="s">
        <v>29</v>
      </c>
      <c r="Y710" t="s">
        <v>29</v>
      </c>
    </row>
    <row r="711" spans="1:25" x14ac:dyDescent="0.2">
      <c r="A711" t="s">
        <v>2625</v>
      </c>
      <c r="B711" t="s">
        <v>2626</v>
      </c>
      <c r="C711" t="s">
        <v>2627</v>
      </c>
      <c r="D711" t="s">
        <v>2628</v>
      </c>
      <c r="E711" t="s">
        <v>2626</v>
      </c>
      <c r="F711" t="s">
        <v>28</v>
      </c>
      <c r="G711" t="s">
        <v>2626</v>
      </c>
      <c r="H711" t="str">
        <f>"hpo-27"</f>
        <v>hpo-27</v>
      </c>
      <c r="I711" t="s">
        <v>2628</v>
      </c>
      <c r="J711">
        <v>13.294148457858601</v>
      </c>
      <c r="K711">
        <v>13.3013605941776</v>
      </c>
      <c r="L711">
        <v>13.305942826178899</v>
      </c>
      <c r="M711">
        <v>13.402110902742001</v>
      </c>
      <c r="N711">
        <v>13.2844219707649</v>
      </c>
      <c r="O711">
        <v>13.1634151521204</v>
      </c>
      <c r="P711">
        <v>-1.7167950862580401E-2</v>
      </c>
      <c r="Q711">
        <v>-0.42063572073540501</v>
      </c>
      <c r="R711">
        <v>0.38629981901024402</v>
      </c>
      <c r="S711">
        <v>13.407579412574499</v>
      </c>
      <c r="T711">
        <v>-8.9433891195420306E-2</v>
      </c>
      <c r="U711">
        <v>-6.8783113577644803</v>
      </c>
      <c r="V711">
        <v>0.92973044144920902</v>
      </c>
      <c r="W711">
        <v>0.99926809132575301</v>
      </c>
      <c r="X711">
        <v>0</v>
      </c>
      <c r="Y711">
        <v>0</v>
      </c>
    </row>
    <row r="712" spans="1:25" x14ac:dyDescent="0.2">
      <c r="A712" t="s">
        <v>2629</v>
      </c>
      <c r="B712" t="s">
        <v>2630</v>
      </c>
      <c r="C712" t="s">
        <v>2631</v>
      </c>
      <c r="D712" t="s">
        <v>2632</v>
      </c>
      <c r="E712" t="s">
        <v>2630</v>
      </c>
      <c r="F712" t="s">
        <v>28</v>
      </c>
      <c r="G712" t="s">
        <v>2630</v>
      </c>
      <c r="H712" t="str">
        <f>"atg-4.1"</f>
        <v>atg-4.1</v>
      </c>
      <c r="I712" t="s">
        <v>2632</v>
      </c>
      <c r="J712">
        <v>9.3671069316537494</v>
      </c>
      <c r="K712" t="s">
        <v>29</v>
      </c>
      <c r="L712">
        <v>9.6309634378707596</v>
      </c>
      <c r="M712">
        <v>11.057712435667</v>
      </c>
      <c r="N712">
        <v>10.8618220621365</v>
      </c>
      <c r="O712" t="s">
        <v>29</v>
      </c>
      <c r="P712">
        <v>1.4607320641395101</v>
      </c>
      <c r="Q712">
        <v>0.41755659640174903</v>
      </c>
      <c r="R712">
        <v>2.5039075318772701</v>
      </c>
      <c r="S712">
        <v>10.3912491992619</v>
      </c>
      <c r="T712">
        <v>3.1733465494306099</v>
      </c>
      <c r="U712">
        <v>-3.0219342894699501</v>
      </c>
      <c r="V712">
        <v>1.1472143605174E-2</v>
      </c>
      <c r="W712">
        <v>0.19579125086163601</v>
      </c>
      <c r="X712">
        <v>1</v>
      </c>
      <c r="Y712">
        <v>0</v>
      </c>
    </row>
    <row r="713" spans="1:25" x14ac:dyDescent="0.2">
      <c r="A713" t="s">
        <v>2633</v>
      </c>
      <c r="B713" t="s">
        <v>2634</v>
      </c>
      <c r="C713" t="s">
        <v>2635</v>
      </c>
      <c r="D713" t="s">
        <v>2636</v>
      </c>
      <c r="E713" t="s">
        <v>2634</v>
      </c>
      <c r="F713" t="s">
        <v>28</v>
      </c>
      <c r="G713" t="s">
        <v>2634</v>
      </c>
      <c r="H713" t="str">
        <f>"B0001.8"</f>
        <v>B0001.8</v>
      </c>
      <c r="I713" t="s">
        <v>2636</v>
      </c>
      <c r="J713">
        <v>12.407906206403799</v>
      </c>
      <c r="K713">
        <v>12.0935570456856</v>
      </c>
      <c r="L713">
        <v>12.2078049694912</v>
      </c>
      <c r="M713">
        <v>11.6115144514129</v>
      </c>
      <c r="N713">
        <v>11.7425886707701</v>
      </c>
      <c r="O713">
        <v>12.0800346804082</v>
      </c>
      <c r="P713">
        <v>-0.42504347299648498</v>
      </c>
      <c r="Q713">
        <v>-0.93573928128622996</v>
      </c>
      <c r="R713">
        <v>8.5652335293259302E-2</v>
      </c>
      <c r="S713">
        <v>12.402156132627001</v>
      </c>
      <c r="T713">
        <v>-1.7653084012743701</v>
      </c>
      <c r="U713">
        <v>-5.3871926459219202</v>
      </c>
      <c r="V713">
        <v>9.6711992038290895E-2</v>
      </c>
      <c r="W713">
        <v>0.64348946963843101</v>
      </c>
      <c r="X713">
        <v>0</v>
      </c>
      <c r="Y713">
        <v>0</v>
      </c>
    </row>
    <row r="714" spans="1:25" x14ac:dyDescent="0.2">
      <c r="A714" t="s">
        <v>2637</v>
      </c>
      <c r="B714" t="s">
        <v>2638</v>
      </c>
      <c r="C714" t="s">
        <v>14318</v>
      </c>
      <c r="D714" t="s">
        <v>828</v>
      </c>
      <c r="E714" t="s">
        <v>2638</v>
      </c>
      <c r="F714" t="s">
        <v>28</v>
      </c>
      <c r="G714" t="s">
        <v>2638</v>
      </c>
      <c r="H714" t="str">
        <f>"F13B12.6"</f>
        <v>F13B12.6</v>
      </c>
      <c r="I714" t="s">
        <v>828</v>
      </c>
      <c r="J714" t="s">
        <v>29</v>
      </c>
      <c r="K714" t="s">
        <v>29</v>
      </c>
      <c r="L714" t="s">
        <v>29</v>
      </c>
      <c r="M714" t="s">
        <v>29</v>
      </c>
      <c r="N714" t="s">
        <v>29</v>
      </c>
      <c r="O714" t="s">
        <v>29</v>
      </c>
      <c r="P714" t="s">
        <v>29</v>
      </c>
      <c r="Q714" t="s">
        <v>29</v>
      </c>
      <c r="R714" t="s">
        <v>29</v>
      </c>
      <c r="S714">
        <v>10.7060056512658</v>
      </c>
      <c r="T714" t="s">
        <v>29</v>
      </c>
      <c r="U714" t="s">
        <v>29</v>
      </c>
      <c r="V714" t="s">
        <v>29</v>
      </c>
      <c r="W714" t="s">
        <v>29</v>
      </c>
      <c r="X714" t="s">
        <v>29</v>
      </c>
      <c r="Y714" t="s">
        <v>29</v>
      </c>
    </row>
    <row r="715" spans="1:25" x14ac:dyDescent="0.2">
      <c r="A715" t="s">
        <v>2639</v>
      </c>
      <c r="B715" t="s">
        <v>2640</v>
      </c>
      <c r="C715" t="s">
        <v>14319</v>
      </c>
      <c r="D715" t="s">
        <v>2641</v>
      </c>
      <c r="E715" t="s">
        <v>2640</v>
      </c>
      <c r="F715" t="s">
        <v>28</v>
      </c>
      <c r="G715" t="s">
        <v>2640</v>
      </c>
      <c r="H715" t="str">
        <f>"F13E9.11"</f>
        <v>F13E9.11</v>
      </c>
      <c r="I715" t="s">
        <v>2641</v>
      </c>
      <c r="J715">
        <v>12.930736713844899</v>
      </c>
      <c r="K715">
        <v>13.1572590388056</v>
      </c>
      <c r="L715">
        <v>12.7490148692231</v>
      </c>
      <c r="M715">
        <v>12.8297585188861</v>
      </c>
      <c r="N715">
        <v>12.388368204361401</v>
      </c>
      <c r="O715">
        <v>12.6041627785748</v>
      </c>
      <c r="P715">
        <v>-0.33824037335040702</v>
      </c>
      <c r="Q715">
        <v>-0.82934163971340402</v>
      </c>
      <c r="R715">
        <v>0.15286089301258901</v>
      </c>
      <c r="S715">
        <v>13.1111822182701</v>
      </c>
      <c r="T715">
        <v>-1.4537991283757501</v>
      </c>
      <c r="U715">
        <v>-5.83937746868407</v>
      </c>
      <c r="V715">
        <v>0.16432616462708999</v>
      </c>
      <c r="W715">
        <v>0.76700908257918199</v>
      </c>
      <c r="X715">
        <v>0</v>
      </c>
      <c r="Y715">
        <v>0</v>
      </c>
    </row>
    <row r="716" spans="1:25" x14ac:dyDescent="0.2">
      <c r="A716" t="s">
        <v>2642</v>
      </c>
      <c r="B716" t="s">
        <v>2643</v>
      </c>
      <c r="C716" t="s">
        <v>2644</v>
      </c>
      <c r="D716" t="s">
        <v>2645</v>
      </c>
      <c r="E716" t="s">
        <v>2643</v>
      </c>
      <c r="F716" t="s">
        <v>28</v>
      </c>
      <c r="G716" t="s">
        <v>2643</v>
      </c>
      <c r="H716" t="str">
        <f>"pod-1"</f>
        <v>pod-1</v>
      </c>
      <c r="I716" t="s">
        <v>2645</v>
      </c>
      <c r="J716">
        <v>14.446631996445999</v>
      </c>
      <c r="K716">
        <v>14.1355997830532</v>
      </c>
      <c r="L716">
        <v>14.1917198648534</v>
      </c>
      <c r="M716">
        <v>14.2288198405762</v>
      </c>
      <c r="N716">
        <v>14.150771459728301</v>
      </c>
      <c r="O716">
        <v>14.2948285444477</v>
      </c>
      <c r="P716">
        <v>-3.3177266533440899E-2</v>
      </c>
      <c r="Q716">
        <v>-0.50670224126505103</v>
      </c>
      <c r="R716">
        <v>0.44034770819816998</v>
      </c>
      <c r="S716">
        <v>13.9855421705431</v>
      </c>
      <c r="T716">
        <v>-0.14726184093279901</v>
      </c>
      <c r="U716">
        <v>-6.8711655847772404</v>
      </c>
      <c r="V716">
        <v>0.88457180145363301</v>
      </c>
      <c r="W716">
        <v>0.99702926582654094</v>
      </c>
      <c r="X716">
        <v>0</v>
      </c>
      <c r="Y716">
        <v>0</v>
      </c>
    </row>
    <row r="717" spans="1:25" x14ac:dyDescent="0.2">
      <c r="A717" t="s">
        <v>2646</v>
      </c>
      <c r="B717" t="s">
        <v>2647</v>
      </c>
      <c r="C717" t="s">
        <v>14320</v>
      </c>
      <c r="D717" t="s">
        <v>2648</v>
      </c>
      <c r="E717" t="s">
        <v>2647</v>
      </c>
      <c r="F717" t="s">
        <v>28</v>
      </c>
      <c r="G717" t="s">
        <v>2647</v>
      </c>
      <c r="H717" t="str">
        <f>"W07E11.1"</f>
        <v>W07E11.1</v>
      </c>
      <c r="I717" t="s">
        <v>2648</v>
      </c>
      <c r="J717">
        <v>14.0249808061071</v>
      </c>
      <c r="K717">
        <v>13.7473651449453</v>
      </c>
      <c r="L717">
        <v>13.3542312515386</v>
      </c>
      <c r="M717">
        <v>14.5542425456486</v>
      </c>
      <c r="N717">
        <v>14.479018268535301</v>
      </c>
      <c r="O717">
        <v>14.620975855351601</v>
      </c>
      <c r="P717">
        <v>0.84255315564814703</v>
      </c>
      <c r="Q717">
        <v>0.38672789857987</v>
      </c>
      <c r="R717">
        <v>1.29837841271642</v>
      </c>
      <c r="S717">
        <v>14.3749106043913</v>
      </c>
      <c r="T717">
        <v>3.8850037030990201</v>
      </c>
      <c r="U717">
        <v>-1.18589942474232</v>
      </c>
      <c r="V717">
        <v>1.0952530037419701E-3</v>
      </c>
      <c r="W717">
        <v>3.3406492519522497E-2</v>
      </c>
      <c r="X717">
        <v>0</v>
      </c>
      <c r="Y717">
        <v>0</v>
      </c>
    </row>
    <row r="718" spans="1:25" x14ac:dyDescent="0.2">
      <c r="A718" t="s">
        <v>2649</v>
      </c>
      <c r="B718" t="s">
        <v>2650</v>
      </c>
      <c r="C718" t="s">
        <v>2651</v>
      </c>
      <c r="D718" t="s">
        <v>2652</v>
      </c>
      <c r="E718" t="s">
        <v>2650</v>
      </c>
      <c r="F718" t="s">
        <v>28</v>
      </c>
      <c r="G718" t="s">
        <v>2650</v>
      </c>
      <c r="H718" t="str">
        <f>"gtf-2h4"</f>
        <v>gtf-2h4</v>
      </c>
      <c r="I718" t="s">
        <v>2652</v>
      </c>
      <c r="J718">
        <v>14.032733230985899</v>
      </c>
      <c r="K718">
        <v>13.841842888509699</v>
      </c>
      <c r="L718">
        <v>13.744496094635601</v>
      </c>
      <c r="M718">
        <v>13.9538078871509</v>
      </c>
      <c r="N718">
        <v>13.8733522265731</v>
      </c>
      <c r="O718">
        <v>13.8908803844967</v>
      </c>
      <c r="P718">
        <v>3.2989428029809503E-2</v>
      </c>
      <c r="Q718">
        <v>-0.31401501777861901</v>
      </c>
      <c r="R718">
        <v>0.37999387383823802</v>
      </c>
      <c r="S718">
        <v>13.8187494745941</v>
      </c>
      <c r="T718">
        <v>0.200673377364602</v>
      </c>
      <c r="U718">
        <v>-6.8614081394928599</v>
      </c>
      <c r="V718">
        <v>0.843349851572608</v>
      </c>
      <c r="W718">
        <v>0.99370971747667503</v>
      </c>
      <c r="X718">
        <v>0</v>
      </c>
      <c r="Y718">
        <v>0</v>
      </c>
    </row>
    <row r="719" spans="1:25" x14ac:dyDescent="0.2">
      <c r="A719" t="s">
        <v>2653</v>
      </c>
      <c r="B719" t="s">
        <v>2654</v>
      </c>
      <c r="C719" t="s">
        <v>14321</v>
      </c>
      <c r="D719" t="s">
        <v>2655</v>
      </c>
      <c r="E719" t="s">
        <v>2654</v>
      </c>
      <c r="F719" t="s">
        <v>28</v>
      </c>
      <c r="G719" t="s">
        <v>2654</v>
      </c>
      <c r="H719" t="str">
        <f>"Y69H2.7"</f>
        <v>Y69H2.7</v>
      </c>
      <c r="I719" t="s">
        <v>2655</v>
      </c>
      <c r="J719">
        <v>12.8828881316619</v>
      </c>
      <c r="K719">
        <v>13.0757551368888</v>
      </c>
      <c r="L719">
        <v>12.801992489416699</v>
      </c>
      <c r="M719">
        <v>12.0460634766154</v>
      </c>
      <c r="N719">
        <v>12.692735023141999</v>
      </c>
      <c r="O719" t="s">
        <v>29</v>
      </c>
      <c r="P719">
        <v>-0.55081266944373097</v>
      </c>
      <c r="Q719">
        <v>-1.4234507340056799</v>
      </c>
      <c r="R719">
        <v>0.321825395118222</v>
      </c>
      <c r="S719">
        <v>12.516324740601499</v>
      </c>
      <c r="T719">
        <v>-1.34620554126838</v>
      </c>
      <c r="U719">
        <v>-5.8721049705778796</v>
      </c>
      <c r="V719">
        <v>0.198367540143538</v>
      </c>
      <c r="W719">
        <v>0.79075284576134597</v>
      </c>
      <c r="X719">
        <v>0</v>
      </c>
      <c r="Y719">
        <v>0</v>
      </c>
    </row>
    <row r="720" spans="1:25" x14ac:dyDescent="0.2">
      <c r="A720" t="s">
        <v>2656</v>
      </c>
      <c r="B720" t="s">
        <v>2657</v>
      </c>
      <c r="C720" t="s">
        <v>2658</v>
      </c>
      <c r="D720" t="s">
        <v>806</v>
      </c>
      <c r="E720" t="s">
        <v>2657</v>
      </c>
      <c r="F720" t="s">
        <v>28</v>
      </c>
      <c r="G720" t="s">
        <v>2657</v>
      </c>
      <c r="H720" t="str">
        <f>"nish-1"</f>
        <v>nish-1</v>
      </c>
      <c r="I720" t="s">
        <v>806</v>
      </c>
      <c r="J720">
        <v>12.9232670898755</v>
      </c>
      <c r="K720">
        <v>12.518161763569699</v>
      </c>
      <c r="L720">
        <v>13.0441860352727</v>
      </c>
      <c r="M720">
        <v>13.0481273663744</v>
      </c>
      <c r="N720">
        <v>12.914974987223401</v>
      </c>
      <c r="O720">
        <v>12.6656729331558</v>
      </c>
      <c r="P720">
        <v>4.7720132678565001E-2</v>
      </c>
      <c r="Q720">
        <v>-0.42334006745199099</v>
      </c>
      <c r="R720">
        <v>0.51878033280912095</v>
      </c>
      <c r="S720">
        <v>12.786721991313099</v>
      </c>
      <c r="T720">
        <v>0.21605625105864801</v>
      </c>
      <c r="U720">
        <v>-6.8578781609703299</v>
      </c>
      <c r="V720">
        <v>0.83187482756929498</v>
      </c>
      <c r="W720">
        <v>0.99370240586176295</v>
      </c>
      <c r="X720">
        <v>0</v>
      </c>
      <c r="Y720">
        <v>0</v>
      </c>
    </row>
    <row r="721" spans="1:25" x14ac:dyDescent="0.2">
      <c r="A721" t="s">
        <v>2659</v>
      </c>
      <c r="B721" t="s">
        <v>2660</v>
      </c>
      <c r="C721" t="s">
        <v>2661</v>
      </c>
      <c r="D721" t="s">
        <v>2217</v>
      </c>
      <c r="E721" t="s">
        <v>2660</v>
      </c>
      <c r="F721" t="s">
        <v>28</v>
      </c>
      <c r="G721" t="s">
        <v>2660</v>
      </c>
      <c r="H721" t="str">
        <f>"hpo-34"</f>
        <v>hpo-34</v>
      </c>
      <c r="I721" t="s">
        <v>2217</v>
      </c>
      <c r="J721">
        <v>12.5400651581371</v>
      </c>
      <c r="K721">
        <v>12.8416822172055</v>
      </c>
      <c r="L721">
        <v>13.2930437164722</v>
      </c>
      <c r="M721">
        <v>11.741762278998101</v>
      </c>
      <c r="N721">
        <v>11.7810267296848</v>
      </c>
      <c r="O721">
        <v>12.4998064536057</v>
      </c>
      <c r="P721">
        <v>-0.88406520984204395</v>
      </c>
      <c r="Q721">
        <v>-1.5443992999465199</v>
      </c>
      <c r="R721">
        <v>-0.22373111973756901</v>
      </c>
      <c r="S721">
        <v>12.8547073052803</v>
      </c>
      <c r="T721">
        <v>-2.8259898322753898</v>
      </c>
      <c r="U721">
        <v>-3.4624463536715</v>
      </c>
      <c r="V721">
        <v>1.17011471637161E-2</v>
      </c>
      <c r="W721">
        <v>0.19651013461141001</v>
      </c>
      <c r="X721">
        <v>0</v>
      </c>
      <c r="Y721">
        <v>0</v>
      </c>
    </row>
    <row r="722" spans="1:25" x14ac:dyDescent="0.2">
      <c r="A722" t="s">
        <v>2662</v>
      </c>
      <c r="B722" t="s">
        <v>2663</v>
      </c>
      <c r="C722" t="s">
        <v>2664</v>
      </c>
      <c r="D722" t="s">
        <v>603</v>
      </c>
      <c r="E722" t="s">
        <v>2663</v>
      </c>
      <c r="F722" t="s">
        <v>28</v>
      </c>
      <c r="G722" t="s">
        <v>2663</v>
      </c>
      <c r="H722" t="str">
        <f>"imph-1"</f>
        <v>imph-1</v>
      </c>
      <c r="I722" t="s">
        <v>603</v>
      </c>
      <c r="J722">
        <v>16.4145688023983</v>
      </c>
      <c r="K722">
        <v>16.760446132183102</v>
      </c>
      <c r="L722">
        <v>17.0024955969606</v>
      </c>
      <c r="M722">
        <v>16.636201718568799</v>
      </c>
      <c r="N722">
        <v>16.868294845121198</v>
      </c>
      <c r="O722">
        <v>16.6761797335705</v>
      </c>
      <c r="P722">
        <v>1.05525523949268E-3</v>
      </c>
      <c r="Q722">
        <v>-0.40400509482508601</v>
      </c>
      <c r="R722">
        <v>0.40611560530407098</v>
      </c>
      <c r="S722">
        <v>17.0733479032376</v>
      </c>
      <c r="T722">
        <v>5.4755821192367703E-3</v>
      </c>
      <c r="U722">
        <v>-6.8824739088951601</v>
      </c>
      <c r="V722">
        <v>0.99569171946514201</v>
      </c>
      <c r="W722">
        <v>0.99968702248720698</v>
      </c>
      <c r="X722">
        <v>0</v>
      </c>
      <c r="Y722">
        <v>0</v>
      </c>
    </row>
    <row r="723" spans="1:25" x14ac:dyDescent="0.2">
      <c r="A723" t="s">
        <v>2665</v>
      </c>
      <c r="B723" t="s">
        <v>2666</v>
      </c>
      <c r="C723" t="s">
        <v>14322</v>
      </c>
      <c r="D723" t="s">
        <v>107</v>
      </c>
      <c r="E723" t="s">
        <v>2666</v>
      </c>
      <c r="F723" t="s">
        <v>28</v>
      </c>
      <c r="G723" t="s">
        <v>2666</v>
      </c>
      <c r="H723" t="str">
        <f>"F14D7.6"</f>
        <v>F14D7.6</v>
      </c>
      <c r="I723" t="s">
        <v>107</v>
      </c>
      <c r="J723" t="s">
        <v>29</v>
      </c>
      <c r="K723" t="s">
        <v>29</v>
      </c>
      <c r="L723" t="s">
        <v>29</v>
      </c>
      <c r="M723" t="s">
        <v>29</v>
      </c>
      <c r="N723" t="s">
        <v>29</v>
      </c>
      <c r="O723" t="s">
        <v>29</v>
      </c>
      <c r="P723" t="s">
        <v>29</v>
      </c>
      <c r="Q723" t="s">
        <v>29</v>
      </c>
      <c r="R723" t="s">
        <v>29</v>
      </c>
      <c r="S723">
        <v>10.930826364159699</v>
      </c>
      <c r="T723" t="s">
        <v>29</v>
      </c>
      <c r="U723" t="s">
        <v>29</v>
      </c>
      <c r="V723" t="s">
        <v>29</v>
      </c>
      <c r="W723" t="s">
        <v>29</v>
      </c>
      <c r="X723" t="s">
        <v>29</v>
      </c>
      <c r="Y723" t="s">
        <v>29</v>
      </c>
    </row>
    <row r="724" spans="1:25" x14ac:dyDescent="0.2">
      <c r="A724" t="s">
        <v>2667</v>
      </c>
      <c r="B724" t="s">
        <v>2668</v>
      </c>
      <c r="C724" t="s">
        <v>14323</v>
      </c>
      <c r="D724" t="s">
        <v>2669</v>
      </c>
      <c r="E724" t="s">
        <v>2668</v>
      </c>
      <c r="F724" t="s">
        <v>28</v>
      </c>
      <c r="G724" t="s">
        <v>2668</v>
      </c>
      <c r="H724" t="str">
        <f>"F55F10.1"</f>
        <v>F55F10.1</v>
      </c>
      <c r="I724" t="s">
        <v>2669</v>
      </c>
      <c r="J724">
        <v>13.0906394124821</v>
      </c>
      <c r="K724">
        <v>12.9211203702466</v>
      </c>
      <c r="L724">
        <v>13.0508222922993</v>
      </c>
      <c r="M724">
        <v>13.040084591268499</v>
      </c>
      <c r="N724">
        <v>13.181376876761</v>
      </c>
      <c r="O724">
        <v>12.8437196184092</v>
      </c>
      <c r="P724">
        <v>8.6633713687866998E-4</v>
      </c>
      <c r="Q724">
        <v>-0.39657813912479001</v>
      </c>
      <c r="R724">
        <v>0.39831081339854701</v>
      </c>
      <c r="S724">
        <v>13.075631744466</v>
      </c>
      <c r="T724">
        <v>4.60108735960246E-3</v>
      </c>
      <c r="U724">
        <v>-6.8824784784901203</v>
      </c>
      <c r="V724">
        <v>0.99638276850663099</v>
      </c>
      <c r="W724">
        <v>0.99968702248720698</v>
      </c>
      <c r="X724">
        <v>0</v>
      </c>
      <c r="Y724">
        <v>0</v>
      </c>
    </row>
    <row r="725" spans="1:25" x14ac:dyDescent="0.2">
      <c r="A725" t="s">
        <v>2670</v>
      </c>
      <c r="B725" t="s">
        <v>2671</v>
      </c>
      <c r="C725" t="s">
        <v>2672</v>
      </c>
      <c r="D725" t="s">
        <v>252</v>
      </c>
      <c r="E725" t="s">
        <v>2671</v>
      </c>
      <c r="F725" t="s">
        <v>28</v>
      </c>
      <c r="G725" t="s">
        <v>2671</v>
      </c>
      <c r="H725" t="str">
        <f>"unk-1"</f>
        <v>unk-1</v>
      </c>
      <c r="I725" t="s">
        <v>252</v>
      </c>
      <c r="J725" t="s">
        <v>29</v>
      </c>
      <c r="K725">
        <v>9.5526295442138593</v>
      </c>
      <c r="L725">
        <v>10.804787310241499</v>
      </c>
      <c r="M725">
        <v>10.5205226166852</v>
      </c>
      <c r="N725">
        <v>11.7549036286443</v>
      </c>
      <c r="O725">
        <v>10.935926492080601</v>
      </c>
      <c r="P725">
        <v>0.89174248524235</v>
      </c>
      <c r="Q725">
        <v>5.2995934795858297E-2</v>
      </c>
      <c r="R725">
        <v>1.73048903568884</v>
      </c>
      <c r="S725">
        <v>12.147512689443399</v>
      </c>
      <c r="T725">
        <v>2.2550607238986702</v>
      </c>
      <c r="U725">
        <v>-4.4620191213564997</v>
      </c>
      <c r="V725">
        <v>3.8590968225870201E-2</v>
      </c>
      <c r="W725">
        <v>0.42386383582738002</v>
      </c>
      <c r="X725">
        <v>0</v>
      </c>
      <c r="Y725">
        <v>0</v>
      </c>
    </row>
    <row r="726" spans="1:25" x14ac:dyDescent="0.2">
      <c r="A726" t="s">
        <v>2673</v>
      </c>
      <c r="B726" t="s">
        <v>2674</v>
      </c>
      <c r="C726" t="s">
        <v>14324</v>
      </c>
      <c r="D726" t="s">
        <v>2675</v>
      </c>
      <c r="E726" t="s">
        <v>2674</v>
      </c>
      <c r="F726" t="s">
        <v>28</v>
      </c>
      <c r="G726" t="s">
        <v>2674</v>
      </c>
      <c r="H726" t="str">
        <f>"M04C3.1"</f>
        <v>M04C3.1</v>
      </c>
      <c r="I726" t="s">
        <v>2675</v>
      </c>
      <c r="J726">
        <v>12.653483524706401</v>
      </c>
      <c r="K726">
        <v>12.692915338473499</v>
      </c>
      <c r="L726">
        <v>12.3709192222566</v>
      </c>
      <c r="M726" t="s">
        <v>29</v>
      </c>
      <c r="N726">
        <v>12.8376977730388</v>
      </c>
      <c r="O726" t="s">
        <v>29</v>
      </c>
      <c r="P726">
        <v>0.26525841122666399</v>
      </c>
      <c r="Q726">
        <v>-0.54996117178122705</v>
      </c>
      <c r="R726">
        <v>1.0804779942345599</v>
      </c>
      <c r="S726">
        <v>12.6500099091389</v>
      </c>
      <c r="T726">
        <v>0.70352867728000501</v>
      </c>
      <c r="U726">
        <v>-6.2848066261591597</v>
      </c>
      <c r="V726">
        <v>0.49423424814884698</v>
      </c>
      <c r="W726">
        <v>0.94062983959761604</v>
      </c>
      <c r="X726">
        <v>0</v>
      </c>
      <c r="Y726">
        <v>0</v>
      </c>
    </row>
    <row r="727" spans="1:25" x14ac:dyDescent="0.2">
      <c r="A727" t="s">
        <v>2676</v>
      </c>
      <c r="B727" t="s">
        <v>2677</v>
      </c>
      <c r="C727" t="s">
        <v>2678</v>
      </c>
      <c r="D727" t="s">
        <v>2679</v>
      </c>
      <c r="E727" t="s">
        <v>2677</v>
      </c>
      <c r="F727" t="s">
        <v>28</v>
      </c>
      <c r="G727" t="s">
        <v>2677</v>
      </c>
      <c r="H727" t="str">
        <f>"rsp-7"</f>
        <v>rsp-7</v>
      </c>
      <c r="I727" t="s">
        <v>2679</v>
      </c>
      <c r="J727">
        <v>13.6779311885282</v>
      </c>
      <c r="K727">
        <v>12.561133643612401</v>
      </c>
      <c r="L727">
        <v>12.983153266851801</v>
      </c>
      <c r="M727">
        <v>11.8157681988669</v>
      </c>
      <c r="N727" t="s">
        <v>29</v>
      </c>
      <c r="O727" t="s">
        <v>29</v>
      </c>
      <c r="P727">
        <v>-1.25830450079727</v>
      </c>
      <c r="Q727">
        <v>-2.8971950349092599</v>
      </c>
      <c r="R727">
        <v>0.38058603331472801</v>
      </c>
      <c r="S727">
        <v>13.7250813503098</v>
      </c>
      <c r="T727">
        <v>-1.64788801811969</v>
      </c>
      <c r="U727">
        <v>-5.2412489988817903</v>
      </c>
      <c r="V727">
        <v>0.12179377369246901</v>
      </c>
      <c r="W727">
        <v>0.708618319665276</v>
      </c>
      <c r="X727">
        <v>0</v>
      </c>
      <c r="Y727">
        <v>0</v>
      </c>
    </row>
    <row r="728" spans="1:25" x14ac:dyDescent="0.2">
      <c r="A728" t="s">
        <v>2680</v>
      </c>
      <c r="B728" t="s">
        <v>2681</v>
      </c>
      <c r="C728" t="s">
        <v>14325</v>
      </c>
      <c r="D728" t="s">
        <v>2682</v>
      </c>
      <c r="E728" t="s">
        <v>2681</v>
      </c>
      <c r="F728" t="s">
        <v>28</v>
      </c>
      <c r="G728" t="s">
        <v>2681</v>
      </c>
      <c r="H728" t="str">
        <f>"T20D3.5"</f>
        <v>T20D3.5</v>
      </c>
      <c r="I728" t="s">
        <v>2682</v>
      </c>
      <c r="J728" t="s">
        <v>29</v>
      </c>
      <c r="K728" t="s">
        <v>29</v>
      </c>
      <c r="L728" t="s">
        <v>29</v>
      </c>
      <c r="M728" t="s">
        <v>29</v>
      </c>
      <c r="N728" t="s">
        <v>29</v>
      </c>
      <c r="O728" t="s">
        <v>29</v>
      </c>
      <c r="P728" t="s">
        <v>29</v>
      </c>
      <c r="Q728" t="s">
        <v>29</v>
      </c>
      <c r="R728" t="s">
        <v>29</v>
      </c>
      <c r="S728">
        <v>12.100926551240599</v>
      </c>
      <c r="T728" t="s">
        <v>29</v>
      </c>
      <c r="U728" t="s">
        <v>29</v>
      </c>
      <c r="V728" t="s">
        <v>29</v>
      </c>
      <c r="W728" t="s">
        <v>29</v>
      </c>
      <c r="X728" t="s">
        <v>29</v>
      </c>
      <c r="Y728" t="s">
        <v>29</v>
      </c>
    </row>
    <row r="729" spans="1:25" x14ac:dyDescent="0.2">
      <c r="A729" t="s">
        <v>2683</v>
      </c>
      <c r="B729" t="s">
        <v>2684</v>
      </c>
      <c r="C729" t="s">
        <v>14326</v>
      </c>
      <c r="D729" t="s">
        <v>2685</v>
      </c>
      <c r="E729" t="s">
        <v>2684</v>
      </c>
      <c r="F729" t="s">
        <v>28</v>
      </c>
      <c r="G729" t="s">
        <v>2684</v>
      </c>
      <c r="H729" t="str">
        <f>"T20D3.6"</f>
        <v>T20D3.6</v>
      </c>
      <c r="I729" t="s">
        <v>2685</v>
      </c>
      <c r="J729">
        <v>14.288878426221901</v>
      </c>
      <c r="K729">
        <v>14.2388367022217</v>
      </c>
      <c r="L729">
        <v>14.2785018016828</v>
      </c>
      <c r="M729">
        <v>14.6515125061151</v>
      </c>
      <c r="N729">
        <v>14.567497859159101</v>
      </c>
      <c r="O729">
        <v>14.5111492673716</v>
      </c>
      <c r="P729">
        <v>0.30798090083977098</v>
      </c>
      <c r="Q729">
        <v>-0.278047855613126</v>
      </c>
      <c r="R729">
        <v>0.89400965729266801</v>
      </c>
      <c r="S729">
        <v>13.8048275524028</v>
      </c>
      <c r="T729">
        <v>1.1093149622415299</v>
      </c>
      <c r="U729">
        <v>-6.2601384804064404</v>
      </c>
      <c r="V729">
        <v>0.28283536192039699</v>
      </c>
      <c r="W729">
        <v>0.856190392347986</v>
      </c>
      <c r="X729">
        <v>0</v>
      </c>
      <c r="Y729">
        <v>0</v>
      </c>
    </row>
    <row r="730" spans="1:25" x14ac:dyDescent="0.2">
      <c r="A730" t="s">
        <v>2686</v>
      </c>
      <c r="B730" t="s">
        <v>2687</v>
      </c>
      <c r="C730" t="s">
        <v>2688</v>
      </c>
      <c r="D730" t="s">
        <v>2689</v>
      </c>
      <c r="E730" t="s">
        <v>2687</v>
      </c>
      <c r="F730" t="s">
        <v>28</v>
      </c>
      <c r="G730" t="s">
        <v>2687</v>
      </c>
      <c r="H730" t="str">
        <f>"vps-26"</f>
        <v>vps-26</v>
      </c>
      <c r="I730" t="s">
        <v>2689</v>
      </c>
      <c r="J730">
        <v>15.072415738954099</v>
      </c>
      <c r="K730">
        <v>14.8434645105329</v>
      </c>
      <c r="L730">
        <v>14.852709074530299</v>
      </c>
      <c r="M730">
        <v>14.7945532609337</v>
      </c>
      <c r="N730">
        <v>14.428548564963499</v>
      </c>
      <c r="O730">
        <v>14.875420560885299</v>
      </c>
      <c r="P730">
        <v>-0.223355645744928</v>
      </c>
      <c r="Q730">
        <v>-0.71794234601164897</v>
      </c>
      <c r="R730">
        <v>0.27123105452179402</v>
      </c>
      <c r="S730">
        <v>14.133606342422</v>
      </c>
      <c r="T730">
        <v>-0.95324495173984203</v>
      </c>
      <c r="U730">
        <v>-6.4187145113021504</v>
      </c>
      <c r="V730">
        <v>0.35390622217159701</v>
      </c>
      <c r="W730">
        <v>0.87950242192597095</v>
      </c>
      <c r="X730">
        <v>0</v>
      </c>
      <c r="Y730">
        <v>0</v>
      </c>
    </row>
    <row r="731" spans="1:25" x14ac:dyDescent="0.2">
      <c r="A731" t="s">
        <v>2690</v>
      </c>
      <c r="B731" t="s">
        <v>2691</v>
      </c>
      <c r="C731" t="s">
        <v>14327</v>
      </c>
      <c r="D731" t="s">
        <v>2692</v>
      </c>
      <c r="E731" t="s">
        <v>2691</v>
      </c>
      <c r="F731" t="s">
        <v>28</v>
      </c>
      <c r="G731" t="s">
        <v>2691</v>
      </c>
      <c r="H731" t="str">
        <f>"F18A11.2"</f>
        <v>F18A11.2</v>
      </c>
      <c r="I731" t="s">
        <v>2692</v>
      </c>
      <c r="J731">
        <v>10.6232888121383</v>
      </c>
      <c r="K731">
        <v>10.8307149459156</v>
      </c>
      <c r="L731" t="s">
        <v>29</v>
      </c>
      <c r="M731">
        <v>11.1833752890012</v>
      </c>
      <c r="N731">
        <v>10.152042277423099</v>
      </c>
      <c r="O731">
        <v>10.9605155581615</v>
      </c>
      <c r="P731">
        <v>3.8309162501667202E-2</v>
      </c>
      <c r="Q731">
        <v>-0.78351876122078401</v>
      </c>
      <c r="R731">
        <v>0.860137086224118</v>
      </c>
      <c r="S731">
        <v>11.0068018831366</v>
      </c>
      <c r="T731">
        <v>9.9417621819479496E-2</v>
      </c>
      <c r="U731">
        <v>-6.7670005815361796</v>
      </c>
      <c r="V731">
        <v>0.92213238303605305</v>
      </c>
      <c r="W731">
        <v>0.99843270744267199</v>
      </c>
      <c r="X731">
        <v>0</v>
      </c>
      <c r="Y731">
        <v>0</v>
      </c>
    </row>
    <row r="732" spans="1:25" x14ac:dyDescent="0.2">
      <c r="A732" t="s">
        <v>2693</v>
      </c>
      <c r="B732" t="s">
        <v>2694</v>
      </c>
      <c r="C732" t="s">
        <v>2695</v>
      </c>
      <c r="D732" t="s">
        <v>2696</v>
      </c>
      <c r="E732" t="s">
        <v>2694</v>
      </c>
      <c r="F732" t="s">
        <v>28</v>
      </c>
      <c r="G732" t="s">
        <v>2694</v>
      </c>
      <c r="H732" t="str">
        <f>"drsh-1"</f>
        <v>drsh-1</v>
      </c>
      <c r="I732" t="s">
        <v>2696</v>
      </c>
      <c r="J732" t="s">
        <v>29</v>
      </c>
      <c r="K732" t="s">
        <v>29</v>
      </c>
      <c r="L732" t="s">
        <v>29</v>
      </c>
      <c r="M732" t="s">
        <v>29</v>
      </c>
      <c r="N732" t="s">
        <v>29</v>
      </c>
      <c r="O732" t="s">
        <v>29</v>
      </c>
      <c r="P732" t="s">
        <v>29</v>
      </c>
      <c r="Q732" t="s">
        <v>29</v>
      </c>
      <c r="R732" t="s">
        <v>29</v>
      </c>
      <c r="S732">
        <v>12.4932048105989</v>
      </c>
      <c r="T732" t="s">
        <v>29</v>
      </c>
      <c r="U732" t="s">
        <v>29</v>
      </c>
      <c r="V732" t="s">
        <v>29</v>
      </c>
      <c r="W732" t="s">
        <v>29</v>
      </c>
      <c r="X732" t="s">
        <v>29</v>
      </c>
      <c r="Y732" t="s">
        <v>29</v>
      </c>
    </row>
    <row r="733" spans="1:25" x14ac:dyDescent="0.2">
      <c r="A733" t="s">
        <v>2697</v>
      </c>
      <c r="B733" t="s">
        <v>2698</v>
      </c>
      <c r="C733" t="s">
        <v>2699</v>
      </c>
      <c r="D733" t="s">
        <v>2700</v>
      </c>
      <c r="E733" t="s">
        <v>2698</v>
      </c>
      <c r="F733" t="s">
        <v>28</v>
      </c>
      <c r="G733" t="s">
        <v>2698</v>
      </c>
      <c r="H733" t="str">
        <f>"csn-2"</f>
        <v>csn-2</v>
      </c>
      <c r="I733" t="s">
        <v>2700</v>
      </c>
      <c r="J733">
        <v>13.126845561351001</v>
      </c>
      <c r="K733">
        <v>13.258624780110701</v>
      </c>
      <c r="L733">
        <v>13.250548143567</v>
      </c>
      <c r="M733">
        <v>13.2657062189932</v>
      </c>
      <c r="N733">
        <v>13.076049906364</v>
      </c>
      <c r="O733">
        <v>12.790835937956</v>
      </c>
      <c r="P733">
        <v>-0.16780880723851899</v>
      </c>
      <c r="Q733">
        <v>-0.60233772597520097</v>
      </c>
      <c r="R733">
        <v>0.26672011149816299</v>
      </c>
      <c r="S733">
        <v>12.910268272393299</v>
      </c>
      <c r="T733">
        <v>-0.81911635125295001</v>
      </c>
      <c r="U733">
        <v>-6.5369038993259903</v>
      </c>
      <c r="V733">
        <v>0.424831714986668</v>
      </c>
      <c r="W733">
        <v>0.91512503332874395</v>
      </c>
      <c r="X733">
        <v>0</v>
      </c>
      <c r="Y733">
        <v>0</v>
      </c>
    </row>
    <row r="734" spans="1:25" x14ac:dyDescent="0.2">
      <c r="A734" t="s">
        <v>2701</v>
      </c>
      <c r="B734" t="s">
        <v>2702</v>
      </c>
      <c r="C734" t="s">
        <v>2703</v>
      </c>
      <c r="D734" t="s">
        <v>2704</v>
      </c>
      <c r="E734" t="s">
        <v>2702</v>
      </c>
      <c r="F734" t="s">
        <v>28</v>
      </c>
      <c r="G734" t="s">
        <v>2702</v>
      </c>
      <c r="H734" t="str">
        <f>"air-2"</f>
        <v>air-2</v>
      </c>
      <c r="I734" t="s">
        <v>2704</v>
      </c>
      <c r="J734">
        <v>11.364093199456301</v>
      </c>
      <c r="K734" t="s">
        <v>29</v>
      </c>
      <c r="L734">
        <v>10.746033464113401</v>
      </c>
      <c r="M734">
        <v>11.3844022120782</v>
      </c>
      <c r="N734" t="s">
        <v>29</v>
      </c>
      <c r="O734">
        <v>11.5542169103263</v>
      </c>
      <c r="P734">
        <v>0.41424622941739198</v>
      </c>
      <c r="Q734">
        <v>-0.47230843318794902</v>
      </c>
      <c r="R734">
        <v>1.3008008920227301</v>
      </c>
      <c r="S734">
        <v>11.3905432016624</v>
      </c>
      <c r="T734">
        <v>1.0102765913490599</v>
      </c>
      <c r="U734">
        <v>-6.16155593435799</v>
      </c>
      <c r="V734">
        <v>0.33094484476715602</v>
      </c>
      <c r="W734">
        <v>0.872914019258625</v>
      </c>
      <c r="X734">
        <v>0</v>
      </c>
      <c r="Y734">
        <v>0</v>
      </c>
    </row>
    <row r="735" spans="1:25" x14ac:dyDescent="0.2">
      <c r="A735" t="s">
        <v>2705</v>
      </c>
      <c r="B735" t="s">
        <v>2706</v>
      </c>
      <c r="C735" t="s">
        <v>2707</v>
      </c>
      <c r="D735" t="s">
        <v>2708</v>
      </c>
      <c r="E735" t="s">
        <v>2706</v>
      </c>
      <c r="F735" t="s">
        <v>28</v>
      </c>
      <c r="G735" t="s">
        <v>2706</v>
      </c>
      <c r="H735" t="str">
        <f>"B0261.6"</f>
        <v>B0261.6</v>
      </c>
      <c r="I735" t="s">
        <v>2708</v>
      </c>
      <c r="J735">
        <v>14.0431305243852</v>
      </c>
      <c r="K735">
        <v>10.9711115760407</v>
      </c>
      <c r="L735">
        <v>13.899173746685801</v>
      </c>
      <c r="M735">
        <v>15.172536936112699</v>
      </c>
      <c r="N735">
        <v>15.240058078832799</v>
      </c>
      <c r="O735">
        <v>13.171801737305699</v>
      </c>
      <c r="P735">
        <v>1.5569936350464999</v>
      </c>
      <c r="Q735">
        <v>-3.72545027111622E-2</v>
      </c>
      <c r="R735">
        <v>3.1512417728041702</v>
      </c>
      <c r="S735">
        <v>13.779625030625199</v>
      </c>
      <c r="T735">
        <v>2.0829196864130899</v>
      </c>
      <c r="U735">
        <v>-4.8746920138708001</v>
      </c>
      <c r="V735">
        <v>5.4912716879572603E-2</v>
      </c>
      <c r="W735">
        <v>0.50667104474271896</v>
      </c>
      <c r="X735">
        <v>1</v>
      </c>
      <c r="Y735">
        <v>0</v>
      </c>
    </row>
    <row r="736" spans="1:25" x14ac:dyDescent="0.2">
      <c r="A736" t="s">
        <v>2709</v>
      </c>
      <c r="B736" t="s">
        <v>2710</v>
      </c>
      <c r="C736" t="s">
        <v>2711</v>
      </c>
      <c r="D736" t="s">
        <v>2712</v>
      </c>
      <c r="E736" t="s">
        <v>2710</v>
      </c>
      <c r="F736" t="s">
        <v>28</v>
      </c>
      <c r="G736" t="s">
        <v>2710</v>
      </c>
      <c r="H736" t="str">
        <f>"vep-1"</f>
        <v>vep-1</v>
      </c>
      <c r="I736" t="s">
        <v>2712</v>
      </c>
      <c r="J736">
        <v>10.457885250100199</v>
      </c>
      <c r="K736" t="s">
        <v>29</v>
      </c>
      <c r="L736">
        <v>10.7600486671975</v>
      </c>
      <c r="M736">
        <v>10.015525533600201</v>
      </c>
      <c r="N736">
        <v>10.634717121824499</v>
      </c>
      <c r="O736">
        <v>10.5757962238737</v>
      </c>
      <c r="P736">
        <v>-0.20028733221605499</v>
      </c>
      <c r="Q736">
        <v>-1.0533146165646401</v>
      </c>
      <c r="R736">
        <v>0.652739952132525</v>
      </c>
      <c r="S736">
        <v>10.908061770112401</v>
      </c>
      <c r="T736">
        <v>-0.50076292242503295</v>
      </c>
      <c r="U736">
        <v>-6.6412386896846902</v>
      </c>
      <c r="V736">
        <v>0.62385630852400897</v>
      </c>
      <c r="W736">
        <v>0.97279262440453396</v>
      </c>
      <c r="X736">
        <v>0</v>
      </c>
      <c r="Y736">
        <v>0</v>
      </c>
    </row>
    <row r="737" spans="1:25" x14ac:dyDescent="0.2">
      <c r="A737" t="s">
        <v>2713</v>
      </c>
      <c r="B737" t="s">
        <v>2714</v>
      </c>
      <c r="C737" t="s">
        <v>2715</v>
      </c>
      <c r="D737" t="s">
        <v>2716</v>
      </c>
      <c r="E737" t="s">
        <v>2714</v>
      </c>
      <c r="F737" t="s">
        <v>28</v>
      </c>
      <c r="G737" t="s">
        <v>2714</v>
      </c>
      <c r="H737" t="str">
        <f>"B0261.7"</f>
        <v>B0261.7</v>
      </c>
      <c r="I737" t="s">
        <v>2716</v>
      </c>
      <c r="J737" t="s">
        <v>29</v>
      </c>
      <c r="K737" t="s">
        <v>29</v>
      </c>
      <c r="L737" t="s">
        <v>29</v>
      </c>
      <c r="M737" t="s">
        <v>29</v>
      </c>
      <c r="N737">
        <v>11.181638950179</v>
      </c>
      <c r="O737" t="s">
        <v>29</v>
      </c>
      <c r="P737" t="s">
        <v>29</v>
      </c>
      <c r="Q737" t="s">
        <v>29</v>
      </c>
      <c r="R737" t="s">
        <v>29</v>
      </c>
      <c r="S737">
        <v>11.7454211665193</v>
      </c>
      <c r="T737" t="s">
        <v>29</v>
      </c>
      <c r="U737" t="s">
        <v>29</v>
      </c>
      <c r="V737" t="s">
        <v>29</v>
      </c>
      <c r="W737" t="s">
        <v>29</v>
      </c>
      <c r="X737" t="s">
        <v>29</v>
      </c>
      <c r="Y737" t="s">
        <v>29</v>
      </c>
    </row>
    <row r="738" spans="1:25" x14ac:dyDescent="0.2">
      <c r="A738" t="s">
        <v>2717</v>
      </c>
      <c r="B738" t="s">
        <v>2718</v>
      </c>
      <c r="C738" t="s">
        <v>2719</v>
      </c>
      <c r="D738" t="s">
        <v>2720</v>
      </c>
      <c r="E738" t="s">
        <v>2718</v>
      </c>
      <c r="F738" t="s">
        <v>28</v>
      </c>
      <c r="G738" t="s">
        <v>2718</v>
      </c>
      <c r="H738" t="str">
        <f>"C04E6.11"</f>
        <v>C04E6.11</v>
      </c>
      <c r="I738" t="s">
        <v>2720</v>
      </c>
      <c r="J738">
        <v>12.573188124519801</v>
      </c>
      <c r="K738">
        <v>12.578844895904799</v>
      </c>
      <c r="L738">
        <v>13.2764990414903</v>
      </c>
      <c r="M738">
        <v>12.697556565365099</v>
      </c>
      <c r="N738">
        <v>12.1106797636055</v>
      </c>
      <c r="O738">
        <v>12.0741802772779</v>
      </c>
      <c r="P738">
        <v>-0.51537181855551095</v>
      </c>
      <c r="Q738">
        <v>-0.98690346241877003</v>
      </c>
      <c r="R738">
        <v>-4.3840174692252501E-2</v>
      </c>
      <c r="S738">
        <v>12.848582981506601</v>
      </c>
      <c r="T738">
        <v>-2.3182451171081602</v>
      </c>
      <c r="U738">
        <v>-4.45147781799953</v>
      </c>
      <c r="V738">
        <v>3.4097563825196603E-2</v>
      </c>
      <c r="W738">
        <v>0.40239961847607902</v>
      </c>
      <c r="X738">
        <v>0</v>
      </c>
      <c r="Y738">
        <v>0</v>
      </c>
    </row>
    <row r="739" spans="1:25" x14ac:dyDescent="0.2">
      <c r="A739" t="s">
        <v>2721</v>
      </c>
      <c r="B739" t="s">
        <v>2722</v>
      </c>
      <c r="C739" t="s">
        <v>2723</v>
      </c>
      <c r="D739" t="s">
        <v>2724</v>
      </c>
      <c r="E739" t="s">
        <v>2722</v>
      </c>
      <c r="F739" t="s">
        <v>28</v>
      </c>
      <c r="G739" t="s">
        <v>2722</v>
      </c>
      <c r="H739" t="str">
        <f>"simr-1"</f>
        <v>simr-1</v>
      </c>
      <c r="I739" t="s">
        <v>2724</v>
      </c>
      <c r="J739">
        <v>11.8979437525922</v>
      </c>
      <c r="K739">
        <v>12.235962018034</v>
      </c>
      <c r="L739">
        <v>12.877760510751701</v>
      </c>
      <c r="M739" t="s">
        <v>29</v>
      </c>
      <c r="N739" t="s">
        <v>29</v>
      </c>
      <c r="O739" t="s">
        <v>29</v>
      </c>
      <c r="P739" t="s">
        <v>29</v>
      </c>
      <c r="Q739" t="s">
        <v>29</v>
      </c>
      <c r="R739" t="s">
        <v>29</v>
      </c>
      <c r="S739">
        <v>13.1968254168229</v>
      </c>
      <c r="T739" t="s">
        <v>29</v>
      </c>
      <c r="U739" t="s">
        <v>29</v>
      </c>
      <c r="V739" t="s">
        <v>29</v>
      </c>
      <c r="W739" t="s">
        <v>29</v>
      </c>
      <c r="X739" t="s">
        <v>29</v>
      </c>
      <c r="Y739" t="s">
        <v>29</v>
      </c>
    </row>
    <row r="740" spans="1:25" x14ac:dyDescent="0.2">
      <c r="A740" t="s">
        <v>2725</v>
      </c>
      <c r="B740" t="s">
        <v>2726</v>
      </c>
      <c r="C740" t="s">
        <v>2727</v>
      </c>
      <c r="D740" t="s">
        <v>2728</v>
      </c>
      <c r="E740" t="s">
        <v>2726</v>
      </c>
      <c r="F740" t="s">
        <v>28</v>
      </c>
      <c r="G740" t="s">
        <v>2726</v>
      </c>
      <c r="H740" t="str">
        <f>"unc-94"</f>
        <v>unc-94</v>
      </c>
      <c r="I740" t="s">
        <v>2728</v>
      </c>
      <c r="J740" t="s">
        <v>29</v>
      </c>
      <c r="K740" t="s">
        <v>29</v>
      </c>
      <c r="L740" t="s">
        <v>29</v>
      </c>
      <c r="M740" t="s">
        <v>29</v>
      </c>
      <c r="N740">
        <v>11.974468982146499</v>
      </c>
      <c r="O740">
        <v>12.085811282831999</v>
      </c>
      <c r="P740" t="s">
        <v>29</v>
      </c>
      <c r="Q740" t="s">
        <v>29</v>
      </c>
      <c r="R740" t="s">
        <v>29</v>
      </c>
      <c r="S740">
        <v>12.2289203838088</v>
      </c>
      <c r="T740" t="s">
        <v>29</v>
      </c>
      <c r="U740" t="s">
        <v>29</v>
      </c>
      <c r="V740" t="s">
        <v>29</v>
      </c>
      <c r="W740" t="s">
        <v>29</v>
      </c>
      <c r="X740" t="s">
        <v>29</v>
      </c>
      <c r="Y740" t="s">
        <v>29</v>
      </c>
    </row>
    <row r="741" spans="1:25" x14ac:dyDescent="0.2">
      <c r="A741" t="s">
        <v>2729</v>
      </c>
      <c r="B741" t="s">
        <v>2730</v>
      </c>
      <c r="C741" t="s">
        <v>2731</v>
      </c>
      <c r="D741" t="s">
        <v>2732</v>
      </c>
      <c r="E741" t="s">
        <v>2730</v>
      </c>
      <c r="F741" t="s">
        <v>28</v>
      </c>
      <c r="G741" t="s">
        <v>2730</v>
      </c>
      <c r="H741" t="str">
        <f>"ints-1"</f>
        <v>ints-1</v>
      </c>
      <c r="I741" t="s">
        <v>2732</v>
      </c>
      <c r="J741">
        <v>12.5966727908627</v>
      </c>
      <c r="K741">
        <v>12.2902454106683</v>
      </c>
      <c r="L741">
        <v>12.224605221423399</v>
      </c>
      <c r="M741">
        <v>12.434295795006999</v>
      </c>
      <c r="N741">
        <v>11.969296435575201</v>
      </c>
      <c r="O741">
        <v>11.768569474708899</v>
      </c>
      <c r="P741">
        <v>-0.31312057255439302</v>
      </c>
      <c r="Q741">
        <v>-0.90112131629485903</v>
      </c>
      <c r="R741">
        <v>0.274880171186074</v>
      </c>
      <c r="S741">
        <v>12.5739010384032</v>
      </c>
      <c r="T741">
        <v>-1.1294922538868399</v>
      </c>
      <c r="U741">
        <v>-6.2373046322586703</v>
      </c>
      <c r="V741">
        <v>0.275448097192591</v>
      </c>
      <c r="W741">
        <v>0.856190392347986</v>
      </c>
      <c r="X741">
        <v>0</v>
      </c>
      <c r="Y741">
        <v>0</v>
      </c>
    </row>
    <row r="742" spans="1:25" x14ac:dyDescent="0.2">
      <c r="A742" t="s">
        <v>2733</v>
      </c>
      <c r="B742" t="s">
        <v>2734</v>
      </c>
      <c r="C742" t="s">
        <v>2735</v>
      </c>
      <c r="D742" t="s">
        <v>2736</v>
      </c>
      <c r="E742" t="s">
        <v>2734</v>
      </c>
      <c r="F742" t="s">
        <v>28</v>
      </c>
      <c r="G742" t="s">
        <v>2734</v>
      </c>
      <c r="H742" t="str">
        <f>"soap-1"</f>
        <v>soap-1</v>
      </c>
      <c r="I742" t="s">
        <v>2736</v>
      </c>
      <c r="J742">
        <v>12.980884931736099</v>
      </c>
      <c r="K742">
        <v>13.234545905712499</v>
      </c>
      <c r="L742">
        <v>12.8977792623476</v>
      </c>
      <c r="M742">
        <v>13.1574869236577</v>
      </c>
      <c r="N742">
        <v>12.989821001211901</v>
      </c>
      <c r="O742">
        <v>13.028326985130001</v>
      </c>
      <c r="P742">
        <v>2.0808270067790999E-2</v>
      </c>
      <c r="Q742">
        <v>-0.39851129193457702</v>
      </c>
      <c r="R742">
        <v>0.44012783207015899</v>
      </c>
      <c r="S742">
        <v>12.942855430629701</v>
      </c>
      <c r="T742">
        <v>0.104299773557093</v>
      </c>
      <c r="U742">
        <v>-6.8768073531598501</v>
      </c>
      <c r="V742">
        <v>0.918091548900141</v>
      </c>
      <c r="W742">
        <v>0.99833354317360001</v>
      </c>
      <c r="X742">
        <v>0</v>
      </c>
      <c r="Y742">
        <v>0</v>
      </c>
    </row>
    <row r="743" spans="1:25" x14ac:dyDescent="0.2">
      <c r="A743" t="s">
        <v>2737</v>
      </c>
      <c r="B743" t="s">
        <v>2738</v>
      </c>
      <c r="C743" t="s">
        <v>2739</v>
      </c>
      <c r="D743" t="s">
        <v>561</v>
      </c>
      <c r="E743" t="s">
        <v>2738</v>
      </c>
      <c r="F743" t="s">
        <v>28</v>
      </c>
      <c r="G743" t="s">
        <v>2738</v>
      </c>
      <c r="H743" t="str">
        <f>"tyr-4"</f>
        <v>tyr-4</v>
      </c>
      <c r="I743" t="s">
        <v>561</v>
      </c>
      <c r="J743">
        <v>14.186076533824499</v>
      </c>
      <c r="K743">
        <v>14.494356757701899</v>
      </c>
      <c r="L743">
        <v>14.7377631662676</v>
      </c>
      <c r="M743">
        <v>14.5846924011248</v>
      </c>
      <c r="N743">
        <v>14.7814418899379</v>
      </c>
      <c r="O743">
        <v>14.768112011689499</v>
      </c>
      <c r="P743">
        <v>0.238683281652733</v>
      </c>
      <c r="Q743">
        <v>-0.206821694665932</v>
      </c>
      <c r="R743">
        <v>0.68418825797139804</v>
      </c>
      <c r="S743">
        <v>14.921090071002199</v>
      </c>
      <c r="T743">
        <v>1.1260610948940899</v>
      </c>
      <c r="U743">
        <v>-6.2426058294868003</v>
      </c>
      <c r="V743">
        <v>0.27501507720444102</v>
      </c>
      <c r="W743">
        <v>0.856190392347986</v>
      </c>
      <c r="X743">
        <v>0</v>
      </c>
      <c r="Y743">
        <v>0</v>
      </c>
    </row>
    <row r="744" spans="1:25" x14ac:dyDescent="0.2">
      <c r="A744" t="s">
        <v>2740</v>
      </c>
      <c r="B744" t="s">
        <v>2741</v>
      </c>
      <c r="C744" t="s">
        <v>2742</v>
      </c>
      <c r="D744" t="s">
        <v>666</v>
      </c>
      <c r="E744" t="s">
        <v>2741</v>
      </c>
      <c r="F744" t="s">
        <v>28</v>
      </c>
      <c r="G744" t="s">
        <v>2741</v>
      </c>
      <c r="H744" t="str">
        <f>"pqn-20"</f>
        <v>pqn-20</v>
      </c>
      <c r="I744" t="s">
        <v>666</v>
      </c>
      <c r="J744">
        <v>13.017040475193401</v>
      </c>
      <c r="K744" t="s">
        <v>29</v>
      </c>
      <c r="L744">
        <v>12.830110354631101</v>
      </c>
      <c r="M744">
        <v>12.598194354134099</v>
      </c>
      <c r="N744" t="s">
        <v>29</v>
      </c>
      <c r="O744">
        <v>12.9598872245436</v>
      </c>
      <c r="P744">
        <v>-0.14453462557341501</v>
      </c>
      <c r="Q744">
        <v>-0.71315303811259001</v>
      </c>
      <c r="R744">
        <v>0.42408378696575899</v>
      </c>
      <c r="S744">
        <v>12.130933199985099</v>
      </c>
      <c r="T744">
        <v>-0.55436524574384705</v>
      </c>
      <c r="U744">
        <v>-6.5204269003539004</v>
      </c>
      <c r="V744">
        <v>0.58959983586890896</v>
      </c>
      <c r="W744">
        <v>0.963273565916412</v>
      </c>
      <c r="X744">
        <v>0</v>
      </c>
      <c r="Y744">
        <v>0</v>
      </c>
    </row>
    <row r="745" spans="1:25" x14ac:dyDescent="0.2">
      <c r="A745" t="s">
        <v>2743</v>
      </c>
      <c r="B745" t="s">
        <v>2744</v>
      </c>
      <c r="C745" t="s">
        <v>2745</v>
      </c>
      <c r="D745" t="s">
        <v>2746</v>
      </c>
      <c r="E745" t="s">
        <v>2744</v>
      </c>
      <c r="F745" t="s">
        <v>28</v>
      </c>
      <c r="G745" t="s">
        <v>2744</v>
      </c>
      <c r="H745" t="str">
        <f>"smg-1"</f>
        <v>smg-1</v>
      </c>
      <c r="I745" t="s">
        <v>2746</v>
      </c>
      <c r="J745">
        <v>11.6665401430706</v>
      </c>
      <c r="K745">
        <v>11.697569855405501</v>
      </c>
      <c r="L745">
        <v>11.213289625666601</v>
      </c>
      <c r="M745">
        <v>12.100223238928701</v>
      </c>
      <c r="N745">
        <v>11.8663309938831</v>
      </c>
      <c r="O745" t="s">
        <v>29</v>
      </c>
      <c r="P745">
        <v>0.45747724169165899</v>
      </c>
      <c r="Q745">
        <v>-0.11888391699531201</v>
      </c>
      <c r="R745">
        <v>1.0338384003786301</v>
      </c>
      <c r="S745">
        <v>11.9425971610457</v>
      </c>
      <c r="T745">
        <v>1.6928418772056499</v>
      </c>
      <c r="U745">
        <v>-5.3933648863090404</v>
      </c>
      <c r="V745">
        <v>0.111290218534854</v>
      </c>
      <c r="W745">
        <v>0.68517337256976496</v>
      </c>
      <c r="X745">
        <v>0</v>
      </c>
      <c r="Y745">
        <v>0</v>
      </c>
    </row>
    <row r="746" spans="1:25" x14ac:dyDescent="0.2">
      <c r="A746" t="s">
        <v>2747</v>
      </c>
      <c r="B746" t="s">
        <v>2748</v>
      </c>
      <c r="C746" t="s">
        <v>2749</v>
      </c>
      <c r="D746" t="s">
        <v>2750</v>
      </c>
      <c r="E746" t="s">
        <v>2748</v>
      </c>
      <c r="F746" t="s">
        <v>28</v>
      </c>
      <c r="G746" t="s">
        <v>2748</v>
      </c>
      <c r="H746" t="str">
        <f>"C48B6.2"</f>
        <v>C48B6.2</v>
      </c>
      <c r="I746" t="s">
        <v>2750</v>
      </c>
      <c r="J746" t="s">
        <v>29</v>
      </c>
      <c r="K746" t="s">
        <v>29</v>
      </c>
      <c r="L746" t="s">
        <v>29</v>
      </c>
      <c r="M746">
        <v>12.777793633141</v>
      </c>
      <c r="N746">
        <v>12.6890500250614</v>
      </c>
      <c r="O746">
        <v>12.4571307824529</v>
      </c>
      <c r="P746" t="s">
        <v>29</v>
      </c>
      <c r="Q746" t="s">
        <v>29</v>
      </c>
      <c r="R746" t="s">
        <v>29</v>
      </c>
      <c r="S746">
        <v>13.6390028351142</v>
      </c>
      <c r="T746" t="s">
        <v>29</v>
      </c>
      <c r="U746" t="s">
        <v>29</v>
      </c>
      <c r="V746" t="s">
        <v>29</v>
      </c>
      <c r="W746" t="s">
        <v>29</v>
      </c>
      <c r="X746" t="s">
        <v>29</v>
      </c>
      <c r="Y746" t="s">
        <v>29</v>
      </c>
    </row>
    <row r="747" spans="1:25" x14ac:dyDescent="0.2">
      <c r="A747" t="s">
        <v>2751</v>
      </c>
      <c r="B747" t="s">
        <v>2752</v>
      </c>
      <c r="C747" t="s">
        <v>2753</v>
      </c>
      <c r="D747" t="s">
        <v>2754</v>
      </c>
      <c r="E747" t="s">
        <v>2752</v>
      </c>
      <c r="F747" t="s">
        <v>28</v>
      </c>
      <c r="G747" t="s">
        <v>2752</v>
      </c>
      <c r="H747" t="str">
        <f>"ets-6"</f>
        <v>ets-6</v>
      </c>
      <c r="I747" t="s">
        <v>2754</v>
      </c>
      <c r="J747" t="s">
        <v>29</v>
      </c>
      <c r="K747" t="s">
        <v>29</v>
      </c>
      <c r="L747" t="s">
        <v>29</v>
      </c>
      <c r="M747">
        <v>10.587392294809201</v>
      </c>
      <c r="N747" t="s">
        <v>29</v>
      </c>
      <c r="O747" t="s">
        <v>29</v>
      </c>
      <c r="P747" t="s">
        <v>29</v>
      </c>
      <c r="Q747" t="s">
        <v>29</v>
      </c>
      <c r="R747" t="s">
        <v>29</v>
      </c>
      <c r="S747">
        <v>10.9794789446559</v>
      </c>
      <c r="T747" t="s">
        <v>29</v>
      </c>
      <c r="U747" t="s">
        <v>29</v>
      </c>
      <c r="V747" t="s">
        <v>29</v>
      </c>
      <c r="W747" t="s">
        <v>29</v>
      </c>
      <c r="X747" t="s">
        <v>29</v>
      </c>
      <c r="Y747" t="s">
        <v>29</v>
      </c>
    </row>
    <row r="748" spans="1:25" x14ac:dyDescent="0.2">
      <c r="A748" t="s">
        <v>2755</v>
      </c>
      <c r="B748" t="s">
        <v>2756</v>
      </c>
      <c r="C748" t="s">
        <v>2757</v>
      </c>
      <c r="D748" t="s">
        <v>107</v>
      </c>
      <c r="E748" t="s">
        <v>2756</v>
      </c>
      <c r="F748" t="s">
        <v>28</v>
      </c>
      <c r="G748" t="s">
        <v>2756</v>
      </c>
      <c r="H748" t="str">
        <f>"slc-17.5"</f>
        <v>slc-17.5</v>
      </c>
      <c r="I748" t="s">
        <v>107</v>
      </c>
      <c r="J748">
        <v>9.4365898963526806</v>
      </c>
      <c r="K748">
        <v>8.9451371155314501</v>
      </c>
      <c r="L748" t="s">
        <v>29</v>
      </c>
      <c r="M748">
        <v>9.2933601096759908</v>
      </c>
      <c r="N748" t="s">
        <v>29</v>
      </c>
      <c r="O748" t="s">
        <v>29</v>
      </c>
      <c r="P748">
        <v>0.10249660373392699</v>
      </c>
      <c r="Q748">
        <v>-1.2271658884304699</v>
      </c>
      <c r="R748">
        <v>1.4321590958983199</v>
      </c>
      <c r="S748">
        <v>9.6290056441617899</v>
      </c>
      <c r="T748">
        <v>0.172002574513201</v>
      </c>
      <c r="U748">
        <v>-6.4675363173881504</v>
      </c>
      <c r="V748">
        <v>0.86690236523094399</v>
      </c>
      <c r="W748">
        <v>0.99457622291666603</v>
      </c>
      <c r="X748">
        <v>0</v>
      </c>
      <c r="Y748">
        <v>0</v>
      </c>
    </row>
    <row r="749" spans="1:25" x14ac:dyDescent="0.2">
      <c r="A749" t="s">
        <v>2758</v>
      </c>
      <c r="B749" t="s">
        <v>2759</v>
      </c>
      <c r="C749" t="s">
        <v>2760</v>
      </c>
      <c r="D749" t="s">
        <v>2761</v>
      </c>
      <c r="E749" t="s">
        <v>2759</v>
      </c>
      <c r="F749" t="s">
        <v>28</v>
      </c>
      <c r="G749" t="s">
        <v>2759</v>
      </c>
      <c r="H749" t="str">
        <f>"aars-2"</f>
        <v>aars-2</v>
      </c>
      <c r="I749" t="s">
        <v>2761</v>
      </c>
      <c r="J749">
        <v>15.8772746545602</v>
      </c>
      <c r="K749">
        <v>15.6124799841207</v>
      </c>
      <c r="L749">
        <v>15.6834310176157</v>
      </c>
      <c r="M749">
        <v>15.87668227176</v>
      </c>
      <c r="N749">
        <v>15.821824734658399</v>
      </c>
      <c r="O749">
        <v>15.6826008215796</v>
      </c>
      <c r="P749">
        <v>6.9307390567139707E-2</v>
      </c>
      <c r="Q749">
        <v>-0.26899117247512599</v>
      </c>
      <c r="R749">
        <v>0.40760595360940599</v>
      </c>
      <c r="S749">
        <v>15.400712498251099</v>
      </c>
      <c r="T749">
        <v>0.430597900507316</v>
      </c>
      <c r="U749">
        <v>-6.7861144063129304</v>
      </c>
      <c r="V749">
        <v>0.67190231141522705</v>
      </c>
      <c r="W749">
        <v>0.98642420921484297</v>
      </c>
      <c r="X749">
        <v>0</v>
      </c>
      <c r="Y749">
        <v>0</v>
      </c>
    </row>
    <row r="750" spans="1:25" x14ac:dyDescent="0.2">
      <c r="A750" t="s">
        <v>2762</v>
      </c>
      <c r="B750" t="s">
        <v>2763</v>
      </c>
      <c r="C750" t="s">
        <v>2764</v>
      </c>
      <c r="D750" t="s">
        <v>758</v>
      </c>
      <c r="E750" t="s">
        <v>2763</v>
      </c>
      <c r="F750" t="s">
        <v>28</v>
      </c>
      <c r="G750" t="s">
        <v>2763</v>
      </c>
      <c r="H750" t="str">
        <f>"cpn-3"</f>
        <v>cpn-3</v>
      </c>
      <c r="I750" t="s">
        <v>758</v>
      </c>
      <c r="J750">
        <v>16.360880091292199</v>
      </c>
      <c r="K750">
        <v>15.851147172607799</v>
      </c>
      <c r="L750">
        <v>16.0238679548264</v>
      </c>
      <c r="M750">
        <v>16.070436818996701</v>
      </c>
      <c r="N750">
        <v>16.391236738838</v>
      </c>
      <c r="O750">
        <v>15.893763562575501</v>
      </c>
      <c r="P750">
        <v>3.9847300561252297E-2</v>
      </c>
      <c r="Q750">
        <v>-0.43839664023202302</v>
      </c>
      <c r="R750">
        <v>0.518091241354527</v>
      </c>
      <c r="S750">
        <v>15.8152796639434</v>
      </c>
      <c r="T750">
        <v>0.175122497562746</v>
      </c>
      <c r="U750">
        <v>-6.8664795159706999</v>
      </c>
      <c r="V750">
        <v>0.86294960195486403</v>
      </c>
      <c r="W750">
        <v>0.99394475928068404</v>
      </c>
      <c r="X750">
        <v>0</v>
      </c>
      <c r="Y750">
        <v>0</v>
      </c>
    </row>
    <row r="751" spans="1:25" x14ac:dyDescent="0.2">
      <c r="A751" t="s">
        <v>2765</v>
      </c>
      <c r="B751" t="s">
        <v>2766</v>
      </c>
      <c r="C751" t="s">
        <v>2767</v>
      </c>
      <c r="D751" t="s">
        <v>2768</v>
      </c>
      <c r="E751" t="s">
        <v>2766</v>
      </c>
      <c r="F751" t="s">
        <v>28</v>
      </c>
      <c r="G751" t="s">
        <v>2766</v>
      </c>
      <c r="H751" t="str">
        <f>"mpc-2"</f>
        <v>mpc-2</v>
      </c>
      <c r="I751" t="s">
        <v>2768</v>
      </c>
      <c r="J751">
        <v>17.159720305449</v>
      </c>
      <c r="K751">
        <v>17.1183120707664</v>
      </c>
      <c r="L751">
        <v>17.014805435601598</v>
      </c>
      <c r="M751">
        <v>16.8958928888412</v>
      </c>
      <c r="N751">
        <v>16.664913984214799</v>
      </c>
      <c r="O751">
        <v>16.639617645113798</v>
      </c>
      <c r="P751">
        <v>-0.36413776454910601</v>
      </c>
      <c r="Q751">
        <v>-0.72329491671095703</v>
      </c>
      <c r="R751">
        <v>-4.9806123872555598E-3</v>
      </c>
      <c r="S751">
        <v>16.5510521772594</v>
      </c>
      <c r="T751">
        <v>-2.1309522371251801</v>
      </c>
      <c r="U751">
        <v>-4.7706798236601102</v>
      </c>
      <c r="V751">
        <v>4.72204355681487E-2</v>
      </c>
      <c r="W751">
        <v>0.47186336394617501</v>
      </c>
      <c r="X751">
        <v>0</v>
      </c>
      <c r="Y751">
        <v>0</v>
      </c>
    </row>
    <row r="752" spans="1:25" x14ac:dyDescent="0.2">
      <c r="A752" t="s">
        <v>2769</v>
      </c>
      <c r="B752" t="s">
        <v>2770</v>
      </c>
      <c r="C752" t="s">
        <v>2771</v>
      </c>
      <c r="D752" t="s">
        <v>2772</v>
      </c>
      <c r="E752" t="s">
        <v>2770</v>
      </c>
      <c r="F752" t="s">
        <v>28</v>
      </c>
      <c r="G752" t="s">
        <v>2770</v>
      </c>
      <c r="H752" t="str">
        <f>"dmd-7"</f>
        <v>dmd-7</v>
      </c>
      <c r="I752" t="s">
        <v>2772</v>
      </c>
      <c r="J752" t="s">
        <v>29</v>
      </c>
      <c r="K752" t="s">
        <v>29</v>
      </c>
      <c r="L752" t="s">
        <v>29</v>
      </c>
      <c r="M752" t="s">
        <v>29</v>
      </c>
      <c r="N752" t="s">
        <v>29</v>
      </c>
      <c r="O752" t="s">
        <v>29</v>
      </c>
      <c r="P752" t="s">
        <v>29</v>
      </c>
      <c r="Q752" t="s">
        <v>29</v>
      </c>
      <c r="R752" t="s">
        <v>29</v>
      </c>
      <c r="S752">
        <v>11.362207760157901</v>
      </c>
      <c r="T752" t="s">
        <v>29</v>
      </c>
      <c r="U752" t="s">
        <v>29</v>
      </c>
      <c r="V752" t="s">
        <v>29</v>
      </c>
      <c r="W752" t="s">
        <v>29</v>
      </c>
      <c r="X752" t="s">
        <v>29</v>
      </c>
      <c r="Y752" t="s">
        <v>29</v>
      </c>
    </row>
    <row r="753" spans="1:25" x14ac:dyDescent="0.2">
      <c r="A753" t="s">
        <v>2773</v>
      </c>
      <c r="B753" t="s">
        <v>2774</v>
      </c>
      <c r="C753" t="s">
        <v>2775</v>
      </c>
      <c r="D753" t="s">
        <v>2776</v>
      </c>
      <c r="E753" t="s">
        <v>2774</v>
      </c>
      <c r="F753" t="s">
        <v>28</v>
      </c>
      <c r="G753" t="s">
        <v>2774</v>
      </c>
      <c r="H753" t="str">
        <f>"mrck-1"</f>
        <v>mrck-1</v>
      </c>
      <c r="I753" t="s">
        <v>2776</v>
      </c>
      <c r="J753">
        <v>14.3230278118304</v>
      </c>
      <c r="K753">
        <v>14.177249944872999</v>
      </c>
      <c r="L753">
        <v>14.181263156177801</v>
      </c>
      <c r="M753">
        <v>14.8491112435433</v>
      </c>
      <c r="N753">
        <v>14.7961818958556</v>
      </c>
      <c r="O753">
        <v>14.8122823478315</v>
      </c>
      <c r="P753">
        <v>0.59201152478307695</v>
      </c>
      <c r="Q753">
        <v>0.25059879610274299</v>
      </c>
      <c r="R753">
        <v>0.93342425346341096</v>
      </c>
      <c r="S753">
        <v>14.5843118359342</v>
      </c>
      <c r="T753">
        <v>3.64454205356772</v>
      </c>
      <c r="U753">
        <v>-1.7094267989707901</v>
      </c>
      <c r="V753">
        <v>1.8687985347998299E-3</v>
      </c>
      <c r="W753">
        <v>5.1828012698448701E-2</v>
      </c>
      <c r="X753">
        <v>0</v>
      </c>
      <c r="Y753">
        <v>0</v>
      </c>
    </row>
    <row r="754" spans="1:25" x14ac:dyDescent="0.2">
      <c r="A754" t="s">
        <v>2777</v>
      </c>
      <c r="B754" t="s">
        <v>2778</v>
      </c>
      <c r="C754" t="s">
        <v>2779</v>
      </c>
      <c r="D754" t="s">
        <v>111</v>
      </c>
      <c r="E754" t="s">
        <v>2778</v>
      </c>
      <c r="F754" t="s">
        <v>28</v>
      </c>
      <c r="G754" t="s">
        <v>2778</v>
      </c>
      <c r="H754" t="str">
        <f>"rga-3"</f>
        <v>rga-3</v>
      </c>
      <c r="I754" t="s">
        <v>111</v>
      </c>
      <c r="J754">
        <v>14.022629192778901</v>
      </c>
      <c r="K754">
        <v>14.2307682859427</v>
      </c>
      <c r="L754">
        <v>12.4044700261525</v>
      </c>
      <c r="M754">
        <v>15.163598122111701</v>
      </c>
      <c r="N754">
        <v>13.801372518670901</v>
      </c>
      <c r="O754">
        <v>14.6250396776435</v>
      </c>
      <c r="P754">
        <v>0.97738093785068403</v>
      </c>
      <c r="Q754">
        <v>-2.2118849114181698E-2</v>
      </c>
      <c r="R754">
        <v>1.97688072481555</v>
      </c>
      <c r="S754">
        <v>13.648630096881099</v>
      </c>
      <c r="T754">
        <v>2.0741047616205299</v>
      </c>
      <c r="U754">
        <v>-4.8826376153320297</v>
      </c>
      <c r="V754">
        <v>5.46801333074649E-2</v>
      </c>
      <c r="W754">
        <v>0.50667104474271896</v>
      </c>
      <c r="X754">
        <v>0</v>
      </c>
      <c r="Y754">
        <v>0</v>
      </c>
    </row>
    <row r="755" spans="1:25" x14ac:dyDescent="0.2">
      <c r="A755" t="s">
        <v>2780</v>
      </c>
      <c r="B755" t="s">
        <v>2781</v>
      </c>
      <c r="C755" t="s">
        <v>2782</v>
      </c>
      <c r="D755" t="s">
        <v>2783</v>
      </c>
      <c r="E755" t="s">
        <v>2781</v>
      </c>
      <c r="F755" t="s">
        <v>28</v>
      </c>
      <c r="G755" t="s">
        <v>2781</v>
      </c>
      <c r="H755" t="str">
        <f>"acds-10"</f>
        <v>acds-10</v>
      </c>
      <c r="I755" t="s">
        <v>2783</v>
      </c>
      <c r="J755">
        <v>13.128631362502301</v>
      </c>
      <c r="K755">
        <v>13.243941440969801</v>
      </c>
      <c r="L755">
        <v>13.049111708518801</v>
      </c>
      <c r="M755">
        <v>12.897518872524101</v>
      </c>
      <c r="N755">
        <v>13.2598000793135</v>
      </c>
      <c r="O755">
        <v>12.916320100797799</v>
      </c>
      <c r="P755">
        <v>-0.116015153118509</v>
      </c>
      <c r="Q755">
        <v>-0.52067569782927603</v>
      </c>
      <c r="R755">
        <v>0.28864539159225799</v>
      </c>
      <c r="S755">
        <v>12.9123743123937</v>
      </c>
      <c r="T755">
        <v>-0.60258229746270198</v>
      </c>
      <c r="U755">
        <v>-6.6946864026182098</v>
      </c>
      <c r="V755">
        <v>0.55434662668711898</v>
      </c>
      <c r="W755">
        <v>0.95555711976758795</v>
      </c>
      <c r="X755">
        <v>0</v>
      </c>
      <c r="Y755">
        <v>0</v>
      </c>
    </row>
    <row r="756" spans="1:25" x14ac:dyDescent="0.2">
      <c r="A756" t="s">
        <v>2784</v>
      </c>
      <c r="B756" t="s">
        <v>2785</v>
      </c>
      <c r="C756" t="s">
        <v>2786</v>
      </c>
      <c r="D756" t="s">
        <v>2787</v>
      </c>
      <c r="E756" t="s">
        <v>2785</v>
      </c>
      <c r="F756" t="s">
        <v>28</v>
      </c>
      <c r="G756" t="s">
        <v>2785</v>
      </c>
      <c r="H756" t="str">
        <f>"rips-1"</f>
        <v>rips-1</v>
      </c>
      <c r="I756" t="s">
        <v>2787</v>
      </c>
      <c r="J756">
        <v>11.853230808148</v>
      </c>
      <c r="K756">
        <v>12.7259190141496</v>
      </c>
      <c r="L756">
        <v>12.670510538238499</v>
      </c>
      <c r="M756">
        <v>12.6451856780022</v>
      </c>
      <c r="N756">
        <v>13.692068215840299</v>
      </c>
      <c r="O756">
        <v>13.797831030757401</v>
      </c>
      <c r="P756">
        <v>0.961808188021266</v>
      </c>
      <c r="Q756">
        <v>0.20078472215683299</v>
      </c>
      <c r="R756">
        <v>1.7228316538857</v>
      </c>
      <c r="S756">
        <v>13.615839549805401</v>
      </c>
      <c r="T756">
        <v>2.6954546384806601</v>
      </c>
      <c r="U756">
        <v>-3.7649314683788502</v>
      </c>
      <c r="V756">
        <v>1.6687899768524E-2</v>
      </c>
      <c r="W756">
        <v>0.257117270507629</v>
      </c>
      <c r="X756">
        <v>0</v>
      </c>
      <c r="Y756">
        <v>0</v>
      </c>
    </row>
    <row r="757" spans="1:25" x14ac:dyDescent="0.2">
      <c r="A757" t="s">
        <v>2788</v>
      </c>
      <c r="B757" t="s">
        <v>2789</v>
      </c>
      <c r="C757" t="s">
        <v>2790</v>
      </c>
      <c r="D757" t="s">
        <v>2791</v>
      </c>
      <c r="E757" t="s">
        <v>2789</v>
      </c>
      <c r="F757" t="s">
        <v>28</v>
      </c>
      <c r="G757" t="s">
        <v>2789</v>
      </c>
      <c r="H757" t="str">
        <f>"let-355"</f>
        <v>let-355</v>
      </c>
      <c r="I757" t="s">
        <v>2791</v>
      </c>
      <c r="J757">
        <v>13.0493564019748</v>
      </c>
      <c r="K757">
        <v>13.0748539397846</v>
      </c>
      <c r="L757">
        <v>13.043100528184899</v>
      </c>
      <c r="M757">
        <v>12.8538388780345</v>
      </c>
      <c r="N757">
        <v>12.842451908306399</v>
      </c>
      <c r="O757">
        <v>12.881592590701</v>
      </c>
      <c r="P757">
        <v>-0.19647583096747601</v>
      </c>
      <c r="Q757">
        <v>-0.58633615652901705</v>
      </c>
      <c r="R757">
        <v>0.19338449459406601</v>
      </c>
      <c r="S757">
        <v>13.2937703891024</v>
      </c>
      <c r="T757">
        <v>-1.0637758000050099</v>
      </c>
      <c r="U757">
        <v>-6.30858334611532</v>
      </c>
      <c r="V757">
        <v>0.302398885104883</v>
      </c>
      <c r="W757">
        <v>0.85855590823088301</v>
      </c>
      <c r="X757">
        <v>0</v>
      </c>
      <c r="Y757">
        <v>0</v>
      </c>
    </row>
    <row r="758" spans="1:25" x14ac:dyDescent="0.2">
      <c r="A758" t="s">
        <v>2792</v>
      </c>
      <c r="B758" t="s">
        <v>2793</v>
      </c>
      <c r="C758" t="s">
        <v>2794</v>
      </c>
      <c r="D758" t="s">
        <v>2795</v>
      </c>
      <c r="E758" t="s">
        <v>2793</v>
      </c>
      <c r="F758" t="s">
        <v>28</v>
      </c>
      <c r="G758" t="s">
        <v>2793</v>
      </c>
      <c r="H758" t="str">
        <f>"ugt-12"</f>
        <v>ugt-12</v>
      </c>
      <c r="I758" t="s">
        <v>2795</v>
      </c>
      <c r="J758" t="s">
        <v>29</v>
      </c>
      <c r="K758" t="s">
        <v>29</v>
      </c>
      <c r="L758">
        <v>12.106651978556799</v>
      </c>
      <c r="M758" t="s">
        <v>29</v>
      </c>
      <c r="N758" t="s">
        <v>29</v>
      </c>
      <c r="O758" t="s">
        <v>29</v>
      </c>
      <c r="P758" t="s">
        <v>29</v>
      </c>
      <c r="Q758" t="s">
        <v>29</v>
      </c>
      <c r="R758" t="s">
        <v>29</v>
      </c>
      <c r="S758">
        <v>12.445063735567601</v>
      </c>
      <c r="T758" t="s">
        <v>29</v>
      </c>
      <c r="U758" t="s">
        <v>29</v>
      </c>
      <c r="V758" t="s">
        <v>29</v>
      </c>
      <c r="W758" t="s">
        <v>29</v>
      </c>
      <c r="X758" t="s">
        <v>29</v>
      </c>
      <c r="Y758" t="s">
        <v>29</v>
      </c>
    </row>
    <row r="759" spans="1:25" x14ac:dyDescent="0.2">
      <c r="A759" t="s">
        <v>2796</v>
      </c>
      <c r="B759" t="s">
        <v>2797</v>
      </c>
      <c r="C759" t="s">
        <v>2798</v>
      </c>
      <c r="D759" t="s">
        <v>2799</v>
      </c>
      <c r="E759" t="s">
        <v>2797</v>
      </c>
      <c r="F759" t="s">
        <v>28</v>
      </c>
      <c r="G759" t="s">
        <v>2797</v>
      </c>
      <c r="H759" t="str">
        <f>"unc-132"</f>
        <v>unc-132</v>
      </c>
      <c r="I759" t="s">
        <v>2799</v>
      </c>
      <c r="J759">
        <v>15.1980323115632</v>
      </c>
      <c r="K759">
        <v>15.080761078291101</v>
      </c>
      <c r="L759">
        <v>15.0828805568608</v>
      </c>
      <c r="M759">
        <v>14.878117260097399</v>
      </c>
      <c r="N759">
        <v>15.0394500951531</v>
      </c>
      <c r="O759">
        <v>14.6675444469284</v>
      </c>
      <c r="P759">
        <v>-0.258854048178771</v>
      </c>
      <c r="Q759">
        <v>-0.65693761470558198</v>
      </c>
      <c r="R759">
        <v>0.13922951834804101</v>
      </c>
      <c r="S759">
        <v>14.8916389997226</v>
      </c>
      <c r="T759">
        <v>-1.36670009543355</v>
      </c>
      <c r="U759">
        <v>-5.9546688432734296</v>
      </c>
      <c r="V759">
        <v>0.18864609104147001</v>
      </c>
      <c r="W759">
        <v>0.78295732499061499</v>
      </c>
      <c r="X759">
        <v>0</v>
      </c>
      <c r="Y759">
        <v>0</v>
      </c>
    </row>
    <row r="760" spans="1:25" x14ac:dyDescent="0.2">
      <c r="A760" t="s">
        <v>2800</v>
      </c>
      <c r="B760" t="s">
        <v>2801</v>
      </c>
      <c r="C760" t="s">
        <v>2802</v>
      </c>
      <c r="D760" t="s">
        <v>2803</v>
      </c>
      <c r="E760" t="s">
        <v>2801</v>
      </c>
      <c r="F760" t="s">
        <v>28</v>
      </c>
      <c r="G760" t="s">
        <v>2801</v>
      </c>
      <c r="H760" t="str">
        <f>"inx-12"</f>
        <v>inx-12</v>
      </c>
      <c r="I760" t="s">
        <v>2803</v>
      </c>
      <c r="J760">
        <v>12.963163882755699</v>
      </c>
      <c r="K760">
        <v>12.538082881378701</v>
      </c>
      <c r="L760">
        <v>12.879152531426501</v>
      </c>
      <c r="M760">
        <v>14.7649842026016</v>
      </c>
      <c r="N760">
        <v>14.288309296187199</v>
      </c>
      <c r="O760">
        <v>14.418613031844901</v>
      </c>
      <c r="P760">
        <v>1.6971690783575899</v>
      </c>
      <c r="Q760">
        <v>1.05315693717257</v>
      </c>
      <c r="R760">
        <v>2.3411812195426198</v>
      </c>
      <c r="S760">
        <v>14.1351854322552</v>
      </c>
      <c r="T760">
        <v>5.5389005652915504</v>
      </c>
      <c r="U760">
        <v>2.3860498715043699</v>
      </c>
      <c r="V760" s="2">
        <v>2.9990422231714299E-5</v>
      </c>
      <c r="W760">
        <v>1.8482926868194801E-3</v>
      </c>
      <c r="X760">
        <v>1</v>
      </c>
      <c r="Y760">
        <v>1</v>
      </c>
    </row>
    <row r="761" spans="1:25" x14ac:dyDescent="0.2">
      <c r="A761" t="s">
        <v>2804</v>
      </c>
      <c r="B761" t="s">
        <v>2805</v>
      </c>
      <c r="C761" t="s">
        <v>2806</v>
      </c>
      <c r="D761" t="s">
        <v>2807</v>
      </c>
      <c r="E761" t="s">
        <v>2805</v>
      </c>
      <c r="F761" t="s">
        <v>28</v>
      </c>
      <c r="G761" t="s">
        <v>2805</v>
      </c>
      <c r="H761" t="str">
        <f>"jmjc-1"</f>
        <v>jmjc-1</v>
      </c>
      <c r="I761" t="s">
        <v>2807</v>
      </c>
      <c r="J761">
        <v>13.5543386235145</v>
      </c>
      <c r="K761">
        <v>13.661322698211</v>
      </c>
      <c r="L761">
        <v>13.413513001058501</v>
      </c>
      <c r="M761">
        <v>13.7865753901537</v>
      </c>
      <c r="N761">
        <v>13.763581991800701</v>
      </c>
      <c r="O761">
        <v>13.563342392554601</v>
      </c>
      <c r="P761">
        <v>0.161441817241679</v>
      </c>
      <c r="Q761">
        <v>-0.27947001078542999</v>
      </c>
      <c r="R761">
        <v>0.60235364526878699</v>
      </c>
      <c r="S761">
        <v>14.243063656154501</v>
      </c>
      <c r="T761">
        <v>0.76958536658488297</v>
      </c>
      <c r="U761">
        <v>-6.5780962904344804</v>
      </c>
      <c r="V761">
        <v>0.451585524933454</v>
      </c>
      <c r="W761">
        <v>0.925416642228162</v>
      </c>
      <c r="X761">
        <v>0</v>
      </c>
      <c r="Y761">
        <v>0</v>
      </c>
    </row>
    <row r="762" spans="1:25" x14ac:dyDescent="0.2">
      <c r="A762" t="s">
        <v>2808</v>
      </c>
      <c r="B762" t="s">
        <v>2809</v>
      </c>
      <c r="C762" t="s">
        <v>2810</v>
      </c>
      <c r="D762" t="s">
        <v>2811</v>
      </c>
      <c r="E762" t="s">
        <v>2809</v>
      </c>
      <c r="F762" t="s">
        <v>28</v>
      </c>
      <c r="G762" t="s">
        <v>2809</v>
      </c>
      <c r="H762" t="str">
        <f>"hmg-3"</f>
        <v>hmg-3</v>
      </c>
      <c r="I762" t="s">
        <v>2811</v>
      </c>
      <c r="J762">
        <v>14.022700169359</v>
      </c>
      <c r="K762">
        <v>13.868136653566999</v>
      </c>
      <c r="L762">
        <v>13.8443119716007</v>
      </c>
      <c r="M762">
        <v>13.675099551286999</v>
      </c>
      <c r="N762">
        <v>13.943973932274</v>
      </c>
      <c r="O762">
        <v>13.690245098917901</v>
      </c>
      <c r="P762">
        <v>-0.14194340401595401</v>
      </c>
      <c r="Q762">
        <v>-0.972633365097895</v>
      </c>
      <c r="R762">
        <v>0.68874655706598598</v>
      </c>
      <c r="S762">
        <v>13.917048943615301</v>
      </c>
      <c r="T762">
        <v>-0.36068349322306298</v>
      </c>
      <c r="U762">
        <v>-6.8145673871569103</v>
      </c>
      <c r="V762">
        <v>0.72280618905843796</v>
      </c>
      <c r="W762">
        <v>0.99057748145465696</v>
      </c>
      <c r="X762">
        <v>0</v>
      </c>
      <c r="Y762">
        <v>0</v>
      </c>
    </row>
    <row r="763" spans="1:25" x14ac:dyDescent="0.2">
      <c r="A763" t="s">
        <v>2812</v>
      </c>
      <c r="B763" t="s">
        <v>2813</v>
      </c>
      <c r="C763" t="s">
        <v>2814</v>
      </c>
      <c r="D763" t="s">
        <v>2815</v>
      </c>
      <c r="E763" t="s">
        <v>2813</v>
      </c>
      <c r="F763" t="s">
        <v>28</v>
      </c>
      <c r="G763" t="s">
        <v>2813</v>
      </c>
      <c r="H763" t="str">
        <f>"C32F10.8"</f>
        <v>C32F10.8</v>
      </c>
      <c r="I763" t="s">
        <v>2815</v>
      </c>
      <c r="J763">
        <v>12.189778376939</v>
      </c>
      <c r="K763">
        <v>12.759504325487599</v>
      </c>
      <c r="L763">
        <v>12.674595348241899</v>
      </c>
      <c r="M763">
        <v>12.570174419823701</v>
      </c>
      <c r="N763">
        <v>12.5235155420045</v>
      </c>
      <c r="O763">
        <v>12.5022889587396</v>
      </c>
      <c r="P763">
        <v>-9.2997100335878696E-3</v>
      </c>
      <c r="Q763">
        <v>-0.77217586409955796</v>
      </c>
      <c r="R763">
        <v>0.753576444032382</v>
      </c>
      <c r="S763">
        <v>12.3097577449764</v>
      </c>
      <c r="T763">
        <v>-2.5731516396716999E-2</v>
      </c>
      <c r="U763">
        <v>-6.8821425458687697</v>
      </c>
      <c r="V763">
        <v>0.97977297231210603</v>
      </c>
      <c r="W763">
        <v>0.99968702248720698</v>
      </c>
      <c r="X763">
        <v>0</v>
      </c>
      <c r="Y763">
        <v>0</v>
      </c>
    </row>
    <row r="764" spans="1:25" x14ac:dyDescent="0.2">
      <c r="A764" t="s">
        <v>2816</v>
      </c>
      <c r="B764" t="s">
        <v>2817</v>
      </c>
      <c r="C764" t="s">
        <v>2818</v>
      </c>
      <c r="D764" t="s">
        <v>542</v>
      </c>
      <c r="E764" t="s">
        <v>2817</v>
      </c>
      <c r="F764" t="s">
        <v>28</v>
      </c>
      <c r="G764" t="s">
        <v>2817</v>
      </c>
      <c r="H764" t="str">
        <f>"obr-4"</f>
        <v>obr-4</v>
      </c>
      <c r="I764" t="s">
        <v>542</v>
      </c>
      <c r="J764">
        <v>14.238656589754999</v>
      </c>
      <c r="K764">
        <v>14.1059048252129</v>
      </c>
      <c r="L764">
        <v>13.7250251732953</v>
      </c>
      <c r="M764">
        <v>14.038872111574699</v>
      </c>
      <c r="N764">
        <v>14.0751097019253</v>
      </c>
      <c r="O764">
        <v>14.070970105592901</v>
      </c>
      <c r="P764">
        <v>3.8455110276540701E-2</v>
      </c>
      <c r="Q764">
        <v>-0.41936670192817999</v>
      </c>
      <c r="R764">
        <v>0.49627692248126098</v>
      </c>
      <c r="S764">
        <v>13.379853067616001</v>
      </c>
      <c r="T764">
        <v>0.179142729415981</v>
      </c>
      <c r="U764">
        <v>-6.8655611844874302</v>
      </c>
      <c r="V764">
        <v>0.86023969232280595</v>
      </c>
      <c r="W764">
        <v>0.99370971747667503</v>
      </c>
      <c r="X764">
        <v>0</v>
      </c>
      <c r="Y764">
        <v>0</v>
      </c>
    </row>
    <row r="765" spans="1:25" x14ac:dyDescent="0.2">
      <c r="A765" t="s">
        <v>2819</v>
      </c>
      <c r="B765" t="s">
        <v>2820</v>
      </c>
      <c r="C765" t="s">
        <v>2821</v>
      </c>
      <c r="D765" t="s">
        <v>2822</v>
      </c>
      <c r="E765" t="s">
        <v>2820</v>
      </c>
      <c r="F765" t="s">
        <v>28</v>
      </c>
      <c r="G765" t="s">
        <v>2820</v>
      </c>
      <c r="H765" t="str">
        <f>"rps-17"</f>
        <v>rps-17</v>
      </c>
      <c r="I765" t="s">
        <v>2822</v>
      </c>
      <c r="J765">
        <v>15.7378222115674</v>
      </c>
      <c r="K765">
        <v>15.635589838003099</v>
      </c>
      <c r="L765">
        <v>15.7926943601286</v>
      </c>
      <c r="M765">
        <v>15.876105812417</v>
      </c>
      <c r="N765">
        <v>15.153348688735401</v>
      </c>
      <c r="O765">
        <v>15.3675774087913</v>
      </c>
      <c r="P765">
        <v>-0.25635816658513599</v>
      </c>
      <c r="Q765">
        <v>-0.91077330991660399</v>
      </c>
      <c r="R765">
        <v>0.398056976746333</v>
      </c>
      <c r="S765">
        <v>15.359353034728599</v>
      </c>
      <c r="T765">
        <v>-0.82335348795860797</v>
      </c>
      <c r="U765">
        <v>-6.5348941818359902</v>
      </c>
      <c r="V765">
        <v>0.42114470617689198</v>
      </c>
      <c r="W765">
        <v>0.91512503332874395</v>
      </c>
      <c r="X765">
        <v>0</v>
      </c>
      <c r="Y765">
        <v>0</v>
      </c>
    </row>
    <row r="766" spans="1:25" x14ac:dyDescent="0.2">
      <c r="A766" t="s">
        <v>2823</v>
      </c>
      <c r="B766" t="s">
        <v>2824</v>
      </c>
      <c r="C766" t="s">
        <v>2825</v>
      </c>
      <c r="D766" t="s">
        <v>2826</v>
      </c>
      <c r="E766" t="s">
        <v>2824</v>
      </c>
      <c r="F766" t="s">
        <v>28</v>
      </c>
      <c r="G766" t="s">
        <v>2824</v>
      </c>
      <c r="H766" t="str">
        <f>"C09D4.1"</f>
        <v>C09D4.1</v>
      </c>
      <c r="I766" t="s">
        <v>2826</v>
      </c>
      <c r="J766">
        <v>14.410621220697999</v>
      </c>
      <c r="K766">
        <v>14.4536431852666</v>
      </c>
      <c r="L766">
        <v>14.4448301240077</v>
      </c>
      <c r="M766">
        <v>14.5998733771888</v>
      </c>
      <c r="N766">
        <v>14.0787195668648</v>
      </c>
      <c r="O766">
        <v>14.3823621185284</v>
      </c>
      <c r="P766">
        <v>-8.2713155796747997E-2</v>
      </c>
      <c r="Q766">
        <v>-0.446124325721721</v>
      </c>
      <c r="R766">
        <v>0.28069801412822498</v>
      </c>
      <c r="S766">
        <v>14.486215930305599</v>
      </c>
      <c r="T766">
        <v>-0.48042581145736202</v>
      </c>
      <c r="U766">
        <v>-6.7623418835877702</v>
      </c>
      <c r="V766">
        <v>0.63708632549156896</v>
      </c>
      <c r="W766">
        <v>0.97476997913256702</v>
      </c>
      <c r="X766">
        <v>0</v>
      </c>
      <c r="Y766">
        <v>0</v>
      </c>
    </row>
    <row r="767" spans="1:25" x14ac:dyDescent="0.2">
      <c r="A767" t="s">
        <v>2827</v>
      </c>
      <c r="B767" t="s">
        <v>2828</v>
      </c>
      <c r="C767" t="s">
        <v>2829</v>
      </c>
      <c r="D767" t="s">
        <v>2830</v>
      </c>
      <c r="E767" t="s">
        <v>2828</v>
      </c>
      <c r="F767" t="s">
        <v>28</v>
      </c>
      <c r="G767" t="s">
        <v>2828</v>
      </c>
      <c r="H767" t="str">
        <f>"let-765"</f>
        <v>let-765</v>
      </c>
      <c r="I767" t="s">
        <v>2830</v>
      </c>
      <c r="J767" t="s">
        <v>29</v>
      </c>
      <c r="K767">
        <v>11.3215677305034</v>
      </c>
      <c r="L767">
        <v>11.440791001879401</v>
      </c>
      <c r="M767">
        <v>10.514120653844</v>
      </c>
      <c r="N767">
        <v>11.246274116861899</v>
      </c>
      <c r="O767">
        <v>10.4520851772187</v>
      </c>
      <c r="P767">
        <v>-0.64368605021649505</v>
      </c>
      <c r="Q767">
        <v>-1.3478247996713599</v>
      </c>
      <c r="R767">
        <v>6.0452699238365597E-2</v>
      </c>
      <c r="S767">
        <v>11.508483930059301</v>
      </c>
      <c r="T767">
        <v>-1.9620394958967899</v>
      </c>
      <c r="U767">
        <v>-4.9773754362300897</v>
      </c>
      <c r="V767">
        <v>7.0106068047336101E-2</v>
      </c>
      <c r="W767">
        <v>0.57184557466062402</v>
      </c>
      <c r="X767">
        <v>0</v>
      </c>
      <c r="Y767">
        <v>0</v>
      </c>
    </row>
    <row r="768" spans="1:25" x14ac:dyDescent="0.2">
      <c r="A768" t="s">
        <v>2831</v>
      </c>
      <c r="B768" t="s">
        <v>2832</v>
      </c>
      <c r="C768" t="s">
        <v>2833</v>
      </c>
      <c r="D768" t="s">
        <v>2834</v>
      </c>
      <c r="E768" t="s">
        <v>2832</v>
      </c>
      <c r="F768" t="s">
        <v>28</v>
      </c>
      <c r="G768" t="s">
        <v>2832</v>
      </c>
      <c r="H768" t="str">
        <f>"apm-1"</f>
        <v>apm-1</v>
      </c>
      <c r="I768" t="s">
        <v>2834</v>
      </c>
      <c r="J768">
        <v>15.8891240471135</v>
      </c>
      <c r="K768">
        <v>15.942802937042099</v>
      </c>
      <c r="L768">
        <v>15.5470160673067</v>
      </c>
      <c r="M768">
        <v>15.698437238979601</v>
      </c>
      <c r="N768">
        <v>15.687994060684</v>
      </c>
      <c r="O768">
        <v>15.814296059375801</v>
      </c>
      <c r="P768">
        <v>-5.9405230807632499E-2</v>
      </c>
      <c r="Q768">
        <v>-0.55224701953129995</v>
      </c>
      <c r="R768">
        <v>0.43343655791603503</v>
      </c>
      <c r="S768">
        <v>15.326584855999799</v>
      </c>
      <c r="T768">
        <v>-0.25334344718891899</v>
      </c>
      <c r="U768">
        <v>-6.8490147425905201</v>
      </c>
      <c r="V768">
        <v>0.80289046252248397</v>
      </c>
      <c r="W768">
        <v>0.99278624068726296</v>
      </c>
      <c r="X768">
        <v>0</v>
      </c>
      <c r="Y768">
        <v>0</v>
      </c>
    </row>
    <row r="769" spans="1:25" x14ac:dyDescent="0.2">
      <c r="A769" t="s">
        <v>2835</v>
      </c>
      <c r="B769" t="s">
        <v>2836</v>
      </c>
      <c r="C769" t="s">
        <v>14328</v>
      </c>
      <c r="D769" t="s">
        <v>2837</v>
      </c>
      <c r="E769" t="s">
        <v>2836</v>
      </c>
      <c r="F769" t="s">
        <v>28</v>
      </c>
      <c r="G769" t="s">
        <v>2836</v>
      </c>
      <c r="H769" t="str">
        <f>"F55A12.5"</f>
        <v>F55A12.5</v>
      </c>
      <c r="I769" t="s">
        <v>2837</v>
      </c>
      <c r="J769">
        <v>12.3963813559511</v>
      </c>
      <c r="K769">
        <v>12.75503789103</v>
      </c>
      <c r="L769">
        <v>12.653563417292901</v>
      </c>
      <c r="M769">
        <v>13.224077734806899</v>
      </c>
      <c r="N769">
        <v>13.1292277219684</v>
      </c>
      <c r="O769">
        <v>12.045911127312401</v>
      </c>
      <c r="P769">
        <v>0.19807797327122001</v>
      </c>
      <c r="Q769">
        <v>-0.59536978202810498</v>
      </c>
      <c r="R769">
        <v>0.991525728570545</v>
      </c>
      <c r="S769">
        <v>12.8407261431047</v>
      </c>
      <c r="T769">
        <v>0.52950172300597198</v>
      </c>
      <c r="U769">
        <v>-6.7363189215802501</v>
      </c>
      <c r="V769">
        <v>0.60377498226556403</v>
      </c>
      <c r="W769">
        <v>0.96930204581755797</v>
      </c>
      <c r="X769">
        <v>0</v>
      </c>
      <c r="Y769">
        <v>0</v>
      </c>
    </row>
    <row r="770" spans="1:25" x14ac:dyDescent="0.2">
      <c r="A770" t="s">
        <v>2838</v>
      </c>
      <c r="B770" t="s">
        <v>2839</v>
      </c>
      <c r="C770" t="s">
        <v>2840</v>
      </c>
      <c r="D770" t="s">
        <v>2841</v>
      </c>
      <c r="E770" t="s">
        <v>2839</v>
      </c>
      <c r="F770" t="s">
        <v>28</v>
      </c>
      <c r="G770" t="s">
        <v>2839</v>
      </c>
      <c r="H770" t="str">
        <f>"nath-10"</f>
        <v>nath-10</v>
      </c>
      <c r="I770" t="s">
        <v>2841</v>
      </c>
      <c r="J770">
        <v>15.2213666973519</v>
      </c>
      <c r="K770">
        <v>15.204297529293401</v>
      </c>
      <c r="L770">
        <v>15.090363670512099</v>
      </c>
      <c r="M770">
        <v>15.241305828690599</v>
      </c>
      <c r="N770">
        <v>15.2540213463491</v>
      </c>
      <c r="O770">
        <v>15.070199507183601</v>
      </c>
      <c r="P770">
        <v>1.64995950219975E-2</v>
      </c>
      <c r="Q770">
        <v>-0.40131358186044203</v>
      </c>
      <c r="R770">
        <v>0.43431277190443701</v>
      </c>
      <c r="S770">
        <v>15.4992386179349</v>
      </c>
      <c r="T770">
        <v>8.30010650797431E-2</v>
      </c>
      <c r="U770">
        <v>-6.8788906922575697</v>
      </c>
      <c r="V770">
        <v>0.93477209498195502</v>
      </c>
      <c r="W770">
        <v>0.99926809132575301</v>
      </c>
      <c r="X770">
        <v>0</v>
      </c>
      <c r="Y770">
        <v>0</v>
      </c>
    </row>
    <row r="771" spans="1:25" x14ac:dyDescent="0.2">
      <c r="A771" t="s">
        <v>2842</v>
      </c>
      <c r="B771" t="s">
        <v>2843</v>
      </c>
      <c r="C771" t="s">
        <v>2844</v>
      </c>
      <c r="D771" t="s">
        <v>2845</v>
      </c>
      <c r="E771" t="s">
        <v>2843</v>
      </c>
      <c r="F771" t="s">
        <v>28</v>
      </c>
      <c r="G771" t="s">
        <v>2843</v>
      </c>
      <c r="H771" t="str">
        <f>"ppk-1"</f>
        <v>ppk-1</v>
      </c>
      <c r="I771" t="s">
        <v>2845</v>
      </c>
      <c r="J771">
        <v>13.599313704664</v>
      </c>
      <c r="K771">
        <v>13.565786698464001</v>
      </c>
      <c r="L771">
        <v>13.144253345146099</v>
      </c>
      <c r="M771">
        <v>13.806493869568699</v>
      </c>
      <c r="N771">
        <v>13.881085956048301</v>
      </c>
      <c r="O771">
        <v>13.245721837821501</v>
      </c>
      <c r="P771">
        <v>0.207982638388122</v>
      </c>
      <c r="Q771">
        <v>-0.22429570390308801</v>
      </c>
      <c r="R771">
        <v>0.64026098067933201</v>
      </c>
      <c r="S771">
        <v>13.4163244430876</v>
      </c>
      <c r="T771">
        <v>1.0155787824681299</v>
      </c>
      <c r="U771">
        <v>-6.3579188223212499</v>
      </c>
      <c r="V771">
        <v>0.32415400764179902</v>
      </c>
      <c r="W771">
        <v>0.86923772215581496</v>
      </c>
      <c r="X771">
        <v>0</v>
      </c>
      <c r="Y771">
        <v>0</v>
      </c>
    </row>
    <row r="772" spans="1:25" x14ac:dyDescent="0.2">
      <c r="A772" t="s">
        <v>2846</v>
      </c>
      <c r="B772" t="s">
        <v>2847</v>
      </c>
      <c r="C772" t="s">
        <v>2848</v>
      </c>
      <c r="D772" t="s">
        <v>2849</v>
      </c>
      <c r="E772" t="s">
        <v>2847</v>
      </c>
      <c r="F772" t="s">
        <v>28</v>
      </c>
      <c r="G772" t="s">
        <v>2847</v>
      </c>
      <c r="H772" t="str">
        <f>"unc-89"</f>
        <v>unc-89</v>
      </c>
      <c r="I772" t="s">
        <v>2849</v>
      </c>
      <c r="J772">
        <v>13.2872413330706</v>
      </c>
      <c r="K772">
        <v>13.4722503556021</v>
      </c>
      <c r="L772">
        <v>14.1121007384031</v>
      </c>
      <c r="M772">
        <v>13.210493849618301</v>
      </c>
      <c r="N772">
        <v>13.3488484546007</v>
      </c>
      <c r="O772">
        <v>13.983602076233501</v>
      </c>
      <c r="P772">
        <v>-0.10954934887444499</v>
      </c>
      <c r="Q772">
        <v>-0.88501925404342696</v>
      </c>
      <c r="R772">
        <v>0.66592055629453595</v>
      </c>
      <c r="S772">
        <v>14.0829974933238</v>
      </c>
      <c r="T772">
        <v>-0.29691857364429097</v>
      </c>
      <c r="U772">
        <v>-6.8365400670552496</v>
      </c>
      <c r="V772">
        <v>0.76994752445254599</v>
      </c>
      <c r="W772">
        <v>0.99278624068726296</v>
      </c>
      <c r="X772">
        <v>0</v>
      </c>
      <c r="Y772">
        <v>0</v>
      </c>
    </row>
    <row r="773" spans="1:25" x14ac:dyDescent="0.2">
      <c r="A773" t="s">
        <v>2850</v>
      </c>
      <c r="B773" t="s">
        <v>2851</v>
      </c>
      <c r="C773" t="s">
        <v>2852</v>
      </c>
      <c r="D773" t="s">
        <v>2853</v>
      </c>
      <c r="E773" t="s">
        <v>2851</v>
      </c>
      <c r="F773" t="s">
        <v>28</v>
      </c>
      <c r="G773" t="s">
        <v>2851</v>
      </c>
      <c r="H773" t="str">
        <f>"egg-4"</f>
        <v>egg-4</v>
      </c>
      <c r="I773" t="s">
        <v>2853</v>
      </c>
      <c r="J773" t="s">
        <v>29</v>
      </c>
      <c r="K773" t="s">
        <v>29</v>
      </c>
      <c r="L773">
        <v>12.6291877234893</v>
      </c>
      <c r="M773" t="s">
        <v>29</v>
      </c>
      <c r="N773">
        <v>12.222921574559299</v>
      </c>
      <c r="O773">
        <v>14.494033470944199</v>
      </c>
      <c r="P773">
        <v>0.72928979926246595</v>
      </c>
      <c r="Q773">
        <v>-0.84496173805757102</v>
      </c>
      <c r="R773">
        <v>2.3035413365825002</v>
      </c>
      <c r="S773">
        <v>13.405941292444201</v>
      </c>
      <c r="T773">
        <v>1.0208306622021801</v>
      </c>
      <c r="U773">
        <v>-5.9531542641592798</v>
      </c>
      <c r="V773">
        <v>0.32946749254367602</v>
      </c>
      <c r="W773">
        <v>0.87233669330403496</v>
      </c>
      <c r="X773">
        <v>0</v>
      </c>
      <c r="Y773">
        <v>0</v>
      </c>
    </row>
    <row r="774" spans="1:25" x14ac:dyDescent="0.2">
      <c r="A774" t="s">
        <v>2854</v>
      </c>
      <c r="B774" t="s">
        <v>2855</v>
      </c>
      <c r="C774" t="s">
        <v>2856</v>
      </c>
      <c r="D774" t="s">
        <v>2857</v>
      </c>
      <c r="E774" t="s">
        <v>2855</v>
      </c>
      <c r="F774" t="s">
        <v>28</v>
      </c>
      <c r="G774" t="s">
        <v>2855</v>
      </c>
      <c r="H774" t="str">
        <f>"nekl-2"</f>
        <v>nekl-2</v>
      </c>
      <c r="I774" t="s">
        <v>2857</v>
      </c>
      <c r="J774" t="s">
        <v>29</v>
      </c>
      <c r="K774" t="s">
        <v>29</v>
      </c>
      <c r="L774">
        <v>12.9853021787654</v>
      </c>
      <c r="M774">
        <v>16.030766854401399</v>
      </c>
      <c r="N774">
        <v>16.1294836008103</v>
      </c>
      <c r="O774">
        <v>15.6598811312483</v>
      </c>
      <c r="P774">
        <v>2.9547416833879101</v>
      </c>
      <c r="Q774">
        <v>2.0261279142162101</v>
      </c>
      <c r="R774">
        <v>3.8833554525596101</v>
      </c>
      <c r="S774">
        <v>14.267101596420799</v>
      </c>
      <c r="T774">
        <v>7.3544485073610897</v>
      </c>
      <c r="U774">
        <v>2.0416306113372902</v>
      </c>
      <c r="V774" s="2">
        <v>8.5151549309144393E-5</v>
      </c>
      <c r="W774">
        <v>4.2296172552362997E-3</v>
      </c>
      <c r="X774">
        <v>1</v>
      </c>
      <c r="Y774">
        <v>1</v>
      </c>
    </row>
    <row r="775" spans="1:25" x14ac:dyDescent="0.2">
      <c r="A775" t="s">
        <v>2858</v>
      </c>
      <c r="B775" t="s">
        <v>2859</v>
      </c>
      <c r="C775" t="s">
        <v>2860</v>
      </c>
      <c r="D775" t="s">
        <v>1350</v>
      </c>
      <c r="E775" t="s">
        <v>2859</v>
      </c>
      <c r="F775" t="s">
        <v>28</v>
      </c>
      <c r="G775" t="s">
        <v>2859</v>
      </c>
      <c r="H775" t="str">
        <f>"ule-1"</f>
        <v>ule-1</v>
      </c>
      <c r="I775" t="s">
        <v>1350</v>
      </c>
      <c r="J775">
        <v>12.8785969156704</v>
      </c>
      <c r="K775">
        <v>12.907476840826</v>
      </c>
      <c r="L775">
        <v>13.3038042059126</v>
      </c>
      <c r="M775">
        <v>11.655024531992501</v>
      </c>
      <c r="N775">
        <v>12.898711564048901</v>
      </c>
      <c r="O775">
        <v>14.1221585846413</v>
      </c>
      <c r="P775">
        <v>-0.137994427242107</v>
      </c>
      <c r="Q775">
        <v>-1.28505676051012</v>
      </c>
      <c r="R775">
        <v>1.0090679060259</v>
      </c>
      <c r="S775">
        <v>13.3248873101843</v>
      </c>
      <c r="T775">
        <v>-0.25393615685487098</v>
      </c>
      <c r="U775">
        <v>-6.8487564849754401</v>
      </c>
      <c r="V775">
        <v>0.802609480783119</v>
      </c>
      <c r="W775">
        <v>0.99278624068726296</v>
      </c>
      <c r="X775">
        <v>0</v>
      </c>
      <c r="Y775">
        <v>0</v>
      </c>
    </row>
    <row r="776" spans="1:25" x14ac:dyDescent="0.2">
      <c r="A776" t="s">
        <v>2861</v>
      </c>
      <c r="B776" t="s">
        <v>2862</v>
      </c>
      <c r="C776" t="s">
        <v>2863</v>
      </c>
      <c r="D776" t="s">
        <v>2864</v>
      </c>
      <c r="E776" t="s">
        <v>2862</v>
      </c>
      <c r="F776" t="s">
        <v>28</v>
      </c>
      <c r="G776" t="s">
        <v>2862</v>
      </c>
      <c r="H776" t="str">
        <f>"him-1"</f>
        <v>him-1</v>
      </c>
      <c r="I776" t="s">
        <v>2864</v>
      </c>
      <c r="J776">
        <v>13.214627541828101</v>
      </c>
      <c r="K776">
        <v>13.197107605238401</v>
      </c>
      <c r="L776">
        <v>13.0098908113987</v>
      </c>
      <c r="M776">
        <v>13.0635806259618</v>
      </c>
      <c r="N776">
        <v>12.9826046322707</v>
      </c>
      <c r="O776">
        <v>12.892135291729501</v>
      </c>
      <c r="P776">
        <v>-0.161101802834414</v>
      </c>
      <c r="Q776">
        <v>-0.49445632993974098</v>
      </c>
      <c r="R776">
        <v>0.17225272427091201</v>
      </c>
      <c r="S776">
        <v>12.865124587853799</v>
      </c>
      <c r="T776">
        <v>-1.0157493573312799</v>
      </c>
      <c r="U776">
        <v>-6.3585260223480304</v>
      </c>
      <c r="V776">
        <v>0.32328619055607499</v>
      </c>
      <c r="W776">
        <v>0.86906013099403701</v>
      </c>
      <c r="X776">
        <v>0</v>
      </c>
      <c r="Y776">
        <v>0</v>
      </c>
    </row>
    <row r="777" spans="1:25" x14ac:dyDescent="0.2">
      <c r="A777" t="s">
        <v>2865</v>
      </c>
      <c r="B777" t="s">
        <v>2866</v>
      </c>
      <c r="C777" t="s">
        <v>2867</v>
      </c>
      <c r="D777" t="s">
        <v>2868</v>
      </c>
      <c r="E777" t="s">
        <v>2866</v>
      </c>
      <c r="F777" t="s">
        <v>28</v>
      </c>
      <c r="G777" t="s">
        <v>2866</v>
      </c>
      <c r="H777" t="str">
        <f>"rpl-7"</f>
        <v>rpl-7</v>
      </c>
      <c r="I777" t="s">
        <v>2868</v>
      </c>
      <c r="J777">
        <v>19.888514752029302</v>
      </c>
      <c r="K777">
        <v>19.990936192844799</v>
      </c>
      <c r="L777">
        <v>20.257399683146598</v>
      </c>
      <c r="M777">
        <v>20.058165749482399</v>
      </c>
      <c r="N777">
        <v>19.726257707863901</v>
      </c>
      <c r="O777">
        <v>19.901163445509798</v>
      </c>
      <c r="P777">
        <v>-0.150421241721517</v>
      </c>
      <c r="Q777">
        <v>-0.49583882428975001</v>
      </c>
      <c r="R777">
        <v>0.19499634084671499</v>
      </c>
      <c r="S777">
        <v>20.008276860913501</v>
      </c>
      <c r="T777">
        <v>-0.91528689072261404</v>
      </c>
      <c r="U777">
        <v>-6.4548060822688802</v>
      </c>
      <c r="V777">
        <v>0.372210547642846</v>
      </c>
      <c r="W777">
        <v>0.89373499462870898</v>
      </c>
      <c r="X777">
        <v>0</v>
      </c>
      <c r="Y777">
        <v>0</v>
      </c>
    </row>
    <row r="778" spans="1:25" x14ac:dyDescent="0.2">
      <c r="A778" t="s">
        <v>2869</v>
      </c>
      <c r="B778" t="s">
        <v>2870</v>
      </c>
      <c r="C778" t="s">
        <v>2871</v>
      </c>
      <c r="D778" t="s">
        <v>2872</v>
      </c>
      <c r="E778" t="s">
        <v>2870</v>
      </c>
      <c r="F778" t="s">
        <v>28</v>
      </c>
      <c r="G778" t="s">
        <v>2870</v>
      </c>
      <c r="H778" t="str">
        <f>"rab-11.1"</f>
        <v>rab-11.1</v>
      </c>
      <c r="I778" t="s">
        <v>2872</v>
      </c>
      <c r="J778">
        <v>14.2795067019792</v>
      </c>
      <c r="K778">
        <v>15.2561182279705</v>
      </c>
      <c r="L778">
        <v>14.5251413467119</v>
      </c>
      <c r="M778">
        <v>14.8516729448792</v>
      </c>
      <c r="N778">
        <v>14.460257887113499</v>
      </c>
      <c r="O778">
        <v>14.771678939047501</v>
      </c>
      <c r="P778">
        <v>7.61449812618942E-3</v>
      </c>
      <c r="Q778">
        <v>-0.75848218508931697</v>
      </c>
      <c r="R778">
        <v>0.77371118134169503</v>
      </c>
      <c r="S778">
        <v>14.7979470868987</v>
      </c>
      <c r="T778">
        <v>2.0890566407813001E-2</v>
      </c>
      <c r="U778">
        <v>-6.88226155080834</v>
      </c>
      <c r="V778">
        <v>0.98356412491155099</v>
      </c>
      <c r="W778">
        <v>0.99968702248720698</v>
      </c>
      <c r="X778">
        <v>0</v>
      </c>
      <c r="Y778">
        <v>0</v>
      </c>
    </row>
    <row r="779" spans="1:25" x14ac:dyDescent="0.2">
      <c r="A779" t="s">
        <v>2873</v>
      </c>
      <c r="B779" t="s">
        <v>2874</v>
      </c>
      <c r="C779" t="s">
        <v>2875</v>
      </c>
      <c r="D779" t="s">
        <v>2876</v>
      </c>
      <c r="E779" t="s">
        <v>2874</v>
      </c>
      <c r="F779" t="s">
        <v>28</v>
      </c>
      <c r="G779" t="s">
        <v>2874</v>
      </c>
      <c r="H779" t="str">
        <f>"ssb-1"</f>
        <v>ssb-1</v>
      </c>
      <c r="I779" t="s">
        <v>2876</v>
      </c>
      <c r="J779">
        <v>11.186446839435501</v>
      </c>
      <c r="K779">
        <v>10.934295125567401</v>
      </c>
      <c r="L779">
        <v>11.6580580451893</v>
      </c>
      <c r="M779">
        <v>12.504631076634199</v>
      </c>
      <c r="N779">
        <v>12.1410039165924</v>
      </c>
      <c r="O779">
        <v>11.898103635362</v>
      </c>
      <c r="P779">
        <v>0.92164620613215797</v>
      </c>
      <c r="Q779">
        <v>-4.2675841506149302E-2</v>
      </c>
      <c r="R779">
        <v>1.8859682537704601</v>
      </c>
      <c r="S779">
        <v>12.605723615142599</v>
      </c>
      <c r="T779">
        <v>2.0087905495098299</v>
      </c>
      <c r="U779">
        <v>-4.9833225202301801</v>
      </c>
      <c r="V779">
        <v>5.9892191433314201E-2</v>
      </c>
      <c r="W779">
        <v>0.52698517899660702</v>
      </c>
      <c r="X779">
        <v>0</v>
      </c>
      <c r="Y779">
        <v>0</v>
      </c>
    </row>
    <row r="780" spans="1:25" x14ac:dyDescent="0.2">
      <c r="A780" t="s">
        <v>2877</v>
      </c>
      <c r="B780" t="s">
        <v>2878</v>
      </c>
      <c r="C780" t="s">
        <v>14329</v>
      </c>
      <c r="D780" t="s">
        <v>2879</v>
      </c>
      <c r="E780" t="s">
        <v>2878</v>
      </c>
      <c r="F780" t="s">
        <v>28</v>
      </c>
      <c r="G780" t="s">
        <v>2878</v>
      </c>
      <c r="H780" t="str">
        <f>"W02D3.4"</f>
        <v>W02D3.4</v>
      </c>
      <c r="I780" t="s">
        <v>2879</v>
      </c>
      <c r="J780" t="s">
        <v>29</v>
      </c>
      <c r="K780">
        <v>11.227582656757001</v>
      </c>
      <c r="L780" t="s">
        <v>29</v>
      </c>
      <c r="M780">
        <v>11.187545890891499</v>
      </c>
      <c r="N780">
        <v>11.4603914743112</v>
      </c>
      <c r="O780" t="s">
        <v>29</v>
      </c>
      <c r="P780">
        <v>9.6386025844346093E-2</v>
      </c>
      <c r="Q780">
        <v>-1.33336035721965</v>
      </c>
      <c r="R780">
        <v>1.5261324089083499</v>
      </c>
      <c r="S780">
        <v>11.352040247932401</v>
      </c>
      <c r="T780">
        <v>0.15042567114586999</v>
      </c>
      <c r="U780">
        <v>-6.4712685767178204</v>
      </c>
      <c r="V780">
        <v>0.88345092997913599</v>
      </c>
      <c r="W780">
        <v>0.99702926582654094</v>
      </c>
      <c r="X780">
        <v>0</v>
      </c>
      <c r="Y780">
        <v>0</v>
      </c>
    </row>
    <row r="781" spans="1:25" x14ac:dyDescent="0.2">
      <c r="A781" t="s">
        <v>2880</v>
      </c>
      <c r="B781" t="s">
        <v>2881</v>
      </c>
      <c r="C781" t="s">
        <v>2882</v>
      </c>
      <c r="D781" t="s">
        <v>2883</v>
      </c>
      <c r="E781" t="s">
        <v>2881</v>
      </c>
      <c r="F781" t="s">
        <v>28</v>
      </c>
      <c r="G781" t="s">
        <v>2881</v>
      </c>
      <c r="H781" t="str">
        <f>"lbp-6"</f>
        <v>lbp-6</v>
      </c>
      <c r="I781" t="s">
        <v>2883</v>
      </c>
      <c r="J781" t="s">
        <v>29</v>
      </c>
      <c r="K781">
        <v>11.3544621980804</v>
      </c>
      <c r="L781" t="s">
        <v>29</v>
      </c>
      <c r="M781">
        <v>13.9865667743133</v>
      </c>
      <c r="N781" t="s">
        <v>29</v>
      </c>
      <c r="O781" t="s">
        <v>29</v>
      </c>
      <c r="P781">
        <v>2.63210457623292</v>
      </c>
      <c r="Q781">
        <v>0.18922519480354599</v>
      </c>
      <c r="R781">
        <v>5.0749839576623001</v>
      </c>
      <c r="S781">
        <v>12.5950963270515</v>
      </c>
      <c r="T781">
        <v>2.4417737549030698</v>
      </c>
      <c r="U781">
        <v>-3.9048050116274702</v>
      </c>
      <c r="V781">
        <v>3.7555191779034901E-2</v>
      </c>
      <c r="W781">
        <v>0.42224215621833799</v>
      </c>
      <c r="X781">
        <v>1</v>
      </c>
      <c r="Y781">
        <v>0</v>
      </c>
    </row>
    <row r="782" spans="1:25" x14ac:dyDescent="0.2">
      <c r="A782" t="s">
        <v>2884</v>
      </c>
      <c r="B782" t="s">
        <v>2885</v>
      </c>
      <c r="C782" t="s">
        <v>2886</v>
      </c>
      <c r="D782" t="s">
        <v>2887</v>
      </c>
      <c r="E782" t="s">
        <v>2885</v>
      </c>
      <c r="F782" t="s">
        <v>28</v>
      </c>
      <c r="G782" t="s">
        <v>2885</v>
      </c>
      <c r="H782" t="str">
        <f>"dhod-1"</f>
        <v>dhod-1</v>
      </c>
      <c r="I782" t="s">
        <v>2887</v>
      </c>
      <c r="J782">
        <v>13.880951775440099</v>
      </c>
      <c r="K782">
        <v>13.5667042122199</v>
      </c>
      <c r="L782">
        <v>13.826117622095801</v>
      </c>
      <c r="M782">
        <v>13.560723021387499</v>
      </c>
      <c r="N782">
        <v>14.048870261838101</v>
      </c>
      <c r="O782">
        <v>13.6220407050722</v>
      </c>
      <c r="P782">
        <v>-1.40465404860013E-2</v>
      </c>
      <c r="Q782">
        <v>-0.36855609900119601</v>
      </c>
      <c r="R782">
        <v>0.34046301802919399</v>
      </c>
      <c r="S782">
        <v>13.591977472007001</v>
      </c>
      <c r="T782">
        <v>-8.3278700366881606E-2</v>
      </c>
      <c r="U782">
        <v>-6.8788665804728302</v>
      </c>
      <c r="V782">
        <v>0.93455444126534404</v>
      </c>
      <c r="W782">
        <v>0.99926809132575301</v>
      </c>
      <c r="X782">
        <v>0</v>
      </c>
      <c r="Y782">
        <v>0</v>
      </c>
    </row>
    <row r="783" spans="1:25" x14ac:dyDescent="0.2">
      <c r="A783" t="s">
        <v>2888</v>
      </c>
      <c r="B783" t="s">
        <v>2889</v>
      </c>
      <c r="C783" t="s">
        <v>2890</v>
      </c>
      <c r="D783" t="s">
        <v>2891</v>
      </c>
      <c r="E783" t="s">
        <v>2889</v>
      </c>
      <c r="F783" t="s">
        <v>28</v>
      </c>
      <c r="G783" t="s">
        <v>2889</v>
      </c>
      <c r="H783" t="str">
        <f>"C53H9.2"</f>
        <v>C53H9.2</v>
      </c>
      <c r="I783" t="s">
        <v>2891</v>
      </c>
      <c r="J783">
        <v>14.3488319743959</v>
      </c>
      <c r="K783">
        <v>14.2985847995821</v>
      </c>
      <c r="L783">
        <v>14.408637857356</v>
      </c>
      <c r="M783">
        <v>14.8584144398303</v>
      </c>
      <c r="N783">
        <v>14.8808216234239</v>
      </c>
      <c r="O783">
        <v>14.515570153469101</v>
      </c>
      <c r="P783">
        <v>0.39958386179643801</v>
      </c>
      <c r="Q783">
        <v>3.3067069460242002E-2</v>
      </c>
      <c r="R783">
        <v>0.76610065413263495</v>
      </c>
      <c r="S783">
        <v>14.391442319574701</v>
      </c>
      <c r="T783">
        <v>2.30125145396946</v>
      </c>
      <c r="U783">
        <v>-4.4717458005203499</v>
      </c>
      <c r="V783">
        <v>3.4386235513744402E-2</v>
      </c>
      <c r="W783">
        <v>0.40392747392727801</v>
      </c>
      <c r="X783">
        <v>0</v>
      </c>
      <c r="Y783">
        <v>0</v>
      </c>
    </row>
    <row r="784" spans="1:25" x14ac:dyDescent="0.2">
      <c r="A784" t="s">
        <v>2892</v>
      </c>
      <c r="B784" t="s">
        <v>2893</v>
      </c>
      <c r="C784" t="s">
        <v>2894</v>
      </c>
      <c r="D784" t="s">
        <v>2895</v>
      </c>
      <c r="E784" t="s">
        <v>2893</v>
      </c>
      <c r="F784" t="s">
        <v>28</v>
      </c>
      <c r="G784" t="s">
        <v>2893</v>
      </c>
      <c r="H784" t="str">
        <f>"hil-5"</f>
        <v>hil-5</v>
      </c>
      <c r="I784" t="s">
        <v>2895</v>
      </c>
      <c r="J784">
        <v>13.696129895246999</v>
      </c>
      <c r="K784">
        <v>13.774018797230999</v>
      </c>
      <c r="L784">
        <v>14.3570513338771</v>
      </c>
      <c r="M784">
        <v>12.9304064427341</v>
      </c>
      <c r="N784">
        <v>13.960606288673301</v>
      </c>
      <c r="O784">
        <v>13.903290637505201</v>
      </c>
      <c r="P784">
        <v>-0.34429888581415302</v>
      </c>
      <c r="Q784">
        <v>-0.98840628785529605</v>
      </c>
      <c r="R784">
        <v>0.29980851622699101</v>
      </c>
      <c r="S784">
        <v>13.1109084522346</v>
      </c>
      <c r="T784">
        <v>-1.1337749492568101</v>
      </c>
      <c r="U784">
        <v>-6.2325904276299999</v>
      </c>
      <c r="V784">
        <v>0.27370001312055198</v>
      </c>
      <c r="W784">
        <v>0.856190392347986</v>
      </c>
      <c r="X784">
        <v>0</v>
      </c>
      <c r="Y784">
        <v>0</v>
      </c>
    </row>
    <row r="785" spans="1:25" x14ac:dyDescent="0.2">
      <c r="A785" t="s">
        <v>2896</v>
      </c>
      <c r="B785" t="s">
        <v>2897</v>
      </c>
      <c r="C785" t="s">
        <v>2898</v>
      </c>
      <c r="D785" t="s">
        <v>2899</v>
      </c>
      <c r="E785" t="s">
        <v>2897</v>
      </c>
      <c r="F785" t="s">
        <v>28</v>
      </c>
      <c r="G785" t="s">
        <v>2897</v>
      </c>
      <c r="H785" t="str">
        <f>"cpb-3"</f>
        <v>cpb-3</v>
      </c>
      <c r="I785" t="s">
        <v>2899</v>
      </c>
      <c r="J785" t="s">
        <v>29</v>
      </c>
      <c r="K785">
        <v>10.812964554117301</v>
      </c>
      <c r="L785">
        <v>11.398846918213501</v>
      </c>
      <c r="M785">
        <v>11.727750993318899</v>
      </c>
      <c r="N785" t="s">
        <v>29</v>
      </c>
      <c r="O785">
        <v>11.5039977009775</v>
      </c>
      <c r="P785">
        <v>0.50996861098280499</v>
      </c>
      <c r="Q785">
        <v>-0.52291051756593998</v>
      </c>
      <c r="R785">
        <v>1.5428477395315501</v>
      </c>
      <c r="S785">
        <v>12.3131775327018</v>
      </c>
      <c r="T785">
        <v>1.05970708221377</v>
      </c>
      <c r="U785">
        <v>-6.1127692428353102</v>
      </c>
      <c r="V785">
        <v>0.30735197256825703</v>
      </c>
      <c r="W785">
        <v>0.860999465241716</v>
      </c>
      <c r="X785">
        <v>0</v>
      </c>
      <c r="Y785">
        <v>0</v>
      </c>
    </row>
    <row r="786" spans="1:25" x14ac:dyDescent="0.2">
      <c r="A786" t="s">
        <v>2900</v>
      </c>
      <c r="B786" t="s">
        <v>2901</v>
      </c>
      <c r="C786" t="s">
        <v>2902</v>
      </c>
      <c r="D786" t="s">
        <v>2903</v>
      </c>
      <c r="E786" t="s">
        <v>2901</v>
      </c>
      <c r="F786" t="s">
        <v>28</v>
      </c>
      <c r="G786" t="s">
        <v>2901</v>
      </c>
      <c r="H786" t="str">
        <f>"pept-3"</f>
        <v>pept-3</v>
      </c>
      <c r="I786" t="s">
        <v>2903</v>
      </c>
      <c r="J786">
        <v>15.0008234800225</v>
      </c>
      <c r="K786">
        <v>15.629359456125201</v>
      </c>
      <c r="L786">
        <v>15.3258034922736</v>
      </c>
      <c r="M786">
        <v>15.4489780170407</v>
      </c>
      <c r="N786">
        <v>15.2684178689981</v>
      </c>
      <c r="O786">
        <v>15.779790627247101</v>
      </c>
      <c r="P786">
        <v>0.18040002828820301</v>
      </c>
      <c r="Q786">
        <v>-0.91688922938076201</v>
      </c>
      <c r="R786">
        <v>1.27768928595717</v>
      </c>
      <c r="S786">
        <v>15.209930179669501</v>
      </c>
      <c r="T786">
        <v>0.34702877478357802</v>
      </c>
      <c r="U786">
        <v>-6.8195947627890403</v>
      </c>
      <c r="V786">
        <v>0.73285475561476399</v>
      </c>
      <c r="W786">
        <v>0.99057748145465696</v>
      </c>
      <c r="X786">
        <v>0</v>
      </c>
      <c r="Y786">
        <v>0</v>
      </c>
    </row>
    <row r="787" spans="1:25" x14ac:dyDescent="0.2">
      <c r="A787" t="s">
        <v>2904</v>
      </c>
      <c r="B787" t="s">
        <v>2905</v>
      </c>
      <c r="C787" t="s">
        <v>14330</v>
      </c>
      <c r="D787" t="s">
        <v>2906</v>
      </c>
      <c r="E787" t="s">
        <v>2905</v>
      </c>
      <c r="F787" t="s">
        <v>28</v>
      </c>
      <c r="G787" t="s">
        <v>2905</v>
      </c>
      <c r="H787" t="str">
        <f>"T05E7.3"</f>
        <v>T05E7.3</v>
      </c>
      <c r="I787" t="s">
        <v>2906</v>
      </c>
      <c r="J787" t="s">
        <v>29</v>
      </c>
      <c r="K787">
        <v>11.424248056981799</v>
      </c>
      <c r="L787">
        <v>10.362531813065299</v>
      </c>
      <c r="M787" t="s">
        <v>29</v>
      </c>
      <c r="N787">
        <v>11.198534717859699</v>
      </c>
      <c r="O787" t="s">
        <v>29</v>
      </c>
      <c r="P787">
        <v>0.305144782836198</v>
      </c>
      <c r="Q787">
        <v>-1.24440065428407</v>
      </c>
      <c r="R787">
        <v>1.8546902199564601</v>
      </c>
      <c r="S787">
        <v>10.5979721557805</v>
      </c>
      <c r="T787">
        <v>0.42948366060133097</v>
      </c>
      <c r="U787">
        <v>-6.3865013044722003</v>
      </c>
      <c r="V787">
        <v>0.67524788558003002</v>
      </c>
      <c r="W787">
        <v>0.98642420921484297</v>
      </c>
      <c r="X787">
        <v>0</v>
      </c>
      <c r="Y787">
        <v>0</v>
      </c>
    </row>
    <row r="788" spans="1:25" x14ac:dyDescent="0.2">
      <c r="A788" t="s">
        <v>2907</v>
      </c>
      <c r="B788" t="s">
        <v>2908</v>
      </c>
      <c r="C788" t="s">
        <v>2909</v>
      </c>
      <c r="D788" t="s">
        <v>526</v>
      </c>
      <c r="E788" t="s">
        <v>2908</v>
      </c>
      <c r="F788" t="s">
        <v>28</v>
      </c>
      <c r="G788" t="s">
        <v>2908</v>
      </c>
      <c r="H788" t="str">
        <f>"nrd-1"</f>
        <v>nrd-1</v>
      </c>
      <c r="I788" t="s">
        <v>526</v>
      </c>
      <c r="J788">
        <v>13.5997967915632</v>
      </c>
      <c r="K788">
        <v>14.221851249317201</v>
      </c>
      <c r="L788">
        <v>14.0857127561768</v>
      </c>
      <c r="M788">
        <v>13.7750800819984</v>
      </c>
      <c r="N788">
        <v>13.9188494821605</v>
      </c>
      <c r="O788">
        <v>14.042572166474599</v>
      </c>
      <c r="P788">
        <v>-5.6953022141238201E-2</v>
      </c>
      <c r="Q788">
        <v>-0.47444152873877299</v>
      </c>
      <c r="R788">
        <v>0.36053548445629702</v>
      </c>
      <c r="S788">
        <v>14.4075999199452</v>
      </c>
      <c r="T788">
        <v>-0.28672447325101702</v>
      </c>
      <c r="U788">
        <v>-6.8396339023595996</v>
      </c>
      <c r="V788">
        <v>0.77761661424161599</v>
      </c>
      <c r="W788">
        <v>0.99278624068726296</v>
      </c>
      <c r="X788">
        <v>0</v>
      </c>
      <c r="Y788">
        <v>0</v>
      </c>
    </row>
    <row r="789" spans="1:25" x14ac:dyDescent="0.2">
      <c r="A789" t="s">
        <v>2910</v>
      </c>
      <c r="B789" t="s">
        <v>2911</v>
      </c>
      <c r="C789" t="s">
        <v>2912</v>
      </c>
      <c r="D789" t="s">
        <v>2913</v>
      </c>
      <c r="E789" t="s">
        <v>2911</v>
      </c>
      <c r="F789" t="s">
        <v>28</v>
      </c>
      <c r="G789" t="s">
        <v>2911</v>
      </c>
      <c r="H789" t="str">
        <f>"rpl-24.1"</f>
        <v>rpl-24.1</v>
      </c>
      <c r="I789" t="s">
        <v>2913</v>
      </c>
      <c r="J789">
        <v>20.592596874186398</v>
      </c>
      <c r="K789">
        <v>20.482154512530801</v>
      </c>
      <c r="L789">
        <v>20.581272087041</v>
      </c>
      <c r="M789">
        <v>20.759734523060601</v>
      </c>
      <c r="N789">
        <v>20.6546991088236</v>
      </c>
      <c r="O789">
        <v>20.577258341771199</v>
      </c>
      <c r="P789">
        <v>0.111889499965734</v>
      </c>
      <c r="Q789">
        <v>-0.25873720329310501</v>
      </c>
      <c r="R789">
        <v>0.482516203224573</v>
      </c>
      <c r="S789">
        <v>20.5003978839996</v>
      </c>
      <c r="T789">
        <v>0.63451974288097401</v>
      </c>
      <c r="U789">
        <v>-6.6744794317757004</v>
      </c>
      <c r="V789">
        <v>0.53377040480984494</v>
      </c>
      <c r="W789">
        <v>0.94494516919629801</v>
      </c>
      <c r="X789">
        <v>0</v>
      </c>
      <c r="Y789">
        <v>0</v>
      </c>
    </row>
    <row r="790" spans="1:25" x14ac:dyDescent="0.2">
      <c r="A790" t="s">
        <v>2914</v>
      </c>
      <c r="B790" t="s">
        <v>2915</v>
      </c>
      <c r="C790" t="s">
        <v>2916</v>
      </c>
      <c r="D790" t="s">
        <v>2917</v>
      </c>
      <c r="E790" t="s">
        <v>2915</v>
      </c>
      <c r="F790" t="s">
        <v>28</v>
      </c>
      <c r="G790" t="s">
        <v>2915</v>
      </c>
      <c r="H790" t="str">
        <f>"rps-10"</f>
        <v>rps-10</v>
      </c>
      <c r="I790" t="s">
        <v>2917</v>
      </c>
      <c r="J790">
        <v>13.0862297101315</v>
      </c>
      <c r="K790">
        <v>13.528531669393701</v>
      </c>
      <c r="L790">
        <v>13.9851240303175</v>
      </c>
      <c r="M790">
        <v>14.5068695356177</v>
      </c>
      <c r="N790">
        <v>13.2668733937286</v>
      </c>
      <c r="O790">
        <v>13.7971507671119</v>
      </c>
      <c r="P790">
        <v>0.32366942887185601</v>
      </c>
      <c r="Q790">
        <v>-0.51933576051194996</v>
      </c>
      <c r="R790">
        <v>1.16667461825566</v>
      </c>
      <c r="S790">
        <v>13.7792168001583</v>
      </c>
      <c r="T790">
        <v>0.80698218362178498</v>
      </c>
      <c r="U790">
        <v>-6.5483355305295596</v>
      </c>
      <c r="V790">
        <v>0.43027240377265502</v>
      </c>
      <c r="W790">
        <v>0.91512503332874395</v>
      </c>
      <c r="X790">
        <v>0</v>
      </c>
      <c r="Y790">
        <v>0</v>
      </c>
    </row>
    <row r="791" spans="1:25" x14ac:dyDescent="0.2">
      <c r="A791" t="s">
        <v>2918</v>
      </c>
      <c r="B791" t="s">
        <v>2919</v>
      </c>
      <c r="C791" t="s">
        <v>2920</v>
      </c>
      <c r="D791" t="s">
        <v>2921</v>
      </c>
      <c r="E791" t="s">
        <v>2919</v>
      </c>
      <c r="F791" t="s">
        <v>28</v>
      </c>
      <c r="G791" t="s">
        <v>2919</v>
      </c>
      <c r="H791" t="str">
        <f>"tmem-39"</f>
        <v>tmem-39</v>
      </c>
      <c r="I791" t="s">
        <v>2921</v>
      </c>
      <c r="J791">
        <v>12.999498266012999</v>
      </c>
      <c r="K791">
        <v>13.487709462550001</v>
      </c>
      <c r="L791">
        <v>13.8321609146215</v>
      </c>
      <c r="M791">
        <v>13.777679435877999</v>
      </c>
      <c r="N791">
        <v>13.593480297351</v>
      </c>
      <c r="O791">
        <v>13.060792151809901</v>
      </c>
      <c r="P791">
        <v>3.7527747284796603E-2</v>
      </c>
      <c r="Q791">
        <v>-0.62109341885658698</v>
      </c>
      <c r="R791">
        <v>0.69614891342618002</v>
      </c>
      <c r="S791">
        <v>13.8586943591124</v>
      </c>
      <c r="T791">
        <v>0.119759320988279</v>
      </c>
      <c r="U791">
        <v>-6.8749987844718499</v>
      </c>
      <c r="V791">
        <v>0.90600807995523303</v>
      </c>
      <c r="W791">
        <v>0.99833354317360001</v>
      </c>
      <c r="X791">
        <v>0</v>
      </c>
      <c r="Y791">
        <v>0</v>
      </c>
    </row>
    <row r="792" spans="1:25" x14ac:dyDescent="0.2">
      <c r="A792" t="s">
        <v>2922</v>
      </c>
      <c r="B792" t="s">
        <v>2923</v>
      </c>
      <c r="C792" t="s">
        <v>2924</v>
      </c>
      <c r="D792" t="s">
        <v>2925</v>
      </c>
      <c r="E792" t="s">
        <v>2923</v>
      </c>
      <c r="F792" t="s">
        <v>28</v>
      </c>
      <c r="G792" t="s">
        <v>2923</v>
      </c>
      <c r="H792" t="str">
        <f>"ucp-4"</f>
        <v>ucp-4</v>
      </c>
      <c r="I792" t="s">
        <v>2925</v>
      </c>
      <c r="J792">
        <v>13.9652222754713</v>
      </c>
      <c r="K792">
        <v>13.8107235056245</v>
      </c>
      <c r="L792">
        <v>13.5270097393797</v>
      </c>
      <c r="M792">
        <v>13.5188418630395</v>
      </c>
      <c r="N792">
        <v>13.596211941064601</v>
      </c>
      <c r="O792">
        <v>13.7043509862759</v>
      </c>
      <c r="P792">
        <v>-0.1611835766985</v>
      </c>
      <c r="Q792">
        <v>-0.61408533964456202</v>
      </c>
      <c r="R792">
        <v>0.29171818624756302</v>
      </c>
      <c r="S792">
        <v>13.603276108210199</v>
      </c>
      <c r="T792">
        <v>-0.75121939249522396</v>
      </c>
      <c r="U792">
        <v>-6.59158666202819</v>
      </c>
      <c r="V792">
        <v>0.46285694906192099</v>
      </c>
      <c r="W792">
        <v>0.92978583625257705</v>
      </c>
      <c r="X792">
        <v>0</v>
      </c>
      <c r="Y792">
        <v>0</v>
      </c>
    </row>
    <row r="793" spans="1:25" x14ac:dyDescent="0.2">
      <c r="A793" t="s">
        <v>2926</v>
      </c>
      <c r="B793" t="s">
        <v>2927</v>
      </c>
      <c r="C793" t="s">
        <v>2928</v>
      </c>
      <c r="D793" t="s">
        <v>2929</v>
      </c>
      <c r="E793" t="s">
        <v>2927</v>
      </c>
      <c r="F793" t="s">
        <v>28</v>
      </c>
      <c r="G793" t="s">
        <v>2927</v>
      </c>
      <c r="H793" t="str">
        <f>"coq-6"</f>
        <v>coq-6</v>
      </c>
      <c r="I793" t="s">
        <v>2929</v>
      </c>
      <c r="J793">
        <v>14.523229291792701</v>
      </c>
      <c r="K793">
        <v>14.626901636724099</v>
      </c>
      <c r="L793">
        <v>14.2360871599424</v>
      </c>
      <c r="M793">
        <v>14.073464580415401</v>
      </c>
      <c r="N793">
        <v>14.2551456935403</v>
      </c>
      <c r="O793">
        <v>14.493776600659899</v>
      </c>
      <c r="P793">
        <v>-0.187943737947837</v>
      </c>
      <c r="Q793">
        <v>-0.67711411754391504</v>
      </c>
      <c r="R793">
        <v>0.30122664164824198</v>
      </c>
      <c r="S793">
        <v>13.930716075554701</v>
      </c>
      <c r="T793">
        <v>-0.81492424413409004</v>
      </c>
      <c r="U793">
        <v>-6.5403601755635998</v>
      </c>
      <c r="V793">
        <v>0.427157789831554</v>
      </c>
      <c r="W793">
        <v>0.91512503332874395</v>
      </c>
      <c r="X793">
        <v>0</v>
      </c>
      <c r="Y793">
        <v>0</v>
      </c>
    </row>
    <row r="794" spans="1:25" x14ac:dyDescent="0.2">
      <c r="A794" t="s">
        <v>2930</v>
      </c>
      <c r="B794" t="s">
        <v>2931</v>
      </c>
      <c r="C794" t="s">
        <v>14331</v>
      </c>
      <c r="D794" t="s">
        <v>2787</v>
      </c>
      <c r="E794" t="s">
        <v>2931</v>
      </c>
      <c r="F794" t="s">
        <v>28</v>
      </c>
      <c r="G794" t="s">
        <v>2931</v>
      </c>
      <c r="H794" t="str">
        <f>"R08F11.4"</f>
        <v>R08F11.4</v>
      </c>
      <c r="I794" t="s">
        <v>2787</v>
      </c>
      <c r="J794" t="s">
        <v>29</v>
      </c>
      <c r="K794" t="s">
        <v>29</v>
      </c>
      <c r="L794">
        <v>11.2451847966784</v>
      </c>
      <c r="M794">
        <v>11.3363322697996</v>
      </c>
      <c r="N794">
        <v>11.7920818659908</v>
      </c>
      <c r="O794">
        <v>11.9977447340649</v>
      </c>
      <c r="P794">
        <v>0.463534826606679</v>
      </c>
      <c r="Q794">
        <v>-0.30302610079000702</v>
      </c>
      <c r="R794">
        <v>1.2300957540033699</v>
      </c>
      <c r="S794">
        <v>11.7618643825533</v>
      </c>
      <c r="T794">
        <v>1.30744351389062</v>
      </c>
      <c r="U794">
        <v>-5.6949626720443298</v>
      </c>
      <c r="V794">
        <v>0.21389411464428101</v>
      </c>
      <c r="W794">
        <v>0.79508962856638699</v>
      </c>
      <c r="X794">
        <v>0</v>
      </c>
      <c r="Y794">
        <v>0</v>
      </c>
    </row>
    <row r="795" spans="1:25" x14ac:dyDescent="0.2">
      <c r="A795" t="s">
        <v>2932</v>
      </c>
      <c r="B795" t="s">
        <v>2933</v>
      </c>
      <c r="C795" t="s">
        <v>14332</v>
      </c>
      <c r="D795" t="s">
        <v>2934</v>
      </c>
      <c r="E795" t="s">
        <v>2933</v>
      </c>
      <c r="F795" t="s">
        <v>28</v>
      </c>
      <c r="G795" t="s">
        <v>2933</v>
      </c>
      <c r="H795" t="str">
        <f>"F59E12.9"</f>
        <v>F59E12.9</v>
      </c>
      <c r="I795" t="s">
        <v>2934</v>
      </c>
      <c r="J795">
        <v>11.888994507927</v>
      </c>
      <c r="K795">
        <v>12.2610273571914</v>
      </c>
      <c r="L795">
        <v>12.3878537255829</v>
      </c>
      <c r="M795">
        <v>11.7285493408809</v>
      </c>
      <c r="N795">
        <v>11.7451612951663</v>
      </c>
      <c r="O795">
        <v>11.279234281895601</v>
      </c>
      <c r="P795">
        <v>-0.59497689091947903</v>
      </c>
      <c r="Q795">
        <v>-1.0358285739962201</v>
      </c>
      <c r="R795">
        <v>-0.15412520784274</v>
      </c>
      <c r="S795">
        <v>12.5146839793886</v>
      </c>
      <c r="T795">
        <v>-2.8783871063394599</v>
      </c>
      <c r="U795">
        <v>-3.4129964013226601</v>
      </c>
      <c r="V795">
        <v>1.1551715282341101E-2</v>
      </c>
      <c r="W795">
        <v>0.19614341050832201</v>
      </c>
      <c r="X795">
        <v>0</v>
      </c>
      <c r="Y795">
        <v>0</v>
      </c>
    </row>
    <row r="796" spans="1:25" x14ac:dyDescent="0.2">
      <c r="A796" t="s">
        <v>2935</v>
      </c>
      <c r="B796" t="s">
        <v>2936</v>
      </c>
      <c r="C796" t="s">
        <v>14333</v>
      </c>
      <c r="D796" t="s">
        <v>115</v>
      </c>
      <c r="E796" t="s">
        <v>2936</v>
      </c>
      <c r="F796" t="s">
        <v>28</v>
      </c>
      <c r="G796" t="s">
        <v>2936</v>
      </c>
      <c r="H796" t="str">
        <f>"F59E12.1"</f>
        <v>F59E12.1</v>
      </c>
      <c r="I796" t="s">
        <v>115</v>
      </c>
      <c r="J796" t="s">
        <v>29</v>
      </c>
      <c r="K796" t="s">
        <v>29</v>
      </c>
      <c r="L796" t="s">
        <v>29</v>
      </c>
      <c r="M796" t="s">
        <v>29</v>
      </c>
      <c r="N796">
        <v>11.804912147789301</v>
      </c>
      <c r="O796" t="s">
        <v>29</v>
      </c>
      <c r="P796" t="s">
        <v>29</v>
      </c>
      <c r="Q796" t="s">
        <v>29</v>
      </c>
      <c r="R796" t="s">
        <v>29</v>
      </c>
      <c r="S796">
        <v>12.921184114813499</v>
      </c>
      <c r="T796" t="s">
        <v>29</v>
      </c>
      <c r="U796" t="s">
        <v>29</v>
      </c>
      <c r="V796" t="s">
        <v>29</v>
      </c>
      <c r="W796" t="s">
        <v>29</v>
      </c>
      <c r="X796" t="s">
        <v>29</v>
      </c>
      <c r="Y796" t="s">
        <v>29</v>
      </c>
    </row>
    <row r="797" spans="1:25" x14ac:dyDescent="0.2">
      <c r="A797" t="s">
        <v>2937</v>
      </c>
      <c r="B797" t="s">
        <v>2938</v>
      </c>
      <c r="C797" t="s">
        <v>2939</v>
      </c>
      <c r="D797" t="s">
        <v>2940</v>
      </c>
      <c r="E797" t="s">
        <v>2938</v>
      </c>
      <c r="F797" t="s">
        <v>28</v>
      </c>
      <c r="G797" t="s">
        <v>2938</v>
      </c>
      <c r="H797" t="str">
        <f>"crls-1"</f>
        <v>crls-1</v>
      </c>
      <c r="I797" t="s">
        <v>2940</v>
      </c>
      <c r="J797">
        <v>13.648682147212201</v>
      </c>
      <c r="K797">
        <v>13.810557892144001</v>
      </c>
      <c r="L797">
        <v>13.8368152253581</v>
      </c>
      <c r="M797">
        <v>13.803124801229799</v>
      </c>
      <c r="N797">
        <v>13.255912455497899</v>
      </c>
      <c r="O797">
        <v>12.6609824303134</v>
      </c>
      <c r="P797">
        <v>-0.52534519255774703</v>
      </c>
      <c r="Q797">
        <v>-1.0653625562606699</v>
      </c>
      <c r="R797">
        <v>1.46721711451727E-2</v>
      </c>
      <c r="S797">
        <v>13.144602160707</v>
      </c>
      <c r="T797">
        <v>-2.06341492648431</v>
      </c>
      <c r="U797">
        <v>-4.9009155195665999</v>
      </c>
      <c r="V797">
        <v>5.5800520625225301E-2</v>
      </c>
      <c r="W797">
        <v>0.50684438128921605</v>
      </c>
      <c r="X797">
        <v>0</v>
      </c>
      <c r="Y797">
        <v>0</v>
      </c>
    </row>
    <row r="798" spans="1:25" x14ac:dyDescent="0.2">
      <c r="A798" t="s">
        <v>2941</v>
      </c>
      <c r="B798" t="s">
        <v>2942</v>
      </c>
      <c r="C798" t="s">
        <v>2943</v>
      </c>
      <c r="D798" t="s">
        <v>2944</v>
      </c>
      <c r="E798" t="s">
        <v>2942</v>
      </c>
      <c r="F798" t="s">
        <v>28</v>
      </c>
      <c r="G798" t="s">
        <v>2942</v>
      </c>
      <c r="H798" t="str">
        <f>"bra-2"</f>
        <v>bra-2</v>
      </c>
      <c r="I798" t="s">
        <v>2944</v>
      </c>
      <c r="J798">
        <v>14.643382052504901</v>
      </c>
      <c r="K798">
        <v>13.2447587185928</v>
      </c>
      <c r="L798">
        <v>11.797853263579499</v>
      </c>
      <c r="M798">
        <v>12.814892186301</v>
      </c>
      <c r="N798">
        <v>13.085507834104099</v>
      </c>
      <c r="O798">
        <v>12.989467149801699</v>
      </c>
      <c r="P798">
        <v>-0.26537562149014199</v>
      </c>
      <c r="Q798">
        <v>-1.4864478664291101</v>
      </c>
      <c r="R798">
        <v>0.955696623448823</v>
      </c>
      <c r="S798">
        <v>13.7435410994566</v>
      </c>
      <c r="T798">
        <v>-0.45874324002150701</v>
      </c>
      <c r="U798">
        <v>-6.7728761571833598</v>
      </c>
      <c r="V798">
        <v>0.65226495421544395</v>
      </c>
      <c r="W798">
        <v>0.98150210052054998</v>
      </c>
      <c r="X798">
        <v>0</v>
      </c>
      <c r="Y798">
        <v>0</v>
      </c>
    </row>
    <row r="799" spans="1:25" x14ac:dyDescent="0.2">
      <c r="A799" t="s">
        <v>2945</v>
      </c>
      <c r="B799" t="s">
        <v>2946</v>
      </c>
      <c r="C799" t="s">
        <v>2947</v>
      </c>
      <c r="D799" t="s">
        <v>2948</v>
      </c>
      <c r="E799" t="s">
        <v>2946</v>
      </c>
      <c r="F799" t="s">
        <v>28</v>
      </c>
      <c r="G799" t="s">
        <v>2946</v>
      </c>
      <c r="H799" t="str">
        <f>"mboa-6"</f>
        <v>mboa-6</v>
      </c>
      <c r="I799" t="s">
        <v>2948</v>
      </c>
      <c r="J799">
        <v>16.212913014968301</v>
      </c>
      <c r="K799">
        <v>16.848426947689699</v>
      </c>
      <c r="L799">
        <v>17.054429771954201</v>
      </c>
      <c r="M799">
        <v>16.774955586361799</v>
      </c>
      <c r="N799">
        <v>16.9209476032662</v>
      </c>
      <c r="O799">
        <v>16.652985603814599</v>
      </c>
      <c r="P799">
        <v>7.7706352943437196E-2</v>
      </c>
      <c r="Q799">
        <v>-0.41836845868239803</v>
      </c>
      <c r="R799">
        <v>0.57378116456927297</v>
      </c>
      <c r="S799">
        <v>17.159774798505101</v>
      </c>
      <c r="T799">
        <v>0.32923186590446502</v>
      </c>
      <c r="U799">
        <v>-6.8260267069257896</v>
      </c>
      <c r="V799">
        <v>0.74580250166931805</v>
      </c>
      <c r="W799">
        <v>0.99184638945407499</v>
      </c>
      <c r="X799">
        <v>0</v>
      </c>
      <c r="Y799">
        <v>0</v>
      </c>
    </row>
    <row r="800" spans="1:25" x14ac:dyDescent="0.2">
      <c r="A800" t="s">
        <v>2949</v>
      </c>
      <c r="B800" t="s">
        <v>2950</v>
      </c>
      <c r="C800" t="s">
        <v>2951</v>
      </c>
      <c r="D800" t="s">
        <v>107</v>
      </c>
      <c r="E800" t="s">
        <v>2950</v>
      </c>
      <c r="F800" t="s">
        <v>28</v>
      </c>
      <c r="G800" t="s">
        <v>2950</v>
      </c>
      <c r="H800" t="str">
        <f>"spin-1"</f>
        <v>spin-1</v>
      </c>
      <c r="I800" t="s">
        <v>107</v>
      </c>
      <c r="J800">
        <v>10.0779879208084</v>
      </c>
      <c r="K800" t="s">
        <v>29</v>
      </c>
      <c r="L800" t="s">
        <v>29</v>
      </c>
      <c r="M800" t="s">
        <v>29</v>
      </c>
      <c r="N800" t="s">
        <v>29</v>
      </c>
      <c r="O800" t="s">
        <v>29</v>
      </c>
      <c r="P800" t="s">
        <v>29</v>
      </c>
      <c r="Q800" t="s">
        <v>29</v>
      </c>
      <c r="R800" t="s">
        <v>29</v>
      </c>
      <c r="S800">
        <v>11.932104228700499</v>
      </c>
      <c r="T800" t="s">
        <v>29</v>
      </c>
      <c r="U800" t="s">
        <v>29</v>
      </c>
      <c r="V800" t="s">
        <v>29</v>
      </c>
      <c r="W800" t="s">
        <v>29</v>
      </c>
      <c r="X800" t="s">
        <v>29</v>
      </c>
      <c r="Y800" t="s">
        <v>29</v>
      </c>
    </row>
    <row r="801" spans="1:25" x14ac:dyDescent="0.2">
      <c r="A801" t="s">
        <v>2952</v>
      </c>
      <c r="B801" t="s">
        <v>2953</v>
      </c>
      <c r="C801" t="s">
        <v>2954</v>
      </c>
      <c r="D801" t="s">
        <v>2955</v>
      </c>
      <c r="E801" t="s">
        <v>2953</v>
      </c>
      <c r="F801" t="s">
        <v>28</v>
      </c>
      <c r="G801" t="s">
        <v>2953</v>
      </c>
      <c r="H801" t="str">
        <f>"ari-1.3"</f>
        <v>ari-1.3</v>
      </c>
      <c r="I801" t="s">
        <v>2955</v>
      </c>
      <c r="J801">
        <v>12.687303346371801</v>
      </c>
      <c r="K801" t="s">
        <v>29</v>
      </c>
      <c r="L801">
        <v>10.8211277086916</v>
      </c>
      <c r="M801">
        <v>12.2893348025022</v>
      </c>
      <c r="N801">
        <v>11.9416867860433</v>
      </c>
      <c r="O801">
        <v>12.2379177536874</v>
      </c>
      <c r="P801">
        <v>0.40209758654595301</v>
      </c>
      <c r="Q801">
        <v>-0.51391638658049499</v>
      </c>
      <c r="R801">
        <v>1.3181115596724</v>
      </c>
      <c r="S801">
        <v>12.505705221677401</v>
      </c>
      <c r="T801">
        <v>0.93620503760192397</v>
      </c>
      <c r="U801">
        <v>-6.32379408338043</v>
      </c>
      <c r="V801">
        <v>0.36409954459778898</v>
      </c>
      <c r="W801">
        <v>0.888292466632014</v>
      </c>
      <c r="X801">
        <v>0</v>
      </c>
      <c r="Y801">
        <v>0</v>
      </c>
    </row>
    <row r="802" spans="1:25" x14ac:dyDescent="0.2">
      <c r="A802" t="s">
        <v>2956</v>
      </c>
      <c r="B802" t="s">
        <v>2957</v>
      </c>
      <c r="C802" t="s">
        <v>2958</v>
      </c>
      <c r="D802" t="s">
        <v>2955</v>
      </c>
      <c r="E802" t="s">
        <v>2957</v>
      </c>
      <c r="F802" t="s">
        <v>28</v>
      </c>
      <c r="G802" t="s">
        <v>2957</v>
      </c>
      <c r="H802" t="str">
        <f>"ari-1.2"</f>
        <v>ari-1.2</v>
      </c>
      <c r="I802" t="s">
        <v>2955</v>
      </c>
      <c r="J802" t="s">
        <v>29</v>
      </c>
      <c r="K802" t="s">
        <v>29</v>
      </c>
      <c r="L802" t="s">
        <v>29</v>
      </c>
      <c r="M802" t="s">
        <v>29</v>
      </c>
      <c r="N802" t="s">
        <v>29</v>
      </c>
      <c r="O802" t="s">
        <v>29</v>
      </c>
      <c r="P802" t="s">
        <v>29</v>
      </c>
      <c r="Q802" t="s">
        <v>29</v>
      </c>
      <c r="R802" t="s">
        <v>29</v>
      </c>
      <c r="S802">
        <v>12.3742606567856</v>
      </c>
      <c r="T802" t="s">
        <v>29</v>
      </c>
      <c r="U802" t="s">
        <v>29</v>
      </c>
      <c r="V802" t="s">
        <v>29</v>
      </c>
      <c r="W802" t="s">
        <v>29</v>
      </c>
      <c r="X802" t="s">
        <v>29</v>
      </c>
      <c r="Y802" t="s">
        <v>29</v>
      </c>
    </row>
    <row r="803" spans="1:25" x14ac:dyDescent="0.2">
      <c r="A803" t="s">
        <v>2959</v>
      </c>
      <c r="B803" t="s">
        <v>2960</v>
      </c>
      <c r="C803" t="s">
        <v>2961</v>
      </c>
      <c r="D803" t="s">
        <v>2962</v>
      </c>
      <c r="E803" t="s">
        <v>2960</v>
      </c>
      <c r="F803" t="s">
        <v>28</v>
      </c>
      <c r="G803" t="s">
        <v>2960</v>
      </c>
      <c r="H803" t="str">
        <f>"ari-1.1"</f>
        <v>ari-1.1</v>
      </c>
      <c r="I803" t="s">
        <v>2962</v>
      </c>
      <c r="J803">
        <v>13.448072167937401</v>
      </c>
      <c r="K803">
        <v>12.8453171730708</v>
      </c>
      <c r="L803">
        <v>13.0685545211348</v>
      </c>
      <c r="M803">
        <v>13.175965878813701</v>
      </c>
      <c r="N803">
        <v>12.6481013567745</v>
      </c>
      <c r="O803">
        <v>12.8079878458847</v>
      </c>
      <c r="P803">
        <v>-0.24329626022333001</v>
      </c>
      <c r="Q803">
        <v>-0.82317997949575805</v>
      </c>
      <c r="R803">
        <v>0.33658745904909798</v>
      </c>
      <c r="S803">
        <v>13.2313934189529</v>
      </c>
      <c r="T803">
        <v>-0.88561411700389103</v>
      </c>
      <c r="U803">
        <v>-6.4807559499245802</v>
      </c>
      <c r="V803">
        <v>0.38825687866385999</v>
      </c>
      <c r="W803">
        <v>0.90484516260036896</v>
      </c>
      <c r="X803">
        <v>0</v>
      </c>
      <c r="Y803">
        <v>0</v>
      </c>
    </row>
    <row r="804" spans="1:25" x14ac:dyDescent="0.2">
      <c r="A804" t="s">
        <v>2963</v>
      </c>
      <c r="B804" t="s">
        <v>2964</v>
      </c>
      <c r="C804" t="s">
        <v>2965</v>
      </c>
      <c r="D804" t="s">
        <v>2966</v>
      </c>
      <c r="E804" t="s">
        <v>2964</v>
      </c>
      <c r="F804" t="s">
        <v>28</v>
      </c>
      <c r="G804" t="s">
        <v>2964</v>
      </c>
      <c r="H804" t="str">
        <f>"pigo-1"</f>
        <v>pigo-1</v>
      </c>
      <c r="I804" t="s">
        <v>2966</v>
      </c>
      <c r="J804" t="s">
        <v>29</v>
      </c>
      <c r="K804">
        <v>11.013556907406</v>
      </c>
      <c r="L804">
        <v>12.0289023299338</v>
      </c>
      <c r="M804">
        <v>12.0045557404028</v>
      </c>
      <c r="N804">
        <v>12.3674418197758</v>
      </c>
      <c r="O804">
        <v>11.444994977048299</v>
      </c>
      <c r="P804">
        <v>0.41776789373906997</v>
      </c>
      <c r="Q804">
        <v>-0.41566932336601398</v>
      </c>
      <c r="R804">
        <v>1.25120511084415</v>
      </c>
      <c r="S804">
        <v>12.1607213678836</v>
      </c>
      <c r="T804">
        <v>1.0758557947893099</v>
      </c>
      <c r="U804">
        <v>-6.1842794872066902</v>
      </c>
      <c r="V804">
        <v>0.30031801697335397</v>
      </c>
      <c r="W804">
        <v>0.85855590823088301</v>
      </c>
      <c r="X804">
        <v>0</v>
      </c>
      <c r="Y804">
        <v>0</v>
      </c>
    </row>
    <row r="805" spans="1:25" x14ac:dyDescent="0.2">
      <c r="A805" t="s">
        <v>2967</v>
      </c>
      <c r="B805" t="s">
        <v>2968</v>
      </c>
      <c r="C805" t="s">
        <v>2969</v>
      </c>
      <c r="D805" t="s">
        <v>2970</v>
      </c>
      <c r="E805" t="s">
        <v>2968</v>
      </c>
      <c r="F805" t="s">
        <v>28</v>
      </c>
      <c r="G805" t="s">
        <v>2968</v>
      </c>
      <c r="H805" t="str">
        <f>"tag-96"</f>
        <v>tag-96</v>
      </c>
      <c r="I805" t="s">
        <v>2970</v>
      </c>
      <c r="J805">
        <v>12.962881593875601</v>
      </c>
      <c r="K805">
        <v>12.8758256042375</v>
      </c>
      <c r="L805">
        <v>12.9518827390584</v>
      </c>
      <c r="M805">
        <v>13.0261516848184</v>
      </c>
      <c r="N805">
        <v>13.126245739208199</v>
      </c>
      <c r="O805">
        <v>12.8572111393132</v>
      </c>
      <c r="P805">
        <v>7.3006208722748794E-2</v>
      </c>
      <c r="Q805">
        <v>-0.40960546197467301</v>
      </c>
      <c r="R805">
        <v>0.55561787942017105</v>
      </c>
      <c r="S805">
        <v>12.637578472385</v>
      </c>
      <c r="T805">
        <v>0.31794682236903599</v>
      </c>
      <c r="U805">
        <v>-6.8298203059352298</v>
      </c>
      <c r="V805">
        <v>0.75420559035581503</v>
      </c>
      <c r="W805">
        <v>0.99278624068726296</v>
      </c>
      <c r="X805">
        <v>0</v>
      </c>
      <c r="Y805">
        <v>0</v>
      </c>
    </row>
    <row r="806" spans="1:25" x14ac:dyDescent="0.2">
      <c r="A806" t="s">
        <v>2971</v>
      </c>
      <c r="B806" t="s">
        <v>2972</v>
      </c>
      <c r="C806" t="s">
        <v>2973</v>
      </c>
      <c r="D806" t="s">
        <v>2974</v>
      </c>
      <c r="E806" t="s">
        <v>2972</v>
      </c>
      <c r="F806" t="s">
        <v>28</v>
      </c>
      <c r="G806" t="s">
        <v>2972</v>
      </c>
      <c r="H806" t="str">
        <f>"eif-3.H"</f>
        <v>eif-3.H</v>
      </c>
      <c r="I806" t="s">
        <v>2974</v>
      </c>
      <c r="J806" t="s">
        <v>29</v>
      </c>
      <c r="K806" t="s">
        <v>29</v>
      </c>
      <c r="L806">
        <v>13.085527174688499</v>
      </c>
      <c r="M806">
        <v>13.8931378276727</v>
      </c>
      <c r="N806">
        <v>13.6228269279493</v>
      </c>
      <c r="O806">
        <v>13.373488468534999</v>
      </c>
      <c r="P806">
        <v>0.544290566697198</v>
      </c>
      <c r="Q806">
        <v>-0.20037224004395299</v>
      </c>
      <c r="R806">
        <v>1.28895337343835</v>
      </c>
      <c r="S806">
        <v>13.375744087612601</v>
      </c>
      <c r="T806">
        <v>1.5687835882774901</v>
      </c>
      <c r="U806">
        <v>-5.3534457498619901</v>
      </c>
      <c r="V806">
        <v>0.139184216053275</v>
      </c>
      <c r="W806">
        <v>0.72716651652323006</v>
      </c>
      <c r="X806">
        <v>0</v>
      </c>
      <c r="Y806">
        <v>0</v>
      </c>
    </row>
    <row r="807" spans="1:25" x14ac:dyDescent="0.2">
      <c r="A807" t="s">
        <v>2975</v>
      </c>
      <c r="B807" t="s">
        <v>2976</v>
      </c>
      <c r="C807" t="s">
        <v>2977</v>
      </c>
      <c r="D807" t="s">
        <v>2978</v>
      </c>
      <c r="E807" t="s">
        <v>2976</v>
      </c>
      <c r="F807" t="s">
        <v>28</v>
      </c>
      <c r="G807" t="s">
        <v>2976</v>
      </c>
      <c r="H807" t="str">
        <f>"cmt-1"</f>
        <v>cmt-1</v>
      </c>
      <c r="I807" t="s">
        <v>2978</v>
      </c>
      <c r="J807" t="s">
        <v>29</v>
      </c>
      <c r="K807" t="s">
        <v>29</v>
      </c>
      <c r="L807" t="s">
        <v>29</v>
      </c>
      <c r="M807" t="s">
        <v>29</v>
      </c>
      <c r="N807" t="s">
        <v>29</v>
      </c>
      <c r="O807" t="s">
        <v>29</v>
      </c>
      <c r="P807" t="s">
        <v>29</v>
      </c>
      <c r="Q807" t="s">
        <v>29</v>
      </c>
      <c r="R807" t="s">
        <v>29</v>
      </c>
      <c r="S807">
        <v>12.3169284068025</v>
      </c>
      <c r="T807" t="s">
        <v>29</v>
      </c>
      <c r="U807" t="s">
        <v>29</v>
      </c>
      <c r="V807" t="s">
        <v>29</v>
      </c>
      <c r="W807" t="s">
        <v>29</v>
      </c>
      <c r="X807" t="s">
        <v>29</v>
      </c>
      <c r="Y807" t="s">
        <v>29</v>
      </c>
    </row>
    <row r="808" spans="1:25" x14ac:dyDescent="0.2">
      <c r="A808" t="s">
        <v>2979</v>
      </c>
      <c r="B808" t="s">
        <v>2980</v>
      </c>
      <c r="C808" t="s">
        <v>2981</v>
      </c>
      <c r="D808" t="s">
        <v>2982</v>
      </c>
      <c r="E808" t="s">
        <v>2980</v>
      </c>
      <c r="F808" t="s">
        <v>28</v>
      </c>
      <c r="G808" t="s">
        <v>2980</v>
      </c>
      <c r="H808" t="str">
        <f>"eri-7"</f>
        <v>eri-7</v>
      </c>
      <c r="I808" t="s">
        <v>2982</v>
      </c>
      <c r="J808" t="s">
        <v>29</v>
      </c>
      <c r="K808" t="s">
        <v>29</v>
      </c>
      <c r="L808" t="s">
        <v>29</v>
      </c>
      <c r="M808" t="s">
        <v>29</v>
      </c>
      <c r="N808" t="s">
        <v>29</v>
      </c>
      <c r="O808" t="s">
        <v>29</v>
      </c>
      <c r="P808" t="s">
        <v>29</v>
      </c>
      <c r="Q808" t="s">
        <v>29</v>
      </c>
      <c r="R808" t="s">
        <v>29</v>
      </c>
      <c r="S808">
        <v>11.3114505445694</v>
      </c>
      <c r="T808" t="s">
        <v>29</v>
      </c>
      <c r="U808" t="s">
        <v>29</v>
      </c>
      <c r="V808" t="s">
        <v>29</v>
      </c>
      <c r="W808" t="s">
        <v>29</v>
      </c>
      <c r="X808" t="s">
        <v>29</v>
      </c>
      <c r="Y808" t="s">
        <v>29</v>
      </c>
    </row>
    <row r="809" spans="1:25" x14ac:dyDescent="0.2">
      <c r="A809" t="s">
        <v>2983</v>
      </c>
      <c r="B809" t="s">
        <v>2984</v>
      </c>
      <c r="C809" t="s">
        <v>2985</v>
      </c>
      <c r="D809" t="s">
        <v>2986</v>
      </c>
      <c r="E809" t="s">
        <v>2984</v>
      </c>
      <c r="F809" t="s">
        <v>28</v>
      </c>
      <c r="G809" t="s">
        <v>2984</v>
      </c>
      <c r="H809" t="str">
        <f>"efk-1"</f>
        <v>efk-1</v>
      </c>
      <c r="I809" t="s">
        <v>2986</v>
      </c>
      <c r="J809">
        <v>13.346379964293501</v>
      </c>
      <c r="K809">
        <v>13.580914837422499</v>
      </c>
      <c r="L809">
        <v>12.884244750239199</v>
      </c>
      <c r="M809">
        <v>14.171434846158499</v>
      </c>
      <c r="N809">
        <v>14.634890194113</v>
      </c>
      <c r="O809">
        <v>14.195120647219399</v>
      </c>
      <c r="P809">
        <v>1.06330204517857</v>
      </c>
      <c r="Q809">
        <v>0.62125840285492895</v>
      </c>
      <c r="R809">
        <v>1.50534568750221</v>
      </c>
      <c r="S809">
        <v>13.9750496576734</v>
      </c>
      <c r="T809">
        <v>5.0557316429138801</v>
      </c>
      <c r="U809">
        <v>1.3613770712939901</v>
      </c>
      <c r="V809" s="2">
        <v>8.3740001784540094E-5</v>
      </c>
      <c r="W809">
        <v>4.2225261505901401E-3</v>
      </c>
      <c r="X809">
        <v>1</v>
      </c>
      <c r="Y809">
        <v>1</v>
      </c>
    </row>
    <row r="810" spans="1:25" x14ac:dyDescent="0.2">
      <c r="A810" t="s">
        <v>2987</v>
      </c>
      <c r="B810" t="s">
        <v>2988</v>
      </c>
      <c r="C810" t="s">
        <v>2989</v>
      </c>
      <c r="D810" t="s">
        <v>2990</v>
      </c>
      <c r="E810" t="s">
        <v>2988</v>
      </c>
      <c r="F810" t="s">
        <v>28</v>
      </c>
      <c r="G810" t="s">
        <v>2988</v>
      </c>
      <c r="H810" t="str">
        <f>"mdt-1.2"</f>
        <v>mdt-1.2</v>
      </c>
      <c r="I810" t="s">
        <v>2990</v>
      </c>
      <c r="J810">
        <v>12.0663799438568</v>
      </c>
      <c r="K810">
        <v>11.961810180289399</v>
      </c>
      <c r="L810">
        <v>11.9021786710698</v>
      </c>
      <c r="M810">
        <v>12.087127896271801</v>
      </c>
      <c r="N810">
        <v>12.0706383648663</v>
      </c>
      <c r="O810">
        <v>12.192074185655001</v>
      </c>
      <c r="P810">
        <v>0.13982388385904601</v>
      </c>
      <c r="Q810">
        <v>-0.41725195121692599</v>
      </c>
      <c r="R810">
        <v>0.69689971893501801</v>
      </c>
      <c r="S810">
        <v>12.0893161603643</v>
      </c>
      <c r="T810">
        <v>0.53237367367617305</v>
      </c>
      <c r="U810">
        <v>-6.7347431122154502</v>
      </c>
      <c r="V810">
        <v>0.601830530186658</v>
      </c>
      <c r="W810">
        <v>0.96856739034780204</v>
      </c>
      <c r="X810">
        <v>0</v>
      </c>
      <c r="Y810">
        <v>0</v>
      </c>
    </row>
    <row r="811" spans="1:25" x14ac:dyDescent="0.2">
      <c r="A811" t="s">
        <v>2991</v>
      </c>
      <c r="B811" t="s">
        <v>2992</v>
      </c>
      <c r="C811" t="s">
        <v>2993</v>
      </c>
      <c r="D811" t="s">
        <v>2994</v>
      </c>
      <c r="E811" t="s">
        <v>2992</v>
      </c>
      <c r="F811" t="s">
        <v>28</v>
      </c>
      <c r="G811" t="s">
        <v>2992</v>
      </c>
      <c r="H811" t="str">
        <f>"rpl-4"</f>
        <v>rpl-4</v>
      </c>
      <c r="I811" t="s">
        <v>2994</v>
      </c>
      <c r="J811">
        <v>19.114268670157301</v>
      </c>
      <c r="K811">
        <v>19.442535593155199</v>
      </c>
      <c r="L811">
        <v>19.703344495415799</v>
      </c>
      <c r="M811">
        <v>19.229150108463301</v>
      </c>
      <c r="N811">
        <v>19.212853239400001</v>
      </c>
      <c r="O811">
        <v>19.250289270401598</v>
      </c>
      <c r="P811">
        <v>-0.18928538015448401</v>
      </c>
      <c r="Q811">
        <v>-0.64422018466269304</v>
      </c>
      <c r="R811">
        <v>0.26564942435372502</v>
      </c>
      <c r="S811">
        <v>19.856028599626399</v>
      </c>
      <c r="T811">
        <v>-0.87450122313595802</v>
      </c>
      <c r="U811">
        <v>-6.4912958678857997</v>
      </c>
      <c r="V811">
        <v>0.39343094070415202</v>
      </c>
      <c r="W811">
        <v>0.90975406915825197</v>
      </c>
      <c r="X811">
        <v>0</v>
      </c>
      <c r="Y811">
        <v>0</v>
      </c>
    </row>
    <row r="812" spans="1:25" x14ac:dyDescent="0.2">
      <c r="A812" t="s">
        <v>2995</v>
      </c>
      <c r="B812" t="s">
        <v>2996</v>
      </c>
      <c r="C812" t="s">
        <v>14334</v>
      </c>
      <c r="D812" t="s">
        <v>214</v>
      </c>
      <c r="E812" t="s">
        <v>2996</v>
      </c>
      <c r="F812" t="s">
        <v>28</v>
      </c>
      <c r="G812" t="s">
        <v>2996</v>
      </c>
      <c r="H812" t="str">
        <f>"F19B10.10"</f>
        <v>F19B10.10</v>
      </c>
      <c r="I812" t="s">
        <v>214</v>
      </c>
      <c r="J812">
        <v>11.856922685170799</v>
      </c>
      <c r="K812">
        <v>11.7084042113261</v>
      </c>
      <c r="L812">
        <v>12.177738824276901</v>
      </c>
      <c r="M812">
        <v>12.773040136067801</v>
      </c>
      <c r="N812">
        <v>12.2443787069652</v>
      </c>
      <c r="O812" t="s">
        <v>29</v>
      </c>
      <c r="P812">
        <v>0.59435418125858097</v>
      </c>
      <c r="Q812">
        <v>8.2079435108235094E-2</v>
      </c>
      <c r="R812">
        <v>1.10662892740893</v>
      </c>
      <c r="S812">
        <v>12.732195077585001</v>
      </c>
      <c r="T812">
        <v>2.4902002266415599</v>
      </c>
      <c r="U812">
        <v>-4.0666992801715596</v>
      </c>
      <c r="V812">
        <v>2.6063659724211499E-2</v>
      </c>
      <c r="W812">
        <v>0.34975749823458102</v>
      </c>
      <c r="X812">
        <v>0</v>
      </c>
      <c r="Y812">
        <v>0</v>
      </c>
    </row>
    <row r="813" spans="1:25" x14ac:dyDescent="0.2">
      <c r="A813" t="s">
        <v>2997</v>
      </c>
      <c r="B813" t="s">
        <v>2998</v>
      </c>
      <c r="C813" t="s">
        <v>2999</v>
      </c>
      <c r="D813" t="s">
        <v>368</v>
      </c>
      <c r="E813" t="s">
        <v>2998</v>
      </c>
      <c r="F813" t="s">
        <v>28</v>
      </c>
      <c r="G813" t="s">
        <v>2998</v>
      </c>
      <c r="H813" t="str">
        <f>"C48E7.1"</f>
        <v>C48E7.1</v>
      </c>
      <c r="I813" t="s">
        <v>368</v>
      </c>
      <c r="J813" t="s">
        <v>29</v>
      </c>
      <c r="K813">
        <v>12.4202952511066</v>
      </c>
      <c r="L813">
        <v>12.2080882058111</v>
      </c>
      <c r="M813">
        <v>13.246768876936001</v>
      </c>
      <c r="N813">
        <v>12.568942170891299</v>
      </c>
      <c r="O813">
        <v>13.049232859517501</v>
      </c>
      <c r="P813">
        <v>0.64078957398943004</v>
      </c>
      <c r="Q813">
        <v>-0.56483548010888096</v>
      </c>
      <c r="R813">
        <v>1.84641462808774</v>
      </c>
      <c r="S813">
        <v>12.701349503651601</v>
      </c>
      <c r="T813">
        <v>1.1273342514892499</v>
      </c>
      <c r="U813">
        <v>-6.1311062694912</v>
      </c>
      <c r="V813">
        <v>0.27633209643478901</v>
      </c>
      <c r="W813">
        <v>0.856190392347986</v>
      </c>
      <c r="X813">
        <v>0</v>
      </c>
      <c r="Y813">
        <v>0</v>
      </c>
    </row>
    <row r="814" spans="1:25" x14ac:dyDescent="0.2">
      <c r="A814" t="s">
        <v>3000</v>
      </c>
      <c r="B814" t="s">
        <v>3001</v>
      </c>
      <c r="C814" t="s">
        <v>3002</v>
      </c>
      <c r="D814" t="s">
        <v>3003</v>
      </c>
      <c r="E814" t="s">
        <v>3001</v>
      </c>
      <c r="F814" t="s">
        <v>28</v>
      </c>
      <c r="G814" t="s">
        <v>3001</v>
      </c>
      <c r="H814" t="str">
        <f>"haf-2"</f>
        <v>haf-2</v>
      </c>
      <c r="I814" t="s">
        <v>3003</v>
      </c>
      <c r="J814">
        <v>13.279663578016301</v>
      </c>
      <c r="K814">
        <v>13.2116869879539</v>
      </c>
      <c r="L814">
        <v>13.360946547758999</v>
      </c>
      <c r="M814">
        <v>13.2040528179921</v>
      </c>
      <c r="N814">
        <v>13.298484827279699</v>
      </c>
      <c r="O814">
        <v>13.4285629969607</v>
      </c>
      <c r="P814">
        <v>2.6267842834400298E-2</v>
      </c>
      <c r="Q814">
        <v>-0.35980784221624001</v>
      </c>
      <c r="R814">
        <v>0.41234352788504097</v>
      </c>
      <c r="S814">
        <v>13.4802452822418</v>
      </c>
      <c r="T814">
        <v>0.143002777124346</v>
      </c>
      <c r="U814">
        <v>-6.8718107585760704</v>
      </c>
      <c r="V814">
        <v>0.88788588283606595</v>
      </c>
      <c r="W814">
        <v>0.99702926582654094</v>
      </c>
      <c r="X814">
        <v>0</v>
      </c>
      <c r="Y814">
        <v>0</v>
      </c>
    </row>
    <row r="815" spans="1:25" x14ac:dyDescent="0.2">
      <c r="A815" t="s">
        <v>3004</v>
      </c>
      <c r="B815" t="s">
        <v>3005</v>
      </c>
      <c r="C815" t="s">
        <v>3006</v>
      </c>
      <c r="D815" t="s">
        <v>3007</v>
      </c>
      <c r="E815" t="s">
        <v>3005</v>
      </c>
      <c r="F815" t="s">
        <v>28</v>
      </c>
      <c r="G815" t="s">
        <v>3005</v>
      </c>
      <c r="H815" t="str">
        <f>"msra-1"</f>
        <v>msra-1</v>
      </c>
      <c r="I815" t="s">
        <v>3007</v>
      </c>
      <c r="J815">
        <v>11.5280575012674</v>
      </c>
      <c r="K815">
        <v>11.3267767577965</v>
      </c>
      <c r="L815">
        <v>11.4406908320202</v>
      </c>
      <c r="M815">
        <v>11.186957921297401</v>
      </c>
      <c r="N815" t="s">
        <v>29</v>
      </c>
      <c r="O815">
        <v>10.4910810289823</v>
      </c>
      <c r="P815">
        <v>-0.592822221888197</v>
      </c>
      <c r="Q815">
        <v>-1.4006190116819199</v>
      </c>
      <c r="R815">
        <v>0.21497456790552499</v>
      </c>
      <c r="S815">
        <v>10.787523520455</v>
      </c>
      <c r="T815">
        <v>-1.58675397980932</v>
      </c>
      <c r="U815">
        <v>-5.5504766404065897</v>
      </c>
      <c r="V815">
        <v>0.13677602764514801</v>
      </c>
      <c r="W815">
        <v>0.72716651652323006</v>
      </c>
      <c r="X815">
        <v>0</v>
      </c>
      <c r="Y815">
        <v>0</v>
      </c>
    </row>
    <row r="816" spans="1:25" x14ac:dyDescent="0.2">
      <c r="A816" t="s">
        <v>3008</v>
      </c>
      <c r="B816" t="s">
        <v>3009</v>
      </c>
      <c r="C816" t="s">
        <v>3010</v>
      </c>
      <c r="D816" t="s">
        <v>3011</v>
      </c>
      <c r="E816" t="s">
        <v>3009</v>
      </c>
      <c r="F816" t="s">
        <v>28</v>
      </c>
      <c r="G816" t="s">
        <v>3009</v>
      </c>
      <c r="H816" t="str">
        <f>"rpb-4"</f>
        <v>rpb-4</v>
      </c>
      <c r="I816" t="s">
        <v>3011</v>
      </c>
      <c r="J816">
        <v>12.470346315236799</v>
      </c>
      <c r="K816">
        <v>12.1917849021852</v>
      </c>
      <c r="L816">
        <v>11.687034534126999</v>
      </c>
      <c r="M816">
        <v>12.573354693724101</v>
      </c>
      <c r="N816">
        <v>12.777826937348401</v>
      </c>
      <c r="O816">
        <v>12.1244154165874</v>
      </c>
      <c r="P816">
        <v>0.37547709870366902</v>
      </c>
      <c r="Q816">
        <v>-0.24277573162341301</v>
      </c>
      <c r="R816">
        <v>0.99372992903075197</v>
      </c>
      <c r="S816">
        <v>12.0989541679886</v>
      </c>
      <c r="T816">
        <v>1.2819389800296701</v>
      </c>
      <c r="U816">
        <v>-6.0609074410435202</v>
      </c>
      <c r="V816">
        <v>0.21717703474120101</v>
      </c>
      <c r="W816">
        <v>0.79508962856638699</v>
      </c>
      <c r="X816">
        <v>0</v>
      </c>
      <c r="Y816">
        <v>0</v>
      </c>
    </row>
    <row r="817" spans="1:25" x14ac:dyDescent="0.2">
      <c r="A817" t="s">
        <v>3012</v>
      </c>
      <c r="B817" t="s">
        <v>3013</v>
      </c>
      <c r="C817" t="s">
        <v>3014</v>
      </c>
      <c r="D817" t="s">
        <v>3015</v>
      </c>
      <c r="E817" t="s">
        <v>3013</v>
      </c>
      <c r="F817" t="s">
        <v>28</v>
      </c>
      <c r="G817" t="s">
        <v>3013</v>
      </c>
      <c r="H817" t="str">
        <f>"cas-2"</f>
        <v>cas-2</v>
      </c>
      <c r="I817" t="s">
        <v>3015</v>
      </c>
      <c r="J817" t="s">
        <v>29</v>
      </c>
      <c r="K817" t="s">
        <v>29</v>
      </c>
      <c r="L817" t="s">
        <v>29</v>
      </c>
      <c r="M817" t="s">
        <v>29</v>
      </c>
      <c r="N817" t="s">
        <v>29</v>
      </c>
      <c r="O817" t="s">
        <v>29</v>
      </c>
      <c r="P817" t="s">
        <v>29</v>
      </c>
      <c r="Q817" t="s">
        <v>29</v>
      </c>
      <c r="R817" t="s">
        <v>29</v>
      </c>
      <c r="S817">
        <v>11.9887593694055</v>
      </c>
      <c r="T817" t="s">
        <v>29</v>
      </c>
      <c r="U817" t="s">
        <v>29</v>
      </c>
      <c r="V817" t="s">
        <v>29</v>
      </c>
      <c r="W817" t="s">
        <v>29</v>
      </c>
      <c r="X817" t="s">
        <v>29</v>
      </c>
      <c r="Y817" t="s">
        <v>29</v>
      </c>
    </row>
    <row r="818" spans="1:25" x14ac:dyDescent="0.2">
      <c r="A818" t="s">
        <v>3016</v>
      </c>
      <c r="B818" t="s">
        <v>3017</v>
      </c>
      <c r="C818" t="s">
        <v>3018</v>
      </c>
      <c r="D818" t="s">
        <v>3019</v>
      </c>
      <c r="E818" t="s">
        <v>3017</v>
      </c>
      <c r="F818" t="s">
        <v>28</v>
      </c>
      <c r="G818" t="s">
        <v>3017</v>
      </c>
      <c r="H818" t="str">
        <f>"swsn-2.2"</f>
        <v>swsn-2.2</v>
      </c>
      <c r="I818" t="s">
        <v>3019</v>
      </c>
      <c r="J818">
        <v>13.7959419229181</v>
      </c>
      <c r="K818">
        <v>13.945254317491701</v>
      </c>
      <c r="L818">
        <v>13.8208891861954</v>
      </c>
      <c r="M818">
        <v>13.950081963375499</v>
      </c>
      <c r="N818">
        <v>13.775152951415</v>
      </c>
      <c r="O818">
        <v>13.95190501143</v>
      </c>
      <c r="P818">
        <v>3.8351499871737402E-2</v>
      </c>
      <c r="Q818">
        <v>-0.38270807892617398</v>
      </c>
      <c r="R818">
        <v>0.45941107866964898</v>
      </c>
      <c r="S818">
        <v>14.0390447485122</v>
      </c>
      <c r="T818">
        <v>0.191439395701896</v>
      </c>
      <c r="U818">
        <v>-6.8633603021012499</v>
      </c>
      <c r="V818">
        <v>0.85033673242091101</v>
      </c>
      <c r="W818">
        <v>0.99370971747667503</v>
      </c>
      <c r="X818">
        <v>0</v>
      </c>
      <c r="Y818">
        <v>0</v>
      </c>
    </row>
    <row r="819" spans="1:25" x14ac:dyDescent="0.2">
      <c r="A819" t="s">
        <v>3020</v>
      </c>
      <c r="B819" t="s">
        <v>3021</v>
      </c>
      <c r="C819" t="s">
        <v>3022</v>
      </c>
      <c r="D819" t="s">
        <v>3023</v>
      </c>
      <c r="E819" t="s">
        <v>3021</v>
      </c>
      <c r="F819" t="s">
        <v>28</v>
      </c>
      <c r="G819" t="s">
        <v>3021</v>
      </c>
      <c r="H819" t="str">
        <f>"cdc-37"</f>
        <v>cdc-37</v>
      </c>
      <c r="I819" t="s">
        <v>3023</v>
      </c>
      <c r="J819">
        <v>13.0022575256903</v>
      </c>
      <c r="K819">
        <v>13.196152140209</v>
      </c>
      <c r="L819" t="s">
        <v>29</v>
      </c>
      <c r="M819">
        <v>16.367534939214799</v>
      </c>
      <c r="N819">
        <v>16.3973336681285</v>
      </c>
      <c r="O819">
        <v>16.2501193048716</v>
      </c>
      <c r="P819">
        <v>3.2391244711219902</v>
      </c>
      <c r="Q819">
        <v>2.44697689824892</v>
      </c>
      <c r="R819">
        <v>4.0312720439950498</v>
      </c>
      <c r="S819">
        <v>13.3111878233538</v>
      </c>
      <c r="T819">
        <v>8.6730344425692802</v>
      </c>
      <c r="U819">
        <v>7.4794886747639699</v>
      </c>
      <c r="V819" s="2">
        <v>2.01472598715424E-7</v>
      </c>
      <c r="W819" s="2">
        <v>2.57884926355743E-5</v>
      </c>
      <c r="X819">
        <v>1</v>
      </c>
      <c r="Y819">
        <v>1</v>
      </c>
    </row>
    <row r="820" spans="1:25" x14ac:dyDescent="0.2">
      <c r="A820" t="s">
        <v>3024</v>
      </c>
      <c r="B820" t="s">
        <v>3025</v>
      </c>
      <c r="C820" t="s">
        <v>3026</v>
      </c>
      <c r="D820" t="s">
        <v>368</v>
      </c>
      <c r="E820" t="s">
        <v>3025</v>
      </c>
      <c r="F820" t="s">
        <v>28</v>
      </c>
      <c r="G820" t="s">
        <v>3025</v>
      </c>
      <c r="H820" t="str">
        <f>"C46G7.2"</f>
        <v>C46G7.2</v>
      </c>
      <c r="I820" t="s">
        <v>368</v>
      </c>
      <c r="J820">
        <v>14.510376799634299</v>
      </c>
      <c r="K820">
        <v>14.839976337602</v>
      </c>
      <c r="L820">
        <v>15.003343121460301</v>
      </c>
      <c r="M820">
        <v>13.9644481647337</v>
      </c>
      <c r="N820">
        <v>14.1910907170098</v>
      </c>
      <c r="O820">
        <v>14.3993445207193</v>
      </c>
      <c r="P820">
        <v>-0.599604285411237</v>
      </c>
      <c r="Q820">
        <v>-1.0263373539501901</v>
      </c>
      <c r="R820">
        <v>-0.17287121687228299</v>
      </c>
      <c r="S820">
        <v>14.874545012611801</v>
      </c>
      <c r="T820">
        <v>-2.95325496394593</v>
      </c>
      <c r="U820">
        <v>-3.1790092053426902</v>
      </c>
      <c r="V820">
        <v>8.5450651408619099E-3</v>
      </c>
      <c r="W820">
        <v>0.16218356163867101</v>
      </c>
      <c r="X820">
        <v>0</v>
      </c>
      <c r="Y820">
        <v>0</v>
      </c>
    </row>
    <row r="821" spans="1:25" x14ac:dyDescent="0.2">
      <c r="A821" t="s">
        <v>3027</v>
      </c>
      <c r="B821" t="s">
        <v>3028</v>
      </c>
      <c r="C821" t="s">
        <v>14335</v>
      </c>
      <c r="D821" t="s">
        <v>368</v>
      </c>
      <c r="E821" t="s">
        <v>3028</v>
      </c>
      <c r="F821" t="s">
        <v>28</v>
      </c>
      <c r="G821" t="s">
        <v>3028</v>
      </c>
      <c r="H821" t="str">
        <f>"T09B4.5"</f>
        <v>T09B4.5</v>
      </c>
      <c r="I821" t="s">
        <v>368</v>
      </c>
      <c r="J821">
        <v>17.6468116663359</v>
      </c>
      <c r="K821">
        <v>18.3036414950245</v>
      </c>
      <c r="L821">
        <v>17.918542908708201</v>
      </c>
      <c r="M821">
        <v>17.535642101184401</v>
      </c>
      <c r="N821">
        <v>17.2103884883782</v>
      </c>
      <c r="O821">
        <v>17.7840815942956</v>
      </c>
      <c r="P821">
        <v>-0.44629462873681502</v>
      </c>
      <c r="Q821">
        <v>-1.03283306598474</v>
      </c>
      <c r="R821">
        <v>0.14024380851111401</v>
      </c>
      <c r="S821">
        <v>18.059948749090701</v>
      </c>
      <c r="T821">
        <v>-1.59925491995659</v>
      </c>
      <c r="U821">
        <v>-5.6343127037170504</v>
      </c>
      <c r="V821">
        <v>0.12727015230320601</v>
      </c>
      <c r="W821">
        <v>0.71774980099684804</v>
      </c>
      <c r="X821">
        <v>0</v>
      </c>
      <c r="Y821">
        <v>0</v>
      </c>
    </row>
    <row r="822" spans="1:25" x14ac:dyDescent="0.2">
      <c r="A822" t="s">
        <v>3029</v>
      </c>
      <c r="B822" t="s">
        <v>3030</v>
      </c>
      <c r="C822" t="s">
        <v>14336</v>
      </c>
      <c r="D822" t="s">
        <v>3031</v>
      </c>
      <c r="E822" t="s">
        <v>3030</v>
      </c>
      <c r="F822" t="s">
        <v>28</v>
      </c>
      <c r="G822" t="s">
        <v>3030</v>
      </c>
      <c r="H822" t="str">
        <f>"T09B4.8"</f>
        <v>T09B4.8</v>
      </c>
      <c r="I822" t="s">
        <v>3031</v>
      </c>
      <c r="J822">
        <v>13.116044604572</v>
      </c>
      <c r="K822">
        <v>13.005141387389299</v>
      </c>
      <c r="L822">
        <v>12.6108243188048</v>
      </c>
      <c r="M822">
        <v>12.802822612276699</v>
      </c>
      <c r="N822">
        <v>13.051154017682199</v>
      </c>
      <c r="O822">
        <v>13.2000029267207</v>
      </c>
      <c r="P822">
        <v>0.107323081971126</v>
      </c>
      <c r="Q822">
        <v>-0.40480797657168399</v>
      </c>
      <c r="R822">
        <v>0.61945414051393599</v>
      </c>
      <c r="S822">
        <v>12.9372151829382</v>
      </c>
      <c r="T822">
        <v>0.44234592840102099</v>
      </c>
      <c r="U822">
        <v>-6.7805275610158198</v>
      </c>
      <c r="V822">
        <v>0.66384943751092496</v>
      </c>
      <c r="W822">
        <v>0.98453249912493701</v>
      </c>
      <c r="X822">
        <v>0</v>
      </c>
      <c r="Y822">
        <v>0</v>
      </c>
    </row>
    <row r="823" spans="1:25" x14ac:dyDescent="0.2">
      <c r="A823" t="s">
        <v>3032</v>
      </c>
      <c r="B823" t="s">
        <v>3033</v>
      </c>
      <c r="C823" t="s">
        <v>3034</v>
      </c>
      <c r="D823" t="s">
        <v>3035</v>
      </c>
      <c r="E823" t="s">
        <v>3033</v>
      </c>
      <c r="F823" t="s">
        <v>28</v>
      </c>
      <c r="G823" t="s">
        <v>3033</v>
      </c>
      <c r="H823" t="str">
        <f>"tin-44"</f>
        <v>tin-44</v>
      </c>
      <c r="I823" t="s">
        <v>3035</v>
      </c>
      <c r="J823">
        <v>13.4010565178564</v>
      </c>
      <c r="K823">
        <v>13.5346852597722</v>
      </c>
      <c r="L823">
        <v>13.322064484574801</v>
      </c>
      <c r="M823">
        <v>13.610602000623</v>
      </c>
      <c r="N823">
        <v>13.4087002863689</v>
      </c>
      <c r="O823">
        <v>13.445641415307399</v>
      </c>
      <c r="P823">
        <v>6.9045813365310196E-2</v>
      </c>
      <c r="Q823">
        <v>-0.496724816476592</v>
      </c>
      <c r="R823">
        <v>0.63481644320721198</v>
      </c>
      <c r="S823">
        <v>12.986583394106001</v>
      </c>
      <c r="T823">
        <v>0.25650123733650798</v>
      </c>
      <c r="U823">
        <v>-6.84817660501262</v>
      </c>
      <c r="V823">
        <v>0.800489496111919</v>
      </c>
      <c r="W823">
        <v>0.99278624068726296</v>
      </c>
      <c r="X823">
        <v>0</v>
      </c>
      <c r="Y823">
        <v>0</v>
      </c>
    </row>
    <row r="824" spans="1:25" x14ac:dyDescent="0.2">
      <c r="A824" t="s">
        <v>3036</v>
      </c>
      <c r="B824" t="s">
        <v>3037</v>
      </c>
      <c r="C824" t="s">
        <v>3038</v>
      </c>
      <c r="D824" t="s">
        <v>225</v>
      </c>
      <c r="E824" t="s">
        <v>3037</v>
      </c>
      <c r="F824" t="s">
        <v>28</v>
      </c>
      <c r="G824" t="s">
        <v>3037</v>
      </c>
      <c r="H824" t="str">
        <f>"aakg-2"</f>
        <v>aakg-2</v>
      </c>
      <c r="I824" t="s">
        <v>225</v>
      </c>
      <c r="J824">
        <v>12.941320178794999</v>
      </c>
      <c r="K824">
        <v>12.0119687468896</v>
      </c>
      <c r="L824">
        <v>13.085668195678</v>
      </c>
      <c r="M824">
        <v>13.6308125985675</v>
      </c>
      <c r="N824">
        <v>13.452573132543399</v>
      </c>
      <c r="O824">
        <v>12.868188775949401</v>
      </c>
      <c r="P824">
        <v>0.63753912856589101</v>
      </c>
      <c r="Q824">
        <v>-0.25794770591931898</v>
      </c>
      <c r="R824">
        <v>1.5330259630511001</v>
      </c>
      <c r="S824">
        <v>13.095538211627201</v>
      </c>
      <c r="T824">
        <v>1.50278777137913</v>
      </c>
      <c r="U824">
        <v>-5.7722483894986798</v>
      </c>
      <c r="V824">
        <v>0.151354825278009</v>
      </c>
      <c r="W824">
        <v>0.74633248813841202</v>
      </c>
      <c r="X824">
        <v>0</v>
      </c>
      <c r="Y824">
        <v>0</v>
      </c>
    </row>
    <row r="825" spans="1:25" x14ac:dyDescent="0.2">
      <c r="A825" t="s">
        <v>3039</v>
      </c>
      <c r="B825" t="s">
        <v>3040</v>
      </c>
      <c r="C825" t="s">
        <v>14337</v>
      </c>
      <c r="D825" t="s">
        <v>130</v>
      </c>
      <c r="E825" t="s">
        <v>3040</v>
      </c>
      <c r="F825" t="s">
        <v>28</v>
      </c>
      <c r="G825" t="s">
        <v>3040</v>
      </c>
      <c r="H825" t="str">
        <f>"T20F7.1"</f>
        <v>T20F7.1</v>
      </c>
      <c r="I825" t="s">
        <v>130</v>
      </c>
      <c r="J825">
        <v>10.8965751651701</v>
      </c>
      <c r="K825">
        <v>10.7912070718292</v>
      </c>
      <c r="L825">
        <v>9.9277746912911002</v>
      </c>
      <c r="M825" t="s">
        <v>29</v>
      </c>
      <c r="N825" t="s">
        <v>29</v>
      </c>
      <c r="O825">
        <v>8.8033939165524604</v>
      </c>
      <c r="P825">
        <v>-1.7351250595443499</v>
      </c>
      <c r="Q825">
        <v>-3.4558680424897901</v>
      </c>
      <c r="R825">
        <v>-1.43820765989062E-2</v>
      </c>
      <c r="S825">
        <v>10.836253789107399</v>
      </c>
      <c r="T825">
        <v>-2.3917638036506501</v>
      </c>
      <c r="U825">
        <v>-4.2225059066553197</v>
      </c>
      <c r="V825">
        <v>4.85737287501955E-2</v>
      </c>
      <c r="W825">
        <v>0.47826440615577098</v>
      </c>
      <c r="X825">
        <v>-1</v>
      </c>
      <c r="Y825">
        <v>0</v>
      </c>
    </row>
    <row r="826" spans="1:25" x14ac:dyDescent="0.2">
      <c r="A826" t="s">
        <v>3041</v>
      </c>
      <c r="B826" t="s">
        <v>3042</v>
      </c>
      <c r="C826" t="s">
        <v>3043</v>
      </c>
      <c r="D826" t="s">
        <v>3044</v>
      </c>
      <c r="E826" t="s">
        <v>3042</v>
      </c>
      <c r="F826" t="s">
        <v>28</v>
      </c>
      <c r="G826" t="s">
        <v>3042</v>
      </c>
      <c r="H826" t="str">
        <f>"oxa-1"</f>
        <v>oxa-1</v>
      </c>
      <c r="I826" t="s">
        <v>3044</v>
      </c>
      <c r="J826">
        <v>14.748423163193101</v>
      </c>
      <c r="K826">
        <v>15.0175101620347</v>
      </c>
      <c r="L826">
        <v>14.770967897514099</v>
      </c>
      <c r="M826">
        <v>14.7795231692802</v>
      </c>
      <c r="N826">
        <v>14.7039493862329</v>
      </c>
      <c r="O826">
        <v>14.3258845505684</v>
      </c>
      <c r="P826">
        <v>-0.242514705553452</v>
      </c>
      <c r="Q826">
        <v>-0.63139999600551799</v>
      </c>
      <c r="R826">
        <v>0.14637058489861399</v>
      </c>
      <c r="S826">
        <v>14.526892066534201</v>
      </c>
      <c r="T826">
        <v>-1.3163354435318899</v>
      </c>
      <c r="U826">
        <v>-6.0183635820085897</v>
      </c>
      <c r="V826">
        <v>0.20564114232702799</v>
      </c>
      <c r="W826">
        <v>0.79075284576134597</v>
      </c>
      <c r="X826">
        <v>0</v>
      </c>
      <c r="Y826">
        <v>0</v>
      </c>
    </row>
    <row r="827" spans="1:25" x14ac:dyDescent="0.2">
      <c r="A827" t="s">
        <v>3045</v>
      </c>
      <c r="B827" t="s">
        <v>3046</v>
      </c>
      <c r="C827" t="s">
        <v>3047</v>
      </c>
      <c r="D827" t="s">
        <v>3048</v>
      </c>
      <c r="E827" t="s">
        <v>3046</v>
      </c>
      <c r="F827" t="s">
        <v>28</v>
      </c>
      <c r="G827" t="s">
        <v>3046</v>
      </c>
      <c r="H827" t="str">
        <f>"tads-1"</f>
        <v>tads-1</v>
      </c>
      <c r="I827" t="s">
        <v>3048</v>
      </c>
      <c r="J827">
        <v>11.728057932614901</v>
      </c>
      <c r="K827">
        <v>11.8800292336671</v>
      </c>
      <c r="L827">
        <v>12.0318324849452</v>
      </c>
      <c r="M827">
        <v>11.883025139053601</v>
      </c>
      <c r="N827">
        <v>12.093050604251101</v>
      </c>
      <c r="O827">
        <v>12.2911230311963</v>
      </c>
      <c r="P827">
        <v>0.20909304109125401</v>
      </c>
      <c r="Q827">
        <v>-0.23486950855452299</v>
      </c>
      <c r="R827">
        <v>0.65305559073703101</v>
      </c>
      <c r="S827">
        <v>12.555705496133299</v>
      </c>
      <c r="T827">
        <v>0.99413017320850305</v>
      </c>
      <c r="U827">
        <v>-6.3792245171438804</v>
      </c>
      <c r="V827">
        <v>0.33418524154731799</v>
      </c>
      <c r="W827">
        <v>0.87368774661315896</v>
      </c>
      <c r="X827">
        <v>0</v>
      </c>
      <c r="Y827">
        <v>0</v>
      </c>
    </row>
    <row r="828" spans="1:25" x14ac:dyDescent="0.2">
      <c r="A828" t="s">
        <v>3049</v>
      </c>
      <c r="B828" t="s">
        <v>3050</v>
      </c>
      <c r="C828" t="s">
        <v>3051</v>
      </c>
      <c r="D828" t="s">
        <v>3052</v>
      </c>
      <c r="E828" t="s">
        <v>3050</v>
      </c>
      <c r="F828" t="s">
        <v>28</v>
      </c>
      <c r="G828" t="s">
        <v>3050</v>
      </c>
      <c r="H828" t="str">
        <f>"rsa-1"</f>
        <v>rsa-1</v>
      </c>
      <c r="I828" t="s">
        <v>3052</v>
      </c>
      <c r="J828" t="s">
        <v>29</v>
      </c>
      <c r="K828" t="s">
        <v>29</v>
      </c>
      <c r="L828">
        <v>13.1047219632311</v>
      </c>
      <c r="M828" t="s">
        <v>29</v>
      </c>
      <c r="N828" t="s">
        <v>29</v>
      </c>
      <c r="O828" t="s">
        <v>29</v>
      </c>
      <c r="P828" t="s">
        <v>29</v>
      </c>
      <c r="Q828" t="s">
        <v>29</v>
      </c>
      <c r="R828" t="s">
        <v>29</v>
      </c>
      <c r="S828">
        <v>12.9884871261016</v>
      </c>
      <c r="T828" t="s">
        <v>29</v>
      </c>
      <c r="U828" t="s">
        <v>29</v>
      </c>
      <c r="V828" t="s">
        <v>29</v>
      </c>
      <c r="W828" t="s">
        <v>29</v>
      </c>
      <c r="X828" t="s">
        <v>29</v>
      </c>
      <c r="Y828" t="s">
        <v>29</v>
      </c>
    </row>
    <row r="829" spans="1:25" x14ac:dyDescent="0.2">
      <c r="A829" t="s">
        <v>3053</v>
      </c>
      <c r="B829" t="s">
        <v>3054</v>
      </c>
      <c r="C829" t="s">
        <v>3055</v>
      </c>
      <c r="D829" t="s">
        <v>3056</v>
      </c>
      <c r="E829" t="s">
        <v>3054</v>
      </c>
      <c r="F829" t="s">
        <v>28</v>
      </c>
      <c r="G829" t="s">
        <v>3054</v>
      </c>
      <c r="H829" t="str">
        <f>"lid-1"</f>
        <v>lid-1</v>
      </c>
      <c r="I829" t="s">
        <v>3056</v>
      </c>
      <c r="J829">
        <v>12.4875240517308</v>
      </c>
      <c r="K829">
        <v>12.7983962089176</v>
      </c>
      <c r="L829">
        <v>12.841620084167401</v>
      </c>
      <c r="M829">
        <v>12.8354197383371</v>
      </c>
      <c r="N829">
        <v>12.868547198905899</v>
      </c>
      <c r="O829">
        <v>13.0568224051268</v>
      </c>
      <c r="P829">
        <v>0.211082999184697</v>
      </c>
      <c r="Q829">
        <v>-0.20411337483022099</v>
      </c>
      <c r="R829">
        <v>0.62627937319961502</v>
      </c>
      <c r="S829">
        <v>13.120420021875599</v>
      </c>
      <c r="T829">
        <v>1.0731235293031101</v>
      </c>
      <c r="U829">
        <v>-6.2987831597597701</v>
      </c>
      <c r="V829">
        <v>0.298304866441853</v>
      </c>
      <c r="W829">
        <v>0.85855590823088301</v>
      </c>
      <c r="X829">
        <v>0</v>
      </c>
      <c r="Y829">
        <v>0</v>
      </c>
    </row>
    <row r="830" spans="1:25" x14ac:dyDescent="0.2">
      <c r="A830" t="s">
        <v>3057</v>
      </c>
      <c r="B830" t="s">
        <v>3058</v>
      </c>
      <c r="C830" t="s">
        <v>3059</v>
      </c>
      <c r="D830" t="s">
        <v>3060</v>
      </c>
      <c r="E830" t="s">
        <v>3058</v>
      </c>
      <c r="F830" t="s">
        <v>28</v>
      </c>
      <c r="G830" t="s">
        <v>3058</v>
      </c>
      <c r="H830" t="str">
        <f>"aha-1"</f>
        <v>aha-1</v>
      </c>
      <c r="I830" t="s">
        <v>3060</v>
      </c>
      <c r="J830" t="s">
        <v>29</v>
      </c>
      <c r="K830" t="s">
        <v>29</v>
      </c>
      <c r="L830" t="s">
        <v>29</v>
      </c>
      <c r="M830" t="s">
        <v>29</v>
      </c>
      <c r="N830" t="s">
        <v>29</v>
      </c>
      <c r="O830">
        <v>10.383618838502199</v>
      </c>
      <c r="P830" t="s">
        <v>29</v>
      </c>
      <c r="Q830" t="s">
        <v>29</v>
      </c>
      <c r="R830" t="s">
        <v>29</v>
      </c>
      <c r="S830">
        <v>10.905820654419401</v>
      </c>
      <c r="T830" t="s">
        <v>29</v>
      </c>
      <c r="U830" t="s">
        <v>29</v>
      </c>
      <c r="V830" t="s">
        <v>29</v>
      </c>
      <c r="W830" t="s">
        <v>29</v>
      </c>
      <c r="X830" t="s">
        <v>29</v>
      </c>
      <c r="Y830" t="s">
        <v>29</v>
      </c>
    </row>
    <row r="831" spans="1:25" x14ac:dyDescent="0.2">
      <c r="A831" t="s">
        <v>3061</v>
      </c>
      <c r="B831" t="s">
        <v>3062</v>
      </c>
      <c r="C831" t="s">
        <v>3063</v>
      </c>
      <c r="D831" t="s">
        <v>3064</v>
      </c>
      <c r="E831" t="s">
        <v>3062</v>
      </c>
      <c r="F831" t="s">
        <v>28</v>
      </c>
      <c r="G831" t="s">
        <v>3062</v>
      </c>
      <c r="H831" t="str">
        <f>"mrpl-34"</f>
        <v>mrpl-34</v>
      </c>
      <c r="I831" t="s">
        <v>3064</v>
      </c>
      <c r="J831">
        <v>13.1769691896677</v>
      </c>
      <c r="K831">
        <v>12.908172881280599</v>
      </c>
      <c r="L831">
        <v>13.5184180081867</v>
      </c>
      <c r="M831">
        <v>12.566306371541501</v>
      </c>
      <c r="N831">
        <v>12.5955170819109</v>
      </c>
      <c r="O831">
        <v>12.790657979895601</v>
      </c>
      <c r="P831">
        <v>-0.55035954859568303</v>
      </c>
      <c r="Q831">
        <v>-1.18792965688887</v>
      </c>
      <c r="R831">
        <v>8.7210559697500106E-2</v>
      </c>
      <c r="S831">
        <v>13.097236496810201</v>
      </c>
      <c r="T831">
        <v>-1.8220847421817801</v>
      </c>
      <c r="U831">
        <v>-5.2953542449031996</v>
      </c>
      <c r="V831">
        <v>8.61928204859954E-2</v>
      </c>
      <c r="W831">
        <v>0.61772369610315103</v>
      </c>
      <c r="X831">
        <v>0</v>
      </c>
      <c r="Y831">
        <v>0</v>
      </c>
    </row>
    <row r="832" spans="1:25" x14ac:dyDescent="0.2">
      <c r="A832" t="s">
        <v>3065</v>
      </c>
      <c r="B832" t="s">
        <v>3066</v>
      </c>
      <c r="C832" t="s">
        <v>3067</v>
      </c>
      <c r="D832" t="s">
        <v>3068</v>
      </c>
      <c r="E832" t="s">
        <v>3066</v>
      </c>
      <c r="F832" t="s">
        <v>28</v>
      </c>
      <c r="G832" t="s">
        <v>3066</v>
      </c>
      <c r="H832" t="str">
        <f>"gln-6"</f>
        <v>gln-6</v>
      </c>
      <c r="I832" t="s">
        <v>3068</v>
      </c>
      <c r="J832" t="s">
        <v>29</v>
      </c>
      <c r="K832">
        <v>10.0328212278854</v>
      </c>
      <c r="L832">
        <v>11.591516976964201</v>
      </c>
      <c r="M832" t="s">
        <v>29</v>
      </c>
      <c r="N832" t="s">
        <v>29</v>
      </c>
      <c r="O832">
        <v>11.2412903095922</v>
      </c>
      <c r="P832">
        <v>0.42912120716737701</v>
      </c>
      <c r="Q832">
        <v>-1.05332285558367</v>
      </c>
      <c r="R832">
        <v>1.91156526991843</v>
      </c>
      <c r="S832">
        <v>12.125469212738301</v>
      </c>
      <c r="T832">
        <v>0.63786585675026997</v>
      </c>
      <c r="U832">
        <v>-6.2704486412587004</v>
      </c>
      <c r="V832">
        <v>0.53673651986872495</v>
      </c>
      <c r="W832">
        <v>0.94544152383096502</v>
      </c>
      <c r="X832">
        <v>0</v>
      </c>
      <c r="Y832">
        <v>0</v>
      </c>
    </row>
    <row r="833" spans="1:25" x14ac:dyDescent="0.2">
      <c r="A833" t="s">
        <v>3069</v>
      </c>
      <c r="B833" t="s">
        <v>3070</v>
      </c>
      <c r="C833" t="s">
        <v>3071</v>
      </c>
      <c r="D833" t="s">
        <v>666</v>
      </c>
      <c r="E833" t="s">
        <v>3070</v>
      </c>
      <c r="F833" t="s">
        <v>28</v>
      </c>
      <c r="G833" t="s">
        <v>3070</v>
      </c>
      <c r="H833" t="str">
        <f>"pqn-27"</f>
        <v>pqn-27</v>
      </c>
      <c r="I833" t="s">
        <v>666</v>
      </c>
      <c r="J833">
        <v>15.9857345240192</v>
      </c>
      <c r="K833">
        <v>16.183347350070299</v>
      </c>
      <c r="L833">
        <v>16.3652939973786</v>
      </c>
      <c r="M833">
        <v>16.154275436285001</v>
      </c>
      <c r="N833">
        <v>16.326176371431401</v>
      </c>
      <c r="O833">
        <v>16.223015729202601</v>
      </c>
      <c r="P833">
        <v>5.6363888483637901E-2</v>
      </c>
      <c r="Q833">
        <v>-0.288827432123059</v>
      </c>
      <c r="R833">
        <v>0.40155520909033499</v>
      </c>
      <c r="S833">
        <v>16.402974246184002</v>
      </c>
      <c r="T833">
        <v>0.34318918449033198</v>
      </c>
      <c r="U833">
        <v>-6.8211540716722396</v>
      </c>
      <c r="V833">
        <v>0.73545492090787501</v>
      </c>
      <c r="W833">
        <v>0.99092873553903105</v>
      </c>
      <c r="X833">
        <v>0</v>
      </c>
      <c r="Y833">
        <v>0</v>
      </c>
    </row>
    <row r="834" spans="1:25" x14ac:dyDescent="0.2">
      <c r="A834" t="s">
        <v>3072</v>
      </c>
      <c r="B834" t="s">
        <v>3073</v>
      </c>
      <c r="C834" t="s">
        <v>3074</v>
      </c>
      <c r="D834" t="s">
        <v>3075</v>
      </c>
      <c r="E834" t="s">
        <v>3073</v>
      </c>
      <c r="F834" t="s">
        <v>28</v>
      </c>
      <c r="G834" t="s">
        <v>3073</v>
      </c>
      <c r="H834" t="str">
        <f>"nhr-62"</f>
        <v>nhr-62</v>
      </c>
      <c r="I834" t="s">
        <v>3075</v>
      </c>
      <c r="J834" t="s">
        <v>29</v>
      </c>
      <c r="K834">
        <v>9.7997878576294699</v>
      </c>
      <c r="L834">
        <v>9.5066673254369896</v>
      </c>
      <c r="M834" t="s">
        <v>29</v>
      </c>
      <c r="N834" t="s">
        <v>29</v>
      </c>
      <c r="O834" t="s">
        <v>29</v>
      </c>
      <c r="P834" t="s">
        <v>29</v>
      </c>
      <c r="Q834" t="s">
        <v>29</v>
      </c>
      <c r="R834" t="s">
        <v>29</v>
      </c>
      <c r="S834">
        <v>10.4076367598517</v>
      </c>
      <c r="T834" t="s">
        <v>29</v>
      </c>
      <c r="U834" t="s">
        <v>29</v>
      </c>
      <c r="V834" t="s">
        <v>29</v>
      </c>
      <c r="W834" t="s">
        <v>29</v>
      </c>
      <c r="X834" t="s">
        <v>29</v>
      </c>
      <c r="Y834" t="s">
        <v>29</v>
      </c>
    </row>
    <row r="835" spans="1:25" x14ac:dyDescent="0.2">
      <c r="A835" t="s">
        <v>3076</v>
      </c>
      <c r="B835" t="s">
        <v>3077</v>
      </c>
      <c r="C835" t="s">
        <v>3078</v>
      </c>
      <c r="D835" t="s">
        <v>3079</v>
      </c>
      <c r="E835" t="s">
        <v>3077</v>
      </c>
      <c r="F835" t="s">
        <v>28</v>
      </c>
      <c r="G835" t="s">
        <v>3077</v>
      </c>
      <c r="H835" t="str">
        <f>"pck-2"</f>
        <v>pck-2</v>
      </c>
      <c r="I835" t="s">
        <v>3079</v>
      </c>
      <c r="J835">
        <v>14.2351025874752</v>
      </c>
      <c r="K835">
        <v>14.0989692015164</v>
      </c>
      <c r="L835">
        <v>14.274739648371099</v>
      </c>
      <c r="M835">
        <v>16.6926396450162</v>
      </c>
      <c r="N835">
        <v>16.792407137018401</v>
      </c>
      <c r="O835">
        <v>16.652289203823301</v>
      </c>
      <c r="P835">
        <v>2.5095081828317198</v>
      </c>
      <c r="Q835">
        <v>2.0134107724424899</v>
      </c>
      <c r="R835">
        <v>3.0056055932209498</v>
      </c>
      <c r="S835">
        <v>16.332070917660499</v>
      </c>
      <c r="T835">
        <v>10.6319804473035</v>
      </c>
      <c r="U835">
        <v>11.3236803622989</v>
      </c>
      <c r="V835" s="2">
        <v>3.66858852253165E-9</v>
      </c>
      <c r="W835" s="2">
        <v>1.3565625114428099E-6</v>
      </c>
      <c r="X835">
        <v>1</v>
      </c>
      <c r="Y835">
        <v>1</v>
      </c>
    </row>
    <row r="836" spans="1:25" x14ac:dyDescent="0.2">
      <c r="A836" t="s">
        <v>3080</v>
      </c>
      <c r="B836" t="s">
        <v>3081</v>
      </c>
      <c r="C836" t="s">
        <v>3082</v>
      </c>
      <c r="D836" t="s">
        <v>252</v>
      </c>
      <c r="E836" t="s">
        <v>3081</v>
      </c>
      <c r="F836" t="s">
        <v>28</v>
      </c>
      <c r="G836" t="s">
        <v>3081</v>
      </c>
      <c r="H836" t="str">
        <f>"gla-3"</f>
        <v>gla-3</v>
      </c>
      <c r="I836" t="s">
        <v>252</v>
      </c>
      <c r="J836">
        <v>11.9980357578339</v>
      </c>
      <c r="K836">
        <v>11.9073863225002</v>
      </c>
      <c r="L836">
        <v>12.810468936672599</v>
      </c>
      <c r="M836">
        <v>11.721708205213901</v>
      </c>
      <c r="N836">
        <v>12.576668199419499</v>
      </c>
      <c r="O836" t="s">
        <v>29</v>
      </c>
      <c r="P836">
        <v>-8.9442136685553605E-2</v>
      </c>
      <c r="Q836">
        <v>-0.96090340358570703</v>
      </c>
      <c r="R836">
        <v>0.78201913021460001</v>
      </c>
      <c r="S836">
        <v>12.948670631105299</v>
      </c>
      <c r="T836">
        <v>-0.221912272481949</v>
      </c>
      <c r="U836">
        <v>-6.7460643252801296</v>
      </c>
      <c r="V836">
        <v>0.82785793976889799</v>
      </c>
      <c r="W836">
        <v>0.99339170295129098</v>
      </c>
      <c r="X836">
        <v>0</v>
      </c>
      <c r="Y836">
        <v>0</v>
      </c>
    </row>
    <row r="837" spans="1:25" x14ac:dyDescent="0.2">
      <c r="A837" t="s">
        <v>3083</v>
      </c>
      <c r="B837" t="s">
        <v>3084</v>
      </c>
      <c r="C837" t="s">
        <v>3085</v>
      </c>
      <c r="D837" t="s">
        <v>3086</v>
      </c>
      <c r="E837" t="s">
        <v>3084</v>
      </c>
      <c r="F837" t="s">
        <v>28</v>
      </c>
      <c r="G837" t="s">
        <v>3084</v>
      </c>
      <c r="H837" t="str">
        <f>"prmt-9"</f>
        <v>prmt-9</v>
      </c>
      <c r="I837" t="s">
        <v>3086</v>
      </c>
      <c r="J837">
        <v>14.0649114316096</v>
      </c>
      <c r="K837">
        <v>14.2715188954379</v>
      </c>
      <c r="L837">
        <v>14.049618483853999</v>
      </c>
      <c r="M837">
        <v>13.9221936450662</v>
      </c>
      <c r="N837">
        <v>13.9327217160783</v>
      </c>
      <c r="O837">
        <v>14.112171555125199</v>
      </c>
      <c r="P837">
        <v>-0.13965396487725601</v>
      </c>
      <c r="Q837">
        <v>-0.51828793086837799</v>
      </c>
      <c r="R837">
        <v>0.238980001113865</v>
      </c>
      <c r="S837">
        <v>13.723620548021801</v>
      </c>
      <c r="T837">
        <v>-0.77522222092266801</v>
      </c>
      <c r="U837">
        <v>-6.5736947609741501</v>
      </c>
      <c r="V837">
        <v>0.44833201467325001</v>
      </c>
      <c r="W837">
        <v>0.92249172671965796</v>
      </c>
      <c r="X837">
        <v>0</v>
      </c>
      <c r="Y837">
        <v>0</v>
      </c>
    </row>
    <row r="838" spans="1:25" x14ac:dyDescent="0.2">
      <c r="A838" t="s">
        <v>3087</v>
      </c>
      <c r="B838" t="s">
        <v>3088</v>
      </c>
      <c r="C838" t="s">
        <v>3089</v>
      </c>
      <c r="D838" t="s">
        <v>3090</v>
      </c>
      <c r="E838" t="s">
        <v>3088</v>
      </c>
      <c r="F838" t="s">
        <v>28</v>
      </c>
      <c r="G838" t="s">
        <v>3088</v>
      </c>
      <c r="H838" t="str">
        <f>"T23D8.3"</f>
        <v>T23D8.3</v>
      </c>
      <c r="I838" t="s">
        <v>3090</v>
      </c>
      <c r="J838">
        <v>12.7101433454475</v>
      </c>
      <c r="K838">
        <v>12.721232247115401</v>
      </c>
      <c r="L838">
        <v>13.5790630988785</v>
      </c>
      <c r="M838">
        <v>13.753262171541</v>
      </c>
      <c r="N838">
        <v>13.7760891289151</v>
      </c>
      <c r="O838">
        <v>13.4856223213612</v>
      </c>
      <c r="P838">
        <v>0.66817831012529705</v>
      </c>
      <c r="Q838">
        <v>-4.5415894257544297E-2</v>
      </c>
      <c r="R838">
        <v>1.3817725145081401</v>
      </c>
      <c r="S838">
        <v>14.479879435420701</v>
      </c>
      <c r="T838">
        <v>1.97647385032234</v>
      </c>
      <c r="U838">
        <v>-5.0426674339468898</v>
      </c>
      <c r="V838">
        <v>6.4660344319395005E-2</v>
      </c>
      <c r="W838">
        <v>0.54340814619935995</v>
      </c>
      <c r="X838">
        <v>0</v>
      </c>
      <c r="Y838">
        <v>0</v>
      </c>
    </row>
    <row r="839" spans="1:25" x14ac:dyDescent="0.2">
      <c r="A839" t="s">
        <v>3091</v>
      </c>
      <c r="B839" t="s">
        <v>3092</v>
      </c>
      <c r="C839" t="s">
        <v>3093</v>
      </c>
      <c r="D839" t="s">
        <v>3094</v>
      </c>
      <c r="E839" t="s">
        <v>3092</v>
      </c>
      <c r="F839" t="s">
        <v>28</v>
      </c>
      <c r="G839" t="s">
        <v>3092</v>
      </c>
      <c r="H839" t="str">
        <f>"eif-3.C"</f>
        <v>eif-3.C</v>
      </c>
      <c r="I839" t="s">
        <v>3094</v>
      </c>
      <c r="J839">
        <v>17.925303967904402</v>
      </c>
      <c r="K839">
        <v>17.921334259427699</v>
      </c>
      <c r="L839">
        <v>17.958916750744098</v>
      </c>
      <c r="M839">
        <v>17.886788732724899</v>
      </c>
      <c r="N839">
        <v>18.022818562696902</v>
      </c>
      <c r="O839">
        <v>17.729044805784199</v>
      </c>
      <c r="P839">
        <v>-5.5634292290047703E-2</v>
      </c>
      <c r="Q839">
        <v>-0.41217710568010002</v>
      </c>
      <c r="R839">
        <v>0.30090852110000399</v>
      </c>
      <c r="S839">
        <v>17.922905118283801</v>
      </c>
      <c r="T839">
        <v>-0.32796190013413801</v>
      </c>
      <c r="U839">
        <v>-6.8264601485154497</v>
      </c>
      <c r="V839">
        <v>0.74674653090971299</v>
      </c>
      <c r="W839">
        <v>0.99184638945407499</v>
      </c>
      <c r="X839">
        <v>0</v>
      </c>
      <c r="Y839">
        <v>0</v>
      </c>
    </row>
    <row r="840" spans="1:25" x14ac:dyDescent="0.2">
      <c r="A840" t="s">
        <v>3095</v>
      </c>
      <c r="B840" t="s">
        <v>3096</v>
      </c>
      <c r="C840" t="s">
        <v>3097</v>
      </c>
      <c r="D840" t="s">
        <v>3098</v>
      </c>
      <c r="E840" t="s">
        <v>3096</v>
      </c>
      <c r="F840" t="s">
        <v>28</v>
      </c>
      <c r="G840" t="s">
        <v>3096</v>
      </c>
      <c r="H840" t="str">
        <f>"algn-10"</f>
        <v>algn-10</v>
      </c>
      <c r="I840" t="s">
        <v>3098</v>
      </c>
      <c r="J840">
        <v>14.604209708349901</v>
      </c>
      <c r="K840">
        <v>14.1098483046844</v>
      </c>
      <c r="L840">
        <v>14.4731050785233</v>
      </c>
      <c r="M840">
        <v>14.3726265887063</v>
      </c>
      <c r="N840">
        <v>14.633857113318999</v>
      </c>
      <c r="O840">
        <v>14.382678796696901</v>
      </c>
      <c r="P840">
        <v>6.7333135721540302E-2</v>
      </c>
      <c r="Q840">
        <v>-0.31707211904606297</v>
      </c>
      <c r="R840">
        <v>0.45173839048914399</v>
      </c>
      <c r="S840">
        <v>14.7994062136826</v>
      </c>
      <c r="T840">
        <v>0.37357786020405997</v>
      </c>
      <c r="U840">
        <v>-6.8091388888790503</v>
      </c>
      <c r="V840">
        <v>0.71398202073550698</v>
      </c>
      <c r="W840">
        <v>0.98786722894487999</v>
      </c>
      <c r="X840">
        <v>0</v>
      </c>
      <c r="Y840">
        <v>0</v>
      </c>
    </row>
    <row r="841" spans="1:25" x14ac:dyDescent="0.2">
      <c r="A841" t="s">
        <v>3099</v>
      </c>
      <c r="B841" t="s">
        <v>3100</v>
      </c>
      <c r="C841" t="s">
        <v>3101</v>
      </c>
      <c r="D841" t="s">
        <v>3102</v>
      </c>
      <c r="E841" t="s">
        <v>3100</v>
      </c>
      <c r="F841" t="s">
        <v>28</v>
      </c>
      <c r="G841" t="s">
        <v>3100</v>
      </c>
      <c r="H841" t="str">
        <f>"pri-2"</f>
        <v>pri-2</v>
      </c>
      <c r="I841" t="s">
        <v>3102</v>
      </c>
      <c r="J841">
        <v>12.1947802752074</v>
      </c>
      <c r="K841">
        <v>11.979834603017199</v>
      </c>
      <c r="L841">
        <v>12.664624593348201</v>
      </c>
      <c r="M841">
        <v>11.299925294922801</v>
      </c>
      <c r="N841">
        <v>12.243349614607199</v>
      </c>
      <c r="O841">
        <v>11.818741446527101</v>
      </c>
      <c r="P841">
        <v>-0.49240770517189397</v>
      </c>
      <c r="Q841">
        <v>-1.12997256358717</v>
      </c>
      <c r="R841">
        <v>0.14515715324338199</v>
      </c>
      <c r="S841">
        <v>12.334816168871701</v>
      </c>
      <c r="T841">
        <v>-1.6576481814613899</v>
      </c>
      <c r="U841">
        <v>-5.5537667958699597</v>
      </c>
      <c r="V841">
        <v>0.119784265188707</v>
      </c>
      <c r="W841">
        <v>0.70732126648809501</v>
      </c>
      <c r="X841">
        <v>0</v>
      </c>
      <c r="Y841">
        <v>0</v>
      </c>
    </row>
    <row r="842" spans="1:25" x14ac:dyDescent="0.2">
      <c r="A842" t="s">
        <v>3103</v>
      </c>
      <c r="B842" t="s">
        <v>3104</v>
      </c>
      <c r="C842" t="s">
        <v>3105</v>
      </c>
      <c r="D842" t="s">
        <v>3106</v>
      </c>
      <c r="E842" t="s">
        <v>3104</v>
      </c>
      <c r="F842" t="s">
        <v>28</v>
      </c>
      <c r="G842" t="s">
        <v>3104</v>
      </c>
      <c r="H842" t="str">
        <f>"nstp-5"</f>
        <v>nstp-5</v>
      </c>
      <c r="I842" t="s">
        <v>3106</v>
      </c>
      <c r="J842">
        <v>12.994245438876399</v>
      </c>
      <c r="K842">
        <v>13.0470098920255</v>
      </c>
      <c r="L842">
        <v>12.7790436339107</v>
      </c>
      <c r="M842">
        <v>12.882513748808099</v>
      </c>
      <c r="N842">
        <v>12.543537753634</v>
      </c>
      <c r="O842">
        <v>12.819932191876401</v>
      </c>
      <c r="P842">
        <v>-0.19143842349805201</v>
      </c>
      <c r="Q842">
        <v>-0.86756715872849799</v>
      </c>
      <c r="R842">
        <v>0.48469031173239302</v>
      </c>
      <c r="S842">
        <v>12.8920015404347</v>
      </c>
      <c r="T842">
        <v>-0.59765385982539199</v>
      </c>
      <c r="U842">
        <v>-6.6972454589423798</v>
      </c>
      <c r="V842">
        <v>0.55799740777664597</v>
      </c>
      <c r="W842">
        <v>0.95635987123881905</v>
      </c>
      <c r="X842">
        <v>0</v>
      </c>
      <c r="Y842">
        <v>0</v>
      </c>
    </row>
    <row r="843" spans="1:25" x14ac:dyDescent="0.2">
      <c r="A843" t="s">
        <v>3107</v>
      </c>
      <c r="B843" t="s">
        <v>3108</v>
      </c>
      <c r="C843" t="s">
        <v>3109</v>
      </c>
      <c r="D843" t="s">
        <v>3110</v>
      </c>
      <c r="E843" t="s">
        <v>3108</v>
      </c>
      <c r="F843" t="s">
        <v>28</v>
      </c>
      <c r="G843" t="s">
        <v>3108</v>
      </c>
      <c r="H843" t="str">
        <f>"mua-6"</f>
        <v>mua-6</v>
      </c>
      <c r="I843" t="s">
        <v>3110</v>
      </c>
      <c r="J843">
        <v>11.471459656273099</v>
      </c>
      <c r="K843">
        <v>12.201083918468999</v>
      </c>
      <c r="L843">
        <v>11.753658568921299</v>
      </c>
      <c r="M843">
        <v>13.3368676535045</v>
      </c>
      <c r="N843">
        <v>13.484524785505799</v>
      </c>
      <c r="O843">
        <v>13.466240670414599</v>
      </c>
      <c r="P843">
        <v>1.6204769885871999</v>
      </c>
      <c r="Q843">
        <v>1.06879823482027</v>
      </c>
      <c r="R843">
        <v>2.17215574235414</v>
      </c>
      <c r="S843">
        <v>13.1055737966638</v>
      </c>
      <c r="T843">
        <v>6.1737511869180102</v>
      </c>
      <c r="U843">
        <v>3.6920416811581198</v>
      </c>
      <c r="V843" s="2">
        <v>8.11947849830278E-6</v>
      </c>
      <c r="W843">
        <v>6.14127828235265E-4</v>
      </c>
      <c r="X843">
        <v>1</v>
      </c>
      <c r="Y843">
        <v>1</v>
      </c>
    </row>
    <row r="844" spans="1:25" x14ac:dyDescent="0.2">
      <c r="A844" t="s">
        <v>3111</v>
      </c>
      <c r="B844" t="s">
        <v>3112</v>
      </c>
      <c r="C844" t="s">
        <v>3113</v>
      </c>
      <c r="D844" t="s">
        <v>3114</v>
      </c>
      <c r="E844" t="s">
        <v>3112</v>
      </c>
      <c r="F844" t="s">
        <v>28</v>
      </c>
      <c r="G844" t="s">
        <v>3112</v>
      </c>
      <c r="H844" t="str">
        <f>"ZK1073.1"</f>
        <v>ZK1073.1</v>
      </c>
      <c r="I844" t="s">
        <v>3114</v>
      </c>
      <c r="J844">
        <v>14.8759340011226</v>
      </c>
      <c r="K844">
        <v>15.0768679633739</v>
      </c>
      <c r="L844">
        <v>14.375428848405299</v>
      </c>
      <c r="M844">
        <v>14.774876280885699</v>
      </c>
      <c r="N844">
        <v>14.385642650970199</v>
      </c>
      <c r="O844">
        <v>14.6438121821131</v>
      </c>
      <c r="P844">
        <v>-0.17463323297757999</v>
      </c>
      <c r="Q844">
        <v>-0.67358547130596103</v>
      </c>
      <c r="R844">
        <v>0.32431900535079999</v>
      </c>
      <c r="S844">
        <v>14.363727359512099</v>
      </c>
      <c r="T844">
        <v>-0.73563169388108995</v>
      </c>
      <c r="U844">
        <v>-6.6039718070465296</v>
      </c>
      <c r="V844">
        <v>0.47148760066005801</v>
      </c>
      <c r="W844">
        <v>0.93056407806222996</v>
      </c>
      <c r="X844">
        <v>0</v>
      </c>
      <c r="Y844">
        <v>0</v>
      </c>
    </row>
    <row r="845" spans="1:25" x14ac:dyDescent="0.2">
      <c r="A845" t="s">
        <v>3115</v>
      </c>
      <c r="B845" t="s">
        <v>3116</v>
      </c>
      <c r="C845" t="s">
        <v>3117</v>
      </c>
      <c r="D845" t="s">
        <v>3118</v>
      </c>
      <c r="E845" t="s">
        <v>3116</v>
      </c>
      <c r="F845" t="s">
        <v>28</v>
      </c>
      <c r="G845" t="s">
        <v>3116</v>
      </c>
      <c r="H845" t="str">
        <f>"cyp-35a2"</f>
        <v>cyp-35a2</v>
      </c>
      <c r="I845" t="s">
        <v>3118</v>
      </c>
      <c r="J845" t="s">
        <v>29</v>
      </c>
      <c r="K845" t="s">
        <v>29</v>
      </c>
      <c r="L845" t="s">
        <v>29</v>
      </c>
      <c r="M845">
        <v>11.8579142434776</v>
      </c>
      <c r="N845">
        <v>11.0514681960668</v>
      </c>
      <c r="O845" t="s">
        <v>29</v>
      </c>
      <c r="P845" t="s">
        <v>29</v>
      </c>
      <c r="Q845" t="s">
        <v>29</v>
      </c>
      <c r="R845" t="s">
        <v>29</v>
      </c>
      <c r="S845">
        <v>12.5479852196796</v>
      </c>
      <c r="T845" t="s">
        <v>29</v>
      </c>
      <c r="U845" t="s">
        <v>29</v>
      </c>
      <c r="V845" t="s">
        <v>29</v>
      </c>
      <c r="W845" t="s">
        <v>29</v>
      </c>
      <c r="X845" t="s">
        <v>29</v>
      </c>
      <c r="Y845" t="s">
        <v>29</v>
      </c>
    </row>
    <row r="846" spans="1:25" x14ac:dyDescent="0.2">
      <c r="A846" t="s">
        <v>3119</v>
      </c>
      <c r="B846" t="s">
        <v>3120</v>
      </c>
      <c r="C846" t="s">
        <v>3121</v>
      </c>
      <c r="D846" t="s">
        <v>3122</v>
      </c>
      <c r="E846" t="s">
        <v>3120</v>
      </c>
      <c r="F846" t="s">
        <v>28</v>
      </c>
      <c r="G846" t="s">
        <v>3120</v>
      </c>
      <c r="H846" t="str">
        <f>"rpl-19"</f>
        <v>rpl-19</v>
      </c>
      <c r="I846" t="s">
        <v>3122</v>
      </c>
      <c r="J846">
        <v>18.029889227300199</v>
      </c>
      <c r="K846">
        <v>18.7106922865195</v>
      </c>
      <c r="L846">
        <v>18.9289104984307</v>
      </c>
      <c r="M846">
        <v>18.626822691712501</v>
      </c>
      <c r="N846">
        <v>18.3862537665735</v>
      </c>
      <c r="O846">
        <v>18.391878726569399</v>
      </c>
      <c r="P846">
        <v>-8.81789424649497E-2</v>
      </c>
      <c r="Q846">
        <v>-0.59807274822273004</v>
      </c>
      <c r="R846">
        <v>0.42171486329283098</v>
      </c>
      <c r="S846">
        <v>19.1146246420126</v>
      </c>
      <c r="T846">
        <v>-0.36347760938519602</v>
      </c>
      <c r="U846">
        <v>-6.8137154115487402</v>
      </c>
      <c r="V846">
        <v>0.72050659871256795</v>
      </c>
      <c r="W846">
        <v>0.98910356032152003</v>
      </c>
      <c r="X846">
        <v>0</v>
      </c>
      <c r="Y846">
        <v>0</v>
      </c>
    </row>
    <row r="847" spans="1:25" x14ac:dyDescent="0.2">
      <c r="A847" t="s">
        <v>3123</v>
      </c>
      <c r="B847" t="s">
        <v>3124</v>
      </c>
      <c r="C847" t="s">
        <v>3125</v>
      </c>
      <c r="D847" t="s">
        <v>3126</v>
      </c>
      <c r="E847" t="s">
        <v>3124</v>
      </c>
      <c r="F847" t="s">
        <v>28</v>
      </c>
      <c r="G847" t="s">
        <v>3124</v>
      </c>
      <c r="H847" t="str">
        <f>"mdh-2"</f>
        <v>mdh-2</v>
      </c>
      <c r="I847" t="s">
        <v>3126</v>
      </c>
      <c r="J847">
        <v>15.4861465653885</v>
      </c>
      <c r="K847">
        <v>15.391268128369299</v>
      </c>
      <c r="L847">
        <v>15.5254668818265</v>
      </c>
      <c r="M847">
        <v>15.683286043774199</v>
      </c>
      <c r="N847">
        <v>15.634311144946899</v>
      </c>
      <c r="O847">
        <v>15.353623566983</v>
      </c>
      <c r="P847">
        <v>8.9446393373283001E-2</v>
      </c>
      <c r="Q847">
        <v>-0.49045995746590798</v>
      </c>
      <c r="R847">
        <v>0.66935274421247404</v>
      </c>
      <c r="S847">
        <v>14.9923133291285</v>
      </c>
      <c r="T847">
        <v>0.324188408193258</v>
      </c>
      <c r="U847">
        <v>-6.8277382826235096</v>
      </c>
      <c r="V847">
        <v>0.749553986640357</v>
      </c>
      <c r="W847">
        <v>0.99184638945407499</v>
      </c>
      <c r="X847">
        <v>0</v>
      </c>
      <c r="Y847">
        <v>0</v>
      </c>
    </row>
    <row r="848" spans="1:25" x14ac:dyDescent="0.2">
      <c r="A848" t="s">
        <v>3127</v>
      </c>
      <c r="B848" t="s">
        <v>3128</v>
      </c>
      <c r="C848" t="s">
        <v>3129</v>
      </c>
      <c r="D848" t="s">
        <v>3118</v>
      </c>
      <c r="E848" t="s">
        <v>3128</v>
      </c>
      <c r="F848" t="s">
        <v>28</v>
      </c>
      <c r="G848" t="s">
        <v>3128</v>
      </c>
      <c r="H848" t="str">
        <f>"cyp-33c8"</f>
        <v>cyp-33c8</v>
      </c>
      <c r="I848" t="s">
        <v>3118</v>
      </c>
      <c r="J848" t="s">
        <v>29</v>
      </c>
      <c r="K848">
        <v>10.5064849745398</v>
      </c>
      <c r="L848">
        <v>10.1655209569631</v>
      </c>
      <c r="M848">
        <v>11.559669331274799</v>
      </c>
      <c r="N848">
        <v>11.1725419309634</v>
      </c>
      <c r="O848">
        <v>11.4277695757215</v>
      </c>
      <c r="P848">
        <v>1.0506573135684301</v>
      </c>
      <c r="Q848">
        <v>5.1157563335583203E-2</v>
      </c>
      <c r="R848">
        <v>2.0501570638012798</v>
      </c>
      <c r="S848">
        <v>11.2351315719617</v>
      </c>
      <c r="T848">
        <v>2.2561620550925801</v>
      </c>
      <c r="U848">
        <v>-4.4825693071962798</v>
      </c>
      <c r="V848">
        <v>4.0711435984828799E-2</v>
      </c>
      <c r="W848">
        <v>0.43565163651932598</v>
      </c>
      <c r="X848">
        <v>1</v>
      </c>
      <c r="Y848">
        <v>0</v>
      </c>
    </row>
    <row r="849" spans="1:25" x14ac:dyDescent="0.2">
      <c r="A849" t="s">
        <v>3130</v>
      </c>
      <c r="B849" t="s">
        <v>3131</v>
      </c>
      <c r="C849" t="s">
        <v>3132</v>
      </c>
      <c r="D849" t="s">
        <v>3133</v>
      </c>
      <c r="E849" t="s">
        <v>3131</v>
      </c>
      <c r="F849" t="s">
        <v>28</v>
      </c>
      <c r="G849" t="s">
        <v>3131</v>
      </c>
      <c r="H849" t="str">
        <f>"sucl-2"</f>
        <v>sucl-2</v>
      </c>
      <c r="I849" t="s">
        <v>3133</v>
      </c>
      <c r="J849">
        <v>13.533809067640201</v>
      </c>
      <c r="K849">
        <v>13.862155442328</v>
      </c>
      <c r="L849">
        <v>13.923511130826601</v>
      </c>
      <c r="M849">
        <v>13.5759582860174</v>
      </c>
      <c r="N849">
        <v>13.756249361241901</v>
      </c>
      <c r="O849">
        <v>13.5095903786214</v>
      </c>
      <c r="P849">
        <v>-0.159225871638037</v>
      </c>
      <c r="Q849">
        <v>-0.64726769920489502</v>
      </c>
      <c r="R849">
        <v>0.32881595592882001</v>
      </c>
      <c r="S849">
        <v>13.952032656461901</v>
      </c>
      <c r="T849">
        <v>-0.68866276728293396</v>
      </c>
      <c r="U849">
        <v>-6.6373754431386098</v>
      </c>
      <c r="V849">
        <v>0.50038367629520597</v>
      </c>
      <c r="W849">
        <v>0.94062983959761604</v>
      </c>
      <c r="X849">
        <v>0</v>
      </c>
      <c r="Y849">
        <v>0</v>
      </c>
    </row>
    <row r="850" spans="1:25" x14ac:dyDescent="0.2">
      <c r="A850" t="s">
        <v>3134</v>
      </c>
      <c r="B850" t="s">
        <v>3135</v>
      </c>
      <c r="C850" t="s">
        <v>3136</v>
      </c>
      <c r="D850" t="s">
        <v>3137</v>
      </c>
      <c r="E850" t="s">
        <v>3135</v>
      </c>
      <c r="F850" t="s">
        <v>28</v>
      </c>
      <c r="G850" t="s">
        <v>3135</v>
      </c>
      <c r="H850" t="str">
        <f>"lys-7"</f>
        <v>lys-7</v>
      </c>
      <c r="I850" t="s">
        <v>3137</v>
      </c>
      <c r="J850" t="s">
        <v>29</v>
      </c>
      <c r="K850" t="s">
        <v>29</v>
      </c>
      <c r="L850">
        <v>12.0151273027165</v>
      </c>
      <c r="M850" t="s">
        <v>29</v>
      </c>
      <c r="N850">
        <v>11.146824003170099</v>
      </c>
      <c r="O850">
        <v>11.707047339359701</v>
      </c>
      <c r="P850">
        <v>-0.58819163145161302</v>
      </c>
      <c r="Q850">
        <v>-1.7751456023360599</v>
      </c>
      <c r="R850">
        <v>0.59876233943283796</v>
      </c>
      <c r="S850">
        <v>12.106319905346499</v>
      </c>
      <c r="T850">
        <v>-1.07145073720443</v>
      </c>
      <c r="U850">
        <v>-5.9050594463101298</v>
      </c>
      <c r="V850">
        <v>0.30361108316747798</v>
      </c>
      <c r="W850">
        <v>0.85855590823088301</v>
      </c>
      <c r="X850">
        <v>0</v>
      </c>
      <c r="Y850">
        <v>0</v>
      </c>
    </row>
    <row r="851" spans="1:25" x14ac:dyDescent="0.2">
      <c r="A851" t="s">
        <v>3138</v>
      </c>
      <c r="B851" t="s">
        <v>3139</v>
      </c>
      <c r="C851" t="s">
        <v>3140</v>
      </c>
      <c r="D851" t="s">
        <v>3141</v>
      </c>
      <c r="E851" t="s">
        <v>3139</v>
      </c>
      <c r="F851" t="s">
        <v>28</v>
      </c>
      <c r="G851" t="s">
        <v>3139</v>
      </c>
      <c r="H851" t="str">
        <f>"F17A9.2"</f>
        <v>F17A9.2</v>
      </c>
      <c r="I851" t="s">
        <v>3141</v>
      </c>
      <c r="J851">
        <v>11.115885565640699</v>
      </c>
      <c r="K851" t="s">
        <v>29</v>
      </c>
      <c r="L851" t="s">
        <v>29</v>
      </c>
      <c r="M851" t="s">
        <v>29</v>
      </c>
      <c r="N851" t="s">
        <v>29</v>
      </c>
      <c r="O851" t="s">
        <v>29</v>
      </c>
      <c r="P851" t="s">
        <v>29</v>
      </c>
      <c r="Q851" t="s">
        <v>29</v>
      </c>
      <c r="R851" t="s">
        <v>29</v>
      </c>
      <c r="S851">
        <v>11.9543237514729</v>
      </c>
      <c r="T851" t="s">
        <v>29</v>
      </c>
      <c r="U851" t="s">
        <v>29</v>
      </c>
      <c r="V851" t="s">
        <v>29</v>
      </c>
      <c r="W851" t="s">
        <v>29</v>
      </c>
      <c r="X851" t="s">
        <v>29</v>
      </c>
      <c r="Y851" t="s">
        <v>29</v>
      </c>
    </row>
    <row r="852" spans="1:25" x14ac:dyDescent="0.2">
      <c r="A852" t="s">
        <v>3142</v>
      </c>
      <c r="B852" t="s">
        <v>3143</v>
      </c>
      <c r="C852" t="s">
        <v>14338</v>
      </c>
      <c r="D852" t="s">
        <v>3144</v>
      </c>
      <c r="E852" t="s">
        <v>3143</v>
      </c>
      <c r="F852" t="s">
        <v>28</v>
      </c>
      <c r="G852" t="s">
        <v>3143</v>
      </c>
      <c r="H852" t="str">
        <f>"F44E7.4"</f>
        <v>F44E7.4</v>
      </c>
      <c r="I852" t="s">
        <v>3144</v>
      </c>
      <c r="J852">
        <v>11.981019843792399</v>
      </c>
      <c r="K852">
        <v>11.401981465212501</v>
      </c>
      <c r="L852">
        <v>11.9302351206988</v>
      </c>
      <c r="M852" t="s">
        <v>29</v>
      </c>
      <c r="N852">
        <v>12.3405759890504</v>
      </c>
      <c r="O852">
        <v>11.5134413477937</v>
      </c>
      <c r="P852">
        <v>0.15592985852076599</v>
      </c>
      <c r="Q852">
        <v>-0.44371891295247101</v>
      </c>
      <c r="R852">
        <v>0.75557862999400305</v>
      </c>
      <c r="S852">
        <v>12.0430251154663</v>
      </c>
      <c r="T852">
        <v>0.554592436533203</v>
      </c>
      <c r="U852">
        <v>-6.6118742019566499</v>
      </c>
      <c r="V852">
        <v>0.58740501512566501</v>
      </c>
      <c r="W852">
        <v>0.963273565916412</v>
      </c>
      <c r="X852">
        <v>0</v>
      </c>
      <c r="Y852">
        <v>0</v>
      </c>
    </row>
    <row r="853" spans="1:25" x14ac:dyDescent="0.2">
      <c r="A853" t="s">
        <v>3145</v>
      </c>
      <c r="B853" t="s">
        <v>3146</v>
      </c>
      <c r="C853" t="s">
        <v>14339</v>
      </c>
      <c r="D853" t="s">
        <v>3147</v>
      </c>
      <c r="E853" t="s">
        <v>3146</v>
      </c>
      <c r="F853" t="s">
        <v>28</v>
      </c>
      <c r="G853" t="s">
        <v>3146</v>
      </c>
      <c r="H853" t="str">
        <f>"F44E7.9"</f>
        <v>F44E7.9</v>
      </c>
      <c r="I853" t="s">
        <v>3147</v>
      </c>
      <c r="J853">
        <v>15.1664070847243</v>
      </c>
      <c r="K853">
        <v>15.0082436361402</v>
      </c>
      <c r="L853">
        <v>15.072026602755599</v>
      </c>
      <c r="M853">
        <v>14.988191360039499</v>
      </c>
      <c r="N853">
        <v>14.6174614681118</v>
      </c>
      <c r="O853">
        <v>15.22360898598</v>
      </c>
      <c r="P853">
        <v>-0.13913850316297699</v>
      </c>
      <c r="Q853">
        <v>-0.60280265292950097</v>
      </c>
      <c r="R853">
        <v>0.32452564660354699</v>
      </c>
      <c r="S853">
        <v>14.7132219525976</v>
      </c>
      <c r="T853">
        <v>-0.63342299046430095</v>
      </c>
      <c r="U853">
        <v>-6.6746772830620298</v>
      </c>
      <c r="V853">
        <v>0.53493891188876996</v>
      </c>
      <c r="W853">
        <v>0.94494516919629801</v>
      </c>
      <c r="X853">
        <v>0</v>
      </c>
      <c r="Y853">
        <v>0</v>
      </c>
    </row>
    <row r="854" spans="1:25" x14ac:dyDescent="0.2">
      <c r="A854" t="s">
        <v>3148</v>
      </c>
      <c r="B854" t="s">
        <v>3149</v>
      </c>
      <c r="C854" t="s">
        <v>3150</v>
      </c>
      <c r="D854" t="s">
        <v>3151</v>
      </c>
      <c r="E854" t="s">
        <v>3149</v>
      </c>
      <c r="F854" t="s">
        <v>28</v>
      </c>
      <c r="G854" t="s">
        <v>3149</v>
      </c>
      <c r="H854" t="str">
        <f>"sti-1"</f>
        <v>sti-1</v>
      </c>
      <c r="I854" t="s">
        <v>3151</v>
      </c>
      <c r="J854">
        <v>12.906328630416199</v>
      </c>
      <c r="K854">
        <v>13.1691466537061</v>
      </c>
      <c r="L854">
        <v>13.4082213568679</v>
      </c>
      <c r="M854">
        <v>13.929635476758801</v>
      </c>
      <c r="N854">
        <v>13.848261694399801</v>
      </c>
      <c r="O854">
        <v>13.953148582472799</v>
      </c>
      <c r="P854">
        <v>0.74911637088043603</v>
      </c>
      <c r="Q854">
        <v>0.25867222844648702</v>
      </c>
      <c r="R854">
        <v>1.2395605133143901</v>
      </c>
      <c r="S854">
        <v>13.3837073068854</v>
      </c>
      <c r="T854">
        <v>3.2103490128671801</v>
      </c>
      <c r="U854">
        <v>-2.64123587884656</v>
      </c>
      <c r="V854">
        <v>4.8785099379380099E-3</v>
      </c>
      <c r="W854">
        <v>0.108237873823051</v>
      </c>
      <c r="X854">
        <v>0</v>
      </c>
      <c r="Y854">
        <v>0</v>
      </c>
    </row>
    <row r="855" spans="1:25" x14ac:dyDescent="0.2">
      <c r="A855" t="s">
        <v>3152</v>
      </c>
      <c r="B855" t="s">
        <v>3153</v>
      </c>
      <c r="C855" t="s">
        <v>14340</v>
      </c>
      <c r="D855" t="s">
        <v>3154</v>
      </c>
      <c r="E855" t="s">
        <v>3153</v>
      </c>
      <c r="F855" t="s">
        <v>28</v>
      </c>
      <c r="G855" t="s">
        <v>3153</v>
      </c>
      <c r="H855" t="str">
        <f>"F39G3.3"</f>
        <v>F39G3.3</v>
      </c>
      <c r="I855" t="s">
        <v>3154</v>
      </c>
      <c r="J855">
        <v>12.976793775875599</v>
      </c>
      <c r="K855">
        <v>13.030910672723801</v>
      </c>
      <c r="L855">
        <v>13.3027740983347</v>
      </c>
      <c r="M855">
        <v>12.7176307728942</v>
      </c>
      <c r="N855">
        <v>12.1413695046326</v>
      </c>
      <c r="O855">
        <v>12.719936315009299</v>
      </c>
      <c r="P855">
        <v>-0.57718065146597097</v>
      </c>
      <c r="Q855">
        <v>-1.1979043571300001</v>
      </c>
      <c r="R855">
        <v>4.3543054198054501E-2</v>
      </c>
      <c r="S855">
        <v>13.1140106662153</v>
      </c>
      <c r="T855">
        <v>-1.97225453013393</v>
      </c>
      <c r="U855">
        <v>-5.0545419194669901</v>
      </c>
      <c r="V855">
        <v>6.6238144442424596E-2</v>
      </c>
      <c r="W855">
        <v>0.55110136176097302</v>
      </c>
      <c r="X855">
        <v>0</v>
      </c>
      <c r="Y855">
        <v>0</v>
      </c>
    </row>
    <row r="856" spans="1:25" x14ac:dyDescent="0.2">
      <c r="A856" t="s">
        <v>3155</v>
      </c>
      <c r="B856" t="s">
        <v>3156</v>
      </c>
      <c r="C856" t="s">
        <v>3157</v>
      </c>
      <c r="D856" t="s">
        <v>3158</v>
      </c>
      <c r="E856" t="s">
        <v>3156</v>
      </c>
      <c r="F856" t="s">
        <v>28</v>
      </c>
      <c r="G856" t="s">
        <v>3156</v>
      </c>
      <c r="H856" t="str">
        <f>"F32D1.5"</f>
        <v>F32D1.5</v>
      </c>
      <c r="I856" t="s">
        <v>3158</v>
      </c>
      <c r="J856">
        <v>12.325932039319699</v>
      </c>
      <c r="K856">
        <v>13.2917424505649</v>
      </c>
      <c r="L856">
        <v>13.398270901177501</v>
      </c>
      <c r="M856">
        <v>13.3463009667732</v>
      </c>
      <c r="N856">
        <v>12.681334899214701</v>
      </c>
      <c r="O856">
        <v>13.645074506894799</v>
      </c>
      <c r="P856">
        <v>0.21892166060684401</v>
      </c>
      <c r="Q856">
        <v>-0.76222357870395796</v>
      </c>
      <c r="R856">
        <v>1.20006689991765</v>
      </c>
      <c r="S856">
        <v>13.406790174719999</v>
      </c>
      <c r="T856">
        <v>0.47326562657058302</v>
      </c>
      <c r="U856">
        <v>-6.7655117341377196</v>
      </c>
      <c r="V856">
        <v>0.64245787079026195</v>
      </c>
      <c r="W856">
        <v>0.97768135215283802</v>
      </c>
      <c r="X856">
        <v>0</v>
      </c>
      <c r="Y856">
        <v>0</v>
      </c>
    </row>
    <row r="857" spans="1:25" x14ac:dyDescent="0.2">
      <c r="A857" t="s">
        <v>3159</v>
      </c>
      <c r="B857" t="s">
        <v>3160</v>
      </c>
      <c r="C857" t="s">
        <v>3161</v>
      </c>
      <c r="D857" t="s">
        <v>3162</v>
      </c>
      <c r="E857" t="s">
        <v>3160</v>
      </c>
      <c r="F857" t="s">
        <v>28</v>
      </c>
      <c r="G857" t="s">
        <v>3160</v>
      </c>
      <c r="H857" t="str">
        <f>"mcm-7"</f>
        <v>mcm-7</v>
      </c>
      <c r="I857" t="s">
        <v>3162</v>
      </c>
      <c r="J857">
        <v>14.164878147699101</v>
      </c>
      <c r="K857">
        <v>14.0579893744682</v>
      </c>
      <c r="L857">
        <v>14.5156347259149</v>
      </c>
      <c r="M857">
        <v>14.3330401122297</v>
      </c>
      <c r="N857">
        <v>14.630074916881499</v>
      </c>
      <c r="O857">
        <v>14.3975167365994</v>
      </c>
      <c r="P857">
        <v>0.207376505876148</v>
      </c>
      <c r="Q857">
        <v>-0.31722473649715299</v>
      </c>
      <c r="R857">
        <v>0.73197774824945006</v>
      </c>
      <c r="S857">
        <v>14.5518459963201</v>
      </c>
      <c r="T857">
        <v>0.83441144256548205</v>
      </c>
      <c r="U857">
        <v>-6.5249589094373004</v>
      </c>
      <c r="V857">
        <v>0.41569203465472598</v>
      </c>
      <c r="W857">
        <v>0.91512503332874395</v>
      </c>
      <c r="X857">
        <v>0</v>
      </c>
      <c r="Y857">
        <v>0</v>
      </c>
    </row>
    <row r="858" spans="1:25" x14ac:dyDescent="0.2">
      <c r="A858" t="s">
        <v>3163</v>
      </c>
      <c r="B858" t="s">
        <v>3164</v>
      </c>
      <c r="C858" t="s">
        <v>3165</v>
      </c>
      <c r="D858" t="s">
        <v>3166</v>
      </c>
      <c r="E858" t="s">
        <v>3164</v>
      </c>
      <c r="F858" t="s">
        <v>28</v>
      </c>
      <c r="G858" t="s">
        <v>3164</v>
      </c>
      <c r="H858" t="str">
        <f>"hpo-18"</f>
        <v>hpo-18</v>
      </c>
      <c r="I858" t="s">
        <v>3166</v>
      </c>
      <c r="J858">
        <v>15.186680571338901</v>
      </c>
      <c r="K858">
        <v>16.6049546689156</v>
      </c>
      <c r="L858">
        <v>16.232607612531599</v>
      </c>
      <c r="M858">
        <v>16.672841458136201</v>
      </c>
      <c r="N858">
        <v>16.0566166233227</v>
      </c>
      <c r="O858">
        <v>16.2676169440536</v>
      </c>
      <c r="P858">
        <v>0.32427739090884</v>
      </c>
      <c r="Q858">
        <v>-0.39209350547501798</v>
      </c>
      <c r="R858">
        <v>1.0406482872927001</v>
      </c>
      <c r="S858">
        <v>16.129516649030201</v>
      </c>
      <c r="T858">
        <v>0.95549572772596802</v>
      </c>
      <c r="U858">
        <v>-6.4165791215397903</v>
      </c>
      <c r="V858">
        <v>0.35280007655850698</v>
      </c>
      <c r="W858">
        <v>0.87950242192597095</v>
      </c>
      <c r="X858">
        <v>0</v>
      </c>
      <c r="Y858">
        <v>0</v>
      </c>
    </row>
    <row r="859" spans="1:25" x14ac:dyDescent="0.2">
      <c r="A859" t="s">
        <v>3167</v>
      </c>
      <c r="B859" t="s">
        <v>3168</v>
      </c>
      <c r="C859" t="s">
        <v>3169</v>
      </c>
      <c r="D859" t="s">
        <v>3170</v>
      </c>
      <c r="E859" t="s">
        <v>3168</v>
      </c>
      <c r="F859" t="s">
        <v>28</v>
      </c>
      <c r="G859" t="s">
        <v>3168</v>
      </c>
      <c r="H859" t="str">
        <f>"cmd-1"</f>
        <v>cmd-1</v>
      </c>
      <c r="I859" t="s">
        <v>3170</v>
      </c>
      <c r="J859">
        <v>15.063672209860799</v>
      </c>
      <c r="K859">
        <v>15.3720956241729</v>
      </c>
      <c r="L859">
        <v>14.792391204759101</v>
      </c>
      <c r="M859">
        <v>15.256912123147799</v>
      </c>
      <c r="N859">
        <v>14.782443437493599</v>
      </c>
      <c r="O859">
        <v>15.186680711817701</v>
      </c>
      <c r="P859">
        <v>-7.0758877789778296E-4</v>
      </c>
      <c r="Q859">
        <v>-0.62562716049077405</v>
      </c>
      <c r="R859">
        <v>0.62421198293497804</v>
      </c>
      <c r="S859">
        <v>14.9309424975488</v>
      </c>
      <c r="T859">
        <v>-2.3798485672862101E-3</v>
      </c>
      <c r="U859">
        <v>-6.8824866151592996</v>
      </c>
      <c r="V859">
        <v>0.99812748692039899</v>
      </c>
      <c r="W859">
        <v>0.99993024577696799</v>
      </c>
      <c r="X859">
        <v>0</v>
      </c>
      <c r="Y859">
        <v>0</v>
      </c>
    </row>
    <row r="860" spans="1:25" x14ac:dyDescent="0.2">
      <c r="A860" t="s">
        <v>3171</v>
      </c>
      <c r="B860" t="s">
        <v>3172</v>
      </c>
      <c r="C860" t="s">
        <v>3173</v>
      </c>
      <c r="D860" t="s">
        <v>3174</v>
      </c>
      <c r="E860" t="s">
        <v>3172</v>
      </c>
      <c r="F860" t="s">
        <v>28</v>
      </c>
      <c r="G860" t="s">
        <v>3172</v>
      </c>
      <c r="H860" t="str">
        <f>"gei-6"</f>
        <v>gei-6</v>
      </c>
      <c r="I860" t="s">
        <v>3174</v>
      </c>
      <c r="J860" t="s">
        <v>29</v>
      </c>
      <c r="K860">
        <v>11.5403386009254</v>
      </c>
      <c r="L860" t="s">
        <v>29</v>
      </c>
      <c r="M860" t="s">
        <v>29</v>
      </c>
      <c r="N860" t="s">
        <v>29</v>
      </c>
      <c r="O860" t="s">
        <v>29</v>
      </c>
      <c r="P860" t="s">
        <v>29</v>
      </c>
      <c r="Q860" t="s">
        <v>29</v>
      </c>
      <c r="R860" t="s">
        <v>29</v>
      </c>
      <c r="S860">
        <v>11.211707427976799</v>
      </c>
      <c r="T860" t="s">
        <v>29</v>
      </c>
      <c r="U860" t="s">
        <v>29</v>
      </c>
      <c r="V860" t="s">
        <v>29</v>
      </c>
      <c r="W860" t="s">
        <v>29</v>
      </c>
      <c r="X860" t="s">
        <v>29</v>
      </c>
      <c r="Y860" t="s">
        <v>29</v>
      </c>
    </row>
    <row r="861" spans="1:25" x14ac:dyDescent="0.2">
      <c r="A861" t="s">
        <v>3175</v>
      </c>
      <c r="B861" t="s">
        <v>3176</v>
      </c>
      <c r="C861" t="s">
        <v>3177</v>
      </c>
      <c r="D861" t="s">
        <v>3178</v>
      </c>
      <c r="E861" t="s">
        <v>3176</v>
      </c>
      <c r="F861" t="s">
        <v>28</v>
      </c>
      <c r="G861" t="s">
        <v>3176</v>
      </c>
      <c r="H861" t="str">
        <f>"krr-1"</f>
        <v>krr-1</v>
      </c>
      <c r="I861" t="s">
        <v>3178</v>
      </c>
      <c r="J861">
        <v>10.7517984559871</v>
      </c>
      <c r="K861">
        <v>12.330257317287799</v>
      </c>
      <c r="L861">
        <v>11.7913170410588</v>
      </c>
      <c r="M861">
        <v>13.3774622053597</v>
      </c>
      <c r="N861" t="s">
        <v>29</v>
      </c>
      <c r="O861" t="s">
        <v>29</v>
      </c>
      <c r="P861">
        <v>1.7530046005818101</v>
      </c>
      <c r="Q861">
        <v>0.79367658784553297</v>
      </c>
      <c r="R861">
        <v>2.7123326133180798</v>
      </c>
      <c r="S861">
        <v>12.3846652381686</v>
      </c>
      <c r="T861">
        <v>3.95096492371994</v>
      </c>
      <c r="U861">
        <v>-1.19952214786135</v>
      </c>
      <c r="V861">
        <v>1.6834596831008599E-3</v>
      </c>
      <c r="W861">
        <v>4.7885075430424397E-2</v>
      </c>
      <c r="X861">
        <v>1</v>
      </c>
      <c r="Y861">
        <v>1</v>
      </c>
    </row>
    <row r="862" spans="1:25" x14ac:dyDescent="0.2">
      <c r="A862" t="s">
        <v>3179</v>
      </c>
      <c r="B862" t="s">
        <v>3180</v>
      </c>
      <c r="C862" t="s">
        <v>3181</v>
      </c>
      <c r="D862" t="s">
        <v>3182</v>
      </c>
      <c r="E862" t="s">
        <v>3180</v>
      </c>
      <c r="F862" t="s">
        <v>28</v>
      </c>
      <c r="G862" t="s">
        <v>3180</v>
      </c>
      <c r="H862" t="str">
        <f>"C05C8.5"</f>
        <v>C05C8.5</v>
      </c>
      <c r="I862" t="s">
        <v>3182</v>
      </c>
      <c r="J862" t="s">
        <v>29</v>
      </c>
      <c r="K862" t="s">
        <v>29</v>
      </c>
      <c r="L862" t="s">
        <v>29</v>
      </c>
      <c r="M862" t="s">
        <v>29</v>
      </c>
      <c r="N862" t="s">
        <v>29</v>
      </c>
      <c r="O862" t="s">
        <v>29</v>
      </c>
      <c r="P862" t="s">
        <v>29</v>
      </c>
      <c r="Q862" t="s">
        <v>29</v>
      </c>
      <c r="R862" t="s">
        <v>29</v>
      </c>
      <c r="S862">
        <v>11.416969636134301</v>
      </c>
      <c r="T862" t="s">
        <v>29</v>
      </c>
      <c r="U862" t="s">
        <v>29</v>
      </c>
      <c r="V862" t="s">
        <v>29</v>
      </c>
      <c r="W862" t="s">
        <v>29</v>
      </c>
      <c r="X862" t="s">
        <v>29</v>
      </c>
      <c r="Y862" t="s">
        <v>29</v>
      </c>
    </row>
    <row r="863" spans="1:25" x14ac:dyDescent="0.2">
      <c r="A863" t="s">
        <v>3183</v>
      </c>
      <c r="B863" t="s">
        <v>3184</v>
      </c>
      <c r="C863" t="s">
        <v>3185</v>
      </c>
      <c r="D863" t="s">
        <v>3186</v>
      </c>
      <c r="E863" t="s">
        <v>3184</v>
      </c>
      <c r="F863" t="s">
        <v>28</v>
      </c>
      <c r="G863" t="s">
        <v>3184</v>
      </c>
      <c r="H863" t="str">
        <f>"hpo-9"</f>
        <v>hpo-9</v>
      </c>
      <c r="I863" t="s">
        <v>3186</v>
      </c>
      <c r="J863" t="s">
        <v>29</v>
      </c>
      <c r="K863">
        <v>11.658395087559899</v>
      </c>
      <c r="L863">
        <v>10.685252078487901</v>
      </c>
      <c r="M863">
        <v>14.9622793217374</v>
      </c>
      <c r="N863">
        <v>14.8362237482787</v>
      </c>
      <c r="O863">
        <v>14.822411867353001</v>
      </c>
      <c r="P863">
        <v>3.7018147294324502</v>
      </c>
      <c r="Q863">
        <v>3.1418302427623099</v>
      </c>
      <c r="R863">
        <v>4.2617992161025997</v>
      </c>
      <c r="S863">
        <v>12.8335662726123</v>
      </c>
      <c r="T863">
        <v>14.2930833967035</v>
      </c>
      <c r="U863">
        <v>11.559385021975601</v>
      </c>
      <c r="V863" s="2">
        <v>2.7698734239300699E-9</v>
      </c>
      <c r="W863" s="2">
        <v>1.1522673443549101E-6</v>
      </c>
      <c r="X863">
        <v>1</v>
      </c>
      <c r="Y863">
        <v>1</v>
      </c>
    </row>
    <row r="864" spans="1:25" x14ac:dyDescent="0.2">
      <c r="A864" t="s">
        <v>3187</v>
      </c>
      <c r="B864" t="s">
        <v>3188</v>
      </c>
      <c r="C864" t="s">
        <v>3189</v>
      </c>
      <c r="D864" t="s">
        <v>3190</v>
      </c>
      <c r="E864" t="s">
        <v>3188</v>
      </c>
      <c r="F864" t="s">
        <v>28</v>
      </c>
      <c r="G864" t="s">
        <v>3188</v>
      </c>
      <c r="H864" t="str">
        <f>"C05C8.7"</f>
        <v>C05C8.7</v>
      </c>
      <c r="I864" t="s">
        <v>3190</v>
      </c>
      <c r="J864">
        <v>12.4041123835161</v>
      </c>
      <c r="K864">
        <v>12.782009873755401</v>
      </c>
      <c r="L864">
        <v>12.6895545720184</v>
      </c>
      <c r="M864">
        <v>15.5036839821231</v>
      </c>
      <c r="N864">
        <v>15.5719678115163</v>
      </c>
      <c r="O864">
        <v>15.0180579635767</v>
      </c>
      <c r="P864">
        <v>2.73934430930874</v>
      </c>
      <c r="Q864">
        <v>2.1283461338691101</v>
      </c>
      <c r="R864">
        <v>3.35034248474838</v>
      </c>
      <c r="S864">
        <v>14.7702437528052</v>
      </c>
      <c r="T864">
        <v>9.4232176479929493</v>
      </c>
      <c r="U864">
        <v>9.5140182280600794</v>
      </c>
      <c r="V864" s="2">
        <v>2.32897487724728E-8</v>
      </c>
      <c r="W864" s="2">
        <v>5.9621756857530301E-6</v>
      </c>
      <c r="X864">
        <v>1</v>
      </c>
      <c r="Y864">
        <v>1</v>
      </c>
    </row>
    <row r="865" spans="1:25" x14ac:dyDescent="0.2">
      <c r="A865" t="s">
        <v>3191</v>
      </c>
      <c r="B865" t="s">
        <v>3192</v>
      </c>
      <c r="C865" t="s">
        <v>3193</v>
      </c>
      <c r="D865" t="s">
        <v>3194</v>
      </c>
      <c r="E865" t="s">
        <v>3192</v>
      </c>
      <c r="F865" t="s">
        <v>28</v>
      </c>
      <c r="G865" t="s">
        <v>3192</v>
      </c>
      <c r="H865" t="str">
        <f>"str-140"</f>
        <v>str-140</v>
      </c>
      <c r="I865" t="s">
        <v>3194</v>
      </c>
      <c r="J865">
        <v>13.7506475937035</v>
      </c>
      <c r="K865">
        <v>13.589397308917199</v>
      </c>
      <c r="L865">
        <v>14.000707915358101</v>
      </c>
      <c r="M865">
        <v>13.8481709288974</v>
      </c>
      <c r="N865">
        <v>14.215767502916099</v>
      </c>
      <c r="O865">
        <v>14.772578421850101</v>
      </c>
      <c r="P865">
        <v>0.498588011894947</v>
      </c>
      <c r="Q865">
        <v>-0.32978178299604299</v>
      </c>
      <c r="R865">
        <v>1.32695780678594</v>
      </c>
      <c r="S865">
        <v>13.308032474072</v>
      </c>
      <c r="T865">
        <v>1.2918422084552299</v>
      </c>
      <c r="U865">
        <v>-6.0469928337634098</v>
      </c>
      <c r="V865">
        <v>0.21748616372649901</v>
      </c>
      <c r="W865">
        <v>0.79508962856638699</v>
      </c>
      <c r="X865">
        <v>0</v>
      </c>
      <c r="Y865">
        <v>0</v>
      </c>
    </row>
    <row r="866" spans="1:25" x14ac:dyDescent="0.2">
      <c r="A866" t="s">
        <v>3195</v>
      </c>
      <c r="B866" t="s">
        <v>3196</v>
      </c>
      <c r="C866" t="s">
        <v>3197</v>
      </c>
      <c r="D866" t="s">
        <v>3198</v>
      </c>
      <c r="E866" t="s">
        <v>3196</v>
      </c>
      <c r="F866" t="s">
        <v>28</v>
      </c>
      <c r="G866" t="s">
        <v>3196</v>
      </c>
      <c r="H866" t="str">
        <f>"catp-3"</f>
        <v>catp-3</v>
      </c>
      <c r="I866" t="s">
        <v>3198</v>
      </c>
      <c r="J866">
        <v>12.045424992089799</v>
      </c>
      <c r="K866">
        <v>12.2189427033888</v>
      </c>
      <c r="L866">
        <v>12.216744855545601</v>
      </c>
      <c r="M866">
        <v>12.789725356525601</v>
      </c>
      <c r="N866">
        <v>11.7828418109277</v>
      </c>
      <c r="O866">
        <v>11.750408153415201</v>
      </c>
      <c r="P866">
        <v>-5.2712410051869399E-2</v>
      </c>
      <c r="Q866">
        <v>-0.66815089776369296</v>
      </c>
      <c r="R866">
        <v>0.56272607765995397</v>
      </c>
      <c r="S866">
        <v>12.4359611725924</v>
      </c>
      <c r="T866">
        <v>-0.18166771365783699</v>
      </c>
      <c r="U866">
        <v>-6.8651488367667701</v>
      </c>
      <c r="V866">
        <v>0.85813998172204597</v>
      </c>
      <c r="W866">
        <v>0.99370971747667503</v>
      </c>
      <c r="X866">
        <v>0</v>
      </c>
      <c r="Y866">
        <v>0</v>
      </c>
    </row>
    <row r="867" spans="1:25" x14ac:dyDescent="0.2">
      <c r="A867" t="s">
        <v>3199</v>
      </c>
      <c r="B867" t="s">
        <v>3200</v>
      </c>
      <c r="C867" t="s">
        <v>3201</v>
      </c>
      <c r="D867" t="s">
        <v>3202</v>
      </c>
      <c r="E867" t="s">
        <v>3200</v>
      </c>
      <c r="F867" t="s">
        <v>28</v>
      </c>
      <c r="G867" t="s">
        <v>3200</v>
      </c>
      <c r="H867" t="str">
        <f>"rpt-2"</f>
        <v>rpt-2</v>
      </c>
      <c r="I867" t="s">
        <v>3202</v>
      </c>
      <c r="J867">
        <v>16.1517787589218</v>
      </c>
      <c r="K867">
        <v>16.0431835576499</v>
      </c>
      <c r="L867">
        <v>16.071916623698002</v>
      </c>
      <c r="M867">
        <v>16.1477315487681</v>
      </c>
      <c r="N867">
        <v>16.179320874448401</v>
      </c>
      <c r="O867">
        <v>16.028920582390199</v>
      </c>
      <c r="P867">
        <v>2.9698021779008599E-2</v>
      </c>
      <c r="Q867">
        <v>-0.34324796360377002</v>
      </c>
      <c r="R867">
        <v>0.402644007161787</v>
      </c>
      <c r="S867">
        <v>16.027717480292001</v>
      </c>
      <c r="T867">
        <v>0.16736864419467501</v>
      </c>
      <c r="U867">
        <v>-6.8678647809622699</v>
      </c>
      <c r="V867">
        <v>0.86895683184338002</v>
      </c>
      <c r="W867">
        <v>0.99457622291666603</v>
      </c>
      <c r="X867">
        <v>0</v>
      </c>
      <c r="Y867">
        <v>0</v>
      </c>
    </row>
    <row r="868" spans="1:25" x14ac:dyDescent="0.2">
      <c r="A868" t="s">
        <v>3203</v>
      </c>
      <c r="B868" t="s">
        <v>3204</v>
      </c>
      <c r="C868" t="s">
        <v>3205</v>
      </c>
      <c r="D868" t="s">
        <v>3206</v>
      </c>
      <c r="E868" t="s">
        <v>3204</v>
      </c>
      <c r="F868" t="s">
        <v>28</v>
      </c>
      <c r="G868" t="s">
        <v>3204</v>
      </c>
      <c r="H868" t="str">
        <f>"aps-1"</f>
        <v>aps-1</v>
      </c>
      <c r="I868" t="s">
        <v>3206</v>
      </c>
      <c r="J868">
        <v>14.099697824358399</v>
      </c>
      <c r="K868">
        <v>14.123352293485199</v>
      </c>
      <c r="L868">
        <v>14.0750502932756</v>
      </c>
      <c r="M868">
        <v>14.024938431820001</v>
      </c>
      <c r="N868">
        <v>13.9654771975478</v>
      </c>
      <c r="O868">
        <v>14.3303713712543</v>
      </c>
      <c r="P868">
        <v>7.5621965009844399E-3</v>
      </c>
      <c r="Q868">
        <v>-0.38704272387487298</v>
      </c>
      <c r="R868">
        <v>0.40216711687684198</v>
      </c>
      <c r="S868">
        <v>13.7706077410836</v>
      </c>
      <c r="T868">
        <v>4.02789346358189E-2</v>
      </c>
      <c r="U868">
        <v>-6.88164191615303</v>
      </c>
      <c r="V868">
        <v>0.96831673227176995</v>
      </c>
      <c r="W868">
        <v>0.99968702248720698</v>
      </c>
      <c r="X868">
        <v>0</v>
      </c>
      <c r="Y868">
        <v>0</v>
      </c>
    </row>
    <row r="869" spans="1:25" x14ac:dyDescent="0.2">
      <c r="A869" t="s">
        <v>3207</v>
      </c>
      <c r="B869" t="s">
        <v>3208</v>
      </c>
      <c r="C869" t="s">
        <v>3209</v>
      </c>
      <c r="D869" t="s">
        <v>3210</v>
      </c>
      <c r="E869" t="s">
        <v>3208</v>
      </c>
      <c r="F869" t="s">
        <v>28</v>
      </c>
      <c r="G869" t="s">
        <v>3208</v>
      </c>
      <c r="H869" t="str">
        <f>"tag-196"</f>
        <v>tag-196</v>
      </c>
      <c r="I869" t="s">
        <v>3210</v>
      </c>
      <c r="J869">
        <v>13.810556822784999</v>
      </c>
      <c r="K869">
        <v>13.7154906074684</v>
      </c>
      <c r="L869">
        <v>13.4122315709474</v>
      </c>
      <c r="M869">
        <v>13.422401495793601</v>
      </c>
      <c r="N869">
        <v>13.612235420844</v>
      </c>
      <c r="O869">
        <v>13.9346295252953</v>
      </c>
      <c r="P869">
        <v>1.03291469106761E-2</v>
      </c>
      <c r="Q869">
        <v>-0.396453872093114</v>
      </c>
      <c r="R869">
        <v>0.41711216591446598</v>
      </c>
      <c r="S869">
        <v>13.1856937029481</v>
      </c>
      <c r="T869">
        <v>5.35983786361207E-2</v>
      </c>
      <c r="U869">
        <v>-6.8809839763555702</v>
      </c>
      <c r="V869">
        <v>0.957883826258218</v>
      </c>
      <c r="W869">
        <v>0.99968702248720698</v>
      </c>
      <c r="X869">
        <v>0</v>
      </c>
      <c r="Y869">
        <v>0</v>
      </c>
    </row>
    <row r="870" spans="1:25" x14ac:dyDescent="0.2">
      <c r="A870" t="s">
        <v>3211</v>
      </c>
      <c r="B870" t="s">
        <v>3212</v>
      </c>
      <c r="C870" t="s">
        <v>3213</v>
      </c>
      <c r="D870" t="s">
        <v>3214</v>
      </c>
      <c r="E870" t="s">
        <v>3212</v>
      </c>
      <c r="F870" t="s">
        <v>28</v>
      </c>
      <c r="G870" t="s">
        <v>3212</v>
      </c>
      <c r="H870" t="str">
        <f>"atg-18"</f>
        <v>atg-18</v>
      </c>
      <c r="I870" t="s">
        <v>3214</v>
      </c>
      <c r="J870">
        <v>13.6565819254351</v>
      </c>
      <c r="K870">
        <v>13.7354899367258</v>
      </c>
      <c r="L870">
        <v>13.1886579069175</v>
      </c>
      <c r="M870">
        <v>13.632521201742399</v>
      </c>
      <c r="N870">
        <v>13.0890910060537</v>
      </c>
      <c r="O870">
        <v>13.776213728090401</v>
      </c>
      <c r="P870">
        <v>-2.76346110639718E-2</v>
      </c>
      <c r="Q870">
        <v>-0.64639309807053502</v>
      </c>
      <c r="R870">
        <v>0.59112387594259097</v>
      </c>
      <c r="S870">
        <v>13.002495378233499</v>
      </c>
      <c r="T870">
        <v>-9.38695424327992E-2</v>
      </c>
      <c r="U870">
        <v>-6.8778867316511798</v>
      </c>
      <c r="V870">
        <v>0.92625582024277098</v>
      </c>
      <c r="W870">
        <v>0.99926809132575301</v>
      </c>
      <c r="X870">
        <v>0</v>
      </c>
      <c r="Y870">
        <v>0</v>
      </c>
    </row>
    <row r="871" spans="1:25" x14ac:dyDescent="0.2">
      <c r="A871" t="s">
        <v>3215</v>
      </c>
      <c r="B871" t="s">
        <v>3216</v>
      </c>
      <c r="C871" t="s">
        <v>3217</v>
      </c>
      <c r="D871" t="s">
        <v>531</v>
      </c>
      <c r="E871" t="s">
        <v>3216</v>
      </c>
      <c r="F871" t="s">
        <v>28</v>
      </c>
      <c r="G871" t="s">
        <v>3216</v>
      </c>
      <c r="H871" t="str">
        <f>"natc-2"</f>
        <v>natc-2</v>
      </c>
      <c r="I871" t="s">
        <v>531</v>
      </c>
      <c r="J871">
        <v>14.655333863121699</v>
      </c>
      <c r="K871">
        <v>14.615515590358401</v>
      </c>
      <c r="L871">
        <v>14.397876908951099</v>
      </c>
      <c r="M871">
        <v>14.703694217783699</v>
      </c>
      <c r="N871">
        <v>14.8323453323405</v>
      </c>
      <c r="O871">
        <v>14.750482459899199</v>
      </c>
      <c r="P871">
        <v>0.20593188253074499</v>
      </c>
      <c r="Q871">
        <v>-0.44715687407332999</v>
      </c>
      <c r="R871">
        <v>0.85902063913482096</v>
      </c>
      <c r="S871">
        <v>14.1351858118223</v>
      </c>
      <c r="T871">
        <v>0.662741086836513</v>
      </c>
      <c r="U871">
        <v>-6.6557946695157799</v>
      </c>
      <c r="V871">
        <v>0.515942566380301</v>
      </c>
      <c r="W871">
        <v>0.94227592550871997</v>
      </c>
      <c r="X871">
        <v>0</v>
      </c>
      <c r="Y871">
        <v>0</v>
      </c>
    </row>
    <row r="872" spans="1:25" x14ac:dyDescent="0.2">
      <c r="A872" t="s">
        <v>3218</v>
      </c>
      <c r="B872" t="s">
        <v>3219</v>
      </c>
      <c r="C872" t="s">
        <v>3220</v>
      </c>
      <c r="D872" t="s">
        <v>3221</v>
      </c>
      <c r="E872" t="s">
        <v>3219</v>
      </c>
      <c r="F872" t="s">
        <v>28</v>
      </c>
      <c r="G872" t="s">
        <v>3219</v>
      </c>
      <c r="H872" t="str">
        <f>"urb-1"</f>
        <v>urb-1</v>
      </c>
      <c r="I872" t="s">
        <v>3221</v>
      </c>
      <c r="J872">
        <v>11.6348765401622</v>
      </c>
      <c r="K872">
        <v>11.842324182318499</v>
      </c>
      <c r="L872">
        <v>11.830348212522599</v>
      </c>
      <c r="M872">
        <v>12.0014028002046</v>
      </c>
      <c r="N872">
        <v>11.9907804659127</v>
      </c>
      <c r="O872">
        <v>11.0910707264024</v>
      </c>
      <c r="P872">
        <v>-7.4764980827886504E-2</v>
      </c>
      <c r="Q872">
        <v>-0.70673650491115103</v>
      </c>
      <c r="R872">
        <v>0.557206543255378</v>
      </c>
      <c r="S872">
        <v>11.7263900478602</v>
      </c>
      <c r="T872">
        <v>-0.25092864773719997</v>
      </c>
      <c r="U872">
        <v>-6.8494373988864803</v>
      </c>
      <c r="V872">
        <v>0.80508418260887105</v>
      </c>
      <c r="W872">
        <v>0.99278624068726296</v>
      </c>
      <c r="X872">
        <v>0</v>
      </c>
      <c r="Y872">
        <v>0</v>
      </c>
    </row>
    <row r="873" spans="1:25" x14ac:dyDescent="0.2">
      <c r="A873" t="s">
        <v>3222</v>
      </c>
      <c r="B873" t="s">
        <v>3223</v>
      </c>
      <c r="C873" t="s">
        <v>3224</v>
      </c>
      <c r="D873" t="s">
        <v>3225</v>
      </c>
      <c r="E873" t="s">
        <v>3223</v>
      </c>
      <c r="F873" t="s">
        <v>28</v>
      </c>
      <c r="G873" t="s">
        <v>3223</v>
      </c>
      <c r="H873" t="str">
        <f>"erfa-1"</f>
        <v>erfa-1</v>
      </c>
      <c r="I873" t="s">
        <v>3225</v>
      </c>
      <c r="J873">
        <v>15.999157487589899</v>
      </c>
      <c r="K873">
        <v>15.8604005577258</v>
      </c>
      <c r="L873">
        <v>15.806969937713401</v>
      </c>
      <c r="M873">
        <v>16.0147489760311</v>
      </c>
      <c r="N873">
        <v>15.9825914350875</v>
      </c>
      <c r="O873">
        <v>15.8478769044073</v>
      </c>
      <c r="P873">
        <v>5.9563110832238302E-2</v>
      </c>
      <c r="Q873">
        <v>-0.31369275437093402</v>
      </c>
      <c r="R873">
        <v>0.43281897603541097</v>
      </c>
      <c r="S873">
        <v>15.6253353845846</v>
      </c>
      <c r="T873">
        <v>0.335400143548995</v>
      </c>
      <c r="U873">
        <v>-6.8238979299200198</v>
      </c>
      <c r="V873">
        <v>0.74122322817852404</v>
      </c>
      <c r="W873">
        <v>0.99147544347995398</v>
      </c>
      <c r="X873">
        <v>0</v>
      </c>
      <c r="Y873">
        <v>0</v>
      </c>
    </row>
    <row r="874" spans="1:25" x14ac:dyDescent="0.2">
      <c r="A874" t="s">
        <v>3226</v>
      </c>
      <c r="B874" t="s">
        <v>3227</v>
      </c>
      <c r="C874" t="s">
        <v>3228</v>
      </c>
      <c r="D874" t="s">
        <v>3229</v>
      </c>
      <c r="E874" t="s">
        <v>3227</v>
      </c>
      <c r="F874" t="s">
        <v>28</v>
      </c>
      <c r="G874" t="s">
        <v>3227</v>
      </c>
      <c r="H874" t="str">
        <f>"hpo-19"</f>
        <v>hpo-19</v>
      </c>
      <c r="I874" t="s">
        <v>3229</v>
      </c>
      <c r="J874">
        <v>14.9871768817325</v>
      </c>
      <c r="K874">
        <v>14.505105752628699</v>
      </c>
      <c r="L874">
        <v>14.4331896468425</v>
      </c>
      <c r="M874">
        <v>15.101056805983699</v>
      </c>
      <c r="N874">
        <v>14.594796912318699</v>
      </c>
      <c r="O874">
        <v>14.5804937004214</v>
      </c>
      <c r="P874">
        <v>0.11695837917334199</v>
      </c>
      <c r="Q874">
        <v>-0.363108724169664</v>
      </c>
      <c r="R874">
        <v>0.59702548251634802</v>
      </c>
      <c r="S874">
        <v>14.219201671620899</v>
      </c>
      <c r="T874">
        <v>0.51206124450523005</v>
      </c>
      <c r="U874">
        <v>-6.7464913144015002</v>
      </c>
      <c r="V874">
        <v>0.61486969058305896</v>
      </c>
      <c r="W874">
        <v>0.97238011246645495</v>
      </c>
      <c r="X874">
        <v>0</v>
      </c>
      <c r="Y874">
        <v>0</v>
      </c>
    </row>
    <row r="875" spans="1:25" x14ac:dyDescent="0.2">
      <c r="A875" t="s">
        <v>3230</v>
      </c>
      <c r="B875" t="s">
        <v>3231</v>
      </c>
      <c r="C875" t="s">
        <v>14341</v>
      </c>
      <c r="D875" t="s">
        <v>3232</v>
      </c>
      <c r="E875" t="s">
        <v>3231</v>
      </c>
      <c r="F875" t="s">
        <v>28</v>
      </c>
      <c r="G875" t="s">
        <v>3231</v>
      </c>
      <c r="H875" t="str">
        <f>"T05H4.3"</f>
        <v>T05H4.3</v>
      </c>
      <c r="I875" t="s">
        <v>3232</v>
      </c>
      <c r="J875">
        <v>13.410784896879001</v>
      </c>
      <c r="K875">
        <v>13.249925038952</v>
      </c>
      <c r="L875">
        <v>13.6266616119667</v>
      </c>
      <c r="M875">
        <v>13.251591548567101</v>
      </c>
      <c r="N875">
        <v>12.9071129514912</v>
      </c>
      <c r="O875">
        <v>13.305406310870699</v>
      </c>
      <c r="P875">
        <v>-0.27442024562287098</v>
      </c>
      <c r="Q875">
        <v>-0.94811820760687204</v>
      </c>
      <c r="R875">
        <v>0.39927771636113002</v>
      </c>
      <c r="S875">
        <v>12.7966787552173</v>
      </c>
      <c r="T875">
        <v>-0.85613731892044598</v>
      </c>
      <c r="U875">
        <v>-6.5072276667386104</v>
      </c>
      <c r="V875">
        <v>0.403240594072442</v>
      </c>
      <c r="W875">
        <v>0.91027279600179201</v>
      </c>
      <c r="X875">
        <v>0</v>
      </c>
      <c r="Y875">
        <v>0</v>
      </c>
    </row>
    <row r="876" spans="1:25" x14ac:dyDescent="0.2">
      <c r="A876" t="s">
        <v>3233</v>
      </c>
      <c r="B876" t="s">
        <v>3234</v>
      </c>
      <c r="C876" t="s">
        <v>3235</v>
      </c>
      <c r="D876" t="s">
        <v>312</v>
      </c>
      <c r="E876" t="s">
        <v>3234</v>
      </c>
      <c r="F876" t="s">
        <v>28</v>
      </c>
      <c r="G876" t="s">
        <v>3234</v>
      </c>
      <c r="H876" t="str">
        <f>"acl-8"</f>
        <v>acl-8</v>
      </c>
      <c r="I876" t="s">
        <v>312</v>
      </c>
      <c r="J876">
        <v>12.1402638566459</v>
      </c>
      <c r="K876">
        <v>12.3891095651664</v>
      </c>
      <c r="L876">
        <v>12.251247213958999</v>
      </c>
      <c r="M876">
        <v>11.9374929420452</v>
      </c>
      <c r="N876">
        <v>12.170238825</v>
      </c>
      <c r="O876" t="s">
        <v>29</v>
      </c>
      <c r="P876">
        <v>-0.20634099506780901</v>
      </c>
      <c r="Q876">
        <v>-1.0153323691707801</v>
      </c>
      <c r="R876">
        <v>0.60265037903516305</v>
      </c>
      <c r="S876">
        <v>12.0248872649113</v>
      </c>
      <c r="T876">
        <v>-0.55147886620852804</v>
      </c>
      <c r="U876">
        <v>-6.6123560123004896</v>
      </c>
      <c r="V876">
        <v>0.59073416246189903</v>
      </c>
      <c r="W876">
        <v>0.96347128208895305</v>
      </c>
      <c r="X876">
        <v>0</v>
      </c>
      <c r="Y876">
        <v>0</v>
      </c>
    </row>
    <row r="877" spans="1:25" x14ac:dyDescent="0.2">
      <c r="A877" t="s">
        <v>3236</v>
      </c>
      <c r="B877" t="s">
        <v>3237</v>
      </c>
      <c r="C877" t="s">
        <v>3238</v>
      </c>
      <c r="D877" t="s">
        <v>107</v>
      </c>
      <c r="E877" t="s">
        <v>3237</v>
      </c>
      <c r="F877" t="s">
        <v>28</v>
      </c>
      <c r="G877" t="s">
        <v>3237</v>
      </c>
      <c r="H877" t="str">
        <f>"C35A11.4"</f>
        <v>C35A11.4</v>
      </c>
      <c r="I877" t="s">
        <v>107</v>
      </c>
      <c r="J877">
        <v>12.5852481518628</v>
      </c>
      <c r="K877">
        <v>12.097393797220199</v>
      </c>
      <c r="L877">
        <v>12.6931097131211</v>
      </c>
      <c r="M877">
        <v>12.2689996642314</v>
      </c>
      <c r="N877">
        <v>12.0268143804124</v>
      </c>
      <c r="O877" t="s">
        <v>29</v>
      </c>
      <c r="P877">
        <v>-0.31067686507945402</v>
      </c>
      <c r="Q877">
        <v>-0.848706249503411</v>
      </c>
      <c r="R877">
        <v>0.22735251934450201</v>
      </c>
      <c r="S877">
        <v>12.228780654771899</v>
      </c>
      <c r="T877">
        <v>-1.2315286646350201</v>
      </c>
      <c r="U877">
        <v>-6.0119568892748303</v>
      </c>
      <c r="V877">
        <v>0.23721545653294701</v>
      </c>
      <c r="W877">
        <v>0.82181747752460499</v>
      </c>
      <c r="X877">
        <v>0</v>
      </c>
      <c r="Y877">
        <v>0</v>
      </c>
    </row>
    <row r="878" spans="1:25" x14ac:dyDescent="0.2">
      <c r="A878" t="s">
        <v>3239</v>
      </c>
      <c r="B878" t="s">
        <v>3240</v>
      </c>
      <c r="C878" t="s">
        <v>3241</v>
      </c>
      <c r="D878" t="s">
        <v>3242</v>
      </c>
      <c r="E878" t="s">
        <v>3240</v>
      </c>
      <c r="F878" t="s">
        <v>28</v>
      </c>
      <c r="G878" t="s">
        <v>3240</v>
      </c>
      <c r="H878" t="str">
        <f>"mtq-2"</f>
        <v>mtq-2</v>
      </c>
      <c r="I878" t="s">
        <v>3242</v>
      </c>
      <c r="J878" t="s">
        <v>29</v>
      </c>
      <c r="K878">
        <v>10.3471823748256</v>
      </c>
      <c r="L878" t="s">
        <v>29</v>
      </c>
      <c r="M878" t="s">
        <v>29</v>
      </c>
      <c r="N878">
        <v>11.294307956291201</v>
      </c>
      <c r="O878">
        <v>10.585909393541399</v>
      </c>
      <c r="P878">
        <v>0.59292630009070502</v>
      </c>
      <c r="Q878">
        <v>-0.56799462280128898</v>
      </c>
      <c r="R878">
        <v>1.7538472229827</v>
      </c>
      <c r="S878">
        <v>10.874038997740101</v>
      </c>
      <c r="T878">
        <v>1.1396328689550099</v>
      </c>
      <c r="U878">
        <v>-5.8279509939251097</v>
      </c>
      <c r="V878">
        <v>0.28127473463427299</v>
      </c>
      <c r="W878">
        <v>0.856190392347986</v>
      </c>
      <c r="X878">
        <v>0</v>
      </c>
      <c r="Y878">
        <v>0</v>
      </c>
    </row>
    <row r="879" spans="1:25" x14ac:dyDescent="0.2">
      <c r="A879" t="s">
        <v>3243</v>
      </c>
      <c r="B879" t="s">
        <v>3244</v>
      </c>
      <c r="C879" t="s">
        <v>3245</v>
      </c>
      <c r="D879" t="s">
        <v>3246</v>
      </c>
      <c r="E879" t="s">
        <v>3244</v>
      </c>
      <c r="F879" t="s">
        <v>28</v>
      </c>
      <c r="G879" t="s">
        <v>3244</v>
      </c>
      <c r="H879" t="str">
        <f>"dhs-13"</f>
        <v>dhs-13</v>
      </c>
      <c r="I879" t="s">
        <v>3246</v>
      </c>
      <c r="J879">
        <v>12.666048926147401</v>
      </c>
      <c r="K879">
        <v>13.172111693152701</v>
      </c>
      <c r="L879">
        <v>12.960297347778701</v>
      </c>
      <c r="M879">
        <v>13.131591018861901</v>
      </c>
      <c r="N879">
        <v>12.718908866754299</v>
      </c>
      <c r="O879">
        <v>15.55904320472</v>
      </c>
      <c r="P879">
        <v>0.87036170775246902</v>
      </c>
      <c r="Q879">
        <v>-0.228340216159197</v>
      </c>
      <c r="R879">
        <v>1.9690636316641399</v>
      </c>
      <c r="S879">
        <v>13.372734560846</v>
      </c>
      <c r="T879">
        <v>1.70024608475421</v>
      </c>
      <c r="U879">
        <v>-5.4908202115120304</v>
      </c>
      <c r="V879">
        <v>0.111348015302313</v>
      </c>
      <c r="W879">
        <v>0.68517337256976496</v>
      </c>
      <c r="X879">
        <v>0</v>
      </c>
      <c r="Y879">
        <v>0</v>
      </c>
    </row>
    <row r="880" spans="1:25" x14ac:dyDescent="0.2">
      <c r="A880" t="s">
        <v>3247</v>
      </c>
      <c r="B880" t="s">
        <v>3248</v>
      </c>
      <c r="C880" t="s">
        <v>3249</v>
      </c>
      <c r="D880" t="s">
        <v>3250</v>
      </c>
      <c r="E880" t="s">
        <v>3248</v>
      </c>
      <c r="F880" t="s">
        <v>28</v>
      </c>
      <c r="G880" t="s">
        <v>3248</v>
      </c>
      <c r="H880" t="str">
        <f>"apd-3"</f>
        <v>apd-3</v>
      </c>
      <c r="I880" t="s">
        <v>3250</v>
      </c>
      <c r="J880">
        <v>14.804446953769499</v>
      </c>
      <c r="K880">
        <v>14.781307622892299</v>
      </c>
      <c r="L880">
        <v>14.566734486242799</v>
      </c>
      <c r="M880">
        <v>14.816520269680501</v>
      </c>
      <c r="N880">
        <v>14.6681099416778</v>
      </c>
      <c r="O880">
        <v>15.002842291639499</v>
      </c>
      <c r="P880">
        <v>0.111661146697728</v>
      </c>
      <c r="Q880">
        <v>-0.20768799134959801</v>
      </c>
      <c r="R880">
        <v>0.43101028474505299</v>
      </c>
      <c r="S880">
        <v>14.326259455278301</v>
      </c>
      <c r="T880">
        <v>0.73805095810719601</v>
      </c>
      <c r="U880">
        <v>-6.60153564067154</v>
      </c>
      <c r="V880">
        <v>0.47061169759595001</v>
      </c>
      <c r="W880">
        <v>0.93056407806222996</v>
      </c>
      <c r="X880">
        <v>0</v>
      </c>
      <c r="Y880">
        <v>0</v>
      </c>
    </row>
    <row r="881" spans="1:25" x14ac:dyDescent="0.2">
      <c r="A881" t="s">
        <v>3251</v>
      </c>
      <c r="B881" t="s">
        <v>3252</v>
      </c>
      <c r="C881" t="s">
        <v>3253</v>
      </c>
      <c r="D881" t="s">
        <v>3254</v>
      </c>
      <c r="E881" t="s">
        <v>3252</v>
      </c>
      <c r="F881" t="s">
        <v>28</v>
      </c>
      <c r="G881" t="s">
        <v>3252</v>
      </c>
      <c r="H881" t="str">
        <f>"nstp-4"</f>
        <v>nstp-4</v>
      </c>
      <c r="I881" t="s">
        <v>3254</v>
      </c>
      <c r="J881">
        <v>16.305165545984199</v>
      </c>
      <c r="K881">
        <v>16.385502400099099</v>
      </c>
      <c r="L881">
        <v>16.471443702461102</v>
      </c>
      <c r="M881">
        <v>16.353878543870199</v>
      </c>
      <c r="N881">
        <v>16.250834090543002</v>
      </c>
      <c r="O881">
        <v>16.010343627981399</v>
      </c>
      <c r="P881">
        <v>-0.18235179538326199</v>
      </c>
      <c r="Q881">
        <v>-0.79534961286574501</v>
      </c>
      <c r="R881">
        <v>0.43064602209922098</v>
      </c>
      <c r="S881">
        <v>16.312265545065699</v>
      </c>
      <c r="T881">
        <v>-0.62523549973843495</v>
      </c>
      <c r="U881">
        <v>-6.6804565830675502</v>
      </c>
      <c r="V881">
        <v>0.53970852202730302</v>
      </c>
      <c r="W881">
        <v>0.94712119647965798</v>
      </c>
      <c r="X881">
        <v>0</v>
      </c>
      <c r="Y881">
        <v>0</v>
      </c>
    </row>
    <row r="882" spans="1:25" x14ac:dyDescent="0.2">
      <c r="A882" t="s">
        <v>3255</v>
      </c>
      <c r="B882" t="s">
        <v>3256</v>
      </c>
      <c r="C882" t="s">
        <v>3257</v>
      </c>
      <c r="D882" t="s">
        <v>3258</v>
      </c>
      <c r="E882" t="s">
        <v>3256</v>
      </c>
      <c r="F882" t="s">
        <v>28</v>
      </c>
      <c r="G882" t="s">
        <v>3256</v>
      </c>
      <c r="H882" t="str">
        <f>"K07E8.7"</f>
        <v>K07E8.7</v>
      </c>
      <c r="I882" t="s">
        <v>3258</v>
      </c>
      <c r="J882" t="s">
        <v>29</v>
      </c>
      <c r="K882" t="s">
        <v>29</v>
      </c>
      <c r="L882" t="s">
        <v>29</v>
      </c>
      <c r="M882" t="s">
        <v>29</v>
      </c>
      <c r="N882" t="s">
        <v>29</v>
      </c>
      <c r="O882">
        <v>12.8235644862398</v>
      </c>
      <c r="P882" t="s">
        <v>29</v>
      </c>
      <c r="Q882" t="s">
        <v>29</v>
      </c>
      <c r="R882" t="s">
        <v>29</v>
      </c>
      <c r="S882">
        <v>12.423583807310999</v>
      </c>
      <c r="T882" t="s">
        <v>29</v>
      </c>
      <c r="U882" t="s">
        <v>29</v>
      </c>
      <c r="V882" t="s">
        <v>29</v>
      </c>
      <c r="W882" t="s">
        <v>29</v>
      </c>
      <c r="X882" t="s">
        <v>29</v>
      </c>
      <c r="Y882" t="s">
        <v>29</v>
      </c>
    </row>
    <row r="883" spans="1:25" x14ac:dyDescent="0.2">
      <c r="A883" t="s">
        <v>3259</v>
      </c>
      <c r="B883" t="s">
        <v>3260</v>
      </c>
      <c r="C883" t="s">
        <v>3261</v>
      </c>
      <c r="D883" t="s">
        <v>1702</v>
      </c>
      <c r="E883" t="s">
        <v>3260</v>
      </c>
      <c r="F883" t="s">
        <v>28</v>
      </c>
      <c r="G883" t="s">
        <v>3260</v>
      </c>
      <c r="H883" t="str">
        <f>"alg-2"</f>
        <v>alg-2</v>
      </c>
      <c r="I883" t="s">
        <v>1702</v>
      </c>
      <c r="J883">
        <v>15.9593574015827</v>
      </c>
      <c r="K883">
        <v>16.3572868065488</v>
      </c>
      <c r="L883">
        <v>16.326762690959001</v>
      </c>
      <c r="M883">
        <v>16.044147256597999</v>
      </c>
      <c r="N883">
        <v>16.1223985071709</v>
      </c>
      <c r="O883">
        <v>16.243235004081502</v>
      </c>
      <c r="P883">
        <v>-7.7875377080015795E-2</v>
      </c>
      <c r="Q883">
        <v>-0.56514393969277898</v>
      </c>
      <c r="R883">
        <v>0.40939318553274701</v>
      </c>
      <c r="S883">
        <v>16.507291802606801</v>
      </c>
      <c r="T883">
        <v>-0.33591104427711999</v>
      </c>
      <c r="U883">
        <v>-6.8237198597073201</v>
      </c>
      <c r="V883">
        <v>0.74084438321889001</v>
      </c>
      <c r="W883">
        <v>0.99147544347995398</v>
      </c>
      <c r="X883">
        <v>0</v>
      </c>
      <c r="Y883">
        <v>0</v>
      </c>
    </row>
    <row r="884" spans="1:25" x14ac:dyDescent="0.2">
      <c r="A884" t="s">
        <v>3262</v>
      </c>
      <c r="B884" t="s">
        <v>3263</v>
      </c>
      <c r="C884" t="s">
        <v>14342</v>
      </c>
      <c r="D884" t="s">
        <v>3264</v>
      </c>
      <c r="E884" t="s">
        <v>3263</v>
      </c>
      <c r="F884" t="s">
        <v>28</v>
      </c>
      <c r="G884" t="s">
        <v>3263</v>
      </c>
      <c r="H884" t="str">
        <f>"T07D3.9"</f>
        <v>T07D3.9</v>
      </c>
      <c r="I884" t="s">
        <v>3264</v>
      </c>
      <c r="J884">
        <v>15.7374834040036</v>
      </c>
      <c r="K884">
        <v>15.5792232721403</v>
      </c>
      <c r="L884">
        <v>15.645189565291499</v>
      </c>
      <c r="M884">
        <v>15.563967177310399</v>
      </c>
      <c r="N884">
        <v>15.358506413653901</v>
      </c>
      <c r="O884">
        <v>15.241860783666599</v>
      </c>
      <c r="P884">
        <v>-0.26585395560149799</v>
      </c>
      <c r="Q884">
        <v>-0.78948515513858297</v>
      </c>
      <c r="R884">
        <v>0.25777724393558599</v>
      </c>
      <c r="S884">
        <v>15.224058973511299</v>
      </c>
      <c r="T884">
        <v>-1.0671122966014901</v>
      </c>
      <c r="U884">
        <v>-6.3058570415417403</v>
      </c>
      <c r="V884">
        <v>0.30010660845290599</v>
      </c>
      <c r="W884">
        <v>0.85855590823088301</v>
      </c>
      <c r="X884">
        <v>0</v>
      </c>
      <c r="Y884">
        <v>0</v>
      </c>
    </row>
    <row r="885" spans="1:25" x14ac:dyDescent="0.2">
      <c r="A885" t="s">
        <v>3265</v>
      </c>
      <c r="B885" t="s">
        <v>3266</v>
      </c>
      <c r="C885" t="s">
        <v>3267</v>
      </c>
      <c r="D885" t="s">
        <v>3268</v>
      </c>
      <c r="E885" t="s">
        <v>3266</v>
      </c>
      <c r="F885" t="s">
        <v>28</v>
      </c>
      <c r="G885" t="s">
        <v>3266</v>
      </c>
      <c r="H885" t="str">
        <f>"pat-6"</f>
        <v>pat-6</v>
      </c>
      <c r="I885" t="s">
        <v>3268</v>
      </c>
      <c r="J885" t="s">
        <v>29</v>
      </c>
      <c r="K885" t="s">
        <v>29</v>
      </c>
      <c r="L885">
        <v>13.1723134147524</v>
      </c>
      <c r="M885">
        <v>13.298944290944901</v>
      </c>
      <c r="N885">
        <v>12.8423714672769</v>
      </c>
      <c r="O885">
        <v>13.556375743940601</v>
      </c>
      <c r="P885">
        <v>6.0250419301723902E-2</v>
      </c>
      <c r="Q885">
        <v>-0.80744633854683601</v>
      </c>
      <c r="R885">
        <v>0.92794717715028396</v>
      </c>
      <c r="S885">
        <v>12.849343026135401</v>
      </c>
      <c r="T885">
        <v>0.150134099480704</v>
      </c>
      <c r="U885">
        <v>-6.5291584067794997</v>
      </c>
      <c r="V885">
        <v>0.88298171603432696</v>
      </c>
      <c r="W885">
        <v>0.99702926582654094</v>
      </c>
      <c r="X885">
        <v>0</v>
      </c>
      <c r="Y885">
        <v>0</v>
      </c>
    </row>
    <row r="886" spans="1:25" x14ac:dyDescent="0.2">
      <c r="A886" t="s">
        <v>3269</v>
      </c>
      <c r="B886" t="s">
        <v>3270</v>
      </c>
      <c r="C886" t="s">
        <v>3271</v>
      </c>
      <c r="D886" t="s">
        <v>915</v>
      </c>
      <c r="E886" t="s">
        <v>3270</v>
      </c>
      <c r="F886" t="s">
        <v>28</v>
      </c>
      <c r="G886" t="s">
        <v>3270</v>
      </c>
      <c r="H886" t="str">
        <f>"pqbp-1.1"</f>
        <v>pqbp-1.1</v>
      </c>
      <c r="I886" t="s">
        <v>915</v>
      </c>
      <c r="J886">
        <v>10.701830984787099</v>
      </c>
      <c r="K886">
        <v>10.466735318173299</v>
      </c>
      <c r="L886">
        <v>11.182171280730101</v>
      </c>
      <c r="M886">
        <v>11.351988160585901</v>
      </c>
      <c r="N886">
        <v>11.7707429537535</v>
      </c>
      <c r="O886" t="s">
        <v>29</v>
      </c>
      <c r="P886">
        <v>0.77778636260623002</v>
      </c>
      <c r="Q886">
        <v>0.26427492857477303</v>
      </c>
      <c r="R886">
        <v>1.29129779663769</v>
      </c>
      <c r="S886">
        <v>11.9576414999426</v>
      </c>
      <c r="T886">
        <v>3.2748955294241999</v>
      </c>
      <c r="U886">
        <v>-2.6410902900874502</v>
      </c>
      <c r="V886">
        <v>6.09053295294957E-3</v>
      </c>
      <c r="W886">
        <v>0.128286668781115</v>
      </c>
      <c r="X886">
        <v>0</v>
      </c>
      <c r="Y886">
        <v>0</v>
      </c>
    </row>
    <row r="887" spans="1:25" x14ac:dyDescent="0.2">
      <c r="A887" t="s">
        <v>3272</v>
      </c>
      <c r="B887" t="s">
        <v>3273</v>
      </c>
      <c r="C887" t="s">
        <v>3274</v>
      </c>
      <c r="D887" t="s">
        <v>3275</v>
      </c>
      <c r="E887" t="s">
        <v>3273</v>
      </c>
      <c r="F887" t="s">
        <v>28</v>
      </c>
      <c r="G887" t="s">
        <v>3273</v>
      </c>
      <c r="H887" t="str">
        <f>"daf-16"</f>
        <v>daf-16</v>
      </c>
      <c r="I887" t="s">
        <v>3275</v>
      </c>
      <c r="J887" t="s">
        <v>29</v>
      </c>
      <c r="K887" t="s">
        <v>29</v>
      </c>
      <c r="L887">
        <v>12.3587376103845</v>
      </c>
      <c r="M887">
        <v>14.3058759067279</v>
      </c>
      <c r="N887">
        <v>12.4906843460223</v>
      </c>
      <c r="O887" t="s">
        <v>29</v>
      </c>
      <c r="P887">
        <v>1.03954251599057</v>
      </c>
      <c r="Q887">
        <v>-0.67454785747006596</v>
      </c>
      <c r="R887">
        <v>2.7536328894512101</v>
      </c>
      <c r="S887">
        <v>14.131925508877099</v>
      </c>
      <c r="T887">
        <v>1.3363992818202399</v>
      </c>
      <c r="U887">
        <v>-5.6028928363237904</v>
      </c>
      <c r="V887">
        <v>0.208658173729172</v>
      </c>
      <c r="W887">
        <v>0.79180661593008295</v>
      </c>
      <c r="X887">
        <v>0</v>
      </c>
      <c r="Y887">
        <v>0</v>
      </c>
    </row>
    <row r="888" spans="1:25" x14ac:dyDescent="0.2">
      <c r="A888" t="s">
        <v>3276</v>
      </c>
      <c r="B888" t="s">
        <v>3277</v>
      </c>
      <c r="C888" t="s">
        <v>14343</v>
      </c>
      <c r="D888" t="s">
        <v>3278</v>
      </c>
      <c r="E888" t="s">
        <v>3277</v>
      </c>
      <c r="F888" t="s">
        <v>28</v>
      </c>
      <c r="G888" t="s">
        <v>3277</v>
      </c>
      <c r="H888" t="str">
        <f>"F10D2.10"</f>
        <v>F10D2.10</v>
      </c>
      <c r="I888" t="s">
        <v>3278</v>
      </c>
      <c r="J888">
        <v>12.396125451677699</v>
      </c>
      <c r="K888">
        <v>13.060572892747601</v>
      </c>
      <c r="L888">
        <v>12.917421468555499</v>
      </c>
      <c r="M888">
        <v>11.890441256156301</v>
      </c>
      <c r="N888">
        <v>13.0106308485803</v>
      </c>
      <c r="O888">
        <v>12.392946794496099</v>
      </c>
      <c r="P888">
        <v>-0.360033637916022</v>
      </c>
      <c r="Q888">
        <v>-1.10796454618229</v>
      </c>
      <c r="R888">
        <v>0.38789727035024901</v>
      </c>
      <c r="S888">
        <v>13.3054709814954</v>
      </c>
      <c r="T888">
        <v>-1.0160886754791201</v>
      </c>
      <c r="U888">
        <v>-6.3574074302211301</v>
      </c>
      <c r="V888">
        <v>0.32391816555280001</v>
      </c>
      <c r="W888">
        <v>0.86923772215581496</v>
      </c>
      <c r="X888">
        <v>0</v>
      </c>
      <c r="Y888">
        <v>0</v>
      </c>
    </row>
    <row r="889" spans="1:25" x14ac:dyDescent="0.2">
      <c r="A889" t="s">
        <v>3279</v>
      </c>
      <c r="B889" t="s">
        <v>3280</v>
      </c>
      <c r="C889" t="s">
        <v>3281</v>
      </c>
      <c r="D889" t="s">
        <v>3282</v>
      </c>
      <c r="E889" t="s">
        <v>3280</v>
      </c>
      <c r="F889" t="s">
        <v>28</v>
      </c>
      <c r="G889" t="s">
        <v>3280</v>
      </c>
      <c r="H889" t="str">
        <f>"asns-1"</f>
        <v>asns-1</v>
      </c>
      <c r="I889" t="s">
        <v>3282</v>
      </c>
      <c r="J889" t="s">
        <v>29</v>
      </c>
      <c r="K889" t="s">
        <v>29</v>
      </c>
      <c r="L889" t="s">
        <v>29</v>
      </c>
      <c r="M889" t="s">
        <v>29</v>
      </c>
      <c r="N889" t="s">
        <v>29</v>
      </c>
      <c r="O889" t="s">
        <v>29</v>
      </c>
      <c r="P889" t="s">
        <v>29</v>
      </c>
      <c r="Q889" t="s">
        <v>29</v>
      </c>
      <c r="R889" t="s">
        <v>29</v>
      </c>
      <c r="S889">
        <v>11.5845288361649</v>
      </c>
      <c r="T889" t="s">
        <v>29</v>
      </c>
      <c r="U889" t="s">
        <v>29</v>
      </c>
      <c r="V889" t="s">
        <v>29</v>
      </c>
      <c r="W889" t="s">
        <v>29</v>
      </c>
      <c r="X889" t="s">
        <v>29</v>
      </c>
      <c r="Y889" t="s">
        <v>29</v>
      </c>
    </row>
    <row r="890" spans="1:25" x14ac:dyDescent="0.2">
      <c r="A890" t="s">
        <v>3283</v>
      </c>
      <c r="B890" t="s">
        <v>3284</v>
      </c>
      <c r="C890" t="s">
        <v>3285</v>
      </c>
      <c r="D890" t="s">
        <v>3286</v>
      </c>
      <c r="E890" t="s">
        <v>3284</v>
      </c>
      <c r="F890" t="s">
        <v>28</v>
      </c>
      <c r="G890" t="s">
        <v>3284</v>
      </c>
      <c r="H890" t="str">
        <f>"F25G6.8"</f>
        <v>F25G6.8</v>
      </c>
      <c r="I890" t="s">
        <v>3286</v>
      </c>
      <c r="J890">
        <v>14.891172579747399</v>
      </c>
      <c r="K890">
        <v>14.974454442905101</v>
      </c>
      <c r="L890">
        <v>14.7282934597718</v>
      </c>
      <c r="M890">
        <v>14.717994920818301</v>
      </c>
      <c r="N890">
        <v>14.048902557358</v>
      </c>
      <c r="O890">
        <v>14.757933627914699</v>
      </c>
      <c r="P890">
        <v>-0.35636312544443199</v>
      </c>
      <c r="Q890">
        <v>-0.94783575414336296</v>
      </c>
      <c r="R890">
        <v>0.2351095032545</v>
      </c>
      <c r="S890">
        <v>14.2297170332667</v>
      </c>
      <c r="T890">
        <v>-1.26634086130082</v>
      </c>
      <c r="U890">
        <v>-6.0804070787617999</v>
      </c>
      <c r="V890">
        <v>0.22162759548460301</v>
      </c>
      <c r="W890">
        <v>0.79910794991631495</v>
      </c>
      <c r="X890">
        <v>0</v>
      </c>
      <c r="Y890">
        <v>0</v>
      </c>
    </row>
    <row r="891" spans="1:25" x14ac:dyDescent="0.2">
      <c r="A891" t="s">
        <v>3287</v>
      </c>
      <c r="B891" t="s">
        <v>3288</v>
      </c>
      <c r="C891" t="s">
        <v>14344</v>
      </c>
      <c r="D891" t="s">
        <v>3286</v>
      </c>
      <c r="E891" t="s">
        <v>3288</v>
      </c>
      <c r="F891" t="s">
        <v>28</v>
      </c>
      <c r="G891" t="s">
        <v>3288</v>
      </c>
      <c r="H891" t="str">
        <f>"F25G6.9"</f>
        <v>F25G6.9</v>
      </c>
      <c r="I891" t="s">
        <v>3286</v>
      </c>
      <c r="J891">
        <v>14.4631984946241</v>
      </c>
      <c r="K891">
        <v>14.3796091407422</v>
      </c>
      <c r="L891">
        <v>14.3635171366757</v>
      </c>
      <c r="M891">
        <v>14.357331261299001</v>
      </c>
      <c r="N891">
        <v>14.4630040276817</v>
      </c>
      <c r="O891">
        <v>14.3585700131626</v>
      </c>
      <c r="P891">
        <v>-9.1398232995345604E-3</v>
      </c>
      <c r="Q891">
        <v>-0.38455731484561001</v>
      </c>
      <c r="R891">
        <v>0.36627766824654101</v>
      </c>
      <c r="S891">
        <v>14.333903966064801</v>
      </c>
      <c r="T891">
        <v>-5.1170046216367997E-2</v>
      </c>
      <c r="U891">
        <v>-6.8811215802038097</v>
      </c>
      <c r="V891">
        <v>0.95975687391085296</v>
      </c>
      <c r="W891">
        <v>0.99968702248720698</v>
      </c>
      <c r="X891">
        <v>0</v>
      </c>
      <c r="Y891">
        <v>0</v>
      </c>
    </row>
    <row r="892" spans="1:25" x14ac:dyDescent="0.2">
      <c r="A892" t="s">
        <v>3289</v>
      </c>
      <c r="B892" t="s">
        <v>3290</v>
      </c>
      <c r="C892" t="s">
        <v>3291</v>
      </c>
      <c r="D892" t="s">
        <v>3292</v>
      </c>
      <c r="E892" t="s">
        <v>3290</v>
      </c>
      <c r="F892" t="s">
        <v>28</v>
      </c>
      <c r="G892" t="s">
        <v>3290</v>
      </c>
      <c r="H892" t="str">
        <f>"symk-1"</f>
        <v>symk-1</v>
      </c>
      <c r="I892" t="s">
        <v>3292</v>
      </c>
      <c r="J892">
        <v>12.5188134912261</v>
      </c>
      <c r="K892">
        <v>11.5361289286289</v>
      </c>
      <c r="L892">
        <v>12.218278634214499</v>
      </c>
      <c r="M892">
        <v>12.560249857863599</v>
      </c>
      <c r="N892">
        <v>12.350962149552601</v>
      </c>
      <c r="O892">
        <v>12.4752494025446</v>
      </c>
      <c r="P892">
        <v>0.371080118630497</v>
      </c>
      <c r="Q892">
        <v>-0.22403839858070801</v>
      </c>
      <c r="R892">
        <v>0.96619863584170096</v>
      </c>
      <c r="S892">
        <v>12.4201992362268</v>
      </c>
      <c r="T892">
        <v>1.3161768151262101</v>
      </c>
      <c r="U892">
        <v>-6.0185618892669703</v>
      </c>
      <c r="V892">
        <v>0.205693207887304</v>
      </c>
      <c r="W892">
        <v>0.79075284576134597</v>
      </c>
      <c r="X892">
        <v>0</v>
      </c>
      <c r="Y892">
        <v>0</v>
      </c>
    </row>
    <row r="893" spans="1:25" x14ac:dyDescent="0.2">
      <c r="A893" t="s">
        <v>3293</v>
      </c>
      <c r="B893" t="s">
        <v>3294</v>
      </c>
      <c r="C893" t="s">
        <v>3295</v>
      </c>
      <c r="D893" t="s">
        <v>3296</v>
      </c>
      <c r="E893" t="s">
        <v>3294</v>
      </c>
      <c r="F893" t="s">
        <v>28</v>
      </c>
      <c r="G893" t="s">
        <v>3294</v>
      </c>
      <c r="H893" t="str">
        <f>"sftb-2"</f>
        <v>sftb-2</v>
      </c>
      <c r="I893" t="s">
        <v>3296</v>
      </c>
      <c r="J893">
        <v>11.895747293608</v>
      </c>
      <c r="K893" t="s">
        <v>29</v>
      </c>
      <c r="L893">
        <v>12.4324382001455</v>
      </c>
      <c r="M893">
        <v>11.834706342957301</v>
      </c>
      <c r="N893">
        <v>12.0255764323659</v>
      </c>
      <c r="O893">
        <v>12.236325663855499</v>
      </c>
      <c r="P893">
        <v>-0.13188993381713801</v>
      </c>
      <c r="Q893">
        <v>-0.95529216299300701</v>
      </c>
      <c r="R893">
        <v>0.69151229535873004</v>
      </c>
      <c r="S893">
        <v>12.5587850483686</v>
      </c>
      <c r="T893">
        <v>-0.34378862634880902</v>
      </c>
      <c r="U893">
        <v>-6.70993856138859</v>
      </c>
      <c r="V893">
        <v>0.73615204179527505</v>
      </c>
      <c r="W893">
        <v>0.99093639417984203</v>
      </c>
      <c r="X893">
        <v>0</v>
      </c>
      <c r="Y893">
        <v>0</v>
      </c>
    </row>
    <row r="894" spans="1:25" x14ac:dyDescent="0.2">
      <c r="A894" t="s">
        <v>3297</v>
      </c>
      <c r="B894" t="s">
        <v>3298</v>
      </c>
      <c r="C894" t="s">
        <v>3299</v>
      </c>
      <c r="D894" t="s">
        <v>3300</v>
      </c>
      <c r="E894" t="s">
        <v>3298</v>
      </c>
      <c r="F894" t="s">
        <v>28</v>
      </c>
      <c r="G894" t="s">
        <v>3298</v>
      </c>
      <c r="H894" t="str">
        <f>"natc-1"</f>
        <v>natc-1</v>
      </c>
      <c r="I894" t="s">
        <v>3300</v>
      </c>
      <c r="J894">
        <v>12.171743768465101</v>
      </c>
      <c r="K894">
        <v>11.878978978488099</v>
      </c>
      <c r="L894">
        <v>12.415713199401001</v>
      </c>
      <c r="M894">
        <v>14.646792693225599</v>
      </c>
      <c r="N894">
        <v>14.566899082248501</v>
      </c>
      <c r="O894">
        <v>14.0639652216431</v>
      </c>
      <c r="P894">
        <v>2.27040701692105</v>
      </c>
      <c r="Q894">
        <v>1.3943190201020601</v>
      </c>
      <c r="R894">
        <v>3.1464950137400298</v>
      </c>
      <c r="S894">
        <v>14.216612206504299</v>
      </c>
      <c r="T894">
        <v>5.4468887277525404</v>
      </c>
      <c r="U894">
        <v>2.1927821250110502</v>
      </c>
      <c r="V894" s="2">
        <v>3.6393470765072299E-5</v>
      </c>
      <c r="W894">
        <v>2.1248679071256302E-3</v>
      </c>
      <c r="X894">
        <v>1</v>
      </c>
      <c r="Y894">
        <v>1</v>
      </c>
    </row>
    <row r="895" spans="1:25" x14ac:dyDescent="0.2">
      <c r="A895" t="s">
        <v>3301</v>
      </c>
      <c r="B895" t="s">
        <v>3302</v>
      </c>
      <c r="C895" t="s">
        <v>3303</v>
      </c>
      <c r="D895" t="s">
        <v>3304</v>
      </c>
      <c r="E895" t="s">
        <v>3302</v>
      </c>
      <c r="F895" t="s">
        <v>28</v>
      </c>
      <c r="G895" t="s">
        <v>3302</v>
      </c>
      <c r="H895" t="str">
        <f>"mrps-2"</f>
        <v>mrps-2</v>
      </c>
      <c r="I895" t="s">
        <v>3304</v>
      </c>
      <c r="J895">
        <v>13.9133608155838</v>
      </c>
      <c r="K895">
        <v>13.919798278212699</v>
      </c>
      <c r="L895">
        <v>13.7416953066947</v>
      </c>
      <c r="M895">
        <v>13.2582753069702</v>
      </c>
      <c r="N895">
        <v>13.4439497614787</v>
      </c>
      <c r="O895">
        <v>13.687702297388901</v>
      </c>
      <c r="P895">
        <v>-0.39497567821777602</v>
      </c>
      <c r="Q895">
        <v>-1.24412558440428</v>
      </c>
      <c r="R895">
        <v>0.45417422796872398</v>
      </c>
      <c r="S895">
        <v>13.260181271195901</v>
      </c>
      <c r="T895">
        <v>-0.98182932804309897</v>
      </c>
      <c r="U895">
        <v>-6.3912611078467698</v>
      </c>
      <c r="V895">
        <v>0.340035763739162</v>
      </c>
      <c r="W895">
        <v>0.875881595761556</v>
      </c>
      <c r="X895">
        <v>0</v>
      </c>
      <c r="Y895">
        <v>0</v>
      </c>
    </row>
    <row r="896" spans="1:25" x14ac:dyDescent="0.2">
      <c r="A896" t="s">
        <v>3305</v>
      </c>
      <c r="B896" t="s">
        <v>3306</v>
      </c>
      <c r="C896" t="s">
        <v>3307</v>
      </c>
      <c r="D896" t="s">
        <v>3308</v>
      </c>
      <c r="E896" t="s">
        <v>3306</v>
      </c>
      <c r="F896" t="s">
        <v>28</v>
      </c>
      <c r="G896" t="s">
        <v>3306</v>
      </c>
      <c r="H896" t="str">
        <f>"mrpl-4"</f>
        <v>mrpl-4</v>
      </c>
      <c r="I896" t="s">
        <v>3308</v>
      </c>
      <c r="J896">
        <v>13.884212091958799</v>
      </c>
      <c r="K896">
        <v>14.369450416202699</v>
      </c>
      <c r="L896">
        <v>14.158112841317701</v>
      </c>
      <c r="M896">
        <v>14.0536112663621</v>
      </c>
      <c r="N896">
        <v>13.8106579826916</v>
      </c>
      <c r="O896">
        <v>13.888199017339799</v>
      </c>
      <c r="P896">
        <v>-0.219769027695248</v>
      </c>
      <c r="Q896">
        <v>-1.1504562495367301</v>
      </c>
      <c r="R896">
        <v>0.71091819414623703</v>
      </c>
      <c r="S896">
        <v>14.0218213588383</v>
      </c>
      <c r="T896">
        <v>-0.49843984093261501</v>
      </c>
      <c r="U896">
        <v>-6.7532302311283896</v>
      </c>
      <c r="V896">
        <v>0.62460054782801999</v>
      </c>
      <c r="W896">
        <v>0.97279262440453396</v>
      </c>
      <c r="X896">
        <v>0</v>
      </c>
      <c r="Y896">
        <v>0</v>
      </c>
    </row>
    <row r="897" spans="1:25" x14ac:dyDescent="0.2">
      <c r="A897" t="s">
        <v>3309</v>
      </c>
      <c r="B897" t="s">
        <v>3310</v>
      </c>
      <c r="C897" t="s">
        <v>3311</v>
      </c>
      <c r="D897" t="s">
        <v>3312</v>
      </c>
      <c r="E897" t="s">
        <v>3310</v>
      </c>
      <c r="F897" t="s">
        <v>28</v>
      </c>
      <c r="G897" t="s">
        <v>3313</v>
      </c>
      <c r="H897" t="str">
        <f>"col-142"</f>
        <v>col-142</v>
      </c>
      <c r="I897" t="s">
        <v>3312</v>
      </c>
      <c r="J897">
        <v>12.7143818652285</v>
      </c>
      <c r="K897" t="s">
        <v>29</v>
      </c>
      <c r="L897">
        <v>13.6065787890244</v>
      </c>
      <c r="M897">
        <v>13.2389677691777</v>
      </c>
      <c r="N897">
        <v>13.9546746578027</v>
      </c>
      <c r="O897" t="s">
        <v>29</v>
      </c>
      <c r="P897">
        <v>0.43634088636371399</v>
      </c>
      <c r="Q897">
        <v>-0.50266220892070501</v>
      </c>
      <c r="R897">
        <v>1.3753439816481301</v>
      </c>
      <c r="S897">
        <v>13.8810268505958</v>
      </c>
      <c r="T897">
        <v>1.01345366633082</v>
      </c>
      <c r="U897">
        <v>-6.1569049048909896</v>
      </c>
      <c r="V897">
        <v>0.33101487148569297</v>
      </c>
      <c r="W897">
        <v>0.872914019258625</v>
      </c>
      <c r="X897">
        <v>0</v>
      </c>
      <c r="Y897">
        <v>0</v>
      </c>
    </row>
    <row r="898" spans="1:25" x14ac:dyDescent="0.2">
      <c r="A898" t="s">
        <v>3314</v>
      </c>
      <c r="B898" t="s">
        <v>3315</v>
      </c>
      <c r="C898" t="s">
        <v>3316</v>
      </c>
      <c r="D898" t="s">
        <v>3317</v>
      </c>
      <c r="E898" t="s">
        <v>3315</v>
      </c>
      <c r="F898" t="s">
        <v>28</v>
      </c>
      <c r="G898" t="s">
        <v>3315</v>
      </c>
      <c r="H898" t="str">
        <f>"hpo-8"</f>
        <v>hpo-8</v>
      </c>
      <c r="I898" t="s">
        <v>3317</v>
      </c>
      <c r="J898">
        <v>16.3952023806998</v>
      </c>
      <c r="K898">
        <v>16.6109537673441</v>
      </c>
      <c r="L898">
        <v>17.387090863166598</v>
      </c>
      <c r="M898">
        <v>16.537270946785601</v>
      </c>
      <c r="N898">
        <v>17.105276755320599</v>
      </c>
      <c r="O898">
        <v>16.649537120736401</v>
      </c>
      <c r="P898">
        <v>-3.3720729455936301E-2</v>
      </c>
      <c r="Q898">
        <v>-0.70516385194950804</v>
      </c>
      <c r="R898">
        <v>0.637722393037636</v>
      </c>
      <c r="S898">
        <v>16.980789765872998</v>
      </c>
      <c r="T898">
        <v>-0.105555348566242</v>
      </c>
      <c r="U898">
        <v>-6.8766697662553202</v>
      </c>
      <c r="V898">
        <v>0.91710935997064802</v>
      </c>
      <c r="W898">
        <v>0.99833354317360001</v>
      </c>
      <c r="X898">
        <v>0</v>
      </c>
      <c r="Y898">
        <v>0</v>
      </c>
    </row>
    <row r="899" spans="1:25" x14ac:dyDescent="0.2">
      <c r="A899" t="s">
        <v>3318</v>
      </c>
      <c r="B899" t="s">
        <v>3319</v>
      </c>
      <c r="C899" t="s">
        <v>14345</v>
      </c>
      <c r="D899" t="s">
        <v>3320</v>
      </c>
      <c r="E899" t="s">
        <v>3319</v>
      </c>
      <c r="F899" t="s">
        <v>28</v>
      </c>
      <c r="G899" t="s">
        <v>3319</v>
      </c>
      <c r="H899" t="str">
        <f>"F23F1.5"</f>
        <v>F23F1.5</v>
      </c>
      <c r="I899" t="s">
        <v>3320</v>
      </c>
      <c r="J899">
        <v>12.782495314955</v>
      </c>
      <c r="K899">
        <v>13.247449634403001</v>
      </c>
      <c r="L899" t="s">
        <v>29</v>
      </c>
      <c r="M899" t="s">
        <v>29</v>
      </c>
      <c r="N899">
        <v>13.0537630290316</v>
      </c>
      <c r="O899">
        <v>11.483337816338</v>
      </c>
      <c r="P899">
        <v>-0.74642205199419998</v>
      </c>
      <c r="Q899">
        <v>-1.8912267526043101</v>
      </c>
      <c r="R899">
        <v>0.39838264861591</v>
      </c>
      <c r="S899">
        <v>12.5168368534548</v>
      </c>
      <c r="T899">
        <v>-1.4097441529952099</v>
      </c>
      <c r="U899">
        <v>-5.7029384237071596</v>
      </c>
      <c r="V899">
        <v>0.18227566320062799</v>
      </c>
      <c r="W899">
        <v>0.78295732499061499</v>
      </c>
      <c r="X899">
        <v>0</v>
      </c>
      <c r="Y899">
        <v>0</v>
      </c>
    </row>
    <row r="900" spans="1:25" x14ac:dyDescent="0.2">
      <c r="A900" t="s">
        <v>3321</v>
      </c>
      <c r="B900" t="s">
        <v>3322</v>
      </c>
      <c r="C900" t="s">
        <v>3323</v>
      </c>
      <c r="D900" t="s">
        <v>3324</v>
      </c>
      <c r="E900" t="s">
        <v>3322</v>
      </c>
      <c r="F900" t="s">
        <v>28</v>
      </c>
      <c r="G900" t="s">
        <v>3322</v>
      </c>
      <c r="H900" t="str">
        <f>"rpt-4"</f>
        <v>rpt-4</v>
      </c>
      <c r="I900" t="s">
        <v>3324</v>
      </c>
      <c r="J900">
        <v>15.3106977399458</v>
      </c>
      <c r="K900">
        <v>15.226282450868201</v>
      </c>
      <c r="L900">
        <v>15.294524283193599</v>
      </c>
      <c r="M900">
        <v>15.007347927439801</v>
      </c>
      <c r="N900">
        <v>15.4004605761679</v>
      </c>
      <c r="O900">
        <v>15.312579724968099</v>
      </c>
      <c r="P900">
        <v>-3.7038748477227698E-2</v>
      </c>
      <c r="Q900">
        <v>-0.39833175212237099</v>
      </c>
      <c r="R900">
        <v>0.32425425516791601</v>
      </c>
      <c r="S900">
        <v>15.163354513156399</v>
      </c>
      <c r="T900">
        <v>-0.21547121727517199</v>
      </c>
      <c r="U900">
        <v>-6.8582628501417302</v>
      </c>
      <c r="V900">
        <v>0.83183671059731901</v>
      </c>
      <c r="W900">
        <v>0.99370240586176295</v>
      </c>
      <c r="X900">
        <v>0</v>
      </c>
      <c r="Y900">
        <v>0</v>
      </c>
    </row>
    <row r="901" spans="1:25" x14ac:dyDescent="0.2">
      <c r="A901" t="s">
        <v>3325</v>
      </c>
      <c r="B901" t="s">
        <v>3326</v>
      </c>
      <c r="C901" t="s">
        <v>3327</v>
      </c>
      <c r="D901" t="s">
        <v>3328</v>
      </c>
      <c r="E901" t="s">
        <v>3326</v>
      </c>
      <c r="F901" t="s">
        <v>28</v>
      </c>
      <c r="G901" t="s">
        <v>3326</v>
      </c>
      <c r="H901" t="str">
        <f>"gld-2"</f>
        <v>gld-2</v>
      </c>
      <c r="I901" t="s">
        <v>3328</v>
      </c>
      <c r="J901">
        <v>14.6241995885687</v>
      </c>
      <c r="K901">
        <v>14.513371305676801</v>
      </c>
      <c r="L901">
        <v>15.3573294181686</v>
      </c>
      <c r="M901">
        <v>14.653627852606</v>
      </c>
      <c r="N901">
        <v>15.252848207941</v>
      </c>
      <c r="O901">
        <v>14.585871018061001</v>
      </c>
      <c r="P901">
        <v>-8.5107793540295496E-4</v>
      </c>
      <c r="Q901">
        <v>-0.61153453999345497</v>
      </c>
      <c r="R901">
        <v>0.60983238412264895</v>
      </c>
      <c r="S901">
        <v>15.2377035536554</v>
      </c>
      <c r="T901">
        <v>-2.9291774730045902E-3</v>
      </c>
      <c r="U901">
        <v>-6.8824850913456004</v>
      </c>
      <c r="V901">
        <v>0.997695264988263</v>
      </c>
      <c r="W901">
        <v>0.99993024577696799</v>
      </c>
      <c r="X901">
        <v>0</v>
      </c>
      <c r="Y901">
        <v>0</v>
      </c>
    </row>
    <row r="902" spans="1:25" x14ac:dyDescent="0.2">
      <c r="A902" t="s">
        <v>3329</v>
      </c>
      <c r="B902" t="s">
        <v>3330</v>
      </c>
      <c r="C902" t="s">
        <v>3331</v>
      </c>
      <c r="D902" t="s">
        <v>2791</v>
      </c>
      <c r="E902" t="s">
        <v>3330</v>
      </c>
      <c r="F902" t="s">
        <v>28</v>
      </c>
      <c r="G902" t="s">
        <v>3330</v>
      </c>
      <c r="H902" t="str">
        <f>"C24H12.4"</f>
        <v>C24H12.4</v>
      </c>
      <c r="I902" t="s">
        <v>2791</v>
      </c>
      <c r="J902">
        <v>15.8855725652828</v>
      </c>
      <c r="K902">
        <v>15.9809155732787</v>
      </c>
      <c r="L902">
        <v>16.130757071422298</v>
      </c>
      <c r="M902">
        <v>16.1603168863417</v>
      </c>
      <c r="N902">
        <v>16.267397896964699</v>
      </c>
      <c r="O902">
        <v>15.9517623976288</v>
      </c>
      <c r="P902">
        <v>0.12741065698377699</v>
      </c>
      <c r="Q902">
        <v>-0.28550110341596202</v>
      </c>
      <c r="R902">
        <v>0.54032241738351605</v>
      </c>
      <c r="S902">
        <v>16.292277822433402</v>
      </c>
      <c r="T902">
        <v>0.648546344519214</v>
      </c>
      <c r="U902">
        <v>-6.6652896115599001</v>
      </c>
      <c r="V902">
        <v>0.52486751474348603</v>
      </c>
      <c r="W902">
        <v>0.94259531549477504</v>
      </c>
      <c r="X902">
        <v>0</v>
      </c>
      <c r="Y902">
        <v>0</v>
      </c>
    </row>
    <row r="903" spans="1:25" x14ac:dyDescent="0.2">
      <c r="A903" t="s">
        <v>3332</v>
      </c>
      <c r="B903" t="s">
        <v>3333</v>
      </c>
      <c r="C903" t="s">
        <v>3334</v>
      </c>
      <c r="D903" t="s">
        <v>3335</v>
      </c>
      <c r="E903" t="s">
        <v>3333</v>
      </c>
      <c r="F903" t="s">
        <v>28</v>
      </c>
      <c r="G903" t="s">
        <v>3333</v>
      </c>
      <c r="H903" t="str">
        <f>"best-3"</f>
        <v>best-3</v>
      </c>
      <c r="I903" t="s">
        <v>3335</v>
      </c>
      <c r="J903" t="s">
        <v>29</v>
      </c>
      <c r="K903" t="s">
        <v>29</v>
      </c>
      <c r="L903" t="s">
        <v>29</v>
      </c>
      <c r="M903">
        <v>10.610215475026401</v>
      </c>
      <c r="N903">
        <v>10.570887001386099</v>
      </c>
      <c r="O903">
        <v>11.445016617236501</v>
      </c>
      <c r="P903" t="s">
        <v>29</v>
      </c>
      <c r="Q903" t="s">
        <v>29</v>
      </c>
      <c r="R903" t="s">
        <v>29</v>
      </c>
      <c r="S903">
        <v>11.5006968717408</v>
      </c>
      <c r="T903" t="s">
        <v>29</v>
      </c>
      <c r="U903" t="s">
        <v>29</v>
      </c>
      <c r="V903" t="s">
        <v>29</v>
      </c>
      <c r="W903" t="s">
        <v>29</v>
      </c>
      <c r="X903" t="s">
        <v>29</v>
      </c>
      <c r="Y903" t="s">
        <v>29</v>
      </c>
    </row>
    <row r="904" spans="1:25" x14ac:dyDescent="0.2">
      <c r="A904" t="s">
        <v>3336</v>
      </c>
      <c r="B904" t="s">
        <v>3337</v>
      </c>
      <c r="C904" t="s">
        <v>3338</v>
      </c>
      <c r="D904" t="s">
        <v>3339</v>
      </c>
      <c r="E904" t="s">
        <v>3337</v>
      </c>
      <c r="F904" t="s">
        <v>28</v>
      </c>
      <c r="G904" t="s">
        <v>3337</v>
      </c>
      <c r="H904" t="str">
        <f>"fum-1"</f>
        <v>fum-1</v>
      </c>
      <c r="I904" t="s">
        <v>3339</v>
      </c>
      <c r="J904">
        <v>15.6620191093335</v>
      </c>
      <c r="K904">
        <v>15.7649200229574</v>
      </c>
      <c r="L904">
        <v>15.591915803227099</v>
      </c>
      <c r="M904">
        <v>15.029806899902599</v>
      </c>
      <c r="N904">
        <v>15.391780476367501</v>
      </c>
      <c r="O904">
        <v>15.6356570993538</v>
      </c>
      <c r="P904">
        <v>-0.32053681996470301</v>
      </c>
      <c r="Q904">
        <v>-0.82343175337154095</v>
      </c>
      <c r="R904">
        <v>0.18235811344213501</v>
      </c>
      <c r="S904">
        <v>14.8833211778687</v>
      </c>
      <c r="T904">
        <v>-1.3396556404058599</v>
      </c>
      <c r="U904">
        <v>-5.9893247484579399</v>
      </c>
      <c r="V904">
        <v>0.197123221550707</v>
      </c>
      <c r="W904">
        <v>0.79075284576134597</v>
      </c>
      <c r="X904">
        <v>0</v>
      </c>
      <c r="Y904">
        <v>0</v>
      </c>
    </row>
    <row r="905" spans="1:25" x14ac:dyDescent="0.2">
      <c r="A905" t="s">
        <v>3340</v>
      </c>
      <c r="B905" t="s">
        <v>3341</v>
      </c>
      <c r="C905" t="s">
        <v>3342</v>
      </c>
      <c r="D905" t="s">
        <v>3343</v>
      </c>
      <c r="E905" t="s">
        <v>3341</v>
      </c>
      <c r="F905" t="s">
        <v>28</v>
      </c>
      <c r="G905" t="s">
        <v>3341</v>
      </c>
      <c r="H905" t="str">
        <f>"rps-22"</f>
        <v>rps-22</v>
      </c>
      <c r="I905" t="s">
        <v>3343</v>
      </c>
      <c r="J905">
        <v>19.6725693913668</v>
      </c>
      <c r="K905">
        <v>19.732270558482</v>
      </c>
      <c r="L905">
        <v>19.8714267292501</v>
      </c>
      <c r="M905">
        <v>19.650651589736</v>
      </c>
      <c r="N905">
        <v>19.058769454990902</v>
      </c>
      <c r="O905">
        <v>19.470139549599999</v>
      </c>
      <c r="P905">
        <v>-0.36556869492397198</v>
      </c>
      <c r="Q905">
        <v>-0.91858800772415905</v>
      </c>
      <c r="R905">
        <v>0.187450617876214</v>
      </c>
      <c r="S905">
        <v>19.439289916259298</v>
      </c>
      <c r="T905">
        <v>-1.3893805448566099</v>
      </c>
      <c r="U905">
        <v>-5.9251737768194603</v>
      </c>
      <c r="V905">
        <v>0.181764015008506</v>
      </c>
      <c r="W905">
        <v>0.78295732499061499</v>
      </c>
      <c r="X905">
        <v>0</v>
      </c>
      <c r="Y905">
        <v>0</v>
      </c>
    </row>
    <row r="906" spans="1:25" x14ac:dyDescent="0.2">
      <c r="A906" t="s">
        <v>3344</v>
      </c>
      <c r="B906" t="s">
        <v>3345</v>
      </c>
      <c r="C906" t="s">
        <v>3346</v>
      </c>
      <c r="D906" t="s">
        <v>3347</v>
      </c>
      <c r="E906" t="s">
        <v>3345</v>
      </c>
      <c r="F906" t="s">
        <v>28</v>
      </c>
      <c r="G906" t="s">
        <v>3345</v>
      </c>
      <c r="H906" t="str">
        <f>"K10B4.3"</f>
        <v>K10B4.3</v>
      </c>
      <c r="I906" t="s">
        <v>3347</v>
      </c>
      <c r="J906" t="s">
        <v>29</v>
      </c>
      <c r="K906" t="s">
        <v>29</v>
      </c>
      <c r="L906" t="s">
        <v>29</v>
      </c>
      <c r="M906">
        <v>12.647445907309001</v>
      </c>
      <c r="N906" t="s">
        <v>29</v>
      </c>
      <c r="O906" t="s">
        <v>29</v>
      </c>
      <c r="P906" t="s">
        <v>29</v>
      </c>
      <c r="Q906" t="s">
        <v>29</v>
      </c>
      <c r="R906" t="s">
        <v>29</v>
      </c>
      <c r="S906">
        <v>12.193491952744401</v>
      </c>
      <c r="T906" t="s">
        <v>29</v>
      </c>
      <c r="U906" t="s">
        <v>29</v>
      </c>
      <c r="V906" t="s">
        <v>29</v>
      </c>
      <c r="W906" t="s">
        <v>29</v>
      </c>
      <c r="X906" t="s">
        <v>29</v>
      </c>
      <c r="Y906" t="s">
        <v>29</v>
      </c>
    </row>
    <row r="907" spans="1:25" x14ac:dyDescent="0.2">
      <c r="A907" t="s">
        <v>3348</v>
      </c>
      <c r="B907" t="s">
        <v>3349</v>
      </c>
      <c r="C907" t="s">
        <v>14346</v>
      </c>
      <c r="D907" t="s">
        <v>3350</v>
      </c>
      <c r="E907" t="s">
        <v>3349</v>
      </c>
      <c r="F907" t="s">
        <v>28</v>
      </c>
      <c r="G907" t="s">
        <v>3349</v>
      </c>
      <c r="H907" t="str">
        <f>"K10B4.1"</f>
        <v>K10B4.1</v>
      </c>
      <c r="I907" t="s">
        <v>3350</v>
      </c>
      <c r="J907">
        <v>12.4079972630356</v>
      </c>
      <c r="K907" t="s">
        <v>29</v>
      </c>
      <c r="L907">
        <v>11.816918673002199</v>
      </c>
      <c r="M907">
        <v>12.334198019609</v>
      </c>
      <c r="N907">
        <v>11.740265289424901</v>
      </c>
      <c r="O907">
        <v>12.0812247922361</v>
      </c>
      <c r="P907">
        <v>-6.0561934262230097E-2</v>
      </c>
      <c r="Q907">
        <v>-1.0682735560188701</v>
      </c>
      <c r="R907">
        <v>0.94714968749440998</v>
      </c>
      <c r="S907">
        <v>11.887856767416601</v>
      </c>
      <c r="T907">
        <v>-0.128989798115099</v>
      </c>
      <c r="U907">
        <v>-6.7634068220087196</v>
      </c>
      <c r="V907">
        <v>0.89921421083931397</v>
      </c>
      <c r="W907">
        <v>0.99833354317360001</v>
      </c>
      <c r="X907">
        <v>0</v>
      </c>
      <c r="Y907">
        <v>0</v>
      </c>
    </row>
    <row r="908" spans="1:25" x14ac:dyDescent="0.2">
      <c r="A908" t="s">
        <v>3351</v>
      </c>
      <c r="B908" t="s">
        <v>3352</v>
      </c>
      <c r="C908" t="s">
        <v>3353</v>
      </c>
      <c r="D908" t="s">
        <v>3354</v>
      </c>
      <c r="E908" t="s">
        <v>3352</v>
      </c>
      <c r="F908" t="s">
        <v>28</v>
      </c>
      <c r="G908" t="s">
        <v>3352</v>
      </c>
      <c r="H908" t="str">
        <f>"tomm-22"</f>
        <v>tomm-22</v>
      </c>
      <c r="I908" t="s">
        <v>3354</v>
      </c>
      <c r="J908">
        <v>14.9153380345308</v>
      </c>
      <c r="K908">
        <v>15.213542550529001</v>
      </c>
      <c r="L908">
        <v>14.9989813709586</v>
      </c>
      <c r="M908">
        <v>15.077109096646501</v>
      </c>
      <c r="N908">
        <v>14.5802138902654</v>
      </c>
      <c r="O908">
        <v>15.0612932028379</v>
      </c>
      <c r="P908">
        <v>-0.13641525542292299</v>
      </c>
      <c r="Q908">
        <v>-0.54187061962535898</v>
      </c>
      <c r="R908">
        <v>0.26904010877951301</v>
      </c>
      <c r="S908">
        <v>14.5748270318718</v>
      </c>
      <c r="T908">
        <v>-0.71362395457819905</v>
      </c>
      <c r="U908">
        <v>-6.61887544663358</v>
      </c>
      <c r="V908">
        <v>0.48580685369821602</v>
      </c>
      <c r="W908">
        <v>0.93985684368537403</v>
      </c>
      <c r="X908">
        <v>0</v>
      </c>
      <c r="Y908">
        <v>0</v>
      </c>
    </row>
    <row r="909" spans="1:25" x14ac:dyDescent="0.2">
      <c r="A909" t="s">
        <v>3355</v>
      </c>
      <c r="B909" t="s">
        <v>3356</v>
      </c>
      <c r="C909" t="s">
        <v>3357</v>
      </c>
      <c r="D909" t="s">
        <v>3358</v>
      </c>
      <c r="E909" t="s">
        <v>3356</v>
      </c>
      <c r="F909" t="s">
        <v>28</v>
      </c>
      <c r="G909" t="s">
        <v>3356</v>
      </c>
      <c r="H909" t="str">
        <f>"C10E2.2"</f>
        <v>C10E2.2</v>
      </c>
      <c r="I909" t="s">
        <v>3358</v>
      </c>
      <c r="J909" t="s">
        <v>29</v>
      </c>
      <c r="K909" t="s">
        <v>29</v>
      </c>
      <c r="L909" t="s">
        <v>29</v>
      </c>
      <c r="M909">
        <v>14.928355065894699</v>
      </c>
      <c r="N909">
        <v>14.427974500224</v>
      </c>
      <c r="O909" t="s">
        <v>29</v>
      </c>
      <c r="P909" t="s">
        <v>29</v>
      </c>
      <c r="Q909" t="s">
        <v>29</v>
      </c>
      <c r="R909" t="s">
        <v>29</v>
      </c>
      <c r="S909">
        <v>15.1398042754565</v>
      </c>
      <c r="T909" t="s">
        <v>29</v>
      </c>
      <c r="U909" t="s">
        <v>29</v>
      </c>
      <c r="V909" t="s">
        <v>29</v>
      </c>
      <c r="W909" t="s">
        <v>29</v>
      </c>
      <c r="X909" t="s">
        <v>29</v>
      </c>
      <c r="Y909" t="s">
        <v>29</v>
      </c>
    </row>
    <row r="910" spans="1:25" x14ac:dyDescent="0.2">
      <c r="A910" t="s">
        <v>3359</v>
      </c>
      <c r="B910" t="s">
        <v>3360</v>
      </c>
      <c r="C910" t="s">
        <v>3361</v>
      </c>
      <c r="D910" t="s">
        <v>107</v>
      </c>
      <c r="E910" t="s">
        <v>3360</v>
      </c>
      <c r="F910" t="s">
        <v>28</v>
      </c>
      <c r="G910" t="s">
        <v>3360</v>
      </c>
      <c r="H910" t="str">
        <f>"mct-6"</f>
        <v>mct-6</v>
      </c>
      <c r="I910" t="s">
        <v>107</v>
      </c>
      <c r="J910">
        <v>17.254341550967499</v>
      </c>
      <c r="K910">
        <v>17.474127154324801</v>
      </c>
      <c r="L910">
        <v>17.528706772735301</v>
      </c>
      <c r="M910">
        <v>17.659844352148799</v>
      </c>
      <c r="N910">
        <v>17.578219918496401</v>
      </c>
      <c r="O910">
        <v>17.4100119590532</v>
      </c>
      <c r="P910">
        <v>0.130300250556935</v>
      </c>
      <c r="Q910">
        <v>-0.34570438830459899</v>
      </c>
      <c r="R910">
        <v>0.60630488941847005</v>
      </c>
      <c r="S910">
        <v>17.372231246919601</v>
      </c>
      <c r="T910">
        <v>0.575342662588473</v>
      </c>
      <c r="U910">
        <v>-6.71112916333895</v>
      </c>
      <c r="V910">
        <v>0.572223739011539</v>
      </c>
      <c r="W910">
        <v>0.96052030798546795</v>
      </c>
      <c r="X910">
        <v>0</v>
      </c>
      <c r="Y910">
        <v>0</v>
      </c>
    </row>
    <row r="911" spans="1:25" x14ac:dyDescent="0.2">
      <c r="A911" t="s">
        <v>3362</v>
      </c>
      <c r="B911" t="s">
        <v>3363</v>
      </c>
      <c r="C911" t="s">
        <v>3364</v>
      </c>
      <c r="D911" t="s">
        <v>599</v>
      </c>
      <c r="E911" t="s">
        <v>3363</v>
      </c>
      <c r="F911" t="s">
        <v>28</v>
      </c>
      <c r="G911" t="s">
        <v>3363</v>
      </c>
      <c r="H911" t="str">
        <f>"srp-2"</f>
        <v>srp-2</v>
      </c>
      <c r="I911" t="s">
        <v>599</v>
      </c>
      <c r="J911" t="s">
        <v>29</v>
      </c>
      <c r="K911" t="s">
        <v>29</v>
      </c>
      <c r="L911" t="s">
        <v>29</v>
      </c>
      <c r="M911">
        <v>13.0031361122553</v>
      </c>
      <c r="N911">
        <v>13.1079266970492</v>
      </c>
      <c r="O911">
        <v>12.302555254604499</v>
      </c>
      <c r="P911" t="s">
        <v>29</v>
      </c>
      <c r="Q911" t="s">
        <v>29</v>
      </c>
      <c r="R911" t="s">
        <v>29</v>
      </c>
      <c r="S911">
        <v>12.7246519165575</v>
      </c>
      <c r="T911" t="s">
        <v>29</v>
      </c>
      <c r="U911" t="s">
        <v>29</v>
      </c>
      <c r="V911" t="s">
        <v>29</v>
      </c>
      <c r="W911" t="s">
        <v>29</v>
      </c>
      <c r="X911" t="s">
        <v>29</v>
      </c>
      <c r="Y911" t="s">
        <v>29</v>
      </c>
    </row>
    <row r="912" spans="1:25" x14ac:dyDescent="0.2">
      <c r="A912" t="s">
        <v>3365</v>
      </c>
      <c r="B912" t="s">
        <v>3366</v>
      </c>
      <c r="C912" t="s">
        <v>3367</v>
      </c>
      <c r="D912" t="s">
        <v>3368</v>
      </c>
      <c r="E912" t="s">
        <v>3366</v>
      </c>
      <c r="F912" t="s">
        <v>28</v>
      </c>
      <c r="G912" t="s">
        <v>3366</v>
      </c>
      <c r="H912" t="str">
        <f>"F52H2.6"</f>
        <v>F52H2.6</v>
      </c>
      <c r="I912" t="s">
        <v>3368</v>
      </c>
      <c r="J912">
        <v>13.4317721060496</v>
      </c>
      <c r="K912">
        <v>13.818368354032801</v>
      </c>
      <c r="L912">
        <v>13.6411701832403</v>
      </c>
      <c r="M912">
        <v>12.7671715943595</v>
      </c>
      <c r="N912">
        <v>13.4374607127723</v>
      </c>
      <c r="O912">
        <v>13.770357961523599</v>
      </c>
      <c r="P912">
        <v>-0.30544012488916999</v>
      </c>
      <c r="Q912">
        <v>-0.79321530174833599</v>
      </c>
      <c r="R912">
        <v>0.182335051969996</v>
      </c>
      <c r="S912">
        <v>13.485959054550399</v>
      </c>
      <c r="T912">
        <v>-1.31613035797929</v>
      </c>
      <c r="U912">
        <v>-6.0190109683955999</v>
      </c>
      <c r="V912">
        <v>0.20474096948610099</v>
      </c>
      <c r="W912">
        <v>0.79075284576134597</v>
      </c>
      <c r="X912">
        <v>0</v>
      </c>
      <c r="Y912">
        <v>0</v>
      </c>
    </row>
    <row r="913" spans="1:25" x14ac:dyDescent="0.2">
      <c r="A913" t="s">
        <v>3369</v>
      </c>
      <c r="B913" t="s">
        <v>3370</v>
      </c>
      <c r="C913" t="s">
        <v>3371</v>
      </c>
      <c r="D913" t="s">
        <v>375</v>
      </c>
      <c r="E913" t="s">
        <v>3370</v>
      </c>
      <c r="F913" t="s">
        <v>28</v>
      </c>
      <c r="G913" t="s">
        <v>3370</v>
      </c>
      <c r="H913" t="str">
        <f>"ccd-5"</f>
        <v>ccd-5</v>
      </c>
      <c r="I913" t="s">
        <v>375</v>
      </c>
      <c r="J913">
        <v>9.3355976935722005</v>
      </c>
      <c r="K913" t="s">
        <v>29</v>
      </c>
      <c r="L913" t="s">
        <v>29</v>
      </c>
      <c r="M913" t="s">
        <v>29</v>
      </c>
      <c r="N913" t="s">
        <v>29</v>
      </c>
      <c r="O913" t="s">
        <v>29</v>
      </c>
      <c r="P913" t="s">
        <v>29</v>
      </c>
      <c r="Q913" t="s">
        <v>29</v>
      </c>
      <c r="R913" t="s">
        <v>29</v>
      </c>
      <c r="S913">
        <v>9.8670460533954891</v>
      </c>
      <c r="T913" t="s">
        <v>29</v>
      </c>
      <c r="U913" t="s">
        <v>29</v>
      </c>
      <c r="V913" t="s">
        <v>29</v>
      </c>
      <c r="W913" t="s">
        <v>29</v>
      </c>
      <c r="X913" t="s">
        <v>29</v>
      </c>
      <c r="Y913" t="s">
        <v>29</v>
      </c>
    </row>
    <row r="914" spans="1:25" x14ac:dyDescent="0.2">
      <c r="A914" t="s">
        <v>3372</v>
      </c>
      <c r="B914" t="s">
        <v>3373</v>
      </c>
      <c r="C914" t="s">
        <v>3374</v>
      </c>
      <c r="D914" t="s">
        <v>3375</v>
      </c>
      <c r="E914" t="s">
        <v>3373</v>
      </c>
      <c r="F914" t="s">
        <v>28</v>
      </c>
      <c r="G914" t="s">
        <v>3373</v>
      </c>
      <c r="H914" t="str">
        <f>"cpsf-2"</f>
        <v>cpsf-2</v>
      </c>
      <c r="I914" t="s">
        <v>3375</v>
      </c>
      <c r="J914">
        <v>12.561288661552901</v>
      </c>
      <c r="K914">
        <v>13.066589383389299</v>
      </c>
      <c r="L914">
        <v>12.883418428404701</v>
      </c>
      <c r="M914">
        <v>12.4428583669883</v>
      </c>
      <c r="N914">
        <v>12.9375082205278</v>
      </c>
      <c r="O914">
        <v>12.560214215889101</v>
      </c>
      <c r="P914">
        <v>-0.190238556647218</v>
      </c>
      <c r="Q914">
        <v>-0.77338265980765197</v>
      </c>
      <c r="R914">
        <v>0.39290554651321602</v>
      </c>
      <c r="S914">
        <v>13.033097993464001</v>
      </c>
      <c r="T914">
        <v>-0.68860895643299602</v>
      </c>
      <c r="U914">
        <v>-6.63741321642933</v>
      </c>
      <c r="V914">
        <v>0.50041669952480905</v>
      </c>
      <c r="W914">
        <v>0.94062983959761604</v>
      </c>
      <c r="X914">
        <v>0</v>
      </c>
      <c r="Y914">
        <v>0</v>
      </c>
    </row>
    <row r="915" spans="1:25" x14ac:dyDescent="0.2">
      <c r="A915" t="s">
        <v>3376</v>
      </c>
      <c r="B915" t="s">
        <v>3377</v>
      </c>
      <c r="C915" t="s">
        <v>3378</v>
      </c>
      <c r="D915" t="s">
        <v>3379</v>
      </c>
      <c r="E915" t="s">
        <v>3377</v>
      </c>
      <c r="F915" t="s">
        <v>28</v>
      </c>
      <c r="G915" t="s">
        <v>3377</v>
      </c>
      <c r="H915" t="str">
        <f>"mes-2"</f>
        <v>mes-2</v>
      </c>
      <c r="I915" t="s">
        <v>3379</v>
      </c>
      <c r="J915">
        <v>12.6141820198863</v>
      </c>
      <c r="K915">
        <v>12.2745225729547</v>
      </c>
      <c r="L915">
        <v>12.2856939963582</v>
      </c>
      <c r="M915">
        <v>12.232166813092601</v>
      </c>
      <c r="N915">
        <v>12.8799924113993</v>
      </c>
      <c r="O915">
        <v>11.8199721679142</v>
      </c>
      <c r="P915">
        <v>-8.0755732264353994E-2</v>
      </c>
      <c r="Q915">
        <v>-0.89075700808066405</v>
      </c>
      <c r="R915">
        <v>0.72924554355195603</v>
      </c>
      <c r="S915">
        <v>12.682765116725299</v>
      </c>
      <c r="T915">
        <v>-0.21044454354370601</v>
      </c>
      <c r="U915">
        <v>-6.8593079463992197</v>
      </c>
      <c r="V915">
        <v>0.83583784922068105</v>
      </c>
      <c r="W915">
        <v>0.99370971747667503</v>
      </c>
      <c r="X915">
        <v>0</v>
      </c>
      <c r="Y915">
        <v>0</v>
      </c>
    </row>
    <row r="916" spans="1:25" x14ac:dyDescent="0.2">
      <c r="A916" t="s">
        <v>3380</v>
      </c>
      <c r="B916" t="s">
        <v>3381</v>
      </c>
      <c r="C916" t="s">
        <v>3382</v>
      </c>
      <c r="D916" t="s">
        <v>3383</v>
      </c>
      <c r="E916" t="s">
        <v>3381</v>
      </c>
      <c r="F916" t="s">
        <v>28</v>
      </c>
      <c r="G916" t="s">
        <v>3381</v>
      </c>
      <c r="H916" t="str">
        <f>"sel-9"</f>
        <v>sel-9</v>
      </c>
      <c r="I916" t="s">
        <v>3383</v>
      </c>
      <c r="J916">
        <v>12.9024188668217</v>
      </c>
      <c r="K916" t="s">
        <v>29</v>
      </c>
      <c r="L916">
        <v>12.598233766716699</v>
      </c>
      <c r="M916">
        <v>12.2146771236993</v>
      </c>
      <c r="N916" t="s">
        <v>29</v>
      </c>
      <c r="O916">
        <v>13.2801400178615</v>
      </c>
      <c r="P916">
        <v>-2.9177459887907999E-3</v>
      </c>
      <c r="Q916">
        <v>-0.719217438881536</v>
      </c>
      <c r="R916">
        <v>0.71338194690395496</v>
      </c>
      <c r="S916">
        <v>12.4969351363955</v>
      </c>
      <c r="T916">
        <v>-8.80724261589526E-3</v>
      </c>
      <c r="U916">
        <v>-6.6822864987649204</v>
      </c>
      <c r="V916">
        <v>0.99310772542190995</v>
      </c>
      <c r="W916">
        <v>0.99968702248720698</v>
      </c>
      <c r="X916">
        <v>0</v>
      </c>
      <c r="Y916">
        <v>0</v>
      </c>
    </row>
    <row r="917" spans="1:25" x14ac:dyDescent="0.2">
      <c r="A917" t="s">
        <v>3384</v>
      </c>
      <c r="B917" t="s">
        <v>3385</v>
      </c>
      <c r="C917" t="s">
        <v>3386</v>
      </c>
      <c r="D917" t="s">
        <v>214</v>
      </c>
      <c r="E917" t="s">
        <v>3385</v>
      </c>
      <c r="F917" t="s">
        <v>28</v>
      </c>
      <c r="G917" t="s">
        <v>3385</v>
      </c>
      <c r="H917" t="str">
        <f>"BE10.1"</f>
        <v>BE10.1</v>
      </c>
      <c r="I917" t="s">
        <v>214</v>
      </c>
      <c r="J917">
        <v>11.649008876448599</v>
      </c>
      <c r="K917" t="s">
        <v>29</v>
      </c>
      <c r="L917" t="s">
        <v>29</v>
      </c>
      <c r="M917" t="s">
        <v>29</v>
      </c>
      <c r="N917">
        <v>13.0432835837334</v>
      </c>
      <c r="O917" t="s">
        <v>29</v>
      </c>
      <c r="P917">
        <v>1.39427470728485</v>
      </c>
      <c r="Q917">
        <v>0.48415177908444001</v>
      </c>
      <c r="R917">
        <v>2.3043976354852602</v>
      </c>
      <c r="S917">
        <v>12.4036166376036</v>
      </c>
      <c r="T917">
        <v>3.63372291708985</v>
      </c>
      <c r="U917">
        <v>-2.34273111924835</v>
      </c>
      <c r="V917">
        <v>8.5770152789681892E-3</v>
      </c>
      <c r="W917">
        <v>0.16218356163867101</v>
      </c>
      <c r="X917">
        <v>1</v>
      </c>
      <c r="Y917">
        <v>0</v>
      </c>
    </row>
    <row r="918" spans="1:25" x14ac:dyDescent="0.2">
      <c r="A918" t="s">
        <v>3387</v>
      </c>
      <c r="B918" t="s">
        <v>3388</v>
      </c>
      <c r="C918" t="s">
        <v>3389</v>
      </c>
      <c r="D918" t="s">
        <v>3390</v>
      </c>
      <c r="E918" t="s">
        <v>3388</v>
      </c>
      <c r="F918" t="s">
        <v>28</v>
      </c>
      <c r="G918" t="s">
        <v>3388</v>
      </c>
      <c r="H918" t="str">
        <f>"rpl-38"</f>
        <v>rpl-38</v>
      </c>
      <c r="I918" t="s">
        <v>3390</v>
      </c>
      <c r="J918">
        <v>15.3152417455972</v>
      </c>
      <c r="K918">
        <v>15.372770553226699</v>
      </c>
      <c r="L918">
        <v>15.0905689373164</v>
      </c>
      <c r="M918">
        <v>15.056383035142799</v>
      </c>
      <c r="N918">
        <v>14.861909957135699</v>
      </c>
      <c r="O918">
        <v>14.7810059205763</v>
      </c>
      <c r="P918">
        <v>-0.35976077442850002</v>
      </c>
      <c r="Q918">
        <v>-1.10120169539743</v>
      </c>
      <c r="R918">
        <v>0.38168014654043397</v>
      </c>
      <c r="S918">
        <v>14.838494064745801</v>
      </c>
      <c r="T918">
        <v>-1.0291692168331901</v>
      </c>
      <c r="U918">
        <v>-6.34333940487031</v>
      </c>
      <c r="V918">
        <v>0.31880738001734998</v>
      </c>
      <c r="W918">
        <v>0.86570305652650403</v>
      </c>
      <c r="X918">
        <v>0</v>
      </c>
      <c r="Y918">
        <v>0</v>
      </c>
    </row>
    <row r="919" spans="1:25" x14ac:dyDescent="0.2">
      <c r="A919" t="s">
        <v>3391</v>
      </c>
      <c r="B919" t="s">
        <v>3392</v>
      </c>
      <c r="C919" t="s">
        <v>3393</v>
      </c>
      <c r="D919" t="s">
        <v>3358</v>
      </c>
      <c r="E919" t="s">
        <v>3392</v>
      </c>
      <c r="F919" t="s">
        <v>28</v>
      </c>
      <c r="G919" t="s">
        <v>3392</v>
      </c>
      <c r="H919" t="str">
        <f>"fbxa-156"</f>
        <v>fbxa-156</v>
      </c>
      <c r="I919" t="s">
        <v>3358</v>
      </c>
      <c r="J919">
        <v>12.4052733147751</v>
      </c>
      <c r="K919">
        <v>12.196030336227899</v>
      </c>
      <c r="L919">
        <v>11.3137116063397</v>
      </c>
      <c r="M919">
        <v>11.619435564484</v>
      </c>
      <c r="N919">
        <v>11.817194102529299</v>
      </c>
      <c r="O919">
        <v>12.072641160554101</v>
      </c>
      <c r="P919">
        <v>-0.13524814325842799</v>
      </c>
      <c r="Q919">
        <v>-0.75134654815498803</v>
      </c>
      <c r="R919">
        <v>0.48085026163813199</v>
      </c>
      <c r="S919">
        <v>11.2148390610531</v>
      </c>
      <c r="T919">
        <v>-0.46819075427879198</v>
      </c>
      <c r="U919">
        <v>-6.7675879610002996</v>
      </c>
      <c r="V919">
        <v>0.64642582810886295</v>
      </c>
      <c r="W919">
        <v>0.97875575793735003</v>
      </c>
      <c r="X919">
        <v>0</v>
      </c>
      <c r="Y919">
        <v>0</v>
      </c>
    </row>
    <row r="920" spans="1:25" x14ac:dyDescent="0.2">
      <c r="A920" t="s">
        <v>3394</v>
      </c>
      <c r="B920" t="s">
        <v>3395</v>
      </c>
      <c r="C920" t="s">
        <v>3396</v>
      </c>
      <c r="D920" t="s">
        <v>3397</v>
      </c>
      <c r="E920" t="s">
        <v>3395</v>
      </c>
      <c r="F920" t="s">
        <v>28</v>
      </c>
      <c r="G920" t="s">
        <v>3395</v>
      </c>
      <c r="H920" t="str">
        <f>"pro-2"</f>
        <v>pro-2</v>
      </c>
      <c r="I920" t="s">
        <v>3397</v>
      </c>
      <c r="J920">
        <v>13.0117565373108</v>
      </c>
      <c r="K920">
        <v>13.0866861863348</v>
      </c>
      <c r="L920">
        <v>13.058124847988401</v>
      </c>
      <c r="M920">
        <v>13.1523885414814</v>
      </c>
      <c r="N920">
        <v>13.520859908442899</v>
      </c>
      <c r="O920">
        <v>12.6475082800869</v>
      </c>
      <c r="P920">
        <v>5.47297194590914E-2</v>
      </c>
      <c r="Q920">
        <v>-0.41889586890480102</v>
      </c>
      <c r="R920">
        <v>0.52835530782298401</v>
      </c>
      <c r="S920">
        <v>13.0979041357415</v>
      </c>
      <c r="T920">
        <v>0.24287374939538001</v>
      </c>
      <c r="U920">
        <v>-6.8517198421219003</v>
      </c>
      <c r="V920">
        <v>0.81086523502149299</v>
      </c>
      <c r="W920">
        <v>0.99278624068726296</v>
      </c>
      <c r="X920">
        <v>0</v>
      </c>
      <c r="Y920">
        <v>0</v>
      </c>
    </row>
    <row r="921" spans="1:25" x14ac:dyDescent="0.2">
      <c r="A921" t="s">
        <v>3398</v>
      </c>
      <c r="B921" t="s">
        <v>3399</v>
      </c>
      <c r="C921" t="s">
        <v>3400</v>
      </c>
      <c r="D921" t="s">
        <v>3401</v>
      </c>
      <c r="E921" t="s">
        <v>3399</v>
      </c>
      <c r="F921" t="s">
        <v>28</v>
      </c>
      <c r="G921" t="s">
        <v>3399</v>
      </c>
      <c r="H921" t="str">
        <f>"mau-2"</f>
        <v>mau-2</v>
      </c>
      <c r="I921" t="s">
        <v>3401</v>
      </c>
      <c r="J921">
        <v>11.223008173712101</v>
      </c>
      <c r="K921" t="s">
        <v>29</v>
      </c>
      <c r="L921">
        <v>11.6141561868771</v>
      </c>
      <c r="M921">
        <v>10.966264007609199</v>
      </c>
      <c r="N921" t="s">
        <v>29</v>
      </c>
      <c r="O921" t="s">
        <v>29</v>
      </c>
      <c r="P921">
        <v>-0.452318172685439</v>
      </c>
      <c r="Q921">
        <v>-1.6867957667987199</v>
      </c>
      <c r="R921">
        <v>0.78215942142783801</v>
      </c>
      <c r="S921">
        <v>11.557028474163101</v>
      </c>
      <c r="T921">
        <v>-0.817575211201226</v>
      </c>
      <c r="U921">
        <v>-6.1357528068320004</v>
      </c>
      <c r="V921">
        <v>0.43284494309888799</v>
      </c>
      <c r="W921">
        <v>0.91512503332874395</v>
      </c>
      <c r="X921">
        <v>0</v>
      </c>
      <c r="Y921">
        <v>0</v>
      </c>
    </row>
    <row r="922" spans="1:25" x14ac:dyDescent="0.2">
      <c r="A922" t="s">
        <v>3402</v>
      </c>
      <c r="B922" t="s">
        <v>3403</v>
      </c>
      <c r="C922" t="s">
        <v>3404</v>
      </c>
      <c r="D922" t="s">
        <v>3405</v>
      </c>
      <c r="E922" t="s">
        <v>3403</v>
      </c>
      <c r="F922" t="s">
        <v>28</v>
      </c>
      <c r="G922" t="s">
        <v>3403</v>
      </c>
      <c r="H922" t="str">
        <f>"spr-4"</f>
        <v>spr-4</v>
      </c>
      <c r="I922" t="s">
        <v>3405</v>
      </c>
      <c r="J922" t="s">
        <v>29</v>
      </c>
      <c r="K922" t="s">
        <v>29</v>
      </c>
      <c r="L922" t="s">
        <v>29</v>
      </c>
      <c r="M922" t="s">
        <v>29</v>
      </c>
      <c r="N922" t="s">
        <v>29</v>
      </c>
      <c r="O922" t="s">
        <v>29</v>
      </c>
      <c r="P922" t="s">
        <v>29</v>
      </c>
      <c r="Q922" t="s">
        <v>29</v>
      </c>
      <c r="R922" t="s">
        <v>29</v>
      </c>
      <c r="S922">
        <v>11.212905107110201</v>
      </c>
      <c r="T922" t="s">
        <v>29</v>
      </c>
      <c r="U922" t="s">
        <v>29</v>
      </c>
      <c r="V922" t="s">
        <v>29</v>
      </c>
      <c r="W922" t="s">
        <v>29</v>
      </c>
      <c r="X922" t="s">
        <v>29</v>
      </c>
      <c r="Y922" t="s">
        <v>29</v>
      </c>
    </row>
    <row r="923" spans="1:25" x14ac:dyDescent="0.2">
      <c r="A923" t="s">
        <v>3406</v>
      </c>
      <c r="B923" t="s">
        <v>3407</v>
      </c>
      <c r="C923" t="s">
        <v>3408</v>
      </c>
      <c r="D923" t="s">
        <v>3409</v>
      </c>
      <c r="E923" t="s">
        <v>3407</v>
      </c>
      <c r="F923" t="s">
        <v>28</v>
      </c>
      <c r="G923" t="s">
        <v>3407</v>
      </c>
      <c r="H923" t="str">
        <f>"lin-10"</f>
        <v>lin-10</v>
      </c>
      <c r="I923" t="s">
        <v>3409</v>
      </c>
      <c r="J923">
        <v>12.782114446374001</v>
      </c>
      <c r="K923">
        <v>12.7042992747591</v>
      </c>
      <c r="L923">
        <v>11.513155972431001</v>
      </c>
      <c r="M923">
        <v>11.2727066958732</v>
      </c>
      <c r="N923">
        <v>13.1095046662315</v>
      </c>
      <c r="O923">
        <v>12.523167370909499</v>
      </c>
      <c r="P923">
        <v>-3.1396986849969701E-2</v>
      </c>
      <c r="Q923">
        <v>-1.04617321369659</v>
      </c>
      <c r="R923">
        <v>0.983379239996653</v>
      </c>
      <c r="S923">
        <v>11.9005596584652</v>
      </c>
      <c r="T923">
        <v>-6.5987137994605205E-2</v>
      </c>
      <c r="U923">
        <v>-6.8801905478240304</v>
      </c>
      <c r="V923">
        <v>0.94826560609900001</v>
      </c>
      <c r="W923">
        <v>0.99968702248720698</v>
      </c>
      <c r="X923">
        <v>0</v>
      </c>
      <c r="Y923">
        <v>0</v>
      </c>
    </row>
    <row r="924" spans="1:25" x14ac:dyDescent="0.2">
      <c r="A924" t="s">
        <v>3410</v>
      </c>
      <c r="B924" t="s">
        <v>3411</v>
      </c>
      <c r="C924" t="s">
        <v>3412</v>
      </c>
      <c r="D924" t="s">
        <v>3413</v>
      </c>
      <c r="E924" t="s">
        <v>3411</v>
      </c>
      <c r="F924" t="s">
        <v>28</v>
      </c>
      <c r="G924" t="s">
        <v>3411</v>
      </c>
      <c r="H924" t="str">
        <f>"pas-1"</f>
        <v>pas-1</v>
      </c>
      <c r="I924" t="s">
        <v>3413</v>
      </c>
      <c r="J924" t="s">
        <v>29</v>
      </c>
      <c r="K924">
        <v>11.985320603706599</v>
      </c>
      <c r="L924">
        <v>11.6023865336201</v>
      </c>
      <c r="M924" t="s">
        <v>29</v>
      </c>
      <c r="N924" t="s">
        <v>29</v>
      </c>
      <c r="O924">
        <v>13.2592450619121</v>
      </c>
      <c r="P924">
        <v>1.46539149324875</v>
      </c>
      <c r="Q924">
        <v>0.36364393574582199</v>
      </c>
      <c r="R924">
        <v>2.56713905075167</v>
      </c>
      <c r="S924">
        <v>12.651646319388</v>
      </c>
      <c r="T924">
        <v>2.9678261703783502</v>
      </c>
      <c r="U924">
        <v>-3.1251777611047</v>
      </c>
      <c r="V924">
        <v>1.42534203546854E-2</v>
      </c>
      <c r="W924">
        <v>0.22805472567496601</v>
      </c>
      <c r="X924">
        <v>1</v>
      </c>
      <c r="Y924">
        <v>0</v>
      </c>
    </row>
    <row r="925" spans="1:25" x14ac:dyDescent="0.2">
      <c r="A925" t="s">
        <v>3414</v>
      </c>
      <c r="B925" t="s">
        <v>3415</v>
      </c>
      <c r="C925" t="s">
        <v>3416</v>
      </c>
      <c r="D925" t="s">
        <v>3417</v>
      </c>
      <c r="E925" t="s">
        <v>3415</v>
      </c>
      <c r="F925" t="s">
        <v>28</v>
      </c>
      <c r="G925" t="s">
        <v>3415</v>
      </c>
      <c r="H925" t="str">
        <f>"eat-16"</f>
        <v>eat-16</v>
      </c>
      <c r="I925" t="s">
        <v>3417</v>
      </c>
      <c r="J925">
        <v>14.016473109987199</v>
      </c>
      <c r="K925">
        <v>14.013117328891999</v>
      </c>
      <c r="L925">
        <v>13.4147323534148</v>
      </c>
      <c r="M925">
        <v>13.5140966769461</v>
      </c>
      <c r="N925">
        <v>13.026400931286499</v>
      </c>
      <c r="O925">
        <v>13.2233922396758</v>
      </c>
      <c r="P925">
        <v>-0.560144314795195</v>
      </c>
      <c r="Q925">
        <v>-1.12149771494227</v>
      </c>
      <c r="R925">
        <v>1.20908535188013E-3</v>
      </c>
      <c r="S925">
        <v>13.250669960964499</v>
      </c>
      <c r="T925">
        <v>-2.1281644329536298</v>
      </c>
      <c r="U925">
        <v>-4.7973954601529396</v>
      </c>
      <c r="V925">
        <v>5.0435245737980298E-2</v>
      </c>
      <c r="W925">
        <v>0.489354221037896</v>
      </c>
      <c r="X925">
        <v>0</v>
      </c>
      <c r="Y925">
        <v>0</v>
      </c>
    </row>
    <row r="926" spans="1:25" x14ac:dyDescent="0.2">
      <c r="A926" t="s">
        <v>3418</v>
      </c>
      <c r="B926" t="s">
        <v>3419</v>
      </c>
      <c r="C926" t="s">
        <v>3420</v>
      </c>
      <c r="D926" t="s">
        <v>111</v>
      </c>
      <c r="E926" t="s">
        <v>3419</v>
      </c>
      <c r="F926" t="s">
        <v>28</v>
      </c>
      <c r="G926" t="s">
        <v>3419</v>
      </c>
      <c r="H926" t="str">
        <f>"ocrl-1"</f>
        <v>ocrl-1</v>
      </c>
      <c r="I926" t="s">
        <v>111</v>
      </c>
      <c r="J926">
        <v>11.1820653582246</v>
      </c>
      <c r="K926" t="s">
        <v>29</v>
      </c>
      <c r="L926">
        <v>12.071970744323499</v>
      </c>
      <c r="M926" t="s">
        <v>29</v>
      </c>
      <c r="N926">
        <v>12.1654215854185</v>
      </c>
      <c r="O926">
        <v>11.206443560845701</v>
      </c>
      <c r="P926">
        <v>5.8914521858081798E-2</v>
      </c>
      <c r="Q926">
        <v>-0.88977122713117296</v>
      </c>
      <c r="R926">
        <v>1.0076002708473399</v>
      </c>
      <c r="S926">
        <v>11.402543659282999</v>
      </c>
      <c r="T926">
        <v>0.13328825229508001</v>
      </c>
      <c r="U926">
        <v>-6.6729580564111499</v>
      </c>
      <c r="V926">
        <v>0.89587653440100501</v>
      </c>
      <c r="W926">
        <v>0.99833354317360001</v>
      </c>
      <c r="X926">
        <v>0</v>
      </c>
      <c r="Y926">
        <v>0</v>
      </c>
    </row>
    <row r="927" spans="1:25" x14ac:dyDescent="0.2">
      <c r="A927" t="s">
        <v>3421</v>
      </c>
      <c r="B927" t="s">
        <v>3422</v>
      </c>
      <c r="C927" t="s">
        <v>3423</v>
      </c>
      <c r="D927" t="s">
        <v>2542</v>
      </c>
      <c r="E927" t="s">
        <v>3422</v>
      </c>
      <c r="F927" t="s">
        <v>28</v>
      </c>
      <c r="G927" t="s">
        <v>3422</v>
      </c>
      <c r="H927" t="str">
        <f>"rap-2"</f>
        <v>rap-2</v>
      </c>
      <c r="I927" t="s">
        <v>2542</v>
      </c>
      <c r="J927">
        <v>13.7146240900649</v>
      </c>
      <c r="K927">
        <v>13.803049184303999</v>
      </c>
      <c r="L927">
        <v>12.9049005632098</v>
      </c>
      <c r="M927">
        <v>12.908584046177699</v>
      </c>
      <c r="N927">
        <v>13.353917999762899</v>
      </c>
      <c r="O927">
        <v>13.714005241712</v>
      </c>
      <c r="P927">
        <v>-0.14868884997539</v>
      </c>
      <c r="Q927">
        <v>-0.96395645217174497</v>
      </c>
      <c r="R927">
        <v>0.66657875222096497</v>
      </c>
      <c r="S927">
        <v>12.8182768256699</v>
      </c>
      <c r="T927">
        <v>-0.38683676963082098</v>
      </c>
      <c r="U927">
        <v>-6.8041528685275203</v>
      </c>
      <c r="V927">
        <v>0.70400691056320297</v>
      </c>
      <c r="W927">
        <v>0.98642420921484297</v>
      </c>
      <c r="X927">
        <v>0</v>
      </c>
      <c r="Y927">
        <v>0</v>
      </c>
    </row>
    <row r="928" spans="1:25" x14ac:dyDescent="0.2">
      <c r="A928" t="s">
        <v>3424</v>
      </c>
      <c r="B928" t="s">
        <v>3425</v>
      </c>
      <c r="C928" t="s">
        <v>3426</v>
      </c>
      <c r="D928" t="s">
        <v>3427</v>
      </c>
      <c r="E928" t="s">
        <v>3425</v>
      </c>
      <c r="F928" t="s">
        <v>28</v>
      </c>
      <c r="G928" t="s">
        <v>3425</v>
      </c>
      <c r="H928" t="str">
        <f>"C25D7.10"</f>
        <v>C25D7.10</v>
      </c>
      <c r="I928" t="s">
        <v>3427</v>
      </c>
      <c r="J928">
        <v>14.0966888376011</v>
      </c>
      <c r="K928">
        <v>13.993154252472699</v>
      </c>
      <c r="L928">
        <v>14.210128684617599</v>
      </c>
      <c r="M928">
        <v>14.416014874116501</v>
      </c>
      <c r="N928">
        <v>14.6812151476112</v>
      </c>
      <c r="O928">
        <v>14.6210660204802</v>
      </c>
      <c r="P928">
        <v>0.47277475583884998</v>
      </c>
      <c r="Q928">
        <v>-7.1253366828836401E-2</v>
      </c>
      <c r="R928">
        <v>1.0168028785065399</v>
      </c>
      <c r="S928">
        <v>14.529528244229301</v>
      </c>
      <c r="T928">
        <v>1.85342294166511</v>
      </c>
      <c r="U928">
        <v>-5.25207233010895</v>
      </c>
      <c r="V928">
        <v>8.3734517826662899E-2</v>
      </c>
      <c r="W928">
        <v>0.60844645267933295</v>
      </c>
      <c r="X928">
        <v>0</v>
      </c>
      <c r="Y928">
        <v>0</v>
      </c>
    </row>
    <row r="929" spans="1:25" x14ac:dyDescent="0.2">
      <c r="A929" t="s">
        <v>3428</v>
      </c>
      <c r="B929" t="s">
        <v>3429</v>
      </c>
      <c r="C929" t="s">
        <v>3430</v>
      </c>
      <c r="D929" t="s">
        <v>3431</v>
      </c>
      <c r="E929" t="s">
        <v>3429</v>
      </c>
      <c r="F929" t="s">
        <v>28</v>
      </c>
      <c r="G929" t="s">
        <v>3429</v>
      </c>
      <c r="H929" t="str">
        <f>"C27H6.8"</f>
        <v>C27H6.8</v>
      </c>
      <c r="I929" t="s">
        <v>3431</v>
      </c>
      <c r="J929" t="s">
        <v>29</v>
      </c>
      <c r="K929" t="s">
        <v>29</v>
      </c>
      <c r="L929" t="s">
        <v>29</v>
      </c>
      <c r="M929" t="s">
        <v>29</v>
      </c>
      <c r="N929" t="s">
        <v>29</v>
      </c>
      <c r="O929" t="s">
        <v>29</v>
      </c>
      <c r="P929" t="s">
        <v>29</v>
      </c>
      <c r="Q929" t="s">
        <v>29</v>
      </c>
      <c r="R929" t="s">
        <v>29</v>
      </c>
      <c r="S929">
        <v>12.116750619163399</v>
      </c>
      <c r="T929" t="s">
        <v>29</v>
      </c>
      <c r="U929" t="s">
        <v>29</v>
      </c>
      <c r="V929" t="s">
        <v>29</v>
      </c>
      <c r="W929" t="s">
        <v>29</v>
      </c>
      <c r="X929" t="s">
        <v>29</v>
      </c>
      <c r="Y929" t="s">
        <v>29</v>
      </c>
    </row>
    <row r="930" spans="1:25" x14ac:dyDescent="0.2">
      <c r="A930" t="s">
        <v>3432</v>
      </c>
      <c r="B930" t="s">
        <v>3433</v>
      </c>
      <c r="C930" t="s">
        <v>3434</v>
      </c>
      <c r="D930" t="s">
        <v>3435</v>
      </c>
      <c r="E930" t="s">
        <v>3433</v>
      </c>
      <c r="F930" t="s">
        <v>28</v>
      </c>
      <c r="G930" t="s">
        <v>3433</v>
      </c>
      <c r="H930" t="str">
        <f>"ruvb-1"</f>
        <v>ruvb-1</v>
      </c>
      <c r="I930" t="s">
        <v>3435</v>
      </c>
      <c r="J930">
        <v>12.848224461684</v>
      </c>
      <c r="K930">
        <v>12.8529067949921</v>
      </c>
      <c r="L930">
        <v>12.9140423568033</v>
      </c>
      <c r="M930">
        <v>13.2077396680817</v>
      </c>
      <c r="N930">
        <v>13.1008135776675</v>
      </c>
      <c r="O930">
        <v>12.862188980353499</v>
      </c>
      <c r="P930">
        <v>0.18518953754110301</v>
      </c>
      <c r="Q930">
        <v>-0.39266193983298298</v>
      </c>
      <c r="R930">
        <v>0.76304101491518805</v>
      </c>
      <c r="S930">
        <v>13.4371153319693</v>
      </c>
      <c r="T930">
        <v>0.67358550408954598</v>
      </c>
      <c r="U930">
        <v>-6.6484090068106099</v>
      </c>
      <c r="V930">
        <v>0.50918210908748596</v>
      </c>
      <c r="W930">
        <v>0.94062983959761604</v>
      </c>
      <c r="X930">
        <v>0</v>
      </c>
      <c r="Y930">
        <v>0</v>
      </c>
    </row>
    <row r="931" spans="1:25" x14ac:dyDescent="0.2">
      <c r="A931" t="s">
        <v>3436</v>
      </c>
      <c r="B931" t="s">
        <v>3437</v>
      </c>
      <c r="C931" t="s">
        <v>3438</v>
      </c>
      <c r="D931" t="s">
        <v>3439</v>
      </c>
      <c r="E931" t="s">
        <v>3437</v>
      </c>
      <c r="F931" t="s">
        <v>28</v>
      </c>
      <c r="G931" t="s">
        <v>3437</v>
      </c>
      <c r="H931" t="str">
        <f>"tofu-1"</f>
        <v>tofu-1</v>
      </c>
      <c r="I931" t="s">
        <v>3439</v>
      </c>
      <c r="J931" t="s">
        <v>29</v>
      </c>
      <c r="K931" t="s">
        <v>29</v>
      </c>
      <c r="L931" t="s">
        <v>29</v>
      </c>
      <c r="M931" t="s">
        <v>29</v>
      </c>
      <c r="N931" t="s">
        <v>29</v>
      </c>
      <c r="O931" t="s">
        <v>29</v>
      </c>
      <c r="P931" t="s">
        <v>29</v>
      </c>
      <c r="Q931" t="s">
        <v>29</v>
      </c>
      <c r="R931" t="s">
        <v>29</v>
      </c>
      <c r="S931">
        <v>11.751646781920099</v>
      </c>
      <c r="T931" t="s">
        <v>29</v>
      </c>
      <c r="U931" t="s">
        <v>29</v>
      </c>
      <c r="V931" t="s">
        <v>29</v>
      </c>
      <c r="W931" t="s">
        <v>29</v>
      </c>
      <c r="X931" t="s">
        <v>29</v>
      </c>
      <c r="Y931" t="s">
        <v>29</v>
      </c>
    </row>
    <row r="932" spans="1:25" x14ac:dyDescent="0.2">
      <c r="A932" t="s">
        <v>3440</v>
      </c>
      <c r="B932" t="s">
        <v>3441</v>
      </c>
      <c r="C932" t="s">
        <v>3442</v>
      </c>
      <c r="D932" t="s">
        <v>3443</v>
      </c>
      <c r="E932" t="s">
        <v>3441</v>
      </c>
      <c r="F932" t="s">
        <v>28</v>
      </c>
      <c r="G932" t="s">
        <v>3441</v>
      </c>
      <c r="H932" t="str">
        <f>"C28D4.5"</f>
        <v>C28D4.5</v>
      </c>
      <c r="I932" t="s">
        <v>3443</v>
      </c>
      <c r="J932">
        <v>12.8471914261486</v>
      </c>
      <c r="K932" t="s">
        <v>29</v>
      </c>
      <c r="L932">
        <v>13.225908679684901</v>
      </c>
      <c r="M932">
        <v>12.197969568599801</v>
      </c>
      <c r="N932">
        <v>13.252674756354599</v>
      </c>
      <c r="O932">
        <v>12.6187085829458</v>
      </c>
      <c r="P932">
        <v>-0.34676575028338302</v>
      </c>
      <c r="Q932">
        <v>-1.2272177277787899</v>
      </c>
      <c r="R932">
        <v>0.53368622721202297</v>
      </c>
      <c r="S932">
        <v>12.647126222754499</v>
      </c>
      <c r="T932">
        <v>-0.84532247447391395</v>
      </c>
      <c r="U932">
        <v>-6.4036506635161201</v>
      </c>
      <c r="V932">
        <v>0.41225082002379398</v>
      </c>
      <c r="W932">
        <v>0.91512503332874395</v>
      </c>
      <c r="X932">
        <v>0</v>
      </c>
      <c r="Y932">
        <v>0</v>
      </c>
    </row>
    <row r="933" spans="1:25" x14ac:dyDescent="0.2">
      <c r="A933" t="s">
        <v>3444</v>
      </c>
      <c r="B933" t="s">
        <v>3445</v>
      </c>
      <c r="C933" t="s">
        <v>3446</v>
      </c>
      <c r="D933" t="s">
        <v>3447</v>
      </c>
      <c r="E933" t="s">
        <v>3445</v>
      </c>
      <c r="F933" t="s">
        <v>28</v>
      </c>
      <c r="G933" t="s">
        <v>3445</v>
      </c>
      <c r="H933" t="str">
        <f>"cka-1"</f>
        <v>cka-1</v>
      </c>
      <c r="I933" t="s">
        <v>3447</v>
      </c>
      <c r="J933">
        <v>13.7216429563242</v>
      </c>
      <c r="K933">
        <v>13.5566923624342</v>
      </c>
      <c r="L933">
        <v>13.974643554917201</v>
      </c>
      <c r="M933">
        <v>13.718284095776299</v>
      </c>
      <c r="N933">
        <v>13.9892014676023</v>
      </c>
      <c r="O933">
        <v>13.3421205028827</v>
      </c>
      <c r="P933">
        <v>-6.7790935804767499E-2</v>
      </c>
      <c r="Q933">
        <v>-0.54144659770978198</v>
      </c>
      <c r="R933">
        <v>0.40586472610024699</v>
      </c>
      <c r="S933">
        <v>13.575035776360201</v>
      </c>
      <c r="T933">
        <v>-0.30210569285066702</v>
      </c>
      <c r="U933">
        <v>-6.8347829844960204</v>
      </c>
      <c r="V933">
        <v>0.76625882874284601</v>
      </c>
      <c r="W933">
        <v>0.99278624068726296</v>
      </c>
      <c r="X933">
        <v>0</v>
      </c>
      <c r="Y933">
        <v>0</v>
      </c>
    </row>
    <row r="934" spans="1:25" x14ac:dyDescent="0.2">
      <c r="A934" t="s">
        <v>3448</v>
      </c>
      <c r="B934" t="s">
        <v>3449</v>
      </c>
      <c r="C934" t="s">
        <v>3450</v>
      </c>
      <c r="D934" t="s">
        <v>3451</v>
      </c>
      <c r="E934" t="s">
        <v>3449</v>
      </c>
      <c r="F934" t="s">
        <v>28</v>
      </c>
      <c r="G934" t="s">
        <v>3449</v>
      </c>
      <c r="H934" t="str">
        <f>"ech-1.1"</f>
        <v>ech-1.1</v>
      </c>
      <c r="I934" t="s">
        <v>3451</v>
      </c>
      <c r="J934">
        <v>13.273828498303301</v>
      </c>
      <c r="K934">
        <v>13.1973258456997</v>
      </c>
      <c r="L934">
        <v>12.880880123295199</v>
      </c>
      <c r="M934">
        <v>12.440861012314899</v>
      </c>
      <c r="N934">
        <v>13.048716884366801</v>
      </c>
      <c r="O934">
        <v>12.9391356278425</v>
      </c>
      <c r="P934">
        <v>-0.30777364759133102</v>
      </c>
      <c r="Q934">
        <v>-0.83526630072774499</v>
      </c>
      <c r="R934">
        <v>0.219719005545083</v>
      </c>
      <c r="S934">
        <v>13.2627606801368</v>
      </c>
      <c r="T934">
        <v>-1.2315868114339801</v>
      </c>
      <c r="U934">
        <v>-6.1215112086691104</v>
      </c>
      <c r="V934">
        <v>0.234971459807781</v>
      </c>
      <c r="W934">
        <v>0.82055091106012101</v>
      </c>
      <c r="X934">
        <v>0</v>
      </c>
      <c r="Y934">
        <v>0</v>
      </c>
    </row>
    <row r="935" spans="1:25" x14ac:dyDescent="0.2">
      <c r="A935" t="s">
        <v>3452</v>
      </c>
      <c r="B935" t="s">
        <v>3453</v>
      </c>
      <c r="C935" t="s">
        <v>3454</v>
      </c>
      <c r="D935" t="s">
        <v>3455</v>
      </c>
      <c r="E935" t="s">
        <v>3453</v>
      </c>
      <c r="F935" t="s">
        <v>28</v>
      </c>
      <c r="G935" t="s">
        <v>3453</v>
      </c>
      <c r="H935" t="str">
        <f>"C29F7.2"</f>
        <v>C29F7.2</v>
      </c>
      <c r="I935" t="s">
        <v>3455</v>
      </c>
      <c r="J935">
        <v>13.335705015118201</v>
      </c>
      <c r="K935">
        <v>13.729750690992001</v>
      </c>
      <c r="L935">
        <v>13.341549064692</v>
      </c>
      <c r="M935">
        <v>13.9392220240409</v>
      </c>
      <c r="N935">
        <v>14.0321450596945</v>
      </c>
      <c r="O935">
        <v>14.204342567802399</v>
      </c>
      <c r="P935">
        <v>0.58956829357853202</v>
      </c>
      <c r="Q935">
        <v>3.1804393625403798E-2</v>
      </c>
      <c r="R935">
        <v>1.14733219353166</v>
      </c>
      <c r="S935">
        <v>13.612411307212801</v>
      </c>
      <c r="T935">
        <v>2.231175490774</v>
      </c>
      <c r="U935">
        <v>-4.5990073011283599</v>
      </c>
      <c r="V935">
        <v>3.95144406899266E-2</v>
      </c>
      <c r="W935">
        <v>0.43116084792156001</v>
      </c>
      <c r="X935">
        <v>0</v>
      </c>
      <c r="Y935">
        <v>0</v>
      </c>
    </row>
    <row r="936" spans="1:25" x14ac:dyDescent="0.2">
      <c r="A936" t="s">
        <v>3456</v>
      </c>
      <c r="B936" t="s">
        <v>3457</v>
      </c>
      <c r="C936" t="s">
        <v>3458</v>
      </c>
      <c r="D936" t="s">
        <v>3459</v>
      </c>
      <c r="E936" t="s">
        <v>3457</v>
      </c>
      <c r="F936" t="s">
        <v>28</v>
      </c>
      <c r="G936" t="s">
        <v>3457</v>
      </c>
      <c r="H936" t="str">
        <f>"C29F7.3"</f>
        <v>C29F7.3</v>
      </c>
      <c r="I936" t="s">
        <v>3459</v>
      </c>
      <c r="J936">
        <v>13.3997683500922</v>
      </c>
      <c r="K936">
        <v>12.284811224796099</v>
      </c>
      <c r="L936">
        <v>13.2622093948406</v>
      </c>
      <c r="M936">
        <v>13.6400703844368</v>
      </c>
      <c r="N936">
        <v>13.571252816084099</v>
      </c>
      <c r="O936">
        <v>13.046670901528699</v>
      </c>
      <c r="P936">
        <v>0.43706837744018201</v>
      </c>
      <c r="Q936">
        <v>-0.177354267085888</v>
      </c>
      <c r="R936">
        <v>1.0514910219662501</v>
      </c>
      <c r="S936">
        <v>13.0375264848395</v>
      </c>
      <c r="T936">
        <v>1.49511529965352</v>
      </c>
      <c r="U936">
        <v>-5.7825989822227797</v>
      </c>
      <c r="V936">
        <v>0.15231056692676101</v>
      </c>
      <c r="W936">
        <v>0.74633248813841202</v>
      </c>
      <c r="X936">
        <v>0</v>
      </c>
      <c r="Y936">
        <v>0</v>
      </c>
    </row>
    <row r="937" spans="1:25" x14ac:dyDescent="0.2">
      <c r="A937" t="s">
        <v>3460</v>
      </c>
      <c r="B937" t="s">
        <v>3461</v>
      </c>
      <c r="C937" t="s">
        <v>3462</v>
      </c>
      <c r="D937" t="s">
        <v>3463</v>
      </c>
      <c r="E937" t="s">
        <v>3461</v>
      </c>
      <c r="F937" t="s">
        <v>28</v>
      </c>
      <c r="G937" t="s">
        <v>3461</v>
      </c>
      <c r="H937" t="str">
        <f>"phdh-1"</f>
        <v>phdh-1</v>
      </c>
      <c r="I937" t="s">
        <v>3463</v>
      </c>
      <c r="J937" t="s">
        <v>29</v>
      </c>
      <c r="K937">
        <v>10.4433294662648</v>
      </c>
      <c r="L937">
        <v>10.9825491723435</v>
      </c>
      <c r="M937">
        <v>12.612112596532199</v>
      </c>
      <c r="N937">
        <v>12.171554345566999</v>
      </c>
      <c r="O937">
        <v>12.602434843734899</v>
      </c>
      <c r="P937">
        <v>1.7490946093072299</v>
      </c>
      <c r="Q937">
        <v>0.94707465537745505</v>
      </c>
      <c r="R937">
        <v>2.5511145632369998</v>
      </c>
      <c r="S937">
        <v>12.162815160756599</v>
      </c>
      <c r="T937">
        <v>4.6033939325083102</v>
      </c>
      <c r="U937">
        <v>0.35754884546998</v>
      </c>
      <c r="V937">
        <v>2.57062809341067E-4</v>
      </c>
      <c r="W937">
        <v>1.0561790487494701E-2</v>
      </c>
      <c r="X937">
        <v>1</v>
      </c>
      <c r="Y937">
        <v>1</v>
      </c>
    </row>
    <row r="938" spans="1:25" x14ac:dyDescent="0.2">
      <c r="A938" t="s">
        <v>3464</v>
      </c>
      <c r="B938" t="s">
        <v>3465</v>
      </c>
      <c r="C938" t="s">
        <v>3466</v>
      </c>
      <c r="D938" t="s">
        <v>3312</v>
      </c>
      <c r="E938" t="s">
        <v>3465</v>
      </c>
      <c r="F938" t="s">
        <v>28</v>
      </c>
      <c r="G938" t="s">
        <v>3465</v>
      </c>
      <c r="H938" t="str">
        <f>"col-178"</f>
        <v>col-178</v>
      </c>
      <c r="I938" t="s">
        <v>3312</v>
      </c>
      <c r="J938">
        <v>11.719277484038299</v>
      </c>
      <c r="K938" t="s">
        <v>29</v>
      </c>
      <c r="L938">
        <v>13.137309893572199</v>
      </c>
      <c r="M938">
        <v>12.7689548342486</v>
      </c>
      <c r="N938">
        <v>13.3148714098098</v>
      </c>
      <c r="O938" t="s">
        <v>29</v>
      </c>
      <c r="P938">
        <v>0.61361943322396295</v>
      </c>
      <c r="Q938">
        <v>-0.69000709720547104</v>
      </c>
      <c r="R938">
        <v>1.9172459636534001</v>
      </c>
      <c r="S938">
        <v>13.315973958958599</v>
      </c>
      <c r="T938">
        <v>1.0667194652004199</v>
      </c>
      <c r="U938">
        <v>-6.0964778616577702</v>
      </c>
      <c r="V938">
        <v>0.31419375724901899</v>
      </c>
      <c r="W938">
        <v>0.865163117388565</v>
      </c>
      <c r="X938">
        <v>0</v>
      </c>
      <c r="Y938">
        <v>0</v>
      </c>
    </row>
    <row r="939" spans="1:25" x14ac:dyDescent="0.2">
      <c r="A939" t="s">
        <v>3467</v>
      </c>
      <c r="B939" t="s">
        <v>3468</v>
      </c>
      <c r="C939" t="s">
        <v>3469</v>
      </c>
      <c r="D939" t="s">
        <v>3312</v>
      </c>
      <c r="E939" t="s">
        <v>3468</v>
      </c>
      <c r="F939" t="s">
        <v>28</v>
      </c>
      <c r="G939" t="s">
        <v>3468</v>
      </c>
      <c r="H939" t="str">
        <f>"col-179"</f>
        <v>col-179</v>
      </c>
      <c r="I939" t="s">
        <v>3312</v>
      </c>
      <c r="J939" t="s">
        <v>29</v>
      </c>
      <c r="K939" t="s">
        <v>29</v>
      </c>
      <c r="L939" t="s">
        <v>29</v>
      </c>
      <c r="M939" t="s">
        <v>29</v>
      </c>
      <c r="N939">
        <v>11.705306498065401</v>
      </c>
      <c r="O939" t="s">
        <v>29</v>
      </c>
      <c r="P939" t="s">
        <v>29</v>
      </c>
      <c r="Q939" t="s">
        <v>29</v>
      </c>
      <c r="R939" t="s">
        <v>29</v>
      </c>
      <c r="S939">
        <v>12.5379874049599</v>
      </c>
      <c r="T939" t="s">
        <v>29</v>
      </c>
      <c r="U939" t="s">
        <v>29</v>
      </c>
      <c r="V939" t="s">
        <v>29</v>
      </c>
      <c r="W939" t="s">
        <v>29</v>
      </c>
      <c r="X939" t="s">
        <v>29</v>
      </c>
      <c r="Y939" t="s">
        <v>29</v>
      </c>
    </row>
    <row r="940" spans="1:25" x14ac:dyDescent="0.2">
      <c r="A940" t="s">
        <v>3470</v>
      </c>
      <c r="B940" t="s">
        <v>3471</v>
      </c>
      <c r="C940" t="s">
        <v>3472</v>
      </c>
      <c r="D940" t="s">
        <v>2584</v>
      </c>
      <c r="E940" t="s">
        <v>3471</v>
      </c>
      <c r="F940" t="s">
        <v>28</v>
      </c>
      <c r="G940" t="s">
        <v>3471</v>
      </c>
      <c r="H940" t="str">
        <f>"idh-2"</f>
        <v>idh-2</v>
      </c>
      <c r="I940" t="s">
        <v>2584</v>
      </c>
      <c r="J940">
        <v>13.776009229466499</v>
      </c>
      <c r="K940">
        <v>13.633836770546401</v>
      </c>
      <c r="L940">
        <v>13.658006531440501</v>
      </c>
      <c r="M940">
        <v>13.679695729439601</v>
      </c>
      <c r="N940">
        <v>13.6596819886107</v>
      </c>
      <c r="O940">
        <v>13.8196560338466</v>
      </c>
      <c r="P940">
        <v>3.0393740147820501E-2</v>
      </c>
      <c r="Q940">
        <v>-0.46488097258885902</v>
      </c>
      <c r="R940">
        <v>0.52566845288450004</v>
      </c>
      <c r="S940">
        <v>13.664612807032499</v>
      </c>
      <c r="T940">
        <v>0.128982415103161</v>
      </c>
      <c r="U940">
        <v>-6.8738011330909101</v>
      </c>
      <c r="V940">
        <v>0.89881017692262899</v>
      </c>
      <c r="W940">
        <v>0.99833354317360001</v>
      </c>
      <c r="X940">
        <v>0</v>
      </c>
      <c r="Y940">
        <v>0</v>
      </c>
    </row>
    <row r="941" spans="1:25" x14ac:dyDescent="0.2">
      <c r="A941" t="s">
        <v>3473</v>
      </c>
      <c r="B941" t="s">
        <v>3474</v>
      </c>
      <c r="C941" t="s">
        <v>3475</v>
      </c>
      <c r="D941" t="s">
        <v>758</v>
      </c>
      <c r="E941" t="s">
        <v>3474</v>
      </c>
      <c r="F941" t="s">
        <v>28</v>
      </c>
      <c r="G941" t="s">
        <v>3474</v>
      </c>
      <c r="H941" t="str">
        <f>"aspm-1"</f>
        <v>aspm-1</v>
      </c>
      <c r="I941" t="s">
        <v>758</v>
      </c>
      <c r="J941" t="s">
        <v>29</v>
      </c>
      <c r="K941">
        <v>9.1689539721658093</v>
      </c>
      <c r="L941">
        <v>10.692651826268699</v>
      </c>
      <c r="M941" t="s">
        <v>29</v>
      </c>
      <c r="N941" t="s">
        <v>29</v>
      </c>
      <c r="O941" t="s">
        <v>29</v>
      </c>
      <c r="P941" t="s">
        <v>29</v>
      </c>
      <c r="Q941" t="s">
        <v>29</v>
      </c>
      <c r="R941" t="s">
        <v>29</v>
      </c>
      <c r="S941">
        <v>10.706143560161101</v>
      </c>
      <c r="T941" t="s">
        <v>29</v>
      </c>
      <c r="U941" t="s">
        <v>29</v>
      </c>
      <c r="V941" t="s">
        <v>29</v>
      </c>
      <c r="W941" t="s">
        <v>29</v>
      </c>
      <c r="X941" t="s">
        <v>29</v>
      </c>
      <c r="Y941" t="s">
        <v>29</v>
      </c>
    </row>
    <row r="942" spans="1:25" x14ac:dyDescent="0.2">
      <c r="A942" t="s">
        <v>3476</v>
      </c>
      <c r="B942" t="s">
        <v>3477</v>
      </c>
      <c r="C942" t="s">
        <v>3478</v>
      </c>
      <c r="D942" t="s">
        <v>3479</v>
      </c>
      <c r="E942" t="s">
        <v>3477</v>
      </c>
      <c r="F942" t="s">
        <v>28</v>
      </c>
      <c r="G942" t="s">
        <v>3477</v>
      </c>
      <c r="H942" t="str">
        <f>"sams-1"</f>
        <v>sams-1</v>
      </c>
      <c r="I942" t="s">
        <v>3479</v>
      </c>
      <c r="J942">
        <v>16.218700290177399</v>
      </c>
      <c r="K942">
        <v>15.445848239534801</v>
      </c>
      <c r="L942">
        <v>15.5712068193703</v>
      </c>
      <c r="M942">
        <v>16.225926525477</v>
      </c>
      <c r="N942">
        <v>16.189529916396602</v>
      </c>
      <c r="O942">
        <v>16.019518921889699</v>
      </c>
      <c r="P942">
        <v>0.39974000489359102</v>
      </c>
      <c r="Q942">
        <v>-4.0105168164260997E-2</v>
      </c>
      <c r="R942">
        <v>0.83958517795144305</v>
      </c>
      <c r="S942">
        <v>15.8239188902597</v>
      </c>
      <c r="T942">
        <v>1.9101624185360599</v>
      </c>
      <c r="U942">
        <v>-5.1492200070835299</v>
      </c>
      <c r="V942">
        <v>7.2272759368087802E-2</v>
      </c>
      <c r="W942">
        <v>0.57541565353348401</v>
      </c>
      <c r="X942">
        <v>0</v>
      </c>
      <c r="Y942">
        <v>0</v>
      </c>
    </row>
    <row r="943" spans="1:25" x14ac:dyDescent="0.2">
      <c r="A943" t="s">
        <v>3480</v>
      </c>
      <c r="B943" t="s">
        <v>3481</v>
      </c>
      <c r="C943" t="s">
        <v>3482</v>
      </c>
      <c r="D943" t="s">
        <v>3483</v>
      </c>
      <c r="E943" t="s">
        <v>3481</v>
      </c>
      <c r="F943" t="s">
        <v>28</v>
      </c>
      <c r="G943" t="s">
        <v>3481</v>
      </c>
      <c r="H943" t="str">
        <f>"nasp-2"</f>
        <v>nasp-2</v>
      </c>
      <c r="I943" t="s">
        <v>3483</v>
      </c>
      <c r="J943">
        <v>13.5846604216126</v>
      </c>
      <c r="K943">
        <v>10.6658240558319</v>
      </c>
      <c r="L943">
        <v>11.5608608415586</v>
      </c>
      <c r="M943">
        <v>10.561134905321</v>
      </c>
      <c r="N943">
        <v>12.4131010751298</v>
      </c>
      <c r="O943" t="s">
        <v>29</v>
      </c>
      <c r="P943">
        <v>-0.44999711610898702</v>
      </c>
      <c r="Q943">
        <v>-2.2139363690220599</v>
      </c>
      <c r="R943">
        <v>1.31394213680409</v>
      </c>
      <c r="S943">
        <v>12.3909971257286</v>
      </c>
      <c r="T943">
        <v>-0.54754270686528705</v>
      </c>
      <c r="U943">
        <v>-6.6152892183213803</v>
      </c>
      <c r="V943">
        <v>0.59269274528230698</v>
      </c>
      <c r="W943">
        <v>0.96359621704910503</v>
      </c>
      <c r="X943">
        <v>0</v>
      </c>
      <c r="Y943">
        <v>0</v>
      </c>
    </row>
    <row r="944" spans="1:25" x14ac:dyDescent="0.2">
      <c r="A944" t="s">
        <v>3484</v>
      </c>
      <c r="B944" t="s">
        <v>3485</v>
      </c>
      <c r="C944" t="s">
        <v>3486</v>
      </c>
      <c r="D944" t="s">
        <v>3487</v>
      </c>
      <c r="E944" t="s">
        <v>3485</v>
      </c>
      <c r="F944" t="s">
        <v>28</v>
      </c>
      <c r="G944" t="s">
        <v>3485</v>
      </c>
      <c r="H944" t="str">
        <f>"ril-1"</f>
        <v>ril-1</v>
      </c>
      <c r="I944" t="s">
        <v>3487</v>
      </c>
      <c r="J944">
        <v>16.787453630533701</v>
      </c>
      <c r="K944">
        <v>16.634518450426999</v>
      </c>
      <c r="L944">
        <v>16.471543465049098</v>
      </c>
      <c r="M944">
        <v>16.763944524203001</v>
      </c>
      <c r="N944">
        <v>16.443413902513001</v>
      </c>
      <c r="O944">
        <v>16.504919953643601</v>
      </c>
      <c r="P944">
        <v>-6.0412388550094703E-2</v>
      </c>
      <c r="Q944">
        <v>-0.48516397941683398</v>
      </c>
      <c r="R944">
        <v>0.36433920231664502</v>
      </c>
      <c r="S944">
        <v>16.712274405455101</v>
      </c>
      <c r="T944">
        <v>-0.29893963915166999</v>
      </c>
      <c r="U944">
        <v>-6.8359139767198602</v>
      </c>
      <c r="V944">
        <v>0.76842993202889998</v>
      </c>
      <c r="W944">
        <v>0.99278624068726296</v>
      </c>
      <c r="X944">
        <v>0</v>
      </c>
      <c r="Y944">
        <v>0</v>
      </c>
    </row>
    <row r="945" spans="1:25" x14ac:dyDescent="0.2">
      <c r="A945" t="s">
        <v>3488</v>
      </c>
      <c r="B945" t="s">
        <v>3489</v>
      </c>
      <c r="C945" t="s">
        <v>3490</v>
      </c>
      <c r="D945" t="s">
        <v>3491</v>
      </c>
      <c r="E945" t="s">
        <v>3489</v>
      </c>
      <c r="F945" t="s">
        <v>28</v>
      </c>
      <c r="G945" t="s">
        <v>3489</v>
      </c>
      <c r="H945" t="str">
        <f>"hda-1"</f>
        <v>hda-1</v>
      </c>
      <c r="I945" t="s">
        <v>3491</v>
      </c>
      <c r="J945">
        <v>15.3505831403437</v>
      </c>
      <c r="K945">
        <v>15.4359542627643</v>
      </c>
      <c r="L945">
        <v>15.1884762150694</v>
      </c>
      <c r="M945">
        <v>14.974106844340501</v>
      </c>
      <c r="N945">
        <v>15.0330452845362</v>
      </c>
      <c r="O945">
        <v>15.2802028593182</v>
      </c>
      <c r="P945">
        <v>-0.22921954332748501</v>
      </c>
      <c r="Q945">
        <v>-0.61235295761351205</v>
      </c>
      <c r="R945">
        <v>0.153913870958542</v>
      </c>
      <c r="S945">
        <v>15.194515883795701</v>
      </c>
      <c r="T945">
        <v>-1.25745984738448</v>
      </c>
      <c r="U945">
        <v>-6.0911514706124201</v>
      </c>
      <c r="V945">
        <v>0.22475060916714201</v>
      </c>
      <c r="W945">
        <v>0.80231481915275904</v>
      </c>
      <c r="X945">
        <v>0</v>
      </c>
      <c r="Y945">
        <v>0</v>
      </c>
    </row>
    <row r="946" spans="1:25" x14ac:dyDescent="0.2">
      <c r="A946" t="s">
        <v>3492</v>
      </c>
      <c r="B946" t="s">
        <v>3493</v>
      </c>
      <c r="C946" t="s">
        <v>3494</v>
      </c>
      <c r="D946" t="s">
        <v>3495</v>
      </c>
      <c r="E946" t="s">
        <v>3493</v>
      </c>
      <c r="F946" t="s">
        <v>28</v>
      </c>
      <c r="G946" t="s">
        <v>3496</v>
      </c>
      <c r="H946" t="str">
        <f>"C55A6.6"</f>
        <v>C55A6.6</v>
      </c>
      <c r="I946" t="s">
        <v>3246</v>
      </c>
      <c r="J946">
        <v>11.4709676975931</v>
      </c>
      <c r="K946" t="s">
        <v>29</v>
      </c>
      <c r="L946">
        <v>11.3709963420335</v>
      </c>
      <c r="M946">
        <v>12.086796783480599</v>
      </c>
      <c r="N946">
        <v>11.5473720306644</v>
      </c>
      <c r="O946">
        <v>12.275119928023701</v>
      </c>
      <c r="P946">
        <v>0.54878089424299503</v>
      </c>
      <c r="Q946">
        <v>-0.257478578727456</v>
      </c>
      <c r="R946">
        <v>1.3550403672134499</v>
      </c>
      <c r="S946">
        <v>11.647777523256</v>
      </c>
      <c r="T946">
        <v>1.44368911665651</v>
      </c>
      <c r="U946">
        <v>-5.7455875353188803</v>
      </c>
      <c r="V946">
        <v>0.16824687322422299</v>
      </c>
      <c r="W946">
        <v>0.76875593074037796</v>
      </c>
      <c r="X946">
        <v>0</v>
      </c>
      <c r="Y946">
        <v>0</v>
      </c>
    </row>
    <row r="947" spans="1:25" x14ac:dyDescent="0.2">
      <c r="A947" t="s">
        <v>3497</v>
      </c>
      <c r="B947" t="s">
        <v>3498</v>
      </c>
      <c r="C947" t="s">
        <v>3499</v>
      </c>
      <c r="D947" t="s">
        <v>3500</v>
      </c>
      <c r="E947" t="s">
        <v>3498</v>
      </c>
      <c r="F947" t="s">
        <v>28</v>
      </c>
      <c r="G947" t="s">
        <v>3498</v>
      </c>
      <c r="H947" t="str">
        <f>"pyc-1"</f>
        <v>pyc-1</v>
      </c>
      <c r="I947" t="s">
        <v>3500</v>
      </c>
      <c r="J947">
        <v>25.590285484566301</v>
      </c>
      <c r="K947">
        <v>25.815979005986001</v>
      </c>
      <c r="L947">
        <v>25.388870392444201</v>
      </c>
      <c r="M947">
        <v>25.420560676621001</v>
      </c>
      <c r="N947">
        <v>25.497799463721901</v>
      </c>
      <c r="O947">
        <v>25.620678591367302</v>
      </c>
      <c r="P947">
        <v>-8.5365383762095307E-2</v>
      </c>
      <c r="Q947">
        <v>-0.91072677959959802</v>
      </c>
      <c r="R947">
        <v>0.73999601207540799</v>
      </c>
      <c r="S947">
        <v>24.4476655927511</v>
      </c>
      <c r="T947">
        <v>-0.21738529261939199</v>
      </c>
      <c r="U947">
        <v>-6.8578310918557603</v>
      </c>
      <c r="V947">
        <v>0.83036741514040402</v>
      </c>
      <c r="W947">
        <v>0.99370240586176295</v>
      </c>
      <c r="X947">
        <v>0</v>
      </c>
      <c r="Y947">
        <v>0</v>
      </c>
    </row>
    <row r="948" spans="1:25" x14ac:dyDescent="0.2">
      <c r="A948" t="s">
        <v>3501</v>
      </c>
      <c r="B948" t="s">
        <v>3502</v>
      </c>
      <c r="C948" t="s">
        <v>14347</v>
      </c>
      <c r="D948" t="s">
        <v>429</v>
      </c>
      <c r="E948" t="s">
        <v>3502</v>
      </c>
      <c r="F948" t="s">
        <v>28</v>
      </c>
      <c r="G948" t="s">
        <v>3502</v>
      </c>
      <c r="H948" t="str">
        <f>"D2023.6"</f>
        <v>D2023.6</v>
      </c>
      <c r="I948" t="s">
        <v>429</v>
      </c>
      <c r="J948">
        <v>11.7936797289055</v>
      </c>
      <c r="K948">
        <v>11.7145190963912</v>
      </c>
      <c r="L948">
        <v>12.0333293320175</v>
      </c>
      <c r="M948">
        <v>11.4098562823162</v>
      </c>
      <c r="N948">
        <v>11.9203746393258</v>
      </c>
      <c r="O948">
        <v>11.879177430631399</v>
      </c>
      <c r="P948">
        <v>-0.11070660168023801</v>
      </c>
      <c r="Q948">
        <v>-0.48030930568812402</v>
      </c>
      <c r="R948">
        <v>0.25889610232764698</v>
      </c>
      <c r="S948">
        <v>11.838699373483699</v>
      </c>
      <c r="T948">
        <v>-0.632249351985673</v>
      </c>
      <c r="U948">
        <v>-6.6754376410752903</v>
      </c>
      <c r="V948">
        <v>0.53568710856046897</v>
      </c>
      <c r="W948">
        <v>0.94526336017457002</v>
      </c>
      <c r="X948">
        <v>0</v>
      </c>
      <c r="Y948">
        <v>0</v>
      </c>
    </row>
    <row r="949" spans="1:25" x14ac:dyDescent="0.2">
      <c r="A949" t="s">
        <v>3503</v>
      </c>
      <c r="B949" t="s">
        <v>3504</v>
      </c>
      <c r="C949" t="s">
        <v>3505</v>
      </c>
      <c r="D949" t="s">
        <v>3506</v>
      </c>
      <c r="E949" t="s">
        <v>3504</v>
      </c>
      <c r="F949" t="s">
        <v>28</v>
      </c>
      <c r="G949" t="s">
        <v>3504</v>
      </c>
      <c r="H949" t="str">
        <f>"etc-1"</f>
        <v>etc-1</v>
      </c>
      <c r="I949" t="s">
        <v>3506</v>
      </c>
      <c r="J949">
        <v>12.779309793636701</v>
      </c>
      <c r="K949">
        <v>12.018269361007601</v>
      </c>
      <c r="L949">
        <v>12.7113102660753</v>
      </c>
      <c r="M949">
        <v>12.6313818201413</v>
      </c>
      <c r="N949">
        <v>12.7560353855302</v>
      </c>
      <c r="O949">
        <v>12.6452284689657</v>
      </c>
      <c r="P949">
        <v>0.174585417972523</v>
      </c>
      <c r="Q949">
        <v>-0.26804036024238098</v>
      </c>
      <c r="R949">
        <v>0.61721119618742704</v>
      </c>
      <c r="S949">
        <v>12.8670502672226</v>
      </c>
      <c r="T949">
        <v>0.83257099477180496</v>
      </c>
      <c r="U949">
        <v>-6.5265027880019097</v>
      </c>
      <c r="V949">
        <v>0.41670095275251701</v>
      </c>
      <c r="W949">
        <v>0.91512503332874395</v>
      </c>
      <c r="X949">
        <v>0</v>
      </c>
      <c r="Y949">
        <v>0</v>
      </c>
    </row>
    <row r="950" spans="1:25" x14ac:dyDescent="0.2">
      <c r="A950" t="s">
        <v>3507</v>
      </c>
      <c r="B950" t="s">
        <v>3508</v>
      </c>
      <c r="C950" t="s">
        <v>3509</v>
      </c>
      <c r="D950" t="s">
        <v>3510</v>
      </c>
      <c r="E950" t="s">
        <v>3508</v>
      </c>
      <c r="F950" t="s">
        <v>28</v>
      </c>
      <c r="G950" t="s">
        <v>3508</v>
      </c>
      <c r="H950" t="str">
        <f>"tkt-1"</f>
        <v>tkt-1</v>
      </c>
      <c r="I950" t="s">
        <v>3510</v>
      </c>
      <c r="J950">
        <v>14.661790124063</v>
      </c>
      <c r="K950">
        <v>14.4322514143419</v>
      </c>
      <c r="L950">
        <v>14.772847428277499</v>
      </c>
      <c r="M950">
        <v>14.8047313466787</v>
      </c>
      <c r="N950">
        <v>15.018666519539201</v>
      </c>
      <c r="O950">
        <v>14.9417740778484</v>
      </c>
      <c r="P950">
        <v>0.29942765912797997</v>
      </c>
      <c r="Q950">
        <v>-0.19697628604300499</v>
      </c>
      <c r="R950">
        <v>0.79583160429896505</v>
      </c>
      <c r="S950">
        <v>14.8122072710566</v>
      </c>
      <c r="T950">
        <v>1.2677954939123599</v>
      </c>
      <c r="U950">
        <v>-6.0786412300775403</v>
      </c>
      <c r="V950">
        <v>0.221119303873656</v>
      </c>
      <c r="W950">
        <v>0.79910794991631495</v>
      </c>
      <c r="X950">
        <v>0</v>
      </c>
      <c r="Y950">
        <v>0</v>
      </c>
    </row>
    <row r="951" spans="1:25" x14ac:dyDescent="0.2">
      <c r="A951" t="s">
        <v>3511</v>
      </c>
      <c r="B951" t="s">
        <v>3512</v>
      </c>
      <c r="C951" t="s">
        <v>3513</v>
      </c>
      <c r="D951" t="s">
        <v>3514</v>
      </c>
      <c r="E951" t="s">
        <v>3512</v>
      </c>
      <c r="F951" t="s">
        <v>28</v>
      </c>
      <c r="G951" t="s">
        <v>3512</v>
      </c>
      <c r="H951" t="str">
        <f>"ech-8"</f>
        <v>ech-8</v>
      </c>
      <c r="I951" t="s">
        <v>3514</v>
      </c>
      <c r="J951">
        <v>13.692185027788399</v>
      </c>
      <c r="K951">
        <v>14.770185724588901</v>
      </c>
      <c r="L951">
        <v>14.029581832906899</v>
      </c>
      <c r="M951">
        <v>13.662995875082901</v>
      </c>
      <c r="N951">
        <v>13.5613108099973</v>
      </c>
      <c r="O951">
        <v>13.2546377938879</v>
      </c>
      <c r="P951">
        <v>-0.67100270210536594</v>
      </c>
      <c r="Q951">
        <v>-1.4319104443269099</v>
      </c>
      <c r="R951">
        <v>8.9905040116183804E-2</v>
      </c>
      <c r="S951">
        <v>12.968937832177399</v>
      </c>
      <c r="T951">
        <v>-1.89271035781861</v>
      </c>
      <c r="U951">
        <v>-5.1939731214634604</v>
      </c>
      <c r="V951">
        <v>7.9415536960617594E-2</v>
      </c>
      <c r="W951">
        <v>0.60076942510977904</v>
      </c>
      <c r="X951">
        <v>0</v>
      </c>
      <c r="Y951">
        <v>0</v>
      </c>
    </row>
    <row r="952" spans="1:25" x14ac:dyDescent="0.2">
      <c r="A952" t="s">
        <v>3515</v>
      </c>
      <c r="B952" t="s">
        <v>3516</v>
      </c>
      <c r="C952" t="s">
        <v>3517</v>
      </c>
      <c r="D952" t="s">
        <v>758</v>
      </c>
      <c r="E952" t="s">
        <v>3516</v>
      </c>
      <c r="F952" t="s">
        <v>28</v>
      </c>
      <c r="G952" t="s">
        <v>3516</v>
      </c>
      <c r="H952" t="str">
        <f>"pes-7"</f>
        <v>pes-7</v>
      </c>
      <c r="I952" t="s">
        <v>758</v>
      </c>
      <c r="J952">
        <v>11.863976846072401</v>
      </c>
      <c r="K952">
        <v>11.456434208626501</v>
      </c>
      <c r="L952">
        <v>12.296316837863101</v>
      </c>
      <c r="M952">
        <v>13.293333942405299</v>
      </c>
      <c r="N952">
        <v>13.354022114825</v>
      </c>
      <c r="O952">
        <v>13.1425627881941</v>
      </c>
      <c r="P952">
        <v>1.3910636509541601</v>
      </c>
      <c r="Q952">
        <v>0.648433761138964</v>
      </c>
      <c r="R952">
        <v>2.13369354076936</v>
      </c>
      <c r="S952">
        <v>12.7578449313483</v>
      </c>
      <c r="T952">
        <v>3.9370151920638099</v>
      </c>
      <c r="U952">
        <v>-1.07229337363137</v>
      </c>
      <c r="V952">
        <v>9.7570079798425205E-4</v>
      </c>
      <c r="W952">
        <v>3.0633323166901798E-2</v>
      </c>
      <c r="X952">
        <v>1</v>
      </c>
      <c r="Y952">
        <v>1</v>
      </c>
    </row>
    <row r="953" spans="1:25" x14ac:dyDescent="0.2">
      <c r="A953" t="s">
        <v>3518</v>
      </c>
      <c r="B953" t="s">
        <v>3519</v>
      </c>
      <c r="C953" t="s">
        <v>3520</v>
      </c>
      <c r="D953" t="s">
        <v>3312</v>
      </c>
      <c r="E953" t="s">
        <v>3519</v>
      </c>
      <c r="F953" t="s">
        <v>28</v>
      </c>
      <c r="G953" t="s">
        <v>3519</v>
      </c>
      <c r="H953" t="str">
        <f>"col-98"</f>
        <v>col-98</v>
      </c>
      <c r="I953" t="s">
        <v>3312</v>
      </c>
      <c r="J953">
        <v>13.4646637792903</v>
      </c>
      <c r="K953">
        <v>14.0538278841361</v>
      </c>
      <c r="L953">
        <v>13.8319462161337</v>
      </c>
      <c r="M953">
        <v>14.489186206367901</v>
      </c>
      <c r="N953">
        <v>14.520921939430201</v>
      </c>
      <c r="O953">
        <v>14.4762955862223</v>
      </c>
      <c r="P953">
        <v>0.71198861748675701</v>
      </c>
      <c r="Q953">
        <v>6.1088141395008302E-2</v>
      </c>
      <c r="R953">
        <v>1.3628890935785001</v>
      </c>
      <c r="S953">
        <v>14.0603108151131</v>
      </c>
      <c r="T953">
        <v>2.2990635422607699</v>
      </c>
      <c r="U953">
        <v>-4.4662149722925601</v>
      </c>
      <c r="V953">
        <v>3.3767461242540799E-2</v>
      </c>
      <c r="W953">
        <v>0.40135039648276999</v>
      </c>
      <c r="X953">
        <v>0</v>
      </c>
      <c r="Y953">
        <v>0</v>
      </c>
    </row>
    <row r="954" spans="1:25" x14ac:dyDescent="0.2">
      <c r="A954" t="s">
        <v>3521</v>
      </c>
      <c r="B954" t="s">
        <v>3522</v>
      </c>
      <c r="C954" t="s">
        <v>3523</v>
      </c>
      <c r="D954" t="s">
        <v>3524</v>
      </c>
      <c r="E954" t="s">
        <v>3522</v>
      </c>
      <c r="F954" t="s">
        <v>28</v>
      </c>
      <c r="G954" t="s">
        <v>3522</v>
      </c>
      <c r="H954" t="str">
        <f>"clsp-1"</f>
        <v>clsp-1</v>
      </c>
      <c r="I954" t="s">
        <v>3524</v>
      </c>
      <c r="J954" t="s">
        <v>29</v>
      </c>
      <c r="K954" t="s">
        <v>29</v>
      </c>
      <c r="L954" t="s">
        <v>29</v>
      </c>
      <c r="M954" t="s">
        <v>29</v>
      </c>
      <c r="N954" t="s">
        <v>29</v>
      </c>
      <c r="O954" t="s">
        <v>29</v>
      </c>
      <c r="P954" t="s">
        <v>29</v>
      </c>
      <c r="Q954" t="s">
        <v>29</v>
      </c>
      <c r="R954" t="s">
        <v>29</v>
      </c>
      <c r="S954">
        <v>12.509061097976</v>
      </c>
      <c r="T954" t="s">
        <v>29</v>
      </c>
      <c r="U954" t="s">
        <v>29</v>
      </c>
      <c r="V954" t="s">
        <v>29</v>
      </c>
      <c r="W954" t="s">
        <v>29</v>
      </c>
      <c r="X954" t="s">
        <v>29</v>
      </c>
      <c r="Y954" t="s">
        <v>29</v>
      </c>
    </row>
    <row r="955" spans="1:25" x14ac:dyDescent="0.2">
      <c r="A955" t="s">
        <v>3525</v>
      </c>
      <c r="B955" t="s">
        <v>3526</v>
      </c>
      <c r="C955" t="s">
        <v>3527</v>
      </c>
      <c r="D955" t="s">
        <v>3528</v>
      </c>
      <c r="E955" t="s">
        <v>3526</v>
      </c>
      <c r="F955" t="s">
        <v>28</v>
      </c>
      <c r="G955" t="s">
        <v>3526</v>
      </c>
      <c r="H955" t="str">
        <f>"ccnk-1"</f>
        <v>ccnk-1</v>
      </c>
      <c r="I955" t="s">
        <v>3528</v>
      </c>
      <c r="J955">
        <v>11.313731308336401</v>
      </c>
      <c r="K955">
        <v>12.129782205449599</v>
      </c>
      <c r="L955">
        <v>11.839033525064201</v>
      </c>
      <c r="M955">
        <v>11.743938991327701</v>
      </c>
      <c r="N955">
        <v>12.241153186405301</v>
      </c>
      <c r="O955">
        <v>12.336375505067201</v>
      </c>
      <c r="P955">
        <v>0.346306881316714</v>
      </c>
      <c r="Q955">
        <v>-0.39154676060190002</v>
      </c>
      <c r="R955">
        <v>1.08416052323533</v>
      </c>
      <c r="S955">
        <v>12.5259175547101</v>
      </c>
      <c r="T955">
        <v>0.99549807806909396</v>
      </c>
      <c r="U955">
        <v>-6.3770020512664596</v>
      </c>
      <c r="V955">
        <v>0.33440829818817602</v>
      </c>
      <c r="W955">
        <v>0.87368774661315896</v>
      </c>
      <c r="X955">
        <v>0</v>
      </c>
      <c r="Y955">
        <v>0</v>
      </c>
    </row>
    <row r="956" spans="1:25" x14ac:dyDescent="0.2">
      <c r="A956" t="s">
        <v>3529</v>
      </c>
      <c r="B956" t="s">
        <v>3530</v>
      </c>
      <c r="C956" t="s">
        <v>3531</v>
      </c>
      <c r="D956" t="s">
        <v>3532</v>
      </c>
      <c r="E956" t="s">
        <v>3530</v>
      </c>
      <c r="F956" t="s">
        <v>28</v>
      </c>
      <c r="G956" t="s">
        <v>3530</v>
      </c>
      <c r="H956" t="str">
        <f>"xdh-1"</f>
        <v>xdh-1</v>
      </c>
      <c r="I956" t="s">
        <v>3532</v>
      </c>
      <c r="J956" t="s">
        <v>29</v>
      </c>
      <c r="K956" t="s">
        <v>29</v>
      </c>
      <c r="L956" t="s">
        <v>29</v>
      </c>
      <c r="M956" t="s">
        <v>29</v>
      </c>
      <c r="N956">
        <v>11.899828822662601</v>
      </c>
      <c r="O956">
        <v>12.387713318170301</v>
      </c>
      <c r="P956" t="s">
        <v>29</v>
      </c>
      <c r="Q956" t="s">
        <v>29</v>
      </c>
      <c r="R956" t="s">
        <v>29</v>
      </c>
      <c r="S956">
        <v>12.0901976974782</v>
      </c>
      <c r="T956" t="s">
        <v>29</v>
      </c>
      <c r="U956" t="s">
        <v>29</v>
      </c>
      <c r="V956" t="s">
        <v>29</v>
      </c>
      <c r="W956" t="s">
        <v>29</v>
      </c>
      <c r="X956" t="s">
        <v>29</v>
      </c>
      <c r="Y956" t="s">
        <v>29</v>
      </c>
    </row>
    <row r="957" spans="1:25" x14ac:dyDescent="0.2">
      <c r="A957" t="s">
        <v>3533</v>
      </c>
      <c r="B957" t="s">
        <v>3534</v>
      </c>
      <c r="C957" t="s">
        <v>3535</v>
      </c>
      <c r="D957" t="s">
        <v>3536</v>
      </c>
      <c r="E957" t="s">
        <v>3534</v>
      </c>
      <c r="F957" t="s">
        <v>28</v>
      </c>
      <c r="G957" t="s">
        <v>3534</v>
      </c>
      <c r="H957" t="str">
        <f>"haf-3"</f>
        <v>haf-3</v>
      </c>
      <c r="I957" t="s">
        <v>3536</v>
      </c>
      <c r="J957">
        <v>13.156855382777101</v>
      </c>
      <c r="K957">
        <v>13.034797924123399</v>
      </c>
      <c r="L957">
        <v>12.2873620376361</v>
      </c>
      <c r="M957">
        <v>12.9868494917724</v>
      </c>
      <c r="N957">
        <v>12.8225143779982</v>
      </c>
      <c r="O957">
        <v>12.7975596844697</v>
      </c>
      <c r="P957">
        <v>4.26360699012562E-2</v>
      </c>
      <c r="Q957">
        <v>-0.60731589435643696</v>
      </c>
      <c r="R957">
        <v>0.69258803415894898</v>
      </c>
      <c r="S957">
        <v>12.698935255225001</v>
      </c>
      <c r="T957">
        <v>0.13846688367293</v>
      </c>
      <c r="U957">
        <v>-6.8724460525142996</v>
      </c>
      <c r="V957">
        <v>0.89150844929256301</v>
      </c>
      <c r="W957">
        <v>0.99702926582654094</v>
      </c>
      <c r="X957">
        <v>0</v>
      </c>
      <c r="Y957">
        <v>0</v>
      </c>
    </row>
    <row r="958" spans="1:25" x14ac:dyDescent="0.2">
      <c r="A958" t="s">
        <v>3537</v>
      </c>
      <c r="B958" t="s">
        <v>3538</v>
      </c>
      <c r="C958" t="s">
        <v>3539</v>
      </c>
      <c r="D958" t="s">
        <v>3540</v>
      </c>
      <c r="E958" t="s">
        <v>3538</v>
      </c>
      <c r="F958" t="s">
        <v>28</v>
      </c>
      <c r="G958" t="s">
        <v>3538</v>
      </c>
      <c r="H958" t="str">
        <f>"copz-1"</f>
        <v>copz-1</v>
      </c>
      <c r="I958" t="s">
        <v>3540</v>
      </c>
      <c r="J958">
        <v>14.403088752210801</v>
      </c>
      <c r="K958">
        <v>14.4403774779888</v>
      </c>
      <c r="L958">
        <v>14.6020221230508</v>
      </c>
      <c r="M958">
        <v>15.429115053371801</v>
      </c>
      <c r="N958">
        <v>15.563275525898</v>
      </c>
      <c r="O958">
        <v>15.960273146754901</v>
      </c>
      <c r="P958">
        <v>1.16905845759146</v>
      </c>
      <c r="Q958">
        <v>0.710442282132696</v>
      </c>
      <c r="R958">
        <v>1.6276746330502201</v>
      </c>
      <c r="S958">
        <v>15.528447608098</v>
      </c>
      <c r="T958">
        <v>5.3577121025432302</v>
      </c>
      <c r="U958">
        <v>2.0045915532477601</v>
      </c>
      <c r="V958" s="2">
        <v>4.3942413540323703E-5</v>
      </c>
      <c r="W958">
        <v>2.43733920436995E-3</v>
      </c>
      <c r="X958">
        <v>1</v>
      </c>
      <c r="Y958">
        <v>1</v>
      </c>
    </row>
    <row r="959" spans="1:25" x14ac:dyDescent="0.2">
      <c r="A959" t="s">
        <v>3541</v>
      </c>
      <c r="B959" t="s">
        <v>3542</v>
      </c>
      <c r="C959" t="s">
        <v>3543</v>
      </c>
      <c r="D959" t="s">
        <v>984</v>
      </c>
      <c r="E959" t="s">
        <v>3542</v>
      </c>
      <c r="F959" t="s">
        <v>28</v>
      </c>
      <c r="G959" t="s">
        <v>3542</v>
      </c>
      <c r="H959" t="str">
        <f>"frm-3"</f>
        <v>frm-3</v>
      </c>
      <c r="I959" t="s">
        <v>984</v>
      </c>
      <c r="J959" t="s">
        <v>29</v>
      </c>
      <c r="K959" t="s">
        <v>29</v>
      </c>
      <c r="L959">
        <v>10.2393609627928</v>
      </c>
      <c r="M959">
        <v>10.424237683911301</v>
      </c>
      <c r="N959">
        <v>11.1587891227953</v>
      </c>
      <c r="O959" t="s">
        <v>29</v>
      </c>
      <c r="P959">
        <v>0.55215244056049995</v>
      </c>
      <c r="Q959">
        <v>-0.50421547875900197</v>
      </c>
      <c r="R959">
        <v>1.60852035988</v>
      </c>
      <c r="S959">
        <v>10.821330098092901</v>
      </c>
      <c r="T959">
        <v>1.13995787978485</v>
      </c>
      <c r="U959">
        <v>-5.8310454678671597</v>
      </c>
      <c r="V959">
        <v>0.27673832088933897</v>
      </c>
      <c r="W959">
        <v>0.856190392347986</v>
      </c>
      <c r="X959">
        <v>0</v>
      </c>
      <c r="Y959">
        <v>0</v>
      </c>
    </row>
    <row r="960" spans="1:25" x14ac:dyDescent="0.2">
      <c r="A960" t="s">
        <v>3544</v>
      </c>
      <c r="B960" t="s">
        <v>3545</v>
      </c>
      <c r="C960" t="s">
        <v>3546</v>
      </c>
      <c r="D960" t="s">
        <v>3547</v>
      </c>
      <c r="E960" t="s">
        <v>3545</v>
      </c>
      <c r="F960" t="s">
        <v>28</v>
      </c>
      <c r="G960" t="s">
        <v>3545</v>
      </c>
      <c r="H960" t="str">
        <f>"ctg-1"</f>
        <v>ctg-1</v>
      </c>
      <c r="I960" t="s">
        <v>3547</v>
      </c>
      <c r="J960">
        <v>12.7314172577506</v>
      </c>
      <c r="K960">
        <v>13.0369186546832</v>
      </c>
      <c r="L960">
        <v>13.1530718195263</v>
      </c>
      <c r="M960">
        <v>13.5455188655227</v>
      </c>
      <c r="N960">
        <v>13.2862621593701</v>
      </c>
      <c r="O960">
        <v>13.215984339495501</v>
      </c>
      <c r="P960">
        <v>0.375452544142725</v>
      </c>
      <c r="Q960">
        <v>-0.259794164044931</v>
      </c>
      <c r="R960">
        <v>1.0106992523303799</v>
      </c>
      <c r="S960">
        <v>13.3948490614272</v>
      </c>
      <c r="T960">
        <v>1.2422389476180999</v>
      </c>
      <c r="U960">
        <v>-6.1094187607306996</v>
      </c>
      <c r="V960">
        <v>0.23018225467829401</v>
      </c>
      <c r="W960">
        <v>0.81119663244797402</v>
      </c>
      <c r="X960">
        <v>0</v>
      </c>
      <c r="Y960">
        <v>0</v>
      </c>
    </row>
    <row r="961" spans="1:25" x14ac:dyDescent="0.2">
      <c r="A961" t="s">
        <v>3548</v>
      </c>
      <c r="B961" t="s">
        <v>3549</v>
      </c>
      <c r="C961" t="s">
        <v>3550</v>
      </c>
      <c r="D961" t="s">
        <v>3551</v>
      </c>
      <c r="E961" t="s">
        <v>3549</v>
      </c>
      <c r="F961" t="s">
        <v>28</v>
      </c>
      <c r="G961" t="s">
        <v>3549</v>
      </c>
      <c r="H961" t="str">
        <f>"chd-1"</f>
        <v>chd-1</v>
      </c>
      <c r="I961" t="s">
        <v>3551</v>
      </c>
      <c r="J961">
        <v>12.0487443302132</v>
      </c>
      <c r="K961">
        <v>11.9384716112442</v>
      </c>
      <c r="L961">
        <v>11.287508950324</v>
      </c>
      <c r="M961">
        <v>11.4694494415305</v>
      </c>
      <c r="N961">
        <v>11.4008644861802</v>
      </c>
      <c r="O961">
        <v>11.035032544056101</v>
      </c>
      <c r="P961">
        <v>-0.45645947333820702</v>
      </c>
      <c r="Q961">
        <v>-2.9027451617490798</v>
      </c>
      <c r="R961">
        <v>1.98982621507267</v>
      </c>
      <c r="S961">
        <v>12.2331515241871</v>
      </c>
      <c r="T961">
        <v>-0.39386289016585702</v>
      </c>
      <c r="U961">
        <v>-6.8015564285873804</v>
      </c>
      <c r="V961">
        <v>0.698608796886793</v>
      </c>
      <c r="W961">
        <v>0.98642420921484297</v>
      </c>
      <c r="X961">
        <v>0</v>
      </c>
      <c r="Y961">
        <v>0</v>
      </c>
    </row>
    <row r="962" spans="1:25" x14ac:dyDescent="0.2">
      <c r="A962" t="s">
        <v>3552</v>
      </c>
      <c r="B962" t="s">
        <v>3553</v>
      </c>
      <c r="C962" t="s">
        <v>3554</v>
      </c>
      <c r="D962" t="s">
        <v>3555</v>
      </c>
      <c r="E962" t="s">
        <v>3553</v>
      </c>
      <c r="F962" t="s">
        <v>28</v>
      </c>
      <c r="G962" t="s">
        <v>3553</v>
      </c>
      <c r="H962" t="str">
        <f>"ran-1"</f>
        <v>ran-1</v>
      </c>
      <c r="I962" t="s">
        <v>3555</v>
      </c>
      <c r="J962">
        <v>18.506401485870601</v>
      </c>
      <c r="K962">
        <v>18.500658526970099</v>
      </c>
      <c r="L962">
        <v>18.161214037289898</v>
      </c>
      <c r="M962">
        <v>18.260267364112199</v>
      </c>
      <c r="N962">
        <v>17.944144984653501</v>
      </c>
      <c r="O962">
        <v>18.3159734127807</v>
      </c>
      <c r="P962">
        <v>-0.21596276286143401</v>
      </c>
      <c r="Q962">
        <v>-0.63142514926503701</v>
      </c>
      <c r="R962">
        <v>0.19949962354216899</v>
      </c>
      <c r="S962">
        <v>17.751479861178201</v>
      </c>
      <c r="T962">
        <v>-1.0925458624449</v>
      </c>
      <c r="U962">
        <v>-6.2789313184759603</v>
      </c>
      <c r="V962">
        <v>0.28908395204151899</v>
      </c>
      <c r="W962">
        <v>0.856190392347986</v>
      </c>
      <c r="X962">
        <v>0</v>
      </c>
      <c r="Y962">
        <v>0</v>
      </c>
    </row>
    <row r="963" spans="1:25" x14ac:dyDescent="0.2">
      <c r="A963" t="s">
        <v>3556</v>
      </c>
      <c r="B963" t="s">
        <v>3557</v>
      </c>
      <c r="C963" t="s">
        <v>3558</v>
      </c>
      <c r="D963" t="s">
        <v>3559</v>
      </c>
      <c r="E963" t="s">
        <v>3557</v>
      </c>
      <c r="F963" t="s">
        <v>28</v>
      </c>
      <c r="G963" t="s">
        <v>3557</v>
      </c>
      <c r="H963" t="str">
        <f>"K01G5.5"</f>
        <v>K01G5.5</v>
      </c>
      <c r="I963" t="s">
        <v>3559</v>
      </c>
      <c r="J963">
        <v>14.681177970378601</v>
      </c>
      <c r="K963">
        <v>14.4683319072114</v>
      </c>
      <c r="L963">
        <v>14.507943328642501</v>
      </c>
      <c r="M963">
        <v>14.632859219131699</v>
      </c>
      <c r="N963">
        <v>14.4711198754093</v>
      </c>
      <c r="O963">
        <v>14.680069202743001</v>
      </c>
      <c r="P963">
        <v>4.2198363683812801E-2</v>
      </c>
      <c r="Q963">
        <v>-0.68934678756853596</v>
      </c>
      <c r="R963">
        <v>0.773743514936162</v>
      </c>
      <c r="S963">
        <v>14.0618606528495</v>
      </c>
      <c r="T963">
        <v>0.121240295941636</v>
      </c>
      <c r="U963">
        <v>-6.8748124501257397</v>
      </c>
      <c r="V963">
        <v>0.90485171272800502</v>
      </c>
      <c r="W963">
        <v>0.99833354317360001</v>
      </c>
      <c r="X963">
        <v>0</v>
      </c>
      <c r="Y963">
        <v>0</v>
      </c>
    </row>
    <row r="964" spans="1:25" x14ac:dyDescent="0.2">
      <c r="A964" t="s">
        <v>3560</v>
      </c>
      <c r="B964" t="s">
        <v>3561</v>
      </c>
      <c r="C964" t="s">
        <v>3562</v>
      </c>
      <c r="D964" t="s">
        <v>3563</v>
      </c>
      <c r="E964" t="s">
        <v>3561</v>
      </c>
      <c r="F964" t="s">
        <v>28</v>
      </c>
      <c r="G964" t="s">
        <v>3561</v>
      </c>
      <c r="H964" t="str">
        <f>"tbb-1"</f>
        <v>tbb-1</v>
      </c>
      <c r="I964" t="s">
        <v>3563</v>
      </c>
      <c r="J964">
        <v>17.9041099331147</v>
      </c>
      <c r="K964">
        <v>17.776959564878499</v>
      </c>
      <c r="L964">
        <v>17.805903461784599</v>
      </c>
      <c r="M964">
        <v>17.672609502818499</v>
      </c>
      <c r="N964">
        <v>17.947564384438</v>
      </c>
      <c r="O964">
        <v>17.9574126354103</v>
      </c>
      <c r="P964">
        <v>3.02045209630393E-2</v>
      </c>
      <c r="Q964">
        <v>-0.28484097985144302</v>
      </c>
      <c r="R964">
        <v>0.34525002177752201</v>
      </c>
      <c r="S964">
        <v>17.619724481950701</v>
      </c>
      <c r="T964">
        <v>0.20150748546157099</v>
      </c>
      <c r="U964">
        <v>-6.86129768044347</v>
      </c>
      <c r="V964">
        <v>0.842574617917206</v>
      </c>
      <c r="W964">
        <v>0.99370971747667503</v>
      </c>
      <c r="X964">
        <v>0</v>
      </c>
      <c r="Y964">
        <v>0</v>
      </c>
    </row>
    <row r="965" spans="1:25" x14ac:dyDescent="0.2">
      <c r="A965" t="s">
        <v>3564</v>
      </c>
      <c r="B965" t="s">
        <v>3565</v>
      </c>
      <c r="C965" t="s">
        <v>14348</v>
      </c>
      <c r="D965" t="s">
        <v>3566</v>
      </c>
      <c r="E965" t="s">
        <v>3565</v>
      </c>
      <c r="F965" t="s">
        <v>28</v>
      </c>
      <c r="G965" t="s">
        <v>3565</v>
      </c>
      <c r="H965" t="str">
        <f>"K10C3.5"</f>
        <v>K10C3.5</v>
      </c>
      <c r="I965" t="s">
        <v>3566</v>
      </c>
      <c r="J965" t="s">
        <v>29</v>
      </c>
      <c r="K965">
        <v>10.8759738095183</v>
      </c>
      <c r="L965">
        <v>10.507263419895001</v>
      </c>
      <c r="M965">
        <v>11.584797137037</v>
      </c>
      <c r="N965">
        <v>11.7817061113539</v>
      </c>
      <c r="O965">
        <v>10.3784453770611</v>
      </c>
      <c r="P965">
        <v>0.55669759377735595</v>
      </c>
      <c r="Q965">
        <v>-0.56932130951476401</v>
      </c>
      <c r="R965">
        <v>1.6827164970694799</v>
      </c>
      <c r="S965">
        <v>11.134161574112801</v>
      </c>
      <c r="T965">
        <v>1.04863220786127</v>
      </c>
      <c r="U965">
        <v>-6.2146360774492999</v>
      </c>
      <c r="V965">
        <v>0.310031246940983</v>
      </c>
      <c r="W965">
        <v>0.86207931095287205</v>
      </c>
      <c r="X965">
        <v>0</v>
      </c>
      <c r="Y965">
        <v>0</v>
      </c>
    </row>
    <row r="966" spans="1:25" x14ac:dyDescent="0.2">
      <c r="A966" t="s">
        <v>3567</v>
      </c>
      <c r="B966" t="s">
        <v>3568</v>
      </c>
      <c r="C966" t="s">
        <v>3569</v>
      </c>
      <c r="D966" t="s">
        <v>3570</v>
      </c>
      <c r="E966" t="s">
        <v>3568</v>
      </c>
      <c r="F966" t="s">
        <v>28</v>
      </c>
      <c r="G966" t="s">
        <v>3568</v>
      </c>
      <c r="H966" t="str">
        <f>"dld-1"</f>
        <v>dld-1</v>
      </c>
      <c r="I966" t="s">
        <v>3570</v>
      </c>
      <c r="J966">
        <v>14.7502208800001</v>
      </c>
      <c r="K966">
        <v>14.439454121178001</v>
      </c>
      <c r="L966">
        <v>14.5947405274802</v>
      </c>
      <c r="M966">
        <v>14.560075849811801</v>
      </c>
      <c r="N966">
        <v>14.490502802866301</v>
      </c>
      <c r="O966">
        <v>14.6766932308284</v>
      </c>
      <c r="P966">
        <v>-1.9047881717272099E-2</v>
      </c>
      <c r="Q966">
        <v>-0.43450219453907302</v>
      </c>
      <c r="R966">
        <v>0.396406431104529</v>
      </c>
      <c r="S966">
        <v>14.6362196166806</v>
      </c>
      <c r="T966">
        <v>-9.6364245853067507E-2</v>
      </c>
      <c r="U966">
        <v>-6.8776388927315102</v>
      </c>
      <c r="V966">
        <v>0.92430228641621204</v>
      </c>
      <c r="W966">
        <v>0.99843270744267199</v>
      </c>
      <c r="X966">
        <v>0</v>
      </c>
      <c r="Y966">
        <v>0</v>
      </c>
    </row>
    <row r="967" spans="1:25" x14ac:dyDescent="0.2">
      <c r="A967" t="s">
        <v>3571</v>
      </c>
      <c r="B967" t="s">
        <v>3572</v>
      </c>
      <c r="C967" t="s">
        <v>3573</v>
      </c>
      <c r="D967" t="s">
        <v>3574</v>
      </c>
      <c r="E967" t="s">
        <v>3572</v>
      </c>
      <c r="F967" t="s">
        <v>28</v>
      </c>
      <c r="G967" t="s">
        <v>3572</v>
      </c>
      <c r="H967" t="str">
        <f>"top-1"</f>
        <v>top-1</v>
      </c>
      <c r="I967" t="s">
        <v>3574</v>
      </c>
      <c r="J967">
        <v>18.4690567877817</v>
      </c>
      <c r="K967">
        <v>17.800364298924201</v>
      </c>
      <c r="L967">
        <v>18.605810834912301</v>
      </c>
      <c r="M967">
        <v>19.324217901688201</v>
      </c>
      <c r="N967">
        <v>19.275294240148298</v>
      </c>
      <c r="O967">
        <v>19.024561801887199</v>
      </c>
      <c r="P967">
        <v>0.91628067403517799</v>
      </c>
      <c r="Q967">
        <v>0.27135302241117598</v>
      </c>
      <c r="R967">
        <v>1.56120832565918</v>
      </c>
      <c r="S967">
        <v>18.080203816251402</v>
      </c>
      <c r="T967">
        <v>2.9861391530420902</v>
      </c>
      <c r="U967">
        <v>-3.1109945743044198</v>
      </c>
      <c r="V967">
        <v>7.95758209594883E-3</v>
      </c>
      <c r="W967">
        <v>0.15592244623443599</v>
      </c>
      <c r="X967">
        <v>0</v>
      </c>
      <c r="Y967">
        <v>0</v>
      </c>
    </row>
    <row r="968" spans="1:25" x14ac:dyDescent="0.2">
      <c r="A968" t="s">
        <v>3575</v>
      </c>
      <c r="B968" t="s">
        <v>3576</v>
      </c>
      <c r="C968" t="s">
        <v>3577</v>
      </c>
      <c r="D968" t="s">
        <v>323</v>
      </c>
      <c r="E968" t="s">
        <v>3576</v>
      </c>
      <c r="F968" t="s">
        <v>28</v>
      </c>
      <c r="G968" t="s">
        <v>3576</v>
      </c>
      <c r="H968" t="str">
        <f>"flor-1"</f>
        <v>flor-1</v>
      </c>
      <c r="I968" t="s">
        <v>323</v>
      </c>
      <c r="J968">
        <v>12.6938185838924</v>
      </c>
      <c r="K968">
        <v>13.0475693247812</v>
      </c>
      <c r="L968">
        <v>12.3123496955462</v>
      </c>
      <c r="M968">
        <v>13.3662284500305</v>
      </c>
      <c r="N968">
        <v>13.758741829092401</v>
      </c>
      <c r="O968">
        <v>13.091222108195399</v>
      </c>
      <c r="P968">
        <v>0.720818261032807</v>
      </c>
      <c r="Q968">
        <v>7.3726973265938495E-2</v>
      </c>
      <c r="R968">
        <v>1.36790954879968</v>
      </c>
      <c r="S968">
        <v>13.8553296281041</v>
      </c>
      <c r="T968">
        <v>2.3412766880985401</v>
      </c>
      <c r="U968">
        <v>-4.3877791225195102</v>
      </c>
      <c r="V968">
        <v>3.09982637245594E-2</v>
      </c>
      <c r="W968">
        <v>0.38350268280793198</v>
      </c>
      <c r="X968">
        <v>0</v>
      </c>
      <c r="Y968">
        <v>0</v>
      </c>
    </row>
    <row r="969" spans="1:25" x14ac:dyDescent="0.2">
      <c r="A969" t="s">
        <v>3578</v>
      </c>
      <c r="B969" t="s">
        <v>3579</v>
      </c>
      <c r="C969" t="s">
        <v>3580</v>
      </c>
      <c r="D969" t="s">
        <v>270</v>
      </c>
      <c r="E969" t="s">
        <v>3579</v>
      </c>
      <c r="F969" t="s">
        <v>28</v>
      </c>
      <c r="G969" t="s">
        <v>3579</v>
      </c>
      <c r="H969" t="str">
        <f>"grl-7"</f>
        <v>grl-7</v>
      </c>
      <c r="I969" t="s">
        <v>270</v>
      </c>
      <c r="J969">
        <v>12.5857154329021</v>
      </c>
      <c r="K969">
        <v>12.9465137206346</v>
      </c>
      <c r="L969">
        <v>14.2442532740935</v>
      </c>
      <c r="M969">
        <v>12.757471701515</v>
      </c>
      <c r="N969">
        <v>13.4048318268646</v>
      </c>
      <c r="O969">
        <v>13.081552421335701</v>
      </c>
      <c r="P969">
        <v>-0.17754215930495901</v>
      </c>
      <c r="Q969">
        <v>-1.1004330289044399</v>
      </c>
      <c r="R969">
        <v>0.74534871029452598</v>
      </c>
      <c r="S969">
        <v>12.924605699367699</v>
      </c>
      <c r="T969">
        <v>-0.40433716459687902</v>
      </c>
      <c r="U969">
        <v>-6.7974589620096904</v>
      </c>
      <c r="V969">
        <v>0.69075645226010296</v>
      </c>
      <c r="W969">
        <v>0.98642420921484297</v>
      </c>
      <c r="X969">
        <v>0</v>
      </c>
      <c r="Y969">
        <v>0</v>
      </c>
    </row>
    <row r="970" spans="1:25" x14ac:dyDescent="0.2">
      <c r="A970" t="s">
        <v>3581</v>
      </c>
      <c r="B970" t="s">
        <v>3582</v>
      </c>
      <c r="C970" t="s">
        <v>3583</v>
      </c>
      <c r="D970" t="s">
        <v>3246</v>
      </c>
      <c r="E970" t="s">
        <v>3582</v>
      </c>
      <c r="F970" t="s">
        <v>28</v>
      </c>
      <c r="G970" t="s">
        <v>3582</v>
      </c>
      <c r="H970" t="str">
        <f>"dhs-4"</f>
        <v>dhs-4</v>
      </c>
      <c r="I970" t="s">
        <v>3246</v>
      </c>
      <c r="J970">
        <v>14.082415732077299</v>
      </c>
      <c r="K970">
        <v>14.1333919522313</v>
      </c>
      <c r="L970">
        <v>13.6551107122494</v>
      </c>
      <c r="M970">
        <v>13.5352775124234</v>
      </c>
      <c r="N970">
        <v>13.280836591003901</v>
      </c>
      <c r="O970">
        <v>13.6295556463312</v>
      </c>
      <c r="P970">
        <v>-0.47508288226652901</v>
      </c>
      <c r="Q970">
        <v>-1.00135182390204</v>
      </c>
      <c r="R970">
        <v>5.1186059368987499E-2</v>
      </c>
      <c r="S970">
        <v>13.063396117038501</v>
      </c>
      <c r="T970">
        <v>-1.9055118564585301</v>
      </c>
      <c r="U970">
        <v>-5.1604502437812698</v>
      </c>
      <c r="V970">
        <v>7.3876015777240997E-2</v>
      </c>
      <c r="W970">
        <v>0.58122784989753695</v>
      </c>
      <c r="X970">
        <v>0</v>
      </c>
      <c r="Y970">
        <v>0</v>
      </c>
    </row>
    <row r="971" spans="1:25" x14ac:dyDescent="0.2">
      <c r="A971" t="s">
        <v>3584</v>
      </c>
      <c r="B971" t="s">
        <v>3585</v>
      </c>
      <c r="C971" t="s">
        <v>3586</v>
      </c>
      <c r="D971" t="s">
        <v>3587</v>
      </c>
      <c r="E971" t="s">
        <v>3585</v>
      </c>
      <c r="F971" t="s">
        <v>28</v>
      </c>
      <c r="G971" t="s">
        <v>3585</v>
      </c>
      <c r="H971" t="str">
        <f>"nyn-1"</f>
        <v>nyn-1</v>
      </c>
      <c r="I971" t="s">
        <v>3587</v>
      </c>
      <c r="J971">
        <v>12.306209410152301</v>
      </c>
      <c r="K971">
        <v>13.0300464694496</v>
      </c>
      <c r="L971">
        <v>11.302339970861199</v>
      </c>
      <c r="M971">
        <v>13.0293499655369</v>
      </c>
      <c r="N971">
        <v>12.6146739420212</v>
      </c>
      <c r="O971">
        <v>12.421476367072</v>
      </c>
      <c r="P971">
        <v>0.47563480805564301</v>
      </c>
      <c r="Q971">
        <v>-0.43379530496941099</v>
      </c>
      <c r="R971">
        <v>1.3850649210807</v>
      </c>
      <c r="S971">
        <v>12.4602915447285</v>
      </c>
      <c r="T971">
        <v>1.12252543960441</v>
      </c>
      <c r="U971">
        <v>-6.2429638998825201</v>
      </c>
      <c r="V971">
        <v>0.28066180968253401</v>
      </c>
      <c r="W971">
        <v>0.856190392347986</v>
      </c>
      <c r="X971">
        <v>0</v>
      </c>
      <c r="Y971">
        <v>0</v>
      </c>
    </row>
    <row r="972" spans="1:25" x14ac:dyDescent="0.2">
      <c r="A972" t="s">
        <v>3588</v>
      </c>
      <c r="B972" t="s">
        <v>3589</v>
      </c>
      <c r="C972" t="s">
        <v>3590</v>
      </c>
      <c r="D972" t="s">
        <v>3591</v>
      </c>
      <c r="E972" t="s">
        <v>3589</v>
      </c>
      <c r="F972" t="s">
        <v>28</v>
      </c>
      <c r="G972" t="s">
        <v>3589</v>
      </c>
      <c r="H972" t="str">
        <f>"pssy-2"</f>
        <v>pssy-2</v>
      </c>
      <c r="I972" t="s">
        <v>3591</v>
      </c>
      <c r="J972">
        <v>11.710093885020299</v>
      </c>
      <c r="K972">
        <v>12.015145534578</v>
      </c>
      <c r="L972">
        <v>12.290558408036</v>
      </c>
      <c r="M972">
        <v>11.9177629495319</v>
      </c>
      <c r="N972">
        <v>12.7022835768087</v>
      </c>
      <c r="O972">
        <v>11.0817478958555</v>
      </c>
      <c r="P972">
        <v>-0.104667801812697</v>
      </c>
      <c r="Q972">
        <v>-0.774833226649567</v>
      </c>
      <c r="R972">
        <v>0.56549762302417295</v>
      </c>
      <c r="S972">
        <v>12.4285314434748</v>
      </c>
      <c r="T972">
        <v>-0.32967126805561198</v>
      </c>
      <c r="U972">
        <v>-6.8257092702695399</v>
      </c>
      <c r="V972">
        <v>0.74570046420556102</v>
      </c>
      <c r="W972">
        <v>0.99184638945407499</v>
      </c>
      <c r="X972">
        <v>0</v>
      </c>
      <c r="Y972">
        <v>0</v>
      </c>
    </row>
    <row r="973" spans="1:25" x14ac:dyDescent="0.2">
      <c r="A973" t="s">
        <v>3592</v>
      </c>
      <c r="B973" t="s">
        <v>3593</v>
      </c>
      <c r="C973" t="s">
        <v>3594</v>
      </c>
      <c r="D973" t="s">
        <v>1382</v>
      </c>
      <c r="E973" t="s">
        <v>3593</v>
      </c>
      <c r="F973" t="s">
        <v>28</v>
      </c>
      <c r="G973" t="s">
        <v>3593</v>
      </c>
      <c r="H973" t="str">
        <f>"tba-7"</f>
        <v>tba-7</v>
      </c>
      <c r="I973" t="s">
        <v>1382</v>
      </c>
      <c r="J973">
        <v>14.344260446240501</v>
      </c>
      <c r="K973">
        <v>14.4911686201928</v>
      </c>
      <c r="L973">
        <v>14.797092768686801</v>
      </c>
      <c r="M973">
        <v>14.7036555173894</v>
      </c>
      <c r="N973">
        <v>14.579228944306299</v>
      </c>
      <c r="O973">
        <v>14.7957728730605</v>
      </c>
      <c r="P973">
        <v>0.14871183321207401</v>
      </c>
      <c r="Q973">
        <v>-0.45400468625698098</v>
      </c>
      <c r="R973">
        <v>0.75142835268112895</v>
      </c>
      <c r="S973">
        <v>14.399808891235001</v>
      </c>
      <c r="T973">
        <v>0.51859096430500695</v>
      </c>
      <c r="U973">
        <v>-6.7430269209968099</v>
      </c>
      <c r="V973">
        <v>0.61039946906799503</v>
      </c>
      <c r="W973">
        <v>0.97238011246645495</v>
      </c>
      <c r="X973">
        <v>0</v>
      </c>
      <c r="Y973">
        <v>0</v>
      </c>
    </row>
    <row r="974" spans="1:25" x14ac:dyDescent="0.2">
      <c r="A974" t="s">
        <v>3595</v>
      </c>
      <c r="B974" t="s">
        <v>3596</v>
      </c>
      <c r="C974" t="s">
        <v>3597</v>
      </c>
      <c r="D974" t="s">
        <v>3598</v>
      </c>
      <c r="E974" t="s">
        <v>3596</v>
      </c>
      <c r="F974" t="s">
        <v>28</v>
      </c>
      <c r="G974" t="s">
        <v>3596</v>
      </c>
      <c r="H974" t="str">
        <f>"ogt-1"</f>
        <v>ogt-1</v>
      </c>
      <c r="I974" t="s">
        <v>3598</v>
      </c>
      <c r="J974">
        <v>12.760561120691801</v>
      </c>
      <c r="K974">
        <v>13.132536045812</v>
      </c>
      <c r="L974">
        <v>12.8764102026842</v>
      </c>
      <c r="M974">
        <v>12.7491292735216</v>
      </c>
      <c r="N974">
        <v>12.831864058408399</v>
      </c>
      <c r="O974">
        <v>12.6175503383955</v>
      </c>
      <c r="P974">
        <v>-0.190321232954174</v>
      </c>
      <c r="Q974">
        <v>-0.700302897278965</v>
      </c>
      <c r="R974">
        <v>0.319660431370617</v>
      </c>
      <c r="S974">
        <v>13.3771299668207</v>
      </c>
      <c r="T974">
        <v>-0.78773962821662902</v>
      </c>
      <c r="U974">
        <v>-6.5631368568682804</v>
      </c>
      <c r="V974">
        <v>0.44176133044449001</v>
      </c>
      <c r="W974">
        <v>0.92006726233944303</v>
      </c>
      <c r="X974">
        <v>0</v>
      </c>
      <c r="Y974">
        <v>0</v>
      </c>
    </row>
    <row r="975" spans="1:25" x14ac:dyDescent="0.2">
      <c r="A975" t="s">
        <v>3599</v>
      </c>
      <c r="B975" t="s">
        <v>3600</v>
      </c>
      <c r="C975" t="s">
        <v>3601</v>
      </c>
      <c r="D975" t="s">
        <v>825</v>
      </c>
      <c r="E975" t="s">
        <v>3600</v>
      </c>
      <c r="F975" t="s">
        <v>28</v>
      </c>
      <c r="G975" t="s">
        <v>3600</v>
      </c>
      <c r="H975" t="str">
        <f>"ints-4"</f>
        <v>ints-4</v>
      </c>
      <c r="I975" t="s">
        <v>825</v>
      </c>
      <c r="J975">
        <v>12.401312620342299</v>
      </c>
      <c r="K975">
        <v>12.3548293545253</v>
      </c>
      <c r="L975">
        <v>12.3694205357881</v>
      </c>
      <c r="M975">
        <v>12.6534743208374</v>
      </c>
      <c r="N975">
        <v>12.392530192765401</v>
      </c>
      <c r="O975">
        <v>12.5296954453942</v>
      </c>
      <c r="P975">
        <v>0.15004581611380999</v>
      </c>
      <c r="Q975">
        <v>-0.24433617835320801</v>
      </c>
      <c r="R975">
        <v>0.54442781058082801</v>
      </c>
      <c r="S975">
        <v>12.5015110402343</v>
      </c>
      <c r="T975">
        <v>0.80696805125075699</v>
      </c>
      <c r="U975">
        <v>-6.54687499542002</v>
      </c>
      <c r="V975">
        <v>0.43159476934938701</v>
      </c>
      <c r="W975">
        <v>0.91512503332874395</v>
      </c>
      <c r="X975">
        <v>0</v>
      </c>
      <c r="Y975">
        <v>0</v>
      </c>
    </row>
    <row r="976" spans="1:25" x14ac:dyDescent="0.2">
      <c r="A976" t="s">
        <v>3602</v>
      </c>
      <c r="B976" t="s">
        <v>3603</v>
      </c>
      <c r="C976" t="s">
        <v>3604</v>
      </c>
      <c r="D976" t="s">
        <v>3605</v>
      </c>
      <c r="E976" t="s">
        <v>3603</v>
      </c>
      <c r="F976" t="s">
        <v>28</v>
      </c>
      <c r="G976" t="s">
        <v>3603</v>
      </c>
      <c r="H976" t="str">
        <f>"pptr-1"</f>
        <v>pptr-1</v>
      </c>
      <c r="I976" t="s">
        <v>3605</v>
      </c>
      <c r="J976">
        <v>13.5720502556343</v>
      </c>
      <c r="K976">
        <v>13.392120687250699</v>
      </c>
      <c r="L976">
        <v>13.5187069816456</v>
      </c>
      <c r="M976">
        <v>14.273743601112001</v>
      </c>
      <c r="N976">
        <v>14.271617860996701</v>
      </c>
      <c r="O976">
        <v>14.164333894193801</v>
      </c>
      <c r="P976">
        <v>0.74227247725733403</v>
      </c>
      <c r="Q976">
        <v>0.217558422550828</v>
      </c>
      <c r="R976">
        <v>1.26698653196384</v>
      </c>
      <c r="S976">
        <v>13.7753601648115</v>
      </c>
      <c r="T976">
        <v>2.9732619540909302</v>
      </c>
      <c r="U976">
        <v>-3.1376581217723598</v>
      </c>
      <c r="V976">
        <v>8.1828139782830506E-3</v>
      </c>
      <c r="W976">
        <v>0.15741274520072801</v>
      </c>
      <c r="X976">
        <v>0</v>
      </c>
      <c r="Y976">
        <v>0</v>
      </c>
    </row>
    <row r="977" spans="1:25" x14ac:dyDescent="0.2">
      <c r="A977" t="s">
        <v>3606</v>
      </c>
      <c r="B977" t="s">
        <v>3607</v>
      </c>
      <c r="C977" t="s">
        <v>3608</v>
      </c>
      <c r="D977" t="s">
        <v>3609</v>
      </c>
      <c r="E977" t="s">
        <v>3607</v>
      </c>
      <c r="F977" t="s">
        <v>28</v>
      </c>
      <c r="G977" t="s">
        <v>3607</v>
      </c>
      <c r="H977" t="str">
        <f>"smap-1"</f>
        <v>smap-1</v>
      </c>
      <c r="I977" t="s">
        <v>3609</v>
      </c>
      <c r="J977">
        <v>12.915602510982101</v>
      </c>
      <c r="K977">
        <v>13.157025960157499</v>
      </c>
      <c r="L977">
        <v>12.995654712442301</v>
      </c>
      <c r="M977">
        <v>14.2573015700951</v>
      </c>
      <c r="N977">
        <v>14.265212297648899</v>
      </c>
      <c r="O977">
        <v>14.2227915563168</v>
      </c>
      <c r="P977">
        <v>1.22567408015963</v>
      </c>
      <c r="Q977">
        <v>0.79344202610789505</v>
      </c>
      <c r="R977">
        <v>1.6579061342113699</v>
      </c>
      <c r="S977">
        <v>13.4452951192368</v>
      </c>
      <c r="T977">
        <v>6.0146112331430599</v>
      </c>
      <c r="U977">
        <v>2.945377216317</v>
      </c>
      <c r="V977" s="2">
        <v>1.8528027038324998E-5</v>
      </c>
      <c r="W977">
        <v>1.2583933466029701E-3</v>
      </c>
      <c r="X977">
        <v>1</v>
      </c>
      <c r="Y977">
        <v>1</v>
      </c>
    </row>
    <row r="978" spans="1:25" x14ac:dyDescent="0.2">
      <c r="A978" t="s">
        <v>3610</v>
      </c>
      <c r="B978" t="s">
        <v>3611</v>
      </c>
      <c r="C978" t="s">
        <v>3612</v>
      </c>
      <c r="D978" t="s">
        <v>3613</v>
      </c>
      <c r="E978" t="s">
        <v>3611</v>
      </c>
      <c r="F978" t="s">
        <v>28</v>
      </c>
      <c r="G978" t="s">
        <v>3611</v>
      </c>
      <c r="H978" t="str">
        <f>"maea-1"</f>
        <v>maea-1</v>
      </c>
      <c r="I978" t="s">
        <v>3613</v>
      </c>
      <c r="J978" t="s">
        <v>29</v>
      </c>
      <c r="K978" t="s">
        <v>29</v>
      </c>
      <c r="L978" t="s">
        <v>29</v>
      </c>
      <c r="M978" t="s">
        <v>29</v>
      </c>
      <c r="N978">
        <v>11.922451499373301</v>
      </c>
      <c r="O978" t="s">
        <v>29</v>
      </c>
      <c r="P978" t="s">
        <v>29</v>
      </c>
      <c r="Q978" t="s">
        <v>29</v>
      </c>
      <c r="R978" t="s">
        <v>29</v>
      </c>
      <c r="S978">
        <v>12.814880682904301</v>
      </c>
      <c r="T978" t="s">
        <v>29</v>
      </c>
      <c r="U978" t="s">
        <v>29</v>
      </c>
      <c r="V978" t="s">
        <v>29</v>
      </c>
      <c r="W978" t="s">
        <v>29</v>
      </c>
      <c r="X978" t="s">
        <v>29</v>
      </c>
      <c r="Y978" t="s">
        <v>29</v>
      </c>
    </row>
    <row r="979" spans="1:25" x14ac:dyDescent="0.2">
      <c r="A979" t="s">
        <v>3614</v>
      </c>
      <c r="B979" t="s">
        <v>3615</v>
      </c>
      <c r="C979" t="s">
        <v>3616</v>
      </c>
      <c r="D979" t="s">
        <v>3617</v>
      </c>
      <c r="E979" t="s">
        <v>3615</v>
      </c>
      <c r="F979" t="s">
        <v>28</v>
      </c>
      <c r="G979" t="s">
        <v>3615</v>
      </c>
      <c r="H979" t="str">
        <f>"mat-2"</f>
        <v>mat-2</v>
      </c>
      <c r="I979" t="s">
        <v>3617</v>
      </c>
      <c r="J979">
        <v>12.3919426658245</v>
      </c>
      <c r="K979">
        <v>11.994402671488601</v>
      </c>
      <c r="L979">
        <v>12.463959610281</v>
      </c>
      <c r="M979">
        <v>12.4210374376143</v>
      </c>
      <c r="N979">
        <v>12.438990672610499</v>
      </c>
      <c r="O979">
        <v>12.7097419553759</v>
      </c>
      <c r="P979">
        <v>0.23982170600218899</v>
      </c>
      <c r="Q979">
        <v>-0.206661919856097</v>
      </c>
      <c r="R979">
        <v>0.68630533186047504</v>
      </c>
      <c r="S979">
        <v>12.754085949239499</v>
      </c>
      <c r="T979">
        <v>1.1392852677138601</v>
      </c>
      <c r="U979">
        <v>-6.2265026451077699</v>
      </c>
      <c r="V979">
        <v>0.27146309321243101</v>
      </c>
      <c r="W979">
        <v>0.856190392347986</v>
      </c>
      <c r="X979">
        <v>0</v>
      </c>
      <c r="Y979">
        <v>0</v>
      </c>
    </row>
    <row r="980" spans="1:25" x14ac:dyDescent="0.2">
      <c r="A980" t="s">
        <v>3618</v>
      </c>
      <c r="B980" t="s">
        <v>3619</v>
      </c>
      <c r="C980" t="s">
        <v>3620</v>
      </c>
      <c r="D980" t="s">
        <v>2320</v>
      </c>
      <c r="E980" t="s">
        <v>3619</v>
      </c>
      <c r="F980" t="s">
        <v>28</v>
      </c>
      <c r="G980" t="s">
        <v>3619</v>
      </c>
      <c r="H980" t="str">
        <f>"noa-1"</f>
        <v>noa-1</v>
      </c>
      <c r="I980" t="s">
        <v>2320</v>
      </c>
      <c r="J980">
        <v>13.242378514499199</v>
      </c>
      <c r="K980">
        <v>13.6977133122819</v>
      </c>
      <c r="L980">
        <v>13.9477197369247</v>
      </c>
      <c r="M980">
        <v>13.5895350959509</v>
      </c>
      <c r="N980">
        <v>13.954358587113299</v>
      </c>
      <c r="O980">
        <v>13.4060060532597</v>
      </c>
      <c r="P980">
        <v>2.0696057539384E-2</v>
      </c>
      <c r="Q980">
        <v>-0.57902122703690495</v>
      </c>
      <c r="R980">
        <v>0.62041334211567201</v>
      </c>
      <c r="S980">
        <v>14.1197974195243</v>
      </c>
      <c r="T980">
        <v>7.2843544562593704E-2</v>
      </c>
      <c r="U980">
        <v>-6.8797088606208199</v>
      </c>
      <c r="V980">
        <v>0.94278605408510696</v>
      </c>
      <c r="W980">
        <v>0.99926809132575301</v>
      </c>
      <c r="X980">
        <v>0</v>
      </c>
      <c r="Y980">
        <v>0</v>
      </c>
    </row>
    <row r="981" spans="1:25" x14ac:dyDescent="0.2">
      <c r="A981" t="s">
        <v>3621</v>
      </c>
      <c r="B981" t="s">
        <v>3622</v>
      </c>
      <c r="C981" t="s">
        <v>3623</v>
      </c>
      <c r="D981" t="s">
        <v>3624</v>
      </c>
      <c r="E981" t="s">
        <v>3622</v>
      </c>
      <c r="F981" t="s">
        <v>28</v>
      </c>
      <c r="G981" t="s">
        <v>3622</v>
      </c>
      <c r="H981" t="str">
        <f>"mrpl-37"</f>
        <v>mrpl-37</v>
      </c>
      <c r="I981" t="s">
        <v>3624</v>
      </c>
      <c r="J981">
        <v>13.487358920883601</v>
      </c>
      <c r="K981">
        <v>13.8001549739919</v>
      </c>
      <c r="L981">
        <v>13.820558814355699</v>
      </c>
      <c r="M981">
        <v>13.2562255036942</v>
      </c>
      <c r="N981">
        <v>13.5019142516401</v>
      </c>
      <c r="O981">
        <v>13.363416664920299</v>
      </c>
      <c r="P981">
        <v>-0.32883876299220399</v>
      </c>
      <c r="Q981">
        <v>-0.72796778682200902</v>
      </c>
      <c r="R981">
        <v>7.0290260837601107E-2</v>
      </c>
      <c r="S981">
        <v>13.781365256428</v>
      </c>
      <c r="T981">
        <v>-1.7316583407327499</v>
      </c>
      <c r="U981">
        <v>-5.4351558970262799</v>
      </c>
      <c r="V981">
        <v>0.10053699393872199</v>
      </c>
      <c r="W981">
        <v>0.65399513636263495</v>
      </c>
      <c r="X981">
        <v>0</v>
      </c>
      <c r="Y981">
        <v>0</v>
      </c>
    </row>
    <row r="982" spans="1:25" x14ac:dyDescent="0.2">
      <c r="A982" t="s">
        <v>3625</v>
      </c>
      <c r="B982" t="s">
        <v>3626</v>
      </c>
      <c r="C982" t="s">
        <v>3627</v>
      </c>
      <c r="D982" t="s">
        <v>3628</v>
      </c>
      <c r="E982" t="s">
        <v>3626</v>
      </c>
      <c r="F982" t="s">
        <v>28</v>
      </c>
      <c r="G982" t="s">
        <v>3626</v>
      </c>
      <c r="H982" t="str">
        <f>"mop-25.2"</f>
        <v>mop-25.2</v>
      </c>
      <c r="I982" t="s">
        <v>3628</v>
      </c>
      <c r="J982">
        <v>12.187485946685101</v>
      </c>
      <c r="K982">
        <v>12.676608048327999</v>
      </c>
      <c r="L982">
        <v>12.4508481096008</v>
      </c>
      <c r="M982">
        <v>11.9155987596277</v>
      </c>
      <c r="N982">
        <v>12.5064053691141</v>
      </c>
      <c r="O982">
        <v>12.7969756820832</v>
      </c>
      <c r="P982">
        <v>-3.19874312629711E-2</v>
      </c>
      <c r="Q982">
        <v>-0.591007850385731</v>
      </c>
      <c r="R982">
        <v>0.52703298785978803</v>
      </c>
      <c r="S982">
        <v>12.5347602462257</v>
      </c>
      <c r="T982">
        <v>-0.12203749935088801</v>
      </c>
      <c r="U982">
        <v>-6.8746289532004399</v>
      </c>
      <c r="V982">
        <v>0.90450057412430795</v>
      </c>
      <c r="W982">
        <v>0.99833354317360001</v>
      </c>
      <c r="X982">
        <v>0</v>
      </c>
      <c r="Y982">
        <v>0</v>
      </c>
    </row>
    <row r="983" spans="1:25" x14ac:dyDescent="0.2">
      <c r="A983" t="s">
        <v>3629</v>
      </c>
      <c r="B983" t="s">
        <v>3630</v>
      </c>
      <c r="C983" t="s">
        <v>14349</v>
      </c>
      <c r="D983" t="s">
        <v>514</v>
      </c>
      <c r="E983" t="s">
        <v>3630</v>
      </c>
      <c r="F983" t="s">
        <v>28</v>
      </c>
      <c r="G983" t="s">
        <v>3630</v>
      </c>
      <c r="H983" t="str">
        <f>"Y53C12A.3"</f>
        <v>Y53C12A.3</v>
      </c>
      <c r="I983" t="s">
        <v>514</v>
      </c>
      <c r="J983">
        <v>12.699492178057</v>
      </c>
      <c r="K983" t="s">
        <v>29</v>
      </c>
      <c r="L983" t="s">
        <v>29</v>
      </c>
      <c r="M983" t="s">
        <v>29</v>
      </c>
      <c r="N983">
        <v>13.009974102446099</v>
      </c>
      <c r="O983" t="s">
        <v>29</v>
      </c>
      <c r="P983">
        <v>0.31048192438904298</v>
      </c>
      <c r="Q983">
        <v>-0.50660281282056596</v>
      </c>
      <c r="R983">
        <v>1.1275666615986499</v>
      </c>
      <c r="S983">
        <v>13.1639482958978</v>
      </c>
      <c r="T983">
        <v>0.84788336321339397</v>
      </c>
      <c r="U983">
        <v>-5.9733045681743997</v>
      </c>
      <c r="V983">
        <v>0.416540774483941</v>
      </c>
      <c r="W983">
        <v>0.91512503332874395</v>
      </c>
      <c r="X983">
        <v>0</v>
      </c>
      <c r="Y983">
        <v>0</v>
      </c>
    </row>
    <row r="984" spans="1:25" x14ac:dyDescent="0.2">
      <c r="A984" t="s">
        <v>3631</v>
      </c>
      <c r="B984" t="s">
        <v>3632</v>
      </c>
      <c r="C984" t="s">
        <v>14350</v>
      </c>
      <c r="D984" t="s">
        <v>3633</v>
      </c>
      <c r="E984" t="s">
        <v>3632</v>
      </c>
      <c r="F984" t="s">
        <v>28</v>
      </c>
      <c r="G984" t="s">
        <v>3632</v>
      </c>
      <c r="H984" t="str">
        <f>"Y53C12B.1"</f>
        <v>Y53C12B.1</v>
      </c>
      <c r="I984" t="s">
        <v>3633</v>
      </c>
      <c r="J984">
        <v>12.6079351183319</v>
      </c>
      <c r="K984">
        <v>12.3449350445813</v>
      </c>
      <c r="L984">
        <v>12.4334933530369</v>
      </c>
      <c r="M984">
        <v>12.532844072972599</v>
      </c>
      <c r="N984">
        <v>12.4719570368168</v>
      </c>
      <c r="O984">
        <v>12.4489511575454</v>
      </c>
      <c r="P984">
        <v>2.2462917128212499E-2</v>
      </c>
      <c r="Q984">
        <v>-0.63193519077553295</v>
      </c>
      <c r="R984">
        <v>0.676861025031958</v>
      </c>
      <c r="S984">
        <v>12.315143756550199</v>
      </c>
      <c r="T984">
        <v>7.2146726890922705E-2</v>
      </c>
      <c r="U984">
        <v>-6.8797702927077804</v>
      </c>
      <c r="V984">
        <v>0.94328538767546299</v>
      </c>
      <c r="W984">
        <v>0.99926809132575301</v>
      </c>
      <c r="X984">
        <v>0</v>
      </c>
      <c r="Y984">
        <v>0</v>
      </c>
    </row>
    <row r="985" spans="1:25" x14ac:dyDescent="0.2">
      <c r="A985" t="s">
        <v>3634</v>
      </c>
      <c r="B985" t="s">
        <v>3635</v>
      </c>
      <c r="C985" t="s">
        <v>3636</v>
      </c>
      <c r="D985" t="s">
        <v>3637</v>
      </c>
      <c r="E985" t="s">
        <v>3635</v>
      </c>
      <c r="F985" t="s">
        <v>28</v>
      </c>
      <c r="G985" t="s">
        <v>3635</v>
      </c>
      <c r="H985" t="str">
        <f>"pno-1"</f>
        <v>pno-1</v>
      </c>
      <c r="I985" t="s">
        <v>3637</v>
      </c>
      <c r="J985">
        <v>13.9586941933443</v>
      </c>
      <c r="K985">
        <v>14.0006348222237</v>
      </c>
      <c r="L985">
        <v>13.8594888097533</v>
      </c>
      <c r="M985">
        <v>13.611885427525801</v>
      </c>
      <c r="N985">
        <v>14.0418050773728</v>
      </c>
      <c r="O985">
        <v>13.6066417459094</v>
      </c>
      <c r="P985">
        <v>-0.18616185817108299</v>
      </c>
      <c r="Q985">
        <v>-1.09883937855068</v>
      </c>
      <c r="R985">
        <v>0.72651566220851405</v>
      </c>
      <c r="S985">
        <v>14.1350213706533</v>
      </c>
      <c r="T985">
        <v>-0.42871222171573498</v>
      </c>
      <c r="U985">
        <v>-6.78695231944846</v>
      </c>
      <c r="V985">
        <v>0.67324889792264897</v>
      </c>
      <c r="W985">
        <v>0.98642420921484297</v>
      </c>
      <c r="X985">
        <v>0</v>
      </c>
      <c r="Y985">
        <v>0</v>
      </c>
    </row>
    <row r="986" spans="1:25" x14ac:dyDescent="0.2">
      <c r="A986" t="s">
        <v>3638</v>
      </c>
      <c r="B986" t="s">
        <v>3639</v>
      </c>
      <c r="C986" t="s">
        <v>3640</v>
      </c>
      <c r="D986" t="s">
        <v>3641</v>
      </c>
      <c r="E986" t="s">
        <v>3639</v>
      </c>
      <c r="F986" t="s">
        <v>28</v>
      </c>
      <c r="G986" t="s">
        <v>3639</v>
      </c>
      <c r="H986" t="str">
        <f>"Y57G11C.3"</f>
        <v>Y57G11C.3</v>
      </c>
      <c r="I986" t="s">
        <v>3641</v>
      </c>
      <c r="J986">
        <v>13.0030756290667</v>
      </c>
      <c r="K986">
        <v>12.6805822018966</v>
      </c>
      <c r="L986">
        <v>12.878183072931501</v>
      </c>
      <c r="M986">
        <v>12.775572196371</v>
      </c>
      <c r="N986">
        <v>12.6531566755631</v>
      </c>
      <c r="O986">
        <v>13.2046535805452</v>
      </c>
      <c r="P986">
        <v>2.3847182861453899E-2</v>
      </c>
      <c r="Q986">
        <v>-0.57190038531538501</v>
      </c>
      <c r="R986">
        <v>0.61959475103829298</v>
      </c>
      <c r="S986">
        <v>12.444427149207501</v>
      </c>
      <c r="T986">
        <v>8.4133182414935906E-2</v>
      </c>
      <c r="U986">
        <v>-6.8787918664371004</v>
      </c>
      <c r="V986">
        <v>0.93388459875085705</v>
      </c>
      <c r="W986">
        <v>0.99926809132575301</v>
      </c>
      <c r="X986">
        <v>0</v>
      </c>
      <c r="Y986">
        <v>0</v>
      </c>
    </row>
    <row r="987" spans="1:25" x14ac:dyDescent="0.2">
      <c r="A987" t="s">
        <v>3642</v>
      </c>
      <c r="B987" t="s">
        <v>3643</v>
      </c>
      <c r="C987" t="s">
        <v>3644</v>
      </c>
      <c r="D987" t="s">
        <v>3645</v>
      </c>
      <c r="E987" t="s">
        <v>3643</v>
      </c>
      <c r="F987" t="s">
        <v>28</v>
      </c>
      <c r="G987" t="s">
        <v>3643</v>
      </c>
      <c r="H987" t="str">
        <f>"coq-3"</f>
        <v>coq-3</v>
      </c>
      <c r="I987" t="s">
        <v>3645</v>
      </c>
      <c r="J987">
        <v>14.2583601036337</v>
      </c>
      <c r="K987">
        <v>14.3322143851146</v>
      </c>
      <c r="L987">
        <v>13.899620593990401</v>
      </c>
      <c r="M987">
        <v>14.629368747149799</v>
      </c>
      <c r="N987">
        <v>14.5944303948575</v>
      </c>
      <c r="O987">
        <v>14.5092209717938</v>
      </c>
      <c r="P987">
        <v>0.41427501035414099</v>
      </c>
      <c r="Q987">
        <v>-4.39629603856624E-2</v>
      </c>
      <c r="R987">
        <v>0.87251298109394404</v>
      </c>
      <c r="S987">
        <v>14.1555461711643</v>
      </c>
      <c r="T987">
        <v>1.9175521927149799</v>
      </c>
      <c r="U987">
        <v>-5.1447223241785602</v>
      </c>
      <c r="V987">
        <v>7.3318444185928797E-2</v>
      </c>
      <c r="W987">
        <v>0.57820801481225403</v>
      </c>
      <c r="X987">
        <v>0</v>
      </c>
      <c r="Y987">
        <v>0</v>
      </c>
    </row>
    <row r="988" spans="1:25" x14ac:dyDescent="0.2">
      <c r="A988" t="s">
        <v>3646</v>
      </c>
      <c r="B988" t="s">
        <v>3647</v>
      </c>
      <c r="C988" t="s">
        <v>3648</v>
      </c>
      <c r="D988" t="s">
        <v>3649</v>
      </c>
      <c r="E988" t="s">
        <v>3647</v>
      </c>
      <c r="F988" t="s">
        <v>28</v>
      </c>
      <c r="G988" t="s">
        <v>3647</v>
      </c>
      <c r="H988" t="str">
        <f>"nuo-3"</f>
        <v>nuo-3</v>
      </c>
      <c r="I988" t="s">
        <v>3649</v>
      </c>
      <c r="J988" t="s">
        <v>29</v>
      </c>
      <c r="K988" t="s">
        <v>29</v>
      </c>
      <c r="L988" t="s">
        <v>29</v>
      </c>
      <c r="M988">
        <v>10.2727262825937</v>
      </c>
      <c r="N988">
        <v>11.487020866595</v>
      </c>
      <c r="O988" t="s">
        <v>29</v>
      </c>
      <c r="P988" t="s">
        <v>29</v>
      </c>
      <c r="Q988" t="s">
        <v>29</v>
      </c>
      <c r="R988" t="s">
        <v>29</v>
      </c>
      <c r="S988">
        <v>12.5913006097025</v>
      </c>
      <c r="T988" t="s">
        <v>29</v>
      </c>
      <c r="U988" t="s">
        <v>29</v>
      </c>
      <c r="V988" t="s">
        <v>29</v>
      </c>
      <c r="W988" t="s">
        <v>29</v>
      </c>
      <c r="X988" t="s">
        <v>29</v>
      </c>
      <c r="Y988" t="s">
        <v>29</v>
      </c>
    </row>
    <row r="989" spans="1:25" x14ac:dyDescent="0.2">
      <c r="A989" t="s">
        <v>3650</v>
      </c>
      <c r="B989" t="s">
        <v>3651</v>
      </c>
      <c r="C989" t="s">
        <v>14351</v>
      </c>
      <c r="D989" t="s">
        <v>368</v>
      </c>
      <c r="E989" t="s">
        <v>3651</v>
      </c>
      <c r="F989" t="s">
        <v>28</v>
      </c>
      <c r="G989" t="s">
        <v>3651</v>
      </c>
      <c r="H989" t="str">
        <f>"Y57G11C.14"</f>
        <v>Y57G11C.14</v>
      </c>
      <c r="I989" t="s">
        <v>368</v>
      </c>
      <c r="J989">
        <v>13.042471600552</v>
      </c>
      <c r="K989">
        <v>11.0639039163677</v>
      </c>
      <c r="L989">
        <v>12.7036826366142</v>
      </c>
      <c r="M989">
        <v>13.070975632964799</v>
      </c>
      <c r="N989">
        <v>13.7751815974823</v>
      </c>
      <c r="O989">
        <v>11.8411641699039</v>
      </c>
      <c r="P989">
        <v>0.62575441560572498</v>
      </c>
      <c r="Q989">
        <v>-1.2008100940976301</v>
      </c>
      <c r="R989">
        <v>2.45231892530908</v>
      </c>
      <c r="S989">
        <v>11.793826678434099</v>
      </c>
      <c r="T989">
        <v>0.72663855521010301</v>
      </c>
      <c r="U989">
        <v>-6.6093310254648499</v>
      </c>
      <c r="V989">
        <v>0.47801286436067197</v>
      </c>
      <c r="W989">
        <v>0.93764446794243095</v>
      </c>
      <c r="X989">
        <v>0</v>
      </c>
      <c r="Y989">
        <v>0</v>
      </c>
    </row>
    <row r="990" spans="1:25" x14ac:dyDescent="0.2">
      <c r="A990" t="s">
        <v>3652</v>
      </c>
      <c r="B990" t="s">
        <v>3653</v>
      </c>
      <c r="C990" t="s">
        <v>3654</v>
      </c>
      <c r="D990" t="s">
        <v>3655</v>
      </c>
      <c r="E990" t="s">
        <v>3653</v>
      </c>
      <c r="F990" t="s">
        <v>28</v>
      </c>
      <c r="G990" t="s">
        <v>3653</v>
      </c>
      <c r="H990" t="str">
        <f>"sec-61.a"</f>
        <v>sec-61.a</v>
      </c>
      <c r="I990" t="s">
        <v>3655</v>
      </c>
      <c r="J990">
        <v>20.885489182744301</v>
      </c>
      <c r="K990">
        <v>20.9002119845224</v>
      </c>
      <c r="L990">
        <v>21.196130349632199</v>
      </c>
      <c r="M990">
        <v>21.149544851754001</v>
      </c>
      <c r="N990">
        <v>21.193009795469798</v>
      </c>
      <c r="O990">
        <v>20.893574109764899</v>
      </c>
      <c r="P990">
        <v>8.4765746696586305E-2</v>
      </c>
      <c r="Q990">
        <v>-0.30300285713410202</v>
      </c>
      <c r="R990">
        <v>0.47253435052727499</v>
      </c>
      <c r="S990">
        <v>21.255926690944701</v>
      </c>
      <c r="T990">
        <v>0.45945212258170698</v>
      </c>
      <c r="U990">
        <v>-6.7728443120221797</v>
      </c>
      <c r="V990">
        <v>0.65144191603367996</v>
      </c>
      <c r="W990">
        <v>0.98143897535540403</v>
      </c>
      <c r="X990">
        <v>0</v>
      </c>
      <c r="Y990">
        <v>0</v>
      </c>
    </row>
    <row r="991" spans="1:25" x14ac:dyDescent="0.2">
      <c r="A991" t="s">
        <v>3656</v>
      </c>
      <c r="B991" t="s">
        <v>3657</v>
      </c>
      <c r="C991" t="s">
        <v>3658</v>
      </c>
      <c r="D991" t="s">
        <v>3659</v>
      </c>
      <c r="E991" t="s">
        <v>3657</v>
      </c>
      <c r="F991" t="s">
        <v>28</v>
      </c>
      <c r="G991" t="s">
        <v>3657</v>
      </c>
      <c r="H991" t="str">
        <f>"rps-18"</f>
        <v>rps-18</v>
      </c>
      <c r="I991" t="s">
        <v>3659</v>
      </c>
      <c r="J991">
        <v>18.1776578363231</v>
      </c>
      <c r="K991">
        <v>18.3060934734943</v>
      </c>
      <c r="L991">
        <v>18.589369497518302</v>
      </c>
      <c r="M991">
        <v>18.422076569049299</v>
      </c>
      <c r="N991">
        <v>17.641727303708201</v>
      </c>
      <c r="O991">
        <v>18.300079987856801</v>
      </c>
      <c r="P991">
        <v>-0.236412315573787</v>
      </c>
      <c r="Q991">
        <v>-0.76525541542601205</v>
      </c>
      <c r="R991">
        <v>0.29243078427843799</v>
      </c>
      <c r="S991">
        <v>18.4057054700714</v>
      </c>
      <c r="T991">
        <v>-0.93958433546548603</v>
      </c>
      <c r="U991">
        <v>-6.4323490552464104</v>
      </c>
      <c r="V991">
        <v>0.35994136955025102</v>
      </c>
      <c r="W991">
        <v>0.88535467691295999</v>
      </c>
      <c r="X991">
        <v>0</v>
      </c>
      <c r="Y991">
        <v>0</v>
      </c>
    </row>
    <row r="992" spans="1:25" x14ac:dyDescent="0.2">
      <c r="A992" t="s">
        <v>3660</v>
      </c>
      <c r="B992" t="s">
        <v>3661</v>
      </c>
      <c r="C992" t="s">
        <v>14352</v>
      </c>
      <c r="D992" t="s">
        <v>3662</v>
      </c>
      <c r="E992" t="s">
        <v>3661</v>
      </c>
      <c r="F992" t="s">
        <v>28</v>
      </c>
      <c r="G992" t="s">
        <v>3661</v>
      </c>
      <c r="H992" t="str">
        <f>"Y57G11C.31"</f>
        <v>Y57G11C.31</v>
      </c>
      <c r="I992" t="s">
        <v>3662</v>
      </c>
      <c r="J992">
        <v>12.981612202057001</v>
      </c>
      <c r="K992" t="s">
        <v>29</v>
      </c>
      <c r="L992">
        <v>11.8368781098343</v>
      </c>
      <c r="M992">
        <v>12.246250084370701</v>
      </c>
      <c r="N992">
        <v>12.2969710168696</v>
      </c>
      <c r="O992" t="s">
        <v>29</v>
      </c>
      <c r="P992">
        <v>-0.137634605325507</v>
      </c>
      <c r="Q992">
        <v>-1.07694600329673</v>
      </c>
      <c r="R992">
        <v>0.80167679264571401</v>
      </c>
      <c r="S992">
        <v>12.560832260897101</v>
      </c>
      <c r="T992">
        <v>-0.31681467784762801</v>
      </c>
      <c r="U992">
        <v>-6.6292912854558699</v>
      </c>
      <c r="V992">
        <v>0.75645483669523605</v>
      </c>
      <c r="W992">
        <v>0.99278624068726296</v>
      </c>
      <c r="X992">
        <v>0</v>
      </c>
      <c r="Y992">
        <v>0</v>
      </c>
    </row>
    <row r="993" spans="1:25" x14ac:dyDescent="0.2">
      <c r="A993" t="s">
        <v>3663</v>
      </c>
      <c r="B993" t="s">
        <v>3664</v>
      </c>
      <c r="C993" t="s">
        <v>14353</v>
      </c>
      <c r="D993" t="s">
        <v>3665</v>
      </c>
      <c r="E993" t="s">
        <v>3664</v>
      </c>
      <c r="F993" t="s">
        <v>28</v>
      </c>
      <c r="G993" t="s">
        <v>3664</v>
      </c>
      <c r="H993" t="str">
        <f>"ZK909.3"</f>
        <v>ZK909.3</v>
      </c>
      <c r="I993" t="s">
        <v>3665</v>
      </c>
      <c r="J993" t="s">
        <v>29</v>
      </c>
      <c r="K993" t="s">
        <v>29</v>
      </c>
      <c r="L993" t="s">
        <v>29</v>
      </c>
      <c r="M993">
        <v>12.902486587319</v>
      </c>
      <c r="N993">
        <v>11.741313034794199</v>
      </c>
      <c r="O993" t="s">
        <v>29</v>
      </c>
      <c r="P993" t="s">
        <v>29</v>
      </c>
      <c r="Q993" t="s">
        <v>29</v>
      </c>
      <c r="R993" t="s">
        <v>29</v>
      </c>
      <c r="S993">
        <v>11.559762825224601</v>
      </c>
      <c r="T993" t="s">
        <v>29</v>
      </c>
      <c r="U993" t="s">
        <v>29</v>
      </c>
      <c r="V993" t="s">
        <v>29</v>
      </c>
      <c r="W993" t="s">
        <v>29</v>
      </c>
      <c r="X993" t="s">
        <v>29</v>
      </c>
      <c r="Y993" t="s">
        <v>29</v>
      </c>
    </row>
    <row r="994" spans="1:25" x14ac:dyDescent="0.2">
      <c r="A994" t="s">
        <v>3666</v>
      </c>
      <c r="B994" t="s">
        <v>3667</v>
      </c>
      <c r="C994" t="s">
        <v>3668</v>
      </c>
      <c r="D994" t="s">
        <v>3669</v>
      </c>
      <c r="E994" t="s">
        <v>3667</v>
      </c>
      <c r="F994" t="s">
        <v>28</v>
      </c>
      <c r="G994" t="s">
        <v>3667</v>
      </c>
      <c r="H994" t="str">
        <f>"rps-19"</f>
        <v>rps-19</v>
      </c>
      <c r="I994" t="s">
        <v>3669</v>
      </c>
      <c r="J994">
        <v>15.253929050420499</v>
      </c>
      <c r="K994">
        <v>15.783641196865601</v>
      </c>
      <c r="L994">
        <v>15.788760150698501</v>
      </c>
      <c r="M994">
        <v>16.559950877662001</v>
      </c>
      <c r="N994">
        <v>15.1655625812125</v>
      </c>
      <c r="O994">
        <v>15.8377789684289</v>
      </c>
      <c r="P994">
        <v>0.24565400977298199</v>
      </c>
      <c r="Q994">
        <v>-0.69580691605272005</v>
      </c>
      <c r="R994">
        <v>1.1871149355986801</v>
      </c>
      <c r="S994">
        <v>15.851878552477601</v>
      </c>
      <c r="T994">
        <v>0.54842099292855995</v>
      </c>
      <c r="U994">
        <v>-6.7266595866096601</v>
      </c>
      <c r="V994">
        <v>0.59017990467386305</v>
      </c>
      <c r="W994">
        <v>0.96347128208895305</v>
      </c>
      <c r="X994">
        <v>0</v>
      </c>
      <c r="Y994">
        <v>0</v>
      </c>
    </row>
    <row r="995" spans="1:25" x14ac:dyDescent="0.2">
      <c r="A995" t="s">
        <v>3670</v>
      </c>
      <c r="B995" t="s">
        <v>3671</v>
      </c>
      <c r="C995" t="s">
        <v>3672</v>
      </c>
      <c r="D995" t="s">
        <v>3673</v>
      </c>
      <c r="E995" t="s">
        <v>3671</v>
      </c>
      <c r="F995" t="s">
        <v>28</v>
      </c>
      <c r="G995" t="s">
        <v>3671</v>
      </c>
      <c r="H995" t="str">
        <f>"acs-2"</f>
        <v>acs-2</v>
      </c>
      <c r="I995" t="s">
        <v>3673</v>
      </c>
      <c r="J995">
        <v>16.051577380977101</v>
      </c>
      <c r="K995">
        <v>16.276167920083701</v>
      </c>
      <c r="L995">
        <v>14.700946339679399</v>
      </c>
      <c r="M995">
        <v>14.332590619506</v>
      </c>
      <c r="N995">
        <v>14.000785711999701</v>
      </c>
      <c r="O995">
        <v>15.2950639858065</v>
      </c>
      <c r="P995">
        <v>-1.13341710780931</v>
      </c>
      <c r="Q995">
        <v>-2.0194915112217098</v>
      </c>
      <c r="R995">
        <v>-0.247342704396912</v>
      </c>
      <c r="S995">
        <v>14.4948429634506</v>
      </c>
      <c r="T995">
        <v>-2.6885126592116002</v>
      </c>
      <c r="U995">
        <v>-3.7165264936063802</v>
      </c>
      <c r="V995">
        <v>1.5065810676295701E-2</v>
      </c>
      <c r="W995">
        <v>0.236988506661205</v>
      </c>
      <c r="X995">
        <v>-1</v>
      </c>
      <c r="Y995">
        <v>0</v>
      </c>
    </row>
    <row r="996" spans="1:25" x14ac:dyDescent="0.2">
      <c r="A996" t="s">
        <v>3674</v>
      </c>
      <c r="B996" t="s">
        <v>3675</v>
      </c>
      <c r="C996" t="s">
        <v>14354</v>
      </c>
      <c r="D996" t="s">
        <v>3676</v>
      </c>
      <c r="E996" t="s">
        <v>3675</v>
      </c>
      <c r="F996" t="s">
        <v>28</v>
      </c>
      <c r="G996" t="s">
        <v>3675</v>
      </c>
      <c r="H996" t="str">
        <f>"T04D3.1"</f>
        <v>T04D3.1</v>
      </c>
      <c r="I996" t="s">
        <v>3676</v>
      </c>
      <c r="J996" t="s">
        <v>29</v>
      </c>
      <c r="K996">
        <v>11.0050463309381</v>
      </c>
      <c r="L996">
        <v>11.4826183233259</v>
      </c>
      <c r="M996">
        <v>11.236465038868999</v>
      </c>
      <c r="N996" t="s">
        <v>29</v>
      </c>
      <c r="O996" t="s">
        <v>29</v>
      </c>
      <c r="P996">
        <v>-7.3672882629853796E-3</v>
      </c>
      <c r="Q996">
        <v>-1.1802416579433599</v>
      </c>
      <c r="R996">
        <v>1.16550708141739</v>
      </c>
      <c r="S996">
        <v>12.106070478336299</v>
      </c>
      <c r="T996">
        <v>-1.38415224160067E-2</v>
      </c>
      <c r="U996">
        <v>-6.4833242310078401</v>
      </c>
      <c r="V996">
        <v>0.98920662560332495</v>
      </c>
      <c r="W996">
        <v>0.99968702248720698</v>
      </c>
      <c r="X996">
        <v>0</v>
      </c>
      <c r="Y996">
        <v>0</v>
      </c>
    </row>
    <row r="997" spans="1:25" x14ac:dyDescent="0.2">
      <c r="A997" t="s">
        <v>3677</v>
      </c>
      <c r="B997" t="s">
        <v>3678</v>
      </c>
      <c r="C997" t="s">
        <v>3679</v>
      </c>
      <c r="D997" t="s">
        <v>3680</v>
      </c>
      <c r="E997" t="s">
        <v>3678</v>
      </c>
      <c r="F997" t="s">
        <v>28</v>
      </c>
      <c r="G997" t="s">
        <v>3678</v>
      </c>
      <c r="H997" t="str">
        <f>"cec-2"</f>
        <v>cec-2</v>
      </c>
      <c r="I997" t="s">
        <v>3680</v>
      </c>
      <c r="J997" t="s">
        <v>29</v>
      </c>
      <c r="K997" t="s">
        <v>29</v>
      </c>
      <c r="L997">
        <v>9.7229609416377407</v>
      </c>
      <c r="M997" t="s">
        <v>29</v>
      </c>
      <c r="N997" t="s">
        <v>29</v>
      </c>
      <c r="O997" t="s">
        <v>29</v>
      </c>
      <c r="P997" t="s">
        <v>29</v>
      </c>
      <c r="Q997" t="s">
        <v>29</v>
      </c>
      <c r="R997" t="s">
        <v>29</v>
      </c>
      <c r="S997">
        <v>10.7803240891259</v>
      </c>
      <c r="T997" t="s">
        <v>29</v>
      </c>
      <c r="U997" t="s">
        <v>29</v>
      </c>
      <c r="V997" t="s">
        <v>29</v>
      </c>
      <c r="W997" t="s">
        <v>29</v>
      </c>
      <c r="X997" t="s">
        <v>29</v>
      </c>
      <c r="Y997" t="s">
        <v>29</v>
      </c>
    </row>
    <row r="998" spans="1:25" x14ac:dyDescent="0.2">
      <c r="A998" t="s">
        <v>3681</v>
      </c>
      <c r="B998" t="s">
        <v>3682</v>
      </c>
      <c r="C998" t="s">
        <v>3683</v>
      </c>
      <c r="D998" t="s">
        <v>3684</v>
      </c>
      <c r="E998" t="s">
        <v>3682</v>
      </c>
      <c r="F998" t="s">
        <v>28</v>
      </c>
      <c r="G998" t="s">
        <v>3682</v>
      </c>
      <c r="H998" t="str">
        <f>"perm-4"</f>
        <v>perm-4</v>
      </c>
      <c r="I998" t="s">
        <v>3684</v>
      </c>
      <c r="J998">
        <v>13.6117150530633</v>
      </c>
      <c r="K998">
        <v>14.311393143573699</v>
      </c>
      <c r="L998">
        <v>15.1034931551065</v>
      </c>
      <c r="M998">
        <v>13.801578295473499</v>
      </c>
      <c r="N998">
        <v>14.5142164743772</v>
      </c>
      <c r="O998">
        <v>15.0782590176547</v>
      </c>
      <c r="P998">
        <v>0.122484145253971</v>
      </c>
      <c r="Q998">
        <v>-0.672804361072046</v>
      </c>
      <c r="R998">
        <v>0.917772651579987</v>
      </c>
      <c r="S998">
        <v>14.879529585207299</v>
      </c>
      <c r="T998">
        <v>0.32370371454075603</v>
      </c>
      <c r="U998">
        <v>-6.8279013958380803</v>
      </c>
      <c r="V998">
        <v>0.74991485807742297</v>
      </c>
      <c r="W998">
        <v>0.99184638945407499</v>
      </c>
      <c r="X998">
        <v>0</v>
      </c>
      <c r="Y998">
        <v>0</v>
      </c>
    </row>
    <row r="999" spans="1:25" x14ac:dyDescent="0.2">
      <c r="A999" t="s">
        <v>3685</v>
      </c>
      <c r="B999" t="s">
        <v>3686</v>
      </c>
      <c r="C999" t="s">
        <v>3687</v>
      </c>
      <c r="D999" t="s">
        <v>3688</v>
      </c>
      <c r="E999" t="s">
        <v>3686</v>
      </c>
      <c r="F999" t="s">
        <v>28</v>
      </c>
      <c r="G999" t="s">
        <v>3686</v>
      </c>
      <c r="H999" t="str">
        <f>"perm-2"</f>
        <v>perm-2</v>
      </c>
      <c r="I999" t="s">
        <v>3688</v>
      </c>
      <c r="J999">
        <v>13.881478376873099</v>
      </c>
      <c r="K999">
        <v>13.7152284462325</v>
      </c>
      <c r="L999">
        <v>14.735495320022901</v>
      </c>
      <c r="M999">
        <v>13.8494052103618</v>
      </c>
      <c r="N999">
        <v>13.8093952573936</v>
      </c>
      <c r="O999">
        <v>14.6734636058244</v>
      </c>
      <c r="P999" s="2">
        <v>2.0643483747306801E-5</v>
      </c>
      <c r="Q999">
        <v>-0.88982854534662303</v>
      </c>
      <c r="R999">
        <v>0.88986983231411798</v>
      </c>
      <c r="S999">
        <v>14.0314017347169</v>
      </c>
      <c r="T999" s="2">
        <v>4.8759483206364202E-5</v>
      </c>
      <c r="U999">
        <v>-6.8824895731783897</v>
      </c>
      <c r="V999">
        <v>0.99996163501229596</v>
      </c>
      <c r="W999">
        <v>0.99996163501229596</v>
      </c>
      <c r="X999">
        <v>0</v>
      </c>
      <c r="Y999">
        <v>0</v>
      </c>
    </row>
    <row r="1000" spans="1:25" x14ac:dyDescent="0.2">
      <c r="A1000" t="s">
        <v>3689</v>
      </c>
      <c r="B1000" t="s">
        <v>3690</v>
      </c>
      <c r="C1000" t="s">
        <v>3691</v>
      </c>
      <c r="D1000" t="s">
        <v>3692</v>
      </c>
      <c r="E1000" t="s">
        <v>3690</v>
      </c>
      <c r="F1000" t="s">
        <v>28</v>
      </c>
      <c r="G1000" t="s">
        <v>3690</v>
      </c>
      <c r="H1000" t="str">
        <f>"C49A9.6"</f>
        <v>C49A9.6</v>
      </c>
      <c r="I1000" t="s">
        <v>3692</v>
      </c>
      <c r="J1000">
        <v>13.864168518281</v>
      </c>
      <c r="K1000">
        <v>13.8755510933689</v>
      </c>
      <c r="L1000">
        <v>13.4432804932867</v>
      </c>
      <c r="M1000">
        <v>13.39012470178</v>
      </c>
      <c r="N1000">
        <v>13.862022616548201</v>
      </c>
      <c r="O1000">
        <v>13.629573401335501</v>
      </c>
      <c r="P1000">
        <v>-0.100426461757603</v>
      </c>
      <c r="Q1000">
        <v>-0.475819608627018</v>
      </c>
      <c r="R1000">
        <v>0.27496668511181099</v>
      </c>
      <c r="S1000">
        <v>13.277194365001099</v>
      </c>
      <c r="T1000">
        <v>-0.562282199542811</v>
      </c>
      <c r="U1000">
        <v>-6.7187530850374904</v>
      </c>
      <c r="V1000">
        <v>0.58089958112042095</v>
      </c>
      <c r="W1000">
        <v>0.96271278633355095</v>
      </c>
      <c r="X1000">
        <v>0</v>
      </c>
      <c r="Y1000">
        <v>0</v>
      </c>
    </row>
    <row r="1001" spans="1:25" x14ac:dyDescent="0.2">
      <c r="A1001" t="s">
        <v>3693</v>
      </c>
      <c r="B1001" t="s">
        <v>3694</v>
      </c>
      <c r="C1001" t="s">
        <v>3695</v>
      </c>
      <c r="D1001" t="s">
        <v>368</v>
      </c>
      <c r="E1001" t="s">
        <v>3694</v>
      </c>
      <c r="F1001" t="s">
        <v>28</v>
      </c>
      <c r="G1001" t="s">
        <v>3694</v>
      </c>
      <c r="H1001" t="str">
        <f>"C49A9.5"</f>
        <v>C49A9.5</v>
      </c>
      <c r="I1001" t="s">
        <v>368</v>
      </c>
      <c r="J1001">
        <v>12.975359981151099</v>
      </c>
      <c r="K1001">
        <v>13.254479992091801</v>
      </c>
      <c r="L1001">
        <v>12.757199283552</v>
      </c>
      <c r="M1001">
        <v>13.0053062059691</v>
      </c>
      <c r="N1001">
        <v>12.9772226043968</v>
      </c>
      <c r="O1001">
        <v>12.9498040440899</v>
      </c>
      <c r="P1001">
        <v>-1.82354674463596E-2</v>
      </c>
      <c r="Q1001">
        <v>-0.48760239961844398</v>
      </c>
      <c r="R1001">
        <v>0.45113146472572502</v>
      </c>
      <c r="S1001">
        <v>12.8379335697177</v>
      </c>
      <c r="T1001">
        <v>-8.2007660797700999E-2</v>
      </c>
      <c r="U1001">
        <v>-6.8789653417069996</v>
      </c>
      <c r="V1001">
        <v>0.93560434354364497</v>
      </c>
      <c r="W1001">
        <v>0.99926809132575301</v>
      </c>
      <c r="X1001">
        <v>0</v>
      </c>
      <c r="Y1001">
        <v>0</v>
      </c>
    </row>
    <row r="1002" spans="1:25" x14ac:dyDescent="0.2">
      <c r="A1002" t="s">
        <v>3696</v>
      </c>
      <c r="B1002" t="s">
        <v>3697</v>
      </c>
      <c r="C1002" t="s">
        <v>3698</v>
      </c>
      <c r="D1002" t="s">
        <v>3699</v>
      </c>
      <c r="E1002" t="s">
        <v>3697</v>
      </c>
      <c r="F1002" t="s">
        <v>28</v>
      </c>
      <c r="G1002" t="s">
        <v>3697</v>
      </c>
      <c r="H1002" t="str">
        <f>"C49A9.2"</f>
        <v>C49A9.2</v>
      </c>
      <c r="I1002" t="s">
        <v>3699</v>
      </c>
      <c r="J1002">
        <v>12.5577642361238</v>
      </c>
      <c r="K1002">
        <v>12.063087751324799</v>
      </c>
      <c r="L1002">
        <v>11.961072368788701</v>
      </c>
      <c r="M1002">
        <v>12.3376705813826</v>
      </c>
      <c r="N1002">
        <v>12.480873603129099</v>
      </c>
      <c r="O1002">
        <v>12.1677746980329</v>
      </c>
      <c r="P1002">
        <v>0.13479817543573899</v>
      </c>
      <c r="Q1002">
        <v>-0.41168927822135698</v>
      </c>
      <c r="R1002">
        <v>0.68128562909283497</v>
      </c>
      <c r="S1002">
        <v>12.001684679010401</v>
      </c>
      <c r="T1002">
        <v>0.52318266752223697</v>
      </c>
      <c r="U1002">
        <v>-6.7397571530587799</v>
      </c>
      <c r="V1002">
        <v>0.60806416048368095</v>
      </c>
      <c r="W1002">
        <v>0.97103528123305605</v>
      </c>
      <c r="X1002">
        <v>0</v>
      </c>
      <c r="Y1002">
        <v>0</v>
      </c>
    </row>
    <row r="1003" spans="1:25" x14ac:dyDescent="0.2">
      <c r="A1003" t="s">
        <v>3700</v>
      </c>
      <c r="B1003" t="s">
        <v>3701</v>
      </c>
      <c r="C1003" t="s">
        <v>3702</v>
      </c>
      <c r="D1003" t="s">
        <v>3703</v>
      </c>
      <c r="E1003" t="s">
        <v>3701</v>
      </c>
      <c r="F1003" t="s">
        <v>28</v>
      </c>
      <c r="G1003" t="s">
        <v>3701</v>
      </c>
      <c r="H1003" t="str">
        <f>"pas-6"</f>
        <v>pas-6</v>
      </c>
      <c r="I1003" t="s">
        <v>3703</v>
      </c>
      <c r="J1003">
        <v>11.4256807032754</v>
      </c>
      <c r="K1003">
        <v>12.476300891739999</v>
      </c>
      <c r="L1003">
        <v>12.276486390550501</v>
      </c>
      <c r="M1003">
        <v>12.6394390078227</v>
      </c>
      <c r="N1003" t="s">
        <v>29</v>
      </c>
      <c r="O1003" t="s">
        <v>29</v>
      </c>
      <c r="P1003">
        <v>0.57994967930071595</v>
      </c>
      <c r="Q1003">
        <v>-0.372748577238666</v>
      </c>
      <c r="R1003">
        <v>1.5326479358401</v>
      </c>
      <c r="S1003">
        <v>12.7324226403015</v>
      </c>
      <c r="T1003">
        <v>1.3414133848240599</v>
      </c>
      <c r="U1003">
        <v>-5.6519441115240001</v>
      </c>
      <c r="V1003">
        <v>0.20707791769612999</v>
      </c>
      <c r="W1003">
        <v>0.79075284576134597</v>
      </c>
      <c r="X1003">
        <v>0</v>
      </c>
      <c r="Y1003">
        <v>0</v>
      </c>
    </row>
    <row r="1004" spans="1:25" x14ac:dyDescent="0.2">
      <c r="A1004" t="s">
        <v>3704</v>
      </c>
      <c r="B1004" t="s">
        <v>3705</v>
      </c>
      <c r="C1004" t="s">
        <v>3706</v>
      </c>
      <c r="D1004" t="s">
        <v>3707</v>
      </c>
      <c r="E1004" t="s">
        <v>3705</v>
      </c>
      <c r="F1004" t="s">
        <v>28</v>
      </c>
      <c r="G1004" t="s">
        <v>3708</v>
      </c>
      <c r="H1004" t="str">
        <f>"snpc-3.1"</f>
        <v>snpc-3.1</v>
      </c>
      <c r="I1004" t="s">
        <v>3707</v>
      </c>
      <c r="J1004" t="s">
        <v>29</v>
      </c>
      <c r="K1004" t="s">
        <v>29</v>
      </c>
      <c r="L1004" t="s">
        <v>29</v>
      </c>
      <c r="M1004" t="s">
        <v>29</v>
      </c>
      <c r="N1004" t="s">
        <v>29</v>
      </c>
      <c r="O1004" t="s">
        <v>29</v>
      </c>
      <c r="P1004" t="s">
        <v>29</v>
      </c>
      <c r="Q1004" t="s">
        <v>29</v>
      </c>
      <c r="R1004" t="s">
        <v>29</v>
      </c>
      <c r="S1004">
        <v>12.676356083353101</v>
      </c>
      <c r="T1004" t="s">
        <v>29</v>
      </c>
      <c r="U1004" t="s">
        <v>29</v>
      </c>
      <c r="V1004" t="s">
        <v>29</v>
      </c>
      <c r="W1004" t="s">
        <v>29</v>
      </c>
      <c r="X1004" t="s">
        <v>29</v>
      </c>
      <c r="Y1004" t="s">
        <v>29</v>
      </c>
    </row>
    <row r="1005" spans="1:25" x14ac:dyDescent="0.2">
      <c r="A1005" t="s">
        <v>3709</v>
      </c>
      <c r="B1005" t="s">
        <v>3710</v>
      </c>
      <c r="C1005" t="s">
        <v>3711</v>
      </c>
      <c r="D1005" t="s">
        <v>3712</v>
      </c>
      <c r="E1005" t="s">
        <v>3710</v>
      </c>
      <c r="F1005" t="s">
        <v>28</v>
      </c>
      <c r="G1005" t="s">
        <v>3710</v>
      </c>
      <c r="H1005" t="str">
        <f>"puf-7"</f>
        <v>puf-7</v>
      </c>
      <c r="I1005" t="s">
        <v>3712</v>
      </c>
      <c r="J1005" t="s">
        <v>29</v>
      </c>
      <c r="K1005" t="s">
        <v>29</v>
      </c>
      <c r="L1005">
        <v>11.220354998547</v>
      </c>
      <c r="M1005" t="s">
        <v>29</v>
      </c>
      <c r="N1005">
        <v>10.632099136760001</v>
      </c>
      <c r="O1005">
        <v>10.890670276248599</v>
      </c>
      <c r="P1005">
        <v>-0.45897029204274498</v>
      </c>
      <c r="Q1005">
        <v>-1.32274398884433</v>
      </c>
      <c r="R1005">
        <v>0.40480340475884002</v>
      </c>
      <c r="S1005">
        <v>12.50167632184</v>
      </c>
      <c r="T1005">
        <v>-1.1588563722964</v>
      </c>
      <c r="U1005">
        <v>-5.8103892366954799</v>
      </c>
      <c r="V1005">
        <v>0.26925069309255001</v>
      </c>
      <c r="W1005">
        <v>0.856190392347986</v>
      </c>
      <c r="X1005">
        <v>0</v>
      </c>
      <c r="Y1005">
        <v>0</v>
      </c>
    </row>
    <row r="1006" spans="1:25" x14ac:dyDescent="0.2">
      <c r="A1006" t="s">
        <v>3713</v>
      </c>
      <c r="B1006" t="s">
        <v>3714</v>
      </c>
      <c r="C1006" t="s">
        <v>3715</v>
      </c>
      <c r="D1006" t="s">
        <v>3716</v>
      </c>
      <c r="E1006" t="s">
        <v>3714</v>
      </c>
      <c r="F1006" t="s">
        <v>28</v>
      </c>
      <c r="G1006" t="s">
        <v>3714</v>
      </c>
      <c r="H1006" t="str">
        <f>"rfc-2"</f>
        <v>rfc-2</v>
      </c>
      <c r="I1006" t="s">
        <v>3716</v>
      </c>
      <c r="J1006" t="s">
        <v>29</v>
      </c>
      <c r="K1006" t="s">
        <v>29</v>
      </c>
      <c r="L1006">
        <v>12.7344118419898</v>
      </c>
      <c r="M1006" t="s">
        <v>29</v>
      </c>
      <c r="N1006">
        <v>13.0654389393735</v>
      </c>
      <c r="O1006">
        <v>13.8042800952731</v>
      </c>
      <c r="P1006">
        <v>0.70044767533350505</v>
      </c>
      <c r="Q1006">
        <v>-0.330264120761397</v>
      </c>
      <c r="R1006">
        <v>1.73115947142841</v>
      </c>
      <c r="S1006">
        <v>13.261462338427</v>
      </c>
      <c r="T1006">
        <v>1.49749763502332</v>
      </c>
      <c r="U1006">
        <v>-5.3982200416527002</v>
      </c>
      <c r="V1006">
        <v>0.16266331802409101</v>
      </c>
      <c r="W1006">
        <v>0.76378698239807397</v>
      </c>
      <c r="X1006">
        <v>0</v>
      </c>
      <c r="Y1006">
        <v>0</v>
      </c>
    </row>
    <row r="1007" spans="1:25" x14ac:dyDescent="0.2">
      <c r="A1007" t="s">
        <v>3717</v>
      </c>
      <c r="B1007" t="s">
        <v>3718</v>
      </c>
      <c r="C1007" t="s">
        <v>3719</v>
      </c>
      <c r="D1007" t="s">
        <v>3720</v>
      </c>
      <c r="E1007" t="s">
        <v>3718</v>
      </c>
      <c r="F1007" t="s">
        <v>28</v>
      </c>
      <c r="G1007" t="s">
        <v>3718</v>
      </c>
      <c r="H1007" t="str">
        <f>"ltah-1.2"</f>
        <v>ltah-1.2</v>
      </c>
      <c r="I1007" t="s">
        <v>3720</v>
      </c>
      <c r="J1007">
        <v>15.3030810913358</v>
      </c>
      <c r="K1007">
        <v>15.138794789355799</v>
      </c>
      <c r="L1007">
        <v>15.4912902823341</v>
      </c>
      <c r="M1007">
        <v>15.277628723284099</v>
      </c>
      <c r="N1007">
        <v>15.2370182643576</v>
      </c>
      <c r="O1007">
        <v>15.122774995583599</v>
      </c>
      <c r="P1007">
        <v>-9.8581393266824704E-2</v>
      </c>
      <c r="Q1007">
        <v>-0.56034705989256195</v>
      </c>
      <c r="R1007">
        <v>0.36318427335891201</v>
      </c>
      <c r="S1007">
        <v>14.936525919868499</v>
      </c>
      <c r="T1007">
        <v>-0.448710080213721</v>
      </c>
      <c r="U1007">
        <v>-6.7778828827054598</v>
      </c>
      <c r="V1007">
        <v>0.65902692218161896</v>
      </c>
      <c r="W1007">
        <v>0.98382359994193702</v>
      </c>
      <c r="X1007">
        <v>0</v>
      </c>
      <c r="Y1007">
        <v>0</v>
      </c>
    </row>
    <row r="1008" spans="1:25" x14ac:dyDescent="0.2">
      <c r="A1008" t="s">
        <v>3721</v>
      </c>
      <c r="B1008" t="s">
        <v>3722</v>
      </c>
      <c r="C1008" t="s">
        <v>3723</v>
      </c>
      <c r="D1008" t="s">
        <v>3724</v>
      </c>
      <c r="E1008" t="s">
        <v>3722</v>
      </c>
      <c r="F1008" t="s">
        <v>28</v>
      </c>
      <c r="G1008" t="s">
        <v>3722</v>
      </c>
      <c r="H1008" t="str">
        <f>"F33D4.4"</f>
        <v>F33D4.4</v>
      </c>
      <c r="I1008" t="s">
        <v>3724</v>
      </c>
      <c r="J1008">
        <v>14.319651575617399</v>
      </c>
      <c r="K1008">
        <v>14.5069658090801</v>
      </c>
      <c r="L1008">
        <v>14.666027669688599</v>
      </c>
      <c r="M1008">
        <v>14.338248372309399</v>
      </c>
      <c r="N1008">
        <v>14.261436684937999</v>
      </c>
      <c r="O1008">
        <v>14.4382251254662</v>
      </c>
      <c r="P1008">
        <v>-0.15157829055747399</v>
      </c>
      <c r="Q1008">
        <v>-0.58429094300263995</v>
      </c>
      <c r="R1008">
        <v>0.28113436188769197</v>
      </c>
      <c r="S1008">
        <v>14.3980578427536</v>
      </c>
      <c r="T1008">
        <v>-0.73625782582284005</v>
      </c>
      <c r="U1008">
        <v>-6.6035045660977199</v>
      </c>
      <c r="V1008">
        <v>0.47111589287002598</v>
      </c>
      <c r="W1008">
        <v>0.93056407806222996</v>
      </c>
      <c r="X1008">
        <v>0</v>
      </c>
      <c r="Y1008">
        <v>0</v>
      </c>
    </row>
    <row r="1009" spans="1:25" x14ac:dyDescent="0.2">
      <c r="A1009" t="s">
        <v>3725</v>
      </c>
      <c r="B1009" t="s">
        <v>3726</v>
      </c>
      <c r="C1009" t="s">
        <v>3727</v>
      </c>
      <c r="D1009" t="s">
        <v>3728</v>
      </c>
      <c r="E1009" t="s">
        <v>3726</v>
      </c>
      <c r="F1009" t="s">
        <v>28</v>
      </c>
      <c r="G1009" t="s">
        <v>3726</v>
      </c>
      <c r="H1009" t="str">
        <f>"rme-2"</f>
        <v>rme-2</v>
      </c>
      <c r="I1009" t="s">
        <v>3728</v>
      </c>
      <c r="J1009">
        <v>14.2977279426891</v>
      </c>
      <c r="K1009">
        <v>14.130529565600799</v>
      </c>
      <c r="L1009">
        <v>14.457611527754199</v>
      </c>
      <c r="M1009">
        <v>14.328998535393</v>
      </c>
      <c r="N1009">
        <v>14.1617879058802</v>
      </c>
      <c r="O1009">
        <v>14.0967502255823</v>
      </c>
      <c r="P1009">
        <v>-9.9444123062871995E-2</v>
      </c>
      <c r="Q1009">
        <v>-0.61115078157520097</v>
      </c>
      <c r="R1009">
        <v>0.41226253544945701</v>
      </c>
      <c r="S1009">
        <v>13.982330845425899</v>
      </c>
      <c r="T1009">
        <v>-0.41021172284326901</v>
      </c>
      <c r="U1009">
        <v>-6.7947323110617202</v>
      </c>
      <c r="V1009">
        <v>0.68680556411481497</v>
      </c>
      <c r="W1009">
        <v>0.98642420921484297</v>
      </c>
      <c r="X1009">
        <v>0</v>
      </c>
      <c r="Y1009">
        <v>0</v>
      </c>
    </row>
    <row r="1010" spans="1:25" x14ac:dyDescent="0.2">
      <c r="A1010" t="s">
        <v>3729</v>
      </c>
      <c r="B1010" t="s">
        <v>3730</v>
      </c>
      <c r="C1010" t="s">
        <v>3731</v>
      </c>
      <c r="D1010" t="s">
        <v>3732</v>
      </c>
      <c r="E1010" t="s">
        <v>3730</v>
      </c>
      <c r="F1010" t="s">
        <v>28</v>
      </c>
      <c r="G1010" t="s">
        <v>3730</v>
      </c>
      <c r="H1010" t="str">
        <f>"rad-50"</f>
        <v>rad-50</v>
      </c>
      <c r="I1010" t="s">
        <v>3732</v>
      </c>
      <c r="J1010">
        <v>12.437662769031</v>
      </c>
      <c r="K1010">
        <v>12.4202135180716</v>
      </c>
      <c r="L1010">
        <v>12.497227062537601</v>
      </c>
      <c r="M1010">
        <v>12.7511010277147</v>
      </c>
      <c r="N1010">
        <v>12.164536999675001</v>
      </c>
      <c r="O1010">
        <v>13.565836905762501</v>
      </c>
      <c r="P1010">
        <v>0.37545719450398202</v>
      </c>
      <c r="Q1010">
        <v>-0.24923298923120399</v>
      </c>
      <c r="R1010">
        <v>1.0001473782391701</v>
      </c>
      <c r="S1010">
        <v>12.7040892728152</v>
      </c>
      <c r="T1010">
        <v>1.27480946390975</v>
      </c>
      <c r="U1010">
        <v>-6.0690546921399502</v>
      </c>
      <c r="V1010">
        <v>0.22069731473748</v>
      </c>
      <c r="W1010">
        <v>0.79910794991631495</v>
      </c>
      <c r="X1010">
        <v>0</v>
      </c>
      <c r="Y1010">
        <v>0</v>
      </c>
    </row>
    <row r="1011" spans="1:25" x14ac:dyDescent="0.2">
      <c r="A1011" t="s">
        <v>3733</v>
      </c>
      <c r="B1011" t="s">
        <v>3734</v>
      </c>
      <c r="C1011" t="s">
        <v>3735</v>
      </c>
      <c r="D1011" t="s">
        <v>3736</v>
      </c>
      <c r="E1011" t="s">
        <v>3734</v>
      </c>
      <c r="F1011" t="s">
        <v>28</v>
      </c>
      <c r="G1011" t="s">
        <v>3734</v>
      </c>
      <c r="H1011" t="str">
        <f>"hmp-2"</f>
        <v>hmp-2</v>
      </c>
      <c r="I1011" t="s">
        <v>3736</v>
      </c>
      <c r="J1011" t="s">
        <v>29</v>
      </c>
      <c r="K1011" t="s">
        <v>29</v>
      </c>
      <c r="L1011" t="s">
        <v>29</v>
      </c>
      <c r="M1011" t="s">
        <v>29</v>
      </c>
      <c r="N1011">
        <v>12.2048205974805</v>
      </c>
      <c r="O1011" t="s">
        <v>29</v>
      </c>
      <c r="P1011" t="s">
        <v>29</v>
      </c>
      <c r="Q1011" t="s">
        <v>29</v>
      </c>
      <c r="R1011" t="s">
        <v>29</v>
      </c>
      <c r="S1011">
        <v>11.5538058262246</v>
      </c>
      <c r="T1011" t="s">
        <v>29</v>
      </c>
      <c r="U1011" t="s">
        <v>29</v>
      </c>
      <c r="V1011" t="s">
        <v>29</v>
      </c>
      <c r="W1011" t="s">
        <v>29</v>
      </c>
      <c r="X1011" t="s">
        <v>29</v>
      </c>
      <c r="Y1011" t="s">
        <v>29</v>
      </c>
    </row>
    <row r="1012" spans="1:25" x14ac:dyDescent="0.2">
      <c r="A1012" t="s">
        <v>3737</v>
      </c>
      <c r="B1012" t="s">
        <v>3738</v>
      </c>
      <c r="C1012" t="s">
        <v>3739</v>
      </c>
      <c r="D1012" t="s">
        <v>3740</v>
      </c>
      <c r="E1012" t="s">
        <v>3738</v>
      </c>
      <c r="F1012" t="s">
        <v>28</v>
      </c>
      <c r="G1012" t="s">
        <v>3738</v>
      </c>
      <c r="H1012" t="str">
        <f>"F37C4.5"</f>
        <v>F37C4.5</v>
      </c>
      <c r="I1012" t="s">
        <v>3740</v>
      </c>
      <c r="J1012">
        <v>13.4530105446402</v>
      </c>
      <c r="K1012">
        <v>13.054514966615701</v>
      </c>
      <c r="L1012">
        <v>13.085415430436401</v>
      </c>
      <c r="M1012">
        <v>13.8738438544739</v>
      </c>
      <c r="N1012">
        <v>13.7660145299633</v>
      </c>
      <c r="O1012">
        <v>13.6690845684774</v>
      </c>
      <c r="P1012">
        <v>0.57200067040744595</v>
      </c>
      <c r="Q1012">
        <v>-0.253346138984688</v>
      </c>
      <c r="R1012">
        <v>1.39734747979958</v>
      </c>
      <c r="S1012">
        <v>13.180799675925901</v>
      </c>
      <c r="T1012">
        <v>1.45664114878494</v>
      </c>
      <c r="U1012">
        <v>-5.8354310564824701</v>
      </c>
      <c r="V1012">
        <v>0.162538453527973</v>
      </c>
      <c r="W1012">
        <v>0.76378698239807397</v>
      </c>
      <c r="X1012">
        <v>0</v>
      </c>
      <c r="Y1012">
        <v>0</v>
      </c>
    </row>
    <row r="1013" spans="1:25" x14ac:dyDescent="0.2">
      <c r="A1013" t="s">
        <v>3741</v>
      </c>
      <c r="B1013" t="s">
        <v>3742</v>
      </c>
      <c r="C1013" t="s">
        <v>3743</v>
      </c>
      <c r="D1013" t="s">
        <v>3744</v>
      </c>
      <c r="E1013" t="s">
        <v>3742</v>
      </c>
      <c r="F1013" t="s">
        <v>28</v>
      </c>
      <c r="G1013" t="s">
        <v>3742</v>
      </c>
      <c r="H1013" t="str">
        <f>"eri-1"</f>
        <v>eri-1</v>
      </c>
      <c r="I1013" t="s">
        <v>3744</v>
      </c>
      <c r="J1013">
        <v>12.9134865779079</v>
      </c>
      <c r="K1013">
        <v>12.9624561555996</v>
      </c>
      <c r="L1013">
        <v>12.3790224025858</v>
      </c>
      <c r="M1013">
        <v>12.951690913770999</v>
      </c>
      <c r="N1013">
        <v>12.7652755668975</v>
      </c>
      <c r="O1013">
        <v>13.013512727577</v>
      </c>
      <c r="P1013">
        <v>0.158504690717399</v>
      </c>
      <c r="Q1013">
        <v>-0.64497378144699902</v>
      </c>
      <c r="R1013">
        <v>0.96198316288179697</v>
      </c>
      <c r="S1013">
        <v>12.4083104257698</v>
      </c>
      <c r="T1013">
        <v>0.416406871078422</v>
      </c>
      <c r="U1013">
        <v>-6.7920753490582797</v>
      </c>
      <c r="V1013">
        <v>0.68235437319555103</v>
      </c>
      <c r="W1013">
        <v>0.98642420921484297</v>
      </c>
      <c r="X1013">
        <v>0</v>
      </c>
      <c r="Y1013">
        <v>0</v>
      </c>
    </row>
    <row r="1014" spans="1:25" x14ac:dyDescent="0.2">
      <c r="A1014" t="s">
        <v>3745</v>
      </c>
      <c r="B1014" t="s">
        <v>3746</v>
      </c>
      <c r="C1014" t="s">
        <v>3747</v>
      </c>
      <c r="D1014" t="s">
        <v>3748</v>
      </c>
      <c r="E1014" t="s">
        <v>3746</v>
      </c>
      <c r="F1014" t="s">
        <v>28</v>
      </c>
      <c r="G1014" t="s">
        <v>3746</v>
      </c>
      <c r="H1014" t="str">
        <f>"kgb-1"</f>
        <v>kgb-1</v>
      </c>
      <c r="I1014" t="s">
        <v>3748</v>
      </c>
      <c r="J1014">
        <v>15.7179757542399</v>
      </c>
      <c r="K1014">
        <v>15.624989142547699</v>
      </c>
      <c r="L1014">
        <v>15.497613605313299</v>
      </c>
      <c r="M1014">
        <v>15.4930451200315</v>
      </c>
      <c r="N1014">
        <v>15.441984491061399</v>
      </c>
      <c r="O1014">
        <v>15.428369054835199</v>
      </c>
      <c r="P1014">
        <v>-0.15905994539089899</v>
      </c>
      <c r="Q1014">
        <v>-0.49033400044612502</v>
      </c>
      <c r="R1014">
        <v>0.17221410966432699</v>
      </c>
      <c r="S1014">
        <v>15.1647366382693</v>
      </c>
      <c r="T1014">
        <v>-1.00917368708156</v>
      </c>
      <c r="U1014">
        <v>-6.3651023816006704</v>
      </c>
      <c r="V1014">
        <v>0.326343007975545</v>
      </c>
      <c r="W1014">
        <v>0.87094589458108596</v>
      </c>
      <c r="X1014">
        <v>0</v>
      </c>
      <c r="Y1014">
        <v>0</v>
      </c>
    </row>
    <row r="1015" spans="1:25" x14ac:dyDescent="0.2">
      <c r="A1015" t="s">
        <v>3749</v>
      </c>
      <c r="B1015" t="s">
        <v>3750</v>
      </c>
      <c r="C1015" t="s">
        <v>3751</v>
      </c>
      <c r="D1015" t="s">
        <v>3752</v>
      </c>
      <c r="E1015" t="s">
        <v>3750</v>
      </c>
      <c r="F1015" t="s">
        <v>28</v>
      </c>
      <c r="G1015" t="s">
        <v>3750</v>
      </c>
      <c r="H1015" t="str">
        <f>"T07A9.8"</f>
        <v>T07A9.8</v>
      </c>
      <c r="I1015" t="s">
        <v>3752</v>
      </c>
      <c r="J1015">
        <v>12.5242620545413</v>
      </c>
      <c r="K1015">
        <v>11.206414429090399</v>
      </c>
      <c r="L1015">
        <v>12.621371297685</v>
      </c>
      <c r="M1015" t="s">
        <v>29</v>
      </c>
      <c r="N1015">
        <v>12.215160183712401</v>
      </c>
      <c r="O1015" t="s">
        <v>29</v>
      </c>
      <c r="P1015">
        <v>9.7810923273492306E-2</v>
      </c>
      <c r="Q1015">
        <v>-0.99595306466627598</v>
      </c>
      <c r="R1015">
        <v>1.1915749112132601</v>
      </c>
      <c r="S1015">
        <v>12.1129769702732</v>
      </c>
      <c r="T1015">
        <v>0.19705680250372801</v>
      </c>
      <c r="U1015">
        <v>-6.5203165999378596</v>
      </c>
      <c r="V1015">
        <v>0.84741101830482302</v>
      </c>
      <c r="W1015">
        <v>0.99370971747667503</v>
      </c>
      <c r="X1015">
        <v>0</v>
      </c>
      <c r="Y1015">
        <v>0</v>
      </c>
    </row>
    <row r="1016" spans="1:25" x14ac:dyDescent="0.2">
      <c r="A1016" t="s">
        <v>3753</v>
      </c>
      <c r="B1016" t="s">
        <v>3754</v>
      </c>
      <c r="C1016" t="s">
        <v>3755</v>
      </c>
      <c r="D1016" t="s">
        <v>3756</v>
      </c>
      <c r="E1016" t="s">
        <v>3754</v>
      </c>
      <c r="F1016" t="s">
        <v>28</v>
      </c>
      <c r="G1016" t="s">
        <v>3754</v>
      </c>
      <c r="H1016" t="str">
        <f>"nog-1"</f>
        <v>nog-1</v>
      </c>
      <c r="I1016" t="s">
        <v>3756</v>
      </c>
      <c r="J1016">
        <v>17.008611399806998</v>
      </c>
      <c r="K1016">
        <v>16.988339557515499</v>
      </c>
      <c r="L1016">
        <v>17.1012997203254</v>
      </c>
      <c r="M1016">
        <v>17.160742967708799</v>
      </c>
      <c r="N1016">
        <v>17.0911339297148</v>
      </c>
      <c r="O1016">
        <v>16.984979751736201</v>
      </c>
      <c r="P1016">
        <v>4.62019905039526E-2</v>
      </c>
      <c r="Q1016">
        <v>-0.28563320737637099</v>
      </c>
      <c r="R1016">
        <v>0.37803718838427602</v>
      </c>
      <c r="S1016">
        <v>17.187004493344901</v>
      </c>
      <c r="T1016">
        <v>0.292638020047088</v>
      </c>
      <c r="U1016">
        <v>-6.8378522204313601</v>
      </c>
      <c r="V1016">
        <v>0.773164891055515</v>
      </c>
      <c r="W1016">
        <v>0.99278624068726296</v>
      </c>
      <c r="X1016">
        <v>0</v>
      </c>
      <c r="Y1016">
        <v>0</v>
      </c>
    </row>
    <row r="1017" spans="1:25" x14ac:dyDescent="0.2">
      <c r="A1017" t="s">
        <v>3757</v>
      </c>
      <c r="B1017" t="s">
        <v>3758</v>
      </c>
      <c r="C1017" t="s">
        <v>3759</v>
      </c>
      <c r="D1017" t="s">
        <v>3760</v>
      </c>
      <c r="E1017" t="s">
        <v>3758</v>
      </c>
      <c r="F1017" t="s">
        <v>28</v>
      </c>
      <c r="G1017" t="s">
        <v>3758</v>
      </c>
      <c r="H1017" t="str">
        <f>"uncp-18"</f>
        <v>uncp-18</v>
      </c>
      <c r="I1017" t="s">
        <v>3760</v>
      </c>
      <c r="J1017">
        <v>12.498489480841901</v>
      </c>
      <c r="K1017">
        <v>12.618056337634201</v>
      </c>
      <c r="L1017">
        <v>12.804058236549</v>
      </c>
      <c r="M1017">
        <v>12.758605306891001</v>
      </c>
      <c r="N1017">
        <v>13.0961028228656</v>
      </c>
      <c r="O1017">
        <v>12.989130258198101</v>
      </c>
      <c r="P1017">
        <v>0.30774477764319003</v>
      </c>
      <c r="Q1017">
        <v>-0.22552899804450099</v>
      </c>
      <c r="R1017">
        <v>0.84101855333088205</v>
      </c>
      <c r="S1017">
        <v>12.754918700132301</v>
      </c>
      <c r="T1017">
        <v>1.2181211326135399</v>
      </c>
      <c r="U1017">
        <v>-6.1373761872415402</v>
      </c>
      <c r="V1017">
        <v>0.23991634620400401</v>
      </c>
      <c r="W1017">
        <v>0.82420784257223501</v>
      </c>
      <c r="X1017">
        <v>0</v>
      </c>
      <c r="Y1017">
        <v>0</v>
      </c>
    </row>
    <row r="1018" spans="1:25" x14ac:dyDescent="0.2">
      <c r="A1018" t="s">
        <v>3761</v>
      </c>
      <c r="B1018" t="s">
        <v>3762</v>
      </c>
      <c r="C1018" t="s">
        <v>3763</v>
      </c>
      <c r="D1018" t="s">
        <v>1027</v>
      </c>
      <c r="E1018" t="s">
        <v>3762</v>
      </c>
      <c r="F1018" t="s">
        <v>28</v>
      </c>
      <c r="G1018" t="s">
        <v>3762</v>
      </c>
      <c r="H1018" t="str">
        <f>"otub-4"</f>
        <v>otub-4</v>
      </c>
      <c r="I1018" t="s">
        <v>1027</v>
      </c>
      <c r="J1018" t="s">
        <v>29</v>
      </c>
      <c r="K1018" t="s">
        <v>29</v>
      </c>
      <c r="L1018" t="s">
        <v>29</v>
      </c>
      <c r="M1018" t="s">
        <v>29</v>
      </c>
      <c r="N1018" t="s">
        <v>29</v>
      </c>
      <c r="O1018" t="s">
        <v>29</v>
      </c>
      <c r="P1018" t="s">
        <v>29</v>
      </c>
      <c r="Q1018" t="s">
        <v>29</v>
      </c>
      <c r="R1018" t="s">
        <v>29</v>
      </c>
      <c r="S1018">
        <v>11.697316816903699</v>
      </c>
      <c r="T1018" t="s">
        <v>29</v>
      </c>
      <c r="U1018" t="s">
        <v>29</v>
      </c>
      <c r="V1018" t="s">
        <v>29</v>
      </c>
      <c r="W1018" t="s">
        <v>29</v>
      </c>
      <c r="X1018" t="s">
        <v>29</v>
      </c>
      <c r="Y1018" t="s">
        <v>29</v>
      </c>
    </row>
    <row r="1019" spans="1:25" x14ac:dyDescent="0.2">
      <c r="A1019" t="s">
        <v>3764</v>
      </c>
      <c r="B1019" t="s">
        <v>3765</v>
      </c>
      <c r="C1019" t="s">
        <v>3766</v>
      </c>
      <c r="D1019" t="s">
        <v>3767</v>
      </c>
      <c r="E1019" t="s">
        <v>3765</v>
      </c>
      <c r="F1019" t="s">
        <v>28</v>
      </c>
      <c r="G1019" t="s">
        <v>3765</v>
      </c>
      <c r="H1019" t="str">
        <f>"mai-2"</f>
        <v>mai-2</v>
      </c>
      <c r="I1019" t="s">
        <v>3767</v>
      </c>
      <c r="J1019">
        <v>13.499281728334401</v>
      </c>
      <c r="K1019">
        <v>13.6376845996529</v>
      </c>
      <c r="L1019">
        <v>13.5241742944226</v>
      </c>
      <c r="M1019">
        <v>14.523088451904901</v>
      </c>
      <c r="N1019">
        <v>13.826448023161101</v>
      </c>
      <c r="O1019">
        <v>13.870155389175601</v>
      </c>
      <c r="P1019">
        <v>0.519517080610575</v>
      </c>
      <c r="Q1019">
        <v>-0.43131322976437098</v>
      </c>
      <c r="R1019">
        <v>1.47034739098552</v>
      </c>
      <c r="S1019">
        <v>13.369938038155301</v>
      </c>
      <c r="T1019">
        <v>1.20399450963726</v>
      </c>
      <c r="U1019">
        <v>-6.1477100442513803</v>
      </c>
      <c r="V1019">
        <v>0.25409754099439902</v>
      </c>
      <c r="W1019">
        <v>0.83701250057606502</v>
      </c>
      <c r="X1019">
        <v>0</v>
      </c>
      <c r="Y1019">
        <v>0</v>
      </c>
    </row>
    <row r="1020" spans="1:25" x14ac:dyDescent="0.2">
      <c r="A1020" t="s">
        <v>3768</v>
      </c>
      <c r="B1020" t="s">
        <v>3769</v>
      </c>
      <c r="C1020" t="s">
        <v>14355</v>
      </c>
      <c r="D1020" t="s">
        <v>3770</v>
      </c>
      <c r="E1020" t="s">
        <v>3769</v>
      </c>
      <c r="F1020" t="s">
        <v>28</v>
      </c>
      <c r="G1020" t="s">
        <v>3771</v>
      </c>
      <c r="H1020" t="str">
        <f>"C02B10.6"</f>
        <v>C02B10.6</v>
      </c>
      <c r="I1020" t="s">
        <v>3770</v>
      </c>
      <c r="J1020">
        <v>11.4357660103262</v>
      </c>
      <c r="K1020" t="s">
        <v>29</v>
      </c>
      <c r="L1020">
        <v>11.0429678068865</v>
      </c>
      <c r="M1020">
        <v>10.8822296249693</v>
      </c>
      <c r="N1020">
        <v>11.783294124839999</v>
      </c>
      <c r="O1020">
        <v>10.841028562546899</v>
      </c>
      <c r="P1020">
        <v>-7.0516137820932898E-2</v>
      </c>
      <c r="Q1020">
        <v>-0.72624607318663104</v>
      </c>
      <c r="R1020">
        <v>0.58521379754476499</v>
      </c>
      <c r="S1020">
        <v>10.989314056234299</v>
      </c>
      <c r="T1020">
        <v>-0.232514880341746</v>
      </c>
      <c r="U1020">
        <v>-6.74351216901852</v>
      </c>
      <c r="V1020">
        <v>0.81978775223808098</v>
      </c>
      <c r="W1020">
        <v>0.992837538801569</v>
      </c>
      <c r="X1020">
        <v>0</v>
      </c>
      <c r="Y1020">
        <v>0</v>
      </c>
    </row>
    <row r="1021" spans="1:25" x14ac:dyDescent="0.2">
      <c r="A1021" t="s">
        <v>3772</v>
      </c>
      <c r="B1021" t="s">
        <v>3773</v>
      </c>
      <c r="C1021" t="s">
        <v>3774</v>
      </c>
      <c r="D1021" t="s">
        <v>3775</v>
      </c>
      <c r="E1021" t="s">
        <v>3773</v>
      </c>
      <c r="F1021" t="s">
        <v>28</v>
      </c>
      <c r="G1021" t="s">
        <v>3773</v>
      </c>
      <c r="H1021" t="str">
        <f>"pdhb-1"</f>
        <v>pdhb-1</v>
      </c>
      <c r="I1021" t="s">
        <v>3775</v>
      </c>
      <c r="J1021">
        <v>17.2267606051809</v>
      </c>
      <c r="K1021">
        <v>16.7443996130187</v>
      </c>
      <c r="L1021">
        <v>16.932159245256301</v>
      </c>
      <c r="M1021">
        <v>16.955946060019699</v>
      </c>
      <c r="N1021">
        <v>16.788560622860601</v>
      </c>
      <c r="O1021">
        <v>16.945499260113699</v>
      </c>
      <c r="P1021">
        <v>-7.1104506820670793E-2</v>
      </c>
      <c r="Q1021">
        <v>-0.47609466583771098</v>
      </c>
      <c r="R1021">
        <v>0.33388565219637001</v>
      </c>
      <c r="S1021">
        <v>16.799018796150399</v>
      </c>
      <c r="T1021">
        <v>-0.36901597827314098</v>
      </c>
      <c r="U1021">
        <v>-6.8116116646588099</v>
      </c>
      <c r="V1021">
        <v>0.71644574865027</v>
      </c>
      <c r="W1021">
        <v>0.98786722894487999</v>
      </c>
      <c r="X1021">
        <v>0</v>
      </c>
      <c r="Y1021">
        <v>0</v>
      </c>
    </row>
    <row r="1022" spans="1:25" x14ac:dyDescent="0.2">
      <c r="A1022" t="s">
        <v>3776</v>
      </c>
      <c r="B1022" t="s">
        <v>3777</v>
      </c>
      <c r="C1022" t="s">
        <v>3778</v>
      </c>
      <c r="D1022" t="s">
        <v>3779</v>
      </c>
      <c r="E1022" t="s">
        <v>3777</v>
      </c>
      <c r="F1022" t="s">
        <v>28</v>
      </c>
      <c r="G1022" t="s">
        <v>3777</v>
      </c>
      <c r="H1022" t="str">
        <f>"timm-17B.1"</f>
        <v>timm-17B.1</v>
      </c>
      <c r="I1022" t="s">
        <v>3779</v>
      </c>
      <c r="J1022" t="s">
        <v>29</v>
      </c>
      <c r="K1022" t="s">
        <v>29</v>
      </c>
      <c r="L1022" t="s">
        <v>29</v>
      </c>
      <c r="M1022" t="s">
        <v>29</v>
      </c>
      <c r="N1022" t="s">
        <v>29</v>
      </c>
      <c r="O1022" t="s">
        <v>29</v>
      </c>
      <c r="P1022" t="s">
        <v>29</v>
      </c>
      <c r="Q1022" t="s">
        <v>29</v>
      </c>
      <c r="R1022" t="s">
        <v>29</v>
      </c>
      <c r="S1022">
        <v>11.0481937513463</v>
      </c>
      <c r="T1022" t="s">
        <v>29</v>
      </c>
      <c r="U1022" t="s">
        <v>29</v>
      </c>
      <c r="V1022" t="s">
        <v>29</v>
      </c>
      <c r="W1022" t="s">
        <v>29</v>
      </c>
      <c r="X1022" t="s">
        <v>29</v>
      </c>
      <c r="Y1022" t="s">
        <v>29</v>
      </c>
    </row>
    <row r="1023" spans="1:25" x14ac:dyDescent="0.2">
      <c r="A1023" t="s">
        <v>3780</v>
      </c>
      <c r="B1023" t="s">
        <v>3781</v>
      </c>
      <c r="C1023" t="s">
        <v>3782</v>
      </c>
      <c r="D1023" t="s">
        <v>3783</v>
      </c>
      <c r="E1023" t="s">
        <v>3781</v>
      </c>
      <c r="F1023" t="s">
        <v>28</v>
      </c>
      <c r="G1023" t="s">
        <v>3781</v>
      </c>
      <c r="H1023" t="str">
        <f>"rpl-20"</f>
        <v>rpl-20</v>
      </c>
      <c r="I1023" t="s">
        <v>3783</v>
      </c>
      <c r="J1023">
        <v>19.037997013121</v>
      </c>
      <c r="K1023">
        <v>19.104695640155999</v>
      </c>
      <c r="L1023">
        <v>19.2521448097548</v>
      </c>
      <c r="M1023">
        <v>19.0401728406014</v>
      </c>
      <c r="N1023">
        <v>18.659985827441002</v>
      </c>
      <c r="O1023">
        <v>18.902451762595501</v>
      </c>
      <c r="P1023">
        <v>-0.264075677464646</v>
      </c>
      <c r="Q1023">
        <v>-0.64111821432405902</v>
      </c>
      <c r="R1023">
        <v>0.112966859394767</v>
      </c>
      <c r="S1023">
        <v>18.846977136099099</v>
      </c>
      <c r="T1023">
        <v>-1.4720771344782799</v>
      </c>
      <c r="U1023">
        <v>-5.8143638127169597</v>
      </c>
      <c r="V1023">
        <v>0.15836925100273899</v>
      </c>
      <c r="W1023">
        <v>0.75509006781821697</v>
      </c>
      <c r="X1023">
        <v>0</v>
      </c>
      <c r="Y1023">
        <v>0</v>
      </c>
    </row>
    <row r="1024" spans="1:25" x14ac:dyDescent="0.2">
      <c r="A1024" t="s">
        <v>3784</v>
      </c>
      <c r="B1024" t="s">
        <v>3785</v>
      </c>
      <c r="C1024" t="s">
        <v>3786</v>
      </c>
      <c r="D1024" t="s">
        <v>3787</v>
      </c>
      <c r="E1024" t="s">
        <v>3785</v>
      </c>
      <c r="F1024" t="s">
        <v>28</v>
      </c>
      <c r="G1024" t="s">
        <v>3785</v>
      </c>
      <c r="H1024" t="str">
        <f>"elks-1"</f>
        <v>elks-1</v>
      </c>
      <c r="I1024" t="s">
        <v>3787</v>
      </c>
      <c r="J1024">
        <v>14.489309468111101</v>
      </c>
      <c r="K1024">
        <v>13.706102280461</v>
      </c>
      <c r="L1024">
        <v>12.18180380503</v>
      </c>
      <c r="M1024">
        <v>13.109973067128699</v>
      </c>
      <c r="N1024">
        <v>13.8069096570489</v>
      </c>
      <c r="O1024">
        <v>12.607806558155</v>
      </c>
      <c r="P1024">
        <v>-0.284175423756514</v>
      </c>
      <c r="Q1024">
        <v>-1.88595615310215</v>
      </c>
      <c r="R1024">
        <v>1.3176053055891199</v>
      </c>
      <c r="S1024">
        <v>13.207182786229501</v>
      </c>
      <c r="T1024">
        <v>-0.37288590287509898</v>
      </c>
      <c r="U1024">
        <v>-6.8101230837113897</v>
      </c>
      <c r="V1024">
        <v>0.71361338703273003</v>
      </c>
      <c r="W1024">
        <v>0.98786722894487999</v>
      </c>
      <c r="X1024">
        <v>0</v>
      </c>
      <c r="Y1024">
        <v>0</v>
      </c>
    </row>
    <row r="1025" spans="1:25" x14ac:dyDescent="0.2">
      <c r="A1025" t="s">
        <v>3788</v>
      </c>
      <c r="B1025" t="s">
        <v>3789</v>
      </c>
      <c r="C1025" t="s">
        <v>3790</v>
      </c>
      <c r="D1025" t="s">
        <v>561</v>
      </c>
      <c r="E1025" t="s">
        <v>3789</v>
      </c>
      <c r="F1025" t="s">
        <v>28</v>
      </c>
      <c r="G1025" t="s">
        <v>3789</v>
      </c>
      <c r="H1025" t="str">
        <f>"lgc-22"</f>
        <v>lgc-22</v>
      </c>
      <c r="I1025" t="s">
        <v>561</v>
      </c>
      <c r="J1025">
        <v>12.930316244160601</v>
      </c>
      <c r="K1025">
        <v>13.141523883374999</v>
      </c>
      <c r="L1025">
        <v>12.6622751077904</v>
      </c>
      <c r="M1025">
        <v>13.119382175240499</v>
      </c>
      <c r="N1025">
        <v>12.8222492361684</v>
      </c>
      <c r="O1025">
        <v>12.601104246643301</v>
      </c>
      <c r="P1025">
        <v>-6.3793192424599396E-2</v>
      </c>
      <c r="Q1025">
        <v>-0.53121471694688105</v>
      </c>
      <c r="R1025">
        <v>0.40362833209768201</v>
      </c>
      <c r="S1025">
        <v>13.0038902128526</v>
      </c>
      <c r="T1025">
        <v>-0.29107656055283898</v>
      </c>
      <c r="U1025">
        <v>-6.83787682049857</v>
      </c>
      <c r="V1025">
        <v>0.77500678332162098</v>
      </c>
      <c r="W1025">
        <v>0.99278624068726296</v>
      </c>
      <c r="X1025">
        <v>0</v>
      </c>
      <c r="Y1025">
        <v>0</v>
      </c>
    </row>
    <row r="1026" spans="1:25" x14ac:dyDescent="0.2">
      <c r="A1026" t="s">
        <v>3791</v>
      </c>
      <c r="B1026" t="s">
        <v>3792</v>
      </c>
      <c r="C1026" t="s">
        <v>3793</v>
      </c>
      <c r="D1026" t="s">
        <v>3794</v>
      </c>
      <c r="E1026" t="s">
        <v>3792</v>
      </c>
      <c r="F1026" t="s">
        <v>28</v>
      </c>
      <c r="G1026" t="s">
        <v>3792</v>
      </c>
      <c r="H1026" t="str">
        <f>"set-9"</f>
        <v>set-9</v>
      </c>
      <c r="I1026" t="s">
        <v>3794</v>
      </c>
      <c r="J1026">
        <v>12.471112187057599</v>
      </c>
      <c r="K1026">
        <v>11.9973061549522</v>
      </c>
      <c r="L1026">
        <v>12.724647686349799</v>
      </c>
      <c r="M1026">
        <v>12.571332784166399</v>
      </c>
      <c r="N1026">
        <v>12.224277200305901</v>
      </c>
      <c r="O1026">
        <v>12.3325382991337</v>
      </c>
      <c r="P1026">
        <v>-2.1639248251194201E-2</v>
      </c>
      <c r="Q1026">
        <v>-0.65916271919381098</v>
      </c>
      <c r="R1026">
        <v>0.61588422269142296</v>
      </c>
      <c r="S1026">
        <v>12.4050794263902</v>
      </c>
      <c r="T1026">
        <v>-7.1993870212463604E-2</v>
      </c>
      <c r="U1026">
        <v>-6.8797638201398703</v>
      </c>
      <c r="V1026">
        <v>0.94350489322166697</v>
      </c>
      <c r="W1026">
        <v>0.99926809132575301</v>
      </c>
      <c r="X1026">
        <v>0</v>
      </c>
      <c r="Y1026">
        <v>0</v>
      </c>
    </row>
    <row r="1027" spans="1:25" x14ac:dyDescent="0.2">
      <c r="A1027" t="s">
        <v>3795</v>
      </c>
      <c r="B1027" t="s">
        <v>3796</v>
      </c>
      <c r="C1027" t="s">
        <v>3797</v>
      </c>
      <c r="D1027" t="s">
        <v>3798</v>
      </c>
      <c r="E1027" t="s">
        <v>3796</v>
      </c>
      <c r="F1027" t="s">
        <v>28</v>
      </c>
      <c r="G1027" t="s">
        <v>3796</v>
      </c>
      <c r="H1027" t="str">
        <f>"gtf-2h1"</f>
        <v>gtf-2h1</v>
      </c>
      <c r="I1027" t="s">
        <v>3798</v>
      </c>
      <c r="J1027" t="s">
        <v>29</v>
      </c>
      <c r="K1027">
        <v>11.3451562960771</v>
      </c>
      <c r="L1027">
        <v>10.5061151522602</v>
      </c>
      <c r="M1027" t="s">
        <v>29</v>
      </c>
      <c r="N1027" t="s">
        <v>29</v>
      </c>
      <c r="O1027">
        <v>9.7112232680403991</v>
      </c>
      <c r="P1027">
        <v>-1.2144124561282299</v>
      </c>
      <c r="Q1027">
        <v>-2.7123356858859999</v>
      </c>
      <c r="R1027">
        <v>0.28351077362954402</v>
      </c>
      <c r="S1027">
        <v>10.896836982815101</v>
      </c>
      <c r="T1027">
        <v>-1.7865054711333099</v>
      </c>
      <c r="U1027">
        <v>-4.9951584978118104</v>
      </c>
      <c r="V1027">
        <v>0.101839628587411</v>
      </c>
      <c r="W1027">
        <v>0.65605110521477406</v>
      </c>
      <c r="X1027">
        <v>0</v>
      </c>
      <c r="Y1027">
        <v>0</v>
      </c>
    </row>
    <row r="1028" spans="1:25" x14ac:dyDescent="0.2">
      <c r="A1028" t="s">
        <v>3799</v>
      </c>
      <c r="B1028" t="s">
        <v>3800</v>
      </c>
      <c r="C1028" t="s">
        <v>3801</v>
      </c>
      <c r="D1028" t="s">
        <v>3802</v>
      </c>
      <c r="E1028" t="s">
        <v>3800</v>
      </c>
      <c r="F1028" t="s">
        <v>28</v>
      </c>
      <c r="G1028" t="s">
        <v>3800</v>
      </c>
      <c r="H1028" t="str">
        <f>"ints-13"</f>
        <v>ints-13</v>
      </c>
      <c r="I1028" t="s">
        <v>3802</v>
      </c>
      <c r="J1028">
        <v>11.2860287880132</v>
      </c>
      <c r="K1028">
        <v>11.719430264999801</v>
      </c>
      <c r="L1028">
        <v>11.7104781885118</v>
      </c>
      <c r="M1028" t="s">
        <v>29</v>
      </c>
      <c r="N1028">
        <v>11.9667483717329</v>
      </c>
      <c r="O1028">
        <v>11.316277761185701</v>
      </c>
      <c r="P1028">
        <v>6.9533985951007807E-2</v>
      </c>
      <c r="Q1028">
        <v>-0.70847481266716805</v>
      </c>
      <c r="R1028">
        <v>0.84754278456918397</v>
      </c>
      <c r="S1028">
        <v>11.616568542343799</v>
      </c>
      <c r="T1028">
        <v>0.18865252838291999</v>
      </c>
      <c r="U1028">
        <v>-6.7536186945488499</v>
      </c>
      <c r="V1028">
        <v>0.85261269166071096</v>
      </c>
      <c r="W1028">
        <v>0.99370971747667503</v>
      </c>
      <c r="X1028">
        <v>0</v>
      </c>
      <c r="Y1028">
        <v>0</v>
      </c>
    </row>
    <row r="1029" spans="1:25" x14ac:dyDescent="0.2">
      <c r="A1029" t="s">
        <v>3803</v>
      </c>
      <c r="B1029" t="s">
        <v>3804</v>
      </c>
      <c r="C1029" t="s">
        <v>3805</v>
      </c>
      <c r="D1029" t="s">
        <v>3806</v>
      </c>
      <c r="E1029" t="s">
        <v>3804</v>
      </c>
      <c r="F1029" t="s">
        <v>28</v>
      </c>
      <c r="G1029" t="s">
        <v>3804</v>
      </c>
      <c r="H1029" t="str">
        <f>"cogc-8"</f>
        <v>cogc-8</v>
      </c>
      <c r="I1029" t="s">
        <v>3806</v>
      </c>
      <c r="J1029">
        <v>11.5378934767988</v>
      </c>
      <c r="K1029">
        <v>12.455456303284601</v>
      </c>
      <c r="L1029">
        <v>11.5320095853906</v>
      </c>
      <c r="M1029">
        <v>14.3351054518804</v>
      </c>
      <c r="N1029">
        <v>14.4963489144712</v>
      </c>
      <c r="O1029">
        <v>13.9079008131592</v>
      </c>
      <c r="P1029">
        <v>2.4046652713455701</v>
      </c>
      <c r="Q1029">
        <v>1.5170800532207001</v>
      </c>
      <c r="R1029">
        <v>3.2922504894704399</v>
      </c>
      <c r="S1029">
        <v>14.228035965221601</v>
      </c>
      <c r="T1029">
        <v>5.6942572516970298</v>
      </c>
      <c r="U1029">
        <v>2.7101899380593601</v>
      </c>
      <c r="V1029" s="2">
        <v>2.1681309557331599E-5</v>
      </c>
      <c r="W1029">
        <v>1.4431079641359899E-3</v>
      </c>
      <c r="X1029">
        <v>1</v>
      </c>
      <c r="Y1029">
        <v>1</v>
      </c>
    </row>
    <row r="1030" spans="1:25" x14ac:dyDescent="0.2">
      <c r="A1030" t="s">
        <v>3807</v>
      </c>
      <c r="B1030" t="s">
        <v>3808</v>
      </c>
      <c r="C1030" t="s">
        <v>14356</v>
      </c>
      <c r="D1030" t="s">
        <v>130</v>
      </c>
      <c r="E1030" t="s">
        <v>3808</v>
      </c>
      <c r="F1030" t="s">
        <v>28</v>
      </c>
      <c r="G1030" t="s">
        <v>3808</v>
      </c>
      <c r="H1030" t="str">
        <f>"R02D3.7"</f>
        <v>R02D3.7</v>
      </c>
      <c r="I1030" t="s">
        <v>130</v>
      </c>
      <c r="J1030" t="s">
        <v>29</v>
      </c>
      <c r="K1030" t="s">
        <v>29</v>
      </c>
      <c r="L1030" t="s">
        <v>29</v>
      </c>
      <c r="M1030" t="s">
        <v>29</v>
      </c>
      <c r="N1030" t="s">
        <v>29</v>
      </c>
      <c r="O1030" t="s">
        <v>29</v>
      </c>
      <c r="P1030" t="s">
        <v>29</v>
      </c>
      <c r="Q1030" t="s">
        <v>29</v>
      </c>
      <c r="R1030" t="s">
        <v>29</v>
      </c>
      <c r="S1030">
        <v>12.1187143136556</v>
      </c>
      <c r="T1030" t="s">
        <v>29</v>
      </c>
      <c r="U1030" t="s">
        <v>29</v>
      </c>
      <c r="V1030" t="s">
        <v>29</v>
      </c>
      <c r="W1030" t="s">
        <v>29</v>
      </c>
      <c r="X1030" t="s">
        <v>29</v>
      </c>
      <c r="Y1030" t="s">
        <v>29</v>
      </c>
    </row>
    <row r="1031" spans="1:25" x14ac:dyDescent="0.2">
      <c r="A1031" t="s">
        <v>3809</v>
      </c>
      <c r="B1031" t="s">
        <v>3810</v>
      </c>
      <c r="C1031" t="s">
        <v>3811</v>
      </c>
      <c r="D1031" t="s">
        <v>3812</v>
      </c>
      <c r="E1031" t="s">
        <v>3810</v>
      </c>
      <c r="F1031" t="s">
        <v>28</v>
      </c>
      <c r="G1031" t="s">
        <v>3810</v>
      </c>
      <c r="H1031" t="str">
        <f>"ndub-11"</f>
        <v>ndub-11</v>
      </c>
      <c r="I1031" t="s">
        <v>3812</v>
      </c>
      <c r="J1031" t="s">
        <v>29</v>
      </c>
      <c r="K1031" t="s">
        <v>29</v>
      </c>
      <c r="L1031">
        <v>12.536884981087701</v>
      </c>
      <c r="M1031">
        <v>11.5390487748867</v>
      </c>
      <c r="N1031" t="s">
        <v>29</v>
      </c>
      <c r="O1031" t="s">
        <v>29</v>
      </c>
      <c r="P1031">
        <v>-0.99783620620099001</v>
      </c>
      <c r="Q1031">
        <v>-2.50232519303963</v>
      </c>
      <c r="R1031">
        <v>0.50665278063764996</v>
      </c>
      <c r="S1031">
        <v>11.8695201377593</v>
      </c>
      <c r="T1031">
        <v>-1.5731631299728499</v>
      </c>
      <c r="U1031">
        <v>-5.1753931152830397</v>
      </c>
      <c r="V1031">
        <v>0.16032779825586499</v>
      </c>
      <c r="W1031">
        <v>0.76115679400216696</v>
      </c>
      <c r="X1031">
        <v>0</v>
      </c>
      <c r="Y1031">
        <v>0</v>
      </c>
    </row>
    <row r="1032" spans="1:25" x14ac:dyDescent="0.2">
      <c r="A1032" t="s">
        <v>3813</v>
      </c>
      <c r="B1032" t="s">
        <v>3814</v>
      </c>
      <c r="C1032" t="s">
        <v>3815</v>
      </c>
      <c r="D1032" t="s">
        <v>3816</v>
      </c>
      <c r="E1032" t="s">
        <v>3814</v>
      </c>
      <c r="F1032" t="s">
        <v>28</v>
      </c>
      <c r="G1032" t="s">
        <v>3814</v>
      </c>
      <c r="H1032" t="str">
        <f>"moc-3"</f>
        <v>moc-3</v>
      </c>
      <c r="I1032" t="s">
        <v>3816</v>
      </c>
      <c r="J1032" t="s">
        <v>29</v>
      </c>
      <c r="K1032" t="s">
        <v>29</v>
      </c>
      <c r="L1032" t="s">
        <v>29</v>
      </c>
      <c r="M1032">
        <v>10.805735055307199</v>
      </c>
      <c r="N1032">
        <v>11.312775798129801</v>
      </c>
      <c r="O1032" t="s">
        <v>29</v>
      </c>
      <c r="P1032" t="s">
        <v>29</v>
      </c>
      <c r="Q1032" t="s">
        <v>29</v>
      </c>
      <c r="R1032" t="s">
        <v>29</v>
      </c>
      <c r="S1032">
        <v>12.354848009810899</v>
      </c>
      <c r="T1032" t="s">
        <v>29</v>
      </c>
      <c r="U1032" t="s">
        <v>29</v>
      </c>
      <c r="V1032" t="s">
        <v>29</v>
      </c>
      <c r="W1032" t="s">
        <v>29</v>
      </c>
      <c r="X1032" t="s">
        <v>29</v>
      </c>
      <c r="Y1032" t="s">
        <v>29</v>
      </c>
    </row>
    <row r="1033" spans="1:25" x14ac:dyDescent="0.2">
      <c r="A1033" t="s">
        <v>3817</v>
      </c>
      <c r="B1033" t="s">
        <v>3818</v>
      </c>
      <c r="C1033" t="s">
        <v>3819</v>
      </c>
      <c r="D1033" t="s">
        <v>3820</v>
      </c>
      <c r="E1033" t="s">
        <v>3818</v>
      </c>
      <c r="F1033" t="s">
        <v>28</v>
      </c>
      <c r="G1033" t="s">
        <v>3818</v>
      </c>
      <c r="H1033" t="str">
        <f>"isp-1"</f>
        <v>isp-1</v>
      </c>
      <c r="I1033" t="s">
        <v>3820</v>
      </c>
      <c r="J1033">
        <v>12.8574796039482</v>
      </c>
      <c r="K1033">
        <v>13.7140990753101</v>
      </c>
      <c r="L1033">
        <v>13.269586151714901</v>
      </c>
      <c r="M1033">
        <v>13.095447592203</v>
      </c>
      <c r="N1033">
        <v>13.5033803626803</v>
      </c>
      <c r="O1033">
        <v>13.067316673612099</v>
      </c>
      <c r="P1033">
        <v>-5.8340067492576302E-2</v>
      </c>
      <c r="Q1033">
        <v>-1.03691854071149</v>
      </c>
      <c r="R1033">
        <v>0.92023840572633897</v>
      </c>
      <c r="S1033">
        <v>13.2507651345909</v>
      </c>
      <c r="T1033">
        <v>-0.12584074549997401</v>
      </c>
      <c r="U1033">
        <v>-6.8741933583079904</v>
      </c>
      <c r="V1033">
        <v>0.90134335512279695</v>
      </c>
      <c r="W1033">
        <v>0.99833354317360001</v>
      </c>
      <c r="X1033">
        <v>0</v>
      </c>
      <c r="Y1033">
        <v>0</v>
      </c>
    </row>
    <row r="1034" spans="1:25" x14ac:dyDescent="0.2">
      <c r="A1034" t="s">
        <v>3821</v>
      </c>
      <c r="B1034" t="s">
        <v>3822</v>
      </c>
      <c r="C1034" t="s">
        <v>3823</v>
      </c>
      <c r="D1034" t="s">
        <v>3824</v>
      </c>
      <c r="E1034" t="s">
        <v>3822</v>
      </c>
      <c r="F1034" t="s">
        <v>28</v>
      </c>
      <c r="G1034" t="s">
        <v>3822</v>
      </c>
      <c r="H1034" t="str">
        <f>"pmk-3"</f>
        <v>pmk-3</v>
      </c>
      <c r="I1034" t="s">
        <v>3824</v>
      </c>
      <c r="J1034">
        <v>12.263427046489401</v>
      </c>
      <c r="K1034">
        <v>12.3285046598952</v>
      </c>
      <c r="L1034">
        <v>12.7281703103063</v>
      </c>
      <c r="M1034">
        <v>12.7451866541697</v>
      </c>
      <c r="N1034">
        <v>12.748713766492999</v>
      </c>
      <c r="O1034" t="s">
        <v>29</v>
      </c>
      <c r="P1034">
        <v>0.306916204767745</v>
      </c>
      <c r="Q1034">
        <v>-0.27803387023878801</v>
      </c>
      <c r="R1034">
        <v>0.89186627977427801</v>
      </c>
      <c r="S1034">
        <v>12.861038372152199</v>
      </c>
      <c r="T1034">
        <v>1.1128856642078999</v>
      </c>
      <c r="U1034">
        <v>-6.1468290476935499</v>
      </c>
      <c r="V1034">
        <v>0.28230545446863498</v>
      </c>
      <c r="W1034">
        <v>0.856190392347986</v>
      </c>
      <c r="X1034">
        <v>0</v>
      </c>
      <c r="Y1034">
        <v>0</v>
      </c>
    </row>
    <row r="1035" spans="1:25" x14ac:dyDescent="0.2">
      <c r="A1035" t="s">
        <v>3825</v>
      </c>
      <c r="B1035" t="s">
        <v>3826</v>
      </c>
      <c r="C1035" t="s">
        <v>3827</v>
      </c>
      <c r="D1035" t="s">
        <v>3828</v>
      </c>
      <c r="E1035" t="s">
        <v>3826</v>
      </c>
      <c r="F1035" t="s">
        <v>28</v>
      </c>
      <c r="G1035" t="s">
        <v>3826</v>
      </c>
      <c r="H1035" t="str">
        <f>"gex-2"</f>
        <v>gex-2</v>
      </c>
      <c r="I1035" t="s">
        <v>3828</v>
      </c>
      <c r="J1035">
        <v>13.303024858903999</v>
      </c>
      <c r="K1035">
        <v>13.427118399077701</v>
      </c>
      <c r="L1035">
        <v>13.3619028410845</v>
      </c>
      <c r="M1035">
        <v>13.376364916335399</v>
      </c>
      <c r="N1035">
        <v>13.5116949512389</v>
      </c>
      <c r="O1035">
        <v>13.291303086466201</v>
      </c>
      <c r="P1035">
        <v>2.91056183247544E-2</v>
      </c>
      <c r="Q1035">
        <v>-0.412874823625487</v>
      </c>
      <c r="R1035">
        <v>0.471086060274996</v>
      </c>
      <c r="S1035">
        <v>13.538644112088299</v>
      </c>
      <c r="T1035">
        <v>0.13967648840029701</v>
      </c>
      <c r="U1035">
        <v>-6.8722343617936099</v>
      </c>
      <c r="V1035">
        <v>0.89067012775179599</v>
      </c>
      <c r="W1035">
        <v>0.99702926582654094</v>
      </c>
      <c r="X1035">
        <v>0</v>
      </c>
      <c r="Y1035">
        <v>0</v>
      </c>
    </row>
    <row r="1036" spans="1:25" x14ac:dyDescent="0.2">
      <c r="A1036" t="s">
        <v>3829</v>
      </c>
      <c r="B1036" t="s">
        <v>3830</v>
      </c>
      <c r="C1036" t="s">
        <v>3831</v>
      </c>
      <c r="D1036" t="s">
        <v>3832</v>
      </c>
      <c r="E1036" t="s">
        <v>3830</v>
      </c>
      <c r="F1036" t="s">
        <v>28</v>
      </c>
      <c r="G1036" t="s">
        <v>3830</v>
      </c>
      <c r="H1036" t="str">
        <f>"knl-2"</f>
        <v>knl-2</v>
      </c>
      <c r="I1036" t="s">
        <v>3832</v>
      </c>
      <c r="J1036">
        <v>13.099377341055501</v>
      </c>
      <c r="K1036">
        <v>13.4243573268256</v>
      </c>
      <c r="L1036">
        <v>13.7519297633705</v>
      </c>
      <c r="M1036">
        <v>13.1812677819761</v>
      </c>
      <c r="N1036">
        <v>13.4147198933982</v>
      </c>
      <c r="O1036">
        <v>12.167713505001799</v>
      </c>
      <c r="P1036">
        <v>-0.50398775029182197</v>
      </c>
      <c r="Q1036">
        <v>-1.0956455771878899</v>
      </c>
      <c r="R1036">
        <v>8.7670076604242503E-2</v>
      </c>
      <c r="S1036">
        <v>13.3721231283624</v>
      </c>
      <c r="T1036">
        <v>-1.8067534661028899</v>
      </c>
      <c r="U1036">
        <v>-5.3224747296693797</v>
      </c>
      <c r="V1036">
        <v>8.9767103406063906E-2</v>
      </c>
      <c r="W1036">
        <v>0.62761537843567405</v>
      </c>
      <c r="X1036">
        <v>0</v>
      </c>
      <c r="Y1036">
        <v>0</v>
      </c>
    </row>
    <row r="1037" spans="1:25" x14ac:dyDescent="0.2">
      <c r="A1037" t="s">
        <v>3833</v>
      </c>
      <c r="B1037" t="s">
        <v>3834</v>
      </c>
      <c r="C1037" t="s">
        <v>3835</v>
      </c>
      <c r="D1037" t="s">
        <v>2306</v>
      </c>
      <c r="E1037" t="s">
        <v>3834</v>
      </c>
      <c r="F1037" t="s">
        <v>28</v>
      </c>
      <c r="G1037" t="s">
        <v>3834</v>
      </c>
      <c r="H1037" t="str">
        <f>"acdh-3"</f>
        <v>acdh-3</v>
      </c>
      <c r="I1037" t="s">
        <v>2306</v>
      </c>
      <c r="J1037">
        <v>18.436262598205101</v>
      </c>
      <c r="K1037">
        <v>18.0796970035687</v>
      </c>
      <c r="L1037">
        <v>17.983193066823699</v>
      </c>
      <c r="M1037">
        <v>17.730639467725702</v>
      </c>
      <c r="N1037">
        <v>17.7817594900133</v>
      </c>
      <c r="O1037">
        <v>17.945051585861901</v>
      </c>
      <c r="P1037">
        <v>-0.34723404166551203</v>
      </c>
      <c r="Q1037">
        <v>-0.73748816621387403</v>
      </c>
      <c r="R1037">
        <v>4.3020082882849503E-2</v>
      </c>
      <c r="S1037">
        <v>17.470276449990699</v>
      </c>
      <c r="T1037">
        <v>-1.8701106641657099</v>
      </c>
      <c r="U1037">
        <v>-5.2150279487450604</v>
      </c>
      <c r="V1037">
        <v>7.7918433689237496E-2</v>
      </c>
      <c r="W1037">
        <v>0.59887424322813498</v>
      </c>
      <c r="X1037">
        <v>0</v>
      </c>
      <c r="Y1037">
        <v>0</v>
      </c>
    </row>
    <row r="1038" spans="1:25" x14ac:dyDescent="0.2">
      <c r="A1038" t="s">
        <v>3836</v>
      </c>
      <c r="B1038" t="s">
        <v>3837</v>
      </c>
      <c r="C1038" t="s">
        <v>3838</v>
      </c>
      <c r="D1038" t="s">
        <v>3839</v>
      </c>
      <c r="E1038" t="s">
        <v>3837</v>
      </c>
      <c r="F1038" t="s">
        <v>28</v>
      </c>
      <c r="G1038" t="s">
        <v>3837</v>
      </c>
      <c r="H1038" t="str">
        <f>"cdc-25.1"</f>
        <v>cdc-25.1</v>
      </c>
      <c r="I1038" t="s">
        <v>3839</v>
      </c>
      <c r="J1038" t="s">
        <v>29</v>
      </c>
      <c r="K1038" t="s">
        <v>29</v>
      </c>
      <c r="L1038" t="s">
        <v>29</v>
      </c>
      <c r="M1038" t="s">
        <v>29</v>
      </c>
      <c r="N1038" t="s">
        <v>29</v>
      </c>
      <c r="O1038" t="s">
        <v>29</v>
      </c>
      <c r="P1038" t="s">
        <v>29</v>
      </c>
      <c r="Q1038" t="s">
        <v>29</v>
      </c>
      <c r="R1038" t="s">
        <v>29</v>
      </c>
      <c r="S1038">
        <v>12.339653169018</v>
      </c>
      <c r="T1038" t="s">
        <v>29</v>
      </c>
      <c r="U1038" t="s">
        <v>29</v>
      </c>
      <c r="V1038" t="s">
        <v>29</v>
      </c>
      <c r="W1038" t="s">
        <v>29</v>
      </c>
      <c r="X1038" t="s">
        <v>29</v>
      </c>
      <c r="Y1038" t="s">
        <v>29</v>
      </c>
    </row>
    <row r="1039" spans="1:25" x14ac:dyDescent="0.2">
      <c r="A1039" t="s">
        <v>3840</v>
      </c>
      <c r="B1039" t="s">
        <v>3841</v>
      </c>
      <c r="C1039" t="s">
        <v>3842</v>
      </c>
      <c r="D1039" t="s">
        <v>3843</v>
      </c>
      <c r="E1039" t="s">
        <v>3841</v>
      </c>
      <c r="F1039" t="s">
        <v>28</v>
      </c>
      <c r="G1039" t="s">
        <v>3841</v>
      </c>
      <c r="H1039" t="str">
        <f>"lam-1"</f>
        <v>lam-1</v>
      </c>
      <c r="I1039" t="s">
        <v>3843</v>
      </c>
      <c r="J1039">
        <v>13.5894287579011</v>
      </c>
      <c r="K1039">
        <v>13.6688674226884</v>
      </c>
      <c r="L1039">
        <v>14.2842547871984</v>
      </c>
      <c r="M1039">
        <v>13.379069393015101</v>
      </c>
      <c r="N1039">
        <v>13.6788378613065</v>
      </c>
      <c r="O1039">
        <v>13.830118993263101</v>
      </c>
      <c r="P1039">
        <v>-0.21817490673433301</v>
      </c>
      <c r="Q1039">
        <v>-0.70075571162944295</v>
      </c>
      <c r="R1039">
        <v>0.26440589816077598</v>
      </c>
      <c r="S1039">
        <v>13.725060099841301</v>
      </c>
      <c r="T1039">
        <v>-0.95022678618009804</v>
      </c>
      <c r="U1039">
        <v>-6.42234501058212</v>
      </c>
      <c r="V1039">
        <v>0.35465512326461901</v>
      </c>
      <c r="W1039">
        <v>0.87950242192597095</v>
      </c>
      <c r="X1039">
        <v>0</v>
      </c>
      <c r="Y1039">
        <v>0</v>
      </c>
    </row>
    <row r="1040" spans="1:25" x14ac:dyDescent="0.2">
      <c r="A1040" t="s">
        <v>3844</v>
      </c>
      <c r="B1040" t="s">
        <v>3845</v>
      </c>
      <c r="C1040" t="s">
        <v>3846</v>
      </c>
      <c r="D1040" t="s">
        <v>3847</v>
      </c>
      <c r="E1040" t="s">
        <v>3845</v>
      </c>
      <c r="F1040" t="s">
        <v>28</v>
      </c>
      <c r="G1040" t="s">
        <v>3845</v>
      </c>
      <c r="H1040" t="str">
        <f>"W03F8.3"</f>
        <v>W03F8.3</v>
      </c>
      <c r="I1040" t="s">
        <v>3847</v>
      </c>
      <c r="J1040" t="s">
        <v>29</v>
      </c>
      <c r="K1040">
        <v>12.0450084351736</v>
      </c>
      <c r="L1040" t="s">
        <v>29</v>
      </c>
      <c r="M1040" t="s">
        <v>29</v>
      </c>
      <c r="N1040">
        <v>12.662301122214901</v>
      </c>
      <c r="O1040" t="s">
        <v>29</v>
      </c>
      <c r="P1040">
        <v>0.61729268704131202</v>
      </c>
      <c r="Q1040">
        <v>-0.71616959533278901</v>
      </c>
      <c r="R1040">
        <v>1.95075496941541</v>
      </c>
      <c r="S1040">
        <v>12.9385701361988</v>
      </c>
      <c r="T1040">
        <v>1.0329452109097499</v>
      </c>
      <c r="U1040">
        <v>-5.8033181671809899</v>
      </c>
      <c r="V1040">
        <v>0.326215024310121</v>
      </c>
      <c r="W1040">
        <v>0.87094589458108596</v>
      </c>
      <c r="X1040">
        <v>0</v>
      </c>
      <c r="Y1040">
        <v>0</v>
      </c>
    </row>
    <row r="1041" spans="1:25" x14ac:dyDescent="0.2">
      <c r="A1041" t="s">
        <v>3848</v>
      </c>
      <c r="B1041" t="s">
        <v>3849</v>
      </c>
      <c r="C1041" t="s">
        <v>3850</v>
      </c>
      <c r="D1041" t="s">
        <v>3851</v>
      </c>
      <c r="E1041" t="s">
        <v>3849</v>
      </c>
      <c r="F1041" t="s">
        <v>28</v>
      </c>
      <c r="G1041" t="s">
        <v>3849</v>
      </c>
      <c r="H1041" t="str">
        <f>"swt-7"</f>
        <v>swt-7</v>
      </c>
      <c r="I1041" t="s">
        <v>3851</v>
      </c>
      <c r="J1041">
        <v>10.358988406614399</v>
      </c>
      <c r="K1041">
        <v>11.3471930255619</v>
      </c>
      <c r="L1041">
        <v>11.500284678541799</v>
      </c>
      <c r="M1041">
        <v>10.4351256958126</v>
      </c>
      <c r="N1041">
        <v>11.442647773193499</v>
      </c>
      <c r="O1041">
        <v>11.099457536755899</v>
      </c>
      <c r="P1041">
        <v>-7.6411701652038005E-2</v>
      </c>
      <c r="Q1041">
        <v>-0.93167447829959604</v>
      </c>
      <c r="R1041">
        <v>0.77885107499551998</v>
      </c>
      <c r="S1041">
        <v>12.1840920667976</v>
      </c>
      <c r="T1041">
        <v>-0.18950026881238499</v>
      </c>
      <c r="U1041">
        <v>-6.8636230599053798</v>
      </c>
      <c r="V1041">
        <v>0.85209944601537901</v>
      </c>
      <c r="W1041">
        <v>0.99370971747667503</v>
      </c>
      <c r="X1041">
        <v>0</v>
      </c>
      <c r="Y1041">
        <v>0</v>
      </c>
    </row>
    <row r="1042" spans="1:25" x14ac:dyDescent="0.2">
      <c r="A1042" t="s">
        <v>3852</v>
      </c>
      <c r="B1042" t="s">
        <v>3853</v>
      </c>
      <c r="C1042" t="s">
        <v>3854</v>
      </c>
      <c r="D1042" t="s">
        <v>3855</v>
      </c>
      <c r="E1042" t="s">
        <v>3853</v>
      </c>
      <c r="F1042" t="s">
        <v>28</v>
      </c>
      <c r="G1042" t="s">
        <v>3856</v>
      </c>
      <c r="H1042" t="str">
        <f>"nlp-31"</f>
        <v>nlp-31</v>
      </c>
      <c r="I1042" t="s">
        <v>3857</v>
      </c>
      <c r="J1042">
        <v>13.9627472370468</v>
      </c>
      <c r="K1042">
        <v>14.0036285014524</v>
      </c>
      <c r="L1042">
        <v>13.195249832379099</v>
      </c>
      <c r="M1042" t="s">
        <v>29</v>
      </c>
      <c r="N1042">
        <v>14.2881693268459</v>
      </c>
      <c r="O1042">
        <v>12.2286075281365</v>
      </c>
      <c r="P1042">
        <v>-0.46215342946827997</v>
      </c>
      <c r="Q1042">
        <v>-2.2051313398391099</v>
      </c>
      <c r="R1042">
        <v>1.28082448090255</v>
      </c>
      <c r="S1042">
        <v>13.5873105970655</v>
      </c>
      <c r="T1042">
        <v>-0.56550428863515301</v>
      </c>
      <c r="U1042">
        <v>-6.6055710600106297</v>
      </c>
      <c r="V1042">
        <v>0.58015020142503304</v>
      </c>
      <c r="W1042">
        <v>0.96248248770813105</v>
      </c>
      <c r="X1042">
        <v>0</v>
      </c>
      <c r="Y1042">
        <v>0</v>
      </c>
    </row>
    <row r="1043" spans="1:25" x14ac:dyDescent="0.2">
      <c r="A1043" t="s">
        <v>3858</v>
      </c>
      <c r="B1043" t="s">
        <v>3859</v>
      </c>
      <c r="C1043" t="s">
        <v>3860</v>
      </c>
      <c r="D1043" t="s">
        <v>534</v>
      </c>
      <c r="E1043" t="s">
        <v>3859</v>
      </c>
      <c r="F1043" t="s">
        <v>28</v>
      </c>
      <c r="G1043" t="s">
        <v>3859</v>
      </c>
      <c r="H1043" t="str">
        <f>"prp-17"</f>
        <v>prp-17</v>
      </c>
      <c r="I1043" t="s">
        <v>534</v>
      </c>
      <c r="J1043">
        <v>11.686683135576001</v>
      </c>
      <c r="K1043">
        <v>11.5161438412838</v>
      </c>
      <c r="L1043">
        <v>11.918726163385401</v>
      </c>
      <c r="M1043" t="s">
        <v>29</v>
      </c>
      <c r="N1043">
        <v>12.0826890730572</v>
      </c>
      <c r="O1043">
        <v>12.2500593568111</v>
      </c>
      <c r="P1043">
        <v>0.45918983485240999</v>
      </c>
      <c r="Q1043">
        <v>-0.48798960980732597</v>
      </c>
      <c r="R1043">
        <v>1.4063692795121501</v>
      </c>
      <c r="S1043">
        <v>11.702545755108</v>
      </c>
      <c r="T1043">
        <v>1.0282756003757201</v>
      </c>
      <c r="U1043">
        <v>-6.2353891837364799</v>
      </c>
      <c r="V1043">
        <v>0.31921456777700402</v>
      </c>
      <c r="W1043">
        <v>0.86570305652650403</v>
      </c>
      <c r="X1043">
        <v>0</v>
      </c>
      <c r="Y1043">
        <v>0</v>
      </c>
    </row>
    <row r="1044" spans="1:25" x14ac:dyDescent="0.2">
      <c r="A1044" t="s">
        <v>3861</v>
      </c>
      <c r="B1044" t="s">
        <v>3862</v>
      </c>
      <c r="C1044" t="s">
        <v>3863</v>
      </c>
      <c r="D1044" t="s">
        <v>3864</v>
      </c>
      <c r="E1044" t="s">
        <v>3862</v>
      </c>
      <c r="F1044" t="s">
        <v>28</v>
      </c>
      <c r="G1044" t="s">
        <v>3862</v>
      </c>
      <c r="H1044" t="str">
        <f>"ept-1"</f>
        <v>ept-1</v>
      </c>
      <c r="I1044" t="s">
        <v>3864</v>
      </c>
      <c r="J1044">
        <v>13.766019010481701</v>
      </c>
      <c r="K1044">
        <v>13.699983614760001</v>
      </c>
      <c r="L1044">
        <v>14.072723577762</v>
      </c>
      <c r="M1044">
        <v>13.1368887509737</v>
      </c>
      <c r="N1044">
        <v>13.6214718309406</v>
      </c>
      <c r="O1044">
        <v>13.8827514796034</v>
      </c>
      <c r="P1044">
        <v>-0.299204713828635</v>
      </c>
      <c r="Q1044">
        <v>-0.95735786715121696</v>
      </c>
      <c r="R1044">
        <v>0.358948439493947</v>
      </c>
      <c r="S1044">
        <v>13.7037407070969</v>
      </c>
      <c r="T1044">
        <v>-0.96425299117017205</v>
      </c>
      <c r="U1044">
        <v>-6.4073550397600396</v>
      </c>
      <c r="V1044">
        <v>0.34936101870283598</v>
      </c>
      <c r="W1044">
        <v>0.87950242192597095</v>
      </c>
      <c r="X1044">
        <v>0</v>
      </c>
      <c r="Y1044">
        <v>0</v>
      </c>
    </row>
    <row r="1045" spans="1:25" x14ac:dyDescent="0.2">
      <c r="A1045" t="s">
        <v>3865</v>
      </c>
      <c r="B1045" t="s">
        <v>3866</v>
      </c>
      <c r="C1045" t="s">
        <v>14357</v>
      </c>
      <c r="D1045" t="s">
        <v>3867</v>
      </c>
      <c r="E1045" t="s">
        <v>3866</v>
      </c>
      <c r="F1045" t="s">
        <v>28</v>
      </c>
      <c r="G1045" t="s">
        <v>3866</v>
      </c>
      <c r="H1045" t="str">
        <f>"F57B10.8"</f>
        <v>F57B10.8</v>
      </c>
      <c r="I1045" t="s">
        <v>3867</v>
      </c>
      <c r="J1045" t="s">
        <v>29</v>
      </c>
      <c r="K1045" t="s">
        <v>29</v>
      </c>
      <c r="L1045" t="s">
        <v>29</v>
      </c>
      <c r="M1045" t="s">
        <v>29</v>
      </c>
      <c r="N1045" t="s">
        <v>29</v>
      </c>
      <c r="O1045" t="s">
        <v>29</v>
      </c>
      <c r="P1045" t="s">
        <v>29</v>
      </c>
      <c r="Q1045" t="s">
        <v>29</v>
      </c>
      <c r="R1045" t="s">
        <v>29</v>
      </c>
      <c r="S1045">
        <v>12.428494191383299</v>
      </c>
      <c r="T1045" t="s">
        <v>29</v>
      </c>
      <c r="U1045" t="s">
        <v>29</v>
      </c>
      <c r="V1045" t="s">
        <v>29</v>
      </c>
      <c r="W1045" t="s">
        <v>29</v>
      </c>
      <c r="X1045" t="s">
        <v>29</v>
      </c>
      <c r="Y1045" t="s">
        <v>29</v>
      </c>
    </row>
    <row r="1046" spans="1:25" x14ac:dyDescent="0.2">
      <c r="A1046" t="s">
        <v>3868</v>
      </c>
      <c r="B1046" t="s">
        <v>3869</v>
      </c>
      <c r="C1046" t="s">
        <v>3870</v>
      </c>
      <c r="D1046" t="s">
        <v>3871</v>
      </c>
      <c r="E1046" t="s">
        <v>3869</v>
      </c>
      <c r="F1046" t="s">
        <v>28</v>
      </c>
      <c r="G1046" t="s">
        <v>3869</v>
      </c>
      <c r="H1046" t="str">
        <f>"spg-20"</f>
        <v>spg-20</v>
      </c>
      <c r="I1046" t="s">
        <v>3871</v>
      </c>
      <c r="J1046" t="s">
        <v>29</v>
      </c>
      <c r="K1046">
        <v>11.364687436960599</v>
      </c>
      <c r="L1046" t="s">
        <v>29</v>
      </c>
      <c r="M1046" t="s">
        <v>29</v>
      </c>
      <c r="N1046" t="s">
        <v>29</v>
      </c>
      <c r="O1046" t="s">
        <v>29</v>
      </c>
      <c r="P1046" t="s">
        <v>29</v>
      </c>
      <c r="Q1046" t="s">
        <v>29</v>
      </c>
      <c r="R1046" t="s">
        <v>29</v>
      </c>
      <c r="S1046">
        <v>10.642805195134599</v>
      </c>
      <c r="T1046" t="s">
        <v>29</v>
      </c>
      <c r="U1046" t="s">
        <v>29</v>
      </c>
      <c r="V1046" t="s">
        <v>29</v>
      </c>
      <c r="W1046" t="s">
        <v>29</v>
      </c>
      <c r="X1046" t="s">
        <v>29</v>
      </c>
      <c r="Y1046" t="s">
        <v>29</v>
      </c>
    </row>
    <row r="1047" spans="1:25" x14ac:dyDescent="0.2">
      <c r="A1047" t="s">
        <v>3872</v>
      </c>
      <c r="B1047" t="s">
        <v>3873</v>
      </c>
      <c r="C1047" t="s">
        <v>3874</v>
      </c>
      <c r="D1047" t="s">
        <v>3875</v>
      </c>
      <c r="E1047" t="s">
        <v>3873</v>
      </c>
      <c r="F1047" t="s">
        <v>28</v>
      </c>
      <c r="G1047" t="s">
        <v>3873</v>
      </c>
      <c r="H1047" t="str">
        <f>"xpg-1"</f>
        <v>xpg-1</v>
      </c>
      <c r="I1047" t="s">
        <v>3875</v>
      </c>
      <c r="J1047">
        <v>11.849878591063201</v>
      </c>
      <c r="K1047" t="s">
        <v>29</v>
      </c>
      <c r="L1047">
        <v>12.6031880330903</v>
      </c>
      <c r="M1047">
        <v>11.764300645365299</v>
      </c>
      <c r="N1047" t="s">
        <v>29</v>
      </c>
      <c r="O1047">
        <v>12.028686690899599</v>
      </c>
      <c r="P1047">
        <v>-0.33003964394423602</v>
      </c>
      <c r="Q1047">
        <v>-0.95954397046961803</v>
      </c>
      <c r="R1047">
        <v>0.299464682581146</v>
      </c>
      <c r="S1047">
        <v>11.998313770206799</v>
      </c>
      <c r="T1047">
        <v>-1.1335864212158</v>
      </c>
      <c r="U1047">
        <v>-6.03299863440572</v>
      </c>
      <c r="V1047">
        <v>0.27760400661053802</v>
      </c>
      <c r="W1047">
        <v>0.856190392347986</v>
      </c>
      <c r="X1047">
        <v>0</v>
      </c>
      <c r="Y1047">
        <v>0</v>
      </c>
    </row>
    <row r="1048" spans="1:25" x14ac:dyDescent="0.2">
      <c r="A1048" t="s">
        <v>3876</v>
      </c>
      <c r="B1048" t="s">
        <v>3877</v>
      </c>
      <c r="C1048" t="s">
        <v>3878</v>
      </c>
      <c r="D1048" t="s">
        <v>3879</v>
      </c>
      <c r="E1048" t="s">
        <v>3877</v>
      </c>
      <c r="F1048" t="s">
        <v>28</v>
      </c>
      <c r="G1048" t="s">
        <v>3877</v>
      </c>
      <c r="H1048" t="str">
        <f>"larp-5"</f>
        <v>larp-5</v>
      </c>
      <c r="I1048" t="s">
        <v>3879</v>
      </c>
      <c r="J1048" t="s">
        <v>29</v>
      </c>
      <c r="K1048" t="s">
        <v>29</v>
      </c>
      <c r="L1048">
        <v>10.429978060529301</v>
      </c>
      <c r="M1048" t="s">
        <v>29</v>
      </c>
      <c r="N1048" t="s">
        <v>29</v>
      </c>
      <c r="O1048" t="s">
        <v>29</v>
      </c>
      <c r="P1048" t="s">
        <v>29</v>
      </c>
      <c r="Q1048" t="s">
        <v>29</v>
      </c>
      <c r="R1048" t="s">
        <v>29</v>
      </c>
      <c r="S1048">
        <v>11.0622366208791</v>
      </c>
      <c r="T1048" t="s">
        <v>29</v>
      </c>
      <c r="U1048" t="s">
        <v>29</v>
      </c>
      <c r="V1048" t="s">
        <v>29</v>
      </c>
      <c r="W1048" t="s">
        <v>29</v>
      </c>
      <c r="X1048" t="s">
        <v>29</v>
      </c>
      <c r="Y1048" t="s">
        <v>29</v>
      </c>
    </row>
    <row r="1049" spans="1:25" x14ac:dyDescent="0.2">
      <c r="A1049" t="s">
        <v>3880</v>
      </c>
      <c r="B1049" t="s">
        <v>3881</v>
      </c>
      <c r="C1049" t="s">
        <v>3882</v>
      </c>
      <c r="D1049" t="s">
        <v>3883</v>
      </c>
      <c r="E1049" t="s">
        <v>3881</v>
      </c>
      <c r="F1049" t="s">
        <v>28</v>
      </c>
      <c r="G1049" t="s">
        <v>3881</v>
      </c>
      <c r="H1049" t="str">
        <f>"vpr-1"</f>
        <v>vpr-1</v>
      </c>
      <c r="I1049" t="s">
        <v>3883</v>
      </c>
      <c r="J1049">
        <v>15.854405931187699</v>
      </c>
      <c r="K1049">
        <v>15.5729363353328</v>
      </c>
      <c r="L1049">
        <v>15.707028949988601</v>
      </c>
      <c r="M1049">
        <v>15.8293527166513</v>
      </c>
      <c r="N1049">
        <v>15.6975909806748</v>
      </c>
      <c r="O1049">
        <v>15.487610514396501</v>
      </c>
      <c r="P1049">
        <v>-3.9939001595490402E-2</v>
      </c>
      <c r="Q1049">
        <v>-0.48802108415239198</v>
      </c>
      <c r="R1049">
        <v>0.408143080961411</v>
      </c>
      <c r="S1049">
        <v>15.187795929496801</v>
      </c>
      <c r="T1049">
        <v>-0.187340700190881</v>
      </c>
      <c r="U1049">
        <v>-6.8641698431009699</v>
      </c>
      <c r="V1049">
        <v>0.85350123561101798</v>
      </c>
      <c r="W1049">
        <v>0.99370971747667503</v>
      </c>
      <c r="X1049">
        <v>0</v>
      </c>
      <c r="Y1049">
        <v>0</v>
      </c>
    </row>
    <row r="1050" spans="1:25" x14ac:dyDescent="0.2">
      <c r="A1050" t="s">
        <v>3884</v>
      </c>
      <c r="B1050" t="s">
        <v>3885</v>
      </c>
      <c r="C1050" t="s">
        <v>3886</v>
      </c>
      <c r="D1050" t="s">
        <v>3887</v>
      </c>
      <c r="E1050" t="s">
        <v>3885</v>
      </c>
      <c r="F1050" t="s">
        <v>28</v>
      </c>
      <c r="G1050" t="s">
        <v>3885</v>
      </c>
      <c r="H1050" t="str">
        <f>"cpn-2"</f>
        <v>cpn-2</v>
      </c>
      <c r="I1050" t="s">
        <v>3887</v>
      </c>
      <c r="J1050" t="s">
        <v>29</v>
      </c>
      <c r="K1050" t="s">
        <v>29</v>
      </c>
      <c r="L1050">
        <v>11.2948914793593</v>
      </c>
      <c r="M1050">
        <v>12.1714528120753</v>
      </c>
      <c r="N1050">
        <v>12.2165851025763</v>
      </c>
      <c r="O1050">
        <v>12.7820301914217</v>
      </c>
      <c r="P1050">
        <v>1.0951312226651699</v>
      </c>
      <c r="Q1050">
        <v>0.38806757599901698</v>
      </c>
      <c r="R1050">
        <v>1.8021948693313199</v>
      </c>
      <c r="S1050">
        <v>12.5131362097548</v>
      </c>
      <c r="T1050">
        <v>3.3779457056037399</v>
      </c>
      <c r="U1050">
        <v>-2.3296307601072601</v>
      </c>
      <c r="V1050">
        <v>5.5528526817527997E-3</v>
      </c>
      <c r="W1050">
        <v>0.117706329457792</v>
      </c>
      <c r="X1050">
        <v>1</v>
      </c>
      <c r="Y1050">
        <v>0</v>
      </c>
    </row>
    <row r="1051" spans="1:25" x14ac:dyDescent="0.2">
      <c r="A1051" t="s">
        <v>3888</v>
      </c>
      <c r="B1051" t="s">
        <v>3889</v>
      </c>
      <c r="C1051" t="s">
        <v>3890</v>
      </c>
      <c r="D1051" t="s">
        <v>3891</v>
      </c>
      <c r="E1051" t="s">
        <v>3889</v>
      </c>
      <c r="F1051" t="s">
        <v>28</v>
      </c>
      <c r="G1051" t="s">
        <v>3889</v>
      </c>
      <c r="H1051" t="str">
        <f>"fgt-1"</f>
        <v>fgt-1</v>
      </c>
      <c r="I1051" t="s">
        <v>3891</v>
      </c>
      <c r="J1051">
        <v>16.5887407322125</v>
      </c>
      <c r="K1051">
        <v>16.934614761198599</v>
      </c>
      <c r="L1051">
        <v>16.900390876600898</v>
      </c>
      <c r="M1051">
        <v>16.743966747181702</v>
      </c>
      <c r="N1051">
        <v>16.749231182875601</v>
      </c>
      <c r="O1051">
        <v>16.607337617086099</v>
      </c>
      <c r="P1051">
        <v>-0.107736940956229</v>
      </c>
      <c r="Q1051">
        <v>-0.56564304247491404</v>
      </c>
      <c r="R1051">
        <v>0.35016916056245501</v>
      </c>
      <c r="S1051">
        <v>17.1031071514772</v>
      </c>
      <c r="T1051">
        <v>-0.494516427192569</v>
      </c>
      <c r="U1051">
        <v>-6.7555885925503496</v>
      </c>
      <c r="V1051">
        <v>0.62695759247558802</v>
      </c>
      <c r="W1051">
        <v>0.97279262440453396</v>
      </c>
      <c r="X1051">
        <v>0</v>
      </c>
      <c r="Y1051">
        <v>0</v>
      </c>
    </row>
    <row r="1052" spans="1:25" x14ac:dyDescent="0.2">
      <c r="A1052" t="s">
        <v>3892</v>
      </c>
      <c r="B1052" t="s">
        <v>3893</v>
      </c>
      <c r="C1052" t="s">
        <v>14358</v>
      </c>
      <c r="D1052" t="s">
        <v>3894</v>
      </c>
      <c r="E1052" t="s">
        <v>3893</v>
      </c>
      <c r="F1052" t="s">
        <v>28</v>
      </c>
      <c r="G1052" t="s">
        <v>3893</v>
      </c>
      <c r="H1052" t="str">
        <f>"T04B8.5"</f>
        <v>T04B8.5</v>
      </c>
      <c r="I1052" t="s">
        <v>3894</v>
      </c>
      <c r="J1052">
        <v>18.648688642001499</v>
      </c>
      <c r="K1052">
        <v>18.824124948883199</v>
      </c>
      <c r="L1052">
        <v>18.511102326069501</v>
      </c>
      <c r="M1052">
        <v>19.088460682987002</v>
      </c>
      <c r="N1052">
        <v>19.075850526576801</v>
      </c>
      <c r="O1052">
        <v>19.7421266071403</v>
      </c>
      <c r="P1052">
        <v>0.64084063324996898</v>
      </c>
      <c r="Q1052">
        <v>-0.30413431219700898</v>
      </c>
      <c r="R1052">
        <v>1.5858155786969499</v>
      </c>
      <c r="S1052">
        <v>18.632323266561201</v>
      </c>
      <c r="T1052">
        <v>1.42535242857147</v>
      </c>
      <c r="U1052">
        <v>-5.8775971640506599</v>
      </c>
      <c r="V1052">
        <v>0.17126499269435999</v>
      </c>
      <c r="W1052">
        <v>0.774673320044722</v>
      </c>
      <c r="X1052">
        <v>0</v>
      </c>
      <c r="Y1052">
        <v>0</v>
      </c>
    </row>
    <row r="1053" spans="1:25" x14ac:dyDescent="0.2">
      <c r="A1053" t="s">
        <v>3895</v>
      </c>
      <c r="B1053" t="s">
        <v>3896</v>
      </c>
      <c r="C1053" t="s">
        <v>3897</v>
      </c>
      <c r="D1053" t="s">
        <v>3898</v>
      </c>
      <c r="E1053" t="s">
        <v>3896</v>
      </c>
      <c r="F1053" t="s">
        <v>28</v>
      </c>
      <c r="G1053" t="s">
        <v>3896</v>
      </c>
      <c r="H1053" t="str">
        <f>"inx-13"</f>
        <v>inx-13</v>
      </c>
      <c r="I1053" t="s">
        <v>3898</v>
      </c>
      <c r="J1053">
        <v>12.615799660939301</v>
      </c>
      <c r="K1053">
        <v>12.2391948410593</v>
      </c>
      <c r="L1053">
        <v>12.6436121200434</v>
      </c>
      <c r="M1053">
        <v>13.539600518237799</v>
      </c>
      <c r="N1053">
        <v>13.3752623063115</v>
      </c>
      <c r="O1053">
        <v>13.377578421979299</v>
      </c>
      <c r="P1053">
        <v>0.93127820816224705</v>
      </c>
      <c r="Q1053">
        <v>0.50561330343524002</v>
      </c>
      <c r="R1053">
        <v>1.35694311288925</v>
      </c>
      <c r="S1053">
        <v>13.1606990015138</v>
      </c>
      <c r="T1053">
        <v>4.6180816679301104</v>
      </c>
      <c r="U1053">
        <v>0.30644011019658801</v>
      </c>
      <c r="V1053">
        <v>2.4917358940354203E-4</v>
      </c>
      <c r="W1053">
        <v>1.0365621319187401E-2</v>
      </c>
      <c r="X1053">
        <v>0</v>
      </c>
      <c r="Y1053">
        <v>0</v>
      </c>
    </row>
    <row r="1054" spans="1:25" x14ac:dyDescent="0.2">
      <c r="A1054" t="s">
        <v>3899</v>
      </c>
      <c r="B1054" t="s">
        <v>3900</v>
      </c>
      <c r="C1054" t="s">
        <v>14359</v>
      </c>
      <c r="D1054" t="s">
        <v>3901</v>
      </c>
      <c r="E1054" t="s">
        <v>3900</v>
      </c>
      <c r="F1054" t="s">
        <v>28</v>
      </c>
      <c r="G1054" t="s">
        <v>3900</v>
      </c>
      <c r="H1054" t="str">
        <f>"ZK484.3"</f>
        <v>ZK484.3</v>
      </c>
      <c r="I1054" t="s">
        <v>3901</v>
      </c>
      <c r="J1054">
        <v>12.6265595156018</v>
      </c>
      <c r="K1054">
        <v>12.6645656436829</v>
      </c>
      <c r="L1054">
        <v>12.3390216864829</v>
      </c>
      <c r="M1054">
        <v>11.6809568606991</v>
      </c>
      <c r="N1054">
        <v>11.5991056292727</v>
      </c>
      <c r="O1054">
        <v>11.7443214889934</v>
      </c>
      <c r="P1054">
        <v>-0.868587622267468</v>
      </c>
      <c r="Q1054">
        <v>-1.5013144319377301</v>
      </c>
      <c r="R1054">
        <v>-0.23586081259720401</v>
      </c>
      <c r="S1054">
        <v>11.5983672225715</v>
      </c>
      <c r="T1054">
        <v>-2.9277838134721201</v>
      </c>
      <c r="U1054">
        <v>-3.3168342794422099</v>
      </c>
      <c r="V1054">
        <v>1.0453203539308399E-2</v>
      </c>
      <c r="W1054">
        <v>0.183096112520096</v>
      </c>
      <c r="X1054">
        <v>0</v>
      </c>
      <c r="Y1054">
        <v>0</v>
      </c>
    </row>
    <row r="1055" spans="1:25" x14ac:dyDescent="0.2">
      <c r="A1055" t="s">
        <v>3902</v>
      </c>
      <c r="B1055" t="s">
        <v>3903</v>
      </c>
      <c r="C1055" t="s">
        <v>3904</v>
      </c>
      <c r="D1055" t="s">
        <v>3003</v>
      </c>
      <c r="E1055" t="s">
        <v>3903</v>
      </c>
      <c r="F1055" t="s">
        <v>28</v>
      </c>
      <c r="G1055" t="s">
        <v>3903</v>
      </c>
      <c r="H1055" t="str">
        <f>"haf-9"</f>
        <v>haf-9</v>
      </c>
      <c r="I1055" t="s">
        <v>3003</v>
      </c>
      <c r="J1055">
        <v>15.2482317504817</v>
      </c>
      <c r="K1055">
        <v>15.2339090615444</v>
      </c>
      <c r="L1055">
        <v>15.2629731813322</v>
      </c>
      <c r="M1055">
        <v>15.254389682762801</v>
      </c>
      <c r="N1055">
        <v>15.2102167425699</v>
      </c>
      <c r="O1055">
        <v>15.122273764682999</v>
      </c>
      <c r="P1055">
        <v>-5.2744601114215001E-2</v>
      </c>
      <c r="Q1055">
        <v>-0.42003212223089798</v>
      </c>
      <c r="R1055">
        <v>0.31454292000246797</v>
      </c>
      <c r="S1055">
        <v>15.244501473907301</v>
      </c>
      <c r="T1055">
        <v>-0.30183135427218999</v>
      </c>
      <c r="U1055">
        <v>-6.8350108633792903</v>
      </c>
      <c r="V1055">
        <v>0.76626025597605996</v>
      </c>
      <c r="W1055">
        <v>0.99278624068726296</v>
      </c>
      <c r="X1055">
        <v>0</v>
      </c>
      <c r="Y1055">
        <v>0</v>
      </c>
    </row>
    <row r="1056" spans="1:25" x14ac:dyDescent="0.2">
      <c r="A1056" t="s">
        <v>3905</v>
      </c>
      <c r="B1056" t="s">
        <v>3906</v>
      </c>
      <c r="C1056" t="s">
        <v>3907</v>
      </c>
      <c r="D1056" t="s">
        <v>3079</v>
      </c>
      <c r="E1056" t="s">
        <v>3906</v>
      </c>
      <c r="F1056" t="s">
        <v>28</v>
      </c>
      <c r="G1056" t="s">
        <v>3906</v>
      </c>
      <c r="H1056" t="str">
        <f>"pck-1"</f>
        <v>pck-1</v>
      </c>
      <c r="I1056" t="s">
        <v>3079</v>
      </c>
      <c r="J1056">
        <v>13.0937306161621</v>
      </c>
      <c r="K1056">
        <v>13.016597323665099</v>
      </c>
      <c r="L1056">
        <v>13.092986790629499</v>
      </c>
      <c r="M1056">
        <v>14.50218696848</v>
      </c>
      <c r="N1056">
        <v>14.2398319812369</v>
      </c>
      <c r="O1056">
        <v>14.1867976829193</v>
      </c>
      <c r="P1056">
        <v>1.24183396739318</v>
      </c>
      <c r="Q1056">
        <v>0.84620463863570905</v>
      </c>
      <c r="R1056">
        <v>1.6374632961506499</v>
      </c>
      <c r="S1056">
        <v>13.8696272488181</v>
      </c>
      <c r="T1056">
        <v>6.5973202865484097</v>
      </c>
      <c r="U1056">
        <v>4.5342978846317497</v>
      </c>
      <c r="V1056" s="2">
        <v>3.4964953863961602E-6</v>
      </c>
      <c r="W1056">
        <v>2.98367606305805E-4</v>
      </c>
      <c r="X1056">
        <v>1</v>
      </c>
      <c r="Y1056">
        <v>1</v>
      </c>
    </row>
    <row r="1057" spans="1:25" x14ac:dyDescent="0.2">
      <c r="A1057" t="s">
        <v>3908</v>
      </c>
      <c r="B1057" t="s">
        <v>3909</v>
      </c>
      <c r="C1057" t="s">
        <v>3910</v>
      </c>
      <c r="D1057" t="s">
        <v>3911</v>
      </c>
      <c r="E1057" t="s">
        <v>3909</v>
      </c>
      <c r="F1057" t="s">
        <v>28</v>
      </c>
      <c r="G1057" t="s">
        <v>3909</v>
      </c>
      <c r="H1057" t="str">
        <f>"lonp-1"</f>
        <v>lonp-1</v>
      </c>
      <c r="I1057" t="s">
        <v>3911</v>
      </c>
      <c r="J1057">
        <v>12.0335520633258</v>
      </c>
      <c r="K1057">
        <v>12.213312986426599</v>
      </c>
      <c r="L1057">
        <v>12.192692917159899</v>
      </c>
      <c r="M1057">
        <v>12.0468558961133</v>
      </c>
      <c r="N1057">
        <v>12.444392428251501</v>
      </c>
      <c r="O1057">
        <v>12.1722319668698</v>
      </c>
      <c r="P1057">
        <v>7.4640774774124494E-2</v>
      </c>
      <c r="Q1057">
        <v>-0.46574150524100399</v>
      </c>
      <c r="R1057">
        <v>0.61502305478925301</v>
      </c>
      <c r="S1057">
        <v>12.344906352540701</v>
      </c>
      <c r="T1057">
        <v>0.29155806047673199</v>
      </c>
      <c r="U1057">
        <v>-6.83804777639671</v>
      </c>
      <c r="V1057">
        <v>0.77417395935981503</v>
      </c>
      <c r="W1057">
        <v>0.99278624068726296</v>
      </c>
      <c r="X1057">
        <v>0</v>
      </c>
      <c r="Y1057">
        <v>0</v>
      </c>
    </row>
    <row r="1058" spans="1:25" x14ac:dyDescent="0.2">
      <c r="A1058" t="s">
        <v>3912</v>
      </c>
      <c r="B1058" t="s">
        <v>3913</v>
      </c>
      <c r="C1058" t="s">
        <v>3914</v>
      </c>
      <c r="D1058" t="s">
        <v>3915</v>
      </c>
      <c r="E1058" t="s">
        <v>3913</v>
      </c>
      <c r="F1058" t="s">
        <v>28</v>
      </c>
      <c r="G1058" t="s">
        <v>3913</v>
      </c>
      <c r="H1058" t="str">
        <f>"spcs-1"</f>
        <v>spcs-1</v>
      </c>
      <c r="I1058" t="s">
        <v>3915</v>
      </c>
      <c r="J1058">
        <v>12.519941500386199</v>
      </c>
      <c r="K1058">
        <v>13.1187484242091</v>
      </c>
      <c r="L1058">
        <v>13.808736831933301</v>
      </c>
      <c r="M1058">
        <v>13.740486935321499</v>
      </c>
      <c r="N1058">
        <v>13.284757007651701</v>
      </c>
      <c r="O1058">
        <v>13.8809243756788</v>
      </c>
      <c r="P1058">
        <v>0.48624718737448103</v>
      </c>
      <c r="Q1058">
        <v>-0.30976540648506801</v>
      </c>
      <c r="R1058">
        <v>1.2822597812340299</v>
      </c>
      <c r="S1058">
        <v>13.523688627131801</v>
      </c>
      <c r="T1058">
        <v>1.28939854717333</v>
      </c>
      <c r="U1058">
        <v>-6.0517591445371899</v>
      </c>
      <c r="V1058">
        <v>0.21463300719824699</v>
      </c>
      <c r="W1058">
        <v>0.79508962856638699</v>
      </c>
      <c r="X1058">
        <v>0</v>
      </c>
      <c r="Y1058">
        <v>0</v>
      </c>
    </row>
    <row r="1059" spans="1:25" x14ac:dyDescent="0.2">
      <c r="A1059" t="s">
        <v>3916</v>
      </c>
      <c r="B1059" t="s">
        <v>3917</v>
      </c>
      <c r="C1059" t="s">
        <v>3918</v>
      </c>
      <c r="D1059" t="s">
        <v>3919</v>
      </c>
      <c r="E1059" t="s">
        <v>3917</v>
      </c>
      <c r="F1059" t="s">
        <v>28</v>
      </c>
      <c r="G1059" t="s">
        <v>3917</v>
      </c>
      <c r="H1059" t="str">
        <f>"sdha-2"</f>
        <v>sdha-2</v>
      </c>
      <c r="I1059" t="s">
        <v>3919</v>
      </c>
      <c r="J1059">
        <v>14.0910258930188</v>
      </c>
      <c r="K1059">
        <v>14.3983571170545</v>
      </c>
      <c r="L1059">
        <v>14.388469926469799</v>
      </c>
      <c r="M1059">
        <v>14.358330892505</v>
      </c>
      <c r="N1059">
        <v>14.63100327611</v>
      </c>
      <c r="O1059">
        <v>14.3562181970679</v>
      </c>
      <c r="P1059">
        <v>0.15589980971327799</v>
      </c>
      <c r="Q1059">
        <v>-0.33525942569242601</v>
      </c>
      <c r="R1059">
        <v>0.64705904511898105</v>
      </c>
      <c r="S1059">
        <v>14.6993182712955</v>
      </c>
      <c r="T1059">
        <v>0.66999765648703502</v>
      </c>
      <c r="U1059">
        <v>-6.65031014704204</v>
      </c>
      <c r="V1059">
        <v>0.51191359291660798</v>
      </c>
      <c r="W1059">
        <v>0.94175858862430595</v>
      </c>
      <c r="X1059">
        <v>0</v>
      </c>
      <c r="Y1059">
        <v>0</v>
      </c>
    </row>
    <row r="1060" spans="1:25" x14ac:dyDescent="0.2">
      <c r="A1060" t="s">
        <v>3920</v>
      </c>
      <c r="B1060" t="s">
        <v>3921</v>
      </c>
      <c r="C1060" t="s">
        <v>3922</v>
      </c>
      <c r="D1060" t="s">
        <v>3923</v>
      </c>
      <c r="E1060" t="s">
        <v>3921</v>
      </c>
      <c r="F1060" t="s">
        <v>28</v>
      </c>
      <c r="G1060" t="s">
        <v>3921</v>
      </c>
      <c r="H1060" t="str">
        <f>"riok-1"</f>
        <v>riok-1</v>
      </c>
      <c r="I1060" t="s">
        <v>3923</v>
      </c>
      <c r="J1060">
        <v>13.0166388843587</v>
      </c>
      <c r="K1060">
        <v>12.9556322279136</v>
      </c>
      <c r="L1060">
        <v>13.1416679906682</v>
      </c>
      <c r="M1060">
        <v>13.117759333778</v>
      </c>
      <c r="N1060">
        <v>13.3102769469723</v>
      </c>
      <c r="O1060">
        <v>12.7866059540222</v>
      </c>
      <c r="P1060">
        <v>3.3567710610650899E-2</v>
      </c>
      <c r="Q1060">
        <v>-0.336011408880867</v>
      </c>
      <c r="R1060">
        <v>0.40314683010216901</v>
      </c>
      <c r="S1060">
        <v>12.806937522468701</v>
      </c>
      <c r="T1060">
        <v>0.19264769886331101</v>
      </c>
      <c r="U1060">
        <v>-6.8629918873662898</v>
      </c>
      <c r="V1060">
        <v>0.84967477503781597</v>
      </c>
      <c r="W1060">
        <v>0.99370971747667503</v>
      </c>
      <c r="X1060">
        <v>0</v>
      </c>
      <c r="Y1060">
        <v>0</v>
      </c>
    </row>
    <row r="1061" spans="1:25" x14ac:dyDescent="0.2">
      <c r="A1061" t="s">
        <v>3924</v>
      </c>
      <c r="B1061" t="s">
        <v>3925</v>
      </c>
      <c r="C1061" t="s">
        <v>3926</v>
      </c>
      <c r="D1061" t="s">
        <v>3927</v>
      </c>
      <c r="E1061" t="s">
        <v>3925</v>
      </c>
      <c r="F1061" t="s">
        <v>28</v>
      </c>
      <c r="G1061" t="s">
        <v>3925</v>
      </c>
      <c r="H1061" t="str">
        <f>"nhr-64"</f>
        <v>nhr-64</v>
      </c>
      <c r="I1061" t="s">
        <v>3927</v>
      </c>
      <c r="J1061">
        <v>10.5987796284172</v>
      </c>
      <c r="K1061" t="s">
        <v>29</v>
      </c>
      <c r="L1061">
        <v>10.998058085352801</v>
      </c>
      <c r="M1061">
        <v>10.7810894085324</v>
      </c>
      <c r="N1061">
        <v>11.6740162666114</v>
      </c>
      <c r="O1061">
        <v>9.67416796658142</v>
      </c>
      <c r="P1061">
        <v>-8.8660976309910197E-2</v>
      </c>
      <c r="Q1061">
        <v>-1.1080757970625099</v>
      </c>
      <c r="R1061">
        <v>0.93075384444269005</v>
      </c>
      <c r="S1061">
        <v>11.1862332167614</v>
      </c>
      <c r="T1061">
        <v>-0.188048039688547</v>
      </c>
      <c r="U1061">
        <v>-6.7534235354327397</v>
      </c>
      <c r="V1061">
        <v>0.85376590794191198</v>
      </c>
      <c r="W1061">
        <v>0.99370971747667503</v>
      </c>
      <c r="X1061">
        <v>0</v>
      </c>
      <c r="Y1061">
        <v>0</v>
      </c>
    </row>
    <row r="1062" spans="1:25" x14ac:dyDescent="0.2">
      <c r="A1062" t="s">
        <v>3928</v>
      </c>
      <c r="B1062" t="s">
        <v>3929</v>
      </c>
      <c r="C1062" t="s">
        <v>3930</v>
      </c>
      <c r="D1062" t="s">
        <v>3931</v>
      </c>
      <c r="E1062" t="s">
        <v>3929</v>
      </c>
      <c r="F1062" t="s">
        <v>28</v>
      </c>
      <c r="G1062" t="s">
        <v>3929</v>
      </c>
      <c r="H1062" t="str">
        <f>"teg-4"</f>
        <v>teg-4</v>
      </c>
      <c r="I1062" t="s">
        <v>3931</v>
      </c>
      <c r="J1062">
        <v>12.262026411874301</v>
      </c>
      <c r="K1062">
        <v>12.6534248439328</v>
      </c>
      <c r="L1062">
        <v>11.566603277590501</v>
      </c>
      <c r="M1062">
        <v>13.8471529365153</v>
      </c>
      <c r="N1062">
        <v>13.866470358430099</v>
      </c>
      <c r="O1062">
        <v>13.545119241244899</v>
      </c>
      <c r="P1062">
        <v>1.5922293342642999</v>
      </c>
      <c r="Q1062">
        <v>1.0439994025428601</v>
      </c>
      <c r="R1062">
        <v>2.14045926598574</v>
      </c>
      <c r="S1062">
        <v>13.4667281124319</v>
      </c>
      <c r="T1062">
        <v>6.1042932782701103</v>
      </c>
      <c r="U1062">
        <v>3.5516308536933701</v>
      </c>
      <c r="V1062" s="2">
        <v>9.3436881418887003E-6</v>
      </c>
      <c r="W1062">
        <v>6.9101764747123498E-4</v>
      </c>
      <c r="X1062">
        <v>1</v>
      </c>
      <c r="Y1062">
        <v>1</v>
      </c>
    </row>
    <row r="1063" spans="1:25" x14ac:dyDescent="0.2">
      <c r="A1063" t="s">
        <v>3932</v>
      </c>
      <c r="B1063" t="s">
        <v>3933</v>
      </c>
      <c r="C1063" t="s">
        <v>3934</v>
      </c>
      <c r="D1063" t="s">
        <v>3935</v>
      </c>
      <c r="E1063" t="s">
        <v>3933</v>
      </c>
      <c r="F1063" t="s">
        <v>28</v>
      </c>
      <c r="G1063" t="s">
        <v>3933</v>
      </c>
      <c r="H1063" t="str">
        <f>"col-49"</f>
        <v>col-49</v>
      </c>
      <c r="I1063" t="s">
        <v>3935</v>
      </c>
      <c r="J1063">
        <v>13.238356308576501</v>
      </c>
      <c r="K1063">
        <v>12.3516882862915</v>
      </c>
      <c r="L1063">
        <v>13.0130367223679</v>
      </c>
      <c r="M1063">
        <v>12.061696398799899</v>
      </c>
      <c r="N1063">
        <v>12.2018529208906</v>
      </c>
      <c r="O1063">
        <v>12.6969938255542</v>
      </c>
      <c r="P1063">
        <v>-0.54751272399706596</v>
      </c>
      <c r="Q1063">
        <v>-1.7123753405115401</v>
      </c>
      <c r="R1063">
        <v>0.61734989251740902</v>
      </c>
      <c r="S1063">
        <v>12.6113391177617</v>
      </c>
      <c r="T1063">
        <v>-0.996940039014373</v>
      </c>
      <c r="U1063">
        <v>-6.3755806308023502</v>
      </c>
      <c r="V1063">
        <v>0.333729301408492</v>
      </c>
      <c r="W1063">
        <v>0.87368774661315896</v>
      </c>
      <c r="X1063">
        <v>0</v>
      </c>
      <c r="Y1063">
        <v>0</v>
      </c>
    </row>
    <row r="1064" spans="1:25" x14ac:dyDescent="0.2">
      <c r="A1064" t="s">
        <v>3936</v>
      </c>
      <c r="B1064" t="s">
        <v>3937</v>
      </c>
      <c r="C1064" t="s">
        <v>3938</v>
      </c>
      <c r="D1064" t="s">
        <v>3939</v>
      </c>
      <c r="E1064" t="s">
        <v>3937</v>
      </c>
      <c r="F1064" t="s">
        <v>28</v>
      </c>
      <c r="G1064" t="s">
        <v>3937</v>
      </c>
      <c r="H1064" t="str">
        <f>"lpd-6"</f>
        <v>lpd-6</v>
      </c>
      <c r="I1064" t="s">
        <v>3939</v>
      </c>
      <c r="J1064">
        <v>14.1218893165375</v>
      </c>
      <c r="K1064">
        <v>14.2324238941345</v>
      </c>
      <c r="L1064">
        <v>14.498729745839601</v>
      </c>
      <c r="M1064">
        <v>14.313501736487501</v>
      </c>
      <c r="N1064">
        <v>14.3538538985795</v>
      </c>
      <c r="O1064">
        <v>14.176167249597301</v>
      </c>
      <c r="P1064">
        <v>-3.1733572824386201E-3</v>
      </c>
      <c r="Q1064">
        <v>-0.47572098375580502</v>
      </c>
      <c r="R1064">
        <v>0.46937426919092801</v>
      </c>
      <c r="S1064">
        <v>14.3772124747869</v>
      </c>
      <c r="T1064">
        <v>-1.4114513007575999E-2</v>
      </c>
      <c r="U1064">
        <v>-6.8823854832014097</v>
      </c>
      <c r="V1064">
        <v>0.98889479340475195</v>
      </c>
      <c r="W1064">
        <v>0.99968702248720698</v>
      </c>
      <c r="X1064">
        <v>0</v>
      </c>
      <c r="Y1064">
        <v>0</v>
      </c>
    </row>
    <row r="1065" spans="1:25" x14ac:dyDescent="0.2">
      <c r="A1065" t="s">
        <v>3940</v>
      </c>
      <c r="B1065" t="s">
        <v>3941</v>
      </c>
      <c r="C1065" t="s">
        <v>3942</v>
      </c>
      <c r="D1065" t="s">
        <v>3943</v>
      </c>
      <c r="E1065" t="s">
        <v>3941</v>
      </c>
      <c r="F1065" t="s">
        <v>28</v>
      </c>
      <c r="G1065" t="s">
        <v>3941</v>
      </c>
      <c r="H1065" t="str">
        <f>"dscc-1"</f>
        <v>dscc-1</v>
      </c>
      <c r="I1065" t="s">
        <v>3943</v>
      </c>
      <c r="J1065" t="s">
        <v>29</v>
      </c>
      <c r="K1065" t="s">
        <v>29</v>
      </c>
      <c r="L1065">
        <v>12.007556797348</v>
      </c>
      <c r="M1065" t="s">
        <v>29</v>
      </c>
      <c r="N1065">
        <v>12.060243281770299</v>
      </c>
      <c r="O1065" t="s">
        <v>29</v>
      </c>
      <c r="P1065">
        <v>5.2686484422300901E-2</v>
      </c>
      <c r="Q1065">
        <v>-1.0462691987071799</v>
      </c>
      <c r="R1065">
        <v>1.1516421675517801</v>
      </c>
      <c r="S1065">
        <v>12.4704116682011</v>
      </c>
      <c r="T1065">
        <v>0.106975895781039</v>
      </c>
      <c r="U1065">
        <v>-6.3372819433880601</v>
      </c>
      <c r="V1065">
        <v>0.91694591769434797</v>
      </c>
      <c r="W1065">
        <v>0.99833354317360001</v>
      </c>
      <c r="X1065">
        <v>0</v>
      </c>
      <c r="Y1065">
        <v>0</v>
      </c>
    </row>
    <row r="1066" spans="1:25" x14ac:dyDescent="0.2">
      <c r="A1066" t="s">
        <v>3944</v>
      </c>
      <c r="B1066" t="s">
        <v>3945</v>
      </c>
      <c r="C1066" t="s">
        <v>14360</v>
      </c>
      <c r="D1066" t="s">
        <v>3946</v>
      </c>
      <c r="E1066" t="s">
        <v>3945</v>
      </c>
      <c r="F1066" t="s">
        <v>28</v>
      </c>
      <c r="G1066" t="s">
        <v>3947</v>
      </c>
      <c r="H1066" t="str">
        <f>"W03D8.9"</f>
        <v>W03D8.9</v>
      </c>
      <c r="I1066" t="s">
        <v>3948</v>
      </c>
      <c r="J1066">
        <v>12.561750039821501</v>
      </c>
      <c r="K1066">
        <v>12.3645380851544</v>
      </c>
      <c r="L1066">
        <v>13.714163079850399</v>
      </c>
      <c r="M1066">
        <v>13.667031947005899</v>
      </c>
      <c r="N1066">
        <v>12.251022616541499</v>
      </c>
      <c r="O1066">
        <v>12.371329794192301</v>
      </c>
      <c r="P1066">
        <v>-0.117022282362194</v>
      </c>
      <c r="Q1066">
        <v>-1.17558874626454</v>
      </c>
      <c r="R1066">
        <v>0.94154418154014696</v>
      </c>
      <c r="S1066">
        <v>12.542190605301199</v>
      </c>
      <c r="T1066">
        <v>-0.23447684556231099</v>
      </c>
      <c r="U1066">
        <v>-6.8536220616026702</v>
      </c>
      <c r="V1066">
        <v>0.81760844017134804</v>
      </c>
      <c r="W1066">
        <v>0.99278624068726296</v>
      </c>
      <c r="X1066">
        <v>0</v>
      </c>
      <c r="Y1066">
        <v>0</v>
      </c>
    </row>
    <row r="1067" spans="1:25" x14ac:dyDescent="0.2">
      <c r="A1067" t="s">
        <v>3949</v>
      </c>
      <c r="B1067" t="s">
        <v>3950</v>
      </c>
      <c r="C1067" t="s">
        <v>14361</v>
      </c>
      <c r="D1067" t="s">
        <v>3951</v>
      </c>
      <c r="E1067" t="s">
        <v>3950</v>
      </c>
      <c r="F1067" t="s">
        <v>28</v>
      </c>
      <c r="G1067" t="s">
        <v>3950</v>
      </c>
      <c r="H1067" t="str">
        <f>"W10C8.5"</f>
        <v>W10C8.5</v>
      </c>
      <c r="I1067" t="s">
        <v>3951</v>
      </c>
      <c r="J1067">
        <v>16.575198648878899</v>
      </c>
      <c r="K1067">
        <v>16.461266541627001</v>
      </c>
      <c r="L1067">
        <v>16.185291876094698</v>
      </c>
      <c r="M1067">
        <v>16.3491422258966</v>
      </c>
      <c r="N1067">
        <v>16.0996287412726</v>
      </c>
      <c r="O1067">
        <v>16.0645984805975</v>
      </c>
      <c r="P1067">
        <v>-0.23612920627798001</v>
      </c>
      <c r="Q1067">
        <v>-0.70587601771117403</v>
      </c>
      <c r="R1067">
        <v>0.23361760515521501</v>
      </c>
      <c r="S1067">
        <v>15.6996558348731</v>
      </c>
      <c r="T1067">
        <v>-1.05652159802005</v>
      </c>
      <c r="U1067">
        <v>-6.31690473571288</v>
      </c>
      <c r="V1067">
        <v>0.30478517611514899</v>
      </c>
      <c r="W1067">
        <v>0.85855590823088301</v>
      </c>
      <c r="X1067">
        <v>0</v>
      </c>
      <c r="Y1067">
        <v>0</v>
      </c>
    </row>
    <row r="1068" spans="1:25" x14ac:dyDescent="0.2">
      <c r="A1068" t="s">
        <v>3952</v>
      </c>
      <c r="B1068" t="s">
        <v>3953</v>
      </c>
      <c r="C1068" t="s">
        <v>3954</v>
      </c>
      <c r="D1068" t="s">
        <v>3955</v>
      </c>
      <c r="E1068" t="s">
        <v>3953</v>
      </c>
      <c r="F1068" t="s">
        <v>28</v>
      </c>
      <c r="G1068" t="s">
        <v>3953</v>
      </c>
      <c r="H1068" t="str">
        <f>"nol-58"</f>
        <v>nol-58</v>
      </c>
      <c r="I1068" t="s">
        <v>3955</v>
      </c>
      <c r="J1068">
        <v>18.306698769513499</v>
      </c>
      <c r="K1068">
        <v>18.153522444323901</v>
      </c>
      <c r="L1068">
        <v>18.229327181943098</v>
      </c>
      <c r="M1068">
        <v>18.236044280342799</v>
      </c>
      <c r="N1068">
        <v>18.146490536473401</v>
      </c>
      <c r="O1068">
        <v>18.072937919171601</v>
      </c>
      <c r="P1068">
        <v>-7.8025219930925302E-2</v>
      </c>
      <c r="Q1068">
        <v>-0.43722805856788699</v>
      </c>
      <c r="R1068">
        <v>0.28117761870603702</v>
      </c>
      <c r="S1068">
        <v>17.825398944872401</v>
      </c>
      <c r="T1068">
        <v>-0.456549377096098</v>
      </c>
      <c r="U1068">
        <v>-6.7742173299028403</v>
      </c>
      <c r="V1068">
        <v>0.65348774489193195</v>
      </c>
      <c r="W1068">
        <v>0.98150210052054998</v>
      </c>
      <c r="X1068">
        <v>0</v>
      </c>
      <c r="Y1068">
        <v>0</v>
      </c>
    </row>
    <row r="1069" spans="1:25" x14ac:dyDescent="0.2">
      <c r="A1069" t="s">
        <v>3956</v>
      </c>
      <c r="B1069" t="s">
        <v>3957</v>
      </c>
      <c r="C1069" t="s">
        <v>3958</v>
      </c>
      <c r="D1069" t="s">
        <v>3959</v>
      </c>
      <c r="E1069" t="s">
        <v>3957</v>
      </c>
      <c r="F1069" t="s">
        <v>28</v>
      </c>
      <c r="G1069" t="s">
        <v>3957</v>
      </c>
      <c r="H1069" t="str">
        <f>"C11D2.4"</f>
        <v>C11D2.4</v>
      </c>
      <c r="I1069" t="s">
        <v>3959</v>
      </c>
      <c r="J1069">
        <v>13.654740523931499</v>
      </c>
      <c r="K1069">
        <v>13.782748797852699</v>
      </c>
      <c r="L1069">
        <v>13.9479831053069</v>
      </c>
      <c r="M1069">
        <v>11.6127480841128</v>
      </c>
      <c r="N1069">
        <v>14.3784667840892</v>
      </c>
      <c r="O1069">
        <v>14.2647502068066</v>
      </c>
      <c r="P1069">
        <v>-0.37650245069417598</v>
      </c>
      <c r="Q1069">
        <v>-1.4415027659452999</v>
      </c>
      <c r="R1069">
        <v>0.68849786455694595</v>
      </c>
      <c r="S1069">
        <v>13.8977203330499</v>
      </c>
      <c r="T1069">
        <v>-0.74983826804209097</v>
      </c>
      <c r="U1069">
        <v>-6.5919178328577601</v>
      </c>
      <c r="V1069">
        <v>0.464306840910929</v>
      </c>
      <c r="W1069">
        <v>0.92978583625257705</v>
      </c>
      <c r="X1069">
        <v>0</v>
      </c>
      <c r="Y1069">
        <v>0</v>
      </c>
    </row>
    <row r="1070" spans="1:25" x14ac:dyDescent="0.2">
      <c r="A1070" t="s">
        <v>3960</v>
      </c>
      <c r="B1070" t="s">
        <v>3961</v>
      </c>
      <c r="C1070" t="s">
        <v>14362</v>
      </c>
      <c r="D1070" t="s">
        <v>3962</v>
      </c>
      <c r="E1070" t="s">
        <v>3961</v>
      </c>
      <c r="F1070" t="s">
        <v>28</v>
      </c>
      <c r="G1070" t="s">
        <v>3961</v>
      </c>
      <c r="H1070" t="str">
        <f>"F53H1.3"</f>
        <v>F53H1.3</v>
      </c>
      <c r="I1070" t="s">
        <v>3962</v>
      </c>
      <c r="J1070">
        <v>12.2838137685393</v>
      </c>
      <c r="K1070">
        <v>12.076076272480201</v>
      </c>
      <c r="L1070">
        <v>12.2276767213604</v>
      </c>
      <c r="M1070">
        <v>12.2900326793039</v>
      </c>
      <c r="N1070">
        <v>12.335150724142199</v>
      </c>
      <c r="O1070" t="s">
        <v>29</v>
      </c>
      <c r="P1070">
        <v>0.11673611426310999</v>
      </c>
      <c r="Q1070">
        <v>-0.42336327579733402</v>
      </c>
      <c r="R1070">
        <v>0.65683550432355498</v>
      </c>
      <c r="S1070">
        <v>11.7872237843458</v>
      </c>
      <c r="T1070">
        <v>0.46389900288901698</v>
      </c>
      <c r="U1070">
        <v>-6.6592262731823997</v>
      </c>
      <c r="V1070">
        <v>0.64990405268197604</v>
      </c>
      <c r="W1070">
        <v>0.98109036903435498</v>
      </c>
      <c r="X1070">
        <v>0</v>
      </c>
      <c r="Y1070">
        <v>0</v>
      </c>
    </row>
    <row r="1071" spans="1:25" x14ac:dyDescent="0.2">
      <c r="A1071" t="s">
        <v>3963</v>
      </c>
      <c r="B1071" t="s">
        <v>3964</v>
      </c>
      <c r="C1071" t="s">
        <v>14363</v>
      </c>
      <c r="D1071" t="s">
        <v>844</v>
      </c>
      <c r="E1071" t="s">
        <v>3964</v>
      </c>
      <c r="F1071" t="s">
        <v>28</v>
      </c>
      <c r="G1071" t="s">
        <v>3964</v>
      </c>
      <c r="H1071" t="str">
        <f>"F53H1.4"</f>
        <v>F53H1.4</v>
      </c>
      <c r="I1071" t="s">
        <v>844</v>
      </c>
      <c r="J1071">
        <v>11.8709065215441</v>
      </c>
      <c r="K1071">
        <v>12.5301332934441</v>
      </c>
      <c r="L1071">
        <v>13.093082590880901</v>
      </c>
      <c r="M1071">
        <v>13.134267233566501</v>
      </c>
      <c r="N1071">
        <v>12.8634989552042</v>
      </c>
      <c r="O1071">
        <v>12.9398839942329</v>
      </c>
      <c r="P1071">
        <v>0.48117592571147</v>
      </c>
      <c r="Q1071">
        <v>-0.16733321939304999</v>
      </c>
      <c r="R1071">
        <v>1.12968507081599</v>
      </c>
      <c r="S1071">
        <v>13.4302899325043</v>
      </c>
      <c r="T1071">
        <v>1.5661660262506001</v>
      </c>
      <c r="U1071">
        <v>-5.68290401211644</v>
      </c>
      <c r="V1071">
        <v>0.13584689437623201</v>
      </c>
      <c r="W1071">
        <v>0.72553189373063098</v>
      </c>
      <c r="X1071">
        <v>0</v>
      </c>
      <c r="Y1071">
        <v>0</v>
      </c>
    </row>
    <row r="1072" spans="1:25" x14ac:dyDescent="0.2">
      <c r="A1072" t="s">
        <v>3965</v>
      </c>
      <c r="B1072" t="s">
        <v>3966</v>
      </c>
      <c r="C1072" t="s">
        <v>3967</v>
      </c>
      <c r="D1072" t="s">
        <v>3968</v>
      </c>
      <c r="E1072" t="s">
        <v>3966</v>
      </c>
      <c r="F1072" t="s">
        <v>28</v>
      </c>
      <c r="G1072" t="s">
        <v>3966</v>
      </c>
      <c r="H1072" t="str">
        <f>"C17H12.2"</f>
        <v>C17H12.2</v>
      </c>
      <c r="I1072" t="s">
        <v>3968</v>
      </c>
      <c r="J1072" t="s">
        <v>29</v>
      </c>
      <c r="K1072">
        <v>11.583907332481299</v>
      </c>
      <c r="L1072" t="s">
        <v>29</v>
      </c>
      <c r="M1072" t="s">
        <v>29</v>
      </c>
      <c r="N1072" t="s">
        <v>29</v>
      </c>
      <c r="O1072" t="s">
        <v>29</v>
      </c>
      <c r="P1072" t="s">
        <v>29</v>
      </c>
      <c r="Q1072" t="s">
        <v>29</v>
      </c>
      <c r="R1072" t="s">
        <v>29</v>
      </c>
      <c r="S1072">
        <v>11.3024972094187</v>
      </c>
      <c r="T1072" t="s">
        <v>29</v>
      </c>
      <c r="U1072" t="s">
        <v>29</v>
      </c>
      <c r="V1072" t="s">
        <v>29</v>
      </c>
      <c r="W1072" t="s">
        <v>29</v>
      </c>
      <c r="X1072" t="s">
        <v>29</v>
      </c>
      <c r="Y1072" t="s">
        <v>29</v>
      </c>
    </row>
    <row r="1073" spans="1:25" x14ac:dyDescent="0.2">
      <c r="A1073" t="s">
        <v>3969</v>
      </c>
      <c r="B1073" t="s">
        <v>3970</v>
      </c>
      <c r="C1073" t="s">
        <v>3971</v>
      </c>
      <c r="D1073" t="s">
        <v>534</v>
      </c>
      <c r="E1073" t="s">
        <v>3970</v>
      </c>
      <c r="F1073" t="s">
        <v>28</v>
      </c>
      <c r="G1073" t="s">
        <v>3970</v>
      </c>
      <c r="H1073" t="str">
        <f>"dyci-1"</f>
        <v>dyci-1</v>
      </c>
      <c r="I1073" t="s">
        <v>534</v>
      </c>
      <c r="J1073">
        <v>14.5050678874944</v>
      </c>
      <c r="K1073">
        <v>14.696144351787099</v>
      </c>
      <c r="L1073">
        <v>14.5065342512294</v>
      </c>
      <c r="M1073">
        <v>14.563835793681401</v>
      </c>
      <c r="N1073">
        <v>14.6666392243097</v>
      </c>
      <c r="O1073">
        <v>14.4891876404524</v>
      </c>
      <c r="P1073">
        <v>3.9720559775346899E-3</v>
      </c>
      <c r="Q1073">
        <v>-0.41445547440592601</v>
      </c>
      <c r="R1073">
        <v>0.42239958636099501</v>
      </c>
      <c r="S1073">
        <v>14.2619045656579</v>
      </c>
      <c r="T1073">
        <v>1.99520544944366E-2</v>
      </c>
      <c r="U1073">
        <v>-6.8822815783619999</v>
      </c>
      <c r="V1073">
        <v>0.98430240325046903</v>
      </c>
      <c r="W1073">
        <v>0.99968702248720698</v>
      </c>
      <c r="X1073">
        <v>0</v>
      </c>
      <c r="Y1073">
        <v>0</v>
      </c>
    </row>
    <row r="1074" spans="1:25" x14ac:dyDescent="0.2">
      <c r="A1074" t="s">
        <v>3972</v>
      </c>
      <c r="B1074" t="s">
        <v>3973</v>
      </c>
      <c r="C1074" t="s">
        <v>3974</v>
      </c>
      <c r="D1074" t="s">
        <v>3975</v>
      </c>
      <c r="E1074" t="s">
        <v>3973</v>
      </c>
      <c r="F1074" t="s">
        <v>28</v>
      </c>
      <c r="G1074" t="s">
        <v>3973</v>
      </c>
      <c r="H1074" t="str">
        <f>"mec-17"</f>
        <v>mec-17</v>
      </c>
      <c r="I1074" t="s">
        <v>3975</v>
      </c>
      <c r="J1074">
        <v>14.1508030377239</v>
      </c>
      <c r="K1074">
        <v>14.4609733233979</v>
      </c>
      <c r="L1074">
        <v>14.0180745477263</v>
      </c>
      <c r="M1074">
        <v>14.2971355877972</v>
      </c>
      <c r="N1074">
        <v>13.9891814433254</v>
      </c>
      <c r="O1074">
        <v>14.1367853639246</v>
      </c>
      <c r="P1074">
        <v>-6.8916171266947004E-2</v>
      </c>
      <c r="Q1074">
        <v>-0.58322114334403696</v>
      </c>
      <c r="R1074">
        <v>0.44538880081014298</v>
      </c>
      <c r="S1074">
        <v>13.7148639990546</v>
      </c>
      <c r="T1074">
        <v>-0.28284625433390298</v>
      </c>
      <c r="U1074">
        <v>-6.8406577219204596</v>
      </c>
      <c r="V1074">
        <v>0.78073086509588896</v>
      </c>
      <c r="W1074">
        <v>0.99278624068726296</v>
      </c>
      <c r="X1074">
        <v>0</v>
      </c>
      <c r="Y1074">
        <v>0</v>
      </c>
    </row>
    <row r="1075" spans="1:25" x14ac:dyDescent="0.2">
      <c r="A1075" t="s">
        <v>3976</v>
      </c>
      <c r="B1075" t="s">
        <v>3977</v>
      </c>
      <c r="C1075" t="s">
        <v>3978</v>
      </c>
      <c r="D1075" t="s">
        <v>3312</v>
      </c>
      <c r="E1075" t="s">
        <v>3977</v>
      </c>
      <c r="F1075" t="s">
        <v>28</v>
      </c>
      <c r="G1075" t="s">
        <v>3977</v>
      </c>
      <c r="H1075" t="str">
        <f>"col-101"</f>
        <v>col-101</v>
      </c>
      <c r="I1075" t="s">
        <v>3312</v>
      </c>
      <c r="J1075" t="s">
        <v>29</v>
      </c>
      <c r="K1075" t="s">
        <v>29</v>
      </c>
      <c r="L1075" t="s">
        <v>29</v>
      </c>
      <c r="M1075" t="s">
        <v>29</v>
      </c>
      <c r="N1075">
        <v>14.8446155399263</v>
      </c>
      <c r="O1075">
        <v>14.2685601565284</v>
      </c>
      <c r="P1075" t="s">
        <v>29</v>
      </c>
      <c r="Q1075" t="s">
        <v>29</v>
      </c>
      <c r="R1075" t="s">
        <v>29</v>
      </c>
      <c r="S1075">
        <v>14.6795186502583</v>
      </c>
      <c r="T1075" t="s">
        <v>29</v>
      </c>
      <c r="U1075" t="s">
        <v>29</v>
      </c>
      <c r="V1075" t="s">
        <v>29</v>
      </c>
      <c r="W1075" t="s">
        <v>29</v>
      </c>
      <c r="X1075" t="s">
        <v>29</v>
      </c>
      <c r="Y1075" t="s">
        <v>29</v>
      </c>
    </row>
    <row r="1076" spans="1:25" x14ac:dyDescent="0.2">
      <c r="A1076" t="s">
        <v>3979</v>
      </c>
      <c r="B1076" t="s">
        <v>3980</v>
      </c>
      <c r="C1076" t="s">
        <v>3981</v>
      </c>
      <c r="D1076" t="s">
        <v>3982</v>
      </c>
      <c r="E1076" t="s">
        <v>3980</v>
      </c>
      <c r="F1076" t="s">
        <v>28</v>
      </c>
      <c r="G1076" t="s">
        <v>3980</v>
      </c>
      <c r="H1076" t="str">
        <f>"ech-5"</f>
        <v>ech-5</v>
      </c>
      <c r="I1076" t="s">
        <v>3982</v>
      </c>
      <c r="J1076">
        <v>16.716214909684201</v>
      </c>
      <c r="K1076">
        <v>16.499218857913199</v>
      </c>
      <c r="L1076">
        <v>16.6352208652218</v>
      </c>
      <c r="M1076">
        <v>16.6001250214638</v>
      </c>
      <c r="N1076">
        <v>16.647201699259099</v>
      </c>
      <c r="O1076">
        <v>16.6584487271463</v>
      </c>
      <c r="P1076">
        <v>1.8373605016709101E-2</v>
      </c>
      <c r="Q1076">
        <v>-0.31476348494996498</v>
      </c>
      <c r="R1076">
        <v>0.351510694983384</v>
      </c>
      <c r="S1076">
        <v>16.085628579597898</v>
      </c>
      <c r="T1076">
        <v>0.11592147576096599</v>
      </c>
      <c r="U1076">
        <v>-6.8754710170605202</v>
      </c>
      <c r="V1076">
        <v>0.90900572699912396</v>
      </c>
      <c r="W1076">
        <v>0.99833354317360001</v>
      </c>
      <c r="X1076">
        <v>0</v>
      </c>
      <c r="Y1076">
        <v>0</v>
      </c>
    </row>
    <row r="1077" spans="1:25" x14ac:dyDescent="0.2">
      <c r="A1077" t="s">
        <v>3983</v>
      </c>
      <c r="B1077" t="s">
        <v>3984</v>
      </c>
      <c r="C1077" t="s">
        <v>3985</v>
      </c>
      <c r="D1077" t="s">
        <v>3986</v>
      </c>
      <c r="E1077" t="s">
        <v>3984</v>
      </c>
      <c r="F1077" t="s">
        <v>28</v>
      </c>
      <c r="G1077" t="s">
        <v>3984</v>
      </c>
      <c r="H1077" t="str">
        <f>"mrpl-2"</f>
        <v>mrpl-2</v>
      </c>
      <c r="I1077" t="s">
        <v>3986</v>
      </c>
      <c r="J1077">
        <v>13.515590774668199</v>
      </c>
      <c r="K1077">
        <v>13.543750762809101</v>
      </c>
      <c r="L1077">
        <v>13.1024717532141</v>
      </c>
      <c r="M1077">
        <v>13.2868788670401</v>
      </c>
      <c r="N1077">
        <v>12.8660275698793</v>
      </c>
      <c r="O1077">
        <v>12.705317637239199</v>
      </c>
      <c r="P1077">
        <v>-0.43452973884427898</v>
      </c>
      <c r="Q1077">
        <v>-0.90459839725078495</v>
      </c>
      <c r="R1077">
        <v>3.5538919562226497E-2</v>
      </c>
      <c r="S1077">
        <v>13.0098520768498</v>
      </c>
      <c r="T1077">
        <v>-1.9606846038086601</v>
      </c>
      <c r="U1077">
        <v>-5.07374436498701</v>
      </c>
      <c r="V1077">
        <v>6.7682141549924593E-2</v>
      </c>
      <c r="W1077">
        <v>0.56031384845310706</v>
      </c>
      <c r="X1077">
        <v>0</v>
      </c>
      <c r="Y1077">
        <v>0</v>
      </c>
    </row>
    <row r="1078" spans="1:25" x14ac:dyDescent="0.2">
      <c r="A1078" t="s">
        <v>3987</v>
      </c>
      <c r="B1078" t="s">
        <v>3988</v>
      </c>
      <c r="C1078" t="s">
        <v>3989</v>
      </c>
      <c r="D1078" t="s">
        <v>3312</v>
      </c>
      <c r="E1078" t="s">
        <v>3988</v>
      </c>
      <c r="F1078" t="s">
        <v>28</v>
      </c>
      <c r="G1078" t="s">
        <v>3988</v>
      </c>
      <c r="H1078" t="str">
        <f>"col-103"</f>
        <v>col-103</v>
      </c>
      <c r="I1078" t="s">
        <v>3312</v>
      </c>
      <c r="J1078">
        <v>12.3933753640479</v>
      </c>
      <c r="K1078">
        <v>12.9070492292879</v>
      </c>
      <c r="L1078">
        <v>12.853941489136499</v>
      </c>
      <c r="M1078">
        <v>12.792215667025999</v>
      </c>
      <c r="N1078">
        <v>12.827702176587</v>
      </c>
      <c r="O1078">
        <v>12.5350232552228</v>
      </c>
      <c r="P1078">
        <v>1.91672121145459E-4</v>
      </c>
      <c r="Q1078">
        <v>-0.803826727916923</v>
      </c>
      <c r="R1078">
        <v>0.80421007215921403</v>
      </c>
      <c r="S1078">
        <v>13.0275741971678</v>
      </c>
      <c r="T1078">
        <v>5.0564124395859197E-4</v>
      </c>
      <c r="U1078">
        <v>-6.8824894399423302</v>
      </c>
      <c r="V1078">
        <v>0.99960284835265401</v>
      </c>
      <c r="W1078">
        <v>0.99996163501229596</v>
      </c>
      <c r="X1078">
        <v>0</v>
      </c>
      <c r="Y1078">
        <v>0</v>
      </c>
    </row>
    <row r="1079" spans="1:25" x14ac:dyDescent="0.2">
      <c r="A1079" t="s">
        <v>3990</v>
      </c>
      <c r="B1079" t="s">
        <v>3991</v>
      </c>
      <c r="C1079" t="s">
        <v>3992</v>
      </c>
      <c r="D1079" t="s">
        <v>3993</v>
      </c>
      <c r="E1079" t="s">
        <v>3991</v>
      </c>
      <c r="F1079" t="s">
        <v>28</v>
      </c>
      <c r="G1079" t="s">
        <v>3991</v>
      </c>
      <c r="H1079" t="str">
        <f>"xnd-1"</f>
        <v>xnd-1</v>
      </c>
      <c r="I1079" t="s">
        <v>3993</v>
      </c>
      <c r="J1079" t="s">
        <v>29</v>
      </c>
      <c r="K1079" t="s">
        <v>29</v>
      </c>
      <c r="L1079" t="s">
        <v>29</v>
      </c>
      <c r="M1079" t="s">
        <v>29</v>
      </c>
      <c r="N1079" t="s">
        <v>29</v>
      </c>
      <c r="O1079">
        <v>10.5714517059985</v>
      </c>
      <c r="P1079" t="s">
        <v>29</v>
      </c>
      <c r="Q1079" t="s">
        <v>29</v>
      </c>
      <c r="R1079" t="s">
        <v>29</v>
      </c>
      <c r="S1079">
        <v>12.0483269058664</v>
      </c>
      <c r="T1079" t="s">
        <v>29</v>
      </c>
      <c r="U1079" t="s">
        <v>29</v>
      </c>
      <c r="V1079" t="s">
        <v>29</v>
      </c>
      <c r="W1079" t="s">
        <v>29</v>
      </c>
      <c r="X1079" t="s">
        <v>29</v>
      </c>
      <c r="Y1079" t="s">
        <v>29</v>
      </c>
    </row>
    <row r="1080" spans="1:25" x14ac:dyDescent="0.2">
      <c r="A1080" t="s">
        <v>3994</v>
      </c>
      <c r="B1080" t="s">
        <v>3995</v>
      </c>
      <c r="C1080" t="s">
        <v>3996</v>
      </c>
      <c r="D1080" t="s">
        <v>3997</v>
      </c>
      <c r="E1080" t="s">
        <v>3995</v>
      </c>
      <c r="F1080" t="s">
        <v>28</v>
      </c>
      <c r="G1080" t="s">
        <v>3995</v>
      </c>
      <c r="H1080" t="str">
        <f>"dlst-1"</f>
        <v>dlst-1</v>
      </c>
      <c r="I1080" t="s">
        <v>3997</v>
      </c>
      <c r="J1080">
        <v>12.495904846944301</v>
      </c>
      <c r="K1080">
        <v>12.767345290861901</v>
      </c>
      <c r="L1080">
        <v>13.178993848621801</v>
      </c>
      <c r="M1080">
        <v>13.2716404067376</v>
      </c>
      <c r="N1080">
        <v>13.3193309942793</v>
      </c>
      <c r="O1080">
        <v>13.526591016455599</v>
      </c>
      <c r="P1080">
        <v>0.55843947701483498</v>
      </c>
      <c r="Q1080">
        <v>-0.57816470686057297</v>
      </c>
      <c r="R1080">
        <v>1.6950436608902399</v>
      </c>
      <c r="S1080">
        <v>13.5114346820372</v>
      </c>
      <c r="T1080">
        <v>1.03266480195471</v>
      </c>
      <c r="U1080">
        <v>-6.34143444569788</v>
      </c>
      <c r="V1080">
        <v>0.31551604407804001</v>
      </c>
      <c r="W1080">
        <v>0.865163117388565</v>
      </c>
      <c r="X1080">
        <v>0</v>
      </c>
      <c r="Y1080">
        <v>0</v>
      </c>
    </row>
    <row r="1081" spans="1:25" x14ac:dyDescent="0.2">
      <c r="A1081" t="s">
        <v>3998</v>
      </c>
      <c r="B1081" t="s">
        <v>3999</v>
      </c>
      <c r="C1081" t="s">
        <v>4000</v>
      </c>
      <c r="D1081" t="s">
        <v>3358</v>
      </c>
      <c r="E1081" t="s">
        <v>3999</v>
      </c>
      <c r="F1081" t="s">
        <v>28</v>
      </c>
      <c r="G1081" t="s">
        <v>4001</v>
      </c>
      <c r="H1081" t="str">
        <f>"fbxa-65"</f>
        <v>fbxa-65</v>
      </c>
      <c r="I1081" t="s">
        <v>3358</v>
      </c>
      <c r="J1081">
        <v>10.1144022944369</v>
      </c>
      <c r="K1081" t="s">
        <v>29</v>
      </c>
      <c r="L1081">
        <v>10.4834519311446</v>
      </c>
      <c r="M1081" t="s">
        <v>29</v>
      </c>
      <c r="N1081" t="s">
        <v>29</v>
      </c>
      <c r="O1081" t="s">
        <v>29</v>
      </c>
      <c r="P1081" t="s">
        <v>29</v>
      </c>
      <c r="Q1081" t="s">
        <v>29</v>
      </c>
      <c r="R1081" t="s">
        <v>29</v>
      </c>
      <c r="S1081">
        <v>10.6865092164374</v>
      </c>
      <c r="T1081" t="s">
        <v>29</v>
      </c>
      <c r="U1081" t="s">
        <v>29</v>
      </c>
      <c r="V1081" t="s">
        <v>29</v>
      </c>
      <c r="W1081" t="s">
        <v>29</v>
      </c>
      <c r="X1081" t="s">
        <v>29</v>
      </c>
      <c r="Y1081" t="s">
        <v>29</v>
      </c>
    </row>
    <row r="1082" spans="1:25" x14ac:dyDescent="0.2">
      <c r="A1082" t="s">
        <v>4002</v>
      </c>
      <c r="B1082" t="s">
        <v>4003</v>
      </c>
      <c r="C1082" t="s">
        <v>4004</v>
      </c>
      <c r="D1082" t="s">
        <v>4005</v>
      </c>
      <c r="E1082" t="s">
        <v>4003</v>
      </c>
      <c r="F1082" t="s">
        <v>28</v>
      </c>
      <c r="G1082" t="s">
        <v>4003</v>
      </c>
      <c r="H1082" t="str">
        <f>"folt-2"</f>
        <v>folt-2</v>
      </c>
      <c r="I1082" t="s">
        <v>4005</v>
      </c>
      <c r="J1082">
        <v>16.220465635318799</v>
      </c>
      <c r="K1082">
        <v>16.3248212137783</v>
      </c>
      <c r="L1082">
        <v>16.613702310123799</v>
      </c>
      <c r="M1082">
        <v>16.0552721802576</v>
      </c>
      <c r="N1082">
        <v>16.013443066795599</v>
      </c>
      <c r="O1082">
        <v>15.8973339873063</v>
      </c>
      <c r="P1082">
        <v>-0.39764664162045399</v>
      </c>
      <c r="Q1082">
        <v>-0.81845885696086296</v>
      </c>
      <c r="R1082">
        <v>2.31655737199539E-2</v>
      </c>
      <c r="S1082">
        <v>16.3054106489069</v>
      </c>
      <c r="T1082">
        <v>-1.9861017497890601</v>
      </c>
      <c r="U1082">
        <v>-5.0219584986183401</v>
      </c>
      <c r="V1082">
        <v>6.2558419785014002E-2</v>
      </c>
      <c r="W1082">
        <v>0.53705942841316601</v>
      </c>
      <c r="X1082">
        <v>0</v>
      </c>
      <c r="Y1082">
        <v>0</v>
      </c>
    </row>
    <row r="1083" spans="1:25" x14ac:dyDescent="0.2">
      <c r="A1083" t="s">
        <v>4006</v>
      </c>
      <c r="B1083" t="s">
        <v>4007</v>
      </c>
      <c r="C1083" t="s">
        <v>4008</v>
      </c>
      <c r="D1083" t="s">
        <v>4009</v>
      </c>
      <c r="E1083" t="s">
        <v>4007</v>
      </c>
      <c r="F1083" t="s">
        <v>28</v>
      </c>
      <c r="G1083" t="s">
        <v>4007</v>
      </c>
      <c r="H1083" t="str">
        <f>"ifc-1"</f>
        <v>ifc-1</v>
      </c>
      <c r="I1083" t="s">
        <v>4009</v>
      </c>
      <c r="J1083">
        <v>13.498727623788399</v>
      </c>
      <c r="K1083">
        <v>14.516349700174199</v>
      </c>
      <c r="L1083">
        <v>15.8925230747424</v>
      </c>
      <c r="M1083">
        <v>13.3613395234125</v>
      </c>
      <c r="N1083">
        <v>13.824930339514999</v>
      </c>
      <c r="O1083">
        <v>14.4103105914359</v>
      </c>
      <c r="P1083">
        <v>-0.77033998144722704</v>
      </c>
      <c r="Q1083">
        <v>-2.0325167125740098</v>
      </c>
      <c r="R1083">
        <v>0.49183674967955499</v>
      </c>
      <c r="S1083">
        <v>14.5374783938927</v>
      </c>
      <c r="T1083">
        <v>-1.2827876864532599</v>
      </c>
      <c r="U1083">
        <v>-6.0603432510767998</v>
      </c>
      <c r="V1083">
        <v>0.215933320674285</v>
      </c>
      <c r="W1083">
        <v>0.79508962856638699</v>
      </c>
      <c r="X1083">
        <v>0</v>
      </c>
      <c r="Y1083">
        <v>0</v>
      </c>
    </row>
    <row r="1084" spans="1:25" x14ac:dyDescent="0.2">
      <c r="A1084" t="s">
        <v>4010</v>
      </c>
      <c r="B1084" t="s">
        <v>4011</v>
      </c>
      <c r="C1084" t="s">
        <v>4012</v>
      </c>
      <c r="D1084" t="s">
        <v>93</v>
      </c>
      <c r="E1084" t="s">
        <v>4011</v>
      </c>
      <c r="F1084" t="s">
        <v>28</v>
      </c>
      <c r="G1084" t="s">
        <v>4011</v>
      </c>
      <c r="H1084" t="str">
        <f>"nucl-1"</f>
        <v>nucl-1</v>
      </c>
      <c r="I1084" t="s">
        <v>93</v>
      </c>
      <c r="J1084">
        <v>17.154323629845099</v>
      </c>
      <c r="K1084">
        <v>17.146894827783299</v>
      </c>
      <c r="L1084">
        <v>17.714488665728201</v>
      </c>
      <c r="M1084">
        <v>18.387166314172301</v>
      </c>
      <c r="N1084">
        <v>18.6880073600876</v>
      </c>
      <c r="O1084">
        <v>18.0976674059498</v>
      </c>
      <c r="P1084">
        <v>1.05237798561769</v>
      </c>
      <c r="Q1084">
        <v>0.50133568968654196</v>
      </c>
      <c r="R1084">
        <v>1.6034202815488401</v>
      </c>
      <c r="S1084">
        <v>18.271048802754599</v>
      </c>
      <c r="T1084">
        <v>4.0140181588452197</v>
      </c>
      <c r="U1084">
        <v>-0.90395690644858995</v>
      </c>
      <c r="V1084">
        <v>8.2229474422505105E-4</v>
      </c>
      <c r="W1084">
        <v>2.6829381458636999E-2</v>
      </c>
      <c r="X1084">
        <v>1</v>
      </c>
      <c r="Y1084">
        <v>1</v>
      </c>
    </row>
    <row r="1085" spans="1:25" x14ac:dyDescent="0.2">
      <c r="A1085" t="s">
        <v>4013</v>
      </c>
      <c r="B1085" t="s">
        <v>4014</v>
      </c>
      <c r="C1085" t="s">
        <v>4015</v>
      </c>
      <c r="D1085" t="s">
        <v>4016</v>
      </c>
      <c r="E1085" t="s">
        <v>4014</v>
      </c>
      <c r="F1085" t="s">
        <v>28</v>
      </c>
      <c r="G1085" t="s">
        <v>4014</v>
      </c>
      <c r="H1085" t="str">
        <f>"ads-1"</f>
        <v>ads-1</v>
      </c>
      <c r="I1085" t="s">
        <v>4016</v>
      </c>
      <c r="J1085">
        <v>15.1451266388709</v>
      </c>
      <c r="K1085">
        <v>14.8922236346092</v>
      </c>
      <c r="L1085">
        <v>14.895672508689501</v>
      </c>
      <c r="M1085">
        <v>14.946646418371101</v>
      </c>
      <c r="N1085">
        <v>14.8743122415092</v>
      </c>
      <c r="O1085">
        <v>15.0066767017732</v>
      </c>
      <c r="P1085">
        <v>-3.5129140172053E-2</v>
      </c>
      <c r="Q1085">
        <v>-0.40048734791270402</v>
      </c>
      <c r="R1085">
        <v>0.33022906756859799</v>
      </c>
      <c r="S1085">
        <v>14.6020752737892</v>
      </c>
      <c r="T1085">
        <v>-0.20208829742221701</v>
      </c>
      <c r="U1085">
        <v>-6.8611754809080097</v>
      </c>
      <c r="V1085">
        <v>0.84212733200176204</v>
      </c>
      <c r="W1085">
        <v>0.99370971747667503</v>
      </c>
      <c r="X1085">
        <v>0</v>
      </c>
      <c r="Y1085">
        <v>0</v>
      </c>
    </row>
    <row r="1086" spans="1:25" x14ac:dyDescent="0.2">
      <c r="A1086" t="s">
        <v>4017</v>
      </c>
      <c r="B1086" t="s">
        <v>4018</v>
      </c>
      <c r="C1086" t="s">
        <v>4019</v>
      </c>
      <c r="D1086" t="s">
        <v>4020</v>
      </c>
      <c r="E1086" t="s">
        <v>4018</v>
      </c>
      <c r="F1086" t="s">
        <v>28</v>
      </c>
      <c r="G1086" t="s">
        <v>4018</v>
      </c>
      <c r="H1086" t="str">
        <f>"rpl-29"</f>
        <v>rpl-29</v>
      </c>
      <c r="I1086" t="s">
        <v>4020</v>
      </c>
      <c r="J1086">
        <v>15.744600489625199</v>
      </c>
      <c r="K1086">
        <v>15.579150823068399</v>
      </c>
      <c r="L1086">
        <v>14.9768678191631</v>
      </c>
      <c r="M1086">
        <v>16.048202475497298</v>
      </c>
      <c r="N1086">
        <v>15.2098464264695</v>
      </c>
      <c r="O1086">
        <v>15.301548834043899</v>
      </c>
      <c r="P1086">
        <v>8.6326201384656201E-2</v>
      </c>
      <c r="Q1086">
        <v>-1.14973651336521</v>
      </c>
      <c r="R1086">
        <v>1.3223889161345199</v>
      </c>
      <c r="S1086">
        <v>14.965521700280901</v>
      </c>
      <c r="T1086">
        <v>0.146789380585748</v>
      </c>
      <c r="U1086">
        <v>-6.8712380856759703</v>
      </c>
      <c r="V1086">
        <v>0.88493932743505599</v>
      </c>
      <c r="W1086">
        <v>0.99702926582654094</v>
      </c>
      <c r="X1086">
        <v>0</v>
      </c>
      <c r="Y1086">
        <v>0</v>
      </c>
    </row>
    <row r="1087" spans="1:25" x14ac:dyDescent="0.2">
      <c r="A1087" t="s">
        <v>4021</v>
      </c>
      <c r="B1087" t="s">
        <v>4022</v>
      </c>
      <c r="C1087" t="s">
        <v>4023</v>
      </c>
      <c r="D1087" t="s">
        <v>4024</v>
      </c>
      <c r="E1087" t="s">
        <v>4022</v>
      </c>
      <c r="F1087" t="s">
        <v>28</v>
      </c>
      <c r="G1087" t="s">
        <v>4022</v>
      </c>
      <c r="H1087" t="str">
        <f>"prdh-1"</f>
        <v>prdh-1</v>
      </c>
      <c r="I1087" t="s">
        <v>4024</v>
      </c>
      <c r="J1087">
        <v>12.8767349591421</v>
      </c>
      <c r="K1087">
        <v>13.009586285210601</v>
      </c>
      <c r="L1087">
        <v>12.8519553534188</v>
      </c>
      <c r="M1087">
        <v>12.924913091052501</v>
      </c>
      <c r="N1087">
        <v>12.828464291537699</v>
      </c>
      <c r="O1087">
        <v>12.727249475122999</v>
      </c>
      <c r="P1087">
        <v>-8.5883246686064396E-2</v>
      </c>
      <c r="Q1087">
        <v>-0.60469202315605897</v>
      </c>
      <c r="R1087">
        <v>0.43292552978393101</v>
      </c>
      <c r="S1087">
        <v>12.5868027530615</v>
      </c>
      <c r="T1087">
        <v>-0.34942273026797499</v>
      </c>
      <c r="U1087">
        <v>-6.8187271780738898</v>
      </c>
      <c r="V1087">
        <v>0.731089356224222</v>
      </c>
      <c r="W1087">
        <v>0.99057748145465696</v>
      </c>
      <c r="X1087">
        <v>0</v>
      </c>
      <c r="Y1087">
        <v>0</v>
      </c>
    </row>
    <row r="1088" spans="1:25" x14ac:dyDescent="0.2">
      <c r="A1088" t="s">
        <v>4025</v>
      </c>
      <c r="B1088" t="s">
        <v>4026</v>
      </c>
      <c r="C1088" t="s">
        <v>4027</v>
      </c>
      <c r="D1088" t="s">
        <v>4028</v>
      </c>
      <c r="E1088" t="s">
        <v>4026</v>
      </c>
      <c r="F1088" t="s">
        <v>28</v>
      </c>
      <c r="G1088" t="s">
        <v>4026</v>
      </c>
      <c r="H1088" t="str">
        <f>"mog-4"</f>
        <v>mog-4</v>
      </c>
      <c r="I1088" t="s">
        <v>4028</v>
      </c>
      <c r="J1088">
        <v>13.3330787319897</v>
      </c>
      <c r="K1088">
        <v>13.0650063110684</v>
      </c>
      <c r="L1088">
        <v>13.371328057368601</v>
      </c>
      <c r="M1088">
        <v>15.6738289943646</v>
      </c>
      <c r="N1088">
        <v>15.5790617819169</v>
      </c>
      <c r="O1088">
        <v>15.469069578263399</v>
      </c>
      <c r="P1088">
        <v>2.3175157513726901</v>
      </c>
      <c r="Q1088">
        <v>1.8434190122484699</v>
      </c>
      <c r="R1088">
        <v>2.7916124904969202</v>
      </c>
      <c r="S1088">
        <v>14.343157151786199</v>
      </c>
      <c r="T1088">
        <v>10.274205298370401</v>
      </c>
      <c r="U1088">
        <v>10.8062509722894</v>
      </c>
      <c r="V1088" s="2">
        <v>6.2363630628160596E-9</v>
      </c>
      <c r="W1088" s="2">
        <v>2.0754616273051899E-6</v>
      </c>
      <c r="X1088">
        <v>1</v>
      </c>
      <c r="Y1088">
        <v>1</v>
      </c>
    </row>
    <row r="1089" spans="1:25" x14ac:dyDescent="0.2">
      <c r="A1089" t="s">
        <v>4029</v>
      </c>
      <c r="B1089" t="s">
        <v>4030</v>
      </c>
      <c r="C1089" t="s">
        <v>4031</v>
      </c>
      <c r="D1089" t="s">
        <v>4032</v>
      </c>
      <c r="E1089" t="s">
        <v>4030</v>
      </c>
      <c r="F1089" t="s">
        <v>28</v>
      </c>
      <c r="G1089" t="s">
        <v>4030</v>
      </c>
      <c r="H1089" t="str">
        <f>"dlat-2"</f>
        <v>dlat-2</v>
      </c>
      <c r="I1089" t="s">
        <v>4032</v>
      </c>
      <c r="J1089">
        <v>14.3538741288796</v>
      </c>
      <c r="K1089">
        <v>14.359976437674399</v>
      </c>
      <c r="L1089">
        <v>14.327158608490199</v>
      </c>
      <c r="M1089">
        <v>14.0155870862675</v>
      </c>
      <c r="N1089">
        <v>14.2599327424244</v>
      </c>
      <c r="O1089">
        <v>14.131708913994499</v>
      </c>
      <c r="P1089">
        <v>-0.21126014411923999</v>
      </c>
      <c r="Q1089">
        <v>-0.64120655410122995</v>
      </c>
      <c r="R1089">
        <v>0.21868626586275</v>
      </c>
      <c r="S1089">
        <v>13.9991569573913</v>
      </c>
      <c r="T1089">
        <v>-1.0327513180055099</v>
      </c>
      <c r="U1089">
        <v>-6.3413463850910201</v>
      </c>
      <c r="V1089">
        <v>0.31547664770509098</v>
      </c>
      <c r="W1089">
        <v>0.865163117388565</v>
      </c>
      <c r="X1089">
        <v>0</v>
      </c>
      <c r="Y1089">
        <v>0</v>
      </c>
    </row>
    <row r="1090" spans="1:25" x14ac:dyDescent="0.2">
      <c r="A1090" t="s">
        <v>4033</v>
      </c>
      <c r="B1090" t="s">
        <v>4034</v>
      </c>
      <c r="C1090" t="s">
        <v>4035</v>
      </c>
      <c r="D1090" t="s">
        <v>4036</v>
      </c>
      <c r="E1090" t="s">
        <v>4034</v>
      </c>
      <c r="F1090" t="s">
        <v>28</v>
      </c>
      <c r="G1090" t="s">
        <v>4034</v>
      </c>
      <c r="H1090" t="str">
        <f>"lipt-1"</f>
        <v>lipt-1</v>
      </c>
      <c r="I1090" t="s">
        <v>4036</v>
      </c>
      <c r="J1090">
        <v>13.9085222621804</v>
      </c>
      <c r="K1090">
        <v>14.4627369720759</v>
      </c>
      <c r="L1090">
        <v>14.0358218289036</v>
      </c>
      <c r="M1090">
        <v>14.2094675605319</v>
      </c>
      <c r="N1090">
        <v>14.6450104597522</v>
      </c>
      <c r="O1090">
        <v>13.4786502583406</v>
      </c>
      <c r="P1090">
        <v>-2.4650928178422401E-2</v>
      </c>
      <c r="Q1090">
        <v>-0.73152303396024698</v>
      </c>
      <c r="R1090">
        <v>0.68222117760340195</v>
      </c>
      <c r="S1090">
        <v>13.8383582345734</v>
      </c>
      <c r="T1090">
        <v>-7.3610953860256303E-2</v>
      </c>
      <c r="U1090">
        <v>-6.8796499717027304</v>
      </c>
      <c r="V1090">
        <v>0.94218444917006094</v>
      </c>
      <c r="W1090">
        <v>0.99926809132575301</v>
      </c>
      <c r="X1090">
        <v>0</v>
      </c>
      <c r="Y1090">
        <v>0</v>
      </c>
    </row>
    <row r="1091" spans="1:25" x14ac:dyDescent="0.2">
      <c r="A1091" t="s">
        <v>4037</v>
      </c>
      <c r="B1091" t="s">
        <v>4038</v>
      </c>
      <c r="C1091" t="s">
        <v>14364</v>
      </c>
      <c r="D1091" t="s">
        <v>4039</v>
      </c>
      <c r="E1091" t="s">
        <v>4038</v>
      </c>
      <c r="F1091" t="s">
        <v>28</v>
      </c>
      <c r="G1091" t="s">
        <v>4038</v>
      </c>
      <c r="H1091" t="str">
        <f>"F17B5.1"</f>
        <v>F17B5.1</v>
      </c>
      <c r="I1091" t="s">
        <v>4039</v>
      </c>
      <c r="J1091">
        <v>12.9340879445773</v>
      </c>
      <c r="K1091">
        <v>12.9672409777063</v>
      </c>
      <c r="L1091">
        <v>11.9848585536143</v>
      </c>
      <c r="M1091">
        <v>12.5229068757069</v>
      </c>
      <c r="N1091" t="s">
        <v>29</v>
      </c>
      <c r="O1091">
        <v>13.050086476353201</v>
      </c>
      <c r="P1091">
        <v>0.157767517397433</v>
      </c>
      <c r="Q1091">
        <v>-0.99312328033841102</v>
      </c>
      <c r="R1091">
        <v>1.30865831513328</v>
      </c>
      <c r="S1091">
        <v>12.6721518697909</v>
      </c>
      <c r="T1091">
        <v>0.30587949497869898</v>
      </c>
      <c r="U1091">
        <v>-6.7215999119971297</v>
      </c>
      <c r="V1091">
        <v>0.76603472730857503</v>
      </c>
      <c r="W1091">
        <v>0.99278624068726296</v>
      </c>
      <c r="X1091">
        <v>0</v>
      </c>
      <c r="Y1091">
        <v>0</v>
      </c>
    </row>
    <row r="1092" spans="1:25" x14ac:dyDescent="0.2">
      <c r="A1092" t="s">
        <v>4040</v>
      </c>
      <c r="B1092" t="s">
        <v>4041</v>
      </c>
      <c r="C1092" t="s">
        <v>4042</v>
      </c>
      <c r="D1092" t="s">
        <v>4043</v>
      </c>
      <c r="E1092" t="s">
        <v>4041</v>
      </c>
      <c r="F1092" t="s">
        <v>28</v>
      </c>
      <c r="G1092" t="s">
        <v>4041</v>
      </c>
      <c r="H1092" t="str">
        <f>"tps-2"</f>
        <v>tps-2</v>
      </c>
      <c r="I1092" t="s">
        <v>4043</v>
      </c>
      <c r="J1092">
        <v>13.4863717773073</v>
      </c>
      <c r="K1092">
        <v>13.076609583388599</v>
      </c>
      <c r="L1092">
        <v>13.1796923286816</v>
      </c>
      <c r="M1092">
        <v>13.3403402968774</v>
      </c>
      <c r="N1092">
        <v>13.531020741047</v>
      </c>
      <c r="O1092">
        <v>13.451193112305001</v>
      </c>
      <c r="P1092">
        <v>0.19329348695058499</v>
      </c>
      <c r="Q1092">
        <v>-0.24078615114137999</v>
      </c>
      <c r="R1092">
        <v>0.62737312504255105</v>
      </c>
      <c r="S1092">
        <v>13.218785296545001</v>
      </c>
      <c r="T1092">
        <v>0.93592342978888898</v>
      </c>
      <c r="U1092">
        <v>-6.43576678907844</v>
      </c>
      <c r="V1092">
        <v>0.36177214774569999</v>
      </c>
      <c r="W1092">
        <v>0.888292466632014</v>
      </c>
      <c r="X1092">
        <v>0</v>
      </c>
      <c r="Y1092">
        <v>0</v>
      </c>
    </row>
    <row r="1093" spans="1:25" x14ac:dyDescent="0.2">
      <c r="A1093" t="s">
        <v>4044</v>
      </c>
      <c r="B1093" t="s">
        <v>4045</v>
      </c>
      <c r="C1093" t="s">
        <v>14365</v>
      </c>
      <c r="D1093" t="s">
        <v>3883</v>
      </c>
      <c r="E1093" t="s">
        <v>4045</v>
      </c>
      <c r="F1093" t="s">
        <v>28</v>
      </c>
      <c r="G1093" t="s">
        <v>4045</v>
      </c>
      <c r="H1093" t="str">
        <f>"F21H7.5"</f>
        <v>F21H7.5</v>
      </c>
      <c r="I1093" t="s">
        <v>3883</v>
      </c>
      <c r="J1093">
        <v>17.994898665741701</v>
      </c>
      <c r="K1093">
        <v>17.575656827510201</v>
      </c>
      <c r="L1093">
        <v>18.715448218550701</v>
      </c>
      <c r="M1093">
        <v>17.962768593998302</v>
      </c>
      <c r="N1093">
        <v>18.2363647983268</v>
      </c>
      <c r="O1093">
        <v>18.471759537853099</v>
      </c>
      <c r="P1093">
        <v>0.12829640612521201</v>
      </c>
      <c r="Q1093">
        <v>-0.89040136346727095</v>
      </c>
      <c r="R1093">
        <v>1.1469941757177</v>
      </c>
      <c r="S1093">
        <v>17.176825151608899</v>
      </c>
      <c r="T1093">
        <v>0.264704697737774</v>
      </c>
      <c r="U1093">
        <v>-6.8459510993676602</v>
      </c>
      <c r="V1093">
        <v>0.79426176387201297</v>
      </c>
      <c r="W1093">
        <v>0.99278624068726296</v>
      </c>
      <c r="X1093">
        <v>0</v>
      </c>
      <c r="Y1093">
        <v>0</v>
      </c>
    </row>
    <row r="1094" spans="1:25" x14ac:dyDescent="0.2">
      <c r="A1094" t="s">
        <v>4046</v>
      </c>
      <c r="B1094" t="s">
        <v>4047</v>
      </c>
      <c r="C1094" t="s">
        <v>4048</v>
      </c>
      <c r="D1094" t="s">
        <v>4049</v>
      </c>
      <c r="E1094" t="s">
        <v>4047</v>
      </c>
      <c r="F1094" t="s">
        <v>28</v>
      </c>
      <c r="G1094" t="s">
        <v>4047</v>
      </c>
      <c r="H1094" t="str">
        <f>"cth-1"</f>
        <v>cth-1</v>
      </c>
      <c r="I1094" t="s">
        <v>4049</v>
      </c>
      <c r="J1094">
        <v>14.8725910969043</v>
      </c>
      <c r="K1094">
        <v>14.930651081473201</v>
      </c>
      <c r="L1094">
        <v>14.897516536906901</v>
      </c>
      <c r="M1094">
        <v>14.7839292840964</v>
      </c>
      <c r="N1094">
        <v>15.089807304223999</v>
      </c>
      <c r="O1094">
        <v>14.9727030255098</v>
      </c>
      <c r="P1094">
        <v>4.8560299515266102E-2</v>
      </c>
      <c r="Q1094">
        <v>-0.39808554692111098</v>
      </c>
      <c r="R1094">
        <v>0.49520614595164297</v>
      </c>
      <c r="S1094">
        <v>14.799609618399099</v>
      </c>
      <c r="T1094">
        <v>0.22949227449985399</v>
      </c>
      <c r="U1094">
        <v>-6.8549284978029901</v>
      </c>
      <c r="V1094">
        <v>0.82124160032210702</v>
      </c>
      <c r="W1094">
        <v>0.992837538801569</v>
      </c>
      <c r="X1094">
        <v>0</v>
      </c>
      <c r="Y1094">
        <v>0</v>
      </c>
    </row>
    <row r="1095" spans="1:25" x14ac:dyDescent="0.2">
      <c r="A1095" t="s">
        <v>4050</v>
      </c>
      <c r="B1095" t="s">
        <v>4051</v>
      </c>
      <c r="C1095" t="s">
        <v>14366</v>
      </c>
      <c r="D1095" t="s">
        <v>4052</v>
      </c>
      <c r="E1095" t="s">
        <v>4051</v>
      </c>
      <c r="F1095" t="s">
        <v>28</v>
      </c>
      <c r="G1095" t="s">
        <v>4051</v>
      </c>
      <c r="H1095" t="str">
        <f>"F22B8.7"</f>
        <v>F22B8.7</v>
      </c>
      <c r="I1095" t="s">
        <v>4052</v>
      </c>
      <c r="J1095">
        <v>14.542268924056399</v>
      </c>
      <c r="K1095">
        <v>14.6083720648157</v>
      </c>
      <c r="L1095">
        <v>14.5348443248482</v>
      </c>
      <c r="M1095">
        <v>14.8025769583433</v>
      </c>
      <c r="N1095">
        <v>14.266551202661701</v>
      </c>
      <c r="O1095">
        <v>14.691758131444701</v>
      </c>
      <c r="P1095">
        <v>2.51336595764435E-2</v>
      </c>
      <c r="Q1095">
        <v>-0.36488739655454699</v>
      </c>
      <c r="R1095">
        <v>0.41515471570743401</v>
      </c>
      <c r="S1095">
        <v>14.6113205123391</v>
      </c>
      <c r="T1095">
        <v>0.13544412990757501</v>
      </c>
      <c r="U1095">
        <v>-6.87290924795452</v>
      </c>
      <c r="V1095">
        <v>0.89377265433432296</v>
      </c>
      <c r="W1095">
        <v>0.99751045801221205</v>
      </c>
      <c r="X1095">
        <v>0</v>
      </c>
      <c r="Y1095">
        <v>0</v>
      </c>
    </row>
    <row r="1096" spans="1:25" x14ac:dyDescent="0.2">
      <c r="A1096" t="s">
        <v>4053</v>
      </c>
      <c r="B1096" t="s">
        <v>4054</v>
      </c>
      <c r="C1096" t="s">
        <v>14367</v>
      </c>
      <c r="D1096" t="s">
        <v>412</v>
      </c>
      <c r="E1096" t="s">
        <v>4054</v>
      </c>
      <c r="F1096" t="s">
        <v>28</v>
      </c>
      <c r="G1096" t="s">
        <v>4054</v>
      </c>
      <c r="H1096" t="str">
        <f>"F22G12.4"</f>
        <v>F22G12.4</v>
      </c>
      <c r="I1096" t="s">
        <v>412</v>
      </c>
      <c r="J1096">
        <v>12.661285847249101</v>
      </c>
      <c r="K1096">
        <v>12.615152617969899</v>
      </c>
      <c r="L1096">
        <v>12.8221521346602</v>
      </c>
      <c r="M1096">
        <v>12.010243317789</v>
      </c>
      <c r="N1096">
        <v>12.8781014860638</v>
      </c>
      <c r="O1096" t="s">
        <v>29</v>
      </c>
      <c r="P1096">
        <v>-0.255357798033367</v>
      </c>
      <c r="Q1096">
        <v>-0.91457640738849899</v>
      </c>
      <c r="R1096">
        <v>0.40386081132176399</v>
      </c>
      <c r="S1096">
        <v>12.5667822395177</v>
      </c>
      <c r="T1096">
        <v>-0.83140294550262905</v>
      </c>
      <c r="U1096">
        <v>-6.4153971006023598</v>
      </c>
      <c r="V1096">
        <v>0.41980441847718403</v>
      </c>
      <c r="W1096">
        <v>0.91512503332874395</v>
      </c>
      <c r="X1096">
        <v>0</v>
      </c>
      <c r="Y1096">
        <v>0</v>
      </c>
    </row>
    <row r="1097" spans="1:25" x14ac:dyDescent="0.2">
      <c r="A1097" t="s">
        <v>4055</v>
      </c>
      <c r="B1097" t="s">
        <v>4056</v>
      </c>
      <c r="C1097" t="s">
        <v>4057</v>
      </c>
      <c r="D1097" t="s">
        <v>4058</v>
      </c>
      <c r="E1097" t="s">
        <v>4056</v>
      </c>
      <c r="F1097" t="s">
        <v>28</v>
      </c>
      <c r="G1097" t="s">
        <v>4056</v>
      </c>
      <c r="H1097" t="str">
        <f>"exl-1"</f>
        <v>exl-1</v>
      </c>
      <c r="I1097" t="s">
        <v>4058</v>
      </c>
      <c r="J1097" t="s">
        <v>29</v>
      </c>
      <c r="K1097">
        <v>10.212146093974599</v>
      </c>
      <c r="L1097" t="s">
        <v>29</v>
      </c>
      <c r="M1097" t="s">
        <v>29</v>
      </c>
      <c r="N1097" t="s">
        <v>29</v>
      </c>
      <c r="O1097" t="s">
        <v>29</v>
      </c>
      <c r="P1097" t="s">
        <v>29</v>
      </c>
      <c r="Q1097" t="s">
        <v>29</v>
      </c>
      <c r="R1097" t="s">
        <v>29</v>
      </c>
      <c r="S1097">
        <v>11.475562836526199</v>
      </c>
      <c r="T1097" t="s">
        <v>29</v>
      </c>
      <c r="U1097" t="s">
        <v>29</v>
      </c>
      <c r="V1097" t="s">
        <v>29</v>
      </c>
      <c r="W1097" t="s">
        <v>29</v>
      </c>
      <c r="X1097" t="s">
        <v>29</v>
      </c>
      <c r="Y1097" t="s">
        <v>29</v>
      </c>
    </row>
    <row r="1098" spans="1:25" x14ac:dyDescent="0.2">
      <c r="A1098" t="s">
        <v>4059</v>
      </c>
      <c r="B1098" t="s">
        <v>4060</v>
      </c>
      <c r="C1098" t="s">
        <v>4061</v>
      </c>
      <c r="D1098" t="s">
        <v>4062</v>
      </c>
      <c r="E1098" t="s">
        <v>4060</v>
      </c>
      <c r="F1098" t="s">
        <v>28</v>
      </c>
      <c r="G1098" t="s">
        <v>4060</v>
      </c>
      <c r="H1098" t="str">
        <f>"fkb-6"</f>
        <v>fkb-6</v>
      </c>
      <c r="I1098" t="s">
        <v>4062</v>
      </c>
      <c r="J1098">
        <v>14.9038452614476</v>
      </c>
      <c r="K1098">
        <v>14.740748436036201</v>
      </c>
      <c r="L1098">
        <v>14.7215673740747</v>
      </c>
      <c r="M1098">
        <v>17.5686167752636</v>
      </c>
      <c r="N1098">
        <v>17.736442871691001</v>
      </c>
      <c r="O1098">
        <v>17.440778206291899</v>
      </c>
      <c r="P1098">
        <v>2.793225593896</v>
      </c>
      <c r="Q1098">
        <v>2.1608382471889702</v>
      </c>
      <c r="R1098">
        <v>3.42561294060302</v>
      </c>
      <c r="S1098">
        <v>15.8433931051868</v>
      </c>
      <c r="T1098">
        <v>9.2835772215962393</v>
      </c>
      <c r="U1098">
        <v>9.2933631667702699</v>
      </c>
      <c r="V1098" s="2">
        <v>2.91382192999818E-8</v>
      </c>
      <c r="W1098" s="2">
        <v>6.9265709878813901E-6</v>
      </c>
      <c r="X1098">
        <v>1</v>
      </c>
      <c r="Y1098">
        <v>1</v>
      </c>
    </row>
    <row r="1099" spans="1:25" x14ac:dyDescent="0.2">
      <c r="A1099" t="s">
        <v>4063</v>
      </c>
      <c r="B1099" t="s">
        <v>4064</v>
      </c>
      <c r="C1099" t="s">
        <v>4065</v>
      </c>
      <c r="D1099" t="s">
        <v>4066</v>
      </c>
      <c r="E1099" t="s">
        <v>4064</v>
      </c>
      <c r="F1099" t="s">
        <v>28</v>
      </c>
      <c r="G1099" t="s">
        <v>4064</v>
      </c>
      <c r="H1099" t="str">
        <f>"mccc-1"</f>
        <v>mccc-1</v>
      </c>
      <c r="I1099" t="s">
        <v>4066</v>
      </c>
      <c r="J1099">
        <v>23.101691257400098</v>
      </c>
      <c r="K1099">
        <v>23.391634759558102</v>
      </c>
      <c r="L1099">
        <v>23.004067924646499</v>
      </c>
      <c r="M1099">
        <v>23.2172035366101</v>
      </c>
      <c r="N1099">
        <v>23.431580489351401</v>
      </c>
      <c r="O1099">
        <v>22.962581008332101</v>
      </c>
      <c r="P1099">
        <v>3.7990364229610697E-2</v>
      </c>
      <c r="Q1099">
        <v>-1.0550603367984801</v>
      </c>
      <c r="R1099">
        <v>1.1310410652577101</v>
      </c>
      <c r="S1099">
        <v>22.804287733600798</v>
      </c>
      <c r="T1099">
        <v>7.3050915556656104E-2</v>
      </c>
      <c r="U1099">
        <v>-6.8797017163921499</v>
      </c>
      <c r="V1099">
        <v>0.94257592959251602</v>
      </c>
      <c r="W1099">
        <v>0.99926809132575301</v>
      </c>
      <c r="X1099">
        <v>0</v>
      </c>
      <c r="Y1099">
        <v>0</v>
      </c>
    </row>
    <row r="1100" spans="1:25" x14ac:dyDescent="0.2">
      <c r="A1100" t="s">
        <v>4067</v>
      </c>
      <c r="B1100" t="s">
        <v>4068</v>
      </c>
      <c r="C1100" t="s">
        <v>4069</v>
      </c>
      <c r="D1100" t="s">
        <v>4070</v>
      </c>
      <c r="E1100" t="s">
        <v>4068</v>
      </c>
      <c r="F1100" t="s">
        <v>28</v>
      </c>
      <c r="G1100" t="s">
        <v>4068</v>
      </c>
      <c r="H1100" t="str">
        <f>"prp-18"</f>
        <v>prp-18</v>
      </c>
      <c r="I1100" t="s">
        <v>4070</v>
      </c>
      <c r="J1100">
        <v>11.0382609653243</v>
      </c>
      <c r="K1100" t="s">
        <v>29</v>
      </c>
      <c r="L1100">
        <v>9.80438413310236</v>
      </c>
      <c r="M1100">
        <v>10.9295893954982</v>
      </c>
      <c r="N1100" t="s">
        <v>29</v>
      </c>
      <c r="O1100" t="s">
        <v>29</v>
      </c>
      <c r="P1100">
        <v>0.50826684628485097</v>
      </c>
      <c r="Q1100">
        <v>-0.73322521284097997</v>
      </c>
      <c r="R1100">
        <v>1.7497589054106799</v>
      </c>
      <c r="S1100">
        <v>11.186274707016899</v>
      </c>
      <c r="T1100">
        <v>0.90214330259175401</v>
      </c>
      <c r="U1100">
        <v>-6.0651217478707498</v>
      </c>
      <c r="V1100">
        <v>0.38649052613160301</v>
      </c>
      <c r="W1100">
        <v>0.90325875770082498</v>
      </c>
      <c r="X1100">
        <v>0</v>
      </c>
      <c r="Y1100">
        <v>0</v>
      </c>
    </row>
    <row r="1101" spans="1:25" x14ac:dyDescent="0.2">
      <c r="A1101" t="s">
        <v>4071</v>
      </c>
      <c r="B1101" t="s">
        <v>4072</v>
      </c>
      <c r="C1101" t="s">
        <v>14368</v>
      </c>
      <c r="D1101" t="s">
        <v>828</v>
      </c>
      <c r="E1101" t="s">
        <v>4072</v>
      </c>
      <c r="F1101" t="s">
        <v>28</v>
      </c>
      <c r="G1101" t="s">
        <v>4072</v>
      </c>
      <c r="H1101" t="str">
        <f>"F32B6.4"</f>
        <v>F32B6.4</v>
      </c>
      <c r="I1101" t="s">
        <v>828</v>
      </c>
      <c r="J1101">
        <v>11.7594155397297</v>
      </c>
      <c r="K1101" t="s">
        <v>29</v>
      </c>
      <c r="L1101">
        <v>11.978805264765599</v>
      </c>
      <c r="M1101">
        <v>11.4608310040565</v>
      </c>
      <c r="N1101">
        <v>12.653145000275901</v>
      </c>
      <c r="O1101">
        <v>11.161041257525399</v>
      </c>
      <c r="P1101">
        <v>-0.11077131496170101</v>
      </c>
      <c r="Q1101">
        <v>-1.0466676900233001</v>
      </c>
      <c r="R1101">
        <v>0.82512506009989905</v>
      </c>
      <c r="S1101">
        <v>12.245336126360799</v>
      </c>
      <c r="T1101">
        <v>-0.25813361209505797</v>
      </c>
      <c r="U1101">
        <v>-6.7366524046455796</v>
      </c>
      <c r="V1101">
        <v>0.80071578203751503</v>
      </c>
      <c r="W1101">
        <v>0.99278624068726296</v>
      </c>
      <c r="X1101">
        <v>0</v>
      </c>
      <c r="Y1101">
        <v>0</v>
      </c>
    </row>
    <row r="1102" spans="1:25" x14ac:dyDescent="0.2">
      <c r="A1102" t="s">
        <v>4073</v>
      </c>
      <c r="B1102" t="s">
        <v>4074</v>
      </c>
      <c r="C1102" t="s">
        <v>14369</v>
      </c>
      <c r="D1102" t="s">
        <v>3883</v>
      </c>
      <c r="E1102" t="s">
        <v>4074</v>
      </c>
      <c r="F1102" t="s">
        <v>28</v>
      </c>
      <c r="G1102" t="s">
        <v>4074</v>
      </c>
      <c r="H1102" t="str">
        <f>"F36D3.4"</f>
        <v>F36D3.4</v>
      </c>
      <c r="I1102" t="s">
        <v>3883</v>
      </c>
      <c r="J1102">
        <v>15.3855706393242</v>
      </c>
      <c r="K1102">
        <v>14.5278647296476</v>
      </c>
      <c r="L1102">
        <v>16.0286838185147</v>
      </c>
      <c r="M1102">
        <v>15.303419198976099</v>
      </c>
      <c r="N1102">
        <v>15.649071801121901</v>
      </c>
      <c r="O1102">
        <v>15.768416933479701</v>
      </c>
      <c r="P1102">
        <v>0.25959624869709302</v>
      </c>
      <c r="Q1102">
        <v>-0.73004175600932597</v>
      </c>
      <c r="R1102">
        <v>1.2492342534035099</v>
      </c>
      <c r="S1102">
        <v>14.530989687838501</v>
      </c>
      <c r="T1102">
        <v>0.55133372693840299</v>
      </c>
      <c r="U1102">
        <v>-6.7250139689806296</v>
      </c>
      <c r="V1102">
        <v>0.588223633399513</v>
      </c>
      <c r="W1102">
        <v>0.963273565916412</v>
      </c>
      <c r="X1102">
        <v>0</v>
      </c>
      <c r="Y1102">
        <v>0</v>
      </c>
    </row>
    <row r="1103" spans="1:25" x14ac:dyDescent="0.2">
      <c r="A1103" t="s">
        <v>4075</v>
      </c>
      <c r="B1103" t="s">
        <v>4076</v>
      </c>
      <c r="C1103" t="s">
        <v>4077</v>
      </c>
      <c r="D1103" t="s">
        <v>130</v>
      </c>
      <c r="E1103" t="s">
        <v>4076</v>
      </c>
      <c r="F1103" t="s">
        <v>28</v>
      </c>
      <c r="G1103" t="s">
        <v>4076</v>
      </c>
      <c r="H1103" t="str">
        <f>"hinf-1"</f>
        <v>hinf-1</v>
      </c>
      <c r="I1103" t="s">
        <v>130</v>
      </c>
      <c r="J1103" t="s">
        <v>29</v>
      </c>
      <c r="K1103" t="s">
        <v>29</v>
      </c>
      <c r="L1103" t="s">
        <v>29</v>
      </c>
      <c r="M1103" t="s">
        <v>29</v>
      </c>
      <c r="N1103" t="s">
        <v>29</v>
      </c>
      <c r="O1103" t="s">
        <v>29</v>
      </c>
      <c r="P1103" t="s">
        <v>29</v>
      </c>
      <c r="Q1103" t="s">
        <v>29</v>
      </c>
      <c r="R1103" t="s">
        <v>29</v>
      </c>
      <c r="S1103">
        <v>11.8944408599616</v>
      </c>
      <c r="T1103" t="s">
        <v>29</v>
      </c>
      <c r="U1103" t="s">
        <v>29</v>
      </c>
      <c r="V1103" t="s">
        <v>29</v>
      </c>
      <c r="W1103" t="s">
        <v>29</v>
      </c>
      <c r="X1103" t="s">
        <v>29</v>
      </c>
      <c r="Y1103" t="s">
        <v>29</v>
      </c>
    </row>
    <row r="1104" spans="1:25" x14ac:dyDescent="0.2">
      <c r="A1104" t="s">
        <v>4078</v>
      </c>
      <c r="B1104" t="s">
        <v>4079</v>
      </c>
      <c r="C1104" t="s">
        <v>4080</v>
      </c>
      <c r="D1104" t="s">
        <v>4081</v>
      </c>
      <c r="E1104" t="s">
        <v>4079</v>
      </c>
      <c r="F1104" t="s">
        <v>28</v>
      </c>
      <c r="G1104" t="s">
        <v>4079</v>
      </c>
      <c r="H1104" t="str">
        <f>"uev-1"</f>
        <v>uev-1</v>
      </c>
      <c r="I1104" t="s">
        <v>4081</v>
      </c>
      <c r="J1104">
        <v>14.2425042456579</v>
      </c>
      <c r="K1104">
        <v>14.1574953550824</v>
      </c>
      <c r="L1104">
        <v>13.7978402375805</v>
      </c>
      <c r="M1104">
        <v>13.554335871274599</v>
      </c>
      <c r="N1104">
        <v>13.385469472809101</v>
      </c>
      <c r="O1104">
        <v>13.708588429756899</v>
      </c>
      <c r="P1104">
        <v>-0.51648202149340205</v>
      </c>
      <c r="Q1104">
        <v>-1.0337265639986399</v>
      </c>
      <c r="R1104">
        <v>7.6252101183194E-4</v>
      </c>
      <c r="S1104">
        <v>13.1010407080203</v>
      </c>
      <c r="T1104">
        <v>-2.1077024705796199</v>
      </c>
      <c r="U1104">
        <v>-4.8179686254751699</v>
      </c>
      <c r="V1104">
        <v>5.0302134336757502E-2</v>
      </c>
      <c r="W1104">
        <v>0.489354221037896</v>
      </c>
      <c r="X1104">
        <v>0</v>
      </c>
      <c r="Y1104">
        <v>0</v>
      </c>
    </row>
    <row r="1105" spans="1:25" x14ac:dyDescent="0.2">
      <c r="A1105" t="s">
        <v>4082</v>
      </c>
      <c r="B1105" t="s">
        <v>4083</v>
      </c>
      <c r="C1105" t="s">
        <v>14370</v>
      </c>
      <c r="D1105" t="s">
        <v>4084</v>
      </c>
      <c r="E1105" t="s">
        <v>4083</v>
      </c>
      <c r="F1105" t="s">
        <v>28</v>
      </c>
      <c r="G1105" t="s">
        <v>4083</v>
      </c>
      <c r="H1105" t="str">
        <f>"F39B2.3"</f>
        <v>F39B2.3</v>
      </c>
      <c r="I1105" t="s">
        <v>4084</v>
      </c>
      <c r="J1105">
        <v>12.851231441777999</v>
      </c>
      <c r="K1105">
        <v>13.165333789237399</v>
      </c>
      <c r="L1105">
        <v>12.756150080519101</v>
      </c>
      <c r="M1105">
        <v>12.591535668356499</v>
      </c>
      <c r="N1105">
        <v>12.294734274844</v>
      </c>
      <c r="O1105">
        <v>12.874609617969799</v>
      </c>
      <c r="P1105">
        <v>-0.33727858345473499</v>
      </c>
      <c r="Q1105">
        <v>-0.82934005337523997</v>
      </c>
      <c r="R1105">
        <v>0.15478288646577101</v>
      </c>
      <c r="S1105">
        <v>12.3689593832189</v>
      </c>
      <c r="T1105">
        <v>-1.4468363745294099</v>
      </c>
      <c r="U1105">
        <v>-5.8487790482454498</v>
      </c>
      <c r="V1105">
        <v>0.16624192385608999</v>
      </c>
      <c r="W1105">
        <v>0.76796940364641997</v>
      </c>
      <c r="X1105">
        <v>0</v>
      </c>
      <c r="Y1105">
        <v>0</v>
      </c>
    </row>
    <row r="1106" spans="1:25" x14ac:dyDescent="0.2">
      <c r="A1106" t="s">
        <v>4085</v>
      </c>
      <c r="B1106" t="s">
        <v>4086</v>
      </c>
      <c r="C1106" t="s">
        <v>4087</v>
      </c>
      <c r="D1106" t="s">
        <v>4088</v>
      </c>
      <c r="E1106" t="s">
        <v>4086</v>
      </c>
      <c r="F1106" t="s">
        <v>28</v>
      </c>
      <c r="G1106" t="s">
        <v>4086</v>
      </c>
      <c r="H1106" t="str">
        <f>"rps-26"</f>
        <v>rps-26</v>
      </c>
      <c r="I1106" t="s">
        <v>4088</v>
      </c>
      <c r="J1106">
        <v>18.0774857335037</v>
      </c>
      <c r="K1106">
        <v>18.2413482266311</v>
      </c>
      <c r="L1106">
        <v>18.430977585748401</v>
      </c>
      <c r="M1106">
        <v>18.167878257521199</v>
      </c>
      <c r="N1106">
        <v>18.034227155601101</v>
      </c>
      <c r="O1106">
        <v>18.127817436868199</v>
      </c>
      <c r="P1106">
        <v>-0.13996289863089101</v>
      </c>
      <c r="Q1106">
        <v>-0.54307868054168495</v>
      </c>
      <c r="R1106">
        <v>0.26315288327990199</v>
      </c>
      <c r="S1106">
        <v>18.477650057680499</v>
      </c>
      <c r="T1106">
        <v>-0.72975258196056703</v>
      </c>
      <c r="U1106">
        <v>-6.6083407524592799</v>
      </c>
      <c r="V1106">
        <v>0.47498633127977102</v>
      </c>
      <c r="W1106">
        <v>0.93370024246844496</v>
      </c>
      <c r="X1106">
        <v>0</v>
      </c>
      <c r="Y1106">
        <v>0</v>
      </c>
    </row>
    <row r="1107" spans="1:25" x14ac:dyDescent="0.2">
      <c r="A1107" t="s">
        <v>4089</v>
      </c>
      <c r="B1107" t="s">
        <v>4090</v>
      </c>
      <c r="C1107" t="s">
        <v>4091</v>
      </c>
      <c r="D1107" t="s">
        <v>4092</v>
      </c>
      <c r="E1107" t="s">
        <v>4090</v>
      </c>
      <c r="F1107" t="s">
        <v>28</v>
      </c>
      <c r="G1107" t="s">
        <v>4090</v>
      </c>
      <c r="H1107" t="str">
        <f>"mtx-1"</f>
        <v>mtx-1</v>
      </c>
      <c r="I1107" t="s">
        <v>4092</v>
      </c>
      <c r="J1107">
        <v>14.144952311743801</v>
      </c>
      <c r="K1107">
        <v>14.3929666253806</v>
      </c>
      <c r="L1107">
        <v>13.5751159292368</v>
      </c>
      <c r="M1107">
        <v>14.1130375428899</v>
      </c>
      <c r="N1107">
        <v>13.2072480532211</v>
      </c>
      <c r="O1107">
        <v>13.810852513186999</v>
      </c>
      <c r="P1107">
        <v>-0.32729891902105002</v>
      </c>
      <c r="Q1107">
        <v>-0.87108983784268701</v>
      </c>
      <c r="R1107">
        <v>0.216491999800587</v>
      </c>
      <c r="S1107">
        <v>13.872483260552</v>
      </c>
      <c r="T1107">
        <v>-1.27662148770748</v>
      </c>
      <c r="U1107">
        <v>-6.0668511437141897</v>
      </c>
      <c r="V1107">
        <v>0.220072632891678</v>
      </c>
      <c r="W1107">
        <v>0.79782322686656104</v>
      </c>
      <c r="X1107">
        <v>0</v>
      </c>
      <c r="Y1107">
        <v>0</v>
      </c>
    </row>
    <row r="1108" spans="1:25" x14ac:dyDescent="0.2">
      <c r="A1108" t="s">
        <v>4093</v>
      </c>
      <c r="B1108" t="s">
        <v>4094</v>
      </c>
      <c r="C1108" t="s">
        <v>4095</v>
      </c>
      <c r="D1108" t="s">
        <v>4096</v>
      </c>
      <c r="E1108" t="s">
        <v>4094</v>
      </c>
      <c r="F1108" t="s">
        <v>28</v>
      </c>
      <c r="G1108" t="s">
        <v>4094</v>
      </c>
      <c r="H1108" t="str">
        <f>"ife-1"</f>
        <v>ife-1</v>
      </c>
      <c r="I1108" t="s">
        <v>4096</v>
      </c>
      <c r="J1108">
        <v>14.746466981267</v>
      </c>
      <c r="K1108">
        <v>14.558611470290799</v>
      </c>
      <c r="L1108">
        <v>14.919403402574501</v>
      </c>
      <c r="M1108">
        <v>14.879334513721901</v>
      </c>
      <c r="N1108">
        <v>14.935696248894899</v>
      </c>
      <c r="O1108">
        <v>14.7518514308266</v>
      </c>
      <c r="P1108">
        <v>0.114133446437025</v>
      </c>
      <c r="Q1108">
        <v>-0.25651638320856701</v>
      </c>
      <c r="R1108">
        <v>0.48478327608261701</v>
      </c>
      <c r="S1108">
        <v>14.7633357088874</v>
      </c>
      <c r="T1108">
        <v>0.64720466646770103</v>
      </c>
      <c r="U1108">
        <v>-6.6661769320664801</v>
      </c>
      <c r="V1108">
        <v>0.52571551559140195</v>
      </c>
      <c r="W1108">
        <v>0.94259531549477504</v>
      </c>
      <c r="X1108">
        <v>0</v>
      </c>
      <c r="Y1108">
        <v>0</v>
      </c>
    </row>
    <row r="1109" spans="1:25" x14ac:dyDescent="0.2">
      <c r="A1109" t="s">
        <v>4097</v>
      </c>
      <c r="B1109" t="s">
        <v>4098</v>
      </c>
      <c r="C1109" t="s">
        <v>4099</v>
      </c>
      <c r="D1109" t="s">
        <v>4100</v>
      </c>
      <c r="E1109" t="s">
        <v>4098</v>
      </c>
      <c r="F1109" t="s">
        <v>28</v>
      </c>
      <c r="G1109" t="s">
        <v>4098</v>
      </c>
      <c r="H1109" t="str">
        <f>"acaa-2"</f>
        <v>acaa-2</v>
      </c>
      <c r="I1109" t="s">
        <v>4100</v>
      </c>
      <c r="J1109">
        <v>14.5977271114881</v>
      </c>
      <c r="K1109">
        <v>14.527530704494501</v>
      </c>
      <c r="L1109">
        <v>14.602170998986301</v>
      </c>
      <c r="M1109">
        <v>14.581310105264601</v>
      </c>
      <c r="N1109">
        <v>14.680874311392101</v>
      </c>
      <c r="O1109">
        <v>14.624507579323399</v>
      </c>
      <c r="P1109">
        <v>5.3087727003758203E-2</v>
      </c>
      <c r="Q1109">
        <v>-0.38693141134125297</v>
      </c>
      <c r="R1109">
        <v>0.49310686534876902</v>
      </c>
      <c r="S1109">
        <v>14.507702412013501</v>
      </c>
      <c r="T1109">
        <v>0.25358004697055297</v>
      </c>
      <c r="U1109">
        <v>-6.8489523016965004</v>
      </c>
      <c r="V1109">
        <v>0.80271049796949601</v>
      </c>
      <c r="W1109">
        <v>0.99278624068726296</v>
      </c>
      <c r="X1109">
        <v>0</v>
      </c>
      <c r="Y1109">
        <v>0</v>
      </c>
    </row>
    <row r="1110" spans="1:25" x14ac:dyDescent="0.2">
      <c r="A1110" t="s">
        <v>4101</v>
      </c>
      <c r="B1110" t="s">
        <v>4102</v>
      </c>
      <c r="C1110" t="s">
        <v>4103</v>
      </c>
      <c r="D1110" t="s">
        <v>4104</v>
      </c>
      <c r="E1110" t="s">
        <v>4102</v>
      </c>
      <c r="F1110" t="s">
        <v>28</v>
      </c>
      <c r="G1110" t="s">
        <v>4102</v>
      </c>
      <c r="H1110" t="str">
        <f>"nep-17"</f>
        <v>nep-17</v>
      </c>
      <c r="I1110" t="s">
        <v>4104</v>
      </c>
      <c r="J1110">
        <v>12.659692379269201</v>
      </c>
      <c r="K1110">
        <v>11.480729453955201</v>
      </c>
      <c r="L1110">
        <v>12.886621218256799</v>
      </c>
      <c r="M1110">
        <v>12.4301102557904</v>
      </c>
      <c r="N1110">
        <v>12.460750564142799</v>
      </c>
      <c r="O1110">
        <v>12.8229097544826</v>
      </c>
      <c r="P1110">
        <v>0.228909174311521</v>
      </c>
      <c r="Q1110">
        <v>-0.69542579389417802</v>
      </c>
      <c r="R1110">
        <v>1.15324414251722</v>
      </c>
      <c r="S1110">
        <v>12.6499378252566</v>
      </c>
      <c r="T1110">
        <v>0.52273770761470695</v>
      </c>
      <c r="U1110">
        <v>-6.7404249409447496</v>
      </c>
      <c r="V1110">
        <v>0.60794440102508296</v>
      </c>
      <c r="W1110">
        <v>0.97103528123305605</v>
      </c>
      <c r="X1110">
        <v>0</v>
      </c>
      <c r="Y1110">
        <v>0</v>
      </c>
    </row>
    <row r="1111" spans="1:25" x14ac:dyDescent="0.2">
      <c r="A1111" t="s">
        <v>4105</v>
      </c>
      <c r="B1111" t="s">
        <v>4106</v>
      </c>
      <c r="C1111" t="s">
        <v>4107</v>
      </c>
      <c r="D1111" t="s">
        <v>2432</v>
      </c>
      <c r="E1111" t="s">
        <v>4106</v>
      </c>
      <c r="F1111" t="s">
        <v>28</v>
      </c>
      <c r="G1111" t="s">
        <v>4106</v>
      </c>
      <c r="H1111" t="str">
        <f>"btb-20"</f>
        <v>btb-20</v>
      </c>
      <c r="I1111" t="s">
        <v>2432</v>
      </c>
      <c r="J1111" t="s">
        <v>29</v>
      </c>
      <c r="K1111">
        <v>9.9753709885587192</v>
      </c>
      <c r="L1111" t="s">
        <v>29</v>
      </c>
      <c r="M1111" t="s">
        <v>29</v>
      </c>
      <c r="N1111">
        <v>10.6072839317873</v>
      </c>
      <c r="O1111" t="s">
        <v>29</v>
      </c>
      <c r="P1111">
        <v>0.63191294322856195</v>
      </c>
      <c r="Q1111">
        <v>-0.413184411324795</v>
      </c>
      <c r="R1111">
        <v>1.6770102977819199</v>
      </c>
      <c r="S1111">
        <v>11.5113996240514</v>
      </c>
      <c r="T1111">
        <v>1.34917222821898</v>
      </c>
      <c r="U1111">
        <v>-5.4537873559935397</v>
      </c>
      <c r="V1111">
        <v>0.20734263729161301</v>
      </c>
      <c r="W1111">
        <v>0.79075284576134597</v>
      </c>
      <c r="X1111">
        <v>0</v>
      </c>
      <c r="Y1111">
        <v>0</v>
      </c>
    </row>
    <row r="1112" spans="1:25" x14ac:dyDescent="0.2">
      <c r="A1112" t="s">
        <v>4108</v>
      </c>
      <c r="B1112" t="s">
        <v>4109</v>
      </c>
      <c r="C1112" t="s">
        <v>4110</v>
      </c>
      <c r="D1112" t="s">
        <v>4111</v>
      </c>
      <c r="E1112" t="s">
        <v>4109</v>
      </c>
      <c r="F1112" t="s">
        <v>28</v>
      </c>
      <c r="G1112" t="s">
        <v>4109</v>
      </c>
      <c r="H1112" t="str">
        <f>"cbd-1"</f>
        <v>cbd-1</v>
      </c>
      <c r="I1112" t="s">
        <v>4111</v>
      </c>
      <c r="J1112">
        <v>14.609844624770099</v>
      </c>
      <c r="K1112">
        <v>14.8300850567372</v>
      </c>
      <c r="L1112">
        <v>16.245253847933402</v>
      </c>
      <c r="M1112">
        <v>14.436309087225</v>
      </c>
      <c r="N1112">
        <v>14.476372676322599</v>
      </c>
      <c r="O1112">
        <v>16.1322703926975</v>
      </c>
      <c r="P1112">
        <v>-0.21341045773186801</v>
      </c>
      <c r="Q1112">
        <v>-1.30997112946837</v>
      </c>
      <c r="R1112">
        <v>0.883150214004635</v>
      </c>
      <c r="S1112">
        <v>15.5495741182561</v>
      </c>
      <c r="T1112">
        <v>-0.409049197189846</v>
      </c>
      <c r="U1112">
        <v>-6.7954749112940602</v>
      </c>
      <c r="V1112">
        <v>0.68735757834779498</v>
      </c>
      <c r="W1112">
        <v>0.98642420921484297</v>
      </c>
      <c r="X1112">
        <v>0</v>
      </c>
      <c r="Y1112">
        <v>0</v>
      </c>
    </row>
    <row r="1113" spans="1:25" x14ac:dyDescent="0.2">
      <c r="A1113" t="s">
        <v>4112</v>
      </c>
      <c r="B1113" t="s">
        <v>4113</v>
      </c>
      <c r="C1113" t="s">
        <v>4114</v>
      </c>
      <c r="D1113" t="s">
        <v>4115</v>
      </c>
      <c r="E1113" t="s">
        <v>4113</v>
      </c>
      <c r="F1113" t="s">
        <v>28</v>
      </c>
      <c r="G1113" t="s">
        <v>4113</v>
      </c>
      <c r="H1113" t="str">
        <f>"erfa-3"</f>
        <v>erfa-3</v>
      </c>
      <c r="I1113" t="s">
        <v>4115</v>
      </c>
      <c r="J1113">
        <v>14.868496968503599</v>
      </c>
      <c r="K1113">
        <v>14.5904233236647</v>
      </c>
      <c r="L1113">
        <v>14.616835287969201</v>
      </c>
      <c r="M1113">
        <v>17.723887211744401</v>
      </c>
      <c r="N1113">
        <v>17.833156037810301</v>
      </c>
      <c r="O1113">
        <v>17.422110081086799</v>
      </c>
      <c r="P1113">
        <v>2.9677992501680301</v>
      </c>
      <c r="Q1113">
        <v>2.1973591281798099</v>
      </c>
      <c r="R1113">
        <v>3.7382393721562401</v>
      </c>
      <c r="S1113">
        <v>17.053658311015599</v>
      </c>
      <c r="T1113">
        <v>8.0963289043420996</v>
      </c>
      <c r="U1113">
        <v>7.3134034664316996</v>
      </c>
      <c r="V1113" s="2">
        <v>2.1537131166534501E-7</v>
      </c>
      <c r="W1113" s="2">
        <v>2.65465083415655E-5</v>
      </c>
      <c r="X1113">
        <v>1</v>
      </c>
      <c r="Y1113">
        <v>1</v>
      </c>
    </row>
    <row r="1114" spans="1:25" x14ac:dyDescent="0.2">
      <c r="A1114" t="s">
        <v>4116</v>
      </c>
      <c r="B1114" t="s">
        <v>4117</v>
      </c>
      <c r="C1114" t="s">
        <v>4118</v>
      </c>
      <c r="D1114" t="s">
        <v>4119</v>
      </c>
      <c r="E1114" t="s">
        <v>4117</v>
      </c>
      <c r="F1114" t="s">
        <v>28</v>
      </c>
      <c r="G1114" t="s">
        <v>4117</v>
      </c>
      <c r="H1114" t="str">
        <f>"scb-1"</f>
        <v>scb-1</v>
      </c>
      <c r="I1114" t="s">
        <v>4119</v>
      </c>
      <c r="J1114" t="s">
        <v>29</v>
      </c>
      <c r="K1114" t="s">
        <v>29</v>
      </c>
      <c r="L1114" t="s">
        <v>29</v>
      </c>
      <c r="M1114">
        <v>14.016274601825099</v>
      </c>
      <c r="N1114">
        <v>13.8505213471012</v>
      </c>
      <c r="O1114">
        <v>14.4568211198289</v>
      </c>
      <c r="P1114" t="s">
        <v>29</v>
      </c>
      <c r="Q1114" t="s">
        <v>29</v>
      </c>
      <c r="R1114" t="s">
        <v>29</v>
      </c>
      <c r="S1114">
        <v>13.4432145295285</v>
      </c>
      <c r="T1114" t="s">
        <v>29</v>
      </c>
      <c r="U1114" t="s">
        <v>29</v>
      </c>
      <c r="V1114" t="s">
        <v>29</v>
      </c>
      <c r="W1114" t="s">
        <v>29</v>
      </c>
      <c r="X1114" t="s">
        <v>29</v>
      </c>
      <c r="Y1114" t="s">
        <v>29</v>
      </c>
    </row>
    <row r="1115" spans="1:25" x14ac:dyDescent="0.2">
      <c r="A1115" t="s">
        <v>4120</v>
      </c>
      <c r="B1115" t="s">
        <v>4121</v>
      </c>
      <c r="C1115" t="s">
        <v>14371</v>
      </c>
      <c r="D1115" t="s">
        <v>4122</v>
      </c>
      <c r="E1115" t="s">
        <v>4121</v>
      </c>
      <c r="F1115" t="s">
        <v>28</v>
      </c>
      <c r="G1115" t="s">
        <v>4121</v>
      </c>
      <c r="H1115" t="str">
        <f>"H40L08.1"</f>
        <v>H40L08.1</v>
      </c>
      <c r="I1115" t="s">
        <v>4122</v>
      </c>
      <c r="J1115">
        <v>11.609634885754501</v>
      </c>
      <c r="K1115">
        <v>11.6300914110906</v>
      </c>
      <c r="L1115">
        <v>11.3289978984697</v>
      </c>
      <c r="M1115">
        <v>11.875886196511001</v>
      </c>
      <c r="N1115" t="s">
        <v>29</v>
      </c>
      <c r="O1115">
        <v>12.095449952792</v>
      </c>
      <c r="P1115">
        <v>0.46276000954658197</v>
      </c>
      <c r="Q1115">
        <v>-0.45361099216008299</v>
      </c>
      <c r="R1115">
        <v>1.37913101125325</v>
      </c>
      <c r="S1115">
        <v>11.7095942684845</v>
      </c>
      <c r="T1115">
        <v>1.0838679554094199</v>
      </c>
      <c r="U1115">
        <v>-6.1758419674263303</v>
      </c>
      <c r="V1115">
        <v>0.29687266209582502</v>
      </c>
      <c r="W1115">
        <v>0.85855590823088301</v>
      </c>
      <c r="X1115">
        <v>0</v>
      </c>
      <c r="Y1115">
        <v>0</v>
      </c>
    </row>
    <row r="1116" spans="1:25" x14ac:dyDescent="0.2">
      <c r="A1116" t="s">
        <v>4123</v>
      </c>
      <c r="B1116" t="s">
        <v>4124</v>
      </c>
      <c r="C1116" t="s">
        <v>4125</v>
      </c>
      <c r="D1116" t="s">
        <v>4126</v>
      </c>
      <c r="E1116" t="s">
        <v>4124</v>
      </c>
      <c r="F1116" t="s">
        <v>28</v>
      </c>
      <c r="G1116" t="s">
        <v>4124</v>
      </c>
      <c r="H1116" t="str">
        <f>"nhr-49"</f>
        <v>nhr-49</v>
      </c>
      <c r="I1116" t="s">
        <v>4126</v>
      </c>
      <c r="J1116" t="s">
        <v>29</v>
      </c>
      <c r="K1116" t="s">
        <v>29</v>
      </c>
      <c r="L1116" t="s">
        <v>29</v>
      </c>
      <c r="M1116" t="s">
        <v>29</v>
      </c>
      <c r="N1116">
        <v>12.1783977280313</v>
      </c>
      <c r="O1116" t="s">
        <v>29</v>
      </c>
      <c r="P1116" t="s">
        <v>29</v>
      </c>
      <c r="Q1116" t="s">
        <v>29</v>
      </c>
      <c r="R1116" t="s">
        <v>29</v>
      </c>
      <c r="S1116">
        <v>13.018538476167601</v>
      </c>
      <c r="T1116" t="s">
        <v>29</v>
      </c>
      <c r="U1116" t="s">
        <v>29</v>
      </c>
      <c r="V1116" t="s">
        <v>29</v>
      </c>
      <c r="W1116" t="s">
        <v>29</v>
      </c>
      <c r="X1116" t="s">
        <v>29</v>
      </c>
      <c r="Y1116" t="s">
        <v>29</v>
      </c>
    </row>
    <row r="1117" spans="1:25" x14ac:dyDescent="0.2">
      <c r="A1117" t="s">
        <v>4127</v>
      </c>
      <c r="B1117" t="s">
        <v>4128</v>
      </c>
      <c r="C1117" t="s">
        <v>14372</v>
      </c>
      <c r="D1117" t="s">
        <v>73</v>
      </c>
      <c r="E1117" t="s">
        <v>4128</v>
      </c>
      <c r="F1117" t="s">
        <v>28</v>
      </c>
      <c r="G1117" t="s">
        <v>4128</v>
      </c>
      <c r="H1117" t="str">
        <f>"K10G4.5"</f>
        <v>K10G4.5</v>
      </c>
      <c r="I1117" t="s">
        <v>73</v>
      </c>
      <c r="J1117" t="s">
        <v>29</v>
      </c>
      <c r="K1117" t="s">
        <v>29</v>
      </c>
      <c r="L1117" t="s">
        <v>29</v>
      </c>
      <c r="M1117" t="s">
        <v>29</v>
      </c>
      <c r="N1117" t="s">
        <v>29</v>
      </c>
      <c r="O1117" t="s">
        <v>29</v>
      </c>
      <c r="P1117" t="s">
        <v>29</v>
      </c>
      <c r="Q1117" t="s">
        <v>29</v>
      </c>
      <c r="R1117" t="s">
        <v>29</v>
      </c>
      <c r="S1117">
        <v>10.938664202203899</v>
      </c>
      <c r="T1117" t="s">
        <v>29</v>
      </c>
      <c r="U1117" t="s">
        <v>29</v>
      </c>
      <c r="V1117" t="s">
        <v>29</v>
      </c>
      <c r="W1117" t="s">
        <v>29</v>
      </c>
      <c r="X1117" t="s">
        <v>29</v>
      </c>
      <c r="Y1117" t="s">
        <v>29</v>
      </c>
    </row>
    <row r="1118" spans="1:25" x14ac:dyDescent="0.2">
      <c r="A1118" t="s">
        <v>4129</v>
      </c>
      <c r="B1118" t="s">
        <v>4130</v>
      </c>
      <c r="C1118" t="s">
        <v>4131</v>
      </c>
      <c r="D1118" t="s">
        <v>107</v>
      </c>
      <c r="E1118" t="s">
        <v>4130</v>
      </c>
      <c r="F1118" t="s">
        <v>28</v>
      </c>
      <c r="G1118" t="s">
        <v>4130</v>
      </c>
      <c r="H1118" t="str">
        <f>"vnut-1"</f>
        <v>vnut-1</v>
      </c>
      <c r="I1118" t="s">
        <v>107</v>
      </c>
      <c r="J1118">
        <v>11.146722143823901</v>
      </c>
      <c r="K1118">
        <v>12.369980817152999</v>
      </c>
      <c r="L1118">
        <v>12.74133387617</v>
      </c>
      <c r="M1118">
        <v>11.834046889736999</v>
      </c>
      <c r="N1118">
        <v>12.739180708170601</v>
      </c>
      <c r="O1118">
        <v>11.353933126243501</v>
      </c>
      <c r="P1118">
        <v>-0.110292037665294</v>
      </c>
      <c r="Q1118">
        <v>-0.93772804857588798</v>
      </c>
      <c r="R1118">
        <v>0.71714397324529899</v>
      </c>
      <c r="S1118">
        <v>12.7662945756694</v>
      </c>
      <c r="T1118">
        <v>-0.28272178382580498</v>
      </c>
      <c r="U1118">
        <v>-6.8405537873535804</v>
      </c>
      <c r="V1118">
        <v>0.78103869106774404</v>
      </c>
      <c r="W1118">
        <v>0.99278624068726296</v>
      </c>
      <c r="X1118">
        <v>0</v>
      </c>
      <c r="Y1118">
        <v>0</v>
      </c>
    </row>
    <row r="1119" spans="1:25" x14ac:dyDescent="0.2">
      <c r="A1119" t="s">
        <v>4132</v>
      </c>
      <c r="B1119" t="s">
        <v>4133</v>
      </c>
      <c r="C1119" t="s">
        <v>4134</v>
      </c>
      <c r="D1119" t="s">
        <v>4135</v>
      </c>
      <c r="E1119" t="s">
        <v>4133</v>
      </c>
      <c r="F1119" t="s">
        <v>28</v>
      </c>
      <c r="G1119" t="s">
        <v>4133</v>
      </c>
      <c r="H1119" t="str">
        <f>"asah-1"</f>
        <v>asah-1</v>
      </c>
      <c r="I1119" t="s">
        <v>4135</v>
      </c>
      <c r="J1119">
        <v>13.3661786225863</v>
      </c>
      <c r="K1119">
        <v>13.624150255473699</v>
      </c>
      <c r="L1119">
        <v>13.111853659123801</v>
      </c>
      <c r="M1119">
        <v>11.7849420515536</v>
      </c>
      <c r="N1119">
        <v>12.9115225546873</v>
      </c>
      <c r="O1119">
        <v>13.442416696884001</v>
      </c>
      <c r="P1119">
        <v>-0.65443374468630799</v>
      </c>
      <c r="Q1119">
        <v>-1.4528265113491901</v>
      </c>
      <c r="R1119">
        <v>0.14395902197656901</v>
      </c>
      <c r="S1119">
        <v>12.9299941361532</v>
      </c>
      <c r="T1119">
        <v>-1.7385957794539899</v>
      </c>
      <c r="U1119">
        <v>-5.4283732001073197</v>
      </c>
      <c r="V1119">
        <v>0.101433971774067</v>
      </c>
      <c r="W1119">
        <v>0.65568760065670495</v>
      </c>
      <c r="X1119">
        <v>0</v>
      </c>
      <c r="Y1119">
        <v>0</v>
      </c>
    </row>
    <row r="1120" spans="1:25" x14ac:dyDescent="0.2">
      <c r="A1120" t="s">
        <v>4136</v>
      </c>
      <c r="B1120" t="s">
        <v>4137</v>
      </c>
      <c r="C1120" t="s">
        <v>14373</v>
      </c>
      <c r="D1120" t="s">
        <v>4138</v>
      </c>
      <c r="E1120" t="s">
        <v>4137</v>
      </c>
      <c r="F1120" t="s">
        <v>28</v>
      </c>
      <c r="G1120" t="s">
        <v>4137</v>
      </c>
      <c r="H1120" t="str">
        <f>"M01E5.2"</f>
        <v>M01E5.2</v>
      </c>
      <c r="I1120" t="s">
        <v>4138</v>
      </c>
      <c r="J1120">
        <v>12.273326293393501</v>
      </c>
      <c r="K1120">
        <v>12.3364901853577</v>
      </c>
      <c r="L1120">
        <v>12.554785943822001</v>
      </c>
      <c r="M1120">
        <v>11.874106705037001</v>
      </c>
      <c r="N1120">
        <v>12.144804421947899</v>
      </c>
      <c r="O1120">
        <v>11.6498286485224</v>
      </c>
      <c r="P1120">
        <v>-0.49862088235526197</v>
      </c>
      <c r="Q1120">
        <v>-1.04879188143178</v>
      </c>
      <c r="R1120">
        <v>5.1550116721259101E-2</v>
      </c>
      <c r="S1120">
        <v>12.4885220009484</v>
      </c>
      <c r="T1120">
        <v>-1.9223050144604401</v>
      </c>
      <c r="U1120">
        <v>-5.1369487654972099</v>
      </c>
      <c r="V1120">
        <v>7.2677358721278895E-2</v>
      </c>
      <c r="W1120">
        <v>0.57588154720099105</v>
      </c>
      <c r="X1120">
        <v>0</v>
      </c>
      <c r="Y1120">
        <v>0</v>
      </c>
    </row>
    <row r="1121" spans="1:25" x14ac:dyDescent="0.2">
      <c r="A1121" t="s">
        <v>4139</v>
      </c>
      <c r="B1121" t="s">
        <v>4140</v>
      </c>
      <c r="C1121" t="s">
        <v>4141</v>
      </c>
      <c r="D1121" t="s">
        <v>93</v>
      </c>
      <c r="E1121" t="s">
        <v>4140</v>
      </c>
      <c r="F1121" t="s">
        <v>28</v>
      </c>
      <c r="G1121" t="s">
        <v>4140</v>
      </c>
      <c r="H1121" t="str">
        <f>"rbm-3.2"</f>
        <v>rbm-3.2</v>
      </c>
      <c r="I1121" t="s">
        <v>93</v>
      </c>
      <c r="J1121">
        <v>14.951538448601699</v>
      </c>
      <c r="K1121">
        <v>15.3360107469169</v>
      </c>
      <c r="L1121">
        <v>15.154250335821001</v>
      </c>
      <c r="M1121">
        <v>15.409640612229101</v>
      </c>
      <c r="N1121">
        <v>14.702618521588199</v>
      </c>
      <c r="O1121">
        <v>14.6990270060573</v>
      </c>
      <c r="P1121">
        <v>-0.210171130488401</v>
      </c>
      <c r="Q1121">
        <v>-0.79174295019211105</v>
      </c>
      <c r="R1121">
        <v>0.371400689215308</v>
      </c>
      <c r="S1121">
        <v>14.8325843533084</v>
      </c>
      <c r="T1121">
        <v>-0.76651248952811901</v>
      </c>
      <c r="U1121">
        <v>-6.5790880217675403</v>
      </c>
      <c r="V1121">
        <v>0.45460565596965202</v>
      </c>
      <c r="W1121">
        <v>0.92582104169957002</v>
      </c>
      <c r="X1121">
        <v>0</v>
      </c>
      <c r="Y1121">
        <v>0</v>
      </c>
    </row>
    <row r="1122" spans="1:25" x14ac:dyDescent="0.2">
      <c r="A1122" t="s">
        <v>4142</v>
      </c>
      <c r="B1122" t="s">
        <v>4143</v>
      </c>
      <c r="C1122" t="s">
        <v>4144</v>
      </c>
      <c r="D1122" t="s">
        <v>4145</v>
      </c>
      <c r="E1122" t="s">
        <v>4143</v>
      </c>
      <c r="F1122" t="s">
        <v>28</v>
      </c>
      <c r="G1122" t="s">
        <v>4143</v>
      </c>
      <c r="H1122" t="str">
        <f>"apb-3"</f>
        <v>apb-3</v>
      </c>
      <c r="I1122" t="s">
        <v>4145</v>
      </c>
      <c r="J1122">
        <v>13.5039439050909</v>
      </c>
      <c r="K1122">
        <v>13.8044846748378</v>
      </c>
      <c r="L1122">
        <v>13.677154084701</v>
      </c>
      <c r="M1122">
        <v>13.839484801175701</v>
      </c>
      <c r="N1122">
        <v>13.483107766046</v>
      </c>
      <c r="O1122">
        <v>13.675217161211799</v>
      </c>
      <c r="P1122">
        <v>4.0756879345842396E-3</v>
      </c>
      <c r="Q1122">
        <v>-0.370483039486945</v>
      </c>
      <c r="R1122">
        <v>0.37863441535611397</v>
      </c>
      <c r="S1122">
        <v>13.302678571486901</v>
      </c>
      <c r="T1122">
        <v>2.2968414447638901E-2</v>
      </c>
      <c r="U1122">
        <v>-6.8822130724529798</v>
      </c>
      <c r="V1122">
        <v>0.98194456235080896</v>
      </c>
      <c r="W1122">
        <v>0.99968702248720698</v>
      </c>
      <c r="X1122">
        <v>0</v>
      </c>
      <c r="Y1122">
        <v>0</v>
      </c>
    </row>
    <row r="1123" spans="1:25" x14ac:dyDescent="0.2">
      <c r="A1123" t="s">
        <v>4146</v>
      </c>
      <c r="B1123" t="s">
        <v>4147</v>
      </c>
      <c r="C1123" t="s">
        <v>14374</v>
      </c>
      <c r="D1123" t="s">
        <v>214</v>
      </c>
      <c r="E1123" t="s">
        <v>4147</v>
      </c>
      <c r="F1123" t="s">
        <v>28</v>
      </c>
      <c r="G1123" t="s">
        <v>4147</v>
      </c>
      <c r="H1123" t="str">
        <f>"R74.8"</f>
        <v>R74.8</v>
      </c>
      <c r="I1123" t="s">
        <v>214</v>
      </c>
      <c r="J1123">
        <v>13.177367717669799</v>
      </c>
      <c r="K1123">
        <v>13.047327697881499</v>
      </c>
      <c r="L1123">
        <v>13.065496669168899</v>
      </c>
      <c r="M1123">
        <v>13.0712757281224</v>
      </c>
      <c r="N1123">
        <v>13.117231916236101</v>
      </c>
      <c r="O1123">
        <v>12.788547350242601</v>
      </c>
      <c r="P1123">
        <v>-0.10437903003969699</v>
      </c>
      <c r="Q1123">
        <v>-0.60948644086470805</v>
      </c>
      <c r="R1123">
        <v>0.40072838078531398</v>
      </c>
      <c r="S1123">
        <v>13.1862207786581</v>
      </c>
      <c r="T1123">
        <v>-0.43619384139637102</v>
      </c>
      <c r="U1123">
        <v>-6.7833281128540097</v>
      </c>
      <c r="V1123">
        <v>0.66821872421886896</v>
      </c>
      <c r="W1123">
        <v>0.98642420921484297</v>
      </c>
      <c r="X1123">
        <v>0</v>
      </c>
      <c r="Y1123">
        <v>0</v>
      </c>
    </row>
    <row r="1124" spans="1:25" x14ac:dyDescent="0.2">
      <c r="A1124" t="s">
        <v>4148</v>
      </c>
      <c r="B1124" t="s">
        <v>4149</v>
      </c>
      <c r="C1124" t="s">
        <v>4150</v>
      </c>
      <c r="D1124" t="s">
        <v>1866</v>
      </c>
      <c r="E1124" t="s">
        <v>4149</v>
      </c>
      <c r="F1124" t="s">
        <v>28</v>
      </c>
      <c r="G1124" t="s">
        <v>4149</v>
      </c>
      <c r="H1124" t="str">
        <f>"pmp-4"</f>
        <v>pmp-4</v>
      </c>
      <c r="I1124" t="s">
        <v>1866</v>
      </c>
      <c r="J1124">
        <v>13.5066065890912</v>
      </c>
      <c r="K1124">
        <v>13.1262833670731</v>
      </c>
      <c r="L1124">
        <v>13.8982345088163</v>
      </c>
      <c r="M1124">
        <v>13.8925035712639</v>
      </c>
      <c r="N1124">
        <v>13.644925819581299</v>
      </c>
      <c r="O1124">
        <v>13.4645486465106</v>
      </c>
      <c r="P1124">
        <v>0.156951190791698</v>
      </c>
      <c r="Q1124">
        <v>-0.34311599946374899</v>
      </c>
      <c r="R1124">
        <v>0.65701838104714605</v>
      </c>
      <c r="S1124">
        <v>14.0251184258255</v>
      </c>
      <c r="T1124">
        <v>0.66250058648172905</v>
      </c>
      <c r="U1124">
        <v>-6.65541073568762</v>
      </c>
      <c r="V1124">
        <v>0.51658698741098796</v>
      </c>
      <c r="W1124">
        <v>0.94227592550871997</v>
      </c>
      <c r="X1124">
        <v>0</v>
      </c>
      <c r="Y1124">
        <v>0</v>
      </c>
    </row>
    <row r="1125" spans="1:25" x14ac:dyDescent="0.2">
      <c r="A1125" t="s">
        <v>4151</v>
      </c>
      <c r="B1125" t="s">
        <v>4152</v>
      </c>
      <c r="C1125" t="s">
        <v>4153</v>
      </c>
      <c r="D1125" t="s">
        <v>4154</v>
      </c>
      <c r="E1125" t="s">
        <v>4152</v>
      </c>
      <c r="F1125" t="s">
        <v>28</v>
      </c>
      <c r="G1125" t="s">
        <v>4152</v>
      </c>
      <c r="H1125" t="str">
        <f>"T02E1.7"</f>
        <v>T02E1.7</v>
      </c>
      <c r="I1125" t="s">
        <v>4154</v>
      </c>
      <c r="J1125" t="s">
        <v>29</v>
      </c>
      <c r="K1125" t="s">
        <v>29</v>
      </c>
      <c r="L1125">
        <v>11.0517646313233</v>
      </c>
      <c r="M1125">
        <v>10.0316705414807</v>
      </c>
      <c r="N1125">
        <v>13.554238113092101</v>
      </c>
      <c r="O1125" t="s">
        <v>29</v>
      </c>
      <c r="P1125">
        <v>0.74118969596304796</v>
      </c>
      <c r="Q1125">
        <v>-1.5698413283258199</v>
      </c>
      <c r="R1125">
        <v>3.05222072025192</v>
      </c>
      <c r="S1125">
        <v>12.217448240991301</v>
      </c>
      <c r="T1125">
        <v>0.70672636081991203</v>
      </c>
      <c r="U1125">
        <v>-6.2230792998689797</v>
      </c>
      <c r="V1125">
        <v>0.49457399802499702</v>
      </c>
      <c r="W1125">
        <v>0.94062983959761604</v>
      </c>
      <c r="X1125">
        <v>0</v>
      </c>
      <c r="Y1125">
        <v>0</v>
      </c>
    </row>
    <row r="1126" spans="1:25" x14ac:dyDescent="0.2">
      <c r="A1126" t="s">
        <v>4155</v>
      </c>
      <c r="B1126" t="s">
        <v>4156</v>
      </c>
      <c r="C1126" t="s">
        <v>4157</v>
      </c>
      <c r="D1126" t="s">
        <v>4158</v>
      </c>
      <c r="E1126" t="s">
        <v>4156</v>
      </c>
      <c r="F1126" t="s">
        <v>28</v>
      </c>
      <c r="G1126" t="s">
        <v>4156</v>
      </c>
      <c r="H1126" t="str">
        <f>"cpl-1"</f>
        <v>cpl-1</v>
      </c>
      <c r="I1126" t="s">
        <v>4158</v>
      </c>
      <c r="J1126">
        <v>16.90336280164</v>
      </c>
      <c r="K1126">
        <v>16.304312108451501</v>
      </c>
      <c r="L1126">
        <v>16.589677499457601</v>
      </c>
      <c r="M1126">
        <v>16.304232135414299</v>
      </c>
      <c r="N1126">
        <v>16.2208275229974</v>
      </c>
      <c r="O1126">
        <v>16.428474747000401</v>
      </c>
      <c r="P1126">
        <v>-0.28127266804564899</v>
      </c>
      <c r="Q1126">
        <v>-0.682345235547692</v>
      </c>
      <c r="R1126">
        <v>0.11979989945639501</v>
      </c>
      <c r="S1126">
        <v>16.357189821424601</v>
      </c>
      <c r="T1126">
        <v>-1.4739986566232299</v>
      </c>
      <c r="U1126">
        <v>-5.8117291339975203</v>
      </c>
      <c r="V1126">
        <v>0.15785645718046101</v>
      </c>
      <c r="W1126">
        <v>0.75480788720771896</v>
      </c>
      <c r="X1126">
        <v>0</v>
      </c>
      <c r="Y1126">
        <v>0</v>
      </c>
    </row>
    <row r="1127" spans="1:25" x14ac:dyDescent="0.2">
      <c r="A1127" t="s">
        <v>4159</v>
      </c>
      <c r="B1127" t="s">
        <v>4160</v>
      </c>
      <c r="C1127" t="s">
        <v>14375</v>
      </c>
      <c r="D1127" t="s">
        <v>4161</v>
      </c>
      <c r="E1127" t="s">
        <v>4160</v>
      </c>
      <c r="F1127" t="s">
        <v>28</v>
      </c>
      <c r="G1127" t="s">
        <v>4160</v>
      </c>
      <c r="H1127" t="str">
        <f>"T06E6.1"</f>
        <v>T06E6.1</v>
      </c>
      <c r="I1127" t="s">
        <v>4161</v>
      </c>
      <c r="J1127">
        <v>13.3082802139973</v>
      </c>
      <c r="K1127">
        <v>12.9001293211182</v>
      </c>
      <c r="L1127">
        <v>13.1559118552115</v>
      </c>
      <c r="M1127">
        <v>12.7409668059362</v>
      </c>
      <c r="N1127">
        <v>13.3246416309625</v>
      </c>
      <c r="O1127">
        <v>12.7308923602404</v>
      </c>
      <c r="P1127">
        <v>-0.18927353106268399</v>
      </c>
      <c r="Q1127">
        <v>-0.65229330615528802</v>
      </c>
      <c r="R1127">
        <v>0.27374624402992098</v>
      </c>
      <c r="S1127">
        <v>12.968794900192099</v>
      </c>
      <c r="T1127">
        <v>-0.87183028371186</v>
      </c>
      <c r="U1127">
        <v>-6.4911192463031702</v>
      </c>
      <c r="V1127">
        <v>0.39713664958050499</v>
      </c>
      <c r="W1127">
        <v>0.90975406915825197</v>
      </c>
      <c r="X1127">
        <v>0</v>
      </c>
      <c r="Y1127">
        <v>0</v>
      </c>
    </row>
    <row r="1128" spans="1:25" x14ac:dyDescent="0.2">
      <c r="A1128" t="s">
        <v>4162</v>
      </c>
      <c r="B1128" t="s">
        <v>4163</v>
      </c>
      <c r="C1128" t="s">
        <v>4164</v>
      </c>
      <c r="D1128" t="s">
        <v>4165</v>
      </c>
      <c r="E1128" t="s">
        <v>4163</v>
      </c>
      <c r="F1128" t="s">
        <v>28</v>
      </c>
      <c r="G1128" t="s">
        <v>4163</v>
      </c>
      <c r="H1128" t="str">
        <f>"drr-2"</f>
        <v>drr-2</v>
      </c>
      <c r="I1128" t="s">
        <v>4165</v>
      </c>
      <c r="J1128" t="s">
        <v>29</v>
      </c>
      <c r="K1128" t="s">
        <v>29</v>
      </c>
      <c r="L1128">
        <v>12.2688574429512</v>
      </c>
      <c r="M1128" t="s">
        <v>29</v>
      </c>
      <c r="N1128">
        <v>12.514491789744801</v>
      </c>
      <c r="O1128">
        <v>12.0403052985848</v>
      </c>
      <c r="P1128">
        <v>8.5411012135470105E-3</v>
      </c>
      <c r="Q1128">
        <v>-1.43281750456635</v>
      </c>
      <c r="R1128">
        <v>1.4498997069934401</v>
      </c>
      <c r="S1128">
        <v>12.157511974637</v>
      </c>
      <c r="T1128">
        <v>1.3222351962201799E-2</v>
      </c>
      <c r="U1128">
        <v>-6.4833323767794697</v>
      </c>
      <c r="V1128">
        <v>0.98971318817418696</v>
      </c>
      <c r="W1128">
        <v>0.99968702248720698</v>
      </c>
      <c r="X1128">
        <v>0</v>
      </c>
      <c r="Y1128">
        <v>0</v>
      </c>
    </row>
    <row r="1129" spans="1:25" x14ac:dyDescent="0.2">
      <c r="A1129" t="s">
        <v>4166</v>
      </c>
      <c r="B1129" t="s">
        <v>4167</v>
      </c>
      <c r="C1129" t="s">
        <v>4168</v>
      </c>
      <c r="D1129" t="s">
        <v>4169</v>
      </c>
      <c r="E1129" t="s">
        <v>4167</v>
      </c>
      <c r="F1129" t="s">
        <v>28</v>
      </c>
      <c r="G1129" t="s">
        <v>4167</v>
      </c>
      <c r="H1129" t="str">
        <f>"wts-1"</f>
        <v>wts-1</v>
      </c>
      <c r="I1129" t="s">
        <v>4169</v>
      </c>
      <c r="J1129">
        <v>12.1521653701868</v>
      </c>
      <c r="K1129">
        <v>11.660365775107</v>
      </c>
      <c r="L1129">
        <v>11.9555807796651</v>
      </c>
      <c r="M1129">
        <v>11.770876705593899</v>
      </c>
      <c r="N1129">
        <v>11.9790128195532</v>
      </c>
      <c r="O1129">
        <v>11.850648036920999</v>
      </c>
      <c r="P1129">
        <v>-5.5858120963598899E-2</v>
      </c>
      <c r="Q1129">
        <v>-0.52363588654450499</v>
      </c>
      <c r="R1129">
        <v>0.41191964461730701</v>
      </c>
      <c r="S1129">
        <v>12.0513969481134</v>
      </c>
      <c r="T1129">
        <v>-0.25327730528940601</v>
      </c>
      <c r="U1129">
        <v>-6.8488170387708696</v>
      </c>
      <c r="V1129">
        <v>0.80330059888607996</v>
      </c>
      <c r="W1129">
        <v>0.99278624068726296</v>
      </c>
      <c r="X1129">
        <v>0</v>
      </c>
      <c r="Y1129">
        <v>0</v>
      </c>
    </row>
    <row r="1130" spans="1:25" x14ac:dyDescent="0.2">
      <c r="A1130" t="s">
        <v>4170</v>
      </c>
      <c r="B1130" t="s">
        <v>4171</v>
      </c>
      <c r="C1130" t="s">
        <v>4172</v>
      </c>
      <c r="D1130" t="s">
        <v>4173</v>
      </c>
      <c r="E1130" t="s">
        <v>4171</v>
      </c>
      <c r="F1130" t="s">
        <v>28</v>
      </c>
      <c r="G1130" t="s">
        <v>4171</v>
      </c>
      <c r="H1130" t="str">
        <f>"act-5"</f>
        <v>act-5</v>
      </c>
      <c r="I1130" t="s">
        <v>4173</v>
      </c>
      <c r="J1130">
        <v>16.3720152545236</v>
      </c>
      <c r="K1130">
        <v>16.0732471508788</v>
      </c>
      <c r="L1130">
        <v>16.373080073117201</v>
      </c>
      <c r="M1130">
        <v>16.010614583528699</v>
      </c>
      <c r="N1130">
        <v>16.023419789134898</v>
      </c>
      <c r="O1130">
        <v>16.264124098282501</v>
      </c>
      <c r="P1130">
        <v>-0.17339466919119301</v>
      </c>
      <c r="Q1130">
        <v>-0.55128195885143005</v>
      </c>
      <c r="R1130">
        <v>0.20449262046904401</v>
      </c>
      <c r="S1130">
        <v>15.9614468628982</v>
      </c>
      <c r="T1130">
        <v>-0.96441947137895701</v>
      </c>
      <c r="U1130">
        <v>-6.4088455432385203</v>
      </c>
      <c r="V1130">
        <v>0.347688615344101</v>
      </c>
      <c r="W1130">
        <v>0.87926117922885105</v>
      </c>
      <c r="X1130">
        <v>0</v>
      </c>
      <c r="Y1130">
        <v>0</v>
      </c>
    </row>
    <row r="1131" spans="1:25" x14ac:dyDescent="0.2">
      <c r="A1131" t="s">
        <v>4174</v>
      </c>
      <c r="B1131" t="s">
        <v>4175</v>
      </c>
      <c r="C1131" t="s">
        <v>4176</v>
      </c>
      <c r="D1131" t="s">
        <v>4177</v>
      </c>
      <c r="E1131" t="s">
        <v>4175</v>
      </c>
      <c r="F1131" t="s">
        <v>28</v>
      </c>
      <c r="G1131" t="s">
        <v>4175</v>
      </c>
      <c r="H1131" t="str">
        <f>"dkf-2"</f>
        <v>dkf-2</v>
      </c>
      <c r="I1131" t="s">
        <v>4177</v>
      </c>
      <c r="J1131">
        <v>12.954445315510799</v>
      </c>
      <c r="K1131">
        <v>13.219407047821599</v>
      </c>
      <c r="L1131">
        <v>12.4475587448793</v>
      </c>
      <c r="M1131">
        <v>12.6563795703349</v>
      </c>
      <c r="N1131">
        <v>12.908281416756701</v>
      </c>
      <c r="O1131">
        <v>13.0138656600893</v>
      </c>
      <c r="P1131">
        <v>-1.42948203435775E-2</v>
      </c>
      <c r="Q1131">
        <v>-0.61799326726514703</v>
      </c>
      <c r="R1131">
        <v>0.58940362657799195</v>
      </c>
      <c r="S1131">
        <v>12.903831939214999</v>
      </c>
      <c r="T1131">
        <v>-4.9981427548792298E-2</v>
      </c>
      <c r="U1131">
        <v>-6.8811803083312899</v>
      </c>
      <c r="V1131">
        <v>0.96072333347984695</v>
      </c>
      <c r="W1131">
        <v>0.99968702248720698</v>
      </c>
      <c r="X1131">
        <v>0</v>
      </c>
      <c r="Y1131">
        <v>0</v>
      </c>
    </row>
    <row r="1132" spans="1:25" x14ac:dyDescent="0.2">
      <c r="A1132" t="s">
        <v>4178</v>
      </c>
      <c r="B1132" t="s">
        <v>4179</v>
      </c>
      <c r="C1132" t="s">
        <v>4180</v>
      </c>
      <c r="D1132" t="s">
        <v>4181</v>
      </c>
      <c r="E1132" t="s">
        <v>4179</v>
      </c>
      <c r="F1132" t="s">
        <v>28</v>
      </c>
      <c r="G1132" t="s">
        <v>4179</v>
      </c>
      <c r="H1132" t="str">
        <f>"gyg-2"</f>
        <v>gyg-2</v>
      </c>
      <c r="I1132" t="s">
        <v>4181</v>
      </c>
      <c r="J1132" t="s">
        <v>29</v>
      </c>
      <c r="K1132">
        <v>13.6381060041316</v>
      </c>
      <c r="L1132" t="s">
        <v>29</v>
      </c>
      <c r="M1132">
        <v>11.092646900319201</v>
      </c>
      <c r="N1132">
        <v>13.0827049958156</v>
      </c>
      <c r="O1132">
        <v>14.6528141433841</v>
      </c>
      <c r="P1132">
        <v>-0.69538399095858905</v>
      </c>
      <c r="Q1132">
        <v>-3.0669401462983901</v>
      </c>
      <c r="R1132">
        <v>1.67617216438121</v>
      </c>
      <c r="S1132">
        <v>13.0211736640588</v>
      </c>
      <c r="T1132">
        <v>-0.65427174571227598</v>
      </c>
      <c r="U1132">
        <v>-6.3151402204477796</v>
      </c>
      <c r="V1132">
        <v>0.52784974162438003</v>
      </c>
      <c r="W1132">
        <v>0.94259531549477504</v>
      </c>
      <c r="X1132">
        <v>0</v>
      </c>
      <c r="Y1132">
        <v>0</v>
      </c>
    </row>
    <row r="1133" spans="1:25" x14ac:dyDescent="0.2">
      <c r="A1133" t="s">
        <v>4182</v>
      </c>
      <c r="B1133" t="s">
        <v>4183</v>
      </c>
      <c r="C1133" t="s">
        <v>4184</v>
      </c>
      <c r="D1133" t="s">
        <v>1954</v>
      </c>
      <c r="E1133" t="s">
        <v>4183</v>
      </c>
      <c r="F1133" t="s">
        <v>28</v>
      </c>
      <c r="G1133" t="s">
        <v>4183</v>
      </c>
      <c r="H1133" t="str">
        <f>"ant-1.1"</f>
        <v>ant-1.1</v>
      </c>
      <c r="I1133" t="s">
        <v>1954</v>
      </c>
      <c r="J1133">
        <v>23.3386143466963</v>
      </c>
      <c r="K1133">
        <v>23.167505987874801</v>
      </c>
      <c r="L1133">
        <v>22.933831390975101</v>
      </c>
      <c r="M1133">
        <v>23.075742079999099</v>
      </c>
      <c r="N1133">
        <v>22.8538250276162</v>
      </c>
      <c r="O1133">
        <v>23.110928122607199</v>
      </c>
      <c r="P1133">
        <v>-0.133152165107877</v>
      </c>
      <c r="Q1133">
        <v>-0.50259163740986901</v>
      </c>
      <c r="R1133">
        <v>0.236287307194116</v>
      </c>
      <c r="S1133">
        <v>22.583050037329301</v>
      </c>
      <c r="T1133">
        <v>-0.75752583804847795</v>
      </c>
      <c r="U1133">
        <v>-6.5874119895809997</v>
      </c>
      <c r="V1133">
        <v>0.458594614196635</v>
      </c>
      <c r="W1133">
        <v>0.92799154546826901</v>
      </c>
      <c r="X1133">
        <v>0</v>
      </c>
      <c r="Y1133">
        <v>0</v>
      </c>
    </row>
    <row r="1134" spans="1:25" x14ac:dyDescent="0.2">
      <c r="A1134" t="s">
        <v>4185</v>
      </c>
      <c r="B1134" t="s">
        <v>4186</v>
      </c>
      <c r="C1134" t="s">
        <v>4187</v>
      </c>
      <c r="D1134" t="s">
        <v>4188</v>
      </c>
      <c r="E1134" t="s">
        <v>4186</v>
      </c>
      <c r="F1134" t="s">
        <v>28</v>
      </c>
      <c r="G1134" t="s">
        <v>4186</v>
      </c>
      <c r="H1134" t="str">
        <f>"pars-2"</f>
        <v>pars-2</v>
      </c>
      <c r="I1134" t="s">
        <v>4188</v>
      </c>
      <c r="J1134">
        <v>11.915653866068499</v>
      </c>
      <c r="K1134">
        <v>11.8225274758003</v>
      </c>
      <c r="L1134">
        <v>12.1766440558733</v>
      </c>
      <c r="M1134" t="s">
        <v>29</v>
      </c>
      <c r="N1134">
        <v>11.5951245942223</v>
      </c>
      <c r="O1134">
        <v>11.1774834777202</v>
      </c>
      <c r="P1134">
        <v>-0.58530442994277199</v>
      </c>
      <c r="Q1134">
        <v>-1.1969941957558501</v>
      </c>
      <c r="R1134">
        <v>2.6385335870308699E-2</v>
      </c>
      <c r="S1134">
        <v>11.8557974748771</v>
      </c>
      <c r="T1134">
        <v>-2.0407612655513301</v>
      </c>
      <c r="U1134">
        <v>-4.8412513158533796</v>
      </c>
      <c r="V1134">
        <v>5.9410622383741098E-2</v>
      </c>
      <c r="W1134">
        <v>0.52491193602300501</v>
      </c>
      <c r="X1134">
        <v>0</v>
      </c>
      <c r="Y1134">
        <v>0</v>
      </c>
    </row>
    <row r="1135" spans="1:25" x14ac:dyDescent="0.2">
      <c r="A1135" t="s">
        <v>4189</v>
      </c>
      <c r="B1135" t="s">
        <v>4190</v>
      </c>
      <c r="C1135" t="s">
        <v>4191</v>
      </c>
      <c r="D1135" t="s">
        <v>4192</v>
      </c>
      <c r="E1135" t="s">
        <v>4190</v>
      </c>
      <c r="F1135" t="s">
        <v>28</v>
      </c>
      <c r="G1135" t="s">
        <v>4190</v>
      </c>
      <c r="H1135" t="str">
        <f>"W09H1.5"</f>
        <v>W09H1.5</v>
      </c>
      <c r="I1135" t="s">
        <v>4192</v>
      </c>
      <c r="J1135">
        <v>13.716885810015601</v>
      </c>
      <c r="K1135">
        <v>13.530277777597901</v>
      </c>
      <c r="L1135">
        <v>13.377267623989701</v>
      </c>
      <c r="M1135">
        <v>12.9679558358397</v>
      </c>
      <c r="N1135">
        <v>13.988237507833</v>
      </c>
      <c r="O1135">
        <v>13.2693125345531</v>
      </c>
      <c r="P1135">
        <v>-0.132975111125821</v>
      </c>
      <c r="Q1135">
        <v>-0.90759830341402203</v>
      </c>
      <c r="R1135">
        <v>0.64164808116237904</v>
      </c>
      <c r="S1135">
        <v>13.003619519041299</v>
      </c>
      <c r="T1135">
        <v>-0.36410730827765903</v>
      </c>
      <c r="U1135">
        <v>-6.8130507331159604</v>
      </c>
      <c r="V1135">
        <v>0.72057601615959399</v>
      </c>
      <c r="W1135">
        <v>0.98910356032152003</v>
      </c>
      <c r="X1135">
        <v>0</v>
      </c>
      <c r="Y1135">
        <v>0</v>
      </c>
    </row>
    <row r="1136" spans="1:25" x14ac:dyDescent="0.2">
      <c r="A1136" t="s">
        <v>4193</v>
      </c>
      <c r="B1136" t="s">
        <v>4194</v>
      </c>
      <c r="C1136" t="s">
        <v>4195</v>
      </c>
      <c r="D1136" t="s">
        <v>4196</v>
      </c>
      <c r="E1136" t="s">
        <v>4194</v>
      </c>
      <c r="F1136" t="s">
        <v>28</v>
      </c>
      <c r="G1136" t="s">
        <v>4194</v>
      </c>
      <c r="H1136" t="str">
        <f>"bckd-1A"</f>
        <v>bckd-1A</v>
      </c>
      <c r="I1136" t="s">
        <v>4196</v>
      </c>
      <c r="J1136">
        <v>16.097754311237601</v>
      </c>
      <c r="K1136">
        <v>15.8341586925175</v>
      </c>
      <c r="L1136">
        <v>15.9908164593355</v>
      </c>
      <c r="M1136">
        <v>15.8514978521019</v>
      </c>
      <c r="N1136">
        <v>16.177045702639401</v>
      </c>
      <c r="O1136">
        <v>16.056878396124901</v>
      </c>
      <c r="P1136">
        <v>5.4230829258559203E-2</v>
      </c>
      <c r="Q1136">
        <v>-0.29608686399724998</v>
      </c>
      <c r="R1136">
        <v>0.40454852251436901</v>
      </c>
      <c r="S1136">
        <v>15.5899054921772</v>
      </c>
      <c r="T1136">
        <v>0.32536938473020299</v>
      </c>
      <c r="U1136">
        <v>-6.82733984072207</v>
      </c>
      <c r="V1136">
        <v>0.74867495749620105</v>
      </c>
      <c r="W1136">
        <v>0.99184638945407499</v>
      </c>
      <c r="X1136">
        <v>0</v>
      </c>
      <c r="Y1136">
        <v>0</v>
      </c>
    </row>
    <row r="1137" spans="1:25" x14ac:dyDescent="0.2">
      <c r="A1137" t="s">
        <v>4197</v>
      </c>
      <c r="B1137" t="s">
        <v>4198</v>
      </c>
      <c r="C1137" t="s">
        <v>4199</v>
      </c>
      <c r="D1137" t="s">
        <v>4200</v>
      </c>
      <c r="E1137" t="s">
        <v>4198</v>
      </c>
      <c r="F1137" t="s">
        <v>28</v>
      </c>
      <c r="G1137" t="s">
        <v>4198</v>
      </c>
      <c r="H1137" t="str">
        <f>"npp-18"</f>
        <v>npp-18</v>
      </c>
      <c r="I1137" t="s">
        <v>4200</v>
      </c>
      <c r="J1137">
        <v>15.8984867376663</v>
      </c>
      <c r="K1137">
        <v>15.8780076136101</v>
      </c>
      <c r="L1137">
        <v>15.6817813535509</v>
      </c>
      <c r="M1137">
        <v>15.741944009937299</v>
      </c>
      <c r="N1137">
        <v>15.543227224225999</v>
      </c>
      <c r="O1137">
        <v>15.837867466658601</v>
      </c>
      <c r="P1137">
        <v>-0.111745668001847</v>
      </c>
      <c r="Q1137">
        <v>-0.45897454873122001</v>
      </c>
      <c r="R1137">
        <v>0.23548321272752701</v>
      </c>
      <c r="S1137">
        <v>15.4653613309123</v>
      </c>
      <c r="T1137">
        <v>-0.67640587141876096</v>
      </c>
      <c r="U1137">
        <v>-6.6464695129534501</v>
      </c>
      <c r="V1137">
        <v>0.50743216509796096</v>
      </c>
      <c r="W1137">
        <v>0.94062983959761604</v>
      </c>
      <c r="X1137">
        <v>0</v>
      </c>
      <c r="Y1137">
        <v>0</v>
      </c>
    </row>
    <row r="1138" spans="1:25" x14ac:dyDescent="0.2">
      <c r="A1138" t="s">
        <v>4201</v>
      </c>
      <c r="B1138" t="s">
        <v>4202</v>
      </c>
      <c r="C1138" t="s">
        <v>14376</v>
      </c>
      <c r="D1138" t="s">
        <v>4203</v>
      </c>
      <c r="E1138" t="s">
        <v>4202</v>
      </c>
      <c r="F1138" t="s">
        <v>28</v>
      </c>
      <c r="G1138" t="s">
        <v>4202</v>
      </c>
      <c r="H1138" t="str">
        <f>"Y43F4B.5"</f>
        <v>Y43F4B.5</v>
      </c>
      <c r="I1138" t="s">
        <v>4203</v>
      </c>
      <c r="J1138">
        <v>15.4678342114952</v>
      </c>
      <c r="K1138">
        <v>15.495954263581099</v>
      </c>
      <c r="L1138">
        <v>15.0802832307301</v>
      </c>
      <c r="M1138">
        <v>15.012399992494</v>
      </c>
      <c r="N1138">
        <v>14.670906719922201</v>
      </c>
      <c r="O1138">
        <v>15.3425627322955</v>
      </c>
      <c r="P1138">
        <v>-0.33940075369822997</v>
      </c>
      <c r="Q1138">
        <v>-0.89882896338990603</v>
      </c>
      <c r="R1138">
        <v>0.220027455993446</v>
      </c>
      <c r="S1138">
        <v>14.7150539010252</v>
      </c>
      <c r="T1138">
        <v>-1.27514905465796</v>
      </c>
      <c r="U1138">
        <v>-6.0696885556805098</v>
      </c>
      <c r="V1138">
        <v>0.218563624770413</v>
      </c>
      <c r="W1138">
        <v>0.79508962856638699</v>
      </c>
      <c r="X1138">
        <v>0</v>
      </c>
      <c r="Y1138">
        <v>0</v>
      </c>
    </row>
    <row r="1139" spans="1:25" x14ac:dyDescent="0.2">
      <c r="A1139" t="s">
        <v>4204</v>
      </c>
      <c r="B1139" t="s">
        <v>4205</v>
      </c>
      <c r="C1139" t="s">
        <v>4206</v>
      </c>
      <c r="D1139" t="s">
        <v>4207</v>
      </c>
      <c r="E1139" t="s">
        <v>4205</v>
      </c>
      <c r="F1139" t="s">
        <v>28</v>
      </c>
      <c r="G1139" t="s">
        <v>4205</v>
      </c>
      <c r="H1139" t="str">
        <f>"klp-19"</f>
        <v>klp-19</v>
      </c>
      <c r="I1139" t="s">
        <v>4207</v>
      </c>
      <c r="J1139">
        <v>10.674535168274</v>
      </c>
      <c r="K1139">
        <v>10.9350947340565</v>
      </c>
      <c r="L1139">
        <v>10.9639122019771</v>
      </c>
      <c r="M1139">
        <v>10.6541722580612</v>
      </c>
      <c r="N1139">
        <v>11.693074846001</v>
      </c>
      <c r="O1139" t="s">
        <v>29</v>
      </c>
      <c r="P1139">
        <v>0.31577618392856299</v>
      </c>
      <c r="Q1139">
        <v>-0.43828163946889098</v>
      </c>
      <c r="R1139">
        <v>1.06983400732602</v>
      </c>
      <c r="S1139">
        <v>11.500977510033801</v>
      </c>
      <c r="T1139">
        <v>0.90544477391226497</v>
      </c>
      <c r="U1139">
        <v>-6.3496490506537704</v>
      </c>
      <c r="V1139">
        <v>0.38183621008613</v>
      </c>
      <c r="W1139">
        <v>0.89749178137775398</v>
      </c>
      <c r="X1139">
        <v>0</v>
      </c>
      <c r="Y1139">
        <v>0</v>
      </c>
    </row>
    <row r="1140" spans="1:25" x14ac:dyDescent="0.2">
      <c r="A1140" t="s">
        <v>4208</v>
      </c>
      <c r="B1140" t="s">
        <v>4209</v>
      </c>
      <c r="C1140" t="s">
        <v>4210</v>
      </c>
      <c r="D1140" t="s">
        <v>926</v>
      </c>
      <c r="E1140" t="s">
        <v>4209</v>
      </c>
      <c r="F1140" t="s">
        <v>28</v>
      </c>
      <c r="G1140" t="s">
        <v>4209</v>
      </c>
      <c r="H1140" t="str">
        <f>"slc-36.1"</f>
        <v>slc-36.1</v>
      </c>
      <c r="I1140" t="s">
        <v>926</v>
      </c>
      <c r="J1140">
        <v>13.266720952563601</v>
      </c>
      <c r="K1140">
        <v>13.5447418410445</v>
      </c>
      <c r="L1140">
        <v>12.560866996121799</v>
      </c>
      <c r="M1140">
        <v>12.7799874498306</v>
      </c>
      <c r="N1140">
        <v>12.783226474984801</v>
      </c>
      <c r="O1140">
        <v>12.8980943988667</v>
      </c>
      <c r="P1140">
        <v>-0.30367382201598397</v>
      </c>
      <c r="Q1140">
        <v>-1.0684863503950299</v>
      </c>
      <c r="R1140">
        <v>0.46113870636306498</v>
      </c>
      <c r="S1140">
        <v>12.496321812242099</v>
      </c>
      <c r="T1140">
        <v>-0.86595908823743994</v>
      </c>
      <c r="U1140">
        <v>-6.4925128663320599</v>
      </c>
      <c r="V1140">
        <v>0.403640991465546</v>
      </c>
      <c r="W1140">
        <v>0.91027279600179201</v>
      </c>
      <c r="X1140">
        <v>0</v>
      </c>
      <c r="Y1140">
        <v>0</v>
      </c>
    </row>
    <row r="1141" spans="1:25" x14ac:dyDescent="0.2">
      <c r="A1141" t="s">
        <v>4211</v>
      </c>
      <c r="B1141" t="s">
        <v>4212</v>
      </c>
      <c r="C1141" t="s">
        <v>4213</v>
      </c>
      <c r="D1141" t="s">
        <v>4214</v>
      </c>
      <c r="E1141" t="s">
        <v>4212</v>
      </c>
      <c r="F1141" t="s">
        <v>28</v>
      </c>
      <c r="G1141" t="s">
        <v>4215</v>
      </c>
      <c r="H1141" t="str">
        <f>"Y45F10C.2"</f>
        <v>Y45F10C.2</v>
      </c>
      <c r="I1141" t="s">
        <v>4216</v>
      </c>
      <c r="J1141">
        <v>12.865464084893601</v>
      </c>
      <c r="K1141">
        <v>12.0154542496304</v>
      </c>
      <c r="L1141">
        <v>12.834292891697</v>
      </c>
      <c r="M1141">
        <v>12.4776117487188</v>
      </c>
      <c r="N1141">
        <v>12.8864333701289</v>
      </c>
      <c r="O1141">
        <v>12.9627603914915</v>
      </c>
      <c r="P1141">
        <v>0.20386476137274601</v>
      </c>
      <c r="Q1141">
        <v>-0.49943876053867498</v>
      </c>
      <c r="R1141">
        <v>0.90716828328416599</v>
      </c>
      <c r="S1141">
        <v>12.793378484527</v>
      </c>
      <c r="T1141">
        <v>0.60924487435964403</v>
      </c>
      <c r="U1141">
        <v>-6.6905534936986299</v>
      </c>
      <c r="V1141">
        <v>0.55001956510971906</v>
      </c>
      <c r="W1141">
        <v>0.95372533928426795</v>
      </c>
      <c r="X1141">
        <v>0</v>
      </c>
      <c r="Y1141">
        <v>0</v>
      </c>
    </row>
    <row r="1142" spans="1:25" x14ac:dyDescent="0.2">
      <c r="A1142" t="s">
        <v>4217</v>
      </c>
      <c r="B1142" t="s">
        <v>4218</v>
      </c>
      <c r="C1142" t="s">
        <v>4219</v>
      </c>
      <c r="D1142" t="s">
        <v>4220</v>
      </c>
      <c r="E1142" t="s">
        <v>4218</v>
      </c>
      <c r="F1142" t="s">
        <v>28</v>
      </c>
      <c r="G1142" t="s">
        <v>4218</v>
      </c>
      <c r="H1142" t="str">
        <f>"rpl-18"</f>
        <v>rpl-18</v>
      </c>
      <c r="I1142" t="s">
        <v>4220</v>
      </c>
      <c r="J1142">
        <v>17.743375633545899</v>
      </c>
      <c r="K1142">
        <v>18.0363449072285</v>
      </c>
      <c r="L1142">
        <v>18.209126674995002</v>
      </c>
      <c r="M1142">
        <v>17.947995227479101</v>
      </c>
      <c r="N1142">
        <v>17.855599186311299</v>
      </c>
      <c r="O1142">
        <v>17.641448302076899</v>
      </c>
      <c r="P1142">
        <v>-0.18126816663404099</v>
      </c>
      <c r="Q1142">
        <v>-0.57898877540981097</v>
      </c>
      <c r="R1142">
        <v>0.21645244214172901</v>
      </c>
      <c r="S1142">
        <v>18.2113483465805</v>
      </c>
      <c r="T1142">
        <v>-0.95793482041991196</v>
      </c>
      <c r="U1142">
        <v>-6.4150358462126</v>
      </c>
      <c r="V1142">
        <v>0.35085982342275002</v>
      </c>
      <c r="W1142">
        <v>0.87950242192597095</v>
      </c>
      <c r="X1142">
        <v>0</v>
      </c>
      <c r="Y1142">
        <v>0</v>
      </c>
    </row>
    <row r="1143" spans="1:25" x14ac:dyDescent="0.2">
      <c r="A1143" t="s">
        <v>4221</v>
      </c>
      <c r="B1143" t="s">
        <v>4222</v>
      </c>
      <c r="C1143" t="s">
        <v>4223</v>
      </c>
      <c r="D1143" t="s">
        <v>130</v>
      </c>
      <c r="E1143" t="s">
        <v>4222</v>
      </c>
      <c r="F1143" t="s">
        <v>28</v>
      </c>
      <c r="G1143" t="s">
        <v>4222</v>
      </c>
      <c r="H1143" t="str">
        <f>"lin-38"</f>
        <v>lin-38</v>
      </c>
      <c r="I1143" t="s">
        <v>130</v>
      </c>
      <c r="J1143" t="s">
        <v>29</v>
      </c>
      <c r="K1143">
        <v>11.5580525489741</v>
      </c>
      <c r="L1143">
        <v>11.4902426100781</v>
      </c>
      <c r="M1143">
        <v>11.6422544584352</v>
      </c>
      <c r="N1143">
        <v>11.648051619150699</v>
      </c>
      <c r="O1143">
        <v>11.715986937390101</v>
      </c>
      <c r="P1143">
        <v>0.14461675879921099</v>
      </c>
      <c r="Q1143">
        <v>-0.44390219360010302</v>
      </c>
      <c r="R1143">
        <v>0.73313571119852505</v>
      </c>
      <c r="S1143">
        <v>12.322360286791501</v>
      </c>
      <c r="T1143">
        <v>0.521203952319372</v>
      </c>
      <c r="U1143">
        <v>-6.6309080037792301</v>
      </c>
      <c r="V1143">
        <v>0.60941030808583097</v>
      </c>
      <c r="W1143">
        <v>0.97225192009091399</v>
      </c>
      <c r="X1143">
        <v>0</v>
      </c>
      <c r="Y1143">
        <v>0</v>
      </c>
    </row>
    <row r="1144" spans="1:25" x14ac:dyDescent="0.2">
      <c r="A1144" t="s">
        <v>4224</v>
      </c>
      <c r="B1144" t="s">
        <v>4225</v>
      </c>
      <c r="C1144" t="s">
        <v>14377</v>
      </c>
      <c r="D1144" t="s">
        <v>3662</v>
      </c>
      <c r="E1144" t="s">
        <v>4225</v>
      </c>
      <c r="F1144" t="s">
        <v>28</v>
      </c>
      <c r="G1144" t="s">
        <v>4225</v>
      </c>
      <c r="H1144" t="str">
        <f>"Y48E1B.8"</f>
        <v>Y48E1B.8</v>
      </c>
      <c r="I1144" t="s">
        <v>3662</v>
      </c>
      <c r="J1144" t="s">
        <v>29</v>
      </c>
      <c r="K1144" t="s">
        <v>29</v>
      </c>
      <c r="L1144" t="s">
        <v>29</v>
      </c>
      <c r="M1144">
        <v>10.558007671496201</v>
      </c>
      <c r="N1144" t="s">
        <v>29</v>
      </c>
      <c r="O1144" t="s">
        <v>29</v>
      </c>
      <c r="P1144" t="s">
        <v>29</v>
      </c>
      <c r="Q1144" t="s">
        <v>29</v>
      </c>
      <c r="R1144" t="s">
        <v>29</v>
      </c>
      <c r="S1144">
        <v>11.9264087493908</v>
      </c>
      <c r="T1144" t="s">
        <v>29</v>
      </c>
      <c r="U1144" t="s">
        <v>29</v>
      </c>
      <c r="V1144" t="s">
        <v>29</v>
      </c>
      <c r="W1144" t="s">
        <v>29</v>
      </c>
      <c r="X1144" t="s">
        <v>29</v>
      </c>
      <c r="Y1144" t="s">
        <v>29</v>
      </c>
    </row>
    <row r="1145" spans="1:25" x14ac:dyDescent="0.2">
      <c r="A1145" t="s">
        <v>4226</v>
      </c>
      <c r="B1145" t="s">
        <v>4227</v>
      </c>
      <c r="C1145" t="s">
        <v>4228</v>
      </c>
      <c r="D1145" t="s">
        <v>4229</v>
      </c>
      <c r="E1145" t="s">
        <v>4227</v>
      </c>
      <c r="F1145" t="s">
        <v>28</v>
      </c>
      <c r="G1145" t="s">
        <v>4227</v>
      </c>
      <c r="H1145" t="str">
        <f>"rle-1"</f>
        <v>rle-1</v>
      </c>
      <c r="I1145" t="s">
        <v>4229</v>
      </c>
      <c r="J1145" t="s">
        <v>29</v>
      </c>
      <c r="K1145" t="s">
        <v>29</v>
      </c>
      <c r="L1145">
        <v>9.6831430153441698</v>
      </c>
      <c r="M1145" t="s">
        <v>29</v>
      </c>
      <c r="N1145">
        <v>12.095374800414699</v>
      </c>
      <c r="O1145" t="s">
        <v>29</v>
      </c>
      <c r="P1145">
        <v>2.4122317850705501</v>
      </c>
      <c r="Q1145">
        <v>0.88021875523207804</v>
      </c>
      <c r="R1145">
        <v>3.9442448149090299</v>
      </c>
      <c r="S1145">
        <v>11.7217393872762</v>
      </c>
      <c r="T1145">
        <v>3.43401026635419</v>
      </c>
      <c r="U1145">
        <v>-2.0930117397659602</v>
      </c>
      <c r="V1145">
        <v>5.0087584902542698E-3</v>
      </c>
      <c r="W1145">
        <v>0.11039171030176299</v>
      </c>
      <c r="X1145">
        <v>1</v>
      </c>
      <c r="Y1145">
        <v>0</v>
      </c>
    </row>
    <row r="1146" spans="1:25" x14ac:dyDescent="0.2">
      <c r="A1146" t="s">
        <v>4230</v>
      </c>
      <c r="B1146" t="s">
        <v>4231</v>
      </c>
      <c r="C1146" t="s">
        <v>14378</v>
      </c>
      <c r="D1146" t="s">
        <v>2636</v>
      </c>
      <c r="E1146" t="s">
        <v>4231</v>
      </c>
      <c r="F1146" t="s">
        <v>28</v>
      </c>
      <c r="G1146" t="s">
        <v>4231</v>
      </c>
      <c r="H1146" t="str">
        <f>"ZK1053.4"</f>
        <v>ZK1053.4</v>
      </c>
      <c r="I1146" t="s">
        <v>2636</v>
      </c>
      <c r="J1146" t="s">
        <v>29</v>
      </c>
      <c r="K1146" t="s">
        <v>29</v>
      </c>
      <c r="L1146" t="s">
        <v>29</v>
      </c>
      <c r="M1146" t="s">
        <v>29</v>
      </c>
      <c r="N1146" t="s">
        <v>29</v>
      </c>
      <c r="O1146" t="s">
        <v>29</v>
      </c>
      <c r="P1146" t="s">
        <v>29</v>
      </c>
      <c r="Q1146" t="s">
        <v>29</v>
      </c>
      <c r="R1146" t="s">
        <v>29</v>
      </c>
      <c r="S1146">
        <v>10.7282120678393</v>
      </c>
      <c r="T1146" t="s">
        <v>29</v>
      </c>
      <c r="U1146" t="s">
        <v>29</v>
      </c>
      <c r="V1146" t="s">
        <v>29</v>
      </c>
      <c r="W1146" t="s">
        <v>29</v>
      </c>
      <c r="X1146" t="s">
        <v>29</v>
      </c>
      <c r="Y1146" t="s">
        <v>29</v>
      </c>
    </row>
    <row r="1147" spans="1:25" x14ac:dyDescent="0.2">
      <c r="A1147" t="s">
        <v>4232</v>
      </c>
      <c r="B1147" t="s">
        <v>4233</v>
      </c>
      <c r="C1147" t="s">
        <v>4234</v>
      </c>
      <c r="D1147" t="s">
        <v>4235</v>
      </c>
      <c r="E1147" t="s">
        <v>4233</v>
      </c>
      <c r="F1147" t="s">
        <v>28</v>
      </c>
      <c r="G1147" t="s">
        <v>4233</v>
      </c>
      <c r="H1147" t="str">
        <f>"aqp-11"</f>
        <v>aqp-11</v>
      </c>
      <c r="I1147" t="s">
        <v>4235</v>
      </c>
      <c r="J1147" t="s">
        <v>29</v>
      </c>
      <c r="K1147">
        <v>11.1491439075836</v>
      </c>
      <c r="L1147">
        <v>12.2672298867289</v>
      </c>
      <c r="M1147">
        <v>10.408888300121999</v>
      </c>
      <c r="N1147">
        <v>11.788975335069001</v>
      </c>
      <c r="O1147" t="s">
        <v>29</v>
      </c>
      <c r="P1147">
        <v>-0.60925507956076397</v>
      </c>
      <c r="Q1147">
        <v>-1.9426164726613</v>
      </c>
      <c r="R1147">
        <v>0.72410631353977295</v>
      </c>
      <c r="S1147">
        <v>12.6780263008835</v>
      </c>
      <c r="T1147">
        <v>-0.98071580728740804</v>
      </c>
      <c r="U1147">
        <v>-6.1918016540507397</v>
      </c>
      <c r="V1147">
        <v>0.343501083860137</v>
      </c>
      <c r="W1147">
        <v>0.87868686171140298</v>
      </c>
      <c r="X1147">
        <v>0</v>
      </c>
      <c r="Y1147">
        <v>0</v>
      </c>
    </row>
    <row r="1148" spans="1:25" x14ac:dyDescent="0.2">
      <c r="A1148" t="s">
        <v>4236</v>
      </c>
      <c r="B1148" t="s">
        <v>4237</v>
      </c>
      <c r="C1148" t="s">
        <v>14379</v>
      </c>
      <c r="D1148" t="s">
        <v>4238</v>
      </c>
      <c r="E1148" t="s">
        <v>4237</v>
      </c>
      <c r="F1148" t="s">
        <v>28</v>
      </c>
      <c r="G1148" t="s">
        <v>4237</v>
      </c>
      <c r="H1148" t="str">
        <f>"F37C4.6"</f>
        <v>F37C4.6</v>
      </c>
      <c r="I1148" t="s">
        <v>4238</v>
      </c>
      <c r="J1148">
        <v>14.1257109358287</v>
      </c>
      <c r="K1148">
        <v>14.0810320266097</v>
      </c>
      <c r="L1148">
        <v>13.941996778191101</v>
      </c>
      <c r="M1148">
        <v>13.851698644788</v>
      </c>
      <c r="N1148">
        <v>13.9078522512921</v>
      </c>
      <c r="O1148">
        <v>13.881096440468101</v>
      </c>
      <c r="P1148">
        <v>-0.16936413469374001</v>
      </c>
      <c r="Q1148">
        <v>-0.50985760465428098</v>
      </c>
      <c r="R1148">
        <v>0.17112933526679999</v>
      </c>
      <c r="S1148">
        <v>13.430891224501099</v>
      </c>
      <c r="T1148">
        <v>-1.04545458923586</v>
      </c>
      <c r="U1148">
        <v>-6.3283454662673799</v>
      </c>
      <c r="V1148">
        <v>0.30973006348200299</v>
      </c>
      <c r="W1148">
        <v>0.86207931095287205</v>
      </c>
      <c r="X1148">
        <v>0</v>
      </c>
      <c r="Y1148">
        <v>0</v>
      </c>
    </row>
    <row r="1149" spans="1:25" x14ac:dyDescent="0.2">
      <c r="A1149" t="s">
        <v>4239</v>
      </c>
      <c r="B1149" t="s">
        <v>4240</v>
      </c>
      <c r="C1149" t="s">
        <v>4241</v>
      </c>
      <c r="D1149" t="s">
        <v>4242</v>
      </c>
      <c r="E1149" t="s">
        <v>4240</v>
      </c>
      <c r="F1149" t="s">
        <v>28</v>
      </c>
      <c r="G1149" t="s">
        <v>4240</v>
      </c>
      <c r="H1149" t="str">
        <f>"ogdh-1"</f>
        <v>ogdh-1</v>
      </c>
      <c r="I1149" t="s">
        <v>4242</v>
      </c>
      <c r="J1149">
        <v>14.0231718786138</v>
      </c>
      <c r="K1149">
        <v>14.165785791752</v>
      </c>
      <c r="L1149">
        <v>14.269131708681</v>
      </c>
      <c r="M1149">
        <v>13.894234481141901</v>
      </c>
      <c r="N1149">
        <v>13.8611977972368</v>
      </c>
      <c r="O1149">
        <v>13.948450498265901</v>
      </c>
      <c r="P1149">
        <v>-0.25140220080072101</v>
      </c>
      <c r="Q1149">
        <v>-0.82081173758839199</v>
      </c>
      <c r="R1149">
        <v>0.31800733598695102</v>
      </c>
      <c r="S1149">
        <v>14.1907918159416</v>
      </c>
      <c r="T1149">
        <v>-0.92797622944026403</v>
      </c>
      <c r="U1149">
        <v>-6.4431444902874198</v>
      </c>
      <c r="V1149">
        <v>0.36576822243844198</v>
      </c>
      <c r="W1149">
        <v>0.88894346687426895</v>
      </c>
      <c r="X1149">
        <v>0</v>
      </c>
      <c r="Y1149">
        <v>0</v>
      </c>
    </row>
    <row r="1150" spans="1:25" x14ac:dyDescent="0.2">
      <c r="A1150" t="s">
        <v>4243</v>
      </c>
      <c r="B1150" t="s">
        <v>4244</v>
      </c>
      <c r="C1150" t="s">
        <v>14380</v>
      </c>
      <c r="D1150" t="s">
        <v>4245</v>
      </c>
      <c r="E1150" t="s">
        <v>4244</v>
      </c>
      <c r="F1150" t="s">
        <v>28</v>
      </c>
      <c r="G1150" t="s">
        <v>4244</v>
      </c>
      <c r="H1150" t="str">
        <f>"F39C12.1"</f>
        <v>F39C12.1</v>
      </c>
      <c r="I1150" t="s">
        <v>4245</v>
      </c>
      <c r="J1150">
        <v>11.1514643283219</v>
      </c>
      <c r="K1150">
        <v>11.0848676342862</v>
      </c>
      <c r="L1150">
        <v>11.5396183445191</v>
      </c>
      <c r="M1150">
        <v>10.9765031837458</v>
      </c>
      <c r="N1150">
        <v>11.8022632690483</v>
      </c>
      <c r="O1150">
        <v>10.977600867662799</v>
      </c>
      <c r="P1150">
        <v>-6.5276622234140503E-3</v>
      </c>
      <c r="Q1150">
        <v>-0.56393104528495597</v>
      </c>
      <c r="R1150">
        <v>0.55087572083812797</v>
      </c>
      <c r="S1150">
        <v>11.5914975067878</v>
      </c>
      <c r="T1150">
        <v>-2.48391999309906E-2</v>
      </c>
      <c r="U1150">
        <v>-6.8821650600898199</v>
      </c>
      <c r="V1150">
        <v>0.98049239136551503</v>
      </c>
      <c r="W1150">
        <v>0.99968702248720698</v>
      </c>
      <c r="X1150">
        <v>0</v>
      </c>
      <c r="Y1150">
        <v>0</v>
      </c>
    </row>
    <row r="1151" spans="1:25" x14ac:dyDescent="0.2">
      <c r="A1151" t="s">
        <v>4246</v>
      </c>
      <c r="B1151" t="s">
        <v>4247</v>
      </c>
      <c r="C1151" t="s">
        <v>4248</v>
      </c>
      <c r="D1151" t="s">
        <v>2051</v>
      </c>
      <c r="E1151" t="s">
        <v>4247</v>
      </c>
      <c r="F1151" t="s">
        <v>28</v>
      </c>
      <c r="G1151" t="s">
        <v>4247</v>
      </c>
      <c r="H1151" t="str">
        <f>"fbxc-52"</f>
        <v>fbxc-52</v>
      </c>
      <c r="I1151" t="s">
        <v>2051</v>
      </c>
      <c r="J1151">
        <v>14.074333356521301</v>
      </c>
      <c r="K1151">
        <v>14.573607459881099</v>
      </c>
      <c r="L1151">
        <v>14.180757071037799</v>
      </c>
      <c r="M1151">
        <v>14.614143324852</v>
      </c>
      <c r="N1151">
        <v>13.692025920344401</v>
      </c>
      <c r="O1151">
        <v>14.0970478914025</v>
      </c>
      <c r="P1151">
        <v>-0.14182691694706401</v>
      </c>
      <c r="Q1151">
        <v>-0.74968944929787595</v>
      </c>
      <c r="R1151">
        <v>0.46603561540374699</v>
      </c>
      <c r="S1151">
        <v>14.0716128431614</v>
      </c>
      <c r="T1151">
        <v>-0.49249667227894101</v>
      </c>
      <c r="U1151">
        <v>-6.7562723534827098</v>
      </c>
      <c r="V1151">
        <v>0.62870711461953099</v>
      </c>
      <c r="W1151">
        <v>0.97279262440453396</v>
      </c>
      <c r="X1151">
        <v>0</v>
      </c>
      <c r="Y1151">
        <v>0</v>
      </c>
    </row>
    <row r="1152" spans="1:25" x14ac:dyDescent="0.2">
      <c r="A1152" t="s">
        <v>4249</v>
      </c>
      <c r="B1152" t="s">
        <v>4250</v>
      </c>
      <c r="C1152" t="s">
        <v>14381</v>
      </c>
      <c r="D1152" t="s">
        <v>4251</v>
      </c>
      <c r="E1152" t="s">
        <v>4250</v>
      </c>
      <c r="F1152" t="s">
        <v>28</v>
      </c>
      <c r="G1152" t="s">
        <v>4252</v>
      </c>
      <c r="H1152" t="str">
        <f>"H17B01.2"</f>
        <v>H17B01.2</v>
      </c>
      <c r="I1152" t="s">
        <v>4253</v>
      </c>
      <c r="J1152">
        <v>13.895089070014301</v>
      </c>
      <c r="K1152">
        <v>12.9637501978982</v>
      </c>
      <c r="L1152">
        <v>14.8115300937716</v>
      </c>
      <c r="M1152">
        <v>13.139801326733</v>
      </c>
      <c r="N1152">
        <v>14.057255947281901</v>
      </c>
      <c r="O1152">
        <v>14.1939651143747</v>
      </c>
      <c r="P1152">
        <v>-9.3115657764837295E-2</v>
      </c>
      <c r="Q1152">
        <v>-1.18516536705945</v>
      </c>
      <c r="R1152">
        <v>0.99893405152977799</v>
      </c>
      <c r="S1152">
        <v>13.6801391111794</v>
      </c>
      <c r="T1152">
        <v>-0.183008895796683</v>
      </c>
      <c r="U1152">
        <v>-6.8647449186837797</v>
      </c>
      <c r="V1152">
        <v>0.85743448122587396</v>
      </c>
      <c r="W1152">
        <v>0.99370971747667503</v>
      </c>
      <c r="X1152">
        <v>0</v>
      </c>
      <c r="Y1152">
        <v>0</v>
      </c>
    </row>
    <row r="1153" spans="1:25" x14ac:dyDescent="0.2">
      <c r="A1153" t="s">
        <v>4254</v>
      </c>
      <c r="B1153" t="s">
        <v>4255</v>
      </c>
      <c r="C1153" t="s">
        <v>4256</v>
      </c>
      <c r="D1153" t="s">
        <v>4257</v>
      </c>
      <c r="E1153" t="s">
        <v>4255</v>
      </c>
      <c r="F1153" t="s">
        <v>28</v>
      </c>
      <c r="G1153" t="s">
        <v>4255</v>
      </c>
      <c r="H1153" t="str">
        <f>"bli-3"</f>
        <v>bli-3</v>
      </c>
      <c r="I1153" t="s">
        <v>4257</v>
      </c>
      <c r="J1153">
        <v>11.7494846215225</v>
      </c>
      <c r="K1153">
        <v>12.5894951031374</v>
      </c>
      <c r="L1153">
        <v>12.365204399669601</v>
      </c>
      <c r="M1153">
        <v>12.4927118024015</v>
      </c>
      <c r="N1153">
        <v>12.1274261718138</v>
      </c>
      <c r="O1153">
        <v>12.986002370211001</v>
      </c>
      <c r="P1153">
        <v>0.30065207336559802</v>
      </c>
      <c r="Q1153">
        <v>-0.42853274394591501</v>
      </c>
      <c r="R1153">
        <v>1.02983689067711</v>
      </c>
      <c r="S1153">
        <v>12.706873174164899</v>
      </c>
      <c r="T1153">
        <v>0.87453282599321702</v>
      </c>
      <c r="U1153">
        <v>-6.4896927859475104</v>
      </c>
      <c r="V1153">
        <v>0.394850319588673</v>
      </c>
      <c r="W1153">
        <v>0.90975406915825197</v>
      </c>
      <c r="X1153">
        <v>0</v>
      </c>
      <c r="Y1153">
        <v>0</v>
      </c>
    </row>
    <row r="1154" spans="1:25" x14ac:dyDescent="0.2">
      <c r="A1154" t="s">
        <v>4258</v>
      </c>
      <c r="B1154" t="s">
        <v>4259</v>
      </c>
      <c r="C1154" t="s">
        <v>4260</v>
      </c>
      <c r="D1154" t="s">
        <v>4261</v>
      </c>
      <c r="E1154" t="s">
        <v>4259</v>
      </c>
      <c r="F1154" t="s">
        <v>28</v>
      </c>
      <c r="G1154" t="s">
        <v>4259</v>
      </c>
      <c r="H1154" t="str">
        <f>"daf-31"</f>
        <v>daf-31</v>
      </c>
      <c r="I1154" t="s">
        <v>4261</v>
      </c>
      <c r="J1154">
        <v>14.8608991621677</v>
      </c>
      <c r="K1154">
        <v>14.79248672166</v>
      </c>
      <c r="L1154">
        <v>14.9122472522536</v>
      </c>
      <c r="M1154">
        <v>14.6869406658122</v>
      </c>
      <c r="N1154">
        <v>14.733676350144499</v>
      </c>
      <c r="O1154">
        <v>14.9167083111157</v>
      </c>
      <c r="P1154">
        <v>-7.6102603002947702E-2</v>
      </c>
      <c r="Q1154">
        <v>-0.48298146462549202</v>
      </c>
      <c r="R1154">
        <v>0.33077625861959598</v>
      </c>
      <c r="S1154">
        <v>14.216176646586201</v>
      </c>
      <c r="T1154">
        <v>-0.39312159118282902</v>
      </c>
      <c r="U1154">
        <v>-6.8020905781779799</v>
      </c>
      <c r="V1154">
        <v>0.69887361217131205</v>
      </c>
      <c r="W1154">
        <v>0.98642420921484297</v>
      </c>
      <c r="X1154">
        <v>0</v>
      </c>
      <c r="Y1154">
        <v>0</v>
      </c>
    </row>
    <row r="1155" spans="1:25" x14ac:dyDescent="0.2">
      <c r="A1155" t="s">
        <v>4262</v>
      </c>
      <c r="B1155" t="s">
        <v>4263</v>
      </c>
      <c r="C1155" t="s">
        <v>4264</v>
      </c>
      <c r="D1155" t="s">
        <v>4265</v>
      </c>
      <c r="E1155" t="s">
        <v>4263</v>
      </c>
      <c r="F1155" t="s">
        <v>28</v>
      </c>
      <c r="G1155" t="s">
        <v>4266</v>
      </c>
      <c r="H1155" t="str">
        <f>"ctl-1"</f>
        <v>ctl-1</v>
      </c>
      <c r="I1155" t="s">
        <v>4267</v>
      </c>
      <c r="J1155">
        <v>14.155745962697001</v>
      </c>
      <c r="K1155">
        <v>13.549868630932799</v>
      </c>
      <c r="L1155">
        <v>13.1138851624294</v>
      </c>
      <c r="M1155">
        <v>13.323211344036199</v>
      </c>
      <c r="N1155">
        <v>13.5708645937668</v>
      </c>
      <c r="O1155">
        <v>13.114367226148699</v>
      </c>
      <c r="P1155">
        <v>-0.270352197369155</v>
      </c>
      <c r="Q1155">
        <v>-1.4219606355590999</v>
      </c>
      <c r="R1155">
        <v>0.88125624082079201</v>
      </c>
      <c r="S1155">
        <v>13.402512117924401</v>
      </c>
      <c r="T1155">
        <v>-0.49342094249601698</v>
      </c>
      <c r="U1155">
        <v>-6.7561463914865199</v>
      </c>
      <c r="V1155">
        <v>0.62771602047381603</v>
      </c>
      <c r="W1155">
        <v>0.97279262440453396</v>
      </c>
      <c r="X1155">
        <v>0</v>
      </c>
      <c r="Y1155">
        <v>0</v>
      </c>
    </row>
    <row r="1156" spans="1:25" x14ac:dyDescent="0.2">
      <c r="A1156" t="s">
        <v>4268</v>
      </c>
      <c r="B1156" t="s">
        <v>4269</v>
      </c>
      <c r="C1156" t="s">
        <v>14382</v>
      </c>
      <c r="D1156" t="s">
        <v>4270</v>
      </c>
      <c r="E1156" t="s">
        <v>4269</v>
      </c>
      <c r="F1156" t="s">
        <v>28</v>
      </c>
      <c r="G1156" t="s">
        <v>4269</v>
      </c>
      <c r="H1156" t="str">
        <f>"F17E9.4"</f>
        <v>F17E9.4</v>
      </c>
      <c r="I1156" t="s">
        <v>4270</v>
      </c>
      <c r="J1156">
        <v>10.1360397546255</v>
      </c>
      <c r="K1156">
        <v>9.9763956059832992</v>
      </c>
      <c r="L1156" t="s">
        <v>29</v>
      </c>
      <c r="M1156">
        <v>10.483453128901701</v>
      </c>
      <c r="N1156" t="s">
        <v>29</v>
      </c>
      <c r="O1156" t="s">
        <v>29</v>
      </c>
      <c r="P1156">
        <v>0.42723544859725099</v>
      </c>
      <c r="Q1156">
        <v>-1.0171296201700699</v>
      </c>
      <c r="R1156">
        <v>1.87160051736458</v>
      </c>
      <c r="S1156">
        <v>10.2082269373422</v>
      </c>
      <c r="T1156">
        <v>0.70160684478744895</v>
      </c>
      <c r="U1156">
        <v>-6.2176582236251399</v>
      </c>
      <c r="V1156">
        <v>0.50590790447163403</v>
      </c>
      <c r="W1156">
        <v>0.94062983959761604</v>
      </c>
      <c r="X1156">
        <v>0</v>
      </c>
      <c r="Y1156">
        <v>0</v>
      </c>
    </row>
    <row r="1157" spans="1:25" x14ac:dyDescent="0.2">
      <c r="A1157" t="s">
        <v>4271</v>
      </c>
      <c r="B1157" t="s">
        <v>4272</v>
      </c>
      <c r="C1157" t="s">
        <v>4273</v>
      </c>
      <c r="D1157" t="s">
        <v>2692</v>
      </c>
      <c r="E1157" t="s">
        <v>4272</v>
      </c>
      <c r="F1157" t="s">
        <v>28</v>
      </c>
      <c r="G1157" t="s">
        <v>4272</v>
      </c>
      <c r="H1157" t="str">
        <f>"unc-73"</f>
        <v>unc-73</v>
      </c>
      <c r="I1157" t="s">
        <v>2692</v>
      </c>
      <c r="J1157">
        <v>12.6362405937281</v>
      </c>
      <c r="K1157">
        <v>12.6930863027348</v>
      </c>
      <c r="L1157">
        <v>12.2028420261154</v>
      </c>
      <c r="M1157">
        <v>12.87977731738</v>
      </c>
      <c r="N1157">
        <v>12.405190753960699</v>
      </c>
      <c r="O1157">
        <v>12.1296196848619</v>
      </c>
      <c r="P1157">
        <v>-3.9193722125229903E-2</v>
      </c>
      <c r="Q1157">
        <v>-0.44758713442055398</v>
      </c>
      <c r="R1157">
        <v>0.36919969017009502</v>
      </c>
      <c r="S1157">
        <v>12.472127240518301</v>
      </c>
      <c r="T1157">
        <v>-0.20257590810571899</v>
      </c>
      <c r="U1157">
        <v>-6.8610070014936797</v>
      </c>
      <c r="V1157">
        <v>0.84188595557561796</v>
      </c>
      <c r="W1157">
        <v>0.99370971747667503</v>
      </c>
      <c r="X1157">
        <v>0</v>
      </c>
      <c r="Y1157">
        <v>0</v>
      </c>
    </row>
    <row r="1158" spans="1:25" x14ac:dyDescent="0.2">
      <c r="A1158" t="s">
        <v>4274</v>
      </c>
      <c r="B1158" t="s">
        <v>4275</v>
      </c>
      <c r="C1158" t="s">
        <v>4276</v>
      </c>
      <c r="D1158" t="s">
        <v>4277</v>
      </c>
      <c r="E1158" t="s">
        <v>4275</v>
      </c>
      <c r="F1158" t="s">
        <v>28</v>
      </c>
      <c r="G1158" t="s">
        <v>4275</v>
      </c>
      <c r="H1158" t="str">
        <f>"top-3"</f>
        <v>top-3</v>
      </c>
      <c r="I1158" t="s">
        <v>4277</v>
      </c>
      <c r="J1158">
        <v>12.243983117256599</v>
      </c>
      <c r="K1158">
        <v>11.7490999846713</v>
      </c>
      <c r="L1158">
        <v>11.8980104757149</v>
      </c>
      <c r="M1158">
        <v>12.291947560191</v>
      </c>
      <c r="N1158">
        <v>12.2015682694137</v>
      </c>
      <c r="O1158">
        <v>12.1026637781553</v>
      </c>
      <c r="P1158">
        <v>0.23502867670573499</v>
      </c>
      <c r="Q1158">
        <v>-0.18976022912068599</v>
      </c>
      <c r="R1158">
        <v>0.65981758253215494</v>
      </c>
      <c r="S1158">
        <v>12.2786471567467</v>
      </c>
      <c r="T1158">
        <v>1.1735381687519399</v>
      </c>
      <c r="U1158">
        <v>-6.1881017325579597</v>
      </c>
      <c r="V1158">
        <v>0.25786549209086901</v>
      </c>
      <c r="W1158">
        <v>0.83706879678059698</v>
      </c>
      <c r="X1158">
        <v>0</v>
      </c>
      <c r="Y1158">
        <v>0</v>
      </c>
    </row>
    <row r="1159" spans="1:25" x14ac:dyDescent="0.2">
      <c r="A1159" t="s">
        <v>4278</v>
      </c>
      <c r="B1159" t="s">
        <v>4279</v>
      </c>
      <c r="C1159" t="s">
        <v>4280</v>
      </c>
      <c r="D1159" t="s">
        <v>4281</v>
      </c>
      <c r="E1159" t="s">
        <v>4279</v>
      </c>
      <c r="F1159" t="s">
        <v>28</v>
      </c>
      <c r="G1159" t="s">
        <v>4279</v>
      </c>
      <c r="H1159" t="str">
        <f>"pqn-59"</f>
        <v>pqn-59</v>
      </c>
      <c r="I1159" t="s">
        <v>4281</v>
      </c>
      <c r="J1159">
        <v>14.3915627438619</v>
      </c>
      <c r="K1159">
        <v>13.9588074309838</v>
      </c>
      <c r="L1159">
        <v>14.408586708136101</v>
      </c>
      <c r="M1159">
        <v>15.413307327356399</v>
      </c>
      <c r="N1159">
        <v>15.617289423336601</v>
      </c>
      <c r="O1159">
        <v>15.709530146121899</v>
      </c>
      <c r="P1159">
        <v>1.3270566712777401</v>
      </c>
      <c r="Q1159">
        <v>0.115171628247677</v>
      </c>
      <c r="R1159">
        <v>2.5389417143077999</v>
      </c>
      <c r="S1159">
        <v>15.148513996785301</v>
      </c>
      <c r="T1159">
        <v>2.3015507583116102</v>
      </c>
      <c r="U1159">
        <v>-4.4616146239210499</v>
      </c>
      <c r="V1159">
        <v>3.3598133466556303E-2</v>
      </c>
      <c r="W1159">
        <v>0.400769133249819</v>
      </c>
      <c r="X1159">
        <v>1</v>
      </c>
      <c r="Y1159">
        <v>0</v>
      </c>
    </row>
    <row r="1160" spans="1:25" x14ac:dyDescent="0.2">
      <c r="A1160" t="s">
        <v>4282</v>
      </c>
      <c r="B1160" t="s">
        <v>4283</v>
      </c>
      <c r="C1160" t="s">
        <v>14383</v>
      </c>
      <c r="D1160" t="s">
        <v>3246</v>
      </c>
      <c r="E1160" t="s">
        <v>4283</v>
      </c>
      <c r="F1160" t="s">
        <v>28</v>
      </c>
      <c r="G1160" t="s">
        <v>4283</v>
      </c>
      <c r="H1160" t="str">
        <f>"R119.3"</f>
        <v>R119.3</v>
      </c>
      <c r="I1160" t="s">
        <v>3246</v>
      </c>
      <c r="J1160">
        <v>12.7074765317703</v>
      </c>
      <c r="K1160">
        <v>12.476479830954</v>
      </c>
      <c r="L1160">
        <v>12.3637622401952</v>
      </c>
      <c r="M1160">
        <v>12.471227840654601</v>
      </c>
      <c r="N1160">
        <v>12.808293756281399</v>
      </c>
      <c r="O1160">
        <v>12.515311534851</v>
      </c>
      <c r="P1160">
        <v>8.2371509622502601E-2</v>
      </c>
      <c r="Q1160">
        <v>-0.35931150571791598</v>
      </c>
      <c r="R1160">
        <v>0.52405452496292204</v>
      </c>
      <c r="S1160">
        <v>12.453307141162201</v>
      </c>
      <c r="T1160">
        <v>0.39556317684929099</v>
      </c>
      <c r="U1160">
        <v>-6.8005963384925101</v>
      </c>
      <c r="V1160">
        <v>0.69768577946281896</v>
      </c>
      <c r="W1160">
        <v>0.98642420921484297</v>
      </c>
      <c r="X1160">
        <v>0</v>
      </c>
      <c r="Y1160">
        <v>0</v>
      </c>
    </row>
    <row r="1161" spans="1:25" x14ac:dyDescent="0.2">
      <c r="A1161" t="s">
        <v>4284</v>
      </c>
      <c r="B1161" t="s">
        <v>4285</v>
      </c>
      <c r="C1161" t="s">
        <v>4286</v>
      </c>
      <c r="D1161" t="s">
        <v>93</v>
      </c>
      <c r="E1161" t="s">
        <v>4285</v>
      </c>
      <c r="F1161" t="s">
        <v>28</v>
      </c>
      <c r="G1161" t="s">
        <v>4285</v>
      </c>
      <c r="H1161" t="str">
        <f>"rnp-8"</f>
        <v>rnp-8</v>
      </c>
      <c r="I1161" t="s">
        <v>93</v>
      </c>
      <c r="J1161">
        <v>11.9798431637821</v>
      </c>
      <c r="K1161">
        <v>12.330829722527801</v>
      </c>
      <c r="L1161">
        <v>12.892216805952801</v>
      </c>
      <c r="M1161" t="s">
        <v>29</v>
      </c>
      <c r="N1161">
        <v>13.175778392751001</v>
      </c>
      <c r="O1161">
        <v>12.378515437311901</v>
      </c>
      <c r="P1161">
        <v>0.37618368427719601</v>
      </c>
      <c r="Q1161">
        <v>-0.25768067278503698</v>
      </c>
      <c r="R1161">
        <v>1.0100480413394299</v>
      </c>
      <c r="S1161">
        <v>13.054170817267501</v>
      </c>
      <c r="T1161">
        <v>1.28318971026236</v>
      </c>
      <c r="U1161">
        <v>-5.9487014918568999</v>
      </c>
      <c r="V1161">
        <v>0.22200829961729299</v>
      </c>
      <c r="W1161">
        <v>0.79911244910630697</v>
      </c>
      <c r="X1161">
        <v>0</v>
      </c>
      <c r="Y1161">
        <v>0</v>
      </c>
    </row>
    <row r="1162" spans="1:25" x14ac:dyDescent="0.2">
      <c r="A1162" t="s">
        <v>4287</v>
      </c>
      <c r="B1162" t="s">
        <v>4288</v>
      </c>
      <c r="C1162" t="s">
        <v>4289</v>
      </c>
      <c r="D1162" t="s">
        <v>4290</v>
      </c>
      <c r="E1162" t="s">
        <v>4288</v>
      </c>
      <c r="F1162" t="s">
        <v>28</v>
      </c>
      <c r="G1162" t="s">
        <v>4288</v>
      </c>
      <c r="H1162" t="str">
        <f>"nfs-1"</f>
        <v>nfs-1</v>
      </c>
      <c r="I1162" t="s">
        <v>4290</v>
      </c>
      <c r="J1162">
        <v>14.4083133586192</v>
      </c>
      <c r="K1162">
        <v>14.0664872259978</v>
      </c>
      <c r="L1162">
        <v>13.610568468902899</v>
      </c>
      <c r="M1162">
        <v>14.1950893007098</v>
      </c>
      <c r="N1162">
        <v>14.013125087760899</v>
      </c>
      <c r="O1162">
        <v>13.709540279694499</v>
      </c>
      <c r="P1162">
        <v>-5.5871461784878597E-2</v>
      </c>
      <c r="Q1162">
        <v>-0.53962816012939496</v>
      </c>
      <c r="R1162">
        <v>0.427885236559638</v>
      </c>
      <c r="S1162">
        <v>13.862443897312501</v>
      </c>
      <c r="T1162">
        <v>-0.243788410474539</v>
      </c>
      <c r="U1162">
        <v>-6.8513940037789602</v>
      </c>
      <c r="V1162">
        <v>0.81033036101645395</v>
      </c>
      <c r="W1162">
        <v>0.99278624068726296</v>
      </c>
      <c r="X1162">
        <v>0</v>
      </c>
      <c r="Y1162">
        <v>0</v>
      </c>
    </row>
    <row r="1163" spans="1:25" x14ac:dyDescent="0.2">
      <c r="A1163" t="s">
        <v>4291</v>
      </c>
      <c r="B1163" t="s">
        <v>4292</v>
      </c>
      <c r="C1163" t="s">
        <v>4293</v>
      </c>
      <c r="D1163" t="s">
        <v>4294</v>
      </c>
      <c r="E1163" t="s">
        <v>4292</v>
      </c>
      <c r="F1163" t="s">
        <v>28</v>
      </c>
      <c r="G1163" t="s">
        <v>4292</v>
      </c>
      <c r="H1163" t="str">
        <f>"rpn-10"</f>
        <v>rpn-10</v>
      </c>
      <c r="I1163" t="s">
        <v>4294</v>
      </c>
      <c r="J1163">
        <v>13.638242853217699</v>
      </c>
      <c r="K1163">
        <v>13.631464577092901</v>
      </c>
      <c r="L1163">
        <v>13.935688064958001</v>
      </c>
      <c r="M1163">
        <v>13.507447842085</v>
      </c>
      <c r="N1163">
        <v>14.2718869063597</v>
      </c>
      <c r="O1163">
        <v>13.3538229419866</v>
      </c>
      <c r="P1163">
        <v>-2.4079268279114899E-2</v>
      </c>
      <c r="Q1163">
        <v>-0.58535448882059604</v>
      </c>
      <c r="R1163">
        <v>0.53719595226236605</v>
      </c>
      <c r="S1163">
        <v>13.418700527966401</v>
      </c>
      <c r="T1163">
        <v>-9.0556041410505203E-2</v>
      </c>
      <c r="U1163">
        <v>-6.8781925141942599</v>
      </c>
      <c r="V1163">
        <v>0.92891030760811799</v>
      </c>
      <c r="W1163">
        <v>0.99926809132575301</v>
      </c>
      <c r="X1163">
        <v>0</v>
      </c>
      <c r="Y1163">
        <v>0</v>
      </c>
    </row>
    <row r="1164" spans="1:25" x14ac:dyDescent="0.2">
      <c r="A1164" t="s">
        <v>4295</v>
      </c>
      <c r="B1164" t="s">
        <v>4296</v>
      </c>
      <c r="C1164" t="s">
        <v>4297</v>
      </c>
      <c r="D1164" t="s">
        <v>368</v>
      </c>
      <c r="E1164" t="s">
        <v>4296</v>
      </c>
      <c r="F1164" t="s">
        <v>28</v>
      </c>
      <c r="G1164" t="s">
        <v>4296</v>
      </c>
      <c r="H1164" t="str">
        <f>"B0205.10"</f>
        <v>B0205.10</v>
      </c>
      <c r="I1164" t="s">
        <v>368</v>
      </c>
      <c r="J1164">
        <v>9.5059963692155396</v>
      </c>
      <c r="K1164">
        <v>9.5615439099764394</v>
      </c>
      <c r="L1164">
        <v>11.380879369163701</v>
      </c>
      <c r="M1164" t="s">
        <v>29</v>
      </c>
      <c r="N1164">
        <v>10.078312885288</v>
      </c>
      <c r="O1164" t="s">
        <v>29</v>
      </c>
      <c r="P1164">
        <v>-7.1160330830538895E-2</v>
      </c>
      <c r="Q1164">
        <v>-2.07827218038961</v>
      </c>
      <c r="R1164">
        <v>1.9359515187285301</v>
      </c>
      <c r="S1164">
        <v>9.8504073877731102</v>
      </c>
      <c r="T1164">
        <v>-7.9110344183819695E-2</v>
      </c>
      <c r="U1164">
        <v>-6.5376700272062802</v>
      </c>
      <c r="V1164">
        <v>0.93852184423400797</v>
      </c>
      <c r="W1164">
        <v>0.99926809132575301</v>
      </c>
      <c r="X1164">
        <v>0</v>
      </c>
      <c r="Y1164">
        <v>0</v>
      </c>
    </row>
    <row r="1165" spans="1:25" x14ac:dyDescent="0.2">
      <c r="A1165" t="s">
        <v>4298</v>
      </c>
      <c r="B1165" t="s">
        <v>4299</v>
      </c>
      <c r="C1165" t="s">
        <v>4300</v>
      </c>
      <c r="D1165" t="s">
        <v>4301</v>
      </c>
      <c r="E1165" t="s">
        <v>4299</v>
      </c>
      <c r="F1165" t="s">
        <v>28</v>
      </c>
      <c r="G1165" t="s">
        <v>4299</v>
      </c>
      <c r="H1165" t="str">
        <f>"F37F2.2"</f>
        <v>F37F2.2</v>
      </c>
      <c r="I1165" t="s">
        <v>4301</v>
      </c>
      <c r="J1165">
        <v>14.393725112986701</v>
      </c>
      <c r="K1165">
        <v>14.187844169174699</v>
      </c>
      <c r="L1165">
        <v>14.420031394938899</v>
      </c>
      <c r="M1165">
        <v>14.180852906829999</v>
      </c>
      <c r="N1165">
        <v>14.194969906707</v>
      </c>
      <c r="O1165">
        <v>14.0832622377339</v>
      </c>
      <c r="P1165">
        <v>-0.180838541943146</v>
      </c>
      <c r="Q1165">
        <v>-0.63986527962634998</v>
      </c>
      <c r="R1165">
        <v>0.27818819574005799</v>
      </c>
      <c r="S1165">
        <v>14.0004677517004</v>
      </c>
      <c r="T1165">
        <v>-0.83157806767689602</v>
      </c>
      <c r="U1165">
        <v>-6.5273344121635599</v>
      </c>
      <c r="V1165">
        <v>0.41724592085894102</v>
      </c>
      <c r="W1165">
        <v>0.91512503332874395</v>
      </c>
      <c r="X1165">
        <v>0</v>
      </c>
      <c r="Y1165">
        <v>0</v>
      </c>
    </row>
    <row r="1166" spans="1:25" x14ac:dyDescent="0.2">
      <c r="A1166" t="s">
        <v>4302</v>
      </c>
      <c r="B1166" t="s">
        <v>4303</v>
      </c>
      <c r="C1166" t="s">
        <v>4304</v>
      </c>
      <c r="D1166" t="s">
        <v>1646</v>
      </c>
      <c r="E1166" t="s">
        <v>4303</v>
      </c>
      <c r="F1166" t="s">
        <v>28</v>
      </c>
      <c r="G1166" t="s">
        <v>4303</v>
      </c>
      <c r="H1166" t="str">
        <f>"vet-2"</f>
        <v>vet-2</v>
      </c>
      <c r="I1166" t="s">
        <v>1646</v>
      </c>
      <c r="J1166">
        <v>11.535051241232701</v>
      </c>
      <c r="K1166" t="s">
        <v>29</v>
      </c>
      <c r="L1166">
        <v>11.752150402099399</v>
      </c>
      <c r="M1166">
        <v>11.921001591406601</v>
      </c>
      <c r="N1166">
        <v>11.7106929966107</v>
      </c>
      <c r="O1166">
        <v>11.6057215869768</v>
      </c>
      <c r="P1166">
        <v>0.102204569998626</v>
      </c>
      <c r="Q1166">
        <v>-1.1614394482295201</v>
      </c>
      <c r="R1166">
        <v>1.3658485882267699</v>
      </c>
      <c r="S1166">
        <v>11.140750031820399</v>
      </c>
      <c r="T1166">
        <v>0.17249923577346701</v>
      </c>
      <c r="U1166">
        <v>-6.7565478189066299</v>
      </c>
      <c r="V1166">
        <v>0.86536707888371101</v>
      </c>
      <c r="W1166">
        <v>0.99445498567851898</v>
      </c>
      <c r="X1166">
        <v>0</v>
      </c>
      <c r="Y1166">
        <v>0</v>
      </c>
    </row>
    <row r="1167" spans="1:25" x14ac:dyDescent="0.2">
      <c r="A1167" t="s">
        <v>4305</v>
      </c>
      <c r="B1167" t="s">
        <v>4306</v>
      </c>
      <c r="C1167" t="s">
        <v>4307</v>
      </c>
      <c r="D1167" t="s">
        <v>3898</v>
      </c>
      <c r="E1167" t="s">
        <v>4306</v>
      </c>
      <c r="F1167" t="s">
        <v>28</v>
      </c>
      <c r="G1167" t="s">
        <v>4306</v>
      </c>
      <c r="H1167" t="str">
        <f>"inx-15"</f>
        <v>inx-15</v>
      </c>
      <c r="I1167" t="s">
        <v>3898</v>
      </c>
      <c r="J1167">
        <v>14.950533776639499</v>
      </c>
      <c r="K1167">
        <v>14.972639673782201</v>
      </c>
      <c r="L1167">
        <v>14.6704132165023</v>
      </c>
      <c r="M1167">
        <v>14.603291252858501</v>
      </c>
      <c r="N1167">
        <v>14.600126452016699</v>
      </c>
      <c r="O1167">
        <v>14.8063579400986</v>
      </c>
      <c r="P1167">
        <v>-0.194603673983375</v>
      </c>
      <c r="Q1167">
        <v>-0.64707433371179301</v>
      </c>
      <c r="R1167">
        <v>0.25786698574504402</v>
      </c>
      <c r="S1167">
        <v>14.655913912251</v>
      </c>
      <c r="T1167">
        <v>-0.90396814275596704</v>
      </c>
      <c r="U1167">
        <v>-6.4650847963437101</v>
      </c>
      <c r="V1167">
        <v>0.37802108953374097</v>
      </c>
      <c r="W1167">
        <v>0.89651771527130897</v>
      </c>
      <c r="X1167">
        <v>0</v>
      </c>
      <c r="Y1167">
        <v>0</v>
      </c>
    </row>
    <row r="1168" spans="1:25" x14ac:dyDescent="0.2">
      <c r="A1168" t="s">
        <v>4308</v>
      </c>
      <c r="B1168" t="s">
        <v>4309</v>
      </c>
      <c r="C1168" t="s">
        <v>4310</v>
      </c>
      <c r="D1168" t="s">
        <v>4311</v>
      </c>
      <c r="E1168" t="s">
        <v>4309</v>
      </c>
      <c r="F1168" t="s">
        <v>28</v>
      </c>
      <c r="G1168" t="s">
        <v>4309</v>
      </c>
      <c r="H1168" t="str">
        <f>"inx-16"</f>
        <v>inx-16</v>
      </c>
      <c r="I1168" t="s">
        <v>4311</v>
      </c>
      <c r="J1168">
        <v>13.066210070034099</v>
      </c>
      <c r="K1168">
        <v>13.0204349316289</v>
      </c>
      <c r="L1168">
        <v>12.987700532908599</v>
      </c>
      <c r="M1168">
        <v>12.9277443165597</v>
      </c>
      <c r="N1168">
        <v>13.3139340445209</v>
      </c>
      <c r="O1168">
        <v>13.1265669716243</v>
      </c>
      <c r="P1168">
        <v>9.7966599377787802E-2</v>
      </c>
      <c r="Q1168">
        <v>-0.467695435431984</v>
      </c>
      <c r="R1168">
        <v>0.66362863418755902</v>
      </c>
      <c r="S1168">
        <v>12.977655803569</v>
      </c>
      <c r="T1168">
        <v>0.36401016772540801</v>
      </c>
      <c r="U1168">
        <v>-6.8135144812979096</v>
      </c>
      <c r="V1168">
        <v>0.72011574109813503</v>
      </c>
      <c r="W1168">
        <v>0.98910356032152003</v>
      </c>
      <c r="X1168">
        <v>0</v>
      </c>
      <c r="Y1168">
        <v>0</v>
      </c>
    </row>
    <row r="1169" spans="1:25" x14ac:dyDescent="0.2">
      <c r="A1169" t="s">
        <v>4312</v>
      </c>
      <c r="B1169" t="s">
        <v>4313</v>
      </c>
      <c r="C1169" t="s">
        <v>4314</v>
      </c>
      <c r="D1169" t="s">
        <v>4315</v>
      </c>
      <c r="E1169" t="s">
        <v>4313</v>
      </c>
      <c r="F1169" t="s">
        <v>28</v>
      </c>
      <c r="G1169" t="s">
        <v>4313</v>
      </c>
      <c r="H1169" t="str">
        <f>"inx-17"</f>
        <v>inx-17</v>
      </c>
      <c r="I1169" t="s">
        <v>4315</v>
      </c>
      <c r="J1169">
        <v>12.1763032622056</v>
      </c>
      <c r="K1169">
        <v>12.2236085541343</v>
      </c>
      <c r="L1169">
        <v>12.098040442770101</v>
      </c>
      <c r="M1169">
        <v>12.3564569689722</v>
      </c>
      <c r="N1169">
        <v>11.948868631835399</v>
      </c>
      <c r="O1169">
        <v>12.163962784665101</v>
      </c>
      <c r="P1169">
        <v>-9.5546245457729401E-3</v>
      </c>
      <c r="Q1169">
        <v>-0.64479561906940197</v>
      </c>
      <c r="R1169">
        <v>0.62568636997785598</v>
      </c>
      <c r="S1169">
        <v>12.401570296219701</v>
      </c>
      <c r="T1169">
        <v>-3.1748639682339E-2</v>
      </c>
      <c r="U1169">
        <v>-6.88196127492035</v>
      </c>
      <c r="V1169">
        <v>0.97504455617963703</v>
      </c>
      <c r="W1169">
        <v>0.99968702248720698</v>
      </c>
      <c r="X1169">
        <v>0</v>
      </c>
      <c r="Y1169">
        <v>0</v>
      </c>
    </row>
    <row r="1170" spans="1:25" x14ac:dyDescent="0.2">
      <c r="A1170" t="s">
        <v>4316</v>
      </c>
      <c r="B1170" t="s">
        <v>4317</v>
      </c>
      <c r="C1170" t="s">
        <v>4318</v>
      </c>
      <c r="D1170" t="s">
        <v>4319</v>
      </c>
      <c r="E1170" t="s">
        <v>4317</v>
      </c>
      <c r="F1170" t="s">
        <v>28</v>
      </c>
      <c r="G1170" t="s">
        <v>4317</v>
      </c>
      <c r="H1170" t="str">
        <f>"R12E2.11"</f>
        <v>R12E2.11</v>
      </c>
      <c r="I1170" t="s">
        <v>4319</v>
      </c>
      <c r="J1170" t="s">
        <v>29</v>
      </c>
      <c r="K1170" t="s">
        <v>29</v>
      </c>
      <c r="L1170" t="s">
        <v>29</v>
      </c>
      <c r="M1170">
        <v>12.925885497943201</v>
      </c>
      <c r="N1170">
        <v>12.621997559326701</v>
      </c>
      <c r="O1170">
        <v>12.5351097976279</v>
      </c>
      <c r="P1170" t="s">
        <v>29</v>
      </c>
      <c r="Q1170" t="s">
        <v>29</v>
      </c>
      <c r="R1170" t="s">
        <v>29</v>
      </c>
      <c r="S1170">
        <v>12.7083873536367</v>
      </c>
      <c r="T1170" t="s">
        <v>29</v>
      </c>
      <c r="U1170" t="s">
        <v>29</v>
      </c>
      <c r="V1170" t="s">
        <v>29</v>
      </c>
      <c r="W1170" t="s">
        <v>29</v>
      </c>
      <c r="X1170" t="s">
        <v>29</v>
      </c>
      <c r="Y1170" t="s">
        <v>29</v>
      </c>
    </row>
    <row r="1171" spans="1:25" x14ac:dyDescent="0.2">
      <c r="A1171" t="s">
        <v>4320</v>
      </c>
      <c r="B1171" t="s">
        <v>4321</v>
      </c>
      <c r="C1171" t="s">
        <v>4322</v>
      </c>
      <c r="D1171" t="s">
        <v>4323</v>
      </c>
      <c r="E1171" t="s">
        <v>4321</v>
      </c>
      <c r="F1171" t="s">
        <v>28</v>
      </c>
      <c r="G1171" t="s">
        <v>4321</v>
      </c>
      <c r="H1171" t="str">
        <f>"mrps-6"</f>
        <v>mrps-6</v>
      </c>
      <c r="I1171" t="s">
        <v>4323</v>
      </c>
      <c r="J1171">
        <v>11.917596042998699</v>
      </c>
      <c r="K1171">
        <v>12.797483361262501</v>
      </c>
      <c r="L1171">
        <v>12.7687727137536</v>
      </c>
      <c r="M1171">
        <v>11.001039895753401</v>
      </c>
      <c r="N1171">
        <v>11.834940182784299</v>
      </c>
      <c r="O1171" t="s">
        <v>29</v>
      </c>
      <c r="P1171">
        <v>-1.0766273334027801</v>
      </c>
      <c r="Q1171">
        <v>-1.9619335529925399</v>
      </c>
      <c r="R1171">
        <v>-0.19132111381302</v>
      </c>
      <c r="S1171">
        <v>12.4454732102413</v>
      </c>
      <c r="T1171">
        <v>-2.6294149666644802</v>
      </c>
      <c r="U1171">
        <v>-3.8374394639142602</v>
      </c>
      <c r="V1171">
        <v>2.0925667816421099E-2</v>
      </c>
      <c r="W1171">
        <v>0.29760949783354401</v>
      </c>
      <c r="X1171">
        <v>-1</v>
      </c>
      <c r="Y1171">
        <v>0</v>
      </c>
    </row>
    <row r="1172" spans="1:25" x14ac:dyDescent="0.2">
      <c r="A1172" t="s">
        <v>4324</v>
      </c>
      <c r="B1172" t="s">
        <v>4325</v>
      </c>
      <c r="C1172" t="s">
        <v>4326</v>
      </c>
      <c r="D1172" t="s">
        <v>4327</v>
      </c>
      <c r="E1172" t="s">
        <v>4325</v>
      </c>
      <c r="F1172" t="s">
        <v>28</v>
      </c>
      <c r="G1172" t="s">
        <v>4325</v>
      </c>
      <c r="H1172" t="str">
        <f>"rpn-8"</f>
        <v>rpn-8</v>
      </c>
      <c r="I1172" t="s">
        <v>4327</v>
      </c>
      <c r="J1172">
        <v>11.412944807020301</v>
      </c>
      <c r="K1172">
        <v>12.213950098172599</v>
      </c>
      <c r="L1172">
        <v>11.839812903120199</v>
      </c>
      <c r="M1172">
        <v>12.3466581090583</v>
      </c>
      <c r="N1172">
        <v>12.6087140592655</v>
      </c>
      <c r="O1172">
        <v>12.4833799312505</v>
      </c>
      <c r="P1172">
        <v>0.65734809708707698</v>
      </c>
      <c r="Q1172">
        <v>5.9376204974711903E-2</v>
      </c>
      <c r="R1172">
        <v>1.25531998919944</v>
      </c>
      <c r="S1172">
        <v>12.6887096577317</v>
      </c>
      <c r="T1172">
        <v>2.3105062780718102</v>
      </c>
      <c r="U1172">
        <v>-4.4450284322654499</v>
      </c>
      <c r="V1172">
        <v>3.2994951089132502E-2</v>
      </c>
      <c r="W1172">
        <v>0.39785216385736599</v>
      </c>
      <c r="X1172">
        <v>0</v>
      </c>
      <c r="Y1172">
        <v>0</v>
      </c>
    </row>
    <row r="1173" spans="1:25" x14ac:dyDescent="0.2">
      <c r="A1173" t="s">
        <v>4328</v>
      </c>
      <c r="B1173" t="s">
        <v>4329</v>
      </c>
      <c r="C1173" t="s">
        <v>4330</v>
      </c>
      <c r="D1173" t="s">
        <v>1296</v>
      </c>
      <c r="E1173" t="s">
        <v>4329</v>
      </c>
      <c r="F1173" t="s">
        <v>28</v>
      </c>
      <c r="G1173" t="s">
        <v>4329</v>
      </c>
      <c r="H1173" t="str">
        <f>"B0511.6"</f>
        <v>B0511.6</v>
      </c>
      <c r="I1173" t="s">
        <v>1296</v>
      </c>
      <c r="J1173">
        <v>14.9995884651201</v>
      </c>
      <c r="K1173">
        <v>14.940884288329601</v>
      </c>
      <c r="L1173">
        <v>14.9676531605525</v>
      </c>
      <c r="M1173">
        <v>14.9551139566689</v>
      </c>
      <c r="N1173">
        <v>14.891400456489</v>
      </c>
      <c r="O1173">
        <v>14.873701033621799</v>
      </c>
      <c r="P1173">
        <v>-6.26368224074874E-2</v>
      </c>
      <c r="Q1173">
        <v>-0.435435473422502</v>
      </c>
      <c r="R1173">
        <v>0.310161828607527</v>
      </c>
      <c r="S1173">
        <v>15.0218441534233</v>
      </c>
      <c r="T1173">
        <v>-0.35314080172138901</v>
      </c>
      <c r="U1173">
        <v>-6.8175579809253701</v>
      </c>
      <c r="V1173">
        <v>0.72810862428629997</v>
      </c>
      <c r="W1173">
        <v>0.99057748145465696</v>
      </c>
      <c r="X1173">
        <v>0</v>
      </c>
      <c r="Y1173">
        <v>0</v>
      </c>
    </row>
    <row r="1174" spans="1:25" x14ac:dyDescent="0.2">
      <c r="A1174" t="s">
        <v>4331</v>
      </c>
      <c r="B1174" t="s">
        <v>4332</v>
      </c>
      <c r="C1174" t="s">
        <v>4333</v>
      </c>
      <c r="D1174" t="s">
        <v>4334</v>
      </c>
      <c r="E1174" t="s">
        <v>4332</v>
      </c>
      <c r="F1174" t="s">
        <v>28</v>
      </c>
      <c r="G1174" t="s">
        <v>4332</v>
      </c>
      <c r="H1174" t="str">
        <f>"mrps-30"</f>
        <v>mrps-30</v>
      </c>
      <c r="I1174" t="s">
        <v>4334</v>
      </c>
      <c r="J1174">
        <v>13.7301442693903</v>
      </c>
      <c r="K1174">
        <v>14.134090003916301</v>
      </c>
      <c r="L1174">
        <v>14.0626453174788</v>
      </c>
      <c r="M1174">
        <v>13.765357218940901</v>
      </c>
      <c r="N1174">
        <v>14.1558237566923</v>
      </c>
      <c r="O1174">
        <v>13.777196803235499</v>
      </c>
      <c r="P1174">
        <v>-7.6167270638851606E-2</v>
      </c>
      <c r="Q1174">
        <v>-0.60275725037846295</v>
      </c>
      <c r="R1174">
        <v>0.45042270910075899</v>
      </c>
      <c r="S1174">
        <v>13.9905741136745</v>
      </c>
      <c r="T1174">
        <v>-0.30401031247924998</v>
      </c>
      <c r="U1174">
        <v>-6.8343246668128099</v>
      </c>
      <c r="V1174">
        <v>0.76462667968978903</v>
      </c>
      <c r="W1174">
        <v>0.99278624068726296</v>
      </c>
      <c r="X1174">
        <v>0</v>
      </c>
      <c r="Y1174">
        <v>0</v>
      </c>
    </row>
    <row r="1175" spans="1:25" x14ac:dyDescent="0.2">
      <c r="A1175" t="s">
        <v>4335</v>
      </c>
      <c r="B1175" t="s">
        <v>4336</v>
      </c>
      <c r="C1175" t="s">
        <v>4337</v>
      </c>
      <c r="D1175" t="s">
        <v>4338</v>
      </c>
      <c r="E1175" t="s">
        <v>4336</v>
      </c>
      <c r="F1175" t="s">
        <v>28</v>
      </c>
      <c r="G1175" t="s">
        <v>4336</v>
      </c>
      <c r="H1175" t="str">
        <f>"eif-3.E"</f>
        <v>eif-3.E</v>
      </c>
      <c r="I1175" t="s">
        <v>4338</v>
      </c>
      <c r="J1175">
        <v>13.521984733144</v>
      </c>
      <c r="K1175">
        <v>13.7153323965626</v>
      </c>
      <c r="L1175">
        <v>13.877777047316499</v>
      </c>
      <c r="M1175">
        <v>13.809149897521699</v>
      </c>
      <c r="N1175">
        <v>13.6595933189913</v>
      </c>
      <c r="O1175">
        <v>13.9034762300269</v>
      </c>
      <c r="P1175">
        <v>8.5708423172262002E-2</v>
      </c>
      <c r="Q1175">
        <v>-0.34780630431517701</v>
      </c>
      <c r="R1175">
        <v>0.51922315065970104</v>
      </c>
      <c r="S1175">
        <v>13.800255768174299</v>
      </c>
      <c r="T1175">
        <v>0.41732044548781699</v>
      </c>
      <c r="U1175">
        <v>-6.7916802365302296</v>
      </c>
      <c r="V1175">
        <v>0.681698987136928</v>
      </c>
      <c r="W1175">
        <v>0.98642420921484297</v>
      </c>
      <c r="X1175">
        <v>0</v>
      </c>
      <c r="Y1175">
        <v>0</v>
      </c>
    </row>
    <row r="1176" spans="1:25" x14ac:dyDescent="0.2">
      <c r="A1176" t="s">
        <v>4339</v>
      </c>
      <c r="B1176" t="s">
        <v>4340</v>
      </c>
      <c r="C1176" t="s">
        <v>4341</v>
      </c>
      <c r="D1176" t="s">
        <v>2787</v>
      </c>
      <c r="E1176" t="s">
        <v>4340</v>
      </c>
      <c r="F1176" t="s">
        <v>28</v>
      </c>
      <c r="G1176" t="s">
        <v>4340</v>
      </c>
      <c r="H1176" t="str">
        <f>"prmt-6"</f>
        <v>prmt-6</v>
      </c>
      <c r="I1176" t="s">
        <v>2787</v>
      </c>
      <c r="J1176" t="s">
        <v>29</v>
      </c>
      <c r="K1176">
        <v>11.4153212171456</v>
      </c>
      <c r="L1176">
        <v>11.809106944166</v>
      </c>
      <c r="M1176" t="s">
        <v>29</v>
      </c>
      <c r="N1176">
        <v>11.447601794011799</v>
      </c>
      <c r="O1176" t="s">
        <v>29</v>
      </c>
      <c r="P1176">
        <v>-0.16461228664399899</v>
      </c>
      <c r="Q1176">
        <v>-1.03562858579201</v>
      </c>
      <c r="R1176">
        <v>0.70640401250400797</v>
      </c>
      <c r="S1176">
        <v>12.0497991370297</v>
      </c>
      <c r="T1176">
        <v>-0.40862337854214897</v>
      </c>
      <c r="U1176">
        <v>-6.3961028503476998</v>
      </c>
      <c r="V1176">
        <v>0.68952073586566398</v>
      </c>
      <c r="W1176">
        <v>0.98642420921484297</v>
      </c>
      <c r="X1176">
        <v>0</v>
      </c>
      <c r="Y1176">
        <v>0</v>
      </c>
    </row>
    <row r="1177" spans="1:25" x14ac:dyDescent="0.2">
      <c r="A1177" t="s">
        <v>4342</v>
      </c>
      <c r="B1177" t="s">
        <v>4343</v>
      </c>
      <c r="C1177" t="s">
        <v>4344</v>
      </c>
      <c r="D1177" t="s">
        <v>4345</v>
      </c>
      <c r="E1177" t="s">
        <v>4343</v>
      </c>
      <c r="F1177" t="s">
        <v>28</v>
      </c>
      <c r="G1177" t="s">
        <v>4343</v>
      </c>
      <c r="H1177" t="str">
        <f>"chd-7"</f>
        <v>chd-7</v>
      </c>
      <c r="I1177" t="s">
        <v>4345</v>
      </c>
      <c r="J1177">
        <v>11.7670537455808</v>
      </c>
      <c r="K1177">
        <v>12.6653910321817</v>
      </c>
      <c r="L1177">
        <v>11.888119697553501</v>
      </c>
      <c r="M1177">
        <v>11.801114218690801</v>
      </c>
      <c r="N1177">
        <v>12.4402922319019</v>
      </c>
      <c r="O1177">
        <v>12.333726723162201</v>
      </c>
      <c r="P1177">
        <v>8.4856232812995799E-2</v>
      </c>
      <c r="Q1177">
        <v>-0.79695402252217895</v>
      </c>
      <c r="R1177">
        <v>0.96666648814817102</v>
      </c>
      <c r="S1177">
        <v>12.4419086967232</v>
      </c>
      <c r="T1177">
        <v>0.20312277225231101</v>
      </c>
      <c r="U1177">
        <v>-6.8608910012909101</v>
      </c>
      <c r="V1177">
        <v>0.84146528281182698</v>
      </c>
      <c r="W1177">
        <v>0.99370971747667503</v>
      </c>
      <c r="X1177">
        <v>0</v>
      </c>
      <c r="Y1177">
        <v>0</v>
      </c>
    </row>
    <row r="1178" spans="1:25" x14ac:dyDescent="0.2">
      <c r="A1178" t="s">
        <v>4346</v>
      </c>
      <c r="B1178" t="s">
        <v>4347</v>
      </c>
      <c r="C1178" t="s">
        <v>4348</v>
      </c>
      <c r="D1178" t="s">
        <v>4349</v>
      </c>
      <c r="E1178" t="s">
        <v>4347</v>
      </c>
      <c r="F1178" t="s">
        <v>28</v>
      </c>
      <c r="G1178" t="s">
        <v>4347</v>
      </c>
      <c r="H1178" t="str">
        <f>"T26C12.1"</f>
        <v>T26C12.1</v>
      </c>
      <c r="I1178" t="s">
        <v>4349</v>
      </c>
      <c r="J1178">
        <v>12.552291051040299</v>
      </c>
      <c r="K1178">
        <v>12.4083206256417</v>
      </c>
      <c r="L1178">
        <v>12.7806918883</v>
      </c>
      <c r="M1178">
        <v>12.503623422119899</v>
      </c>
      <c r="N1178">
        <v>12.522469887005499</v>
      </c>
      <c r="O1178">
        <v>12.846082304974299</v>
      </c>
      <c r="P1178">
        <v>4.3624016372586297E-2</v>
      </c>
      <c r="Q1178">
        <v>-0.35889514927845001</v>
      </c>
      <c r="R1178">
        <v>0.44614318202362202</v>
      </c>
      <c r="S1178">
        <v>12.3242387681143</v>
      </c>
      <c r="T1178">
        <v>0.22876474552055701</v>
      </c>
      <c r="U1178">
        <v>-6.8551026949807099</v>
      </c>
      <c r="V1178">
        <v>0.82179790343341497</v>
      </c>
      <c r="W1178">
        <v>0.992837538801569</v>
      </c>
      <c r="X1178">
        <v>0</v>
      </c>
      <c r="Y1178">
        <v>0</v>
      </c>
    </row>
    <row r="1179" spans="1:25" x14ac:dyDescent="0.2">
      <c r="A1179" t="s">
        <v>4350</v>
      </c>
      <c r="B1179" t="s">
        <v>4351</v>
      </c>
      <c r="C1179" t="s">
        <v>14384</v>
      </c>
      <c r="D1179" t="s">
        <v>4352</v>
      </c>
      <c r="E1179" t="s">
        <v>4351</v>
      </c>
      <c r="F1179" t="s">
        <v>28</v>
      </c>
      <c r="G1179" t="s">
        <v>4351</v>
      </c>
      <c r="H1179" t="str">
        <f>"W02G9.3"</f>
        <v>W02G9.3</v>
      </c>
      <c r="I1179" t="s">
        <v>4352</v>
      </c>
      <c r="J1179">
        <v>13.7476969549845</v>
      </c>
      <c r="K1179">
        <v>13.821101346035</v>
      </c>
      <c r="L1179">
        <v>13.535253566484499</v>
      </c>
      <c r="M1179">
        <v>13.801469152478999</v>
      </c>
      <c r="N1179">
        <v>14.0931635128642</v>
      </c>
      <c r="O1179">
        <v>13.709406704667099</v>
      </c>
      <c r="P1179">
        <v>0.16666250083544301</v>
      </c>
      <c r="Q1179">
        <v>-0.21985142402160401</v>
      </c>
      <c r="R1179">
        <v>0.55317642569249004</v>
      </c>
      <c r="S1179">
        <v>13.7140544829288</v>
      </c>
      <c r="T1179">
        <v>0.91458121999225706</v>
      </c>
      <c r="U1179">
        <v>-6.4538317144493602</v>
      </c>
      <c r="V1179">
        <v>0.37407753341917799</v>
      </c>
      <c r="W1179">
        <v>0.89611784539566797</v>
      </c>
      <c r="X1179">
        <v>0</v>
      </c>
      <c r="Y1179">
        <v>0</v>
      </c>
    </row>
    <row r="1180" spans="1:25" x14ac:dyDescent="0.2">
      <c r="A1180" t="s">
        <v>4353</v>
      </c>
      <c r="B1180" t="s">
        <v>4354</v>
      </c>
      <c r="C1180" t="s">
        <v>4355</v>
      </c>
      <c r="D1180" t="s">
        <v>4356</v>
      </c>
      <c r="E1180" t="s">
        <v>4354</v>
      </c>
      <c r="F1180" t="s">
        <v>28</v>
      </c>
      <c r="G1180" t="s">
        <v>4354</v>
      </c>
      <c r="H1180" t="str">
        <f>"lin-40"</f>
        <v>lin-40</v>
      </c>
      <c r="I1180" t="s">
        <v>4356</v>
      </c>
      <c r="J1180">
        <v>11.0371614812396</v>
      </c>
      <c r="K1180">
        <v>11.202247404786799</v>
      </c>
      <c r="L1180">
        <v>11.6687168479598</v>
      </c>
      <c r="M1180">
        <v>11.099874639757401</v>
      </c>
      <c r="N1180">
        <v>11.3613568908311</v>
      </c>
      <c r="O1180">
        <v>11.5989742538294</v>
      </c>
      <c r="P1180">
        <v>5.0693350143852497E-2</v>
      </c>
      <c r="Q1180">
        <v>-0.44152353770644698</v>
      </c>
      <c r="R1180">
        <v>0.54291023799415195</v>
      </c>
      <c r="S1180">
        <v>11.7218017792914</v>
      </c>
      <c r="T1180">
        <v>0.21844595780794701</v>
      </c>
      <c r="U1180">
        <v>-6.8574286311327199</v>
      </c>
      <c r="V1180">
        <v>0.82986162360943805</v>
      </c>
      <c r="W1180">
        <v>0.99370240586176295</v>
      </c>
      <c r="X1180">
        <v>0</v>
      </c>
      <c r="Y1180">
        <v>0</v>
      </c>
    </row>
    <row r="1181" spans="1:25" x14ac:dyDescent="0.2">
      <c r="A1181" t="s">
        <v>4357</v>
      </c>
      <c r="B1181" t="s">
        <v>4358</v>
      </c>
      <c r="C1181" t="s">
        <v>4359</v>
      </c>
      <c r="D1181" t="s">
        <v>4360</v>
      </c>
      <c r="E1181" t="s">
        <v>4358</v>
      </c>
      <c r="F1181" t="s">
        <v>28</v>
      </c>
      <c r="G1181" t="s">
        <v>4358</v>
      </c>
      <c r="H1181" t="str">
        <f>"ergo-1"</f>
        <v>ergo-1</v>
      </c>
      <c r="I1181" t="s">
        <v>4360</v>
      </c>
      <c r="J1181">
        <v>12.8292058801128</v>
      </c>
      <c r="K1181">
        <v>13.4004033072786</v>
      </c>
      <c r="L1181">
        <v>13.550554901921901</v>
      </c>
      <c r="M1181">
        <v>13.0657433487606</v>
      </c>
      <c r="N1181">
        <v>13.283772032230999</v>
      </c>
      <c r="O1181">
        <v>13.2707769247548</v>
      </c>
      <c r="P1181">
        <v>-5.3290594522293198E-2</v>
      </c>
      <c r="Q1181">
        <v>-0.71293925469182595</v>
      </c>
      <c r="R1181">
        <v>0.60635806564724004</v>
      </c>
      <c r="S1181">
        <v>13.6793457920013</v>
      </c>
      <c r="T1181">
        <v>-0.16979714897942699</v>
      </c>
      <c r="U1181">
        <v>-6.8674376403317803</v>
      </c>
      <c r="V1181">
        <v>0.86707446717529701</v>
      </c>
      <c r="W1181">
        <v>0.99457622291666603</v>
      </c>
      <c r="X1181">
        <v>0</v>
      </c>
      <c r="Y1181">
        <v>0</v>
      </c>
    </row>
    <row r="1182" spans="1:25" x14ac:dyDescent="0.2">
      <c r="A1182" t="s">
        <v>4361</v>
      </c>
      <c r="B1182" t="s">
        <v>4362</v>
      </c>
      <c r="C1182" t="s">
        <v>4363</v>
      </c>
      <c r="D1182" t="s">
        <v>4364</v>
      </c>
      <c r="E1182" t="s">
        <v>4362</v>
      </c>
      <c r="F1182" t="s">
        <v>28</v>
      </c>
      <c r="G1182" t="s">
        <v>4362</v>
      </c>
      <c r="H1182" t="str">
        <f>"ife-3"</f>
        <v>ife-3</v>
      </c>
      <c r="I1182" t="s">
        <v>4364</v>
      </c>
      <c r="J1182">
        <v>12.5242238364489</v>
      </c>
      <c r="K1182">
        <v>12.266091577657599</v>
      </c>
      <c r="L1182">
        <v>12.8885185381202</v>
      </c>
      <c r="M1182">
        <v>12.942270211617499</v>
      </c>
      <c r="N1182">
        <v>12.9334551817561</v>
      </c>
      <c r="O1182">
        <v>12.0281718462664</v>
      </c>
      <c r="P1182">
        <v>7.5021095804473206E-2</v>
      </c>
      <c r="Q1182">
        <v>-0.45973507749362202</v>
      </c>
      <c r="R1182">
        <v>0.60977726910256902</v>
      </c>
      <c r="S1182">
        <v>12.923978188816699</v>
      </c>
      <c r="T1182">
        <v>0.29920524507253998</v>
      </c>
      <c r="U1182">
        <v>-6.8353579251138399</v>
      </c>
      <c r="V1182">
        <v>0.76891774087979403</v>
      </c>
      <c r="W1182">
        <v>0.99278624068726296</v>
      </c>
      <c r="X1182">
        <v>0</v>
      </c>
      <c r="Y1182">
        <v>0</v>
      </c>
    </row>
    <row r="1183" spans="1:25" x14ac:dyDescent="0.2">
      <c r="A1183" t="s">
        <v>4365</v>
      </c>
      <c r="B1183" t="s">
        <v>4366</v>
      </c>
      <c r="C1183" t="s">
        <v>4367</v>
      </c>
      <c r="D1183" t="s">
        <v>4368</v>
      </c>
      <c r="E1183" t="s">
        <v>4366</v>
      </c>
      <c r="F1183" t="s">
        <v>28</v>
      </c>
      <c r="G1183" t="s">
        <v>4366</v>
      </c>
      <c r="H1183" t="str">
        <f>"let-413"</f>
        <v>let-413</v>
      </c>
      <c r="I1183" t="s">
        <v>4368</v>
      </c>
      <c r="J1183">
        <v>12.878177973834299</v>
      </c>
      <c r="K1183">
        <v>12.8145710348709</v>
      </c>
      <c r="L1183">
        <v>12.7163918166912</v>
      </c>
      <c r="M1183">
        <v>13.222402961716501</v>
      </c>
      <c r="N1183">
        <v>13.1959815039228</v>
      </c>
      <c r="O1183">
        <v>13.243982708848399</v>
      </c>
      <c r="P1183">
        <v>0.417742116363781</v>
      </c>
      <c r="Q1183">
        <v>-2.6743215889890601E-3</v>
      </c>
      <c r="R1183">
        <v>0.83815855431655195</v>
      </c>
      <c r="S1183">
        <v>12.907212619308799</v>
      </c>
      <c r="T1183">
        <v>2.0973870757319699</v>
      </c>
      <c r="U1183">
        <v>-4.8359404809766797</v>
      </c>
      <c r="V1183">
        <v>5.1315662843973597E-2</v>
      </c>
      <c r="W1183">
        <v>0.491491856479917</v>
      </c>
      <c r="X1183">
        <v>0</v>
      </c>
      <c r="Y1183">
        <v>0</v>
      </c>
    </row>
    <row r="1184" spans="1:25" x14ac:dyDescent="0.2">
      <c r="A1184" t="s">
        <v>4369</v>
      </c>
      <c r="B1184" t="s">
        <v>4370</v>
      </c>
      <c r="C1184" t="s">
        <v>4371</v>
      </c>
      <c r="D1184" t="s">
        <v>4372</v>
      </c>
      <c r="E1184" t="s">
        <v>4370</v>
      </c>
      <c r="F1184" t="s">
        <v>28</v>
      </c>
      <c r="G1184" t="s">
        <v>4370</v>
      </c>
      <c r="H1184" t="str">
        <f>"pgap-3"</f>
        <v>pgap-3</v>
      </c>
      <c r="I1184" t="s">
        <v>4372</v>
      </c>
      <c r="J1184" t="s">
        <v>29</v>
      </c>
      <c r="K1184">
        <v>12.3018379151916</v>
      </c>
      <c r="L1184" t="s">
        <v>29</v>
      </c>
      <c r="M1184">
        <v>13.518803769597501</v>
      </c>
      <c r="N1184" t="s">
        <v>29</v>
      </c>
      <c r="O1184" t="s">
        <v>29</v>
      </c>
      <c r="P1184">
        <v>1.2169658544059101</v>
      </c>
      <c r="Q1184">
        <v>0.48893300588508598</v>
      </c>
      <c r="R1184">
        <v>1.9449987029267299</v>
      </c>
      <c r="S1184">
        <v>13.146300704252299</v>
      </c>
      <c r="T1184">
        <v>3.68345281878721</v>
      </c>
      <c r="U1184">
        <v>-1.7530460226701801</v>
      </c>
      <c r="V1184">
        <v>3.6613173970813499E-3</v>
      </c>
      <c r="W1184">
        <v>8.4617113176991193E-2</v>
      </c>
      <c r="X1184">
        <v>1</v>
      </c>
      <c r="Y1184">
        <v>0</v>
      </c>
    </row>
    <row r="1185" spans="1:25" x14ac:dyDescent="0.2">
      <c r="A1185" t="s">
        <v>4373</v>
      </c>
      <c r="B1185" t="s">
        <v>4374</v>
      </c>
      <c r="C1185" t="s">
        <v>4375</v>
      </c>
      <c r="D1185" t="s">
        <v>458</v>
      </c>
      <c r="E1185" t="s">
        <v>4374</v>
      </c>
      <c r="F1185" t="s">
        <v>28</v>
      </c>
      <c r="G1185" t="s">
        <v>4374</v>
      </c>
      <c r="H1185" t="str">
        <f>"ttr-47"</f>
        <v>ttr-47</v>
      </c>
      <c r="I1185" t="s">
        <v>458</v>
      </c>
      <c r="J1185">
        <v>13.022534968586299</v>
      </c>
      <c r="K1185">
        <v>13.369017680843699</v>
      </c>
      <c r="L1185">
        <v>13.189871832462099</v>
      </c>
      <c r="M1185">
        <v>12.9008764902932</v>
      </c>
      <c r="N1185">
        <v>12.786252106845801</v>
      </c>
      <c r="O1185">
        <v>13.0271821337437</v>
      </c>
      <c r="P1185">
        <v>-0.28903791700313503</v>
      </c>
      <c r="Q1185">
        <v>-0.82091891004298101</v>
      </c>
      <c r="R1185">
        <v>0.24284307603670999</v>
      </c>
      <c r="S1185">
        <v>12.737677805356</v>
      </c>
      <c r="T1185">
        <v>-1.1663589886258401</v>
      </c>
      <c r="U1185">
        <v>-6.1943760857348398</v>
      </c>
      <c r="V1185">
        <v>0.26309860003580299</v>
      </c>
      <c r="W1185">
        <v>0.84598274484942204</v>
      </c>
      <c r="X1185">
        <v>0</v>
      </c>
      <c r="Y1185">
        <v>0</v>
      </c>
    </row>
    <row r="1186" spans="1:25" x14ac:dyDescent="0.2">
      <c r="A1186" t="s">
        <v>4376</v>
      </c>
      <c r="B1186" t="s">
        <v>4377</v>
      </c>
      <c r="C1186" t="s">
        <v>4378</v>
      </c>
      <c r="D1186" t="s">
        <v>4379</v>
      </c>
      <c r="E1186" t="s">
        <v>4377</v>
      </c>
      <c r="F1186" t="s">
        <v>28</v>
      </c>
      <c r="G1186" t="s">
        <v>4377</v>
      </c>
      <c r="H1186" t="str">
        <f>"unc-23"</f>
        <v>unc-23</v>
      </c>
      <c r="I1186" t="s">
        <v>4379</v>
      </c>
      <c r="J1186">
        <v>11.082302215934501</v>
      </c>
      <c r="K1186">
        <v>12.333616638320301</v>
      </c>
      <c r="L1186">
        <v>12.560767269094899</v>
      </c>
      <c r="M1186">
        <v>12.49514972575</v>
      </c>
      <c r="N1186">
        <v>13.441658847817701</v>
      </c>
      <c r="O1186">
        <v>12.5135250796026</v>
      </c>
      <c r="P1186">
        <v>0.82454917660690996</v>
      </c>
      <c r="Q1186">
        <v>3.93391606253111E-2</v>
      </c>
      <c r="R1186">
        <v>1.60975919258851</v>
      </c>
      <c r="S1186">
        <v>12.911769222520199</v>
      </c>
      <c r="T1186">
        <v>2.2165663953505099</v>
      </c>
      <c r="U1186">
        <v>-4.6252730976327596</v>
      </c>
      <c r="V1186">
        <v>4.0669084512742801E-2</v>
      </c>
      <c r="W1186">
        <v>0.43565163651932598</v>
      </c>
      <c r="X1186">
        <v>0</v>
      </c>
      <c r="Y1186">
        <v>0</v>
      </c>
    </row>
    <row r="1187" spans="1:25" x14ac:dyDescent="0.2">
      <c r="A1187" t="s">
        <v>4380</v>
      </c>
      <c r="B1187" t="s">
        <v>4381</v>
      </c>
      <c r="C1187" t="s">
        <v>4382</v>
      </c>
      <c r="D1187" t="s">
        <v>4383</v>
      </c>
      <c r="E1187" t="s">
        <v>4381</v>
      </c>
      <c r="F1187" t="s">
        <v>28</v>
      </c>
      <c r="G1187" t="s">
        <v>4381</v>
      </c>
      <c r="H1187" t="str">
        <f>"mut-16"</f>
        <v>mut-16</v>
      </c>
      <c r="I1187" t="s">
        <v>4383</v>
      </c>
      <c r="J1187">
        <v>12.315649183587199</v>
      </c>
      <c r="K1187">
        <v>12.290840597263999</v>
      </c>
      <c r="L1187">
        <v>12.120375584745499</v>
      </c>
      <c r="M1187" t="s">
        <v>29</v>
      </c>
      <c r="N1187">
        <v>12.538706220509599</v>
      </c>
      <c r="O1187">
        <v>12.3445210637557</v>
      </c>
      <c r="P1187">
        <v>0.199325186933695</v>
      </c>
      <c r="Q1187">
        <v>-0.37476076177118101</v>
      </c>
      <c r="R1187">
        <v>0.773411135638571</v>
      </c>
      <c r="S1187">
        <v>12.850697447966001</v>
      </c>
      <c r="T1187">
        <v>0.740503079035431</v>
      </c>
      <c r="U1187">
        <v>-6.4886419526396297</v>
      </c>
      <c r="V1187">
        <v>0.47050754523126198</v>
      </c>
      <c r="W1187">
        <v>0.93056407806222996</v>
      </c>
      <c r="X1187">
        <v>0</v>
      </c>
      <c r="Y1187">
        <v>0</v>
      </c>
    </row>
    <row r="1188" spans="1:25" x14ac:dyDescent="0.2">
      <c r="A1188" t="s">
        <v>4384</v>
      </c>
      <c r="B1188" t="s">
        <v>4385</v>
      </c>
      <c r="C1188" t="s">
        <v>4386</v>
      </c>
      <c r="D1188" t="s">
        <v>4387</v>
      </c>
      <c r="E1188" t="s">
        <v>4385</v>
      </c>
      <c r="F1188" t="s">
        <v>28</v>
      </c>
      <c r="G1188" t="s">
        <v>4385</v>
      </c>
      <c r="H1188" t="str">
        <f>"lin-66"</f>
        <v>lin-66</v>
      </c>
      <c r="I1188" t="s">
        <v>4387</v>
      </c>
      <c r="J1188">
        <v>13.851895125285401</v>
      </c>
      <c r="K1188">
        <v>13.7265813499021</v>
      </c>
      <c r="L1188">
        <v>13.7939305757019</v>
      </c>
      <c r="M1188">
        <v>13.617879296319201</v>
      </c>
      <c r="N1188">
        <v>13.607073292152499</v>
      </c>
      <c r="O1188">
        <v>13.7189181419691</v>
      </c>
      <c r="P1188">
        <v>-0.14284544014952</v>
      </c>
      <c r="Q1188">
        <v>-0.46534821228012502</v>
      </c>
      <c r="R1188">
        <v>0.17965733198108499</v>
      </c>
      <c r="S1188">
        <v>13.7620786757213</v>
      </c>
      <c r="T1188">
        <v>-0.93493828180895699</v>
      </c>
      <c r="U1188">
        <v>-6.4359146092930999</v>
      </c>
      <c r="V1188">
        <v>0.362991752382539</v>
      </c>
      <c r="W1188">
        <v>0.888292466632014</v>
      </c>
      <c r="X1188">
        <v>0</v>
      </c>
      <c r="Y1188">
        <v>0</v>
      </c>
    </row>
    <row r="1189" spans="1:25" x14ac:dyDescent="0.2">
      <c r="A1189" t="s">
        <v>4388</v>
      </c>
      <c r="B1189" t="s">
        <v>4389</v>
      </c>
      <c r="C1189" t="s">
        <v>4390</v>
      </c>
      <c r="D1189" t="s">
        <v>2675</v>
      </c>
      <c r="E1189" t="s">
        <v>4389</v>
      </c>
      <c r="F1189" t="s">
        <v>28</v>
      </c>
      <c r="G1189" t="s">
        <v>4389</v>
      </c>
      <c r="H1189" t="str">
        <f>"C25F9.4"</f>
        <v>C25F9.4</v>
      </c>
      <c r="I1189" t="s">
        <v>2675</v>
      </c>
      <c r="J1189">
        <v>11.2219848929881</v>
      </c>
      <c r="K1189">
        <v>10.716681705628901</v>
      </c>
      <c r="L1189">
        <v>11.116225523315199</v>
      </c>
      <c r="M1189">
        <v>11.2091869478679</v>
      </c>
      <c r="N1189">
        <v>11.388702366040301</v>
      </c>
      <c r="O1189">
        <v>10.849016976674701</v>
      </c>
      <c r="P1189">
        <v>0.13067138955023899</v>
      </c>
      <c r="Q1189">
        <v>-0.32248717598022802</v>
      </c>
      <c r="R1189">
        <v>0.58382995508070501</v>
      </c>
      <c r="S1189">
        <v>11.3416866889436</v>
      </c>
      <c r="T1189">
        <v>0.61890245984153303</v>
      </c>
      <c r="U1189">
        <v>-6.6820811073672397</v>
      </c>
      <c r="V1189">
        <v>0.54599409428114998</v>
      </c>
      <c r="W1189">
        <v>0.951577336875161</v>
      </c>
      <c r="X1189">
        <v>0</v>
      </c>
      <c r="Y1189">
        <v>0</v>
      </c>
    </row>
    <row r="1190" spans="1:25" x14ac:dyDescent="0.2">
      <c r="A1190" t="s">
        <v>4391</v>
      </c>
      <c r="B1190" t="s">
        <v>4392</v>
      </c>
      <c r="C1190" t="s">
        <v>4393</v>
      </c>
      <c r="D1190" t="s">
        <v>4394</v>
      </c>
      <c r="E1190" t="s">
        <v>4392</v>
      </c>
      <c r="F1190" t="s">
        <v>28</v>
      </c>
      <c r="G1190" t="s">
        <v>4392</v>
      </c>
      <c r="H1190" t="str">
        <f>"C37A5.7"</f>
        <v>C37A5.7</v>
      </c>
      <c r="I1190" t="s">
        <v>4394</v>
      </c>
      <c r="J1190">
        <v>11.685962090671699</v>
      </c>
      <c r="K1190">
        <v>12.422105452060901</v>
      </c>
      <c r="L1190">
        <v>11.8626625365193</v>
      </c>
      <c r="M1190">
        <v>12.120950270862499</v>
      </c>
      <c r="N1190">
        <v>12.1843579251249</v>
      </c>
      <c r="O1190">
        <v>12.126631724923699</v>
      </c>
      <c r="P1190">
        <v>0.153736613886409</v>
      </c>
      <c r="Q1190">
        <v>-0.42219998386714203</v>
      </c>
      <c r="R1190">
        <v>0.72967321163995902</v>
      </c>
      <c r="S1190">
        <v>12.9791505685975</v>
      </c>
      <c r="T1190">
        <v>0.56344645125432202</v>
      </c>
      <c r="U1190">
        <v>-6.7176514632076803</v>
      </c>
      <c r="V1190">
        <v>0.58053297193826603</v>
      </c>
      <c r="W1190">
        <v>0.96263763358771703</v>
      </c>
      <c r="X1190">
        <v>0</v>
      </c>
      <c r="Y1190">
        <v>0</v>
      </c>
    </row>
    <row r="1191" spans="1:25" x14ac:dyDescent="0.2">
      <c r="A1191" t="s">
        <v>4395</v>
      </c>
      <c r="B1191" t="s">
        <v>4396</v>
      </c>
      <c r="C1191" t="s">
        <v>4397</v>
      </c>
      <c r="D1191" t="s">
        <v>214</v>
      </c>
      <c r="E1191" t="s">
        <v>4396</v>
      </c>
      <c r="F1191" t="s">
        <v>28</v>
      </c>
      <c r="G1191" t="s">
        <v>4396</v>
      </c>
      <c r="H1191" t="str">
        <f>"C46F11.5"</f>
        <v>C46F11.5</v>
      </c>
      <c r="I1191" t="s">
        <v>214</v>
      </c>
      <c r="J1191" t="s">
        <v>29</v>
      </c>
      <c r="K1191" t="s">
        <v>29</v>
      </c>
      <c r="L1191">
        <v>11.524664120032799</v>
      </c>
      <c r="M1191">
        <v>11.1778201272913</v>
      </c>
      <c r="N1191">
        <v>11.006825297625699</v>
      </c>
      <c r="O1191" t="s">
        <v>29</v>
      </c>
      <c r="P1191">
        <v>-0.43234140757428802</v>
      </c>
      <c r="Q1191">
        <v>-1.1208841596519099</v>
      </c>
      <c r="R1191">
        <v>0.25620134450333198</v>
      </c>
      <c r="S1191">
        <v>12.274615887884099</v>
      </c>
      <c r="T1191">
        <v>-1.38364161131227</v>
      </c>
      <c r="U1191">
        <v>-5.5445279953401103</v>
      </c>
      <c r="V1191">
        <v>0.194159501285945</v>
      </c>
      <c r="W1191">
        <v>0.78513100884523002</v>
      </c>
      <c r="X1191">
        <v>0</v>
      </c>
      <c r="Y1191">
        <v>0</v>
      </c>
    </row>
    <row r="1192" spans="1:25" x14ac:dyDescent="0.2">
      <c r="A1192" t="s">
        <v>4398</v>
      </c>
      <c r="B1192" t="s">
        <v>4399</v>
      </c>
      <c r="C1192" t="s">
        <v>4400</v>
      </c>
      <c r="D1192" t="s">
        <v>4401</v>
      </c>
      <c r="E1192" t="s">
        <v>4399</v>
      </c>
      <c r="F1192" t="s">
        <v>28</v>
      </c>
      <c r="G1192" t="s">
        <v>4399</v>
      </c>
      <c r="H1192" t="str">
        <f>"eif-6"</f>
        <v>eif-6</v>
      </c>
      <c r="I1192" t="s">
        <v>4401</v>
      </c>
      <c r="J1192">
        <v>13.350831132112001</v>
      </c>
      <c r="K1192">
        <v>13.3643077265071</v>
      </c>
      <c r="L1192">
        <v>13.413391770017901</v>
      </c>
      <c r="M1192">
        <v>13.9598481406014</v>
      </c>
      <c r="N1192">
        <v>13.4321730449581</v>
      </c>
      <c r="O1192">
        <v>13.5702130895283</v>
      </c>
      <c r="P1192">
        <v>0.27790121548358798</v>
      </c>
      <c r="Q1192">
        <v>-0.34458877720587</v>
      </c>
      <c r="R1192">
        <v>0.90039120817304696</v>
      </c>
      <c r="S1192">
        <v>13.683060049018399</v>
      </c>
      <c r="T1192">
        <v>0.95213751739359898</v>
      </c>
      <c r="U1192">
        <v>-6.4179089413477204</v>
      </c>
      <c r="V1192">
        <v>0.35622344470988199</v>
      </c>
      <c r="W1192">
        <v>0.88207710118637295</v>
      </c>
      <c r="X1192">
        <v>0</v>
      </c>
      <c r="Y1192">
        <v>0</v>
      </c>
    </row>
    <row r="1193" spans="1:25" x14ac:dyDescent="0.2">
      <c r="A1193" t="s">
        <v>4402</v>
      </c>
      <c r="B1193" t="s">
        <v>4403</v>
      </c>
      <c r="C1193" t="s">
        <v>4404</v>
      </c>
      <c r="D1193" t="s">
        <v>4405</v>
      </c>
      <c r="E1193" t="s">
        <v>4403</v>
      </c>
      <c r="F1193" t="s">
        <v>28</v>
      </c>
      <c r="G1193" t="s">
        <v>4403</v>
      </c>
      <c r="H1193" t="str">
        <f>"tag-175"</f>
        <v>tag-175</v>
      </c>
      <c r="I1193" t="s">
        <v>4405</v>
      </c>
      <c r="J1193" t="s">
        <v>29</v>
      </c>
      <c r="K1193" t="s">
        <v>29</v>
      </c>
      <c r="L1193" t="s">
        <v>29</v>
      </c>
      <c r="M1193" t="s">
        <v>29</v>
      </c>
      <c r="N1193" t="s">
        <v>29</v>
      </c>
      <c r="O1193" t="s">
        <v>29</v>
      </c>
      <c r="P1193" t="s">
        <v>29</v>
      </c>
      <c r="Q1193" t="s">
        <v>29</v>
      </c>
      <c r="R1193" t="s">
        <v>29</v>
      </c>
      <c r="S1193">
        <v>10.7175521224043</v>
      </c>
      <c r="T1193" t="s">
        <v>29</v>
      </c>
      <c r="U1193" t="s">
        <v>29</v>
      </c>
      <c r="V1193" t="s">
        <v>29</v>
      </c>
      <c r="W1193" t="s">
        <v>29</v>
      </c>
      <c r="X1193" t="s">
        <v>29</v>
      </c>
      <c r="Y1193" t="s">
        <v>29</v>
      </c>
    </row>
    <row r="1194" spans="1:25" x14ac:dyDescent="0.2">
      <c r="A1194" t="s">
        <v>4406</v>
      </c>
      <c r="B1194" t="s">
        <v>4407</v>
      </c>
      <c r="C1194" t="s">
        <v>4408</v>
      </c>
      <c r="D1194" t="s">
        <v>4409</v>
      </c>
      <c r="E1194" t="s">
        <v>4407</v>
      </c>
      <c r="F1194" t="s">
        <v>28</v>
      </c>
      <c r="G1194" t="s">
        <v>4407</v>
      </c>
      <c r="H1194" t="str">
        <f>"inx-14"</f>
        <v>inx-14</v>
      </c>
      <c r="I1194" t="s">
        <v>4409</v>
      </c>
      <c r="J1194">
        <v>10.993192361299601</v>
      </c>
      <c r="K1194">
        <v>10.7514156631311</v>
      </c>
      <c r="L1194">
        <v>11.7515774107223</v>
      </c>
      <c r="M1194">
        <v>10.874822128644499</v>
      </c>
      <c r="N1194">
        <v>11.3793206854043</v>
      </c>
      <c r="O1194" t="s">
        <v>29</v>
      </c>
      <c r="P1194">
        <v>-3.8323738026612403E-2</v>
      </c>
      <c r="Q1194">
        <v>-0.79232779401817899</v>
      </c>
      <c r="R1194">
        <v>0.71568031796495402</v>
      </c>
      <c r="S1194">
        <v>11.317033643913</v>
      </c>
      <c r="T1194">
        <v>-0.109090284279988</v>
      </c>
      <c r="U1194">
        <v>-6.7659108987790004</v>
      </c>
      <c r="V1194">
        <v>0.91469064845532</v>
      </c>
      <c r="W1194">
        <v>0.99833354317360001</v>
      </c>
      <c r="X1194">
        <v>0</v>
      </c>
      <c r="Y1194">
        <v>0</v>
      </c>
    </row>
    <row r="1195" spans="1:25" x14ac:dyDescent="0.2">
      <c r="A1195" t="s">
        <v>4410</v>
      </c>
      <c r="B1195" t="s">
        <v>4411</v>
      </c>
      <c r="C1195" t="s">
        <v>4412</v>
      </c>
      <c r="D1195" t="s">
        <v>4413</v>
      </c>
      <c r="E1195" t="s">
        <v>4411</v>
      </c>
      <c r="F1195" t="s">
        <v>28</v>
      </c>
      <c r="G1195" t="s">
        <v>4411</v>
      </c>
      <c r="H1195" t="str">
        <f>"acox-1.2"</f>
        <v>acox-1.2</v>
      </c>
      <c r="I1195" t="s">
        <v>4413</v>
      </c>
      <c r="J1195">
        <v>15.143125382294301</v>
      </c>
      <c r="K1195">
        <v>14.816248741147801</v>
      </c>
      <c r="L1195">
        <v>14.8534041699667</v>
      </c>
      <c r="M1195">
        <v>15.384749251151</v>
      </c>
      <c r="N1195">
        <v>15.5179134237029</v>
      </c>
      <c r="O1195">
        <v>14.7481906828214</v>
      </c>
      <c r="P1195">
        <v>0.279358354755461</v>
      </c>
      <c r="Q1195">
        <v>-0.152095965285415</v>
      </c>
      <c r="R1195">
        <v>0.71081267479633703</v>
      </c>
      <c r="S1195">
        <v>14.525191960010099</v>
      </c>
      <c r="T1195">
        <v>1.3608785086467701</v>
      </c>
      <c r="U1195">
        <v>-5.9621763321255798</v>
      </c>
      <c r="V1195">
        <v>0.19044582477550501</v>
      </c>
      <c r="W1195">
        <v>0.78295732499061499</v>
      </c>
      <c r="X1195">
        <v>0</v>
      </c>
      <c r="Y1195">
        <v>0</v>
      </c>
    </row>
    <row r="1196" spans="1:25" x14ac:dyDescent="0.2">
      <c r="A1196" t="s">
        <v>4414</v>
      </c>
      <c r="B1196" t="s">
        <v>4415</v>
      </c>
      <c r="C1196" t="s">
        <v>4416</v>
      </c>
      <c r="D1196" t="s">
        <v>4417</v>
      </c>
      <c r="E1196" t="s">
        <v>4415</v>
      </c>
      <c r="F1196" t="s">
        <v>28</v>
      </c>
      <c r="G1196" t="s">
        <v>4415</v>
      </c>
      <c r="H1196" t="str">
        <f>"acox-1.4"</f>
        <v>acox-1.4</v>
      </c>
      <c r="I1196" t="s">
        <v>4417</v>
      </c>
      <c r="J1196">
        <v>12.792713444372501</v>
      </c>
      <c r="K1196">
        <v>12.423416637731901</v>
      </c>
      <c r="L1196">
        <v>12.673914696409</v>
      </c>
      <c r="M1196">
        <v>13.3402382901374</v>
      </c>
      <c r="N1196">
        <v>13.378947615698101</v>
      </c>
      <c r="O1196">
        <v>12.658383527261099</v>
      </c>
      <c r="P1196">
        <v>0.49584155152772902</v>
      </c>
      <c r="Q1196">
        <v>3.4855493550052803E-2</v>
      </c>
      <c r="R1196">
        <v>0.95682760950540502</v>
      </c>
      <c r="S1196">
        <v>12.512640042943101</v>
      </c>
      <c r="T1196">
        <v>2.2607244962538098</v>
      </c>
      <c r="U1196">
        <v>-4.5367850433285399</v>
      </c>
      <c r="V1196">
        <v>3.6479616247552298E-2</v>
      </c>
      <c r="W1196">
        <v>0.41719643598575201</v>
      </c>
      <c r="X1196">
        <v>0</v>
      </c>
      <c r="Y1196">
        <v>0</v>
      </c>
    </row>
    <row r="1197" spans="1:25" x14ac:dyDescent="0.2">
      <c r="A1197" t="s">
        <v>4418</v>
      </c>
      <c r="B1197" t="s">
        <v>4419</v>
      </c>
      <c r="C1197" t="s">
        <v>4420</v>
      </c>
      <c r="D1197" t="s">
        <v>4421</v>
      </c>
      <c r="E1197" t="s">
        <v>4419</v>
      </c>
      <c r="F1197" t="s">
        <v>28</v>
      </c>
      <c r="G1197" t="s">
        <v>4419</v>
      </c>
      <c r="H1197" t="str">
        <f>"acox-1.1"</f>
        <v>acox-1.1</v>
      </c>
      <c r="I1197" t="s">
        <v>4421</v>
      </c>
      <c r="J1197">
        <v>11.3043976341429</v>
      </c>
      <c r="K1197" t="s">
        <v>29</v>
      </c>
      <c r="L1197">
        <v>12.0934871534922</v>
      </c>
      <c r="M1197">
        <v>12.118241220557101</v>
      </c>
      <c r="N1197">
        <v>12.616605031475</v>
      </c>
      <c r="O1197">
        <v>11.857514501902701</v>
      </c>
      <c r="P1197">
        <v>0.49851119082735101</v>
      </c>
      <c r="Q1197">
        <v>-0.218848227357648</v>
      </c>
      <c r="R1197">
        <v>1.2158706090123499</v>
      </c>
      <c r="S1197">
        <v>11.9027809623081</v>
      </c>
      <c r="T1197">
        <v>1.4821075285713301</v>
      </c>
      <c r="U1197">
        <v>-5.6939649683454201</v>
      </c>
      <c r="V1197">
        <v>0.15915749973094201</v>
      </c>
      <c r="W1197">
        <v>0.75776274550010803</v>
      </c>
      <c r="X1197">
        <v>0</v>
      </c>
      <c r="Y1197">
        <v>0</v>
      </c>
    </row>
    <row r="1198" spans="1:25" x14ac:dyDescent="0.2">
      <c r="A1198" t="s">
        <v>4422</v>
      </c>
      <c r="B1198" t="s">
        <v>4423</v>
      </c>
      <c r="C1198" t="s">
        <v>4424</v>
      </c>
      <c r="D1198" t="s">
        <v>4425</v>
      </c>
      <c r="E1198" t="s">
        <v>4423</v>
      </c>
      <c r="F1198" t="s">
        <v>28</v>
      </c>
      <c r="G1198" t="s">
        <v>4423</v>
      </c>
      <c r="H1198" t="str">
        <f>"aly-2"</f>
        <v>aly-2</v>
      </c>
      <c r="I1198" t="s">
        <v>4425</v>
      </c>
      <c r="J1198">
        <v>13.5202599934051</v>
      </c>
      <c r="K1198">
        <v>14.0251473492385</v>
      </c>
      <c r="L1198">
        <v>14.2051070803121</v>
      </c>
      <c r="M1198">
        <v>13.6558705704527</v>
      </c>
      <c r="N1198">
        <v>13.654170652643201</v>
      </c>
      <c r="O1198">
        <v>13.596031671762599</v>
      </c>
      <c r="P1198">
        <v>-0.28148050936573399</v>
      </c>
      <c r="Q1198">
        <v>-0.82769781734534897</v>
      </c>
      <c r="R1198">
        <v>0.264736798613882</v>
      </c>
      <c r="S1198">
        <v>14.216519942992001</v>
      </c>
      <c r="T1198">
        <v>-1.08775949746078</v>
      </c>
      <c r="U1198">
        <v>-6.2832889549331297</v>
      </c>
      <c r="V1198">
        <v>0.29197611528954898</v>
      </c>
      <c r="W1198">
        <v>0.85855590823088301</v>
      </c>
      <c r="X1198">
        <v>0</v>
      </c>
      <c r="Y1198">
        <v>0</v>
      </c>
    </row>
    <row r="1199" spans="1:25" x14ac:dyDescent="0.2">
      <c r="A1199" t="s">
        <v>4426</v>
      </c>
      <c r="B1199" t="s">
        <v>4427</v>
      </c>
      <c r="C1199" t="s">
        <v>4428</v>
      </c>
      <c r="D1199" t="s">
        <v>4429</v>
      </c>
      <c r="E1199" t="s">
        <v>4427</v>
      </c>
      <c r="F1199" t="s">
        <v>28</v>
      </c>
      <c r="G1199" t="s">
        <v>4427</v>
      </c>
      <c r="H1199" t="str">
        <f>"rsr-1"</f>
        <v>rsr-1</v>
      </c>
      <c r="I1199" t="s">
        <v>4429</v>
      </c>
      <c r="J1199">
        <v>14.119472153809101</v>
      </c>
      <c r="K1199">
        <v>14.440824562943</v>
      </c>
      <c r="L1199">
        <v>14.840084460162901</v>
      </c>
      <c r="M1199">
        <v>14.250362674042</v>
      </c>
      <c r="N1199">
        <v>14.2186184786061</v>
      </c>
      <c r="O1199">
        <v>14.245168785264299</v>
      </c>
      <c r="P1199">
        <v>-0.228743746334203</v>
      </c>
      <c r="Q1199">
        <v>-0.83942490462502195</v>
      </c>
      <c r="R1199">
        <v>0.38193741195661501</v>
      </c>
      <c r="S1199">
        <v>14.5340938315322</v>
      </c>
      <c r="T1199">
        <v>-0.79448232314238498</v>
      </c>
      <c r="U1199">
        <v>-6.55698005607199</v>
      </c>
      <c r="V1199">
        <v>0.43861656760249601</v>
      </c>
      <c r="W1199">
        <v>0.91824106585927701</v>
      </c>
      <c r="X1199">
        <v>0</v>
      </c>
      <c r="Y1199">
        <v>0</v>
      </c>
    </row>
    <row r="1200" spans="1:25" x14ac:dyDescent="0.2">
      <c r="A1200" t="s">
        <v>4430</v>
      </c>
      <c r="B1200" t="s">
        <v>4431</v>
      </c>
      <c r="C1200" t="s">
        <v>14385</v>
      </c>
      <c r="D1200" t="s">
        <v>4432</v>
      </c>
      <c r="E1200" t="s">
        <v>4431</v>
      </c>
      <c r="F1200" t="s">
        <v>28</v>
      </c>
      <c r="G1200" t="s">
        <v>4431</v>
      </c>
      <c r="H1200" t="str">
        <f>"F32A11.1"</f>
        <v>F32A11.1</v>
      </c>
      <c r="I1200" t="s">
        <v>4432</v>
      </c>
      <c r="J1200">
        <v>14.7875378319345</v>
      </c>
      <c r="K1200">
        <v>14.642639840069</v>
      </c>
      <c r="L1200">
        <v>15.0127931697491</v>
      </c>
      <c r="M1200">
        <v>14.923631936087</v>
      </c>
      <c r="N1200">
        <v>14.7895670469942</v>
      </c>
      <c r="O1200">
        <v>14.4740976281157</v>
      </c>
      <c r="P1200">
        <v>-8.5224743518573107E-2</v>
      </c>
      <c r="Q1200">
        <v>-0.56737612243956104</v>
      </c>
      <c r="R1200">
        <v>0.39692663540241502</v>
      </c>
      <c r="S1200">
        <v>15.058903720667301</v>
      </c>
      <c r="T1200">
        <v>-0.37151367382147299</v>
      </c>
      <c r="U1200">
        <v>-6.8106526663064004</v>
      </c>
      <c r="V1200">
        <v>0.71461722092046698</v>
      </c>
      <c r="W1200">
        <v>0.98786722894487999</v>
      </c>
      <c r="X1200">
        <v>0</v>
      </c>
      <c r="Y1200">
        <v>0</v>
      </c>
    </row>
    <row r="1201" spans="1:25" x14ac:dyDescent="0.2">
      <c r="A1201" t="s">
        <v>4433</v>
      </c>
      <c r="B1201" t="s">
        <v>4434</v>
      </c>
      <c r="C1201" t="s">
        <v>4435</v>
      </c>
      <c r="D1201" t="s">
        <v>4436</v>
      </c>
      <c r="E1201" t="s">
        <v>4434</v>
      </c>
      <c r="F1201" t="s">
        <v>28</v>
      </c>
      <c r="G1201" t="s">
        <v>4434</v>
      </c>
      <c r="H1201" t="str">
        <f>"phm-2"</f>
        <v>phm-2</v>
      </c>
      <c r="I1201" t="s">
        <v>4436</v>
      </c>
      <c r="J1201">
        <v>14.0012557064251</v>
      </c>
      <c r="K1201">
        <v>14.1526290223158</v>
      </c>
      <c r="L1201">
        <v>14.196415038211001</v>
      </c>
      <c r="M1201">
        <v>13.7813358736335</v>
      </c>
      <c r="N1201">
        <v>14.100843792567201</v>
      </c>
      <c r="O1201">
        <v>13.9779567892603</v>
      </c>
      <c r="P1201">
        <v>-0.16338777049698</v>
      </c>
      <c r="Q1201">
        <v>-0.69445919832076297</v>
      </c>
      <c r="R1201">
        <v>0.36768365732680303</v>
      </c>
      <c r="S1201">
        <v>14.032339736670901</v>
      </c>
      <c r="T1201">
        <v>-0.64663487426180899</v>
      </c>
      <c r="U1201">
        <v>-6.6665532346792302</v>
      </c>
      <c r="V1201">
        <v>0.526075879864908</v>
      </c>
      <c r="W1201">
        <v>0.94259531549477504</v>
      </c>
      <c r="X1201">
        <v>0</v>
      </c>
      <c r="Y1201">
        <v>0</v>
      </c>
    </row>
    <row r="1202" spans="1:25" x14ac:dyDescent="0.2">
      <c r="A1202" t="s">
        <v>4437</v>
      </c>
      <c r="B1202" t="s">
        <v>4438</v>
      </c>
      <c r="C1202" t="s">
        <v>4439</v>
      </c>
      <c r="D1202" t="s">
        <v>1510</v>
      </c>
      <c r="E1202" t="s">
        <v>4438</v>
      </c>
      <c r="F1202" t="s">
        <v>28</v>
      </c>
      <c r="G1202" t="s">
        <v>4438</v>
      </c>
      <c r="H1202" t="str">
        <f>"cey-1"</f>
        <v>cey-1</v>
      </c>
      <c r="I1202" t="s">
        <v>1510</v>
      </c>
      <c r="J1202">
        <v>13.0027113318415</v>
      </c>
      <c r="K1202">
        <v>13.273386792570699</v>
      </c>
      <c r="L1202">
        <v>13.1193709173334</v>
      </c>
      <c r="M1202">
        <v>13.6133446200409</v>
      </c>
      <c r="N1202">
        <v>12.9105028342456</v>
      </c>
      <c r="O1202">
        <v>13.684586587141499</v>
      </c>
      <c r="P1202">
        <v>0.27098833322743598</v>
      </c>
      <c r="Q1202">
        <v>-0.64154201826838397</v>
      </c>
      <c r="R1202">
        <v>1.1835186847232599</v>
      </c>
      <c r="S1202">
        <v>13.010137889495899</v>
      </c>
      <c r="T1202">
        <v>0.62415979242355701</v>
      </c>
      <c r="U1202">
        <v>-6.6811436704907798</v>
      </c>
      <c r="V1202">
        <v>0.54039884959691098</v>
      </c>
      <c r="W1202">
        <v>0.94712801350500597</v>
      </c>
      <c r="X1202">
        <v>0</v>
      </c>
      <c r="Y1202">
        <v>0</v>
      </c>
    </row>
    <row r="1203" spans="1:25" x14ac:dyDescent="0.2">
      <c r="A1203" t="s">
        <v>4440</v>
      </c>
      <c r="B1203" t="s">
        <v>4441</v>
      </c>
      <c r="C1203" t="s">
        <v>14386</v>
      </c>
      <c r="D1203" t="s">
        <v>4442</v>
      </c>
      <c r="E1203" t="s">
        <v>4441</v>
      </c>
      <c r="F1203" t="s">
        <v>28</v>
      </c>
      <c r="G1203" t="s">
        <v>4441</v>
      </c>
      <c r="H1203" t="str">
        <f>"F33A8.4"</f>
        <v>F33A8.4</v>
      </c>
      <c r="I1203" t="s">
        <v>4442</v>
      </c>
      <c r="J1203">
        <v>12.510339795204199</v>
      </c>
      <c r="K1203">
        <v>12.8679295071449</v>
      </c>
      <c r="L1203">
        <v>12.4762736667025</v>
      </c>
      <c r="M1203">
        <v>12.7031139438892</v>
      </c>
      <c r="N1203">
        <v>12.946926304447</v>
      </c>
      <c r="O1203">
        <v>12.5088306547585</v>
      </c>
      <c r="P1203">
        <v>0.101442644681077</v>
      </c>
      <c r="Q1203">
        <v>-0.99290198654221695</v>
      </c>
      <c r="R1203">
        <v>1.19578727590437</v>
      </c>
      <c r="S1203">
        <v>13.521530047018301</v>
      </c>
      <c r="T1203">
        <v>0.19566649457454199</v>
      </c>
      <c r="U1203">
        <v>-6.8624458097087997</v>
      </c>
      <c r="V1203">
        <v>0.84720518988317695</v>
      </c>
      <c r="W1203">
        <v>0.99370971747667503</v>
      </c>
      <c r="X1203">
        <v>0</v>
      </c>
      <c r="Y1203">
        <v>0</v>
      </c>
    </row>
    <row r="1204" spans="1:25" x14ac:dyDescent="0.2">
      <c r="A1204" t="s">
        <v>4443</v>
      </c>
      <c r="B1204" t="s">
        <v>4444</v>
      </c>
      <c r="C1204" t="s">
        <v>14387</v>
      </c>
      <c r="D1204" t="s">
        <v>4445</v>
      </c>
      <c r="E1204" t="s">
        <v>4444</v>
      </c>
      <c r="F1204" t="s">
        <v>28</v>
      </c>
      <c r="G1204" t="s">
        <v>4444</v>
      </c>
      <c r="H1204" t="str">
        <f>"F33H2.6"</f>
        <v>F33H2.6</v>
      </c>
      <c r="I1204" t="s">
        <v>4445</v>
      </c>
      <c r="J1204">
        <v>13.374044068626301</v>
      </c>
      <c r="K1204">
        <v>13.4918747548701</v>
      </c>
      <c r="L1204">
        <v>13.372213036665601</v>
      </c>
      <c r="M1204">
        <v>13.508465512260701</v>
      </c>
      <c r="N1204">
        <v>13.375077399428401</v>
      </c>
      <c r="O1204">
        <v>13.510559631739399</v>
      </c>
      <c r="P1204">
        <v>5.1990227755501599E-2</v>
      </c>
      <c r="Q1204">
        <v>-0.44024610473035303</v>
      </c>
      <c r="R1204">
        <v>0.54422656024135596</v>
      </c>
      <c r="S1204">
        <v>13.142594323030901</v>
      </c>
      <c r="T1204">
        <v>0.22294516939711201</v>
      </c>
      <c r="U1204">
        <v>-6.8564763289311896</v>
      </c>
      <c r="V1204">
        <v>0.82625132148188896</v>
      </c>
      <c r="W1204">
        <v>0.99339170295129098</v>
      </c>
      <c r="X1204">
        <v>0</v>
      </c>
      <c r="Y1204">
        <v>0</v>
      </c>
    </row>
    <row r="1205" spans="1:25" x14ac:dyDescent="0.2">
      <c r="A1205" t="s">
        <v>4446</v>
      </c>
      <c r="B1205" t="s">
        <v>4447</v>
      </c>
      <c r="C1205" t="s">
        <v>4448</v>
      </c>
      <c r="D1205" t="s">
        <v>4449</v>
      </c>
      <c r="E1205" t="s">
        <v>4447</v>
      </c>
      <c r="F1205" t="s">
        <v>28</v>
      </c>
      <c r="G1205" t="s">
        <v>4447</v>
      </c>
      <c r="H1205" t="str">
        <f>"pole-1"</f>
        <v>pole-1</v>
      </c>
      <c r="I1205" t="s">
        <v>4449</v>
      </c>
      <c r="J1205" t="s">
        <v>29</v>
      </c>
      <c r="K1205" t="s">
        <v>29</v>
      </c>
      <c r="L1205">
        <v>12.2160608913759</v>
      </c>
      <c r="M1205">
        <v>10.372330459989101</v>
      </c>
      <c r="N1205">
        <v>11.8669016336378</v>
      </c>
      <c r="O1205" t="s">
        <v>29</v>
      </c>
      <c r="P1205">
        <v>-1.09644484456243</v>
      </c>
      <c r="Q1205">
        <v>-2.4168232598772699</v>
      </c>
      <c r="R1205">
        <v>0.22393357075241699</v>
      </c>
      <c r="S1205">
        <v>12.3796192149834</v>
      </c>
      <c r="T1205">
        <v>-1.8110622835011001</v>
      </c>
      <c r="U1205">
        <v>-4.9538662654082497</v>
      </c>
      <c r="V1205">
        <v>9.5441082078576406E-2</v>
      </c>
      <c r="W1205">
        <v>0.63976606113411705</v>
      </c>
      <c r="X1205">
        <v>0</v>
      </c>
      <c r="Y1205">
        <v>0</v>
      </c>
    </row>
    <row r="1206" spans="1:25" x14ac:dyDescent="0.2">
      <c r="A1206" t="s">
        <v>4450</v>
      </c>
      <c r="B1206" t="s">
        <v>4451</v>
      </c>
      <c r="C1206" t="s">
        <v>14388</v>
      </c>
      <c r="D1206" t="s">
        <v>4452</v>
      </c>
      <c r="E1206" t="s">
        <v>4451</v>
      </c>
      <c r="F1206" t="s">
        <v>28</v>
      </c>
      <c r="G1206" t="s">
        <v>4451</v>
      </c>
      <c r="H1206" t="str">
        <f>"F33H2.2"</f>
        <v>F33H2.2</v>
      </c>
      <c r="I1206" t="s">
        <v>4452</v>
      </c>
      <c r="J1206">
        <v>13.3319415156293</v>
      </c>
      <c r="K1206">
        <v>13.3598963096315</v>
      </c>
      <c r="L1206">
        <v>13.089182897044299</v>
      </c>
      <c r="M1206">
        <v>12.7920711279858</v>
      </c>
      <c r="N1206">
        <v>13.098888879897199</v>
      </c>
      <c r="O1206">
        <v>13.3687120386367</v>
      </c>
      <c r="P1206">
        <v>-0.173782891928425</v>
      </c>
      <c r="Q1206">
        <v>-0.601651464737601</v>
      </c>
      <c r="R1206">
        <v>0.25408568088075001</v>
      </c>
      <c r="S1206">
        <v>13.0111354271321</v>
      </c>
      <c r="T1206">
        <v>-0.86148190828251403</v>
      </c>
      <c r="U1206">
        <v>-6.5010647525962497</v>
      </c>
      <c r="V1206">
        <v>0.401782191840314</v>
      </c>
      <c r="W1206">
        <v>0.91027279600179201</v>
      </c>
      <c r="X1206">
        <v>0</v>
      </c>
      <c r="Y1206">
        <v>0</v>
      </c>
    </row>
    <row r="1207" spans="1:25" x14ac:dyDescent="0.2">
      <c r="A1207" t="s">
        <v>4453</v>
      </c>
      <c r="B1207" t="s">
        <v>4454</v>
      </c>
      <c r="C1207" t="s">
        <v>14389</v>
      </c>
      <c r="D1207" t="s">
        <v>3427</v>
      </c>
      <c r="E1207" t="s">
        <v>4454</v>
      </c>
      <c r="F1207" t="s">
        <v>28</v>
      </c>
      <c r="G1207" t="s">
        <v>4454</v>
      </c>
      <c r="H1207" t="str">
        <f>"F33H2.8"</f>
        <v>F33H2.8</v>
      </c>
      <c r="I1207" t="s">
        <v>3427</v>
      </c>
      <c r="J1207">
        <v>13.3035959659239</v>
      </c>
      <c r="K1207">
        <v>13.249124556482</v>
      </c>
      <c r="L1207">
        <v>12.9553514743083</v>
      </c>
      <c r="M1207" t="s">
        <v>29</v>
      </c>
      <c r="N1207" t="s">
        <v>29</v>
      </c>
      <c r="O1207">
        <v>13.0202179886697</v>
      </c>
      <c r="P1207">
        <v>-0.149139343568368</v>
      </c>
      <c r="Q1207">
        <v>-0.788051269440736</v>
      </c>
      <c r="R1207">
        <v>0.489772582304</v>
      </c>
      <c r="S1207">
        <v>12.7522936318927</v>
      </c>
      <c r="T1207">
        <v>-0.50909196781622501</v>
      </c>
      <c r="U1207">
        <v>-6.4049373787340604</v>
      </c>
      <c r="V1207">
        <v>0.61999898592860603</v>
      </c>
      <c r="W1207">
        <v>0.97279262440453396</v>
      </c>
      <c r="X1207">
        <v>0</v>
      </c>
      <c r="Y1207">
        <v>0</v>
      </c>
    </row>
    <row r="1208" spans="1:25" x14ac:dyDescent="0.2">
      <c r="A1208" t="s">
        <v>4455</v>
      </c>
      <c r="B1208" t="s">
        <v>4456</v>
      </c>
      <c r="C1208" t="s">
        <v>4457</v>
      </c>
      <c r="D1208" t="s">
        <v>4458</v>
      </c>
      <c r="E1208" t="s">
        <v>4456</v>
      </c>
      <c r="F1208" t="s">
        <v>28</v>
      </c>
      <c r="G1208" t="s">
        <v>4456</v>
      </c>
      <c r="H1208" t="str">
        <f>"rbpl-1"</f>
        <v>rbpl-1</v>
      </c>
      <c r="I1208" t="s">
        <v>4458</v>
      </c>
      <c r="J1208">
        <v>13.250742019596901</v>
      </c>
      <c r="K1208">
        <v>12.5172843367413</v>
      </c>
      <c r="L1208">
        <v>12.1907453608969</v>
      </c>
      <c r="M1208">
        <v>12.626697486842099</v>
      </c>
      <c r="N1208">
        <v>12.2839671290757</v>
      </c>
      <c r="O1208">
        <v>12.8853317372463</v>
      </c>
      <c r="P1208">
        <v>-5.42584546903324E-2</v>
      </c>
      <c r="Q1208">
        <v>-0.74832535843246795</v>
      </c>
      <c r="R1208">
        <v>0.63980844905180301</v>
      </c>
      <c r="S1208">
        <v>12.7717625561076</v>
      </c>
      <c r="T1208">
        <v>-0.16672767373945099</v>
      </c>
      <c r="U1208">
        <v>-6.86782411062521</v>
      </c>
      <c r="V1208">
        <v>0.86982660794678401</v>
      </c>
      <c r="W1208">
        <v>0.99457622291666603</v>
      </c>
      <c r="X1208">
        <v>0</v>
      </c>
      <c r="Y1208">
        <v>0</v>
      </c>
    </row>
    <row r="1209" spans="1:25" x14ac:dyDescent="0.2">
      <c r="A1209" t="s">
        <v>4459</v>
      </c>
      <c r="B1209" t="s">
        <v>4460</v>
      </c>
      <c r="C1209" t="s">
        <v>4461</v>
      </c>
      <c r="D1209" t="s">
        <v>2180</v>
      </c>
      <c r="E1209" t="s">
        <v>4460</v>
      </c>
      <c r="F1209" t="s">
        <v>28</v>
      </c>
      <c r="G1209" t="s">
        <v>4460</v>
      </c>
      <c r="H1209" t="str">
        <f>"myo-6"</f>
        <v>myo-6</v>
      </c>
      <c r="I1209" t="s">
        <v>2180</v>
      </c>
      <c r="J1209" t="s">
        <v>29</v>
      </c>
      <c r="K1209">
        <v>11.0863310363751</v>
      </c>
      <c r="L1209">
        <v>11.773182490999</v>
      </c>
      <c r="M1209">
        <v>12.022649358939701</v>
      </c>
      <c r="N1209" t="s">
        <v>29</v>
      </c>
      <c r="O1209" t="s">
        <v>29</v>
      </c>
      <c r="P1209">
        <v>0.59289259525267601</v>
      </c>
      <c r="Q1209">
        <v>-0.41390932870109398</v>
      </c>
      <c r="R1209">
        <v>1.59969451920645</v>
      </c>
      <c r="S1209">
        <v>11.9387855198541</v>
      </c>
      <c r="T1209">
        <v>1.3140106344248701</v>
      </c>
      <c r="U1209">
        <v>-5.6289864898125899</v>
      </c>
      <c r="V1209">
        <v>0.218488448589166</v>
      </c>
      <c r="W1209">
        <v>0.79508962856638699</v>
      </c>
      <c r="X1209">
        <v>0</v>
      </c>
      <c r="Y1209">
        <v>0</v>
      </c>
    </row>
    <row r="1210" spans="1:25" x14ac:dyDescent="0.2">
      <c r="A1210" t="s">
        <v>4462</v>
      </c>
      <c r="B1210" t="s">
        <v>4463</v>
      </c>
      <c r="C1210" t="s">
        <v>4464</v>
      </c>
      <c r="D1210" t="s">
        <v>4465</v>
      </c>
      <c r="E1210" t="s">
        <v>4463</v>
      </c>
      <c r="F1210" t="s">
        <v>28</v>
      </c>
      <c r="G1210" t="s">
        <v>4463</v>
      </c>
      <c r="H1210" t="str">
        <f>"exo-1"</f>
        <v>exo-1</v>
      </c>
      <c r="I1210" t="s">
        <v>4465</v>
      </c>
      <c r="J1210" t="s">
        <v>29</v>
      </c>
      <c r="K1210" t="s">
        <v>29</v>
      </c>
      <c r="L1210" t="s">
        <v>29</v>
      </c>
      <c r="M1210" t="s">
        <v>29</v>
      </c>
      <c r="N1210" t="s">
        <v>29</v>
      </c>
      <c r="O1210" t="s">
        <v>29</v>
      </c>
      <c r="P1210" t="s">
        <v>29</v>
      </c>
      <c r="Q1210" t="s">
        <v>29</v>
      </c>
      <c r="R1210" t="s">
        <v>29</v>
      </c>
      <c r="S1210">
        <v>10.353943903467</v>
      </c>
      <c r="T1210" t="s">
        <v>29</v>
      </c>
      <c r="U1210" t="s">
        <v>29</v>
      </c>
      <c r="V1210" t="s">
        <v>29</v>
      </c>
      <c r="W1210" t="s">
        <v>29</v>
      </c>
      <c r="X1210" t="s">
        <v>29</v>
      </c>
      <c r="Y1210" t="s">
        <v>29</v>
      </c>
    </row>
    <row r="1211" spans="1:25" x14ac:dyDescent="0.2">
      <c r="A1211" t="s">
        <v>4466</v>
      </c>
      <c r="B1211" t="s">
        <v>4467</v>
      </c>
      <c r="C1211" t="s">
        <v>4468</v>
      </c>
      <c r="D1211" t="s">
        <v>4469</v>
      </c>
      <c r="E1211" t="s">
        <v>4467</v>
      </c>
      <c r="F1211" t="s">
        <v>28</v>
      </c>
      <c r="G1211" t="s">
        <v>4467</v>
      </c>
      <c r="H1211" t="str">
        <f>"cope-1"</f>
        <v>cope-1</v>
      </c>
      <c r="I1211" t="s">
        <v>4469</v>
      </c>
      <c r="J1211">
        <v>14.516429838579599</v>
      </c>
      <c r="K1211">
        <v>14.712390999426599</v>
      </c>
      <c r="L1211">
        <v>14.193640558404701</v>
      </c>
      <c r="M1211">
        <v>14.6447293731293</v>
      </c>
      <c r="N1211">
        <v>14.1670780053357</v>
      </c>
      <c r="O1211">
        <v>14.7430901289743</v>
      </c>
      <c r="P1211">
        <v>4.4145370342794997E-2</v>
      </c>
      <c r="Q1211">
        <v>-0.40920503610515802</v>
      </c>
      <c r="R1211">
        <v>0.49749577679074802</v>
      </c>
      <c r="S1211">
        <v>14.2152114131255</v>
      </c>
      <c r="T1211">
        <v>0.20653834131041399</v>
      </c>
      <c r="U1211">
        <v>-6.8600827433326899</v>
      </c>
      <c r="V1211">
        <v>0.83899285311175198</v>
      </c>
      <c r="W1211">
        <v>0.99370971747667503</v>
      </c>
      <c r="X1211">
        <v>0</v>
      </c>
      <c r="Y1211">
        <v>0</v>
      </c>
    </row>
    <row r="1212" spans="1:25" x14ac:dyDescent="0.2">
      <c r="A1212" t="s">
        <v>4470</v>
      </c>
      <c r="B1212" t="s">
        <v>4471</v>
      </c>
      <c r="C1212" t="s">
        <v>4472</v>
      </c>
      <c r="D1212" t="s">
        <v>4473</v>
      </c>
      <c r="E1212" t="s">
        <v>4471</v>
      </c>
      <c r="F1212" t="s">
        <v>28</v>
      </c>
      <c r="G1212" t="s">
        <v>4471</v>
      </c>
      <c r="H1212" t="str">
        <f>"F45G2.9"</f>
        <v>F45G2.9</v>
      </c>
      <c r="I1212" t="s">
        <v>4473</v>
      </c>
      <c r="J1212">
        <v>12.4510097310358</v>
      </c>
      <c r="K1212">
        <v>13.391939604868201</v>
      </c>
      <c r="L1212">
        <v>12.878682213226901</v>
      </c>
      <c r="M1212">
        <v>12.274183018093</v>
      </c>
      <c r="N1212">
        <v>13.002624575042899</v>
      </c>
      <c r="O1212">
        <v>12.008850892791701</v>
      </c>
      <c r="P1212">
        <v>-0.47865768773439399</v>
      </c>
      <c r="Q1212">
        <v>-1.61697472761662</v>
      </c>
      <c r="R1212">
        <v>0.659659352147828</v>
      </c>
      <c r="S1212">
        <v>12.9433541543241</v>
      </c>
      <c r="T1212">
        <v>-0.88758880243534799</v>
      </c>
      <c r="U1212">
        <v>-6.4790031148788696</v>
      </c>
      <c r="V1212">
        <v>0.387223401520711</v>
      </c>
      <c r="W1212">
        <v>0.90353836237095997</v>
      </c>
      <c r="X1212">
        <v>0</v>
      </c>
      <c r="Y1212">
        <v>0</v>
      </c>
    </row>
    <row r="1213" spans="1:25" x14ac:dyDescent="0.2">
      <c r="A1213" t="s">
        <v>4474</v>
      </c>
      <c r="B1213" t="s">
        <v>4475</v>
      </c>
      <c r="C1213" t="s">
        <v>4476</v>
      </c>
      <c r="D1213" t="s">
        <v>4477</v>
      </c>
      <c r="E1213" t="s">
        <v>4475</v>
      </c>
      <c r="F1213" t="s">
        <v>28</v>
      </c>
      <c r="G1213" t="s">
        <v>4475</v>
      </c>
      <c r="H1213" t="str">
        <f>"dcap-2"</f>
        <v>dcap-2</v>
      </c>
      <c r="I1213" t="s">
        <v>4477</v>
      </c>
      <c r="J1213">
        <v>13.171143526585899</v>
      </c>
      <c r="K1213">
        <v>13.499185360270401</v>
      </c>
      <c r="L1213">
        <v>12.8498704311864</v>
      </c>
      <c r="M1213">
        <v>13.870009880414701</v>
      </c>
      <c r="N1213">
        <v>13.534502492025499</v>
      </c>
      <c r="O1213">
        <v>13.634301912250899</v>
      </c>
      <c r="P1213">
        <v>0.50620498888276999</v>
      </c>
      <c r="Q1213">
        <v>-3.4000667242371399E-2</v>
      </c>
      <c r="R1213">
        <v>1.04641064500791</v>
      </c>
      <c r="S1213">
        <v>13.660674105630299</v>
      </c>
      <c r="T1213">
        <v>1.9695173323666799</v>
      </c>
      <c r="U1213">
        <v>-5.0500233167492503</v>
      </c>
      <c r="V1213">
        <v>6.4574168484089797E-2</v>
      </c>
      <c r="W1213">
        <v>0.54340814619935995</v>
      </c>
      <c r="X1213">
        <v>0</v>
      </c>
      <c r="Y1213">
        <v>0</v>
      </c>
    </row>
    <row r="1214" spans="1:25" x14ac:dyDescent="0.2">
      <c r="A1214" t="s">
        <v>4478</v>
      </c>
      <c r="B1214" t="s">
        <v>4479</v>
      </c>
      <c r="C1214" t="s">
        <v>14390</v>
      </c>
      <c r="D1214" t="s">
        <v>4480</v>
      </c>
      <c r="E1214" t="s">
        <v>4479</v>
      </c>
      <c r="F1214" t="s">
        <v>28</v>
      </c>
      <c r="G1214" t="s">
        <v>4479</v>
      </c>
      <c r="H1214" t="str">
        <f>"F52G2.3"</f>
        <v>F52G2.3</v>
      </c>
      <c r="I1214" t="s">
        <v>4480</v>
      </c>
      <c r="J1214">
        <v>13.901250256553</v>
      </c>
      <c r="K1214">
        <v>12.889282785006101</v>
      </c>
      <c r="L1214">
        <v>12.7963946091888</v>
      </c>
      <c r="M1214" t="s">
        <v>29</v>
      </c>
      <c r="N1214">
        <v>13.4666245785307</v>
      </c>
      <c r="O1214">
        <v>13.098512702623299</v>
      </c>
      <c r="P1214">
        <v>8.6926090327732894E-2</v>
      </c>
      <c r="Q1214">
        <v>-0.67880041752930398</v>
      </c>
      <c r="R1214">
        <v>0.85265259818476902</v>
      </c>
      <c r="S1214">
        <v>13.070306674885501</v>
      </c>
      <c r="T1214">
        <v>0.242112978749735</v>
      </c>
      <c r="U1214">
        <v>-6.7413910758805704</v>
      </c>
      <c r="V1214">
        <v>0.81199446192887303</v>
      </c>
      <c r="W1214">
        <v>0.99278624068726296</v>
      </c>
      <c r="X1214">
        <v>0</v>
      </c>
      <c r="Y1214">
        <v>0</v>
      </c>
    </row>
    <row r="1215" spans="1:25" x14ac:dyDescent="0.2">
      <c r="A1215" t="s">
        <v>4481</v>
      </c>
      <c r="B1215" t="s">
        <v>4482</v>
      </c>
      <c r="C1215" t="s">
        <v>14391</v>
      </c>
      <c r="D1215" t="s">
        <v>4483</v>
      </c>
      <c r="E1215" t="s">
        <v>4482</v>
      </c>
      <c r="F1215" t="s">
        <v>28</v>
      </c>
      <c r="G1215" t="s">
        <v>4482</v>
      </c>
      <c r="H1215" t="str">
        <f>"F53F8.5"</f>
        <v>F53F8.5</v>
      </c>
      <c r="I1215" t="s">
        <v>4483</v>
      </c>
      <c r="J1215">
        <v>13.459203386557901</v>
      </c>
      <c r="K1215">
        <v>14.0053772685644</v>
      </c>
      <c r="L1215">
        <v>14.0071702465473</v>
      </c>
      <c r="M1215">
        <v>13.3677695286769</v>
      </c>
      <c r="N1215">
        <v>13.378385648288701</v>
      </c>
      <c r="O1215">
        <v>13.2730182247477</v>
      </c>
      <c r="P1215">
        <v>-0.48419249998541097</v>
      </c>
      <c r="Q1215">
        <v>-0.91730005623927702</v>
      </c>
      <c r="R1215">
        <v>-5.1084943731545797E-2</v>
      </c>
      <c r="S1215">
        <v>13.9270203595956</v>
      </c>
      <c r="T1215">
        <v>-2.3597843166641699</v>
      </c>
      <c r="U1215">
        <v>-4.3638962047497403</v>
      </c>
      <c r="V1215">
        <v>3.0584920603301698E-2</v>
      </c>
      <c r="W1215">
        <v>0.38350268280793198</v>
      </c>
      <c r="X1215">
        <v>0</v>
      </c>
      <c r="Y1215">
        <v>0</v>
      </c>
    </row>
    <row r="1216" spans="1:25" x14ac:dyDescent="0.2">
      <c r="A1216" t="s">
        <v>4484</v>
      </c>
      <c r="B1216" t="s">
        <v>4485</v>
      </c>
      <c r="C1216" t="s">
        <v>14392</v>
      </c>
      <c r="D1216" t="s">
        <v>4486</v>
      </c>
      <c r="E1216" t="s">
        <v>4485</v>
      </c>
      <c r="F1216" t="s">
        <v>28</v>
      </c>
      <c r="G1216" t="s">
        <v>4485</v>
      </c>
      <c r="H1216" t="str">
        <f>"F54B3.1"</f>
        <v>F54B3.1</v>
      </c>
      <c r="I1216" t="s">
        <v>4486</v>
      </c>
      <c r="J1216">
        <v>12.6876542780912</v>
      </c>
      <c r="K1216">
        <v>11.9682194651476</v>
      </c>
      <c r="L1216">
        <v>12.701845316228701</v>
      </c>
      <c r="M1216">
        <v>12.769398223431599</v>
      </c>
      <c r="N1216">
        <v>12.819630847656599</v>
      </c>
      <c r="O1216">
        <v>13.0453207677328</v>
      </c>
      <c r="P1216">
        <v>0.42554359311784201</v>
      </c>
      <c r="Q1216">
        <v>-6.8097848033116595E-2</v>
      </c>
      <c r="R1216">
        <v>0.91918503426880105</v>
      </c>
      <c r="S1216">
        <v>12.8372135748909</v>
      </c>
      <c r="T1216">
        <v>1.8284453087774999</v>
      </c>
      <c r="U1216">
        <v>-5.2882097930238103</v>
      </c>
      <c r="V1216">
        <v>8.6310552490374198E-2</v>
      </c>
      <c r="W1216">
        <v>0.61772369610315103</v>
      </c>
      <c r="X1216">
        <v>0</v>
      </c>
      <c r="Y1216">
        <v>0</v>
      </c>
    </row>
    <row r="1217" spans="1:25" x14ac:dyDescent="0.2">
      <c r="A1217" t="s">
        <v>4487</v>
      </c>
      <c r="B1217" t="s">
        <v>4488</v>
      </c>
      <c r="C1217" t="s">
        <v>4489</v>
      </c>
      <c r="D1217" t="s">
        <v>4490</v>
      </c>
      <c r="E1217" t="s">
        <v>4488</v>
      </c>
      <c r="F1217" t="s">
        <v>28</v>
      </c>
      <c r="G1217" t="s">
        <v>4488</v>
      </c>
      <c r="H1217" t="str">
        <f>"wago-4"</f>
        <v>wago-4</v>
      </c>
      <c r="I1217" t="s">
        <v>4490</v>
      </c>
      <c r="J1217">
        <v>11.472524551448499</v>
      </c>
      <c r="K1217" t="s">
        <v>29</v>
      </c>
      <c r="L1217">
        <v>11.494530032019499</v>
      </c>
      <c r="M1217">
        <v>11.2557646531987</v>
      </c>
      <c r="N1217">
        <v>11.8517387105009</v>
      </c>
      <c r="O1217" t="s">
        <v>29</v>
      </c>
      <c r="P1217">
        <v>7.0224390115809499E-2</v>
      </c>
      <c r="Q1217">
        <v>-0.61432301943437895</v>
      </c>
      <c r="R1217">
        <v>0.75477179966599794</v>
      </c>
      <c r="S1217">
        <v>11.8574204479616</v>
      </c>
      <c r="T1217">
        <v>0.223732696687024</v>
      </c>
      <c r="U1217">
        <v>-6.6556697306166397</v>
      </c>
      <c r="V1217">
        <v>0.82676172473550202</v>
      </c>
      <c r="W1217">
        <v>0.99339170295129098</v>
      </c>
      <c r="X1217">
        <v>0</v>
      </c>
      <c r="Y1217">
        <v>0</v>
      </c>
    </row>
    <row r="1218" spans="1:25" x14ac:dyDescent="0.2">
      <c r="A1218" t="s">
        <v>4491</v>
      </c>
      <c r="B1218" t="s">
        <v>4492</v>
      </c>
      <c r="C1218" t="s">
        <v>4493</v>
      </c>
      <c r="D1218" t="s">
        <v>4494</v>
      </c>
      <c r="E1218" t="s">
        <v>4492</v>
      </c>
      <c r="F1218" t="s">
        <v>28</v>
      </c>
      <c r="G1218" t="s">
        <v>4492</v>
      </c>
      <c r="H1218" t="str">
        <f>"smg-8"</f>
        <v>smg-8</v>
      </c>
      <c r="I1218" t="s">
        <v>4494</v>
      </c>
      <c r="J1218">
        <v>11.684621648120199</v>
      </c>
      <c r="K1218" t="s">
        <v>29</v>
      </c>
      <c r="L1218">
        <v>11.004304451275299</v>
      </c>
      <c r="M1218">
        <v>10.7434950475623</v>
      </c>
      <c r="N1218">
        <v>11.078682409318599</v>
      </c>
      <c r="O1218" t="s">
        <v>29</v>
      </c>
      <c r="P1218">
        <v>-0.43337432125726999</v>
      </c>
      <c r="Q1218">
        <v>-0.99584032424717095</v>
      </c>
      <c r="R1218">
        <v>0.129091681732631</v>
      </c>
      <c r="S1218">
        <v>12.095578869280301</v>
      </c>
      <c r="T1218">
        <v>-1.66591999697753</v>
      </c>
      <c r="U1218">
        <v>-5.3510382385914603</v>
      </c>
      <c r="V1218">
        <v>0.11982125029985401</v>
      </c>
      <c r="W1218">
        <v>0.70732126648809501</v>
      </c>
      <c r="X1218">
        <v>0</v>
      </c>
      <c r="Y1218">
        <v>0</v>
      </c>
    </row>
    <row r="1219" spans="1:25" x14ac:dyDescent="0.2">
      <c r="A1219" t="s">
        <v>4495</v>
      </c>
      <c r="B1219" t="s">
        <v>4496</v>
      </c>
      <c r="C1219" t="s">
        <v>4497</v>
      </c>
      <c r="D1219" t="s">
        <v>4498</v>
      </c>
      <c r="E1219" t="s">
        <v>4496</v>
      </c>
      <c r="F1219" t="s">
        <v>28</v>
      </c>
      <c r="G1219" t="s">
        <v>4496</v>
      </c>
      <c r="H1219" t="str">
        <f>"unc-43"</f>
        <v>unc-43</v>
      </c>
      <c r="I1219" t="s">
        <v>4498</v>
      </c>
      <c r="J1219">
        <v>11.8474675130597</v>
      </c>
      <c r="K1219">
        <v>11.7838339839813</v>
      </c>
      <c r="L1219">
        <v>12.012582540189699</v>
      </c>
      <c r="M1219">
        <v>11.452228291110499</v>
      </c>
      <c r="N1219">
        <v>11.9003490494679</v>
      </c>
      <c r="O1219">
        <v>11.687434724787099</v>
      </c>
      <c r="P1219">
        <v>-0.201290657288444</v>
      </c>
      <c r="Q1219">
        <v>-0.89658210641244696</v>
      </c>
      <c r="R1219">
        <v>0.49400079183555801</v>
      </c>
      <c r="S1219">
        <v>11.242167305085101</v>
      </c>
      <c r="T1219">
        <v>-0.60848411179497397</v>
      </c>
      <c r="U1219">
        <v>-6.6910276121001404</v>
      </c>
      <c r="V1219">
        <v>0.55051273340296802</v>
      </c>
      <c r="W1219">
        <v>0.95372533928426795</v>
      </c>
      <c r="X1219">
        <v>0</v>
      </c>
      <c r="Y1219">
        <v>0</v>
      </c>
    </row>
    <row r="1220" spans="1:25" x14ac:dyDescent="0.2">
      <c r="A1220" t="s">
        <v>4499</v>
      </c>
      <c r="B1220" t="s">
        <v>4500</v>
      </c>
      <c r="C1220" t="s">
        <v>14393</v>
      </c>
      <c r="D1220" t="s">
        <v>4501</v>
      </c>
      <c r="E1220" t="s">
        <v>4500</v>
      </c>
      <c r="F1220" t="s">
        <v>28</v>
      </c>
      <c r="G1220" t="s">
        <v>4500</v>
      </c>
      <c r="H1220" t="str">
        <f>"M01G12.9"</f>
        <v>M01G12.9</v>
      </c>
      <c r="I1220" t="s">
        <v>4501</v>
      </c>
      <c r="J1220">
        <v>12.950405658084</v>
      </c>
      <c r="K1220">
        <v>12.8745682814869</v>
      </c>
      <c r="L1220">
        <v>12.144840732485299</v>
      </c>
      <c r="M1220">
        <v>11.5557119207224</v>
      </c>
      <c r="N1220">
        <v>12.4736338373444</v>
      </c>
      <c r="O1220">
        <v>12.7869617723522</v>
      </c>
      <c r="P1220">
        <v>-0.38450238054575803</v>
      </c>
      <c r="Q1220">
        <v>-1.1213125005459199</v>
      </c>
      <c r="R1220">
        <v>0.35230773945440802</v>
      </c>
      <c r="S1220">
        <v>12.868917427707</v>
      </c>
      <c r="T1220">
        <v>-1.10686073269579</v>
      </c>
      <c r="U1220">
        <v>-6.2619639694006199</v>
      </c>
      <c r="V1220">
        <v>0.28482446932218702</v>
      </c>
      <c r="W1220">
        <v>0.856190392347986</v>
      </c>
      <c r="X1220">
        <v>0</v>
      </c>
      <c r="Y1220">
        <v>0</v>
      </c>
    </row>
    <row r="1221" spans="1:25" x14ac:dyDescent="0.2">
      <c r="A1221" t="s">
        <v>4502</v>
      </c>
      <c r="B1221" t="s">
        <v>4503</v>
      </c>
      <c r="C1221" t="s">
        <v>14394</v>
      </c>
      <c r="D1221" t="s">
        <v>531</v>
      </c>
      <c r="E1221" t="s">
        <v>4503</v>
      </c>
      <c r="F1221" t="s">
        <v>28</v>
      </c>
      <c r="G1221" t="s">
        <v>4503</v>
      </c>
      <c r="H1221" t="str">
        <f>"R05H10.1"</f>
        <v>R05H10.1</v>
      </c>
      <c r="I1221" t="s">
        <v>531</v>
      </c>
      <c r="J1221" t="s">
        <v>29</v>
      </c>
      <c r="K1221" t="s">
        <v>29</v>
      </c>
      <c r="L1221" t="s">
        <v>29</v>
      </c>
      <c r="M1221">
        <v>12.2374293318413</v>
      </c>
      <c r="N1221" t="s">
        <v>29</v>
      </c>
      <c r="O1221">
        <v>12.2574404278046</v>
      </c>
      <c r="P1221" t="s">
        <v>29</v>
      </c>
      <c r="Q1221" t="s">
        <v>29</v>
      </c>
      <c r="R1221" t="s">
        <v>29</v>
      </c>
      <c r="S1221">
        <v>12.8039318847743</v>
      </c>
      <c r="T1221" t="s">
        <v>29</v>
      </c>
      <c r="U1221" t="s">
        <v>29</v>
      </c>
      <c r="V1221" t="s">
        <v>29</v>
      </c>
      <c r="W1221" t="s">
        <v>29</v>
      </c>
      <c r="X1221" t="s">
        <v>29</v>
      </c>
      <c r="Y1221" t="s">
        <v>29</v>
      </c>
    </row>
    <row r="1222" spans="1:25" x14ac:dyDescent="0.2">
      <c r="A1222" t="s">
        <v>4504</v>
      </c>
      <c r="B1222" t="s">
        <v>4505</v>
      </c>
      <c r="C1222" t="s">
        <v>4506</v>
      </c>
      <c r="D1222" t="s">
        <v>93</v>
      </c>
      <c r="E1222" t="s">
        <v>4505</v>
      </c>
      <c r="F1222" t="s">
        <v>28</v>
      </c>
      <c r="G1222" t="s">
        <v>4505</v>
      </c>
      <c r="H1222" t="str">
        <f>"rbm-28"</f>
        <v>rbm-28</v>
      </c>
      <c r="I1222" t="s">
        <v>93</v>
      </c>
      <c r="J1222">
        <v>13.265681606392</v>
      </c>
      <c r="K1222">
        <v>12.370160586788399</v>
      </c>
      <c r="L1222">
        <v>12.709902953492399</v>
      </c>
      <c r="M1222">
        <v>12.934493924051299</v>
      </c>
      <c r="N1222">
        <v>12.8901919292618</v>
      </c>
      <c r="O1222">
        <v>12.5546755458234</v>
      </c>
      <c r="P1222">
        <v>1.1205417487859699E-2</v>
      </c>
      <c r="Q1222">
        <v>-0.53213490024870203</v>
      </c>
      <c r="R1222">
        <v>0.55454573522442197</v>
      </c>
      <c r="S1222">
        <v>13.561900415797201</v>
      </c>
      <c r="T1222">
        <v>4.3531749635023598E-2</v>
      </c>
      <c r="U1222">
        <v>-6.88149638820411</v>
      </c>
      <c r="V1222">
        <v>0.96578801208282705</v>
      </c>
      <c r="W1222">
        <v>0.99968702248720698</v>
      </c>
      <c r="X1222">
        <v>0</v>
      </c>
      <c r="Y1222">
        <v>0</v>
      </c>
    </row>
    <row r="1223" spans="1:25" x14ac:dyDescent="0.2">
      <c r="A1223" t="s">
        <v>4507</v>
      </c>
      <c r="B1223" t="s">
        <v>4508</v>
      </c>
      <c r="C1223" t="s">
        <v>4509</v>
      </c>
      <c r="D1223" t="s">
        <v>4510</v>
      </c>
      <c r="E1223" t="s">
        <v>4508</v>
      </c>
      <c r="F1223" t="s">
        <v>28</v>
      </c>
      <c r="G1223" t="s">
        <v>4508</v>
      </c>
      <c r="H1223" t="str">
        <f>"gpx-2"</f>
        <v>gpx-2</v>
      </c>
      <c r="I1223" t="s">
        <v>4510</v>
      </c>
      <c r="J1223">
        <v>13.901921317127499</v>
      </c>
      <c r="K1223">
        <v>13.7761125526493</v>
      </c>
      <c r="L1223">
        <v>13.6377384785266</v>
      </c>
      <c r="M1223">
        <v>14.0034131450199</v>
      </c>
      <c r="N1223">
        <v>14.149744763284099</v>
      </c>
      <c r="O1223">
        <v>13.834100667374599</v>
      </c>
      <c r="P1223">
        <v>0.22382874245843401</v>
      </c>
      <c r="Q1223">
        <v>-0.12523206270234399</v>
      </c>
      <c r="R1223">
        <v>0.57288954761921096</v>
      </c>
      <c r="S1223">
        <v>13.835020505308099</v>
      </c>
      <c r="T1223">
        <v>1.3477436110612999</v>
      </c>
      <c r="U1223">
        <v>-5.9790194954168596</v>
      </c>
      <c r="V1223">
        <v>0.194556849808801</v>
      </c>
      <c r="W1223">
        <v>0.78578300505302201</v>
      </c>
      <c r="X1223">
        <v>0</v>
      </c>
      <c r="Y1223">
        <v>0</v>
      </c>
    </row>
    <row r="1224" spans="1:25" x14ac:dyDescent="0.2">
      <c r="A1224" t="s">
        <v>4511</v>
      </c>
      <c r="B1224" t="s">
        <v>4512</v>
      </c>
      <c r="C1224" t="s">
        <v>4513</v>
      </c>
      <c r="D1224" t="s">
        <v>4514</v>
      </c>
      <c r="E1224" t="s">
        <v>4512</v>
      </c>
      <c r="F1224" t="s">
        <v>28</v>
      </c>
      <c r="G1224" t="s">
        <v>4512</v>
      </c>
      <c r="H1224" t="str">
        <f>"fdps-1"</f>
        <v>fdps-1</v>
      </c>
      <c r="I1224" t="s">
        <v>4514</v>
      </c>
      <c r="J1224">
        <v>14.5558985841958</v>
      </c>
      <c r="K1224">
        <v>14.792252285595</v>
      </c>
      <c r="L1224">
        <v>14.6937757218514</v>
      </c>
      <c r="M1224">
        <v>14.6968056256712</v>
      </c>
      <c r="N1224">
        <v>14.615414648352299</v>
      </c>
      <c r="O1224">
        <v>14.663001173947899</v>
      </c>
      <c r="P1224">
        <v>-2.2235047890262601E-2</v>
      </c>
      <c r="Q1224">
        <v>-0.4478008246886</v>
      </c>
      <c r="R1224">
        <v>0.40333072890807398</v>
      </c>
      <c r="S1224">
        <v>14.3365686294296</v>
      </c>
      <c r="T1224">
        <v>-0.109815561568419</v>
      </c>
      <c r="U1224">
        <v>-6.8761906744414203</v>
      </c>
      <c r="V1224">
        <v>0.91377778941256105</v>
      </c>
      <c r="W1224">
        <v>0.99833354317360001</v>
      </c>
      <c r="X1224">
        <v>0</v>
      </c>
      <c r="Y1224">
        <v>0</v>
      </c>
    </row>
    <row r="1225" spans="1:25" x14ac:dyDescent="0.2">
      <c r="A1225" t="s">
        <v>4515</v>
      </c>
      <c r="B1225" t="s">
        <v>4516</v>
      </c>
      <c r="C1225" t="s">
        <v>4517</v>
      </c>
      <c r="D1225" t="s">
        <v>4518</v>
      </c>
      <c r="E1225" t="s">
        <v>4516</v>
      </c>
      <c r="F1225" t="s">
        <v>28</v>
      </c>
      <c r="G1225" t="s">
        <v>4516</v>
      </c>
      <c r="H1225" t="str">
        <f>"slc-25a21"</f>
        <v>slc-25a21</v>
      </c>
      <c r="I1225" t="s">
        <v>4518</v>
      </c>
      <c r="J1225">
        <v>15.4625987278647</v>
      </c>
      <c r="K1225">
        <v>15.142064737794501</v>
      </c>
      <c r="L1225">
        <v>15.0286860497552</v>
      </c>
      <c r="M1225">
        <v>15.186046476852599</v>
      </c>
      <c r="N1225">
        <v>14.7394725057703</v>
      </c>
      <c r="O1225">
        <v>15.188145073585201</v>
      </c>
      <c r="P1225">
        <v>-0.173228486402079</v>
      </c>
      <c r="Q1225">
        <v>-0.59159376924435103</v>
      </c>
      <c r="R1225">
        <v>0.24513679644019201</v>
      </c>
      <c r="S1225">
        <v>14.8165972869717</v>
      </c>
      <c r="T1225">
        <v>-0.87400453385813104</v>
      </c>
      <c r="U1225">
        <v>-6.4909892822489104</v>
      </c>
      <c r="V1225">
        <v>0.394369914709647</v>
      </c>
      <c r="W1225">
        <v>0.90975406915825197</v>
      </c>
      <c r="X1225">
        <v>0</v>
      </c>
      <c r="Y1225">
        <v>0</v>
      </c>
    </row>
    <row r="1226" spans="1:25" x14ac:dyDescent="0.2">
      <c r="A1226" t="s">
        <v>4519</v>
      </c>
      <c r="B1226" t="s">
        <v>4520</v>
      </c>
      <c r="C1226" t="s">
        <v>14395</v>
      </c>
      <c r="D1226" t="s">
        <v>852</v>
      </c>
      <c r="E1226" t="s">
        <v>4520</v>
      </c>
      <c r="F1226" t="s">
        <v>28</v>
      </c>
      <c r="G1226" t="s">
        <v>4520</v>
      </c>
      <c r="H1226" t="str">
        <f>"R11H6.5"</f>
        <v>R11H6.5</v>
      </c>
      <c r="I1226" t="s">
        <v>852</v>
      </c>
      <c r="J1226">
        <v>15.4498016122878</v>
      </c>
      <c r="K1226">
        <v>15.4275870288467</v>
      </c>
      <c r="L1226">
        <v>15.089578501400601</v>
      </c>
      <c r="M1226">
        <v>15.2422225319132</v>
      </c>
      <c r="N1226">
        <v>14.810106781398099</v>
      </c>
      <c r="O1226">
        <v>15.3484636821757</v>
      </c>
      <c r="P1226">
        <v>-0.188724715682699</v>
      </c>
      <c r="Q1226">
        <v>-0.63677829026965904</v>
      </c>
      <c r="R1226">
        <v>0.25932885890426</v>
      </c>
      <c r="S1226">
        <v>14.787654846926999</v>
      </c>
      <c r="T1226">
        <v>-0.88909638907764899</v>
      </c>
      <c r="U1226">
        <v>-6.4776625101708198</v>
      </c>
      <c r="V1226">
        <v>0.38643561943293703</v>
      </c>
      <c r="W1226">
        <v>0.90325875770082498</v>
      </c>
      <c r="X1226">
        <v>0</v>
      </c>
      <c r="Y1226">
        <v>0</v>
      </c>
    </row>
    <row r="1227" spans="1:25" x14ac:dyDescent="0.2">
      <c r="A1227" t="s">
        <v>4521</v>
      </c>
      <c r="B1227" t="s">
        <v>4522</v>
      </c>
      <c r="C1227" t="s">
        <v>4523</v>
      </c>
      <c r="D1227" t="s">
        <v>308</v>
      </c>
      <c r="E1227" t="s">
        <v>4522</v>
      </c>
      <c r="F1227" t="s">
        <v>28</v>
      </c>
      <c r="G1227" t="s">
        <v>4522</v>
      </c>
      <c r="H1227" t="str">
        <f>"dnj-17"</f>
        <v>dnj-17</v>
      </c>
      <c r="I1227" t="s">
        <v>308</v>
      </c>
      <c r="J1227">
        <v>12.944129574352001</v>
      </c>
      <c r="K1227">
        <v>12.5621362133207</v>
      </c>
      <c r="L1227">
        <v>13.236299949953899</v>
      </c>
      <c r="M1227">
        <v>13.0281065094961</v>
      </c>
      <c r="N1227">
        <v>13.033947457931401</v>
      </c>
      <c r="O1227">
        <v>12.449064794049701</v>
      </c>
      <c r="P1227">
        <v>-7.7148992049744805E-2</v>
      </c>
      <c r="Q1227">
        <v>-0.76038462477658897</v>
      </c>
      <c r="R1227">
        <v>0.60608664067709905</v>
      </c>
      <c r="S1227">
        <v>12.6061468688742</v>
      </c>
      <c r="T1227">
        <v>-0.23834703928241899</v>
      </c>
      <c r="U1227">
        <v>-6.85276429728723</v>
      </c>
      <c r="V1227">
        <v>0.81447877483844799</v>
      </c>
      <c r="W1227">
        <v>0.99278624068726296</v>
      </c>
      <c r="X1227">
        <v>0</v>
      </c>
      <c r="Y1227">
        <v>0</v>
      </c>
    </row>
    <row r="1228" spans="1:25" x14ac:dyDescent="0.2">
      <c r="A1228" t="s">
        <v>4524</v>
      </c>
      <c r="B1228" t="s">
        <v>4525</v>
      </c>
      <c r="C1228" t="s">
        <v>14396</v>
      </c>
      <c r="D1228" t="s">
        <v>4526</v>
      </c>
      <c r="E1228" t="s">
        <v>4525</v>
      </c>
      <c r="F1228" t="s">
        <v>28</v>
      </c>
      <c r="G1228" t="s">
        <v>4527</v>
      </c>
      <c r="H1228" t="str">
        <f>"W01D2.1"</f>
        <v>W01D2.1</v>
      </c>
      <c r="I1228" t="s">
        <v>4528</v>
      </c>
      <c r="J1228">
        <v>11.860810842052199</v>
      </c>
      <c r="K1228">
        <v>9.4195782469029492</v>
      </c>
      <c r="L1228" t="s">
        <v>29</v>
      </c>
      <c r="M1228" t="s">
        <v>29</v>
      </c>
      <c r="N1228" t="s">
        <v>29</v>
      </c>
      <c r="O1228" t="s">
        <v>29</v>
      </c>
      <c r="P1228" t="s">
        <v>29</v>
      </c>
      <c r="Q1228" t="s">
        <v>29</v>
      </c>
      <c r="R1228" t="s">
        <v>29</v>
      </c>
      <c r="S1228">
        <v>12.4093960817917</v>
      </c>
      <c r="T1228" t="s">
        <v>29</v>
      </c>
      <c r="U1228" t="s">
        <v>29</v>
      </c>
      <c r="V1228" t="s">
        <v>29</v>
      </c>
      <c r="W1228" t="s">
        <v>29</v>
      </c>
      <c r="X1228" t="s">
        <v>29</v>
      </c>
      <c r="Y1228" t="s">
        <v>29</v>
      </c>
    </row>
    <row r="1229" spans="1:25" x14ac:dyDescent="0.2">
      <c r="A1229" t="s">
        <v>4529</v>
      </c>
      <c r="B1229" t="s">
        <v>4530</v>
      </c>
      <c r="C1229" t="s">
        <v>4531</v>
      </c>
      <c r="D1229" t="s">
        <v>4532</v>
      </c>
      <c r="E1229" t="s">
        <v>4530</v>
      </c>
      <c r="F1229" t="s">
        <v>28</v>
      </c>
      <c r="G1229" t="s">
        <v>4530</v>
      </c>
      <c r="H1229" t="str">
        <f>"nhr-61"</f>
        <v>nhr-61</v>
      </c>
      <c r="I1229" t="s">
        <v>4532</v>
      </c>
      <c r="J1229" t="s">
        <v>29</v>
      </c>
      <c r="K1229" t="s">
        <v>29</v>
      </c>
      <c r="L1229" t="s">
        <v>29</v>
      </c>
      <c r="M1229" t="s">
        <v>29</v>
      </c>
      <c r="N1229" t="s">
        <v>29</v>
      </c>
      <c r="O1229" t="s">
        <v>29</v>
      </c>
      <c r="P1229" t="s">
        <v>29</v>
      </c>
      <c r="Q1229" t="s">
        <v>29</v>
      </c>
      <c r="R1229" t="s">
        <v>29</v>
      </c>
      <c r="S1229">
        <v>11.462234031570199</v>
      </c>
      <c r="T1229" t="s">
        <v>29</v>
      </c>
      <c r="U1229" t="s">
        <v>29</v>
      </c>
      <c r="V1229" t="s">
        <v>29</v>
      </c>
      <c r="W1229" t="s">
        <v>29</v>
      </c>
      <c r="X1229" t="s">
        <v>29</v>
      </c>
      <c r="Y1229" t="s">
        <v>29</v>
      </c>
    </row>
    <row r="1230" spans="1:25" x14ac:dyDescent="0.2">
      <c r="A1230" t="s">
        <v>4533</v>
      </c>
      <c r="B1230" t="s">
        <v>4534</v>
      </c>
      <c r="C1230" t="s">
        <v>4535</v>
      </c>
      <c r="D1230" t="s">
        <v>4536</v>
      </c>
      <c r="E1230" t="s">
        <v>4534</v>
      </c>
      <c r="F1230" t="s">
        <v>28</v>
      </c>
      <c r="G1230" t="s">
        <v>4534</v>
      </c>
      <c r="H1230" t="str">
        <f>"lys-1"</f>
        <v>lys-1</v>
      </c>
      <c r="I1230" t="s">
        <v>4536</v>
      </c>
      <c r="J1230">
        <v>11.132533775497899</v>
      </c>
      <c r="K1230">
        <v>11.091356229388699</v>
      </c>
      <c r="L1230">
        <v>11.809329116249399</v>
      </c>
      <c r="M1230">
        <v>10.908725816686699</v>
      </c>
      <c r="N1230">
        <v>11.700088223191299</v>
      </c>
      <c r="O1230">
        <v>12.594869348613701</v>
      </c>
      <c r="P1230">
        <v>0.39015475578519898</v>
      </c>
      <c r="Q1230">
        <v>-0.45818544404164102</v>
      </c>
      <c r="R1230">
        <v>1.2384949556120399</v>
      </c>
      <c r="S1230">
        <v>12.516503298558399</v>
      </c>
      <c r="T1230">
        <v>0.98086325149076303</v>
      </c>
      <c r="U1230">
        <v>-6.3903355294862498</v>
      </c>
      <c r="V1230">
        <v>0.34232441861951701</v>
      </c>
      <c r="W1230">
        <v>0.876350511665964</v>
      </c>
      <c r="X1230">
        <v>0</v>
      </c>
      <c r="Y1230">
        <v>0</v>
      </c>
    </row>
    <row r="1231" spans="1:25" x14ac:dyDescent="0.2">
      <c r="A1231" t="s">
        <v>4537</v>
      </c>
      <c r="B1231" t="s">
        <v>4538</v>
      </c>
      <c r="C1231" t="s">
        <v>4539</v>
      </c>
      <c r="D1231" t="s">
        <v>4540</v>
      </c>
      <c r="E1231" t="s">
        <v>4538</v>
      </c>
      <c r="F1231" t="s">
        <v>28</v>
      </c>
      <c r="G1231" t="s">
        <v>4538</v>
      </c>
      <c r="H1231" t="str">
        <f>"qars-1"</f>
        <v>qars-1</v>
      </c>
      <c r="I1231" t="s">
        <v>4540</v>
      </c>
      <c r="J1231">
        <v>16.188790556809899</v>
      </c>
      <c r="K1231">
        <v>16.1005489289746</v>
      </c>
      <c r="L1231">
        <v>15.7989527694368</v>
      </c>
      <c r="M1231">
        <v>15.8201340873651</v>
      </c>
      <c r="N1231">
        <v>15.7114946261743</v>
      </c>
      <c r="O1231">
        <v>15.9836614756763</v>
      </c>
      <c r="P1231">
        <v>-0.19100068866855399</v>
      </c>
      <c r="Q1231">
        <v>-0.58855516277083797</v>
      </c>
      <c r="R1231">
        <v>0.20655378543372999</v>
      </c>
      <c r="S1231">
        <v>15.509096093194399</v>
      </c>
      <c r="T1231">
        <v>-1.0097893846464601</v>
      </c>
      <c r="U1231">
        <v>-6.3644882338610298</v>
      </c>
      <c r="V1231">
        <v>0.32605592749046702</v>
      </c>
      <c r="W1231">
        <v>0.87094589458108596</v>
      </c>
      <c r="X1231">
        <v>0</v>
      </c>
      <c r="Y1231">
        <v>0</v>
      </c>
    </row>
    <row r="1232" spans="1:25" x14ac:dyDescent="0.2">
      <c r="A1232" t="s">
        <v>4541</v>
      </c>
      <c r="B1232" t="s">
        <v>4542</v>
      </c>
      <c r="C1232" t="s">
        <v>4543</v>
      </c>
      <c r="D1232" t="s">
        <v>3312</v>
      </c>
      <c r="E1232" t="s">
        <v>4542</v>
      </c>
      <c r="F1232" t="s">
        <v>28</v>
      </c>
      <c r="G1232" t="s">
        <v>4542</v>
      </c>
      <c r="H1232" t="str">
        <f>"dpy-4"</f>
        <v>dpy-4</v>
      </c>
      <c r="I1232" t="s">
        <v>3312</v>
      </c>
      <c r="J1232">
        <v>13.167775790983599</v>
      </c>
      <c r="K1232">
        <v>11.6017702912338</v>
      </c>
      <c r="L1232">
        <v>12.535287385220601</v>
      </c>
      <c r="M1232">
        <v>11.642267919562199</v>
      </c>
      <c r="N1232">
        <v>12.507146454299599</v>
      </c>
      <c r="O1232">
        <v>13.056827252939801</v>
      </c>
      <c r="P1232">
        <v>-3.2863946878794799E-2</v>
      </c>
      <c r="Q1232">
        <v>-1.62099118218003</v>
      </c>
      <c r="R1232">
        <v>1.55526328842244</v>
      </c>
      <c r="S1232">
        <v>12.0196545802676</v>
      </c>
      <c r="T1232">
        <v>-4.3493758569563501E-2</v>
      </c>
      <c r="U1232">
        <v>-6.8815012138089999</v>
      </c>
      <c r="V1232">
        <v>0.96578958403050996</v>
      </c>
      <c r="W1232">
        <v>0.99968702248720698</v>
      </c>
      <c r="X1232">
        <v>0</v>
      </c>
      <c r="Y1232">
        <v>0</v>
      </c>
    </row>
    <row r="1233" spans="1:25" x14ac:dyDescent="0.2">
      <c r="A1233" t="s">
        <v>4544</v>
      </c>
      <c r="B1233" t="s">
        <v>4545</v>
      </c>
      <c r="C1233" t="s">
        <v>14397</v>
      </c>
      <c r="D1233" t="s">
        <v>534</v>
      </c>
      <c r="E1233" t="s">
        <v>4545</v>
      </c>
      <c r="F1233" t="s">
        <v>28</v>
      </c>
      <c r="G1233" t="s">
        <v>4545</v>
      </c>
      <c r="H1233" t="str">
        <f>"Y45F10D.7"</f>
        <v>Y45F10D.7</v>
      </c>
      <c r="I1233" t="s">
        <v>534</v>
      </c>
      <c r="J1233">
        <v>15.6229654845406</v>
      </c>
      <c r="K1233">
        <v>15.574023995630601</v>
      </c>
      <c r="L1233">
        <v>15.3695896789588</v>
      </c>
      <c r="M1233">
        <v>15.4163879477015</v>
      </c>
      <c r="N1233">
        <v>15.189682142949801</v>
      </c>
      <c r="O1233">
        <v>15.3449324035738</v>
      </c>
      <c r="P1233">
        <v>-0.20519222163497</v>
      </c>
      <c r="Q1233">
        <v>-0.54343621916305196</v>
      </c>
      <c r="R1233">
        <v>0.13305177589311101</v>
      </c>
      <c r="S1233">
        <v>15.155137133813501</v>
      </c>
      <c r="T1233">
        <v>-1.27503852900519</v>
      </c>
      <c r="U1233">
        <v>-6.0698234352498002</v>
      </c>
      <c r="V1233">
        <v>0.21860186602711701</v>
      </c>
      <c r="W1233">
        <v>0.79508962856638699</v>
      </c>
      <c r="X1233">
        <v>0</v>
      </c>
      <c r="Y1233">
        <v>0</v>
      </c>
    </row>
    <row r="1234" spans="1:25" x14ac:dyDescent="0.2">
      <c r="A1234" t="s">
        <v>4546</v>
      </c>
      <c r="B1234" t="s">
        <v>4547</v>
      </c>
      <c r="C1234" t="s">
        <v>4548</v>
      </c>
      <c r="D1234" t="s">
        <v>4549</v>
      </c>
      <c r="E1234" t="s">
        <v>4547</v>
      </c>
      <c r="F1234" t="s">
        <v>28</v>
      </c>
      <c r="G1234" t="s">
        <v>4547</v>
      </c>
      <c r="H1234" t="str">
        <f>"sas-6"</f>
        <v>sas-6</v>
      </c>
      <c r="I1234" t="s">
        <v>4549</v>
      </c>
      <c r="J1234" t="s">
        <v>29</v>
      </c>
      <c r="K1234" t="s">
        <v>29</v>
      </c>
      <c r="L1234" t="s">
        <v>29</v>
      </c>
      <c r="M1234" t="s">
        <v>29</v>
      </c>
      <c r="N1234">
        <v>9.8163167553347108</v>
      </c>
      <c r="O1234" t="s">
        <v>29</v>
      </c>
      <c r="P1234" t="s">
        <v>29</v>
      </c>
      <c r="Q1234" t="s">
        <v>29</v>
      </c>
      <c r="R1234" t="s">
        <v>29</v>
      </c>
      <c r="S1234">
        <v>9.6451351309855102</v>
      </c>
      <c r="T1234" t="s">
        <v>29</v>
      </c>
      <c r="U1234" t="s">
        <v>29</v>
      </c>
      <c r="V1234" t="s">
        <v>29</v>
      </c>
      <c r="W1234" t="s">
        <v>29</v>
      </c>
      <c r="X1234" t="s">
        <v>29</v>
      </c>
      <c r="Y1234" t="s">
        <v>29</v>
      </c>
    </row>
    <row r="1235" spans="1:25" x14ac:dyDescent="0.2">
      <c r="A1235" t="s">
        <v>4550</v>
      </c>
      <c r="B1235" t="s">
        <v>4551</v>
      </c>
      <c r="C1235" t="s">
        <v>4552</v>
      </c>
      <c r="D1235" t="s">
        <v>4553</v>
      </c>
      <c r="E1235" t="s">
        <v>4551</v>
      </c>
      <c r="F1235" t="s">
        <v>28</v>
      </c>
      <c r="G1235" t="s">
        <v>4551</v>
      </c>
      <c r="H1235" t="str">
        <f>"eelo-2"</f>
        <v>eelo-2</v>
      </c>
      <c r="I1235" t="s">
        <v>4553</v>
      </c>
      <c r="J1235">
        <v>14.5338931215079</v>
      </c>
      <c r="K1235">
        <v>14.4033383766795</v>
      </c>
      <c r="L1235">
        <v>14.3663792804058</v>
      </c>
      <c r="M1235">
        <v>14.3608403263464</v>
      </c>
      <c r="N1235">
        <v>14.321099824266801</v>
      </c>
      <c r="O1235">
        <v>14.1654340036268</v>
      </c>
      <c r="P1235">
        <v>-0.15207887478440801</v>
      </c>
      <c r="Q1235">
        <v>-0.49552683038963202</v>
      </c>
      <c r="R1235">
        <v>0.191369080820816</v>
      </c>
      <c r="S1235">
        <v>14.477385887343999</v>
      </c>
      <c r="T1235">
        <v>-0.93068018642517403</v>
      </c>
      <c r="U1235">
        <v>-6.4406407011699196</v>
      </c>
      <c r="V1235">
        <v>0.36440525213307601</v>
      </c>
      <c r="W1235">
        <v>0.888292466632014</v>
      </c>
      <c r="X1235">
        <v>0</v>
      </c>
      <c r="Y1235">
        <v>0</v>
      </c>
    </row>
    <row r="1236" spans="1:25" x14ac:dyDescent="0.2">
      <c r="A1236" t="s">
        <v>4554</v>
      </c>
      <c r="B1236" t="s">
        <v>4555</v>
      </c>
      <c r="C1236" t="s">
        <v>4556</v>
      </c>
      <c r="D1236" t="s">
        <v>4557</v>
      </c>
      <c r="E1236" t="s">
        <v>4555</v>
      </c>
      <c r="F1236" t="s">
        <v>28</v>
      </c>
      <c r="G1236" t="s">
        <v>4555</v>
      </c>
      <c r="H1236" t="str">
        <f>"ZK795.3"</f>
        <v>ZK795.3</v>
      </c>
      <c r="I1236" t="s">
        <v>4557</v>
      </c>
      <c r="J1236">
        <v>13.9602091183799</v>
      </c>
      <c r="K1236">
        <v>13.8222035446119</v>
      </c>
      <c r="L1236">
        <v>14.039333386813601</v>
      </c>
      <c r="M1236">
        <v>13.981923772275501</v>
      </c>
      <c r="N1236">
        <v>13.9308460753793</v>
      </c>
      <c r="O1236">
        <v>13.601497116859401</v>
      </c>
      <c r="P1236">
        <v>-0.10249302843039999</v>
      </c>
      <c r="Q1236">
        <v>-0.48605140843607902</v>
      </c>
      <c r="R1236">
        <v>0.28106535157527801</v>
      </c>
      <c r="S1236">
        <v>14.1784700455368</v>
      </c>
      <c r="T1236">
        <v>-0.56404384336225</v>
      </c>
      <c r="U1236">
        <v>-6.71730501556313</v>
      </c>
      <c r="V1236">
        <v>0.58013545104583197</v>
      </c>
      <c r="W1236">
        <v>0.96248248770813105</v>
      </c>
      <c r="X1236">
        <v>0</v>
      </c>
      <c r="Y1236">
        <v>0</v>
      </c>
    </row>
    <row r="1237" spans="1:25" x14ac:dyDescent="0.2">
      <c r="A1237" t="s">
        <v>4558</v>
      </c>
      <c r="B1237" t="s">
        <v>4559</v>
      </c>
      <c r="C1237" t="s">
        <v>4560</v>
      </c>
      <c r="D1237" t="s">
        <v>4561</v>
      </c>
      <c r="E1237" t="s">
        <v>4559</v>
      </c>
      <c r="F1237" t="s">
        <v>28</v>
      </c>
      <c r="G1237" t="s">
        <v>4559</v>
      </c>
      <c r="H1237" t="str">
        <f>"ipmk-1"</f>
        <v>ipmk-1</v>
      </c>
      <c r="I1237" t="s">
        <v>4561</v>
      </c>
      <c r="J1237">
        <v>13.373090077184299</v>
      </c>
      <c r="K1237">
        <v>13.117985500831701</v>
      </c>
      <c r="L1237">
        <v>13.0780590276892</v>
      </c>
      <c r="M1237">
        <v>12.801853319861801</v>
      </c>
      <c r="N1237">
        <v>12.953554293431001</v>
      </c>
      <c r="O1237">
        <v>13.2721373090224</v>
      </c>
      <c r="P1237">
        <v>-0.18052989446334999</v>
      </c>
      <c r="Q1237">
        <v>-0.56567593817198103</v>
      </c>
      <c r="R1237">
        <v>0.20461614924528199</v>
      </c>
      <c r="S1237">
        <v>12.811191231194</v>
      </c>
      <c r="T1237">
        <v>-0.99419875971682403</v>
      </c>
      <c r="U1237">
        <v>-6.37828130786305</v>
      </c>
      <c r="V1237">
        <v>0.335020962670388</v>
      </c>
      <c r="W1237">
        <v>0.87368774661315896</v>
      </c>
      <c r="X1237">
        <v>0</v>
      </c>
      <c r="Y1237">
        <v>0</v>
      </c>
    </row>
    <row r="1238" spans="1:25" x14ac:dyDescent="0.2">
      <c r="A1238" t="s">
        <v>4562</v>
      </c>
      <c r="B1238" t="s">
        <v>4563</v>
      </c>
      <c r="C1238" t="s">
        <v>4564</v>
      </c>
      <c r="D1238" t="s">
        <v>4565</v>
      </c>
      <c r="E1238" t="s">
        <v>4563</v>
      </c>
      <c r="F1238" t="s">
        <v>28</v>
      </c>
      <c r="G1238" t="s">
        <v>4563</v>
      </c>
      <c r="H1238" t="str">
        <f>"tsg-101"</f>
        <v>tsg-101</v>
      </c>
      <c r="I1238" t="s">
        <v>4565</v>
      </c>
      <c r="J1238">
        <v>13.743283279053101</v>
      </c>
      <c r="K1238">
        <v>13.6113622739477</v>
      </c>
      <c r="L1238">
        <v>13.650852172703299</v>
      </c>
      <c r="M1238">
        <v>13.943299603992401</v>
      </c>
      <c r="N1238">
        <v>13.847334285396901</v>
      </c>
      <c r="O1238">
        <v>13.692907713871501</v>
      </c>
      <c r="P1238">
        <v>0.159347959185588</v>
      </c>
      <c r="Q1238">
        <v>-0.16458492132587901</v>
      </c>
      <c r="R1238">
        <v>0.48328083969705599</v>
      </c>
      <c r="S1238">
        <v>13.6582157366777</v>
      </c>
      <c r="T1238">
        <v>1.03834454570811</v>
      </c>
      <c r="U1238">
        <v>-6.3348657145146303</v>
      </c>
      <c r="V1238">
        <v>0.31374278470717998</v>
      </c>
      <c r="W1238">
        <v>0.86506709818185201</v>
      </c>
      <c r="X1238">
        <v>0</v>
      </c>
      <c r="Y1238">
        <v>0</v>
      </c>
    </row>
    <row r="1239" spans="1:25" x14ac:dyDescent="0.2">
      <c r="A1239" t="s">
        <v>4566</v>
      </c>
      <c r="B1239" t="s">
        <v>4567</v>
      </c>
      <c r="C1239" t="s">
        <v>4568</v>
      </c>
      <c r="D1239" t="s">
        <v>4569</v>
      </c>
      <c r="E1239" t="s">
        <v>4567</v>
      </c>
      <c r="F1239" t="s">
        <v>28</v>
      </c>
      <c r="G1239" t="s">
        <v>4567</v>
      </c>
      <c r="H1239" t="str">
        <f>"ced-6"</f>
        <v>ced-6</v>
      </c>
      <c r="I1239" t="s">
        <v>4569</v>
      </c>
      <c r="J1239" t="s">
        <v>29</v>
      </c>
      <c r="K1239" t="s">
        <v>29</v>
      </c>
      <c r="L1239" t="s">
        <v>29</v>
      </c>
      <c r="M1239" t="s">
        <v>29</v>
      </c>
      <c r="N1239" t="s">
        <v>29</v>
      </c>
      <c r="O1239">
        <v>10.7241758419815</v>
      </c>
      <c r="P1239" t="s">
        <v>29</v>
      </c>
      <c r="Q1239" t="s">
        <v>29</v>
      </c>
      <c r="R1239" t="s">
        <v>29</v>
      </c>
      <c r="S1239">
        <v>11.0053176041343</v>
      </c>
      <c r="T1239" t="s">
        <v>29</v>
      </c>
      <c r="U1239" t="s">
        <v>29</v>
      </c>
      <c r="V1239" t="s">
        <v>29</v>
      </c>
      <c r="W1239" t="s">
        <v>29</v>
      </c>
      <c r="X1239" t="s">
        <v>29</v>
      </c>
      <c r="Y1239" t="s">
        <v>29</v>
      </c>
    </row>
    <row r="1240" spans="1:25" x14ac:dyDescent="0.2">
      <c r="A1240" t="s">
        <v>4570</v>
      </c>
      <c r="B1240" t="s">
        <v>4571</v>
      </c>
      <c r="C1240" t="s">
        <v>4572</v>
      </c>
      <c r="D1240" t="s">
        <v>4573</v>
      </c>
      <c r="E1240" t="s">
        <v>4571</v>
      </c>
      <c r="F1240" t="s">
        <v>28</v>
      </c>
      <c r="G1240" t="s">
        <v>4571</v>
      </c>
      <c r="H1240" t="str">
        <f>"egl-4"</f>
        <v>egl-4</v>
      </c>
      <c r="I1240" t="s">
        <v>4573</v>
      </c>
      <c r="J1240">
        <v>16.464853431242599</v>
      </c>
      <c r="K1240">
        <v>16.387106075341698</v>
      </c>
      <c r="L1240">
        <v>16.1259438257254</v>
      </c>
      <c r="M1240">
        <v>16.423443237656699</v>
      </c>
      <c r="N1240">
        <v>16.2917027577463</v>
      </c>
      <c r="O1240">
        <v>16.294132784309799</v>
      </c>
      <c r="P1240">
        <v>1.04584824676763E-2</v>
      </c>
      <c r="Q1240">
        <v>-0.330042454205277</v>
      </c>
      <c r="R1240">
        <v>0.35095941914063</v>
      </c>
      <c r="S1240">
        <v>16.102239734058301</v>
      </c>
      <c r="T1240">
        <v>6.4556930825424505E-2</v>
      </c>
      <c r="U1240">
        <v>-6.8803122687535101</v>
      </c>
      <c r="V1240">
        <v>0.94924247441641096</v>
      </c>
      <c r="W1240">
        <v>0.99968702248720698</v>
      </c>
      <c r="X1240">
        <v>0</v>
      </c>
      <c r="Y1240">
        <v>0</v>
      </c>
    </row>
    <row r="1241" spans="1:25" x14ac:dyDescent="0.2">
      <c r="A1241" t="s">
        <v>4574</v>
      </c>
      <c r="B1241" t="s">
        <v>4575</v>
      </c>
      <c r="C1241" t="s">
        <v>4576</v>
      </c>
      <c r="D1241" t="s">
        <v>4577</v>
      </c>
      <c r="E1241" t="s">
        <v>4575</v>
      </c>
      <c r="F1241" t="s">
        <v>28</v>
      </c>
      <c r="G1241" t="s">
        <v>4575</v>
      </c>
      <c r="H1241" t="str">
        <f>"tut-1"</f>
        <v>tut-1</v>
      </c>
      <c r="I1241" t="s">
        <v>4577</v>
      </c>
      <c r="J1241">
        <v>14.3329884791744</v>
      </c>
      <c r="K1241">
        <v>14.3359739467725</v>
      </c>
      <c r="L1241">
        <v>14.301096238864099</v>
      </c>
      <c r="M1241">
        <v>14.333180606638599</v>
      </c>
      <c r="N1241">
        <v>14.501339934892</v>
      </c>
      <c r="O1241">
        <v>14.0182413269936</v>
      </c>
      <c r="P1241">
        <v>-3.9098932095559001E-2</v>
      </c>
      <c r="Q1241">
        <v>-0.438467487271051</v>
      </c>
      <c r="R1241">
        <v>0.36026962307993299</v>
      </c>
      <c r="S1241">
        <v>14.0641555927377</v>
      </c>
      <c r="T1241">
        <v>-0.20577070321053201</v>
      </c>
      <c r="U1241">
        <v>-6.8603925781167003</v>
      </c>
      <c r="V1241">
        <v>0.83929278778114202</v>
      </c>
      <c r="W1241">
        <v>0.99370971747667503</v>
      </c>
      <c r="X1241">
        <v>0</v>
      </c>
      <c r="Y1241">
        <v>0</v>
      </c>
    </row>
    <row r="1242" spans="1:25" x14ac:dyDescent="0.2">
      <c r="A1242" t="s">
        <v>4578</v>
      </c>
      <c r="B1242" t="s">
        <v>4579</v>
      </c>
      <c r="C1242" t="s">
        <v>4580</v>
      </c>
      <c r="D1242" t="s">
        <v>4581</v>
      </c>
      <c r="E1242" t="s">
        <v>4579</v>
      </c>
      <c r="F1242" t="s">
        <v>28</v>
      </c>
      <c r="G1242" t="s">
        <v>4579</v>
      </c>
      <c r="H1242" t="str">
        <f>"rpt-5"</f>
        <v>rpt-5</v>
      </c>
      <c r="I1242" t="s">
        <v>4581</v>
      </c>
      <c r="J1242">
        <v>15.964564058683701</v>
      </c>
      <c r="K1242">
        <v>15.8508178225153</v>
      </c>
      <c r="L1242">
        <v>16.0217832535909</v>
      </c>
      <c r="M1242">
        <v>15.7976832680708</v>
      </c>
      <c r="N1242">
        <v>16.029040975078299</v>
      </c>
      <c r="O1242">
        <v>15.7220666218868</v>
      </c>
      <c r="P1242">
        <v>-9.6124756584698504E-2</v>
      </c>
      <c r="Q1242">
        <v>-0.49853966497137098</v>
      </c>
      <c r="R1242">
        <v>0.306290151801974</v>
      </c>
      <c r="S1242">
        <v>15.939994663770101</v>
      </c>
      <c r="T1242">
        <v>-0.50205778350136798</v>
      </c>
      <c r="U1242">
        <v>-6.7517160421847198</v>
      </c>
      <c r="V1242">
        <v>0.62174819353944</v>
      </c>
      <c r="W1242">
        <v>0.97279262440453396</v>
      </c>
      <c r="X1242">
        <v>0</v>
      </c>
      <c r="Y1242">
        <v>0</v>
      </c>
    </row>
    <row r="1243" spans="1:25" x14ac:dyDescent="0.2">
      <c r="A1243" t="s">
        <v>4582</v>
      </c>
      <c r="B1243" t="s">
        <v>4583</v>
      </c>
      <c r="C1243" t="s">
        <v>4584</v>
      </c>
      <c r="D1243" t="s">
        <v>4585</v>
      </c>
      <c r="E1243" t="s">
        <v>4583</v>
      </c>
      <c r="F1243" t="s">
        <v>28</v>
      </c>
      <c r="G1243" t="s">
        <v>4583</v>
      </c>
      <c r="H1243" t="str">
        <f>"mms-19"</f>
        <v>mms-19</v>
      </c>
      <c r="I1243" t="s">
        <v>4585</v>
      </c>
      <c r="J1243">
        <v>12.8308243268713</v>
      </c>
      <c r="K1243">
        <v>12.677167324716899</v>
      </c>
      <c r="L1243">
        <v>12.764847881210599</v>
      </c>
      <c r="M1243">
        <v>12.789091666215899</v>
      </c>
      <c r="N1243">
        <v>12.7859720920562</v>
      </c>
      <c r="O1243">
        <v>12.895944806485501</v>
      </c>
      <c r="P1243">
        <v>6.6056343986261395E-2</v>
      </c>
      <c r="Q1243">
        <v>-0.59526862555756899</v>
      </c>
      <c r="R1243">
        <v>0.72738131353009206</v>
      </c>
      <c r="S1243">
        <v>12.986631800876699</v>
      </c>
      <c r="T1243">
        <v>0.21186008509211701</v>
      </c>
      <c r="U1243">
        <v>-6.8589148462840601</v>
      </c>
      <c r="V1243">
        <v>0.83490890658525596</v>
      </c>
      <c r="W1243">
        <v>0.99370971747667503</v>
      </c>
      <c r="X1243">
        <v>0</v>
      </c>
      <c r="Y1243">
        <v>0</v>
      </c>
    </row>
    <row r="1244" spans="1:25" x14ac:dyDescent="0.2">
      <c r="A1244" t="s">
        <v>4586</v>
      </c>
      <c r="B1244" t="s">
        <v>4587</v>
      </c>
      <c r="C1244" t="s">
        <v>14398</v>
      </c>
      <c r="D1244" t="s">
        <v>4588</v>
      </c>
      <c r="E1244" t="s">
        <v>4587</v>
      </c>
      <c r="F1244" t="s">
        <v>28</v>
      </c>
      <c r="G1244" t="s">
        <v>4587</v>
      </c>
      <c r="H1244" t="str">
        <f>"T10B5.3"</f>
        <v>T10B5.3</v>
      </c>
      <c r="I1244" t="s">
        <v>4588</v>
      </c>
      <c r="J1244" t="s">
        <v>29</v>
      </c>
      <c r="K1244" t="s">
        <v>29</v>
      </c>
      <c r="L1244">
        <v>11.1947479765862</v>
      </c>
      <c r="M1244">
        <v>11.2709912301081</v>
      </c>
      <c r="N1244">
        <v>11.886593708272301</v>
      </c>
      <c r="O1244" t="s">
        <v>29</v>
      </c>
      <c r="P1244">
        <v>0.384044492603966</v>
      </c>
      <c r="Q1244">
        <v>-0.62144072767097103</v>
      </c>
      <c r="R1244">
        <v>1.3895297128788999</v>
      </c>
      <c r="S1244">
        <v>11.9755751434126</v>
      </c>
      <c r="T1244">
        <v>0.83301124244004099</v>
      </c>
      <c r="U1244">
        <v>-6.1264740152488297</v>
      </c>
      <c r="V1244">
        <v>0.42124972858896098</v>
      </c>
      <c r="W1244">
        <v>0.91512503332874395</v>
      </c>
      <c r="X1244">
        <v>0</v>
      </c>
      <c r="Y1244">
        <v>0</v>
      </c>
    </row>
    <row r="1245" spans="1:25" x14ac:dyDescent="0.2">
      <c r="A1245" t="s">
        <v>4589</v>
      </c>
      <c r="B1245" t="s">
        <v>4590</v>
      </c>
      <c r="C1245" t="s">
        <v>4591</v>
      </c>
      <c r="D1245" t="s">
        <v>4592</v>
      </c>
      <c r="E1245" t="s">
        <v>4590</v>
      </c>
      <c r="F1245" t="s">
        <v>28</v>
      </c>
      <c r="G1245" t="s">
        <v>4590</v>
      </c>
      <c r="H1245" t="str">
        <f>"hcp-1"</f>
        <v>hcp-1</v>
      </c>
      <c r="I1245" t="s">
        <v>4592</v>
      </c>
      <c r="J1245" t="s">
        <v>29</v>
      </c>
      <c r="K1245" t="s">
        <v>29</v>
      </c>
      <c r="L1245" t="s">
        <v>29</v>
      </c>
      <c r="M1245" t="s">
        <v>29</v>
      </c>
      <c r="N1245" t="s">
        <v>29</v>
      </c>
      <c r="O1245">
        <v>9.5068164256091006</v>
      </c>
      <c r="P1245" t="s">
        <v>29</v>
      </c>
      <c r="Q1245" t="s">
        <v>29</v>
      </c>
      <c r="R1245" t="s">
        <v>29</v>
      </c>
      <c r="S1245">
        <v>11.0211437523465</v>
      </c>
      <c r="T1245" t="s">
        <v>29</v>
      </c>
      <c r="U1245" t="s">
        <v>29</v>
      </c>
      <c r="V1245" t="s">
        <v>29</v>
      </c>
      <c r="W1245" t="s">
        <v>29</v>
      </c>
      <c r="X1245" t="s">
        <v>29</v>
      </c>
      <c r="Y1245" t="s">
        <v>29</v>
      </c>
    </row>
    <row r="1246" spans="1:25" x14ac:dyDescent="0.2">
      <c r="A1246" t="s">
        <v>4593</v>
      </c>
      <c r="B1246" t="s">
        <v>4594</v>
      </c>
      <c r="C1246" t="s">
        <v>4595</v>
      </c>
      <c r="D1246" t="s">
        <v>4596</v>
      </c>
      <c r="E1246" t="s">
        <v>4594</v>
      </c>
      <c r="F1246" t="s">
        <v>28</v>
      </c>
      <c r="G1246" t="s">
        <v>4594</v>
      </c>
      <c r="H1246" t="str">
        <f>"smg-2"</f>
        <v>smg-2</v>
      </c>
      <c r="I1246" t="s">
        <v>4596</v>
      </c>
      <c r="J1246">
        <v>12.942019198134499</v>
      </c>
      <c r="K1246">
        <v>13.360859158752399</v>
      </c>
      <c r="L1246">
        <v>12.972621835629701</v>
      </c>
      <c r="M1246">
        <v>13.4548716785576</v>
      </c>
      <c r="N1246">
        <v>13.364805292895101</v>
      </c>
      <c r="O1246">
        <v>13.1413790430588</v>
      </c>
      <c r="P1246">
        <v>0.228518607331649</v>
      </c>
      <c r="Q1246">
        <v>-0.48512885391518201</v>
      </c>
      <c r="R1246">
        <v>0.94216606857848095</v>
      </c>
      <c r="S1246">
        <v>13.400221335460399</v>
      </c>
      <c r="T1246">
        <v>0.67302369817587504</v>
      </c>
      <c r="U1246">
        <v>-6.6487944267714099</v>
      </c>
      <c r="V1246">
        <v>0.50953110045400796</v>
      </c>
      <c r="W1246">
        <v>0.94062983959761604</v>
      </c>
      <c r="X1246">
        <v>0</v>
      </c>
      <c r="Y1246">
        <v>0</v>
      </c>
    </row>
    <row r="1247" spans="1:25" x14ac:dyDescent="0.2">
      <c r="A1247" t="s">
        <v>4597</v>
      </c>
      <c r="B1247" t="s">
        <v>4598</v>
      </c>
      <c r="C1247" t="s">
        <v>4599</v>
      </c>
      <c r="D1247" t="s">
        <v>878</v>
      </c>
      <c r="E1247" t="s">
        <v>4598</v>
      </c>
      <c r="F1247" t="s">
        <v>28</v>
      </c>
      <c r="G1247" t="s">
        <v>4598</v>
      </c>
      <c r="H1247" t="str">
        <f>"math-20"</f>
        <v>math-20</v>
      </c>
      <c r="I1247" t="s">
        <v>878</v>
      </c>
      <c r="J1247">
        <v>13.9356503330234</v>
      </c>
      <c r="K1247">
        <v>13.263037444413801</v>
      </c>
      <c r="L1247">
        <v>13.2514730621428</v>
      </c>
      <c r="M1247">
        <v>13.801606857343099</v>
      </c>
      <c r="N1247">
        <v>13.5319494713242</v>
      </c>
      <c r="O1247">
        <v>13.848109192236899</v>
      </c>
      <c r="P1247">
        <v>0.243834893774732</v>
      </c>
      <c r="Q1247">
        <v>-0.233793361229854</v>
      </c>
      <c r="R1247">
        <v>0.72146314877931805</v>
      </c>
      <c r="S1247">
        <v>13.5808996749287</v>
      </c>
      <c r="T1247">
        <v>1.0828177703923501</v>
      </c>
      <c r="U1247">
        <v>-6.28769279270346</v>
      </c>
      <c r="V1247">
        <v>0.295042721955382</v>
      </c>
      <c r="W1247">
        <v>0.85855590823088301</v>
      </c>
      <c r="X1247">
        <v>0</v>
      </c>
      <c r="Y1247">
        <v>0</v>
      </c>
    </row>
    <row r="1248" spans="1:25" x14ac:dyDescent="0.2">
      <c r="A1248" t="s">
        <v>4600</v>
      </c>
      <c r="B1248" t="s">
        <v>4601</v>
      </c>
      <c r="C1248" t="s">
        <v>14399</v>
      </c>
      <c r="D1248" t="s">
        <v>115</v>
      </c>
      <c r="E1248" t="s">
        <v>4601</v>
      </c>
      <c r="F1248" t="s">
        <v>28</v>
      </c>
      <c r="G1248" t="s">
        <v>4601</v>
      </c>
      <c r="H1248" t="str">
        <f>"F13C5.2"</f>
        <v>F13C5.2</v>
      </c>
      <c r="I1248" t="s">
        <v>115</v>
      </c>
      <c r="J1248" t="s">
        <v>29</v>
      </c>
      <c r="K1248" t="s">
        <v>29</v>
      </c>
      <c r="L1248">
        <v>10.592021044386399</v>
      </c>
      <c r="M1248" t="s">
        <v>29</v>
      </c>
      <c r="N1248">
        <v>10.6712483212231</v>
      </c>
      <c r="O1248">
        <v>11.391867218436101</v>
      </c>
      <c r="P1248">
        <v>0.43953672544316902</v>
      </c>
      <c r="Q1248">
        <v>-2.6537390918270001</v>
      </c>
      <c r="R1248">
        <v>3.5328125427133399</v>
      </c>
      <c r="S1248">
        <v>11.063869006168099</v>
      </c>
      <c r="T1248">
        <v>0.31706142883561</v>
      </c>
      <c r="U1248">
        <v>-6.4296292145322198</v>
      </c>
      <c r="V1248">
        <v>0.75778540094021796</v>
      </c>
      <c r="W1248">
        <v>0.99278624068726296</v>
      </c>
      <c r="X1248">
        <v>0</v>
      </c>
      <c r="Y1248">
        <v>0</v>
      </c>
    </row>
    <row r="1249" spans="1:25" x14ac:dyDescent="0.2">
      <c r="A1249" t="s">
        <v>4602</v>
      </c>
      <c r="B1249" t="s">
        <v>4603</v>
      </c>
      <c r="C1249" t="s">
        <v>4604</v>
      </c>
      <c r="D1249" t="s">
        <v>4605</v>
      </c>
      <c r="E1249" t="s">
        <v>4603</v>
      </c>
      <c r="F1249" t="s">
        <v>28</v>
      </c>
      <c r="G1249" t="s">
        <v>4603</v>
      </c>
      <c r="H1249" t="str">
        <f>"rpn-11"</f>
        <v>rpn-11</v>
      </c>
      <c r="I1249" t="s">
        <v>4605</v>
      </c>
      <c r="J1249">
        <v>14.565381076797101</v>
      </c>
      <c r="K1249">
        <v>14.626223376635499</v>
      </c>
      <c r="L1249">
        <v>14.6899224052148</v>
      </c>
      <c r="M1249">
        <v>17.6324699355281</v>
      </c>
      <c r="N1249">
        <v>17.3756407404843</v>
      </c>
      <c r="O1249">
        <v>17.2094933391542</v>
      </c>
      <c r="P1249">
        <v>2.7786923855064001</v>
      </c>
      <c r="Q1249">
        <v>2.03803902454329</v>
      </c>
      <c r="R1249">
        <v>3.5193457464694999</v>
      </c>
      <c r="S1249">
        <v>16.702060418795501</v>
      </c>
      <c r="T1249">
        <v>7.8852957380350297</v>
      </c>
      <c r="U1249">
        <v>6.9413323418812496</v>
      </c>
      <c r="V1249" s="2">
        <v>3.1312173777373298E-7</v>
      </c>
      <c r="W1249" s="2">
        <v>3.7093527003766898E-5</v>
      </c>
      <c r="X1249">
        <v>1</v>
      </c>
      <c r="Y1249">
        <v>1</v>
      </c>
    </row>
    <row r="1250" spans="1:25" x14ac:dyDescent="0.2">
      <c r="A1250" t="s">
        <v>4606</v>
      </c>
      <c r="B1250" t="s">
        <v>4607</v>
      </c>
      <c r="C1250" t="s">
        <v>4608</v>
      </c>
      <c r="D1250" t="s">
        <v>4609</v>
      </c>
      <c r="E1250" t="s">
        <v>4607</v>
      </c>
      <c r="F1250" t="s">
        <v>28</v>
      </c>
      <c r="G1250" t="s">
        <v>4607</v>
      </c>
      <c r="H1250" t="str">
        <f>"C16A11.4"</f>
        <v>C16A11.4</v>
      </c>
      <c r="I1250" t="s">
        <v>4609</v>
      </c>
      <c r="J1250" t="s">
        <v>29</v>
      </c>
      <c r="K1250" t="s">
        <v>29</v>
      </c>
      <c r="L1250" t="s">
        <v>29</v>
      </c>
      <c r="M1250" t="s">
        <v>29</v>
      </c>
      <c r="N1250" t="s">
        <v>29</v>
      </c>
      <c r="O1250" t="s">
        <v>29</v>
      </c>
      <c r="P1250" t="s">
        <v>29</v>
      </c>
      <c r="Q1250" t="s">
        <v>29</v>
      </c>
      <c r="R1250" t="s">
        <v>29</v>
      </c>
      <c r="S1250">
        <v>13.0008481405805</v>
      </c>
      <c r="T1250" t="s">
        <v>29</v>
      </c>
      <c r="U1250" t="s">
        <v>29</v>
      </c>
      <c r="V1250" t="s">
        <v>29</v>
      </c>
      <c r="W1250" t="s">
        <v>29</v>
      </c>
      <c r="X1250" t="s">
        <v>29</v>
      </c>
      <c r="Y1250" t="s">
        <v>29</v>
      </c>
    </row>
    <row r="1251" spans="1:25" x14ac:dyDescent="0.2">
      <c r="A1251" t="s">
        <v>4610</v>
      </c>
      <c r="B1251" t="s">
        <v>4611</v>
      </c>
      <c r="C1251" t="s">
        <v>4612</v>
      </c>
      <c r="D1251" t="s">
        <v>4613</v>
      </c>
      <c r="E1251" t="s">
        <v>4611</v>
      </c>
      <c r="F1251" t="s">
        <v>28</v>
      </c>
      <c r="G1251" t="s">
        <v>4611</v>
      </c>
      <c r="H1251" t="str">
        <f>"mrpl-28"</f>
        <v>mrpl-28</v>
      </c>
      <c r="I1251" t="s">
        <v>4613</v>
      </c>
      <c r="J1251" t="s">
        <v>29</v>
      </c>
      <c r="K1251">
        <v>12.224142764910701</v>
      </c>
      <c r="L1251">
        <v>10.9607189924005</v>
      </c>
      <c r="M1251">
        <v>10.612274934261601</v>
      </c>
      <c r="N1251" t="s">
        <v>29</v>
      </c>
      <c r="O1251" t="s">
        <v>29</v>
      </c>
      <c r="P1251">
        <v>-0.98015594439400999</v>
      </c>
      <c r="Q1251">
        <v>-2.0060274289190998</v>
      </c>
      <c r="R1251">
        <v>4.5715540131080902E-2</v>
      </c>
      <c r="S1251">
        <v>11.754926837660101</v>
      </c>
      <c r="T1251">
        <v>-2.08375777100402</v>
      </c>
      <c r="U1251">
        <v>-4.5307823262752596</v>
      </c>
      <c r="V1251">
        <v>5.9427878073706898E-2</v>
      </c>
      <c r="W1251">
        <v>0.52491193602300501</v>
      </c>
      <c r="X1251">
        <v>0</v>
      </c>
      <c r="Y1251">
        <v>0</v>
      </c>
    </row>
    <row r="1252" spans="1:25" x14ac:dyDescent="0.2">
      <c r="A1252" t="s">
        <v>4614</v>
      </c>
      <c r="B1252" t="s">
        <v>4615</v>
      </c>
      <c r="C1252" t="s">
        <v>4616</v>
      </c>
      <c r="D1252" t="s">
        <v>4617</v>
      </c>
      <c r="E1252" t="s">
        <v>4615</v>
      </c>
      <c r="F1252" t="s">
        <v>28</v>
      </c>
      <c r="G1252" t="s">
        <v>4615</v>
      </c>
      <c r="H1252" t="str">
        <f>"pid-3"</f>
        <v>pid-3</v>
      </c>
      <c r="I1252" t="s">
        <v>4617</v>
      </c>
      <c r="J1252">
        <v>13.782880220527399</v>
      </c>
      <c r="K1252">
        <v>13.386783040827799</v>
      </c>
      <c r="L1252">
        <v>13.9721280738344</v>
      </c>
      <c r="M1252">
        <v>13.986005504600501</v>
      </c>
      <c r="N1252">
        <v>14.057874157530399</v>
      </c>
      <c r="O1252">
        <v>13.779190638480101</v>
      </c>
      <c r="P1252">
        <v>0.227092988473759</v>
      </c>
      <c r="Q1252">
        <v>-0.267154212503115</v>
      </c>
      <c r="R1252">
        <v>0.72134018945063205</v>
      </c>
      <c r="S1252">
        <v>14.152072982087001</v>
      </c>
      <c r="T1252">
        <v>0.96572176663488496</v>
      </c>
      <c r="U1252">
        <v>-6.4075978273101004</v>
      </c>
      <c r="V1252">
        <v>0.34705414291966602</v>
      </c>
      <c r="W1252">
        <v>0.87926117922885105</v>
      </c>
      <c r="X1252">
        <v>0</v>
      </c>
      <c r="Y1252">
        <v>0</v>
      </c>
    </row>
    <row r="1253" spans="1:25" x14ac:dyDescent="0.2">
      <c r="A1253" t="s">
        <v>4618</v>
      </c>
      <c r="B1253" t="s">
        <v>4619</v>
      </c>
      <c r="C1253" t="s">
        <v>4620</v>
      </c>
      <c r="D1253" t="s">
        <v>4621</v>
      </c>
      <c r="E1253" t="s">
        <v>4619</v>
      </c>
      <c r="F1253" t="s">
        <v>28</v>
      </c>
      <c r="G1253" t="s">
        <v>4619</v>
      </c>
      <c r="H1253" t="str">
        <f>"cars-1"</f>
        <v>cars-1</v>
      </c>
      <c r="I1253" t="s">
        <v>4621</v>
      </c>
      <c r="J1253">
        <v>13.0729954820373</v>
      </c>
      <c r="K1253">
        <v>13.0741253075469</v>
      </c>
      <c r="L1253">
        <v>12.7204627215984</v>
      </c>
      <c r="M1253">
        <v>13.1889392421898</v>
      </c>
      <c r="N1253">
        <v>13.1859519615743</v>
      </c>
      <c r="O1253">
        <v>12.856215002112901</v>
      </c>
      <c r="P1253">
        <v>0.121174231564805</v>
      </c>
      <c r="Q1253">
        <v>-0.32467084623360298</v>
      </c>
      <c r="R1253">
        <v>0.56701930936321199</v>
      </c>
      <c r="S1253">
        <v>13.020388875916501</v>
      </c>
      <c r="T1253">
        <v>0.571240263905888</v>
      </c>
      <c r="U1253">
        <v>-6.71354207715597</v>
      </c>
      <c r="V1253">
        <v>0.57494168512314903</v>
      </c>
      <c r="W1253">
        <v>0.96066330075004902</v>
      </c>
      <c r="X1253">
        <v>0</v>
      </c>
      <c r="Y1253">
        <v>0</v>
      </c>
    </row>
    <row r="1254" spans="1:25" x14ac:dyDescent="0.2">
      <c r="A1254" t="s">
        <v>4622</v>
      </c>
      <c r="B1254" t="s">
        <v>4623</v>
      </c>
      <c r="C1254" t="s">
        <v>14400</v>
      </c>
      <c r="D1254" t="s">
        <v>2692</v>
      </c>
      <c r="E1254" t="s">
        <v>4623</v>
      </c>
      <c r="F1254" t="s">
        <v>28</v>
      </c>
      <c r="G1254" t="s">
        <v>4623</v>
      </c>
      <c r="H1254" t="str">
        <f>"H41C03.1"</f>
        <v>H41C03.1</v>
      </c>
      <c r="I1254" t="s">
        <v>2692</v>
      </c>
      <c r="J1254" t="s">
        <v>29</v>
      </c>
      <c r="K1254" t="s">
        <v>29</v>
      </c>
      <c r="L1254" t="s">
        <v>29</v>
      </c>
      <c r="M1254" t="s">
        <v>29</v>
      </c>
      <c r="N1254" t="s">
        <v>29</v>
      </c>
      <c r="O1254" t="s">
        <v>29</v>
      </c>
      <c r="P1254" t="s">
        <v>29</v>
      </c>
      <c r="Q1254" t="s">
        <v>29</v>
      </c>
      <c r="R1254" t="s">
        <v>29</v>
      </c>
      <c r="S1254">
        <v>12.091363962186801</v>
      </c>
      <c r="T1254" t="s">
        <v>29</v>
      </c>
      <c r="U1254" t="s">
        <v>29</v>
      </c>
      <c r="V1254" t="s">
        <v>29</v>
      </c>
      <c r="W1254" t="s">
        <v>29</v>
      </c>
      <c r="X1254" t="s">
        <v>29</v>
      </c>
      <c r="Y1254" t="s">
        <v>29</v>
      </c>
    </row>
    <row r="1255" spans="1:25" x14ac:dyDescent="0.2">
      <c r="A1255" t="s">
        <v>4624</v>
      </c>
      <c r="B1255" t="s">
        <v>4625</v>
      </c>
      <c r="C1255" t="s">
        <v>14401</v>
      </c>
      <c r="D1255" t="s">
        <v>4626</v>
      </c>
      <c r="E1255" t="s">
        <v>4625</v>
      </c>
      <c r="F1255" t="s">
        <v>28</v>
      </c>
      <c r="G1255" t="s">
        <v>4625</v>
      </c>
      <c r="H1255" t="str">
        <f>"F25E5.5"</f>
        <v>F25E5.5</v>
      </c>
      <c r="I1255" t="s">
        <v>4626</v>
      </c>
      <c r="J1255">
        <v>11.4734367600781</v>
      </c>
      <c r="K1255">
        <v>10.9639228986424</v>
      </c>
      <c r="L1255">
        <v>11.213094469220801</v>
      </c>
      <c r="M1255">
        <v>11.3706995504172</v>
      </c>
      <c r="N1255">
        <v>11.756653382020801</v>
      </c>
      <c r="O1255">
        <v>11.9668938430226</v>
      </c>
      <c r="P1255">
        <v>0.48126421583981699</v>
      </c>
      <c r="Q1255">
        <v>5.83019377414562E-4</v>
      </c>
      <c r="R1255">
        <v>0.96194541230221897</v>
      </c>
      <c r="S1255">
        <v>11.675108832775001</v>
      </c>
      <c r="T1255">
        <v>2.1133744409205302</v>
      </c>
      <c r="U1255">
        <v>-4.8080649869487102</v>
      </c>
      <c r="V1255">
        <v>4.9752661937077003E-2</v>
      </c>
      <c r="W1255">
        <v>0.48617031180171</v>
      </c>
      <c r="X1255">
        <v>0</v>
      </c>
      <c r="Y1255">
        <v>0</v>
      </c>
    </row>
    <row r="1256" spans="1:25" x14ac:dyDescent="0.2">
      <c r="A1256" t="s">
        <v>4627</v>
      </c>
      <c r="B1256" t="s">
        <v>4628</v>
      </c>
      <c r="C1256" t="s">
        <v>14402</v>
      </c>
      <c r="D1256" t="s">
        <v>2432</v>
      </c>
      <c r="E1256" t="s">
        <v>4628</v>
      </c>
      <c r="F1256" t="s">
        <v>28</v>
      </c>
      <c r="G1256" t="s">
        <v>4628</v>
      </c>
      <c r="H1256" t="str">
        <f>"F25E5.1"</f>
        <v>F25E5.1</v>
      </c>
      <c r="I1256" t="s">
        <v>2432</v>
      </c>
      <c r="J1256" t="s">
        <v>29</v>
      </c>
      <c r="K1256" t="s">
        <v>29</v>
      </c>
      <c r="L1256" t="s">
        <v>29</v>
      </c>
      <c r="M1256" t="s">
        <v>29</v>
      </c>
      <c r="N1256" t="s">
        <v>29</v>
      </c>
      <c r="O1256" t="s">
        <v>29</v>
      </c>
      <c r="P1256" t="s">
        <v>29</v>
      </c>
      <c r="Q1256" t="s">
        <v>29</v>
      </c>
      <c r="R1256" t="s">
        <v>29</v>
      </c>
      <c r="S1256">
        <v>10.541427607644501</v>
      </c>
      <c r="T1256" t="s">
        <v>29</v>
      </c>
      <c r="U1256" t="s">
        <v>29</v>
      </c>
      <c r="V1256" t="s">
        <v>29</v>
      </c>
      <c r="W1256" t="s">
        <v>29</v>
      </c>
      <c r="X1256" t="s">
        <v>29</v>
      </c>
      <c r="Y1256" t="s">
        <v>29</v>
      </c>
    </row>
    <row r="1257" spans="1:25" x14ac:dyDescent="0.2">
      <c r="A1257" t="s">
        <v>4629</v>
      </c>
      <c r="B1257" t="s">
        <v>4630</v>
      </c>
      <c r="C1257" t="s">
        <v>14403</v>
      </c>
      <c r="D1257" t="s">
        <v>4631</v>
      </c>
      <c r="E1257" t="s">
        <v>4630</v>
      </c>
      <c r="F1257" t="s">
        <v>28</v>
      </c>
      <c r="G1257" t="s">
        <v>4630</v>
      </c>
      <c r="H1257" t="str">
        <f>"M01G5.1"</f>
        <v>M01G5.1</v>
      </c>
      <c r="I1257" t="s">
        <v>4631</v>
      </c>
      <c r="J1257">
        <v>12.6754994202355</v>
      </c>
      <c r="K1257">
        <v>12.852646011833199</v>
      </c>
      <c r="L1257">
        <v>13.2325250203775</v>
      </c>
      <c r="M1257">
        <v>12.9955713841624</v>
      </c>
      <c r="N1257">
        <v>13.1763338679764</v>
      </c>
      <c r="O1257">
        <v>12.8631062999874</v>
      </c>
      <c r="P1257">
        <v>9.14470332266486E-2</v>
      </c>
      <c r="Q1257">
        <v>-0.53685663224844704</v>
      </c>
      <c r="R1257">
        <v>0.71975069870174402</v>
      </c>
      <c r="S1257">
        <v>13.800006706628199</v>
      </c>
      <c r="T1257">
        <v>0.30722039288705799</v>
      </c>
      <c r="U1257">
        <v>-6.83315852537973</v>
      </c>
      <c r="V1257">
        <v>0.76243016606452896</v>
      </c>
      <c r="W1257">
        <v>0.99278624068726296</v>
      </c>
      <c r="X1257">
        <v>0</v>
      </c>
      <c r="Y1257">
        <v>0</v>
      </c>
    </row>
    <row r="1258" spans="1:25" x14ac:dyDescent="0.2">
      <c r="A1258" t="s">
        <v>4632</v>
      </c>
      <c r="B1258" t="s">
        <v>4633</v>
      </c>
      <c r="C1258" t="s">
        <v>4634</v>
      </c>
      <c r="D1258" t="s">
        <v>4635</v>
      </c>
      <c r="E1258" t="s">
        <v>4633</v>
      </c>
      <c r="F1258" t="s">
        <v>28</v>
      </c>
      <c r="G1258" t="s">
        <v>4633</v>
      </c>
      <c r="H1258" t="str">
        <f>"tmem-120"</f>
        <v>tmem-120</v>
      </c>
      <c r="I1258" t="s">
        <v>4635</v>
      </c>
      <c r="J1258">
        <v>14.8953152470538</v>
      </c>
      <c r="K1258">
        <v>14.7864015901195</v>
      </c>
      <c r="L1258">
        <v>14.7095261130933</v>
      </c>
      <c r="M1258">
        <v>14.556627203831299</v>
      </c>
      <c r="N1258">
        <v>14.726809654627401</v>
      </c>
      <c r="O1258">
        <v>14.7061151500073</v>
      </c>
      <c r="P1258">
        <v>-0.133896980600198</v>
      </c>
      <c r="Q1258">
        <v>-0.527955672260081</v>
      </c>
      <c r="R1258">
        <v>0.260161711059684</v>
      </c>
      <c r="S1258">
        <v>14.487821641423199</v>
      </c>
      <c r="T1258">
        <v>-0.714171287370576</v>
      </c>
      <c r="U1258">
        <v>-6.6197598514606302</v>
      </c>
      <c r="V1258">
        <v>0.48433342852324002</v>
      </c>
      <c r="W1258">
        <v>0.93959973540712705</v>
      </c>
      <c r="X1258">
        <v>0</v>
      </c>
      <c r="Y1258">
        <v>0</v>
      </c>
    </row>
    <row r="1259" spans="1:25" x14ac:dyDescent="0.2">
      <c r="A1259" t="s">
        <v>4636</v>
      </c>
      <c r="B1259" t="s">
        <v>4637</v>
      </c>
      <c r="C1259" t="s">
        <v>4638</v>
      </c>
      <c r="D1259" t="s">
        <v>2221</v>
      </c>
      <c r="E1259" t="s">
        <v>4637</v>
      </c>
      <c r="F1259" t="s">
        <v>28</v>
      </c>
      <c r="G1259" t="s">
        <v>4639</v>
      </c>
      <c r="H1259" t="str">
        <f>"ttbk-2"</f>
        <v>ttbk-2</v>
      </c>
      <c r="I1259" t="s">
        <v>2221</v>
      </c>
      <c r="J1259">
        <v>12.2859815790422</v>
      </c>
      <c r="K1259" t="s">
        <v>29</v>
      </c>
      <c r="L1259">
        <v>12.746537568168501</v>
      </c>
      <c r="M1259">
        <v>11.7698744530989</v>
      </c>
      <c r="N1259">
        <v>12.437551254539899</v>
      </c>
      <c r="O1259" t="s">
        <v>29</v>
      </c>
      <c r="P1259">
        <v>-0.41254671978594698</v>
      </c>
      <c r="Q1259">
        <v>-1.44991878688733</v>
      </c>
      <c r="R1259">
        <v>0.62482534731543704</v>
      </c>
      <c r="S1259">
        <v>12.116651915548299</v>
      </c>
      <c r="T1259">
        <v>-0.85985621173717397</v>
      </c>
      <c r="U1259">
        <v>-6.3011099436103901</v>
      </c>
      <c r="V1259">
        <v>0.40557086462188502</v>
      </c>
      <c r="W1259">
        <v>0.91027279600179201</v>
      </c>
      <c r="X1259">
        <v>0</v>
      </c>
      <c r="Y1259">
        <v>0</v>
      </c>
    </row>
    <row r="1260" spans="1:25" x14ac:dyDescent="0.2">
      <c r="A1260" t="s">
        <v>4640</v>
      </c>
      <c r="B1260" t="s">
        <v>4641</v>
      </c>
      <c r="C1260" t="s">
        <v>4642</v>
      </c>
      <c r="D1260" t="s">
        <v>4643</v>
      </c>
      <c r="E1260" t="s">
        <v>4641</v>
      </c>
      <c r="F1260" t="s">
        <v>28</v>
      </c>
      <c r="G1260" t="s">
        <v>4641</v>
      </c>
      <c r="H1260" t="str">
        <f>"glh-4"</f>
        <v>glh-4</v>
      </c>
      <c r="I1260" t="s">
        <v>4643</v>
      </c>
      <c r="J1260">
        <v>13.765366989373801</v>
      </c>
      <c r="K1260">
        <v>13.274297254613501</v>
      </c>
      <c r="L1260">
        <v>13.7076879473889</v>
      </c>
      <c r="M1260">
        <v>13.282565733949999</v>
      </c>
      <c r="N1260">
        <v>14.106480659093799</v>
      </c>
      <c r="O1260">
        <v>13.4552992603946</v>
      </c>
      <c r="P1260">
        <v>3.23311540207172E-2</v>
      </c>
      <c r="Q1260">
        <v>-0.58379803781429795</v>
      </c>
      <c r="R1260">
        <v>0.64846034585573198</v>
      </c>
      <c r="S1260">
        <v>13.9294189003387</v>
      </c>
      <c r="T1260">
        <v>0.11076420474819999</v>
      </c>
      <c r="U1260">
        <v>-6.8760614740701103</v>
      </c>
      <c r="V1260">
        <v>0.91310849908650904</v>
      </c>
      <c r="W1260">
        <v>0.99833354317360001</v>
      </c>
      <c r="X1260">
        <v>0</v>
      </c>
      <c r="Y1260">
        <v>0</v>
      </c>
    </row>
    <row r="1261" spans="1:25" x14ac:dyDescent="0.2">
      <c r="A1261" t="s">
        <v>4644</v>
      </c>
      <c r="B1261" t="s">
        <v>4645</v>
      </c>
      <c r="C1261" t="s">
        <v>4646</v>
      </c>
      <c r="D1261" t="s">
        <v>4647</v>
      </c>
      <c r="E1261" t="s">
        <v>4645</v>
      </c>
      <c r="F1261" t="s">
        <v>28</v>
      </c>
      <c r="G1261" t="s">
        <v>4645</v>
      </c>
      <c r="H1261" t="str">
        <f>"hsp-16.49"</f>
        <v>hsp-16.49</v>
      </c>
      <c r="I1261" t="s">
        <v>4647</v>
      </c>
      <c r="J1261">
        <v>16.422122160866301</v>
      </c>
      <c r="K1261">
        <v>16.584233476048301</v>
      </c>
      <c r="L1261">
        <v>16.208164708321199</v>
      </c>
      <c r="M1261">
        <v>16.5277627355885</v>
      </c>
      <c r="N1261">
        <v>16.037439738608299</v>
      </c>
      <c r="O1261">
        <v>15.842667481556401</v>
      </c>
      <c r="P1261">
        <v>-0.26888346316085399</v>
      </c>
      <c r="Q1261">
        <v>-0.95007739387694201</v>
      </c>
      <c r="R1261">
        <v>0.41231046755523298</v>
      </c>
      <c r="S1261">
        <v>14.997029692673101</v>
      </c>
      <c r="T1261">
        <v>-0.83318863316879099</v>
      </c>
      <c r="U1261">
        <v>-6.5259850254059399</v>
      </c>
      <c r="V1261">
        <v>0.41636219301281502</v>
      </c>
      <c r="W1261">
        <v>0.91512503332874395</v>
      </c>
      <c r="X1261">
        <v>0</v>
      </c>
      <c r="Y1261">
        <v>0</v>
      </c>
    </row>
    <row r="1262" spans="1:25" x14ac:dyDescent="0.2">
      <c r="A1262" t="s">
        <v>4648</v>
      </c>
      <c r="B1262" t="s">
        <v>4649</v>
      </c>
      <c r="C1262" t="s">
        <v>4650</v>
      </c>
      <c r="D1262" t="s">
        <v>4651</v>
      </c>
      <c r="E1262" t="s">
        <v>4649</v>
      </c>
      <c r="F1262" t="s">
        <v>28</v>
      </c>
      <c r="G1262" t="s">
        <v>4649</v>
      </c>
      <c r="H1262" t="str">
        <f>"unc-54"</f>
        <v>unc-54</v>
      </c>
      <c r="I1262" t="s">
        <v>4651</v>
      </c>
      <c r="J1262">
        <v>20.011289348706601</v>
      </c>
      <c r="K1262">
        <v>19.687491054812099</v>
      </c>
      <c r="L1262">
        <v>19.380054079670199</v>
      </c>
      <c r="M1262">
        <v>19.285747697894699</v>
      </c>
      <c r="N1262">
        <v>18.865420365797</v>
      </c>
      <c r="O1262">
        <v>19.339351611911098</v>
      </c>
      <c r="P1262">
        <v>-0.52943826919534198</v>
      </c>
      <c r="Q1262">
        <v>-1.05631982668807</v>
      </c>
      <c r="R1262">
        <v>-2.55671170261096E-3</v>
      </c>
      <c r="S1262">
        <v>18.9534452590946</v>
      </c>
      <c r="T1262">
        <v>-2.1120045332048401</v>
      </c>
      <c r="U1262">
        <v>-4.8041572484070301</v>
      </c>
      <c r="V1262">
        <v>4.9010866740855502E-2</v>
      </c>
      <c r="W1262">
        <v>0.48114502806361997</v>
      </c>
      <c r="X1262">
        <v>0</v>
      </c>
      <c r="Y1262">
        <v>0</v>
      </c>
    </row>
    <row r="1263" spans="1:25" x14ac:dyDescent="0.2">
      <c r="A1263" t="s">
        <v>4652</v>
      </c>
      <c r="B1263" t="s">
        <v>4653</v>
      </c>
      <c r="C1263" t="s">
        <v>4654</v>
      </c>
      <c r="D1263" t="s">
        <v>4655</v>
      </c>
      <c r="E1263" t="s">
        <v>4653</v>
      </c>
      <c r="F1263" t="s">
        <v>28</v>
      </c>
      <c r="G1263" t="s">
        <v>4653</v>
      </c>
      <c r="H1263" t="str">
        <f>"myo-1"</f>
        <v>myo-1</v>
      </c>
      <c r="I1263" t="s">
        <v>4655</v>
      </c>
      <c r="J1263">
        <v>16.1954882280282</v>
      </c>
      <c r="K1263">
        <v>16.176539743105501</v>
      </c>
      <c r="L1263">
        <v>15.6214431993634</v>
      </c>
      <c r="M1263">
        <v>15.616523945192901</v>
      </c>
      <c r="N1263">
        <v>14.963088438208</v>
      </c>
      <c r="O1263">
        <v>15.6669477938095</v>
      </c>
      <c r="P1263">
        <v>-0.58230366442884196</v>
      </c>
      <c r="Q1263">
        <v>-1.2348373794791201</v>
      </c>
      <c r="R1263">
        <v>7.0230050621432394E-2</v>
      </c>
      <c r="S1263">
        <v>15.2721912160247</v>
      </c>
      <c r="T1263">
        <v>-1.87559506168374</v>
      </c>
      <c r="U1263">
        <v>-5.2060714883475798</v>
      </c>
      <c r="V1263">
        <v>7.71229882510302E-2</v>
      </c>
      <c r="W1263">
        <v>0.59705360988270995</v>
      </c>
      <c r="X1263">
        <v>0</v>
      </c>
      <c r="Y1263">
        <v>0</v>
      </c>
    </row>
    <row r="1264" spans="1:25" x14ac:dyDescent="0.2">
      <c r="A1264" t="s">
        <v>4656</v>
      </c>
      <c r="B1264" t="s">
        <v>4657</v>
      </c>
      <c r="C1264" t="s">
        <v>4658</v>
      </c>
      <c r="D1264" t="s">
        <v>4659</v>
      </c>
      <c r="E1264" t="s">
        <v>4657</v>
      </c>
      <c r="F1264" t="s">
        <v>28</v>
      </c>
      <c r="G1264" t="s">
        <v>4657</v>
      </c>
      <c r="H1264" t="str">
        <f>"abl-1"</f>
        <v>abl-1</v>
      </c>
      <c r="I1264" t="s">
        <v>4659</v>
      </c>
      <c r="J1264">
        <v>12.956576812995101</v>
      </c>
      <c r="K1264">
        <v>9.2148242139315393</v>
      </c>
      <c r="L1264" t="s">
        <v>29</v>
      </c>
      <c r="M1264" t="s">
        <v>29</v>
      </c>
      <c r="N1264" t="s">
        <v>29</v>
      </c>
      <c r="O1264" t="s">
        <v>29</v>
      </c>
      <c r="P1264" t="s">
        <v>29</v>
      </c>
      <c r="Q1264" t="s">
        <v>29</v>
      </c>
      <c r="R1264" t="s">
        <v>29</v>
      </c>
      <c r="S1264">
        <v>10.9409659470099</v>
      </c>
      <c r="T1264" t="s">
        <v>29</v>
      </c>
      <c r="U1264" t="s">
        <v>29</v>
      </c>
      <c r="V1264" t="s">
        <v>29</v>
      </c>
      <c r="W1264" t="s">
        <v>29</v>
      </c>
      <c r="X1264" t="s">
        <v>29</v>
      </c>
      <c r="Y1264" t="s">
        <v>29</v>
      </c>
    </row>
    <row r="1265" spans="1:25" x14ac:dyDescent="0.2">
      <c r="A1265" t="s">
        <v>4660</v>
      </c>
      <c r="B1265" t="s">
        <v>4661</v>
      </c>
      <c r="C1265" t="s">
        <v>4662</v>
      </c>
      <c r="D1265" t="s">
        <v>4663</v>
      </c>
      <c r="E1265" t="s">
        <v>4661</v>
      </c>
      <c r="F1265" t="s">
        <v>28</v>
      </c>
      <c r="G1265" t="s">
        <v>4664</v>
      </c>
      <c r="H1265" t="str">
        <f>"his-44"</f>
        <v>his-44</v>
      </c>
      <c r="I1265" t="s">
        <v>4665</v>
      </c>
      <c r="J1265">
        <v>16.456692826900099</v>
      </c>
      <c r="K1265">
        <v>16.743368642127798</v>
      </c>
      <c r="L1265">
        <v>16.552147852151599</v>
      </c>
      <c r="M1265">
        <v>16.2695436075374</v>
      </c>
      <c r="N1265">
        <v>15.8674919863832</v>
      </c>
      <c r="O1265">
        <v>16.1876654529941</v>
      </c>
      <c r="P1265">
        <v>-0.47583609142162298</v>
      </c>
      <c r="Q1265">
        <v>-0.98677213366967398</v>
      </c>
      <c r="R1265">
        <v>3.5099950826427098E-2</v>
      </c>
      <c r="S1265">
        <v>16.196743187093901</v>
      </c>
      <c r="T1265">
        <v>-1.95741698762622</v>
      </c>
      <c r="U1265">
        <v>-5.0704050336313697</v>
      </c>
      <c r="V1265">
        <v>6.60813927045769E-2</v>
      </c>
      <c r="W1265">
        <v>0.55110136176097302</v>
      </c>
      <c r="X1265">
        <v>0</v>
      </c>
      <c r="Y1265">
        <v>0</v>
      </c>
    </row>
    <row r="1266" spans="1:25" x14ac:dyDescent="0.2">
      <c r="A1266" t="s">
        <v>4666</v>
      </c>
      <c r="B1266" t="s">
        <v>4667</v>
      </c>
      <c r="C1266" t="s">
        <v>4668</v>
      </c>
      <c r="D1266" t="s">
        <v>4669</v>
      </c>
      <c r="E1266" t="s">
        <v>4667</v>
      </c>
      <c r="F1266" t="s">
        <v>28</v>
      </c>
      <c r="G1266" t="s">
        <v>4667</v>
      </c>
      <c r="H1266" t="str">
        <f>"gpd-1"</f>
        <v>gpd-1</v>
      </c>
      <c r="I1266" t="s">
        <v>4669</v>
      </c>
      <c r="J1266">
        <v>13.456051523412</v>
      </c>
      <c r="K1266">
        <v>13.6777562745357</v>
      </c>
      <c r="L1266">
        <v>13.9710464878087</v>
      </c>
      <c r="M1266">
        <v>13.4334129175915</v>
      </c>
      <c r="N1266">
        <v>12.2452742094518</v>
      </c>
      <c r="O1266">
        <v>14.1234729531625</v>
      </c>
      <c r="P1266">
        <v>-0.43423140185016301</v>
      </c>
      <c r="Q1266">
        <v>-1.39915482810827</v>
      </c>
      <c r="R1266">
        <v>0.53069202440794905</v>
      </c>
      <c r="S1266">
        <v>13.204178475843801</v>
      </c>
      <c r="T1266">
        <v>-0.95450433737172402</v>
      </c>
      <c r="U1266">
        <v>-6.4166495257628702</v>
      </c>
      <c r="V1266">
        <v>0.35412032617730899</v>
      </c>
      <c r="W1266">
        <v>0.87950242192597095</v>
      </c>
      <c r="X1266">
        <v>0</v>
      </c>
      <c r="Y1266">
        <v>0</v>
      </c>
    </row>
    <row r="1267" spans="1:25" x14ac:dyDescent="0.2">
      <c r="A1267" t="s">
        <v>4670</v>
      </c>
      <c r="B1267" t="s">
        <v>4671</v>
      </c>
      <c r="C1267" t="s">
        <v>4672</v>
      </c>
      <c r="D1267" t="s">
        <v>4673</v>
      </c>
      <c r="E1267" t="s">
        <v>4671</v>
      </c>
      <c r="F1267" t="s">
        <v>28</v>
      </c>
      <c r="G1267" t="s">
        <v>4671</v>
      </c>
      <c r="H1267" t="str">
        <f>"vit-2"</f>
        <v>vit-2</v>
      </c>
      <c r="I1267" t="s">
        <v>4673</v>
      </c>
      <c r="J1267">
        <v>18.623183227556101</v>
      </c>
      <c r="K1267">
        <v>18.417987263781502</v>
      </c>
      <c r="L1267">
        <v>18.620463188672499</v>
      </c>
      <c r="M1267">
        <v>17.8279404315996</v>
      </c>
      <c r="N1267">
        <v>17.820294966848799</v>
      </c>
      <c r="O1267">
        <v>18.339640699933199</v>
      </c>
      <c r="P1267">
        <v>-0.55791919387616296</v>
      </c>
      <c r="Q1267">
        <v>-0.99951535939181302</v>
      </c>
      <c r="R1267">
        <v>-0.116323028360514</v>
      </c>
      <c r="S1267">
        <v>18.781824332830102</v>
      </c>
      <c r="T1267">
        <v>-2.6554524066997298</v>
      </c>
      <c r="U1267">
        <v>-3.7822411712674602</v>
      </c>
      <c r="V1267">
        <v>1.6156606565452099E-2</v>
      </c>
      <c r="W1267">
        <v>0.250089240231742</v>
      </c>
      <c r="X1267">
        <v>0</v>
      </c>
      <c r="Y1267">
        <v>0</v>
      </c>
    </row>
    <row r="1268" spans="1:25" x14ac:dyDescent="0.2">
      <c r="A1268" t="s">
        <v>4674</v>
      </c>
      <c r="B1268" t="s">
        <v>4675</v>
      </c>
      <c r="C1268" t="s">
        <v>4676</v>
      </c>
      <c r="D1268" t="s">
        <v>4677</v>
      </c>
      <c r="E1268" t="s">
        <v>4675</v>
      </c>
      <c r="F1268" t="s">
        <v>28</v>
      </c>
      <c r="G1268" t="s">
        <v>4675</v>
      </c>
      <c r="H1268" t="str">
        <f>"vit-5"</f>
        <v>vit-5</v>
      </c>
      <c r="I1268" t="s">
        <v>4677</v>
      </c>
      <c r="J1268">
        <v>21.2356531440543</v>
      </c>
      <c r="K1268">
        <v>20.8993076448888</v>
      </c>
      <c r="L1268">
        <v>21.3735875639812</v>
      </c>
      <c r="M1268">
        <v>20.920761193841301</v>
      </c>
      <c r="N1268">
        <v>21.0196425010502</v>
      </c>
      <c r="O1268">
        <v>20.933172712686101</v>
      </c>
      <c r="P1268">
        <v>-0.211657315115577</v>
      </c>
      <c r="Q1268">
        <v>-0.57278860246883601</v>
      </c>
      <c r="R1268">
        <v>0.149473972237682</v>
      </c>
      <c r="S1268">
        <v>21.535431999671101</v>
      </c>
      <c r="T1268">
        <v>-1.23185808962835</v>
      </c>
      <c r="U1268">
        <v>-6.1217701503662996</v>
      </c>
      <c r="V1268">
        <v>0.23394445022214599</v>
      </c>
      <c r="W1268">
        <v>0.81868257659232602</v>
      </c>
      <c r="X1268">
        <v>0</v>
      </c>
      <c r="Y1268">
        <v>0</v>
      </c>
    </row>
    <row r="1269" spans="1:25" x14ac:dyDescent="0.2">
      <c r="A1269" t="s">
        <v>4678</v>
      </c>
      <c r="B1269" t="s">
        <v>4679</v>
      </c>
      <c r="C1269" t="s">
        <v>4680</v>
      </c>
      <c r="D1269" t="s">
        <v>4681</v>
      </c>
      <c r="E1269" t="s">
        <v>4679</v>
      </c>
      <c r="F1269" t="s">
        <v>28</v>
      </c>
      <c r="G1269" t="s">
        <v>4679</v>
      </c>
      <c r="H1269" t="str">
        <f>"hsp-16.2"</f>
        <v>hsp-16.2</v>
      </c>
      <c r="I1269" t="s">
        <v>4681</v>
      </c>
      <c r="J1269">
        <v>15.4271147588888</v>
      </c>
      <c r="K1269">
        <v>15.5283011395725</v>
      </c>
      <c r="L1269">
        <v>15.2784373344704</v>
      </c>
      <c r="M1269">
        <v>14.9425403960326</v>
      </c>
      <c r="N1269">
        <v>14.6502147060003</v>
      </c>
      <c r="O1269">
        <v>14.110670985658899</v>
      </c>
      <c r="P1269">
        <v>-0.843475715079959</v>
      </c>
      <c r="Q1269">
        <v>-1.7017856102811699</v>
      </c>
      <c r="R1269">
        <v>1.48341801212472E-2</v>
      </c>
      <c r="S1269">
        <v>13.2221112025615</v>
      </c>
      <c r="T1269">
        <v>-2.0843852609182298</v>
      </c>
      <c r="U1269">
        <v>-4.8650090174403298</v>
      </c>
      <c r="V1269">
        <v>5.3622072576749197E-2</v>
      </c>
      <c r="W1269">
        <v>0.50127600431298103</v>
      </c>
      <c r="X1269">
        <v>0</v>
      </c>
      <c r="Y1269">
        <v>0</v>
      </c>
    </row>
    <row r="1270" spans="1:25" x14ac:dyDescent="0.2">
      <c r="A1270" t="s">
        <v>4682</v>
      </c>
      <c r="B1270" t="s">
        <v>4683</v>
      </c>
      <c r="C1270" t="s">
        <v>4684</v>
      </c>
      <c r="D1270" t="s">
        <v>4685</v>
      </c>
      <c r="E1270" t="s">
        <v>4683</v>
      </c>
      <c r="F1270" t="s">
        <v>28</v>
      </c>
      <c r="G1270" t="s">
        <v>4683</v>
      </c>
      <c r="H1270" t="str">
        <f>"hsp-1"</f>
        <v>hsp-1</v>
      </c>
      <c r="I1270" t="s">
        <v>4685</v>
      </c>
      <c r="J1270">
        <v>19.849484695166101</v>
      </c>
      <c r="K1270">
        <v>19.7601922412017</v>
      </c>
      <c r="L1270">
        <v>19.697196093757601</v>
      </c>
      <c r="M1270">
        <v>20.6193583641057</v>
      </c>
      <c r="N1270">
        <v>20.6859450250134</v>
      </c>
      <c r="O1270">
        <v>20.5355098465282</v>
      </c>
      <c r="P1270">
        <v>0.84464673517393196</v>
      </c>
      <c r="Q1270">
        <v>0.470032858748403</v>
      </c>
      <c r="R1270">
        <v>1.21926061159946</v>
      </c>
      <c r="S1270">
        <v>20.1611865478936</v>
      </c>
      <c r="T1270">
        <v>4.7389678285973202</v>
      </c>
      <c r="U1270">
        <v>0.67821297141917702</v>
      </c>
      <c r="V1270">
        <v>1.6632965324695601E-4</v>
      </c>
      <c r="W1270">
        <v>7.5828093973406797E-3</v>
      </c>
      <c r="X1270">
        <v>0</v>
      </c>
      <c r="Y1270">
        <v>0</v>
      </c>
    </row>
    <row r="1271" spans="1:25" x14ac:dyDescent="0.2">
      <c r="A1271" t="s">
        <v>4686</v>
      </c>
      <c r="B1271" t="s">
        <v>4687</v>
      </c>
      <c r="C1271" t="s">
        <v>4688</v>
      </c>
      <c r="D1271" t="s">
        <v>4689</v>
      </c>
      <c r="E1271" t="s">
        <v>4687</v>
      </c>
      <c r="F1271" t="s">
        <v>28</v>
      </c>
      <c r="G1271" t="s">
        <v>4690</v>
      </c>
      <c r="H1271" t="str">
        <f>"his-68"</f>
        <v>his-68</v>
      </c>
      <c r="I1271" t="s">
        <v>4689</v>
      </c>
      <c r="J1271">
        <v>17.4510078693182</v>
      </c>
      <c r="K1271">
        <v>18.260683334545799</v>
      </c>
      <c r="L1271">
        <v>17.908466773640999</v>
      </c>
      <c r="M1271">
        <v>19.010680838642699</v>
      </c>
      <c r="N1271">
        <v>17.340081153896801</v>
      </c>
      <c r="O1271">
        <v>18.584743389183799</v>
      </c>
      <c r="P1271">
        <v>0.438449134739468</v>
      </c>
      <c r="Q1271">
        <v>-0.84102268542230396</v>
      </c>
      <c r="R1271">
        <v>1.71792095490124</v>
      </c>
      <c r="S1271">
        <v>17.8874592388214</v>
      </c>
      <c r="T1271">
        <v>0.720246249253227</v>
      </c>
      <c r="U1271">
        <v>-6.6153353190150002</v>
      </c>
      <c r="V1271">
        <v>0.480676279502947</v>
      </c>
      <c r="W1271">
        <v>0.93764446794243095</v>
      </c>
      <c r="X1271">
        <v>0</v>
      </c>
      <c r="Y1271">
        <v>0</v>
      </c>
    </row>
    <row r="1272" spans="1:25" x14ac:dyDescent="0.2">
      <c r="A1272" t="s">
        <v>4691</v>
      </c>
      <c r="B1272" t="s">
        <v>4692</v>
      </c>
      <c r="C1272" t="s">
        <v>4693</v>
      </c>
      <c r="D1272" t="s">
        <v>4694</v>
      </c>
      <c r="E1272" t="s">
        <v>4692</v>
      </c>
      <c r="F1272" t="s">
        <v>28</v>
      </c>
      <c r="G1272" t="s">
        <v>4695</v>
      </c>
      <c r="H1272" t="str">
        <f>"ubq-1"</f>
        <v>ubq-1</v>
      </c>
      <c r="I1272" t="s">
        <v>4696</v>
      </c>
      <c r="J1272">
        <v>16.775693036027999</v>
      </c>
      <c r="K1272">
        <v>16.999638625921801</v>
      </c>
      <c r="L1272">
        <v>16.7205657824735</v>
      </c>
      <c r="M1272">
        <v>17.1311545317132</v>
      </c>
      <c r="N1272">
        <v>17.163087545699899</v>
      </c>
      <c r="O1272">
        <v>17.1127411708175</v>
      </c>
      <c r="P1272">
        <v>0.30369526793574803</v>
      </c>
      <c r="Q1272">
        <v>-0.173952975118953</v>
      </c>
      <c r="R1272">
        <v>0.78134351099044796</v>
      </c>
      <c r="S1272">
        <v>17.418736181101</v>
      </c>
      <c r="T1272">
        <v>1.33635657110864</v>
      </c>
      <c r="U1272">
        <v>-5.99351371826668</v>
      </c>
      <c r="V1272">
        <v>0.19817773400651501</v>
      </c>
      <c r="W1272">
        <v>0.79075284576134597</v>
      </c>
      <c r="X1272">
        <v>0</v>
      </c>
      <c r="Y1272">
        <v>0</v>
      </c>
    </row>
    <row r="1273" spans="1:25" x14ac:dyDescent="0.2">
      <c r="A1273" t="s">
        <v>4697</v>
      </c>
      <c r="B1273" t="s">
        <v>4698</v>
      </c>
      <c r="C1273" t="s">
        <v>4699</v>
      </c>
      <c r="D1273" t="s">
        <v>4700</v>
      </c>
      <c r="E1273" t="s">
        <v>4698</v>
      </c>
      <c r="F1273" t="s">
        <v>28</v>
      </c>
      <c r="G1273" t="s">
        <v>4701</v>
      </c>
      <c r="H1273" t="str">
        <f>"act-1"</f>
        <v>act-1</v>
      </c>
      <c r="I1273" t="s">
        <v>4702</v>
      </c>
      <c r="J1273">
        <v>18.942611603166</v>
      </c>
      <c r="K1273">
        <v>19.335040253449399</v>
      </c>
      <c r="L1273">
        <v>19.5912173876096</v>
      </c>
      <c r="M1273">
        <v>19.213455191055498</v>
      </c>
      <c r="N1273">
        <v>19.200259066032</v>
      </c>
      <c r="O1273">
        <v>19.500123691095499</v>
      </c>
      <c r="P1273">
        <v>1.49895679859569E-2</v>
      </c>
      <c r="Q1273">
        <v>-1.0864348145511999</v>
      </c>
      <c r="R1273">
        <v>1.1164139505231201</v>
      </c>
      <c r="S1273">
        <v>19.3663172424097</v>
      </c>
      <c r="T1273">
        <v>2.8604011438356499E-2</v>
      </c>
      <c r="U1273">
        <v>-6.8820620818251701</v>
      </c>
      <c r="V1273">
        <v>0.97749700181750998</v>
      </c>
      <c r="W1273">
        <v>0.99968702248720698</v>
      </c>
      <c r="X1273">
        <v>0</v>
      </c>
      <c r="Y1273">
        <v>0</v>
      </c>
    </row>
    <row r="1274" spans="1:25" x14ac:dyDescent="0.2">
      <c r="A1274" t="s">
        <v>4703</v>
      </c>
      <c r="B1274" t="s">
        <v>4704</v>
      </c>
      <c r="C1274" t="s">
        <v>4705</v>
      </c>
      <c r="D1274" t="s">
        <v>4706</v>
      </c>
      <c r="E1274" t="s">
        <v>4704</v>
      </c>
      <c r="F1274" t="s">
        <v>28</v>
      </c>
      <c r="G1274" t="s">
        <v>4704</v>
      </c>
      <c r="H1274" t="str">
        <f>"unc-15"</f>
        <v>unc-15</v>
      </c>
      <c r="I1274" t="s">
        <v>4706</v>
      </c>
      <c r="J1274">
        <v>15.5826365180073</v>
      </c>
      <c r="K1274">
        <v>15.445733196581299</v>
      </c>
      <c r="L1274">
        <v>15.6856706222116</v>
      </c>
      <c r="M1274">
        <v>15.256662027194601</v>
      </c>
      <c r="N1274">
        <v>14.5673008919234</v>
      </c>
      <c r="O1274">
        <v>15.1681085376618</v>
      </c>
      <c r="P1274">
        <v>-0.57398962667345899</v>
      </c>
      <c r="Q1274">
        <v>-1.1640977926491101</v>
      </c>
      <c r="R1274">
        <v>1.6118539302196099E-2</v>
      </c>
      <c r="S1274">
        <v>15.258612495570601</v>
      </c>
      <c r="T1274">
        <v>-2.0443955756780201</v>
      </c>
      <c r="U1274">
        <v>-4.92213965914023</v>
      </c>
      <c r="V1274">
        <v>5.5913859956547102E-2</v>
      </c>
      <c r="W1274">
        <v>0.50684438128921605</v>
      </c>
      <c r="X1274">
        <v>0</v>
      </c>
      <c r="Y1274">
        <v>0</v>
      </c>
    </row>
    <row r="1275" spans="1:25" x14ac:dyDescent="0.2">
      <c r="A1275" t="s">
        <v>4707</v>
      </c>
      <c r="B1275" t="s">
        <v>4708</v>
      </c>
      <c r="C1275" t="s">
        <v>4709</v>
      </c>
      <c r="D1275" t="s">
        <v>4710</v>
      </c>
      <c r="E1275" t="s">
        <v>4708</v>
      </c>
      <c r="F1275" t="s">
        <v>28</v>
      </c>
      <c r="G1275" t="s">
        <v>4708</v>
      </c>
      <c r="H1275" t="str">
        <f>"his-24"</f>
        <v>his-24</v>
      </c>
      <c r="I1275" t="s">
        <v>4710</v>
      </c>
      <c r="J1275">
        <v>15.115367897492501</v>
      </c>
      <c r="K1275">
        <v>15.4442800937942</v>
      </c>
      <c r="L1275">
        <v>15.4318250506205</v>
      </c>
      <c r="M1275">
        <v>14.7392236624306</v>
      </c>
      <c r="N1275">
        <v>13.8980099874007</v>
      </c>
      <c r="O1275">
        <v>15.278862312919999</v>
      </c>
      <c r="P1275">
        <v>-0.69179235971859598</v>
      </c>
      <c r="Q1275">
        <v>-2.1917822257666102</v>
      </c>
      <c r="R1275">
        <v>0.808197506329423</v>
      </c>
      <c r="S1275">
        <v>13.959864453579399</v>
      </c>
      <c r="T1275">
        <v>-0.96934851531595201</v>
      </c>
      <c r="U1275">
        <v>-6.4041150936489304</v>
      </c>
      <c r="V1275">
        <v>0.34529142482708303</v>
      </c>
      <c r="W1275">
        <v>0.87901395057154197</v>
      </c>
      <c r="X1275">
        <v>0</v>
      </c>
      <c r="Y1275">
        <v>0</v>
      </c>
    </row>
    <row r="1276" spans="1:25" x14ac:dyDescent="0.2">
      <c r="A1276" t="s">
        <v>4711</v>
      </c>
      <c r="B1276" t="s">
        <v>4712</v>
      </c>
      <c r="C1276" t="s">
        <v>4713</v>
      </c>
      <c r="D1276" t="s">
        <v>4714</v>
      </c>
      <c r="E1276" t="s">
        <v>4712</v>
      </c>
      <c r="F1276" t="s">
        <v>28</v>
      </c>
      <c r="G1276" t="s">
        <v>4712</v>
      </c>
      <c r="H1276" t="str">
        <f>"hsp-6"</f>
        <v>hsp-6</v>
      </c>
      <c r="I1276" t="s">
        <v>4714</v>
      </c>
      <c r="J1276">
        <v>15.334288803847</v>
      </c>
      <c r="K1276">
        <v>15.120503364349601</v>
      </c>
      <c r="L1276">
        <v>15.1816142025154</v>
      </c>
      <c r="M1276">
        <v>15.1779716474996</v>
      </c>
      <c r="N1276">
        <v>15.1702347765304</v>
      </c>
      <c r="O1276">
        <v>15.376704848743501</v>
      </c>
      <c r="P1276">
        <v>2.9501634020483902E-2</v>
      </c>
      <c r="Q1276">
        <v>-0.44535509527656503</v>
      </c>
      <c r="R1276">
        <v>0.50435836331753203</v>
      </c>
      <c r="S1276">
        <v>15.2253714406345</v>
      </c>
      <c r="T1276">
        <v>0.13057979648434401</v>
      </c>
      <c r="U1276">
        <v>-6.8735847008168696</v>
      </c>
      <c r="V1276">
        <v>0.89756444517355405</v>
      </c>
      <c r="W1276">
        <v>0.99833354317360001</v>
      </c>
      <c r="X1276">
        <v>0</v>
      </c>
      <c r="Y1276">
        <v>0</v>
      </c>
    </row>
    <row r="1277" spans="1:25" x14ac:dyDescent="0.2">
      <c r="A1277" t="s">
        <v>4715</v>
      </c>
      <c r="B1277" t="s">
        <v>4716</v>
      </c>
      <c r="C1277" t="s">
        <v>4717</v>
      </c>
      <c r="D1277" t="s">
        <v>4718</v>
      </c>
      <c r="E1277" t="s">
        <v>4716</v>
      </c>
      <c r="F1277" t="s">
        <v>28</v>
      </c>
      <c r="G1277" t="s">
        <v>4716</v>
      </c>
      <c r="H1277" t="str">
        <f>"sqt-1"</f>
        <v>sqt-1</v>
      </c>
      <c r="I1277" t="s">
        <v>4718</v>
      </c>
      <c r="J1277">
        <v>10.3476885957646</v>
      </c>
      <c r="K1277">
        <v>10.848441694768599</v>
      </c>
      <c r="L1277">
        <v>11.742088281330901</v>
      </c>
      <c r="M1277">
        <v>11.0492846100372</v>
      </c>
      <c r="N1277">
        <v>10.884377033070599</v>
      </c>
      <c r="O1277">
        <v>11.981007159099001</v>
      </c>
      <c r="P1277">
        <v>0.32548341011427001</v>
      </c>
      <c r="Q1277">
        <v>-1.08458643682889</v>
      </c>
      <c r="R1277">
        <v>1.7355532570574299</v>
      </c>
      <c r="S1277">
        <v>11.153314957178599</v>
      </c>
      <c r="T1277">
        <v>0.492300002100517</v>
      </c>
      <c r="U1277">
        <v>-6.7555481452468502</v>
      </c>
      <c r="V1277">
        <v>0.629684217435449</v>
      </c>
      <c r="W1277">
        <v>0.97279262440453396</v>
      </c>
      <c r="X1277">
        <v>0</v>
      </c>
      <c r="Y1277">
        <v>0</v>
      </c>
    </row>
    <row r="1278" spans="1:25" x14ac:dyDescent="0.2">
      <c r="A1278" t="s">
        <v>4719</v>
      </c>
      <c r="B1278" t="s">
        <v>4720</v>
      </c>
      <c r="C1278" t="s">
        <v>4721</v>
      </c>
      <c r="D1278" t="s">
        <v>4722</v>
      </c>
      <c r="E1278" t="s">
        <v>4720</v>
      </c>
      <c r="F1278" t="s">
        <v>28</v>
      </c>
      <c r="G1278" t="s">
        <v>4720</v>
      </c>
      <c r="H1278" t="str">
        <f>"mec-7"</f>
        <v>mec-7</v>
      </c>
      <c r="I1278" t="s">
        <v>4722</v>
      </c>
      <c r="J1278">
        <v>14.251358383261801</v>
      </c>
      <c r="K1278">
        <v>14.654048365178699</v>
      </c>
      <c r="L1278">
        <v>14.0911149524604</v>
      </c>
      <c r="M1278">
        <v>14.0911437579009</v>
      </c>
      <c r="N1278">
        <v>14.175436874079001</v>
      </c>
      <c r="O1278">
        <v>14.438299164371699</v>
      </c>
      <c r="P1278">
        <v>-9.7213968183074997E-2</v>
      </c>
      <c r="Q1278">
        <v>-1.0290531289835201</v>
      </c>
      <c r="R1278">
        <v>0.834625192617369</v>
      </c>
      <c r="S1278">
        <v>14.136929704798</v>
      </c>
      <c r="T1278">
        <v>-0.219270509780982</v>
      </c>
      <c r="U1278">
        <v>-6.8574021305464896</v>
      </c>
      <c r="V1278">
        <v>0.82892090117059403</v>
      </c>
      <c r="W1278">
        <v>0.99339170295129098</v>
      </c>
      <c r="X1278">
        <v>0</v>
      </c>
      <c r="Y1278">
        <v>0</v>
      </c>
    </row>
    <row r="1279" spans="1:25" x14ac:dyDescent="0.2">
      <c r="A1279" t="s">
        <v>4723</v>
      </c>
      <c r="B1279" t="s">
        <v>4724</v>
      </c>
      <c r="C1279" t="s">
        <v>4725</v>
      </c>
      <c r="D1279" t="s">
        <v>4726</v>
      </c>
      <c r="E1279" t="s">
        <v>4724</v>
      </c>
      <c r="F1279" t="s">
        <v>28</v>
      </c>
      <c r="G1279" t="s">
        <v>4724</v>
      </c>
      <c r="H1279" t="str">
        <f>"myo-3"</f>
        <v>myo-3</v>
      </c>
      <c r="I1279" t="s">
        <v>4726</v>
      </c>
      <c r="J1279">
        <v>15.7342468286021</v>
      </c>
      <c r="K1279">
        <v>15.765660796323299</v>
      </c>
      <c r="L1279">
        <v>15.507543018622901</v>
      </c>
      <c r="M1279">
        <v>15.050303178192801</v>
      </c>
      <c r="N1279">
        <v>14.818687263120101</v>
      </c>
      <c r="O1279">
        <v>15.760382637491499</v>
      </c>
      <c r="P1279">
        <v>-0.45935918824802602</v>
      </c>
      <c r="Q1279">
        <v>-1.10831450454647</v>
      </c>
      <c r="R1279">
        <v>0.18959612805041501</v>
      </c>
      <c r="S1279">
        <v>15.2151846757461</v>
      </c>
      <c r="T1279">
        <v>-1.48775057327337</v>
      </c>
      <c r="U1279">
        <v>-5.7927951301705196</v>
      </c>
      <c r="V1279">
        <v>0.15422623061910201</v>
      </c>
      <c r="W1279">
        <v>0.74929181824871804</v>
      </c>
      <c r="X1279">
        <v>0</v>
      </c>
      <c r="Y1279">
        <v>0</v>
      </c>
    </row>
    <row r="1280" spans="1:25" x14ac:dyDescent="0.2">
      <c r="A1280" t="s">
        <v>4727</v>
      </c>
      <c r="B1280" t="s">
        <v>4728</v>
      </c>
      <c r="C1280" t="s">
        <v>4729</v>
      </c>
      <c r="D1280" t="s">
        <v>4730</v>
      </c>
      <c r="E1280" t="s">
        <v>4728</v>
      </c>
      <c r="F1280" t="s">
        <v>28</v>
      </c>
      <c r="G1280" t="s">
        <v>4728</v>
      </c>
      <c r="H1280" t="str">
        <f>"myo-2"</f>
        <v>myo-2</v>
      </c>
      <c r="I1280" t="s">
        <v>4730</v>
      </c>
      <c r="J1280">
        <v>17.848574425808501</v>
      </c>
      <c r="K1280">
        <v>17.7099673627201</v>
      </c>
      <c r="L1280">
        <v>17.214181558526899</v>
      </c>
      <c r="M1280">
        <v>17.279681869068799</v>
      </c>
      <c r="N1280">
        <v>16.634438917126101</v>
      </c>
      <c r="O1280">
        <v>17.239216401483699</v>
      </c>
      <c r="P1280">
        <v>-0.53979538645898695</v>
      </c>
      <c r="Q1280">
        <v>-1.2030055173327701</v>
      </c>
      <c r="R1280">
        <v>0.12341474441479899</v>
      </c>
      <c r="S1280">
        <v>16.853511970730999</v>
      </c>
      <c r="T1280">
        <v>-1.71068690079982</v>
      </c>
      <c r="U1280">
        <v>-5.4674628522667099</v>
      </c>
      <c r="V1280">
        <v>0.10441835230890301</v>
      </c>
      <c r="W1280">
        <v>0.66317610016036399</v>
      </c>
      <c r="X1280">
        <v>0</v>
      </c>
      <c r="Y1280">
        <v>0</v>
      </c>
    </row>
    <row r="1281" spans="1:25" x14ac:dyDescent="0.2">
      <c r="A1281" t="s">
        <v>4731</v>
      </c>
      <c r="B1281" t="s">
        <v>4732</v>
      </c>
      <c r="C1281" t="s">
        <v>4733</v>
      </c>
      <c r="D1281" t="s">
        <v>4734</v>
      </c>
      <c r="E1281" t="s">
        <v>4732</v>
      </c>
      <c r="F1281" t="s">
        <v>28</v>
      </c>
      <c r="G1281" t="s">
        <v>4732</v>
      </c>
      <c r="H1281" t="str">
        <f>"hil-2"</f>
        <v>hil-2</v>
      </c>
      <c r="I1281" t="s">
        <v>4734</v>
      </c>
      <c r="J1281">
        <v>13.2545598792482</v>
      </c>
      <c r="K1281">
        <v>14.1183797691933</v>
      </c>
      <c r="L1281">
        <v>14.158669902344499</v>
      </c>
      <c r="M1281">
        <v>12.9522753686405</v>
      </c>
      <c r="N1281">
        <v>13.130294367615299</v>
      </c>
      <c r="O1281">
        <v>13.2703319434512</v>
      </c>
      <c r="P1281">
        <v>-0.72623595702632404</v>
      </c>
      <c r="Q1281">
        <v>-1.699652332134</v>
      </c>
      <c r="R1281">
        <v>0.24718041808135499</v>
      </c>
      <c r="S1281">
        <v>13.2251207379409</v>
      </c>
      <c r="T1281">
        <v>-1.60129369142189</v>
      </c>
      <c r="U1281">
        <v>-5.6353952559782501</v>
      </c>
      <c r="V1281">
        <v>0.13179463930924501</v>
      </c>
      <c r="W1281">
        <v>0.72021766768664797</v>
      </c>
      <c r="X1281">
        <v>0</v>
      </c>
      <c r="Y1281">
        <v>0</v>
      </c>
    </row>
    <row r="1282" spans="1:25" x14ac:dyDescent="0.2">
      <c r="A1282" t="s">
        <v>4735</v>
      </c>
      <c r="B1282" t="s">
        <v>4736</v>
      </c>
      <c r="C1282" t="s">
        <v>4737</v>
      </c>
      <c r="D1282" t="s">
        <v>4738</v>
      </c>
      <c r="E1282" t="s">
        <v>4736</v>
      </c>
      <c r="F1282" t="s">
        <v>28</v>
      </c>
      <c r="G1282" t="s">
        <v>4736</v>
      </c>
      <c r="H1282" t="str">
        <f>"ama-1"</f>
        <v>ama-1</v>
      </c>
      <c r="I1282" t="s">
        <v>4738</v>
      </c>
      <c r="J1282">
        <v>15.2122184437894</v>
      </c>
      <c r="K1282">
        <v>15.0710234387819</v>
      </c>
      <c r="L1282">
        <v>14.8908676675489</v>
      </c>
      <c r="M1282">
        <v>15.123426034004799</v>
      </c>
      <c r="N1282">
        <v>15.180159470345901</v>
      </c>
      <c r="O1282">
        <v>15.0492569734831</v>
      </c>
      <c r="P1282">
        <v>5.9577642571189998E-2</v>
      </c>
      <c r="Q1282">
        <v>-0.36802222246199401</v>
      </c>
      <c r="R1282">
        <v>0.487177507604374</v>
      </c>
      <c r="S1282">
        <v>15.317061705498899</v>
      </c>
      <c r="T1282">
        <v>0.29284530678701098</v>
      </c>
      <c r="U1282">
        <v>-6.8377891138687099</v>
      </c>
      <c r="V1282">
        <v>0.77300899128451805</v>
      </c>
      <c r="W1282">
        <v>0.99278624068726296</v>
      </c>
      <c r="X1282">
        <v>0</v>
      </c>
      <c r="Y1282">
        <v>0</v>
      </c>
    </row>
    <row r="1283" spans="1:25" x14ac:dyDescent="0.2">
      <c r="A1283" t="s">
        <v>4739</v>
      </c>
      <c r="B1283" t="s">
        <v>4740</v>
      </c>
      <c r="C1283" t="s">
        <v>4741</v>
      </c>
      <c r="D1283" t="s">
        <v>4742</v>
      </c>
      <c r="E1283" t="s">
        <v>4740</v>
      </c>
      <c r="F1283" t="s">
        <v>28</v>
      </c>
      <c r="G1283" t="s">
        <v>4740</v>
      </c>
      <c r="H1283" t="str">
        <f>"emb-9"</f>
        <v>emb-9</v>
      </c>
      <c r="I1283" t="s">
        <v>4742</v>
      </c>
      <c r="J1283">
        <v>16.9363953916668</v>
      </c>
      <c r="K1283">
        <v>16.421351434722101</v>
      </c>
      <c r="L1283">
        <v>17.274768243354799</v>
      </c>
      <c r="M1283">
        <v>16.655404085629002</v>
      </c>
      <c r="N1283">
        <v>16.9729215590853</v>
      </c>
      <c r="O1283">
        <v>16.6358022806794</v>
      </c>
      <c r="P1283">
        <v>-0.12279571478330099</v>
      </c>
      <c r="Q1283">
        <v>-0.90002980718902004</v>
      </c>
      <c r="R1283">
        <v>0.65443837762241797</v>
      </c>
      <c r="S1283">
        <v>16.655084421450699</v>
      </c>
      <c r="T1283">
        <v>-0.33206559604741098</v>
      </c>
      <c r="U1283">
        <v>-6.8250535845279403</v>
      </c>
      <c r="V1283">
        <v>0.74369754314402503</v>
      </c>
      <c r="W1283">
        <v>0.99159672419203304</v>
      </c>
      <c r="X1283">
        <v>0</v>
      </c>
      <c r="Y1283">
        <v>0</v>
      </c>
    </row>
    <row r="1284" spans="1:25" x14ac:dyDescent="0.2">
      <c r="A1284" t="s">
        <v>4743</v>
      </c>
      <c r="B1284" t="s">
        <v>4744</v>
      </c>
      <c r="C1284" t="s">
        <v>4745</v>
      </c>
      <c r="D1284" t="s">
        <v>4746</v>
      </c>
      <c r="E1284" t="s">
        <v>4744</v>
      </c>
      <c r="F1284" t="s">
        <v>28</v>
      </c>
      <c r="G1284" t="s">
        <v>4744</v>
      </c>
      <c r="H1284" t="str">
        <f>"let-2"</f>
        <v>let-2</v>
      </c>
      <c r="I1284" t="s">
        <v>4746</v>
      </c>
      <c r="J1284">
        <v>15.670890348180899</v>
      </c>
      <c r="K1284">
        <v>15.4115647930041</v>
      </c>
      <c r="L1284">
        <v>16.005283243303701</v>
      </c>
      <c r="M1284">
        <v>15.5318595706467</v>
      </c>
      <c r="N1284">
        <v>15.6841751141658</v>
      </c>
      <c r="O1284">
        <v>15.1462009063601</v>
      </c>
      <c r="P1284">
        <v>-0.24183426443869599</v>
      </c>
      <c r="Q1284">
        <v>-0.97925811722088196</v>
      </c>
      <c r="R1284">
        <v>0.49558958834349098</v>
      </c>
      <c r="S1284">
        <v>15.526348474802001</v>
      </c>
      <c r="T1284">
        <v>-0.68927601443656095</v>
      </c>
      <c r="U1284">
        <v>-6.6375214495727102</v>
      </c>
      <c r="V1284">
        <v>0.49949035748733001</v>
      </c>
      <c r="W1284">
        <v>0.94062983959761604</v>
      </c>
      <c r="X1284">
        <v>0</v>
      </c>
      <c r="Y1284">
        <v>0</v>
      </c>
    </row>
    <row r="1285" spans="1:25" x14ac:dyDescent="0.2">
      <c r="A1285" t="s">
        <v>4747</v>
      </c>
      <c r="B1285" t="s">
        <v>4748</v>
      </c>
      <c r="C1285" t="s">
        <v>4749</v>
      </c>
      <c r="D1285" t="s">
        <v>4750</v>
      </c>
      <c r="E1285" t="s">
        <v>4748</v>
      </c>
      <c r="F1285" t="s">
        <v>28</v>
      </c>
      <c r="G1285" t="s">
        <v>4748</v>
      </c>
      <c r="H1285" t="str">
        <f>"fem-1"</f>
        <v>fem-1</v>
      </c>
      <c r="I1285" t="s">
        <v>4750</v>
      </c>
      <c r="J1285">
        <v>12.083643118247901</v>
      </c>
      <c r="K1285" t="s">
        <v>29</v>
      </c>
      <c r="L1285" t="s">
        <v>29</v>
      </c>
      <c r="M1285" t="s">
        <v>29</v>
      </c>
      <c r="N1285" t="s">
        <v>29</v>
      </c>
      <c r="O1285" t="s">
        <v>29</v>
      </c>
      <c r="P1285" t="s">
        <v>29</v>
      </c>
      <c r="Q1285" t="s">
        <v>29</v>
      </c>
      <c r="R1285" t="s">
        <v>29</v>
      </c>
      <c r="S1285">
        <v>11.7053094419578</v>
      </c>
      <c r="T1285" t="s">
        <v>29</v>
      </c>
      <c r="U1285" t="s">
        <v>29</v>
      </c>
      <c r="V1285" t="s">
        <v>29</v>
      </c>
      <c r="W1285" t="s">
        <v>29</v>
      </c>
      <c r="X1285" t="s">
        <v>29</v>
      </c>
      <c r="Y1285" t="s">
        <v>29</v>
      </c>
    </row>
    <row r="1286" spans="1:25" x14ac:dyDescent="0.2">
      <c r="A1286" t="s">
        <v>4751</v>
      </c>
      <c r="B1286" t="s">
        <v>4752</v>
      </c>
      <c r="C1286" t="s">
        <v>4753</v>
      </c>
      <c r="D1286" t="s">
        <v>4754</v>
      </c>
      <c r="E1286" t="s">
        <v>4752</v>
      </c>
      <c r="F1286" t="s">
        <v>28</v>
      </c>
      <c r="G1286" t="s">
        <v>4755</v>
      </c>
      <c r="H1286" t="str">
        <f>"gpd-2"</f>
        <v>gpd-2</v>
      </c>
      <c r="I1286" t="s">
        <v>4756</v>
      </c>
      <c r="J1286">
        <v>16.965556683209599</v>
      </c>
      <c r="K1286">
        <v>17.332967295242</v>
      </c>
      <c r="L1286">
        <v>17.539236649884</v>
      </c>
      <c r="M1286">
        <v>16.927659901006798</v>
      </c>
      <c r="N1286">
        <v>15.614054006920499</v>
      </c>
      <c r="O1286">
        <v>17.3204659333249</v>
      </c>
      <c r="P1286">
        <v>-0.65852692902782906</v>
      </c>
      <c r="Q1286">
        <v>-1.6614345911906401</v>
      </c>
      <c r="R1286">
        <v>0.34438073313498302</v>
      </c>
      <c r="S1286">
        <v>16.763091157033799</v>
      </c>
      <c r="T1286">
        <v>-1.3800826720628101</v>
      </c>
      <c r="U1286">
        <v>-5.9373126126748801</v>
      </c>
      <c r="V1286">
        <v>0.184560508566463</v>
      </c>
      <c r="W1286">
        <v>0.78295732499061499</v>
      </c>
      <c r="X1286">
        <v>0</v>
      </c>
      <c r="Y1286">
        <v>0</v>
      </c>
    </row>
    <row r="1287" spans="1:25" x14ac:dyDescent="0.2">
      <c r="A1287" t="s">
        <v>4757</v>
      </c>
      <c r="B1287" t="s">
        <v>4758</v>
      </c>
      <c r="C1287" t="s">
        <v>4759</v>
      </c>
      <c r="D1287" t="s">
        <v>4760</v>
      </c>
      <c r="E1287" t="s">
        <v>4758</v>
      </c>
      <c r="F1287" t="s">
        <v>28</v>
      </c>
      <c r="G1287" t="s">
        <v>4758</v>
      </c>
      <c r="H1287" t="str">
        <f>"gpd-4"</f>
        <v>gpd-4</v>
      </c>
      <c r="I1287" t="s">
        <v>4760</v>
      </c>
      <c r="J1287">
        <v>18.243311542827001</v>
      </c>
      <c r="K1287">
        <v>18.514121231841798</v>
      </c>
      <c r="L1287">
        <v>18.832264364092602</v>
      </c>
      <c r="M1287">
        <v>18.322995100583501</v>
      </c>
      <c r="N1287">
        <v>17.250421692212399</v>
      </c>
      <c r="O1287">
        <v>18.6791146511564</v>
      </c>
      <c r="P1287">
        <v>-0.445721898269682</v>
      </c>
      <c r="Q1287">
        <v>-1.3249558416387199</v>
      </c>
      <c r="R1287">
        <v>0.43351204509936098</v>
      </c>
      <c r="S1287">
        <v>18.056626073912302</v>
      </c>
      <c r="T1287">
        <v>-1.0654965274741099</v>
      </c>
      <c r="U1287">
        <v>-6.3075487990600401</v>
      </c>
      <c r="V1287">
        <v>0.30081701642605801</v>
      </c>
      <c r="W1287">
        <v>0.85855590823088301</v>
      </c>
      <c r="X1287">
        <v>0</v>
      </c>
      <c r="Y1287">
        <v>0</v>
      </c>
    </row>
    <row r="1288" spans="1:25" x14ac:dyDescent="0.2">
      <c r="A1288" t="s">
        <v>4761</v>
      </c>
      <c r="B1288" t="s">
        <v>4762</v>
      </c>
      <c r="C1288" t="s">
        <v>4763</v>
      </c>
      <c r="D1288" t="s">
        <v>4764</v>
      </c>
      <c r="E1288" t="s">
        <v>4762</v>
      </c>
      <c r="F1288" t="s">
        <v>28</v>
      </c>
      <c r="G1288" t="s">
        <v>4762</v>
      </c>
      <c r="H1288" t="str">
        <f>"gpb-1"</f>
        <v>gpb-1</v>
      </c>
      <c r="I1288" t="s">
        <v>4764</v>
      </c>
      <c r="J1288">
        <v>12.207482241846501</v>
      </c>
      <c r="K1288">
        <v>12.626565485119301</v>
      </c>
      <c r="L1288">
        <v>12.4737656410885</v>
      </c>
      <c r="M1288">
        <v>12.1675456696984</v>
      </c>
      <c r="N1288">
        <v>12.0955983782963</v>
      </c>
      <c r="O1288">
        <v>12.552073130047299</v>
      </c>
      <c r="P1288">
        <v>-0.164198730004115</v>
      </c>
      <c r="Q1288">
        <v>-1.5645530310614899</v>
      </c>
      <c r="R1288">
        <v>1.2361555710532599</v>
      </c>
      <c r="S1288">
        <v>12.4234379584886</v>
      </c>
      <c r="T1288">
        <v>-0.24644747747297399</v>
      </c>
      <c r="U1288">
        <v>-6.8508092267829896</v>
      </c>
      <c r="V1288">
        <v>0.80814067977464799</v>
      </c>
      <c r="W1288">
        <v>0.99278624068726296</v>
      </c>
      <c r="X1288">
        <v>0</v>
      </c>
      <c r="Y1288">
        <v>0</v>
      </c>
    </row>
    <row r="1289" spans="1:25" x14ac:dyDescent="0.2">
      <c r="A1289" t="s">
        <v>4765</v>
      </c>
      <c r="B1289" t="s">
        <v>4766</v>
      </c>
      <c r="C1289" t="s">
        <v>4767</v>
      </c>
      <c r="D1289" t="s">
        <v>4768</v>
      </c>
      <c r="E1289" t="s">
        <v>4766</v>
      </c>
      <c r="F1289" t="s">
        <v>28</v>
      </c>
      <c r="G1289" t="s">
        <v>4766</v>
      </c>
      <c r="H1289" t="str">
        <f>"kin-3"</f>
        <v>kin-3</v>
      </c>
      <c r="I1289" t="s">
        <v>4768</v>
      </c>
      <c r="J1289" t="s">
        <v>29</v>
      </c>
      <c r="K1289">
        <v>12.1541404959495</v>
      </c>
      <c r="L1289">
        <v>12.4288008078495</v>
      </c>
      <c r="M1289">
        <v>12.459916307217499</v>
      </c>
      <c r="N1289">
        <v>12.1237631854104</v>
      </c>
      <c r="O1289">
        <v>12.389999502927401</v>
      </c>
      <c r="P1289">
        <v>3.30890132856521E-2</v>
      </c>
      <c r="Q1289">
        <v>-0.65034485391638197</v>
      </c>
      <c r="R1289">
        <v>0.71652288048768598</v>
      </c>
      <c r="S1289">
        <v>12.141977155189201</v>
      </c>
      <c r="T1289">
        <v>0.106687862423651</v>
      </c>
      <c r="U1289">
        <v>-6.7660743596500401</v>
      </c>
      <c r="V1289">
        <v>0.91697573037171498</v>
      </c>
      <c r="W1289">
        <v>0.99833354317360001</v>
      </c>
      <c r="X1289">
        <v>0</v>
      </c>
      <c r="Y1289">
        <v>0</v>
      </c>
    </row>
    <row r="1290" spans="1:25" x14ac:dyDescent="0.2">
      <c r="A1290" t="s">
        <v>4769</v>
      </c>
      <c r="B1290" t="s">
        <v>4770</v>
      </c>
      <c r="C1290" t="s">
        <v>4771</v>
      </c>
      <c r="D1290" t="s">
        <v>4772</v>
      </c>
      <c r="E1290" t="s">
        <v>4770</v>
      </c>
      <c r="F1290" t="s">
        <v>28</v>
      </c>
      <c r="G1290" t="s">
        <v>4770</v>
      </c>
      <c r="H1290" t="str">
        <f>"col-8"</f>
        <v>col-8</v>
      </c>
      <c r="I1290" t="s">
        <v>4772</v>
      </c>
      <c r="J1290">
        <v>13.6817008529103</v>
      </c>
      <c r="K1290">
        <v>12.502716823227001</v>
      </c>
      <c r="L1290">
        <v>14.9352640918079</v>
      </c>
      <c r="M1290">
        <v>13.970589452289699</v>
      </c>
      <c r="N1290">
        <v>13.9943839303946</v>
      </c>
      <c r="O1290">
        <v>15.1104498356951</v>
      </c>
      <c r="P1290">
        <v>0.65191381681140304</v>
      </c>
      <c r="Q1290">
        <v>-0.64486387086183505</v>
      </c>
      <c r="R1290">
        <v>1.94869150448464</v>
      </c>
      <c r="S1290">
        <v>14.501545844355499</v>
      </c>
      <c r="T1290">
        <v>1.05661596739244</v>
      </c>
      <c r="U1290">
        <v>-6.31680672275494</v>
      </c>
      <c r="V1290">
        <v>0.30474325647144901</v>
      </c>
      <c r="W1290">
        <v>0.85855590823088301</v>
      </c>
      <c r="X1290">
        <v>0</v>
      </c>
      <c r="Y1290">
        <v>0</v>
      </c>
    </row>
    <row r="1291" spans="1:25" x14ac:dyDescent="0.2">
      <c r="A1291" t="s">
        <v>4773</v>
      </c>
      <c r="B1291" t="s">
        <v>4774</v>
      </c>
      <c r="C1291" t="s">
        <v>4775</v>
      </c>
      <c r="D1291" t="s">
        <v>4776</v>
      </c>
      <c r="E1291" t="s">
        <v>4774</v>
      </c>
      <c r="F1291" t="s">
        <v>28</v>
      </c>
      <c r="G1291" t="s">
        <v>4774</v>
      </c>
      <c r="H1291" t="str">
        <f>"col-19"</f>
        <v>col-19</v>
      </c>
      <c r="I1291" t="s">
        <v>4776</v>
      </c>
      <c r="J1291">
        <v>12.927436387994501</v>
      </c>
      <c r="K1291">
        <v>12.557886395746801</v>
      </c>
      <c r="L1291">
        <v>14.3621885290717</v>
      </c>
      <c r="M1291">
        <v>12.954217678736001</v>
      </c>
      <c r="N1291">
        <v>13.3523411378214</v>
      </c>
      <c r="O1291">
        <v>14.5334118713071</v>
      </c>
      <c r="P1291">
        <v>0.33081979168384401</v>
      </c>
      <c r="Q1291">
        <v>-1.2247346749441399</v>
      </c>
      <c r="R1291">
        <v>1.8863742583118199</v>
      </c>
      <c r="S1291">
        <v>13.5155322575207</v>
      </c>
      <c r="T1291">
        <v>0.44699099578610402</v>
      </c>
      <c r="U1291">
        <v>-6.7786784085595304</v>
      </c>
      <c r="V1291">
        <v>0.66024434623958805</v>
      </c>
      <c r="W1291">
        <v>0.98382359994193702</v>
      </c>
      <c r="X1291">
        <v>0</v>
      </c>
      <c r="Y1291">
        <v>0</v>
      </c>
    </row>
    <row r="1292" spans="1:25" x14ac:dyDescent="0.2">
      <c r="A1292" t="s">
        <v>4777</v>
      </c>
      <c r="B1292" t="s">
        <v>4778</v>
      </c>
      <c r="C1292" t="s">
        <v>4779</v>
      </c>
      <c r="D1292" t="s">
        <v>4780</v>
      </c>
      <c r="E1292" t="s">
        <v>4778</v>
      </c>
      <c r="F1292" t="s">
        <v>28</v>
      </c>
      <c r="G1292" t="s">
        <v>4778</v>
      </c>
      <c r="H1292" t="str">
        <f>"vit-4"</f>
        <v>vit-4</v>
      </c>
      <c r="I1292" t="s">
        <v>4780</v>
      </c>
      <c r="J1292">
        <v>18.524951784037299</v>
      </c>
      <c r="K1292">
        <v>18.287706001478899</v>
      </c>
      <c r="L1292">
        <v>18.918562354726902</v>
      </c>
      <c r="M1292">
        <v>18.447465321873501</v>
      </c>
      <c r="N1292">
        <v>18.588410896835001</v>
      </c>
      <c r="O1292">
        <v>18.3210562287085</v>
      </c>
      <c r="P1292">
        <v>-0.124762564275361</v>
      </c>
      <c r="Q1292">
        <v>-0.58254737166345705</v>
      </c>
      <c r="R1292">
        <v>0.33302224311273398</v>
      </c>
      <c r="S1292">
        <v>18.920140765993999</v>
      </c>
      <c r="T1292">
        <v>-0.572816382078008</v>
      </c>
      <c r="U1292">
        <v>-6.7126170175769202</v>
      </c>
      <c r="V1292">
        <v>0.57389668184168496</v>
      </c>
      <c r="W1292">
        <v>0.96052030798546795</v>
      </c>
      <c r="X1292">
        <v>0</v>
      </c>
      <c r="Y1292">
        <v>0</v>
      </c>
    </row>
    <row r="1293" spans="1:25" x14ac:dyDescent="0.2">
      <c r="A1293" t="s">
        <v>4781</v>
      </c>
      <c r="B1293" t="s">
        <v>4782</v>
      </c>
      <c r="C1293" t="s">
        <v>4783</v>
      </c>
      <c r="D1293" t="s">
        <v>4784</v>
      </c>
      <c r="E1293" t="s">
        <v>4782</v>
      </c>
      <c r="F1293" t="s">
        <v>28</v>
      </c>
      <c r="G1293" t="s">
        <v>4782</v>
      </c>
      <c r="H1293" t="str">
        <f>"vit-6"</f>
        <v>vit-6</v>
      </c>
      <c r="I1293" t="s">
        <v>4784</v>
      </c>
      <c r="J1293">
        <v>19.857439546498899</v>
      </c>
      <c r="K1293">
        <v>19.4210650454771</v>
      </c>
      <c r="L1293">
        <v>19.7730148457951</v>
      </c>
      <c r="M1293">
        <v>19.413610476199999</v>
      </c>
      <c r="N1293">
        <v>19.5067812877497</v>
      </c>
      <c r="O1293">
        <v>19.689349751265901</v>
      </c>
      <c r="P1293">
        <v>-0.14725930751849201</v>
      </c>
      <c r="Q1293">
        <v>-0.49248573608374402</v>
      </c>
      <c r="R1293">
        <v>0.19796712104675901</v>
      </c>
      <c r="S1293">
        <v>19.934286878883899</v>
      </c>
      <c r="T1293">
        <v>-0.89654322209943904</v>
      </c>
      <c r="U1293">
        <v>-6.4717641243677901</v>
      </c>
      <c r="V1293">
        <v>0.38186549351889998</v>
      </c>
      <c r="W1293">
        <v>0.89749178137775398</v>
      </c>
      <c r="X1293">
        <v>0</v>
      </c>
      <c r="Y1293">
        <v>0</v>
      </c>
    </row>
    <row r="1294" spans="1:25" x14ac:dyDescent="0.2">
      <c r="A1294" t="s">
        <v>4785</v>
      </c>
      <c r="B1294" t="s">
        <v>4786</v>
      </c>
      <c r="C1294" t="s">
        <v>4787</v>
      </c>
      <c r="D1294" t="s">
        <v>4788</v>
      </c>
      <c r="E1294" t="s">
        <v>4786</v>
      </c>
      <c r="F1294" t="s">
        <v>28</v>
      </c>
      <c r="G1294" t="s">
        <v>4786</v>
      </c>
      <c r="H1294" t="str">
        <f>"mlc-1"</f>
        <v>mlc-1</v>
      </c>
      <c r="I1294" t="s">
        <v>4788</v>
      </c>
      <c r="J1294">
        <v>17.376446753771699</v>
      </c>
      <c r="K1294">
        <v>16.8203628639356</v>
      </c>
      <c r="L1294">
        <v>17.033566541389401</v>
      </c>
      <c r="M1294">
        <v>17.037448729939999</v>
      </c>
      <c r="N1294">
        <v>16.821123259750099</v>
      </c>
      <c r="O1294">
        <v>16.9036942151053</v>
      </c>
      <c r="P1294">
        <v>-0.156036651433755</v>
      </c>
      <c r="Q1294">
        <v>-0.57925768886074203</v>
      </c>
      <c r="R1294">
        <v>0.26718438599323202</v>
      </c>
      <c r="S1294">
        <v>16.649507355605198</v>
      </c>
      <c r="T1294">
        <v>-0.77491110995402002</v>
      </c>
      <c r="U1294">
        <v>-6.5739384742378304</v>
      </c>
      <c r="V1294">
        <v>0.448511205866789</v>
      </c>
      <c r="W1294">
        <v>0.92249172671965796</v>
      </c>
      <c r="X1294">
        <v>0</v>
      </c>
      <c r="Y1294">
        <v>0</v>
      </c>
    </row>
    <row r="1295" spans="1:25" x14ac:dyDescent="0.2">
      <c r="A1295" t="s">
        <v>4789</v>
      </c>
      <c r="B1295" t="s">
        <v>4790</v>
      </c>
      <c r="C1295" t="s">
        <v>4791</v>
      </c>
      <c r="D1295" t="s">
        <v>4792</v>
      </c>
      <c r="E1295" t="s">
        <v>4790</v>
      </c>
      <c r="F1295" t="s">
        <v>28</v>
      </c>
      <c r="G1295" t="s">
        <v>4790</v>
      </c>
      <c r="H1295" t="str">
        <f>"mlc-2"</f>
        <v>mlc-2</v>
      </c>
      <c r="I1295" t="s">
        <v>4792</v>
      </c>
      <c r="J1295" t="s">
        <v>29</v>
      </c>
      <c r="K1295">
        <v>11.259293130755401</v>
      </c>
      <c r="L1295">
        <v>11.700913837502901</v>
      </c>
      <c r="M1295">
        <v>9.4595885850631802</v>
      </c>
      <c r="N1295">
        <v>11.575227138450201</v>
      </c>
      <c r="O1295">
        <v>11.636687431084001</v>
      </c>
      <c r="P1295">
        <v>-0.589602432596671</v>
      </c>
      <c r="Q1295">
        <v>-1.9609264964292401</v>
      </c>
      <c r="R1295">
        <v>0.781721631235897</v>
      </c>
      <c r="S1295">
        <v>11.7573296541284</v>
      </c>
      <c r="T1295">
        <v>-0.92280738720582201</v>
      </c>
      <c r="U1295">
        <v>-6.3350792193901597</v>
      </c>
      <c r="V1295">
        <v>0.37185453383136302</v>
      </c>
      <c r="W1295">
        <v>0.89352482930741906</v>
      </c>
      <c r="X1295">
        <v>0</v>
      </c>
      <c r="Y1295">
        <v>0</v>
      </c>
    </row>
    <row r="1296" spans="1:25" x14ac:dyDescent="0.2">
      <c r="A1296" t="s">
        <v>4793</v>
      </c>
      <c r="B1296" t="s">
        <v>4794</v>
      </c>
      <c r="C1296" t="s">
        <v>4795</v>
      </c>
      <c r="D1296" t="s">
        <v>4796</v>
      </c>
      <c r="E1296" t="s">
        <v>4794</v>
      </c>
      <c r="F1296" t="s">
        <v>28</v>
      </c>
      <c r="G1296" t="s">
        <v>4794</v>
      </c>
      <c r="H1296" t="str">
        <f>"deb-1"</f>
        <v>deb-1</v>
      </c>
      <c r="I1296" t="s">
        <v>4796</v>
      </c>
      <c r="J1296">
        <v>11.2059148503439</v>
      </c>
      <c r="K1296">
        <v>11.9431731353147</v>
      </c>
      <c r="L1296">
        <v>11.845601764268601</v>
      </c>
      <c r="M1296">
        <v>13.1054711117169</v>
      </c>
      <c r="N1296">
        <v>13.246219609320301</v>
      </c>
      <c r="O1296">
        <v>13.448476142481899</v>
      </c>
      <c r="P1296">
        <v>1.6018257045306199</v>
      </c>
      <c r="Q1296">
        <v>1.0615030417682101</v>
      </c>
      <c r="R1296">
        <v>2.1421483672930202</v>
      </c>
      <c r="S1296">
        <v>12.926257698993201</v>
      </c>
      <c r="T1296">
        <v>6.2309546174420403</v>
      </c>
      <c r="U1296">
        <v>3.8072019973436699</v>
      </c>
      <c r="V1296" s="2">
        <v>7.2361237364860103E-6</v>
      </c>
      <c r="W1296">
        <v>5.6004232081454503E-4</v>
      </c>
      <c r="X1296">
        <v>1</v>
      </c>
      <c r="Y1296">
        <v>1</v>
      </c>
    </row>
    <row r="1297" spans="1:25" x14ac:dyDescent="0.2">
      <c r="A1297" t="s">
        <v>4797</v>
      </c>
      <c r="B1297" t="s">
        <v>4798</v>
      </c>
      <c r="C1297" t="s">
        <v>4799</v>
      </c>
      <c r="D1297" t="s">
        <v>4800</v>
      </c>
      <c r="E1297" t="s">
        <v>4798</v>
      </c>
      <c r="F1297" t="s">
        <v>28</v>
      </c>
      <c r="G1297" t="s">
        <v>4798</v>
      </c>
      <c r="H1297" t="str">
        <f>"cyc-2.1"</f>
        <v>cyc-2.1</v>
      </c>
      <c r="I1297" t="s">
        <v>4800</v>
      </c>
      <c r="J1297">
        <v>12.6641053176995</v>
      </c>
      <c r="K1297">
        <v>11.9699593555221</v>
      </c>
      <c r="L1297">
        <v>11.1249161580023</v>
      </c>
      <c r="M1297">
        <v>12.376601769547801</v>
      </c>
      <c r="N1297">
        <v>12.0102530272303</v>
      </c>
      <c r="O1297">
        <v>11.475008100775501</v>
      </c>
      <c r="P1297">
        <v>3.4294022109928997E-2</v>
      </c>
      <c r="Q1297">
        <v>-0.77246736012316097</v>
      </c>
      <c r="R1297">
        <v>0.84105540434301995</v>
      </c>
      <c r="S1297">
        <v>12.0557077246542</v>
      </c>
      <c r="T1297">
        <v>8.9727038803323306E-2</v>
      </c>
      <c r="U1297">
        <v>-6.8782708107996999</v>
      </c>
      <c r="V1297">
        <v>0.92955924816319102</v>
      </c>
      <c r="W1297">
        <v>0.99926809132575301</v>
      </c>
      <c r="X1297">
        <v>0</v>
      </c>
      <c r="Y1297">
        <v>0</v>
      </c>
    </row>
    <row r="1298" spans="1:25" x14ac:dyDescent="0.2">
      <c r="A1298" t="s">
        <v>4801</v>
      </c>
      <c r="B1298" t="s">
        <v>4802</v>
      </c>
      <c r="C1298" t="s">
        <v>4803</v>
      </c>
      <c r="D1298" t="s">
        <v>4804</v>
      </c>
      <c r="E1298" t="s">
        <v>4802</v>
      </c>
      <c r="F1298" t="s">
        <v>28</v>
      </c>
      <c r="G1298" t="s">
        <v>4802</v>
      </c>
      <c r="H1298" t="str">
        <f>"hsp-4"</f>
        <v>hsp-4</v>
      </c>
      <c r="I1298" t="s">
        <v>4804</v>
      </c>
      <c r="J1298">
        <v>16.9244999388516</v>
      </c>
      <c r="K1298">
        <v>16.707703171389401</v>
      </c>
      <c r="L1298">
        <v>16.932607762060702</v>
      </c>
      <c r="M1298">
        <v>16.948314345317101</v>
      </c>
      <c r="N1298">
        <v>16.830069727933999</v>
      </c>
      <c r="O1298">
        <v>16.957049449061799</v>
      </c>
      <c r="P1298">
        <v>5.6874216670397701E-2</v>
      </c>
      <c r="Q1298">
        <v>-0.29029416878306202</v>
      </c>
      <c r="R1298">
        <v>0.40404260212385701</v>
      </c>
      <c r="S1298">
        <v>16.717706105157099</v>
      </c>
      <c r="T1298">
        <v>0.34432437797742599</v>
      </c>
      <c r="U1298">
        <v>-6.8207489850260199</v>
      </c>
      <c r="V1298">
        <v>0.73461557500334296</v>
      </c>
      <c r="W1298">
        <v>0.99062225922210301</v>
      </c>
      <c r="X1298">
        <v>0</v>
      </c>
      <c r="Y1298">
        <v>0</v>
      </c>
    </row>
    <row r="1299" spans="1:25" x14ac:dyDescent="0.2">
      <c r="A1299" t="s">
        <v>4805</v>
      </c>
      <c r="B1299" t="s">
        <v>4806</v>
      </c>
      <c r="C1299" t="s">
        <v>4807</v>
      </c>
      <c r="D1299" t="s">
        <v>4808</v>
      </c>
      <c r="E1299" t="s">
        <v>4806</v>
      </c>
      <c r="F1299" t="s">
        <v>28</v>
      </c>
      <c r="G1299" t="s">
        <v>4806</v>
      </c>
      <c r="H1299" t="str">
        <f>"kin-1"</f>
        <v>kin-1</v>
      </c>
      <c r="I1299" t="s">
        <v>4808</v>
      </c>
      <c r="J1299">
        <v>16.239409452958</v>
      </c>
      <c r="K1299">
        <v>16.056015655501099</v>
      </c>
      <c r="L1299">
        <v>15.886426808866601</v>
      </c>
      <c r="M1299">
        <v>15.9387041455694</v>
      </c>
      <c r="N1299">
        <v>15.6042996358543</v>
      </c>
      <c r="O1299">
        <v>15.8001236318169</v>
      </c>
      <c r="P1299">
        <v>-0.27957483469507799</v>
      </c>
      <c r="Q1299">
        <v>-0.71008984522858998</v>
      </c>
      <c r="R1299">
        <v>0.150940175838435</v>
      </c>
      <c r="S1299">
        <v>15.4052845792057</v>
      </c>
      <c r="T1299">
        <v>-1.36490458159502</v>
      </c>
      <c r="U1299">
        <v>-5.9569870952806996</v>
      </c>
      <c r="V1299">
        <v>0.18919971394360499</v>
      </c>
      <c r="W1299">
        <v>0.78295732499061499</v>
      </c>
      <c r="X1299">
        <v>0</v>
      </c>
      <c r="Y1299">
        <v>0</v>
      </c>
    </row>
    <row r="1300" spans="1:25" x14ac:dyDescent="0.2">
      <c r="A1300" t="s">
        <v>4809</v>
      </c>
      <c r="B1300" t="s">
        <v>4810</v>
      </c>
      <c r="C1300" t="s">
        <v>4811</v>
      </c>
      <c r="D1300" t="s">
        <v>4812</v>
      </c>
      <c r="E1300" t="s">
        <v>4810</v>
      </c>
      <c r="F1300" t="s">
        <v>28</v>
      </c>
      <c r="G1300" t="s">
        <v>4810</v>
      </c>
      <c r="H1300" t="str">
        <f>"unc-104"</f>
        <v>unc-104</v>
      </c>
      <c r="I1300" t="s">
        <v>4812</v>
      </c>
      <c r="J1300">
        <v>13.0628469406143</v>
      </c>
      <c r="K1300">
        <v>13.004544929728601</v>
      </c>
      <c r="L1300">
        <v>12.7826440232382</v>
      </c>
      <c r="M1300">
        <v>12.504182404666301</v>
      </c>
      <c r="N1300">
        <v>12.9368984985138</v>
      </c>
      <c r="O1300">
        <v>12.694863334229</v>
      </c>
      <c r="P1300">
        <v>-0.23803055205736701</v>
      </c>
      <c r="Q1300">
        <v>-0.76331325491059898</v>
      </c>
      <c r="R1300">
        <v>0.28725215079586502</v>
      </c>
      <c r="S1300">
        <v>12.3956013411048</v>
      </c>
      <c r="T1300">
        <v>-0.95242791753450295</v>
      </c>
      <c r="U1300">
        <v>-6.42026321698415</v>
      </c>
      <c r="V1300">
        <v>0.353568464335064</v>
      </c>
      <c r="W1300">
        <v>0.87950242192597095</v>
      </c>
      <c r="X1300">
        <v>0</v>
      </c>
      <c r="Y1300">
        <v>0</v>
      </c>
    </row>
    <row r="1301" spans="1:25" x14ac:dyDescent="0.2">
      <c r="A1301" t="s">
        <v>4813</v>
      </c>
      <c r="B1301" t="s">
        <v>4814</v>
      </c>
      <c r="C1301" t="s">
        <v>4815</v>
      </c>
      <c r="D1301" t="s">
        <v>4816</v>
      </c>
      <c r="E1301" t="s">
        <v>4814</v>
      </c>
      <c r="F1301" t="s">
        <v>28</v>
      </c>
      <c r="G1301" t="s">
        <v>4814</v>
      </c>
      <c r="H1301" t="str">
        <f>"sdc-1"</f>
        <v>sdc-1</v>
      </c>
      <c r="I1301" t="s">
        <v>4816</v>
      </c>
      <c r="J1301" t="s">
        <v>29</v>
      </c>
      <c r="K1301">
        <v>12.359080727867701</v>
      </c>
      <c r="L1301" t="s">
        <v>29</v>
      </c>
      <c r="M1301" t="s">
        <v>29</v>
      </c>
      <c r="N1301" t="s">
        <v>29</v>
      </c>
      <c r="O1301" t="s">
        <v>29</v>
      </c>
      <c r="P1301" t="s">
        <v>29</v>
      </c>
      <c r="Q1301" t="s">
        <v>29</v>
      </c>
      <c r="R1301" t="s">
        <v>29</v>
      </c>
      <c r="S1301">
        <v>11.8587944654846</v>
      </c>
      <c r="T1301" t="s">
        <v>29</v>
      </c>
      <c r="U1301" t="s">
        <v>29</v>
      </c>
      <c r="V1301" t="s">
        <v>29</v>
      </c>
      <c r="W1301" t="s">
        <v>29</v>
      </c>
      <c r="X1301" t="s">
        <v>29</v>
      </c>
      <c r="Y1301" t="s">
        <v>29</v>
      </c>
    </row>
    <row r="1302" spans="1:25" x14ac:dyDescent="0.2">
      <c r="A1302" t="s">
        <v>4817</v>
      </c>
      <c r="B1302" t="s">
        <v>4818</v>
      </c>
      <c r="C1302" t="s">
        <v>4819</v>
      </c>
      <c r="D1302" t="s">
        <v>4820</v>
      </c>
      <c r="E1302" t="s">
        <v>4818</v>
      </c>
      <c r="F1302" t="s">
        <v>28</v>
      </c>
      <c r="G1302" t="s">
        <v>4818</v>
      </c>
      <c r="H1302" t="str">
        <f>"ndfl-4"</f>
        <v>ndfl-4</v>
      </c>
      <c r="I1302" t="s">
        <v>4820</v>
      </c>
      <c r="J1302">
        <v>10.798124275160999</v>
      </c>
      <c r="K1302">
        <v>11.611913947323799</v>
      </c>
      <c r="L1302">
        <v>11.409835484614501</v>
      </c>
      <c r="M1302">
        <v>10.830009519838899</v>
      </c>
      <c r="N1302">
        <v>11.469878849655601</v>
      </c>
      <c r="O1302" t="s">
        <v>29</v>
      </c>
      <c r="P1302">
        <v>-0.12334705095256</v>
      </c>
      <c r="Q1302">
        <v>-1.66659811587981</v>
      </c>
      <c r="R1302">
        <v>1.4199040139746899</v>
      </c>
      <c r="S1302">
        <v>11.1582394437969</v>
      </c>
      <c r="T1302">
        <v>-0.17612454274188799</v>
      </c>
      <c r="U1302">
        <v>-6.7555129678511401</v>
      </c>
      <c r="V1302">
        <v>0.86342706857495699</v>
      </c>
      <c r="W1302">
        <v>0.99394475928068404</v>
      </c>
      <c r="X1302">
        <v>0</v>
      </c>
      <c r="Y1302">
        <v>0</v>
      </c>
    </row>
    <row r="1303" spans="1:25" x14ac:dyDescent="0.2">
      <c r="A1303" t="s">
        <v>4821</v>
      </c>
      <c r="B1303" t="s">
        <v>4822</v>
      </c>
      <c r="C1303" t="s">
        <v>4823</v>
      </c>
      <c r="D1303" t="s">
        <v>4824</v>
      </c>
      <c r="E1303" t="s">
        <v>4822</v>
      </c>
      <c r="F1303" t="s">
        <v>28</v>
      </c>
      <c r="G1303" t="s">
        <v>4822</v>
      </c>
      <c r="H1303" t="str">
        <f>"nduo-1"</f>
        <v>nduo-1</v>
      </c>
      <c r="I1303" t="s">
        <v>4824</v>
      </c>
      <c r="J1303">
        <v>15.865945686266199</v>
      </c>
      <c r="K1303">
        <v>15.879234574353299</v>
      </c>
      <c r="L1303">
        <v>15.6667567411553</v>
      </c>
      <c r="M1303">
        <v>14.8585180993728</v>
      </c>
      <c r="N1303">
        <v>15.2303981392071</v>
      </c>
      <c r="O1303">
        <v>15.9861425045834</v>
      </c>
      <c r="P1303">
        <v>-0.44562608620386102</v>
      </c>
      <c r="Q1303">
        <v>-1.0385330665543999</v>
      </c>
      <c r="R1303">
        <v>0.147280894146681</v>
      </c>
      <c r="S1303">
        <v>15.6561732192151</v>
      </c>
      <c r="T1303">
        <v>-1.57970704716873</v>
      </c>
      <c r="U1303">
        <v>-5.6627233793057403</v>
      </c>
      <c r="V1303">
        <v>0.13168713273213101</v>
      </c>
      <c r="W1303">
        <v>0.72021766768664797</v>
      </c>
      <c r="X1303">
        <v>0</v>
      </c>
      <c r="Y1303">
        <v>0</v>
      </c>
    </row>
    <row r="1304" spans="1:25" x14ac:dyDescent="0.2">
      <c r="A1304" t="s">
        <v>4825</v>
      </c>
      <c r="B1304" t="s">
        <v>4826</v>
      </c>
      <c r="C1304" t="s">
        <v>4827</v>
      </c>
      <c r="D1304" t="s">
        <v>4828</v>
      </c>
      <c r="E1304" t="s">
        <v>4826</v>
      </c>
      <c r="F1304" t="s">
        <v>28</v>
      </c>
      <c r="G1304" t="s">
        <v>4826</v>
      </c>
      <c r="H1304" t="str">
        <f>"atp-6"</f>
        <v>atp-6</v>
      </c>
      <c r="I1304" t="s">
        <v>4828</v>
      </c>
      <c r="J1304">
        <v>14.950926207107701</v>
      </c>
      <c r="K1304">
        <v>14.5633999164936</v>
      </c>
      <c r="L1304">
        <v>14.8903874866121</v>
      </c>
      <c r="M1304">
        <v>14.527279336411301</v>
      </c>
      <c r="N1304">
        <v>14.245440172391101</v>
      </c>
      <c r="O1304">
        <v>14.8409764739881</v>
      </c>
      <c r="P1304">
        <v>-0.26367254247427002</v>
      </c>
      <c r="Q1304">
        <v>-0.97014304179983402</v>
      </c>
      <c r="R1304">
        <v>0.44279795685129503</v>
      </c>
      <c r="S1304">
        <v>14.5264947388865</v>
      </c>
      <c r="T1304">
        <v>-0.78444660668344401</v>
      </c>
      <c r="U1304">
        <v>-6.5664272070253302</v>
      </c>
      <c r="V1304">
        <v>0.44303910980691702</v>
      </c>
      <c r="W1304">
        <v>0.92018784068071902</v>
      </c>
      <c r="X1304">
        <v>0</v>
      </c>
      <c r="Y1304">
        <v>0</v>
      </c>
    </row>
    <row r="1305" spans="1:25" x14ac:dyDescent="0.2">
      <c r="A1305" t="s">
        <v>4829</v>
      </c>
      <c r="B1305" t="s">
        <v>4830</v>
      </c>
      <c r="C1305" t="s">
        <v>4831</v>
      </c>
      <c r="D1305" t="s">
        <v>4832</v>
      </c>
      <c r="E1305" t="s">
        <v>4830</v>
      </c>
      <c r="F1305" t="s">
        <v>28</v>
      </c>
      <c r="G1305" t="s">
        <v>4830</v>
      </c>
      <c r="H1305" t="str">
        <f>"nduo-2"</f>
        <v>nduo-2</v>
      </c>
      <c r="I1305" t="s">
        <v>4832</v>
      </c>
      <c r="J1305">
        <v>9.5186081243220002</v>
      </c>
      <c r="K1305" t="s">
        <v>29</v>
      </c>
      <c r="L1305">
        <v>10.5845313361054</v>
      </c>
      <c r="M1305" t="s">
        <v>29</v>
      </c>
      <c r="N1305" t="s">
        <v>29</v>
      </c>
      <c r="O1305" t="s">
        <v>29</v>
      </c>
      <c r="P1305" t="s">
        <v>29</v>
      </c>
      <c r="Q1305" t="s">
        <v>29</v>
      </c>
      <c r="R1305" t="s">
        <v>29</v>
      </c>
      <c r="S1305">
        <v>11.1472498476022</v>
      </c>
      <c r="T1305" t="s">
        <v>29</v>
      </c>
      <c r="U1305" t="s">
        <v>29</v>
      </c>
      <c r="V1305" t="s">
        <v>29</v>
      </c>
      <c r="W1305" t="s">
        <v>29</v>
      </c>
      <c r="X1305" t="s">
        <v>29</v>
      </c>
      <c r="Y1305" t="s">
        <v>29</v>
      </c>
    </row>
    <row r="1306" spans="1:25" x14ac:dyDescent="0.2">
      <c r="A1306" t="s">
        <v>4833</v>
      </c>
      <c r="B1306" t="s">
        <v>4834</v>
      </c>
      <c r="C1306" t="s">
        <v>4835</v>
      </c>
      <c r="D1306" t="s">
        <v>4836</v>
      </c>
      <c r="E1306" t="s">
        <v>4834</v>
      </c>
      <c r="F1306" t="s">
        <v>28</v>
      </c>
      <c r="G1306" t="s">
        <v>4834</v>
      </c>
      <c r="H1306" t="str">
        <f>"ctb-1"</f>
        <v>ctb-1</v>
      </c>
      <c r="I1306" t="s">
        <v>4836</v>
      </c>
      <c r="J1306">
        <v>14.7780337153918</v>
      </c>
      <c r="K1306">
        <v>15.0354585239348</v>
      </c>
      <c r="L1306">
        <v>14.5603174212612</v>
      </c>
      <c r="M1306">
        <v>14.8083015582838</v>
      </c>
      <c r="N1306">
        <v>14.734650402737101</v>
      </c>
      <c r="O1306">
        <v>14.2634791267213</v>
      </c>
      <c r="P1306">
        <v>-0.18912619094852301</v>
      </c>
      <c r="Q1306">
        <v>-1.20439092790365</v>
      </c>
      <c r="R1306">
        <v>0.82613854600660597</v>
      </c>
      <c r="S1306">
        <v>14.4368648165455</v>
      </c>
      <c r="T1306">
        <v>-0.39152985795759998</v>
      </c>
      <c r="U1306">
        <v>-6.8027375327563098</v>
      </c>
      <c r="V1306">
        <v>0.70002867657027701</v>
      </c>
      <c r="W1306">
        <v>0.98642420921484297</v>
      </c>
      <c r="X1306">
        <v>0</v>
      </c>
      <c r="Y1306">
        <v>0</v>
      </c>
    </row>
    <row r="1307" spans="1:25" x14ac:dyDescent="0.2">
      <c r="A1307" t="s">
        <v>4837</v>
      </c>
      <c r="B1307" t="s">
        <v>4838</v>
      </c>
      <c r="C1307" t="s">
        <v>4839</v>
      </c>
      <c r="D1307" t="s">
        <v>4840</v>
      </c>
      <c r="E1307" t="s">
        <v>4838</v>
      </c>
      <c r="F1307" t="s">
        <v>28</v>
      </c>
      <c r="G1307" t="s">
        <v>4838</v>
      </c>
      <c r="H1307" t="str">
        <f>"ctc-3"</f>
        <v>ctc-3</v>
      </c>
      <c r="I1307" t="s">
        <v>4840</v>
      </c>
      <c r="J1307" t="s">
        <v>29</v>
      </c>
      <c r="K1307">
        <v>10.353603257183799</v>
      </c>
      <c r="L1307" t="s">
        <v>29</v>
      </c>
      <c r="M1307">
        <v>14.7220521846375</v>
      </c>
      <c r="N1307">
        <v>12.5570079217739</v>
      </c>
      <c r="O1307">
        <v>11.2681991184028</v>
      </c>
      <c r="P1307">
        <v>2.4954831510876501</v>
      </c>
      <c r="Q1307">
        <v>0.51790541644546195</v>
      </c>
      <c r="R1307">
        <v>4.4730608857298302</v>
      </c>
      <c r="S1307">
        <v>13.445308579238</v>
      </c>
      <c r="T1307">
        <v>2.7521119158966099</v>
      </c>
      <c r="U1307">
        <v>-3.44752680778568</v>
      </c>
      <c r="V1307">
        <v>1.76569033030681E-2</v>
      </c>
      <c r="W1307">
        <v>0.26832043010324502</v>
      </c>
      <c r="X1307">
        <v>1</v>
      </c>
      <c r="Y1307">
        <v>0</v>
      </c>
    </row>
    <row r="1308" spans="1:25" x14ac:dyDescent="0.2">
      <c r="A1308" t="s">
        <v>4841</v>
      </c>
      <c r="B1308" t="s">
        <v>4842</v>
      </c>
      <c r="C1308" t="s">
        <v>4843</v>
      </c>
      <c r="D1308" t="s">
        <v>4844</v>
      </c>
      <c r="E1308" t="s">
        <v>4842</v>
      </c>
      <c r="F1308" t="s">
        <v>28</v>
      </c>
      <c r="G1308" t="s">
        <v>4842</v>
      </c>
      <c r="H1308" t="str">
        <f>"nduo-4"</f>
        <v>nduo-4</v>
      </c>
      <c r="I1308" t="s">
        <v>4844</v>
      </c>
      <c r="J1308">
        <v>12.4254258698158</v>
      </c>
      <c r="K1308">
        <v>12.667689437775399</v>
      </c>
      <c r="L1308">
        <v>12.3988809340189</v>
      </c>
      <c r="M1308">
        <v>12.6769171456287</v>
      </c>
      <c r="N1308">
        <v>12.606758077336201</v>
      </c>
      <c r="O1308">
        <v>12.238167874396</v>
      </c>
      <c r="P1308">
        <v>9.9489519169324598E-3</v>
      </c>
      <c r="Q1308">
        <v>-0.58390556710808805</v>
      </c>
      <c r="R1308">
        <v>0.60380347094195297</v>
      </c>
      <c r="S1308">
        <v>12.9844057947072</v>
      </c>
      <c r="T1308">
        <v>3.5534220758529099E-2</v>
      </c>
      <c r="U1308">
        <v>-6.8818254593209103</v>
      </c>
      <c r="V1308">
        <v>0.97209618665658704</v>
      </c>
      <c r="W1308">
        <v>0.99968702248720698</v>
      </c>
      <c r="X1308">
        <v>0</v>
      </c>
      <c r="Y1308">
        <v>0</v>
      </c>
    </row>
    <row r="1309" spans="1:25" x14ac:dyDescent="0.2">
      <c r="A1309" t="s">
        <v>4845</v>
      </c>
      <c r="B1309" t="s">
        <v>4846</v>
      </c>
      <c r="C1309" t="s">
        <v>4847</v>
      </c>
      <c r="D1309" t="s">
        <v>4848</v>
      </c>
      <c r="E1309" t="s">
        <v>4846</v>
      </c>
      <c r="F1309" t="s">
        <v>28</v>
      </c>
      <c r="G1309" t="s">
        <v>4846</v>
      </c>
      <c r="H1309" t="str">
        <f>"ctc-1"</f>
        <v>ctc-1</v>
      </c>
      <c r="I1309" t="s">
        <v>4848</v>
      </c>
      <c r="J1309">
        <v>11.892535728121301</v>
      </c>
      <c r="K1309" t="s">
        <v>29</v>
      </c>
      <c r="L1309" t="s">
        <v>29</v>
      </c>
      <c r="M1309">
        <v>12.4527163554092</v>
      </c>
      <c r="N1309">
        <v>10.469391853779101</v>
      </c>
      <c r="O1309">
        <v>11.329327506010101</v>
      </c>
      <c r="P1309">
        <v>-0.47539048972183601</v>
      </c>
      <c r="Q1309">
        <v>-1.7421538255506499</v>
      </c>
      <c r="R1309">
        <v>0.791372846106982</v>
      </c>
      <c r="S1309">
        <v>12.0338581501946</v>
      </c>
      <c r="T1309">
        <v>-0.81846481984393005</v>
      </c>
      <c r="U1309">
        <v>-6.1952052877787702</v>
      </c>
      <c r="V1309">
        <v>0.42918391955778701</v>
      </c>
      <c r="W1309">
        <v>0.91512503332874395</v>
      </c>
      <c r="X1309">
        <v>0</v>
      </c>
      <c r="Y1309">
        <v>0</v>
      </c>
    </row>
    <row r="1310" spans="1:25" x14ac:dyDescent="0.2">
      <c r="A1310" t="s">
        <v>4849</v>
      </c>
      <c r="B1310" t="s">
        <v>4850</v>
      </c>
      <c r="C1310" t="s">
        <v>4851</v>
      </c>
      <c r="D1310" t="s">
        <v>4852</v>
      </c>
      <c r="E1310" t="s">
        <v>4850</v>
      </c>
      <c r="F1310" t="s">
        <v>28</v>
      </c>
      <c r="G1310" t="s">
        <v>4850</v>
      </c>
      <c r="H1310" t="str">
        <f>"ctc-2"</f>
        <v>ctc-2</v>
      </c>
      <c r="I1310" t="s">
        <v>4852</v>
      </c>
      <c r="J1310">
        <v>16.297654768060799</v>
      </c>
      <c r="K1310">
        <v>16.262992149885498</v>
      </c>
      <c r="L1310">
        <v>16.3835626836991</v>
      </c>
      <c r="M1310">
        <v>15.8474224643832</v>
      </c>
      <c r="N1310">
        <v>15.835628712393</v>
      </c>
      <c r="O1310">
        <v>16.149676026329001</v>
      </c>
      <c r="P1310">
        <v>-0.37049413284670302</v>
      </c>
      <c r="Q1310">
        <v>-0.88808233640639</v>
      </c>
      <c r="R1310">
        <v>0.147094070712983</v>
      </c>
      <c r="S1310">
        <v>16.326131310255398</v>
      </c>
      <c r="T1310">
        <v>-1.50449059895959</v>
      </c>
      <c r="U1310">
        <v>-5.7695628542614603</v>
      </c>
      <c r="V1310">
        <v>0.14990040650478001</v>
      </c>
      <c r="W1310">
        <v>0.74457992962374298</v>
      </c>
      <c r="X1310">
        <v>0</v>
      </c>
      <c r="Y1310">
        <v>0</v>
      </c>
    </row>
    <row r="1311" spans="1:25" x14ac:dyDescent="0.2">
      <c r="A1311" t="s">
        <v>4853</v>
      </c>
      <c r="B1311" t="s">
        <v>4854</v>
      </c>
      <c r="C1311" t="s">
        <v>4855</v>
      </c>
      <c r="D1311" t="s">
        <v>4856</v>
      </c>
      <c r="E1311" t="s">
        <v>4854</v>
      </c>
      <c r="F1311" t="s">
        <v>28</v>
      </c>
      <c r="G1311" t="s">
        <v>4854</v>
      </c>
      <c r="H1311" t="str">
        <f>"nduo-5"</f>
        <v>nduo-5</v>
      </c>
      <c r="I1311" t="s">
        <v>4856</v>
      </c>
      <c r="J1311">
        <v>13.721570411000799</v>
      </c>
      <c r="K1311">
        <v>13.518490569165699</v>
      </c>
      <c r="L1311">
        <v>13.804402359068501</v>
      </c>
      <c r="M1311">
        <v>13.304285198480899</v>
      </c>
      <c r="N1311">
        <v>13.575949448080699</v>
      </c>
      <c r="O1311">
        <v>13.379456821975101</v>
      </c>
      <c r="P1311">
        <v>-0.26159062356612101</v>
      </c>
      <c r="Q1311">
        <v>-0.85907706394246397</v>
      </c>
      <c r="R1311">
        <v>0.33589581681022102</v>
      </c>
      <c r="S1311">
        <v>13.7354612303215</v>
      </c>
      <c r="T1311">
        <v>-0.92020933072698297</v>
      </c>
      <c r="U1311">
        <v>-6.4502996430746196</v>
      </c>
      <c r="V1311">
        <v>0.369702428937973</v>
      </c>
      <c r="W1311">
        <v>0.89092663541315897</v>
      </c>
      <c r="X1311">
        <v>0</v>
      </c>
      <c r="Y1311">
        <v>0</v>
      </c>
    </row>
    <row r="1312" spans="1:25" x14ac:dyDescent="0.2">
      <c r="A1312" t="s">
        <v>4857</v>
      </c>
      <c r="B1312" t="s">
        <v>4858</v>
      </c>
      <c r="C1312" t="s">
        <v>4859</v>
      </c>
      <c r="D1312" t="s">
        <v>4860</v>
      </c>
      <c r="E1312" t="s">
        <v>4858</v>
      </c>
      <c r="F1312" t="s">
        <v>28</v>
      </c>
      <c r="G1312" t="s">
        <v>4858</v>
      </c>
      <c r="H1312" t="str">
        <f>"hsp-3"</f>
        <v>hsp-3</v>
      </c>
      <c r="I1312" t="s">
        <v>4860</v>
      </c>
      <c r="J1312">
        <v>16.133451024231501</v>
      </c>
      <c r="K1312">
        <v>15.9388307401488</v>
      </c>
      <c r="L1312">
        <v>15.851751628938199</v>
      </c>
      <c r="M1312">
        <v>16.088921264567599</v>
      </c>
      <c r="N1312">
        <v>15.794813762928801</v>
      </c>
      <c r="O1312">
        <v>16.119689867952399</v>
      </c>
      <c r="P1312">
        <v>2.6463834043429599E-2</v>
      </c>
      <c r="Q1312">
        <v>-0.45399700621679601</v>
      </c>
      <c r="R1312">
        <v>0.50692467430365495</v>
      </c>
      <c r="S1312">
        <v>15.797025600044501</v>
      </c>
      <c r="T1312">
        <v>0.115767666940231</v>
      </c>
      <c r="U1312">
        <v>-6.8754896226203401</v>
      </c>
      <c r="V1312">
        <v>0.90912589294578205</v>
      </c>
      <c r="W1312">
        <v>0.99833354317360001</v>
      </c>
      <c r="X1312">
        <v>0</v>
      </c>
      <c r="Y1312">
        <v>0</v>
      </c>
    </row>
    <row r="1313" spans="1:25" x14ac:dyDescent="0.2">
      <c r="A1313" t="s">
        <v>4861</v>
      </c>
      <c r="B1313" t="s">
        <v>4862</v>
      </c>
      <c r="C1313" t="s">
        <v>4863</v>
      </c>
      <c r="D1313" t="s">
        <v>4864</v>
      </c>
      <c r="E1313" t="s">
        <v>4862</v>
      </c>
      <c r="F1313" t="s">
        <v>28</v>
      </c>
      <c r="G1313" t="s">
        <v>4862</v>
      </c>
      <c r="H1313" t="str">
        <f>"ahcy-1"</f>
        <v>ahcy-1</v>
      </c>
      <c r="I1313" t="s">
        <v>4864</v>
      </c>
      <c r="J1313">
        <v>18.2206125993509</v>
      </c>
      <c r="K1313">
        <v>16.914521018867902</v>
      </c>
      <c r="L1313">
        <v>17.521042093510101</v>
      </c>
      <c r="M1313">
        <v>17.663119904661599</v>
      </c>
      <c r="N1313">
        <v>17.1407266006096</v>
      </c>
      <c r="O1313">
        <v>17.78104573309</v>
      </c>
      <c r="P1313">
        <v>-2.3761157789234499E-2</v>
      </c>
      <c r="Q1313">
        <v>-1.0986983698598101</v>
      </c>
      <c r="R1313">
        <v>1.05117605428134</v>
      </c>
      <c r="S1313">
        <v>17.857569739832801</v>
      </c>
      <c r="T1313">
        <v>-4.6459765557036098E-2</v>
      </c>
      <c r="U1313">
        <v>-6.8813618257911502</v>
      </c>
      <c r="V1313">
        <v>0.96345835908392097</v>
      </c>
      <c r="W1313">
        <v>0.99968702248720698</v>
      </c>
      <c r="X1313">
        <v>0</v>
      </c>
      <c r="Y1313">
        <v>0</v>
      </c>
    </row>
    <row r="1314" spans="1:25" x14ac:dyDescent="0.2">
      <c r="A1314" t="s">
        <v>4865</v>
      </c>
      <c r="B1314" t="s">
        <v>4866</v>
      </c>
      <c r="C1314" t="s">
        <v>4867</v>
      </c>
      <c r="D1314" t="s">
        <v>4868</v>
      </c>
      <c r="E1314" t="s">
        <v>4866</v>
      </c>
      <c r="F1314" t="s">
        <v>28</v>
      </c>
      <c r="G1314" t="s">
        <v>4866</v>
      </c>
      <c r="H1314" t="str">
        <f>"inf-1"</f>
        <v>inf-1</v>
      </c>
      <c r="I1314" t="s">
        <v>4868</v>
      </c>
      <c r="J1314">
        <v>19.6940119549059</v>
      </c>
      <c r="K1314">
        <v>19.604775172852701</v>
      </c>
      <c r="L1314">
        <v>19.682775012786301</v>
      </c>
      <c r="M1314">
        <v>19.733924337115401</v>
      </c>
      <c r="N1314">
        <v>20.017740850937098</v>
      </c>
      <c r="O1314">
        <v>19.890445533348</v>
      </c>
      <c r="P1314">
        <v>0.22018286028520301</v>
      </c>
      <c r="Q1314">
        <v>-0.12876243697054399</v>
      </c>
      <c r="R1314">
        <v>0.56912815754094903</v>
      </c>
      <c r="S1314">
        <v>19.5779873695097</v>
      </c>
      <c r="T1314">
        <v>1.32622946535498</v>
      </c>
      <c r="U1314">
        <v>-6.0063197990209902</v>
      </c>
      <c r="V1314">
        <v>0.20144273736281201</v>
      </c>
      <c r="W1314">
        <v>0.79075284576134597</v>
      </c>
      <c r="X1314">
        <v>0</v>
      </c>
      <c r="Y1314">
        <v>0</v>
      </c>
    </row>
    <row r="1315" spans="1:25" x14ac:dyDescent="0.2">
      <c r="A1315" t="s">
        <v>4869</v>
      </c>
      <c r="B1315" t="s">
        <v>4870</v>
      </c>
      <c r="C1315" t="s">
        <v>4871</v>
      </c>
      <c r="D1315" t="s">
        <v>4872</v>
      </c>
      <c r="E1315" t="s">
        <v>4870</v>
      </c>
      <c r="F1315" t="s">
        <v>28</v>
      </c>
      <c r="G1315" t="s">
        <v>4870</v>
      </c>
      <c r="H1315" t="str">
        <f>"crt-1"</f>
        <v>crt-1</v>
      </c>
      <c r="I1315" t="s">
        <v>4872</v>
      </c>
      <c r="J1315" t="s">
        <v>29</v>
      </c>
      <c r="K1315" t="s">
        <v>29</v>
      </c>
      <c r="L1315" t="s">
        <v>29</v>
      </c>
      <c r="M1315" t="s">
        <v>29</v>
      </c>
      <c r="N1315" t="s">
        <v>29</v>
      </c>
      <c r="O1315" t="s">
        <v>29</v>
      </c>
      <c r="P1315" t="s">
        <v>29</v>
      </c>
      <c r="Q1315" t="s">
        <v>29</v>
      </c>
      <c r="R1315" t="s">
        <v>29</v>
      </c>
      <c r="S1315">
        <v>11.023793573039001</v>
      </c>
      <c r="T1315" t="s">
        <v>29</v>
      </c>
      <c r="U1315" t="s">
        <v>29</v>
      </c>
      <c r="V1315" t="s">
        <v>29</v>
      </c>
      <c r="W1315" t="s">
        <v>29</v>
      </c>
      <c r="X1315" t="s">
        <v>29</v>
      </c>
      <c r="Y1315" t="s">
        <v>29</v>
      </c>
    </row>
    <row r="1316" spans="1:25" x14ac:dyDescent="0.2">
      <c r="A1316" t="s">
        <v>4873</v>
      </c>
      <c r="B1316" t="s">
        <v>4874</v>
      </c>
      <c r="C1316" t="s">
        <v>4875</v>
      </c>
      <c r="D1316" t="s">
        <v>4876</v>
      </c>
      <c r="E1316" t="s">
        <v>4874</v>
      </c>
      <c r="F1316" t="s">
        <v>28</v>
      </c>
      <c r="G1316" t="s">
        <v>4874</v>
      </c>
      <c r="H1316" t="str">
        <f>"ptp-1"</f>
        <v>ptp-1</v>
      </c>
      <c r="I1316" t="s">
        <v>4876</v>
      </c>
      <c r="J1316">
        <v>11.6482819521169</v>
      </c>
      <c r="K1316">
        <v>11.975510872069</v>
      </c>
      <c r="L1316">
        <v>12.004066815682901</v>
      </c>
      <c r="M1316">
        <v>12.063947805370599</v>
      </c>
      <c r="N1316">
        <v>11.3853996765712</v>
      </c>
      <c r="O1316">
        <v>11.5416741759313</v>
      </c>
      <c r="P1316">
        <v>-0.21227932733192201</v>
      </c>
      <c r="Q1316">
        <v>-0.68706623291442304</v>
      </c>
      <c r="R1316">
        <v>0.26250757825057902</v>
      </c>
      <c r="S1316">
        <v>11.8921706892166</v>
      </c>
      <c r="T1316">
        <v>-0.94832783888556504</v>
      </c>
      <c r="U1316">
        <v>-6.4224947511789203</v>
      </c>
      <c r="V1316">
        <v>0.357158848361813</v>
      </c>
      <c r="W1316">
        <v>0.88269106754885296</v>
      </c>
      <c r="X1316">
        <v>0</v>
      </c>
      <c r="Y1316">
        <v>0</v>
      </c>
    </row>
    <row r="1317" spans="1:25" x14ac:dyDescent="0.2">
      <c r="A1317" t="s">
        <v>4877</v>
      </c>
      <c r="B1317" t="s">
        <v>4878</v>
      </c>
      <c r="C1317" t="s">
        <v>4879</v>
      </c>
      <c r="D1317" t="s">
        <v>4880</v>
      </c>
      <c r="E1317" t="s">
        <v>4878</v>
      </c>
      <c r="F1317" t="s">
        <v>28</v>
      </c>
      <c r="G1317" t="s">
        <v>4878</v>
      </c>
      <c r="H1317" t="str">
        <f>"eef-2"</f>
        <v>eef-2</v>
      </c>
      <c r="I1317" t="s">
        <v>4880</v>
      </c>
      <c r="J1317">
        <v>20.793748516628799</v>
      </c>
      <c r="K1317">
        <v>20.606651865762402</v>
      </c>
      <c r="L1317">
        <v>20.409050094101602</v>
      </c>
      <c r="M1317">
        <v>20.610889338026698</v>
      </c>
      <c r="N1317">
        <v>20.3299102576329</v>
      </c>
      <c r="O1317">
        <v>20.558006984865202</v>
      </c>
      <c r="P1317">
        <v>-0.10354796532265501</v>
      </c>
      <c r="Q1317">
        <v>-0.49756180301976</v>
      </c>
      <c r="R1317">
        <v>0.29046587237444998</v>
      </c>
      <c r="S1317">
        <v>20.080288048047102</v>
      </c>
      <c r="T1317">
        <v>-0.55236049267198495</v>
      </c>
      <c r="U1317">
        <v>-6.7244318656061299</v>
      </c>
      <c r="V1317">
        <v>0.58753480596438001</v>
      </c>
      <c r="W1317">
        <v>0.963273565916412</v>
      </c>
      <c r="X1317">
        <v>0</v>
      </c>
      <c r="Y1317">
        <v>0</v>
      </c>
    </row>
    <row r="1318" spans="1:25" x14ac:dyDescent="0.2">
      <c r="A1318" t="s">
        <v>4881</v>
      </c>
      <c r="B1318" t="s">
        <v>4882</v>
      </c>
      <c r="C1318" t="s">
        <v>4883</v>
      </c>
      <c r="D1318" t="s">
        <v>4884</v>
      </c>
      <c r="E1318" t="s">
        <v>4882</v>
      </c>
      <c r="F1318" t="s">
        <v>28</v>
      </c>
      <c r="G1318" t="s">
        <v>4882</v>
      </c>
      <c r="H1318" t="str">
        <f>"kin-2"</f>
        <v>kin-2</v>
      </c>
      <c r="I1318" t="s">
        <v>4884</v>
      </c>
      <c r="J1318">
        <v>12.9203387189634</v>
      </c>
      <c r="K1318">
        <v>12.847485197146</v>
      </c>
      <c r="L1318">
        <v>12.8044862138259</v>
      </c>
      <c r="M1318">
        <v>13.0873013782447</v>
      </c>
      <c r="N1318">
        <v>13.4161510531804</v>
      </c>
      <c r="O1318">
        <v>13.17208113537</v>
      </c>
      <c r="P1318">
        <v>0.36774114561990601</v>
      </c>
      <c r="Q1318">
        <v>-7.2068782986989197E-2</v>
      </c>
      <c r="R1318">
        <v>0.80755107422680095</v>
      </c>
      <c r="S1318">
        <v>13.148692295955501</v>
      </c>
      <c r="T1318">
        <v>1.7573963036446001</v>
      </c>
      <c r="U1318">
        <v>-5.3951252989206004</v>
      </c>
      <c r="V1318">
        <v>9.5944527099785501E-2</v>
      </c>
      <c r="W1318">
        <v>0.63988654546710699</v>
      </c>
      <c r="X1318">
        <v>0</v>
      </c>
      <c r="Y1318">
        <v>0</v>
      </c>
    </row>
    <row r="1319" spans="1:25" x14ac:dyDescent="0.2">
      <c r="A1319" t="s">
        <v>4885</v>
      </c>
      <c r="B1319" t="s">
        <v>4886</v>
      </c>
      <c r="C1319" t="s">
        <v>4887</v>
      </c>
      <c r="D1319" t="s">
        <v>4888</v>
      </c>
      <c r="E1319" t="s">
        <v>4886</v>
      </c>
      <c r="F1319" t="s">
        <v>28</v>
      </c>
      <c r="G1319" t="s">
        <v>4886</v>
      </c>
      <c r="H1319" t="str">
        <f>"unc-32"</f>
        <v>unc-32</v>
      </c>
      <c r="I1319" t="s">
        <v>4888</v>
      </c>
      <c r="J1319">
        <v>12.678985737743499</v>
      </c>
      <c r="K1319">
        <v>12.4116504323631</v>
      </c>
      <c r="L1319">
        <v>12.548450051133701</v>
      </c>
      <c r="M1319">
        <v>12.8417433741851</v>
      </c>
      <c r="N1319">
        <v>12.2504394810538</v>
      </c>
      <c r="O1319">
        <v>12.6106998145149</v>
      </c>
      <c r="P1319">
        <v>2.1265482837765901E-2</v>
      </c>
      <c r="Q1319">
        <v>-0.384701203929952</v>
      </c>
      <c r="R1319">
        <v>0.42723216960548399</v>
      </c>
      <c r="S1319">
        <v>12.5075802980641</v>
      </c>
      <c r="T1319">
        <v>0.110097476251086</v>
      </c>
      <c r="U1319">
        <v>-6.8761583033706</v>
      </c>
      <c r="V1319">
        <v>0.91355738388421903</v>
      </c>
      <c r="W1319">
        <v>0.99833354317360001</v>
      </c>
      <c r="X1319">
        <v>0</v>
      </c>
      <c r="Y1319">
        <v>0</v>
      </c>
    </row>
    <row r="1320" spans="1:25" x14ac:dyDescent="0.2">
      <c r="A1320" t="s">
        <v>4889</v>
      </c>
      <c r="B1320" t="s">
        <v>4890</v>
      </c>
      <c r="C1320" t="s">
        <v>4891</v>
      </c>
      <c r="D1320" t="s">
        <v>4892</v>
      </c>
      <c r="E1320" t="s">
        <v>4890</v>
      </c>
      <c r="F1320" t="s">
        <v>28</v>
      </c>
      <c r="G1320" t="s">
        <v>4890</v>
      </c>
      <c r="H1320" t="str">
        <f>"lin-9"</f>
        <v>lin-9</v>
      </c>
      <c r="I1320" t="s">
        <v>4892</v>
      </c>
      <c r="J1320" t="s">
        <v>29</v>
      </c>
      <c r="K1320">
        <v>11.572713161045399</v>
      </c>
      <c r="L1320">
        <v>11.4304335388049</v>
      </c>
      <c r="M1320">
        <v>11.748301349068299</v>
      </c>
      <c r="N1320">
        <v>12.1165095035701</v>
      </c>
      <c r="O1320" t="s">
        <v>29</v>
      </c>
      <c r="P1320">
        <v>0.430832076394081</v>
      </c>
      <c r="Q1320">
        <v>-0.176585248095629</v>
      </c>
      <c r="R1320">
        <v>1.0382494008837899</v>
      </c>
      <c r="S1320">
        <v>12.2802935066216</v>
      </c>
      <c r="T1320">
        <v>1.53358587528612</v>
      </c>
      <c r="U1320">
        <v>-5.5378404189017196</v>
      </c>
      <c r="V1320">
        <v>0.14929359233895201</v>
      </c>
      <c r="W1320">
        <v>0.74457992962374298</v>
      </c>
      <c r="X1320">
        <v>0</v>
      </c>
      <c r="Y1320">
        <v>0</v>
      </c>
    </row>
    <row r="1321" spans="1:25" x14ac:dyDescent="0.2">
      <c r="A1321" t="s">
        <v>4893</v>
      </c>
      <c r="B1321" t="s">
        <v>4894</v>
      </c>
      <c r="C1321" t="s">
        <v>4895</v>
      </c>
      <c r="D1321" t="s">
        <v>4896</v>
      </c>
      <c r="E1321" t="s">
        <v>4894</v>
      </c>
      <c r="F1321" t="s">
        <v>28</v>
      </c>
      <c r="G1321" t="s">
        <v>4894</v>
      </c>
      <c r="H1321" t="str">
        <f>"rpap-2"</f>
        <v>rpap-2</v>
      </c>
      <c r="I1321" t="s">
        <v>4896</v>
      </c>
      <c r="J1321" t="s">
        <v>29</v>
      </c>
      <c r="K1321">
        <v>9.2119993413352805</v>
      </c>
      <c r="L1321">
        <v>11.290721356418301</v>
      </c>
      <c r="M1321">
        <v>12.827015720602001</v>
      </c>
      <c r="N1321">
        <v>13.0160988139131</v>
      </c>
      <c r="O1321">
        <v>12.872076465336001</v>
      </c>
      <c r="P1321">
        <v>2.65370331774028</v>
      </c>
      <c r="Q1321">
        <v>1.5862302549926099</v>
      </c>
      <c r="R1321">
        <v>3.7211763804879499</v>
      </c>
      <c r="S1321">
        <v>12.9825181951462</v>
      </c>
      <c r="T1321">
        <v>5.3019673460994401</v>
      </c>
      <c r="U1321">
        <v>1.46414337771407</v>
      </c>
      <c r="V1321" s="2">
        <v>9.0822226773024206E-5</v>
      </c>
      <c r="W1321">
        <v>4.4449466279503601E-3</v>
      </c>
      <c r="X1321">
        <v>1</v>
      </c>
      <c r="Y1321">
        <v>1</v>
      </c>
    </row>
    <row r="1322" spans="1:25" x14ac:dyDescent="0.2">
      <c r="A1322" t="s">
        <v>4897</v>
      </c>
      <c r="B1322" t="s">
        <v>4898</v>
      </c>
      <c r="C1322" t="s">
        <v>4899</v>
      </c>
      <c r="D1322" t="s">
        <v>4900</v>
      </c>
      <c r="E1322" t="s">
        <v>4898</v>
      </c>
      <c r="F1322" t="s">
        <v>28</v>
      </c>
      <c r="G1322" t="s">
        <v>4898</v>
      </c>
      <c r="H1322" t="str">
        <f>"eif-3.D"</f>
        <v>eif-3.D</v>
      </c>
      <c r="I1322" t="s">
        <v>4900</v>
      </c>
      <c r="J1322">
        <v>12.417267004682801</v>
      </c>
      <c r="K1322">
        <v>13.002173721334101</v>
      </c>
      <c r="L1322">
        <v>13.191400709695399</v>
      </c>
      <c r="M1322">
        <v>13.122223585063001</v>
      </c>
      <c r="N1322">
        <v>13.284847435628601</v>
      </c>
      <c r="O1322">
        <v>13.072455311806999</v>
      </c>
      <c r="P1322">
        <v>0.28956163226211901</v>
      </c>
      <c r="Q1322">
        <v>-0.346439574601972</v>
      </c>
      <c r="R1322">
        <v>0.92556283912620996</v>
      </c>
      <c r="S1322">
        <v>13.390757577320599</v>
      </c>
      <c r="T1322">
        <v>0.95691990718844999</v>
      </c>
      <c r="U1322">
        <v>-6.4160012848974199</v>
      </c>
      <c r="V1322">
        <v>0.35135794560595601</v>
      </c>
      <c r="W1322">
        <v>0.87950242192597095</v>
      </c>
      <c r="X1322">
        <v>0</v>
      </c>
      <c r="Y1322">
        <v>0</v>
      </c>
    </row>
    <row r="1323" spans="1:25" x14ac:dyDescent="0.2">
      <c r="A1323" t="s">
        <v>4901</v>
      </c>
      <c r="B1323" t="s">
        <v>4902</v>
      </c>
      <c r="C1323" t="s">
        <v>4903</v>
      </c>
      <c r="D1323" t="s">
        <v>4904</v>
      </c>
      <c r="E1323" t="s">
        <v>4902</v>
      </c>
      <c r="F1323" t="s">
        <v>28</v>
      </c>
      <c r="G1323" t="s">
        <v>4902</v>
      </c>
      <c r="H1323" t="str">
        <f>"R08D7.7"</f>
        <v>R08D7.7</v>
      </c>
      <c r="I1323" t="s">
        <v>4904</v>
      </c>
      <c r="J1323" t="s">
        <v>29</v>
      </c>
      <c r="K1323" t="s">
        <v>29</v>
      </c>
      <c r="L1323">
        <v>9.7712819902856296</v>
      </c>
      <c r="M1323" t="s">
        <v>29</v>
      </c>
      <c r="N1323">
        <v>11.207156338677599</v>
      </c>
      <c r="O1323" t="s">
        <v>29</v>
      </c>
      <c r="P1323">
        <v>1.43587434839197</v>
      </c>
      <c r="Q1323">
        <v>0.34675970596210298</v>
      </c>
      <c r="R1323">
        <v>2.5249889908218401</v>
      </c>
      <c r="S1323">
        <v>11.4793086465834</v>
      </c>
      <c r="T1323">
        <v>2.9877698834034199</v>
      </c>
      <c r="U1323">
        <v>-3.0534232109344099</v>
      </c>
      <c r="V1323">
        <v>1.5453100505956999E-2</v>
      </c>
      <c r="W1323">
        <v>0.24144562668462499</v>
      </c>
      <c r="X1323">
        <v>1</v>
      </c>
      <c r="Y1323">
        <v>0</v>
      </c>
    </row>
    <row r="1324" spans="1:25" x14ac:dyDescent="0.2">
      <c r="A1324" t="s">
        <v>4905</v>
      </c>
      <c r="B1324" t="s">
        <v>4906</v>
      </c>
      <c r="C1324" t="s">
        <v>4907</v>
      </c>
      <c r="D1324" t="s">
        <v>4908</v>
      </c>
      <c r="E1324" t="s">
        <v>4906</v>
      </c>
      <c r="F1324" t="s">
        <v>28</v>
      </c>
      <c r="G1324" t="s">
        <v>4906</v>
      </c>
      <c r="H1324" t="str">
        <f>"ZK643.5"</f>
        <v>ZK643.5</v>
      </c>
      <c r="I1324" t="s">
        <v>4908</v>
      </c>
      <c r="J1324">
        <v>13.6841527854855</v>
      </c>
      <c r="K1324">
        <v>13.779958378507001</v>
      </c>
      <c r="L1324">
        <v>13.894214284560499</v>
      </c>
      <c r="M1324">
        <v>13.6891786866712</v>
      </c>
      <c r="N1324">
        <v>13.888828437001701</v>
      </c>
      <c r="O1324">
        <v>13.8198456362052</v>
      </c>
      <c r="P1324">
        <v>1.3175770441733899E-2</v>
      </c>
      <c r="Q1324">
        <v>-0.41211782012694498</v>
      </c>
      <c r="R1324">
        <v>0.43846936101041301</v>
      </c>
      <c r="S1324">
        <v>13.841572109825901</v>
      </c>
      <c r="T1324">
        <v>6.5393893411048801E-2</v>
      </c>
      <c r="U1324">
        <v>-6.8802484709360998</v>
      </c>
      <c r="V1324">
        <v>0.94862794819003804</v>
      </c>
      <c r="W1324">
        <v>0.99968702248720698</v>
      </c>
      <c r="X1324">
        <v>0</v>
      </c>
      <c r="Y1324">
        <v>0</v>
      </c>
    </row>
    <row r="1325" spans="1:25" x14ac:dyDescent="0.2">
      <c r="A1325" t="s">
        <v>4909</v>
      </c>
      <c r="B1325" t="s">
        <v>4910</v>
      </c>
      <c r="C1325" t="s">
        <v>4911</v>
      </c>
      <c r="D1325" t="s">
        <v>4912</v>
      </c>
      <c r="E1325" t="s">
        <v>4910</v>
      </c>
      <c r="F1325" t="s">
        <v>28</v>
      </c>
      <c r="G1325" t="s">
        <v>4910</v>
      </c>
      <c r="H1325" t="str">
        <f>"ikke-1"</f>
        <v>ikke-1</v>
      </c>
      <c r="I1325" t="s">
        <v>4912</v>
      </c>
      <c r="J1325">
        <v>12.875221640629199</v>
      </c>
      <c r="K1325">
        <v>13.0837605169136</v>
      </c>
      <c r="L1325">
        <v>12.439438507389401</v>
      </c>
      <c r="M1325">
        <v>12.851354692128</v>
      </c>
      <c r="N1325">
        <v>12.7479770772545</v>
      </c>
      <c r="O1325">
        <v>12.9880415070586</v>
      </c>
      <c r="P1325">
        <v>6.2984203836338196E-2</v>
      </c>
      <c r="Q1325">
        <v>-0.42807505823708603</v>
      </c>
      <c r="R1325">
        <v>0.55404346590976195</v>
      </c>
      <c r="S1325">
        <v>12.4814254078901</v>
      </c>
      <c r="T1325">
        <v>0.27355165266946901</v>
      </c>
      <c r="U1325">
        <v>-6.8430739557152398</v>
      </c>
      <c r="V1325">
        <v>0.78818592379834695</v>
      </c>
      <c r="W1325">
        <v>0.99278624068726296</v>
      </c>
      <c r="X1325">
        <v>0</v>
      </c>
      <c r="Y1325">
        <v>0</v>
      </c>
    </row>
    <row r="1326" spans="1:25" x14ac:dyDescent="0.2">
      <c r="A1326" t="s">
        <v>4913</v>
      </c>
      <c r="B1326" t="s">
        <v>4914</v>
      </c>
      <c r="C1326" t="s">
        <v>4915</v>
      </c>
      <c r="D1326" t="s">
        <v>4916</v>
      </c>
      <c r="E1326" t="s">
        <v>4914</v>
      </c>
      <c r="F1326" t="s">
        <v>28</v>
      </c>
      <c r="G1326" t="s">
        <v>4914</v>
      </c>
      <c r="H1326" t="str">
        <f>"cls-2"</f>
        <v>cls-2</v>
      </c>
      <c r="I1326" t="s">
        <v>4916</v>
      </c>
      <c r="J1326">
        <v>12.037630720653899</v>
      </c>
      <c r="K1326" t="s">
        <v>29</v>
      </c>
      <c r="L1326">
        <v>12.2706671413249</v>
      </c>
      <c r="M1326">
        <v>12.7410509741952</v>
      </c>
      <c r="N1326">
        <v>13.005987562005499</v>
      </c>
      <c r="O1326">
        <v>12.5614158022795</v>
      </c>
      <c r="P1326">
        <v>0.61533584850401901</v>
      </c>
      <c r="Q1326">
        <v>3.4369349731521101E-2</v>
      </c>
      <c r="R1326">
        <v>1.19630234727652</v>
      </c>
      <c r="S1326">
        <v>12.7268573580008</v>
      </c>
      <c r="T1326">
        <v>2.2465219033774502</v>
      </c>
      <c r="U1326">
        <v>-4.4772485784883598</v>
      </c>
      <c r="V1326">
        <v>3.9238893641605099E-2</v>
      </c>
      <c r="W1326">
        <v>0.42956262512915</v>
      </c>
      <c r="X1326">
        <v>0</v>
      </c>
      <c r="Y1326">
        <v>0</v>
      </c>
    </row>
    <row r="1327" spans="1:25" x14ac:dyDescent="0.2">
      <c r="A1327" t="s">
        <v>4917</v>
      </c>
      <c r="B1327" t="s">
        <v>4918</v>
      </c>
      <c r="C1327" t="s">
        <v>4919</v>
      </c>
      <c r="D1327" t="s">
        <v>4920</v>
      </c>
      <c r="E1327" t="s">
        <v>4918</v>
      </c>
      <c r="F1327" t="s">
        <v>28</v>
      </c>
      <c r="G1327" t="s">
        <v>4918</v>
      </c>
      <c r="H1327" t="str">
        <f>"hars-1"</f>
        <v>hars-1</v>
      </c>
      <c r="I1327" t="s">
        <v>4920</v>
      </c>
      <c r="J1327">
        <v>15.7609705429056</v>
      </c>
      <c r="K1327">
        <v>15.562979121534401</v>
      </c>
      <c r="L1327">
        <v>15.7659110390567</v>
      </c>
      <c r="M1327">
        <v>15.8400498473115</v>
      </c>
      <c r="N1327">
        <v>15.998290044986501</v>
      </c>
      <c r="O1327">
        <v>15.597870147956799</v>
      </c>
      <c r="P1327">
        <v>0.115449778919341</v>
      </c>
      <c r="Q1327">
        <v>-0.34130895012322998</v>
      </c>
      <c r="R1327">
        <v>0.57220850796191303</v>
      </c>
      <c r="S1327">
        <v>15.402613516404999</v>
      </c>
      <c r="T1327">
        <v>0.53124977964125897</v>
      </c>
      <c r="U1327">
        <v>-6.7361894545370404</v>
      </c>
      <c r="V1327">
        <v>0.60177818771360303</v>
      </c>
      <c r="W1327">
        <v>0.96856739034780204</v>
      </c>
      <c r="X1327">
        <v>0</v>
      </c>
      <c r="Y1327">
        <v>0</v>
      </c>
    </row>
    <row r="1328" spans="1:25" x14ac:dyDescent="0.2">
      <c r="A1328" t="s">
        <v>4921</v>
      </c>
      <c r="B1328" t="s">
        <v>4922</v>
      </c>
      <c r="C1328" t="s">
        <v>4923</v>
      </c>
      <c r="D1328" t="s">
        <v>4924</v>
      </c>
      <c r="E1328" t="s">
        <v>4922</v>
      </c>
      <c r="F1328" t="s">
        <v>28</v>
      </c>
      <c r="G1328" t="s">
        <v>4922</v>
      </c>
      <c r="H1328" t="str">
        <f>"rab-6.1"</f>
        <v>rab-6.1</v>
      </c>
      <c r="I1328" t="s">
        <v>4924</v>
      </c>
      <c r="J1328">
        <v>13.7676503706313</v>
      </c>
      <c r="K1328">
        <v>13.8404997781928</v>
      </c>
      <c r="L1328">
        <v>13.762230149788699</v>
      </c>
      <c r="M1328">
        <v>13.279977951866799</v>
      </c>
      <c r="N1328">
        <v>13.304258656625899</v>
      </c>
      <c r="O1328">
        <v>13.6522266390305</v>
      </c>
      <c r="P1328">
        <v>-0.377972350363176</v>
      </c>
      <c r="Q1328">
        <v>-0.87258379827234001</v>
      </c>
      <c r="R1328">
        <v>0.116639097545987</v>
      </c>
      <c r="S1328">
        <v>13.2942351873172</v>
      </c>
      <c r="T1328">
        <v>-1.6130427607186899</v>
      </c>
      <c r="U1328">
        <v>-5.6150605380850402</v>
      </c>
      <c r="V1328">
        <v>0.12525628642236</v>
      </c>
      <c r="W1328">
        <v>0.71501358698732898</v>
      </c>
      <c r="X1328">
        <v>0</v>
      </c>
      <c r="Y1328">
        <v>0</v>
      </c>
    </row>
    <row r="1329" spans="1:25" x14ac:dyDescent="0.2">
      <c r="A1329" t="s">
        <v>4925</v>
      </c>
      <c r="B1329" t="s">
        <v>4926</v>
      </c>
      <c r="C1329" t="s">
        <v>4927</v>
      </c>
      <c r="D1329" t="s">
        <v>4928</v>
      </c>
      <c r="E1329" t="s">
        <v>4926</v>
      </c>
      <c r="F1329" t="s">
        <v>28</v>
      </c>
      <c r="G1329" t="s">
        <v>4926</v>
      </c>
      <c r="H1329" t="str">
        <f>"B0303.3"</f>
        <v>B0303.3</v>
      </c>
      <c r="I1329" t="s">
        <v>4928</v>
      </c>
      <c r="J1329">
        <v>17.771135592508099</v>
      </c>
      <c r="K1329">
        <v>18.119841340557301</v>
      </c>
      <c r="L1329">
        <v>17.827289936287102</v>
      </c>
      <c r="M1329">
        <v>17.583777570486401</v>
      </c>
      <c r="N1329">
        <v>17.627512120874901</v>
      </c>
      <c r="O1329">
        <v>17.699275112837402</v>
      </c>
      <c r="P1329">
        <v>-0.269234021717907</v>
      </c>
      <c r="Q1329">
        <v>-0.77045331040952902</v>
      </c>
      <c r="R1329">
        <v>0.23198526697371599</v>
      </c>
      <c r="S1329">
        <v>17.904837432942401</v>
      </c>
      <c r="T1329">
        <v>-1.12900190804917</v>
      </c>
      <c r="U1329">
        <v>-6.2393729779413496</v>
      </c>
      <c r="V1329">
        <v>0.273805203644858</v>
      </c>
      <c r="W1329">
        <v>0.856190392347986</v>
      </c>
      <c r="X1329">
        <v>0</v>
      </c>
      <c r="Y1329">
        <v>0</v>
      </c>
    </row>
    <row r="1330" spans="1:25" x14ac:dyDescent="0.2">
      <c r="A1330" t="s">
        <v>4929</v>
      </c>
      <c r="B1330" t="s">
        <v>4930</v>
      </c>
      <c r="C1330" t="s">
        <v>4931</v>
      </c>
      <c r="D1330" t="s">
        <v>4932</v>
      </c>
      <c r="E1330" t="s">
        <v>4930</v>
      </c>
      <c r="F1330" t="s">
        <v>28</v>
      </c>
      <c r="G1330" t="s">
        <v>4930</v>
      </c>
      <c r="H1330" t="str">
        <f>"vps-33.1"</f>
        <v>vps-33.1</v>
      </c>
      <c r="I1330" t="s">
        <v>4932</v>
      </c>
      <c r="J1330">
        <v>11.7695627005315</v>
      </c>
      <c r="K1330" t="s">
        <v>29</v>
      </c>
      <c r="L1330">
        <v>11.077787692174301</v>
      </c>
      <c r="M1330">
        <v>10.4404501900959</v>
      </c>
      <c r="N1330">
        <v>11.5912755268181</v>
      </c>
      <c r="O1330">
        <v>11.035830657685</v>
      </c>
      <c r="P1330">
        <v>-0.40115640481991299</v>
      </c>
      <c r="Q1330">
        <v>-1.2171405289650099</v>
      </c>
      <c r="R1330">
        <v>0.41482771932518298</v>
      </c>
      <c r="S1330">
        <v>11.2324063703207</v>
      </c>
      <c r="T1330">
        <v>-1.04851253579781</v>
      </c>
      <c r="U1330">
        <v>-6.2137855593892599</v>
      </c>
      <c r="V1330">
        <v>0.311118707617209</v>
      </c>
      <c r="W1330">
        <v>0.86252777434668904</v>
      </c>
      <c r="X1330">
        <v>0</v>
      </c>
      <c r="Y1330">
        <v>0</v>
      </c>
    </row>
    <row r="1331" spans="1:25" x14ac:dyDescent="0.2">
      <c r="A1331" t="s">
        <v>4933</v>
      </c>
      <c r="B1331" t="s">
        <v>4934</v>
      </c>
      <c r="C1331" t="s">
        <v>4935</v>
      </c>
      <c r="D1331" t="s">
        <v>4936</v>
      </c>
      <c r="E1331" t="s">
        <v>4934</v>
      </c>
      <c r="F1331" t="s">
        <v>28</v>
      </c>
      <c r="G1331" t="s">
        <v>4934</v>
      </c>
      <c r="H1331" t="str">
        <f>"B0303.11"</f>
        <v>B0303.11</v>
      </c>
      <c r="I1331" t="s">
        <v>4936</v>
      </c>
      <c r="J1331">
        <v>12.336960535858401</v>
      </c>
      <c r="K1331" t="s">
        <v>29</v>
      </c>
      <c r="L1331">
        <v>12.185336549934201</v>
      </c>
      <c r="M1331">
        <v>12.6405146736125</v>
      </c>
      <c r="N1331">
        <v>12.6585747533387</v>
      </c>
      <c r="O1331">
        <v>11.8823284780312</v>
      </c>
      <c r="P1331">
        <v>0.13265742543117101</v>
      </c>
      <c r="Q1331">
        <v>-0.58948010171024701</v>
      </c>
      <c r="R1331">
        <v>0.85479495257258897</v>
      </c>
      <c r="S1331">
        <v>12.691131263191901</v>
      </c>
      <c r="T1331">
        <v>0.39178991779269801</v>
      </c>
      <c r="U1331">
        <v>-6.6917741737519298</v>
      </c>
      <c r="V1331">
        <v>0.70076175252712403</v>
      </c>
      <c r="W1331">
        <v>0.98642420921484297</v>
      </c>
      <c r="X1331">
        <v>0</v>
      </c>
      <c r="Y1331">
        <v>0</v>
      </c>
    </row>
    <row r="1332" spans="1:25" x14ac:dyDescent="0.2">
      <c r="A1332" t="s">
        <v>4937</v>
      </c>
      <c r="B1332" t="s">
        <v>4938</v>
      </c>
      <c r="C1332" t="s">
        <v>4939</v>
      </c>
      <c r="D1332" t="s">
        <v>4940</v>
      </c>
      <c r="E1332" t="s">
        <v>4938</v>
      </c>
      <c r="F1332" t="s">
        <v>28</v>
      </c>
      <c r="G1332" t="s">
        <v>4938</v>
      </c>
      <c r="H1332" t="str">
        <f>"pgl-2"</f>
        <v>pgl-2</v>
      </c>
      <c r="I1332" t="s">
        <v>4940</v>
      </c>
      <c r="J1332" t="s">
        <v>29</v>
      </c>
      <c r="K1332" t="s">
        <v>29</v>
      </c>
      <c r="L1332">
        <v>11.004057230573199</v>
      </c>
      <c r="M1332" t="s">
        <v>29</v>
      </c>
      <c r="N1332" t="s">
        <v>29</v>
      </c>
      <c r="O1332" t="s">
        <v>29</v>
      </c>
      <c r="P1332" t="s">
        <v>29</v>
      </c>
      <c r="Q1332" t="s">
        <v>29</v>
      </c>
      <c r="R1332" t="s">
        <v>29</v>
      </c>
      <c r="S1332">
        <v>13.029416459793399</v>
      </c>
      <c r="T1332" t="s">
        <v>29</v>
      </c>
      <c r="U1332" t="s">
        <v>29</v>
      </c>
      <c r="V1332" t="s">
        <v>29</v>
      </c>
      <c r="W1332" t="s">
        <v>29</v>
      </c>
      <c r="X1332" t="s">
        <v>29</v>
      </c>
      <c r="Y1332" t="s">
        <v>29</v>
      </c>
    </row>
    <row r="1333" spans="1:25" x14ac:dyDescent="0.2">
      <c r="A1333" t="s">
        <v>4941</v>
      </c>
      <c r="B1333" t="s">
        <v>4942</v>
      </c>
      <c r="C1333" t="s">
        <v>4943</v>
      </c>
      <c r="D1333" t="s">
        <v>4944</v>
      </c>
      <c r="E1333" t="s">
        <v>4942</v>
      </c>
      <c r="F1333" t="s">
        <v>28</v>
      </c>
      <c r="G1333" t="s">
        <v>4942</v>
      </c>
      <c r="H1333" t="str">
        <f>"fli-1"</f>
        <v>fli-1</v>
      </c>
      <c r="I1333" t="s">
        <v>4944</v>
      </c>
      <c r="J1333">
        <v>12.3950615498464</v>
      </c>
      <c r="K1333">
        <v>12.4145588552809</v>
      </c>
      <c r="L1333">
        <v>12.2396601654028</v>
      </c>
      <c r="M1333">
        <v>12.9516138108532</v>
      </c>
      <c r="N1333">
        <v>12.887518533831701</v>
      </c>
      <c r="O1333" t="s">
        <v>29</v>
      </c>
      <c r="P1333">
        <v>0.56980598216574097</v>
      </c>
      <c r="Q1333">
        <v>-0.188512339709693</v>
      </c>
      <c r="R1333">
        <v>1.3281243040411801</v>
      </c>
      <c r="S1333">
        <v>12.792130513220499</v>
      </c>
      <c r="T1333">
        <v>1.5937675681215</v>
      </c>
      <c r="U1333">
        <v>-5.5371826146734904</v>
      </c>
      <c r="V1333">
        <v>0.130676578907997</v>
      </c>
      <c r="W1333">
        <v>0.72021766768664797</v>
      </c>
      <c r="X1333">
        <v>0</v>
      </c>
      <c r="Y1333">
        <v>0</v>
      </c>
    </row>
    <row r="1334" spans="1:25" x14ac:dyDescent="0.2">
      <c r="A1334" t="s">
        <v>4945</v>
      </c>
      <c r="B1334" t="s">
        <v>4946</v>
      </c>
      <c r="C1334" t="s">
        <v>4947</v>
      </c>
      <c r="D1334" t="s">
        <v>4948</v>
      </c>
      <c r="E1334" t="s">
        <v>4946</v>
      </c>
      <c r="F1334" t="s">
        <v>28</v>
      </c>
      <c r="G1334" t="s">
        <v>4946</v>
      </c>
      <c r="H1334" t="str">
        <f>"acdh-6"</f>
        <v>acdh-6</v>
      </c>
      <c r="I1334" t="s">
        <v>4948</v>
      </c>
      <c r="J1334" t="s">
        <v>29</v>
      </c>
      <c r="K1334" t="s">
        <v>29</v>
      </c>
      <c r="L1334" t="s">
        <v>29</v>
      </c>
      <c r="M1334" t="s">
        <v>29</v>
      </c>
      <c r="N1334" t="s">
        <v>29</v>
      </c>
      <c r="O1334" t="s">
        <v>29</v>
      </c>
      <c r="P1334" t="s">
        <v>29</v>
      </c>
      <c r="Q1334" t="s">
        <v>29</v>
      </c>
      <c r="R1334" t="s">
        <v>29</v>
      </c>
      <c r="S1334">
        <v>12.2184707988736</v>
      </c>
      <c r="T1334" t="s">
        <v>29</v>
      </c>
      <c r="U1334" t="s">
        <v>29</v>
      </c>
      <c r="V1334" t="s">
        <v>29</v>
      </c>
      <c r="W1334" t="s">
        <v>29</v>
      </c>
      <c r="X1334" t="s">
        <v>29</v>
      </c>
      <c r="Y1334" t="s">
        <v>29</v>
      </c>
    </row>
    <row r="1335" spans="1:25" x14ac:dyDescent="0.2">
      <c r="A1335" t="s">
        <v>4949</v>
      </c>
      <c r="B1335" t="s">
        <v>4950</v>
      </c>
      <c r="C1335" t="s">
        <v>4951</v>
      </c>
      <c r="D1335" t="s">
        <v>4952</v>
      </c>
      <c r="E1335" t="s">
        <v>4950</v>
      </c>
      <c r="F1335" t="s">
        <v>28</v>
      </c>
      <c r="G1335" t="s">
        <v>4950</v>
      </c>
      <c r="H1335" t="str">
        <f>"C02F5.3"</f>
        <v>C02F5.3</v>
      </c>
      <c r="I1335" t="s">
        <v>4952</v>
      </c>
      <c r="J1335">
        <v>15.705901640352501</v>
      </c>
      <c r="K1335">
        <v>15.7118138690591</v>
      </c>
      <c r="L1335">
        <v>15.3069952538028</v>
      </c>
      <c r="M1335">
        <v>15.547995195275799</v>
      </c>
      <c r="N1335">
        <v>15.5170768000746</v>
      </c>
      <c r="O1335">
        <v>15.490418167987</v>
      </c>
      <c r="P1335">
        <v>-5.6406866625685802E-2</v>
      </c>
      <c r="Q1335">
        <v>-0.46367729052357698</v>
      </c>
      <c r="R1335">
        <v>0.35086355727220597</v>
      </c>
      <c r="S1335">
        <v>15.2550588730843</v>
      </c>
      <c r="T1335">
        <v>-0.29109960495172599</v>
      </c>
      <c r="U1335">
        <v>-6.8383191938178802</v>
      </c>
      <c r="V1335">
        <v>0.77432223885496099</v>
      </c>
      <c r="W1335">
        <v>0.99278624068726296</v>
      </c>
      <c r="X1335">
        <v>0</v>
      </c>
      <c r="Y1335">
        <v>0</v>
      </c>
    </row>
    <row r="1336" spans="1:25" x14ac:dyDescent="0.2">
      <c r="A1336" t="s">
        <v>4953</v>
      </c>
      <c r="B1336" t="s">
        <v>4954</v>
      </c>
      <c r="C1336" t="s">
        <v>4955</v>
      </c>
      <c r="D1336" t="s">
        <v>4956</v>
      </c>
      <c r="E1336" t="s">
        <v>4954</v>
      </c>
      <c r="F1336" t="s">
        <v>28</v>
      </c>
      <c r="G1336" t="s">
        <v>4954</v>
      </c>
      <c r="H1336" t="str">
        <f>"cids-1"</f>
        <v>cids-1</v>
      </c>
      <c r="I1336" t="s">
        <v>4956</v>
      </c>
      <c r="J1336">
        <v>12.435510802300801</v>
      </c>
      <c r="K1336" t="s">
        <v>29</v>
      </c>
      <c r="L1336">
        <v>11.891347681015199</v>
      </c>
      <c r="M1336">
        <v>11.4160138561659</v>
      </c>
      <c r="N1336">
        <v>12.365861170868</v>
      </c>
      <c r="O1336">
        <v>11.9804296822573</v>
      </c>
      <c r="P1336">
        <v>-0.242661005227573</v>
      </c>
      <c r="Q1336">
        <v>-0.91152889278175397</v>
      </c>
      <c r="R1336">
        <v>0.42620688232660803</v>
      </c>
      <c r="S1336">
        <v>12.3430216259137</v>
      </c>
      <c r="T1336">
        <v>-0.78441680794892399</v>
      </c>
      <c r="U1336">
        <v>-6.4526176507526802</v>
      </c>
      <c r="V1336">
        <v>0.44696671353281903</v>
      </c>
      <c r="W1336">
        <v>0.92249172671965796</v>
      </c>
      <c r="X1336">
        <v>0</v>
      </c>
      <c r="Y1336">
        <v>0</v>
      </c>
    </row>
    <row r="1337" spans="1:25" x14ac:dyDescent="0.2">
      <c r="A1337" t="s">
        <v>4957</v>
      </c>
      <c r="B1337" t="s">
        <v>4958</v>
      </c>
      <c r="C1337" t="s">
        <v>4959</v>
      </c>
      <c r="D1337" t="s">
        <v>4960</v>
      </c>
      <c r="E1337" t="s">
        <v>4958</v>
      </c>
      <c r="F1337" t="s">
        <v>28</v>
      </c>
      <c r="G1337" t="s">
        <v>4958</v>
      </c>
      <c r="H1337" t="str">
        <f>"henn-1"</f>
        <v>henn-1</v>
      </c>
      <c r="I1337" t="s">
        <v>4960</v>
      </c>
      <c r="J1337">
        <v>12.8673285835039</v>
      </c>
      <c r="K1337">
        <v>13.4447433436429</v>
      </c>
      <c r="L1337">
        <v>12.8128175033816</v>
      </c>
      <c r="M1337">
        <v>13.124014729140001</v>
      </c>
      <c r="N1337">
        <v>12.6304123785673</v>
      </c>
      <c r="O1337">
        <v>12.624599083213299</v>
      </c>
      <c r="P1337">
        <v>-0.24862107986929199</v>
      </c>
      <c r="Q1337">
        <v>-0.91798654518869705</v>
      </c>
      <c r="R1337">
        <v>0.420744385450114</v>
      </c>
      <c r="S1337">
        <v>12.931435864163401</v>
      </c>
      <c r="T1337">
        <v>-0.78401551958611104</v>
      </c>
      <c r="U1337">
        <v>-6.5660955103305003</v>
      </c>
      <c r="V1337">
        <v>0.44388470033989003</v>
      </c>
      <c r="W1337">
        <v>0.92040391447423997</v>
      </c>
      <c r="X1337">
        <v>0</v>
      </c>
      <c r="Y1337">
        <v>0</v>
      </c>
    </row>
    <row r="1338" spans="1:25" x14ac:dyDescent="0.2">
      <c r="A1338" t="s">
        <v>4961</v>
      </c>
      <c r="B1338" t="s">
        <v>4962</v>
      </c>
      <c r="C1338" t="s">
        <v>4963</v>
      </c>
      <c r="D1338" t="s">
        <v>4964</v>
      </c>
      <c r="E1338" t="s">
        <v>4962</v>
      </c>
      <c r="F1338" t="s">
        <v>28</v>
      </c>
      <c r="G1338" t="s">
        <v>4962</v>
      </c>
      <c r="H1338" t="str">
        <f>"pac-1"</f>
        <v>pac-1</v>
      </c>
      <c r="I1338" t="s">
        <v>4964</v>
      </c>
      <c r="J1338" t="s">
        <v>29</v>
      </c>
      <c r="K1338" t="s">
        <v>29</v>
      </c>
      <c r="L1338" t="s">
        <v>29</v>
      </c>
      <c r="M1338" t="s">
        <v>29</v>
      </c>
      <c r="N1338" t="s">
        <v>29</v>
      </c>
      <c r="O1338" t="s">
        <v>29</v>
      </c>
      <c r="P1338" t="s">
        <v>29</v>
      </c>
      <c r="Q1338" t="s">
        <v>29</v>
      </c>
      <c r="R1338" t="s">
        <v>29</v>
      </c>
      <c r="S1338">
        <v>10.637096722640701</v>
      </c>
      <c r="T1338" t="s">
        <v>29</v>
      </c>
      <c r="U1338" t="s">
        <v>29</v>
      </c>
      <c r="V1338" t="s">
        <v>29</v>
      </c>
      <c r="W1338" t="s">
        <v>29</v>
      </c>
      <c r="X1338" t="s">
        <v>29</v>
      </c>
      <c r="Y1338" t="s">
        <v>29</v>
      </c>
    </row>
    <row r="1339" spans="1:25" x14ac:dyDescent="0.2">
      <c r="A1339" t="s">
        <v>4965</v>
      </c>
      <c r="B1339" t="s">
        <v>4966</v>
      </c>
      <c r="C1339" t="s">
        <v>4967</v>
      </c>
      <c r="D1339" t="s">
        <v>4968</v>
      </c>
      <c r="E1339" t="s">
        <v>4966</v>
      </c>
      <c r="F1339" t="s">
        <v>28</v>
      </c>
      <c r="G1339" t="s">
        <v>4966</v>
      </c>
      <c r="H1339" t="str">
        <f>"C06E1.9"</f>
        <v>C06E1.9</v>
      </c>
      <c r="I1339" t="s">
        <v>4968</v>
      </c>
      <c r="J1339">
        <v>11.7393527910255</v>
      </c>
      <c r="K1339">
        <v>11.075651578170399</v>
      </c>
      <c r="L1339" t="s">
        <v>29</v>
      </c>
      <c r="M1339">
        <v>13.015250129106301</v>
      </c>
      <c r="N1339">
        <v>12.796985076324001</v>
      </c>
      <c r="O1339">
        <v>12.6173619503748</v>
      </c>
      <c r="P1339">
        <v>1.4023635340037801</v>
      </c>
      <c r="Q1339">
        <v>0.54985406458089403</v>
      </c>
      <c r="R1339">
        <v>2.25487300342667</v>
      </c>
      <c r="S1339">
        <v>12.748117381183</v>
      </c>
      <c r="T1339">
        <v>3.4890800073414101</v>
      </c>
      <c r="U1339">
        <v>-2.0512826339174799</v>
      </c>
      <c r="V1339">
        <v>3.0582892844892898E-3</v>
      </c>
      <c r="W1339">
        <v>7.5477073230359806E-2</v>
      </c>
      <c r="X1339">
        <v>1</v>
      </c>
      <c r="Y1339">
        <v>0</v>
      </c>
    </row>
    <row r="1340" spans="1:25" x14ac:dyDescent="0.2">
      <c r="A1340" t="s">
        <v>4969</v>
      </c>
      <c r="B1340" t="s">
        <v>4970</v>
      </c>
      <c r="C1340" t="s">
        <v>4971</v>
      </c>
      <c r="D1340" t="s">
        <v>4972</v>
      </c>
      <c r="E1340" t="s">
        <v>4970</v>
      </c>
      <c r="F1340" t="s">
        <v>28</v>
      </c>
      <c r="G1340" t="s">
        <v>4970</v>
      </c>
      <c r="H1340" t="str">
        <f>"rha-2"</f>
        <v>rha-2</v>
      </c>
      <c r="I1340" t="s">
        <v>4972</v>
      </c>
      <c r="J1340">
        <v>13.595818458756201</v>
      </c>
      <c r="K1340">
        <v>13.3012200515556</v>
      </c>
      <c r="L1340">
        <v>13.305116711795501</v>
      </c>
      <c r="M1340">
        <v>13.7819760337033</v>
      </c>
      <c r="N1340">
        <v>13.479875591674199</v>
      </c>
      <c r="O1340">
        <v>13.748712368145</v>
      </c>
      <c r="P1340">
        <v>0.26946959047173602</v>
      </c>
      <c r="Q1340">
        <v>-0.1756650758867</v>
      </c>
      <c r="R1340">
        <v>0.71460425683017204</v>
      </c>
      <c r="S1340">
        <v>13.593659676244499</v>
      </c>
      <c r="T1340">
        <v>1.28400842811376</v>
      </c>
      <c r="U1340">
        <v>-6.0578418360231296</v>
      </c>
      <c r="V1340">
        <v>0.217540423384639</v>
      </c>
      <c r="W1340">
        <v>0.79508962856638699</v>
      </c>
      <c r="X1340">
        <v>0</v>
      </c>
      <c r="Y1340">
        <v>0</v>
      </c>
    </row>
    <row r="1341" spans="1:25" x14ac:dyDescent="0.2">
      <c r="A1341" t="s">
        <v>4973</v>
      </c>
      <c r="B1341" t="s">
        <v>4974</v>
      </c>
      <c r="C1341" t="s">
        <v>4975</v>
      </c>
      <c r="D1341" t="s">
        <v>4976</v>
      </c>
      <c r="E1341" t="s">
        <v>4974</v>
      </c>
      <c r="F1341" t="s">
        <v>28</v>
      </c>
      <c r="G1341" t="s">
        <v>4974</v>
      </c>
      <c r="H1341" t="str">
        <f>"C06G4.1"</f>
        <v>C06G4.1</v>
      </c>
      <c r="I1341" t="s">
        <v>4976</v>
      </c>
      <c r="J1341" t="s">
        <v>29</v>
      </c>
      <c r="K1341">
        <v>12.6837691751735</v>
      </c>
      <c r="L1341">
        <v>13.160704277056199</v>
      </c>
      <c r="M1341">
        <v>12.8896795868908</v>
      </c>
      <c r="N1341">
        <v>12.4545057575921</v>
      </c>
      <c r="O1341" t="s">
        <v>29</v>
      </c>
      <c r="P1341">
        <v>-0.25014405387342398</v>
      </c>
      <c r="Q1341">
        <v>-0.80171944568611497</v>
      </c>
      <c r="R1341">
        <v>0.30143133793926702</v>
      </c>
      <c r="S1341">
        <v>12.897137432930601</v>
      </c>
      <c r="T1341">
        <v>-0.98907748112874605</v>
      </c>
      <c r="U1341">
        <v>-6.1809003738737802</v>
      </c>
      <c r="V1341">
        <v>0.34231832886371699</v>
      </c>
      <c r="W1341">
        <v>0.876350511665964</v>
      </c>
      <c r="X1341">
        <v>0</v>
      </c>
      <c r="Y1341">
        <v>0</v>
      </c>
    </row>
    <row r="1342" spans="1:25" x14ac:dyDescent="0.2">
      <c r="A1342" t="s">
        <v>4977</v>
      </c>
      <c r="B1342" t="s">
        <v>4978</v>
      </c>
      <c r="C1342" t="s">
        <v>4979</v>
      </c>
      <c r="D1342" t="s">
        <v>4980</v>
      </c>
      <c r="E1342" t="s">
        <v>4978</v>
      </c>
      <c r="F1342" t="s">
        <v>28</v>
      </c>
      <c r="G1342" t="s">
        <v>4978</v>
      </c>
      <c r="H1342" t="str">
        <f>"clp-1"</f>
        <v>clp-1</v>
      </c>
      <c r="I1342" t="s">
        <v>4980</v>
      </c>
      <c r="J1342" t="s">
        <v>29</v>
      </c>
      <c r="K1342" t="s">
        <v>29</v>
      </c>
      <c r="L1342" t="s">
        <v>29</v>
      </c>
      <c r="M1342">
        <v>12.7268553071229</v>
      </c>
      <c r="N1342">
        <v>12.636221853783599</v>
      </c>
      <c r="O1342">
        <v>12.785596940354599</v>
      </c>
      <c r="P1342" t="s">
        <v>29</v>
      </c>
      <c r="Q1342" t="s">
        <v>29</v>
      </c>
      <c r="R1342" t="s">
        <v>29</v>
      </c>
      <c r="S1342">
        <v>13.1201342021554</v>
      </c>
      <c r="T1342" t="s">
        <v>29</v>
      </c>
      <c r="U1342" t="s">
        <v>29</v>
      </c>
      <c r="V1342" t="s">
        <v>29</v>
      </c>
      <c r="W1342" t="s">
        <v>29</v>
      </c>
      <c r="X1342" t="s">
        <v>29</v>
      </c>
      <c r="Y1342" t="s">
        <v>29</v>
      </c>
    </row>
    <row r="1343" spans="1:25" x14ac:dyDescent="0.2">
      <c r="A1343" t="s">
        <v>4981</v>
      </c>
      <c r="B1343" t="s">
        <v>4982</v>
      </c>
      <c r="C1343" t="s">
        <v>4983</v>
      </c>
      <c r="D1343" t="s">
        <v>4984</v>
      </c>
      <c r="E1343" t="s">
        <v>4982</v>
      </c>
      <c r="F1343" t="s">
        <v>28</v>
      </c>
      <c r="G1343" t="s">
        <v>4982</v>
      </c>
      <c r="H1343" t="str">
        <f>"bud-31"</f>
        <v>bud-31</v>
      </c>
      <c r="I1343" t="s">
        <v>4984</v>
      </c>
      <c r="J1343" t="s">
        <v>29</v>
      </c>
      <c r="K1343" t="s">
        <v>29</v>
      </c>
      <c r="L1343">
        <v>10.714662570039399</v>
      </c>
      <c r="M1343" t="s">
        <v>29</v>
      </c>
      <c r="N1343" t="s">
        <v>29</v>
      </c>
      <c r="O1343" t="s">
        <v>29</v>
      </c>
      <c r="P1343" t="s">
        <v>29</v>
      </c>
      <c r="Q1343" t="s">
        <v>29</v>
      </c>
      <c r="R1343" t="s">
        <v>29</v>
      </c>
      <c r="S1343">
        <v>9.9074364640023802</v>
      </c>
      <c r="T1343" t="s">
        <v>29</v>
      </c>
      <c r="U1343" t="s">
        <v>29</v>
      </c>
      <c r="V1343" t="s">
        <v>29</v>
      </c>
      <c r="W1343" t="s">
        <v>29</v>
      </c>
      <c r="X1343" t="s">
        <v>29</v>
      </c>
      <c r="Y1343" t="s">
        <v>29</v>
      </c>
    </row>
    <row r="1344" spans="1:25" x14ac:dyDescent="0.2">
      <c r="A1344" t="s">
        <v>4985</v>
      </c>
      <c r="B1344" t="s">
        <v>4986</v>
      </c>
      <c r="C1344" t="s">
        <v>4987</v>
      </c>
      <c r="D1344" t="s">
        <v>4988</v>
      </c>
      <c r="E1344" t="s">
        <v>4986</v>
      </c>
      <c r="F1344" t="s">
        <v>28</v>
      </c>
      <c r="G1344" t="s">
        <v>4986</v>
      </c>
      <c r="H1344" t="str">
        <f>"tlk-1"</f>
        <v>tlk-1</v>
      </c>
      <c r="I1344" t="s">
        <v>4988</v>
      </c>
      <c r="J1344">
        <v>12.3296840428913</v>
      </c>
      <c r="K1344">
        <v>12.6185623758118</v>
      </c>
      <c r="L1344">
        <v>12.8711640806826</v>
      </c>
      <c r="M1344">
        <v>12.7348492910477</v>
      </c>
      <c r="N1344">
        <v>12.746039585934399</v>
      </c>
      <c r="O1344">
        <v>13.120521252546901</v>
      </c>
      <c r="P1344">
        <v>0.26066654338113998</v>
      </c>
      <c r="Q1344">
        <v>-0.41397371584571202</v>
      </c>
      <c r="R1344">
        <v>0.93530680260799104</v>
      </c>
      <c r="S1344">
        <v>12.892844135594499</v>
      </c>
      <c r="T1344">
        <v>0.81557339832483999</v>
      </c>
      <c r="U1344">
        <v>-6.54061286799692</v>
      </c>
      <c r="V1344">
        <v>0.426093195710674</v>
      </c>
      <c r="W1344">
        <v>0.91512503332874395</v>
      </c>
      <c r="X1344">
        <v>0</v>
      </c>
      <c r="Y1344">
        <v>0</v>
      </c>
    </row>
    <row r="1345" spans="1:25" x14ac:dyDescent="0.2">
      <c r="A1345" t="s">
        <v>4989</v>
      </c>
      <c r="B1345" t="s">
        <v>4990</v>
      </c>
      <c r="C1345" t="s">
        <v>4991</v>
      </c>
      <c r="D1345" t="s">
        <v>4992</v>
      </c>
      <c r="E1345" t="s">
        <v>4990</v>
      </c>
      <c r="F1345" t="s">
        <v>28</v>
      </c>
      <c r="G1345" t="s">
        <v>4990</v>
      </c>
      <c r="H1345" t="str">
        <f>"ugt-60"</f>
        <v>ugt-60</v>
      </c>
      <c r="I1345" t="s">
        <v>4992</v>
      </c>
      <c r="J1345">
        <v>13.898040174147001</v>
      </c>
      <c r="K1345">
        <v>13.671679343273899</v>
      </c>
      <c r="L1345">
        <v>13.4705564277613</v>
      </c>
      <c r="M1345">
        <v>13.7282711086217</v>
      </c>
      <c r="N1345">
        <v>13.973994896286399</v>
      </c>
      <c r="O1345">
        <v>14.0763804858369</v>
      </c>
      <c r="P1345">
        <v>0.24612351518755601</v>
      </c>
      <c r="Q1345">
        <v>-0.26569278233941201</v>
      </c>
      <c r="R1345">
        <v>0.75793981271452404</v>
      </c>
      <c r="S1345">
        <v>13.3182018892839</v>
      </c>
      <c r="T1345">
        <v>1.0150536833760799</v>
      </c>
      <c r="U1345">
        <v>-6.3584452281228199</v>
      </c>
      <c r="V1345">
        <v>0.324397010492044</v>
      </c>
      <c r="W1345">
        <v>0.86923772215581496</v>
      </c>
      <c r="X1345">
        <v>0</v>
      </c>
      <c r="Y1345">
        <v>0</v>
      </c>
    </row>
    <row r="1346" spans="1:25" x14ac:dyDescent="0.2">
      <c r="A1346" t="s">
        <v>4993</v>
      </c>
      <c r="B1346" t="s">
        <v>4994</v>
      </c>
      <c r="C1346" t="s">
        <v>4995</v>
      </c>
      <c r="D1346" t="s">
        <v>4996</v>
      </c>
      <c r="E1346" t="s">
        <v>4994</v>
      </c>
      <c r="F1346" t="s">
        <v>28</v>
      </c>
      <c r="G1346" t="s">
        <v>4994</v>
      </c>
      <c r="H1346" t="str">
        <f>"set-3"</f>
        <v>set-3</v>
      </c>
      <c r="I1346" t="s">
        <v>4996</v>
      </c>
      <c r="J1346">
        <v>11.104242458250001</v>
      </c>
      <c r="K1346" t="s">
        <v>29</v>
      </c>
      <c r="L1346">
        <v>10.6481669785677</v>
      </c>
      <c r="M1346">
        <v>11.108309916304099</v>
      </c>
      <c r="N1346">
        <v>11.481807915716301</v>
      </c>
      <c r="O1346" t="s">
        <v>29</v>
      </c>
      <c r="P1346">
        <v>0.41885419760135201</v>
      </c>
      <c r="Q1346">
        <v>-0.32997443357933098</v>
      </c>
      <c r="R1346">
        <v>1.16768282878203</v>
      </c>
      <c r="S1346">
        <v>11.369255974179801</v>
      </c>
      <c r="T1346">
        <v>1.20052808351447</v>
      </c>
      <c r="U1346">
        <v>-5.9591982890450197</v>
      </c>
      <c r="V1346">
        <v>0.25000163708945</v>
      </c>
      <c r="W1346">
        <v>0.83442661774174398</v>
      </c>
      <c r="X1346">
        <v>0</v>
      </c>
      <c r="Y1346">
        <v>0</v>
      </c>
    </row>
    <row r="1347" spans="1:25" x14ac:dyDescent="0.2">
      <c r="A1347" t="s">
        <v>4997</v>
      </c>
      <c r="B1347" t="s">
        <v>4998</v>
      </c>
      <c r="C1347" t="s">
        <v>4999</v>
      </c>
      <c r="D1347" t="s">
        <v>5000</v>
      </c>
      <c r="E1347" t="s">
        <v>4998</v>
      </c>
      <c r="F1347" t="s">
        <v>28</v>
      </c>
      <c r="G1347" t="s">
        <v>4998</v>
      </c>
      <c r="H1347" t="str">
        <f>"cyk-7"</f>
        <v>cyk-7</v>
      </c>
      <c r="I1347" t="s">
        <v>5000</v>
      </c>
      <c r="J1347">
        <v>11.831994169891001</v>
      </c>
      <c r="K1347">
        <v>11.545354435595801</v>
      </c>
      <c r="L1347">
        <v>12.500429946750801</v>
      </c>
      <c r="M1347">
        <v>11.8825444851977</v>
      </c>
      <c r="N1347">
        <v>12.7817743632841</v>
      </c>
      <c r="O1347">
        <v>11.8913378216929</v>
      </c>
      <c r="P1347">
        <v>0.22595937264572899</v>
      </c>
      <c r="Q1347">
        <v>-0.49659430208765498</v>
      </c>
      <c r="R1347">
        <v>0.94851304737911302</v>
      </c>
      <c r="S1347">
        <v>12.1411547851481</v>
      </c>
      <c r="T1347">
        <v>0.66329966202466395</v>
      </c>
      <c r="U1347">
        <v>-6.6542543108987697</v>
      </c>
      <c r="V1347">
        <v>0.51664377243832504</v>
      </c>
      <c r="W1347">
        <v>0.94227592550871997</v>
      </c>
      <c r="X1347">
        <v>0</v>
      </c>
      <c r="Y1347">
        <v>0</v>
      </c>
    </row>
    <row r="1348" spans="1:25" x14ac:dyDescent="0.2">
      <c r="A1348" t="s">
        <v>5001</v>
      </c>
      <c r="B1348" t="s">
        <v>5002</v>
      </c>
      <c r="C1348" t="s">
        <v>5003</v>
      </c>
      <c r="D1348" t="s">
        <v>5004</v>
      </c>
      <c r="E1348" t="s">
        <v>5002</v>
      </c>
      <c r="F1348" t="s">
        <v>28</v>
      </c>
      <c r="G1348" t="s">
        <v>5002</v>
      </c>
      <c r="H1348" t="str">
        <f>"hsp-12.2"</f>
        <v>hsp-12.2</v>
      </c>
      <c r="I1348" t="s">
        <v>5004</v>
      </c>
      <c r="J1348">
        <v>15.0356255675289</v>
      </c>
      <c r="K1348">
        <v>14.989109512332201</v>
      </c>
      <c r="L1348">
        <v>14.4266809363923</v>
      </c>
      <c r="M1348">
        <v>14.1499078353801</v>
      </c>
      <c r="N1348">
        <v>13.3857819937147</v>
      </c>
      <c r="O1348">
        <v>14.1992056499315</v>
      </c>
      <c r="P1348">
        <v>-0.90550684574235896</v>
      </c>
      <c r="Q1348">
        <v>-1.6289848911539</v>
      </c>
      <c r="R1348">
        <v>-0.182028800330816</v>
      </c>
      <c r="S1348">
        <v>13.7842103690211</v>
      </c>
      <c r="T1348">
        <v>-2.6306247058590899</v>
      </c>
      <c r="U1348">
        <v>-3.83136352749526</v>
      </c>
      <c r="V1348">
        <v>1.7024830800978101E-2</v>
      </c>
      <c r="W1348">
        <v>0.26109970924265002</v>
      </c>
      <c r="X1348">
        <v>0</v>
      </c>
      <c r="Y1348">
        <v>0</v>
      </c>
    </row>
    <row r="1349" spans="1:25" x14ac:dyDescent="0.2">
      <c r="A1349" t="s">
        <v>5005</v>
      </c>
      <c r="B1349" t="s">
        <v>5006</v>
      </c>
      <c r="C1349" t="s">
        <v>5007</v>
      </c>
      <c r="D1349" t="s">
        <v>5008</v>
      </c>
      <c r="E1349" t="s">
        <v>5006</v>
      </c>
      <c r="F1349" t="s">
        <v>28</v>
      </c>
      <c r="G1349" t="s">
        <v>5006</v>
      </c>
      <c r="H1349" t="str">
        <f>"plk-1"</f>
        <v>plk-1</v>
      </c>
      <c r="I1349" t="s">
        <v>5008</v>
      </c>
      <c r="J1349">
        <v>14.567659026944501</v>
      </c>
      <c r="K1349">
        <v>14.3572396345697</v>
      </c>
      <c r="L1349">
        <v>14.745086721723</v>
      </c>
      <c r="M1349">
        <v>14.4901329424326</v>
      </c>
      <c r="N1349">
        <v>14.713321387744299</v>
      </c>
      <c r="O1349">
        <v>14.503924014445801</v>
      </c>
      <c r="P1349">
        <v>1.2464320461830901E-2</v>
      </c>
      <c r="Q1349">
        <v>-0.43802495044190898</v>
      </c>
      <c r="R1349">
        <v>0.46295359136557002</v>
      </c>
      <c r="S1349">
        <v>14.6517339673069</v>
      </c>
      <c r="T1349">
        <v>5.8153608372394902E-2</v>
      </c>
      <c r="U1349">
        <v>-6.8807227368757804</v>
      </c>
      <c r="V1349">
        <v>0.95427073213327795</v>
      </c>
      <c r="W1349">
        <v>0.99968702248720698</v>
      </c>
      <c r="X1349">
        <v>0</v>
      </c>
      <c r="Y1349">
        <v>0</v>
      </c>
    </row>
    <row r="1350" spans="1:25" x14ac:dyDescent="0.2">
      <c r="A1350" t="s">
        <v>5009</v>
      </c>
      <c r="B1350" t="s">
        <v>5010</v>
      </c>
      <c r="C1350" t="s">
        <v>5011</v>
      </c>
      <c r="D1350" t="s">
        <v>5012</v>
      </c>
      <c r="E1350" t="s">
        <v>5010</v>
      </c>
      <c r="F1350" t="s">
        <v>28</v>
      </c>
      <c r="G1350" t="s">
        <v>5010</v>
      </c>
      <c r="H1350" t="str">
        <f>"rpl-21"</f>
        <v>rpl-21</v>
      </c>
      <c r="I1350" t="s">
        <v>5012</v>
      </c>
      <c r="J1350">
        <v>18.392453640427899</v>
      </c>
      <c r="K1350">
        <v>18.347064502904701</v>
      </c>
      <c r="L1350">
        <v>18.558594843480801</v>
      </c>
      <c r="M1350">
        <v>18.466286056919401</v>
      </c>
      <c r="N1350">
        <v>18.1082508052659</v>
      </c>
      <c r="O1350">
        <v>18.230081802678502</v>
      </c>
      <c r="P1350">
        <v>-0.164498107316536</v>
      </c>
      <c r="Q1350">
        <v>-0.64741205175486305</v>
      </c>
      <c r="R1350">
        <v>0.318415837121791</v>
      </c>
      <c r="S1350">
        <v>18.366181913288699</v>
      </c>
      <c r="T1350">
        <v>-0.71595161397134099</v>
      </c>
      <c r="U1350">
        <v>-6.6184668625313696</v>
      </c>
      <c r="V1350">
        <v>0.48325997175130497</v>
      </c>
      <c r="W1350">
        <v>0.93841840568117696</v>
      </c>
      <c r="X1350">
        <v>0</v>
      </c>
      <c r="Y1350">
        <v>0</v>
      </c>
    </row>
    <row r="1351" spans="1:25" x14ac:dyDescent="0.2">
      <c r="A1351" t="s">
        <v>5013</v>
      </c>
      <c r="B1351" t="s">
        <v>5014</v>
      </c>
      <c r="C1351" t="s">
        <v>5015</v>
      </c>
      <c r="D1351" t="s">
        <v>5016</v>
      </c>
      <c r="E1351" t="s">
        <v>5014</v>
      </c>
      <c r="F1351" t="s">
        <v>28</v>
      </c>
      <c r="G1351" t="s">
        <v>5014</v>
      </c>
      <c r="H1351" t="str">
        <f>"C14B9.8"</f>
        <v>C14B9.8</v>
      </c>
      <c r="I1351" t="s">
        <v>5016</v>
      </c>
      <c r="J1351">
        <v>12.692733218603699</v>
      </c>
      <c r="K1351">
        <v>12.684492969251499</v>
      </c>
      <c r="L1351">
        <v>12.6575623782498</v>
      </c>
      <c r="M1351">
        <v>12.720928610021099</v>
      </c>
      <c r="N1351">
        <v>12.897806689043399</v>
      </c>
      <c r="O1351">
        <v>12.924086195746</v>
      </c>
      <c r="P1351">
        <v>0.16934430956848701</v>
      </c>
      <c r="Q1351">
        <v>-0.27363908224308597</v>
      </c>
      <c r="R1351">
        <v>0.61232770138005999</v>
      </c>
      <c r="S1351">
        <v>12.7238814567876</v>
      </c>
      <c r="T1351">
        <v>0.810835385621403</v>
      </c>
      <c r="U1351">
        <v>-6.5437156238414103</v>
      </c>
      <c r="V1351">
        <v>0.42943439938230399</v>
      </c>
      <c r="W1351">
        <v>0.91512503332874395</v>
      </c>
      <c r="X1351">
        <v>0</v>
      </c>
      <c r="Y1351">
        <v>0</v>
      </c>
    </row>
    <row r="1352" spans="1:25" x14ac:dyDescent="0.2">
      <c r="A1352" t="s">
        <v>5017</v>
      </c>
      <c r="B1352" t="s">
        <v>5018</v>
      </c>
      <c r="C1352" t="s">
        <v>5019</v>
      </c>
      <c r="D1352" t="s">
        <v>5020</v>
      </c>
      <c r="E1352" t="s">
        <v>5018</v>
      </c>
      <c r="F1352" t="s">
        <v>28</v>
      </c>
      <c r="G1352" t="s">
        <v>5018</v>
      </c>
      <c r="H1352" t="str">
        <f>"egl-45"</f>
        <v>egl-45</v>
      </c>
      <c r="I1352" t="s">
        <v>5020</v>
      </c>
      <c r="J1352">
        <v>16.502946342107101</v>
      </c>
      <c r="K1352">
        <v>17.0789162379494</v>
      </c>
      <c r="L1352">
        <v>17.241133567479601</v>
      </c>
      <c r="M1352">
        <v>16.510348500896502</v>
      </c>
      <c r="N1352">
        <v>16.740765453604201</v>
      </c>
      <c r="O1352">
        <v>16.4595345539771</v>
      </c>
      <c r="P1352">
        <v>-0.37078254635275698</v>
      </c>
      <c r="Q1352">
        <v>-0.82763144360907903</v>
      </c>
      <c r="R1352">
        <v>8.6066350903564598E-2</v>
      </c>
      <c r="S1352">
        <v>17.266464615216002</v>
      </c>
      <c r="T1352">
        <v>-1.7058436173232401</v>
      </c>
      <c r="U1352">
        <v>-5.4748840507192398</v>
      </c>
      <c r="V1352">
        <v>0.105332884168958</v>
      </c>
      <c r="W1352">
        <v>0.66517616416374103</v>
      </c>
      <c r="X1352">
        <v>0</v>
      </c>
      <c r="Y1352">
        <v>0</v>
      </c>
    </row>
    <row r="1353" spans="1:25" x14ac:dyDescent="0.2">
      <c r="A1353" t="s">
        <v>5021</v>
      </c>
      <c r="B1353" t="s">
        <v>5022</v>
      </c>
      <c r="C1353" t="s">
        <v>5023</v>
      </c>
      <c r="D1353" t="s">
        <v>5024</v>
      </c>
      <c r="E1353" t="s">
        <v>5022</v>
      </c>
      <c r="F1353" t="s">
        <v>28</v>
      </c>
      <c r="G1353" t="s">
        <v>5022</v>
      </c>
      <c r="H1353" t="str">
        <f>"col-90"</f>
        <v>col-90</v>
      </c>
      <c r="I1353" t="s">
        <v>5024</v>
      </c>
      <c r="J1353">
        <v>12.2986010370435</v>
      </c>
      <c r="K1353">
        <v>13.17818685758</v>
      </c>
      <c r="L1353">
        <v>13.969140845379901</v>
      </c>
      <c r="M1353">
        <v>12.267805379428699</v>
      </c>
      <c r="N1353">
        <v>14.060669799392</v>
      </c>
      <c r="O1353">
        <v>14.4578565162019</v>
      </c>
      <c r="P1353">
        <v>0.44680098500635002</v>
      </c>
      <c r="Q1353">
        <v>-0.763507926370385</v>
      </c>
      <c r="R1353">
        <v>1.6571098963830899</v>
      </c>
      <c r="S1353">
        <v>12.977586089794499</v>
      </c>
      <c r="T1353">
        <v>0.77590831154788198</v>
      </c>
      <c r="U1353">
        <v>-6.5731569789634703</v>
      </c>
      <c r="V1353">
        <v>0.44793700174032802</v>
      </c>
      <c r="W1353">
        <v>0.92249172671965796</v>
      </c>
      <c r="X1353">
        <v>0</v>
      </c>
      <c r="Y1353">
        <v>0</v>
      </c>
    </row>
    <row r="1354" spans="1:25" x14ac:dyDescent="0.2">
      <c r="A1354" t="s">
        <v>5025</v>
      </c>
      <c r="B1354" t="s">
        <v>5026</v>
      </c>
      <c r="C1354" t="s">
        <v>5027</v>
      </c>
      <c r="D1354" t="s">
        <v>5028</v>
      </c>
      <c r="E1354" t="s">
        <v>5026</v>
      </c>
      <c r="F1354" t="s">
        <v>28</v>
      </c>
      <c r="G1354" t="s">
        <v>5026</v>
      </c>
      <c r="H1354" t="str">
        <f>"kle-2"</f>
        <v>kle-2</v>
      </c>
      <c r="I1354" t="s">
        <v>5028</v>
      </c>
      <c r="J1354">
        <v>12.361450026740799</v>
      </c>
      <c r="K1354">
        <v>11.595607125856001</v>
      </c>
      <c r="L1354">
        <v>12.1473281534638</v>
      </c>
      <c r="M1354">
        <v>11.4842539002368</v>
      </c>
      <c r="N1354">
        <v>11.7911248377865</v>
      </c>
      <c r="O1354">
        <v>11.8329383556762</v>
      </c>
      <c r="P1354">
        <v>-0.33202273745368599</v>
      </c>
      <c r="Q1354">
        <v>-0.86513355326239505</v>
      </c>
      <c r="R1354">
        <v>0.20108807835502299</v>
      </c>
      <c r="S1354">
        <v>12.154954053490499</v>
      </c>
      <c r="T1354">
        <v>-1.3282870486801801</v>
      </c>
      <c r="U1354">
        <v>-6.0024991288418104</v>
      </c>
      <c r="V1354">
        <v>0.20407747785879399</v>
      </c>
      <c r="W1354">
        <v>0.79075284576134597</v>
      </c>
      <c r="X1354">
        <v>0</v>
      </c>
      <c r="Y1354">
        <v>0</v>
      </c>
    </row>
    <row r="1355" spans="1:25" x14ac:dyDescent="0.2">
      <c r="A1355" t="s">
        <v>5029</v>
      </c>
      <c r="B1355" t="s">
        <v>5030</v>
      </c>
      <c r="C1355" t="s">
        <v>5031</v>
      </c>
      <c r="D1355" t="s">
        <v>5032</v>
      </c>
      <c r="E1355" t="s">
        <v>5030</v>
      </c>
      <c r="F1355" t="s">
        <v>28</v>
      </c>
      <c r="G1355" t="s">
        <v>5030</v>
      </c>
      <c r="H1355" t="str">
        <f>"ran-2"</f>
        <v>ran-2</v>
      </c>
      <c r="I1355" t="s">
        <v>5032</v>
      </c>
      <c r="J1355">
        <v>13.4672196569964</v>
      </c>
      <c r="K1355">
        <v>13.790968818373001</v>
      </c>
      <c r="L1355">
        <v>13.7460772328115</v>
      </c>
      <c r="M1355">
        <v>14.1506179768283</v>
      </c>
      <c r="N1355">
        <v>14.3831407795901</v>
      </c>
      <c r="O1355">
        <v>14.0124220100973</v>
      </c>
      <c r="P1355">
        <v>0.51397168611160604</v>
      </c>
      <c r="Q1355">
        <v>7.1243362559082701E-2</v>
      </c>
      <c r="R1355">
        <v>0.95670000966413005</v>
      </c>
      <c r="S1355">
        <v>13.962735930157701</v>
      </c>
      <c r="T1355">
        <v>2.4400257039151598</v>
      </c>
      <c r="U1355">
        <v>-4.2014256027242203</v>
      </c>
      <c r="V1355">
        <v>2.5325397492411101E-2</v>
      </c>
      <c r="W1355">
        <v>0.34261350753961001</v>
      </c>
      <c r="X1355">
        <v>0</v>
      </c>
      <c r="Y1355">
        <v>0</v>
      </c>
    </row>
    <row r="1356" spans="1:25" x14ac:dyDescent="0.2">
      <c r="A1356" t="s">
        <v>5033</v>
      </c>
      <c r="B1356" t="s">
        <v>5034</v>
      </c>
      <c r="C1356" t="s">
        <v>5035</v>
      </c>
      <c r="D1356" t="s">
        <v>5036</v>
      </c>
      <c r="E1356" t="s">
        <v>5034</v>
      </c>
      <c r="F1356" t="s">
        <v>28</v>
      </c>
      <c r="G1356" t="s">
        <v>5034</v>
      </c>
      <c r="H1356" t="str">
        <f>"npp-15"</f>
        <v>npp-15</v>
      </c>
      <c r="I1356" t="s">
        <v>5036</v>
      </c>
      <c r="J1356">
        <v>14.2785805749437</v>
      </c>
      <c r="K1356">
        <v>14.136442078177399</v>
      </c>
      <c r="L1356">
        <v>14.0192920361361</v>
      </c>
      <c r="M1356">
        <v>14.2312756836665</v>
      </c>
      <c r="N1356">
        <v>14.2109775922059</v>
      </c>
      <c r="O1356">
        <v>14.089878552005199</v>
      </c>
      <c r="P1356">
        <v>3.2605712873474198E-2</v>
      </c>
      <c r="Q1356">
        <v>-0.28812771531961001</v>
      </c>
      <c r="R1356">
        <v>0.353339141066559</v>
      </c>
      <c r="S1356">
        <v>14.025399346188101</v>
      </c>
      <c r="T1356">
        <v>0.21366923085353601</v>
      </c>
      <c r="U1356">
        <v>-6.8586658531151103</v>
      </c>
      <c r="V1356">
        <v>0.83322054704142701</v>
      </c>
      <c r="W1356">
        <v>0.99370240586176295</v>
      </c>
      <c r="X1356">
        <v>0</v>
      </c>
      <c r="Y1356">
        <v>0</v>
      </c>
    </row>
    <row r="1357" spans="1:25" x14ac:dyDescent="0.2">
      <c r="A1357" t="s">
        <v>5037</v>
      </c>
      <c r="B1357" t="s">
        <v>5038</v>
      </c>
      <c r="C1357" t="s">
        <v>5039</v>
      </c>
      <c r="D1357" t="s">
        <v>5040</v>
      </c>
      <c r="E1357" t="s">
        <v>5038</v>
      </c>
      <c r="F1357" t="s">
        <v>28</v>
      </c>
      <c r="G1357" t="s">
        <v>5038</v>
      </c>
      <c r="H1357" t="str">
        <f>"tag-250"</f>
        <v>tag-250</v>
      </c>
      <c r="I1357" t="s">
        <v>5040</v>
      </c>
      <c r="J1357">
        <v>11.9593463090628</v>
      </c>
      <c r="K1357" t="s">
        <v>29</v>
      </c>
      <c r="L1357">
        <v>12.540926970584501</v>
      </c>
      <c r="M1357">
        <v>10.3030556587424</v>
      </c>
      <c r="N1357" t="s">
        <v>29</v>
      </c>
      <c r="O1357">
        <v>13.4162349162668</v>
      </c>
      <c r="P1357">
        <v>-0.39049135231908499</v>
      </c>
      <c r="Q1357">
        <v>-2.1580327309543801</v>
      </c>
      <c r="R1357">
        <v>1.37705002631621</v>
      </c>
      <c r="S1357">
        <v>12.352320052925</v>
      </c>
      <c r="T1357">
        <v>-0.47416961838121302</v>
      </c>
      <c r="U1357">
        <v>-6.5646369958454001</v>
      </c>
      <c r="V1357">
        <v>0.64274393452018797</v>
      </c>
      <c r="W1357">
        <v>0.97768135215283802</v>
      </c>
      <c r="X1357">
        <v>0</v>
      </c>
      <c r="Y1357">
        <v>0</v>
      </c>
    </row>
    <row r="1358" spans="1:25" x14ac:dyDescent="0.2">
      <c r="A1358" t="s">
        <v>5041</v>
      </c>
      <c r="B1358" t="s">
        <v>5042</v>
      </c>
      <c r="C1358" t="s">
        <v>5043</v>
      </c>
      <c r="D1358" t="s">
        <v>5044</v>
      </c>
      <c r="E1358" t="s">
        <v>5042</v>
      </c>
      <c r="F1358" t="s">
        <v>28</v>
      </c>
      <c r="G1358" t="s">
        <v>5042</v>
      </c>
      <c r="H1358" t="str">
        <f>"gsto-1"</f>
        <v>gsto-1</v>
      </c>
      <c r="I1358" t="s">
        <v>5044</v>
      </c>
      <c r="J1358" t="s">
        <v>29</v>
      </c>
      <c r="K1358">
        <v>16.864990649291101</v>
      </c>
      <c r="L1358" t="s">
        <v>29</v>
      </c>
      <c r="M1358" t="s">
        <v>29</v>
      </c>
      <c r="N1358" t="s">
        <v>29</v>
      </c>
      <c r="O1358" t="s">
        <v>29</v>
      </c>
      <c r="P1358" t="s">
        <v>29</v>
      </c>
      <c r="Q1358" t="s">
        <v>29</v>
      </c>
      <c r="R1358" t="s">
        <v>29</v>
      </c>
      <c r="S1358">
        <v>14.509000058698</v>
      </c>
      <c r="T1358" t="s">
        <v>29</v>
      </c>
      <c r="U1358" t="s">
        <v>29</v>
      </c>
      <c r="V1358" t="s">
        <v>29</v>
      </c>
      <c r="W1358" t="s">
        <v>29</v>
      </c>
      <c r="X1358" t="s">
        <v>29</v>
      </c>
      <c r="Y1358" t="s">
        <v>29</v>
      </c>
    </row>
    <row r="1359" spans="1:25" x14ac:dyDescent="0.2">
      <c r="A1359" t="s">
        <v>5045</v>
      </c>
      <c r="B1359" t="s">
        <v>5046</v>
      </c>
      <c r="C1359" t="s">
        <v>5047</v>
      </c>
      <c r="D1359" t="s">
        <v>5048</v>
      </c>
      <c r="E1359" t="s">
        <v>5046</v>
      </c>
      <c r="F1359" t="s">
        <v>28</v>
      </c>
      <c r="G1359" t="s">
        <v>5046</v>
      </c>
      <c r="H1359" t="str">
        <f>"let-754"</f>
        <v>let-754</v>
      </c>
      <c r="I1359" t="s">
        <v>5048</v>
      </c>
      <c r="J1359">
        <v>14.515599606111101</v>
      </c>
      <c r="K1359">
        <v>14.0511598494449</v>
      </c>
      <c r="L1359">
        <v>13.9578405239186</v>
      </c>
      <c r="M1359">
        <v>13.3298124295794</v>
      </c>
      <c r="N1359">
        <v>13.6786531590863</v>
      </c>
      <c r="O1359">
        <v>13.0677839350422</v>
      </c>
      <c r="P1359">
        <v>-0.81611681858890095</v>
      </c>
      <c r="Q1359">
        <v>-1.4141639515433999</v>
      </c>
      <c r="R1359">
        <v>-0.21806968563440099</v>
      </c>
      <c r="S1359">
        <v>13.152735977140001</v>
      </c>
      <c r="T1359">
        <v>-2.8804936910512202</v>
      </c>
      <c r="U1359">
        <v>-3.35298181227567</v>
      </c>
      <c r="V1359">
        <v>1.0430975186679599E-2</v>
      </c>
      <c r="W1359">
        <v>0.183096112520096</v>
      </c>
      <c r="X1359">
        <v>0</v>
      </c>
      <c r="Y1359">
        <v>0</v>
      </c>
    </row>
    <row r="1360" spans="1:25" x14ac:dyDescent="0.2">
      <c r="A1360" t="s">
        <v>5049</v>
      </c>
      <c r="B1360" t="s">
        <v>5050</v>
      </c>
      <c r="C1360" t="s">
        <v>5051</v>
      </c>
      <c r="D1360" t="s">
        <v>5052</v>
      </c>
      <c r="E1360" t="s">
        <v>5050</v>
      </c>
      <c r="F1360" t="s">
        <v>28</v>
      </c>
      <c r="G1360" t="s">
        <v>5050</v>
      </c>
      <c r="H1360" t="str">
        <f>"acox-1.5"</f>
        <v>acox-1.5</v>
      </c>
      <c r="I1360" t="s">
        <v>5052</v>
      </c>
      <c r="J1360">
        <v>15.841209185052699</v>
      </c>
      <c r="K1360">
        <v>15.8398358532218</v>
      </c>
      <c r="L1360">
        <v>15.408189926701001</v>
      </c>
      <c r="M1360">
        <v>15.372008397247701</v>
      </c>
      <c r="N1360">
        <v>15.559013993768399</v>
      </c>
      <c r="O1360">
        <v>15.5611806895346</v>
      </c>
      <c r="P1360">
        <v>-0.199010628141608</v>
      </c>
      <c r="Q1360">
        <v>-0.62324854434517696</v>
      </c>
      <c r="R1360">
        <v>0.22522728806196199</v>
      </c>
      <c r="S1360">
        <v>15.1423893072431</v>
      </c>
      <c r="T1360">
        <v>-0.98596001489571905</v>
      </c>
      <c r="U1360">
        <v>-6.3880134530663302</v>
      </c>
      <c r="V1360">
        <v>0.33729698519342199</v>
      </c>
      <c r="W1360">
        <v>0.87368774661315896</v>
      </c>
      <c r="X1360">
        <v>0</v>
      </c>
      <c r="Y1360">
        <v>0</v>
      </c>
    </row>
    <row r="1361" spans="1:25" x14ac:dyDescent="0.2">
      <c r="A1361" t="s">
        <v>5053</v>
      </c>
      <c r="B1361" t="s">
        <v>5054</v>
      </c>
      <c r="C1361" t="s">
        <v>5055</v>
      </c>
      <c r="D1361" t="s">
        <v>5056</v>
      </c>
      <c r="E1361" t="s">
        <v>5054</v>
      </c>
      <c r="F1361" t="s">
        <v>28</v>
      </c>
      <c r="G1361" t="s">
        <v>5054</v>
      </c>
      <c r="H1361" t="str">
        <f>"ced-7"</f>
        <v>ced-7</v>
      </c>
      <c r="I1361" t="s">
        <v>5056</v>
      </c>
      <c r="J1361" t="s">
        <v>29</v>
      </c>
      <c r="K1361" t="s">
        <v>29</v>
      </c>
      <c r="L1361" t="s">
        <v>29</v>
      </c>
      <c r="M1361" t="s">
        <v>29</v>
      </c>
      <c r="N1361" t="s">
        <v>29</v>
      </c>
      <c r="O1361" t="s">
        <v>29</v>
      </c>
      <c r="P1361" t="s">
        <v>29</v>
      </c>
      <c r="Q1361" t="s">
        <v>29</v>
      </c>
      <c r="R1361" t="s">
        <v>29</v>
      </c>
      <c r="S1361">
        <v>9.9996583660510794</v>
      </c>
      <c r="T1361" t="s">
        <v>29</v>
      </c>
      <c r="U1361" t="s">
        <v>29</v>
      </c>
      <c r="V1361" t="s">
        <v>29</v>
      </c>
      <c r="W1361" t="s">
        <v>29</v>
      </c>
      <c r="X1361" t="s">
        <v>29</v>
      </c>
      <c r="Y1361" t="s">
        <v>29</v>
      </c>
    </row>
    <row r="1362" spans="1:25" x14ac:dyDescent="0.2">
      <c r="A1362" t="s">
        <v>5057</v>
      </c>
      <c r="B1362" t="s">
        <v>5058</v>
      </c>
      <c r="C1362" t="s">
        <v>5059</v>
      </c>
      <c r="D1362" t="s">
        <v>5060</v>
      </c>
      <c r="E1362" t="s">
        <v>5058</v>
      </c>
      <c r="F1362" t="s">
        <v>28</v>
      </c>
      <c r="G1362" t="s">
        <v>5058</v>
      </c>
      <c r="H1362" t="str">
        <f>"C48B4.6"</f>
        <v>C48B4.6</v>
      </c>
      <c r="I1362" t="s">
        <v>5060</v>
      </c>
      <c r="J1362">
        <v>12.9026711544085</v>
      </c>
      <c r="K1362">
        <v>12.7631310843172</v>
      </c>
      <c r="L1362">
        <v>13.0951278725439</v>
      </c>
      <c r="M1362">
        <v>13.2771785230122</v>
      </c>
      <c r="N1362">
        <v>13.5485024186935</v>
      </c>
      <c r="O1362">
        <v>13.2257966019432</v>
      </c>
      <c r="P1362">
        <v>0.43018247745976401</v>
      </c>
      <c r="Q1362">
        <v>-7.7829536421813103E-2</v>
      </c>
      <c r="R1362">
        <v>0.93819449134134203</v>
      </c>
      <c r="S1362">
        <v>13.078369281983299</v>
      </c>
      <c r="T1362">
        <v>1.78742878080395</v>
      </c>
      <c r="U1362">
        <v>-5.3502121729661498</v>
      </c>
      <c r="V1362">
        <v>9.1819983730058993E-2</v>
      </c>
      <c r="W1362">
        <v>0.63266440135328395</v>
      </c>
      <c r="X1362">
        <v>0</v>
      </c>
      <c r="Y1362">
        <v>0</v>
      </c>
    </row>
    <row r="1363" spans="1:25" x14ac:dyDescent="0.2">
      <c r="A1363" t="s">
        <v>5061</v>
      </c>
      <c r="B1363" t="s">
        <v>5062</v>
      </c>
      <c r="C1363" t="s">
        <v>5063</v>
      </c>
      <c r="D1363" t="s">
        <v>5064</v>
      </c>
      <c r="E1363" t="s">
        <v>5062</v>
      </c>
      <c r="F1363" t="s">
        <v>28</v>
      </c>
      <c r="G1363" t="s">
        <v>5062</v>
      </c>
      <c r="H1363" t="str">
        <f>"prp-8"</f>
        <v>prp-8</v>
      </c>
      <c r="I1363" t="s">
        <v>5064</v>
      </c>
      <c r="J1363">
        <v>15.2346412551495</v>
      </c>
      <c r="K1363">
        <v>15.140654077802999</v>
      </c>
      <c r="L1363">
        <v>15.1540369325957</v>
      </c>
      <c r="M1363">
        <v>15.1980852076271</v>
      </c>
      <c r="N1363">
        <v>15.1701429275073</v>
      </c>
      <c r="O1363">
        <v>15.0246783938733</v>
      </c>
      <c r="P1363">
        <v>-4.54752455135079E-2</v>
      </c>
      <c r="Q1363">
        <v>-0.47758654224695302</v>
      </c>
      <c r="R1363">
        <v>0.38663605121993699</v>
      </c>
      <c r="S1363">
        <v>15.3978523119968</v>
      </c>
      <c r="T1363">
        <v>-0.22119328847195599</v>
      </c>
      <c r="U1363">
        <v>-6.8569608278292398</v>
      </c>
      <c r="V1363">
        <v>0.82744621501011695</v>
      </c>
      <c r="W1363">
        <v>0.99339170295129098</v>
      </c>
      <c r="X1363">
        <v>0</v>
      </c>
      <c r="Y1363">
        <v>0</v>
      </c>
    </row>
    <row r="1364" spans="1:25" x14ac:dyDescent="0.2">
      <c r="A1364" t="s">
        <v>5065</v>
      </c>
      <c r="B1364" t="s">
        <v>5066</v>
      </c>
      <c r="C1364" t="s">
        <v>5067</v>
      </c>
      <c r="D1364" t="s">
        <v>5068</v>
      </c>
      <c r="E1364" t="s">
        <v>5066</v>
      </c>
      <c r="F1364" t="s">
        <v>28</v>
      </c>
      <c r="G1364" t="s">
        <v>5066</v>
      </c>
      <c r="H1364" t="str">
        <f>"mrpl-18"</f>
        <v>mrpl-18</v>
      </c>
      <c r="I1364" t="s">
        <v>5068</v>
      </c>
      <c r="J1364">
        <v>12.1467093490878</v>
      </c>
      <c r="K1364">
        <v>11.128594971794801</v>
      </c>
      <c r="L1364">
        <v>12.491998170390801</v>
      </c>
      <c r="M1364">
        <v>12.5526794054969</v>
      </c>
      <c r="N1364">
        <v>12.2701663537598</v>
      </c>
      <c r="O1364">
        <v>12.307115962115599</v>
      </c>
      <c r="P1364">
        <v>0.45421974336630599</v>
      </c>
      <c r="Q1364">
        <v>-0.21402249230743101</v>
      </c>
      <c r="R1364">
        <v>1.1224619790400401</v>
      </c>
      <c r="S1364">
        <v>12.4886816815955</v>
      </c>
      <c r="T1364">
        <v>1.4417223000227899</v>
      </c>
      <c r="U1364">
        <v>-5.8556943338277598</v>
      </c>
      <c r="V1364">
        <v>0.16879316541044201</v>
      </c>
      <c r="W1364">
        <v>0.76875593074037796</v>
      </c>
      <c r="X1364">
        <v>0</v>
      </c>
      <c r="Y1364">
        <v>0</v>
      </c>
    </row>
    <row r="1365" spans="1:25" x14ac:dyDescent="0.2">
      <c r="A1365" t="s">
        <v>5069</v>
      </c>
      <c r="B1365" t="s">
        <v>5070</v>
      </c>
      <c r="C1365" t="s">
        <v>5071</v>
      </c>
      <c r="D1365" t="s">
        <v>5072</v>
      </c>
      <c r="E1365" t="s">
        <v>5070</v>
      </c>
      <c r="F1365" t="s">
        <v>28</v>
      </c>
      <c r="G1365" t="s">
        <v>5070</v>
      </c>
      <c r="H1365" t="str">
        <f>"atg-13"</f>
        <v>atg-13</v>
      </c>
      <c r="I1365" t="s">
        <v>5072</v>
      </c>
      <c r="J1365" t="s">
        <v>29</v>
      </c>
      <c r="K1365" t="s">
        <v>29</v>
      </c>
      <c r="L1365" t="s">
        <v>29</v>
      </c>
      <c r="M1365" t="s">
        <v>29</v>
      </c>
      <c r="N1365">
        <v>13.7233481067104</v>
      </c>
      <c r="O1365" t="s">
        <v>29</v>
      </c>
      <c r="P1365" t="s">
        <v>29</v>
      </c>
      <c r="Q1365" t="s">
        <v>29</v>
      </c>
      <c r="R1365" t="s">
        <v>29</v>
      </c>
      <c r="S1365">
        <v>12.8206903374858</v>
      </c>
      <c r="T1365" t="s">
        <v>29</v>
      </c>
      <c r="U1365" t="s">
        <v>29</v>
      </c>
      <c r="V1365" t="s">
        <v>29</v>
      </c>
      <c r="W1365" t="s">
        <v>29</v>
      </c>
      <c r="X1365" t="s">
        <v>29</v>
      </c>
      <c r="Y1365" t="s">
        <v>29</v>
      </c>
    </row>
    <row r="1366" spans="1:25" x14ac:dyDescent="0.2">
      <c r="A1366" t="s">
        <v>5073</v>
      </c>
      <c r="B1366" t="s">
        <v>5074</v>
      </c>
      <c r="C1366" t="s">
        <v>5075</v>
      </c>
      <c r="D1366" t="s">
        <v>5076</v>
      </c>
      <c r="E1366" t="s">
        <v>5074</v>
      </c>
      <c r="F1366" t="s">
        <v>28</v>
      </c>
      <c r="G1366" t="s">
        <v>5074</v>
      </c>
      <c r="H1366" t="str">
        <f>"far-1"</f>
        <v>far-1</v>
      </c>
      <c r="I1366" t="s">
        <v>5076</v>
      </c>
      <c r="J1366" t="s">
        <v>29</v>
      </c>
      <c r="K1366" t="s">
        <v>29</v>
      </c>
      <c r="L1366">
        <v>12.048654861612899</v>
      </c>
      <c r="M1366">
        <v>12.6338674603595</v>
      </c>
      <c r="N1366">
        <v>10.2363787778062</v>
      </c>
      <c r="O1366">
        <v>11.5944456342149</v>
      </c>
      <c r="P1366">
        <v>-0.56042423748598802</v>
      </c>
      <c r="Q1366">
        <v>-2.43167601745425</v>
      </c>
      <c r="R1366">
        <v>1.31082754248227</v>
      </c>
      <c r="S1366">
        <v>12.3181075263695</v>
      </c>
      <c r="T1366">
        <v>-0.64754794214590405</v>
      </c>
      <c r="U1366">
        <v>-6.3233304010548697</v>
      </c>
      <c r="V1366">
        <v>0.52863801439741598</v>
      </c>
      <c r="W1366">
        <v>0.94282278237652695</v>
      </c>
      <c r="X1366">
        <v>0</v>
      </c>
      <c r="Y1366">
        <v>0</v>
      </c>
    </row>
    <row r="1367" spans="1:25" x14ac:dyDescent="0.2">
      <c r="A1367" t="s">
        <v>5077</v>
      </c>
      <c r="B1367" t="s">
        <v>5078</v>
      </c>
      <c r="C1367" t="s">
        <v>5079</v>
      </c>
      <c r="D1367" t="s">
        <v>5080</v>
      </c>
      <c r="E1367" t="s">
        <v>5078</v>
      </c>
      <c r="F1367" t="s">
        <v>28</v>
      </c>
      <c r="G1367" t="s">
        <v>5078</v>
      </c>
      <c r="H1367" t="str">
        <f>"far-2"</f>
        <v>far-2</v>
      </c>
      <c r="I1367" t="s">
        <v>5080</v>
      </c>
      <c r="J1367">
        <v>11.825526283913099</v>
      </c>
      <c r="K1367">
        <v>11.3410406064739</v>
      </c>
      <c r="L1367">
        <v>12.631050850671199</v>
      </c>
      <c r="M1367">
        <v>12.4073579036755</v>
      </c>
      <c r="N1367">
        <v>11.154180610883101</v>
      </c>
      <c r="O1367">
        <v>12.5784681188695</v>
      </c>
      <c r="P1367">
        <v>0.114129630789932</v>
      </c>
      <c r="Q1367">
        <v>-0.97723931102457096</v>
      </c>
      <c r="R1367">
        <v>1.20549857260444</v>
      </c>
      <c r="S1367">
        <v>12.070305434903799</v>
      </c>
      <c r="T1367">
        <v>0.219795772477659</v>
      </c>
      <c r="U1367">
        <v>-6.8572819563400804</v>
      </c>
      <c r="V1367">
        <v>0.828517982687208</v>
      </c>
      <c r="W1367">
        <v>0.99339170295129098</v>
      </c>
      <c r="X1367">
        <v>0</v>
      </c>
      <c r="Y1367">
        <v>0</v>
      </c>
    </row>
    <row r="1368" spans="1:25" x14ac:dyDescent="0.2">
      <c r="A1368" t="s">
        <v>5081</v>
      </c>
      <c r="B1368" t="s">
        <v>5082</v>
      </c>
      <c r="C1368" t="s">
        <v>5083</v>
      </c>
      <c r="D1368" t="s">
        <v>5084</v>
      </c>
      <c r="E1368" t="s">
        <v>5082</v>
      </c>
      <c r="F1368" t="s">
        <v>28</v>
      </c>
      <c r="G1368" t="s">
        <v>5082</v>
      </c>
      <c r="H1368" t="str">
        <f>"mrpl-44"</f>
        <v>mrpl-44</v>
      </c>
      <c r="I1368" t="s">
        <v>5084</v>
      </c>
      <c r="J1368">
        <v>12.7896252475139</v>
      </c>
      <c r="K1368">
        <v>13.2837027500763</v>
      </c>
      <c r="L1368">
        <v>13.2580258554575</v>
      </c>
      <c r="M1368">
        <v>12.8831706122195</v>
      </c>
      <c r="N1368">
        <v>13.465476533320301</v>
      </c>
      <c r="O1368">
        <v>12.732605426282801</v>
      </c>
      <c r="P1368">
        <v>-8.3367093741678402E-2</v>
      </c>
      <c r="Q1368">
        <v>-0.74029354095991495</v>
      </c>
      <c r="R1368">
        <v>0.57355935347655795</v>
      </c>
      <c r="S1368">
        <v>13.6157459116754</v>
      </c>
      <c r="T1368">
        <v>-0.26787237516201901</v>
      </c>
      <c r="U1368">
        <v>-6.84496042036539</v>
      </c>
      <c r="V1368">
        <v>0.79204047592103199</v>
      </c>
      <c r="W1368">
        <v>0.99278624068726296</v>
      </c>
      <c r="X1368">
        <v>0</v>
      </c>
      <c r="Y1368">
        <v>0</v>
      </c>
    </row>
    <row r="1369" spans="1:25" x14ac:dyDescent="0.2">
      <c r="A1369" t="s">
        <v>5085</v>
      </c>
      <c r="B1369" t="s">
        <v>5086</v>
      </c>
      <c r="C1369" t="s">
        <v>5087</v>
      </c>
      <c r="D1369" t="s">
        <v>5088</v>
      </c>
      <c r="E1369" t="s">
        <v>5086</v>
      </c>
      <c r="F1369" t="s">
        <v>28</v>
      </c>
      <c r="G1369" t="s">
        <v>5086</v>
      </c>
      <c r="H1369" t="str">
        <f>"F02A9.10"</f>
        <v>F02A9.10</v>
      </c>
      <c r="I1369" t="s">
        <v>5088</v>
      </c>
      <c r="J1369">
        <v>17.641257800795</v>
      </c>
      <c r="K1369">
        <v>18.449527920070199</v>
      </c>
      <c r="L1369">
        <v>17.754274264604899</v>
      </c>
      <c r="M1369">
        <v>18.000322547909601</v>
      </c>
      <c r="N1369">
        <v>18.6901631104435</v>
      </c>
      <c r="O1369">
        <v>17.813787930978499</v>
      </c>
      <c r="P1369">
        <v>0.21973786795382499</v>
      </c>
      <c r="Q1369">
        <v>-0.884500625639145</v>
      </c>
      <c r="R1369">
        <v>1.3239763615467901</v>
      </c>
      <c r="S1369">
        <v>17.8152566314625</v>
      </c>
      <c r="T1369">
        <v>0.41824863957517</v>
      </c>
      <c r="U1369">
        <v>-6.7915364008872396</v>
      </c>
      <c r="V1369">
        <v>0.68074164360851297</v>
      </c>
      <c r="W1369">
        <v>0.98642420921484297</v>
      </c>
      <c r="X1369">
        <v>0</v>
      </c>
      <c r="Y1369">
        <v>0</v>
      </c>
    </row>
    <row r="1370" spans="1:25" x14ac:dyDescent="0.2">
      <c r="A1370" t="s">
        <v>5089</v>
      </c>
      <c r="B1370" t="s">
        <v>5090</v>
      </c>
      <c r="C1370" t="s">
        <v>5091</v>
      </c>
      <c r="D1370" t="s">
        <v>5092</v>
      </c>
      <c r="E1370" t="s">
        <v>5090</v>
      </c>
      <c r="F1370" t="s">
        <v>28</v>
      </c>
      <c r="G1370" t="s">
        <v>5090</v>
      </c>
      <c r="H1370" t="str">
        <f>"mrps-9"</f>
        <v>mrps-9</v>
      </c>
      <c r="I1370" t="s">
        <v>5092</v>
      </c>
      <c r="J1370">
        <v>13.0739677701866</v>
      </c>
      <c r="K1370">
        <v>13.1517709742287</v>
      </c>
      <c r="L1370">
        <v>13.032545373826601</v>
      </c>
      <c r="M1370">
        <v>12.6659098626955</v>
      </c>
      <c r="N1370">
        <v>12.8588443658043</v>
      </c>
      <c r="O1370">
        <v>12.657598711184701</v>
      </c>
      <c r="P1370">
        <v>-0.35864372618580398</v>
      </c>
      <c r="Q1370">
        <v>-0.80672807517841705</v>
      </c>
      <c r="R1370">
        <v>8.94406228068097E-2</v>
      </c>
      <c r="S1370">
        <v>13.202073446595399</v>
      </c>
      <c r="T1370">
        <v>-1.6894816392818699</v>
      </c>
      <c r="U1370">
        <v>-5.5013299439863204</v>
      </c>
      <c r="V1370">
        <v>0.109494195683153</v>
      </c>
      <c r="W1370">
        <v>0.67984455827151902</v>
      </c>
      <c r="X1370">
        <v>0</v>
      </c>
      <c r="Y1370">
        <v>0</v>
      </c>
    </row>
    <row r="1371" spans="1:25" x14ac:dyDescent="0.2">
      <c r="A1371" t="s">
        <v>5093</v>
      </c>
      <c r="B1371" t="s">
        <v>5094</v>
      </c>
      <c r="C1371" t="s">
        <v>5095</v>
      </c>
      <c r="D1371" t="s">
        <v>5096</v>
      </c>
      <c r="E1371" t="s">
        <v>5094</v>
      </c>
      <c r="F1371" t="s">
        <v>28</v>
      </c>
      <c r="G1371" t="s">
        <v>5094</v>
      </c>
      <c r="H1371" t="str">
        <f>"F10E9.4"</f>
        <v>F10E9.4</v>
      </c>
      <c r="I1371" t="s">
        <v>5096</v>
      </c>
      <c r="J1371">
        <v>12.761228288438099</v>
      </c>
      <c r="K1371">
        <v>12.3120552230197</v>
      </c>
      <c r="L1371">
        <v>12.4721560950018</v>
      </c>
      <c r="M1371">
        <v>12.695047319056</v>
      </c>
      <c r="N1371">
        <v>12.8238973134657</v>
      </c>
      <c r="O1371">
        <v>12.721123513972699</v>
      </c>
      <c r="P1371">
        <v>0.231542846678298</v>
      </c>
      <c r="Q1371">
        <v>-0.243722074876667</v>
      </c>
      <c r="R1371">
        <v>0.70680776823326397</v>
      </c>
      <c r="S1371">
        <v>12.4936538221771</v>
      </c>
      <c r="T1371">
        <v>1.0333445117264199</v>
      </c>
      <c r="U1371">
        <v>-6.33909687326019</v>
      </c>
      <c r="V1371">
        <v>0.31690979550723097</v>
      </c>
      <c r="W1371">
        <v>0.86534615141322802</v>
      </c>
      <c r="X1371">
        <v>0</v>
      </c>
      <c r="Y1371">
        <v>0</v>
      </c>
    </row>
    <row r="1372" spans="1:25" x14ac:dyDescent="0.2">
      <c r="A1372" t="s">
        <v>5097</v>
      </c>
      <c r="B1372" t="s">
        <v>5098</v>
      </c>
      <c r="C1372" t="s">
        <v>5099</v>
      </c>
      <c r="D1372" t="s">
        <v>5100</v>
      </c>
      <c r="E1372" t="s">
        <v>5098</v>
      </c>
      <c r="F1372" t="s">
        <v>28</v>
      </c>
      <c r="G1372" t="s">
        <v>5098</v>
      </c>
      <c r="H1372" t="str">
        <f>"dpy-19"</f>
        <v>dpy-19</v>
      </c>
      <c r="I1372" t="s">
        <v>5100</v>
      </c>
      <c r="J1372">
        <v>12.2003757381877</v>
      </c>
      <c r="K1372">
        <v>12.643864397695401</v>
      </c>
      <c r="L1372">
        <v>12.6169766005643</v>
      </c>
      <c r="M1372">
        <v>12.083100797063601</v>
      </c>
      <c r="N1372">
        <v>12.325916609930999</v>
      </c>
      <c r="O1372">
        <v>11.9358560974886</v>
      </c>
      <c r="P1372">
        <v>-0.372114410654731</v>
      </c>
      <c r="Q1372">
        <v>-0.90925724638054894</v>
      </c>
      <c r="R1372">
        <v>0.165028425071087</v>
      </c>
      <c r="S1372">
        <v>12.695807838308999</v>
      </c>
      <c r="T1372">
        <v>-1.4693871285845499</v>
      </c>
      <c r="U1372">
        <v>-5.8183682265053003</v>
      </c>
      <c r="V1372">
        <v>0.161242022291608</v>
      </c>
      <c r="W1372">
        <v>0.76223501446942099</v>
      </c>
      <c r="X1372">
        <v>0</v>
      </c>
      <c r="Y1372">
        <v>0</v>
      </c>
    </row>
    <row r="1373" spans="1:25" x14ac:dyDescent="0.2">
      <c r="A1373" t="s">
        <v>5101</v>
      </c>
      <c r="B1373" t="s">
        <v>5102</v>
      </c>
      <c r="C1373" t="s">
        <v>5103</v>
      </c>
      <c r="D1373" t="s">
        <v>5104</v>
      </c>
      <c r="E1373" t="s">
        <v>5102</v>
      </c>
      <c r="F1373" t="s">
        <v>28</v>
      </c>
      <c r="G1373" t="s">
        <v>5102</v>
      </c>
      <c r="H1373" t="str">
        <f>"F44B9.2"</f>
        <v>F44B9.2</v>
      </c>
      <c r="I1373" t="s">
        <v>5104</v>
      </c>
      <c r="J1373">
        <v>13.217739885288699</v>
      </c>
      <c r="K1373">
        <v>12.6302541773812</v>
      </c>
      <c r="L1373">
        <v>11.7338582711018</v>
      </c>
      <c r="M1373" t="s">
        <v>29</v>
      </c>
      <c r="N1373">
        <v>12.8662179174658</v>
      </c>
      <c r="O1373" t="s">
        <v>29</v>
      </c>
      <c r="P1373">
        <v>0.33893380620857999</v>
      </c>
      <c r="Q1373">
        <v>-0.72111086023433901</v>
      </c>
      <c r="R1373">
        <v>1.3989784726515</v>
      </c>
      <c r="S1373">
        <v>12.0948915436632</v>
      </c>
      <c r="T1373">
        <v>0.69732580363693797</v>
      </c>
      <c r="U1373">
        <v>-6.28809421767843</v>
      </c>
      <c r="V1373">
        <v>0.49900198005671498</v>
      </c>
      <c r="W1373">
        <v>0.94062983959761604</v>
      </c>
      <c r="X1373">
        <v>0</v>
      </c>
      <c r="Y1373">
        <v>0</v>
      </c>
    </row>
    <row r="1374" spans="1:25" x14ac:dyDescent="0.2">
      <c r="A1374" t="s">
        <v>5105</v>
      </c>
      <c r="B1374" t="s">
        <v>5106</v>
      </c>
      <c r="C1374" t="s">
        <v>5107</v>
      </c>
      <c r="D1374" t="s">
        <v>5108</v>
      </c>
      <c r="E1374" t="s">
        <v>5106</v>
      </c>
      <c r="F1374" t="s">
        <v>28</v>
      </c>
      <c r="G1374" t="s">
        <v>5106</v>
      </c>
      <c r="H1374" t="str">
        <f>"cit-1.2"</f>
        <v>cit-1.2</v>
      </c>
      <c r="I1374" t="s">
        <v>5108</v>
      </c>
      <c r="J1374">
        <v>11.0885398782768</v>
      </c>
      <c r="K1374">
        <v>11.45702974626</v>
      </c>
      <c r="L1374">
        <v>11.5161853256892</v>
      </c>
      <c r="M1374">
        <v>11.269857500828801</v>
      </c>
      <c r="N1374">
        <v>11.493740245371299</v>
      </c>
      <c r="O1374">
        <v>10.553918922488901</v>
      </c>
      <c r="P1374">
        <v>-0.24807942717901799</v>
      </c>
      <c r="Q1374">
        <v>-0.71548654453965099</v>
      </c>
      <c r="R1374">
        <v>0.21932769018161399</v>
      </c>
      <c r="S1374">
        <v>11.615963979218501</v>
      </c>
      <c r="T1374">
        <v>-1.12575778514731</v>
      </c>
      <c r="U1374">
        <v>-6.2414029966877704</v>
      </c>
      <c r="V1374">
        <v>0.27697921598182002</v>
      </c>
      <c r="W1374">
        <v>0.856190392347986</v>
      </c>
      <c r="X1374">
        <v>0</v>
      </c>
      <c r="Y1374">
        <v>0</v>
      </c>
    </row>
    <row r="1375" spans="1:25" x14ac:dyDescent="0.2">
      <c r="A1375" t="s">
        <v>5109</v>
      </c>
      <c r="B1375" t="s">
        <v>5110</v>
      </c>
      <c r="C1375" t="s">
        <v>5111</v>
      </c>
      <c r="D1375" t="s">
        <v>5112</v>
      </c>
      <c r="E1375" t="s">
        <v>5110</v>
      </c>
      <c r="F1375" t="s">
        <v>28</v>
      </c>
      <c r="G1375" t="s">
        <v>5110</v>
      </c>
      <c r="H1375" t="str">
        <f>"F44B9.5"</f>
        <v>F44B9.5</v>
      </c>
      <c r="I1375" t="s">
        <v>5112</v>
      </c>
      <c r="J1375">
        <v>12.947356877587</v>
      </c>
      <c r="K1375">
        <v>12.961730121250501</v>
      </c>
      <c r="L1375">
        <v>13.1181822256682</v>
      </c>
      <c r="M1375">
        <v>12.9207970089609</v>
      </c>
      <c r="N1375">
        <v>13.051312949289599</v>
      </c>
      <c r="O1375">
        <v>13.0993807679891</v>
      </c>
      <c r="P1375">
        <v>1.4740500577938E-2</v>
      </c>
      <c r="Q1375">
        <v>-0.34844625806499901</v>
      </c>
      <c r="R1375">
        <v>0.377927259220875</v>
      </c>
      <c r="S1375">
        <v>12.919392388660899</v>
      </c>
      <c r="T1375">
        <v>8.5670684919194703E-2</v>
      </c>
      <c r="U1375">
        <v>-6.8786435482510999</v>
      </c>
      <c r="V1375">
        <v>0.93273527690292202</v>
      </c>
      <c r="W1375">
        <v>0.99926809132575301</v>
      </c>
      <c r="X1375">
        <v>0</v>
      </c>
      <c r="Y1375">
        <v>0</v>
      </c>
    </row>
    <row r="1376" spans="1:25" x14ac:dyDescent="0.2">
      <c r="A1376" t="s">
        <v>5113</v>
      </c>
      <c r="B1376" t="s">
        <v>5114</v>
      </c>
      <c r="C1376" t="s">
        <v>5115</v>
      </c>
      <c r="D1376" t="s">
        <v>5116</v>
      </c>
      <c r="E1376" t="s">
        <v>5114</v>
      </c>
      <c r="F1376" t="s">
        <v>28</v>
      </c>
      <c r="G1376" t="s">
        <v>5114</v>
      </c>
      <c r="H1376" t="str">
        <f>"lin-36"</f>
        <v>lin-36</v>
      </c>
      <c r="I1376" t="s">
        <v>5116</v>
      </c>
      <c r="J1376" t="s">
        <v>29</v>
      </c>
      <c r="K1376">
        <v>11.2904318962378</v>
      </c>
      <c r="L1376">
        <v>10.586796469583</v>
      </c>
      <c r="M1376">
        <v>11.0930739846657</v>
      </c>
      <c r="N1376">
        <v>11.4239737029118</v>
      </c>
      <c r="O1376">
        <v>10.969383836484001</v>
      </c>
      <c r="P1376">
        <v>0.223529658443439</v>
      </c>
      <c r="Q1376">
        <v>-0.63789046102855695</v>
      </c>
      <c r="R1376">
        <v>1.08494977791544</v>
      </c>
      <c r="S1376">
        <v>11.638676428834099</v>
      </c>
      <c r="T1376">
        <v>0.55342879186234895</v>
      </c>
      <c r="U1376">
        <v>-6.6125394245979496</v>
      </c>
      <c r="V1376">
        <v>0.58818139891160404</v>
      </c>
      <c r="W1376">
        <v>0.963273565916412</v>
      </c>
      <c r="X1376">
        <v>0</v>
      </c>
      <c r="Y1376">
        <v>0</v>
      </c>
    </row>
    <row r="1377" spans="1:25" x14ac:dyDescent="0.2">
      <c r="A1377" t="s">
        <v>5117</v>
      </c>
      <c r="B1377" t="s">
        <v>5118</v>
      </c>
      <c r="C1377" t="s">
        <v>5119</v>
      </c>
      <c r="D1377" t="s">
        <v>5120</v>
      </c>
      <c r="E1377" t="s">
        <v>5118</v>
      </c>
      <c r="F1377" t="s">
        <v>28</v>
      </c>
      <c r="G1377" t="s">
        <v>5118</v>
      </c>
      <c r="H1377" t="str">
        <f>"retr-1"</f>
        <v>retr-1</v>
      </c>
      <c r="I1377" t="s">
        <v>5120</v>
      </c>
      <c r="J1377">
        <v>12.8822546993493</v>
      </c>
      <c r="K1377">
        <v>12.7629056244715</v>
      </c>
      <c r="L1377">
        <v>13.6640657316928</v>
      </c>
      <c r="M1377">
        <v>13.787580928628399</v>
      </c>
      <c r="N1377">
        <v>14.10302647738</v>
      </c>
      <c r="O1377">
        <v>13.2731759176948</v>
      </c>
      <c r="P1377">
        <v>0.61818575606318404</v>
      </c>
      <c r="Q1377">
        <v>-0.28720583022664498</v>
      </c>
      <c r="R1377">
        <v>1.5235773423530099</v>
      </c>
      <c r="S1377">
        <v>14.645235864771999</v>
      </c>
      <c r="T1377">
        <v>1.4412275417528899</v>
      </c>
      <c r="U1377">
        <v>-5.8563269615588203</v>
      </c>
      <c r="V1377">
        <v>0.16779844481723299</v>
      </c>
      <c r="W1377">
        <v>0.76875593074037796</v>
      </c>
      <c r="X1377">
        <v>0</v>
      </c>
      <c r="Y1377">
        <v>0</v>
      </c>
    </row>
    <row r="1378" spans="1:25" x14ac:dyDescent="0.2">
      <c r="A1378" t="s">
        <v>5121</v>
      </c>
      <c r="B1378" t="s">
        <v>5122</v>
      </c>
      <c r="C1378" t="s">
        <v>5123</v>
      </c>
      <c r="D1378" t="s">
        <v>5124</v>
      </c>
      <c r="E1378" t="s">
        <v>5122</v>
      </c>
      <c r="F1378" t="s">
        <v>28</v>
      </c>
      <c r="G1378" t="s">
        <v>5122</v>
      </c>
      <c r="H1378" t="str">
        <f>"F44E2.7"</f>
        <v>F44E2.7</v>
      </c>
      <c r="I1378" t="s">
        <v>5124</v>
      </c>
      <c r="J1378">
        <v>9.5800279680729794</v>
      </c>
      <c r="K1378" t="s">
        <v>29</v>
      </c>
      <c r="L1378" t="s">
        <v>29</v>
      </c>
      <c r="M1378" t="s">
        <v>29</v>
      </c>
      <c r="N1378" t="s">
        <v>29</v>
      </c>
      <c r="O1378" t="s">
        <v>29</v>
      </c>
      <c r="P1378" t="s">
        <v>29</v>
      </c>
      <c r="Q1378" t="s">
        <v>29</v>
      </c>
      <c r="R1378" t="s">
        <v>29</v>
      </c>
      <c r="S1378">
        <v>9.7085131568434306</v>
      </c>
      <c r="T1378" t="s">
        <v>29</v>
      </c>
      <c r="U1378" t="s">
        <v>29</v>
      </c>
      <c r="V1378" t="s">
        <v>29</v>
      </c>
      <c r="W1378" t="s">
        <v>29</v>
      </c>
      <c r="X1378" t="s">
        <v>29</v>
      </c>
      <c r="Y1378" t="s">
        <v>29</v>
      </c>
    </row>
    <row r="1379" spans="1:25" x14ac:dyDescent="0.2">
      <c r="A1379" t="s">
        <v>5125</v>
      </c>
      <c r="B1379" t="s">
        <v>5126</v>
      </c>
      <c r="C1379" t="s">
        <v>5127</v>
      </c>
      <c r="D1379" t="s">
        <v>5128</v>
      </c>
      <c r="E1379" t="s">
        <v>5126</v>
      </c>
      <c r="F1379" t="s">
        <v>28</v>
      </c>
      <c r="G1379" t="s">
        <v>5126</v>
      </c>
      <c r="H1379" t="str">
        <f>"emb-30"</f>
        <v>emb-30</v>
      </c>
      <c r="I1379" t="s">
        <v>5128</v>
      </c>
      <c r="J1379">
        <v>13.6582594150084</v>
      </c>
      <c r="K1379">
        <v>11.9157834270974</v>
      </c>
      <c r="L1379">
        <v>13.0629866681391</v>
      </c>
      <c r="M1379">
        <v>14.0994239802259</v>
      </c>
      <c r="N1379">
        <v>13.2316737665542</v>
      </c>
      <c r="O1379">
        <v>12.934260511023799</v>
      </c>
      <c r="P1379">
        <v>0.54277624918632505</v>
      </c>
      <c r="Q1379">
        <v>-0.60344791525522601</v>
      </c>
      <c r="R1379">
        <v>1.68900041362788</v>
      </c>
      <c r="S1379">
        <v>13.246769743677</v>
      </c>
      <c r="T1379">
        <v>1.00438635828342</v>
      </c>
      <c r="U1379">
        <v>-6.3682115584428098</v>
      </c>
      <c r="V1379">
        <v>0.33023847241756699</v>
      </c>
      <c r="W1379">
        <v>0.872914019258625</v>
      </c>
      <c r="X1379">
        <v>0</v>
      </c>
      <c r="Y1379">
        <v>0</v>
      </c>
    </row>
    <row r="1380" spans="1:25" x14ac:dyDescent="0.2">
      <c r="A1380" t="s">
        <v>5129</v>
      </c>
      <c r="B1380" t="s">
        <v>5130</v>
      </c>
      <c r="C1380" t="s">
        <v>5131</v>
      </c>
      <c r="D1380" t="s">
        <v>5132</v>
      </c>
      <c r="E1380" t="s">
        <v>5130</v>
      </c>
      <c r="F1380" t="s">
        <v>28</v>
      </c>
      <c r="G1380" t="s">
        <v>5130</v>
      </c>
      <c r="H1380" t="str">
        <f>"F54C8.4"</f>
        <v>F54C8.4</v>
      </c>
      <c r="I1380" t="s">
        <v>5132</v>
      </c>
      <c r="J1380" t="s">
        <v>29</v>
      </c>
      <c r="K1380" t="s">
        <v>29</v>
      </c>
      <c r="L1380" t="s">
        <v>29</v>
      </c>
      <c r="M1380" t="s">
        <v>29</v>
      </c>
      <c r="N1380">
        <v>13.032877426391099</v>
      </c>
      <c r="O1380" t="s">
        <v>29</v>
      </c>
      <c r="P1380" t="s">
        <v>29</v>
      </c>
      <c r="Q1380" t="s">
        <v>29</v>
      </c>
      <c r="R1380" t="s">
        <v>29</v>
      </c>
      <c r="S1380">
        <v>13.616530247537501</v>
      </c>
      <c r="T1380" t="s">
        <v>29</v>
      </c>
      <c r="U1380" t="s">
        <v>29</v>
      </c>
      <c r="V1380" t="s">
        <v>29</v>
      </c>
      <c r="W1380" t="s">
        <v>29</v>
      </c>
      <c r="X1380" t="s">
        <v>29</v>
      </c>
      <c r="Y1380" t="s">
        <v>29</v>
      </c>
    </row>
    <row r="1381" spans="1:25" x14ac:dyDescent="0.2">
      <c r="A1381" t="s">
        <v>5133</v>
      </c>
      <c r="B1381" t="s">
        <v>5134</v>
      </c>
      <c r="C1381" t="s">
        <v>5135</v>
      </c>
      <c r="D1381" t="s">
        <v>5136</v>
      </c>
      <c r="E1381" t="s">
        <v>5134</v>
      </c>
      <c r="F1381" t="s">
        <v>28</v>
      </c>
      <c r="G1381" t="s">
        <v>5134</v>
      </c>
      <c r="H1381" t="str">
        <f>"F54C8.7"</f>
        <v>F54C8.7</v>
      </c>
      <c r="I1381" t="s">
        <v>5136</v>
      </c>
      <c r="J1381">
        <v>14.042459888041099</v>
      </c>
      <c r="K1381" t="s">
        <v>29</v>
      </c>
      <c r="L1381">
        <v>14.0308413173793</v>
      </c>
      <c r="M1381">
        <v>12.6796431693872</v>
      </c>
      <c r="N1381">
        <v>13.180042050725501</v>
      </c>
      <c r="O1381">
        <v>12.7863506891537</v>
      </c>
      <c r="P1381">
        <v>-1.15463863295472</v>
      </c>
      <c r="Q1381">
        <v>-1.8632564203675299</v>
      </c>
      <c r="R1381">
        <v>-0.44602084554191401</v>
      </c>
      <c r="S1381">
        <v>12.9411032545569</v>
      </c>
      <c r="T1381">
        <v>-3.4394107788458199</v>
      </c>
      <c r="U1381">
        <v>-2.1036191308805101</v>
      </c>
      <c r="V1381">
        <v>3.1523832928287399E-3</v>
      </c>
      <c r="W1381">
        <v>7.60226927430004E-2</v>
      </c>
      <c r="X1381">
        <v>-1</v>
      </c>
      <c r="Y1381">
        <v>0</v>
      </c>
    </row>
    <row r="1382" spans="1:25" x14ac:dyDescent="0.2">
      <c r="A1382" t="s">
        <v>5137</v>
      </c>
      <c r="B1382" t="s">
        <v>5138</v>
      </c>
      <c r="C1382" t="s">
        <v>5139</v>
      </c>
      <c r="D1382" t="s">
        <v>5140</v>
      </c>
      <c r="E1382" t="s">
        <v>5138</v>
      </c>
      <c r="F1382" t="s">
        <v>28</v>
      </c>
      <c r="G1382" t="s">
        <v>5138</v>
      </c>
      <c r="H1382" t="str">
        <f>"F54F2.9"</f>
        <v>F54F2.9</v>
      </c>
      <c r="I1382" t="s">
        <v>5140</v>
      </c>
      <c r="J1382" t="s">
        <v>29</v>
      </c>
      <c r="K1382" t="s">
        <v>29</v>
      </c>
      <c r="L1382">
        <v>10.0676577682285</v>
      </c>
      <c r="M1382" t="s">
        <v>29</v>
      </c>
      <c r="N1382">
        <v>9.8194866829338103</v>
      </c>
      <c r="O1382" t="s">
        <v>29</v>
      </c>
      <c r="P1382">
        <v>-0.248171085294663</v>
      </c>
      <c r="Q1382">
        <v>-1.77672896853094</v>
      </c>
      <c r="R1382">
        <v>1.2803867979416099</v>
      </c>
      <c r="S1382">
        <v>10.292935432530699</v>
      </c>
      <c r="T1382">
        <v>-0.420055651638851</v>
      </c>
      <c r="U1382">
        <v>-6.2422290834128003</v>
      </c>
      <c r="V1382">
        <v>0.69224382232832604</v>
      </c>
      <c r="W1382">
        <v>0.98642420921484297</v>
      </c>
      <c r="X1382">
        <v>0</v>
      </c>
      <c r="Y1382">
        <v>0</v>
      </c>
    </row>
    <row r="1383" spans="1:25" x14ac:dyDescent="0.2">
      <c r="A1383" t="s">
        <v>5141</v>
      </c>
      <c r="B1383" t="s">
        <v>5142</v>
      </c>
      <c r="C1383" t="s">
        <v>5143</v>
      </c>
      <c r="D1383" t="s">
        <v>5144</v>
      </c>
      <c r="E1383" t="s">
        <v>5142</v>
      </c>
      <c r="F1383" t="s">
        <v>28</v>
      </c>
      <c r="G1383" t="s">
        <v>5142</v>
      </c>
      <c r="H1383" t="str">
        <f>"aco-2"</f>
        <v>aco-2</v>
      </c>
      <c r="I1383" t="s">
        <v>5144</v>
      </c>
      <c r="J1383">
        <v>17.892601776487599</v>
      </c>
      <c r="K1383">
        <v>17.808095433006098</v>
      </c>
      <c r="L1383">
        <v>17.579992009296099</v>
      </c>
      <c r="M1383">
        <v>17.433399637444101</v>
      </c>
      <c r="N1383">
        <v>17.432201884826899</v>
      </c>
      <c r="O1383">
        <v>17.62440080356</v>
      </c>
      <c r="P1383">
        <v>-0.26356229765293898</v>
      </c>
      <c r="Q1383">
        <v>-0.62625155012947697</v>
      </c>
      <c r="R1383">
        <v>9.9126954823598401E-2</v>
      </c>
      <c r="S1383">
        <v>17.595013886985299</v>
      </c>
      <c r="T1383">
        <v>-1.52735894148887</v>
      </c>
      <c r="U1383">
        <v>-5.73750159758242</v>
      </c>
      <c r="V1383">
        <v>0.14415375375876399</v>
      </c>
      <c r="W1383">
        <v>0.73463339032441799</v>
      </c>
      <c r="X1383">
        <v>0</v>
      </c>
      <c r="Y1383">
        <v>0</v>
      </c>
    </row>
    <row r="1384" spans="1:25" x14ac:dyDescent="0.2">
      <c r="A1384" t="s">
        <v>5145</v>
      </c>
      <c r="B1384" t="s">
        <v>5146</v>
      </c>
      <c r="C1384" t="s">
        <v>5147</v>
      </c>
      <c r="D1384" t="s">
        <v>5148</v>
      </c>
      <c r="E1384" t="s">
        <v>5146</v>
      </c>
      <c r="F1384" t="s">
        <v>28</v>
      </c>
      <c r="G1384" t="s">
        <v>5146</v>
      </c>
      <c r="H1384" t="str">
        <f>"eef-1B.1"</f>
        <v>eef-1B.1</v>
      </c>
      <c r="I1384" t="s">
        <v>5148</v>
      </c>
      <c r="J1384" t="s">
        <v>29</v>
      </c>
      <c r="K1384" t="s">
        <v>29</v>
      </c>
      <c r="L1384" t="s">
        <v>29</v>
      </c>
      <c r="M1384">
        <v>13.908601649522</v>
      </c>
      <c r="N1384">
        <v>13.5220829725003</v>
      </c>
      <c r="O1384">
        <v>13.362181534884201</v>
      </c>
      <c r="P1384" t="s">
        <v>29</v>
      </c>
      <c r="Q1384" t="s">
        <v>29</v>
      </c>
      <c r="R1384" t="s">
        <v>29</v>
      </c>
      <c r="S1384">
        <v>13.256700272028199</v>
      </c>
      <c r="T1384" t="s">
        <v>29</v>
      </c>
      <c r="U1384" t="s">
        <v>29</v>
      </c>
      <c r="V1384" t="s">
        <v>29</v>
      </c>
      <c r="W1384" t="s">
        <v>29</v>
      </c>
      <c r="X1384" t="s">
        <v>29</v>
      </c>
      <c r="Y1384" t="s">
        <v>29</v>
      </c>
    </row>
    <row r="1385" spans="1:25" x14ac:dyDescent="0.2">
      <c r="A1385" t="s">
        <v>5149</v>
      </c>
      <c r="B1385" t="s">
        <v>5150</v>
      </c>
      <c r="C1385" t="s">
        <v>5151</v>
      </c>
      <c r="D1385" t="s">
        <v>5152</v>
      </c>
      <c r="E1385" t="s">
        <v>5150</v>
      </c>
      <c r="F1385" t="s">
        <v>28</v>
      </c>
      <c r="G1385" t="s">
        <v>5150</v>
      </c>
      <c r="H1385" t="str">
        <f>"vha-14"</f>
        <v>vha-14</v>
      </c>
      <c r="I1385" t="s">
        <v>5152</v>
      </c>
      <c r="J1385">
        <v>13.6749883822126</v>
      </c>
      <c r="K1385">
        <v>13.57367519218</v>
      </c>
      <c r="L1385">
        <v>13.4578829347648</v>
      </c>
      <c r="M1385">
        <v>14.059330657981</v>
      </c>
      <c r="N1385">
        <v>13.830346136199299</v>
      </c>
      <c r="O1385">
        <v>13.515327174517701</v>
      </c>
      <c r="P1385">
        <v>0.23281915318018401</v>
      </c>
      <c r="Q1385">
        <v>-0.29970361574919702</v>
      </c>
      <c r="R1385">
        <v>0.76534192210956498</v>
      </c>
      <c r="S1385">
        <v>13.526569796917</v>
      </c>
      <c r="T1385">
        <v>0.91891012516555404</v>
      </c>
      <c r="U1385">
        <v>-6.4514911856075301</v>
      </c>
      <c r="V1385">
        <v>0.37036330003318801</v>
      </c>
      <c r="W1385">
        <v>0.891250106467387</v>
      </c>
      <c r="X1385">
        <v>0</v>
      </c>
      <c r="Y1385">
        <v>0</v>
      </c>
    </row>
    <row r="1386" spans="1:25" x14ac:dyDescent="0.2">
      <c r="A1386" t="s">
        <v>5153</v>
      </c>
      <c r="B1386" t="s">
        <v>5154</v>
      </c>
      <c r="C1386" t="s">
        <v>5155</v>
      </c>
      <c r="D1386" t="s">
        <v>5156</v>
      </c>
      <c r="E1386" t="s">
        <v>5154</v>
      </c>
      <c r="F1386" t="s">
        <v>28</v>
      </c>
      <c r="G1386" t="s">
        <v>5154</v>
      </c>
      <c r="H1386" t="str">
        <f>"clu-1"</f>
        <v>clu-1</v>
      </c>
      <c r="I1386" t="s">
        <v>5156</v>
      </c>
      <c r="J1386">
        <v>17.457161408699299</v>
      </c>
      <c r="K1386">
        <v>17.302990560170599</v>
      </c>
      <c r="L1386">
        <v>17.256007151399899</v>
      </c>
      <c r="M1386">
        <v>17.377845556779999</v>
      </c>
      <c r="N1386">
        <v>17.436847616787599</v>
      </c>
      <c r="O1386">
        <v>17.267743918790298</v>
      </c>
      <c r="P1386">
        <v>2.2092657362708899E-2</v>
      </c>
      <c r="Q1386">
        <v>-0.29603736464276098</v>
      </c>
      <c r="R1386">
        <v>0.34022267936817902</v>
      </c>
      <c r="S1386">
        <v>17.203982016518999</v>
      </c>
      <c r="T1386">
        <v>0.14596065874047001</v>
      </c>
      <c r="U1386">
        <v>-6.8713646949325602</v>
      </c>
      <c r="V1386">
        <v>0.88558405341866298</v>
      </c>
      <c r="W1386">
        <v>0.99702926582654094</v>
      </c>
      <c r="X1386">
        <v>0</v>
      </c>
      <c r="Y1386">
        <v>0</v>
      </c>
    </row>
    <row r="1387" spans="1:25" x14ac:dyDescent="0.2">
      <c r="A1387" t="s">
        <v>5157</v>
      </c>
      <c r="B1387" t="s">
        <v>5158</v>
      </c>
      <c r="C1387" t="s">
        <v>5159</v>
      </c>
      <c r="D1387" t="s">
        <v>5160</v>
      </c>
      <c r="E1387" t="s">
        <v>5158</v>
      </c>
      <c r="F1387" t="s">
        <v>28</v>
      </c>
      <c r="G1387" t="s">
        <v>5158</v>
      </c>
      <c r="H1387" t="str">
        <f>"pri-1"</f>
        <v>pri-1</v>
      </c>
      <c r="I1387" t="s">
        <v>5160</v>
      </c>
      <c r="J1387">
        <v>12.4437808259904</v>
      </c>
      <c r="K1387">
        <v>12.6604058026436</v>
      </c>
      <c r="L1387">
        <v>12.606550854210401</v>
      </c>
      <c r="M1387">
        <v>12.4751154786921</v>
      </c>
      <c r="N1387">
        <v>12.4800291936078</v>
      </c>
      <c r="O1387">
        <v>12.4731049144655</v>
      </c>
      <c r="P1387">
        <v>-9.4162632026364407E-2</v>
      </c>
      <c r="Q1387">
        <v>-0.82498843343182604</v>
      </c>
      <c r="R1387">
        <v>0.63666316937909695</v>
      </c>
      <c r="S1387">
        <v>12.5961572838404</v>
      </c>
      <c r="T1387">
        <v>-0.27196607339921097</v>
      </c>
      <c r="U1387">
        <v>-6.8438071410771304</v>
      </c>
      <c r="V1387">
        <v>0.78894368387710001</v>
      </c>
      <c r="W1387">
        <v>0.99278624068726296</v>
      </c>
      <c r="X1387">
        <v>0</v>
      </c>
      <c r="Y1387">
        <v>0</v>
      </c>
    </row>
    <row r="1388" spans="1:25" x14ac:dyDescent="0.2">
      <c r="A1388" t="s">
        <v>5161</v>
      </c>
      <c r="B1388" t="s">
        <v>5162</v>
      </c>
      <c r="C1388" t="s">
        <v>5163</v>
      </c>
      <c r="D1388" t="s">
        <v>5164</v>
      </c>
      <c r="E1388" t="s">
        <v>5162</v>
      </c>
      <c r="F1388" t="s">
        <v>28</v>
      </c>
      <c r="G1388" t="s">
        <v>5162</v>
      </c>
      <c r="H1388" t="str">
        <f>"tbg-1"</f>
        <v>tbg-1</v>
      </c>
      <c r="I1388" t="s">
        <v>5164</v>
      </c>
      <c r="J1388">
        <v>11.6685146507092</v>
      </c>
      <c r="K1388">
        <v>11.2160586081002</v>
      </c>
      <c r="L1388">
        <v>12.0032429232686</v>
      </c>
      <c r="M1388">
        <v>11.51327967816</v>
      </c>
      <c r="N1388">
        <v>12.3255121508475</v>
      </c>
      <c r="O1388">
        <v>11.513723367879599</v>
      </c>
      <c r="P1388">
        <v>0.15489967160302401</v>
      </c>
      <c r="Q1388">
        <v>-0.543266068988981</v>
      </c>
      <c r="R1388">
        <v>0.85306541219502896</v>
      </c>
      <c r="S1388">
        <v>12.074526471133501</v>
      </c>
      <c r="T1388">
        <v>0.46831921407684202</v>
      </c>
      <c r="U1388">
        <v>-6.76828217595168</v>
      </c>
      <c r="V1388">
        <v>0.64554149711488495</v>
      </c>
      <c r="W1388">
        <v>0.97828599824401596</v>
      </c>
      <c r="X1388">
        <v>0</v>
      </c>
      <c r="Y1388">
        <v>0</v>
      </c>
    </row>
    <row r="1389" spans="1:25" x14ac:dyDescent="0.2">
      <c r="A1389" t="s">
        <v>5165</v>
      </c>
      <c r="B1389" t="s">
        <v>5166</v>
      </c>
      <c r="C1389" t="s">
        <v>5167</v>
      </c>
      <c r="D1389" t="s">
        <v>5168</v>
      </c>
      <c r="E1389" t="s">
        <v>5166</v>
      </c>
      <c r="F1389" t="s">
        <v>28</v>
      </c>
      <c r="G1389" t="s">
        <v>5166</v>
      </c>
      <c r="H1389" t="str">
        <f>"rpac-19"</f>
        <v>rpac-19</v>
      </c>
      <c r="I1389" t="s">
        <v>5168</v>
      </c>
      <c r="J1389">
        <v>12.402937557142</v>
      </c>
      <c r="K1389">
        <v>12.493590877124999</v>
      </c>
      <c r="L1389">
        <v>12.5729396837375</v>
      </c>
      <c r="M1389">
        <v>12.3075864969201</v>
      </c>
      <c r="N1389">
        <v>12.1329080194132</v>
      </c>
      <c r="O1389">
        <v>12.136424123596001</v>
      </c>
      <c r="P1389">
        <v>-0.297516492691763</v>
      </c>
      <c r="Q1389">
        <v>-1.0000160806090199</v>
      </c>
      <c r="R1389">
        <v>0.40498309522549802</v>
      </c>
      <c r="S1389">
        <v>12.331681592403401</v>
      </c>
      <c r="T1389">
        <v>-0.89395361508912696</v>
      </c>
      <c r="U1389">
        <v>-6.4733292066998001</v>
      </c>
      <c r="V1389">
        <v>0.38390476219778702</v>
      </c>
      <c r="W1389">
        <v>0.90101202298606098</v>
      </c>
      <c r="X1389">
        <v>0</v>
      </c>
      <c r="Y1389">
        <v>0</v>
      </c>
    </row>
    <row r="1390" spans="1:25" x14ac:dyDescent="0.2">
      <c r="A1390" t="s">
        <v>5169</v>
      </c>
      <c r="B1390" t="s">
        <v>5170</v>
      </c>
      <c r="C1390" t="s">
        <v>5171</v>
      </c>
      <c r="D1390" t="s">
        <v>5172</v>
      </c>
      <c r="E1390" t="s">
        <v>5170</v>
      </c>
      <c r="F1390" t="s">
        <v>28</v>
      </c>
      <c r="G1390" t="s">
        <v>5170</v>
      </c>
      <c r="H1390" t="str">
        <f>"ubc-7"</f>
        <v>ubc-7</v>
      </c>
      <c r="I1390" t="s">
        <v>5172</v>
      </c>
      <c r="J1390" t="s">
        <v>29</v>
      </c>
      <c r="K1390" t="s">
        <v>29</v>
      </c>
      <c r="L1390" t="s">
        <v>29</v>
      </c>
      <c r="M1390">
        <v>12.549900312444301</v>
      </c>
      <c r="N1390">
        <v>12.724232193640299</v>
      </c>
      <c r="O1390">
        <v>12.487697057935801</v>
      </c>
      <c r="P1390" t="s">
        <v>29</v>
      </c>
      <c r="Q1390" t="s">
        <v>29</v>
      </c>
      <c r="R1390" t="s">
        <v>29</v>
      </c>
      <c r="S1390">
        <v>12.6423784396312</v>
      </c>
      <c r="T1390" t="s">
        <v>29</v>
      </c>
      <c r="U1390" t="s">
        <v>29</v>
      </c>
      <c r="V1390" t="s">
        <v>29</v>
      </c>
      <c r="W1390" t="s">
        <v>29</v>
      </c>
      <c r="X1390" t="s">
        <v>29</v>
      </c>
      <c r="Y1390" t="s">
        <v>29</v>
      </c>
    </row>
    <row r="1391" spans="1:25" x14ac:dyDescent="0.2">
      <c r="A1391" t="s">
        <v>5173</v>
      </c>
      <c r="B1391" t="s">
        <v>5174</v>
      </c>
      <c r="C1391" t="s">
        <v>5175</v>
      </c>
      <c r="D1391" t="s">
        <v>5176</v>
      </c>
      <c r="E1391" t="s">
        <v>5174</v>
      </c>
      <c r="F1391" t="s">
        <v>28</v>
      </c>
      <c r="G1391" t="s">
        <v>5174</v>
      </c>
      <c r="H1391" t="str">
        <f>"mtss-1"</f>
        <v>mtss-1</v>
      </c>
      <c r="I1391" t="s">
        <v>5176</v>
      </c>
      <c r="J1391">
        <v>13.8958723586594</v>
      </c>
      <c r="K1391">
        <v>14.115482416385801</v>
      </c>
      <c r="L1391">
        <v>13.3847692401185</v>
      </c>
      <c r="M1391">
        <v>12.8078547576429</v>
      </c>
      <c r="N1391">
        <v>12.296507732579901</v>
      </c>
      <c r="O1391">
        <v>13.627394251458201</v>
      </c>
      <c r="P1391">
        <v>-0.88812242449425405</v>
      </c>
      <c r="Q1391">
        <v>-2.02830424825888</v>
      </c>
      <c r="R1391">
        <v>0.25205939927037402</v>
      </c>
      <c r="S1391">
        <v>12.7704903769419</v>
      </c>
      <c r="T1391">
        <v>-1.64417763192317</v>
      </c>
      <c r="U1391">
        <v>-5.5691935138802604</v>
      </c>
      <c r="V1391">
        <v>0.11861663707785</v>
      </c>
      <c r="W1391">
        <v>0.70633820408179904</v>
      </c>
      <c r="X1391">
        <v>0</v>
      </c>
      <c r="Y1391">
        <v>0</v>
      </c>
    </row>
    <row r="1392" spans="1:25" x14ac:dyDescent="0.2">
      <c r="A1392" t="s">
        <v>5177</v>
      </c>
      <c r="B1392" t="s">
        <v>5178</v>
      </c>
      <c r="C1392" t="s">
        <v>5179</v>
      </c>
      <c r="D1392" t="s">
        <v>5180</v>
      </c>
      <c r="E1392" t="s">
        <v>5178</v>
      </c>
      <c r="F1392" t="s">
        <v>28</v>
      </c>
      <c r="G1392" t="s">
        <v>5178</v>
      </c>
      <c r="H1392" t="str">
        <f>"mog-1"</f>
        <v>mog-1</v>
      </c>
      <c r="I1392" t="s">
        <v>5180</v>
      </c>
      <c r="J1392">
        <v>13.9651486347969</v>
      </c>
      <c r="K1392">
        <v>14.416020289018601</v>
      </c>
      <c r="L1392">
        <v>14.594733593613199</v>
      </c>
      <c r="M1392">
        <v>14.258615298581001</v>
      </c>
      <c r="N1392">
        <v>14.5666004313108</v>
      </c>
      <c r="O1392">
        <v>14.3085130008911</v>
      </c>
      <c r="P1392">
        <v>5.2608737784742801E-2</v>
      </c>
      <c r="Q1392">
        <v>-0.38591214724294198</v>
      </c>
      <c r="R1392">
        <v>0.491129622812428</v>
      </c>
      <c r="S1392">
        <v>14.761099614867801</v>
      </c>
      <c r="T1392">
        <v>0.25215066236366701</v>
      </c>
      <c r="U1392">
        <v>-6.8493286484257396</v>
      </c>
      <c r="V1392">
        <v>0.80379790137154505</v>
      </c>
      <c r="W1392">
        <v>0.99278624068726296</v>
      </c>
      <c r="X1392">
        <v>0</v>
      </c>
      <c r="Y1392">
        <v>0</v>
      </c>
    </row>
    <row r="1393" spans="1:25" x14ac:dyDescent="0.2">
      <c r="A1393" t="s">
        <v>5181</v>
      </c>
      <c r="B1393" t="s">
        <v>5182</v>
      </c>
      <c r="C1393" t="s">
        <v>5183</v>
      </c>
      <c r="D1393" t="s">
        <v>5184</v>
      </c>
      <c r="E1393" t="s">
        <v>5182</v>
      </c>
      <c r="F1393" t="s">
        <v>28</v>
      </c>
      <c r="G1393" t="s">
        <v>5182</v>
      </c>
      <c r="H1393" t="str">
        <f>"ttr-2"</f>
        <v>ttr-2</v>
      </c>
      <c r="I1393" t="s">
        <v>5184</v>
      </c>
      <c r="J1393">
        <v>12.506978104855</v>
      </c>
      <c r="K1393">
        <v>13.0792998657321</v>
      </c>
      <c r="L1393">
        <v>13.315510477941199</v>
      </c>
      <c r="M1393">
        <v>12.3856469651365</v>
      </c>
      <c r="N1393">
        <v>11.9555176885195</v>
      </c>
      <c r="O1393">
        <v>12.9437766217701</v>
      </c>
      <c r="P1393">
        <v>-0.53894905770069301</v>
      </c>
      <c r="Q1393">
        <v>-1.72508744399542</v>
      </c>
      <c r="R1393">
        <v>0.647189328594034</v>
      </c>
      <c r="S1393">
        <v>12.3846028775137</v>
      </c>
      <c r="T1393">
        <v>-0.95500329308807497</v>
      </c>
      <c r="U1393">
        <v>-6.4178219518626198</v>
      </c>
      <c r="V1393">
        <v>0.352299951016738</v>
      </c>
      <c r="W1393">
        <v>0.87950242192597095</v>
      </c>
      <c r="X1393">
        <v>0</v>
      </c>
      <c r="Y1393">
        <v>0</v>
      </c>
    </row>
    <row r="1394" spans="1:25" x14ac:dyDescent="0.2">
      <c r="A1394" t="s">
        <v>5185</v>
      </c>
      <c r="B1394" t="s">
        <v>5186</v>
      </c>
      <c r="C1394" t="s">
        <v>5187</v>
      </c>
      <c r="D1394" t="s">
        <v>5188</v>
      </c>
      <c r="E1394" t="s">
        <v>5186</v>
      </c>
      <c r="F1394" t="s">
        <v>28</v>
      </c>
      <c r="G1394" t="s">
        <v>5186</v>
      </c>
      <c r="H1394" t="str">
        <f>"vms-1"</f>
        <v>vms-1</v>
      </c>
      <c r="I1394" t="s">
        <v>5188</v>
      </c>
      <c r="J1394">
        <v>11.3406354044476</v>
      </c>
      <c r="K1394" t="s">
        <v>29</v>
      </c>
      <c r="L1394">
        <v>11.754406054358901</v>
      </c>
      <c r="M1394">
        <v>12.2634747107439</v>
      </c>
      <c r="N1394">
        <v>12.1499792995187</v>
      </c>
      <c r="O1394" t="s">
        <v>29</v>
      </c>
      <c r="P1394">
        <v>0.65920627572802104</v>
      </c>
      <c r="Q1394">
        <v>-1.6733197166618599E-2</v>
      </c>
      <c r="R1394">
        <v>1.3351457486226599</v>
      </c>
      <c r="S1394">
        <v>11.8940984194717</v>
      </c>
      <c r="T1394">
        <v>2.10863188349408</v>
      </c>
      <c r="U1394">
        <v>-4.6608661491425796</v>
      </c>
      <c r="V1394">
        <v>5.5112655708192397E-2</v>
      </c>
      <c r="W1394">
        <v>0.50667104474271896</v>
      </c>
      <c r="X1394">
        <v>0</v>
      </c>
      <c r="Y1394">
        <v>0</v>
      </c>
    </row>
    <row r="1395" spans="1:25" x14ac:dyDescent="0.2">
      <c r="A1395" t="s">
        <v>5189</v>
      </c>
      <c r="B1395" t="s">
        <v>5190</v>
      </c>
      <c r="C1395" t="s">
        <v>5191</v>
      </c>
      <c r="D1395" t="s">
        <v>5192</v>
      </c>
      <c r="E1395" t="s">
        <v>5190</v>
      </c>
      <c r="F1395" t="s">
        <v>28</v>
      </c>
      <c r="G1395" t="s">
        <v>5190</v>
      </c>
      <c r="H1395" t="str">
        <f>"grp-1"</f>
        <v>grp-1</v>
      </c>
      <c r="I1395" t="s">
        <v>5192</v>
      </c>
      <c r="J1395">
        <v>10.729293133010801</v>
      </c>
      <c r="K1395" t="s">
        <v>29</v>
      </c>
      <c r="L1395" t="s">
        <v>29</v>
      </c>
      <c r="M1395">
        <v>11.324401606885299</v>
      </c>
      <c r="N1395">
        <v>11.5385478105893</v>
      </c>
      <c r="O1395">
        <v>12.038495494498701</v>
      </c>
      <c r="P1395">
        <v>0.90452183764695504</v>
      </c>
      <c r="Q1395">
        <v>-0.14327062073087199</v>
      </c>
      <c r="R1395">
        <v>1.9523142960247799</v>
      </c>
      <c r="S1395">
        <v>11.859313795534201</v>
      </c>
      <c r="T1395">
        <v>1.8528304564626701</v>
      </c>
      <c r="U1395">
        <v>-4.9341402009630402</v>
      </c>
      <c r="V1395">
        <v>8.5263073040392906E-2</v>
      </c>
      <c r="W1395">
        <v>0.615177756454235</v>
      </c>
      <c r="X1395">
        <v>0</v>
      </c>
      <c r="Y1395">
        <v>0</v>
      </c>
    </row>
    <row r="1396" spans="1:25" x14ac:dyDescent="0.2">
      <c r="A1396" t="s">
        <v>5193</v>
      </c>
      <c r="B1396" t="s">
        <v>5194</v>
      </c>
      <c r="C1396" t="s">
        <v>5195</v>
      </c>
      <c r="D1396" t="s">
        <v>5196</v>
      </c>
      <c r="E1396" t="s">
        <v>5194</v>
      </c>
      <c r="F1396" t="s">
        <v>28</v>
      </c>
      <c r="G1396" t="s">
        <v>5194</v>
      </c>
      <c r="H1396" t="str">
        <f>"apc-2"</f>
        <v>apc-2</v>
      </c>
      <c r="I1396" t="s">
        <v>5196</v>
      </c>
      <c r="J1396" t="s">
        <v>29</v>
      </c>
      <c r="K1396" t="s">
        <v>29</v>
      </c>
      <c r="L1396" t="s">
        <v>29</v>
      </c>
      <c r="M1396" t="s">
        <v>29</v>
      </c>
      <c r="N1396" t="s">
        <v>29</v>
      </c>
      <c r="O1396" t="s">
        <v>29</v>
      </c>
      <c r="P1396" t="s">
        <v>29</v>
      </c>
      <c r="Q1396" t="s">
        <v>29</v>
      </c>
      <c r="R1396" t="s">
        <v>29</v>
      </c>
      <c r="S1396">
        <v>11.6133932399141</v>
      </c>
      <c r="T1396" t="s">
        <v>29</v>
      </c>
      <c r="U1396" t="s">
        <v>29</v>
      </c>
      <c r="V1396" t="s">
        <v>29</v>
      </c>
      <c r="W1396" t="s">
        <v>29</v>
      </c>
      <c r="X1396" t="s">
        <v>29</v>
      </c>
      <c r="Y1396" t="s">
        <v>29</v>
      </c>
    </row>
    <row r="1397" spans="1:25" x14ac:dyDescent="0.2">
      <c r="A1397" t="s">
        <v>5197</v>
      </c>
      <c r="B1397" t="s">
        <v>5198</v>
      </c>
      <c r="C1397" t="s">
        <v>5199</v>
      </c>
      <c r="D1397" t="s">
        <v>5200</v>
      </c>
      <c r="E1397" t="s">
        <v>5198</v>
      </c>
      <c r="F1397" t="s">
        <v>28</v>
      </c>
      <c r="G1397" t="s">
        <v>5198</v>
      </c>
      <c r="H1397" t="str">
        <f>"gpdh-2"</f>
        <v>gpdh-2</v>
      </c>
      <c r="I1397" t="s">
        <v>5200</v>
      </c>
      <c r="J1397">
        <v>15.620816166129201</v>
      </c>
      <c r="K1397">
        <v>15.378026457557899</v>
      </c>
      <c r="L1397">
        <v>15.4575255612585</v>
      </c>
      <c r="M1397">
        <v>15.606239595922499</v>
      </c>
      <c r="N1397">
        <v>15.8230169307959</v>
      </c>
      <c r="O1397">
        <v>15.289131528604401</v>
      </c>
      <c r="P1397">
        <v>8.7339956792366294E-2</v>
      </c>
      <c r="Q1397">
        <v>-0.29416520025376902</v>
      </c>
      <c r="R1397">
        <v>0.46884511383850203</v>
      </c>
      <c r="S1397">
        <v>15.3115772250181</v>
      </c>
      <c r="T1397">
        <v>0.48117723577356097</v>
      </c>
      <c r="U1397">
        <v>-6.7622986977074504</v>
      </c>
      <c r="V1397">
        <v>0.636221515122114</v>
      </c>
      <c r="W1397">
        <v>0.974482469585217</v>
      </c>
      <c r="X1397">
        <v>0</v>
      </c>
      <c r="Y1397">
        <v>0</v>
      </c>
    </row>
    <row r="1398" spans="1:25" x14ac:dyDescent="0.2">
      <c r="A1398" t="s">
        <v>5201</v>
      </c>
      <c r="B1398" t="s">
        <v>5202</v>
      </c>
      <c r="C1398" t="s">
        <v>5203</v>
      </c>
      <c r="D1398" t="s">
        <v>5204</v>
      </c>
      <c r="E1398" t="s">
        <v>5202</v>
      </c>
      <c r="F1398" t="s">
        <v>28</v>
      </c>
      <c r="G1398" t="s">
        <v>5202</v>
      </c>
      <c r="H1398" t="str">
        <f>"K11H3.3"</f>
        <v>K11H3.3</v>
      </c>
      <c r="I1398" t="s">
        <v>5204</v>
      </c>
      <c r="J1398">
        <v>17.028854126295201</v>
      </c>
      <c r="K1398">
        <v>16.964713728324199</v>
      </c>
      <c r="L1398">
        <v>16.896106608518799</v>
      </c>
      <c r="M1398">
        <v>16.7912356307869</v>
      </c>
      <c r="N1398">
        <v>16.7079415201176</v>
      </c>
      <c r="O1398">
        <v>16.8243209633067</v>
      </c>
      <c r="P1398">
        <v>-0.18872544964229501</v>
      </c>
      <c r="Q1398">
        <v>-0.51772581661747696</v>
      </c>
      <c r="R1398">
        <v>0.14027491733288699</v>
      </c>
      <c r="S1398">
        <v>16.618010067977799</v>
      </c>
      <c r="T1398">
        <v>-1.2056648496661899</v>
      </c>
      <c r="U1398">
        <v>-6.15254651131161</v>
      </c>
      <c r="V1398">
        <v>0.243647318444145</v>
      </c>
      <c r="W1398">
        <v>0.82513725030013996</v>
      </c>
      <c r="X1398">
        <v>0</v>
      </c>
      <c r="Y1398">
        <v>0</v>
      </c>
    </row>
    <row r="1399" spans="1:25" x14ac:dyDescent="0.2">
      <c r="A1399" t="s">
        <v>5205</v>
      </c>
      <c r="B1399" t="s">
        <v>5206</v>
      </c>
      <c r="C1399" t="s">
        <v>5207</v>
      </c>
      <c r="D1399" t="s">
        <v>5208</v>
      </c>
      <c r="E1399" t="s">
        <v>5206</v>
      </c>
      <c r="F1399" t="s">
        <v>28</v>
      </c>
      <c r="G1399" t="s">
        <v>5206</v>
      </c>
      <c r="H1399" t="str">
        <f>"K12H4.3"</f>
        <v>K12H4.3</v>
      </c>
      <c r="I1399" t="s">
        <v>5208</v>
      </c>
      <c r="J1399">
        <v>15.2381207356826</v>
      </c>
      <c r="K1399">
        <v>15.2732959965793</v>
      </c>
      <c r="L1399">
        <v>15.14300086615</v>
      </c>
      <c r="M1399">
        <v>15.1086865269735</v>
      </c>
      <c r="N1399">
        <v>14.844832446122499</v>
      </c>
      <c r="O1399">
        <v>15.248200034063</v>
      </c>
      <c r="P1399">
        <v>-0.15089953041760401</v>
      </c>
      <c r="Q1399">
        <v>-0.533883052470012</v>
      </c>
      <c r="R1399">
        <v>0.232083991634804</v>
      </c>
      <c r="S1399">
        <v>14.8939745754346</v>
      </c>
      <c r="T1399">
        <v>-0.82813342265135204</v>
      </c>
      <c r="U1399">
        <v>-6.5309225334970904</v>
      </c>
      <c r="V1399">
        <v>0.41850310989300599</v>
      </c>
      <c r="W1399">
        <v>0.91512503332874395</v>
      </c>
      <c r="X1399">
        <v>0</v>
      </c>
      <c r="Y1399">
        <v>0</v>
      </c>
    </row>
    <row r="1400" spans="1:25" x14ac:dyDescent="0.2">
      <c r="A1400" t="s">
        <v>5209</v>
      </c>
      <c r="B1400" t="s">
        <v>5210</v>
      </c>
      <c r="C1400" t="s">
        <v>5211</v>
      </c>
      <c r="D1400" t="s">
        <v>5212</v>
      </c>
      <c r="E1400" t="s">
        <v>5210</v>
      </c>
      <c r="F1400" t="s">
        <v>28</v>
      </c>
      <c r="G1400" t="s">
        <v>5210</v>
      </c>
      <c r="H1400" t="str">
        <f>"spcs-3"</f>
        <v>spcs-3</v>
      </c>
      <c r="I1400" t="s">
        <v>5212</v>
      </c>
      <c r="J1400">
        <v>13.6777642484913</v>
      </c>
      <c r="K1400">
        <v>13.804572733276199</v>
      </c>
      <c r="L1400">
        <v>14.161381309584</v>
      </c>
      <c r="M1400">
        <v>14.5012953841381</v>
      </c>
      <c r="N1400">
        <v>13.3663286582404</v>
      </c>
      <c r="O1400">
        <v>14.194726953927599</v>
      </c>
      <c r="P1400">
        <v>0.13954423498486099</v>
      </c>
      <c r="Q1400">
        <v>-0.57326937340899697</v>
      </c>
      <c r="R1400">
        <v>0.85235784337871801</v>
      </c>
      <c r="S1400">
        <v>13.4716110084407</v>
      </c>
      <c r="T1400">
        <v>0.41522686714412499</v>
      </c>
      <c r="U1400">
        <v>-6.7922973636552602</v>
      </c>
      <c r="V1400">
        <v>0.68352668486247203</v>
      </c>
      <c r="W1400">
        <v>0.98642420921484297</v>
      </c>
      <c r="X1400">
        <v>0</v>
      </c>
      <c r="Y1400">
        <v>0</v>
      </c>
    </row>
    <row r="1401" spans="1:25" x14ac:dyDescent="0.2">
      <c r="A1401" t="s">
        <v>5213</v>
      </c>
      <c r="B1401" t="s">
        <v>5214</v>
      </c>
      <c r="C1401" t="s">
        <v>5215</v>
      </c>
      <c r="D1401" t="s">
        <v>5216</v>
      </c>
      <c r="E1401" t="s">
        <v>5214</v>
      </c>
      <c r="F1401" t="s">
        <v>28</v>
      </c>
      <c r="G1401" t="s">
        <v>5214</v>
      </c>
      <c r="H1401" t="str">
        <f>"dcr-1"</f>
        <v>dcr-1</v>
      </c>
      <c r="I1401" t="s">
        <v>5216</v>
      </c>
      <c r="J1401">
        <v>14.182833812895099</v>
      </c>
      <c r="K1401">
        <v>14.1641729588441</v>
      </c>
      <c r="L1401">
        <v>13.971575668826199</v>
      </c>
      <c r="M1401">
        <v>14.0617725107182</v>
      </c>
      <c r="N1401">
        <v>14.131400435204499</v>
      </c>
      <c r="O1401">
        <v>13.965920721457501</v>
      </c>
      <c r="P1401">
        <v>-5.31629243951173E-2</v>
      </c>
      <c r="Q1401">
        <v>-1.0477946999564001</v>
      </c>
      <c r="R1401">
        <v>0.94146885116616896</v>
      </c>
      <c r="S1401">
        <v>14.3588262545705</v>
      </c>
      <c r="T1401">
        <v>-0.11234119681441999</v>
      </c>
      <c r="U1401">
        <v>-6.8758977116685198</v>
      </c>
      <c r="V1401">
        <v>0.91180346514824695</v>
      </c>
      <c r="W1401">
        <v>0.99833354317360001</v>
      </c>
      <c r="X1401">
        <v>0</v>
      </c>
      <c r="Y1401">
        <v>0</v>
      </c>
    </row>
    <row r="1402" spans="1:25" x14ac:dyDescent="0.2">
      <c r="A1402" t="s">
        <v>5217</v>
      </c>
      <c r="B1402" t="s">
        <v>5218</v>
      </c>
      <c r="C1402" t="s">
        <v>5219</v>
      </c>
      <c r="D1402" t="s">
        <v>5220</v>
      </c>
      <c r="E1402" t="s">
        <v>5218</v>
      </c>
      <c r="F1402" t="s">
        <v>28</v>
      </c>
      <c r="G1402" t="s">
        <v>5218</v>
      </c>
      <c r="H1402" t="str">
        <f>"R05D3.12"</f>
        <v>R05D3.12</v>
      </c>
      <c r="I1402" t="s">
        <v>5220</v>
      </c>
      <c r="J1402" t="s">
        <v>29</v>
      </c>
      <c r="K1402">
        <v>11.468713827162199</v>
      </c>
      <c r="L1402" t="s">
        <v>29</v>
      </c>
      <c r="M1402" t="s">
        <v>29</v>
      </c>
      <c r="N1402">
        <v>11.7695400601174</v>
      </c>
      <c r="O1402" t="s">
        <v>29</v>
      </c>
      <c r="P1402">
        <v>0.300826232955204</v>
      </c>
      <c r="Q1402">
        <v>-1.2333206159888599</v>
      </c>
      <c r="R1402">
        <v>1.83497308189927</v>
      </c>
      <c r="S1402">
        <v>11.825864244051401</v>
      </c>
      <c r="T1402">
        <v>0.42765522791981703</v>
      </c>
      <c r="U1402">
        <v>-6.2480130670179399</v>
      </c>
      <c r="V1402">
        <v>0.67654206847056697</v>
      </c>
      <c r="W1402">
        <v>0.98642420921484297</v>
      </c>
      <c r="X1402">
        <v>0</v>
      </c>
      <c r="Y1402">
        <v>0</v>
      </c>
    </row>
    <row r="1403" spans="1:25" x14ac:dyDescent="0.2">
      <c r="A1403" t="s">
        <v>5221</v>
      </c>
      <c r="B1403" t="s">
        <v>5222</v>
      </c>
      <c r="C1403" t="s">
        <v>5223</v>
      </c>
      <c r="D1403" t="s">
        <v>5224</v>
      </c>
      <c r="E1403" t="s">
        <v>5222</v>
      </c>
      <c r="F1403" t="s">
        <v>28</v>
      </c>
      <c r="G1403" t="s">
        <v>5222</v>
      </c>
      <c r="H1403" t="str">
        <f>"rfp-1"</f>
        <v>rfp-1</v>
      </c>
      <c r="I1403" t="s">
        <v>5224</v>
      </c>
      <c r="J1403">
        <v>11.248834907491201</v>
      </c>
      <c r="K1403">
        <v>11.0183464851442</v>
      </c>
      <c r="L1403">
        <v>10.9646998386904</v>
      </c>
      <c r="M1403" t="s">
        <v>29</v>
      </c>
      <c r="N1403">
        <v>11.3580926101362</v>
      </c>
      <c r="O1403" t="s">
        <v>29</v>
      </c>
      <c r="P1403">
        <v>0.28079886636090001</v>
      </c>
      <c r="Q1403">
        <v>-0.45473647525987998</v>
      </c>
      <c r="R1403">
        <v>1.0163342079816799</v>
      </c>
      <c r="S1403">
        <v>11.744753317930099</v>
      </c>
      <c r="T1403">
        <v>0.83260078827543305</v>
      </c>
      <c r="U1403">
        <v>-6.1834979665032597</v>
      </c>
      <c r="V1403">
        <v>0.42147226607117799</v>
      </c>
      <c r="W1403">
        <v>0.91512503332874395</v>
      </c>
      <c r="X1403">
        <v>0</v>
      </c>
      <c r="Y1403">
        <v>0</v>
      </c>
    </row>
    <row r="1404" spans="1:25" x14ac:dyDescent="0.2">
      <c r="A1404" t="s">
        <v>5225</v>
      </c>
      <c r="B1404" t="s">
        <v>5226</v>
      </c>
      <c r="C1404" t="s">
        <v>5227</v>
      </c>
      <c r="D1404" t="s">
        <v>5228</v>
      </c>
      <c r="E1404" t="s">
        <v>5226</v>
      </c>
      <c r="F1404" t="s">
        <v>28</v>
      </c>
      <c r="G1404" t="s">
        <v>5226</v>
      </c>
      <c r="H1404" t="str">
        <f>"unc-116"</f>
        <v>unc-116</v>
      </c>
      <c r="I1404" t="s">
        <v>5228</v>
      </c>
      <c r="J1404">
        <v>15.678768075947501</v>
      </c>
      <c r="K1404">
        <v>15.5785606488355</v>
      </c>
      <c r="L1404">
        <v>15.2494201854489</v>
      </c>
      <c r="M1404">
        <v>15.6875919825659</v>
      </c>
      <c r="N1404">
        <v>15.6312298205148</v>
      </c>
      <c r="O1404">
        <v>15.577499214534299</v>
      </c>
      <c r="P1404">
        <v>0.12985736912770901</v>
      </c>
      <c r="Q1404">
        <v>-0.26540576340267502</v>
      </c>
      <c r="R1404">
        <v>0.52512050165809399</v>
      </c>
      <c r="S1404">
        <v>15.374018506470099</v>
      </c>
      <c r="T1404">
        <v>0.69051450353996502</v>
      </c>
      <c r="U1404">
        <v>-6.6366519467109502</v>
      </c>
      <c r="V1404">
        <v>0.49872991518487803</v>
      </c>
      <c r="W1404">
        <v>0.94062983959761604</v>
      </c>
      <c r="X1404">
        <v>0</v>
      </c>
      <c r="Y1404">
        <v>0</v>
      </c>
    </row>
    <row r="1405" spans="1:25" x14ac:dyDescent="0.2">
      <c r="A1405" t="s">
        <v>5229</v>
      </c>
      <c r="B1405" t="s">
        <v>5230</v>
      </c>
      <c r="C1405" t="s">
        <v>5231</v>
      </c>
      <c r="D1405" t="s">
        <v>5232</v>
      </c>
      <c r="E1405" t="s">
        <v>5230</v>
      </c>
      <c r="F1405" t="s">
        <v>28</v>
      </c>
      <c r="G1405" t="s">
        <v>5230</v>
      </c>
      <c r="H1405" t="str">
        <f>"R05D3.9/R05D3.10"</f>
        <v>R05D3.9/R05D3.10</v>
      </c>
      <c r="I1405" t="s">
        <v>5232</v>
      </c>
      <c r="J1405">
        <v>12.385141535916</v>
      </c>
      <c r="K1405">
        <v>12.1926400769373</v>
      </c>
      <c r="L1405">
        <v>12.752592349375901</v>
      </c>
      <c r="M1405">
        <v>12.253832667926099</v>
      </c>
      <c r="N1405">
        <v>12.9951128288712</v>
      </c>
      <c r="O1405">
        <v>12.5113533663288</v>
      </c>
      <c r="P1405">
        <v>0.14330830029893901</v>
      </c>
      <c r="Q1405">
        <v>-0.30498418395189703</v>
      </c>
      <c r="R1405">
        <v>0.59160078454977505</v>
      </c>
      <c r="S1405">
        <v>12.7803970924232</v>
      </c>
      <c r="T1405">
        <v>0.67477642403371696</v>
      </c>
      <c r="U1405">
        <v>-6.6470305566886596</v>
      </c>
      <c r="V1405">
        <v>0.50894728571006098</v>
      </c>
      <c r="W1405">
        <v>0.94062983959761604</v>
      </c>
      <c r="X1405">
        <v>0</v>
      </c>
      <c r="Y1405">
        <v>0</v>
      </c>
    </row>
    <row r="1406" spans="1:25" x14ac:dyDescent="0.2">
      <c r="A1406" t="s">
        <v>5233</v>
      </c>
      <c r="B1406" t="s">
        <v>5234</v>
      </c>
      <c r="C1406" t="s">
        <v>5235</v>
      </c>
      <c r="D1406" t="s">
        <v>5236</v>
      </c>
      <c r="E1406" t="s">
        <v>5234</v>
      </c>
      <c r="F1406" t="s">
        <v>28</v>
      </c>
      <c r="G1406" t="s">
        <v>5234</v>
      </c>
      <c r="H1406" t="str">
        <f>"met-2"</f>
        <v>met-2</v>
      </c>
      <c r="I1406" t="s">
        <v>5236</v>
      </c>
      <c r="J1406">
        <v>11.0095918363564</v>
      </c>
      <c r="K1406">
        <v>11.3690473152629</v>
      </c>
      <c r="L1406">
        <v>11.219486572823801</v>
      </c>
      <c r="M1406">
        <v>11.2261575280038</v>
      </c>
      <c r="N1406">
        <v>12.2568177571112</v>
      </c>
      <c r="O1406">
        <v>12.011419094013499</v>
      </c>
      <c r="P1406">
        <v>0.63208955156181901</v>
      </c>
      <c r="Q1406">
        <v>3.8944156708205099E-2</v>
      </c>
      <c r="R1406">
        <v>1.22523494641543</v>
      </c>
      <c r="S1406">
        <v>12.3666838250537</v>
      </c>
      <c r="T1406">
        <v>2.2494039929972698</v>
      </c>
      <c r="U1406">
        <v>-4.5661041083187603</v>
      </c>
      <c r="V1406">
        <v>3.81162605121921E-2</v>
      </c>
      <c r="W1406">
        <v>0.42323366778142302</v>
      </c>
      <c r="X1406">
        <v>0</v>
      </c>
      <c r="Y1406">
        <v>0</v>
      </c>
    </row>
    <row r="1407" spans="1:25" x14ac:dyDescent="0.2">
      <c r="A1407" t="s">
        <v>5237</v>
      </c>
      <c r="B1407" t="s">
        <v>5238</v>
      </c>
      <c r="C1407" t="s">
        <v>5239</v>
      </c>
      <c r="D1407" t="s">
        <v>5240</v>
      </c>
      <c r="E1407" t="s">
        <v>5238</v>
      </c>
      <c r="F1407" t="s">
        <v>28</v>
      </c>
      <c r="G1407" t="s">
        <v>5238</v>
      </c>
      <c r="H1407" t="str">
        <f>"cbp-1"</f>
        <v>cbp-1</v>
      </c>
      <c r="I1407" t="s">
        <v>5240</v>
      </c>
      <c r="J1407">
        <v>11.3175618342609</v>
      </c>
      <c r="K1407">
        <v>11.787044413182601</v>
      </c>
      <c r="L1407">
        <v>11.5336452321161</v>
      </c>
      <c r="M1407">
        <v>10.9990655068364</v>
      </c>
      <c r="N1407">
        <v>11.7606654558054</v>
      </c>
      <c r="O1407">
        <v>11.7670405343012</v>
      </c>
      <c r="P1407">
        <v>-3.7159994205517001E-2</v>
      </c>
      <c r="Q1407">
        <v>-0.73945653888171203</v>
      </c>
      <c r="R1407">
        <v>0.66513655047067799</v>
      </c>
      <c r="S1407">
        <v>12.2961069912264</v>
      </c>
      <c r="T1407">
        <v>-0.11168764124403199</v>
      </c>
      <c r="U1407">
        <v>-6.8759538858014899</v>
      </c>
      <c r="V1407">
        <v>0.91238725854573099</v>
      </c>
      <c r="W1407">
        <v>0.99833354317360001</v>
      </c>
      <c r="X1407">
        <v>0</v>
      </c>
      <c r="Y1407">
        <v>0</v>
      </c>
    </row>
    <row r="1408" spans="1:25" x14ac:dyDescent="0.2">
      <c r="A1408" t="s">
        <v>5241</v>
      </c>
      <c r="B1408" t="s">
        <v>5242</v>
      </c>
      <c r="C1408" t="s">
        <v>5243</v>
      </c>
      <c r="D1408" t="s">
        <v>5244</v>
      </c>
      <c r="E1408" t="s">
        <v>5242</v>
      </c>
      <c r="F1408" t="s">
        <v>28</v>
      </c>
      <c r="G1408" t="s">
        <v>5242</v>
      </c>
      <c r="H1408" t="str">
        <f>"usp-46"</f>
        <v>usp-46</v>
      </c>
      <c r="I1408" t="s">
        <v>5244</v>
      </c>
      <c r="J1408">
        <v>13.3591026563076</v>
      </c>
      <c r="K1408">
        <v>13.007645823341701</v>
      </c>
      <c r="L1408">
        <v>13.2555780041695</v>
      </c>
      <c r="M1408">
        <v>13.1600850182671</v>
      </c>
      <c r="N1408">
        <v>13.824623426222001</v>
      </c>
      <c r="O1408">
        <v>13.353652221975301</v>
      </c>
      <c r="P1408">
        <v>0.238678060881861</v>
      </c>
      <c r="Q1408">
        <v>-0.46661388470738502</v>
      </c>
      <c r="R1408">
        <v>0.94397000647110796</v>
      </c>
      <c r="S1408">
        <v>13.210485731814799</v>
      </c>
      <c r="T1408">
        <v>0.71778289768928705</v>
      </c>
      <c r="U1408">
        <v>-6.6158429929225298</v>
      </c>
      <c r="V1408">
        <v>0.48330803706055803</v>
      </c>
      <c r="W1408">
        <v>0.93841840568117696</v>
      </c>
      <c r="X1408">
        <v>0</v>
      </c>
      <c r="Y1408">
        <v>0</v>
      </c>
    </row>
    <row r="1409" spans="1:25" x14ac:dyDescent="0.2">
      <c r="A1409" t="s">
        <v>5245</v>
      </c>
      <c r="B1409" t="s">
        <v>5246</v>
      </c>
      <c r="C1409" t="s">
        <v>5247</v>
      </c>
      <c r="D1409" t="s">
        <v>5248</v>
      </c>
      <c r="E1409" t="s">
        <v>5246</v>
      </c>
      <c r="F1409" t="s">
        <v>28</v>
      </c>
      <c r="G1409" t="s">
        <v>5246</v>
      </c>
      <c r="H1409" t="str">
        <f>"sqv-3"</f>
        <v>sqv-3</v>
      </c>
      <c r="I1409" t="s">
        <v>5248</v>
      </c>
      <c r="J1409">
        <v>13.005401326404799</v>
      </c>
      <c r="K1409">
        <v>13.323869782933601</v>
      </c>
      <c r="L1409">
        <v>13.2235468624354</v>
      </c>
      <c r="M1409" t="s">
        <v>29</v>
      </c>
      <c r="N1409">
        <v>13.553201985183501</v>
      </c>
      <c r="O1409">
        <v>13.055398867544699</v>
      </c>
      <c r="P1409">
        <v>0.120027769106178</v>
      </c>
      <c r="Q1409">
        <v>-0.56027658136826697</v>
      </c>
      <c r="R1409">
        <v>0.800332119580624</v>
      </c>
      <c r="S1409">
        <v>12.715760432952001</v>
      </c>
      <c r="T1409">
        <v>0.37867826508560698</v>
      </c>
      <c r="U1409">
        <v>-6.6967278342244798</v>
      </c>
      <c r="V1409">
        <v>0.71064989552523405</v>
      </c>
      <c r="W1409">
        <v>0.98786722894487999</v>
      </c>
      <c r="X1409">
        <v>0</v>
      </c>
      <c r="Y1409">
        <v>0</v>
      </c>
    </row>
    <row r="1410" spans="1:25" x14ac:dyDescent="0.2">
      <c r="A1410" t="s">
        <v>5249</v>
      </c>
      <c r="B1410" t="s">
        <v>5250</v>
      </c>
      <c r="C1410" t="s">
        <v>5251</v>
      </c>
      <c r="D1410" t="s">
        <v>5252</v>
      </c>
      <c r="E1410" t="s">
        <v>5250</v>
      </c>
      <c r="F1410" t="s">
        <v>28</v>
      </c>
      <c r="G1410" t="s">
        <v>5250</v>
      </c>
      <c r="H1410" t="str">
        <f>"alx-1"</f>
        <v>alx-1</v>
      </c>
      <c r="I1410" t="s">
        <v>5252</v>
      </c>
      <c r="J1410">
        <v>12.076039040162</v>
      </c>
      <c r="K1410" t="s">
        <v>29</v>
      </c>
      <c r="L1410" t="s">
        <v>29</v>
      </c>
      <c r="M1410">
        <v>12.415772922492801</v>
      </c>
      <c r="N1410">
        <v>11.847372129296801</v>
      </c>
      <c r="O1410">
        <v>11.7156742627469</v>
      </c>
      <c r="P1410">
        <v>-8.3099268649789296E-2</v>
      </c>
      <c r="Q1410">
        <v>-1.2056813332668299</v>
      </c>
      <c r="R1410">
        <v>1.0394827959672499</v>
      </c>
      <c r="S1410">
        <v>11.970170698086701</v>
      </c>
      <c r="T1410">
        <v>-0.15787766994604399</v>
      </c>
      <c r="U1410">
        <v>-6.5280272298820696</v>
      </c>
      <c r="V1410">
        <v>0.87667359497221597</v>
      </c>
      <c r="W1410">
        <v>0.99702926582654094</v>
      </c>
      <c r="X1410">
        <v>0</v>
      </c>
      <c r="Y1410">
        <v>0</v>
      </c>
    </row>
    <row r="1411" spans="1:25" x14ac:dyDescent="0.2">
      <c r="A1411" t="s">
        <v>5253</v>
      </c>
      <c r="B1411" t="s">
        <v>5254</v>
      </c>
      <c r="C1411" t="s">
        <v>5255</v>
      </c>
      <c r="D1411" t="s">
        <v>5256</v>
      </c>
      <c r="E1411" t="s">
        <v>5254</v>
      </c>
      <c r="F1411" t="s">
        <v>28</v>
      </c>
      <c r="G1411" t="s">
        <v>5254</v>
      </c>
      <c r="H1411" t="str">
        <f>"cdk-1"</f>
        <v>cdk-1</v>
      </c>
      <c r="I1411" t="s">
        <v>5256</v>
      </c>
      <c r="J1411">
        <v>15.842264184717401</v>
      </c>
      <c r="K1411">
        <v>15.8023995485744</v>
      </c>
      <c r="L1411">
        <v>15.8056358507013</v>
      </c>
      <c r="M1411">
        <v>15.865014431319601</v>
      </c>
      <c r="N1411">
        <v>15.577507269657501</v>
      </c>
      <c r="O1411">
        <v>15.745475164220601</v>
      </c>
      <c r="P1411">
        <v>-8.7434239598478E-2</v>
      </c>
      <c r="Q1411">
        <v>-0.51272158153531</v>
      </c>
      <c r="R1411">
        <v>0.33785310233835403</v>
      </c>
      <c r="S1411">
        <v>15.9522526535194</v>
      </c>
      <c r="T1411">
        <v>-0.43210729051872099</v>
      </c>
      <c r="U1411">
        <v>-6.7854411045186396</v>
      </c>
      <c r="V1411">
        <v>0.67082526020755295</v>
      </c>
      <c r="W1411">
        <v>0.98642420921484297</v>
      </c>
      <c r="X1411">
        <v>0</v>
      </c>
      <c r="Y1411">
        <v>0</v>
      </c>
    </row>
    <row r="1412" spans="1:25" x14ac:dyDescent="0.2">
      <c r="A1412" t="s">
        <v>5257</v>
      </c>
      <c r="B1412" t="s">
        <v>5258</v>
      </c>
      <c r="C1412" t="s">
        <v>5259</v>
      </c>
      <c r="D1412" t="s">
        <v>5260</v>
      </c>
      <c r="E1412" t="s">
        <v>5258</v>
      </c>
      <c r="F1412" t="s">
        <v>28</v>
      </c>
      <c r="G1412" t="s">
        <v>5258</v>
      </c>
      <c r="H1412" t="str">
        <f>"T05G5.5"</f>
        <v>T05G5.5</v>
      </c>
      <c r="I1412" t="s">
        <v>5260</v>
      </c>
      <c r="J1412">
        <v>12.391707495822599</v>
      </c>
      <c r="K1412">
        <v>12.513948042363999</v>
      </c>
      <c r="L1412">
        <v>12.235560685586799</v>
      </c>
      <c r="M1412">
        <v>12.3525918027493</v>
      </c>
      <c r="N1412">
        <v>12.217637038725901</v>
      </c>
      <c r="O1412">
        <v>12.1764564143395</v>
      </c>
      <c r="P1412">
        <v>-0.131510322652925</v>
      </c>
      <c r="Q1412">
        <v>-0.62264395885906199</v>
      </c>
      <c r="R1412">
        <v>0.35962331355321198</v>
      </c>
      <c r="S1412">
        <v>12.080359190275701</v>
      </c>
      <c r="T1412">
        <v>-0.56794946460078399</v>
      </c>
      <c r="U1412">
        <v>-6.7145428872872204</v>
      </c>
      <c r="V1412">
        <v>0.57800463518787903</v>
      </c>
      <c r="W1412">
        <v>0.96154852663020995</v>
      </c>
      <c r="X1412">
        <v>0</v>
      </c>
      <c r="Y1412">
        <v>0</v>
      </c>
    </row>
    <row r="1413" spans="1:25" x14ac:dyDescent="0.2">
      <c r="A1413" t="s">
        <v>5261</v>
      </c>
      <c r="B1413" t="s">
        <v>5262</v>
      </c>
      <c r="C1413" t="s">
        <v>5263</v>
      </c>
      <c r="D1413" t="s">
        <v>5264</v>
      </c>
      <c r="E1413" t="s">
        <v>5262</v>
      </c>
      <c r="F1413" t="s">
        <v>28</v>
      </c>
      <c r="G1413" t="s">
        <v>5262</v>
      </c>
      <c r="H1413" t="str">
        <f>"ech-6"</f>
        <v>ech-6</v>
      </c>
      <c r="I1413" t="s">
        <v>5264</v>
      </c>
      <c r="J1413">
        <v>14.0390969873517</v>
      </c>
      <c r="K1413">
        <v>14.022945809387201</v>
      </c>
      <c r="L1413">
        <v>14.3860402620878</v>
      </c>
      <c r="M1413">
        <v>14.2679341527734</v>
      </c>
      <c r="N1413">
        <v>14.060104350217999</v>
      </c>
      <c r="O1413">
        <v>13.789835909076899</v>
      </c>
      <c r="P1413">
        <v>-0.110069548919515</v>
      </c>
      <c r="Q1413">
        <v>-0.79454588723750197</v>
      </c>
      <c r="R1413">
        <v>0.57440678939847101</v>
      </c>
      <c r="S1413">
        <v>14.102422870866</v>
      </c>
      <c r="T1413">
        <v>-0.339436671602036</v>
      </c>
      <c r="U1413">
        <v>-6.8223072920441403</v>
      </c>
      <c r="V1413">
        <v>0.73846364197632697</v>
      </c>
      <c r="W1413">
        <v>0.99147544347995398</v>
      </c>
      <c r="X1413">
        <v>0</v>
      </c>
      <c r="Y1413">
        <v>0</v>
      </c>
    </row>
    <row r="1414" spans="1:25" x14ac:dyDescent="0.2">
      <c r="A1414" t="s">
        <v>5265</v>
      </c>
      <c r="B1414" t="s">
        <v>5266</v>
      </c>
      <c r="C1414" t="s">
        <v>5267</v>
      </c>
      <c r="D1414" t="s">
        <v>4445</v>
      </c>
      <c r="E1414" t="s">
        <v>5266</v>
      </c>
      <c r="F1414" t="s">
        <v>28</v>
      </c>
      <c r="G1414" t="s">
        <v>5266</v>
      </c>
      <c r="H1414" t="str">
        <f>"rmd-1"</f>
        <v>rmd-1</v>
      </c>
      <c r="I1414" t="s">
        <v>4445</v>
      </c>
      <c r="J1414" t="s">
        <v>29</v>
      </c>
      <c r="K1414" t="s">
        <v>29</v>
      </c>
      <c r="L1414">
        <v>10.858343183553</v>
      </c>
      <c r="M1414">
        <v>10.1245914532703</v>
      </c>
      <c r="N1414">
        <v>11.9268894109901</v>
      </c>
      <c r="O1414" t="s">
        <v>29</v>
      </c>
      <c r="P1414">
        <v>0.16739724857715599</v>
      </c>
      <c r="Q1414">
        <v>-1.2797963668993499</v>
      </c>
      <c r="R1414">
        <v>1.6145908640536699</v>
      </c>
      <c r="S1414">
        <v>12.397035295987701</v>
      </c>
      <c r="T1414">
        <v>0.25488798901099302</v>
      </c>
      <c r="U1414">
        <v>-6.4488783807363204</v>
      </c>
      <c r="V1414">
        <v>0.80355680068532098</v>
      </c>
      <c r="W1414">
        <v>0.99278624068726296</v>
      </c>
      <c r="X1414">
        <v>0</v>
      </c>
      <c r="Y1414">
        <v>0</v>
      </c>
    </row>
    <row r="1415" spans="1:25" x14ac:dyDescent="0.2">
      <c r="A1415" t="s">
        <v>5268</v>
      </c>
      <c r="B1415" t="s">
        <v>5269</v>
      </c>
      <c r="C1415" t="s">
        <v>5270</v>
      </c>
      <c r="D1415" t="s">
        <v>5271</v>
      </c>
      <c r="E1415" t="s">
        <v>5269</v>
      </c>
      <c r="F1415" t="s">
        <v>28</v>
      </c>
      <c r="G1415" t="s">
        <v>5269</v>
      </c>
      <c r="H1415" t="str">
        <f>"iff-1"</f>
        <v>iff-1</v>
      </c>
      <c r="I1415" t="s">
        <v>5271</v>
      </c>
      <c r="J1415">
        <v>18.784250631812501</v>
      </c>
      <c r="K1415">
        <v>18.3609309181033</v>
      </c>
      <c r="L1415">
        <v>18.8269715603316</v>
      </c>
      <c r="M1415">
        <v>18.518064958381501</v>
      </c>
      <c r="N1415">
        <v>18.428277361713601</v>
      </c>
      <c r="O1415">
        <v>18.547345079254999</v>
      </c>
      <c r="P1415">
        <v>-0.159488570299128</v>
      </c>
      <c r="Q1415">
        <v>-0.57363392497215504</v>
      </c>
      <c r="R1415">
        <v>0.25465678437389899</v>
      </c>
      <c r="S1415">
        <v>18.5562186729506</v>
      </c>
      <c r="T1415">
        <v>-0.809411338214586</v>
      </c>
      <c r="U1415">
        <v>-6.5463569488391604</v>
      </c>
      <c r="V1415">
        <v>0.428910216295881</v>
      </c>
      <c r="W1415">
        <v>0.91512503332874395</v>
      </c>
      <c r="X1415">
        <v>0</v>
      </c>
      <c r="Y1415">
        <v>0</v>
      </c>
    </row>
    <row r="1416" spans="1:25" x14ac:dyDescent="0.2">
      <c r="A1416" t="s">
        <v>5272</v>
      </c>
      <c r="B1416" t="s">
        <v>5273</v>
      </c>
      <c r="C1416" t="s">
        <v>5274</v>
      </c>
      <c r="D1416" t="s">
        <v>5275</v>
      </c>
      <c r="E1416" t="s">
        <v>5273</v>
      </c>
      <c r="F1416" t="s">
        <v>28</v>
      </c>
      <c r="G1416" t="s">
        <v>5273</v>
      </c>
      <c r="H1416" t="str">
        <f>"T16H12.3"</f>
        <v>T16H12.3</v>
      </c>
      <c r="I1416" t="s">
        <v>5275</v>
      </c>
      <c r="J1416">
        <v>12.5367688330959</v>
      </c>
      <c r="K1416" t="s">
        <v>29</v>
      </c>
      <c r="L1416">
        <v>9.82776533137827</v>
      </c>
      <c r="M1416">
        <v>10.5959128615317</v>
      </c>
      <c r="N1416" t="s">
        <v>29</v>
      </c>
      <c r="O1416" t="s">
        <v>29</v>
      </c>
      <c r="P1416">
        <v>-0.58635422070537202</v>
      </c>
      <c r="Q1416">
        <v>-2.46033925081074</v>
      </c>
      <c r="R1416">
        <v>1.2876308094</v>
      </c>
      <c r="S1416">
        <v>11.279373501684701</v>
      </c>
      <c r="T1416">
        <v>-0.68947993443595101</v>
      </c>
      <c r="U1416">
        <v>-6.2353605555931404</v>
      </c>
      <c r="V1416">
        <v>0.50494105289963398</v>
      </c>
      <c r="W1416">
        <v>0.94062983959761604</v>
      </c>
      <c r="X1416">
        <v>0</v>
      </c>
      <c r="Y1416">
        <v>0</v>
      </c>
    </row>
    <row r="1417" spans="1:25" x14ac:dyDescent="0.2">
      <c r="A1417" t="s">
        <v>5276</v>
      </c>
      <c r="B1417" t="s">
        <v>5277</v>
      </c>
      <c r="C1417" t="s">
        <v>5278</v>
      </c>
      <c r="D1417" t="s">
        <v>5279</v>
      </c>
      <c r="E1417" t="s">
        <v>5277</v>
      </c>
      <c r="F1417" t="s">
        <v>28</v>
      </c>
      <c r="G1417" t="s">
        <v>5277</v>
      </c>
      <c r="H1417" t="str">
        <f>"chc-1"</f>
        <v>chc-1</v>
      </c>
      <c r="I1417" t="s">
        <v>5279</v>
      </c>
      <c r="J1417">
        <v>17.966067193990799</v>
      </c>
      <c r="K1417">
        <v>17.7987405077746</v>
      </c>
      <c r="L1417">
        <v>17.783158464207801</v>
      </c>
      <c r="M1417">
        <v>17.932868660008399</v>
      </c>
      <c r="N1417">
        <v>17.818917799959301</v>
      </c>
      <c r="O1417">
        <v>17.702714657576699</v>
      </c>
      <c r="P1417">
        <v>-3.1155016142889701E-2</v>
      </c>
      <c r="Q1417">
        <v>-0.35442094233850602</v>
      </c>
      <c r="R1417">
        <v>0.29211091005272699</v>
      </c>
      <c r="S1417">
        <v>17.5244923090636</v>
      </c>
      <c r="T1417">
        <v>-0.202563206681906</v>
      </c>
      <c r="U1417">
        <v>-6.8610753025376496</v>
      </c>
      <c r="V1417">
        <v>0.841761643325873</v>
      </c>
      <c r="W1417">
        <v>0.99370971747667503</v>
      </c>
      <c r="X1417">
        <v>0</v>
      </c>
      <c r="Y1417">
        <v>0</v>
      </c>
    </row>
    <row r="1418" spans="1:25" x14ac:dyDescent="0.2">
      <c r="A1418" t="s">
        <v>5280</v>
      </c>
      <c r="B1418" t="s">
        <v>5281</v>
      </c>
      <c r="C1418" t="s">
        <v>5282</v>
      </c>
      <c r="D1418" t="s">
        <v>5283</v>
      </c>
      <c r="E1418" t="s">
        <v>5281</v>
      </c>
      <c r="F1418" t="s">
        <v>28</v>
      </c>
      <c r="G1418" t="s">
        <v>5281</v>
      </c>
      <c r="H1418" t="str">
        <f>"cts-1"</f>
        <v>cts-1</v>
      </c>
      <c r="I1418" t="s">
        <v>5283</v>
      </c>
      <c r="J1418">
        <v>15.1634724221892</v>
      </c>
      <c r="K1418">
        <v>15.3662191094036</v>
      </c>
      <c r="L1418">
        <v>15.2000300079716</v>
      </c>
      <c r="M1418">
        <v>15.370221951069199</v>
      </c>
      <c r="N1418">
        <v>14.927763558090801</v>
      </c>
      <c r="O1418">
        <v>15.3774037562253</v>
      </c>
      <c r="P1418">
        <v>-1.8110758059684401E-2</v>
      </c>
      <c r="Q1418">
        <v>-0.63373283957164095</v>
      </c>
      <c r="R1418">
        <v>0.59751132345227198</v>
      </c>
      <c r="S1418">
        <v>15.160000370015901</v>
      </c>
      <c r="T1418">
        <v>-6.1832236167097002E-2</v>
      </c>
      <c r="U1418">
        <v>-6.8804921618427102</v>
      </c>
      <c r="V1418">
        <v>0.95138180609274903</v>
      </c>
      <c r="W1418">
        <v>0.99968702248720698</v>
      </c>
      <c r="X1418">
        <v>0</v>
      </c>
      <c r="Y1418">
        <v>0</v>
      </c>
    </row>
    <row r="1419" spans="1:25" x14ac:dyDescent="0.2">
      <c r="A1419" t="s">
        <v>5284</v>
      </c>
      <c r="B1419" t="s">
        <v>5285</v>
      </c>
      <c r="C1419" t="s">
        <v>5286</v>
      </c>
      <c r="D1419" t="s">
        <v>5287</v>
      </c>
      <c r="E1419" t="s">
        <v>5285</v>
      </c>
      <c r="F1419" t="s">
        <v>28</v>
      </c>
      <c r="G1419" t="s">
        <v>5285</v>
      </c>
      <c r="H1419" t="str">
        <f>"mua-3"</f>
        <v>mua-3</v>
      </c>
      <c r="I1419" t="s">
        <v>5287</v>
      </c>
      <c r="J1419" t="s">
        <v>29</v>
      </c>
      <c r="K1419" t="s">
        <v>29</v>
      </c>
      <c r="L1419">
        <v>11.864568973610901</v>
      </c>
      <c r="M1419" t="s">
        <v>29</v>
      </c>
      <c r="N1419">
        <v>11.4138536517912</v>
      </c>
      <c r="O1419">
        <v>11.9297645629662</v>
      </c>
      <c r="P1419">
        <v>-0.19275986623219099</v>
      </c>
      <c r="Q1419">
        <v>-1.59410221003833</v>
      </c>
      <c r="R1419">
        <v>1.20858247757395</v>
      </c>
      <c r="S1419">
        <v>11.3344308910054</v>
      </c>
      <c r="T1419">
        <v>-0.299997325965768</v>
      </c>
      <c r="U1419">
        <v>-6.4359448496101299</v>
      </c>
      <c r="V1419">
        <v>0.76935714349686202</v>
      </c>
      <c r="W1419">
        <v>0.99278624068726296</v>
      </c>
      <c r="X1419">
        <v>0</v>
      </c>
      <c r="Y1419">
        <v>0</v>
      </c>
    </row>
    <row r="1420" spans="1:25" x14ac:dyDescent="0.2">
      <c r="A1420" t="s">
        <v>5288</v>
      </c>
      <c r="B1420" t="s">
        <v>5289</v>
      </c>
      <c r="C1420" t="s">
        <v>5290</v>
      </c>
      <c r="D1420" t="s">
        <v>5291</v>
      </c>
      <c r="E1420" t="s">
        <v>5289</v>
      </c>
      <c r="F1420" t="s">
        <v>28</v>
      </c>
      <c r="G1420" t="s">
        <v>5289</v>
      </c>
      <c r="H1420" t="str">
        <f>"T26G10.1"</f>
        <v>T26G10.1</v>
      </c>
      <c r="I1420" t="s">
        <v>5291</v>
      </c>
      <c r="J1420">
        <v>15.0004177798534</v>
      </c>
      <c r="K1420">
        <v>14.805471176744399</v>
      </c>
      <c r="L1420">
        <v>15.165467883918801</v>
      </c>
      <c r="M1420">
        <v>15.211738550943</v>
      </c>
      <c r="N1420">
        <v>15.1432605729341</v>
      </c>
      <c r="O1420">
        <v>14.811428158977</v>
      </c>
      <c r="P1420">
        <v>6.5023480779155193E-2</v>
      </c>
      <c r="Q1420">
        <v>-0.34184699894743498</v>
      </c>
      <c r="R1420">
        <v>0.471893960505746</v>
      </c>
      <c r="S1420">
        <v>15.2883815728791</v>
      </c>
      <c r="T1420">
        <v>0.337337052709625</v>
      </c>
      <c r="U1420">
        <v>-6.8230470048708902</v>
      </c>
      <c r="V1420">
        <v>0.74001749663664396</v>
      </c>
      <c r="W1420">
        <v>0.99147544347995398</v>
      </c>
      <c r="X1420">
        <v>0</v>
      </c>
      <c r="Y1420">
        <v>0</v>
      </c>
    </row>
    <row r="1421" spans="1:25" x14ac:dyDescent="0.2">
      <c r="A1421" t="s">
        <v>5292</v>
      </c>
      <c r="B1421" t="s">
        <v>5293</v>
      </c>
      <c r="C1421" t="s">
        <v>5294</v>
      </c>
      <c r="D1421" t="s">
        <v>5295</v>
      </c>
      <c r="E1421" t="s">
        <v>5293</v>
      </c>
      <c r="F1421" t="s">
        <v>28</v>
      </c>
      <c r="G1421" t="s">
        <v>5293</v>
      </c>
      <c r="H1421" t="str">
        <f>"ZK1098.1"</f>
        <v>ZK1098.1</v>
      </c>
      <c r="I1421" t="s">
        <v>5295</v>
      </c>
      <c r="J1421">
        <v>12.7782995917766</v>
      </c>
      <c r="K1421">
        <v>12.4916105461242</v>
      </c>
      <c r="L1421">
        <v>12.511943595864301</v>
      </c>
      <c r="M1421">
        <v>12.6482587587619</v>
      </c>
      <c r="N1421">
        <v>12.4864673919895</v>
      </c>
      <c r="O1421">
        <v>12.291687405507</v>
      </c>
      <c r="P1421">
        <v>-0.11848005916889399</v>
      </c>
      <c r="Q1421">
        <v>-0.61149711225937797</v>
      </c>
      <c r="R1421">
        <v>0.37453699392159101</v>
      </c>
      <c r="S1421">
        <v>12.4063587004425</v>
      </c>
      <c r="T1421">
        <v>-0.51253665096009604</v>
      </c>
      <c r="U1421">
        <v>-6.7449909978302998</v>
      </c>
      <c r="V1421">
        <v>0.61579152730034503</v>
      </c>
      <c r="W1421">
        <v>0.97238011246645495</v>
      </c>
      <c r="X1421">
        <v>0</v>
      </c>
      <c r="Y1421">
        <v>0</v>
      </c>
    </row>
    <row r="1422" spans="1:25" x14ac:dyDescent="0.2">
      <c r="A1422" t="s">
        <v>5296</v>
      </c>
      <c r="B1422" t="s">
        <v>5297</v>
      </c>
      <c r="C1422" t="s">
        <v>5298</v>
      </c>
      <c r="D1422" t="s">
        <v>5299</v>
      </c>
      <c r="E1422" t="s">
        <v>5297</v>
      </c>
      <c r="F1422" t="s">
        <v>28</v>
      </c>
      <c r="G1422" t="s">
        <v>5297</v>
      </c>
      <c r="H1422" t="str">
        <f>"ZK1098.2"</f>
        <v>ZK1098.2</v>
      </c>
      <c r="I1422" t="s">
        <v>5299</v>
      </c>
      <c r="J1422">
        <v>12.219273521582799</v>
      </c>
      <c r="K1422">
        <v>12.5346785841156</v>
      </c>
      <c r="L1422">
        <v>12.040433127452401</v>
      </c>
      <c r="M1422">
        <v>12.318828310488801</v>
      </c>
      <c r="N1422">
        <v>12.0348373782164</v>
      </c>
      <c r="O1422">
        <v>11.7309966132926</v>
      </c>
      <c r="P1422">
        <v>-0.236574310384283</v>
      </c>
      <c r="Q1422">
        <v>-0.98036085665946004</v>
      </c>
      <c r="R1422">
        <v>0.50721223589089504</v>
      </c>
      <c r="S1422">
        <v>12.565104918908499</v>
      </c>
      <c r="T1422">
        <v>-0.67463488427600504</v>
      </c>
      <c r="U1422">
        <v>-6.6464981490471802</v>
      </c>
      <c r="V1422">
        <v>0.50960204350796301</v>
      </c>
      <c r="W1422">
        <v>0.94062983959761604</v>
      </c>
      <c r="X1422">
        <v>0</v>
      </c>
      <c r="Y1422">
        <v>0</v>
      </c>
    </row>
    <row r="1423" spans="1:25" x14ac:dyDescent="0.2">
      <c r="A1423" t="s">
        <v>5300</v>
      </c>
      <c r="B1423" t="s">
        <v>5301</v>
      </c>
      <c r="C1423" t="s">
        <v>5302</v>
      </c>
      <c r="D1423" t="s">
        <v>5303</v>
      </c>
      <c r="E1423" t="s">
        <v>5301</v>
      </c>
      <c r="F1423" t="s">
        <v>28</v>
      </c>
      <c r="G1423" t="s">
        <v>5301</v>
      </c>
      <c r="H1423" t="str">
        <f>"ZK1098.3"</f>
        <v>ZK1098.3</v>
      </c>
      <c r="I1423" t="s">
        <v>5303</v>
      </c>
      <c r="J1423">
        <v>10.381484453453</v>
      </c>
      <c r="K1423">
        <v>11.308186372548199</v>
      </c>
      <c r="L1423">
        <v>11.481880316404901</v>
      </c>
      <c r="M1423">
        <v>10.472818324395799</v>
      </c>
      <c r="N1423" t="s">
        <v>29</v>
      </c>
      <c r="O1423">
        <v>11.628854499443699</v>
      </c>
      <c r="P1423">
        <v>-6.3473022156230697E-3</v>
      </c>
      <c r="Q1423">
        <v>-0.906669172033989</v>
      </c>
      <c r="R1423">
        <v>0.89397456760274296</v>
      </c>
      <c r="S1423">
        <v>11.493571521526</v>
      </c>
      <c r="T1423">
        <v>-1.51315448697966E-2</v>
      </c>
      <c r="U1423">
        <v>-6.7720836216703004</v>
      </c>
      <c r="V1423">
        <v>0.98814235499153802</v>
      </c>
      <c r="W1423">
        <v>0.99968702248720698</v>
      </c>
      <c r="X1423">
        <v>0</v>
      </c>
      <c r="Y1423">
        <v>0</v>
      </c>
    </row>
    <row r="1424" spans="1:25" x14ac:dyDescent="0.2">
      <c r="A1424" t="s">
        <v>5304</v>
      </c>
      <c r="B1424" t="s">
        <v>5305</v>
      </c>
      <c r="C1424" t="s">
        <v>5306</v>
      </c>
      <c r="D1424" t="s">
        <v>5307</v>
      </c>
      <c r="E1424" t="s">
        <v>5305</v>
      </c>
      <c r="F1424" t="s">
        <v>28</v>
      </c>
      <c r="G1424" t="s">
        <v>5305</v>
      </c>
      <c r="H1424" t="str">
        <f>"ZK1098.4"</f>
        <v>ZK1098.4</v>
      </c>
      <c r="I1424" t="s">
        <v>5307</v>
      </c>
      <c r="J1424">
        <v>13.576514536373599</v>
      </c>
      <c r="K1424">
        <v>13.065677510159199</v>
      </c>
      <c r="L1424">
        <v>13.161280274831601</v>
      </c>
      <c r="M1424">
        <v>13.422692344922501</v>
      </c>
      <c r="N1424">
        <v>13.495198611803399</v>
      </c>
      <c r="O1424">
        <v>13.264241561452</v>
      </c>
      <c r="P1424">
        <v>0.12622006560447499</v>
      </c>
      <c r="Q1424">
        <v>-0.40925523435806799</v>
      </c>
      <c r="R1424">
        <v>0.66169536556701702</v>
      </c>
      <c r="S1424">
        <v>13.169426784087699</v>
      </c>
      <c r="T1424">
        <v>0.49755256781474599</v>
      </c>
      <c r="U1424">
        <v>-6.7536866483962301</v>
      </c>
      <c r="V1424">
        <v>0.62521282675583401</v>
      </c>
      <c r="W1424">
        <v>0.97279262440453396</v>
      </c>
      <c r="X1424">
        <v>0</v>
      </c>
      <c r="Y1424">
        <v>0</v>
      </c>
    </row>
    <row r="1425" spans="1:25" x14ac:dyDescent="0.2">
      <c r="A1425" t="s">
        <v>5308</v>
      </c>
      <c r="B1425" t="s">
        <v>5309</v>
      </c>
      <c r="C1425" t="s">
        <v>5310</v>
      </c>
      <c r="D1425" t="s">
        <v>5311</v>
      </c>
      <c r="E1425" t="s">
        <v>5309</v>
      </c>
      <c r="F1425" t="s">
        <v>28</v>
      </c>
      <c r="G1425" t="s">
        <v>5309</v>
      </c>
      <c r="H1425" t="str">
        <f>"mut-7"</f>
        <v>mut-7</v>
      </c>
      <c r="I1425" t="s">
        <v>5311</v>
      </c>
      <c r="J1425">
        <v>11.1094021693815</v>
      </c>
      <c r="K1425">
        <v>13.9055362694316</v>
      </c>
      <c r="L1425" t="s">
        <v>29</v>
      </c>
      <c r="M1425">
        <v>10.2439388929172</v>
      </c>
      <c r="N1425">
        <v>10.559110550503201</v>
      </c>
      <c r="O1425">
        <v>10.4634729554614</v>
      </c>
      <c r="P1425">
        <v>-2.085295086446</v>
      </c>
      <c r="Q1425">
        <v>-3.2680805665891999</v>
      </c>
      <c r="R1425">
        <v>-0.90250960630280097</v>
      </c>
      <c r="S1425">
        <v>11.3114123519118</v>
      </c>
      <c r="T1425">
        <v>-3.7840200441195</v>
      </c>
      <c r="U1425">
        <v>-1.5952615347680701</v>
      </c>
      <c r="V1425">
        <v>2.0382682400658099E-3</v>
      </c>
      <c r="W1425">
        <v>5.5149241487309097E-2</v>
      </c>
      <c r="X1425">
        <v>-1</v>
      </c>
      <c r="Y1425">
        <v>0</v>
      </c>
    </row>
    <row r="1426" spans="1:25" x14ac:dyDescent="0.2">
      <c r="A1426" t="s">
        <v>5312</v>
      </c>
      <c r="B1426" t="s">
        <v>5313</v>
      </c>
      <c r="C1426" t="s">
        <v>5314</v>
      </c>
      <c r="D1426" t="s">
        <v>5315</v>
      </c>
      <c r="E1426" t="s">
        <v>5313</v>
      </c>
      <c r="F1426" t="s">
        <v>28</v>
      </c>
      <c r="G1426" t="s">
        <v>5313</v>
      </c>
      <c r="H1426" t="str">
        <f>"ncl-1"</f>
        <v>ncl-1</v>
      </c>
      <c r="I1426" t="s">
        <v>5315</v>
      </c>
      <c r="J1426">
        <v>13.5707364851429</v>
      </c>
      <c r="K1426">
        <v>13.4122966883589</v>
      </c>
      <c r="L1426">
        <v>13.514034460547499</v>
      </c>
      <c r="M1426">
        <v>13.924812374576801</v>
      </c>
      <c r="N1426">
        <v>14.5062411200672</v>
      </c>
      <c r="O1426">
        <v>14.3761846663228</v>
      </c>
      <c r="P1426">
        <v>0.77005684230582505</v>
      </c>
      <c r="Q1426">
        <v>0.14373622559584501</v>
      </c>
      <c r="R1426">
        <v>1.39637745901581</v>
      </c>
      <c r="S1426">
        <v>14.833021216763999</v>
      </c>
      <c r="T1426">
        <v>2.5952314145856499</v>
      </c>
      <c r="U1426">
        <v>-3.9172183983317099</v>
      </c>
      <c r="V1426">
        <v>1.8930780867472401E-2</v>
      </c>
      <c r="W1426">
        <v>0.27511632631855099</v>
      </c>
      <c r="X1426">
        <v>0</v>
      </c>
      <c r="Y1426">
        <v>0</v>
      </c>
    </row>
    <row r="1427" spans="1:25" x14ac:dyDescent="0.2">
      <c r="A1427" t="s">
        <v>5316</v>
      </c>
      <c r="B1427" t="s">
        <v>5317</v>
      </c>
      <c r="C1427" t="s">
        <v>5318</v>
      </c>
      <c r="D1427" t="s">
        <v>5319</v>
      </c>
      <c r="E1427" t="s">
        <v>5317</v>
      </c>
      <c r="F1427" t="s">
        <v>28</v>
      </c>
      <c r="G1427" t="s">
        <v>5317</v>
      </c>
      <c r="H1427" t="str">
        <f>"ZK1236.1"</f>
        <v>ZK1236.1</v>
      </c>
      <c r="I1427" t="s">
        <v>5319</v>
      </c>
      <c r="J1427" t="s">
        <v>29</v>
      </c>
      <c r="K1427" t="s">
        <v>29</v>
      </c>
      <c r="L1427" t="s">
        <v>29</v>
      </c>
      <c r="M1427" t="s">
        <v>29</v>
      </c>
      <c r="N1427" t="s">
        <v>29</v>
      </c>
      <c r="O1427" t="s">
        <v>29</v>
      </c>
      <c r="P1427" t="s">
        <v>29</v>
      </c>
      <c r="Q1427" t="s">
        <v>29</v>
      </c>
      <c r="R1427" t="s">
        <v>29</v>
      </c>
      <c r="S1427">
        <v>10.9337187004444</v>
      </c>
      <c r="T1427" t="s">
        <v>29</v>
      </c>
      <c r="U1427" t="s">
        <v>29</v>
      </c>
      <c r="V1427" t="s">
        <v>29</v>
      </c>
      <c r="W1427" t="s">
        <v>29</v>
      </c>
      <c r="X1427" t="s">
        <v>29</v>
      </c>
      <c r="Y1427" t="s">
        <v>29</v>
      </c>
    </row>
    <row r="1428" spans="1:25" x14ac:dyDescent="0.2">
      <c r="A1428" t="s">
        <v>5320</v>
      </c>
      <c r="B1428" t="s">
        <v>5321</v>
      </c>
      <c r="C1428" t="s">
        <v>5322</v>
      </c>
      <c r="D1428" t="s">
        <v>5323</v>
      </c>
      <c r="E1428" t="s">
        <v>5321</v>
      </c>
      <c r="F1428" t="s">
        <v>28</v>
      </c>
      <c r="G1428" t="s">
        <v>5321</v>
      </c>
      <c r="H1428" t="str">
        <f>"cec-1"</f>
        <v>cec-1</v>
      </c>
      <c r="I1428" t="s">
        <v>5323</v>
      </c>
      <c r="J1428">
        <v>10.7779050513243</v>
      </c>
      <c r="K1428">
        <v>11.0352653297149</v>
      </c>
      <c r="L1428">
        <v>10.9242290521826</v>
      </c>
      <c r="M1428">
        <v>11.0203765404001</v>
      </c>
      <c r="N1428">
        <v>11.354195063072201</v>
      </c>
      <c r="O1428">
        <v>11.622656246419901</v>
      </c>
      <c r="P1428">
        <v>0.41994280555679397</v>
      </c>
      <c r="Q1428">
        <v>-0.117918191871203</v>
      </c>
      <c r="R1428">
        <v>0.95780380298478995</v>
      </c>
      <c r="S1428">
        <v>12.3259376296505</v>
      </c>
      <c r="T1428">
        <v>1.6480489451531499</v>
      </c>
      <c r="U1428">
        <v>-5.5634461061009999</v>
      </c>
      <c r="V1428">
        <v>0.117812459594096</v>
      </c>
      <c r="W1428">
        <v>0.70517961426106401</v>
      </c>
      <c r="X1428">
        <v>0</v>
      </c>
      <c r="Y1428">
        <v>0</v>
      </c>
    </row>
    <row r="1429" spans="1:25" x14ac:dyDescent="0.2">
      <c r="A1429" t="s">
        <v>5324</v>
      </c>
      <c r="B1429" t="s">
        <v>5325</v>
      </c>
      <c r="C1429" t="s">
        <v>5326</v>
      </c>
      <c r="D1429" t="s">
        <v>5327</v>
      </c>
      <c r="E1429" t="s">
        <v>5325</v>
      </c>
      <c r="F1429" t="s">
        <v>28</v>
      </c>
      <c r="G1429" t="s">
        <v>5325</v>
      </c>
      <c r="H1429" t="str">
        <f>"sor-1"</f>
        <v>sor-1</v>
      </c>
      <c r="I1429" t="s">
        <v>5327</v>
      </c>
      <c r="J1429" t="s">
        <v>29</v>
      </c>
      <c r="K1429" t="s">
        <v>29</v>
      </c>
      <c r="L1429">
        <v>12.022385591601299</v>
      </c>
      <c r="M1429" t="s">
        <v>29</v>
      </c>
      <c r="N1429" t="s">
        <v>29</v>
      </c>
      <c r="O1429" t="s">
        <v>29</v>
      </c>
      <c r="P1429" t="s">
        <v>29</v>
      </c>
      <c r="Q1429" t="s">
        <v>29</v>
      </c>
      <c r="R1429" t="s">
        <v>29</v>
      </c>
      <c r="S1429">
        <v>12.4490383231858</v>
      </c>
      <c r="T1429" t="s">
        <v>29</v>
      </c>
      <c r="U1429" t="s">
        <v>29</v>
      </c>
      <c r="V1429" t="s">
        <v>29</v>
      </c>
      <c r="W1429" t="s">
        <v>29</v>
      </c>
      <c r="X1429" t="s">
        <v>29</v>
      </c>
      <c r="Y1429" t="s">
        <v>29</v>
      </c>
    </row>
    <row r="1430" spans="1:25" x14ac:dyDescent="0.2">
      <c r="A1430" t="s">
        <v>5328</v>
      </c>
      <c r="B1430" t="s">
        <v>5329</v>
      </c>
      <c r="C1430" t="s">
        <v>5330</v>
      </c>
      <c r="D1430" t="s">
        <v>5331</v>
      </c>
      <c r="E1430" t="s">
        <v>5329</v>
      </c>
      <c r="F1430" t="s">
        <v>28</v>
      </c>
      <c r="G1430" t="s">
        <v>5329</v>
      </c>
      <c r="H1430" t="str">
        <f>"ubxn-4"</f>
        <v>ubxn-4</v>
      </c>
      <c r="I1430" t="s">
        <v>5331</v>
      </c>
      <c r="J1430">
        <v>12.0366127147262</v>
      </c>
      <c r="K1430">
        <v>12.177036584503099</v>
      </c>
      <c r="L1430">
        <v>12.250601847150801</v>
      </c>
      <c r="M1430">
        <v>12.258498291142001</v>
      </c>
      <c r="N1430">
        <v>11.9671315509264</v>
      </c>
      <c r="O1430">
        <v>12.052866108974699</v>
      </c>
      <c r="P1430">
        <v>-6.1918398445653701E-2</v>
      </c>
      <c r="Q1430">
        <v>-0.66767907524354198</v>
      </c>
      <c r="R1430">
        <v>0.54384227835223498</v>
      </c>
      <c r="S1430">
        <v>11.9756585316065</v>
      </c>
      <c r="T1430">
        <v>-0.21575886566916699</v>
      </c>
      <c r="U1430">
        <v>-6.8581240059826296</v>
      </c>
      <c r="V1430">
        <v>0.83175903439626597</v>
      </c>
      <c r="W1430">
        <v>0.99370240586176295</v>
      </c>
      <c r="X1430">
        <v>0</v>
      </c>
      <c r="Y1430">
        <v>0</v>
      </c>
    </row>
    <row r="1431" spans="1:25" x14ac:dyDescent="0.2">
      <c r="A1431" t="s">
        <v>5332</v>
      </c>
      <c r="B1431" t="s">
        <v>5333</v>
      </c>
      <c r="C1431" t="s">
        <v>5334</v>
      </c>
      <c r="D1431" t="s">
        <v>5335</v>
      </c>
      <c r="E1431" t="s">
        <v>5333</v>
      </c>
      <c r="F1431" t="s">
        <v>28</v>
      </c>
      <c r="G1431" t="s">
        <v>5333</v>
      </c>
      <c r="H1431" t="str">
        <f>"ZK512.2"</f>
        <v>ZK512.2</v>
      </c>
      <c r="I1431" t="s">
        <v>5335</v>
      </c>
      <c r="J1431">
        <v>16.143824754425498</v>
      </c>
      <c r="K1431">
        <v>16.176145350667699</v>
      </c>
      <c r="L1431">
        <v>16.324283953537499</v>
      </c>
      <c r="M1431">
        <v>16.241270423329102</v>
      </c>
      <c r="N1431">
        <v>16.281086577492101</v>
      </c>
      <c r="O1431">
        <v>15.9922184105101</v>
      </c>
      <c r="P1431">
        <v>-4.3226215766473799E-2</v>
      </c>
      <c r="Q1431">
        <v>-0.36395571672666999</v>
      </c>
      <c r="R1431">
        <v>0.27750328519372203</v>
      </c>
      <c r="S1431">
        <v>16.353824737526899</v>
      </c>
      <c r="T1431">
        <v>-0.28327015589850202</v>
      </c>
      <c r="U1431">
        <v>-6.8406579746084502</v>
      </c>
      <c r="V1431">
        <v>0.78022071076782096</v>
      </c>
      <c r="W1431">
        <v>0.99278624068726296</v>
      </c>
      <c r="X1431">
        <v>0</v>
      </c>
      <c r="Y1431">
        <v>0</v>
      </c>
    </row>
    <row r="1432" spans="1:25" x14ac:dyDescent="0.2">
      <c r="A1432" t="s">
        <v>5336</v>
      </c>
      <c r="B1432" t="s">
        <v>5337</v>
      </c>
      <c r="C1432" t="s">
        <v>5338</v>
      </c>
      <c r="D1432" t="s">
        <v>5339</v>
      </c>
      <c r="E1432" t="s">
        <v>5337</v>
      </c>
      <c r="F1432" t="s">
        <v>28</v>
      </c>
      <c r="G1432" t="s">
        <v>5337</v>
      </c>
      <c r="H1432" t="str">
        <f>"ZK512.4"</f>
        <v>ZK512.4</v>
      </c>
      <c r="I1432" t="s">
        <v>5339</v>
      </c>
      <c r="J1432">
        <v>12.9403941778247</v>
      </c>
      <c r="K1432">
        <v>12.943970656505501</v>
      </c>
      <c r="L1432">
        <v>13.2046260012202</v>
      </c>
      <c r="M1432">
        <v>12.924439696842001</v>
      </c>
      <c r="N1432" t="s">
        <v>29</v>
      </c>
      <c r="O1432">
        <v>13.279491627690399</v>
      </c>
      <c r="P1432">
        <v>7.2302050416034505E-2</v>
      </c>
      <c r="Q1432">
        <v>-0.94730589476372695</v>
      </c>
      <c r="R1432">
        <v>1.0919099955958</v>
      </c>
      <c r="S1432">
        <v>12.1757004339568</v>
      </c>
      <c r="T1432">
        <v>0.152198122633423</v>
      </c>
      <c r="U1432">
        <v>-6.7599590027429297</v>
      </c>
      <c r="V1432">
        <v>0.88121851548686603</v>
      </c>
      <c r="W1432">
        <v>0.99702926582654094</v>
      </c>
      <c r="X1432">
        <v>0</v>
      </c>
      <c r="Y1432">
        <v>0</v>
      </c>
    </row>
    <row r="1433" spans="1:25" x14ac:dyDescent="0.2">
      <c r="A1433" t="s">
        <v>5340</v>
      </c>
      <c r="B1433" t="s">
        <v>5341</v>
      </c>
      <c r="C1433" t="s">
        <v>5342</v>
      </c>
      <c r="D1433" t="s">
        <v>5343</v>
      </c>
      <c r="E1433" t="s">
        <v>5341</v>
      </c>
      <c r="F1433" t="s">
        <v>28</v>
      </c>
      <c r="G1433" t="s">
        <v>5341</v>
      </c>
      <c r="H1433" t="str">
        <f>"sec-16A.1"</f>
        <v>sec-16A.1</v>
      </c>
      <c r="I1433" t="s">
        <v>5343</v>
      </c>
      <c r="J1433">
        <v>12.6535651937567</v>
      </c>
      <c r="K1433">
        <v>12.9605201569263</v>
      </c>
      <c r="L1433">
        <v>13.151254488527</v>
      </c>
      <c r="M1433">
        <v>12.9307110098386</v>
      </c>
      <c r="N1433">
        <v>13.1593508008066</v>
      </c>
      <c r="O1433">
        <v>12.825317523794901</v>
      </c>
      <c r="P1433">
        <v>5.0013165076709498E-2</v>
      </c>
      <c r="Q1433">
        <v>-0.343866861290827</v>
      </c>
      <c r="R1433">
        <v>0.44389319144424599</v>
      </c>
      <c r="S1433">
        <v>13.0772788859923</v>
      </c>
      <c r="T1433">
        <v>0.26687807385006201</v>
      </c>
      <c r="U1433">
        <v>-6.8453498401899902</v>
      </c>
      <c r="V1433">
        <v>0.79261418943989004</v>
      </c>
      <c r="W1433">
        <v>0.99278624068726296</v>
      </c>
      <c r="X1433">
        <v>0</v>
      </c>
      <c r="Y1433">
        <v>0</v>
      </c>
    </row>
    <row r="1434" spans="1:25" x14ac:dyDescent="0.2">
      <c r="A1434" t="s">
        <v>5344</v>
      </c>
      <c r="B1434" t="s">
        <v>5345</v>
      </c>
      <c r="C1434" t="s">
        <v>5346</v>
      </c>
      <c r="D1434" t="s">
        <v>5347</v>
      </c>
      <c r="E1434" t="s">
        <v>5345</v>
      </c>
      <c r="F1434" t="s">
        <v>28</v>
      </c>
      <c r="G1434" t="s">
        <v>5345</v>
      </c>
      <c r="H1434" t="str">
        <f>"ZK512.8"</f>
        <v>ZK512.8</v>
      </c>
      <c r="I1434" t="s">
        <v>5347</v>
      </c>
      <c r="J1434">
        <v>14.069039568972199</v>
      </c>
      <c r="K1434">
        <v>11.9003557015628</v>
      </c>
      <c r="L1434">
        <v>14.0597286911282</v>
      </c>
      <c r="M1434">
        <v>14.5049485422049</v>
      </c>
      <c r="N1434">
        <v>14.778201089148</v>
      </c>
      <c r="O1434">
        <v>12.517290216428499</v>
      </c>
      <c r="P1434">
        <v>0.590438628706069</v>
      </c>
      <c r="Q1434">
        <v>-0.98897958979156997</v>
      </c>
      <c r="R1434">
        <v>2.1698568472037101</v>
      </c>
      <c r="S1434">
        <v>13.403013063076401</v>
      </c>
      <c r="T1434">
        <v>0.78909198614340703</v>
      </c>
      <c r="U1434">
        <v>-6.5620592415198198</v>
      </c>
      <c r="V1434">
        <v>0.44099183069416698</v>
      </c>
      <c r="W1434">
        <v>0.92006726233944303</v>
      </c>
      <c r="X1434">
        <v>0</v>
      </c>
      <c r="Y1434">
        <v>0</v>
      </c>
    </row>
    <row r="1435" spans="1:25" x14ac:dyDescent="0.2">
      <c r="A1435" t="s">
        <v>5348</v>
      </c>
      <c r="B1435" t="s">
        <v>5349</v>
      </c>
      <c r="C1435" t="s">
        <v>5350</v>
      </c>
      <c r="D1435" t="s">
        <v>5351</v>
      </c>
      <c r="E1435" t="s">
        <v>5349</v>
      </c>
      <c r="F1435" t="s">
        <v>28</v>
      </c>
      <c r="G1435" t="s">
        <v>5349</v>
      </c>
      <c r="H1435" t="str">
        <f>"mcm-6"</f>
        <v>mcm-6</v>
      </c>
      <c r="I1435" t="s">
        <v>5351</v>
      </c>
      <c r="J1435">
        <v>14.7213391023891</v>
      </c>
      <c r="K1435">
        <v>14.613912644734301</v>
      </c>
      <c r="L1435">
        <v>14.8542318820933</v>
      </c>
      <c r="M1435">
        <v>14.6340853370566</v>
      </c>
      <c r="N1435">
        <v>14.9656703978305</v>
      </c>
      <c r="O1435">
        <v>14.9356588307751</v>
      </c>
      <c r="P1435">
        <v>0.115310312148456</v>
      </c>
      <c r="Q1435">
        <v>-0.22743250154321201</v>
      </c>
      <c r="R1435">
        <v>0.45805312584012298</v>
      </c>
      <c r="S1435">
        <v>14.6559787681218</v>
      </c>
      <c r="T1435">
        <v>0.707118668729941</v>
      </c>
      <c r="U1435">
        <v>-6.6248520432389597</v>
      </c>
      <c r="V1435">
        <v>0.488599604243525</v>
      </c>
      <c r="W1435">
        <v>0.94046689344422196</v>
      </c>
      <c r="X1435">
        <v>0</v>
      </c>
      <c r="Y1435">
        <v>0</v>
      </c>
    </row>
    <row r="1436" spans="1:25" x14ac:dyDescent="0.2">
      <c r="A1436" t="s">
        <v>5352</v>
      </c>
      <c r="B1436" t="s">
        <v>5353</v>
      </c>
      <c r="C1436" t="s">
        <v>5354</v>
      </c>
      <c r="D1436" t="s">
        <v>5355</v>
      </c>
      <c r="E1436" t="s">
        <v>5353</v>
      </c>
      <c r="F1436" t="s">
        <v>28</v>
      </c>
      <c r="G1436" t="s">
        <v>5353</v>
      </c>
      <c r="H1436" t="str">
        <f>"riok-3"</f>
        <v>riok-3</v>
      </c>
      <c r="I1436" t="s">
        <v>5355</v>
      </c>
      <c r="J1436">
        <v>11.374852988188699</v>
      </c>
      <c r="K1436">
        <v>12.295418322624201</v>
      </c>
      <c r="L1436">
        <v>11.414124790993901</v>
      </c>
      <c r="M1436">
        <v>12.0141016574046</v>
      </c>
      <c r="N1436">
        <v>11.3845701210049</v>
      </c>
      <c r="O1436">
        <v>11.740056615845001</v>
      </c>
      <c r="P1436">
        <v>1.8110764149206201E-2</v>
      </c>
      <c r="Q1436">
        <v>-0.78274257578864603</v>
      </c>
      <c r="R1436">
        <v>0.818964104087058</v>
      </c>
      <c r="S1436">
        <v>12.2192343122304</v>
      </c>
      <c r="T1436">
        <v>4.7965979070010697E-2</v>
      </c>
      <c r="U1436">
        <v>-6.8812795279097703</v>
      </c>
      <c r="V1436">
        <v>0.96234087394416301</v>
      </c>
      <c r="W1436">
        <v>0.99968702248720698</v>
      </c>
      <c r="X1436">
        <v>0</v>
      </c>
      <c r="Y1436">
        <v>0</v>
      </c>
    </row>
    <row r="1437" spans="1:25" x14ac:dyDescent="0.2">
      <c r="A1437" t="s">
        <v>5356</v>
      </c>
      <c r="B1437" t="s">
        <v>5357</v>
      </c>
      <c r="C1437" t="s">
        <v>5358</v>
      </c>
      <c r="D1437" t="s">
        <v>5359</v>
      </c>
      <c r="E1437" t="s">
        <v>5357</v>
      </c>
      <c r="F1437" t="s">
        <v>28</v>
      </c>
      <c r="G1437" t="s">
        <v>5357</v>
      </c>
      <c r="H1437" t="str">
        <f>"panl-3"</f>
        <v>panl-3</v>
      </c>
      <c r="I1437" t="s">
        <v>5359</v>
      </c>
      <c r="J1437">
        <v>11.603543570277999</v>
      </c>
      <c r="K1437">
        <v>10.788808355569101</v>
      </c>
      <c r="L1437">
        <v>12.0450956405534</v>
      </c>
      <c r="M1437">
        <v>14.648314936613501</v>
      </c>
      <c r="N1437">
        <v>13.887798578825601</v>
      </c>
      <c r="O1437">
        <v>13.755827397543399</v>
      </c>
      <c r="P1437">
        <v>2.6181644488606302</v>
      </c>
      <c r="Q1437">
        <v>1.9856982440087301</v>
      </c>
      <c r="R1437">
        <v>3.25063065371253</v>
      </c>
      <c r="S1437">
        <v>13.2733923117424</v>
      </c>
      <c r="T1437">
        <v>8.7379511044808709</v>
      </c>
      <c r="U1437">
        <v>7.9945129146104303</v>
      </c>
      <c r="V1437" s="2">
        <v>1.1299973400658601E-7</v>
      </c>
      <c r="W1437" s="2">
        <v>1.63505702075617E-5</v>
      </c>
      <c r="X1437">
        <v>1</v>
      </c>
      <c r="Y1437">
        <v>1</v>
      </c>
    </row>
    <row r="1438" spans="1:25" x14ac:dyDescent="0.2">
      <c r="A1438" t="s">
        <v>5360</v>
      </c>
      <c r="B1438" t="s">
        <v>5361</v>
      </c>
      <c r="C1438" t="s">
        <v>5362</v>
      </c>
      <c r="D1438" t="s">
        <v>5363</v>
      </c>
      <c r="E1438" t="s">
        <v>5361</v>
      </c>
      <c r="F1438" t="s">
        <v>28</v>
      </c>
      <c r="G1438" t="s">
        <v>5361</v>
      </c>
      <c r="H1438" t="str">
        <f>"ZK632.11"</f>
        <v>ZK632.11</v>
      </c>
      <c r="I1438" t="s">
        <v>5363</v>
      </c>
      <c r="J1438" t="s">
        <v>29</v>
      </c>
      <c r="K1438" t="s">
        <v>29</v>
      </c>
      <c r="L1438" t="s">
        <v>29</v>
      </c>
      <c r="M1438" t="s">
        <v>29</v>
      </c>
      <c r="N1438">
        <v>12.246301611222901</v>
      </c>
      <c r="O1438" t="s">
        <v>29</v>
      </c>
      <c r="P1438" t="s">
        <v>29</v>
      </c>
      <c r="Q1438" t="s">
        <v>29</v>
      </c>
      <c r="R1438" t="s">
        <v>29</v>
      </c>
      <c r="S1438">
        <v>13.184883410418401</v>
      </c>
      <c r="T1438" t="s">
        <v>29</v>
      </c>
      <c r="U1438" t="s">
        <v>29</v>
      </c>
      <c r="V1438" t="s">
        <v>29</v>
      </c>
      <c r="W1438" t="s">
        <v>29</v>
      </c>
      <c r="X1438" t="s">
        <v>29</v>
      </c>
      <c r="Y1438" t="s">
        <v>29</v>
      </c>
    </row>
    <row r="1439" spans="1:25" x14ac:dyDescent="0.2">
      <c r="A1439" t="s">
        <v>5364</v>
      </c>
      <c r="B1439" t="s">
        <v>5365</v>
      </c>
      <c r="C1439" t="s">
        <v>5366</v>
      </c>
      <c r="D1439" t="s">
        <v>5367</v>
      </c>
      <c r="E1439" t="s">
        <v>5365</v>
      </c>
      <c r="F1439" t="s">
        <v>28</v>
      </c>
      <c r="G1439" t="s">
        <v>5365</v>
      </c>
      <c r="H1439" t="str">
        <f>"ZK632.12"</f>
        <v>ZK632.12</v>
      </c>
      <c r="I1439" t="s">
        <v>5367</v>
      </c>
      <c r="J1439">
        <v>13.1045490389122</v>
      </c>
      <c r="K1439">
        <v>13.2654241781848</v>
      </c>
      <c r="L1439">
        <v>12.5127631027589</v>
      </c>
      <c r="M1439">
        <v>12.8917627360204</v>
      </c>
      <c r="N1439">
        <v>12.7483481731672</v>
      </c>
      <c r="O1439">
        <v>13.1912936626629</v>
      </c>
      <c r="P1439">
        <v>-1.71105826684546E-2</v>
      </c>
      <c r="Q1439">
        <v>-0.49315520533621898</v>
      </c>
      <c r="R1439">
        <v>0.45893403999930998</v>
      </c>
      <c r="S1439">
        <v>12.89858132779</v>
      </c>
      <c r="T1439">
        <v>-7.5869487119356496E-2</v>
      </c>
      <c r="U1439">
        <v>-6.8794730794460701</v>
      </c>
      <c r="V1439">
        <v>0.94041409870245396</v>
      </c>
      <c r="W1439">
        <v>0.99926809132575301</v>
      </c>
      <c r="X1439">
        <v>0</v>
      </c>
      <c r="Y1439">
        <v>0</v>
      </c>
    </row>
    <row r="1440" spans="1:25" x14ac:dyDescent="0.2">
      <c r="A1440" t="s">
        <v>5368</v>
      </c>
      <c r="B1440" t="s">
        <v>5369</v>
      </c>
      <c r="C1440" t="s">
        <v>5370</v>
      </c>
      <c r="D1440" t="s">
        <v>5371</v>
      </c>
      <c r="E1440" t="s">
        <v>5369</v>
      </c>
      <c r="F1440" t="s">
        <v>28</v>
      </c>
      <c r="G1440" t="s">
        <v>5369</v>
      </c>
      <c r="H1440" t="str">
        <f>"rpl-35"</f>
        <v>rpl-35</v>
      </c>
      <c r="I1440" t="s">
        <v>5371</v>
      </c>
      <c r="J1440">
        <v>17.872241258641399</v>
      </c>
      <c r="K1440">
        <v>17.730761876539901</v>
      </c>
      <c r="L1440">
        <v>17.740456333802399</v>
      </c>
      <c r="M1440">
        <v>17.769873308017299</v>
      </c>
      <c r="N1440">
        <v>17.57896506833</v>
      </c>
      <c r="O1440">
        <v>17.6522432665897</v>
      </c>
      <c r="P1440">
        <v>-0.114125942015551</v>
      </c>
      <c r="Q1440">
        <v>-0.89304881166110694</v>
      </c>
      <c r="R1440">
        <v>0.66479692763000398</v>
      </c>
      <c r="S1440">
        <v>17.584602406868498</v>
      </c>
      <c r="T1440">
        <v>-0.30795157760268399</v>
      </c>
      <c r="U1440">
        <v>-6.8330710782817699</v>
      </c>
      <c r="V1440">
        <v>0.76167478427227697</v>
      </c>
      <c r="W1440">
        <v>0.99278624068726296</v>
      </c>
      <c r="X1440">
        <v>0</v>
      </c>
      <c r="Y1440">
        <v>0</v>
      </c>
    </row>
    <row r="1441" spans="1:25" x14ac:dyDescent="0.2">
      <c r="A1441" t="s">
        <v>5372</v>
      </c>
      <c r="B1441" t="s">
        <v>5373</v>
      </c>
      <c r="C1441" t="s">
        <v>5374</v>
      </c>
      <c r="D1441" t="s">
        <v>5375</v>
      </c>
      <c r="E1441" t="s">
        <v>5373</v>
      </c>
      <c r="F1441" t="s">
        <v>28</v>
      </c>
      <c r="G1441" t="s">
        <v>5373</v>
      </c>
      <c r="H1441" t="str">
        <f>"coq-5"</f>
        <v>coq-5</v>
      </c>
      <c r="I1441" t="s">
        <v>5375</v>
      </c>
      <c r="J1441">
        <v>12.8980796098416</v>
      </c>
      <c r="K1441">
        <v>12.714976519029101</v>
      </c>
      <c r="L1441">
        <v>13.299953898422499</v>
      </c>
      <c r="M1441">
        <v>13.148211553641501</v>
      </c>
      <c r="N1441">
        <v>13.244218611711499</v>
      </c>
      <c r="O1441">
        <v>13.1660071231122</v>
      </c>
      <c r="P1441">
        <v>0.21514242039062001</v>
      </c>
      <c r="Q1441">
        <v>-0.244345214329585</v>
      </c>
      <c r="R1441">
        <v>0.67463005511082597</v>
      </c>
      <c r="S1441">
        <v>13.1219294785634</v>
      </c>
      <c r="T1441">
        <v>0.98833058381940597</v>
      </c>
      <c r="U1441">
        <v>-6.3849161253215803</v>
      </c>
      <c r="V1441">
        <v>0.33693476908609798</v>
      </c>
      <c r="W1441">
        <v>0.87368774661315896</v>
      </c>
      <c r="X1441">
        <v>0</v>
      </c>
      <c r="Y1441">
        <v>0</v>
      </c>
    </row>
    <row r="1442" spans="1:25" x14ac:dyDescent="0.2">
      <c r="A1442" t="s">
        <v>5376</v>
      </c>
      <c r="B1442" t="s">
        <v>5377</v>
      </c>
      <c r="C1442" t="s">
        <v>5378</v>
      </c>
      <c r="D1442" t="s">
        <v>5379</v>
      </c>
      <c r="E1442" t="s">
        <v>5377</v>
      </c>
      <c r="F1442" t="s">
        <v>28</v>
      </c>
      <c r="G1442" t="s">
        <v>5377</v>
      </c>
      <c r="H1442" t="str">
        <f>"ZK686.2"</f>
        <v>ZK686.2</v>
      </c>
      <c r="I1442" t="s">
        <v>5379</v>
      </c>
      <c r="J1442">
        <v>14.523516025477401</v>
      </c>
      <c r="K1442">
        <v>14.4598595610874</v>
      </c>
      <c r="L1442">
        <v>14.5308875221886</v>
      </c>
      <c r="M1442">
        <v>14.7936001329733</v>
      </c>
      <c r="N1442">
        <v>14.8675009459091</v>
      </c>
      <c r="O1442">
        <v>14.5919449185859</v>
      </c>
      <c r="P1442">
        <v>0.246260962904957</v>
      </c>
      <c r="Q1442">
        <v>-0.18823512921845501</v>
      </c>
      <c r="R1442">
        <v>0.68075705502836903</v>
      </c>
      <c r="S1442">
        <v>15.0472622105454</v>
      </c>
      <c r="T1442">
        <v>1.19124807455446</v>
      </c>
      <c r="U1442">
        <v>-6.16924648051699</v>
      </c>
      <c r="V1442">
        <v>0.24911720073721699</v>
      </c>
      <c r="W1442">
        <v>0.83406644270971697</v>
      </c>
      <c r="X1442">
        <v>0</v>
      </c>
      <c r="Y1442">
        <v>0</v>
      </c>
    </row>
    <row r="1443" spans="1:25" x14ac:dyDescent="0.2">
      <c r="A1443" t="s">
        <v>5380</v>
      </c>
      <c r="B1443" t="s">
        <v>5381</v>
      </c>
      <c r="C1443" t="s">
        <v>5382</v>
      </c>
      <c r="D1443" t="s">
        <v>5383</v>
      </c>
      <c r="E1443" t="s">
        <v>5381</v>
      </c>
      <c r="F1443" t="s">
        <v>28</v>
      </c>
      <c r="G1443" t="s">
        <v>5381</v>
      </c>
      <c r="H1443" t="str">
        <f>"ZK686.3"</f>
        <v>ZK686.3</v>
      </c>
      <c r="I1443" t="s">
        <v>5383</v>
      </c>
      <c r="J1443">
        <v>14.6788911677958</v>
      </c>
      <c r="K1443">
        <v>14.4244151977441</v>
      </c>
      <c r="L1443">
        <v>14.9113589654265</v>
      </c>
      <c r="M1443">
        <v>14.7328328653212</v>
      </c>
      <c r="N1443">
        <v>15.021742070926001</v>
      </c>
      <c r="O1443">
        <v>14.7228435429563</v>
      </c>
      <c r="P1443">
        <v>0.15425104941237</v>
      </c>
      <c r="Q1443">
        <v>-0.40154560872737499</v>
      </c>
      <c r="R1443">
        <v>0.71004770755211499</v>
      </c>
      <c r="S1443">
        <v>14.8429074222325</v>
      </c>
      <c r="T1443">
        <v>0.58331710179648899</v>
      </c>
      <c r="U1443">
        <v>-6.7063912544626501</v>
      </c>
      <c r="V1443">
        <v>0.566959496737933</v>
      </c>
      <c r="W1443">
        <v>0.958273847203576</v>
      </c>
      <c r="X1443">
        <v>0</v>
      </c>
      <c r="Y1443">
        <v>0</v>
      </c>
    </row>
    <row r="1444" spans="1:25" x14ac:dyDescent="0.2">
      <c r="A1444" t="s">
        <v>5384</v>
      </c>
      <c r="B1444" t="s">
        <v>5385</v>
      </c>
      <c r="C1444" t="s">
        <v>5386</v>
      </c>
      <c r="D1444" t="s">
        <v>5387</v>
      </c>
      <c r="E1444" t="s">
        <v>5385</v>
      </c>
      <c r="F1444" t="s">
        <v>28</v>
      </c>
      <c r="G1444" t="s">
        <v>5385</v>
      </c>
      <c r="H1444" t="str">
        <f>"ZK688.5"</f>
        <v>ZK688.5</v>
      </c>
      <c r="I1444" t="s">
        <v>5387</v>
      </c>
      <c r="J1444">
        <v>11.9766867037461</v>
      </c>
      <c r="K1444">
        <v>12.1525892035366</v>
      </c>
      <c r="L1444">
        <v>11.9404951545544</v>
      </c>
      <c r="M1444">
        <v>11.7483611648811</v>
      </c>
      <c r="N1444">
        <v>12.1705499906965</v>
      </c>
      <c r="O1444">
        <v>12.7191602664551</v>
      </c>
      <c r="P1444">
        <v>0.18943345339850901</v>
      </c>
      <c r="Q1444">
        <v>-0.27495281034102498</v>
      </c>
      <c r="R1444">
        <v>0.65381971713804299</v>
      </c>
      <c r="S1444">
        <v>12.2737027584713</v>
      </c>
      <c r="T1444">
        <v>0.86999932834243399</v>
      </c>
      <c r="U1444">
        <v>-6.4927209211795098</v>
      </c>
      <c r="V1444">
        <v>0.39810470575533302</v>
      </c>
      <c r="W1444">
        <v>0.91027279600179201</v>
      </c>
      <c r="X1444">
        <v>0</v>
      </c>
      <c r="Y1444">
        <v>0</v>
      </c>
    </row>
    <row r="1445" spans="1:25" x14ac:dyDescent="0.2">
      <c r="A1445" t="s">
        <v>5388</v>
      </c>
      <c r="B1445" t="s">
        <v>5389</v>
      </c>
      <c r="C1445" t="s">
        <v>5390</v>
      </c>
      <c r="D1445" t="s">
        <v>5391</v>
      </c>
      <c r="E1445" t="s">
        <v>5389</v>
      </c>
      <c r="F1445" t="s">
        <v>28</v>
      </c>
      <c r="G1445" t="s">
        <v>5389</v>
      </c>
      <c r="H1445" t="str">
        <f>"gly-3"</f>
        <v>gly-3</v>
      </c>
      <c r="I1445" t="s">
        <v>5391</v>
      </c>
      <c r="J1445">
        <v>12.474902891052199</v>
      </c>
      <c r="K1445">
        <v>12.681404287923501</v>
      </c>
      <c r="L1445">
        <v>12.789250158690299</v>
      </c>
      <c r="M1445">
        <v>12.3478073781055</v>
      </c>
      <c r="N1445">
        <v>12.554356541619899</v>
      </c>
      <c r="O1445">
        <v>12.140410292833399</v>
      </c>
      <c r="P1445">
        <v>-0.300994375035746</v>
      </c>
      <c r="Q1445">
        <v>-0.788074097929512</v>
      </c>
      <c r="R1445">
        <v>0.186085347858021</v>
      </c>
      <c r="S1445">
        <v>12.302567413440499</v>
      </c>
      <c r="T1445">
        <v>-1.31795303687738</v>
      </c>
      <c r="U1445">
        <v>-6.0154054146141203</v>
      </c>
      <c r="V1445">
        <v>0.20743005839833401</v>
      </c>
      <c r="W1445">
        <v>0.79075284576134597</v>
      </c>
      <c r="X1445">
        <v>0</v>
      </c>
      <c r="Y1445">
        <v>0</v>
      </c>
    </row>
    <row r="1446" spans="1:25" x14ac:dyDescent="0.2">
      <c r="A1446" t="s">
        <v>5392</v>
      </c>
      <c r="B1446" t="s">
        <v>5393</v>
      </c>
      <c r="C1446" t="s">
        <v>5394</v>
      </c>
      <c r="D1446" t="s">
        <v>5395</v>
      </c>
      <c r="E1446" t="s">
        <v>5393</v>
      </c>
      <c r="F1446" t="s">
        <v>28</v>
      </c>
      <c r="G1446" t="s">
        <v>5393</v>
      </c>
      <c r="H1446" t="str">
        <f>"cap-1"</f>
        <v>cap-1</v>
      </c>
      <c r="I1446" t="s">
        <v>5395</v>
      </c>
      <c r="J1446" t="s">
        <v>29</v>
      </c>
      <c r="K1446" t="s">
        <v>29</v>
      </c>
      <c r="L1446" t="s">
        <v>29</v>
      </c>
      <c r="M1446">
        <v>13.5245983356232</v>
      </c>
      <c r="N1446" t="s">
        <v>29</v>
      </c>
      <c r="O1446" t="s">
        <v>29</v>
      </c>
      <c r="P1446" t="s">
        <v>29</v>
      </c>
      <c r="Q1446" t="s">
        <v>29</v>
      </c>
      <c r="R1446" t="s">
        <v>29</v>
      </c>
      <c r="S1446">
        <v>12.7230443166992</v>
      </c>
      <c r="T1446" t="s">
        <v>29</v>
      </c>
      <c r="U1446" t="s">
        <v>29</v>
      </c>
      <c r="V1446" t="s">
        <v>29</v>
      </c>
      <c r="W1446" t="s">
        <v>29</v>
      </c>
      <c r="X1446" t="s">
        <v>29</v>
      </c>
      <c r="Y1446" t="s">
        <v>29</v>
      </c>
    </row>
    <row r="1447" spans="1:25" x14ac:dyDescent="0.2">
      <c r="A1447" t="s">
        <v>5396</v>
      </c>
      <c r="B1447" t="s">
        <v>5397</v>
      </c>
      <c r="C1447" t="s">
        <v>5398</v>
      </c>
      <c r="D1447" t="s">
        <v>5399</v>
      </c>
      <c r="E1447" t="s">
        <v>5397</v>
      </c>
      <c r="F1447" t="s">
        <v>28</v>
      </c>
      <c r="G1447" t="s">
        <v>5397</v>
      </c>
      <c r="H1447" t="str">
        <f>"cap-2"</f>
        <v>cap-2</v>
      </c>
      <c r="I1447" t="s">
        <v>5399</v>
      </c>
      <c r="J1447">
        <v>12.130570048104699</v>
      </c>
      <c r="K1447">
        <v>11.972404075172999</v>
      </c>
      <c r="L1447">
        <v>12.278055350509799</v>
      </c>
      <c r="M1447">
        <v>13.200067501749899</v>
      </c>
      <c r="N1447">
        <v>12.374927619772899</v>
      </c>
      <c r="O1447">
        <v>12.5895827601218</v>
      </c>
      <c r="P1447">
        <v>0.59451613595242703</v>
      </c>
      <c r="Q1447">
        <v>4.0811881641623901E-2</v>
      </c>
      <c r="R1447">
        <v>1.14822039026323</v>
      </c>
      <c r="S1447">
        <v>12.579746409443599</v>
      </c>
      <c r="T1447">
        <v>2.2567232289947201</v>
      </c>
      <c r="U1447">
        <v>-4.5441126955998499</v>
      </c>
      <c r="V1447">
        <v>3.6773989337505697E-2</v>
      </c>
      <c r="W1447">
        <v>0.41912272779184601</v>
      </c>
      <c r="X1447">
        <v>0</v>
      </c>
      <c r="Y1447">
        <v>0</v>
      </c>
    </row>
    <row r="1448" spans="1:25" x14ac:dyDescent="0.2">
      <c r="A1448" t="s">
        <v>5400</v>
      </c>
      <c r="B1448" t="s">
        <v>5401</v>
      </c>
      <c r="C1448" t="s">
        <v>5402</v>
      </c>
      <c r="D1448" t="s">
        <v>5403</v>
      </c>
      <c r="E1448" t="s">
        <v>5401</v>
      </c>
      <c r="F1448" t="s">
        <v>28</v>
      </c>
      <c r="G1448" t="s">
        <v>5401</v>
      </c>
      <c r="H1448" t="str">
        <f>"glh-1"</f>
        <v>glh-1</v>
      </c>
      <c r="I1448" t="s">
        <v>5403</v>
      </c>
      <c r="J1448">
        <v>17.125136152379</v>
      </c>
      <c r="K1448">
        <v>16.668558976045102</v>
      </c>
      <c r="L1448">
        <v>17.138788059697202</v>
      </c>
      <c r="M1448">
        <v>17.160106977867699</v>
      </c>
      <c r="N1448">
        <v>17.594007778036001</v>
      </c>
      <c r="O1448">
        <v>17.004123564051302</v>
      </c>
      <c r="P1448">
        <v>0.275251710611226</v>
      </c>
      <c r="Q1448">
        <v>-0.42446341289303602</v>
      </c>
      <c r="R1448">
        <v>0.97496683411548701</v>
      </c>
      <c r="S1448">
        <v>17.647209853199399</v>
      </c>
      <c r="T1448">
        <v>0.82680154414712104</v>
      </c>
      <c r="U1448">
        <v>-6.53203133041354</v>
      </c>
      <c r="V1448">
        <v>0.41923809700177</v>
      </c>
      <c r="W1448">
        <v>0.91512503332874395</v>
      </c>
      <c r="X1448">
        <v>0</v>
      </c>
      <c r="Y1448">
        <v>0</v>
      </c>
    </row>
    <row r="1449" spans="1:25" x14ac:dyDescent="0.2">
      <c r="A1449" t="s">
        <v>5404</v>
      </c>
      <c r="B1449" t="s">
        <v>5405</v>
      </c>
      <c r="C1449" t="s">
        <v>5406</v>
      </c>
      <c r="D1449" t="s">
        <v>5407</v>
      </c>
      <c r="E1449" t="s">
        <v>5405</v>
      </c>
      <c r="F1449" t="s">
        <v>28</v>
      </c>
      <c r="G1449" t="s">
        <v>5405</v>
      </c>
      <c r="H1449" t="str">
        <f>"tba-2"</f>
        <v>tba-2</v>
      </c>
      <c r="I1449" t="s">
        <v>5407</v>
      </c>
      <c r="J1449">
        <v>16.5215059980546</v>
      </c>
      <c r="K1449">
        <v>16.512687001854601</v>
      </c>
      <c r="L1449">
        <v>16.440364138264101</v>
      </c>
      <c r="M1449">
        <v>16.225873607876199</v>
      </c>
      <c r="N1449">
        <v>16.383357663376799</v>
      </c>
      <c r="O1449">
        <v>16.677449609737501</v>
      </c>
      <c r="P1449">
        <v>-6.26254190609217E-2</v>
      </c>
      <c r="Q1449">
        <v>-0.44798093460189398</v>
      </c>
      <c r="R1449">
        <v>0.32273009648005102</v>
      </c>
      <c r="S1449">
        <v>16.325637696001898</v>
      </c>
      <c r="T1449">
        <v>-0.34157146213254902</v>
      </c>
      <c r="U1449">
        <v>-6.8217290646572497</v>
      </c>
      <c r="V1449">
        <v>0.73665163437527903</v>
      </c>
      <c r="W1449">
        <v>0.99093639417984203</v>
      </c>
      <c r="X1449">
        <v>0</v>
      </c>
      <c r="Y1449">
        <v>0</v>
      </c>
    </row>
    <row r="1450" spans="1:25" x14ac:dyDescent="0.2">
      <c r="A1450" t="s">
        <v>5408</v>
      </c>
      <c r="B1450" t="s">
        <v>5409</v>
      </c>
      <c r="C1450" t="s">
        <v>5410</v>
      </c>
      <c r="D1450" t="s">
        <v>5411</v>
      </c>
      <c r="E1450" t="s">
        <v>5409</v>
      </c>
      <c r="F1450" t="s">
        <v>28</v>
      </c>
      <c r="G1450" t="s">
        <v>5409</v>
      </c>
      <c r="H1450" t="str">
        <f>"T01G9.2"</f>
        <v>T01G9.2</v>
      </c>
      <c r="I1450" t="s">
        <v>5411</v>
      </c>
      <c r="J1450">
        <v>11.4297831056051</v>
      </c>
      <c r="K1450" t="s">
        <v>29</v>
      </c>
      <c r="L1450">
        <v>11.736906389936999</v>
      </c>
      <c r="M1450">
        <v>11.9031602019817</v>
      </c>
      <c r="N1450">
        <v>11.853205834947801</v>
      </c>
      <c r="O1450">
        <v>12.4114063619514</v>
      </c>
      <c r="P1450">
        <v>0.47257938518926301</v>
      </c>
      <c r="Q1450">
        <v>-0.47197210279977903</v>
      </c>
      <c r="R1450">
        <v>1.4171308731783101</v>
      </c>
      <c r="S1450">
        <v>11.781597187713301</v>
      </c>
      <c r="T1450">
        <v>1.0738435903786001</v>
      </c>
      <c r="U1450">
        <v>-6.1863902189327398</v>
      </c>
      <c r="V1450">
        <v>0.30118793072406802</v>
      </c>
      <c r="W1450">
        <v>0.85855590823088301</v>
      </c>
      <c r="X1450">
        <v>0</v>
      </c>
      <c r="Y1450">
        <v>0</v>
      </c>
    </row>
    <row r="1451" spans="1:25" x14ac:dyDescent="0.2">
      <c r="A1451" t="s">
        <v>5412</v>
      </c>
      <c r="B1451" t="s">
        <v>5413</v>
      </c>
      <c r="C1451" t="s">
        <v>5414</v>
      </c>
      <c r="D1451" t="s">
        <v>5415</v>
      </c>
      <c r="E1451" t="s">
        <v>5413</v>
      </c>
      <c r="F1451" t="s">
        <v>28</v>
      </c>
      <c r="G1451" t="s">
        <v>5413</v>
      </c>
      <c r="H1451" t="str">
        <f>"hsp-16.11"</f>
        <v>hsp-16.11</v>
      </c>
      <c r="I1451" t="s">
        <v>5415</v>
      </c>
      <c r="J1451">
        <v>17.097010548011099</v>
      </c>
      <c r="K1451">
        <v>17.099342514273999</v>
      </c>
      <c r="L1451">
        <v>16.864731999881499</v>
      </c>
      <c r="M1451">
        <v>16.365663895493601</v>
      </c>
      <c r="N1451">
        <v>15.969354953597</v>
      </c>
      <c r="O1451">
        <v>15.6142919135331</v>
      </c>
      <c r="P1451">
        <v>-1.03725809984763</v>
      </c>
      <c r="Q1451">
        <v>-1.96727566063318</v>
      </c>
      <c r="R1451">
        <v>-0.10724053906207399</v>
      </c>
      <c r="S1451">
        <v>14.478980771689899</v>
      </c>
      <c r="T1451">
        <v>-2.3441651166811401</v>
      </c>
      <c r="U1451">
        <v>-4.3823846193436102</v>
      </c>
      <c r="V1451">
        <v>3.0816722288338101E-2</v>
      </c>
      <c r="W1451">
        <v>0.38350268280793198</v>
      </c>
      <c r="X1451">
        <v>-1</v>
      </c>
      <c r="Y1451">
        <v>0</v>
      </c>
    </row>
    <row r="1452" spans="1:25" x14ac:dyDescent="0.2">
      <c r="A1452" t="s">
        <v>5416</v>
      </c>
      <c r="B1452" t="s">
        <v>5417</v>
      </c>
      <c r="C1452" t="s">
        <v>5418</v>
      </c>
      <c r="D1452" t="s">
        <v>5419</v>
      </c>
      <c r="E1452" t="s">
        <v>5417</v>
      </c>
      <c r="F1452" t="s">
        <v>28</v>
      </c>
      <c r="G1452" t="s">
        <v>5417</v>
      </c>
      <c r="H1452" t="str">
        <f>"emb-5"</f>
        <v>emb-5</v>
      </c>
      <c r="I1452" t="s">
        <v>5419</v>
      </c>
      <c r="J1452">
        <v>13.434834057309301</v>
      </c>
      <c r="K1452">
        <v>13.410018770041599</v>
      </c>
      <c r="L1452">
        <v>13.156916122154099</v>
      </c>
      <c r="M1452">
        <v>13.217314204229799</v>
      </c>
      <c r="N1452">
        <v>13.0692223550836</v>
      </c>
      <c r="O1452">
        <v>13.075280796141399</v>
      </c>
      <c r="P1452">
        <v>-0.21331719801674401</v>
      </c>
      <c r="Q1452">
        <v>-0.67298280449798598</v>
      </c>
      <c r="R1452">
        <v>0.24634840846449799</v>
      </c>
      <c r="S1452">
        <v>13.400574647608201</v>
      </c>
      <c r="T1452">
        <v>-0.97956638602855295</v>
      </c>
      <c r="U1452">
        <v>-6.3934609032793599</v>
      </c>
      <c r="V1452">
        <v>0.34111981856014401</v>
      </c>
      <c r="W1452">
        <v>0.876350511665964</v>
      </c>
      <c r="X1452">
        <v>0</v>
      </c>
      <c r="Y1452">
        <v>0</v>
      </c>
    </row>
    <row r="1453" spans="1:25" x14ac:dyDescent="0.2">
      <c r="A1453" t="s">
        <v>5420</v>
      </c>
      <c r="B1453" t="s">
        <v>5421</v>
      </c>
      <c r="C1453" t="s">
        <v>5422</v>
      </c>
      <c r="D1453" t="s">
        <v>5423</v>
      </c>
      <c r="E1453" t="s">
        <v>5421</v>
      </c>
      <c r="F1453" t="s">
        <v>28</v>
      </c>
      <c r="G1453" t="s">
        <v>5421</v>
      </c>
      <c r="H1453" t="str">
        <f>"kup-1"</f>
        <v>kup-1</v>
      </c>
      <c r="I1453" t="s">
        <v>5423</v>
      </c>
      <c r="J1453">
        <v>11.5411033204738</v>
      </c>
      <c r="K1453">
        <v>11.5268668477172</v>
      </c>
      <c r="L1453">
        <v>10.8321448707123</v>
      </c>
      <c r="M1453">
        <v>10.599741545923999</v>
      </c>
      <c r="N1453">
        <v>11.857570804367599</v>
      </c>
      <c r="O1453">
        <v>11.9466408256887</v>
      </c>
      <c r="P1453">
        <v>0.16794604569235499</v>
      </c>
      <c r="Q1453">
        <v>-0.68609345503454</v>
      </c>
      <c r="R1453">
        <v>1.02198554641925</v>
      </c>
      <c r="S1453">
        <v>11.878005104496101</v>
      </c>
      <c r="T1453">
        <v>0.41940483290803798</v>
      </c>
      <c r="U1453">
        <v>-6.7901520588154698</v>
      </c>
      <c r="V1453">
        <v>0.68090646282716305</v>
      </c>
      <c r="W1453">
        <v>0.98642420921484297</v>
      </c>
      <c r="X1453">
        <v>0</v>
      </c>
      <c r="Y1453">
        <v>0</v>
      </c>
    </row>
    <row r="1454" spans="1:25" x14ac:dyDescent="0.2">
      <c r="A1454" t="s">
        <v>5424</v>
      </c>
      <c r="B1454" t="s">
        <v>5425</v>
      </c>
      <c r="C1454" t="s">
        <v>5426</v>
      </c>
      <c r="D1454" t="s">
        <v>5427</v>
      </c>
      <c r="E1454" t="s">
        <v>5425</v>
      </c>
      <c r="F1454" t="s">
        <v>28</v>
      </c>
      <c r="G1454" t="s">
        <v>5425</v>
      </c>
      <c r="H1454" t="str">
        <f>"pgp-1"</f>
        <v>pgp-1</v>
      </c>
      <c r="I1454" t="s">
        <v>5427</v>
      </c>
      <c r="J1454">
        <v>13.7252290720667</v>
      </c>
      <c r="K1454">
        <v>13.515850861082299</v>
      </c>
      <c r="L1454">
        <v>13.259197634420801</v>
      </c>
      <c r="M1454">
        <v>13.7286334668626</v>
      </c>
      <c r="N1454">
        <v>13.5428980565184</v>
      </c>
      <c r="O1454">
        <v>13.6329970597984</v>
      </c>
      <c r="P1454">
        <v>0.13475033853652699</v>
      </c>
      <c r="Q1454">
        <v>-0.50280126933988201</v>
      </c>
      <c r="R1454">
        <v>0.77230194641293604</v>
      </c>
      <c r="S1454">
        <v>12.831798426188699</v>
      </c>
      <c r="T1454">
        <v>0.44422912903353101</v>
      </c>
      <c r="U1454">
        <v>-6.7799502419457003</v>
      </c>
      <c r="V1454">
        <v>0.66220229461197999</v>
      </c>
      <c r="W1454">
        <v>0.98382359994193702</v>
      </c>
      <c r="X1454">
        <v>0</v>
      </c>
      <c r="Y1454">
        <v>0</v>
      </c>
    </row>
    <row r="1455" spans="1:25" x14ac:dyDescent="0.2">
      <c r="A1455" t="s">
        <v>5428</v>
      </c>
      <c r="B1455" t="s">
        <v>5429</v>
      </c>
      <c r="C1455" t="s">
        <v>5430</v>
      </c>
      <c r="D1455" t="s">
        <v>5431</v>
      </c>
      <c r="E1455" t="s">
        <v>5429</v>
      </c>
      <c r="F1455" t="s">
        <v>28</v>
      </c>
      <c r="G1455" t="s">
        <v>5429</v>
      </c>
      <c r="H1455" t="str">
        <f>"tpa-1"</f>
        <v>tpa-1</v>
      </c>
      <c r="I1455" t="s">
        <v>5431</v>
      </c>
      <c r="J1455">
        <v>13.212600033161999</v>
      </c>
      <c r="K1455">
        <v>13.4127089736167</v>
      </c>
      <c r="L1455">
        <v>13.113645098381101</v>
      </c>
      <c r="M1455">
        <v>13.4554775153379</v>
      </c>
      <c r="N1455">
        <v>13.443799614813001</v>
      </c>
      <c r="O1455">
        <v>13.4691859458823</v>
      </c>
      <c r="P1455">
        <v>0.20983632362444399</v>
      </c>
      <c r="Q1455">
        <v>-0.165595651920317</v>
      </c>
      <c r="R1455">
        <v>0.58526829916920498</v>
      </c>
      <c r="S1455">
        <v>13.5014284517526</v>
      </c>
      <c r="T1455">
        <v>1.1797756360048299</v>
      </c>
      <c r="U1455">
        <v>-6.18175098871298</v>
      </c>
      <c r="V1455">
        <v>0.25443550844838903</v>
      </c>
      <c r="W1455">
        <v>0.83701250057606502</v>
      </c>
      <c r="X1455">
        <v>0</v>
      </c>
      <c r="Y1455">
        <v>0</v>
      </c>
    </row>
    <row r="1456" spans="1:25" x14ac:dyDescent="0.2">
      <c r="A1456" t="s">
        <v>5432</v>
      </c>
      <c r="B1456" t="s">
        <v>5433</v>
      </c>
      <c r="C1456" t="s">
        <v>5434</v>
      </c>
      <c r="D1456" t="s">
        <v>5435</v>
      </c>
      <c r="E1456" t="s">
        <v>5433</v>
      </c>
      <c r="F1456" t="s">
        <v>28</v>
      </c>
      <c r="G1456" t="s">
        <v>5433</v>
      </c>
      <c r="H1456" t="str">
        <f>"mei-1"</f>
        <v>mei-1</v>
      </c>
      <c r="I1456" t="s">
        <v>5435</v>
      </c>
      <c r="J1456">
        <v>12.1050061900135</v>
      </c>
      <c r="K1456" t="s">
        <v>29</v>
      </c>
      <c r="L1456">
        <v>11.6919421675485</v>
      </c>
      <c r="M1456">
        <v>12.0976126166575</v>
      </c>
      <c r="N1456">
        <v>12.163619256627699</v>
      </c>
      <c r="O1456">
        <v>12.107897584529301</v>
      </c>
      <c r="P1456">
        <v>0.224568973823841</v>
      </c>
      <c r="Q1456">
        <v>-0.49131256267650197</v>
      </c>
      <c r="R1456">
        <v>0.94045051032418303</v>
      </c>
      <c r="S1456">
        <v>12.942185242361299</v>
      </c>
      <c r="T1456">
        <v>0.67825942497188796</v>
      </c>
      <c r="U1456">
        <v>-6.5318529050891696</v>
      </c>
      <c r="V1456">
        <v>0.509596094985448</v>
      </c>
      <c r="W1456">
        <v>0.94062983959761604</v>
      </c>
      <c r="X1456">
        <v>0</v>
      </c>
      <c r="Y1456">
        <v>0</v>
      </c>
    </row>
    <row r="1457" spans="1:25" x14ac:dyDescent="0.2">
      <c r="A1457" t="s">
        <v>5436</v>
      </c>
      <c r="B1457" t="s">
        <v>5437</v>
      </c>
      <c r="C1457" t="s">
        <v>5438</v>
      </c>
      <c r="D1457" t="s">
        <v>5439</v>
      </c>
      <c r="E1457" t="s">
        <v>5437</v>
      </c>
      <c r="F1457" t="s">
        <v>28</v>
      </c>
      <c r="G1457" t="s">
        <v>5437</v>
      </c>
      <c r="H1457" t="str">
        <f>"unc-18"</f>
        <v>unc-18</v>
      </c>
      <c r="I1457" t="s">
        <v>5439</v>
      </c>
      <c r="J1457">
        <v>14.5406045842605</v>
      </c>
      <c r="K1457">
        <v>14.4679218406333</v>
      </c>
      <c r="L1457">
        <v>14.368004542773299</v>
      </c>
      <c r="M1457">
        <v>14.5534704868177</v>
      </c>
      <c r="N1457">
        <v>14.4587615923454</v>
      </c>
      <c r="O1457">
        <v>14.3669125462889</v>
      </c>
      <c r="P1457">
        <v>8.7121926159561302E-4</v>
      </c>
      <c r="Q1457">
        <v>-0.31118055375821901</v>
      </c>
      <c r="R1457">
        <v>0.31292299228141002</v>
      </c>
      <c r="S1457">
        <v>14.946529143150499</v>
      </c>
      <c r="T1457">
        <v>5.8680435351223898E-3</v>
      </c>
      <c r="U1457">
        <v>-6.88247158277147</v>
      </c>
      <c r="V1457">
        <v>0.99538292780875903</v>
      </c>
      <c r="W1457">
        <v>0.99968702248720698</v>
      </c>
      <c r="X1457">
        <v>0</v>
      </c>
      <c r="Y1457">
        <v>0</v>
      </c>
    </row>
    <row r="1458" spans="1:25" x14ac:dyDescent="0.2">
      <c r="A1458" t="s">
        <v>5440</v>
      </c>
      <c r="B1458" t="s">
        <v>5441</v>
      </c>
      <c r="C1458" t="s">
        <v>5442</v>
      </c>
      <c r="D1458" t="s">
        <v>5443</v>
      </c>
      <c r="E1458" t="s">
        <v>5441</v>
      </c>
      <c r="F1458" t="s">
        <v>28</v>
      </c>
      <c r="G1458" t="s">
        <v>5441</v>
      </c>
      <c r="H1458" t="str">
        <f>"pkc-1"</f>
        <v>pkc-1</v>
      </c>
      <c r="I1458" t="s">
        <v>5443</v>
      </c>
      <c r="J1458">
        <v>14.935817283471399</v>
      </c>
      <c r="K1458">
        <v>14.9286548400479</v>
      </c>
      <c r="L1458">
        <v>14.761866448974599</v>
      </c>
      <c r="M1458">
        <v>14.8846749966514</v>
      </c>
      <c r="N1458">
        <v>14.7787527244898</v>
      </c>
      <c r="O1458">
        <v>14.484884555275199</v>
      </c>
      <c r="P1458">
        <v>-0.15934209869253901</v>
      </c>
      <c r="Q1458">
        <v>-0.53568802319880005</v>
      </c>
      <c r="R1458">
        <v>0.21700382581372199</v>
      </c>
      <c r="S1458">
        <v>14.600914912638901</v>
      </c>
      <c r="T1458">
        <v>-0.88988898009220097</v>
      </c>
      <c r="U1458">
        <v>-6.4777074108012096</v>
      </c>
      <c r="V1458">
        <v>0.385332910427651</v>
      </c>
      <c r="W1458">
        <v>0.901819919763166</v>
      </c>
      <c r="X1458">
        <v>0</v>
      </c>
      <c r="Y1458">
        <v>0</v>
      </c>
    </row>
    <row r="1459" spans="1:25" x14ac:dyDescent="0.2">
      <c r="A1459" t="s">
        <v>5444</v>
      </c>
      <c r="B1459" t="s">
        <v>5445</v>
      </c>
      <c r="C1459" t="s">
        <v>5446</v>
      </c>
      <c r="D1459" t="s">
        <v>5447</v>
      </c>
      <c r="E1459" t="s">
        <v>5445</v>
      </c>
      <c r="F1459" t="s">
        <v>28</v>
      </c>
      <c r="G1459" t="s">
        <v>5445</v>
      </c>
      <c r="H1459" t="str">
        <f>"let-70"</f>
        <v>let-70</v>
      </c>
      <c r="I1459" t="s">
        <v>5447</v>
      </c>
      <c r="J1459">
        <v>16.3843894297509</v>
      </c>
      <c r="K1459">
        <v>16.340438243762399</v>
      </c>
      <c r="L1459">
        <v>16.047327920448499</v>
      </c>
      <c r="M1459">
        <v>15.9205690166596</v>
      </c>
      <c r="N1459">
        <v>15.958079050290401</v>
      </c>
      <c r="O1459">
        <v>16.257499626450901</v>
      </c>
      <c r="P1459">
        <v>-0.21200263352028201</v>
      </c>
      <c r="Q1459">
        <v>-0.84141095639729102</v>
      </c>
      <c r="R1459">
        <v>0.417405689356728</v>
      </c>
      <c r="S1459">
        <v>15.5245237465484</v>
      </c>
      <c r="T1459">
        <v>-0.70794788319781299</v>
      </c>
      <c r="U1459">
        <v>-6.6242558034473298</v>
      </c>
      <c r="V1459">
        <v>0.48809686851077</v>
      </c>
      <c r="W1459">
        <v>0.94046689344422196</v>
      </c>
      <c r="X1459">
        <v>0</v>
      </c>
      <c r="Y1459">
        <v>0</v>
      </c>
    </row>
    <row r="1460" spans="1:25" x14ac:dyDescent="0.2">
      <c r="A1460" t="s">
        <v>5448</v>
      </c>
      <c r="B1460" t="s">
        <v>5449</v>
      </c>
      <c r="C1460" t="s">
        <v>5450</v>
      </c>
      <c r="D1460" t="s">
        <v>5451</v>
      </c>
      <c r="E1460" t="s">
        <v>5449</v>
      </c>
      <c r="F1460" t="s">
        <v>28</v>
      </c>
      <c r="G1460" t="s">
        <v>5449</v>
      </c>
      <c r="H1460" t="str">
        <f>"unc-101"</f>
        <v>unc-101</v>
      </c>
      <c r="I1460" t="s">
        <v>5451</v>
      </c>
      <c r="J1460">
        <v>14.7424268263588</v>
      </c>
      <c r="K1460">
        <v>14.8784369302172</v>
      </c>
      <c r="L1460">
        <v>14.777148700716999</v>
      </c>
      <c r="M1460">
        <v>14.5566636905187</v>
      </c>
      <c r="N1460">
        <v>14.827187568779101</v>
      </c>
      <c r="O1460">
        <v>14.8352336786928</v>
      </c>
      <c r="P1460">
        <v>-5.9642506434158797E-2</v>
      </c>
      <c r="Q1460">
        <v>-0.58728936165446199</v>
      </c>
      <c r="R1460">
        <v>0.468004348786144</v>
      </c>
      <c r="S1460">
        <v>14.541526116825199</v>
      </c>
      <c r="T1460">
        <v>-0.23757735621464099</v>
      </c>
      <c r="U1460">
        <v>-6.8530451027037902</v>
      </c>
      <c r="V1460">
        <v>0.81490769301656596</v>
      </c>
      <c r="W1460">
        <v>0.99278624068726296</v>
      </c>
      <c r="X1460">
        <v>0</v>
      </c>
      <c r="Y1460">
        <v>0</v>
      </c>
    </row>
    <row r="1461" spans="1:25" x14ac:dyDescent="0.2">
      <c r="A1461" t="s">
        <v>5452</v>
      </c>
      <c r="B1461" t="s">
        <v>5453</v>
      </c>
      <c r="C1461" t="s">
        <v>5454</v>
      </c>
      <c r="D1461" t="s">
        <v>5455</v>
      </c>
      <c r="E1461" t="s">
        <v>5453</v>
      </c>
      <c r="F1461" t="s">
        <v>28</v>
      </c>
      <c r="G1461" t="s">
        <v>5453</v>
      </c>
      <c r="H1461" t="str">
        <f>"dpy-23"</f>
        <v>dpy-23</v>
      </c>
      <c r="I1461" t="s">
        <v>5455</v>
      </c>
      <c r="J1461">
        <v>15.542352817323501</v>
      </c>
      <c r="K1461">
        <v>15.601496462697099</v>
      </c>
      <c r="L1461">
        <v>15.6866365550382</v>
      </c>
      <c r="M1461">
        <v>15.543199663126</v>
      </c>
      <c r="N1461">
        <v>15.6261900257447</v>
      </c>
      <c r="O1461">
        <v>15.436397209120599</v>
      </c>
      <c r="P1461">
        <v>-7.4899645689161104E-2</v>
      </c>
      <c r="Q1461">
        <v>-0.410192740833354</v>
      </c>
      <c r="R1461">
        <v>0.26039344945503201</v>
      </c>
      <c r="S1461">
        <v>15.5962695584185</v>
      </c>
      <c r="T1461">
        <v>-0.46951304856948101</v>
      </c>
      <c r="U1461">
        <v>-6.7680196935141899</v>
      </c>
      <c r="V1461">
        <v>0.64437317411657402</v>
      </c>
      <c r="W1461">
        <v>0.97787228611945198</v>
      </c>
      <c r="X1461">
        <v>0</v>
      </c>
      <c r="Y1461">
        <v>0</v>
      </c>
    </row>
    <row r="1462" spans="1:25" x14ac:dyDescent="0.2">
      <c r="A1462" t="s">
        <v>5456</v>
      </c>
      <c r="B1462" t="s">
        <v>5457</v>
      </c>
      <c r="C1462" t="s">
        <v>5458</v>
      </c>
      <c r="D1462" t="s">
        <v>5459</v>
      </c>
      <c r="E1462" t="s">
        <v>5457</v>
      </c>
      <c r="F1462" t="s">
        <v>28</v>
      </c>
      <c r="G1462" t="s">
        <v>5457</v>
      </c>
      <c r="H1462" t="str">
        <f>"dpy-10"</f>
        <v>dpy-10</v>
      </c>
      <c r="I1462" t="s">
        <v>5459</v>
      </c>
      <c r="J1462">
        <v>11.3311051831511</v>
      </c>
      <c r="K1462">
        <v>10.7540497081488</v>
      </c>
      <c r="L1462" t="s">
        <v>29</v>
      </c>
      <c r="M1462" t="s">
        <v>29</v>
      </c>
      <c r="N1462">
        <v>11.5462892219651</v>
      </c>
      <c r="O1462">
        <v>10.142525242264099</v>
      </c>
      <c r="P1462">
        <v>-0.198170213535343</v>
      </c>
      <c r="Q1462">
        <v>-1.5486861606768001</v>
      </c>
      <c r="R1462">
        <v>1.15234573360611</v>
      </c>
      <c r="S1462">
        <v>11.5202718287037</v>
      </c>
      <c r="T1462">
        <v>-0.34805043007453601</v>
      </c>
      <c r="U1462">
        <v>-6.6146426248946</v>
      </c>
      <c r="V1462">
        <v>0.73818587278308001</v>
      </c>
      <c r="W1462">
        <v>0.99147544347995398</v>
      </c>
      <c r="X1462">
        <v>0</v>
      </c>
      <c r="Y1462">
        <v>0</v>
      </c>
    </row>
    <row r="1463" spans="1:25" x14ac:dyDescent="0.2">
      <c r="A1463" t="s">
        <v>5460</v>
      </c>
      <c r="B1463" t="s">
        <v>5461</v>
      </c>
      <c r="C1463" t="s">
        <v>5462</v>
      </c>
      <c r="D1463" t="s">
        <v>5463</v>
      </c>
      <c r="E1463" t="s">
        <v>5461</v>
      </c>
      <c r="F1463" t="s">
        <v>28</v>
      </c>
      <c r="G1463" t="s">
        <v>5461</v>
      </c>
      <c r="H1463" t="str">
        <f>"lec-1"</f>
        <v>lec-1</v>
      </c>
      <c r="I1463" t="s">
        <v>5463</v>
      </c>
      <c r="J1463">
        <v>12.777948663475399</v>
      </c>
      <c r="K1463">
        <v>12.701584177042699</v>
      </c>
      <c r="L1463">
        <v>13.1993468937816</v>
      </c>
      <c r="M1463">
        <v>13.909071634063</v>
      </c>
      <c r="N1463">
        <v>12.955091779157501</v>
      </c>
      <c r="O1463">
        <v>13.988766716067101</v>
      </c>
      <c r="P1463">
        <v>0.72468346499598701</v>
      </c>
      <c r="Q1463">
        <v>-0.29652567062843299</v>
      </c>
      <c r="R1463">
        <v>1.7458926006204101</v>
      </c>
      <c r="S1463">
        <v>13.245585672355</v>
      </c>
      <c r="T1463">
        <v>1.4915100156554399</v>
      </c>
      <c r="U1463">
        <v>-5.78759522702906</v>
      </c>
      <c r="V1463">
        <v>0.15324588044835399</v>
      </c>
      <c r="W1463">
        <v>0.74670906315098495</v>
      </c>
      <c r="X1463">
        <v>0</v>
      </c>
      <c r="Y1463">
        <v>0</v>
      </c>
    </row>
    <row r="1464" spans="1:25" x14ac:dyDescent="0.2">
      <c r="A1464" t="s">
        <v>5464</v>
      </c>
      <c r="B1464" t="s">
        <v>5465</v>
      </c>
      <c r="C1464" t="s">
        <v>5466</v>
      </c>
      <c r="D1464" t="s">
        <v>5467</v>
      </c>
      <c r="E1464" t="s">
        <v>5465</v>
      </c>
      <c r="F1464" t="s">
        <v>28</v>
      </c>
      <c r="G1464" t="s">
        <v>5465</v>
      </c>
      <c r="H1464" t="str">
        <f>"ubl-1"</f>
        <v>ubl-1</v>
      </c>
      <c r="I1464" t="s">
        <v>5467</v>
      </c>
      <c r="J1464">
        <v>20.033628292707998</v>
      </c>
      <c r="K1464">
        <v>19.930741747855201</v>
      </c>
      <c r="L1464">
        <v>20.135556291262901</v>
      </c>
      <c r="M1464">
        <v>19.645541418544699</v>
      </c>
      <c r="N1464">
        <v>19.958268195545202</v>
      </c>
      <c r="O1464">
        <v>20.350237380445702</v>
      </c>
      <c r="P1464">
        <v>-4.8626445763513701E-2</v>
      </c>
      <c r="Q1464">
        <v>-1.3888871980134601</v>
      </c>
      <c r="R1464">
        <v>1.29163430648643</v>
      </c>
      <c r="S1464">
        <v>19.456148552541801</v>
      </c>
      <c r="T1464">
        <v>-7.62563019083317E-2</v>
      </c>
      <c r="U1464">
        <v>-6.87945173410602</v>
      </c>
      <c r="V1464">
        <v>0.94006127388133098</v>
      </c>
      <c r="W1464">
        <v>0.99926809132575301</v>
      </c>
      <c r="X1464">
        <v>0</v>
      </c>
      <c r="Y1464">
        <v>0</v>
      </c>
    </row>
    <row r="1465" spans="1:25" x14ac:dyDescent="0.2">
      <c r="A1465" t="s">
        <v>5468</v>
      </c>
      <c r="B1465" t="s">
        <v>5469</v>
      </c>
      <c r="C1465" t="s">
        <v>5470</v>
      </c>
      <c r="D1465" t="s">
        <v>5471</v>
      </c>
      <c r="E1465" t="s">
        <v>5469</v>
      </c>
      <c r="F1465" t="s">
        <v>28</v>
      </c>
      <c r="G1465" t="s">
        <v>5469</v>
      </c>
      <c r="H1465" t="str">
        <f>"unc-87"</f>
        <v>unc-87</v>
      </c>
      <c r="I1465" t="s">
        <v>5471</v>
      </c>
      <c r="J1465">
        <v>15.382652045119301</v>
      </c>
      <c r="K1465">
        <v>15.5291302044104</v>
      </c>
      <c r="L1465">
        <v>15.9994566501567</v>
      </c>
      <c r="M1465">
        <v>15.220224638025099</v>
      </c>
      <c r="N1465">
        <v>15.3059787807984</v>
      </c>
      <c r="O1465">
        <v>15.4470254146049</v>
      </c>
      <c r="P1465">
        <v>-0.31267002208600297</v>
      </c>
      <c r="Q1465">
        <v>-1.1992087284922299</v>
      </c>
      <c r="R1465">
        <v>0.57386868432022198</v>
      </c>
      <c r="S1465">
        <v>15.7223979434916</v>
      </c>
      <c r="T1465">
        <v>-0.74127790551237405</v>
      </c>
      <c r="U1465">
        <v>-6.5997449007804301</v>
      </c>
      <c r="V1465">
        <v>0.46814203763115803</v>
      </c>
      <c r="W1465">
        <v>0.92978583625257705</v>
      </c>
      <c r="X1465">
        <v>0</v>
      </c>
      <c r="Y1465">
        <v>0</v>
      </c>
    </row>
    <row r="1466" spans="1:25" x14ac:dyDescent="0.2">
      <c r="A1466" t="s">
        <v>5472</v>
      </c>
      <c r="B1466" t="s">
        <v>5473</v>
      </c>
      <c r="C1466" t="s">
        <v>5474</v>
      </c>
      <c r="D1466" t="s">
        <v>5475</v>
      </c>
      <c r="E1466" t="s">
        <v>5473</v>
      </c>
      <c r="F1466" t="s">
        <v>28</v>
      </c>
      <c r="G1466" t="s">
        <v>5473</v>
      </c>
      <c r="H1466" t="str">
        <f>"dyn-1"</f>
        <v>dyn-1</v>
      </c>
      <c r="I1466" t="s">
        <v>5475</v>
      </c>
      <c r="J1466">
        <v>15.0805969961134</v>
      </c>
      <c r="K1466">
        <v>15.0355834103287</v>
      </c>
      <c r="L1466">
        <v>15.020117397619799</v>
      </c>
      <c r="M1466">
        <v>15.2052814958721</v>
      </c>
      <c r="N1466">
        <v>15.056197540824201</v>
      </c>
      <c r="O1466">
        <v>14.872509813676601</v>
      </c>
      <c r="P1466">
        <v>-7.6965122964267596E-4</v>
      </c>
      <c r="Q1466">
        <v>-0.34953822594246498</v>
      </c>
      <c r="R1466">
        <v>0.34799892348317901</v>
      </c>
      <c r="S1466">
        <v>15.075118257473701</v>
      </c>
      <c r="T1466">
        <v>-4.6381963967224299E-3</v>
      </c>
      <c r="U1466">
        <v>-6.8824783339952704</v>
      </c>
      <c r="V1466">
        <v>0.99635058326224701</v>
      </c>
      <c r="W1466">
        <v>0.99968702248720698</v>
      </c>
      <c r="X1466">
        <v>0</v>
      </c>
      <c r="Y1466">
        <v>0</v>
      </c>
    </row>
    <row r="1467" spans="1:25" x14ac:dyDescent="0.2">
      <c r="A1467" t="s">
        <v>5476</v>
      </c>
      <c r="B1467" t="s">
        <v>5477</v>
      </c>
      <c r="C1467" t="s">
        <v>5478</v>
      </c>
      <c r="D1467" t="s">
        <v>5479</v>
      </c>
      <c r="E1467" t="s">
        <v>5477</v>
      </c>
      <c r="F1467" t="s">
        <v>28</v>
      </c>
      <c r="G1467" t="s">
        <v>5477</v>
      </c>
      <c r="H1467" t="str">
        <f>"F01G4.6"</f>
        <v>F01G4.6</v>
      </c>
      <c r="I1467" t="s">
        <v>5479</v>
      </c>
      <c r="J1467">
        <v>19.847964898876999</v>
      </c>
      <c r="K1467">
        <v>19.663138646677101</v>
      </c>
      <c r="L1467">
        <v>19.789510656817399</v>
      </c>
      <c r="M1467">
        <v>19.7526863831566</v>
      </c>
      <c r="N1467">
        <v>19.700889874280801</v>
      </c>
      <c r="O1467">
        <v>19.510454497296699</v>
      </c>
      <c r="P1467">
        <v>-0.11219448254579199</v>
      </c>
      <c r="Q1467">
        <v>-0.50602918480656101</v>
      </c>
      <c r="R1467">
        <v>0.28164021971497699</v>
      </c>
      <c r="S1467">
        <v>19.681040171789999</v>
      </c>
      <c r="T1467">
        <v>-0.59875621206279495</v>
      </c>
      <c r="U1467">
        <v>-6.6970400707915001</v>
      </c>
      <c r="V1467">
        <v>0.55683965799137303</v>
      </c>
      <c r="W1467">
        <v>0.95635987123881905</v>
      </c>
      <c r="X1467">
        <v>0</v>
      </c>
      <c r="Y1467">
        <v>0</v>
      </c>
    </row>
    <row r="1468" spans="1:25" x14ac:dyDescent="0.2">
      <c r="A1468" t="s">
        <v>5480</v>
      </c>
      <c r="B1468" t="s">
        <v>5481</v>
      </c>
      <c r="C1468" t="s">
        <v>5482</v>
      </c>
      <c r="D1468" t="s">
        <v>5483</v>
      </c>
      <c r="E1468" t="s">
        <v>5481</v>
      </c>
      <c r="F1468" t="s">
        <v>28</v>
      </c>
      <c r="G1468" t="s">
        <v>5481</v>
      </c>
      <c r="H1468" t="str">
        <f>"trd-1"</f>
        <v>trd-1</v>
      </c>
      <c r="I1468" t="s">
        <v>5483</v>
      </c>
      <c r="J1468">
        <v>12.097215377526799</v>
      </c>
      <c r="K1468" t="s">
        <v>29</v>
      </c>
      <c r="L1468">
        <v>12.9788026256956</v>
      </c>
      <c r="M1468">
        <v>12.993201091692701</v>
      </c>
      <c r="N1468">
        <v>13.022238360352199</v>
      </c>
      <c r="O1468">
        <v>12.831128937795199</v>
      </c>
      <c r="P1468">
        <v>0.41084712833547798</v>
      </c>
      <c r="Q1468">
        <v>-0.21222141857921401</v>
      </c>
      <c r="R1468">
        <v>1.0339156752501699</v>
      </c>
      <c r="S1468">
        <v>12.960855380257501</v>
      </c>
      <c r="T1468">
        <v>1.4063260886236599</v>
      </c>
      <c r="U1468">
        <v>-5.7949061523821603</v>
      </c>
      <c r="V1468">
        <v>0.18014643279018999</v>
      </c>
      <c r="W1468">
        <v>0.78295732499061499</v>
      </c>
      <c r="X1468">
        <v>0</v>
      </c>
      <c r="Y1468">
        <v>0</v>
      </c>
    </row>
    <row r="1469" spans="1:25" x14ac:dyDescent="0.2">
      <c r="A1469" t="s">
        <v>5484</v>
      </c>
      <c r="B1469" t="s">
        <v>5485</v>
      </c>
      <c r="C1469" t="s">
        <v>5486</v>
      </c>
      <c r="D1469" t="s">
        <v>5487</v>
      </c>
      <c r="E1469" t="s">
        <v>5485</v>
      </c>
      <c r="F1469" t="s">
        <v>28</v>
      </c>
      <c r="G1469" t="s">
        <v>5485</v>
      </c>
      <c r="H1469" t="str">
        <f>"T20B12.3"</f>
        <v>T20B12.3</v>
      </c>
      <c r="I1469" t="s">
        <v>5487</v>
      </c>
      <c r="J1469">
        <v>11.3645507403529</v>
      </c>
      <c r="K1469">
        <v>10.874028277838701</v>
      </c>
      <c r="L1469">
        <v>11.722876702438001</v>
      </c>
      <c r="M1469">
        <v>10.775364064527</v>
      </c>
      <c r="N1469">
        <v>11.7049630625293</v>
      </c>
      <c r="O1469">
        <v>11.416475049909</v>
      </c>
      <c r="P1469">
        <v>-2.1551181221404599E-2</v>
      </c>
      <c r="Q1469">
        <v>-0.661195611018633</v>
      </c>
      <c r="R1469">
        <v>0.61809324857582404</v>
      </c>
      <c r="S1469">
        <v>12.1091700426944</v>
      </c>
      <c r="T1469">
        <v>-7.1463122187219605E-2</v>
      </c>
      <c r="U1469">
        <v>-6.8798038547216098</v>
      </c>
      <c r="V1469">
        <v>0.94392062666841103</v>
      </c>
      <c r="W1469">
        <v>0.99926809132575301</v>
      </c>
      <c r="X1469">
        <v>0</v>
      </c>
      <c r="Y1469">
        <v>0</v>
      </c>
    </row>
    <row r="1470" spans="1:25" x14ac:dyDescent="0.2">
      <c r="A1470" t="s">
        <v>5488</v>
      </c>
      <c r="B1470" t="s">
        <v>5489</v>
      </c>
      <c r="C1470" t="s">
        <v>5490</v>
      </c>
      <c r="D1470" t="s">
        <v>5491</v>
      </c>
      <c r="E1470" t="s">
        <v>5489</v>
      </c>
      <c r="F1470" t="s">
        <v>28</v>
      </c>
      <c r="G1470" t="s">
        <v>5489</v>
      </c>
      <c r="H1470" t="str">
        <f>"T20B12.7"</f>
        <v>T20B12.7</v>
      </c>
      <c r="I1470" t="s">
        <v>5491</v>
      </c>
      <c r="J1470">
        <v>12.7392208838763</v>
      </c>
      <c r="K1470">
        <v>12.3115623343392</v>
      </c>
      <c r="L1470">
        <v>12.281807489023</v>
      </c>
      <c r="M1470">
        <v>14.150530539856099</v>
      </c>
      <c r="N1470">
        <v>14.3461410691816</v>
      </c>
      <c r="O1470">
        <v>14.121765077118001</v>
      </c>
      <c r="P1470">
        <v>1.7619486596390901</v>
      </c>
      <c r="Q1470">
        <v>1.23728880063917</v>
      </c>
      <c r="R1470">
        <v>2.2866085186390102</v>
      </c>
      <c r="S1470">
        <v>13.8409278618642</v>
      </c>
      <c r="T1470">
        <v>7.0584269524560499</v>
      </c>
      <c r="U1470">
        <v>5.4229907680103899</v>
      </c>
      <c r="V1470" s="2">
        <v>1.4364073351056E-6</v>
      </c>
      <c r="W1470">
        <v>1.4059892974210099E-4</v>
      </c>
      <c r="X1470">
        <v>1</v>
      </c>
      <c r="Y1470">
        <v>1</v>
      </c>
    </row>
    <row r="1471" spans="1:25" x14ac:dyDescent="0.2">
      <c r="A1471" t="s">
        <v>5492</v>
      </c>
      <c r="B1471" t="s">
        <v>5493</v>
      </c>
      <c r="C1471" t="s">
        <v>5494</v>
      </c>
      <c r="D1471" t="s">
        <v>5495</v>
      </c>
      <c r="E1471" t="s">
        <v>5493</v>
      </c>
      <c r="F1471" t="s">
        <v>28</v>
      </c>
      <c r="G1471" t="s">
        <v>5493</v>
      </c>
      <c r="H1471" t="str">
        <f>"hmg-4"</f>
        <v>hmg-4</v>
      </c>
      <c r="I1471" t="s">
        <v>5495</v>
      </c>
      <c r="J1471">
        <v>12.070061675382</v>
      </c>
      <c r="K1471">
        <v>11.8893445510428</v>
      </c>
      <c r="L1471">
        <v>11.9947787748634</v>
      </c>
      <c r="M1471">
        <v>12.308468504175799</v>
      </c>
      <c r="N1471">
        <v>12.1221000452511</v>
      </c>
      <c r="O1471">
        <v>12.153670628307101</v>
      </c>
      <c r="P1471">
        <v>0.21001805881528299</v>
      </c>
      <c r="Q1471">
        <v>-0.278172635377685</v>
      </c>
      <c r="R1471">
        <v>0.69820875300825103</v>
      </c>
      <c r="S1471">
        <v>12.0571985281137</v>
      </c>
      <c r="T1471">
        <v>0.90806545930682603</v>
      </c>
      <c r="U1471">
        <v>-6.4606179727380999</v>
      </c>
      <c r="V1471">
        <v>0.37661472054503697</v>
      </c>
      <c r="W1471">
        <v>0.89611784539566797</v>
      </c>
      <c r="X1471">
        <v>0</v>
      </c>
      <c r="Y1471">
        <v>0</v>
      </c>
    </row>
    <row r="1472" spans="1:25" x14ac:dyDescent="0.2">
      <c r="A1472" t="s">
        <v>5496</v>
      </c>
      <c r="B1472" t="s">
        <v>5497</v>
      </c>
      <c r="C1472" t="s">
        <v>5498</v>
      </c>
      <c r="D1472" t="s">
        <v>5499</v>
      </c>
      <c r="E1472" t="s">
        <v>5497</v>
      </c>
      <c r="F1472" t="s">
        <v>28</v>
      </c>
      <c r="G1472" t="s">
        <v>5497</v>
      </c>
      <c r="H1472" t="str">
        <f>"isw-1"</f>
        <v>isw-1</v>
      </c>
      <c r="I1472" t="s">
        <v>5499</v>
      </c>
      <c r="J1472">
        <v>14.463643874374901</v>
      </c>
      <c r="K1472">
        <v>14.5934087257675</v>
      </c>
      <c r="L1472">
        <v>14.6563078060694</v>
      </c>
      <c r="M1472">
        <v>14.5893672211763</v>
      </c>
      <c r="N1472">
        <v>14.5559061166952</v>
      </c>
      <c r="O1472">
        <v>14.431820503662999</v>
      </c>
      <c r="P1472">
        <v>-4.5422188225774797E-2</v>
      </c>
      <c r="Q1472">
        <v>-0.37398780334479098</v>
      </c>
      <c r="R1472">
        <v>0.28314342689324101</v>
      </c>
      <c r="S1472">
        <v>14.6168825268501</v>
      </c>
      <c r="T1472">
        <v>-0.29056175759422098</v>
      </c>
      <c r="U1472">
        <v>-6.8384818778551599</v>
      </c>
      <c r="V1472">
        <v>0.77472698942991003</v>
      </c>
      <c r="W1472">
        <v>0.99278624068726296</v>
      </c>
      <c r="X1472">
        <v>0</v>
      </c>
      <c r="Y1472">
        <v>0</v>
      </c>
    </row>
    <row r="1473" spans="1:25" x14ac:dyDescent="0.2">
      <c r="A1473" t="s">
        <v>5500</v>
      </c>
      <c r="B1473" t="s">
        <v>5501</v>
      </c>
      <c r="C1473" t="s">
        <v>5502</v>
      </c>
      <c r="D1473" t="s">
        <v>5503</v>
      </c>
      <c r="E1473" t="s">
        <v>5501</v>
      </c>
      <c r="F1473" t="s">
        <v>28</v>
      </c>
      <c r="G1473" t="s">
        <v>5501</v>
      </c>
      <c r="H1473" t="str">
        <f>"F37A4.1"</f>
        <v>F37A4.1</v>
      </c>
      <c r="I1473" t="s">
        <v>5503</v>
      </c>
      <c r="J1473">
        <v>13.323412251244999</v>
      </c>
      <c r="K1473">
        <v>13.357235306444</v>
      </c>
      <c r="L1473">
        <v>13.681642989893399</v>
      </c>
      <c r="M1473">
        <v>13.297730611971801</v>
      </c>
      <c r="N1473">
        <v>13.526920089976199</v>
      </c>
      <c r="O1473">
        <v>13.2846370551189</v>
      </c>
      <c r="P1473">
        <v>-8.4334263505239093E-2</v>
      </c>
      <c r="Q1473">
        <v>-0.50710061217540703</v>
      </c>
      <c r="R1473">
        <v>0.33843208516492901</v>
      </c>
      <c r="S1473">
        <v>13.653800178249901</v>
      </c>
      <c r="T1473">
        <v>-0.421069377877624</v>
      </c>
      <c r="U1473">
        <v>-6.7900499788276099</v>
      </c>
      <c r="V1473">
        <v>0.67901230067845597</v>
      </c>
      <c r="W1473">
        <v>0.98642420921484297</v>
      </c>
      <c r="X1473">
        <v>0</v>
      </c>
      <c r="Y1473">
        <v>0</v>
      </c>
    </row>
    <row r="1474" spans="1:25" x14ac:dyDescent="0.2">
      <c r="A1474" t="s">
        <v>5504</v>
      </c>
      <c r="B1474" t="s">
        <v>5505</v>
      </c>
      <c r="C1474" t="s">
        <v>5506</v>
      </c>
      <c r="D1474" t="s">
        <v>5507</v>
      </c>
      <c r="E1474" t="s">
        <v>5505</v>
      </c>
      <c r="F1474" t="s">
        <v>28</v>
      </c>
      <c r="G1474" t="s">
        <v>5505</v>
      </c>
      <c r="H1474" t="str">
        <f>"F37A4.4"</f>
        <v>F37A4.4</v>
      </c>
      <c r="I1474" t="s">
        <v>5507</v>
      </c>
      <c r="J1474">
        <v>14.374343506476499</v>
      </c>
      <c r="K1474" t="s">
        <v>29</v>
      </c>
      <c r="L1474" t="s">
        <v>29</v>
      </c>
      <c r="M1474" t="s">
        <v>29</v>
      </c>
      <c r="N1474">
        <v>11.8983356664359</v>
      </c>
      <c r="O1474">
        <v>14.7564032657687</v>
      </c>
      <c r="P1474">
        <v>-1.0469740403741801</v>
      </c>
      <c r="Q1474">
        <v>-2.95557211610158</v>
      </c>
      <c r="R1474">
        <v>0.86162403535321297</v>
      </c>
      <c r="S1474">
        <v>13.857724949571301</v>
      </c>
      <c r="T1474">
        <v>-1.2087851755432699</v>
      </c>
      <c r="U1474">
        <v>-5.75316637697484</v>
      </c>
      <c r="V1474">
        <v>0.25232528798353798</v>
      </c>
      <c r="W1474">
        <v>0.83701250057606502</v>
      </c>
      <c r="X1474">
        <v>0</v>
      </c>
      <c r="Y1474">
        <v>0</v>
      </c>
    </row>
    <row r="1475" spans="1:25" x14ac:dyDescent="0.2">
      <c r="A1475" t="s">
        <v>5508</v>
      </c>
      <c r="B1475" t="s">
        <v>5509</v>
      </c>
      <c r="C1475" t="s">
        <v>5510</v>
      </c>
      <c r="D1475" t="s">
        <v>5511</v>
      </c>
      <c r="E1475" t="s">
        <v>5509</v>
      </c>
      <c r="F1475" t="s">
        <v>28</v>
      </c>
      <c r="G1475" t="s">
        <v>5509</v>
      </c>
      <c r="H1475" t="str">
        <f>"bath-41"</f>
        <v>bath-41</v>
      </c>
      <c r="I1475" t="s">
        <v>5511</v>
      </c>
      <c r="J1475" t="s">
        <v>29</v>
      </c>
      <c r="K1475" t="s">
        <v>29</v>
      </c>
      <c r="L1475">
        <v>10.373529227660599</v>
      </c>
      <c r="M1475">
        <v>10.5409290079711</v>
      </c>
      <c r="N1475" t="s">
        <v>29</v>
      </c>
      <c r="O1475" t="s">
        <v>29</v>
      </c>
      <c r="P1475">
        <v>0.16739978031048799</v>
      </c>
      <c r="Q1475">
        <v>-0.69651944353561801</v>
      </c>
      <c r="R1475">
        <v>1.0313190041565901</v>
      </c>
      <c r="S1475">
        <v>10.8804231592708</v>
      </c>
      <c r="T1475">
        <v>0.43236311405223798</v>
      </c>
      <c r="U1475">
        <v>-6.2445503514656204</v>
      </c>
      <c r="V1475">
        <v>0.67474817303572698</v>
      </c>
      <c r="W1475">
        <v>0.98642420921484297</v>
      </c>
      <c r="X1475">
        <v>0</v>
      </c>
      <c r="Y1475">
        <v>0</v>
      </c>
    </row>
    <row r="1476" spans="1:25" x14ac:dyDescent="0.2">
      <c r="A1476" t="s">
        <v>5512</v>
      </c>
      <c r="B1476" t="s">
        <v>5513</v>
      </c>
      <c r="C1476" t="s">
        <v>5514</v>
      </c>
      <c r="D1476" t="s">
        <v>5515</v>
      </c>
      <c r="E1476" t="s">
        <v>5513</v>
      </c>
      <c r="F1476" t="s">
        <v>28</v>
      </c>
      <c r="G1476" t="s">
        <v>5513</v>
      </c>
      <c r="H1476" t="str">
        <f>"par-5"</f>
        <v>par-5</v>
      </c>
      <c r="I1476" t="s">
        <v>5515</v>
      </c>
      <c r="J1476">
        <v>18.548221683150199</v>
      </c>
      <c r="K1476">
        <v>18.5109826145023</v>
      </c>
      <c r="L1476">
        <v>18.400188637367702</v>
      </c>
      <c r="M1476">
        <v>18.483530765887</v>
      </c>
      <c r="N1476">
        <v>18.370334704881</v>
      </c>
      <c r="O1476">
        <v>18.485076791736802</v>
      </c>
      <c r="P1476">
        <v>-4.0150224171839E-2</v>
      </c>
      <c r="Q1476">
        <v>-0.37580621080278598</v>
      </c>
      <c r="R1476">
        <v>0.29550576245910798</v>
      </c>
      <c r="S1476">
        <v>18.123364543582301</v>
      </c>
      <c r="T1476">
        <v>-0.25141205046766602</v>
      </c>
      <c r="U1476">
        <v>-6.8495222919404704</v>
      </c>
      <c r="V1476">
        <v>0.80435996164679502</v>
      </c>
      <c r="W1476">
        <v>0.99278624068726296</v>
      </c>
      <c r="X1476">
        <v>0</v>
      </c>
      <c r="Y1476">
        <v>0</v>
      </c>
    </row>
    <row r="1477" spans="1:25" x14ac:dyDescent="0.2">
      <c r="A1477" t="s">
        <v>5516</v>
      </c>
      <c r="B1477" t="s">
        <v>5517</v>
      </c>
      <c r="C1477" t="s">
        <v>5518</v>
      </c>
      <c r="D1477" t="s">
        <v>5519</v>
      </c>
      <c r="E1477" t="s">
        <v>5517</v>
      </c>
      <c r="F1477" t="s">
        <v>28</v>
      </c>
      <c r="G1477" t="s">
        <v>5517</v>
      </c>
      <c r="H1477" t="str">
        <f>"ceh-18"</f>
        <v>ceh-18</v>
      </c>
      <c r="I1477" t="s">
        <v>5519</v>
      </c>
      <c r="J1477" t="s">
        <v>29</v>
      </c>
      <c r="K1477" t="s">
        <v>29</v>
      </c>
      <c r="L1477" t="s">
        <v>29</v>
      </c>
      <c r="M1477" t="s">
        <v>29</v>
      </c>
      <c r="N1477" t="s">
        <v>29</v>
      </c>
      <c r="O1477" t="s">
        <v>29</v>
      </c>
      <c r="P1477" t="s">
        <v>29</v>
      </c>
      <c r="Q1477" t="s">
        <v>29</v>
      </c>
      <c r="R1477" t="s">
        <v>29</v>
      </c>
      <c r="S1477">
        <v>11.4746461387543</v>
      </c>
      <c r="T1477" t="s">
        <v>29</v>
      </c>
      <c r="U1477" t="s">
        <v>29</v>
      </c>
      <c r="V1477" t="s">
        <v>29</v>
      </c>
      <c r="W1477" t="s">
        <v>29</v>
      </c>
      <c r="X1477" t="s">
        <v>29</v>
      </c>
      <c r="Y1477" t="s">
        <v>29</v>
      </c>
    </row>
    <row r="1478" spans="1:25" x14ac:dyDescent="0.2">
      <c r="A1478" t="s">
        <v>5520</v>
      </c>
      <c r="B1478" t="s">
        <v>5521</v>
      </c>
      <c r="C1478" t="s">
        <v>5522</v>
      </c>
      <c r="D1478" t="s">
        <v>5523</v>
      </c>
      <c r="E1478" t="s">
        <v>5521</v>
      </c>
      <c r="F1478" t="s">
        <v>28</v>
      </c>
      <c r="G1478" t="s">
        <v>5521</v>
      </c>
      <c r="H1478" t="str">
        <f>"tbb-4"</f>
        <v>tbb-4</v>
      </c>
      <c r="I1478" t="s">
        <v>5523</v>
      </c>
      <c r="J1478">
        <v>13.004426500781999</v>
      </c>
      <c r="K1478">
        <v>13.9572049503802</v>
      </c>
      <c r="L1478">
        <v>13.6296380764571</v>
      </c>
      <c r="M1478">
        <v>13.6871378438299</v>
      </c>
      <c r="N1478">
        <v>13.050287441155501</v>
      </c>
      <c r="O1478">
        <v>14.127668717267801</v>
      </c>
      <c r="P1478">
        <v>9.1274824877958197E-2</v>
      </c>
      <c r="Q1478">
        <v>-0.72880410839689802</v>
      </c>
      <c r="R1478">
        <v>0.91135375815281505</v>
      </c>
      <c r="S1478">
        <v>13.7885208208903</v>
      </c>
      <c r="T1478">
        <v>0.23493372565668499</v>
      </c>
      <c r="U1478">
        <v>-6.8536081877729202</v>
      </c>
      <c r="V1478">
        <v>0.81708393867240303</v>
      </c>
      <c r="W1478">
        <v>0.99278624068726296</v>
      </c>
      <c r="X1478">
        <v>0</v>
      </c>
      <c r="Y1478">
        <v>0</v>
      </c>
    </row>
    <row r="1479" spans="1:25" x14ac:dyDescent="0.2">
      <c r="A1479" t="s">
        <v>5524</v>
      </c>
      <c r="B1479" t="s">
        <v>5525</v>
      </c>
      <c r="C1479" t="s">
        <v>5526</v>
      </c>
      <c r="D1479" t="s">
        <v>5527</v>
      </c>
      <c r="E1479" t="s">
        <v>5525</v>
      </c>
      <c r="F1479" t="s">
        <v>28</v>
      </c>
      <c r="G1479" t="s">
        <v>5525</v>
      </c>
      <c r="H1479" t="str">
        <f>"memb-1"</f>
        <v>memb-1</v>
      </c>
      <c r="I1479" t="s">
        <v>5527</v>
      </c>
      <c r="J1479" t="s">
        <v>29</v>
      </c>
      <c r="K1479" t="s">
        <v>29</v>
      </c>
      <c r="L1479" t="s">
        <v>29</v>
      </c>
      <c r="M1479" t="s">
        <v>29</v>
      </c>
      <c r="N1479" t="s">
        <v>29</v>
      </c>
      <c r="O1479" t="s">
        <v>29</v>
      </c>
      <c r="P1479" t="s">
        <v>29</v>
      </c>
      <c r="Q1479" t="s">
        <v>29</v>
      </c>
      <c r="R1479" t="s">
        <v>29</v>
      </c>
      <c r="S1479">
        <v>9.2514011166469992</v>
      </c>
      <c r="T1479" t="s">
        <v>29</v>
      </c>
      <c r="U1479" t="s">
        <v>29</v>
      </c>
      <c r="V1479" t="s">
        <v>29</v>
      </c>
      <c r="W1479" t="s">
        <v>29</v>
      </c>
      <c r="X1479" t="s">
        <v>29</v>
      </c>
      <c r="Y1479" t="s">
        <v>29</v>
      </c>
    </row>
    <row r="1480" spans="1:25" x14ac:dyDescent="0.2">
      <c r="A1480" t="s">
        <v>5528</v>
      </c>
      <c r="B1480" t="s">
        <v>5529</v>
      </c>
      <c r="C1480" t="s">
        <v>5530</v>
      </c>
      <c r="D1480" t="s">
        <v>5531</v>
      </c>
      <c r="E1480" t="s">
        <v>5529</v>
      </c>
      <c r="F1480" t="s">
        <v>28</v>
      </c>
      <c r="G1480" t="s">
        <v>5529</v>
      </c>
      <c r="H1480" t="str">
        <f>"D1044.6"</f>
        <v>D1044.6</v>
      </c>
      <c r="I1480" t="s">
        <v>5531</v>
      </c>
      <c r="J1480" t="s">
        <v>29</v>
      </c>
      <c r="K1480" t="s">
        <v>29</v>
      </c>
      <c r="L1480">
        <v>11.012243720824101</v>
      </c>
      <c r="M1480" t="s">
        <v>29</v>
      </c>
      <c r="N1480">
        <v>10.9740793868131</v>
      </c>
      <c r="O1480" t="s">
        <v>29</v>
      </c>
      <c r="P1480">
        <v>-3.81643340110056E-2</v>
      </c>
      <c r="Q1480">
        <v>-0.90482501897956202</v>
      </c>
      <c r="R1480">
        <v>0.82849635095755103</v>
      </c>
      <c r="S1480">
        <v>11.787071881752199</v>
      </c>
      <c r="T1480">
        <v>-9.8259711070938394E-2</v>
      </c>
      <c r="U1480">
        <v>-6.3382358809114896</v>
      </c>
      <c r="V1480">
        <v>0.92368800772644999</v>
      </c>
      <c r="W1480">
        <v>0.99843270744267199</v>
      </c>
      <c r="X1480">
        <v>0</v>
      </c>
      <c r="Y1480">
        <v>0</v>
      </c>
    </row>
    <row r="1481" spans="1:25" x14ac:dyDescent="0.2">
      <c r="A1481" t="s">
        <v>5532</v>
      </c>
      <c r="B1481" t="s">
        <v>5533</v>
      </c>
      <c r="C1481" t="s">
        <v>5534</v>
      </c>
      <c r="D1481" t="s">
        <v>5535</v>
      </c>
      <c r="E1481" t="s">
        <v>5533</v>
      </c>
      <c r="F1481" t="s">
        <v>28</v>
      </c>
      <c r="G1481" t="s">
        <v>5533</v>
      </c>
      <c r="H1481" t="str">
        <f>"mev-1"</f>
        <v>mev-1</v>
      </c>
      <c r="I1481" t="s">
        <v>5535</v>
      </c>
      <c r="J1481">
        <v>13.9417610255396</v>
      </c>
      <c r="K1481">
        <v>14.066176618698499</v>
      </c>
      <c r="L1481">
        <v>14.095688288903</v>
      </c>
      <c r="M1481">
        <v>13.981039330507301</v>
      </c>
      <c r="N1481">
        <v>13.0020167217051</v>
      </c>
      <c r="O1481">
        <v>13.2335890045899</v>
      </c>
      <c r="P1481">
        <v>-0.62899362544624204</v>
      </c>
      <c r="Q1481">
        <v>-1.3231569646196599</v>
      </c>
      <c r="R1481">
        <v>6.5169713727171702E-2</v>
      </c>
      <c r="S1481">
        <v>13.861947974302501</v>
      </c>
      <c r="T1481">
        <v>-1.9044829268530401</v>
      </c>
      <c r="U1481">
        <v>-5.1586079167537804</v>
      </c>
      <c r="V1481">
        <v>7.3050593796906094E-2</v>
      </c>
      <c r="W1481">
        <v>0.57746407638029396</v>
      </c>
      <c r="X1481">
        <v>0</v>
      </c>
      <c r="Y1481">
        <v>0</v>
      </c>
    </row>
    <row r="1482" spans="1:25" x14ac:dyDescent="0.2">
      <c r="A1482" t="s">
        <v>5536</v>
      </c>
      <c r="B1482" t="s">
        <v>5537</v>
      </c>
      <c r="C1482" t="s">
        <v>5538</v>
      </c>
      <c r="D1482" t="s">
        <v>5539</v>
      </c>
      <c r="E1482" t="s">
        <v>5537</v>
      </c>
      <c r="F1482" t="s">
        <v>28</v>
      </c>
      <c r="G1482" t="s">
        <v>5537</v>
      </c>
      <c r="H1482" t="str">
        <f>"cct-1"</f>
        <v>cct-1</v>
      </c>
      <c r="I1482" t="s">
        <v>5539</v>
      </c>
      <c r="J1482">
        <v>18.041835035461901</v>
      </c>
      <c r="K1482">
        <v>17.7683807160745</v>
      </c>
      <c r="L1482">
        <v>17.873024263320801</v>
      </c>
      <c r="M1482">
        <v>17.9327715234412</v>
      </c>
      <c r="N1482">
        <v>17.916897122431902</v>
      </c>
      <c r="O1482">
        <v>17.816527604558701</v>
      </c>
      <c r="P1482">
        <v>-5.6812548084721496E-3</v>
      </c>
      <c r="Q1482">
        <v>-0.39715417907794798</v>
      </c>
      <c r="R1482">
        <v>0.38579166946100302</v>
      </c>
      <c r="S1482">
        <v>17.3526892792197</v>
      </c>
      <c r="T1482">
        <v>-3.0502472994333601E-2</v>
      </c>
      <c r="U1482">
        <v>-6.8820034544783502</v>
      </c>
      <c r="V1482">
        <v>0.97600394113397904</v>
      </c>
      <c r="W1482">
        <v>0.99968702248720698</v>
      </c>
      <c r="X1482">
        <v>0</v>
      </c>
      <c r="Y1482">
        <v>0</v>
      </c>
    </row>
    <row r="1483" spans="1:25" x14ac:dyDescent="0.2">
      <c r="A1483" t="s">
        <v>5540</v>
      </c>
      <c r="B1483" t="s">
        <v>5541</v>
      </c>
      <c r="C1483" t="s">
        <v>5542</v>
      </c>
      <c r="D1483" t="s">
        <v>5543</v>
      </c>
      <c r="E1483" t="s">
        <v>5541</v>
      </c>
      <c r="F1483" t="s">
        <v>28</v>
      </c>
      <c r="G1483" t="s">
        <v>5541</v>
      </c>
      <c r="H1483" t="str">
        <f>"ggtb-1"</f>
        <v>ggtb-1</v>
      </c>
      <c r="I1483" t="s">
        <v>5543</v>
      </c>
      <c r="J1483">
        <v>11.7503499124409</v>
      </c>
      <c r="K1483">
        <v>11.9351601880944</v>
      </c>
      <c r="L1483">
        <v>11.817088839154501</v>
      </c>
      <c r="M1483">
        <v>11.4042140117899</v>
      </c>
      <c r="N1483">
        <v>11.395351854485201</v>
      </c>
      <c r="O1483">
        <v>12.1581681690546</v>
      </c>
      <c r="P1483">
        <v>-0.18162163478674001</v>
      </c>
      <c r="Q1483">
        <v>-0.82921636159874901</v>
      </c>
      <c r="R1483">
        <v>0.46597309202526799</v>
      </c>
      <c r="S1483">
        <v>11.534115066018201</v>
      </c>
      <c r="T1483">
        <v>-0.59485868474350001</v>
      </c>
      <c r="U1483">
        <v>-6.6984313356530603</v>
      </c>
      <c r="V1483">
        <v>0.56031151638574594</v>
      </c>
      <c r="W1483">
        <v>0.95650569706421396</v>
      </c>
      <c r="X1483">
        <v>0</v>
      </c>
      <c r="Y1483">
        <v>0</v>
      </c>
    </row>
    <row r="1484" spans="1:25" x14ac:dyDescent="0.2">
      <c r="A1484" t="s">
        <v>5544</v>
      </c>
      <c r="B1484" t="s">
        <v>5545</v>
      </c>
      <c r="C1484" t="s">
        <v>5546</v>
      </c>
      <c r="D1484" t="s">
        <v>5547</v>
      </c>
      <c r="E1484" t="s">
        <v>5545</v>
      </c>
      <c r="F1484" t="s">
        <v>28</v>
      </c>
      <c r="G1484" t="s">
        <v>5545</v>
      </c>
      <c r="H1484" t="str">
        <f>"cpg-2"</f>
        <v>cpg-2</v>
      </c>
      <c r="I1484" t="s">
        <v>5547</v>
      </c>
      <c r="J1484">
        <v>13.182022838070001</v>
      </c>
      <c r="K1484">
        <v>13.590883989244301</v>
      </c>
      <c r="L1484">
        <v>14.2761494265454</v>
      </c>
      <c r="M1484">
        <v>12.8434680155601</v>
      </c>
      <c r="N1484">
        <v>13.0602717065549</v>
      </c>
      <c r="O1484">
        <v>14.4923315835879</v>
      </c>
      <c r="P1484">
        <v>-0.217661649385613</v>
      </c>
      <c r="Q1484">
        <v>-1.4450049504249101</v>
      </c>
      <c r="R1484">
        <v>1.00968165165368</v>
      </c>
      <c r="S1484">
        <v>14.117243264886399</v>
      </c>
      <c r="T1484">
        <v>-0.37274203544289197</v>
      </c>
      <c r="U1484">
        <v>-6.81017869648017</v>
      </c>
      <c r="V1484">
        <v>0.71371860590879399</v>
      </c>
      <c r="W1484">
        <v>0.98786722894487999</v>
      </c>
      <c r="X1484">
        <v>0</v>
      </c>
      <c r="Y1484">
        <v>0</v>
      </c>
    </row>
    <row r="1485" spans="1:25" x14ac:dyDescent="0.2">
      <c r="A1485" t="s">
        <v>5548</v>
      </c>
      <c r="B1485" t="s">
        <v>5549</v>
      </c>
      <c r="C1485" t="s">
        <v>5550</v>
      </c>
      <c r="D1485" t="s">
        <v>5551</v>
      </c>
      <c r="E1485" t="s">
        <v>5549</v>
      </c>
      <c r="F1485" t="s">
        <v>28</v>
      </c>
      <c r="G1485" t="s">
        <v>5549</v>
      </c>
      <c r="H1485" t="str">
        <f>"nhr-10"</f>
        <v>nhr-10</v>
      </c>
      <c r="I1485" t="s">
        <v>5551</v>
      </c>
      <c r="J1485">
        <v>11.1984246727708</v>
      </c>
      <c r="K1485">
        <v>12.161810945608799</v>
      </c>
      <c r="L1485">
        <v>12.2536959016906</v>
      </c>
      <c r="M1485">
        <v>12.225679275276899</v>
      </c>
      <c r="N1485">
        <v>11.787847854165401</v>
      </c>
      <c r="O1485">
        <v>11.955882301957899</v>
      </c>
      <c r="P1485">
        <v>0.11849263711001599</v>
      </c>
      <c r="Q1485">
        <v>-1.2397957174451899</v>
      </c>
      <c r="R1485">
        <v>1.4767809916652299</v>
      </c>
      <c r="S1485">
        <v>12.4787322366226</v>
      </c>
      <c r="T1485">
        <v>0.18503288383781699</v>
      </c>
      <c r="U1485">
        <v>-6.8645011593571104</v>
      </c>
      <c r="V1485">
        <v>0.85554359280712</v>
      </c>
      <c r="W1485">
        <v>0.99370971747667503</v>
      </c>
      <c r="X1485">
        <v>0</v>
      </c>
      <c r="Y1485">
        <v>0</v>
      </c>
    </row>
    <row r="1486" spans="1:25" x14ac:dyDescent="0.2">
      <c r="A1486" t="s">
        <v>5552</v>
      </c>
      <c r="B1486" t="s">
        <v>5553</v>
      </c>
      <c r="C1486" t="s">
        <v>5554</v>
      </c>
      <c r="D1486" t="s">
        <v>5555</v>
      </c>
      <c r="E1486" t="s">
        <v>5553</v>
      </c>
      <c r="F1486" t="s">
        <v>28</v>
      </c>
      <c r="G1486" t="s">
        <v>5553</v>
      </c>
      <c r="H1486" t="str">
        <f>"kin-19"</f>
        <v>kin-19</v>
      </c>
      <c r="I1486" t="s">
        <v>5555</v>
      </c>
      <c r="J1486">
        <v>17.690003704679398</v>
      </c>
      <c r="K1486">
        <v>17.7806749332286</v>
      </c>
      <c r="L1486">
        <v>17.6312692430112</v>
      </c>
      <c r="M1486">
        <v>17.6411958022485</v>
      </c>
      <c r="N1486">
        <v>17.4961980002928</v>
      </c>
      <c r="O1486">
        <v>17.586289893211401</v>
      </c>
      <c r="P1486">
        <v>-0.12608806172218201</v>
      </c>
      <c r="Q1486">
        <v>-0.43527644406930199</v>
      </c>
      <c r="R1486">
        <v>0.183100320624938</v>
      </c>
      <c r="S1486">
        <v>17.478257359205099</v>
      </c>
      <c r="T1486">
        <v>-0.8571233268206</v>
      </c>
      <c r="U1486">
        <v>-6.5063801436467097</v>
      </c>
      <c r="V1486">
        <v>0.40270987576200801</v>
      </c>
      <c r="W1486">
        <v>0.91027279600179201</v>
      </c>
      <c r="X1486">
        <v>0</v>
      </c>
      <c r="Y1486">
        <v>0</v>
      </c>
    </row>
    <row r="1487" spans="1:25" x14ac:dyDescent="0.2">
      <c r="A1487" t="s">
        <v>5556</v>
      </c>
      <c r="B1487" t="s">
        <v>5557</v>
      </c>
      <c r="C1487" t="s">
        <v>5558</v>
      </c>
      <c r="D1487" t="s">
        <v>5559</v>
      </c>
      <c r="E1487" t="s">
        <v>5557</v>
      </c>
      <c r="F1487" t="s">
        <v>28</v>
      </c>
      <c r="G1487" t="s">
        <v>5557</v>
      </c>
      <c r="H1487" t="str">
        <f>"ced-3"</f>
        <v>ced-3</v>
      </c>
      <c r="I1487" t="s">
        <v>5559</v>
      </c>
      <c r="J1487">
        <v>10.138039787616201</v>
      </c>
      <c r="K1487" t="s">
        <v>29</v>
      </c>
      <c r="L1487">
        <v>10.625313975576599</v>
      </c>
      <c r="M1487" t="s">
        <v>29</v>
      </c>
      <c r="N1487">
        <v>10.759697637232</v>
      </c>
      <c r="O1487" t="s">
        <v>29</v>
      </c>
      <c r="P1487">
        <v>0.378020755635603</v>
      </c>
      <c r="Q1487">
        <v>-0.28646412348741201</v>
      </c>
      <c r="R1487">
        <v>1.0425056347586199</v>
      </c>
      <c r="S1487">
        <v>11.553159474795301</v>
      </c>
      <c r="T1487">
        <v>1.2535978439861399</v>
      </c>
      <c r="U1487">
        <v>-5.7016633902085898</v>
      </c>
      <c r="V1487">
        <v>0.23622099443441599</v>
      </c>
      <c r="W1487">
        <v>0.82181747752460499</v>
      </c>
      <c r="X1487">
        <v>0</v>
      </c>
      <c r="Y1487">
        <v>0</v>
      </c>
    </row>
    <row r="1488" spans="1:25" x14ac:dyDescent="0.2">
      <c r="A1488" t="s">
        <v>5560</v>
      </c>
      <c r="B1488" t="s">
        <v>5561</v>
      </c>
      <c r="C1488" t="s">
        <v>5562</v>
      </c>
      <c r="D1488" t="s">
        <v>5563</v>
      </c>
      <c r="E1488" t="s">
        <v>5561</v>
      </c>
      <c r="F1488" t="s">
        <v>28</v>
      </c>
      <c r="G1488" t="s">
        <v>5561</v>
      </c>
      <c r="H1488" t="str">
        <f>"cpr-5"</f>
        <v>cpr-5</v>
      </c>
      <c r="I1488" t="s">
        <v>5563</v>
      </c>
      <c r="J1488">
        <v>12.0436093282456</v>
      </c>
      <c r="K1488">
        <v>11.781250585805401</v>
      </c>
      <c r="L1488">
        <v>11.9911329790366</v>
      </c>
      <c r="M1488">
        <v>12.2981042554417</v>
      </c>
      <c r="N1488">
        <v>11.527118854822801</v>
      </c>
      <c r="O1488">
        <v>12.465580682206401</v>
      </c>
      <c r="P1488">
        <v>0.15827029979443299</v>
      </c>
      <c r="Q1488">
        <v>-0.54330254641848097</v>
      </c>
      <c r="R1488">
        <v>0.85984314600734701</v>
      </c>
      <c r="S1488">
        <v>12.270967929802501</v>
      </c>
      <c r="T1488">
        <v>0.47849365486968498</v>
      </c>
      <c r="U1488">
        <v>-6.7629317061090104</v>
      </c>
      <c r="V1488">
        <v>0.63881409990628901</v>
      </c>
      <c r="W1488">
        <v>0.97476997913256702</v>
      </c>
      <c r="X1488">
        <v>0</v>
      </c>
      <c r="Y1488">
        <v>0</v>
      </c>
    </row>
    <row r="1489" spans="1:25" x14ac:dyDescent="0.2">
      <c r="A1489" t="s">
        <v>5564</v>
      </c>
      <c r="B1489" t="s">
        <v>5565</v>
      </c>
      <c r="C1489" t="s">
        <v>5566</v>
      </c>
      <c r="D1489" t="s">
        <v>5567</v>
      </c>
      <c r="E1489" t="s">
        <v>5565</v>
      </c>
      <c r="F1489" t="s">
        <v>28</v>
      </c>
      <c r="G1489" t="s">
        <v>5565</v>
      </c>
      <c r="H1489" t="str">
        <f>"aak-1"</f>
        <v>aak-1</v>
      </c>
      <c r="I1489" t="s">
        <v>5567</v>
      </c>
      <c r="J1489">
        <v>11.7625829885986</v>
      </c>
      <c r="K1489">
        <v>12.214545169029</v>
      </c>
      <c r="L1489">
        <v>11.898708095339099</v>
      </c>
      <c r="M1489">
        <v>12.303302811936099</v>
      </c>
      <c r="N1489">
        <v>11.755268910354401</v>
      </c>
      <c r="O1489">
        <v>12.2068567402579</v>
      </c>
      <c r="P1489">
        <v>0.12986406986062299</v>
      </c>
      <c r="Q1489">
        <v>-0.34349175237972002</v>
      </c>
      <c r="R1489">
        <v>0.60321989210096705</v>
      </c>
      <c r="S1489">
        <v>11.924493591578701</v>
      </c>
      <c r="T1489">
        <v>0.58883440681490995</v>
      </c>
      <c r="U1489">
        <v>-6.7008463594876702</v>
      </c>
      <c r="V1489">
        <v>0.56542263741876597</v>
      </c>
      <c r="W1489">
        <v>0.956772784981337</v>
      </c>
      <c r="X1489">
        <v>0</v>
      </c>
      <c r="Y1489">
        <v>0</v>
      </c>
    </row>
    <row r="1490" spans="1:25" x14ac:dyDescent="0.2">
      <c r="A1490" t="s">
        <v>5568</v>
      </c>
      <c r="B1490" t="s">
        <v>5569</v>
      </c>
      <c r="C1490" t="s">
        <v>5570</v>
      </c>
      <c r="D1490" t="s">
        <v>5571</v>
      </c>
      <c r="E1490" t="s">
        <v>5569</v>
      </c>
      <c r="F1490" t="s">
        <v>28</v>
      </c>
      <c r="G1490" t="s">
        <v>5569</v>
      </c>
      <c r="H1490" t="str">
        <f>"sma-3"</f>
        <v>sma-3</v>
      </c>
      <c r="I1490" t="s">
        <v>5571</v>
      </c>
      <c r="J1490">
        <v>12.1654429387482</v>
      </c>
      <c r="K1490" t="s">
        <v>29</v>
      </c>
      <c r="L1490" t="s">
        <v>29</v>
      </c>
      <c r="M1490" t="s">
        <v>29</v>
      </c>
      <c r="N1490">
        <v>11.579392219212901</v>
      </c>
      <c r="O1490" t="s">
        <v>29</v>
      </c>
      <c r="P1490">
        <v>-0.58605071953533505</v>
      </c>
      <c r="Q1490">
        <v>-1.62204311921136</v>
      </c>
      <c r="R1490">
        <v>0.44994168014069302</v>
      </c>
      <c r="S1490">
        <v>12.3280244375352</v>
      </c>
      <c r="T1490">
        <v>-1.4635790211493001</v>
      </c>
      <c r="U1490">
        <v>-5.3123416817079701</v>
      </c>
      <c r="V1490">
        <v>0.204395120361931</v>
      </c>
      <c r="W1490">
        <v>0.79075284576134597</v>
      </c>
      <c r="X1490">
        <v>0</v>
      </c>
      <c r="Y1490">
        <v>0</v>
      </c>
    </row>
    <row r="1491" spans="1:25" x14ac:dyDescent="0.2">
      <c r="A1491" t="s">
        <v>5572</v>
      </c>
      <c r="B1491" t="s">
        <v>5573</v>
      </c>
      <c r="C1491" t="s">
        <v>5574</v>
      </c>
      <c r="D1491" t="s">
        <v>5575</v>
      </c>
      <c r="E1491" t="s">
        <v>5573</v>
      </c>
      <c r="F1491" t="s">
        <v>28</v>
      </c>
      <c r="G1491" t="s">
        <v>5573</v>
      </c>
      <c r="H1491" t="str">
        <f>"T09A5.5"</f>
        <v>T09A5.5</v>
      </c>
      <c r="I1491" t="s">
        <v>5575</v>
      </c>
      <c r="J1491">
        <v>12.8271057906697</v>
      </c>
      <c r="K1491">
        <v>13.233785435055401</v>
      </c>
      <c r="L1491">
        <v>13.3051087831789</v>
      </c>
      <c r="M1491">
        <v>13.3619082766456</v>
      </c>
      <c r="N1491">
        <v>13.104321037888999</v>
      </c>
      <c r="O1491">
        <v>12.0422504741894</v>
      </c>
      <c r="P1491">
        <v>-0.285840073393343</v>
      </c>
      <c r="Q1491">
        <v>-1.0047939293861301</v>
      </c>
      <c r="R1491">
        <v>0.433113782599441</v>
      </c>
      <c r="S1491">
        <v>13.1864228066321</v>
      </c>
      <c r="T1491">
        <v>-0.84793722837454</v>
      </c>
      <c r="U1491">
        <v>-6.5117808675995699</v>
      </c>
      <c r="V1491">
        <v>0.40989237924856098</v>
      </c>
      <c r="W1491">
        <v>0.91512503332874395</v>
      </c>
      <c r="X1491">
        <v>0</v>
      </c>
      <c r="Y1491">
        <v>0</v>
      </c>
    </row>
    <row r="1492" spans="1:25" x14ac:dyDescent="0.2">
      <c r="A1492" t="s">
        <v>5576</v>
      </c>
      <c r="B1492" t="s">
        <v>5577</v>
      </c>
      <c r="C1492" t="s">
        <v>5578</v>
      </c>
      <c r="D1492" t="s">
        <v>5579</v>
      </c>
      <c r="E1492" t="s">
        <v>5577</v>
      </c>
      <c r="F1492" t="s">
        <v>28</v>
      </c>
      <c r="G1492" t="s">
        <v>5577</v>
      </c>
      <c r="H1492" t="str">
        <f>"cec-3"</f>
        <v>cec-3</v>
      </c>
      <c r="I1492" t="s">
        <v>5579</v>
      </c>
      <c r="J1492" t="s">
        <v>29</v>
      </c>
      <c r="K1492" t="s">
        <v>29</v>
      </c>
      <c r="L1492">
        <v>11.5311295313244</v>
      </c>
      <c r="M1492" t="s">
        <v>29</v>
      </c>
      <c r="N1492" t="s">
        <v>29</v>
      </c>
      <c r="O1492" t="s">
        <v>29</v>
      </c>
      <c r="P1492" t="s">
        <v>29</v>
      </c>
      <c r="Q1492" t="s">
        <v>29</v>
      </c>
      <c r="R1492" t="s">
        <v>29</v>
      </c>
      <c r="S1492">
        <v>11.549057411228899</v>
      </c>
      <c r="T1492" t="s">
        <v>29</v>
      </c>
      <c r="U1492" t="s">
        <v>29</v>
      </c>
      <c r="V1492" t="s">
        <v>29</v>
      </c>
      <c r="W1492" t="s">
        <v>29</v>
      </c>
      <c r="X1492" t="s">
        <v>29</v>
      </c>
      <c r="Y1492" t="s">
        <v>29</v>
      </c>
    </row>
    <row r="1493" spans="1:25" x14ac:dyDescent="0.2">
      <c r="A1493" t="s">
        <v>5580</v>
      </c>
      <c r="B1493" t="s">
        <v>5581</v>
      </c>
      <c r="C1493" t="s">
        <v>5582</v>
      </c>
      <c r="D1493" t="s">
        <v>5583</v>
      </c>
      <c r="E1493" t="s">
        <v>5581</v>
      </c>
      <c r="F1493" t="s">
        <v>28</v>
      </c>
      <c r="G1493" t="s">
        <v>5581</v>
      </c>
      <c r="H1493" t="str">
        <f>"lin-5"</f>
        <v>lin-5</v>
      </c>
      <c r="I1493" t="s">
        <v>5583</v>
      </c>
      <c r="J1493" t="s">
        <v>29</v>
      </c>
      <c r="K1493">
        <v>11.156008284176901</v>
      </c>
      <c r="L1493">
        <v>10.676683099110001</v>
      </c>
      <c r="M1493">
        <v>11.214636929769901</v>
      </c>
      <c r="N1493" t="s">
        <v>29</v>
      </c>
      <c r="O1493" t="s">
        <v>29</v>
      </c>
      <c r="P1493">
        <v>0.298291238126495</v>
      </c>
      <c r="Q1493">
        <v>-0.39678885386485302</v>
      </c>
      <c r="R1493">
        <v>0.99337133011784295</v>
      </c>
      <c r="S1493">
        <v>11.7893543623487</v>
      </c>
      <c r="T1493">
        <v>0.93594571293309303</v>
      </c>
      <c r="U1493">
        <v>-6.0361418025884399</v>
      </c>
      <c r="V1493">
        <v>0.36791441431668198</v>
      </c>
      <c r="W1493">
        <v>0.89092663541315897</v>
      </c>
      <c r="X1493">
        <v>0</v>
      </c>
      <c r="Y1493">
        <v>0</v>
      </c>
    </row>
    <row r="1494" spans="1:25" x14ac:dyDescent="0.2">
      <c r="A1494" t="s">
        <v>5584</v>
      </c>
      <c r="B1494" t="s">
        <v>5585</v>
      </c>
      <c r="C1494" t="s">
        <v>5586</v>
      </c>
      <c r="D1494" t="s">
        <v>5587</v>
      </c>
      <c r="E1494" t="s">
        <v>5585</v>
      </c>
      <c r="F1494" t="s">
        <v>28</v>
      </c>
      <c r="G1494" t="s">
        <v>5585</v>
      </c>
      <c r="H1494" t="str">
        <f>"ostb-1"</f>
        <v>ostb-1</v>
      </c>
      <c r="I1494" t="s">
        <v>5587</v>
      </c>
      <c r="J1494">
        <v>16.357912243311201</v>
      </c>
      <c r="K1494">
        <v>16.212600631901001</v>
      </c>
      <c r="L1494">
        <v>16.4019135834099</v>
      </c>
      <c r="M1494">
        <v>16.349287524827002</v>
      </c>
      <c r="N1494">
        <v>16.3160968676941</v>
      </c>
      <c r="O1494">
        <v>16.237127868449299</v>
      </c>
      <c r="P1494">
        <v>-2.33047325505602E-2</v>
      </c>
      <c r="Q1494">
        <v>-0.40365004861298398</v>
      </c>
      <c r="R1494">
        <v>0.35704058351186402</v>
      </c>
      <c r="S1494">
        <v>15.944554320823199</v>
      </c>
      <c r="T1494">
        <v>-0.12878300780924101</v>
      </c>
      <c r="U1494">
        <v>-6.8738279644916904</v>
      </c>
      <c r="V1494">
        <v>0.89896570551206501</v>
      </c>
      <c r="W1494">
        <v>0.99833354317360001</v>
      </c>
      <c r="X1494">
        <v>0</v>
      </c>
      <c r="Y1494">
        <v>0</v>
      </c>
    </row>
    <row r="1495" spans="1:25" x14ac:dyDescent="0.2">
      <c r="A1495" t="s">
        <v>5588</v>
      </c>
      <c r="B1495" t="s">
        <v>5589</v>
      </c>
      <c r="C1495" t="s">
        <v>5590</v>
      </c>
      <c r="D1495" t="s">
        <v>5591</v>
      </c>
      <c r="E1495" t="s">
        <v>5589</v>
      </c>
      <c r="F1495" t="s">
        <v>28</v>
      </c>
      <c r="G1495" t="s">
        <v>5589</v>
      </c>
      <c r="H1495" t="str">
        <f>"C01G6.5"</f>
        <v>C01G6.5</v>
      </c>
      <c r="I1495" t="s">
        <v>5591</v>
      </c>
      <c r="J1495">
        <v>11.212604078759901</v>
      </c>
      <c r="K1495">
        <v>10.9465123171529</v>
      </c>
      <c r="L1495">
        <v>11.5419069045385</v>
      </c>
      <c r="M1495">
        <v>11.011199894354499</v>
      </c>
      <c r="N1495">
        <v>11.6063118145217</v>
      </c>
      <c r="O1495">
        <v>11.3007209631311</v>
      </c>
      <c r="P1495">
        <v>7.2403123851993101E-2</v>
      </c>
      <c r="Q1495">
        <v>-0.48288899499863802</v>
      </c>
      <c r="R1495">
        <v>0.627695242702624</v>
      </c>
      <c r="S1495">
        <v>11.735509587123699</v>
      </c>
      <c r="T1495">
        <v>0.276557426034308</v>
      </c>
      <c r="U1495">
        <v>-6.8423581759600003</v>
      </c>
      <c r="V1495">
        <v>0.78568380627230805</v>
      </c>
      <c r="W1495">
        <v>0.99278624068726296</v>
      </c>
      <c r="X1495">
        <v>0</v>
      </c>
      <c r="Y1495">
        <v>0</v>
      </c>
    </row>
    <row r="1496" spans="1:25" x14ac:dyDescent="0.2">
      <c r="A1496" t="s">
        <v>5592</v>
      </c>
      <c r="B1496" t="s">
        <v>5593</v>
      </c>
      <c r="C1496" t="s">
        <v>5594</v>
      </c>
      <c r="D1496" t="s">
        <v>5595</v>
      </c>
      <c r="E1496" t="s">
        <v>5593</v>
      </c>
      <c r="F1496" t="s">
        <v>28</v>
      </c>
      <c r="G1496" t="s">
        <v>5593</v>
      </c>
      <c r="H1496" t="str">
        <f>"rpt-3"</f>
        <v>rpt-3</v>
      </c>
      <c r="I1496" t="s">
        <v>5595</v>
      </c>
      <c r="J1496">
        <v>15.439615317388601</v>
      </c>
      <c r="K1496">
        <v>15.2215876907929</v>
      </c>
      <c r="L1496">
        <v>15.214386715982799</v>
      </c>
      <c r="M1496">
        <v>15.367585431931801</v>
      </c>
      <c r="N1496">
        <v>15.362999359624199</v>
      </c>
      <c r="O1496">
        <v>14.941278811819799</v>
      </c>
      <c r="P1496">
        <v>-6.7908706929515006E-2</v>
      </c>
      <c r="Q1496">
        <v>-0.39728431482278498</v>
      </c>
      <c r="R1496">
        <v>0.26146690096375502</v>
      </c>
      <c r="S1496">
        <v>15.222345116648899</v>
      </c>
      <c r="T1496">
        <v>-0.43333776601065399</v>
      </c>
      <c r="U1496">
        <v>-6.7848905128497004</v>
      </c>
      <c r="V1496">
        <v>0.66994777610906697</v>
      </c>
      <c r="W1496">
        <v>0.98642420921484297</v>
      </c>
      <c r="X1496">
        <v>0</v>
      </c>
      <c r="Y1496">
        <v>0</v>
      </c>
    </row>
    <row r="1497" spans="1:25" x14ac:dyDescent="0.2">
      <c r="A1497" t="s">
        <v>5596</v>
      </c>
      <c r="B1497" t="s">
        <v>5597</v>
      </c>
      <c r="C1497" t="s">
        <v>5598</v>
      </c>
      <c r="D1497" t="s">
        <v>5599</v>
      </c>
      <c r="E1497" t="s">
        <v>5597</v>
      </c>
      <c r="F1497" t="s">
        <v>28</v>
      </c>
      <c r="G1497" t="s">
        <v>5597</v>
      </c>
      <c r="H1497" t="str">
        <f>"nmt-1"</f>
        <v>nmt-1</v>
      </c>
      <c r="I1497" t="s">
        <v>5599</v>
      </c>
      <c r="J1497">
        <v>14.340003765414201</v>
      </c>
      <c r="K1497">
        <v>14.2410711451026</v>
      </c>
      <c r="L1497">
        <v>14.044062929748801</v>
      </c>
      <c r="M1497">
        <v>14.494479360571701</v>
      </c>
      <c r="N1497">
        <v>14.4011728873013</v>
      </c>
      <c r="O1497">
        <v>14.558855601759699</v>
      </c>
      <c r="P1497">
        <v>0.27645666978906602</v>
      </c>
      <c r="Q1497">
        <v>-0.27223874154983302</v>
      </c>
      <c r="R1497">
        <v>0.82515208112796601</v>
      </c>
      <c r="S1497">
        <v>14.148468160089701</v>
      </c>
      <c r="T1497">
        <v>1.0589812167766901</v>
      </c>
      <c r="U1497">
        <v>-6.3143476323172596</v>
      </c>
      <c r="V1497">
        <v>0.30369395005274502</v>
      </c>
      <c r="W1497">
        <v>0.85855590823088301</v>
      </c>
      <c r="X1497">
        <v>0</v>
      </c>
      <c r="Y1497">
        <v>0</v>
      </c>
    </row>
    <row r="1498" spans="1:25" x14ac:dyDescent="0.2">
      <c r="A1498" t="s">
        <v>5600</v>
      </c>
      <c r="B1498" t="s">
        <v>5601</v>
      </c>
      <c r="C1498" t="s">
        <v>5602</v>
      </c>
      <c r="D1498" t="s">
        <v>5603</v>
      </c>
      <c r="E1498" t="s">
        <v>5601</v>
      </c>
      <c r="F1498" t="s">
        <v>28</v>
      </c>
      <c r="G1498" t="s">
        <v>5601</v>
      </c>
      <c r="H1498" t="str">
        <f>"kin-18"</f>
        <v>kin-18</v>
      </c>
      <c r="I1498" t="s">
        <v>5603</v>
      </c>
      <c r="J1498">
        <v>13.6038932502024</v>
      </c>
      <c r="K1498">
        <v>12.8430774106124</v>
      </c>
      <c r="L1498">
        <v>13.4359174778262</v>
      </c>
      <c r="M1498">
        <v>13.535360554284599</v>
      </c>
      <c r="N1498">
        <v>13.390448560892301</v>
      </c>
      <c r="O1498">
        <v>13.6089926157501</v>
      </c>
      <c r="P1498">
        <v>0.21730453076200501</v>
      </c>
      <c r="Q1498">
        <v>-0.39326977876365199</v>
      </c>
      <c r="R1498">
        <v>0.82787884028766301</v>
      </c>
      <c r="S1498">
        <v>13.450779563249499</v>
      </c>
      <c r="T1498">
        <v>0.75124270455195497</v>
      </c>
      <c r="U1498">
        <v>-6.5915689034634504</v>
      </c>
      <c r="V1498">
        <v>0.46284329006596298</v>
      </c>
      <c r="W1498">
        <v>0.92978583625257705</v>
      </c>
      <c r="X1498">
        <v>0</v>
      </c>
      <c r="Y1498">
        <v>0</v>
      </c>
    </row>
    <row r="1499" spans="1:25" x14ac:dyDescent="0.2">
      <c r="A1499" t="s">
        <v>5604</v>
      </c>
      <c r="B1499" t="s">
        <v>5605</v>
      </c>
      <c r="C1499" t="s">
        <v>5606</v>
      </c>
      <c r="D1499" t="s">
        <v>5607</v>
      </c>
      <c r="E1499" t="s">
        <v>5605</v>
      </c>
      <c r="F1499" t="s">
        <v>28</v>
      </c>
      <c r="G1499" t="s">
        <v>5605</v>
      </c>
      <c r="H1499" t="str">
        <f>"cct-6"</f>
        <v>cct-6</v>
      </c>
      <c r="I1499" t="s">
        <v>5607</v>
      </c>
      <c r="J1499">
        <v>17.8781539712365</v>
      </c>
      <c r="K1499">
        <v>17.700132535684499</v>
      </c>
      <c r="L1499">
        <v>17.702631515966701</v>
      </c>
      <c r="M1499">
        <v>17.927804304482201</v>
      </c>
      <c r="N1499">
        <v>17.848843478143401</v>
      </c>
      <c r="O1499">
        <v>17.785114616013299</v>
      </c>
      <c r="P1499">
        <v>9.3614791917044499E-2</v>
      </c>
      <c r="Q1499">
        <v>-0.23922189073016401</v>
      </c>
      <c r="R1499">
        <v>0.42645147456425198</v>
      </c>
      <c r="S1499">
        <v>17.390382375637401</v>
      </c>
      <c r="T1499">
        <v>0.59116104023778304</v>
      </c>
      <c r="U1499">
        <v>-6.7016696706438896</v>
      </c>
      <c r="V1499">
        <v>0.56180609610125698</v>
      </c>
      <c r="W1499">
        <v>0.95650569706421396</v>
      </c>
      <c r="X1499">
        <v>0</v>
      </c>
      <c r="Y1499">
        <v>0</v>
      </c>
    </row>
    <row r="1500" spans="1:25" x14ac:dyDescent="0.2">
      <c r="A1500" t="s">
        <v>5608</v>
      </c>
      <c r="B1500" t="s">
        <v>5609</v>
      </c>
      <c r="C1500" t="s">
        <v>5610</v>
      </c>
      <c r="D1500" t="s">
        <v>5611</v>
      </c>
      <c r="E1500" t="s">
        <v>5609</v>
      </c>
      <c r="F1500" t="s">
        <v>28</v>
      </c>
      <c r="G1500" t="s">
        <v>5609</v>
      </c>
      <c r="H1500" t="str">
        <f>"cdk-12"</f>
        <v>cdk-12</v>
      </c>
      <c r="I1500" t="s">
        <v>5611</v>
      </c>
      <c r="J1500">
        <v>15.0602669751585</v>
      </c>
      <c r="K1500">
        <v>15.373970878219501</v>
      </c>
      <c r="L1500">
        <v>15.424660404629</v>
      </c>
      <c r="M1500">
        <v>15.018886827761699</v>
      </c>
      <c r="N1500">
        <v>15.123183252663701</v>
      </c>
      <c r="O1500">
        <v>15.332996893861299</v>
      </c>
      <c r="P1500">
        <v>-0.12794376124009699</v>
      </c>
      <c r="Q1500">
        <v>-0.53337918155131603</v>
      </c>
      <c r="R1500">
        <v>0.277491659071122</v>
      </c>
      <c r="S1500">
        <v>15.4097827088675</v>
      </c>
      <c r="T1500">
        <v>-0.66326936615309695</v>
      </c>
      <c r="U1500">
        <v>-6.6554375231763299</v>
      </c>
      <c r="V1500">
        <v>0.51561206687625205</v>
      </c>
      <c r="W1500">
        <v>0.94227592550871997</v>
      </c>
      <c r="X1500">
        <v>0</v>
      </c>
      <c r="Y1500">
        <v>0</v>
      </c>
    </row>
    <row r="1501" spans="1:25" x14ac:dyDescent="0.2">
      <c r="A1501" t="s">
        <v>5612</v>
      </c>
      <c r="B1501" t="s">
        <v>5613</v>
      </c>
      <c r="C1501" t="s">
        <v>5614</v>
      </c>
      <c r="D1501" t="s">
        <v>5615</v>
      </c>
      <c r="E1501" t="s">
        <v>5613</v>
      </c>
      <c r="F1501" t="s">
        <v>28</v>
      </c>
      <c r="G1501" t="s">
        <v>5613</v>
      </c>
      <c r="H1501" t="str">
        <f>"lcmt-1"</f>
        <v>lcmt-1</v>
      </c>
      <c r="I1501" t="s">
        <v>5615</v>
      </c>
      <c r="J1501">
        <v>14.7821877222311</v>
      </c>
      <c r="K1501">
        <v>14.8720414087955</v>
      </c>
      <c r="L1501">
        <v>14.753355308002</v>
      </c>
      <c r="M1501">
        <v>14.769114382338399</v>
      </c>
      <c r="N1501">
        <v>14.6789214813017</v>
      </c>
      <c r="O1501">
        <v>14.952781945583199</v>
      </c>
      <c r="P1501">
        <v>-2.25554326844524E-3</v>
      </c>
      <c r="Q1501">
        <v>-0.38260613489655798</v>
      </c>
      <c r="R1501">
        <v>0.37809504835966801</v>
      </c>
      <c r="S1501">
        <v>14.628166543041599</v>
      </c>
      <c r="T1501">
        <v>-1.24640613981823E-2</v>
      </c>
      <c r="U1501">
        <v>-6.8824084032151003</v>
      </c>
      <c r="V1501">
        <v>0.99019328224330805</v>
      </c>
      <c r="W1501">
        <v>0.99968702248720698</v>
      </c>
      <c r="X1501">
        <v>0</v>
      </c>
      <c r="Y1501">
        <v>0</v>
      </c>
    </row>
    <row r="1502" spans="1:25" x14ac:dyDescent="0.2">
      <c r="A1502" t="s">
        <v>5616</v>
      </c>
      <c r="B1502" t="s">
        <v>5617</v>
      </c>
      <c r="C1502" t="s">
        <v>5618</v>
      </c>
      <c r="D1502" t="s">
        <v>5619</v>
      </c>
      <c r="E1502" t="s">
        <v>5617</v>
      </c>
      <c r="F1502" t="s">
        <v>28</v>
      </c>
      <c r="G1502" t="s">
        <v>5617</v>
      </c>
      <c r="H1502" t="str">
        <f>"B0285.6"</f>
        <v>B0285.6</v>
      </c>
      <c r="I1502" t="s">
        <v>5619</v>
      </c>
      <c r="J1502">
        <v>12.7719258568538</v>
      </c>
      <c r="K1502">
        <v>11.9099840568239</v>
      </c>
      <c r="L1502">
        <v>12.2427503440239</v>
      </c>
      <c r="M1502" t="s">
        <v>29</v>
      </c>
      <c r="N1502" t="s">
        <v>29</v>
      </c>
      <c r="O1502">
        <v>11.991128105027901</v>
      </c>
      <c r="P1502">
        <v>-0.31709198087269602</v>
      </c>
      <c r="Q1502">
        <v>-1.3002697424039</v>
      </c>
      <c r="R1502">
        <v>0.66608578065850599</v>
      </c>
      <c r="S1502">
        <v>12.2831669306085</v>
      </c>
      <c r="T1502">
        <v>-0.710691147225056</v>
      </c>
      <c r="U1502">
        <v>-6.2771480057284004</v>
      </c>
      <c r="V1502">
        <v>0.49220919660495399</v>
      </c>
      <c r="W1502">
        <v>0.94062983959761604</v>
      </c>
      <c r="X1502">
        <v>0</v>
      </c>
      <c r="Y1502">
        <v>0</v>
      </c>
    </row>
    <row r="1503" spans="1:25" x14ac:dyDescent="0.2">
      <c r="A1503" t="s">
        <v>5620</v>
      </c>
      <c r="B1503" t="s">
        <v>5621</v>
      </c>
      <c r="C1503" t="s">
        <v>5622</v>
      </c>
      <c r="D1503" t="s">
        <v>5623</v>
      </c>
      <c r="E1503" t="s">
        <v>5621</v>
      </c>
      <c r="F1503" t="s">
        <v>28</v>
      </c>
      <c r="G1503" t="s">
        <v>5621</v>
      </c>
      <c r="H1503" t="str">
        <f>"ckb-2"</f>
        <v>ckb-2</v>
      </c>
      <c r="I1503" t="s">
        <v>5623</v>
      </c>
      <c r="J1503">
        <v>14.224690108505399</v>
      </c>
      <c r="K1503">
        <v>14.364985531137901</v>
      </c>
      <c r="L1503">
        <v>14.0495912316623</v>
      </c>
      <c r="M1503">
        <v>14.1191917712862</v>
      </c>
      <c r="N1503">
        <v>14.234885816225701</v>
      </c>
      <c r="O1503">
        <v>14.2594774724109</v>
      </c>
      <c r="P1503">
        <v>-8.5706037942578899E-3</v>
      </c>
      <c r="Q1503">
        <v>-0.50031771075609999</v>
      </c>
      <c r="R1503">
        <v>0.48317650316758398</v>
      </c>
      <c r="S1503">
        <v>13.9269079955608</v>
      </c>
      <c r="T1503">
        <v>-3.6632125499590502E-2</v>
      </c>
      <c r="U1503">
        <v>-6.8817884541440897</v>
      </c>
      <c r="V1503">
        <v>0.97118387752827795</v>
      </c>
      <c r="W1503">
        <v>0.99968702248720698</v>
      </c>
      <c r="X1503">
        <v>0</v>
      </c>
      <c r="Y1503">
        <v>0</v>
      </c>
    </row>
    <row r="1504" spans="1:25" x14ac:dyDescent="0.2">
      <c r="A1504" t="s">
        <v>5624</v>
      </c>
      <c r="B1504" t="s">
        <v>5625</v>
      </c>
      <c r="C1504" t="s">
        <v>5626</v>
      </c>
      <c r="D1504" t="s">
        <v>5627</v>
      </c>
      <c r="E1504" t="s">
        <v>5625</v>
      </c>
      <c r="F1504" t="s">
        <v>28</v>
      </c>
      <c r="G1504" t="s">
        <v>5625</v>
      </c>
      <c r="H1504" t="str">
        <f>"atp-2"</f>
        <v>atp-2</v>
      </c>
      <c r="I1504" t="s">
        <v>5627</v>
      </c>
      <c r="J1504">
        <v>19.528068025698399</v>
      </c>
      <c r="K1504">
        <v>19.342304250301702</v>
      </c>
      <c r="L1504">
        <v>19.3991905854405</v>
      </c>
      <c r="M1504">
        <v>19.4093529685493</v>
      </c>
      <c r="N1504">
        <v>19.591926719897401</v>
      </c>
      <c r="O1504">
        <v>19.586790811247301</v>
      </c>
      <c r="P1504">
        <v>0.106169212751137</v>
      </c>
      <c r="Q1504">
        <v>-0.26784960921991502</v>
      </c>
      <c r="R1504">
        <v>0.48018803472218902</v>
      </c>
      <c r="S1504">
        <v>19.5485092000104</v>
      </c>
      <c r="T1504">
        <v>0.59661978628861301</v>
      </c>
      <c r="U1504">
        <v>-6.6983480579117796</v>
      </c>
      <c r="V1504">
        <v>0.55823430408585795</v>
      </c>
      <c r="W1504">
        <v>0.95635987123881905</v>
      </c>
      <c r="X1504">
        <v>0</v>
      </c>
      <c r="Y1504">
        <v>0</v>
      </c>
    </row>
    <row r="1505" spans="1:25" x14ac:dyDescent="0.2">
      <c r="A1505" t="s">
        <v>5628</v>
      </c>
      <c r="B1505" t="s">
        <v>5629</v>
      </c>
      <c r="C1505" t="s">
        <v>5630</v>
      </c>
      <c r="D1505" t="s">
        <v>5631</v>
      </c>
      <c r="E1505" t="s">
        <v>5629</v>
      </c>
      <c r="F1505" t="s">
        <v>28</v>
      </c>
      <c r="G1505" t="s">
        <v>5629</v>
      </c>
      <c r="H1505" t="str">
        <f>"alh-9"</f>
        <v>alh-9</v>
      </c>
      <c r="I1505" t="s">
        <v>5631</v>
      </c>
      <c r="J1505">
        <v>10.971626345700001</v>
      </c>
      <c r="K1505">
        <v>11.7214302127792</v>
      </c>
      <c r="L1505">
        <v>12.645706012313701</v>
      </c>
      <c r="M1505">
        <v>12.959532317664801</v>
      </c>
      <c r="N1505">
        <v>13.0292191258422</v>
      </c>
      <c r="O1505">
        <v>12.3387875649676</v>
      </c>
      <c r="P1505">
        <v>0.99625881256058901</v>
      </c>
      <c r="Q1505">
        <v>0.33500019780983498</v>
      </c>
      <c r="R1505">
        <v>1.65751742731134</v>
      </c>
      <c r="S1505">
        <v>13.0816921511689</v>
      </c>
      <c r="T1505">
        <v>3.1801737333652</v>
      </c>
      <c r="U1505">
        <v>-2.73995570732039</v>
      </c>
      <c r="V1505">
        <v>5.5093902829739501E-3</v>
      </c>
      <c r="W1505">
        <v>0.117533659370111</v>
      </c>
      <c r="X1505">
        <v>0</v>
      </c>
      <c r="Y1505">
        <v>0</v>
      </c>
    </row>
    <row r="1506" spans="1:25" x14ac:dyDescent="0.2">
      <c r="A1506" t="s">
        <v>5632</v>
      </c>
      <c r="B1506" t="s">
        <v>5633</v>
      </c>
      <c r="C1506" t="s">
        <v>5634</v>
      </c>
      <c r="D1506" t="s">
        <v>5635</v>
      </c>
      <c r="E1506" t="s">
        <v>5633</v>
      </c>
      <c r="F1506" t="s">
        <v>28</v>
      </c>
      <c r="G1506" t="s">
        <v>5633</v>
      </c>
      <c r="H1506" t="str">
        <f>"aldo-2"</f>
        <v>aldo-2</v>
      </c>
      <c r="I1506" t="s">
        <v>5635</v>
      </c>
      <c r="J1506">
        <v>14.4703821797707</v>
      </c>
      <c r="K1506">
        <v>13.5247751416188</v>
      </c>
      <c r="L1506">
        <v>13.9129046498284</v>
      </c>
      <c r="M1506">
        <v>18.374053633857301</v>
      </c>
      <c r="N1506">
        <v>18.4110396875828</v>
      </c>
      <c r="O1506">
        <v>18.628467962358599</v>
      </c>
      <c r="P1506">
        <v>4.5018331041935804</v>
      </c>
      <c r="Q1506">
        <v>3.8575086081000798</v>
      </c>
      <c r="R1506">
        <v>5.1461576002870801</v>
      </c>
      <c r="S1506">
        <v>17.6200378439462</v>
      </c>
      <c r="T1506">
        <v>14.685111920934199</v>
      </c>
      <c r="U1506">
        <v>16.280591004353798</v>
      </c>
      <c r="V1506" s="2">
        <v>2.0080791629175001E-11</v>
      </c>
      <c r="W1506" s="2">
        <v>2.22762915139648E-8</v>
      </c>
      <c r="X1506">
        <v>1</v>
      </c>
      <c r="Y1506">
        <v>1</v>
      </c>
    </row>
    <row r="1507" spans="1:25" x14ac:dyDescent="0.2">
      <c r="A1507" t="s">
        <v>5636</v>
      </c>
      <c r="B1507" t="s">
        <v>5637</v>
      </c>
      <c r="C1507" t="s">
        <v>5638</v>
      </c>
      <c r="D1507" t="s">
        <v>5639</v>
      </c>
      <c r="E1507" t="s">
        <v>5637</v>
      </c>
      <c r="F1507" t="s">
        <v>28</v>
      </c>
      <c r="G1507" t="s">
        <v>5637</v>
      </c>
      <c r="H1507" t="str">
        <f>"gop-3"</f>
        <v>gop-3</v>
      </c>
      <c r="I1507" t="s">
        <v>5639</v>
      </c>
      <c r="J1507">
        <v>14.836036472908001</v>
      </c>
      <c r="K1507">
        <v>14.7532039517806</v>
      </c>
      <c r="L1507">
        <v>14.6793317344813</v>
      </c>
      <c r="M1507">
        <v>14.4822329820669</v>
      </c>
      <c r="N1507">
        <v>14.3533260753797</v>
      </c>
      <c r="O1507">
        <v>14.7874355957094</v>
      </c>
      <c r="P1507">
        <v>-0.21519250200463499</v>
      </c>
      <c r="Q1507">
        <v>-0.62311164243224204</v>
      </c>
      <c r="R1507">
        <v>0.192726638422972</v>
      </c>
      <c r="S1507">
        <v>14.230961402749999</v>
      </c>
      <c r="T1507">
        <v>-1.10878046156014</v>
      </c>
      <c r="U1507">
        <v>-6.2614546780160598</v>
      </c>
      <c r="V1507">
        <v>0.28220453299076298</v>
      </c>
      <c r="W1507">
        <v>0.856190392347986</v>
      </c>
      <c r="X1507">
        <v>0</v>
      </c>
      <c r="Y1507">
        <v>0</v>
      </c>
    </row>
    <row r="1508" spans="1:25" x14ac:dyDescent="0.2">
      <c r="A1508" t="s">
        <v>5640</v>
      </c>
      <c r="B1508" t="s">
        <v>5641</v>
      </c>
      <c r="C1508" t="s">
        <v>5642</v>
      </c>
      <c r="D1508" t="s">
        <v>5643</v>
      </c>
      <c r="E1508" t="s">
        <v>5641</v>
      </c>
      <c r="F1508" t="s">
        <v>28</v>
      </c>
      <c r="G1508" t="s">
        <v>5641</v>
      </c>
      <c r="H1508" t="str">
        <f>"gop-2"</f>
        <v>gop-2</v>
      </c>
      <c r="I1508" t="s">
        <v>5643</v>
      </c>
      <c r="J1508">
        <v>13.995154940130901</v>
      </c>
      <c r="K1508">
        <v>14.1981593159589</v>
      </c>
      <c r="L1508">
        <v>13.8630576013884</v>
      </c>
      <c r="M1508">
        <v>14.7858516928196</v>
      </c>
      <c r="N1508">
        <v>14.727972470529499</v>
      </c>
      <c r="O1508">
        <v>14.8213505498719</v>
      </c>
      <c r="P1508">
        <v>0.759600951914296</v>
      </c>
      <c r="Q1508">
        <v>0.34998701670257099</v>
      </c>
      <c r="R1508">
        <v>1.16921488712602</v>
      </c>
      <c r="S1508">
        <v>14.240005659699699</v>
      </c>
      <c r="T1508">
        <v>3.8976540610793302</v>
      </c>
      <c r="U1508">
        <v>-1.1582765236696699</v>
      </c>
      <c r="V1508">
        <v>1.0648888621277899E-3</v>
      </c>
      <c r="W1508">
        <v>3.2814353084826699E-2</v>
      </c>
      <c r="X1508">
        <v>0</v>
      </c>
      <c r="Y1508">
        <v>0</v>
      </c>
    </row>
    <row r="1509" spans="1:25" x14ac:dyDescent="0.2">
      <c r="A1509" t="s">
        <v>5644</v>
      </c>
      <c r="B1509" t="s">
        <v>5645</v>
      </c>
      <c r="C1509" t="s">
        <v>5646</v>
      </c>
      <c r="D1509" t="s">
        <v>5647</v>
      </c>
      <c r="E1509" t="s">
        <v>5645</v>
      </c>
      <c r="F1509" t="s">
        <v>28</v>
      </c>
      <c r="G1509" t="s">
        <v>5645</v>
      </c>
      <c r="H1509" t="str">
        <f>"gop-1"</f>
        <v>gop-1</v>
      </c>
      <c r="I1509" t="s">
        <v>5647</v>
      </c>
      <c r="J1509">
        <v>12.8661609823451</v>
      </c>
      <c r="K1509">
        <v>13.424020592111299</v>
      </c>
      <c r="L1509">
        <v>13.259688651482</v>
      </c>
      <c r="M1509">
        <v>13.743064583827399</v>
      </c>
      <c r="N1509">
        <v>13.5232284812665</v>
      </c>
      <c r="O1509">
        <v>14.0908786728594</v>
      </c>
      <c r="P1509">
        <v>0.602433837338339</v>
      </c>
      <c r="Q1509">
        <v>0.161666807209427</v>
      </c>
      <c r="R1509">
        <v>1.0432008674672499</v>
      </c>
      <c r="S1509">
        <v>13.153973382433</v>
      </c>
      <c r="T1509">
        <v>2.9335409071288301</v>
      </c>
      <c r="U1509">
        <v>-3.3400744521954699</v>
      </c>
      <c r="V1509">
        <v>1.0966667021675799E-2</v>
      </c>
      <c r="W1509">
        <v>0.18910397848775701</v>
      </c>
      <c r="X1509">
        <v>0</v>
      </c>
      <c r="Y1509">
        <v>0</v>
      </c>
    </row>
    <row r="1510" spans="1:25" x14ac:dyDescent="0.2">
      <c r="A1510" t="s">
        <v>5648</v>
      </c>
      <c r="B1510" t="s">
        <v>5649</v>
      </c>
      <c r="C1510" t="s">
        <v>5650</v>
      </c>
      <c r="D1510" t="s">
        <v>5651</v>
      </c>
      <c r="E1510" t="s">
        <v>5649</v>
      </c>
      <c r="F1510" t="s">
        <v>28</v>
      </c>
      <c r="G1510" t="s">
        <v>5649</v>
      </c>
      <c r="H1510" t="str">
        <f>"sumv-1"</f>
        <v>sumv-1</v>
      </c>
      <c r="I1510" t="s">
        <v>5651</v>
      </c>
      <c r="J1510">
        <v>11.4034134056505</v>
      </c>
      <c r="K1510">
        <v>12.094027263406799</v>
      </c>
      <c r="L1510">
        <v>11.8433296355481</v>
      </c>
      <c r="M1510">
        <v>11.4392846158298</v>
      </c>
      <c r="N1510">
        <v>11.5335711040386</v>
      </c>
      <c r="O1510">
        <v>11.329369751885</v>
      </c>
      <c r="P1510">
        <v>-0.34618161095067801</v>
      </c>
      <c r="Q1510">
        <v>-0.88127688508045599</v>
      </c>
      <c r="R1510">
        <v>0.188913663179099</v>
      </c>
      <c r="S1510">
        <v>11.8347421106384</v>
      </c>
      <c r="T1510">
        <v>-1.37221577924174</v>
      </c>
      <c r="U1510">
        <v>-5.9470530690671799</v>
      </c>
      <c r="V1510">
        <v>0.18905223302938201</v>
      </c>
      <c r="W1510">
        <v>0.78295732499061499</v>
      </c>
      <c r="X1510">
        <v>0</v>
      </c>
      <c r="Y1510">
        <v>0</v>
      </c>
    </row>
    <row r="1511" spans="1:25" x14ac:dyDescent="0.2">
      <c r="A1511" t="s">
        <v>5652</v>
      </c>
      <c r="B1511" t="s">
        <v>5653</v>
      </c>
      <c r="C1511" t="s">
        <v>5654</v>
      </c>
      <c r="D1511" t="s">
        <v>5655</v>
      </c>
      <c r="E1511" t="s">
        <v>5653</v>
      </c>
      <c r="F1511" t="s">
        <v>28</v>
      </c>
      <c r="G1511" t="s">
        <v>5653</v>
      </c>
      <c r="H1511" t="str">
        <f>"rps-0"</f>
        <v>rps-0</v>
      </c>
      <c r="I1511" t="s">
        <v>5655</v>
      </c>
      <c r="J1511">
        <v>17.872028581569001</v>
      </c>
      <c r="K1511">
        <v>17.722326462793301</v>
      </c>
      <c r="L1511">
        <v>18.085209020100098</v>
      </c>
      <c r="M1511">
        <v>18.381278388509099</v>
      </c>
      <c r="N1511">
        <v>18.2982647256989</v>
      </c>
      <c r="O1511">
        <v>18.465357362491901</v>
      </c>
      <c r="P1511">
        <v>0.48844547074580502</v>
      </c>
      <c r="Q1511">
        <v>0.12853146495798201</v>
      </c>
      <c r="R1511">
        <v>0.84835947653362898</v>
      </c>
      <c r="S1511">
        <v>18.272392976544101</v>
      </c>
      <c r="T1511">
        <v>2.8523962233221201</v>
      </c>
      <c r="U1511">
        <v>-3.3859971315738702</v>
      </c>
      <c r="V1511">
        <v>1.0620716337257601E-2</v>
      </c>
      <c r="W1511">
        <v>0.184092416512466</v>
      </c>
      <c r="X1511">
        <v>0</v>
      </c>
      <c r="Y1511">
        <v>0</v>
      </c>
    </row>
    <row r="1512" spans="1:25" x14ac:dyDescent="0.2">
      <c r="A1512" t="s">
        <v>5656</v>
      </c>
      <c r="B1512" t="s">
        <v>5657</v>
      </c>
      <c r="C1512" t="s">
        <v>5658</v>
      </c>
      <c r="D1512" t="s">
        <v>5659</v>
      </c>
      <c r="E1512" t="s">
        <v>5657</v>
      </c>
      <c r="F1512" t="s">
        <v>28</v>
      </c>
      <c r="G1512" t="s">
        <v>5657</v>
      </c>
      <c r="H1512" t="str">
        <f>"stt-3"</f>
        <v>stt-3</v>
      </c>
      <c r="I1512" t="s">
        <v>5659</v>
      </c>
      <c r="J1512">
        <v>17.764056638871299</v>
      </c>
      <c r="K1512">
        <v>17.797239175213502</v>
      </c>
      <c r="L1512">
        <v>17.715633597937</v>
      </c>
      <c r="M1512">
        <v>17.860574394753201</v>
      </c>
      <c r="N1512">
        <v>17.825588146614798</v>
      </c>
      <c r="O1512">
        <v>17.770922736199498</v>
      </c>
      <c r="P1512">
        <v>6.00519551819012E-2</v>
      </c>
      <c r="Q1512">
        <v>-0.33169972457234798</v>
      </c>
      <c r="R1512">
        <v>0.451803634936151</v>
      </c>
      <c r="S1512">
        <v>17.8409269219683</v>
      </c>
      <c r="T1512">
        <v>0.32218758210695297</v>
      </c>
      <c r="U1512">
        <v>-6.8284100603622697</v>
      </c>
      <c r="V1512">
        <v>0.751044055296889</v>
      </c>
      <c r="W1512">
        <v>0.99193327319361801</v>
      </c>
      <c r="X1512">
        <v>0</v>
      </c>
      <c r="Y1512">
        <v>0</v>
      </c>
    </row>
    <row r="1513" spans="1:25" x14ac:dyDescent="0.2">
      <c r="A1513" t="s">
        <v>5660</v>
      </c>
      <c r="B1513" t="s">
        <v>5661</v>
      </c>
      <c r="C1513" t="s">
        <v>5662</v>
      </c>
      <c r="D1513" t="s">
        <v>5663</v>
      </c>
      <c r="E1513" t="s">
        <v>5661</v>
      </c>
      <c r="F1513" t="s">
        <v>28</v>
      </c>
      <c r="G1513" t="s">
        <v>5661</v>
      </c>
      <c r="H1513" t="str">
        <f>"cct-2"</f>
        <v>cct-2</v>
      </c>
      <c r="I1513" t="s">
        <v>5663</v>
      </c>
      <c r="J1513">
        <v>15.544192681416501</v>
      </c>
      <c r="K1513">
        <v>15.1906608002972</v>
      </c>
      <c r="L1513">
        <v>15.4968884973842</v>
      </c>
      <c r="M1513">
        <v>15.6131105872793</v>
      </c>
      <c r="N1513">
        <v>15.780242777722499</v>
      </c>
      <c r="O1513">
        <v>15.7366043769816</v>
      </c>
      <c r="P1513">
        <v>0.29940525429515202</v>
      </c>
      <c r="Q1513">
        <v>-0.122352160907721</v>
      </c>
      <c r="R1513">
        <v>0.72116266949802499</v>
      </c>
      <c r="S1513">
        <v>15.4582862486147</v>
      </c>
      <c r="T1513">
        <v>1.4920700183675999</v>
      </c>
      <c r="U1513">
        <v>-5.7868197827423202</v>
      </c>
      <c r="V1513">
        <v>0.15310028950908899</v>
      </c>
      <c r="W1513">
        <v>0.74670906315098495</v>
      </c>
      <c r="X1513">
        <v>0</v>
      </c>
      <c r="Y1513">
        <v>0</v>
      </c>
    </row>
    <row r="1514" spans="1:25" x14ac:dyDescent="0.2">
      <c r="A1514" t="s">
        <v>5664</v>
      </c>
      <c r="B1514" t="s">
        <v>5665</v>
      </c>
      <c r="C1514" t="s">
        <v>5666</v>
      </c>
      <c r="D1514" t="s">
        <v>5667</v>
      </c>
      <c r="E1514" t="s">
        <v>5665</v>
      </c>
      <c r="F1514" t="s">
        <v>28</v>
      </c>
      <c r="G1514" t="s">
        <v>5665</v>
      </c>
      <c r="H1514" t="str">
        <f>"cct-4"</f>
        <v>cct-4</v>
      </c>
      <c r="I1514" t="s">
        <v>5667</v>
      </c>
      <c r="J1514">
        <v>14.937484830213799</v>
      </c>
      <c r="K1514">
        <v>14.724903988925</v>
      </c>
      <c r="L1514">
        <v>15.0981237846109</v>
      </c>
      <c r="M1514">
        <v>15.1647804772158</v>
      </c>
      <c r="N1514">
        <v>15.4839688972682</v>
      </c>
      <c r="O1514">
        <v>14.9646943313729</v>
      </c>
      <c r="P1514">
        <v>0.28431036736906301</v>
      </c>
      <c r="Q1514">
        <v>-0.14798628962480401</v>
      </c>
      <c r="R1514">
        <v>0.716607024362929</v>
      </c>
      <c r="S1514">
        <v>15.1133668507895</v>
      </c>
      <c r="T1514">
        <v>1.3823032610180701</v>
      </c>
      <c r="U1514">
        <v>-5.9344194836305899</v>
      </c>
      <c r="V1514">
        <v>0.183889505672584</v>
      </c>
      <c r="W1514">
        <v>0.78295732499061499</v>
      </c>
      <c r="X1514">
        <v>0</v>
      </c>
      <c r="Y1514">
        <v>0</v>
      </c>
    </row>
    <row r="1515" spans="1:25" x14ac:dyDescent="0.2">
      <c r="A1515" t="s">
        <v>5668</v>
      </c>
      <c r="B1515" t="s">
        <v>5669</v>
      </c>
      <c r="C1515" t="s">
        <v>5670</v>
      </c>
      <c r="D1515" t="s">
        <v>5671</v>
      </c>
      <c r="E1515" t="s">
        <v>5669</v>
      </c>
      <c r="F1515" t="s">
        <v>28</v>
      </c>
      <c r="G1515" t="s">
        <v>5669</v>
      </c>
      <c r="H1515" t="str">
        <f>"cct-5"</f>
        <v>cct-5</v>
      </c>
      <c r="I1515" t="s">
        <v>5671</v>
      </c>
      <c r="J1515">
        <v>14.8930118292594</v>
      </c>
      <c r="K1515">
        <v>14.600909047935</v>
      </c>
      <c r="L1515">
        <v>14.918155973118299</v>
      </c>
      <c r="M1515">
        <v>15.011441155777799</v>
      </c>
      <c r="N1515">
        <v>15.192552951021</v>
      </c>
      <c r="O1515">
        <v>14.9455778356298</v>
      </c>
      <c r="P1515">
        <v>0.24583169737196001</v>
      </c>
      <c r="Q1515">
        <v>-0.13609816955091</v>
      </c>
      <c r="R1515">
        <v>0.62776156429482999</v>
      </c>
      <c r="S1515">
        <v>14.6797911955445</v>
      </c>
      <c r="T1515">
        <v>1.3528410455851001</v>
      </c>
      <c r="U1515">
        <v>-5.9724986973069001</v>
      </c>
      <c r="V1515">
        <v>0.19295311073277199</v>
      </c>
      <c r="W1515">
        <v>0.78375110332522002</v>
      </c>
      <c r="X1515">
        <v>0</v>
      </c>
      <c r="Y1515">
        <v>0</v>
      </c>
    </row>
    <row r="1516" spans="1:25" x14ac:dyDescent="0.2">
      <c r="A1516" t="s">
        <v>5672</v>
      </c>
      <c r="B1516" t="s">
        <v>5673</v>
      </c>
      <c r="C1516" t="s">
        <v>5674</v>
      </c>
      <c r="D1516" t="s">
        <v>5675</v>
      </c>
      <c r="E1516" t="s">
        <v>5673</v>
      </c>
      <c r="F1516" t="s">
        <v>28</v>
      </c>
      <c r="G1516" t="s">
        <v>5673</v>
      </c>
      <c r="H1516" t="str">
        <f>"rpl-6"</f>
        <v>rpl-6</v>
      </c>
      <c r="I1516" t="s">
        <v>5675</v>
      </c>
      <c r="J1516">
        <v>21.186681059009299</v>
      </c>
      <c r="K1516">
        <v>21.2439646041705</v>
      </c>
      <c r="L1516">
        <v>21.263867063700602</v>
      </c>
      <c r="M1516">
        <v>21.338760971061799</v>
      </c>
      <c r="N1516">
        <v>20.798160165203999</v>
      </c>
      <c r="O1516">
        <v>20.915456501036001</v>
      </c>
      <c r="P1516">
        <v>-0.21404502985952001</v>
      </c>
      <c r="Q1516">
        <v>-0.65288281296336004</v>
      </c>
      <c r="R1516">
        <v>0.22479275324432099</v>
      </c>
      <c r="S1516">
        <v>21.0421389456403</v>
      </c>
      <c r="T1516">
        <v>-1.0251647121541101</v>
      </c>
      <c r="U1516">
        <v>-6.3490435596476802</v>
      </c>
      <c r="V1516">
        <v>0.31894465930989602</v>
      </c>
      <c r="W1516">
        <v>0.86570305652650403</v>
      </c>
      <c r="X1516">
        <v>0</v>
      </c>
      <c r="Y1516">
        <v>0</v>
      </c>
    </row>
    <row r="1517" spans="1:25" x14ac:dyDescent="0.2">
      <c r="A1517" t="s">
        <v>5676</v>
      </c>
      <c r="B1517" t="s">
        <v>5677</v>
      </c>
      <c r="C1517" t="s">
        <v>5678</v>
      </c>
      <c r="D1517" t="s">
        <v>5679</v>
      </c>
      <c r="E1517" t="s">
        <v>5677</v>
      </c>
      <c r="F1517" t="s">
        <v>28</v>
      </c>
      <c r="G1517" t="s">
        <v>5677</v>
      </c>
      <c r="H1517" t="str">
        <f>"C05D11.1"</f>
        <v>C05D11.1</v>
      </c>
      <c r="I1517" t="s">
        <v>5679</v>
      </c>
      <c r="J1517">
        <v>11.0975074795717</v>
      </c>
      <c r="K1517">
        <v>11.3616161734451</v>
      </c>
      <c r="L1517">
        <v>11.986003258012101</v>
      </c>
      <c r="M1517">
        <v>11.2796324234982</v>
      </c>
      <c r="N1517">
        <v>11.7988728032173</v>
      </c>
      <c r="O1517">
        <v>11.3710125141858</v>
      </c>
      <c r="P1517">
        <v>1.4636099574598699E-3</v>
      </c>
      <c r="Q1517">
        <v>-0.66113113053024897</v>
      </c>
      <c r="R1517">
        <v>0.66405835044516903</v>
      </c>
      <c r="S1517">
        <v>12.300742414117799</v>
      </c>
      <c r="T1517">
        <v>4.6851866923435801E-3</v>
      </c>
      <c r="U1517">
        <v>-6.8824780287094498</v>
      </c>
      <c r="V1517">
        <v>0.99632007379980103</v>
      </c>
      <c r="W1517">
        <v>0.99968702248720698</v>
      </c>
      <c r="X1517">
        <v>0</v>
      </c>
      <c r="Y1517">
        <v>0</v>
      </c>
    </row>
    <row r="1518" spans="1:25" x14ac:dyDescent="0.2">
      <c r="A1518" t="s">
        <v>5680</v>
      </c>
      <c r="B1518" t="s">
        <v>5681</v>
      </c>
      <c r="C1518" t="s">
        <v>5682</v>
      </c>
      <c r="D1518" t="s">
        <v>5683</v>
      </c>
      <c r="E1518" t="s">
        <v>5681</v>
      </c>
      <c r="F1518" t="s">
        <v>28</v>
      </c>
      <c r="G1518" t="s">
        <v>5681</v>
      </c>
      <c r="H1518" t="str">
        <f>"rps-14"</f>
        <v>rps-14</v>
      </c>
      <c r="I1518" t="s">
        <v>5683</v>
      </c>
      <c r="J1518">
        <v>22.388012525095299</v>
      </c>
      <c r="K1518">
        <v>22.467444666873099</v>
      </c>
      <c r="L1518">
        <v>22.4610362335819</v>
      </c>
      <c r="M1518">
        <v>22.318885712829498</v>
      </c>
      <c r="N1518">
        <v>21.973524323529698</v>
      </c>
      <c r="O1518">
        <v>22.3915640524427</v>
      </c>
      <c r="P1518">
        <v>-0.21083977891613501</v>
      </c>
      <c r="Q1518">
        <v>-0.658748853410693</v>
      </c>
      <c r="R1518">
        <v>0.23706929557842199</v>
      </c>
      <c r="S1518">
        <v>22.113799850500801</v>
      </c>
      <c r="T1518">
        <v>-0.98936195076470401</v>
      </c>
      <c r="U1518">
        <v>-6.3846856801627698</v>
      </c>
      <c r="V1518">
        <v>0.33567582192628997</v>
      </c>
      <c r="W1518">
        <v>0.87368774661315896</v>
      </c>
      <c r="X1518">
        <v>0</v>
      </c>
      <c r="Y1518">
        <v>0</v>
      </c>
    </row>
    <row r="1519" spans="1:25" x14ac:dyDescent="0.2">
      <c r="A1519" t="s">
        <v>5684</v>
      </c>
      <c r="B1519" t="s">
        <v>5685</v>
      </c>
      <c r="C1519" t="s">
        <v>5686</v>
      </c>
      <c r="D1519" t="s">
        <v>5687</v>
      </c>
      <c r="E1519" t="s">
        <v>5685</v>
      </c>
      <c r="F1519" t="s">
        <v>28</v>
      </c>
      <c r="G1519" t="s">
        <v>5685</v>
      </c>
      <c r="H1519" t="str">
        <f>"rps-3"</f>
        <v>rps-3</v>
      </c>
      <c r="I1519" t="s">
        <v>5687</v>
      </c>
      <c r="J1519">
        <v>21.072654963019701</v>
      </c>
      <c r="K1519">
        <v>21.0948950637667</v>
      </c>
      <c r="L1519">
        <v>21.032983099033</v>
      </c>
      <c r="M1519">
        <v>20.952800373894</v>
      </c>
      <c r="N1519">
        <v>20.297339354066001</v>
      </c>
      <c r="O1519">
        <v>21.048543706638998</v>
      </c>
      <c r="P1519">
        <v>-0.30061656374013501</v>
      </c>
      <c r="Q1519">
        <v>-0.82809294228728303</v>
      </c>
      <c r="R1519">
        <v>0.22685981480701201</v>
      </c>
      <c r="S1519">
        <v>20.592446792400501</v>
      </c>
      <c r="T1519">
        <v>-1.1978499070950399</v>
      </c>
      <c r="U1519">
        <v>-6.1616203005152199</v>
      </c>
      <c r="V1519">
        <v>0.24660092714558901</v>
      </c>
      <c r="W1519">
        <v>0.82981586000052399</v>
      </c>
      <c r="X1519">
        <v>0</v>
      </c>
      <c r="Y1519">
        <v>0</v>
      </c>
    </row>
    <row r="1520" spans="1:25" x14ac:dyDescent="0.2">
      <c r="A1520" t="s">
        <v>5688</v>
      </c>
      <c r="B1520" t="s">
        <v>5689</v>
      </c>
      <c r="C1520" t="s">
        <v>5690</v>
      </c>
      <c r="D1520" t="s">
        <v>5691</v>
      </c>
      <c r="E1520" t="s">
        <v>5689</v>
      </c>
      <c r="F1520" t="s">
        <v>28</v>
      </c>
      <c r="G1520" t="s">
        <v>5689</v>
      </c>
      <c r="H1520" t="str">
        <f>"rps-1"</f>
        <v>rps-1</v>
      </c>
      <c r="I1520" t="s">
        <v>5691</v>
      </c>
      <c r="J1520">
        <v>20.945620111662901</v>
      </c>
      <c r="K1520">
        <v>20.827611864077799</v>
      </c>
      <c r="L1520">
        <v>20.978100629397598</v>
      </c>
      <c r="M1520">
        <v>20.8319435536987</v>
      </c>
      <c r="N1520">
        <v>20.4888969180179</v>
      </c>
      <c r="O1520">
        <v>20.858044308041801</v>
      </c>
      <c r="P1520">
        <v>-0.19081594179331399</v>
      </c>
      <c r="Q1520">
        <v>-0.57092546837986102</v>
      </c>
      <c r="R1520">
        <v>0.18929358479323299</v>
      </c>
      <c r="S1520">
        <v>20.698496247480101</v>
      </c>
      <c r="T1520">
        <v>-1.0551116394796201</v>
      </c>
      <c r="U1520">
        <v>-6.3183682136327697</v>
      </c>
      <c r="V1520">
        <v>0.30541198592691698</v>
      </c>
      <c r="W1520">
        <v>0.85855590823088301</v>
      </c>
      <c r="X1520">
        <v>0</v>
      </c>
      <c r="Y1520">
        <v>0</v>
      </c>
    </row>
    <row r="1521" spans="1:25" x14ac:dyDescent="0.2">
      <c r="A1521" t="s">
        <v>5692</v>
      </c>
      <c r="B1521" t="s">
        <v>5693</v>
      </c>
      <c r="C1521" t="s">
        <v>5694</v>
      </c>
      <c r="D1521" t="s">
        <v>5695</v>
      </c>
      <c r="E1521" t="s">
        <v>5693</v>
      </c>
      <c r="F1521" t="s">
        <v>28</v>
      </c>
      <c r="G1521" t="s">
        <v>5693</v>
      </c>
      <c r="H1521" t="str">
        <f>"rps-8"</f>
        <v>rps-8</v>
      </c>
      <c r="I1521" t="s">
        <v>5695</v>
      </c>
      <c r="J1521">
        <v>20.141698490414498</v>
      </c>
      <c r="K1521">
        <v>20.3210400494381</v>
      </c>
      <c r="L1521">
        <v>20.339678904581799</v>
      </c>
      <c r="M1521">
        <v>20.163797303633501</v>
      </c>
      <c r="N1521">
        <v>19.673781866772298</v>
      </c>
      <c r="O1521">
        <v>20.0220038732818</v>
      </c>
      <c r="P1521">
        <v>-0.31427813358230899</v>
      </c>
      <c r="Q1521">
        <v>-0.68989019700186105</v>
      </c>
      <c r="R1521">
        <v>6.1333929837241702E-2</v>
      </c>
      <c r="S1521">
        <v>20.0162771219712</v>
      </c>
      <c r="T1521">
        <v>-1.7586003147201199</v>
      </c>
      <c r="U1521">
        <v>-5.3932425060439497</v>
      </c>
      <c r="V1521">
        <v>9.5734224292304798E-2</v>
      </c>
      <c r="W1521">
        <v>0.63976606113411705</v>
      </c>
      <c r="X1521">
        <v>0</v>
      </c>
      <c r="Y1521">
        <v>0</v>
      </c>
    </row>
    <row r="1522" spans="1:25" x14ac:dyDescent="0.2">
      <c r="A1522" t="s">
        <v>5696</v>
      </c>
      <c r="B1522" t="s">
        <v>5697</v>
      </c>
      <c r="C1522" t="s">
        <v>5698</v>
      </c>
      <c r="D1522" t="s">
        <v>5699</v>
      </c>
      <c r="E1522" t="s">
        <v>5697</v>
      </c>
      <c r="F1522" t="s">
        <v>28</v>
      </c>
      <c r="G1522" t="s">
        <v>5697</v>
      </c>
      <c r="H1522" t="str">
        <f>"rpl-23"</f>
        <v>rpl-23</v>
      </c>
      <c r="I1522" t="s">
        <v>5699</v>
      </c>
      <c r="J1522">
        <v>21.226216979359901</v>
      </c>
      <c r="K1522">
        <v>21.206042134982201</v>
      </c>
      <c r="L1522">
        <v>21.203273304040401</v>
      </c>
      <c r="M1522">
        <v>21.149538778254598</v>
      </c>
      <c r="N1522">
        <v>20.806402174879501</v>
      </c>
      <c r="O1522">
        <v>20.796262860502601</v>
      </c>
      <c r="P1522">
        <v>-0.294442868248598</v>
      </c>
      <c r="Q1522">
        <v>-0.70889803765923298</v>
      </c>
      <c r="R1522">
        <v>0.120012301162036</v>
      </c>
      <c r="S1522">
        <v>20.807530542674801</v>
      </c>
      <c r="T1522">
        <v>-1.4931931603294499</v>
      </c>
      <c r="U1522">
        <v>-5.7852638700816499</v>
      </c>
      <c r="V1522">
        <v>0.15280863630476499</v>
      </c>
      <c r="W1522">
        <v>0.74670906315098495</v>
      </c>
      <c r="X1522">
        <v>0</v>
      </c>
      <c r="Y1522">
        <v>0</v>
      </c>
    </row>
    <row r="1523" spans="1:25" x14ac:dyDescent="0.2">
      <c r="A1523" t="s">
        <v>5700</v>
      </c>
      <c r="B1523" t="s">
        <v>5701</v>
      </c>
      <c r="C1523" t="s">
        <v>5702</v>
      </c>
      <c r="D1523" t="s">
        <v>5703</v>
      </c>
      <c r="E1523" t="s">
        <v>5701</v>
      </c>
      <c r="F1523" t="s">
        <v>28</v>
      </c>
      <c r="G1523" t="s">
        <v>5701</v>
      </c>
      <c r="H1523" t="str">
        <f>"rpl-25.1"</f>
        <v>rpl-25.1</v>
      </c>
      <c r="I1523" t="s">
        <v>5703</v>
      </c>
      <c r="J1523">
        <v>12.237496734370801</v>
      </c>
      <c r="K1523">
        <v>12.294649569956</v>
      </c>
      <c r="L1523">
        <v>12.768964512584301</v>
      </c>
      <c r="M1523">
        <v>12.645964486150801</v>
      </c>
      <c r="N1523">
        <v>11.984028319004199</v>
      </c>
      <c r="O1523">
        <v>12.399869546984201</v>
      </c>
      <c r="P1523">
        <v>-9.0416154923962794E-2</v>
      </c>
      <c r="Q1523">
        <v>-1.62762998185668</v>
      </c>
      <c r="R1523">
        <v>1.4467976720087501</v>
      </c>
      <c r="S1523">
        <v>13.215169458736501</v>
      </c>
      <c r="T1523">
        <v>-0.123624419426496</v>
      </c>
      <c r="U1523">
        <v>-6.8745076800809999</v>
      </c>
      <c r="V1523">
        <v>0.90299061496419997</v>
      </c>
      <c r="W1523">
        <v>0.99833354317360001</v>
      </c>
      <c r="X1523">
        <v>0</v>
      </c>
      <c r="Y1523">
        <v>0</v>
      </c>
    </row>
    <row r="1524" spans="1:25" x14ac:dyDescent="0.2">
      <c r="A1524" t="s">
        <v>5704</v>
      </c>
      <c r="B1524" t="s">
        <v>5705</v>
      </c>
      <c r="C1524" t="s">
        <v>5706</v>
      </c>
      <c r="D1524" t="s">
        <v>5707</v>
      </c>
      <c r="E1524" t="s">
        <v>5705</v>
      </c>
      <c r="F1524" t="s">
        <v>28</v>
      </c>
      <c r="G1524" t="s">
        <v>5705</v>
      </c>
      <c r="H1524" t="str">
        <f>"rpl-36.A"</f>
        <v>rpl-36.A</v>
      </c>
      <c r="I1524" t="s">
        <v>5707</v>
      </c>
      <c r="J1524">
        <v>18.102656214091699</v>
      </c>
      <c r="K1524">
        <v>17.638803132370899</v>
      </c>
      <c r="L1524">
        <v>17.592742512514199</v>
      </c>
      <c r="M1524">
        <v>17.3613936470007</v>
      </c>
      <c r="N1524">
        <v>17.8867057040502</v>
      </c>
      <c r="O1524">
        <v>17.892296698093499</v>
      </c>
      <c r="P1524">
        <v>-6.4601936610795704E-2</v>
      </c>
      <c r="Q1524">
        <v>-1.18824566242939</v>
      </c>
      <c r="R1524">
        <v>1.0590417892077999</v>
      </c>
      <c r="S1524">
        <v>17.2853004934803</v>
      </c>
      <c r="T1524">
        <v>-0.120839639038681</v>
      </c>
      <c r="U1524">
        <v>-6.8748630858571396</v>
      </c>
      <c r="V1524">
        <v>0.90516453008251496</v>
      </c>
      <c r="W1524">
        <v>0.99833354317360001</v>
      </c>
      <c r="X1524">
        <v>0</v>
      </c>
      <c r="Y1524">
        <v>0</v>
      </c>
    </row>
    <row r="1525" spans="1:25" x14ac:dyDescent="0.2">
      <c r="A1525" t="s">
        <v>5708</v>
      </c>
      <c r="B1525" t="s">
        <v>5709</v>
      </c>
      <c r="C1525" t="s">
        <v>5710</v>
      </c>
      <c r="D1525" t="s">
        <v>5711</v>
      </c>
      <c r="E1525" t="s">
        <v>5709</v>
      </c>
      <c r="F1525" t="s">
        <v>28</v>
      </c>
      <c r="G1525" t="s">
        <v>5709</v>
      </c>
      <c r="H1525" t="str">
        <f>"C36E8.1"</f>
        <v>C36E8.1</v>
      </c>
      <c r="I1525" t="s">
        <v>5711</v>
      </c>
      <c r="J1525" t="s">
        <v>29</v>
      </c>
      <c r="K1525" t="s">
        <v>29</v>
      </c>
      <c r="L1525" t="s">
        <v>29</v>
      </c>
      <c r="M1525" t="s">
        <v>29</v>
      </c>
      <c r="N1525" t="s">
        <v>29</v>
      </c>
      <c r="O1525" t="s">
        <v>29</v>
      </c>
      <c r="P1525" t="s">
        <v>29</v>
      </c>
      <c r="Q1525" t="s">
        <v>29</v>
      </c>
      <c r="R1525" t="s">
        <v>29</v>
      </c>
      <c r="S1525">
        <v>10.358873211494</v>
      </c>
      <c r="T1525" t="s">
        <v>29</v>
      </c>
      <c r="U1525" t="s">
        <v>29</v>
      </c>
      <c r="V1525" t="s">
        <v>29</v>
      </c>
      <c r="W1525" t="s">
        <v>29</v>
      </c>
      <c r="X1525" t="s">
        <v>29</v>
      </c>
      <c r="Y1525" t="s">
        <v>29</v>
      </c>
    </row>
    <row r="1526" spans="1:25" x14ac:dyDescent="0.2">
      <c r="A1526" t="s">
        <v>5712</v>
      </c>
      <c r="B1526" t="s">
        <v>5713</v>
      </c>
      <c r="C1526" t="s">
        <v>5714</v>
      </c>
      <c r="D1526" t="s">
        <v>5715</v>
      </c>
      <c r="E1526" t="s">
        <v>5713</v>
      </c>
      <c r="F1526" t="s">
        <v>28</v>
      </c>
      <c r="G1526" t="s">
        <v>5713</v>
      </c>
      <c r="H1526" t="str">
        <f>"erd-2.1"</f>
        <v>erd-2.1</v>
      </c>
      <c r="I1526" t="s">
        <v>5715</v>
      </c>
      <c r="J1526">
        <v>12.1902214637621</v>
      </c>
      <c r="K1526">
        <v>12.079261790757</v>
      </c>
      <c r="L1526">
        <v>12.7766289412516</v>
      </c>
      <c r="M1526">
        <v>12.5898409208466</v>
      </c>
      <c r="N1526">
        <v>13.3464010069194</v>
      </c>
      <c r="O1526">
        <v>13.764167396761501</v>
      </c>
      <c r="P1526">
        <v>0.88476570958559397</v>
      </c>
      <c r="Q1526">
        <v>9.3717604538705104E-2</v>
      </c>
      <c r="R1526">
        <v>1.6758138146324799</v>
      </c>
      <c r="S1526">
        <v>13.993850231601201</v>
      </c>
      <c r="T1526">
        <v>2.372329000148</v>
      </c>
      <c r="U1526">
        <v>-4.3527030977369998</v>
      </c>
      <c r="V1526">
        <v>3.0645218606435699E-2</v>
      </c>
      <c r="W1526">
        <v>0.38350268280793198</v>
      </c>
      <c r="X1526">
        <v>0</v>
      </c>
      <c r="Y1526">
        <v>0</v>
      </c>
    </row>
    <row r="1527" spans="1:25" x14ac:dyDescent="0.2">
      <c r="A1527" t="s">
        <v>5716</v>
      </c>
      <c r="B1527" t="s">
        <v>5717</v>
      </c>
      <c r="C1527" t="s">
        <v>5718</v>
      </c>
      <c r="D1527" t="s">
        <v>5719</v>
      </c>
      <c r="E1527" t="s">
        <v>5717</v>
      </c>
      <c r="F1527" t="s">
        <v>28</v>
      </c>
      <c r="G1527" t="s">
        <v>5717</v>
      </c>
      <c r="H1527" t="str">
        <f>"gsp-2"</f>
        <v>gsp-2</v>
      </c>
      <c r="I1527" t="s">
        <v>5719</v>
      </c>
      <c r="J1527">
        <v>13.630179762734899</v>
      </c>
      <c r="K1527">
        <v>13.969715753179001</v>
      </c>
      <c r="L1527">
        <v>13.586748976985501</v>
      </c>
      <c r="M1527">
        <v>13.7498483448098</v>
      </c>
      <c r="N1527">
        <v>14.262627003841599</v>
      </c>
      <c r="O1527">
        <v>13.7364445217986</v>
      </c>
      <c r="P1527">
        <v>0.187425125850256</v>
      </c>
      <c r="Q1527">
        <v>-0.33019344775276099</v>
      </c>
      <c r="R1527">
        <v>0.70504369945327305</v>
      </c>
      <c r="S1527">
        <v>14.0838822074427</v>
      </c>
      <c r="T1527">
        <v>0.76104523765175602</v>
      </c>
      <c r="U1527">
        <v>-6.5847075741310404</v>
      </c>
      <c r="V1527">
        <v>0.45654229538531099</v>
      </c>
      <c r="W1527">
        <v>0.92701205554747701</v>
      </c>
      <c r="X1527">
        <v>0</v>
      </c>
      <c r="Y1527">
        <v>0</v>
      </c>
    </row>
    <row r="1528" spans="1:25" x14ac:dyDescent="0.2">
      <c r="A1528" t="s">
        <v>5720</v>
      </c>
      <c r="B1528" t="s">
        <v>5721</v>
      </c>
      <c r="C1528" t="s">
        <v>5722</v>
      </c>
      <c r="D1528" t="s">
        <v>5723</v>
      </c>
      <c r="E1528" t="s">
        <v>5721</v>
      </c>
      <c r="F1528" t="s">
        <v>28</v>
      </c>
      <c r="G1528" t="s">
        <v>5721</v>
      </c>
      <c r="H1528" t="str">
        <f>"dpy-27"</f>
        <v>dpy-27</v>
      </c>
      <c r="I1528" t="s">
        <v>5723</v>
      </c>
      <c r="J1528">
        <v>11.4981758012244</v>
      </c>
      <c r="K1528">
        <v>11.553407448387301</v>
      </c>
      <c r="L1528">
        <v>10.835202712289</v>
      </c>
      <c r="M1528">
        <v>11.2914877224517</v>
      </c>
      <c r="N1528">
        <v>11.5990312771857</v>
      </c>
      <c r="O1528" t="s">
        <v>29</v>
      </c>
      <c r="P1528">
        <v>0.149664179185168</v>
      </c>
      <c r="Q1528">
        <v>-0.44514746007752898</v>
      </c>
      <c r="R1528">
        <v>0.74447581844786404</v>
      </c>
      <c r="S1528">
        <v>11.447018149262201</v>
      </c>
      <c r="T1528">
        <v>0.53663626202338199</v>
      </c>
      <c r="U1528">
        <v>-6.6219898379197701</v>
      </c>
      <c r="V1528">
        <v>0.59944325096003404</v>
      </c>
      <c r="W1528">
        <v>0.96842094135679302</v>
      </c>
      <c r="X1528">
        <v>0</v>
      </c>
      <c r="Y1528">
        <v>0</v>
      </c>
    </row>
    <row r="1529" spans="1:25" x14ac:dyDescent="0.2">
      <c r="A1529" t="s">
        <v>5724</v>
      </c>
      <c r="B1529" t="s">
        <v>5725</v>
      </c>
      <c r="C1529" t="s">
        <v>5726</v>
      </c>
      <c r="D1529" t="s">
        <v>5727</v>
      </c>
      <c r="E1529" t="s">
        <v>5725</v>
      </c>
      <c r="F1529" t="s">
        <v>28</v>
      </c>
      <c r="G1529" t="s">
        <v>5725</v>
      </c>
      <c r="H1529" t="str">
        <f>"mag-1"</f>
        <v>mag-1</v>
      </c>
      <c r="I1529" t="s">
        <v>5727</v>
      </c>
      <c r="J1529" t="s">
        <v>29</v>
      </c>
      <c r="K1529" t="s">
        <v>29</v>
      </c>
      <c r="L1529" t="s">
        <v>29</v>
      </c>
      <c r="M1529">
        <v>12.579425941991399</v>
      </c>
      <c r="N1529">
        <v>13.546744614253299</v>
      </c>
      <c r="O1529">
        <v>12.999972153084601</v>
      </c>
      <c r="P1529" t="s">
        <v>29</v>
      </c>
      <c r="Q1529" t="s">
        <v>29</v>
      </c>
      <c r="R1529" t="s">
        <v>29</v>
      </c>
      <c r="S1529">
        <v>12.4361245801582</v>
      </c>
      <c r="T1529" t="s">
        <v>29</v>
      </c>
      <c r="U1529" t="s">
        <v>29</v>
      </c>
      <c r="V1529" t="s">
        <v>29</v>
      </c>
      <c r="W1529" t="s">
        <v>29</v>
      </c>
      <c r="X1529" t="s">
        <v>29</v>
      </c>
      <c r="Y1529" t="s">
        <v>29</v>
      </c>
    </row>
    <row r="1530" spans="1:25" x14ac:dyDescent="0.2">
      <c r="A1530" t="s">
        <v>5728</v>
      </c>
      <c r="B1530" t="s">
        <v>5729</v>
      </c>
      <c r="C1530" t="s">
        <v>5730</v>
      </c>
      <c r="D1530" t="s">
        <v>5731</v>
      </c>
      <c r="E1530" t="s">
        <v>5729</v>
      </c>
      <c r="F1530" t="s">
        <v>28</v>
      </c>
      <c r="G1530" t="s">
        <v>5729</v>
      </c>
      <c r="H1530" t="str">
        <f>"rps-5"</f>
        <v>rps-5</v>
      </c>
      <c r="I1530" t="s">
        <v>5731</v>
      </c>
      <c r="J1530">
        <v>16.259868032634699</v>
      </c>
      <c r="K1530">
        <v>16.513193720220901</v>
      </c>
      <c r="L1530">
        <v>16.867326069933402</v>
      </c>
      <c r="M1530">
        <v>16.5113461837873</v>
      </c>
      <c r="N1530">
        <v>16.147861560256299</v>
      </c>
      <c r="O1530">
        <v>16.638568730656601</v>
      </c>
      <c r="P1530">
        <v>-0.114203782696286</v>
      </c>
      <c r="Q1530">
        <v>-0.60949146958812594</v>
      </c>
      <c r="R1530">
        <v>0.38108390419555299</v>
      </c>
      <c r="S1530">
        <v>16.961205091435101</v>
      </c>
      <c r="T1530">
        <v>-0.48463577605013303</v>
      </c>
      <c r="U1530">
        <v>-6.76057607847887</v>
      </c>
      <c r="V1530">
        <v>0.63381357417361395</v>
      </c>
      <c r="W1530">
        <v>0.97383729217441795</v>
      </c>
      <c r="X1530">
        <v>0</v>
      </c>
      <c r="Y1530">
        <v>0</v>
      </c>
    </row>
    <row r="1531" spans="1:25" x14ac:dyDescent="0.2">
      <c r="A1531" t="s">
        <v>5732</v>
      </c>
      <c r="B1531" t="s">
        <v>5733</v>
      </c>
      <c r="C1531" t="s">
        <v>5734</v>
      </c>
      <c r="D1531" t="s">
        <v>5735</v>
      </c>
      <c r="E1531" t="s">
        <v>5733</v>
      </c>
      <c r="F1531" t="s">
        <v>28</v>
      </c>
      <c r="G1531" t="s">
        <v>5733</v>
      </c>
      <c r="H1531" t="str">
        <f>"imp-2"</f>
        <v>imp-2</v>
      </c>
      <c r="I1531" t="s">
        <v>5735</v>
      </c>
      <c r="J1531">
        <v>15.7779454488167</v>
      </c>
      <c r="K1531">
        <v>15.689184277641999</v>
      </c>
      <c r="L1531">
        <v>15.572724385480999</v>
      </c>
      <c r="M1531">
        <v>15.720042304855101</v>
      </c>
      <c r="N1531">
        <v>15.806454284300299</v>
      </c>
      <c r="O1531">
        <v>15.525027013312</v>
      </c>
      <c r="P1531">
        <v>3.88983017592714E-3</v>
      </c>
      <c r="Q1531">
        <v>-0.45567301602337201</v>
      </c>
      <c r="R1531">
        <v>0.46345267637522602</v>
      </c>
      <c r="S1531">
        <v>15.826395704027201</v>
      </c>
      <c r="T1531">
        <v>1.7790094038541301E-2</v>
      </c>
      <c r="U1531">
        <v>-6.8823242117990597</v>
      </c>
      <c r="V1531">
        <v>0.986003159110317</v>
      </c>
      <c r="W1531">
        <v>0.99968702248720698</v>
      </c>
      <c r="X1531">
        <v>0</v>
      </c>
      <c r="Y1531">
        <v>0</v>
      </c>
    </row>
    <row r="1532" spans="1:25" x14ac:dyDescent="0.2">
      <c r="A1532" t="s">
        <v>5736</v>
      </c>
      <c r="B1532" t="s">
        <v>5737</v>
      </c>
      <c r="C1532" t="s">
        <v>5738</v>
      </c>
      <c r="D1532" t="s">
        <v>5739</v>
      </c>
      <c r="E1532" t="s">
        <v>5737</v>
      </c>
      <c r="F1532" t="s">
        <v>28</v>
      </c>
      <c r="G1532" t="s">
        <v>5737</v>
      </c>
      <c r="H1532" t="str">
        <f>"rpl-33"</f>
        <v>rpl-33</v>
      </c>
      <c r="I1532" t="s">
        <v>5739</v>
      </c>
      <c r="J1532">
        <v>20.123095664327899</v>
      </c>
      <c r="K1532">
        <v>20.101518516146101</v>
      </c>
      <c r="L1532">
        <v>19.992096622216501</v>
      </c>
      <c r="M1532">
        <v>20.078390964524701</v>
      </c>
      <c r="N1532">
        <v>19.4042520013858</v>
      </c>
      <c r="O1532">
        <v>19.753685331493401</v>
      </c>
      <c r="P1532">
        <v>-0.32679416842886899</v>
      </c>
      <c r="Q1532">
        <v>-0.87651182196421296</v>
      </c>
      <c r="R1532">
        <v>0.222923485106476</v>
      </c>
      <c r="S1532">
        <v>19.493548000991499</v>
      </c>
      <c r="T1532">
        <v>-1.2494737229859201</v>
      </c>
      <c r="U1532">
        <v>-6.1007592168395401</v>
      </c>
      <c r="V1532">
        <v>0.22758797972475001</v>
      </c>
      <c r="W1532">
        <v>0.80661639672414198</v>
      </c>
      <c r="X1532">
        <v>0</v>
      </c>
      <c r="Y1532">
        <v>0</v>
      </c>
    </row>
    <row r="1533" spans="1:25" x14ac:dyDescent="0.2">
      <c r="A1533" t="s">
        <v>5740</v>
      </c>
      <c r="B1533" t="s">
        <v>5741</v>
      </c>
      <c r="C1533" t="s">
        <v>5742</v>
      </c>
      <c r="D1533" t="s">
        <v>5743</v>
      </c>
      <c r="E1533" t="s">
        <v>5741</v>
      </c>
      <c r="F1533" t="s">
        <v>28</v>
      </c>
      <c r="G1533" t="s">
        <v>5741</v>
      </c>
      <c r="H1533" t="str">
        <f>"rpl-36"</f>
        <v>rpl-36</v>
      </c>
      <c r="I1533" t="s">
        <v>5743</v>
      </c>
      <c r="J1533">
        <v>15.0468750797281</v>
      </c>
      <c r="K1533">
        <v>15.638629325296799</v>
      </c>
      <c r="L1533">
        <v>15.3098066413379</v>
      </c>
      <c r="M1533">
        <v>15.9765735042816</v>
      </c>
      <c r="N1533">
        <v>15.186160074750999</v>
      </c>
      <c r="O1533">
        <v>15.539353211187001</v>
      </c>
      <c r="P1533">
        <v>0.23559191461892601</v>
      </c>
      <c r="Q1533">
        <v>-0.587382204819763</v>
      </c>
      <c r="R1533">
        <v>1.05856603405761</v>
      </c>
      <c r="S1533">
        <v>15.3540299928562</v>
      </c>
      <c r="T1533">
        <v>0.60168158104714697</v>
      </c>
      <c r="U1533">
        <v>-6.6952417857744502</v>
      </c>
      <c r="V1533">
        <v>0.55493298881744801</v>
      </c>
      <c r="W1533">
        <v>0.95555711976758795</v>
      </c>
      <c r="X1533">
        <v>0</v>
      </c>
      <c r="Y1533">
        <v>0</v>
      </c>
    </row>
    <row r="1534" spans="1:25" x14ac:dyDescent="0.2">
      <c r="A1534" t="s">
        <v>5744</v>
      </c>
      <c r="B1534" t="s">
        <v>5745</v>
      </c>
      <c r="C1534" t="s">
        <v>5746</v>
      </c>
      <c r="D1534" t="s">
        <v>5747</v>
      </c>
      <c r="E1534" t="s">
        <v>5745</v>
      </c>
      <c r="F1534" t="s">
        <v>28</v>
      </c>
      <c r="G1534" t="s">
        <v>5745</v>
      </c>
      <c r="H1534" t="str">
        <f>"elo-3"</f>
        <v>elo-3</v>
      </c>
      <c r="I1534" t="s">
        <v>5747</v>
      </c>
      <c r="J1534">
        <v>14.74854248199</v>
      </c>
      <c r="K1534">
        <v>15.0510377691306</v>
      </c>
      <c r="L1534">
        <v>15.186858919414</v>
      </c>
      <c r="M1534">
        <v>15.0724273414894</v>
      </c>
      <c r="N1534">
        <v>15.122628920668101</v>
      </c>
      <c r="O1534">
        <v>14.411688276729</v>
      </c>
      <c r="P1534">
        <v>-0.126564877216019</v>
      </c>
      <c r="Q1534">
        <v>-0.61675114504557804</v>
      </c>
      <c r="R1534">
        <v>0.36362139061353999</v>
      </c>
      <c r="S1534">
        <v>15.180311961025801</v>
      </c>
      <c r="T1534">
        <v>-0.55417120293501798</v>
      </c>
      <c r="U1534">
        <v>-6.7213751786461504</v>
      </c>
      <c r="V1534">
        <v>0.588270186429796</v>
      </c>
      <c r="W1534">
        <v>0.963273565916412</v>
      </c>
      <c r="X1534">
        <v>0</v>
      </c>
      <c r="Y1534">
        <v>0</v>
      </c>
    </row>
    <row r="1535" spans="1:25" x14ac:dyDescent="0.2">
      <c r="A1535" t="s">
        <v>5748</v>
      </c>
      <c r="B1535" t="s">
        <v>5749</v>
      </c>
      <c r="C1535" t="s">
        <v>5750</v>
      </c>
      <c r="D1535" t="s">
        <v>5751</v>
      </c>
      <c r="E1535" t="s">
        <v>5749</v>
      </c>
      <c r="F1535" t="s">
        <v>28</v>
      </c>
      <c r="G1535" t="s">
        <v>5749</v>
      </c>
      <c r="H1535" t="str">
        <f>"rps-12"</f>
        <v>rps-12</v>
      </c>
      <c r="I1535" t="s">
        <v>5751</v>
      </c>
      <c r="J1535">
        <v>14.984446231114401</v>
      </c>
      <c r="K1535">
        <v>14.54155879706</v>
      </c>
      <c r="L1535">
        <v>15.078970260043601</v>
      </c>
      <c r="M1535">
        <v>15.003053351499</v>
      </c>
      <c r="N1535">
        <v>14.261335776006</v>
      </c>
      <c r="O1535">
        <v>15.034203412843899</v>
      </c>
      <c r="P1535">
        <v>-0.102127582622975</v>
      </c>
      <c r="Q1535">
        <v>-0.71231539506572406</v>
      </c>
      <c r="R1535">
        <v>0.50806022981977395</v>
      </c>
      <c r="S1535">
        <v>14.9590266468101</v>
      </c>
      <c r="T1535">
        <v>-0.35178072232556401</v>
      </c>
      <c r="U1535">
        <v>-6.8180554363859702</v>
      </c>
      <c r="V1535">
        <v>0.72911105708555202</v>
      </c>
      <c r="W1535">
        <v>0.99057748145465696</v>
      </c>
      <c r="X1535">
        <v>0</v>
      </c>
      <c r="Y1535">
        <v>0</v>
      </c>
    </row>
    <row r="1536" spans="1:25" x14ac:dyDescent="0.2">
      <c r="A1536" t="s">
        <v>5752</v>
      </c>
      <c r="B1536" t="s">
        <v>5753</v>
      </c>
      <c r="C1536" t="s">
        <v>5754</v>
      </c>
      <c r="D1536" t="s">
        <v>5755</v>
      </c>
      <c r="E1536" t="s">
        <v>5753</v>
      </c>
      <c r="F1536" t="s">
        <v>28</v>
      </c>
      <c r="G1536" t="s">
        <v>5753</v>
      </c>
      <c r="H1536" t="str">
        <f>"rps-21"</f>
        <v>rps-21</v>
      </c>
      <c r="I1536" t="s">
        <v>5755</v>
      </c>
      <c r="J1536">
        <v>17.710208335565898</v>
      </c>
      <c r="K1536">
        <v>17.3886866306046</v>
      </c>
      <c r="L1536">
        <v>17.897845416359502</v>
      </c>
      <c r="M1536">
        <v>17.788745592337701</v>
      </c>
      <c r="N1536">
        <v>17.928983166364102</v>
      </c>
      <c r="O1536">
        <v>18.037987761414598</v>
      </c>
      <c r="P1536">
        <v>0.25299204586213597</v>
      </c>
      <c r="Q1536">
        <v>-0.22289696756414901</v>
      </c>
      <c r="R1536">
        <v>0.72888105928842195</v>
      </c>
      <c r="S1536">
        <v>17.757421173774599</v>
      </c>
      <c r="T1536">
        <v>1.1173614959854701</v>
      </c>
      <c r="U1536">
        <v>-6.2521265457970001</v>
      </c>
      <c r="V1536">
        <v>0.27861734196419502</v>
      </c>
      <c r="W1536">
        <v>0.856190392347986</v>
      </c>
      <c r="X1536">
        <v>0</v>
      </c>
      <c r="Y1536">
        <v>0</v>
      </c>
    </row>
    <row r="1537" spans="1:25" x14ac:dyDescent="0.2">
      <c r="A1537" t="s">
        <v>5756</v>
      </c>
      <c r="B1537" t="s">
        <v>5757</v>
      </c>
      <c r="C1537" t="s">
        <v>5758</v>
      </c>
      <c r="D1537" t="s">
        <v>5759</v>
      </c>
      <c r="E1537" t="s">
        <v>5757</v>
      </c>
      <c r="F1537" t="s">
        <v>28</v>
      </c>
      <c r="G1537" t="s">
        <v>5757</v>
      </c>
      <c r="H1537" t="str">
        <f>"mrps-18C"</f>
        <v>mrps-18C</v>
      </c>
      <c r="I1537" t="s">
        <v>5759</v>
      </c>
      <c r="J1537">
        <v>15.898310506899</v>
      </c>
      <c r="K1537">
        <v>16.0681921030876</v>
      </c>
      <c r="L1537">
        <v>15.9977593046896</v>
      </c>
      <c r="M1537">
        <v>15.707491265120099</v>
      </c>
      <c r="N1537">
        <v>15.6354164048494</v>
      </c>
      <c r="O1537">
        <v>15.712641415501601</v>
      </c>
      <c r="P1537">
        <v>-0.30290427640170497</v>
      </c>
      <c r="Q1537">
        <v>-0.74379882109238205</v>
      </c>
      <c r="R1537">
        <v>0.13799026828897201</v>
      </c>
      <c r="S1537">
        <v>16.022463423841099</v>
      </c>
      <c r="T1537">
        <v>-1.4439866984899099</v>
      </c>
      <c r="U1537">
        <v>-5.8525718034318999</v>
      </c>
      <c r="V1537">
        <v>0.166023034114677</v>
      </c>
      <c r="W1537">
        <v>0.76796940364641997</v>
      </c>
      <c r="X1537">
        <v>0</v>
      </c>
      <c r="Y1537">
        <v>0</v>
      </c>
    </row>
    <row r="1538" spans="1:25" x14ac:dyDescent="0.2">
      <c r="A1538" t="s">
        <v>5760</v>
      </c>
      <c r="B1538" t="s">
        <v>5761</v>
      </c>
      <c r="C1538" t="s">
        <v>5762</v>
      </c>
      <c r="D1538" t="s">
        <v>5763</v>
      </c>
      <c r="E1538" t="s">
        <v>5761</v>
      </c>
      <c r="F1538" t="s">
        <v>28</v>
      </c>
      <c r="G1538" t="s">
        <v>5761</v>
      </c>
      <c r="H1538" t="str">
        <f>"rpl-5"</f>
        <v>rpl-5</v>
      </c>
      <c r="I1538" t="s">
        <v>5763</v>
      </c>
      <c r="J1538">
        <v>20.4598629460144</v>
      </c>
      <c r="K1538">
        <v>20.805224989174999</v>
      </c>
      <c r="L1538">
        <v>20.903160912192199</v>
      </c>
      <c r="M1538">
        <v>20.544686291203501</v>
      </c>
      <c r="N1538">
        <v>19.9240676310698</v>
      </c>
      <c r="O1538">
        <v>20.701820108582702</v>
      </c>
      <c r="P1538">
        <v>-0.33255827217517397</v>
      </c>
      <c r="Q1538">
        <v>-0.81831861541815798</v>
      </c>
      <c r="R1538">
        <v>0.15320207106781</v>
      </c>
      <c r="S1538">
        <v>20.461093915146801</v>
      </c>
      <c r="T1538">
        <v>-1.4389251768409399</v>
      </c>
      <c r="U1538">
        <v>-5.8593947280917202</v>
      </c>
      <c r="V1538">
        <v>0.16743376546074101</v>
      </c>
      <c r="W1538">
        <v>0.76875593074037796</v>
      </c>
      <c r="X1538">
        <v>0</v>
      </c>
      <c r="Y1538">
        <v>0</v>
      </c>
    </row>
    <row r="1539" spans="1:25" x14ac:dyDescent="0.2">
      <c r="A1539" t="s">
        <v>5764</v>
      </c>
      <c r="B1539" t="s">
        <v>5765</v>
      </c>
      <c r="C1539" t="s">
        <v>5766</v>
      </c>
      <c r="D1539" t="s">
        <v>5767</v>
      </c>
      <c r="E1539" t="s">
        <v>5765</v>
      </c>
      <c r="F1539" t="s">
        <v>28</v>
      </c>
      <c r="G1539" t="s">
        <v>5765</v>
      </c>
      <c r="H1539" t="str">
        <f>"F08C6.2"</f>
        <v>F08C6.2</v>
      </c>
      <c r="I1539" t="s">
        <v>5767</v>
      </c>
      <c r="J1539">
        <v>11.416239243928899</v>
      </c>
      <c r="K1539" t="s">
        <v>29</v>
      </c>
      <c r="L1539">
        <v>11.988915813853399</v>
      </c>
      <c r="M1539">
        <v>11.8167053716914</v>
      </c>
      <c r="N1539">
        <v>12.039243088403</v>
      </c>
      <c r="O1539">
        <v>11.838821750474599</v>
      </c>
      <c r="P1539">
        <v>0.19567920796518301</v>
      </c>
      <c r="Q1539">
        <v>-0.48054762886842101</v>
      </c>
      <c r="R1539">
        <v>0.87190604479878697</v>
      </c>
      <c r="S1539">
        <v>12.1129369520708</v>
      </c>
      <c r="T1539">
        <v>0.61715447928637501</v>
      </c>
      <c r="U1539">
        <v>-6.5741460151651401</v>
      </c>
      <c r="V1539">
        <v>0.54645195076502096</v>
      </c>
      <c r="W1539">
        <v>0.95161319346692397</v>
      </c>
      <c r="X1539">
        <v>0</v>
      </c>
      <c r="Y1539">
        <v>0</v>
      </c>
    </row>
    <row r="1540" spans="1:25" x14ac:dyDescent="0.2">
      <c r="A1540" t="s">
        <v>5768</v>
      </c>
      <c r="B1540" t="s">
        <v>5769</v>
      </c>
      <c r="C1540" t="s">
        <v>5770</v>
      </c>
      <c r="D1540" t="s">
        <v>5771</v>
      </c>
      <c r="E1540" t="s">
        <v>5769</v>
      </c>
      <c r="F1540" t="s">
        <v>28</v>
      </c>
      <c r="G1540" t="s">
        <v>5769</v>
      </c>
      <c r="H1540" t="str">
        <f>"fem-2"</f>
        <v>fem-2</v>
      </c>
      <c r="I1540" t="s">
        <v>5771</v>
      </c>
      <c r="J1540" t="s">
        <v>29</v>
      </c>
      <c r="K1540" t="s">
        <v>29</v>
      </c>
      <c r="L1540" t="s">
        <v>29</v>
      </c>
      <c r="M1540" t="s">
        <v>29</v>
      </c>
      <c r="N1540" t="s">
        <v>29</v>
      </c>
      <c r="O1540" t="s">
        <v>29</v>
      </c>
      <c r="P1540" t="s">
        <v>29</v>
      </c>
      <c r="Q1540" t="s">
        <v>29</v>
      </c>
      <c r="R1540" t="s">
        <v>29</v>
      </c>
      <c r="S1540">
        <v>11.843247402132199</v>
      </c>
      <c r="T1540" t="s">
        <v>29</v>
      </c>
      <c r="U1540" t="s">
        <v>29</v>
      </c>
      <c r="V1540" t="s">
        <v>29</v>
      </c>
      <c r="W1540" t="s">
        <v>29</v>
      </c>
      <c r="X1540" t="s">
        <v>29</v>
      </c>
      <c r="Y1540" t="s">
        <v>29</v>
      </c>
    </row>
    <row r="1541" spans="1:25" x14ac:dyDescent="0.2">
      <c r="A1541" t="s">
        <v>5772</v>
      </c>
      <c r="B1541" t="s">
        <v>5773</v>
      </c>
      <c r="C1541" t="s">
        <v>5774</v>
      </c>
      <c r="D1541" t="s">
        <v>5775</v>
      </c>
      <c r="E1541" t="s">
        <v>5773</v>
      </c>
      <c r="F1541" t="s">
        <v>28</v>
      </c>
      <c r="G1541" t="s">
        <v>5773</v>
      </c>
      <c r="H1541" t="str">
        <f>"ppm-1.G"</f>
        <v>ppm-1.G</v>
      </c>
      <c r="I1541" t="s">
        <v>5775</v>
      </c>
      <c r="J1541">
        <v>11.554726040117</v>
      </c>
      <c r="K1541">
        <v>12.0251857427085</v>
      </c>
      <c r="L1541">
        <v>11.741966294790201</v>
      </c>
      <c r="M1541">
        <v>12.511120307193901</v>
      </c>
      <c r="N1541">
        <v>12.7418330988767</v>
      </c>
      <c r="O1541">
        <v>12.318944955992199</v>
      </c>
      <c r="P1541">
        <v>0.75000676148238199</v>
      </c>
      <c r="Q1541">
        <v>6.12962974281583E-2</v>
      </c>
      <c r="R1541">
        <v>1.4387172255366101</v>
      </c>
      <c r="S1541">
        <v>13.279457053923499</v>
      </c>
      <c r="T1541">
        <v>2.28886938506291</v>
      </c>
      <c r="U1541">
        <v>-4.4850420403085298</v>
      </c>
      <c r="V1541">
        <v>3.4469772414467303E-2</v>
      </c>
      <c r="W1541">
        <v>0.40392747392727801</v>
      </c>
      <c r="X1541">
        <v>0</v>
      </c>
      <c r="Y1541">
        <v>0</v>
      </c>
    </row>
    <row r="1542" spans="1:25" x14ac:dyDescent="0.2">
      <c r="A1542" t="s">
        <v>5776</v>
      </c>
      <c r="B1542" t="s">
        <v>5777</v>
      </c>
      <c r="C1542" t="s">
        <v>5778</v>
      </c>
      <c r="D1542" t="s">
        <v>5779</v>
      </c>
      <c r="E1542" t="s">
        <v>5777</v>
      </c>
      <c r="F1542" t="s">
        <v>28</v>
      </c>
      <c r="G1542" t="s">
        <v>5777</v>
      </c>
      <c r="H1542" t="str">
        <f>"ppm-2"</f>
        <v>ppm-2</v>
      </c>
      <c r="I1542" t="s">
        <v>5779</v>
      </c>
      <c r="J1542">
        <v>12.3838679814468</v>
      </c>
      <c r="K1542">
        <v>11.9523509593563</v>
      </c>
      <c r="L1542">
        <v>12.5078029546171</v>
      </c>
      <c r="M1542">
        <v>13.046435248120099</v>
      </c>
      <c r="N1542">
        <v>12.2823566289425</v>
      </c>
      <c r="O1542">
        <v>11.5912778051727</v>
      </c>
      <c r="P1542">
        <v>2.5349262271721101E-2</v>
      </c>
      <c r="Q1542">
        <v>-1.03782265951779</v>
      </c>
      <c r="R1542">
        <v>1.0885211840612301</v>
      </c>
      <c r="S1542">
        <v>12.230198308207299</v>
      </c>
      <c r="T1542">
        <v>5.1174513085951397E-2</v>
      </c>
      <c r="U1542">
        <v>-6.8811005254912203</v>
      </c>
      <c r="V1542">
        <v>0.95991485037966895</v>
      </c>
      <c r="W1542">
        <v>0.99968702248720698</v>
      </c>
      <c r="X1542">
        <v>0</v>
      </c>
      <c r="Y1542">
        <v>0</v>
      </c>
    </row>
    <row r="1543" spans="1:25" x14ac:dyDescent="0.2">
      <c r="A1543" t="s">
        <v>5780</v>
      </c>
      <c r="B1543" t="s">
        <v>5781</v>
      </c>
      <c r="C1543" t="s">
        <v>5782</v>
      </c>
      <c r="D1543" t="s">
        <v>5783</v>
      </c>
      <c r="E1543" t="s">
        <v>5781</v>
      </c>
      <c r="F1543" t="s">
        <v>28</v>
      </c>
      <c r="G1543" t="s">
        <v>5781</v>
      </c>
      <c r="H1543" t="str">
        <f>"egl-10"</f>
        <v>egl-10</v>
      </c>
      <c r="I1543" t="s">
        <v>5783</v>
      </c>
      <c r="J1543">
        <v>12.497029216299</v>
      </c>
      <c r="K1543">
        <v>12.172439662365999</v>
      </c>
      <c r="L1543">
        <v>11.667997275170899</v>
      </c>
      <c r="M1543">
        <v>12.153043957335401</v>
      </c>
      <c r="N1543">
        <v>12.656518834809001</v>
      </c>
      <c r="O1543" t="s">
        <v>29</v>
      </c>
      <c r="P1543">
        <v>0.29229267812691301</v>
      </c>
      <c r="Q1543">
        <v>-0.34144884420296201</v>
      </c>
      <c r="R1543">
        <v>0.92603420045678697</v>
      </c>
      <c r="S1543">
        <v>11.819062869153999</v>
      </c>
      <c r="T1543">
        <v>1.0058906846678199</v>
      </c>
      <c r="U1543">
        <v>-6.2528929947089003</v>
      </c>
      <c r="V1543">
        <v>0.33449238887193999</v>
      </c>
      <c r="W1543">
        <v>0.87368774661315896</v>
      </c>
      <c r="X1543">
        <v>0</v>
      </c>
      <c r="Y1543">
        <v>0</v>
      </c>
    </row>
    <row r="1544" spans="1:25" x14ac:dyDescent="0.2">
      <c r="A1544" t="s">
        <v>5784</v>
      </c>
      <c r="B1544" t="s">
        <v>5785</v>
      </c>
      <c r="C1544" t="s">
        <v>5786</v>
      </c>
      <c r="D1544" t="s">
        <v>5787</v>
      </c>
      <c r="E1544" t="s">
        <v>5785</v>
      </c>
      <c r="F1544" t="s">
        <v>28</v>
      </c>
      <c r="G1544" t="s">
        <v>5785</v>
      </c>
      <c r="H1544" t="str">
        <f>"phb-2"</f>
        <v>phb-2</v>
      </c>
      <c r="I1544" t="s">
        <v>5787</v>
      </c>
      <c r="J1544">
        <v>16.189167021868499</v>
      </c>
      <c r="K1544">
        <v>16.129370649979499</v>
      </c>
      <c r="L1544">
        <v>16.2565267877373</v>
      </c>
      <c r="M1544">
        <v>16.212361104012</v>
      </c>
      <c r="N1544">
        <v>16.1832564704346</v>
      </c>
      <c r="O1544">
        <v>16.125092005078901</v>
      </c>
      <c r="P1544">
        <v>-1.8118293353254E-2</v>
      </c>
      <c r="Q1544">
        <v>-0.383447624475379</v>
      </c>
      <c r="R1544">
        <v>0.34721103776887102</v>
      </c>
      <c r="S1544">
        <v>15.9179950257477</v>
      </c>
      <c r="T1544">
        <v>-0.104237805209416</v>
      </c>
      <c r="U1544">
        <v>-6.8768141011197397</v>
      </c>
      <c r="V1544">
        <v>0.91814002792732397</v>
      </c>
      <c r="W1544">
        <v>0.99833354317360001</v>
      </c>
      <c r="X1544">
        <v>0</v>
      </c>
      <c r="Y1544">
        <v>0</v>
      </c>
    </row>
    <row r="1545" spans="1:25" x14ac:dyDescent="0.2">
      <c r="A1545" t="s">
        <v>5788</v>
      </c>
      <c r="B1545" t="s">
        <v>5789</v>
      </c>
      <c r="C1545" t="s">
        <v>5790</v>
      </c>
      <c r="D1545" t="s">
        <v>5791</v>
      </c>
      <c r="E1545" t="s">
        <v>5789</v>
      </c>
      <c r="F1545" t="s">
        <v>28</v>
      </c>
      <c r="G1545" t="s">
        <v>5789</v>
      </c>
      <c r="H1545" t="str">
        <f>"hsp-60"</f>
        <v>hsp-60</v>
      </c>
      <c r="I1545" t="s">
        <v>5791</v>
      </c>
      <c r="J1545">
        <v>12.6218276506059</v>
      </c>
      <c r="K1545">
        <v>13.0095419002015</v>
      </c>
      <c r="L1545">
        <v>13.0960734241685</v>
      </c>
      <c r="M1545">
        <v>13.704526598939299</v>
      </c>
      <c r="N1545">
        <v>12.8044495389906</v>
      </c>
      <c r="O1545">
        <v>13.2049066565492</v>
      </c>
      <c r="P1545">
        <v>0.32881327316773201</v>
      </c>
      <c r="Q1545">
        <v>-0.38414401123514003</v>
      </c>
      <c r="R1545">
        <v>1.0417705575706</v>
      </c>
      <c r="S1545">
        <v>13.1824413550373</v>
      </c>
      <c r="T1545">
        <v>0.969344929367426</v>
      </c>
      <c r="U1545">
        <v>-6.4041185430010596</v>
      </c>
      <c r="V1545">
        <v>0.34529316464980597</v>
      </c>
      <c r="W1545">
        <v>0.87901395057154197</v>
      </c>
      <c r="X1545">
        <v>0</v>
      </c>
      <c r="Y1545">
        <v>0</v>
      </c>
    </row>
    <row r="1546" spans="1:25" x14ac:dyDescent="0.2">
      <c r="A1546" t="s">
        <v>5792</v>
      </c>
      <c r="B1546" t="s">
        <v>5793</v>
      </c>
      <c r="C1546" t="s">
        <v>5794</v>
      </c>
      <c r="D1546" t="s">
        <v>5795</v>
      </c>
      <c r="E1546" t="s">
        <v>5793</v>
      </c>
      <c r="F1546" t="s">
        <v>28</v>
      </c>
      <c r="G1546" t="s">
        <v>5796</v>
      </c>
      <c r="H1546" t="str">
        <f>"sams-3"</f>
        <v>sams-3</v>
      </c>
      <c r="I1546" t="s">
        <v>5797</v>
      </c>
      <c r="J1546">
        <v>16.2715180155609</v>
      </c>
      <c r="K1546">
        <v>15.428312070732</v>
      </c>
      <c r="L1546">
        <v>15.454598626364801</v>
      </c>
      <c r="M1546">
        <v>16.2829510490354</v>
      </c>
      <c r="N1546">
        <v>15.8803088706561</v>
      </c>
      <c r="O1546">
        <v>15.957000925125101</v>
      </c>
      <c r="P1546">
        <v>0.32194404405298199</v>
      </c>
      <c r="Q1546">
        <v>-0.239622714223305</v>
      </c>
      <c r="R1546">
        <v>0.88351080232926804</v>
      </c>
      <c r="S1546">
        <v>15.900059163850701</v>
      </c>
      <c r="T1546">
        <v>1.2049569091312999</v>
      </c>
      <c r="U1546">
        <v>-6.1533705509158896</v>
      </c>
      <c r="V1546">
        <v>0.24391376434248299</v>
      </c>
      <c r="W1546">
        <v>0.82513725030013996</v>
      </c>
      <c r="X1546">
        <v>0</v>
      </c>
      <c r="Y1546">
        <v>0</v>
      </c>
    </row>
    <row r="1547" spans="1:25" x14ac:dyDescent="0.2">
      <c r="A1547" t="s">
        <v>5798</v>
      </c>
      <c r="B1547" t="s">
        <v>5799</v>
      </c>
      <c r="C1547" t="s">
        <v>5800</v>
      </c>
      <c r="D1547" t="s">
        <v>5801</v>
      </c>
      <c r="E1547" t="s">
        <v>5799</v>
      </c>
      <c r="F1547" t="s">
        <v>28</v>
      </c>
      <c r="G1547" t="s">
        <v>5799</v>
      </c>
      <c r="H1547" t="str">
        <f>"mel-32"</f>
        <v>mel-32</v>
      </c>
      <c r="I1547" t="s">
        <v>5801</v>
      </c>
      <c r="J1547">
        <v>12.856247446339999</v>
      </c>
      <c r="K1547">
        <v>12.9346661067563</v>
      </c>
      <c r="L1547">
        <v>13.4490495730895</v>
      </c>
      <c r="M1547">
        <v>13.952896478701399</v>
      </c>
      <c r="N1547">
        <v>13.403199320902001</v>
      </c>
      <c r="O1547">
        <v>13.5431033470994</v>
      </c>
      <c r="P1547">
        <v>0.55307867350567197</v>
      </c>
      <c r="Q1547">
        <v>-7.9618983150461606E-2</v>
      </c>
      <c r="R1547">
        <v>1.1857763301618101</v>
      </c>
      <c r="S1547">
        <v>13.728575273435</v>
      </c>
      <c r="T1547">
        <v>1.83731321935356</v>
      </c>
      <c r="U1547">
        <v>-5.2682203356503798</v>
      </c>
      <c r="V1547">
        <v>8.2828171460446701E-2</v>
      </c>
      <c r="W1547">
        <v>0.60450033907975198</v>
      </c>
      <c r="X1547">
        <v>0</v>
      </c>
      <c r="Y1547">
        <v>0</v>
      </c>
    </row>
    <row r="1548" spans="1:25" x14ac:dyDescent="0.2">
      <c r="A1548" t="s">
        <v>5802</v>
      </c>
      <c r="B1548" t="s">
        <v>5803</v>
      </c>
      <c r="C1548" t="s">
        <v>5804</v>
      </c>
      <c r="D1548" t="s">
        <v>5805</v>
      </c>
      <c r="E1548" t="s">
        <v>5803</v>
      </c>
      <c r="F1548" t="s">
        <v>28</v>
      </c>
      <c r="G1548" t="s">
        <v>5803</v>
      </c>
      <c r="H1548" t="str">
        <f>"pelo-1"</f>
        <v>pelo-1</v>
      </c>
      <c r="I1548" t="s">
        <v>5805</v>
      </c>
      <c r="J1548">
        <v>12.872331652137101</v>
      </c>
      <c r="K1548">
        <v>13.376746227934101</v>
      </c>
      <c r="L1548" t="s">
        <v>29</v>
      </c>
      <c r="M1548">
        <v>13.110152498011701</v>
      </c>
      <c r="N1548">
        <v>13.669589130274799</v>
      </c>
      <c r="O1548">
        <v>13.2521811211034</v>
      </c>
      <c r="P1548">
        <v>0.219435309760973</v>
      </c>
      <c r="Q1548">
        <v>-0.37657442608777703</v>
      </c>
      <c r="R1548">
        <v>0.81544504560972297</v>
      </c>
      <c r="S1548">
        <v>13.306325290549699</v>
      </c>
      <c r="T1548">
        <v>0.78522616732999795</v>
      </c>
      <c r="U1548">
        <v>-6.4540715645706204</v>
      </c>
      <c r="V1548">
        <v>0.44463208807013399</v>
      </c>
      <c r="W1548">
        <v>0.92137956979913305</v>
      </c>
      <c r="X1548">
        <v>0</v>
      </c>
      <c r="Y1548">
        <v>0</v>
      </c>
    </row>
    <row r="1549" spans="1:25" x14ac:dyDescent="0.2">
      <c r="A1549" t="s">
        <v>5806</v>
      </c>
      <c r="B1549" t="s">
        <v>5807</v>
      </c>
      <c r="C1549" t="s">
        <v>5808</v>
      </c>
      <c r="D1549" t="s">
        <v>5809</v>
      </c>
      <c r="E1549" t="s">
        <v>5807</v>
      </c>
      <c r="F1549" t="s">
        <v>28</v>
      </c>
      <c r="G1549" t="s">
        <v>5807</v>
      </c>
      <c r="H1549" t="str">
        <f>"rpl-3"</f>
        <v>rpl-3</v>
      </c>
      <c r="I1549" t="s">
        <v>5809</v>
      </c>
      <c r="J1549">
        <v>20.554915314857201</v>
      </c>
      <c r="K1549">
        <v>20.556144608098901</v>
      </c>
      <c r="L1549">
        <v>20.6207925085338</v>
      </c>
      <c r="M1549">
        <v>20.6289167027149</v>
      </c>
      <c r="N1549">
        <v>20.457037094559201</v>
      </c>
      <c r="O1549">
        <v>20.415189661871199</v>
      </c>
      <c r="P1549">
        <v>-7.6902990781565705E-2</v>
      </c>
      <c r="Q1549">
        <v>-0.40562878229494198</v>
      </c>
      <c r="R1549">
        <v>0.25182280073181001</v>
      </c>
      <c r="S1549">
        <v>20.5931491729207</v>
      </c>
      <c r="T1549">
        <v>-0.491701987082166</v>
      </c>
      <c r="U1549">
        <v>-6.7570192233050701</v>
      </c>
      <c r="V1549">
        <v>0.62890695164992505</v>
      </c>
      <c r="W1549">
        <v>0.97279262440453396</v>
      </c>
      <c r="X1549">
        <v>0</v>
      </c>
      <c r="Y1549">
        <v>0</v>
      </c>
    </row>
    <row r="1550" spans="1:25" x14ac:dyDescent="0.2">
      <c r="A1550" t="s">
        <v>5810</v>
      </c>
      <c r="B1550" t="s">
        <v>5811</v>
      </c>
      <c r="C1550" t="s">
        <v>5812</v>
      </c>
      <c r="D1550" t="s">
        <v>5813</v>
      </c>
      <c r="E1550" t="s">
        <v>5811</v>
      </c>
      <c r="F1550" t="s">
        <v>28</v>
      </c>
      <c r="G1550" t="s">
        <v>5811</v>
      </c>
      <c r="H1550" t="str">
        <f>"rps-2"</f>
        <v>rps-2</v>
      </c>
      <c r="I1550" t="s">
        <v>5813</v>
      </c>
      <c r="J1550">
        <v>20.1784214477366</v>
      </c>
      <c r="K1550">
        <v>20.102653023024999</v>
      </c>
      <c r="L1550">
        <v>20.4159951657461</v>
      </c>
      <c r="M1550">
        <v>20.105893001163299</v>
      </c>
      <c r="N1550">
        <v>19.806491452563399</v>
      </c>
      <c r="O1550">
        <v>19.805456880820898</v>
      </c>
      <c r="P1550">
        <v>-0.32640943398668298</v>
      </c>
      <c r="Q1550">
        <v>-0.68014595910512898</v>
      </c>
      <c r="R1550">
        <v>2.7327091131762699E-2</v>
      </c>
      <c r="S1550">
        <v>20.205460000996499</v>
      </c>
      <c r="T1550">
        <v>-1.9394353635889101</v>
      </c>
      <c r="U1550">
        <v>-5.10054360682759</v>
      </c>
      <c r="V1550">
        <v>6.8379291197154801E-2</v>
      </c>
      <c r="W1550">
        <v>0.563282874020127</v>
      </c>
      <c r="X1550">
        <v>0</v>
      </c>
      <c r="Y1550">
        <v>0</v>
      </c>
    </row>
    <row r="1551" spans="1:25" x14ac:dyDescent="0.2">
      <c r="A1551" t="s">
        <v>5814</v>
      </c>
      <c r="B1551" t="s">
        <v>5815</v>
      </c>
      <c r="C1551" t="s">
        <v>5816</v>
      </c>
      <c r="D1551" t="s">
        <v>5817</v>
      </c>
      <c r="E1551" t="s">
        <v>5815</v>
      </c>
      <c r="F1551" t="s">
        <v>28</v>
      </c>
      <c r="G1551" t="s">
        <v>5815</v>
      </c>
      <c r="H1551" t="str">
        <f>"rps-13"</f>
        <v>rps-13</v>
      </c>
      <c r="I1551" t="s">
        <v>5817</v>
      </c>
      <c r="J1551">
        <v>14.9594783573082</v>
      </c>
      <c r="K1551">
        <v>15.1872903823729</v>
      </c>
      <c r="L1551">
        <v>15.3526874818689</v>
      </c>
      <c r="M1551">
        <v>15.804636362500901</v>
      </c>
      <c r="N1551">
        <v>14.738058389136199</v>
      </c>
      <c r="O1551">
        <v>15.102838429210699</v>
      </c>
      <c r="P1551">
        <v>4.8692319765908799E-2</v>
      </c>
      <c r="Q1551">
        <v>-0.67938997067465301</v>
      </c>
      <c r="R1551">
        <v>0.77677461020647098</v>
      </c>
      <c r="S1551">
        <v>15.3108962075689</v>
      </c>
      <c r="T1551">
        <v>0.140563483331757</v>
      </c>
      <c r="U1551">
        <v>-6.87217176152559</v>
      </c>
      <c r="V1551">
        <v>0.88978491985414099</v>
      </c>
      <c r="W1551">
        <v>0.99702926582654094</v>
      </c>
      <c r="X1551">
        <v>0</v>
      </c>
      <c r="Y1551">
        <v>0</v>
      </c>
    </row>
    <row r="1552" spans="1:25" x14ac:dyDescent="0.2">
      <c r="A1552" t="s">
        <v>5818</v>
      </c>
      <c r="B1552" t="s">
        <v>5819</v>
      </c>
      <c r="C1552" t="s">
        <v>5820</v>
      </c>
      <c r="D1552" t="s">
        <v>5821</v>
      </c>
      <c r="E1552" t="s">
        <v>5819</v>
      </c>
      <c r="F1552" t="s">
        <v>28</v>
      </c>
      <c r="G1552" t="s">
        <v>5819</v>
      </c>
      <c r="H1552" t="str">
        <f>"goa-1"</f>
        <v>goa-1</v>
      </c>
      <c r="I1552" t="s">
        <v>5821</v>
      </c>
      <c r="J1552">
        <v>18.2922753791057</v>
      </c>
      <c r="K1552">
        <v>18.245623430474101</v>
      </c>
      <c r="L1552">
        <v>17.5219797222476</v>
      </c>
      <c r="M1552">
        <v>17.693377283197801</v>
      </c>
      <c r="N1552">
        <v>17.300063914652299</v>
      </c>
      <c r="O1552">
        <v>17.9223252623657</v>
      </c>
      <c r="P1552">
        <v>-0.38137069053721001</v>
      </c>
      <c r="Q1552">
        <v>-0.96850970199667896</v>
      </c>
      <c r="R1552">
        <v>0.205768320922259</v>
      </c>
      <c r="S1552">
        <v>16.860028997422798</v>
      </c>
      <c r="T1552">
        <v>-1.3652082027230901</v>
      </c>
      <c r="U1552">
        <v>-5.9565952524405796</v>
      </c>
      <c r="V1552">
        <v>0.18910600517696199</v>
      </c>
      <c r="W1552">
        <v>0.78295732499061499</v>
      </c>
      <c r="X1552">
        <v>0</v>
      </c>
      <c r="Y1552">
        <v>0</v>
      </c>
    </row>
    <row r="1553" spans="1:25" x14ac:dyDescent="0.2">
      <c r="A1553" t="s">
        <v>5822</v>
      </c>
      <c r="B1553" t="s">
        <v>5823</v>
      </c>
      <c r="C1553" t="s">
        <v>5824</v>
      </c>
      <c r="D1553" t="s">
        <v>5825</v>
      </c>
      <c r="E1553" t="s">
        <v>5823</v>
      </c>
      <c r="F1553" t="s">
        <v>28</v>
      </c>
      <c r="G1553" t="s">
        <v>5823</v>
      </c>
      <c r="H1553" t="str">
        <f>"cyn-1"</f>
        <v>cyn-1</v>
      </c>
      <c r="I1553" t="s">
        <v>5825</v>
      </c>
      <c r="J1553">
        <v>11.9179254364195</v>
      </c>
      <c r="K1553">
        <v>11.508017937220499</v>
      </c>
      <c r="L1553">
        <v>11.362643847918999</v>
      </c>
      <c r="M1553">
        <v>11.2511280651616</v>
      </c>
      <c r="N1553">
        <v>11.678252919813501</v>
      </c>
      <c r="O1553">
        <v>10.8464285575897</v>
      </c>
      <c r="P1553">
        <v>-0.33759255966473301</v>
      </c>
      <c r="Q1553">
        <v>-1.0933638527474701</v>
      </c>
      <c r="R1553">
        <v>0.41817873341800399</v>
      </c>
      <c r="S1553">
        <v>11.5722826057204</v>
      </c>
      <c r="T1553">
        <v>-0.947440628700292</v>
      </c>
      <c r="U1553">
        <v>-6.4233315976867598</v>
      </c>
      <c r="V1553">
        <v>0.35759678544991702</v>
      </c>
      <c r="W1553">
        <v>0.88269106754885296</v>
      </c>
      <c r="X1553">
        <v>0</v>
      </c>
      <c r="Y1553">
        <v>0</v>
      </c>
    </row>
    <row r="1554" spans="1:25" x14ac:dyDescent="0.2">
      <c r="A1554" t="s">
        <v>5826</v>
      </c>
      <c r="B1554" t="s">
        <v>5827</v>
      </c>
      <c r="C1554" t="s">
        <v>5828</v>
      </c>
      <c r="D1554" t="s">
        <v>5829</v>
      </c>
      <c r="E1554" t="s">
        <v>5827</v>
      </c>
      <c r="F1554" t="s">
        <v>28</v>
      </c>
      <c r="G1554" t="s">
        <v>5827</v>
      </c>
      <c r="H1554" t="str">
        <f>"cyn-2"</f>
        <v>cyn-2</v>
      </c>
      <c r="I1554" t="s">
        <v>5829</v>
      </c>
      <c r="J1554">
        <v>13.035190657645201</v>
      </c>
      <c r="K1554" t="s">
        <v>29</v>
      </c>
      <c r="L1554">
        <v>13.7036335708436</v>
      </c>
      <c r="M1554" t="s">
        <v>29</v>
      </c>
      <c r="N1554" t="s">
        <v>29</v>
      </c>
      <c r="O1554">
        <v>11.739949991222201</v>
      </c>
      <c r="P1554">
        <v>-1.6294621230222499</v>
      </c>
      <c r="Q1554">
        <v>-2.5938603987794102</v>
      </c>
      <c r="R1554">
        <v>-0.66506384726509904</v>
      </c>
      <c r="S1554">
        <v>13.874572920157201</v>
      </c>
      <c r="T1554">
        <v>-3.72319290027992</v>
      </c>
      <c r="U1554">
        <v>-1.77246055527435</v>
      </c>
      <c r="V1554">
        <v>3.41774835069496E-3</v>
      </c>
      <c r="W1554">
        <v>8.0100468388118601E-2</v>
      </c>
      <c r="X1554">
        <v>-1</v>
      </c>
      <c r="Y1554">
        <v>0</v>
      </c>
    </row>
    <row r="1555" spans="1:25" x14ac:dyDescent="0.2">
      <c r="A1555" t="s">
        <v>5830</v>
      </c>
      <c r="B1555" t="s">
        <v>5831</v>
      </c>
      <c r="C1555" t="s">
        <v>5832</v>
      </c>
      <c r="D1555" t="s">
        <v>5833</v>
      </c>
      <c r="E1555" t="s">
        <v>5831</v>
      </c>
      <c r="F1555" t="s">
        <v>28</v>
      </c>
      <c r="G1555" t="s">
        <v>5831</v>
      </c>
      <c r="H1555" t="str">
        <f>"cyn-3"</f>
        <v>cyn-3</v>
      </c>
      <c r="I1555" t="s">
        <v>5833</v>
      </c>
      <c r="J1555">
        <v>14.121046520197901</v>
      </c>
      <c r="K1555">
        <v>14.2863120576346</v>
      </c>
      <c r="L1555">
        <v>13.957314108392399</v>
      </c>
      <c r="M1555">
        <v>13.918314376868</v>
      </c>
      <c r="N1555">
        <v>14.0802715130705</v>
      </c>
      <c r="O1555">
        <v>14.234244401759</v>
      </c>
      <c r="P1555">
        <v>-4.3947464842430499E-2</v>
      </c>
      <c r="Q1555">
        <v>-0.39117705023612498</v>
      </c>
      <c r="R1555">
        <v>0.30328212055126402</v>
      </c>
      <c r="S1555">
        <v>13.789105117765301</v>
      </c>
      <c r="T1555">
        <v>-0.26601713926475401</v>
      </c>
      <c r="U1555">
        <v>-6.8455885989966196</v>
      </c>
      <c r="V1555">
        <v>0.79326671963621698</v>
      </c>
      <c r="W1555">
        <v>0.99278624068726296</v>
      </c>
      <c r="X1555">
        <v>0</v>
      </c>
      <c r="Y1555">
        <v>0</v>
      </c>
    </row>
    <row r="1556" spans="1:25" x14ac:dyDescent="0.2">
      <c r="A1556" t="s">
        <v>5834</v>
      </c>
      <c r="B1556" t="s">
        <v>5835</v>
      </c>
      <c r="C1556" t="s">
        <v>5836</v>
      </c>
      <c r="D1556" t="s">
        <v>5837</v>
      </c>
      <c r="E1556" t="s">
        <v>5835</v>
      </c>
      <c r="F1556" t="s">
        <v>28</v>
      </c>
      <c r="G1556" t="s">
        <v>5835</v>
      </c>
      <c r="H1556" t="str">
        <f>"cyn-4"</f>
        <v>cyn-4</v>
      </c>
      <c r="I1556" t="s">
        <v>5837</v>
      </c>
      <c r="J1556">
        <v>11.8886348080805</v>
      </c>
      <c r="K1556">
        <v>12.3903203849499</v>
      </c>
      <c r="L1556">
        <v>11.9712895119234</v>
      </c>
      <c r="M1556">
        <v>11.9700801455477</v>
      </c>
      <c r="N1556">
        <v>12.159195689907399</v>
      </c>
      <c r="O1556">
        <v>12.189473976181599</v>
      </c>
      <c r="P1556">
        <v>2.28350355609859E-2</v>
      </c>
      <c r="Q1556">
        <v>-0.53544482048137099</v>
      </c>
      <c r="R1556">
        <v>0.58111489160334295</v>
      </c>
      <c r="S1556">
        <v>12.833299646165701</v>
      </c>
      <c r="T1556">
        <v>8.6337555379095904E-2</v>
      </c>
      <c r="U1556">
        <v>-6.8785834527832597</v>
      </c>
      <c r="V1556">
        <v>0.93221305143395905</v>
      </c>
      <c r="W1556">
        <v>0.99926809132575301</v>
      </c>
      <c r="X1556">
        <v>0</v>
      </c>
      <c r="Y1556">
        <v>0</v>
      </c>
    </row>
    <row r="1557" spans="1:25" x14ac:dyDescent="0.2">
      <c r="A1557" t="s">
        <v>5838</v>
      </c>
      <c r="B1557" t="s">
        <v>5839</v>
      </c>
      <c r="C1557" t="s">
        <v>5840</v>
      </c>
      <c r="D1557" t="s">
        <v>5841</v>
      </c>
      <c r="E1557" t="s">
        <v>5839</v>
      </c>
      <c r="F1557" t="s">
        <v>28</v>
      </c>
      <c r="G1557" t="s">
        <v>5839</v>
      </c>
      <c r="H1557" t="str">
        <f>"cyn-5"</f>
        <v>cyn-5</v>
      </c>
      <c r="I1557" t="s">
        <v>5841</v>
      </c>
      <c r="J1557">
        <v>15.5940342250968</v>
      </c>
      <c r="K1557">
        <v>15.373365399540299</v>
      </c>
      <c r="L1557">
        <v>15.4550501257878</v>
      </c>
      <c r="M1557">
        <v>15.8439365556063</v>
      </c>
      <c r="N1557">
        <v>15.335606341916399</v>
      </c>
      <c r="O1557">
        <v>15.809032806839801</v>
      </c>
      <c r="P1557">
        <v>0.188708651312503</v>
      </c>
      <c r="Q1557">
        <v>-0.31305050478157798</v>
      </c>
      <c r="R1557">
        <v>0.69046780740658398</v>
      </c>
      <c r="S1557">
        <v>15.0658755624086</v>
      </c>
      <c r="T1557">
        <v>0.79047659888409105</v>
      </c>
      <c r="U1557">
        <v>-6.5616330600081803</v>
      </c>
      <c r="V1557">
        <v>0.43960017641920801</v>
      </c>
      <c r="W1557">
        <v>0.91896318286628498</v>
      </c>
      <c r="X1557">
        <v>0</v>
      </c>
      <c r="Y1557">
        <v>0</v>
      </c>
    </row>
    <row r="1558" spans="1:25" x14ac:dyDescent="0.2">
      <c r="A1558" t="s">
        <v>5842</v>
      </c>
      <c r="B1558" t="s">
        <v>5843</v>
      </c>
      <c r="C1558" t="s">
        <v>5844</v>
      </c>
      <c r="D1558" t="s">
        <v>5845</v>
      </c>
      <c r="E1558" t="s">
        <v>5843</v>
      </c>
      <c r="F1558" t="s">
        <v>28</v>
      </c>
      <c r="G1558" t="s">
        <v>5843</v>
      </c>
      <c r="H1558" t="str">
        <f>"cyn-7"</f>
        <v>cyn-7</v>
      </c>
      <c r="I1558" t="s">
        <v>5845</v>
      </c>
      <c r="J1558">
        <v>13.6399806587126</v>
      </c>
      <c r="K1558">
        <v>13.519830910845</v>
      </c>
      <c r="L1558">
        <v>13.7387665098335</v>
      </c>
      <c r="M1558">
        <v>14.546338803715701</v>
      </c>
      <c r="N1558">
        <v>14.2847986796646</v>
      </c>
      <c r="O1558">
        <v>14.209233086521801</v>
      </c>
      <c r="P1558">
        <v>0.71393083017032799</v>
      </c>
      <c r="Q1558">
        <v>3.1789442997747601E-2</v>
      </c>
      <c r="R1558">
        <v>1.3960722173429101</v>
      </c>
      <c r="S1558">
        <v>13.980678551176601</v>
      </c>
      <c r="T1558">
        <v>2.19975467789651</v>
      </c>
      <c r="U1558">
        <v>-4.6476543382792004</v>
      </c>
      <c r="V1558">
        <v>4.1209912262401199E-2</v>
      </c>
      <c r="W1558">
        <v>0.439572397465613</v>
      </c>
      <c r="X1558">
        <v>0</v>
      </c>
      <c r="Y1558">
        <v>0</v>
      </c>
    </row>
    <row r="1559" spans="1:25" x14ac:dyDescent="0.2">
      <c r="A1559" t="s">
        <v>5846</v>
      </c>
      <c r="B1559" t="s">
        <v>5847</v>
      </c>
      <c r="C1559" t="s">
        <v>5848</v>
      </c>
      <c r="D1559" t="s">
        <v>5849</v>
      </c>
      <c r="E1559" t="s">
        <v>5847</v>
      </c>
      <c r="F1559" t="s">
        <v>28</v>
      </c>
      <c r="G1559" t="s">
        <v>5847</v>
      </c>
      <c r="H1559" t="str">
        <f>"cyn-8"</f>
        <v>cyn-8</v>
      </c>
      <c r="I1559" t="s">
        <v>5849</v>
      </c>
      <c r="J1559">
        <v>13.048270451261599</v>
      </c>
      <c r="K1559">
        <v>13.651011400873299</v>
      </c>
      <c r="L1559">
        <v>13.588387788816901</v>
      </c>
      <c r="M1559">
        <v>12.871173103969801</v>
      </c>
      <c r="N1559">
        <v>13.2114178039427</v>
      </c>
      <c r="O1559">
        <v>13.2690344990094</v>
      </c>
      <c r="P1559">
        <v>-0.312014744676617</v>
      </c>
      <c r="Q1559">
        <v>-0.85861482799865096</v>
      </c>
      <c r="R1559">
        <v>0.234585338645417</v>
      </c>
      <c r="S1559">
        <v>13.7617695809443</v>
      </c>
      <c r="T1559">
        <v>-1.1997698314033001</v>
      </c>
      <c r="U1559">
        <v>-6.1593957539464999</v>
      </c>
      <c r="V1559">
        <v>0.24587279172888901</v>
      </c>
      <c r="W1559">
        <v>0.82858578367372204</v>
      </c>
      <c r="X1559">
        <v>0</v>
      </c>
      <c r="Y1559">
        <v>0</v>
      </c>
    </row>
    <row r="1560" spans="1:25" x14ac:dyDescent="0.2">
      <c r="A1560" t="s">
        <v>5850</v>
      </c>
      <c r="B1560" t="s">
        <v>5851</v>
      </c>
      <c r="C1560" t="s">
        <v>5852</v>
      </c>
      <c r="D1560" t="s">
        <v>5853</v>
      </c>
      <c r="E1560" t="s">
        <v>5851</v>
      </c>
      <c r="F1560" t="s">
        <v>28</v>
      </c>
      <c r="G1560" t="s">
        <v>5851</v>
      </c>
      <c r="H1560" t="str">
        <f>"sel-12"</f>
        <v>sel-12</v>
      </c>
      <c r="I1560" t="s">
        <v>5853</v>
      </c>
      <c r="J1560">
        <v>13.886346413030701</v>
      </c>
      <c r="K1560">
        <v>14.1531601747647</v>
      </c>
      <c r="L1560">
        <v>13.710833905649899</v>
      </c>
      <c r="M1560">
        <v>14.0029819170897</v>
      </c>
      <c r="N1560">
        <v>14.059642387134099</v>
      </c>
      <c r="O1560">
        <v>14.2360518641937</v>
      </c>
      <c r="P1560">
        <v>0.18277855832408599</v>
      </c>
      <c r="Q1560">
        <v>-0.243558271538761</v>
      </c>
      <c r="R1560">
        <v>0.609115388186934</v>
      </c>
      <c r="S1560">
        <v>13.993624679521099</v>
      </c>
      <c r="T1560">
        <v>0.90494546727444602</v>
      </c>
      <c r="U1560">
        <v>-6.4634438503698401</v>
      </c>
      <c r="V1560">
        <v>0.37821841113008298</v>
      </c>
      <c r="W1560">
        <v>0.89651771527130897</v>
      </c>
      <c r="X1560">
        <v>0</v>
      </c>
      <c r="Y1560">
        <v>0</v>
      </c>
    </row>
    <row r="1561" spans="1:25" x14ac:dyDescent="0.2">
      <c r="A1561" t="s">
        <v>5854</v>
      </c>
      <c r="B1561" t="s">
        <v>5855</v>
      </c>
      <c r="C1561" t="s">
        <v>5856</v>
      </c>
      <c r="D1561" t="s">
        <v>5857</v>
      </c>
      <c r="E1561" t="s">
        <v>5855</v>
      </c>
      <c r="F1561" t="s">
        <v>28</v>
      </c>
      <c r="G1561" t="s">
        <v>5855</v>
      </c>
      <c r="H1561" t="str">
        <f>"tba-8"</f>
        <v>tba-8</v>
      </c>
      <c r="I1561" t="s">
        <v>5857</v>
      </c>
      <c r="J1561" t="s">
        <v>29</v>
      </c>
      <c r="K1561" t="s">
        <v>29</v>
      </c>
      <c r="L1561" t="s">
        <v>29</v>
      </c>
      <c r="M1561" t="s">
        <v>29</v>
      </c>
      <c r="N1561">
        <v>11.890350522414399</v>
      </c>
      <c r="O1561">
        <v>12.8028988072292</v>
      </c>
      <c r="P1561" t="s">
        <v>29</v>
      </c>
      <c r="Q1561" t="s">
        <v>29</v>
      </c>
      <c r="R1561" t="s">
        <v>29</v>
      </c>
      <c r="S1561">
        <v>12.5020221092066</v>
      </c>
      <c r="T1561" t="s">
        <v>29</v>
      </c>
      <c r="U1561" t="s">
        <v>29</v>
      </c>
      <c r="V1561" t="s">
        <v>29</v>
      </c>
      <c r="W1561" t="s">
        <v>29</v>
      </c>
      <c r="X1561" t="s">
        <v>29</v>
      </c>
      <c r="Y1561" t="s">
        <v>29</v>
      </c>
    </row>
    <row r="1562" spans="1:25" x14ac:dyDescent="0.2">
      <c r="A1562" t="s">
        <v>5858</v>
      </c>
      <c r="B1562" t="s">
        <v>5859</v>
      </c>
      <c r="C1562" t="s">
        <v>5860</v>
      </c>
      <c r="D1562" t="s">
        <v>5861</v>
      </c>
      <c r="E1562" t="s">
        <v>5859</v>
      </c>
      <c r="F1562" t="s">
        <v>28</v>
      </c>
      <c r="G1562" t="s">
        <v>5859</v>
      </c>
      <c r="H1562" t="str">
        <f>"tbb-2"</f>
        <v>tbb-2</v>
      </c>
      <c r="I1562" t="s">
        <v>5861</v>
      </c>
      <c r="J1562">
        <v>19.759557722333199</v>
      </c>
      <c r="K1562">
        <v>19.7862827264216</v>
      </c>
      <c r="L1562">
        <v>19.698993460095402</v>
      </c>
      <c r="M1562">
        <v>19.579286480957599</v>
      </c>
      <c r="N1562">
        <v>19.725122936943698</v>
      </c>
      <c r="O1562">
        <v>19.840054087991401</v>
      </c>
      <c r="P1562">
        <v>-3.3456800985849397E-2</v>
      </c>
      <c r="Q1562">
        <v>-0.37081676953488701</v>
      </c>
      <c r="R1562">
        <v>0.30390316756318803</v>
      </c>
      <c r="S1562">
        <v>19.528006125351698</v>
      </c>
      <c r="T1562">
        <v>-0.20844111067382101</v>
      </c>
      <c r="U1562">
        <v>-6.8598160317203902</v>
      </c>
      <c r="V1562">
        <v>0.83723864516290203</v>
      </c>
      <c r="W1562">
        <v>0.99370971747667503</v>
      </c>
      <c r="X1562">
        <v>0</v>
      </c>
      <c r="Y1562">
        <v>0</v>
      </c>
    </row>
    <row r="1563" spans="1:25" x14ac:dyDescent="0.2">
      <c r="A1563" t="s">
        <v>5862</v>
      </c>
      <c r="B1563" t="s">
        <v>5863</v>
      </c>
      <c r="C1563" t="s">
        <v>5864</v>
      </c>
      <c r="D1563" t="s">
        <v>5865</v>
      </c>
      <c r="E1563" t="s">
        <v>5863</v>
      </c>
      <c r="F1563" t="s">
        <v>28</v>
      </c>
      <c r="G1563" t="s">
        <v>5863</v>
      </c>
      <c r="H1563" t="str">
        <f>"T24H10.1"</f>
        <v>T24H10.1</v>
      </c>
      <c r="I1563" t="s">
        <v>5865</v>
      </c>
      <c r="J1563">
        <v>13.8819634992181</v>
      </c>
      <c r="K1563">
        <v>13.296928345672899</v>
      </c>
      <c r="L1563">
        <v>13.5117903006944</v>
      </c>
      <c r="M1563">
        <v>13.2707467554195</v>
      </c>
      <c r="N1563">
        <v>13.64037629992</v>
      </c>
      <c r="O1563">
        <v>13.1912439193891</v>
      </c>
      <c r="P1563">
        <v>-0.19610505695224101</v>
      </c>
      <c r="Q1563">
        <v>-1.19272494337582</v>
      </c>
      <c r="R1563">
        <v>0.80051482947133801</v>
      </c>
      <c r="S1563">
        <v>13.644336112341</v>
      </c>
      <c r="T1563">
        <v>-0.41966316341034299</v>
      </c>
      <c r="U1563">
        <v>-6.7900389470745504</v>
      </c>
      <c r="V1563">
        <v>0.68072184004321701</v>
      </c>
      <c r="W1563">
        <v>0.98642420921484297</v>
      </c>
      <c r="X1563">
        <v>0</v>
      </c>
      <c r="Y1563">
        <v>0</v>
      </c>
    </row>
    <row r="1564" spans="1:25" x14ac:dyDescent="0.2">
      <c r="A1564" t="s">
        <v>5866</v>
      </c>
      <c r="B1564" t="s">
        <v>5867</v>
      </c>
      <c r="C1564" t="s">
        <v>5868</v>
      </c>
      <c r="D1564" t="s">
        <v>5869</v>
      </c>
      <c r="E1564" t="s">
        <v>5867</v>
      </c>
      <c r="F1564" t="s">
        <v>28</v>
      </c>
      <c r="G1564" t="s">
        <v>5867</v>
      </c>
      <c r="H1564" t="str">
        <f>"tars-1"</f>
        <v>tars-1</v>
      </c>
      <c r="I1564" t="s">
        <v>5869</v>
      </c>
      <c r="J1564">
        <v>13.781736238840301</v>
      </c>
      <c r="K1564">
        <v>13.6980508271159</v>
      </c>
      <c r="L1564">
        <v>13.9270113639457</v>
      </c>
      <c r="M1564">
        <v>13.9447427722718</v>
      </c>
      <c r="N1564">
        <v>13.890630938119999</v>
      </c>
      <c r="O1564">
        <v>13.5786659620961</v>
      </c>
      <c r="P1564">
        <v>2.4137475286813998E-3</v>
      </c>
      <c r="Q1564">
        <v>-0.39693770047313598</v>
      </c>
      <c r="R1564">
        <v>0.401765195530499</v>
      </c>
      <c r="S1564">
        <v>13.7932727818669</v>
      </c>
      <c r="T1564">
        <v>1.27036667279602E-2</v>
      </c>
      <c r="U1564">
        <v>-6.8824052524114103</v>
      </c>
      <c r="V1564">
        <v>0.99000477148722399</v>
      </c>
      <c r="W1564">
        <v>0.99968702248720698</v>
      </c>
      <c r="X1564">
        <v>0</v>
      </c>
      <c r="Y1564">
        <v>0</v>
      </c>
    </row>
    <row r="1565" spans="1:25" x14ac:dyDescent="0.2">
      <c r="A1565" t="s">
        <v>5870</v>
      </c>
      <c r="B1565" t="s">
        <v>5871</v>
      </c>
      <c r="C1565" t="s">
        <v>5872</v>
      </c>
      <c r="D1565" t="s">
        <v>5873</v>
      </c>
      <c r="E1565" t="s">
        <v>5871</v>
      </c>
      <c r="F1565" t="s">
        <v>28</v>
      </c>
      <c r="G1565" t="s">
        <v>5871</v>
      </c>
      <c r="H1565" t="str">
        <f>"alh-8"</f>
        <v>alh-8</v>
      </c>
      <c r="I1565" t="s">
        <v>5873</v>
      </c>
      <c r="J1565">
        <v>15.937674774788301</v>
      </c>
      <c r="K1565">
        <v>15.7861137654331</v>
      </c>
      <c r="L1565">
        <v>16.212431733868399</v>
      </c>
      <c r="M1565">
        <v>16.269788071052702</v>
      </c>
      <c r="N1565">
        <v>16.494335495408698</v>
      </c>
      <c r="O1565">
        <v>16.1700565036919</v>
      </c>
      <c r="P1565">
        <v>0.332653265354521</v>
      </c>
      <c r="Q1565">
        <v>-0.10084415060935201</v>
      </c>
      <c r="R1565">
        <v>0.76615068131839403</v>
      </c>
      <c r="S1565">
        <v>16.081683009902999</v>
      </c>
      <c r="T1565">
        <v>1.6128641584411301</v>
      </c>
      <c r="U1565">
        <v>-5.61437915351316</v>
      </c>
      <c r="V1565">
        <v>0.124269439272892</v>
      </c>
      <c r="W1565">
        <v>0.71428099119203003</v>
      </c>
      <c r="X1565">
        <v>0</v>
      </c>
      <c r="Y1565">
        <v>0</v>
      </c>
    </row>
    <row r="1566" spans="1:25" x14ac:dyDescent="0.2">
      <c r="A1566" t="s">
        <v>5874</v>
      </c>
      <c r="B1566" t="s">
        <v>5875</v>
      </c>
      <c r="C1566" t="s">
        <v>5876</v>
      </c>
      <c r="D1566" t="s">
        <v>5877</v>
      </c>
      <c r="E1566" t="s">
        <v>5875</v>
      </c>
      <c r="F1566" t="s">
        <v>28</v>
      </c>
      <c r="G1566" t="s">
        <v>5875</v>
      </c>
      <c r="H1566" t="str">
        <f>"ctsa-1.1"</f>
        <v>ctsa-1.1</v>
      </c>
      <c r="I1566" t="s">
        <v>5877</v>
      </c>
      <c r="J1566">
        <v>14.2249857682892</v>
      </c>
      <c r="K1566">
        <v>13.938957830988301</v>
      </c>
      <c r="L1566">
        <v>14.0369171870403</v>
      </c>
      <c r="M1566">
        <v>14.0271897383134</v>
      </c>
      <c r="N1566">
        <v>13.187923293922299</v>
      </c>
      <c r="O1566">
        <v>14.1692329502603</v>
      </c>
      <c r="P1566">
        <v>-0.27217160127396101</v>
      </c>
      <c r="Q1566">
        <v>-0.93022886269663996</v>
      </c>
      <c r="R1566">
        <v>0.385885660148719</v>
      </c>
      <c r="S1566">
        <v>13.9678970155186</v>
      </c>
      <c r="T1566">
        <v>-0.869303915525798</v>
      </c>
      <c r="U1566">
        <v>-6.4958363538877002</v>
      </c>
      <c r="V1566">
        <v>0.39619121255499001</v>
      </c>
      <c r="W1566">
        <v>0.90975406915825197</v>
      </c>
      <c r="X1566">
        <v>0</v>
      </c>
      <c r="Y1566">
        <v>0</v>
      </c>
    </row>
    <row r="1567" spans="1:25" x14ac:dyDescent="0.2">
      <c r="A1567" t="s">
        <v>5878</v>
      </c>
      <c r="B1567" t="s">
        <v>5879</v>
      </c>
      <c r="C1567" t="s">
        <v>5880</v>
      </c>
      <c r="D1567" t="s">
        <v>5881</v>
      </c>
      <c r="E1567" t="s">
        <v>5879</v>
      </c>
      <c r="F1567" t="s">
        <v>28</v>
      </c>
      <c r="G1567" t="s">
        <v>5879</v>
      </c>
      <c r="H1567" t="str">
        <f>"rpl-39"</f>
        <v>rpl-39</v>
      </c>
      <c r="I1567" t="s">
        <v>5881</v>
      </c>
      <c r="J1567">
        <v>21.0881654064038</v>
      </c>
      <c r="K1567">
        <v>20.811589421604001</v>
      </c>
      <c r="L1567">
        <v>20.698153370718799</v>
      </c>
      <c r="M1567">
        <v>20.7699107260555</v>
      </c>
      <c r="N1567">
        <v>20.8727950296865</v>
      </c>
      <c r="O1567">
        <v>20.825614147864101</v>
      </c>
      <c r="P1567">
        <v>-4.3196098373513798E-2</v>
      </c>
      <c r="Q1567">
        <v>-1.1683969707686199</v>
      </c>
      <c r="R1567">
        <v>1.0820047740215999</v>
      </c>
      <c r="S1567">
        <v>19.996959807090001</v>
      </c>
      <c r="T1567">
        <v>-8.0687632817439903E-2</v>
      </c>
      <c r="U1567">
        <v>-6.8790884784542099</v>
      </c>
      <c r="V1567">
        <v>0.93658592715232802</v>
      </c>
      <c r="W1567">
        <v>0.99926809132575301</v>
      </c>
      <c r="X1567">
        <v>0</v>
      </c>
      <c r="Y1567">
        <v>0</v>
      </c>
    </row>
    <row r="1568" spans="1:25" x14ac:dyDescent="0.2">
      <c r="A1568" t="s">
        <v>5882</v>
      </c>
      <c r="B1568" t="s">
        <v>5883</v>
      </c>
      <c r="C1568" t="s">
        <v>5884</v>
      </c>
      <c r="D1568" t="s">
        <v>5885</v>
      </c>
      <c r="E1568" t="s">
        <v>5883</v>
      </c>
      <c r="F1568" t="s">
        <v>28</v>
      </c>
      <c r="G1568" t="s">
        <v>5883</v>
      </c>
      <c r="H1568" t="str">
        <f>"rpl-22"</f>
        <v>rpl-22</v>
      </c>
      <c r="I1568" t="s">
        <v>5885</v>
      </c>
      <c r="J1568">
        <v>21.652938987634698</v>
      </c>
      <c r="K1568">
        <v>21.5080073357956</v>
      </c>
      <c r="L1568">
        <v>21.603546180955199</v>
      </c>
      <c r="M1568">
        <v>21.669146235897799</v>
      </c>
      <c r="N1568">
        <v>21.303495426221701</v>
      </c>
      <c r="O1568">
        <v>21.461417591457099</v>
      </c>
      <c r="P1568">
        <v>-0.110144416936325</v>
      </c>
      <c r="Q1568">
        <v>-0.50184462884519698</v>
      </c>
      <c r="R1568">
        <v>0.28155579497254601</v>
      </c>
      <c r="S1568">
        <v>21.3547623997786</v>
      </c>
      <c r="T1568">
        <v>-0.59101866274793702</v>
      </c>
      <c r="U1568">
        <v>-6.7017559137957701</v>
      </c>
      <c r="V1568">
        <v>0.56189941749005901</v>
      </c>
      <c r="W1568">
        <v>0.95650569706421396</v>
      </c>
      <c r="X1568">
        <v>0</v>
      </c>
      <c r="Y1568">
        <v>0</v>
      </c>
    </row>
    <row r="1569" spans="1:25" x14ac:dyDescent="0.2">
      <c r="A1569" t="s">
        <v>5886</v>
      </c>
      <c r="B1569" t="s">
        <v>5887</v>
      </c>
      <c r="C1569" t="s">
        <v>5888</v>
      </c>
      <c r="D1569" t="s">
        <v>5889</v>
      </c>
      <c r="E1569" t="s">
        <v>5887</v>
      </c>
      <c r="F1569" t="s">
        <v>28</v>
      </c>
      <c r="G1569" t="s">
        <v>5887</v>
      </c>
      <c r="H1569" t="str">
        <f>"rps-25"</f>
        <v>rps-25</v>
      </c>
      <c r="I1569" t="s">
        <v>5889</v>
      </c>
      <c r="J1569">
        <v>16.519532153491301</v>
      </c>
      <c r="K1569">
        <v>16.510775570846999</v>
      </c>
      <c r="L1569">
        <v>16.650663654602202</v>
      </c>
      <c r="M1569">
        <v>16.8986632616413</v>
      </c>
      <c r="N1569">
        <v>16.166346068868201</v>
      </c>
      <c r="O1569">
        <v>16.3353660007838</v>
      </c>
      <c r="P1569">
        <v>-9.3532015882395597E-2</v>
      </c>
      <c r="Q1569">
        <v>-0.74923520062406301</v>
      </c>
      <c r="R1569">
        <v>0.56217116885927099</v>
      </c>
      <c r="S1569">
        <v>16.512395664175202</v>
      </c>
      <c r="T1569">
        <v>-0.29980958610104302</v>
      </c>
      <c r="U1569">
        <v>-6.8356431881253696</v>
      </c>
      <c r="V1569">
        <v>0.767776996043952</v>
      </c>
      <c r="W1569">
        <v>0.99278624068726296</v>
      </c>
      <c r="X1569">
        <v>0</v>
      </c>
      <c r="Y1569">
        <v>0</v>
      </c>
    </row>
    <row r="1570" spans="1:25" x14ac:dyDescent="0.2">
      <c r="A1570" t="s">
        <v>5890</v>
      </c>
      <c r="B1570" t="s">
        <v>5891</v>
      </c>
      <c r="C1570" t="s">
        <v>5892</v>
      </c>
      <c r="D1570" t="s">
        <v>5893</v>
      </c>
      <c r="E1570" t="s">
        <v>5891</v>
      </c>
      <c r="F1570" t="s">
        <v>28</v>
      </c>
      <c r="G1570" t="s">
        <v>5891</v>
      </c>
      <c r="H1570" t="str">
        <f>"dad-1"</f>
        <v>dad-1</v>
      </c>
      <c r="I1570" t="s">
        <v>5893</v>
      </c>
      <c r="J1570">
        <v>16.269517904333899</v>
      </c>
      <c r="K1570">
        <v>16.294337282233499</v>
      </c>
      <c r="L1570">
        <v>16.301153888692699</v>
      </c>
      <c r="M1570">
        <v>15.916100596927601</v>
      </c>
      <c r="N1570">
        <v>15.9400722230317</v>
      </c>
      <c r="O1570">
        <v>16.273381346749002</v>
      </c>
      <c r="P1570">
        <v>-0.24515163618390201</v>
      </c>
      <c r="Q1570">
        <v>-0.68923243161459302</v>
      </c>
      <c r="R1570">
        <v>0.198929159246789</v>
      </c>
      <c r="S1570">
        <v>16.2790490105406</v>
      </c>
      <c r="T1570">
        <v>-1.16028670796097</v>
      </c>
      <c r="U1570">
        <v>-6.2045313332038399</v>
      </c>
      <c r="V1570">
        <v>0.261178271502503</v>
      </c>
      <c r="W1570">
        <v>0.84224930965148304</v>
      </c>
      <c r="X1570">
        <v>0</v>
      </c>
      <c r="Y1570">
        <v>0</v>
      </c>
    </row>
    <row r="1571" spans="1:25" x14ac:dyDescent="0.2">
      <c r="A1571" t="s">
        <v>5894</v>
      </c>
      <c r="B1571" t="s">
        <v>5895</v>
      </c>
      <c r="C1571" t="s">
        <v>5896</v>
      </c>
      <c r="D1571" t="s">
        <v>5897</v>
      </c>
      <c r="E1571" t="s">
        <v>5895</v>
      </c>
      <c r="F1571" t="s">
        <v>28</v>
      </c>
      <c r="G1571" t="s">
        <v>5895</v>
      </c>
      <c r="H1571" t="str">
        <f>"T05H10.6"</f>
        <v>T05H10.6</v>
      </c>
      <c r="I1571" t="s">
        <v>5897</v>
      </c>
      <c r="J1571">
        <v>15.887092203182601</v>
      </c>
      <c r="K1571">
        <v>15.499240580509801</v>
      </c>
      <c r="L1571">
        <v>15.600658608611599</v>
      </c>
      <c r="M1571">
        <v>15.419549852584099</v>
      </c>
      <c r="N1571">
        <v>15.0989932980582</v>
      </c>
      <c r="O1571">
        <v>15.5454050572559</v>
      </c>
      <c r="P1571">
        <v>-0.30768106146857799</v>
      </c>
      <c r="Q1571">
        <v>-0.74825033874361702</v>
      </c>
      <c r="R1571">
        <v>0.13288821580646001</v>
      </c>
      <c r="S1571">
        <v>15.253065013195499</v>
      </c>
      <c r="T1571">
        <v>-1.4678411868416801</v>
      </c>
      <c r="U1571">
        <v>-5.82016240479303</v>
      </c>
      <c r="V1571">
        <v>0.15950452709412299</v>
      </c>
      <c r="W1571">
        <v>0.75833009452749001</v>
      </c>
      <c r="X1571">
        <v>0</v>
      </c>
      <c r="Y1571">
        <v>0</v>
      </c>
    </row>
    <row r="1572" spans="1:25" x14ac:dyDescent="0.2">
      <c r="A1572" t="s">
        <v>5898</v>
      </c>
      <c r="B1572" t="s">
        <v>5899</v>
      </c>
      <c r="C1572" t="s">
        <v>5900</v>
      </c>
      <c r="D1572" t="s">
        <v>5901</v>
      </c>
      <c r="E1572" t="s">
        <v>5899</v>
      </c>
      <c r="F1572" t="s">
        <v>28</v>
      </c>
      <c r="G1572" t="s">
        <v>5899</v>
      </c>
      <c r="H1572" t="str">
        <f>"eft-4"</f>
        <v>eft-4</v>
      </c>
      <c r="I1572" t="s">
        <v>5901</v>
      </c>
      <c r="J1572">
        <v>23.6017625211175</v>
      </c>
      <c r="K1572">
        <v>23.488789039128701</v>
      </c>
      <c r="L1572">
        <v>23.599896966073</v>
      </c>
      <c r="M1572">
        <v>23.597703360313499</v>
      </c>
      <c r="N1572">
        <v>23.577915156828102</v>
      </c>
      <c r="O1572">
        <v>23.4680652938601</v>
      </c>
      <c r="P1572">
        <v>-1.55882384391788E-2</v>
      </c>
      <c r="Q1572">
        <v>-0.42914484583005502</v>
      </c>
      <c r="R1572">
        <v>0.39796836895169801</v>
      </c>
      <c r="S1572">
        <v>23.197718228250299</v>
      </c>
      <c r="T1572">
        <v>-7.9223602937074603E-2</v>
      </c>
      <c r="U1572">
        <v>-6.8792107588757903</v>
      </c>
      <c r="V1572">
        <v>0.93773397597101504</v>
      </c>
      <c r="W1572">
        <v>0.99926809132575301</v>
      </c>
      <c r="X1572">
        <v>0</v>
      </c>
      <c r="Y1572">
        <v>0</v>
      </c>
    </row>
    <row r="1573" spans="1:25" x14ac:dyDescent="0.2">
      <c r="A1573" t="s">
        <v>5902</v>
      </c>
      <c r="B1573" t="s">
        <v>5903</v>
      </c>
      <c r="C1573" t="s">
        <v>5904</v>
      </c>
      <c r="D1573" t="s">
        <v>5905</v>
      </c>
      <c r="E1573" t="s">
        <v>5903</v>
      </c>
      <c r="F1573" t="s">
        <v>28</v>
      </c>
      <c r="G1573" t="s">
        <v>5903</v>
      </c>
      <c r="H1573" t="str">
        <f>"mlc-3"</f>
        <v>mlc-3</v>
      </c>
      <c r="I1573" t="s">
        <v>5905</v>
      </c>
      <c r="J1573" t="s">
        <v>29</v>
      </c>
      <c r="K1573">
        <v>11.9931959125798</v>
      </c>
      <c r="L1573" t="s">
        <v>29</v>
      </c>
      <c r="M1573">
        <v>12.5985310227264</v>
      </c>
      <c r="N1573" t="s">
        <v>29</v>
      </c>
      <c r="O1573" t="s">
        <v>29</v>
      </c>
      <c r="P1573">
        <v>0.60533511014663199</v>
      </c>
      <c r="Q1573">
        <v>-3.18290648648565</v>
      </c>
      <c r="R1573">
        <v>4.3935767067789104</v>
      </c>
      <c r="S1573">
        <v>12.016812054073201</v>
      </c>
      <c r="T1573">
        <v>0.37901963573435998</v>
      </c>
      <c r="U1573">
        <v>-6.2644788194528198</v>
      </c>
      <c r="V1573">
        <v>0.71607464912075502</v>
      </c>
      <c r="W1573">
        <v>0.98786722894487999</v>
      </c>
      <c r="X1573">
        <v>0</v>
      </c>
      <c r="Y1573">
        <v>0</v>
      </c>
    </row>
    <row r="1574" spans="1:25" x14ac:dyDescent="0.2">
      <c r="A1574" t="s">
        <v>5906</v>
      </c>
      <c r="B1574" t="s">
        <v>5907</v>
      </c>
      <c r="C1574" t="s">
        <v>5908</v>
      </c>
      <c r="D1574" t="s">
        <v>5909</v>
      </c>
      <c r="E1574" t="s">
        <v>5907</v>
      </c>
      <c r="F1574" t="s">
        <v>28</v>
      </c>
      <c r="G1574" t="s">
        <v>5907</v>
      </c>
      <c r="H1574" t="str">
        <f>"rfc-4"</f>
        <v>rfc-4</v>
      </c>
      <c r="I1574" t="s">
        <v>5909</v>
      </c>
      <c r="J1574">
        <v>11.2549169836091</v>
      </c>
      <c r="K1574" t="s">
        <v>29</v>
      </c>
      <c r="L1574" t="s">
        <v>29</v>
      </c>
      <c r="M1574">
        <v>10.874834208327901</v>
      </c>
      <c r="N1574" t="s">
        <v>29</v>
      </c>
      <c r="O1574" t="s">
        <v>29</v>
      </c>
      <c r="P1574">
        <v>-0.38008277528124701</v>
      </c>
      <c r="Q1574">
        <v>-1.20929753743315</v>
      </c>
      <c r="R1574">
        <v>0.44913198687065498</v>
      </c>
      <c r="S1574">
        <v>11.7576953989819</v>
      </c>
      <c r="T1574">
        <v>-1.0227701722922899</v>
      </c>
      <c r="U1574">
        <v>-5.8133748719979401</v>
      </c>
      <c r="V1574">
        <v>0.33077035112800801</v>
      </c>
      <c r="W1574">
        <v>0.872914019258625</v>
      </c>
      <c r="X1574">
        <v>0</v>
      </c>
      <c r="Y1574">
        <v>0</v>
      </c>
    </row>
    <row r="1575" spans="1:25" x14ac:dyDescent="0.2">
      <c r="A1575" t="s">
        <v>5910</v>
      </c>
      <c r="B1575" t="s">
        <v>5911</v>
      </c>
      <c r="C1575" t="s">
        <v>5912</v>
      </c>
      <c r="D1575" t="s">
        <v>5913</v>
      </c>
      <c r="E1575" t="s">
        <v>5911</v>
      </c>
      <c r="F1575" t="s">
        <v>28</v>
      </c>
      <c r="G1575" t="s">
        <v>5911</v>
      </c>
      <c r="H1575" t="str">
        <f>"cdgs-1"</f>
        <v>cdgs-1</v>
      </c>
      <c r="I1575" t="s">
        <v>5913</v>
      </c>
      <c r="J1575">
        <v>13.6797055678886</v>
      </c>
      <c r="K1575">
        <v>13.769902162174301</v>
      </c>
      <c r="L1575">
        <v>13.8051242101411</v>
      </c>
      <c r="M1575">
        <v>13.450813498250699</v>
      </c>
      <c r="N1575">
        <v>13.5442699081252</v>
      </c>
      <c r="O1575">
        <v>12.9945220290156</v>
      </c>
      <c r="P1575">
        <v>-0.42170883493743899</v>
      </c>
      <c r="Q1575">
        <v>-0.99303214277624996</v>
      </c>
      <c r="R1575">
        <v>0.149614472901372</v>
      </c>
      <c r="S1575">
        <v>13.9398293973529</v>
      </c>
      <c r="T1575">
        <v>-1.5580477764217999</v>
      </c>
      <c r="U1575">
        <v>-5.69450272956077</v>
      </c>
      <c r="V1575">
        <v>0.13775563836786101</v>
      </c>
      <c r="W1575">
        <v>0.72716651652323006</v>
      </c>
      <c r="X1575">
        <v>0</v>
      </c>
      <c r="Y1575">
        <v>0</v>
      </c>
    </row>
    <row r="1576" spans="1:25" x14ac:dyDescent="0.2">
      <c r="A1576" t="s">
        <v>5914</v>
      </c>
      <c r="B1576" t="s">
        <v>5915</v>
      </c>
      <c r="C1576" t="s">
        <v>5916</v>
      </c>
      <c r="D1576" t="s">
        <v>5917</v>
      </c>
      <c r="E1576" t="s">
        <v>5915</v>
      </c>
      <c r="F1576" t="s">
        <v>28</v>
      </c>
      <c r="G1576" t="s">
        <v>5915</v>
      </c>
      <c r="H1576" t="str">
        <f>"arx-2"</f>
        <v>arx-2</v>
      </c>
      <c r="I1576" t="s">
        <v>5917</v>
      </c>
      <c r="J1576">
        <v>13.5245857388601</v>
      </c>
      <c r="K1576">
        <v>13.5063353293675</v>
      </c>
      <c r="L1576">
        <v>13.5094516450486</v>
      </c>
      <c r="M1576">
        <v>13.7747450893046</v>
      </c>
      <c r="N1576">
        <v>13.912695230382299</v>
      </c>
      <c r="O1576">
        <v>13.6111223125628</v>
      </c>
      <c r="P1576">
        <v>0.25272997299120598</v>
      </c>
      <c r="Q1576">
        <v>-0.14396254838728001</v>
      </c>
      <c r="R1576">
        <v>0.64942249436969302</v>
      </c>
      <c r="S1576">
        <v>13.7487158212419</v>
      </c>
      <c r="T1576">
        <v>1.3390452432318001</v>
      </c>
      <c r="U1576">
        <v>-5.9901004313076598</v>
      </c>
      <c r="V1576">
        <v>0.19731799174588199</v>
      </c>
      <c r="W1576">
        <v>0.79075284576134597</v>
      </c>
      <c r="X1576">
        <v>0</v>
      </c>
      <c r="Y1576">
        <v>0</v>
      </c>
    </row>
    <row r="1577" spans="1:25" x14ac:dyDescent="0.2">
      <c r="A1577" t="s">
        <v>5918</v>
      </c>
      <c r="B1577" t="s">
        <v>5919</v>
      </c>
      <c r="C1577" t="s">
        <v>5920</v>
      </c>
      <c r="D1577" t="s">
        <v>5921</v>
      </c>
      <c r="E1577" t="s">
        <v>5919</v>
      </c>
      <c r="F1577" t="s">
        <v>28</v>
      </c>
      <c r="G1577" t="s">
        <v>5919</v>
      </c>
      <c r="H1577" t="str">
        <f>"acly-1"</f>
        <v>acly-1</v>
      </c>
      <c r="I1577" t="s">
        <v>5921</v>
      </c>
      <c r="J1577">
        <v>16.176996885521898</v>
      </c>
      <c r="K1577">
        <v>15.8983656279435</v>
      </c>
      <c r="L1577">
        <v>15.683452471761001</v>
      </c>
      <c r="M1577">
        <v>15.9345841461758</v>
      </c>
      <c r="N1577">
        <v>15.7483690364159</v>
      </c>
      <c r="O1577">
        <v>15.971433685179701</v>
      </c>
      <c r="P1577">
        <v>-3.4809372485026899E-2</v>
      </c>
      <c r="Q1577">
        <v>-0.49482274290546202</v>
      </c>
      <c r="R1577">
        <v>0.42520399793540797</v>
      </c>
      <c r="S1577">
        <v>15.5494915241007</v>
      </c>
      <c r="T1577">
        <v>-0.15904435259871399</v>
      </c>
      <c r="U1577">
        <v>-6.8692823572027697</v>
      </c>
      <c r="V1577">
        <v>0.87541514773631002</v>
      </c>
      <c r="W1577">
        <v>0.99602790142442299</v>
      </c>
      <c r="X1577">
        <v>0</v>
      </c>
      <c r="Y1577">
        <v>0</v>
      </c>
    </row>
    <row r="1578" spans="1:25" x14ac:dyDescent="0.2">
      <c r="A1578" t="s">
        <v>5922</v>
      </c>
      <c r="B1578" t="s">
        <v>5923</v>
      </c>
      <c r="C1578" t="s">
        <v>5924</v>
      </c>
      <c r="D1578" t="s">
        <v>5925</v>
      </c>
      <c r="E1578" t="s">
        <v>5923</v>
      </c>
      <c r="F1578" t="s">
        <v>28</v>
      </c>
      <c r="G1578" t="s">
        <v>5923</v>
      </c>
      <c r="H1578" t="str">
        <f>"suca-1"</f>
        <v>suca-1</v>
      </c>
      <c r="I1578" t="s">
        <v>5925</v>
      </c>
      <c r="J1578">
        <v>19.709393101081101</v>
      </c>
      <c r="K1578">
        <v>19.682767574802799</v>
      </c>
      <c r="L1578">
        <v>19.5547411744347</v>
      </c>
      <c r="M1578">
        <v>19.561255964991599</v>
      </c>
      <c r="N1578">
        <v>19.771989904115301</v>
      </c>
      <c r="O1578">
        <v>19.996506538035302</v>
      </c>
      <c r="P1578">
        <v>0.127616852274549</v>
      </c>
      <c r="Q1578">
        <v>-0.33541419923170701</v>
      </c>
      <c r="R1578">
        <v>0.59064790378080601</v>
      </c>
      <c r="S1578">
        <v>19.6591438897653</v>
      </c>
      <c r="T1578">
        <v>0.57928252182855899</v>
      </c>
      <c r="U1578">
        <v>-6.7087961951802004</v>
      </c>
      <c r="V1578">
        <v>0.56961973205156202</v>
      </c>
      <c r="W1578">
        <v>0.95984530038865801</v>
      </c>
      <c r="X1578">
        <v>0</v>
      </c>
      <c r="Y1578">
        <v>0</v>
      </c>
    </row>
    <row r="1579" spans="1:25" x14ac:dyDescent="0.2">
      <c r="A1579" t="s">
        <v>5926</v>
      </c>
      <c r="B1579" t="s">
        <v>5927</v>
      </c>
      <c r="C1579" t="s">
        <v>5928</v>
      </c>
      <c r="D1579" t="s">
        <v>5929</v>
      </c>
      <c r="E1579" t="s">
        <v>5927</v>
      </c>
      <c r="F1579" t="s">
        <v>28</v>
      </c>
      <c r="G1579" t="s">
        <v>5927</v>
      </c>
      <c r="H1579" t="str">
        <f>"sucg-1"</f>
        <v>sucg-1</v>
      </c>
      <c r="I1579" t="s">
        <v>5929</v>
      </c>
      <c r="J1579">
        <v>13.2695642581784</v>
      </c>
      <c r="K1579">
        <v>13.0105289253269</v>
      </c>
      <c r="L1579">
        <v>13.2204050831728</v>
      </c>
      <c r="M1579">
        <v>12.745072887878999</v>
      </c>
      <c r="N1579">
        <v>13.3609730992662</v>
      </c>
      <c r="O1579">
        <v>13.0516509835291</v>
      </c>
      <c r="P1579">
        <v>-0.114267098667911</v>
      </c>
      <c r="Q1579">
        <v>-0.58436424598110004</v>
      </c>
      <c r="R1579">
        <v>0.35583004864527701</v>
      </c>
      <c r="S1579">
        <v>12.8547775600716</v>
      </c>
      <c r="T1579">
        <v>-0.51307824177310302</v>
      </c>
      <c r="U1579">
        <v>-6.7455863267741396</v>
      </c>
      <c r="V1579">
        <v>0.61454010817291005</v>
      </c>
      <c r="W1579">
        <v>0.97238011246645495</v>
      </c>
      <c r="X1579">
        <v>0</v>
      </c>
      <c r="Y1579">
        <v>0</v>
      </c>
    </row>
    <row r="1580" spans="1:25" x14ac:dyDescent="0.2">
      <c r="A1580" t="s">
        <v>5930</v>
      </c>
      <c r="B1580" t="s">
        <v>5931</v>
      </c>
      <c r="C1580" t="s">
        <v>5932</v>
      </c>
      <c r="D1580" t="s">
        <v>3133</v>
      </c>
      <c r="E1580" t="s">
        <v>5931</v>
      </c>
      <c r="F1580" t="s">
        <v>28</v>
      </c>
      <c r="G1580" t="s">
        <v>5931</v>
      </c>
      <c r="H1580" t="str">
        <f>"sucl-1"</f>
        <v>sucl-1</v>
      </c>
      <c r="I1580" t="s">
        <v>3133</v>
      </c>
      <c r="J1580">
        <v>15.0857453439883</v>
      </c>
      <c r="K1580">
        <v>15.1968513494291</v>
      </c>
      <c r="L1580">
        <v>14.8300950540446</v>
      </c>
      <c r="M1580">
        <v>14.793913389988001</v>
      </c>
      <c r="N1580">
        <v>14.522005494289701</v>
      </c>
      <c r="O1580">
        <v>14.8782591770143</v>
      </c>
      <c r="P1580">
        <v>-0.306171228723366</v>
      </c>
      <c r="Q1580">
        <v>-0.97566398082731198</v>
      </c>
      <c r="R1580">
        <v>0.36332152338057899</v>
      </c>
      <c r="S1580">
        <v>14.9106029375689</v>
      </c>
      <c r="T1580">
        <v>-0.96119391006337596</v>
      </c>
      <c r="U1580">
        <v>-6.4119293936784896</v>
      </c>
      <c r="V1580">
        <v>0.34926354050260999</v>
      </c>
      <c r="W1580">
        <v>0.87950242192597095</v>
      </c>
      <c r="X1580">
        <v>0</v>
      </c>
      <c r="Y1580">
        <v>0</v>
      </c>
    </row>
    <row r="1581" spans="1:25" x14ac:dyDescent="0.2">
      <c r="A1581" t="s">
        <v>5933</v>
      </c>
      <c r="B1581" t="s">
        <v>5934</v>
      </c>
      <c r="C1581" t="s">
        <v>5935</v>
      </c>
      <c r="D1581" t="s">
        <v>5936</v>
      </c>
      <c r="E1581" t="s">
        <v>5934</v>
      </c>
      <c r="F1581" t="s">
        <v>28</v>
      </c>
      <c r="G1581" t="s">
        <v>5934</v>
      </c>
      <c r="H1581" t="str">
        <f>"algn-11"</f>
        <v>algn-11</v>
      </c>
      <c r="I1581" t="s">
        <v>5936</v>
      </c>
      <c r="J1581">
        <v>11.320081391239301</v>
      </c>
      <c r="K1581">
        <v>11.374125092778099</v>
      </c>
      <c r="L1581">
        <v>11.9018723673328</v>
      </c>
      <c r="M1581">
        <v>11.9777466642932</v>
      </c>
      <c r="N1581">
        <v>11.3949900110367</v>
      </c>
      <c r="O1581">
        <v>12.609031724510301</v>
      </c>
      <c r="P1581">
        <v>0.46189651616335298</v>
      </c>
      <c r="Q1581">
        <v>-0.22442679065805801</v>
      </c>
      <c r="R1581">
        <v>1.14821982298476</v>
      </c>
      <c r="S1581">
        <v>11.2626238274656</v>
      </c>
      <c r="T1581">
        <v>1.42746500167122</v>
      </c>
      <c r="U1581">
        <v>-5.8747184833994099</v>
      </c>
      <c r="V1581">
        <v>0.17279693341820199</v>
      </c>
      <c r="W1581">
        <v>0.77568784401157198</v>
      </c>
      <c r="X1581">
        <v>0</v>
      </c>
      <c r="Y1581">
        <v>0</v>
      </c>
    </row>
    <row r="1582" spans="1:25" x14ac:dyDescent="0.2">
      <c r="A1582" t="s">
        <v>5937</v>
      </c>
      <c r="B1582" t="s">
        <v>5938</v>
      </c>
      <c r="C1582" t="s">
        <v>5939</v>
      </c>
      <c r="D1582" t="s">
        <v>5940</v>
      </c>
      <c r="E1582" t="s">
        <v>5938</v>
      </c>
      <c r="F1582" t="s">
        <v>28</v>
      </c>
      <c r="G1582" t="s">
        <v>5938</v>
      </c>
      <c r="H1582" t="str">
        <f>"F44G4.1"</f>
        <v>F44G4.1</v>
      </c>
      <c r="I1582" t="s">
        <v>5940</v>
      </c>
      <c r="J1582">
        <v>13.9368678783148</v>
      </c>
      <c r="K1582">
        <v>13.856733804487501</v>
      </c>
      <c r="L1582">
        <v>13.7591645730219</v>
      </c>
      <c r="M1582">
        <v>13.9281040200334</v>
      </c>
      <c r="N1582">
        <v>13.8983639320984</v>
      </c>
      <c r="O1582">
        <v>13.9580716016817</v>
      </c>
      <c r="P1582">
        <v>7.7257765996463904E-2</v>
      </c>
      <c r="Q1582">
        <v>-0.27997760841879399</v>
      </c>
      <c r="R1582">
        <v>0.43449314041172199</v>
      </c>
      <c r="S1582">
        <v>14.056733994304601</v>
      </c>
      <c r="T1582">
        <v>0.45649676226531499</v>
      </c>
      <c r="U1582">
        <v>-6.7739404830135701</v>
      </c>
      <c r="V1582">
        <v>0.65384674805528598</v>
      </c>
      <c r="W1582">
        <v>0.98150743235362703</v>
      </c>
      <c r="X1582">
        <v>0</v>
      </c>
      <c r="Y1582">
        <v>0</v>
      </c>
    </row>
    <row r="1583" spans="1:25" x14ac:dyDescent="0.2">
      <c r="A1583" t="s">
        <v>5941</v>
      </c>
      <c r="B1583" t="s">
        <v>5942</v>
      </c>
      <c r="C1583" t="s">
        <v>5943</v>
      </c>
      <c r="D1583" t="s">
        <v>5944</v>
      </c>
      <c r="E1583" t="s">
        <v>5942</v>
      </c>
      <c r="F1583" t="s">
        <v>28</v>
      </c>
      <c r="G1583" t="s">
        <v>5942</v>
      </c>
      <c r="H1583" t="str">
        <f>"eef-1G"</f>
        <v>eef-1G</v>
      </c>
      <c r="I1583" t="s">
        <v>5944</v>
      </c>
      <c r="J1583">
        <v>17.5525553468641</v>
      </c>
      <c r="K1583">
        <v>17.175004338615501</v>
      </c>
      <c r="L1583">
        <v>17.270201491673401</v>
      </c>
      <c r="M1583">
        <v>17.360791257643999</v>
      </c>
      <c r="N1583">
        <v>17.2776582429697</v>
      </c>
      <c r="O1583">
        <v>17.488268674321201</v>
      </c>
      <c r="P1583">
        <v>4.2985665927332703E-2</v>
      </c>
      <c r="Q1583">
        <v>-0.32608944320677102</v>
      </c>
      <c r="R1583">
        <v>0.41206077506143701</v>
      </c>
      <c r="S1583">
        <v>16.7005288317823</v>
      </c>
      <c r="T1583">
        <v>0.24479436445361999</v>
      </c>
      <c r="U1583">
        <v>-6.8512320957879602</v>
      </c>
      <c r="V1583">
        <v>0.80940067601483601</v>
      </c>
      <c r="W1583">
        <v>0.99278624068726296</v>
      </c>
      <c r="X1583">
        <v>0</v>
      </c>
      <c r="Y1583">
        <v>0</v>
      </c>
    </row>
    <row r="1584" spans="1:25" x14ac:dyDescent="0.2">
      <c r="A1584" t="s">
        <v>5945</v>
      </c>
      <c r="B1584" t="s">
        <v>5946</v>
      </c>
      <c r="C1584" t="s">
        <v>5947</v>
      </c>
      <c r="D1584" t="s">
        <v>5948</v>
      </c>
      <c r="E1584" t="s">
        <v>5946</v>
      </c>
      <c r="F1584" t="s">
        <v>28</v>
      </c>
      <c r="G1584" t="s">
        <v>5946</v>
      </c>
      <c r="H1584" t="str">
        <f>"bcat-1"</f>
        <v>bcat-1</v>
      </c>
      <c r="I1584" t="s">
        <v>5948</v>
      </c>
      <c r="J1584">
        <v>14.0142703225858</v>
      </c>
      <c r="K1584">
        <v>13.9776348015541</v>
      </c>
      <c r="L1584">
        <v>14.2985163921091</v>
      </c>
      <c r="M1584">
        <v>14.039524292096299</v>
      </c>
      <c r="N1584">
        <v>14.089314969392801</v>
      </c>
      <c r="O1584">
        <v>13.6247282233814</v>
      </c>
      <c r="P1584">
        <v>-0.17895134379286801</v>
      </c>
      <c r="Q1584">
        <v>-0.89712315113444696</v>
      </c>
      <c r="R1584">
        <v>0.539220463548712</v>
      </c>
      <c r="S1584">
        <v>13.929559887799</v>
      </c>
      <c r="T1584">
        <v>-0.52371995841853503</v>
      </c>
      <c r="U1584">
        <v>-6.7402758352359102</v>
      </c>
      <c r="V1584">
        <v>0.60689919479269505</v>
      </c>
      <c r="W1584">
        <v>0.97103528123305605</v>
      </c>
      <c r="X1584">
        <v>0</v>
      </c>
      <c r="Y1584">
        <v>0</v>
      </c>
    </row>
    <row r="1585" spans="1:25" x14ac:dyDescent="0.2">
      <c r="A1585" t="s">
        <v>5949</v>
      </c>
      <c r="B1585" t="s">
        <v>5950</v>
      </c>
      <c r="C1585" t="s">
        <v>5951</v>
      </c>
      <c r="D1585" t="s">
        <v>5952</v>
      </c>
      <c r="E1585" t="s">
        <v>5950</v>
      </c>
      <c r="F1585" t="s">
        <v>28</v>
      </c>
      <c r="G1585" t="s">
        <v>5950</v>
      </c>
      <c r="H1585" t="str">
        <f>"cdc-48.1"</f>
        <v>cdc-48.1</v>
      </c>
      <c r="I1585" t="s">
        <v>5952</v>
      </c>
      <c r="J1585">
        <v>14.1212994008919</v>
      </c>
      <c r="K1585">
        <v>13.986673391709999</v>
      </c>
      <c r="L1585">
        <v>14.026689709351601</v>
      </c>
      <c r="M1585">
        <v>14.084945746946101</v>
      </c>
      <c r="N1585">
        <v>14.334020193887101</v>
      </c>
      <c r="O1585">
        <v>14.3986649219211</v>
      </c>
      <c r="P1585">
        <v>0.22765612026693599</v>
      </c>
      <c r="Q1585">
        <v>-0.24037908121928001</v>
      </c>
      <c r="R1585">
        <v>0.69569132175315096</v>
      </c>
      <c r="S1585">
        <v>14.213278783082799</v>
      </c>
      <c r="T1585">
        <v>1.0223352261377601</v>
      </c>
      <c r="U1585">
        <v>-6.3519013842957097</v>
      </c>
      <c r="V1585">
        <v>0.32024499448818999</v>
      </c>
      <c r="W1585">
        <v>0.86570305652650403</v>
      </c>
      <c r="X1585">
        <v>0</v>
      </c>
      <c r="Y1585">
        <v>0</v>
      </c>
    </row>
    <row r="1586" spans="1:25" x14ac:dyDescent="0.2">
      <c r="A1586" t="s">
        <v>5953</v>
      </c>
      <c r="B1586" t="s">
        <v>5954</v>
      </c>
      <c r="C1586" t="s">
        <v>5955</v>
      </c>
      <c r="D1586" t="s">
        <v>5956</v>
      </c>
      <c r="E1586" t="s">
        <v>5954</v>
      </c>
      <c r="F1586" t="s">
        <v>28</v>
      </c>
      <c r="G1586" t="s">
        <v>5954</v>
      </c>
      <c r="H1586" t="str">
        <f>"cdc-48.2"</f>
        <v>cdc-48.2</v>
      </c>
      <c r="I1586" t="s">
        <v>5956</v>
      </c>
      <c r="J1586">
        <v>16.281687499314302</v>
      </c>
      <c r="K1586">
        <v>16.163597428706801</v>
      </c>
      <c r="L1586">
        <v>16.268361303348801</v>
      </c>
      <c r="M1586">
        <v>16.338182113564802</v>
      </c>
      <c r="N1586">
        <v>16.3284482186342</v>
      </c>
      <c r="O1586">
        <v>16.418371129788799</v>
      </c>
      <c r="P1586">
        <v>0.123785076872633</v>
      </c>
      <c r="Q1586">
        <v>-0.23836695678912201</v>
      </c>
      <c r="R1586">
        <v>0.48593711053438698</v>
      </c>
      <c r="S1586">
        <v>16.316861226319698</v>
      </c>
      <c r="T1586">
        <v>0.71840587545668</v>
      </c>
      <c r="U1586">
        <v>-6.6166794381313103</v>
      </c>
      <c r="V1586">
        <v>0.48178246399686198</v>
      </c>
      <c r="W1586">
        <v>0.93764446794243095</v>
      </c>
      <c r="X1586">
        <v>0</v>
      </c>
      <c r="Y1586">
        <v>0</v>
      </c>
    </row>
    <row r="1587" spans="1:25" x14ac:dyDescent="0.2">
      <c r="A1587" t="s">
        <v>5957</v>
      </c>
      <c r="B1587" t="s">
        <v>5958</v>
      </c>
      <c r="C1587" t="s">
        <v>5959</v>
      </c>
      <c r="D1587" t="s">
        <v>5960</v>
      </c>
      <c r="E1587" t="s">
        <v>5958</v>
      </c>
      <c r="F1587" t="s">
        <v>28</v>
      </c>
      <c r="G1587" t="s">
        <v>5958</v>
      </c>
      <c r="H1587" t="str">
        <f>"ymel-1"</f>
        <v>ymel-1</v>
      </c>
      <c r="I1587" t="s">
        <v>5960</v>
      </c>
      <c r="J1587">
        <v>12.6531711938635</v>
      </c>
      <c r="K1587">
        <v>12.6652192937559</v>
      </c>
      <c r="L1587">
        <v>12.532896191053201</v>
      </c>
      <c r="M1587">
        <v>12.933865043255301</v>
      </c>
      <c r="N1587">
        <v>12.5301881167817</v>
      </c>
      <c r="O1587">
        <v>12.786834869267601</v>
      </c>
      <c r="P1587">
        <v>0.133200450210676</v>
      </c>
      <c r="Q1587">
        <v>-0.41395017483230701</v>
      </c>
      <c r="R1587">
        <v>0.68035107525366001</v>
      </c>
      <c r="S1587">
        <v>12.730731286149901</v>
      </c>
      <c r="T1587">
        <v>0.51635492402536498</v>
      </c>
      <c r="U1587">
        <v>-6.7434273447953901</v>
      </c>
      <c r="V1587">
        <v>0.61271529957175297</v>
      </c>
      <c r="W1587">
        <v>0.97238011246645495</v>
      </c>
      <c r="X1587">
        <v>0</v>
      </c>
      <c r="Y1587">
        <v>0</v>
      </c>
    </row>
    <row r="1588" spans="1:25" x14ac:dyDescent="0.2">
      <c r="A1588" t="s">
        <v>5961</v>
      </c>
      <c r="B1588" t="s">
        <v>5962</v>
      </c>
      <c r="C1588" t="s">
        <v>5963</v>
      </c>
      <c r="D1588" t="s">
        <v>5964</v>
      </c>
      <c r="E1588" t="s">
        <v>5962</v>
      </c>
      <c r="F1588" t="s">
        <v>28</v>
      </c>
      <c r="G1588" t="s">
        <v>5962</v>
      </c>
      <c r="H1588" t="str">
        <f>"mspn-1"</f>
        <v>mspn-1</v>
      </c>
      <c r="I1588" t="s">
        <v>5964</v>
      </c>
      <c r="J1588" t="s">
        <v>29</v>
      </c>
      <c r="K1588" t="s">
        <v>29</v>
      </c>
      <c r="L1588" t="s">
        <v>29</v>
      </c>
      <c r="M1588" t="s">
        <v>29</v>
      </c>
      <c r="N1588">
        <v>12.638959648902</v>
      </c>
      <c r="O1588" t="s">
        <v>29</v>
      </c>
      <c r="P1588" t="s">
        <v>29</v>
      </c>
      <c r="Q1588" t="s">
        <v>29</v>
      </c>
      <c r="R1588" t="s">
        <v>29</v>
      </c>
      <c r="S1588">
        <v>12.757369242060699</v>
      </c>
      <c r="T1588" t="s">
        <v>29</v>
      </c>
      <c r="U1588" t="s">
        <v>29</v>
      </c>
      <c r="V1588" t="s">
        <v>29</v>
      </c>
      <c r="W1588" t="s">
        <v>29</v>
      </c>
      <c r="X1588" t="s">
        <v>29</v>
      </c>
      <c r="Y1588" t="s">
        <v>29</v>
      </c>
    </row>
    <row r="1589" spans="1:25" x14ac:dyDescent="0.2">
      <c r="A1589" t="s">
        <v>5965</v>
      </c>
      <c r="B1589" t="s">
        <v>5966</v>
      </c>
      <c r="C1589" t="s">
        <v>5967</v>
      </c>
      <c r="D1589" t="s">
        <v>5968</v>
      </c>
      <c r="E1589" t="s">
        <v>5966</v>
      </c>
      <c r="F1589" t="s">
        <v>28</v>
      </c>
      <c r="G1589" t="s">
        <v>5966</v>
      </c>
      <c r="H1589" t="str">
        <f>"lex-1"</f>
        <v>lex-1</v>
      </c>
      <c r="I1589" t="s">
        <v>5968</v>
      </c>
      <c r="J1589">
        <v>13.0795814686995</v>
      </c>
      <c r="K1589">
        <v>13.1749969630993</v>
      </c>
      <c r="L1589">
        <v>13.4713155988954</v>
      </c>
      <c r="M1589">
        <v>13.212984902183999</v>
      </c>
      <c r="N1589">
        <v>13.6455621704274</v>
      </c>
      <c r="O1589">
        <v>13.293492717765901</v>
      </c>
      <c r="P1589">
        <v>0.14204858656102501</v>
      </c>
      <c r="Q1589">
        <v>-0.32634081602843601</v>
      </c>
      <c r="R1589">
        <v>0.61043798915048497</v>
      </c>
      <c r="S1589">
        <v>13.9526597687557</v>
      </c>
      <c r="T1589">
        <v>0.64014722814720804</v>
      </c>
      <c r="U1589">
        <v>-6.67029499445922</v>
      </c>
      <c r="V1589">
        <v>0.53066330493797498</v>
      </c>
      <c r="W1589">
        <v>0.94347340668743696</v>
      </c>
      <c r="X1589">
        <v>0</v>
      </c>
      <c r="Y1589">
        <v>0</v>
      </c>
    </row>
    <row r="1590" spans="1:25" x14ac:dyDescent="0.2">
      <c r="A1590" t="s">
        <v>5969</v>
      </c>
      <c r="B1590" t="s">
        <v>5970</v>
      </c>
      <c r="C1590" t="s">
        <v>5971</v>
      </c>
      <c r="D1590" t="s">
        <v>5972</v>
      </c>
      <c r="E1590" t="s">
        <v>5970</v>
      </c>
      <c r="F1590" t="s">
        <v>28</v>
      </c>
      <c r="G1590" t="s">
        <v>5970</v>
      </c>
      <c r="H1590" t="str">
        <f>"alh-13"</f>
        <v>alh-13</v>
      </c>
      <c r="I1590" t="s">
        <v>5972</v>
      </c>
      <c r="J1590">
        <v>16.9386076855067</v>
      </c>
      <c r="K1590">
        <v>16.8843536210045</v>
      </c>
      <c r="L1590">
        <v>16.7637501646978</v>
      </c>
      <c r="M1590">
        <v>16.865737676789699</v>
      </c>
      <c r="N1590">
        <v>16.8343646098016</v>
      </c>
      <c r="O1590">
        <v>16.9369014792854</v>
      </c>
      <c r="P1590">
        <v>1.6764098222559198E-2</v>
      </c>
      <c r="Q1590">
        <v>-0.29897042668568802</v>
      </c>
      <c r="R1590">
        <v>0.33249862313080703</v>
      </c>
      <c r="S1590">
        <v>16.529796825983698</v>
      </c>
      <c r="T1590">
        <v>0.11159651597633601</v>
      </c>
      <c r="U1590">
        <v>-6.8759847829355598</v>
      </c>
      <c r="V1590">
        <v>0.91238553168718495</v>
      </c>
      <c r="W1590">
        <v>0.99833354317360001</v>
      </c>
      <c r="X1590">
        <v>0</v>
      </c>
      <c r="Y1590">
        <v>0</v>
      </c>
    </row>
    <row r="1591" spans="1:25" x14ac:dyDescent="0.2">
      <c r="A1591" t="s">
        <v>5973</v>
      </c>
      <c r="B1591" t="s">
        <v>5974</v>
      </c>
      <c r="C1591" t="s">
        <v>5975</v>
      </c>
      <c r="D1591" t="s">
        <v>5976</v>
      </c>
      <c r="E1591" t="s">
        <v>5974</v>
      </c>
      <c r="F1591" t="s">
        <v>28</v>
      </c>
      <c r="G1591" t="s">
        <v>5974</v>
      </c>
      <c r="H1591" t="str">
        <f>"vit-1"</f>
        <v>vit-1</v>
      </c>
      <c r="I1591" t="s">
        <v>5976</v>
      </c>
      <c r="J1591">
        <v>16.8087423819841</v>
      </c>
      <c r="K1591">
        <v>16.464960856388402</v>
      </c>
      <c r="L1591">
        <v>17.215112766124399</v>
      </c>
      <c r="M1591">
        <v>16.480238642970701</v>
      </c>
      <c r="N1591">
        <v>16.6388831832835</v>
      </c>
      <c r="O1591">
        <v>16.461523528018802</v>
      </c>
      <c r="P1591">
        <v>-0.30272355007463098</v>
      </c>
      <c r="Q1591">
        <v>-0.70102902596764605</v>
      </c>
      <c r="R1591">
        <v>9.5581925818383498E-2</v>
      </c>
      <c r="S1591">
        <v>17.168108250842199</v>
      </c>
      <c r="T1591">
        <v>-1.59743223455556</v>
      </c>
      <c r="U1591">
        <v>-5.6369728333709599</v>
      </c>
      <c r="V1591">
        <v>0.127676647292709</v>
      </c>
      <c r="W1591">
        <v>0.71774980099684804</v>
      </c>
      <c r="X1591">
        <v>0</v>
      </c>
      <c r="Y1591">
        <v>0</v>
      </c>
    </row>
    <row r="1592" spans="1:25" x14ac:dyDescent="0.2">
      <c r="A1592" t="s">
        <v>5977</v>
      </c>
      <c r="B1592" t="s">
        <v>5978</v>
      </c>
      <c r="C1592" t="s">
        <v>5979</v>
      </c>
      <c r="D1592" t="s">
        <v>5980</v>
      </c>
      <c r="E1592" t="s">
        <v>5978</v>
      </c>
      <c r="F1592" t="s">
        <v>28</v>
      </c>
      <c r="G1592" t="s">
        <v>5978</v>
      </c>
      <c r="H1592" t="str">
        <f>"gex-3"</f>
        <v>gex-3</v>
      </c>
      <c r="I1592" t="s">
        <v>5980</v>
      </c>
      <c r="J1592">
        <v>12.9893942897451</v>
      </c>
      <c r="K1592">
        <v>11.4636860561876</v>
      </c>
      <c r="L1592">
        <v>11.664030904922701</v>
      </c>
      <c r="M1592">
        <v>11.778975300524699</v>
      </c>
      <c r="N1592">
        <v>11.958146054024899</v>
      </c>
      <c r="O1592">
        <v>11.4443493262864</v>
      </c>
      <c r="P1592">
        <v>-0.31188019000649803</v>
      </c>
      <c r="Q1592">
        <v>-1.13036559969077</v>
      </c>
      <c r="R1592">
        <v>0.50660521967777505</v>
      </c>
      <c r="S1592">
        <v>11.859543009924</v>
      </c>
      <c r="T1592">
        <v>-0.804316283595231</v>
      </c>
      <c r="U1592">
        <v>-6.5498096765623197</v>
      </c>
      <c r="V1592">
        <v>0.43238705626007901</v>
      </c>
      <c r="W1592">
        <v>0.91512503332874395</v>
      </c>
      <c r="X1592">
        <v>0</v>
      </c>
      <c r="Y1592">
        <v>0</v>
      </c>
    </row>
    <row r="1593" spans="1:25" x14ac:dyDescent="0.2">
      <c r="A1593" t="s">
        <v>5981</v>
      </c>
      <c r="B1593" t="s">
        <v>5982</v>
      </c>
      <c r="C1593" t="s">
        <v>5983</v>
      </c>
      <c r="D1593" t="s">
        <v>5984</v>
      </c>
      <c r="E1593" t="s">
        <v>5982</v>
      </c>
      <c r="F1593" t="s">
        <v>28</v>
      </c>
      <c r="G1593" t="s">
        <v>5982</v>
      </c>
      <c r="H1593" t="str">
        <f>"cth-2"</f>
        <v>cth-2</v>
      </c>
      <c r="I1593" t="s">
        <v>5984</v>
      </c>
      <c r="J1593">
        <v>14.2888939522712</v>
      </c>
      <c r="K1593">
        <v>14.2323091508638</v>
      </c>
      <c r="L1593">
        <v>14.4361205984516</v>
      </c>
      <c r="M1593">
        <v>13.902975751332701</v>
      </c>
      <c r="N1593">
        <v>14.5274783316464</v>
      </c>
      <c r="O1593">
        <v>13.9883776242617</v>
      </c>
      <c r="P1593">
        <v>-0.17949733144860899</v>
      </c>
      <c r="Q1593">
        <v>-0.61613709831050001</v>
      </c>
      <c r="R1593">
        <v>0.25714243541328302</v>
      </c>
      <c r="S1593">
        <v>14.490827103760701</v>
      </c>
      <c r="T1593">
        <v>-0.86402681922073699</v>
      </c>
      <c r="U1593">
        <v>-6.5004211150589004</v>
      </c>
      <c r="V1593">
        <v>0.39900681624469497</v>
      </c>
      <c r="W1593">
        <v>0.91027279600179201</v>
      </c>
      <c r="X1593">
        <v>0</v>
      </c>
      <c r="Y1593">
        <v>0</v>
      </c>
    </row>
    <row r="1594" spans="1:25" x14ac:dyDescent="0.2">
      <c r="A1594" t="s">
        <v>5985</v>
      </c>
      <c r="B1594" t="s">
        <v>5986</v>
      </c>
      <c r="C1594" t="s">
        <v>5987</v>
      </c>
      <c r="D1594" t="s">
        <v>5988</v>
      </c>
      <c r="E1594" t="s">
        <v>5986</v>
      </c>
      <c r="F1594" t="s">
        <v>28</v>
      </c>
      <c r="G1594" t="s">
        <v>5986</v>
      </c>
      <c r="H1594" t="str">
        <f>"F13E6.1"</f>
        <v>F13E6.1</v>
      </c>
      <c r="I1594" t="s">
        <v>5988</v>
      </c>
      <c r="J1594" t="s">
        <v>29</v>
      </c>
      <c r="K1594" t="s">
        <v>29</v>
      </c>
      <c r="L1594" t="s">
        <v>29</v>
      </c>
      <c r="M1594">
        <v>12.332313772036001</v>
      </c>
      <c r="N1594">
        <v>13.055050736309401</v>
      </c>
      <c r="O1594">
        <v>13.336088483926501</v>
      </c>
      <c r="P1594" t="s">
        <v>29</v>
      </c>
      <c r="Q1594" t="s">
        <v>29</v>
      </c>
      <c r="R1594" t="s">
        <v>29</v>
      </c>
      <c r="S1594">
        <v>12.088738712292701</v>
      </c>
      <c r="T1594" t="s">
        <v>29</v>
      </c>
      <c r="U1594" t="s">
        <v>29</v>
      </c>
      <c r="V1594" t="s">
        <v>29</v>
      </c>
      <c r="W1594" t="s">
        <v>29</v>
      </c>
      <c r="X1594" t="s">
        <v>29</v>
      </c>
      <c r="Y1594" t="s">
        <v>29</v>
      </c>
    </row>
    <row r="1595" spans="1:25" x14ac:dyDescent="0.2">
      <c r="A1595" t="s">
        <v>5989</v>
      </c>
      <c r="B1595" t="s">
        <v>5990</v>
      </c>
      <c r="C1595" t="s">
        <v>5991</v>
      </c>
      <c r="D1595" t="s">
        <v>5992</v>
      </c>
      <c r="E1595" t="s">
        <v>5990</v>
      </c>
      <c r="F1595" t="s">
        <v>28</v>
      </c>
      <c r="G1595" t="s">
        <v>5990</v>
      </c>
      <c r="H1595" t="str">
        <f>"smo-1"</f>
        <v>smo-1</v>
      </c>
      <c r="I1595" t="s">
        <v>5992</v>
      </c>
      <c r="J1595">
        <v>11.0987097954712</v>
      </c>
      <c r="K1595" t="s">
        <v>29</v>
      </c>
      <c r="L1595">
        <v>11.8371485164914</v>
      </c>
      <c r="M1595">
        <v>12.326883835761199</v>
      </c>
      <c r="N1595">
        <v>11.3009763630313</v>
      </c>
      <c r="O1595">
        <v>12.294229826286999</v>
      </c>
      <c r="P1595">
        <v>0.50610085237855695</v>
      </c>
      <c r="Q1595">
        <v>-0.58296082686448902</v>
      </c>
      <c r="R1595">
        <v>1.5951625316216</v>
      </c>
      <c r="S1595">
        <v>12.777591174947</v>
      </c>
      <c r="T1595">
        <v>0.99111990378694004</v>
      </c>
      <c r="U1595">
        <v>-6.27136365172528</v>
      </c>
      <c r="V1595">
        <v>0.33745552891283898</v>
      </c>
      <c r="W1595">
        <v>0.87368774661315896</v>
      </c>
      <c r="X1595">
        <v>0</v>
      </c>
      <c r="Y1595">
        <v>0</v>
      </c>
    </row>
    <row r="1596" spans="1:25" x14ac:dyDescent="0.2">
      <c r="A1596" t="s">
        <v>5993</v>
      </c>
      <c r="B1596" t="s">
        <v>5994</v>
      </c>
      <c r="C1596" t="s">
        <v>5995</v>
      </c>
      <c r="D1596" t="s">
        <v>5996</v>
      </c>
      <c r="E1596" t="s">
        <v>5994</v>
      </c>
      <c r="F1596" t="s">
        <v>28</v>
      </c>
      <c r="G1596" t="s">
        <v>5994</v>
      </c>
      <c r="H1596" t="str">
        <f>"asp-3"</f>
        <v>asp-3</v>
      </c>
      <c r="I1596" t="s">
        <v>5996</v>
      </c>
      <c r="J1596">
        <v>11.5535124192598</v>
      </c>
      <c r="K1596">
        <v>11.242654385003799</v>
      </c>
      <c r="L1596">
        <v>11.9809318206337</v>
      </c>
      <c r="M1596">
        <v>11.5027433553331</v>
      </c>
      <c r="N1596">
        <v>11.978083153191101</v>
      </c>
      <c r="O1596">
        <v>12.4292004330655</v>
      </c>
      <c r="P1596">
        <v>0.377642772230811</v>
      </c>
      <c r="Q1596">
        <v>-0.249104307520603</v>
      </c>
      <c r="R1596">
        <v>1.0043898519822201</v>
      </c>
      <c r="S1596">
        <v>12.0989967249293</v>
      </c>
      <c r="T1596">
        <v>1.2850808853592</v>
      </c>
      <c r="U1596">
        <v>-6.0559286720234704</v>
      </c>
      <c r="V1596">
        <v>0.21838801081593401</v>
      </c>
      <c r="W1596">
        <v>0.79508962856638699</v>
      </c>
      <c r="X1596">
        <v>0</v>
      </c>
      <c r="Y1596">
        <v>0</v>
      </c>
    </row>
    <row r="1597" spans="1:25" x14ac:dyDescent="0.2">
      <c r="A1597" t="s">
        <v>5997</v>
      </c>
      <c r="B1597" t="s">
        <v>5998</v>
      </c>
      <c r="C1597" t="s">
        <v>5999</v>
      </c>
      <c r="D1597" t="s">
        <v>6000</v>
      </c>
      <c r="E1597" t="s">
        <v>5998</v>
      </c>
      <c r="F1597" t="s">
        <v>28</v>
      </c>
      <c r="G1597" t="s">
        <v>5998</v>
      </c>
      <c r="H1597" t="str">
        <f>"arx-6"</f>
        <v>arx-6</v>
      </c>
      <c r="I1597" t="s">
        <v>6000</v>
      </c>
      <c r="J1597">
        <v>15.689890819857901</v>
      </c>
      <c r="K1597">
        <v>15.586847790647999</v>
      </c>
      <c r="L1597">
        <v>15.479028056647101</v>
      </c>
      <c r="M1597">
        <v>15.5234619312698</v>
      </c>
      <c r="N1597">
        <v>15.3771520231109</v>
      </c>
      <c r="O1597">
        <v>15.464193756249101</v>
      </c>
      <c r="P1597">
        <v>-0.13031965217442101</v>
      </c>
      <c r="Q1597">
        <v>-0.42048790953107301</v>
      </c>
      <c r="R1597">
        <v>0.15984860518223001</v>
      </c>
      <c r="S1597">
        <v>15.0488696245766</v>
      </c>
      <c r="T1597">
        <v>-0.94395767906378203</v>
      </c>
      <c r="U1597">
        <v>-6.4282503828750999</v>
      </c>
      <c r="V1597">
        <v>0.35776260115458203</v>
      </c>
      <c r="W1597">
        <v>0.88269106754885296</v>
      </c>
      <c r="X1597">
        <v>0</v>
      </c>
      <c r="Y1597">
        <v>0</v>
      </c>
    </row>
    <row r="1598" spans="1:25" x14ac:dyDescent="0.2">
      <c r="A1598" t="s">
        <v>6001</v>
      </c>
      <c r="B1598" t="s">
        <v>6002</v>
      </c>
      <c r="C1598" t="s">
        <v>6003</v>
      </c>
      <c r="D1598" t="s">
        <v>6004</v>
      </c>
      <c r="E1598" t="s">
        <v>6002</v>
      </c>
      <c r="F1598" t="s">
        <v>28</v>
      </c>
      <c r="G1598" t="s">
        <v>6002</v>
      </c>
      <c r="H1598" t="str">
        <f>"rpl-12"</f>
        <v>rpl-12</v>
      </c>
      <c r="I1598" t="s">
        <v>6004</v>
      </c>
      <c r="J1598">
        <v>14.6086018768193</v>
      </c>
      <c r="K1598">
        <v>14.963402727037399</v>
      </c>
      <c r="L1598">
        <v>15.3302612597523</v>
      </c>
      <c r="M1598">
        <v>14.958920559927099</v>
      </c>
      <c r="N1598">
        <v>14.0035949602406</v>
      </c>
      <c r="O1598">
        <v>14.598110916085</v>
      </c>
      <c r="P1598">
        <v>-0.44721314245209398</v>
      </c>
      <c r="Q1598">
        <v>-1.31750468275593</v>
      </c>
      <c r="R1598">
        <v>0.423078397851745</v>
      </c>
      <c r="S1598">
        <v>15.264596057150399</v>
      </c>
      <c r="T1598">
        <v>-1.0800461398416901</v>
      </c>
      <c r="U1598">
        <v>-6.2922338318093196</v>
      </c>
      <c r="V1598">
        <v>0.294463710202298</v>
      </c>
      <c r="W1598">
        <v>0.85855590823088301</v>
      </c>
      <c r="X1598">
        <v>0</v>
      </c>
      <c r="Y1598">
        <v>0</v>
      </c>
    </row>
    <row r="1599" spans="1:25" x14ac:dyDescent="0.2">
      <c r="A1599" t="s">
        <v>6005</v>
      </c>
      <c r="B1599" t="s">
        <v>6006</v>
      </c>
      <c r="C1599" t="s">
        <v>6007</v>
      </c>
      <c r="D1599" t="s">
        <v>6008</v>
      </c>
      <c r="E1599" t="s">
        <v>6006</v>
      </c>
      <c r="F1599" t="s">
        <v>28</v>
      </c>
      <c r="G1599" t="s">
        <v>6006</v>
      </c>
      <c r="H1599" t="str">
        <f>"his-67"</f>
        <v>his-67</v>
      </c>
      <c r="I1599" t="s">
        <v>6008</v>
      </c>
      <c r="J1599">
        <v>18.221761992707499</v>
      </c>
      <c r="K1599">
        <v>18.728575537074601</v>
      </c>
      <c r="L1599">
        <v>18.623623033785499</v>
      </c>
      <c r="M1599">
        <v>18.676826377190999</v>
      </c>
      <c r="N1599">
        <v>17.8021663184537</v>
      </c>
      <c r="O1599">
        <v>18.516718733859101</v>
      </c>
      <c r="P1599">
        <v>-0.192749711354644</v>
      </c>
      <c r="Q1599">
        <v>-0.99131260710017299</v>
      </c>
      <c r="R1599">
        <v>0.60581318439088605</v>
      </c>
      <c r="S1599">
        <v>18.352833711731101</v>
      </c>
      <c r="T1599">
        <v>-0.50731432093022699</v>
      </c>
      <c r="U1599">
        <v>-6.7489830776324</v>
      </c>
      <c r="V1599">
        <v>0.61812920518410797</v>
      </c>
      <c r="W1599">
        <v>0.97279262440453396</v>
      </c>
      <c r="X1599">
        <v>0</v>
      </c>
      <c r="Y1599">
        <v>0</v>
      </c>
    </row>
    <row r="1600" spans="1:25" x14ac:dyDescent="0.2">
      <c r="A1600" t="s">
        <v>6009</v>
      </c>
      <c r="B1600" t="s">
        <v>6010</v>
      </c>
      <c r="C1600" t="s">
        <v>6011</v>
      </c>
      <c r="D1600" t="s">
        <v>6012</v>
      </c>
      <c r="E1600" t="s">
        <v>6010</v>
      </c>
      <c r="F1600" t="s">
        <v>28</v>
      </c>
      <c r="G1600" t="s">
        <v>6010</v>
      </c>
      <c r="H1600" t="str">
        <f>"eif-2Bgamma"</f>
        <v>eif-2Bgamma</v>
      </c>
      <c r="I1600" t="s">
        <v>6012</v>
      </c>
      <c r="J1600" t="s">
        <v>29</v>
      </c>
      <c r="K1600" t="s">
        <v>29</v>
      </c>
      <c r="L1600">
        <v>11.062487126470501</v>
      </c>
      <c r="M1600" t="s">
        <v>29</v>
      </c>
      <c r="N1600" t="s">
        <v>29</v>
      </c>
      <c r="O1600">
        <v>13.5628656455706</v>
      </c>
      <c r="P1600">
        <v>2.5003785191001602</v>
      </c>
      <c r="Q1600">
        <v>1.4606353871214399</v>
      </c>
      <c r="R1600">
        <v>3.54012165107889</v>
      </c>
      <c r="S1600">
        <v>12.5906656675319</v>
      </c>
      <c r="T1600">
        <v>5.4498431609906799</v>
      </c>
      <c r="U1600">
        <v>0.44099734534511398</v>
      </c>
      <c r="V1600">
        <v>4.2259475874335399E-4</v>
      </c>
      <c r="W1600">
        <v>1.5981765421566901E-2</v>
      </c>
      <c r="X1600">
        <v>1</v>
      </c>
      <c r="Y1600">
        <v>1</v>
      </c>
    </row>
    <row r="1601" spans="1:25" x14ac:dyDescent="0.2">
      <c r="A1601" t="s">
        <v>6013</v>
      </c>
      <c r="B1601" t="s">
        <v>6014</v>
      </c>
      <c r="C1601" t="s">
        <v>6015</v>
      </c>
      <c r="D1601" t="s">
        <v>6016</v>
      </c>
      <c r="E1601" t="s">
        <v>6014</v>
      </c>
      <c r="F1601" t="s">
        <v>28</v>
      </c>
      <c r="G1601" t="s">
        <v>6014</v>
      </c>
      <c r="H1601" t="str">
        <f>"cdc-14"</f>
        <v>cdc-14</v>
      </c>
      <c r="I1601" t="s">
        <v>6016</v>
      </c>
      <c r="J1601">
        <v>13.243309867012</v>
      </c>
      <c r="K1601">
        <v>13.604331562137901</v>
      </c>
      <c r="L1601">
        <v>13.725254241239201</v>
      </c>
      <c r="M1601">
        <v>12.924038002002501</v>
      </c>
      <c r="N1601">
        <v>12.701225948887201</v>
      </c>
      <c r="O1601">
        <v>13.2486515512806</v>
      </c>
      <c r="P1601">
        <v>-0.56632672273957296</v>
      </c>
      <c r="Q1601">
        <v>-1.0637889372877301</v>
      </c>
      <c r="R1601">
        <v>-6.8864508191418899E-2</v>
      </c>
      <c r="S1601">
        <v>13.2415650704261</v>
      </c>
      <c r="T1601">
        <v>-2.4030176962529599</v>
      </c>
      <c r="U1601">
        <v>-4.28337298133793</v>
      </c>
      <c r="V1601">
        <v>2.8033612198349701E-2</v>
      </c>
      <c r="W1601">
        <v>0.36330730778039799</v>
      </c>
      <c r="X1601">
        <v>0</v>
      </c>
      <c r="Y1601">
        <v>0</v>
      </c>
    </row>
    <row r="1602" spans="1:25" x14ac:dyDescent="0.2">
      <c r="A1602" t="s">
        <v>6017</v>
      </c>
      <c r="B1602" t="s">
        <v>6018</v>
      </c>
      <c r="C1602" t="s">
        <v>6019</v>
      </c>
      <c r="D1602" t="s">
        <v>6020</v>
      </c>
      <c r="E1602" t="s">
        <v>6018</v>
      </c>
      <c r="F1602" t="s">
        <v>28</v>
      </c>
      <c r="G1602" t="s">
        <v>6018</v>
      </c>
      <c r="H1602" t="str">
        <f>"snap-29"</f>
        <v>snap-29</v>
      </c>
      <c r="I1602" t="s">
        <v>6020</v>
      </c>
      <c r="J1602" t="s">
        <v>29</v>
      </c>
      <c r="K1602" t="s">
        <v>29</v>
      </c>
      <c r="L1602">
        <v>11.6064249704422</v>
      </c>
      <c r="M1602">
        <v>13.9092914914447</v>
      </c>
      <c r="N1602">
        <v>13.8405999219158</v>
      </c>
      <c r="O1602">
        <v>13.8624875623318</v>
      </c>
      <c r="P1602">
        <v>2.2643680214551898</v>
      </c>
      <c r="Q1602">
        <v>1.4415835929008201</v>
      </c>
      <c r="R1602">
        <v>3.0871524500095502</v>
      </c>
      <c r="S1602">
        <v>13.029214159653201</v>
      </c>
      <c r="T1602">
        <v>5.9068078283679899</v>
      </c>
      <c r="U1602">
        <v>2.4401195955710899</v>
      </c>
      <c r="V1602" s="2">
        <v>3.9424203061830901E-5</v>
      </c>
      <c r="W1602">
        <v>2.2621335825823E-3</v>
      </c>
      <c r="X1602">
        <v>1</v>
      </c>
      <c r="Y1602">
        <v>1</v>
      </c>
    </row>
    <row r="1603" spans="1:25" x14ac:dyDescent="0.2">
      <c r="A1603" t="s">
        <v>6021</v>
      </c>
      <c r="B1603" t="s">
        <v>6022</v>
      </c>
      <c r="C1603" t="s">
        <v>6023</v>
      </c>
      <c r="D1603" t="s">
        <v>6024</v>
      </c>
      <c r="E1603" t="s">
        <v>6022</v>
      </c>
      <c r="F1603" t="s">
        <v>28</v>
      </c>
      <c r="G1603" t="s">
        <v>6022</v>
      </c>
      <c r="H1603" t="str">
        <f>"acly-2"</f>
        <v>acly-2</v>
      </c>
      <c r="I1603" t="s">
        <v>6024</v>
      </c>
      <c r="J1603">
        <v>13.066939003681901</v>
      </c>
      <c r="K1603">
        <v>12.740926175281601</v>
      </c>
      <c r="L1603">
        <v>12.7990560559585</v>
      </c>
      <c r="M1603">
        <v>13.007115630549899</v>
      </c>
      <c r="N1603">
        <v>12.755528138592</v>
      </c>
      <c r="O1603">
        <v>12.9442079979</v>
      </c>
      <c r="P1603">
        <v>3.3310177373325103E-2</v>
      </c>
      <c r="Q1603">
        <v>-0.35379143646016697</v>
      </c>
      <c r="R1603">
        <v>0.42041179120681799</v>
      </c>
      <c r="S1603">
        <v>13.0666412558242</v>
      </c>
      <c r="T1603">
        <v>0.180860812075929</v>
      </c>
      <c r="U1603">
        <v>-6.8654140921246798</v>
      </c>
      <c r="V1603">
        <v>0.85850940479964399</v>
      </c>
      <c r="W1603">
        <v>0.99370971747667503</v>
      </c>
      <c r="X1603">
        <v>0</v>
      </c>
      <c r="Y1603">
        <v>0</v>
      </c>
    </row>
    <row r="1604" spans="1:25" x14ac:dyDescent="0.2">
      <c r="A1604" t="s">
        <v>6025</v>
      </c>
      <c r="B1604" t="s">
        <v>6026</v>
      </c>
      <c r="C1604" t="s">
        <v>6027</v>
      </c>
      <c r="D1604" t="s">
        <v>1965</v>
      </c>
      <c r="E1604" t="s">
        <v>6026</v>
      </c>
      <c r="F1604" t="s">
        <v>28</v>
      </c>
      <c r="G1604" t="s">
        <v>6026</v>
      </c>
      <c r="H1604" t="str">
        <f>"eat-6"</f>
        <v>eat-6</v>
      </c>
      <c r="I1604" t="s">
        <v>1965</v>
      </c>
      <c r="J1604">
        <v>19.4554449110903</v>
      </c>
      <c r="K1604">
        <v>19.378624474367999</v>
      </c>
      <c r="L1604">
        <v>19.078325682219599</v>
      </c>
      <c r="M1604">
        <v>19.1428839253558</v>
      </c>
      <c r="N1604">
        <v>18.906927056341502</v>
      </c>
      <c r="O1604">
        <v>19.1804125238822</v>
      </c>
      <c r="P1604">
        <v>-0.22739052069945501</v>
      </c>
      <c r="Q1604">
        <v>-0.55075984353423402</v>
      </c>
      <c r="R1604">
        <v>9.5978802135323907E-2</v>
      </c>
      <c r="S1604">
        <v>18.8878363625765</v>
      </c>
      <c r="T1604">
        <v>-1.47797147467344</v>
      </c>
      <c r="U1604">
        <v>-5.8062733309638803</v>
      </c>
      <c r="V1604">
        <v>0.15680056527485001</v>
      </c>
      <c r="W1604">
        <v>0.75297522917584003</v>
      </c>
      <c r="X1604">
        <v>0</v>
      </c>
      <c r="Y1604">
        <v>0</v>
      </c>
    </row>
    <row r="1605" spans="1:25" x14ac:dyDescent="0.2">
      <c r="A1605" t="s">
        <v>6028</v>
      </c>
      <c r="B1605" t="s">
        <v>6029</v>
      </c>
      <c r="C1605" t="s">
        <v>6030</v>
      </c>
      <c r="D1605" t="s">
        <v>1866</v>
      </c>
      <c r="E1605" t="s">
        <v>6029</v>
      </c>
      <c r="F1605" t="s">
        <v>28</v>
      </c>
      <c r="G1605" t="s">
        <v>6029</v>
      </c>
      <c r="H1605" t="str">
        <f>"wht-2"</f>
        <v>wht-2</v>
      </c>
      <c r="I1605" t="s">
        <v>1866</v>
      </c>
      <c r="J1605">
        <v>12.2589190911067</v>
      </c>
      <c r="K1605">
        <v>12.817540908312701</v>
      </c>
      <c r="L1605">
        <v>12.470514156407299</v>
      </c>
      <c r="M1605">
        <v>11.2444971100989</v>
      </c>
      <c r="N1605">
        <v>12.0115431522772</v>
      </c>
      <c r="O1605">
        <v>11.787767374169601</v>
      </c>
      <c r="P1605">
        <v>-0.83438883976032396</v>
      </c>
      <c r="Q1605">
        <v>-1.6178264026128</v>
      </c>
      <c r="R1605">
        <v>-5.0951276907848599E-2</v>
      </c>
      <c r="S1605">
        <v>12.1855370269784</v>
      </c>
      <c r="T1605">
        <v>-2.2714631831621199</v>
      </c>
      <c r="U1605">
        <v>-4.5469918749882003</v>
      </c>
      <c r="V1605">
        <v>3.8387746954083E-2</v>
      </c>
      <c r="W1605">
        <v>0.42323366778142302</v>
      </c>
      <c r="X1605">
        <v>0</v>
      </c>
      <c r="Y1605">
        <v>0</v>
      </c>
    </row>
    <row r="1606" spans="1:25" x14ac:dyDescent="0.2">
      <c r="A1606" t="s">
        <v>6031</v>
      </c>
      <c r="B1606" t="s">
        <v>6032</v>
      </c>
      <c r="C1606" t="s">
        <v>6033</v>
      </c>
      <c r="D1606" t="s">
        <v>6034</v>
      </c>
      <c r="E1606" t="s">
        <v>6032</v>
      </c>
      <c r="F1606" t="s">
        <v>28</v>
      </c>
      <c r="G1606" t="s">
        <v>6032</v>
      </c>
      <c r="H1606" t="str">
        <f>"catp-8"</f>
        <v>catp-8</v>
      </c>
      <c r="I1606" t="s">
        <v>6034</v>
      </c>
      <c r="J1606">
        <v>14.619667456631101</v>
      </c>
      <c r="K1606">
        <v>14.447402953904099</v>
      </c>
      <c r="L1606">
        <v>14.681371402781901</v>
      </c>
      <c r="M1606">
        <v>14.709702604211101</v>
      </c>
      <c r="N1606">
        <v>14.549581915558299</v>
      </c>
      <c r="O1606">
        <v>14.266303749981001</v>
      </c>
      <c r="P1606">
        <v>-7.4284514522254597E-2</v>
      </c>
      <c r="Q1606">
        <v>-0.50308062306150902</v>
      </c>
      <c r="R1606">
        <v>0.354511594017</v>
      </c>
      <c r="S1606">
        <v>14.5455433830461</v>
      </c>
      <c r="T1606">
        <v>-0.36411617111052802</v>
      </c>
      <c r="U1606">
        <v>-6.8134744524347601</v>
      </c>
      <c r="V1606">
        <v>0.72003795208939703</v>
      </c>
      <c r="W1606">
        <v>0.98910356032152003</v>
      </c>
      <c r="X1606">
        <v>0</v>
      </c>
      <c r="Y1606">
        <v>0</v>
      </c>
    </row>
    <row r="1607" spans="1:25" x14ac:dyDescent="0.2">
      <c r="A1607" t="s">
        <v>6035</v>
      </c>
      <c r="B1607" t="s">
        <v>6036</v>
      </c>
      <c r="C1607" t="s">
        <v>6037</v>
      </c>
      <c r="D1607" t="s">
        <v>6038</v>
      </c>
      <c r="E1607" t="s">
        <v>6036</v>
      </c>
      <c r="F1607" t="s">
        <v>28</v>
      </c>
      <c r="G1607" t="s">
        <v>6036</v>
      </c>
      <c r="H1607" t="str">
        <f>"figo-1"</f>
        <v>figo-1</v>
      </c>
      <c r="I1607" t="s">
        <v>6038</v>
      </c>
      <c r="J1607">
        <v>12.2447063349993</v>
      </c>
      <c r="K1607">
        <v>12.1598183201237</v>
      </c>
      <c r="L1607">
        <v>11.7178385206801</v>
      </c>
      <c r="M1607">
        <v>12.290830092985299</v>
      </c>
      <c r="N1607">
        <v>11.6648272174991</v>
      </c>
      <c r="O1607">
        <v>11.377981940313701</v>
      </c>
      <c r="P1607">
        <v>-0.26290797500166402</v>
      </c>
      <c r="Q1607">
        <v>-0.81699028935947104</v>
      </c>
      <c r="R1607">
        <v>0.29117433935614401</v>
      </c>
      <c r="S1607">
        <v>12.328605147846901</v>
      </c>
      <c r="T1607">
        <v>-1.0119780151822</v>
      </c>
      <c r="U1607">
        <v>-6.3596594625712504</v>
      </c>
      <c r="V1607">
        <v>0.3277060703679</v>
      </c>
      <c r="W1607">
        <v>0.87178721197791498</v>
      </c>
      <c r="X1607">
        <v>0</v>
      </c>
      <c r="Y1607">
        <v>0</v>
      </c>
    </row>
    <row r="1608" spans="1:25" x14ac:dyDescent="0.2">
      <c r="A1608" t="s">
        <v>6039</v>
      </c>
      <c r="B1608" t="s">
        <v>6040</v>
      </c>
      <c r="C1608" t="s">
        <v>6041</v>
      </c>
      <c r="D1608" t="s">
        <v>6042</v>
      </c>
      <c r="E1608" t="s">
        <v>6040</v>
      </c>
      <c r="F1608" t="s">
        <v>28</v>
      </c>
      <c r="G1608" t="s">
        <v>6040</v>
      </c>
      <c r="H1608" t="str">
        <f>"pafo-1"</f>
        <v>pafo-1</v>
      </c>
      <c r="I1608" t="s">
        <v>6042</v>
      </c>
      <c r="J1608" t="s">
        <v>29</v>
      </c>
      <c r="K1608" t="s">
        <v>29</v>
      </c>
      <c r="L1608" t="s">
        <v>29</v>
      </c>
      <c r="M1608">
        <v>10.751823775787001</v>
      </c>
      <c r="N1608" t="s">
        <v>29</v>
      </c>
      <c r="O1608" t="s">
        <v>29</v>
      </c>
      <c r="P1608" t="s">
        <v>29</v>
      </c>
      <c r="Q1608" t="s">
        <v>29</v>
      </c>
      <c r="R1608" t="s">
        <v>29</v>
      </c>
      <c r="S1608">
        <v>13.055078838923899</v>
      </c>
      <c r="T1608" t="s">
        <v>29</v>
      </c>
      <c r="U1608" t="s">
        <v>29</v>
      </c>
      <c r="V1608" t="s">
        <v>29</v>
      </c>
      <c r="W1608" t="s">
        <v>29</v>
      </c>
      <c r="X1608" t="s">
        <v>29</v>
      </c>
      <c r="Y1608" t="s">
        <v>29</v>
      </c>
    </row>
    <row r="1609" spans="1:25" x14ac:dyDescent="0.2">
      <c r="A1609" t="s">
        <v>6043</v>
      </c>
      <c r="B1609" t="s">
        <v>6044</v>
      </c>
      <c r="C1609" t="s">
        <v>6045</v>
      </c>
      <c r="D1609" t="s">
        <v>6046</v>
      </c>
      <c r="E1609" t="s">
        <v>6044</v>
      </c>
      <c r="F1609" t="s">
        <v>28</v>
      </c>
      <c r="G1609" t="s">
        <v>6044</v>
      </c>
      <c r="H1609" t="str">
        <f>"prg-1"</f>
        <v>prg-1</v>
      </c>
      <c r="I1609" t="s">
        <v>6046</v>
      </c>
      <c r="J1609">
        <v>14.4979789582991</v>
      </c>
      <c r="K1609">
        <v>14.368445124898599</v>
      </c>
      <c r="L1609">
        <v>14.5612230087805</v>
      </c>
      <c r="M1609">
        <v>14.3826008233042</v>
      </c>
      <c r="N1609">
        <v>14.649044686211401</v>
      </c>
      <c r="O1609">
        <v>14.304258514724699</v>
      </c>
      <c r="P1609">
        <v>-3.05810225793E-2</v>
      </c>
      <c r="Q1609">
        <v>-0.39650736379627699</v>
      </c>
      <c r="R1609">
        <v>0.33534531863767802</v>
      </c>
      <c r="S1609">
        <v>14.5377309923563</v>
      </c>
      <c r="T1609">
        <v>-0.17640396532109301</v>
      </c>
      <c r="U1609">
        <v>-6.8661945145469199</v>
      </c>
      <c r="V1609">
        <v>0.86207385566100803</v>
      </c>
      <c r="W1609">
        <v>0.99394475928068404</v>
      </c>
      <c r="X1609">
        <v>0</v>
      </c>
      <c r="Y1609">
        <v>0</v>
      </c>
    </row>
    <row r="1610" spans="1:25" x14ac:dyDescent="0.2">
      <c r="A1610" t="s">
        <v>6047</v>
      </c>
      <c r="B1610" t="s">
        <v>6048</v>
      </c>
      <c r="C1610" t="s">
        <v>14404</v>
      </c>
      <c r="D1610" t="s">
        <v>6049</v>
      </c>
      <c r="E1610" t="s">
        <v>6048</v>
      </c>
      <c r="F1610" t="s">
        <v>28</v>
      </c>
      <c r="G1610" t="s">
        <v>6048</v>
      </c>
      <c r="H1610" t="str">
        <f>"D2030.2"</f>
        <v>D2030.2</v>
      </c>
      <c r="I1610" t="s">
        <v>6049</v>
      </c>
      <c r="J1610">
        <v>14.1001057079338</v>
      </c>
      <c r="K1610">
        <v>14.504868686391699</v>
      </c>
      <c r="L1610">
        <v>14.298052839880301</v>
      </c>
      <c r="M1610">
        <v>14.2185973999166</v>
      </c>
      <c r="N1610">
        <v>14.7241695774705</v>
      </c>
      <c r="O1610">
        <v>14.4975814382561</v>
      </c>
      <c r="P1610">
        <v>0.179107060479133</v>
      </c>
      <c r="Q1610">
        <v>-0.37722192990821402</v>
      </c>
      <c r="R1610">
        <v>0.73543605086648001</v>
      </c>
      <c r="S1610">
        <v>14.987797695996701</v>
      </c>
      <c r="T1610">
        <v>0.679565038592432</v>
      </c>
      <c r="U1610">
        <v>-6.6437220721116397</v>
      </c>
      <c r="V1610">
        <v>0.50598474570705498</v>
      </c>
      <c r="W1610">
        <v>0.94062983959761604</v>
      </c>
      <c r="X1610">
        <v>0</v>
      </c>
      <c r="Y1610">
        <v>0</v>
      </c>
    </row>
    <row r="1611" spans="1:25" x14ac:dyDescent="0.2">
      <c r="A1611" t="s">
        <v>6050</v>
      </c>
      <c r="B1611" t="s">
        <v>6051</v>
      </c>
      <c r="C1611" t="s">
        <v>14405</v>
      </c>
      <c r="D1611" t="s">
        <v>6052</v>
      </c>
      <c r="E1611" t="s">
        <v>6051</v>
      </c>
      <c r="F1611" t="s">
        <v>28</v>
      </c>
      <c r="G1611" t="s">
        <v>6051</v>
      </c>
      <c r="H1611" t="str">
        <f>"D2030.3"</f>
        <v>D2030.3</v>
      </c>
      <c r="I1611" t="s">
        <v>6052</v>
      </c>
      <c r="J1611">
        <v>13.400588938810699</v>
      </c>
      <c r="K1611">
        <v>13.289442973392701</v>
      </c>
      <c r="L1611">
        <v>12.639794313016001</v>
      </c>
      <c r="M1611">
        <v>13.084154728752001</v>
      </c>
      <c r="N1611">
        <v>13.082123354151101</v>
      </c>
      <c r="O1611">
        <v>13.496215365000401</v>
      </c>
      <c r="P1611">
        <v>0.110889074228032</v>
      </c>
      <c r="Q1611">
        <v>-0.36800121593110302</v>
      </c>
      <c r="R1611">
        <v>0.58977936438716705</v>
      </c>
      <c r="S1611">
        <v>12.9817750337349</v>
      </c>
      <c r="T1611">
        <v>0.48876797162392299</v>
      </c>
      <c r="U1611">
        <v>-6.7581628622789296</v>
      </c>
      <c r="V1611">
        <v>0.63128996881005295</v>
      </c>
      <c r="W1611">
        <v>0.97279262440453396</v>
      </c>
      <c r="X1611">
        <v>0</v>
      </c>
      <c r="Y1611">
        <v>0</v>
      </c>
    </row>
    <row r="1612" spans="1:25" x14ac:dyDescent="0.2">
      <c r="A1612" t="s">
        <v>6053</v>
      </c>
      <c r="B1612" t="s">
        <v>6054</v>
      </c>
      <c r="C1612" t="s">
        <v>14406</v>
      </c>
      <c r="D1612" t="s">
        <v>6055</v>
      </c>
      <c r="E1612" t="s">
        <v>6054</v>
      </c>
      <c r="F1612" t="s">
        <v>28</v>
      </c>
      <c r="G1612" t="s">
        <v>6054</v>
      </c>
      <c r="H1612" t="str">
        <f>"D2030.8"</f>
        <v>D2030.8</v>
      </c>
      <c r="I1612" t="s">
        <v>6055</v>
      </c>
      <c r="J1612" t="s">
        <v>29</v>
      </c>
      <c r="K1612" t="s">
        <v>29</v>
      </c>
      <c r="L1612" t="s">
        <v>29</v>
      </c>
      <c r="M1612" t="s">
        <v>29</v>
      </c>
      <c r="N1612" t="s">
        <v>29</v>
      </c>
      <c r="O1612" t="s">
        <v>29</v>
      </c>
      <c r="P1612" t="s">
        <v>29</v>
      </c>
      <c r="Q1612" t="s">
        <v>29</v>
      </c>
      <c r="R1612" t="s">
        <v>29</v>
      </c>
      <c r="S1612">
        <v>11.1927257706673</v>
      </c>
      <c r="T1612" t="s">
        <v>29</v>
      </c>
      <c r="U1612" t="s">
        <v>29</v>
      </c>
      <c r="V1612" t="s">
        <v>29</v>
      </c>
      <c r="W1612" t="s">
        <v>29</v>
      </c>
      <c r="X1612" t="s">
        <v>29</v>
      </c>
      <c r="Y1612" t="s">
        <v>29</v>
      </c>
    </row>
    <row r="1613" spans="1:25" x14ac:dyDescent="0.2">
      <c r="A1613" t="s">
        <v>6056</v>
      </c>
      <c r="B1613" t="s">
        <v>6057</v>
      </c>
      <c r="C1613" t="s">
        <v>6058</v>
      </c>
      <c r="D1613" t="s">
        <v>6059</v>
      </c>
      <c r="E1613" t="s">
        <v>6057</v>
      </c>
      <c r="F1613" t="s">
        <v>28</v>
      </c>
      <c r="G1613" t="s">
        <v>6057</v>
      </c>
      <c r="H1613" t="str">
        <f>"gpdh-3"</f>
        <v>gpdh-3</v>
      </c>
      <c r="I1613" t="s">
        <v>6059</v>
      </c>
      <c r="J1613">
        <v>13.723809660218301</v>
      </c>
      <c r="K1613">
        <v>13.5890230147228</v>
      </c>
      <c r="L1613">
        <v>13.344105719600901</v>
      </c>
      <c r="M1613">
        <v>13.4772455785803</v>
      </c>
      <c r="N1613">
        <v>13.310783977938501</v>
      </c>
      <c r="O1613">
        <v>13.3572739217026</v>
      </c>
      <c r="P1613">
        <v>-0.17054497210688199</v>
      </c>
      <c r="Q1613">
        <v>-0.63784951216978403</v>
      </c>
      <c r="R1613">
        <v>0.29675956795602099</v>
      </c>
      <c r="S1613">
        <v>13.274755215140001</v>
      </c>
      <c r="T1613">
        <v>-0.76706370375397703</v>
      </c>
      <c r="U1613">
        <v>-6.5800556018668699</v>
      </c>
      <c r="V1613">
        <v>0.453045674432552</v>
      </c>
      <c r="W1613">
        <v>0.92582104169957002</v>
      </c>
      <c r="X1613">
        <v>0</v>
      </c>
      <c r="Y1613">
        <v>0</v>
      </c>
    </row>
    <row r="1614" spans="1:25" x14ac:dyDescent="0.2">
      <c r="A1614" t="s">
        <v>6060</v>
      </c>
      <c r="B1614" t="s">
        <v>6061</v>
      </c>
      <c r="C1614" t="s">
        <v>6062</v>
      </c>
      <c r="D1614" t="s">
        <v>6063</v>
      </c>
      <c r="E1614" t="s">
        <v>6061</v>
      </c>
      <c r="F1614" t="s">
        <v>28</v>
      </c>
      <c r="G1614" t="s">
        <v>6061</v>
      </c>
      <c r="H1614" t="str">
        <f>"F10C2.4"</f>
        <v>F10C2.4</v>
      </c>
      <c r="I1614" t="s">
        <v>6063</v>
      </c>
      <c r="J1614">
        <v>14.854863675806101</v>
      </c>
      <c r="K1614">
        <v>14.665120239024599</v>
      </c>
      <c r="L1614">
        <v>14.561794876822701</v>
      </c>
      <c r="M1614">
        <v>14.5390363749798</v>
      </c>
      <c r="N1614">
        <v>14.714581980054399</v>
      </c>
      <c r="O1614">
        <v>14.7664423321055</v>
      </c>
      <c r="P1614">
        <v>-2.05727015045216E-2</v>
      </c>
      <c r="Q1614">
        <v>-0.401711821382013</v>
      </c>
      <c r="R1614">
        <v>0.36056641837296999</v>
      </c>
      <c r="S1614">
        <v>14.631546998417001</v>
      </c>
      <c r="T1614">
        <v>-0.11448730382684801</v>
      </c>
      <c r="U1614">
        <v>-6.8755982769386002</v>
      </c>
      <c r="V1614">
        <v>0.91028522324247596</v>
      </c>
      <c r="W1614">
        <v>0.99833354317360001</v>
      </c>
      <c r="X1614">
        <v>0</v>
      </c>
      <c r="Y1614">
        <v>0</v>
      </c>
    </row>
    <row r="1615" spans="1:25" x14ac:dyDescent="0.2">
      <c r="A1615" t="s">
        <v>6064</v>
      </c>
      <c r="B1615" t="s">
        <v>6065</v>
      </c>
      <c r="C1615" t="s">
        <v>6066</v>
      </c>
      <c r="D1615" t="s">
        <v>6067</v>
      </c>
      <c r="E1615" t="s">
        <v>6065</v>
      </c>
      <c r="F1615" t="s">
        <v>28</v>
      </c>
      <c r="G1615" t="s">
        <v>6065</v>
      </c>
      <c r="H1615" t="str">
        <f>"dars-2"</f>
        <v>dars-2</v>
      </c>
      <c r="I1615" t="s">
        <v>6067</v>
      </c>
      <c r="J1615">
        <v>12.4563604138402</v>
      </c>
      <c r="K1615">
        <v>13.100645638263</v>
      </c>
      <c r="L1615">
        <v>12.942159939932599</v>
      </c>
      <c r="M1615">
        <v>13.3891054515826</v>
      </c>
      <c r="N1615">
        <v>13.3432560618701</v>
      </c>
      <c r="O1615">
        <v>13.289866232286901</v>
      </c>
      <c r="P1615">
        <v>0.50768725123462799</v>
      </c>
      <c r="Q1615">
        <v>-8.4683044519376804E-2</v>
      </c>
      <c r="R1615">
        <v>1.10005754698863</v>
      </c>
      <c r="S1615">
        <v>13.364775512174599</v>
      </c>
      <c r="T1615">
        <v>1.80906011258154</v>
      </c>
      <c r="U1615">
        <v>-5.3160543602749097</v>
      </c>
      <c r="V1615">
        <v>8.8271068126136998E-2</v>
      </c>
      <c r="W1615">
        <v>0.62272311637140598</v>
      </c>
      <c r="X1615">
        <v>0</v>
      </c>
      <c r="Y1615">
        <v>0</v>
      </c>
    </row>
    <row r="1616" spans="1:25" x14ac:dyDescent="0.2">
      <c r="A1616" t="s">
        <v>6068</v>
      </c>
      <c r="B1616" t="s">
        <v>6069</v>
      </c>
      <c r="C1616" t="s">
        <v>6070</v>
      </c>
      <c r="D1616" t="s">
        <v>6071</v>
      </c>
      <c r="E1616" t="s">
        <v>6069</v>
      </c>
      <c r="F1616" t="s">
        <v>28</v>
      </c>
      <c r="G1616" t="s">
        <v>6069</v>
      </c>
      <c r="H1616" t="str">
        <f>"smgl-1"</f>
        <v>smgl-1</v>
      </c>
      <c r="I1616" t="s">
        <v>6071</v>
      </c>
      <c r="J1616">
        <v>12.822589567675401</v>
      </c>
      <c r="K1616" t="s">
        <v>29</v>
      </c>
      <c r="L1616">
        <v>12.789136493795899</v>
      </c>
      <c r="M1616" t="s">
        <v>29</v>
      </c>
      <c r="N1616">
        <v>12.8845889105203</v>
      </c>
      <c r="O1616">
        <v>13.079782860323499</v>
      </c>
      <c r="P1616">
        <v>0.17632285468619299</v>
      </c>
      <c r="Q1616">
        <v>-0.36158829080252503</v>
      </c>
      <c r="R1616">
        <v>0.71423400017491101</v>
      </c>
      <c r="S1616">
        <v>12.7964861030836</v>
      </c>
      <c r="T1616">
        <v>0.70873733303153796</v>
      </c>
      <c r="U1616">
        <v>-6.4209967736375502</v>
      </c>
      <c r="V1616">
        <v>0.49110253544149302</v>
      </c>
      <c r="W1616">
        <v>0.94062983959761604</v>
      </c>
      <c r="X1616">
        <v>0</v>
      </c>
      <c r="Y1616">
        <v>0</v>
      </c>
    </row>
    <row r="1617" spans="1:25" x14ac:dyDescent="0.2">
      <c r="A1617" t="s">
        <v>6072</v>
      </c>
      <c r="B1617" t="s">
        <v>6073</v>
      </c>
      <c r="C1617" t="s">
        <v>6074</v>
      </c>
      <c r="D1617" t="s">
        <v>6075</v>
      </c>
      <c r="E1617" t="s">
        <v>6073</v>
      </c>
      <c r="F1617" t="s">
        <v>28</v>
      </c>
      <c r="G1617" t="s">
        <v>6073</v>
      </c>
      <c r="H1617" t="str">
        <f>"F26E4.3"</f>
        <v>F26E4.3</v>
      </c>
      <c r="I1617" t="s">
        <v>6075</v>
      </c>
      <c r="J1617">
        <v>13.2637279617259</v>
      </c>
      <c r="K1617">
        <v>13.0263045755965</v>
      </c>
      <c r="L1617">
        <v>13.697830781830501</v>
      </c>
      <c r="M1617">
        <v>12.958113984626999</v>
      </c>
      <c r="N1617">
        <v>12.939715910489101</v>
      </c>
      <c r="O1617">
        <v>12.8601506922006</v>
      </c>
      <c r="P1617">
        <v>-0.40996091061206602</v>
      </c>
      <c r="Q1617">
        <v>-1.0838218876875201</v>
      </c>
      <c r="R1617">
        <v>0.26390006646339198</v>
      </c>
      <c r="S1617">
        <v>13.003106499039699</v>
      </c>
      <c r="T1617">
        <v>-1.2786881926276299</v>
      </c>
      <c r="U1617">
        <v>-6.0653644445789903</v>
      </c>
      <c r="V1617">
        <v>0.21734185884273699</v>
      </c>
      <c r="W1617">
        <v>0.79508962856638699</v>
      </c>
      <c r="X1617">
        <v>0</v>
      </c>
      <c r="Y1617">
        <v>0</v>
      </c>
    </row>
    <row r="1618" spans="1:25" x14ac:dyDescent="0.2">
      <c r="A1618" t="s">
        <v>6076</v>
      </c>
      <c r="B1618" t="s">
        <v>6077</v>
      </c>
      <c r="C1618" t="s">
        <v>14407</v>
      </c>
      <c r="D1618" t="s">
        <v>6078</v>
      </c>
      <c r="E1618" t="s">
        <v>6077</v>
      </c>
      <c r="F1618" t="s">
        <v>28</v>
      </c>
      <c r="G1618" t="s">
        <v>6077</v>
      </c>
      <c r="H1618" t="str">
        <f>"F36A2.7"</f>
        <v>F36A2.7</v>
      </c>
      <c r="I1618" t="s">
        <v>6078</v>
      </c>
      <c r="J1618">
        <v>15.801561369123901</v>
      </c>
      <c r="K1618">
        <v>15.535411771954699</v>
      </c>
      <c r="L1618">
        <v>15.428180963518001</v>
      </c>
      <c r="M1618">
        <v>15.357906223728399</v>
      </c>
      <c r="N1618">
        <v>15.2139119105794</v>
      </c>
      <c r="O1618">
        <v>15.217973183216101</v>
      </c>
      <c r="P1618">
        <v>-0.32512092902425099</v>
      </c>
      <c r="Q1618">
        <v>-0.67257974424156197</v>
      </c>
      <c r="R1618">
        <v>2.2337886193059101E-2</v>
      </c>
      <c r="S1618">
        <v>15.206886901945101</v>
      </c>
      <c r="T1618">
        <v>-1.9666818325856901</v>
      </c>
      <c r="U1618">
        <v>-5.0548066269710503</v>
      </c>
      <c r="V1618">
        <v>6.4924572942435296E-2</v>
      </c>
      <c r="W1618">
        <v>0.54425435454011295</v>
      </c>
      <c r="X1618">
        <v>0</v>
      </c>
      <c r="Y1618">
        <v>0</v>
      </c>
    </row>
    <row r="1619" spans="1:25" x14ac:dyDescent="0.2">
      <c r="A1619" t="s">
        <v>6079</v>
      </c>
      <c r="B1619" t="s">
        <v>6080</v>
      </c>
      <c r="C1619" t="s">
        <v>14408</v>
      </c>
      <c r="D1619" t="s">
        <v>2043</v>
      </c>
      <c r="E1619" t="s">
        <v>6080</v>
      </c>
      <c r="F1619" t="s">
        <v>28</v>
      </c>
      <c r="G1619" t="s">
        <v>6080</v>
      </c>
      <c r="H1619" t="str">
        <f>"F49C12.9"</f>
        <v>F49C12.9</v>
      </c>
      <c r="I1619" t="s">
        <v>2043</v>
      </c>
      <c r="J1619">
        <v>12.2167559126644</v>
      </c>
      <c r="K1619">
        <v>12.4594684183898</v>
      </c>
      <c r="L1619">
        <v>11.8890862429778</v>
      </c>
      <c r="M1619">
        <v>12.4320441706141</v>
      </c>
      <c r="N1619">
        <v>12.479050666879701</v>
      </c>
      <c r="O1619">
        <v>12.2277664912619</v>
      </c>
      <c r="P1619">
        <v>0.19118358490790899</v>
      </c>
      <c r="Q1619">
        <v>-0.39326894384510802</v>
      </c>
      <c r="R1619">
        <v>0.775636113660926</v>
      </c>
      <c r="S1619">
        <v>12.253760097950099</v>
      </c>
      <c r="T1619">
        <v>0.69048042667915499</v>
      </c>
      <c r="U1619">
        <v>-6.6360978734520399</v>
      </c>
      <c r="V1619">
        <v>0.49926893609605599</v>
      </c>
      <c r="W1619">
        <v>0.94062983959761604</v>
      </c>
      <c r="X1619">
        <v>0</v>
      </c>
      <c r="Y1619">
        <v>0</v>
      </c>
    </row>
    <row r="1620" spans="1:25" x14ac:dyDescent="0.2">
      <c r="A1620" t="s">
        <v>6081</v>
      </c>
      <c r="B1620" t="s">
        <v>6082</v>
      </c>
      <c r="C1620" t="s">
        <v>6083</v>
      </c>
      <c r="D1620" t="s">
        <v>6084</v>
      </c>
      <c r="E1620" t="s">
        <v>6082</v>
      </c>
      <c r="F1620" t="s">
        <v>28</v>
      </c>
      <c r="G1620" t="s">
        <v>6082</v>
      </c>
      <c r="H1620" t="str">
        <f>"rde-12"</f>
        <v>rde-12</v>
      </c>
      <c r="I1620" t="s">
        <v>6084</v>
      </c>
      <c r="J1620">
        <v>17.100837852439302</v>
      </c>
      <c r="K1620">
        <v>17.333450728764799</v>
      </c>
      <c r="L1620">
        <v>17.5424694797154</v>
      </c>
      <c r="M1620">
        <v>17.087825121812099</v>
      </c>
      <c r="N1620">
        <v>17.184291155027001</v>
      </c>
      <c r="O1620">
        <v>17.070425588704499</v>
      </c>
      <c r="P1620">
        <v>-0.21140539845865899</v>
      </c>
      <c r="Q1620">
        <v>-0.62528510964542505</v>
      </c>
      <c r="R1620">
        <v>0.20247431272810701</v>
      </c>
      <c r="S1620">
        <v>17.426646912341901</v>
      </c>
      <c r="T1620">
        <v>-1.0735800908633499</v>
      </c>
      <c r="U1620">
        <v>-6.2990625230689599</v>
      </c>
      <c r="V1620">
        <v>0.29727506282300997</v>
      </c>
      <c r="W1620">
        <v>0.85855590823088301</v>
      </c>
      <c r="X1620">
        <v>0</v>
      </c>
      <c r="Y1620">
        <v>0</v>
      </c>
    </row>
    <row r="1621" spans="1:25" x14ac:dyDescent="0.2">
      <c r="A1621" t="s">
        <v>6085</v>
      </c>
      <c r="B1621" t="s">
        <v>6086</v>
      </c>
      <c r="C1621" t="s">
        <v>6087</v>
      </c>
      <c r="D1621" t="s">
        <v>522</v>
      </c>
      <c r="E1621" t="s">
        <v>6086</v>
      </c>
      <c r="F1621" t="s">
        <v>28</v>
      </c>
      <c r="G1621" t="s">
        <v>6086</v>
      </c>
      <c r="H1621" t="str">
        <f>"mip-2"</f>
        <v>mip-2</v>
      </c>
      <c r="I1621" t="s">
        <v>522</v>
      </c>
      <c r="J1621">
        <v>11.178177646133401</v>
      </c>
      <c r="K1621">
        <v>13.769119696879599</v>
      </c>
      <c r="L1621">
        <v>12.009181239338499</v>
      </c>
      <c r="M1621">
        <v>12.5384241459916</v>
      </c>
      <c r="N1621">
        <v>11.551263400788001</v>
      </c>
      <c r="O1621" t="s">
        <v>29</v>
      </c>
      <c r="P1621">
        <v>-0.273982420727371</v>
      </c>
      <c r="Q1621">
        <v>-1.45195810717177</v>
      </c>
      <c r="R1621">
        <v>0.90399326571703198</v>
      </c>
      <c r="S1621">
        <v>12.345475047614901</v>
      </c>
      <c r="T1621">
        <v>-0.49920423914725298</v>
      </c>
      <c r="U1621">
        <v>-6.6415351708478303</v>
      </c>
      <c r="V1621">
        <v>0.62544600887560797</v>
      </c>
      <c r="W1621">
        <v>0.97279262440453396</v>
      </c>
      <c r="X1621">
        <v>0</v>
      </c>
      <c r="Y1621">
        <v>0</v>
      </c>
    </row>
    <row r="1622" spans="1:25" x14ac:dyDescent="0.2">
      <c r="A1622" t="s">
        <v>6088</v>
      </c>
      <c r="B1622" t="s">
        <v>6089</v>
      </c>
      <c r="C1622" t="s">
        <v>6090</v>
      </c>
      <c r="D1622" t="s">
        <v>6091</v>
      </c>
      <c r="E1622" t="s">
        <v>6089</v>
      </c>
      <c r="F1622" t="s">
        <v>28</v>
      </c>
      <c r="G1622" t="s">
        <v>6089</v>
      </c>
      <c r="H1622" t="str">
        <f>"ifa-4"</f>
        <v>ifa-4</v>
      </c>
      <c r="I1622" t="s">
        <v>6091</v>
      </c>
      <c r="J1622">
        <v>14.4079249711926</v>
      </c>
      <c r="K1622">
        <v>14.5114313801165</v>
      </c>
      <c r="L1622">
        <v>15.115647740279901</v>
      </c>
      <c r="M1622">
        <v>14.584205349087201</v>
      </c>
      <c r="N1622">
        <v>14.635035853620399</v>
      </c>
      <c r="O1622">
        <v>14.7215058259812</v>
      </c>
      <c r="P1622">
        <v>-3.14190209667604E-2</v>
      </c>
      <c r="Q1622">
        <v>-1.1229508162533901</v>
      </c>
      <c r="R1622">
        <v>1.06011277431986</v>
      </c>
      <c r="S1622">
        <v>14.8819558676865</v>
      </c>
      <c r="T1622">
        <v>-6.0499079992998799E-2</v>
      </c>
      <c r="U1622">
        <v>-6.8805773563674402</v>
      </c>
      <c r="V1622">
        <v>0.95242869176564704</v>
      </c>
      <c r="W1622">
        <v>0.99968702248720698</v>
      </c>
      <c r="X1622">
        <v>0</v>
      </c>
      <c r="Y1622">
        <v>0</v>
      </c>
    </row>
    <row r="1623" spans="1:25" x14ac:dyDescent="0.2">
      <c r="A1623" t="s">
        <v>6092</v>
      </c>
      <c r="B1623" t="s">
        <v>6093</v>
      </c>
      <c r="C1623" t="s">
        <v>6094</v>
      </c>
      <c r="D1623" t="s">
        <v>6095</v>
      </c>
      <c r="E1623" t="s">
        <v>6093</v>
      </c>
      <c r="F1623" t="s">
        <v>28</v>
      </c>
      <c r="G1623" t="s">
        <v>6093</v>
      </c>
      <c r="H1623" t="str">
        <f>"ifa-1"</f>
        <v>ifa-1</v>
      </c>
      <c r="I1623" t="s">
        <v>6095</v>
      </c>
      <c r="J1623" t="s">
        <v>29</v>
      </c>
      <c r="K1623">
        <v>12.579571397792501</v>
      </c>
      <c r="L1623">
        <v>12.5257720586707</v>
      </c>
      <c r="M1623" t="s">
        <v>29</v>
      </c>
      <c r="N1623">
        <v>11.897732220741799</v>
      </c>
      <c r="O1623">
        <v>12.200914872534</v>
      </c>
      <c r="P1623">
        <v>-0.50334818159375205</v>
      </c>
      <c r="Q1623">
        <v>-1.6888107088245301</v>
      </c>
      <c r="R1623">
        <v>0.68211434563703</v>
      </c>
      <c r="S1623">
        <v>12.670739223345899</v>
      </c>
      <c r="T1623">
        <v>-0.91132349372048105</v>
      </c>
      <c r="U1623">
        <v>-6.2568279308718902</v>
      </c>
      <c r="V1623">
        <v>0.377664210406842</v>
      </c>
      <c r="W1623">
        <v>0.89651771527130897</v>
      </c>
      <c r="X1623">
        <v>0</v>
      </c>
      <c r="Y1623">
        <v>0</v>
      </c>
    </row>
    <row r="1624" spans="1:25" x14ac:dyDescent="0.2">
      <c r="A1624" t="s">
        <v>6096</v>
      </c>
      <c r="B1624" t="s">
        <v>6097</v>
      </c>
      <c r="C1624" t="s">
        <v>14162</v>
      </c>
      <c r="D1624" t="s">
        <v>3609</v>
      </c>
      <c r="E1624" t="s">
        <v>6097</v>
      </c>
      <c r="F1624" t="s">
        <v>28</v>
      </c>
      <c r="G1624" t="s">
        <v>6097</v>
      </c>
      <c r="H1624" t="str">
        <f>"K02B12.7"</f>
        <v>K02B12.7</v>
      </c>
      <c r="I1624" t="s">
        <v>3609</v>
      </c>
      <c r="J1624" t="s">
        <v>29</v>
      </c>
      <c r="K1624" t="s">
        <v>29</v>
      </c>
      <c r="L1624" t="s">
        <v>29</v>
      </c>
      <c r="M1624">
        <v>14.1905332042775</v>
      </c>
      <c r="N1624">
        <v>14.222445539632099</v>
      </c>
      <c r="O1624">
        <v>13.9904131418731</v>
      </c>
      <c r="P1624" t="s">
        <v>29</v>
      </c>
      <c r="Q1624" t="s">
        <v>29</v>
      </c>
      <c r="R1624" t="s">
        <v>29</v>
      </c>
      <c r="S1624">
        <v>13.2037119621637</v>
      </c>
      <c r="T1624" t="s">
        <v>29</v>
      </c>
      <c r="U1624" t="s">
        <v>29</v>
      </c>
      <c r="V1624" t="s">
        <v>29</v>
      </c>
      <c r="W1624" t="s">
        <v>29</v>
      </c>
      <c r="X1624" t="s">
        <v>29</v>
      </c>
      <c r="Y1624" t="s">
        <v>29</v>
      </c>
    </row>
    <row r="1625" spans="1:25" x14ac:dyDescent="0.2">
      <c r="A1625" t="s">
        <v>6098</v>
      </c>
      <c r="B1625" t="s">
        <v>6099</v>
      </c>
      <c r="C1625" t="s">
        <v>6100</v>
      </c>
      <c r="D1625" t="s">
        <v>6101</v>
      </c>
      <c r="E1625" t="s">
        <v>6099</v>
      </c>
      <c r="F1625" t="s">
        <v>28</v>
      </c>
      <c r="G1625" t="s">
        <v>6099</v>
      </c>
      <c r="H1625" t="str">
        <f>"ate-1"</f>
        <v>ate-1</v>
      </c>
      <c r="I1625" t="s">
        <v>6101</v>
      </c>
      <c r="J1625">
        <v>12.129917388255601</v>
      </c>
      <c r="K1625">
        <v>12.143525211194101</v>
      </c>
      <c r="L1625">
        <v>11.997444191509199</v>
      </c>
      <c r="M1625">
        <v>11.7850004998934</v>
      </c>
      <c r="N1625">
        <v>12.0622188376924</v>
      </c>
      <c r="O1625">
        <v>12.067795805562399</v>
      </c>
      <c r="P1625">
        <v>-0.118623882603567</v>
      </c>
      <c r="Q1625">
        <v>-0.62441833142543002</v>
      </c>
      <c r="R1625">
        <v>0.38717056621829699</v>
      </c>
      <c r="S1625">
        <v>12.3140222316762</v>
      </c>
      <c r="T1625">
        <v>-0.49504888777345901</v>
      </c>
      <c r="U1625">
        <v>-6.7549702952825204</v>
      </c>
      <c r="V1625">
        <v>0.62694205725902497</v>
      </c>
      <c r="W1625">
        <v>0.97279262440453396</v>
      </c>
      <c r="X1625">
        <v>0</v>
      </c>
      <c r="Y1625">
        <v>0</v>
      </c>
    </row>
    <row r="1626" spans="1:25" x14ac:dyDescent="0.2">
      <c r="A1626" t="s">
        <v>6102</v>
      </c>
      <c r="B1626" t="s">
        <v>6103</v>
      </c>
      <c r="C1626" t="s">
        <v>6104</v>
      </c>
      <c r="D1626" t="s">
        <v>6105</v>
      </c>
      <c r="E1626" t="s">
        <v>6103</v>
      </c>
      <c r="F1626" t="s">
        <v>28</v>
      </c>
      <c r="G1626" t="s">
        <v>6103</v>
      </c>
      <c r="H1626" t="str">
        <f>"lin-53"</f>
        <v>lin-53</v>
      </c>
      <c r="I1626" t="s">
        <v>6105</v>
      </c>
      <c r="J1626">
        <v>13.7386390557645</v>
      </c>
      <c r="K1626">
        <v>13.829782720651099</v>
      </c>
      <c r="L1626">
        <v>13.7977003345187</v>
      </c>
      <c r="M1626">
        <v>13.9267832175733</v>
      </c>
      <c r="N1626">
        <v>14.024106846890501</v>
      </c>
      <c r="O1626">
        <v>13.892247728297299</v>
      </c>
      <c r="P1626">
        <v>0.159005227275619</v>
      </c>
      <c r="Q1626">
        <v>-0.49669508778299298</v>
      </c>
      <c r="R1626">
        <v>0.81470554233423198</v>
      </c>
      <c r="S1626">
        <v>14.3901774414402</v>
      </c>
      <c r="T1626">
        <v>0.50968109221045499</v>
      </c>
      <c r="U1626">
        <v>-6.7477435249496596</v>
      </c>
      <c r="V1626">
        <v>0.61650301601689295</v>
      </c>
      <c r="W1626">
        <v>0.97238011246645495</v>
      </c>
      <c r="X1626">
        <v>0</v>
      </c>
      <c r="Y1626">
        <v>0</v>
      </c>
    </row>
    <row r="1627" spans="1:25" x14ac:dyDescent="0.2">
      <c r="A1627" t="s">
        <v>6106</v>
      </c>
      <c r="B1627" t="s">
        <v>6107</v>
      </c>
      <c r="C1627" t="s">
        <v>6108</v>
      </c>
      <c r="D1627" t="s">
        <v>6109</v>
      </c>
      <c r="E1627" t="s">
        <v>6107</v>
      </c>
      <c r="F1627" t="s">
        <v>28</v>
      </c>
      <c r="G1627" t="s">
        <v>6107</v>
      </c>
      <c r="H1627" t="str">
        <f>"rba-1"</f>
        <v>rba-1</v>
      </c>
      <c r="I1627" t="s">
        <v>6109</v>
      </c>
      <c r="J1627" t="s">
        <v>29</v>
      </c>
      <c r="K1627" t="s">
        <v>29</v>
      </c>
      <c r="L1627" t="s">
        <v>29</v>
      </c>
      <c r="M1627" t="s">
        <v>29</v>
      </c>
      <c r="N1627" t="s">
        <v>29</v>
      </c>
      <c r="O1627" t="s">
        <v>29</v>
      </c>
      <c r="P1627" t="s">
        <v>29</v>
      </c>
      <c r="Q1627" t="s">
        <v>29</v>
      </c>
      <c r="R1627" t="s">
        <v>29</v>
      </c>
      <c r="S1627">
        <v>11.753403746665199</v>
      </c>
      <c r="T1627" t="s">
        <v>29</v>
      </c>
      <c r="U1627" t="s">
        <v>29</v>
      </c>
      <c r="V1627" t="s">
        <v>29</v>
      </c>
      <c r="W1627" t="s">
        <v>29</v>
      </c>
      <c r="X1627" t="s">
        <v>29</v>
      </c>
      <c r="Y1627" t="s">
        <v>29</v>
      </c>
    </row>
    <row r="1628" spans="1:25" x14ac:dyDescent="0.2">
      <c r="A1628" t="s">
        <v>6110</v>
      </c>
      <c r="B1628" t="s">
        <v>6111</v>
      </c>
      <c r="C1628" t="s">
        <v>14409</v>
      </c>
      <c r="D1628" t="s">
        <v>6112</v>
      </c>
      <c r="E1628" t="s">
        <v>6111</v>
      </c>
      <c r="F1628" t="s">
        <v>28</v>
      </c>
      <c r="G1628" t="s">
        <v>6111</v>
      </c>
      <c r="H1628" t="str">
        <f>"K07A12.1"</f>
        <v>K07A12.1</v>
      </c>
      <c r="I1628" t="s">
        <v>6112</v>
      </c>
      <c r="J1628">
        <v>12.865849005044099</v>
      </c>
      <c r="K1628">
        <v>12.9279500853527</v>
      </c>
      <c r="L1628">
        <v>12.902283330141399</v>
      </c>
      <c r="M1628">
        <v>13.0928023951504</v>
      </c>
      <c r="N1628">
        <v>13.1802366819042</v>
      </c>
      <c r="O1628">
        <v>12.804326405622501</v>
      </c>
      <c r="P1628">
        <v>0.127094354046285</v>
      </c>
      <c r="Q1628">
        <v>-0.22007618108235899</v>
      </c>
      <c r="R1628">
        <v>0.47426488917492998</v>
      </c>
      <c r="S1628">
        <v>12.750343703805999</v>
      </c>
      <c r="T1628">
        <v>0.77274003360276</v>
      </c>
      <c r="U1628">
        <v>-6.5749739371542004</v>
      </c>
      <c r="V1628">
        <v>0.45035228184832898</v>
      </c>
      <c r="W1628">
        <v>0.92402736990828604</v>
      </c>
      <c r="X1628">
        <v>0</v>
      </c>
      <c r="Y1628">
        <v>0</v>
      </c>
    </row>
    <row r="1629" spans="1:25" x14ac:dyDescent="0.2">
      <c r="A1629" t="s">
        <v>6113</v>
      </c>
      <c r="B1629" t="s">
        <v>6114</v>
      </c>
      <c r="C1629" t="s">
        <v>6115</v>
      </c>
      <c r="D1629" t="s">
        <v>6116</v>
      </c>
      <c r="E1629" t="s">
        <v>6114</v>
      </c>
      <c r="F1629" t="s">
        <v>28</v>
      </c>
      <c r="G1629" t="s">
        <v>6114</v>
      </c>
      <c r="H1629" t="str">
        <f>"asg-1"</f>
        <v>asg-1</v>
      </c>
      <c r="I1629" t="s">
        <v>6116</v>
      </c>
      <c r="J1629">
        <v>14.539394741397899</v>
      </c>
      <c r="K1629">
        <v>13.9519922057837</v>
      </c>
      <c r="L1629">
        <v>13.809588540418799</v>
      </c>
      <c r="M1629">
        <v>13.072312049054901</v>
      </c>
      <c r="N1629">
        <v>12.9878554711978</v>
      </c>
      <c r="O1629">
        <v>12.8342584189782</v>
      </c>
      <c r="P1629">
        <v>-1.1355165161231799</v>
      </c>
      <c r="Q1629">
        <v>-1.74646041948994</v>
      </c>
      <c r="R1629">
        <v>-0.52457261275642098</v>
      </c>
      <c r="S1629">
        <v>13.153935838595901</v>
      </c>
      <c r="T1629">
        <v>-3.9422271983947499</v>
      </c>
      <c r="U1629">
        <v>-1.2063976036550801</v>
      </c>
      <c r="V1629">
        <v>1.1786988944419801E-3</v>
      </c>
      <c r="W1629">
        <v>3.5024195720561799E-2</v>
      </c>
      <c r="X1629">
        <v>-1</v>
      </c>
      <c r="Y1629">
        <v>-1</v>
      </c>
    </row>
    <row r="1630" spans="1:25" x14ac:dyDescent="0.2">
      <c r="A1630" t="s">
        <v>6117</v>
      </c>
      <c r="B1630" t="s">
        <v>6118</v>
      </c>
      <c r="C1630" t="s">
        <v>6119</v>
      </c>
      <c r="D1630" t="s">
        <v>3566</v>
      </c>
      <c r="E1630" t="s">
        <v>6118</v>
      </c>
      <c r="F1630" t="s">
        <v>28</v>
      </c>
      <c r="G1630" t="s">
        <v>6118</v>
      </c>
      <c r="H1630" t="str">
        <f>"hbs-1"</f>
        <v>hbs-1</v>
      </c>
      <c r="I1630" t="s">
        <v>3566</v>
      </c>
      <c r="J1630">
        <v>13.177984118282501</v>
      </c>
      <c r="K1630">
        <v>13.152919185256501</v>
      </c>
      <c r="L1630">
        <v>12.927650182774499</v>
      </c>
      <c r="M1630">
        <v>13.2581959714091</v>
      </c>
      <c r="N1630">
        <v>13.197233981775501</v>
      </c>
      <c r="O1630">
        <v>13.2832252758809</v>
      </c>
      <c r="P1630">
        <v>0.160033914250686</v>
      </c>
      <c r="Q1630">
        <v>-0.19772738125287301</v>
      </c>
      <c r="R1630">
        <v>0.51779520975424598</v>
      </c>
      <c r="S1630">
        <v>12.891002508626899</v>
      </c>
      <c r="T1630">
        <v>0.94421019716843502</v>
      </c>
      <c r="U1630">
        <v>-6.4272406076957003</v>
      </c>
      <c r="V1630">
        <v>0.35837039158920297</v>
      </c>
      <c r="W1630">
        <v>0.88269106754885296</v>
      </c>
      <c r="X1630">
        <v>0</v>
      </c>
      <c r="Y1630">
        <v>0</v>
      </c>
    </row>
    <row r="1631" spans="1:25" x14ac:dyDescent="0.2">
      <c r="A1631" t="s">
        <v>6120</v>
      </c>
      <c r="B1631" t="s">
        <v>6121</v>
      </c>
      <c r="C1631" t="s">
        <v>6122</v>
      </c>
      <c r="D1631" t="s">
        <v>6123</v>
      </c>
      <c r="E1631" t="s">
        <v>6121</v>
      </c>
      <c r="F1631" t="s">
        <v>28</v>
      </c>
      <c r="G1631" t="s">
        <v>6121</v>
      </c>
      <c r="H1631" t="str">
        <f>"pah-1"</f>
        <v>pah-1</v>
      </c>
      <c r="I1631" t="s">
        <v>6123</v>
      </c>
      <c r="J1631">
        <v>14.1130694635717</v>
      </c>
      <c r="K1631">
        <v>13.960931823667</v>
      </c>
      <c r="L1631">
        <v>14.1483473511094</v>
      </c>
      <c r="M1631">
        <v>15.538788886071501</v>
      </c>
      <c r="N1631">
        <v>15.582514959391601</v>
      </c>
      <c r="O1631">
        <v>15.4345205582934</v>
      </c>
      <c r="P1631">
        <v>1.4444919218028001</v>
      </c>
      <c r="Q1631">
        <v>0.86429637441950902</v>
      </c>
      <c r="R1631">
        <v>2.0246874691860999</v>
      </c>
      <c r="S1631">
        <v>15.288984956741601</v>
      </c>
      <c r="T1631">
        <v>5.2327891909085897</v>
      </c>
      <c r="U1631">
        <v>1.7395773347628201</v>
      </c>
      <c r="V1631" s="2">
        <v>5.7307971485536898E-5</v>
      </c>
      <c r="W1631">
        <v>3.0273163349820199E-3</v>
      </c>
      <c r="X1631">
        <v>1</v>
      </c>
      <c r="Y1631">
        <v>1</v>
      </c>
    </row>
    <row r="1632" spans="1:25" x14ac:dyDescent="0.2">
      <c r="A1632" t="s">
        <v>6124</v>
      </c>
      <c r="B1632" t="s">
        <v>6125</v>
      </c>
      <c r="C1632" t="s">
        <v>14410</v>
      </c>
      <c r="D1632" t="s">
        <v>6126</v>
      </c>
      <c r="E1632" t="s">
        <v>6125</v>
      </c>
      <c r="F1632" t="s">
        <v>28</v>
      </c>
      <c r="G1632" t="s">
        <v>6125</v>
      </c>
      <c r="H1632" t="str">
        <f>"M04C9.3"</f>
        <v>M04C9.3</v>
      </c>
      <c r="I1632" t="s">
        <v>6126</v>
      </c>
      <c r="J1632">
        <v>11.9758408909323</v>
      </c>
      <c r="K1632">
        <v>12.440037239444701</v>
      </c>
      <c r="L1632">
        <v>12.436651693561499</v>
      </c>
      <c r="M1632">
        <v>12.698442581145599</v>
      </c>
      <c r="N1632">
        <v>12.7989039116289</v>
      </c>
      <c r="O1632">
        <v>12.8796828124862</v>
      </c>
      <c r="P1632">
        <v>0.50816649377401502</v>
      </c>
      <c r="Q1632">
        <v>8.7045029990956396E-2</v>
      </c>
      <c r="R1632">
        <v>0.92928795755707305</v>
      </c>
      <c r="S1632">
        <v>13.2181495815978</v>
      </c>
      <c r="T1632">
        <v>2.55945901113272</v>
      </c>
      <c r="U1632">
        <v>-4.0030683496833701</v>
      </c>
      <c r="V1632">
        <v>2.1075235384729499E-2</v>
      </c>
      <c r="W1632">
        <v>0.29846120578884999</v>
      </c>
      <c r="X1632">
        <v>0</v>
      </c>
      <c r="Y1632">
        <v>0</v>
      </c>
    </row>
    <row r="1633" spans="1:25" x14ac:dyDescent="0.2">
      <c r="A1633" t="s">
        <v>6127</v>
      </c>
      <c r="B1633" t="s">
        <v>6128</v>
      </c>
      <c r="C1633" t="s">
        <v>6129</v>
      </c>
      <c r="D1633" t="s">
        <v>6130</v>
      </c>
      <c r="E1633" t="s">
        <v>6128</v>
      </c>
      <c r="F1633" t="s">
        <v>28</v>
      </c>
      <c r="G1633" t="s">
        <v>6128</v>
      </c>
      <c r="H1633" t="str">
        <f>"hmp-1"</f>
        <v>hmp-1</v>
      </c>
      <c r="I1633" t="s">
        <v>6130</v>
      </c>
      <c r="J1633">
        <v>11.2773298610255</v>
      </c>
      <c r="K1633">
        <v>10.974568725354599</v>
      </c>
      <c r="L1633" t="s">
        <v>29</v>
      </c>
      <c r="M1633">
        <v>12.834105794203801</v>
      </c>
      <c r="N1633">
        <v>12.512063557933301</v>
      </c>
      <c r="O1633">
        <v>12.478020885301101</v>
      </c>
      <c r="P1633">
        <v>1.4821141192893501</v>
      </c>
      <c r="Q1633">
        <v>0.82955007166419503</v>
      </c>
      <c r="R1633">
        <v>2.1346781669145098</v>
      </c>
      <c r="S1633">
        <v>12.0177573527027</v>
      </c>
      <c r="T1633">
        <v>4.8439550826888604</v>
      </c>
      <c r="U1633">
        <v>0.58652175144501795</v>
      </c>
      <c r="V1633">
        <v>2.1882407492601399E-4</v>
      </c>
      <c r="W1633">
        <v>9.2183103968832194E-3</v>
      </c>
      <c r="X1633">
        <v>1</v>
      </c>
      <c r="Y1633">
        <v>1</v>
      </c>
    </row>
    <row r="1634" spans="1:25" x14ac:dyDescent="0.2">
      <c r="A1634" t="s">
        <v>6131</v>
      </c>
      <c r="B1634" t="s">
        <v>6132</v>
      </c>
      <c r="C1634" t="s">
        <v>6133</v>
      </c>
      <c r="D1634" t="s">
        <v>6134</v>
      </c>
      <c r="E1634" t="s">
        <v>6132</v>
      </c>
      <c r="F1634" t="s">
        <v>28</v>
      </c>
      <c r="G1634" t="s">
        <v>6132</v>
      </c>
      <c r="H1634" t="str">
        <f>"clic-1"</f>
        <v>clic-1</v>
      </c>
      <c r="I1634" t="s">
        <v>6134</v>
      </c>
      <c r="J1634" t="s">
        <v>29</v>
      </c>
      <c r="K1634" t="s">
        <v>29</v>
      </c>
      <c r="L1634" t="s">
        <v>29</v>
      </c>
      <c r="M1634">
        <v>13.9985590979775</v>
      </c>
      <c r="N1634">
        <v>13.637576467223299</v>
      </c>
      <c r="O1634">
        <v>13.2011588298622</v>
      </c>
      <c r="P1634" t="s">
        <v>29</v>
      </c>
      <c r="Q1634" t="s">
        <v>29</v>
      </c>
      <c r="R1634" t="s">
        <v>29</v>
      </c>
      <c r="S1634">
        <v>13.2659525533885</v>
      </c>
      <c r="T1634" t="s">
        <v>29</v>
      </c>
      <c r="U1634" t="s">
        <v>29</v>
      </c>
      <c r="V1634" t="s">
        <v>29</v>
      </c>
      <c r="W1634" t="s">
        <v>29</v>
      </c>
      <c r="X1634" t="s">
        <v>29</v>
      </c>
      <c r="Y1634" t="s">
        <v>29</v>
      </c>
    </row>
    <row r="1635" spans="1:25" x14ac:dyDescent="0.2">
      <c r="A1635" t="s">
        <v>6135</v>
      </c>
      <c r="B1635" t="s">
        <v>6136</v>
      </c>
      <c r="C1635" t="s">
        <v>6137</v>
      </c>
      <c r="D1635" t="s">
        <v>6138</v>
      </c>
      <c r="E1635" t="s">
        <v>6136</v>
      </c>
      <c r="F1635" t="s">
        <v>28</v>
      </c>
      <c r="G1635" t="s">
        <v>6136</v>
      </c>
      <c r="H1635" t="str">
        <f>"T24B1.1"</f>
        <v>T24B1.1</v>
      </c>
      <c r="I1635" t="s">
        <v>6138</v>
      </c>
      <c r="J1635">
        <v>10.7071110297013</v>
      </c>
      <c r="K1635" t="s">
        <v>29</v>
      </c>
      <c r="L1635" t="s">
        <v>29</v>
      </c>
      <c r="M1635">
        <v>11.9418291202684</v>
      </c>
      <c r="N1635">
        <v>11.878348837829201</v>
      </c>
      <c r="O1635" t="s">
        <v>29</v>
      </c>
      <c r="P1635">
        <v>1.2029779493475199</v>
      </c>
      <c r="Q1635">
        <v>-4.9475201245851697E-2</v>
      </c>
      <c r="R1635">
        <v>2.4554310999408799</v>
      </c>
      <c r="S1635">
        <v>11.519984389708901</v>
      </c>
      <c r="T1635">
        <v>2.0767461864138199</v>
      </c>
      <c r="U1635">
        <v>-4.5318907078507502</v>
      </c>
      <c r="V1635">
        <v>5.8385862785226499E-2</v>
      </c>
      <c r="W1635">
        <v>0.51954051162896797</v>
      </c>
      <c r="X1635">
        <v>0</v>
      </c>
      <c r="Y1635">
        <v>0</v>
      </c>
    </row>
    <row r="1636" spans="1:25" x14ac:dyDescent="0.2">
      <c r="A1636" t="s">
        <v>6139</v>
      </c>
      <c r="B1636" t="s">
        <v>6140</v>
      </c>
      <c r="C1636" t="s">
        <v>6141</v>
      </c>
      <c r="D1636" t="s">
        <v>6142</v>
      </c>
      <c r="E1636" t="s">
        <v>6140</v>
      </c>
      <c r="F1636" t="s">
        <v>28</v>
      </c>
      <c r="G1636" t="s">
        <v>6140</v>
      </c>
      <c r="H1636" t="str">
        <f>"uaf-1"</f>
        <v>uaf-1</v>
      </c>
      <c r="I1636" t="s">
        <v>6142</v>
      </c>
      <c r="J1636">
        <v>13.1845357371392</v>
      </c>
      <c r="K1636">
        <v>13.1762240892034</v>
      </c>
      <c r="L1636">
        <v>13.1871483710218</v>
      </c>
      <c r="M1636">
        <v>12.9988446174837</v>
      </c>
      <c r="N1636">
        <v>13.2303320952274</v>
      </c>
      <c r="O1636">
        <v>12.955698565519</v>
      </c>
      <c r="P1636">
        <v>-0.121010973044754</v>
      </c>
      <c r="Q1636">
        <v>-0.85897094434462096</v>
      </c>
      <c r="R1636">
        <v>0.61694899825511196</v>
      </c>
      <c r="S1636">
        <v>13.505438570921999</v>
      </c>
      <c r="T1636">
        <v>-0.34465490290487699</v>
      </c>
      <c r="U1636">
        <v>-6.8206307911793704</v>
      </c>
      <c r="V1636">
        <v>0.73437125420648597</v>
      </c>
      <c r="W1636">
        <v>0.99062225922210301</v>
      </c>
      <c r="X1636">
        <v>0</v>
      </c>
      <c r="Y1636">
        <v>0</v>
      </c>
    </row>
    <row r="1637" spans="1:25" x14ac:dyDescent="0.2">
      <c r="A1637" t="s">
        <v>6143</v>
      </c>
      <c r="B1637" t="s">
        <v>6144</v>
      </c>
      <c r="C1637" t="s">
        <v>6145</v>
      </c>
      <c r="D1637" t="s">
        <v>6146</v>
      </c>
      <c r="E1637" t="s">
        <v>6144</v>
      </c>
      <c r="F1637" t="s">
        <v>28</v>
      </c>
      <c r="G1637" t="s">
        <v>6144</v>
      </c>
      <c r="H1637" t="str">
        <f>"pkc-2"</f>
        <v>pkc-2</v>
      </c>
      <c r="I1637" t="s">
        <v>6146</v>
      </c>
      <c r="J1637">
        <v>13.2501538563782</v>
      </c>
      <c r="K1637">
        <v>13.419497642131001</v>
      </c>
      <c r="L1637">
        <v>13.2978377007917</v>
      </c>
      <c r="M1637">
        <v>12.997304396660599</v>
      </c>
      <c r="N1637">
        <v>13.172559281032999</v>
      </c>
      <c r="O1637">
        <v>13.1200430484721</v>
      </c>
      <c r="P1637">
        <v>-0.22586082437840299</v>
      </c>
      <c r="Q1637">
        <v>-0.59873036379039901</v>
      </c>
      <c r="R1637">
        <v>0.147008715033594</v>
      </c>
      <c r="S1637">
        <v>12.9173896484622</v>
      </c>
      <c r="T1637">
        <v>-1.2785979854647</v>
      </c>
      <c r="U1637">
        <v>-6.0649906613110298</v>
      </c>
      <c r="V1637">
        <v>0.21832409826722901</v>
      </c>
      <c r="W1637">
        <v>0.79508962856638699</v>
      </c>
      <c r="X1637">
        <v>0</v>
      </c>
      <c r="Y1637">
        <v>0</v>
      </c>
    </row>
    <row r="1638" spans="1:25" x14ac:dyDescent="0.2">
      <c r="A1638" t="s">
        <v>6147</v>
      </c>
      <c r="B1638" t="s">
        <v>6148</v>
      </c>
      <c r="C1638" t="s">
        <v>6149</v>
      </c>
      <c r="D1638" t="s">
        <v>6150</v>
      </c>
      <c r="E1638" t="s">
        <v>6148</v>
      </c>
      <c r="F1638" t="s">
        <v>28</v>
      </c>
      <c r="G1638" t="s">
        <v>6148</v>
      </c>
      <c r="H1638" t="str">
        <f>"rps-29"</f>
        <v>rps-29</v>
      </c>
      <c r="I1638" t="s">
        <v>6150</v>
      </c>
      <c r="J1638">
        <v>13.9927017373684</v>
      </c>
      <c r="K1638">
        <v>14.3453640417172</v>
      </c>
      <c r="L1638">
        <v>13.853178955633799</v>
      </c>
      <c r="M1638">
        <v>13.938116860322401</v>
      </c>
      <c r="N1638">
        <v>14.046312779136599</v>
      </c>
      <c r="O1638">
        <v>13.9345732898413</v>
      </c>
      <c r="P1638">
        <v>-9.0747268473029094E-2</v>
      </c>
      <c r="Q1638">
        <v>-0.65684914058489496</v>
      </c>
      <c r="R1638">
        <v>0.47535460363883703</v>
      </c>
      <c r="S1638">
        <v>13.9061762135486</v>
      </c>
      <c r="T1638">
        <v>-0.33692363962391603</v>
      </c>
      <c r="U1638">
        <v>-6.82336613720424</v>
      </c>
      <c r="V1638">
        <v>0.74009372151226804</v>
      </c>
      <c r="W1638">
        <v>0.99147544347995398</v>
      </c>
      <c r="X1638">
        <v>0</v>
      </c>
      <c r="Y1638">
        <v>0</v>
      </c>
    </row>
    <row r="1639" spans="1:25" x14ac:dyDescent="0.2">
      <c r="A1639" t="s">
        <v>6151</v>
      </c>
      <c r="B1639" t="s">
        <v>6152</v>
      </c>
      <c r="C1639" t="s">
        <v>6153</v>
      </c>
      <c r="D1639" t="s">
        <v>6154</v>
      </c>
      <c r="E1639" t="s">
        <v>6152</v>
      </c>
      <c r="F1639" t="s">
        <v>28</v>
      </c>
      <c r="G1639" t="s">
        <v>6152</v>
      </c>
      <c r="H1639" t="str">
        <f>"misc-1"</f>
        <v>misc-1</v>
      </c>
      <c r="I1639" t="s">
        <v>6154</v>
      </c>
      <c r="J1639">
        <v>15.722092969218201</v>
      </c>
      <c r="K1639">
        <v>15.7361692209033</v>
      </c>
      <c r="L1639">
        <v>15.447120360617401</v>
      </c>
      <c r="M1639">
        <v>15.2724276943425</v>
      </c>
      <c r="N1639">
        <v>15.2978892084911</v>
      </c>
      <c r="O1639">
        <v>15.637188398038001</v>
      </c>
      <c r="P1639">
        <v>-0.23262574995575699</v>
      </c>
      <c r="Q1639">
        <v>-0.603240183335636</v>
      </c>
      <c r="R1639">
        <v>0.13798868342412299</v>
      </c>
      <c r="S1639">
        <v>15.288703349970101</v>
      </c>
      <c r="T1639">
        <v>-1.3192526363341499</v>
      </c>
      <c r="U1639">
        <v>-6.0150958183924699</v>
      </c>
      <c r="V1639">
        <v>0.20371675246927801</v>
      </c>
      <c r="W1639">
        <v>0.79075284576134597</v>
      </c>
      <c r="X1639">
        <v>0</v>
      </c>
      <c r="Y1639">
        <v>0</v>
      </c>
    </row>
    <row r="1640" spans="1:25" x14ac:dyDescent="0.2">
      <c r="A1640" t="s">
        <v>6155</v>
      </c>
      <c r="B1640" t="s">
        <v>6156</v>
      </c>
      <c r="C1640" t="s">
        <v>6157</v>
      </c>
      <c r="D1640" t="s">
        <v>6158</v>
      </c>
      <c r="E1640" t="s">
        <v>6156</v>
      </c>
      <c r="F1640" t="s">
        <v>28</v>
      </c>
      <c r="G1640" t="s">
        <v>6156</v>
      </c>
      <c r="H1640" t="str">
        <f>"djr-1.1"</f>
        <v>djr-1.1</v>
      </c>
      <c r="I1640" t="s">
        <v>6158</v>
      </c>
      <c r="J1640">
        <v>11.954392303345401</v>
      </c>
      <c r="K1640">
        <v>11.767434993957</v>
      </c>
      <c r="L1640">
        <v>12.0886308799074</v>
      </c>
      <c r="M1640">
        <v>12.299831676533399</v>
      </c>
      <c r="N1640">
        <v>12.910226691152101</v>
      </c>
      <c r="O1640">
        <v>12.7957242598757</v>
      </c>
      <c r="P1640">
        <v>0.731774816783755</v>
      </c>
      <c r="Q1640">
        <v>0.18544764203322001</v>
      </c>
      <c r="R1640">
        <v>1.2781019915342899</v>
      </c>
      <c r="S1640">
        <v>12.4738104437224</v>
      </c>
      <c r="T1640">
        <v>2.8273180747348401</v>
      </c>
      <c r="U1640">
        <v>-3.45978726733227</v>
      </c>
      <c r="V1640">
        <v>1.16684874088233E-2</v>
      </c>
      <c r="W1640">
        <v>0.19651013461141001</v>
      </c>
      <c r="X1640">
        <v>0</v>
      </c>
      <c r="Y1640">
        <v>0</v>
      </c>
    </row>
    <row r="1641" spans="1:25" x14ac:dyDescent="0.2">
      <c r="A1641" t="s">
        <v>6159</v>
      </c>
      <c r="B1641" t="s">
        <v>6160</v>
      </c>
      <c r="C1641" t="s">
        <v>6161</v>
      </c>
      <c r="D1641" t="s">
        <v>6162</v>
      </c>
      <c r="E1641" t="s">
        <v>6160</v>
      </c>
      <c r="F1641" t="s">
        <v>28</v>
      </c>
      <c r="G1641" t="s">
        <v>6160</v>
      </c>
      <c r="H1641" t="str">
        <f>"dhs-1"</f>
        <v>dhs-1</v>
      </c>
      <c r="I1641" t="s">
        <v>6162</v>
      </c>
      <c r="J1641">
        <v>13.5440167119911</v>
      </c>
      <c r="K1641">
        <v>13.227326002098801</v>
      </c>
      <c r="L1641">
        <v>13.494647806874299</v>
      </c>
      <c r="M1641">
        <v>13.630292777148201</v>
      </c>
      <c r="N1641">
        <v>13.535187620658199</v>
      </c>
      <c r="O1641">
        <v>13.5009948356654</v>
      </c>
      <c r="P1641">
        <v>0.133494904169213</v>
      </c>
      <c r="Q1641">
        <v>-0.42172576932160899</v>
      </c>
      <c r="R1641">
        <v>0.68871557766003499</v>
      </c>
      <c r="S1641">
        <v>13.5502286954674</v>
      </c>
      <c r="T1641">
        <v>0.50751522180217901</v>
      </c>
      <c r="U1641">
        <v>-6.7485165084958503</v>
      </c>
      <c r="V1641">
        <v>0.61835420673992703</v>
      </c>
      <c r="W1641">
        <v>0.97279262440453396</v>
      </c>
      <c r="X1641">
        <v>0</v>
      </c>
      <c r="Y1641">
        <v>0</v>
      </c>
    </row>
    <row r="1642" spans="1:25" x14ac:dyDescent="0.2">
      <c r="A1642" t="s">
        <v>6163</v>
      </c>
      <c r="B1642" t="s">
        <v>6164</v>
      </c>
      <c r="C1642" t="s">
        <v>6165</v>
      </c>
      <c r="D1642" t="s">
        <v>6166</v>
      </c>
      <c r="E1642" t="s">
        <v>6164</v>
      </c>
      <c r="F1642" t="s">
        <v>28</v>
      </c>
      <c r="G1642" t="s">
        <v>6164</v>
      </c>
      <c r="H1642" t="str">
        <f>"hpo-32"</f>
        <v>hpo-32</v>
      </c>
      <c r="I1642" t="s">
        <v>6166</v>
      </c>
      <c r="J1642">
        <v>10.278048381543201</v>
      </c>
      <c r="K1642" t="s">
        <v>29</v>
      </c>
      <c r="L1642">
        <v>10.6908846224902</v>
      </c>
      <c r="M1642" t="s">
        <v>29</v>
      </c>
      <c r="N1642">
        <v>10.9681863662968</v>
      </c>
      <c r="O1642" t="s">
        <v>29</v>
      </c>
      <c r="P1642">
        <v>0.48371986428013403</v>
      </c>
      <c r="Q1642">
        <v>-0.597219839307505</v>
      </c>
      <c r="R1642">
        <v>1.5646595678677699</v>
      </c>
      <c r="S1642">
        <v>10.924349429478401</v>
      </c>
      <c r="T1642">
        <v>0.98609815588670402</v>
      </c>
      <c r="U1642">
        <v>-5.9871164405067798</v>
      </c>
      <c r="V1642">
        <v>0.34547783874626697</v>
      </c>
      <c r="W1642">
        <v>0.87901395057154197</v>
      </c>
      <c r="X1642">
        <v>0</v>
      </c>
      <c r="Y1642">
        <v>0</v>
      </c>
    </row>
    <row r="1643" spans="1:25" x14ac:dyDescent="0.2">
      <c r="A1643" t="s">
        <v>6167</v>
      </c>
      <c r="B1643" t="s">
        <v>6168</v>
      </c>
      <c r="C1643" t="s">
        <v>6169</v>
      </c>
      <c r="D1643" t="s">
        <v>6170</v>
      </c>
      <c r="E1643" t="s">
        <v>6168</v>
      </c>
      <c r="F1643" t="s">
        <v>28</v>
      </c>
      <c r="G1643" t="s">
        <v>6168</v>
      </c>
      <c r="H1643" t="str">
        <f>"C07D8.6"</f>
        <v>C07D8.6</v>
      </c>
      <c r="I1643" t="s">
        <v>6170</v>
      </c>
      <c r="J1643" t="s">
        <v>29</v>
      </c>
      <c r="K1643" t="s">
        <v>29</v>
      </c>
      <c r="L1643" t="s">
        <v>29</v>
      </c>
      <c r="M1643" t="s">
        <v>29</v>
      </c>
      <c r="N1643" t="s">
        <v>29</v>
      </c>
      <c r="O1643" t="s">
        <v>29</v>
      </c>
      <c r="P1643" t="s">
        <v>29</v>
      </c>
      <c r="Q1643" t="s">
        <v>29</v>
      </c>
      <c r="R1643" t="s">
        <v>29</v>
      </c>
      <c r="S1643">
        <v>12.6474347050824</v>
      </c>
      <c r="T1643" t="s">
        <v>29</v>
      </c>
      <c r="U1643" t="s">
        <v>29</v>
      </c>
      <c r="V1643" t="s">
        <v>29</v>
      </c>
      <c r="W1643" t="s">
        <v>29</v>
      </c>
      <c r="X1643" t="s">
        <v>29</v>
      </c>
      <c r="Y1643" t="s">
        <v>29</v>
      </c>
    </row>
    <row r="1644" spans="1:25" x14ac:dyDescent="0.2">
      <c r="A1644" t="s">
        <v>6171</v>
      </c>
      <c r="B1644" t="s">
        <v>6172</v>
      </c>
      <c r="C1644" t="s">
        <v>6173</v>
      </c>
      <c r="D1644" t="s">
        <v>2795</v>
      </c>
      <c r="E1644" t="s">
        <v>6172</v>
      </c>
      <c r="F1644" t="s">
        <v>28</v>
      </c>
      <c r="G1644" t="s">
        <v>6172</v>
      </c>
      <c r="H1644" t="str">
        <f>"ugt-28"</f>
        <v>ugt-28</v>
      </c>
      <c r="I1644" t="s">
        <v>2795</v>
      </c>
      <c r="J1644" t="s">
        <v>29</v>
      </c>
      <c r="K1644" t="s">
        <v>29</v>
      </c>
      <c r="L1644" t="s">
        <v>29</v>
      </c>
      <c r="M1644" t="s">
        <v>29</v>
      </c>
      <c r="N1644" t="s">
        <v>29</v>
      </c>
      <c r="O1644" t="s">
        <v>29</v>
      </c>
      <c r="P1644" t="s">
        <v>29</v>
      </c>
      <c r="Q1644" t="s">
        <v>29</v>
      </c>
      <c r="R1644" t="s">
        <v>29</v>
      </c>
      <c r="S1644">
        <v>11.3688077101407</v>
      </c>
      <c r="T1644" t="s">
        <v>29</v>
      </c>
      <c r="U1644" t="s">
        <v>29</v>
      </c>
      <c r="V1644" t="s">
        <v>29</v>
      </c>
      <c r="W1644" t="s">
        <v>29</v>
      </c>
      <c r="X1644" t="s">
        <v>29</v>
      </c>
      <c r="Y1644" t="s">
        <v>29</v>
      </c>
    </row>
    <row r="1645" spans="1:25" x14ac:dyDescent="0.2">
      <c r="A1645" t="s">
        <v>6174</v>
      </c>
      <c r="B1645" t="s">
        <v>6175</v>
      </c>
      <c r="C1645" t="s">
        <v>6176</v>
      </c>
      <c r="D1645" t="s">
        <v>6177</v>
      </c>
      <c r="E1645" t="s">
        <v>6175</v>
      </c>
      <c r="F1645" t="s">
        <v>28</v>
      </c>
      <c r="G1645" t="s">
        <v>6175</v>
      </c>
      <c r="H1645" t="str">
        <f>"C16C8.16"</f>
        <v>C16C8.16</v>
      </c>
      <c r="I1645" t="s">
        <v>6177</v>
      </c>
      <c r="J1645" t="s">
        <v>29</v>
      </c>
      <c r="K1645" t="s">
        <v>29</v>
      </c>
      <c r="L1645" t="s">
        <v>29</v>
      </c>
      <c r="M1645" t="s">
        <v>29</v>
      </c>
      <c r="N1645" t="s">
        <v>29</v>
      </c>
      <c r="O1645" t="s">
        <v>29</v>
      </c>
      <c r="P1645" t="s">
        <v>29</v>
      </c>
      <c r="Q1645" t="s">
        <v>29</v>
      </c>
      <c r="R1645" t="s">
        <v>29</v>
      </c>
      <c r="S1645">
        <v>9.6422864141220508</v>
      </c>
      <c r="T1645" t="s">
        <v>29</v>
      </c>
      <c r="U1645" t="s">
        <v>29</v>
      </c>
      <c r="V1645" t="s">
        <v>29</v>
      </c>
      <c r="W1645" t="s">
        <v>29</v>
      </c>
      <c r="X1645" t="s">
        <v>29</v>
      </c>
      <c r="Y1645" t="s">
        <v>29</v>
      </c>
    </row>
    <row r="1646" spans="1:25" x14ac:dyDescent="0.2">
      <c r="A1646" t="s">
        <v>6178</v>
      </c>
      <c r="B1646" t="s">
        <v>6179</v>
      </c>
      <c r="C1646" t="s">
        <v>6180</v>
      </c>
      <c r="D1646" t="s">
        <v>6181</v>
      </c>
      <c r="E1646" t="s">
        <v>6179</v>
      </c>
      <c r="F1646" t="s">
        <v>28</v>
      </c>
      <c r="G1646" t="s">
        <v>6179</v>
      </c>
      <c r="H1646" t="str">
        <f>"C17H11.2"</f>
        <v>C17H11.2</v>
      </c>
      <c r="I1646" t="s">
        <v>6181</v>
      </c>
      <c r="J1646" t="s">
        <v>29</v>
      </c>
      <c r="K1646" t="s">
        <v>29</v>
      </c>
      <c r="L1646" t="s">
        <v>29</v>
      </c>
      <c r="M1646" t="s">
        <v>29</v>
      </c>
      <c r="N1646" t="s">
        <v>29</v>
      </c>
      <c r="O1646" t="s">
        <v>29</v>
      </c>
      <c r="P1646" t="s">
        <v>29</v>
      </c>
      <c r="Q1646" t="s">
        <v>29</v>
      </c>
      <c r="R1646" t="s">
        <v>29</v>
      </c>
      <c r="S1646">
        <v>11.910180277812801</v>
      </c>
      <c r="T1646" t="s">
        <v>29</v>
      </c>
      <c r="U1646" t="s">
        <v>29</v>
      </c>
      <c r="V1646" t="s">
        <v>29</v>
      </c>
      <c r="W1646" t="s">
        <v>29</v>
      </c>
      <c r="X1646" t="s">
        <v>29</v>
      </c>
      <c r="Y1646" t="s">
        <v>29</v>
      </c>
    </row>
    <row r="1647" spans="1:25" x14ac:dyDescent="0.2">
      <c r="A1647" t="s">
        <v>6182</v>
      </c>
      <c r="B1647" t="s">
        <v>6183</v>
      </c>
      <c r="C1647" t="s">
        <v>6184</v>
      </c>
      <c r="D1647" t="s">
        <v>6185</v>
      </c>
      <c r="E1647" t="s">
        <v>6183</v>
      </c>
      <c r="F1647" t="s">
        <v>28</v>
      </c>
      <c r="G1647" t="s">
        <v>6183</v>
      </c>
      <c r="H1647" t="str">
        <f>"sptl-1"</f>
        <v>sptl-1</v>
      </c>
      <c r="I1647" t="s">
        <v>6185</v>
      </c>
      <c r="J1647">
        <v>15.4987270717447</v>
      </c>
      <c r="K1647">
        <v>15.535495829122199</v>
      </c>
      <c r="L1647">
        <v>15.2390805369558</v>
      </c>
      <c r="M1647">
        <v>15.6053140010905</v>
      </c>
      <c r="N1647">
        <v>15.5819711951334</v>
      </c>
      <c r="O1647">
        <v>15.5686313637694</v>
      </c>
      <c r="P1647">
        <v>0.160871040723535</v>
      </c>
      <c r="Q1647">
        <v>-0.258650654595656</v>
      </c>
      <c r="R1647">
        <v>0.58039273604272601</v>
      </c>
      <c r="S1647">
        <v>15.190524563117799</v>
      </c>
      <c r="T1647">
        <v>0.80596458629371603</v>
      </c>
      <c r="U1647">
        <v>-6.5491627363968696</v>
      </c>
      <c r="V1647">
        <v>0.43084384728583702</v>
      </c>
      <c r="W1647">
        <v>0.91512503332874395</v>
      </c>
      <c r="X1647">
        <v>0</v>
      </c>
      <c r="Y1647">
        <v>0</v>
      </c>
    </row>
    <row r="1648" spans="1:25" x14ac:dyDescent="0.2">
      <c r="A1648" t="s">
        <v>6186</v>
      </c>
      <c r="B1648" t="s">
        <v>6187</v>
      </c>
      <c r="C1648" t="s">
        <v>6188</v>
      </c>
      <c r="D1648" t="s">
        <v>666</v>
      </c>
      <c r="E1648" t="s">
        <v>6187</v>
      </c>
      <c r="F1648" t="s">
        <v>28</v>
      </c>
      <c r="G1648" t="s">
        <v>6187</v>
      </c>
      <c r="H1648" t="str">
        <f>"pqn-15"</f>
        <v>pqn-15</v>
      </c>
      <c r="I1648" t="s">
        <v>666</v>
      </c>
      <c r="J1648">
        <v>12.256481511274099</v>
      </c>
      <c r="K1648">
        <v>10.9312457801362</v>
      </c>
      <c r="L1648">
        <v>11.2676349344828</v>
      </c>
      <c r="M1648">
        <v>11.757849519953</v>
      </c>
      <c r="N1648">
        <v>12.081637430148399</v>
      </c>
      <c r="O1648">
        <v>11.5764341745561</v>
      </c>
      <c r="P1648">
        <v>0.32018629958811401</v>
      </c>
      <c r="Q1648">
        <v>-0.62397434243461802</v>
      </c>
      <c r="R1648">
        <v>1.2643469416108499</v>
      </c>
      <c r="S1648">
        <v>11.5144851181318</v>
      </c>
      <c r="T1648">
        <v>0.71929390818731698</v>
      </c>
      <c r="U1648">
        <v>-6.6147371666381298</v>
      </c>
      <c r="V1648">
        <v>0.48240207514774103</v>
      </c>
      <c r="W1648">
        <v>0.938191576359659</v>
      </c>
      <c r="X1648">
        <v>0</v>
      </c>
      <c r="Y1648">
        <v>0</v>
      </c>
    </row>
    <row r="1649" spans="1:25" x14ac:dyDescent="0.2">
      <c r="A1649" t="s">
        <v>6189</v>
      </c>
      <c r="B1649" t="s">
        <v>6190</v>
      </c>
      <c r="C1649" t="s">
        <v>6191</v>
      </c>
      <c r="D1649" t="s">
        <v>4483</v>
      </c>
      <c r="E1649" t="s">
        <v>6190</v>
      </c>
      <c r="F1649" t="s">
        <v>28</v>
      </c>
      <c r="G1649" t="s">
        <v>6190</v>
      </c>
      <c r="H1649" t="str">
        <f>"C32E12.1"</f>
        <v>C32E12.1</v>
      </c>
      <c r="I1649" t="s">
        <v>4483</v>
      </c>
      <c r="J1649">
        <v>14.3877815722782</v>
      </c>
      <c r="K1649">
        <v>12.105102823490499</v>
      </c>
      <c r="L1649">
        <v>13.4196915320623</v>
      </c>
      <c r="M1649">
        <v>13.495381986861201</v>
      </c>
      <c r="N1649">
        <v>13.9685055316841</v>
      </c>
      <c r="O1649">
        <v>12.8712914954653</v>
      </c>
      <c r="P1649">
        <v>0.14086769539323599</v>
      </c>
      <c r="Q1649">
        <v>-0.87656953194084597</v>
      </c>
      <c r="R1649">
        <v>1.1583049227273201</v>
      </c>
      <c r="S1649">
        <v>12.415405123631301</v>
      </c>
      <c r="T1649">
        <v>0.29716364601942202</v>
      </c>
      <c r="U1649">
        <v>-6.8357965271836898</v>
      </c>
      <c r="V1649">
        <v>0.77073767403228199</v>
      </c>
      <c r="W1649">
        <v>0.99278624068726296</v>
      </c>
      <c r="X1649">
        <v>0</v>
      </c>
      <c r="Y1649">
        <v>0</v>
      </c>
    </row>
    <row r="1650" spans="1:25" x14ac:dyDescent="0.2">
      <c r="A1650" t="s">
        <v>6192</v>
      </c>
      <c r="B1650" t="s">
        <v>6193</v>
      </c>
      <c r="C1650" t="s">
        <v>6194</v>
      </c>
      <c r="D1650" t="s">
        <v>433</v>
      </c>
      <c r="E1650" t="s">
        <v>6193</v>
      </c>
      <c r="F1650" t="s">
        <v>28</v>
      </c>
      <c r="G1650" t="s">
        <v>6193</v>
      </c>
      <c r="H1650" t="str">
        <f>"pmlr-1"</f>
        <v>pmlr-1</v>
      </c>
      <c r="I1650" t="s">
        <v>433</v>
      </c>
      <c r="J1650">
        <v>12.135398896731701</v>
      </c>
      <c r="K1650">
        <v>12.083456860135501</v>
      </c>
      <c r="L1650">
        <v>12.1798085317931</v>
      </c>
      <c r="M1650">
        <v>12.294719249065</v>
      </c>
      <c r="N1650">
        <v>11.557395558370301</v>
      </c>
      <c r="O1650">
        <v>11.6249236196313</v>
      </c>
      <c r="P1650">
        <v>-0.307208620531224</v>
      </c>
      <c r="Q1650">
        <v>-0.88597155458801802</v>
      </c>
      <c r="R1650">
        <v>0.27155431352557102</v>
      </c>
      <c r="S1650">
        <v>12.114176281727699</v>
      </c>
      <c r="T1650">
        <v>-1.13207263981057</v>
      </c>
      <c r="U1650">
        <v>-6.2335536402019303</v>
      </c>
      <c r="V1650">
        <v>0.27550031133534503</v>
      </c>
      <c r="W1650">
        <v>0.856190392347986</v>
      </c>
      <c r="X1650">
        <v>0</v>
      </c>
      <c r="Y1650">
        <v>0</v>
      </c>
    </row>
    <row r="1651" spans="1:25" x14ac:dyDescent="0.2">
      <c r="A1651" t="s">
        <v>6195</v>
      </c>
      <c r="B1651" t="s">
        <v>6196</v>
      </c>
      <c r="C1651" t="s">
        <v>6197</v>
      </c>
      <c r="D1651" t="s">
        <v>6198</v>
      </c>
      <c r="E1651" t="s">
        <v>6196</v>
      </c>
      <c r="F1651" t="s">
        <v>28</v>
      </c>
      <c r="G1651" t="s">
        <v>6196</v>
      </c>
      <c r="H1651" t="str">
        <f>"rpl-13"</f>
        <v>rpl-13</v>
      </c>
      <c r="I1651" t="s">
        <v>6198</v>
      </c>
      <c r="J1651">
        <v>17.568428399757298</v>
      </c>
      <c r="K1651">
        <v>17.5098576667516</v>
      </c>
      <c r="L1651">
        <v>17.623542720592202</v>
      </c>
      <c r="M1651">
        <v>17.583968934304401</v>
      </c>
      <c r="N1651">
        <v>17.289251118858701</v>
      </c>
      <c r="O1651">
        <v>17.346901532225601</v>
      </c>
      <c r="P1651">
        <v>-0.16056906723745001</v>
      </c>
      <c r="Q1651">
        <v>-0.454472363069782</v>
      </c>
      <c r="R1651">
        <v>0.133334228594882</v>
      </c>
      <c r="S1651">
        <v>17.5038185944642</v>
      </c>
      <c r="T1651">
        <v>-1.1482856602053499</v>
      </c>
      <c r="U1651">
        <v>-6.2179938176730403</v>
      </c>
      <c r="V1651">
        <v>0.26596947429399798</v>
      </c>
      <c r="W1651">
        <v>0.85110231774079403</v>
      </c>
      <c r="X1651">
        <v>0</v>
      </c>
      <c r="Y1651">
        <v>0</v>
      </c>
    </row>
    <row r="1652" spans="1:25" x14ac:dyDescent="0.2">
      <c r="A1652" t="s">
        <v>6199</v>
      </c>
      <c r="B1652" t="s">
        <v>6200</v>
      </c>
      <c r="C1652" t="s">
        <v>6201</v>
      </c>
      <c r="D1652" t="s">
        <v>6202</v>
      </c>
      <c r="E1652" t="s">
        <v>6200</v>
      </c>
      <c r="F1652" t="s">
        <v>28</v>
      </c>
      <c r="G1652" t="s">
        <v>6200</v>
      </c>
      <c r="H1652" t="str">
        <f>"ubr-1"</f>
        <v>ubr-1</v>
      </c>
      <c r="I1652" t="s">
        <v>6202</v>
      </c>
      <c r="J1652">
        <v>13.382368001258101</v>
      </c>
      <c r="K1652">
        <v>13.2972842054927</v>
      </c>
      <c r="L1652">
        <v>13.221004107151501</v>
      </c>
      <c r="M1652">
        <v>13.3248875583079</v>
      </c>
      <c r="N1652">
        <v>13.1205972773891</v>
      </c>
      <c r="O1652">
        <v>13.000606195356299</v>
      </c>
      <c r="P1652">
        <v>-0.151521760949683</v>
      </c>
      <c r="Q1652">
        <v>-0.54682379889778798</v>
      </c>
      <c r="R1652">
        <v>0.243780276998423</v>
      </c>
      <c r="S1652">
        <v>13.0933036705157</v>
      </c>
      <c r="T1652">
        <v>-0.80908838901337499</v>
      </c>
      <c r="U1652">
        <v>-6.5459254040574804</v>
      </c>
      <c r="V1652">
        <v>0.42971182514026801</v>
      </c>
      <c r="W1652">
        <v>0.91512503332874395</v>
      </c>
      <c r="X1652">
        <v>0</v>
      </c>
      <c r="Y1652">
        <v>0</v>
      </c>
    </row>
    <row r="1653" spans="1:25" x14ac:dyDescent="0.2">
      <c r="A1653" t="s">
        <v>6203</v>
      </c>
      <c r="B1653" t="s">
        <v>6204</v>
      </c>
      <c r="C1653" t="s">
        <v>6205</v>
      </c>
      <c r="D1653" t="s">
        <v>6206</v>
      </c>
      <c r="E1653" t="s">
        <v>6204</v>
      </c>
      <c r="F1653" t="s">
        <v>28</v>
      </c>
      <c r="G1653" t="s">
        <v>6204</v>
      </c>
      <c r="H1653" t="str">
        <f>"C37H5.5"</f>
        <v>C37H5.5</v>
      </c>
      <c r="I1653" t="s">
        <v>6206</v>
      </c>
      <c r="J1653">
        <v>12.7200571058412</v>
      </c>
      <c r="K1653">
        <v>12.8050671197879</v>
      </c>
      <c r="L1653">
        <v>13.290343492758</v>
      </c>
      <c r="M1653">
        <v>12.8600698841735</v>
      </c>
      <c r="N1653">
        <v>13.0286132845387</v>
      </c>
      <c r="O1653">
        <v>13.056404538981599</v>
      </c>
      <c r="P1653">
        <v>4.32066631022359E-2</v>
      </c>
      <c r="Q1653">
        <v>-0.36743687014813597</v>
      </c>
      <c r="R1653">
        <v>0.45385019635260798</v>
      </c>
      <c r="S1653">
        <v>13.1117387977554</v>
      </c>
      <c r="T1653">
        <v>0.22316971991019899</v>
      </c>
      <c r="U1653">
        <v>-6.8563347863495299</v>
      </c>
      <c r="V1653">
        <v>0.82624614821248399</v>
      </c>
      <c r="W1653">
        <v>0.99339170295129098</v>
      </c>
      <c r="X1653">
        <v>0</v>
      </c>
      <c r="Y1653">
        <v>0</v>
      </c>
    </row>
    <row r="1654" spans="1:25" x14ac:dyDescent="0.2">
      <c r="A1654" t="s">
        <v>6207</v>
      </c>
      <c r="B1654" t="s">
        <v>6208</v>
      </c>
      <c r="C1654" t="s">
        <v>6209</v>
      </c>
      <c r="D1654" t="s">
        <v>6210</v>
      </c>
      <c r="E1654" t="s">
        <v>6208</v>
      </c>
      <c r="F1654" t="s">
        <v>28</v>
      </c>
      <c r="G1654" t="s">
        <v>6208</v>
      </c>
      <c r="H1654" t="str">
        <f>"exoc-7"</f>
        <v>exoc-7</v>
      </c>
      <c r="I1654" t="s">
        <v>6210</v>
      </c>
      <c r="J1654" t="s">
        <v>29</v>
      </c>
      <c r="K1654">
        <v>13.9436071254087</v>
      </c>
      <c r="L1654">
        <v>12.953035403566799</v>
      </c>
      <c r="M1654">
        <v>13.7356715163925</v>
      </c>
      <c r="N1654">
        <v>14.174269663029399</v>
      </c>
      <c r="O1654" t="s">
        <v>29</v>
      </c>
      <c r="P1654">
        <v>0.50664932522316497</v>
      </c>
      <c r="Q1654">
        <v>-0.58263404642287098</v>
      </c>
      <c r="R1654">
        <v>1.5959326968692</v>
      </c>
      <c r="S1654">
        <v>13.593272514801299</v>
      </c>
      <c r="T1654">
        <v>0.99829406085234196</v>
      </c>
      <c r="U1654">
        <v>-6.1746700870785798</v>
      </c>
      <c r="V1654">
        <v>0.33520512825767201</v>
      </c>
      <c r="W1654">
        <v>0.87368774661315896</v>
      </c>
      <c r="X1654">
        <v>0</v>
      </c>
      <c r="Y1654">
        <v>0</v>
      </c>
    </row>
    <row r="1655" spans="1:25" x14ac:dyDescent="0.2">
      <c r="A1655" t="s">
        <v>6211</v>
      </c>
      <c r="B1655" t="s">
        <v>6212</v>
      </c>
      <c r="C1655" t="s">
        <v>6213</v>
      </c>
      <c r="D1655" t="s">
        <v>6214</v>
      </c>
      <c r="E1655" t="s">
        <v>6212</v>
      </c>
      <c r="F1655" t="s">
        <v>28</v>
      </c>
      <c r="G1655" t="s">
        <v>6212</v>
      </c>
      <c r="H1655" t="str">
        <f>"cogc-5"</f>
        <v>cogc-5</v>
      </c>
      <c r="I1655" t="s">
        <v>6214</v>
      </c>
      <c r="J1655" t="s">
        <v>29</v>
      </c>
      <c r="K1655">
        <v>12.9873481325551</v>
      </c>
      <c r="L1655" t="s">
        <v>29</v>
      </c>
      <c r="M1655" t="s">
        <v>29</v>
      </c>
      <c r="N1655">
        <v>12.8982127850861</v>
      </c>
      <c r="O1655" t="s">
        <v>29</v>
      </c>
      <c r="P1655">
        <v>-8.9135347468985798E-2</v>
      </c>
      <c r="Q1655">
        <v>-0.91289530042202405</v>
      </c>
      <c r="R1655">
        <v>0.73462460548405295</v>
      </c>
      <c r="S1655">
        <v>12.318812849889101</v>
      </c>
      <c r="T1655">
        <v>-0.24144386649230901</v>
      </c>
      <c r="U1655">
        <v>-6.31236091554777</v>
      </c>
      <c r="V1655">
        <v>0.81414076318933604</v>
      </c>
      <c r="W1655">
        <v>0.99278624068726296</v>
      </c>
      <c r="X1655">
        <v>0</v>
      </c>
      <c r="Y1655">
        <v>0</v>
      </c>
    </row>
    <row r="1656" spans="1:25" x14ac:dyDescent="0.2">
      <c r="A1656" t="s">
        <v>6215</v>
      </c>
      <c r="B1656" t="s">
        <v>6216</v>
      </c>
      <c r="C1656" t="s">
        <v>6217</v>
      </c>
      <c r="D1656" t="s">
        <v>6218</v>
      </c>
      <c r="E1656" t="s">
        <v>6216</v>
      </c>
      <c r="F1656" t="s">
        <v>28</v>
      </c>
      <c r="G1656" t="s">
        <v>6216</v>
      </c>
      <c r="H1656" t="str">
        <f>"C43E11.9"</f>
        <v>C43E11.9</v>
      </c>
      <c r="I1656" t="s">
        <v>6218</v>
      </c>
      <c r="J1656">
        <v>12.109421597856899</v>
      </c>
      <c r="K1656">
        <v>13.4467035080902</v>
      </c>
      <c r="L1656">
        <v>13.2815944614073</v>
      </c>
      <c r="M1656" t="s">
        <v>29</v>
      </c>
      <c r="N1656" t="s">
        <v>29</v>
      </c>
      <c r="O1656" t="s">
        <v>29</v>
      </c>
      <c r="P1656" t="s">
        <v>29</v>
      </c>
      <c r="Q1656" t="s">
        <v>29</v>
      </c>
      <c r="R1656" t="s">
        <v>29</v>
      </c>
      <c r="S1656">
        <v>13.3806279994369</v>
      </c>
      <c r="T1656" t="s">
        <v>29</v>
      </c>
      <c r="U1656" t="s">
        <v>29</v>
      </c>
      <c r="V1656" t="s">
        <v>29</v>
      </c>
      <c r="W1656" t="s">
        <v>29</v>
      </c>
      <c r="X1656" t="s">
        <v>29</v>
      </c>
      <c r="Y1656" t="s">
        <v>29</v>
      </c>
    </row>
    <row r="1657" spans="1:25" x14ac:dyDescent="0.2">
      <c r="A1657" t="s">
        <v>6219</v>
      </c>
      <c r="B1657" t="s">
        <v>6220</v>
      </c>
      <c r="C1657" t="s">
        <v>6221</v>
      </c>
      <c r="D1657" t="s">
        <v>6222</v>
      </c>
      <c r="E1657" t="s">
        <v>6220</v>
      </c>
      <c r="F1657" t="s">
        <v>28</v>
      </c>
      <c r="G1657" t="s">
        <v>6220</v>
      </c>
      <c r="H1657" t="str">
        <f>"cdc-6"</f>
        <v>cdc-6</v>
      </c>
      <c r="I1657" t="s">
        <v>6222</v>
      </c>
      <c r="J1657" t="s">
        <v>29</v>
      </c>
      <c r="K1657" t="s">
        <v>29</v>
      </c>
      <c r="L1657">
        <v>11.033165445703499</v>
      </c>
      <c r="M1657" t="s">
        <v>29</v>
      </c>
      <c r="N1657" t="s">
        <v>29</v>
      </c>
      <c r="O1657" t="s">
        <v>29</v>
      </c>
      <c r="P1657" t="s">
        <v>29</v>
      </c>
      <c r="Q1657" t="s">
        <v>29</v>
      </c>
      <c r="R1657" t="s">
        <v>29</v>
      </c>
      <c r="S1657">
        <v>11.735614818409299</v>
      </c>
      <c r="T1657" t="s">
        <v>29</v>
      </c>
      <c r="U1657" t="s">
        <v>29</v>
      </c>
      <c r="V1657" t="s">
        <v>29</v>
      </c>
      <c r="W1657" t="s">
        <v>29</v>
      </c>
      <c r="X1657" t="s">
        <v>29</v>
      </c>
      <c r="Y1657" t="s">
        <v>29</v>
      </c>
    </row>
    <row r="1658" spans="1:25" x14ac:dyDescent="0.2">
      <c r="A1658" t="s">
        <v>6223</v>
      </c>
      <c r="B1658" t="s">
        <v>6224</v>
      </c>
      <c r="C1658" t="s">
        <v>6225</v>
      </c>
      <c r="D1658" t="s">
        <v>138</v>
      </c>
      <c r="E1658" t="s">
        <v>6224</v>
      </c>
      <c r="F1658" t="s">
        <v>28</v>
      </c>
      <c r="G1658" t="s">
        <v>6224</v>
      </c>
      <c r="H1658" t="str">
        <f>"acin-1"</f>
        <v>acin-1</v>
      </c>
      <c r="I1658" t="s">
        <v>138</v>
      </c>
      <c r="J1658">
        <v>13.7610607969402</v>
      </c>
      <c r="K1658">
        <v>14.3792969217854</v>
      </c>
      <c r="L1658">
        <v>14.2584581124132</v>
      </c>
      <c r="M1658">
        <v>12.820102259019601</v>
      </c>
      <c r="N1658">
        <v>13.434940632005899</v>
      </c>
      <c r="O1658">
        <v>13.7840189466487</v>
      </c>
      <c r="P1658">
        <v>-0.78658466448820796</v>
      </c>
      <c r="Q1658">
        <v>-1.54794768425163</v>
      </c>
      <c r="R1658">
        <v>-2.52216447247906E-2</v>
      </c>
      <c r="S1658">
        <v>13.661298634985901</v>
      </c>
      <c r="T1658">
        <v>-2.1714318783521298</v>
      </c>
      <c r="U1658">
        <v>-4.6985721455959499</v>
      </c>
      <c r="V1658">
        <v>4.3593760553325901E-2</v>
      </c>
      <c r="W1658">
        <v>0.45766572593523203</v>
      </c>
      <c r="X1658">
        <v>0</v>
      </c>
      <c r="Y1658">
        <v>0</v>
      </c>
    </row>
    <row r="1659" spans="1:25" x14ac:dyDescent="0.2">
      <c r="A1659" t="s">
        <v>6226</v>
      </c>
      <c r="B1659" t="s">
        <v>6227</v>
      </c>
      <c r="C1659" t="s">
        <v>6228</v>
      </c>
      <c r="D1659" t="s">
        <v>6229</v>
      </c>
      <c r="E1659" t="s">
        <v>6227</v>
      </c>
      <c r="F1659" t="s">
        <v>28</v>
      </c>
      <c r="G1659" t="s">
        <v>6227</v>
      </c>
      <c r="H1659" t="str">
        <f>"syf-1"</f>
        <v>syf-1</v>
      </c>
      <c r="I1659" t="s">
        <v>6229</v>
      </c>
      <c r="J1659">
        <v>15.089342187276999</v>
      </c>
      <c r="K1659">
        <v>15.014630899786001</v>
      </c>
      <c r="L1659">
        <v>14.7655468660276</v>
      </c>
      <c r="M1659">
        <v>14.907250919692901</v>
      </c>
      <c r="N1659">
        <v>14.7973227081074</v>
      </c>
      <c r="O1659">
        <v>15.002505594943299</v>
      </c>
      <c r="P1659">
        <v>-5.4146910115676399E-2</v>
      </c>
      <c r="Q1659">
        <v>-0.40985108583518498</v>
      </c>
      <c r="R1659">
        <v>0.301557265603832</v>
      </c>
      <c r="S1659">
        <v>14.8835480310488</v>
      </c>
      <c r="T1659">
        <v>-0.31994640032816302</v>
      </c>
      <c r="U1659">
        <v>-6.8291576565791896</v>
      </c>
      <c r="V1659">
        <v>0.75271432077088296</v>
      </c>
      <c r="W1659">
        <v>0.99278624068726296</v>
      </c>
      <c r="X1659">
        <v>0</v>
      </c>
      <c r="Y1659">
        <v>0</v>
      </c>
    </row>
    <row r="1660" spans="1:25" x14ac:dyDescent="0.2">
      <c r="A1660" t="s">
        <v>6230</v>
      </c>
      <c r="B1660" t="s">
        <v>6231</v>
      </c>
      <c r="C1660" t="s">
        <v>14411</v>
      </c>
      <c r="D1660" t="s">
        <v>1128</v>
      </c>
      <c r="E1660" t="s">
        <v>6231</v>
      </c>
      <c r="F1660" t="s">
        <v>28</v>
      </c>
      <c r="G1660" t="s">
        <v>6231</v>
      </c>
      <c r="H1660" t="str">
        <f>"D2092.4"</f>
        <v>D2092.4</v>
      </c>
      <c r="I1660" t="s">
        <v>1128</v>
      </c>
      <c r="J1660">
        <v>15.4383436395764</v>
      </c>
      <c r="K1660">
        <v>15.3346176275037</v>
      </c>
      <c r="L1660">
        <v>15.3770504608993</v>
      </c>
      <c r="M1660">
        <v>15.748396076459301</v>
      </c>
      <c r="N1660">
        <v>15.3654286783392</v>
      </c>
      <c r="O1660">
        <v>15.593680155536401</v>
      </c>
      <c r="P1660">
        <v>0.18583106078519901</v>
      </c>
      <c r="Q1660">
        <v>-0.27223035282091901</v>
      </c>
      <c r="R1660">
        <v>0.64389247439131703</v>
      </c>
      <c r="S1660">
        <v>15.0206940622499</v>
      </c>
      <c r="T1660">
        <v>0.85633680483649099</v>
      </c>
      <c r="U1660">
        <v>-6.5063258593431996</v>
      </c>
      <c r="V1660">
        <v>0.40379406753943903</v>
      </c>
      <c r="W1660">
        <v>0.91027279600179201</v>
      </c>
      <c r="X1660">
        <v>0</v>
      </c>
      <c r="Y1660">
        <v>0</v>
      </c>
    </row>
    <row r="1661" spans="1:25" x14ac:dyDescent="0.2">
      <c r="A1661" t="s">
        <v>6232</v>
      </c>
      <c r="B1661" t="s">
        <v>6233</v>
      </c>
      <c r="C1661" t="s">
        <v>6234</v>
      </c>
      <c r="D1661" t="s">
        <v>6235</v>
      </c>
      <c r="E1661" t="s">
        <v>6233</v>
      </c>
      <c r="F1661" t="s">
        <v>28</v>
      </c>
      <c r="G1661" t="s">
        <v>6233</v>
      </c>
      <c r="H1661" t="str">
        <f>"ppfr-2"</f>
        <v>ppfr-2</v>
      </c>
      <c r="I1661" t="s">
        <v>6235</v>
      </c>
      <c r="J1661" t="s">
        <v>29</v>
      </c>
      <c r="K1661" t="s">
        <v>29</v>
      </c>
      <c r="L1661" t="s">
        <v>29</v>
      </c>
      <c r="M1661" t="s">
        <v>29</v>
      </c>
      <c r="N1661" t="s">
        <v>29</v>
      </c>
      <c r="O1661" t="s">
        <v>29</v>
      </c>
      <c r="P1661" t="s">
        <v>29</v>
      </c>
      <c r="Q1661" t="s">
        <v>29</v>
      </c>
      <c r="R1661" t="s">
        <v>29</v>
      </c>
      <c r="S1661">
        <v>10.226087369159499</v>
      </c>
      <c r="T1661" t="s">
        <v>29</v>
      </c>
      <c r="U1661" t="s">
        <v>29</v>
      </c>
      <c r="V1661" t="s">
        <v>29</v>
      </c>
      <c r="W1661" t="s">
        <v>29</v>
      </c>
      <c r="X1661" t="s">
        <v>29</v>
      </c>
      <c r="Y1661" t="s">
        <v>29</v>
      </c>
    </row>
    <row r="1662" spans="1:25" x14ac:dyDescent="0.2">
      <c r="A1662" t="s">
        <v>6236</v>
      </c>
      <c r="B1662" t="s">
        <v>6237</v>
      </c>
      <c r="C1662" t="s">
        <v>6238</v>
      </c>
      <c r="D1662" t="s">
        <v>6239</v>
      </c>
      <c r="E1662" t="s">
        <v>6237</v>
      </c>
      <c r="F1662" t="s">
        <v>28</v>
      </c>
      <c r="G1662" t="s">
        <v>6237</v>
      </c>
      <c r="H1662" t="str">
        <f>"grsp-4"</f>
        <v>grsp-4</v>
      </c>
      <c r="I1662" t="s">
        <v>6239</v>
      </c>
      <c r="J1662">
        <v>12.083711155764499</v>
      </c>
      <c r="K1662" t="s">
        <v>29</v>
      </c>
      <c r="L1662">
        <v>11.7376607800795</v>
      </c>
      <c r="M1662">
        <v>12.3862697316388</v>
      </c>
      <c r="N1662" t="s">
        <v>29</v>
      </c>
      <c r="O1662">
        <v>11.3230128533196</v>
      </c>
      <c r="P1662">
        <v>-5.60446754428039E-2</v>
      </c>
      <c r="Q1662">
        <v>-1.41875404336956</v>
      </c>
      <c r="R1662">
        <v>1.30666469248395</v>
      </c>
      <c r="S1662">
        <v>11.8507361670655</v>
      </c>
      <c r="T1662">
        <v>-9.0627251752078294E-2</v>
      </c>
      <c r="U1662">
        <v>-6.6779147351661097</v>
      </c>
      <c r="V1662">
        <v>0.92943346350060596</v>
      </c>
      <c r="W1662">
        <v>0.99926809132575301</v>
      </c>
      <c r="X1662">
        <v>0</v>
      </c>
      <c r="Y1662">
        <v>0</v>
      </c>
    </row>
    <row r="1663" spans="1:25" x14ac:dyDescent="0.2">
      <c r="A1663" t="s">
        <v>6240</v>
      </c>
      <c r="B1663" t="s">
        <v>6241</v>
      </c>
      <c r="C1663" t="s">
        <v>6242</v>
      </c>
      <c r="D1663" t="s">
        <v>6243</v>
      </c>
      <c r="E1663" t="s">
        <v>6241</v>
      </c>
      <c r="F1663" t="s">
        <v>28</v>
      </c>
      <c r="G1663" t="s">
        <v>6241</v>
      </c>
      <c r="H1663" t="str">
        <f>"srpa-72"</f>
        <v>srpa-72</v>
      </c>
      <c r="I1663" t="s">
        <v>6243</v>
      </c>
      <c r="J1663">
        <v>15.913492695839601</v>
      </c>
      <c r="K1663">
        <v>15.7419787661385</v>
      </c>
      <c r="L1663">
        <v>15.9560305383431</v>
      </c>
      <c r="M1663">
        <v>16.066061672664201</v>
      </c>
      <c r="N1663">
        <v>16.115454407001501</v>
      </c>
      <c r="O1663">
        <v>15.927781249159001</v>
      </c>
      <c r="P1663">
        <v>0.16593177616784499</v>
      </c>
      <c r="Q1663">
        <v>-0.28400560556422699</v>
      </c>
      <c r="R1663">
        <v>0.61586915789991803</v>
      </c>
      <c r="S1663">
        <v>15.692572917288301</v>
      </c>
      <c r="T1663">
        <v>0.77512188382251301</v>
      </c>
      <c r="U1663">
        <v>-6.5737733714742204</v>
      </c>
      <c r="V1663">
        <v>0.44838980120676503</v>
      </c>
      <c r="W1663">
        <v>0.92249172671965796</v>
      </c>
      <c r="X1663">
        <v>0</v>
      </c>
      <c r="Y1663">
        <v>0</v>
      </c>
    </row>
    <row r="1664" spans="1:25" x14ac:dyDescent="0.2">
      <c r="A1664" t="s">
        <v>6244</v>
      </c>
      <c r="B1664" t="s">
        <v>6245</v>
      </c>
      <c r="C1664" t="s">
        <v>6246</v>
      </c>
      <c r="D1664" t="s">
        <v>308</v>
      </c>
      <c r="E1664" t="s">
        <v>6245</v>
      </c>
      <c r="F1664" t="s">
        <v>28</v>
      </c>
      <c r="G1664" t="s">
        <v>6245</v>
      </c>
      <c r="H1664" t="str">
        <f>"dnj-9"</f>
        <v>dnj-9</v>
      </c>
      <c r="I1664" t="s">
        <v>308</v>
      </c>
      <c r="J1664">
        <v>14.8434832546615</v>
      </c>
      <c r="K1664">
        <v>14.5843452815164</v>
      </c>
      <c r="L1664">
        <v>14.394278826154</v>
      </c>
      <c r="M1664">
        <v>14.2117518685364</v>
      </c>
      <c r="N1664">
        <v>14.046478934785201</v>
      </c>
      <c r="O1664">
        <v>14.478944052620101</v>
      </c>
      <c r="P1664">
        <v>-0.361644168796735</v>
      </c>
      <c r="Q1664">
        <v>-0.79242064055626804</v>
      </c>
      <c r="R1664">
        <v>6.9132302962798695E-2</v>
      </c>
      <c r="S1664">
        <v>14.1747899998809</v>
      </c>
      <c r="T1664">
        <v>-1.7720644173342499</v>
      </c>
      <c r="U1664">
        <v>-5.3743045501689402</v>
      </c>
      <c r="V1664">
        <v>9.44160557393873E-2</v>
      </c>
      <c r="W1664">
        <v>0.63865169410707501</v>
      </c>
      <c r="X1664">
        <v>0</v>
      </c>
      <c r="Y1664">
        <v>0</v>
      </c>
    </row>
    <row r="1665" spans="1:25" x14ac:dyDescent="0.2">
      <c r="A1665" t="s">
        <v>6247</v>
      </c>
      <c r="B1665" t="s">
        <v>6248</v>
      </c>
      <c r="C1665" t="s">
        <v>6249</v>
      </c>
      <c r="D1665" t="s">
        <v>3312</v>
      </c>
      <c r="E1665" t="s">
        <v>6248</v>
      </c>
      <c r="F1665" t="s">
        <v>28</v>
      </c>
      <c r="G1665" t="s">
        <v>6248</v>
      </c>
      <c r="H1665" t="str">
        <f>"col-20"</f>
        <v>col-20</v>
      </c>
      <c r="I1665" t="s">
        <v>3312</v>
      </c>
      <c r="J1665">
        <v>12.741232556550599</v>
      </c>
      <c r="K1665" t="s">
        <v>29</v>
      </c>
      <c r="L1665">
        <v>14.4316138079043</v>
      </c>
      <c r="M1665">
        <v>12.507789722669299</v>
      </c>
      <c r="N1665">
        <v>12.9668806681444</v>
      </c>
      <c r="O1665">
        <v>14.132803312683301</v>
      </c>
      <c r="P1665">
        <v>-0.38393194772845102</v>
      </c>
      <c r="Q1665">
        <v>-1.71393682233944</v>
      </c>
      <c r="R1665">
        <v>0.94607292688253397</v>
      </c>
      <c r="S1665">
        <v>13.154820109294301</v>
      </c>
      <c r="T1665">
        <v>-0.62414897817230597</v>
      </c>
      <c r="U1665">
        <v>-6.5681237832421298</v>
      </c>
      <c r="V1665">
        <v>0.54341449685309295</v>
      </c>
      <c r="W1665">
        <v>0.94859829345247404</v>
      </c>
      <c r="X1665">
        <v>0</v>
      </c>
      <c r="Y1665">
        <v>0</v>
      </c>
    </row>
    <row r="1666" spans="1:25" x14ac:dyDescent="0.2">
      <c r="A1666" t="s">
        <v>6250</v>
      </c>
      <c r="B1666" t="s">
        <v>6251</v>
      </c>
      <c r="C1666" t="s">
        <v>14412</v>
      </c>
      <c r="D1666" t="s">
        <v>1954</v>
      </c>
      <c r="E1666" t="s">
        <v>6251</v>
      </c>
      <c r="F1666" t="s">
        <v>28</v>
      </c>
      <c r="G1666" t="s">
        <v>6251</v>
      </c>
      <c r="H1666" t="str">
        <f>"F25B4.7"</f>
        <v>F25B4.7</v>
      </c>
      <c r="I1666" t="s">
        <v>1954</v>
      </c>
      <c r="J1666">
        <v>13.238770569752999</v>
      </c>
      <c r="K1666">
        <v>13.441294491692201</v>
      </c>
      <c r="L1666">
        <v>13.160590349392001</v>
      </c>
      <c r="M1666">
        <v>13.350846869693299</v>
      </c>
      <c r="N1666">
        <v>13.173432417233901</v>
      </c>
      <c r="O1666">
        <v>12.934043277304101</v>
      </c>
      <c r="P1666">
        <v>-0.12744428220198301</v>
      </c>
      <c r="Q1666">
        <v>-0.78333436120114397</v>
      </c>
      <c r="R1666">
        <v>0.52844579679717796</v>
      </c>
      <c r="S1666">
        <v>12.937476280438</v>
      </c>
      <c r="T1666">
        <v>-0.40839630764312701</v>
      </c>
      <c r="U1666">
        <v>-6.7957511636846801</v>
      </c>
      <c r="V1666">
        <v>0.68782811218539897</v>
      </c>
      <c r="W1666">
        <v>0.98642420921484297</v>
      </c>
      <c r="X1666">
        <v>0</v>
      </c>
      <c r="Y1666">
        <v>0</v>
      </c>
    </row>
    <row r="1667" spans="1:25" x14ac:dyDescent="0.2">
      <c r="A1667" t="s">
        <v>6252</v>
      </c>
      <c r="B1667" t="s">
        <v>6253</v>
      </c>
      <c r="C1667" t="s">
        <v>6254</v>
      </c>
      <c r="D1667" t="s">
        <v>6255</v>
      </c>
      <c r="E1667" t="s">
        <v>6253</v>
      </c>
      <c r="F1667" t="s">
        <v>28</v>
      </c>
      <c r="G1667" t="s">
        <v>6253</v>
      </c>
      <c r="H1667" t="str">
        <f>"ima-2"</f>
        <v>ima-2</v>
      </c>
      <c r="I1667" t="s">
        <v>6255</v>
      </c>
      <c r="J1667">
        <v>13.0377896428176</v>
      </c>
      <c r="K1667">
        <v>12.5447082057961</v>
      </c>
      <c r="L1667">
        <v>13.4831828729143</v>
      </c>
      <c r="M1667">
        <v>13.306379989774999</v>
      </c>
      <c r="N1667">
        <v>13.658251585972399</v>
      </c>
      <c r="O1667">
        <v>13.1740645775003</v>
      </c>
      <c r="P1667">
        <v>0.35767181057320502</v>
      </c>
      <c r="Q1667">
        <v>-0.31226169014933403</v>
      </c>
      <c r="R1667">
        <v>1.02760531129574</v>
      </c>
      <c r="S1667">
        <v>13.606722943129499</v>
      </c>
      <c r="T1667">
        <v>1.1269458033574999</v>
      </c>
      <c r="U1667">
        <v>-6.2409119102687702</v>
      </c>
      <c r="V1667">
        <v>0.27551748931507702</v>
      </c>
      <c r="W1667">
        <v>0.856190392347986</v>
      </c>
      <c r="X1667">
        <v>0</v>
      </c>
      <c r="Y1667">
        <v>0</v>
      </c>
    </row>
    <row r="1668" spans="1:25" x14ac:dyDescent="0.2">
      <c r="A1668" t="s">
        <v>6256</v>
      </c>
      <c r="B1668" t="s">
        <v>6257</v>
      </c>
      <c r="C1668" t="s">
        <v>6258</v>
      </c>
      <c r="D1668" t="s">
        <v>6259</v>
      </c>
      <c r="E1668" t="s">
        <v>6257</v>
      </c>
      <c r="F1668" t="s">
        <v>28</v>
      </c>
      <c r="G1668" t="s">
        <v>6257</v>
      </c>
      <c r="H1668" t="str">
        <f>"hrpk-1"</f>
        <v>hrpk-1</v>
      </c>
      <c r="I1668" t="s">
        <v>6259</v>
      </c>
      <c r="J1668">
        <v>15.7611383020818</v>
      </c>
      <c r="K1668">
        <v>15.6654289681594</v>
      </c>
      <c r="L1668">
        <v>15.784604694910801</v>
      </c>
      <c r="M1668">
        <v>15.618038867671601</v>
      </c>
      <c r="N1668">
        <v>15.557251849410401</v>
      </c>
      <c r="O1668">
        <v>15.4741413548313</v>
      </c>
      <c r="P1668">
        <v>-0.18724663107955999</v>
      </c>
      <c r="Q1668">
        <v>-0.725246437457576</v>
      </c>
      <c r="R1668">
        <v>0.35075317529845601</v>
      </c>
      <c r="S1668">
        <v>15.4691436284158</v>
      </c>
      <c r="T1668">
        <v>-0.731516971593277</v>
      </c>
      <c r="U1668">
        <v>-6.6070330465959399</v>
      </c>
      <c r="V1668">
        <v>0.47393469943842698</v>
      </c>
      <c r="W1668">
        <v>0.93328679274028703</v>
      </c>
      <c r="X1668">
        <v>0</v>
      </c>
      <c r="Y1668">
        <v>0</v>
      </c>
    </row>
    <row r="1669" spans="1:25" x14ac:dyDescent="0.2">
      <c r="A1669" t="s">
        <v>6260</v>
      </c>
      <c r="B1669" t="s">
        <v>6261</v>
      </c>
      <c r="C1669" t="s">
        <v>14413</v>
      </c>
      <c r="D1669" t="s">
        <v>6262</v>
      </c>
      <c r="E1669" t="s">
        <v>6261</v>
      </c>
      <c r="F1669" t="s">
        <v>28</v>
      </c>
      <c r="G1669" t="s">
        <v>6261</v>
      </c>
      <c r="H1669" t="str">
        <f>"F27C1.6"</f>
        <v>F27C1.6</v>
      </c>
      <c r="I1669" t="s">
        <v>6262</v>
      </c>
      <c r="J1669" t="s">
        <v>29</v>
      </c>
      <c r="K1669" t="s">
        <v>29</v>
      </c>
      <c r="L1669" t="s">
        <v>29</v>
      </c>
      <c r="M1669" t="s">
        <v>29</v>
      </c>
      <c r="N1669" t="s">
        <v>29</v>
      </c>
      <c r="O1669" t="s">
        <v>29</v>
      </c>
      <c r="P1669" t="s">
        <v>29</v>
      </c>
      <c r="Q1669" t="s">
        <v>29</v>
      </c>
      <c r="R1669" t="s">
        <v>29</v>
      </c>
      <c r="S1669">
        <v>11.032902874057401</v>
      </c>
      <c r="T1669" t="s">
        <v>29</v>
      </c>
      <c r="U1669" t="s">
        <v>29</v>
      </c>
      <c r="V1669" t="s">
        <v>29</v>
      </c>
      <c r="W1669" t="s">
        <v>29</v>
      </c>
      <c r="X1669" t="s">
        <v>29</v>
      </c>
      <c r="Y1669" t="s">
        <v>29</v>
      </c>
    </row>
    <row r="1670" spans="1:25" x14ac:dyDescent="0.2">
      <c r="A1670" t="s">
        <v>6263</v>
      </c>
      <c r="B1670" t="s">
        <v>6264</v>
      </c>
      <c r="C1670" t="s">
        <v>6265</v>
      </c>
      <c r="D1670" t="s">
        <v>6266</v>
      </c>
      <c r="E1670" t="s">
        <v>6264</v>
      </c>
      <c r="F1670" t="s">
        <v>28</v>
      </c>
      <c r="G1670" t="s">
        <v>6264</v>
      </c>
      <c r="H1670" t="str">
        <f>"dpy-5"</f>
        <v>dpy-5</v>
      </c>
      <c r="I1670" t="s">
        <v>6266</v>
      </c>
      <c r="J1670" t="s">
        <v>29</v>
      </c>
      <c r="K1670" t="s">
        <v>29</v>
      </c>
      <c r="L1670">
        <v>10.090521367058299</v>
      </c>
      <c r="M1670" t="s">
        <v>29</v>
      </c>
      <c r="N1670" t="s">
        <v>29</v>
      </c>
      <c r="O1670" t="s">
        <v>29</v>
      </c>
      <c r="P1670" t="s">
        <v>29</v>
      </c>
      <c r="Q1670" t="s">
        <v>29</v>
      </c>
      <c r="R1670" t="s">
        <v>29</v>
      </c>
      <c r="S1670">
        <v>10.9567852604671</v>
      </c>
      <c r="T1670" t="s">
        <v>29</v>
      </c>
      <c r="U1670" t="s">
        <v>29</v>
      </c>
      <c r="V1670" t="s">
        <v>29</v>
      </c>
      <c r="W1670" t="s">
        <v>29</v>
      </c>
      <c r="X1670" t="s">
        <v>29</v>
      </c>
      <c r="Y1670" t="s">
        <v>29</v>
      </c>
    </row>
    <row r="1671" spans="1:25" x14ac:dyDescent="0.2">
      <c r="A1671" t="s">
        <v>6267</v>
      </c>
      <c r="B1671" t="s">
        <v>6268</v>
      </c>
      <c r="C1671" t="s">
        <v>6269</v>
      </c>
      <c r="D1671" t="s">
        <v>878</v>
      </c>
      <c r="E1671" t="s">
        <v>6268</v>
      </c>
      <c r="F1671" t="s">
        <v>28</v>
      </c>
      <c r="G1671" t="s">
        <v>6268</v>
      </c>
      <c r="H1671" t="str">
        <f>"math-26"</f>
        <v>math-26</v>
      </c>
      <c r="I1671" t="s">
        <v>878</v>
      </c>
      <c r="J1671">
        <v>12.878107845178601</v>
      </c>
      <c r="K1671">
        <v>13.0795253582183</v>
      </c>
      <c r="L1671">
        <v>12.5842328153037</v>
      </c>
      <c r="M1671">
        <v>13.318815049638401</v>
      </c>
      <c r="N1671">
        <v>12.9519434469226</v>
      </c>
      <c r="O1671">
        <v>12.667586142990601</v>
      </c>
      <c r="P1671">
        <v>0.132159540283634</v>
      </c>
      <c r="Q1671">
        <v>-0.28783886145587601</v>
      </c>
      <c r="R1671">
        <v>0.55215794202314505</v>
      </c>
      <c r="S1671">
        <v>12.6707599233581</v>
      </c>
      <c r="T1671">
        <v>0.66742183603724903</v>
      </c>
      <c r="U1671">
        <v>-6.6514480669070304</v>
      </c>
      <c r="V1671">
        <v>0.51407658812982504</v>
      </c>
      <c r="W1671">
        <v>0.94209630247580201</v>
      </c>
      <c r="X1671">
        <v>0</v>
      </c>
      <c r="Y1671">
        <v>0</v>
      </c>
    </row>
    <row r="1672" spans="1:25" x14ac:dyDescent="0.2">
      <c r="A1672" t="s">
        <v>6270</v>
      </c>
      <c r="B1672" t="s">
        <v>6271</v>
      </c>
      <c r="C1672" t="s">
        <v>6272</v>
      </c>
      <c r="D1672" t="s">
        <v>6273</v>
      </c>
      <c r="E1672" t="s">
        <v>6271</v>
      </c>
      <c r="F1672" t="s">
        <v>28</v>
      </c>
      <c r="G1672" t="s">
        <v>6271</v>
      </c>
      <c r="H1672" t="str">
        <f>"vha-10"</f>
        <v>vha-10</v>
      </c>
      <c r="I1672" t="s">
        <v>6273</v>
      </c>
      <c r="J1672">
        <v>11.4620113410319</v>
      </c>
      <c r="K1672">
        <v>11.7880770133056</v>
      </c>
      <c r="L1672">
        <v>10.858656167758699</v>
      </c>
      <c r="M1672">
        <v>12.997167571245299</v>
      </c>
      <c r="N1672">
        <v>12.1625834021883</v>
      </c>
      <c r="O1672">
        <v>11.919719023878701</v>
      </c>
      <c r="P1672">
        <v>0.99024182507205605</v>
      </c>
      <c r="Q1672">
        <v>-0.183988358426457</v>
      </c>
      <c r="R1672">
        <v>2.16447200857057</v>
      </c>
      <c r="S1672">
        <v>11.9596607884733</v>
      </c>
      <c r="T1672">
        <v>1.78007392771666</v>
      </c>
      <c r="U1672">
        <v>-5.3617627432590602</v>
      </c>
      <c r="V1672">
        <v>9.3054812581351107E-2</v>
      </c>
      <c r="W1672">
        <v>0.63555990474004798</v>
      </c>
      <c r="X1672">
        <v>0</v>
      </c>
      <c r="Y1672">
        <v>0</v>
      </c>
    </row>
    <row r="1673" spans="1:25" x14ac:dyDescent="0.2">
      <c r="A1673" t="s">
        <v>6274</v>
      </c>
      <c r="B1673" t="s">
        <v>6275</v>
      </c>
      <c r="C1673" t="s">
        <v>6276</v>
      </c>
      <c r="D1673" t="s">
        <v>3358</v>
      </c>
      <c r="E1673" t="s">
        <v>6275</v>
      </c>
      <c r="F1673" t="s">
        <v>28</v>
      </c>
      <c r="G1673" t="s">
        <v>6275</v>
      </c>
      <c r="H1673" t="str">
        <f>"xrep-4"</f>
        <v>xrep-4</v>
      </c>
      <c r="I1673" t="s">
        <v>3358</v>
      </c>
      <c r="J1673">
        <v>12.4948253370779</v>
      </c>
      <c r="K1673" t="s">
        <v>29</v>
      </c>
      <c r="L1673">
        <v>11.1425590818892</v>
      </c>
      <c r="M1673">
        <v>10.727544526646501</v>
      </c>
      <c r="N1673" t="s">
        <v>29</v>
      </c>
      <c r="O1673">
        <v>11.298149387651801</v>
      </c>
      <c r="P1673">
        <v>-0.80584525233443205</v>
      </c>
      <c r="Q1673">
        <v>-2.1235488359544901</v>
      </c>
      <c r="R1673">
        <v>0.51185833128562896</v>
      </c>
      <c r="S1673">
        <v>11.343780699326601</v>
      </c>
      <c r="T1673">
        <v>-1.34760191005511</v>
      </c>
      <c r="U1673">
        <v>-5.7806557911053504</v>
      </c>
      <c r="V1673">
        <v>0.205141212784576</v>
      </c>
      <c r="W1673">
        <v>0.79075284576134597</v>
      </c>
      <c r="X1673">
        <v>0</v>
      </c>
      <c r="Y1673">
        <v>0</v>
      </c>
    </row>
    <row r="1674" spans="1:25" x14ac:dyDescent="0.2">
      <c r="A1674" t="s">
        <v>6277</v>
      </c>
      <c r="B1674" t="s">
        <v>6278</v>
      </c>
      <c r="C1674" t="s">
        <v>6279</v>
      </c>
      <c r="D1674" t="s">
        <v>1510</v>
      </c>
      <c r="E1674" t="s">
        <v>6278</v>
      </c>
      <c r="F1674" t="s">
        <v>28</v>
      </c>
      <c r="G1674" t="s">
        <v>6278</v>
      </c>
      <c r="H1674" t="str">
        <f>"cey-2"</f>
        <v>cey-2</v>
      </c>
      <c r="I1674" t="s">
        <v>1510</v>
      </c>
      <c r="J1674" t="s">
        <v>29</v>
      </c>
      <c r="K1674">
        <v>11.312197446968</v>
      </c>
      <c r="L1674">
        <v>11.5098434241612</v>
      </c>
      <c r="M1674">
        <v>12.163508743837401</v>
      </c>
      <c r="N1674">
        <v>11.4078680171529</v>
      </c>
      <c r="O1674" t="s">
        <v>29</v>
      </c>
      <c r="P1674">
        <v>0.37466794493053102</v>
      </c>
      <c r="Q1674">
        <v>-0.34422349318248402</v>
      </c>
      <c r="R1674">
        <v>1.0935593830435499</v>
      </c>
      <c r="S1674">
        <v>11.8959312625775</v>
      </c>
      <c r="T1674">
        <v>1.1484469012243601</v>
      </c>
      <c r="U1674">
        <v>-6.0137543698069003</v>
      </c>
      <c r="V1674">
        <v>0.27537416707648399</v>
      </c>
      <c r="W1674">
        <v>0.856190392347986</v>
      </c>
      <c r="X1674">
        <v>0</v>
      </c>
      <c r="Y1674">
        <v>0</v>
      </c>
    </row>
    <row r="1675" spans="1:25" x14ac:dyDescent="0.2">
      <c r="A1675" t="s">
        <v>6280</v>
      </c>
      <c r="B1675" t="s">
        <v>6281</v>
      </c>
      <c r="C1675" t="s">
        <v>6282</v>
      </c>
      <c r="D1675" t="s">
        <v>6283</v>
      </c>
      <c r="E1675" t="s">
        <v>6281</v>
      </c>
      <c r="F1675" t="s">
        <v>28</v>
      </c>
      <c r="G1675" t="s">
        <v>6281</v>
      </c>
      <c r="H1675" t="str">
        <f>"F46F11.1"</f>
        <v>F46F11.1</v>
      </c>
      <c r="I1675" t="s">
        <v>6283</v>
      </c>
      <c r="J1675" t="s">
        <v>29</v>
      </c>
      <c r="K1675">
        <v>11.070689215886601</v>
      </c>
      <c r="L1675">
        <v>10.627808762578701</v>
      </c>
      <c r="M1675">
        <v>11.470703151393799</v>
      </c>
      <c r="N1675">
        <v>11.4990238493269</v>
      </c>
      <c r="O1675" t="s">
        <v>29</v>
      </c>
      <c r="P1675">
        <v>0.63561451112771505</v>
      </c>
      <c r="Q1675">
        <v>-8.1762035332202804E-2</v>
      </c>
      <c r="R1675">
        <v>1.3529910575876301</v>
      </c>
      <c r="S1675">
        <v>11.3102225208989</v>
      </c>
      <c r="T1675">
        <v>1.90168474405808</v>
      </c>
      <c r="U1675">
        <v>-4.9893071103597402</v>
      </c>
      <c r="V1675">
        <v>7.8150519088622902E-2</v>
      </c>
      <c r="W1675">
        <v>0.59927402655976203</v>
      </c>
      <c r="X1675">
        <v>0</v>
      </c>
      <c r="Y1675">
        <v>0</v>
      </c>
    </row>
    <row r="1676" spans="1:25" x14ac:dyDescent="0.2">
      <c r="A1676" t="s">
        <v>6284</v>
      </c>
      <c r="B1676" t="s">
        <v>6285</v>
      </c>
      <c r="C1676" t="s">
        <v>14414</v>
      </c>
      <c r="D1676" t="s">
        <v>4052</v>
      </c>
      <c r="E1676" t="s">
        <v>6285</v>
      </c>
      <c r="F1676" t="s">
        <v>28</v>
      </c>
      <c r="G1676" t="s">
        <v>6285</v>
      </c>
      <c r="H1676" t="str">
        <f>"F53E10.1"</f>
        <v>F53E10.1</v>
      </c>
      <c r="I1676" t="s">
        <v>4052</v>
      </c>
      <c r="J1676">
        <v>12.9524998013489</v>
      </c>
      <c r="K1676">
        <v>13.086640792434</v>
      </c>
      <c r="L1676">
        <v>12.886445172267999</v>
      </c>
      <c r="M1676">
        <v>12.8493866175753</v>
      </c>
      <c r="N1676">
        <v>13.0679054367008</v>
      </c>
      <c r="O1676">
        <v>12.444120092419301</v>
      </c>
      <c r="P1676">
        <v>-0.18805787311854499</v>
      </c>
      <c r="Q1676">
        <v>-0.64814843722928595</v>
      </c>
      <c r="R1676">
        <v>0.27203269099219601</v>
      </c>
      <c r="S1676">
        <v>12.6612289210961</v>
      </c>
      <c r="T1676">
        <v>-0.86277629986333004</v>
      </c>
      <c r="U1676">
        <v>-6.5007691874751901</v>
      </c>
      <c r="V1676">
        <v>0.40034225404838902</v>
      </c>
      <c r="W1676">
        <v>0.91027279600179201</v>
      </c>
      <c r="X1676">
        <v>0</v>
      </c>
      <c r="Y1676">
        <v>0</v>
      </c>
    </row>
    <row r="1677" spans="1:25" x14ac:dyDescent="0.2">
      <c r="A1677" t="s">
        <v>6286</v>
      </c>
      <c r="B1677" t="s">
        <v>6287</v>
      </c>
      <c r="C1677" t="s">
        <v>14415</v>
      </c>
      <c r="D1677" t="s">
        <v>1296</v>
      </c>
      <c r="E1677" t="s">
        <v>6287</v>
      </c>
      <c r="F1677" t="s">
        <v>28</v>
      </c>
      <c r="G1677" t="s">
        <v>6287</v>
      </c>
      <c r="H1677" t="str">
        <f>"F55F8.2"</f>
        <v>F55F8.2</v>
      </c>
      <c r="I1677" t="s">
        <v>1296</v>
      </c>
      <c r="J1677">
        <v>15.0653185149497</v>
      </c>
      <c r="K1677">
        <v>15.1682756525635</v>
      </c>
      <c r="L1677">
        <v>15.321274999520201</v>
      </c>
      <c r="M1677">
        <v>15.4307862915326</v>
      </c>
      <c r="N1677">
        <v>15.637339417371599</v>
      </c>
      <c r="O1677">
        <v>15.2098730644077</v>
      </c>
      <c r="P1677">
        <v>0.241043202092843</v>
      </c>
      <c r="Q1677">
        <v>-0.24437400983361501</v>
      </c>
      <c r="R1677">
        <v>0.72646041401930195</v>
      </c>
      <c r="S1677">
        <v>15.637065108332701</v>
      </c>
      <c r="T1677">
        <v>1.0436916998438099</v>
      </c>
      <c r="U1677">
        <v>-6.33015806224582</v>
      </c>
      <c r="V1677">
        <v>0.31052302991695901</v>
      </c>
      <c r="W1677">
        <v>0.86207931095287205</v>
      </c>
      <c r="X1677">
        <v>0</v>
      </c>
      <c r="Y1677">
        <v>0</v>
      </c>
    </row>
    <row r="1678" spans="1:25" x14ac:dyDescent="0.2">
      <c r="A1678" t="s">
        <v>6288</v>
      </c>
      <c r="B1678" t="s">
        <v>6289</v>
      </c>
      <c r="C1678" t="s">
        <v>6290</v>
      </c>
      <c r="D1678" t="s">
        <v>6291</v>
      </c>
      <c r="E1678" t="s">
        <v>6289</v>
      </c>
      <c r="F1678" t="s">
        <v>28</v>
      </c>
      <c r="G1678" t="s">
        <v>6289</v>
      </c>
      <c r="H1678" t="str">
        <f>"F55F8.3"</f>
        <v>F55F8.3</v>
      </c>
      <c r="I1678" t="s">
        <v>6291</v>
      </c>
      <c r="J1678">
        <v>14.536871430195299</v>
      </c>
      <c r="K1678">
        <v>14.4626829067054</v>
      </c>
      <c r="L1678">
        <v>14.2028073491883</v>
      </c>
      <c r="M1678">
        <v>14.2381532374147</v>
      </c>
      <c r="N1678">
        <v>14.099226630898199</v>
      </c>
      <c r="O1678">
        <v>14.2963590192526</v>
      </c>
      <c r="P1678">
        <v>-0.18954093284119</v>
      </c>
      <c r="Q1678">
        <v>-0.67537262869458203</v>
      </c>
      <c r="R1678">
        <v>0.29629076301220098</v>
      </c>
      <c r="S1678">
        <v>14.1857983986483</v>
      </c>
      <c r="T1678">
        <v>-0.81999212570643598</v>
      </c>
      <c r="U1678">
        <v>-6.5376743845511198</v>
      </c>
      <c r="V1678">
        <v>0.42300868620925702</v>
      </c>
      <c r="W1678">
        <v>0.91512503332874395</v>
      </c>
      <c r="X1678">
        <v>0</v>
      </c>
      <c r="Y1678">
        <v>0</v>
      </c>
    </row>
    <row r="1679" spans="1:25" x14ac:dyDescent="0.2">
      <c r="A1679" t="s">
        <v>6292</v>
      </c>
      <c r="B1679" t="s">
        <v>6293</v>
      </c>
      <c r="C1679" t="s">
        <v>6294</v>
      </c>
      <c r="D1679" t="s">
        <v>6295</v>
      </c>
      <c r="E1679" t="s">
        <v>6293</v>
      </c>
      <c r="F1679" t="s">
        <v>28</v>
      </c>
      <c r="G1679" t="s">
        <v>6293</v>
      </c>
      <c r="H1679" t="str">
        <f>"wdr-12"</f>
        <v>wdr-12</v>
      </c>
      <c r="I1679" t="s">
        <v>6295</v>
      </c>
      <c r="J1679">
        <v>11.961334427365101</v>
      </c>
      <c r="K1679">
        <v>11.1513148615989</v>
      </c>
      <c r="L1679">
        <v>11.2576708082957</v>
      </c>
      <c r="M1679">
        <v>11.0519778031976</v>
      </c>
      <c r="N1679">
        <v>11.517497590490301</v>
      </c>
      <c r="O1679">
        <v>11.7164110808878</v>
      </c>
      <c r="P1679">
        <v>-2.8144540894699002E-2</v>
      </c>
      <c r="Q1679">
        <v>-0.60814413444040705</v>
      </c>
      <c r="R1679">
        <v>0.55185505265100898</v>
      </c>
      <c r="S1679">
        <v>12.1571603136635</v>
      </c>
      <c r="T1679">
        <v>-0.10414978367887399</v>
      </c>
      <c r="U1679">
        <v>-6.8767378643390904</v>
      </c>
      <c r="V1679">
        <v>0.91853885492715204</v>
      </c>
      <c r="W1679">
        <v>0.99833354317360001</v>
      </c>
      <c r="X1679">
        <v>0</v>
      </c>
      <c r="Y1679">
        <v>0</v>
      </c>
    </row>
    <row r="1680" spans="1:25" x14ac:dyDescent="0.2">
      <c r="A1680" t="s">
        <v>6296</v>
      </c>
      <c r="B1680" t="s">
        <v>6297</v>
      </c>
      <c r="C1680" t="s">
        <v>6298</v>
      </c>
      <c r="D1680" t="s">
        <v>6299</v>
      </c>
      <c r="E1680" t="s">
        <v>6297</v>
      </c>
      <c r="F1680" t="s">
        <v>28</v>
      </c>
      <c r="G1680" t="s">
        <v>6297</v>
      </c>
      <c r="H1680" t="str">
        <f>"spd-5"</f>
        <v>spd-5</v>
      </c>
      <c r="I1680" t="s">
        <v>6299</v>
      </c>
      <c r="J1680">
        <v>13.758039892349499</v>
      </c>
      <c r="K1680">
        <v>13.7986821739196</v>
      </c>
      <c r="L1680" t="s">
        <v>29</v>
      </c>
      <c r="M1680">
        <v>13.9805767112558</v>
      </c>
      <c r="N1680">
        <v>13.631479484010701</v>
      </c>
      <c r="O1680" t="s">
        <v>29</v>
      </c>
      <c r="P1680">
        <v>2.7667064498668702E-2</v>
      </c>
      <c r="Q1680">
        <v>-0.82137743756977999</v>
      </c>
      <c r="R1680">
        <v>0.87671156656711702</v>
      </c>
      <c r="S1680">
        <v>13.765759918176499</v>
      </c>
      <c r="T1680">
        <v>6.9939821771316801E-2</v>
      </c>
      <c r="U1680">
        <v>-6.67974663486339</v>
      </c>
      <c r="V1680">
        <v>0.94523815293402302</v>
      </c>
      <c r="W1680">
        <v>0.99968702248720698</v>
      </c>
      <c r="X1680">
        <v>0</v>
      </c>
      <c r="Y1680">
        <v>0</v>
      </c>
    </row>
    <row r="1681" spans="1:25" x14ac:dyDescent="0.2">
      <c r="A1681" t="s">
        <v>6300</v>
      </c>
      <c r="B1681" t="s">
        <v>6301</v>
      </c>
      <c r="C1681" t="s">
        <v>6302</v>
      </c>
      <c r="D1681" t="s">
        <v>6303</v>
      </c>
      <c r="E1681" t="s">
        <v>6301</v>
      </c>
      <c r="F1681" t="s">
        <v>28</v>
      </c>
      <c r="G1681" t="s">
        <v>6301</v>
      </c>
      <c r="H1681" t="str">
        <f>"fncm-1"</f>
        <v>fncm-1</v>
      </c>
      <c r="I1681" t="s">
        <v>6303</v>
      </c>
      <c r="J1681" t="s">
        <v>29</v>
      </c>
      <c r="K1681" t="s">
        <v>29</v>
      </c>
      <c r="L1681" t="s">
        <v>29</v>
      </c>
      <c r="M1681" t="s">
        <v>29</v>
      </c>
      <c r="N1681" t="s">
        <v>29</v>
      </c>
      <c r="O1681" t="s">
        <v>29</v>
      </c>
      <c r="P1681" t="s">
        <v>29</v>
      </c>
      <c r="Q1681" t="s">
        <v>29</v>
      </c>
      <c r="R1681" t="s">
        <v>29</v>
      </c>
      <c r="S1681">
        <v>10.753083697306</v>
      </c>
      <c r="T1681" t="s">
        <v>29</v>
      </c>
      <c r="U1681" t="s">
        <v>29</v>
      </c>
      <c r="V1681" t="s">
        <v>29</v>
      </c>
      <c r="W1681" t="s">
        <v>29</v>
      </c>
      <c r="X1681" t="s">
        <v>29</v>
      </c>
      <c r="Y1681" t="s">
        <v>29</v>
      </c>
    </row>
    <row r="1682" spans="1:25" x14ac:dyDescent="0.2">
      <c r="A1682" t="s">
        <v>6304</v>
      </c>
      <c r="B1682" t="s">
        <v>6305</v>
      </c>
      <c r="C1682" t="s">
        <v>6306</v>
      </c>
      <c r="D1682" t="s">
        <v>6307</v>
      </c>
      <c r="E1682" t="s">
        <v>6305</v>
      </c>
      <c r="F1682" t="s">
        <v>28</v>
      </c>
      <c r="G1682" t="s">
        <v>6305</v>
      </c>
      <c r="H1682" t="str">
        <f>"mrpl-24"</f>
        <v>mrpl-24</v>
      </c>
      <c r="I1682" t="s">
        <v>6307</v>
      </c>
      <c r="J1682" t="s">
        <v>29</v>
      </c>
      <c r="K1682" t="s">
        <v>29</v>
      </c>
      <c r="L1682">
        <v>10.5043290314856</v>
      </c>
      <c r="M1682">
        <v>10.6291510486526</v>
      </c>
      <c r="N1682">
        <v>11.618132093227301</v>
      </c>
      <c r="O1682" t="s">
        <v>29</v>
      </c>
      <c r="P1682">
        <v>0.61931253945433096</v>
      </c>
      <c r="Q1682">
        <v>-0.39776767742540198</v>
      </c>
      <c r="R1682">
        <v>1.6363927563340599</v>
      </c>
      <c r="S1682">
        <v>11.423506144697001</v>
      </c>
      <c r="T1682">
        <v>1.3417832303913499</v>
      </c>
      <c r="U1682">
        <v>-5.5963135042229597</v>
      </c>
      <c r="V1682">
        <v>0.206961749933921</v>
      </c>
      <c r="W1682">
        <v>0.79075284576134597</v>
      </c>
      <c r="X1682">
        <v>0</v>
      </c>
      <c r="Y1682">
        <v>0</v>
      </c>
    </row>
    <row r="1683" spans="1:25" x14ac:dyDescent="0.2">
      <c r="A1683" t="s">
        <v>6308</v>
      </c>
      <c r="B1683" t="s">
        <v>6309</v>
      </c>
      <c r="C1683" t="s">
        <v>14416</v>
      </c>
      <c r="D1683" t="s">
        <v>304</v>
      </c>
      <c r="E1683" t="s">
        <v>6309</v>
      </c>
      <c r="F1683" t="s">
        <v>28</v>
      </c>
      <c r="G1683" t="s">
        <v>6309</v>
      </c>
      <c r="H1683" t="str">
        <f>"F59A3.12"</f>
        <v>F59A3.12</v>
      </c>
      <c r="I1683" t="s">
        <v>304</v>
      </c>
      <c r="J1683" t="s">
        <v>29</v>
      </c>
      <c r="K1683">
        <v>12.405359199396299</v>
      </c>
      <c r="L1683">
        <v>11.2212358689652</v>
      </c>
      <c r="M1683" t="s">
        <v>29</v>
      </c>
      <c r="N1683">
        <v>11.8662720173292</v>
      </c>
      <c r="O1683" t="s">
        <v>29</v>
      </c>
      <c r="P1683">
        <v>5.2974483148403799E-2</v>
      </c>
      <c r="Q1683">
        <v>-1.0058483319055</v>
      </c>
      <c r="R1683">
        <v>1.1117972982023001</v>
      </c>
      <c r="S1683">
        <v>12.522075958958601</v>
      </c>
      <c r="T1683">
        <v>0.110248104346478</v>
      </c>
      <c r="U1683">
        <v>-6.4769469356828502</v>
      </c>
      <c r="V1683">
        <v>0.91421718586606604</v>
      </c>
      <c r="W1683">
        <v>0.99833354317360001</v>
      </c>
      <c r="X1683">
        <v>0</v>
      </c>
      <c r="Y1683">
        <v>0</v>
      </c>
    </row>
    <row r="1684" spans="1:25" x14ac:dyDescent="0.2">
      <c r="A1684" t="s">
        <v>6310</v>
      </c>
      <c r="B1684" t="s">
        <v>6311</v>
      </c>
      <c r="C1684" t="s">
        <v>14417</v>
      </c>
      <c r="D1684" t="s">
        <v>6312</v>
      </c>
      <c r="E1684" t="s">
        <v>6311</v>
      </c>
      <c r="F1684" t="s">
        <v>28</v>
      </c>
      <c r="G1684" t="s">
        <v>6311</v>
      </c>
      <c r="H1684" t="str">
        <f>"K11H12.8"</f>
        <v>K11H12.8</v>
      </c>
      <c r="I1684" t="s">
        <v>6312</v>
      </c>
      <c r="J1684">
        <v>13.4206296122249</v>
      </c>
      <c r="K1684">
        <v>11.744707234728001</v>
      </c>
      <c r="L1684">
        <v>11.821358466309</v>
      </c>
      <c r="M1684">
        <v>12.836778517571</v>
      </c>
      <c r="N1684" t="s">
        <v>29</v>
      </c>
      <c r="O1684">
        <v>12.2219635430121</v>
      </c>
      <c r="P1684">
        <v>0.20047259253753899</v>
      </c>
      <c r="Q1684">
        <v>-1.1317875644956199</v>
      </c>
      <c r="R1684">
        <v>1.5327327495706999</v>
      </c>
      <c r="S1684">
        <v>12.378012636514899</v>
      </c>
      <c r="T1684">
        <v>0.34101247911772797</v>
      </c>
      <c r="U1684">
        <v>-6.7087737112977797</v>
      </c>
      <c r="V1684">
        <v>0.74101056872538895</v>
      </c>
      <c r="W1684">
        <v>0.99147544347995398</v>
      </c>
      <c r="X1684">
        <v>0</v>
      </c>
      <c r="Y1684">
        <v>0</v>
      </c>
    </row>
    <row r="1685" spans="1:25" x14ac:dyDescent="0.2">
      <c r="A1685" t="s">
        <v>6313</v>
      </c>
      <c r="B1685" t="s">
        <v>6314</v>
      </c>
      <c r="C1685" t="s">
        <v>6315</v>
      </c>
      <c r="D1685" t="s">
        <v>6316</v>
      </c>
      <c r="E1685" t="s">
        <v>6314</v>
      </c>
      <c r="F1685" t="s">
        <v>28</v>
      </c>
      <c r="G1685" t="s">
        <v>6314</v>
      </c>
      <c r="H1685" t="str">
        <f>"rpl-15"</f>
        <v>rpl-15</v>
      </c>
      <c r="I1685" t="s">
        <v>6316</v>
      </c>
      <c r="J1685">
        <v>21.551596497522102</v>
      </c>
      <c r="K1685">
        <v>21.895718041979102</v>
      </c>
      <c r="L1685">
        <v>21.978778010451599</v>
      </c>
      <c r="M1685">
        <v>21.908061188921501</v>
      </c>
      <c r="N1685">
        <v>21.668364034581099</v>
      </c>
      <c r="O1685">
        <v>21.4245301965762</v>
      </c>
      <c r="P1685">
        <v>-0.14171237662466801</v>
      </c>
      <c r="Q1685">
        <v>-0.571235470461397</v>
      </c>
      <c r="R1685">
        <v>0.28781071721206197</v>
      </c>
      <c r="S1685">
        <v>22.134639267221001</v>
      </c>
      <c r="T1685">
        <v>-0.69344780136053996</v>
      </c>
      <c r="U1685">
        <v>-6.6345866750173998</v>
      </c>
      <c r="V1685">
        <v>0.496931514503483</v>
      </c>
      <c r="W1685">
        <v>0.94062983959761604</v>
      </c>
      <c r="X1685">
        <v>0</v>
      </c>
      <c r="Y1685">
        <v>0</v>
      </c>
    </row>
    <row r="1686" spans="1:25" x14ac:dyDescent="0.2">
      <c r="A1686" t="s">
        <v>6317</v>
      </c>
      <c r="B1686" t="s">
        <v>6318</v>
      </c>
      <c r="C1686" t="s">
        <v>6319</v>
      </c>
      <c r="D1686" t="s">
        <v>6320</v>
      </c>
      <c r="E1686" t="s">
        <v>6318</v>
      </c>
      <c r="F1686" t="s">
        <v>28</v>
      </c>
      <c r="G1686" t="s">
        <v>6318</v>
      </c>
      <c r="H1686" t="str">
        <f>"K11H12.1"</f>
        <v>K11H12.1</v>
      </c>
      <c r="I1686" t="s">
        <v>6320</v>
      </c>
      <c r="J1686">
        <v>12.981081388729899</v>
      </c>
      <c r="K1686">
        <v>12.504516439388</v>
      </c>
      <c r="L1686">
        <v>12.5449415761837</v>
      </c>
      <c r="M1686">
        <v>12.757281217026801</v>
      </c>
      <c r="N1686">
        <v>13.0054088451353</v>
      </c>
      <c r="O1686">
        <v>12.7711810958266</v>
      </c>
      <c r="P1686">
        <v>0.16777725122899401</v>
      </c>
      <c r="Q1686">
        <v>-0.430393561715187</v>
      </c>
      <c r="R1686">
        <v>0.76594806417317496</v>
      </c>
      <c r="S1686">
        <v>12.6618506072623</v>
      </c>
      <c r="T1686">
        <v>0.59491837961146798</v>
      </c>
      <c r="U1686">
        <v>-6.69839480083753</v>
      </c>
      <c r="V1686">
        <v>0.56027258807784397</v>
      </c>
      <c r="W1686">
        <v>0.95650569706421396</v>
      </c>
      <c r="X1686">
        <v>0</v>
      </c>
      <c r="Y1686">
        <v>0</v>
      </c>
    </row>
    <row r="1687" spans="1:25" x14ac:dyDescent="0.2">
      <c r="A1687" t="s">
        <v>6321</v>
      </c>
      <c r="B1687" t="s">
        <v>6322</v>
      </c>
      <c r="C1687" t="s">
        <v>6323</v>
      </c>
      <c r="D1687" t="s">
        <v>6324</v>
      </c>
      <c r="E1687" t="s">
        <v>6322</v>
      </c>
      <c r="F1687" t="s">
        <v>28</v>
      </c>
      <c r="G1687" t="s">
        <v>6322</v>
      </c>
      <c r="H1687" t="str">
        <f>"ostd-1"</f>
        <v>ostd-1</v>
      </c>
      <c r="I1687" t="s">
        <v>6324</v>
      </c>
      <c r="J1687">
        <v>15.8470236087953</v>
      </c>
      <c r="K1687">
        <v>15.636076320866</v>
      </c>
      <c r="L1687">
        <v>15.658902382878001</v>
      </c>
      <c r="M1687">
        <v>15.818855077711399</v>
      </c>
      <c r="N1687">
        <v>15.6693484757837</v>
      </c>
      <c r="O1687">
        <v>15.589884808493601</v>
      </c>
      <c r="P1687">
        <v>-2.13046501835326E-2</v>
      </c>
      <c r="Q1687">
        <v>-0.35680396419279797</v>
      </c>
      <c r="R1687">
        <v>0.31419466382573302</v>
      </c>
      <c r="S1687">
        <v>15.568473573565599</v>
      </c>
      <c r="T1687">
        <v>-0.133467425792023</v>
      </c>
      <c r="U1687">
        <v>-6.87318670311363</v>
      </c>
      <c r="V1687">
        <v>0.89531320015041105</v>
      </c>
      <c r="W1687">
        <v>0.99819173537707495</v>
      </c>
      <c r="X1687">
        <v>0</v>
      </c>
      <c r="Y1687">
        <v>0</v>
      </c>
    </row>
    <row r="1688" spans="1:25" x14ac:dyDescent="0.2">
      <c r="A1688" t="s">
        <v>6325</v>
      </c>
      <c r="B1688" t="s">
        <v>6326</v>
      </c>
      <c r="C1688" t="s">
        <v>6327</v>
      </c>
      <c r="D1688" t="s">
        <v>603</v>
      </c>
      <c r="E1688" t="s">
        <v>6326</v>
      </c>
      <c r="F1688" t="s">
        <v>28</v>
      </c>
      <c r="G1688" t="s">
        <v>6326</v>
      </c>
      <c r="H1688" t="str">
        <f>"fubl-4"</f>
        <v>fubl-4</v>
      </c>
      <c r="I1688" t="s">
        <v>603</v>
      </c>
      <c r="J1688">
        <v>11.6008076384331</v>
      </c>
      <c r="K1688" t="s">
        <v>29</v>
      </c>
      <c r="L1688">
        <v>12.3070881163574</v>
      </c>
      <c r="M1688">
        <v>12.329054900138299</v>
      </c>
      <c r="N1688">
        <v>12.4952379284594</v>
      </c>
      <c r="O1688" t="s">
        <v>29</v>
      </c>
      <c r="P1688">
        <v>0.45819853690358903</v>
      </c>
      <c r="Q1688">
        <v>-1.10982609331294</v>
      </c>
      <c r="R1688">
        <v>2.0262231671201199</v>
      </c>
      <c r="S1688">
        <v>13.2025424731592</v>
      </c>
      <c r="T1688">
        <v>0.62322149487627598</v>
      </c>
      <c r="U1688">
        <v>-6.48093061370745</v>
      </c>
      <c r="V1688">
        <v>0.54256478581950296</v>
      </c>
      <c r="W1688">
        <v>0.94785071244477903</v>
      </c>
      <c r="X1688">
        <v>0</v>
      </c>
      <c r="Y1688">
        <v>0</v>
      </c>
    </row>
    <row r="1689" spans="1:25" x14ac:dyDescent="0.2">
      <c r="A1689" t="s">
        <v>6328</v>
      </c>
      <c r="B1689" t="s">
        <v>6329</v>
      </c>
      <c r="C1689" t="s">
        <v>6330</v>
      </c>
      <c r="D1689" t="s">
        <v>1510</v>
      </c>
      <c r="E1689" t="s">
        <v>6329</v>
      </c>
      <c r="F1689" t="s">
        <v>28</v>
      </c>
      <c r="G1689" t="s">
        <v>6329</v>
      </c>
      <c r="H1689" t="str">
        <f>"cey-3"</f>
        <v>cey-3</v>
      </c>
      <c r="I1689" t="s">
        <v>1510</v>
      </c>
      <c r="J1689">
        <v>12.608650707239301</v>
      </c>
      <c r="K1689" t="s">
        <v>29</v>
      </c>
      <c r="L1689">
        <v>12.795211398964</v>
      </c>
      <c r="M1689">
        <v>13.322370086062</v>
      </c>
      <c r="N1689">
        <v>12.8800117473114</v>
      </c>
      <c r="O1689">
        <v>13.4810035057374</v>
      </c>
      <c r="P1689">
        <v>0.52586405993528595</v>
      </c>
      <c r="Q1689">
        <v>-0.41921661049632603</v>
      </c>
      <c r="R1689">
        <v>1.4709447303669001</v>
      </c>
      <c r="S1689">
        <v>13.379628206565799</v>
      </c>
      <c r="T1689">
        <v>1.1801960021875799</v>
      </c>
      <c r="U1689">
        <v>-6.0721232656676003</v>
      </c>
      <c r="V1689">
        <v>0.25528358005580898</v>
      </c>
      <c r="W1689">
        <v>0.83701250057606502</v>
      </c>
      <c r="X1689">
        <v>0</v>
      </c>
      <c r="Y1689">
        <v>0</v>
      </c>
    </row>
    <row r="1690" spans="1:25" x14ac:dyDescent="0.2">
      <c r="A1690" t="s">
        <v>6331</v>
      </c>
      <c r="B1690" t="s">
        <v>6332</v>
      </c>
      <c r="C1690" t="s">
        <v>6333</v>
      </c>
      <c r="D1690" t="s">
        <v>1035</v>
      </c>
      <c r="E1690" t="s">
        <v>6332</v>
      </c>
      <c r="F1690" t="s">
        <v>28</v>
      </c>
      <c r="G1690" t="s">
        <v>6332</v>
      </c>
      <c r="H1690" t="str">
        <f>"klp-15"</f>
        <v>klp-15</v>
      </c>
      <c r="I1690" t="s">
        <v>1035</v>
      </c>
      <c r="J1690">
        <v>13.0763235132113</v>
      </c>
      <c r="K1690">
        <v>13.171106324607299</v>
      </c>
      <c r="L1690">
        <v>13.7467104915824</v>
      </c>
      <c r="M1690" t="s">
        <v>29</v>
      </c>
      <c r="N1690">
        <v>13.8097851186835</v>
      </c>
      <c r="O1690">
        <v>13.673648187536401</v>
      </c>
      <c r="P1690">
        <v>0.41033654330958502</v>
      </c>
      <c r="Q1690">
        <v>-0.301555106040934</v>
      </c>
      <c r="R1690">
        <v>1.1222281926601001</v>
      </c>
      <c r="S1690">
        <v>14.115816609419699</v>
      </c>
      <c r="T1690">
        <v>1.23713812222224</v>
      </c>
      <c r="U1690">
        <v>-6.0045249361180604</v>
      </c>
      <c r="V1690">
        <v>0.23653642454212201</v>
      </c>
      <c r="W1690">
        <v>0.82181747752460499</v>
      </c>
      <c r="X1690">
        <v>0</v>
      </c>
      <c r="Y1690">
        <v>0</v>
      </c>
    </row>
    <row r="1691" spans="1:25" x14ac:dyDescent="0.2">
      <c r="A1691" t="s">
        <v>6334</v>
      </c>
      <c r="B1691" t="s">
        <v>6335</v>
      </c>
      <c r="C1691" t="s">
        <v>6336</v>
      </c>
      <c r="D1691" t="s">
        <v>6337</v>
      </c>
      <c r="E1691" t="s">
        <v>6335</v>
      </c>
      <c r="F1691" t="s">
        <v>28</v>
      </c>
      <c r="G1691" t="s">
        <v>6335</v>
      </c>
      <c r="H1691" t="str">
        <f>"ctnb-1"</f>
        <v>ctnb-1</v>
      </c>
      <c r="I1691" t="s">
        <v>6337</v>
      </c>
      <c r="J1691" t="s">
        <v>29</v>
      </c>
      <c r="K1691" t="s">
        <v>29</v>
      </c>
      <c r="L1691" t="s">
        <v>29</v>
      </c>
      <c r="M1691" t="s">
        <v>29</v>
      </c>
      <c r="N1691">
        <v>10.925621174551299</v>
      </c>
      <c r="O1691" t="s">
        <v>29</v>
      </c>
      <c r="P1691" t="s">
        <v>29</v>
      </c>
      <c r="Q1691" t="s">
        <v>29</v>
      </c>
      <c r="R1691" t="s">
        <v>29</v>
      </c>
      <c r="S1691">
        <v>11.264564892661401</v>
      </c>
      <c r="T1691" t="s">
        <v>29</v>
      </c>
      <c r="U1691" t="s">
        <v>29</v>
      </c>
      <c r="V1691" t="s">
        <v>29</v>
      </c>
      <c r="W1691" t="s">
        <v>29</v>
      </c>
      <c r="X1691" t="s">
        <v>29</v>
      </c>
      <c r="Y1691" t="s">
        <v>29</v>
      </c>
    </row>
    <row r="1692" spans="1:25" x14ac:dyDescent="0.2">
      <c r="A1692" t="s">
        <v>6338</v>
      </c>
      <c r="B1692" t="s">
        <v>6339</v>
      </c>
      <c r="C1692" t="s">
        <v>14418</v>
      </c>
      <c r="D1692" t="s">
        <v>6340</v>
      </c>
      <c r="E1692" t="s">
        <v>6339</v>
      </c>
      <c r="F1692" t="s">
        <v>28</v>
      </c>
      <c r="G1692" t="s">
        <v>6339</v>
      </c>
      <c r="H1692" t="str">
        <f>"M01E11.1"</f>
        <v>M01E11.1</v>
      </c>
      <c r="I1692" t="s">
        <v>6340</v>
      </c>
      <c r="J1692">
        <v>12.2549064021674</v>
      </c>
      <c r="K1692">
        <v>12.9089155086043</v>
      </c>
      <c r="L1692">
        <v>13.253641746667</v>
      </c>
      <c r="M1692">
        <v>12.453686403732799</v>
      </c>
      <c r="N1692">
        <v>13.096086442325999</v>
      </c>
      <c r="O1692">
        <v>13.0143039123147</v>
      </c>
      <c r="P1692">
        <v>4.8871033644918099E-2</v>
      </c>
      <c r="Q1692">
        <v>-0.481206167328045</v>
      </c>
      <c r="R1692">
        <v>0.57894823461788103</v>
      </c>
      <c r="S1692">
        <v>13.554956543793301</v>
      </c>
      <c r="T1692">
        <v>0.19663191335698499</v>
      </c>
      <c r="U1692">
        <v>-6.8620990364706902</v>
      </c>
      <c r="V1692">
        <v>0.84677335293153999</v>
      </c>
      <c r="W1692">
        <v>0.99370971747667503</v>
      </c>
      <c r="X1692">
        <v>0</v>
      </c>
      <c r="Y1692">
        <v>0</v>
      </c>
    </row>
    <row r="1693" spans="1:25" x14ac:dyDescent="0.2">
      <c r="A1693" t="s">
        <v>6341</v>
      </c>
      <c r="B1693" t="s">
        <v>6342</v>
      </c>
      <c r="C1693" t="s">
        <v>6343</v>
      </c>
      <c r="D1693" t="s">
        <v>214</v>
      </c>
      <c r="E1693" t="s">
        <v>6342</v>
      </c>
      <c r="F1693" t="s">
        <v>28</v>
      </c>
      <c r="G1693" t="s">
        <v>6342</v>
      </c>
      <c r="H1693" t="str">
        <f>"rbx-2"</f>
        <v>rbx-2</v>
      </c>
      <c r="I1693" t="s">
        <v>214</v>
      </c>
      <c r="J1693" t="s">
        <v>29</v>
      </c>
      <c r="K1693" t="s">
        <v>29</v>
      </c>
      <c r="L1693" t="s">
        <v>29</v>
      </c>
      <c r="M1693" t="s">
        <v>29</v>
      </c>
      <c r="N1693" t="s">
        <v>29</v>
      </c>
      <c r="O1693" t="s">
        <v>29</v>
      </c>
      <c r="P1693" t="s">
        <v>29</v>
      </c>
      <c r="Q1693" t="s">
        <v>29</v>
      </c>
      <c r="R1693" t="s">
        <v>29</v>
      </c>
      <c r="S1693">
        <v>9.5266009522981108</v>
      </c>
      <c r="T1693" t="s">
        <v>29</v>
      </c>
      <c r="U1693" t="s">
        <v>29</v>
      </c>
      <c r="V1693" t="s">
        <v>29</v>
      </c>
      <c r="W1693" t="s">
        <v>29</v>
      </c>
      <c r="X1693" t="s">
        <v>29</v>
      </c>
      <c r="Y1693" t="s">
        <v>29</v>
      </c>
    </row>
    <row r="1694" spans="1:25" x14ac:dyDescent="0.2">
      <c r="A1694" t="s">
        <v>6344</v>
      </c>
      <c r="B1694" t="s">
        <v>6345</v>
      </c>
      <c r="C1694" t="s">
        <v>6346</v>
      </c>
      <c r="D1694" t="s">
        <v>6347</v>
      </c>
      <c r="E1694" t="s">
        <v>6345</v>
      </c>
      <c r="F1694" t="s">
        <v>28</v>
      </c>
      <c r="G1694" t="s">
        <v>6345</v>
      </c>
      <c r="H1694" t="str">
        <f>"eppl-1"</f>
        <v>eppl-1</v>
      </c>
      <c r="I1694" t="s">
        <v>6347</v>
      </c>
      <c r="J1694">
        <v>12.121889138834099</v>
      </c>
      <c r="K1694">
        <v>12.2006373694323</v>
      </c>
      <c r="L1694">
        <v>12.5332076054664</v>
      </c>
      <c r="M1694">
        <v>12.2682128442266</v>
      </c>
      <c r="N1694">
        <v>13.016075415783201</v>
      </c>
      <c r="O1694">
        <v>12.379958682526899</v>
      </c>
      <c r="P1694">
        <v>0.26950427626798801</v>
      </c>
      <c r="Q1694">
        <v>-0.30551380792857802</v>
      </c>
      <c r="R1694">
        <v>0.84452236046455298</v>
      </c>
      <c r="S1694">
        <v>12.693345646183101</v>
      </c>
      <c r="T1694">
        <v>0.98509172378586995</v>
      </c>
      <c r="U1694">
        <v>-6.3888611705232101</v>
      </c>
      <c r="V1694">
        <v>0.33771163560321898</v>
      </c>
      <c r="W1694">
        <v>0.87368774661315896</v>
      </c>
      <c r="X1694">
        <v>0</v>
      </c>
      <c r="Y1694">
        <v>0</v>
      </c>
    </row>
    <row r="1695" spans="1:25" x14ac:dyDescent="0.2">
      <c r="A1695" t="s">
        <v>6348</v>
      </c>
      <c r="B1695" t="s">
        <v>6349</v>
      </c>
      <c r="C1695" t="s">
        <v>6350</v>
      </c>
      <c r="D1695" t="s">
        <v>6351</v>
      </c>
      <c r="E1695" t="s">
        <v>6349</v>
      </c>
      <c r="F1695" t="s">
        <v>28</v>
      </c>
      <c r="G1695" t="s">
        <v>6349</v>
      </c>
      <c r="H1695" t="str">
        <f>"T01D1.4"</f>
        <v>T01D1.4</v>
      </c>
      <c r="I1695" t="s">
        <v>6351</v>
      </c>
      <c r="J1695">
        <v>12.416653272133299</v>
      </c>
      <c r="K1695" t="s">
        <v>29</v>
      </c>
      <c r="L1695" t="s">
        <v>29</v>
      </c>
      <c r="M1695" t="s">
        <v>29</v>
      </c>
      <c r="N1695">
        <v>11.880662537522699</v>
      </c>
      <c r="O1695">
        <v>11.2978377787145</v>
      </c>
      <c r="P1695">
        <v>-0.82740311401468603</v>
      </c>
      <c r="Q1695">
        <v>-1.8794458085155801</v>
      </c>
      <c r="R1695">
        <v>0.224639580486204</v>
      </c>
      <c r="S1695">
        <v>11.8908815687487</v>
      </c>
      <c r="T1695">
        <v>-1.75489314118304</v>
      </c>
      <c r="U1695">
        <v>-5.04601671689342</v>
      </c>
      <c r="V1695">
        <v>0.110129182956588</v>
      </c>
      <c r="W1695">
        <v>0.68251381914250497</v>
      </c>
      <c r="X1695">
        <v>0</v>
      </c>
      <c r="Y1695">
        <v>0</v>
      </c>
    </row>
    <row r="1696" spans="1:25" x14ac:dyDescent="0.2">
      <c r="A1696" t="s">
        <v>6352</v>
      </c>
      <c r="B1696" t="s">
        <v>6353</v>
      </c>
      <c r="C1696" t="s">
        <v>6354</v>
      </c>
      <c r="D1696" t="s">
        <v>6355</v>
      </c>
      <c r="E1696" t="s">
        <v>6353</v>
      </c>
      <c r="F1696" t="s">
        <v>28</v>
      </c>
      <c r="G1696" t="s">
        <v>6353</v>
      </c>
      <c r="H1696" t="str">
        <f>"gsp-4"</f>
        <v>gsp-4</v>
      </c>
      <c r="I1696" t="s">
        <v>6355</v>
      </c>
      <c r="J1696">
        <v>12.9346847065401</v>
      </c>
      <c r="K1696" t="s">
        <v>29</v>
      </c>
      <c r="L1696">
        <v>12.7227134685929</v>
      </c>
      <c r="M1696">
        <v>13.0136469148564</v>
      </c>
      <c r="N1696">
        <v>12.9889742860565</v>
      </c>
      <c r="O1696" t="s">
        <v>29</v>
      </c>
      <c r="P1696">
        <v>0.17261151288993101</v>
      </c>
      <c r="Q1696">
        <v>-0.63280232996963304</v>
      </c>
      <c r="R1696">
        <v>0.97802535574949601</v>
      </c>
      <c r="S1696">
        <v>12.7941388112169</v>
      </c>
      <c r="T1696">
        <v>0.46338067067807498</v>
      </c>
      <c r="U1696">
        <v>-6.5693732243148402</v>
      </c>
      <c r="V1696">
        <v>0.650815419468176</v>
      </c>
      <c r="W1696">
        <v>0.98133847635541405</v>
      </c>
      <c r="X1696">
        <v>0</v>
      </c>
      <c r="Y1696">
        <v>0</v>
      </c>
    </row>
    <row r="1697" spans="1:25" x14ac:dyDescent="0.2">
      <c r="A1697" t="s">
        <v>6356</v>
      </c>
      <c r="B1697" t="s">
        <v>6357</v>
      </c>
      <c r="C1697" t="s">
        <v>6358</v>
      </c>
      <c r="D1697" t="s">
        <v>6359</v>
      </c>
      <c r="E1697" t="s">
        <v>6357</v>
      </c>
      <c r="F1697" t="s">
        <v>28</v>
      </c>
      <c r="G1697" t="s">
        <v>6357</v>
      </c>
      <c r="H1697" t="str">
        <f>"tfbm-1"</f>
        <v>tfbm-1</v>
      </c>
      <c r="I1697" t="s">
        <v>6359</v>
      </c>
      <c r="J1697">
        <v>13.1467754228253</v>
      </c>
      <c r="K1697">
        <v>13.444741956575999</v>
      </c>
      <c r="L1697">
        <v>12.7931153919713</v>
      </c>
      <c r="M1697">
        <v>13.0509664539456</v>
      </c>
      <c r="N1697">
        <v>12.8535494658486</v>
      </c>
      <c r="O1697">
        <v>13.2020097493075</v>
      </c>
      <c r="P1697">
        <v>-9.2702367423605395E-2</v>
      </c>
      <c r="Q1697">
        <v>-0.77792531429187906</v>
      </c>
      <c r="R1697">
        <v>0.59252057944466796</v>
      </c>
      <c r="S1697">
        <v>12.620565805718799</v>
      </c>
      <c r="T1697">
        <v>-0.28434882641263798</v>
      </c>
      <c r="U1697">
        <v>-6.8403395109533101</v>
      </c>
      <c r="V1697">
        <v>0.77940724730327804</v>
      </c>
      <c r="W1697">
        <v>0.99278624068726296</v>
      </c>
      <c r="X1697">
        <v>0</v>
      </c>
      <c r="Y1697">
        <v>0</v>
      </c>
    </row>
    <row r="1698" spans="1:25" x14ac:dyDescent="0.2">
      <c r="A1698" t="s">
        <v>6360</v>
      </c>
      <c r="B1698" t="s">
        <v>6361</v>
      </c>
      <c r="C1698" t="s">
        <v>6362</v>
      </c>
      <c r="D1698" t="s">
        <v>6363</v>
      </c>
      <c r="E1698" t="s">
        <v>6361</v>
      </c>
      <c r="F1698" t="s">
        <v>28</v>
      </c>
      <c r="G1698" t="s">
        <v>6361</v>
      </c>
      <c r="H1698" t="str">
        <f>"guk-1"</f>
        <v>guk-1</v>
      </c>
      <c r="I1698" t="s">
        <v>6363</v>
      </c>
      <c r="J1698">
        <v>14.3216655199433</v>
      </c>
      <c r="K1698">
        <v>14.394999992308099</v>
      </c>
      <c r="L1698">
        <v>14.1423901270045</v>
      </c>
      <c r="M1698">
        <v>14.141932492074201</v>
      </c>
      <c r="N1698">
        <v>13.565182981185799</v>
      </c>
      <c r="O1698">
        <v>14.1664107807928</v>
      </c>
      <c r="P1698">
        <v>-0.32850979506768302</v>
      </c>
      <c r="Q1698">
        <v>-0.938150974275752</v>
      </c>
      <c r="R1698">
        <v>0.28113138414038602</v>
      </c>
      <c r="S1698">
        <v>13.5501838711104</v>
      </c>
      <c r="T1698">
        <v>-1.1429403328546801</v>
      </c>
      <c r="U1698">
        <v>-6.2224507455435996</v>
      </c>
      <c r="V1698">
        <v>0.26998690629554101</v>
      </c>
      <c r="W1698">
        <v>0.856190392347986</v>
      </c>
      <c r="X1698">
        <v>0</v>
      </c>
      <c r="Y1698">
        <v>0</v>
      </c>
    </row>
    <row r="1699" spans="1:25" x14ac:dyDescent="0.2">
      <c r="A1699" t="s">
        <v>6364</v>
      </c>
      <c r="B1699" t="s">
        <v>6365</v>
      </c>
      <c r="C1699" t="s">
        <v>6366</v>
      </c>
      <c r="D1699" t="s">
        <v>6367</v>
      </c>
      <c r="E1699" t="s">
        <v>6365</v>
      </c>
      <c r="F1699" t="s">
        <v>28</v>
      </c>
      <c r="G1699" t="s">
        <v>6365</v>
      </c>
      <c r="H1699" t="str">
        <f>"pgk-1"</f>
        <v>pgk-1</v>
      </c>
      <c r="I1699" t="s">
        <v>6367</v>
      </c>
      <c r="J1699">
        <v>14.144147364268299</v>
      </c>
      <c r="K1699">
        <v>14.064153029951401</v>
      </c>
      <c r="L1699">
        <v>13.917402325133301</v>
      </c>
      <c r="M1699">
        <v>14.099137892303601</v>
      </c>
      <c r="N1699">
        <v>13.9405279536342</v>
      </c>
      <c r="O1699">
        <v>14.2780377407529</v>
      </c>
      <c r="P1699">
        <v>6.4000289112536607E-2</v>
      </c>
      <c r="Q1699">
        <v>-0.45978703054394998</v>
      </c>
      <c r="R1699">
        <v>0.58778760876902403</v>
      </c>
      <c r="S1699">
        <v>13.5226752108192</v>
      </c>
      <c r="T1699">
        <v>0.256814457317107</v>
      </c>
      <c r="U1699">
        <v>-6.8480929086620002</v>
      </c>
      <c r="V1699">
        <v>0.80025145628553196</v>
      </c>
      <c r="W1699">
        <v>0.99278624068726296</v>
      </c>
      <c r="X1699">
        <v>0</v>
      </c>
      <c r="Y1699">
        <v>0</v>
      </c>
    </row>
    <row r="1700" spans="1:25" x14ac:dyDescent="0.2">
      <c r="A1700" t="s">
        <v>6368</v>
      </c>
      <c r="B1700" t="s">
        <v>6369</v>
      </c>
      <c r="C1700" t="s">
        <v>6370</v>
      </c>
      <c r="D1700" t="s">
        <v>6371</v>
      </c>
      <c r="E1700" t="s">
        <v>6369</v>
      </c>
      <c r="F1700" t="s">
        <v>28</v>
      </c>
      <c r="G1700" t="s">
        <v>6369</v>
      </c>
      <c r="H1700" t="str">
        <f>"hum-6"</f>
        <v>hum-6</v>
      </c>
      <c r="I1700" t="s">
        <v>6371</v>
      </c>
      <c r="J1700">
        <v>13.158999098837301</v>
      </c>
      <c r="K1700">
        <v>13.133487299321001</v>
      </c>
      <c r="L1700">
        <v>12.916633352921799</v>
      </c>
      <c r="M1700">
        <v>12.8617772928188</v>
      </c>
      <c r="N1700">
        <v>12.979953507395299</v>
      </c>
      <c r="O1700">
        <v>13.075094752446001</v>
      </c>
      <c r="P1700">
        <v>-9.7431399473318706E-2</v>
      </c>
      <c r="Q1700">
        <v>-0.48558132977981699</v>
      </c>
      <c r="R1700">
        <v>0.290718530833179</v>
      </c>
      <c r="S1700">
        <v>12.985799629922999</v>
      </c>
      <c r="T1700">
        <v>-0.53241337610704098</v>
      </c>
      <c r="U1700">
        <v>-6.7347212702828303</v>
      </c>
      <c r="V1700">
        <v>0.60180367139833402</v>
      </c>
      <c r="W1700">
        <v>0.96856739034780204</v>
      </c>
      <c r="X1700">
        <v>0</v>
      </c>
      <c r="Y1700">
        <v>0</v>
      </c>
    </row>
    <row r="1701" spans="1:25" x14ac:dyDescent="0.2">
      <c r="A1701" t="s">
        <v>6372</v>
      </c>
      <c r="B1701" t="s">
        <v>6373</v>
      </c>
      <c r="C1701" t="s">
        <v>6374</v>
      </c>
      <c r="D1701" t="s">
        <v>6375</v>
      </c>
      <c r="E1701" t="s">
        <v>6373</v>
      </c>
      <c r="F1701" t="s">
        <v>28</v>
      </c>
      <c r="G1701" t="s">
        <v>6373</v>
      </c>
      <c r="H1701" t="str">
        <f>"T19B4.3"</f>
        <v>T19B4.3</v>
      </c>
      <c r="I1701" t="s">
        <v>6375</v>
      </c>
      <c r="J1701">
        <v>13.007710524014101</v>
      </c>
      <c r="K1701">
        <v>12.7942744760994</v>
      </c>
      <c r="L1701">
        <v>13.263821802701701</v>
      </c>
      <c r="M1701">
        <v>13.2931517730116</v>
      </c>
      <c r="N1701">
        <v>13.8356306345955</v>
      </c>
      <c r="O1701">
        <v>13.2311285294467</v>
      </c>
      <c r="P1701">
        <v>0.43136804474620599</v>
      </c>
      <c r="Q1701">
        <v>-0.15625969503289799</v>
      </c>
      <c r="R1701">
        <v>1.0189957845253099</v>
      </c>
      <c r="S1701">
        <v>12.814485653257099</v>
      </c>
      <c r="T1701">
        <v>1.5570236551522301</v>
      </c>
      <c r="U1701">
        <v>-5.6966236594152404</v>
      </c>
      <c r="V1701">
        <v>0.13914979634317601</v>
      </c>
      <c r="W1701">
        <v>0.72716651652323006</v>
      </c>
      <c r="X1701">
        <v>0</v>
      </c>
      <c r="Y1701">
        <v>0</v>
      </c>
    </row>
    <row r="1702" spans="1:25" x14ac:dyDescent="0.2">
      <c r="A1702" t="s">
        <v>6376</v>
      </c>
      <c r="B1702" t="s">
        <v>6377</v>
      </c>
      <c r="C1702" t="s">
        <v>6378</v>
      </c>
      <c r="D1702" t="s">
        <v>6379</v>
      </c>
      <c r="E1702" t="s">
        <v>6377</v>
      </c>
      <c r="F1702" t="s">
        <v>28</v>
      </c>
      <c r="G1702" t="s">
        <v>6377</v>
      </c>
      <c r="H1702" t="str">
        <f>"npp-7"</f>
        <v>npp-7</v>
      </c>
      <c r="I1702" t="s">
        <v>6379</v>
      </c>
      <c r="J1702">
        <v>10.941041152332</v>
      </c>
      <c r="K1702">
        <v>10.354914204574101</v>
      </c>
      <c r="L1702">
        <v>11.3880190006918</v>
      </c>
      <c r="M1702">
        <v>11.412742288351399</v>
      </c>
      <c r="N1702">
        <v>11.720572330552001</v>
      </c>
      <c r="O1702">
        <v>11.360736005800501</v>
      </c>
      <c r="P1702">
        <v>0.60335875570202502</v>
      </c>
      <c r="Q1702">
        <v>1.7019636193987601E-2</v>
      </c>
      <c r="R1702">
        <v>1.18969787521006</v>
      </c>
      <c r="S1702">
        <v>11.2929255508219</v>
      </c>
      <c r="T1702">
        <v>2.18261069383867</v>
      </c>
      <c r="U1702">
        <v>-4.6941523411018702</v>
      </c>
      <c r="V1702">
        <v>4.4418886762629603E-2</v>
      </c>
      <c r="W1702">
        <v>0.46051730575087702</v>
      </c>
      <c r="X1702">
        <v>0</v>
      </c>
      <c r="Y1702">
        <v>0</v>
      </c>
    </row>
    <row r="1703" spans="1:25" x14ac:dyDescent="0.2">
      <c r="A1703" t="s">
        <v>6380</v>
      </c>
      <c r="B1703" t="s">
        <v>6381</v>
      </c>
      <c r="C1703" t="s">
        <v>14419</v>
      </c>
      <c r="D1703" t="s">
        <v>214</v>
      </c>
      <c r="E1703" t="s">
        <v>6381</v>
      </c>
      <c r="F1703" t="s">
        <v>28</v>
      </c>
      <c r="G1703" t="s">
        <v>6381</v>
      </c>
      <c r="H1703" t="str">
        <f>"T20F5.6"</f>
        <v>T20F5.6</v>
      </c>
      <c r="I1703" t="s">
        <v>214</v>
      </c>
      <c r="J1703" t="s">
        <v>29</v>
      </c>
      <c r="K1703" t="s">
        <v>29</v>
      </c>
      <c r="L1703" t="s">
        <v>29</v>
      </c>
      <c r="M1703">
        <v>11.9316467259082</v>
      </c>
      <c r="N1703" t="s">
        <v>29</v>
      </c>
      <c r="O1703" t="s">
        <v>29</v>
      </c>
      <c r="P1703" t="s">
        <v>29</v>
      </c>
      <c r="Q1703" t="s">
        <v>29</v>
      </c>
      <c r="R1703" t="s">
        <v>29</v>
      </c>
      <c r="S1703">
        <v>10.7360996371035</v>
      </c>
      <c r="T1703" t="s">
        <v>29</v>
      </c>
      <c r="U1703" t="s">
        <v>29</v>
      </c>
      <c r="V1703" t="s">
        <v>29</v>
      </c>
      <c r="W1703" t="s">
        <v>29</v>
      </c>
      <c r="X1703" t="s">
        <v>29</v>
      </c>
      <c r="Y1703" t="s">
        <v>29</v>
      </c>
    </row>
    <row r="1704" spans="1:25" x14ac:dyDescent="0.2">
      <c r="A1704" t="s">
        <v>6382</v>
      </c>
      <c r="B1704" t="s">
        <v>6383</v>
      </c>
      <c r="C1704" t="s">
        <v>14420</v>
      </c>
      <c r="D1704" t="s">
        <v>214</v>
      </c>
      <c r="E1704" t="s">
        <v>6383</v>
      </c>
      <c r="F1704" t="s">
        <v>28</v>
      </c>
      <c r="G1704" t="s">
        <v>6383</v>
      </c>
      <c r="H1704" t="str">
        <f>"T20F5.7"</f>
        <v>T20F5.7</v>
      </c>
      <c r="I1704" t="s">
        <v>214</v>
      </c>
      <c r="J1704">
        <v>12.1171307509693</v>
      </c>
      <c r="K1704">
        <v>11.4809325543598</v>
      </c>
      <c r="L1704">
        <v>12.0114829522315</v>
      </c>
      <c r="M1704">
        <v>12.487193525791501</v>
      </c>
      <c r="N1704">
        <v>11.223285994352601</v>
      </c>
      <c r="O1704" t="s">
        <v>29</v>
      </c>
      <c r="P1704">
        <v>-1.46089924481654E-2</v>
      </c>
      <c r="Q1704">
        <v>-0.79605961437615202</v>
      </c>
      <c r="R1704">
        <v>0.76684162947982104</v>
      </c>
      <c r="S1704">
        <v>12.5245211750472</v>
      </c>
      <c r="T1704">
        <v>-4.0124590784296699E-2</v>
      </c>
      <c r="U1704">
        <v>-6.7713529804054797</v>
      </c>
      <c r="V1704">
        <v>0.96856462442781099</v>
      </c>
      <c r="W1704">
        <v>0.99968702248720698</v>
      </c>
      <c r="X1704">
        <v>0</v>
      </c>
      <c r="Y1704">
        <v>0</v>
      </c>
    </row>
    <row r="1705" spans="1:25" x14ac:dyDescent="0.2">
      <c r="A1705" t="s">
        <v>6384</v>
      </c>
      <c r="B1705" t="s">
        <v>6385</v>
      </c>
      <c r="C1705" t="s">
        <v>14421</v>
      </c>
      <c r="D1705" t="s">
        <v>2592</v>
      </c>
      <c r="E1705" t="s">
        <v>6385</v>
      </c>
      <c r="F1705" t="s">
        <v>28</v>
      </c>
      <c r="G1705" t="s">
        <v>6385</v>
      </c>
      <c r="H1705" t="str">
        <f>"T23B3.1"</f>
        <v>T23B3.1</v>
      </c>
      <c r="I1705" t="s">
        <v>2592</v>
      </c>
      <c r="J1705">
        <v>12.6216189274709</v>
      </c>
      <c r="K1705">
        <v>12.4174106324094</v>
      </c>
      <c r="L1705">
        <v>12.4646200660994</v>
      </c>
      <c r="M1705">
        <v>13.320703833470899</v>
      </c>
      <c r="N1705">
        <v>12.575923639793899</v>
      </c>
      <c r="O1705">
        <v>12.0787026091059</v>
      </c>
      <c r="P1705">
        <v>0.157226818797049</v>
      </c>
      <c r="Q1705">
        <v>-0.53387426791213499</v>
      </c>
      <c r="R1705">
        <v>0.84832790550623405</v>
      </c>
      <c r="S1705">
        <v>13.0757220187086</v>
      </c>
      <c r="T1705">
        <v>0.48254140154145903</v>
      </c>
      <c r="U1705">
        <v>-6.7609152383754703</v>
      </c>
      <c r="V1705">
        <v>0.63599949564143299</v>
      </c>
      <c r="W1705">
        <v>0.974482469585217</v>
      </c>
      <c r="X1705">
        <v>0</v>
      </c>
      <c r="Y1705">
        <v>0</v>
      </c>
    </row>
    <row r="1706" spans="1:25" x14ac:dyDescent="0.2">
      <c r="A1706" t="s">
        <v>6386</v>
      </c>
      <c r="B1706" t="s">
        <v>6387</v>
      </c>
      <c r="C1706" t="s">
        <v>14422</v>
      </c>
      <c r="D1706" t="s">
        <v>1747</v>
      </c>
      <c r="E1706" t="s">
        <v>6387</v>
      </c>
      <c r="F1706" t="s">
        <v>28</v>
      </c>
      <c r="G1706" t="s">
        <v>6387</v>
      </c>
      <c r="H1706" t="str">
        <f>"T23H2.3"</f>
        <v>T23H2.3</v>
      </c>
      <c r="I1706" t="s">
        <v>1747</v>
      </c>
      <c r="J1706">
        <v>11.8305161893673</v>
      </c>
      <c r="K1706">
        <v>12.071341428419201</v>
      </c>
      <c r="L1706">
        <v>11.9666244608421</v>
      </c>
      <c r="M1706">
        <v>12.443948133886201</v>
      </c>
      <c r="N1706">
        <v>12.6354608654307</v>
      </c>
      <c r="O1706">
        <v>12.0923208488214</v>
      </c>
      <c r="P1706">
        <v>0.43441592316987598</v>
      </c>
      <c r="Q1706">
        <v>6.6233004389647E-3</v>
      </c>
      <c r="R1706">
        <v>0.86220854590078799</v>
      </c>
      <c r="S1706">
        <v>12.9761658489384</v>
      </c>
      <c r="T1706">
        <v>2.1434949162895198</v>
      </c>
      <c r="U1706">
        <v>-4.7552173006454304</v>
      </c>
      <c r="V1706">
        <v>4.6925615789392902E-2</v>
      </c>
      <c r="W1706">
        <v>0.47038689562379399</v>
      </c>
      <c r="X1706">
        <v>0</v>
      </c>
      <c r="Y1706">
        <v>0</v>
      </c>
    </row>
    <row r="1707" spans="1:25" x14ac:dyDescent="0.2">
      <c r="A1707" t="s">
        <v>6388</v>
      </c>
      <c r="B1707" t="s">
        <v>6389</v>
      </c>
      <c r="C1707" t="s">
        <v>6390</v>
      </c>
      <c r="D1707" t="s">
        <v>6391</v>
      </c>
      <c r="E1707" t="s">
        <v>6389</v>
      </c>
      <c r="F1707" t="s">
        <v>28</v>
      </c>
      <c r="G1707" t="s">
        <v>6389</v>
      </c>
      <c r="H1707" t="str">
        <f>"npp-12"</f>
        <v>npp-12</v>
      </c>
      <c r="I1707" t="s">
        <v>6391</v>
      </c>
      <c r="J1707">
        <v>13.2879064703491</v>
      </c>
      <c r="K1707">
        <v>13.0764269651396</v>
      </c>
      <c r="L1707">
        <v>12.805309024202399</v>
      </c>
      <c r="M1707">
        <v>12.968877501070301</v>
      </c>
      <c r="N1707">
        <v>12.9935169457718</v>
      </c>
      <c r="O1707">
        <v>12.9473419802032</v>
      </c>
      <c r="P1707">
        <v>-8.6635344215302695E-2</v>
      </c>
      <c r="Q1707">
        <v>-0.59657790137762001</v>
      </c>
      <c r="R1707">
        <v>0.42330721294701501</v>
      </c>
      <c r="S1707">
        <v>12.6060781784275</v>
      </c>
      <c r="T1707">
        <v>-0.35861120975130101</v>
      </c>
      <c r="U1707">
        <v>-6.8153426563617003</v>
      </c>
      <c r="V1707">
        <v>0.72432789319059998</v>
      </c>
      <c r="W1707">
        <v>0.99057748145465696</v>
      </c>
      <c r="X1707">
        <v>0</v>
      </c>
      <c r="Y1707">
        <v>0</v>
      </c>
    </row>
    <row r="1708" spans="1:25" x14ac:dyDescent="0.2">
      <c r="A1708" t="s">
        <v>6392</v>
      </c>
      <c r="B1708" t="s">
        <v>6393</v>
      </c>
      <c r="C1708" t="s">
        <v>6394</v>
      </c>
      <c r="D1708" t="s">
        <v>6395</v>
      </c>
      <c r="E1708" t="s">
        <v>6393</v>
      </c>
      <c r="F1708" t="s">
        <v>28</v>
      </c>
      <c r="G1708" t="s">
        <v>6393</v>
      </c>
      <c r="H1708" t="str">
        <f>"nmrk-1"</f>
        <v>nmrk-1</v>
      </c>
      <c r="I1708" t="s">
        <v>6395</v>
      </c>
      <c r="J1708">
        <v>11.5845669582973</v>
      </c>
      <c r="K1708">
        <v>10.9129513447715</v>
      </c>
      <c r="L1708" t="s">
        <v>29</v>
      </c>
      <c r="M1708">
        <v>10.9569890015181</v>
      </c>
      <c r="N1708">
        <v>11.582013832635599</v>
      </c>
      <c r="O1708">
        <v>11.3482614819285</v>
      </c>
      <c r="P1708">
        <v>4.6995620493003501E-2</v>
      </c>
      <c r="Q1708">
        <v>-0.67297077569750297</v>
      </c>
      <c r="R1708">
        <v>0.76696201668351005</v>
      </c>
      <c r="S1708">
        <v>11.6266634026458</v>
      </c>
      <c r="T1708">
        <v>0.139215235795077</v>
      </c>
      <c r="U1708">
        <v>-6.7620033775816699</v>
      </c>
      <c r="V1708">
        <v>0.89114492798075795</v>
      </c>
      <c r="W1708">
        <v>0.99702926582654094</v>
      </c>
      <c r="X1708">
        <v>0</v>
      </c>
      <c r="Y1708">
        <v>0</v>
      </c>
    </row>
    <row r="1709" spans="1:25" x14ac:dyDescent="0.2">
      <c r="A1709" t="s">
        <v>6396</v>
      </c>
      <c r="B1709" t="s">
        <v>6397</v>
      </c>
      <c r="C1709" t="s">
        <v>6398</v>
      </c>
      <c r="D1709" t="s">
        <v>6399</v>
      </c>
      <c r="E1709" t="s">
        <v>6397</v>
      </c>
      <c r="F1709" t="s">
        <v>28</v>
      </c>
      <c r="G1709" t="s">
        <v>6397</v>
      </c>
      <c r="H1709" t="str">
        <f>"W09C3.4"</f>
        <v>W09C3.4</v>
      </c>
      <c r="I1709" t="s">
        <v>6399</v>
      </c>
      <c r="J1709">
        <v>12.522663674332</v>
      </c>
      <c r="K1709" t="s">
        <v>29</v>
      </c>
      <c r="L1709">
        <v>12.7222805941899</v>
      </c>
      <c r="M1709">
        <v>12.227354152861301</v>
      </c>
      <c r="N1709" t="s">
        <v>29</v>
      </c>
      <c r="O1709">
        <v>13.0785596389136</v>
      </c>
      <c r="P1709">
        <v>3.0484761626526701E-2</v>
      </c>
      <c r="Q1709">
        <v>-0.73977882986754895</v>
      </c>
      <c r="R1709">
        <v>0.800748353120602</v>
      </c>
      <c r="S1709">
        <v>13.012609969245</v>
      </c>
      <c r="T1709">
        <v>8.7210971912348598E-2</v>
      </c>
      <c r="U1709">
        <v>-6.6782410466314897</v>
      </c>
      <c r="V1709">
        <v>0.93208604006560103</v>
      </c>
      <c r="W1709">
        <v>0.99926809132575301</v>
      </c>
      <c r="X1709">
        <v>0</v>
      </c>
      <c r="Y1709">
        <v>0</v>
      </c>
    </row>
    <row r="1710" spans="1:25" x14ac:dyDescent="0.2">
      <c r="A1710" t="s">
        <v>6400</v>
      </c>
      <c r="B1710" t="s">
        <v>6401</v>
      </c>
      <c r="C1710" t="s">
        <v>14423</v>
      </c>
      <c r="D1710" t="s">
        <v>878</v>
      </c>
      <c r="E1710" t="s">
        <v>6401</v>
      </c>
      <c r="F1710" t="s">
        <v>28</v>
      </c>
      <c r="G1710" t="s">
        <v>6401</v>
      </c>
      <c r="H1710" t="str">
        <f>"ZC204.12"</f>
        <v>ZC204.12</v>
      </c>
      <c r="I1710" t="s">
        <v>878</v>
      </c>
      <c r="J1710">
        <v>12.878159797001601</v>
      </c>
      <c r="K1710">
        <v>12.0645425923556</v>
      </c>
      <c r="L1710" t="s">
        <v>29</v>
      </c>
      <c r="M1710">
        <v>12.776604360200601</v>
      </c>
      <c r="N1710" t="s">
        <v>29</v>
      </c>
      <c r="O1710" t="s">
        <v>29</v>
      </c>
      <c r="P1710">
        <v>0.30525316552201398</v>
      </c>
      <c r="Q1710">
        <v>-1.35426863051059</v>
      </c>
      <c r="R1710">
        <v>1.9647749615546199</v>
      </c>
      <c r="S1710">
        <v>11.900791525210201</v>
      </c>
      <c r="T1710">
        <v>0.401164254084243</v>
      </c>
      <c r="U1710">
        <v>-6.3987774705567499</v>
      </c>
      <c r="V1710">
        <v>0.69541209204064902</v>
      </c>
      <c r="W1710">
        <v>0.98642420921484297</v>
      </c>
      <c r="X1710">
        <v>0</v>
      </c>
      <c r="Y1710">
        <v>0</v>
      </c>
    </row>
    <row r="1711" spans="1:25" x14ac:dyDescent="0.2">
      <c r="A1711" t="s">
        <v>6402</v>
      </c>
      <c r="B1711" t="s">
        <v>6403</v>
      </c>
      <c r="C1711" t="s">
        <v>6404</v>
      </c>
      <c r="D1711" t="s">
        <v>6405</v>
      </c>
      <c r="E1711" t="s">
        <v>6403</v>
      </c>
      <c r="F1711" t="s">
        <v>28</v>
      </c>
      <c r="G1711" t="s">
        <v>6403</v>
      </c>
      <c r="H1711" t="str">
        <f>"rab-5"</f>
        <v>rab-5</v>
      </c>
      <c r="I1711" t="s">
        <v>6405</v>
      </c>
      <c r="J1711">
        <v>14.861298590822299</v>
      </c>
      <c r="K1711">
        <v>15.033304651754399</v>
      </c>
      <c r="L1711">
        <v>14.730852839327801</v>
      </c>
      <c r="M1711">
        <v>14.793648614537901</v>
      </c>
      <c r="N1711">
        <v>14.4590014893855</v>
      </c>
      <c r="O1711">
        <v>14.8981126275406</v>
      </c>
      <c r="P1711">
        <v>-0.15823111681347701</v>
      </c>
      <c r="Q1711">
        <v>-0.61055374874308299</v>
      </c>
      <c r="R1711">
        <v>0.29409151511612902</v>
      </c>
      <c r="S1711">
        <v>14.4584111671819</v>
      </c>
      <c r="T1711">
        <v>-0.73525178640163902</v>
      </c>
      <c r="U1711">
        <v>-6.6042551246504999</v>
      </c>
      <c r="V1711">
        <v>0.47171322106099201</v>
      </c>
      <c r="W1711">
        <v>0.93056407806222996</v>
      </c>
      <c r="X1711">
        <v>0</v>
      </c>
      <c r="Y1711">
        <v>0</v>
      </c>
    </row>
    <row r="1712" spans="1:25" x14ac:dyDescent="0.2">
      <c r="A1712" t="s">
        <v>6406</v>
      </c>
      <c r="B1712" t="s">
        <v>6407</v>
      </c>
      <c r="C1712" t="s">
        <v>6408</v>
      </c>
      <c r="D1712" t="s">
        <v>6409</v>
      </c>
      <c r="E1712" t="s">
        <v>6407</v>
      </c>
      <c r="F1712" t="s">
        <v>28</v>
      </c>
      <c r="G1712" t="s">
        <v>6407</v>
      </c>
      <c r="H1712" t="str">
        <f>"maph-1.1"</f>
        <v>maph-1.1</v>
      </c>
      <c r="I1712" t="s">
        <v>6409</v>
      </c>
      <c r="J1712">
        <v>15.880407349276799</v>
      </c>
      <c r="K1712">
        <v>16.1930051931582</v>
      </c>
      <c r="L1712">
        <v>15.4491047577431</v>
      </c>
      <c r="M1712">
        <v>15.2448058260645</v>
      </c>
      <c r="N1712">
        <v>15.2456270770441</v>
      </c>
      <c r="O1712">
        <v>15.4584810598075</v>
      </c>
      <c r="P1712">
        <v>-0.524534445753991</v>
      </c>
      <c r="Q1712">
        <v>-1.10053976702265</v>
      </c>
      <c r="R1712">
        <v>5.1470875514670902E-2</v>
      </c>
      <c r="S1712">
        <v>15.549729553657</v>
      </c>
      <c r="T1712">
        <v>-1.9221953877142799</v>
      </c>
      <c r="U1712">
        <v>-5.13300417464517</v>
      </c>
      <c r="V1712">
        <v>7.1609714026886803E-2</v>
      </c>
      <c r="W1712">
        <v>0.57425814043729895</v>
      </c>
      <c r="X1712">
        <v>0</v>
      </c>
      <c r="Y1712">
        <v>0</v>
      </c>
    </row>
    <row r="1713" spans="1:25" x14ac:dyDescent="0.2">
      <c r="A1713" t="s">
        <v>6410</v>
      </c>
      <c r="B1713" t="s">
        <v>6411</v>
      </c>
      <c r="C1713" t="s">
        <v>6412</v>
      </c>
      <c r="D1713" t="s">
        <v>534</v>
      </c>
      <c r="E1713" t="s">
        <v>6411</v>
      </c>
      <c r="F1713" t="s">
        <v>28</v>
      </c>
      <c r="G1713" t="s">
        <v>6411</v>
      </c>
      <c r="H1713" t="str">
        <f>"thoc-3"</f>
        <v>thoc-3</v>
      </c>
      <c r="I1713" t="s">
        <v>534</v>
      </c>
      <c r="J1713">
        <v>14.1721641001318</v>
      </c>
      <c r="K1713">
        <v>14.1740496091259</v>
      </c>
      <c r="L1713">
        <v>13.6755457610245</v>
      </c>
      <c r="M1713">
        <v>13.998870296916399</v>
      </c>
      <c r="N1713">
        <v>13.7711849016187</v>
      </c>
      <c r="O1713">
        <v>14.0929206341488</v>
      </c>
      <c r="P1713">
        <v>-5.2927879199456698E-2</v>
      </c>
      <c r="Q1713">
        <v>-0.43626175236216402</v>
      </c>
      <c r="R1713">
        <v>0.33040599396324999</v>
      </c>
      <c r="S1713">
        <v>13.789226368844099</v>
      </c>
      <c r="T1713">
        <v>-0.29144546923994702</v>
      </c>
      <c r="U1713">
        <v>-6.8380820072324999</v>
      </c>
      <c r="V1713">
        <v>0.77425858991130503</v>
      </c>
      <c r="W1713">
        <v>0.99278624068726296</v>
      </c>
      <c r="X1713">
        <v>0</v>
      </c>
      <c r="Y1713">
        <v>0</v>
      </c>
    </row>
    <row r="1714" spans="1:25" x14ac:dyDescent="0.2">
      <c r="A1714" t="s">
        <v>6413</v>
      </c>
      <c r="B1714" t="s">
        <v>6414</v>
      </c>
      <c r="C1714" t="s">
        <v>6415</v>
      </c>
      <c r="D1714" t="s">
        <v>6416</v>
      </c>
      <c r="E1714" t="s">
        <v>6414</v>
      </c>
      <c r="F1714" t="s">
        <v>28</v>
      </c>
      <c r="G1714" t="s">
        <v>6414</v>
      </c>
      <c r="H1714" t="str">
        <f>"snpc-4"</f>
        <v>snpc-4</v>
      </c>
      <c r="I1714" t="s">
        <v>6416</v>
      </c>
      <c r="J1714" t="s">
        <v>29</v>
      </c>
      <c r="K1714" t="s">
        <v>29</v>
      </c>
      <c r="L1714" t="s">
        <v>29</v>
      </c>
      <c r="M1714" t="s">
        <v>29</v>
      </c>
      <c r="N1714" t="s">
        <v>29</v>
      </c>
      <c r="O1714" t="s">
        <v>29</v>
      </c>
      <c r="P1714" t="s">
        <v>29</v>
      </c>
      <c r="Q1714" t="s">
        <v>29</v>
      </c>
      <c r="R1714" t="s">
        <v>29</v>
      </c>
      <c r="S1714">
        <v>13.1429132251701</v>
      </c>
      <c r="T1714" t="s">
        <v>29</v>
      </c>
      <c r="U1714" t="s">
        <v>29</v>
      </c>
      <c r="V1714" t="s">
        <v>29</v>
      </c>
      <c r="W1714" t="s">
        <v>29</v>
      </c>
      <c r="X1714" t="s">
        <v>29</v>
      </c>
      <c r="Y1714" t="s">
        <v>29</v>
      </c>
    </row>
    <row r="1715" spans="1:25" x14ac:dyDescent="0.2">
      <c r="A1715" t="s">
        <v>6417</v>
      </c>
      <c r="B1715" t="s">
        <v>6418</v>
      </c>
      <c r="C1715" t="s">
        <v>6419</v>
      </c>
      <c r="D1715" t="s">
        <v>6420</v>
      </c>
      <c r="E1715" t="s">
        <v>6418</v>
      </c>
      <c r="F1715" t="s">
        <v>28</v>
      </c>
      <c r="G1715" t="s">
        <v>6418</v>
      </c>
      <c r="H1715" t="str">
        <f>"spd-2"</f>
        <v>spd-2</v>
      </c>
      <c r="I1715" t="s">
        <v>6420</v>
      </c>
      <c r="J1715">
        <v>12.4273964295532</v>
      </c>
      <c r="K1715" t="s">
        <v>29</v>
      </c>
      <c r="L1715">
        <v>10.250996518756599</v>
      </c>
      <c r="M1715" t="s">
        <v>29</v>
      </c>
      <c r="N1715" t="s">
        <v>29</v>
      </c>
      <c r="O1715" t="s">
        <v>29</v>
      </c>
      <c r="P1715" t="s">
        <v>29</v>
      </c>
      <c r="Q1715" t="s">
        <v>29</v>
      </c>
      <c r="R1715" t="s">
        <v>29</v>
      </c>
      <c r="S1715">
        <v>12.633503514622999</v>
      </c>
      <c r="T1715" t="s">
        <v>29</v>
      </c>
      <c r="U1715" t="s">
        <v>29</v>
      </c>
      <c r="V1715" t="s">
        <v>29</v>
      </c>
      <c r="W1715" t="s">
        <v>29</v>
      </c>
      <c r="X1715" t="s">
        <v>29</v>
      </c>
      <c r="Y1715" t="s">
        <v>29</v>
      </c>
    </row>
    <row r="1716" spans="1:25" x14ac:dyDescent="0.2">
      <c r="A1716" t="s">
        <v>6421</v>
      </c>
      <c r="B1716" t="s">
        <v>6422</v>
      </c>
      <c r="C1716" t="s">
        <v>6423</v>
      </c>
      <c r="D1716" t="s">
        <v>6424</v>
      </c>
      <c r="E1716" t="s">
        <v>6422</v>
      </c>
      <c r="F1716" t="s">
        <v>28</v>
      </c>
      <c r="G1716" t="s">
        <v>6422</v>
      </c>
      <c r="H1716" t="str">
        <f>"fasn-1"</f>
        <v>fasn-1</v>
      </c>
      <c r="I1716" t="s">
        <v>6424</v>
      </c>
      <c r="J1716">
        <v>17.8525942227587</v>
      </c>
      <c r="K1716">
        <v>17.698651814408201</v>
      </c>
      <c r="L1716">
        <v>17.683063491481398</v>
      </c>
      <c r="M1716">
        <v>17.878294439478999</v>
      </c>
      <c r="N1716">
        <v>17.7095642842255</v>
      </c>
      <c r="O1716">
        <v>17.498023361267201</v>
      </c>
      <c r="P1716">
        <v>-4.9475814558849897E-2</v>
      </c>
      <c r="Q1716">
        <v>-0.394790812271266</v>
      </c>
      <c r="R1716">
        <v>0.295839183153566</v>
      </c>
      <c r="S1716">
        <v>17.506700906648099</v>
      </c>
      <c r="T1716">
        <v>-0.301141094967321</v>
      </c>
      <c r="U1716">
        <v>-6.8352272206127802</v>
      </c>
      <c r="V1716">
        <v>0.76677798279200604</v>
      </c>
      <c r="W1716">
        <v>0.99278624068726296</v>
      </c>
      <c r="X1716">
        <v>0</v>
      </c>
      <c r="Y1716">
        <v>0</v>
      </c>
    </row>
    <row r="1717" spans="1:25" x14ac:dyDescent="0.2">
      <c r="A1717" t="s">
        <v>6425</v>
      </c>
      <c r="B1717" t="s">
        <v>6426</v>
      </c>
      <c r="C1717" t="s">
        <v>6427</v>
      </c>
      <c r="D1717" t="s">
        <v>1382</v>
      </c>
      <c r="E1717" t="s">
        <v>6426</v>
      </c>
      <c r="F1717" t="s">
        <v>28</v>
      </c>
      <c r="G1717" t="s">
        <v>6426</v>
      </c>
      <c r="H1717" t="str">
        <f>"tba-6"</f>
        <v>tba-6</v>
      </c>
      <c r="I1717" t="s">
        <v>1382</v>
      </c>
      <c r="J1717">
        <v>12.9621305448988</v>
      </c>
      <c r="K1717">
        <v>13.223491888212999</v>
      </c>
      <c r="L1717">
        <v>11.969276190735499</v>
      </c>
      <c r="M1717">
        <v>11.8919238539701</v>
      </c>
      <c r="N1717">
        <v>12.390928594440499</v>
      </c>
      <c r="O1717">
        <v>13.20271777384</v>
      </c>
      <c r="P1717">
        <v>-0.223109467198876</v>
      </c>
      <c r="Q1717">
        <v>-3.4816333444327001</v>
      </c>
      <c r="R1717">
        <v>3.0354144100349498</v>
      </c>
      <c r="S1717">
        <v>13.0167258346507</v>
      </c>
      <c r="T1717">
        <v>-0.14602886080947899</v>
      </c>
      <c r="U1717">
        <v>-6.8712369704482397</v>
      </c>
      <c r="V1717">
        <v>0.88585654010677295</v>
      </c>
      <c r="W1717">
        <v>0.99702926582654094</v>
      </c>
      <c r="X1717">
        <v>0</v>
      </c>
      <c r="Y1717">
        <v>0</v>
      </c>
    </row>
    <row r="1718" spans="1:25" x14ac:dyDescent="0.2">
      <c r="A1718" t="s">
        <v>6428</v>
      </c>
      <c r="B1718" t="s">
        <v>6429</v>
      </c>
      <c r="C1718" t="s">
        <v>6430</v>
      </c>
      <c r="D1718" t="s">
        <v>6431</v>
      </c>
      <c r="E1718" t="s">
        <v>6429</v>
      </c>
      <c r="F1718" t="s">
        <v>28</v>
      </c>
      <c r="G1718" t="s">
        <v>6429</v>
      </c>
      <c r="H1718" t="str">
        <f>"mec-12"</f>
        <v>mec-12</v>
      </c>
      <c r="I1718" t="s">
        <v>6431</v>
      </c>
      <c r="J1718">
        <v>15.640271434490799</v>
      </c>
      <c r="K1718">
        <v>16.301491845687501</v>
      </c>
      <c r="L1718">
        <v>15.5062987208737</v>
      </c>
      <c r="M1718">
        <v>15.926243068312001</v>
      </c>
      <c r="N1718">
        <v>15.6423819544663</v>
      </c>
      <c r="O1718">
        <v>15.807638366305</v>
      </c>
      <c r="P1718">
        <v>-2.3932870656214099E-2</v>
      </c>
      <c r="Q1718">
        <v>-0.46110942054816501</v>
      </c>
      <c r="R1718">
        <v>0.41324367923573602</v>
      </c>
      <c r="S1718">
        <v>15.5795668511955</v>
      </c>
      <c r="T1718">
        <v>-0.11506161049317799</v>
      </c>
      <c r="U1718">
        <v>-6.8755747145877804</v>
      </c>
      <c r="V1718">
        <v>0.90967754134629197</v>
      </c>
      <c r="W1718">
        <v>0.99833354317360001</v>
      </c>
      <c r="X1718">
        <v>0</v>
      </c>
      <c r="Y1718">
        <v>0</v>
      </c>
    </row>
    <row r="1719" spans="1:25" x14ac:dyDescent="0.2">
      <c r="A1719" t="s">
        <v>6432</v>
      </c>
      <c r="B1719" t="s">
        <v>6433</v>
      </c>
      <c r="C1719" t="s">
        <v>6434</v>
      </c>
      <c r="D1719" t="s">
        <v>6435</v>
      </c>
      <c r="E1719" t="s">
        <v>6433</v>
      </c>
      <c r="F1719" t="s">
        <v>28</v>
      </c>
      <c r="G1719" t="s">
        <v>6433</v>
      </c>
      <c r="H1719" t="str">
        <f>"rla-1"</f>
        <v>rla-1</v>
      </c>
      <c r="I1719" t="s">
        <v>6435</v>
      </c>
      <c r="J1719">
        <v>14.041065096353901</v>
      </c>
      <c r="K1719">
        <v>14.512620650546699</v>
      </c>
      <c r="L1719">
        <v>15.0941503742847</v>
      </c>
      <c r="M1719">
        <v>15.8522014979629</v>
      </c>
      <c r="N1719">
        <v>14.460198312767799</v>
      </c>
      <c r="O1719">
        <v>14.648127303921401</v>
      </c>
      <c r="P1719">
        <v>0.43756366448891398</v>
      </c>
      <c r="Q1719">
        <v>-0.46098322331014502</v>
      </c>
      <c r="R1719">
        <v>1.3361105522879699</v>
      </c>
      <c r="S1719">
        <v>15.133063056028</v>
      </c>
      <c r="T1719">
        <v>1.0235121903920901</v>
      </c>
      <c r="U1719">
        <v>-6.3507134843247899</v>
      </c>
      <c r="V1719">
        <v>0.31970364551972702</v>
      </c>
      <c r="W1719">
        <v>0.86570305652650403</v>
      </c>
      <c r="X1719">
        <v>0</v>
      </c>
      <c r="Y1719">
        <v>0</v>
      </c>
    </row>
    <row r="1720" spans="1:25" x14ac:dyDescent="0.2">
      <c r="A1720" t="s">
        <v>6436</v>
      </c>
      <c r="B1720" t="s">
        <v>6437</v>
      </c>
      <c r="C1720" t="s">
        <v>6438</v>
      </c>
      <c r="D1720" t="s">
        <v>6439</v>
      </c>
      <c r="E1720" t="s">
        <v>6437</v>
      </c>
      <c r="F1720" t="s">
        <v>28</v>
      </c>
      <c r="G1720" t="s">
        <v>6437</v>
      </c>
      <c r="H1720" t="str">
        <f>"rpl-27"</f>
        <v>rpl-27</v>
      </c>
      <c r="I1720" t="s">
        <v>6439</v>
      </c>
      <c r="J1720">
        <v>18.851282016066801</v>
      </c>
      <c r="K1720">
        <v>18.895557049042999</v>
      </c>
      <c r="L1720">
        <v>18.902896279960299</v>
      </c>
      <c r="M1720">
        <v>18.916060604943301</v>
      </c>
      <c r="N1720">
        <v>18.393877387453099</v>
      </c>
      <c r="O1720">
        <v>18.686740863032899</v>
      </c>
      <c r="P1720">
        <v>-0.21768549654693101</v>
      </c>
      <c r="Q1720">
        <v>-0.63476463214272405</v>
      </c>
      <c r="R1720">
        <v>0.19939363904886101</v>
      </c>
      <c r="S1720">
        <v>18.537973645371299</v>
      </c>
      <c r="T1720">
        <v>-1.09699220906016</v>
      </c>
      <c r="U1720">
        <v>-6.27416715647629</v>
      </c>
      <c r="V1720">
        <v>0.28718771838409601</v>
      </c>
      <c r="W1720">
        <v>0.856190392347986</v>
      </c>
      <c r="X1720">
        <v>0</v>
      </c>
      <c r="Y1720">
        <v>0</v>
      </c>
    </row>
    <row r="1721" spans="1:25" x14ac:dyDescent="0.2">
      <c r="A1721" t="s">
        <v>6440</v>
      </c>
      <c r="B1721" t="s">
        <v>6441</v>
      </c>
      <c r="C1721" t="s">
        <v>6442</v>
      </c>
      <c r="D1721" t="s">
        <v>6443</v>
      </c>
      <c r="E1721" t="s">
        <v>6441</v>
      </c>
      <c r="F1721" t="s">
        <v>28</v>
      </c>
      <c r="G1721" t="s">
        <v>6441</v>
      </c>
      <c r="H1721" t="str">
        <f>"ola-1"</f>
        <v>ola-1</v>
      </c>
      <c r="I1721" t="s">
        <v>6443</v>
      </c>
      <c r="J1721">
        <v>18.365809119272601</v>
      </c>
      <c r="K1721">
        <v>18.2005294731105</v>
      </c>
      <c r="L1721">
        <v>18.272603513750699</v>
      </c>
      <c r="M1721">
        <v>18.362618352342899</v>
      </c>
      <c r="N1721">
        <v>18.516227011429201</v>
      </c>
      <c r="O1721">
        <v>18.393005636923998</v>
      </c>
      <c r="P1721">
        <v>0.14430296485410901</v>
      </c>
      <c r="Q1721">
        <v>-0.171582470261256</v>
      </c>
      <c r="R1721">
        <v>0.46018839996947403</v>
      </c>
      <c r="S1721">
        <v>18.0564347186309</v>
      </c>
      <c r="T1721">
        <v>0.96014796438680206</v>
      </c>
      <c r="U1721">
        <v>-6.4129273891352803</v>
      </c>
      <c r="V1721">
        <v>0.34977529227733301</v>
      </c>
      <c r="W1721">
        <v>0.87950242192597095</v>
      </c>
      <c r="X1721">
        <v>0</v>
      </c>
      <c r="Y1721">
        <v>0</v>
      </c>
    </row>
    <row r="1722" spans="1:25" x14ac:dyDescent="0.2">
      <c r="A1722" t="s">
        <v>6444</v>
      </c>
      <c r="B1722" t="s">
        <v>6445</v>
      </c>
      <c r="C1722" t="s">
        <v>6446</v>
      </c>
      <c r="D1722" t="s">
        <v>6447</v>
      </c>
      <c r="E1722" t="s">
        <v>6445</v>
      </c>
      <c r="F1722" t="s">
        <v>28</v>
      </c>
      <c r="G1722" t="s">
        <v>6445</v>
      </c>
      <c r="H1722" t="str">
        <f>"snr-2"</f>
        <v>snr-2</v>
      </c>
      <c r="I1722" t="s">
        <v>6447</v>
      </c>
      <c r="J1722">
        <v>13.728717330991101</v>
      </c>
      <c r="K1722">
        <v>13.814711999208701</v>
      </c>
      <c r="L1722">
        <v>13.6260547036606</v>
      </c>
      <c r="M1722">
        <v>13.497314943283801</v>
      </c>
      <c r="N1722">
        <v>13.207489621408399</v>
      </c>
      <c r="O1722">
        <v>13.311659663815</v>
      </c>
      <c r="P1722">
        <v>-0.38433993511773101</v>
      </c>
      <c r="Q1722">
        <v>-0.81954319319449198</v>
      </c>
      <c r="R1722">
        <v>5.0863322959028699E-2</v>
      </c>
      <c r="S1722">
        <v>13.2245887881991</v>
      </c>
      <c r="T1722">
        <v>-1.8641179468867699</v>
      </c>
      <c r="U1722">
        <v>-5.2278795081082601</v>
      </c>
      <c r="V1722">
        <v>7.9777053568741998E-2</v>
      </c>
      <c r="W1722">
        <v>0.60076942510977904</v>
      </c>
      <c r="X1722">
        <v>0</v>
      </c>
      <c r="Y1722">
        <v>0</v>
      </c>
    </row>
    <row r="1723" spans="1:25" x14ac:dyDescent="0.2">
      <c r="A1723" t="s">
        <v>6448</v>
      </c>
      <c r="B1723" t="s">
        <v>6449</v>
      </c>
      <c r="C1723" t="s">
        <v>14424</v>
      </c>
      <c r="D1723" t="s">
        <v>107</v>
      </c>
      <c r="E1723" t="s">
        <v>6449</v>
      </c>
      <c r="F1723" t="s">
        <v>28</v>
      </c>
      <c r="G1723" t="s">
        <v>6449</v>
      </c>
      <c r="H1723" t="str">
        <f>"F32H5.4"</f>
        <v>F32H5.4</v>
      </c>
      <c r="I1723" t="s">
        <v>107</v>
      </c>
      <c r="J1723" t="s">
        <v>29</v>
      </c>
      <c r="K1723">
        <v>10.588340036639901</v>
      </c>
      <c r="L1723" t="s">
        <v>29</v>
      </c>
      <c r="M1723">
        <v>11.2239264381443</v>
      </c>
      <c r="N1723">
        <v>10.614648211214901</v>
      </c>
      <c r="O1723" t="s">
        <v>29</v>
      </c>
      <c r="P1723">
        <v>0.330947288039662</v>
      </c>
      <c r="Q1723">
        <v>-0.78275741191430703</v>
      </c>
      <c r="R1723">
        <v>1.4446519879936299</v>
      </c>
      <c r="S1723">
        <v>11.039527291019599</v>
      </c>
      <c r="T1723">
        <v>0.73027066876262903</v>
      </c>
      <c r="U1723">
        <v>-6.1919912623976403</v>
      </c>
      <c r="V1723">
        <v>0.49321177283198397</v>
      </c>
      <c r="W1723">
        <v>0.94062983959761604</v>
      </c>
      <c r="X1723">
        <v>0</v>
      </c>
      <c r="Y1723">
        <v>0</v>
      </c>
    </row>
    <row r="1724" spans="1:25" x14ac:dyDescent="0.2">
      <c r="A1724" t="s">
        <v>6450</v>
      </c>
      <c r="B1724" t="s">
        <v>6451</v>
      </c>
      <c r="C1724" t="s">
        <v>14425</v>
      </c>
      <c r="D1724" t="s">
        <v>6170</v>
      </c>
      <c r="E1724" t="s">
        <v>6451</v>
      </c>
      <c r="F1724" t="s">
        <v>28</v>
      </c>
      <c r="G1724" t="s">
        <v>6451</v>
      </c>
      <c r="H1724" t="str">
        <f>"F53F1.2"</f>
        <v>F53F1.2</v>
      </c>
      <c r="I1724" t="s">
        <v>6170</v>
      </c>
      <c r="J1724" t="s">
        <v>29</v>
      </c>
      <c r="K1724" t="s">
        <v>29</v>
      </c>
      <c r="L1724" t="s">
        <v>29</v>
      </c>
      <c r="M1724" t="s">
        <v>29</v>
      </c>
      <c r="N1724">
        <v>12.4548583652176</v>
      </c>
      <c r="O1724" t="s">
        <v>29</v>
      </c>
      <c r="P1724" t="s">
        <v>29</v>
      </c>
      <c r="Q1724" t="s">
        <v>29</v>
      </c>
      <c r="R1724" t="s">
        <v>29</v>
      </c>
      <c r="S1724">
        <v>13.506186460093099</v>
      </c>
      <c r="T1724" t="s">
        <v>29</v>
      </c>
      <c r="U1724" t="s">
        <v>29</v>
      </c>
      <c r="V1724" t="s">
        <v>29</v>
      </c>
      <c r="W1724" t="s">
        <v>29</v>
      </c>
      <c r="X1724" t="s">
        <v>29</v>
      </c>
      <c r="Y1724" t="s">
        <v>29</v>
      </c>
    </row>
    <row r="1725" spans="1:25" x14ac:dyDescent="0.2">
      <c r="A1725" t="s">
        <v>6452</v>
      </c>
      <c r="B1725" t="s">
        <v>6453</v>
      </c>
      <c r="C1725" t="s">
        <v>6454</v>
      </c>
      <c r="D1725" t="s">
        <v>6455</v>
      </c>
      <c r="E1725" t="s">
        <v>6453</v>
      </c>
      <c r="F1725" t="s">
        <v>28</v>
      </c>
      <c r="G1725" t="s">
        <v>6453</v>
      </c>
      <c r="H1725" t="str">
        <f>"cpz-2"</f>
        <v>cpz-2</v>
      </c>
      <c r="I1725" t="s">
        <v>6455</v>
      </c>
      <c r="J1725">
        <v>14.325666591068</v>
      </c>
      <c r="K1725">
        <v>13.8591989453036</v>
      </c>
      <c r="L1725">
        <v>13.017863127219201</v>
      </c>
      <c r="M1725">
        <v>13.387309684228301</v>
      </c>
      <c r="N1725">
        <v>13.0726446693697</v>
      </c>
      <c r="O1725">
        <v>13.452706181862901</v>
      </c>
      <c r="P1725">
        <v>-0.430022709376638</v>
      </c>
      <c r="Q1725">
        <v>-1.4150301477626299</v>
      </c>
      <c r="R1725">
        <v>0.55498472900935103</v>
      </c>
      <c r="S1725">
        <v>13.565403341135999</v>
      </c>
      <c r="T1725">
        <v>-0.92597958266507296</v>
      </c>
      <c r="U1725">
        <v>-6.44336100724259</v>
      </c>
      <c r="V1725">
        <v>0.36830308435241499</v>
      </c>
      <c r="W1725">
        <v>0.89092663541315897</v>
      </c>
      <c r="X1725">
        <v>0</v>
      </c>
      <c r="Y1725">
        <v>0</v>
      </c>
    </row>
    <row r="1726" spans="1:25" x14ac:dyDescent="0.2">
      <c r="A1726" t="s">
        <v>6456</v>
      </c>
      <c r="B1726" t="s">
        <v>6457</v>
      </c>
      <c r="C1726" t="s">
        <v>14426</v>
      </c>
      <c r="D1726" t="s">
        <v>6458</v>
      </c>
      <c r="E1726" t="s">
        <v>6457</v>
      </c>
      <c r="F1726" t="s">
        <v>28</v>
      </c>
      <c r="G1726" t="s">
        <v>6457</v>
      </c>
      <c r="H1726" t="str">
        <f>"T10G3.3"</f>
        <v>T10G3.3</v>
      </c>
      <c r="I1726" t="s">
        <v>6458</v>
      </c>
      <c r="J1726" t="s">
        <v>29</v>
      </c>
      <c r="K1726" t="s">
        <v>29</v>
      </c>
      <c r="L1726" t="s">
        <v>29</v>
      </c>
      <c r="M1726" t="s">
        <v>29</v>
      </c>
      <c r="N1726" t="s">
        <v>29</v>
      </c>
      <c r="O1726" t="s">
        <v>29</v>
      </c>
      <c r="P1726" t="s">
        <v>29</v>
      </c>
      <c r="Q1726" t="s">
        <v>29</v>
      </c>
      <c r="R1726" t="s">
        <v>29</v>
      </c>
      <c r="S1726">
        <v>12.616666857075</v>
      </c>
      <c r="T1726" t="s">
        <v>29</v>
      </c>
      <c r="U1726" t="s">
        <v>29</v>
      </c>
      <c r="V1726" t="s">
        <v>29</v>
      </c>
      <c r="W1726" t="s">
        <v>29</v>
      </c>
      <c r="X1726" t="s">
        <v>29</v>
      </c>
      <c r="Y1726" t="s">
        <v>29</v>
      </c>
    </row>
    <row r="1727" spans="1:25" x14ac:dyDescent="0.2">
      <c r="A1727" t="s">
        <v>6459</v>
      </c>
      <c r="B1727" t="s">
        <v>6460</v>
      </c>
      <c r="C1727" t="s">
        <v>6461</v>
      </c>
      <c r="D1727" t="s">
        <v>6462</v>
      </c>
      <c r="E1727" t="s">
        <v>6460</v>
      </c>
      <c r="F1727" t="s">
        <v>28</v>
      </c>
      <c r="G1727" t="s">
        <v>6460</v>
      </c>
      <c r="H1727" t="str">
        <f>"let-502"</f>
        <v>let-502</v>
      </c>
      <c r="I1727" t="s">
        <v>6462</v>
      </c>
      <c r="J1727">
        <v>13.8453881650633</v>
      </c>
      <c r="K1727">
        <v>13.635649773754899</v>
      </c>
      <c r="L1727">
        <v>13.686741582922499</v>
      </c>
      <c r="M1727">
        <v>13.6211154157895</v>
      </c>
      <c r="N1727">
        <v>13.658602244948501</v>
      </c>
      <c r="O1727">
        <v>13.462687677026</v>
      </c>
      <c r="P1727">
        <v>-0.141791394658906</v>
      </c>
      <c r="Q1727">
        <v>-0.43445355817924702</v>
      </c>
      <c r="R1727">
        <v>0.150870768861435</v>
      </c>
      <c r="S1727">
        <v>13.605267638429901</v>
      </c>
      <c r="T1727">
        <v>-1.02266480174408</v>
      </c>
      <c r="U1727">
        <v>-6.3507916604126997</v>
      </c>
      <c r="V1727">
        <v>0.32088741761105599</v>
      </c>
      <c r="W1727">
        <v>0.86610975329245199</v>
      </c>
      <c r="X1727">
        <v>0</v>
      </c>
      <c r="Y1727">
        <v>0</v>
      </c>
    </row>
    <row r="1728" spans="1:25" x14ac:dyDescent="0.2">
      <c r="A1728" t="s">
        <v>6463</v>
      </c>
      <c r="B1728" t="s">
        <v>6464</v>
      </c>
      <c r="C1728" t="s">
        <v>6465</v>
      </c>
      <c r="D1728" t="s">
        <v>6466</v>
      </c>
      <c r="E1728" t="s">
        <v>6464</v>
      </c>
      <c r="F1728" t="s">
        <v>28</v>
      </c>
      <c r="G1728" t="s">
        <v>6464</v>
      </c>
      <c r="H1728" t="str">
        <f>"ucr-1"</f>
        <v>ucr-1</v>
      </c>
      <c r="I1728" t="s">
        <v>6466</v>
      </c>
      <c r="J1728">
        <v>18.016131714232301</v>
      </c>
      <c r="K1728">
        <v>18.248762778690701</v>
      </c>
      <c r="L1728">
        <v>18.1931663425379</v>
      </c>
      <c r="M1728">
        <v>17.801861923393599</v>
      </c>
      <c r="N1728">
        <v>17.9765121805417</v>
      </c>
      <c r="O1728">
        <v>17.993693634299898</v>
      </c>
      <c r="P1728">
        <v>-0.22866436574189899</v>
      </c>
      <c r="Q1728">
        <v>-0.68021713162359398</v>
      </c>
      <c r="R1728">
        <v>0.22288840013979599</v>
      </c>
      <c r="S1728">
        <v>18.1914326072128</v>
      </c>
      <c r="T1728">
        <v>-1.0643451788946601</v>
      </c>
      <c r="U1728">
        <v>-6.3087529191419902</v>
      </c>
      <c r="V1728">
        <v>0.30132397337650102</v>
      </c>
      <c r="W1728">
        <v>0.85855590823088301</v>
      </c>
      <c r="X1728">
        <v>0</v>
      </c>
      <c r="Y1728">
        <v>0</v>
      </c>
    </row>
    <row r="1729" spans="1:25" x14ac:dyDescent="0.2">
      <c r="A1729" t="s">
        <v>6467</v>
      </c>
      <c r="B1729" t="s">
        <v>6468</v>
      </c>
      <c r="C1729" t="s">
        <v>6469</v>
      </c>
      <c r="D1729" t="s">
        <v>6470</v>
      </c>
      <c r="E1729" t="s">
        <v>6468</v>
      </c>
      <c r="F1729" t="s">
        <v>28</v>
      </c>
      <c r="G1729" t="s">
        <v>6468</v>
      </c>
      <c r="H1729" t="str">
        <f>"hipr-1"</f>
        <v>hipr-1</v>
      </c>
      <c r="I1729" t="s">
        <v>6470</v>
      </c>
      <c r="J1729">
        <v>12.863884885052499</v>
      </c>
      <c r="K1729">
        <v>12.5042647240567</v>
      </c>
      <c r="L1729">
        <v>12.537959764995</v>
      </c>
      <c r="M1729">
        <v>12.9456744370636</v>
      </c>
      <c r="N1729">
        <v>13.121506513653999</v>
      </c>
      <c r="O1729">
        <v>12.596615752832401</v>
      </c>
      <c r="P1729">
        <v>0.25256244314861198</v>
      </c>
      <c r="Q1729">
        <v>-0.25806609704438099</v>
      </c>
      <c r="R1729">
        <v>0.76319098334160596</v>
      </c>
      <c r="S1729">
        <v>12.6356528025534</v>
      </c>
      <c r="T1729">
        <v>1.0490911296946199</v>
      </c>
      <c r="U1729">
        <v>-6.3229620415365497</v>
      </c>
      <c r="V1729">
        <v>0.30982644267533399</v>
      </c>
      <c r="W1729">
        <v>0.86207931095287205</v>
      </c>
      <c r="X1729">
        <v>0</v>
      </c>
      <c r="Y1729">
        <v>0</v>
      </c>
    </row>
    <row r="1730" spans="1:25" x14ac:dyDescent="0.2">
      <c r="A1730" t="s">
        <v>6471</v>
      </c>
      <c r="B1730" t="s">
        <v>6472</v>
      </c>
      <c r="C1730" t="s">
        <v>6473</v>
      </c>
      <c r="D1730" t="s">
        <v>6474</v>
      </c>
      <c r="E1730" t="s">
        <v>6472</v>
      </c>
      <c r="F1730" t="s">
        <v>28</v>
      </c>
      <c r="G1730" t="s">
        <v>6472</v>
      </c>
      <c r="H1730" t="str">
        <f>"sma-2"</f>
        <v>sma-2</v>
      </c>
      <c r="I1730" t="s">
        <v>6474</v>
      </c>
      <c r="J1730" t="s">
        <v>29</v>
      </c>
      <c r="K1730">
        <v>11.408325630613399</v>
      </c>
      <c r="L1730" t="s">
        <v>29</v>
      </c>
      <c r="M1730" t="s">
        <v>29</v>
      </c>
      <c r="N1730" t="s">
        <v>29</v>
      </c>
      <c r="O1730">
        <v>11.601500933324299</v>
      </c>
      <c r="P1730">
        <v>0.193175302710968</v>
      </c>
      <c r="Q1730">
        <v>-1.40035002939249</v>
      </c>
      <c r="R1730">
        <v>1.7867006348144201</v>
      </c>
      <c r="S1730">
        <v>11.333676258879899</v>
      </c>
      <c r="T1730">
        <v>0.28019368391940203</v>
      </c>
      <c r="U1730">
        <v>-6.3007197260480199</v>
      </c>
      <c r="V1730">
        <v>0.78653024763983803</v>
      </c>
      <c r="W1730">
        <v>0.99278624068726296</v>
      </c>
      <c r="X1730">
        <v>0</v>
      </c>
      <c r="Y1730">
        <v>0</v>
      </c>
    </row>
    <row r="1731" spans="1:25" x14ac:dyDescent="0.2">
      <c r="A1731" t="s">
        <v>6475</v>
      </c>
      <c r="B1731" t="s">
        <v>6476</v>
      </c>
      <c r="C1731" t="s">
        <v>6477</v>
      </c>
      <c r="D1731" t="s">
        <v>6478</v>
      </c>
      <c r="E1731" t="s">
        <v>6476</v>
      </c>
      <c r="F1731" t="s">
        <v>28</v>
      </c>
      <c r="G1731" t="s">
        <v>6476</v>
      </c>
      <c r="H1731" t="str">
        <f>"ZK370.4"</f>
        <v>ZK370.4</v>
      </c>
      <c r="I1731" t="s">
        <v>6478</v>
      </c>
      <c r="J1731">
        <v>12.6732702301339</v>
      </c>
      <c r="K1731">
        <v>12.980941578023399</v>
      </c>
      <c r="L1731">
        <v>12.6825459731312</v>
      </c>
      <c r="M1731">
        <v>12.897804355328301</v>
      </c>
      <c r="N1731">
        <v>12.8220359741164</v>
      </c>
      <c r="O1731">
        <v>12.899120535511701</v>
      </c>
      <c r="P1731">
        <v>9.4067694555972595E-2</v>
      </c>
      <c r="Q1731">
        <v>-0.31253418576593001</v>
      </c>
      <c r="R1731">
        <v>0.500669574877875</v>
      </c>
      <c r="S1731">
        <v>12.8809495675004</v>
      </c>
      <c r="T1731">
        <v>0.48833868654636797</v>
      </c>
      <c r="U1731">
        <v>-6.7583796202213096</v>
      </c>
      <c r="V1731">
        <v>0.63158764905552001</v>
      </c>
      <c r="W1731">
        <v>0.97279262440453396</v>
      </c>
      <c r="X1731">
        <v>0</v>
      </c>
      <c r="Y1731">
        <v>0</v>
      </c>
    </row>
    <row r="1732" spans="1:25" x14ac:dyDescent="0.2">
      <c r="A1732" t="s">
        <v>6479</v>
      </c>
      <c r="B1732" t="s">
        <v>6480</v>
      </c>
      <c r="C1732" t="s">
        <v>6481</v>
      </c>
      <c r="D1732" t="s">
        <v>6482</v>
      </c>
      <c r="E1732" t="s">
        <v>6480</v>
      </c>
      <c r="F1732" t="s">
        <v>28</v>
      </c>
      <c r="G1732" t="s">
        <v>6480</v>
      </c>
      <c r="H1732" t="str">
        <f>"pdhk-2"</f>
        <v>pdhk-2</v>
      </c>
      <c r="I1732" t="s">
        <v>6482</v>
      </c>
      <c r="J1732">
        <v>14.6936131698402</v>
      </c>
      <c r="K1732">
        <v>14.5698999069898</v>
      </c>
      <c r="L1732">
        <v>14.5649523747648</v>
      </c>
      <c r="M1732">
        <v>14.407647580522299</v>
      </c>
      <c r="N1732">
        <v>14.602794700595901</v>
      </c>
      <c r="O1732">
        <v>14.6057426683305</v>
      </c>
      <c r="P1732">
        <v>-7.0760167381990896E-2</v>
      </c>
      <c r="Q1732">
        <v>-0.99587615045561095</v>
      </c>
      <c r="R1732">
        <v>0.85435581569162899</v>
      </c>
      <c r="S1732">
        <v>14.3378949615457</v>
      </c>
      <c r="T1732">
        <v>-0.16076265888176899</v>
      </c>
      <c r="U1732">
        <v>-6.86899564459417</v>
      </c>
      <c r="V1732">
        <v>0.87408126349102799</v>
      </c>
      <c r="W1732">
        <v>0.99542051916754504</v>
      </c>
      <c r="X1732">
        <v>0</v>
      </c>
      <c r="Y1732">
        <v>0</v>
      </c>
    </row>
    <row r="1733" spans="1:25" x14ac:dyDescent="0.2">
      <c r="A1733" t="s">
        <v>6483</v>
      </c>
      <c r="B1733" t="s">
        <v>6484</v>
      </c>
      <c r="C1733" t="s">
        <v>6485</v>
      </c>
      <c r="D1733" t="s">
        <v>6486</v>
      </c>
      <c r="E1733" t="s">
        <v>6484</v>
      </c>
      <c r="F1733" t="s">
        <v>28</v>
      </c>
      <c r="G1733" t="s">
        <v>6484</v>
      </c>
      <c r="H1733" t="str">
        <f>"ugtp-1"</f>
        <v>ugtp-1</v>
      </c>
      <c r="I1733" t="s">
        <v>6486</v>
      </c>
      <c r="J1733">
        <v>10.146685084359399</v>
      </c>
      <c r="K1733">
        <v>10.7058294005561</v>
      </c>
      <c r="L1733">
        <v>9.7976755284417791</v>
      </c>
      <c r="M1733">
        <v>11.797406455597701</v>
      </c>
      <c r="N1733" t="s">
        <v>29</v>
      </c>
      <c r="O1733" t="s">
        <v>29</v>
      </c>
      <c r="P1733">
        <v>1.58067645114522</v>
      </c>
      <c r="Q1733">
        <v>0.557177463262304</v>
      </c>
      <c r="R1733">
        <v>2.6041754390281402</v>
      </c>
      <c r="S1733">
        <v>11.1423901751687</v>
      </c>
      <c r="T1733">
        <v>3.3392029095747402</v>
      </c>
      <c r="U1733">
        <v>-2.3335894445487102</v>
      </c>
      <c r="V1733">
        <v>5.3843031699039902E-3</v>
      </c>
      <c r="W1733">
        <v>0.11560619967381</v>
      </c>
      <c r="X1733">
        <v>1</v>
      </c>
      <c r="Y1733">
        <v>0</v>
      </c>
    </row>
    <row r="1734" spans="1:25" x14ac:dyDescent="0.2">
      <c r="A1734" t="s">
        <v>6487</v>
      </c>
      <c r="B1734" t="s">
        <v>6488</v>
      </c>
      <c r="C1734" t="s">
        <v>6489</v>
      </c>
      <c r="D1734" t="s">
        <v>6490</v>
      </c>
      <c r="E1734" t="s">
        <v>6488</v>
      </c>
      <c r="F1734" t="s">
        <v>28</v>
      </c>
      <c r="G1734" t="s">
        <v>6488</v>
      </c>
      <c r="H1734" t="str">
        <f>"tomm-70"</f>
        <v>tomm-70</v>
      </c>
      <c r="I1734" t="s">
        <v>6490</v>
      </c>
      <c r="J1734">
        <v>14.6715276446172</v>
      </c>
      <c r="K1734">
        <v>14.274778386949301</v>
      </c>
      <c r="L1734">
        <v>14.6217054482506</v>
      </c>
      <c r="M1734">
        <v>15.023909610398199</v>
      </c>
      <c r="N1734">
        <v>15.1448763994274</v>
      </c>
      <c r="O1734">
        <v>14.711214792627599</v>
      </c>
      <c r="P1734">
        <v>0.43732977421201502</v>
      </c>
      <c r="Q1734">
        <v>-0.30073526110930199</v>
      </c>
      <c r="R1734">
        <v>1.17539480953333</v>
      </c>
      <c r="S1734">
        <v>15.452358207055999</v>
      </c>
      <c r="T1734">
        <v>1.2453944536786301</v>
      </c>
      <c r="U1734">
        <v>-6.1056470158979304</v>
      </c>
      <c r="V1734">
        <v>0.22904794671136</v>
      </c>
      <c r="W1734">
        <v>0.80920548477219401</v>
      </c>
      <c r="X1734">
        <v>0</v>
      </c>
      <c r="Y1734">
        <v>0</v>
      </c>
    </row>
    <row r="1735" spans="1:25" x14ac:dyDescent="0.2">
      <c r="A1735" t="s">
        <v>6491</v>
      </c>
      <c r="B1735" t="s">
        <v>6492</v>
      </c>
      <c r="C1735" t="s">
        <v>6493</v>
      </c>
      <c r="D1735" t="s">
        <v>6494</v>
      </c>
      <c r="E1735" t="s">
        <v>6492</v>
      </c>
      <c r="F1735" t="s">
        <v>28</v>
      </c>
      <c r="G1735" t="s">
        <v>6492</v>
      </c>
      <c r="H1735" t="str">
        <f>"ced-10"</f>
        <v>ced-10</v>
      </c>
      <c r="I1735" t="s">
        <v>6494</v>
      </c>
      <c r="J1735">
        <v>15.376938842799101</v>
      </c>
      <c r="K1735">
        <v>15.603424766032401</v>
      </c>
      <c r="L1735">
        <v>15.464432163647301</v>
      </c>
      <c r="M1735">
        <v>15.3763955898989</v>
      </c>
      <c r="N1735">
        <v>15.1330013920127</v>
      </c>
      <c r="O1735">
        <v>14.8567450310667</v>
      </c>
      <c r="P1735">
        <v>-0.35955125316682202</v>
      </c>
      <c r="Q1735">
        <v>-0.74151552186829195</v>
      </c>
      <c r="R1735">
        <v>2.2413015534646901E-2</v>
      </c>
      <c r="S1735">
        <v>15.211161939673101</v>
      </c>
      <c r="T1735">
        <v>-1.97847506742784</v>
      </c>
      <c r="U1735">
        <v>-5.0348832844637199</v>
      </c>
      <c r="V1735">
        <v>6.3478290150659797E-2</v>
      </c>
      <c r="W1735">
        <v>0.53891772862600895</v>
      </c>
      <c r="X1735">
        <v>0</v>
      </c>
      <c r="Y1735">
        <v>0</v>
      </c>
    </row>
    <row r="1736" spans="1:25" x14ac:dyDescent="0.2">
      <c r="A1736" t="s">
        <v>6495</v>
      </c>
      <c r="B1736" t="s">
        <v>6496</v>
      </c>
      <c r="C1736" t="s">
        <v>6497</v>
      </c>
      <c r="D1736" t="s">
        <v>6498</v>
      </c>
      <c r="E1736" t="s">
        <v>6496</v>
      </c>
      <c r="F1736" t="s">
        <v>28</v>
      </c>
      <c r="G1736" t="s">
        <v>6496</v>
      </c>
      <c r="H1736" t="str">
        <f>"ctr-9"</f>
        <v>ctr-9</v>
      </c>
      <c r="I1736" t="s">
        <v>6498</v>
      </c>
      <c r="J1736">
        <v>13.364216196947099</v>
      </c>
      <c r="K1736">
        <v>13.5098330752583</v>
      </c>
      <c r="L1736">
        <v>12.8323646824592</v>
      </c>
      <c r="M1736">
        <v>13.0984338644218</v>
      </c>
      <c r="N1736">
        <v>13.231462091502699</v>
      </c>
      <c r="O1736">
        <v>13.251138989381399</v>
      </c>
      <c r="P1736">
        <v>-4.1793003119538603E-2</v>
      </c>
      <c r="Q1736">
        <v>-0.63278085136614104</v>
      </c>
      <c r="R1736">
        <v>0.54919484512706396</v>
      </c>
      <c r="S1736">
        <v>13.364225782442</v>
      </c>
      <c r="T1736">
        <v>-0.14863378638198499</v>
      </c>
      <c r="U1736">
        <v>-6.8709537370756797</v>
      </c>
      <c r="V1736">
        <v>0.883504720915265</v>
      </c>
      <c r="W1736">
        <v>0.99702926582654094</v>
      </c>
      <c r="X1736">
        <v>0</v>
      </c>
      <c r="Y1736">
        <v>0</v>
      </c>
    </row>
    <row r="1737" spans="1:25" x14ac:dyDescent="0.2">
      <c r="A1737" t="s">
        <v>6499</v>
      </c>
      <c r="B1737" t="s">
        <v>6500</v>
      </c>
      <c r="C1737" t="s">
        <v>6501</v>
      </c>
      <c r="D1737" t="s">
        <v>6502</v>
      </c>
      <c r="E1737" t="s">
        <v>6500</v>
      </c>
      <c r="F1737" t="s">
        <v>28</v>
      </c>
      <c r="G1737" t="s">
        <v>6500</v>
      </c>
      <c r="H1737" t="str">
        <f>"bre-3"</f>
        <v>bre-3</v>
      </c>
      <c r="I1737" t="s">
        <v>6502</v>
      </c>
      <c r="J1737" t="s">
        <v>29</v>
      </c>
      <c r="K1737" t="s">
        <v>29</v>
      </c>
      <c r="L1737">
        <v>11.659893475585401</v>
      </c>
      <c r="M1737">
        <v>10.790830987969599</v>
      </c>
      <c r="N1737" t="s">
        <v>29</v>
      </c>
      <c r="O1737" t="s">
        <v>29</v>
      </c>
      <c r="P1737">
        <v>-0.86906248761576599</v>
      </c>
      <c r="Q1737">
        <v>-1.8950121540815199</v>
      </c>
      <c r="R1737">
        <v>0.15688717884998499</v>
      </c>
      <c r="S1737">
        <v>11.773036963516599</v>
      </c>
      <c r="T1737">
        <v>-1.86660593794492</v>
      </c>
      <c r="U1737">
        <v>-4.7504324827284803</v>
      </c>
      <c r="V1737">
        <v>8.9080288028112103E-2</v>
      </c>
      <c r="W1737">
        <v>0.62622283867472694</v>
      </c>
      <c r="X1737">
        <v>0</v>
      </c>
      <c r="Y1737">
        <v>0</v>
      </c>
    </row>
    <row r="1738" spans="1:25" x14ac:dyDescent="0.2">
      <c r="A1738" t="s">
        <v>6503</v>
      </c>
      <c r="B1738" t="s">
        <v>6504</v>
      </c>
      <c r="C1738" t="s">
        <v>6505</v>
      </c>
      <c r="D1738" t="s">
        <v>6506</v>
      </c>
      <c r="E1738" t="s">
        <v>6504</v>
      </c>
      <c r="F1738" t="s">
        <v>28</v>
      </c>
      <c r="G1738" t="s">
        <v>6504</v>
      </c>
      <c r="H1738" t="str">
        <f>"spk-1"</f>
        <v>spk-1</v>
      </c>
      <c r="I1738" t="s">
        <v>6506</v>
      </c>
      <c r="J1738">
        <v>11.2608229600214</v>
      </c>
      <c r="K1738" t="s">
        <v>29</v>
      </c>
      <c r="L1738">
        <v>11.387234452959699</v>
      </c>
      <c r="M1738">
        <v>13.126840868837199</v>
      </c>
      <c r="N1738">
        <v>13.6639396190109</v>
      </c>
      <c r="O1738">
        <v>13.4017324651451</v>
      </c>
      <c r="P1738">
        <v>2.0734756111738202</v>
      </c>
      <c r="Q1738">
        <v>1.3992663486416601</v>
      </c>
      <c r="R1738">
        <v>2.74768487370598</v>
      </c>
      <c r="S1738">
        <v>11.888923276181799</v>
      </c>
      <c r="T1738">
        <v>6.6007929386197803</v>
      </c>
      <c r="U1738">
        <v>3.5064282051496498</v>
      </c>
      <c r="V1738" s="2">
        <v>1.23301781613147E-5</v>
      </c>
      <c r="W1738">
        <v>8.5489235251782201E-4</v>
      </c>
      <c r="X1738">
        <v>1</v>
      </c>
      <c r="Y1738">
        <v>1</v>
      </c>
    </row>
    <row r="1739" spans="1:25" x14ac:dyDescent="0.2">
      <c r="A1739" t="s">
        <v>6507</v>
      </c>
      <c r="B1739" t="s">
        <v>6508</v>
      </c>
      <c r="C1739" t="s">
        <v>6509</v>
      </c>
      <c r="D1739" t="s">
        <v>6510</v>
      </c>
      <c r="E1739" t="s">
        <v>6508</v>
      </c>
      <c r="F1739" t="s">
        <v>28</v>
      </c>
      <c r="G1739" t="s">
        <v>6508</v>
      </c>
      <c r="H1739" t="str">
        <f>"B0464.6"</f>
        <v>B0464.6</v>
      </c>
      <c r="I1739" t="s">
        <v>6510</v>
      </c>
      <c r="J1739">
        <v>14.5438073000528</v>
      </c>
      <c r="K1739">
        <v>13.9727792171291</v>
      </c>
      <c r="L1739">
        <v>14.502187251893799</v>
      </c>
      <c r="M1739">
        <v>14.4974796096496</v>
      </c>
      <c r="N1739">
        <v>14.6675124201107</v>
      </c>
      <c r="O1739">
        <v>14.5110325956474</v>
      </c>
      <c r="P1739">
        <v>0.21908361877734001</v>
      </c>
      <c r="Q1739">
        <v>-0.17285042250079699</v>
      </c>
      <c r="R1739">
        <v>0.61101766005547697</v>
      </c>
      <c r="S1739">
        <v>14.544931647526999</v>
      </c>
      <c r="T1739">
        <v>1.17990470643432</v>
      </c>
      <c r="U1739">
        <v>-6.1816036321217096</v>
      </c>
      <c r="V1739">
        <v>0.25438554112027201</v>
      </c>
      <c r="W1739">
        <v>0.83701250057606502</v>
      </c>
      <c r="X1739">
        <v>0</v>
      </c>
      <c r="Y1739">
        <v>0</v>
      </c>
    </row>
    <row r="1740" spans="1:25" x14ac:dyDescent="0.2">
      <c r="A1740" t="s">
        <v>6511</v>
      </c>
      <c r="B1740" t="s">
        <v>6512</v>
      </c>
      <c r="C1740" t="s">
        <v>6513</v>
      </c>
      <c r="D1740" t="s">
        <v>6514</v>
      </c>
      <c r="E1740" t="s">
        <v>6512</v>
      </c>
      <c r="F1740" t="s">
        <v>28</v>
      </c>
      <c r="G1740" t="s">
        <v>6512</v>
      </c>
      <c r="H1740" t="str">
        <f>"C38C10.2"</f>
        <v>C38C10.2</v>
      </c>
      <c r="I1740" t="s">
        <v>6514</v>
      </c>
      <c r="J1740">
        <v>13.155119878993901</v>
      </c>
      <c r="K1740">
        <v>12.5213295406994</v>
      </c>
      <c r="L1740">
        <v>12.8149500019897</v>
      </c>
      <c r="M1740">
        <v>12.331099535379799</v>
      </c>
      <c r="N1740">
        <v>12.294828940027401</v>
      </c>
      <c r="O1740">
        <v>11.7030687514001</v>
      </c>
      <c r="P1740">
        <v>-0.72080073162523395</v>
      </c>
      <c r="Q1740">
        <v>-1.31968534376535</v>
      </c>
      <c r="R1740">
        <v>-0.121916119485122</v>
      </c>
      <c r="S1740">
        <v>12.714518709214801</v>
      </c>
      <c r="T1740">
        <v>-2.56692789936025</v>
      </c>
      <c r="U1740">
        <v>-4.0075724570687399</v>
      </c>
      <c r="V1740">
        <v>2.1553633204031999E-2</v>
      </c>
      <c r="W1740">
        <v>0.30266030085661799</v>
      </c>
      <c r="X1740">
        <v>0</v>
      </c>
      <c r="Y1740">
        <v>0</v>
      </c>
    </row>
    <row r="1741" spans="1:25" x14ac:dyDescent="0.2">
      <c r="A1741" t="s">
        <v>6515</v>
      </c>
      <c r="B1741" t="s">
        <v>6516</v>
      </c>
      <c r="C1741" t="s">
        <v>6517</v>
      </c>
      <c r="D1741" t="s">
        <v>6518</v>
      </c>
      <c r="E1741" t="s">
        <v>6516</v>
      </c>
      <c r="F1741" t="s">
        <v>28</v>
      </c>
      <c r="G1741" t="s">
        <v>6516</v>
      </c>
      <c r="H1741" t="str">
        <f>"C38C10.3"</f>
        <v>C38C10.3</v>
      </c>
      <c r="I1741" t="s">
        <v>6518</v>
      </c>
      <c r="J1741">
        <v>11.4558623909269</v>
      </c>
      <c r="K1741" t="s">
        <v>29</v>
      </c>
      <c r="L1741">
        <v>12.384277111809499</v>
      </c>
      <c r="M1741">
        <v>11.9939054396211</v>
      </c>
      <c r="N1741">
        <v>12.709895414703</v>
      </c>
      <c r="O1741">
        <v>11.3613829867012</v>
      </c>
      <c r="P1741">
        <v>0.101658195640216</v>
      </c>
      <c r="Q1741">
        <v>-0.79907067959096301</v>
      </c>
      <c r="R1741">
        <v>1.00238707087139</v>
      </c>
      <c r="S1741">
        <v>12.033919077976099</v>
      </c>
      <c r="T1741">
        <v>0.24402569370386901</v>
      </c>
      <c r="U1741">
        <v>-6.7406077372599098</v>
      </c>
      <c r="V1741">
        <v>0.81105044982929397</v>
      </c>
      <c r="W1741">
        <v>0.99278624068726296</v>
      </c>
      <c r="X1741">
        <v>0</v>
      </c>
      <c r="Y1741">
        <v>0</v>
      </c>
    </row>
    <row r="1742" spans="1:25" x14ac:dyDescent="0.2">
      <c r="A1742" t="s">
        <v>6519</v>
      </c>
      <c r="B1742" t="s">
        <v>6520</v>
      </c>
      <c r="C1742" t="s">
        <v>6521</v>
      </c>
      <c r="D1742" t="s">
        <v>6522</v>
      </c>
      <c r="E1742" t="s">
        <v>6520</v>
      </c>
      <c r="F1742" t="s">
        <v>28</v>
      </c>
      <c r="G1742" t="s">
        <v>6520</v>
      </c>
      <c r="H1742" t="str">
        <f>"rgr-1"</f>
        <v>rgr-1</v>
      </c>
      <c r="I1742" t="s">
        <v>6522</v>
      </c>
      <c r="J1742">
        <v>13.2594126491075</v>
      </c>
      <c r="K1742">
        <v>13.071836736626601</v>
      </c>
      <c r="L1742">
        <v>12.8120415819906</v>
      </c>
      <c r="M1742">
        <v>13.166182733886</v>
      </c>
      <c r="N1742">
        <v>13.1953542784132</v>
      </c>
      <c r="O1742">
        <v>13.170966400795701</v>
      </c>
      <c r="P1742">
        <v>0.12973748179000699</v>
      </c>
      <c r="Q1742">
        <v>-0.23420113166218601</v>
      </c>
      <c r="R1742">
        <v>0.49367609524220102</v>
      </c>
      <c r="S1742">
        <v>13.1085786620991</v>
      </c>
      <c r="T1742">
        <v>0.74925532985061205</v>
      </c>
      <c r="U1742">
        <v>-6.5937210356884099</v>
      </c>
      <c r="V1742">
        <v>0.46343956392854502</v>
      </c>
      <c r="W1742">
        <v>0.92978583625257705</v>
      </c>
      <c r="X1742">
        <v>0</v>
      </c>
      <c r="Y1742">
        <v>0</v>
      </c>
    </row>
    <row r="1743" spans="1:25" x14ac:dyDescent="0.2">
      <c r="A1743" t="s">
        <v>6523</v>
      </c>
      <c r="B1743" t="s">
        <v>6524</v>
      </c>
      <c r="C1743" t="s">
        <v>6525</v>
      </c>
      <c r="D1743" t="s">
        <v>6526</v>
      </c>
      <c r="E1743" t="s">
        <v>6524</v>
      </c>
      <c r="F1743" t="s">
        <v>28</v>
      </c>
      <c r="G1743" t="s">
        <v>6524</v>
      </c>
      <c r="H1743" t="str">
        <f>"elo-4"</f>
        <v>elo-4</v>
      </c>
      <c r="I1743" t="s">
        <v>6526</v>
      </c>
      <c r="J1743">
        <v>13.8916771556366</v>
      </c>
      <c r="K1743">
        <v>13.7371518774886</v>
      </c>
      <c r="L1743">
        <v>13.8602467982167</v>
      </c>
      <c r="M1743">
        <v>13.868640909282099</v>
      </c>
      <c r="N1743">
        <v>13.8115889879512</v>
      </c>
      <c r="O1743">
        <v>13.8290353960379</v>
      </c>
      <c r="P1743">
        <v>6.7298206430912401E-3</v>
      </c>
      <c r="Q1743">
        <v>-0.459194318071729</v>
      </c>
      <c r="R1743">
        <v>0.47265395935791099</v>
      </c>
      <c r="S1743">
        <v>13.9844443965815</v>
      </c>
      <c r="T1743">
        <v>3.0636405468093202E-2</v>
      </c>
      <c r="U1743">
        <v>-6.8819959122450198</v>
      </c>
      <c r="V1743">
        <v>0.97594089319037403</v>
      </c>
      <c r="W1743">
        <v>0.99968702248720698</v>
      </c>
      <c r="X1743">
        <v>0</v>
      </c>
      <c r="Y1743">
        <v>0</v>
      </c>
    </row>
    <row r="1744" spans="1:25" x14ac:dyDescent="0.2">
      <c r="A1744" t="s">
        <v>6527</v>
      </c>
      <c r="B1744" t="s">
        <v>6528</v>
      </c>
      <c r="C1744" t="s">
        <v>6529</v>
      </c>
      <c r="D1744" t="s">
        <v>6530</v>
      </c>
      <c r="E1744" t="s">
        <v>6528</v>
      </c>
      <c r="F1744" t="s">
        <v>28</v>
      </c>
      <c r="G1744" t="s">
        <v>6528</v>
      </c>
      <c r="H1744" t="str">
        <f>"dars-1"</f>
        <v>dars-1</v>
      </c>
      <c r="I1744" t="s">
        <v>6530</v>
      </c>
      <c r="J1744">
        <v>18.3065928110389</v>
      </c>
      <c r="K1744">
        <v>18.1960325170547</v>
      </c>
      <c r="L1744">
        <v>18.222764150212502</v>
      </c>
      <c r="M1744">
        <v>18.3232124202483</v>
      </c>
      <c r="N1744">
        <v>18.2685993950818</v>
      </c>
      <c r="O1744">
        <v>18.1652338458405</v>
      </c>
      <c r="P1744">
        <v>1.0552060954822201E-2</v>
      </c>
      <c r="Q1744">
        <v>-0.32390179176917799</v>
      </c>
      <c r="R1744">
        <v>0.345005913678822</v>
      </c>
      <c r="S1744">
        <v>17.8931511931827</v>
      </c>
      <c r="T1744">
        <v>6.6312225163892694E-2</v>
      </c>
      <c r="U1744">
        <v>-6.88019227268836</v>
      </c>
      <c r="V1744">
        <v>0.94786449011910401</v>
      </c>
      <c r="W1744">
        <v>0.99968702248720698</v>
      </c>
      <c r="X1744">
        <v>0</v>
      </c>
      <c r="Y1744">
        <v>0</v>
      </c>
    </row>
    <row r="1745" spans="1:25" x14ac:dyDescent="0.2">
      <c r="A1745" t="s">
        <v>6531</v>
      </c>
      <c r="B1745" t="s">
        <v>6532</v>
      </c>
      <c r="C1745" t="s">
        <v>6533</v>
      </c>
      <c r="D1745" t="s">
        <v>6534</v>
      </c>
      <c r="E1745" t="s">
        <v>6532</v>
      </c>
      <c r="F1745" t="s">
        <v>28</v>
      </c>
      <c r="G1745" t="s">
        <v>6532</v>
      </c>
      <c r="H1745" t="str">
        <f>"ufc-1"</f>
        <v>ufc-1</v>
      </c>
      <c r="I1745" t="s">
        <v>6534</v>
      </c>
      <c r="J1745">
        <v>14.270243412223801</v>
      </c>
      <c r="K1745">
        <v>14.331609024610801</v>
      </c>
      <c r="L1745">
        <v>14.056510442616201</v>
      </c>
      <c r="M1745">
        <v>14.161874168469099</v>
      </c>
      <c r="N1745">
        <v>14.281108471205799</v>
      </c>
      <c r="O1745">
        <v>14.204376198261199</v>
      </c>
      <c r="P1745">
        <v>-3.66801383823123E-3</v>
      </c>
      <c r="Q1745">
        <v>-0.35226911136188499</v>
      </c>
      <c r="R1745">
        <v>0.34493308368542303</v>
      </c>
      <c r="S1745">
        <v>13.778769613484201</v>
      </c>
      <c r="T1745">
        <v>-2.2115396418812501E-2</v>
      </c>
      <c r="U1745">
        <v>-6.88223402894151</v>
      </c>
      <c r="V1745">
        <v>0.98260063816189103</v>
      </c>
      <c r="W1745">
        <v>0.99968702248720698</v>
      </c>
      <c r="X1745">
        <v>0</v>
      </c>
      <c r="Y1745">
        <v>0</v>
      </c>
    </row>
    <row r="1746" spans="1:25" x14ac:dyDescent="0.2">
      <c r="A1746" t="s">
        <v>6535</v>
      </c>
      <c r="B1746" t="s">
        <v>6536</v>
      </c>
      <c r="C1746" t="s">
        <v>6537</v>
      </c>
      <c r="D1746" t="s">
        <v>6538</v>
      </c>
      <c r="E1746" t="s">
        <v>6536</v>
      </c>
      <c r="F1746" t="s">
        <v>28</v>
      </c>
      <c r="G1746" t="s">
        <v>6536</v>
      </c>
      <c r="H1746" t="str">
        <f>"nhl-1"</f>
        <v>nhl-1</v>
      </c>
      <c r="I1746" t="s">
        <v>6538</v>
      </c>
      <c r="J1746">
        <v>12.4434429258337</v>
      </c>
      <c r="K1746">
        <v>12.7471781549984</v>
      </c>
      <c r="L1746">
        <v>12.9256649692301</v>
      </c>
      <c r="M1746">
        <v>12.980601741974599</v>
      </c>
      <c r="N1746">
        <v>13.0073481731049</v>
      </c>
      <c r="O1746">
        <v>12.6757598335713</v>
      </c>
      <c r="P1746">
        <v>0.182474566196243</v>
      </c>
      <c r="Q1746">
        <v>-0.37732312662582501</v>
      </c>
      <c r="R1746">
        <v>0.74227225901831095</v>
      </c>
      <c r="S1746">
        <v>13.511027272439501</v>
      </c>
      <c r="T1746">
        <v>0.69962146967209304</v>
      </c>
      <c r="U1746">
        <v>-6.627360469678</v>
      </c>
      <c r="V1746">
        <v>0.49571019731203902</v>
      </c>
      <c r="W1746">
        <v>0.94062983959761604</v>
      </c>
      <c r="X1746">
        <v>0</v>
      </c>
      <c r="Y1746">
        <v>0</v>
      </c>
    </row>
    <row r="1747" spans="1:25" x14ac:dyDescent="0.2">
      <c r="A1747" t="s">
        <v>6539</v>
      </c>
      <c r="B1747" t="s">
        <v>6540</v>
      </c>
      <c r="C1747" t="s">
        <v>6541</v>
      </c>
      <c r="D1747" t="s">
        <v>6542</v>
      </c>
      <c r="E1747" t="s">
        <v>6540</v>
      </c>
      <c r="F1747" t="s">
        <v>28</v>
      </c>
      <c r="G1747" t="s">
        <v>6540</v>
      </c>
      <c r="H1747" t="str">
        <f>"rnr-1"</f>
        <v>rnr-1</v>
      </c>
      <c r="I1747" t="s">
        <v>6542</v>
      </c>
      <c r="J1747">
        <v>15.868031247820101</v>
      </c>
      <c r="K1747">
        <v>15.567291538662801</v>
      </c>
      <c r="L1747">
        <v>15.709242267891</v>
      </c>
      <c r="M1747">
        <v>15.835050986147101</v>
      </c>
      <c r="N1747">
        <v>15.7770371671912</v>
      </c>
      <c r="O1747">
        <v>15.537509629746999</v>
      </c>
      <c r="P1747">
        <v>1.6775762371814601E-3</v>
      </c>
      <c r="Q1747">
        <v>-0.45107476338340902</v>
      </c>
      <c r="R1747">
        <v>0.45442991585777098</v>
      </c>
      <c r="S1747">
        <v>15.513764341246</v>
      </c>
      <c r="T1747">
        <v>7.7877871940292302E-3</v>
      </c>
      <c r="U1747">
        <v>-6.8824578851568896</v>
      </c>
      <c r="V1747">
        <v>0.99387247051136596</v>
      </c>
      <c r="W1747">
        <v>0.99968702248720698</v>
      </c>
      <c r="X1747">
        <v>0</v>
      </c>
      <c r="Y1747">
        <v>0</v>
      </c>
    </row>
    <row r="1748" spans="1:25" x14ac:dyDescent="0.2">
      <c r="A1748" t="s">
        <v>6543</v>
      </c>
      <c r="B1748" t="s">
        <v>6544</v>
      </c>
      <c r="C1748" t="s">
        <v>6545</v>
      </c>
      <c r="D1748" t="s">
        <v>6546</v>
      </c>
      <c r="E1748" t="s">
        <v>6544</v>
      </c>
      <c r="F1748" t="s">
        <v>28</v>
      </c>
      <c r="G1748" t="s">
        <v>6544</v>
      </c>
      <c r="H1748" t="str">
        <f>"T23G5.2"</f>
        <v>T23G5.2</v>
      </c>
      <c r="I1748" t="s">
        <v>6546</v>
      </c>
      <c r="J1748" t="s">
        <v>29</v>
      </c>
      <c r="K1748">
        <v>13.484194759884801</v>
      </c>
      <c r="L1748" t="s">
        <v>29</v>
      </c>
      <c r="M1748">
        <v>13.130207334143</v>
      </c>
      <c r="N1748">
        <v>12.450651014737501</v>
      </c>
      <c r="O1748" t="s">
        <v>29</v>
      </c>
      <c r="P1748">
        <v>-0.69376558544450595</v>
      </c>
      <c r="Q1748">
        <v>-1.86643060338754</v>
      </c>
      <c r="R1748">
        <v>0.47889943249852801</v>
      </c>
      <c r="S1748">
        <v>12.882046798012601</v>
      </c>
      <c r="T1748">
        <v>-1.2902794944348299</v>
      </c>
      <c r="U1748">
        <v>-5.6594812345575702</v>
      </c>
      <c r="V1748">
        <v>0.22147190712498799</v>
      </c>
      <c r="W1748">
        <v>0.79910794991631495</v>
      </c>
      <c r="X1748">
        <v>0</v>
      </c>
      <c r="Y1748">
        <v>0</v>
      </c>
    </row>
    <row r="1749" spans="1:25" x14ac:dyDescent="0.2">
      <c r="A1749" t="s">
        <v>6547</v>
      </c>
      <c r="B1749" t="s">
        <v>6548</v>
      </c>
      <c r="C1749" t="s">
        <v>6549</v>
      </c>
      <c r="D1749" t="s">
        <v>6550</v>
      </c>
      <c r="E1749" t="s">
        <v>6548</v>
      </c>
      <c r="F1749" t="s">
        <v>28</v>
      </c>
      <c r="G1749" t="s">
        <v>6548</v>
      </c>
      <c r="H1749" t="str">
        <f>"saeg-2"</f>
        <v>saeg-2</v>
      </c>
      <c r="I1749" t="s">
        <v>6550</v>
      </c>
      <c r="J1749" t="s">
        <v>29</v>
      </c>
      <c r="K1749" t="s">
        <v>29</v>
      </c>
      <c r="L1749" t="s">
        <v>29</v>
      </c>
      <c r="M1749" t="s">
        <v>29</v>
      </c>
      <c r="N1749" t="s">
        <v>29</v>
      </c>
      <c r="O1749" t="s">
        <v>29</v>
      </c>
      <c r="P1749" t="s">
        <v>29</v>
      </c>
      <c r="Q1749" t="s">
        <v>29</v>
      </c>
      <c r="R1749" t="s">
        <v>29</v>
      </c>
      <c r="S1749">
        <v>11.9454178421032</v>
      </c>
      <c r="T1749" t="s">
        <v>29</v>
      </c>
      <c r="U1749" t="s">
        <v>29</v>
      </c>
      <c r="V1749" t="s">
        <v>29</v>
      </c>
      <c r="W1749" t="s">
        <v>29</v>
      </c>
      <c r="X1749" t="s">
        <v>29</v>
      </c>
      <c r="Y1749" t="s">
        <v>29</v>
      </c>
    </row>
    <row r="1750" spans="1:25" x14ac:dyDescent="0.2">
      <c r="A1750" t="s">
        <v>6551</v>
      </c>
      <c r="B1750" t="s">
        <v>6552</v>
      </c>
      <c r="C1750" t="s">
        <v>6553</v>
      </c>
      <c r="D1750" t="s">
        <v>6554</v>
      </c>
      <c r="E1750" t="s">
        <v>6552</v>
      </c>
      <c r="F1750" t="s">
        <v>28</v>
      </c>
      <c r="G1750" t="s">
        <v>6552</v>
      </c>
      <c r="H1750" t="str">
        <f>"rpn-3"</f>
        <v>rpn-3</v>
      </c>
      <c r="I1750" t="s">
        <v>6554</v>
      </c>
      <c r="J1750">
        <v>15.391884235158299</v>
      </c>
      <c r="K1750">
        <v>15.073095567518401</v>
      </c>
      <c r="L1750">
        <v>15.231534937234301</v>
      </c>
      <c r="M1750">
        <v>15.319499792977901</v>
      </c>
      <c r="N1750">
        <v>15.329554284896499</v>
      </c>
      <c r="O1750">
        <v>14.8921613176159</v>
      </c>
      <c r="P1750">
        <v>-5.1766448140194002E-2</v>
      </c>
      <c r="Q1750">
        <v>-0.45210910571718199</v>
      </c>
      <c r="R1750">
        <v>0.34857620943679402</v>
      </c>
      <c r="S1750">
        <v>15.0179446034098</v>
      </c>
      <c r="T1750">
        <v>-0.27177469249950398</v>
      </c>
      <c r="U1750">
        <v>-6.8439773324775501</v>
      </c>
      <c r="V1750">
        <v>0.78890589584378701</v>
      </c>
      <c r="W1750">
        <v>0.99278624068726296</v>
      </c>
      <c r="X1750">
        <v>0</v>
      </c>
      <c r="Y1750">
        <v>0</v>
      </c>
    </row>
    <row r="1751" spans="1:25" x14ac:dyDescent="0.2">
      <c r="A1751" t="s">
        <v>6555</v>
      </c>
      <c r="B1751" t="s">
        <v>6556</v>
      </c>
      <c r="C1751" t="s">
        <v>6557</v>
      </c>
      <c r="D1751" t="s">
        <v>6558</v>
      </c>
      <c r="E1751" t="s">
        <v>6556</v>
      </c>
      <c r="F1751" t="s">
        <v>28</v>
      </c>
      <c r="G1751" t="s">
        <v>6556</v>
      </c>
      <c r="H1751" t="str">
        <f>"hsp-110"</f>
        <v>hsp-110</v>
      </c>
      <c r="I1751" t="s">
        <v>6558</v>
      </c>
      <c r="J1751">
        <v>12.5433118159154</v>
      </c>
      <c r="K1751">
        <v>12.4495156606667</v>
      </c>
      <c r="L1751">
        <v>12.6924178846989</v>
      </c>
      <c r="M1751">
        <v>12.771133888179399</v>
      </c>
      <c r="N1751">
        <v>12.780683548272</v>
      </c>
      <c r="O1751">
        <v>12.852251493053499</v>
      </c>
      <c r="P1751">
        <v>0.239607856074597</v>
      </c>
      <c r="Q1751">
        <v>-0.31297982336256602</v>
      </c>
      <c r="R1751">
        <v>0.79219553551176003</v>
      </c>
      <c r="S1751">
        <v>12.375754261158599</v>
      </c>
      <c r="T1751">
        <v>0.91136504795558704</v>
      </c>
      <c r="U1751">
        <v>-6.4583807473849602</v>
      </c>
      <c r="V1751">
        <v>0.37421701142918501</v>
      </c>
      <c r="W1751">
        <v>0.89611784539566797</v>
      </c>
      <c r="X1751">
        <v>0</v>
      </c>
      <c r="Y1751">
        <v>0</v>
      </c>
    </row>
    <row r="1752" spans="1:25" x14ac:dyDescent="0.2">
      <c r="A1752" t="s">
        <v>6559</v>
      </c>
      <c r="B1752" t="s">
        <v>6560</v>
      </c>
      <c r="C1752" t="s">
        <v>6561</v>
      </c>
      <c r="D1752" t="s">
        <v>6562</v>
      </c>
      <c r="E1752" t="s">
        <v>6560</v>
      </c>
      <c r="F1752" t="s">
        <v>28</v>
      </c>
      <c r="G1752" t="s">
        <v>6560</v>
      </c>
      <c r="H1752" t="str">
        <f>"cdc-42"</f>
        <v>cdc-42</v>
      </c>
      <c r="I1752" t="s">
        <v>6562</v>
      </c>
      <c r="J1752">
        <v>15.234354438813201</v>
      </c>
      <c r="K1752">
        <v>15.5733390174733</v>
      </c>
      <c r="L1752">
        <v>15.254126306970001</v>
      </c>
      <c r="M1752">
        <v>15.176648630379299</v>
      </c>
      <c r="N1752">
        <v>15.1363581091905</v>
      </c>
      <c r="O1752">
        <v>15.3324794371661</v>
      </c>
      <c r="P1752">
        <v>-0.138777862173528</v>
      </c>
      <c r="Q1752">
        <v>-0.85041323316489503</v>
      </c>
      <c r="R1752">
        <v>0.57285750881783803</v>
      </c>
      <c r="S1752">
        <v>15.0769095469925</v>
      </c>
      <c r="T1752">
        <v>-0.409878539611501</v>
      </c>
      <c r="U1752">
        <v>-6.79512337331788</v>
      </c>
      <c r="V1752">
        <v>0.68676006545588297</v>
      </c>
      <c r="W1752">
        <v>0.98642420921484297</v>
      </c>
      <c r="X1752">
        <v>0</v>
      </c>
      <c r="Y1752">
        <v>0</v>
      </c>
    </row>
    <row r="1753" spans="1:25" x14ac:dyDescent="0.2">
      <c r="A1753" t="s">
        <v>6563</v>
      </c>
      <c r="B1753" t="s">
        <v>6564</v>
      </c>
      <c r="C1753" t="s">
        <v>6565</v>
      </c>
      <c r="D1753" t="s">
        <v>6566</v>
      </c>
      <c r="E1753" t="s">
        <v>6564</v>
      </c>
      <c r="F1753" t="s">
        <v>28</v>
      </c>
      <c r="G1753" t="s">
        <v>6564</v>
      </c>
      <c r="H1753" t="str">
        <f>"unc-52"</f>
        <v>unc-52</v>
      </c>
      <c r="I1753" t="s">
        <v>6566</v>
      </c>
      <c r="J1753">
        <v>17.292001208186001</v>
      </c>
      <c r="K1753">
        <v>17.150912322377099</v>
      </c>
      <c r="L1753">
        <v>17.997807327331401</v>
      </c>
      <c r="M1753">
        <v>17.216943869863499</v>
      </c>
      <c r="N1753">
        <v>17.321680516588302</v>
      </c>
      <c r="O1753">
        <v>17.5449957268773</v>
      </c>
      <c r="P1753">
        <v>-0.11903358152179799</v>
      </c>
      <c r="Q1753">
        <v>-1.00139726014016</v>
      </c>
      <c r="R1753">
        <v>0.76333009709656297</v>
      </c>
      <c r="S1753">
        <v>17.2639735405068</v>
      </c>
      <c r="T1753">
        <v>-0.28354003688658402</v>
      </c>
      <c r="U1753">
        <v>-6.8405784082089198</v>
      </c>
      <c r="V1753">
        <v>0.78001715945297601</v>
      </c>
      <c r="W1753">
        <v>0.99278624068726296</v>
      </c>
      <c r="X1753">
        <v>0</v>
      </c>
      <c r="Y1753">
        <v>0</v>
      </c>
    </row>
    <row r="1754" spans="1:25" x14ac:dyDescent="0.2">
      <c r="A1754" t="s">
        <v>6567</v>
      </c>
      <c r="B1754" t="s">
        <v>6568</v>
      </c>
      <c r="C1754" t="s">
        <v>6569</v>
      </c>
      <c r="D1754" t="s">
        <v>6570</v>
      </c>
      <c r="E1754" t="s">
        <v>6568</v>
      </c>
      <c r="F1754" t="s">
        <v>28</v>
      </c>
      <c r="G1754" t="s">
        <v>6568</v>
      </c>
      <c r="H1754" t="str">
        <f>"lin-45"</f>
        <v>lin-45</v>
      </c>
      <c r="I1754" t="s">
        <v>6570</v>
      </c>
      <c r="J1754">
        <v>13.5156611855344</v>
      </c>
      <c r="K1754">
        <v>14.1322663281651</v>
      </c>
      <c r="L1754">
        <v>13.3295226091772</v>
      </c>
      <c r="M1754">
        <v>13.2393349990567</v>
      </c>
      <c r="N1754">
        <v>13.769621356685301</v>
      </c>
      <c r="O1754">
        <v>13.371789960681401</v>
      </c>
      <c r="P1754">
        <v>-0.19890126881779199</v>
      </c>
      <c r="Q1754">
        <v>-0.67726962941843705</v>
      </c>
      <c r="R1754">
        <v>0.27946709178285201</v>
      </c>
      <c r="S1754">
        <v>13.6122788393387</v>
      </c>
      <c r="T1754">
        <v>-0.87765760242577096</v>
      </c>
      <c r="U1754">
        <v>-6.4877825379834597</v>
      </c>
      <c r="V1754">
        <v>0.39243957041579702</v>
      </c>
      <c r="W1754">
        <v>0.909497834501234</v>
      </c>
      <c r="X1754">
        <v>0</v>
      </c>
      <c r="Y1754">
        <v>0</v>
      </c>
    </row>
    <row r="1755" spans="1:25" x14ac:dyDescent="0.2">
      <c r="A1755" t="s">
        <v>6571</v>
      </c>
      <c r="B1755" t="s">
        <v>6572</v>
      </c>
      <c r="C1755" t="s">
        <v>6573</v>
      </c>
      <c r="D1755" t="s">
        <v>6574</v>
      </c>
      <c r="E1755" t="s">
        <v>6572</v>
      </c>
      <c r="F1755" t="s">
        <v>28</v>
      </c>
      <c r="G1755" t="s">
        <v>6572</v>
      </c>
      <c r="H1755" t="str">
        <f>"unc-60"</f>
        <v>unc-60</v>
      </c>
      <c r="I1755" t="s">
        <v>6574</v>
      </c>
      <c r="J1755">
        <v>17.217743818774601</v>
      </c>
      <c r="K1755">
        <v>17.052069667373399</v>
      </c>
      <c r="L1755">
        <v>17.0438268231885</v>
      </c>
      <c r="M1755">
        <v>17.121804612242499</v>
      </c>
      <c r="N1755">
        <v>17.1642373153534</v>
      </c>
      <c r="O1755">
        <v>17.3270618083017</v>
      </c>
      <c r="P1755">
        <v>9.9821142187032294E-2</v>
      </c>
      <c r="Q1755">
        <v>-0.34605008090761002</v>
      </c>
      <c r="R1755">
        <v>0.54569236528167397</v>
      </c>
      <c r="S1755">
        <v>16.7082925136848</v>
      </c>
      <c r="T1755">
        <v>0.47054981231672099</v>
      </c>
      <c r="U1755">
        <v>-6.7675167290969904</v>
      </c>
      <c r="V1755">
        <v>0.64364671564696896</v>
      </c>
      <c r="W1755">
        <v>0.97768135215283802</v>
      </c>
      <c r="X1755">
        <v>0</v>
      </c>
      <c r="Y1755">
        <v>0</v>
      </c>
    </row>
    <row r="1756" spans="1:25" x14ac:dyDescent="0.2">
      <c r="A1756" t="s">
        <v>6575</v>
      </c>
      <c r="B1756" t="s">
        <v>6576</v>
      </c>
      <c r="C1756" t="s">
        <v>6577</v>
      </c>
      <c r="D1756" t="s">
        <v>6578</v>
      </c>
      <c r="E1756" t="s">
        <v>6576</v>
      </c>
      <c r="F1756" t="s">
        <v>28</v>
      </c>
      <c r="G1756" t="s">
        <v>6576</v>
      </c>
      <c r="H1756" t="str">
        <f>"dig-1"</f>
        <v>dig-1</v>
      </c>
      <c r="I1756" t="s">
        <v>6578</v>
      </c>
      <c r="J1756">
        <v>12.160714641754099</v>
      </c>
      <c r="K1756">
        <v>12.7534524333575</v>
      </c>
      <c r="L1756">
        <v>12.542511959235901</v>
      </c>
      <c r="M1756">
        <v>12.3490017228272</v>
      </c>
      <c r="N1756">
        <v>12.4690580735599</v>
      </c>
      <c r="O1756">
        <v>12.4418113700386</v>
      </c>
      <c r="P1756">
        <v>-6.5602622640613006E-2</v>
      </c>
      <c r="Q1756">
        <v>-0.56975502542804402</v>
      </c>
      <c r="R1756">
        <v>0.438549780146818</v>
      </c>
      <c r="S1756">
        <v>12.252279312048699</v>
      </c>
      <c r="T1756">
        <v>-0.27466882748516502</v>
      </c>
      <c r="U1756">
        <v>-6.8430362179618598</v>
      </c>
      <c r="V1756">
        <v>0.78690109872201497</v>
      </c>
      <c r="W1756">
        <v>0.99278624068726296</v>
      </c>
      <c r="X1756">
        <v>0</v>
      </c>
      <c r="Y1756">
        <v>0</v>
      </c>
    </row>
    <row r="1757" spans="1:25" x14ac:dyDescent="0.2">
      <c r="A1757" t="s">
        <v>6579</v>
      </c>
      <c r="B1757" t="s">
        <v>6580</v>
      </c>
      <c r="C1757" t="s">
        <v>6581</v>
      </c>
      <c r="D1757" t="s">
        <v>6582</v>
      </c>
      <c r="E1757" t="s">
        <v>6580</v>
      </c>
      <c r="F1757" t="s">
        <v>28</v>
      </c>
      <c r="G1757" t="s">
        <v>6580</v>
      </c>
      <c r="H1757" t="str">
        <f>"B0495.5"</f>
        <v>B0495.5</v>
      </c>
      <c r="I1757" t="s">
        <v>6582</v>
      </c>
      <c r="J1757">
        <v>13.2266500423789</v>
      </c>
      <c r="K1757">
        <v>13.515651209129601</v>
      </c>
      <c r="L1757">
        <v>13.356110290746701</v>
      </c>
      <c r="M1757">
        <v>13.192834004819201</v>
      </c>
      <c r="N1757">
        <v>13.4366878375131</v>
      </c>
      <c r="O1757">
        <v>13.1848506708439</v>
      </c>
      <c r="P1757">
        <v>-9.4679676359621795E-2</v>
      </c>
      <c r="Q1757">
        <v>-0.47094524557934397</v>
      </c>
      <c r="R1757">
        <v>0.2815858928601</v>
      </c>
      <c r="S1757">
        <v>13.0188198376622</v>
      </c>
      <c r="T1757">
        <v>-0.53371795733510397</v>
      </c>
      <c r="U1757">
        <v>-6.73400269280652</v>
      </c>
      <c r="V1757">
        <v>0.60092144910053102</v>
      </c>
      <c r="W1757">
        <v>0.96856739034780204</v>
      </c>
      <c r="X1757">
        <v>0</v>
      </c>
      <c r="Y1757">
        <v>0</v>
      </c>
    </row>
    <row r="1758" spans="1:25" x14ac:dyDescent="0.2">
      <c r="A1758" t="s">
        <v>6583</v>
      </c>
      <c r="B1758" t="s">
        <v>6584</v>
      </c>
      <c r="C1758" t="s">
        <v>6585</v>
      </c>
      <c r="D1758" t="s">
        <v>6586</v>
      </c>
      <c r="E1758" t="s">
        <v>6584</v>
      </c>
      <c r="F1758" t="s">
        <v>28</v>
      </c>
      <c r="G1758" t="s">
        <v>6584</v>
      </c>
      <c r="H1758" t="str">
        <f>"B0495.7"</f>
        <v>B0495.7</v>
      </c>
      <c r="I1758" t="s">
        <v>6586</v>
      </c>
      <c r="J1758">
        <v>13.745385219685501</v>
      </c>
      <c r="K1758">
        <v>13.787592433341899</v>
      </c>
      <c r="L1758">
        <v>13.739403086185201</v>
      </c>
      <c r="M1758">
        <v>13.9982466886729</v>
      </c>
      <c r="N1758">
        <v>13.530275307728701</v>
      </c>
      <c r="O1758">
        <v>14.169434263703501</v>
      </c>
      <c r="P1758">
        <v>0.14185850696412799</v>
      </c>
      <c r="Q1758">
        <v>-0.47739243559772399</v>
      </c>
      <c r="R1758">
        <v>0.76110944952598103</v>
      </c>
      <c r="S1758">
        <v>14.0100020057524</v>
      </c>
      <c r="T1758">
        <v>0.48148329232180898</v>
      </c>
      <c r="U1758">
        <v>-6.7621467426688602</v>
      </c>
      <c r="V1758">
        <v>0.63600826030780699</v>
      </c>
      <c r="W1758">
        <v>0.974482469585217</v>
      </c>
      <c r="X1758">
        <v>0</v>
      </c>
      <c r="Y1758">
        <v>0</v>
      </c>
    </row>
    <row r="1759" spans="1:25" x14ac:dyDescent="0.2">
      <c r="A1759" t="s">
        <v>6587</v>
      </c>
      <c r="B1759" t="s">
        <v>6588</v>
      </c>
      <c r="C1759" t="s">
        <v>6589</v>
      </c>
      <c r="D1759" t="s">
        <v>6590</v>
      </c>
      <c r="E1759" t="s">
        <v>6588</v>
      </c>
      <c r="F1759" t="s">
        <v>28</v>
      </c>
      <c r="G1759" t="s">
        <v>6588</v>
      </c>
      <c r="H1759" t="str">
        <f>"B0495.8"</f>
        <v>B0495.8</v>
      </c>
      <c r="I1759" t="s">
        <v>6590</v>
      </c>
      <c r="J1759">
        <v>10.3969736333996</v>
      </c>
      <c r="K1759">
        <v>10.801047175078001</v>
      </c>
      <c r="L1759">
        <v>10.9357183806669</v>
      </c>
      <c r="M1759">
        <v>11.1671108511038</v>
      </c>
      <c r="N1759">
        <v>11.762796391367599</v>
      </c>
      <c r="O1759">
        <v>11.174167440601099</v>
      </c>
      <c r="P1759">
        <v>0.65677849797600296</v>
      </c>
      <c r="Q1759">
        <v>0.12548953316469</v>
      </c>
      <c r="R1759">
        <v>1.18806746278732</v>
      </c>
      <c r="S1759">
        <v>11.9077380204821</v>
      </c>
      <c r="T1759">
        <v>2.6093848937759301</v>
      </c>
      <c r="U1759">
        <v>-3.8897698828476899</v>
      </c>
      <c r="V1759">
        <v>1.8385510561560701E-2</v>
      </c>
      <c r="W1759">
        <v>0.27315615691461598</v>
      </c>
      <c r="X1759">
        <v>0</v>
      </c>
      <c r="Y1759">
        <v>0</v>
      </c>
    </row>
    <row r="1760" spans="1:25" x14ac:dyDescent="0.2">
      <c r="A1760" t="s">
        <v>6591</v>
      </c>
      <c r="B1760" t="s">
        <v>6592</v>
      </c>
      <c r="C1760" t="s">
        <v>6593</v>
      </c>
      <c r="D1760" t="s">
        <v>6594</v>
      </c>
      <c r="E1760" t="s">
        <v>6592</v>
      </c>
      <c r="F1760" t="s">
        <v>28</v>
      </c>
      <c r="G1760" t="s">
        <v>6592</v>
      </c>
      <c r="H1760" t="str">
        <f>"cpna-2"</f>
        <v>cpna-2</v>
      </c>
      <c r="I1760" t="s">
        <v>6594</v>
      </c>
      <c r="J1760">
        <v>11.790709234765499</v>
      </c>
      <c r="K1760">
        <v>12.7399557203192</v>
      </c>
      <c r="L1760">
        <v>12.877516824141599</v>
      </c>
      <c r="M1760">
        <v>12.3313448603502</v>
      </c>
      <c r="N1760">
        <v>12.1737628441924</v>
      </c>
      <c r="O1760">
        <v>11.9620421685772</v>
      </c>
      <c r="P1760">
        <v>-0.313677302035476</v>
      </c>
      <c r="Q1760">
        <v>-1.0802266571819099</v>
      </c>
      <c r="R1760">
        <v>0.45287205311095802</v>
      </c>
      <c r="S1760">
        <v>12.291988967889999</v>
      </c>
      <c r="T1760">
        <v>-0.867945590444691</v>
      </c>
      <c r="U1760">
        <v>-6.4954520145758998</v>
      </c>
      <c r="V1760">
        <v>0.39833910766747599</v>
      </c>
      <c r="W1760">
        <v>0.91027279600179201</v>
      </c>
      <c r="X1760">
        <v>0</v>
      </c>
      <c r="Y1760">
        <v>0</v>
      </c>
    </row>
    <row r="1761" spans="1:25" x14ac:dyDescent="0.2">
      <c r="A1761" t="s">
        <v>6595</v>
      </c>
      <c r="B1761" t="s">
        <v>6596</v>
      </c>
      <c r="C1761" t="s">
        <v>6597</v>
      </c>
      <c r="D1761" t="s">
        <v>6598</v>
      </c>
      <c r="E1761" t="s">
        <v>6596</v>
      </c>
      <c r="F1761" t="s">
        <v>28</v>
      </c>
      <c r="G1761" t="s">
        <v>6596</v>
      </c>
      <c r="H1761" t="str">
        <f>"nrf-6"</f>
        <v>nrf-6</v>
      </c>
      <c r="I1761" t="s">
        <v>6598</v>
      </c>
      <c r="J1761">
        <v>13.615334003097599</v>
      </c>
      <c r="K1761">
        <v>13.319645531172901</v>
      </c>
      <c r="L1761">
        <v>13.4628920556776</v>
      </c>
      <c r="M1761">
        <v>13.6269676291287</v>
      </c>
      <c r="N1761">
        <v>13.7219103995472</v>
      </c>
      <c r="O1761">
        <v>13.280168867294099</v>
      </c>
      <c r="P1761">
        <v>7.7058435340655193E-2</v>
      </c>
      <c r="Q1761">
        <v>-0.46762275970697198</v>
      </c>
      <c r="R1761">
        <v>0.62173963038828195</v>
      </c>
      <c r="S1761">
        <v>13.785635140082499</v>
      </c>
      <c r="T1761">
        <v>0.29862613815475703</v>
      </c>
      <c r="U1761">
        <v>-6.8358726931711704</v>
      </c>
      <c r="V1761">
        <v>0.76886705698950697</v>
      </c>
      <c r="W1761">
        <v>0.99278624068726296</v>
      </c>
      <c r="X1761">
        <v>0</v>
      </c>
      <c r="Y1761">
        <v>0</v>
      </c>
    </row>
    <row r="1762" spans="1:25" x14ac:dyDescent="0.2">
      <c r="A1762" t="s">
        <v>6599</v>
      </c>
      <c r="B1762" t="s">
        <v>6600</v>
      </c>
      <c r="C1762" t="s">
        <v>6601</v>
      </c>
      <c r="D1762" t="s">
        <v>6602</v>
      </c>
      <c r="E1762" t="s">
        <v>6600</v>
      </c>
      <c r="F1762" t="s">
        <v>28</v>
      </c>
      <c r="G1762" t="s">
        <v>6600</v>
      </c>
      <c r="H1762" t="str">
        <f>"egl-27"</f>
        <v>egl-27</v>
      </c>
      <c r="I1762" t="s">
        <v>6602</v>
      </c>
      <c r="J1762" t="s">
        <v>29</v>
      </c>
      <c r="K1762" t="s">
        <v>29</v>
      </c>
      <c r="L1762">
        <v>9.5310998758811802</v>
      </c>
      <c r="M1762" t="s">
        <v>29</v>
      </c>
      <c r="N1762" t="s">
        <v>29</v>
      </c>
      <c r="O1762" t="s">
        <v>29</v>
      </c>
      <c r="P1762" t="s">
        <v>29</v>
      </c>
      <c r="Q1762" t="s">
        <v>29</v>
      </c>
      <c r="R1762" t="s">
        <v>29</v>
      </c>
      <c r="S1762">
        <v>10.4816962588185</v>
      </c>
      <c r="T1762" t="s">
        <v>29</v>
      </c>
      <c r="U1762" t="s">
        <v>29</v>
      </c>
      <c r="V1762" t="s">
        <v>29</v>
      </c>
      <c r="W1762" t="s">
        <v>29</v>
      </c>
      <c r="X1762" t="s">
        <v>29</v>
      </c>
      <c r="Y1762" t="s">
        <v>29</v>
      </c>
    </row>
    <row r="1763" spans="1:25" x14ac:dyDescent="0.2">
      <c r="A1763" t="s">
        <v>6603</v>
      </c>
      <c r="B1763" t="s">
        <v>6604</v>
      </c>
      <c r="C1763" t="s">
        <v>6605</v>
      </c>
      <c r="D1763" t="s">
        <v>6606</v>
      </c>
      <c r="E1763" t="s">
        <v>6604</v>
      </c>
      <c r="F1763" t="s">
        <v>28</v>
      </c>
      <c r="G1763" t="s">
        <v>6604</v>
      </c>
      <c r="H1763" t="str">
        <f>"copd-1"</f>
        <v>copd-1</v>
      </c>
      <c r="I1763" t="s">
        <v>6606</v>
      </c>
      <c r="J1763">
        <v>16.4583466546379</v>
      </c>
      <c r="K1763">
        <v>16.458415230622101</v>
      </c>
      <c r="L1763">
        <v>16.4837135191691</v>
      </c>
      <c r="M1763">
        <v>16.718782062652998</v>
      </c>
      <c r="N1763">
        <v>16.724511388570701</v>
      </c>
      <c r="O1763">
        <v>16.789868836664901</v>
      </c>
      <c r="P1763">
        <v>0.27756229448653302</v>
      </c>
      <c r="Q1763">
        <v>-8.6714694127652897E-2</v>
      </c>
      <c r="R1763">
        <v>0.64183928310071803</v>
      </c>
      <c r="S1763">
        <v>16.197048750167799</v>
      </c>
      <c r="T1763">
        <v>1.6014789860044401</v>
      </c>
      <c r="U1763">
        <v>-5.6310637079085497</v>
      </c>
      <c r="V1763">
        <v>0.126775622078098</v>
      </c>
      <c r="W1763">
        <v>0.71762718189871799</v>
      </c>
      <c r="X1763">
        <v>0</v>
      </c>
      <c r="Y1763">
        <v>0</v>
      </c>
    </row>
    <row r="1764" spans="1:25" x14ac:dyDescent="0.2">
      <c r="A1764" t="s">
        <v>6607</v>
      </c>
      <c r="B1764" t="s">
        <v>6608</v>
      </c>
      <c r="C1764" t="s">
        <v>6609</v>
      </c>
      <c r="D1764" t="s">
        <v>6610</v>
      </c>
      <c r="E1764" t="s">
        <v>6608</v>
      </c>
      <c r="F1764" t="s">
        <v>28</v>
      </c>
      <c r="G1764" t="s">
        <v>6608</v>
      </c>
      <c r="H1764" t="str">
        <f>"gyf-1"</f>
        <v>gyf-1</v>
      </c>
      <c r="I1764" t="s">
        <v>6610</v>
      </c>
      <c r="J1764">
        <v>12.7378412868691</v>
      </c>
      <c r="K1764">
        <v>13.5451585930698</v>
      </c>
      <c r="L1764">
        <v>13.788551890981299</v>
      </c>
      <c r="M1764">
        <v>13.8799039868543</v>
      </c>
      <c r="N1764">
        <v>14.1947787415825</v>
      </c>
      <c r="O1764">
        <v>14.0233819734361</v>
      </c>
      <c r="P1764">
        <v>0.675504310317535</v>
      </c>
      <c r="Q1764">
        <v>4.5359465683224597E-2</v>
      </c>
      <c r="R1764">
        <v>1.3056491549518501</v>
      </c>
      <c r="S1764">
        <v>14.195897657819</v>
      </c>
      <c r="T1764">
        <v>2.2530988720843599</v>
      </c>
      <c r="U1764">
        <v>-4.5507439234692697</v>
      </c>
      <c r="V1764">
        <v>3.7042525618343501E-2</v>
      </c>
      <c r="W1764">
        <v>0.41960788763002799</v>
      </c>
      <c r="X1764">
        <v>0</v>
      </c>
      <c r="Y1764">
        <v>0</v>
      </c>
    </row>
    <row r="1765" spans="1:25" x14ac:dyDescent="0.2">
      <c r="A1765" t="s">
        <v>6611</v>
      </c>
      <c r="B1765" t="s">
        <v>6612</v>
      </c>
      <c r="C1765" t="s">
        <v>6613</v>
      </c>
      <c r="D1765" t="s">
        <v>6614</v>
      </c>
      <c r="E1765" t="s">
        <v>6612</v>
      </c>
      <c r="F1765" t="s">
        <v>28</v>
      </c>
      <c r="G1765" t="s">
        <v>6612</v>
      </c>
      <c r="H1765" t="str">
        <f>"C16C10.3"</f>
        <v>C16C10.3</v>
      </c>
      <c r="I1765" t="s">
        <v>6614</v>
      </c>
      <c r="J1765">
        <v>13.8745038356801</v>
      </c>
      <c r="K1765">
        <v>12.973264973396899</v>
      </c>
      <c r="L1765">
        <v>13.896829402739</v>
      </c>
      <c r="M1765">
        <v>14.021609540443499</v>
      </c>
      <c r="N1765">
        <v>13.900266838126299</v>
      </c>
      <c r="O1765">
        <v>13.1714637252536</v>
      </c>
      <c r="P1765">
        <v>0.116247297335786</v>
      </c>
      <c r="Q1765">
        <v>-0.88401851290748001</v>
      </c>
      <c r="R1765">
        <v>1.11651310757905</v>
      </c>
      <c r="S1765">
        <v>14.4033830235572</v>
      </c>
      <c r="T1765">
        <v>0.24531124308973901</v>
      </c>
      <c r="U1765">
        <v>-6.8510050104807503</v>
      </c>
      <c r="V1765">
        <v>0.80917041225728903</v>
      </c>
      <c r="W1765">
        <v>0.99278624068726296</v>
      </c>
      <c r="X1765">
        <v>0</v>
      </c>
      <c r="Y1765">
        <v>0</v>
      </c>
    </row>
    <row r="1766" spans="1:25" x14ac:dyDescent="0.2">
      <c r="A1766" t="s">
        <v>6615</v>
      </c>
      <c r="B1766" t="s">
        <v>6616</v>
      </c>
      <c r="C1766" t="s">
        <v>6617</v>
      </c>
      <c r="D1766" t="s">
        <v>6618</v>
      </c>
      <c r="E1766" t="s">
        <v>6616</v>
      </c>
      <c r="F1766" t="s">
        <v>28</v>
      </c>
      <c r="G1766" t="s">
        <v>6616</v>
      </c>
      <c r="H1766" t="str">
        <f>"C16C10.4"</f>
        <v>C16C10.4</v>
      </c>
      <c r="I1766" t="s">
        <v>6618</v>
      </c>
      <c r="J1766">
        <v>11.696517872402501</v>
      </c>
      <c r="K1766">
        <v>11.770971238009199</v>
      </c>
      <c r="L1766">
        <v>12.287848544006801</v>
      </c>
      <c r="M1766">
        <v>10.704262215762601</v>
      </c>
      <c r="N1766">
        <v>10.193599670862801</v>
      </c>
      <c r="O1766" t="s">
        <v>29</v>
      </c>
      <c r="P1766">
        <v>-1.4695149414934701</v>
      </c>
      <c r="Q1766">
        <v>-2.4036174532932399</v>
      </c>
      <c r="R1766">
        <v>-0.53541242969370395</v>
      </c>
      <c r="S1766">
        <v>12.568553673917</v>
      </c>
      <c r="T1766">
        <v>-3.4014705150111899</v>
      </c>
      <c r="U1766">
        <v>-2.40265693562925</v>
      </c>
      <c r="V1766">
        <v>4.7791062226963804E-3</v>
      </c>
      <c r="W1766">
        <v>0.106744063819688</v>
      </c>
      <c r="X1766">
        <v>-1</v>
      </c>
      <c r="Y1766">
        <v>0</v>
      </c>
    </row>
    <row r="1767" spans="1:25" x14ac:dyDescent="0.2">
      <c r="A1767" t="s">
        <v>6619</v>
      </c>
      <c r="B1767" t="s">
        <v>6620</v>
      </c>
      <c r="C1767" t="s">
        <v>6621</v>
      </c>
      <c r="D1767" t="s">
        <v>6622</v>
      </c>
      <c r="E1767" t="s">
        <v>6620</v>
      </c>
      <c r="F1767" t="s">
        <v>28</v>
      </c>
      <c r="G1767" t="s">
        <v>6620</v>
      </c>
      <c r="H1767" t="str">
        <f>"rnf-121"</f>
        <v>rnf-121</v>
      </c>
      <c r="I1767" t="s">
        <v>6622</v>
      </c>
      <c r="J1767" t="s">
        <v>29</v>
      </c>
      <c r="K1767" t="s">
        <v>29</v>
      </c>
      <c r="L1767" t="s">
        <v>29</v>
      </c>
      <c r="M1767" t="s">
        <v>29</v>
      </c>
      <c r="N1767">
        <v>11.4262010761382</v>
      </c>
      <c r="O1767" t="s">
        <v>29</v>
      </c>
      <c r="P1767" t="s">
        <v>29</v>
      </c>
      <c r="Q1767" t="s">
        <v>29</v>
      </c>
      <c r="R1767" t="s">
        <v>29</v>
      </c>
      <c r="S1767">
        <v>11.4514401523702</v>
      </c>
      <c r="T1767" t="s">
        <v>29</v>
      </c>
      <c r="U1767" t="s">
        <v>29</v>
      </c>
      <c r="V1767" t="s">
        <v>29</v>
      </c>
      <c r="W1767" t="s">
        <v>29</v>
      </c>
      <c r="X1767" t="s">
        <v>29</v>
      </c>
      <c r="Y1767" t="s">
        <v>29</v>
      </c>
    </row>
    <row r="1768" spans="1:25" x14ac:dyDescent="0.2">
      <c r="A1768" t="s">
        <v>6623</v>
      </c>
      <c r="B1768" t="s">
        <v>6624</v>
      </c>
      <c r="C1768" t="s">
        <v>6625</v>
      </c>
      <c r="D1768" t="s">
        <v>6626</v>
      </c>
      <c r="E1768" t="s">
        <v>6624</v>
      </c>
      <c r="F1768" t="s">
        <v>28</v>
      </c>
      <c r="G1768" t="s">
        <v>6624</v>
      </c>
      <c r="H1768" t="str">
        <f>"har-1"</f>
        <v>har-1</v>
      </c>
      <c r="I1768" t="s">
        <v>6626</v>
      </c>
      <c r="J1768">
        <v>12.906320235164801</v>
      </c>
      <c r="K1768" t="s">
        <v>29</v>
      </c>
      <c r="L1768">
        <v>12.576459639980699</v>
      </c>
      <c r="M1768">
        <v>13.4464347034061</v>
      </c>
      <c r="N1768">
        <v>12.355169225966501</v>
      </c>
      <c r="O1768">
        <v>12.550807481350899</v>
      </c>
      <c r="P1768">
        <v>4.2747199335103403E-2</v>
      </c>
      <c r="Q1768">
        <v>-0.79921241310251601</v>
      </c>
      <c r="R1768">
        <v>0.88470681177272303</v>
      </c>
      <c r="S1768">
        <v>12.477276210883</v>
      </c>
      <c r="T1768">
        <v>0.109775051939355</v>
      </c>
      <c r="U1768">
        <v>-6.7657987089018299</v>
      </c>
      <c r="V1768">
        <v>0.91427776277432404</v>
      </c>
      <c r="W1768">
        <v>0.99833354317360001</v>
      </c>
      <c r="X1768">
        <v>0</v>
      </c>
      <c r="Y1768">
        <v>0</v>
      </c>
    </row>
    <row r="1769" spans="1:25" x14ac:dyDescent="0.2">
      <c r="A1769" t="s">
        <v>6627</v>
      </c>
      <c r="B1769" t="s">
        <v>6628</v>
      </c>
      <c r="C1769" t="s">
        <v>6629</v>
      </c>
      <c r="D1769" t="s">
        <v>6630</v>
      </c>
      <c r="E1769" t="s">
        <v>6628</v>
      </c>
      <c r="F1769" t="s">
        <v>28</v>
      </c>
      <c r="G1769" t="s">
        <v>6628</v>
      </c>
      <c r="H1769" t="str">
        <f>"C30G12.6"</f>
        <v>C30G12.6</v>
      </c>
      <c r="I1769" t="s">
        <v>6630</v>
      </c>
      <c r="J1769" t="s">
        <v>29</v>
      </c>
      <c r="K1769" t="s">
        <v>29</v>
      </c>
      <c r="L1769" t="s">
        <v>29</v>
      </c>
      <c r="M1769" t="s">
        <v>29</v>
      </c>
      <c r="N1769" t="s">
        <v>29</v>
      </c>
      <c r="O1769" t="s">
        <v>29</v>
      </c>
      <c r="P1769" t="s">
        <v>29</v>
      </c>
      <c r="Q1769" t="s">
        <v>29</v>
      </c>
      <c r="R1769" t="s">
        <v>29</v>
      </c>
      <c r="S1769">
        <v>11.2485984535156</v>
      </c>
      <c r="T1769" t="s">
        <v>29</v>
      </c>
      <c r="U1769" t="s">
        <v>29</v>
      </c>
      <c r="V1769" t="s">
        <v>29</v>
      </c>
      <c r="W1769" t="s">
        <v>29</v>
      </c>
      <c r="X1769" t="s">
        <v>29</v>
      </c>
      <c r="Y1769" t="s">
        <v>29</v>
      </c>
    </row>
    <row r="1770" spans="1:25" x14ac:dyDescent="0.2">
      <c r="A1770" t="s">
        <v>6631</v>
      </c>
      <c r="B1770" t="s">
        <v>6632</v>
      </c>
      <c r="C1770" t="s">
        <v>6633</v>
      </c>
      <c r="D1770" t="s">
        <v>6634</v>
      </c>
      <c r="E1770" t="s">
        <v>6632</v>
      </c>
      <c r="F1770" t="s">
        <v>28</v>
      </c>
      <c r="G1770" t="s">
        <v>6632</v>
      </c>
      <c r="H1770" t="str">
        <f>"sel-8"</f>
        <v>sel-8</v>
      </c>
      <c r="I1770" t="s">
        <v>6634</v>
      </c>
      <c r="J1770">
        <v>11.1475779039627</v>
      </c>
      <c r="K1770">
        <v>10.8822233185215</v>
      </c>
      <c r="L1770">
        <v>10.640036110457</v>
      </c>
      <c r="M1770" t="s">
        <v>29</v>
      </c>
      <c r="N1770">
        <v>10.8581228482666</v>
      </c>
      <c r="O1770" t="s">
        <v>29</v>
      </c>
      <c r="P1770">
        <v>-3.1822929380506799E-2</v>
      </c>
      <c r="Q1770">
        <v>-0.79625850228818795</v>
      </c>
      <c r="R1770">
        <v>0.73261264352717403</v>
      </c>
      <c r="S1770">
        <v>10.9617389881005</v>
      </c>
      <c r="T1770">
        <v>-8.9349300976838797E-2</v>
      </c>
      <c r="U1770">
        <v>-6.5368537198805798</v>
      </c>
      <c r="V1770">
        <v>0.93007940398812705</v>
      </c>
      <c r="W1770">
        <v>0.99926809132575301</v>
      </c>
      <c r="X1770">
        <v>0</v>
      </c>
      <c r="Y1770">
        <v>0</v>
      </c>
    </row>
    <row r="1771" spans="1:25" x14ac:dyDescent="0.2">
      <c r="A1771" t="s">
        <v>6635</v>
      </c>
      <c r="B1771" t="s">
        <v>6636</v>
      </c>
      <c r="C1771" t="s">
        <v>6637</v>
      </c>
      <c r="D1771" t="s">
        <v>6638</v>
      </c>
      <c r="E1771" t="s">
        <v>6636</v>
      </c>
      <c r="F1771" t="s">
        <v>28</v>
      </c>
      <c r="G1771" t="s">
        <v>6636</v>
      </c>
      <c r="H1771" t="str">
        <f>"mrps-31"</f>
        <v>mrps-31</v>
      </c>
      <c r="I1771" t="s">
        <v>6638</v>
      </c>
      <c r="J1771">
        <v>10.9694161524561</v>
      </c>
      <c r="K1771">
        <v>10.0926110664935</v>
      </c>
      <c r="L1771">
        <v>11.456546005754999</v>
      </c>
      <c r="M1771">
        <v>11.300302647932501</v>
      </c>
      <c r="N1771">
        <v>12.161339394320899</v>
      </c>
      <c r="O1771" t="s">
        <v>29</v>
      </c>
      <c r="P1771">
        <v>0.89129661289181605</v>
      </c>
      <c r="Q1771">
        <v>7.1402275131170007E-2</v>
      </c>
      <c r="R1771">
        <v>1.7111909506524601</v>
      </c>
      <c r="S1771">
        <v>12.1981733761044</v>
      </c>
      <c r="T1771">
        <v>2.3504532273019598</v>
      </c>
      <c r="U1771">
        <v>-4.3330354096783799</v>
      </c>
      <c r="V1771">
        <v>3.5340821559527599E-2</v>
      </c>
      <c r="W1771">
        <v>0.40980576358922599</v>
      </c>
      <c r="X1771">
        <v>0</v>
      </c>
      <c r="Y1771">
        <v>0</v>
      </c>
    </row>
    <row r="1772" spans="1:25" x14ac:dyDescent="0.2">
      <c r="A1772" t="s">
        <v>6639</v>
      </c>
      <c r="B1772" t="s">
        <v>6640</v>
      </c>
      <c r="C1772" t="s">
        <v>6641</v>
      </c>
      <c r="D1772" t="s">
        <v>6642</v>
      </c>
      <c r="E1772" t="s">
        <v>6640</v>
      </c>
      <c r="F1772" t="s">
        <v>28</v>
      </c>
      <c r="G1772" t="s">
        <v>6640</v>
      </c>
      <c r="H1772" t="str">
        <f>"C45G9.5"</f>
        <v>C45G9.5</v>
      </c>
      <c r="I1772" t="s">
        <v>6642</v>
      </c>
      <c r="J1772" t="s">
        <v>29</v>
      </c>
      <c r="K1772" t="s">
        <v>29</v>
      </c>
      <c r="L1772">
        <v>11.4113345734795</v>
      </c>
      <c r="M1772">
        <v>12.0353943578596</v>
      </c>
      <c r="N1772">
        <v>11.227336874026999</v>
      </c>
      <c r="O1772">
        <v>12.0280510777344</v>
      </c>
      <c r="P1772">
        <v>0.35225952972753299</v>
      </c>
      <c r="Q1772">
        <v>-0.61890683452456396</v>
      </c>
      <c r="R1772">
        <v>1.32342589397963</v>
      </c>
      <c r="S1772">
        <v>12.085702044101399</v>
      </c>
      <c r="T1772">
        <v>0.77850429211592698</v>
      </c>
      <c r="U1772">
        <v>-6.2297121024724298</v>
      </c>
      <c r="V1772">
        <v>0.44932664934271799</v>
      </c>
      <c r="W1772">
        <v>0.92249172671965796</v>
      </c>
      <c r="X1772">
        <v>0</v>
      </c>
      <c r="Y1772">
        <v>0</v>
      </c>
    </row>
    <row r="1773" spans="1:25" x14ac:dyDescent="0.2">
      <c r="A1773" t="s">
        <v>6643</v>
      </c>
      <c r="B1773" t="s">
        <v>6644</v>
      </c>
      <c r="C1773" t="s">
        <v>6645</v>
      </c>
      <c r="D1773" t="s">
        <v>6646</v>
      </c>
      <c r="E1773" t="s">
        <v>6644</v>
      </c>
      <c r="F1773" t="s">
        <v>28</v>
      </c>
      <c r="G1773" t="s">
        <v>6644</v>
      </c>
      <c r="H1773" t="str">
        <f>"C45G9.10"</f>
        <v>C45G9.10</v>
      </c>
      <c r="I1773" t="s">
        <v>6646</v>
      </c>
      <c r="J1773" t="s">
        <v>29</v>
      </c>
      <c r="K1773" t="s">
        <v>29</v>
      </c>
      <c r="L1773" t="s">
        <v>29</v>
      </c>
      <c r="M1773" t="s">
        <v>29</v>
      </c>
      <c r="N1773" t="s">
        <v>29</v>
      </c>
      <c r="O1773" t="s">
        <v>29</v>
      </c>
      <c r="P1773" t="s">
        <v>29</v>
      </c>
      <c r="Q1773" t="s">
        <v>29</v>
      </c>
      <c r="R1773" t="s">
        <v>29</v>
      </c>
      <c r="S1773">
        <v>11.2299431657733</v>
      </c>
      <c r="T1773" t="s">
        <v>29</v>
      </c>
      <c r="U1773" t="s">
        <v>29</v>
      </c>
      <c r="V1773" t="s">
        <v>29</v>
      </c>
      <c r="W1773" t="s">
        <v>29</v>
      </c>
      <c r="X1773" t="s">
        <v>29</v>
      </c>
      <c r="Y1773" t="s">
        <v>29</v>
      </c>
    </row>
    <row r="1774" spans="1:25" x14ac:dyDescent="0.2">
      <c r="A1774" t="s">
        <v>6647</v>
      </c>
      <c r="B1774" t="s">
        <v>6648</v>
      </c>
      <c r="C1774" t="s">
        <v>6649</v>
      </c>
      <c r="D1774" t="s">
        <v>6650</v>
      </c>
      <c r="E1774" t="s">
        <v>6648</v>
      </c>
      <c r="F1774" t="s">
        <v>28</v>
      </c>
      <c r="G1774" t="s">
        <v>6648</v>
      </c>
      <c r="H1774" t="str">
        <f>"akap-1"</f>
        <v>akap-1</v>
      </c>
      <c r="I1774" t="s">
        <v>6650</v>
      </c>
      <c r="J1774">
        <v>15.849899872766199</v>
      </c>
      <c r="K1774">
        <v>15.659225981018</v>
      </c>
      <c r="L1774">
        <v>15.5605354874964</v>
      </c>
      <c r="M1774">
        <v>15.6913470970461</v>
      </c>
      <c r="N1774">
        <v>15.4526240109476</v>
      </c>
      <c r="O1774">
        <v>15.747697918207599</v>
      </c>
      <c r="P1774">
        <v>-5.93307716930873E-2</v>
      </c>
      <c r="Q1774">
        <v>-0.53409622023806602</v>
      </c>
      <c r="R1774">
        <v>0.415434676851892</v>
      </c>
      <c r="S1774">
        <v>15.2294542428524</v>
      </c>
      <c r="T1774">
        <v>-0.26265967644375698</v>
      </c>
      <c r="U1774">
        <v>-6.8465123952213096</v>
      </c>
      <c r="V1774">
        <v>0.79581294693117399</v>
      </c>
      <c r="W1774">
        <v>0.99278624068726296</v>
      </c>
      <c r="X1774">
        <v>0</v>
      </c>
      <c r="Y1774">
        <v>0</v>
      </c>
    </row>
    <row r="1775" spans="1:25" x14ac:dyDescent="0.2">
      <c r="A1775" t="s">
        <v>6651</v>
      </c>
      <c r="B1775" t="s">
        <v>6652</v>
      </c>
      <c r="C1775" t="s">
        <v>6653</v>
      </c>
      <c r="D1775" t="s">
        <v>6654</v>
      </c>
      <c r="E1775" t="s">
        <v>6652</v>
      </c>
      <c r="F1775" t="s">
        <v>28</v>
      </c>
      <c r="G1775" t="s">
        <v>6652</v>
      </c>
      <c r="H1775" t="str">
        <f>"C56G2.3"</f>
        <v>C56G2.3</v>
      </c>
      <c r="I1775" t="s">
        <v>6654</v>
      </c>
      <c r="J1775">
        <v>12.4324698543215</v>
      </c>
      <c r="K1775">
        <v>12.2531710384419</v>
      </c>
      <c r="L1775">
        <v>12.756178579820601</v>
      </c>
      <c r="M1775">
        <v>12.6166855447931</v>
      </c>
      <c r="N1775">
        <v>12.932856732852199</v>
      </c>
      <c r="O1775">
        <v>12.858387972072199</v>
      </c>
      <c r="P1775">
        <v>0.32203692571119702</v>
      </c>
      <c r="Q1775">
        <v>-0.10660641122149001</v>
      </c>
      <c r="R1775">
        <v>0.75068026264388399</v>
      </c>
      <c r="S1775">
        <v>12.974611546590401</v>
      </c>
      <c r="T1775">
        <v>1.61250655084732</v>
      </c>
      <c r="U1775">
        <v>-5.6193061390360004</v>
      </c>
      <c r="V1775">
        <v>0.12932538031788099</v>
      </c>
      <c r="W1775">
        <v>0.71998552612350397</v>
      </c>
      <c r="X1775">
        <v>0</v>
      </c>
      <c r="Y1775">
        <v>0</v>
      </c>
    </row>
    <row r="1776" spans="1:25" x14ac:dyDescent="0.2">
      <c r="A1776" t="s">
        <v>6655</v>
      </c>
      <c r="B1776" t="s">
        <v>6656</v>
      </c>
      <c r="C1776" t="s">
        <v>6657</v>
      </c>
      <c r="D1776" t="s">
        <v>6658</v>
      </c>
      <c r="E1776" t="s">
        <v>6656</v>
      </c>
      <c r="F1776" t="s">
        <v>28</v>
      </c>
      <c r="G1776" t="s">
        <v>6656</v>
      </c>
      <c r="H1776" t="str">
        <f>"rpn-13"</f>
        <v>rpn-13</v>
      </c>
      <c r="I1776" t="s">
        <v>6658</v>
      </c>
      <c r="J1776">
        <v>12.5360010684406</v>
      </c>
      <c r="K1776" t="s">
        <v>29</v>
      </c>
      <c r="L1776">
        <v>12.1342308184333</v>
      </c>
      <c r="M1776">
        <v>12.136177736085401</v>
      </c>
      <c r="N1776">
        <v>11.9705881485209</v>
      </c>
      <c r="O1776" t="s">
        <v>29</v>
      </c>
      <c r="P1776">
        <v>-0.28173300113384098</v>
      </c>
      <c r="Q1776">
        <v>-1.0201661199555601</v>
      </c>
      <c r="R1776">
        <v>0.45670011768787899</v>
      </c>
      <c r="S1776">
        <v>12.2229073960099</v>
      </c>
      <c r="T1776">
        <v>-0.88184501972492702</v>
      </c>
      <c r="U1776">
        <v>-6.2712426002216501</v>
      </c>
      <c r="V1776">
        <v>0.40390845259081298</v>
      </c>
      <c r="W1776">
        <v>0.91027279600179201</v>
      </c>
      <c r="X1776">
        <v>0</v>
      </c>
      <c r="Y1776">
        <v>0</v>
      </c>
    </row>
    <row r="1777" spans="1:25" x14ac:dyDescent="0.2">
      <c r="A1777" t="s">
        <v>6659</v>
      </c>
      <c r="B1777" t="s">
        <v>6660</v>
      </c>
      <c r="C1777" t="s">
        <v>6661</v>
      </c>
      <c r="D1777" t="s">
        <v>6662</v>
      </c>
      <c r="E1777" t="s">
        <v>6660</v>
      </c>
      <c r="F1777" t="s">
        <v>28</v>
      </c>
      <c r="G1777" t="s">
        <v>6660</v>
      </c>
      <c r="H1777" t="str">
        <f>"tofu-6"</f>
        <v>tofu-6</v>
      </c>
      <c r="I1777" t="s">
        <v>6662</v>
      </c>
      <c r="J1777">
        <v>13.0728191442954</v>
      </c>
      <c r="K1777">
        <v>12.8553231030413</v>
      </c>
      <c r="L1777">
        <v>13.365733616051701</v>
      </c>
      <c r="M1777">
        <v>13.0554365550868</v>
      </c>
      <c r="N1777">
        <v>13.6017581750927</v>
      </c>
      <c r="O1777">
        <v>12.742378797036199</v>
      </c>
      <c r="P1777">
        <v>3.5232554609146802E-2</v>
      </c>
      <c r="Q1777">
        <v>-0.53047206420589998</v>
      </c>
      <c r="R1777">
        <v>0.60093717342419295</v>
      </c>
      <c r="S1777">
        <v>13.358237322735301</v>
      </c>
      <c r="T1777">
        <v>0.131463267452921</v>
      </c>
      <c r="U1777">
        <v>-6.8734358438569396</v>
      </c>
      <c r="V1777">
        <v>0.89696165078046197</v>
      </c>
      <c r="W1777">
        <v>0.99833354317360001</v>
      </c>
      <c r="X1777">
        <v>0</v>
      </c>
      <c r="Y1777">
        <v>0</v>
      </c>
    </row>
    <row r="1778" spans="1:25" x14ac:dyDescent="0.2">
      <c r="A1778" t="s">
        <v>6663</v>
      </c>
      <c r="B1778" t="s">
        <v>6664</v>
      </c>
      <c r="C1778" t="s">
        <v>6665</v>
      </c>
      <c r="D1778" t="s">
        <v>6666</v>
      </c>
      <c r="E1778" t="s">
        <v>6664</v>
      </c>
      <c r="F1778" t="s">
        <v>28</v>
      </c>
      <c r="G1778" t="s">
        <v>6664</v>
      </c>
      <c r="H1778" t="str">
        <f>"EEED8.3"</f>
        <v>EEED8.3</v>
      </c>
      <c r="I1778" t="s">
        <v>6666</v>
      </c>
      <c r="J1778" t="s">
        <v>29</v>
      </c>
      <c r="K1778" t="s">
        <v>29</v>
      </c>
      <c r="L1778" t="s">
        <v>29</v>
      </c>
      <c r="M1778" t="s">
        <v>29</v>
      </c>
      <c r="N1778" t="s">
        <v>29</v>
      </c>
      <c r="O1778" t="s">
        <v>29</v>
      </c>
      <c r="P1778" t="s">
        <v>29</v>
      </c>
      <c r="Q1778" t="s">
        <v>29</v>
      </c>
      <c r="R1778" t="s">
        <v>29</v>
      </c>
      <c r="S1778">
        <v>9.8988125165082703</v>
      </c>
      <c r="T1778" t="s">
        <v>29</v>
      </c>
      <c r="U1778" t="s">
        <v>29</v>
      </c>
      <c r="V1778" t="s">
        <v>29</v>
      </c>
      <c r="W1778" t="s">
        <v>29</v>
      </c>
      <c r="X1778" t="s">
        <v>29</v>
      </c>
      <c r="Y1778" t="s">
        <v>29</v>
      </c>
    </row>
    <row r="1779" spans="1:25" x14ac:dyDescent="0.2">
      <c r="A1779" t="s">
        <v>6667</v>
      </c>
      <c r="B1779" t="s">
        <v>6668</v>
      </c>
      <c r="C1779" t="s">
        <v>6669</v>
      </c>
      <c r="D1779" t="s">
        <v>6670</v>
      </c>
      <c r="E1779" t="s">
        <v>6668</v>
      </c>
      <c r="F1779" t="s">
        <v>28</v>
      </c>
      <c r="G1779" t="s">
        <v>6668</v>
      </c>
      <c r="H1779" t="str">
        <f>"EEED8.10"</f>
        <v>EEED8.10</v>
      </c>
      <c r="I1779" t="s">
        <v>6670</v>
      </c>
      <c r="J1779">
        <v>12.8275343609992</v>
      </c>
      <c r="K1779">
        <v>12.741681777020499</v>
      </c>
      <c r="L1779">
        <v>12.937333788368001</v>
      </c>
      <c r="M1779">
        <v>13.231815265215101</v>
      </c>
      <c r="N1779">
        <v>13.382132132996601</v>
      </c>
      <c r="O1779">
        <v>12.540658449465599</v>
      </c>
      <c r="P1779">
        <v>0.21601864042984401</v>
      </c>
      <c r="Q1779">
        <v>-0.285776038818983</v>
      </c>
      <c r="R1779">
        <v>0.71781331967867201</v>
      </c>
      <c r="S1779">
        <v>13.321395858247801</v>
      </c>
      <c r="T1779">
        <v>0.90868883004134104</v>
      </c>
      <c r="U1779">
        <v>-6.4600523095153504</v>
      </c>
      <c r="V1779">
        <v>0.37629485420284497</v>
      </c>
      <c r="W1779">
        <v>0.89611784539566797</v>
      </c>
      <c r="X1779">
        <v>0</v>
      </c>
      <c r="Y1779">
        <v>0</v>
      </c>
    </row>
    <row r="1780" spans="1:25" x14ac:dyDescent="0.2">
      <c r="A1780" t="s">
        <v>6671</v>
      </c>
      <c r="B1780" t="s">
        <v>6672</v>
      </c>
      <c r="C1780" t="s">
        <v>6673</v>
      </c>
      <c r="D1780" t="s">
        <v>6674</v>
      </c>
      <c r="E1780" t="s">
        <v>6672</v>
      </c>
      <c r="F1780" t="s">
        <v>28</v>
      </c>
      <c r="G1780" t="s">
        <v>6672</v>
      </c>
      <c r="H1780" t="str">
        <f>"F10B5.2"</f>
        <v>F10B5.2</v>
      </c>
      <c r="I1780" t="s">
        <v>6674</v>
      </c>
      <c r="J1780">
        <v>13.8316981534765</v>
      </c>
      <c r="K1780" t="s">
        <v>29</v>
      </c>
      <c r="L1780">
        <v>12.9740311583323</v>
      </c>
      <c r="M1780">
        <v>13.3885694767937</v>
      </c>
      <c r="N1780">
        <v>13.8436105544105</v>
      </c>
      <c r="O1780">
        <v>12.5723579755846</v>
      </c>
      <c r="P1780">
        <v>-0.13468532030812999</v>
      </c>
      <c r="Q1780">
        <v>-1.1705716476580399</v>
      </c>
      <c r="R1780">
        <v>0.90120100704178097</v>
      </c>
      <c r="S1780">
        <v>13.390470966641001</v>
      </c>
      <c r="T1780">
        <v>-0.28650740816256498</v>
      </c>
      <c r="U1780">
        <v>-6.72813826446394</v>
      </c>
      <c r="V1780">
        <v>0.77986433028755298</v>
      </c>
      <c r="W1780">
        <v>0.99278624068726296</v>
      </c>
      <c r="X1780">
        <v>0</v>
      </c>
      <c r="Y1780">
        <v>0</v>
      </c>
    </row>
    <row r="1781" spans="1:25" x14ac:dyDescent="0.2">
      <c r="A1781" t="s">
        <v>6675</v>
      </c>
      <c r="B1781" t="s">
        <v>6676</v>
      </c>
      <c r="C1781" t="s">
        <v>6677</v>
      </c>
      <c r="D1781" t="s">
        <v>6678</v>
      </c>
      <c r="E1781" t="s">
        <v>6676</v>
      </c>
      <c r="F1781" t="s">
        <v>28</v>
      </c>
      <c r="G1781" t="s">
        <v>6676</v>
      </c>
      <c r="H1781" t="str">
        <f>"fbf-2"</f>
        <v>fbf-2</v>
      </c>
      <c r="I1781" t="s">
        <v>6678</v>
      </c>
      <c r="J1781">
        <v>13.0246151045805</v>
      </c>
      <c r="K1781">
        <v>12.1320154328432</v>
      </c>
      <c r="L1781">
        <v>13.1443083609096</v>
      </c>
      <c r="M1781">
        <v>12.953106017965901</v>
      </c>
      <c r="N1781">
        <v>13.8462793140926</v>
      </c>
      <c r="O1781">
        <v>12.2710533768724</v>
      </c>
      <c r="P1781">
        <v>0.25649993686585898</v>
      </c>
      <c r="Q1781">
        <v>-0.50387274396718695</v>
      </c>
      <c r="R1781">
        <v>1.01687261769891</v>
      </c>
      <c r="S1781">
        <v>13.729590005595499</v>
      </c>
      <c r="T1781">
        <v>0.71205045919191501</v>
      </c>
      <c r="U1781">
        <v>-6.6206946219019596</v>
      </c>
      <c r="V1781">
        <v>0.48615081830839002</v>
      </c>
      <c r="W1781">
        <v>0.93985684368537403</v>
      </c>
      <c r="X1781">
        <v>0</v>
      </c>
      <c r="Y1781">
        <v>0</v>
      </c>
    </row>
    <row r="1782" spans="1:25" x14ac:dyDescent="0.2">
      <c r="A1782" t="s">
        <v>6679</v>
      </c>
      <c r="B1782" t="s">
        <v>6680</v>
      </c>
      <c r="C1782" t="s">
        <v>6681</v>
      </c>
      <c r="D1782" t="s">
        <v>6682</v>
      </c>
      <c r="E1782" t="s">
        <v>6680</v>
      </c>
      <c r="F1782" t="s">
        <v>28</v>
      </c>
      <c r="G1782" t="s">
        <v>6680</v>
      </c>
      <c r="H1782" t="str">
        <f>"F25B5.5"</f>
        <v>F25B5.5</v>
      </c>
      <c r="I1782" t="s">
        <v>6682</v>
      </c>
      <c r="J1782">
        <v>13.437443601533399</v>
      </c>
      <c r="K1782">
        <v>13.4250167802311</v>
      </c>
      <c r="L1782">
        <v>13.1336786591968</v>
      </c>
      <c r="M1782">
        <v>13.5224323130493</v>
      </c>
      <c r="N1782">
        <v>13.2051286021231</v>
      </c>
      <c r="O1782">
        <v>13.2788218359628</v>
      </c>
      <c r="P1782">
        <v>3.4145700579397702E-3</v>
      </c>
      <c r="Q1782">
        <v>-0.78278107012312104</v>
      </c>
      <c r="R1782">
        <v>0.78961021023900002</v>
      </c>
      <c r="S1782">
        <v>13.552768610841399</v>
      </c>
      <c r="T1782">
        <v>9.1675948031076804E-3</v>
      </c>
      <c r="U1782">
        <v>-6.8824455237248499</v>
      </c>
      <c r="V1782">
        <v>0.99279280266076497</v>
      </c>
      <c r="W1782">
        <v>0.99968702248720698</v>
      </c>
      <c r="X1782">
        <v>0</v>
      </c>
      <c r="Y1782">
        <v>0</v>
      </c>
    </row>
    <row r="1783" spans="1:25" x14ac:dyDescent="0.2">
      <c r="A1783" t="s">
        <v>6683</v>
      </c>
      <c r="B1783" t="s">
        <v>6684</v>
      </c>
      <c r="C1783" t="s">
        <v>6685</v>
      </c>
      <c r="D1783" t="s">
        <v>6686</v>
      </c>
      <c r="E1783" t="s">
        <v>6684</v>
      </c>
      <c r="F1783" t="s">
        <v>28</v>
      </c>
      <c r="G1783" t="s">
        <v>6684</v>
      </c>
      <c r="H1783" t="str">
        <f>"pcf-11"</f>
        <v>pcf-11</v>
      </c>
      <c r="I1783" t="s">
        <v>6686</v>
      </c>
      <c r="J1783">
        <v>10.965180903619901</v>
      </c>
      <c r="K1783">
        <v>10.840473298108799</v>
      </c>
      <c r="L1783">
        <v>11.314138638813199</v>
      </c>
      <c r="M1783" t="s">
        <v>29</v>
      </c>
      <c r="N1783">
        <v>11.2808673622178</v>
      </c>
      <c r="O1783">
        <v>11.7450222093431</v>
      </c>
      <c r="P1783">
        <v>0.47301383893314197</v>
      </c>
      <c r="Q1783">
        <v>-2.1437329620257701E-2</v>
      </c>
      <c r="R1783">
        <v>0.96746500748654096</v>
      </c>
      <c r="S1783">
        <v>11.4865196167726</v>
      </c>
      <c r="T1783">
        <v>2.0402906778995198</v>
      </c>
      <c r="U1783">
        <v>-4.84203903851847</v>
      </c>
      <c r="V1783">
        <v>5.94626802526061E-2</v>
      </c>
      <c r="W1783">
        <v>0.52491193602300501</v>
      </c>
      <c r="X1783">
        <v>0</v>
      </c>
      <c r="Y1783">
        <v>0</v>
      </c>
    </row>
    <row r="1784" spans="1:25" x14ac:dyDescent="0.2">
      <c r="A1784" t="s">
        <v>6687</v>
      </c>
      <c r="B1784" t="s">
        <v>6688</v>
      </c>
      <c r="C1784" t="s">
        <v>6689</v>
      </c>
      <c r="D1784" t="s">
        <v>6690</v>
      </c>
      <c r="E1784" t="s">
        <v>6688</v>
      </c>
      <c r="F1784" t="s">
        <v>28</v>
      </c>
      <c r="G1784" t="s">
        <v>6688</v>
      </c>
      <c r="H1784" t="str">
        <f>"smcr-8"</f>
        <v>smcr-8</v>
      </c>
      <c r="I1784" t="s">
        <v>6690</v>
      </c>
      <c r="J1784">
        <v>10.566944265418099</v>
      </c>
      <c r="K1784">
        <v>10.701803347173501</v>
      </c>
      <c r="L1784">
        <v>11.874768332339899</v>
      </c>
      <c r="M1784">
        <v>11.5279424633129</v>
      </c>
      <c r="N1784">
        <v>11.0691801166428</v>
      </c>
      <c r="O1784">
        <v>12.1312230630108</v>
      </c>
      <c r="P1784">
        <v>0.52827656601164497</v>
      </c>
      <c r="Q1784">
        <v>-0.259051024800525</v>
      </c>
      <c r="R1784">
        <v>1.3156041568238099</v>
      </c>
      <c r="S1784">
        <v>11.8339912566052</v>
      </c>
      <c r="T1784">
        <v>1.42316549281156</v>
      </c>
      <c r="U1784">
        <v>-5.8804269529479702</v>
      </c>
      <c r="V1784">
        <v>0.17401950233788599</v>
      </c>
      <c r="W1784">
        <v>0.77568784401157198</v>
      </c>
      <c r="X1784">
        <v>0</v>
      </c>
      <c r="Y1784">
        <v>0</v>
      </c>
    </row>
    <row r="1785" spans="1:25" x14ac:dyDescent="0.2">
      <c r="A1785" t="s">
        <v>6691</v>
      </c>
      <c r="B1785" t="s">
        <v>6692</v>
      </c>
      <c r="C1785" t="s">
        <v>6693</v>
      </c>
      <c r="D1785" t="s">
        <v>6694</v>
      </c>
      <c r="E1785" t="s">
        <v>6692</v>
      </c>
      <c r="F1785" t="s">
        <v>28</v>
      </c>
      <c r="G1785" t="s">
        <v>6692</v>
      </c>
      <c r="H1785" t="str">
        <f>"ufd-2"</f>
        <v>ufd-2</v>
      </c>
      <c r="I1785" t="s">
        <v>6694</v>
      </c>
      <c r="J1785">
        <v>13.637591259580001</v>
      </c>
      <c r="K1785">
        <v>13.700818571668201</v>
      </c>
      <c r="L1785">
        <v>13.5610632040729</v>
      </c>
      <c r="M1785">
        <v>13.305969587460501</v>
      </c>
      <c r="N1785">
        <v>13.6171649315122</v>
      </c>
      <c r="O1785">
        <v>13.5225636752873</v>
      </c>
      <c r="P1785">
        <v>-0.15125828035370301</v>
      </c>
      <c r="Q1785">
        <v>-0.50699755649826095</v>
      </c>
      <c r="R1785">
        <v>0.20448099579085399</v>
      </c>
      <c r="S1785">
        <v>13.569534009511599</v>
      </c>
      <c r="T1785">
        <v>-0.89367550570052701</v>
      </c>
      <c r="U1785">
        <v>-6.4743304072372698</v>
      </c>
      <c r="V1785">
        <v>0.383357259324832</v>
      </c>
      <c r="W1785">
        <v>0.90036200355189999</v>
      </c>
      <c r="X1785">
        <v>0</v>
      </c>
      <c r="Y1785">
        <v>0</v>
      </c>
    </row>
    <row r="1786" spans="1:25" x14ac:dyDescent="0.2">
      <c r="A1786" t="s">
        <v>6695</v>
      </c>
      <c r="B1786" t="s">
        <v>6696</v>
      </c>
      <c r="C1786" t="s">
        <v>6697</v>
      </c>
      <c r="D1786" t="s">
        <v>6698</v>
      </c>
      <c r="E1786" t="s">
        <v>6696</v>
      </c>
      <c r="F1786" t="s">
        <v>28</v>
      </c>
      <c r="G1786" t="s">
        <v>6696</v>
      </c>
      <c r="H1786" t="str">
        <f>"ulp-1"</f>
        <v>ulp-1</v>
      </c>
      <c r="I1786" t="s">
        <v>6698</v>
      </c>
      <c r="J1786">
        <v>11.184564242395799</v>
      </c>
      <c r="K1786" t="s">
        <v>29</v>
      </c>
      <c r="L1786" t="s">
        <v>29</v>
      </c>
      <c r="M1786" t="s">
        <v>29</v>
      </c>
      <c r="N1786" t="s">
        <v>29</v>
      </c>
      <c r="O1786" t="s">
        <v>29</v>
      </c>
      <c r="P1786" t="s">
        <v>29</v>
      </c>
      <c r="Q1786" t="s">
        <v>29</v>
      </c>
      <c r="R1786" t="s">
        <v>29</v>
      </c>
      <c r="S1786">
        <v>11.884219659207499</v>
      </c>
      <c r="T1786" t="s">
        <v>29</v>
      </c>
      <c r="U1786" t="s">
        <v>29</v>
      </c>
      <c r="V1786" t="s">
        <v>29</v>
      </c>
      <c r="W1786" t="s">
        <v>29</v>
      </c>
      <c r="X1786" t="s">
        <v>29</v>
      </c>
      <c r="Y1786" t="s">
        <v>29</v>
      </c>
    </row>
    <row r="1787" spans="1:25" x14ac:dyDescent="0.2">
      <c r="A1787" t="s">
        <v>6699</v>
      </c>
      <c r="B1787" t="s">
        <v>6700</v>
      </c>
      <c r="C1787" t="s">
        <v>6701</v>
      </c>
      <c r="D1787" t="s">
        <v>6702</v>
      </c>
      <c r="E1787" t="s">
        <v>6700</v>
      </c>
      <c r="F1787" t="s">
        <v>28</v>
      </c>
      <c r="G1787" t="s">
        <v>6700</v>
      </c>
      <c r="H1787" t="str">
        <f>"ZK1307.1"</f>
        <v>ZK1307.1</v>
      </c>
      <c r="I1787" t="s">
        <v>6702</v>
      </c>
      <c r="J1787">
        <v>12.5254271454058</v>
      </c>
      <c r="K1787" t="s">
        <v>29</v>
      </c>
      <c r="L1787">
        <v>13.030604311559401</v>
      </c>
      <c r="M1787">
        <v>14.802984349952601</v>
      </c>
      <c r="N1787">
        <v>14.898023216535501</v>
      </c>
      <c r="O1787">
        <v>14.6202225622299</v>
      </c>
      <c r="P1787">
        <v>1.9957276477567001</v>
      </c>
      <c r="Q1787">
        <v>1.0085991524686999</v>
      </c>
      <c r="R1787">
        <v>2.9828561430447098</v>
      </c>
      <c r="S1787">
        <v>14.489197881360599</v>
      </c>
      <c r="T1787">
        <v>4.2882205613350699</v>
      </c>
      <c r="U1787">
        <v>-0.40355052784073903</v>
      </c>
      <c r="V1787">
        <v>5.7220492113193005E-4</v>
      </c>
      <c r="W1787">
        <v>2.0476322339000701E-2</v>
      </c>
      <c r="X1787">
        <v>1</v>
      </c>
      <c r="Y1787">
        <v>1</v>
      </c>
    </row>
    <row r="1788" spans="1:25" x14ac:dyDescent="0.2">
      <c r="A1788" t="s">
        <v>6703</v>
      </c>
      <c r="B1788" t="s">
        <v>6704</v>
      </c>
      <c r="C1788" t="s">
        <v>6705</v>
      </c>
      <c r="D1788" t="s">
        <v>6706</v>
      </c>
      <c r="E1788" t="s">
        <v>6704</v>
      </c>
      <c r="F1788" t="s">
        <v>28</v>
      </c>
      <c r="G1788" t="s">
        <v>6704</v>
      </c>
      <c r="H1788" t="str">
        <f>"aqp-10"</f>
        <v>aqp-10</v>
      </c>
      <c r="I1788" t="s">
        <v>6706</v>
      </c>
      <c r="J1788">
        <v>16.069509969994801</v>
      </c>
      <c r="K1788">
        <v>16.5221149452831</v>
      </c>
      <c r="L1788">
        <v>16.4436693082028</v>
      </c>
      <c r="M1788">
        <v>16.096039031391101</v>
      </c>
      <c r="N1788">
        <v>16.354329774428901</v>
      </c>
      <c r="O1788">
        <v>16.189549755841501</v>
      </c>
      <c r="P1788">
        <v>-0.131791887273049</v>
      </c>
      <c r="Q1788">
        <v>-0.87698680944612095</v>
      </c>
      <c r="R1788">
        <v>0.61340303490002202</v>
      </c>
      <c r="S1788">
        <v>16.500595997039699</v>
      </c>
      <c r="T1788">
        <v>-0.37171604134623198</v>
      </c>
      <c r="U1788">
        <v>-6.8105746877020197</v>
      </c>
      <c r="V1788">
        <v>0.71446914819090801</v>
      </c>
      <c r="W1788">
        <v>0.98786722894487999</v>
      </c>
      <c r="X1788">
        <v>0</v>
      </c>
      <c r="Y1788">
        <v>0</v>
      </c>
    </row>
    <row r="1789" spans="1:25" x14ac:dyDescent="0.2">
      <c r="A1789" t="s">
        <v>6707</v>
      </c>
      <c r="B1789" t="s">
        <v>6708</v>
      </c>
      <c r="C1789" t="s">
        <v>6709</v>
      </c>
      <c r="D1789" t="s">
        <v>6710</v>
      </c>
      <c r="E1789" t="s">
        <v>6708</v>
      </c>
      <c r="F1789" t="s">
        <v>28</v>
      </c>
      <c r="G1789" t="s">
        <v>6708</v>
      </c>
      <c r="H1789" t="str">
        <f>"npp-24"</f>
        <v>npp-24</v>
      </c>
      <c r="I1789" t="s">
        <v>6710</v>
      </c>
      <c r="J1789">
        <v>13.481084197691899</v>
      </c>
      <c r="K1789">
        <v>13.4643747708402</v>
      </c>
      <c r="L1789">
        <v>13.3051135676941</v>
      </c>
      <c r="M1789">
        <v>13.5215964273171</v>
      </c>
      <c r="N1789">
        <v>13.4142921433531</v>
      </c>
      <c r="O1789">
        <v>13.2451323590456</v>
      </c>
      <c r="P1789">
        <v>-2.3183868836793999E-2</v>
      </c>
      <c r="Q1789">
        <v>-0.36870566111277803</v>
      </c>
      <c r="R1789">
        <v>0.32233792343918999</v>
      </c>
      <c r="S1789">
        <v>13.188968971687499</v>
      </c>
      <c r="T1789">
        <v>-0.14231805412118101</v>
      </c>
      <c r="U1789">
        <v>-6.8718430519026201</v>
      </c>
      <c r="V1789">
        <v>0.88861712502450896</v>
      </c>
      <c r="W1789">
        <v>0.99702926582654094</v>
      </c>
      <c r="X1789">
        <v>0</v>
      </c>
      <c r="Y1789">
        <v>0</v>
      </c>
    </row>
    <row r="1790" spans="1:25" x14ac:dyDescent="0.2">
      <c r="A1790" t="s">
        <v>6711</v>
      </c>
      <c r="B1790" t="s">
        <v>6712</v>
      </c>
      <c r="C1790" t="s">
        <v>6713</v>
      </c>
      <c r="D1790" t="s">
        <v>6714</v>
      </c>
      <c r="E1790" t="s">
        <v>6712</v>
      </c>
      <c r="F1790" t="s">
        <v>28</v>
      </c>
      <c r="G1790" t="s">
        <v>6712</v>
      </c>
      <c r="H1790" t="str">
        <f>"fzy-1"</f>
        <v>fzy-1</v>
      </c>
      <c r="I1790" t="s">
        <v>6714</v>
      </c>
      <c r="J1790">
        <v>13.8034848860569</v>
      </c>
      <c r="K1790">
        <v>13.752762125555799</v>
      </c>
      <c r="L1790">
        <v>13.744109438041299</v>
      </c>
      <c r="M1790">
        <v>13.8018315330647</v>
      </c>
      <c r="N1790">
        <v>13.4193182822825</v>
      </c>
      <c r="O1790">
        <v>13.7877369890653</v>
      </c>
      <c r="P1790">
        <v>-9.71565484138424E-2</v>
      </c>
      <c r="Q1790">
        <v>-0.46427812030008803</v>
      </c>
      <c r="R1790">
        <v>0.26996502347240398</v>
      </c>
      <c r="S1790">
        <v>13.4931027414813</v>
      </c>
      <c r="T1790">
        <v>-0.55623035603625104</v>
      </c>
      <c r="U1790">
        <v>-6.7222285255830503</v>
      </c>
      <c r="V1790">
        <v>0.58494227453399095</v>
      </c>
      <c r="W1790">
        <v>0.963273565916412</v>
      </c>
      <c r="X1790">
        <v>0</v>
      </c>
      <c r="Y1790">
        <v>0</v>
      </c>
    </row>
    <row r="1791" spans="1:25" x14ac:dyDescent="0.2">
      <c r="A1791" t="s">
        <v>6715</v>
      </c>
      <c r="B1791" t="s">
        <v>6716</v>
      </c>
      <c r="C1791" t="s">
        <v>6717</v>
      </c>
      <c r="D1791" t="s">
        <v>6718</v>
      </c>
      <c r="E1791" t="s">
        <v>6716</v>
      </c>
      <c r="F1791" t="s">
        <v>28</v>
      </c>
      <c r="G1791" t="s">
        <v>6716</v>
      </c>
      <c r="H1791" t="str">
        <f>"sahd-1"</f>
        <v>sahd-1</v>
      </c>
      <c r="I1791" t="s">
        <v>6718</v>
      </c>
      <c r="J1791">
        <v>13.108874902194801</v>
      </c>
      <c r="K1791">
        <v>13.8445263450227</v>
      </c>
      <c r="L1791">
        <v>13.2009884608585</v>
      </c>
      <c r="M1791">
        <v>13.2304791314005</v>
      </c>
      <c r="N1791">
        <v>13.565618777298299</v>
      </c>
      <c r="O1791">
        <v>13.1298784208574</v>
      </c>
      <c r="P1791">
        <v>-7.6137792839945803E-2</v>
      </c>
      <c r="Q1791">
        <v>-0.57915366887993702</v>
      </c>
      <c r="R1791">
        <v>0.426878083200045</v>
      </c>
      <c r="S1791">
        <v>13.0816646851538</v>
      </c>
      <c r="T1791">
        <v>-0.31949833825770302</v>
      </c>
      <c r="U1791">
        <v>-6.8291489570595596</v>
      </c>
      <c r="V1791">
        <v>0.75326540084652105</v>
      </c>
      <c r="W1791">
        <v>0.99278624068726296</v>
      </c>
      <c r="X1791">
        <v>0</v>
      </c>
      <c r="Y1791">
        <v>0</v>
      </c>
    </row>
    <row r="1792" spans="1:25" x14ac:dyDescent="0.2">
      <c r="A1792" t="s">
        <v>6719</v>
      </c>
      <c r="B1792" t="s">
        <v>6720</v>
      </c>
      <c r="C1792" t="s">
        <v>6721</v>
      </c>
      <c r="D1792" t="s">
        <v>3358</v>
      </c>
      <c r="E1792" t="s">
        <v>6720</v>
      </c>
      <c r="F1792" t="s">
        <v>28</v>
      </c>
      <c r="G1792" t="s">
        <v>6720</v>
      </c>
      <c r="H1792" t="str">
        <f>"skpt-1"</f>
        <v>skpt-1</v>
      </c>
      <c r="I1792" t="s">
        <v>3358</v>
      </c>
      <c r="J1792">
        <v>11.3100960990029</v>
      </c>
      <c r="K1792" t="s">
        <v>29</v>
      </c>
      <c r="L1792">
        <v>11.946097919939801</v>
      </c>
      <c r="M1792">
        <v>11.1361585878543</v>
      </c>
      <c r="N1792">
        <v>11.864155469070401</v>
      </c>
      <c r="O1792" t="s">
        <v>29</v>
      </c>
      <c r="P1792">
        <v>-0.12793998100901</v>
      </c>
      <c r="Q1792">
        <v>-0.95244785671681198</v>
      </c>
      <c r="R1792">
        <v>0.69656789469879099</v>
      </c>
      <c r="S1792">
        <v>11.9982126974185</v>
      </c>
      <c r="T1792">
        <v>-0.33842036227305999</v>
      </c>
      <c r="U1792">
        <v>-6.6215012648914904</v>
      </c>
      <c r="V1792">
        <v>0.74094488950344195</v>
      </c>
      <c r="W1792">
        <v>0.99147544347995398</v>
      </c>
      <c r="X1792">
        <v>0</v>
      </c>
      <c r="Y1792">
        <v>0</v>
      </c>
    </row>
    <row r="1793" spans="1:25" x14ac:dyDescent="0.2">
      <c r="A1793" t="s">
        <v>6722</v>
      </c>
      <c r="B1793" t="s">
        <v>6723</v>
      </c>
      <c r="C1793" t="s">
        <v>6724</v>
      </c>
      <c r="D1793" t="s">
        <v>6725</v>
      </c>
      <c r="E1793" t="s">
        <v>6723</v>
      </c>
      <c r="F1793" t="s">
        <v>28</v>
      </c>
      <c r="G1793" t="s">
        <v>6723</v>
      </c>
      <c r="H1793" t="str">
        <f>"cid-1"</f>
        <v>cid-1</v>
      </c>
      <c r="I1793" t="s">
        <v>6725</v>
      </c>
      <c r="J1793">
        <v>14.1798527774185</v>
      </c>
      <c r="K1793">
        <v>14.1340291027483</v>
      </c>
      <c r="L1793">
        <v>14.1188513521762</v>
      </c>
      <c r="M1793">
        <v>14.229136474628699</v>
      </c>
      <c r="N1793">
        <v>14.4423028897781</v>
      </c>
      <c r="O1793">
        <v>14.083091376357199</v>
      </c>
      <c r="P1793">
        <v>0.107265836140337</v>
      </c>
      <c r="Q1793">
        <v>-0.29396809589345002</v>
      </c>
      <c r="R1793">
        <v>0.50849976817412501</v>
      </c>
      <c r="S1793">
        <v>14.475279938462901</v>
      </c>
      <c r="T1793">
        <v>0.56189644156442697</v>
      </c>
      <c r="U1793">
        <v>-6.7189757004405299</v>
      </c>
      <c r="V1793">
        <v>0.58115684727887695</v>
      </c>
      <c r="W1793">
        <v>0.96271278633355095</v>
      </c>
      <c r="X1793">
        <v>0</v>
      </c>
      <c r="Y1793">
        <v>0</v>
      </c>
    </row>
    <row r="1794" spans="1:25" x14ac:dyDescent="0.2">
      <c r="A1794" t="s">
        <v>6726</v>
      </c>
      <c r="B1794" t="s">
        <v>6727</v>
      </c>
      <c r="C1794" t="s">
        <v>6728</v>
      </c>
      <c r="D1794" t="s">
        <v>6729</v>
      </c>
      <c r="E1794" t="s">
        <v>6727</v>
      </c>
      <c r="F1794" t="s">
        <v>28</v>
      </c>
      <c r="G1794" t="s">
        <v>6727</v>
      </c>
      <c r="H1794" t="str">
        <f>"R06F6.8"</f>
        <v>R06F6.8</v>
      </c>
      <c r="I1794" t="s">
        <v>6729</v>
      </c>
      <c r="J1794">
        <v>11.9658841376583</v>
      </c>
      <c r="K1794">
        <v>10.729286832097801</v>
      </c>
      <c r="L1794">
        <v>11.486265209060999</v>
      </c>
      <c r="M1794">
        <v>11.8908535222611</v>
      </c>
      <c r="N1794">
        <v>11.8514044021119</v>
      </c>
      <c r="O1794" t="s">
        <v>29</v>
      </c>
      <c r="P1794">
        <v>0.47731690258075699</v>
      </c>
      <c r="Q1794">
        <v>-6.38403925158159E-2</v>
      </c>
      <c r="R1794">
        <v>1.0184741976773299</v>
      </c>
      <c r="S1794">
        <v>11.957923328106499</v>
      </c>
      <c r="T1794">
        <v>1.87082354138623</v>
      </c>
      <c r="U1794">
        <v>-5.11494410475962</v>
      </c>
      <c r="V1794">
        <v>7.9896121375235593E-2</v>
      </c>
      <c r="W1794">
        <v>0.60076942510977904</v>
      </c>
      <c r="X1794">
        <v>0</v>
      </c>
      <c r="Y1794">
        <v>0</v>
      </c>
    </row>
    <row r="1795" spans="1:25" x14ac:dyDescent="0.2">
      <c r="A1795" t="s">
        <v>6730</v>
      </c>
      <c r="B1795" t="s">
        <v>6731</v>
      </c>
      <c r="C1795" t="s">
        <v>6732</v>
      </c>
      <c r="D1795" t="s">
        <v>6733</v>
      </c>
      <c r="E1795" t="s">
        <v>6731</v>
      </c>
      <c r="F1795" t="s">
        <v>28</v>
      </c>
      <c r="G1795" t="s">
        <v>6731</v>
      </c>
      <c r="H1795" t="str">
        <f>"pgam-5"</f>
        <v>pgam-5</v>
      </c>
      <c r="I1795" t="s">
        <v>6733</v>
      </c>
      <c r="J1795">
        <v>11.3883188531071</v>
      </c>
      <c r="K1795" t="s">
        <v>29</v>
      </c>
      <c r="L1795">
        <v>12.518480286633601</v>
      </c>
      <c r="M1795">
        <v>12.576488462458901</v>
      </c>
      <c r="N1795">
        <v>11.9568568000163</v>
      </c>
      <c r="O1795">
        <v>12.584664342021901</v>
      </c>
      <c r="P1795">
        <v>0.41927029829536999</v>
      </c>
      <c r="Q1795">
        <v>-0.385015088696332</v>
      </c>
      <c r="R1795">
        <v>1.2235556852870699</v>
      </c>
      <c r="S1795">
        <v>12.8742572788962</v>
      </c>
      <c r="T1795">
        <v>1.11179707003163</v>
      </c>
      <c r="U1795">
        <v>-6.1470785188229202</v>
      </c>
      <c r="V1795">
        <v>0.283849067677793</v>
      </c>
      <c r="W1795">
        <v>0.856190392347986</v>
      </c>
      <c r="X1795">
        <v>0</v>
      </c>
      <c r="Y1795">
        <v>0</v>
      </c>
    </row>
    <row r="1796" spans="1:25" x14ac:dyDescent="0.2">
      <c r="A1796" t="s">
        <v>6734</v>
      </c>
      <c r="B1796" t="s">
        <v>6735</v>
      </c>
      <c r="C1796" t="s">
        <v>6736</v>
      </c>
      <c r="D1796" t="s">
        <v>6737</v>
      </c>
      <c r="E1796" t="s">
        <v>6735</v>
      </c>
      <c r="F1796" t="s">
        <v>28</v>
      </c>
      <c r="G1796" t="s">
        <v>6735</v>
      </c>
      <c r="H1796" t="str">
        <f>"mex-6"</f>
        <v>mex-6</v>
      </c>
      <c r="I1796" t="s">
        <v>6737</v>
      </c>
      <c r="J1796">
        <v>11.9172959066197</v>
      </c>
      <c r="K1796" t="s">
        <v>29</v>
      </c>
      <c r="L1796">
        <v>12.474483984620001</v>
      </c>
      <c r="M1796" t="s">
        <v>29</v>
      </c>
      <c r="N1796">
        <v>12.0701289186084</v>
      </c>
      <c r="O1796" t="s">
        <v>29</v>
      </c>
      <c r="P1796">
        <v>-0.125761027011452</v>
      </c>
      <c r="Q1796">
        <v>-0.87099340803518099</v>
      </c>
      <c r="R1796">
        <v>0.61947135401227804</v>
      </c>
      <c r="S1796">
        <v>13.382268463050099</v>
      </c>
      <c r="T1796">
        <v>-0.37186221471602798</v>
      </c>
      <c r="U1796">
        <v>-6.4101430414192704</v>
      </c>
      <c r="V1796">
        <v>0.71712642383057601</v>
      </c>
      <c r="W1796">
        <v>0.98786722894487999</v>
      </c>
      <c r="X1796">
        <v>0</v>
      </c>
      <c r="Y1796">
        <v>0</v>
      </c>
    </row>
    <row r="1797" spans="1:25" x14ac:dyDescent="0.2">
      <c r="A1797" t="s">
        <v>6738</v>
      </c>
      <c r="B1797" t="s">
        <v>6739</v>
      </c>
      <c r="C1797" t="s">
        <v>6740</v>
      </c>
      <c r="D1797" t="s">
        <v>6741</v>
      </c>
      <c r="E1797" t="s">
        <v>6739</v>
      </c>
      <c r="F1797" t="s">
        <v>28</v>
      </c>
      <c r="G1797" t="s">
        <v>6739</v>
      </c>
      <c r="H1797" t="str">
        <f>"cdk-11.1"</f>
        <v>cdk-11.1</v>
      </c>
      <c r="I1797" t="s">
        <v>6741</v>
      </c>
      <c r="J1797" t="s">
        <v>29</v>
      </c>
      <c r="K1797" t="s">
        <v>29</v>
      </c>
      <c r="L1797" t="s">
        <v>29</v>
      </c>
      <c r="M1797" t="s">
        <v>29</v>
      </c>
      <c r="N1797" t="s">
        <v>29</v>
      </c>
      <c r="O1797" t="s">
        <v>29</v>
      </c>
      <c r="P1797" t="s">
        <v>29</v>
      </c>
      <c r="Q1797" t="s">
        <v>29</v>
      </c>
      <c r="R1797" t="s">
        <v>29</v>
      </c>
      <c r="S1797">
        <v>12.691733815594599</v>
      </c>
      <c r="T1797" t="s">
        <v>29</v>
      </c>
      <c r="U1797" t="s">
        <v>29</v>
      </c>
      <c r="V1797" t="s">
        <v>29</v>
      </c>
      <c r="W1797" t="s">
        <v>29</v>
      </c>
      <c r="X1797" t="s">
        <v>29</v>
      </c>
      <c r="Y1797" t="s">
        <v>29</v>
      </c>
    </row>
    <row r="1798" spans="1:25" x14ac:dyDescent="0.2">
      <c r="A1798" t="s">
        <v>6742</v>
      </c>
      <c r="B1798" t="s">
        <v>6743</v>
      </c>
      <c r="C1798" t="s">
        <v>6744</v>
      </c>
      <c r="D1798" t="s">
        <v>6745</v>
      </c>
      <c r="E1798" t="s">
        <v>6743</v>
      </c>
      <c r="F1798" t="s">
        <v>28</v>
      </c>
      <c r="G1798" t="s">
        <v>6743</v>
      </c>
      <c r="H1798" t="str">
        <f>"C08B11.3"</f>
        <v>C08B11.3</v>
      </c>
      <c r="I1798" t="s">
        <v>6745</v>
      </c>
      <c r="J1798">
        <v>13.149920330439899</v>
      </c>
      <c r="K1798">
        <v>13.248018226035599</v>
      </c>
      <c r="L1798">
        <v>13.0874619063101</v>
      </c>
      <c r="M1798">
        <v>13.129446049430801</v>
      </c>
      <c r="N1798">
        <v>13.025112869313601</v>
      </c>
      <c r="O1798">
        <v>13.0928733126889</v>
      </c>
      <c r="P1798">
        <v>-7.9322743784093305E-2</v>
      </c>
      <c r="Q1798">
        <v>-0.51922621318181605</v>
      </c>
      <c r="R1798">
        <v>0.36058072561363003</v>
      </c>
      <c r="S1798">
        <v>13.360352185017399</v>
      </c>
      <c r="T1798">
        <v>-0.38061890376473301</v>
      </c>
      <c r="U1798">
        <v>-6.8068847997699402</v>
      </c>
      <c r="V1798">
        <v>0.70822925661003999</v>
      </c>
      <c r="W1798">
        <v>0.98701296733593502</v>
      </c>
      <c r="X1798">
        <v>0</v>
      </c>
      <c r="Y1798">
        <v>0</v>
      </c>
    </row>
    <row r="1799" spans="1:25" x14ac:dyDescent="0.2">
      <c r="A1799" t="s">
        <v>6746</v>
      </c>
      <c r="B1799" t="s">
        <v>6747</v>
      </c>
      <c r="C1799" t="s">
        <v>6748</v>
      </c>
      <c r="D1799" t="s">
        <v>6749</v>
      </c>
      <c r="E1799" t="s">
        <v>6747</v>
      </c>
      <c r="F1799" t="s">
        <v>28</v>
      </c>
      <c r="G1799" t="s">
        <v>6747</v>
      </c>
      <c r="H1799" t="str">
        <f>"sap-49"</f>
        <v>sap-49</v>
      </c>
      <c r="I1799" t="s">
        <v>6749</v>
      </c>
      <c r="J1799">
        <v>11.173645008817701</v>
      </c>
      <c r="K1799">
        <v>12.454680311186999</v>
      </c>
      <c r="L1799">
        <v>11.6758353926077</v>
      </c>
      <c r="M1799">
        <v>11.741243373603799</v>
      </c>
      <c r="N1799">
        <v>12.0458903392861</v>
      </c>
      <c r="O1799">
        <v>12.2941661931815</v>
      </c>
      <c r="P1799">
        <v>0.259046397819651</v>
      </c>
      <c r="Q1799">
        <v>-0.43176696087674499</v>
      </c>
      <c r="R1799">
        <v>0.94985975651604604</v>
      </c>
      <c r="S1799">
        <v>12.570620226338001</v>
      </c>
      <c r="T1799">
        <v>0.80483846326446096</v>
      </c>
      <c r="U1799">
        <v>-6.5467259742910402</v>
      </c>
      <c r="V1799">
        <v>0.43446888534993</v>
      </c>
      <c r="W1799">
        <v>0.91629432854535298</v>
      </c>
      <c r="X1799">
        <v>0</v>
      </c>
      <c r="Y1799">
        <v>0</v>
      </c>
    </row>
    <row r="1800" spans="1:25" x14ac:dyDescent="0.2">
      <c r="A1800" t="s">
        <v>6750</v>
      </c>
      <c r="B1800" t="s">
        <v>6751</v>
      </c>
      <c r="C1800" t="s">
        <v>6752</v>
      </c>
      <c r="D1800" t="s">
        <v>6753</v>
      </c>
      <c r="E1800" t="s">
        <v>6751</v>
      </c>
      <c r="F1800" t="s">
        <v>28</v>
      </c>
      <c r="G1800" t="s">
        <v>6751</v>
      </c>
      <c r="H1800" t="str">
        <f>"arp-6"</f>
        <v>arp-6</v>
      </c>
      <c r="I1800" t="s">
        <v>6753</v>
      </c>
      <c r="J1800" t="s">
        <v>29</v>
      </c>
      <c r="K1800" t="s">
        <v>29</v>
      </c>
      <c r="L1800" t="s">
        <v>29</v>
      </c>
      <c r="M1800" t="s">
        <v>29</v>
      </c>
      <c r="N1800" t="s">
        <v>29</v>
      </c>
      <c r="O1800" t="s">
        <v>29</v>
      </c>
      <c r="P1800" t="s">
        <v>29</v>
      </c>
      <c r="Q1800" t="s">
        <v>29</v>
      </c>
      <c r="R1800" t="s">
        <v>29</v>
      </c>
      <c r="S1800">
        <v>11.1903512473575</v>
      </c>
      <c r="T1800" t="s">
        <v>29</v>
      </c>
      <c r="U1800" t="s">
        <v>29</v>
      </c>
      <c r="V1800" t="s">
        <v>29</v>
      </c>
      <c r="W1800" t="s">
        <v>29</v>
      </c>
      <c r="X1800" t="s">
        <v>29</v>
      </c>
      <c r="Y1800" t="s">
        <v>29</v>
      </c>
    </row>
    <row r="1801" spans="1:25" x14ac:dyDescent="0.2">
      <c r="A1801" t="s">
        <v>6754</v>
      </c>
      <c r="B1801" t="s">
        <v>6755</v>
      </c>
      <c r="C1801" t="s">
        <v>6756</v>
      </c>
      <c r="D1801" t="s">
        <v>6757</v>
      </c>
      <c r="E1801" t="s">
        <v>6755</v>
      </c>
      <c r="F1801" t="s">
        <v>28</v>
      </c>
      <c r="G1801" t="s">
        <v>6755</v>
      </c>
      <c r="H1801" t="str">
        <f>"ubh-4"</f>
        <v>ubh-4</v>
      </c>
      <c r="I1801" t="s">
        <v>6757</v>
      </c>
      <c r="J1801">
        <v>15.033986693059999</v>
      </c>
      <c r="K1801">
        <v>14.792880947625701</v>
      </c>
      <c r="L1801">
        <v>15.015965504734901</v>
      </c>
      <c r="M1801">
        <v>14.919777542724001</v>
      </c>
      <c r="N1801">
        <v>15.4316827776452</v>
      </c>
      <c r="O1801">
        <v>15.218122748899701</v>
      </c>
      <c r="P1801">
        <v>0.24224997461614201</v>
      </c>
      <c r="Q1801">
        <v>-0.13950276007491799</v>
      </c>
      <c r="R1801">
        <v>0.62400270930720103</v>
      </c>
      <c r="S1801">
        <v>15.059825494517799</v>
      </c>
      <c r="T1801">
        <v>1.3337489684871899</v>
      </c>
      <c r="U1801">
        <v>-5.9968187355272002</v>
      </c>
      <c r="V1801">
        <v>0.199014390889138</v>
      </c>
      <c r="W1801">
        <v>0.79075284576134597</v>
      </c>
      <c r="X1801">
        <v>0</v>
      </c>
      <c r="Y1801">
        <v>0</v>
      </c>
    </row>
    <row r="1802" spans="1:25" x14ac:dyDescent="0.2">
      <c r="A1802" t="s">
        <v>6758</v>
      </c>
      <c r="B1802" t="s">
        <v>6759</v>
      </c>
      <c r="C1802" t="s">
        <v>6760</v>
      </c>
      <c r="D1802" t="s">
        <v>6761</v>
      </c>
      <c r="E1802" t="s">
        <v>6759</v>
      </c>
      <c r="F1802" t="s">
        <v>28</v>
      </c>
      <c r="G1802" t="s">
        <v>6759</v>
      </c>
      <c r="H1802" t="str">
        <f>"dnj-5"</f>
        <v>dnj-5</v>
      </c>
      <c r="I1802" t="s">
        <v>6761</v>
      </c>
      <c r="J1802">
        <v>11.6729810329679</v>
      </c>
      <c r="K1802">
        <v>12.3744138847263</v>
      </c>
      <c r="L1802">
        <v>13.6956003953653</v>
      </c>
      <c r="M1802">
        <v>12.674209861105499</v>
      </c>
      <c r="N1802">
        <v>13.589897114177999</v>
      </c>
      <c r="O1802">
        <v>12.2229742021593</v>
      </c>
      <c r="P1802">
        <v>0.24802862146104801</v>
      </c>
      <c r="Q1802">
        <v>-0.97928729431610795</v>
      </c>
      <c r="R1802">
        <v>1.4753445372381999</v>
      </c>
      <c r="S1802">
        <v>13.1652087181214</v>
      </c>
      <c r="T1802">
        <v>0.42657504617749897</v>
      </c>
      <c r="U1802">
        <v>-6.7876299193490297</v>
      </c>
      <c r="V1802">
        <v>0.675074703271063</v>
      </c>
      <c r="W1802">
        <v>0.98642420921484297</v>
      </c>
      <c r="X1802">
        <v>0</v>
      </c>
      <c r="Y1802">
        <v>0</v>
      </c>
    </row>
    <row r="1803" spans="1:25" x14ac:dyDescent="0.2">
      <c r="A1803" t="s">
        <v>6762</v>
      </c>
      <c r="B1803" t="s">
        <v>6763</v>
      </c>
      <c r="C1803" t="s">
        <v>6764</v>
      </c>
      <c r="D1803" t="s">
        <v>6765</v>
      </c>
      <c r="E1803" t="s">
        <v>6763</v>
      </c>
      <c r="F1803" t="s">
        <v>28</v>
      </c>
      <c r="G1803" t="s">
        <v>6763</v>
      </c>
      <c r="H1803" t="str">
        <f>"C05C10.2"</f>
        <v>C05C10.2</v>
      </c>
      <c r="I1803" t="s">
        <v>6765</v>
      </c>
      <c r="J1803">
        <v>11.2445386126453</v>
      </c>
      <c r="K1803">
        <v>11.0979819446109</v>
      </c>
      <c r="L1803">
        <v>11.410969665029899</v>
      </c>
      <c r="M1803">
        <v>11.1213156012192</v>
      </c>
      <c r="N1803">
        <v>11.887282163548599</v>
      </c>
      <c r="O1803">
        <v>10.7400012286946</v>
      </c>
      <c r="P1803">
        <v>-1.63040960786631E-3</v>
      </c>
      <c r="Q1803">
        <v>-0.69650616086825001</v>
      </c>
      <c r="R1803">
        <v>0.69324534165251706</v>
      </c>
      <c r="S1803">
        <v>11.7252083990829</v>
      </c>
      <c r="T1803">
        <v>-4.9766729251850203E-3</v>
      </c>
      <c r="U1803">
        <v>-6.8824765474016303</v>
      </c>
      <c r="V1803">
        <v>0.996091131228519</v>
      </c>
      <c r="W1803">
        <v>0.99968702248720698</v>
      </c>
      <c r="X1803">
        <v>0</v>
      </c>
      <c r="Y1803">
        <v>0</v>
      </c>
    </row>
    <row r="1804" spans="1:25" x14ac:dyDescent="0.2">
      <c r="A1804" t="s">
        <v>6766</v>
      </c>
      <c r="B1804" t="s">
        <v>6767</v>
      </c>
      <c r="C1804" t="s">
        <v>6768</v>
      </c>
      <c r="D1804" t="s">
        <v>6769</v>
      </c>
      <c r="E1804" t="s">
        <v>6767</v>
      </c>
      <c r="F1804" t="s">
        <v>28</v>
      </c>
      <c r="G1804" t="s">
        <v>6767</v>
      </c>
      <c r="H1804" t="str">
        <f>"C05C10.3"</f>
        <v>C05C10.3</v>
      </c>
      <c r="I1804" t="s">
        <v>6769</v>
      </c>
      <c r="J1804">
        <v>15.5000321497433</v>
      </c>
      <c r="K1804">
        <v>15.2887788118892</v>
      </c>
      <c r="L1804">
        <v>15.4775470137872</v>
      </c>
      <c r="M1804">
        <v>15.376196077325</v>
      </c>
      <c r="N1804">
        <v>15.7089489824334</v>
      </c>
      <c r="O1804">
        <v>15.4572020715263</v>
      </c>
      <c r="P1804">
        <v>9.1996385288359406E-2</v>
      </c>
      <c r="Q1804">
        <v>-0.284862463302406</v>
      </c>
      <c r="R1804">
        <v>0.46885523387912498</v>
      </c>
      <c r="S1804">
        <v>15.504801955860399</v>
      </c>
      <c r="T1804">
        <v>0.51307937812504201</v>
      </c>
      <c r="U1804">
        <v>-6.7459539394211703</v>
      </c>
      <c r="V1804">
        <v>0.61417165131659401</v>
      </c>
      <c r="W1804">
        <v>0.97238011246645495</v>
      </c>
      <c r="X1804">
        <v>0</v>
      </c>
      <c r="Y1804">
        <v>0</v>
      </c>
    </row>
    <row r="1805" spans="1:25" x14ac:dyDescent="0.2">
      <c r="A1805" t="s">
        <v>6770</v>
      </c>
      <c r="B1805" t="s">
        <v>6771</v>
      </c>
      <c r="C1805" t="s">
        <v>6772</v>
      </c>
      <c r="D1805" t="s">
        <v>6773</v>
      </c>
      <c r="E1805" t="s">
        <v>6771</v>
      </c>
      <c r="F1805" t="s">
        <v>28</v>
      </c>
      <c r="G1805" t="s">
        <v>6771</v>
      </c>
      <c r="H1805" t="str">
        <f>"col-39"</f>
        <v>col-39</v>
      </c>
      <c r="I1805" t="s">
        <v>6773</v>
      </c>
      <c r="J1805" t="s">
        <v>29</v>
      </c>
      <c r="K1805">
        <v>11.4706792241945</v>
      </c>
      <c r="L1805">
        <v>12.015391516702101</v>
      </c>
      <c r="M1805">
        <v>12.074798723449</v>
      </c>
      <c r="N1805">
        <v>11.9444882816678</v>
      </c>
      <c r="O1805">
        <v>12.209052099588099</v>
      </c>
      <c r="P1805">
        <v>0.33307766445333298</v>
      </c>
      <c r="Q1805">
        <v>-0.219304534341318</v>
      </c>
      <c r="R1805">
        <v>0.88545986324798298</v>
      </c>
      <c r="S1805">
        <v>11.6313301138653</v>
      </c>
      <c r="T1805">
        <v>1.3037462753239499</v>
      </c>
      <c r="U1805">
        <v>-5.9237084786076597</v>
      </c>
      <c r="V1805">
        <v>0.21511536416362001</v>
      </c>
      <c r="W1805">
        <v>0.79508962856638699</v>
      </c>
      <c r="X1805">
        <v>0</v>
      </c>
      <c r="Y1805">
        <v>0</v>
      </c>
    </row>
    <row r="1806" spans="1:25" x14ac:dyDescent="0.2">
      <c r="A1806" t="s">
        <v>6774</v>
      </c>
      <c r="B1806" t="s">
        <v>6775</v>
      </c>
      <c r="C1806" t="s">
        <v>6776</v>
      </c>
      <c r="D1806" t="s">
        <v>6777</v>
      </c>
      <c r="E1806" t="s">
        <v>6775</v>
      </c>
      <c r="F1806" t="s">
        <v>28</v>
      </c>
      <c r="G1806" t="s">
        <v>6775</v>
      </c>
      <c r="H1806" t="str">
        <f>"C16C10.2"</f>
        <v>C16C10.2</v>
      </c>
      <c r="I1806" t="s">
        <v>6777</v>
      </c>
      <c r="J1806" t="s">
        <v>29</v>
      </c>
      <c r="K1806" t="s">
        <v>29</v>
      </c>
      <c r="L1806">
        <v>10.8528105195204</v>
      </c>
      <c r="M1806" t="s">
        <v>29</v>
      </c>
      <c r="N1806">
        <v>11.2873356302569</v>
      </c>
      <c r="O1806" t="s">
        <v>29</v>
      </c>
      <c r="P1806">
        <v>0.43452511073647299</v>
      </c>
      <c r="Q1806">
        <v>-1.0330128857085401</v>
      </c>
      <c r="R1806">
        <v>1.90206310718149</v>
      </c>
      <c r="S1806">
        <v>12.355522348865801</v>
      </c>
      <c r="T1806">
        <v>0.66068190878379496</v>
      </c>
      <c r="U1806">
        <v>-6.1155071933679102</v>
      </c>
      <c r="V1806">
        <v>0.52389885255907698</v>
      </c>
      <c r="W1806">
        <v>0.94245155746843701</v>
      </c>
      <c r="X1806">
        <v>0</v>
      </c>
      <c r="Y1806">
        <v>0</v>
      </c>
    </row>
    <row r="1807" spans="1:25" x14ac:dyDescent="0.2">
      <c r="A1807" t="s">
        <v>6778</v>
      </c>
      <c r="B1807" t="s">
        <v>6779</v>
      </c>
      <c r="C1807" t="s">
        <v>6780</v>
      </c>
      <c r="D1807" t="s">
        <v>6781</v>
      </c>
      <c r="E1807" t="s">
        <v>6779</v>
      </c>
      <c r="F1807" t="s">
        <v>28</v>
      </c>
      <c r="G1807" t="s">
        <v>6779</v>
      </c>
      <c r="H1807" t="str">
        <f>"C16C10.8"</f>
        <v>C16C10.8</v>
      </c>
      <c r="I1807" t="s">
        <v>6781</v>
      </c>
      <c r="J1807" t="s">
        <v>29</v>
      </c>
      <c r="K1807" t="s">
        <v>29</v>
      </c>
      <c r="L1807" t="s">
        <v>29</v>
      </c>
      <c r="M1807">
        <v>11.723206440584599</v>
      </c>
      <c r="N1807" t="s">
        <v>29</v>
      </c>
      <c r="O1807" t="s">
        <v>29</v>
      </c>
      <c r="P1807" t="s">
        <v>29</v>
      </c>
      <c r="Q1807" t="s">
        <v>29</v>
      </c>
      <c r="R1807" t="s">
        <v>29</v>
      </c>
      <c r="S1807">
        <v>13.2910608164353</v>
      </c>
      <c r="T1807" t="s">
        <v>29</v>
      </c>
      <c r="U1807" t="s">
        <v>29</v>
      </c>
      <c r="V1807" t="s">
        <v>29</v>
      </c>
      <c r="W1807" t="s">
        <v>29</v>
      </c>
      <c r="X1807" t="s">
        <v>29</v>
      </c>
      <c r="Y1807" t="s">
        <v>29</v>
      </c>
    </row>
    <row r="1808" spans="1:25" x14ac:dyDescent="0.2">
      <c r="A1808" t="s">
        <v>6782</v>
      </c>
      <c r="B1808" t="s">
        <v>6783</v>
      </c>
      <c r="C1808" t="s">
        <v>6784</v>
      </c>
      <c r="D1808" t="s">
        <v>6785</v>
      </c>
      <c r="E1808" t="s">
        <v>6783</v>
      </c>
      <c r="F1808" t="s">
        <v>28</v>
      </c>
      <c r="G1808" t="s">
        <v>6783</v>
      </c>
      <c r="H1808" t="str">
        <f>"tdo-2"</f>
        <v>tdo-2</v>
      </c>
      <c r="I1808" t="s">
        <v>6785</v>
      </c>
      <c r="J1808">
        <v>12.4614333638552</v>
      </c>
      <c r="K1808">
        <v>12.601271399343601</v>
      </c>
      <c r="L1808">
        <v>13.832710655138801</v>
      </c>
      <c r="M1808">
        <v>14.9544117457979</v>
      </c>
      <c r="N1808">
        <v>14.7536221579354</v>
      </c>
      <c r="O1808">
        <v>14.4245450916856</v>
      </c>
      <c r="P1808">
        <v>1.7457211923604401</v>
      </c>
      <c r="Q1808">
        <v>0.84316136965623401</v>
      </c>
      <c r="R1808">
        <v>2.6482810150646499</v>
      </c>
      <c r="S1808">
        <v>14.862413876385</v>
      </c>
      <c r="T1808">
        <v>4.0652887689272497</v>
      </c>
      <c r="U1808">
        <v>-0.79180886661236904</v>
      </c>
      <c r="V1808">
        <v>7.3382520651175595E-4</v>
      </c>
      <c r="W1808">
        <v>2.4421702872711198E-2</v>
      </c>
      <c r="X1808">
        <v>1</v>
      </c>
      <c r="Y1808">
        <v>1</v>
      </c>
    </row>
    <row r="1809" spans="1:25" x14ac:dyDescent="0.2">
      <c r="A1809" t="s">
        <v>6786</v>
      </c>
      <c r="B1809" t="s">
        <v>6787</v>
      </c>
      <c r="C1809" t="s">
        <v>6788</v>
      </c>
      <c r="D1809" t="s">
        <v>6789</v>
      </c>
      <c r="E1809" t="s">
        <v>6787</v>
      </c>
      <c r="F1809" t="s">
        <v>28</v>
      </c>
      <c r="G1809" t="s">
        <v>6787</v>
      </c>
      <c r="H1809" t="str">
        <f>"C28H8.3"</f>
        <v>C28H8.3</v>
      </c>
      <c r="I1809" t="s">
        <v>6789</v>
      </c>
      <c r="J1809">
        <v>17.196659865704</v>
      </c>
      <c r="K1809">
        <v>16.974915183106901</v>
      </c>
      <c r="L1809">
        <v>16.9622738685519</v>
      </c>
      <c r="M1809">
        <v>17.305253959368098</v>
      </c>
      <c r="N1809">
        <v>17.212990799393602</v>
      </c>
      <c r="O1809">
        <v>16.991005533327701</v>
      </c>
      <c r="P1809">
        <v>0.12513379157551099</v>
      </c>
      <c r="Q1809">
        <v>-0.212929700175648</v>
      </c>
      <c r="R1809">
        <v>0.46319728332666998</v>
      </c>
      <c r="S1809">
        <v>16.957170355173101</v>
      </c>
      <c r="T1809">
        <v>0.77798073769331799</v>
      </c>
      <c r="U1809">
        <v>-6.5715298398839099</v>
      </c>
      <c r="V1809">
        <v>0.44674511798773198</v>
      </c>
      <c r="W1809">
        <v>0.92249172671965796</v>
      </c>
      <c r="X1809">
        <v>0</v>
      </c>
      <c r="Y1809">
        <v>0</v>
      </c>
    </row>
    <row r="1810" spans="1:25" x14ac:dyDescent="0.2">
      <c r="A1810" t="s">
        <v>6790</v>
      </c>
      <c r="B1810" t="s">
        <v>6791</v>
      </c>
      <c r="C1810" t="s">
        <v>6792</v>
      </c>
      <c r="D1810" t="s">
        <v>3246</v>
      </c>
      <c r="E1810" t="s">
        <v>6791</v>
      </c>
      <c r="F1810" t="s">
        <v>28</v>
      </c>
      <c r="G1810" t="s">
        <v>6791</v>
      </c>
      <c r="H1810" t="str">
        <f>"C30G12.2"</f>
        <v>C30G12.2</v>
      </c>
      <c r="I1810" t="s">
        <v>3246</v>
      </c>
      <c r="J1810">
        <v>15.4869846887437</v>
      </c>
      <c r="K1810">
        <v>14.7691192606794</v>
      </c>
      <c r="L1810">
        <v>15.7795224839174</v>
      </c>
      <c r="M1810">
        <v>15.2212748210827</v>
      </c>
      <c r="N1810">
        <v>15.5014317484796</v>
      </c>
      <c r="O1810">
        <v>14.988293974937401</v>
      </c>
      <c r="P1810">
        <v>-0.108208629613619</v>
      </c>
      <c r="Q1810">
        <v>-0.674144276673043</v>
      </c>
      <c r="R1810">
        <v>0.45772701744580502</v>
      </c>
      <c r="S1810">
        <v>14.9296655676248</v>
      </c>
      <c r="T1810">
        <v>-0.40187164085471699</v>
      </c>
      <c r="U1810">
        <v>-6.7984881033806204</v>
      </c>
      <c r="V1810">
        <v>0.69253758583033098</v>
      </c>
      <c r="W1810">
        <v>0.98642420921484297</v>
      </c>
      <c r="X1810">
        <v>0</v>
      </c>
      <c r="Y1810">
        <v>0</v>
      </c>
    </row>
    <row r="1811" spans="1:25" x14ac:dyDescent="0.2">
      <c r="A1811" t="s">
        <v>6793</v>
      </c>
      <c r="B1811" t="s">
        <v>6794</v>
      </c>
      <c r="C1811" t="s">
        <v>6795</v>
      </c>
      <c r="D1811" t="s">
        <v>6796</v>
      </c>
      <c r="E1811" t="s">
        <v>6794</v>
      </c>
      <c r="F1811" t="s">
        <v>28</v>
      </c>
      <c r="G1811" t="s">
        <v>6794</v>
      </c>
      <c r="H1811" t="str">
        <f>"puf-8"</f>
        <v>puf-8</v>
      </c>
      <c r="I1811" t="s">
        <v>6796</v>
      </c>
      <c r="J1811" t="s">
        <v>29</v>
      </c>
      <c r="K1811" t="s">
        <v>29</v>
      </c>
      <c r="L1811" t="s">
        <v>29</v>
      </c>
      <c r="M1811" t="s">
        <v>29</v>
      </c>
      <c r="N1811">
        <v>12.567766766296099</v>
      </c>
      <c r="O1811" t="s">
        <v>29</v>
      </c>
      <c r="P1811" t="s">
        <v>29</v>
      </c>
      <c r="Q1811" t="s">
        <v>29</v>
      </c>
      <c r="R1811" t="s">
        <v>29</v>
      </c>
      <c r="S1811">
        <v>13.246720639092599</v>
      </c>
      <c r="T1811" t="s">
        <v>29</v>
      </c>
      <c r="U1811" t="s">
        <v>29</v>
      </c>
      <c r="V1811" t="s">
        <v>29</v>
      </c>
      <c r="W1811" t="s">
        <v>29</v>
      </c>
      <c r="X1811" t="s">
        <v>29</v>
      </c>
      <c r="Y1811" t="s">
        <v>29</v>
      </c>
    </row>
    <row r="1812" spans="1:25" x14ac:dyDescent="0.2">
      <c r="A1812" t="s">
        <v>6797</v>
      </c>
      <c r="B1812" t="s">
        <v>6798</v>
      </c>
      <c r="C1812" t="s">
        <v>6799</v>
      </c>
      <c r="D1812" t="s">
        <v>297</v>
      </c>
      <c r="E1812" t="s">
        <v>6798</v>
      </c>
      <c r="F1812" t="s">
        <v>28</v>
      </c>
      <c r="G1812" t="s">
        <v>6798</v>
      </c>
      <c r="H1812" t="str">
        <f>"C34C12.2"</f>
        <v>C34C12.2</v>
      </c>
      <c r="I1812" t="s">
        <v>297</v>
      </c>
      <c r="J1812" t="s">
        <v>29</v>
      </c>
      <c r="K1812" t="s">
        <v>29</v>
      </c>
      <c r="L1812" t="s">
        <v>29</v>
      </c>
      <c r="M1812" t="s">
        <v>29</v>
      </c>
      <c r="N1812">
        <v>11.5264602392295</v>
      </c>
      <c r="O1812" t="s">
        <v>29</v>
      </c>
      <c r="P1812" t="s">
        <v>29</v>
      </c>
      <c r="Q1812" t="s">
        <v>29</v>
      </c>
      <c r="R1812" t="s">
        <v>29</v>
      </c>
      <c r="S1812">
        <v>12.423550488088299</v>
      </c>
      <c r="T1812" t="s">
        <v>29</v>
      </c>
      <c r="U1812" t="s">
        <v>29</v>
      </c>
      <c r="V1812" t="s">
        <v>29</v>
      </c>
      <c r="W1812" t="s">
        <v>29</v>
      </c>
      <c r="X1812" t="s">
        <v>29</v>
      </c>
      <c r="Y1812" t="s">
        <v>29</v>
      </c>
    </row>
    <row r="1813" spans="1:25" x14ac:dyDescent="0.2">
      <c r="A1813" t="s">
        <v>6800</v>
      </c>
      <c r="B1813" t="s">
        <v>6801</v>
      </c>
      <c r="C1813" t="s">
        <v>6802</v>
      </c>
      <c r="D1813" t="s">
        <v>6803</v>
      </c>
      <c r="E1813" t="s">
        <v>6801</v>
      </c>
      <c r="F1813" t="s">
        <v>28</v>
      </c>
      <c r="G1813" t="s">
        <v>6801</v>
      </c>
      <c r="H1813" t="str">
        <f>"ire-1"</f>
        <v>ire-1</v>
      </c>
      <c r="I1813" t="s">
        <v>6803</v>
      </c>
      <c r="J1813" t="s">
        <v>29</v>
      </c>
      <c r="K1813" t="s">
        <v>29</v>
      </c>
      <c r="L1813" t="s">
        <v>29</v>
      </c>
      <c r="M1813">
        <v>11.583761077882899</v>
      </c>
      <c r="N1813">
        <v>12.756255604087301</v>
      </c>
      <c r="O1813" t="s">
        <v>29</v>
      </c>
      <c r="P1813" t="s">
        <v>29</v>
      </c>
      <c r="Q1813" t="s">
        <v>29</v>
      </c>
      <c r="R1813" t="s">
        <v>29</v>
      </c>
      <c r="S1813">
        <v>12.0958387099022</v>
      </c>
      <c r="T1813" t="s">
        <v>29</v>
      </c>
      <c r="U1813" t="s">
        <v>29</v>
      </c>
      <c r="V1813" t="s">
        <v>29</v>
      </c>
      <c r="W1813" t="s">
        <v>29</v>
      </c>
      <c r="X1813" t="s">
        <v>29</v>
      </c>
      <c r="Y1813" t="s">
        <v>29</v>
      </c>
    </row>
    <row r="1814" spans="1:25" x14ac:dyDescent="0.2">
      <c r="A1814" t="s">
        <v>6804</v>
      </c>
      <c r="B1814" t="s">
        <v>6805</v>
      </c>
      <c r="C1814" t="s">
        <v>6806</v>
      </c>
      <c r="D1814" t="s">
        <v>6807</v>
      </c>
      <c r="E1814" t="s">
        <v>6805</v>
      </c>
      <c r="F1814" t="s">
        <v>28</v>
      </c>
      <c r="G1814" t="s">
        <v>6805</v>
      </c>
      <c r="H1814" t="str">
        <f>"ctns-1"</f>
        <v>ctns-1</v>
      </c>
      <c r="I1814" t="s">
        <v>6807</v>
      </c>
      <c r="J1814">
        <v>12.675470943982999</v>
      </c>
      <c r="K1814" t="s">
        <v>29</v>
      </c>
      <c r="L1814">
        <v>12.639913112045299</v>
      </c>
      <c r="M1814" t="s">
        <v>29</v>
      </c>
      <c r="N1814">
        <v>12.6326292480113</v>
      </c>
      <c r="O1814">
        <v>11.256225411863801</v>
      </c>
      <c r="P1814">
        <v>-0.71326469807662296</v>
      </c>
      <c r="Q1814">
        <v>-1.72346585238799</v>
      </c>
      <c r="R1814">
        <v>0.29693645623474402</v>
      </c>
      <c r="S1814">
        <v>12.4946659183748</v>
      </c>
      <c r="T1814">
        <v>-1.53988355817345</v>
      </c>
      <c r="U1814">
        <v>-5.5300577821214496</v>
      </c>
      <c r="V1814">
        <v>0.14975778125961201</v>
      </c>
      <c r="W1814">
        <v>0.74457992962374298</v>
      </c>
      <c r="X1814">
        <v>0</v>
      </c>
      <c r="Y1814">
        <v>0</v>
      </c>
    </row>
    <row r="1815" spans="1:25" x14ac:dyDescent="0.2">
      <c r="A1815" t="s">
        <v>6808</v>
      </c>
      <c r="B1815" t="s">
        <v>6809</v>
      </c>
      <c r="C1815" t="s">
        <v>6810</v>
      </c>
      <c r="D1815" t="s">
        <v>6811</v>
      </c>
      <c r="E1815" t="s">
        <v>6809</v>
      </c>
      <c r="F1815" t="s">
        <v>28</v>
      </c>
      <c r="G1815" t="s">
        <v>6809</v>
      </c>
      <c r="H1815" t="str">
        <f>"ifp-1"</f>
        <v>ifp-1</v>
      </c>
      <c r="I1815" t="s">
        <v>6811</v>
      </c>
      <c r="J1815">
        <v>13.1611982343839</v>
      </c>
      <c r="K1815">
        <v>13.624849079251</v>
      </c>
      <c r="L1815">
        <v>15.380514501470101</v>
      </c>
      <c r="M1815">
        <v>13.1609267253098</v>
      </c>
      <c r="N1815">
        <v>13.089328103187899</v>
      </c>
      <c r="O1815">
        <v>13.5656428075766</v>
      </c>
      <c r="P1815">
        <v>-0.78355472634357803</v>
      </c>
      <c r="Q1815">
        <v>-2.00135890214078</v>
      </c>
      <c r="R1815">
        <v>0.43424944945362798</v>
      </c>
      <c r="S1815">
        <v>14.0516844308482</v>
      </c>
      <c r="T1815">
        <v>-1.35233531330198</v>
      </c>
      <c r="U1815">
        <v>-5.9731465398823698</v>
      </c>
      <c r="V1815">
        <v>0.193111750218354</v>
      </c>
      <c r="W1815">
        <v>0.78375110332522002</v>
      </c>
      <c r="X1815">
        <v>0</v>
      </c>
      <c r="Y1815">
        <v>0</v>
      </c>
    </row>
    <row r="1816" spans="1:25" x14ac:dyDescent="0.2">
      <c r="A1816" t="s">
        <v>6812</v>
      </c>
      <c r="B1816" t="s">
        <v>6813</v>
      </c>
      <c r="C1816" t="s">
        <v>6814</v>
      </c>
      <c r="D1816" t="s">
        <v>6815</v>
      </c>
      <c r="E1816" t="s">
        <v>6813</v>
      </c>
      <c r="F1816" t="s">
        <v>28</v>
      </c>
      <c r="G1816" t="s">
        <v>6813</v>
      </c>
      <c r="H1816" t="str">
        <f>"C45G9.9"</f>
        <v>C45G9.9</v>
      </c>
      <c r="I1816" t="s">
        <v>6815</v>
      </c>
      <c r="J1816">
        <v>13.981621705739601</v>
      </c>
      <c r="K1816">
        <v>11.906986875152199</v>
      </c>
      <c r="L1816">
        <v>14.1589647655425</v>
      </c>
      <c r="M1816">
        <v>14.313015966812999</v>
      </c>
      <c r="N1816">
        <v>15.1178982750756</v>
      </c>
      <c r="O1816">
        <v>13.220119344597199</v>
      </c>
      <c r="P1816">
        <v>0.86782008001714805</v>
      </c>
      <c r="Q1816">
        <v>-0.51144249199338399</v>
      </c>
      <c r="R1816">
        <v>2.2470826520276801</v>
      </c>
      <c r="S1816">
        <v>13.0967715750169</v>
      </c>
      <c r="T1816">
        <v>1.3345420834261701</v>
      </c>
      <c r="U1816">
        <v>-5.9950889834016401</v>
      </c>
      <c r="V1816">
        <v>0.20082973530859299</v>
      </c>
      <c r="W1816">
        <v>0.79075284576134597</v>
      </c>
      <c r="X1816">
        <v>0</v>
      </c>
      <c r="Y1816">
        <v>0</v>
      </c>
    </row>
    <row r="1817" spans="1:25" x14ac:dyDescent="0.2">
      <c r="A1817" t="s">
        <v>6816</v>
      </c>
      <c r="B1817" t="s">
        <v>6817</v>
      </c>
      <c r="C1817" t="s">
        <v>6818</v>
      </c>
      <c r="D1817" t="s">
        <v>3919</v>
      </c>
      <c r="E1817" t="s">
        <v>6817</v>
      </c>
      <c r="F1817" t="s">
        <v>28</v>
      </c>
      <c r="G1817" t="s">
        <v>6817</v>
      </c>
      <c r="H1817" t="str">
        <f>"sdha-1"</f>
        <v>sdha-1</v>
      </c>
      <c r="I1817" t="s">
        <v>3919</v>
      </c>
      <c r="J1817">
        <v>14.95241366316</v>
      </c>
      <c r="K1817">
        <v>14.9512385001675</v>
      </c>
      <c r="L1817">
        <v>14.839848479669699</v>
      </c>
      <c r="M1817">
        <v>14.4915500147322</v>
      </c>
      <c r="N1817">
        <v>14.7486560350153</v>
      </c>
      <c r="O1817">
        <v>14.736857470495901</v>
      </c>
      <c r="P1817">
        <v>-0.25547904091795998</v>
      </c>
      <c r="Q1817">
        <v>-0.66435202339808896</v>
      </c>
      <c r="R1817">
        <v>0.15339394156216901</v>
      </c>
      <c r="S1817">
        <v>14.8055170793562</v>
      </c>
      <c r="T1817">
        <v>-1.3132861859988201</v>
      </c>
      <c r="U1817">
        <v>-6.02257075551793</v>
      </c>
      <c r="V1817">
        <v>0.205677491159276</v>
      </c>
      <c r="W1817">
        <v>0.79075284576134597</v>
      </c>
      <c r="X1817">
        <v>0</v>
      </c>
      <c r="Y1817">
        <v>0</v>
      </c>
    </row>
    <row r="1818" spans="1:25" x14ac:dyDescent="0.2">
      <c r="A1818" t="s">
        <v>6819</v>
      </c>
      <c r="B1818" t="s">
        <v>6820</v>
      </c>
      <c r="C1818" t="s">
        <v>6821</v>
      </c>
      <c r="D1818" t="s">
        <v>6822</v>
      </c>
      <c r="E1818" t="s">
        <v>6820</v>
      </c>
      <c r="F1818" t="s">
        <v>28</v>
      </c>
      <c r="G1818" t="s">
        <v>6820</v>
      </c>
      <c r="H1818" t="str">
        <f>"F25B5.6"</f>
        <v>F25B5.6</v>
      </c>
      <c r="I1818" t="s">
        <v>6822</v>
      </c>
      <c r="J1818">
        <v>13.306788826489001</v>
      </c>
      <c r="K1818">
        <v>13.457426981523099</v>
      </c>
      <c r="L1818">
        <v>13.2610998181603</v>
      </c>
      <c r="M1818">
        <v>14.2684509804063</v>
      </c>
      <c r="N1818">
        <v>14.4584423104191</v>
      </c>
      <c r="O1818">
        <v>14.1298305564726</v>
      </c>
      <c r="P1818">
        <v>0.94380274037517398</v>
      </c>
      <c r="Q1818">
        <v>0.461078987870575</v>
      </c>
      <c r="R1818">
        <v>1.4265264928797701</v>
      </c>
      <c r="S1818">
        <v>14.214810013398001</v>
      </c>
      <c r="T1818">
        <v>4.1093684121393803</v>
      </c>
      <c r="U1818">
        <v>-0.69536579277252597</v>
      </c>
      <c r="V1818">
        <v>6.6544996184816799E-4</v>
      </c>
      <c r="W1818">
        <v>2.3371206488964701E-2</v>
      </c>
      <c r="X1818">
        <v>0</v>
      </c>
      <c r="Y1818">
        <v>0</v>
      </c>
    </row>
    <row r="1819" spans="1:25" x14ac:dyDescent="0.2">
      <c r="A1819" t="s">
        <v>6823</v>
      </c>
      <c r="B1819" t="s">
        <v>6824</v>
      </c>
      <c r="C1819" t="s">
        <v>6825</v>
      </c>
      <c r="D1819" t="s">
        <v>6826</v>
      </c>
      <c r="E1819" t="s">
        <v>6824</v>
      </c>
      <c r="F1819" t="s">
        <v>28</v>
      </c>
      <c r="G1819" t="s">
        <v>6824</v>
      </c>
      <c r="H1819" t="str">
        <f>"mlc-4"</f>
        <v>mlc-4</v>
      </c>
      <c r="I1819" t="s">
        <v>6826</v>
      </c>
      <c r="J1819" t="s">
        <v>29</v>
      </c>
      <c r="K1819">
        <v>13.4188667285907</v>
      </c>
      <c r="L1819">
        <v>12.0096905786723</v>
      </c>
      <c r="M1819">
        <v>11.2335406675949</v>
      </c>
      <c r="N1819">
        <v>12.443094285995601</v>
      </c>
      <c r="O1819" t="s">
        <v>29</v>
      </c>
      <c r="P1819">
        <v>-0.87596117683625796</v>
      </c>
      <c r="Q1819">
        <v>-2.2677853896484299</v>
      </c>
      <c r="R1819">
        <v>0.51586303597591499</v>
      </c>
      <c r="S1819">
        <v>12.4812001483815</v>
      </c>
      <c r="T1819">
        <v>-1.33490389663864</v>
      </c>
      <c r="U1819">
        <v>-5.79927026318905</v>
      </c>
      <c r="V1819">
        <v>0.200713892349452</v>
      </c>
      <c r="W1819">
        <v>0.79075284576134597</v>
      </c>
      <c r="X1819">
        <v>0</v>
      </c>
      <c r="Y1819">
        <v>0</v>
      </c>
    </row>
    <row r="1820" spans="1:25" x14ac:dyDescent="0.2">
      <c r="A1820" t="s">
        <v>6827</v>
      </c>
      <c r="B1820" t="s">
        <v>6828</v>
      </c>
      <c r="C1820" t="s">
        <v>6829</v>
      </c>
      <c r="D1820" t="s">
        <v>6830</v>
      </c>
      <c r="E1820" t="s">
        <v>6828</v>
      </c>
      <c r="F1820" t="s">
        <v>28</v>
      </c>
      <c r="G1820" t="s">
        <v>6828</v>
      </c>
      <c r="H1820" t="str">
        <f>"rsp-4"</f>
        <v>rsp-4</v>
      </c>
      <c r="I1820" t="s">
        <v>6830</v>
      </c>
      <c r="J1820">
        <v>12.908904928448001</v>
      </c>
      <c r="K1820">
        <v>13.521369424284799</v>
      </c>
      <c r="L1820">
        <v>12.9428158918387</v>
      </c>
      <c r="M1820">
        <v>13.172341827426701</v>
      </c>
      <c r="N1820">
        <v>12.696926832703999</v>
      </c>
      <c r="O1820">
        <v>13.0932878400327</v>
      </c>
      <c r="P1820">
        <v>-0.13684458146939901</v>
      </c>
      <c r="Q1820">
        <v>-0.81539783648699904</v>
      </c>
      <c r="R1820">
        <v>0.54170867354820196</v>
      </c>
      <c r="S1820">
        <v>13.013306777511801</v>
      </c>
      <c r="T1820">
        <v>-0.43011567818947599</v>
      </c>
      <c r="U1820">
        <v>-6.7854052343101499</v>
      </c>
      <c r="V1820">
        <v>0.67326949020657101</v>
      </c>
      <c r="W1820">
        <v>0.98642420921484297</v>
      </c>
      <c r="X1820">
        <v>0</v>
      </c>
      <c r="Y1820">
        <v>0</v>
      </c>
    </row>
    <row r="1821" spans="1:25" x14ac:dyDescent="0.2">
      <c r="A1821" t="s">
        <v>6831</v>
      </c>
      <c r="B1821" t="s">
        <v>6832</v>
      </c>
      <c r="C1821" t="s">
        <v>6833</v>
      </c>
      <c r="D1821" t="s">
        <v>6834</v>
      </c>
      <c r="E1821" t="s">
        <v>6832</v>
      </c>
      <c r="F1821" t="s">
        <v>28</v>
      </c>
      <c r="G1821" t="s">
        <v>6832</v>
      </c>
      <c r="H1821" t="str">
        <f>"ttll-12"</f>
        <v>ttll-12</v>
      </c>
      <c r="I1821" t="s">
        <v>6834</v>
      </c>
      <c r="J1821">
        <v>14.4221429581403</v>
      </c>
      <c r="K1821">
        <v>14.429770305857801</v>
      </c>
      <c r="L1821">
        <v>14.8246852797018</v>
      </c>
      <c r="M1821">
        <v>14.564422120842201</v>
      </c>
      <c r="N1821">
        <v>14.7920545870242</v>
      </c>
      <c r="O1821">
        <v>14.3378099254211</v>
      </c>
      <c r="P1821">
        <v>5.8960298625496703E-3</v>
      </c>
      <c r="Q1821">
        <v>-0.40308721189547497</v>
      </c>
      <c r="R1821">
        <v>0.41487927162057398</v>
      </c>
      <c r="S1821">
        <v>14.6008121470391</v>
      </c>
      <c r="T1821">
        <v>3.0430155711498499E-2</v>
      </c>
      <c r="U1821">
        <v>-6.8820042419261398</v>
      </c>
      <c r="V1821">
        <v>0.97608058054191305</v>
      </c>
      <c r="W1821">
        <v>0.99968702248720698</v>
      </c>
      <c r="X1821">
        <v>0</v>
      </c>
      <c r="Y1821">
        <v>0</v>
      </c>
    </row>
    <row r="1822" spans="1:25" x14ac:dyDescent="0.2">
      <c r="A1822" t="s">
        <v>6835</v>
      </c>
      <c r="B1822" t="s">
        <v>6836</v>
      </c>
      <c r="C1822" t="s">
        <v>6837</v>
      </c>
      <c r="D1822" t="s">
        <v>6838</v>
      </c>
      <c r="E1822" t="s">
        <v>6836</v>
      </c>
      <c r="F1822" t="s">
        <v>28</v>
      </c>
      <c r="G1822" t="s">
        <v>6836</v>
      </c>
      <c r="H1822" t="str">
        <f>"let-767"</f>
        <v>let-767</v>
      </c>
      <c r="I1822" t="s">
        <v>6838</v>
      </c>
      <c r="J1822">
        <v>18.773794930679401</v>
      </c>
      <c r="K1822">
        <v>18.5641082004758</v>
      </c>
      <c r="L1822">
        <v>18.485508430688199</v>
      </c>
      <c r="M1822">
        <v>18.693331799561001</v>
      </c>
      <c r="N1822">
        <v>18.624917403144899</v>
      </c>
      <c r="O1822">
        <v>18.544317796894202</v>
      </c>
      <c r="P1822">
        <v>1.3051812585555199E-2</v>
      </c>
      <c r="Q1822">
        <v>-0.29899809034603497</v>
      </c>
      <c r="R1822">
        <v>0.32510171551714601</v>
      </c>
      <c r="S1822">
        <v>18.070192025668</v>
      </c>
      <c r="T1822">
        <v>8.7910204502301498E-2</v>
      </c>
      <c r="U1822">
        <v>-6.8784524829059404</v>
      </c>
      <c r="V1822">
        <v>0.93092434492234899</v>
      </c>
      <c r="W1822">
        <v>0.99926809132575301</v>
      </c>
      <c r="X1822">
        <v>0</v>
      </c>
      <c r="Y1822">
        <v>0</v>
      </c>
    </row>
    <row r="1823" spans="1:25" x14ac:dyDescent="0.2">
      <c r="A1823" t="s">
        <v>6839</v>
      </c>
      <c r="B1823" t="s">
        <v>6840</v>
      </c>
      <c r="C1823" t="s">
        <v>6841</v>
      </c>
      <c r="D1823" t="s">
        <v>6842</v>
      </c>
      <c r="E1823" t="s">
        <v>6840</v>
      </c>
      <c r="F1823" t="s">
        <v>28</v>
      </c>
      <c r="G1823" t="s">
        <v>6840</v>
      </c>
      <c r="H1823" t="str">
        <f>"E02H1.1"</f>
        <v>E02H1.1</v>
      </c>
      <c r="I1823" t="s">
        <v>6842</v>
      </c>
      <c r="J1823">
        <v>13.4886363749231</v>
      </c>
      <c r="K1823">
        <v>13.3329230113129</v>
      </c>
      <c r="L1823">
        <v>13.5946951182296</v>
      </c>
      <c r="M1823">
        <v>13.709293989757899</v>
      </c>
      <c r="N1823">
        <v>13.4962549542904</v>
      </c>
      <c r="O1823">
        <v>13.325353166531199</v>
      </c>
      <c r="P1823">
        <v>3.8215868704625698E-2</v>
      </c>
      <c r="Q1823">
        <v>-0.35126898797785799</v>
      </c>
      <c r="R1823">
        <v>0.42770072538711001</v>
      </c>
      <c r="S1823">
        <v>13.2046564224525</v>
      </c>
      <c r="T1823">
        <v>0.20811466736977299</v>
      </c>
      <c r="U1823">
        <v>-6.85973988628227</v>
      </c>
      <c r="V1823">
        <v>0.83778266701666904</v>
      </c>
      <c r="W1823">
        <v>0.99370971747667503</v>
      </c>
      <c r="X1823">
        <v>0</v>
      </c>
      <c r="Y1823">
        <v>0</v>
      </c>
    </row>
    <row r="1824" spans="1:25" x14ac:dyDescent="0.2">
      <c r="A1824" t="s">
        <v>6843</v>
      </c>
      <c r="B1824" t="s">
        <v>6844</v>
      </c>
      <c r="C1824" t="s">
        <v>6845</v>
      </c>
      <c r="D1824" t="s">
        <v>6846</v>
      </c>
      <c r="E1824" t="s">
        <v>6844</v>
      </c>
      <c r="F1824" t="s">
        <v>28</v>
      </c>
      <c r="G1824" t="s">
        <v>6844</v>
      </c>
      <c r="H1824" t="str">
        <f>"eral-1"</f>
        <v>eral-1</v>
      </c>
      <c r="I1824" t="s">
        <v>6846</v>
      </c>
      <c r="J1824">
        <v>13.8849317424745</v>
      </c>
      <c r="K1824">
        <v>14.299776761534799</v>
      </c>
      <c r="L1824">
        <v>14.1505162309721</v>
      </c>
      <c r="M1824">
        <v>13.2275420030281</v>
      </c>
      <c r="N1824">
        <v>14.0206850328901</v>
      </c>
      <c r="O1824">
        <v>14.0512208995892</v>
      </c>
      <c r="P1824">
        <v>-0.34525893315799799</v>
      </c>
      <c r="Q1824">
        <v>-1.04822908393128</v>
      </c>
      <c r="R1824">
        <v>0.35771121761528202</v>
      </c>
      <c r="S1824">
        <v>14.2526109703782</v>
      </c>
      <c r="T1824">
        <v>-1.04173575254074</v>
      </c>
      <c r="U1824">
        <v>-6.3305252033974497</v>
      </c>
      <c r="V1824">
        <v>0.31312075419216001</v>
      </c>
      <c r="W1824">
        <v>0.86464399033134998</v>
      </c>
      <c r="X1824">
        <v>0</v>
      </c>
      <c r="Y1824">
        <v>0</v>
      </c>
    </row>
    <row r="1825" spans="1:25" x14ac:dyDescent="0.2">
      <c r="A1825" t="s">
        <v>6847</v>
      </c>
      <c r="B1825" t="s">
        <v>6848</v>
      </c>
      <c r="C1825" t="s">
        <v>6849</v>
      </c>
      <c r="D1825" t="s">
        <v>6850</v>
      </c>
      <c r="E1825" t="s">
        <v>6848</v>
      </c>
      <c r="F1825" t="s">
        <v>28</v>
      </c>
      <c r="G1825" t="s">
        <v>6848</v>
      </c>
      <c r="H1825" t="str">
        <f>"tag-124"</f>
        <v>tag-124</v>
      </c>
      <c r="I1825" t="s">
        <v>6850</v>
      </c>
      <c r="J1825">
        <v>12.1679369890612</v>
      </c>
      <c r="K1825">
        <v>12.5483193604011</v>
      </c>
      <c r="L1825">
        <v>12.3832741621958</v>
      </c>
      <c r="M1825">
        <v>12.3193361949431</v>
      </c>
      <c r="N1825">
        <v>12.770346158411099</v>
      </c>
      <c r="O1825">
        <v>12.451879227083101</v>
      </c>
      <c r="P1825">
        <v>0.14734368959310601</v>
      </c>
      <c r="Q1825">
        <v>-0.98727786658186301</v>
      </c>
      <c r="R1825">
        <v>1.2819652457680699</v>
      </c>
      <c r="S1825">
        <v>13.3517434827946</v>
      </c>
      <c r="T1825">
        <v>0.27411356226585998</v>
      </c>
      <c r="U1825">
        <v>-6.8431952163255003</v>
      </c>
      <c r="V1825">
        <v>0.78732060606447696</v>
      </c>
      <c r="W1825">
        <v>0.99278624068726296</v>
      </c>
      <c r="X1825">
        <v>0</v>
      </c>
      <c r="Y1825">
        <v>0</v>
      </c>
    </row>
    <row r="1826" spans="1:25" x14ac:dyDescent="0.2">
      <c r="A1826" t="s">
        <v>6851</v>
      </c>
      <c r="B1826" t="s">
        <v>6852</v>
      </c>
      <c r="C1826" t="s">
        <v>6853</v>
      </c>
      <c r="D1826" t="s">
        <v>6854</v>
      </c>
      <c r="E1826" t="s">
        <v>6852</v>
      </c>
      <c r="F1826" t="s">
        <v>28</v>
      </c>
      <c r="G1826" t="s">
        <v>6852</v>
      </c>
      <c r="H1826" t="str">
        <f>"E02H1.6"</f>
        <v>E02H1.6</v>
      </c>
      <c r="I1826" t="s">
        <v>6854</v>
      </c>
      <c r="J1826" t="s">
        <v>29</v>
      </c>
      <c r="K1826" t="s">
        <v>29</v>
      </c>
      <c r="L1826">
        <v>10.7255395012292</v>
      </c>
      <c r="M1826" t="s">
        <v>29</v>
      </c>
      <c r="N1826" t="s">
        <v>29</v>
      </c>
      <c r="O1826">
        <v>11.508682389523599</v>
      </c>
      <c r="P1826">
        <v>0.78314288829444201</v>
      </c>
      <c r="Q1826">
        <v>-0.50636639107928005</v>
      </c>
      <c r="R1826">
        <v>2.07265216766816</v>
      </c>
      <c r="S1826">
        <v>11.522870846650299</v>
      </c>
      <c r="T1826">
        <v>1.3551376989399999</v>
      </c>
      <c r="U1826">
        <v>-5.4465586726826203</v>
      </c>
      <c r="V1826">
        <v>0.20549972330021199</v>
      </c>
      <c r="W1826">
        <v>0.79075284576134597</v>
      </c>
      <c r="X1826">
        <v>0</v>
      </c>
      <c r="Y1826">
        <v>0</v>
      </c>
    </row>
    <row r="1827" spans="1:25" x14ac:dyDescent="0.2">
      <c r="A1827" t="s">
        <v>6855</v>
      </c>
      <c r="B1827" t="s">
        <v>6856</v>
      </c>
      <c r="C1827" t="s">
        <v>6857</v>
      </c>
      <c r="D1827" t="s">
        <v>6858</v>
      </c>
      <c r="E1827" t="s">
        <v>6856</v>
      </c>
      <c r="F1827" t="s">
        <v>28</v>
      </c>
      <c r="G1827" t="s">
        <v>6856</v>
      </c>
      <c r="H1827" t="str">
        <f>"EEED8.2"</f>
        <v>EEED8.2</v>
      </c>
      <c r="I1827" t="s">
        <v>6858</v>
      </c>
      <c r="J1827">
        <v>10.1524930149574</v>
      </c>
      <c r="K1827">
        <v>10.0604851167577</v>
      </c>
      <c r="L1827">
        <v>10.046570889634401</v>
      </c>
      <c r="M1827" t="s">
        <v>29</v>
      </c>
      <c r="N1827" t="s">
        <v>29</v>
      </c>
      <c r="O1827" t="s">
        <v>29</v>
      </c>
      <c r="P1827" t="s">
        <v>29</v>
      </c>
      <c r="Q1827" t="s">
        <v>29</v>
      </c>
      <c r="R1827" t="s">
        <v>29</v>
      </c>
      <c r="S1827">
        <v>10.490729755846701</v>
      </c>
      <c r="T1827" t="s">
        <v>29</v>
      </c>
      <c r="U1827" t="s">
        <v>29</v>
      </c>
      <c r="V1827" t="s">
        <v>29</v>
      </c>
      <c r="W1827" t="s">
        <v>29</v>
      </c>
      <c r="X1827" t="s">
        <v>29</v>
      </c>
      <c r="Y1827" t="s">
        <v>29</v>
      </c>
    </row>
    <row r="1828" spans="1:25" x14ac:dyDescent="0.2">
      <c r="A1828" t="s">
        <v>6859</v>
      </c>
      <c r="B1828" t="s">
        <v>6860</v>
      </c>
      <c r="C1828" t="s">
        <v>6861</v>
      </c>
      <c r="D1828" t="s">
        <v>6862</v>
      </c>
      <c r="E1828" t="s">
        <v>6860</v>
      </c>
      <c r="F1828" t="s">
        <v>28</v>
      </c>
      <c r="G1828" t="s">
        <v>6860</v>
      </c>
      <c r="H1828" t="str">
        <f>"mog-5"</f>
        <v>mog-5</v>
      </c>
      <c r="I1828" t="s">
        <v>6862</v>
      </c>
      <c r="J1828">
        <v>14.442534151710699</v>
      </c>
      <c r="K1828">
        <v>14.5633414034999</v>
      </c>
      <c r="L1828">
        <v>14.630548652737399</v>
      </c>
      <c r="M1828">
        <v>14.143269726871999</v>
      </c>
      <c r="N1828">
        <v>14.3153207275551</v>
      </c>
      <c r="O1828">
        <v>14.236065609908101</v>
      </c>
      <c r="P1828">
        <v>-0.31392271453759202</v>
      </c>
      <c r="Q1828">
        <v>-0.82277496453584098</v>
      </c>
      <c r="R1828">
        <v>0.194929535460658</v>
      </c>
      <c r="S1828">
        <v>14.656683469774</v>
      </c>
      <c r="T1828">
        <v>-1.2966523607992599</v>
      </c>
      <c r="U1828">
        <v>-6.0432626973335504</v>
      </c>
      <c r="V1828">
        <v>0.211222418117016</v>
      </c>
      <c r="W1828">
        <v>0.79492804357574798</v>
      </c>
      <c r="X1828">
        <v>0</v>
      </c>
      <c r="Y1828">
        <v>0</v>
      </c>
    </row>
    <row r="1829" spans="1:25" x14ac:dyDescent="0.2">
      <c r="A1829" t="s">
        <v>6863</v>
      </c>
      <c r="B1829" t="s">
        <v>6864</v>
      </c>
      <c r="C1829" t="s">
        <v>6865</v>
      </c>
      <c r="D1829" t="s">
        <v>6866</v>
      </c>
      <c r="E1829" t="s">
        <v>6864</v>
      </c>
      <c r="F1829" t="s">
        <v>28</v>
      </c>
      <c r="G1829" t="s">
        <v>6864</v>
      </c>
      <c r="H1829" t="str">
        <f>"F07F6.4"</f>
        <v>F07F6.4</v>
      </c>
      <c r="I1829" t="s">
        <v>6866</v>
      </c>
      <c r="J1829">
        <v>14.1980517960254</v>
      </c>
      <c r="K1829">
        <v>14.063770152484199</v>
      </c>
      <c r="L1829">
        <v>13.7699777867577</v>
      </c>
      <c r="M1829">
        <v>14.752029295527301</v>
      </c>
      <c r="N1829">
        <v>14.8614037065216</v>
      </c>
      <c r="O1829">
        <v>14.815326250258</v>
      </c>
      <c r="P1829">
        <v>0.79898650567987095</v>
      </c>
      <c r="Q1829">
        <v>8.7602026733544003E-2</v>
      </c>
      <c r="R1829">
        <v>1.5103709846261999</v>
      </c>
      <c r="S1829">
        <v>13.899691796130901</v>
      </c>
      <c r="T1829">
        <v>2.3707462491793598</v>
      </c>
      <c r="U1829">
        <v>-4.3435474030599401</v>
      </c>
      <c r="V1829">
        <v>2.9918203246000301E-2</v>
      </c>
      <c r="W1829">
        <v>0.38350268280793198</v>
      </c>
      <c r="X1829">
        <v>0</v>
      </c>
      <c r="Y1829">
        <v>0</v>
      </c>
    </row>
    <row r="1830" spans="1:25" x14ac:dyDescent="0.2">
      <c r="A1830" t="s">
        <v>6867</v>
      </c>
      <c r="B1830" t="s">
        <v>6868</v>
      </c>
      <c r="C1830" t="s">
        <v>6869</v>
      </c>
      <c r="D1830" t="s">
        <v>6870</v>
      </c>
      <c r="E1830" t="s">
        <v>6868</v>
      </c>
      <c r="F1830" t="s">
        <v>28</v>
      </c>
      <c r="G1830" t="s">
        <v>6868</v>
      </c>
      <c r="H1830" t="str">
        <f>"rpl-10"</f>
        <v>rpl-10</v>
      </c>
      <c r="I1830" t="s">
        <v>6870</v>
      </c>
      <c r="J1830">
        <v>21.128464736999799</v>
      </c>
      <c r="K1830">
        <v>20.9444299617866</v>
      </c>
      <c r="L1830">
        <v>21.185201294728198</v>
      </c>
      <c r="M1830">
        <v>20.9298961426177</v>
      </c>
      <c r="N1830">
        <v>20.924169191153201</v>
      </c>
      <c r="O1830">
        <v>20.741076639804799</v>
      </c>
      <c r="P1830">
        <v>-0.22098467331293001</v>
      </c>
      <c r="Q1830">
        <v>-0.55747613075212099</v>
      </c>
      <c r="R1830">
        <v>0.115506784126261</v>
      </c>
      <c r="S1830">
        <v>21.151149589712301</v>
      </c>
      <c r="T1830">
        <v>-1.3803226790400001</v>
      </c>
      <c r="U1830">
        <v>-5.9370000963653196</v>
      </c>
      <c r="V1830">
        <v>0.18448789017442099</v>
      </c>
      <c r="W1830">
        <v>0.78295732499061499</v>
      </c>
      <c r="X1830">
        <v>0</v>
      </c>
      <c r="Y1830">
        <v>0</v>
      </c>
    </row>
    <row r="1831" spans="1:25" x14ac:dyDescent="0.2">
      <c r="A1831" t="s">
        <v>6871</v>
      </c>
      <c r="B1831" t="s">
        <v>6872</v>
      </c>
      <c r="C1831" t="s">
        <v>6873</v>
      </c>
      <c r="D1831" t="s">
        <v>6874</v>
      </c>
      <c r="E1831" t="s">
        <v>6872</v>
      </c>
      <c r="F1831" t="s">
        <v>28</v>
      </c>
      <c r="G1831" t="s">
        <v>6872</v>
      </c>
      <c r="H1831" t="str">
        <f>"grk-1"</f>
        <v>grk-1</v>
      </c>
      <c r="I1831" t="s">
        <v>6874</v>
      </c>
      <c r="J1831">
        <v>12.8002566757047</v>
      </c>
      <c r="K1831">
        <v>12.4577530950534</v>
      </c>
      <c r="L1831">
        <v>12.201699476841499</v>
      </c>
      <c r="M1831">
        <v>12.450236270001399</v>
      </c>
      <c r="N1831">
        <v>12.576072582462899</v>
      </c>
      <c r="O1831">
        <v>12.912186740331499</v>
      </c>
      <c r="P1831">
        <v>0.15959544839870099</v>
      </c>
      <c r="Q1831">
        <v>-0.36951780026154901</v>
      </c>
      <c r="R1831">
        <v>0.68870869705894999</v>
      </c>
      <c r="S1831">
        <v>12.389185304053299</v>
      </c>
      <c r="T1831">
        <v>0.63668098324928202</v>
      </c>
      <c r="U1831">
        <v>-6.67255950448655</v>
      </c>
      <c r="V1831">
        <v>0.532864952214674</v>
      </c>
      <c r="W1831">
        <v>0.94473173116680098</v>
      </c>
      <c r="X1831">
        <v>0</v>
      </c>
      <c r="Y1831">
        <v>0</v>
      </c>
    </row>
    <row r="1832" spans="1:25" x14ac:dyDescent="0.2">
      <c r="A1832" t="s">
        <v>6875</v>
      </c>
      <c r="B1832" t="s">
        <v>6876</v>
      </c>
      <c r="C1832" t="s">
        <v>6877</v>
      </c>
      <c r="D1832" t="s">
        <v>6878</v>
      </c>
      <c r="E1832" t="s">
        <v>6876</v>
      </c>
      <c r="F1832" t="s">
        <v>28</v>
      </c>
      <c r="G1832" t="s">
        <v>6876</v>
      </c>
      <c r="H1832" t="str">
        <f>"tpp-2"</f>
        <v>tpp-2</v>
      </c>
      <c r="I1832" t="s">
        <v>6878</v>
      </c>
      <c r="J1832">
        <v>12.6191430459775</v>
      </c>
      <c r="K1832">
        <v>12.4429570103231</v>
      </c>
      <c r="L1832">
        <v>12.7518848440927</v>
      </c>
      <c r="M1832">
        <v>12.585501881351901</v>
      </c>
      <c r="N1832">
        <v>13.304592184049801</v>
      </c>
      <c r="O1832">
        <v>12.953843228467299</v>
      </c>
      <c r="P1832">
        <v>0.34331746449189798</v>
      </c>
      <c r="Q1832">
        <v>-0.14600705411652501</v>
      </c>
      <c r="R1832">
        <v>0.832641983100322</v>
      </c>
      <c r="S1832">
        <v>13.006147725296101</v>
      </c>
      <c r="T1832">
        <v>1.48097910823767</v>
      </c>
      <c r="U1832">
        <v>-5.8023437464935403</v>
      </c>
      <c r="V1832">
        <v>0.15702067579568299</v>
      </c>
      <c r="W1832">
        <v>0.75297522917584003</v>
      </c>
      <c r="X1832">
        <v>0</v>
      </c>
      <c r="Y1832">
        <v>0</v>
      </c>
    </row>
    <row r="1833" spans="1:25" x14ac:dyDescent="0.2">
      <c r="A1833" t="s">
        <v>6879</v>
      </c>
      <c r="B1833" t="s">
        <v>6880</v>
      </c>
      <c r="C1833" t="s">
        <v>6881</v>
      </c>
      <c r="D1833" t="s">
        <v>6882</v>
      </c>
      <c r="E1833" t="s">
        <v>6880</v>
      </c>
      <c r="F1833" t="s">
        <v>28</v>
      </c>
      <c r="G1833" t="s">
        <v>6880</v>
      </c>
      <c r="H1833" t="str">
        <f>"paa-1"</f>
        <v>paa-1</v>
      </c>
      <c r="I1833" t="s">
        <v>6882</v>
      </c>
      <c r="J1833">
        <v>11.780314212102301</v>
      </c>
      <c r="K1833">
        <v>12.243308115126</v>
      </c>
      <c r="L1833">
        <v>12.495622890098399</v>
      </c>
      <c r="M1833">
        <v>12.2765904302147</v>
      </c>
      <c r="N1833">
        <v>12.759928797535901</v>
      </c>
      <c r="O1833">
        <v>12.737366351931801</v>
      </c>
      <c r="P1833">
        <v>0.41821345411856498</v>
      </c>
      <c r="Q1833">
        <v>-0.25325150783049999</v>
      </c>
      <c r="R1833">
        <v>1.0896784160676301</v>
      </c>
      <c r="S1833">
        <v>12.8379911879166</v>
      </c>
      <c r="T1833">
        <v>1.3146939302157701</v>
      </c>
      <c r="U1833">
        <v>-6.0204147600318096</v>
      </c>
      <c r="V1833">
        <v>0.20618043077286399</v>
      </c>
      <c r="W1833">
        <v>0.79075284576134597</v>
      </c>
      <c r="X1833">
        <v>0</v>
      </c>
      <c r="Y1833">
        <v>0</v>
      </c>
    </row>
    <row r="1834" spans="1:25" x14ac:dyDescent="0.2">
      <c r="A1834" t="s">
        <v>6883</v>
      </c>
      <c r="B1834" t="s">
        <v>6884</v>
      </c>
      <c r="C1834" t="s">
        <v>6885</v>
      </c>
      <c r="D1834" t="s">
        <v>6886</v>
      </c>
      <c r="E1834" t="s">
        <v>6884</v>
      </c>
      <c r="F1834" t="s">
        <v>28</v>
      </c>
      <c r="G1834" t="s">
        <v>6884</v>
      </c>
      <c r="H1834" t="str">
        <f>"F58F12.1"</f>
        <v>F58F12.1</v>
      </c>
      <c r="I1834" t="s">
        <v>6886</v>
      </c>
      <c r="J1834">
        <v>14.715289545969799</v>
      </c>
      <c r="K1834">
        <v>14.3444814951447</v>
      </c>
      <c r="L1834">
        <v>14.4643716882003</v>
      </c>
      <c r="M1834">
        <v>14.4254499218142</v>
      </c>
      <c r="N1834">
        <v>14.135166139401999</v>
      </c>
      <c r="O1834">
        <v>14.3834628129771</v>
      </c>
      <c r="P1834">
        <v>-0.19335461837388801</v>
      </c>
      <c r="Q1834">
        <v>-0.74044979501173303</v>
      </c>
      <c r="R1834">
        <v>0.35374055826395701</v>
      </c>
      <c r="S1834">
        <v>14.100059138208501</v>
      </c>
      <c r="T1834">
        <v>-0.74282100701470999</v>
      </c>
      <c r="U1834">
        <v>-6.59858440808667</v>
      </c>
      <c r="V1834">
        <v>0.46723018888208001</v>
      </c>
      <c r="W1834">
        <v>0.92978583625257705</v>
      </c>
      <c r="X1834">
        <v>0</v>
      </c>
      <c r="Y1834">
        <v>0</v>
      </c>
    </row>
    <row r="1835" spans="1:25" x14ac:dyDescent="0.2">
      <c r="A1835" t="s">
        <v>6887</v>
      </c>
      <c r="B1835" t="s">
        <v>6888</v>
      </c>
      <c r="C1835" t="s">
        <v>6889</v>
      </c>
      <c r="D1835" t="s">
        <v>6890</v>
      </c>
      <c r="E1835" t="s">
        <v>6888</v>
      </c>
      <c r="F1835" t="s">
        <v>28</v>
      </c>
      <c r="G1835" t="s">
        <v>6888</v>
      </c>
      <c r="H1835" t="str">
        <f>"sdhb-1"</f>
        <v>sdhb-1</v>
      </c>
      <c r="I1835" t="s">
        <v>6890</v>
      </c>
      <c r="J1835">
        <v>12.759909173449399</v>
      </c>
      <c r="K1835">
        <v>13.028538882440699</v>
      </c>
      <c r="L1835">
        <v>13.0035601390222</v>
      </c>
      <c r="M1835">
        <v>13.162795440429401</v>
      </c>
      <c r="N1835">
        <v>13.2092201549587</v>
      </c>
      <c r="O1835">
        <v>12.5234666064304</v>
      </c>
      <c r="P1835">
        <v>3.4491335635387102E-2</v>
      </c>
      <c r="Q1835">
        <v>-0.65203013878267901</v>
      </c>
      <c r="R1835">
        <v>0.72101281005345297</v>
      </c>
      <c r="S1835">
        <v>13.0023783662922</v>
      </c>
      <c r="T1835">
        <v>0.10656274900832401</v>
      </c>
      <c r="U1835">
        <v>-6.8765189282468304</v>
      </c>
      <c r="V1835">
        <v>0.91646921863957997</v>
      </c>
      <c r="W1835">
        <v>0.99833354317360001</v>
      </c>
      <c r="X1835">
        <v>0</v>
      </c>
      <c r="Y1835">
        <v>0</v>
      </c>
    </row>
    <row r="1836" spans="1:25" x14ac:dyDescent="0.2">
      <c r="A1836" t="s">
        <v>6891</v>
      </c>
      <c r="B1836" t="s">
        <v>6892</v>
      </c>
      <c r="C1836" t="s">
        <v>6893</v>
      </c>
      <c r="D1836" t="s">
        <v>6894</v>
      </c>
      <c r="E1836" t="s">
        <v>6892</v>
      </c>
      <c r="F1836" t="s">
        <v>28</v>
      </c>
      <c r="G1836" t="s">
        <v>6892</v>
      </c>
      <c r="H1836" t="str">
        <f>"disl-2"</f>
        <v>disl-2</v>
      </c>
      <c r="I1836" t="s">
        <v>6894</v>
      </c>
      <c r="J1836">
        <v>14.802422216469401</v>
      </c>
      <c r="K1836">
        <v>14.5517617149847</v>
      </c>
      <c r="L1836">
        <v>14.2262061431402</v>
      </c>
      <c r="M1836">
        <v>14.5702003421315</v>
      </c>
      <c r="N1836">
        <v>14.243684947582199</v>
      </c>
      <c r="O1836">
        <v>14.622566334723</v>
      </c>
      <c r="P1836">
        <v>-4.7979483385855601E-2</v>
      </c>
      <c r="Q1836">
        <v>-0.47556995420846898</v>
      </c>
      <c r="R1836">
        <v>0.37961098743675797</v>
      </c>
      <c r="S1836">
        <v>14.0303063349329</v>
      </c>
      <c r="T1836">
        <v>-0.23685227607904299</v>
      </c>
      <c r="U1836">
        <v>-6.8531353430968096</v>
      </c>
      <c r="V1836">
        <v>0.815619358447915</v>
      </c>
      <c r="W1836">
        <v>0.99278624068726296</v>
      </c>
      <c r="X1836">
        <v>0</v>
      </c>
      <c r="Y1836">
        <v>0</v>
      </c>
    </row>
    <row r="1837" spans="1:25" x14ac:dyDescent="0.2">
      <c r="A1837" t="s">
        <v>6895</v>
      </c>
      <c r="B1837" t="s">
        <v>6896</v>
      </c>
      <c r="C1837" t="s">
        <v>6897</v>
      </c>
      <c r="D1837" t="s">
        <v>6898</v>
      </c>
      <c r="E1837" t="s">
        <v>6896</v>
      </c>
      <c r="F1837" t="s">
        <v>28</v>
      </c>
      <c r="G1837" t="s">
        <v>6896</v>
      </c>
      <c r="H1837" t="str">
        <f>"gmps-1"</f>
        <v>gmps-1</v>
      </c>
      <c r="I1837" t="s">
        <v>6898</v>
      </c>
      <c r="J1837">
        <v>13.821153525905499</v>
      </c>
      <c r="K1837">
        <v>13.5469380312658</v>
      </c>
      <c r="L1837">
        <v>13.5928086015562</v>
      </c>
      <c r="M1837">
        <v>13.8186002292209</v>
      </c>
      <c r="N1837">
        <v>13.4382648854784</v>
      </c>
      <c r="O1837">
        <v>13.5726761324223</v>
      </c>
      <c r="P1837">
        <v>-4.3786303868611001E-2</v>
      </c>
      <c r="Q1837">
        <v>-0.439075926351226</v>
      </c>
      <c r="R1837">
        <v>0.35150331861400402</v>
      </c>
      <c r="S1837">
        <v>13.472366844877101</v>
      </c>
      <c r="T1837">
        <v>-0.233815278713049</v>
      </c>
      <c r="U1837">
        <v>-6.85388207670439</v>
      </c>
      <c r="V1837">
        <v>0.81793805905510897</v>
      </c>
      <c r="W1837">
        <v>0.99278624068726296</v>
      </c>
      <c r="X1837">
        <v>0</v>
      </c>
      <c r="Y1837">
        <v>0</v>
      </c>
    </row>
    <row r="1838" spans="1:25" x14ac:dyDescent="0.2">
      <c r="A1838" t="s">
        <v>6899</v>
      </c>
      <c r="B1838" t="s">
        <v>6900</v>
      </c>
      <c r="C1838" t="s">
        <v>6901</v>
      </c>
      <c r="D1838" t="s">
        <v>6902</v>
      </c>
      <c r="E1838" t="s">
        <v>6900</v>
      </c>
      <c r="F1838" t="s">
        <v>28</v>
      </c>
      <c r="G1838" t="s">
        <v>6900</v>
      </c>
      <c r="H1838" t="str">
        <f>"lec-3"</f>
        <v>lec-3</v>
      </c>
      <c r="I1838" t="s">
        <v>6902</v>
      </c>
      <c r="J1838">
        <v>14.688059120730999</v>
      </c>
      <c r="K1838">
        <v>15.289807078558001</v>
      </c>
      <c r="L1838">
        <v>14.3500093854</v>
      </c>
      <c r="M1838">
        <v>14.3305000623408</v>
      </c>
      <c r="N1838">
        <v>13.4042632629795</v>
      </c>
      <c r="O1838">
        <v>15.034417868602601</v>
      </c>
      <c r="P1838">
        <v>-0.51956479692205304</v>
      </c>
      <c r="Q1838">
        <v>-1.5094621113775599</v>
      </c>
      <c r="R1838">
        <v>0.47033251753345301</v>
      </c>
      <c r="S1838">
        <v>14.096437252176299</v>
      </c>
      <c r="T1838">
        <v>-1.10316909050864</v>
      </c>
      <c r="U1838">
        <v>-6.2675207577865697</v>
      </c>
      <c r="V1838">
        <v>0.28456861010669598</v>
      </c>
      <c r="W1838">
        <v>0.856190392347986</v>
      </c>
      <c r="X1838">
        <v>0</v>
      </c>
      <c r="Y1838">
        <v>0</v>
      </c>
    </row>
    <row r="1839" spans="1:25" x14ac:dyDescent="0.2">
      <c r="A1839" t="s">
        <v>6903</v>
      </c>
      <c r="B1839" t="s">
        <v>6904</v>
      </c>
      <c r="C1839" t="s">
        <v>6905</v>
      </c>
      <c r="D1839" t="s">
        <v>6906</v>
      </c>
      <c r="E1839" t="s">
        <v>6904</v>
      </c>
      <c r="F1839" t="s">
        <v>28</v>
      </c>
      <c r="G1839" t="s">
        <v>6904</v>
      </c>
      <c r="H1839" t="str">
        <f>"metr-1"</f>
        <v>metr-1</v>
      </c>
      <c r="I1839" t="s">
        <v>6906</v>
      </c>
      <c r="J1839">
        <v>13.545616726241599</v>
      </c>
      <c r="K1839">
        <v>14.195004419733699</v>
      </c>
      <c r="L1839">
        <v>13.870492633648199</v>
      </c>
      <c r="M1839">
        <v>14.503827733233599</v>
      </c>
      <c r="N1839">
        <v>14.6858780550945</v>
      </c>
      <c r="O1839">
        <v>14.408603127707501</v>
      </c>
      <c r="P1839">
        <v>0.66239837880406705</v>
      </c>
      <c r="Q1839">
        <v>0.16610256663189599</v>
      </c>
      <c r="R1839">
        <v>1.15869419097624</v>
      </c>
      <c r="S1839">
        <v>15.218898201967299</v>
      </c>
      <c r="T1839">
        <v>2.8052473672158702</v>
      </c>
      <c r="U1839">
        <v>-3.4818637253840001</v>
      </c>
      <c r="V1839">
        <v>1.1750455765526E-2</v>
      </c>
      <c r="W1839">
        <v>0.19651013461141001</v>
      </c>
      <c r="X1839">
        <v>0</v>
      </c>
      <c r="Y1839">
        <v>0</v>
      </c>
    </row>
    <row r="1840" spans="1:25" x14ac:dyDescent="0.2">
      <c r="A1840" t="s">
        <v>6907</v>
      </c>
      <c r="B1840" t="s">
        <v>6908</v>
      </c>
      <c r="C1840" t="s">
        <v>6909</v>
      </c>
      <c r="D1840" t="s">
        <v>6910</v>
      </c>
      <c r="E1840" t="s">
        <v>6908</v>
      </c>
      <c r="F1840" t="s">
        <v>28</v>
      </c>
      <c r="G1840" t="s">
        <v>6908</v>
      </c>
      <c r="H1840" t="str">
        <f>"rnp-7"</f>
        <v>rnp-7</v>
      </c>
      <c r="I1840" t="s">
        <v>6910</v>
      </c>
      <c r="J1840">
        <v>16.142365095872101</v>
      </c>
      <c r="K1840">
        <v>16.448249299085202</v>
      </c>
      <c r="L1840">
        <v>16.140465135962</v>
      </c>
      <c r="M1840">
        <v>15.9732302140199</v>
      </c>
      <c r="N1840">
        <v>15.500688256260601</v>
      </c>
      <c r="O1840">
        <v>15.7134737427658</v>
      </c>
      <c r="P1840">
        <v>-0.51456243929097001</v>
      </c>
      <c r="Q1840">
        <v>-1.0189260413178101</v>
      </c>
      <c r="R1840">
        <v>-1.0198837264124501E-2</v>
      </c>
      <c r="S1840">
        <v>16.270018776439201</v>
      </c>
      <c r="T1840">
        <v>-2.14430647497815</v>
      </c>
      <c r="U1840">
        <v>-4.7469791905600802</v>
      </c>
      <c r="V1840">
        <v>4.5994611030074899E-2</v>
      </c>
      <c r="W1840">
        <v>0.466677028988077</v>
      </c>
      <c r="X1840">
        <v>0</v>
      </c>
      <c r="Y1840">
        <v>0</v>
      </c>
    </row>
    <row r="1841" spans="1:25" x14ac:dyDescent="0.2">
      <c r="A1841" t="s">
        <v>6911</v>
      </c>
      <c r="B1841" t="s">
        <v>6912</v>
      </c>
      <c r="C1841" t="s">
        <v>6913</v>
      </c>
      <c r="D1841" t="s">
        <v>6914</v>
      </c>
      <c r="E1841" t="s">
        <v>6912</v>
      </c>
      <c r="F1841" t="s">
        <v>28</v>
      </c>
      <c r="G1841" t="s">
        <v>6912</v>
      </c>
      <c r="H1841" t="str">
        <f>"hira-1"</f>
        <v>hira-1</v>
      </c>
      <c r="I1841" t="s">
        <v>6914</v>
      </c>
      <c r="J1841" t="s">
        <v>29</v>
      </c>
      <c r="K1841" t="s">
        <v>29</v>
      </c>
      <c r="L1841" t="s">
        <v>29</v>
      </c>
      <c r="M1841" t="s">
        <v>29</v>
      </c>
      <c r="N1841" t="s">
        <v>29</v>
      </c>
      <c r="O1841">
        <v>13.0383845321228</v>
      </c>
      <c r="P1841" t="s">
        <v>29</v>
      </c>
      <c r="Q1841" t="s">
        <v>29</v>
      </c>
      <c r="R1841" t="s">
        <v>29</v>
      </c>
      <c r="S1841">
        <v>12.2457544308288</v>
      </c>
      <c r="T1841" t="s">
        <v>29</v>
      </c>
      <c r="U1841" t="s">
        <v>29</v>
      </c>
      <c r="V1841" t="s">
        <v>29</v>
      </c>
      <c r="W1841" t="s">
        <v>29</v>
      </c>
      <c r="X1841" t="s">
        <v>29</v>
      </c>
      <c r="Y1841" t="s">
        <v>29</v>
      </c>
    </row>
    <row r="1842" spans="1:25" x14ac:dyDescent="0.2">
      <c r="A1842" t="s">
        <v>6915</v>
      </c>
      <c r="B1842" t="s">
        <v>6916</v>
      </c>
      <c r="C1842" t="s">
        <v>6917</v>
      </c>
      <c r="D1842" t="s">
        <v>6918</v>
      </c>
      <c r="E1842" t="s">
        <v>6916</v>
      </c>
      <c r="F1842" t="s">
        <v>28</v>
      </c>
      <c r="G1842" t="s">
        <v>6916</v>
      </c>
      <c r="H1842" t="str">
        <f>"emb-8"</f>
        <v>emb-8</v>
      </c>
      <c r="I1842" t="s">
        <v>6918</v>
      </c>
      <c r="J1842">
        <v>12.945996784768001</v>
      </c>
      <c r="K1842">
        <v>13.0665958732358</v>
      </c>
      <c r="L1842">
        <v>13.0532564361739</v>
      </c>
      <c r="M1842">
        <v>13.5037359475362</v>
      </c>
      <c r="N1842">
        <v>12.8081190691884</v>
      </c>
      <c r="O1842">
        <v>12.936543929718299</v>
      </c>
      <c r="P1842">
        <v>6.0849950755098803E-2</v>
      </c>
      <c r="Q1842">
        <v>-0.46727405278983403</v>
      </c>
      <c r="R1842">
        <v>0.58897395430003097</v>
      </c>
      <c r="S1842">
        <v>12.954955580305301</v>
      </c>
      <c r="T1842">
        <v>0.24320602934593599</v>
      </c>
      <c r="U1842">
        <v>-6.8515421317924297</v>
      </c>
      <c r="V1842">
        <v>0.81077408377552496</v>
      </c>
      <c r="W1842">
        <v>0.99278624068726296</v>
      </c>
      <c r="X1842">
        <v>0</v>
      </c>
      <c r="Y1842">
        <v>0</v>
      </c>
    </row>
    <row r="1843" spans="1:25" x14ac:dyDescent="0.2">
      <c r="A1843" t="s">
        <v>6919</v>
      </c>
      <c r="B1843" t="s">
        <v>6920</v>
      </c>
      <c r="C1843" t="s">
        <v>6921</v>
      </c>
      <c r="D1843" t="s">
        <v>6922</v>
      </c>
      <c r="E1843" t="s">
        <v>6920</v>
      </c>
      <c r="F1843" t="s">
        <v>28</v>
      </c>
      <c r="G1843" t="s">
        <v>6920</v>
      </c>
      <c r="H1843" t="str">
        <f>"mix-1"</f>
        <v>mix-1</v>
      </c>
      <c r="I1843" t="s">
        <v>6922</v>
      </c>
      <c r="J1843">
        <v>13.2511962052382</v>
      </c>
      <c r="K1843">
        <v>13.313421040152001</v>
      </c>
      <c r="L1843">
        <v>13.408641036718601</v>
      </c>
      <c r="M1843">
        <v>13.3781565157364</v>
      </c>
      <c r="N1843">
        <v>13.2702776570443</v>
      </c>
      <c r="O1843">
        <v>13.100899678450601</v>
      </c>
      <c r="P1843">
        <v>-7.4641476959170602E-2</v>
      </c>
      <c r="Q1843">
        <v>-0.78956821271258004</v>
      </c>
      <c r="R1843">
        <v>0.64028525879423903</v>
      </c>
      <c r="S1843">
        <v>13.5971328468819</v>
      </c>
      <c r="T1843">
        <v>-0.21943767798424699</v>
      </c>
      <c r="U1843">
        <v>-6.8573639153625399</v>
      </c>
      <c r="V1843">
        <v>0.82879266448649502</v>
      </c>
      <c r="W1843">
        <v>0.99339170295129098</v>
      </c>
      <c r="X1843">
        <v>0</v>
      </c>
      <c r="Y1843">
        <v>0</v>
      </c>
    </row>
    <row r="1844" spans="1:25" x14ac:dyDescent="0.2">
      <c r="A1844" t="s">
        <v>6923</v>
      </c>
      <c r="B1844" t="s">
        <v>6924</v>
      </c>
      <c r="C1844" t="s">
        <v>14427</v>
      </c>
      <c r="D1844" t="s">
        <v>6925</v>
      </c>
      <c r="E1844" t="s">
        <v>6924</v>
      </c>
      <c r="F1844" t="s">
        <v>28</v>
      </c>
      <c r="G1844" t="s">
        <v>6924</v>
      </c>
      <c r="H1844" t="str">
        <f>"M106.2"</f>
        <v>M106.2</v>
      </c>
      <c r="I1844" t="s">
        <v>6925</v>
      </c>
      <c r="J1844" t="s">
        <v>29</v>
      </c>
      <c r="K1844" t="s">
        <v>29</v>
      </c>
      <c r="L1844">
        <v>13.110537833445299</v>
      </c>
      <c r="M1844" t="s">
        <v>29</v>
      </c>
      <c r="N1844" t="s">
        <v>29</v>
      </c>
      <c r="O1844" t="s">
        <v>29</v>
      </c>
      <c r="P1844" t="s">
        <v>29</v>
      </c>
      <c r="Q1844" t="s">
        <v>29</v>
      </c>
      <c r="R1844" t="s">
        <v>29</v>
      </c>
      <c r="S1844">
        <v>12.0395048926936</v>
      </c>
      <c r="T1844" t="s">
        <v>29</v>
      </c>
      <c r="U1844" t="s">
        <v>29</v>
      </c>
      <c r="V1844" t="s">
        <v>29</v>
      </c>
      <c r="W1844" t="s">
        <v>29</v>
      </c>
      <c r="X1844" t="s">
        <v>29</v>
      </c>
      <c r="Y1844" t="s">
        <v>29</v>
      </c>
    </row>
    <row r="1845" spans="1:25" x14ac:dyDescent="0.2">
      <c r="A1845" t="s">
        <v>6926</v>
      </c>
      <c r="B1845" t="s">
        <v>6927</v>
      </c>
      <c r="C1845" t="s">
        <v>6928</v>
      </c>
      <c r="D1845" t="s">
        <v>6929</v>
      </c>
      <c r="E1845" t="s">
        <v>6927</v>
      </c>
      <c r="F1845" t="s">
        <v>28</v>
      </c>
      <c r="G1845" t="s">
        <v>6927</v>
      </c>
      <c r="H1845" t="str">
        <f>"cdl-1"</f>
        <v>cdl-1</v>
      </c>
      <c r="I1845" t="s">
        <v>6929</v>
      </c>
      <c r="J1845">
        <v>12.979984425482099</v>
      </c>
      <c r="K1845">
        <v>12.5521452931489</v>
      </c>
      <c r="L1845">
        <v>13.149253035687201</v>
      </c>
      <c r="M1845">
        <v>13.2323045632599</v>
      </c>
      <c r="N1845">
        <v>13.243761490316301</v>
      </c>
      <c r="O1845">
        <v>12.8141655231986</v>
      </c>
      <c r="P1845">
        <v>0.202949607485547</v>
      </c>
      <c r="Q1845">
        <v>-0.55302734437092105</v>
      </c>
      <c r="R1845">
        <v>0.95892655934201398</v>
      </c>
      <c r="S1845">
        <v>13.5157687430127</v>
      </c>
      <c r="T1845">
        <v>0.56666928568909203</v>
      </c>
      <c r="U1845">
        <v>-6.7157782448842802</v>
      </c>
      <c r="V1845">
        <v>0.57839006235857204</v>
      </c>
      <c r="W1845">
        <v>0.96154852663020995</v>
      </c>
      <c r="X1845">
        <v>0</v>
      </c>
      <c r="Y1845">
        <v>0</v>
      </c>
    </row>
    <row r="1846" spans="1:25" x14ac:dyDescent="0.2">
      <c r="A1846" t="s">
        <v>6930</v>
      </c>
      <c r="B1846" t="s">
        <v>6931</v>
      </c>
      <c r="C1846" t="s">
        <v>6932</v>
      </c>
      <c r="D1846" t="s">
        <v>6933</v>
      </c>
      <c r="E1846" t="s">
        <v>6931</v>
      </c>
      <c r="F1846" t="s">
        <v>28</v>
      </c>
      <c r="G1846" t="s">
        <v>6931</v>
      </c>
      <c r="H1846" t="str">
        <f>"vps-11"</f>
        <v>vps-11</v>
      </c>
      <c r="I1846" t="s">
        <v>6933</v>
      </c>
      <c r="J1846">
        <v>12.388436278835901</v>
      </c>
      <c r="K1846">
        <v>12.2297930348136</v>
      </c>
      <c r="L1846">
        <v>13.1552455952835</v>
      </c>
      <c r="M1846">
        <v>12.596867126849901</v>
      </c>
      <c r="N1846">
        <v>12.7274885809626</v>
      </c>
      <c r="O1846">
        <v>12.043562411543</v>
      </c>
      <c r="P1846">
        <v>-0.135185596525842</v>
      </c>
      <c r="Q1846">
        <v>-0.77103956066725898</v>
      </c>
      <c r="R1846">
        <v>0.50066836761557598</v>
      </c>
      <c r="S1846">
        <v>12.830101663759701</v>
      </c>
      <c r="T1846">
        <v>-0.44685389903511502</v>
      </c>
      <c r="U1846">
        <v>-6.7787417231029004</v>
      </c>
      <c r="V1846">
        <v>0.66034147775740604</v>
      </c>
      <c r="W1846">
        <v>0.98382359994193702</v>
      </c>
      <c r="X1846">
        <v>0</v>
      </c>
      <c r="Y1846">
        <v>0</v>
      </c>
    </row>
    <row r="1847" spans="1:25" x14ac:dyDescent="0.2">
      <c r="A1847" t="s">
        <v>6934</v>
      </c>
      <c r="B1847" t="s">
        <v>6935</v>
      </c>
      <c r="C1847" t="s">
        <v>6936</v>
      </c>
      <c r="D1847" t="s">
        <v>6937</v>
      </c>
      <c r="E1847" t="s">
        <v>6935</v>
      </c>
      <c r="F1847" t="s">
        <v>28</v>
      </c>
      <c r="G1847" t="s">
        <v>6935</v>
      </c>
      <c r="H1847" t="str">
        <f>"npp-19"</f>
        <v>npp-19</v>
      </c>
      <c r="I1847" t="s">
        <v>6937</v>
      </c>
      <c r="J1847">
        <v>14.3258560269625</v>
      </c>
      <c r="K1847">
        <v>14.248531402427</v>
      </c>
      <c r="L1847">
        <v>14.2096501526634</v>
      </c>
      <c r="M1847">
        <v>13.810520612394299</v>
      </c>
      <c r="N1847">
        <v>14.0257868723605</v>
      </c>
      <c r="O1847">
        <v>14.2736369661431</v>
      </c>
      <c r="P1847">
        <v>-0.22469771038500699</v>
      </c>
      <c r="Q1847">
        <v>-0.62159292154178003</v>
      </c>
      <c r="R1847">
        <v>0.17219750077176599</v>
      </c>
      <c r="S1847">
        <v>13.918604926843599</v>
      </c>
      <c r="T1847">
        <v>-1.2008045312519999</v>
      </c>
      <c r="U1847">
        <v>-6.1568523430853599</v>
      </c>
      <c r="V1847">
        <v>0.247416503423289</v>
      </c>
      <c r="W1847">
        <v>0.83171931655829001</v>
      </c>
      <c r="X1847">
        <v>0</v>
      </c>
      <c r="Y1847">
        <v>0</v>
      </c>
    </row>
    <row r="1848" spans="1:25" x14ac:dyDescent="0.2">
      <c r="A1848" t="s">
        <v>6938</v>
      </c>
      <c r="B1848" t="s">
        <v>6939</v>
      </c>
      <c r="C1848" t="s">
        <v>6940</v>
      </c>
      <c r="D1848" t="s">
        <v>6941</v>
      </c>
      <c r="E1848" t="s">
        <v>6939</v>
      </c>
      <c r="F1848" t="s">
        <v>28</v>
      </c>
      <c r="G1848" t="s">
        <v>6939</v>
      </c>
      <c r="H1848" t="str">
        <f>"ech-4"</f>
        <v>ech-4</v>
      </c>
      <c r="I1848" t="s">
        <v>6941</v>
      </c>
      <c r="J1848">
        <v>12.818581236973101</v>
      </c>
      <c r="K1848">
        <v>12.961246800290301</v>
      </c>
      <c r="L1848">
        <v>12.5555868799231</v>
      </c>
      <c r="M1848" t="s">
        <v>29</v>
      </c>
      <c r="N1848">
        <v>12.641679883301901</v>
      </c>
      <c r="O1848">
        <v>12.4850803644071</v>
      </c>
      <c r="P1848">
        <v>-0.215091515207675</v>
      </c>
      <c r="Q1848">
        <v>-1.0103354861646601</v>
      </c>
      <c r="R1848">
        <v>0.58015245574931495</v>
      </c>
      <c r="S1848">
        <v>12.755183393725201</v>
      </c>
      <c r="T1848">
        <v>-0.57368358510280004</v>
      </c>
      <c r="U1848">
        <v>-6.6013296520972</v>
      </c>
      <c r="V1848">
        <v>0.57421029674047697</v>
      </c>
      <c r="W1848">
        <v>0.96052030798546795</v>
      </c>
      <c r="X1848">
        <v>0</v>
      </c>
      <c r="Y1848">
        <v>0</v>
      </c>
    </row>
    <row r="1849" spans="1:25" x14ac:dyDescent="0.2">
      <c r="A1849" t="s">
        <v>6942</v>
      </c>
      <c r="B1849" t="s">
        <v>6943</v>
      </c>
      <c r="C1849" t="s">
        <v>6944</v>
      </c>
      <c r="D1849" t="s">
        <v>6945</v>
      </c>
      <c r="E1849" t="s">
        <v>6943</v>
      </c>
      <c r="F1849" t="s">
        <v>28</v>
      </c>
      <c r="G1849" t="s">
        <v>6943</v>
      </c>
      <c r="H1849" t="str">
        <f>"gst-36"</f>
        <v>gst-36</v>
      </c>
      <c r="I1849" t="s">
        <v>6945</v>
      </c>
      <c r="J1849">
        <v>10.9691918970328</v>
      </c>
      <c r="K1849" t="s">
        <v>29</v>
      </c>
      <c r="L1849" t="s">
        <v>29</v>
      </c>
      <c r="M1849">
        <v>10.8165721586999</v>
      </c>
      <c r="N1849" t="s">
        <v>29</v>
      </c>
      <c r="O1849">
        <v>11.132894731659301</v>
      </c>
      <c r="P1849">
        <v>5.5415481467715501E-3</v>
      </c>
      <c r="Q1849">
        <v>-1.0143915388224001</v>
      </c>
      <c r="R1849">
        <v>1.0254746351159401</v>
      </c>
      <c r="S1849">
        <v>10.792828909760701</v>
      </c>
      <c r="T1849">
        <v>1.197256279415E-2</v>
      </c>
      <c r="U1849">
        <v>-6.4833499643258001</v>
      </c>
      <c r="V1849">
        <v>0.99066392530665204</v>
      </c>
      <c r="W1849">
        <v>0.99968702248720698</v>
      </c>
      <c r="X1849">
        <v>0</v>
      </c>
      <c r="Y1849">
        <v>0</v>
      </c>
    </row>
    <row r="1850" spans="1:25" x14ac:dyDescent="0.2">
      <c r="A1850" t="s">
        <v>6946</v>
      </c>
      <c r="B1850" t="s">
        <v>6947</v>
      </c>
      <c r="C1850" t="s">
        <v>6948</v>
      </c>
      <c r="D1850" t="s">
        <v>6949</v>
      </c>
      <c r="E1850" t="s">
        <v>6947</v>
      </c>
      <c r="F1850" t="s">
        <v>28</v>
      </c>
      <c r="G1850" t="s">
        <v>6947</v>
      </c>
      <c r="H1850" t="str">
        <f>"ptc-1"</f>
        <v>ptc-1</v>
      </c>
      <c r="I1850" t="s">
        <v>6949</v>
      </c>
      <c r="J1850" t="s">
        <v>29</v>
      </c>
      <c r="K1850" t="s">
        <v>29</v>
      </c>
      <c r="L1850">
        <v>10.440413268314201</v>
      </c>
      <c r="M1850" t="s">
        <v>29</v>
      </c>
      <c r="N1850" t="s">
        <v>29</v>
      </c>
      <c r="O1850">
        <v>10.0257745278454</v>
      </c>
      <c r="P1850">
        <v>-0.41463874046882199</v>
      </c>
      <c r="Q1850">
        <v>-1.4224332223493099</v>
      </c>
      <c r="R1850">
        <v>0.59315574141166705</v>
      </c>
      <c r="S1850">
        <v>11.650388812658401</v>
      </c>
      <c r="T1850">
        <v>-0.91804673618709498</v>
      </c>
      <c r="U1850">
        <v>-5.9121424457506802</v>
      </c>
      <c r="V1850">
        <v>0.38042745972734798</v>
      </c>
      <c r="W1850">
        <v>0.89676491877082198</v>
      </c>
      <c r="X1850">
        <v>0</v>
      </c>
      <c r="Y1850">
        <v>0</v>
      </c>
    </row>
    <row r="1851" spans="1:25" x14ac:dyDescent="0.2">
      <c r="A1851" t="s">
        <v>6950</v>
      </c>
      <c r="B1851" t="s">
        <v>6951</v>
      </c>
      <c r="C1851" t="s">
        <v>6952</v>
      </c>
      <c r="D1851" t="s">
        <v>6953</v>
      </c>
      <c r="E1851" t="s">
        <v>6951</v>
      </c>
      <c r="F1851" t="s">
        <v>28</v>
      </c>
      <c r="G1851" t="s">
        <v>6951</v>
      </c>
      <c r="H1851" t="str">
        <f>"puf-12"</f>
        <v>puf-12</v>
      </c>
      <c r="I1851" t="s">
        <v>6953</v>
      </c>
      <c r="J1851">
        <v>14.489155758124999</v>
      </c>
      <c r="K1851">
        <v>13.951242919407299</v>
      </c>
      <c r="L1851">
        <v>14.495697496080799</v>
      </c>
      <c r="M1851">
        <v>14.8084345702419</v>
      </c>
      <c r="N1851">
        <v>14.974463362736699</v>
      </c>
      <c r="O1851">
        <v>14.193992607438201</v>
      </c>
      <c r="P1851">
        <v>0.34693145560122401</v>
      </c>
      <c r="Q1851">
        <v>-0.32440194635320602</v>
      </c>
      <c r="R1851">
        <v>1.0182648575556501</v>
      </c>
      <c r="S1851">
        <v>15.1525417836142</v>
      </c>
      <c r="T1851">
        <v>1.08617033040764</v>
      </c>
      <c r="U1851">
        <v>-6.2857330508064999</v>
      </c>
      <c r="V1851">
        <v>0.29181887731885697</v>
      </c>
      <c r="W1851">
        <v>0.85855590823088301</v>
      </c>
      <c r="X1851">
        <v>0</v>
      </c>
      <c r="Y1851">
        <v>0</v>
      </c>
    </row>
    <row r="1852" spans="1:25" x14ac:dyDescent="0.2">
      <c r="A1852" t="s">
        <v>6954</v>
      </c>
      <c r="B1852" t="s">
        <v>6955</v>
      </c>
      <c r="C1852" t="s">
        <v>6956</v>
      </c>
      <c r="D1852" t="s">
        <v>3591</v>
      </c>
      <c r="E1852" t="s">
        <v>6955</v>
      </c>
      <c r="F1852" t="s">
        <v>28</v>
      </c>
      <c r="G1852" t="s">
        <v>6955</v>
      </c>
      <c r="H1852" t="str">
        <f>"pssy-1"</f>
        <v>pssy-1</v>
      </c>
      <c r="I1852" t="s">
        <v>3591</v>
      </c>
      <c r="J1852">
        <v>12.617113801865001</v>
      </c>
      <c r="K1852">
        <v>12.6451603452421</v>
      </c>
      <c r="L1852">
        <v>12.9412094934507</v>
      </c>
      <c r="M1852">
        <v>12.255746538033099</v>
      </c>
      <c r="N1852">
        <v>12.3748793044787</v>
      </c>
      <c r="O1852" t="s">
        <v>29</v>
      </c>
      <c r="P1852">
        <v>-0.41918162559668198</v>
      </c>
      <c r="Q1852">
        <v>-0.97786652511380001</v>
      </c>
      <c r="R1852">
        <v>0.13950327392043599</v>
      </c>
      <c r="S1852">
        <v>12.8215583250488</v>
      </c>
      <c r="T1852">
        <v>-1.5914200824459199</v>
      </c>
      <c r="U1852">
        <v>-5.5405586034963097</v>
      </c>
      <c r="V1852">
        <v>0.13120450157435901</v>
      </c>
      <c r="W1852">
        <v>0.72021766768664797</v>
      </c>
      <c r="X1852">
        <v>0</v>
      </c>
      <c r="Y1852">
        <v>0</v>
      </c>
    </row>
    <row r="1853" spans="1:25" x14ac:dyDescent="0.2">
      <c r="A1853" t="s">
        <v>6957</v>
      </c>
      <c r="B1853" t="s">
        <v>6958</v>
      </c>
      <c r="C1853" t="s">
        <v>6959</v>
      </c>
      <c r="D1853" t="s">
        <v>6960</v>
      </c>
      <c r="E1853" t="s">
        <v>6958</v>
      </c>
      <c r="F1853" t="s">
        <v>28</v>
      </c>
      <c r="G1853" t="s">
        <v>6958</v>
      </c>
      <c r="H1853" t="str">
        <f>"ZK1128.1"</f>
        <v>ZK1128.1</v>
      </c>
      <c r="I1853" t="s">
        <v>6960</v>
      </c>
      <c r="J1853">
        <v>13.191698137588</v>
      </c>
      <c r="K1853">
        <v>12.476670415707501</v>
      </c>
      <c r="L1853">
        <v>13.3358864255545</v>
      </c>
      <c r="M1853">
        <v>13.5017098111785</v>
      </c>
      <c r="N1853">
        <v>13.099651329873501</v>
      </c>
      <c r="O1853">
        <v>12.774360504522599</v>
      </c>
      <c r="P1853">
        <v>0.123822222241524</v>
      </c>
      <c r="Q1853">
        <v>-0.40471936603808301</v>
      </c>
      <c r="R1853">
        <v>0.65236381052113002</v>
      </c>
      <c r="S1853">
        <v>12.9102118173181</v>
      </c>
      <c r="T1853">
        <v>0.49450358193834598</v>
      </c>
      <c r="U1853">
        <v>-6.7552490418499804</v>
      </c>
      <c r="V1853">
        <v>0.62731898388084295</v>
      </c>
      <c r="W1853">
        <v>0.97279262440453396</v>
      </c>
      <c r="X1853">
        <v>0</v>
      </c>
      <c r="Y1853">
        <v>0</v>
      </c>
    </row>
    <row r="1854" spans="1:25" x14ac:dyDescent="0.2">
      <c r="A1854" t="s">
        <v>6961</v>
      </c>
      <c r="B1854" t="s">
        <v>6962</v>
      </c>
      <c r="C1854" t="s">
        <v>6963</v>
      </c>
      <c r="D1854" t="s">
        <v>6964</v>
      </c>
      <c r="E1854" t="s">
        <v>6962</v>
      </c>
      <c r="F1854" t="s">
        <v>28</v>
      </c>
      <c r="G1854" t="s">
        <v>6962</v>
      </c>
      <c r="H1854" t="str">
        <f>"gtf-2h3"</f>
        <v>gtf-2h3</v>
      </c>
      <c r="I1854" t="s">
        <v>6964</v>
      </c>
      <c r="J1854">
        <v>10.6756034699282</v>
      </c>
      <c r="K1854">
        <v>10.169374247017901</v>
      </c>
      <c r="L1854">
        <v>10.944200305678599</v>
      </c>
      <c r="M1854">
        <v>10.9251012467625</v>
      </c>
      <c r="N1854" t="s">
        <v>29</v>
      </c>
      <c r="O1854">
        <v>10.656344103663701</v>
      </c>
      <c r="P1854">
        <v>0.1943300010049</v>
      </c>
      <c r="Q1854">
        <v>-0.44012114384661499</v>
      </c>
      <c r="R1854">
        <v>0.82878114585641505</v>
      </c>
      <c r="S1854">
        <v>10.7797623979994</v>
      </c>
      <c r="T1854">
        <v>0.66226059040601404</v>
      </c>
      <c r="U1854">
        <v>-6.54287036151268</v>
      </c>
      <c r="V1854">
        <v>0.51946539155469496</v>
      </c>
      <c r="W1854">
        <v>0.94227592550871997</v>
      </c>
      <c r="X1854">
        <v>0</v>
      </c>
      <c r="Y1854">
        <v>0</v>
      </c>
    </row>
    <row r="1855" spans="1:25" x14ac:dyDescent="0.2">
      <c r="A1855" t="s">
        <v>6965</v>
      </c>
      <c r="B1855" t="s">
        <v>6966</v>
      </c>
      <c r="C1855" t="s">
        <v>6967</v>
      </c>
      <c r="D1855" t="s">
        <v>6968</v>
      </c>
      <c r="E1855" t="s">
        <v>6966</v>
      </c>
      <c r="F1855" t="s">
        <v>28</v>
      </c>
      <c r="G1855" t="s">
        <v>6966</v>
      </c>
      <c r="H1855" t="str">
        <f>"ham-3"</f>
        <v>ham-3</v>
      </c>
      <c r="I1855" t="s">
        <v>6968</v>
      </c>
      <c r="J1855">
        <v>12.5615698292142</v>
      </c>
      <c r="K1855">
        <v>12.2126909069689</v>
      </c>
      <c r="L1855">
        <v>12.166414851763699</v>
      </c>
      <c r="M1855">
        <v>12.3788422224338</v>
      </c>
      <c r="N1855">
        <v>12.205191631020799</v>
      </c>
      <c r="O1855">
        <v>12.164481473062599</v>
      </c>
      <c r="P1855">
        <v>-6.4053420476488696E-2</v>
      </c>
      <c r="Q1855">
        <v>-0.45771170069946099</v>
      </c>
      <c r="R1855">
        <v>0.32960485974648401</v>
      </c>
      <c r="S1855">
        <v>12.0970238014828</v>
      </c>
      <c r="T1855">
        <v>-0.34512185746281998</v>
      </c>
      <c r="U1855">
        <v>-6.8200768357854704</v>
      </c>
      <c r="V1855">
        <v>0.73452744350273902</v>
      </c>
      <c r="W1855">
        <v>0.99062225922210301</v>
      </c>
      <c r="X1855">
        <v>0</v>
      </c>
      <c r="Y1855">
        <v>0</v>
      </c>
    </row>
    <row r="1856" spans="1:25" x14ac:dyDescent="0.2">
      <c r="A1856" t="s">
        <v>6969</v>
      </c>
      <c r="B1856" t="s">
        <v>6970</v>
      </c>
      <c r="C1856" t="s">
        <v>6971</v>
      </c>
      <c r="D1856" t="s">
        <v>6972</v>
      </c>
      <c r="E1856" t="s">
        <v>6970</v>
      </c>
      <c r="F1856" t="s">
        <v>28</v>
      </c>
      <c r="G1856" t="s">
        <v>6970</v>
      </c>
      <c r="H1856" t="str">
        <f>"ZK1307.9"</f>
        <v>ZK1307.9</v>
      </c>
      <c r="I1856" t="s">
        <v>6972</v>
      </c>
      <c r="J1856" t="s">
        <v>29</v>
      </c>
      <c r="K1856" t="s">
        <v>29</v>
      </c>
      <c r="L1856" t="s">
        <v>29</v>
      </c>
      <c r="M1856" t="s">
        <v>29</v>
      </c>
      <c r="N1856" t="s">
        <v>29</v>
      </c>
      <c r="O1856" t="s">
        <v>29</v>
      </c>
      <c r="P1856" t="s">
        <v>29</v>
      </c>
      <c r="Q1856" t="s">
        <v>29</v>
      </c>
      <c r="R1856" t="s">
        <v>29</v>
      </c>
      <c r="S1856">
        <v>12.097889402192299</v>
      </c>
      <c r="T1856" t="s">
        <v>29</v>
      </c>
      <c r="U1856" t="s">
        <v>29</v>
      </c>
      <c r="V1856" t="s">
        <v>29</v>
      </c>
      <c r="W1856" t="s">
        <v>29</v>
      </c>
      <c r="X1856" t="s">
        <v>29</v>
      </c>
      <c r="Y1856" t="s">
        <v>29</v>
      </c>
    </row>
    <row r="1857" spans="1:25" x14ac:dyDescent="0.2">
      <c r="A1857" t="s">
        <v>6973</v>
      </c>
      <c r="B1857" t="s">
        <v>6974</v>
      </c>
      <c r="C1857" t="s">
        <v>14428</v>
      </c>
      <c r="D1857" t="s">
        <v>6975</v>
      </c>
      <c r="E1857" t="s">
        <v>6974</v>
      </c>
      <c r="F1857" t="s">
        <v>28</v>
      </c>
      <c r="G1857" t="s">
        <v>6974</v>
      </c>
      <c r="H1857" t="str">
        <f>"ZK1320.9"</f>
        <v>ZK1320.9</v>
      </c>
      <c r="I1857" t="s">
        <v>6975</v>
      </c>
      <c r="J1857">
        <v>12.3888256674394</v>
      </c>
      <c r="K1857">
        <v>11.9700463528097</v>
      </c>
      <c r="L1857">
        <v>11.9640909642173</v>
      </c>
      <c r="M1857">
        <v>11.573293055098899</v>
      </c>
      <c r="N1857">
        <v>11.904466103337001</v>
      </c>
      <c r="O1857">
        <v>11.6546884299173</v>
      </c>
      <c r="P1857">
        <v>-0.39683846537109302</v>
      </c>
      <c r="Q1857">
        <v>-0.89631771556871498</v>
      </c>
      <c r="R1857">
        <v>0.102640784826529</v>
      </c>
      <c r="S1857">
        <v>11.989338421796401</v>
      </c>
      <c r="T1857">
        <v>-1.68517823059196</v>
      </c>
      <c r="U1857">
        <v>-5.5094378198034004</v>
      </c>
      <c r="V1857">
        <v>0.11148252953648401</v>
      </c>
      <c r="W1857">
        <v>0.68517337256976496</v>
      </c>
      <c r="X1857">
        <v>0</v>
      </c>
      <c r="Y1857">
        <v>0</v>
      </c>
    </row>
    <row r="1858" spans="1:25" x14ac:dyDescent="0.2">
      <c r="A1858" t="s">
        <v>6976</v>
      </c>
      <c r="B1858" t="s">
        <v>6977</v>
      </c>
      <c r="C1858" t="s">
        <v>6978</v>
      </c>
      <c r="D1858" t="s">
        <v>6979</v>
      </c>
      <c r="E1858" t="s">
        <v>6977</v>
      </c>
      <c r="F1858" t="s">
        <v>28</v>
      </c>
      <c r="G1858" t="s">
        <v>6977</v>
      </c>
      <c r="H1858" t="str">
        <f>"cyp-44A1"</f>
        <v>cyp-44A1</v>
      </c>
      <c r="I1858" t="s">
        <v>6979</v>
      </c>
      <c r="J1858">
        <v>10.526580405224401</v>
      </c>
      <c r="K1858" t="s">
        <v>29</v>
      </c>
      <c r="L1858">
        <v>10.4564049637161</v>
      </c>
      <c r="M1858">
        <v>9.9590676380284098</v>
      </c>
      <c r="N1858">
        <v>10.722808820609799</v>
      </c>
      <c r="O1858" t="s">
        <v>29</v>
      </c>
      <c r="P1858">
        <v>-0.150554455151129</v>
      </c>
      <c r="Q1858">
        <v>-0.95183208458063495</v>
      </c>
      <c r="R1858">
        <v>0.650723174278377</v>
      </c>
      <c r="S1858">
        <v>10.851889633722299</v>
      </c>
      <c r="T1858">
        <v>-0.40625417572285999</v>
      </c>
      <c r="U1858">
        <v>-6.5953390475462603</v>
      </c>
      <c r="V1858">
        <v>0.69121716382013798</v>
      </c>
      <c r="W1858">
        <v>0.98642420921484297</v>
      </c>
      <c r="X1858">
        <v>0</v>
      </c>
      <c r="Y1858">
        <v>0</v>
      </c>
    </row>
    <row r="1859" spans="1:25" x14ac:dyDescent="0.2">
      <c r="A1859" t="s">
        <v>6980</v>
      </c>
      <c r="B1859" t="s">
        <v>6981</v>
      </c>
      <c r="C1859" t="s">
        <v>6982</v>
      </c>
      <c r="D1859" t="s">
        <v>6983</v>
      </c>
      <c r="E1859" t="s">
        <v>6981</v>
      </c>
      <c r="F1859" t="s">
        <v>28</v>
      </c>
      <c r="G1859" t="s">
        <v>6981</v>
      </c>
      <c r="H1859" t="str">
        <f>"K02C4.3"</f>
        <v>K02C4.3</v>
      </c>
      <c r="I1859" t="s">
        <v>6983</v>
      </c>
      <c r="J1859">
        <v>11.752020706658501</v>
      </c>
      <c r="K1859">
        <v>12.219091169347299</v>
      </c>
      <c r="L1859">
        <v>12.198473056035301</v>
      </c>
      <c r="M1859">
        <v>12.4499196586124</v>
      </c>
      <c r="N1859">
        <v>11.8193926409373</v>
      </c>
      <c r="O1859">
        <v>12.0681972222817</v>
      </c>
      <c r="P1859">
        <v>5.59748632634385E-2</v>
      </c>
      <c r="Q1859">
        <v>-0.46477362924212201</v>
      </c>
      <c r="R1859">
        <v>0.57672335576899902</v>
      </c>
      <c r="S1859">
        <v>12.1068295371332</v>
      </c>
      <c r="T1859">
        <v>0.22688983176812799</v>
      </c>
      <c r="U1859">
        <v>-6.8555490846121296</v>
      </c>
      <c r="V1859">
        <v>0.823232001233974</v>
      </c>
      <c r="W1859">
        <v>0.992837538801569</v>
      </c>
      <c r="X1859">
        <v>0</v>
      </c>
      <c r="Y1859">
        <v>0</v>
      </c>
    </row>
    <row r="1860" spans="1:25" x14ac:dyDescent="0.2">
      <c r="A1860" t="s">
        <v>6984</v>
      </c>
      <c r="B1860" t="s">
        <v>6985</v>
      </c>
      <c r="C1860" t="s">
        <v>6986</v>
      </c>
      <c r="D1860" t="s">
        <v>6987</v>
      </c>
      <c r="E1860" t="s">
        <v>6985</v>
      </c>
      <c r="F1860" t="s">
        <v>28</v>
      </c>
      <c r="G1860" t="s">
        <v>6985</v>
      </c>
      <c r="H1860" t="str">
        <f>"C53C9.2"</f>
        <v>C53C9.2</v>
      </c>
      <c r="I1860" t="s">
        <v>6987</v>
      </c>
      <c r="J1860">
        <v>13.909281422493001</v>
      </c>
      <c r="K1860">
        <v>13.577777128031</v>
      </c>
      <c r="L1860">
        <v>13.3828661767312</v>
      </c>
      <c r="M1860">
        <v>13.478799087252201</v>
      </c>
      <c r="N1860">
        <v>13.5919001866468</v>
      </c>
      <c r="O1860">
        <v>13.5288776201176</v>
      </c>
      <c r="P1860">
        <v>-9.0115944412851007E-2</v>
      </c>
      <c r="Q1860">
        <v>-0.51627452646559202</v>
      </c>
      <c r="R1860">
        <v>0.33604263763989001</v>
      </c>
      <c r="S1860">
        <v>13.109149369818301</v>
      </c>
      <c r="T1860">
        <v>-0.44635500905506997</v>
      </c>
      <c r="U1860">
        <v>-6.7786819294057601</v>
      </c>
      <c r="V1860">
        <v>0.66100882207338096</v>
      </c>
      <c r="W1860">
        <v>0.98382359994193702</v>
      </c>
      <c r="X1860">
        <v>0</v>
      </c>
      <c r="Y1860">
        <v>0</v>
      </c>
    </row>
    <row r="1861" spans="1:25" x14ac:dyDescent="0.2">
      <c r="A1861" t="s">
        <v>6988</v>
      </c>
      <c r="B1861" t="s">
        <v>6989</v>
      </c>
      <c r="C1861" t="s">
        <v>6990</v>
      </c>
      <c r="D1861" t="s">
        <v>6991</v>
      </c>
      <c r="E1861" t="s">
        <v>6989</v>
      </c>
      <c r="F1861" t="s">
        <v>28</v>
      </c>
      <c r="G1861" t="s">
        <v>6989</v>
      </c>
      <c r="H1861" t="str">
        <f>"sfxn-2"</f>
        <v>sfxn-2</v>
      </c>
      <c r="I1861" t="s">
        <v>6991</v>
      </c>
      <c r="J1861">
        <v>13.5916224527481</v>
      </c>
      <c r="K1861">
        <v>13.402013087847299</v>
      </c>
      <c r="L1861">
        <v>13.4424533517433</v>
      </c>
      <c r="M1861">
        <v>13.6345699760343</v>
      </c>
      <c r="N1861">
        <v>13.379283381375201</v>
      </c>
      <c r="O1861">
        <v>13.340312631962499</v>
      </c>
      <c r="P1861">
        <v>-2.73076343222503E-2</v>
      </c>
      <c r="Q1861">
        <v>-0.47807637763994998</v>
      </c>
      <c r="R1861">
        <v>0.42346110899544998</v>
      </c>
      <c r="S1861">
        <v>13.202034030763</v>
      </c>
      <c r="T1861">
        <v>-0.127873425009356</v>
      </c>
      <c r="U1861">
        <v>-6.8739233115837601</v>
      </c>
      <c r="V1861">
        <v>0.89975887529027498</v>
      </c>
      <c r="W1861">
        <v>0.99833354317360001</v>
      </c>
      <c r="X1861">
        <v>0</v>
      </c>
      <c r="Y1861">
        <v>0</v>
      </c>
    </row>
    <row r="1862" spans="1:25" x14ac:dyDescent="0.2">
      <c r="A1862" t="s">
        <v>6992</v>
      </c>
      <c r="B1862" t="s">
        <v>6993</v>
      </c>
      <c r="C1862" t="s">
        <v>6994</v>
      </c>
      <c r="D1862" t="s">
        <v>6995</v>
      </c>
      <c r="E1862" t="s">
        <v>6993</v>
      </c>
      <c r="F1862" t="s">
        <v>28</v>
      </c>
      <c r="G1862" t="s">
        <v>6993</v>
      </c>
      <c r="H1862" t="str">
        <f>"C17G10.1"</f>
        <v>C17G10.1</v>
      </c>
      <c r="I1862" t="s">
        <v>6995</v>
      </c>
      <c r="J1862">
        <v>13.592923351315299</v>
      </c>
      <c r="K1862">
        <v>13.1956342773712</v>
      </c>
      <c r="L1862">
        <v>13.332250905651801</v>
      </c>
      <c r="M1862">
        <v>13.522527067091501</v>
      </c>
      <c r="N1862">
        <v>13.3977015820423</v>
      </c>
      <c r="O1862">
        <v>13.622698597166201</v>
      </c>
      <c r="P1862">
        <v>0.14070623732059501</v>
      </c>
      <c r="Q1862">
        <v>-0.31287467363293903</v>
      </c>
      <c r="R1862">
        <v>0.59428714827412898</v>
      </c>
      <c r="S1862">
        <v>12.840562098064</v>
      </c>
      <c r="T1862">
        <v>0.65479988401505496</v>
      </c>
      <c r="U1862">
        <v>-6.6605931504865898</v>
      </c>
      <c r="V1862">
        <v>0.52141232983722496</v>
      </c>
      <c r="W1862">
        <v>0.94229050540486703</v>
      </c>
      <c r="X1862">
        <v>0</v>
      </c>
      <c r="Y1862">
        <v>0</v>
      </c>
    </row>
    <row r="1863" spans="1:25" x14ac:dyDescent="0.2">
      <c r="A1863" t="s">
        <v>6996</v>
      </c>
      <c r="B1863" t="s">
        <v>6997</v>
      </c>
      <c r="C1863" t="s">
        <v>6998</v>
      </c>
      <c r="D1863" t="s">
        <v>6999</v>
      </c>
      <c r="E1863" t="s">
        <v>6997</v>
      </c>
      <c r="F1863" t="s">
        <v>28</v>
      </c>
      <c r="G1863" t="s">
        <v>6997</v>
      </c>
      <c r="H1863" t="str">
        <f>"lys-8"</f>
        <v>lys-8</v>
      </c>
      <c r="I1863" t="s">
        <v>6999</v>
      </c>
      <c r="J1863" t="s">
        <v>29</v>
      </c>
      <c r="K1863" t="s">
        <v>29</v>
      </c>
      <c r="L1863" t="s">
        <v>29</v>
      </c>
      <c r="M1863" t="s">
        <v>29</v>
      </c>
      <c r="N1863" t="s">
        <v>29</v>
      </c>
      <c r="O1863" t="s">
        <v>29</v>
      </c>
      <c r="P1863" t="s">
        <v>29</v>
      </c>
      <c r="Q1863" t="s">
        <v>29</v>
      </c>
      <c r="R1863" t="s">
        <v>29</v>
      </c>
      <c r="S1863">
        <v>13.1262191349846</v>
      </c>
      <c r="T1863" t="s">
        <v>29</v>
      </c>
      <c r="U1863" t="s">
        <v>29</v>
      </c>
      <c r="V1863" t="s">
        <v>29</v>
      </c>
      <c r="W1863" t="s">
        <v>29</v>
      </c>
      <c r="X1863" t="s">
        <v>29</v>
      </c>
      <c r="Y1863" t="s">
        <v>29</v>
      </c>
    </row>
    <row r="1864" spans="1:25" x14ac:dyDescent="0.2">
      <c r="A1864" t="s">
        <v>7000</v>
      </c>
      <c r="B1864" t="s">
        <v>7001</v>
      </c>
      <c r="C1864" t="s">
        <v>7002</v>
      </c>
      <c r="D1864" t="s">
        <v>7003</v>
      </c>
      <c r="E1864" t="s">
        <v>7001</v>
      </c>
      <c r="F1864" t="s">
        <v>28</v>
      </c>
      <c r="G1864" t="s">
        <v>7001</v>
      </c>
      <c r="H1864" t="str">
        <f>"dhs-6"</f>
        <v>dhs-6</v>
      </c>
      <c r="I1864" t="s">
        <v>7003</v>
      </c>
      <c r="J1864">
        <v>13.834139939857</v>
      </c>
      <c r="K1864">
        <v>13.5325729113836</v>
      </c>
      <c r="L1864">
        <v>13.614637708815399</v>
      </c>
      <c r="M1864">
        <v>13.547089540324</v>
      </c>
      <c r="N1864">
        <v>13.4347751213138</v>
      </c>
      <c r="O1864">
        <v>13.0997829044073</v>
      </c>
      <c r="P1864">
        <v>-0.299900998003649</v>
      </c>
      <c r="Q1864">
        <v>-0.65828055710691102</v>
      </c>
      <c r="R1864">
        <v>5.8478561099613899E-2</v>
      </c>
      <c r="S1864">
        <v>13.545575967501501</v>
      </c>
      <c r="T1864">
        <v>-1.75884348050522</v>
      </c>
      <c r="U1864">
        <v>-5.3928621415571403</v>
      </c>
      <c r="V1864">
        <v>9.5691799520116499E-2</v>
      </c>
      <c r="W1864">
        <v>0.63976606113411705</v>
      </c>
      <c r="X1864">
        <v>0</v>
      </c>
      <c r="Y1864">
        <v>0</v>
      </c>
    </row>
    <row r="1865" spans="1:25" x14ac:dyDescent="0.2">
      <c r="A1865" t="s">
        <v>7004</v>
      </c>
      <c r="B1865" t="s">
        <v>7005</v>
      </c>
      <c r="C1865" t="s">
        <v>7006</v>
      </c>
      <c r="D1865" t="s">
        <v>7007</v>
      </c>
      <c r="E1865" t="s">
        <v>7005</v>
      </c>
      <c r="F1865" t="s">
        <v>28</v>
      </c>
      <c r="G1865" t="s">
        <v>7005</v>
      </c>
      <c r="H1865" t="str">
        <f>"lin-23"</f>
        <v>lin-23</v>
      </c>
      <c r="I1865" t="s">
        <v>7007</v>
      </c>
      <c r="J1865">
        <v>13.63141074845</v>
      </c>
      <c r="K1865">
        <v>13.7633152770407</v>
      </c>
      <c r="L1865">
        <v>13.465911065561199</v>
      </c>
      <c r="M1865">
        <v>13.708873789943</v>
      </c>
      <c r="N1865">
        <v>13.429201237090499</v>
      </c>
      <c r="O1865">
        <v>13.604109831441599</v>
      </c>
      <c r="P1865">
        <v>-3.9484077525589398E-2</v>
      </c>
      <c r="Q1865">
        <v>-0.45923559097384897</v>
      </c>
      <c r="R1865">
        <v>0.38026743592266998</v>
      </c>
      <c r="S1865">
        <v>13.242206124716599</v>
      </c>
      <c r="T1865">
        <v>-0.19855450189107501</v>
      </c>
      <c r="U1865">
        <v>-6.8618504586074298</v>
      </c>
      <c r="V1865">
        <v>0.84498090833366601</v>
      </c>
      <c r="W1865">
        <v>0.99370971747667503</v>
      </c>
      <c r="X1865">
        <v>0</v>
      </c>
      <c r="Y1865">
        <v>0</v>
      </c>
    </row>
    <row r="1866" spans="1:25" x14ac:dyDescent="0.2">
      <c r="A1866" t="s">
        <v>7008</v>
      </c>
      <c r="B1866" t="s">
        <v>7009</v>
      </c>
      <c r="C1866" t="s">
        <v>7010</v>
      </c>
      <c r="D1866" t="s">
        <v>7011</v>
      </c>
      <c r="E1866" t="s">
        <v>7009</v>
      </c>
      <c r="F1866" t="s">
        <v>28</v>
      </c>
      <c r="G1866" t="s">
        <v>7009</v>
      </c>
      <c r="H1866" t="str">
        <f>"ani-2"</f>
        <v>ani-2</v>
      </c>
      <c r="I1866" t="s">
        <v>7011</v>
      </c>
      <c r="J1866">
        <v>13.573245780889</v>
      </c>
      <c r="K1866">
        <v>13.4404975803879</v>
      </c>
      <c r="L1866">
        <v>13.639955258270399</v>
      </c>
      <c r="M1866">
        <v>13.5351437214585</v>
      </c>
      <c r="N1866">
        <v>13.792333507478601</v>
      </c>
      <c r="O1866">
        <v>13.086864361586001</v>
      </c>
      <c r="P1866">
        <v>-7.9785676341403503E-2</v>
      </c>
      <c r="Q1866">
        <v>-0.65357221188927705</v>
      </c>
      <c r="R1866">
        <v>0.49400085920647002</v>
      </c>
      <c r="S1866">
        <v>13.910644309191101</v>
      </c>
      <c r="T1866">
        <v>-0.29351114130418099</v>
      </c>
      <c r="U1866">
        <v>-6.8374519035835704</v>
      </c>
      <c r="V1866">
        <v>0.77270636954078797</v>
      </c>
      <c r="W1866">
        <v>0.99278624068726296</v>
      </c>
      <c r="X1866">
        <v>0</v>
      </c>
      <c r="Y1866">
        <v>0</v>
      </c>
    </row>
    <row r="1867" spans="1:25" x14ac:dyDescent="0.2">
      <c r="A1867" t="s">
        <v>7012</v>
      </c>
      <c r="B1867" t="s">
        <v>7013</v>
      </c>
      <c r="C1867" t="s">
        <v>7014</v>
      </c>
      <c r="D1867" t="s">
        <v>7015</v>
      </c>
      <c r="E1867" t="s">
        <v>7013</v>
      </c>
      <c r="F1867" t="s">
        <v>28</v>
      </c>
      <c r="G1867" t="s">
        <v>7013</v>
      </c>
      <c r="H1867" t="str">
        <f>"lars-1"</f>
        <v>lars-1</v>
      </c>
      <c r="I1867" t="s">
        <v>7015</v>
      </c>
      <c r="J1867">
        <v>16.643555325865801</v>
      </c>
      <c r="K1867">
        <v>16.534528445448501</v>
      </c>
      <c r="L1867">
        <v>16.569762931984101</v>
      </c>
      <c r="M1867">
        <v>16.795791927803499</v>
      </c>
      <c r="N1867">
        <v>16.565061144415399</v>
      </c>
      <c r="O1867">
        <v>16.5798766082703</v>
      </c>
      <c r="P1867">
        <v>6.4294325730259103E-2</v>
      </c>
      <c r="Q1867">
        <v>-0.25646387855973102</v>
      </c>
      <c r="R1867">
        <v>0.38505253002024897</v>
      </c>
      <c r="S1867">
        <v>16.487272832035899</v>
      </c>
      <c r="T1867">
        <v>0.42129604856388703</v>
      </c>
      <c r="U1867">
        <v>-6.7902127919875701</v>
      </c>
      <c r="V1867">
        <v>0.67855588232540798</v>
      </c>
      <c r="W1867">
        <v>0.98642420921484297</v>
      </c>
      <c r="X1867">
        <v>0</v>
      </c>
      <c r="Y1867">
        <v>0</v>
      </c>
    </row>
    <row r="1868" spans="1:25" x14ac:dyDescent="0.2">
      <c r="A1868" t="s">
        <v>7016</v>
      </c>
      <c r="B1868" t="s">
        <v>7017</v>
      </c>
      <c r="C1868" t="s">
        <v>14429</v>
      </c>
      <c r="D1868" t="s">
        <v>368</v>
      </c>
      <c r="E1868" t="s">
        <v>7017</v>
      </c>
      <c r="F1868" t="s">
        <v>28</v>
      </c>
      <c r="G1868" t="s">
        <v>7017</v>
      </c>
      <c r="H1868" t="str">
        <f>"K07A1.17"</f>
        <v>K07A1.17</v>
      </c>
      <c r="I1868" t="s">
        <v>368</v>
      </c>
      <c r="J1868">
        <v>11.9169558668217</v>
      </c>
      <c r="K1868" t="s">
        <v>29</v>
      </c>
      <c r="L1868">
        <v>12.4994288607322</v>
      </c>
      <c r="M1868">
        <v>11.779422938752701</v>
      </c>
      <c r="N1868">
        <v>11.9521130008083</v>
      </c>
      <c r="O1868" t="s">
        <v>29</v>
      </c>
      <c r="P1868">
        <v>-0.34242439399650099</v>
      </c>
      <c r="Q1868">
        <v>-0.93662261557180404</v>
      </c>
      <c r="R1868">
        <v>0.25177382757880301</v>
      </c>
      <c r="S1868">
        <v>12.6626029497899</v>
      </c>
      <c r="T1868">
        <v>-1.2568352731904699</v>
      </c>
      <c r="U1868">
        <v>-5.8915420344061102</v>
      </c>
      <c r="V1868">
        <v>0.232933145825786</v>
      </c>
      <c r="W1868">
        <v>0.81600158874549</v>
      </c>
      <c r="X1868">
        <v>0</v>
      </c>
      <c r="Y1868">
        <v>0</v>
      </c>
    </row>
    <row r="1869" spans="1:25" x14ac:dyDescent="0.2">
      <c r="A1869" t="s">
        <v>7018</v>
      </c>
      <c r="B1869" t="s">
        <v>7019</v>
      </c>
      <c r="C1869" t="s">
        <v>7020</v>
      </c>
      <c r="D1869" t="s">
        <v>7021</v>
      </c>
      <c r="E1869" t="s">
        <v>7019</v>
      </c>
      <c r="F1869" t="s">
        <v>28</v>
      </c>
      <c r="G1869" t="s">
        <v>7019</v>
      </c>
      <c r="H1869" t="str">
        <f>"che-10"</f>
        <v>che-10</v>
      </c>
      <c r="I1869" t="s">
        <v>7021</v>
      </c>
      <c r="J1869">
        <v>12.594757543619099</v>
      </c>
      <c r="K1869">
        <v>14.0176007970187</v>
      </c>
      <c r="L1869">
        <v>12.1162979179832</v>
      </c>
      <c r="M1869">
        <v>13.3733566579937</v>
      </c>
      <c r="N1869">
        <v>13.3408127012486</v>
      </c>
      <c r="O1869" t="s">
        <v>29</v>
      </c>
      <c r="P1869">
        <v>0.44753259341417401</v>
      </c>
      <c r="Q1869">
        <v>-0.652212897697101</v>
      </c>
      <c r="R1869">
        <v>1.5472780845254499</v>
      </c>
      <c r="S1869">
        <v>12.505275776064201</v>
      </c>
      <c r="T1869">
        <v>0.87342249467640698</v>
      </c>
      <c r="U1869">
        <v>-6.3794035874375403</v>
      </c>
      <c r="V1869">
        <v>0.39727670874084797</v>
      </c>
      <c r="W1869">
        <v>0.90975406915825197</v>
      </c>
      <c r="X1869">
        <v>0</v>
      </c>
      <c r="Y1869">
        <v>0</v>
      </c>
    </row>
    <row r="1870" spans="1:25" x14ac:dyDescent="0.2">
      <c r="A1870" t="s">
        <v>7022</v>
      </c>
      <c r="B1870" t="s">
        <v>7023</v>
      </c>
      <c r="C1870" t="s">
        <v>7024</v>
      </c>
      <c r="D1870" t="s">
        <v>7025</v>
      </c>
      <c r="E1870" t="s">
        <v>7023</v>
      </c>
      <c r="F1870" t="s">
        <v>28</v>
      </c>
      <c r="G1870" t="s">
        <v>7023</v>
      </c>
      <c r="H1870" t="str">
        <f>"tax-6"</f>
        <v>tax-6</v>
      </c>
      <c r="I1870" t="s">
        <v>7025</v>
      </c>
      <c r="J1870">
        <v>12.6551417606989</v>
      </c>
      <c r="K1870">
        <v>13.243100943012401</v>
      </c>
      <c r="L1870">
        <v>12.872474932960699</v>
      </c>
      <c r="M1870">
        <v>13.0640233915179</v>
      </c>
      <c r="N1870">
        <v>12.74888532119</v>
      </c>
      <c r="O1870">
        <v>13.376795595009</v>
      </c>
      <c r="P1870">
        <v>0.139662223681601</v>
      </c>
      <c r="Q1870">
        <v>-0.47416398149382499</v>
      </c>
      <c r="R1870">
        <v>0.75348842885702705</v>
      </c>
      <c r="S1870">
        <v>12.862389910357701</v>
      </c>
      <c r="T1870">
        <v>0.47821813398868701</v>
      </c>
      <c r="U1870">
        <v>-6.7637630167808602</v>
      </c>
      <c r="V1870">
        <v>0.63828505137165004</v>
      </c>
      <c r="W1870">
        <v>0.97476997913256702</v>
      </c>
      <c r="X1870">
        <v>0</v>
      </c>
      <c r="Y1870">
        <v>0</v>
      </c>
    </row>
    <row r="1871" spans="1:25" x14ac:dyDescent="0.2">
      <c r="A1871" t="s">
        <v>7026</v>
      </c>
      <c r="B1871" t="s">
        <v>7027</v>
      </c>
      <c r="C1871" t="s">
        <v>14430</v>
      </c>
      <c r="D1871" t="s">
        <v>2355</v>
      </c>
      <c r="E1871" t="s">
        <v>7027</v>
      </c>
      <c r="F1871" t="s">
        <v>28</v>
      </c>
      <c r="G1871" t="s">
        <v>7027</v>
      </c>
      <c r="H1871" t="str">
        <f>"F40F8.11"</f>
        <v>F40F8.11</v>
      </c>
      <c r="I1871" t="s">
        <v>2355</v>
      </c>
      <c r="J1871">
        <v>12.082257872563501</v>
      </c>
      <c r="K1871">
        <v>11.9827992392282</v>
      </c>
      <c r="L1871">
        <v>12.1065386428014</v>
      </c>
      <c r="M1871">
        <v>12.458306668008101</v>
      </c>
      <c r="N1871">
        <v>12.5615732061445</v>
      </c>
      <c r="O1871">
        <v>12.036051965357601</v>
      </c>
      <c r="P1871">
        <v>0.29477869497238801</v>
      </c>
      <c r="Q1871">
        <v>-9.4505903165905E-2</v>
      </c>
      <c r="R1871">
        <v>0.68406329311068104</v>
      </c>
      <c r="S1871">
        <v>12.6227883532175</v>
      </c>
      <c r="T1871">
        <v>1.5983757559637299</v>
      </c>
      <c r="U1871">
        <v>-5.6364458946454699</v>
      </c>
      <c r="V1871">
        <v>0.128492001721315</v>
      </c>
      <c r="W1871">
        <v>0.71998552612350397</v>
      </c>
      <c r="X1871">
        <v>0</v>
      </c>
      <c r="Y1871">
        <v>0</v>
      </c>
    </row>
    <row r="1872" spans="1:25" x14ac:dyDescent="0.2">
      <c r="A1872" t="s">
        <v>7028</v>
      </c>
      <c r="B1872" t="s">
        <v>7029</v>
      </c>
      <c r="C1872" t="s">
        <v>14431</v>
      </c>
      <c r="D1872" t="s">
        <v>7030</v>
      </c>
      <c r="E1872" t="s">
        <v>7029</v>
      </c>
      <c r="F1872" t="s">
        <v>28</v>
      </c>
      <c r="G1872" t="s">
        <v>7029</v>
      </c>
      <c r="H1872" t="str">
        <f>"M106.3"</f>
        <v>M106.3</v>
      </c>
      <c r="I1872" t="s">
        <v>7030</v>
      </c>
      <c r="J1872">
        <v>13.325558394116999</v>
      </c>
      <c r="K1872">
        <v>13.1464943892804</v>
      </c>
      <c r="L1872">
        <v>13.678940077342601</v>
      </c>
      <c r="M1872">
        <v>13.652242295365699</v>
      </c>
      <c r="N1872">
        <v>13.7841249271902</v>
      </c>
      <c r="O1872">
        <v>13.740229694530701</v>
      </c>
      <c r="P1872">
        <v>0.34186801878216</v>
      </c>
      <c r="Q1872">
        <v>-0.36051447790315599</v>
      </c>
      <c r="R1872">
        <v>1.0442505154674799</v>
      </c>
      <c r="S1872">
        <v>13.528076897592401</v>
      </c>
      <c r="T1872">
        <v>1.0323675010573301</v>
      </c>
      <c r="U1872">
        <v>-6.3400909612155703</v>
      </c>
      <c r="V1872">
        <v>0.31735309702159897</v>
      </c>
      <c r="W1872">
        <v>0.86534615141322802</v>
      </c>
      <c r="X1872">
        <v>0</v>
      </c>
      <c r="Y1872">
        <v>0</v>
      </c>
    </row>
    <row r="1873" spans="1:25" x14ac:dyDescent="0.2">
      <c r="A1873" t="s">
        <v>7031</v>
      </c>
      <c r="B1873" t="s">
        <v>7032</v>
      </c>
      <c r="C1873" t="s">
        <v>14432</v>
      </c>
      <c r="D1873" t="s">
        <v>368</v>
      </c>
      <c r="E1873" t="s">
        <v>7032</v>
      </c>
      <c r="F1873" t="s">
        <v>28</v>
      </c>
      <c r="G1873" t="s">
        <v>7032</v>
      </c>
      <c r="H1873" t="str">
        <f>"Y49A10A.2"</f>
        <v>Y49A10A.2</v>
      </c>
      <c r="I1873" t="s">
        <v>368</v>
      </c>
      <c r="J1873" t="s">
        <v>29</v>
      </c>
      <c r="K1873" t="s">
        <v>29</v>
      </c>
      <c r="L1873">
        <v>10.6043059987761</v>
      </c>
      <c r="M1873">
        <v>10.9595122656158</v>
      </c>
      <c r="N1873" t="s">
        <v>29</v>
      </c>
      <c r="O1873" t="s">
        <v>29</v>
      </c>
      <c r="P1873">
        <v>0.35520626683971901</v>
      </c>
      <c r="Q1873">
        <v>-0.69278771547338203</v>
      </c>
      <c r="R1873">
        <v>1.4032002491528199</v>
      </c>
      <c r="S1873">
        <v>10.418052385006799</v>
      </c>
      <c r="T1873">
        <v>0.87691878204240103</v>
      </c>
      <c r="U1873">
        <v>-5.9273053524824402</v>
      </c>
      <c r="V1873">
        <v>0.42147463382573702</v>
      </c>
      <c r="W1873">
        <v>0.91512503332874395</v>
      </c>
      <c r="X1873">
        <v>0</v>
      </c>
      <c r="Y1873">
        <v>0</v>
      </c>
    </row>
    <row r="1874" spans="1:25" x14ac:dyDescent="0.2">
      <c r="A1874" t="s">
        <v>7033</v>
      </c>
      <c r="B1874" t="s">
        <v>7034</v>
      </c>
      <c r="C1874" t="s">
        <v>7035</v>
      </c>
      <c r="D1874" t="s">
        <v>2879</v>
      </c>
      <c r="E1874" t="s">
        <v>7034</v>
      </c>
      <c r="F1874" t="s">
        <v>28</v>
      </c>
      <c r="G1874" t="s">
        <v>7034</v>
      </c>
      <c r="H1874" t="str">
        <f>"R144.6"</f>
        <v>R144.6</v>
      </c>
      <c r="I1874" t="s">
        <v>2879</v>
      </c>
      <c r="J1874" t="s">
        <v>29</v>
      </c>
      <c r="K1874">
        <v>12.686057911215</v>
      </c>
      <c r="L1874">
        <v>11.3881723230242</v>
      </c>
      <c r="M1874" t="s">
        <v>29</v>
      </c>
      <c r="N1874" t="s">
        <v>29</v>
      </c>
      <c r="O1874">
        <v>12.3247669152261</v>
      </c>
      <c r="P1874">
        <v>0.28765179810652702</v>
      </c>
      <c r="Q1874">
        <v>-1.0858444195961501</v>
      </c>
      <c r="R1874">
        <v>1.6611480158092</v>
      </c>
      <c r="S1874">
        <v>12.6586503254101</v>
      </c>
      <c r="T1874">
        <v>0.46149533850848701</v>
      </c>
      <c r="U1874">
        <v>-6.3709469997456303</v>
      </c>
      <c r="V1874">
        <v>0.653520488886835</v>
      </c>
      <c r="W1874">
        <v>0.98150210052054998</v>
      </c>
      <c r="X1874">
        <v>0</v>
      </c>
      <c r="Y1874">
        <v>0</v>
      </c>
    </row>
    <row r="1875" spans="1:25" x14ac:dyDescent="0.2">
      <c r="A1875" t="s">
        <v>7036</v>
      </c>
      <c r="B1875" t="s">
        <v>7037</v>
      </c>
      <c r="C1875" t="s">
        <v>7038</v>
      </c>
      <c r="D1875" t="s">
        <v>7039</v>
      </c>
      <c r="E1875" t="s">
        <v>7037</v>
      </c>
      <c r="F1875" t="s">
        <v>28</v>
      </c>
      <c r="G1875" t="s">
        <v>7037</v>
      </c>
      <c r="H1875" t="str">
        <f>"T19C3.4"</f>
        <v>T19C3.4</v>
      </c>
      <c r="I1875" t="s">
        <v>7039</v>
      </c>
      <c r="J1875">
        <v>11.6202341031212</v>
      </c>
      <c r="K1875">
        <v>11.934430819817001</v>
      </c>
      <c r="L1875">
        <v>12.602618217023601</v>
      </c>
      <c r="M1875">
        <v>11.9312278718389</v>
      </c>
      <c r="N1875">
        <v>12.1537366128575</v>
      </c>
      <c r="O1875">
        <v>12.5924911966931</v>
      </c>
      <c r="P1875">
        <v>0.17339084714255601</v>
      </c>
      <c r="Q1875">
        <v>-0.38330000565641598</v>
      </c>
      <c r="R1875">
        <v>0.73008169994152905</v>
      </c>
      <c r="S1875">
        <v>12.582299845263201</v>
      </c>
      <c r="T1875">
        <v>0.65744904112233504</v>
      </c>
      <c r="U1875">
        <v>-6.6588168135179799</v>
      </c>
      <c r="V1875">
        <v>0.51974948878404703</v>
      </c>
      <c r="W1875">
        <v>0.94227592550871997</v>
      </c>
      <c r="X1875">
        <v>0</v>
      </c>
      <c r="Y1875">
        <v>0</v>
      </c>
    </row>
    <row r="1876" spans="1:25" x14ac:dyDescent="0.2">
      <c r="A1876" t="s">
        <v>7040</v>
      </c>
      <c r="B1876" t="s">
        <v>7041</v>
      </c>
      <c r="C1876" t="s">
        <v>7042</v>
      </c>
      <c r="D1876" t="s">
        <v>7043</v>
      </c>
      <c r="E1876" t="s">
        <v>7041</v>
      </c>
      <c r="F1876" t="s">
        <v>28</v>
      </c>
      <c r="G1876" t="s">
        <v>7041</v>
      </c>
      <c r="H1876" t="str">
        <f>"snr-3"</f>
        <v>snr-3</v>
      </c>
      <c r="I1876" t="s">
        <v>7043</v>
      </c>
      <c r="J1876">
        <v>14.668662452007</v>
      </c>
      <c r="K1876">
        <v>15.324900993056101</v>
      </c>
      <c r="L1876">
        <v>15.253942050432901</v>
      </c>
      <c r="M1876">
        <v>15.2760324556466</v>
      </c>
      <c r="N1876">
        <v>15.140460841966901</v>
      </c>
      <c r="O1876">
        <v>14.526947783315499</v>
      </c>
      <c r="P1876">
        <v>-0.10135480485569</v>
      </c>
      <c r="Q1876">
        <v>-0.80148768524135505</v>
      </c>
      <c r="R1876">
        <v>0.59877807552997397</v>
      </c>
      <c r="S1876">
        <v>15.402443075349201</v>
      </c>
      <c r="T1876">
        <v>-0.304268070909128</v>
      </c>
      <c r="U1876">
        <v>-6.8342431705398496</v>
      </c>
      <c r="V1876">
        <v>0.76443351187581299</v>
      </c>
      <c r="W1876">
        <v>0.99278624068726296</v>
      </c>
      <c r="X1876">
        <v>0</v>
      </c>
      <c r="Y1876">
        <v>0</v>
      </c>
    </row>
    <row r="1877" spans="1:25" x14ac:dyDescent="0.2">
      <c r="A1877" t="s">
        <v>7044</v>
      </c>
      <c r="B1877" t="s">
        <v>7045</v>
      </c>
      <c r="C1877" t="s">
        <v>7046</v>
      </c>
      <c r="D1877" t="s">
        <v>7047</v>
      </c>
      <c r="E1877" t="s">
        <v>7045</v>
      </c>
      <c r="F1877" t="s">
        <v>28</v>
      </c>
      <c r="G1877" t="s">
        <v>7045</v>
      </c>
      <c r="H1877" t="str">
        <f>"rsp-5"</f>
        <v>rsp-5</v>
      </c>
      <c r="I1877" t="s">
        <v>7047</v>
      </c>
      <c r="J1877">
        <v>14.3056082887163</v>
      </c>
      <c r="K1877">
        <v>13.3365117896626</v>
      </c>
      <c r="L1877">
        <v>14.4287405559124</v>
      </c>
      <c r="M1877">
        <v>14.1769673350556</v>
      </c>
      <c r="N1877">
        <v>14.1269486623742</v>
      </c>
      <c r="O1877">
        <v>14.4137683786628</v>
      </c>
      <c r="P1877">
        <v>0.21560791393377299</v>
      </c>
      <c r="Q1877">
        <v>-0.405588913362457</v>
      </c>
      <c r="R1877">
        <v>0.83680474123000403</v>
      </c>
      <c r="S1877">
        <v>14.057576103717</v>
      </c>
      <c r="T1877">
        <v>0.73618166777629401</v>
      </c>
      <c r="U1877">
        <v>-6.6022300008278503</v>
      </c>
      <c r="V1877">
        <v>0.47234574831298698</v>
      </c>
      <c r="W1877">
        <v>0.93125986397252403</v>
      </c>
      <c r="X1877">
        <v>0</v>
      </c>
      <c r="Y1877">
        <v>0</v>
      </c>
    </row>
    <row r="1878" spans="1:25" x14ac:dyDescent="0.2">
      <c r="A1878" t="s">
        <v>7048</v>
      </c>
      <c r="B1878" t="s">
        <v>7049</v>
      </c>
      <c r="C1878" t="s">
        <v>7050</v>
      </c>
      <c r="D1878" t="s">
        <v>7051</v>
      </c>
      <c r="E1878" t="s">
        <v>7049</v>
      </c>
      <c r="F1878" t="s">
        <v>28</v>
      </c>
      <c r="G1878" t="s">
        <v>7049</v>
      </c>
      <c r="H1878" t="str">
        <f>"vhp-1"</f>
        <v>vhp-1</v>
      </c>
      <c r="I1878" t="s">
        <v>7051</v>
      </c>
      <c r="J1878">
        <v>11.992319459789099</v>
      </c>
      <c r="K1878">
        <v>12.818152795585201</v>
      </c>
      <c r="L1878">
        <v>10.430246131467401</v>
      </c>
      <c r="M1878">
        <v>12.4176881007722</v>
      </c>
      <c r="N1878">
        <v>12.533191265807901</v>
      </c>
      <c r="O1878">
        <v>12.138273665599099</v>
      </c>
      <c r="P1878">
        <v>0.61614488177919402</v>
      </c>
      <c r="Q1878">
        <v>-0.34077196332381599</v>
      </c>
      <c r="R1878">
        <v>1.5730617268822</v>
      </c>
      <c r="S1878">
        <v>12.2436779259213</v>
      </c>
      <c r="T1878">
        <v>1.35912267655131</v>
      </c>
      <c r="U1878">
        <v>-5.9641699203796703</v>
      </c>
      <c r="V1878">
        <v>0.19197511333904499</v>
      </c>
      <c r="W1878">
        <v>0.78295732499061499</v>
      </c>
      <c r="X1878">
        <v>0</v>
      </c>
      <c r="Y1878">
        <v>0</v>
      </c>
    </row>
    <row r="1879" spans="1:25" x14ac:dyDescent="0.2">
      <c r="A1879" t="s">
        <v>7052</v>
      </c>
      <c r="B1879" t="s">
        <v>7053</v>
      </c>
      <c r="C1879" t="s">
        <v>7054</v>
      </c>
      <c r="D1879" t="s">
        <v>7055</v>
      </c>
      <c r="E1879" t="s">
        <v>7053</v>
      </c>
      <c r="F1879" t="s">
        <v>28</v>
      </c>
      <c r="G1879" t="s">
        <v>7053</v>
      </c>
      <c r="H1879" t="str">
        <f>"gars-1"</f>
        <v>gars-1</v>
      </c>
      <c r="I1879" t="s">
        <v>7055</v>
      </c>
      <c r="J1879">
        <v>16.268754869403502</v>
      </c>
      <c r="K1879">
        <v>15.8637325553261</v>
      </c>
      <c r="L1879">
        <v>16.084426472224699</v>
      </c>
      <c r="M1879">
        <v>16.1213065131085</v>
      </c>
      <c r="N1879">
        <v>16.185196110178801</v>
      </c>
      <c r="O1879">
        <v>15.9818510478751</v>
      </c>
      <c r="P1879">
        <v>2.3813258069370801E-2</v>
      </c>
      <c r="Q1879">
        <v>-0.43853488677716701</v>
      </c>
      <c r="R1879">
        <v>0.48616140291590798</v>
      </c>
      <c r="S1879">
        <v>15.623288071602699</v>
      </c>
      <c r="T1879">
        <v>0.108253566217965</v>
      </c>
      <c r="U1879">
        <v>-6.8763685299204598</v>
      </c>
      <c r="V1879">
        <v>0.91499911299094705</v>
      </c>
      <c r="W1879">
        <v>0.99833354317360001</v>
      </c>
      <c r="X1879">
        <v>0</v>
      </c>
      <c r="Y1879">
        <v>0</v>
      </c>
    </row>
    <row r="1880" spans="1:25" x14ac:dyDescent="0.2">
      <c r="A1880" t="s">
        <v>7056</v>
      </c>
      <c r="B1880" t="s">
        <v>7057</v>
      </c>
      <c r="C1880" t="s">
        <v>7058</v>
      </c>
      <c r="D1880" t="s">
        <v>7059</v>
      </c>
      <c r="E1880" t="s">
        <v>7057</v>
      </c>
      <c r="F1880" t="s">
        <v>28</v>
      </c>
      <c r="G1880" t="s">
        <v>7057</v>
      </c>
      <c r="H1880" t="str">
        <f>"unc-50"</f>
        <v>unc-50</v>
      </c>
      <c r="I1880" t="s">
        <v>7059</v>
      </c>
      <c r="J1880">
        <v>14.7171737118944</v>
      </c>
      <c r="K1880">
        <v>14.802326074575401</v>
      </c>
      <c r="L1880">
        <v>14.9031416354076</v>
      </c>
      <c r="M1880">
        <v>14.6570836529334</v>
      </c>
      <c r="N1880">
        <v>14.872691228330501</v>
      </c>
      <c r="O1880">
        <v>14.7161567363797</v>
      </c>
      <c r="P1880">
        <v>-5.8903268077932197E-2</v>
      </c>
      <c r="Q1880">
        <v>-0.58965065062534205</v>
      </c>
      <c r="R1880">
        <v>0.47184411446947799</v>
      </c>
      <c r="S1880">
        <v>14.7119587468499</v>
      </c>
      <c r="T1880">
        <v>-0.23326202586335501</v>
      </c>
      <c r="U1880">
        <v>-6.8541034169083002</v>
      </c>
      <c r="V1880">
        <v>0.81820532337617102</v>
      </c>
      <c r="W1880">
        <v>0.99278624068726296</v>
      </c>
      <c r="X1880">
        <v>0</v>
      </c>
      <c r="Y1880">
        <v>0</v>
      </c>
    </row>
    <row r="1881" spans="1:25" x14ac:dyDescent="0.2">
      <c r="A1881" t="s">
        <v>7060</v>
      </c>
      <c r="B1881" t="s">
        <v>7061</v>
      </c>
      <c r="C1881" t="s">
        <v>14433</v>
      </c>
      <c r="D1881" t="s">
        <v>7062</v>
      </c>
      <c r="E1881" t="s">
        <v>7061</v>
      </c>
      <c r="F1881" t="s">
        <v>28</v>
      </c>
      <c r="G1881" t="s">
        <v>7061</v>
      </c>
      <c r="H1881" t="str">
        <f>"T10F2.2"</f>
        <v>T10F2.2</v>
      </c>
      <c r="I1881" t="s">
        <v>7062</v>
      </c>
      <c r="J1881">
        <v>15.7744179715193</v>
      </c>
      <c r="K1881">
        <v>15.5669814721868</v>
      </c>
      <c r="L1881">
        <v>15.541520385731699</v>
      </c>
      <c r="M1881">
        <v>15.7804233482959</v>
      </c>
      <c r="N1881">
        <v>15.425360630003199</v>
      </c>
      <c r="O1881">
        <v>15.7033245692596</v>
      </c>
      <c r="P1881">
        <v>8.7295727069704992E-3</v>
      </c>
      <c r="Q1881">
        <v>-0.55954446809185499</v>
      </c>
      <c r="R1881">
        <v>0.57700361350579599</v>
      </c>
      <c r="S1881">
        <v>15.2147965633071</v>
      </c>
      <c r="T1881">
        <v>3.2286999133535201E-2</v>
      </c>
      <c r="U1881">
        <v>-6.8819449121082101</v>
      </c>
      <c r="V1881">
        <v>0.974600569021845</v>
      </c>
      <c r="W1881">
        <v>0.99968702248720698</v>
      </c>
      <c r="X1881">
        <v>0</v>
      </c>
      <c r="Y1881">
        <v>0</v>
      </c>
    </row>
    <row r="1882" spans="1:25" x14ac:dyDescent="0.2">
      <c r="A1882" t="s">
        <v>7063</v>
      </c>
      <c r="B1882" t="s">
        <v>7064</v>
      </c>
      <c r="C1882" t="s">
        <v>7065</v>
      </c>
      <c r="D1882" t="s">
        <v>7066</v>
      </c>
      <c r="E1882" t="s">
        <v>7064</v>
      </c>
      <c r="F1882" t="s">
        <v>28</v>
      </c>
      <c r="G1882" t="s">
        <v>7064</v>
      </c>
      <c r="H1882" t="str">
        <f>"C23G10.2"</f>
        <v>C23G10.2</v>
      </c>
      <c r="I1882" t="s">
        <v>7066</v>
      </c>
      <c r="J1882" t="s">
        <v>29</v>
      </c>
      <c r="K1882" t="s">
        <v>29</v>
      </c>
      <c r="L1882" t="s">
        <v>29</v>
      </c>
      <c r="M1882" t="s">
        <v>29</v>
      </c>
      <c r="N1882">
        <v>12.1939326945144</v>
      </c>
      <c r="O1882" t="s">
        <v>29</v>
      </c>
      <c r="P1882" t="s">
        <v>29</v>
      </c>
      <c r="Q1882" t="s">
        <v>29</v>
      </c>
      <c r="R1882" t="s">
        <v>29</v>
      </c>
      <c r="S1882">
        <v>12.4109265870279</v>
      </c>
      <c r="T1882" t="s">
        <v>29</v>
      </c>
      <c r="U1882" t="s">
        <v>29</v>
      </c>
      <c r="V1882" t="s">
        <v>29</v>
      </c>
      <c r="W1882" t="s">
        <v>29</v>
      </c>
      <c r="X1882" t="s">
        <v>29</v>
      </c>
      <c r="Y1882" t="s">
        <v>29</v>
      </c>
    </row>
    <row r="1883" spans="1:25" x14ac:dyDescent="0.2">
      <c r="A1883" t="s">
        <v>7067</v>
      </c>
      <c r="B1883" t="s">
        <v>7068</v>
      </c>
      <c r="C1883" t="s">
        <v>7069</v>
      </c>
      <c r="D1883" t="s">
        <v>7070</v>
      </c>
      <c r="E1883" t="s">
        <v>7068</v>
      </c>
      <c r="F1883" t="s">
        <v>28</v>
      </c>
      <c r="G1883" t="s">
        <v>7068</v>
      </c>
      <c r="H1883" t="str">
        <f>"F52C9.3"</f>
        <v>F52C9.3</v>
      </c>
      <c r="I1883" t="s">
        <v>7070</v>
      </c>
      <c r="J1883">
        <v>14.1584220516276</v>
      </c>
      <c r="K1883">
        <v>13.960481091697901</v>
      </c>
      <c r="L1883">
        <v>14.295566758885901</v>
      </c>
      <c r="M1883">
        <v>14.1489426886688</v>
      </c>
      <c r="N1883">
        <v>13.958500200181099</v>
      </c>
      <c r="O1883">
        <v>13.999088395616599</v>
      </c>
      <c r="P1883">
        <v>-0.10264620591498599</v>
      </c>
      <c r="Q1883">
        <v>-0.44419441669030102</v>
      </c>
      <c r="R1883">
        <v>0.238902004860328</v>
      </c>
      <c r="S1883">
        <v>14.0905096885367</v>
      </c>
      <c r="T1883">
        <v>-0.63166003471535304</v>
      </c>
      <c r="U1883">
        <v>-6.6763294746120803</v>
      </c>
      <c r="V1883">
        <v>0.53559562329034605</v>
      </c>
      <c r="W1883">
        <v>0.94526336017457002</v>
      </c>
      <c r="X1883">
        <v>0</v>
      </c>
      <c r="Y1883">
        <v>0</v>
      </c>
    </row>
    <row r="1884" spans="1:25" x14ac:dyDescent="0.2">
      <c r="A1884" t="s">
        <v>7071</v>
      </c>
      <c r="B1884" t="s">
        <v>7072</v>
      </c>
      <c r="C1884" t="s">
        <v>7073</v>
      </c>
      <c r="D1884" t="s">
        <v>7074</v>
      </c>
      <c r="E1884" t="s">
        <v>7072</v>
      </c>
      <c r="F1884" t="s">
        <v>28</v>
      </c>
      <c r="G1884" t="s">
        <v>7072</v>
      </c>
      <c r="H1884" t="str">
        <f>"pqe-1"</f>
        <v>pqe-1</v>
      </c>
      <c r="I1884" t="s">
        <v>7074</v>
      </c>
      <c r="J1884">
        <v>12.6393252836298</v>
      </c>
      <c r="K1884">
        <v>13.429319869489101</v>
      </c>
      <c r="L1884">
        <v>12.7620584787642</v>
      </c>
      <c r="M1884">
        <v>12.593290943861399</v>
      </c>
      <c r="N1884">
        <v>12.50746658978</v>
      </c>
      <c r="O1884">
        <v>13.107271576932799</v>
      </c>
      <c r="P1884">
        <v>-0.207558173769611</v>
      </c>
      <c r="Q1884">
        <v>-0.72637999860229396</v>
      </c>
      <c r="R1884">
        <v>0.31126365106307202</v>
      </c>
      <c r="S1884">
        <v>12.8725181219832</v>
      </c>
      <c r="T1884">
        <v>-0.84853768289479803</v>
      </c>
      <c r="U1884">
        <v>-6.5121899873237803</v>
      </c>
      <c r="V1884">
        <v>0.40873601851321101</v>
      </c>
      <c r="W1884">
        <v>0.91512503332874395</v>
      </c>
      <c r="X1884">
        <v>0</v>
      </c>
      <c r="Y1884">
        <v>0</v>
      </c>
    </row>
    <row r="1885" spans="1:25" x14ac:dyDescent="0.2">
      <c r="A1885" t="s">
        <v>7075</v>
      </c>
      <c r="B1885" t="s">
        <v>7076</v>
      </c>
      <c r="C1885" t="s">
        <v>7077</v>
      </c>
      <c r="D1885" t="s">
        <v>7078</v>
      </c>
      <c r="E1885" t="s">
        <v>7076</v>
      </c>
      <c r="F1885" t="s">
        <v>28</v>
      </c>
      <c r="G1885" t="s">
        <v>7076</v>
      </c>
      <c r="H1885" t="str">
        <f>"mrps-16"</f>
        <v>mrps-16</v>
      </c>
      <c r="I1885" t="s">
        <v>7078</v>
      </c>
      <c r="J1885">
        <v>12.1843446595831</v>
      </c>
      <c r="K1885">
        <v>12.328135967242901</v>
      </c>
      <c r="L1885">
        <v>12.232688788720299</v>
      </c>
      <c r="M1885">
        <v>12.0147928194631</v>
      </c>
      <c r="N1885">
        <v>12.0851882849645</v>
      </c>
      <c r="O1885" t="s">
        <v>29</v>
      </c>
      <c r="P1885">
        <v>-0.198399252968326</v>
      </c>
      <c r="Q1885">
        <v>-1.1505923336484001</v>
      </c>
      <c r="R1885">
        <v>0.75379382771175196</v>
      </c>
      <c r="S1885">
        <v>11.8957138270963</v>
      </c>
      <c r="T1885">
        <v>-0.44720526109868203</v>
      </c>
      <c r="U1885">
        <v>-6.6671536865310799</v>
      </c>
      <c r="V1885">
        <v>0.66161879045876304</v>
      </c>
      <c r="W1885">
        <v>0.98382359994193702</v>
      </c>
      <c r="X1885">
        <v>0</v>
      </c>
      <c r="Y1885">
        <v>0</v>
      </c>
    </row>
    <row r="1886" spans="1:25" x14ac:dyDescent="0.2">
      <c r="A1886" t="s">
        <v>7079</v>
      </c>
      <c r="B1886" t="s">
        <v>7080</v>
      </c>
      <c r="C1886" t="s">
        <v>7081</v>
      </c>
      <c r="D1886" t="s">
        <v>7082</v>
      </c>
      <c r="E1886" t="s">
        <v>7080</v>
      </c>
      <c r="F1886" t="s">
        <v>28</v>
      </c>
      <c r="G1886" t="s">
        <v>7080</v>
      </c>
      <c r="H1886" t="str">
        <f>"dhs-5"</f>
        <v>dhs-5</v>
      </c>
      <c r="I1886" t="s">
        <v>7082</v>
      </c>
      <c r="J1886">
        <v>11.7779609262232</v>
      </c>
      <c r="K1886">
        <v>11.079678626473299</v>
      </c>
      <c r="L1886">
        <v>12.622147968556</v>
      </c>
      <c r="M1886">
        <v>12.579934929310101</v>
      </c>
      <c r="N1886">
        <v>12.273276433642501</v>
      </c>
      <c r="O1886">
        <v>11.7125534199709</v>
      </c>
      <c r="P1886">
        <v>0.361992420557049</v>
      </c>
      <c r="Q1886">
        <v>-0.36002961380378301</v>
      </c>
      <c r="R1886">
        <v>1.0840144549178801</v>
      </c>
      <c r="S1886">
        <v>12.545792151970801</v>
      </c>
      <c r="T1886">
        <v>1.0760709786071501</v>
      </c>
      <c r="U1886">
        <v>-6.2927609413065797</v>
      </c>
      <c r="V1886">
        <v>0.30022509916629497</v>
      </c>
      <c r="W1886">
        <v>0.85855590823088301</v>
      </c>
      <c r="X1886">
        <v>0</v>
      </c>
      <c r="Y1886">
        <v>0</v>
      </c>
    </row>
    <row r="1887" spans="1:25" x14ac:dyDescent="0.2">
      <c r="A1887" t="s">
        <v>7083</v>
      </c>
      <c r="B1887" t="s">
        <v>7084</v>
      </c>
      <c r="C1887" t="s">
        <v>7085</v>
      </c>
      <c r="D1887" t="s">
        <v>7086</v>
      </c>
      <c r="E1887" t="s">
        <v>7084</v>
      </c>
      <c r="F1887" t="s">
        <v>28</v>
      </c>
      <c r="G1887" t="s">
        <v>7084</v>
      </c>
      <c r="H1887" t="str">
        <f>"F46H5.3"</f>
        <v>F46H5.3</v>
      </c>
      <c r="I1887" t="s">
        <v>7086</v>
      </c>
      <c r="J1887">
        <v>19.060795034109699</v>
      </c>
      <c r="K1887">
        <v>18.756522690348099</v>
      </c>
      <c r="L1887">
        <v>18.720044999987898</v>
      </c>
      <c r="M1887">
        <v>18.771741086137698</v>
      </c>
      <c r="N1887">
        <v>18.899993605360802</v>
      </c>
      <c r="O1887">
        <v>18.932821251220901</v>
      </c>
      <c r="P1887">
        <v>2.23977394245445E-2</v>
      </c>
      <c r="Q1887">
        <v>-0.37200891302885097</v>
      </c>
      <c r="R1887">
        <v>0.41680439187793999</v>
      </c>
      <c r="S1887">
        <v>18.473765612008801</v>
      </c>
      <c r="T1887">
        <v>0.119358257330251</v>
      </c>
      <c r="U1887">
        <v>-6.8750488523525703</v>
      </c>
      <c r="V1887">
        <v>0.90632127376007598</v>
      </c>
      <c r="W1887">
        <v>0.99833354317360001</v>
      </c>
      <c r="X1887">
        <v>0</v>
      </c>
      <c r="Y1887">
        <v>0</v>
      </c>
    </row>
    <row r="1888" spans="1:25" x14ac:dyDescent="0.2">
      <c r="A1888" t="s">
        <v>7087</v>
      </c>
      <c r="B1888" t="s">
        <v>7088</v>
      </c>
      <c r="C1888" t="s">
        <v>7089</v>
      </c>
      <c r="D1888" t="s">
        <v>7090</v>
      </c>
      <c r="E1888" t="s">
        <v>7088</v>
      </c>
      <c r="F1888" t="s">
        <v>28</v>
      </c>
      <c r="G1888" t="s">
        <v>7088</v>
      </c>
      <c r="H1888" t="str">
        <f>"pacs-1"</f>
        <v>pacs-1</v>
      </c>
      <c r="I1888" t="s">
        <v>7090</v>
      </c>
      <c r="J1888">
        <v>13.2110510177904</v>
      </c>
      <c r="K1888">
        <v>13.386440500865</v>
      </c>
      <c r="L1888">
        <v>13.1813954225779</v>
      </c>
      <c r="M1888" t="s">
        <v>29</v>
      </c>
      <c r="N1888">
        <v>13.3834367978516</v>
      </c>
      <c r="O1888" t="s">
        <v>29</v>
      </c>
      <c r="P1888">
        <v>0.123807817440534</v>
      </c>
      <c r="Q1888">
        <v>-0.94333309369638896</v>
      </c>
      <c r="R1888">
        <v>1.19094872857746</v>
      </c>
      <c r="S1888">
        <v>13.055598573420999</v>
      </c>
      <c r="T1888">
        <v>0.25302958915493101</v>
      </c>
      <c r="U1888">
        <v>-6.5071421324822296</v>
      </c>
      <c r="V1888">
        <v>0.80456524702203602</v>
      </c>
      <c r="W1888">
        <v>0.99278624068726296</v>
      </c>
      <c r="X1888">
        <v>0</v>
      </c>
      <c r="Y1888">
        <v>0</v>
      </c>
    </row>
    <row r="1889" spans="1:25" x14ac:dyDescent="0.2">
      <c r="A1889" t="s">
        <v>7091</v>
      </c>
      <c r="B1889" t="s">
        <v>7092</v>
      </c>
      <c r="C1889" t="s">
        <v>7093</v>
      </c>
      <c r="D1889" t="s">
        <v>7094</v>
      </c>
      <c r="E1889" t="s">
        <v>7092</v>
      </c>
      <c r="F1889" t="s">
        <v>28</v>
      </c>
      <c r="G1889" t="s">
        <v>7092</v>
      </c>
      <c r="H1889" t="str">
        <f>"dpy-18"</f>
        <v>dpy-18</v>
      </c>
      <c r="I1889" t="s">
        <v>7094</v>
      </c>
      <c r="J1889">
        <v>15.237618356576</v>
      </c>
      <c r="K1889">
        <v>14.6649757752234</v>
      </c>
      <c r="L1889">
        <v>14.9358742763098</v>
      </c>
      <c r="M1889">
        <v>14.7415644279159</v>
      </c>
      <c r="N1889">
        <v>14.980088773773</v>
      </c>
      <c r="O1889">
        <v>14.8848652865207</v>
      </c>
      <c r="P1889">
        <v>-7.7316639966538106E-2</v>
      </c>
      <c r="Q1889">
        <v>-0.61498626756304298</v>
      </c>
      <c r="R1889">
        <v>0.46035298762996701</v>
      </c>
      <c r="S1889">
        <v>14.539661692229</v>
      </c>
      <c r="T1889">
        <v>-0.30223863625831399</v>
      </c>
      <c r="U1889">
        <v>-6.8348829735329</v>
      </c>
      <c r="V1889">
        <v>0.76595482854098096</v>
      </c>
      <c r="W1889">
        <v>0.99278624068726296</v>
      </c>
      <c r="X1889">
        <v>0</v>
      </c>
      <c r="Y1889">
        <v>0</v>
      </c>
    </row>
    <row r="1890" spans="1:25" x14ac:dyDescent="0.2">
      <c r="A1890" t="s">
        <v>7095</v>
      </c>
      <c r="B1890" t="s">
        <v>7096</v>
      </c>
      <c r="C1890" t="s">
        <v>7097</v>
      </c>
      <c r="D1890" t="s">
        <v>7098</v>
      </c>
      <c r="E1890" t="s">
        <v>7096</v>
      </c>
      <c r="F1890" t="s">
        <v>28</v>
      </c>
      <c r="G1890" t="s">
        <v>7096</v>
      </c>
      <c r="H1890" t="str">
        <f>"rpb-2"</f>
        <v>rpb-2</v>
      </c>
      <c r="I1890" t="s">
        <v>7098</v>
      </c>
      <c r="J1890">
        <v>14.904385914761599</v>
      </c>
      <c r="K1890">
        <v>14.8777524191783</v>
      </c>
      <c r="L1890">
        <v>14.7325810363106</v>
      </c>
      <c r="M1890">
        <v>14.818708849361499</v>
      </c>
      <c r="N1890">
        <v>14.833337877809701</v>
      </c>
      <c r="O1890">
        <v>14.7761330972916</v>
      </c>
      <c r="P1890">
        <v>-2.8846515262589599E-2</v>
      </c>
      <c r="Q1890">
        <v>-0.47973806924110202</v>
      </c>
      <c r="R1890">
        <v>0.42204503871592303</v>
      </c>
      <c r="S1890">
        <v>14.865486237724999</v>
      </c>
      <c r="T1890">
        <v>-0.13446639743476099</v>
      </c>
      <c r="U1890">
        <v>-6.8730469937203704</v>
      </c>
      <c r="V1890">
        <v>0.89453459687966097</v>
      </c>
      <c r="W1890">
        <v>0.99797388687668398</v>
      </c>
      <c r="X1890">
        <v>0</v>
      </c>
      <c r="Y1890">
        <v>0</v>
      </c>
    </row>
    <row r="1891" spans="1:25" x14ac:dyDescent="0.2">
      <c r="A1891" t="s">
        <v>7099</v>
      </c>
      <c r="B1891" t="s">
        <v>7100</v>
      </c>
      <c r="C1891" t="s">
        <v>7101</v>
      </c>
      <c r="D1891" t="s">
        <v>7102</v>
      </c>
      <c r="E1891" t="s">
        <v>7100</v>
      </c>
      <c r="F1891" t="s">
        <v>28</v>
      </c>
      <c r="G1891" t="s">
        <v>7100</v>
      </c>
      <c r="H1891" t="str">
        <f>"cyb-1"</f>
        <v>cyb-1</v>
      </c>
      <c r="I1891" t="s">
        <v>7102</v>
      </c>
      <c r="J1891" t="s">
        <v>29</v>
      </c>
      <c r="K1891" t="s">
        <v>29</v>
      </c>
      <c r="L1891" t="s">
        <v>29</v>
      </c>
      <c r="M1891" t="s">
        <v>29</v>
      </c>
      <c r="N1891" t="s">
        <v>29</v>
      </c>
      <c r="O1891" t="s">
        <v>29</v>
      </c>
      <c r="P1891" t="s">
        <v>29</v>
      </c>
      <c r="Q1891" t="s">
        <v>29</v>
      </c>
      <c r="R1891" t="s">
        <v>29</v>
      </c>
      <c r="S1891">
        <v>10.090798263938799</v>
      </c>
      <c r="T1891" t="s">
        <v>29</v>
      </c>
      <c r="U1891" t="s">
        <v>29</v>
      </c>
      <c r="V1891" t="s">
        <v>29</v>
      </c>
      <c r="W1891" t="s">
        <v>29</v>
      </c>
      <c r="X1891" t="s">
        <v>29</v>
      </c>
      <c r="Y1891" t="s">
        <v>29</v>
      </c>
    </row>
    <row r="1892" spans="1:25" x14ac:dyDescent="0.2">
      <c r="A1892" t="s">
        <v>7103</v>
      </c>
      <c r="B1892" t="s">
        <v>7104</v>
      </c>
      <c r="C1892" t="s">
        <v>7105</v>
      </c>
      <c r="D1892" t="s">
        <v>7106</v>
      </c>
      <c r="E1892" t="s">
        <v>7104</v>
      </c>
      <c r="F1892" t="s">
        <v>28</v>
      </c>
      <c r="G1892" t="s">
        <v>7104</v>
      </c>
      <c r="H1892" t="str">
        <f>"egl-15"</f>
        <v>egl-15</v>
      </c>
      <c r="I1892" t="s">
        <v>7106</v>
      </c>
      <c r="J1892" t="s">
        <v>29</v>
      </c>
      <c r="K1892" t="s">
        <v>29</v>
      </c>
      <c r="L1892" t="s">
        <v>29</v>
      </c>
      <c r="M1892">
        <v>11.1210950329579</v>
      </c>
      <c r="N1892">
        <v>10.5805923360241</v>
      </c>
      <c r="O1892">
        <v>10.588493277870599</v>
      </c>
      <c r="P1892" t="s">
        <v>29</v>
      </c>
      <c r="Q1892" t="s">
        <v>29</v>
      </c>
      <c r="R1892" t="s">
        <v>29</v>
      </c>
      <c r="S1892">
        <v>11.017882371172201</v>
      </c>
      <c r="T1892" t="s">
        <v>29</v>
      </c>
      <c r="U1892" t="s">
        <v>29</v>
      </c>
      <c r="V1892" t="s">
        <v>29</v>
      </c>
      <c r="W1892" t="s">
        <v>29</v>
      </c>
      <c r="X1892" t="s">
        <v>29</v>
      </c>
      <c r="Y1892" t="s">
        <v>29</v>
      </c>
    </row>
    <row r="1893" spans="1:25" x14ac:dyDescent="0.2">
      <c r="A1893" t="s">
        <v>7107</v>
      </c>
      <c r="B1893" t="s">
        <v>7108</v>
      </c>
      <c r="C1893" t="s">
        <v>7109</v>
      </c>
      <c r="D1893" t="s">
        <v>7110</v>
      </c>
      <c r="E1893" t="s">
        <v>7108</v>
      </c>
      <c r="F1893" t="s">
        <v>28</v>
      </c>
      <c r="G1893" t="s">
        <v>7108</v>
      </c>
      <c r="H1893" t="str">
        <f>"tpi-1"</f>
        <v>tpi-1</v>
      </c>
      <c r="I1893" t="s">
        <v>7110</v>
      </c>
      <c r="J1893">
        <v>10.8877461352658</v>
      </c>
      <c r="K1893">
        <v>10.934396286304599</v>
      </c>
      <c r="L1893">
        <v>11.0753584758206</v>
      </c>
      <c r="M1893">
        <v>11.6747999771243</v>
      </c>
      <c r="N1893">
        <v>11.1209555904565</v>
      </c>
      <c r="O1893" t="s">
        <v>29</v>
      </c>
      <c r="P1893">
        <v>0.43204415132671398</v>
      </c>
      <c r="Q1893">
        <v>-0.92817950289925699</v>
      </c>
      <c r="R1893">
        <v>1.7922678055526799</v>
      </c>
      <c r="S1893">
        <v>11.0186962622465</v>
      </c>
      <c r="T1893">
        <v>0.69272812411206497</v>
      </c>
      <c r="U1893">
        <v>-6.5205495599218501</v>
      </c>
      <c r="V1893">
        <v>0.50178102675633196</v>
      </c>
      <c r="W1893">
        <v>0.94062983959761604</v>
      </c>
      <c r="X1893">
        <v>0</v>
      </c>
      <c r="Y1893">
        <v>0</v>
      </c>
    </row>
    <row r="1894" spans="1:25" x14ac:dyDescent="0.2">
      <c r="A1894" t="s">
        <v>7111</v>
      </c>
      <c r="B1894" t="s">
        <v>7112</v>
      </c>
      <c r="C1894" t="s">
        <v>7113</v>
      </c>
      <c r="D1894" t="s">
        <v>7114</v>
      </c>
      <c r="E1894" t="s">
        <v>7112</v>
      </c>
      <c r="F1894" t="s">
        <v>28</v>
      </c>
      <c r="G1894" t="s">
        <v>7112</v>
      </c>
      <c r="H1894" t="str">
        <f>"icl-1"</f>
        <v>icl-1</v>
      </c>
      <c r="I1894" t="s">
        <v>7114</v>
      </c>
      <c r="J1894">
        <v>15.5506519782317</v>
      </c>
      <c r="K1894">
        <v>15.5370340437563</v>
      </c>
      <c r="L1894">
        <v>14.977263275177901</v>
      </c>
      <c r="M1894">
        <v>14.805193675264499</v>
      </c>
      <c r="N1894">
        <v>14.763316302363</v>
      </c>
      <c r="O1894">
        <v>15.237680801223499</v>
      </c>
      <c r="P1894">
        <v>-0.41958617277162302</v>
      </c>
      <c r="Q1894">
        <v>-0.89469319934000802</v>
      </c>
      <c r="R1894">
        <v>5.5520853796761201E-2</v>
      </c>
      <c r="S1894">
        <v>14.910610906572201</v>
      </c>
      <c r="T1894">
        <v>-1.8561891405006501</v>
      </c>
      <c r="U1894">
        <v>-5.2376839356561602</v>
      </c>
      <c r="V1894">
        <v>7.9970208931379794E-2</v>
      </c>
      <c r="W1894">
        <v>0.60076942510977904</v>
      </c>
      <c r="X1894">
        <v>0</v>
      </c>
      <c r="Y1894">
        <v>0</v>
      </c>
    </row>
    <row r="1895" spans="1:25" x14ac:dyDescent="0.2">
      <c r="A1895" t="s">
        <v>7115</v>
      </c>
      <c r="B1895" t="s">
        <v>7116</v>
      </c>
      <c r="C1895" t="s">
        <v>7117</v>
      </c>
      <c r="D1895" t="s">
        <v>7118</v>
      </c>
      <c r="E1895" t="s">
        <v>7116</v>
      </c>
      <c r="F1895" t="s">
        <v>28</v>
      </c>
      <c r="G1895" t="s">
        <v>7116</v>
      </c>
      <c r="H1895" t="str">
        <f>"mek-2"</f>
        <v>mek-2</v>
      </c>
      <c r="I1895" t="s">
        <v>7118</v>
      </c>
      <c r="J1895">
        <v>13.7773354685417</v>
      </c>
      <c r="K1895">
        <v>13.755661204346101</v>
      </c>
      <c r="L1895">
        <v>13.340454596693601</v>
      </c>
      <c r="M1895">
        <v>13.5236283646766</v>
      </c>
      <c r="N1895">
        <v>13.553865141188201</v>
      </c>
      <c r="O1895">
        <v>13.5294432349703</v>
      </c>
      <c r="P1895">
        <v>-8.8838176248756895E-2</v>
      </c>
      <c r="Q1895">
        <v>-0.56622792884561901</v>
      </c>
      <c r="R1895">
        <v>0.388551576348105</v>
      </c>
      <c r="S1895">
        <v>13.097600075894</v>
      </c>
      <c r="T1895">
        <v>-0.39112813314258799</v>
      </c>
      <c r="U1895">
        <v>-6.8029004047511901</v>
      </c>
      <c r="V1895">
        <v>0.70032031327315003</v>
      </c>
      <c r="W1895">
        <v>0.98642420921484297</v>
      </c>
      <c r="X1895">
        <v>0</v>
      </c>
      <c r="Y1895">
        <v>0</v>
      </c>
    </row>
    <row r="1896" spans="1:25" x14ac:dyDescent="0.2">
      <c r="A1896" t="s">
        <v>7119</v>
      </c>
      <c r="B1896" t="s">
        <v>7120</v>
      </c>
      <c r="C1896" t="s">
        <v>7121</v>
      </c>
      <c r="D1896" t="s">
        <v>7122</v>
      </c>
      <c r="E1896" t="s">
        <v>7120</v>
      </c>
      <c r="F1896" t="s">
        <v>28</v>
      </c>
      <c r="G1896" t="s">
        <v>7120</v>
      </c>
      <c r="H1896" t="str">
        <f>"mes-3"</f>
        <v>mes-3</v>
      </c>
      <c r="I1896" t="s">
        <v>7122</v>
      </c>
      <c r="J1896">
        <v>9.9781910763115302</v>
      </c>
      <c r="K1896">
        <v>10.5195226640057</v>
      </c>
      <c r="L1896" t="s">
        <v>29</v>
      </c>
      <c r="M1896" t="s">
        <v>29</v>
      </c>
      <c r="N1896" t="s">
        <v>29</v>
      </c>
      <c r="O1896" t="s">
        <v>29</v>
      </c>
      <c r="P1896" t="s">
        <v>29</v>
      </c>
      <c r="Q1896" t="s">
        <v>29</v>
      </c>
      <c r="R1896" t="s">
        <v>29</v>
      </c>
      <c r="S1896">
        <v>11.732909839210301</v>
      </c>
      <c r="T1896" t="s">
        <v>29</v>
      </c>
      <c r="U1896" t="s">
        <v>29</v>
      </c>
      <c r="V1896" t="s">
        <v>29</v>
      </c>
      <c r="W1896" t="s">
        <v>29</v>
      </c>
      <c r="X1896" t="s">
        <v>29</v>
      </c>
      <c r="Y1896" t="s">
        <v>29</v>
      </c>
    </row>
    <row r="1897" spans="1:25" x14ac:dyDescent="0.2">
      <c r="A1897" t="s">
        <v>7123</v>
      </c>
      <c r="B1897" t="s">
        <v>7124</v>
      </c>
      <c r="C1897" t="s">
        <v>7125</v>
      </c>
      <c r="D1897" t="s">
        <v>7126</v>
      </c>
      <c r="E1897" t="s">
        <v>7124</v>
      </c>
      <c r="F1897" t="s">
        <v>28</v>
      </c>
      <c r="G1897" t="s">
        <v>7124</v>
      </c>
      <c r="H1897" t="str">
        <f>"rnp-1"</f>
        <v>rnp-1</v>
      </c>
      <c r="I1897" t="s">
        <v>7126</v>
      </c>
      <c r="J1897">
        <v>11.6433187239776</v>
      </c>
      <c r="K1897">
        <v>11.377703428692801</v>
      </c>
      <c r="L1897">
        <v>11.6506833085084</v>
      </c>
      <c r="M1897">
        <v>11.491215934532599</v>
      </c>
      <c r="N1897">
        <v>12.089036003515499</v>
      </c>
      <c r="O1897" t="s">
        <v>29</v>
      </c>
      <c r="P1897">
        <v>0.232890815297736</v>
      </c>
      <c r="Q1897">
        <v>-0.59097445421743799</v>
      </c>
      <c r="R1897">
        <v>1.0567560848129101</v>
      </c>
      <c r="S1897">
        <v>11.546884600532699</v>
      </c>
      <c r="T1897">
        <v>0.60288957158096701</v>
      </c>
      <c r="U1897">
        <v>-6.5830864482321898</v>
      </c>
      <c r="V1897">
        <v>0.555651176441877</v>
      </c>
      <c r="W1897">
        <v>0.95566259183388402</v>
      </c>
      <c r="X1897">
        <v>0</v>
      </c>
      <c r="Y1897">
        <v>0</v>
      </c>
    </row>
    <row r="1898" spans="1:25" x14ac:dyDescent="0.2">
      <c r="A1898" t="s">
        <v>7127</v>
      </c>
      <c r="B1898" t="s">
        <v>7128</v>
      </c>
      <c r="C1898" t="s">
        <v>7129</v>
      </c>
      <c r="D1898" t="s">
        <v>7130</v>
      </c>
      <c r="E1898" t="s">
        <v>7128</v>
      </c>
      <c r="F1898" t="s">
        <v>28</v>
      </c>
      <c r="G1898" t="s">
        <v>7128</v>
      </c>
      <c r="H1898" t="str">
        <f>"sur-2"</f>
        <v>sur-2</v>
      </c>
      <c r="I1898" t="s">
        <v>7130</v>
      </c>
      <c r="J1898">
        <v>11.692642084478701</v>
      </c>
      <c r="K1898">
        <v>11.3519408493498</v>
      </c>
      <c r="L1898">
        <v>11.930332966712999</v>
      </c>
      <c r="M1898">
        <v>12.071579998957599</v>
      </c>
      <c r="N1898">
        <v>11.7797837644447</v>
      </c>
      <c r="O1898">
        <v>11.164800043624499</v>
      </c>
      <c r="P1898">
        <v>1.37493021617701E-2</v>
      </c>
      <c r="Q1898">
        <v>-0.58399295627732095</v>
      </c>
      <c r="R1898">
        <v>0.61149156060086096</v>
      </c>
      <c r="S1898">
        <v>12.217020405590601</v>
      </c>
      <c r="T1898">
        <v>4.8553071555337703E-2</v>
      </c>
      <c r="U1898">
        <v>-6.8812540655910102</v>
      </c>
      <c r="V1898">
        <v>0.96184482408470096</v>
      </c>
      <c r="W1898">
        <v>0.99968702248720698</v>
      </c>
      <c r="X1898">
        <v>0</v>
      </c>
      <c r="Y1898">
        <v>0</v>
      </c>
    </row>
    <row r="1899" spans="1:25" x14ac:dyDescent="0.2">
      <c r="A1899" t="s">
        <v>7131</v>
      </c>
      <c r="B1899" t="s">
        <v>7132</v>
      </c>
      <c r="C1899" t="s">
        <v>7133</v>
      </c>
      <c r="D1899" t="s">
        <v>7134</v>
      </c>
      <c r="E1899" t="s">
        <v>7132</v>
      </c>
      <c r="F1899" t="s">
        <v>28</v>
      </c>
      <c r="G1899" t="s">
        <v>7132</v>
      </c>
      <c r="H1899" t="str">
        <f>"glt-1"</f>
        <v>glt-1</v>
      </c>
      <c r="I1899" t="s">
        <v>7134</v>
      </c>
      <c r="J1899">
        <v>15.2142776097196</v>
      </c>
      <c r="K1899">
        <v>15.2881966883582</v>
      </c>
      <c r="L1899">
        <v>15.1248828268228</v>
      </c>
      <c r="M1899">
        <v>15.130665024519599</v>
      </c>
      <c r="N1899">
        <v>14.9310526058729</v>
      </c>
      <c r="O1899">
        <v>15.180930452918799</v>
      </c>
      <c r="P1899">
        <v>-0.12823634719646099</v>
      </c>
      <c r="Q1899">
        <v>-0.61029588332871798</v>
      </c>
      <c r="R1899">
        <v>0.35382318893579501</v>
      </c>
      <c r="S1899">
        <v>14.9787115282705</v>
      </c>
      <c r="T1899">
        <v>-0.55911735543097796</v>
      </c>
      <c r="U1899">
        <v>-6.7205751137088798</v>
      </c>
      <c r="V1899">
        <v>0.58301195834007002</v>
      </c>
      <c r="W1899">
        <v>0.96315662445407302</v>
      </c>
      <c r="X1899">
        <v>0</v>
      </c>
      <c r="Y1899">
        <v>0</v>
      </c>
    </row>
    <row r="1900" spans="1:25" x14ac:dyDescent="0.2">
      <c r="A1900" t="s">
        <v>7135</v>
      </c>
      <c r="B1900" t="s">
        <v>7136</v>
      </c>
      <c r="C1900" t="s">
        <v>7137</v>
      </c>
      <c r="D1900" t="s">
        <v>7138</v>
      </c>
      <c r="E1900" t="s">
        <v>7136</v>
      </c>
      <c r="F1900" t="s">
        <v>28</v>
      </c>
      <c r="G1900" t="s">
        <v>7136</v>
      </c>
      <c r="H1900" t="str">
        <f>"B0252.5"</f>
        <v>B0252.5</v>
      </c>
      <c r="I1900" t="s">
        <v>7138</v>
      </c>
      <c r="J1900">
        <v>15.2228836275516</v>
      </c>
      <c r="K1900">
        <v>13.269244470559</v>
      </c>
      <c r="L1900">
        <v>14.811560695441701</v>
      </c>
      <c r="M1900">
        <v>15.4361059546217</v>
      </c>
      <c r="N1900">
        <v>15.8159725822872</v>
      </c>
      <c r="O1900">
        <v>14.0945549832844</v>
      </c>
      <c r="P1900">
        <v>0.68098157554701</v>
      </c>
      <c r="Q1900">
        <v>-0.62364800412242605</v>
      </c>
      <c r="R1900">
        <v>1.9856111552164499</v>
      </c>
      <c r="S1900">
        <v>14.1455236407205</v>
      </c>
      <c r="T1900">
        <v>1.1017882944994899</v>
      </c>
      <c r="U1900">
        <v>-6.2682667275112998</v>
      </c>
      <c r="V1900">
        <v>0.28600279590017602</v>
      </c>
      <c r="W1900">
        <v>0.856190392347986</v>
      </c>
      <c r="X1900">
        <v>0</v>
      </c>
      <c r="Y1900">
        <v>0</v>
      </c>
    </row>
    <row r="1901" spans="1:25" x14ac:dyDescent="0.2">
      <c r="A1901" t="s">
        <v>7139</v>
      </c>
      <c r="B1901" t="s">
        <v>7140</v>
      </c>
      <c r="C1901" t="s">
        <v>7141</v>
      </c>
      <c r="D1901" t="s">
        <v>7142</v>
      </c>
      <c r="E1901" t="s">
        <v>7140</v>
      </c>
      <c r="F1901" t="s">
        <v>28</v>
      </c>
      <c r="G1901" t="s">
        <v>7140</v>
      </c>
      <c r="H1901" t="str">
        <f>"sid-3"</f>
        <v>sid-3</v>
      </c>
      <c r="I1901" t="s">
        <v>7142</v>
      </c>
      <c r="J1901">
        <v>11.454827975641001</v>
      </c>
      <c r="K1901">
        <v>11.9803341932758</v>
      </c>
      <c r="L1901">
        <v>11.480565743811001</v>
      </c>
      <c r="M1901">
        <v>11.868107826840401</v>
      </c>
      <c r="N1901">
        <v>12.0709340171758</v>
      </c>
      <c r="O1901">
        <v>11.0941686018227</v>
      </c>
      <c r="P1901">
        <v>3.9160844370373503E-2</v>
      </c>
      <c r="Q1901">
        <v>-0.76001958407090897</v>
      </c>
      <c r="R1901">
        <v>0.83834127281165605</v>
      </c>
      <c r="S1901">
        <v>12.1429390817905</v>
      </c>
      <c r="T1901">
        <v>0.103933783562354</v>
      </c>
      <c r="U1901">
        <v>-6.8768097931318701</v>
      </c>
      <c r="V1901">
        <v>0.91852200059948497</v>
      </c>
      <c r="W1901">
        <v>0.99833354317360001</v>
      </c>
      <c r="X1901">
        <v>0</v>
      </c>
      <c r="Y1901">
        <v>0</v>
      </c>
    </row>
    <row r="1902" spans="1:25" x14ac:dyDescent="0.2">
      <c r="A1902" t="s">
        <v>7143</v>
      </c>
      <c r="B1902" t="s">
        <v>7144</v>
      </c>
      <c r="C1902" t="s">
        <v>7145</v>
      </c>
      <c r="D1902" t="s">
        <v>7146</v>
      </c>
      <c r="E1902" t="s">
        <v>7144</v>
      </c>
      <c r="F1902" t="s">
        <v>28</v>
      </c>
      <c r="G1902" t="s">
        <v>7144</v>
      </c>
      <c r="H1902" t="str">
        <f>"ugt-46"</f>
        <v>ugt-46</v>
      </c>
      <c r="I1902" t="s">
        <v>7146</v>
      </c>
      <c r="J1902">
        <v>13.437502333639401</v>
      </c>
      <c r="K1902">
        <v>13.337749124601901</v>
      </c>
      <c r="L1902">
        <v>13.395785813458501</v>
      </c>
      <c r="M1902">
        <v>13.675564160813201</v>
      </c>
      <c r="N1902">
        <v>13.578287035277</v>
      </c>
      <c r="O1902">
        <v>14.0671609268593</v>
      </c>
      <c r="P1902">
        <v>0.38332495041657</v>
      </c>
      <c r="Q1902">
        <v>-2.2566749015062601E-2</v>
      </c>
      <c r="R1902">
        <v>0.78921664984820294</v>
      </c>
      <c r="S1902">
        <v>13.2541212634987</v>
      </c>
      <c r="T1902">
        <v>1.99345727174956</v>
      </c>
      <c r="U1902">
        <v>-5.0140803157451499</v>
      </c>
      <c r="V1902">
        <v>6.2613899706823406E-2</v>
      </c>
      <c r="W1902">
        <v>0.53705942841316601</v>
      </c>
      <c r="X1902">
        <v>0</v>
      </c>
      <c r="Y1902">
        <v>0</v>
      </c>
    </row>
    <row r="1903" spans="1:25" x14ac:dyDescent="0.2">
      <c r="A1903" t="s">
        <v>7147</v>
      </c>
      <c r="B1903" t="s">
        <v>7148</v>
      </c>
      <c r="C1903" t="s">
        <v>7149</v>
      </c>
      <c r="D1903" t="s">
        <v>7150</v>
      </c>
      <c r="E1903" t="s">
        <v>7148</v>
      </c>
      <c r="F1903" t="s">
        <v>28</v>
      </c>
      <c r="G1903" t="s">
        <v>7148</v>
      </c>
      <c r="H1903" t="str">
        <f>"arf-1.2"</f>
        <v>arf-1.2</v>
      </c>
      <c r="I1903" t="s">
        <v>7150</v>
      </c>
      <c r="J1903">
        <v>17.8177277174827</v>
      </c>
      <c r="K1903">
        <v>17.7997106925711</v>
      </c>
      <c r="L1903">
        <v>17.566837089152401</v>
      </c>
      <c r="M1903">
        <v>17.667049779512801</v>
      </c>
      <c r="N1903">
        <v>17.351120012216398</v>
      </c>
      <c r="O1903">
        <v>17.769615963900801</v>
      </c>
      <c r="P1903">
        <v>-0.13216324785872</v>
      </c>
      <c r="Q1903">
        <v>-0.54240388826179797</v>
      </c>
      <c r="R1903">
        <v>0.27807739254435698</v>
      </c>
      <c r="S1903">
        <v>17.230795464830798</v>
      </c>
      <c r="T1903">
        <v>-0.67711827363132504</v>
      </c>
      <c r="U1903">
        <v>-6.6459783948458604</v>
      </c>
      <c r="V1903">
        <v>0.50699068618406096</v>
      </c>
      <c r="W1903">
        <v>0.94062983959761604</v>
      </c>
      <c r="X1903">
        <v>0</v>
      </c>
      <c r="Y1903">
        <v>0</v>
      </c>
    </row>
    <row r="1904" spans="1:25" x14ac:dyDescent="0.2">
      <c r="A1904" t="s">
        <v>7151</v>
      </c>
      <c r="B1904" t="s">
        <v>7152</v>
      </c>
      <c r="C1904" t="s">
        <v>7153</v>
      </c>
      <c r="D1904" t="s">
        <v>7154</v>
      </c>
      <c r="E1904" t="s">
        <v>7152</v>
      </c>
      <c r="F1904" t="s">
        <v>28</v>
      </c>
      <c r="G1904" t="s">
        <v>7152</v>
      </c>
      <c r="H1904" t="str">
        <f>"B0361.6"</f>
        <v>B0361.6</v>
      </c>
      <c r="I1904" t="s">
        <v>7154</v>
      </c>
      <c r="J1904">
        <v>13.608906540398699</v>
      </c>
      <c r="K1904">
        <v>13.133433945645599</v>
      </c>
      <c r="L1904">
        <v>12.7976856737881</v>
      </c>
      <c r="M1904">
        <v>12.7992527099619</v>
      </c>
      <c r="N1904">
        <v>12.2864774830354</v>
      </c>
      <c r="O1904">
        <v>12.435237897786299</v>
      </c>
      <c r="P1904">
        <v>-0.67301935634957599</v>
      </c>
      <c r="Q1904">
        <v>-1.29573660660729</v>
      </c>
      <c r="R1904">
        <v>-5.0302106091865501E-2</v>
      </c>
      <c r="S1904">
        <v>12.826091306299601</v>
      </c>
      <c r="T1904">
        <v>-2.2923777694368499</v>
      </c>
      <c r="U1904">
        <v>-4.4983282275130101</v>
      </c>
      <c r="V1904">
        <v>3.5874577654246599E-2</v>
      </c>
      <c r="W1904">
        <v>0.41455067511573901</v>
      </c>
      <c r="X1904">
        <v>0</v>
      </c>
      <c r="Y1904">
        <v>0</v>
      </c>
    </row>
    <row r="1905" spans="1:25" x14ac:dyDescent="0.2">
      <c r="A1905" t="s">
        <v>7155</v>
      </c>
      <c r="B1905" t="s">
        <v>7156</v>
      </c>
      <c r="C1905" t="s">
        <v>7157</v>
      </c>
      <c r="D1905" t="s">
        <v>7158</v>
      </c>
      <c r="E1905" t="s">
        <v>7156</v>
      </c>
      <c r="F1905" t="s">
        <v>28</v>
      </c>
      <c r="G1905" t="s">
        <v>7156</v>
      </c>
      <c r="H1905" t="str">
        <f>"wrm-1"</f>
        <v>wrm-1</v>
      </c>
      <c r="I1905" t="s">
        <v>7158</v>
      </c>
      <c r="J1905">
        <v>9.88061967931292</v>
      </c>
      <c r="K1905">
        <v>9.7598688446794899</v>
      </c>
      <c r="L1905">
        <v>10.607441639100101</v>
      </c>
      <c r="M1905" t="s">
        <v>29</v>
      </c>
      <c r="N1905">
        <v>10.586720262773101</v>
      </c>
      <c r="O1905" t="s">
        <v>29</v>
      </c>
      <c r="P1905">
        <v>0.50407687507563304</v>
      </c>
      <c r="Q1905">
        <v>-0.28759835679620199</v>
      </c>
      <c r="R1905">
        <v>1.29575210694747</v>
      </c>
      <c r="S1905">
        <v>10.9436724981375</v>
      </c>
      <c r="T1905">
        <v>1.38865617233608</v>
      </c>
      <c r="U1905">
        <v>-5.5936531485600796</v>
      </c>
      <c r="V1905">
        <v>0.19039110581048799</v>
      </c>
      <c r="W1905">
        <v>0.78295732499061499</v>
      </c>
      <c r="X1905">
        <v>0</v>
      </c>
      <c r="Y1905">
        <v>0</v>
      </c>
    </row>
    <row r="1906" spans="1:25" x14ac:dyDescent="0.2">
      <c r="A1906" t="s">
        <v>7159</v>
      </c>
      <c r="B1906" t="s">
        <v>7160</v>
      </c>
      <c r="C1906" t="s">
        <v>7161</v>
      </c>
      <c r="D1906" t="s">
        <v>7162</v>
      </c>
      <c r="E1906" t="s">
        <v>7160</v>
      </c>
      <c r="F1906" t="s">
        <v>28</v>
      </c>
      <c r="G1906" t="s">
        <v>7160</v>
      </c>
      <c r="H1906" t="str">
        <f>"pdi-6"</f>
        <v>pdi-6</v>
      </c>
      <c r="I1906" t="s">
        <v>7162</v>
      </c>
      <c r="J1906">
        <v>14.7792263527787</v>
      </c>
      <c r="K1906">
        <v>14.8551086827873</v>
      </c>
      <c r="L1906">
        <v>14.7717070642158</v>
      </c>
      <c r="M1906">
        <v>14.816934243679199</v>
      </c>
      <c r="N1906">
        <v>14.836101290653501</v>
      </c>
      <c r="O1906">
        <v>15.1010029985963</v>
      </c>
      <c r="P1906">
        <v>0.115998811049048</v>
      </c>
      <c r="Q1906">
        <v>-0.45706313666349402</v>
      </c>
      <c r="R1906">
        <v>0.68906075876159001</v>
      </c>
      <c r="S1906">
        <v>14.5212483382647</v>
      </c>
      <c r="T1906">
        <v>0.425446033970513</v>
      </c>
      <c r="U1906">
        <v>-6.7883951468017996</v>
      </c>
      <c r="V1906">
        <v>0.67558401384037803</v>
      </c>
      <c r="W1906">
        <v>0.98642420921484297</v>
      </c>
      <c r="X1906">
        <v>0</v>
      </c>
      <c r="Y1906">
        <v>0</v>
      </c>
    </row>
    <row r="1907" spans="1:25" x14ac:dyDescent="0.2">
      <c r="A1907" t="s">
        <v>7163</v>
      </c>
      <c r="B1907" t="s">
        <v>7164</v>
      </c>
      <c r="C1907" t="s">
        <v>7165</v>
      </c>
      <c r="D1907" t="s">
        <v>7166</v>
      </c>
      <c r="E1907" t="s">
        <v>7164</v>
      </c>
      <c r="F1907" t="s">
        <v>28</v>
      </c>
      <c r="G1907" t="s">
        <v>7164</v>
      </c>
      <c r="H1907" t="str">
        <f>"gly-13"</f>
        <v>gly-13</v>
      </c>
      <c r="I1907" t="s">
        <v>7166</v>
      </c>
      <c r="J1907">
        <v>12.0575689942268</v>
      </c>
      <c r="K1907">
        <v>12.338814963354499</v>
      </c>
      <c r="L1907">
        <v>12.614180000496701</v>
      </c>
      <c r="M1907">
        <v>12.5939149007409</v>
      </c>
      <c r="N1907">
        <v>12.431428602966999</v>
      </c>
      <c r="O1907">
        <v>12.0263126089629</v>
      </c>
      <c r="P1907">
        <v>1.36973848642885E-2</v>
      </c>
      <c r="Q1907">
        <v>-0.63763570079529297</v>
      </c>
      <c r="R1907">
        <v>0.66503047052386999</v>
      </c>
      <c r="S1907">
        <v>12.0511610857539</v>
      </c>
      <c r="T1907">
        <v>4.4851412513267401E-2</v>
      </c>
      <c r="U1907">
        <v>-6.8814273600843503</v>
      </c>
      <c r="V1907">
        <v>0.96482152216141004</v>
      </c>
      <c r="W1907">
        <v>0.99968702248720698</v>
      </c>
      <c r="X1907">
        <v>0</v>
      </c>
      <c r="Y1907">
        <v>0</v>
      </c>
    </row>
    <row r="1908" spans="1:25" x14ac:dyDescent="0.2">
      <c r="A1908" t="s">
        <v>7167</v>
      </c>
      <c r="B1908" t="s">
        <v>7168</v>
      </c>
      <c r="C1908" t="s">
        <v>7169</v>
      </c>
      <c r="D1908" t="s">
        <v>7170</v>
      </c>
      <c r="E1908" t="s">
        <v>7168</v>
      </c>
      <c r="F1908" t="s">
        <v>28</v>
      </c>
      <c r="G1908" t="s">
        <v>7168</v>
      </c>
      <c r="H1908" t="str">
        <f>"B0416.5"</f>
        <v>B0416.5</v>
      </c>
      <c r="I1908" t="s">
        <v>7170</v>
      </c>
      <c r="J1908">
        <v>15.2621389758815</v>
      </c>
      <c r="K1908">
        <v>15.3937649378371</v>
      </c>
      <c r="L1908">
        <v>15.319446783827001</v>
      </c>
      <c r="M1908">
        <v>15.4932534471693</v>
      </c>
      <c r="N1908">
        <v>15.3373225010679</v>
      </c>
      <c r="O1908">
        <v>15.187255982604601</v>
      </c>
      <c r="P1908">
        <v>1.41604110987075E-2</v>
      </c>
      <c r="Q1908">
        <v>-0.38472673654581202</v>
      </c>
      <c r="R1908">
        <v>0.41304755874322702</v>
      </c>
      <c r="S1908">
        <v>15.4096219669602</v>
      </c>
      <c r="T1908">
        <v>7.4613657899329305E-2</v>
      </c>
      <c r="U1908">
        <v>-6.8795811809452996</v>
      </c>
      <c r="V1908">
        <v>0.94134986420816502</v>
      </c>
      <c r="W1908">
        <v>0.99926809132575301</v>
      </c>
      <c r="X1908">
        <v>0</v>
      </c>
      <c r="Y1908">
        <v>0</v>
      </c>
    </row>
    <row r="1909" spans="1:25" x14ac:dyDescent="0.2">
      <c r="A1909" t="s">
        <v>7171</v>
      </c>
      <c r="B1909" t="s">
        <v>7172</v>
      </c>
      <c r="C1909" t="s">
        <v>7173</v>
      </c>
      <c r="D1909" t="s">
        <v>7174</v>
      </c>
      <c r="E1909" t="s">
        <v>7172</v>
      </c>
      <c r="F1909" t="s">
        <v>28</v>
      </c>
      <c r="G1909" t="s">
        <v>7172</v>
      </c>
      <c r="H1909" t="str">
        <f>"lin-13"</f>
        <v>lin-13</v>
      </c>
      <c r="I1909" t="s">
        <v>7174</v>
      </c>
      <c r="J1909">
        <v>14.656701919659801</v>
      </c>
      <c r="K1909">
        <v>15.0071547342381</v>
      </c>
      <c r="L1909">
        <v>15.135666617435</v>
      </c>
      <c r="M1909">
        <v>14.683130101162501</v>
      </c>
      <c r="N1909">
        <v>14.5910256340826</v>
      </c>
      <c r="O1909">
        <v>14.643868914282599</v>
      </c>
      <c r="P1909">
        <v>-0.29383287393507901</v>
      </c>
      <c r="Q1909">
        <v>-0.68019728332587204</v>
      </c>
      <c r="R1909">
        <v>9.2531535455713604E-2</v>
      </c>
      <c r="S1909">
        <v>15.0242189700007</v>
      </c>
      <c r="T1909">
        <v>-1.6052891939720499</v>
      </c>
      <c r="U1909">
        <v>-5.6263835127053001</v>
      </c>
      <c r="V1909">
        <v>0.12695808937217001</v>
      </c>
      <c r="W1909">
        <v>0.71762718189871799</v>
      </c>
      <c r="X1909">
        <v>0</v>
      </c>
      <c r="Y1909">
        <v>0</v>
      </c>
    </row>
    <row r="1910" spans="1:25" x14ac:dyDescent="0.2">
      <c r="A1910" t="s">
        <v>7175</v>
      </c>
      <c r="B1910" t="s">
        <v>7176</v>
      </c>
      <c r="C1910" t="s">
        <v>7177</v>
      </c>
      <c r="D1910" t="s">
        <v>7178</v>
      </c>
      <c r="E1910" t="s">
        <v>7176</v>
      </c>
      <c r="F1910" t="s">
        <v>28</v>
      </c>
      <c r="G1910" t="s">
        <v>7176</v>
      </c>
      <c r="H1910" t="str">
        <f>"C03B1.7"</f>
        <v>C03B1.7</v>
      </c>
      <c r="I1910" t="s">
        <v>7178</v>
      </c>
      <c r="J1910" t="s">
        <v>29</v>
      </c>
      <c r="K1910" t="s">
        <v>29</v>
      </c>
      <c r="L1910" t="s">
        <v>29</v>
      </c>
      <c r="M1910" t="s">
        <v>29</v>
      </c>
      <c r="N1910" t="s">
        <v>29</v>
      </c>
      <c r="O1910" t="s">
        <v>29</v>
      </c>
      <c r="P1910" t="s">
        <v>29</v>
      </c>
      <c r="Q1910" t="s">
        <v>29</v>
      </c>
      <c r="R1910" t="s">
        <v>29</v>
      </c>
      <c r="S1910">
        <v>10.782003568131</v>
      </c>
      <c r="T1910" t="s">
        <v>29</v>
      </c>
      <c r="U1910" t="s">
        <v>29</v>
      </c>
      <c r="V1910" t="s">
        <v>29</v>
      </c>
      <c r="W1910" t="s">
        <v>29</v>
      </c>
      <c r="X1910" t="s">
        <v>29</v>
      </c>
      <c r="Y1910" t="s">
        <v>29</v>
      </c>
    </row>
    <row r="1911" spans="1:25" x14ac:dyDescent="0.2">
      <c r="A1911" t="s">
        <v>7179</v>
      </c>
      <c r="B1911" t="s">
        <v>7180</v>
      </c>
      <c r="C1911" t="s">
        <v>7181</v>
      </c>
      <c r="D1911" t="s">
        <v>7182</v>
      </c>
      <c r="E1911" t="s">
        <v>7180</v>
      </c>
      <c r="F1911" t="s">
        <v>28</v>
      </c>
      <c r="G1911" t="s">
        <v>7180</v>
      </c>
      <c r="H1911" t="str">
        <f>"dhs-27"</f>
        <v>dhs-27</v>
      </c>
      <c r="I1911" t="s">
        <v>7182</v>
      </c>
      <c r="J1911">
        <v>12.8384326457531</v>
      </c>
      <c r="K1911">
        <v>13.206047269742101</v>
      </c>
      <c r="L1911">
        <v>13.5826254578723</v>
      </c>
      <c r="M1911">
        <v>13.910139719869001</v>
      </c>
      <c r="N1911">
        <v>13.847220974006699</v>
      </c>
      <c r="O1911">
        <v>13.6312697544542</v>
      </c>
      <c r="P1911">
        <v>0.58717502498748098</v>
      </c>
      <c r="Q1911">
        <v>0.15752864956958801</v>
      </c>
      <c r="R1911">
        <v>1.0168214004053699</v>
      </c>
      <c r="S1911">
        <v>13.652495125696101</v>
      </c>
      <c r="T1911">
        <v>2.8987179003024202</v>
      </c>
      <c r="U1911">
        <v>-3.34351970187784</v>
      </c>
      <c r="V1911">
        <v>1.05231915740577E-2</v>
      </c>
      <c r="W1911">
        <v>0.18335697151028299</v>
      </c>
      <c r="X1911">
        <v>0</v>
      </c>
      <c r="Y1911">
        <v>0</v>
      </c>
    </row>
    <row r="1912" spans="1:25" x14ac:dyDescent="0.2">
      <c r="A1912" t="s">
        <v>7183</v>
      </c>
      <c r="B1912" t="s">
        <v>7184</v>
      </c>
      <c r="C1912" t="s">
        <v>7185</v>
      </c>
      <c r="D1912" t="s">
        <v>7186</v>
      </c>
      <c r="E1912" t="s">
        <v>7184</v>
      </c>
      <c r="F1912" t="s">
        <v>28</v>
      </c>
      <c r="G1912" t="s">
        <v>7184</v>
      </c>
      <c r="H1912" t="str">
        <f>"vps-16"</f>
        <v>vps-16</v>
      </c>
      <c r="I1912" t="s">
        <v>7186</v>
      </c>
      <c r="J1912">
        <v>13.126964394053999</v>
      </c>
      <c r="K1912">
        <v>13.122594689309</v>
      </c>
      <c r="L1912">
        <v>12.787581033880899</v>
      </c>
      <c r="M1912">
        <v>13.101659593703101</v>
      </c>
      <c r="N1912">
        <v>12.6730410857576</v>
      </c>
      <c r="O1912" t="s">
        <v>29</v>
      </c>
      <c r="P1912">
        <v>-0.125029699351003</v>
      </c>
      <c r="Q1912">
        <v>-0.53764755405662201</v>
      </c>
      <c r="R1912">
        <v>0.28758815535461502</v>
      </c>
      <c r="S1912">
        <v>12.7305123230216</v>
      </c>
      <c r="T1912">
        <v>-0.64625925551520702</v>
      </c>
      <c r="U1912">
        <v>-6.5552902527227603</v>
      </c>
      <c r="V1912">
        <v>0.52794401084202602</v>
      </c>
      <c r="W1912">
        <v>0.94259531549477504</v>
      </c>
      <c r="X1912">
        <v>0</v>
      </c>
      <c r="Y1912">
        <v>0</v>
      </c>
    </row>
    <row r="1913" spans="1:25" x14ac:dyDescent="0.2">
      <c r="A1913" t="s">
        <v>7187</v>
      </c>
      <c r="B1913" t="s">
        <v>7188</v>
      </c>
      <c r="C1913" t="s">
        <v>7189</v>
      </c>
      <c r="D1913" t="s">
        <v>7190</v>
      </c>
      <c r="E1913" t="s">
        <v>7188</v>
      </c>
      <c r="F1913" t="s">
        <v>28</v>
      </c>
      <c r="G1913" t="s">
        <v>7188</v>
      </c>
      <c r="H1913" t="str">
        <f>"txdc-9"</f>
        <v>txdc-9</v>
      </c>
      <c r="I1913" t="s">
        <v>7190</v>
      </c>
      <c r="J1913">
        <v>13.8671670626384</v>
      </c>
      <c r="K1913">
        <v>14.046311058760701</v>
      </c>
      <c r="L1913">
        <v>14.2131528897745</v>
      </c>
      <c r="M1913">
        <v>13.9921492402352</v>
      </c>
      <c r="N1913">
        <v>13.9731152156553</v>
      </c>
      <c r="O1913">
        <v>13.9307235218961</v>
      </c>
      <c r="P1913">
        <v>-7.6881011129017907E-2</v>
      </c>
      <c r="Q1913">
        <v>-0.46301118688196102</v>
      </c>
      <c r="R1913">
        <v>0.30924916462392499</v>
      </c>
      <c r="S1913">
        <v>13.65263095593</v>
      </c>
      <c r="T1913">
        <v>-0.42027674199667298</v>
      </c>
      <c r="U1913">
        <v>-6.7903958538916998</v>
      </c>
      <c r="V1913">
        <v>0.67957997692854</v>
      </c>
      <c r="W1913">
        <v>0.98642420921484297</v>
      </c>
      <c r="X1913">
        <v>0</v>
      </c>
      <c r="Y1913">
        <v>0</v>
      </c>
    </row>
    <row r="1914" spans="1:25" x14ac:dyDescent="0.2">
      <c r="A1914" t="s">
        <v>7191</v>
      </c>
      <c r="B1914" t="s">
        <v>7192</v>
      </c>
      <c r="C1914" t="s">
        <v>7193</v>
      </c>
      <c r="D1914" t="s">
        <v>7194</v>
      </c>
      <c r="E1914" t="s">
        <v>7192</v>
      </c>
      <c r="F1914" t="s">
        <v>28</v>
      </c>
      <c r="G1914" t="s">
        <v>7192</v>
      </c>
      <c r="H1914" t="str">
        <f>"popl-1"</f>
        <v>popl-1</v>
      </c>
      <c r="I1914" t="s">
        <v>7194</v>
      </c>
      <c r="J1914">
        <v>13.531026267378801</v>
      </c>
      <c r="K1914">
        <v>13.5856830329998</v>
      </c>
      <c r="L1914">
        <v>13.470781174293901</v>
      </c>
      <c r="M1914">
        <v>13.447139742040401</v>
      </c>
      <c r="N1914">
        <v>13.2188804007783</v>
      </c>
      <c r="O1914">
        <v>13.680747407985599</v>
      </c>
      <c r="P1914">
        <v>-8.0240974622718397E-2</v>
      </c>
      <c r="Q1914">
        <v>-0.67635037420713795</v>
      </c>
      <c r="R1914">
        <v>0.51586842496170104</v>
      </c>
      <c r="S1914">
        <v>14.2332899688694</v>
      </c>
      <c r="T1914">
        <v>-0.282919406451559</v>
      </c>
      <c r="U1914">
        <v>-6.8407612704666203</v>
      </c>
      <c r="V1914">
        <v>0.78048527963692005</v>
      </c>
      <c r="W1914">
        <v>0.99278624068726296</v>
      </c>
      <c r="X1914">
        <v>0</v>
      </c>
      <c r="Y1914">
        <v>0</v>
      </c>
    </row>
    <row r="1915" spans="1:25" x14ac:dyDescent="0.2">
      <c r="A1915" t="s">
        <v>7195</v>
      </c>
      <c r="B1915" t="s">
        <v>7196</v>
      </c>
      <c r="C1915" t="s">
        <v>7197</v>
      </c>
      <c r="D1915" t="s">
        <v>7198</v>
      </c>
      <c r="E1915" t="s">
        <v>7196</v>
      </c>
      <c r="F1915" t="s">
        <v>28</v>
      </c>
      <c r="G1915" t="s">
        <v>7196</v>
      </c>
      <c r="H1915" t="str">
        <f>"mrps-17"</f>
        <v>mrps-17</v>
      </c>
      <c r="I1915" t="s">
        <v>7198</v>
      </c>
      <c r="J1915">
        <v>12.6090947848716</v>
      </c>
      <c r="K1915">
        <v>12.5531810601628</v>
      </c>
      <c r="L1915">
        <v>12.524119704558601</v>
      </c>
      <c r="M1915">
        <v>12.4777808283458</v>
      </c>
      <c r="N1915">
        <v>12.770988769714</v>
      </c>
      <c r="O1915">
        <v>12.468215492916899</v>
      </c>
      <c r="P1915">
        <v>1.01965137945701E-2</v>
      </c>
      <c r="Q1915">
        <v>-0.45190563477262902</v>
      </c>
      <c r="R1915">
        <v>0.47229866236176898</v>
      </c>
      <c r="S1915">
        <v>12.6696702294605</v>
      </c>
      <c r="T1915">
        <v>4.6801875084912799E-2</v>
      </c>
      <c r="U1915">
        <v>-6.88133754527865</v>
      </c>
      <c r="V1915">
        <v>0.96325411928175897</v>
      </c>
      <c r="W1915">
        <v>0.99968702248720698</v>
      </c>
      <c r="X1915">
        <v>0</v>
      </c>
      <c r="Y1915">
        <v>0</v>
      </c>
    </row>
    <row r="1916" spans="1:25" x14ac:dyDescent="0.2">
      <c r="A1916" t="s">
        <v>7199</v>
      </c>
      <c r="B1916" t="s">
        <v>7200</v>
      </c>
      <c r="C1916" t="s">
        <v>7201</v>
      </c>
      <c r="D1916" t="s">
        <v>7202</v>
      </c>
      <c r="E1916" t="s">
        <v>7200</v>
      </c>
      <c r="F1916" t="s">
        <v>28</v>
      </c>
      <c r="G1916" t="s">
        <v>7200</v>
      </c>
      <c r="H1916" t="str">
        <f>"let-721"</f>
        <v>let-721</v>
      </c>
      <c r="I1916" t="s">
        <v>7202</v>
      </c>
      <c r="J1916">
        <v>12.3698809235025</v>
      </c>
      <c r="K1916">
        <v>12.7979025755603</v>
      </c>
      <c r="L1916">
        <v>13.0349622238696</v>
      </c>
      <c r="M1916">
        <v>12.6815827258749</v>
      </c>
      <c r="N1916">
        <v>13.274440776461301</v>
      </c>
      <c r="O1916">
        <v>12.8684950892087</v>
      </c>
      <c r="P1916">
        <v>0.20725762287084301</v>
      </c>
      <c r="Q1916">
        <v>-0.79591847633449697</v>
      </c>
      <c r="R1916">
        <v>1.2104337220761801</v>
      </c>
      <c r="S1916">
        <v>12.9993404627998</v>
      </c>
      <c r="T1916">
        <v>0.43609725134767802</v>
      </c>
      <c r="U1916">
        <v>-6.7833717769050796</v>
      </c>
      <c r="V1916">
        <v>0.66828742205118596</v>
      </c>
      <c r="W1916">
        <v>0.98642420921484297</v>
      </c>
      <c r="X1916">
        <v>0</v>
      </c>
      <c r="Y1916">
        <v>0</v>
      </c>
    </row>
    <row r="1917" spans="1:25" x14ac:dyDescent="0.2">
      <c r="A1917" t="s">
        <v>7203</v>
      </c>
      <c r="B1917" t="s">
        <v>7204</v>
      </c>
      <c r="C1917" t="s">
        <v>7205</v>
      </c>
      <c r="D1917" t="s">
        <v>7206</v>
      </c>
      <c r="E1917" t="s">
        <v>7204</v>
      </c>
      <c r="F1917" t="s">
        <v>28</v>
      </c>
      <c r="G1917" t="s">
        <v>7204</v>
      </c>
      <c r="H1917" t="str">
        <f>"sor-3"</f>
        <v>sor-3</v>
      </c>
      <c r="I1917" t="s">
        <v>7206</v>
      </c>
      <c r="J1917">
        <v>13.302825935860501</v>
      </c>
      <c r="K1917">
        <v>13.9023973148587</v>
      </c>
      <c r="L1917">
        <v>13.4985261658393</v>
      </c>
      <c r="M1917">
        <v>13.579443308834</v>
      </c>
      <c r="N1917">
        <v>13.597814854640101</v>
      </c>
      <c r="O1917">
        <v>13.7316359565288</v>
      </c>
      <c r="P1917">
        <v>6.8381567814807198E-2</v>
      </c>
      <c r="Q1917">
        <v>-0.32315130801716602</v>
      </c>
      <c r="R1917">
        <v>0.45991444364678002</v>
      </c>
      <c r="S1917">
        <v>13.736443870707401</v>
      </c>
      <c r="T1917">
        <v>0.36865559771143203</v>
      </c>
      <c r="U1917">
        <v>-6.8115439228019898</v>
      </c>
      <c r="V1917">
        <v>0.71696336415885997</v>
      </c>
      <c r="W1917">
        <v>0.98786722894487999</v>
      </c>
      <c r="X1917">
        <v>0</v>
      </c>
      <c r="Y1917">
        <v>0</v>
      </c>
    </row>
    <row r="1918" spans="1:25" x14ac:dyDescent="0.2">
      <c r="A1918" t="s">
        <v>7207</v>
      </c>
      <c r="B1918" t="s">
        <v>7208</v>
      </c>
      <c r="C1918" t="s">
        <v>7209</v>
      </c>
      <c r="D1918" t="s">
        <v>7210</v>
      </c>
      <c r="E1918" t="s">
        <v>7208</v>
      </c>
      <c r="F1918" t="s">
        <v>28</v>
      </c>
      <c r="G1918" t="s">
        <v>7208</v>
      </c>
      <c r="H1918" t="str">
        <f>"sodh-1"</f>
        <v>sodh-1</v>
      </c>
      <c r="I1918" t="s">
        <v>7210</v>
      </c>
      <c r="J1918">
        <v>15.390750124306599</v>
      </c>
      <c r="K1918">
        <v>16.145588328132401</v>
      </c>
      <c r="L1918">
        <v>14.028495461305599</v>
      </c>
      <c r="M1918">
        <v>14.582024087402401</v>
      </c>
      <c r="N1918">
        <v>14.5485791905199</v>
      </c>
      <c r="O1918">
        <v>16.018040909794902</v>
      </c>
      <c r="P1918">
        <v>-0.13872990867577301</v>
      </c>
      <c r="Q1918">
        <v>-1.1098671043644699</v>
      </c>
      <c r="R1918">
        <v>0.83240728701292399</v>
      </c>
      <c r="S1918">
        <v>14.267635090486101</v>
      </c>
      <c r="T1918">
        <v>-0.30024931489549</v>
      </c>
      <c r="U1918">
        <v>-6.8355060172694904</v>
      </c>
      <c r="V1918">
        <v>0.76744702699648004</v>
      </c>
      <c r="W1918">
        <v>0.99278624068726296</v>
      </c>
      <c r="X1918">
        <v>0</v>
      </c>
      <c r="Y1918">
        <v>0</v>
      </c>
    </row>
    <row r="1919" spans="1:25" x14ac:dyDescent="0.2">
      <c r="A1919" t="s">
        <v>7211</v>
      </c>
      <c r="B1919" t="s">
        <v>7212</v>
      </c>
      <c r="C1919" t="s">
        <v>7213</v>
      </c>
      <c r="D1919" t="s">
        <v>7214</v>
      </c>
      <c r="E1919" t="s">
        <v>7212</v>
      </c>
      <c r="F1919" t="s">
        <v>28</v>
      </c>
      <c r="G1919" t="s">
        <v>7212</v>
      </c>
      <c r="H1919" t="str">
        <f>"H24K24.3"</f>
        <v>H24K24.3</v>
      </c>
      <c r="I1919" t="s">
        <v>7214</v>
      </c>
      <c r="J1919">
        <v>12.5731976862692</v>
      </c>
      <c r="K1919">
        <v>12.664647902074501</v>
      </c>
      <c r="L1919">
        <v>12.3852416052398</v>
      </c>
      <c r="M1919">
        <v>12.5847069375729</v>
      </c>
      <c r="N1919">
        <v>12.488226201758801</v>
      </c>
      <c r="O1919">
        <v>12.620986133388101</v>
      </c>
      <c r="P1919">
        <v>2.36106930453861E-2</v>
      </c>
      <c r="Q1919">
        <v>-0.76332554617328296</v>
      </c>
      <c r="R1919">
        <v>0.81054693226405505</v>
      </c>
      <c r="S1919">
        <v>12.1794589678364</v>
      </c>
      <c r="T1919">
        <v>6.3331416650334801E-2</v>
      </c>
      <c r="U1919">
        <v>-6.8803875905796801</v>
      </c>
      <c r="V1919">
        <v>0.95024585595770406</v>
      </c>
      <c r="W1919">
        <v>0.99968702248720698</v>
      </c>
      <c r="X1919">
        <v>0</v>
      </c>
      <c r="Y1919">
        <v>0</v>
      </c>
    </row>
    <row r="1920" spans="1:25" x14ac:dyDescent="0.2">
      <c r="A1920" t="s">
        <v>7215</v>
      </c>
      <c r="B1920" t="s">
        <v>7216</v>
      </c>
      <c r="C1920" t="s">
        <v>7217</v>
      </c>
      <c r="D1920" t="s">
        <v>7218</v>
      </c>
      <c r="E1920" t="s">
        <v>7216</v>
      </c>
      <c r="F1920" t="s">
        <v>28</v>
      </c>
      <c r="G1920" t="s">
        <v>7216</v>
      </c>
      <c r="H1920" t="str">
        <f>"let-858"</f>
        <v>let-858</v>
      </c>
      <c r="I1920" t="s">
        <v>7218</v>
      </c>
      <c r="J1920">
        <v>13.5793828618789</v>
      </c>
      <c r="K1920">
        <v>14.3644942705999</v>
      </c>
      <c r="L1920">
        <v>14.3149091196666</v>
      </c>
      <c r="M1920">
        <v>13.922916648563501</v>
      </c>
      <c r="N1920">
        <v>14.342609441992201</v>
      </c>
      <c r="O1920">
        <v>13.8742112570638</v>
      </c>
      <c r="P1920">
        <v>-3.968296817526E-2</v>
      </c>
      <c r="Q1920">
        <v>-0.73641834697883801</v>
      </c>
      <c r="R1920">
        <v>0.65705241062831798</v>
      </c>
      <c r="S1920">
        <v>14.613458824346299</v>
      </c>
      <c r="T1920">
        <v>-0.119709549980429</v>
      </c>
      <c r="U1920">
        <v>-6.8750050068853401</v>
      </c>
      <c r="V1920">
        <v>0.90604694567018695</v>
      </c>
      <c r="W1920">
        <v>0.99833354317360001</v>
      </c>
      <c r="X1920">
        <v>0</v>
      </c>
      <c r="Y1920">
        <v>0</v>
      </c>
    </row>
    <row r="1921" spans="1:25" x14ac:dyDescent="0.2">
      <c r="A1921" t="s">
        <v>7219</v>
      </c>
      <c r="B1921" t="s">
        <v>7220</v>
      </c>
      <c r="C1921" t="s">
        <v>7221</v>
      </c>
      <c r="D1921" t="s">
        <v>7222</v>
      </c>
      <c r="E1921" t="s">
        <v>7220</v>
      </c>
      <c r="F1921" t="s">
        <v>28</v>
      </c>
      <c r="G1921" t="s">
        <v>7220</v>
      </c>
      <c r="H1921" t="str">
        <f>"gld-1"</f>
        <v>gld-1</v>
      </c>
      <c r="I1921" t="s">
        <v>7222</v>
      </c>
      <c r="J1921">
        <v>14.283215638323901</v>
      </c>
      <c r="K1921">
        <v>14.281619467052</v>
      </c>
      <c r="L1921">
        <v>14.9145278093052</v>
      </c>
      <c r="M1921">
        <v>14.641276321465501</v>
      </c>
      <c r="N1921">
        <v>15.505845482908301</v>
      </c>
      <c r="O1921">
        <v>14.7842748863472</v>
      </c>
      <c r="P1921">
        <v>0.48401125867996703</v>
      </c>
      <c r="Q1921">
        <v>-0.36007574164424799</v>
      </c>
      <c r="R1921">
        <v>1.3280982590041801</v>
      </c>
      <c r="S1921">
        <v>15.480322176860099</v>
      </c>
      <c r="T1921">
        <v>1.20520455754842</v>
      </c>
      <c r="U1921">
        <v>-6.1530823359545899</v>
      </c>
      <c r="V1921">
        <v>0.24382053224498201</v>
      </c>
      <c r="W1921">
        <v>0.82513725030013996</v>
      </c>
      <c r="X1921">
        <v>0</v>
      </c>
      <c r="Y1921">
        <v>0</v>
      </c>
    </row>
    <row r="1922" spans="1:25" x14ac:dyDescent="0.2">
      <c r="A1922" t="s">
        <v>7223</v>
      </c>
      <c r="B1922" t="s">
        <v>7224</v>
      </c>
      <c r="C1922" t="s">
        <v>7225</v>
      </c>
      <c r="D1922" t="s">
        <v>7226</v>
      </c>
      <c r="E1922" t="s">
        <v>7224</v>
      </c>
      <c r="F1922" t="s">
        <v>28</v>
      </c>
      <c r="G1922" t="s">
        <v>7224</v>
      </c>
      <c r="H1922" t="str">
        <f>"ccf-1"</f>
        <v>ccf-1</v>
      </c>
      <c r="I1922" t="s">
        <v>7226</v>
      </c>
      <c r="J1922">
        <v>14.228326954144</v>
      </c>
      <c r="K1922">
        <v>14.248012718961</v>
      </c>
      <c r="L1922">
        <v>14.261948278528401</v>
      </c>
      <c r="M1922">
        <v>14.2375258805013</v>
      </c>
      <c r="N1922">
        <v>14.455175600154501</v>
      </c>
      <c r="O1922">
        <v>14.238146686695201</v>
      </c>
      <c r="P1922">
        <v>6.4186738572505703E-2</v>
      </c>
      <c r="Q1922">
        <v>-0.42772656860109398</v>
      </c>
      <c r="R1922">
        <v>0.55610004574610505</v>
      </c>
      <c r="S1922">
        <v>14.000366243669101</v>
      </c>
      <c r="T1922">
        <v>0.27425165119603001</v>
      </c>
      <c r="U1922">
        <v>-6.8432736232290097</v>
      </c>
      <c r="V1922">
        <v>0.78703202206497003</v>
      </c>
      <c r="W1922">
        <v>0.99278624068726296</v>
      </c>
      <c r="X1922">
        <v>0</v>
      </c>
      <c r="Y1922">
        <v>0</v>
      </c>
    </row>
    <row r="1923" spans="1:25" x14ac:dyDescent="0.2">
      <c r="A1923" t="s">
        <v>7227</v>
      </c>
      <c r="B1923" t="s">
        <v>7228</v>
      </c>
      <c r="C1923" t="s">
        <v>7229</v>
      </c>
      <c r="D1923" t="s">
        <v>7230</v>
      </c>
      <c r="E1923" t="s">
        <v>7228</v>
      </c>
      <c r="F1923" t="s">
        <v>28</v>
      </c>
      <c r="G1923" t="s">
        <v>7228</v>
      </c>
      <c r="H1923" t="str">
        <f>"snr-1"</f>
        <v>snr-1</v>
      </c>
      <c r="I1923" t="s">
        <v>7230</v>
      </c>
      <c r="J1923">
        <v>11.0154678968523</v>
      </c>
      <c r="K1923">
        <v>12.036688539931401</v>
      </c>
      <c r="L1923">
        <v>13.2435371510108</v>
      </c>
      <c r="M1923">
        <v>13.475269756445</v>
      </c>
      <c r="N1923">
        <v>11.4198500695316</v>
      </c>
      <c r="O1923">
        <v>12.339475505444801</v>
      </c>
      <c r="P1923">
        <v>0.31296724787563301</v>
      </c>
      <c r="Q1923">
        <v>-0.65622226081271795</v>
      </c>
      <c r="R1923">
        <v>1.28215675656398</v>
      </c>
      <c r="S1923">
        <v>12.589944925999401</v>
      </c>
      <c r="T1923">
        <v>0.68161666442967495</v>
      </c>
      <c r="U1923">
        <v>-6.6422978162802204</v>
      </c>
      <c r="V1923">
        <v>0.50471851460469697</v>
      </c>
      <c r="W1923">
        <v>0.94062983959761604</v>
      </c>
      <c r="X1923">
        <v>0</v>
      </c>
      <c r="Y1923">
        <v>0</v>
      </c>
    </row>
    <row r="1924" spans="1:25" x14ac:dyDescent="0.2">
      <c r="A1924" t="s">
        <v>7231</v>
      </c>
      <c r="B1924" t="s">
        <v>7232</v>
      </c>
      <c r="C1924" t="s">
        <v>7233</v>
      </c>
      <c r="D1924" t="s">
        <v>7234</v>
      </c>
      <c r="E1924" t="s">
        <v>7232</v>
      </c>
      <c r="F1924" t="s">
        <v>28</v>
      </c>
      <c r="G1924" t="s">
        <v>7232</v>
      </c>
      <c r="H1924" t="str">
        <f>"par-3"</f>
        <v>par-3</v>
      </c>
      <c r="I1924" t="s">
        <v>7234</v>
      </c>
      <c r="J1924">
        <v>12.0330060007266</v>
      </c>
      <c r="K1924">
        <v>12.288258855572</v>
      </c>
      <c r="L1924">
        <v>12.8928534718526</v>
      </c>
      <c r="M1924">
        <v>13.260381592606601</v>
      </c>
      <c r="N1924">
        <v>12.5814296162629</v>
      </c>
      <c r="O1924">
        <v>13.320742001316001</v>
      </c>
      <c r="P1924">
        <v>0.64947829401142898</v>
      </c>
      <c r="Q1924">
        <v>2.3552992751145901E-2</v>
      </c>
      <c r="R1924">
        <v>1.27540359527171</v>
      </c>
      <c r="S1924">
        <v>12.6203055607743</v>
      </c>
      <c r="T1924">
        <v>2.2008561826052899</v>
      </c>
      <c r="U1924">
        <v>-4.6619486073715501</v>
      </c>
      <c r="V1924">
        <v>4.2878939454672298E-2</v>
      </c>
      <c r="W1924">
        <v>0.45446213536671798</v>
      </c>
      <c r="X1924">
        <v>0</v>
      </c>
      <c r="Y1924">
        <v>0</v>
      </c>
    </row>
    <row r="1925" spans="1:25" x14ac:dyDescent="0.2">
      <c r="A1925" t="s">
        <v>7235</v>
      </c>
      <c r="B1925" t="s">
        <v>7236</v>
      </c>
      <c r="C1925" t="s">
        <v>7237</v>
      </c>
      <c r="D1925" t="s">
        <v>7238</v>
      </c>
      <c r="E1925" t="s">
        <v>7236</v>
      </c>
      <c r="F1925" t="s">
        <v>28</v>
      </c>
      <c r="G1925" t="s">
        <v>7236</v>
      </c>
      <c r="H1925" t="str">
        <f>"usp-14"</f>
        <v>usp-14</v>
      </c>
      <c r="I1925" t="s">
        <v>7238</v>
      </c>
      <c r="J1925">
        <v>14.369751896301899</v>
      </c>
      <c r="K1925">
        <v>13.8827255902976</v>
      </c>
      <c r="L1925">
        <v>13.816577028334301</v>
      </c>
      <c r="M1925">
        <v>13.6582589899891</v>
      </c>
      <c r="N1925">
        <v>14.079849902136299</v>
      </c>
      <c r="O1925">
        <v>14.380666081729601</v>
      </c>
      <c r="P1925">
        <v>1.6573486307054401E-2</v>
      </c>
      <c r="Q1925">
        <v>-0.51355807943494602</v>
      </c>
      <c r="R1925">
        <v>0.54670505204905495</v>
      </c>
      <c r="S1925">
        <v>13.7234993009465</v>
      </c>
      <c r="T1925">
        <v>6.5708676943682695E-2</v>
      </c>
      <c r="U1925">
        <v>-6.8802338956119904</v>
      </c>
      <c r="V1925">
        <v>0.94833828350132399</v>
      </c>
      <c r="W1925">
        <v>0.99968702248720698</v>
      </c>
      <c r="X1925">
        <v>0</v>
      </c>
      <c r="Y1925">
        <v>0</v>
      </c>
    </row>
    <row r="1926" spans="1:25" x14ac:dyDescent="0.2">
      <c r="A1926" t="s">
        <v>7239</v>
      </c>
      <c r="B1926" t="s">
        <v>7240</v>
      </c>
      <c r="C1926" t="s">
        <v>7241</v>
      </c>
      <c r="D1926" t="s">
        <v>7242</v>
      </c>
      <c r="E1926" t="s">
        <v>7240</v>
      </c>
      <c r="F1926" t="s">
        <v>28</v>
      </c>
      <c r="G1926" t="s">
        <v>7240</v>
      </c>
      <c r="H1926" t="str">
        <f>"cul-1"</f>
        <v>cul-1</v>
      </c>
      <c r="I1926" t="s">
        <v>7242</v>
      </c>
      <c r="J1926">
        <v>15.3272322039691</v>
      </c>
      <c r="K1926">
        <v>15.2189103463107</v>
      </c>
      <c r="L1926">
        <v>15.2206213615643</v>
      </c>
      <c r="M1926">
        <v>15.162237974930299</v>
      </c>
      <c r="N1926">
        <v>15.180180520138499</v>
      </c>
      <c r="O1926">
        <v>15.3574801628132</v>
      </c>
      <c r="P1926">
        <v>-2.2288417987361701E-2</v>
      </c>
      <c r="Q1926">
        <v>-0.50494856595195303</v>
      </c>
      <c r="R1926">
        <v>0.46037172997723003</v>
      </c>
      <c r="S1926">
        <v>15.098680731180799</v>
      </c>
      <c r="T1926">
        <v>-9.7057771439667401E-2</v>
      </c>
      <c r="U1926">
        <v>-6.8775688401948099</v>
      </c>
      <c r="V1926">
        <v>0.92375929303880899</v>
      </c>
      <c r="W1926">
        <v>0.99843270744267199</v>
      </c>
      <c r="X1926">
        <v>0</v>
      </c>
      <c r="Y1926">
        <v>0</v>
      </c>
    </row>
    <row r="1927" spans="1:25" x14ac:dyDescent="0.2">
      <c r="A1927" t="s">
        <v>7243</v>
      </c>
      <c r="B1927" t="s">
        <v>7244</v>
      </c>
      <c r="C1927" t="s">
        <v>7245</v>
      </c>
      <c r="D1927" t="s">
        <v>7246</v>
      </c>
      <c r="E1927" t="s">
        <v>7244</v>
      </c>
      <c r="F1927" t="s">
        <v>28</v>
      </c>
      <c r="G1927" t="s">
        <v>7244</v>
      </c>
      <c r="H1927" t="str">
        <f>"cul-2"</f>
        <v>cul-2</v>
      </c>
      <c r="I1927" t="s">
        <v>7246</v>
      </c>
      <c r="J1927">
        <v>11.743298674171999</v>
      </c>
      <c r="K1927">
        <v>12.2768642188777</v>
      </c>
      <c r="L1927">
        <v>12.0153025316271</v>
      </c>
      <c r="M1927">
        <v>12.1283358020615</v>
      </c>
      <c r="N1927">
        <v>12.1791157945921</v>
      </c>
      <c r="O1927">
        <v>11.84923743191</v>
      </c>
      <c r="P1927">
        <v>4.0407867962246199E-2</v>
      </c>
      <c r="Q1927">
        <v>-0.413473278468521</v>
      </c>
      <c r="R1927">
        <v>0.49428901439301298</v>
      </c>
      <c r="S1927">
        <v>12.1003696650699</v>
      </c>
      <c r="T1927">
        <v>0.18792034729804799</v>
      </c>
      <c r="U1927">
        <v>-6.8639997625038296</v>
      </c>
      <c r="V1927">
        <v>0.85317761637870704</v>
      </c>
      <c r="W1927">
        <v>0.99370971747667503</v>
      </c>
      <c r="X1927">
        <v>0</v>
      </c>
      <c r="Y1927">
        <v>0</v>
      </c>
    </row>
    <row r="1928" spans="1:25" x14ac:dyDescent="0.2">
      <c r="A1928" t="s">
        <v>7247</v>
      </c>
      <c r="B1928" t="s">
        <v>7248</v>
      </c>
      <c r="C1928" t="s">
        <v>7249</v>
      </c>
      <c r="D1928" t="s">
        <v>7250</v>
      </c>
      <c r="E1928" t="s">
        <v>7248</v>
      </c>
      <c r="F1928" t="s">
        <v>28</v>
      </c>
      <c r="G1928" t="s">
        <v>7248</v>
      </c>
      <c r="H1928" t="str">
        <f>"cul-3"</f>
        <v>cul-3</v>
      </c>
      <c r="I1928" t="s">
        <v>7250</v>
      </c>
      <c r="J1928">
        <v>13.0774528069391</v>
      </c>
      <c r="K1928">
        <v>13.0529567995044</v>
      </c>
      <c r="L1928">
        <v>12.5375816571045</v>
      </c>
      <c r="M1928">
        <v>12.9647795958016</v>
      </c>
      <c r="N1928">
        <v>12.7582432219957</v>
      </c>
      <c r="O1928">
        <v>12.8390828985223</v>
      </c>
      <c r="P1928">
        <v>-3.5295182409445403E-2</v>
      </c>
      <c r="Q1928">
        <v>-0.40765708294599001</v>
      </c>
      <c r="R1928">
        <v>0.33706671812709899</v>
      </c>
      <c r="S1928">
        <v>12.917988542745</v>
      </c>
      <c r="T1928">
        <v>-0.200078399931096</v>
      </c>
      <c r="U1928">
        <v>-6.8615328139520804</v>
      </c>
      <c r="V1928">
        <v>0.84380777649269301</v>
      </c>
      <c r="W1928">
        <v>0.99370971747667503</v>
      </c>
      <c r="X1928">
        <v>0</v>
      </c>
      <c r="Y1928">
        <v>0</v>
      </c>
    </row>
    <row r="1929" spans="1:25" x14ac:dyDescent="0.2">
      <c r="A1929" t="s">
        <v>7251</v>
      </c>
      <c r="B1929" t="s">
        <v>7252</v>
      </c>
      <c r="C1929" t="s">
        <v>7253</v>
      </c>
      <c r="D1929" t="s">
        <v>7254</v>
      </c>
      <c r="E1929" t="s">
        <v>7252</v>
      </c>
      <c r="F1929" t="s">
        <v>28</v>
      </c>
      <c r="G1929" t="s">
        <v>7252</v>
      </c>
      <c r="H1929" t="str">
        <f>"lin-24"</f>
        <v>lin-24</v>
      </c>
      <c r="I1929" t="s">
        <v>7254</v>
      </c>
      <c r="J1929">
        <v>14.4606646097221</v>
      </c>
      <c r="K1929">
        <v>14.578661268985799</v>
      </c>
      <c r="L1929">
        <v>14.4612558518015</v>
      </c>
      <c r="M1929">
        <v>14.585087952781199</v>
      </c>
      <c r="N1929">
        <v>14.5152125026364</v>
      </c>
      <c r="O1929">
        <v>14.774264140340501</v>
      </c>
      <c r="P1929">
        <v>0.124660955082879</v>
      </c>
      <c r="Q1929">
        <v>-0.46431068855186902</v>
      </c>
      <c r="R1929">
        <v>0.71363259871762696</v>
      </c>
      <c r="S1929">
        <v>14.4434332272763</v>
      </c>
      <c r="T1929">
        <v>0.44486534660167898</v>
      </c>
      <c r="U1929">
        <v>-6.7796579485031696</v>
      </c>
      <c r="V1929">
        <v>0.66175104294357201</v>
      </c>
      <c r="W1929">
        <v>0.98382359994193702</v>
      </c>
      <c r="X1929">
        <v>0</v>
      </c>
      <c r="Y1929">
        <v>0</v>
      </c>
    </row>
    <row r="1930" spans="1:25" x14ac:dyDescent="0.2">
      <c r="A1930" t="s">
        <v>7255</v>
      </c>
      <c r="B1930" t="s">
        <v>7256</v>
      </c>
      <c r="C1930" t="s">
        <v>7257</v>
      </c>
      <c r="D1930" t="s">
        <v>368</v>
      </c>
      <c r="E1930" t="s">
        <v>7256</v>
      </c>
      <c r="F1930" t="s">
        <v>28</v>
      </c>
      <c r="G1930" t="s">
        <v>7256</v>
      </c>
      <c r="H1930" t="str">
        <f>"B0001.2"</f>
        <v>B0001.2</v>
      </c>
      <c r="I1930" t="s">
        <v>368</v>
      </c>
      <c r="J1930">
        <v>10.840530384011601</v>
      </c>
      <c r="K1930">
        <v>11.139465962722401</v>
      </c>
      <c r="L1930">
        <v>10.5466779644872</v>
      </c>
      <c r="M1930">
        <v>10.734814723504799</v>
      </c>
      <c r="N1930">
        <v>11.3365942789122</v>
      </c>
      <c r="O1930">
        <v>11.186109586626401</v>
      </c>
      <c r="P1930">
        <v>0.243614759274044</v>
      </c>
      <c r="Q1930">
        <v>-0.24919575215262199</v>
      </c>
      <c r="R1930">
        <v>0.73642527070070896</v>
      </c>
      <c r="S1930">
        <v>11.8006111269132</v>
      </c>
      <c r="T1930">
        <v>1.04851141641001</v>
      </c>
      <c r="U1930">
        <v>-6.3235598111121103</v>
      </c>
      <c r="V1930">
        <v>0.31008516915512602</v>
      </c>
      <c r="W1930">
        <v>0.86207931095287205</v>
      </c>
      <c r="X1930">
        <v>0</v>
      </c>
      <c r="Y1930">
        <v>0</v>
      </c>
    </row>
    <row r="1931" spans="1:25" x14ac:dyDescent="0.2">
      <c r="A1931" t="s">
        <v>7258</v>
      </c>
      <c r="B1931" t="s">
        <v>7259</v>
      </c>
      <c r="C1931" t="s">
        <v>7260</v>
      </c>
      <c r="D1931" t="s">
        <v>7261</v>
      </c>
      <c r="E1931" t="s">
        <v>7259</v>
      </c>
      <c r="F1931" t="s">
        <v>28</v>
      </c>
      <c r="G1931" t="s">
        <v>7259</v>
      </c>
      <c r="H1931" t="str">
        <f>"B0001.5"</f>
        <v>B0001.5</v>
      </c>
      <c r="I1931" t="s">
        <v>7261</v>
      </c>
      <c r="J1931" t="s">
        <v>29</v>
      </c>
      <c r="K1931" t="s">
        <v>29</v>
      </c>
      <c r="L1931">
        <v>11.5521621172867</v>
      </c>
      <c r="M1931">
        <v>10.7824862344499</v>
      </c>
      <c r="N1931">
        <v>12.0650469738477</v>
      </c>
      <c r="O1931">
        <v>11.5867520492775</v>
      </c>
      <c r="P1931">
        <v>-7.4067031428306507E-2</v>
      </c>
      <c r="Q1931">
        <v>-0.95837631430310199</v>
      </c>
      <c r="R1931">
        <v>0.81024225144648898</v>
      </c>
      <c r="S1931">
        <v>11.798577054087</v>
      </c>
      <c r="T1931">
        <v>-0.182669385252823</v>
      </c>
      <c r="U1931">
        <v>-6.5233518495227303</v>
      </c>
      <c r="V1931">
        <v>0.85813376163527399</v>
      </c>
      <c r="W1931">
        <v>0.99370971747667503</v>
      </c>
      <c r="X1931">
        <v>0</v>
      </c>
      <c r="Y1931">
        <v>0</v>
      </c>
    </row>
    <row r="1932" spans="1:25" x14ac:dyDescent="0.2">
      <c r="A1932" t="s">
        <v>7262</v>
      </c>
      <c r="B1932" t="s">
        <v>7263</v>
      </c>
      <c r="C1932" t="s">
        <v>7264</v>
      </c>
      <c r="D1932" t="s">
        <v>2982</v>
      </c>
      <c r="E1932" t="s">
        <v>7263</v>
      </c>
      <c r="F1932" t="s">
        <v>28</v>
      </c>
      <c r="G1932" t="s">
        <v>7263</v>
      </c>
      <c r="H1932" t="str">
        <f>"eri-12"</f>
        <v>eri-12</v>
      </c>
      <c r="I1932" t="s">
        <v>2982</v>
      </c>
      <c r="J1932">
        <v>10.4399149218153</v>
      </c>
      <c r="K1932">
        <v>10.803306937276099</v>
      </c>
      <c r="L1932">
        <v>10.6687671604057</v>
      </c>
      <c r="M1932" t="s">
        <v>29</v>
      </c>
      <c r="N1932" t="s">
        <v>29</v>
      </c>
      <c r="O1932" t="s">
        <v>29</v>
      </c>
      <c r="P1932" t="s">
        <v>29</v>
      </c>
      <c r="Q1932" t="s">
        <v>29</v>
      </c>
      <c r="R1932" t="s">
        <v>29</v>
      </c>
      <c r="S1932">
        <v>10.4213813631329</v>
      </c>
      <c r="T1932" t="s">
        <v>29</v>
      </c>
      <c r="U1932" t="s">
        <v>29</v>
      </c>
      <c r="V1932" t="s">
        <v>29</v>
      </c>
      <c r="W1932" t="s">
        <v>29</v>
      </c>
      <c r="X1932" t="s">
        <v>29</v>
      </c>
      <c r="Y1932" t="s">
        <v>29</v>
      </c>
    </row>
    <row r="1933" spans="1:25" x14ac:dyDescent="0.2">
      <c r="A1933" t="s">
        <v>7265</v>
      </c>
      <c r="B1933" t="s">
        <v>7266</v>
      </c>
      <c r="C1933" t="s">
        <v>7267</v>
      </c>
      <c r="D1933" t="s">
        <v>7268</v>
      </c>
      <c r="E1933" t="s">
        <v>7266</v>
      </c>
      <c r="F1933" t="s">
        <v>28</v>
      </c>
      <c r="G1933" t="s">
        <v>7266</v>
      </c>
      <c r="H1933" t="str">
        <f>"asps-1"</f>
        <v>asps-1</v>
      </c>
      <c r="I1933" t="s">
        <v>7268</v>
      </c>
      <c r="J1933">
        <v>11.4351803452045</v>
      </c>
      <c r="K1933">
        <v>11.975862612872</v>
      </c>
      <c r="L1933">
        <v>12.019695178117001</v>
      </c>
      <c r="M1933">
        <v>12.0448815020093</v>
      </c>
      <c r="N1933">
        <v>11.4180420367789</v>
      </c>
      <c r="O1933" t="s">
        <v>29</v>
      </c>
      <c r="P1933">
        <v>-7.8784276003691603E-2</v>
      </c>
      <c r="Q1933">
        <v>-0.73226082178195395</v>
      </c>
      <c r="R1933">
        <v>0.574692269774571</v>
      </c>
      <c r="S1933">
        <v>11.7306234719473</v>
      </c>
      <c r="T1933">
        <v>-0.26067344293271999</v>
      </c>
      <c r="U1933">
        <v>-6.7361613467710102</v>
      </c>
      <c r="V1933">
        <v>0.79846074498832098</v>
      </c>
      <c r="W1933">
        <v>0.99278624068726296</v>
      </c>
      <c r="X1933">
        <v>0</v>
      </c>
      <c r="Y1933">
        <v>0</v>
      </c>
    </row>
    <row r="1934" spans="1:25" x14ac:dyDescent="0.2">
      <c r="A1934" t="s">
        <v>7269</v>
      </c>
      <c r="B1934" t="s">
        <v>7270</v>
      </c>
      <c r="C1934" t="s">
        <v>7271</v>
      </c>
      <c r="D1934" t="s">
        <v>7272</v>
      </c>
      <c r="E1934" t="s">
        <v>7270</v>
      </c>
      <c r="F1934" t="s">
        <v>28</v>
      </c>
      <c r="G1934" t="s">
        <v>7270</v>
      </c>
      <c r="H1934" t="str">
        <f>"B0024.11"</f>
        <v>B0024.11</v>
      </c>
      <c r="I1934" t="s">
        <v>7272</v>
      </c>
      <c r="J1934">
        <v>16.058262058236298</v>
      </c>
      <c r="K1934">
        <v>16.030612530754802</v>
      </c>
      <c r="L1934">
        <v>15.729059808717</v>
      </c>
      <c r="M1934">
        <v>15.960575099247</v>
      </c>
      <c r="N1934">
        <v>15.7537649134958</v>
      </c>
      <c r="O1934">
        <v>16.0154586166068</v>
      </c>
      <c r="P1934">
        <v>-2.9378589452868201E-2</v>
      </c>
      <c r="Q1934">
        <v>-0.51699043926141597</v>
      </c>
      <c r="R1934">
        <v>0.45823326035567902</v>
      </c>
      <c r="S1934">
        <v>15.3363863055447</v>
      </c>
      <c r="T1934">
        <v>-0.126633672566966</v>
      </c>
      <c r="U1934">
        <v>-6.8741145395676098</v>
      </c>
      <c r="V1934">
        <v>0.90064235505170498</v>
      </c>
      <c r="W1934">
        <v>0.99833354317360001</v>
      </c>
      <c r="X1934">
        <v>0</v>
      </c>
      <c r="Y1934">
        <v>0</v>
      </c>
    </row>
    <row r="1935" spans="1:25" x14ac:dyDescent="0.2">
      <c r="A1935" t="s">
        <v>7273</v>
      </c>
      <c r="B1935" t="s">
        <v>7274</v>
      </c>
      <c r="C1935" t="s">
        <v>7275</v>
      </c>
      <c r="D1935" t="s">
        <v>7276</v>
      </c>
      <c r="E1935" t="s">
        <v>7274</v>
      </c>
      <c r="F1935" t="s">
        <v>28</v>
      </c>
      <c r="G1935" t="s">
        <v>7274</v>
      </c>
      <c r="H1935" t="str">
        <f>"B0024.13"</f>
        <v>B0024.13</v>
      </c>
      <c r="I1935" t="s">
        <v>7276</v>
      </c>
      <c r="J1935">
        <v>11.234825325599299</v>
      </c>
      <c r="K1935">
        <v>11.7291307526763</v>
      </c>
      <c r="L1935">
        <v>11.892217249845899</v>
      </c>
      <c r="M1935">
        <v>11.130880278305501</v>
      </c>
      <c r="N1935">
        <v>12.1402600966753</v>
      </c>
      <c r="O1935">
        <v>11.3259908245559</v>
      </c>
      <c r="P1935">
        <v>-8.6347376194916906E-2</v>
      </c>
      <c r="Q1935">
        <v>-1.0982482577855901</v>
      </c>
      <c r="R1935">
        <v>0.92555350539575598</v>
      </c>
      <c r="S1935">
        <v>11.676860629239499</v>
      </c>
      <c r="T1935">
        <v>-0.18314837254677799</v>
      </c>
      <c r="U1935">
        <v>-6.8647178938032498</v>
      </c>
      <c r="V1935">
        <v>0.85732712133664901</v>
      </c>
      <c r="W1935">
        <v>0.99370971747667503</v>
      </c>
      <c r="X1935">
        <v>0</v>
      </c>
      <c r="Y1935">
        <v>0</v>
      </c>
    </row>
    <row r="1936" spans="1:25" x14ac:dyDescent="0.2">
      <c r="A1936" t="s">
        <v>7277</v>
      </c>
      <c r="B1936" t="s">
        <v>7278</v>
      </c>
      <c r="C1936" t="s">
        <v>7279</v>
      </c>
      <c r="D1936" t="s">
        <v>7280</v>
      </c>
      <c r="E1936" t="s">
        <v>7278</v>
      </c>
      <c r="F1936" t="s">
        <v>28</v>
      </c>
      <c r="G1936" t="s">
        <v>7278</v>
      </c>
      <c r="H1936" t="str">
        <f>"sart-3"</f>
        <v>sart-3</v>
      </c>
      <c r="I1936" t="s">
        <v>7280</v>
      </c>
      <c r="J1936">
        <v>14.7692449316832</v>
      </c>
      <c r="K1936">
        <v>14.5051633947224</v>
      </c>
      <c r="L1936">
        <v>14.534603223214001</v>
      </c>
      <c r="M1936">
        <v>14.7534896141874</v>
      </c>
      <c r="N1936">
        <v>14.636405430546301</v>
      </c>
      <c r="O1936">
        <v>14.651204209897999</v>
      </c>
      <c r="P1936">
        <v>7.7362568337377993E-2</v>
      </c>
      <c r="Q1936">
        <v>-0.36442847867167699</v>
      </c>
      <c r="R1936">
        <v>0.51915361534643301</v>
      </c>
      <c r="S1936">
        <v>14.200108050376199</v>
      </c>
      <c r="T1936">
        <v>0.36804971174288997</v>
      </c>
      <c r="U1936">
        <v>-6.81198095692399</v>
      </c>
      <c r="V1936">
        <v>0.71715361332056204</v>
      </c>
      <c r="W1936">
        <v>0.98786722894487999</v>
      </c>
      <c r="X1936">
        <v>0</v>
      </c>
      <c r="Y1936">
        <v>0</v>
      </c>
    </row>
    <row r="1937" spans="1:25" x14ac:dyDescent="0.2">
      <c r="A1937" t="s">
        <v>7281</v>
      </c>
      <c r="B1937" t="s">
        <v>7282</v>
      </c>
      <c r="C1937" t="s">
        <v>7283</v>
      </c>
      <c r="D1937" t="s">
        <v>7284</v>
      </c>
      <c r="E1937" t="s">
        <v>7282</v>
      </c>
      <c r="F1937" t="s">
        <v>28</v>
      </c>
      <c r="G1937" t="s">
        <v>7282</v>
      </c>
      <c r="H1937" t="str">
        <f>"leo-1"</f>
        <v>leo-1</v>
      </c>
      <c r="I1937" t="s">
        <v>7284</v>
      </c>
      <c r="J1937">
        <v>11.2976045866214</v>
      </c>
      <c r="K1937">
        <v>11.4760607321083</v>
      </c>
      <c r="L1937" t="s">
        <v>29</v>
      </c>
      <c r="M1937">
        <v>13.750170295824001</v>
      </c>
      <c r="N1937">
        <v>11.9170675454536</v>
      </c>
      <c r="O1937" t="s">
        <v>29</v>
      </c>
      <c r="P1937">
        <v>1.4467862612739399</v>
      </c>
      <c r="Q1937">
        <v>0.45641245654861801</v>
      </c>
      <c r="R1937">
        <v>2.4371600659992598</v>
      </c>
      <c r="S1937">
        <v>12.098182521762601</v>
      </c>
      <c r="T1937">
        <v>3.1585843242635301</v>
      </c>
      <c r="U1937">
        <v>-2.7832030405458998</v>
      </c>
      <c r="V1937">
        <v>7.6126592121722797E-3</v>
      </c>
      <c r="W1937">
        <v>0.152601223951319</v>
      </c>
      <c r="X1937">
        <v>1</v>
      </c>
      <c r="Y1937">
        <v>0</v>
      </c>
    </row>
    <row r="1938" spans="1:25" x14ac:dyDescent="0.2">
      <c r="A1938" t="s">
        <v>7285</v>
      </c>
      <c r="B1938" t="s">
        <v>7286</v>
      </c>
      <c r="C1938" t="s">
        <v>7287</v>
      </c>
      <c r="D1938" t="s">
        <v>7288</v>
      </c>
      <c r="E1938" t="s">
        <v>7286</v>
      </c>
      <c r="F1938" t="s">
        <v>28</v>
      </c>
      <c r="G1938" t="s">
        <v>7286</v>
      </c>
      <c r="H1938" t="str">
        <f>"B0035.3"</f>
        <v>B0035.3</v>
      </c>
      <c r="I1938" t="s">
        <v>7288</v>
      </c>
      <c r="J1938">
        <v>14.1166329038759</v>
      </c>
      <c r="K1938">
        <v>13.974024440518299</v>
      </c>
      <c r="L1938">
        <v>14.1962612942218</v>
      </c>
      <c r="M1938">
        <v>13.6214513801122</v>
      </c>
      <c r="N1938">
        <v>14.42378159189</v>
      </c>
      <c r="O1938">
        <v>13.6259623262755</v>
      </c>
      <c r="P1938">
        <v>-0.20524111344608401</v>
      </c>
      <c r="Q1938">
        <v>-0.82168057160199603</v>
      </c>
      <c r="R1938">
        <v>0.41119834470982902</v>
      </c>
      <c r="S1938">
        <v>14.273144151955901</v>
      </c>
      <c r="T1938">
        <v>-0.71009350101191904</v>
      </c>
      <c r="U1938">
        <v>-6.6206737154005202</v>
      </c>
      <c r="V1938">
        <v>0.48861519654713598</v>
      </c>
      <c r="W1938">
        <v>0.94046689344422196</v>
      </c>
      <c r="X1938">
        <v>0</v>
      </c>
      <c r="Y1938">
        <v>0</v>
      </c>
    </row>
    <row r="1939" spans="1:25" x14ac:dyDescent="0.2">
      <c r="A1939" t="s">
        <v>7289</v>
      </c>
      <c r="B1939" t="s">
        <v>7290</v>
      </c>
      <c r="C1939" t="s">
        <v>7291</v>
      </c>
      <c r="D1939" t="s">
        <v>7292</v>
      </c>
      <c r="E1939" t="s">
        <v>7290</v>
      </c>
      <c r="F1939" t="s">
        <v>28</v>
      </c>
      <c r="G1939" t="s">
        <v>7290</v>
      </c>
      <c r="H1939" t="str">
        <f>"dnj-1"</f>
        <v>dnj-1</v>
      </c>
      <c r="I1939" t="s">
        <v>7292</v>
      </c>
      <c r="J1939">
        <v>11.5311808469145</v>
      </c>
      <c r="K1939">
        <v>11.7602675900074</v>
      </c>
      <c r="L1939">
        <v>11.388280206750601</v>
      </c>
      <c r="M1939">
        <v>11.654132625051201</v>
      </c>
      <c r="N1939">
        <v>12.185069868586099</v>
      </c>
      <c r="O1939">
        <v>11.4354648199569</v>
      </c>
      <c r="P1939">
        <v>0.19831288997393201</v>
      </c>
      <c r="Q1939">
        <v>-0.30616059937464601</v>
      </c>
      <c r="R1939">
        <v>0.70278637932250998</v>
      </c>
      <c r="S1939">
        <v>11.867914397296399</v>
      </c>
      <c r="T1939">
        <v>0.83840565858813798</v>
      </c>
      <c r="U1939">
        <v>-6.5198780948558204</v>
      </c>
      <c r="V1939">
        <v>0.41505521776232102</v>
      </c>
      <c r="W1939">
        <v>0.91512503332874395</v>
      </c>
      <c r="X1939">
        <v>0</v>
      </c>
      <c r="Y1939">
        <v>0</v>
      </c>
    </row>
    <row r="1940" spans="1:25" x14ac:dyDescent="0.2">
      <c r="A1940" t="s">
        <v>7293</v>
      </c>
      <c r="B1940" t="s">
        <v>7294</v>
      </c>
      <c r="C1940" t="s">
        <v>7295</v>
      </c>
      <c r="D1940" t="s">
        <v>7296</v>
      </c>
      <c r="E1940" t="s">
        <v>7294</v>
      </c>
      <c r="F1940" t="s">
        <v>28</v>
      </c>
      <c r="G1940" t="s">
        <v>7294</v>
      </c>
      <c r="H1940" t="str">
        <f>"mttu-1"</f>
        <v>mttu-1</v>
      </c>
      <c r="I1940" t="s">
        <v>7296</v>
      </c>
      <c r="J1940">
        <v>12.3989618539949</v>
      </c>
      <c r="K1940">
        <v>12.7261106119517</v>
      </c>
      <c r="L1940">
        <v>12.4159131061192</v>
      </c>
      <c r="M1940">
        <v>11.5687528525477</v>
      </c>
      <c r="N1940">
        <v>12.178093269632001</v>
      </c>
      <c r="O1940">
        <v>11.6297942985462</v>
      </c>
      <c r="P1940">
        <v>-0.72144838377996501</v>
      </c>
      <c r="Q1940">
        <v>-1.6584751418521699</v>
      </c>
      <c r="R1940">
        <v>0.215578374292245</v>
      </c>
      <c r="S1940">
        <v>12.042731767073899</v>
      </c>
      <c r="T1940">
        <v>-1.64208214070965</v>
      </c>
      <c r="U1940">
        <v>-5.57495097562576</v>
      </c>
      <c r="V1940">
        <v>0.121511802786262</v>
      </c>
      <c r="W1940">
        <v>0.708618319665276</v>
      </c>
      <c r="X1940">
        <v>0</v>
      </c>
      <c r="Y1940">
        <v>0</v>
      </c>
    </row>
    <row r="1941" spans="1:25" x14ac:dyDescent="0.2">
      <c r="A1941" t="s">
        <v>7297</v>
      </c>
      <c r="B1941" t="s">
        <v>7298</v>
      </c>
      <c r="C1941" t="s">
        <v>7299</v>
      </c>
      <c r="D1941" t="s">
        <v>7300</v>
      </c>
      <c r="E1941" t="s">
        <v>7298</v>
      </c>
      <c r="F1941" t="s">
        <v>28</v>
      </c>
      <c r="G1941" t="s">
        <v>7298</v>
      </c>
      <c r="H1941" t="str">
        <f>"pmk-1"</f>
        <v>pmk-1</v>
      </c>
      <c r="I1941" t="s">
        <v>7300</v>
      </c>
      <c r="J1941">
        <v>14.420824864440601</v>
      </c>
      <c r="K1941">
        <v>14.2498957247648</v>
      </c>
      <c r="L1941">
        <v>14.055377530164</v>
      </c>
      <c r="M1941">
        <v>13.938819182933299</v>
      </c>
      <c r="N1941">
        <v>13.9334832623664</v>
      </c>
      <c r="O1941">
        <v>14.210912208034401</v>
      </c>
      <c r="P1941">
        <v>-0.21429448867845999</v>
      </c>
      <c r="Q1941">
        <v>-0.54242845102875004</v>
      </c>
      <c r="R1941">
        <v>0.11383947367183</v>
      </c>
      <c r="S1941">
        <v>13.848531069497</v>
      </c>
      <c r="T1941">
        <v>-1.37850971815731</v>
      </c>
      <c r="U1941">
        <v>-5.9391574417300799</v>
      </c>
      <c r="V1941">
        <v>0.18602728871707599</v>
      </c>
      <c r="W1941">
        <v>0.78295732499061499</v>
      </c>
      <c r="X1941">
        <v>0</v>
      </c>
      <c r="Y1941">
        <v>0</v>
      </c>
    </row>
    <row r="1942" spans="1:25" x14ac:dyDescent="0.2">
      <c r="A1942" t="s">
        <v>7301</v>
      </c>
      <c r="B1942" t="s">
        <v>7302</v>
      </c>
      <c r="C1942" t="s">
        <v>7303</v>
      </c>
      <c r="D1942" t="s">
        <v>7304</v>
      </c>
      <c r="E1942" t="s">
        <v>7302</v>
      </c>
      <c r="F1942" t="s">
        <v>28</v>
      </c>
      <c r="G1942" t="s">
        <v>7302</v>
      </c>
      <c r="H1942" t="str">
        <f>"faah-1"</f>
        <v>faah-1</v>
      </c>
      <c r="I1942" t="s">
        <v>7304</v>
      </c>
      <c r="J1942" t="s">
        <v>29</v>
      </c>
      <c r="K1942">
        <v>12.973954214826099</v>
      </c>
      <c r="L1942" t="s">
        <v>29</v>
      </c>
      <c r="M1942" t="s">
        <v>29</v>
      </c>
      <c r="N1942" t="s">
        <v>29</v>
      </c>
      <c r="O1942" t="s">
        <v>29</v>
      </c>
      <c r="P1942" t="s">
        <v>29</v>
      </c>
      <c r="Q1942" t="s">
        <v>29</v>
      </c>
      <c r="R1942" t="s">
        <v>29</v>
      </c>
      <c r="S1942">
        <v>11.530651043338899</v>
      </c>
      <c r="T1942" t="s">
        <v>29</v>
      </c>
      <c r="U1942" t="s">
        <v>29</v>
      </c>
      <c r="V1942" t="s">
        <v>29</v>
      </c>
      <c r="W1942" t="s">
        <v>29</v>
      </c>
      <c r="X1942" t="s">
        <v>29</v>
      </c>
      <c r="Y1942" t="s">
        <v>29</v>
      </c>
    </row>
    <row r="1943" spans="1:25" x14ac:dyDescent="0.2">
      <c r="A1943" t="s">
        <v>7305</v>
      </c>
      <c r="B1943" t="s">
        <v>7306</v>
      </c>
      <c r="C1943" t="s">
        <v>7307</v>
      </c>
      <c r="D1943" t="s">
        <v>7308</v>
      </c>
      <c r="E1943" t="s">
        <v>7306</v>
      </c>
      <c r="F1943" t="s">
        <v>28</v>
      </c>
      <c r="G1943" t="s">
        <v>7309</v>
      </c>
      <c r="H1943" t="str">
        <f>"col-144"</f>
        <v>col-144</v>
      </c>
      <c r="I1943" t="s">
        <v>3312</v>
      </c>
      <c r="J1943">
        <v>13.2678271346528</v>
      </c>
      <c r="K1943">
        <v>13.0300977470582</v>
      </c>
      <c r="L1943">
        <v>13.131607485937099</v>
      </c>
      <c r="M1943">
        <v>13.1653317684651</v>
      </c>
      <c r="N1943">
        <v>13.1494626648484</v>
      </c>
      <c r="O1943">
        <v>12.774474701107</v>
      </c>
      <c r="P1943">
        <v>-0.113421077742519</v>
      </c>
      <c r="Q1943">
        <v>-0.66118234398086595</v>
      </c>
      <c r="R1943">
        <v>0.43434018849582801</v>
      </c>
      <c r="S1943">
        <v>12.73414497029</v>
      </c>
      <c r="T1943">
        <v>-0.43918953247272702</v>
      </c>
      <c r="U1943">
        <v>-6.7816520496886303</v>
      </c>
      <c r="V1943">
        <v>0.66643612449924094</v>
      </c>
      <c r="W1943">
        <v>0.98642420921484297</v>
      </c>
      <c r="X1943">
        <v>0</v>
      </c>
      <c r="Y1943">
        <v>0</v>
      </c>
    </row>
    <row r="1944" spans="1:25" x14ac:dyDescent="0.2">
      <c r="A1944" t="s">
        <v>7310</v>
      </c>
      <c r="B1944" t="s">
        <v>7311</v>
      </c>
      <c r="C1944" t="s">
        <v>7312</v>
      </c>
      <c r="D1944" t="s">
        <v>458</v>
      </c>
      <c r="E1944" t="s">
        <v>7311</v>
      </c>
      <c r="F1944" t="s">
        <v>28</v>
      </c>
      <c r="G1944" t="s">
        <v>7311</v>
      </c>
      <c r="H1944" t="str">
        <f>"ttr-18"</f>
        <v>ttr-18</v>
      </c>
      <c r="I1944" t="s">
        <v>458</v>
      </c>
      <c r="J1944" t="s">
        <v>29</v>
      </c>
      <c r="K1944" t="s">
        <v>29</v>
      </c>
      <c r="L1944">
        <v>14.8797668972891</v>
      </c>
      <c r="M1944">
        <v>14.700785712534699</v>
      </c>
      <c r="N1944">
        <v>13.653772836019799</v>
      </c>
      <c r="O1944" t="s">
        <v>29</v>
      </c>
      <c r="P1944">
        <v>-0.70248762301186396</v>
      </c>
      <c r="Q1944">
        <v>-1.9899051463595301</v>
      </c>
      <c r="R1944">
        <v>0.58492990033580095</v>
      </c>
      <c r="S1944">
        <v>14.3619498999404</v>
      </c>
      <c r="T1944">
        <v>-1.1797948748357401</v>
      </c>
      <c r="U1944">
        <v>-5.7884286869984303</v>
      </c>
      <c r="V1944">
        <v>0.25938988886229603</v>
      </c>
      <c r="W1944">
        <v>0.83973691647249205</v>
      </c>
      <c r="X1944">
        <v>0</v>
      </c>
      <c r="Y1944">
        <v>0</v>
      </c>
    </row>
    <row r="1945" spans="1:25" x14ac:dyDescent="0.2">
      <c r="A1945" t="s">
        <v>7313</v>
      </c>
      <c r="B1945" t="s">
        <v>7314</v>
      </c>
      <c r="C1945" t="s">
        <v>7315</v>
      </c>
      <c r="D1945" t="s">
        <v>7316</v>
      </c>
      <c r="E1945" t="s">
        <v>7314</v>
      </c>
      <c r="F1945" t="s">
        <v>28</v>
      </c>
      <c r="G1945" t="s">
        <v>7314</v>
      </c>
      <c r="H1945" t="str">
        <f>"hacl-1"</f>
        <v>hacl-1</v>
      </c>
      <c r="I1945" t="s">
        <v>7316</v>
      </c>
      <c r="J1945">
        <v>13.399309505526499</v>
      </c>
      <c r="K1945">
        <v>12.302792946543899</v>
      </c>
      <c r="L1945">
        <v>13.0402221832063</v>
      </c>
      <c r="M1945">
        <v>13.5156025606966</v>
      </c>
      <c r="N1945">
        <v>13.379504271699</v>
      </c>
      <c r="O1945">
        <v>13.1768872066691</v>
      </c>
      <c r="P1945">
        <v>0.443223134595991</v>
      </c>
      <c r="Q1945">
        <v>-0.202361185567147</v>
      </c>
      <c r="R1945">
        <v>1.08880745475913</v>
      </c>
      <c r="S1945">
        <v>13.282200500145899</v>
      </c>
      <c r="T1945">
        <v>1.4561931269447601</v>
      </c>
      <c r="U1945">
        <v>-5.8362373422987197</v>
      </c>
      <c r="V1945">
        <v>0.16480777431235699</v>
      </c>
      <c r="W1945">
        <v>0.76719788328916605</v>
      </c>
      <c r="X1945">
        <v>0</v>
      </c>
      <c r="Y1945">
        <v>0</v>
      </c>
    </row>
    <row r="1946" spans="1:25" x14ac:dyDescent="0.2">
      <c r="A1946" t="s">
        <v>7317</v>
      </c>
      <c r="B1946" t="s">
        <v>7318</v>
      </c>
      <c r="C1946" t="s">
        <v>7319</v>
      </c>
      <c r="D1946" t="s">
        <v>7320</v>
      </c>
      <c r="E1946" t="s">
        <v>7318</v>
      </c>
      <c r="F1946" t="s">
        <v>28</v>
      </c>
      <c r="G1946" t="s">
        <v>7318</v>
      </c>
      <c r="H1946" t="str">
        <f>"B0334.5"</f>
        <v>B0334.5</v>
      </c>
      <c r="I1946" t="s">
        <v>7320</v>
      </c>
      <c r="J1946" t="s">
        <v>29</v>
      </c>
      <c r="K1946">
        <v>11.9280959421103</v>
      </c>
      <c r="L1946">
        <v>11.602620129489001</v>
      </c>
      <c r="M1946" t="s">
        <v>29</v>
      </c>
      <c r="N1946">
        <v>11.1457451326288</v>
      </c>
      <c r="O1946">
        <v>10.504857313368699</v>
      </c>
      <c r="P1946">
        <v>-0.94005681280091502</v>
      </c>
      <c r="Q1946">
        <v>-1.75878118826797</v>
      </c>
      <c r="R1946">
        <v>-0.121332437333856</v>
      </c>
      <c r="S1946">
        <v>12.326475155167699</v>
      </c>
      <c r="T1946">
        <v>-2.4825821303968501</v>
      </c>
      <c r="U1946">
        <v>-4.0191235185703302</v>
      </c>
      <c r="V1946">
        <v>2.7606652177076099E-2</v>
      </c>
      <c r="W1946">
        <v>0.36212578866477002</v>
      </c>
      <c r="X1946">
        <v>0</v>
      </c>
      <c r="Y1946">
        <v>0</v>
      </c>
    </row>
    <row r="1947" spans="1:25" x14ac:dyDescent="0.2">
      <c r="A1947" t="s">
        <v>7321</v>
      </c>
      <c r="B1947" t="s">
        <v>7322</v>
      </c>
      <c r="C1947" t="s">
        <v>7323</v>
      </c>
      <c r="D1947" t="s">
        <v>7324</v>
      </c>
      <c r="E1947" t="s">
        <v>7322</v>
      </c>
      <c r="F1947" t="s">
        <v>28</v>
      </c>
      <c r="G1947" t="s">
        <v>7322</v>
      </c>
      <c r="H1947" t="str">
        <f>"unc-44"</f>
        <v>unc-44</v>
      </c>
      <c r="I1947" t="s">
        <v>7324</v>
      </c>
      <c r="J1947">
        <v>14.065735244931201</v>
      </c>
      <c r="K1947">
        <v>14.250317975367301</v>
      </c>
      <c r="L1947">
        <v>14.1527623780438</v>
      </c>
      <c r="M1947">
        <v>14.3038698305976</v>
      </c>
      <c r="N1947">
        <v>14.3468379343397</v>
      </c>
      <c r="O1947">
        <v>14.510437730457999</v>
      </c>
      <c r="P1947">
        <v>0.23077663235097401</v>
      </c>
      <c r="Q1947">
        <v>-0.131242316980133</v>
      </c>
      <c r="R1947">
        <v>0.59279558168208102</v>
      </c>
      <c r="S1947">
        <v>14.1723608343599</v>
      </c>
      <c r="T1947">
        <v>1.33984031427852</v>
      </c>
      <c r="U1947">
        <v>-5.9890900110740803</v>
      </c>
      <c r="V1947">
        <v>0.197064324506843</v>
      </c>
      <c r="W1947">
        <v>0.79075284576134597</v>
      </c>
      <c r="X1947">
        <v>0</v>
      </c>
      <c r="Y1947">
        <v>0</v>
      </c>
    </row>
    <row r="1948" spans="1:25" x14ac:dyDescent="0.2">
      <c r="A1948" t="s">
        <v>7325</v>
      </c>
      <c r="B1948" t="s">
        <v>7326</v>
      </c>
      <c r="C1948" t="s">
        <v>7327</v>
      </c>
      <c r="D1948" t="s">
        <v>3358</v>
      </c>
      <c r="E1948" t="s">
        <v>7326</v>
      </c>
      <c r="F1948" t="s">
        <v>28</v>
      </c>
      <c r="G1948" t="s">
        <v>7326</v>
      </c>
      <c r="H1948" t="str">
        <f>"B0393.3"</f>
        <v>B0393.3</v>
      </c>
      <c r="I1948" t="s">
        <v>3358</v>
      </c>
      <c r="J1948" t="s">
        <v>29</v>
      </c>
      <c r="K1948" t="s">
        <v>29</v>
      </c>
      <c r="L1948" t="s">
        <v>29</v>
      </c>
      <c r="M1948" t="s">
        <v>29</v>
      </c>
      <c r="N1948" t="s">
        <v>29</v>
      </c>
      <c r="O1948">
        <v>10.3410598354198</v>
      </c>
      <c r="P1948" t="s">
        <v>29</v>
      </c>
      <c r="Q1948" t="s">
        <v>29</v>
      </c>
      <c r="R1948" t="s">
        <v>29</v>
      </c>
      <c r="S1948">
        <v>10.9787723270793</v>
      </c>
      <c r="T1948" t="s">
        <v>29</v>
      </c>
      <c r="U1948" t="s">
        <v>29</v>
      </c>
      <c r="V1948" t="s">
        <v>29</v>
      </c>
      <c r="W1948" t="s">
        <v>29</v>
      </c>
      <c r="X1948" t="s">
        <v>29</v>
      </c>
      <c r="Y1948" t="s">
        <v>29</v>
      </c>
    </row>
    <row r="1949" spans="1:25" x14ac:dyDescent="0.2">
      <c r="A1949" t="s">
        <v>7328</v>
      </c>
      <c r="B1949" t="s">
        <v>7329</v>
      </c>
      <c r="C1949" t="s">
        <v>7330</v>
      </c>
      <c r="D1949" t="s">
        <v>214</v>
      </c>
      <c r="E1949" t="s">
        <v>7329</v>
      </c>
      <c r="F1949" t="s">
        <v>28</v>
      </c>
      <c r="G1949" t="s">
        <v>7329</v>
      </c>
      <c r="H1949" t="str">
        <f>"gex-5"</f>
        <v>gex-5</v>
      </c>
      <c r="I1949" t="s">
        <v>214</v>
      </c>
      <c r="J1949" t="s">
        <v>29</v>
      </c>
      <c r="K1949" t="s">
        <v>29</v>
      </c>
      <c r="L1949">
        <v>11.6405675397903</v>
      </c>
      <c r="M1949">
        <v>9.5450617602223407</v>
      </c>
      <c r="N1949" t="s">
        <v>29</v>
      </c>
      <c r="O1949" t="s">
        <v>29</v>
      </c>
      <c r="P1949">
        <v>-2.0955057795680099</v>
      </c>
      <c r="Q1949">
        <v>-3.5372785063891601</v>
      </c>
      <c r="R1949">
        <v>-0.65373305274686</v>
      </c>
      <c r="S1949">
        <v>11.665305624368299</v>
      </c>
      <c r="T1949">
        <v>-3.2430895995143598</v>
      </c>
      <c r="U1949">
        <v>-2.5714070983196899</v>
      </c>
      <c r="V1949">
        <v>8.9424072603962994E-3</v>
      </c>
      <c r="W1949">
        <v>0.16555110764584299</v>
      </c>
      <c r="X1949">
        <v>-1</v>
      </c>
      <c r="Y1949">
        <v>0</v>
      </c>
    </row>
    <row r="1950" spans="1:25" x14ac:dyDescent="0.2">
      <c r="A1950" t="s">
        <v>7331</v>
      </c>
      <c r="B1950" t="s">
        <v>7332</v>
      </c>
      <c r="C1950" t="s">
        <v>7333</v>
      </c>
      <c r="D1950" t="s">
        <v>2025</v>
      </c>
      <c r="E1950" t="s">
        <v>7332</v>
      </c>
      <c r="F1950" t="s">
        <v>28</v>
      </c>
      <c r="G1950" t="s">
        <v>7332</v>
      </c>
      <c r="H1950" t="str">
        <f>"B0395.3"</f>
        <v>B0395.3</v>
      </c>
      <c r="I1950" t="s">
        <v>2025</v>
      </c>
      <c r="J1950">
        <v>14.9373194904452</v>
      </c>
      <c r="K1950">
        <v>14.691027623073801</v>
      </c>
      <c r="L1950">
        <v>14.4794501665297</v>
      </c>
      <c r="M1950">
        <v>14.6878214565811</v>
      </c>
      <c r="N1950">
        <v>14.431736997281799</v>
      </c>
      <c r="O1950">
        <v>14.689653456596099</v>
      </c>
      <c r="P1950">
        <v>-9.9528456529903095E-2</v>
      </c>
      <c r="Q1950">
        <v>-0.55285335913478495</v>
      </c>
      <c r="R1950">
        <v>0.35379644607497901</v>
      </c>
      <c r="S1950">
        <v>14.362423559087199</v>
      </c>
      <c r="T1950">
        <v>-0.46145590245373003</v>
      </c>
      <c r="U1950">
        <v>-6.7718915537373796</v>
      </c>
      <c r="V1950">
        <v>0.65003132924301399</v>
      </c>
      <c r="W1950">
        <v>0.98109036903435498</v>
      </c>
      <c r="X1950">
        <v>0</v>
      </c>
      <c r="Y1950">
        <v>0</v>
      </c>
    </row>
    <row r="1951" spans="1:25" x14ac:dyDescent="0.2">
      <c r="A1951" t="s">
        <v>7334</v>
      </c>
      <c r="B1951" t="s">
        <v>7335</v>
      </c>
      <c r="C1951" t="s">
        <v>7336</v>
      </c>
      <c r="D1951" t="s">
        <v>7337</v>
      </c>
      <c r="E1951" t="s">
        <v>7335</v>
      </c>
      <c r="F1951" t="s">
        <v>28</v>
      </c>
      <c r="G1951" t="s">
        <v>7335</v>
      </c>
      <c r="H1951" t="str">
        <f>"pigm-1"</f>
        <v>pigm-1</v>
      </c>
      <c r="I1951" t="s">
        <v>7337</v>
      </c>
      <c r="J1951">
        <v>13.0255326593755</v>
      </c>
      <c r="K1951">
        <v>13.468887266177701</v>
      </c>
      <c r="L1951" t="s">
        <v>29</v>
      </c>
      <c r="M1951">
        <v>12.377531012177201</v>
      </c>
      <c r="N1951" t="s">
        <v>29</v>
      </c>
      <c r="O1951">
        <v>12.478075856744301</v>
      </c>
      <c r="P1951">
        <v>-0.81940652831587701</v>
      </c>
      <c r="Q1951">
        <v>-1.4357568568936701</v>
      </c>
      <c r="R1951">
        <v>-0.203056199738085</v>
      </c>
      <c r="S1951">
        <v>12.8287079351215</v>
      </c>
      <c r="T1951">
        <v>-2.8744782859878102</v>
      </c>
      <c r="U1951">
        <v>-3.3103462420832601</v>
      </c>
      <c r="V1951">
        <v>1.3121577111523799E-2</v>
      </c>
      <c r="W1951">
        <v>0.215783793693025</v>
      </c>
      <c r="X1951">
        <v>0</v>
      </c>
      <c r="Y1951">
        <v>0</v>
      </c>
    </row>
    <row r="1952" spans="1:25" x14ac:dyDescent="0.2">
      <c r="A1952" t="s">
        <v>7338</v>
      </c>
      <c r="B1952" t="s">
        <v>7339</v>
      </c>
      <c r="C1952" t="s">
        <v>7340</v>
      </c>
      <c r="D1952" t="s">
        <v>7341</v>
      </c>
      <c r="E1952" t="s">
        <v>7339</v>
      </c>
      <c r="F1952" t="s">
        <v>28</v>
      </c>
      <c r="G1952" t="s">
        <v>7339</v>
      </c>
      <c r="H1952" t="str">
        <f>"tes-1"</f>
        <v>tes-1</v>
      </c>
      <c r="I1952" t="s">
        <v>7341</v>
      </c>
      <c r="J1952" t="s">
        <v>29</v>
      </c>
      <c r="K1952" t="s">
        <v>29</v>
      </c>
      <c r="L1952" t="s">
        <v>29</v>
      </c>
      <c r="M1952">
        <v>11.862196467585299</v>
      </c>
      <c r="N1952">
        <v>13.2461501878097</v>
      </c>
      <c r="O1952">
        <v>12.6635374530712</v>
      </c>
      <c r="P1952" t="s">
        <v>29</v>
      </c>
      <c r="Q1952" t="s">
        <v>29</v>
      </c>
      <c r="R1952" t="s">
        <v>29</v>
      </c>
      <c r="S1952">
        <v>12.561808211427</v>
      </c>
      <c r="T1952" t="s">
        <v>29</v>
      </c>
      <c r="U1952" t="s">
        <v>29</v>
      </c>
      <c r="V1952" t="s">
        <v>29</v>
      </c>
      <c r="W1952" t="s">
        <v>29</v>
      </c>
      <c r="X1952" t="s">
        <v>29</v>
      </c>
      <c r="Y1952" t="s">
        <v>29</v>
      </c>
    </row>
    <row r="1953" spans="1:25" x14ac:dyDescent="0.2">
      <c r="A1953" t="s">
        <v>7342</v>
      </c>
      <c r="B1953" t="s">
        <v>7343</v>
      </c>
      <c r="C1953" t="s">
        <v>7344</v>
      </c>
      <c r="D1953" t="s">
        <v>2720</v>
      </c>
      <c r="E1953" t="s">
        <v>7343</v>
      </c>
      <c r="F1953" t="s">
        <v>28</v>
      </c>
      <c r="G1953" t="s">
        <v>7343</v>
      </c>
      <c r="H1953" t="str">
        <f>"fask-1"</f>
        <v>fask-1</v>
      </c>
      <c r="I1953" t="s">
        <v>2720</v>
      </c>
      <c r="J1953">
        <v>12.7303828193879</v>
      </c>
      <c r="K1953">
        <v>13.160892224903099</v>
      </c>
      <c r="L1953">
        <v>13.255683116546299</v>
      </c>
      <c r="M1953">
        <v>13.043171494056701</v>
      </c>
      <c r="N1953">
        <v>13.166187992884099</v>
      </c>
      <c r="O1953">
        <v>13.050863881987601</v>
      </c>
      <c r="P1953">
        <v>3.7755069363699399E-2</v>
      </c>
      <c r="Q1953">
        <v>-0.49277073278271</v>
      </c>
      <c r="R1953">
        <v>0.56828087151010898</v>
      </c>
      <c r="S1953">
        <v>13.3844819884578</v>
      </c>
      <c r="T1953">
        <v>0.150216892972349</v>
      </c>
      <c r="U1953">
        <v>-6.8706703836213201</v>
      </c>
      <c r="V1953">
        <v>0.88237228124521605</v>
      </c>
      <c r="W1953">
        <v>0.99702926582654094</v>
      </c>
      <c r="X1953">
        <v>0</v>
      </c>
      <c r="Y1953">
        <v>0</v>
      </c>
    </row>
    <row r="1954" spans="1:25" x14ac:dyDescent="0.2">
      <c r="A1954" t="s">
        <v>7345</v>
      </c>
      <c r="B1954" t="s">
        <v>7346</v>
      </c>
      <c r="C1954" t="s">
        <v>7347</v>
      </c>
      <c r="D1954" t="s">
        <v>2787</v>
      </c>
      <c r="E1954" t="s">
        <v>7346</v>
      </c>
      <c r="F1954" t="s">
        <v>28</v>
      </c>
      <c r="G1954" t="s">
        <v>7346</v>
      </c>
      <c r="H1954" t="str">
        <f>"C01B10.8"</f>
        <v>C01B10.8</v>
      </c>
      <c r="I1954" t="s">
        <v>2787</v>
      </c>
      <c r="J1954">
        <v>13.825407025573901</v>
      </c>
      <c r="K1954">
        <v>13.5745928595762</v>
      </c>
      <c r="L1954">
        <v>13.762796537804199</v>
      </c>
      <c r="M1954">
        <v>13.755847274071799</v>
      </c>
      <c r="N1954">
        <v>13.832235490063599</v>
      </c>
      <c r="O1954">
        <v>13.552002123627201</v>
      </c>
      <c r="P1954">
        <v>-7.57051173055601E-3</v>
      </c>
      <c r="Q1954">
        <v>-0.41528688827207799</v>
      </c>
      <c r="R1954">
        <v>0.40014586481096598</v>
      </c>
      <c r="S1954">
        <v>13.835715542997001</v>
      </c>
      <c r="T1954">
        <v>-3.9193774896384599E-2</v>
      </c>
      <c r="U1954">
        <v>-6.8816844605927301</v>
      </c>
      <c r="V1954">
        <v>0.96919531405020698</v>
      </c>
      <c r="W1954">
        <v>0.99968702248720698</v>
      </c>
      <c r="X1954">
        <v>0</v>
      </c>
      <c r="Y1954">
        <v>0</v>
      </c>
    </row>
    <row r="1955" spans="1:25" x14ac:dyDescent="0.2">
      <c r="A1955" t="s">
        <v>7348</v>
      </c>
      <c r="B1955" t="s">
        <v>7349</v>
      </c>
      <c r="C1955" t="s">
        <v>7350</v>
      </c>
      <c r="D1955" t="s">
        <v>7351</v>
      </c>
      <c r="E1955" t="s">
        <v>7349</v>
      </c>
      <c r="F1955" t="s">
        <v>28</v>
      </c>
      <c r="G1955" t="s">
        <v>7349</v>
      </c>
      <c r="H1955" t="str">
        <f>"C01B10.9"</f>
        <v>C01B10.9</v>
      </c>
      <c r="I1955" t="s">
        <v>7351</v>
      </c>
      <c r="J1955" t="s">
        <v>29</v>
      </c>
      <c r="K1955" t="s">
        <v>29</v>
      </c>
      <c r="L1955">
        <v>10.9347777281902</v>
      </c>
      <c r="M1955" t="s">
        <v>29</v>
      </c>
      <c r="N1955">
        <v>11.675145827438</v>
      </c>
      <c r="O1955">
        <v>10.438917607246699</v>
      </c>
      <c r="P1955">
        <v>0.12225398915214</v>
      </c>
      <c r="Q1955">
        <v>-0.99736456030370801</v>
      </c>
      <c r="R1955">
        <v>1.2418725386079901</v>
      </c>
      <c r="S1955">
        <v>10.937775535060499</v>
      </c>
      <c r="T1955">
        <v>0.25238216735098901</v>
      </c>
      <c r="U1955">
        <v>-6.44850969011818</v>
      </c>
      <c r="V1955">
        <v>0.80719185102630597</v>
      </c>
      <c r="W1955">
        <v>0.99278624068726296</v>
      </c>
      <c r="X1955">
        <v>0</v>
      </c>
      <c r="Y1955">
        <v>0</v>
      </c>
    </row>
    <row r="1956" spans="1:25" x14ac:dyDescent="0.2">
      <c r="A1956" t="s">
        <v>7352</v>
      </c>
      <c r="B1956" t="s">
        <v>7353</v>
      </c>
      <c r="C1956" t="s">
        <v>7354</v>
      </c>
      <c r="D1956" t="s">
        <v>7355</v>
      </c>
      <c r="E1956" t="s">
        <v>7353</v>
      </c>
      <c r="F1956" t="s">
        <v>28</v>
      </c>
      <c r="G1956" t="s">
        <v>7353</v>
      </c>
      <c r="H1956" t="str">
        <f>"C01B10.3"</f>
        <v>C01B10.3</v>
      </c>
      <c r="I1956" t="s">
        <v>7355</v>
      </c>
      <c r="J1956" t="s">
        <v>29</v>
      </c>
      <c r="K1956" t="s">
        <v>29</v>
      </c>
      <c r="L1956" t="s">
        <v>29</v>
      </c>
      <c r="M1956">
        <v>13.0777389585942</v>
      </c>
      <c r="N1956">
        <v>13.4924634844728</v>
      </c>
      <c r="O1956">
        <v>13.054335882819901</v>
      </c>
      <c r="P1956" t="s">
        <v>29</v>
      </c>
      <c r="Q1956" t="s">
        <v>29</v>
      </c>
      <c r="R1956" t="s">
        <v>29</v>
      </c>
      <c r="S1956">
        <v>13.0155882462479</v>
      </c>
      <c r="T1956" t="s">
        <v>29</v>
      </c>
      <c r="U1956" t="s">
        <v>29</v>
      </c>
      <c r="V1956" t="s">
        <v>29</v>
      </c>
      <c r="W1956" t="s">
        <v>29</v>
      </c>
      <c r="X1956" t="s">
        <v>29</v>
      </c>
      <c r="Y1956" t="s">
        <v>29</v>
      </c>
    </row>
    <row r="1957" spans="1:25" x14ac:dyDescent="0.2">
      <c r="A1957" t="s">
        <v>7356</v>
      </c>
      <c r="B1957" t="s">
        <v>7357</v>
      </c>
      <c r="C1957" t="s">
        <v>7358</v>
      </c>
      <c r="D1957" t="s">
        <v>7359</v>
      </c>
      <c r="E1957" t="s">
        <v>7357</v>
      </c>
      <c r="F1957" t="s">
        <v>28</v>
      </c>
      <c r="G1957" t="s">
        <v>7357</v>
      </c>
      <c r="H1957" t="str">
        <f>"rml-4"</f>
        <v>rml-4</v>
      </c>
      <c r="I1957" t="s">
        <v>7359</v>
      </c>
      <c r="J1957">
        <v>14.514409798551201</v>
      </c>
      <c r="K1957">
        <v>14.2476380276744</v>
      </c>
      <c r="L1957">
        <v>14.039417039939901</v>
      </c>
      <c r="M1957">
        <v>14.2556174122813</v>
      </c>
      <c r="N1957">
        <v>14.143697960551901</v>
      </c>
      <c r="O1957">
        <v>14.086113286132299</v>
      </c>
      <c r="P1957">
        <v>-0.105345402400033</v>
      </c>
      <c r="Q1957">
        <v>-0.61527479919865502</v>
      </c>
      <c r="R1957">
        <v>0.404583994398589</v>
      </c>
      <c r="S1957">
        <v>14.0441040205431</v>
      </c>
      <c r="T1957">
        <v>-0.43420822949089299</v>
      </c>
      <c r="U1957">
        <v>-6.7845000873752204</v>
      </c>
      <c r="V1957">
        <v>0.66932732106234705</v>
      </c>
      <c r="W1957">
        <v>0.98642420921484297</v>
      </c>
      <c r="X1957">
        <v>0</v>
      </c>
      <c r="Y1957">
        <v>0</v>
      </c>
    </row>
    <row r="1958" spans="1:25" x14ac:dyDescent="0.2">
      <c r="A1958" t="s">
        <v>7360</v>
      </c>
      <c r="B1958" t="s">
        <v>7361</v>
      </c>
      <c r="C1958" t="s">
        <v>7362</v>
      </c>
      <c r="D1958" t="s">
        <v>1128</v>
      </c>
      <c r="E1958" t="s">
        <v>7361</v>
      </c>
      <c r="F1958" t="s">
        <v>28</v>
      </c>
      <c r="G1958" t="s">
        <v>7361</v>
      </c>
      <c r="H1958" t="str">
        <f>"sco-1"</f>
        <v>sco-1</v>
      </c>
      <c r="I1958" t="s">
        <v>1128</v>
      </c>
      <c r="J1958">
        <v>14.005204724776901</v>
      </c>
      <c r="K1958">
        <v>13.6101167328376</v>
      </c>
      <c r="L1958">
        <v>13.957947035992801</v>
      </c>
      <c r="M1958">
        <v>14.2030984119545</v>
      </c>
      <c r="N1958">
        <v>14.1316780210537</v>
      </c>
      <c r="O1958">
        <v>13.800601907221999</v>
      </c>
      <c r="P1958">
        <v>0.18736994887432001</v>
      </c>
      <c r="Q1958">
        <v>-0.20782335546364999</v>
      </c>
      <c r="R1958">
        <v>0.58256325321228997</v>
      </c>
      <c r="S1958">
        <v>13.914360755843401</v>
      </c>
      <c r="T1958">
        <v>0.99651278189502202</v>
      </c>
      <c r="U1958">
        <v>-6.3776573077123198</v>
      </c>
      <c r="V1958">
        <v>0.33228593176115101</v>
      </c>
      <c r="W1958">
        <v>0.87368774661315896</v>
      </c>
      <c r="X1958">
        <v>0</v>
      </c>
      <c r="Y1958">
        <v>0</v>
      </c>
    </row>
    <row r="1959" spans="1:25" x14ac:dyDescent="0.2">
      <c r="A1959" t="s">
        <v>7363</v>
      </c>
      <c r="B1959" t="s">
        <v>7364</v>
      </c>
      <c r="C1959" t="s">
        <v>7365</v>
      </c>
      <c r="D1959" t="s">
        <v>7366</v>
      </c>
      <c r="E1959" t="s">
        <v>7364</v>
      </c>
      <c r="F1959" t="s">
        <v>28</v>
      </c>
      <c r="G1959" t="s">
        <v>7364</v>
      </c>
      <c r="H1959" t="str">
        <f>"gtf-2f1"</f>
        <v>gtf-2f1</v>
      </c>
      <c r="I1959" t="s">
        <v>7366</v>
      </c>
      <c r="J1959" t="s">
        <v>29</v>
      </c>
      <c r="K1959" t="s">
        <v>29</v>
      </c>
      <c r="L1959" t="s">
        <v>29</v>
      </c>
      <c r="M1959" t="s">
        <v>29</v>
      </c>
      <c r="N1959" t="s">
        <v>29</v>
      </c>
      <c r="O1959" t="s">
        <v>29</v>
      </c>
      <c r="P1959" t="s">
        <v>29</v>
      </c>
      <c r="Q1959" t="s">
        <v>29</v>
      </c>
      <c r="R1959" t="s">
        <v>29</v>
      </c>
      <c r="S1959">
        <v>12.783370848529501</v>
      </c>
      <c r="T1959" t="s">
        <v>29</v>
      </c>
      <c r="U1959" t="s">
        <v>29</v>
      </c>
      <c r="V1959" t="s">
        <v>29</v>
      </c>
      <c r="W1959" t="s">
        <v>29</v>
      </c>
      <c r="X1959" t="s">
        <v>29</v>
      </c>
      <c r="Y1959" t="s">
        <v>29</v>
      </c>
    </row>
    <row r="1960" spans="1:25" x14ac:dyDescent="0.2">
      <c r="A1960" t="s">
        <v>7367</v>
      </c>
      <c r="B1960" t="s">
        <v>7368</v>
      </c>
      <c r="C1960" t="s">
        <v>7369</v>
      </c>
      <c r="D1960" t="s">
        <v>674</v>
      </c>
      <c r="E1960" t="s">
        <v>7368</v>
      </c>
      <c r="F1960" t="s">
        <v>28</v>
      </c>
      <c r="G1960" t="s">
        <v>7368</v>
      </c>
      <c r="H1960" t="str">
        <f>"cpna-3"</f>
        <v>cpna-3</v>
      </c>
      <c r="I1960" t="s">
        <v>674</v>
      </c>
      <c r="J1960">
        <v>13.530914980891</v>
      </c>
      <c r="K1960">
        <v>13.448147438771599</v>
      </c>
      <c r="L1960">
        <v>13.1134365317752</v>
      </c>
      <c r="M1960">
        <v>13.3159653967728</v>
      </c>
      <c r="N1960">
        <v>13.1029241353098</v>
      </c>
      <c r="O1960">
        <v>13.5061678158636</v>
      </c>
      <c r="P1960">
        <v>-5.5813867830529801E-2</v>
      </c>
      <c r="Q1960">
        <v>-0.70643953830200501</v>
      </c>
      <c r="R1960">
        <v>0.59481180264094502</v>
      </c>
      <c r="S1960">
        <v>12.966565135421799</v>
      </c>
      <c r="T1960">
        <v>-0.18195351721129999</v>
      </c>
      <c r="U1960">
        <v>-6.8650942895592904</v>
      </c>
      <c r="V1960">
        <v>0.85791940481524998</v>
      </c>
      <c r="W1960">
        <v>0.99370971747667503</v>
      </c>
      <c r="X1960">
        <v>0</v>
      </c>
      <c r="Y1960">
        <v>0</v>
      </c>
    </row>
    <row r="1961" spans="1:25" x14ac:dyDescent="0.2">
      <c r="A1961" t="s">
        <v>7370</v>
      </c>
      <c r="B1961" t="s">
        <v>7371</v>
      </c>
      <c r="C1961" t="s">
        <v>7372</v>
      </c>
      <c r="D1961" t="s">
        <v>4425</v>
      </c>
      <c r="E1961" t="s">
        <v>7371</v>
      </c>
      <c r="F1961" t="s">
        <v>28</v>
      </c>
      <c r="G1961" t="s">
        <v>7371</v>
      </c>
      <c r="H1961" t="str">
        <f>"aly-1"</f>
        <v>aly-1</v>
      </c>
      <c r="I1961" t="s">
        <v>4425</v>
      </c>
      <c r="J1961">
        <v>14.2024385510492</v>
      </c>
      <c r="K1961">
        <v>15.300142863925601</v>
      </c>
      <c r="L1961">
        <v>14.7965019600411</v>
      </c>
      <c r="M1961">
        <v>15.5455754055791</v>
      </c>
      <c r="N1961">
        <v>15.070725577129799</v>
      </c>
      <c r="O1961">
        <v>14.936667615761801</v>
      </c>
      <c r="P1961">
        <v>0.417961741151604</v>
      </c>
      <c r="Q1961">
        <v>-0.114035354530256</v>
      </c>
      <c r="R1961">
        <v>0.94995883683346405</v>
      </c>
      <c r="S1961">
        <v>15.1550352065591</v>
      </c>
      <c r="T1961">
        <v>1.65835414831331</v>
      </c>
      <c r="U1961">
        <v>-5.5480995129900297</v>
      </c>
      <c r="V1961">
        <v>0.115694487849301</v>
      </c>
      <c r="W1961">
        <v>0.69878630773589001</v>
      </c>
      <c r="X1961">
        <v>0</v>
      </c>
      <c r="Y1961">
        <v>0</v>
      </c>
    </row>
    <row r="1962" spans="1:25" x14ac:dyDescent="0.2">
      <c r="A1962" t="s">
        <v>7373</v>
      </c>
      <c r="B1962" t="s">
        <v>7374</v>
      </c>
      <c r="C1962" t="s">
        <v>7375</v>
      </c>
      <c r="D1962" t="s">
        <v>7376</v>
      </c>
      <c r="E1962" t="s">
        <v>7374</v>
      </c>
      <c r="F1962" t="s">
        <v>28</v>
      </c>
      <c r="G1962" t="s">
        <v>7374</v>
      </c>
      <c r="H1962" t="str">
        <f>"ddi-1"</f>
        <v>ddi-1</v>
      </c>
      <c r="I1962" t="s">
        <v>7376</v>
      </c>
      <c r="J1962">
        <v>13.4370672773214</v>
      </c>
      <c r="K1962">
        <v>13.1941297398659</v>
      </c>
      <c r="L1962">
        <v>13.0288243766962</v>
      </c>
      <c r="M1962">
        <v>12.9812246935457</v>
      </c>
      <c r="N1962">
        <v>13.145258155034799</v>
      </c>
      <c r="O1962">
        <v>13.156608557653801</v>
      </c>
      <c r="P1962">
        <v>-0.12564332921643601</v>
      </c>
      <c r="Q1962">
        <v>-0.70794674810272296</v>
      </c>
      <c r="R1962">
        <v>0.456660089669852</v>
      </c>
      <c r="S1962">
        <v>13.2083127862455</v>
      </c>
      <c r="T1962">
        <v>-0.45350555247265201</v>
      </c>
      <c r="U1962">
        <v>-6.7756479492069603</v>
      </c>
      <c r="V1962">
        <v>0.65563604633237005</v>
      </c>
      <c r="W1962">
        <v>0.98242087446831505</v>
      </c>
      <c r="X1962">
        <v>0</v>
      </c>
      <c r="Y1962">
        <v>0</v>
      </c>
    </row>
    <row r="1963" spans="1:25" x14ac:dyDescent="0.2">
      <c r="A1963" t="s">
        <v>7377</v>
      </c>
      <c r="B1963" t="s">
        <v>7378</v>
      </c>
      <c r="C1963" t="s">
        <v>7379</v>
      </c>
      <c r="D1963" t="s">
        <v>379</v>
      </c>
      <c r="E1963" t="s">
        <v>7378</v>
      </c>
      <c r="F1963" t="s">
        <v>28</v>
      </c>
      <c r="G1963" t="s">
        <v>7378</v>
      </c>
      <c r="H1963" t="str">
        <f>"aqp-2"</f>
        <v>aqp-2</v>
      </c>
      <c r="I1963" t="s">
        <v>379</v>
      </c>
      <c r="J1963">
        <v>15.140444403556099</v>
      </c>
      <c r="K1963">
        <v>15.8745368514068</v>
      </c>
      <c r="L1963">
        <v>15.425876158847901</v>
      </c>
      <c r="M1963">
        <v>15.1833705780122</v>
      </c>
      <c r="N1963">
        <v>14.7395883685382</v>
      </c>
      <c r="O1963">
        <v>15.8583771188674</v>
      </c>
      <c r="P1963">
        <v>-0.219840449464311</v>
      </c>
      <c r="Q1963">
        <v>-1.01999332045779</v>
      </c>
      <c r="R1963">
        <v>0.58031242152917195</v>
      </c>
      <c r="S1963">
        <v>15.924277335966901</v>
      </c>
      <c r="T1963">
        <v>-0.57746697017478799</v>
      </c>
      <c r="U1963">
        <v>-6.7098731699423304</v>
      </c>
      <c r="V1963">
        <v>0.57081893833075004</v>
      </c>
      <c r="W1963">
        <v>0.96052030798546795</v>
      </c>
      <c r="X1963">
        <v>0</v>
      </c>
      <c r="Y1963">
        <v>0</v>
      </c>
    </row>
    <row r="1964" spans="1:25" x14ac:dyDescent="0.2">
      <c r="A1964" t="s">
        <v>7380</v>
      </c>
      <c r="B1964" t="s">
        <v>7381</v>
      </c>
      <c r="C1964" t="s">
        <v>7382</v>
      </c>
      <c r="D1964" t="s">
        <v>7383</v>
      </c>
      <c r="E1964" t="s">
        <v>7381</v>
      </c>
      <c r="F1964" t="s">
        <v>28</v>
      </c>
      <c r="G1964" t="s">
        <v>7381</v>
      </c>
      <c r="H1964" t="str">
        <f>"mtrr-1"</f>
        <v>mtrr-1</v>
      </c>
      <c r="I1964" t="s">
        <v>7383</v>
      </c>
      <c r="J1964">
        <v>12.0659673534549</v>
      </c>
      <c r="K1964" t="s">
        <v>29</v>
      </c>
      <c r="L1964">
        <v>11.7629091246757</v>
      </c>
      <c r="M1964">
        <v>11.493032461059199</v>
      </c>
      <c r="N1964">
        <v>11.8130451087154</v>
      </c>
      <c r="O1964">
        <v>11.6348747280226</v>
      </c>
      <c r="P1964">
        <v>-0.26745413979953803</v>
      </c>
      <c r="Q1964">
        <v>-0.89884403303763905</v>
      </c>
      <c r="R1964">
        <v>0.36393575343856299</v>
      </c>
      <c r="S1964">
        <v>11.8896433169008</v>
      </c>
      <c r="T1964">
        <v>-0.90342749664891497</v>
      </c>
      <c r="U1964">
        <v>-6.3538245305893897</v>
      </c>
      <c r="V1964">
        <v>0.38067797516373197</v>
      </c>
      <c r="W1964">
        <v>0.89676491877082198</v>
      </c>
      <c r="X1964">
        <v>0</v>
      </c>
      <c r="Y1964">
        <v>0</v>
      </c>
    </row>
    <row r="1965" spans="1:25" x14ac:dyDescent="0.2">
      <c r="A1965" t="s">
        <v>7384</v>
      </c>
      <c r="B1965" t="s">
        <v>7385</v>
      </c>
      <c r="C1965" t="s">
        <v>7386</v>
      </c>
      <c r="D1965" t="s">
        <v>7387</v>
      </c>
      <c r="E1965" t="s">
        <v>7385</v>
      </c>
      <c r="F1965" t="s">
        <v>28</v>
      </c>
      <c r="G1965" t="s">
        <v>7385</v>
      </c>
      <c r="H1965" t="str">
        <f>"acs-7"</f>
        <v>acs-7</v>
      </c>
      <c r="I1965" t="s">
        <v>7387</v>
      </c>
      <c r="J1965">
        <v>14.316544291224099</v>
      </c>
      <c r="K1965">
        <v>13.9979405964029</v>
      </c>
      <c r="L1965">
        <v>13.563616884843199</v>
      </c>
      <c r="M1965">
        <v>14.3844380599819</v>
      </c>
      <c r="N1965">
        <v>14.1923042917148</v>
      </c>
      <c r="O1965">
        <v>14.189582035960401</v>
      </c>
      <c r="P1965">
        <v>0.29607420506229898</v>
      </c>
      <c r="Q1965">
        <v>-0.19030801600820099</v>
      </c>
      <c r="R1965">
        <v>0.78245642613279898</v>
      </c>
      <c r="S1965">
        <v>14.125291223478399</v>
      </c>
      <c r="T1965">
        <v>1.27942665226939</v>
      </c>
      <c r="U1965">
        <v>-6.0644609406305499</v>
      </c>
      <c r="V1965">
        <v>0.217087604408224</v>
      </c>
      <c r="W1965">
        <v>0.79508962856638699</v>
      </c>
      <c r="X1965">
        <v>0</v>
      </c>
      <c r="Y1965">
        <v>0</v>
      </c>
    </row>
    <row r="1966" spans="1:25" x14ac:dyDescent="0.2">
      <c r="A1966" t="s">
        <v>7388</v>
      </c>
      <c r="B1966" t="s">
        <v>7389</v>
      </c>
      <c r="C1966" t="s">
        <v>7390</v>
      </c>
      <c r="D1966" t="s">
        <v>412</v>
      </c>
      <c r="E1966" t="s">
        <v>7389</v>
      </c>
      <c r="F1966" t="s">
        <v>28</v>
      </c>
      <c r="G1966" t="s">
        <v>7389</v>
      </c>
      <c r="H1966" t="str">
        <f>"mlt-2"</f>
        <v>mlt-2</v>
      </c>
      <c r="I1966" t="s">
        <v>412</v>
      </c>
      <c r="J1966">
        <v>11.158376817069801</v>
      </c>
      <c r="K1966">
        <v>10.668773969975501</v>
      </c>
      <c r="L1966">
        <v>11.1675085806671</v>
      </c>
      <c r="M1966">
        <v>18.416505335871101</v>
      </c>
      <c r="N1966">
        <v>18.324481112457999</v>
      </c>
      <c r="O1966">
        <v>18.112926100386499</v>
      </c>
      <c r="P1966">
        <v>7.2864177270010604</v>
      </c>
      <c r="Q1966">
        <v>6.7537137350972998</v>
      </c>
      <c r="R1966">
        <v>7.8191217189048201</v>
      </c>
      <c r="S1966">
        <v>14.211371030596</v>
      </c>
      <c r="T1966">
        <v>28.872083656849401</v>
      </c>
      <c r="U1966">
        <v>24.5017313749062</v>
      </c>
      <c r="V1966" s="2">
        <v>8.1018667559185804E-16</v>
      </c>
      <c r="W1966" s="2">
        <v>2.6963012563696999E-12</v>
      </c>
      <c r="X1966">
        <v>1</v>
      </c>
      <c r="Y1966">
        <v>1</v>
      </c>
    </row>
    <row r="1967" spans="1:25" x14ac:dyDescent="0.2">
      <c r="A1967" t="s">
        <v>7391</v>
      </c>
      <c r="B1967" t="s">
        <v>7392</v>
      </c>
      <c r="C1967" t="s">
        <v>7393</v>
      </c>
      <c r="D1967" t="s">
        <v>1210</v>
      </c>
      <c r="E1967" t="s">
        <v>7392</v>
      </c>
      <c r="F1967" t="s">
        <v>28</v>
      </c>
      <c r="G1967" t="s">
        <v>7392</v>
      </c>
      <c r="H1967" t="str">
        <f>"C01H6.4"</f>
        <v>C01H6.4</v>
      </c>
      <c r="I1967" t="s">
        <v>1210</v>
      </c>
      <c r="J1967">
        <v>13.6296467011617</v>
      </c>
      <c r="K1967">
        <v>13.588196613498299</v>
      </c>
      <c r="L1967">
        <v>13.4110875857394</v>
      </c>
      <c r="M1967">
        <v>13.533169927389901</v>
      </c>
      <c r="N1967">
        <v>13.402243593877801</v>
      </c>
      <c r="O1967">
        <v>13.591926308572299</v>
      </c>
      <c r="P1967">
        <v>-3.38636901864433E-2</v>
      </c>
      <c r="Q1967">
        <v>-0.55678366001828905</v>
      </c>
      <c r="R1967">
        <v>0.48905627964540199</v>
      </c>
      <c r="S1967">
        <v>13.5221387822323</v>
      </c>
      <c r="T1967">
        <v>-0.13735630029669099</v>
      </c>
      <c r="U1967">
        <v>-6.8725720315783398</v>
      </c>
      <c r="V1967">
        <v>0.89247402246940799</v>
      </c>
      <c r="W1967">
        <v>0.99705229851241195</v>
      </c>
      <c r="X1967">
        <v>0</v>
      </c>
      <c r="Y1967">
        <v>0</v>
      </c>
    </row>
    <row r="1968" spans="1:25" x14ac:dyDescent="0.2">
      <c r="A1968" t="s">
        <v>7394</v>
      </c>
      <c r="B1968" t="s">
        <v>7395</v>
      </c>
      <c r="C1968" t="s">
        <v>7396</v>
      </c>
      <c r="D1968" t="s">
        <v>901</v>
      </c>
      <c r="E1968" t="s">
        <v>7395</v>
      </c>
      <c r="F1968" t="s">
        <v>28</v>
      </c>
      <c r="G1968" t="s">
        <v>7395</v>
      </c>
      <c r="H1968" t="str">
        <f>"nhr-17"</f>
        <v>nhr-17</v>
      </c>
      <c r="I1968" t="s">
        <v>901</v>
      </c>
      <c r="J1968">
        <v>10.8520177367646</v>
      </c>
      <c r="K1968">
        <v>10.834702399697701</v>
      </c>
      <c r="L1968" t="s">
        <v>29</v>
      </c>
      <c r="M1968">
        <v>9.8372382934226295</v>
      </c>
      <c r="N1968" t="s">
        <v>29</v>
      </c>
      <c r="O1968">
        <v>10.1223214159811</v>
      </c>
      <c r="P1968">
        <v>-0.86358021352924996</v>
      </c>
      <c r="Q1968">
        <v>-1.71773984095553</v>
      </c>
      <c r="R1968">
        <v>-9.4205861029712495E-3</v>
      </c>
      <c r="S1968">
        <v>10.8161940683912</v>
      </c>
      <c r="T1968">
        <v>-2.2278776474793101</v>
      </c>
      <c r="U1968">
        <v>-4.4911861751999202</v>
      </c>
      <c r="V1968">
        <v>4.7925796964848999E-2</v>
      </c>
      <c r="W1968">
        <v>0.47353795864937398</v>
      </c>
      <c r="X1968">
        <v>0</v>
      </c>
      <c r="Y1968">
        <v>0</v>
      </c>
    </row>
    <row r="1969" spans="1:25" x14ac:dyDescent="0.2">
      <c r="A1969" t="s">
        <v>7397</v>
      </c>
      <c r="B1969" t="s">
        <v>7398</v>
      </c>
      <c r="C1969" t="s">
        <v>7399</v>
      </c>
      <c r="D1969" t="s">
        <v>7400</v>
      </c>
      <c r="E1969" t="s">
        <v>7398</v>
      </c>
      <c r="F1969" t="s">
        <v>28</v>
      </c>
      <c r="G1969" t="s">
        <v>7398</v>
      </c>
      <c r="H1969" t="str">
        <f>"C03A3.2"</f>
        <v>C03A3.2</v>
      </c>
      <c r="I1969" t="s">
        <v>7400</v>
      </c>
      <c r="J1969">
        <v>11.4177179786731</v>
      </c>
      <c r="K1969">
        <v>11.993357892055201</v>
      </c>
      <c r="L1969">
        <v>12.5440623118213</v>
      </c>
      <c r="M1969">
        <v>11.5796514071506</v>
      </c>
      <c r="N1969">
        <v>11.650566446992199</v>
      </c>
      <c r="O1969">
        <v>12.1479823565525</v>
      </c>
      <c r="P1969">
        <v>-0.19231265728476599</v>
      </c>
      <c r="Q1969">
        <v>-1.1664139133653999</v>
      </c>
      <c r="R1969">
        <v>0.78178859879586204</v>
      </c>
      <c r="S1969">
        <v>12.3080269647653</v>
      </c>
      <c r="T1969">
        <v>-0.42373628843518701</v>
      </c>
      <c r="U1969">
        <v>-6.7878608659689501</v>
      </c>
      <c r="V1969">
        <v>0.67824430758239795</v>
      </c>
      <c r="W1969">
        <v>0.98642420921484297</v>
      </c>
      <c r="X1969">
        <v>0</v>
      </c>
      <c r="Y1969">
        <v>0</v>
      </c>
    </row>
    <row r="1970" spans="1:25" x14ac:dyDescent="0.2">
      <c r="A1970" t="s">
        <v>7401</v>
      </c>
      <c r="B1970" t="s">
        <v>7402</v>
      </c>
      <c r="C1970" t="s">
        <v>7403</v>
      </c>
      <c r="D1970" t="s">
        <v>7404</v>
      </c>
      <c r="E1970" t="s">
        <v>7402</v>
      </c>
      <c r="F1970" t="s">
        <v>28</v>
      </c>
      <c r="G1970" t="s">
        <v>7402</v>
      </c>
      <c r="H1970" t="str">
        <f>"npp-14"</f>
        <v>npp-14</v>
      </c>
      <c r="I1970" t="s">
        <v>7404</v>
      </c>
      <c r="J1970" t="s">
        <v>29</v>
      </c>
      <c r="K1970" t="s">
        <v>29</v>
      </c>
      <c r="L1970" t="s">
        <v>29</v>
      </c>
      <c r="M1970" t="s">
        <v>29</v>
      </c>
      <c r="N1970">
        <v>11.2092431798884</v>
      </c>
      <c r="O1970">
        <v>10.9472789744068</v>
      </c>
      <c r="P1970" t="s">
        <v>29</v>
      </c>
      <c r="Q1970" t="s">
        <v>29</v>
      </c>
      <c r="R1970" t="s">
        <v>29</v>
      </c>
      <c r="S1970">
        <v>11.533093593386599</v>
      </c>
      <c r="T1970" t="s">
        <v>29</v>
      </c>
      <c r="U1970" t="s">
        <v>29</v>
      </c>
      <c r="V1970" t="s">
        <v>29</v>
      </c>
      <c r="W1970" t="s">
        <v>29</v>
      </c>
      <c r="X1970" t="s">
        <v>29</v>
      </c>
      <c r="Y1970" t="s">
        <v>29</v>
      </c>
    </row>
    <row r="1971" spans="1:25" x14ac:dyDescent="0.2">
      <c r="A1971" t="s">
        <v>7405</v>
      </c>
      <c r="B1971" t="s">
        <v>7406</v>
      </c>
      <c r="C1971" t="s">
        <v>7407</v>
      </c>
      <c r="D1971" t="s">
        <v>7408</v>
      </c>
      <c r="E1971" t="s">
        <v>7406</v>
      </c>
      <c r="F1971" t="s">
        <v>28</v>
      </c>
      <c r="G1971" t="s">
        <v>7406</v>
      </c>
      <c r="H1971" t="str">
        <f>"rpl-24.2"</f>
        <v>rpl-24.2</v>
      </c>
      <c r="I1971" t="s">
        <v>7408</v>
      </c>
      <c r="J1971">
        <v>12.088852171273899</v>
      </c>
      <c r="K1971">
        <v>12.662694666695</v>
      </c>
      <c r="L1971">
        <v>12.234336233531801</v>
      </c>
      <c r="M1971">
        <v>12.850982891478001</v>
      </c>
      <c r="N1971">
        <v>12.441885412702099</v>
      </c>
      <c r="O1971">
        <v>11.897313040418499</v>
      </c>
      <c r="P1971">
        <v>6.8099424366026895E-2</v>
      </c>
      <c r="Q1971">
        <v>-0.72120729296697506</v>
      </c>
      <c r="R1971">
        <v>0.85740614169902796</v>
      </c>
      <c r="S1971">
        <v>12.9703818702062</v>
      </c>
      <c r="T1971">
        <v>0.18299834912492099</v>
      </c>
      <c r="U1971">
        <v>-6.8648941508936199</v>
      </c>
      <c r="V1971">
        <v>0.85711313016588797</v>
      </c>
      <c r="W1971">
        <v>0.99370971747667503</v>
      </c>
      <c r="X1971">
        <v>0</v>
      </c>
      <c r="Y1971">
        <v>0</v>
      </c>
    </row>
    <row r="1972" spans="1:25" x14ac:dyDescent="0.2">
      <c r="A1972" t="s">
        <v>7409</v>
      </c>
      <c r="B1972" t="s">
        <v>7410</v>
      </c>
      <c r="C1972" t="s">
        <v>7411</v>
      </c>
      <c r="D1972" t="s">
        <v>7412</v>
      </c>
      <c r="E1972" t="s">
        <v>7410</v>
      </c>
      <c r="F1972" t="s">
        <v>28</v>
      </c>
      <c r="G1972" t="s">
        <v>7410</v>
      </c>
      <c r="H1972" t="str">
        <f>"cel-1"</f>
        <v>cel-1</v>
      </c>
      <c r="I1972" t="s">
        <v>7412</v>
      </c>
      <c r="J1972">
        <v>11.5755671516182</v>
      </c>
      <c r="K1972">
        <v>11.9072777471203</v>
      </c>
      <c r="L1972">
        <v>11.9600308189555</v>
      </c>
      <c r="M1972">
        <v>12.557049844957801</v>
      </c>
      <c r="N1972">
        <v>12.2153032606831</v>
      </c>
      <c r="O1972">
        <v>12.0686145974681</v>
      </c>
      <c r="P1972">
        <v>0.46603066180498198</v>
      </c>
      <c r="Q1972">
        <v>1.57821522917139E-2</v>
      </c>
      <c r="R1972">
        <v>0.91627917131825098</v>
      </c>
      <c r="S1972">
        <v>12.084533018118799</v>
      </c>
      <c r="T1972">
        <v>2.1953902817070401</v>
      </c>
      <c r="U1972">
        <v>-4.6716109375625301</v>
      </c>
      <c r="V1972">
        <v>4.3335006413844697E-2</v>
      </c>
      <c r="W1972">
        <v>0.45638892830783301</v>
      </c>
      <c r="X1972">
        <v>0</v>
      </c>
      <c r="Y1972">
        <v>0</v>
      </c>
    </row>
    <row r="1973" spans="1:25" x14ac:dyDescent="0.2">
      <c r="A1973" t="s">
        <v>7413</v>
      </c>
      <c r="B1973" t="s">
        <v>7414</v>
      </c>
      <c r="C1973" t="s">
        <v>7415</v>
      </c>
      <c r="D1973" t="s">
        <v>211</v>
      </c>
      <c r="E1973" t="s">
        <v>7414</v>
      </c>
      <c r="F1973" t="s">
        <v>28</v>
      </c>
      <c r="G1973" t="s">
        <v>7414</v>
      </c>
      <c r="H1973" t="str">
        <f>"C04B4.2"</f>
        <v>C04B4.2</v>
      </c>
      <c r="I1973" t="s">
        <v>211</v>
      </c>
      <c r="J1973" t="s">
        <v>29</v>
      </c>
      <c r="K1973" t="s">
        <v>29</v>
      </c>
      <c r="L1973" t="s">
        <v>29</v>
      </c>
      <c r="M1973" t="s">
        <v>29</v>
      </c>
      <c r="N1973" t="s">
        <v>29</v>
      </c>
      <c r="O1973" t="s">
        <v>29</v>
      </c>
      <c r="P1973" t="s">
        <v>29</v>
      </c>
      <c r="Q1973" t="s">
        <v>29</v>
      </c>
      <c r="R1973" t="s">
        <v>29</v>
      </c>
      <c r="S1973">
        <v>13.0816839059981</v>
      </c>
      <c r="T1973" t="s">
        <v>29</v>
      </c>
      <c r="U1973" t="s">
        <v>29</v>
      </c>
      <c r="V1973" t="s">
        <v>29</v>
      </c>
      <c r="W1973" t="s">
        <v>29</v>
      </c>
      <c r="X1973" t="s">
        <v>29</v>
      </c>
      <c r="Y1973" t="s">
        <v>29</v>
      </c>
    </row>
    <row r="1974" spans="1:25" x14ac:dyDescent="0.2">
      <c r="A1974" t="s">
        <v>7416</v>
      </c>
      <c r="B1974" t="s">
        <v>7417</v>
      </c>
      <c r="C1974" t="s">
        <v>7418</v>
      </c>
      <c r="D1974" t="s">
        <v>3617</v>
      </c>
      <c r="E1974" t="s">
        <v>7417</v>
      </c>
      <c r="F1974" t="s">
        <v>28</v>
      </c>
      <c r="G1974" t="s">
        <v>7417</v>
      </c>
      <c r="H1974" t="str">
        <f>"C04B4.4"</f>
        <v>C04B4.4</v>
      </c>
      <c r="I1974" t="s">
        <v>3617</v>
      </c>
      <c r="J1974" t="s">
        <v>29</v>
      </c>
      <c r="K1974" t="s">
        <v>29</v>
      </c>
      <c r="L1974" t="s">
        <v>29</v>
      </c>
      <c r="M1974" t="s">
        <v>29</v>
      </c>
      <c r="N1974" t="s">
        <v>29</v>
      </c>
      <c r="O1974" t="s">
        <v>29</v>
      </c>
      <c r="P1974" t="s">
        <v>29</v>
      </c>
      <c r="Q1974" t="s">
        <v>29</v>
      </c>
      <c r="R1974" t="s">
        <v>29</v>
      </c>
      <c r="S1974">
        <v>10.719109690541099</v>
      </c>
      <c r="T1974" t="s">
        <v>29</v>
      </c>
      <c r="U1974" t="s">
        <v>29</v>
      </c>
      <c r="V1974" t="s">
        <v>29</v>
      </c>
      <c r="W1974" t="s">
        <v>29</v>
      </c>
      <c r="X1974" t="s">
        <v>29</v>
      </c>
      <c r="Y1974" t="s">
        <v>29</v>
      </c>
    </row>
    <row r="1975" spans="1:25" x14ac:dyDescent="0.2">
      <c r="A1975" t="s">
        <v>7419</v>
      </c>
      <c r="B1975" t="s">
        <v>7420</v>
      </c>
      <c r="C1975" t="s">
        <v>7421</v>
      </c>
      <c r="D1975" t="s">
        <v>7422</v>
      </c>
      <c r="E1975" t="s">
        <v>7420</v>
      </c>
      <c r="F1975" t="s">
        <v>28</v>
      </c>
      <c r="G1975" t="s">
        <v>7420</v>
      </c>
      <c r="H1975" t="str">
        <f>"arrd-25"</f>
        <v>arrd-25</v>
      </c>
      <c r="I1975" t="s">
        <v>7422</v>
      </c>
      <c r="J1975">
        <v>13.615903602785499</v>
      </c>
      <c r="K1975">
        <v>13.5449298300046</v>
      </c>
      <c r="L1975">
        <v>13.3245858773185</v>
      </c>
      <c r="M1975">
        <v>14.5323983315013</v>
      </c>
      <c r="N1975">
        <v>14.426299249659101</v>
      </c>
      <c r="O1975">
        <v>14.5848058981842</v>
      </c>
      <c r="P1975">
        <v>1.0193613897453699</v>
      </c>
      <c r="Q1975">
        <v>0.49430891753712602</v>
      </c>
      <c r="R1975">
        <v>1.5444138619536101</v>
      </c>
      <c r="S1975">
        <v>13.7770408059519</v>
      </c>
      <c r="T1975">
        <v>4.0980333207400603</v>
      </c>
      <c r="U1975">
        <v>-0.79858801947031799</v>
      </c>
      <c r="V1975">
        <v>7.5856851210595003E-4</v>
      </c>
      <c r="W1975">
        <v>2.49952080028574E-2</v>
      </c>
      <c r="X1975">
        <v>1</v>
      </c>
      <c r="Y1975">
        <v>1</v>
      </c>
    </row>
    <row r="1976" spans="1:25" x14ac:dyDescent="0.2">
      <c r="A1976" t="s">
        <v>7423</v>
      </c>
      <c r="B1976" t="s">
        <v>7424</v>
      </c>
      <c r="C1976" t="s">
        <v>7425</v>
      </c>
      <c r="D1976" t="s">
        <v>7426</v>
      </c>
      <c r="E1976" t="s">
        <v>7424</v>
      </c>
      <c r="F1976" t="s">
        <v>28</v>
      </c>
      <c r="G1976" t="s">
        <v>7424</v>
      </c>
      <c r="H1976" t="str">
        <f>"spch-1"</f>
        <v>spch-1</v>
      </c>
      <c r="I1976" t="s">
        <v>7426</v>
      </c>
      <c r="J1976">
        <v>14.8690179855891</v>
      </c>
      <c r="K1976">
        <v>13.5583342272833</v>
      </c>
      <c r="L1976">
        <v>14.661281708124299</v>
      </c>
      <c r="M1976">
        <v>13.911989310744</v>
      </c>
      <c r="N1976">
        <v>13.1436429276703</v>
      </c>
      <c r="O1976">
        <v>13.674182844618599</v>
      </c>
      <c r="P1976">
        <v>-0.786272945987877</v>
      </c>
      <c r="Q1976">
        <v>-2.0370050419507701</v>
      </c>
      <c r="R1976">
        <v>0.46445914997501297</v>
      </c>
      <c r="S1976">
        <v>14.6565877428786</v>
      </c>
      <c r="T1976">
        <v>-1.32130035345309</v>
      </c>
      <c r="U1976">
        <v>-6.0125239698463604</v>
      </c>
      <c r="V1976">
        <v>0.203047229815108</v>
      </c>
      <c r="W1976">
        <v>0.79075284576134597</v>
      </c>
      <c r="X1976">
        <v>0</v>
      </c>
      <c r="Y1976">
        <v>0</v>
      </c>
    </row>
    <row r="1977" spans="1:25" x14ac:dyDescent="0.2">
      <c r="A1977" t="s">
        <v>7427</v>
      </c>
      <c r="B1977" t="s">
        <v>7428</v>
      </c>
      <c r="C1977" t="s">
        <v>7429</v>
      </c>
      <c r="D1977" t="s">
        <v>2221</v>
      </c>
      <c r="E1977" t="s">
        <v>7428</v>
      </c>
      <c r="F1977" t="s">
        <v>28</v>
      </c>
      <c r="G1977" t="s">
        <v>7430</v>
      </c>
      <c r="H1977" t="str">
        <f>"ttbk-5"</f>
        <v>ttbk-5</v>
      </c>
      <c r="I1977" t="s">
        <v>2221</v>
      </c>
      <c r="J1977" t="s">
        <v>29</v>
      </c>
      <c r="K1977" t="s">
        <v>29</v>
      </c>
      <c r="L1977" t="s">
        <v>29</v>
      </c>
      <c r="M1977" t="s">
        <v>29</v>
      </c>
      <c r="N1977" t="s">
        <v>29</v>
      </c>
      <c r="O1977" t="s">
        <v>29</v>
      </c>
      <c r="P1977" t="s">
        <v>29</v>
      </c>
      <c r="Q1977" t="s">
        <v>29</v>
      </c>
      <c r="R1977" t="s">
        <v>29</v>
      </c>
      <c r="S1977">
        <v>11.1911916137761</v>
      </c>
      <c r="T1977" t="s">
        <v>29</v>
      </c>
      <c r="U1977" t="s">
        <v>29</v>
      </c>
      <c r="V1977" t="s">
        <v>29</v>
      </c>
      <c r="W1977" t="s">
        <v>29</v>
      </c>
      <c r="X1977" t="s">
        <v>29</v>
      </c>
      <c r="Y1977" t="s">
        <v>29</v>
      </c>
    </row>
    <row r="1978" spans="1:25" x14ac:dyDescent="0.2">
      <c r="A1978" t="s">
        <v>7431</v>
      </c>
      <c r="B1978" t="s">
        <v>7432</v>
      </c>
      <c r="C1978" t="s">
        <v>7433</v>
      </c>
      <c r="D1978" t="s">
        <v>7434</v>
      </c>
      <c r="E1978" t="s">
        <v>7432</v>
      </c>
      <c r="F1978" t="s">
        <v>28</v>
      </c>
      <c r="G1978" t="s">
        <v>7432</v>
      </c>
      <c r="H1978" t="str">
        <f>"dis-3"</f>
        <v>dis-3</v>
      </c>
      <c r="I1978" t="s">
        <v>7434</v>
      </c>
      <c r="J1978">
        <v>15.551289759909601</v>
      </c>
      <c r="K1978">
        <v>15.4982760986413</v>
      </c>
      <c r="L1978">
        <v>15.3010419583479</v>
      </c>
      <c r="M1978">
        <v>15.3668485595303</v>
      </c>
      <c r="N1978">
        <v>15.3832489939978</v>
      </c>
      <c r="O1978">
        <v>15.3370748339669</v>
      </c>
      <c r="P1978">
        <v>-8.7811809801232599E-2</v>
      </c>
      <c r="Q1978">
        <v>-0.45389583271720302</v>
      </c>
      <c r="R1978">
        <v>0.27827221311473799</v>
      </c>
      <c r="S1978">
        <v>15.376596660985999</v>
      </c>
      <c r="T1978">
        <v>-0.50415568167873603</v>
      </c>
      <c r="U1978">
        <v>-6.7506286252490399</v>
      </c>
      <c r="V1978">
        <v>0.62030264737809304</v>
      </c>
      <c r="W1978">
        <v>0.97279262440453396</v>
      </c>
      <c r="X1978">
        <v>0</v>
      </c>
      <c r="Y1978">
        <v>0</v>
      </c>
    </row>
    <row r="1979" spans="1:25" x14ac:dyDescent="0.2">
      <c r="A1979" t="s">
        <v>7435</v>
      </c>
      <c r="B1979" t="s">
        <v>7436</v>
      </c>
      <c r="C1979" t="s">
        <v>7437</v>
      </c>
      <c r="D1979" t="s">
        <v>59</v>
      </c>
      <c r="E1979" t="s">
        <v>7436</v>
      </c>
      <c r="F1979" t="s">
        <v>28</v>
      </c>
      <c r="G1979" t="s">
        <v>7438</v>
      </c>
      <c r="H1979" t="str">
        <f>"pgp-5"</f>
        <v>pgp-5</v>
      </c>
      <c r="I1979" t="s">
        <v>59</v>
      </c>
      <c r="J1979">
        <v>12.528210891629699</v>
      </c>
      <c r="K1979">
        <v>12.757812126829499</v>
      </c>
      <c r="L1979">
        <v>12.0520076393975</v>
      </c>
      <c r="M1979">
        <v>11.8025787391219</v>
      </c>
      <c r="N1979">
        <v>12.987520239811399</v>
      </c>
      <c r="O1979" t="s">
        <v>29</v>
      </c>
      <c r="P1979">
        <v>-5.0960729818950098E-2</v>
      </c>
      <c r="Q1979">
        <v>-0.75619697182580703</v>
      </c>
      <c r="R1979">
        <v>0.65427551218790703</v>
      </c>
      <c r="S1979">
        <v>12.3440210174708</v>
      </c>
      <c r="T1979">
        <v>-0.154114187958064</v>
      </c>
      <c r="U1979">
        <v>-6.75970486638517</v>
      </c>
      <c r="V1979">
        <v>0.879588413151277</v>
      </c>
      <c r="W1979">
        <v>0.99702926582654094</v>
      </c>
      <c r="X1979">
        <v>0</v>
      </c>
      <c r="Y1979">
        <v>0</v>
      </c>
    </row>
    <row r="1980" spans="1:25" x14ac:dyDescent="0.2">
      <c r="A1980" t="s">
        <v>7439</v>
      </c>
      <c r="B1980" t="s">
        <v>7440</v>
      </c>
      <c r="C1980" t="s">
        <v>7441</v>
      </c>
      <c r="D1980" t="s">
        <v>7442</v>
      </c>
      <c r="E1980" t="s">
        <v>7440</v>
      </c>
      <c r="F1980" t="s">
        <v>28</v>
      </c>
      <c r="G1980" t="s">
        <v>7440</v>
      </c>
      <c r="H1980" t="str">
        <f>"C05C12.5"</f>
        <v>C05C12.5</v>
      </c>
      <c r="I1980" t="s">
        <v>7442</v>
      </c>
      <c r="J1980">
        <v>14.7044970945797</v>
      </c>
      <c r="K1980">
        <v>12.797142542227601</v>
      </c>
      <c r="L1980">
        <v>14.174496722640701</v>
      </c>
      <c r="M1980">
        <v>14.949653875256599</v>
      </c>
      <c r="N1980">
        <v>15.4772150990693</v>
      </c>
      <c r="O1980">
        <v>13.7073271504199</v>
      </c>
      <c r="P1980">
        <v>0.81935325509924795</v>
      </c>
      <c r="Q1980">
        <v>-0.34314000654182097</v>
      </c>
      <c r="R1980">
        <v>1.9818465167403201</v>
      </c>
      <c r="S1980">
        <v>13.817161734820401</v>
      </c>
      <c r="T1980">
        <v>1.48775271800146</v>
      </c>
      <c r="U1980">
        <v>-5.7930323847993801</v>
      </c>
      <c r="V1980">
        <v>0.155242411430041</v>
      </c>
      <c r="W1980">
        <v>0.75094320293391503</v>
      </c>
      <c r="X1980">
        <v>0</v>
      </c>
      <c r="Y1980">
        <v>0</v>
      </c>
    </row>
    <row r="1981" spans="1:25" x14ac:dyDescent="0.2">
      <c r="A1981" t="s">
        <v>7443</v>
      </c>
      <c r="B1981" t="s">
        <v>7444</v>
      </c>
      <c r="C1981" t="s">
        <v>7445</v>
      </c>
      <c r="D1981" t="s">
        <v>7446</v>
      </c>
      <c r="E1981" t="s">
        <v>7444</v>
      </c>
      <c r="F1981" t="s">
        <v>28</v>
      </c>
      <c r="G1981" t="s">
        <v>7444</v>
      </c>
      <c r="H1981" t="str">
        <f>"C05G5.2"</f>
        <v>C05G5.2</v>
      </c>
      <c r="I1981" t="s">
        <v>7446</v>
      </c>
      <c r="J1981" t="s">
        <v>29</v>
      </c>
      <c r="K1981" t="s">
        <v>29</v>
      </c>
      <c r="L1981">
        <v>11.9073197186835</v>
      </c>
      <c r="M1981">
        <v>11.0293059954491</v>
      </c>
      <c r="N1981" t="s">
        <v>29</v>
      </c>
      <c r="O1981">
        <v>13.759130013995099</v>
      </c>
      <c r="P1981">
        <v>0.48689828603852597</v>
      </c>
      <c r="Q1981">
        <v>-2.1648509024331699</v>
      </c>
      <c r="R1981">
        <v>3.1386474745102202</v>
      </c>
      <c r="S1981">
        <v>11.987944933693701</v>
      </c>
      <c r="T1981">
        <v>0.424396225526256</v>
      </c>
      <c r="U1981">
        <v>-6.3854266576390399</v>
      </c>
      <c r="V1981">
        <v>0.68260473051243098</v>
      </c>
      <c r="W1981">
        <v>0.98642420921484297</v>
      </c>
      <c r="X1981">
        <v>0</v>
      </c>
      <c r="Y1981">
        <v>0</v>
      </c>
    </row>
    <row r="1982" spans="1:25" x14ac:dyDescent="0.2">
      <c r="A1982" t="s">
        <v>7447</v>
      </c>
      <c r="B1982" t="s">
        <v>7448</v>
      </c>
      <c r="C1982" t="s">
        <v>7449</v>
      </c>
      <c r="D1982" t="s">
        <v>7450</v>
      </c>
      <c r="E1982" t="s">
        <v>7448</v>
      </c>
      <c r="F1982" t="s">
        <v>28</v>
      </c>
      <c r="G1982" t="s">
        <v>7448</v>
      </c>
      <c r="H1982" t="str">
        <f>"erp-44.2"</f>
        <v>erp-44.2</v>
      </c>
      <c r="I1982" t="s">
        <v>7450</v>
      </c>
      <c r="J1982">
        <v>12.9094270497196</v>
      </c>
      <c r="K1982">
        <v>12.052246930964101</v>
      </c>
      <c r="L1982">
        <v>12.3646707601076</v>
      </c>
      <c r="M1982">
        <v>12.4440904867628</v>
      </c>
      <c r="N1982">
        <v>12.729837064547199</v>
      </c>
      <c r="O1982">
        <v>12.836400330285</v>
      </c>
      <c r="P1982">
        <v>0.22799438026788901</v>
      </c>
      <c r="Q1982">
        <v>-0.52716798638316298</v>
      </c>
      <c r="R1982">
        <v>0.98315674691894095</v>
      </c>
      <c r="S1982">
        <v>12.205712663605899</v>
      </c>
      <c r="T1982">
        <v>0.65278632503271095</v>
      </c>
      <c r="U1982">
        <v>-6.6589799352044103</v>
      </c>
      <c r="V1982">
        <v>0.52536157607679201</v>
      </c>
      <c r="W1982">
        <v>0.94259531549477504</v>
      </c>
      <c r="X1982">
        <v>0</v>
      </c>
      <c r="Y1982">
        <v>0</v>
      </c>
    </row>
    <row r="1983" spans="1:25" x14ac:dyDescent="0.2">
      <c r="A1983" t="s">
        <v>7451</v>
      </c>
      <c r="B1983" t="s">
        <v>7452</v>
      </c>
      <c r="C1983" t="s">
        <v>7453</v>
      </c>
      <c r="D1983" t="s">
        <v>7454</v>
      </c>
      <c r="E1983" t="s">
        <v>7452</v>
      </c>
      <c r="F1983" t="s">
        <v>28</v>
      </c>
      <c r="G1983" t="s">
        <v>7452</v>
      </c>
      <c r="H1983" t="str">
        <f>"mthf-1"</f>
        <v>mthf-1</v>
      </c>
      <c r="I1983" t="s">
        <v>7454</v>
      </c>
      <c r="J1983">
        <v>13.465907171226601</v>
      </c>
      <c r="K1983">
        <v>13.127124894258801</v>
      </c>
      <c r="L1983">
        <v>13.307128624552099</v>
      </c>
      <c r="M1983">
        <v>13.8241960747695</v>
      </c>
      <c r="N1983">
        <v>14.0902125687447</v>
      </c>
      <c r="O1983">
        <v>13.7099938231213</v>
      </c>
      <c r="P1983">
        <v>0.57474725886602096</v>
      </c>
      <c r="Q1983">
        <v>0.130284574995809</v>
      </c>
      <c r="R1983">
        <v>1.01920994273623</v>
      </c>
      <c r="S1983">
        <v>13.8498389807545</v>
      </c>
      <c r="T1983">
        <v>2.71790402884255</v>
      </c>
      <c r="U1983">
        <v>-3.6578209963186801</v>
      </c>
      <c r="V1983">
        <v>1.41554248393467E-2</v>
      </c>
      <c r="W1983">
        <v>0.22758093654756401</v>
      </c>
      <c r="X1983">
        <v>0</v>
      </c>
      <c r="Y1983">
        <v>0</v>
      </c>
    </row>
    <row r="1984" spans="1:25" x14ac:dyDescent="0.2">
      <c r="A1984" t="s">
        <v>7455</v>
      </c>
      <c r="B1984" t="s">
        <v>7456</v>
      </c>
      <c r="C1984" t="s">
        <v>7457</v>
      </c>
      <c r="D1984" t="s">
        <v>7458</v>
      </c>
      <c r="E1984" t="s">
        <v>7456</v>
      </c>
      <c r="F1984" t="s">
        <v>28</v>
      </c>
      <c r="G1984" t="s">
        <v>7456</v>
      </c>
      <c r="H1984" t="str">
        <f>"stdh-1"</f>
        <v>stdh-1</v>
      </c>
      <c r="I1984" t="s">
        <v>7458</v>
      </c>
      <c r="J1984">
        <v>13.9526261084564</v>
      </c>
      <c r="K1984">
        <v>13.997419832870101</v>
      </c>
      <c r="L1984">
        <v>13.605975578064299</v>
      </c>
      <c r="M1984">
        <v>13.4906149528901</v>
      </c>
      <c r="N1984">
        <v>13.6543366277514</v>
      </c>
      <c r="O1984">
        <v>13.712564559887699</v>
      </c>
      <c r="P1984">
        <v>-0.232835126287227</v>
      </c>
      <c r="Q1984">
        <v>-0.57005734694530297</v>
      </c>
      <c r="R1984">
        <v>0.104387094370848</v>
      </c>
      <c r="S1984">
        <v>13.3162275942001</v>
      </c>
      <c r="T1984">
        <v>-1.45119184512455</v>
      </c>
      <c r="U1984">
        <v>-5.8428266965296096</v>
      </c>
      <c r="V1984">
        <v>0.16403159012358901</v>
      </c>
      <c r="W1984">
        <v>0.76700908257918199</v>
      </c>
      <c r="X1984">
        <v>0</v>
      </c>
      <c r="Y1984">
        <v>0</v>
      </c>
    </row>
    <row r="1985" spans="1:25" x14ac:dyDescent="0.2">
      <c r="A1985" t="s">
        <v>7459</v>
      </c>
      <c r="B1985" t="s">
        <v>7460</v>
      </c>
      <c r="C1985" t="s">
        <v>7461</v>
      </c>
      <c r="D1985" t="s">
        <v>828</v>
      </c>
      <c r="E1985" t="s">
        <v>7460</v>
      </c>
      <c r="F1985" t="s">
        <v>28</v>
      </c>
      <c r="G1985" t="s">
        <v>7460</v>
      </c>
      <c r="H1985" t="str">
        <f>"C06E7.4"</f>
        <v>C06E7.4</v>
      </c>
      <c r="I1985" t="s">
        <v>828</v>
      </c>
      <c r="J1985">
        <v>11.6126332881098</v>
      </c>
      <c r="K1985" t="s">
        <v>29</v>
      </c>
      <c r="L1985" t="s">
        <v>29</v>
      </c>
      <c r="M1985">
        <v>11.0780935575965</v>
      </c>
      <c r="N1985" t="s">
        <v>29</v>
      </c>
      <c r="O1985" t="s">
        <v>29</v>
      </c>
      <c r="P1985">
        <v>-0.534539730513375</v>
      </c>
      <c r="Q1985">
        <v>-2.77517831732749</v>
      </c>
      <c r="R1985">
        <v>1.70609885630074</v>
      </c>
      <c r="S1985">
        <v>11.097824846663199</v>
      </c>
      <c r="T1985">
        <v>-0.56586351596225704</v>
      </c>
      <c r="U1985">
        <v>-6.1697475793314496</v>
      </c>
      <c r="V1985">
        <v>0.58941868571790601</v>
      </c>
      <c r="W1985">
        <v>0.963273565916412</v>
      </c>
      <c r="X1985">
        <v>0</v>
      </c>
      <c r="Y1985">
        <v>0</v>
      </c>
    </row>
    <row r="1986" spans="1:25" x14ac:dyDescent="0.2">
      <c r="A1986" t="s">
        <v>7462</v>
      </c>
      <c r="B1986" t="s">
        <v>7463</v>
      </c>
      <c r="C1986" t="s">
        <v>7464</v>
      </c>
      <c r="D1986" t="s">
        <v>7465</v>
      </c>
      <c r="E1986" t="s">
        <v>7463</v>
      </c>
      <c r="F1986" t="s">
        <v>28</v>
      </c>
      <c r="G1986" t="s">
        <v>7463</v>
      </c>
      <c r="H1986" t="str">
        <f>"ain-1"</f>
        <v>ain-1</v>
      </c>
      <c r="I1986" t="s">
        <v>7465</v>
      </c>
      <c r="J1986">
        <v>15.475027939466299</v>
      </c>
      <c r="K1986">
        <v>16.181106988948802</v>
      </c>
      <c r="L1986">
        <v>16.232538469067901</v>
      </c>
      <c r="M1986">
        <v>15.773917601983699</v>
      </c>
      <c r="N1986">
        <v>15.574537609003</v>
      </c>
      <c r="O1986">
        <v>15.519713276458999</v>
      </c>
      <c r="P1986">
        <v>-0.34016830334575598</v>
      </c>
      <c r="Q1986">
        <v>-0.79599159232258099</v>
      </c>
      <c r="R1986">
        <v>0.115654985631069</v>
      </c>
      <c r="S1986">
        <v>16.238777424799899</v>
      </c>
      <c r="T1986">
        <v>-1.56851922676436</v>
      </c>
      <c r="U1986">
        <v>-5.6788653519647596</v>
      </c>
      <c r="V1986">
        <v>0.134272631082445</v>
      </c>
      <c r="W1986">
        <v>0.72544466191224499</v>
      </c>
      <c r="X1986">
        <v>0</v>
      </c>
      <c r="Y1986">
        <v>0</v>
      </c>
    </row>
    <row r="1987" spans="1:25" x14ac:dyDescent="0.2">
      <c r="A1987" t="s">
        <v>7466</v>
      </c>
      <c r="B1987" t="s">
        <v>7467</v>
      </c>
      <c r="C1987" t="s">
        <v>7468</v>
      </c>
      <c r="D1987" t="s">
        <v>7469</v>
      </c>
      <c r="E1987" t="s">
        <v>7467</v>
      </c>
      <c r="F1987" t="s">
        <v>28</v>
      </c>
      <c r="G1987" t="s">
        <v>7467</v>
      </c>
      <c r="H1987" t="str">
        <f>"gldi-4"</f>
        <v>gldi-4</v>
      </c>
      <c r="I1987" t="s">
        <v>7469</v>
      </c>
      <c r="J1987" t="s">
        <v>29</v>
      </c>
      <c r="K1987" t="s">
        <v>29</v>
      </c>
      <c r="L1987" t="s">
        <v>29</v>
      </c>
      <c r="M1987" t="s">
        <v>29</v>
      </c>
      <c r="N1987" t="s">
        <v>29</v>
      </c>
      <c r="O1987" t="s">
        <v>29</v>
      </c>
      <c r="P1987" t="s">
        <v>29</v>
      </c>
      <c r="Q1987" t="s">
        <v>29</v>
      </c>
      <c r="R1987" t="s">
        <v>29</v>
      </c>
      <c r="S1987">
        <v>11.723807070822</v>
      </c>
      <c r="T1987" t="s">
        <v>29</v>
      </c>
      <c r="U1987" t="s">
        <v>29</v>
      </c>
      <c r="V1987" t="s">
        <v>29</v>
      </c>
      <c r="W1987" t="s">
        <v>29</v>
      </c>
      <c r="X1987" t="s">
        <v>29</v>
      </c>
      <c r="Y1987" t="s">
        <v>29</v>
      </c>
    </row>
    <row r="1988" spans="1:25" x14ac:dyDescent="0.2">
      <c r="A1988" t="s">
        <v>7470</v>
      </c>
      <c r="B1988" t="s">
        <v>7471</v>
      </c>
      <c r="C1988" t="s">
        <v>7472</v>
      </c>
      <c r="D1988" t="s">
        <v>7473</v>
      </c>
      <c r="E1988" t="s">
        <v>7471</v>
      </c>
      <c r="F1988" t="s">
        <v>28</v>
      </c>
      <c r="G1988" t="s">
        <v>7471</v>
      </c>
      <c r="H1988" t="str">
        <f>"ufl-1"</f>
        <v>ufl-1</v>
      </c>
      <c r="I1988" t="s">
        <v>7473</v>
      </c>
      <c r="J1988">
        <v>10.978791947680699</v>
      </c>
      <c r="K1988">
        <v>15.0273907408392</v>
      </c>
      <c r="L1988">
        <v>10.2537998675494</v>
      </c>
      <c r="M1988">
        <v>11.5518582824081</v>
      </c>
      <c r="N1988">
        <v>11.3377174586864</v>
      </c>
      <c r="O1988">
        <v>11.2164600471292</v>
      </c>
      <c r="P1988">
        <v>-0.71798225594855802</v>
      </c>
      <c r="Q1988">
        <v>-2.50396087841921</v>
      </c>
      <c r="R1988">
        <v>1.06799636652209</v>
      </c>
      <c r="S1988">
        <v>11.6630084576729</v>
      </c>
      <c r="T1988">
        <v>-0.86283816767255594</v>
      </c>
      <c r="U1988">
        <v>-6.4978904064650296</v>
      </c>
      <c r="V1988">
        <v>0.40287373451432901</v>
      </c>
      <c r="W1988">
        <v>0.91027279600179201</v>
      </c>
      <c r="X1988">
        <v>0</v>
      </c>
      <c r="Y1988">
        <v>0</v>
      </c>
    </row>
    <row r="1989" spans="1:25" x14ac:dyDescent="0.2">
      <c r="A1989" t="s">
        <v>7474</v>
      </c>
      <c r="B1989" t="s">
        <v>7475</v>
      </c>
      <c r="C1989" t="s">
        <v>7476</v>
      </c>
      <c r="D1989" t="s">
        <v>7477</v>
      </c>
      <c r="E1989" t="s">
        <v>7475</v>
      </c>
      <c r="F1989" t="s">
        <v>28</v>
      </c>
      <c r="G1989" t="s">
        <v>7475</v>
      </c>
      <c r="H1989" t="str">
        <f>"T25B9.9"</f>
        <v>T25B9.9</v>
      </c>
      <c r="I1989" t="s">
        <v>7477</v>
      </c>
      <c r="J1989">
        <v>17.1228889311285</v>
      </c>
      <c r="K1989">
        <v>16.935714523674999</v>
      </c>
      <c r="L1989">
        <v>16.9118908877808</v>
      </c>
      <c r="M1989">
        <v>17.019406749305599</v>
      </c>
      <c r="N1989">
        <v>16.8523560376766</v>
      </c>
      <c r="O1989">
        <v>16.8641535053723</v>
      </c>
      <c r="P1989">
        <v>-7.8192683409937999E-2</v>
      </c>
      <c r="Q1989">
        <v>-0.43111699710281598</v>
      </c>
      <c r="R1989">
        <v>0.27473163028294001</v>
      </c>
      <c r="S1989">
        <v>16.647694781355401</v>
      </c>
      <c r="T1989">
        <v>-0.46566870432787699</v>
      </c>
      <c r="U1989">
        <v>-6.76987525012823</v>
      </c>
      <c r="V1989">
        <v>0.64707011463788</v>
      </c>
      <c r="W1989">
        <v>0.97928573966114896</v>
      </c>
      <c r="X1989">
        <v>0</v>
      </c>
      <c r="Y1989">
        <v>0</v>
      </c>
    </row>
    <row r="1990" spans="1:25" x14ac:dyDescent="0.2">
      <c r="A1990" t="s">
        <v>7478</v>
      </c>
      <c r="B1990" t="s">
        <v>7479</v>
      </c>
      <c r="C1990" t="s">
        <v>7480</v>
      </c>
      <c r="D1990" t="s">
        <v>7481</v>
      </c>
      <c r="E1990" t="s">
        <v>7479</v>
      </c>
      <c r="F1990" t="s">
        <v>28</v>
      </c>
      <c r="G1990" t="s">
        <v>7479</v>
      </c>
      <c r="H1990" t="str">
        <f>"atp-5"</f>
        <v>atp-5</v>
      </c>
      <c r="I1990" t="s">
        <v>7481</v>
      </c>
      <c r="J1990">
        <v>13.6934868766441</v>
      </c>
      <c r="K1990">
        <v>13.507981759087601</v>
      </c>
      <c r="L1990">
        <v>14.1537793145273</v>
      </c>
      <c r="M1990">
        <v>14.040996031723401</v>
      </c>
      <c r="N1990">
        <v>13.7167055279834</v>
      </c>
      <c r="O1990">
        <v>12.8970109531414</v>
      </c>
      <c r="P1990">
        <v>-0.233511812470244</v>
      </c>
      <c r="Q1990">
        <v>-1.06253467087482</v>
      </c>
      <c r="R1990">
        <v>0.59551104593432702</v>
      </c>
      <c r="S1990">
        <v>13.835044117594601</v>
      </c>
      <c r="T1990">
        <v>-0.594555447378326</v>
      </c>
      <c r="U1990">
        <v>-6.6991412964884098</v>
      </c>
      <c r="V1990">
        <v>0.56001938293623199</v>
      </c>
      <c r="W1990">
        <v>0.95650569706421396</v>
      </c>
      <c r="X1990">
        <v>0</v>
      </c>
      <c r="Y1990">
        <v>0</v>
      </c>
    </row>
    <row r="1991" spans="1:25" x14ac:dyDescent="0.2">
      <c r="A1991" t="s">
        <v>7482</v>
      </c>
      <c r="B1991" t="s">
        <v>7483</v>
      </c>
      <c r="C1991" t="s">
        <v>7484</v>
      </c>
      <c r="D1991" t="s">
        <v>1095</v>
      </c>
      <c r="E1991" t="s">
        <v>7483</v>
      </c>
      <c r="F1991" t="s">
        <v>28</v>
      </c>
      <c r="G1991" t="s">
        <v>7483</v>
      </c>
      <c r="H1991" t="str">
        <f>"jmjd-5"</f>
        <v>jmjd-5</v>
      </c>
      <c r="I1991" t="s">
        <v>1095</v>
      </c>
      <c r="J1991">
        <v>14.208577121859699</v>
      </c>
      <c r="K1991">
        <v>13.8851118629519</v>
      </c>
      <c r="L1991">
        <v>14.343481557216</v>
      </c>
      <c r="M1991">
        <v>14.5369253062388</v>
      </c>
      <c r="N1991">
        <v>14.7240333328246</v>
      </c>
      <c r="O1991">
        <v>14.2681390638941</v>
      </c>
      <c r="P1991">
        <v>0.36397572031001602</v>
      </c>
      <c r="Q1991">
        <v>-0.110178702743938</v>
      </c>
      <c r="R1991">
        <v>0.83813014336396996</v>
      </c>
      <c r="S1991">
        <v>13.965026425132899</v>
      </c>
      <c r="T1991">
        <v>1.6281789582697099</v>
      </c>
      <c r="U1991">
        <v>-5.5939932633599199</v>
      </c>
      <c r="V1991">
        <v>0.123143012537153</v>
      </c>
      <c r="W1991">
        <v>0.71115110333987097</v>
      </c>
      <c r="X1991">
        <v>0</v>
      </c>
      <c r="Y1991">
        <v>0</v>
      </c>
    </row>
    <row r="1992" spans="1:25" x14ac:dyDescent="0.2">
      <c r="A1992" t="s">
        <v>7485</v>
      </c>
      <c r="B1992" t="s">
        <v>7486</v>
      </c>
      <c r="C1992" t="s">
        <v>7487</v>
      </c>
      <c r="D1992" t="s">
        <v>7488</v>
      </c>
      <c r="E1992" t="s">
        <v>7486</v>
      </c>
      <c r="F1992" t="s">
        <v>28</v>
      </c>
      <c r="G1992" t="s">
        <v>7486</v>
      </c>
      <c r="H1992" t="str">
        <f>"pdi-2"</f>
        <v>pdi-2</v>
      </c>
      <c r="I1992" t="s">
        <v>7488</v>
      </c>
      <c r="J1992">
        <v>10.5759071151017</v>
      </c>
      <c r="K1992">
        <v>10.8542196896541</v>
      </c>
      <c r="L1992">
        <v>12.135029977878199</v>
      </c>
      <c r="M1992">
        <v>11.3761060130647</v>
      </c>
      <c r="N1992">
        <v>11.650752730414</v>
      </c>
      <c r="O1992">
        <v>12.5514533924757</v>
      </c>
      <c r="P1992">
        <v>0.67105178444013103</v>
      </c>
      <c r="Q1992">
        <v>-0.53651341532099905</v>
      </c>
      <c r="R1992">
        <v>1.8786169842012601</v>
      </c>
      <c r="S1992">
        <v>11.648208180732301</v>
      </c>
      <c r="T1992">
        <v>1.2015246669991</v>
      </c>
      <c r="U1992">
        <v>-6.1532357616274496</v>
      </c>
      <c r="V1992">
        <v>0.251150937878372</v>
      </c>
      <c r="W1992">
        <v>0.83542293888806696</v>
      </c>
      <c r="X1992">
        <v>0</v>
      </c>
      <c r="Y1992">
        <v>0</v>
      </c>
    </row>
    <row r="1993" spans="1:25" x14ac:dyDescent="0.2">
      <c r="A1993" t="s">
        <v>7489</v>
      </c>
      <c r="B1993" t="s">
        <v>7490</v>
      </c>
      <c r="C1993" t="s">
        <v>7491</v>
      </c>
      <c r="D1993" t="s">
        <v>7492</v>
      </c>
      <c r="E1993" t="s">
        <v>7490</v>
      </c>
      <c r="F1993" t="s">
        <v>28</v>
      </c>
      <c r="G1993" t="s">
        <v>7490</v>
      </c>
      <c r="H1993" t="str">
        <f>"nhr-35"</f>
        <v>nhr-35</v>
      </c>
      <c r="I1993" t="s">
        <v>7492</v>
      </c>
      <c r="J1993" t="s">
        <v>29</v>
      </c>
      <c r="K1993">
        <v>10.7781414591049</v>
      </c>
      <c r="L1993">
        <v>11.5525629092377</v>
      </c>
      <c r="M1993">
        <v>12.066003086216201</v>
      </c>
      <c r="N1993">
        <v>11.814904626749</v>
      </c>
      <c r="O1993" t="s">
        <v>29</v>
      </c>
      <c r="P1993">
        <v>0.77510167231131699</v>
      </c>
      <c r="Q1993">
        <v>-0.407491356959926</v>
      </c>
      <c r="R1993">
        <v>1.9576947015825601</v>
      </c>
      <c r="S1993">
        <v>12.15739446715</v>
      </c>
      <c r="T1993">
        <v>1.4294480339015501</v>
      </c>
      <c r="U1993">
        <v>-5.6772613612314702</v>
      </c>
      <c r="V1993">
        <v>0.178609672251828</v>
      </c>
      <c r="W1993">
        <v>0.78109459823138605</v>
      </c>
      <c r="X1993">
        <v>0</v>
      </c>
      <c r="Y1993">
        <v>0</v>
      </c>
    </row>
    <row r="1994" spans="1:25" x14ac:dyDescent="0.2">
      <c r="A1994" t="s">
        <v>7493</v>
      </c>
      <c r="B1994" t="s">
        <v>7494</v>
      </c>
      <c r="C1994" t="s">
        <v>7495</v>
      </c>
      <c r="D1994" t="s">
        <v>7496</v>
      </c>
      <c r="E1994" t="s">
        <v>7494</v>
      </c>
      <c r="F1994" t="s">
        <v>28</v>
      </c>
      <c r="G1994" t="s">
        <v>7494</v>
      </c>
      <c r="H1994" t="str">
        <f>"stip-1"</f>
        <v>stip-1</v>
      </c>
      <c r="I1994" t="s">
        <v>7496</v>
      </c>
      <c r="J1994" t="s">
        <v>29</v>
      </c>
      <c r="K1994" t="s">
        <v>29</v>
      </c>
      <c r="L1994" t="s">
        <v>29</v>
      </c>
      <c r="M1994" t="s">
        <v>29</v>
      </c>
      <c r="N1994" t="s">
        <v>29</v>
      </c>
      <c r="O1994" t="s">
        <v>29</v>
      </c>
      <c r="P1994" t="s">
        <v>29</v>
      </c>
      <c r="Q1994" t="s">
        <v>29</v>
      </c>
      <c r="R1994" t="s">
        <v>29</v>
      </c>
      <c r="S1994">
        <v>11.3086502128122</v>
      </c>
      <c r="T1994" t="s">
        <v>29</v>
      </c>
      <c r="U1994" t="s">
        <v>29</v>
      </c>
      <c r="V1994" t="s">
        <v>29</v>
      </c>
      <c r="W1994" t="s">
        <v>29</v>
      </c>
      <c r="X1994" t="s">
        <v>29</v>
      </c>
      <c r="Y1994" t="s">
        <v>29</v>
      </c>
    </row>
    <row r="1995" spans="1:25" x14ac:dyDescent="0.2">
      <c r="A1995" t="s">
        <v>7497</v>
      </c>
      <c r="B1995" t="s">
        <v>7498</v>
      </c>
      <c r="C1995" t="s">
        <v>7499</v>
      </c>
      <c r="D1995" t="s">
        <v>7500</v>
      </c>
      <c r="E1995" t="s">
        <v>7498</v>
      </c>
      <c r="F1995" t="s">
        <v>28</v>
      </c>
      <c r="G1995" t="s">
        <v>7498</v>
      </c>
      <c r="H1995" t="str">
        <f>"hgrs-1"</f>
        <v>hgrs-1</v>
      </c>
      <c r="I1995" t="s">
        <v>7500</v>
      </c>
      <c r="J1995">
        <v>9.8104947158931708</v>
      </c>
      <c r="K1995">
        <v>10.2922969435452</v>
      </c>
      <c r="L1995">
        <v>10.7928929494407</v>
      </c>
      <c r="M1995">
        <v>10.509213727657</v>
      </c>
      <c r="N1995">
        <v>11.3651210530544</v>
      </c>
      <c r="O1995">
        <v>10.5044157519119</v>
      </c>
      <c r="P1995">
        <v>0.49435530791475601</v>
      </c>
      <c r="Q1995">
        <v>-0.44332203481475502</v>
      </c>
      <c r="R1995">
        <v>1.43203265064427</v>
      </c>
      <c r="S1995">
        <v>10.8720331851186</v>
      </c>
      <c r="T1995">
        <v>1.1128478536398401</v>
      </c>
      <c r="U1995">
        <v>-6.2563067533798398</v>
      </c>
      <c r="V1995">
        <v>0.28135759239729102</v>
      </c>
      <c r="W1995">
        <v>0.856190392347986</v>
      </c>
      <c r="X1995">
        <v>0</v>
      </c>
      <c r="Y1995">
        <v>0</v>
      </c>
    </row>
    <row r="1996" spans="1:25" x14ac:dyDescent="0.2">
      <c r="A1996" t="s">
        <v>7501</v>
      </c>
      <c r="B1996" t="s">
        <v>7502</v>
      </c>
      <c r="C1996" t="s">
        <v>7503</v>
      </c>
      <c r="D1996" t="s">
        <v>7504</v>
      </c>
      <c r="E1996" t="s">
        <v>7502</v>
      </c>
      <c r="F1996" t="s">
        <v>28</v>
      </c>
      <c r="G1996" t="s">
        <v>7502</v>
      </c>
      <c r="H1996" t="str">
        <f>"cpg-1"</f>
        <v>cpg-1</v>
      </c>
      <c r="I1996" t="s">
        <v>7504</v>
      </c>
      <c r="J1996">
        <v>13.5335207986721</v>
      </c>
      <c r="K1996">
        <v>14.608846353802999</v>
      </c>
      <c r="L1996">
        <v>16.3404661440246</v>
      </c>
      <c r="M1996">
        <v>14.846092673405099</v>
      </c>
      <c r="N1996">
        <v>12.3295166264851</v>
      </c>
      <c r="O1996">
        <v>15.754572404074599</v>
      </c>
      <c r="P1996">
        <v>-0.51755053084496105</v>
      </c>
      <c r="Q1996">
        <v>-2.1055488519997199</v>
      </c>
      <c r="R1996">
        <v>1.0704477903098</v>
      </c>
      <c r="S1996">
        <v>15.453104608611699</v>
      </c>
      <c r="T1996">
        <v>-0.68500735182255701</v>
      </c>
      <c r="U1996">
        <v>-6.6405069991671501</v>
      </c>
      <c r="V1996">
        <v>0.50211646627552597</v>
      </c>
      <c r="W1996">
        <v>0.94062983959761604</v>
      </c>
      <c r="X1996">
        <v>0</v>
      </c>
      <c r="Y1996">
        <v>0</v>
      </c>
    </row>
    <row r="1997" spans="1:25" x14ac:dyDescent="0.2">
      <c r="A1997" t="s">
        <v>7505</v>
      </c>
      <c r="B1997" t="s">
        <v>7506</v>
      </c>
      <c r="C1997" t="s">
        <v>7507</v>
      </c>
      <c r="D1997" t="s">
        <v>7508</v>
      </c>
      <c r="E1997" t="s">
        <v>7506</v>
      </c>
      <c r="F1997" t="s">
        <v>28</v>
      </c>
      <c r="G1997" t="s">
        <v>7506</v>
      </c>
      <c r="H1997" t="str">
        <f>"C08B6.3"</f>
        <v>C08B6.3</v>
      </c>
      <c r="I1997" t="s">
        <v>7508</v>
      </c>
      <c r="J1997" t="s">
        <v>29</v>
      </c>
      <c r="K1997" t="s">
        <v>29</v>
      </c>
      <c r="L1997" t="s">
        <v>29</v>
      </c>
      <c r="M1997" t="s">
        <v>29</v>
      </c>
      <c r="N1997" t="s">
        <v>29</v>
      </c>
      <c r="O1997" t="s">
        <v>29</v>
      </c>
      <c r="P1997" t="s">
        <v>29</v>
      </c>
      <c r="Q1997" t="s">
        <v>29</v>
      </c>
      <c r="R1997" t="s">
        <v>29</v>
      </c>
      <c r="S1997">
        <v>12.360122921740899</v>
      </c>
      <c r="T1997" t="s">
        <v>29</v>
      </c>
      <c r="U1997" t="s">
        <v>29</v>
      </c>
      <c r="V1997" t="s">
        <v>29</v>
      </c>
      <c r="W1997" t="s">
        <v>29</v>
      </c>
      <c r="X1997" t="s">
        <v>29</v>
      </c>
      <c r="Y1997" t="s">
        <v>29</v>
      </c>
    </row>
    <row r="1998" spans="1:25" x14ac:dyDescent="0.2">
      <c r="A1998" t="s">
        <v>7509</v>
      </c>
      <c r="B1998" t="s">
        <v>7510</v>
      </c>
      <c r="C1998" t="s">
        <v>7511</v>
      </c>
      <c r="D1998" t="s">
        <v>7512</v>
      </c>
      <c r="E1998" t="s">
        <v>7510</v>
      </c>
      <c r="F1998" t="s">
        <v>28</v>
      </c>
      <c r="G1998" t="s">
        <v>7510</v>
      </c>
      <c r="H1998" t="str">
        <f>"C08B6.8"</f>
        <v>C08B6.8</v>
      </c>
      <c r="I1998" t="s">
        <v>7512</v>
      </c>
      <c r="J1998">
        <v>13.516804315803601</v>
      </c>
      <c r="K1998">
        <v>13.5313763828881</v>
      </c>
      <c r="L1998">
        <v>13.6608455938721</v>
      </c>
      <c r="M1998">
        <v>13.683959503185999</v>
      </c>
      <c r="N1998">
        <v>12.5715816793514</v>
      </c>
      <c r="O1998">
        <v>14.1170266424368</v>
      </c>
      <c r="P1998">
        <v>-0.112152822529859</v>
      </c>
      <c r="Q1998">
        <v>-0.781339360152975</v>
      </c>
      <c r="R1998">
        <v>0.55703371509325605</v>
      </c>
      <c r="S1998">
        <v>13.3485437359027</v>
      </c>
      <c r="T1998">
        <v>-0.35547784789331599</v>
      </c>
      <c r="U1998">
        <v>-6.8162901993349898</v>
      </c>
      <c r="V1998">
        <v>0.72690507327174503</v>
      </c>
      <c r="W1998">
        <v>0.99057748145465696</v>
      </c>
      <c r="X1998">
        <v>0</v>
      </c>
      <c r="Y1998">
        <v>0</v>
      </c>
    </row>
    <row r="1999" spans="1:25" x14ac:dyDescent="0.2">
      <c r="A1999" t="s">
        <v>7513</v>
      </c>
      <c r="B1999" t="s">
        <v>7514</v>
      </c>
      <c r="C1999" t="s">
        <v>7515</v>
      </c>
      <c r="D1999" t="s">
        <v>7516</v>
      </c>
      <c r="E1999" t="s">
        <v>7514</v>
      </c>
      <c r="F1999" t="s">
        <v>28</v>
      </c>
      <c r="G1999" t="s">
        <v>7514</v>
      </c>
      <c r="H1999" t="str">
        <f>"aos-1"</f>
        <v>aos-1</v>
      </c>
      <c r="I1999" t="s">
        <v>7516</v>
      </c>
      <c r="J1999">
        <v>13.343924299698299</v>
      </c>
      <c r="K1999">
        <v>13.224851868902199</v>
      </c>
      <c r="L1999">
        <v>13.151185592537599</v>
      </c>
      <c r="M1999">
        <v>12.9559770393407</v>
      </c>
      <c r="N1999">
        <v>13.143345441003</v>
      </c>
      <c r="O1999">
        <v>13.246289148768099</v>
      </c>
      <c r="P1999">
        <v>-0.124783377342103</v>
      </c>
      <c r="Q1999">
        <v>-0.49598020520220898</v>
      </c>
      <c r="R1999">
        <v>0.24641345051800301</v>
      </c>
      <c r="S1999">
        <v>12.9928625334713</v>
      </c>
      <c r="T1999">
        <v>-0.70655340366812103</v>
      </c>
      <c r="U1999">
        <v>-6.62525811386271</v>
      </c>
      <c r="V1999">
        <v>0.488942486482629</v>
      </c>
      <c r="W1999">
        <v>0.94046689344422196</v>
      </c>
      <c r="X1999">
        <v>0</v>
      </c>
      <c r="Y1999">
        <v>0</v>
      </c>
    </row>
    <row r="2000" spans="1:25" x14ac:dyDescent="0.2">
      <c r="A2000" t="s">
        <v>7517</v>
      </c>
      <c r="B2000" t="s">
        <v>7518</v>
      </c>
      <c r="C2000" t="s">
        <v>7519</v>
      </c>
      <c r="D2000" t="s">
        <v>7520</v>
      </c>
      <c r="E2000" t="s">
        <v>7518</v>
      </c>
      <c r="F2000" t="s">
        <v>28</v>
      </c>
      <c r="G2000" t="s">
        <v>7518</v>
      </c>
      <c r="H2000" t="str">
        <f>"C08F8.2"</f>
        <v>C08F8.2</v>
      </c>
      <c r="I2000" t="s">
        <v>7520</v>
      </c>
      <c r="J2000">
        <v>11.2300397070674</v>
      </c>
      <c r="K2000">
        <v>10.6727694933401</v>
      </c>
      <c r="L2000">
        <v>11.0007740056787</v>
      </c>
      <c r="M2000">
        <v>11.4094111865566</v>
      </c>
      <c r="N2000">
        <v>10.8837426891189</v>
      </c>
      <c r="O2000">
        <v>10.2842737170552</v>
      </c>
      <c r="P2000">
        <v>-0.10871853778519</v>
      </c>
      <c r="Q2000">
        <v>-0.70425628015657005</v>
      </c>
      <c r="R2000">
        <v>0.48681920458618999</v>
      </c>
      <c r="S2000">
        <v>11.102210489514899</v>
      </c>
      <c r="T2000">
        <v>-0.39181964362143901</v>
      </c>
      <c r="U2000">
        <v>-6.8015033880548899</v>
      </c>
      <c r="V2000">
        <v>0.701134942453986</v>
      </c>
      <c r="W2000">
        <v>0.98642420921484297</v>
      </c>
      <c r="X2000">
        <v>0</v>
      </c>
      <c r="Y2000">
        <v>0</v>
      </c>
    </row>
    <row r="2001" spans="1:25" x14ac:dyDescent="0.2">
      <c r="A2001" t="s">
        <v>7521</v>
      </c>
      <c r="B2001" t="s">
        <v>7522</v>
      </c>
      <c r="C2001" t="s">
        <v>7523</v>
      </c>
      <c r="D2001" t="s">
        <v>603</v>
      </c>
      <c r="E2001" t="s">
        <v>7522</v>
      </c>
      <c r="F2001" t="s">
        <v>28</v>
      </c>
      <c r="G2001" t="s">
        <v>7522</v>
      </c>
      <c r="H2001" t="str">
        <f>"vgln-1"</f>
        <v>vgln-1</v>
      </c>
      <c r="I2001" t="s">
        <v>603</v>
      </c>
      <c r="J2001">
        <v>18.076481267950399</v>
      </c>
      <c r="K2001">
        <v>17.8722657181419</v>
      </c>
      <c r="L2001">
        <v>18.182830261130299</v>
      </c>
      <c r="M2001">
        <v>18.690050599880401</v>
      </c>
      <c r="N2001">
        <v>18.6835850586973</v>
      </c>
      <c r="O2001">
        <v>18.513904139080601</v>
      </c>
      <c r="P2001">
        <v>0.58532085014519497</v>
      </c>
      <c r="Q2001">
        <v>0.110251376945553</v>
      </c>
      <c r="R2001">
        <v>1.06039032334484</v>
      </c>
      <c r="S2001">
        <v>18.304323427999201</v>
      </c>
      <c r="T2001">
        <v>2.5895803041543601</v>
      </c>
      <c r="U2001">
        <v>-3.9121281821765699</v>
      </c>
      <c r="V2001">
        <v>1.8558213802369099E-2</v>
      </c>
      <c r="W2001">
        <v>0.27338841182928197</v>
      </c>
      <c r="X2001">
        <v>0</v>
      </c>
      <c r="Y2001">
        <v>0</v>
      </c>
    </row>
    <row r="2002" spans="1:25" x14ac:dyDescent="0.2">
      <c r="A2002" t="s">
        <v>7524</v>
      </c>
      <c r="B2002" t="s">
        <v>7525</v>
      </c>
      <c r="C2002" t="s">
        <v>7526</v>
      </c>
      <c r="D2002" t="s">
        <v>7527</v>
      </c>
      <c r="E2002" t="s">
        <v>7525</v>
      </c>
      <c r="F2002" t="s">
        <v>28</v>
      </c>
      <c r="G2002" t="s">
        <v>7525</v>
      </c>
      <c r="H2002" t="str">
        <f>"C09B8.4"</f>
        <v>C09B8.4</v>
      </c>
      <c r="I2002" t="s">
        <v>7527</v>
      </c>
      <c r="J2002">
        <v>12.310237783550299</v>
      </c>
      <c r="K2002">
        <v>12.483556701025901</v>
      </c>
      <c r="L2002">
        <v>12.341196766595599</v>
      </c>
      <c r="M2002">
        <v>11.0863386721054</v>
      </c>
      <c r="N2002">
        <v>12.1155627808654</v>
      </c>
      <c r="O2002">
        <v>10.880036221076701</v>
      </c>
      <c r="P2002">
        <v>-1.01768452570808</v>
      </c>
      <c r="Q2002">
        <v>-1.8878707118785001</v>
      </c>
      <c r="R2002">
        <v>-0.14749833953764899</v>
      </c>
      <c r="S2002">
        <v>12.455248854880701</v>
      </c>
      <c r="T2002">
        <v>-2.4686015612699399</v>
      </c>
      <c r="U2002">
        <v>-4.1598869107076801</v>
      </c>
      <c r="V2002">
        <v>2.4542087964787698E-2</v>
      </c>
      <c r="W2002">
        <v>0.33473798666726901</v>
      </c>
      <c r="X2002">
        <v>-1</v>
      </c>
      <c r="Y2002">
        <v>0</v>
      </c>
    </row>
    <row r="2003" spans="1:25" x14ac:dyDescent="0.2">
      <c r="A2003" t="s">
        <v>7528</v>
      </c>
      <c r="B2003" t="s">
        <v>7529</v>
      </c>
      <c r="C2003" t="s">
        <v>7530</v>
      </c>
      <c r="D2003" t="s">
        <v>7531</v>
      </c>
      <c r="E2003" t="s">
        <v>7529</v>
      </c>
      <c r="F2003" t="s">
        <v>28</v>
      </c>
      <c r="G2003" t="s">
        <v>7529</v>
      </c>
      <c r="H2003" t="str">
        <f>"ipp-5"</f>
        <v>ipp-5</v>
      </c>
      <c r="I2003" t="s">
        <v>7531</v>
      </c>
      <c r="J2003">
        <v>12.7590916279252</v>
      </c>
      <c r="K2003">
        <v>12.4988062551587</v>
      </c>
      <c r="L2003">
        <v>12.8969457837024</v>
      </c>
      <c r="M2003">
        <v>12.637130655218799</v>
      </c>
      <c r="N2003">
        <v>12.4718134621058</v>
      </c>
      <c r="O2003">
        <v>11.4252408381079</v>
      </c>
      <c r="P2003">
        <v>-0.54021957045129398</v>
      </c>
      <c r="Q2003">
        <v>-1.2296646558489801</v>
      </c>
      <c r="R2003">
        <v>0.149225514946393</v>
      </c>
      <c r="S2003">
        <v>12.219232642524799</v>
      </c>
      <c r="T2003">
        <v>-1.6711377083619801</v>
      </c>
      <c r="U2003">
        <v>-5.5321060943245399</v>
      </c>
      <c r="V2003">
        <v>0.115565759842404</v>
      </c>
      <c r="W2003">
        <v>0.69878630773589001</v>
      </c>
      <c r="X2003">
        <v>0</v>
      </c>
      <c r="Y2003">
        <v>0</v>
      </c>
    </row>
    <row r="2004" spans="1:25" x14ac:dyDescent="0.2">
      <c r="A2004" t="s">
        <v>7532</v>
      </c>
      <c r="B2004" t="s">
        <v>7533</v>
      </c>
      <c r="C2004" t="s">
        <v>7534</v>
      </c>
      <c r="D2004" t="s">
        <v>204</v>
      </c>
      <c r="E2004" t="s">
        <v>7533</v>
      </c>
      <c r="F2004" t="s">
        <v>28</v>
      </c>
      <c r="G2004" t="s">
        <v>7533</v>
      </c>
      <c r="H2004" t="str">
        <f>"hsp-25"</f>
        <v>hsp-25</v>
      </c>
      <c r="I2004" t="s">
        <v>204</v>
      </c>
      <c r="J2004" t="s">
        <v>29</v>
      </c>
      <c r="K2004" t="s">
        <v>29</v>
      </c>
      <c r="L2004">
        <v>12.760210401977901</v>
      </c>
      <c r="M2004">
        <v>12.4581900636725</v>
      </c>
      <c r="N2004">
        <v>12.2777961572158</v>
      </c>
      <c r="O2004" t="s">
        <v>29</v>
      </c>
      <c r="P2004">
        <v>-0.392217291533699</v>
      </c>
      <c r="Q2004">
        <v>-1.2812915725255201</v>
      </c>
      <c r="R2004">
        <v>0.49685698945812001</v>
      </c>
      <c r="S2004">
        <v>12.5299986389069</v>
      </c>
      <c r="T2004">
        <v>-0.99975364058092198</v>
      </c>
      <c r="U2004">
        <v>-5.9692796936177999</v>
      </c>
      <c r="V2004">
        <v>0.34384823361077799</v>
      </c>
      <c r="W2004">
        <v>0.87889932523553704</v>
      </c>
      <c r="X2004">
        <v>0</v>
      </c>
      <c r="Y2004">
        <v>0</v>
      </c>
    </row>
    <row r="2005" spans="1:25" x14ac:dyDescent="0.2">
      <c r="A2005" t="s">
        <v>7535</v>
      </c>
      <c r="B2005" t="s">
        <v>7536</v>
      </c>
      <c r="C2005" t="s">
        <v>7537</v>
      </c>
      <c r="D2005" t="s">
        <v>7538</v>
      </c>
      <c r="E2005" t="s">
        <v>7536</v>
      </c>
      <c r="F2005" t="s">
        <v>28</v>
      </c>
      <c r="G2005" t="s">
        <v>7536</v>
      </c>
      <c r="H2005" t="str">
        <f>"pak-1"</f>
        <v>pak-1</v>
      </c>
      <c r="I2005" t="s">
        <v>7538</v>
      </c>
      <c r="J2005">
        <v>12.4633006639323</v>
      </c>
      <c r="K2005">
        <v>11.8588009957128</v>
      </c>
      <c r="L2005">
        <v>12.3276865534744</v>
      </c>
      <c r="M2005">
        <v>12.439254381398801</v>
      </c>
      <c r="N2005">
        <v>12.389053645437</v>
      </c>
      <c r="O2005">
        <v>11.555107519178501</v>
      </c>
      <c r="P2005">
        <v>-8.8790889035104598E-2</v>
      </c>
      <c r="Q2005">
        <v>-0.67426702368421498</v>
      </c>
      <c r="R2005">
        <v>0.49668524561400601</v>
      </c>
      <c r="S2005">
        <v>11.9245678435804</v>
      </c>
      <c r="T2005">
        <v>-0.32166865070850298</v>
      </c>
      <c r="U2005">
        <v>-6.8282444908059103</v>
      </c>
      <c r="V2005">
        <v>0.75189510573391805</v>
      </c>
      <c r="W2005">
        <v>0.99249220828099705</v>
      </c>
      <c r="X2005">
        <v>0</v>
      </c>
      <c r="Y2005">
        <v>0</v>
      </c>
    </row>
    <row r="2006" spans="1:25" x14ac:dyDescent="0.2">
      <c r="A2006" t="s">
        <v>7539</v>
      </c>
      <c r="B2006" t="s">
        <v>7540</v>
      </c>
      <c r="C2006" t="s">
        <v>7541</v>
      </c>
      <c r="D2006" t="s">
        <v>7542</v>
      </c>
      <c r="E2006" t="s">
        <v>7540</v>
      </c>
      <c r="F2006" t="s">
        <v>28</v>
      </c>
      <c r="G2006" t="s">
        <v>7540</v>
      </c>
      <c r="H2006" t="str">
        <f>"dgk-1"</f>
        <v>dgk-1</v>
      </c>
      <c r="I2006" t="s">
        <v>7542</v>
      </c>
      <c r="J2006">
        <v>11.9369578798088</v>
      </c>
      <c r="K2006">
        <v>11.4553125292712</v>
      </c>
      <c r="L2006">
        <v>11.5608197377435</v>
      </c>
      <c r="M2006">
        <v>11.6469396766018</v>
      </c>
      <c r="N2006">
        <v>11.363425084811499</v>
      </c>
      <c r="O2006" t="s">
        <v>29</v>
      </c>
      <c r="P2006">
        <v>-0.14584766823454101</v>
      </c>
      <c r="Q2006">
        <v>-0.63171372024492201</v>
      </c>
      <c r="R2006">
        <v>0.34001838377583898</v>
      </c>
      <c r="S2006">
        <v>11.488690805923</v>
      </c>
      <c r="T2006">
        <v>-0.64903808128626395</v>
      </c>
      <c r="U2006">
        <v>-6.5517905728358503</v>
      </c>
      <c r="V2006">
        <v>0.52770479621173005</v>
      </c>
      <c r="W2006">
        <v>0.94259531549477504</v>
      </c>
      <c r="X2006">
        <v>0</v>
      </c>
      <c r="Y2006">
        <v>0</v>
      </c>
    </row>
    <row r="2007" spans="1:25" x14ac:dyDescent="0.2">
      <c r="A2007" t="s">
        <v>7543</v>
      </c>
      <c r="B2007" t="s">
        <v>7544</v>
      </c>
      <c r="C2007" t="s">
        <v>7545</v>
      </c>
      <c r="D2007" t="s">
        <v>7546</v>
      </c>
      <c r="E2007" t="s">
        <v>7544</v>
      </c>
      <c r="F2007" t="s">
        <v>28</v>
      </c>
      <c r="G2007" t="s">
        <v>7544</v>
      </c>
      <c r="H2007" t="str">
        <f>"C09G9.1"</f>
        <v>C09G9.1</v>
      </c>
      <c r="I2007" t="s">
        <v>7546</v>
      </c>
      <c r="J2007">
        <v>13.0728897434568</v>
      </c>
      <c r="K2007">
        <v>13.449581631220299</v>
      </c>
      <c r="L2007">
        <v>13.2998407122502</v>
      </c>
      <c r="M2007">
        <v>13.171559171136</v>
      </c>
      <c r="N2007">
        <v>13.0991855146411</v>
      </c>
      <c r="O2007">
        <v>13.1012331071594</v>
      </c>
      <c r="P2007">
        <v>-0.15011143133024199</v>
      </c>
      <c r="Q2007">
        <v>-0.65949414273278295</v>
      </c>
      <c r="R2007">
        <v>0.35927128007230003</v>
      </c>
      <c r="S2007">
        <v>13.399262269157401</v>
      </c>
      <c r="T2007">
        <v>-0.62505623985638703</v>
      </c>
      <c r="U2007">
        <v>-6.6795031235180904</v>
      </c>
      <c r="V2007">
        <v>0.540804374787764</v>
      </c>
      <c r="W2007">
        <v>0.94725981927803005</v>
      </c>
      <c r="X2007">
        <v>0</v>
      </c>
      <c r="Y2007">
        <v>0</v>
      </c>
    </row>
    <row r="2008" spans="1:25" x14ac:dyDescent="0.2">
      <c r="A2008" t="s">
        <v>7547</v>
      </c>
      <c r="B2008" t="s">
        <v>7548</v>
      </c>
      <c r="C2008" t="s">
        <v>7549</v>
      </c>
      <c r="D2008" t="s">
        <v>534</v>
      </c>
      <c r="E2008" t="s">
        <v>7548</v>
      </c>
      <c r="F2008" t="s">
        <v>28</v>
      </c>
      <c r="G2008" t="s">
        <v>7548</v>
      </c>
      <c r="H2008" t="str">
        <f>"npp-23"</f>
        <v>npp-23</v>
      </c>
      <c r="I2008" t="s">
        <v>534</v>
      </c>
      <c r="J2008">
        <v>14.4690225831232</v>
      </c>
      <c r="K2008">
        <v>14.356405910861801</v>
      </c>
      <c r="L2008">
        <v>14.157252083796701</v>
      </c>
      <c r="M2008">
        <v>14.0955117934421</v>
      </c>
      <c r="N2008">
        <v>14.085374334439001</v>
      </c>
      <c r="O2008">
        <v>14.286542596000301</v>
      </c>
      <c r="P2008">
        <v>-0.17175061796678501</v>
      </c>
      <c r="Q2008">
        <v>-0.61338622347772498</v>
      </c>
      <c r="R2008">
        <v>0.26988498754415602</v>
      </c>
      <c r="S2008">
        <v>14.0918248849318</v>
      </c>
      <c r="T2008">
        <v>-0.82088863254434796</v>
      </c>
      <c r="U2008">
        <v>-6.5362294159808103</v>
      </c>
      <c r="V2008">
        <v>0.42314180283903302</v>
      </c>
      <c r="W2008">
        <v>0.91512503332874395</v>
      </c>
      <c r="X2008">
        <v>0</v>
      </c>
      <c r="Y2008">
        <v>0</v>
      </c>
    </row>
    <row r="2009" spans="1:25" x14ac:dyDescent="0.2">
      <c r="A2009" t="s">
        <v>7550</v>
      </c>
      <c r="B2009" t="s">
        <v>7551</v>
      </c>
      <c r="C2009" t="s">
        <v>7552</v>
      </c>
      <c r="D2009" t="s">
        <v>7553</v>
      </c>
      <c r="E2009" t="s">
        <v>7551</v>
      </c>
      <c r="F2009" t="s">
        <v>28</v>
      </c>
      <c r="G2009" t="s">
        <v>7551</v>
      </c>
      <c r="H2009" t="str">
        <f>"nuo-1"</f>
        <v>nuo-1</v>
      </c>
      <c r="I2009" t="s">
        <v>7553</v>
      </c>
      <c r="J2009">
        <v>13.22948068991</v>
      </c>
      <c r="K2009">
        <v>13.4784614968487</v>
      </c>
      <c r="L2009">
        <v>13.0174017211761</v>
      </c>
      <c r="M2009">
        <v>13.109634986644799</v>
      </c>
      <c r="N2009">
        <v>13.014038605639801</v>
      </c>
      <c r="O2009">
        <v>12.8979370256426</v>
      </c>
      <c r="P2009">
        <v>-0.23457776333586899</v>
      </c>
      <c r="Q2009">
        <v>-0.62445080778863504</v>
      </c>
      <c r="R2009">
        <v>0.155295281116897</v>
      </c>
      <c r="S2009">
        <v>13.281675102818999</v>
      </c>
      <c r="T2009">
        <v>-1.26460864034928</v>
      </c>
      <c r="U2009">
        <v>-6.0825077004258903</v>
      </c>
      <c r="V2009">
        <v>0.22223406933742401</v>
      </c>
      <c r="W2009">
        <v>0.79911244910630697</v>
      </c>
      <c r="X2009">
        <v>0</v>
      </c>
      <c r="Y2009">
        <v>0</v>
      </c>
    </row>
    <row r="2010" spans="1:25" x14ac:dyDescent="0.2">
      <c r="A2010" t="s">
        <v>7554</v>
      </c>
      <c r="B2010" t="s">
        <v>7555</v>
      </c>
      <c r="C2010" t="s">
        <v>7556</v>
      </c>
      <c r="D2010" t="s">
        <v>3617</v>
      </c>
      <c r="E2010" t="s">
        <v>7555</v>
      </c>
      <c r="F2010" t="s">
        <v>28</v>
      </c>
      <c r="G2010" t="s">
        <v>7555</v>
      </c>
      <c r="H2010" t="str">
        <f>"apc-17"</f>
        <v>apc-17</v>
      </c>
      <c r="I2010" t="s">
        <v>3617</v>
      </c>
      <c r="J2010">
        <v>10.734389588838599</v>
      </c>
      <c r="K2010" t="s">
        <v>29</v>
      </c>
      <c r="L2010">
        <v>12.076821595395099</v>
      </c>
      <c r="M2010" t="s">
        <v>29</v>
      </c>
      <c r="N2010">
        <v>11.730702975420201</v>
      </c>
      <c r="O2010">
        <v>12.953280816168499</v>
      </c>
      <c r="P2010">
        <v>0.93638630367746201</v>
      </c>
      <c r="Q2010">
        <v>-0.17849933640385701</v>
      </c>
      <c r="R2010">
        <v>2.0512719437587799</v>
      </c>
      <c r="S2010">
        <v>12.6217293010055</v>
      </c>
      <c r="T2010">
        <v>1.80267162942555</v>
      </c>
      <c r="U2010">
        <v>-5.1439404725915496</v>
      </c>
      <c r="V2010">
        <v>9.3164567056112604E-2</v>
      </c>
      <c r="W2010">
        <v>0.63555990474004798</v>
      </c>
      <c r="X2010">
        <v>0</v>
      </c>
      <c r="Y2010">
        <v>0</v>
      </c>
    </row>
    <row r="2011" spans="1:25" x14ac:dyDescent="0.2">
      <c r="A2011" t="s">
        <v>7557</v>
      </c>
      <c r="B2011" t="s">
        <v>7558</v>
      </c>
      <c r="C2011" t="s">
        <v>7559</v>
      </c>
      <c r="D2011" t="s">
        <v>7560</v>
      </c>
      <c r="E2011" t="s">
        <v>7558</v>
      </c>
      <c r="F2011" t="s">
        <v>28</v>
      </c>
      <c r="G2011" t="s">
        <v>7561</v>
      </c>
      <c r="H2011" t="str">
        <f>"C10C5.3"</f>
        <v>C10C5.3</v>
      </c>
      <c r="I2011" t="s">
        <v>7560</v>
      </c>
      <c r="J2011" t="s">
        <v>29</v>
      </c>
      <c r="K2011" t="s">
        <v>29</v>
      </c>
      <c r="L2011" t="s">
        <v>29</v>
      </c>
      <c r="M2011" t="s">
        <v>29</v>
      </c>
      <c r="N2011" t="s">
        <v>29</v>
      </c>
      <c r="O2011" t="s">
        <v>29</v>
      </c>
      <c r="P2011" t="s">
        <v>29</v>
      </c>
      <c r="Q2011" t="s">
        <v>29</v>
      </c>
      <c r="R2011" t="s">
        <v>29</v>
      </c>
      <c r="S2011">
        <v>12.117121190353201</v>
      </c>
      <c r="T2011" t="s">
        <v>29</v>
      </c>
      <c r="U2011" t="s">
        <v>29</v>
      </c>
      <c r="V2011" t="s">
        <v>29</v>
      </c>
      <c r="W2011" t="s">
        <v>29</v>
      </c>
      <c r="X2011" t="s">
        <v>29</v>
      </c>
      <c r="Y2011" t="s">
        <v>29</v>
      </c>
    </row>
    <row r="2012" spans="1:25" x14ac:dyDescent="0.2">
      <c r="A2012" t="s">
        <v>7562</v>
      </c>
      <c r="B2012" t="s">
        <v>7563</v>
      </c>
      <c r="C2012" t="s">
        <v>7564</v>
      </c>
      <c r="D2012" t="s">
        <v>603</v>
      </c>
      <c r="E2012" t="s">
        <v>7563</v>
      </c>
      <c r="F2012" t="s">
        <v>28</v>
      </c>
      <c r="G2012" t="s">
        <v>7563</v>
      </c>
      <c r="H2012" t="str">
        <f>"fubl-1"</f>
        <v>fubl-1</v>
      </c>
      <c r="I2012" t="s">
        <v>603</v>
      </c>
      <c r="J2012">
        <v>13.5788138089956</v>
      </c>
      <c r="K2012">
        <v>13.457425514935499</v>
      </c>
      <c r="L2012">
        <v>13.5151261604274</v>
      </c>
      <c r="M2012">
        <v>13.3784581786903</v>
      </c>
      <c r="N2012">
        <v>13.6870344380775</v>
      </c>
      <c r="O2012">
        <v>13.272753973552</v>
      </c>
      <c r="P2012">
        <v>-7.1039631346204501E-2</v>
      </c>
      <c r="Q2012">
        <v>-0.48242004587876802</v>
      </c>
      <c r="R2012">
        <v>0.34034078318635902</v>
      </c>
      <c r="S2012">
        <v>13.572941181645501</v>
      </c>
      <c r="T2012">
        <v>-0.36450803050087399</v>
      </c>
      <c r="U2012">
        <v>-6.81312502879726</v>
      </c>
      <c r="V2012">
        <v>0.72000092490082701</v>
      </c>
      <c r="W2012">
        <v>0.98910356032152003</v>
      </c>
      <c r="X2012">
        <v>0</v>
      </c>
      <c r="Y2012">
        <v>0</v>
      </c>
    </row>
    <row r="2013" spans="1:25" x14ac:dyDescent="0.2">
      <c r="A2013" t="s">
        <v>7565</v>
      </c>
      <c r="B2013" t="s">
        <v>7566</v>
      </c>
      <c r="C2013" t="s">
        <v>7567</v>
      </c>
      <c r="D2013" t="s">
        <v>7568</v>
      </c>
      <c r="E2013" t="s">
        <v>7566</v>
      </c>
      <c r="F2013" t="s">
        <v>28</v>
      </c>
      <c r="G2013" t="s">
        <v>7566</v>
      </c>
      <c r="H2013" t="str">
        <f>"daf-36"</f>
        <v>daf-36</v>
      </c>
      <c r="I2013" t="s">
        <v>7568</v>
      </c>
      <c r="J2013">
        <v>13.495257537762599</v>
      </c>
      <c r="K2013">
        <v>13.258016781939901</v>
      </c>
      <c r="L2013">
        <v>13.270934204600399</v>
      </c>
      <c r="M2013">
        <v>12.9585844495692</v>
      </c>
      <c r="N2013">
        <v>13.311535954270999</v>
      </c>
      <c r="O2013">
        <v>12.712406116006299</v>
      </c>
      <c r="P2013">
        <v>-0.34722733481881601</v>
      </c>
      <c r="Q2013">
        <v>-0.86008313822287796</v>
      </c>
      <c r="R2013">
        <v>0.16562846858524599</v>
      </c>
      <c r="S2013">
        <v>13.1531670123655</v>
      </c>
      <c r="T2013">
        <v>-1.44397687586968</v>
      </c>
      <c r="U2013">
        <v>-5.8527112281324003</v>
      </c>
      <c r="V2013">
        <v>0.169449722195438</v>
      </c>
      <c r="W2013">
        <v>0.76934334988597297</v>
      </c>
      <c r="X2013">
        <v>0</v>
      </c>
      <c r="Y2013">
        <v>0</v>
      </c>
    </row>
    <row r="2014" spans="1:25" x14ac:dyDescent="0.2">
      <c r="A2014" t="s">
        <v>7569</v>
      </c>
      <c r="B2014" t="s">
        <v>7570</v>
      </c>
      <c r="C2014" t="s">
        <v>7571</v>
      </c>
      <c r="D2014" t="s">
        <v>7572</v>
      </c>
      <c r="E2014" t="s">
        <v>7570</v>
      </c>
      <c r="F2014" t="s">
        <v>28</v>
      </c>
      <c r="G2014" t="s">
        <v>7570</v>
      </c>
      <c r="H2014" t="str">
        <f>"akt-1"</f>
        <v>akt-1</v>
      </c>
      <c r="I2014" t="s">
        <v>7572</v>
      </c>
      <c r="J2014">
        <v>15.2111837544313</v>
      </c>
      <c r="K2014">
        <v>15.264219421424</v>
      </c>
      <c r="L2014">
        <v>14.7785197179162</v>
      </c>
      <c r="M2014">
        <v>15.010583018958499</v>
      </c>
      <c r="N2014">
        <v>14.8098744410453</v>
      </c>
      <c r="O2014">
        <v>15.0646344063521</v>
      </c>
      <c r="P2014">
        <v>-0.12294367580523299</v>
      </c>
      <c r="Q2014">
        <v>-0.52373593937021101</v>
      </c>
      <c r="R2014">
        <v>0.27784858775974403</v>
      </c>
      <c r="S2014">
        <v>14.911452748114</v>
      </c>
      <c r="T2014">
        <v>-0.64473222398659702</v>
      </c>
      <c r="U2014">
        <v>-6.6678074938117096</v>
      </c>
      <c r="V2014">
        <v>0.52728020065202097</v>
      </c>
      <c r="W2014">
        <v>0.94259531549477504</v>
      </c>
      <c r="X2014">
        <v>0</v>
      </c>
      <c r="Y2014">
        <v>0</v>
      </c>
    </row>
    <row r="2015" spans="1:25" x14ac:dyDescent="0.2">
      <c r="A2015" t="s">
        <v>7573</v>
      </c>
      <c r="B2015" t="s">
        <v>7574</v>
      </c>
      <c r="C2015" t="s">
        <v>7575</v>
      </c>
      <c r="D2015" t="s">
        <v>7576</v>
      </c>
      <c r="E2015" t="s">
        <v>7574</v>
      </c>
      <c r="F2015" t="s">
        <v>28</v>
      </c>
      <c r="G2015" t="s">
        <v>7574</v>
      </c>
      <c r="H2015" t="str">
        <f>"wdr-5.1"</f>
        <v>wdr-5.1</v>
      </c>
      <c r="I2015" t="s">
        <v>7576</v>
      </c>
      <c r="J2015">
        <v>12.683505096581801</v>
      </c>
      <c r="K2015">
        <v>12.452053513888</v>
      </c>
      <c r="L2015">
        <v>12.3984591737442</v>
      </c>
      <c r="M2015">
        <v>12.6144832218266</v>
      </c>
      <c r="N2015">
        <v>12.498950064631099</v>
      </c>
      <c r="O2015">
        <v>12.724340192005901</v>
      </c>
      <c r="P2015">
        <v>0.101251898083193</v>
      </c>
      <c r="Q2015">
        <v>-0.41906617514165201</v>
      </c>
      <c r="R2015">
        <v>0.62156997130803804</v>
      </c>
      <c r="S2015">
        <v>12.595216242870601</v>
      </c>
      <c r="T2015">
        <v>0.41075633965644898</v>
      </c>
      <c r="U2015">
        <v>-6.7945003015076999</v>
      </c>
      <c r="V2015">
        <v>0.68641378062455705</v>
      </c>
      <c r="W2015">
        <v>0.98642420921484297</v>
      </c>
      <c r="X2015">
        <v>0</v>
      </c>
      <c r="Y2015">
        <v>0</v>
      </c>
    </row>
    <row r="2016" spans="1:25" x14ac:dyDescent="0.2">
      <c r="A2016" t="s">
        <v>7577</v>
      </c>
      <c r="B2016" t="s">
        <v>7578</v>
      </c>
      <c r="C2016" t="s">
        <v>7579</v>
      </c>
      <c r="D2016" t="s">
        <v>7580</v>
      </c>
      <c r="E2016" t="s">
        <v>7578</v>
      </c>
      <c r="F2016" t="s">
        <v>28</v>
      </c>
      <c r="G2016" t="s">
        <v>7578</v>
      </c>
      <c r="H2016" t="str">
        <f>"pdi-1"</f>
        <v>pdi-1</v>
      </c>
      <c r="I2016" t="s">
        <v>7580</v>
      </c>
      <c r="J2016" t="s">
        <v>29</v>
      </c>
      <c r="K2016">
        <v>14.2549302293497</v>
      </c>
      <c r="L2016">
        <v>11.881528859479999</v>
      </c>
      <c r="M2016">
        <v>12.089034400778599</v>
      </c>
      <c r="N2016" t="s">
        <v>29</v>
      </c>
      <c r="O2016">
        <v>12.2636331468672</v>
      </c>
      <c r="P2016">
        <v>-0.89189577059194602</v>
      </c>
      <c r="Q2016">
        <v>-2.24646557533308</v>
      </c>
      <c r="R2016">
        <v>0.46267403414918701</v>
      </c>
      <c r="S2016">
        <v>11.998714701971799</v>
      </c>
      <c r="T2016">
        <v>-1.4132031830038601</v>
      </c>
      <c r="U2016">
        <v>-5.6986093933623803</v>
      </c>
      <c r="V2016">
        <v>0.179604767870918</v>
      </c>
      <c r="W2016">
        <v>0.78295732499061499</v>
      </c>
      <c r="X2016">
        <v>0</v>
      </c>
      <c r="Y2016">
        <v>0</v>
      </c>
    </row>
    <row r="2017" spans="1:25" x14ac:dyDescent="0.2">
      <c r="A2017" t="s">
        <v>7581</v>
      </c>
      <c r="B2017" t="s">
        <v>7582</v>
      </c>
      <c r="C2017" t="s">
        <v>7583</v>
      </c>
      <c r="D2017" t="s">
        <v>7584</v>
      </c>
      <c r="E2017" t="s">
        <v>7582</v>
      </c>
      <c r="F2017" t="s">
        <v>28</v>
      </c>
      <c r="G2017" t="s">
        <v>7582</v>
      </c>
      <c r="H2017" t="str">
        <f>"nrde-1"</f>
        <v>nrde-1</v>
      </c>
      <c r="I2017" t="s">
        <v>7584</v>
      </c>
      <c r="J2017" t="s">
        <v>29</v>
      </c>
      <c r="K2017" t="s">
        <v>29</v>
      </c>
      <c r="L2017" t="s">
        <v>29</v>
      </c>
      <c r="M2017" t="s">
        <v>29</v>
      </c>
      <c r="N2017">
        <v>12.3418384885194</v>
      </c>
      <c r="O2017" t="s">
        <v>29</v>
      </c>
      <c r="P2017" t="s">
        <v>29</v>
      </c>
      <c r="Q2017" t="s">
        <v>29</v>
      </c>
      <c r="R2017" t="s">
        <v>29</v>
      </c>
      <c r="S2017">
        <v>12.339375513359</v>
      </c>
      <c r="T2017" t="s">
        <v>29</v>
      </c>
      <c r="U2017" t="s">
        <v>29</v>
      </c>
      <c r="V2017" t="s">
        <v>29</v>
      </c>
      <c r="W2017" t="s">
        <v>29</v>
      </c>
      <c r="X2017" t="s">
        <v>29</v>
      </c>
      <c r="Y2017" t="s">
        <v>29</v>
      </c>
    </row>
    <row r="2018" spans="1:25" x14ac:dyDescent="0.2">
      <c r="A2018" t="s">
        <v>7585</v>
      </c>
      <c r="B2018" t="s">
        <v>7586</v>
      </c>
      <c r="C2018" t="s">
        <v>7587</v>
      </c>
      <c r="D2018" t="s">
        <v>7588</v>
      </c>
      <c r="E2018" t="s">
        <v>7586</v>
      </c>
      <c r="F2018" t="s">
        <v>28</v>
      </c>
      <c r="G2018" t="s">
        <v>7586</v>
      </c>
      <c r="H2018" t="str">
        <f>"C14C10.5"</f>
        <v>C14C10.5</v>
      </c>
      <c r="I2018" t="s">
        <v>7588</v>
      </c>
      <c r="J2018">
        <v>14.831129991942101</v>
      </c>
      <c r="K2018">
        <v>14.6620844116794</v>
      </c>
      <c r="L2018">
        <v>14.522072895140701</v>
      </c>
      <c r="M2018">
        <v>14.5896190032616</v>
      </c>
      <c r="N2018">
        <v>14.4849870175478</v>
      </c>
      <c r="O2018">
        <v>14.542043477762</v>
      </c>
      <c r="P2018">
        <v>-0.13287926673029701</v>
      </c>
      <c r="Q2018">
        <v>-0.51230686358336497</v>
      </c>
      <c r="R2018">
        <v>0.246548330122771</v>
      </c>
      <c r="S2018">
        <v>14.5181667724466</v>
      </c>
      <c r="T2018">
        <v>-0.73607288685307404</v>
      </c>
      <c r="U2018">
        <v>-6.6036426127570396</v>
      </c>
      <c r="V2018">
        <v>0.47122566496945101</v>
      </c>
      <c r="W2018">
        <v>0.93056407806222996</v>
      </c>
      <c r="X2018">
        <v>0</v>
      </c>
      <c r="Y2018">
        <v>0</v>
      </c>
    </row>
    <row r="2019" spans="1:25" x14ac:dyDescent="0.2">
      <c r="A2019" t="s">
        <v>7589</v>
      </c>
      <c r="B2019" t="s">
        <v>7590</v>
      </c>
      <c r="C2019" t="s">
        <v>7591</v>
      </c>
      <c r="D2019" t="s">
        <v>7592</v>
      </c>
      <c r="E2019" t="s">
        <v>7590</v>
      </c>
      <c r="F2019" t="s">
        <v>28</v>
      </c>
      <c r="G2019" t="s">
        <v>7590</v>
      </c>
      <c r="H2019" t="str">
        <f>"C14C10.2"</f>
        <v>C14C10.2</v>
      </c>
      <c r="I2019" t="s">
        <v>7592</v>
      </c>
      <c r="J2019">
        <v>11.8051384119735</v>
      </c>
      <c r="K2019">
        <v>11.9208710317151</v>
      </c>
      <c r="L2019">
        <v>11.306858972956899</v>
      </c>
      <c r="M2019">
        <v>11.3927203824376</v>
      </c>
      <c r="N2019">
        <v>11.989778768410799</v>
      </c>
      <c r="O2019">
        <v>11.945748397646801</v>
      </c>
      <c r="P2019">
        <v>9.8459710616591395E-2</v>
      </c>
      <c r="Q2019">
        <v>-0.49042619301097001</v>
      </c>
      <c r="R2019">
        <v>0.68734561424415297</v>
      </c>
      <c r="S2019">
        <v>12.2060698436387</v>
      </c>
      <c r="T2019">
        <v>0.35463118743536298</v>
      </c>
      <c r="U2019">
        <v>-6.8166039142686303</v>
      </c>
      <c r="V2019">
        <v>0.72752714627958703</v>
      </c>
      <c r="W2019">
        <v>0.99057748145465696</v>
      </c>
      <c r="X2019">
        <v>0</v>
      </c>
      <c r="Y2019">
        <v>0</v>
      </c>
    </row>
    <row r="2020" spans="1:25" x14ac:dyDescent="0.2">
      <c r="A2020" t="s">
        <v>7593</v>
      </c>
      <c r="B2020" t="s">
        <v>7594</v>
      </c>
      <c r="C2020" t="s">
        <v>7595</v>
      </c>
      <c r="D2020" t="s">
        <v>7596</v>
      </c>
      <c r="E2020" t="s">
        <v>7594</v>
      </c>
      <c r="F2020" t="s">
        <v>28</v>
      </c>
      <c r="G2020" t="s">
        <v>7594</v>
      </c>
      <c r="H2020" t="str">
        <f>"mma-1"</f>
        <v>mma-1</v>
      </c>
      <c r="I2020" t="s">
        <v>7596</v>
      </c>
      <c r="J2020">
        <v>13.4027329400254</v>
      </c>
      <c r="K2020">
        <v>13.506464157270599</v>
      </c>
      <c r="L2020">
        <v>13.255266583252901</v>
      </c>
      <c r="M2020">
        <v>13.275390256370599</v>
      </c>
      <c r="N2020">
        <v>13.226735252645801</v>
      </c>
      <c r="O2020">
        <v>13.2120765518405</v>
      </c>
      <c r="P2020">
        <v>-0.15008720656404301</v>
      </c>
      <c r="Q2020">
        <v>-0.64993511258478498</v>
      </c>
      <c r="R2020">
        <v>0.34976069945669802</v>
      </c>
      <c r="S2020">
        <v>13.8850251019726</v>
      </c>
      <c r="T2020">
        <v>-0.63380521841001103</v>
      </c>
      <c r="U2020">
        <v>-6.6744293612290901</v>
      </c>
      <c r="V2020">
        <v>0.53469536502853499</v>
      </c>
      <c r="W2020">
        <v>0.94494516919629801</v>
      </c>
      <c r="X2020">
        <v>0</v>
      </c>
      <c r="Y2020">
        <v>0</v>
      </c>
    </row>
    <row r="2021" spans="1:25" x14ac:dyDescent="0.2">
      <c r="A2021" t="s">
        <v>7597</v>
      </c>
      <c r="B2021" t="s">
        <v>7598</v>
      </c>
      <c r="C2021" t="s">
        <v>7599</v>
      </c>
      <c r="D2021" t="s">
        <v>2791</v>
      </c>
      <c r="E2021" t="s">
        <v>7598</v>
      </c>
      <c r="F2021" t="s">
        <v>28</v>
      </c>
      <c r="G2021" t="s">
        <v>7598</v>
      </c>
      <c r="H2021" t="str">
        <f>"mut-14"</f>
        <v>mut-14</v>
      </c>
      <c r="I2021" t="s">
        <v>2791</v>
      </c>
      <c r="J2021">
        <v>12.038587780759499</v>
      </c>
      <c r="K2021" t="s">
        <v>29</v>
      </c>
      <c r="L2021">
        <v>12.530814946174299</v>
      </c>
      <c r="M2021">
        <v>12.6233798947269</v>
      </c>
      <c r="N2021">
        <v>12.6916861903649</v>
      </c>
      <c r="O2021">
        <v>12.7010552162892</v>
      </c>
      <c r="P2021">
        <v>0.38733907032681503</v>
      </c>
      <c r="Q2021">
        <v>-0.267246800563123</v>
      </c>
      <c r="R2021">
        <v>1.0419249412167499</v>
      </c>
      <c r="S2021">
        <v>12.1940304356742</v>
      </c>
      <c r="T2021">
        <v>1.27003757987119</v>
      </c>
      <c r="U2021">
        <v>-5.9653744815903096</v>
      </c>
      <c r="V2021">
        <v>0.22492780236464099</v>
      </c>
      <c r="W2021">
        <v>0.80231481915275904</v>
      </c>
      <c r="X2021">
        <v>0</v>
      </c>
      <c r="Y2021">
        <v>0</v>
      </c>
    </row>
    <row r="2022" spans="1:25" x14ac:dyDescent="0.2">
      <c r="A2022" t="s">
        <v>7600</v>
      </c>
      <c r="B2022" t="s">
        <v>7601</v>
      </c>
      <c r="C2022" t="s">
        <v>7602</v>
      </c>
      <c r="D2022" t="s">
        <v>7603</v>
      </c>
      <c r="E2022" t="s">
        <v>7601</v>
      </c>
      <c r="F2022" t="s">
        <v>28</v>
      </c>
      <c r="G2022" t="s">
        <v>7601</v>
      </c>
      <c r="H2022" t="str">
        <f>"got-2.2"</f>
        <v>got-2.2</v>
      </c>
      <c r="I2022" t="s">
        <v>7603</v>
      </c>
      <c r="J2022">
        <v>13.461934210153</v>
      </c>
      <c r="K2022">
        <v>13.2478450434438</v>
      </c>
      <c r="L2022">
        <v>12.912370288251299</v>
      </c>
      <c r="M2022">
        <v>13.4526775775565</v>
      </c>
      <c r="N2022">
        <v>13.5866873349279</v>
      </c>
      <c r="O2022">
        <v>13.460353720148699</v>
      </c>
      <c r="P2022">
        <v>0.29252303026166998</v>
      </c>
      <c r="Q2022">
        <v>-0.69877240476523705</v>
      </c>
      <c r="R2022">
        <v>1.28381846528858</v>
      </c>
      <c r="S2022">
        <v>13.3323752891173</v>
      </c>
      <c r="T2022">
        <v>0.62288370635916002</v>
      </c>
      <c r="U2022">
        <v>-6.6814571079113199</v>
      </c>
      <c r="V2022">
        <v>0.54167826711011702</v>
      </c>
      <c r="W2022">
        <v>0.94725981927803005</v>
      </c>
      <c r="X2022">
        <v>0</v>
      </c>
      <c r="Y2022">
        <v>0</v>
      </c>
    </row>
    <row r="2023" spans="1:25" x14ac:dyDescent="0.2">
      <c r="A2023" t="s">
        <v>7604</v>
      </c>
      <c r="B2023" t="s">
        <v>7605</v>
      </c>
      <c r="C2023" t="s">
        <v>7606</v>
      </c>
      <c r="D2023" t="s">
        <v>7607</v>
      </c>
      <c r="E2023" t="s">
        <v>7605</v>
      </c>
      <c r="F2023" t="s">
        <v>28</v>
      </c>
      <c r="G2023" t="s">
        <v>7605</v>
      </c>
      <c r="H2023" t="str">
        <f>"flu-2"</f>
        <v>flu-2</v>
      </c>
      <c r="I2023" t="s">
        <v>7607</v>
      </c>
      <c r="J2023">
        <v>11.141284353545499</v>
      </c>
      <c r="K2023">
        <v>10.290348927629401</v>
      </c>
      <c r="L2023">
        <v>11.9000913725729</v>
      </c>
      <c r="M2023">
        <v>11.1019866508866</v>
      </c>
      <c r="N2023">
        <v>11.750212701378</v>
      </c>
      <c r="O2023">
        <v>11.5622159018048</v>
      </c>
      <c r="P2023">
        <v>0.36089686677385502</v>
      </c>
      <c r="Q2023">
        <v>-0.24903411975468701</v>
      </c>
      <c r="R2023">
        <v>0.97082785330239696</v>
      </c>
      <c r="S2023">
        <v>11.9295005116025</v>
      </c>
      <c r="T2023">
        <v>1.24897120905785</v>
      </c>
      <c r="U2023">
        <v>-6.1008146345290504</v>
      </c>
      <c r="V2023">
        <v>0.22870438181349201</v>
      </c>
      <c r="W2023">
        <v>0.80920548477219401</v>
      </c>
      <c r="X2023">
        <v>0</v>
      </c>
      <c r="Y2023">
        <v>0</v>
      </c>
    </row>
    <row r="2024" spans="1:25" x14ac:dyDescent="0.2">
      <c r="A2024" t="s">
        <v>7608</v>
      </c>
      <c r="B2024" t="s">
        <v>7609</v>
      </c>
      <c r="C2024" t="s">
        <v>7610</v>
      </c>
      <c r="D2024" t="s">
        <v>7611</v>
      </c>
      <c r="E2024" t="s">
        <v>7609</v>
      </c>
      <c r="F2024" t="s">
        <v>28</v>
      </c>
      <c r="G2024" t="s">
        <v>7609</v>
      </c>
      <c r="H2024" t="str">
        <f>"prx-3"</f>
        <v>prx-3</v>
      </c>
      <c r="I2024" t="s">
        <v>7611</v>
      </c>
      <c r="J2024">
        <v>11.9380314500737</v>
      </c>
      <c r="K2024">
        <v>11.201480658116999</v>
      </c>
      <c r="L2024">
        <v>12.1515726634888</v>
      </c>
      <c r="M2024">
        <v>11.8600258678425</v>
      </c>
      <c r="N2024">
        <v>11.7362374747111</v>
      </c>
      <c r="O2024" t="s">
        <v>29</v>
      </c>
      <c r="P2024">
        <v>3.4436747383626502E-2</v>
      </c>
      <c r="Q2024">
        <v>-0.73117167841978004</v>
      </c>
      <c r="R2024">
        <v>0.80004517318703305</v>
      </c>
      <c r="S2024">
        <v>11.903903948046599</v>
      </c>
      <c r="T2024">
        <v>9.7252923369014393E-2</v>
      </c>
      <c r="U2024">
        <v>-6.7671763285464204</v>
      </c>
      <c r="V2024">
        <v>0.92402087360674501</v>
      </c>
      <c r="W2024">
        <v>0.99843270744267199</v>
      </c>
      <c r="X2024">
        <v>0</v>
      </c>
      <c r="Y2024">
        <v>0</v>
      </c>
    </row>
    <row r="2025" spans="1:25" x14ac:dyDescent="0.2">
      <c r="A2025" t="s">
        <v>7612</v>
      </c>
      <c r="B2025" t="s">
        <v>7613</v>
      </c>
      <c r="C2025" t="s">
        <v>7614</v>
      </c>
      <c r="D2025" t="s">
        <v>7615</v>
      </c>
      <c r="E2025" t="s">
        <v>7613</v>
      </c>
      <c r="F2025" t="s">
        <v>28</v>
      </c>
      <c r="G2025" t="s">
        <v>7613</v>
      </c>
      <c r="H2025" t="str">
        <f>"nnt-1"</f>
        <v>nnt-1</v>
      </c>
      <c r="I2025" t="s">
        <v>7615</v>
      </c>
      <c r="J2025">
        <v>13.901372238331801</v>
      </c>
      <c r="K2025">
        <v>13.9237639728685</v>
      </c>
      <c r="L2025">
        <v>12.6808095362027</v>
      </c>
      <c r="M2025">
        <v>13.256346245359699</v>
      </c>
      <c r="N2025">
        <v>12.928530055196999</v>
      </c>
      <c r="O2025">
        <v>13.326711533331601</v>
      </c>
      <c r="P2025">
        <v>-0.33145263783821999</v>
      </c>
      <c r="Q2025">
        <v>-0.95829903524272597</v>
      </c>
      <c r="R2025">
        <v>0.295393759566285</v>
      </c>
      <c r="S2025">
        <v>13.0363958252846</v>
      </c>
      <c r="T2025">
        <v>-1.1113551300865301</v>
      </c>
      <c r="U2025">
        <v>-6.2586624132012698</v>
      </c>
      <c r="V2025">
        <v>0.28112467240697497</v>
      </c>
      <c r="W2025">
        <v>0.856190392347986</v>
      </c>
      <c r="X2025">
        <v>0</v>
      </c>
      <c r="Y2025">
        <v>0</v>
      </c>
    </row>
    <row r="2026" spans="1:25" x14ac:dyDescent="0.2">
      <c r="A2026" t="s">
        <v>7616</v>
      </c>
      <c r="B2026" t="s">
        <v>7617</v>
      </c>
      <c r="C2026" t="s">
        <v>7618</v>
      </c>
      <c r="D2026" t="s">
        <v>7619</v>
      </c>
      <c r="E2026" t="s">
        <v>7617</v>
      </c>
      <c r="F2026" t="s">
        <v>28</v>
      </c>
      <c r="G2026" t="s">
        <v>7617</v>
      </c>
      <c r="H2026" t="str">
        <f>"thoc-2"</f>
        <v>thoc-2</v>
      </c>
      <c r="I2026" t="s">
        <v>7619</v>
      </c>
      <c r="J2026">
        <v>14.2212887096264</v>
      </c>
      <c r="K2026">
        <v>14.402259486186299</v>
      </c>
      <c r="L2026">
        <v>14.1173711047508</v>
      </c>
      <c r="M2026">
        <v>14.117251569869699</v>
      </c>
      <c r="N2026">
        <v>14.3123159235705</v>
      </c>
      <c r="O2026">
        <v>14.338053708101301</v>
      </c>
      <c r="P2026">
        <v>8.9006336593300296E-3</v>
      </c>
      <c r="Q2026">
        <v>-0.40776915922932699</v>
      </c>
      <c r="R2026">
        <v>0.42557042654798699</v>
      </c>
      <c r="S2026">
        <v>14.3514825832781</v>
      </c>
      <c r="T2026">
        <v>4.5089863720173998E-2</v>
      </c>
      <c r="U2026">
        <v>-6.8814240228076899</v>
      </c>
      <c r="V2026">
        <v>0.96456433989936397</v>
      </c>
      <c r="W2026">
        <v>0.99968702248720698</v>
      </c>
      <c r="X2026">
        <v>0</v>
      </c>
      <c r="Y2026">
        <v>0</v>
      </c>
    </row>
    <row r="2027" spans="1:25" x14ac:dyDescent="0.2">
      <c r="A2027" t="s">
        <v>7620</v>
      </c>
      <c r="B2027" t="s">
        <v>7621</v>
      </c>
      <c r="C2027" t="s">
        <v>7622</v>
      </c>
      <c r="D2027" t="s">
        <v>7623</v>
      </c>
      <c r="E2027" t="s">
        <v>7621</v>
      </c>
      <c r="F2027" t="s">
        <v>28</v>
      </c>
      <c r="G2027" t="s">
        <v>7621</v>
      </c>
      <c r="H2027" t="str">
        <f>"nfx-1"</f>
        <v>nfx-1</v>
      </c>
      <c r="I2027" t="s">
        <v>7623</v>
      </c>
      <c r="J2027">
        <v>12.255651789623199</v>
      </c>
      <c r="K2027">
        <v>12.3026080523458</v>
      </c>
      <c r="L2027">
        <v>12.9990139062803</v>
      </c>
      <c r="M2027">
        <v>12.5048229310572</v>
      </c>
      <c r="N2027">
        <v>13.028579789334501</v>
      </c>
      <c r="O2027">
        <v>12.4443893702684</v>
      </c>
      <c r="P2027">
        <v>0.140172780803582</v>
      </c>
      <c r="Q2027">
        <v>-0.32349010454565602</v>
      </c>
      <c r="R2027">
        <v>0.60383566615281903</v>
      </c>
      <c r="S2027">
        <v>13.1529704220402</v>
      </c>
      <c r="T2027">
        <v>0.63813324211651401</v>
      </c>
      <c r="U2027">
        <v>-6.6716121639476196</v>
      </c>
      <c r="V2027">
        <v>0.53194191082491205</v>
      </c>
      <c r="W2027">
        <v>0.94416142892016397</v>
      </c>
      <c r="X2027">
        <v>0</v>
      </c>
      <c r="Y2027">
        <v>0</v>
      </c>
    </row>
    <row r="2028" spans="1:25" x14ac:dyDescent="0.2">
      <c r="A2028" t="s">
        <v>7624</v>
      </c>
      <c r="B2028" t="s">
        <v>7625</v>
      </c>
      <c r="C2028" t="s">
        <v>7626</v>
      </c>
      <c r="D2028" t="s">
        <v>7627</v>
      </c>
      <c r="E2028" t="s">
        <v>7625</v>
      </c>
      <c r="F2028" t="s">
        <v>28</v>
      </c>
      <c r="G2028" t="s">
        <v>7625</v>
      </c>
      <c r="H2028" t="str">
        <f>"C16A3.6"</f>
        <v>C16A3.6</v>
      </c>
      <c r="I2028" t="s">
        <v>7627</v>
      </c>
      <c r="J2028" t="s">
        <v>29</v>
      </c>
      <c r="K2028" t="s">
        <v>29</v>
      </c>
      <c r="L2028" t="s">
        <v>29</v>
      </c>
      <c r="M2028">
        <v>11.9823235822358</v>
      </c>
      <c r="N2028">
        <v>11.6518258331652</v>
      </c>
      <c r="O2028" t="s">
        <v>29</v>
      </c>
      <c r="P2028" t="s">
        <v>29</v>
      </c>
      <c r="Q2028" t="s">
        <v>29</v>
      </c>
      <c r="R2028" t="s">
        <v>29</v>
      </c>
      <c r="S2028">
        <v>12.4182814241854</v>
      </c>
      <c r="T2028" t="s">
        <v>29</v>
      </c>
      <c r="U2028" t="s">
        <v>29</v>
      </c>
      <c r="V2028" t="s">
        <v>29</v>
      </c>
      <c r="W2028" t="s">
        <v>29</v>
      </c>
      <c r="X2028" t="s">
        <v>29</v>
      </c>
      <c r="Y2028" t="s">
        <v>29</v>
      </c>
    </row>
    <row r="2029" spans="1:25" x14ac:dyDescent="0.2">
      <c r="A2029" t="s">
        <v>7628</v>
      </c>
      <c r="B2029" t="s">
        <v>7629</v>
      </c>
      <c r="C2029" t="s">
        <v>7630</v>
      </c>
      <c r="D2029" t="s">
        <v>7631</v>
      </c>
      <c r="E2029" t="s">
        <v>7629</v>
      </c>
      <c r="F2029" t="s">
        <v>28</v>
      </c>
      <c r="G2029" t="s">
        <v>7629</v>
      </c>
      <c r="H2029" t="str">
        <f>"C16A3.5"</f>
        <v>C16A3.5</v>
      </c>
      <c r="I2029" t="s">
        <v>7631</v>
      </c>
      <c r="J2029">
        <v>14.5123248179136</v>
      </c>
      <c r="K2029">
        <v>14.430057218659201</v>
      </c>
      <c r="L2029">
        <v>14.4163291359915</v>
      </c>
      <c r="M2029">
        <v>14.003489465203799</v>
      </c>
      <c r="N2029">
        <v>14.256995545393901</v>
      </c>
      <c r="O2029">
        <v>14.080490383366399</v>
      </c>
      <c r="P2029">
        <v>-0.339245259533413</v>
      </c>
      <c r="Q2029">
        <v>-0.69462851221736499</v>
      </c>
      <c r="R2029">
        <v>1.6137993150537999E-2</v>
      </c>
      <c r="S2029">
        <v>14.484350191123999</v>
      </c>
      <c r="T2029">
        <v>-2.0063622268911501</v>
      </c>
      <c r="U2029">
        <v>-4.9874708302175002</v>
      </c>
      <c r="V2029">
        <v>6.0172586544083702E-2</v>
      </c>
      <c r="W2029">
        <v>0.52698517899660702</v>
      </c>
      <c r="X2029">
        <v>0</v>
      </c>
      <c r="Y2029">
        <v>0</v>
      </c>
    </row>
    <row r="2030" spans="1:25" x14ac:dyDescent="0.2">
      <c r="A2030" t="s">
        <v>7632</v>
      </c>
      <c r="B2030" t="s">
        <v>7633</v>
      </c>
      <c r="C2030" t="s">
        <v>7634</v>
      </c>
      <c r="D2030" t="s">
        <v>130</v>
      </c>
      <c r="E2030" t="s">
        <v>7633</v>
      </c>
      <c r="F2030" t="s">
        <v>28</v>
      </c>
      <c r="G2030" t="s">
        <v>7633</v>
      </c>
      <c r="H2030" t="str">
        <f>"znf-622"</f>
        <v>znf-622</v>
      </c>
      <c r="I2030" t="s">
        <v>130</v>
      </c>
      <c r="J2030" t="s">
        <v>29</v>
      </c>
      <c r="K2030" t="s">
        <v>29</v>
      </c>
      <c r="L2030">
        <v>11.1773887485997</v>
      </c>
      <c r="M2030">
        <v>13.928113621441801</v>
      </c>
      <c r="N2030">
        <v>13.1970648294712</v>
      </c>
      <c r="O2030">
        <v>12.811081352556799</v>
      </c>
      <c r="P2030">
        <v>2.13469785255691</v>
      </c>
      <c r="Q2030">
        <v>1.1527681334535</v>
      </c>
      <c r="R2030">
        <v>3.11662757166033</v>
      </c>
      <c r="S2030">
        <v>12.6451274302751</v>
      </c>
      <c r="T2030">
        <v>4.6111105924312898</v>
      </c>
      <c r="U2030">
        <v>0.40470115824469199</v>
      </c>
      <c r="V2030">
        <v>2.9382016053712599E-4</v>
      </c>
      <c r="W2030">
        <v>1.15039234619712E-2</v>
      </c>
      <c r="X2030">
        <v>1</v>
      </c>
      <c r="Y2030">
        <v>1</v>
      </c>
    </row>
    <row r="2031" spans="1:25" x14ac:dyDescent="0.2">
      <c r="A2031" t="s">
        <v>7635</v>
      </c>
      <c r="B2031" t="s">
        <v>7636</v>
      </c>
      <c r="C2031" t="s">
        <v>7637</v>
      </c>
      <c r="D2031" t="s">
        <v>7638</v>
      </c>
      <c r="E2031" t="s">
        <v>7636</v>
      </c>
      <c r="F2031" t="s">
        <v>28</v>
      </c>
      <c r="G2031" t="s">
        <v>7636</v>
      </c>
      <c r="H2031" t="str">
        <f>"let-716"</f>
        <v>let-716</v>
      </c>
      <c r="I2031" t="s">
        <v>7638</v>
      </c>
      <c r="J2031">
        <v>16.258141806965401</v>
      </c>
      <c r="K2031">
        <v>16.268581917667401</v>
      </c>
      <c r="L2031">
        <v>16.641035740211901</v>
      </c>
      <c r="M2031">
        <v>16.838647505876501</v>
      </c>
      <c r="N2031">
        <v>16.943716887045699</v>
      </c>
      <c r="O2031">
        <v>16.487133902160799</v>
      </c>
      <c r="P2031">
        <v>0.36724627674611598</v>
      </c>
      <c r="Q2031">
        <v>-0.14011961081908</v>
      </c>
      <c r="R2031">
        <v>0.87461216431131095</v>
      </c>
      <c r="S2031">
        <v>17.1928543191116</v>
      </c>
      <c r="T2031">
        <v>1.52134828860845</v>
      </c>
      <c r="U2031">
        <v>-5.7459645252315097</v>
      </c>
      <c r="V2031">
        <v>0.14564615961991301</v>
      </c>
      <c r="W2031">
        <v>0.73468060846516403</v>
      </c>
      <c r="X2031">
        <v>0</v>
      </c>
      <c r="Y2031">
        <v>0</v>
      </c>
    </row>
    <row r="2032" spans="1:25" x14ac:dyDescent="0.2">
      <c r="A2032" t="s">
        <v>7639</v>
      </c>
      <c r="B2032" t="s">
        <v>7640</v>
      </c>
      <c r="C2032" t="s">
        <v>7641</v>
      </c>
      <c r="D2032" t="s">
        <v>7642</v>
      </c>
      <c r="E2032" t="s">
        <v>7640</v>
      </c>
      <c r="F2032" t="s">
        <v>28</v>
      </c>
      <c r="G2032" t="s">
        <v>7640</v>
      </c>
      <c r="H2032" t="str">
        <f>"oatr-1"</f>
        <v>oatr-1</v>
      </c>
      <c r="I2032" t="s">
        <v>7642</v>
      </c>
      <c r="J2032">
        <v>14.9731801709961</v>
      </c>
      <c r="K2032">
        <v>14.618706476444199</v>
      </c>
      <c r="L2032">
        <v>14.8346363230294</v>
      </c>
      <c r="M2032">
        <v>14.9851222840333</v>
      </c>
      <c r="N2032">
        <v>15.031201993312999</v>
      </c>
      <c r="O2032">
        <v>14.933152750548601</v>
      </c>
      <c r="P2032">
        <v>0.17431801914176501</v>
      </c>
      <c r="Q2032">
        <v>-0.26734383098431103</v>
      </c>
      <c r="R2032">
        <v>0.61597986926784198</v>
      </c>
      <c r="S2032">
        <v>14.8404702955697</v>
      </c>
      <c r="T2032">
        <v>0.82955447020313899</v>
      </c>
      <c r="U2032">
        <v>-6.5297376818269601</v>
      </c>
      <c r="V2032">
        <v>0.41771982403020502</v>
      </c>
      <c r="W2032">
        <v>0.91512503332874395</v>
      </c>
      <c r="X2032">
        <v>0</v>
      </c>
      <c r="Y2032">
        <v>0</v>
      </c>
    </row>
    <row r="2033" spans="1:25" x14ac:dyDescent="0.2">
      <c r="A2033" t="s">
        <v>7643</v>
      </c>
      <c r="B2033" t="s">
        <v>7644</v>
      </c>
      <c r="C2033" t="s">
        <v>7645</v>
      </c>
      <c r="D2033" t="s">
        <v>7646</v>
      </c>
      <c r="E2033" t="s">
        <v>7644</v>
      </c>
      <c r="F2033" t="s">
        <v>28</v>
      </c>
      <c r="G2033" t="s">
        <v>7644</v>
      </c>
      <c r="H2033" t="str">
        <f>"dim-1"</f>
        <v>dim-1</v>
      </c>
      <c r="I2033" t="s">
        <v>7646</v>
      </c>
      <c r="J2033">
        <v>15.321260817747399</v>
      </c>
      <c r="K2033">
        <v>15.510198364785399</v>
      </c>
      <c r="L2033">
        <v>15.429115302771899</v>
      </c>
      <c r="M2033">
        <v>15.238150616756799</v>
      </c>
      <c r="N2033">
        <v>15.3842727829024</v>
      </c>
      <c r="O2033">
        <v>15.6968179584856</v>
      </c>
      <c r="P2033">
        <v>1.9555624280036099E-2</v>
      </c>
      <c r="Q2033">
        <v>-0.52383378957772797</v>
      </c>
      <c r="R2033">
        <v>0.56294503813780095</v>
      </c>
      <c r="S2033">
        <v>15.190960309489901</v>
      </c>
      <c r="T2033">
        <v>7.5640261987465193E-2</v>
      </c>
      <c r="U2033">
        <v>-6.8795006106103704</v>
      </c>
      <c r="V2033">
        <v>0.94054451346610002</v>
      </c>
      <c r="W2033">
        <v>0.99926809132575301</v>
      </c>
      <c r="X2033">
        <v>0</v>
      </c>
      <c r="Y2033">
        <v>0</v>
      </c>
    </row>
    <row r="2034" spans="1:25" x14ac:dyDescent="0.2">
      <c r="A2034" t="s">
        <v>7647</v>
      </c>
      <c r="B2034" t="s">
        <v>7648</v>
      </c>
      <c r="C2034" t="s">
        <v>7649</v>
      </c>
      <c r="D2034" t="s">
        <v>368</v>
      </c>
      <c r="E2034" t="s">
        <v>7648</v>
      </c>
      <c r="F2034" t="s">
        <v>28</v>
      </c>
      <c r="G2034" t="s">
        <v>7648</v>
      </c>
      <c r="H2034" t="str">
        <f>"C18B2.3"</f>
        <v>C18B2.3</v>
      </c>
      <c r="I2034" t="s">
        <v>368</v>
      </c>
      <c r="J2034">
        <v>16.659983017257801</v>
      </c>
      <c r="K2034">
        <v>17.081037158069499</v>
      </c>
      <c r="L2034">
        <v>17.191320216299601</v>
      </c>
      <c r="M2034">
        <v>16.504119724726099</v>
      </c>
      <c r="N2034">
        <v>16.414935660929</v>
      </c>
      <c r="O2034">
        <v>16.543519385962401</v>
      </c>
      <c r="P2034">
        <v>-0.489921873336503</v>
      </c>
      <c r="Q2034">
        <v>-0.84425908472647204</v>
      </c>
      <c r="R2034">
        <v>-0.13558466194653301</v>
      </c>
      <c r="S2034">
        <v>16.8786400060884</v>
      </c>
      <c r="T2034">
        <v>-2.9060466378827599</v>
      </c>
      <c r="U2034">
        <v>-3.2762058627904</v>
      </c>
      <c r="V2034">
        <v>9.4624629259031801E-3</v>
      </c>
      <c r="W2034">
        <v>0.17005349260741301</v>
      </c>
      <c r="X2034">
        <v>0</v>
      </c>
      <c r="Y2034">
        <v>0</v>
      </c>
    </row>
    <row r="2035" spans="1:25" x14ac:dyDescent="0.2">
      <c r="A2035" t="s">
        <v>7650</v>
      </c>
      <c r="B2035" t="s">
        <v>7651</v>
      </c>
      <c r="C2035" t="s">
        <v>7652</v>
      </c>
      <c r="D2035" t="s">
        <v>7653</v>
      </c>
      <c r="E2035" t="s">
        <v>7651</v>
      </c>
      <c r="F2035" t="s">
        <v>28</v>
      </c>
      <c r="G2035" t="s">
        <v>7651</v>
      </c>
      <c r="H2035" t="str">
        <f>"C18B2.4"</f>
        <v>C18B2.4</v>
      </c>
      <c r="I2035" t="s">
        <v>7653</v>
      </c>
      <c r="J2035">
        <v>14.6534609936761</v>
      </c>
      <c r="K2035">
        <v>14.4226440456722</v>
      </c>
      <c r="L2035">
        <v>14.4092910591823</v>
      </c>
      <c r="M2035">
        <v>14.2537483820039</v>
      </c>
      <c r="N2035">
        <v>13.8923006646444</v>
      </c>
      <c r="O2035">
        <v>14.687236036418</v>
      </c>
      <c r="P2035">
        <v>-0.21737033848804199</v>
      </c>
      <c r="Q2035">
        <v>-0.82006806788743303</v>
      </c>
      <c r="R2035">
        <v>0.38532739091134999</v>
      </c>
      <c r="S2035">
        <v>13.867207206008899</v>
      </c>
      <c r="T2035">
        <v>-0.75804194888982501</v>
      </c>
      <c r="U2035">
        <v>-6.5870161290021798</v>
      </c>
      <c r="V2035">
        <v>0.45829329599943802</v>
      </c>
      <c r="W2035">
        <v>0.92799154546826901</v>
      </c>
      <c r="X2035">
        <v>0</v>
      </c>
      <c r="Y2035">
        <v>0</v>
      </c>
    </row>
    <row r="2036" spans="1:25" x14ac:dyDescent="0.2">
      <c r="A2036" t="s">
        <v>7654</v>
      </c>
      <c r="B2036" t="s">
        <v>7655</v>
      </c>
      <c r="C2036" t="s">
        <v>7656</v>
      </c>
      <c r="D2036" t="s">
        <v>7657</v>
      </c>
      <c r="E2036" t="s">
        <v>7655</v>
      </c>
      <c r="F2036" t="s">
        <v>28</v>
      </c>
      <c r="G2036" t="s">
        <v>7655</v>
      </c>
      <c r="H2036" t="str">
        <f>"tomm-40"</f>
        <v>tomm-40</v>
      </c>
      <c r="I2036" t="s">
        <v>7657</v>
      </c>
      <c r="J2036">
        <v>12.812868861822301</v>
      </c>
      <c r="K2036">
        <v>13.1541288065002</v>
      </c>
      <c r="L2036">
        <v>13.4458384358204</v>
      </c>
      <c r="M2036">
        <v>12.8035641355797</v>
      </c>
      <c r="N2036">
        <v>12.972419425480901</v>
      </c>
      <c r="O2036">
        <v>12.692875820188499</v>
      </c>
      <c r="P2036">
        <v>-0.31465890763127102</v>
      </c>
      <c r="Q2036">
        <v>-0.75356063096063097</v>
      </c>
      <c r="R2036">
        <v>0.124242815698088</v>
      </c>
      <c r="S2036">
        <v>13.6560766918233</v>
      </c>
      <c r="T2036">
        <v>-1.50683346808387</v>
      </c>
      <c r="U2036">
        <v>-5.7662953112815698</v>
      </c>
      <c r="V2036">
        <v>0.149303066091554</v>
      </c>
      <c r="W2036">
        <v>0.74457992962374298</v>
      </c>
      <c r="X2036">
        <v>0</v>
      </c>
      <c r="Y2036">
        <v>0</v>
      </c>
    </row>
    <row r="2037" spans="1:25" x14ac:dyDescent="0.2">
      <c r="A2037" t="s">
        <v>7658</v>
      </c>
      <c r="B2037" t="s">
        <v>7659</v>
      </c>
      <c r="C2037" t="s">
        <v>7660</v>
      </c>
      <c r="D2037" t="s">
        <v>7661</v>
      </c>
      <c r="E2037" t="s">
        <v>7659</v>
      </c>
      <c r="F2037" t="s">
        <v>28</v>
      </c>
      <c r="G2037" t="s">
        <v>7659</v>
      </c>
      <c r="H2037" t="str">
        <f>"C18E9.2"</f>
        <v>C18E9.2</v>
      </c>
      <c r="I2037" t="s">
        <v>7661</v>
      </c>
      <c r="J2037">
        <v>13.1349733623993</v>
      </c>
      <c r="K2037">
        <v>11.7692964315411</v>
      </c>
      <c r="L2037">
        <v>12.4461146982007</v>
      </c>
      <c r="M2037">
        <v>12.7656836964329</v>
      </c>
      <c r="N2037">
        <v>11.653996953867701</v>
      </c>
      <c r="O2037">
        <v>12.2958543333788</v>
      </c>
      <c r="P2037">
        <v>-0.21161650282053701</v>
      </c>
      <c r="Q2037">
        <v>-1.0207969629846401</v>
      </c>
      <c r="R2037">
        <v>0.59756395734356704</v>
      </c>
      <c r="S2037">
        <v>12.453130635184699</v>
      </c>
      <c r="T2037">
        <v>-0.55775792759873</v>
      </c>
      <c r="U2037">
        <v>-6.7199204156272501</v>
      </c>
      <c r="V2037">
        <v>0.58529565130774797</v>
      </c>
      <c r="W2037">
        <v>0.963273565916412</v>
      </c>
      <c r="X2037">
        <v>0</v>
      </c>
      <c r="Y2037">
        <v>0</v>
      </c>
    </row>
    <row r="2038" spans="1:25" x14ac:dyDescent="0.2">
      <c r="A2038" t="s">
        <v>7662</v>
      </c>
      <c r="B2038" t="s">
        <v>7663</v>
      </c>
      <c r="C2038" t="s">
        <v>7664</v>
      </c>
      <c r="D2038" t="s">
        <v>7665</v>
      </c>
      <c r="E2038" t="s">
        <v>7663</v>
      </c>
      <c r="F2038" t="s">
        <v>28</v>
      </c>
      <c r="G2038" t="s">
        <v>7663</v>
      </c>
      <c r="H2038" t="str">
        <f>"rpn-2"</f>
        <v>rpn-2</v>
      </c>
      <c r="I2038" t="s">
        <v>7665</v>
      </c>
      <c r="J2038">
        <v>16.563474377455499</v>
      </c>
      <c r="K2038">
        <v>16.3503390504601</v>
      </c>
      <c r="L2038">
        <v>16.2565150529528</v>
      </c>
      <c r="M2038">
        <v>16.2727081043857</v>
      </c>
      <c r="N2038">
        <v>16.0252570481011</v>
      </c>
      <c r="O2038">
        <v>16.2341869327635</v>
      </c>
      <c r="P2038">
        <v>-0.21272546520605601</v>
      </c>
      <c r="Q2038">
        <v>-0.55808670573239805</v>
      </c>
      <c r="R2038">
        <v>0.132635775320287</v>
      </c>
      <c r="S2038">
        <v>15.874211056459901</v>
      </c>
      <c r="T2038">
        <v>-1.2946083374633099</v>
      </c>
      <c r="U2038">
        <v>-6.0457903753075399</v>
      </c>
      <c r="V2038">
        <v>0.211911821595029</v>
      </c>
      <c r="W2038">
        <v>0.79492804357574798</v>
      </c>
      <c r="X2038">
        <v>0</v>
      </c>
      <c r="Y2038">
        <v>0</v>
      </c>
    </row>
    <row r="2039" spans="1:25" x14ac:dyDescent="0.2">
      <c r="A2039" t="s">
        <v>7666</v>
      </c>
      <c r="B2039" t="s">
        <v>7667</v>
      </c>
      <c r="C2039" t="s">
        <v>7668</v>
      </c>
      <c r="D2039" t="s">
        <v>2432</v>
      </c>
      <c r="E2039" t="s">
        <v>7667</v>
      </c>
      <c r="F2039" t="s">
        <v>28</v>
      </c>
      <c r="G2039" t="s">
        <v>7667</v>
      </c>
      <c r="H2039" t="str">
        <f>"C25A11.2"</f>
        <v>C25A11.2</v>
      </c>
      <c r="I2039" t="s">
        <v>2432</v>
      </c>
      <c r="J2039">
        <v>12.054704858616899</v>
      </c>
      <c r="K2039">
        <v>13.3650004782846</v>
      </c>
      <c r="L2039">
        <v>12.2722671924985</v>
      </c>
      <c r="M2039">
        <v>12.759555795375499</v>
      </c>
      <c r="N2039">
        <v>12.6510357603862</v>
      </c>
      <c r="O2039">
        <v>12.4769810828268</v>
      </c>
      <c r="P2039">
        <v>6.5200036396134906E-2</v>
      </c>
      <c r="Q2039">
        <v>-0.73479231461398198</v>
      </c>
      <c r="R2039">
        <v>0.86519238740625204</v>
      </c>
      <c r="S2039">
        <v>12.0366057665131</v>
      </c>
      <c r="T2039">
        <v>0.17382154645172401</v>
      </c>
      <c r="U2039">
        <v>-6.8665509031024996</v>
      </c>
      <c r="V2039">
        <v>0.86434602527107496</v>
      </c>
      <c r="W2039">
        <v>0.99396806223294298</v>
      </c>
      <c r="X2039">
        <v>0</v>
      </c>
      <c r="Y2039">
        <v>0</v>
      </c>
    </row>
    <row r="2040" spans="1:25" x14ac:dyDescent="0.2">
      <c r="A2040" t="s">
        <v>7669</v>
      </c>
      <c r="B2040" t="s">
        <v>7670</v>
      </c>
      <c r="C2040" t="s">
        <v>7671</v>
      </c>
      <c r="D2040" t="s">
        <v>7672</v>
      </c>
      <c r="E2040" t="s">
        <v>7670</v>
      </c>
      <c r="F2040" t="s">
        <v>28</v>
      </c>
      <c r="G2040" t="s">
        <v>7670</v>
      </c>
      <c r="H2040" t="str">
        <f>"dpyd-1"</f>
        <v>dpyd-1</v>
      </c>
      <c r="I2040" t="s">
        <v>7672</v>
      </c>
      <c r="J2040" t="s">
        <v>29</v>
      </c>
      <c r="K2040" t="s">
        <v>29</v>
      </c>
      <c r="L2040">
        <v>10.6628819817112</v>
      </c>
      <c r="M2040">
        <v>12.093446168613999</v>
      </c>
      <c r="N2040">
        <v>12.2534167987895</v>
      </c>
      <c r="O2040">
        <v>11.6976500808069</v>
      </c>
      <c r="P2040">
        <v>1.35195570102563</v>
      </c>
      <c r="Q2040">
        <v>0.227254177607846</v>
      </c>
      <c r="R2040">
        <v>2.4766572244434202</v>
      </c>
      <c r="S2040">
        <v>12.1805536826806</v>
      </c>
      <c r="T2040">
        <v>2.5496156010064701</v>
      </c>
      <c r="U2040">
        <v>-3.71496714600501</v>
      </c>
      <c r="V2040">
        <v>2.1498206624147399E-2</v>
      </c>
      <c r="W2040">
        <v>0.30266030085661799</v>
      </c>
      <c r="X2040">
        <v>1</v>
      </c>
      <c r="Y2040">
        <v>0</v>
      </c>
    </row>
    <row r="2041" spans="1:25" x14ac:dyDescent="0.2">
      <c r="A2041" t="s">
        <v>7673</v>
      </c>
      <c r="B2041" t="s">
        <v>7674</v>
      </c>
      <c r="C2041" t="s">
        <v>7675</v>
      </c>
      <c r="D2041" t="s">
        <v>7676</v>
      </c>
      <c r="E2041" t="s">
        <v>7674</v>
      </c>
      <c r="F2041" t="s">
        <v>28</v>
      </c>
      <c r="G2041" t="s">
        <v>7674</v>
      </c>
      <c r="H2041" t="str">
        <f>"C25G4.3"</f>
        <v>C25G4.3</v>
      </c>
      <c r="I2041" t="s">
        <v>7676</v>
      </c>
      <c r="J2041">
        <v>13.329055382335101</v>
      </c>
      <c r="K2041">
        <v>13.6680299215991</v>
      </c>
      <c r="L2041">
        <v>13.3302299532691</v>
      </c>
      <c r="M2041">
        <v>13.4982064032691</v>
      </c>
      <c r="N2041">
        <v>13.465405247111599</v>
      </c>
      <c r="O2041">
        <v>13.460325846745199</v>
      </c>
      <c r="P2041">
        <v>3.22074133074821E-2</v>
      </c>
      <c r="Q2041">
        <v>-0.54814535712218404</v>
      </c>
      <c r="R2041">
        <v>0.61256018373714805</v>
      </c>
      <c r="S2041">
        <v>13.710352398068199</v>
      </c>
      <c r="T2041">
        <v>0.117142313712378</v>
      </c>
      <c r="U2041">
        <v>-6.8753001766544202</v>
      </c>
      <c r="V2041">
        <v>0.90812857029258398</v>
      </c>
      <c r="W2041">
        <v>0.99833354317360001</v>
      </c>
      <c r="X2041">
        <v>0</v>
      </c>
      <c r="Y2041">
        <v>0</v>
      </c>
    </row>
    <row r="2042" spans="1:25" x14ac:dyDescent="0.2">
      <c r="A2042" t="s">
        <v>7677</v>
      </c>
      <c r="B2042" t="s">
        <v>7678</v>
      </c>
      <c r="C2042" t="s">
        <v>7679</v>
      </c>
      <c r="D2042" t="s">
        <v>7680</v>
      </c>
      <c r="E2042" t="s">
        <v>7678</v>
      </c>
      <c r="F2042" t="s">
        <v>28</v>
      </c>
      <c r="G2042" t="s">
        <v>7678</v>
      </c>
      <c r="H2042" t="str">
        <f>"eif-2d"</f>
        <v>eif-2d</v>
      </c>
      <c r="I2042" t="s">
        <v>7680</v>
      </c>
      <c r="J2042">
        <v>13.076040540404099</v>
      </c>
      <c r="K2042">
        <v>13.0879996202871</v>
      </c>
      <c r="L2042">
        <v>13.1729633013822</v>
      </c>
      <c r="M2042">
        <v>13.1294314355138</v>
      </c>
      <c r="N2042">
        <v>13.1946786523523</v>
      </c>
      <c r="O2042">
        <v>12.997447151958699</v>
      </c>
      <c r="P2042">
        <v>-5.1487407495791598E-3</v>
      </c>
      <c r="Q2042">
        <v>-0.53471353661949905</v>
      </c>
      <c r="R2042">
        <v>0.52441605512033995</v>
      </c>
      <c r="S2042">
        <v>12.9813496035292</v>
      </c>
      <c r="T2042">
        <v>-2.0735930278650599E-2</v>
      </c>
      <c r="U2042">
        <v>-6.8822625198487204</v>
      </c>
      <c r="V2042">
        <v>0.98373153464478202</v>
      </c>
      <c r="W2042">
        <v>0.99968702248720698</v>
      </c>
      <c r="X2042">
        <v>0</v>
      </c>
      <c r="Y2042">
        <v>0</v>
      </c>
    </row>
    <row r="2043" spans="1:25" x14ac:dyDescent="0.2">
      <c r="A2043" t="s">
        <v>7681</v>
      </c>
      <c r="B2043" t="s">
        <v>7682</v>
      </c>
      <c r="C2043" t="s">
        <v>7683</v>
      </c>
      <c r="D2043" t="s">
        <v>7684</v>
      </c>
      <c r="E2043" t="s">
        <v>7682</v>
      </c>
      <c r="F2043" t="s">
        <v>28</v>
      </c>
      <c r="G2043" t="s">
        <v>7682</v>
      </c>
      <c r="H2043" t="str">
        <f>"dnc-4"</f>
        <v>dnc-4</v>
      </c>
      <c r="I2043" t="s">
        <v>7684</v>
      </c>
      <c r="J2043" t="s">
        <v>29</v>
      </c>
      <c r="K2043">
        <v>12.0667754619835</v>
      </c>
      <c r="L2043" t="s">
        <v>29</v>
      </c>
      <c r="M2043">
        <v>12.790827705303601</v>
      </c>
      <c r="N2043">
        <v>12.598821161769401</v>
      </c>
      <c r="O2043">
        <v>11.7002067874733</v>
      </c>
      <c r="P2043">
        <v>0.29650975619859898</v>
      </c>
      <c r="Q2043">
        <v>-0.75725028115652804</v>
      </c>
      <c r="R2043">
        <v>1.35026979355373</v>
      </c>
      <c r="S2043">
        <v>13.0240655204788</v>
      </c>
      <c r="T2043">
        <v>0.60012106200036197</v>
      </c>
      <c r="U2043">
        <v>-6.3550889717291001</v>
      </c>
      <c r="V2043">
        <v>0.55744617425585097</v>
      </c>
      <c r="W2043">
        <v>0.95635987123881905</v>
      </c>
      <c r="X2043">
        <v>0</v>
      </c>
      <c r="Y2043">
        <v>0</v>
      </c>
    </row>
    <row r="2044" spans="1:25" x14ac:dyDescent="0.2">
      <c r="A2044" t="s">
        <v>7685</v>
      </c>
      <c r="B2044" t="s">
        <v>7686</v>
      </c>
      <c r="C2044" t="s">
        <v>7687</v>
      </c>
      <c r="D2044" t="s">
        <v>7688</v>
      </c>
      <c r="E2044" t="s">
        <v>7686</v>
      </c>
      <c r="F2044" t="s">
        <v>28</v>
      </c>
      <c r="G2044" t="s">
        <v>7686</v>
      </c>
      <c r="H2044" t="str">
        <f>"ran-3"</f>
        <v>ran-3</v>
      </c>
      <c r="I2044" t="s">
        <v>7688</v>
      </c>
      <c r="J2044">
        <v>12.6908332643996</v>
      </c>
      <c r="K2044">
        <v>12.272332400441799</v>
      </c>
      <c r="L2044">
        <v>12.6228648873706</v>
      </c>
      <c r="M2044">
        <v>12.449045775006701</v>
      </c>
      <c r="N2044">
        <v>12.627375765029599</v>
      </c>
      <c r="O2044">
        <v>13.1001420944218</v>
      </c>
      <c r="P2044">
        <v>0.19684436074869499</v>
      </c>
      <c r="Q2044">
        <v>-0.36111726053975701</v>
      </c>
      <c r="R2044">
        <v>0.75480598203714799</v>
      </c>
      <c r="S2044">
        <v>12.7238642396511</v>
      </c>
      <c r="T2044">
        <v>0.74150001324209203</v>
      </c>
      <c r="U2044">
        <v>-6.5995780039147904</v>
      </c>
      <c r="V2044">
        <v>0.46801072395700499</v>
      </c>
      <c r="W2044">
        <v>0.92978583625257705</v>
      </c>
      <c r="X2044">
        <v>0</v>
      </c>
      <c r="Y2044">
        <v>0</v>
      </c>
    </row>
    <row r="2045" spans="1:25" x14ac:dyDescent="0.2">
      <c r="A2045" t="s">
        <v>7689</v>
      </c>
      <c r="B2045" t="s">
        <v>7690</v>
      </c>
      <c r="C2045" t="s">
        <v>7691</v>
      </c>
      <c r="D2045" t="s">
        <v>7692</v>
      </c>
      <c r="E2045" t="s">
        <v>7690</v>
      </c>
      <c r="F2045" t="s">
        <v>28</v>
      </c>
      <c r="G2045" t="s">
        <v>7690</v>
      </c>
      <c r="H2045" t="str">
        <f>"hel-1"</f>
        <v>hel-1</v>
      </c>
      <c r="I2045" t="s">
        <v>7692</v>
      </c>
      <c r="J2045">
        <v>17.6720662464611</v>
      </c>
      <c r="K2045">
        <v>17.6754021684498</v>
      </c>
      <c r="L2045">
        <v>17.490758134222901</v>
      </c>
      <c r="M2045">
        <v>17.6669820367879</v>
      </c>
      <c r="N2045">
        <v>17.721955225519199</v>
      </c>
      <c r="O2045">
        <v>17.658454943317899</v>
      </c>
      <c r="P2045">
        <v>6.9721885497070701E-2</v>
      </c>
      <c r="Q2045">
        <v>-0.25994302513430101</v>
      </c>
      <c r="R2045">
        <v>0.39938679612844202</v>
      </c>
      <c r="S2045">
        <v>17.540570734473899</v>
      </c>
      <c r="T2045">
        <v>0.44451755090144301</v>
      </c>
      <c r="U2045">
        <v>-6.7798177847882304</v>
      </c>
      <c r="V2045">
        <v>0.66199770837755501</v>
      </c>
      <c r="W2045">
        <v>0.98382359994193702</v>
      </c>
      <c r="X2045">
        <v>0</v>
      </c>
      <c r="Y2045">
        <v>0</v>
      </c>
    </row>
    <row r="2046" spans="1:25" x14ac:dyDescent="0.2">
      <c r="A2046" t="s">
        <v>7693</v>
      </c>
      <c r="B2046" t="s">
        <v>7694</v>
      </c>
      <c r="C2046" t="s">
        <v>7695</v>
      </c>
      <c r="D2046" t="s">
        <v>7696</v>
      </c>
      <c r="E2046" t="s">
        <v>7694</v>
      </c>
      <c r="F2046" t="s">
        <v>28</v>
      </c>
      <c r="G2046" t="s">
        <v>7694</v>
      </c>
      <c r="H2046" t="str">
        <f>"ula-1"</f>
        <v>ula-1</v>
      </c>
      <c r="I2046" t="s">
        <v>7696</v>
      </c>
      <c r="J2046">
        <v>13.0613275468175</v>
      </c>
      <c r="K2046">
        <v>13.194190906383</v>
      </c>
      <c r="L2046">
        <v>12.5261270026655</v>
      </c>
      <c r="M2046">
        <v>12.5201239220158</v>
      </c>
      <c r="N2046">
        <v>13.085444147041599</v>
      </c>
      <c r="O2046">
        <v>13.0530300009267</v>
      </c>
      <c r="P2046">
        <v>-4.1015795293962001E-2</v>
      </c>
      <c r="Q2046">
        <v>-0.51278489428042995</v>
      </c>
      <c r="R2046">
        <v>0.43075330369250597</v>
      </c>
      <c r="S2046">
        <v>12.820898862866899</v>
      </c>
      <c r="T2046">
        <v>-0.18440435596479601</v>
      </c>
      <c r="U2046">
        <v>-6.8646230278708504</v>
      </c>
      <c r="V2046">
        <v>0.85602840268660796</v>
      </c>
      <c r="W2046">
        <v>0.99370971747667503</v>
      </c>
      <c r="X2046">
        <v>0</v>
      </c>
      <c r="Y2046">
        <v>0</v>
      </c>
    </row>
    <row r="2047" spans="1:25" x14ac:dyDescent="0.2">
      <c r="A2047" t="s">
        <v>7697</v>
      </c>
      <c r="B2047" t="s">
        <v>7698</v>
      </c>
      <c r="C2047" t="s">
        <v>7699</v>
      </c>
      <c r="D2047" t="s">
        <v>7700</v>
      </c>
      <c r="E2047" t="s">
        <v>7698</v>
      </c>
      <c r="F2047" t="s">
        <v>28</v>
      </c>
      <c r="G2047" t="s">
        <v>7698</v>
      </c>
      <c r="H2047" t="str">
        <f>"mmab-1"</f>
        <v>mmab-1</v>
      </c>
      <c r="I2047" t="s">
        <v>7700</v>
      </c>
      <c r="J2047">
        <v>10.3887887804357</v>
      </c>
      <c r="K2047">
        <v>10.549701282196599</v>
      </c>
      <c r="L2047">
        <v>10.9437874275942</v>
      </c>
      <c r="M2047" t="s">
        <v>29</v>
      </c>
      <c r="N2047">
        <v>11.0568306912423</v>
      </c>
      <c r="O2047" t="s">
        <v>29</v>
      </c>
      <c r="P2047">
        <v>0.42940486116681198</v>
      </c>
      <c r="Q2047">
        <v>-0.42245924458381501</v>
      </c>
      <c r="R2047">
        <v>1.28126896691744</v>
      </c>
      <c r="S2047">
        <v>10.719861243147999</v>
      </c>
      <c r="T2047">
        <v>1.09936435095913</v>
      </c>
      <c r="U2047">
        <v>-5.93048125528321</v>
      </c>
      <c r="V2047">
        <v>0.29336173063702298</v>
      </c>
      <c r="W2047">
        <v>0.85855590823088301</v>
      </c>
      <c r="X2047">
        <v>0</v>
      </c>
      <c r="Y2047">
        <v>0</v>
      </c>
    </row>
    <row r="2048" spans="1:25" x14ac:dyDescent="0.2">
      <c r="A2048" t="s">
        <v>7701</v>
      </c>
      <c r="B2048" t="s">
        <v>7702</v>
      </c>
      <c r="C2048" t="s">
        <v>7703</v>
      </c>
      <c r="D2048" t="s">
        <v>7704</v>
      </c>
      <c r="E2048" t="s">
        <v>7702</v>
      </c>
      <c r="F2048" t="s">
        <v>28</v>
      </c>
      <c r="G2048" t="s">
        <v>7702</v>
      </c>
      <c r="H2048" t="str">
        <f>"ntl-9"</f>
        <v>ntl-9</v>
      </c>
      <c r="I2048" t="s">
        <v>7704</v>
      </c>
      <c r="J2048">
        <v>12.4390664579365</v>
      </c>
      <c r="K2048" t="s">
        <v>29</v>
      </c>
      <c r="L2048">
        <v>12.6760808498255</v>
      </c>
      <c r="M2048">
        <v>12.5399830835446</v>
      </c>
      <c r="N2048">
        <v>12.8558463541517</v>
      </c>
      <c r="O2048">
        <v>12.4526293462811</v>
      </c>
      <c r="P2048">
        <v>5.8579274111496098E-2</v>
      </c>
      <c r="Q2048">
        <v>-0.64934956778950803</v>
      </c>
      <c r="R2048">
        <v>0.76650811601250002</v>
      </c>
      <c r="S2048">
        <v>12.2315290125772</v>
      </c>
      <c r="T2048">
        <v>0.176480199178257</v>
      </c>
      <c r="U2048">
        <v>-6.7558175860651097</v>
      </c>
      <c r="V2048">
        <v>0.86229384161120104</v>
      </c>
      <c r="W2048">
        <v>0.99394475928068404</v>
      </c>
      <c r="X2048">
        <v>0</v>
      </c>
      <c r="Y2048">
        <v>0</v>
      </c>
    </row>
    <row r="2049" spans="1:25" x14ac:dyDescent="0.2">
      <c r="A2049" t="s">
        <v>7705</v>
      </c>
      <c r="B2049" t="s">
        <v>7706</v>
      </c>
      <c r="C2049" t="s">
        <v>7707</v>
      </c>
      <c r="D2049" t="s">
        <v>6177</v>
      </c>
      <c r="E2049" t="s">
        <v>7706</v>
      </c>
      <c r="F2049" t="s">
        <v>28</v>
      </c>
      <c r="G2049" t="s">
        <v>7706</v>
      </c>
      <c r="H2049" t="str">
        <f>"rps-30"</f>
        <v>rps-30</v>
      </c>
      <c r="I2049" t="s">
        <v>6177</v>
      </c>
      <c r="J2049">
        <v>24.044121097090301</v>
      </c>
      <c r="K2049">
        <v>20.5340981416423</v>
      </c>
      <c r="L2049">
        <v>19.092954921651899</v>
      </c>
      <c r="M2049">
        <v>22.260966779875599</v>
      </c>
      <c r="N2049">
        <v>20.359405021663001</v>
      </c>
      <c r="O2049">
        <v>21.757684019223099</v>
      </c>
      <c r="P2049">
        <v>0.23562722012572801</v>
      </c>
      <c r="Q2049">
        <v>-4.9529736857225002</v>
      </c>
      <c r="R2049">
        <v>5.4242281259739604</v>
      </c>
      <c r="S2049">
        <v>19.530598584859501</v>
      </c>
      <c r="T2049">
        <v>9.5968555298700506E-2</v>
      </c>
      <c r="U2049">
        <v>-6.8776595830523597</v>
      </c>
      <c r="V2049">
        <v>0.92469162119514503</v>
      </c>
      <c r="W2049">
        <v>0.99843270744267199</v>
      </c>
      <c r="X2049">
        <v>0</v>
      </c>
      <c r="Y2049">
        <v>0</v>
      </c>
    </row>
    <row r="2050" spans="1:25" x14ac:dyDescent="0.2">
      <c r="A2050" t="s">
        <v>7708</v>
      </c>
      <c r="B2050" t="s">
        <v>7709</v>
      </c>
      <c r="C2050" t="s">
        <v>7710</v>
      </c>
      <c r="D2050" t="s">
        <v>7711</v>
      </c>
      <c r="E2050" t="s">
        <v>7709</v>
      </c>
      <c r="F2050" t="s">
        <v>28</v>
      </c>
      <c r="G2050" t="s">
        <v>7709</v>
      </c>
      <c r="H2050" t="str">
        <f>"C26F1.3"</f>
        <v>C26F1.3</v>
      </c>
      <c r="I2050" t="s">
        <v>7711</v>
      </c>
      <c r="J2050" t="s">
        <v>29</v>
      </c>
      <c r="K2050" t="s">
        <v>29</v>
      </c>
      <c r="L2050">
        <v>11.1403473209508</v>
      </c>
      <c r="M2050" t="s">
        <v>29</v>
      </c>
      <c r="N2050" t="s">
        <v>29</v>
      </c>
      <c r="O2050" t="s">
        <v>29</v>
      </c>
      <c r="P2050" t="s">
        <v>29</v>
      </c>
      <c r="Q2050" t="s">
        <v>29</v>
      </c>
      <c r="R2050" t="s">
        <v>29</v>
      </c>
      <c r="S2050">
        <v>12.072009491946099</v>
      </c>
      <c r="T2050" t="s">
        <v>29</v>
      </c>
      <c r="U2050" t="s">
        <v>29</v>
      </c>
      <c r="V2050" t="s">
        <v>29</v>
      </c>
      <c r="W2050" t="s">
        <v>29</v>
      </c>
      <c r="X2050" t="s">
        <v>29</v>
      </c>
      <c r="Y2050" t="s">
        <v>29</v>
      </c>
    </row>
    <row r="2051" spans="1:25" x14ac:dyDescent="0.2">
      <c r="A2051" t="s">
        <v>7712</v>
      </c>
      <c r="B2051" t="s">
        <v>7713</v>
      </c>
      <c r="C2051" t="s">
        <v>7714</v>
      </c>
      <c r="D2051" t="s">
        <v>7715</v>
      </c>
      <c r="E2051" t="s">
        <v>7713</v>
      </c>
      <c r="F2051" t="s">
        <v>28</v>
      </c>
      <c r="G2051" t="s">
        <v>7713</v>
      </c>
      <c r="H2051" t="str">
        <f>"smc-5"</f>
        <v>smc-5</v>
      </c>
      <c r="I2051" t="s">
        <v>7715</v>
      </c>
      <c r="J2051">
        <v>12.1869977131601</v>
      </c>
      <c r="K2051">
        <v>12.0059525045585</v>
      </c>
      <c r="L2051">
        <v>12.231222204826899</v>
      </c>
      <c r="M2051">
        <v>12.634543402715</v>
      </c>
      <c r="N2051">
        <v>11.5918762041718</v>
      </c>
      <c r="O2051">
        <v>12.457166933785301</v>
      </c>
      <c r="P2051">
        <v>8.6471372708876601E-2</v>
      </c>
      <c r="Q2051">
        <v>-1.50066318763651</v>
      </c>
      <c r="R2051">
        <v>1.6736059330542601</v>
      </c>
      <c r="S2051">
        <v>12.241152750535401</v>
      </c>
      <c r="T2051">
        <v>0.115002853884658</v>
      </c>
      <c r="U2051">
        <v>-6.8755602866498</v>
      </c>
      <c r="V2051">
        <v>0.90979859916113304</v>
      </c>
      <c r="W2051">
        <v>0.99833354317360001</v>
      </c>
      <c r="X2051">
        <v>0</v>
      </c>
      <c r="Y2051">
        <v>0</v>
      </c>
    </row>
    <row r="2052" spans="1:25" x14ac:dyDescent="0.2">
      <c r="A2052" t="s">
        <v>7716</v>
      </c>
      <c r="B2052" t="s">
        <v>7717</v>
      </c>
      <c r="C2052" t="s">
        <v>7718</v>
      </c>
      <c r="D2052" t="s">
        <v>7719</v>
      </c>
      <c r="E2052" t="s">
        <v>7717</v>
      </c>
      <c r="F2052" t="s">
        <v>28</v>
      </c>
      <c r="G2052" t="s">
        <v>7717</v>
      </c>
      <c r="H2052" t="str">
        <f>"rad-26"</f>
        <v>rad-26</v>
      </c>
      <c r="I2052" t="s">
        <v>7719</v>
      </c>
      <c r="J2052">
        <v>11.683981549702199</v>
      </c>
      <c r="K2052">
        <v>12.797782109174801</v>
      </c>
      <c r="L2052">
        <v>12.558681268887</v>
      </c>
      <c r="M2052">
        <v>12.395741247156</v>
      </c>
      <c r="N2052">
        <v>12.825536781344899</v>
      </c>
      <c r="O2052">
        <v>12.228291743650001</v>
      </c>
      <c r="P2052">
        <v>0.136374948128998</v>
      </c>
      <c r="Q2052">
        <v>-0.43386961920586198</v>
      </c>
      <c r="R2052">
        <v>0.70661951546385704</v>
      </c>
      <c r="S2052">
        <v>12.8043726290508</v>
      </c>
      <c r="T2052">
        <v>0.504804775909521</v>
      </c>
      <c r="U2052">
        <v>-6.7499329460483803</v>
      </c>
      <c r="V2052">
        <v>0.62021661499797398</v>
      </c>
      <c r="W2052">
        <v>0.97279262440453396</v>
      </c>
      <c r="X2052">
        <v>0</v>
      </c>
      <c r="Y2052">
        <v>0</v>
      </c>
    </row>
    <row r="2053" spans="1:25" x14ac:dyDescent="0.2">
      <c r="A2053" t="s">
        <v>7720</v>
      </c>
      <c r="B2053" t="s">
        <v>7721</v>
      </c>
      <c r="C2053" t="s">
        <v>7722</v>
      </c>
      <c r="D2053" t="s">
        <v>7723</v>
      </c>
      <c r="E2053" t="s">
        <v>7721</v>
      </c>
      <c r="F2053" t="s">
        <v>28</v>
      </c>
      <c r="G2053" t="s">
        <v>7721</v>
      </c>
      <c r="H2053" t="str">
        <f>"C27B7.5"</f>
        <v>C27B7.5</v>
      </c>
      <c r="I2053" t="s">
        <v>7723</v>
      </c>
      <c r="J2053">
        <v>13.8711010472379</v>
      </c>
      <c r="K2053">
        <v>13.9952555987895</v>
      </c>
      <c r="L2053">
        <v>14.6795069052166</v>
      </c>
      <c r="M2053">
        <v>14.153484105231</v>
      </c>
      <c r="N2053">
        <v>14.4894925282956</v>
      </c>
      <c r="O2053">
        <v>13.865694022737699</v>
      </c>
      <c r="P2053">
        <v>-1.2397631659862201E-2</v>
      </c>
      <c r="Q2053">
        <v>-0.52228592422284803</v>
      </c>
      <c r="R2053">
        <v>0.49749066090312399</v>
      </c>
      <c r="S2053">
        <v>14.42989551366</v>
      </c>
      <c r="T2053">
        <v>-5.1323197058291997E-2</v>
      </c>
      <c r="U2053">
        <v>-6.8811090749439403</v>
      </c>
      <c r="V2053">
        <v>0.95966990446655598</v>
      </c>
      <c r="W2053">
        <v>0.99968702248720698</v>
      </c>
      <c r="X2053">
        <v>0</v>
      </c>
      <c r="Y2053">
        <v>0</v>
      </c>
    </row>
    <row r="2054" spans="1:25" x14ac:dyDescent="0.2">
      <c r="A2054" t="s">
        <v>7724</v>
      </c>
      <c r="B2054" t="s">
        <v>7725</v>
      </c>
      <c r="C2054" t="s">
        <v>7726</v>
      </c>
      <c r="D2054" t="s">
        <v>7727</v>
      </c>
      <c r="E2054" t="s">
        <v>7725</v>
      </c>
      <c r="F2054" t="s">
        <v>28</v>
      </c>
      <c r="G2054" t="s">
        <v>7725</v>
      </c>
      <c r="H2054" t="str">
        <f>"rap-1"</f>
        <v>rap-1</v>
      </c>
      <c r="I2054" t="s">
        <v>7727</v>
      </c>
      <c r="J2054">
        <v>13.434441899243801</v>
      </c>
      <c r="K2054">
        <v>13.931391330982599</v>
      </c>
      <c r="L2054">
        <v>12.7612419097879</v>
      </c>
      <c r="M2054">
        <v>13.9015376030439</v>
      </c>
      <c r="N2054">
        <v>12.926979416022901</v>
      </c>
      <c r="O2054">
        <v>13.806615197537999</v>
      </c>
      <c r="P2054">
        <v>0.16935235886351099</v>
      </c>
      <c r="Q2054">
        <v>-0.54039412337369797</v>
      </c>
      <c r="R2054">
        <v>0.87909884110072101</v>
      </c>
      <c r="S2054">
        <v>13.435202534891999</v>
      </c>
      <c r="T2054">
        <v>0.50151105948280295</v>
      </c>
      <c r="U2054">
        <v>-6.7519987052352501</v>
      </c>
      <c r="V2054">
        <v>0.62212517170258097</v>
      </c>
      <c r="W2054">
        <v>0.97279262440453396</v>
      </c>
      <c r="X2054">
        <v>0</v>
      </c>
      <c r="Y2054">
        <v>0</v>
      </c>
    </row>
    <row r="2055" spans="1:25" x14ac:dyDescent="0.2">
      <c r="A2055" t="s">
        <v>7728</v>
      </c>
      <c r="B2055" t="s">
        <v>7729</v>
      </c>
      <c r="C2055" t="s">
        <v>7730</v>
      </c>
      <c r="D2055" t="s">
        <v>7731</v>
      </c>
      <c r="E2055" t="s">
        <v>7729</v>
      </c>
      <c r="F2055" t="s">
        <v>28</v>
      </c>
      <c r="G2055" t="s">
        <v>7729</v>
      </c>
      <c r="H2055" t="str">
        <f>"C27F2.4"</f>
        <v>C27F2.4</v>
      </c>
      <c r="I2055" t="s">
        <v>7731</v>
      </c>
      <c r="J2055">
        <v>14.1357788420055</v>
      </c>
      <c r="K2055">
        <v>13.9857193516542</v>
      </c>
      <c r="L2055">
        <v>13.715969469332499</v>
      </c>
      <c r="M2055">
        <v>13.788370654314299</v>
      </c>
      <c r="N2055">
        <v>13.603423714201099</v>
      </c>
      <c r="O2055">
        <v>14.0257662235064</v>
      </c>
      <c r="P2055">
        <v>-0.13996902365679101</v>
      </c>
      <c r="Q2055">
        <v>-0.72338341860274202</v>
      </c>
      <c r="R2055">
        <v>0.44344537128916001</v>
      </c>
      <c r="S2055">
        <v>13.162861465641701</v>
      </c>
      <c r="T2055">
        <v>-0.51167759233881405</v>
      </c>
      <c r="U2055">
        <v>-6.74544750157333</v>
      </c>
      <c r="V2055">
        <v>0.61637825545778402</v>
      </c>
      <c r="W2055">
        <v>0.97238011246645495</v>
      </c>
      <c r="X2055">
        <v>0</v>
      </c>
      <c r="Y2055">
        <v>0</v>
      </c>
    </row>
    <row r="2056" spans="1:25" x14ac:dyDescent="0.2">
      <c r="A2056" t="s">
        <v>7732</v>
      </c>
      <c r="B2056" t="s">
        <v>7733</v>
      </c>
      <c r="C2056" t="s">
        <v>7734</v>
      </c>
      <c r="D2056" t="s">
        <v>7735</v>
      </c>
      <c r="E2056" t="s">
        <v>7733</v>
      </c>
      <c r="F2056" t="s">
        <v>28</v>
      </c>
      <c r="G2056" t="s">
        <v>7733</v>
      </c>
      <c r="H2056" t="str">
        <f>"vps-22"</f>
        <v>vps-22</v>
      </c>
      <c r="I2056" t="s">
        <v>7735</v>
      </c>
      <c r="J2056">
        <v>12.3348130138156</v>
      </c>
      <c r="K2056" t="s">
        <v>29</v>
      </c>
      <c r="L2056">
        <v>12.990291226197799</v>
      </c>
      <c r="M2056">
        <v>13.074711013299201</v>
      </c>
      <c r="N2056" t="s">
        <v>29</v>
      </c>
      <c r="O2056">
        <v>12.7327609861492</v>
      </c>
      <c r="P2056">
        <v>0.24118387971751401</v>
      </c>
      <c r="Q2056">
        <v>-0.49364566333771698</v>
      </c>
      <c r="R2056">
        <v>0.97601342277274605</v>
      </c>
      <c r="S2056">
        <v>12.557951087882101</v>
      </c>
      <c r="T2056">
        <v>0.72325153154691602</v>
      </c>
      <c r="U2056">
        <v>-6.40780982704295</v>
      </c>
      <c r="V2056">
        <v>0.48476344522056403</v>
      </c>
      <c r="W2056">
        <v>0.93959973540712705</v>
      </c>
      <c r="X2056">
        <v>0</v>
      </c>
      <c r="Y2056">
        <v>0</v>
      </c>
    </row>
    <row r="2057" spans="1:25" x14ac:dyDescent="0.2">
      <c r="A2057" t="s">
        <v>7736</v>
      </c>
      <c r="B2057" t="s">
        <v>7737</v>
      </c>
      <c r="C2057" t="s">
        <v>7738</v>
      </c>
      <c r="D2057" t="s">
        <v>7739</v>
      </c>
      <c r="E2057" t="s">
        <v>7737</v>
      </c>
      <c r="F2057" t="s">
        <v>28</v>
      </c>
      <c r="G2057" t="s">
        <v>7737</v>
      </c>
      <c r="H2057" t="str">
        <f>"tmem-131"</f>
        <v>tmem-131</v>
      </c>
      <c r="I2057" t="s">
        <v>7739</v>
      </c>
      <c r="J2057" t="s">
        <v>29</v>
      </c>
      <c r="K2057" t="s">
        <v>29</v>
      </c>
      <c r="L2057" t="s">
        <v>29</v>
      </c>
      <c r="M2057" t="s">
        <v>29</v>
      </c>
      <c r="N2057" t="s">
        <v>29</v>
      </c>
      <c r="O2057" t="s">
        <v>29</v>
      </c>
      <c r="P2057" t="s">
        <v>29</v>
      </c>
      <c r="Q2057" t="s">
        <v>29</v>
      </c>
      <c r="R2057" t="s">
        <v>29</v>
      </c>
      <c r="S2057">
        <v>11.2248332565383</v>
      </c>
      <c r="T2057" t="s">
        <v>29</v>
      </c>
      <c r="U2057" t="s">
        <v>29</v>
      </c>
      <c r="V2057" t="s">
        <v>29</v>
      </c>
      <c r="W2057" t="s">
        <v>29</v>
      </c>
      <c r="X2057" t="s">
        <v>29</v>
      </c>
      <c r="Y2057" t="s">
        <v>29</v>
      </c>
    </row>
    <row r="2058" spans="1:25" x14ac:dyDescent="0.2">
      <c r="A2058" t="s">
        <v>7740</v>
      </c>
      <c r="B2058" t="s">
        <v>7741</v>
      </c>
      <c r="C2058" t="s">
        <v>7742</v>
      </c>
      <c r="D2058" t="s">
        <v>7743</v>
      </c>
      <c r="E2058" t="s">
        <v>7741</v>
      </c>
      <c r="F2058" t="s">
        <v>28</v>
      </c>
      <c r="G2058" t="s">
        <v>7741</v>
      </c>
      <c r="H2058" t="str">
        <f>"fust-1"</f>
        <v>fust-1</v>
      </c>
      <c r="I2058" t="s">
        <v>7743</v>
      </c>
      <c r="J2058">
        <v>11.9404981170435</v>
      </c>
      <c r="K2058">
        <v>12.178763874637101</v>
      </c>
      <c r="L2058">
        <v>12.080043156363701</v>
      </c>
      <c r="M2058">
        <v>12.1438904677988</v>
      </c>
      <c r="N2058">
        <v>12.726337044746201</v>
      </c>
      <c r="O2058">
        <v>11.5565541960035</v>
      </c>
      <c r="P2058">
        <v>7.5825520168033095E-2</v>
      </c>
      <c r="Q2058">
        <v>-1.0440079571371099</v>
      </c>
      <c r="R2058">
        <v>1.1956589974731699</v>
      </c>
      <c r="S2058">
        <v>12.501967020485299</v>
      </c>
      <c r="T2058">
        <v>0.142316241225101</v>
      </c>
      <c r="U2058">
        <v>-6.8719129889583099</v>
      </c>
      <c r="V2058">
        <v>0.88842029407495304</v>
      </c>
      <c r="W2058">
        <v>0.99702926582654094</v>
      </c>
      <c r="X2058">
        <v>0</v>
      </c>
      <c r="Y2058">
        <v>0</v>
      </c>
    </row>
    <row r="2059" spans="1:25" x14ac:dyDescent="0.2">
      <c r="A2059" t="s">
        <v>7744</v>
      </c>
      <c r="B2059" t="s">
        <v>7745</v>
      </c>
      <c r="C2059" t="s">
        <v>7746</v>
      </c>
      <c r="D2059" t="s">
        <v>7747</v>
      </c>
      <c r="E2059" t="s">
        <v>7745</v>
      </c>
      <c r="F2059" t="s">
        <v>28</v>
      </c>
      <c r="G2059" t="s">
        <v>7745</v>
      </c>
      <c r="H2059" t="str">
        <f>"sec-15"</f>
        <v>sec-15</v>
      </c>
      <c r="I2059" t="s">
        <v>7747</v>
      </c>
      <c r="J2059">
        <v>11.573159980081201</v>
      </c>
      <c r="K2059" t="s">
        <v>29</v>
      </c>
      <c r="L2059">
        <v>11.3414898539778</v>
      </c>
      <c r="M2059" t="s">
        <v>29</v>
      </c>
      <c r="N2059" t="s">
        <v>29</v>
      </c>
      <c r="O2059" t="s">
        <v>29</v>
      </c>
      <c r="P2059" t="s">
        <v>29</v>
      </c>
      <c r="Q2059" t="s">
        <v>29</v>
      </c>
      <c r="R2059" t="s">
        <v>29</v>
      </c>
      <c r="S2059">
        <v>11.9128970190612</v>
      </c>
      <c r="T2059" t="s">
        <v>29</v>
      </c>
      <c r="U2059" t="s">
        <v>29</v>
      </c>
      <c r="V2059" t="s">
        <v>29</v>
      </c>
      <c r="W2059" t="s">
        <v>29</v>
      </c>
      <c r="X2059" t="s">
        <v>29</v>
      </c>
      <c r="Y2059" t="s">
        <v>29</v>
      </c>
    </row>
    <row r="2060" spans="1:25" x14ac:dyDescent="0.2">
      <c r="A2060" t="s">
        <v>7748</v>
      </c>
      <c r="B2060" t="s">
        <v>7749</v>
      </c>
      <c r="C2060" t="s">
        <v>7750</v>
      </c>
      <c r="D2060" t="s">
        <v>7751</v>
      </c>
      <c r="E2060" t="s">
        <v>7749</v>
      </c>
      <c r="F2060" t="s">
        <v>28</v>
      </c>
      <c r="G2060" t="s">
        <v>7749</v>
      </c>
      <c r="H2060" t="str">
        <f>"C29F5.1"</f>
        <v>C29F5.1</v>
      </c>
      <c r="I2060" t="s">
        <v>7751</v>
      </c>
      <c r="J2060">
        <v>15.365959849085501</v>
      </c>
      <c r="K2060">
        <v>15.467739750056801</v>
      </c>
      <c r="L2060">
        <v>15.155703400630699</v>
      </c>
      <c r="M2060">
        <v>15.036742936352701</v>
      </c>
      <c r="N2060">
        <v>14.6572710186586</v>
      </c>
      <c r="O2060">
        <v>15.2528336652845</v>
      </c>
      <c r="P2060">
        <v>-0.34751845982576401</v>
      </c>
      <c r="Q2060">
        <v>-0.81515073226925505</v>
      </c>
      <c r="R2060">
        <v>0.12011381261772699</v>
      </c>
      <c r="S2060">
        <v>14.6980970511061</v>
      </c>
      <c r="T2060">
        <v>-1.56194564561232</v>
      </c>
      <c r="U2060">
        <v>-5.6883093981924997</v>
      </c>
      <c r="V2060">
        <v>0.135811555682119</v>
      </c>
      <c r="W2060">
        <v>0.72553189373063098</v>
      </c>
      <c r="X2060">
        <v>0</v>
      </c>
      <c r="Y2060">
        <v>0</v>
      </c>
    </row>
    <row r="2061" spans="1:25" x14ac:dyDescent="0.2">
      <c r="A2061" t="s">
        <v>7752</v>
      </c>
      <c r="B2061" t="s">
        <v>7753</v>
      </c>
      <c r="C2061" t="s">
        <v>7754</v>
      </c>
      <c r="D2061" t="s">
        <v>7755</v>
      </c>
      <c r="E2061" t="s">
        <v>7753</v>
      </c>
      <c r="F2061" t="s">
        <v>28</v>
      </c>
      <c r="G2061" t="s">
        <v>7753</v>
      </c>
      <c r="H2061" t="str">
        <f>"C29H12.2"</f>
        <v>C29H12.2</v>
      </c>
      <c r="I2061" t="s">
        <v>7755</v>
      </c>
      <c r="J2061">
        <v>16.465328120066101</v>
      </c>
      <c r="K2061">
        <v>15.130379410817699</v>
      </c>
      <c r="L2061">
        <v>14.714899514053799</v>
      </c>
      <c r="M2061">
        <v>15.7140320882324</v>
      </c>
      <c r="N2061">
        <v>14.8254870662591</v>
      </c>
      <c r="O2061">
        <v>15.3848930631477</v>
      </c>
      <c r="P2061">
        <v>-0.12873160909949999</v>
      </c>
      <c r="Q2061">
        <v>-1.1397023280371199</v>
      </c>
      <c r="R2061">
        <v>0.88223910983812304</v>
      </c>
      <c r="S2061">
        <v>15.268585813761</v>
      </c>
      <c r="T2061">
        <v>-0.26763267431941901</v>
      </c>
      <c r="U2061">
        <v>-6.8451399411696601</v>
      </c>
      <c r="V2061">
        <v>0.79204238295050899</v>
      </c>
      <c r="W2061">
        <v>0.99278624068726296</v>
      </c>
      <c r="X2061">
        <v>0</v>
      </c>
      <c r="Y2061">
        <v>0</v>
      </c>
    </row>
    <row r="2062" spans="1:25" x14ac:dyDescent="0.2">
      <c r="A2062" t="s">
        <v>7756</v>
      </c>
      <c r="B2062" t="s">
        <v>7757</v>
      </c>
      <c r="C2062" t="s">
        <v>7758</v>
      </c>
      <c r="D2062" t="s">
        <v>7759</v>
      </c>
      <c r="E2062" t="s">
        <v>7757</v>
      </c>
      <c r="F2062" t="s">
        <v>28</v>
      </c>
      <c r="G2062" t="s">
        <v>7757</v>
      </c>
      <c r="H2062" t="str">
        <f>"rars-2"</f>
        <v>rars-2</v>
      </c>
      <c r="I2062" t="s">
        <v>7759</v>
      </c>
      <c r="J2062">
        <v>15.768788923807501</v>
      </c>
      <c r="K2062">
        <v>16.250008666093201</v>
      </c>
      <c r="L2062">
        <v>14.9276397031846</v>
      </c>
      <c r="M2062">
        <v>15.2746709769843</v>
      </c>
      <c r="N2062">
        <v>15.5353030640158</v>
      </c>
      <c r="O2062">
        <v>16.289530999608999</v>
      </c>
      <c r="P2062">
        <v>5.1022582507929598E-2</v>
      </c>
      <c r="Q2062">
        <v>-1.52188528260672</v>
      </c>
      <c r="R2062">
        <v>1.62393044762258</v>
      </c>
      <c r="S2062">
        <v>15.382065814901599</v>
      </c>
      <c r="T2062">
        <v>6.8179163063753906E-2</v>
      </c>
      <c r="U2062">
        <v>-6.8800611136550396</v>
      </c>
      <c r="V2062">
        <v>0.94639904655333296</v>
      </c>
      <c r="W2062">
        <v>0.99968702248720698</v>
      </c>
      <c r="X2062">
        <v>0</v>
      </c>
      <c r="Y2062">
        <v>0</v>
      </c>
    </row>
    <row r="2063" spans="1:25" x14ac:dyDescent="0.2">
      <c r="A2063" t="s">
        <v>7760</v>
      </c>
      <c r="B2063" t="s">
        <v>7761</v>
      </c>
      <c r="C2063" t="s">
        <v>7762</v>
      </c>
      <c r="D2063" t="s">
        <v>93</v>
      </c>
      <c r="E2063" t="s">
        <v>7761</v>
      </c>
      <c r="F2063" t="s">
        <v>28</v>
      </c>
      <c r="G2063" t="s">
        <v>7761</v>
      </c>
      <c r="H2063" t="str">
        <f>"rbmx-2"</f>
        <v>rbmx-2</v>
      </c>
      <c r="I2063" t="s">
        <v>93</v>
      </c>
      <c r="J2063">
        <v>13.6718791084031</v>
      </c>
      <c r="K2063">
        <v>13.4638767077408</v>
      </c>
      <c r="L2063">
        <v>13.894337320598201</v>
      </c>
      <c r="M2063">
        <v>13.899038023480699</v>
      </c>
      <c r="N2063">
        <v>13.4894136260623</v>
      </c>
      <c r="O2063">
        <v>13.7704534940752</v>
      </c>
      <c r="P2063">
        <v>4.2937335625312698E-2</v>
      </c>
      <c r="Q2063">
        <v>-0.55983481132819102</v>
      </c>
      <c r="R2063">
        <v>0.645709482578816</v>
      </c>
      <c r="S2063">
        <v>12.9481700973187</v>
      </c>
      <c r="T2063">
        <v>0.15035986560272199</v>
      </c>
      <c r="U2063">
        <v>-6.8706478897009697</v>
      </c>
      <c r="V2063">
        <v>0.88226121581389905</v>
      </c>
      <c r="W2063">
        <v>0.99702926582654094</v>
      </c>
      <c r="X2063">
        <v>0</v>
      </c>
      <c r="Y2063">
        <v>0</v>
      </c>
    </row>
    <row r="2064" spans="1:25" x14ac:dyDescent="0.2">
      <c r="A2064" t="s">
        <v>7763</v>
      </c>
      <c r="B2064" t="s">
        <v>7764</v>
      </c>
      <c r="C2064" t="s">
        <v>7765</v>
      </c>
      <c r="D2064" t="s">
        <v>7766</v>
      </c>
      <c r="E2064" t="s">
        <v>7764</v>
      </c>
      <c r="F2064" t="s">
        <v>28</v>
      </c>
      <c r="G2064" t="s">
        <v>7764</v>
      </c>
      <c r="H2064" t="str">
        <f>"szy-4"</f>
        <v>szy-4</v>
      </c>
      <c r="I2064" t="s">
        <v>7766</v>
      </c>
      <c r="J2064" t="s">
        <v>29</v>
      </c>
      <c r="K2064" t="s">
        <v>29</v>
      </c>
      <c r="L2064" t="s">
        <v>29</v>
      </c>
      <c r="M2064" t="s">
        <v>29</v>
      </c>
      <c r="N2064">
        <v>10.3864521541269</v>
      </c>
      <c r="O2064" t="s">
        <v>29</v>
      </c>
      <c r="P2064" t="s">
        <v>29</v>
      </c>
      <c r="Q2064" t="s">
        <v>29</v>
      </c>
      <c r="R2064" t="s">
        <v>29</v>
      </c>
      <c r="S2064">
        <v>11.778877295398599</v>
      </c>
      <c r="T2064" t="s">
        <v>29</v>
      </c>
      <c r="U2064" t="s">
        <v>29</v>
      </c>
      <c r="V2064" t="s">
        <v>29</v>
      </c>
      <c r="W2064" t="s">
        <v>29</v>
      </c>
      <c r="X2064" t="s">
        <v>29</v>
      </c>
      <c r="Y2064" t="s">
        <v>29</v>
      </c>
    </row>
    <row r="2065" spans="1:25" x14ac:dyDescent="0.2">
      <c r="A2065" t="s">
        <v>7767</v>
      </c>
      <c r="B2065" t="s">
        <v>7768</v>
      </c>
      <c r="C2065" t="s">
        <v>7769</v>
      </c>
      <c r="D2065" t="s">
        <v>360</v>
      </c>
      <c r="E2065" t="s">
        <v>7768</v>
      </c>
      <c r="F2065" t="s">
        <v>28</v>
      </c>
      <c r="G2065" t="s">
        <v>7768</v>
      </c>
      <c r="H2065" t="str">
        <f>"C32D5.11"</f>
        <v>C32D5.11</v>
      </c>
      <c r="I2065" t="s">
        <v>360</v>
      </c>
      <c r="J2065" t="s">
        <v>29</v>
      </c>
      <c r="K2065" t="s">
        <v>29</v>
      </c>
      <c r="L2065" t="s">
        <v>29</v>
      </c>
      <c r="M2065" t="s">
        <v>29</v>
      </c>
      <c r="N2065" t="s">
        <v>29</v>
      </c>
      <c r="O2065" t="s">
        <v>29</v>
      </c>
      <c r="P2065" t="s">
        <v>29</v>
      </c>
      <c r="Q2065" t="s">
        <v>29</v>
      </c>
      <c r="R2065" t="s">
        <v>29</v>
      </c>
      <c r="S2065">
        <v>11.385011781539101</v>
      </c>
      <c r="T2065" t="s">
        <v>29</v>
      </c>
      <c r="U2065" t="s">
        <v>29</v>
      </c>
      <c r="V2065" t="s">
        <v>29</v>
      </c>
      <c r="W2065" t="s">
        <v>29</v>
      </c>
      <c r="X2065" t="s">
        <v>29</v>
      </c>
      <c r="Y2065" t="s">
        <v>29</v>
      </c>
    </row>
    <row r="2066" spans="1:25" x14ac:dyDescent="0.2">
      <c r="A2066" t="s">
        <v>7770</v>
      </c>
      <c r="B2066" t="s">
        <v>7771</v>
      </c>
      <c r="C2066" t="s">
        <v>7772</v>
      </c>
      <c r="D2066" t="s">
        <v>7773</v>
      </c>
      <c r="E2066" t="s">
        <v>7771</v>
      </c>
      <c r="F2066" t="s">
        <v>28</v>
      </c>
      <c r="G2066" t="s">
        <v>7771</v>
      </c>
      <c r="H2066" t="str">
        <f>"C33A12.1"</f>
        <v>C33A12.1</v>
      </c>
      <c r="I2066" t="s">
        <v>7773</v>
      </c>
      <c r="J2066" t="s">
        <v>29</v>
      </c>
      <c r="K2066">
        <v>13.5855565595801</v>
      </c>
      <c r="L2066">
        <v>10.5080761468344</v>
      </c>
      <c r="M2066">
        <v>13.3104353416803</v>
      </c>
      <c r="N2066" t="s">
        <v>29</v>
      </c>
      <c r="O2066" t="s">
        <v>29</v>
      </c>
      <c r="P2066">
        <v>1.26361898847309</v>
      </c>
      <c r="Q2066">
        <v>-0.98356032444244701</v>
      </c>
      <c r="R2066">
        <v>3.5107983013886299</v>
      </c>
      <c r="S2066">
        <v>12.1698656138558</v>
      </c>
      <c r="T2066">
        <v>1.2547156232404999</v>
      </c>
      <c r="U2066">
        <v>-5.6989403311455096</v>
      </c>
      <c r="V2066">
        <v>0.23840782201843</v>
      </c>
      <c r="W2066">
        <v>0.82309155806077094</v>
      </c>
      <c r="X2066">
        <v>0</v>
      </c>
      <c r="Y2066">
        <v>0</v>
      </c>
    </row>
    <row r="2067" spans="1:25" x14ac:dyDescent="0.2">
      <c r="A2067" t="s">
        <v>7774</v>
      </c>
      <c r="B2067" t="s">
        <v>7775</v>
      </c>
      <c r="C2067" t="s">
        <v>14434</v>
      </c>
      <c r="D2067" t="s">
        <v>7776</v>
      </c>
      <c r="E2067" t="s">
        <v>7775</v>
      </c>
      <c r="F2067" t="s">
        <v>28</v>
      </c>
      <c r="G2067" t="s">
        <v>7777</v>
      </c>
      <c r="H2067" t="str">
        <f>"C33F10.12"</f>
        <v>C33F10.12</v>
      </c>
      <c r="I2067" t="s">
        <v>5479</v>
      </c>
      <c r="J2067">
        <v>13.494289557556</v>
      </c>
      <c r="K2067">
        <v>13.044340679784799</v>
      </c>
      <c r="L2067">
        <v>13.5287072582126</v>
      </c>
      <c r="M2067">
        <v>13.237229221124201</v>
      </c>
      <c r="N2067">
        <v>13.5601195402978</v>
      </c>
      <c r="O2067">
        <v>13.559183157083501</v>
      </c>
      <c r="P2067">
        <v>9.6398140984042896E-2</v>
      </c>
      <c r="Q2067">
        <v>-1.0519196278092799</v>
      </c>
      <c r="R2067">
        <v>1.2447159097773699</v>
      </c>
      <c r="S2067">
        <v>13.496828322873601</v>
      </c>
      <c r="T2067">
        <v>0.176440827859879</v>
      </c>
      <c r="U2067">
        <v>-6.8662377720550296</v>
      </c>
      <c r="V2067">
        <v>0.86192908162688797</v>
      </c>
      <c r="W2067">
        <v>0.99394475928068404</v>
      </c>
      <c r="X2067">
        <v>0</v>
      </c>
      <c r="Y2067">
        <v>0</v>
      </c>
    </row>
    <row r="2068" spans="1:25" x14ac:dyDescent="0.2">
      <c r="A2068" t="s">
        <v>7778</v>
      </c>
      <c r="B2068" t="s">
        <v>7779</v>
      </c>
      <c r="C2068" t="s">
        <v>7780</v>
      </c>
      <c r="D2068" t="s">
        <v>7781</v>
      </c>
      <c r="E2068" t="s">
        <v>7779</v>
      </c>
      <c r="F2068" t="s">
        <v>28</v>
      </c>
      <c r="G2068" t="s">
        <v>7779</v>
      </c>
      <c r="H2068" t="str">
        <f>"rpap-3"</f>
        <v>rpap-3</v>
      </c>
      <c r="I2068" t="s">
        <v>7781</v>
      </c>
      <c r="J2068">
        <v>11.891846811835901</v>
      </c>
      <c r="K2068" t="s">
        <v>29</v>
      </c>
      <c r="L2068" t="s">
        <v>29</v>
      </c>
      <c r="M2068">
        <v>11.973755656916101</v>
      </c>
      <c r="N2068">
        <v>12.2751939201311</v>
      </c>
      <c r="O2068" t="s">
        <v>29</v>
      </c>
      <c r="P2068">
        <v>0.23262797668769</v>
      </c>
      <c r="Q2068">
        <v>-0.62423689633977397</v>
      </c>
      <c r="R2068">
        <v>1.0894928497151499</v>
      </c>
      <c r="S2068">
        <v>12.1973212492898</v>
      </c>
      <c r="T2068">
        <v>0.61525323960130995</v>
      </c>
      <c r="U2068">
        <v>-6.2820562394986403</v>
      </c>
      <c r="V2068">
        <v>0.55379992912817899</v>
      </c>
      <c r="W2068">
        <v>0.95555711976758795</v>
      </c>
      <c r="X2068">
        <v>0</v>
      </c>
      <c r="Y2068">
        <v>0</v>
      </c>
    </row>
    <row r="2069" spans="1:25" x14ac:dyDescent="0.2">
      <c r="A2069" t="s">
        <v>7782</v>
      </c>
      <c r="B2069" t="s">
        <v>7783</v>
      </c>
      <c r="C2069" t="s">
        <v>7784</v>
      </c>
      <c r="D2069" t="s">
        <v>7785</v>
      </c>
      <c r="E2069" t="s">
        <v>7783</v>
      </c>
      <c r="F2069" t="s">
        <v>28</v>
      </c>
      <c r="G2069" t="s">
        <v>7783</v>
      </c>
      <c r="H2069" t="str">
        <f>"sec-10"</f>
        <v>sec-10</v>
      </c>
      <c r="I2069" t="s">
        <v>7785</v>
      </c>
      <c r="J2069" t="s">
        <v>29</v>
      </c>
      <c r="K2069" t="s">
        <v>29</v>
      </c>
      <c r="L2069" t="s">
        <v>29</v>
      </c>
      <c r="M2069">
        <v>13.5446506954002</v>
      </c>
      <c r="N2069">
        <v>11.086878538783401</v>
      </c>
      <c r="O2069">
        <v>9.8245993186933003</v>
      </c>
      <c r="P2069" t="s">
        <v>29</v>
      </c>
      <c r="Q2069" t="s">
        <v>29</v>
      </c>
      <c r="R2069" t="s">
        <v>29</v>
      </c>
      <c r="S2069">
        <v>11.628759123469001</v>
      </c>
      <c r="T2069" t="s">
        <v>29</v>
      </c>
      <c r="U2069" t="s">
        <v>29</v>
      </c>
      <c r="V2069" t="s">
        <v>29</v>
      </c>
      <c r="W2069" t="s">
        <v>29</v>
      </c>
      <c r="X2069" t="s">
        <v>29</v>
      </c>
      <c r="Y2069" t="s">
        <v>29</v>
      </c>
    </row>
    <row r="2070" spans="1:25" x14ac:dyDescent="0.2">
      <c r="A2070" t="s">
        <v>7786</v>
      </c>
      <c r="B2070" t="s">
        <v>7787</v>
      </c>
      <c r="C2070" t="s">
        <v>7788</v>
      </c>
      <c r="D2070" t="s">
        <v>7789</v>
      </c>
      <c r="E2070" t="s">
        <v>7787</v>
      </c>
      <c r="F2070" t="s">
        <v>28</v>
      </c>
      <c r="G2070" t="s">
        <v>7787</v>
      </c>
      <c r="H2070" t="str">
        <f>"rsp-6"</f>
        <v>rsp-6</v>
      </c>
      <c r="I2070" t="s">
        <v>7789</v>
      </c>
      <c r="J2070">
        <v>10.5681288341466</v>
      </c>
      <c r="K2070">
        <v>11.517007361498599</v>
      </c>
      <c r="L2070">
        <v>11.663305151307499</v>
      </c>
      <c r="M2070">
        <v>12.437668890368199</v>
      </c>
      <c r="N2070">
        <v>9.5357911326281002</v>
      </c>
      <c r="O2070" t="s">
        <v>29</v>
      </c>
      <c r="P2070">
        <v>-0.26275043748611898</v>
      </c>
      <c r="Q2070">
        <v>-1.66132697189101</v>
      </c>
      <c r="R2070">
        <v>1.1358260969187699</v>
      </c>
      <c r="S2070">
        <v>11.5423642295123</v>
      </c>
      <c r="T2070">
        <v>-0.40322653450659701</v>
      </c>
      <c r="U2070">
        <v>-6.6866841922169904</v>
      </c>
      <c r="V2070">
        <v>0.69291778440846896</v>
      </c>
      <c r="W2070">
        <v>0.98642420921484297</v>
      </c>
      <c r="X2070">
        <v>0</v>
      </c>
      <c r="Y2070">
        <v>0</v>
      </c>
    </row>
    <row r="2071" spans="1:25" x14ac:dyDescent="0.2">
      <c r="A2071" t="s">
        <v>7790</v>
      </c>
      <c r="B2071" t="s">
        <v>7791</v>
      </c>
      <c r="C2071" t="s">
        <v>7792</v>
      </c>
      <c r="D2071" t="s">
        <v>7793</v>
      </c>
      <c r="E2071" t="s">
        <v>7791</v>
      </c>
      <c r="F2071" t="s">
        <v>28</v>
      </c>
      <c r="G2071" t="s">
        <v>7791</v>
      </c>
      <c r="H2071" t="str">
        <f>"zgpa-1"</f>
        <v>zgpa-1</v>
      </c>
      <c r="I2071" t="s">
        <v>7793</v>
      </c>
      <c r="J2071">
        <v>11.1082357309005</v>
      </c>
      <c r="K2071" t="s">
        <v>29</v>
      </c>
      <c r="L2071">
        <v>11.103706817315199</v>
      </c>
      <c r="M2071" t="s">
        <v>29</v>
      </c>
      <c r="N2071" t="s">
        <v>29</v>
      </c>
      <c r="O2071" t="s">
        <v>29</v>
      </c>
      <c r="P2071" t="s">
        <v>29</v>
      </c>
      <c r="Q2071" t="s">
        <v>29</v>
      </c>
      <c r="R2071" t="s">
        <v>29</v>
      </c>
      <c r="S2071">
        <v>11.615501231414401</v>
      </c>
      <c r="T2071" t="s">
        <v>29</v>
      </c>
      <c r="U2071" t="s">
        <v>29</v>
      </c>
      <c r="V2071" t="s">
        <v>29</v>
      </c>
      <c r="W2071" t="s">
        <v>29</v>
      </c>
      <c r="X2071" t="s">
        <v>29</v>
      </c>
      <c r="Y2071" t="s">
        <v>29</v>
      </c>
    </row>
    <row r="2072" spans="1:25" x14ac:dyDescent="0.2">
      <c r="A2072" t="s">
        <v>7794</v>
      </c>
      <c r="B2072" t="s">
        <v>7795</v>
      </c>
      <c r="C2072" t="s">
        <v>7796</v>
      </c>
      <c r="D2072" t="s">
        <v>7797</v>
      </c>
      <c r="E2072" t="s">
        <v>7795</v>
      </c>
      <c r="F2072" t="s">
        <v>28</v>
      </c>
      <c r="G2072" t="s">
        <v>7795</v>
      </c>
      <c r="H2072" t="str">
        <f>"C34D4.4"</f>
        <v>C34D4.4</v>
      </c>
      <c r="I2072" t="s">
        <v>7797</v>
      </c>
      <c r="J2072">
        <v>11.529718304080401</v>
      </c>
      <c r="K2072">
        <v>11.3102722764687</v>
      </c>
      <c r="L2072">
        <v>11.9013781132163</v>
      </c>
      <c r="M2072">
        <v>11.8420793671556</v>
      </c>
      <c r="N2072">
        <v>11.451807099877</v>
      </c>
      <c r="O2072">
        <v>11.1564326690334</v>
      </c>
      <c r="P2072">
        <v>-9.7016519233122295E-2</v>
      </c>
      <c r="Q2072">
        <v>-0.67469073052754203</v>
      </c>
      <c r="R2072">
        <v>0.48065769206129799</v>
      </c>
      <c r="S2072">
        <v>11.7565597870432</v>
      </c>
      <c r="T2072">
        <v>-0.35818245984920599</v>
      </c>
      <c r="U2072">
        <v>-6.8150344029460896</v>
      </c>
      <c r="V2072">
        <v>0.72523224789923402</v>
      </c>
      <c r="W2072">
        <v>0.99057748145465696</v>
      </c>
      <c r="X2072">
        <v>0</v>
      </c>
      <c r="Y2072">
        <v>0</v>
      </c>
    </row>
    <row r="2073" spans="1:25" x14ac:dyDescent="0.2">
      <c r="A2073" t="s">
        <v>7798</v>
      </c>
      <c r="B2073" t="s">
        <v>7799</v>
      </c>
      <c r="C2073" t="s">
        <v>7800</v>
      </c>
      <c r="D2073" t="s">
        <v>7801</v>
      </c>
      <c r="E2073" t="s">
        <v>7799</v>
      </c>
      <c r="F2073" t="s">
        <v>28</v>
      </c>
      <c r="G2073" t="s">
        <v>7799</v>
      </c>
      <c r="H2073" t="str">
        <f>"rsd-3"</f>
        <v>rsd-3</v>
      </c>
      <c r="I2073" t="s">
        <v>7801</v>
      </c>
      <c r="J2073" t="s">
        <v>29</v>
      </c>
      <c r="K2073" t="s">
        <v>29</v>
      </c>
      <c r="L2073">
        <v>11.0015702905054</v>
      </c>
      <c r="M2073">
        <v>14.0942845226363</v>
      </c>
      <c r="N2073">
        <v>14.691136517307299</v>
      </c>
      <c r="O2073">
        <v>14.6517173474481</v>
      </c>
      <c r="P2073">
        <v>3.4774758386252098</v>
      </c>
      <c r="Q2073">
        <v>2.2178449168848502</v>
      </c>
      <c r="R2073">
        <v>4.7371067603655703</v>
      </c>
      <c r="S2073">
        <v>14.0983303239032</v>
      </c>
      <c r="T2073">
        <v>5.8879269581848899</v>
      </c>
      <c r="U2073">
        <v>2.6447557138744102</v>
      </c>
      <c r="V2073" s="2">
        <v>3.06769158314059E-5</v>
      </c>
      <c r="W2073">
        <v>1.8482926868194801E-3</v>
      </c>
      <c r="X2073">
        <v>1</v>
      </c>
      <c r="Y2073">
        <v>1</v>
      </c>
    </row>
    <row r="2074" spans="1:25" x14ac:dyDescent="0.2">
      <c r="A2074" t="s">
        <v>7802</v>
      </c>
      <c r="B2074" t="s">
        <v>7803</v>
      </c>
      <c r="C2074" t="s">
        <v>7804</v>
      </c>
      <c r="D2074" t="s">
        <v>7805</v>
      </c>
      <c r="E2074" t="s">
        <v>7803</v>
      </c>
      <c r="F2074" t="s">
        <v>28</v>
      </c>
      <c r="G2074" t="s">
        <v>7803</v>
      </c>
      <c r="H2074" t="str">
        <f>"C35A5.8"</f>
        <v>C35A5.8</v>
      </c>
      <c r="I2074" t="s">
        <v>7805</v>
      </c>
      <c r="J2074">
        <v>14.8709006474806</v>
      </c>
      <c r="K2074">
        <v>14.7099745836578</v>
      </c>
      <c r="L2074">
        <v>14.9154597264078</v>
      </c>
      <c r="M2074">
        <v>14.8119719664853</v>
      </c>
      <c r="N2074">
        <v>14.9570167787597</v>
      </c>
      <c r="O2074">
        <v>14.806272951408699</v>
      </c>
      <c r="P2074">
        <v>2.63089130358534E-2</v>
      </c>
      <c r="Q2074">
        <v>-0.361971557097929</v>
      </c>
      <c r="R2074">
        <v>0.41458938316963601</v>
      </c>
      <c r="S2074">
        <v>15.038860512621399</v>
      </c>
      <c r="T2074">
        <v>0.142413077578908</v>
      </c>
      <c r="U2074">
        <v>-6.8718985990280101</v>
      </c>
      <c r="V2074">
        <v>0.88834491166539598</v>
      </c>
      <c r="W2074">
        <v>0.99702926582654094</v>
      </c>
      <c r="X2074">
        <v>0</v>
      </c>
      <c r="Y2074">
        <v>0</v>
      </c>
    </row>
    <row r="2075" spans="1:25" x14ac:dyDescent="0.2">
      <c r="A2075" t="s">
        <v>7806</v>
      </c>
      <c r="B2075" t="s">
        <v>7807</v>
      </c>
      <c r="C2075" t="s">
        <v>7808</v>
      </c>
      <c r="D2075" t="s">
        <v>3312</v>
      </c>
      <c r="E2075" t="s">
        <v>7807</v>
      </c>
      <c r="F2075" t="s">
        <v>28</v>
      </c>
      <c r="G2075" t="s">
        <v>7807</v>
      </c>
      <c r="H2075" t="str">
        <f>"col-175"</f>
        <v>col-175</v>
      </c>
      <c r="I2075" t="s">
        <v>3312</v>
      </c>
      <c r="J2075">
        <v>12.2247105949094</v>
      </c>
      <c r="K2075">
        <v>12.221335004273</v>
      </c>
      <c r="L2075">
        <v>12.6195727913108</v>
      </c>
      <c r="M2075">
        <v>12.1711785286066</v>
      </c>
      <c r="N2075">
        <v>11.965043700524401</v>
      </c>
      <c r="O2075">
        <v>12.3307037064908</v>
      </c>
      <c r="P2075">
        <v>-0.19956415162383001</v>
      </c>
      <c r="Q2075">
        <v>-0.81642269864165595</v>
      </c>
      <c r="R2075">
        <v>0.41729439539399499</v>
      </c>
      <c r="S2075">
        <v>12.263498723267199</v>
      </c>
      <c r="T2075">
        <v>-0.68619330022404801</v>
      </c>
      <c r="U2075">
        <v>-6.6384616127222902</v>
      </c>
      <c r="V2075">
        <v>0.502478735133425</v>
      </c>
      <c r="W2075">
        <v>0.94062983959761604</v>
      </c>
      <c r="X2075">
        <v>0</v>
      </c>
      <c r="Y2075">
        <v>0</v>
      </c>
    </row>
    <row r="2076" spans="1:25" x14ac:dyDescent="0.2">
      <c r="A2076" t="s">
        <v>7809</v>
      </c>
      <c r="B2076" t="s">
        <v>7810</v>
      </c>
      <c r="C2076" t="s">
        <v>7811</v>
      </c>
      <c r="D2076" t="s">
        <v>7812</v>
      </c>
      <c r="E2076" t="s">
        <v>7810</v>
      </c>
      <c r="F2076" t="s">
        <v>28</v>
      </c>
      <c r="G2076" t="s">
        <v>7810</v>
      </c>
      <c r="H2076" t="str">
        <f>"C35D10.10"</f>
        <v>C35D10.10</v>
      </c>
      <c r="I2076" t="s">
        <v>7812</v>
      </c>
      <c r="J2076">
        <v>12.6055602881359</v>
      </c>
      <c r="K2076">
        <v>12.2198362960444</v>
      </c>
      <c r="L2076">
        <v>12.8453018288777</v>
      </c>
      <c r="M2076" t="s">
        <v>29</v>
      </c>
      <c r="N2076">
        <v>12.6420657653058</v>
      </c>
      <c r="O2076">
        <v>12.410458086283599</v>
      </c>
      <c r="P2076">
        <v>-3.06375452246321E-2</v>
      </c>
      <c r="Q2076">
        <v>-0.67602913330853498</v>
      </c>
      <c r="R2076">
        <v>0.61475404285927104</v>
      </c>
      <c r="S2076">
        <v>12.579438265423301</v>
      </c>
      <c r="T2076">
        <v>-0.101244693642522</v>
      </c>
      <c r="U2076">
        <v>-6.7668076088109999</v>
      </c>
      <c r="V2076">
        <v>0.92070651285072902</v>
      </c>
      <c r="W2076">
        <v>0.99843270744267199</v>
      </c>
      <c r="X2076">
        <v>0</v>
      </c>
      <c r="Y2076">
        <v>0</v>
      </c>
    </row>
    <row r="2077" spans="1:25" x14ac:dyDescent="0.2">
      <c r="A2077" t="s">
        <v>7813</v>
      </c>
      <c r="B2077" t="s">
        <v>7814</v>
      </c>
      <c r="C2077" t="s">
        <v>7815</v>
      </c>
      <c r="D2077" t="s">
        <v>7816</v>
      </c>
      <c r="E2077" t="s">
        <v>7814</v>
      </c>
      <c r="F2077" t="s">
        <v>28</v>
      </c>
      <c r="G2077" t="s">
        <v>7814</v>
      </c>
      <c r="H2077" t="str">
        <f>"coq-8"</f>
        <v>coq-8</v>
      </c>
      <c r="I2077" t="s">
        <v>7816</v>
      </c>
      <c r="J2077">
        <v>11.682433650772101</v>
      </c>
      <c r="K2077">
        <v>11.816184200640199</v>
      </c>
      <c r="L2077">
        <v>12.231727580980699</v>
      </c>
      <c r="M2077">
        <v>12.1694545713948</v>
      </c>
      <c r="N2077">
        <v>12.082508534293</v>
      </c>
      <c r="O2077">
        <v>12.1388252940718</v>
      </c>
      <c r="P2077">
        <v>0.22014765578887299</v>
      </c>
      <c r="Q2077">
        <v>-0.294089486762313</v>
      </c>
      <c r="R2077">
        <v>0.73438479834005899</v>
      </c>
      <c r="S2077">
        <v>12.1158818594233</v>
      </c>
      <c r="T2077">
        <v>0.90365079829693196</v>
      </c>
      <c r="U2077">
        <v>-6.4646138855316</v>
      </c>
      <c r="V2077">
        <v>0.378885221930362</v>
      </c>
      <c r="W2077">
        <v>0.89676491877082198</v>
      </c>
      <c r="X2077">
        <v>0</v>
      </c>
      <c r="Y2077">
        <v>0</v>
      </c>
    </row>
    <row r="2078" spans="1:25" x14ac:dyDescent="0.2">
      <c r="A2078" t="s">
        <v>7817</v>
      </c>
      <c r="B2078" t="s">
        <v>7818</v>
      </c>
      <c r="C2078" t="s">
        <v>7819</v>
      </c>
      <c r="D2078" t="s">
        <v>595</v>
      </c>
      <c r="E2078" t="s">
        <v>7818</v>
      </c>
      <c r="F2078" t="s">
        <v>28</v>
      </c>
      <c r="G2078" t="s">
        <v>7818</v>
      </c>
      <c r="H2078" t="str">
        <f>"maph-1.3"</f>
        <v>maph-1.3</v>
      </c>
      <c r="I2078" t="s">
        <v>595</v>
      </c>
      <c r="J2078">
        <v>12.9173693556068</v>
      </c>
      <c r="K2078">
        <v>13.489522416460501</v>
      </c>
      <c r="L2078">
        <v>13.871862240606299</v>
      </c>
      <c r="M2078">
        <v>11.744277532348001</v>
      </c>
      <c r="N2078">
        <v>11.965943238031899</v>
      </c>
      <c r="O2078">
        <v>12.231461741441899</v>
      </c>
      <c r="P2078">
        <v>-1.44569050028395</v>
      </c>
      <c r="Q2078">
        <v>-2.54678563047363</v>
      </c>
      <c r="R2078">
        <v>-0.344595370094267</v>
      </c>
      <c r="S2078">
        <v>12.9317354190944</v>
      </c>
      <c r="T2078">
        <v>-2.7848385051431301</v>
      </c>
      <c r="U2078">
        <v>-3.5680687883482198</v>
      </c>
      <c r="V2078">
        <v>1.3310854047061499E-2</v>
      </c>
      <c r="W2078">
        <v>0.21714961896382701</v>
      </c>
      <c r="X2078">
        <v>-1</v>
      </c>
      <c r="Y2078">
        <v>0</v>
      </c>
    </row>
    <row r="2079" spans="1:25" x14ac:dyDescent="0.2">
      <c r="A2079" t="s">
        <v>7820</v>
      </c>
      <c r="B2079" t="s">
        <v>7821</v>
      </c>
      <c r="C2079" t="s">
        <v>7822</v>
      </c>
      <c r="D2079" t="s">
        <v>7823</v>
      </c>
      <c r="E2079" t="s">
        <v>7821</v>
      </c>
      <c r="F2079" t="s">
        <v>28</v>
      </c>
      <c r="G2079" t="s">
        <v>7821</v>
      </c>
      <c r="H2079" t="str">
        <f>"acs-19"</f>
        <v>acs-19</v>
      </c>
      <c r="I2079" t="s">
        <v>7823</v>
      </c>
      <c r="J2079">
        <v>17.709918326630198</v>
      </c>
      <c r="K2079">
        <v>17.731216852628901</v>
      </c>
      <c r="L2079">
        <v>17.015259400289199</v>
      </c>
      <c r="M2079">
        <v>17.128355641302701</v>
      </c>
      <c r="N2079">
        <v>17.085029762929299</v>
      </c>
      <c r="O2079">
        <v>17.366877202497999</v>
      </c>
      <c r="P2079">
        <v>-0.29204399093943001</v>
      </c>
      <c r="Q2079">
        <v>-0.71288262770474198</v>
      </c>
      <c r="R2079">
        <v>0.12879464582588299</v>
      </c>
      <c r="S2079">
        <v>16.5866949506038</v>
      </c>
      <c r="T2079">
        <v>-1.45856296738997</v>
      </c>
      <c r="U2079">
        <v>-5.8328176241835896</v>
      </c>
      <c r="V2079">
        <v>0.16201452677321601</v>
      </c>
      <c r="W2079">
        <v>0.76371720269300603</v>
      </c>
      <c r="X2079">
        <v>0</v>
      </c>
      <c r="Y2079">
        <v>0</v>
      </c>
    </row>
    <row r="2080" spans="1:25" x14ac:dyDescent="0.2">
      <c r="A2080" t="s">
        <v>7824</v>
      </c>
      <c r="B2080" t="s">
        <v>7825</v>
      </c>
      <c r="C2080" t="s">
        <v>7826</v>
      </c>
      <c r="D2080" t="s">
        <v>7827</v>
      </c>
      <c r="E2080" t="s">
        <v>7825</v>
      </c>
      <c r="F2080" t="s">
        <v>28</v>
      </c>
      <c r="G2080" t="s">
        <v>7825</v>
      </c>
      <c r="H2080" t="str">
        <f>"mel-28"</f>
        <v>mel-28</v>
      </c>
      <c r="I2080" t="s">
        <v>7827</v>
      </c>
      <c r="J2080">
        <v>13.3350332784985</v>
      </c>
      <c r="K2080">
        <v>13.253310501572701</v>
      </c>
      <c r="L2080">
        <v>13.1580356457162</v>
      </c>
      <c r="M2080">
        <v>13.1571433111784</v>
      </c>
      <c r="N2080">
        <v>13.049812174697299</v>
      </c>
      <c r="O2080">
        <v>13.0839966456062</v>
      </c>
      <c r="P2080">
        <v>-0.151809098101857</v>
      </c>
      <c r="Q2080">
        <v>-0.55092696481579595</v>
      </c>
      <c r="R2080">
        <v>0.24730876861208201</v>
      </c>
      <c r="S2080">
        <v>13.517475954382</v>
      </c>
      <c r="T2080">
        <v>-0.80287261265659304</v>
      </c>
      <c r="U2080">
        <v>-6.5509805685376001</v>
      </c>
      <c r="V2080">
        <v>0.433198443402314</v>
      </c>
      <c r="W2080">
        <v>0.91512503332874395</v>
      </c>
      <c r="X2080">
        <v>0</v>
      </c>
      <c r="Y2080">
        <v>0</v>
      </c>
    </row>
    <row r="2081" spans="1:25" x14ac:dyDescent="0.2">
      <c r="A2081" t="s">
        <v>7828</v>
      </c>
      <c r="B2081" t="s">
        <v>7829</v>
      </c>
      <c r="C2081" t="s">
        <v>7830</v>
      </c>
      <c r="D2081" t="s">
        <v>522</v>
      </c>
      <c r="E2081" t="s">
        <v>7829</v>
      </c>
      <c r="F2081" t="s">
        <v>28</v>
      </c>
      <c r="G2081" t="s">
        <v>7829</v>
      </c>
      <c r="H2081" t="str">
        <f>"mip-1"</f>
        <v>mip-1</v>
      </c>
      <c r="I2081" t="s">
        <v>522</v>
      </c>
      <c r="J2081">
        <v>10.0033074843442</v>
      </c>
      <c r="K2081">
        <v>13.5031469415605</v>
      </c>
      <c r="L2081">
        <v>10.8325749351255</v>
      </c>
      <c r="M2081">
        <v>10.278668992312101</v>
      </c>
      <c r="N2081">
        <v>11.543654411493799</v>
      </c>
      <c r="O2081" t="s">
        <v>29</v>
      </c>
      <c r="P2081">
        <v>-0.535181418440414</v>
      </c>
      <c r="Q2081">
        <v>-2.1275867608842298</v>
      </c>
      <c r="R2081">
        <v>1.0572239240034</v>
      </c>
      <c r="S2081">
        <v>12.2367924788616</v>
      </c>
      <c r="T2081">
        <v>-0.72666567255385095</v>
      </c>
      <c r="U2081">
        <v>-6.4970350055145198</v>
      </c>
      <c r="V2081">
        <v>0.480414797217109</v>
      </c>
      <c r="W2081">
        <v>0.93764446794243095</v>
      </c>
      <c r="X2081">
        <v>0</v>
      </c>
      <c r="Y2081">
        <v>0</v>
      </c>
    </row>
    <row r="2082" spans="1:25" x14ac:dyDescent="0.2">
      <c r="A2082" t="s">
        <v>7831</v>
      </c>
      <c r="B2082" t="s">
        <v>7832</v>
      </c>
      <c r="C2082" t="s">
        <v>7833</v>
      </c>
      <c r="D2082" t="s">
        <v>7834</v>
      </c>
      <c r="E2082" t="s">
        <v>7832</v>
      </c>
      <c r="F2082" t="s">
        <v>28</v>
      </c>
      <c r="G2082" t="s">
        <v>7832</v>
      </c>
      <c r="H2082" t="str">
        <f>"C38H2.2"</f>
        <v>C38H2.2</v>
      </c>
      <c r="I2082" t="s">
        <v>7834</v>
      </c>
      <c r="J2082">
        <v>10.7100836404323</v>
      </c>
      <c r="K2082" t="s">
        <v>29</v>
      </c>
      <c r="L2082" t="s">
        <v>29</v>
      </c>
      <c r="M2082" t="s">
        <v>29</v>
      </c>
      <c r="N2082" t="s">
        <v>29</v>
      </c>
      <c r="O2082" t="s">
        <v>29</v>
      </c>
      <c r="P2082" t="s">
        <v>29</v>
      </c>
      <c r="Q2082" t="s">
        <v>29</v>
      </c>
      <c r="R2082" t="s">
        <v>29</v>
      </c>
      <c r="S2082">
        <v>10.3621358667852</v>
      </c>
      <c r="T2082" t="s">
        <v>29</v>
      </c>
      <c r="U2082" t="s">
        <v>29</v>
      </c>
      <c r="V2082" t="s">
        <v>29</v>
      </c>
      <c r="W2082" t="s">
        <v>29</v>
      </c>
      <c r="X2082" t="s">
        <v>29</v>
      </c>
      <c r="Y2082" t="s">
        <v>29</v>
      </c>
    </row>
    <row r="2083" spans="1:25" x14ac:dyDescent="0.2">
      <c r="A2083" t="s">
        <v>7835</v>
      </c>
      <c r="B2083" t="s">
        <v>7836</v>
      </c>
      <c r="C2083" t="s">
        <v>7837</v>
      </c>
      <c r="D2083" t="s">
        <v>1350</v>
      </c>
      <c r="E2083" t="s">
        <v>7836</v>
      </c>
      <c r="F2083" t="s">
        <v>28</v>
      </c>
      <c r="G2083" t="s">
        <v>7836</v>
      </c>
      <c r="H2083" t="str">
        <f>"C39D10.7"</f>
        <v>C39D10.7</v>
      </c>
      <c r="I2083" t="s">
        <v>1350</v>
      </c>
      <c r="J2083">
        <v>14.513682428659701</v>
      </c>
      <c r="K2083">
        <v>15.0638764844701</v>
      </c>
      <c r="L2083">
        <v>16.122713744334501</v>
      </c>
      <c r="M2083">
        <v>14.5361554180437</v>
      </c>
      <c r="N2083">
        <v>14.0540846175106</v>
      </c>
      <c r="O2083">
        <v>16.121980267328599</v>
      </c>
      <c r="P2083">
        <v>-0.32935078486043601</v>
      </c>
      <c r="Q2083">
        <v>-1.4981296808053799</v>
      </c>
      <c r="R2083">
        <v>0.83942811108450899</v>
      </c>
      <c r="S2083">
        <v>15.566768076894499</v>
      </c>
      <c r="T2083">
        <v>-0.59226879942525201</v>
      </c>
      <c r="U2083">
        <v>-6.7009979791093102</v>
      </c>
      <c r="V2083">
        <v>0.56108029279469995</v>
      </c>
      <c r="W2083">
        <v>0.95650569706421396</v>
      </c>
      <c r="X2083">
        <v>0</v>
      </c>
      <c r="Y2083">
        <v>0</v>
      </c>
    </row>
    <row r="2084" spans="1:25" x14ac:dyDescent="0.2">
      <c r="A2084" t="s">
        <v>7838</v>
      </c>
      <c r="B2084" t="s">
        <v>7839</v>
      </c>
      <c r="C2084" t="s">
        <v>7840</v>
      </c>
      <c r="D2084" t="s">
        <v>7841</v>
      </c>
      <c r="E2084" t="s">
        <v>7839</v>
      </c>
      <c r="F2084" t="s">
        <v>28</v>
      </c>
      <c r="G2084" t="s">
        <v>7839</v>
      </c>
      <c r="H2084" t="str">
        <f>"rfc-3"</f>
        <v>rfc-3</v>
      </c>
      <c r="I2084" t="s">
        <v>7841</v>
      </c>
      <c r="J2084">
        <v>13.725529968129401</v>
      </c>
      <c r="K2084">
        <v>13.441506370977599</v>
      </c>
      <c r="L2084">
        <v>13.7825133302496</v>
      </c>
      <c r="M2084">
        <v>13.8651026495286</v>
      </c>
      <c r="N2084">
        <v>13.956711144588001</v>
      </c>
      <c r="O2084">
        <v>13.672436407801101</v>
      </c>
      <c r="P2084">
        <v>0.18156684418709201</v>
      </c>
      <c r="Q2084">
        <v>-0.25342608147774798</v>
      </c>
      <c r="R2084">
        <v>0.61655976985193195</v>
      </c>
      <c r="S2084">
        <v>14.0130958584129</v>
      </c>
      <c r="T2084">
        <v>0.87729744448019098</v>
      </c>
      <c r="U2084">
        <v>-6.4888427553543204</v>
      </c>
      <c r="V2084">
        <v>0.39195112057294901</v>
      </c>
      <c r="W2084">
        <v>0.90920284405177998</v>
      </c>
      <c r="X2084">
        <v>0</v>
      </c>
      <c r="Y2084">
        <v>0</v>
      </c>
    </row>
    <row r="2085" spans="1:25" x14ac:dyDescent="0.2">
      <c r="A2085" t="s">
        <v>7842</v>
      </c>
      <c r="B2085" t="s">
        <v>7843</v>
      </c>
      <c r="C2085" t="s">
        <v>7844</v>
      </c>
      <c r="D2085" t="s">
        <v>2221</v>
      </c>
      <c r="E2085" t="s">
        <v>7843</v>
      </c>
      <c r="F2085" t="s">
        <v>28</v>
      </c>
      <c r="G2085" t="s">
        <v>7843</v>
      </c>
      <c r="H2085" t="str">
        <f>"ttbk-8.2"</f>
        <v>ttbk-8.2</v>
      </c>
      <c r="I2085" t="s">
        <v>2221</v>
      </c>
      <c r="J2085">
        <v>14.169345698813199</v>
      </c>
      <c r="K2085">
        <v>14.1526520067444</v>
      </c>
      <c r="L2085">
        <v>14.317257204809399</v>
      </c>
      <c r="M2085">
        <v>14.034740607806301</v>
      </c>
      <c r="N2085">
        <v>14.1464232744291</v>
      </c>
      <c r="O2085">
        <v>14.120982254860699</v>
      </c>
      <c r="P2085">
        <v>-0.112369591090292</v>
      </c>
      <c r="Q2085">
        <v>-0.67174242915331295</v>
      </c>
      <c r="R2085">
        <v>0.44700324697272797</v>
      </c>
      <c r="S2085">
        <v>13.5772808517222</v>
      </c>
      <c r="T2085">
        <v>-0.424030835376902</v>
      </c>
      <c r="U2085">
        <v>-6.7887520711216096</v>
      </c>
      <c r="V2085">
        <v>0.676893099765281</v>
      </c>
      <c r="W2085">
        <v>0.98642420921484297</v>
      </c>
      <c r="X2085">
        <v>0</v>
      </c>
      <c r="Y2085">
        <v>0</v>
      </c>
    </row>
    <row r="2086" spans="1:25" x14ac:dyDescent="0.2">
      <c r="A2086" t="s">
        <v>7845</v>
      </c>
      <c r="B2086" t="s">
        <v>7846</v>
      </c>
      <c r="C2086" t="s">
        <v>7847</v>
      </c>
      <c r="D2086" t="s">
        <v>1292</v>
      </c>
      <c r="E2086" t="s">
        <v>7846</v>
      </c>
      <c r="F2086" t="s">
        <v>28</v>
      </c>
      <c r="G2086" t="s">
        <v>7846</v>
      </c>
      <c r="H2086" t="str">
        <f>"rpc-1"</f>
        <v>rpc-1</v>
      </c>
      <c r="I2086" t="s">
        <v>1292</v>
      </c>
      <c r="J2086" t="s">
        <v>29</v>
      </c>
      <c r="K2086" t="s">
        <v>29</v>
      </c>
      <c r="L2086">
        <v>11.7064817527642</v>
      </c>
      <c r="M2086" t="s">
        <v>29</v>
      </c>
      <c r="N2086" t="s">
        <v>29</v>
      </c>
      <c r="O2086" t="s">
        <v>29</v>
      </c>
      <c r="P2086" t="s">
        <v>29</v>
      </c>
      <c r="Q2086" t="s">
        <v>29</v>
      </c>
      <c r="R2086" t="s">
        <v>29</v>
      </c>
      <c r="S2086">
        <v>11.6313592633593</v>
      </c>
      <c r="T2086" t="s">
        <v>29</v>
      </c>
      <c r="U2086" t="s">
        <v>29</v>
      </c>
      <c r="V2086" t="s">
        <v>29</v>
      </c>
      <c r="W2086" t="s">
        <v>29</v>
      </c>
      <c r="X2086" t="s">
        <v>29</v>
      </c>
      <c r="Y2086" t="s">
        <v>29</v>
      </c>
    </row>
    <row r="2087" spans="1:25" x14ac:dyDescent="0.2">
      <c r="A2087" t="s">
        <v>7848</v>
      </c>
      <c r="B2087" t="s">
        <v>7849</v>
      </c>
      <c r="C2087" t="s">
        <v>7850</v>
      </c>
      <c r="D2087" t="s">
        <v>1866</v>
      </c>
      <c r="E2087" t="s">
        <v>7849</v>
      </c>
      <c r="F2087" t="s">
        <v>28</v>
      </c>
      <c r="G2087" t="s">
        <v>7849</v>
      </c>
      <c r="H2087" t="str">
        <f>"pmp-1"</f>
        <v>pmp-1</v>
      </c>
      <c r="I2087" t="s">
        <v>1866</v>
      </c>
      <c r="J2087">
        <v>15.176437492416699</v>
      </c>
      <c r="K2087">
        <v>15.232784034941799</v>
      </c>
      <c r="L2087">
        <v>15.173187258056201</v>
      </c>
      <c r="M2087">
        <v>15.260722892445701</v>
      </c>
      <c r="N2087">
        <v>15.219153497886399</v>
      </c>
      <c r="O2087">
        <v>15.1026054821627</v>
      </c>
      <c r="P2087" s="2">
        <v>2.4362360052876401E-5</v>
      </c>
      <c r="Q2087">
        <v>-0.35156054067426101</v>
      </c>
      <c r="R2087">
        <v>0.35160926539436699</v>
      </c>
      <c r="S2087">
        <v>15.2647072481682</v>
      </c>
      <c r="T2087">
        <v>1.4564032929658199E-4</v>
      </c>
      <c r="U2087">
        <v>-6.8824895633378604</v>
      </c>
      <c r="V2087">
        <v>0.99988540712376905</v>
      </c>
      <c r="W2087">
        <v>0.99996163501229596</v>
      </c>
      <c r="X2087">
        <v>0</v>
      </c>
      <c r="Y2087">
        <v>0</v>
      </c>
    </row>
    <row r="2088" spans="1:25" x14ac:dyDescent="0.2">
      <c r="A2088" t="s">
        <v>7851</v>
      </c>
      <c r="B2088" t="s">
        <v>7852</v>
      </c>
      <c r="C2088" t="s">
        <v>7853</v>
      </c>
      <c r="D2088" t="s">
        <v>7854</v>
      </c>
      <c r="E2088" t="s">
        <v>7852</v>
      </c>
      <c r="F2088" t="s">
        <v>28</v>
      </c>
      <c r="G2088" t="s">
        <v>7852</v>
      </c>
      <c r="H2088" t="str">
        <f>"pmp-2"</f>
        <v>pmp-2</v>
      </c>
      <c r="I2088" t="s">
        <v>7854</v>
      </c>
      <c r="J2088">
        <v>15.4607389758227</v>
      </c>
      <c r="K2088">
        <v>15.7847656568693</v>
      </c>
      <c r="L2088">
        <v>15.964743618495699</v>
      </c>
      <c r="M2088">
        <v>15.707736538338199</v>
      </c>
      <c r="N2088">
        <v>15.766641035184</v>
      </c>
      <c r="O2088">
        <v>15.6177031245964</v>
      </c>
      <c r="P2088">
        <v>-3.9389184356389599E-2</v>
      </c>
      <c r="Q2088">
        <v>-0.48304036463273597</v>
      </c>
      <c r="R2088">
        <v>0.40426199591995698</v>
      </c>
      <c r="S2088">
        <v>16.1691667024525</v>
      </c>
      <c r="T2088">
        <v>-0.18660696939834101</v>
      </c>
      <c r="U2088">
        <v>-6.8643129221260697</v>
      </c>
      <c r="V2088">
        <v>0.85406800321153797</v>
      </c>
      <c r="W2088">
        <v>0.99370971747667503</v>
      </c>
      <c r="X2088">
        <v>0</v>
      </c>
      <c r="Y2088">
        <v>0</v>
      </c>
    </row>
    <row r="2089" spans="1:25" x14ac:dyDescent="0.2">
      <c r="A2089" t="s">
        <v>7855</v>
      </c>
      <c r="B2089" t="s">
        <v>7856</v>
      </c>
      <c r="C2089" t="s">
        <v>7857</v>
      </c>
      <c r="D2089" t="s">
        <v>6975</v>
      </c>
      <c r="E2089" t="s">
        <v>7856</v>
      </c>
      <c r="F2089" t="s">
        <v>28</v>
      </c>
      <c r="G2089" t="s">
        <v>7856</v>
      </c>
      <c r="H2089" t="str">
        <f>"acer-1"</f>
        <v>acer-1</v>
      </c>
      <c r="I2089" t="s">
        <v>6975</v>
      </c>
      <c r="J2089">
        <v>19.3171502354033</v>
      </c>
      <c r="K2089">
        <v>19.463831648768299</v>
      </c>
      <c r="L2089">
        <v>18.911649119084199</v>
      </c>
      <c r="M2089">
        <v>18.985640423061199</v>
      </c>
      <c r="N2089">
        <v>18.8944166837904</v>
      </c>
      <c r="O2089">
        <v>19.1100261030954</v>
      </c>
      <c r="P2089">
        <v>-0.23418259776959299</v>
      </c>
      <c r="Q2089">
        <v>-0.83081860570312804</v>
      </c>
      <c r="R2089">
        <v>0.362453410163943</v>
      </c>
      <c r="S2089">
        <v>18.625158758736902</v>
      </c>
      <c r="T2089">
        <v>-0.824969081600468</v>
      </c>
      <c r="U2089">
        <v>-6.5335541663187904</v>
      </c>
      <c r="V2089">
        <v>0.42025067369020402</v>
      </c>
      <c r="W2089">
        <v>0.91512503332874395</v>
      </c>
      <c r="X2089">
        <v>0</v>
      </c>
      <c r="Y2089">
        <v>0</v>
      </c>
    </row>
    <row r="2090" spans="1:25" x14ac:dyDescent="0.2">
      <c r="A2090" t="s">
        <v>7858</v>
      </c>
      <c r="B2090" t="s">
        <v>7859</v>
      </c>
      <c r="C2090" t="s">
        <v>7860</v>
      </c>
      <c r="D2090" t="s">
        <v>7861</v>
      </c>
      <c r="E2090" t="s">
        <v>7859</v>
      </c>
      <c r="F2090" t="s">
        <v>28</v>
      </c>
      <c r="G2090" t="s">
        <v>7859</v>
      </c>
      <c r="H2090" t="str">
        <f>"C44B7.11"</f>
        <v>C44B7.11</v>
      </c>
      <c r="I2090" t="s">
        <v>7861</v>
      </c>
      <c r="J2090">
        <v>12.5411249823623</v>
      </c>
      <c r="K2090" t="s">
        <v>29</v>
      </c>
      <c r="L2090" t="s">
        <v>29</v>
      </c>
      <c r="M2090">
        <v>12.1562035853482</v>
      </c>
      <c r="N2090">
        <v>12.010431562518599</v>
      </c>
      <c r="O2090">
        <v>14.4027735549616</v>
      </c>
      <c r="P2090">
        <v>0.31534458524714098</v>
      </c>
      <c r="Q2090">
        <v>-1.3692669146546499</v>
      </c>
      <c r="R2090">
        <v>1.99995608514894</v>
      </c>
      <c r="S2090">
        <v>12.2643037383649</v>
      </c>
      <c r="T2090">
        <v>0.40825417019150401</v>
      </c>
      <c r="U2090">
        <v>-6.45317291321419</v>
      </c>
      <c r="V2090">
        <v>0.69034019999434004</v>
      </c>
      <c r="W2090">
        <v>0.98642420921484297</v>
      </c>
      <c r="X2090">
        <v>0</v>
      </c>
      <c r="Y2090">
        <v>0</v>
      </c>
    </row>
    <row r="2091" spans="1:25" x14ac:dyDescent="0.2">
      <c r="A2091" t="s">
        <v>7862</v>
      </c>
      <c r="B2091" t="s">
        <v>7863</v>
      </c>
      <c r="C2091" t="s">
        <v>7864</v>
      </c>
      <c r="D2091" t="s">
        <v>844</v>
      </c>
      <c r="E2091" t="s">
        <v>7863</v>
      </c>
      <c r="F2091" t="s">
        <v>28</v>
      </c>
      <c r="G2091" t="s">
        <v>7863</v>
      </c>
      <c r="H2091" t="str">
        <f>"athp-1"</f>
        <v>athp-1</v>
      </c>
      <c r="I2091" t="s">
        <v>844</v>
      </c>
      <c r="J2091" t="s">
        <v>29</v>
      </c>
      <c r="K2091" t="s">
        <v>29</v>
      </c>
      <c r="L2091" t="s">
        <v>29</v>
      </c>
      <c r="M2091" t="s">
        <v>29</v>
      </c>
      <c r="N2091" t="s">
        <v>29</v>
      </c>
      <c r="O2091" t="s">
        <v>29</v>
      </c>
      <c r="P2091" t="s">
        <v>29</v>
      </c>
      <c r="Q2091" t="s">
        <v>29</v>
      </c>
      <c r="R2091" t="s">
        <v>29</v>
      </c>
      <c r="S2091">
        <v>10.5806043231508</v>
      </c>
      <c r="T2091" t="s">
        <v>29</v>
      </c>
      <c r="U2091" t="s">
        <v>29</v>
      </c>
      <c r="V2091" t="s">
        <v>29</v>
      </c>
      <c r="W2091" t="s">
        <v>29</v>
      </c>
      <c r="X2091" t="s">
        <v>29</v>
      </c>
      <c r="Y2091" t="s">
        <v>29</v>
      </c>
    </row>
    <row r="2092" spans="1:25" x14ac:dyDescent="0.2">
      <c r="A2092" t="s">
        <v>7865</v>
      </c>
      <c r="B2092" t="s">
        <v>7866</v>
      </c>
      <c r="C2092" t="s">
        <v>7867</v>
      </c>
      <c r="D2092" t="s">
        <v>7868</v>
      </c>
      <c r="E2092" t="s">
        <v>7866</v>
      </c>
      <c r="F2092" t="s">
        <v>28</v>
      </c>
      <c r="G2092" t="s">
        <v>7866</v>
      </c>
      <c r="H2092" t="str">
        <f>"abhd-3.2"</f>
        <v>abhd-3.2</v>
      </c>
      <c r="I2092" t="s">
        <v>7868</v>
      </c>
      <c r="J2092">
        <v>13.5731965243549</v>
      </c>
      <c r="K2092">
        <v>12.8611433662099</v>
      </c>
      <c r="L2092">
        <v>13.377288818971699</v>
      </c>
      <c r="M2092">
        <v>13.6169536962656</v>
      </c>
      <c r="N2092">
        <v>14.1450859959212</v>
      </c>
      <c r="O2092" t="s">
        <v>29</v>
      </c>
      <c r="P2092">
        <v>0.61047694291452503</v>
      </c>
      <c r="Q2092">
        <v>3.09336776786991E-2</v>
      </c>
      <c r="R2092">
        <v>1.1900202081503499</v>
      </c>
      <c r="S2092">
        <v>13.6348856962037</v>
      </c>
      <c r="T2092">
        <v>2.2342559965034301</v>
      </c>
      <c r="U2092">
        <v>-4.4990738423861103</v>
      </c>
      <c r="V2092">
        <v>4.0187348935657598E-2</v>
      </c>
      <c r="W2092">
        <v>0.435646570872536</v>
      </c>
      <c r="X2092">
        <v>0</v>
      </c>
      <c r="Y2092">
        <v>0</v>
      </c>
    </row>
    <row r="2093" spans="1:25" x14ac:dyDescent="0.2">
      <c r="A2093" t="s">
        <v>7869</v>
      </c>
      <c r="B2093" t="s">
        <v>7870</v>
      </c>
      <c r="C2093" t="s">
        <v>7871</v>
      </c>
      <c r="D2093" t="s">
        <v>796</v>
      </c>
      <c r="E2093" t="s">
        <v>7870</v>
      </c>
      <c r="F2093" t="s">
        <v>28</v>
      </c>
      <c r="G2093" t="s">
        <v>7870</v>
      </c>
      <c r="H2093" t="str">
        <f>"C44C1.1"</f>
        <v>C44C1.1</v>
      </c>
      <c r="I2093" t="s">
        <v>796</v>
      </c>
      <c r="J2093">
        <v>13.950608881211201</v>
      </c>
      <c r="K2093">
        <v>14.478287326392101</v>
      </c>
      <c r="L2093">
        <v>14.714965676618601</v>
      </c>
      <c r="M2093">
        <v>14.330605847105399</v>
      </c>
      <c r="N2093">
        <v>14.7132047815454</v>
      </c>
      <c r="O2093">
        <v>14.455621748721899</v>
      </c>
      <c r="P2093">
        <v>0.118523497716975</v>
      </c>
      <c r="Q2093">
        <v>-0.53173092374752196</v>
      </c>
      <c r="R2093">
        <v>0.76877791918147198</v>
      </c>
      <c r="S2093">
        <v>14.7580505920011</v>
      </c>
      <c r="T2093">
        <v>0.38474338232222399</v>
      </c>
      <c r="U2093">
        <v>-6.8052446177919697</v>
      </c>
      <c r="V2093">
        <v>0.70522768257395396</v>
      </c>
      <c r="W2093">
        <v>0.98696287956523099</v>
      </c>
      <c r="X2093">
        <v>0</v>
      </c>
      <c r="Y2093">
        <v>0</v>
      </c>
    </row>
    <row r="2094" spans="1:25" x14ac:dyDescent="0.2">
      <c r="A2094" t="s">
        <v>7872</v>
      </c>
      <c r="B2094" t="s">
        <v>7873</v>
      </c>
      <c r="C2094" t="s">
        <v>7874</v>
      </c>
      <c r="D2094" t="s">
        <v>7003</v>
      </c>
      <c r="E2094" t="s">
        <v>7873</v>
      </c>
      <c r="F2094" t="s">
        <v>28</v>
      </c>
      <c r="G2094" t="s">
        <v>7873</v>
      </c>
      <c r="H2094" t="str">
        <f>"dhs-18"</f>
        <v>dhs-18</v>
      </c>
      <c r="I2094" t="s">
        <v>7003</v>
      </c>
      <c r="J2094">
        <v>15.113764310856901</v>
      </c>
      <c r="K2094">
        <v>15.3892834014681</v>
      </c>
      <c r="L2094">
        <v>14.700271461320799</v>
      </c>
      <c r="M2094">
        <v>14.866816252160699</v>
      </c>
      <c r="N2094">
        <v>15.088464545301999</v>
      </c>
      <c r="O2094">
        <v>15.076846043161</v>
      </c>
      <c r="P2094">
        <v>-5.7064111007392199E-2</v>
      </c>
      <c r="Q2094">
        <v>-0.99815820216498896</v>
      </c>
      <c r="R2094">
        <v>0.88402998015020495</v>
      </c>
      <c r="S2094">
        <v>14.304307980955899</v>
      </c>
      <c r="T2094">
        <v>-0.12861142169788201</v>
      </c>
      <c r="U2094">
        <v>-6.8737940042034502</v>
      </c>
      <c r="V2094">
        <v>0.89927837381901998</v>
      </c>
      <c r="W2094">
        <v>0.99833354317360001</v>
      </c>
      <c r="X2094">
        <v>0</v>
      </c>
      <c r="Y2094">
        <v>0</v>
      </c>
    </row>
    <row r="2095" spans="1:25" x14ac:dyDescent="0.2">
      <c r="A2095" t="s">
        <v>7875</v>
      </c>
      <c r="B2095" t="s">
        <v>7876</v>
      </c>
      <c r="C2095" t="s">
        <v>7877</v>
      </c>
      <c r="D2095" t="s">
        <v>368</v>
      </c>
      <c r="E2095" t="s">
        <v>7876</v>
      </c>
      <c r="F2095" t="s">
        <v>28</v>
      </c>
      <c r="G2095" t="s">
        <v>7876</v>
      </c>
      <c r="H2095" t="str">
        <f>"C46A5.6"</f>
        <v>C46A5.6</v>
      </c>
      <c r="I2095" t="s">
        <v>368</v>
      </c>
      <c r="J2095">
        <v>12.3326070048226</v>
      </c>
      <c r="K2095">
        <v>11.435231265504999</v>
      </c>
      <c r="L2095">
        <v>12.6946190689101</v>
      </c>
      <c r="M2095">
        <v>12.6672468564359</v>
      </c>
      <c r="N2095">
        <v>12.9441507931632</v>
      </c>
      <c r="O2095">
        <v>12.3999713265718</v>
      </c>
      <c r="P2095">
        <v>0.51630387897771601</v>
      </c>
      <c r="Q2095">
        <v>-0.14087455785830699</v>
      </c>
      <c r="R2095">
        <v>1.17348231581374</v>
      </c>
      <c r="S2095">
        <v>13.582260967933999</v>
      </c>
      <c r="T2095">
        <v>1.6862189888096299</v>
      </c>
      <c r="U2095">
        <v>-5.5116638790275596</v>
      </c>
      <c r="V2095">
        <v>0.114066782309244</v>
      </c>
      <c r="W2095">
        <v>0.69653991105534596</v>
      </c>
      <c r="X2095">
        <v>0</v>
      </c>
      <c r="Y2095">
        <v>0</v>
      </c>
    </row>
    <row r="2096" spans="1:25" x14ac:dyDescent="0.2">
      <c r="A2096" t="s">
        <v>7878</v>
      </c>
      <c r="B2096" t="s">
        <v>7879</v>
      </c>
      <c r="C2096" t="s">
        <v>7880</v>
      </c>
      <c r="D2096" t="s">
        <v>107</v>
      </c>
      <c r="E2096" t="s">
        <v>7879</v>
      </c>
      <c r="F2096" t="s">
        <v>28</v>
      </c>
      <c r="G2096" t="s">
        <v>7879</v>
      </c>
      <c r="H2096" t="str">
        <f>"C46C2.2"</f>
        <v>C46C2.2</v>
      </c>
      <c r="I2096" t="s">
        <v>107</v>
      </c>
      <c r="J2096">
        <v>11.9893727264483</v>
      </c>
      <c r="K2096">
        <v>12.4164965004711</v>
      </c>
      <c r="L2096">
        <v>12.521605089193001</v>
      </c>
      <c r="M2096" t="s">
        <v>29</v>
      </c>
      <c r="N2096">
        <v>11.7613506948364</v>
      </c>
      <c r="O2096">
        <v>12.0995761829521</v>
      </c>
      <c r="P2096">
        <v>-0.37869466647656203</v>
      </c>
      <c r="Q2096">
        <v>-0.96867416402464901</v>
      </c>
      <c r="R2096">
        <v>0.21128483107152399</v>
      </c>
      <c r="S2096">
        <v>12.1876367715335</v>
      </c>
      <c r="T2096">
        <v>-1.4836039484510899</v>
      </c>
      <c r="U2096">
        <v>-5.6943945572505301</v>
      </c>
      <c r="V2096">
        <v>0.17669864918841099</v>
      </c>
      <c r="W2096">
        <v>0.77568784401157198</v>
      </c>
      <c r="X2096">
        <v>0</v>
      </c>
      <c r="Y2096">
        <v>0</v>
      </c>
    </row>
    <row r="2097" spans="1:25" x14ac:dyDescent="0.2">
      <c r="A2097" t="s">
        <v>7881</v>
      </c>
      <c r="B2097" t="s">
        <v>7882</v>
      </c>
      <c r="C2097" t="s">
        <v>7883</v>
      </c>
      <c r="D2097" t="s">
        <v>7884</v>
      </c>
      <c r="E2097" t="s">
        <v>7882</v>
      </c>
      <c r="F2097" t="s">
        <v>28</v>
      </c>
      <c r="G2097" t="s">
        <v>7882</v>
      </c>
      <c r="H2097" t="str">
        <f>"C47D12.2"</f>
        <v>C47D12.2</v>
      </c>
      <c r="I2097" t="s">
        <v>7884</v>
      </c>
      <c r="J2097">
        <v>12.9053376533624</v>
      </c>
      <c r="K2097">
        <v>13.416576915222</v>
      </c>
      <c r="L2097">
        <v>13.1353651055821</v>
      </c>
      <c r="M2097">
        <v>13.205939790883001</v>
      </c>
      <c r="N2097">
        <v>13.148215655988</v>
      </c>
      <c r="O2097">
        <v>12.985467773304499</v>
      </c>
      <c r="P2097">
        <v>-3.9218817996974999E-2</v>
      </c>
      <c r="Q2097">
        <v>-0.47843751360745401</v>
      </c>
      <c r="R2097">
        <v>0.39999987761350397</v>
      </c>
      <c r="S2097">
        <v>13.275140924772099</v>
      </c>
      <c r="T2097">
        <v>-0.18847931545407401</v>
      </c>
      <c r="U2097">
        <v>-6.8638897200064601</v>
      </c>
      <c r="V2097">
        <v>0.85274632912086501</v>
      </c>
      <c r="W2097">
        <v>0.99370971747667503</v>
      </c>
      <c r="X2097">
        <v>0</v>
      </c>
      <c r="Y2097">
        <v>0</v>
      </c>
    </row>
    <row r="2098" spans="1:25" x14ac:dyDescent="0.2">
      <c r="A2098" t="s">
        <v>7885</v>
      </c>
      <c r="B2098" t="s">
        <v>7886</v>
      </c>
      <c r="C2098" t="s">
        <v>7887</v>
      </c>
      <c r="D2098" t="s">
        <v>7888</v>
      </c>
      <c r="E2098" t="s">
        <v>7886</v>
      </c>
      <c r="F2098" t="s">
        <v>28</v>
      </c>
      <c r="G2098" t="s">
        <v>7886</v>
      </c>
      <c r="H2098" t="str">
        <f>"rrp-1"</f>
        <v>rrp-1</v>
      </c>
      <c r="I2098" t="s">
        <v>7888</v>
      </c>
      <c r="J2098" t="s">
        <v>29</v>
      </c>
      <c r="K2098" t="s">
        <v>29</v>
      </c>
      <c r="L2098" t="s">
        <v>29</v>
      </c>
      <c r="M2098" t="s">
        <v>29</v>
      </c>
      <c r="N2098" t="s">
        <v>29</v>
      </c>
      <c r="O2098" t="s">
        <v>29</v>
      </c>
      <c r="P2098" t="s">
        <v>29</v>
      </c>
      <c r="Q2098" t="s">
        <v>29</v>
      </c>
      <c r="R2098" t="s">
        <v>29</v>
      </c>
      <c r="S2098">
        <v>11.8396681647094</v>
      </c>
      <c r="T2098" t="s">
        <v>29</v>
      </c>
      <c r="U2098" t="s">
        <v>29</v>
      </c>
      <c r="V2098" t="s">
        <v>29</v>
      </c>
      <c r="W2098" t="s">
        <v>29</v>
      </c>
      <c r="X2098" t="s">
        <v>29</v>
      </c>
      <c r="Y2098" t="s">
        <v>29</v>
      </c>
    </row>
    <row r="2099" spans="1:25" x14ac:dyDescent="0.2">
      <c r="A2099" t="s">
        <v>7889</v>
      </c>
      <c r="B2099" t="s">
        <v>7890</v>
      </c>
      <c r="C2099" t="s">
        <v>7891</v>
      </c>
      <c r="D2099" t="s">
        <v>7892</v>
      </c>
      <c r="E2099" t="s">
        <v>7890</v>
      </c>
      <c r="F2099" t="s">
        <v>28</v>
      </c>
      <c r="G2099" t="s">
        <v>7890</v>
      </c>
      <c r="H2099" t="str">
        <f>"sars-1"</f>
        <v>sars-1</v>
      </c>
      <c r="I2099" t="s">
        <v>7892</v>
      </c>
      <c r="J2099">
        <v>17.295358129334002</v>
      </c>
      <c r="K2099">
        <v>17.089714765522299</v>
      </c>
      <c r="L2099">
        <v>17.307439945447399</v>
      </c>
      <c r="M2099">
        <v>17.2658612993649</v>
      </c>
      <c r="N2099">
        <v>17.0860936482932</v>
      </c>
      <c r="O2099">
        <v>17.430583571492601</v>
      </c>
      <c r="P2099">
        <v>3.0008559615602299E-2</v>
      </c>
      <c r="Q2099">
        <v>-0.38083495513856902</v>
      </c>
      <c r="R2099">
        <v>0.44085207436977403</v>
      </c>
      <c r="S2099">
        <v>16.813399573721199</v>
      </c>
      <c r="T2099">
        <v>0.15351867994182999</v>
      </c>
      <c r="U2099">
        <v>-6.8701835316541704</v>
      </c>
      <c r="V2099">
        <v>0.87970719423796795</v>
      </c>
      <c r="W2099">
        <v>0.99702926582654094</v>
      </c>
      <c r="X2099">
        <v>0</v>
      </c>
      <c r="Y2099">
        <v>0</v>
      </c>
    </row>
    <row r="2100" spans="1:25" x14ac:dyDescent="0.2">
      <c r="A2100" t="s">
        <v>7893</v>
      </c>
      <c r="B2100" t="s">
        <v>7894</v>
      </c>
      <c r="C2100" t="s">
        <v>7895</v>
      </c>
      <c r="D2100" t="s">
        <v>1954</v>
      </c>
      <c r="E2100" t="s">
        <v>7894</v>
      </c>
      <c r="F2100" t="s">
        <v>28</v>
      </c>
      <c r="G2100" t="s">
        <v>7894</v>
      </c>
      <c r="H2100" t="str">
        <f>"C47E12.2"</f>
        <v>C47E12.2</v>
      </c>
      <c r="I2100" t="s">
        <v>1954</v>
      </c>
      <c r="J2100">
        <v>13.423316710378501</v>
      </c>
      <c r="K2100">
        <v>13.867476900300799</v>
      </c>
      <c r="L2100">
        <v>13.890018059672601</v>
      </c>
      <c r="M2100">
        <v>13.3014895963002</v>
      </c>
      <c r="N2100">
        <v>13.607615629096401</v>
      </c>
      <c r="O2100">
        <v>13.8229672574281</v>
      </c>
      <c r="P2100">
        <v>-0.14957972917573201</v>
      </c>
      <c r="Q2100">
        <v>-0.66682331151750296</v>
      </c>
      <c r="R2100">
        <v>0.367663853166038</v>
      </c>
      <c r="S2100">
        <v>13.927065091830601</v>
      </c>
      <c r="T2100">
        <v>-0.61041844023568503</v>
      </c>
      <c r="U2100">
        <v>-6.6893356534639699</v>
      </c>
      <c r="V2100">
        <v>0.54970849048387405</v>
      </c>
      <c r="W2100">
        <v>0.95372533928426795</v>
      </c>
      <c r="X2100">
        <v>0</v>
      </c>
      <c r="Y2100">
        <v>0</v>
      </c>
    </row>
    <row r="2101" spans="1:25" x14ac:dyDescent="0.2">
      <c r="A2101" t="s">
        <v>7896</v>
      </c>
      <c r="B2101" t="s">
        <v>7897</v>
      </c>
      <c r="C2101" t="s">
        <v>7898</v>
      </c>
      <c r="D2101" t="s">
        <v>7899</v>
      </c>
      <c r="E2101" t="s">
        <v>7897</v>
      </c>
      <c r="F2101" t="s">
        <v>28</v>
      </c>
      <c r="G2101" t="s">
        <v>7897</v>
      </c>
      <c r="H2101" t="str">
        <f>"unc-112"</f>
        <v>unc-112</v>
      </c>
      <c r="I2101" t="s">
        <v>7899</v>
      </c>
      <c r="J2101">
        <v>15.5140849966446</v>
      </c>
      <c r="K2101">
        <v>15.5329538881552</v>
      </c>
      <c r="L2101">
        <v>15.2256023470143</v>
      </c>
      <c r="M2101">
        <v>15.1494734629741</v>
      </c>
      <c r="N2101">
        <v>15.0410034462115</v>
      </c>
      <c r="O2101">
        <v>15.2214223663102</v>
      </c>
      <c r="P2101">
        <v>-0.28691398543940499</v>
      </c>
      <c r="Q2101">
        <v>-0.66172168861348701</v>
      </c>
      <c r="R2101">
        <v>8.7893717734676996E-2</v>
      </c>
      <c r="S2101">
        <v>14.8144351734935</v>
      </c>
      <c r="T2101">
        <v>-1.6089247158592199</v>
      </c>
      <c r="U2101">
        <v>-5.6201622192170397</v>
      </c>
      <c r="V2101">
        <v>0.125131831996243</v>
      </c>
      <c r="W2101">
        <v>0.71501358698732898</v>
      </c>
      <c r="X2101">
        <v>0</v>
      </c>
      <c r="Y2101">
        <v>0</v>
      </c>
    </row>
    <row r="2102" spans="1:25" x14ac:dyDescent="0.2">
      <c r="A2102" t="s">
        <v>7900</v>
      </c>
      <c r="B2102" t="s">
        <v>7901</v>
      </c>
      <c r="C2102" t="s">
        <v>7902</v>
      </c>
      <c r="D2102" t="s">
        <v>7903</v>
      </c>
      <c r="E2102" t="s">
        <v>7901</v>
      </c>
      <c r="F2102" t="s">
        <v>28</v>
      </c>
      <c r="G2102" t="s">
        <v>7901</v>
      </c>
      <c r="H2102" t="str">
        <f>"daf-21"</f>
        <v>daf-21</v>
      </c>
      <c r="I2102" t="s">
        <v>7903</v>
      </c>
      <c r="J2102">
        <v>20.583272019368401</v>
      </c>
      <c r="K2102">
        <v>20.4582060538342</v>
      </c>
      <c r="L2102">
        <v>20.477431458558002</v>
      </c>
      <c r="M2102">
        <v>20.600715198468301</v>
      </c>
      <c r="N2102">
        <v>20.770483614434902</v>
      </c>
      <c r="O2102">
        <v>20.606517523158399</v>
      </c>
      <c r="P2102">
        <v>0.152935601433658</v>
      </c>
      <c r="Q2102">
        <v>-0.20412775935575</v>
      </c>
      <c r="R2102">
        <v>0.50999896222306595</v>
      </c>
      <c r="S2102">
        <v>20.188470371794899</v>
      </c>
      <c r="T2102">
        <v>0.90023484733098602</v>
      </c>
      <c r="U2102">
        <v>-6.4684494859541699</v>
      </c>
      <c r="V2102">
        <v>0.37995083472958902</v>
      </c>
      <c r="W2102">
        <v>0.89676491877082198</v>
      </c>
      <c r="X2102">
        <v>0</v>
      </c>
      <c r="Y2102">
        <v>0</v>
      </c>
    </row>
    <row r="2103" spans="1:25" x14ac:dyDescent="0.2">
      <c r="A2103" t="s">
        <v>7904</v>
      </c>
      <c r="B2103" t="s">
        <v>7905</v>
      </c>
      <c r="C2103" t="s">
        <v>7906</v>
      </c>
      <c r="D2103" t="s">
        <v>7907</v>
      </c>
      <c r="E2103" t="s">
        <v>7905</v>
      </c>
      <c r="F2103" t="s">
        <v>28</v>
      </c>
      <c r="G2103" t="s">
        <v>7905</v>
      </c>
      <c r="H2103" t="str">
        <f>"C47E8.4"</f>
        <v>C47E8.4</v>
      </c>
      <c r="I2103" t="s">
        <v>7907</v>
      </c>
      <c r="J2103" t="s">
        <v>29</v>
      </c>
      <c r="K2103" t="s">
        <v>29</v>
      </c>
      <c r="L2103" t="s">
        <v>29</v>
      </c>
      <c r="M2103" t="s">
        <v>29</v>
      </c>
      <c r="N2103">
        <v>11.5498581048976</v>
      </c>
      <c r="O2103">
        <v>11.837671165800201</v>
      </c>
      <c r="P2103" t="s">
        <v>29</v>
      </c>
      <c r="Q2103" t="s">
        <v>29</v>
      </c>
      <c r="R2103" t="s">
        <v>29</v>
      </c>
      <c r="S2103">
        <v>13.072844436074901</v>
      </c>
      <c r="T2103" t="s">
        <v>29</v>
      </c>
      <c r="U2103" t="s">
        <v>29</v>
      </c>
      <c r="V2103" t="s">
        <v>29</v>
      </c>
      <c r="W2103" t="s">
        <v>29</v>
      </c>
      <c r="X2103" t="s">
        <v>29</v>
      </c>
      <c r="Y2103" t="s">
        <v>29</v>
      </c>
    </row>
    <row r="2104" spans="1:25" x14ac:dyDescent="0.2">
      <c r="A2104" t="s">
        <v>7908</v>
      </c>
      <c r="B2104" t="s">
        <v>7909</v>
      </c>
      <c r="C2104" t="s">
        <v>7910</v>
      </c>
      <c r="D2104" t="s">
        <v>7911</v>
      </c>
      <c r="E2104" t="s">
        <v>7909</v>
      </c>
      <c r="F2104" t="s">
        <v>28</v>
      </c>
      <c r="G2104" t="s">
        <v>7909</v>
      </c>
      <c r="H2104" t="str">
        <f>"pitr-1"</f>
        <v>pitr-1</v>
      </c>
      <c r="I2104" t="s">
        <v>7911</v>
      </c>
      <c r="J2104" t="s">
        <v>29</v>
      </c>
      <c r="K2104" t="s">
        <v>29</v>
      </c>
      <c r="L2104" t="s">
        <v>29</v>
      </c>
      <c r="M2104" t="s">
        <v>29</v>
      </c>
      <c r="N2104" t="s">
        <v>29</v>
      </c>
      <c r="O2104" t="s">
        <v>29</v>
      </c>
      <c r="P2104" t="s">
        <v>29</v>
      </c>
      <c r="Q2104" t="s">
        <v>29</v>
      </c>
      <c r="R2104" t="s">
        <v>29</v>
      </c>
      <c r="S2104">
        <v>11.309782782745399</v>
      </c>
      <c r="T2104" t="s">
        <v>29</v>
      </c>
      <c r="U2104" t="s">
        <v>29</v>
      </c>
      <c r="V2104" t="s">
        <v>29</v>
      </c>
      <c r="W2104" t="s">
        <v>29</v>
      </c>
      <c r="X2104" t="s">
        <v>29</v>
      </c>
      <c r="Y2104" t="s">
        <v>29</v>
      </c>
    </row>
    <row r="2105" spans="1:25" x14ac:dyDescent="0.2">
      <c r="A2105" t="s">
        <v>7912</v>
      </c>
      <c r="B2105" t="s">
        <v>7913</v>
      </c>
      <c r="C2105" t="s">
        <v>7914</v>
      </c>
      <c r="D2105" t="s">
        <v>7915</v>
      </c>
      <c r="E2105" t="s">
        <v>7913</v>
      </c>
      <c r="F2105" t="s">
        <v>28</v>
      </c>
      <c r="G2105" t="s">
        <v>7913</v>
      </c>
      <c r="H2105" t="str">
        <f>"nuaf-1"</f>
        <v>nuaf-1</v>
      </c>
      <c r="I2105" t="s">
        <v>7915</v>
      </c>
      <c r="J2105" t="s">
        <v>29</v>
      </c>
      <c r="K2105" t="s">
        <v>29</v>
      </c>
      <c r="L2105">
        <v>11.5800766930629</v>
      </c>
      <c r="M2105" t="s">
        <v>29</v>
      </c>
      <c r="N2105">
        <v>12.194065813582499</v>
      </c>
      <c r="O2105" t="s">
        <v>29</v>
      </c>
      <c r="P2105">
        <v>0.61398912051963905</v>
      </c>
      <c r="Q2105">
        <v>-0.42717362888617499</v>
      </c>
      <c r="R2105">
        <v>1.6551518699254499</v>
      </c>
      <c r="S2105">
        <v>12.9117954942139</v>
      </c>
      <c r="T2105">
        <v>1.2861365095617501</v>
      </c>
      <c r="U2105">
        <v>-5.5309999432957104</v>
      </c>
      <c r="V2105">
        <v>0.22286649144301601</v>
      </c>
      <c r="W2105">
        <v>0.79924534862322905</v>
      </c>
      <c r="X2105">
        <v>0</v>
      </c>
      <c r="Y2105">
        <v>0</v>
      </c>
    </row>
    <row r="2106" spans="1:25" x14ac:dyDescent="0.2">
      <c r="A2106" t="s">
        <v>7916</v>
      </c>
      <c r="B2106" t="s">
        <v>7917</v>
      </c>
      <c r="C2106" t="s">
        <v>7918</v>
      </c>
      <c r="D2106" t="s">
        <v>3455</v>
      </c>
      <c r="E2106" t="s">
        <v>7917</v>
      </c>
      <c r="F2106" t="s">
        <v>28</v>
      </c>
      <c r="G2106" t="s">
        <v>7917</v>
      </c>
      <c r="H2106" t="str">
        <f>"C50F4.1"</f>
        <v>C50F4.1</v>
      </c>
      <c r="I2106" t="s">
        <v>3455</v>
      </c>
      <c r="J2106">
        <v>13.106090301244199</v>
      </c>
      <c r="K2106">
        <v>13.2785935241854</v>
      </c>
      <c r="L2106">
        <v>12.758587285033901</v>
      </c>
      <c r="M2106">
        <v>11.554349210199399</v>
      </c>
      <c r="N2106">
        <v>12.290237590218601</v>
      </c>
      <c r="O2106">
        <v>13.234684599441399</v>
      </c>
      <c r="P2106">
        <v>-0.68799990353471896</v>
      </c>
      <c r="Q2106">
        <v>-1.5365883212443701</v>
      </c>
      <c r="R2106">
        <v>0.160588514174928</v>
      </c>
      <c r="S2106">
        <v>12.6647645421567</v>
      </c>
      <c r="T2106">
        <v>-1.7196529431410199</v>
      </c>
      <c r="U2106">
        <v>-5.4573181118679699</v>
      </c>
      <c r="V2106">
        <v>0.104903301227809</v>
      </c>
      <c r="W2106">
        <v>0.66498702187837999</v>
      </c>
      <c r="X2106">
        <v>0</v>
      </c>
      <c r="Y2106">
        <v>0</v>
      </c>
    </row>
    <row r="2107" spans="1:25" x14ac:dyDescent="0.2">
      <c r="A2107" t="s">
        <v>7919</v>
      </c>
      <c r="B2107" t="s">
        <v>7920</v>
      </c>
      <c r="C2107" t="s">
        <v>7921</v>
      </c>
      <c r="D2107" t="s">
        <v>7922</v>
      </c>
      <c r="E2107" t="s">
        <v>7920</v>
      </c>
      <c r="F2107" t="s">
        <v>28</v>
      </c>
      <c r="G2107" t="s">
        <v>7920</v>
      </c>
      <c r="H2107" t="str">
        <f>"C51E3.6"</f>
        <v>C51E3.6</v>
      </c>
      <c r="I2107" t="s">
        <v>7922</v>
      </c>
      <c r="J2107">
        <v>10.5889254810615</v>
      </c>
      <c r="K2107">
        <v>10.5877842608402</v>
      </c>
      <c r="L2107">
        <v>11.6877332472534</v>
      </c>
      <c r="M2107" t="s">
        <v>29</v>
      </c>
      <c r="N2107">
        <v>11.514987922929199</v>
      </c>
      <c r="O2107" t="s">
        <v>29</v>
      </c>
      <c r="P2107">
        <v>0.56017359321089999</v>
      </c>
      <c r="Q2107">
        <v>-1.0904162787134499</v>
      </c>
      <c r="R2107">
        <v>2.2107634651352499</v>
      </c>
      <c r="S2107">
        <v>11.083120294456499</v>
      </c>
      <c r="T2107">
        <v>0.76910876618853996</v>
      </c>
      <c r="U2107">
        <v>-6.2292172374351704</v>
      </c>
      <c r="V2107">
        <v>0.46176138210916501</v>
      </c>
      <c r="W2107">
        <v>0.92978583625257705</v>
      </c>
      <c r="X2107">
        <v>0</v>
      </c>
      <c r="Y2107">
        <v>0</v>
      </c>
    </row>
    <row r="2108" spans="1:25" x14ac:dyDescent="0.2">
      <c r="A2108" t="s">
        <v>7923</v>
      </c>
      <c r="B2108" t="s">
        <v>7924</v>
      </c>
      <c r="C2108" t="s">
        <v>7925</v>
      </c>
      <c r="D2108" t="s">
        <v>7926</v>
      </c>
      <c r="E2108" t="s">
        <v>7924</v>
      </c>
      <c r="F2108" t="s">
        <v>28</v>
      </c>
      <c r="G2108" t="s">
        <v>7924</v>
      </c>
      <c r="H2108" t="str">
        <f>"sqv-7"</f>
        <v>sqv-7</v>
      </c>
      <c r="I2108" t="s">
        <v>7926</v>
      </c>
      <c r="J2108">
        <v>13.99776125679</v>
      </c>
      <c r="K2108">
        <v>14.2648655532691</v>
      </c>
      <c r="L2108">
        <v>14.405344195202799</v>
      </c>
      <c r="M2108">
        <v>14.1735908205532</v>
      </c>
      <c r="N2108">
        <v>13.874121488418</v>
      </c>
      <c r="O2108">
        <v>14.3366385222698</v>
      </c>
      <c r="P2108">
        <v>-9.4540058006945302E-2</v>
      </c>
      <c r="Q2108">
        <v>-0.50971675531729699</v>
      </c>
      <c r="R2108">
        <v>0.32063663930340702</v>
      </c>
      <c r="S2108">
        <v>14.502948937959101</v>
      </c>
      <c r="T2108">
        <v>-0.48065438395308302</v>
      </c>
      <c r="U2108">
        <v>-6.7622283119751296</v>
      </c>
      <c r="V2108">
        <v>0.63692718166600004</v>
      </c>
      <c r="W2108">
        <v>0.97476997913256702</v>
      </c>
      <c r="X2108">
        <v>0</v>
      </c>
      <c r="Y2108">
        <v>0</v>
      </c>
    </row>
    <row r="2109" spans="1:25" x14ac:dyDescent="0.2">
      <c r="A2109" t="s">
        <v>7927</v>
      </c>
      <c r="B2109" t="s">
        <v>7928</v>
      </c>
      <c r="C2109" t="s">
        <v>7929</v>
      </c>
      <c r="D2109" t="s">
        <v>7930</v>
      </c>
      <c r="E2109" t="s">
        <v>7928</v>
      </c>
      <c r="F2109" t="s">
        <v>28</v>
      </c>
      <c r="G2109" t="s">
        <v>7928</v>
      </c>
      <c r="H2109" t="str">
        <f>"rpt-1"</f>
        <v>rpt-1</v>
      </c>
      <c r="I2109" t="s">
        <v>7930</v>
      </c>
      <c r="J2109">
        <v>15.366900848283899</v>
      </c>
      <c r="K2109">
        <v>15.1332256848266</v>
      </c>
      <c r="L2109">
        <v>15.1238180282791</v>
      </c>
      <c r="M2109">
        <v>15.3070754582342</v>
      </c>
      <c r="N2109">
        <v>15.3891208606374</v>
      </c>
      <c r="O2109">
        <v>15.2993556613165</v>
      </c>
      <c r="P2109">
        <v>0.12386913959948501</v>
      </c>
      <c r="Q2109">
        <v>-0.194288443627229</v>
      </c>
      <c r="R2109">
        <v>0.44202672282619898</v>
      </c>
      <c r="S2109">
        <v>15.1476882090214</v>
      </c>
      <c r="T2109">
        <v>0.818301514764878</v>
      </c>
      <c r="U2109">
        <v>-6.5390687149002797</v>
      </c>
      <c r="V2109">
        <v>0.42394816180572198</v>
      </c>
      <c r="W2109">
        <v>0.91512503332874395</v>
      </c>
      <c r="X2109">
        <v>0</v>
      </c>
      <c r="Y2109">
        <v>0</v>
      </c>
    </row>
    <row r="2110" spans="1:25" x14ac:dyDescent="0.2">
      <c r="A2110" t="s">
        <v>7931</v>
      </c>
      <c r="B2110" t="s">
        <v>7932</v>
      </c>
      <c r="C2110" t="s">
        <v>7933</v>
      </c>
      <c r="D2110" t="s">
        <v>107</v>
      </c>
      <c r="E2110" t="s">
        <v>7932</v>
      </c>
      <c r="F2110" t="s">
        <v>28</v>
      </c>
      <c r="G2110" t="s">
        <v>7932</v>
      </c>
      <c r="H2110" t="str">
        <f>"C53B4.3"</f>
        <v>C53B4.3</v>
      </c>
      <c r="I2110" t="s">
        <v>107</v>
      </c>
      <c r="J2110">
        <v>12.5667354498012</v>
      </c>
      <c r="K2110" t="s">
        <v>29</v>
      </c>
      <c r="L2110">
        <v>12.3424718431557</v>
      </c>
      <c r="M2110" t="s">
        <v>29</v>
      </c>
      <c r="N2110" t="s">
        <v>29</v>
      </c>
      <c r="O2110" t="s">
        <v>29</v>
      </c>
      <c r="P2110" t="s">
        <v>29</v>
      </c>
      <c r="Q2110" t="s">
        <v>29</v>
      </c>
      <c r="R2110" t="s">
        <v>29</v>
      </c>
      <c r="S2110">
        <v>12.3448499394446</v>
      </c>
      <c r="T2110" t="s">
        <v>29</v>
      </c>
      <c r="U2110" t="s">
        <v>29</v>
      </c>
      <c r="V2110" t="s">
        <v>29</v>
      </c>
      <c r="W2110" t="s">
        <v>29</v>
      </c>
      <c r="X2110" t="s">
        <v>29</v>
      </c>
      <c r="Y2110" t="s">
        <v>29</v>
      </c>
    </row>
    <row r="2111" spans="1:25" x14ac:dyDescent="0.2">
      <c r="A2111" t="s">
        <v>7934</v>
      </c>
      <c r="B2111" t="s">
        <v>7935</v>
      </c>
      <c r="C2111" t="s">
        <v>7936</v>
      </c>
      <c r="D2111" t="s">
        <v>3312</v>
      </c>
      <c r="E2111" t="s">
        <v>7935</v>
      </c>
      <c r="F2111" t="s">
        <v>28</v>
      </c>
      <c r="G2111" t="s">
        <v>7935</v>
      </c>
      <c r="H2111" t="str">
        <f>"col-119"</f>
        <v>col-119</v>
      </c>
      <c r="I2111" t="s">
        <v>3312</v>
      </c>
      <c r="J2111">
        <v>17.890084684440101</v>
      </c>
      <c r="K2111">
        <v>14.5575932782242</v>
      </c>
      <c r="L2111">
        <v>14.392120603320301</v>
      </c>
      <c r="M2111">
        <v>16.3393270510009</v>
      </c>
      <c r="N2111">
        <v>15.12467709781</v>
      </c>
      <c r="O2111">
        <v>14.289194437437001</v>
      </c>
      <c r="P2111">
        <v>-0.36219999324558599</v>
      </c>
      <c r="Q2111">
        <v>-2.0826616657191201</v>
      </c>
      <c r="R2111">
        <v>1.3582616792279401</v>
      </c>
      <c r="S2111">
        <v>14.9319181050707</v>
      </c>
      <c r="T2111">
        <v>-0.45185108409852498</v>
      </c>
      <c r="U2111">
        <v>-6.7749822699464302</v>
      </c>
      <c r="V2111">
        <v>0.65834918068888004</v>
      </c>
      <c r="W2111">
        <v>0.98382359994193702</v>
      </c>
      <c r="X2111">
        <v>0</v>
      </c>
      <c r="Y2111">
        <v>0</v>
      </c>
    </row>
    <row r="2112" spans="1:25" x14ac:dyDescent="0.2">
      <c r="A2112" t="s">
        <v>7937</v>
      </c>
      <c r="B2112" t="s">
        <v>7938</v>
      </c>
      <c r="C2112" t="s">
        <v>7939</v>
      </c>
      <c r="D2112" t="s">
        <v>7940</v>
      </c>
      <c r="E2112" t="s">
        <v>7938</v>
      </c>
      <c r="F2112" t="s">
        <v>28</v>
      </c>
      <c r="G2112" t="s">
        <v>7938</v>
      </c>
      <c r="H2112" t="str">
        <f>"bre-1"</f>
        <v>bre-1</v>
      </c>
      <c r="I2112" t="s">
        <v>7940</v>
      </c>
      <c r="J2112">
        <v>15.45107001469</v>
      </c>
      <c r="K2112">
        <v>15.4705925105942</v>
      </c>
      <c r="L2112">
        <v>15.322241059268199</v>
      </c>
      <c r="M2112">
        <v>15.1669463097428</v>
      </c>
      <c r="N2112">
        <v>14.9037313298436</v>
      </c>
      <c r="O2112">
        <v>15.441100909233</v>
      </c>
      <c r="P2112">
        <v>-0.24404167857769099</v>
      </c>
      <c r="Q2112">
        <v>-0.82618023967624399</v>
      </c>
      <c r="R2112">
        <v>0.33809688252086201</v>
      </c>
      <c r="S2112">
        <v>14.8290592016779</v>
      </c>
      <c r="T2112">
        <v>-0.88111003725415205</v>
      </c>
      <c r="U2112">
        <v>-6.4854864207844498</v>
      </c>
      <c r="V2112">
        <v>0.389939329318093</v>
      </c>
      <c r="W2112">
        <v>0.90686099788302799</v>
      </c>
      <c r="X2112">
        <v>0</v>
      </c>
      <c r="Y2112">
        <v>0</v>
      </c>
    </row>
    <row r="2113" spans="1:25" x14ac:dyDescent="0.2">
      <c r="A2113" t="s">
        <v>7941</v>
      </c>
      <c r="B2113" t="s">
        <v>7942</v>
      </c>
      <c r="C2113" t="s">
        <v>7943</v>
      </c>
      <c r="D2113" t="s">
        <v>7944</v>
      </c>
      <c r="E2113" t="s">
        <v>7942</v>
      </c>
      <c r="F2113" t="s">
        <v>28</v>
      </c>
      <c r="G2113" t="s">
        <v>7942</v>
      </c>
      <c r="H2113" t="str">
        <f>"asg-2"</f>
        <v>asg-2</v>
      </c>
      <c r="I2113" t="s">
        <v>7944</v>
      </c>
      <c r="J2113">
        <v>15.552093242911599</v>
      </c>
      <c r="K2113">
        <v>15.269361441431901</v>
      </c>
      <c r="L2113">
        <v>15.1873087291678</v>
      </c>
      <c r="M2113">
        <v>15.0947055542842</v>
      </c>
      <c r="N2113">
        <v>14.6530750057576</v>
      </c>
      <c r="O2113">
        <v>14.9828337138752</v>
      </c>
      <c r="P2113">
        <v>-0.426049713198138</v>
      </c>
      <c r="Q2113">
        <v>-0.97376292514637997</v>
      </c>
      <c r="R2113">
        <v>0.121663498750104</v>
      </c>
      <c r="S2113">
        <v>14.6516848751537</v>
      </c>
      <c r="T2113">
        <v>-1.64193920719484</v>
      </c>
      <c r="U2113">
        <v>-5.57251226609384</v>
      </c>
      <c r="V2113">
        <v>0.119083756503841</v>
      </c>
      <c r="W2113">
        <v>0.70643625961637002</v>
      </c>
      <c r="X2113">
        <v>0</v>
      </c>
      <c r="Y2113">
        <v>0</v>
      </c>
    </row>
    <row r="2114" spans="1:25" x14ac:dyDescent="0.2">
      <c r="A2114" t="s">
        <v>7945</v>
      </c>
      <c r="B2114" t="s">
        <v>7946</v>
      </c>
      <c r="C2114" t="s">
        <v>7947</v>
      </c>
      <c r="D2114" t="s">
        <v>7948</v>
      </c>
      <c r="E2114" t="s">
        <v>7946</v>
      </c>
      <c r="F2114" t="s">
        <v>28</v>
      </c>
      <c r="G2114" t="s">
        <v>7946</v>
      </c>
      <c r="H2114" t="str">
        <f>"C53B7.2"</f>
        <v>C53B7.2</v>
      </c>
      <c r="I2114" t="s">
        <v>7948</v>
      </c>
      <c r="J2114">
        <v>11.884824053336599</v>
      </c>
      <c r="K2114">
        <v>10.6148377849951</v>
      </c>
      <c r="L2114">
        <v>11.603878338024799</v>
      </c>
      <c r="M2114">
        <v>11.336892523096701</v>
      </c>
      <c r="N2114">
        <v>11.519265023521999</v>
      </c>
      <c r="O2114" t="s">
        <v>29</v>
      </c>
      <c r="P2114">
        <v>6.0232047857217801E-2</v>
      </c>
      <c r="Q2114">
        <v>-0.99839560875385303</v>
      </c>
      <c r="R2114">
        <v>1.11885970446829</v>
      </c>
      <c r="S2114">
        <v>11.5104109320477</v>
      </c>
      <c r="T2114">
        <v>0.122117044891262</v>
      </c>
      <c r="U2114">
        <v>-6.7643188827884302</v>
      </c>
      <c r="V2114">
        <v>0.90455487768697296</v>
      </c>
      <c r="W2114">
        <v>0.99833354317360001</v>
      </c>
      <c r="X2114">
        <v>0</v>
      </c>
      <c r="Y2114">
        <v>0</v>
      </c>
    </row>
    <row r="2115" spans="1:25" x14ac:dyDescent="0.2">
      <c r="A2115" t="s">
        <v>7949</v>
      </c>
      <c r="B2115" t="s">
        <v>7950</v>
      </c>
      <c r="C2115" t="s">
        <v>7951</v>
      </c>
      <c r="D2115" t="s">
        <v>1075</v>
      </c>
      <c r="E2115" t="s">
        <v>7950</v>
      </c>
      <c r="F2115" t="s">
        <v>28</v>
      </c>
      <c r="G2115" t="s">
        <v>7950</v>
      </c>
      <c r="H2115" t="str">
        <f>"C53D6.7"</f>
        <v>C53D6.7</v>
      </c>
      <c r="I2115" t="s">
        <v>1075</v>
      </c>
      <c r="J2115">
        <v>15.051300660115601</v>
      </c>
      <c r="K2115">
        <v>14.5542101626591</v>
      </c>
      <c r="L2115">
        <v>14.3219724767436</v>
      </c>
      <c r="M2115">
        <v>14.1176277581298</v>
      </c>
      <c r="N2115">
        <v>13.9873417434099</v>
      </c>
      <c r="O2115">
        <v>14.266913427982001</v>
      </c>
      <c r="P2115">
        <v>-0.51853345666551798</v>
      </c>
      <c r="Q2115">
        <v>-1.0024247272536699</v>
      </c>
      <c r="R2115">
        <v>-3.4642186077361602E-2</v>
      </c>
      <c r="S2115">
        <v>13.802877572737099</v>
      </c>
      <c r="T2115">
        <v>-2.25227547955462</v>
      </c>
      <c r="U2115">
        <v>-4.5522496060363897</v>
      </c>
      <c r="V2115">
        <v>3.7103784419319802E-2</v>
      </c>
      <c r="W2115">
        <v>0.41960788763002799</v>
      </c>
      <c r="X2115">
        <v>0</v>
      </c>
      <c r="Y2115">
        <v>0</v>
      </c>
    </row>
    <row r="2116" spans="1:25" x14ac:dyDescent="0.2">
      <c r="A2116" t="s">
        <v>7952</v>
      </c>
      <c r="B2116" t="s">
        <v>7953</v>
      </c>
      <c r="C2116" t="s">
        <v>7954</v>
      </c>
      <c r="D2116" t="s">
        <v>3563</v>
      </c>
      <c r="E2116" t="s">
        <v>7953</v>
      </c>
      <c r="F2116" t="s">
        <v>28</v>
      </c>
      <c r="G2116" t="s">
        <v>7953</v>
      </c>
      <c r="H2116" t="str">
        <f>"ben-1"</f>
        <v>ben-1</v>
      </c>
      <c r="I2116" t="s">
        <v>3563</v>
      </c>
      <c r="J2116">
        <v>14.014380339133201</v>
      </c>
      <c r="K2116">
        <v>14.1717215662795</v>
      </c>
      <c r="L2116">
        <v>13.9449220716987</v>
      </c>
      <c r="M2116">
        <v>13.8784761822346</v>
      </c>
      <c r="N2116">
        <v>14.033020286696299</v>
      </c>
      <c r="O2116">
        <v>14.053725704599399</v>
      </c>
      <c r="P2116">
        <v>-5.5267267860399399E-2</v>
      </c>
      <c r="Q2116">
        <v>-0.42080488234621599</v>
      </c>
      <c r="R2116">
        <v>0.31027034662541803</v>
      </c>
      <c r="S2116">
        <v>13.7887267070339</v>
      </c>
      <c r="T2116">
        <v>-0.31778137190248801</v>
      </c>
      <c r="U2116">
        <v>-6.8298749513532098</v>
      </c>
      <c r="V2116">
        <v>0.75432902669936297</v>
      </c>
      <c r="W2116">
        <v>0.99278624068726296</v>
      </c>
      <c r="X2116">
        <v>0</v>
      </c>
      <c r="Y2116">
        <v>0</v>
      </c>
    </row>
    <row r="2117" spans="1:25" x14ac:dyDescent="0.2">
      <c r="A2117" t="s">
        <v>7955</v>
      </c>
      <c r="B2117" t="s">
        <v>7956</v>
      </c>
      <c r="C2117" t="s">
        <v>7957</v>
      </c>
      <c r="D2117" t="s">
        <v>7958</v>
      </c>
      <c r="E2117" t="s">
        <v>7956</v>
      </c>
      <c r="F2117" t="s">
        <v>28</v>
      </c>
      <c r="G2117" t="s">
        <v>7956</v>
      </c>
      <c r="H2117" t="str">
        <f>"lam-2"</f>
        <v>lam-2</v>
      </c>
      <c r="I2117" t="s">
        <v>7958</v>
      </c>
      <c r="J2117">
        <v>13.032802229447601</v>
      </c>
      <c r="K2117">
        <v>13.287666904498099</v>
      </c>
      <c r="L2117">
        <v>13.9514186842325</v>
      </c>
      <c r="M2117">
        <v>13.189468530729499</v>
      </c>
      <c r="N2117">
        <v>13.3370762008764</v>
      </c>
      <c r="O2117">
        <v>13.600170731416499</v>
      </c>
      <c r="P2117">
        <v>-4.8390785051928703E-2</v>
      </c>
      <c r="Q2117">
        <v>-0.59787831996132301</v>
      </c>
      <c r="R2117">
        <v>0.501096749857466</v>
      </c>
      <c r="S2117">
        <v>13.455028086484001</v>
      </c>
      <c r="T2117">
        <v>-0.18509612890317401</v>
      </c>
      <c r="U2117">
        <v>-6.8646057776515201</v>
      </c>
      <c r="V2117">
        <v>0.85523530353077604</v>
      </c>
      <c r="W2117">
        <v>0.99370971747667503</v>
      </c>
      <c r="X2117">
        <v>0</v>
      </c>
      <c r="Y2117">
        <v>0</v>
      </c>
    </row>
    <row r="2118" spans="1:25" x14ac:dyDescent="0.2">
      <c r="A2118" t="s">
        <v>7959</v>
      </c>
      <c r="B2118" t="s">
        <v>7960</v>
      </c>
      <c r="C2118" t="s">
        <v>7961</v>
      </c>
      <c r="D2118" t="s">
        <v>7962</v>
      </c>
      <c r="E2118" t="s">
        <v>7960</v>
      </c>
      <c r="F2118" t="s">
        <v>28</v>
      </c>
      <c r="G2118" t="s">
        <v>7960</v>
      </c>
      <c r="H2118" t="str">
        <f>"rfc-1"</f>
        <v>rfc-1</v>
      </c>
      <c r="I2118" t="s">
        <v>7962</v>
      </c>
      <c r="J2118" t="s">
        <v>29</v>
      </c>
      <c r="K2118">
        <v>10.460338186029301</v>
      </c>
      <c r="L2118">
        <v>11.327522030513</v>
      </c>
      <c r="M2118" t="s">
        <v>29</v>
      </c>
      <c r="N2118" t="s">
        <v>29</v>
      </c>
      <c r="O2118">
        <v>11.04932813482</v>
      </c>
      <c r="P2118">
        <v>0.15539802654885199</v>
      </c>
      <c r="Q2118">
        <v>-1.36213954424137</v>
      </c>
      <c r="R2118">
        <v>1.67293559733907</v>
      </c>
      <c r="S2118">
        <v>11.3035836493258</v>
      </c>
      <c r="T2118">
        <v>0.223332053767823</v>
      </c>
      <c r="U2118">
        <v>-6.4570668690692203</v>
      </c>
      <c r="V2118">
        <v>0.82706640401446696</v>
      </c>
      <c r="W2118">
        <v>0.99339170295129098</v>
      </c>
      <c r="X2118">
        <v>0</v>
      </c>
      <c r="Y2118">
        <v>0</v>
      </c>
    </row>
    <row r="2119" spans="1:25" x14ac:dyDescent="0.2">
      <c r="A2119" t="s">
        <v>7963</v>
      </c>
      <c r="B2119" t="s">
        <v>7964</v>
      </c>
      <c r="C2119" t="s">
        <v>7965</v>
      </c>
      <c r="D2119" t="s">
        <v>7966</v>
      </c>
      <c r="E2119" t="s">
        <v>7964</v>
      </c>
      <c r="F2119" t="s">
        <v>28</v>
      </c>
      <c r="G2119" t="s">
        <v>7964</v>
      </c>
      <c r="H2119" t="str">
        <f>"rskn-2"</f>
        <v>rskn-2</v>
      </c>
      <c r="I2119" t="s">
        <v>7966</v>
      </c>
      <c r="J2119">
        <v>14.4137742967105</v>
      </c>
      <c r="K2119">
        <v>14.3942305253388</v>
      </c>
      <c r="L2119">
        <v>14.058381787298</v>
      </c>
      <c r="M2119">
        <v>14.292298090400999</v>
      </c>
      <c r="N2119">
        <v>14.1555286864445</v>
      </c>
      <c r="O2119">
        <v>14.0058304782458</v>
      </c>
      <c r="P2119">
        <v>-0.13757645141872399</v>
      </c>
      <c r="Q2119">
        <v>-0.54542141578544401</v>
      </c>
      <c r="R2119">
        <v>0.27026851294799698</v>
      </c>
      <c r="S2119">
        <v>13.983945190503</v>
      </c>
      <c r="T2119">
        <v>-0.70899228921128699</v>
      </c>
      <c r="U2119">
        <v>-6.6235038924328</v>
      </c>
      <c r="V2119">
        <v>0.48746409777858601</v>
      </c>
      <c r="W2119">
        <v>0.94046689344422196</v>
      </c>
      <c r="X2119">
        <v>0</v>
      </c>
      <c r="Y2119">
        <v>0</v>
      </c>
    </row>
    <row r="2120" spans="1:25" x14ac:dyDescent="0.2">
      <c r="A2120" t="s">
        <v>7967</v>
      </c>
      <c r="B2120" t="s">
        <v>7968</v>
      </c>
      <c r="C2120" t="s">
        <v>7969</v>
      </c>
      <c r="D2120" t="s">
        <v>141</v>
      </c>
      <c r="E2120" t="s">
        <v>7968</v>
      </c>
      <c r="F2120" t="s">
        <v>28</v>
      </c>
      <c r="G2120" t="s">
        <v>7968</v>
      </c>
      <c r="H2120" t="str">
        <f>"C54G4.7"</f>
        <v>C54G4.7</v>
      </c>
      <c r="I2120" t="s">
        <v>141</v>
      </c>
      <c r="J2120">
        <v>14.7729102065303</v>
      </c>
      <c r="K2120">
        <v>14.8400116337555</v>
      </c>
      <c r="L2120">
        <v>14.7210098719339</v>
      </c>
      <c r="M2120">
        <v>13.940854153739499</v>
      </c>
      <c r="N2120">
        <v>14.6990446470967</v>
      </c>
      <c r="O2120">
        <v>14.276380764614499</v>
      </c>
      <c r="P2120">
        <v>-0.47255071558967499</v>
      </c>
      <c r="Q2120">
        <v>-0.95490891447127402</v>
      </c>
      <c r="R2120">
        <v>9.8074832919251599E-3</v>
      </c>
      <c r="S2120">
        <v>14.796718206164201</v>
      </c>
      <c r="T2120">
        <v>-2.0779174495400499</v>
      </c>
      <c r="U2120">
        <v>-4.8761055323024003</v>
      </c>
      <c r="V2120">
        <v>5.4285528288649999E-2</v>
      </c>
      <c r="W2120">
        <v>0.506056689480748</v>
      </c>
      <c r="X2120">
        <v>0</v>
      </c>
      <c r="Y2120">
        <v>0</v>
      </c>
    </row>
    <row r="2121" spans="1:25" x14ac:dyDescent="0.2">
      <c r="A2121" t="s">
        <v>7970</v>
      </c>
      <c r="B2121" t="s">
        <v>7971</v>
      </c>
      <c r="C2121" t="s">
        <v>7972</v>
      </c>
      <c r="D2121" t="s">
        <v>7973</v>
      </c>
      <c r="E2121" t="s">
        <v>7971</v>
      </c>
      <c r="F2121" t="s">
        <v>28</v>
      </c>
      <c r="G2121" t="s">
        <v>7971</v>
      </c>
      <c r="H2121" t="str">
        <f>"cyc-1"</f>
        <v>cyc-1</v>
      </c>
      <c r="I2121" t="s">
        <v>7973</v>
      </c>
      <c r="J2121">
        <v>13.7302597823584</v>
      </c>
      <c r="K2121">
        <v>13.9177684322333</v>
      </c>
      <c r="L2121">
        <v>13.3301712450831</v>
      </c>
      <c r="M2121">
        <v>13.6571216094839</v>
      </c>
      <c r="N2121">
        <v>13.6618068708278</v>
      </c>
      <c r="O2121">
        <v>13.7715258562366</v>
      </c>
      <c r="P2121">
        <v>3.7418292291178497E-2</v>
      </c>
      <c r="Q2121">
        <v>-0.40079264475191501</v>
      </c>
      <c r="R2121">
        <v>0.47562922933427199</v>
      </c>
      <c r="S2121">
        <v>13.430198361847699</v>
      </c>
      <c r="T2121">
        <v>0.17947057888268</v>
      </c>
      <c r="U2121">
        <v>-6.8656753559680501</v>
      </c>
      <c r="V2121">
        <v>0.85958470052333902</v>
      </c>
      <c r="W2121">
        <v>0.99370971747667503</v>
      </c>
      <c r="X2121">
        <v>0</v>
      </c>
      <c r="Y2121">
        <v>0</v>
      </c>
    </row>
    <row r="2122" spans="1:25" x14ac:dyDescent="0.2">
      <c r="A2122" t="s">
        <v>7974</v>
      </c>
      <c r="B2122" t="s">
        <v>7975</v>
      </c>
      <c r="C2122" t="s">
        <v>7976</v>
      </c>
      <c r="D2122" t="s">
        <v>2720</v>
      </c>
      <c r="E2122" t="s">
        <v>7975</v>
      </c>
      <c r="F2122" t="s">
        <v>28</v>
      </c>
      <c r="G2122" t="s">
        <v>7975</v>
      </c>
      <c r="H2122" t="str">
        <f>"C54G4.9"</f>
        <v>C54G4.9</v>
      </c>
      <c r="I2122" t="s">
        <v>2720</v>
      </c>
      <c r="J2122">
        <v>12.0865008784415</v>
      </c>
      <c r="K2122">
        <v>12.5143937858273</v>
      </c>
      <c r="L2122">
        <v>12.2646110617102</v>
      </c>
      <c r="M2122">
        <v>13.41974092281</v>
      </c>
      <c r="N2122">
        <v>13.3710414944024</v>
      </c>
      <c r="O2122">
        <v>13.120388684913101</v>
      </c>
      <c r="P2122">
        <v>1.01522179204886</v>
      </c>
      <c r="Q2122">
        <v>0.28278918852188401</v>
      </c>
      <c r="R2122">
        <v>1.7476543955758299</v>
      </c>
      <c r="S2122">
        <v>12.6805838753494</v>
      </c>
      <c r="T2122">
        <v>2.9257908430152901</v>
      </c>
      <c r="U2122">
        <v>-3.2614822262212502</v>
      </c>
      <c r="V2122">
        <v>9.4779297005716402E-3</v>
      </c>
      <c r="W2122">
        <v>0.17005349260741301</v>
      </c>
      <c r="X2122">
        <v>1</v>
      </c>
      <c r="Y2122">
        <v>0</v>
      </c>
    </row>
    <row r="2123" spans="1:25" x14ac:dyDescent="0.2">
      <c r="A2123" t="s">
        <v>7977</v>
      </c>
      <c r="B2123" t="s">
        <v>7978</v>
      </c>
      <c r="C2123" t="s">
        <v>7979</v>
      </c>
      <c r="D2123" t="s">
        <v>7980</v>
      </c>
      <c r="E2123" t="s">
        <v>7978</v>
      </c>
      <c r="F2123" t="s">
        <v>28</v>
      </c>
      <c r="G2123" t="s">
        <v>7978</v>
      </c>
      <c r="H2123" t="str">
        <f>"sft-4"</f>
        <v>sft-4</v>
      </c>
      <c r="I2123" t="s">
        <v>7980</v>
      </c>
      <c r="J2123">
        <v>15.1891926563335</v>
      </c>
      <c r="K2123">
        <v>15.502302640121201</v>
      </c>
      <c r="L2123">
        <v>15.7820514873764</v>
      </c>
      <c r="M2123">
        <v>15.604081053545</v>
      </c>
      <c r="N2123">
        <v>15.499118295012099</v>
      </c>
      <c r="O2123">
        <v>15.3613822573564</v>
      </c>
      <c r="P2123">
        <v>-2.9883926392066901E-3</v>
      </c>
      <c r="Q2123">
        <v>-0.36166269271305601</v>
      </c>
      <c r="R2123">
        <v>0.35568590743464301</v>
      </c>
      <c r="S2123">
        <v>15.7387003632406</v>
      </c>
      <c r="T2123">
        <v>-1.7511764641827701E-2</v>
      </c>
      <c r="U2123">
        <v>-6.8823293455376602</v>
      </c>
      <c r="V2123">
        <v>0.98622211851974495</v>
      </c>
      <c r="W2123">
        <v>0.99968702248720698</v>
      </c>
      <c r="X2123">
        <v>0</v>
      </c>
      <c r="Y2123">
        <v>0</v>
      </c>
    </row>
    <row r="2124" spans="1:25" x14ac:dyDescent="0.2">
      <c r="A2124" t="s">
        <v>7981</v>
      </c>
      <c r="B2124" t="s">
        <v>7982</v>
      </c>
      <c r="C2124" t="s">
        <v>7983</v>
      </c>
      <c r="D2124" t="s">
        <v>7984</v>
      </c>
      <c r="E2124" t="s">
        <v>7982</v>
      </c>
      <c r="F2124" t="s">
        <v>28</v>
      </c>
      <c r="G2124" t="s">
        <v>7982</v>
      </c>
      <c r="H2124" t="str">
        <f>"C56A3.5"</f>
        <v>C56A3.5</v>
      </c>
      <c r="I2124" t="s">
        <v>7984</v>
      </c>
      <c r="J2124" t="s">
        <v>29</v>
      </c>
      <c r="K2124" t="s">
        <v>29</v>
      </c>
      <c r="L2124" t="s">
        <v>29</v>
      </c>
      <c r="M2124" t="s">
        <v>29</v>
      </c>
      <c r="N2124" t="s">
        <v>29</v>
      </c>
      <c r="O2124" t="s">
        <v>29</v>
      </c>
      <c r="P2124" t="s">
        <v>29</v>
      </c>
      <c r="Q2124" t="s">
        <v>29</v>
      </c>
      <c r="R2124" t="s">
        <v>29</v>
      </c>
      <c r="S2124">
        <v>12.425381014727501</v>
      </c>
      <c r="T2124" t="s">
        <v>29</v>
      </c>
      <c r="U2124" t="s">
        <v>29</v>
      </c>
      <c r="V2124" t="s">
        <v>29</v>
      </c>
      <c r="W2124" t="s">
        <v>29</v>
      </c>
      <c r="X2124" t="s">
        <v>29</v>
      </c>
      <c r="Y2124" t="s">
        <v>29</v>
      </c>
    </row>
    <row r="2125" spans="1:25" x14ac:dyDescent="0.2">
      <c r="A2125" t="s">
        <v>7985</v>
      </c>
      <c r="B2125" t="s">
        <v>7986</v>
      </c>
      <c r="C2125" t="s">
        <v>7987</v>
      </c>
      <c r="D2125" t="s">
        <v>7988</v>
      </c>
      <c r="E2125" t="s">
        <v>7986</v>
      </c>
      <c r="F2125" t="s">
        <v>28</v>
      </c>
      <c r="G2125" t="s">
        <v>7986</v>
      </c>
      <c r="H2125" t="str">
        <f>"icd-1"</f>
        <v>icd-1</v>
      </c>
      <c r="I2125" t="s">
        <v>7988</v>
      </c>
      <c r="J2125">
        <v>10.971345158400601</v>
      </c>
      <c r="K2125">
        <v>12.3330689177018</v>
      </c>
      <c r="L2125">
        <v>12.990161993270601</v>
      </c>
      <c r="M2125">
        <v>14.3998040088689</v>
      </c>
      <c r="N2125">
        <v>13.651724034213</v>
      </c>
      <c r="O2125">
        <v>13.730386036865101</v>
      </c>
      <c r="P2125">
        <v>1.8291126701913101</v>
      </c>
      <c r="Q2125">
        <v>0.805506369006324</v>
      </c>
      <c r="R2125">
        <v>2.8527189713762899</v>
      </c>
      <c r="S2125">
        <v>12.7565678690145</v>
      </c>
      <c r="T2125">
        <v>3.75577892436496</v>
      </c>
      <c r="U2125">
        <v>-1.4676642431351501</v>
      </c>
      <c r="V2125">
        <v>1.45964664814965E-3</v>
      </c>
      <c r="W2125">
        <v>4.2240904739496002E-2</v>
      </c>
      <c r="X2125">
        <v>1</v>
      </c>
      <c r="Y2125">
        <v>1</v>
      </c>
    </row>
    <row r="2126" spans="1:25" x14ac:dyDescent="0.2">
      <c r="A2126" t="s">
        <v>7989</v>
      </c>
      <c r="B2126" t="s">
        <v>7990</v>
      </c>
      <c r="C2126" t="s">
        <v>7991</v>
      </c>
      <c r="D2126" t="s">
        <v>7992</v>
      </c>
      <c r="E2126" t="s">
        <v>7990</v>
      </c>
      <c r="F2126" t="s">
        <v>28</v>
      </c>
      <c r="G2126" t="s">
        <v>7990</v>
      </c>
      <c r="H2126" t="str">
        <f>"vps-32.1"</f>
        <v>vps-32.1</v>
      </c>
      <c r="I2126" t="s">
        <v>7992</v>
      </c>
      <c r="J2126" t="s">
        <v>29</v>
      </c>
      <c r="K2126" t="s">
        <v>29</v>
      </c>
      <c r="L2126" t="s">
        <v>29</v>
      </c>
      <c r="M2126">
        <v>12.269861630907601</v>
      </c>
      <c r="N2126">
        <v>12.7969178572227</v>
      </c>
      <c r="O2126">
        <v>12.244323047187301</v>
      </c>
      <c r="P2126" t="s">
        <v>29</v>
      </c>
      <c r="Q2126" t="s">
        <v>29</v>
      </c>
      <c r="R2126" t="s">
        <v>29</v>
      </c>
      <c r="S2126">
        <v>11.6735211576555</v>
      </c>
      <c r="T2126" t="s">
        <v>29</v>
      </c>
      <c r="U2126" t="s">
        <v>29</v>
      </c>
      <c r="V2126" t="s">
        <v>29</v>
      </c>
      <c r="W2126" t="s">
        <v>29</v>
      </c>
      <c r="X2126" t="s">
        <v>29</v>
      </c>
      <c r="Y2126" t="s">
        <v>29</v>
      </c>
    </row>
    <row r="2127" spans="1:25" x14ac:dyDescent="0.2">
      <c r="A2127" t="s">
        <v>7993</v>
      </c>
      <c r="B2127" t="s">
        <v>7994</v>
      </c>
      <c r="C2127" t="s">
        <v>7995</v>
      </c>
      <c r="D2127" t="s">
        <v>7996</v>
      </c>
      <c r="E2127" t="s">
        <v>7994</v>
      </c>
      <c r="F2127" t="s">
        <v>28</v>
      </c>
      <c r="G2127" t="s">
        <v>7994</v>
      </c>
      <c r="H2127" t="str">
        <f>"vps-33.2"</f>
        <v>vps-33.2</v>
      </c>
      <c r="I2127" t="s">
        <v>7996</v>
      </c>
      <c r="J2127">
        <v>11.7023919132117</v>
      </c>
      <c r="K2127">
        <v>13.0697542835577</v>
      </c>
      <c r="L2127" t="s">
        <v>29</v>
      </c>
      <c r="M2127">
        <v>11.615343527991699</v>
      </c>
      <c r="N2127">
        <v>12.1419136816017</v>
      </c>
      <c r="O2127">
        <v>10.8177168333947</v>
      </c>
      <c r="P2127">
        <v>-0.86108175072195103</v>
      </c>
      <c r="Q2127">
        <v>-1.9077132263290699</v>
      </c>
      <c r="R2127">
        <v>0.185549724885164</v>
      </c>
      <c r="S2127">
        <v>12.173250575318001</v>
      </c>
      <c r="T2127">
        <v>-1.74501885425609</v>
      </c>
      <c r="U2127">
        <v>-5.3123332149209102</v>
      </c>
      <c r="V2127">
        <v>0.100280541620401</v>
      </c>
      <c r="W2127">
        <v>0.65399513636263495</v>
      </c>
      <c r="X2127">
        <v>0</v>
      </c>
      <c r="Y2127">
        <v>0</v>
      </c>
    </row>
    <row r="2128" spans="1:25" x14ac:dyDescent="0.2">
      <c r="A2128" t="s">
        <v>7997</v>
      </c>
      <c r="B2128" t="s">
        <v>7998</v>
      </c>
      <c r="C2128" t="s">
        <v>7999</v>
      </c>
      <c r="D2128" t="s">
        <v>8000</v>
      </c>
      <c r="E2128" t="s">
        <v>7998</v>
      </c>
      <c r="F2128" t="s">
        <v>28</v>
      </c>
      <c r="G2128" t="s">
        <v>7998</v>
      </c>
      <c r="H2128" t="str">
        <f>"epg-5"</f>
        <v>epg-5</v>
      </c>
      <c r="I2128" t="s">
        <v>8000</v>
      </c>
      <c r="J2128">
        <v>12.5068159506662</v>
      </c>
      <c r="K2128">
        <v>12.4171194023378</v>
      </c>
      <c r="L2128">
        <v>12.198998272862999</v>
      </c>
      <c r="M2128">
        <v>11.9525485781254</v>
      </c>
      <c r="N2128">
        <v>12.316435829211599</v>
      </c>
      <c r="O2128">
        <v>11.982122189017099</v>
      </c>
      <c r="P2128">
        <v>-0.29060900983760801</v>
      </c>
      <c r="Q2128">
        <v>-0.78012911054998801</v>
      </c>
      <c r="R2128">
        <v>0.19891109087477199</v>
      </c>
      <c r="S2128">
        <v>12.267639791666801</v>
      </c>
      <c r="T2128">
        <v>-1.2591807480027</v>
      </c>
      <c r="U2128">
        <v>-6.0879545238842097</v>
      </c>
      <c r="V2128">
        <v>0.22614317865459699</v>
      </c>
      <c r="W2128">
        <v>0.80406463521634597</v>
      </c>
      <c r="X2128">
        <v>0</v>
      </c>
      <c r="Y2128">
        <v>0</v>
      </c>
    </row>
    <row r="2129" spans="1:25" x14ac:dyDescent="0.2">
      <c r="A2129" t="s">
        <v>8001</v>
      </c>
      <c r="B2129" t="s">
        <v>8002</v>
      </c>
      <c r="C2129" t="s">
        <v>8003</v>
      </c>
      <c r="D2129" t="s">
        <v>8004</v>
      </c>
      <c r="E2129" t="s">
        <v>8002</v>
      </c>
      <c r="F2129" t="s">
        <v>28</v>
      </c>
      <c r="G2129" t="s">
        <v>8002</v>
      </c>
      <c r="H2129" t="str">
        <f>"cgp-1"</f>
        <v>cgp-1</v>
      </c>
      <c r="I2129" t="s">
        <v>8004</v>
      </c>
      <c r="J2129">
        <v>14.472900933005899</v>
      </c>
      <c r="K2129">
        <v>14.3737810857128</v>
      </c>
      <c r="L2129">
        <v>14.3098362039041</v>
      </c>
      <c r="M2129">
        <v>14.282309977621001</v>
      </c>
      <c r="N2129">
        <v>14.137395642072001</v>
      </c>
      <c r="O2129">
        <v>14.1112159455705</v>
      </c>
      <c r="P2129">
        <v>-0.20853221911977499</v>
      </c>
      <c r="Q2129">
        <v>-0.715527415955442</v>
      </c>
      <c r="R2129">
        <v>0.29846297771589198</v>
      </c>
      <c r="S2129">
        <v>13.980039584050999</v>
      </c>
      <c r="T2129">
        <v>-0.868199103516617</v>
      </c>
      <c r="U2129">
        <v>-6.49606029564527</v>
      </c>
      <c r="V2129">
        <v>0.39745047277575901</v>
      </c>
      <c r="W2129">
        <v>0.90975406915825197</v>
      </c>
      <c r="X2129">
        <v>0</v>
      </c>
      <c r="Y2129">
        <v>0</v>
      </c>
    </row>
    <row r="2130" spans="1:25" x14ac:dyDescent="0.2">
      <c r="A2130" t="s">
        <v>8005</v>
      </c>
      <c r="B2130" t="s">
        <v>8006</v>
      </c>
      <c r="C2130" t="s">
        <v>8007</v>
      </c>
      <c r="D2130" t="s">
        <v>8008</v>
      </c>
      <c r="E2130" t="s">
        <v>8006</v>
      </c>
      <c r="F2130" t="s">
        <v>28</v>
      </c>
      <c r="G2130" t="s">
        <v>8006</v>
      </c>
      <c r="H2130" t="str">
        <f>"acs-22"</f>
        <v>acs-22</v>
      </c>
      <c r="I2130" t="s">
        <v>8008</v>
      </c>
      <c r="J2130">
        <v>14.7920785600922</v>
      </c>
      <c r="K2130">
        <v>14.662194489368201</v>
      </c>
      <c r="L2130">
        <v>14.5515314033261</v>
      </c>
      <c r="M2130">
        <v>14.718943677365701</v>
      </c>
      <c r="N2130">
        <v>14.637670664293299</v>
      </c>
      <c r="O2130">
        <v>14.590963213990101</v>
      </c>
      <c r="P2130">
        <v>-1.9408965712466801E-2</v>
      </c>
      <c r="Q2130">
        <v>-0.41764392919890397</v>
      </c>
      <c r="R2130">
        <v>0.37882599777397002</v>
      </c>
      <c r="S2130">
        <v>14.433812250730499</v>
      </c>
      <c r="T2130">
        <v>-0.10243668585037</v>
      </c>
      <c r="U2130">
        <v>-6.8770084814608303</v>
      </c>
      <c r="V2130">
        <v>0.91954922174180997</v>
      </c>
      <c r="W2130">
        <v>0.99843270744267199</v>
      </c>
      <c r="X2130">
        <v>0</v>
      </c>
      <c r="Y2130">
        <v>0</v>
      </c>
    </row>
    <row r="2131" spans="1:25" x14ac:dyDescent="0.2">
      <c r="A2131" t="s">
        <v>8009</v>
      </c>
      <c r="B2131" t="s">
        <v>8010</v>
      </c>
      <c r="C2131" t="s">
        <v>8011</v>
      </c>
      <c r="D2131" t="s">
        <v>8012</v>
      </c>
      <c r="E2131" t="s">
        <v>8010</v>
      </c>
      <c r="F2131" t="s">
        <v>28</v>
      </c>
      <c r="G2131" t="s">
        <v>8010</v>
      </c>
      <c r="H2131" t="str">
        <f>"snap-1"</f>
        <v>snap-1</v>
      </c>
      <c r="I2131" t="s">
        <v>8012</v>
      </c>
      <c r="J2131">
        <v>13.950868715654501</v>
      </c>
      <c r="K2131">
        <v>13.659667420356399</v>
      </c>
      <c r="L2131">
        <v>14.058966226928501</v>
      </c>
      <c r="M2131">
        <v>13.7280297156746</v>
      </c>
      <c r="N2131">
        <v>14.2744727319966</v>
      </c>
      <c r="O2131">
        <v>13.873050888908001</v>
      </c>
      <c r="P2131">
        <v>6.8683657879940796E-2</v>
      </c>
      <c r="Q2131">
        <v>-0.38790101637989199</v>
      </c>
      <c r="R2131">
        <v>0.52526833213977298</v>
      </c>
      <c r="S2131">
        <v>13.5078223940861</v>
      </c>
      <c r="T2131">
        <v>0.31752805239584903</v>
      </c>
      <c r="U2131">
        <v>-6.8298028441604197</v>
      </c>
      <c r="V2131">
        <v>0.75473359251486705</v>
      </c>
      <c r="W2131">
        <v>0.99278624068726296</v>
      </c>
      <c r="X2131">
        <v>0</v>
      </c>
      <c r="Y2131">
        <v>0</v>
      </c>
    </row>
    <row r="2132" spans="1:25" x14ac:dyDescent="0.2">
      <c r="A2132" t="s">
        <v>8013</v>
      </c>
      <c r="B2132" t="s">
        <v>8014</v>
      </c>
      <c r="C2132" t="s">
        <v>14435</v>
      </c>
      <c r="D2132" t="s">
        <v>8015</v>
      </c>
      <c r="E2132" t="s">
        <v>8014</v>
      </c>
      <c r="F2132" t="s">
        <v>28</v>
      </c>
      <c r="G2132" t="s">
        <v>8014</v>
      </c>
      <c r="H2132" t="str">
        <f>"D1014.4"</f>
        <v>D1014.4</v>
      </c>
      <c r="I2132" t="s">
        <v>8015</v>
      </c>
      <c r="J2132" t="s">
        <v>29</v>
      </c>
      <c r="K2132">
        <v>15.1095109712408</v>
      </c>
      <c r="L2132">
        <v>14.8968378428516</v>
      </c>
      <c r="M2132">
        <v>14.8889358585006</v>
      </c>
      <c r="N2132">
        <v>15.189637995856399</v>
      </c>
      <c r="O2132">
        <v>14.985840499993399</v>
      </c>
      <c r="P2132">
        <v>1.8297044403990301E-2</v>
      </c>
      <c r="Q2132">
        <v>-0.75338028547055802</v>
      </c>
      <c r="R2132">
        <v>0.789974374278539</v>
      </c>
      <c r="S2132">
        <v>14.7840897183076</v>
      </c>
      <c r="T2132">
        <v>5.00489779683779E-2</v>
      </c>
      <c r="U2132">
        <v>-6.7708953319553897</v>
      </c>
      <c r="V2132">
        <v>0.96067029754955702</v>
      </c>
      <c r="W2132">
        <v>0.99968702248720698</v>
      </c>
      <c r="X2132">
        <v>0</v>
      </c>
      <c r="Y2132">
        <v>0</v>
      </c>
    </row>
    <row r="2133" spans="1:25" x14ac:dyDescent="0.2">
      <c r="A2133" t="s">
        <v>8016</v>
      </c>
      <c r="B2133" t="s">
        <v>8017</v>
      </c>
      <c r="C2133" t="s">
        <v>8018</v>
      </c>
      <c r="D2133" t="s">
        <v>8019</v>
      </c>
      <c r="E2133" t="s">
        <v>8017</v>
      </c>
      <c r="F2133" t="s">
        <v>28</v>
      </c>
      <c r="G2133" t="s">
        <v>8017</v>
      </c>
      <c r="H2133" t="str">
        <f>"slc-25a26"</f>
        <v>slc-25a26</v>
      </c>
      <c r="I2133" t="s">
        <v>8019</v>
      </c>
      <c r="J2133">
        <v>13.4330032865244</v>
      </c>
      <c r="K2133">
        <v>13.1342216584405</v>
      </c>
      <c r="L2133">
        <v>13.4097751393469</v>
      </c>
      <c r="M2133">
        <v>12.729799773522901</v>
      </c>
      <c r="N2133">
        <v>12.3005848857504</v>
      </c>
      <c r="O2133">
        <v>12.9560045011405</v>
      </c>
      <c r="P2133">
        <v>-0.66353697463269001</v>
      </c>
      <c r="Q2133">
        <v>-1.6406321071240599</v>
      </c>
      <c r="R2133">
        <v>0.31355815785868002</v>
      </c>
      <c r="S2133">
        <v>12.5074024713931</v>
      </c>
      <c r="T2133">
        <v>-1.4575389567302099</v>
      </c>
      <c r="U2133">
        <v>-5.8346430627350303</v>
      </c>
      <c r="V2133">
        <v>0.16719588364348101</v>
      </c>
      <c r="W2133">
        <v>0.76875593074037796</v>
      </c>
      <c r="X2133">
        <v>0</v>
      </c>
      <c r="Y2133">
        <v>0</v>
      </c>
    </row>
    <row r="2134" spans="1:25" x14ac:dyDescent="0.2">
      <c r="A2134" t="s">
        <v>8020</v>
      </c>
      <c r="B2134" t="s">
        <v>8021</v>
      </c>
      <c r="C2134" t="s">
        <v>8022</v>
      </c>
      <c r="D2134" t="s">
        <v>8023</v>
      </c>
      <c r="E2134" t="s">
        <v>8021</v>
      </c>
      <c r="F2134" t="s">
        <v>28</v>
      </c>
      <c r="G2134" t="s">
        <v>8021</v>
      </c>
      <c r="H2134" t="str">
        <f>"prp-38"</f>
        <v>prp-38</v>
      </c>
      <c r="I2134" t="s">
        <v>8023</v>
      </c>
      <c r="J2134">
        <v>14.154741305515699</v>
      </c>
      <c r="K2134">
        <v>14.6315362400499</v>
      </c>
      <c r="L2134">
        <v>14.4940919806984</v>
      </c>
      <c r="M2134">
        <v>14.273092320993101</v>
      </c>
      <c r="N2134">
        <v>14.226346289911501</v>
      </c>
      <c r="O2134">
        <v>14.276076801033399</v>
      </c>
      <c r="P2134">
        <v>-0.16828470477532101</v>
      </c>
      <c r="Q2134">
        <v>-0.53494304407203397</v>
      </c>
      <c r="R2134">
        <v>0.19837363452139201</v>
      </c>
      <c r="S2134">
        <v>14.498559480153499</v>
      </c>
      <c r="T2134">
        <v>-0.96879768257867904</v>
      </c>
      <c r="U2134">
        <v>-6.40386704699098</v>
      </c>
      <c r="V2134">
        <v>0.34631157379218303</v>
      </c>
      <c r="W2134">
        <v>0.87926117922885105</v>
      </c>
      <c r="X2134">
        <v>0</v>
      </c>
      <c r="Y2134">
        <v>0</v>
      </c>
    </row>
    <row r="2135" spans="1:25" x14ac:dyDescent="0.2">
      <c r="A2135" t="s">
        <v>8024</v>
      </c>
      <c r="B2135" t="s">
        <v>8025</v>
      </c>
      <c r="C2135" t="s">
        <v>14436</v>
      </c>
      <c r="D2135" t="s">
        <v>8026</v>
      </c>
      <c r="E2135" t="s">
        <v>8025</v>
      </c>
      <c r="F2135" t="s">
        <v>28</v>
      </c>
      <c r="G2135" t="s">
        <v>8025</v>
      </c>
      <c r="H2135" t="str">
        <f>"D1054.10"</f>
        <v>D1054.10</v>
      </c>
      <c r="I2135" t="s">
        <v>8026</v>
      </c>
      <c r="J2135">
        <v>13.5253889533957</v>
      </c>
      <c r="K2135">
        <v>14.162905968514499</v>
      </c>
      <c r="L2135">
        <v>15.6476830223899</v>
      </c>
      <c r="M2135">
        <v>13.705058037126999</v>
      </c>
      <c r="N2135">
        <v>13.574504706832199</v>
      </c>
      <c r="O2135">
        <v>15.474892212285299</v>
      </c>
      <c r="P2135">
        <v>-0.19384099601850799</v>
      </c>
      <c r="Q2135">
        <v>-1.36763320812053</v>
      </c>
      <c r="R2135">
        <v>0.97995121608351499</v>
      </c>
      <c r="S2135">
        <v>14.568232226460401</v>
      </c>
      <c r="T2135">
        <v>-0.34709385274931298</v>
      </c>
      <c r="U2135">
        <v>-6.81975517773503</v>
      </c>
      <c r="V2135">
        <v>0.73256931035516504</v>
      </c>
      <c r="W2135">
        <v>0.99057748145465696</v>
      </c>
      <c r="X2135">
        <v>0</v>
      </c>
      <c r="Y2135">
        <v>0</v>
      </c>
    </row>
    <row r="2136" spans="1:25" x14ac:dyDescent="0.2">
      <c r="A2136" t="s">
        <v>8027</v>
      </c>
      <c r="B2136" t="s">
        <v>8028</v>
      </c>
      <c r="C2136" t="s">
        <v>14437</v>
      </c>
      <c r="D2136" t="s">
        <v>3246</v>
      </c>
      <c r="E2136" t="s">
        <v>8028</v>
      </c>
      <c r="F2136" t="s">
        <v>28</v>
      </c>
      <c r="G2136" t="s">
        <v>8028</v>
      </c>
      <c r="H2136" t="str">
        <f>"D1054.8"</f>
        <v>D1054.8</v>
      </c>
      <c r="I2136" t="s">
        <v>3246</v>
      </c>
      <c r="J2136">
        <v>12.538931416779899</v>
      </c>
      <c r="K2136">
        <v>12.470901392132401</v>
      </c>
      <c r="L2136">
        <v>12.8849518918028</v>
      </c>
      <c r="M2136">
        <v>12.5696839796285</v>
      </c>
      <c r="N2136">
        <v>13.034427054560499</v>
      </c>
      <c r="O2136">
        <v>12.3595606832823</v>
      </c>
      <c r="P2136">
        <v>2.2962338918752299E-2</v>
      </c>
      <c r="Q2136">
        <v>-0.41595046701967497</v>
      </c>
      <c r="R2136">
        <v>0.46187514485718001</v>
      </c>
      <c r="S2136">
        <v>12.7841382395765</v>
      </c>
      <c r="T2136">
        <v>0.11096535332504499</v>
      </c>
      <c r="U2136">
        <v>-6.8760155833676402</v>
      </c>
      <c r="V2136">
        <v>0.91303289687253197</v>
      </c>
      <c r="W2136">
        <v>0.99833354317360001</v>
      </c>
      <c r="X2136">
        <v>0</v>
      </c>
      <c r="Y2136">
        <v>0</v>
      </c>
    </row>
    <row r="2137" spans="1:25" x14ac:dyDescent="0.2">
      <c r="A2137" t="s">
        <v>8029</v>
      </c>
      <c r="B2137" t="s">
        <v>8030</v>
      </c>
      <c r="C2137" t="s">
        <v>8031</v>
      </c>
      <c r="D2137" t="s">
        <v>8032</v>
      </c>
      <c r="E2137" t="s">
        <v>8030</v>
      </c>
      <c r="F2137" t="s">
        <v>28</v>
      </c>
      <c r="G2137" t="s">
        <v>8030</v>
      </c>
      <c r="H2137" t="str">
        <f>"ule-3"</f>
        <v>ule-3</v>
      </c>
      <c r="I2137" t="s">
        <v>8032</v>
      </c>
      <c r="J2137">
        <v>14.9685444036442</v>
      </c>
      <c r="K2137">
        <v>15.232185726265101</v>
      </c>
      <c r="L2137">
        <v>16.436739337217801</v>
      </c>
      <c r="M2137">
        <v>14.6038819004433</v>
      </c>
      <c r="N2137">
        <v>14.710973248140901</v>
      </c>
      <c r="O2137">
        <v>16.639033891791101</v>
      </c>
      <c r="P2137">
        <v>-0.22786014225062301</v>
      </c>
      <c r="Q2137">
        <v>-1.30108113570013</v>
      </c>
      <c r="R2137">
        <v>0.84536085119888504</v>
      </c>
      <c r="S2137">
        <v>15.767497993161999</v>
      </c>
      <c r="T2137">
        <v>-0.44624330961797998</v>
      </c>
      <c r="U2137">
        <v>-6.77902347720996</v>
      </c>
      <c r="V2137">
        <v>0.660774148988859</v>
      </c>
      <c r="W2137">
        <v>0.98382359994193702</v>
      </c>
      <c r="X2137">
        <v>0</v>
      </c>
      <c r="Y2137">
        <v>0</v>
      </c>
    </row>
    <row r="2138" spans="1:25" x14ac:dyDescent="0.2">
      <c r="A2138" t="s">
        <v>8033</v>
      </c>
      <c r="B2138" t="s">
        <v>8034</v>
      </c>
      <c r="C2138" t="s">
        <v>8035</v>
      </c>
      <c r="D2138" t="s">
        <v>8036</v>
      </c>
      <c r="E2138" t="s">
        <v>8034</v>
      </c>
      <c r="F2138" t="s">
        <v>28</v>
      </c>
      <c r="G2138" t="s">
        <v>8034</v>
      </c>
      <c r="H2138" t="str">
        <f>"eat-3"</f>
        <v>eat-3</v>
      </c>
      <c r="I2138" t="s">
        <v>8036</v>
      </c>
      <c r="J2138">
        <v>13.145174520042399</v>
      </c>
      <c r="K2138">
        <v>13.099905727327901</v>
      </c>
      <c r="L2138">
        <v>13.139593545046001</v>
      </c>
      <c r="M2138">
        <v>13.1259497340859</v>
      </c>
      <c r="N2138">
        <v>13.314210385513499</v>
      </c>
      <c r="O2138">
        <v>13.047189462218901</v>
      </c>
      <c r="P2138">
        <v>3.42252631340259E-2</v>
      </c>
      <c r="Q2138">
        <v>-1.3504630022364199</v>
      </c>
      <c r="R2138">
        <v>1.4189135285044701</v>
      </c>
      <c r="S2138">
        <v>13.4279179849611</v>
      </c>
      <c r="T2138">
        <v>5.2172878351501903E-2</v>
      </c>
      <c r="U2138">
        <v>-6.8810629905969103</v>
      </c>
      <c r="V2138">
        <v>0.95900285562919496</v>
      </c>
      <c r="W2138">
        <v>0.99968702248720698</v>
      </c>
      <c r="X2138">
        <v>0</v>
      </c>
      <c r="Y2138">
        <v>0</v>
      </c>
    </row>
    <row r="2139" spans="1:25" x14ac:dyDescent="0.2">
      <c r="A2139" t="s">
        <v>8037</v>
      </c>
      <c r="B2139" t="s">
        <v>8038</v>
      </c>
      <c r="C2139" t="s">
        <v>8039</v>
      </c>
      <c r="D2139" t="s">
        <v>8040</v>
      </c>
      <c r="E2139" t="s">
        <v>8038</v>
      </c>
      <c r="F2139" t="s">
        <v>28</v>
      </c>
      <c r="G2139" t="s">
        <v>8038</v>
      </c>
      <c r="H2139" t="str">
        <f>"eif-3.F"</f>
        <v>eif-3.F</v>
      </c>
      <c r="I2139" t="s">
        <v>8040</v>
      </c>
      <c r="J2139">
        <v>15.3767589026127</v>
      </c>
      <c r="K2139">
        <v>15.063894425273199</v>
      </c>
      <c r="L2139">
        <v>15.4509564533881</v>
      </c>
      <c r="M2139">
        <v>15.3042898864071</v>
      </c>
      <c r="N2139">
        <v>15.6331829483427</v>
      </c>
      <c r="O2139">
        <v>15.633124989680301</v>
      </c>
      <c r="P2139">
        <v>0.22632934771867499</v>
      </c>
      <c r="Q2139">
        <v>-0.13250295953608801</v>
      </c>
      <c r="R2139">
        <v>0.58516165497343797</v>
      </c>
      <c r="S2139">
        <v>15.195440261214999</v>
      </c>
      <c r="T2139">
        <v>1.3256895941803799</v>
      </c>
      <c r="U2139">
        <v>-6.0070002467316197</v>
      </c>
      <c r="V2139">
        <v>0.201617981933504</v>
      </c>
      <c r="W2139">
        <v>0.79075284576134597</v>
      </c>
      <c r="X2139">
        <v>0</v>
      </c>
      <c r="Y2139">
        <v>0</v>
      </c>
    </row>
    <row r="2140" spans="1:25" x14ac:dyDescent="0.2">
      <c r="A2140" t="s">
        <v>8041</v>
      </c>
      <c r="B2140" t="s">
        <v>8042</v>
      </c>
      <c r="C2140" t="s">
        <v>8043</v>
      </c>
      <c r="D2140" t="s">
        <v>8044</v>
      </c>
      <c r="E2140" t="s">
        <v>8042</v>
      </c>
      <c r="F2140" t="s">
        <v>28</v>
      </c>
      <c r="G2140" t="s">
        <v>8042</v>
      </c>
      <c r="H2140" t="str">
        <f>"scp-1"</f>
        <v>scp-1</v>
      </c>
      <c r="I2140" t="s">
        <v>8044</v>
      </c>
      <c r="J2140">
        <v>12.7786500578025</v>
      </c>
      <c r="K2140">
        <v>12.2700268024252</v>
      </c>
      <c r="L2140">
        <v>12.355016814104101</v>
      </c>
      <c r="M2140">
        <v>12.467019212045001</v>
      </c>
      <c r="N2140">
        <v>12.541222999125599</v>
      </c>
      <c r="O2140" t="s">
        <v>29</v>
      </c>
      <c r="P2140">
        <v>3.6223214141388703E-2</v>
      </c>
      <c r="Q2140">
        <v>-0.63452771239193495</v>
      </c>
      <c r="R2140">
        <v>0.70697414067471298</v>
      </c>
      <c r="S2140">
        <v>12.2988309198113</v>
      </c>
      <c r="T2140">
        <v>0.11590911632758499</v>
      </c>
      <c r="U2140">
        <v>-6.7650998926856998</v>
      </c>
      <c r="V2140">
        <v>0.90938305872177105</v>
      </c>
      <c r="W2140">
        <v>0.99833354317360001</v>
      </c>
      <c r="X2140">
        <v>0</v>
      </c>
      <c r="Y2140">
        <v>0</v>
      </c>
    </row>
    <row r="2141" spans="1:25" x14ac:dyDescent="0.2">
      <c r="A2141" t="s">
        <v>8045</v>
      </c>
      <c r="B2141" t="s">
        <v>8046</v>
      </c>
      <c r="C2141" t="s">
        <v>8047</v>
      </c>
      <c r="D2141" t="s">
        <v>8048</v>
      </c>
      <c r="E2141" t="s">
        <v>8046</v>
      </c>
      <c r="F2141" t="s">
        <v>28</v>
      </c>
      <c r="G2141" t="s">
        <v>8046</v>
      </c>
      <c r="H2141" t="str">
        <f>"rab-39"</f>
        <v>rab-39</v>
      </c>
      <c r="I2141" t="s">
        <v>8048</v>
      </c>
      <c r="J2141">
        <v>13.868356047574499</v>
      </c>
      <c r="K2141">
        <v>13.622665437936901</v>
      </c>
      <c r="L2141">
        <v>13.5614852213916</v>
      </c>
      <c r="M2141">
        <v>13.6813836126599</v>
      </c>
      <c r="N2141">
        <v>13.648108273449299</v>
      </c>
      <c r="O2141">
        <v>13.8661668576003</v>
      </c>
      <c r="P2141">
        <v>4.7717345602182E-2</v>
      </c>
      <c r="Q2141">
        <v>-0.321071886749216</v>
      </c>
      <c r="R2141">
        <v>0.41650657795357998</v>
      </c>
      <c r="S2141">
        <v>13.2885125044631</v>
      </c>
      <c r="T2141">
        <v>0.27444010348321002</v>
      </c>
      <c r="U2141">
        <v>-6.8429688558488797</v>
      </c>
      <c r="V2141">
        <v>0.78728124520800002</v>
      </c>
      <c r="W2141">
        <v>0.99278624068726296</v>
      </c>
      <c r="X2141">
        <v>0</v>
      </c>
      <c r="Y2141">
        <v>0</v>
      </c>
    </row>
    <row r="2142" spans="1:25" x14ac:dyDescent="0.2">
      <c r="A2142" t="s">
        <v>8049</v>
      </c>
      <c r="B2142" t="s">
        <v>8050</v>
      </c>
      <c r="C2142" t="s">
        <v>8051</v>
      </c>
      <c r="D2142" t="s">
        <v>8052</v>
      </c>
      <c r="E2142" t="s">
        <v>8050</v>
      </c>
      <c r="F2142" t="s">
        <v>28</v>
      </c>
      <c r="G2142" t="s">
        <v>8050</v>
      </c>
      <c r="H2142" t="str">
        <f>"ecps-1"</f>
        <v>ecps-1</v>
      </c>
      <c r="I2142" t="s">
        <v>8052</v>
      </c>
      <c r="J2142">
        <v>13.6818913888218</v>
      </c>
      <c r="K2142">
        <v>13.812036116267301</v>
      </c>
      <c r="L2142">
        <v>13.6076659730236</v>
      </c>
      <c r="M2142">
        <v>13.715604594961199</v>
      </c>
      <c r="N2142">
        <v>13.6556542494352</v>
      </c>
      <c r="O2142">
        <v>13.593305590011299</v>
      </c>
      <c r="P2142">
        <v>-4.5676347901677503E-2</v>
      </c>
      <c r="Q2142">
        <v>-0.68472431199946704</v>
      </c>
      <c r="R2142">
        <v>0.59337161619611201</v>
      </c>
      <c r="S2142">
        <v>13.7647907573157</v>
      </c>
      <c r="T2142">
        <v>-0.150227842350908</v>
      </c>
      <c r="U2142">
        <v>-6.8707051312585703</v>
      </c>
      <c r="V2142">
        <v>0.88226517414523298</v>
      </c>
      <c r="W2142">
        <v>0.99702926582654094</v>
      </c>
      <c r="X2142">
        <v>0</v>
      </c>
      <c r="Y2142">
        <v>0</v>
      </c>
    </row>
    <row r="2143" spans="1:25" x14ac:dyDescent="0.2">
      <c r="A2143" t="s">
        <v>8053</v>
      </c>
      <c r="B2143" t="s">
        <v>8054</v>
      </c>
      <c r="C2143" t="s">
        <v>8055</v>
      </c>
      <c r="D2143" t="s">
        <v>8056</v>
      </c>
      <c r="E2143" t="s">
        <v>8054</v>
      </c>
      <c r="F2143" t="s">
        <v>28</v>
      </c>
      <c r="G2143" t="s">
        <v>8054</v>
      </c>
      <c r="H2143" t="str">
        <f>"pyr-1"</f>
        <v>pyr-1</v>
      </c>
      <c r="I2143" t="s">
        <v>8056</v>
      </c>
      <c r="J2143">
        <v>15.9756180792708</v>
      </c>
      <c r="K2143">
        <v>15.7577798297912</v>
      </c>
      <c r="L2143">
        <v>16.041416623046899</v>
      </c>
      <c r="M2143">
        <v>15.9694536490546</v>
      </c>
      <c r="N2143">
        <v>16.119690103952401</v>
      </c>
      <c r="O2143">
        <v>15.645242690998501</v>
      </c>
      <c r="P2143">
        <v>-1.3476029367803099E-2</v>
      </c>
      <c r="Q2143">
        <v>-0.52025086858193403</v>
      </c>
      <c r="R2143">
        <v>0.49329880984632701</v>
      </c>
      <c r="S2143">
        <v>15.8769609283788</v>
      </c>
      <c r="T2143">
        <v>-5.5890683067598201E-2</v>
      </c>
      <c r="U2143">
        <v>-6.8808575551496798</v>
      </c>
      <c r="V2143">
        <v>0.95604819543749697</v>
      </c>
      <c r="W2143">
        <v>0.99968702248720698</v>
      </c>
      <c r="X2143">
        <v>0</v>
      </c>
      <c r="Y2143">
        <v>0</v>
      </c>
    </row>
    <row r="2144" spans="1:25" x14ac:dyDescent="0.2">
      <c r="A2144" t="s">
        <v>8057</v>
      </c>
      <c r="B2144" t="s">
        <v>8058</v>
      </c>
      <c r="C2144" t="s">
        <v>8059</v>
      </c>
      <c r="D2144" t="s">
        <v>8060</v>
      </c>
      <c r="E2144" t="s">
        <v>8058</v>
      </c>
      <c r="F2144" t="s">
        <v>28</v>
      </c>
      <c r="G2144" t="s">
        <v>8058</v>
      </c>
      <c r="H2144" t="str">
        <f>"eif-2bepsilon"</f>
        <v>eif-2bepsilon</v>
      </c>
      <c r="I2144" t="s">
        <v>8060</v>
      </c>
      <c r="J2144">
        <v>13.1029593658637</v>
      </c>
      <c r="K2144">
        <v>12.9424347783723</v>
      </c>
      <c r="L2144">
        <v>13.102783046228399</v>
      </c>
      <c r="M2144">
        <v>13.2272486243362</v>
      </c>
      <c r="N2144">
        <v>13.0397024338685</v>
      </c>
      <c r="O2144">
        <v>13.045675775862099</v>
      </c>
      <c r="P2144">
        <v>5.4816547867481802E-2</v>
      </c>
      <c r="Q2144">
        <v>-0.390357298295754</v>
      </c>
      <c r="R2144">
        <v>0.49999039403071699</v>
      </c>
      <c r="S2144">
        <v>13.132745171403601</v>
      </c>
      <c r="T2144">
        <v>0.25991542458200501</v>
      </c>
      <c r="U2144">
        <v>-6.8471524364972298</v>
      </c>
      <c r="V2144">
        <v>0.79806994017277499</v>
      </c>
      <c r="W2144">
        <v>0.99278624068726296</v>
      </c>
      <c r="X2144">
        <v>0</v>
      </c>
      <c r="Y2144">
        <v>0</v>
      </c>
    </row>
    <row r="2145" spans="1:25" x14ac:dyDescent="0.2">
      <c r="A2145" t="s">
        <v>8061</v>
      </c>
      <c r="B2145" t="s">
        <v>8062</v>
      </c>
      <c r="C2145" t="s">
        <v>8063</v>
      </c>
      <c r="D2145" t="s">
        <v>8064</v>
      </c>
      <c r="E2145" t="s">
        <v>8062</v>
      </c>
      <c r="F2145" t="s">
        <v>28</v>
      </c>
      <c r="G2145" t="s">
        <v>8062</v>
      </c>
      <c r="H2145" t="str">
        <f>"nap-1"</f>
        <v>nap-1</v>
      </c>
      <c r="I2145" t="s">
        <v>8064</v>
      </c>
      <c r="J2145">
        <v>12.6789625809438</v>
      </c>
      <c r="K2145">
        <v>12.5725581685767</v>
      </c>
      <c r="L2145">
        <v>12.714227230652901</v>
      </c>
      <c r="M2145">
        <v>17.036715020901099</v>
      </c>
      <c r="N2145">
        <v>16.7876184705238</v>
      </c>
      <c r="O2145">
        <v>16.6512058659773</v>
      </c>
      <c r="P2145">
        <v>4.1699304590762898</v>
      </c>
      <c r="Q2145">
        <v>3.4519233039661898</v>
      </c>
      <c r="R2145">
        <v>4.88793761418638</v>
      </c>
      <c r="S2145">
        <v>15.491970214146001</v>
      </c>
      <c r="T2145">
        <v>12.206539292643599</v>
      </c>
      <c r="U2145">
        <v>13.434316259599701</v>
      </c>
      <c r="V2145" s="2">
        <v>4.1214127539224401E-10</v>
      </c>
      <c r="W2145" s="2">
        <v>3.4290154112634699E-7</v>
      </c>
      <c r="X2145">
        <v>1</v>
      </c>
      <c r="Y2145">
        <v>1</v>
      </c>
    </row>
    <row r="2146" spans="1:25" x14ac:dyDescent="0.2">
      <c r="A2146" t="s">
        <v>8065</v>
      </c>
      <c r="B2146" t="s">
        <v>8066</v>
      </c>
      <c r="C2146" t="s">
        <v>8067</v>
      </c>
      <c r="D2146" t="s">
        <v>8068</v>
      </c>
      <c r="E2146" t="s">
        <v>8066</v>
      </c>
      <c r="F2146" t="s">
        <v>28</v>
      </c>
      <c r="G2146" t="s">
        <v>8066</v>
      </c>
      <c r="H2146" t="str">
        <f>"glna-2"</f>
        <v>glna-2</v>
      </c>
      <c r="I2146" t="s">
        <v>8068</v>
      </c>
      <c r="J2146" t="s">
        <v>29</v>
      </c>
      <c r="K2146" t="s">
        <v>29</v>
      </c>
      <c r="L2146" t="s">
        <v>29</v>
      </c>
      <c r="M2146" t="s">
        <v>29</v>
      </c>
      <c r="N2146" t="s">
        <v>29</v>
      </c>
      <c r="O2146" t="s">
        <v>29</v>
      </c>
      <c r="P2146" t="s">
        <v>29</v>
      </c>
      <c r="Q2146" t="s">
        <v>29</v>
      </c>
      <c r="R2146" t="s">
        <v>29</v>
      </c>
      <c r="S2146">
        <v>13.6990273465762</v>
      </c>
      <c r="T2146" t="s">
        <v>29</v>
      </c>
      <c r="U2146" t="s">
        <v>29</v>
      </c>
      <c r="V2146" t="s">
        <v>29</v>
      </c>
      <c r="W2146" t="s">
        <v>29</v>
      </c>
      <c r="X2146" t="s">
        <v>29</v>
      </c>
      <c r="Y2146" t="s">
        <v>29</v>
      </c>
    </row>
    <row r="2147" spans="1:25" x14ac:dyDescent="0.2">
      <c r="A2147" t="s">
        <v>8069</v>
      </c>
      <c r="B2147" t="s">
        <v>8070</v>
      </c>
      <c r="C2147" t="s">
        <v>14438</v>
      </c>
      <c r="D2147" t="s">
        <v>3358</v>
      </c>
      <c r="E2147" t="s">
        <v>8070</v>
      </c>
      <c r="F2147" t="s">
        <v>28</v>
      </c>
      <c r="G2147" t="s">
        <v>8070</v>
      </c>
      <c r="H2147" t="str">
        <f>"DH11.2"</f>
        <v>DH11.2</v>
      </c>
      <c r="I2147" t="s">
        <v>3358</v>
      </c>
      <c r="J2147" t="s">
        <v>29</v>
      </c>
      <c r="K2147" t="s">
        <v>29</v>
      </c>
      <c r="L2147">
        <v>12.3053299836963</v>
      </c>
      <c r="M2147">
        <v>12.7208954957436</v>
      </c>
      <c r="N2147">
        <v>12.4988632679816</v>
      </c>
      <c r="O2147" t="s">
        <v>29</v>
      </c>
      <c r="P2147">
        <v>0.30454939816626198</v>
      </c>
      <c r="Q2147">
        <v>-0.63536683326213494</v>
      </c>
      <c r="R2147">
        <v>1.2444656295946599</v>
      </c>
      <c r="S2147">
        <v>12.3914636366463</v>
      </c>
      <c r="T2147">
        <v>0.71399683956763305</v>
      </c>
      <c r="U2147">
        <v>-6.21781919033495</v>
      </c>
      <c r="V2147">
        <v>0.49024281920743501</v>
      </c>
      <c r="W2147">
        <v>0.94062983959761604</v>
      </c>
      <c r="X2147">
        <v>0</v>
      </c>
      <c r="Y2147">
        <v>0</v>
      </c>
    </row>
    <row r="2148" spans="1:25" x14ac:dyDescent="0.2">
      <c r="A2148" t="s">
        <v>8071</v>
      </c>
      <c r="B2148" t="s">
        <v>8072</v>
      </c>
      <c r="C2148" t="s">
        <v>8073</v>
      </c>
      <c r="D2148" t="s">
        <v>8074</v>
      </c>
      <c r="E2148" t="s">
        <v>8072</v>
      </c>
      <c r="F2148" t="s">
        <v>28</v>
      </c>
      <c r="G2148" t="s">
        <v>8072</v>
      </c>
      <c r="H2148" t="str">
        <f>"dhc-1"</f>
        <v>dhc-1</v>
      </c>
      <c r="I2148" t="s">
        <v>8074</v>
      </c>
      <c r="J2148">
        <v>15.5492276851033</v>
      </c>
      <c r="K2148">
        <v>15.4861616704274</v>
      </c>
      <c r="L2148">
        <v>15.3848292665571</v>
      </c>
      <c r="M2148">
        <v>15.407395518140699</v>
      </c>
      <c r="N2148">
        <v>15.298821820137301</v>
      </c>
      <c r="O2148">
        <v>15.302838031707701</v>
      </c>
      <c r="P2148">
        <v>-0.137054417367374</v>
      </c>
      <c r="Q2148">
        <v>-0.43884270962833399</v>
      </c>
      <c r="R2148">
        <v>0.16473387489358701</v>
      </c>
      <c r="S2148">
        <v>15.362457851866401</v>
      </c>
      <c r="T2148">
        <v>-0.95451589178308605</v>
      </c>
      <c r="U2148">
        <v>-6.4182844284275404</v>
      </c>
      <c r="V2148">
        <v>0.35253978263733698</v>
      </c>
      <c r="W2148">
        <v>0.87950242192597095</v>
      </c>
      <c r="X2148">
        <v>0</v>
      </c>
      <c r="Y2148">
        <v>0</v>
      </c>
    </row>
    <row r="2149" spans="1:25" x14ac:dyDescent="0.2">
      <c r="A2149" t="s">
        <v>8075</v>
      </c>
      <c r="B2149" t="s">
        <v>8076</v>
      </c>
      <c r="C2149" t="s">
        <v>8077</v>
      </c>
      <c r="D2149" t="s">
        <v>2655</v>
      </c>
      <c r="E2149" t="s">
        <v>8076</v>
      </c>
      <c r="F2149" t="s">
        <v>28</v>
      </c>
      <c r="G2149" t="s">
        <v>8076</v>
      </c>
      <c r="H2149" t="str">
        <f>"rcq-5"</f>
        <v>rcq-5</v>
      </c>
      <c r="I2149" t="s">
        <v>2655</v>
      </c>
      <c r="J2149" t="s">
        <v>29</v>
      </c>
      <c r="K2149" t="s">
        <v>29</v>
      </c>
      <c r="L2149" t="s">
        <v>29</v>
      </c>
      <c r="M2149" t="s">
        <v>29</v>
      </c>
      <c r="N2149" t="s">
        <v>29</v>
      </c>
      <c r="O2149" t="s">
        <v>29</v>
      </c>
      <c r="P2149" t="s">
        <v>29</v>
      </c>
      <c r="Q2149" t="s">
        <v>29</v>
      </c>
      <c r="R2149" t="s">
        <v>29</v>
      </c>
      <c r="S2149">
        <v>11.4303589563381</v>
      </c>
      <c r="T2149" t="s">
        <v>29</v>
      </c>
      <c r="U2149" t="s">
        <v>29</v>
      </c>
      <c r="V2149" t="s">
        <v>29</v>
      </c>
      <c r="W2149" t="s">
        <v>29</v>
      </c>
      <c r="X2149" t="s">
        <v>29</v>
      </c>
      <c r="Y2149" t="s">
        <v>29</v>
      </c>
    </row>
    <row r="2150" spans="1:25" x14ac:dyDescent="0.2">
      <c r="A2150" t="s">
        <v>8078</v>
      </c>
      <c r="B2150" t="s">
        <v>8079</v>
      </c>
      <c r="C2150" t="s">
        <v>8080</v>
      </c>
      <c r="D2150" t="s">
        <v>8081</v>
      </c>
      <c r="E2150" t="s">
        <v>8079</v>
      </c>
      <c r="F2150" t="s">
        <v>28</v>
      </c>
      <c r="G2150" t="s">
        <v>8079</v>
      </c>
      <c r="H2150" t="str">
        <f>"eif-2A"</f>
        <v>eif-2A</v>
      </c>
      <c r="I2150" t="s">
        <v>8081</v>
      </c>
      <c r="J2150">
        <v>12.369600254961799</v>
      </c>
      <c r="K2150">
        <v>12.343046050931701</v>
      </c>
      <c r="L2150">
        <v>12.295926181980001</v>
      </c>
      <c r="M2150">
        <v>13.774220289012799</v>
      </c>
      <c r="N2150">
        <v>13.8133375022172</v>
      </c>
      <c r="O2150">
        <v>13.925382797371901</v>
      </c>
      <c r="P2150">
        <v>1.5014560335761</v>
      </c>
      <c r="Q2150">
        <v>1.0442134565763399</v>
      </c>
      <c r="R2150">
        <v>1.9586986105758699</v>
      </c>
      <c r="S2150">
        <v>13.866750275147901</v>
      </c>
      <c r="T2150">
        <v>6.9017380009950502</v>
      </c>
      <c r="U2150">
        <v>5.1243550296235298</v>
      </c>
      <c r="V2150" s="2">
        <v>1.93712806266299E-6</v>
      </c>
      <c r="W2150">
        <v>1.84193205501212E-4</v>
      </c>
      <c r="X2150">
        <v>1</v>
      </c>
      <c r="Y2150">
        <v>1</v>
      </c>
    </row>
    <row r="2151" spans="1:25" x14ac:dyDescent="0.2">
      <c r="A2151" t="s">
        <v>8082</v>
      </c>
      <c r="B2151" t="s">
        <v>8083</v>
      </c>
      <c r="C2151" t="s">
        <v>8084</v>
      </c>
      <c r="D2151" t="s">
        <v>8085</v>
      </c>
      <c r="E2151" t="s">
        <v>8083</v>
      </c>
      <c r="F2151" t="s">
        <v>28</v>
      </c>
      <c r="G2151" t="s">
        <v>8083</v>
      </c>
      <c r="H2151" t="str">
        <f>"acdh-12"</f>
        <v>acdh-12</v>
      </c>
      <c r="I2151" t="s">
        <v>8085</v>
      </c>
      <c r="J2151">
        <v>17.098367815091699</v>
      </c>
      <c r="K2151">
        <v>16.9685985416852</v>
      </c>
      <c r="L2151">
        <v>17.018888318247399</v>
      </c>
      <c r="M2151">
        <v>16.9349039281324</v>
      </c>
      <c r="N2151">
        <v>17.361452396564601</v>
      </c>
      <c r="O2151">
        <v>16.983723605350701</v>
      </c>
      <c r="P2151">
        <v>6.4741751674485898E-2</v>
      </c>
      <c r="Q2151">
        <v>-0.40222151361285702</v>
      </c>
      <c r="R2151">
        <v>0.53170501696182904</v>
      </c>
      <c r="S2151">
        <v>17.1772338349884</v>
      </c>
      <c r="T2151">
        <v>0.291403149698852</v>
      </c>
      <c r="U2151">
        <v>-6.8382272483311199</v>
      </c>
      <c r="V2151">
        <v>0.77409383928685604</v>
      </c>
      <c r="W2151">
        <v>0.99278624068726296</v>
      </c>
      <c r="X2151">
        <v>0</v>
      </c>
      <c r="Y2151">
        <v>0</v>
      </c>
    </row>
    <row r="2152" spans="1:25" x14ac:dyDescent="0.2">
      <c r="A2152" t="s">
        <v>8086</v>
      </c>
      <c r="B2152" t="s">
        <v>8087</v>
      </c>
      <c r="C2152" t="s">
        <v>8088</v>
      </c>
      <c r="D2152" t="s">
        <v>2795</v>
      </c>
      <c r="E2152" t="s">
        <v>8087</v>
      </c>
      <c r="F2152" t="s">
        <v>28</v>
      </c>
      <c r="G2152" t="s">
        <v>8087</v>
      </c>
      <c r="H2152" t="str">
        <f>"ugt-57"</f>
        <v>ugt-57</v>
      </c>
      <c r="I2152" t="s">
        <v>2795</v>
      </c>
      <c r="J2152" t="s">
        <v>29</v>
      </c>
      <c r="K2152">
        <v>13.107505120877001</v>
      </c>
      <c r="L2152">
        <v>13.3212420105784</v>
      </c>
      <c r="M2152">
        <v>13.277149595757001</v>
      </c>
      <c r="N2152">
        <v>12.401169819606899</v>
      </c>
      <c r="O2152" t="s">
        <v>29</v>
      </c>
      <c r="P2152">
        <v>-0.37521385804574298</v>
      </c>
      <c r="Q2152">
        <v>-1.25165888085104</v>
      </c>
      <c r="R2152">
        <v>0.50123116475955098</v>
      </c>
      <c r="S2152">
        <v>12.940569258979799</v>
      </c>
      <c r="T2152">
        <v>-0.94336961589128998</v>
      </c>
      <c r="U2152">
        <v>-6.2228051607932402</v>
      </c>
      <c r="V2152">
        <v>0.36594127091879403</v>
      </c>
      <c r="W2152">
        <v>0.88894346687426895</v>
      </c>
      <c r="X2152">
        <v>0</v>
      </c>
      <c r="Y2152">
        <v>0</v>
      </c>
    </row>
    <row r="2153" spans="1:25" x14ac:dyDescent="0.2">
      <c r="A2153" t="s">
        <v>8089</v>
      </c>
      <c r="B2153" t="s">
        <v>8090</v>
      </c>
      <c r="C2153" t="s">
        <v>14439</v>
      </c>
      <c r="D2153" t="s">
        <v>1919</v>
      </c>
      <c r="E2153" t="s">
        <v>8090</v>
      </c>
      <c r="F2153" t="s">
        <v>28</v>
      </c>
      <c r="G2153" t="s">
        <v>8090</v>
      </c>
      <c r="H2153" t="str">
        <f>"F01F1.11"</f>
        <v>F01F1.11</v>
      </c>
      <c r="I2153" t="s">
        <v>1919</v>
      </c>
      <c r="J2153">
        <v>10.926912749450199</v>
      </c>
      <c r="K2153">
        <v>10.872295335958</v>
      </c>
      <c r="L2153">
        <v>11.2238903703653</v>
      </c>
      <c r="M2153" t="s">
        <v>29</v>
      </c>
      <c r="N2153">
        <v>11.240064289128201</v>
      </c>
      <c r="O2153">
        <v>10.9570258502347</v>
      </c>
      <c r="P2153">
        <v>9.0845584423613304E-2</v>
      </c>
      <c r="Q2153">
        <v>-0.711445603194372</v>
      </c>
      <c r="R2153">
        <v>0.89313677204159903</v>
      </c>
      <c r="S2153">
        <v>11.1956580138569</v>
      </c>
      <c r="T2153">
        <v>0.243032130465209</v>
      </c>
      <c r="U2153">
        <v>-6.74102105805013</v>
      </c>
      <c r="V2153">
        <v>0.81153149659579704</v>
      </c>
      <c r="W2153">
        <v>0.99278624068726296</v>
      </c>
      <c r="X2153">
        <v>0</v>
      </c>
      <c r="Y2153">
        <v>0</v>
      </c>
    </row>
    <row r="2154" spans="1:25" x14ac:dyDescent="0.2">
      <c r="A2154" t="s">
        <v>8091</v>
      </c>
      <c r="B2154" t="s">
        <v>8092</v>
      </c>
      <c r="C2154" t="s">
        <v>8093</v>
      </c>
      <c r="D2154" t="s">
        <v>8094</v>
      </c>
      <c r="E2154" t="s">
        <v>8092</v>
      </c>
      <c r="F2154" t="s">
        <v>28</v>
      </c>
      <c r="G2154" t="s">
        <v>8092</v>
      </c>
      <c r="H2154" t="str">
        <f>"sur-7"</f>
        <v>sur-7</v>
      </c>
      <c r="I2154" t="s">
        <v>8094</v>
      </c>
      <c r="J2154">
        <v>11.8917419125469</v>
      </c>
      <c r="K2154">
        <v>11.5133957911428</v>
      </c>
      <c r="L2154">
        <v>12.1613716939695</v>
      </c>
      <c r="M2154">
        <v>12.0042261836109</v>
      </c>
      <c r="N2154">
        <v>12.6689723076936</v>
      </c>
      <c r="O2154">
        <v>12.3832296612234</v>
      </c>
      <c r="P2154">
        <v>0.49663958495620403</v>
      </c>
      <c r="Q2154">
        <v>-0.31390520456635101</v>
      </c>
      <c r="R2154">
        <v>1.3071843744787599</v>
      </c>
      <c r="S2154">
        <v>12.0190865681838</v>
      </c>
      <c r="T2154">
        <v>1.31509221471965</v>
      </c>
      <c r="U2154">
        <v>-6.0183804015167102</v>
      </c>
      <c r="V2154">
        <v>0.20976920473494901</v>
      </c>
      <c r="W2154">
        <v>0.79492804357574798</v>
      </c>
      <c r="X2154">
        <v>0</v>
      </c>
      <c r="Y2154">
        <v>0</v>
      </c>
    </row>
    <row r="2155" spans="1:25" x14ac:dyDescent="0.2">
      <c r="A2155" t="s">
        <v>8095</v>
      </c>
      <c r="B2155" t="s">
        <v>8096</v>
      </c>
      <c r="C2155" t="s">
        <v>8097</v>
      </c>
      <c r="D2155" t="s">
        <v>8098</v>
      </c>
      <c r="E2155" t="s">
        <v>8096</v>
      </c>
      <c r="F2155" t="s">
        <v>28</v>
      </c>
      <c r="G2155" t="s">
        <v>8096</v>
      </c>
      <c r="H2155" t="str">
        <f>"skih-2"</f>
        <v>skih-2</v>
      </c>
      <c r="I2155" t="s">
        <v>8098</v>
      </c>
      <c r="J2155">
        <v>12.123640722239999</v>
      </c>
      <c r="K2155">
        <v>12.0290831250881</v>
      </c>
      <c r="L2155">
        <v>12.074542727467801</v>
      </c>
      <c r="M2155">
        <v>12.187715770855</v>
      </c>
      <c r="N2155">
        <v>12.3808063441807</v>
      </c>
      <c r="O2155">
        <v>12.0130077971017</v>
      </c>
      <c r="P2155">
        <v>0.118087779113853</v>
      </c>
      <c r="Q2155">
        <v>-0.35321708386829598</v>
      </c>
      <c r="R2155">
        <v>0.58939264209600295</v>
      </c>
      <c r="S2155">
        <v>12.4594708416265</v>
      </c>
      <c r="T2155">
        <v>0.53143794954906598</v>
      </c>
      <c r="U2155">
        <v>-6.7352574374556502</v>
      </c>
      <c r="V2155">
        <v>0.60246372134847104</v>
      </c>
      <c r="W2155">
        <v>0.96859867857377402</v>
      </c>
      <c r="X2155">
        <v>0</v>
      </c>
      <c r="Y2155">
        <v>0</v>
      </c>
    </row>
    <row r="2156" spans="1:25" x14ac:dyDescent="0.2">
      <c r="A2156" t="s">
        <v>8099</v>
      </c>
      <c r="B2156" t="s">
        <v>8100</v>
      </c>
      <c r="C2156" t="s">
        <v>14440</v>
      </c>
      <c r="D2156" t="s">
        <v>8101</v>
      </c>
      <c r="E2156" t="s">
        <v>8100</v>
      </c>
      <c r="F2156" t="s">
        <v>28</v>
      </c>
      <c r="G2156" t="s">
        <v>8100</v>
      </c>
      <c r="H2156" t="str">
        <f>"F02E8.4"</f>
        <v>F02E8.4</v>
      </c>
      <c r="I2156" t="s">
        <v>8101</v>
      </c>
      <c r="J2156" t="s">
        <v>29</v>
      </c>
      <c r="K2156">
        <v>11.143202300855901</v>
      </c>
      <c r="L2156">
        <v>11.0541862061127</v>
      </c>
      <c r="M2156">
        <v>10.457701159456899</v>
      </c>
      <c r="N2156">
        <v>11.3460093092097</v>
      </c>
      <c r="O2156">
        <v>10.0986602052336</v>
      </c>
      <c r="P2156">
        <v>-0.46457069551756502</v>
      </c>
      <c r="Q2156">
        <v>-1.2691625845399499</v>
      </c>
      <c r="R2156">
        <v>0.34002119350481502</v>
      </c>
      <c r="S2156">
        <v>11.862946502580501</v>
      </c>
      <c r="T2156">
        <v>-1.23927604298478</v>
      </c>
      <c r="U2156">
        <v>-6.0020056488076898</v>
      </c>
      <c r="V2156">
        <v>0.23576801129021399</v>
      </c>
      <c r="W2156">
        <v>0.82160831578411697</v>
      </c>
      <c r="X2156">
        <v>0</v>
      </c>
      <c r="Y2156">
        <v>0</v>
      </c>
    </row>
    <row r="2157" spans="1:25" x14ac:dyDescent="0.2">
      <c r="A2157" t="s">
        <v>8102</v>
      </c>
      <c r="B2157" t="s">
        <v>8103</v>
      </c>
      <c r="C2157" t="s">
        <v>8104</v>
      </c>
      <c r="D2157" t="s">
        <v>3206</v>
      </c>
      <c r="E2157" t="s">
        <v>8103</v>
      </c>
      <c r="F2157" t="s">
        <v>28</v>
      </c>
      <c r="G2157" t="s">
        <v>8103</v>
      </c>
      <c r="H2157" t="str">
        <f>"aps-2"</f>
        <v>aps-2</v>
      </c>
      <c r="I2157" t="s">
        <v>3206</v>
      </c>
      <c r="J2157">
        <v>14.919407199716501</v>
      </c>
      <c r="K2157">
        <v>15.083091985812301</v>
      </c>
      <c r="L2157">
        <v>14.891544168103101</v>
      </c>
      <c r="M2157">
        <v>15.0267346155709</v>
      </c>
      <c r="N2157">
        <v>14.5896032147177</v>
      </c>
      <c r="O2157">
        <v>14.714374358358601</v>
      </c>
      <c r="P2157">
        <v>-0.18777705499492101</v>
      </c>
      <c r="Q2157">
        <v>-0.610744260837907</v>
      </c>
      <c r="R2157">
        <v>0.23519015084806499</v>
      </c>
      <c r="S2157">
        <v>14.5893925796092</v>
      </c>
      <c r="T2157">
        <v>-0.93310032433174395</v>
      </c>
      <c r="U2157">
        <v>-6.4383941197415497</v>
      </c>
      <c r="V2157">
        <v>0.36318827094724299</v>
      </c>
      <c r="W2157">
        <v>0.888292466632014</v>
      </c>
      <c r="X2157">
        <v>0</v>
      </c>
      <c r="Y2157">
        <v>0</v>
      </c>
    </row>
    <row r="2158" spans="1:25" x14ac:dyDescent="0.2">
      <c r="A2158" t="s">
        <v>8105</v>
      </c>
      <c r="B2158" t="s">
        <v>8106</v>
      </c>
      <c r="C2158" t="s">
        <v>8107</v>
      </c>
      <c r="D2158" t="s">
        <v>8108</v>
      </c>
      <c r="E2158" t="s">
        <v>8106</v>
      </c>
      <c r="F2158" t="s">
        <v>28</v>
      </c>
      <c r="G2158" t="s">
        <v>8106</v>
      </c>
      <c r="H2158" t="str">
        <f>"atg-16.1"</f>
        <v>atg-16.1</v>
      </c>
      <c r="I2158" t="s">
        <v>8108</v>
      </c>
      <c r="J2158">
        <v>10.831997964446201</v>
      </c>
      <c r="K2158">
        <v>10.7107202778752</v>
      </c>
      <c r="L2158">
        <v>10.897376588109999</v>
      </c>
      <c r="M2158">
        <v>10.318741900759001</v>
      </c>
      <c r="N2158">
        <v>10.975748878038999</v>
      </c>
      <c r="O2158">
        <v>10.606246680609599</v>
      </c>
      <c r="P2158">
        <v>-0.17978579034126699</v>
      </c>
      <c r="Q2158">
        <v>-0.69596673081717098</v>
      </c>
      <c r="R2158">
        <v>0.336395150134637</v>
      </c>
      <c r="S2158">
        <v>10.6037665249626</v>
      </c>
      <c r="T2158">
        <v>-0.74755868572228901</v>
      </c>
      <c r="U2158">
        <v>-6.5919119910431796</v>
      </c>
      <c r="V2158">
        <v>0.46719000868394001</v>
      </c>
      <c r="W2158">
        <v>0.92978583625257705</v>
      </c>
      <c r="X2158">
        <v>0</v>
      </c>
      <c r="Y2158">
        <v>0</v>
      </c>
    </row>
    <row r="2159" spans="1:25" x14ac:dyDescent="0.2">
      <c r="A2159" t="s">
        <v>8109</v>
      </c>
      <c r="B2159" t="s">
        <v>8110</v>
      </c>
      <c r="C2159" t="s">
        <v>8111</v>
      </c>
      <c r="D2159" t="s">
        <v>8112</v>
      </c>
      <c r="E2159" t="s">
        <v>8110</v>
      </c>
      <c r="F2159" t="s">
        <v>28</v>
      </c>
      <c r="G2159" t="s">
        <v>8110</v>
      </c>
      <c r="H2159" t="str">
        <f>"asb-2"</f>
        <v>asb-2</v>
      </c>
      <c r="I2159" t="s">
        <v>8112</v>
      </c>
      <c r="J2159">
        <v>15.248678653862701</v>
      </c>
      <c r="K2159">
        <v>14.6768990485243</v>
      </c>
      <c r="L2159">
        <v>14.7731752693663</v>
      </c>
      <c r="M2159">
        <v>14.9613135532498</v>
      </c>
      <c r="N2159">
        <v>14.6759164220025</v>
      </c>
      <c r="O2159">
        <v>14.6797342306849</v>
      </c>
      <c r="P2159">
        <v>-0.12726292193865699</v>
      </c>
      <c r="Q2159">
        <v>-0.54271911973923004</v>
      </c>
      <c r="R2159">
        <v>0.28819327586191701</v>
      </c>
      <c r="S2159">
        <v>14.483287133261401</v>
      </c>
      <c r="T2159">
        <v>-0.64382696397307904</v>
      </c>
      <c r="U2159">
        <v>-6.6684030184293404</v>
      </c>
      <c r="V2159">
        <v>0.52785373890110998</v>
      </c>
      <c r="W2159">
        <v>0.94259531549477504</v>
      </c>
      <c r="X2159">
        <v>0</v>
      </c>
      <c r="Y2159">
        <v>0</v>
      </c>
    </row>
    <row r="2160" spans="1:25" x14ac:dyDescent="0.2">
      <c r="A2160" t="s">
        <v>8113</v>
      </c>
      <c r="B2160" t="s">
        <v>8114</v>
      </c>
      <c r="C2160" t="s">
        <v>8115</v>
      </c>
      <c r="D2160" t="s">
        <v>8116</v>
      </c>
      <c r="E2160" t="s">
        <v>8114</v>
      </c>
      <c r="F2160" t="s">
        <v>28</v>
      </c>
      <c r="G2160" t="s">
        <v>8114</v>
      </c>
      <c r="H2160" t="str">
        <f>"gfat-1"</f>
        <v>gfat-1</v>
      </c>
      <c r="I2160" t="s">
        <v>8116</v>
      </c>
      <c r="J2160">
        <v>14.9342122182869</v>
      </c>
      <c r="K2160">
        <v>14.771390619658799</v>
      </c>
      <c r="L2160">
        <v>14.9746097826197</v>
      </c>
      <c r="M2160">
        <v>15.1269615062031</v>
      </c>
      <c r="N2160">
        <v>15.260785726557399</v>
      </c>
      <c r="O2160">
        <v>15.170814582440499</v>
      </c>
      <c r="P2160">
        <v>0.29278306487851902</v>
      </c>
      <c r="Q2160">
        <v>-0.21431263912676299</v>
      </c>
      <c r="R2160">
        <v>0.79987876888380005</v>
      </c>
      <c r="S2160">
        <v>14.9768678358438</v>
      </c>
      <c r="T2160">
        <v>1.21872588261838</v>
      </c>
      <c r="U2160">
        <v>-6.1366668099464601</v>
      </c>
      <c r="V2160">
        <v>0.23969256567848601</v>
      </c>
      <c r="W2160">
        <v>0.82420784257223501</v>
      </c>
      <c r="X2160">
        <v>0</v>
      </c>
      <c r="Y2160">
        <v>0</v>
      </c>
    </row>
    <row r="2161" spans="1:25" x14ac:dyDescent="0.2">
      <c r="A2161" t="s">
        <v>8117</v>
      </c>
      <c r="B2161" t="s">
        <v>8118</v>
      </c>
      <c r="C2161" t="s">
        <v>8119</v>
      </c>
      <c r="D2161" t="s">
        <v>8120</v>
      </c>
      <c r="E2161" t="s">
        <v>8118</v>
      </c>
      <c r="F2161" t="s">
        <v>28</v>
      </c>
      <c r="G2161" t="s">
        <v>8118</v>
      </c>
      <c r="H2161" t="str">
        <f>"npp-5"</f>
        <v>npp-5</v>
      </c>
      <c r="I2161" t="s">
        <v>8120</v>
      </c>
      <c r="J2161">
        <v>13.9407351457901</v>
      </c>
      <c r="K2161">
        <v>13.912328844384801</v>
      </c>
      <c r="L2161">
        <v>13.878145206656701</v>
      </c>
      <c r="M2161">
        <v>13.7945523510684</v>
      </c>
      <c r="N2161">
        <v>13.6066555599462</v>
      </c>
      <c r="O2161">
        <v>13.682722424539101</v>
      </c>
      <c r="P2161">
        <v>-0.21575962042597899</v>
      </c>
      <c r="Q2161">
        <v>-0.65521874204728903</v>
      </c>
      <c r="R2161">
        <v>0.22369950119533</v>
      </c>
      <c r="S2161">
        <v>13.7298977811289</v>
      </c>
      <c r="T2161">
        <v>-1.03191565057608</v>
      </c>
      <c r="U2161">
        <v>-6.3421966980871396</v>
      </c>
      <c r="V2161">
        <v>0.31585732801295302</v>
      </c>
      <c r="W2161">
        <v>0.865163117388565</v>
      </c>
      <c r="X2161">
        <v>0</v>
      </c>
      <c r="Y2161">
        <v>0</v>
      </c>
    </row>
    <row r="2162" spans="1:25" x14ac:dyDescent="0.2">
      <c r="A2162" t="s">
        <v>8121</v>
      </c>
      <c r="B2162" t="s">
        <v>8122</v>
      </c>
      <c r="C2162" t="s">
        <v>14441</v>
      </c>
      <c r="D2162" t="s">
        <v>1027</v>
      </c>
      <c r="E2162" t="s">
        <v>8122</v>
      </c>
      <c r="F2162" t="s">
        <v>28</v>
      </c>
      <c r="G2162" t="s">
        <v>8122</v>
      </c>
      <c r="H2162" t="str">
        <f>"F07A11.4"</f>
        <v>F07A11.4</v>
      </c>
      <c r="I2162" t="s">
        <v>1027</v>
      </c>
      <c r="J2162">
        <v>13.1597133173378</v>
      </c>
      <c r="K2162">
        <v>13.562023076185399</v>
      </c>
      <c r="L2162">
        <v>13.726356671016999</v>
      </c>
      <c r="M2162">
        <v>12.8259459708076</v>
      </c>
      <c r="N2162">
        <v>12.796222386055501</v>
      </c>
      <c r="O2162">
        <v>12.922605765353399</v>
      </c>
      <c r="P2162">
        <v>-0.63443964744126202</v>
      </c>
      <c r="Q2162">
        <v>-1.0862230999776901</v>
      </c>
      <c r="R2162">
        <v>-0.18265619490483601</v>
      </c>
      <c r="S2162">
        <v>13.1921216438149</v>
      </c>
      <c r="T2162">
        <v>-2.9642170998420401</v>
      </c>
      <c r="U2162">
        <v>-3.1835077548424899</v>
      </c>
      <c r="V2162">
        <v>8.7362018134179292E-3</v>
      </c>
      <c r="W2162">
        <v>0.164260336921214</v>
      </c>
      <c r="X2162">
        <v>0</v>
      </c>
      <c r="Y2162">
        <v>0</v>
      </c>
    </row>
    <row r="2163" spans="1:25" x14ac:dyDescent="0.2">
      <c r="A2163" t="s">
        <v>8123</v>
      </c>
      <c r="B2163" t="s">
        <v>8124</v>
      </c>
      <c r="C2163" t="s">
        <v>8125</v>
      </c>
      <c r="D2163" t="s">
        <v>8126</v>
      </c>
      <c r="E2163" t="s">
        <v>8124</v>
      </c>
      <c r="F2163" t="s">
        <v>28</v>
      </c>
      <c r="G2163" t="s">
        <v>8124</v>
      </c>
      <c r="H2163" t="str">
        <f>"rpl-11.2"</f>
        <v>rpl-11.2</v>
      </c>
      <c r="I2163" t="s">
        <v>8126</v>
      </c>
      <c r="J2163">
        <v>19.1335193906868</v>
      </c>
      <c r="K2163">
        <v>19.328801003910701</v>
      </c>
      <c r="L2163">
        <v>19.470335644393099</v>
      </c>
      <c r="M2163">
        <v>19.307541368543799</v>
      </c>
      <c r="N2163">
        <v>18.860388256952199</v>
      </c>
      <c r="O2163">
        <v>19.285018327531098</v>
      </c>
      <c r="P2163">
        <v>-0.15990269532116499</v>
      </c>
      <c r="Q2163">
        <v>-0.56070054946178405</v>
      </c>
      <c r="R2163">
        <v>0.240895158819454</v>
      </c>
      <c r="S2163">
        <v>19.068127830073301</v>
      </c>
      <c r="T2163">
        <v>-0.83853831176018701</v>
      </c>
      <c r="U2163">
        <v>-6.5222036032219002</v>
      </c>
      <c r="V2163">
        <v>0.41278963371195798</v>
      </c>
      <c r="W2163">
        <v>0.91512503332874395</v>
      </c>
      <c r="X2163">
        <v>0</v>
      </c>
      <c r="Y2163">
        <v>0</v>
      </c>
    </row>
    <row r="2164" spans="1:25" x14ac:dyDescent="0.2">
      <c r="A2164" t="s">
        <v>8127</v>
      </c>
      <c r="B2164" t="s">
        <v>8128</v>
      </c>
      <c r="C2164" t="s">
        <v>8129</v>
      </c>
      <c r="D2164" t="s">
        <v>8130</v>
      </c>
      <c r="E2164" t="s">
        <v>8128</v>
      </c>
      <c r="F2164" t="s">
        <v>28</v>
      </c>
      <c r="G2164" t="s">
        <v>8128</v>
      </c>
      <c r="H2164" t="str">
        <f>"prx-12"</f>
        <v>prx-12</v>
      </c>
      <c r="I2164" t="s">
        <v>8130</v>
      </c>
      <c r="J2164">
        <v>10.787921941769399</v>
      </c>
      <c r="K2164">
        <v>11.087804206287201</v>
      </c>
      <c r="L2164">
        <v>11.295887469111101</v>
      </c>
      <c r="M2164">
        <v>11.448536135590899</v>
      </c>
      <c r="N2164">
        <v>11.6382957203638</v>
      </c>
      <c r="O2164" t="s">
        <v>29</v>
      </c>
      <c r="P2164">
        <v>0.48621138892143601</v>
      </c>
      <c r="Q2164">
        <v>-0.24410929248014299</v>
      </c>
      <c r="R2164">
        <v>1.21653207032302</v>
      </c>
      <c r="S2164">
        <v>12.3287134306327</v>
      </c>
      <c r="T2164">
        <v>1.4394572539422399</v>
      </c>
      <c r="U2164">
        <v>-5.7512873749711604</v>
      </c>
      <c r="V2164">
        <v>0.173852406719776</v>
      </c>
      <c r="W2164">
        <v>0.77568784401157198</v>
      </c>
      <c r="X2164">
        <v>0</v>
      </c>
      <c r="Y2164">
        <v>0</v>
      </c>
    </row>
    <row r="2165" spans="1:25" x14ac:dyDescent="0.2">
      <c r="A2165" t="s">
        <v>8131</v>
      </c>
      <c r="B2165" t="s">
        <v>8132</v>
      </c>
      <c r="C2165" t="s">
        <v>8133</v>
      </c>
      <c r="D2165" t="s">
        <v>8134</v>
      </c>
      <c r="E2165" t="s">
        <v>8132</v>
      </c>
      <c r="F2165" t="s">
        <v>28</v>
      </c>
      <c r="G2165" t="s">
        <v>8132</v>
      </c>
      <c r="H2165" t="str">
        <f>"pek-1"</f>
        <v>pek-1</v>
      </c>
      <c r="I2165" t="s">
        <v>8134</v>
      </c>
      <c r="J2165">
        <v>11.716334729034701</v>
      </c>
      <c r="K2165" t="s">
        <v>29</v>
      </c>
      <c r="L2165">
        <v>11.5187211855773</v>
      </c>
      <c r="M2165">
        <v>11.7402188105027</v>
      </c>
      <c r="N2165">
        <v>11.834787264734601</v>
      </c>
      <c r="O2165">
        <v>10.5884377676692</v>
      </c>
      <c r="P2165">
        <v>-0.229713343003805</v>
      </c>
      <c r="Q2165">
        <v>-1.1760604871390601</v>
      </c>
      <c r="R2165">
        <v>0.71663380113144803</v>
      </c>
      <c r="S2165">
        <v>11.5934488435967</v>
      </c>
      <c r="T2165">
        <v>-0.53488872025050604</v>
      </c>
      <c r="U2165">
        <v>-6.6200443070359301</v>
      </c>
      <c r="V2165">
        <v>0.60347186533988495</v>
      </c>
      <c r="W2165">
        <v>0.96930204581755797</v>
      </c>
      <c r="X2165">
        <v>0</v>
      </c>
      <c r="Y2165">
        <v>0</v>
      </c>
    </row>
    <row r="2166" spans="1:25" x14ac:dyDescent="0.2">
      <c r="A2166" t="s">
        <v>8135</v>
      </c>
      <c r="B2166" t="s">
        <v>8136</v>
      </c>
      <c r="C2166" t="s">
        <v>8137</v>
      </c>
      <c r="D2166" t="s">
        <v>8138</v>
      </c>
      <c r="E2166" t="s">
        <v>8136</v>
      </c>
      <c r="F2166" t="s">
        <v>28</v>
      </c>
      <c r="G2166" t="s">
        <v>8136</v>
      </c>
      <c r="H2166" t="str">
        <f>"pole-2"</f>
        <v>pole-2</v>
      </c>
      <c r="I2166" t="s">
        <v>8138</v>
      </c>
      <c r="J2166" t="s">
        <v>29</v>
      </c>
      <c r="K2166" t="s">
        <v>29</v>
      </c>
      <c r="L2166" t="s">
        <v>29</v>
      </c>
      <c r="M2166" t="s">
        <v>29</v>
      </c>
      <c r="N2166" t="s">
        <v>29</v>
      </c>
      <c r="O2166" t="s">
        <v>29</v>
      </c>
      <c r="P2166" t="s">
        <v>29</v>
      </c>
      <c r="Q2166" t="s">
        <v>29</v>
      </c>
      <c r="R2166" t="s">
        <v>29</v>
      </c>
      <c r="S2166">
        <v>12.0134033175979</v>
      </c>
      <c r="T2166" t="s">
        <v>29</v>
      </c>
      <c r="U2166" t="s">
        <v>29</v>
      </c>
      <c r="V2166" t="s">
        <v>29</v>
      </c>
      <c r="W2166" t="s">
        <v>29</v>
      </c>
      <c r="X2166" t="s">
        <v>29</v>
      </c>
      <c r="Y2166" t="s">
        <v>29</v>
      </c>
    </row>
    <row r="2167" spans="1:25" x14ac:dyDescent="0.2">
      <c r="A2167" t="s">
        <v>8139</v>
      </c>
      <c r="B2167" t="s">
        <v>8140</v>
      </c>
      <c r="C2167" t="s">
        <v>8141</v>
      </c>
      <c r="D2167" t="s">
        <v>8142</v>
      </c>
      <c r="E2167" t="s">
        <v>8140</v>
      </c>
      <c r="F2167" t="s">
        <v>28</v>
      </c>
      <c r="G2167" t="s">
        <v>8140</v>
      </c>
      <c r="H2167" t="str">
        <f>"sto-1"</f>
        <v>sto-1</v>
      </c>
      <c r="I2167" t="s">
        <v>8142</v>
      </c>
      <c r="J2167">
        <v>15.443533958079501</v>
      </c>
      <c r="K2167">
        <v>15.9518848665807</v>
      </c>
      <c r="L2167">
        <v>15.738565499434101</v>
      </c>
      <c r="M2167">
        <v>15.6062511470994</v>
      </c>
      <c r="N2167">
        <v>15.758572211286999</v>
      </c>
      <c r="O2167">
        <v>15.7622306907321</v>
      </c>
      <c r="P2167">
        <v>-2.3100916586074002E-3</v>
      </c>
      <c r="Q2167">
        <v>-0.56367146870407903</v>
      </c>
      <c r="R2167">
        <v>0.55905128538686499</v>
      </c>
      <c r="S2167">
        <v>16.319544550058399</v>
      </c>
      <c r="T2167">
        <v>-8.6492648567913308E-3</v>
      </c>
      <c r="U2167">
        <v>-6.8824504865316101</v>
      </c>
      <c r="V2167">
        <v>0.99319466594571204</v>
      </c>
      <c r="W2167">
        <v>0.99968702248720698</v>
      </c>
      <c r="X2167">
        <v>0</v>
      </c>
      <c r="Y2167">
        <v>0</v>
      </c>
    </row>
    <row r="2168" spans="1:25" x14ac:dyDescent="0.2">
      <c r="A2168" t="s">
        <v>8143</v>
      </c>
      <c r="B2168" t="s">
        <v>8144</v>
      </c>
      <c r="C2168" t="s">
        <v>8145</v>
      </c>
      <c r="D2168" t="s">
        <v>8146</v>
      </c>
      <c r="E2168" t="s">
        <v>8144</v>
      </c>
      <c r="F2168" t="s">
        <v>28</v>
      </c>
      <c r="G2168" t="s">
        <v>8144</v>
      </c>
      <c r="H2168" t="str">
        <f>"apy-1"</f>
        <v>apy-1</v>
      </c>
      <c r="I2168" t="s">
        <v>8146</v>
      </c>
      <c r="J2168">
        <v>13.3761631685132</v>
      </c>
      <c r="K2168">
        <v>13.6218682317276</v>
      </c>
      <c r="L2168">
        <v>13.4964872510467</v>
      </c>
      <c r="M2168">
        <v>14.0783201369275</v>
      </c>
      <c r="N2168">
        <v>13.745500167819101</v>
      </c>
      <c r="O2168">
        <v>13.727549436389801</v>
      </c>
      <c r="P2168">
        <v>0.35228369661630898</v>
      </c>
      <c r="Q2168">
        <v>-0.57219106913529805</v>
      </c>
      <c r="R2168">
        <v>1.27675846236792</v>
      </c>
      <c r="S2168">
        <v>13.521234475699</v>
      </c>
      <c r="T2168">
        <v>0.80825241966272499</v>
      </c>
      <c r="U2168">
        <v>-6.54582728776459</v>
      </c>
      <c r="V2168">
        <v>0.43087653045017399</v>
      </c>
      <c r="W2168">
        <v>0.91512503332874395</v>
      </c>
      <c r="X2168">
        <v>0</v>
      </c>
      <c r="Y2168">
        <v>0</v>
      </c>
    </row>
    <row r="2169" spans="1:25" x14ac:dyDescent="0.2">
      <c r="A2169" t="s">
        <v>8147</v>
      </c>
      <c r="B2169" t="s">
        <v>8148</v>
      </c>
      <c r="C2169" t="s">
        <v>14442</v>
      </c>
      <c r="D2169" t="s">
        <v>8149</v>
      </c>
      <c r="E2169" t="s">
        <v>8148</v>
      </c>
      <c r="F2169" t="s">
        <v>28</v>
      </c>
      <c r="G2169" t="s">
        <v>8148</v>
      </c>
      <c r="H2169" t="str">
        <f>"F08G12.1"</f>
        <v>F08G12.1</v>
      </c>
      <c r="I2169" t="s">
        <v>8149</v>
      </c>
      <c r="J2169">
        <v>13.042089379358099</v>
      </c>
      <c r="K2169">
        <v>12.474340606517201</v>
      </c>
      <c r="L2169">
        <v>12.4176302257143</v>
      </c>
      <c r="M2169">
        <v>13.518355020085</v>
      </c>
      <c r="N2169">
        <v>13.276885025955901</v>
      </c>
      <c r="O2169" t="s">
        <v>29</v>
      </c>
      <c r="P2169">
        <v>0.75293328582389696</v>
      </c>
      <c r="Q2169">
        <v>0.130319993951521</v>
      </c>
      <c r="R2169">
        <v>1.3755465776962701</v>
      </c>
      <c r="S2169">
        <v>12.707515485902</v>
      </c>
      <c r="T2169">
        <v>2.7951416431082698</v>
      </c>
      <c r="U2169">
        <v>-3.7688494706475599</v>
      </c>
      <c r="V2169">
        <v>2.3676803235771499E-2</v>
      </c>
      <c r="W2169">
        <v>0.32426502538538099</v>
      </c>
      <c r="X2169">
        <v>0</v>
      </c>
      <c r="Y2169">
        <v>0</v>
      </c>
    </row>
    <row r="2170" spans="1:25" x14ac:dyDescent="0.2">
      <c r="A2170" t="s">
        <v>8150</v>
      </c>
      <c r="B2170" t="s">
        <v>8151</v>
      </c>
      <c r="C2170" t="s">
        <v>8152</v>
      </c>
      <c r="D2170" t="s">
        <v>49</v>
      </c>
      <c r="E2170" t="s">
        <v>8151</v>
      </c>
      <c r="F2170" t="s">
        <v>28</v>
      </c>
      <c r="G2170" t="s">
        <v>8151</v>
      </c>
      <c r="H2170" t="str">
        <f>"ugt-65"</f>
        <v>ugt-65</v>
      </c>
      <c r="I2170" t="s">
        <v>49</v>
      </c>
      <c r="J2170">
        <v>11.100682317648999</v>
      </c>
      <c r="K2170" t="s">
        <v>29</v>
      </c>
      <c r="L2170" t="s">
        <v>29</v>
      </c>
      <c r="M2170">
        <v>12.103414683113799</v>
      </c>
      <c r="N2170">
        <v>12.4932231647804</v>
      </c>
      <c r="O2170">
        <v>11.0664757132324</v>
      </c>
      <c r="P2170">
        <v>0.78702220272656698</v>
      </c>
      <c r="Q2170">
        <v>-0.29683569413218802</v>
      </c>
      <c r="R2170">
        <v>1.8708800995853201</v>
      </c>
      <c r="S2170">
        <v>11.3198590617455</v>
      </c>
      <c r="T2170">
        <v>1.55849901116821</v>
      </c>
      <c r="U2170">
        <v>-5.3677544768800702</v>
      </c>
      <c r="V2170">
        <v>0.141594518518637</v>
      </c>
      <c r="W2170">
        <v>0.73171825718948003</v>
      </c>
      <c r="X2170">
        <v>0</v>
      </c>
      <c r="Y2170">
        <v>0</v>
      </c>
    </row>
    <row r="2171" spans="1:25" x14ac:dyDescent="0.2">
      <c r="A2171" t="s">
        <v>8153</v>
      </c>
      <c r="B2171" t="s">
        <v>8154</v>
      </c>
      <c r="C2171" t="s">
        <v>8155</v>
      </c>
      <c r="D2171" t="s">
        <v>8156</v>
      </c>
      <c r="E2171" t="s">
        <v>8154</v>
      </c>
      <c r="F2171" t="s">
        <v>28</v>
      </c>
      <c r="G2171" t="s">
        <v>8154</v>
      </c>
      <c r="H2171" t="str">
        <f>"dhs-25"</f>
        <v>dhs-25</v>
      </c>
      <c r="I2171" t="s">
        <v>8156</v>
      </c>
      <c r="J2171">
        <v>16.395564713902601</v>
      </c>
      <c r="K2171">
        <v>16.0686179746987</v>
      </c>
      <c r="L2171">
        <v>16.445279922712299</v>
      </c>
      <c r="M2171">
        <v>16.151919893490199</v>
      </c>
      <c r="N2171">
        <v>16.459059523671201</v>
      </c>
      <c r="O2171">
        <v>16.089383168127899</v>
      </c>
      <c r="P2171">
        <v>-6.9700008674782807E-2</v>
      </c>
      <c r="Q2171">
        <v>-0.47849705447963797</v>
      </c>
      <c r="R2171">
        <v>0.339097037130072</v>
      </c>
      <c r="S2171">
        <v>15.725952496717101</v>
      </c>
      <c r="T2171">
        <v>-0.358358406380684</v>
      </c>
      <c r="U2171">
        <v>-6.8156320624893603</v>
      </c>
      <c r="V2171">
        <v>0.72426773808223799</v>
      </c>
      <c r="W2171">
        <v>0.99057748145465696</v>
      </c>
      <c r="X2171">
        <v>0</v>
      </c>
      <c r="Y2171">
        <v>0</v>
      </c>
    </row>
    <row r="2172" spans="1:25" x14ac:dyDescent="0.2">
      <c r="A2172" t="s">
        <v>8157</v>
      </c>
      <c r="B2172" t="s">
        <v>8158</v>
      </c>
      <c r="C2172" t="s">
        <v>14443</v>
      </c>
      <c r="D2172" t="s">
        <v>8159</v>
      </c>
      <c r="E2172" t="s">
        <v>8158</v>
      </c>
      <c r="F2172" t="s">
        <v>28</v>
      </c>
      <c r="G2172" t="s">
        <v>8158</v>
      </c>
      <c r="H2172" t="str">
        <f>"F09E5.7"</f>
        <v>F09E5.7</v>
      </c>
      <c r="I2172" t="s">
        <v>8159</v>
      </c>
      <c r="J2172">
        <v>11.657620033902299</v>
      </c>
      <c r="K2172">
        <v>12.495327265539</v>
      </c>
      <c r="L2172">
        <v>11.725252522814101</v>
      </c>
      <c r="M2172">
        <v>11.264486892786399</v>
      </c>
      <c r="N2172">
        <v>11.354621908659</v>
      </c>
      <c r="O2172">
        <v>12.2571653132064</v>
      </c>
      <c r="P2172">
        <v>-0.33397523586788003</v>
      </c>
      <c r="Q2172">
        <v>-0.95476416315452906</v>
      </c>
      <c r="R2172">
        <v>0.286813691418768</v>
      </c>
      <c r="S2172">
        <v>12.191392123277501</v>
      </c>
      <c r="T2172">
        <v>-1.1410898255672099</v>
      </c>
      <c r="U2172">
        <v>-6.2245035381207696</v>
      </c>
      <c r="V2172">
        <v>0.270733522673553</v>
      </c>
      <c r="W2172">
        <v>0.856190392347986</v>
      </c>
      <c r="X2172">
        <v>0</v>
      </c>
      <c r="Y2172">
        <v>0</v>
      </c>
    </row>
    <row r="2173" spans="1:25" x14ac:dyDescent="0.2">
      <c r="A2173" t="s">
        <v>8160</v>
      </c>
      <c r="B2173" t="s">
        <v>8161</v>
      </c>
      <c r="C2173" t="s">
        <v>14444</v>
      </c>
      <c r="D2173" t="s">
        <v>8162</v>
      </c>
      <c r="E2173" t="s">
        <v>8161</v>
      </c>
      <c r="F2173" t="s">
        <v>28</v>
      </c>
      <c r="G2173" t="s">
        <v>8161</v>
      </c>
      <c r="H2173" t="str">
        <f>"F09E5.11"</f>
        <v>F09E5.11</v>
      </c>
      <c r="I2173" t="s">
        <v>8162</v>
      </c>
      <c r="J2173">
        <v>13.7752394240957</v>
      </c>
      <c r="K2173">
        <v>13.4593812591831</v>
      </c>
      <c r="L2173">
        <v>13.704455826526999</v>
      </c>
      <c r="M2173">
        <v>13.429543115021399</v>
      </c>
      <c r="N2173">
        <v>13.319074446738799</v>
      </c>
      <c r="O2173">
        <v>13.655736935637201</v>
      </c>
      <c r="P2173">
        <v>-0.17824067080279199</v>
      </c>
      <c r="Q2173">
        <v>-0.67769700303399405</v>
      </c>
      <c r="R2173">
        <v>0.32121566142841101</v>
      </c>
      <c r="S2173">
        <v>13.2787033995389</v>
      </c>
      <c r="T2173">
        <v>-0.75693539577545998</v>
      </c>
      <c r="U2173">
        <v>-6.5864890801980103</v>
      </c>
      <c r="V2173">
        <v>0.46016230456589702</v>
      </c>
      <c r="W2173">
        <v>0.929259799511714</v>
      </c>
      <c r="X2173">
        <v>0</v>
      </c>
      <c r="Y2173">
        <v>0</v>
      </c>
    </row>
    <row r="2174" spans="1:25" x14ac:dyDescent="0.2">
      <c r="A2174" t="s">
        <v>8163</v>
      </c>
      <c r="B2174" t="s">
        <v>8164</v>
      </c>
      <c r="C2174" t="s">
        <v>8165</v>
      </c>
      <c r="D2174" t="s">
        <v>8166</v>
      </c>
      <c r="E2174" t="s">
        <v>8164</v>
      </c>
      <c r="F2174" t="s">
        <v>28</v>
      </c>
      <c r="G2174" t="s">
        <v>8164</v>
      </c>
      <c r="H2174" t="str">
        <f>"sec-6"</f>
        <v>sec-6</v>
      </c>
      <c r="I2174" t="s">
        <v>8166</v>
      </c>
      <c r="J2174" t="s">
        <v>29</v>
      </c>
      <c r="K2174">
        <v>12.834371302891901</v>
      </c>
      <c r="L2174" t="s">
        <v>29</v>
      </c>
      <c r="M2174">
        <v>15.433962388928499</v>
      </c>
      <c r="N2174">
        <v>15.5541427011003</v>
      </c>
      <c r="O2174">
        <v>14.815793115201901</v>
      </c>
      <c r="P2174">
        <v>2.4335947655183401</v>
      </c>
      <c r="Q2174">
        <v>0.98759241425938404</v>
      </c>
      <c r="R2174">
        <v>3.8795971167772998</v>
      </c>
      <c r="S2174">
        <v>15.4185054469765</v>
      </c>
      <c r="T2174">
        <v>3.5696759497424702</v>
      </c>
      <c r="U2174">
        <v>-1.70495082738392</v>
      </c>
      <c r="V2174">
        <v>2.5808173226555802E-3</v>
      </c>
      <c r="W2174">
        <v>6.7570908541383895E-2</v>
      </c>
      <c r="X2174">
        <v>1</v>
      </c>
      <c r="Y2174">
        <v>0</v>
      </c>
    </row>
    <row r="2175" spans="1:25" x14ac:dyDescent="0.2">
      <c r="A2175" t="s">
        <v>8167</v>
      </c>
      <c r="B2175" t="s">
        <v>8168</v>
      </c>
      <c r="C2175" t="s">
        <v>8169</v>
      </c>
      <c r="D2175" t="s">
        <v>8170</v>
      </c>
      <c r="E2175" t="s">
        <v>8168</v>
      </c>
      <c r="F2175" t="s">
        <v>28</v>
      </c>
      <c r="G2175" t="s">
        <v>8168</v>
      </c>
      <c r="H2175" t="str">
        <f>"F09E5.3"</f>
        <v>F09E5.3</v>
      </c>
      <c r="I2175" t="s">
        <v>8170</v>
      </c>
      <c r="J2175">
        <v>12.485211819350701</v>
      </c>
      <c r="K2175">
        <v>12.2322828231237</v>
      </c>
      <c r="L2175">
        <v>12.487547817792301</v>
      </c>
      <c r="M2175">
        <v>12.7683476162176</v>
      </c>
      <c r="N2175">
        <v>13.2721633941383</v>
      </c>
      <c r="O2175">
        <v>12.944260135045999</v>
      </c>
      <c r="P2175">
        <v>0.593242895045066</v>
      </c>
      <c r="Q2175">
        <v>-4.9049437048951802E-2</v>
      </c>
      <c r="R2175">
        <v>1.23553522713908</v>
      </c>
      <c r="S2175">
        <v>13.039228194901201</v>
      </c>
      <c r="T2175">
        <v>1.9412985111580301</v>
      </c>
      <c r="U2175">
        <v>-5.09742918131953</v>
      </c>
      <c r="V2175">
        <v>6.8137929540670897E-2</v>
      </c>
      <c r="W2175">
        <v>0.56268741814231504</v>
      </c>
      <c r="X2175">
        <v>0</v>
      </c>
      <c r="Y2175">
        <v>0</v>
      </c>
    </row>
    <row r="2176" spans="1:25" x14ac:dyDescent="0.2">
      <c r="A2176" t="s">
        <v>8171</v>
      </c>
      <c r="B2176" t="s">
        <v>8172</v>
      </c>
      <c r="C2176" t="s">
        <v>8173</v>
      </c>
      <c r="D2176" t="s">
        <v>1135</v>
      </c>
      <c r="E2176" t="s">
        <v>8172</v>
      </c>
      <c r="F2176" t="s">
        <v>28</v>
      </c>
      <c r="G2176" t="s">
        <v>8172</v>
      </c>
      <c r="H2176" t="str">
        <f>"algn-2"</f>
        <v>algn-2</v>
      </c>
      <c r="I2176" t="s">
        <v>1135</v>
      </c>
      <c r="J2176">
        <v>12.757666914868199</v>
      </c>
      <c r="K2176">
        <v>12.419015395601299</v>
      </c>
      <c r="L2176">
        <v>12.879955878069699</v>
      </c>
      <c r="M2176">
        <v>11.9067584772224</v>
      </c>
      <c r="N2176">
        <v>12.942117864523301</v>
      </c>
      <c r="O2176">
        <v>12.295768611184601</v>
      </c>
      <c r="P2176">
        <v>-0.303997745202986</v>
      </c>
      <c r="Q2176">
        <v>-0.90769075708922098</v>
      </c>
      <c r="R2176">
        <v>0.29969526668324797</v>
      </c>
      <c r="S2176">
        <v>12.626019167249799</v>
      </c>
      <c r="T2176">
        <v>-1.0629289284574099</v>
      </c>
      <c r="U2176">
        <v>-6.3094675124385597</v>
      </c>
      <c r="V2176">
        <v>0.30277179390224301</v>
      </c>
      <c r="W2176">
        <v>0.85855590823088301</v>
      </c>
      <c r="X2176">
        <v>0</v>
      </c>
      <c r="Y2176">
        <v>0</v>
      </c>
    </row>
    <row r="2177" spans="1:25" x14ac:dyDescent="0.2">
      <c r="A2177" t="s">
        <v>8174</v>
      </c>
      <c r="B2177" t="s">
        <v>8175</v>
      </c>
      <c r="C2177" t="s">
        <v>8176</v>
      </c>
      <c r="D2177" t="s">
        <v>8177</v>
      </c>
      <c r="E2177" t="s">
        <v>8175</v>
      </c>
      <c r="F2177" t="s">
        <v>28</v>
      </c>
      <c r="G2177" t="s">
        <v>8175</v>
      </c>
      <c r="H2177" t="str">
        <f>"pkc-3"</f>
        <v>pkc-3</v>
      </c>
      <c r="I2177" t="s">
        <v>8177</v>
      </c>
      <c r="J2177">
        <v>14.0739419767851</v>
      </c>
      <c r="K2177">
        <v>14.0961878733637</v>
      </c>
      <c r="L2177">
        <v>13.7611658660309</v>
      </c>
      <c r="M2177">
        <v>13.7806683115449</v>
      </c>
      <c r="N2177">
        <v>13.9051829099334</v>
      </c>
      <c r="O2177">
        <v>13.9560732189898</v>
      </c>
      <c r="P2177">
        <v>-9.6457091903891595E-2</v>
      </c>
      <c r="Q2177">
        <v>-0.59631769511878396</v>
      </c>
      <c r="R2177">
        <v>0.403403511311001</v>
      </c>
      <c r="S2177">
        <v>13.691879910520999</v>
      </c>
      <c r="T2177">
        <v>-0.40731956228510102</v>
      </c>
      <c r="U2177">
        <v>-6.7959593306511099</v>
      </c>
      <c r="V2177">
        <v>0.68888764678554903</v>
      </c>
      <c r="W2177">
        <v>0.98642420921484297</v>
      </c>
      <c r="X2177">
        <v>0</v>
      </c>
      <c r="Y2177">
        <v>0</v>
      </c>
    </row>
    <row r="2178" spans="1:25" x14ac:dyDescent="0.2">
      <c r="A2178" t="s">
        <v>8178</v>
      </c>
      <c r="B2178" t="s">
        <v>8179</v>
      </c>
      <c r="C2178" t="s">
        <v>8180</v>
      </c>
      <c r="D2178" t="s">
        <v>8181</v>
      </c>
      <c r="E2178" t="s">
        <v>8179</v>
      </c>
      <c r="F2178" t="s">
        <v>28</v>
      </c>
      <c r="G2178" t="s">
        <v>8179</v>
      </c>
      <c r="H2178" t="str">
        <f>"hach-1"</f>
        <v>hach-1</v>
      </c>
      <c r="I2178" t="s">
        <v>8181</v>
      </c>
      <c r="J2178">
        <v>18.096322559500699</v>
      </c>
      <c r="K2178">
        <v>17.612583217300301</v>
      </c>
      <c r="L2178">
        <v>17.882274068242602</v>
      </c>
      <c r="M2178">
        <v>17.573805165805599</v>
      </c>
      <c r="N2178">
        <v>17.740335740460299</v>
      </c>
      <c r="O2178">
        <v>17.5919661829974</v>
      </c>
      <c r="P2178">
        <v>-0.22835758526011299</v>
      </c>
      <c r="Q2178">
        <v>-0.61823295058433003</v>
      </c>
      <c r="R2178">
        <v>0.161517780064103</v>
      </c>
      <c r="S2178">
        <v>17.416682257308899</v>
      </c>
      <c r="T2178">
        <v>-1.2310683340970801</v>
      </c>
      <c r="U2178">
        <v>-6.1227062504870702</v>
      </c>
      <c r="V2178">
        <v>0.23423259633921101</v>
      </c>
      <c r="W2178">
        <v>0.81882991661438498</v>
      </c>
      <c r="X2178">
        <v>0</v>
      </c>
      <c r="Y2178">
        <v>0</v>
      </c>
    </row>
    <row r="2179" spans="1:25" x14ac:dyDescent="0.2">
      <c r="A2179" t="s">
        <v>8182</v>
      </c>
      <c r="B2179" t="s">
        <v>8183</v>
      </c>
      <c r="C2179" t="s">
        <v>8184</v>
      </c>
      <c r="D2179" t="s">
        <v>8185</v>
      </c>
      <c r="E2179" t="s">
        <v>8183</v>
      </c>
      <c r="F2179" t="s">
        <v>28</v>
      </c>
      <c r="G2179" t="s">
        <v>8183</v>
      </c>
      <c r="H2179" t="str">
        <f>"ifb-2"</f>
        <v>ifb-2</v>
      </c>
      <c r="I2179" t="s">
        <v>8185</v>
      </c>
      <c r="J2179">
        <v>15.975475030728999</v>
      </c>
      <c r="K2179">
        <v>16.658464202169402</v>
      </c>
      <c r="L2179">
        <v>18.342505839140099</v>
      </c>
      <c r="M2179">
        <v>16.064451184760198</v>
      </c>
      <c r="N2179">
        <v>16.245424596478699</v>
      </c>
      <c r="O2179">
        <v>16.8556995597968</v>
      </c>
      <c r="P2179">
        <v>-0.60362324366758502</v>
      </c>
      <c r="Q2179">
        <v>-1.79365866411062</v>
      </c>
      <c r="R2179">
        <v>0.58641217677545199</v>
      </c>
      <c r="S2179">
        <v>16.918899931148299</v>
      </c>
      <c r="T2179">
        <v>-1.06610156261019</v>
      </c>
      <c r="U2179">
        <v>-6.3069155735600999</v>
      </c>
      <c r="V2179">
        <v>0.30055085727380099</v>
      </c>
      <c r="W2179">
        <v>0.85855590823088301</v>
      </c>
      <c r="X2179">
        <v>0</v>
      </c>
      <c r="Y2179">
        <v>0</v>
      </c>
    </row>
    <row r="2180" spans="1:25" x14ac:dyDescent="0.2">
      <c r="A2180" t="s">
        <v>8186</v>
      </c>
      <c r="B2180" t="s">
        <v>8187</v>
      </c>
      <c r="C2180" t="s">
        <v>8188</v>
      </c>
      <c r="D2180" t="s">
        <v>8189</v>
      </c>
      <c r="E2180" t="s">
        <v>8187</v>
      </c>
      <c r="F2180" t="s">
        <v>28</v>
      </c>
      <c r="G2180" t="s">
        <v>8187</v>
      </c>
      <c r="H2180" t="str">
        <f>"ifb-1"</f>
        <v>ifb-1</v>
      </c>
      <c r="I2180" t="s">
        <v>8189</v>
      </c>
      <c r="J2180">
        <v>14.315746940918601</v>
      </c>
      <c r="K2180">
        <v>14.547533623940501</v>
      </c>
      <c r="L2180">
        <v>15.135385251682999</v>
      </c>
      <c r="M2180">
        <v>15.4662957190473</v>
      </c>
      <c r="N2180">
        <v>15.4959345825127</v>
      </c>
      <c r="O2180">
        <v>15.532982149136799</v>
      </c>
      <c r="P2180">
        <v>0.83218221138488802</v>
      </c>
      <c r="Q2180">
        <v>8.6781009017142002E-2</v>
      </c>
      <c r="R2180">
        <v>1.5775834137526299</v>
      </c>
      <c r="S2180">
        <v>15.5475500270692</v>
      </c>
      <c r="T2180">
        <v>2.3465015873068702</v>
      </c>
      <c r="U2180">
        <v>-4.3780184183937401</v>
      </c>
      <c r="V2180">
        <v>3.0670596838380401E-2</v>
      </c>
      <c r="W2180">
        <v>0.38350268280793198</v>
      </c>
      <c r="X2180">
        <v>0</v>
      </c>
      <c r="Y2180">
        <v>0</v>
      </c>
    </row>
    <row r="2181" spans="1:25" x14ac:dyDescent="0.2">
      <c r="A2181" t="s">
        <v>8190</v>
      </c>
      <c r="B2181" t="s">
        <v>8191</v>
      </c>
      <c r="C2181" t="s">
        <v>8192</v>
      </c>
      <c r="D2181" t="s">
        <v>8193</v>
      </c>
      <c r="E2181" t="s">
        <v>8191</v>
      </c>
      <c r="F2181" t="s">
        <v>28</v>
      </c>
      <c r="G2181" t="s">
        <v>8191</v>
      </c>
      <c r="H2181" t="str">
        <f>"nemp-1"</f>
        <v>nemp-1</v>
      </c>
      <c r="I2181" t="s">
        <v>8193</v>
      </c>
      <c r="J2181">
        <v>13.1576874749222</v>
      </c>
      <c r="K2181">
        <v>13.5618594695776</v>
      </c>
      <c r="L2181">
        <v>13.8294285500473</v>
      </c>
      <c r="M2181">
        <v>13.4203718433705</v>
      </c>
      <c r="N2181">
        <v>13.2888863597524</v>
      </c>
      <c r="O2181">
        <v>12.932864033246201</v>
      </c>
      <c r="P2181">
        <v>-0.30228441939266099</v>
      </c>
      <c r="Q2181">
        <v>-0.90529277582248402</v>
      </c>
      <c r="R2181">
        <v>0.30072393703716199</v>
      </c>
      <c r="S2181">
        <v>13.935465144511401</v>
      </c>
      <c r="T2181">
        <v>-1.0536222796213599</v>
      </c>
      <c r="U2181">
        <v>-6.3199122354278803</v>
      </c>
      <c r="V2181">
        <v>0.30607510175736002</v>
      </c>
      <c r="W2181">
        <v>0.85855590823088301</v>
      </c>
      <c r="X2181">
        <v>0</v>
      </c>
      <c r="Y2181">
        <v>0</v>
      </c>
    </row>
    <row r="2182" spans="1:25" x14ac:dyDescent="0.2">
      <c r="A2182" t="s">
        <v>8194</v>
      </c>
      <c r="B2182" t="s">
        <v>8195</v>
      </c>
      <c r="C2182" t="s">
        <v>8196</v>
      </c>
      <c r="D2182" t="s">
        <v>8197</v>
      </c>
      <c r="E2182" t="s">
        <v>8195</v>
      </c>
      <c r="F2182" t="s">
        <v>28</v>
      </c>
      <c r="G2182" t="s">
        <v>8195</v>
      </c>
      <c r="H2182" t="str">
        <f>"mat-3"</f>
        <v>mat-3</v>
      </c>
      <c r="I2182" t="s">
        <v>8197</v>
      </c>
      <c r="J2182">
        <v>12.776820640312801</v>
      </c>
      <c r="K2182">
        <v>12.683494915898001</v>
      </c>
      <c r="L2182">
        <v>12.934545051904699</v>
      </c>
      <c r="M2182">
        <v>12.438663006663001</v>
      </c>
      <c r="N2182">
        <v>13.2541845342742</v>
      </c>
      <c r="O2182">
        <v>12.7221252129332</v>
      </c>
      <c r="P2182">
        <v>6.7040485849112503E-3</v>
      </c>
      <c r="Q2182">
        <v>-0.49607112676035903</v>
      </c>
      <c r="R2182">
        <v>0.50947922393018197</v>
      </c>
      <c r="S2182">
        <v>13.2738273868065</v>
      </c>
      <c r="T2182">
        <v>2.8282178352451299E-2</v>
      </c>
      <c r="U2182">
        <v>-6.8820688653620898</v>
      </c>
      <c r="V2182">
        <v>0.97778914800517902</v>
      </c>
      <c r="W2182">
        <v>0.99968702248720698</v>
      </c>
      <c r="X2182">
        <v>0</v>
      </c>
      <c r="Y2182">
        <v>0</v>
      </c>
    </row>
    <row r="2183" spans="1:25" x14ac:dyDescent="0.2">
      <c r="A2183" t="s">
        <v>8198</v>
      </c>
      <c r="B2183" t="s">
        <v>8199</v>
      </c>
      <c r="C2183" t="s">
        <v>14445</v>
      </c>
      <c r="D2183" t="s">
        <v>8200</v>
      </c>
      <c r="E2183" t="s">
        <v>8199</v>
      </c>
      <c r="F2183" t="s">
        <v>28</v>
      </c>
      <c r="G2183" t="s">
        <v>8199</v>
      </c>
      <c r="H2183" t="str">
        <f>"F10E7.5"</f>
        <v>F10E7.5</v>
      </c>
      <c r="I2183" t="s">
        <v>8200</v>
      </c>
      <c r="J2183">
        <v>14.840249271812899</v>
      </c>
      <c r="K2183">
        <v>14.26649213874</v>
      </c>
      <c r="L2183">
        <v>14.498964487976099</v>
      </c>
      <c r="M2183">
        <v>14.7237583285306</v>
      </c>
      <c r="N2183">
        <v>14.641121741286</v>
      </c>
      <c r="O2183">
        <v>13.8778606678381</v>
      </c>
      <c r="P2183">
        <v>-0.120988386958109</v>
      </c>
      <c r="Q2183">
        <v>-0.64407094102561802</v>
      </c>
      <c r="R2183">
        <v>0.40209416710939999</v>
      </c>
      <c r="S2183">
        <v>14.6809679564057</v>
      </c>
      <c r="T2183">
        <v>-0.48822887856252201</v>
      </c>
      <c r="U2183">
        <v>-6.7584350355882599</v>
      </c>
      <c r="V2183">
        <v>0.631663803956801</v>
      </c>
      <c r="W2183">
        <v>0.97279262440453396</v>
      </c>
      <c r="X2183">
        <v>0</v>
      </c>
      <c r="Y2183">
        <v>0</v>
      </c>
    </row>
    <row r="2184" spans="1:25" x14ac:dyDescent="0.2">
      <c r="A2184" t="s">
        <v>8201</v>
      </c>
      <c r="B2184" t="s">
        <v>8202</v>
      </c>
      <c r="C2184" t="s">
        <v>8203</v>
      </c>
      <c r="D2184" t="s">
        <v>8204</v>
      </c>
      <c r="E2184" t="s">
        <v>8202</v>
      </c>
      <c r="F2184" t="s">
        <v>28</v>
      </c>
      <c r="G2184" t="s">
        <v>8202</v>
      </c>
      <c r="H2184" t="str">
        <f>"spon-1"</f>
        <v>spon-1</v>
      </c>
      <c r="I2184" t="s">
        <v>8204</v>
      </c>
      <c r="J2184">
        <v>11.381612840815899</v>
      </c>
      <c r="K2184">
        <v>11.9748419695834</v>
      </c>
      <c r="L2184">
        <v>13.0497611860904</v>
      </c>
      <c r="M2184" t="s">
        <v>29</v>
      </c>
      <c r="N2184">
        <v>12.0747476410641</v>
      </c>
      <c r="O2184" t="s">
        <v>29</v>
      </c>
      <c r="P2184">
        <v>-6.0657691099088099E-2</v>
      </c>
      <c r="Q2184">
        <v>-1.2326673752249</v>
      </c>
      <c r="R2184">
        <v>1.1113519930267199</v>
      </c>
      <c r="S2184">
        <v>13.105893156677601</v>
      </c>
      <c r="T2184">
        <v>-0.110381497268863</v>
      </c>
      <c r="U2184">
        <v>-6.5346783812618101</v>
      </c>
      <c r="V2184">
        <v>0.91358035474060395</v>
      </c>
      <c r="W2184">
        <v>0.99833354317360001</v>
      </c>
      <c r="X2184">
        <v>0</v>
      </c>
      <c r="Y2184">
        <v>0</v>
      </c>
    </row>
    <row r="2185" spans="1:25" x14ac:dyDescent="0.2">
      <c r="A2185" t="s">
        <v>8205</v>
      </c>
      <c r="B2185" t="s">
        <v>8206</v>
      </c>
      <c r="C2185" t="s">
        <v>8207</v>
      </c>
      <c r="D2185" t="s">
        <v>8208</v>
      </c>
      <c r="E2185" t="s">
        <v>8206</v>
      </c>
      <c r="F2185" t="s">
        <v>28</v>
      </c>
      <c r="G2185" t="s">
        <v>8206</v>
      </c>
      <c r="H2185" t="str">
        <f>"pfas-1"</f>
        <v>pfas-1</v>
      </c>
      <c r="I2185" t="s">
        <v>8208</v>
      </c>
      <c r="J2185">
        <v>13.3230458934542</v>
      </c>
      <c r="K2185">
        <v>12.643119119460801</v>
      </c>
      <c r="L2185">
        <v>12.985196984781201</v>
      </c>
      <c r="M2185">
        <v>12.1709078443712</v>
      </c>
      <c r="N2185">
        <v>12.272863678817499</v>
      </c>
      <c r="O2185">
        <v>13.4706998065062</v>
      </c>
      <c r="P2185">
        <v>-0.34563022266710602</v>
      </c>
      <c r="Q2185">
        <v>-2.0389069706178802</v>
      </c>
      <c r="R2185">
        <v>1.34764652528367</v>
      </c>
      <c r="S2185">
        <v>12.911833262484</v>
      </c>
      <c r="T2185">
        <v>-0.432945566065223</v>
      </c>
      <c r="U2185">
        <v>-6.7844820924587497</v>
      </c>
      <c r="V2185">
        <v>0.67087164871869398</v>
      </c>
      <c r="W2185">
        <v>0.98642420921484297</v>
      </c>
      <c r="X2185">
        <v>0</v>
      </c>
      <c r="Y2185">
        <v>0</v>
      </c>
    </row>
    <row r="2186" spans="1:25" x14ac:dyDescent="0.2">
      <c r="A2186" t="s">
        <v>8209</v>
      </c>
      <c r="B2186" t="s">
        <v>8210</v>
      </c>
      <c r="C2186" t="s">
        <v>8211</v>
      </c>
      <c r="D2186" t="s">
        <v>8212</v>
      </c>
      <c r="E2186" t="s">
        <v>8210</v>
      </c>
      <c r="F2186" t="s">
        <v>28</v>
      </c>
      <c r="G2186" t="s">
        <v>8210</v>
      </c>
      <c r="H2186" t="str">
        <f>"sel-2"</f>
        <v>sel-2</v>
      </c>
      <c r="I2186" t="s">
        <v>8212</v>
      </c>
      <c r="J2186">
        <v>14.061762642173401</v>
      </c>
      <c r="K2186">
        <v>13.8857625126934</v>
      </c>
      <c r="L2186">
        <v>13.670674778634501</v>
      </c>
      <c r="M2186">
        <v>13.8453177975274</v>
      </c>
      <c r="N2186">
        <v>14.0158776722676</v>
      </c>
      <c r="O2186">
        <v>14.149743421959601</v>
      </c>
      <c r="P2186">
        <v>0.130912986084459</v>
      </c>
      <c r="Q2186">
        <v>-0.42262051727938099</v>
      </c>
      <c r="R2186">
        <v>0.684446489448298</v>
      </c>
      <c r="S2186">
        <v>13.997632572434901</v>
      </c>
      <c r="T2186">
        <v>0.49708576901683399</v>
      </c>
      <c r="U2186">
        <v>-6.7542756146615197</v>
      </c>
      <c r="V2186">
        <v>0.62518046071234001</v>
      </c>
      <c r="W2186">
        <v>0.97279262440453396</v>
      </c>
      <c r="X2186">
        <v>0</v>
      </c>
      <c r="Y2186">
        <v>0</v>
      </c>
    </row>
    <row r="2187" spans="1:25" x14ac:dyDescent="0.2">
      <c r="A2187" t="s">
        <v>8213</v>
      </c>
      <c r="B2187" t="s">
        <v>8214</v>
      </c>
      <c r="C2187" t="s">
        <v>8215</v>
      </c>
      <c r="D2187" t="s">
        <v>8216</v>
      </c>
      <c r="E2187" t="s">
        <v>8214</v>
      </c>
      <c r="F2187" t="s">
        <v>28</v>
      </c>
      <c r="G2187" t="s">
        <v>8214</v>
      </c>
      <c r="H2187" t="str">
        <f>"cdh-4"</f>
        <v>cdh-4</v>
      </c>
      <c r="I2187" t="s">
        <v>8216</v>
      </c>
      <c r="J2187">
        <v>14.5542209850446</v>
      </c>
      <c r="K2187">
        <v>15.2061225633931</v>
      </c>
      <c r="L2187">
        <v>14.442703894447</v>
      </c>
      <c r="M2187">
        <v>14.668239708456399</v>
      </c>
      <c r="N2187">
        <v>14.745873846344599</v>
      </c>
      <c r="O2187">
        <v>15.512912600796399</v>
      </c>
      <c r="P2187">
        <v>0.241326237570862</v>
      </c>
      <c r="Q2187">
        <v>-1.0257489274491101</v>
      </c>
      <c r="R2187">
        <v>1.5084014025908301</v>
      </c>
      <c r="S2187">
        <v>13.833854658101099</v>
      </c>
      <c r="T2187">
        <v>0.40202418153585601</v>
      </c>
      <c r="U2187">
        <v>-6.7981838718295702</v>
      </c>
      <c r="V2187">
        <v>0.69270648218157804</v>
      </c>
      <c r="W2187">
        <v>0.98642420921484297</v>
      </c>
      <c r="X2187">
        <v>0</v>
      </c>
      <c r="Y2187">
        <v>0</v>
      </c>
    </row>
    <row r="2188" spans="1:25" x14ac:dyDescent="0.2">
      <c r="A2188" t="s">
        <v>8217</v>
      </c>
      <c r="B2188" t="s">
        <v>8218</v>
      </c>
      <c r="C2188" t="s">
        <v>8219</v>
      </c>
      <c r="D2188" t="s">
        <v>8220</v>
      </c>
      <c r="E2188" t="s">
        <v>8218</v>
      </c>
      <c r="F2188" t="s">
        <v>28</v>
      </c>
      <c r="G2188" t="s">
        <v>8218</v>
      </c>
      <c r="H2188" t="str">
        <f>"rpn-5"</f>
        <v>rpn-5</v>
      </c>
      <c r="I2188" t="s">
        <v>8220</v>
      </c>
      <c r="J2188">
        <v>17.9055342381324</v>
      </c>
      <c r="K2188">
        <v>17.663784282368699</v>
      </c>
      <c r="L2188">
        <v>17.5467701459749</v>
      </c>
      <c r="M2188">
        <v>17.647942044120398</v>
      </c>
      <c r="N2188">
        <v>17.408810727568799</v>
      </c>
      <c r="O2188">
        <v>17.565802652675</v>
      </c>
      <c r="P2188">
        <v>-0.164511080703893</v>
      </c>
      <c r="Q2188">
        <v>-0.55469047292174301</v>
      </c>
      <c r="R2188">
        <v>0.225668311513957</v>
      </c>
      <c r="S2188">
        <v>17.068956417778899</v>
      </c>
      <c r="T2188">
        <v>-0.88618284912658696</v>
      </c>
      <c r="U2188">
        <v>-6.4810000165002704</v>
      </c>
      <c r="V2188">
        <v>0.387273144494994</v>
      </c>
      <c r="W2188">
        <v>0.90353836237095997</v>
      </c>
      <c r="X2188">
        <v>0</v>
      </c>
      <c r="Y2188">
        <v>0</v>
      </c>
    </row>
    <row r="2189" spans="1:25" x14ac:dyDescent="0.2">
      <c r="A2189" t="s">
        <v>8221</v>
      </c>
      <c r="B2189" t="s">
        <v>8222</v>
      </c>
      <c r="C2189" t="s">
        <v>8223</v>
      </c>
      <c r="D2189" t="s">
        <v>8224</v>
      </c>
      <c r="E2189" t="s">
        <v>8222</v>
      </c>
      <c r="F2189" t="s">
        <v>28</v>
      </c>
      <c r="G2189" t="s">
        <v>8222</v>
      </c>
      <c r="H2189" t="str">
        <f>"tsn-1"</f>
        <v>tsn-1</v>
      </c>
      <c r="I2189" t="s">
        <v>8224</v>
      </c>
      <c r="J2189">
        <v>18.959359490869399</v>
      </c>
      <c r="K2189">
        <v>18.808062511193199</v>
      </c>
      <c r="L2189">
        <v>18.897653205000498</v>
      </c>
      <c r="M2189">
        <v>18.9918866472355</v>
      </c>
      <c r="N2189">
        <v>18.9887174777305</v>
      </c>
      <c r="O2189">
        <v>18.848174791964102</v>
      </c>
      <c r="P2189">
        <v>5.4567903289019198E-2</v>
      </c>
      <c r="Q2189">
        <v>-0.29909711295010899</v>
      </c>
      <c r="R2189">
        <v>0.408232919528148</v>
      </c>
      <c r="S2189">
        <v>18.537682301184599</v>
      </c>
      <c r="T2189">
        <v>0.32429307701263099</v>
      </c>
      <c r="U2189">
        <v>-6.8277030269215402</v>
      </c>
      <c r="V2189">
        <v>0.74947606484204399</v>
      </c>
      <c r="W2189">
        <v>0.99184638945407499</v>
      </c>
      <c r="X2189">
        <v>0</v>
      </c>
      <c r="Y2189">
        <v>0</v>
      </c>
    </row>
    <row r="2190" spans="1:25" x14ac:dyDescent="0.2">
      <c r="A2190" t="s">
        <v>8225</v>
      </c>
      <c r="B2190" t="s">
        <v>8226</v>
      </c>
      <c r="C2190" t="s">
        <v>8227</v>
      </c>
      <c r="D2190" t="s">
        <v>8228</v>
      </c>
      <c r="E2190" t="s">
        <v>8226</v>
      </c>
      <c r="F2190" t="s">
        <v>28</v>
      </c>
      <c r="G2190" t="s">
        <v>8226</v>
      </c>
      <c r="H2190" t="str">
        <f>"tag-151"</f>
        <v>tag-151</v>
      </c>
      <c r="I2190" t="s">
        <v>8228</v>
      </c>
      <c r="J2190">
        <v>12.763648616137001</v>
      </c>
      <c r="K2190">
        <v>13.1665604120642</v>
      </c>
      <c r="L2190">
        <v>13.000997826430501</v>
      </c>
      <c r="M2190">
        <v>13.4534751363528</v>
      </c>
      <c r="N2190">
        <v>13.580439961667601</v>
      </c>
      <c r="O2190">
        <v>12.987317982895799</v>
      </c>
      <c r="P2190">
        <v>0.36334207542819602</v>
      </c>
      <c r="Q2190">
        <v>-0.27964503062610202</v>
      </c>
      <c r="R2190">
        <v>1.00632918148249</v>
      </c>
      <c r="S2190">
        <v>14.126689469620301</v>
      </c>
      <c r="T2190">
        <v>1.1876977717903201</v>
      </c>
      <c r="U2190">
        <v>-6.1733328139633699</v>
      </c>
      <c r="V2190">
        <v>0.25047842281370303</v>
      </c>
      <c r="W2190">
        <v>0.83442661774174398</v>
      </c>
      <c r="X2190">
        <v>0</v>
      </c>
      <c r="Y2190">
        <v>0</v>
      </c>
    </row>
    <row r="2191" spans="1:25" x14ac:dyDescent="0.2">
      <c r="A2191" t="s">
        <v>8229</v>
      </c>
      <c r="B2191" t="s">
        <v>8230</v>
      </c>
      <c r="C2191" t="s">
        <v>8231</v>
      </c>
      <c r="D2191" t="s">
        <v>8232</v>
      </c>
      <c r="E2191" t="s">
        <v>8230</v>
      </c>
      <c r="F2191" t="s">
        <v>28</v>
      </c>
      <c r="G2191" t="s">
        <v>8230</v>
      </c>
      <c r="H2191" t="str">
        <f>"F11A10.5"</f>
        <v>F11A10.5</v>
      </c>
      <c r="I2191" t="s">
        <v>8232</v>
      </c>
      <c r="J2191">
        <v>12.1467258989423</v>
      </c>
      <c r="K2191">
        <v>12.577782284225</v>
      </c>
      <c r="L2191">
        <v>12.5482801658257</v>
      </c>
      <c r="M2191">
        <v>12.622113630863501</v>
      </c>
      <c r="N2191">
        <v>12.4829874781702</v>
      </c>
      <c r="O2191">
        <v>11.997408706618801</v>
      </c>
      <c r="P2191">
        <v>-5.6759511113490597E-2</v>
      </c>
      <c r="Q2191">
        <v>-0.51292171720955604</v>
      </c>
      <c r="R2191">
        <v>0.39940269498257502</v>
      </c>
      <c r="S2191">
        <v>12.6764417192495</v>
      </c>
      <c r="T2191">
        <v>-0.263917917462762</v>
      </c>
      <c r="U2191">
        <v>-6.8459346975300504</v>
      </c>
      <c r="V2191">
        <v>0.79523426683469001</v>
      </c>
      <c r="W2191">
        <v>0.99278624068726296</v>
      </c>
      <c r="X2191">
        <v>0</v>
      </c>
      <c r="Y2191">
        <v>0</v>
      </c>
    </row>
    <row r="2192" spans="1:25" x14ac:dyDescent="0.2">
      <c r="A2192" t="s">
        <v>8233</v>
      </c>
      <c r="B2192" t="s">
        <v>8234</v>
      </c>
      <c r="C2192" t="s">
        <v>8235</v>
      </c>
      <c r="D2192" t="s">
        <v>8236</v>
      </c>
      <c r="E2192" t="s">
        <v>8234</v>
      </c>
      <c r="F2192" t="s">
        <v>28</v>
      </c>
      <c r="G2192" t="s">
        <v>8234</v>
      </c>
      <c r="H2192" t="str">
        <f>"mon-2"</f>
        <v>mon-2</v>
      </c>
      <c r="I2192" t="s">
        <v>8236</v>
      </c>
      <c r="J2192">
        <v>10.945705678353599</v>
      </c>
      <c r="K2192">
        <v>11.3603417950916</v>
      </c>
      <c r="L2192">
        <v>11.487471603971001</v>
      </c>
      <c r="M2192">
        <v>10.181559948671699</v>
      </c>
      <c r="N2192">
        <v>11.659193752196501</v>
      </c>
      <c r="O2192">
        <v>10.8443504232492</v>
      </c>
      <c r="P2192">
        <v>-0.36947165109964403</v>
      </c>
      <c r="Q2192">
        <v>-1.01456952960966</v>
      </c>
      <c r="R2192">
        <v>0.27562622741037202</v>
      </c>
      <c r="S2192">
        <v>11.717164106361899</v>
      </c>
      <c r="T2192">
        <v>-1.2148007112497099</v>
      </c>
      <c r="U2192">
        <v>-6.1405797303860998</v>
      </c>
      <c r="V2192">
        <v>0.242180610641969</v>
      </c>
      <c r="W2192">
        <v>0.82472934687515598</v>
      </c>
      <c r="X2192">
        <v>0</v>
      </c>
      <c r="Y2192">
        <v>0</v>
      </c>
    </row>
    <row r="2193" spans="1:25" x14ac:dyDescent="0.2">
      <c r="A2193" t="s">
        <v>8237</v>
      </c>
      <c r="B2193" t="s">
        <v>8238</v>
      </c>
      <c r="C2193" t="s">
        <v>8239</v>
      </c>
      <c r="D2193" t="s">
        <v>8240</v>
      </c>
      <c r="E2193" t="s">
        <v>8238</v>
      </c>
      <c r="F2193" t="s">
        <v>28</v>
      </c>
      <c r="G2193" t="s">
        <v>8238</v>
      </c>
      <c r="H2193" t="str">
        <f>"acs-14"</f>
        <v>acs-14</v>
      </c>
      <c r="I2193" t="s">
        <v>8240</v>
      </c>
      <c r="J2193">
        <v>13.377723765011099</v>
      </c>
      <c r="K2193">
        <v>13.552644850593699</v>
      </c>
      <c r="L2193">
        <v>13.4075732729018</v>
      </c>
      <c r="M2193">
        <v>13.656641750211801</v>
      </c>
      <c r="N2193">
        <v>14.192070605685</v>
      </c>
      <c r="O2193">
        <v>13.4001464477863</v>
      </c>
      <c r="P2193">
        <v>0.30363897172549598</v>
      </c>
      <c r="Q2193">
        <v>-0.172793896645447</v>
      </c>
      <c r="R2193">
        <v>0.78007184009643904</v>
      </c>
      <c r="S2193">
        <v>13.23181050514</v>
      </c>
      <c r="T2193">
        <v>1.3395172478033699</v>
      </c>
      <c r="U2193">
        <v>-5.9895006408148603</v>
      </c>
      <c r="V2193">
        <v>0.19716736752493599</v>
      </c>
      <c r="W2193">
        <v>0.79075284576134597</v>
      </c>
      <c r="X2193">
        <v>0</v>
      </c>
      <c r="Y2193">
        <v>0</v>
      </c>
    </row>
    <row r="2194" spans="1:25" x14ac:dyDescent="0.2">
      <c r="A2194" t="s">
        <v>8241</v>
      </c>
      <c r="B2194" t="s">
        <v>8242</v>
      </c>
      <c r="C2194" t="s">
        <v>8243</v>
      </c>
      <c r="D2194" t="s">
        <v>674</v>
      </c>
      <c r="E2194" t="s">
        <v>8242</v>
      </c>
      <c r="F2194" t="s">
        <v>28</v>
      </c>
      <c r="G2194" t="s">
        <v>8242</v>
      </c>
      <c r="H2194" t="str">
        <f>"vwa-8"</f>
        <v>vwa-8</v>
      </c>
      <c r="I2194" t="s">
        <v>674</v>
      </c>
      <c r="J2194">
        <v>15.089022443467901</v>
      </c>
      <c r="K2194">
        <v>14.9171859208475</v>
      </c>
      <c r="L2194">
        <v>15.0084295477221</v>
      </c>
      <c r="M2194">
        <v>14.8937030875638</v>
      </c>
      <c r="N2194">
        <v>14.993103300674401</v>
      </c>
      <c r="O2194">
        <v>14.876626581992101</v>
      </c>
      <c r="P2194">
        <v>-8.37349806023759E-2</v>
      </c>
      <c r="Q2194">
        <v>-0.58930523305427895</v>
      </c>
      <c r="R2194">
        <v>0.42183527184952702</v>
      </c>
      <c r="S2194">
        <v>15.075849710441499</v>
      </c>
      <c r="T2194">
        <v>-0.34811114272632598</v>
      </c>
      <c r="U2194">
        <v>-6.8193881577994304</v>
      </c>
      <c r="V2194">
        <v>0.73181818868676496</v>
      </c>
      <c r="W2194">
        <v>0.99057748145465696</v>
      </c>
      <c r="X2194">
        <v>0</v>
      </c>
      <c r="Y2194">
        <v>0</v>
      </c>
    </row>
    <row r="2195" spans="1:25" x14ac:dyDescent="0.2">
      <c r="A2195" t="s">
        <v>8244</v>
      </c>
      <c r="B2195" t="s">
        <v>8245</v>
      </c>
      <c r="C2195" t="s">
        <v>8246</v>
      </c>
      <c r="D2195" t="s">
        <v>8247</v>
      </c>
      <c r="E2195" t="s">
        <v>8245</v>
      </c>
      <c r="F2195" t="s">
        <v>28</v>
      </c>
      <c r="G2195" t="s">
        <v>8245</v>
      </c>
      <c r="H2195" t="str">
        <f>"rfl-1"</f>
        <v>rfl-1</v>
      </c>
      <c r="I2195" t="s">
        <v>8247</v>
      </c>
      <c r="J2195">
        <v>12.924882327835901</v>
      </c>
      <c r="K2195">
        <v>13.394033228403201</v>
      </c>
      <c r="L2195">
        <v>13.1495588132048</v>
      </c>
      <c r="M2195">
        <v>12.7199668780968</v>
      </c>
      <c r="N2195">
        <v>13.565426286001401</v>
      </c>
      <c r="O2195">
        <v>13.532304781853901</v>
      </c>
      <c r="P2195">
        <v>0.116407858836093</v>
      </c>
      <c r="Q2195">
        <v>-0.52873021759174099</v>
      </c>
      <c r="R2195">
        <v>0.761545935263926</v>
      </c>
      <c r="S2195">
        <v>13.463934819367299</v>
      </c>
      <c r="T2195">
        <v>0.38087251986582699</v>
      </c>
      <c r="U2195">
        <v>-6.8067844454848503</v>
      </c>
      <c r="V2195">
        <v>0.70804454506900905</v>
      </c>
      <c r="W2195">
        <v>0.98701296733593502</v>
      </c>
      <c r="X2195">
        <v>0</v>
      </c>
      <c r="Y2195">
        <v>0</v>
      </c>
    </row>
    <row r="2196" spans="1:25" x14ac:dyDescent="0.2">
      <c r="A2196" t="s">
        <v>8248</v>
      </c>
      <c r="B2196" t="s">
        <v>8249</v>
      </c>
      <c r="C2196" t="s">
        <v>8250</v>
      </c>
      <c r="D2196" t="s">
        <v>8251</v>
      </c>
      <c r="E2196" t="s">
        <v>8249</v>
      </c>
      <c r="F2196" t="s">
        <v>28</v>
      </c>
      <c r="G2196" t="s">
        <v>8249</v>
      </c>
      <c r="H2196" t="str">
        <f>"F12F6.7"</f>
        <v>F12F6.7</v>
      </c>
      <c r="I2196" t="s">
        <v>8251</v>
      </c>
      <c r="J2196" t="s">
        <v>29</v>
      </c>
      <c r="K2196" t="s">
        <v>29</v>
      </c>
      <c r="L2196" t="s">
        <v>29</v>
      </c>
      <c r="M2196" t="s">
        <v>29</v>
      </c>
      <c r="N2196" t="s">
        <v>29</v>
      </c>
      <c r="O2196" t="s">
        <v>29</v>
      </c>
      <c r="P2196" t="s">
        <v>29</v>
      </c>
      <c r="Q2196" t="s">
        <v>29</v>
      </c>
      <c r="R2196" t="s">
        <v>29</v>
      </c>
      <c r="S2196">
        <v>10.6944707943818</v>
      </c>
      <c r="T2196" t="s">
        <v>29</v>
      </c>
      <c r="U2196" t="s">
        <v>29</v>
      </c>
      <c r="V2196" t="s">
        <v>29</v>
      </c>
      <c r="W2196" t="s">
        <v>29</v>
      </c>
      <c r="X2196" t="s">
        <v>29</v>
      </c>
      <c r="Y2196" t="s">
        <v>29</v>
      </c>
    </row>
    <row r="2197" spans="1:25" x14ac:dyDescent="0.2">
      <c r="A2197" t="s">
        <v>8252</v>
      </c>
      <c r="B2197" t="s">
        <v>8253</v>
      </c>
      <c r="C2197" t="s">
        <v>8254</v>
      </c>
      <c r="D2197" t="s">
        <v>8255</v>
      </c>
      <c r="E2197" t="s">
        <v>8253</v>
      </c>
      <c r="F2197" t="s">
        <v>28</v>
      </c>
      <c r="G2197" t="s">
        <v>8253</v>
      </c>
      <c r="H2197" t="str">
        <f>"sec-24.1"</f>
        <v>sec-24.1</v>
      </c>
      <c r="I2197" t="s">
        <v>8255</v>
      </c>
      <c r="J2197">
        <v>15.2494695131402</v>
      </c>
      <c r="K2197">
        <v>15.1722703168707</v>
      </c>
      <c r="L2197">
        <v>15.1011930032662</v>
      </c>
      <c r="M2197">
        <v>15.284503734500801</v>
      </c>
      <c r="N2197">
        <v>15.4626919511278</v>
      </c>
      <c r="O2197">
        <v>15.41279541157</v>
      </c>
      <c r="P2197">
        <v>0.21235275464051301</v>
      </c>
      <c r="Q2197">
        <v>-8.2815742965197905E-2</v>
      </c>
      <c r="R2197">
        <v>0.50752125224622402</v>
      </c>
      <c r="S2197">
        <v>15.0015650344598</v>
      </c>
      <c r="T2197">
        <v>1.5120996310438799</v>
      </c>
      <c r="U2197">
        <v>-5.7589363997890199</v>
      </c>
      <c r="V2197">
        <v>0.147967593574096</v>
      </c>
      <c r="W2197">
        <v>0.74162070996173202</v>
      </c>
      <c r="X2197">
        <v>0</v>
      </c>
      <c r="Y2197">
        <v>0</v>
      </c>
    </row>
    <row r="2198" spans="1:25" x14ac:dyDescent="0.2">
      <c r="A2198" t="s">
        <v>8256</v>
      </c>
      <c r="B2198" t="s">
        <v>8257</v>
      </c>
      <c r="C2198" t="s">
        <v>8258</v>
      </c>
      <c r="D2198" t="s">
        <v>8259</v>
      </c>
      <c r="E2198" t="s">
        <v>8257</v>
      </c>
      <c r="F2198" t="s">
        <v>28</v>
      </c>
      <c r="G2198" t="s">
        <v>8257</v>
      </c>
      <c r="H2198" t="str">
        <f>"F13B12.1"</f>
        <v>F13B12.1</v>
      </c>
      <c r="I2198" t="s">
        <v>8259</v>
      </c>
      <c r="J2198" t="s">
        <v>29</v>
      </c>
      <c r="K2198" t="s">
        <v>29</v>
      </c>
      <c r="L2198" t="s">
        <v>29</v>
      </c>
      <c r="M2198" t="s">
        <v>29</v>
      </c>
      <c r="N2198" t="s">
        <v>29</v>
      </c>
      <c r="O2198" t="s">
        <v>29</v>
      </c>
      <c r="P2198" t="s">
        <v>29</v>
      </c>
      <c r="Q2198" t="s">
        <v>29</v>
      </c>
      <c r="R2198" t="s">
        <v>29</v>
      </c>
      <c r="S2198">
        <v>11.0133342712427</v>
      </c>
      <c r="T2198" t="s">
        <v>29</v>
      </c>
      <c r="U2198" t="s">
        <v>29</v>
      </c>
      <c r="V2198" t="s">
        <v>29</v>
      </c>
      <c r="W2198" t="s">
        <v>29</v>
      </c>
      <c r="X2198" t="s">
        <v>29</v>
      </c>
      <c r="Y2198" t="s">
        <v>29</v>
      </c>
    </row>
    <row r="2199" spans="1:25" x14ac:dyDescent="0.2">
      <c r="A2199" t="s">
        <v>8260</v>
      </c>
      <c r="B2199" t="s">
        <v>8261</v>
      </c>
      <c r="C2199" t="s">
        <v>14446</v>
      </c>
      <c r="D2199" t="s">
        <v>2641</v>
      </c>
      <c r="E2199" t="s">
        <v>8261</v>
      </c>
      <c r="F2199" t="s">
        <v>28</v>
      </c>
      <c r="G2199" t="s">
        <v>8261</v>
      </c>
      <c r="H2199" t="str">
        <f>"F13D12.5"</f>
        <v>F13D12.5</v>
      </c>
      <c r="I2199" t="s">
        <v>2641</v>
      </c>
      <c r="J2199" t="s">
        <v>29</v>
      </c>
      <c r="K2199" t="s">
        <v>29</v>
      </c>
      <c r="L2199" t="s">
        <v>29</v>
      </c>
      <c r="M2199" t="s">
        <v>29</v>
      </c>
      <c r="N2199" t="s">
        <v>29</v>
      </c>
      <c r="O2199" t="s">
        <v>29</v>
      </c>
      <c r="P2199" t="s">
        <v>29</v>
      </c>
      <c r="Q2199" t="s">
        <v>29</v>
      </c>
      <c r="R2199" t="s">
        <v>29</v>
      </c>
      <c r="S2199">
        <v>9.6549121485701193</v>
      </c>
      <c r="T2199" t="s">
        <v>29</v>
      </c>
      <c r="U2199" t="s">
        <v>29</v>
      </c>
      <c r="V2199" t="s">
        <v>29</v>
      </c>
      <c r="W2199" t="s">
        <v>29</v>
      </c>
      <c r="X2199" t="s">
        <v>29</v>
      </c>
      <c r="Y2199" t="s">
        <v>29</v>
      </c>
    </row>
    <row r="2200" spans="1:25" x14ac:dyDescent="0.2">
      <c r="A2200" t="s">
        <v>8262</v>
      </c>
      <c r="B2200" t="s">
        <v>8263</v>
      </c>
      <c r="C2200" t="s">
        <v>8264</v>
      </c>
      <c r="D2200" t="s">
        <v>8265</v>
      </c>
      <c r="E2200" t="s">
        <v>8263</v>
      </c>
      <c r="F2200" t="s">
        <v>28</v>
      </c>
      <c r="G2200" t="s">
        <v>8263</v>
      </c>
      <c r="H2200" t="str">
        <f>"dylt-1"</f>
        <v>dylt-1</v>
      </c>
      <c r="I2200" t="s">
        <v>8265</v>
      </c>
      <c r="J2200">
        <v>14.1399297535724</v>
      </c>
      <c r="K2200">
        <v>14.2337122275843</v>
      </c>
      <c r="L2200">
        <v>14.1729508652853</v>
      </c>
      <c r="M2200">
        <v>14.1421584857226</v>
      </c>
      <c r="N2200">
        <v>13.7755369162736</v>
      </c>
      <c r="O2200">
        <v>14.2146395040629</v>
      </c>
      <c r="P2200">
        <v>-0.13808598012762699</v>
      </c>
      <c r="Q2200">
        <v>-1.2059283412769399</v>
      </c>
      <c r="R2200">
        <v>0.92975638102169</v>
      </c>
      <c r="S2200">
        <v>13.8376791302596</v>
      </c>
      <c r="T2200">
        <v>-0.27179092692380802</v>
      </c>
      <c r="U2200">
        <v>-6.8439727408550501</v>
      </c>
      <c r="V2200">
        <v>0.78889360981239598</v>
      </c>
      <c r="W2200">
        <v>0.99278624068726296</v>
      </c>
      <c r="X2200">
        <v>0</v>
      </c>
      <c r="Y2200">
        <v>0</v>
      </c>
    </row>
    <row r="2201" spans="1:25" x14ac:dyDescent="0.2">
      <c r="A2201" t="s">
        <v>8266</v>
      </c>
      <c r="B2201" t="s">
        <v>8267</v>
      </c>
      <c r="C2201" t="s">
        <v>14447</v>
      </c>
      <c r="D2201" t="s">
        <v>1434</v>
      </c>
      <c r="E2201" t="s">
        <v>8267</v>
      </c>
      <c r="F2201" t="s">
        <v>28</v>
      </c>
      <c r="G2201" t="s">
        <v>8267</v>
      </c>
      <c r="H2201" t="str">
        <f>"F13G3.7"</f>
        <v>F13G3.7</v>
      </c>
      <c r="I2201" t="s">
        <v>1434</v>
      </c>
      <c r="J2201">
        <v>12.880574722319199</v>
      </c>
      <c r="K2201">
        <v>12.544086764852</v>
      </c>
      <c r="L2201">
        <v>11.803244000832599</v>
      </c>
      <c r="M2201">
        <v>11.748343900117</v>
      </c>
      <c r="N2201">
        <v>11.6179322991738</v>
      </c>
      <c r="O2201">
        <v>12.538904678238501</v>
      </c>
      <c r="P2201">
        <v>-0.44090820349148502</v>
      </c>
      <c r="Q2201">
        <v>-1.2393995560675</v>
      </c>
      <c r="R2201">
        <v>0.35758314908452599</v>
      </c>
      <c r="S2201">
        <v>12.349354689751101</v>
      </c>
      <c r="T2201">
        <v>-1.17765903398155</v>
      </c>
      <c r="U2201">
        <v>-6.1825701436510201</v>
      </c>
      <c r="V2201">
        <v>0.25740712170558</v>
      </c>
      <c r="W2201">
        <v>0.83706879678059698</v>
      </c>
      <c r="X2201">
        <v>0</v>
      </c>
      <c r="Y2201">
        <v>0</v>
      </c>
    </row>
    <row r="2202" spans="1:25" x14ac:dyDescent="0.2">
      <c r="A2202" t="s">
        <v>8268</v>
      </c>
      <c r="B2202" t="s">
        <v>8269</v>
      </c>
      <c r="C2202" t="s">
        <v>8270</v>
      </c>
      <c r="D2202" t="s">
        <v>8271</v>
      </c>
      <c r="E2202" t="s">
        <v>8269</v>
      </c>
      <c r="F2202" t="s">
        <v>28</v>
      </c>
      <c r="G2202" t="s">
        <v>8269</v>
      </c>
      <c r="H2202" t="str">
        <f>"mogs-1"</f>
        <v>mogs-1</v>
      </c>
      <c r="I2202" t="s">
        <v>8271</v>
      </c>
      <c r="J2202">
        <v>13.2833429769888</v>
      </c>
      <c r="K2202">
        <v>12.909844260337501</v>
      </c>
      <c r="L2202">
        <v>12.745439980685999</v>
      </c>
      <c r="M2202">
        <v>12.570227484440901</v>
      </c>
      <c r="N2202">
        <v>12.081881031074699</v>
      </c>
      <c r="O2202">
        <v>13.3990903137285</v>
      </c>
      <c r="P2202">
        <v>-0.29580946292270999</v>
      </c>
      <c r="Q2202">
        <v>-0.895764660165289</v>
      </c>
      <c r="R2202">
        <v>0.30414573431986902</v>
      </c>
      <c r="S2202">
        <v>12.7464558273045</v>
      </c>
      <c r="T2202">
        <v>-1.05156191568006</v>
      </c>
      <c r="U2202">
        <v>-6.3194330473597997</v>
      </c>
      <c r="V2202">
        <v>0.309762312472042</v>
      </c>
      <c r="W2202">
        <v>0.86207931095287205</v>
      </c>
      <c r="X2202">
        <v>0</v>
      </c>
      <c r="Y2202">
        <v>0</v>
      </c>
    </row>
    <row r="2203" spans="1:25" x14ac:dyDescent="0.2">
      <c r="A2203" t="s">
        <v>8272</v>
      </c>
      <c r="B2203" t="s">
        <v>8273</v>
      </c>
      <c r="C2203" t="s">
        <v>14448</v>
      </c>
      <c r="D2203" t="s">
        <v>8274</v>
      </c>
      <c r="E2203" t="s">
        <v>8273</v>
      </c>
      <c r="F2203" t="s">
        <v>28</v>
      </c>
      <c r="G2203" t="s">
        <v>8273</v>
      </c>
      <c r="H2203" t="str">
        <f>"F13H8.5"</f>
        <v>F13H8.5</v>
      </c>
      <c r="I2203" t="s">
        <v>8274</v>
      </c>
      <c r="J2203" t="s">
        <v>29</v>
      </c>
      <c r="K2203" t="s">
        <v>29</v>
      </c>
      <c r="L2203">
        <v>10.234109166516401</v>
      </c>
      <c r="M2203" t="s">
        <v>29</v>
      </c>
      <c r="N2203" t="s">
        <v>29</v>
      </c>
      <c r="O2203">
        <v>11.304402827713201</v>
      </c>
      <c r="P2203">
        <v>1.0702936611968099</v>
      </c>
      <c r="Q2203">
        <v>-0.61694691602364804</v>
      </c>
      <c r="R2203">
        <v>2.7575342384172599</v>
      </c>
      <c r="S2203">
        <v>11.3151651124045</v>
      </c>
      <c r="T2203">
        <v>1.4154444580758601</v>
      </c>
      <c r="U2203">
        <v>-5.37229081863864</v>
      </c>
      <c r="V2203">
        <v>0.187632492448881</v>
      </c>
      <c r="W2203">
        <v>0.78295732499061499</v>
      </c>
      <c r="X2203">
        <v>0</v>
      </c>
      <c r="Y2203">
        <v>0</v>
      </c>
    </row>
    <row r="2204" spans="1:25" x14ac:dyDescent="0.2">
      <c r="A2204" t="s">
        <v>8275</v>
      </c>
      <c r="B2204" t="s">
        <v>8276</v>
      </c>
      <c r="C2204" t="s">
        <v>14449</v>
      </c>
      <c r="D2204" t="s">
        <v>4588</v>
      </c>
      <c r="E2204" t="s">
        <v>8276</v>
      </c>
      <c r="F2204" t="s">
        <v>28</v>
      </c>
      <c r="G2204" t="s">
        <v>8276</v>
      </c>
      <c r="H2204" t="str">
        <f>"F13H8.2"</f>
        <v>F13H8.2</v>
      </c>
      <c r="I2204" t="s">
        <v>4588</v>
      </c>
      <c r="J2204" t="s">
        <v>29</v>
      </c>
      <c r="K2204">
        <v>10.6820423030586</v>
      </c>
      <c r="L2204">
        <v>10.6923777017916</v>
      </c>
      <c r="M2204">
        <v>10.7420464191303</v>
      </c>
      <c r="N2204" t="s">
        <v>29</v>
      </c>
      <c r="O2204" t="s">
        <v>29</v>
      </c>
      <c r="P2204">
        <v>5.4836416705196497E-2</v>
      </c>
      <c r="Q2204">
        <v>-0.629756945392551</v>
      </c>
      <c r="R2204">
        <v>0.73942977880294403</v>
      </c>
      <c r="S2204">
        <v>11.026907111275399</v>
      </c>
      <c r="T2204">
        <v>0.17650787134754201</v>
      </c>
      <c r="U2204">
        <v>-6.4668328566307203</v>
      </c>
      <c r="V2204">
        <v>0.86313316822547403</v>
      </c>
      <c r="W2204">
        <v>0.99394475928068404</v>
      </c>
      <c r="X2204">
        <v>0</v>
      </c>
      <c r="Y2204">
        <v>0</v>
      </c>
    </row>
    <row r="2205" spans="1:25" x14ac:dyDescent="0.2">
      <c r="A2205" t="s">
        <v>8277</v>
      </c>
      <c r="B2205" t="s">
        <v>8278</v>
      </c>
      <c r="C2205" t="s">
        <v>8279</v>
      </c>
      <c r="D2205" t="s">
        <v>3609</v>
      </c>
      <c r="E2205" t="s">
        <v>8278</v>
      </c>
      <c r="F2205" t="s">
        <v>28</v>
      </c>
      <c r="G2205" t="s">
        <v>8278</v>
      </c>
      <c r="H2205" t="str">
        <f>"git-1"</f>
        <v>git-1</v>
      </c>
      <c r="I2205" t="s">
        <v>3609</v>
      </c>
      <c r="J2205">
        <v>11.769247454296901</v>
      </c>
      <c r="K2205">
        <v>10.804567942790399</v>
      </c>
      <c r="L2205">
        <v>10.6752071033831</v>
      </c>
      <c r="M2205">
        <v>11.0268871998785</v>
      </c>
      <c r="N2205">
        <v>11.4719967382295</v>
      </c>
      <c r="O2205" t="s">
        <v>29</v>
      </c>
      <c r="P2205">
        <v>0.16643446889715499</v>
      </c>
      <c r="Q2205">
        <v>-0.60773586362007503</v>
      </c>
      <c r="R2205">
        <v>0.94060480141438496</v>
      </c>
      <c r="S2205">
        <v>11.3851290599568</v>
      </c>
      <c r="T2205">
        <v>0.46482983406740203</v>
      </c>
      <c r="U2205">
        <v>-6.6582540973743303</v>
      </c>
      <c r="V2205">
        <v>0.64980462466662903</v>
      </c>
      <c r="W2205">
        <v>0.98109036903435498</v>
      </c>
      <c r="X2205">
        <v>0</v>
      </c>
      <c r="Y2205">
        <v>0</v>
      </c>
    </row>
    <row r="2206" spans="1:25" x14ac:dyDescent="0.2">
      <c r="A2206" t="s">
        <v>8280</v>
      </c>
      <c r="B2206" t="s">
        <v>8281</v>
      </c>
      <c r="C2206" t="s">
        <v>8282</v>
      </c>
      <c r="D2206" t="s">
        <v>8283</v>
      </c>
      <c r="E2206" t="s">
        <v>8281</v>
      </c>
      <c r="F2206" t="s">
        <v>28</v>
      </c>
      <c r="G2206" t="s">
        <v>8281</v>
      </c>
      <c r="H2206" t="str">
        <f>"mboa-7"</f>
        <v>mboa-7</v>
      </c>
      <c r="I2206" t="s">
        <v>8283</v>
      </c>
      <c r="J2206">
        <v>13.4544384778645</v>
      </c>
      <c r="K2206">
        <v>13.6088786983068</v>
      </c>
      <c r="L2206">
        <v>13.7373637556062</v>
      </c>
      <c r="M2206">
        <v>13.5082844172309</v>
      </c>
      <c r="N2206">
        <v>13.3031494607024</v>
      </c>
      <c r="O2206">
        <v>14.0976430388575</v>
      </c>
      <c r="P2206">
        <v>3.6131995004488701E-2</v>
      </c>
      <c r="Q2206">
        <v>-0.43010665544716298</v>
      </c>
      <c r="R2206">
        <v>0.50237064545613996</v>
      </c>
      <c r="S2206">
        <v>13.7699004267775</v>
      </c>
      <c r="T2206">
        <v>0.16288315828607999</v>
      </c>
      <c r="U2206">
        <v>-6.8686375883454298</v>
      </c>
      <c r="V2206">
        <v>0.87243570126692704</v>
      </c>
      <c r="W2206">
        <v>0.99542051916754504</v>
      </c>
      <c r="X2206">
        <v>0</v>
      </c>
      <c r="Y2206">
        <v>0</v>
      </c>
    </row>
    <row r="2207" spans="1:25" x14ac:dyDescent="0.2">
      <c r="A2207" t="s">
        <v>8284</v>
      </c>
      <c r="B2207" t="s">
        <v>8285</v>
      </c>
      <c r="C2207" t="s">
        <v>8286</v>
      </c>
      <c r="D2207" t="s">
        <v>3312</v>
      </c>
      <c r="E2207" t="s">
        <v>8285</v>
      </c>
      <c r="F2207" t="s">
        <v>28</v>
      </c>
      <c r="G2207" t="s">
        <v>8285</v>
      </c>
      <c r="H2207" t="str">
        <f>"col-184"</f>
        <v>col-184</v>
      </c>
      <c r="I2207" t="s">
        <v>3312</v>
      </c>
      <c r="J2207">
        <v>11.957658463531001</v>
      </c>
      <c r="K2207">
        <v>11.8454925082836</v>
      </c>
      <c r="L2207">
        <v>13.975949155939899</v>
      </c>
      <c r="M2207">
        <v>12.7930557113057</v>
      </c>
      <c r="N2207">
        <v>12.440097616971199</v>
      </c>
      <c r="O2207">
        <v>14.6566922522528</v>
      </c>
      <c r="P2207">
        <v>0.70358181759171001</v>
      </c>
      <c r="Q2207">
        <v>-1.18484006380173</v>
      </c>
      <c r="R2207">
        <v>2.59200369898514</v>
      </c>
      <c r="S2207">
        <v>13.168856137828101</v>
      </c>
      <c r="T2207">
        <v>0.78644000403908498</v>
      </c>
      <c r="U2207">
        <v>-6.5641708346884897</v>
      </c>
      <c r="V2207">
        <v>0.442501613972762</v>
      </c>
      <c r="W2207">
        <v>0.92006726233944303</v>
      </c>
      <c r="X2207">
        <v>0</v>
      </c>
      <c r="Y2207">
        <v>0</v>
      </c>
    </row>
    <row r="2208" spans="1:25" x14ac:dyDescent="0.2">
      <c r="A2208" t="s">
        <v>8287</v>
      </c>
      <c r="B2208" t="s">
        <v>8288</v>
      </c>
      <c r="C2208" t="s">
        <v>8289</v>
      </c>
      <c r="D2208" t="s">
        <v>1382</v>
      </c>
      <c r="E2208" t="s">
        <v>8288</v>
      </c>
      <c r="F2208" t="s">
        <v>28</v>
      </c>
      <c r="G2208" t="s">
        <v>8288</v>
      </c>
      <c r="H2208" t="str">
        <f>"tba-5"</f>
        <v>tba-5</v>
      </c>
      <c r="I2208" t="s">
        <v>1382</v>
      </c>
      <c r="J2208">
        <v>11.9074199935491</v>
      </c>
      <c r="K2208">
        <v>11.8330683460663</v>
      </c>
      <c r="L2208" t="s">
        <v>29</v>
      </c>
      <c r="M2208">
        <v>9.2357383541282498</v>
      </c>
      <c r="N2208">
        <v>11.534729089888399</v>
      </c>
      <c r="O2208">
        <v>10.749296592412</v>
      </c>
      <c r="P2208">
        <v>-1.3636561576648101</v>
      </c>
      <c r="Q2208">
        <v>-2.94129719987045</v>
      </c>
      <c r="R2208">
        <v>0.21398488454082501</v>
      </c>
      <c r="S2208">
        <v>10.7321951478764</v>
      </c>
      <c r="T2208">
        <v>-1.99784777185564</v>
      </c>
      <c r="U2208">
        <v>-4.9812493467917403</v>
      </c>
      <c r="V2208">
        <v>8.1259970001397105E-2</v>
      </c>
      <c r="W2208">
        <v>0.60425905304272798</v>
      </c>
      <c r="X2208">
        <v>0</v>
      </c>
      <c r="Y2208">
        <v>0</v>
      </c>
    </row>
    <row r="2209" spans="1:25" x14ac:dyDescent="0.2">
      <c r="A2209" t="s">
        <v>8290</v>
      </c>
      <c r="B2209" t="s">
        <v>8291</v>
      </c>
      <c r="C2209" t="s">
        <v>8292</v>
      </c>
      <c r="D2209" t="s">
        <v>8293</v>
      </c>
      <c r="E2209" t="s">
        <v>8291</v>
      </c>
      <c r="F2209" t="s">
        <v>28</v>
      </c>
      <c r="G2209" t="s">
        <v>8291</v>
      </c>
      <c r="H2209" t="str">
        <f>"rsd-6"</f>
        <v>rsd-6</v>
      </c>
      <c r="I2209" t="s">
        <v>8293</v>
      </c>
      <c r="J2209">
        <v>12.6556693176314</v>
      </c>
      <c r="K2209">
        <v>13.170677569994499</v>
      </c>
      <c r="L2209">
        <v>13.339866617428299</v>
      </c>
      <c r="M2209">
        <v>12.694507099729501</v>
      </c>
      <c r="N2209">
        <v>13.0367630499005</v>
      </c>
      <c r="O2209">
        <v>12.1597694890008</v>
      </c>
      <c r="P2209">
        <v>-0.42505795547449998</v>
      </c>
      <c r="Q2209">
        <v>-0.92564912537111399</v>
      </c>
      <c r="R2209">
        <v>7.5533214422113706E-2</v>
      </c>
      <c r="S2209">
        <v>13.3461430667251</v>
      </c>
      <c r="T2209">
        <v>-1.78466816776726</v>
      </c>
      <c r="U2209">
        <v>-5.3522576716931596</v>
      </c>
      <c r="V2209">
        <v>9.1278237933221096E-2</v>
      </c>
      <c r="W2209">
        <v>0.63154672732174599</v>
      </c>
      <c r="X2209">
        <v>0</v>
      </c>
      <c r="Y2209">
        <v>0</v>
      </c>
    </row>
    <row r="2210" spans="1:25" x14ac:dyDescent="0.2">
      <c r="A2210" t="s">
        <v>8294</v>
      </c>
      <c r="B2210" t="s">
        <v>8295</v>
      </c>
      <c r="C2210" t="s">
        <v>8296</v>
      </c>
      <c r="D2210" t="s">
        <v>8297</v>
      </c>
      <c r="E2210" t="s">
        <v>8295</v>
      </c>
      <c r="F2210" t="s">
        <v>28</v>
      </c>
      <c r="G2210" t="s">
        <v>8295</v>
      </c>
      <c r="H2210" t="str">
        <f>"tbcd-1"</f>
        <v>tbcd-1</v>
      </c>
      <c r="I2210" t="s">
        <v>8297</v>
      </c>
      <c r="J2210">
        <v>11.9137623880271</v>
      </c>
      <c r="K2210">
        <v>11.9935795253664</v>
      </c>
      <c r="L2210">
        <v>11.8756239236633</v>
      </c>
      <c r="M2210">
        <v>12.6651840900049</v>
      </c>
      <c r="N2210">
        <v>12.412567473821101</v>
      </c>
      <c r="O2210" t="s">
        <v>29</v>
      </c>
      <c r="P2210">
        <v>0.61122050289406504</v>
      </c>
      <c r="Q2210">
        <v>-2.1014751761688301E-2</v>
      </c>
      <c r="R2210">
        <v>1.24345575754982</v>
      </c>
      <c r="S2210">
        <v>12.928558007175599</v>
      </c>
      <c r="T2210">
        <v>2.09028954823324</v>
      </c>
      <c r="U2210">
        <v>-4.7751029453390101</v>
      </c>
      <c r="V2210">
        <v>5.69740908098888E-2</v>
      </c>
      <c r="W2210">
        <v>0.51107755853183301</v>
      </c>
      <c r="X2210">
        <v>0</v>
      </c>
      <c r="Y2210">
        <v>0</v>
      </c>
    </row>
    <row r="2211" spans="1:25" x14ac:dyDescent="0.2">
      <c r="A2211" t="s">
        <v>8298</v>
      </c>
      <c r="B2211" t="s">
        <v>8299</v>
      </c>
      <c r="C2211" t="s">
        <v>8300</v>
      </c>
      <c r="D2211" t="s">
        <v>901</v>
      </c>
      <c r="E2211" t="s">
        <v>8299</v>
      </c>
      <c r="F2211" t="s">
        <v>28</v>
      </c>
      <c r="G2211" t="s">
        <v>8299</v>
      </c>
      <c r="H2211" t="str">
        <f>"nhr-45"</f>
        <v>nhr-45</v>
      </c>
      <c r="I2211" t="s">
        <v>901</v>
      </c>
      <c r="J2211">
        <v>12.276350625943101</v>
      </c>
      <c r="K2211">
        <v>12.8927028390441</v>
      </c>
      <c r="L2211">
        <v>11.648485981646701</v>
      </c>
      <c r="M2211">
        <v>12.7285494437323</v>
      </c>
      <c r="N2211">
        <v>13.0283315665655</v>
      </c>
      <c r="O2211">
        <v>12.769767935017599</v>
      </c>
      <c r="P2211">
        <v>0.56970316622716399</v>
      </c>
      <c r="Q2211">
        <v>-0.15326767013224099</v>
      </c>
      <c r="R2211">
        <v>1.2926740025865699</v>
      </c>
      <c r="S2211">
        <v>12.664621838874</v>
      </c>
      <c r="T2211">
        <v>1.66332788164714</v>
      </c>
      <c r="U2211">
        <v>-5.5406680549094798</v>
      </c>
      <c r="V2211">
        <v>0.114683991508626</v>
      </c>
      <c r="W2211">
        <v>0.69774830665577003</v>
      </c>
      <c r="X2211">
        <v>0</v>
      </c>
      <c r="Y2211">
        <v>0</v>
      </c>
    </row>
    <row r="2212" spans="1:25" x14ac:dyDescent="0.2">
      <c r="A2212" t="s">
        <v>8301</v>
      </c>
      <c r="B2212" t="s">
        <v>8302</v>
      </c>
      <c r="C2212" t="s">
        <v>14450</v>
      </c>
      <c r="D2212" t="s">
        <v>8303</v>
      </c>
      <c r="E2212" t="s">
        <v>8302</v>
      </c>
      <c r="F2212" t="s">
        <v>28</v>
      </c>
      <c r="G2212" t="s">
        <v>8302</v>
      </c>
      <c r="H2212" t="str">
        <f>"F17C11.6"</f>
        <v>F17C11.6</v>
      </c>
      <c r="I2212" t="s">
        <v>8303</v>
      </c>
      <c r="J2212" t="s">
        <v>29</v>
      </c>
      <c r="K2212" t="s">
        <v>29</v>
      </c>
      <c r="L2212" t="s">
        <v>29</v>
      </c>
      <c r="M2212" t="s">
        <v>29</v>
      </c>
      <c r="N2212" t="s">
        <v>29</v>
      </c>
      <c r="O2212" t="s">
        <v>29</v>
      </c>
      <c r="P2212" t="s">
        <v>29</v>
      </c>
      <c r="Q2212" t="s">
        <v>29</v>
      </c>
      <c r="R2212" t="s">
        <v>29</v>
      </c>
      <c r="S2212">
        <v>9.8787707794100292</v>
      </c>
      <c r="T2212" t="s">
        <v>29</v>
      </c>
      <c r="U2212" t="s">
        <v>29</v>
      </c>
      <c r="V2212" t="s">
        <v>29</v>
      </c>
      <c r="W2212" t="s">
        <v>29</v>
      </c>
      <c r="X2212" t="s">
        <v>29</v>
      </c>
      <c r="Y2212" t="s">
        <v>29</v>
      </c>
    </row>
    <row r="2213" spans="1:25" x14ac:dyDescent="0.2">
      <c r="A2213" t="s">
        <v>8304</v>
      </c>
      <c r="B2213" t="s">
        <v>8305</v>
      </c>
      <c r="C2213" t="s">
        <v>8306</v>
      </c>
      <c r="D2213" t="s">
        <v>8307</v>
      </c>
      <c r="E2213" t="s">
        <v>8305</v>
      </c>
      <c r="F2213" t="s">
        <v>28</v>
      </c>
      <c r="G2213" t="s">
        <v>8305</v>
      </c>
      <c r="H2213" t="str">
        <f>"pigt-1"</f>
        <v>pigt-1</v>
      </c>
      <c r="I2213" t="s">
        <v>8307</v>
      </c>
      <c r="J2213">
        <v>14.558418868805701</v>
      </c>
      <c r="K2213">
        <v>14.6275214114814</v>
      </c>
      <c r="L2213">
        <v>14.2237455992704</v>
      </c>
      <c r="M2213">
        <v>14.566837510972</v>
      </c>
      <c r="N2213">
        <v>14.030935301112001</v>
      </c>
      <c r="O2213">
        <v>14.406245627050801</v>
      </c>
      <c r="P2213">
        <v>-0.13522248014093599</v>
      </c>
      <c r="Q2213">
        <v>-0.66732434770469196</v>
      </c>
      <c r="R2213">
        <v>0.39687938742282097</v>
      </c>
      <c r="S2213">
        <v>13.917681675149201</v>
      </c>
      <c r="T2213">
        <v>-0.53412957668781402</v>
      </c>
      <c r="U2213">
        <v>-6.7346116711587003</v>
      </c>
      <c r="V2213">
        <v>0.59982525358510996</v>
      </c>
      <c r="W2213">
        <v>0.96856739034780204</v>
      </c>
      <c r="X2213">
        <v>0</v>
      </c>
      <c r="Y2213">
        <v>0</v>
      </c>
    </row>
    <row r="2214" spans="1:25" x14ac:dyDescent="0.2">
      <c r="A2214" t="s">
        <v>8308</v>
      </c>
      <c r="B2214" t="s">
        <v>8309</v>
      </c>
      <c r="C2214" t="s">
        <v>8310</v>
      </c>
      <c r="D2214" t="s">
        <v>8311</v>
      </c>
      <c r="E2214" t="s">
        <v>8309</v>
      </c>
      <c r="F2214" t="s">
        <v>28</v>
      </c>
      <c r="G2214" t="s">
        <v>8309</v>
      </c>
      <c r="H2214" t="str">
        <f>"vps-36"</f>
        <v>vps-36</v>
      </c>
      <c r="I2214" t="s">
        <v>8311</v>
      </c>
      <c r="J2214">
        <v>12.058485911798501</v>
      </c>
      <c r="K2214">
        <v>12.030333085473799</v>
      </c>
      <c r="L2214">
        <v>12.497715538377999</v>
      </c>
      <c r="M2214">
        <v>12.8216809870092</v>
      </c>
      <c r="N2214">
        <v>12.609332088410699</v>
      </c>
      <c r="O2214">
        <v>11.891682030980199</v>
      </c>
      <c r="P2214">
        <v>0.245386856916577</v>
      </c>
      <c r="Q2214">
        <v>-0.32244546342848601</v>
      </c>
      <c r="R2214">
        <v>0.81321917726163995</v>
      </c>
      <c r="S2214">
        <v>12.3784468632588</v>
      </c>
      <c r="T2214">
        <v>0.91218137942799804</v>
      </c>
      <c r="U2214">
        <v>-6.4568765756516999</v>
      </c>
      <c r="V2214">
        <v>0.37450612766347902</v>
      </c>
      <c r="W2214">
        <v>0.89611784539566797</v>
      </c>
      <c r="X2214">
        <v>0</v>
      </c>
      <c r="Y2214">
        <v>0</v>
      </c>
    </row>
    <row r="2215" spans="1:25" x14ac:dyDescent="0.2">
      <c r="A2215" t="s">
        <v>8312</v>
      </c>
      <c r="B2215" t="s">
        <v>8313</v>
      </c>
      <c r="C2215" t="s">
        <v>8314</v>
      </c>
      <c r="D2215" t="s">
        <v>8315</v>
      </c>
      <c r="E2215" t="s">
        <v>8313</v>
      </c>
      <c r="F2215" t="s">
        <v>28</v>
      </c>
      <c r="G2215" t="s">
        <v>8313</v>
      </c>
      <c r="H2215" t="str">
        <f>"ctf-4"</f>
        <v>ctf-4</v>
      </c>
      <c r="I2215" t="s">
        <v>8315</v>
      </c>
      <c r="J2215">
        <v>10.8736632881186</v>
      </c>
      <c r="K2215">
        <v>12.154208244924</v>
      </c>
      <c r="L2215" t="s">
        <v>29</v>
      </c>
      <c r="M2215">
        <v>10.470647085664</v>
      </c>
      <c r="N2215">
        <v>12.057033124354801</v>
      </c>
      <c r="O2215" t="s">
        <v>29</v>
      </c>
      <c r="P2215">
        <v>-0.25009566151187601</v>
      </c>
      <c r="Q2215">
        <v>-1.3822306459603899</v>
      </c>
      <c r="R2215">
        <v>0.882039322936638</v>
      </c>
      <c r="S2215">
        <v>11.9769594694685</v>
      </c>
      <c r="T2215">
        <v>-0.48178465070644799</v>
      </c>
      <c r="U2215">
        <v>-6.5596596734657302</v>
      </c>
      <c r="V2215">
        <v>0.63870143733032902</v>
      </c>
      <c r="W2215">
        <v>0.97476997913256702</v>
      </c>
      <c r="X2215">
        <v>0</v>
      </c>
      <c r="Y2215">
        <v>0</v>
      </c>
    </row>
    <row r="2216" spans="1:25" x14ac:dyDescent="0.2">
      <c r="A2216" t="s">
        <v>8316</v>
      </c>
      <c r="B2216" t="s">
        <v>8317</v>
      </c>
      <c r="C2216" t="s">
        <v>8318</v>
      </c>
      <c r="D2216" t="s">
        <v>8319</v>
      </c>
      <c r="E2216" t="s">
        <v>8317</v>
      </c>
      <c r="F2216" t="s">
        <v>28</v>
      </c>
      <c r="G2216" t="s">
        <v>8317</v>
      </c>
      <c r="H2216" t="str">
        <f>"acy-1"</f>
        <v>acy-1</v>
      </c>
      <c r="I2216" t="s">
        <v>8319</v>
      </c>
      <c r="J2216">
        <v>12.4316141482081</v>
      </c>
      <c r="K2216">
        <v>12.680961587805401</v>
      </c>
      <c r="L2216" t="s">
        <v>29</v>
      </c>
      <c r="M2216" t="s">
        <v>29</v>
      </c>
      <c r="N2216" t="s">
        <v>29</v>
      </c>
      <c r="O2216" t="s">
        <v>29</v>
      </c>
      <c r="P2216" t="s">
        <v>29</v>
      </c>
      <c r="Q2216" t="s">
        <v>29</v>
      </c>
      <c r="R2216" t="s">
        <v>29</v>
      </c>
      <c r="S2216">
        <v>12.0234238422711</v>
      </c>
      <c r="T2216" t="s">
        <v>29</v>
      </c>
      <c r="U2216" t="s">
        <v>29</v>
      </c>
      <c r="V2216" t="s">
        <v>29</v>
      </c>
      <c r="W2216" t="s">
        <v>29</v>
      </c>
      <c r="X2216" t="s">
        <v>29</v>
      </c>
      <c r="Y2216" t="s">
        <v>29</v>
      </c>
    </row>
    <row r="2217" spans="1:25" x14ac:dyDescent="0.2">
      <c r="A2217" t="s">
        <v>8320</v>
      </c>
      <c r="B2217" t="s">
        <v>8321</v>
      </c>
      <c r="C2217" t="s">
        <v>8322</v>
      </c>
      <c r="D2217" t="s">
        <v>8323</v>
      </c>
      <c r="E2217" t="s">
        <v>8321</v>
      </c>
      <c r="F2217" t="s">
        <v>28</v>
      </c>
      <c r="G2217" t="s">
        <v>8321</v>
      </c>
      <c r="H2217" t="str">
        <f>"snx-17"</f>
        <v>snx-17</v>
      </c>
      <c r="I2217" t="s">
        <v>8323</v>
      </c>
      <c r="J2217">
        <v>11.322031025862501</v>
      </c>
      <c r="K2217">
        <v>11.5091986159043</v>
      </c>
      <c r="L2217">
        <v>11.4547738132819</v>
      </c>
      <c r="M2217">
        <v>10.755257152669399</v>
      </c>
      <c r="N2217">
        <v>10.925976181047499</v>
      </c>
      <c r="O2217">
        <v>10.8363391773391</v>
      </c>
      <c r="P2217">
        <v>-0.58947698133092397</v>
      </c>
      <c r="Q2217">
        <v>-1.0714218796883701</v>
      </c>
      <c r="R2217">
        <v>-0.10753208297348001</v>
      </c>
      <c r="S2217">
        <v>11.186699796914899</v>
      </c>
      <c r="T2217">
        <v>-2.6251937175982101</v>
      </c>
      <c r="U2217">
        <v>-3.92075514669071</v>
      </c>
      <c r="V2217">
        <v>2.0070712207624498E-2</v>
      </c>
      <c r="W2217">
        <v>0.28791090615075099</v>
      </c>
      <c r="X2217">
        <v>0</v>
      </c>
      <c r="Y2217">
        <v>0</v>
      </c>
    </row>
    <row r="2218" spans="1:25" x14ac:dyDescent="0.2">
      <c r="A2218" t="s">
        <v>8324</v>
      </c>
      <c r="B2218" t="s">
        <v>8325</v>
      </c>
      <c r="C2218" t="s">
        <v>8326</v>
      </c>
      <c r="D2218" t="s">
        <v>8327</v>
      </c>
      <c r="E2218" t="s">
        <v>8325</v>
      </c>
      <c r="F2218" t="s">
        <v>28</v>
      </c>
      <c r="G2218" t="s">
        <v>8325</v>
      </c>
      <c r="H2218" t="str">
        <f>"rpa-1"</f>
        <v>rpa-1</v>
      </c>
      <c r="I2218" t="s">
        <v>8327</v>
      </c>
      <c r="J2218">
        <v>13.548963344950099</v>
      </c>
      <c r="K2218">
        <v>13.475171362767901</v>
      </c>
      <c r="L2218">
        <v>13.5667628762468</v>
      </c>
      <c r="M2218">
        <v>13.1269155322115</v>
      </c>
      <c r="N2218">
        <v>13.5150723454956</v>
      </c>
      <c r="O2218">
        <v>13.582868095410101</v>
      </c>
      <c r="P2218">
        <v>-0.122013870282526</v>
      </c>
      <c r="Q2218">
        <v>-0.77092546156614195</v>
      </c>
      <c r="R2218">
        <v>0.52689772100109</v>
      </c>
      <c r="S2218">
        <v>13.8952013558903</v>
      </c>
      <c r="T2218">
        <v>-0.39519931617431497</v>
      </c>
      <c r="U2218">
        <v>-6.8012422131747003</v>
      </c>
      <c r="V2218">
        <v>0.69736701920251898</v>
      </c>
      <c r="W2218">
        <v>0.98642420921484297</v>
      </c>
      <c r="X2218">
        <v>0</v>
      </c>
      <c r="Y2218">
        <v>0</v>
      </c>
    </row>
    <row r="2219" spans="1:25" x14ac:dyDescent="0.2">
      <c r="A2219" t="s">
        <v>8328</v>
      </c>
      <c r="B2219" t="s">
        <v>8329</v>
      </c>
      <c r="C2219" t="s">
        <v>8330</v>
      </c>
      <c r="D2219" t="s">
        <v>8331</v>
      </c>
      <c r="E2219" t="s">
        <v>8329</v>
      </c>
      <c r="F2219" t="s">
        <v>28</v>
      </c>
      <c r="G2219" t="s">
        <v>8329</v>
      </c>
      <c r="H2219" t="str">
        <f>"utp-20"</f>
        <v>utp-20</v>
      </c>
      <c r="I2219" t="s">
        <v>8331</v>
      </c>
      <c r="J2219">
        <v>14.027525381921301</v>
      </c>
      <c r="K2219">
        <v>14.1687388170836</v>
      </c>
      <c r="L2219">
        <v>14.1123174667256</v>
      </c>
      <c r="M2219">
        <v>14.0576987017119</v>
      </c>
      <c r="N2219">
        <v>14.369079127244801</v>
      </c>
      <c r="O2219">
        <v>14.111434608921501</v>
      </c>
      <c r="P2219">
        <v>7.6543590715960605E-2</v>
      </c>
      <c r="Q2219">
        <v>-0.39962644356904498</v>
      </c>
      <c r="R2219">
        <v>0.55271362500096599</v>
      </c>
      <c r="S2219">
        <v>14.710733775799399</v>
      </c>
      <c r="T2219">
        <v>0.33786194907964101</v>
      </c>
      <c r="U2219">
        <v>-6.8230374261804698</v>
      </c>
      <c r="V2219">
        <v>0.73939836955772897</v>
      </c>
      <c r="W2219">
        <v>0.99147544347995398</v>
      </c>
      <c r="X2219">
        <v>0</v>
      </c>
      <c r="Y2219">
        <v>0</v>
      </c>
    </row>
    <row r="2220" spans="1:25" x14ac:dyDescent="0.2">
      <c r="A2220" t="s">
        <v>8332</v>
      </c>
      <c r="B2220" t="s">
        <v>8333</v>
      </c>
      <c r="C2220" t="s">
        <v>8334</v>
      </c>
      <c r="D2220" t="s">
        <v>1866</v>
      </c>
      <c r="E2220" t="s">
        <v>8333</v>
      </c>
      <c r="F2220" t="s">
        <v>28</v>
      </c>
      <c r="G2220" t="s">
        <v>8333</v>
      </c>
      <c r="H2220" t="str">
        <f>"abcf-1"</f>
        <v>abcf-1</v>
      </c>
      <c r="I2220" t="s">
        <v>1866</v>
      </c>
      <c r="J2220">
        <v>16.897460262417201</v>
      </c>
      <c r="K2220">
        <v>16.6769851823701</v>
      </c>
      <c r="L2220">
        <v>16.717603795869799</v>
      </c>
      <c r="M2220">
        <v>16.9334016138218</v>
      </c>
      <c r="N2220">
        <v>16.875496471273099</v>
      </c>
      <c r="O2220">
        <v>16.880133753324198</v>
      </c>
      <c r="P2220">
        <v>0.13232753258733601</v>
      </c>
      <c r="Q2220">
        <v>-0.206940030936792</v>
      </c>
      <c r="R2220">
        <v>0.471595096111464</v>
      </c>
      <c r="S2220">
        <v>16.2258630427655</v>
      </c>
      <c r="T2220">
        <v>0.81978579340602098</v>
      </c>
      <c r="U2220">
        <v>-6.5378446998937898</v>
      </c>
      <c r="V2220">
        <v>0.423123274503033</v>
      </c>
      <c r="W2220">
        <v>0.91512503332874395</v>
      </c>
      <c r="X2220">
        <v>0</v>
      </c>
      <c r="Y2220">
        <v>0</v>
      </c>
    </row>
    <row r="2221" spans="1:25" x14ac:dyDescent="0.2">
      <c r="A2221" t="s">
        <v>8335</v>
      </c>
      <c r="B2221" t="s">
        <v>8336</v>
      </c>
      <c r="C2221" t="s">
        <v>8337</v>
      </c>
      <c r="D2221" t="s">
        <v>8338</v>
      </c>
      <c r="E2221" t="s">
        <v>8336</v>
      </c>
      <c r="F2221" t="s">
        <v>28</v>
      </c>
      <c r="G2221" t="s">
        <v>8336</v>
      </c>
      <c r="H2221" t="str">
        <f>"scc-3"</f>
        <v>scc-3</v>
      </c>
      <c r="I2221" t="s">
        <v>8338</v>
      </c>
      <c r="J2221">
        <v>14.636446321447799</v>
      </c>
      <c r="K2221">
        <v>14.811046074231401</v>
      </c>
      <c r="L2221">
        <v>14.473170172781099</v>
      </c>
      <c r="M2221">
        <v>14.486899671460099</v>
      </c>
      <c r="N2221">
        <v>14.3112008554679</v>
      </c>
      <c r="O2221">
        <v>14.625877659364299</v>
      </c>
      <c r="P2221">
        <v>-0.16556146072269401</v>
      </c>
      <c r="Q2221">
        <v>-0.608100130820597</v>
      </c>
      <c r="R2221">
        <v>0.27697720937520898</v>
      </c>
      <c r="S2221">
        <v>14.776091042019299</v>
      </c>
      <c r="T2221">
        <v>-0.78632219831486005</v>
      </c>
      <c r="U2221">
        <v>-6.5649396849714403</v>
      </c>
      <c r="V2221">
        <v>0.44196766563395901</v>
      </c>
      <c r="W2221">
        <v>0.92006726233944303</v>
      </c>
      <c r="X2221">
        <v>0</v>
      </c>
      <c r="Y2221">
        <v>0</v>
      </c>
    </row>
    <row r="2222" spans="1:25" x14ac:dyDescent="0.2">
      <c r="A2222" t="s">
        <v>8339</v>
      </c>
      <c r="B2222" t="s">
        <v>8340</v>
      </c>
      <c r="C2222" t="s">
        <v>8341</v>
      </c>
      <c r="D2222" t="s">
        <v>8342</v>
      </c>
      <c r="E2222" t="s">
        <v>8340</v>
      </c>
      <c r="F2222" t="s">
        <v>28</v>
      </c>
      <c r="G2222" t="s">
        <v>8340</v>
      </c>
      <c r="H2222" t="str">
        <f>"ddo-2"</f>
        <v>ddo-2</v>
      </c>
      <c r="I2222" t="s">
        <v>8342</v>
      </c>
      <c r="J2222">
        <v>12.103474301589101</v>
      </c>
      <c r="K2222">
        <v>12.120614073504401</v>
      </c>
      <c r="L2222">
        <v>12.4083481422097</v>
      </c>
      <c r="M2222" t="s">
        <v>29</v>
      </c>
      <c r="N2222">
        <v>12.253388295400301</v>
      </c>
      <c r="O2222">
        <v>11.6118127819483</v>
      </c>
      <c r="P2222">
        <v>-0.27821163376008901</v>
      </c>
      <c r="Q2222">
        <v>-0.91536350659842602</v>
      </c>
      <c r="R2222">
        <v>0.35894023907824901</v>
      </c>
      <c r="S2222">
        <v>11.6877075893398</v>
      </c>
      <c r="T2222">
        <v>-0.937182597022019</v>
      </c>
      <c r="U2222">
        <v>-6.3217720647807303</v>
      </c>
      <c r="V2222">
        <v>0.36466932333941898</v>
      </c>
      <c r="W2222">
        <v>0.888292466632014</v>
      </c>
      <c r="X2222">
        <v>0</v>
      </c>
      <c r="Y2222">
        <v>0</v>
      </c>
    </row>
    <row r="2223" spans="1:25" x14ac:dyDescent="0.2">
      <c r="A2223" t="s">
        <v>8343</v>
      </c>
      <c r="B2223" t="s">
        <v>8344</v>
      </c>
      <c r="C2223" t="s">
        <v>8345</v>
      </c>
      <c r="D2223" t="s">
        <v>8346</v>
      </c>
      <c r="E2223" t="s">
        <v>8344</v>
      </c>
      <c r="F2223" t="s">
        <v>28</v>
      </c>
      <c r="G2223" t="s">
        <v>8344</v>
      </c>
      <c r="H2223" t="str">
        <f>"pab-2"</f>
        <v>pab-2</v>
      </c>
      <c r="I2223" t="s">
        <v>8346</v>
      </c>
      <c r="J2223">
        <v>16.571064901715001</v>
      </c>
      <c r="K2223">
        <v>16.913671039001301</v>
      </c>
      <c r="L2223">
        <v>17.219493651585999</v>
      </c>
      <c r="M2223">
        <v>16.7675917618451</v>
      </c>
      <c r="N2223">
        <v>17.146051243539599</v>
      </c>
      <c r="O2223">
        <v>16.8025327142321</v>
      </c>
      <c r="P2223">
        <v>3.98204243821354E-3</v>
      </c>
      <c r="Q2223">
        <v>-0.72334585664080797</v>
      </c>
      <c r="R2223">
        <v>0.73130994151723505</v>
      </c>
      <c r="S2223">
        <v>17.1780238999124</v>
      </c>
      <c r="T2223">
        <v>1.15071599703919E-2</v>
      </c>
      <c r="U2223">
        <v>-6.8824203882300097</v>
      </c>
      <c r="V2223">
        <v>0.99094613529883901</v>
      </c>
      <c r="W2223">
        <v>0.99968702248720698</v>
      </c>
      <c r="X2223">
        <v>0</v>
      </c>
      <c r="Y2223">
        <v>0</v>
      </c>
    </row>
    <row r="2224" spans="1:25" x14ac:dyDescent="0.2">
      <c r="A2224" t="s">
        <v>8347</v>
      </c>
      <c r="B2224" t="s">
        <v>8348</v>
      </c>
      <c r="C2224" t="s">
        <v>8349</v>
      </c>
      <c r="D2224" t="s">
        <v>8350</v>
      </c>
      <c r="E2224" t="s">
        <v>8348</v>
      </c>
      <c r="F2224" t="s">
        <v>28</v>
      </c>
      <c r="G2224" t="s">
        <v>8348</v>
      </c>
      <c r="H2224" t="str">
        <f>"tofu-2"</f>
        <v>tofu-2</v>
      </c>
      <c r="I2224" t="s">
        <v>8350</v>
      </c>
      <c r="J2224">
        <v>12.3676744728005</v>
      </c>
      <c r="K2224" t="s">
        <v>29</v>
      </c>
      <c r="L2224" t="s">
        <v>29</v>
      </c>
      <c r="M2224" t="s">
        <v>29</v>
      </c>
      <c r="N2224" t="s">
        <v>29</v>
      </c>
      <c r="O2224" t="s">
        <v>29</v>
      </c>
      <c r="P2224" t="s">
        <v>29</v>
      </c>
      <c r="Q2224" t="s">
        <v>29</v>
      </c>
      <c r="R2224" t="s">
        <v>29</v>
      </c>
      <c r="S2224">
        <v>13.1429938789032</v>
      </c>
      <c r="T2224" t="s">
        <v>29</v>
      </c>
      <c r="U2224" t="s">
        <v>29</v>
      </c>
      <c r="V2224" t="s">
        <v>29</v>
      </c>
      <c r="W2224" t="s">
        <v>29</v>
      </c>
      <c r="X2224" t="s">
        <v>29</v>
      </c>
      <c r="Y2224" t="s">
        <v>29</v>
      </c>
    </row>
    <row r="2225" spans="1:25" x14ac:dyDescent="0.2">
      <c r="A2225" t="s">
        <v>8351</v>
      </c>
      <c r="B2225" t="s">
        <v>8352</v>
      </c>
      <c r="C2225" t="s">
        <v>8353</v>
      </c>
      <c r="D2225" t="s">
        <v>8354</v>
      </c>
      <c r="E2225" t="s">
        <v>8352</v>
      </c>
      <c r="F2225" t="s">
        <v>28</v>
      </c>
      <c r="G2225" t="s">
        <v>8352</v>
      </c>
      <c r="H2225" t="str">
        <f>"vha-12"</f>
        <v>vha-12</v>
      </c>
      <c r="I2225" t="s">
        <v>8354</v>
      </c>
      <c r="J2225">
        <v>14.7498243439261</v>
      </c>
      <c r="K2225">
        <v>14.7225572743531</v>
      </c>
      <c r="L2225">
        <v>14.951628725478001</v>
      </c>
      <c r="M2225">
        <v>15.510402411044801</v>
      </c>
      <c r="N2225">
        <v>15.234355676536101</v>
      </c>
      <c r="O2225">
        <v>15.494409056555799</v>
      </c>
      <c r="P2225">
        <v>0.60505226679318203</v>
      </c>
      <c r="Q2225">
        <v>0.118975184399808</v>
      </c>
      <c r="R2225">
        <v>1.0911293491865599</v>
      </c>
      <c r="S2225">
        <v>15.472851874608599</v>
      </c>
      <c r="T2225">
        <v>2.6162561370368702</v>
      </c>
      <c r="U2225">
        <v>-3.85970067263312</v>
      </c>
      <c r="V2225">
        <v>1.7547392264105899E-2</v>
      </c>
      <c r="W2225">
        <v>0.26787945621534098</v>
      </c>
      <c r="X2225">
        <v>0</v>
      </c>
      <c r="Y2225">
        <v>0</v>
      </c>
    </row>
    <row r="2226" spans="1:25" x14ac:dyDescent="0.2">
      <c r="A2226" t="s">
        <v>8355</v>
      </c>
      <c r="B2226" t="s">
        <v>8356</v>
      </c>
      <c r="C2226" t="s">
        <v>8357</v>
      </c>
      <c r="D2226" t="s">
        <v>8358</v>
      </c>
      <c r="E2226" t="s">
        <v>8356</v>
      </c>
      <c r="F2226" t="s">
        <v>28</v>
      </c>
      <c r="G2226" t="s">
        <v>8356</v>
      </c>
      <c r="H2226" t="str">
        <f>"czw-1"</f>
        <v>czw-1</v>
      </c>
      <c r="I2226" t="s">
        <v>8358</v>
      </c>
      <c r="J2226">
        <v>13.887751776217399</v>
      </c>
      <c r="K2226">
        <v>13.907398466590999</v>
      </c>
      <c r="L2226">
        <v>13.848803057645901</v>
      </c>
      <c r="M2226">
        <v>14.8734953701648</v>
      </c>
      <c r="N2226">
        <v>14.8829862413287</v>
      </c>
      <c r="O2226">
        <v>14.847514727285599</v>
      </c>
      <c r="P2226">
        <v>0.98668101277493603</v>
      </c>
      <c r="Q2226">
        <v>0.46251696179810597</v>
      </c>
      <c r="R2226">
        <v>1.5108450637517701</v>
      </c>
      <c r="S2226">
        <v>14.8877173074267</v>
      </c>
      <c r="T2226">
        <v>3.95641693271789</v>
      </c>
      <c r="U2226">
        <v>-1.0298932092751001</v>
      </c>
      <c r="V2226">
        <v>9.3453334151261504E-4</v>
      </c>
      <c r="W2226">
        <v>2.9620256767180799E-2</v>
      </c>
      <c r="X2226">
        <v>0</v>
      </c>
      <c r="Y2226">
        <v>0</v>
      </c>
    </row>
    <row r="2227" spans="1:25" x14ac:dyDescent="0.2">
      <c r="A2227" t="s">
        <v>8359</v>
      </c>
      <c r="B2227" t="s">
        <v>8360</v>
      </c>
      <c r="C2227" t="s">
        <v>14451</v>
      </c>
      <c r="D2227" t="s">
        <v>8361</v>
      </c>
      <c r="E2227" t="s">
        <v>8360</v>
      </c>
      <c r="F2227" t="s">
        <v>28</v>
      </c>
      <c r="G2227" t="s">
        <v>8360</v>
      </c>
      <c r="H2227" t="str">
        <f>"F20D6.6"</f>
        <v>F20D6.6</v>
      </c>
      <c r="I2227" t="s">
        <v>8361</v>
      </c>
      <c r="J2227">
        <v>12.1492482125441</v>
      </c>
      <c r="K2227" t="s">
        <v>29</v>
      </c>
      <c r="L2227">
        <v>12.2745950446779</v>
      </c>
      <c r="M2227">
        <v>12.909852328343501</v>
      </c>
      <c r="N2227">
        <v>12.3525583081843</v>
      </c>
      <c r="O2227">
        <v>12.4614906277437</v>
      </c>
      <c r="P2227">
        <v>0.36271212614618198</v>
      </c>
      <c r="Q2227">
        <v>-0.59628057586193595</v>
      </c>
      <c r="R2227">
        <v>1.3217048281543</v>
      </c>
      <c r="S2227">
        <v>12.2922569268621</v>
      </c>
      <c r="T2227">
        <v>0.82488192135696203</v>
      </c>
      <c r="U2227">
        <v>-6.41828988726175</v>
      </c>
      <c r="V2227">
        <v>0.42567173607777697</v>
      </c>
      <c r="W2227">
        <v>0.91512503332874395</v>
      </c>
      <c r="X2227">
        <v>0</v>
      </c>
      <c r="Y2227">
        <v>0</v>
      </c>
    </row>
    <row r="2228" spans="1:25" x14ac:dyDescent="0.2">
      <c r="A2228" t="s">
        <v>8362</v>
      </c>
      <c r="B2228" t="s">
        <v>8363</v>
      </c>
      <c r="C2228" t="s">
        <v>14452</v>
      </c>
      <c r="D2228" t="s">
        <v>531</v>
      </c>
      <c r="E2228" t="s">
        <v>8363</v>
      </c>
      <c r="F2228" t="s">
        <v>28</v>
      </c>
      <c r="G2228" t="s">
        <v>8363</v>
      </c>
      <c r="H2228" t="str">
        <f>"F21C10.9"</f>
        <v>F21C10.9</v>
      </c>
      <c r="I2228" t="s">
        <v>531</v>
      </c>
      <c r="J2228">
        <v>14.714428053293901</v>
      </c>
      <c r="K2228">
        <v>14.5677453834713</v>
      </c>
      <c r="L2228">
        <v>14.474898536895999</v>
      </c>
      <c r="M2228">
        <v>15.015520205498801</v>
      </c>
      <c r="N2228">
        <v>15.125719007278899</v>
      </c>
      <c r="O2228">
        <v>14.870136180081399</v>
      </c>
      <c r="P2228">
        <v>0.41810113973270402</v>
      </c>
      <c r="Q2228">
        <v>-1.52349237634296E-2</v>
      </c>
      <c r="R2228">
        <v>0.85143720322883698</v>
      </c>
      <c r="S2228">
        <v>14.769861959736099</v>
      </c>
      <c r="T2228">
        <v>2.02791165284561</v>
      </c>
      <c r="U2228">
        <v>-4.9505483396849703</v>
      </c>
      <c r="V2228">
        <v>5.77250685347468E-2</v>
      </c>
      <c r="W2228">
        <v>0.51642211850440201</v>
      </c>
      <c r="X2228">
        <v>0</v>
      </c>
      <c r="Y2228">
        <v>0</v>
      </c>
    </row>
    <row r="2229" spans="1:25" x14ac:dyDescent="0.2">
      <c r="A2229" t="s">
        <v>8364</v>
      </c>
      <c r="B2229" t="s">
        <v>8365</v>
      </c>
      <c r="C2229" t="s">
        <v>14453</v>
      </c>
      <c r="D2229" t="s">
        <v>1151</v>
      </c>
      <c r="E2229" t="s">
        <v>8365</v>
      </c>
      <c r="F2229" t="s">
        <v>28</v>
      </c>
      <c r="G2229" t="s">
        <v>8365</v>
      </c>
      <c r="H2229" t="str">
        <f>"F21C10.7"</f>
        <v>F21C10.7</v>
      </c>
      <c r="I2229" t="s">
        <v>1151</v>
      </c>
      <c r="J2229" t="s">
        <v>29</v>
      </c>
      <c r="K2229">
        <v>13.0801951953583</v>
      </c>
      <c r="L2229">
        <v>12.883446810174901</v>
      </c>
      <c r="M2229" t="s">
        <v>29</v>
      </c>
      <c r="N2229">
        <v>12.514495234903199</v>
      </c>
      <c r="O2229">
        <v>12.4181642472404</v>
      </c>
      <c r="P2229">
        <v>-0.51549126169484305</v>
      </c>
      <c r="Q2229">
        <v>-1.72898685106606</v>
      </c>
      <c r="R2229">
        <v>0.69800432767637199</v>
      </c>
      <c r="S2229">
        <v>13.0644754370255</v>
      </c>
      <c r="T2229">
        <v>-0.90599272727336699</v>
      </c>
      <c r="U2229">
        <v>-6.2627392868355001</v>
      </c>
      <c r="V2229">
        <v>0.37936231734750803</v>
      </c>
      <c r="W2229">
        <v>0.89676491877082198</v>
      </c>
      <c r="X2229">
        <v>0</v>
      </c>
      <c r="Y2229">
        <v>0</v>
      </c>
    </row>
    <row r="2230" spans="1:25" x14ac:dyDescent="0.2">
      <c r="A2230" t="s">
        <v>8366</v>
      </c>
      <c r="B2230" t="s">
        <v>8367</v>
      </c>
      <c r="C2230" t="s">
        <v>8368</v>
      </c>
      <c r="D2230" t="s">
        <v>828</v>
      </c>
      <c r="E2230" t="s">
        <v>8367</v>
      </c>
      <c r="F2230" t="s">
        <v>28</v>
      </c>
      <c r="G2230" t="s">
        <v>8367</v>
      </c>
      <c r="H2230" t="str">
        <f>"rde-2"</f>
        <v>rde-2</v>
      </c>
      <c r="I2230" t="s">
        <v>828</v>
      </c>
      <c r="J2230">
        <v>11.083662298668401</v>
      </c>
      <c r="K2230">
        <v>11.915766748818299</v>
      </c>
      <c r="L2230">
        <v>12.020893987660299</v>
      </c>
      <c r="M2230" t="s">
        <v>29</v>
      </c>
      <c r="N2230">
        <v>12.407244556903001</v>
      </c>
      <c r="O2230">
        <v>12.0627239913065</v>
      </c>
      <c r="P2230">
        <v>0.56154326238909202</v>
      </c>
      <c r="Q2230">
        <v>-0.17469617080969899</v>
      </c>
      <c r="R2230">
        <v>1.29778269558788</v>
      </c>
      <c r="S2230">
        <v>12.250988095729999</v>
      </c>
      <c r="T2230">
        <v>1.6266935773317199</v>
      </c>
      <c r="U2230">
        <v>-5.4907326493734896</v>
      </c>
      <c r="V2230">
        <v>0.124766561289091</v>
      </c>
      <c r="W2230">
        <v>0.71501358698732898</v>
      </c>
      <c r="X2230">
        <v>0</v>
      </c>
      <c r="Y2230">
        <v>0</v>
      </c>
    </row>
    <row r="2231" spans="1:25" x14ac:dyDescent="0.2">
      <c r="A2231" t="s">
        <v>8369</v>
      </c>
      <c r="B2231" t="s">
        <v>8370</v>
      </c>
      <c r="C2231" t="s">
        <v>14454</v>
      </c>
      <c r="D2231" t="s">
        <v>8371</v>
      </c>
      <c r="E2231" t="s">
        <v>8370</v>
      </c>
      <c r="F2231" t="s">
        <v>28</v>
      </c>
      <c r="G2231" t="s">
        <v>8370</v>
      </c>
      <c r="H2231" t="str">
        <f>"F21D5.1"</f>
        <v>F21D5.1</v>
      </c>
      <c r="I2231" t="s">
        <v>8371</v>
      </c>
      <c r="J2231">
        <v>14.255795125286999</v>
      </c>
      <c r="K2231">
        <v>14.0057338381118</v>
      </c>
      <c r="L2231">
        <v>14.191117283340301</v>
      </c>
      <c r="M2231">
        <v>14.0304886888451</v>
      </c>
      <c r="N2231">
        <v>14.4362600071549</v>
      </c>
      <c r="O2231">
        <v>14.4339526446312</v>
      </c>
      <c r="P2231">
        <v>0.149351697963997</v>
      </c>
      <c r="Q2231">
        <v>-0.30946527073526298</v>
      </c>
      <c r="R2231">
        <v>0.60816866666325697</v>
      </c>
      <c r="S2231">
        <v>14.289512905251099</v>
      </c>
      <c r="T2231">
        <v>0.68416870706566002</v>
      </c>
      <c r="U2231">
        <v>-6.6410914894751496</v>
      </c>
      <c r="V2231">
        <v>0.50263333666596099</v>
      </c>
      <c r="W2231">
        <v>0.94062983959761604</v>
      </c>
      <c r="X2231">
        <v>0</v>
      </c>
      <c r="Y2231">
        <v>0</v>
      </c>
    </row>
    <row r="2232" spans="1:25" x14ac:dyDescent="0.2">
      <c r="A2232" t="s">
        <v>8372</v>
      </c>
      <c r="B2232" t="s">
        <v>8373</v>
      </c>
      <c r="C2232" t="s">
        <v>8374</v>
      </c>
      <c r="D2232" t="s">
        <v>8375</v>
      </c>
      <c r="E2232" t="s">
        <v>8373</v>
      </c>
      <c r="F2232" t="s">
        <v>28</v>
      </c>
      <c r="G2232" t="s">
        <v>8373</v>
      </c>
      <c r="H2232" t="str">
        <f>"F21D5.5"</f>
        <v>F21D5.5</v>
      </c>
      <c r="I2232" t="s">
        <v>8375</v>
      </c>
      <c r="J2232" t="s">
        <v>29</v>
      </c>
      <c r="K2232" t="s">
        <v>29</v>
      </c>
      <c r="L2232">
        <v>12.3651638819879</v>
      </c>
      <c r="M2232" t="s">
        <v>29</v>
      </c>
      <c r="N2232" t="s">
        <v>29</v>
      </c>
      <c r="O2232" t="s">
        <v>29</v>
      </c>
      <c r="P2232" t="s">
        <v>29</v>
      </c>
      <c r="Q2232" t="s">
        <v>29</v>
      </c>
      <c r="R2232" t="s">
        <v>29</v>
      </c>
      <c r="S2232">
        <v>13.054980623754901</v>
      </c>
      <c r="T2232" t="s">
        <v>29</v>
      </c>
      <c r="U2232" t="s">
        <v>29</v>
      </c>
      <c r="V2232" t="s">
        <v>29</v>
      </c>
      <c r="W2232" t="s">
        <v>29</v>
      </c>
      <c r="X2232" t="s">
        <v>29</v>
      </c>
      <c r="Y2232" t="s">
        <v>29</v>
      </c>
    </row>
    <row r="2233" spans="1:25" x14ac:dyDescent="0.2">
      <c r="A2233" t="s">
        <v>8376</v>
      </c>
      <c r="B2233" t="s">
        <v>8377</v>
      </c>
      <c r="C2233" t="s">
        <v>8378</v>
      </c>
      <c r="D2233" t="s">
        <v>8116</v>
      </c>
      <c r="E2233" t="s">
        <v>8377</v>
      </c>
      <c r="F2233" t="s">
        <v>28</v>
      </c>
      <c r="G2233" t="s">
        <v>8377</v>
      </c>
      <c r="H2233" t="str">
        <f>"gfat-2"</f>
        <v>gfat-2</v>
      </c>
      <c r="I2233" t="s">
        <v>8116</v>
      </c>
      <c r="J2233">
        <v>14.944307426778201</v>
      </c>
      <c r="K2233">
        <v>14.6574824334519</v>
      </c>
      <c r="L2233">
        <v>15.1048761995965</v>
      </c>
      <c r="M2233">
        <v>15.208446290048901</v>
      </c>
      <c r="N2233">
        <v>15.315630206991299</v>
      </c>
      <c r="O2233">
        <v>14.995149552330799</v>
      </c>
      <c r="P2233">
        <v>0.27085332984814398</v>
      </c>
      <c r="Q2233">
        <v>-0.311587298356715</v>
      </c>
      <c r="R2233">
        <v>0.85329395805300301</v>
      </c>
      <c r="S2233">
        <v>15.1563603087071</v>
      </c>
      <c r="T2233">
        <v>0.97740606744156899</v>
      </c>
      <c r="U2233">
        <v>-6.3963355191903197</v>
      </c>
      <c r="V2233">
        <v>0.341397400043638</v>
      </c>
      <c r="W2233">
        <v>0.876350511665964</v>
      </c>
      <c r="X2233">
        <v>0</v>
      </c>
      <c r="Y2233">
        <v>0</v>
      </c>
    </row>
    <row r="2234" spans="1:25" x14ac:dyDescent="0.2">
      <c r="A2234" t="s">
        <v>8379</v>
      </c>
      <c r="B2234" t="s">
        <v>8380</v>
      </c>
      <c r="C2234" t="s">
        <v>8381</v>
      </c>
      <c r="D2234" t="s">
        <v>8382</v>
      </c>
      <c r="E2234" t="s">
        <v>8380</v>
      </c>
      <c r="F2234" t="s">
        <v>28</v>
      </c>
      <c r="G2234" t="s">
        <v>8380</v>
      </c>
      <c r="H2234" t="str">
        <f>"eif-3.G"</f>
        <v>eif-3.G</v>
      </c>
      <c r="I2234" t="s">
        <v>8382</v>
      </c>
      <c r="J2234">
        <v>17.396665569181099</v>
      </c>
      <c r="K2234">
        <v>17.5316416280826</v>
      </c>
      <c r="L2234">
        <v>17.518639176784401</v>
      </c>
      <c r="M2234">
        <v>17.4349388935841</v>
      </c>
      <c r="N2234">
        <v>17.5443447472563</v>
      </c>
      <c r="O2234">
        <v>17.4972393244324</v>
      </c>
      <c r="P2234">
        <v>9.8588637415701896E-3</v>
      </c>
      <c r="Q2234">
        <v>-0.39329593157024301</v>
      </c>
      <c r="R2234">
        <v>0.413013659053383</v>
      </c>
      <c r="S2234">
        <v>17.483970142122999</v>
      </c>
      <c r="T2234">
        <v>5.1398157113045698E-2</v>
      </c>
      <c r="U2234">
        <v>-6.8811093571692901</v>
      </c>
      <c r="V2234">
        <v>0.95957764047915295</v>
      </c>
      <c r="W2234">
        <v>0.99968702248720698</v>
      </c>
      <c r="X2234">
        <v>0</v>
      </c>
      <c r="Y2234">
        <v>0</v>
      </c>
    </row>
    <row r="2235" spans="1:25" x14ac:dyDescent="0.2">
      <c r="A2235" t="s">
        <v>8383</v>
      </c>
      <c r="B2235" t="s">
        <v>8384</v>
      </c>
      <c r="C2235" t="s">
        <v>8385</v>
      </c>
      <c r="D2235" t="s">
        <v>8386</v>
      </c>
      <c r="E2235" t="s">
        <v>8384</v>
      </c>
      <c r="F2235" t="s">
        <v>28</v>
      </c>
      <c r="G2235" t="s">
        <v>8384</v>
      </c>
      <c r="H2235" t="str">
        <f>"fars-3"</f>
        <v>fars-3</v>
      </c>
      <c r="I2235" t="s">
        <v>8386</v>
      </c>
      <c r="J2235">
        <v>16.976881104194302</v>
      </c>
      <c r="K2235">
        <v>16.789122203746</v>
      </c>
      <c r="L2235">
        <v>17.028130419739401</v>
      </c>
      <c r="M2235">
        <v>17.153841434478402</v>
      </c>
      <c r="N2235">
        <v>17.349214563294499</v>
      </c>
      <c r="O2235">
        <v>17.123070119323099</v>
      </c>
      <c r="P2235">
        <v>0.27733079647210301</v>
      </c>
      <c r="Q2235">
        <v>-9.27084769507759E-2</v>
      </c>
      <c r="R2235">
        <v>0.64737006989498302</v>
      </c>
      <c r="S2235">
        <v>16.8359435039511</v>
      </c>
      <c r="T2235">
        <v>1.5752257136686101</v>
      </c>
      <c r="U2235">
        <v>-5.6691995034758103</v>
      </c>
      <c r="V2235">
        <v>0.132717698065736</v>
      </c>
      <c r="W2235">
        <v>0.72220290264032605</v>
      </c>
      <c r="X2235">
        <v>0</v>
      </c>
      <c r="Y2235">
        <v>0</v>
      </c>
    </row>
    <row r="2236" spans="1:25" x14ac:dyDescent="0.2">
      <c r="A2236" t="s">
        <v>8387</v>
      </c>
      <c r="B2236" t="s">
        <v>8388</v>
      </c>
      <c r="C2236" t="s">
        <v>8389</v>
      </c>
      <c r="D2236" t="s">
        <v>8390</v>
      </c>
      <c r="E2236" t="s">
        <v>8388</v>
      </c>
      <c r="F2236" t="s">
        <v>28</v>
      </c>
      <c r="G2236" t="s">
        <v>8388</v>
      </c>
      <c r="H2236" t="str">
        <f>"F22B5.10"</f>
        <v>F22B5.10</v>
      </c>
      <c r="I2236" t="s">
        <v>8390</v>
      </c>
      <c r="J2236">
        <v>17.055074734464402</v>
      </c>
      <c r="K2236">
        <v>17.240210872717</v>
      </c>
      <c r="L2236">
        <v>17.112081020131502</v>
      </c>
      <c r="M2236">
        <v>16.936250139753</v>
      </c>
      <c r="N2236">
        <v>16.801109730303899</v>
      </c>
      <c r="O2236">
        <v>16.9476294395167</v>
      </c>
      <c r="P2236">
        <v>-0.24079243924645899</v>
      </c>
      <c r="Q2236">
        <v>-0.75441215910953296</v>
      </c>
      <c r="R2236">
        <v>0.27282728061661599</v>
      </c>
      <c r="S2236">
        <v>16.863835127374202</v>
      </c>
      <c r="T2236">
        <v>-0.98535714412897901</v>
      </c>
      <c r="U2236">
        <v>-6.3886021101713801</v>
      </c>
      <c r="V2236">
        <v>0.337584847020998</v>
      </c>
      <c r="W2236">
        <v>0.87368774661315896</v>
      </c>
      <c r="X2236">
        <v>0</v>
      </c>
      <c r="Y2236">
        <v>0</v>
      </c>
    </row>
    <row r="2237" spans="1:25" x14ac:dyDescent="0.2">
      <c r="A2237" t="s">
        <v>8391</v>
      </c>
      <c r="B2237" t="s">
        <v>8392</v>
      </c>
      <c r="C2237" t="s">
        <v>8393</v>
      </c>
      <c r="D2237" t="s">
        <v>8394</v>
      </c>
      <c r="E2237" t="s">
        <v>8392</v>
      </c>
      <c r="F2237" t="s">
        <v>28</v>
      </c>
      <c r="G2237" t="s">
        <v>8392</v>
      </c>
      <c r="H2237" t="str">
        <f>"nars-1"</f>
        <v>nars-1</v>
      </c>
      <c r="I2237" t="s">
        <v>8394</v>
      </c>
      <c r="J2237">
        <v>17.2214720535247</v>
      </c>
      <c r="K2237">
        <v>16.9044466176233</v>
      </c>
      <c r="L2237">
        <v>16.912218944554599</v>
      </c>
      <c r="M2237">
        <v>17.2068960442333</v>
      </c>
      <c r="N2237">
        <v>17.037600540884</v>
      </c>
      <c r="O2237">
        <v>16.8214993528428</v>
      </c>
      <c r="P2237">
        <v>9.2861074191503707E-3</v>
      </c>
      <c r="Q2237">
        <v>-0.38967889630503599</v>
      </c>
      <c r="R2237">
        <v>0.40825111114333701</v>
      </c>
      <c r="S2237">
        <v>16.670764040940298</v>
      </c>
      <c r="T2237">
        <v>4.8920559372453001E-2</v>
      </c>
      <c r="U2237">
        <v>-6.8812392053239204</v>
      </c>
      <c r="V2237">
        <v>0.96152447852851897</v>
      </c>
      <c r="W2237">
        <v>0.99968702248720698</v>
      </c>
      <c r="X2237">
        <v>0</v>
      </c>
      <c r="Y2237">
        <v>0</v>
      </c>
    </row>
    <row r="2238" spans="1:25" x14ac:dyDescent="0.2">
      <c r="A2238" t="s">
        <v>8395</v>
      </c>
      <c r="B2238" t="s">
        <v>8396</v>
      </c>
      <c r="C2238" t="s">
        <v>8397</v>
      </c>
      <c r="D2238" t="s">
        <v>8398</v>
      </c>
      <c r="E2238" t="s">
        <v>8396</v>
      </c>
      <c r="F2238" t="s">
        <v>28</v>
      </c>
      <c r="G2238" t="s">
        <v>8396</v>
      </c>
      <c r="H2238" t="str">
        <f>"prpf-4"</f>
        <v>prpf-4</v>
      </c>
      <c r="I2238" t="s">
        <v>8398</v>
      </c>
      <c r="J2238">
        <v>13.879435377317099</v>
      </c>
      <c r="K2238">
        <v>14.0415893622057</v>
      </c>
      <c r="L2238">
        <v>14.405570790073799</v>
      </c>
      <c r="M2238">
        <v>14.433982932949201</v>
      </c>
      <c r="N2238">
        <v>14.563901592307801</v>
      </c>
      <c r="O2238">
        <v>14.3371795951166</v>
      </c>
      <c r="P2238">
        <v>0.33615619692570298</v>
      </c>
      <c r="Q2238">
        <v>-0.35289612051192698</v>
      </c>
      <c r="R2238">
        <v>1.02520851436333</v>
      </c>
      <c r="S2238">
        <v>14.105158587720201</v>
      </c>
      <c r="T2238">
        <v>1.0297669215710801</v>
      </c>
      <c r="U2238">
        <v>-6.34360445850385</v>
      </c>
      <c r="V2238">
        <v>0.31763701161043101</v>
      </c>
      <c r="W2238">
        <v>0.86534615141322802</v>
      </c>
      <c r="X2238">
        <v>0</v>
      </c>
      <c r="Y2238">
        <v>0</v>
      </c>
    </row>
    <row r="2239" spans="1:25" x14ac:dyDescent="0.2">
      <c r="A2239" t="s">
        <v>8399</v>
      </c>
      <c r="B2239" t="s">
        <v>8400</v>
      </c>
      <c r="C2239" t="s">
        <v>8401</v>
      </c>
      <c r="D2239" t="s">
        <v>8293</v>
      </c>
      <c r="E2239" t="s">
        <v>8400</v>
      </c>
      <c r="F2239" t="s">
        <v>28</v>
      </c>
      <c r="G2239" t="s">
        <v>8400</v>
      </c>
      <c r="H2239" t="str">
        <f>"ekl-1"</f>
        <v>ekl-1</v>
      </c>
      <c r="I2239" t="s">
        <v>8293</v>
      </c>
      <c r="J2239">
        <v>11.7062673929944</v>
      </c>
      <c r="K2239">
        <v>11.9044890306486</v>
      </c>
      <c r="L2239">
        <v>11.824680702812</v>
      </c>
      <c r="M2239">
        <v>12.552802083925201</v>
      </c>
      <c r="N2239">
        <v>13.105588257323801</v>
      </c>
      <c r="O2239">
        <v>12.796751884211799</v>
      </c>
      <c r="P2239">
        <v>1.00656836633529</v>
      </c>
      <c r="Q2239">
        <v>0.41485666826603901</v>
      </c>
      <c r="R2239">
        <v>1.5982800644045501</v>
      </c>
      <c r="S2239">
        <v>13.342610149041599</v>
      </c>
      <c r="T2239">
        <v>3.5907331853159299</v>
      </c>
      <c r="U2239">
        <v>-1.87847429536885</v>
      </c>
      <c r="V2239">
        <v>2.2725463868436E-3</v>
      </c>
      <c r="W2239">
        <v>6.0504275003324101E-2</v>
      </c>
      <c r="X2239">
        <v>1</v>
      </c>
      <c r="Y2239">
        <v>0</v>
      </c>
    </row>
    <row r="2240" spans="1:25" x14ac:dyDescent="0.2">
      <c r="A2240" t="s">
        <v>8402</v>
      </c>
      <c r="B2240" t="s">
        <v>8403</v>
      </c>
      <c r="C2240" t="s">
        <v>8404</v>
      </c>
      <c r="D2240" t="s">
        <v>8405</v>
      </c>
      <c r="E2240" t="s">
        <v>8403</v>
      </c>
      <c r="F2240" t="s">
        <v>28</v>
      </c>
      <c r="G2240" t="s">
        <v>8403</v>
      </c>
      <c r="H2240" t="str">
        <f>"hil-3"</f>
        <v>hil-3</v>
      </c>
      <c r="I2240" t="s">
        <v>8405</v>
      </c>
      <c r="J2240">
        <v>13.4250853190703</v>
      </c>
      <c r="K2240">
        <v>14.223307977350199</v>
      </c>
      <c r="L2240">
        <v>13.839870461746299</v>
      </c>
      <c r="M2240">
        <v>12.916185539545101</v>
      </c>
      <c r="N2240" t="s">
        <v>29</v>
      </c>
      <c r="O2240">
        <v>13.4395656236993</v>
      </c>
      <c r="P2240">
        <v>-0.65154567110008099</v>
      </c>
      <c r="Q2240">
        <v>-1.8948178101556901</v>
      </c>
      <c r="R2240">
        <v>0.59172646795553197</v>
      </c>
      <c r="S2240">
        <v>13.3147583623233</v>
      </c>
      <c r="T2240">
        <v>-1.1330939132168201</v>
      </c>
      <c r="U2240">
        <v>-6.1216651225467897</v>
      </c>
      <c r="V2240">
        <v>0.27780327508606101</v>
      </c>
      <c r="W2240">
        <v>0.856190392347986</v>
      </c>
      <c r="X2240">
        <v>0</v>
      </c>
      <c r="Y2240">
        <v>0</v>
      </c>
    </row>
    <row r="2241" spans="1:25" x14ac:dyDescent="0.2">
      <c r="A2241" t="s">
        <v>8406</v>
      </c>
      <c r="B2241" t="s">
        <v>8407</v>
      </c>
      <c r="C2241" t="s">
        <v>8408</v>
      </c>
      <c r="D2241" t="s">
        <v>8409</v>
      </c>
      <c r="E2241" t="s">
        <v>8407</v>
      </c>
      <c r="F2241" t="s">
        <v>28</v>
      </c>
      <c r="G2241" t="s">
        <v>8407</v>
      </c>
      <c r="H2241" t="str">
        <f>"inx-3"</f>
        <v>inx-3</v>
      </c>
      <c r="I2241" t="s">
        <v>8409</v>
      </c>
      <c r="J2241" t="s">
        <v>29</v>
      </c>
      <c r="K2241">
        <v>10.052753544091001</v>
      </c>
      <c r="L2241">
        <v>11.138580239153301</v>
      </c>
      <c r="M2241" t="s">
        <v>29</v>
      </c>
      <c r="N2241">
        <v>10.458849500307201</v>
      </c>
      <c r="O2241">
        <v>10.765506828542099</v>
      </c>
      <c r="P2241">
        <v>1.65112728025321E-2</v>
      </c>
      <c r="Q2241">
        <v>-1.0361944948611801</v>
      </c>
      <c r="R2241">
        <v>1.06921704046625</v>
      </c>
      <c r="S2241">
        <v>11.383620538674901</v>
      </c>
      <c r="T2241">
        <v>3.3912577167403597E-2</v>
      </c>
      <c r="U2241">
        <v>-6.6817175825729098</v>
      </c>
      <c r="V2241">
        <v>0.97346618080551806</v>
      </c>
      <c r="W2241">
        <v>0.99968702248720698</v>
      </c>
      <c r="X2241">
        <v>0</v>
      </c>
      <c r="Y2241">
        <v>0</v>
      </c>
    </row>
    <row r="2242" spans="1:25" x14ac:dyDescent="0.2">
      <c r="A2242" t="s">
        <v>8410</v>
      </c>
      <c r="B2242" t="s">
        <v>8411</v>
      </c>
      <c r="C2242" t="s">
        <v>8412</v>
      </c>
      <c r="D2242" t="s">
        <v>8413</v>
      </c>
      <c r="E2242" t="s">
        <v>8411</v>
      </c>
      <c r="F2242" t="s">
        <v>28</v>
      </c>
      <c r="G2242" t="s">
        <v>8411</v>
      </c>
      <c r="H2242" t="str">
        <f>"dlat-1"</f>
        <v>dlat-1</v>
      </c>
      <c r="I2242" t="s">
        <v>8413</v>
      </c>
      <c r="J2242">
        <v>13.243757569248499</v>
      </c>
      <c r="K2242">
        <v>13.1765946294038</v>
      </c>
      <c r="L2242">
        <v>13.085204652761201</v>
      </c>
      <c r="M2242">
        <v>13.209076571489801</v>
      </c>
      <c r="N2242">
        <v>12.987852607933799</v>
      </c>
      <c r="O2242">
        <v>13.2513422362894</v>
      </c>
      <c r="P2242">
        <v>-1.9095145233489302E-2</v>
      </c>
      <c r="Q2242">
        <v>-0.52948465470369199</v>
      </c>
      <c r="R2242">
        <v>0.49129436423671402</v>
      </c>
      <c r="S2242">
        <v>13.114267194074699</v>
      </c>
      <c r="T2242">
        <v>-7.8634610454578494E-2</v>
      </c>
      <c r="U2242">
        <v>-6.87925932226082</v>
      </c>
      <c r="V2242">
        <v>0.93819588620364602</v>
      </c>
      <c r="W2242">
        <v>0.99926809132575301</v>
      </c>
      <c r="X2242">
        <v>0</v>
      </c>
      <c r="Y2242">
        <v>0</v>
      </c>
    </row>
    <row r="2243" spans="1:25" x14ac:dyDescent="0.2">
      <c r="A2243" t="s">
        <v>8414</v>
      </c>
      <c r="B2243" t="s">
        <v>8415</v>
      </c>
      <c r="C2243" t="s">
        <v>8416</v>
      </c>
      <c r="D2243" t="s">
        <v>8417</v>
      </c>
      <c r="E2243" t="s">
        <v>8415</v>
      </c>
      <c r="F2243" t="s">
        <v>28</v>
      </c>
      <c r="G2243" t="s">
        <v>8415</v>
      </c>
      <c r="H2243" t="str">
        <f>"fntb-1"</f>
        <v>fntb-1</v>
      </c>
      <c r="I2243" t="s">
        <v>8417</v>
      </c>
      <c r="J2243" t="s">
        <v>29</v>
      </c>
      <c r="K2243">
        <v>13.0508053410784</v>
      </c>
      <c r="L2243" t="s">
        <v>29</v>
      </c>
      <c r="M2243" t="s">
        <v>29</v>
      </c>
      <c r="N2243" t="s">
        <v>29</v>
      </c>
      <c r="O2243">
        <v>12.602264488787901</v>
      </c>
      <c r="P2243">
        <v>-0.44854085229054003</v>
      </c>
      <c r="Q2243">
        <v>-1.4999474559397601</v>
      </c>
      <c r="R2243">
        <v>0.60286575135867604</v>
      </c>
      <c r="S2243">
        <v>12.5978594958346</v>
      </c>
      <c r="T2243">
        <v>-0.95191505175134505</v>
      </c>
      <c r="U2243">
        <v>-5.8811607483039596</v>
      </c>
      <c r="V2243">
        <v>0.36381280665836901</v>
      </c>
      <c r="W2243">
        <v>0.888292466632014</v>
      </c>
      <c r="X2243">
        <v>0</v>
      </c>
      <c r="Y2243">
        <v>0</v>
      </c>
    </row>
    <row r="2244" spans="1:25" x14ac:dyDescent="0.2">
      <c r="A2244" t="s">
        <v>8418</v>
      </c>
      <c r="B2244" t="s">
        <v>8419</v>
      </c>
      <c r="C2244" t="s">
        <v>8420</v>
      </c>
      <c r="D2244" t="s">
        <v>8421</v>
      </c>
      <c r="E2244" t="s">
        <v>8419</v>
      </c>
      <c r="F2244" t="s">
        <v>28</v>
      </c>
      <c r="G2244" t="s">
        <v>8419</v>
      </c>
      <c r="H2244" t="str">
        <f>"F23B12.7"</f>
        <v>F23B12.7</v>
      </c>
      <c r="I2244" t="s">
        <v>8421</v>
      </c>
      <c r="J2244">
        <v>13.214673700341001</v>
      </c>
      <c r="K2244">
        <v>13.2598030071164</v>
      </c>
      <c r="L2244">
        <v>13.2312466231716</v>
      </c>
      <c r="M2244">
        <v>13.644932697543901</v>
      </c>
      <c r="N2244">
        <v>13.947799557836801</v>
      </c>
      <c r="O2244">
        <v>13.2756439370725</v>
      </c>
      <c r="P2244">
        <v>0.38755095394140499</v>
      </c>
      <c r="Q2244">
        <v>-0.21145506194764899</v>
      </c>
      <c r="R2244">
        <v>0.98655696983045904</v>
      </c>
      <c r="S2244">
        <v>14.0651724248129</v>
      </c>
      <c r="T2244">
        <v>1.36567588045639</v>
      </c>
      <c r="U2244">
        <v>-5.9557468545592496</v>
      </c>
      <c r="V2244">
        <v>0.18994778130779899</v>
      </c>
      <c r="W2244">
        <v>0.78295732499061499</v>
      </c>
      <c r="X2244">
        <v>0</v>
      </c>
      <c r="Y2244">
        <v>0</v>
      </c>
    </row>
    <row r="2245" spans="1:25" x14ac:dyDescent="0.2">
      <c r="A2245" t="s">
        <v>8422</v>
      </c>
      <c r="B2245" t="s">
        <v>8423</v>
      </c>
      <c r="C2245" t="s">
        <v>8424</v>
      </c>
      <c r="D2245" t="s">
        <v>8425</v>
      </c>
      <c r="E2245" t="s">
        <v>8423</v>
      </c>
      <c r="F2245" t="s">
        <v>28</v>
      </c>
      <c r="G2245" t="s">
        <v>8423</v>
      </c>
      <c r="H2245" t="str">
        <f>"ppm-1.A"</f>
        <v>ppm-1.A</v>
      </c>
      <c r="I2245" t="s">
        <v>8425</v>
      </c>
      <c r="J2245">
        <v>12.114816076976201</v>
      </c>
      <c r="K2245">
        <v>11.7769841705336</v>
      </c>
      <c r="L2245">
        <v>12.595836681226899</v>
      </c>
      <c r="M2245">
        <v>12.3055334638938</v>
      </c>
      <c r="N2245">
        <v>11.986927849476899</v>
      </c>
      <c r="O2245">
        <v>12.451021165067299</v>
      </c>
      <c r="P2245">
        <v>8.52818499004417E-2</v>
      </c>
      <c r="Q2245">
        <v>-0.474021138528813</v>
      </c>
      <c r="R2245">
        <v>0.64458483832969604</v>
      </c>
      <c r="S2245">
        <v>12.490718435773299</v>
      </c>
      <c r="T2245">
        <v>0.32520040541746198</v>
      </c>
      <c r="U2245">
        <v>-6.8268429775620296</v>
      </c>
      <c r="V2245">
        <v>0.74955243086590595</v>
      </c>
      <c r="W2245">
        <v>0.99184638945407499</v>
      </c>
      <c r="X2245">
        <v>0</v>
      </c>
      <c r="Y2245">
        <v>0</v>
      </c>
    </row>
    <row r="2246" spans="1:25" x14ac:dyDescent="0.2">
      <c r="A2246" t="s">
        <v>8426</v>
      </c>
      <c r="B2246" t="s">
        <v>8427</v>
      </c>
      <c r="C2246" t="s">
        <v>8428</v>
      </c>
      <c r="D2246" t="s">
        <v>8429</v>
      </c>
      <c r="E2246" t="s">
        <v>8427</v>
      </c>
      <c r="F2246" t="s">
        <v>28</v>
      </c>
      <c r="G2246" t="s">
        <v>8427</v>
      </c>
      <c r="H2246" t="str">
        <f>"ifd-2"</f>
        <v>ifd-2</v>
      </c>
      <c r="I2246" t="s">
        <v>8429</v>
      </c>
      <c r="J2246">
        <v>13.2954472249186</v>
      </c>
      <c r="K2246">
        <v>12.5330099082312</v>
      </c>
      <c r="L2246">
        <v>13.8393586527105</v>
      </c>
      <c r="M2246">
        <v>12.448489528448</v>
      </c>
      <c r="N2246">
        <v>12.2982184402653</v>
      </c>
      <c r="O2246">
        <v>12.8553736780569</v>
      </c>
      <c r="P2246">
        <v>-0.68857804636334696</v>
      </c>
      <c r="Q2246">
        <v>-1.5476568094180101</v>
      </c>
      <c r="R2246">
        <v>0.170500716691315</v>
      </c>
      <c r="S2246">
        <v>12.7684901008681</v>
      </c>
      <c r="T2246">
        <v>-1.7094712250409501</v>
      </c>
      <c r="U2246">
        <v>-5.4748016360616401</v>
      </c>
      <c r="V2246">
        <v>0.108108124787496</v>
      </c>
      <c r="W2246">
        <v>0.67375250803892495</v>
      </c>
      <c r="X2246">
        <v>0</v>
      </c>
      <c r="Y2246">
        <v>0</v>
      </c>
    </row>
    <row r="2247" spans="1:25" x14ac:dyDescent="0.2">
      <c r="A2247" t="s">
        <v>8430</v>
      </c>
      <c r="B2247" t="s">
        <v>8431</v>
      </c>
      <c r="C2247" t="s">
        <v>14164</v>
      </c>
      <c r="D2247" t="s">
        <v>8432</v>
      </c>
      <c r="E2247" t="s">
        <v>8431</v>
      </c>
      <c r="F2247" t="s">
        <v>28</v>
      </c>
      <c r="G2247" t="s">
        <v>8431</v>
      </c>
      <c r="H2247" t="str">
        <f>"F25H8.2"</f>
        <v>F25H8.2</v>
      </c>
      <c r="I2247" t="s">
        <v>8432</v>
      </c>
      <c r="J2247" t="s">
        <v>29</v>
      </c>
      <c r="K2247" t="s">
        <v>29</v>
      </c>
      <c r="L2247" t="s">
        <v>29</v>
      </c>
      <c r="M2247">
        <v>14.143019916999799</v>
      </c>
      <c r="N2247">
        <v>13.941655486266599</v>
      </c>
      <c r="O2247">
        <v>13.8628896536478</v>
      </c>
      <c r="P2247" t="s">
        <v>29</v>
      </c>
      <c r="Q2247" t="s">
        <v>29</v>
      </c>
      <c r="R2247" t="s">
        <v>29</v>
      </c>
      <c r="S2247">
        <v>13.6208200565141</v>
      </c>
      <c r="T2247" t="s">
        <v>29</v>
      </c>
      <c r="U2247" t="s">
        <v>29</v>
      </c>
      <c r="V2247" t="s">
        <v>29</v>
      </c>
      <c r="W2247" t="s">
        <v>29</v>
      </c>
      <c r="X2247" t="s">
        <v>29</v>
      </c>
      <c r="Y2247" t="s">
        <v>29</v>
      </c>
    </row>
    <row r="2248" spans="1:25" x14ac:dyDescent="0.2">
      <c r="A2248" t="s">
        <v>8433</v>
      </c>
      <c r="B2248" t="s">
        <v>8434</v>
      </c>
      <c r="C2248" t="s">
        <v>8435</v>
      </c>
      <c r="D2248" t="s">
        <v>8436</v>
      </c>
      <c r="E2248" t="s">
        <v>8434</v>
      </c>
      <c r="F2248" t="s">
        <v>28</v>
      </c>
      <c r="G2248" t="s">
        <v>8434</v>
      </c>
      <c r="H2248" t="str">
        <f>"gon-1"</f>
        <v>gon-1</v>
      </c>
      <c r="I2248" t="s">
        <v>8436</v>
      </c>
      <c r="J2248" t="s">
        <v>29</v>
      </c>
      <c r="K2248" t="s">
        <v>29</v>
      </c>
      <c r="L2248" t="s">
        <v>29</v>
      </c>
      <c r="M2248" t="s">
        <v>29</v>
      </c>
      <c r="N2248" t="s">
        <v>29</v>
      </c>
      <c r="O2248" t="s">
        <v>29</v>
      </c>
      <c r="P2248" t="s">
        <v>29</v>
      </c>
      <c r="Q2248" t="s">
        <v>29</v>
      </c>
      <c r="R2248" t="s">
        <v>29</v>
      </c>
      <c r="S2248">
        <v>11.024768222979199</v>
      </c>
      <c r="T2248" t="s">
        <v>29</v>
      </c>
      <c r="U2248" t="s">
        <v>29</v>
      </c>
      <c r="V2248" t="s">
        <v>29</v>
      </c>
      <c r="W2248" t="s">
        <v>29</v>
      </c>
      <c r="X2248" t="s">
        <v>29</v>
      </c>
      <c r="Y2248" t="s">
        <v>29</v>
      </c>
    </row>
    <row r="2249" spans="1:25" x14ac:dyDescent="0.2">
      <c r="A2249" t="s">
        <v>8437</v>
      </c>
      <c r="B2249" t="s">
        <v>8438</v>
      </c>
      <c r="C2249" t="s">
        <v>8439</v>
      </c>
      <c r="D2249" t="s">
        <v>8440</v>
      </c>
      <c r="E2249" t="s">
        <v>8438</v>
      </c>
      <c r="F2249" t="s">
        <v>28</v>
      </c>
      <c r="G2249" t="s">
        <v>8438</v>
      </c>
      <c r="H2249" t="str">
        <f>"nonu-1"</f>
        <v>nonu-1</v>
      </c>
      <c r="I2249" t="s">
        <v>8440</v>
      </c>
      <c r="J2249" t="s">
        <v>29</v>
      </c>
      <c r="K2249" t="s">
        <v>29</v>
      </c>
      <c r="L2249" t="s">
        <v>29</v>
      </c>
      <c r="M2249" t="s">
        <v>29</v>
      </c>
      <c r="N2249" t="s">
        <v>29</v>
      </c>
      <c r="O2249">
        <v>10.8526853290366</v>
      </c>
      <c r="P2249" t="s">
        <v>29</v>
      </c>
      <c r="Q2249" t="s">
        <v>29</v>
      </c>
      <c r="R2249" t="s">
        <v>29</v>
      </c>
      <c r="S2249">
        <v>10.6687681266955</v>
      </c>
      <c r="T2249" t="s">
        <v>29</v>
      </c>
      <c r="U2249" t="s">
        <v>29</v>
      </c>
      <c r="V2249" t="s">
        <v>29</v>
      </c>
      <c r="W2249" t="s">
        <v>29</v>
      </c>
      <c r="X2249" t="s">
        <v>29</v>
      </c>
      <c r="Y2249" t="s">
        <v>29</v>
      </c>
    </row>
    <row r="2250" spans="1:25" x14ac:dyDescent="0.2">
      <c r="A2250" t="s">
        <v>8441</v>
      </c>
      <c r="B2250" t="s">
        <v>8442</v>
      </c>
      <c r="C2250" t="s">
        <v>8443</v>
      </c>
      <c r="D2250" t="s">
        <v>3312</v>
      </c>
      <c r="E2250" t="s">
        <v>8442</v>
      </c>
      <c r="F2250" t="s">
        <v>28</v>
      </c>
      <c r="G2250" t="s">
        <v>8442</v>
      </c>
      <c r="H2250" t="str">
        <f>"col-140"</f>
        <v>col-140</v>
      </c>
      <c r="I2250" t="s">
        <v>3312</v>
      </c>
      <c r="J2250">
        <v>13.998661741674001</v>
      </c>
      <c r="K2250">
        <v>13.2145625979946</v>
      </c>
      <c r="L2250">
        <v>14.857153904479899</v>
      </c>
      <c r="M2250">
        <v>14.125423700896301</v>
      </c>
      <c r="N2250">
        <v>14.5230679510653</v>
      </c>
      <c r="O2250">
        <v>14.0572002713452</v>
      </c>
      <c r="P2250">
        <v>0.21177122638608201</v>
      </c>
      <c r="Q2250">
        <v>-0.97214852482175995</v>
      </c>
      <c r="R2250">
        <v>1.3956909775939199</v>
      </c>
      <c r="S2250">
        <v>14.451598292973699</v>
      </c>
      <c r="T2250">
        <v>0.37595615464536603</v>
      </c>
      <c r="U2250">
        <v>-6.8089312249413902</v>
      </c>
      <c r="V2250">
        <v>0.711369340774341</v>
      </c>
      <c r="W2250">
        <v>0.98786722894487999</v>
      </c>
      <c r="X2250">
        <v>0</v>
      </c>
      <c r="Y2250">
        <v>0</v>
      </c>
    </row>
    <row r="2251" spans="1:25" x14ac:dyDescent="0.2">
      <c r="A2251" t="s">
        <v>8444</v>
      </c>
      <c r="B2251" t="s">
        <v>8445</v>
      </c>
      <c r="C2251" t="s">
        <v>14455</v>
      </c>
      <c r="D2251" t="s">
        <v>758</v>
      </c>
      <c r="E2251" t="s">
        <v>8445</v>
      </c>
      <c r="F2251" t="s">
        <v>28</v>
      </c>
      <c r="G2251" t="s">
        <v>8445</v>
      </c>
      <c r="H2251" t="str">
        <f>"F26F4.5"</f>
        <v>F26F4.5</v>
      </c>
      <c r="I2251" t="s">
        <v>758</v>
      </c>
      <c r="J2251" t="s">
        <v>29</v>
      </c>
      <c r="K2251" t="s">
        <v>29</v>
      </c>
      <c r="L2251" t="s">
        <v>29</v>
      </c>
      <c r="M2251" t="s">
        <v>29</v>
      </c>
      <c r="N2251" t="s">
        <v>29</v>
      </c>
      <c r="O2251" t="s">
        <v>29</v>
      </c>
      <c r="P2251" t="s">
        <v>29</v>
      </c>
      <c r="Q2251" t="s">
        <v>29</v>
      </c>
      <c r="R2251" t="s">
        <v>29</v>
      </c>
      <c r="S2251">
        <v>11.7703602050152</v>
      </c>
      <c r="T2251" t="s">
        <v>29</v>
      </c>
      <c r="U2251" t="s">
        <v>29</v>
      </c>
      <c r="V2251" t="s">
        <v>29</v>
      </c>
      <c r="W2251" t="s">
        <v>29</v>
      </c>
      <c r="X2251" t="s">
        <v>29</v>
      </c>
      <c r="Y2251" t="s">
        <v>29</v>
      </c>
    </row>
    <row r="2252" spans="1:25" x14ac:dyDescent="0.2">
      <c r="A2252" t="s">
        <v>8446</v>
      </c>
      <c r="B2252" t="s">
        <v>8447</v>
      </c>
      <c r="C2252" t="s">
        <v>8448</v>
      </c>
      <c r="D2252" t="s">
        <v>360</v>
      </c>
      <c r="E2252" t="s">
        <v>8447</v>
      </c>
      <c r="F2252" t="s">
        <v>28</v>
      </c>
      <c r="G2252" t="s">
        <v>8447</v>
      </c>
      <c r="H2252" t="str">
        <f>"nhl-2"</f>
        <v>nhl-2</v>
      </c>
      <c r="I2252" t="s">
        <v>360</v>
      </c>
      <c r="J2252" t="s">
        <v>29</v>
      </c>
      <c r="K2252" t="s">
        <v>29</v>
      </c>
      <c r="L2252" t="s">
        <v>29</v>
      </c>
      <c r="M2252">
        <v>11.6028290594613</v>
      </c>
      <c r="N2252">
        <v>11.0400296138769</v>
      </c>
      <c r="O2252">
        <v>10.5491773099958</v>
      </c>
      <c r="P2252" t="s">
        <v>29</v>
      </c>
      <c r="Q2252" t="s">
        <v>29</v>
      </c>
      <c r="R2252" t="s">
        <v>29</v>
      </c>
      <c r="S2252">
        <v>11.7826955264552</v>
      </c>
      <c r="T2252" t="s">
        <v>29</v>
      </c>
      <c r="U2252" t="s">
        <v>29</v>
      </c>
      <c r="V2252" t="s">
        <v>29</v>
      </c>
      <c r="W2252" t="s">
        <v>29</v>
      </c>
      <c r="X2252" t="s">
        <v>29</v>
      </c>
      <c r="Y2252" t="s">
        <v>29</v>
      </c>
    </row>
    <row r="2253" spans="1:25" x14ac:dyDescent="0.2">
      <c r="A2253" t="s">
        <v>8449</v>
      </c>
      <c r="B2253" t="s">
        <v>8450</v>
      </c>
      <c r="C2253" t="s">
        <v>8451</v>
      </c>
      <c r="D2253" t="s">
        <v>7751</v>
      </c>
      <c r="E2253" t="s">
        <v>8450</v>
      </c>
      <c r="F2253" t="s">
        <v>28</v>
      </c>
      <c r="G2253" t="s">
        <v>8450</v>
      </c>
      <c r="H2253" t="str">
        <f>"tag-340"</f>
        <v>tag-340</v>
      </c>
      <c r="I2253" t="s">
        <v>7751</v>
      </c>
      <c r="J2253">
        <v>12.143654598683799</v>
      </c>
      <c r="K2253">
        <v>11.976823446933</v>
      </c>
      <c r="L2253">
        <v>11.9731763180457</v>
      </c>
      <c r="M2253">
        <v>11.6544933421814</v>
      </c>
      <c r="N2253">
        <v>12.019123230418399</v>
      </c>
      <c r="O2253">
        <v>11.611431092196099</v>
      </c>
      <c r="P2253">
        <v>-0.26953556628887798</v>
      </c>
      <c r="Q2253">
        <v>-0.69122487003691901</v>
      </c>
      <c r="R2253">
        <v>0.152153737459162</v>
      </c>
      <c r="S2253">
        <v>11.6868381875059</v>
      </c>
      <c r="T2253">
        <v>-1.35572943333375</v>
      </c>
      <c r="U2253">
        <v>-5.9682041140255198</v>
      </c>
      <c r="V2253">
        <v>0.19413579104640499</v>
      </c>
      <c r="W2253">
        <v>0.78513100884523002</v>
      </c>
      <c r="X2253">
        <v>0</v>
      </c>
      <c r="Y2253">
        <v>0</v>
      </c>
    </row>
    <row r="2254" spans="1:25" x14ac:dyDescent="0.2">
      <c r="A2254" t="s">
        <v>8452</v>
      </c>
      <c r="B2254" t="s">
        <v>8453</v>
      </c>
      <c r="C2254" t="s">
        <v>8454</v>
      </c>
      <c r="D2254" t="s">
        <v>8455</v>
      </c>
      <c r="E2254" t="s">
        <v>8453</v>
      </c>
      <c r="F2254" t="s">
        <v>28</v>
      </c>
      <c r="G2254" t="s">
        <v>8453</v>
      </c>
      <c r="H2254" t="str">
        <f>"rom-1"</f>
        <v>rom-1</v>
      </c>
      <c r="I2254" t="s">
        <v>8455</v>
      </c>
      <c r="J2254">
        <v>13.8478441559019</v>
      </c>
      <c r="K2254">
        <v>13.8921788715062</v>
      </c>
      <c r="L2254">
        <v>13.882029870307299</v>
      </c>
      <c r="M2254">
        <v>14.0069968590374</v>
      </c>
      <c r="N2254">
        <v>13.872473690131301</v>
      </c>
      <c r="O2254">
        <v>13.956759526697899</v>
      </c>
      <c r="P2254">
        <v>7.1392392717056594E-2</v>
      </c>
      <c r="Q2254">
        <v>-0.279018258071697</v>
      </c>
      <c r="R2254">
        <v>0.42180304350580999</v>
      </c>
      <c r="S2254">
        <v>13.7027206860908</v>
      </c>
      <c r="T2254">
        <v>0.43213970313663302</v>
      </c>
      <c r="U2254">
        <v>-6.7848444627334796</v>
      </c>
      <c r="V2254">
        <v>0.67144503135510203</v>
      </c>
      <c r="W2254">
        <v>0.98642420921484297</v>
      </c>
      <c r="X2254">
        <v>0</v>
      </c>
      <c r="Y2254">
        <v>0</v>
      </c>
    </row>
    <row r="2255" spans="1:25" x14ac:dyDescent="0.2">
      <c r="A2255" t="s">
        <v>8456</v>
      </c>
      <c r="B2255" t="s">
        <v>8457</v>
      </c>
      <c r="C2255" t="s">
        <v>14456</v>
      </c>
      <c r="D2255" t="s">
        <v>1281</v>
      </c>
      <c r="E2255" t="s">
        <v>8457</v>
      </c>
      <c r="F2255" t="s">
        <v>28</v>
      </c>
      <c r="G2255" t="s">
        <v>8457</v>
      </c>
      <c r="H2255" t="str">
        <f>"F26F4.2"</f>
        <v>F26F4.2</v>
      </c>
      <c r="I2255" t="s">
        <v>1281</v>
      </c>
      <c r="J2255">
        <v>15.0342060469734</v>
      </c>
      <c r="K2255">
        <v>14.354353899962399</v>
      </c>
      <c r="L2255">
        <v>14.594763677407901</v>
      </c>
      <c r="M2255">
        <v>15.0529454934697</v>
      </c>
      <c r="N2255">
        <v>15.8650040803849</v>
      </c>
      <c r="O2255">
        <v>13.7018207099477</v>
      </c>
      <c r="P2255">
        <v>0.21214888648621499</v>
      </c>
      <c r="Q2255">
        <v>-1.0662053327212599</v>
      </c>
      <c r="R2255">
        <v>1.4905031056936899</v>
      </c>
      <c r="S2255">
        <v>14.072753441652599</v>
      </c>
      <c r="T2255">
        <v>0.35029953481689002</v>
      </c>
      <c r="U2255">
        <v>-6.8184079478363104</v>
      </c>
      <c r="V2255">
        <v>0.73044315305947105</v>
      </c>
      <c r="W2255">
        <v>0.99057748145465696</v>
      </c>
      <c r="X2255">
        <v>0</v>
      </c>
      <c r="Y2255">
        <v>0</v>
      </c>
    </row>
    <row r="2256" spans="1:25" x14ac:dyDescent="0.2">
      <c r="A2256" t="s">
        <v>8458</v>
      </c>
      <c r="B2256" t="s">
        <v>8459</v>
      </c>
      <c r="C2256" t="s">
        <v>8460</v>
      </c>
      <c r="D2256" t="s">
        <v>8461</v>
      </c>
      <c r="E2256" t="s">
        <v>8459</v>
      </c>
      <c r="F2256" t="s">
        <v>28</v>
      </c>
      <c r="G2256" t="s">
        <v>8459</v>
      </c>
      <c r="H2256" t="str">
        <f>"cee-1"</f>
        <v>cee-1</v>
      </c>
      <c r="I2256" t="s">
        <v>8461</v>
      </c>
      <c r="J2256">
        <v>13.020108261205101</v>
      </c>
      <c r="K2256">
        <v>12.830084911770401</v>
      </c>
      <c r="L2256">
        <v>13.2000025097066</v>
      </c>
      <c r="M2256">
        <v>13.292009498668</v>
      </c>
      <c r="N2256">
        <v>13.5271898980366</v>
      </c>
      <c r="O2256">
        <v>13.091953263563401</v>
      </c>
      <c r="P2256">
        <v>0.28698565919523999</v>
      </c>
      <c r="Q2256">
        <v>-0.25319190974377997</v>
      </c>
      <c r="R2256">
        <v>0.82716322813426002</v>
      </c>
      <c r="S2256">
        <v>13.324487450483501</v>
      </c>
      <c r="T2256">
        <v>1.12143385408711</v>
      </c>
      <c r="U2256">
        <v>-6.2469507577941599</v>
      </c>
      <c r="V2256">
        <v>0.27779000308559798</v>
      </c>
      <c r="W2256">
        <v>0.856190392347986</v>
      </c>
      <c r="X2256">
        <v>0</v>
      </c>
      <c r="Y2256">
        <v>0</v>
      </c>
    </row>
    <row r="2257" spans="1:25" x14ac:dyDescent="0.2">
      <c r="A2257" t="s">
        <v>8462</v>
      </c>
      <c r="B2257" t="s">
        <v>8463</v>
      </c>
      <c r="C2257" t="s">
        <v>8464</v>
      </c>
      <c r="D2257" t="s">
        <v>8465</v>
      </c>
      <c r="E2257" t="s">
        <v>8463</v>
      </c>
      <c r="F2257" t="s">
        <v>28</v>
      </c>
      <c r="G2257" t="s">
        <v>8463</v>
      </c>
      <c r="H2257" t="str">
        <f>"rars-1"</f>
        <v>rars-1</v>
      </c>
      <c r="I2257" t="s">
        <v>8465</v>
      </c>
      <c r="J2257">
        <v>16.0253861619193</v>
      </c>
      <c r="K2257">
        <v>15.6740294612054</v>
      </c>
      <c r="L2257">
        <v>15.9158081043311</v>
      </c>
      <c r="M2257">
        <v>16.024820633462799</v>
      </c>
      <c r="N2257">
        <v>16.070007155720301</v>
      </c>
      <c r="O2257">
        <v>15.830682955234099</v>
      </c>
      <c r="P2257">
        <v>0.103429005653725</v>
      </c>
      <c r="Q2257">
        <v>-0.23014017630801301</v>
      </c>
      <c r="R2257">
        <v>0.436998187615463</v>
      </c>
      <c r="S2257">
        <v>15.8919739137141</v>
      </c>
      <c r="T2257">
        <v>0.651701833339008</v>
      </c>
      <c r="U2257">
        <v>-6.6631958194198804</v>
      </c>
      <c r="V2257">
        <v>0.52287610452304001</v>
      </c>
      <c r="W2257">
        <v>0.94245155746843701</v>
      </c>
      <c r="X2257">
        <v>0</v>
      </c>
      <c r="Y2257">
        <v>0</v>
      </c>
    </row>
    <row r="2258" spans="1:25" x14ac:dyDescent="0.2">
      <c r="A2258" t="s">
        <v>8466</v>
      </c>
      <c r="B2258" t="s">
        <v>8467</v>
      </c>
      <c r="C2258" t="s">
        <v>8468</v>
      </c>
      <c r="D2258" t="s">
        <v>8469</v>
      </c>
      <c r="E2258" t="s">
        <v>8467</v>
      </c>
      <c r="F2258" t="s">
        <v>28</v>
      </c>
      <c r="G2258" t="s">
        <v>8467</v>
      </c>
      <c r="H2258" t="str">
        <f>"rpb-8"</f>
        <v>rpb-8</v>
      </c>
      <c r="I2258" t="s">
        <v>8469</v>
      </c>
      <c r="J2258">
        <v>15.075033193911899</v>
      </c>
      <c r="K2258">
        <v>15.217460102057901</v>
      </c>
      <c r="L2258">
        <v>14.910295713660799</v>
      </c>
      <c r="M2258">
        <v>15.0347615546742</v>
      </c>
      <c r="N2258">
        <v>14.9530650862668</v>
      </c>
      <c r="O2258">
        <v>15.0994211523495</v>
      </c>
      <c r="P2258">
        <v>-3.8513738780034501E-2</v>
      </c>
      <c r="Q2258">
        <v>-0.54197417242906498</v>
      </c>
      <c r="R2258">
        <v>0.46494669486899598</v>
      </c>
      <c r="S2258">
        <v>14.4742827598254</v>
      </c>
      <c r="T2258">
        <v>-0.160784007104564</v>
      </c>
      <c r="U2258">
        <v>-6.8689920631584602</v>
      </c>
      <c r="V2258">
        <v>0.87406469375905105</v>
      </c>
      <c r="W2258">
        <v>0.99542051916754504</v>
      </c>
      <c r="X2258">
        <v>0</v>
      </c>
      <c r="Y2258">
        <v>0</v>
      </c>
    </row>
    <row r="2259" spans="1:25" x14ac:dyDescent="0.2">
      <c r="A2259" t="s">
        <v>8470</v>
      </c>
      <c r="B2259" t="s">
        <v>8471</v>
      </c>
      <c r="C2259" t="s">
        <v>14457</v>
      </c>
      <c r="D2259" t="s">
        <v>8472</v>
      </c>
      <c r="E2259" t="s">
        <v>8471</v>
      </c>
      <c r="F2259" t="s">
        <v>28</v>
      </c>
      <c r="G2259" t="s">
        <v>8471</v>
      </c>
      <c r="H2259" t="str">
        <f>"F26G1.1"</f>
        <v>F26G1.1</v>
      </c>
      <c r="I2259" t="s">
        <v>8472</v>
      </c>
      <c r="J2259" t="s">
        <v>29</v>
      </c>
      <c r="K2259" t="s">
        <v>29</v>
      </c>
      <c r="L2259" t="s">
        <v>29</v>
      </c>
      <c r="M2259">
        <v>10.4109270310545</v>
      </c>
      <c r="N2259" t="s">
        <v>29</v>
      </c>
      <c r="O2259" t="s">
        <v>29</v>
      </c>
      <c r="P2259" t="s">
        <v>29</v>
      </c>
      <c r="Q2259" t="s">
        <v>29</v>
      </c>
      <c r="R2259" t="s">
        <v>29</v>
      </c>
      <c r="S2259">
        <v>11.6341006120829</v>
      </c>
      <c r="T2259" t="s">
        <v>29</v>
      </c>
      <c r="U2259" t="s">
        <v>29</v>
      </c>
      <c r="V2259" t="s">
        <v>29</v>
      </c>
      <c r="W2259" t="s">
        <v>29</v>
      </c>
      <c r="X2259" t="s">
        <v>29</v>
      </c>
      <c r="Y2259" t="s">
        <v>29</v>
      </c>
    </row>
    <row r="2260" spans="1:25" x14ac:dyDescent="0.2">
      <c r="A2260" t="s">
        <v>8473</v>
      </c>
      <c r="B2260" t="s">
        <v>8474</v>
      </c>
      <c r="C2260" t="s">
        <v>8475</v>
      </c>
      <c r="D2260" t="s">
        <v>104</v>
      </c>
      <c r="E2260" t="s">
        <v>8474</v>
      </c>
      <c r="F2260" t="s">
        <v>28</v>
      </c>
      <c r="G2260" t="s">
        <v>8474</v>
      </c>
      <c r="H2260" t="str">
        <f>"aat-1"</f>
        <v>aat-1</v>
      </c>
      <c r="I2260" t="s">
        <v>104</v>
      </c>
      <c r="J2260">
        <v>11.198818726966699</v>
      </c>
      <c r="K2260">
        <v>11.396922771083901</v>
      </c>
      <c r="L2260">
        <v>12.0570196440608</v>
      </c>
      <c r="M2260">
        <v>11.7982543833392</v>
      </c>
      <c r="N2260">
        <v>11.888824518828001</v>
      </c>
      <c r="O2260">
        <v>10.921705387857999</v>
      </c>
      <c r="P2260">
        <v>-1.4658950695405799E-2</v>
      </c>
      <c r="Q2260">
        <v>-0.63109260714249305</v>
      </c>
      <c r="R2260">
        <v>0.60177470575168202</v>
      </c>
      <c r="S2260">
        <v>11.7813602608372</v>
      </c>
      <c r="T2260">
        <v>-5.0438953967675497E-2</v>
      </c>
      <c r="U2260">
        <v>-6.88115154944267</v>
      </c>
      <c r="V2260">
        <v>0.96040099437192705</v>
      </c>
      <c r="W2260">
        <v>0.99968702248720698</v>
      </c>
      <c r="X2260">
        <v>0</v>
      </c>
      <c r="Y2260">
        <v>0</v>
      </c>
    </row>
    <row r="2261" spans="1:25" x14ac:dyDescent="0.2">
      <c r="A2261" t="s">
        <v>8476</v>
      </c>
      <c r="B2261" t="s">
        <v>8477</v>
      </c>
      <c r="C2261" t="s">
        <v>8478</v>
      </c>
      <c r="D2261" t="s">
        <v>8479</v>
      </c>
      <c r="E2261" t="s">
        <v>8477</v>
      </c>
      <c r="F2261" t="s">
        <v>28</v>
      </c>
      <c r="G2261" t="s">
        <v>8477</v>
      </c>
      <c r="H2261" t="str">
        <f>"pcca-1"</f>
        <v>pcca-1</v>
      </c>
      <c r="I2261" t="s">
        <v>8479</v>
      </c>
      <c r="J2261">
        <v>23.993677741887499</v>
      </c>
      <c r="K2261">
        <v>24.033517166340101</v>
      </c>
      <c r="L2261">
        <v>23.661010157707199</v>
      </c>
      <c r="M2261">
        <v>23.791421956364999</v>
      </c>
      <c r="N2261">
        <v>23.3264942006798</v>
      </c>
      <c r="O2261">
        <v>24.023863411785499</v>
      </c>
      <c r="P2261">
        <v>-0.18214183236815301</v>
      </c>
      <c r="Q2261">
        <v>-0.86773830255754802</v>
      </c>
      <c r="R2261">
        <v>0.503454637821243</v>
      </c>
      <c r="S2261">
        <v>22.770621715683699</v>
      </c>
      <c r="T2261">
        <v>-0.55838486921864094</v>
      </c>
      <c r="U2261">
        <v>-6.7209953978342902</v>
      </c>
      <c r="V2261">
        <v>0.58350141053175697</v>
      </c>
      <c r="W2261">
        <v>0.96315662445407302</v>
      </c>
      <c r="X2261">
        <v>0</v>
      </c>
      <c r="Y2261">
        <v>0</v>
      </c>
    </row>
    <row r="2262" spans="1:25" x14ac:dyDescent="0.2">
      <c r="A2262" t="s">
        <v>8480</v>
      </c>
      <c r="B2262" t="s">
        <v>8481</v>
      </c>
      <c r="C2262" t="s">
        <v>8482</v>
      </c>
      <c r="D2262" t="s">
        <v>8483</v>
      </c>
      <c r="E2262" t="s">
        <v>8481</v>
      </c>
      <c r="F2262" t="s">
        <v>28</v>
      </c>
      <c r="G2262" t="s">
        <v>8481</v>
      </c>
      <c r="H2262" t="str">
        <f>"dhs-29"</f>
        <v>dhs-29</v>
      </c>
      <c r="I2262" t="s">
        <v>8483</v>
      </c>
      <c r="J2262">
        <v>12.564314796333401</v>
      </c>
      <c r="K2262">
        <v>12.675036915569301</v>
      </c>
      <c r="L2262">
        <v>12.8624085841676</v>
      </c>
      <c r="M2262">
        <v>12.577989235089699</v>
      </c>
      <c r="N2262">
        <v>12.675720029199301</v>
      </c>
      <c r="O2262">
        <v>11.7815275566278</v>
      </c>
      <c r="P2262">
        <v>-0.355507825051188</v>
      </c>
      <c r="Q2262">
        <v>-0.94922862256963503</v>
      </c>
      <c r="R2262">
        <v>0.238212972467259</v>
      </c>
      <c r="S2262">
        <v>12.536986001002701</v>
      </c>
      <c r="T2262">
        <v>-1.27003717139234</v>
      </c>
      <c r="U2262">
        <v>-6.0748459616170702</v>
      </c>
      <c r="V2262">
        <v>0.222349197077055</v>
      </c>
      <c r="W2262">
        <v>0.79911244910630697</v>
      </c>
      <c r="X2262">
        <v>0</v>
      </c>
      <c r="Y2262">
        <v>0</v>
      </c>
    </row>
    <row r="2263" spans="1:25" x14ac:dyDescent="0.2">
      <c r="A2263" t="s">
        <v>8484</v>
      </c>
      <c r="B2263" t="s">
        <v>8485</v>
      </c>
      <c r="C2263" t="s">
        <v>8486</v>
      </c>
      <c r="D2263" t="s">
        <v>8487</v>
      </c>
      <c r="E2263" t="s">
        <v>8485</v>
      </c>
      <c r="F2263" t="s">
        <v>28</v>
      </c>
      <c r="G2263" t="s">
        <v>8485</v>
      </c>
      <c r="H2263" t="str">
        <f>"vrk-1"</f>
        <v>vrk-1</v>
      </c>
      <c r="I2263" t="s">
        <v>8487</v>
      </c>
      <c r="J2263">
        <v>13.472571250360099</v>
      </c>
      <c r="K2263">
        <v>13.272660801192201</v>
      </c>
      <c r="L2263">
        <v>13.0665039318936</v>
      </c>
      <c r="M2263">
        <v>13.069858939504901</v>
      </c>
      <c r="N2263">
        <v>12.846546675330501</v>
      </c>
      <c r="O2263">
        <v>12.8185831634474</v>
      </c>
      <c r="P2263">
        <v>-0.358915735054332</v>
      </c>
      <c r="Q2263">
        <v>-0.89545015816125395</v>
      </c>
      <c r="R2263">
        <v>0.17761868805259101</v>
      </c>
      <c r="S2263">
        <v>12.9689487427974</v>
      </c>
      <c r="T2263">
        <v>-1.41887598277458</v>
      </c>
      <c r="U2263">
        <v>-5.8861089065918204</v>
      </c>
      <c r="V2263">
        <v>0.17524627652709701</v>
      </c>
      <c r="W2263">
        <v>0.77568784401157198</v>
      </c>
      <c r="X2263">
        <v>0</v>
      </c>
      <c r="Y2263">
        <v>0</v>
      </c>
    </row>
    <row r="2264" spans="1:25" x14ac:dyDescent="0.2">
      <c r="A2264" t="s">
        <v>8488</v>
      </c>
      <c r="B2264" t="s">
        <v>8489</v>
      </c>
      <c r="C2264" t="s">
        <v>8490</v>
      </c>
      <c r="D2264" t="s">
        <v>8491</v>
      </c>
      <c r="E2264" t="s">
        <v>8489</v>
      </c>
      <c r="F2264" t="s">
        <v>28</v>
      </c>
      <c r="G2264" t="s">
        <v>8489</v>
      </c>
      <c r="H2264" t="str">
        <f>"rgl-1"</f>
        <v>rgl-1</v>
      </c>
      <c r="I2264" t="s">
        <v>8491</v>
      </c>
      <c r="J2264" t="s">
        <v>29</v>
      </c>
      <c r="K2264" t="s">
        <v>29</v>
      </c>
      <c r="L2264" t="s">
        <v>29</v>
      </c>
      <c r="M2264" t="s">
        <v>29</v>
      </c>
      <c r="N2264">
        <v>11.804953751881699</v>
      </c>
      <c r="O2264">
        <v>10.464226690532501</v>
      </c>
      <c r="P2264" t="s">
        <v>29</v>
      </c>
      <c r="Q2264" t="s">
        <v>29</v>
      </c>
      <c r="R2264" t="s">
        <v>29</v>
      </c>
      <c r="S2264">
        <v>10.812891833016</v>
      </c>
      <c r="T2264" t="s">
        <v>29</v>
      </c>
      <c r="U2264" t="s">
        <v>29</v>
      </c>
      <c r="V2264" t="s">
        <v>29</v>
      </c>
      <c r="W2264" t="s">
        <v>29</v>
      </c>
      <c r="X2264" t="s">
        <v>29</v>
      </c>
      <c r="Y2264" t="s">
        <v>29</v>
      </c>
    </row>
    <row r="2265" spans="1:25" x14ac:dyDescent="0.2">
      <c r="A2265" t="s">
        <v>8492</v>
      </c>
      <c r="B2265" t="s">
        <v>8493</v>
      </c>
      <c r="C2265" t="s">
        <v>8494</v>
      </c>
      <c r="D2265" t="s">
        <v>8495</v>
      </c>
      <c r="E2265" t="s">
        <v>8493</v>
      </c>
      <c r="F2265" t="s">
        <v>28</v>
      </c>
      <c r="G2265" t="s">
        <v>8493</v>
      </c>
      <c r="H2265" t="str">
        <f>"cpf-1"</f>
        <v>cpf-1</v>
      </c>
      <c r="I2265" t="s">
        <v>8495</v>
      </c>
      <c r="J2265" t="s">
        <v>29</v>
      </c>
      <c r="K2265" t="s">
        <v>29</v>
      </c>
      <c r="L2265">
        <v>12.968326545180201</v>
      </c>
      <c r="M2265" t="s">
        <v>29</v>
      </c>
      <c r="N2265" t="s">
        <v>29</v>
      </c>
      <c r="O2265" t="s">
        <v>29</v>
      </c>
      <c r="P2265" t="s">
        <v>29</v>
      </c>
      <c r="Q2265" t="s">
        <v>29</v>
      </c>
      <c r="R2265" t="s">
        <v>29</v>
      </c>
      <c r="S2265">
        <v>13.1131333063403</v>
      </c>
      <c r="T2265" t="s">
        <v>29</v>
      </c>
      <c r="U2265" t="s">
        <v>29</v>
      </c>
      <c r="V2265" t="s">
        <v>29</v>
      </c>
      <c r="W2265" t="s">
        <v>29</v>
      </c>
      <c r="X2265" t="s">
        <v>29</v>
      </c>
      <c r="Y2265" t="s">
        <v>29</v>
      </c>
    </row>
    <row r="2266" spans="1:25" x14ac:dyDescent="0.2">
      <c r="A2266" t="s">
        <v>8496</v>
      </c>
      <c r="B2266" t="s">
        <v>8497</v>
      </c>
      <c r="C2266" t="s">
        <v>8498</v>
      </c>
      <c r="D2266" t="s">
        <v>8499</v>
      </c>
      <c r="E2266" t="s">
        <v>8497</v>
      </c>
      <c r="F2266" t="s">
        <v>28</v>
      </c>
      <c r="G2266" t="s">
        <v>8497</v>
      </c>
      <c r="H2266" t="str">
        <f>"suf-1"</f>
        <v>suf-1</v>
      </c>
      <c r="I2266" t="s">
        <v>8499</v>
      </c>
      <c r="J2266">
        <v>13.102463852303799</v>
      </c>
      <c r="K2266">
        <v>13.495851703604099</v>
      </c>
      <c r="L2266">
        <v>13.3100697230183</v>
      </c>
      <c r="M2266">
        <v>13.408448328026701</v>
      </c>
      <c r="N2266">
        <v>13.400828671784399</v>
      </c>
      <c r="O2266">
        <v>13.175780645010001</v>
      </c>
      <c r="P2266">
        <v>2.55574552983262E-2</v>
      </c>
      <c r="Q2266">
        <v>-0.35884184345144698</v>
      </c>
      <c r="R2266">
        <v>0.4099567540481</v>
      </c>
      <c r="S2266">
        <v>13.227864157955</v>
      </c>
      <c r="T2266">
        <v>0.14034115172213199</v>
      </c>
      <c r="U2266">
        <v>-6.8721724780223603</v>
      </c>
      <c r="V2266">
        <v>0.89005003150470197</v>
      </c>
      <c r="W2266">
        <v>0.99702926582654094</v>
      </c>
      <c r="X2266">
        <v>0</v>
      </c>
      <c r="Y2266">
        <v>0</v>
      </c>
    </row>
    <row r="2267" spans="1:25" x14ac:dyDescent="0.2">
      <c r="A2267" t="s">
        <v>8500</v>
      </c>
      <c r="B2267" t="s">
        <v>8501</v>
      </c>
      <c r="C2267" t="s">
        <v>8502</v>
      </c>
      <c r="D2267" t="s">
        <v>8503</v>
      </c>
      <c r="E2267" t="s">
        <v>8501</v>
      </c>
      <c r="F2267" t="s">
        <v>28</v>
      </c>
      <c r="G2267" t="s">
        <v>8501</v>
      </c>
      <c r="H2267" t="str">
        <f>"rpl-26"</f>
        <v>rpl-26</v>
      </c>
      <c r="I2267" t="s">
        <v>8503</v>
      </c>
      <c r="J2267">
        <v>19.416785299369501</v>
      </c>
      <c r="K2267">
        <v>19.3384209204402</v>
      </c>
      <c r="L2267">
        <v>19.342515205473099</v>
      </c>
      <c r="M2267">
        <v>19.376360055211599</v>
      </c>
      <c r="N2267">
        <v>19.103209497059598</v>
      </c>
      <c r="O2267">
        <v>19.1312077455514</v>
      </c>
      <c r="P2267">
        <v>-0.16231470915343499</v>
      </c>
      <c r="Q2267">
        <v>-0.50273516104319704</v>
      </c>
      <c r="R2267">
        <v>0.17810574273632701</v>
      </c>
      <c r="S2267">
        <v>19.109978034129298</v>
      </c>
      <c r="T2267">
        <v>-1.0021546528257299</v>
      </c>
      <c r="U2267">
        <v>-6.3720801364731603</v>
      </c>
      <c r="V2267">
        <v>0.329628366528187</v>
      </c>
      <c r="W2267">
        <v>0.87233669330403496</v>
      </c>
      <c r="X2267">
        <v>0</v>
      </c>
      <c r="Y2267">
        <v>0</v>
      </c>
    </row>
    <row r="2268" spans="1:25" x14ac:dyDescent="0.2">
      <c r="A2268" t="s">
        <v>8504</v>
      </c>
      <c r="B2268" t="s">
        <v>8505</v>
      </c>
      <c r="C2268" t="s">
        <v>8506</v>
      </c>
      <c r="D2268" t="s">
        <v>8507</v>
      </c>
      <c r="E2268" t="s">
        <v>8505</v>
      </c>
      <c r="F2268" t="s">
        <v>28</v>
      </c>
      <c r="G2268" t="s">
        <v>8505</v>
      </c>
      <c r="H2268" t="str">
        <f>"wdr-46"</f>
        <v>wdr-46</v>
      </c>
      <c r="I2268" t="s">
        <v>8507</v>
      </c>
      <c r="J2268">
        <v>13.3546161207216</v>
      </c>
      <c r="K2268">
        <v>13.504317060200201</v>
      </c>
      <c r="L2268">
        <v>13.239362417057301</v>
      </c>
      <c r="M2268">
        <v>13.2588625026813</v>
      </c>
      <c r="N2268">
        <v>13.227532407345</v>
      </c>
      <c r="O2268">
        <v>13.363841167559199</v>
      </c>
      <c r="P2268">
        <v>-8.2686506797855899E-2</v>
      </c>
      <c r="Q2268">
        <v>-0.55195540240961405</v>
      </c>
      <c r="R2268">
        <v>0.386582388813902</v>
      </c>
      <c r="S2268">
        <v>13.4059215097218</v>
      </c>
      <c r="T2268">
        <v>-0.37193143792384797</v>
      </c>
      <c r="U2268">
        <v>-6.8102826906678802</v>
      </c>
      <c r="V2268">
        <v>0.71456767590855297</v>
      </c>
      <c r="W2268">
        <v>0.98786722894487999</v>
      </c>
      <c r="X2268">
        <v>0</v>
      </c>
      <c r="Y2268">
        <v>0</v>
      </c>
    </row>
    <row r="2269" spans="1:25" x14ac:dyDescent="0.2">
      <c r="A2269" t="s">
        <v>8508</v>
      </c>
      <c r="B2269" t="s">
        <v>8509</v>
      </c>
      <c r="C2269" t="s">
        <v>8510</v>
      </c>
      <c r="D2269" t="s">
        <v>8511</v>
      </c>
      <c r="E2269" t="s">
        <v>8509</v>
      </c>
      <c r="F2269" t="s">
        <v>28</v>
      </c>
      <c r="G2269" t="s">
        <v>8509</v>
      </c>
      <c r="H2269" t="str">
        <f>"rps-23"</f>
        <v>rps-23</v>
      </c>
      <c r="I2269" t="s">
        <v>8511</v>
      </c>
      <c r="J2269">
        <v>20.015747563193699</v>
      </c>
      <c r="K2269">
        <v>19.930160878436201</v>
      </c>
      <c r="L2269">
        <v>19.881139083721798</v>
      </c>
      <c r="M2269">
        <v>19.8682859104408</v>
      </c>
      <c r="N2269">
        <v>19.758132942480302</v>
      </c>
      <c r="O2269">
        <v>20.146479252149501</v>
      </c>
      <c r="P2269">
        <v>-1.8049806760398499E-2</v>
      </c>
      <c r="Q2269">
        <v>-0.53712646747572901</v>
      </c>
      <c r="R2269">
        <v>0.50102685395493196</v>
      </c>
      <c r="S2269">
        <v>19.9320040993459</v>
      </c>
      <c r="T2269">
        <v>-7.30858946896666E-2</v>
      </c>
      <c r="U2269">
        <v>-6.8796990463229504</v>
      </c>
      <c r="V2269">
        <v>0.94254848472998398</v>
      </c>
      <c r="W2269">
        <v>0.99926809132575301</v>
      </c>
      <c r="X2269">
        <v>0</v>
      </c>
      <c r="Y2269">
        <v>0</v>
      </c>
    </row>
    <row r="2270" spans="1:25" x14ac:dyDescent="0.2">
      <c r="A2270" t="s">
        <v>8512</v>
      </c>
      <c r="B2270" t="s">
        <v>8513</v>
      </c>
      <c r="C2270" t="s">
        <v>8514</v>
      </c>
      <c r="D2270" t="s">
        <v>8008</v>
      </c>
      <c r="E2270" t="s">
        <v>8513</v>
      </c>
      <c r="F2270" t="s">
        <v>28</v>
      </c>
      <c r="G2270" t="s">
        <v>8513</v>
      </c>
      <c r="H2270" t="str">
        <f>"acs-20"</f>
        <v>acs-20</v>
      </c>
      <c r="I2270" t="s">
        <v>8008</v>
      </c>
      <c r="J2270">
        <v>12.955766021353501</v>
      </c>
      <c r="K2270">
        <v>13.312022551519499</v>
      </c>
      <c r="L2270">
        <v>12.8205434271807</v>
      </c>
      <c r="M2270">
        <v>13.2324789321883</v>
      </c>
      <c r="N2270">
        <v>12.585064779842901</v>
      </c>
      <c r="O2270">
        <v>13.145003457039399</v>
      </c>
      <c r="P2270">
        <v>-4.1928276994355002E-2</v>
      </c>
      <c r="Q2270">
        <v>-0.48752298862334897</v>
      </c>
      <c r="R2270">
        <v>0.40366643463463903</v>
      </c>
      <c r="S2270">
        <v>12.766798422840999</v>
      </c>
      <c r="T2270">
        <v>-0.19861726671990801</v>
      </c>
      <c r="U2270">
        <v>-6.8618374234954196</v>
      </c>
      <c r="V2270">
        <v>0.84493258309512598</v>
      </c>
      <c r="W2270">
        <v>0.99370971747667503</v>
      </c>
      <c r="X2270">
        <v>0</v>
      </c>
      <c r="Y2270">
        <v>0</v>
      </c>
    </row>
    <row r="2271" spans="1:25" x14ac:dyDescent="0.2">
      <c r="A2271" t="s">
        <v>8515</v>
      </c>
      <c r="B2271" t="s">
        <v>8516</v>
      </c>
      <c r="C2271" t="s">
        <v>8517</v>
      </c>
      <c r="D2271" t="s">
        <v>8518</v>
      </c>
      <c r="E2271" t="s">
        <v>8516</v>
      </c>
      <c r="F2271" t="s">
        <v>28</v>
      </c>
      <c r="G2271" t="s">
        <v>8516</v>
      </c>
      <c r="H2271" t="str">
        <f>"hum-1"</f>
        <v>hum-1</v>
      </c>
      <c r="I2271" t="s">
        <v>8518</v>
      </c>
      <c r="J2271">
        <v>14.5473081269347</v>
      </c>
      <c r="K2271">
        <v>14.561675641384101</v>
      </c>
      <c r="L2271">
        <v>14.3331574949384</v>
      </c>
      <c r="M2271">
        <v>14.5239836670175</v>
      </c>
      <c r="N2271">
        <v>14.5178805557766</v>
      </c>
      <c r="O2271">
        <v>14.5390766392039</v>
      </c>
      <c r="P2271">
        <v>4.6266532913602297E-2</v>
      </c>
      <c r="Q2271">
        <v>-0.47965324853046098</v>
      </c>
      <c r="R2271">
        <v>0.57218631435766598</v>
      </c>
      <c r="S2271">
        <v>14.5277447962031</v>
      </c>
      <c r="T2271">
        <v>0.18490129922621901</v>
      </c>
      <c r="U2271">
        <v>-6.8646433700637104</v>
      </c>
      <c r="V2271">
        <v>0.85538585725944605</v>
      </c>
      <c r="W2271">
        <v>0.99370971747667503</v>
      </c>
      <c r="X2271">
        <v>0</v>
      </c>
      <c r="Y2271">
        <v>0</v>
      </c>
    </row>
    <row r="2272" spans="1:25" x14ac:dyDescent="0.2">
      <c r="A2272" t="s">
        <v>8519</v>
      </c>
      <c r="B2272" t="s">
        <v>8520</v>
      </c>
      <c r="C2272" t="s">
        <v>8521</v>
      </c>
      <c r="D2272" t="s">
        <v>8522</v>
      </c>
      <c r="E2272" t="s">
        <v>8520</v>
      </c>
      <c r="F2272" t="s">
        <v>28</v>
      </c>
      <c r="G2272" t="s">
        <v>8520</v>
      </c>
      <c r="H2272" t="str">
        <f>"sqv-4"</f>
        <v>sqv-4</v>
      </c>
      <c r="I2272" t="s">
        <v>8522</v>
      </c>
      <c r="J2272">
        <v>15.717928971600699</v>
      </c>
      <c r="K2272">
        <v>15.571001386628801</v>
      </c>
      <c r="L2272">
        <v>16.017398387800501</v>
      </c>
      <c r="M2272">
        <v>15.9954583469921</v>
      </c>
      <c r="N2272">
        <v>16.374091558328299</v>
      </c>
      <c r="O2272">
        <v>16.076279114865301</v>
      </c>
      <c r="P2272">
        <v>0.37983342471855203</v>
      </c>
      <c r="Q2272">
        <v>-9.0804820062488203E-2</v>
      </c>
      <c r="R2272">
        <v>0.85047166949959097</v>
      </c>
      <c r="S2272">
        <v>16.029793448464101</v>
      </c>
      <c r="T2272">
        <v>1.6962836526044101</v>
      </c>
      <c r="U2272">
        <v>-5.4894881293651103</v>
      </c>
      <c r="V2272">
        <v>0.10715829411776499</v>
      </c>
      <c r="W2272">
        <v>0.66924749930925698</v>
      </c>
      <c r="X2272">
        <v>0</v>
      </c>
      <c r="Y2272">
        <v>0</v>
      </c>
    </row>
    <row r="2273" spans="1:25" x14ac:dyDescent="0.2">
      <c r="A2273" t="s">
        <v>8523</v>
      </c>
      <c r="B2273" t="s">
        <v>8524</v>
      </c>
      <c r="C2273" t="s">
        <v>8525</v>
      </c>
      <c r="D2273" t="s">
        <v>8526</v>
      </c>
      <c r="E2273" t="s">
        <v>8524</v>
      </c>
      <c r="F2273" t="s">
        <v>28</v>
      </c>
      <c r="G2273" t="s">
        <v>8524</v>
      </c>
      <c r="H2273" t="str">
        <f>"tut-2"</f>
        <v>tut-2</v>
      </c>
      <c r="I2273" t="s">
        <v>8526</v>
      </c>
      <c r="J2273">
        <v>12.858930232012201</v>
      </c>
      <c r="K2273" t="s">
        <v>29</v>
      </c>
      <c r="L2273">
        <v>13.0313328258643</v>
      </c>
      <c r="M2273">
        <v>13.0762914671493</v>
      </c>
      <c r="N2273">
        <v>12.9000085769575</v>
      </c>
      <c r="O2273" t="s">
        <v>29</v>
      </c>
      <c r="P2273">
        <v>4.3018493115180703E-2</v>
      </c>
      <c r="Q2273">
        <v>-0.460427005202863</v>
      </c>
      <c r="R2273">
        <v>0.54646399143322499</v>
      </c>
      <c r="S2273">
        <v>12.896386652475799</v>
      </c>
      <c r="T2273">
        <v>0.18635787265218101</v>
      </c>
      <c r="U2273">
        <v>-6.6638202200293097</v>
      </c>
      <c r="V2273">
        <v>0.855304531607468</v>
      </c>
      <c r="W2273">
        <v>0.99370971747667503</v>
      </c>
      <c r="X2273">
        <v>0</v>
      </c>
      <c r="Y2273">
        <v>0</v>
      </c>
    </row>
    <row r="2274" spans="1:25" x14ac:dyDescent="0.2">
      <c r="A2274" t="s">
        <v>8527</v>
      </c>
      <c r="B2274" t="s">
        <v>8528</v>
      </c>
      <c r="C2274" t="s">
        <v>14458</v>
      </c>
      <c r="D2274" t="s">
        <v>323</v>
      </c>
      <c r="E2274" t="s">
        <v>8528</v>
      </c>
      <c r="F2274" t="s">
        <v>28</v>
      </c>
      <c r="G2274" t="s">
        <v>8528</v>
      </c>
      <c r="H2274" t="str">
        <f>"F31F6.1"</f>
        <v>F31F6.1</v>
      </c>
      <c r="I2274" t="s">
        <v>323</v>
      </c>
      <c r="J2274" t="s">
        <v>29</v>
      </c>
      <c r="K2274" t="s">
        <v>29</v>
      </c>
      <c r="L2274" t="s">
        <v>29</v>
      </c>
      <c r="M2274" t="s">
        <v>29</v>
      </c>
      <c r="N2274">
        <v>10.620617962450099</v>
      </c>
      <c r="O2274" t="s">
        <v>29</v>
      </c>
      <c r="P2274" t="s">
        <v>29</v>
      </c>
      <c r="Q2274" t="s">
        <v>29</v>
      </c>
      <c r="R2274" t="s">
        <v>29</v>
      </c>
      <c r="S2274">
        <v>11.222992523784001</v>
      </c>
      <c r="T2274" t="s">
        <v>29</v>
      </c>
      <c r="U2274" t="s">
        <v>29</v>
      </c>
      <c r="V2274" t="s">
        <v>29</v>
      </c>
      <c r="W2274" t="s">
        <v>29</v>
      </c>
      <c r="X2274" t="s">
        <v>29</v>
      </c>
      <c r="Y2274" t="s">
        <v>29</v>
      </c>
    </row>
    <row r="2275" spans="1:25" x14ac:dyDescent="0.2">
      <c r="A2275" t="s">
        <v>8529</v>
      </c>
      <c r="B2275" t="s">
        <v>8530</v>
      </c>
      <c r="C2275" t="s">
        <v>8531</v>
      </c>
      <c r="D2275" t="s">
        <v>8532</v>
      </c>
      <c r="E2275" t="s">
        <v>8530</v>
      </c>
      <c r="F2275" t="s">
        <v>28</v>
      </c>
      <c r="G2275" t="s">
        <v>8530</v>
      </c>
      <c r="H2275" t="str">
        <f>"lsm-4"</f>
        <v>lsm-4</v>
      </c>
      <c r="I2275" t="s">
        <v>8532</v>
      </c>
      <c r="J2275">
        <v>12.909083083827699</v>
      </c>
      <c r="K2275">
        <v>12.360720397797699</v>
      </c>
      <c r="L2275" t="s">
        <v>29</v>
      </c>
      <c r="M2275" t="s">
        <v>29</v>
      </c>
      <c r="N2275">
        <v>10.7961698953475</v>
      </c>
      <c r="O2275">
        <v>11.292557622446701</v>
      </c>
      <c r="P2275">
        <v>-1.5905379819156</v>
      </c>
      <c r="Q2275">
        <v>-2.5296351242397699</v>
      </c>
      <c r="R2275">
        <v>-0.65144083959143395</v>
      </c>
      <c r="S2275">
        <v>11.884025541608301</v>
      </c>
      <c r="T2275">
        <v>-4.0173256684806304</v>
      </c>
      <c r="U2275">
        <v>-2.0606021958949099</v>
      </c>
      <c r="V2275">
        <v>5.2377073899113396E-3</v>
      </c>
      <c r="W2275">
        <v>0.11392869407598</v>
      </c>
      <c r="X2275">
        <v>-1</v>
      </c>
      <c r="Y2275">
        <v>0</v>
      </c>
    </row>
    <row r="2276" spans="1:25" x14ac:dyDescent="0.2">
      <c r="A2276" t="s">
        <v>8533</v>
      </c>
      <c r="B2276" t="s">
        <v>8534</v>
      </c>
      <c r="C2276" t="s">
        <v>14459</v>
      </c>
      <c r="D2276" t="s">
        <v>8535</v>
      </c>
      <c r="E2276" t="s">
        <v>8534</v>
      </c>
      <c r="F2276" t="s">
        <v>28</v>
      </c>
      <c r="G2276" t="s">
        <v>8534</v>
      </c>
      <c r="H2276" t="str">
        <f>"F32D8.4"</f>
        <v>F32D8.4</v>
      </c>
      <c r="I2276" t="s">
        <v>8535</v>
      </c>
      <c r="J2276">
        <v>13.2107834055025</v>
      </c>
      <c r="K2276">
        <v>13.7208014434619</v>
      </c>
      <c r="L2276">
        <v>13.258586451609901</v>
      </c>
      <c r="M2276">
        <v>13.635873564327399</v>
      </c>
      <c r="N2276">
        <v>13.2215223252397</v>
      </c>
      <c r="O2276">
        <v>13.652427751939101</v>
      </c>
      <c r="P2276">
        <v>0.106550780310632</v>
      </c>
      <c r="Q2276">
        <v>-0.28936835423895402</v>
      </c>
      <c r="R2276">
        <v>0.50246991486021897</v>
      </c>
      <c r="S2276">
        <v>13.277846135481401</v>
      </c>
      <c r="T2276">
        <v>0.57082064625013296</v>
      </c>
      <c r="U2276">
        <v>-6.7128578725086001</v>
      </c>
      <c r="V2276">
        <v>0.576103121844741</v>
      </c>
      <c r="W2276">
        <v>0.96066330075004902</v>
      </c>
      <c r="X2276">
        <v>0</v>
      </c>
      <c r="Y2276">
        <v>0</v>
      </c>
    </row>
    <row r="2277" spans="1:25" x14ac:dyDescent="0.2">
      <c r="A2277" t="s">
        <v>8536</v>
      </c>
      <c r="B2277" t="s">
        <v>8537</v>
      </c>
      <c r="C2277" t="s">
        <v>8538</v>
      </c>
      <c r="D2277" t="s">
        <v>8539</v>
      </c>
      <c r="E2277" t="s">
        <v>8537</v>
      </c>
      <c r="F2277" t="s">
        <v>28</v>
      </c>
      <c r="G2277" t="s">
        <v>8537</v>
      </c>
      <c r="H2277" t="str">
        <f>"sec-61.G"</f>
        <v>sec-61.G</v>
      </c>
      <c r="I2277" t="s">
        <v>8539</v>
      </c>
      <c r="J2277">
        <v>13.5123519323185</v>
      </c>
      <c r="K2277">
        <v>14.399471657741699</v>
      </c>
      <c r="L2277">
        <v>14.5374665576593</v>
      </c>
      <c r="M2277">
        <v>14.7576644006385</v>
      </c>
      <c r="N2277">
        <v>13.908553024380501</v>
      </c>
      <c r="O2277">
        <v>14.1331341688053</v>
      </c>
      <c r="P2277">
        <v>0.116687148701624</v>
      </c>
      <c r="Q2277">
        <v>-0.60496783262363696</v>
      </c>
      <c r="R2277">
        <v>0.83834213002688496</v>
      </c>
      <c r="S2277">
        <v>14.537708812765</v>
      </c>
      <c r="T2277">
        <v>0.33984894589196102</v>
      </c>
      <c r="U2277">
        <v>-6.8223383574174603</v>
      </c>
      <c r="V2277">
        <v>0.73792663204345599</v>
      </c>
      <c r="W2277">
        <v>0.99147544347995398</v>
      </c>
      <c r="X2277">
        <v>0</v>
      </c>
      <c r="Y2277">
        <v>0</v>
      </c>
    </row>
    <row r="2278" spans="1:25" x14ac:dyDescent="0.2">
      <c r="A2278" t="s">
        <v>8540</v>
      </c>
      <c r="B2278" t="s">
        <v>8541</v>
      </c>
      <c r="C2278" t="s">
        <v>8542</v>
      </c>
      <c r="D2278" t="s">
        <v>8543</v>
      </c>
      <c r="E2278" t="s">
        <v>8541</v>
      </c>
      <c r="F2278" t="s">
        <v>28</v>
      </c>
      <c r="G2278" t="s">
        <v>8541</v>
      </c>
      <c r="H2278" t="str">
        <f>"ima-3"</f>
        <v>ima-3</v>
      </c>
      <c r="I2278" t="s">
        <v>8543</v>
      </c>
      <c r="J2278">
        <v>16.255476680953201</v>
      </c>
      <c r="K2278">
        <v>16.318266709624201</v>
      </c>
      <c r="L2278">
        <v>16.325307718867101</v>
      </c>
      <c r="M2278">
        <v>16.813555611459702</v>
      </c>
      <c r="N2278">
        <v>16.890726466433101</v>
      </c>
      <c r="O2278">
        <v>16.723910381873399</v>
      </c>
      <c r="P2278">
        <v>0.50971378344060603</v>
      </c>
      <c r="Q2278">
        <v>2.4712634108282599E-2</v>
      </c>
      <c r="R2278">
        <v>0.99471493277292999</v>
      </c>
      <c r="S2278">
        <v>16.352062882389198</v>
      </c>
      <c r="T2278">
        <v>2.20890034542975</v>
      </c>
      <c r="U2278">
        <v>-4.6311322421361396</v>
      </c>
      <c r="V2278">
        <v>4.0466098218031002E-2</v>
      </c>
      <c r="W2278">
        <v>0.43565163651932598</v>
      </c>
      <c r="X2278">
        <v>0</v>
      </c>
      <c r="Y2278">
        <v>0</v>
      </c>
    </row>
    <row r="2279" spans="1:25" x14ac:dyDescent="0.2">
      <c r="A2279" t="s">
        <v>8544</v>
      </c>
      <c r="B2279" t="s">
        <v>8545</v>
      </c>
      <c r="C2279" t="s">
        <v>8546</v>
      </c>
      <c r="D2279" t="s">
        <v>8547</v>
      </c>
      <c r="E2279" t="s">
        <v>8545</v>
      </c>
      <c r="F2279" t="s">
        <v>28</v>
      </c>
      <c r="G2279" t="s">
        <v>8545</v>
      </c>
      <c r="H2279" t="str">
        <f>"cec-4"</f>
        <v>cec-4</v>
      </c>
      <c r="I2279" t="s">
        <v>8547</v>
      </c>
      <c r="J2279">
        <v>10.7714048159953</v>
      </c>
      <c r="K2279" t="s">
        <v>29</v>
      </c>
      <c r="L2279">
        <v>10.756736470652401</v>
      </c>
      <c r="M2279">
        <v>10.9858989020197</v>
      </c>
      <c r="N2279">
        <v>10.930449262803</v>
      </c>
      <c r="O2279">
        <v>10.8719673405515</v>
      </c>
      <c r="P2279">
        <v>0.16536785846753499</v>
      </c>
      <c r="Q2279">
        <v>-0.36408517573236898</v>
      </c>
      <c r="R2279">
        <v>0.69482089266743896</v>
      </c>
      <c r="S2279">
        <v>11.5913101593767</v>
      </c>
      <c r="T2279">
        <v>0.67037151702556197</v>
      </c>
      <c r="U2279">
        <v>-6.5382430732370302</v>
      </c>
      <c r="V2279">
        <v>0.51360932642821999</v>
      </c>
      <c r="W2279">
        <v>0.94175858862430595</v>
      </c>
      <c r="X2279">
        <v>0</v>
      </c>
      <c r="Y2279">
        <v>0</v>
      </c>
    </row>
    <row r="2280" spans="1:25" x14ac:dyDescent="0.2">
      <c r="A2280" t="s">
        <v>8548</v>
      </c>
      <c r="B2280" t="s">
        <v>8549</v>
      </c>
      <c r="C2280" t="s">
        <v>8550</v>
      </c>
      <c r="D2280" t="s">
        <v>3680</v>
      </c>
      <c r="E2280" t="s">
        <v>8549</v>
      </c>
      <c r="F2280" t="s">
        <v>28</v>
      </c>
      <c r="G2280" t="s">
        <v>8549</v>
      </c>
      <c r="H2280" t="str">
        <f>"cec-5"</f>
        <v>cec-5</v>
      </c>
      <c r="I2280" t="s">
        <v>3680</v>
      </c>
      <c r="J2280">
        <v>13.963365427567799</v>
      </c>
      <c r="K2280">
        <v>15.030845387482501</v>
      </c>
      <c r="L2280">
        <v>15.3090003240954</v>
      </c>
      <c r="M2280">
        <v>15.9733061703218</v>
      </c>
      <c r="N2280">
        <v>15.585631231684999</v>
      </c>
      <c r="O2280">
        <v>16.031328556312801</v>
      </c>
      <c r="P2280">
        <v>1.09568493972461</v>
      </c>
      <c r="Q2280">
        <v>0.30413904751812798</v>
      </c>
      <c r="R2280">
        <v>1.8872308319311</v>
      </c>
      <c r="S2280">
        <v>15.6141989929801</v>
      </c>
      <c r="T2280">
        <v>2.9093911001948598</v>
      </c>
      <c r="U2280">
        <v>-3.2693377458801001</v>
      </c>
      <c r="V2280">
        <v>9.3944507139310206E-3</v>
      </c>
      <c r="W2280">
        <v>0.17005349260741301</v>
      </c>
      <c r="X2280">
        <v>1</v>
      </c>
      <c r="Y2280">
        <v>0</v>
      </c>
    </row>
    <row r="2281" spans="1:25" x14ac:dyDescent="0.2">
      <c r="A2281" t="s">
        <v>8551</v>
      </c>
      <c r="B2281" t="s">
        <v>8552</v>
      </c>
      <c r="C2281" t="s">
        <v>8553</v>
      </c>
      <c r="D2281" t="s">
        <v>8554</v>
      </c>
      <c r="E2281" t="s">
        <v>8552</v>
      </c>
      <c r="F2281" t="s">
        <v>28</v>
      </c>
      <c r="G2281" t="s">
        <v>8552</v>
      </c>
      <c r="H2281" t="str">
        <f>"nol-10"</f>
        <v>nol-10</v>
      </c>
      <c r="I2281" t="s">
        <v>8554</v>
      </c>
      <c r="J2281">
        <v>12.1515905215656</v>
      </c>
      <c r="K2281">
        <v>12.093400980200199</v>
      </c>
      <c r="L2281">
        <v>12.426109126619201</v>
      </c>
      <c r="M2281">
        <v>12.0631800217941</v>
      </c>
      <c r="N2281">
        <v>12.577596424675701</v>
      </c>
      <c r="O2281">
        <v>12.2684927708549</v>
      </c>
      <c r="P2281">
        <v>7.9389529646627793E-2</v>
      </c>
      <c r="Q2281">
        <v>-0.33643450772079297</v>
      </c>
      <c r="R2281">
        <v>0.49521356701404901</v>
      </c>
      <c r="S2281">
        <v>12.4716731016927</v>
      </c>
      <c r="T2281">
        <v>0.40299870564083301</v>
      </c>
      <c r="U2281">
        <v>-6.7977766265215003</v>
      </c>
      <c r="V2281">
        <v>0.69200304712678895</v>
      </c>
      <c r="W2281">
        <v>0.98642420921484297</v>
      </c>
      <c r="X2281">
        <v>0</v>
      </c>
      <c r="Y2281">
        <v>0</v>
      </c>
    </row>
    <row r="2282" spans="1:25" x14ac:dyDescent="0.2">
      <c r="A2282" t="s">
        <v>8555</v>
      </c>
      <c r="B2282" t="s">
        <v>8556</v>
      </c>
      <c r="C2282" t="s">
        <v>14460</v>
      </c>
      <c r="D2282" t="s">
        <v>8557</v>
      </c>
      <c r="E2282" t="s">
        <v>8556</v>
      </c>
      <c r="F2282" t="s">
        <v>28</v>
      </c>
      <c r="G2282" t="s">
        <v>8556</v>
      </c>
      <c r="H2282" t="str">
        <f>"F33G12.3"</f>
        <v>F33G12.3</v>
      </c>
      <c r="I2282" t="s">
        <v>8557</v>
      </c>
      <c r="J2282">
        <v>12.471454706886099</v>
      </c>
      <c r="K2282">
        <v>12.572958841063301</v>
      </c>
      <c r="L2282">
        <v>12.093112967982099</v>
      </c>
      <c r="M2282">
        <v>12.905653494596301</v>
      </c>
      <c r="N2282">
        <v>12.031670677504</v>
      </c>
      <c r="O2282">
        <v>12.212495967143999</v>
      </c>
      <c r="P2282">
        <v>4.0978744375887999E-3</v>
      </c>
      <c r="Q2282">
        <v>-0.54466703138541595</v>
      </c>
      <c r="R2282">
        <v>0.55286278026059299</v>
      </c>
      <c r="S2282">
        <v>12.526263758114601</v>
      </c>
      <c r="T2282">
        <v>1.57623994917554E-2</v>
      </c>
      <c r="U2282">
        <v>-6.8823593523853601</v>
      </c>
      <c r="V2282">
        <v>0.98760858991486999</v>
      </c>
      <c r="W2282">
        <v>0.99968702248720698</v>
      </c>
      <c r="X2282">
        <v>0</v>
      </c>
      <c r="Y2282">
        <v>0</v>
      </c>
    </row>
    <row r="2283" spans="1:25" x14ac:dyDescent="0.2">
      <c r="A2283" t="s">
        <v>8558</v>
      </c>
      <c r="B2283" t="s">
        <v>8559</v>
      </c>
      <c r="C2283" t="s">
        <v>14461</v>
      </c>
      <c r="D2283" t="s">
        <v>130</v>
      </c>
      <c r="E2283" t="s">
        <v>8559</v>
      </c>
      <c r="F2283" t="s">
        <v>28</v>
      </c>
      <c r="G2283" t="s">
        <v>8559</v>
      </c>
      <c r="H2283" t="str">
        <f>"F33H1.4"</f>
        <v>F33H1.4</v>
      </c>
      <c r="I2283" t="s">
        <v>130</v>
      </c>
      <c r="J2283" t="s">
        <v>29</v>
      </c>
      <c r="K2283" t="s">
        <v>29</v>
      </c>
      <c r="L2283">
        <v>12.2819969722749</v>
      </c>
      <c r="M2283" t="s">
        <v>29</v>
      </c>
      <c r="N2283" t="s">
        <v>29</v>
      </c>
      <c r="O2283">
        <v>13.689120438149001</v>
      </c>
      <c r="P2283">
        <v>1.40712346587418</v>
      </c>
      <c r="Q2283">
        <v>-0.19664007494512101</v>
      </c>
      <c r="R2283">
        <v>3.0108870066934901</v>
      </c>
      <c r="S2283">
        <v>13.212882004881401</v>
      </c>
      <c r="T2283">
        <v>1.9577568843761901</v>
      </c>
      <c r="U2283">
        <v>-4.6234743020667599</v>
      </c>
      <c r="V2283">
        <v>7.9035049427086099E-2</v>
      </c>
      <c r="W2283">
        <v>0.60076942510977904</v>
      </c>
      <c r="X2283">
        <v>0</v>
      </c>
      <c r="Y2283">
        <v>0</v>
      </c>
    </row>
    <row r="2284" spans="1:25" x14ac:dyDescent="0.2">
      <c r="A2284" t="s">
        <v>8560</v>
      </c>
      <c r="B2284" t="s">
        <v>8561</v>
      </c>
      <c r="C2284" t="s">
        <v>14462</v>
      </c>
      <c r="D2284" t="s">
        <v>130</v>
      </c>
      <c r="E2284" t="s">
        <v>8561</v>
      </c>
      <c r="F2284" t="s">
        <v>28</v>
      </c>
      <c r="G2284" t="s">
        <v>8561</v>
      </c>
      <c r="H2284" t="str">
        <f>"F34D10.4"</f>
        <v>F34D10.4</v>
      </c>
      <c r="I2284" t="s">
        <v>130</v>
      </c>
      <c r="J2284">
        <v>13.0147144913378</v>
      </c>
      <c r="K2284">
        <v>13.050677390946699</v>
      </c>
      <c r="L2284">
        <v>13.408580090188099</v>
      </c>
      <c r="M2284">
        <v>12.8258877408835</v>
      </c>
      <c r="N2284">
        <v>12.999798195411399</v>
      </c>
      <c r="O2284">
        <v>11.5599931841786</v>
      </c>
      <c r="P2284">
        <v>-0.69609761733303399</v>
      </c>
      <c r="Q2284">
        <v>-1.3233299457905501</v>
      </c>
      <c r="R2284">
        <v>-6.8865288875515407E-2</v>
      </c>
      <c r="S2284">
        <v>13.0926447734567</v>
      </c>
      <c r="T2284">
        <v>-2.3425654083283098</v>
      </c>
      <c r="U2284">
        <v>-4.3957649239603001</v>
      </c>
      <c r="V2284">
        <v>3.1660320198825399E-2</v>
      </c>
      <c r="W2284">
        <v>0.38454578694047797</v>
      </c>
      <c r="X2284">
        <v>0</v>
      </c>
      <c r="Y2284">
        <v>0</v>
      </c>
    </row>
    <row r="2285" spans="1:25" x14ac:dyDescent="0.2">
      <c r="A2285" t="s">
        <v>8562</v>
      </c>
      <c r="B2285" t="s">
        <v>8563</v>
      </c>
      <c r="C2285" t="s">
        <v>14463</v>
      </c>
      <c r="D2285" t="s">
        <v>319</v>
      </c>
      <c r="E2285" t="s">
        <v>8563</v>
      </c>
      <c r="F2285" t="s">
        <v>28</v>
      </c>
      <c r="G2285" t="s">
        <v>8563</v>
      </c>
      <c r="H2285" t="str">
        <f>"F10G7.5"</f>
        <v>F10G7.5</v>
      </c>
      <c r="I2285" t="s">
        <v>319</v>
      </c>
      <c r="J2285">
        <v>12.3940238463941</v>
      </c>
      <c r="K2285">
        <v>11.802148891227599</v>
      </c>
      <c r="L2285">
        <v>12.537250935060801</v>
      </c>
      <c r="M2285">
        <v>12.002917800769501</v>
      </c>
      <c r="N2285">
        <v>12.254767166282299</v>
      </c>
      <c r="O2285">
        <v>11.9810741174703</v>
      </c>
      <c r="P2285">
        <v>-0.16488819605347699</v>
      </c>
      <c r="Q2285">
        <v>-0.74520833377558704</v>
      </c>
      <c r="R2285">
        <v>0.41543194166863301</v>
      </c>
      <c r="S2285">
        <v>12.3081162257833</v>
      </c>
      <c r="T2285">
        <v>-0.60265873433799599</v>
      </c>
      <c r="U2285">
        <v>-6.6936278291774096</v>
      </c>
      <c r="V2285">
        <v>0.55523714384186695</v>
      </c>
      <c r="W2285">
        <v>0.95555711976758795</v>
      </c>
      <c r="X2285">
        <v>0</v>
      </c>
      <c r="Y2285">
        <v>0</v>
      </c>
    </row>
    <row r="2286" spans="1:25" x14ac:dyDescent="0.2">
      <c r="A2286" t="s">
        <v>8564</v>
      </c>
      <c r="B2286" t="s">
        <v>8565</v>
      </c>
      <c r="C2286" t="s">
        <v>14464</v>
      </c>
      <c r="D2286" t="s">
        <v>8566</v>
      </c>
      <c r="E2286" t="s">
        <v>8565</v>
      </c>
      <c r="F2286" t="s">
        <v>28</v>
      </c>
      <c r="G2286" t="s">
        <v>8565</v>
      </c>
      <c r="H2286" t="str">
        <f>"D2021.4"</f>
        <v>D2021.4</v>
      </c>
      <c r="I2286" t="s">
        <v>8566</v>
      </c>
      <c r="J2286">
        <v>11.8389992757988</v>
      </c>
      <c r="K2286">
        <v>11.483928298671399</v>
      </c>
      <c r="L2286">
        <v>11.9611481926468</v>
      </c>
      <c r="M2286">
        <v>11.8011211649168</v>
      </c>
      <c r="N2286">
        <v>11.3433616804179</v>
      </c>
      <c r="O2286">
        <v>11.283555790752301</v>
      </c>
      <c r="P2286">
        <v>-0.285345710343332</v>
      </c>
      <c r="Q2286">
        <v>-0.92177915244989705</v>
      </c>
      <c r="R2286">
        <v>0.35108773176323299</v>
      </c>
      <c r="S2286">
        <v>11.557435636037701</v>
      </c>
      <c r="T2286">
        <v>-0.96229947495776003</v>
      </c>
      <c r="U2286">
        <v>-6.40711124823991</v>
      </c>
      <c r="V2286">
        <v>0.35234770251022501</v>
      </c>
      <c r="W2286">
        <v>0.87950242192597095</v>
      </c>
      <c r="X2286">
        <v>0</v>
      </c>
      <c r="Y2286">
        <v>0</v>
      </c>
    </row>
    <row r="2287" spans="1:25" x14ac:dyDescent="0.2">
      <c r="A2287" t="s">
        <v>8567</v>
      </c>
      <c r="B2287" t="s">
        <v>8568</v>
      </c>
      <c r="C2287" t="s">
        <v>8569</v>
      </c>
      <c r="D2287" t="s">
        <v>8570</v>
      </c>
      <c r="E2287" t="s">
        <v>8568</v>
      </c>
      <c r="F2287" t="s">
        <v>28</v>
      </c>
      <c r="G2287" t="s">
        <v>8568</v>
      </c>
      <c r="H2287" t="str">
        <f>"rps-24"</f>
        <v>rps-24</v>
      </c>
      <c r="I2287" t="s">
        <v>8570</v>
      </c>
      <c r="J2287">
        <v>18.685152560784399</v>
      </c>
      <c r="K2287">
        <v>18.909484105060201</v>
      </c>
      <c r="L2287">
        <v>18.965408623928301</v>
      </c>
      <c r="M2287">
        <v>18.925955051054402</v>
      </c>
      <c r="N2287">
        <v>18.4148589040697</v>
      </c>
      <c r="O2287">
        <v>18.691867433791099</v>
      </c>
      <c r="P2287">
        <v>-0.175787966952548</v>
      </c>
      <c r="Q2287">
        <v>-0.55348453274937304</v>
      </c>
      <c r="R2287">
        <v>0.201908598844277</v>
      </c>
      <c r="S2287">
        <v>18.769800792319302</v>
      </c>
      <c r="T2287">
        <v>-0.97822469109792198</v>
      </c>
      <c r="U2287">
        <v>-6.3955419015714901</v>
      </c>
      <c r="V2287">
        <v>0.34100349221801401</v>
      </c>
      <c r="W2287">
        <v>0.876350511665964</v>
      </c>
      <c r="X2287">
        <v>0</v>
      </c>
      <c r="Y2287">
        <v>0</v>
      </c>
    </row>
    <row r="2288" spans="1:25" x14ac:dyDescent="0.2">
      <c r="A2288" t="s">
        <v>8571</v>
      </c>
      <c r="B2288" t="s">
        <v>8572</v>
      </c>
      <c r="C2288" t="s">
        <v>8573</v>
      </c>
      <c r="D2288" t="s">
        <v>8574</v>
      </c>
      <c r="E2288" t="s">
        <v>8572</v>
      </c>
      <c r="F2288" t="s">
        <v>28</v>
      </c>
      <c r="G2288" t="s">
        <v>8572</v>
      </c>
      <c r="H2288" t="str">
        <f>"sas-5"</f>
        <v>sas-5</v>
      </c>
      <c r="I2288" t="s">
        <v>8574</v>
      </c>
      <c r="J2288">
        <v>11.88901382907</v>
      </c>
      <c r="K2288">
        <v>12.4371464076176</v>
      </c>
      <c r="L2288">
        <v>12.1942763807209</v>
      </c>
      <c r="M2288" t="s">
        <v>29</v>
      </c>
      <c r="N2288">
        <v>12.5823069974221</v>
      </c>
      <c r="O2288" t="s">
        <v>29</v>
      </c>
      <c r="P2288">
        <v>0.40882812495262399</v>
      </c>
      <c r="Q2288">
        <v>-0.15972054836579599</v>
      </c>
      <c r="R2288">
        <v>0.97737679827104396</v>
      </c>
      <c r="S2288">
        <v>13.013080400243799</v>
      </c>
      <c r="T2288">
        <v>1.5682602224000799</v>
      </c>
      <c r="U2288">
        <v>-5.3564414781926999</v>
      </c>
      <c r="V2288">
        <v>0.143024872329226</v>
      </c>
      <c r="W2288">
        <v>0.73454749245627204</v>
      </c>
      <c r="X2288">
        <v>0</v>
      </c>
      <c r="Y2288">
        <v>0</v>
      </c>
    </row>
    <row r="2289" spans="1:25" x14ac:dyDescent="0.2">
      <c r="A2289" t="s">
        <v>8575</v>
      </c>
      <c r="B2289" t="s">
        <v>8576</v>
      </c>
      <c r="C2289" t="s">
        <v>8577</v>
      </c>
      <c r="D2289" t="s">
        <v>8578</v>
      </c>
      <c r="E2289" t="s">
        <v>8576</v>
      </c>
      <c r="F2289" t="s">
        <v>28</v>
      </c>
      <c r="G2289" t="s">
        <v>8576</v>
      </c>
      <c r="H2289" t="str">
        <f>"dhs-20"</f>
        <v>dhs-20</v>
      </c>
      <c r="I2289" t="s">
        <v>8578</v>
      </c>
      <c r="J2289">
        <v>15.0339239542334</v>
      </c>
      <c r="K2289">
        <v>14.7376120962995</v>
      </c>
      <c r="L2289">
        <v>14.3446120390853</v>
      </c>
      <c r="M2289">
        <v>14.6682695988882</v>
      </c>
      <c r="N2289">
        <v>14.504718283114199</v>
      </c>
      <c r="O2289">
        <v>14.6864265251261</v>
      </c>
      <c r="P2289">
        <v>-8.5577894163257895E-2</v>
      </c>
      <c r="Q2289">
        <v>-0.48087130171057801</v>
      </c>
      <c r="R2289">
        <v>0.309715513384062</v>
      </c>
      <c r="S2289">
        <v>14.266591514644301</v>
      </c>
      <c r="T2289">
        <v>-0.456974574485978</v>
      </c>
      <c r="U2289">
        <v>-6.77371453400528</v>
      </c>
      <c r="V2289">
        <v>0.65351016768532899</v>
      </c>
      <c r="W2289">
        <v>0.98150210052054998</v>
      </c>
      <c r="X2289">
        <v>0</v>
      </c>
      <c r="Y2289">
        <v>0</v>
      </c>
    </row>
    <row r="2290" spans="1:25" x14ac:dyDescent="0.2">
      <c r="A2290" t="s">
        <v>8579</v>
      </c>
      <c r="B2290" t="s">
        <v>8580</v>
      </c>
      <c r="C2290" t="s">
        <v>8581</v>
      </c>
      <c r="D2290" t="s">
        <v>8582</v>
      </c>
      <c r="E2290" t="s">
        <v>8580</v>
      </c>
      <c r="F2290" t="s">
        <v>28</v>
      </c>
      <c r="G2290" t="s">
        <v>8580</v>
      </c>
      <c r="H2290" t="str">
        <f>"F35C8.5"</f>
        <v>F35C8.5</v>
      </c>
      <c r="I2290" t="s">
        <v>8582</v>
      </c>
      <c r="J2290">
        <v>14.038239870105899</v>
      </c>
      <c r="K2290">
        <v>14.2492020766219</v>
      </c>
      <c r="L2290">
        <v>14.083357914311</v>
      </c>
      <c r="M2290">
        <v>13.6420710121611</v>
      </c>
      <c r="N2290">
        <v>13.7891558842144</v>
      </c>
      <c r="O2290">
        <v>13.867535122923901</v>
      </c>
      <c r="P2290">
        <v>-0.35734594724644902</v>
      </c>
      <c r="Q2290">
        <v>-0.84097902658023105</v>
      </c>
      <c r="R2290">
        <v>0.126287132087333</v>
      </c>
      <c r="S2290">
        <v>14.0164108554793</v>
      </c>
      <c r="T2290">
        <v>-1.55963465373379</v>
      </c>
      <c r="U2290">
        <v>-5.69223905484818</v>
      </c>
      <c r="V2290">
        <v>0.13738077251365</v>
      </c>
      <c r="W2290">
        <v>0.72716651652323006</v>
      </c>
      <c r="X2290">
        <v>0</v>
      </c>
      <c r="Y2290">
        <v>0</v>
      </c>
    </row>
    <row r="2291" spans="1:25" x14ac:dyDescent="0.2">
      <c r="A2291" t="s">
        <v>8583</v>
      </c>
      <c r="B2291" t="s">
        <v>8584</v>
      </c>
      <c r="C2291" t="s">
        <v>14465</v>
      </c>
      <c r="D2291" t="s">
        <v>8585</v>
      </c>
      <c r="E2291" t="s">
        <v>8584</v>
      </c>
      <c r="F2291" t="s">
        <v>28</v>
      </c>
      <c r="G2291" t="s">
        <v>8584</v>
      </c>
      <c r="H2291" t="str">
        <f>"F35D11.4"</f>
        <v>F35D11.4</v>
      </c>
      <c r="I2291" t="s">
        <v>8585</v>
      </c>
      <c r="J2291">
        <v>16.670032797751801</v>
      </c>
      <c r="K2291" t="s">
        <v>29</v>
      </c>
      <c r="L2291" t="s">
        <v>29</v>
      </c>
      <c r="M2291" t="s">
        <v>29</v>
      </c>
      <c r="N2291">
        <v>12.3216106590745</v>
      </c>
      <c r="O2291">
        <v>15.9010769507695</v>
      </c>
      <c r="P2291">
        <v>-2.5586889928297598</v>
      </c>
      <c r="Q2291">
        <v>-4.8213683362272297</v>
      </c>
      <c r="R2291">
        <v>-0.29600964943228403</v>
      </c>
      <c r="S2291">
        <v>15.1178018714483</v>
      </c>
      <c r="T2291">
        <v>-2.4918516421728798</v>
      </c>
      <c r="U2291">
        <v>-3.8780599723507501</v>
      </c>
      <c r="V2291">
        <v>3.0123337506336001E-2</v>
      </c>
      <c r="W2291">
        <v>0.38350268280793198</v>
      </c>
      <c r="X2291">
        <v>-1</v>
      </c>
      <c r="Y2291">
        <v>0</v>
      </c>
    </row>
    <row r="2292" spans="1:25" x14ac:dyDescent="0.2">
      <c r="A2292" t="s">
        <v>8586</v>
      </c>
      <c r="B2292" t="s">
        <v>8587</v>
      </c>
      <c r="C2292" t="s">
        <v>8588</v>
      </c>
      <c r="D2292" t="s">
        <v>2334</v>
      </c>
      <c r="E2292" t="s">
        <v>8587</v>
      </c>
      <c r="F2292" t="s">
        <v>28</v>
      </c>
      <c r="G2292" t="s">
        <v>8587</v>
      </c>
      <c r="H2292" t="str">
        <f>"clec-139"</f>
        <v>clec-139</v>
      </c>
      <c r="I2292" t="s">
        <v>2334</v>
      </c>
      <c r="J2292">
        <v>12.9820510509314</v>
      </c>
      <c r="K2292">
        <v>17.196929098030999</v>
      </c>
      <c r="L2292" t="s">
        <v>29</v>
      </c>
      <c r="M2292">
        <v>15.1645531098657</v>
      </c>
      <c r="N2292">
        <v>13.860039254028701</v>
      </c>
      <c r="O2292">
        <v>13.877299187056099</v>
      </c>
      <c r="P2292">
        <v>-0.78885955749769499</v>
      </c>
      <c r="Q2292">
        <v>-3.3114269466889499</v>
      </c>
      <c r="R2292">
        <v>1.7337078316935599</v>
      </c>
      <c r="S2292">
        <v>13.6107255130211</v>
      </c>
      <c r="T2292">
        <v>-0.68202756427269895</v>
      </c>
      <c r="U2292">
        <v>-6.5281161624500896</v>
      </c>
      <c r="V2292">
        <v>0.50828465866600803</v>
      </c>
      <c r="W2292">
        <v>0.94062983959761604</v>
      </c>
      <c r="X2292">
        <v>0</v>
      </c>
      <c r="Y2292">
        <v>0</v>
      </c>
    </row>
    <row r="2293" spans="1:25" x14ac:dyDescent="0.2">
      <c r="A2293" t="s">
        <v>8589</v>
      </c>
      <c r="B2293" t="s">
        <v>8590</v>
      </c>
      <c r="C2293" t="s">
        <v>8591</v>
      </c>
      <c r="D2293" t="s">
        <v>8592</v>
      </c>
      <c r="E2293" t="s">
        <v>8590</v>
      </c>
      <c r="F2293" t="s">
        <v>28</v>
      </c>
      <c r="G2293" t="s">
        <v>8590</v>
      </c>
      <c r="H2293" t="str">
        <f>"mlcd-1"</f>
        <v>mlcd-1</v>
      </c>
      <c r="I2293" t="s">
        <v>8592</v>
      </c>
      <c r="J2293">
        <v>14.056774565879</v>
      </c>
      <c r="K2293">
        <v>14.3215042641694</v>
      </c>
      <c r="L2293">
        <v>13.6367805119992</v>
      </c>
      <c r="M2293">
        <v>13.962485017304401</v>
      </c>
      <c r="N2293">
        <v>13.4593291539103</v>
      </c>
      <c r="O2293">
        <v>14.0411232707884</v>
      </c>
      <c r="P2293">
        <v>-0.18404063334816501</v>
      </c>
      <c r="Q2293">
        <v>-0.72520640076349296</v>
      </c>
      <c r="R2293">
        <v>0.35712513406716401</v>
      </c>
      <c r="S2293">
        <v>13.662688299460701</v>
      </c>
      <c r="T2293">
        <v>-0.72132823541039903</v>
      </c>
      <c r="U2293">
        <v>-6.6132449148017303</v>
      </c>
      <c r="V2293">
        <v>0.48118394660661701</v>
      </c>
      <c r="W2293">
        <v>0.93764446794243095</v>
      </c>
      <c r="X2293">
        <v>0</v>
      </c>
      <c r="Y2293">
        <v>0</v>
      </c>
    </row>
    <row r="2294" spans="1:25" x14ac:dyDescent="0.2">
      <c r="A2294" t="s">
        <v>8593</v>
      </c>
      <c r="B2294" t="s">
        <v>8594</v>
      </c>
      <c r="C2294" t="s">
        <v>8595</v>
      </c>
      <c r="D2294" t="s">
        <v>8596</v>
      </c>
      <c r="E2294" t="s">
        <v>8594</v>
      </c>
      <c r="F2294" t="s">
        <v>28</v>
      </c>
      <c r="G2294" t="s">
        <v>8594</v>
      </c>
      <c r="H2294" t="str">
        <f>"idhg-1"</f>
        <v>idhg-1</v>
      </c>
      <c r="I2294" t="s">
        <v>8596</v>
      </c>
      <c r="J2294">
        <v>13.279787778586799</v>
      </c>
      <c r="K2294">
        <v>13.2268797601873</v>
      </c>
      <c r="L2294">
        <v>13.230118869960901</v>
      </c>
      <c r="M2294">
        <v>12.9070176448843</v>
      </c>
      <c r="N2294">
        <v>13.548638431689501</v>
      </c>
      <c r="O2294">
        <v>12.854348233162799</v>
      </c>
      <c r="P2294">
        <v>-0.14226069966611399</v>
      </c>
      <c r="Q2294">
        <v>-0.89035723232988795</v>
      </c>
      <c r="R2294">
        <v>0.60583583299765997</v>
      </c>
      <c r="S2294">
        <v>13.362078554402</v>
      </c>
      <c r="T2294">
        <v>-0.39968680558516301</v>
      </c>
      <c r="U2294">
        <v>-6.79939491616864</v>
      </c>
      <c r="V2294">
        <v>0.69411749002015499</v>
      </c>
      <c r="W2294">
        <v>0.98642420921484297</v>
      </c>
      <c r="X2294">
        <v>0</v>
      </c>
      <c r="Y2294">
        <v>0</v>
      </c>
    </row>
    <row r="2295" spans="1:25" x14ac:dyDescent="0.2">
      <c r="A2295" t="s">
        <v>8597</v>
      </c>
      <c r="B2295" t="s">
        <v>8598</v>
      </c>
      <c r="C2295" t="s">
        <v>8599</v>
      </c>
      <c r="D2295" t="s">
        <v>8600</v>
      </c>
      <c r="E2295" t="s">
        <v>8598</v>
      </c>
      <c r="F2295" t="s">
        <v>28</v>
      </c>
      <c r="G2295" t="s">
        <v>8598</v>
      </c>
      <c r="H2295" t="str">
        <f>"asb-1"</f>
        <v>asb-1</v>
      </c>
      <c r="I2295" t="s">
        <v>8600</v>
      </c>
      <c r="J2295">
        <v>15.0710860439786</v>
      </c>
      <c r="K2295">
        <v>14.4102487464733</v>
      </c>
      <c r="L2295">
        <v>14.8462071013396</v>
      </c>
      <c r="M2295">
        <v>14.732670845903501</v>
      </c>
      <c r="N2295">
        <v>14.664370141105501</v>
      </c>
      <c r="O2295">
        <v>14.348640152847</v>
      </c>
      <c r="P2295">
        <v>-0.19395358397846599</v>
      </c>
      <c r="Q2295">
        <v>-0.66245152705273502</v>
      </c>
      <c r="R2295">
        <v>0.27454435909580299</v>
      </c>
      <c r="S2295">
        <v>14.725735888130499</v>
      </c>
      <c r="T2295">
        <v>-0.87385652580207596</v>
      </c>
      <c r="U2295">
        <v>-6.4911189497552302</v>
      </c>
      <c r="V2295">
        <v>0.39444825660108102</v>
      </c>
      <c r="W2295">
        <v>0.90975406915825197</v>
      </c>
      <c r="X2295">
        <v>0</v>
      </c>
      <c r="Y2295">
        <v>0</v>
      </c>
    </row>
    <row r="2296" spans="1:25" x14ac:dyDescent="0.2">
      <c r="A2296" t="s">
        <v>8601</v>
      </c>
      <c r="B2296" t="s">
        <v>8602</v>
      </c>
      <c r="C2296" t="s">
        <v>8603</v>
      </c>
      <c r="D2296" t="s">
        <v>8604</v>
      </c>
      <c r="E2296" t="s">
        <v>8602</v>
      </c>
      <c r="F2296" t="s">
        <v>28</v>
      </c>
      <c r="G2296" t="s">
        <v>8602</v>
      </c>
      <c r="H2296" t="str">
        <f>"mab-21"</f>
        <v>mab-21</v>
      </c>
      <c r="I2296" t="s">
        <v>8604</v>
      </c>
      <c r="J2296">
        <v>11.5957432570018</v>
      </c>
      <c r="K2296" t="s">
        <v>29</v>
      </c>
      <c r="L2296">
        <v>9.9154819430485706</v>
      </c>
      <c r="M2296">
        <v>10.044606241903599</v>
      </c>
      <c r="N2296" t="s">
        <v>29</v>
      </c>
      <c r="O2296" t="s">
        <v>29</v>
      </c>
      <c r="P2296">
        <v>-0.71100635812160096</v>
      </c>
      <c r="Q2296">
        <v>-2.2609846237073601</v>
      </c>
      <c r="R2296">
        <v>0.83897190746416095</v>
      </c>
      <c r="S2296">
        <v>10.656793074265099</v>
      </c>
      <c r="T2296">
        <v>-1.0880563558293199</v>
      </c>
      <c r="U2296">
        <v>-5.8734161442315296</v>
      </c>
      <c r="V2296">
        <v>0.313133614347467</v>
      </c>
      <c r="W2296">
        <v>0.86464399033134998</v>
      </c>
      <c r="X2296">
        <v>0</v>
      </c>
      <c r="Y2296">
        <v>0</v>
      </c>
    </row>
    <row r="2297" spans="1:25" x14ac:dyDescent="0.2">
      <c r="A2297" t="s">
        <v>8605</v>
      </c>
      <c r="B2297" t="s">
        <v>8606</v>
      </c>
      <c r="C2297" t="s">
        <v>8607</v>
      </c>
      <c r="D2297" t="s">
        <v>8608</v>
      </c>
      <c r="E2297" t="s">
        <v>8606</v>
      </c>
      <c r="F2297" t="s">
        <v>28</v>
      </c>
      <c r="G2297" t="s">
        <v>8606</v>
      </c>
      <c r="H2297" t="str">
        <f>"erh-2"</f>
        <v>erh-2</v>
      </c>
      <c r="I2297" t="s">
        <v>8608</v>
      </c>
      <c r="J2297" t="s">
        <v>29</v>
      </c>
      <c r="K2297" t="s">
        <v>29</v>
      </c>
      <c r="L2297" t="s">
        <v>29</v>
      </c>
      <c r="M2297" t="s">
        <v>29</v>
      </c>
      <c r="N2297" t="s">
        <v>29</v>
      </c>
      <c r="O2297" t="s">
        <v>29</v>
      </c>
      <c r="P2297" t="s">
        <v>29</v>
      </c>
      <c r="Q2297" t="s">
        <v>29</v>
      </c>
      <c r="R2297" t="s">
        <v>29</v>
      </c>
      <c r="S2297">
        <v>11.8018180292047</v>
      </c>
      <c r="T2297" t="s">
        <v>29</v>
      </c>
      <c r="U2297" t="s">
        <v>29</v>
      </c>
      <c r="V2297" t="s">
        <v>29</v>
      </c>
      <c r="W2297" t="s">
        <v>29</v>
      </c>
      <c r="X2297" t="s">
        <v>29</v>
      </c>
      <c r="Y2297" t="s">
        <v>29</v>
      </c>
    </row>
    <row r="2298" spans="1:25" x14ac:dyDescent="0.2">
      <c r="A2298" t="s">
        <v>8609</v>
      </c>
      <c r="B2298" t="s">
        <v>8610</v>
      </c>
      <c r="C2298" t="s">
        <v>14466</v>
      </c>
      <c r="D2298" t="s">
        <v>8611</v>
      </c>
      <c r="E2298" t="s">
        <v>8610</v>
      </c>
      <c r="F2298" t="s">
        <v>28</v>
      </c>
      <c r="G2298" t="s">
        <v>8610</v>
      </c>
      <c r="H2298" t="str">
        <f>"F35G12.12"</f>
        <v>F35G12.12</v>
      </c>
      <c r="I2298" t="s">
        <v>8611</v>
      </c>
      <c r="J2298">
        <v>13.442768941167399</v>
      </c>
      <c r="K2298">
        <v>13.1518654567023</v>
      </c>
      <c r="L2298">
        <v>13.5041647821966</v>
      </c>
      <c r="M2298">
        <v>13.470330033362201</v>
      </c>
      <c r="N2298">
        <v>13.6900713599513</v>
      </c>
      <c r="O2298">
        <v>13.373565700437</v>
      </c>
      <c r="P2298">
        <v>0.14505597122803801</v>
      </c>
      <c r="Q2298">
        <v>-0.45700781487986902</v>
      </c>
      <c r="R2298">
        <v>0.74711975733594405</v>
      </c>
      <c r="S2298">
        <v>13.9110832034286</v>
      </c>
      <c r="T2298">
        <v>0.51102557515328195</v>
      </c>
      <c r="U2298">
        <v>-6.74625969870731</v>
      </c>
      <c r="V2298">
        <v>0.61635765632322104</v>
      </c>
      <c r="W2298">
        <v>0.97238011246645495</v>
      </c>
      <c r="X2298">
        <v>0</v>
      </c>
      <c r="Y2298">
        <v>0</v>
      </c>
    </row>
    <row r="2299" spans="1:25" x14ac:dyDescent="0.2">
      <c r="A2299" t="s">
        <v>8612</v>
      </c>
      <c r="B2299" t="s">
        <v>8613</v>
      </c>
      <c r="C2299" t="s">
        <v>8614</v>
      </c>
      <c r="D2299" t="s">
        <v>8615</v>
      </c>
      <c r="E2299" t="s">
        <v>8613</v>
      </c>
      <c r="F2299" t="s">
        <v>28</v>
      </c>
      <c r="G2299" t="s">
        <v>8613</v>
      </c>
      <c r="H2299" t="str">
        <f>"wdr-48"</f>
        <v>wdr-48</v>
      </c>
      <c r="I2299" t="s">
        <v>8615</v>
      </c>
      <c r="J2299" t="s">
        <v>29</v>
      </c>
      <c r="K2299" t="s">
        <v>29</v>
      </c>
      <c r="L2299" t="s">
        <v>29</v>
      </c>
      <c r="M2299" t="s">
        <v>29</v>
      </c>
      <c r="N2299">
        <v>14.2744196805775</v>
      </c>
      <c r="O2299" t="s">
        <v>29</v>
      </c>
      <c r="P2299" t="s">
        <v>29</v>
      </c>
      <c r="Q2299" t="s">
        <v>29</v>
      </c>
      <c r="R2299" t="s">
        <v>29</v>
      </c>
      <c r="S2299">
        <v>13.310380943836099</v>
      </c>
      <c r="T2299" t="s">
        <v>29</v>
      </c>
      <c r="U2299" t="s">
        <v>29</v>
      </c>
      <c r="V2299" t="s">
        <v>29</v>
      </c>
      <c r="W2299" t="s">
        <v>29</v>
      </c>
      <c r="X2299" t="s">
        <v>29</v>
      </c>
      <c r="Y2299" t="s">
        <v>29</v>
      </c>
    </row>
    <row r="2300" spans="1:25" x14ac:dyDescent="0.2">
      <c r="A2300" t="s">
        <v>8616</v>
      </c>
      <c r="B2300" t="s">
        <v>8617</v>
      </c>
      <c r="C2300" t="s">
        <v>8618</v>
      </c>
      <c r="D2300" t="s">
        <v>8619</v>
      </c>
      <c r="E2300" t="s">
        <v>8617</v>
      </c>
      <c r="F2300" t="s">
        <v>28</v>
      </c>
      <c r="G2300" t="s">
        <v>8617</v>
      </c>
      <c r="H2300" t="str">
        <f>"smc-4"</f>
        <v>smc-4</v>
      </c>
      <c r="I2300" t="s">
        <v>8619</v>
      </c>
      <c r="J2300">
        <v>13.8411252756907</v>
      </c>
      <c r="K2300">
        <v>13.2077728874714</v>
      </c>
      <c r="L2300">
        <v>13.5544818927007</v>
      </c>
      <c r="M2300">
        <v>13.6712483624255</v>
      </c>
      <c r="N2300">
        <v>13.822450083373299</v>
      </c>
      <c r="O2300">
        <v>13.605708887681701</v>
      </c>
      <c r="P2300">
        <v>0.16534242587256801</v>
      </c>
      <c r="Q2300">
        <v>-0.81148796158960201</v>
      </c>
      <c r="R2300">
        <v>1.14217281333474</v>
      </c>
      <c r="S2300">
        <v>14.1474042336712</v>
      </c>
      <c r="T2300">
        <v>0.35576044288769998</v>
      </c>
      <c r="U2300">
        <v>-6.8165945015299503</v>
      </c>
      <c r="V2300">
        <v>0.72617926794035403</v>
      </c>
      <c r="W2300">
        <v>0.99057748145465696</v>
      </c>
      <c r="X2300">
        <v>0</v>
      </c>
      <c r="Y2300">
        <v>0</v>
      </c>
    </row>
    <row r="2301" spans="1:25" x14ac:dyDescent="0.2">
      <c r="A2301" t="s">
        <v>8620</v>
      </c>
      <c r="B2301" t="s">
        <v>8621</v>
      </c>
      <c r="C2301" t="s">
        <v>8622</v>
      </c>
      <c r="D2301" t="s">
        <v>8623</v>
      </c>
      <c r="E2301" t="s">
        <v>8621</v>
      </c>
      <c r="F2301" t="s">
        <v>28</v>
      </c>
      <c r="G2301" t="s">
        <v>8621</v>
      </c>
      <c r="H2301" t="str">
        <f>"phy-2"</f>
        <v>phy-2</v>
      </c>
      <c r="I2301" t="s">
        <v>8623</v>
      </c>
      <c r="J2301">
        <v>15.4757936556205</v>
      </c>
      <c r="K2301">
        <v>14.942649843088001</v>
      </c>
      <c r="L2301">
        <v>15.2535145299529</v>
      </c>
      <c r="M2301">
        <v>15.2391239872832</v>
      </c>
      <c r="N2301">
        <v>14.992811232831899</v>
      </c>
      <c r="O2301">
        <v>15.1249055984664</v>
      </c>
      <c r="P2301">
        <v>-0.10503907002662601</v>
      </c>
      <c r="Q2301">
        <v>-0.63799453895694103</v>
      </c>
      <c r="R2301">
        <v>0.42791639890368899</v>
      </c>
      <c r="S2301">
        <v>14.559434850028</v>
      </c>
      <c r="T2301">
        <v>-0.41424040537846002</v>
      </c>
      <c r="U2301">
        <v>-6.7932629872812198</v>
      </c>
      <c r="V2301">
        <v>0.68362099491681705</v>
      </c>
      <c r="W2301">
        <v>0.98642420921484297</v>
      </c>
      <c r="X2301">
        <v>0</v>
      </c>
      <c r="Y2301">
        <v>0</v>
      </c>
    </row>
    <row r="2302" spans="1:25" x14ac:dyDescent="0.2">
      <c r="A2302" t="s">
        <v>8624</v>
      </c>
      <c r="B2302" t="s">
        <v>8625</v>
      </c>
      <c r="C2302" t="s">
        <v>8626</v>
      </c>
      <c r="D2302" t="s">
        <v>8627</v>
      </c>
      <c r="E2302" t="s">
        <v>8625</v>
      </c>
      <c r="F2302" t="s">
        <v>28</v>
      </c>
      <c r="G2302" t="s">
        <v>8625</v>
      </c>
      <c r="H2302" t="str">
        <f>"nprl-3"</f>
        <v>nprl-3</v>
      </c>
      <c r="I2302" t="s">
        <v>8627</v>
      </c>
      <c r="J2302">
        <v>10.1018611835631</v>
      </c>
      <c r="K2302" t="s">
        <v>29</v>
      </c>
      <c r="L2302" t="s">
        <v>29</v>
      </c>
      <c r="M2302">
        <v>10.3447264018124</v>
      </c>
      <c r="N2302">
        <v>11.4047411525803</v>
      </c>
      <c r="O2302" t="s">
        <v>29</v>
      </c>
      <c r="P2302">
        <v>0.77287259363332195</v>
      </c>
      <c r="Q2302">
        <v>-0.47786772961448998</v>
      </c>
      <c r="R2302">
        <v>2.0236129168811301</v>
      </c>
      <c r="S2302">
        <v>11.939623460759</v>
      </c>
      <c r="T2302">
        <v>1.3476768502001599</v>
      </c>
      <c r="U2302">
        <v>-5.5897592464919796</v>
      </c>
      <c r="V2302">
        <v>0.20287032351814099</v>
      </c>
      <c r="W2302">
        <v>0.79075284576134597</v>
      </c>
      <c r="X2302">
        <v>0</v>
      </c>
      <c r="Y2302">
        <v>0</v>
      </c>
    </row>
    <row r="2303" spans="1:25" x14ac:dyDescent="0.2">
      <c r="A2303" t="s">
        <v>8628</v>
      </c>
      <c r="B2303" t="s">
        <v>8629</v>
      </c>
      <c r="C2303" t="s">
        <v>8630</v>
      </c>
      <c r="D2303" t="s">
        <v>8631</v>
      </c>
      <c r="E2303" t="s">
        <v>8629</v>
      </c>
      <c r="F2303" t="s">
        <v>28</v>
      </c>
      <c r="G2303" t="s">
        <v>8629</v>
      </c>
      <c r="H2303" t="str">
        <f>"pifk-1"</f>
        <v>pifk-1</v>
      </c>
      <c r="I2303" t="s">
        <v>8631</v>
      </c>
      <c r="J2303">
        <v>11.0561894321312</v>
      </c>
      <c r="K2303">
        <v>10.9496425991794</v>
      </c>
      <c r="L2303">
        <v>11.580942302842899</v>
      </c>
      <c r="M2303">
        <v>11.5937194599772</v>
      </c>
      <c r="N2303">
        <v>11.1411926189899</v>
      </c>
      <c r="O2303">
        <v>10.724226528337001</v>
      </c>
      <c r="P2303">
        <v>-4.2545242283193098E-2</v>
      </c>
      <c r="Q2303">
        <v>-0.647419487916301</v>
      </c>
      <c r="R2303">
        <v>0.56232900334991498</v>
      </c>
      <c r="S2303">
        <v>11.362091784247401</v>
      </c>
      <c r="T2303">
        <v>-0.14846904699215099</v>
      </c>
      <c r="U2303">
        <v>-6.8709436474292902</v>
      </c>
      <c r="V2303">
        <v>0.88373026373583896</v>
      </c>
      <c r="W2303">
        <v>0.99702926582654094</v>
      </c>
      <c r="X2303">
        <v>0</v>
      </c>
      <c r="Y2303">
        <v>0</v>
      </c>
    </row>
    <row r="2304" spans="1:25" x14ac:dyDescent="0.2">
      <c r="A2304" t="s">
        <v>8632</v>
      </c>
      <c r="B2304" t="s">
        <v>8633</v>
      </c>
      <c r="C2304" t="s">
        <v>8634</v>
      </c>
      <c r="D2304" t="s">
        <v>8635</v>
      </c>
      <c r="E2304" t="s">
        <v>8633</v>
      </c>
      <c r="F2304" t="s">
        <v>28</v>
      </c>
      <c r="G2304" t="s">
        <v>8633</v>
      </c>
      <c r="H2304" t="str">
        <f>"ugt-58"</f>
        <v>ugt-58</v>
      </c>
      <c r="I2304" t="s">
        <v>8635</v>
      </c>
      <c r="J2304">
        <v>13.370297517992199</v>
      </c>
      <c r="K2304">
        <v>12.2977998388853</v>
      </c>
      <c r="L2304">
        <v>13.0861319079187</v>
      </c>
      <c r="M2304">
        <v>13.445215151884099</v>
      </c>
      <c r="N2304">
        <v>13.272666917275799</v>
      </c>
      <c r="O2304">
        <v>12.8462615279928</v>
      </c>
      <c r="P2304">
        <v>0.26997144411884999</v>
      </c>
      <c r="Q2304">
        <v>-0.37879030049171702</v>
      </c>
      <c r="R2304">
        <v>0.91873318872941701</v>
      </c>
      <c r="S2304">
        <v>12.6952735322112</v>
      </c>
      <c r="T2304">
        <v>0.87463149055331602</v>
      </c>
      <c r="U2304">
        <v>-6.4911817443475002</v>
      </c>
      <c r="V2304">
        <v>0.39336191891119399</v>
      </c>
      <c r="W2304">
        <v>0.90975406915825197</v>
      </c>
      <c r="X2304">
        <v>0</v>
      </c>
      <c r="Y2304">
        <v>0</v>
      </c>
    </row>
    <row r="2305" spans="1:25" x14ac:dyDescent="0.2">
      <c r="A2305" t="s">
        <v>8636</v>
      </c>
      <c r="B2305" t="s">
        <v>8637</v>
      </c>
      <c r="C2305" t="s">
        <v>8638</v>
      </c>
      <c r="D2305" t="s">
        <v>8639</v>
      </c>
      <c r="E2305" t="s">
        <v>8637</v>
      </c>
      <c r="F2305" t="s">
        <v>28</v>
      </c>
      <c r="G2305" t="s">
        <v>8637</v>
      </c>
      <c r="H2305" t="str">
        <f>"hrg-4"</f>
        <v>hrg-4</v>
      </c>
      <c r="I2305" t="s">
        <v>8639</v>
      </c>
      <c r="J2305">
        <v>13.890380502597599</v>
      </c>
      <c r="K2305">
        <v>14.096812948244599</v>
      </c>
      <c r="L2305">
        <v>13.9450373494884</v>
      </c>
      <c r="M2305">
        <v>14.0416447015399</v>
      </c>
      <c r="N2305">
        <v>13.845287522942201</v>
      </c>
      <c r="O2305">
        <v>13.6833601658359</v>
      </c>
      <c r="P2305">
        <v>-0.120646136670864</v>
      </c>
      <c r="Q2305">
        <v>-0.57044158811775403</v>
      </c>
      <c r="R2305">
        <v>0.32914931477602699</v>
      </c>
      <c r="S2305">
        <v>13.571952151816999</v>
      </c>
      <c r="T2305">
        <v>-0.566171981447391</v>
      </c>
      <c r="U2305">
        <v>-6.7160679655399198</v>
      </c>
      <c r="V2305">
        <v>0.57872046239191999</v>
      </c>
      <c r="W2305">
        <v>0.96154852663020995</v>
      </c>
      <c r="X2305">
        <v>0</v>
      </c>
      <c r="Y2305">
        <v>0</v>
      </c>
    </row>
    <row r="2306" spans="1:25" x14ac:dyDescent="0.2">
      <c r="A2306" t="s">
        <v>8640</v>
      </c>
      <c r="B2306" t="s">
        <v>8641</v>
      </c>
      <c r="C2306" t="s">
        <v>8642</v>
      </c>
      <c r="D2306" t="s">
        <v>8643</v>
      </c>
      <c r="E2306" t="s">
        <v>8641</v>
      </c>
      <c r="F2306" t="s">
        <v>28</v>
      </c>
      <c r="G2306" t="s">
        <v>8641</v>
      </c>
      <c r="H2306" t="str">
        <f>"gcs-1"</f>
        <v>gcs-1</v>
      </c>
      <c r="I2306" t="s">
        <v>8643</v>
      </c>
      <c r="J2306">
        <v>13.914772591357</v>
      </c>
      <c r="K2306">
        <v>13.7871035494961</v>
      </c>
      <c r="L2306">
        <v>13.7087102529149</v>
      </c>
      <c r="M2306">
        <v>13.949643598162501</v>
      </c>
      <c r="N2306">
        <v>13.6584121753364</v>
      </c>
      <c r="O2306">
        <v>13.710076078514</v>
      </c>
      <c r="P2306">
        <v>-3.0818180584983399E-2</v>
      </c>
      <c r="Q2306">
        <v>-0.403283782008233</v>
      </c>
      <c r="R2306">
        <v>0.34164742083826599</v>
      </c>
      <c r="S2306">
        <v>13.7486270252959</v>
      </c>
      <c r="T2306">
        <v>-0.174650904272838</v>
      </c>
      <c r="U2306">
        <v>-6.8665164847211404</v>
      </c>
      <c r="V2306">
        <v>0.86342977736792603</v>
      </c>
      <c r="W2306">
        <v>0.99394475928068404</v>
      </c>
      <c r="X2306">
        <v>0</v>
      </c>
      <c r="Y2306">
        <v>0</v>
      </c>
    </row>
    <row r="2307" spans="1:25" x14ac:dyDescent="0.2">
      <c r="A2307" t="s">
        <v>8644</v>
      </c>
      <c r="B2307" t="s">
        <v>8645</v>
      </c>
      <c r="C2307" t="s">
        <v>8646</v>
      </c>
      <c r="D2307" t="s">
        <v>8647</v>
      </c>
      <c r="E2307" t="s">
        <v>8645</v>
      </c>
      <c r="F2307" t="s">
        <v>28</v>
      </c>
      <c r="G2307" t="s">
        <v>8645</v>
      </c>
      <c r="H2307" t="str">
        <f>"acs-4"</f>
        <v>acs-4</v>
      </c>
      <c r="I2307" t="s">
        <v>8647</v>
      </c>
      <c r="J2307">
        <v>17.861264737707099</v>
      </c>
      <c r="K2307">
        <v>17.510712501189499</v>
      </c>
      <c r="L2307">
        <v>17.732091004609099</v>
      </c>
      <c r="M2307">
        <v>17.782753832485199</v>
      </c>
      <c r="N2307">
        <v>17.7553533240898</v>
      </c>
      <c r="O2307">
        <v>17.552032164931799</v>
      </c>
      <c r="P2307">
        <v>-4.6429739996298701E-3</v>
      </c>
      <c r="Q2307">
        <v>-0.43664819654134102</v>
      </c>
      <c r="R2307">
        <v>0.42736224854208099</v>
      </c>
      <c r="S2307">
        <v>17.495289975103201</v>
      </c>
      <c r="T2307">
        <v>-2.25891436772401E-2</v>
      </c>
      <c r="U2307">
        <v>-6.8822229634469103</v>
      </c>
      <c r="V2307">
        <v>0.98222798215852303</v>
      </c>
      <c r="W2307">
        <v>0.99968702248720698</v>
      </c>
      <c r="X2307">
        <v>0</v>
      </c>
      <c r="Y2307">
        <v>0</v>
      </c>
    </row>
    <row r="2308" spans="1:25" x14ac:dyDescent="0.2">
      <c r="A2308" t="s">
        <v>8648</v>
      </c>
      <c r="B2308" t="s">
        <v>8649</v>
      </c>
      <c r="C2308" t="s">
        <v>8650</v>
      </c>
      <c r="D2308" t="s">
        <v>8651</v>
      </c>
      <c r="E2308" t="s">
        <v>8649</v>
      </c>
      <c r="F2308" t="s">
        <v>28</v>
      </c>
      <c r="G2308" t="s">
        <v>8649</v>
      </c>
      <c r="H2308" t="str">
        <f>"epg-4"</f>
        <v>epg-4</v>
      </c>
      <c r="I2308" t="s">
        <v>8651</v>
      </c>
      <c r="J2308">
        <v>12.1960673700718</v>
      </c>
      <c r="K2308">
        <v>12.093878560502</v>
      </c>
      <c r="L2308">
        <v>12.185822916506201</v>
      </c>
      <c r="M2308">
        <v>12.126395314800201</v>
      </c>
      <c r="N2308">
        <v>11.9083333532275</v>
      </c>
      <c r="O2308">
        <v>12.174264241940801</v>
      </c>
      <c r="P2308">
        <v>-8.8925312370459905E-2</v>
      </c>
      <c r="Q2308">
        <v>-0.53231933579158697</v>
      </c>
      <c r="R2308">
        <v>0.35446871105066702</v>
      </c>
      <c r="S2308">
        <v>12.476713949903599</v>
      </c>
      <c r="T2308">
        <v>-0.42333636625467302</v>
      </c>
      <c r="U2308">
        <v>-6.7890572328643097</v>
      </c>
      <c r="V2308">
        <v>0.67738980803469895</v>
      </c>
      <c r="W2308">
        <v>0.98642420921484297</v>
      </c>
      <c r="X2308">
        <v>0</v>
      </c>
      <c r="Y2308">
        <v>0</v>
      </c>
    </row>
    <row r="2309" spans="1:25" x14ac:dyDescent="0.2">
      <c r="A2309" t="s">
        <v>8652</v>
      </c>
      <c r="B2309" t="s">
        <v>8653</v>
      </c>
      <c r="C2309" t="s">
        <v>8654</v>
      </c>
      <c r="D2309" t="s">
        <v>8655</v>
      </c>
      <c r="E2309" t="s">
        <v>8653</v>
      </c>
      <c r="F2309" t="s">
        <v>28</v>
      </c>
      <c r="G2309" t="s">
        <v>8653</v>
      </c>
      <c r="H2309" t="str">
        <f>"mus-101"</f>
        <v>mus-101</v>
      </c>
      <c r="I2309" t="s">
        <v>8655</v>
      </c>
      <c r="J2309" t="s">
        <v>29</v>
      </c>
      <c r="K2309" t="s">
        <v>29</v>
      </c>
      <c r="L2309">
        <v>10.296514823464401</v>
      </c>
      <c r="M2309" t="s">
        <v>29</v>
      </c>
      <c r="N2309" t="s">
        <v>29</v>
      </c>
      <c r="O2309" t="s">
        <v>29</v>
      </c>
      <c r="P2309" t="s">
        <v>29</v>
      </c>
      <c r="Q2309" t="s">
        <v>29</v>
      </c>
      <c r="R2309" t="s">
        <v>29</v>
      </c>
      <c r="S2309">
        <v>11.809915941441799</v>
      </c>
      <c r="T2309" t="s">
        <v>29</v>
      </c>
      <c r="U2309" t="s">
        <v>29</v>
      </c>
      <c r="V2309" t="s">
        <v>29</v>
      </c>
      <c r="W2309" t="s">
        <v>29</v>
      </c>
      <c r="X2309" t="s">
        <v>29</v>
      </c>
      <c r="Y2309" t="s">
        <v>29</v>
      </c>
    </row>
    <row r="2310" spans="1:25" x14ac:dyDescent="0.2">
      <c r="A2310" t="s">
        <v>8656</v>
      </c>
      <c r="B2310" t="s">
        <v>8657</v>
      </c>
      <c r="C2310" t="s">
        <v>8658</v>
      </c>
      <c r="D2310" t="s">
        <v>3312</v>
      </c>
      <c r="E2310" t="s">
        <v>8657</v>
      </c>
      <c r="F2310" t="s">
        <v>28</v>
      </c>
      <c r="G2310" t="s">
        <v>8657</v>
      </c>
      <c r="H2310" t="str">
        <f>"col-81"</f>
        <v>col-81</v>
      </c>
      <c r="I2310" t="s">
        <v>3312</v>
      </c>
      <c r="J2310" t="s">
        <v>29</v>
      </c>
      <c r="K2310" t="s">
        <v>29</v>
      </c>
      <c r="L2310">
        <v>12.1061405245175</v>
      </c>
      <c r="M2310" t="s">
        <v>29</v>
      </c>
      <c r="N2310">
        <v>10.9053708011797</v>
      </c>
      <c r="O2310" t="s">
        <v>29</v>
      </c>
      <c r="P2310">
        <v>-1.20076972333784</v>
      </c>
      <c r="Q2310">
        <v>-2.4904301621210698</v>
      </c>
      <c r="R2310">
        <v>8.8890715445394203E-2</v>
      </c>
      <c r="S2310">
        <v>12.0455670919818</v>
      </c>
      <c r="T2310">
        <v>-2.11003012761168</v>
      </c>
      <c r="U2310">
        <v>-4.41007153773994</v>
      </c>
      <c r="V2310">
        <v>6.4424747181258193E-2</v>
      </c>
      <c r="W2310">
        <v>0.54340814619935995</v>
      </c>
      <c r="X2310">
        <v>0</v>
      </c>
      <c r="Y2310">
        <v>0</v>
      </c>
    </row>
    <row r="2311" spans="1:25" x14ac:dyDescent="0.2">
      <c r="A2311" t="s">
        <v>8659</v>
      </c>
      <c r="B2311" t="s">
        <v>8660</v>
      </c>
      <c r="C2311" t="s">
        <v>8661</v>
      </c>
      <c r="D2311" t="s">
        <v>8662</v>
      </c>
      <c r="E2311" t="s">
        <v>8660</v>
      </c>
      <c r="F2311" t="s">
        <v>28</v>
      </c>
      <c r="G2311" t="s">
        <v>8660</v>
      </c>
      <c r="H2311" t="str">
        <f>"F38B2.4"</f>
        <v>F38B2.4</v>
      </c>
      <c r="I2311" t="s">
        <v>8662</v>
      </c>
      <c r="J2311">
        <v>13.1196534858896</v>
      </c>
      <c r="K2311">
        <v>13.0120792793048</v>
      </c>
      <c r="L2311">
        <v>12.731450404804599</v>
      </c>
      <c r="M2311">
        <v>12.9863791650818</v>
      </c>
      <c r="N2311">
        <v>13.0979447566872</v>
      </c>
      <c r="O2311">
        <v>13.2829124986285</v>
      </c>
      <c r="P2311">
        <v>0.168017750132851</v>
      </c>
      <c r="Q2311">
        <v>-0.399679150415998</v>
      </c>
      <c r="R2311">
        <v>0.73571465068170006</v>
      </c>
      <c r="S2311">
        <v>12.664260326458701</v>
      </c>
      <c r="T2311">
        <v>0.62205839424214304</v>
      </c>
      <c r="U2311">
        <v>-6.68248263173823</v>
      </c>
      <c r="V2311">
        <v>0.54174878884025601</v>
      </c>
      <c r="W2311">
        <v>0.94725981927803005</v>
      </c>
      <c r="X2311">
        <v>0</v>
      </c>
      <c r="Y2311">
        <v>0</v>
      </c>
    </row>
    <row r="2312" spans="1:25" x14ac:dyDescent="0.2">
      <c r="A2312" t="s">
        <v>8663</v>
      </c>
      <c r="B2312" t="s">
        <v>8664</v>
      </c>
      <c r="C2312" t="s">
        <v>14467</v>
      </c>
      <c r="D2312" t="s">
        <v>8665</v>
      </c>
      <c r="E2312" t="s">
        <v>8664</v>
      </c>
      <c r="F2312" t="s">
        <v>28</v>
      </c>
      <c r="G2312" t="s">
        <v>8664</v>
      </c>
      <c r="H2312" t="str">
        <f>"F38B6.4"</f>
        <v>F38B6.4</v>
      </c>
      <c r="I2312" t="s">
        <v>8665</v>
      </c>
      <c r="J2312">
        <v>12.5265915953884</v>
      </c>
      <c r="K2312">
        <v>13.092417322127901</v>
      </c>
      <c r="L2312">
        <v>13.4986803758903</v>
      </c>
      <c r="M2312">
        <v>12.956503982236899</v>
      </c>
      <c r="N2312">
        <v>12.981365439174899</v>
      </c>
      <c r="O2312">
        <v>12.3112888935614</v>
      </c>
      <c r="P2312">
        <v>-0.28951032614444999</v>
      </c>
      <c r="Q2312">
        <v>-0.85532823090202503</v>
      </c>
      <c r="R2312">
        <v>0.27630757861312499</v>
      </c>
      <c r="S2312">
        <v>13.1359411453695</v>
      </c>
      <c r="T2312">
        <v>-1.07542439935207</v>
      </c>
      <c r="U2312">
        <v>-6.2971184444956503</v>
      </c>
      <c r="V2312">
        <v>0.296471202970359</v>
      </c>
      <c r="W2312">
        <v>0.85855590823088301</v>
      </c>
      <c r="X2312">
        <v>0</v>
      </c>
      <c r="Y2312">
        <v>0</v>
      </c>
    </row>
    <row r="2313" spans="1:25" x14ac:dyDescent="0.2">
      <c r="A2313" t="s">
        <v>8666</v>
      </c>
      <c r="B2313" t="s">
        <v>8667</v>
      </c>
      <c r="C2313" t="s">
        <v>8668</v>
      </c>
      <c r="D2313" t="s">
        <v>8669</v>
      </c>
      <c r="E2313" t="s">
        <v>8667</v>
      </c>
      <c r="F2313" t="s">
        <v>28</v>
      </c>
      <c r="G2313" t="s">
        <v>8667</v>
      </c>
      <c r="H2313" t="str">
        <f>"mpdu-1"</f>
        <v>mpdu-1</v>
      </c>
      <c r="I2313" t="s">
        <v>8669</v>
      </c>
      <c r="J2313">
        <v>15.555124917128699</v>
      </c>
      <c r="K2313">
        <v>16.009401247259401</v>
      </c>
      <c r="L2313">
        <v>15.5046335417449</v>
      </c>
      <c r="M2313">
        <v>15.784812005904399</v>
      </c>
      <c r="N2313">
        <v>15.504090684843501</v>
      </c>
      <c r="O2313">
        <v>16.165671644760501</v>
      </c>
      <c r="P2313">
        <v>0.12847154312515299</v>
      </c>
      <c r="Q2313">
        <v>-0.94456118015146795</v>
      </c>
      <c r="R2313">
        <v>1.2015042664017701</v>
      </c>
      <c r="S2313">
        <v>15.199123017812701</v>
      </c>
      <c r="T2313">
        <v>0.25272254555033002</v>
      </c>
      <c r="U2313">
        <v>-6.8490775364063099</v>
      </c>
      <c r="V2313">
        <v>0.80353176457419795</v>
      </c>
      <c r="W2313">
        <v>0.99278624068726296</v>
      </c>
      <c r="X2313">
        <v>0</v>
      </c>
      <c r="Y2313">
        <v>0</v>
      </c>
    </row>
    <row r="2314" spans="1:25" x14ac:dyDescent="0.2">
      <c r="A2314" t="s">
        <v>8670</v>
      </c>
      <c r="B2314" t="s">
        <v>8671</v>
      </c>
      <c r="C2314" t="s">
        <v>8672</v>
      </c>
      <c r="D2314" t="s">
        <v>8673</v>
      </c>
      <c r="E2314" t="s">
        <v>8671</v>
      </c>
      <c r="F2314" t="s">
        <v>28</v>
      </c>
      <c r="G2314" t="s">
        <v>8671</v>
      </c>
      <c r="H2314" t="str">
        <f>"cpin-1"</f>
        <v>cpin-1</v>
      </c>
      <c r="I2314" t="s">
        <v>8673</v>
      </c>
      <c r="J2314" t="s">
        <v>29</v>
      </c>
      <c r="K2314" t="s">
        <v>29</v>
      </c>
      <c r="L2314" t="s">
        <v>29</v>
      </c>
      <c r="M2314">
        <v>12.3808224593409</v>
      </c>
      <c r="N2314" t="s">
        <v>29</v>
      </c>
      <c r="O2314">
        <v>12.3775539692158</v>
      </c>
      <c r="P2314" t="s">
        <v>29</v>
      </c>
      <c r="Q2314" t="s">
        <v>29</v>
      </c>
      <c r="R2314" t="s">
        <v>29</v>
      </c>
      <c r="S2314">
        <v>12.394622865463299</v>
      </c>
      <c r="T2314" t="s">
        <v>29</v>
      </c>
      <c r="U2314" t="s">
        <v>29</v>
      </c>
      <c r="V2314" t="s">
        <v>29</v>
      </c>
      <c r="W2314" t="s">
        <v>29</v>
      </c>
      <c r="X2314" t="s">
        <v>29</v>
      </c>
      <c r="Y2314" t="s">
        <v>29</v>
      </c>
    </row>
    <row r="2315" spans="1:25" x14ac:dyDescent="0.2">
      <c r="A2315" t="s">
        <v>8674</v>
      </c>
      <c r="B2315" t="s">
        <v>8675</v>
      </c>
      <c r="C2315" t="s">
        <v>8676</v>
      </c>
      <c r="D2315" t="s">
        <v>8677</v>
      </c>
      <c r="E2315" t="s">
        <v>8675</v>
      </c>
      <c r="F2315" t="s">
        <v>28</v>
      </c>
      <c r="G2315" t="s">
        <v>8675</v>
      </c>
      <c r="H2315" t="str">
        <f>"copb-2"</f>
        <v>copb-2</v>
      </c>
      <c r="I2315" t="s">
        <v>8677</v>
      </c>
      <c r="J2315">
        <v>16.748979094871501</v>
      </c>
      <c r="K2315">
        <v>16.910451459421399</v>
      </c>
      <c r="L2315">
        <v>16.496510067304399</v>
      </c>
      <c r="M2315">
        <v>16.862107102229999</v>
      </c>
      <c r="N2315">
        <v>16.690383954452301</v>
      </c>
      <c r="O2315">
        <v>16.9613572791887</v>
      </c>
      <c r="P2315">
        <v>0.119302571424587</v>
      </c>
      <c r="Q2315">
        <v>-0.26342056007332099</v>
      </c>
      <c r="R2315">
        <v>0.50202570292249504</v>
      </c>
      <c r="S2315">
        <v>16.400467326184501</v>
      </c>
      <c r="T2315">
        <v>0.65517543568435199</v>
      </c>
      <c r="U2315">
        <v>-6.6608797474613697</v>
      </c>
      <c r="V2315">
        <v>0.52068881397163302</v>
      </c>
      <c r="W2315">
        <v>0.942279702500052</v>
      </c>
      <c r="X2315">
        <v>0</v>
      </c>
      <c r="Y2315">
        <v>0</v>
      </c>
    </row>
    <row r="2316" spans="1:25" x14ac:dyDescent="0.2">
      <c r="A2316" t="s">
        <v>8678</v>
      </c>
      <c r="B2316" t="s">
        <v>8679</v>
      </c>
      <c r="C2316" t="s">
        <v>8680</v>
      </c>
      <c r="D2316" t="s">
        <v>8681</v>
      </c>
      <c r="E2316" t="s">
        <v>8679</v>
      </c>
      <c r="F2316" t="s">
        <v>28</v>
      </c>
      <c r="G2316" t="s">
        <v>8679</v>
      </c>
      <c r="H2316" t="str">
        <f>"twf-2"</f>
        <v>twf-2</v>
      </c>
      <c r="I2316" t="s">
        <v>8681</v>
      </c>
      <c r="J2316">
        <v>14.4168712536848</v>
      </c>
      <c r="K2316">
        <v>14.5053918121266</v>
      </c>
      <c r="L2316">
        <v>14.6335160281121</v>
      </c>
      <c r="M2316">
        <v>14.5403454717763</v>
      </c>
      <c r="N2316">
        <v>14.4345139638187</v>
      </c>
      <c r="O2316">
        <v>14.7481238452237</v>
      </c>
      <c r="P2316">
        <v>5.5734728965074302E-2</v>
      </c>
      <c r="Q2316">
        <v>-0.29940979658382499</v>
      </c>
      <c r="R2316">
        <v>0.410879254513974</v>
      </c>
      <c r="S2316">
        <v>14.2705746903888</v>
      </c>
      <c r="T2316">
        <v>0.33286666038003399</v>
      </c>
      <c r="U2316">
        <v>-6.8244154187188801</v>
      </c>
      <c r="V2316">
        <v>0.74358483809222797</v>
      </c>
      <c r="W2316">
        <v>0.99159672419203304</v>
      </c>
      <c r="X2316">
        <v>0</v>
      </c>
      <c r="Y2316">
        <v>0</v>
      </c>
    </row>
    <row r="2317" spans="1:25" x14ac:dyDescent="0.2">
      <c r="A2317" t="s">
        <v>8682</v>
      </c>
      <c r="B2317" t="s">
        <v>8683</v>
      </c>
      <c r="C2317" t="s">
        <v>8684</v>
      </c>
      <c r="D2317" t="s">
        <v>8685</v>
      </c>
      <c r="E2317" t="s">
        <v>8683</v>
      </c>
      <c r="F2317" t="s">
        <v>28</v>
      </c>
      <c r="G2317" t="s">
        <v>8683</v>
      </c>
      <c r="H2317" t="str">
        <f>"csq-1"</f>
        <v>csq-1</v>
      </c>
      <c r="I2317" t="s">
        <v>8685</v>
      </c>
      <c r="J2317">
        <v>14.471282683611401</v>
      </c>
      <c r="K2317">
        <v>13.917407034607599</v>
      </c>
      <c r="L2317">
        <v>14.423467673825</v>
      </c>
      <c r="M2317">
        <v>14.4442345871171</v>
      </c>
      <c r="N2317">
        <v>14.160132140175801</v>
      </c>
      <c r="O2317">
        <v>14.0620153113485</v>
      </c>
      <c r="P2317">
        <v>-4.8591784467566498E-2</v>
      </c>
      <c r="Q2317">
        <v>-0.68643971984214303</v>
      </c>
      <c r="R2317">
        <v>0.58925615090701</v>
      </c>
      <c r="S2317">
        <v>13.858641353597401</v>
      </c>
      <c r="T2317">
        <v>-0.160117281243329</v>
      </c>
      <c r="U2317">
        <v>-6.8691036910491503</v>
      </c>
      <c r="V2317">
        <v>0.87458221095129296</v>
      </c>
      <c r="W2317">
        <v>0.99542051916754504</v>
      </c>
      <c r="X2317">
        <v>0</v>
      </c>
      <c r="Y2317">
        <v>0</v>
      </c>
    </row>
    <row r="2318" spans="1:25" x14ac:dyDescent="0.2">
      <c r="A2318" t="s">
        <v>8686</v>
      </c>
      <c r="B2318" t="s">
        <v>8687</v>
      </c>
      <c r="C2318" t="s">
        <v>8688</v>
      </c>
      <c r="D2318" t="s">
        <v>8689</v>
      </c>
      <c r="E2318" t="s">
        <v>8687</v>
      </c>
      <c r="F2318" t="s">
        <v>28</v>
      </c>
      <c r="G2318" t="s">
        <v>8687</v>
      </c>
      <c r="H2318" t="str">
        <f>"rps-11"</f>
        <v>rps-11</v>
      </c>
      <c r="I2318" t="s">
        <v>8689</v>
      </c>
      <c r="J2318">
        <v>20.489020789753901</v>
      </c>
      <c r="K2318">
        <v>20.519285838108502</v>
      </c>
      <c r="L2318">
        <v>20.5687639560667</v>
      </c>
      <c r="M2318">
        <v>20.630019865716001</v>
      </c>
      <c r="N2318">
        <v>20.177157154670098</v>
      </c>
      <c r="O2318">
        <v>20.396417665740199</v>
      </c>
      <c r="P2318">
        <v>-0.124491965934254</v>
      </c>
      <c r="Q2318">
        <v>-0.50386506421614197</v>
      </c>
      <c r="R2318">
        <v>0.25488113234763299</v>
      </c>
      <c r="S2318">
        <v>20.4793438435604</v>
      </c>
      <c r="T2318">
        <v>-0.68971124535746398</v>
      </c>
      <c r="U2318">
        <v>-6.6372160566917602</v>
      </c>
      <c r="V2318">
        <v>0.49922304603496898</v>
      </c>
      <c r="W2318">
        <v>0.94062983959761604</v>
      </c>
      <c r="X2318">
        <v>0</v>
      </c>
      <c r="Y2318">
        <v>0</v>
      </c>
    </row>
    <row r="2319" spans="1:25" x14ac:dyDescent="0.2">
      <c r="A2319" t="s">
        <v>8690</v>
      </c>
      <c r="B2319" t="s">
        <v>8691</v>
      </c>
      <c r="C2319" t="s">
        <v>14468</v>
      </c>
      <c r="D2319" t="s">
        <v>8692</v>
      </c>
      <c r="E2319" t="s">
        <v>8691</v>
      </c>
      <c r="F2319" t="s">
        <v>28</v>
      </c>
      <c r="G2319" t="s">
        <v>8691</v>
      </c>
      <c r="H2319" t="str">
        <f>"F40F4.7"</f>
        <v>F40F4.7</v>
      </c>
      <c r="I2319" t="s">
        <v>8692</v>
      </c>
      <c r="J2319">
        <v>13.355679012068</v>
      </c>
      <c r="K2319">
        <v>13.112607751592501</v>
      </c>
      <c r="L2319">
        <v>12.9451408697456</v>
      </c>
      <c r="M2319">
        <v>13.1738474641108</v>
      </c>
      <c r="N2319">
        <v>13.2695500256767</v>
      </c>
      <c r="O2319">
        <v>13.178225384226501</v>
      </c>
      <c r="P2319">
        <v>6.9398413535999695E-2</v>
      </c>
      <c r="Q2319">
        <v>-0.312571402207942</v>
      </c>
      <c r="R2319">
        <v>0.45136822927994102</v>
      </c>
      <c r="S2319">
        <v>12.5430771387175</v>
      </c>
      <c r="T2319">
        <v>0.38350454078544299</v>
      </c>
      <c r="U2319">
        <v>-6.8057390931933597</v>
      </c>
      <c r="V2319">
        <v>0.706128721895393</v>
      </c>
      <c r="W2319">
        <v>0.986995809356777</v>
      </c>
      <c r="X2319">
        <v>0</v>
      </c>
      <c r="Y2319">
        <v>0</v>
      </c>
    </row>
    <row r="2320" spans="1:25" x14ac:dyDescent="0.2">
      <c r="A2320" t="s">
        <v>8693</v>
      </c>
      <c r="B2320" t="s">
        <v>8694</v>
      </c>
      <c r="C2320" t="s">
        <v>8695</v>
      </c>
      <c r="D2320" t="s">
        <v>8696</v>
      </c>
      <c r="E2320" t="s">
        <v>8694</v>
      </c>
      <c r="F2320" t="s">
        <v>28</v>
      </c>
      <c r="G2320" t="s">
        <v>8694</v>
      </c>
      <c r="H2320" t="str">
        <f>"rps-9"</f>
        <v>rps-9</v>
      </c>
      <c r="I2320" t="s">
        <v>8696</v>
      </c>
      <c r="J2320">
        <v>18.107487112648599</v>
      </c>
      <c r="K2320">
        <v>18.1669769584642</v>
      </c>
      <c r="L2320">
        <v>18.272884935137199</v>
      </c>
      <c r="M2320">
        <v>18.158001448101199</v>
      </c>
      <c r="N2320">
        <v>17.545747382201199</v>
      </c>
      <c r="O2320">
        <v>17.937671646206901</v>
      </c>
      <c r="P2320">
        <v>-0.30197617658023301</v>
      </c>
      <c r="Q2320">
        <v>-0.76598174578471101</v>
      </c>
      <c r="R2320">
        <v>0.16202939262424501</v>
      </c>
      <c r="S2320">
        <v>18.025641216652399</v>
      </c>
      <c r="T2320">
        <v>-1.3678611095086901</v>
      </c>
      <c r="U2320">
        <v>-5.9531685043168103</v>
      </c>
      <c r="V2320">
        <v>0.18828879851645</v>
      </c>
      <c r="W2320">
        <v>0.78295732499061499</v>
      </c>
      <c r="X2320">
        <v>0</v>
      </c>
      <c r="Y2320">
        <v>0</v>
      </c>
    </row>
    <row r="2321" spans="1:25" x14ac:dyDescent="0.2">
      <c r="A2321" t="s">
        <v>8697</v>
      </c>
      <c r="B2321" t="s">
        <v>8698</v>
      </c>
      <c r="C2321" t="s">
        <v>8699</v>
      </c>
      <c r="D2321" t="s">
        <v>8700</v>
      </c>
      <c r="E2321" t="s">
        <v>8698</v>
      </c>
      <c r="F2321" t="s">
        <v>28</v>
      </c>
      <c r="G2321" t="s">
        <v>8698</v>
      </c>
      <c r="H2321" t="str">
        <f>"slcr-46.3"</f>
        <v>slcr-46.3</v>
      </c>
      <c r="I2321" t="s">
        <v>8700</v>
      </c>
      <c r="J2321">
        <v>10.809563587745901</v>
      </c>
      <c r="K2321">
        <v>11.0178937008508</v>
      </c>
      <c r="L2321">
        <v>11.296899269520001</v>
      </c>
      <c r="M2321">
        <v>10.728952808112799</v>
      </c>
      <c r="N2321">
        <v>10.1217981669755</v>
      </c>
      <c r="O2321">
        <v>11.0603899286287</v>
      </c>
      <c r="P2321">
        <v>-0.40440521813323999</v>
      </c>
      <c r="Q2321">
        <v>-0.95536928736305005</v>
      </c>
      <c r="R2321">
        <v>0.14655885109656999</v>
      </c>
      <c r="S2321">
        <v>10.7968646666754</v>
      </c>
      <c r="T2321">
        <v>-1.6008051975911599</v>
      </c>
      <c r="U2321">
        <v>-5.6388822726986501</v>
      </c>
      <c r="V2321">
        <v>0.13562732419384199</v>
      </c>
      <c r="W2321">
        <v>0.72553189373063098</v>
      </c>
      <c r="X2321">
        <v>0</v>
      </c>
      <c r="Y2321">
        <v>0</v>
      </c>
    </row>
    <row r="2322" spans="1:25" x14ac:dyDescent="0.2">
      <c r="A2322" t="s">
        <v>8701</v>
      </c>
      <c r="B2322" t="s">
        <v>8702</v>
      </c>
      <c r="C2322" t="s">
        <v>8703</v>
      </c>
      <c r="D2322" t="s">
        <v>8704</v>
      </c>
      <c r="E2322" t="s">
        <v>8702</v>
      </c>
      <c r="F2322" t="s">
        <v>28</v>
      </c>
      <c r="G2322" t="s">
        <v>8702</v>
      </c>
      <c r="H2322" t="str">
        <f>"eas-1"</f>
        <v>eas-1</v>
      </c>
      <c r="I2322" t="s">
        <v>8704</v>
      </c>
      <c r="J2322">
        <v>15.6158765121711</v>
      </c>
      <c r="K2322">
        <v>15.8121806425538</v>
      </c>
      <c r="L2322">
        <v>15.7001714646207</v>
      </c>
      <c r="M2322">
        <v>15.1575941752119</v>
      </c>
      <c r="N2322">
        <v>15.4805091276375</v>
      </c>
      <c r="O2322">
        <v>15.450618695730601</v>
      </c>
      <c r="P2322">
        <v>-0.34650220692181399</v>
      </c>
      <c r="Q2322">
        <v>-1.2178840012730401</v>
      </c>
      <c r="R2322">
        <v>0.52487958742940899</v>
      </c>
      <c r="S2322">
        <v>15.208598492149701</v>
      </c>
      <c r="T2322">
        <v>-0.83935858378785699</v>
      </c>
      <c r="U2322">
        <v>-6.5207934094761404</v>
      </c>
      <c r="V2322">
        <v>0.41298786157651302</v>
      </c>
      <c r="W2322">
        <v>0.91512503332874395</v>
      </c>
      <c r="X2322">
        <v>0</v>
      </c>
      <c r="Y2322">
        <v>0</v>
      </c>
    </row>
    <row r="2323" spans="1:25" x14ac:dyDescent="0.2">
      <c r="A2323" t="s">
        <v>8705</v>
      </c>
      <c r="B2323" t="s">
        <v>8706</v>
      </c>
      <c r="C2323" t="s">
        <v>8707</v>
      </c>
      <c r="D2323" t="s">
        <v>8708</v>
      </c>
      <c r="E2323" t="s">
        <v>8706</v>
      </c>
      <c r="F2323" t="s">
        <v>28</v>
      </c>
      <c r="G2323" t="s">
        <v>8706</v>
      </c>
      <c r="H2323" t="str">
        <f>"acs-11"</f>
        <v>acs-11</v>
      </c>
      <c r="I2323" t="s">
        <v>8708</v>
      </c>
      <c r="J2323" t="s">
        <v>29</v>
      </c>
      <c r="K2323" t="s">
        <v>29</v>
      </c>
      <c r="L2323" t="s">
        <v>29</v>
      </c>
      <c r="M2323" t="s">
        <v>29</v>
      </c>
      <c r="N2323" t="s">
        <v>29</v>
      </c>
      <c r="O2323" t="s">
        <v>29</v>
      </c>
      <c r="P2323" t="s">
        <v>29</v>
      </c>
      <c r="Q2323" t="s">
        <v>29</v>
      </c>
      <c r="R2323" t="s">
        <v>29</v>
      </c>
      <c r="S2323">
        <v>12.147148823373</v>
      </c>
      <c r="T2323" t="s">
        <v>29</v>
      </c>
      <c r="U2323" t="s">
        <v>29</v>
      </c>
      <c r="V2323" t="s">
        <v>29</v>
      </c>
      <c r="W2323" t="s">
        <v>29</v>
      </c>
      <c r="X2323" t="s">
        <v>29</v>
      </c>
      <c r="Y2323" t="s">
        <v>29</v>
      </c>
    </row>
    <row r="2324" spans="1:25" x14ac:dyDescent="0.2">
      <c r="A2324" t="s">
        <v>8709</v>
      </c>
      <c r="B2324" t="s">
        <v>8710</v>
      </c>
      <c r="C2324" t="s">
        <v>8711</v>
      </c>
      <c r="D2324" t="s">
        <v>8712</v>
      </c>
      <c r="E2324" t="s">
        <v>8710</v>
      </c>
      <c r="F2324" t="s">
        <v>28</v>
      </c>
      <c r="G2324" t="s">
        <v>8710</v>
      </c>
      <c r="H2324" t="str">
        <f>"fip-5"</f>
        <v>fip-5</v>
      </c>
      <c r="I2324" t="s">
        <v>8712</v>
      </c>
      <c r="J2324">
        <v>15.5776693083194</v>
      </c>
      <c r="K2324">
        <v>15.7550259658132</v>
      </c>
      <c r="L2324">
        <v>15.3932501488857</v>
      </c>
      <c r="M2324">
        <v>15.487064483839699</v>
      </c>
      <c r="N2324">
        <v>15.0695151960026</v>
      </c>
      <c r="O2324">
        <v>15.047292205354401</v>
      </c>
      <c r="P2324">
        <v>-0.37402451260722602</v>
      </c>
      <c r="Q2324">
        <v>-1.0104022441060001</v>
      </c>
      <c r="R2324">
        <v>0.262353218891549</v>
      </c>
      <c r="S2324">
        <v>14.9364069961978</v>
      </c>
      <c r="T2324">
        <v>-1.2406095063209499</v>
      </c>
      <c r="U2324">
        <v>-6.1107995540909101</v>
      </c>
      <c r="V2324">
        <v>0.231702404151823</v>
      </c>
      <c r="W2324">
        <v>0.81426145830756702</v>
      </c>
      <c r="X2324">
        <v>0</v>
      </c>
      <c r="Y2324">
        <v>0</v>
      </c>
    </row>
    <row r="2325" spans="1:25" x14ac:dyDescent="0.2">
      <c r="A2325" t="s">
        <v>8713</v>
      </c>
      <c r="B2325" t="s">
        <v>8714</v>
      </c>
      <c r="C2325" t="s">
        <v>8715</v>
      </c>
      <c r="D2325" t="s">
        <v>8716</v>
      </c>
      <c r="E2325" t="s">
        <v>8714</v>
      </c>
      <c r="F2325" t="s">
        <v>28</v>
      </c>
      <c r="G2325" t="s">
        <v>8714</v>
      </c>
      <c r="H2325" t="str">
        <f>"fipr-21"</f>
        <v>fipr-21</v>
      </c>
      <c r="I2325" t="s">
        <v>8716</v>
      </c>
      <c r="J2325">
        <v>17.6610718863678</v>
      </c>
      <c r="K2325">
        <v>17.6561510425901</v>
      </c>
      <c r="L2325">
        <v>17.843895355479599</v>
      </c>
      <c r="M2325">
        <v>17.974523671864102</v>
      </c>
      <c r="N2325">
        <v>17.751911251916901</v>
      </c>
      <c r="O2325">
        <v>17.3471038284796</v>
      </c>
      <c r="P2325">
        <v>-2.91931773922336E-2</v>
      </c>
      <c r="Q2325">
        <v>-0.47296399496507702</v>
      </c>
      <c r="R2325">
        <v>0.41457764018061</v>
      </c>
      <c r="S2325">
        <v>17.297368348757399</v>
      </c>
      <c r="T2325">
        <v>-0.13826591749564701</v>
      </c>
      <c r="U2325">
        <v>-6.8725061219978398</v>
      </c>
      <c r="V2325">
        <v>0.89157424732565704</v>
      </c>
      <c r="W2325">
        <v>0.99702926582654094</v>
      </c>
      <c r="X2325">
        <v>0</v>
      </c>
      <c r="Y2325">
        <v>0</v>
      </c>
    </row>
    <row r="2326" spans="1:25" x14ac:dyDescent="0.2">
      <c r="A2326" t="s">
        <v>8717</v>
      </c>
      <c r="B2326" t="s">
        <v>8718</v>
      </c>
      <c r="C2326" t="s">
        <v>8719</v>
      </c>
      <c r="D2326" t="s">
        <v>8720</v>
      </c>
      <c r="E2326" t="s">
        <v>8718</v>
      </c>
      <c r="F2326" t="s">
        <v>28</v>
      </c>
      <c r="G2326" t="s">
        <v>8718</v>
      </c>
      <c r="H2326" t="str">
        <f>"elo-5"</f>
        <v>elo-5</v>
      </c>
      <c r="I2326" t="s">
        <v>8720</v>
      </c>
      <c r="J2326">
        <v>11.8997256420959</v>
      </c>
      <c r="K2326">
        <v>12.2454785317393</v>
      </c>
      <c r="L2326">
        <v>12.596785696753701</v>
      </c>
      <c r="M2326">
        <v>11.748043025032199</v>
      </c>
      <c r="N2326">
        <v>12.390251698246599</v>
      </c>
      <c r="O2326">
        <v>12.035004543465501</v>
      </c>
      <c r="P2326">
        <v>-0.189563534614893</v>
      </c>
      <c r="Q2326">
        <v>-0.65472926115796504</v>
      </c>
      <c r="R2326">
        <v>0.27560219192817997</v>
      </c>
      <c r="S2326">
        <v>12.336054571397</v>
      </c>
      <c r="T2326">
        <v>-0.85652413068004696</v>
      </c>
      <c r="U2326">
        <v>-6.5068952897149099</v>
      </c>
      <c r="V2326">
        <v>0.403032338619291</v>
      </c>
      <c r="W2326">
        <v>0.91027279600179201</v>
      </c>
      <c r="X2326">
        <v>0</v>
      </c>
      <c r="Y2326">
        <v>0</v>
      </c>
    </row>
    <row r="2327" spans="1:25" x14ac:dyDescent="0.2">
      <c r="A2327" t="s">
        <v>8721</v>
      </c>
      <c r="B2327" t="s">
        <v>8722</v>
      </c>
      <c r="C2327" t="s">
        <v>8723</v>
      </c>
      <c r="D2327" t="s">
        <v>8724</v>
      </c>
      <c r="E2327" t="s">
        <v>8722</v>
      </c>
      <c r="F2327" t="s">
        <v>28</v>
      </c>
      <c r="G2327" t="s">
        <v>8722</v>
      </c>
      <c r="H2327" t="str">
        <f>"elo-6"</f>
        <v>elo-6</v>
      </c>
      <c r="I2327" t="s">
        <v>8724</v>
      </c>
      <c r="J2327">
        <v>12.536231173199299</v>
      </c>
      <c r="K2327">
        <v>12.9800772798844</v>
      </c>
      <c r="L2327">
        <v>12.906458499334899</v>
      </c>
      <c r="M2327">
        <v>12.2172604703477</v>
      </c>
      <c r="N2327">
        <v>13.4548639181673</v>
      </c>
      <c r="O2327">
        <v>14.9052419535079</v>
      </c>
      <c r="P2327">
        <v>0.71819979653472499</v>
      </c>
      <c r="Q2327">
        <v>-0.72270633012222396</v>
      </c>
      <c r="R2327">
        <v>2.1591059231916701</v>
      </c>
      <c r="S2327">
        <v>14.882531290738999</v>
      </c>
      <c r="T2327">
        <v>1.0572047837568099</v>
      </c>
      <c r="U2327">
        <v>-6.31456556934008</v>
      </c>
      <c r="V2327">
        <v>0.30622171366287798</v>
      </c>
      <c r="W2327">
        <v>0.85855590823088301</v>
      </c>
      <c r="X2327">
        <v>0</v>
      </c>
      <c r="Y2327">
        <v>0</v>
      </c>
    </row>
    <row r="2328" spans="1:25" x14ac:dyDescent="0.2">
      <c r="A2328" t="s">
        <v>8725</v>
      </c>
      <c r="B2328" t="s">
        <v>8726</v>
      </c>
      <c r="C2328" t="s">
        <v>8727</v>
      </c>
      <c r="D2328" t="s">
        <v>1866</v>
      </c>
      <c r="E2328" t="s">
        <v>8726</v>
      </c>
      <c r="F2328" t="s">
        <v>28</v>
      </c>
      <c r="G2328" t="s">
        <v>8726</v>
      </c>
      <c r="H2328" t="str">
        <f>"abcf-3"</f>
        <v>abcf-3</v>
      </c>
      <c r="I2328" t="s">
        <v>1866</v>
      </c>
      <c r="J2328">
        <v>15.299005851354799</v>
      </c>
      <c r="K2328">
        <v>15.3434018135976</v>
      </c>
      <c r="L2328">
        <v>15.3598076140998</v>
      </c>
      <c r="M2328">
        <v>15.342587548233899</v>
      </c>
      <c r="N2328">
        <v>15.2643381716848</v>
      </c>
      <c r="O2328">
        <v>15.361288255400799</v>
      </c>
      <c r="P2328">
        <v>-1.13337679109193E-2</v>
      </c>
      <c r="Q2328">
        <v>-0.39794621064643898</v>
      </c>
      <c r="R2328">
        <v>0.37527867482460098</v>
      </c>
      <c r="S2328">
        <v>15.193597353349601</v>
      </c>
      <c r="T2328">
        <v>-6.1615645265484603E-2</v>
      </c>
      <c r="U2328">
        <v>-6.88050612923037</v>
      </c>
      <c r="V2328">
        <v>0.95155188197912899</v>
      </c>
      <c r="W2328">
        <v>0.99968702248720698</v>
      </c>
      <c r="X2328">
        <v>0</v>
      </c>
      <c r="Y2328">
        <v>0</v>
      </c>
    </row>
    <row r="2329" spans="1:25" x14ac:dyDescent="0.2">
      <c r="A2329" t="s">
        <v>8728</v>
      </c>
      <c r="B2329" t="s">
        <v>8729</v>
      </c>
      <c r="C2329" t="s">
        <v>14172</v>
      </c>
      <c r="D2329" t="s">
        <v>8730</v>
      </c>
      <c r="E2329" t="s">
        <v>8729</v>
      </c>
      <c r="F2329" t="s">
        <v>28</v>
      </c>
      <c r="G2329" t="s">
        <v>8729</v>
      </c>
      <c r="H2329" t="str">
        <f>"F42A10.5"</f>
        <v>F42A10.5</v>
      </c>
      <c r="I2329" t="s">
        <v>8730</v>
      </c>
      <c r="J2329">
        <v>9.9566818556722403</v>
      </c>
      <c r="K2329" t="s">
        <v>29</v>
      </c>
      <c r="L2329">
        <v>10.8966645353281</v>
      </c>
      <c r="M2329">
        <v>13.679574398219099</v>
      </c>
      <c r="N2329">
        <v>13.856873276679</v>
      </c>
      <c r="O2329">
        <v>13.472855232403299</v>
      </c>
      <c r="P2329">
        <v>3.2430944402670199</v>
      </c>
      <c r="Q2329">
        <v>2.3767530142847901</v>
      </c>
      <c r="R2329">
        <v>4.1094358662492603</v>
      </c>
      <c r="S2329">
        <v>12.113361906856699</v>
      </c>
      <c r="T2329">
        <v>7.9838454234362599</v>
      </c>
      <c r="U2329">
        <v>6.0254405843454801</v>
      </c>
      <c r="V2329" s="2">
        <v>9.2562602927242502E-7</v>
      </c>
      <c r="W2329" s="2">
        <v>9.6265107044332193E-5</v>
      </c>
      <c r="X2329">
        <v>1</v>
      </c>
      <c r="Y2329">
        <v>1</v>
      </c>
    </row>
    <row r="2330" spans="1:25" x14ac:dyDescent="0.2">
      <c r="A2330" t="s">
        <v>8731</v>
      </c>
      <c r="B2330" t="s">
        <v>8732</v>
      </c>
      <c r="C2330" t="s">
        <v>8733</v>
      </c>
      <c r="D2330" t="s">
        <v>270</v>
      </c>
      <c r="E2330" t="s">
        <v>8732</v>
      </c>
      <c r="F2330" t="s">
        <v>28</v>
      </c>
      <c r="G2330" t="s">
        <v>8732</v>
      </c>
      <c r="H2330" t="str">
        <f>"grl-4"</f>
        <v>grl-4</v>
      </c>
      <c r="I2330" t="s">
        <v>270</v>
      </c>
      <c r="J2330">
        <v>12.6870250297541</v>
      </c>
      <c r="K2330">
        <v>12.3136348602927</v>
      </c>
      <c r="L2330">
        <v>13.1636671632105</v>
      </c>
      <c r="M2330">
        <v>12.5180557833914</v>
      </c>
      <c r="N2330">
        <v>12.8908147677597</v>
      </c>
      <c r="O2330">
        <v>12.2800219530173</v>
      </c>
      <c r="P2330">
        <v>-0.15847818302959901</v>
      </c>
      <c r="Q2330">
        <v>-0.67157718241118403</v>
      </c>
      <c r="R2330">
        <v>0.354620816351986</v>
      </c>
      <c r="S2330">
        <v>12.7858348973236</v>
      </c>
      <c r="T2330">
        <v>-0.65873375986528104</v>
      </c>
      <c r="U2330">
        <v>-6.6566531857421296</v>
      </c>
      <c r="V2330">
        <v>0.52012045527629802</v>
      </c>
      <c r="W2330">
        <v>0.94227592550871997</v>
      </c>
      <c r="X2330">
        <v>0</v>
      </c>
      <c r="Y2330">
        <v>0</v>
      </c>
    </row>
    <row r="2331" spans="1:25" x14ac:dyDescent="0.2">
      <c r="A2331" t="s">
        <v>8734</v>
      </c>
      <c r="B2331" t="s">
        <v>8735</v>
      </c>
      <c r="C2331" t="s">
        <v>14469</v>
      </c>
      <c r="D2331" t="s">
        <v>66</v>
      </c>
      <c r="E2331" t="s">
        <v>8735</v>
      </c>
      <c r="F2331" t="s">
        <v>28</v>
      </c>
      <c r="G2331" t="s">
        <v>8735</v>
      </c>
      <c r="H2331" t="str">
        <f>"F42C5.9"</f>
        <v>F42C5.9</v>
      </c>
      <c r="I2331" t="s">
        <v>66</v>
      </c>
      <c r="J2331">
        <v>15.887106188730201</v>
      </c>
      <c r="K2331">
        <v>15.976665566415299</v>
      </c>
      <c r="L2331">
        <v>15.6302108606709</v>
      </c>
      <c r="M2331">
        <v>15.711606024305</v>
      </c>
      <c r="N2331">
        <v>15.602834539180201</v>
      </c>
      <c r="O2331">
        <v>15.911981936079799</v>
      </c>
      <c r="P2331">
        <v>-8.9186705417127102E-2</v>
      </c>
      <c r="Q2331">
        <v>-0.51786128927839503</v>
      </c>
      <c r="R2331">
        <v>0.33948787844414102</v>
      </c>
      <c r="S2331">
        <v>15.261761363777699</v>
      </c>
      <c r="T2331">
        <v>-0.43728532149154198</v>
      </c>
      <c r="U2331">
        <v>-6.7831137847567602</v>
      </c>
      <c r="V2331">
        <v>0.66713597620162901</v>
      </c>
      <c r="W2331">
        <v>0.98642420921484297</v>
      </c>
      <c r="X2331">
        <v>0</v>
      </c>
      <c r="Y2331">
        <v>0</v>
      </c>
    </row>
    <row r="2332" spans="1:25" x14ac:dyDescent="0.2">
      <c r="A2332" t="s">
        <v>8736</v>
      </c>
      <c r="B2332" t="s">
        <v>8737</v>
      </c>
      <c r="C2332" t="s">
        <v>8738</v>
      </c>
      <c r="D2332" t="s">
        <v>8739</v>
      </c>
      <c r="E2332" t="s">
        <v>8737</v>
      </c>
      <c r="F2332" t="s">
        <v>28</v>
      </c>
      <c r="G2332" t="s">
        <v>8737</v>
      </c>
      <c r="H2332" t="str">
        <f>"ifo-1"</f>
        <v>ifo-1</v>
      </c>
      <c r="I2332" t="s">
        <v>8739</v>
      </c>
      <c r="J2332" t="s">
        <v>29</v>
      </c>
      <c r="K2332">
        <v>10.9771856988517</v>
      </c>
      <c r="L2332">
        <v>13.103572853307501</v>
      </c>
      <c r="M2332">
        <v>10.6819699986589</v>
      </c>
      <c r="N2332">
        <v>10.8397382689179</v>
      </c>
      <c r="O2332">
        <v>11.438592305644599</v>
      </c>
      <c r="P2332">
        <v>-1.05361241833918</v>
      </c>
      <c r="Q2332">
        <v>-2.2797754539308901</v>
      </c>
      <c r="R2332">
        <v>0.172550617252516</v>
      </c>
      <c r="S2332">
        <v>11.7803718923321</v>
      </c>
      <c r="T2332">
        <v>-1.82256149607116</v>
      </c>
      <c r="U2332">
        <v>-5.1917259258360602</v>
      </c>
      <c r="V2332">
        <v>8.7236297432915805E-2</v>
      </c>
      <c r="W2332">
        <v>0.62160332295040199</v>
      </c>
      <c r="X2332">
        <v>0</v>
      </c>
      <c r="Y2332">
        <v>0</v>
      </c>
    </row>
    <row r="2333" spans="1:25" x14ac:dyDescent="0.2">
      <c r="A2333" t="s">
        <v>8740</v>
      </c>
      <c r="B2333" t="s">
        <v>8741</v>
      </c>
      <c r="C2333" t="s">
        <v>8742</v>
      </c>
      <c r="D2333" t="s">
        <v>8743</v>
      </c>
      <c r="E2333" t="s">
        <v>8741</v>
      </c>
      <c r="F2333" t="s">
        <v>28</v>
      </c>
      <c r="G2333" t="s">
        <v>8741</v>
      </c>
      <c r="H2333" t="str">
        <f>"tni-1"</f>
        <v>tni-1</v>
      </c>
      <c r="I2333" t="s">
        <v>8743</v>
      </c>
      <c r="J2333">
        <v>13.271353763424001</v>
      </c>
      <c r="K2333" t="s">
        <v>29</v>
      </c>
      <c r="L2333">
        <v>12.7515827250848</v>
      </c>
      <c r="M2333">
        <v>13.6225841447586</v>
      </c>
      <c r="N2333">
        <v>12.895967567390199</v>
      </c>
      <c r="O2333">
        <v>12.2031068359597</v>
      </c>
      <c r="P2333">
        <v>-0.10424872821822199</v>
      </c>
      <c r="Q2333">
        <v>-0.99418892874007403</v>
      </c>
      <c r="R2333">
        <v>0.78569147230363001</v>
      </c>
      <c r="S2333">
        <v>13.050845639551101</v>
      </c>
      <c r="T2333">
        <v>-0.25142116421212901</v>
      </c>
      <c r="U2333">
        <v>-6.73883611786583</v>
      </c>
      <c r="V2333">
        <v>0.80516870959893405</v>
      </c>
      <c r="W2333">
        <v>0.99278624068726296</v>
      </c>
      <c r="X2333">
        <v>0</v>
      </c>
      <c r="Y2333">
        <v>0</v>
      </c>
    </row>
    <row r="2334" spans="1:25" x14ac:dyDescent="0.2">
      <c r="A2334" t="s">
        <v>8744</v>
      </c>
      <c r="B2334" t="s">
        <v>8745</v>
      </c>
      <c r="C2334" t="s">
        <v>14470</v>
      </c>
      <c r="D2334" t="s">
        <v>8746</v>
      </c>
      <c r="E2334" t="s">
        <v>8745</v>
      </c>
      <c r="F2334" t="s">
        <v>28</v>
      </c>
      <c r="G2334" t="s">
        <v>8745</v>
      </c>
      <c r="H2334" t="str">
        <f>"F42F12.3"</f>
        <v>F42F12.3</v>
      </c>
      <c r="I2334" t="s">
        <v>8746</v>
      </c>
      <c r="J2334">
        <v>13.6420805034049</v>
      </c>
      <c r="K2334">
        <v>13.8645554931676</v>
      </c>
      <c r="L2334">
        <v>13.9555827056121</v>
      </c>
      <c r="M2334">
        <v>13.4658220061186</v>
      </c>
      <c r="N2334">
        <v>13.7350787058114</v>
      </c>
      <c r="O2334">
        <v>13.4949410672751</v>
      </c>
      <c r="P2334">
        <v>-0.25545897432646397</v>
      </c>
      <c r="Q2334">
        <v>-0.74055975362323001</v>
      </c>
      <c r="R2334">
        <v>0.22964180497030201</v>
      </c>
      <c r="S2334">
        <v>13.957216975094999</v>
      </c>
      <c r="T2334">
        <v>-1.1068319956656301</v>
      </c>
      <c r="U2334">
        <v>-6.2635640712989797</v>
      </c>
      <c r="V2334">
        <v>0.283023780734729</v>
      </c>
      <c r="W2334">
        <v>0.856190392347986</v>
      </c>
      <c r="X2334">
        <v>0</v>
      </c>
      <c r="Y2334">
        <v>0</v>
      </c>
    </row>
    <row r="2335" spans="1:25" x14ac:dyDescent="0.2">
      <c r="A2335" t="s">
        <v>8747</v>
      </c>
      <c r="B2335" t="s">
        <v>8748</v>
      </c>
      <c r="C2335" t="s">
        <v>8749</v>
      </c>
      <c r="D2335" t="s">
        <v>8750</v>
      </c>
      <c r="E2335" t="s">
        <v>8748</v>
      </c>
      <c r="F2335" t="s">
        <v>28</v>
      </c>
      <c r="G2335" t="s">
        <v>8748</v>
      </c>
      <c r="H2335" t="str">
        <f>"sip-1"</f>
        <v>sip-1</v>
      </c>
      <c r="I2335" t="s">
        <v>8750</v>
      </c>
      <c r="J2335">
        <v>16.280260827442302</v>
      </c>
      <c r="K2335">
        <v>15.992934463363101</v>
      </c>
      <c r="L2335">
        <v>16.432687528173201</v>
      </c>
      <c r="M2335">
        <v>15.8243364490211</v>
      </c>
      <c r="N2335">
        <v>16.489658277090001</v>
      </c>
      <c r="O2335">
        <v>16.098458651885</v>
      </c>
      <c r="P2335">
        <v>-9.7809813660809694E-2</v>
      </c>
      <c r="Q2335">
        <v>-0.76395574278998402</v>
      </c>
      <c r="R2335">
        <v>0.56833611546836504</v>
      </c>
      <c r="S2335">
        <v>16.605747424561201</v>
      </c>
      <c r="T2335">
        <v>-0.30860685339897498</v>
      </c>
      <c r="U2335">
        <v>-6.83286110743152</v>
      </c>
      <c r="V2335">
        <v>0.76118436479354201</v>
      </c>
      <c r="W2335">
        <v>0.99278624068726296</v>
      </c>
      <c r="X2335">
        <v>0</v>
      </c>
      <c r="Y2335">
        <v>0</v>
      </c>
    </row>
    <row r="2336" spans="1:25" x14ac:dyDescent="0.2">
      <c r="A2336" t="s">
        <v>8751</v>
      </c>
      <c r="B2336" t="s">
        <v>8752</v>
      </c>
      <c r="C2336" t="s">
        <v>8753</v>
      </c>
      <c r="D2336" t="s">
        <v>8754</v>
      </c>
      <c r="E2336" t="s">
        <v>8752</v>
      </c>
      <c r="F2336" t="s">
        <v>28</v>
      </c>
      <c r="G2336" t="s">
        <v>8752</v>
      </c>
      <c r="H2336" t="str">
        <f>"sly-1"</f>
        <v>sly-1</v>
      </c>
      <c r="I2336" t="s">
        <v>8754</v>
      </c>
      <c r="J2336">
        <v>12.358151439156901</v>
      </c>
      <c r="K2336">
        <v>12.435713751454101</v>
      </c>
      <c r="L2336">
        <v>12.3426351442452</v>
      </c>
      <c r="M2336">
        <v>12.7945309325618</v>
      </c>
      <c r="N2336">
        <v>12.770519154629399</v>
      </c>
      <c r="O2336">
        <v>13.1275085830287</v>
      </c>
      <c r="P2336">
        <v>0.51868611178791801</v>
      </c>
      <c r="Q2336">
        <v>4.4584977703900901E-2</v>
      </c>
      <c r="R2336">
        <v>0.99278724587193601</v>
      </c>
      <c r="S2336">
        <v>12.6645709560268</v>
      </c>
      <c r="T2336">
        <v>2.3205084553371198</v>
      </c>
      <c r="U2336">
        <v>-4.4473662566034404</v>
      </c>
      <c r="V2336">
        <v>3.3946061883168399E-2</v>
      </c>
      <c r="W2336">
        <v>0.40203734500777299</v>
      </c>
      <c r="X2336">
        <v>0</v>
      </c>
      <c r="Y2336">
        <v>0</v>
      </c>
    </row>
    <row r="2337" spans="1:25" x14ac:dyDescent="0.2">
      <c r="A2337" t="s">
        <v>8755</v>
      </c>
      <c r="B2337" t="s">
        <v>8756</v>
      </c>
      <c r="C2337" t="s">
        <v>8757</v>
      </c>
      <c r="D2337" t="s">
        <v>8758</v>
      </c>
      <c r="E2337" t="s">
        <v>8756</v>
      </c>
      <c r="F2337" t="s">
        <v>28</v>
      </c>
      <c r="G2337" t="s">
        <v>8756</v>
      </c>
      <c r="H2337" t="str">
        <f>"rab-33"</f>
        <v>rab-33</v>
      </c>
      <c r="I2337" t="s">
        <v>8758</v>
      </c>
      <c r="J2337">
        <v>13.7190446062536</v>
      </c>
      <c r="K2337">
        <v>14.0028129905256</v>
      </c>
      <c r="L2337">
        <v>13.8530812507995</v>
      </c>
      <c r="M2337">
        <v>14.072085242182601</v>
      </c>
      <c r="N2337">
        <v>13.9528551315451</v>
      </c>
      <c r="O2337">
        <v>14.1031808348592</v>
      </c>
      <c r="P2337">
        <v>0.184394120336066</v>
      </c>
      <c r="Q2337">
        <v>-0.29244080774763498</v>
      </c>
      <c r="R2337">
        <v>0.66122904841976604</v>
      </c>
      <c r="S2337">
        <v>13.3228240326375</v>
      </c>
      <c r="T2337">
        <v>0.82021657021900496</v>
      </c>
      <c r="U2337">
        <v>-6.5359941015835297</v>
      </c>
      <c r="V2337">
        <v>0.42422258313747901</v>
      </c>
      <c r="W2337">
        <v>0.91512503332874395</v>
      </c>
      <c r="X2337">
        <v>0</v>
      </c>
      <c r="Y2337">
        <v>0</v>
      </c>
    </row>
    <row r="2338" spans="1:25" x14ac:dyDescent="0.2">
      <c r="A2338" t="s">
        <v>8759</v>
      </c>
      <c r="B2338" t="s">
        <v>8760</v>
      </c>
      <c r="C2338" t="s">
        <v>8761</v>
      </c>
      <c r="D2338" t="s">
        <v>8762</v>
      </c>
      <c r="E2338" t="s">
        <v>8760</v>
      </c>
      <c r="F2338" t="s">
        <v>28</v>
      </c>
      <c r="G2338" t="s">
        <v>8760</v>
      </c>
      <c r="H2338" t="str">
        <f>"patr-1"</f>
        <v>patr-1</v>
      </c>
      <c r="I2338" t="s">
        <v>8762</v>
      </c>
      <c r="J2338">
        <v>14.010181173393001</v>
      </c>
      <c r="K2338">
        <v>14.0970307779368</v>
      </c>
      <c r="L2338">
        <v>13.7389172047664</v>
      </c>
      <c r="M2338">
        <v>14.679260815248799</v>
      </c>
      <c r="N2338">
        <v>14.722006707915</v>
      </c>
      <c r="O2338">
        <v>14.569049525635</v>
      </c>
      <c r="P2338">
        <v>0.70806263090088395</v>
      </c>
      <c r="Q2338">
        <v>0.27826059604696501</v>
      </c>
      <c r="R2338">
        <v>1.1378646657547999</v>
      </c>
      <c r="S2338">
        <v>14.4836078319662</v>
      </c>
      <c r="T2338">
        <v>3.46254734400843</v>
      </c>
      <c r="U2338">
        <v>-2.1027444014963299</v>
      </c>
      <c r="V2338">
        <v>2.7977120104888602E-3</v>
      </c>
      <c r="W2338">
        <v>7.0536254325052603E-2</v>
      </c>
      <c r="X2338">
        <v>0</v>
      </c>
      <c r="Y2338">
        <v>0</v>
      </c>
    </row>
    <row r="2339" spans="1:25" x14ac:dyDescent="0.2">
      <c r="A2339" t="s">
        <v>8763</v>
      </c>
      <c r="B2339" t="s">
        <v>8764</v>
      </c>
      <c r="C2339" t="s">
        <v>8765</v>
      </c>
      <c r="D2339" t="s">
        <v>8766</v>
      </c>
      <c r="E2339" t="s">
        <v>8764</v>
      </c>
      <c r="F2339" t="s">
        <v>28</v>
      </c>
      <c r="G2339" t="s">
        <v>8764</v>
      </c>
      <c r="H2339" t="str">
        <f>"sptl-2"</f>
        <v>sptl-2</v>
      </c>
      <c r="I2339" t="s">
        <v>8766</v>
      </c>
      <c r="J2339">
        <v>12.8592760271338</v>
      </c>
      <c r="K2339">
        <v>12.432764071246201</v>
      </c>
      <c r="L2339">
        <v>12.668905197927399</v>
      </c>
      <c r="M2339">
        <v>12.8709434887926</v>
      </c>
      <c r="N2339">
        <v>13.1412592554268</v>
      </c>
      <c r="O2339">
        <v>12.4842368965089</v>
      </c>
      <c r="P2339">
        <v>0.17849811480694</v>
      </c>
      <c r="Q2339">
        <v>-0.25515339794693398</v>
      </c>
      <c r="R2339">
        <v>0.61214962756081404</v>
      </c>
      <c r="S2339">
        <v>12.4933811670409</v>
      </c>
      <c r="T2339">
        <v>0.86884595015074495</v>
      </c>
      <c r="U2339">
        <v>-6.4954968064294301</v>
      </c>
      <c r="V2339">
        <v>0.39710645239829301</v>
      </c>
      <c r="W2339">
        <v>0.90975406915825197</v>
      </c>
      <c r="X2339">
        <v>0</v>
      </c>
      <c r="Y2339">
        <v>0</v>
      </c>
    </row>
    <row r="2340" spans="1:25" x14ac:dyDescent="0.2">
      <c r="A2340" t="s">
        <v>8767</v>
      </c>
      <c r="B2340" t="s">
        <v>8768</v>
      </c>
      <c r="C2340" t="s">
        <v>14471</v>
      </c>
      <c r="D2340" t="s">
        <v>8769</v>
      </c>
      <c r="E2340" t="s">
        <v>8768</v>
      </c>
      <c r="F2340" t="s">
        <v>28</v>
      </c>
      <c r="G2340" t="s">
        <v>8768</v>
      </c>
      <c r="H2340" t="str">
        <f>"F43H9.3"</f>
        <v>F43H9.3</v>
      </c>
      <c r="I2340" t="s">
        <v>8769</v>
      </c>
      <c r="J2340">
        <v>11.4687166826957</v>
      </c>
      <c r="K2340">
        <v>11.4743825194615</v>
      </c>
      <c r="L2340">
        <v>11.981720229251099</v>
      </c>
      <c r="M2340" t="s">
        <v>29</v>
      </c>
      <c r="N2340">
        <v>11.944469987603799</v>
      </c>
      <c r="O2340">
        <v>11.093660191747601</v>
      </c>
      <c r="P2340">
        <v>-0.122541387460462</v>
      </c>
      <c r="Q2340">
        <v>-0.73288435405671204</v>
      </c>
      <c r="R2340">
        <v>0.48780157913578898</v>
      </c>
      <c r="S2340">
        <v>12.279445267401501</v>
      </c>
      <c r="T2340">
        <v>-0.42820373869637002</v>
      </c>
      <c r="U2340">
        <v>-6.6762251848760696</v>
      </c>
      <c r="V2340">
        <v>0.67463003636477303</v>
      </c>
      <c r="W2340">
        <v>0.98642420921484297</v>
      </c>
      <c r="X2340">
        <v>0</v>
      </c>
      <c r="Y2340">
        <v>0</v>
      </c>
    </row>
    <row r="2341" spans="1:25" x14ac:dyDescent="0.2">
      <c r="A2341" t="s">
        <v>8770</v>
      </c>
      <c r="B2341" t="s">
        <v>8771</v>
      </c>
      <c r="C2341" t="s">
        <v>8772</v>
      </c>
      <c r="D2341" t="s">
        <v>1281</v>
      </c>
      <c r="E2341" t="s">
        <v>8771</v>
      </c>
      <c r="F2341" t="s">
        <v>28</v>
      </c>
      <c r="G2341" t="s">
        <v>8771</v>
      </c>
      <c r="H2341" t="str">
        <f>"magu-4"</f>
        <v>magu-4</v>
      </c>
      <c r="I2341" t="s">
        <v>1281</v>
      </c>
      <c r="J2341">
        <v>12.819017722582</v>
      </c>
      <c r="K2341">
        <v>12.7294851942873</v>
      </c>
      <c r="L2341">
        <v>12.640594066610101</v>
      </c>
      <c r="M2341">
        <v>11.752646896314999</v>
      </c>
      <c r="N2341">
        <v>12.080291070612001</v>
      </c>
      <c r="O2341">
        <v>12.0571419130985</v>
      </c>
      <c r="P2341">
        <v>-0.76633903448459495</v>
      </c>
      <c r="Q2341">
        <v>-1.41070515944192</v>
      </c>
      <c r="R2341">
        <v>-0.121972909527269</v>
      </c>
      <c r="S2341">
        <v>12.5071863682866</v>
      </c>
      <c r="T2341">
        <v>-2.5225383428894599</v>
      </c>
      <c r="U2341">
        <v>-4.0729564434513801</v>
      </c>
      <c r="V2341">
        <v>2.2703847636826199E-2</v>
      </c>
      <c r="W2341">
        <v>0.31482668723065599</v>
      </c>
      <c r="X2341">
        <v>0</v>
      </c>
      <c r="Y2341">
        <v>0</v>
      </c>
    </row>
    <row r="2342" spans="1:25" x14ac:dyDescent="0.2">
      <c r="A2342" t="s">
        <v>8773</v>
      </c>
      <c r="B2342" t="s">
        <v>8774</v>
      </c>
      <c r="C2342" t="s">
        <v>8775</v>
      </c>
      <c r="D2342" t="s">
        <v>8776</v>
      </c>
      <c r="E2342" t="s">
        <v>8774</v>
      </c>
      <c r="F2342" t="s">
        <v>28</v>
      </c>
      <c r="G2342" t="s">
        <v>8774</v>
      </c>
      <c r="H2342" t="str">
        <f>"egg-3"</f>
        <v>egg-3</v>
      </c>
      <c r="I2342" t="s">
        <v>8776</v>
      </c>
      <c r="J2342" t="s">
        <v>29</v>
      </c>
      <c r="K2342" t="s">
        <v>29</v>
      </c>
      <c r="L2342">
        <v>11.446270075490499</v>
      </c>
      <c r="M2342" t="s">
        <v>29</v>
      </c>
      <c r="N2342">
        <v>12.0514379683669</v>
      </c>
      <c r="O2342" t="s">
        <v>29</v>
      </c>
      <c r="P2342">
        <v>0.60516789287642503</v>
      </c>
      <c r="Q2342">
        <v>-0.21082244153836999</v>
      </c>
      <c r="R2342">
        <v>1.42115822729122</v>
      </c>
      <c r="S2342">
        <v>12.5017532113134</v>
      </c>
      <c r="T2342">
        <v>1.65484664750822</v>
      </c>
      <c r="U2342">
        <v>-5.0579275895942999</v>
      </c>
      <c r="V2342">
        <v>0.12928028417457599</v>
      </c>
      <c r="W2342">
        <v>0.71998552612350397</v>
      </c>
      <c r="X2342">
        <v>0</v>
      </c>
      <c r="Y2342">
        <v>0</v>
      </c>
    </row>
    <row r="2343" spans="1:25" x14ac:dyDescent="0.2">
      <c r="A2343" t="s">
        <v>8777</v>
      </c>
      <c r="B2343" t="s">
        <v>8778</v>
      </c>
      <c r="C2343" t="s">
        <v>8779</v>
      </c>
      <c r="D2343" t="s">
        <v>8780</v>
      </c>
      <c r="E2343" t="s">
        <v>8778</v>
      </c>
      <c r="F2343" t="s">
        <v>28</v>
      </c>
      <c r="G2343" t="s">
        <v>8778</v>
      </c>
      <c r="H2343" t="str">
        <f>"cnep-1"</f>
        <v>cnep-1</v>
      </c>
      <c r="I2343" t="s">
        <v>8780</v>
      </c>
      <c r="J2343">
        <v>13.956386772339901</v>
      </c>
      <c r="K2343">
        <v>14.3828436473322</v>
      </c>
      <c r="L2343">
        <v>13.575921070579099</v>
      </c>
      <c r="M2343">
        <v>14.0221422881985</v>
      </c>
      <c r="N2343">
        <v>13.9677456081366</v>
      </c>
      <c r="O2343">
        <v>13.9153696357637</v>
      </c>
      <c r="P2343">
        <v>-3.2979860508373102E-3</v>
      </c>
      <c r="Q2343">
        <v>-0.57960974393472597</v>
      </c>
      <c r="R2343">
        <v>0.57301377183305102</v>
      </c>
      <c r="S2343">
        <v>13.9283529314575</v>
      </c>
      <c r="T2343">
        <v>-1.2079288317166001E-2</v>
      </c>
      <c r="U2343">
        <v>-6.8824130986530703</v>
      </c>
      <c r="V2343">
        <v>0.99050384907342004</v>
      </c>
      <c r="W2343">
        <v>0.99968702248720698</v>
      </c>
      <c r="X2343">
        <v>0</v>
      </c>
      <c r="Y2343">
        <v>0</v>
      </c>
    </row>
    <row r="2344" spans="1:25" x14ac:dyDescent="0.2">
      <c r="A2344" t="s">
        <v>8781</v>
      </c>
      <c r="B2344" t="s">
        <v>8782</v>
      </c>
      <c r="C2344" t="s">
        <v>8783</v>
      </c>
      <c r="D2344" t="s">
        <v>7751</v>
      </c>
      <c r="E2344" t="s">
        <v>8782</v>
      </c>
      <c r="F2344" t="s">
        <v>28</v>
      </c>
      <c r="G2344" t="s">
        <v>8782</v>
      </c>
      <c r="H2344" t="str">
        <f>"gei-1"</f>
        <v>gei-1</v>
      </c>
      <c r="I2344" t="s">
        <v>7751</v>
      </c>
      <c r="J2344">
        <v>13.681476423617699</v>
      </c>
      <c r="K2344">
        <v>14.063362360532899</v>
      </c>
      <c r="L2344">
        <v>13.940222502290601</v>
      </c>
      <c r="M2344">
        <v>13.5141197037706</v>
      </c>
      <c r="N2344">
        <v>13.6207883271447</v>
      </c>
      <c r="O2344">
        <v>13.921366726542701</v>
      </c>
      <c r="P2344">
        <v>-0.20959550966107801</v>
      </c>
      <c r="Q2344">
        <v>-0.60706445351840199</v>
      </c>
      <c r="R2344">
        <v>0.187873434196246</v>
      </c>
      <c r="S2344">
        <v>13.654846355116</v>
      </c>
      <c r="T2344">
        <v>-1.1184802071834901</v>
      </c>
      <c r="U2344">
        <v>-6.2493565203373196</v>
      </c>
      <c r="V2344">
        <v>0.27998124877828201</v>
      </c>
      <c r="W2344">
        <v>0.856190392347986</v>
      </c>
      <c r="X2344">
        <v>0</v>
      </c>
      <c r="Y2344">
        <v>0</v>
      </c>
    </row>
    <row r="2345" spans="1:25" x14ac:dyDescent="0.2">
      <c r="A2345" t="s">
        <v>8784</v>
      </c>
      <c r="B2345" t="s">
        <v>8785</v>
      </c>
      <c r="C2345" t="s">
        <v>14472</v>
      </c>
      <c r="D2345" t="s">
        <v>8786</v>
      </c>
      <c r="E2345" t="s">
        <v>8785</v>
      </c>
      <c r="F2345" t="s">
        <v>28</v>
      </c>
      <c r="G2345" t="s">
        <v>8785</v>
      </c>
      <c r="H2345" t="str">
        <f>"F46B6.4"</f>
        <v>F46B6.4</v>
      </c>
      <c r="I2345" t="s">
        <v>8786</v>
      </c>
      <c r="J2345">
        <v>12.141604892187701</v>
      </c>
      <c r="K2345">
        <v>12.1220572924989</v>
      </c>
      <c r="L2345">
        <v>11.9371987384216</v>
      </c>
      <c r="M2345" t="s">
        <v>29</v>
      </c>
      <c r="N2345">
        <v>11.6892607741206</v>
      </c>
      <c r="O2345" t="s">
        <v>29</v>
      </c>
      <c r="P2345">
        <v>-0.37769286691549198</v>
      </c>
      <c r="Q2345">
        <v>-1.2195290419254301</v>
      </c>
      <c r="R2345">
        <v>0.46414330809444898</v>
      </c>
      <c r="S2345">
        <v>12.131084630183301</v>
      </c>
      <c r="T2345">
        <v>-0.97005965634407798</v>
      </c>
      <c r="U2345">
        <v>-6.0620331712965196</v>
      </c>
      <c r="V2345">
        <v>0.34986112467215502</v>
      </c>
      <c r="W2345">
        <v>0.87950242192597095</v>
      </c>
      <c r="X2345">
        <v>0</v>
      </c>
      <c r="Y2345">
        <v>0</v>
      </c>
    </row>
    <row r="2346" spans="1:25" x14ac:dyDescent="0.2">
      <c r="A2346" t="s">
        <v>8787</v>
      </c>
      <c r="B2346" t="s">
        <v>8788</v>
      </c>
      <c r="C2346" t="s">
        <v>8789</v>
      </c>
      <c r="D2346" t="s">
        <v>8790</v>
      </c>
      <c r="E2346" t="s">
        <v>8788</v>
      </c>
      <c r="F2346" t="s">
        <v>28</v>
      </c>
      <c r="G2346" t="s">
        <v>8788</v>
      </c>
      <c r="H2346" t="str">
        <f>"ztf-7"</f>
        <v>ztf-7</v>
      </c>
      <c r="I2346" t="s">
        <v>8790</v>
      </c>
      <c r="J2346">
        <v>13.795238453707</v>
      </c>
      <c r="K2346">
        <v>14.065911636088501</v>
      </c>
      <c r="L2346">
        <v>13.7020280392298</v>
      </c>
      <c r="M2346">
        <v>14.418031261768601</v>
      </c>
      <c r="N2346">
        <v>14.062991987446299</v>
      </c>
      <c r="O2346">
        <v>13.9435647219975</v>
      </c>
      <c r="P2346">
        <v>0.287136614062382</v>
      </c>
      <c r="Q2346">
        <v>-0.119468993593166</v>
      </c>
      <c r="R2346">
        <v>0.69374222171792999</v>
      </c>
      <c r="S2346">
        <v>13.8070218148913</v>
      </c>
      <c r="T2346">
        <v>1.48425227793421</v>
      </c>
      <c r="U2346">
        <v>-5.7976246609895403</v>
      </c>
      <c r="V2346">
        <v>0.15514312118552301</v>
      </c>
      <c r="W2346">
        <v>0.75094320293391503</v>
      </c>
      <c r="X2346">
        <v>0</v>
      </c>
      <c r="Y2346">
        <v>0</v>
      </c>
    </row>
    <row r="2347" spans="1:25" x14ac:dyDescent="0.2">
      <c r="A2347" t="s">
        <v>8791</v>
      </c>
      <c r="B2347" t="s">
        <v>8792</v>
      </c>
      <c r="C2347" t="s">
        <v>8793</v>
      </c>
      <c r="D2347" t="s">
        <v>2180</v>
      </c>
      <c r="E2347" t="s">
        <v>8792</v>
      </c>
      <c r="F2347" t="s">
        <v>28</v>
      </c>
      <c r="G2347" t="s">
        <v>8792</v>
      </c>
      <c r="H2347" t="str">
        <f>"hum-4"</f>
        <v>hum-4</v>
      </c>
      <c r="I2347" t="s">
        <v>2180</v>
      </c>
      <c r="J2347">
        <v>15.0941003776624</v>
      </c>
      <c r="K2347">
        <v>15.4381186131133</v>
      </c>
      <c r="L2347">
        <v>15.057902420109601</v>
      </c>
      <c r="M2347">
        <v>15.0822115231653</v>
      </c>
      <c r="N2347">
        <v>14.8661391600175</v>
      </c>
      <c r="O2347">
        <v>15.1592607890786</v>
      </c>
      <c r="P2347">
        <v>-0.16083664620795601</v>
      </c>
      <c r="Q2347">
        <v>-0.55751057505369805</v>
      </c>
      <c r="R2347">
        <v>0.235837282637785</v>
      </c>
      <c r="S2347">
        <v>15.1311342842579</v>
      </c>
      <c r="T2347">
        <v>-0.852204580252235</v>
      </c>
      <c r="U2347">
        <v>-6.5105991162384802</v>
      </c>
      <c r="V2347">
        <v>0.405361910832848</v>
      </c>
      <c r="W2347">
        <v>0.91027279600179201</v>
      </c>
      <c r="X2347">
        <v>0</v>
      </c>
      <c r="Y2347">
        <v>0</v>
      </c>
    </row>
    <row r="2348" spans="1:25" x14ac:dyDescent="0.2">
      <c r="A2348" t="s">
        <v>8794</v>
      </c>
      <c r="B2348" t="s">
        <v>8795</v>
      </c>
      <c r="C2348" t="s">
        <v>8796</v>
      </c>
      <c r="D2348" t="s">
        <v>8797</v>
      </c>
      <c r="E2348" t="s">
        <v>8795</v>
      </c>
      <c r="F2348" t="s">
        <v>28</v>
      </c>
      <c r="G2348" t="s">
        <v>8795</v>
      </c>
      <c r="H2348" t="str">
        <f>"kin-20"</f>
        <v>kin-20</v>
      </c>
      <c r="I2348" t="s">
        <v>8797</v>
      </c>
      <c r="J2348">
        <v>13.509976409863301</v>
      </c>
      <c r="K2348">
        <v>13.5431673456398</v>
      </c>
      <c r="L2348">
        <v>13.4137781267537</v>
      </c>
      <c r="M2348">
        <v>13.2651525873867</v>
      </c>
      <c r="N2348">
        <v>13.148338629186499</v>
      </c>
      <c r="O2348">
        <v>13.5065813809037</v>
      </c>
      <c r="P2348">
        <v>-0.18228309492664799</v>
      </c>
      <c r="Q2348">
        <v>-0.72054980147606495</v>
      </c>
      <c r="R2348">
        <v>0.35598361162276898</v>
      </c>
      <c r="S2348">
        <v>13.2486625842226</v>
      </c>
      <c r="T2348">
        <v>-0.71177280165507295</v>
      </c>
      <c r="U2348">
        <v>-6.6214969823209904</v>
      </c>
      <c r="V2348">
        <v>0.485781824007881</v>
      </c>
      <c r="W2348">
        <v>0.93985684368537403</v>
      </c>
      <c r="X2348">
        <v>0</v>
      </c>
      <c r="Y2348">
        <v>0</v>
      </c>
    </row>
    <row r="2349" spans="1:25" x14ac:dyDescent="0.2">
      <c r="A2349" t="s">
        <v>8798</v>
      </c>
      <c r="B2349" t="s">
        <v>8799</v>
      </c>
      <c r="C2349" t="s">
        <v>8800</v>
      </c>
      <c r="D2349" t="s">
        <v>8801</v>
      </c>
      <c r="E2349" t="s">
        <v>8799</v>
      </c>
      <c r="F2349" t="s">
        <v>28</v>
      </c>
      <c r="G2349" t="s">
        <v>8799</v>
      </c>
      <c r="H2349" t="str">
        <f>"sir-2.2"</f>
        <v>sir-2.2</v>
      </c>
      <c r="I2349" t="s">
        <v>8801</v>
      </c>
      <c r="J2349">
        <v>15.112276495764901</v>
      </c>
      <c r="K2349">
        <v>15.6552973283532</v>
      </c>
      <c r="L2349">
        <v>15.566521811986</v>
      </c>
      <c r="M2349">
        <v>15.008851140409901</v>
      </c>
      <c r="N2349">
        <v>15.3442763879812</v>
      </c>
      <c r="O2349">
        <v>14.731496051593099</v>
      </c>
      <c r="P2349">
        <v>-0.41649068537328499</v>
      </c>
      <c r="Q2349">
        <v>-0.98551800003725798</v>
      </c>
      <c r="R2349">
        <v>0.15253662929068801</v>
      </c>
      <c r="S2349">
        <v>15.431619964212301</v>
      </c>
      <c r="T2349">
        <v>-1.53838377958131</v>
      </c>
      <c r="U2349">
        <v>-5.7219123448060802</v>
      </c>
      <c r="V2349">
        <v>0.14144943100858501</v>
      </c>
      <c r="W2349">
        <v>0.73171825718948003</v>
      </c>
      <c r="X2349">
        <v>0</v>
      </c>
      <c r="Y2349">
        <v>0</v>
      </c>
    </row>
    <row r="2350" spans="1:25" x14ac:dyDescent="0.2">
      <c r="A2350" t="s">
        <v>8802</v>
      </c>
      <c r="B2350" t="s">
        <v>8803</v>
      </c>
      <c r="C2350" t="s">
        <v>8804</v>
      </c>
      <c r="D2350" t="s">
        <v>323</v>
      </c>
      <c r="E2350" t="s">
        <v>8803</v>
      </c>
      <c r="F2350" t="s">
        <v>28</v>
      </c>
      <c r="G2350" t="s">
        <v>8803</v>
      </c>
      <c r="H2350" t="str">
        <f>"gakh-1"</f>
        <v>gakh-1</v>
      </c>
      <c r="I2350" t="s">
        <v>323</v>
      </c>
      <c r="J2350">
        <v>10.996683621467</v>
      </c>
      <c r="K2350">
        <v>10.907850042309899</v>
      </c>
      <c r="L2350">
        <v>11.100535440992701</v>
      </c>
      <c r="M2350">
        <v>11.762172234765499</v>
      </c>
      <c r="N2350">
        <v>12.3164485975537</v>
      </c>
      <c r="O2350">
        <v>12.381941121154499</v>
      </c>
      <c r="P2350">
        <v>1.1518309495680199</v>
      </c>
      <c r="Q2350">
        <v>0.53027819442039503</v>
      </c>
      <c r="R2350">
        <v>1.77338370471564</v>
      </c>
      <c r="S2350">
        <v>11.738941370002101</v>
      </c>
      <c r="T2350">
        <v>3.9306129233444098</v>
      </c>
      <c r="U2350">
        <v>-1.23050844226211</v>
      </c>
      <c r="V2350">
        <v>1.20777735042258E-3</v>
      </c>
      <c r="W2350">
        <v>3.5443727346127003E-2</v>
      </c>
      <c r="X2350">
        <v>1</v>
      </c>
      <c r="Y2350">
        <v>1</v>
      </c>
    </row>
    <row r="2351" spans="1:25" x14ac:dyDescent="0.2">
      <c r="A2351" t="s">
        <v>8805</v>
      </c>
      <c r="B2351" t="s">
        <v>8806</v>
      </c>
      <c r="C2351" t="s">
        <v>8807</v>
      </c>
      <c r="D2351" t="s">
        <v>8808</v>
      </c>
      <c r="E2351" t="s">
        <v>8806</v>
      </c>
      <c r="F2351" t="s">
        <v>28</v>
      </c>
      <c r="G2351" t="s">
        <v>8806</v>
      </c>
      <c r="H2351" t="str">
        <f>"dpy-22"</f>
        <v>dpy-22</v>
      </c>
      <c r="I2351" t="s">
        <v>8808</v>
      </c>
      <c r="J2351">
        <v>12.369544698637499</v>
      </c>
      <c r="K2351">
        <v>12.514963675044999</v>
      </c>
      <c r="L2351">
        <v>12.466613432640001</v>
      </c>
      <c r="M2351">
        <v>12.0295093951186</v>
      </c>
      <c r="N2351">
        <v>12.125236559521101</v>
      </c>
      <c r="O2351">
        <v>12.2666306616066</v>
      </c>
      <c r="P2351">
        <v>-0.30991506335871599</v>
      </c>
      <c r="Q2351">
        <v>-0.77740125349989397</v>
      </c>
      <c r="R2351">
        <v>0.15757112678246299</v>
      </c>
      <c r="S2351">
        <v>12.3870319322836</v>
      </c>
      <c r="T2351">
        <v>-1.4061233796166499</v>
      </c>
      <c r="U2351">
        <v>-5.9029228101067002</v>
      </c>
      <c r="V2351">
        <v>0.17893525788322301</v>
      </c>
      <c r="W2351">
        <v>0.78149151999391697</v>
      </c>
      <c r="X2351">
        <v>0</v>
      </c>
      <c r="Y2351">
        <v>0</v>
      </c>
    </row>
    <row r="2352" spans="1:25" x14ac:dyDescent="0.2">
      <c r="A2352" t="s">
        <v>8809</v>
      </c>
      <c r="B2352" t="s">
        <v>8810</v>
      </c>
      <c r="C2352" t="s">
        <v>8811</v>
      </c>
      <c r="D2352" t="s">
        <v>8812</v>
      </c>
      <c r="E2352" t="s">
        <v>8810</v>
      </c>
      <c r="F2352" t="s">
        <v>28</v>
      </c>
      <c r="G2352" t="s">
        <v>8810</v>
      </c>
      <c r="H2352" t="str">
        <f>"rrc-1"</f>
        <v>rrc-1</v>
      </c>
      <c r="I2352" t="s">
        <v>8812</v>
      </c>
      <c r="J2352" t="s">
        <v>29</v>
      </c>
      <c r="K2352" t="s">
        <v>29</v>
      </c>
      <c r="L2352" t="s">
        <v>29</v>
      </c>
      <c r="M2352" t="s">
        <v>29</v>
      </c>
      <c r="N2352" t="s">
        <v>29</v>
      </c>
      <c r="O2352" t="s">
        <v>29</v>
      </c>
      <c r="P2352" t="s">
        <v>29</v>
      </c>
      <c r="Q2352" t="s">
        <v>29</v>
      </c>
      <c r="R2352" t="s">
        <v>29</v>
      </c>
      <c r="S2352">
        <v>10.945536744263</v>
      </c>
      <c r="T2352" t="s">
        <v>29</v>
      </c>
      <c r="U2352" t="s">
        <v>29</v>
      </c>
      <c r="V2352" t="s">
        <v>29</v>
      </c>
      <c r="W2352" t="s">
        <v>29</v>
      </c>
      <c r="X2352" t="s">
        <v>29</v>
      </c>
      <c r="Y2352" t="s">
        <v>29</v>
      </c>
    </row>
    <row r="2353" spans="1:25" x14ac:dyDescent="0.2">
      <c r="A2353" t="s">
        <v>8813</v>
      </c>
      <c r="B2353" t="s">
        <v>8814</v>
      </c>
      <c r="C2353" t="s">
        <v>8815</v>
      </c>
      <c r="D2353" t="s">
        <v>8816</v>
      </c>
      <c r="E2353" t="s">
        <v>8814</v>
      </c>
      <c r="F2353" t="s">
        <v>28</v>
      </c>
      <c r="G2353" t="s">
        <v>8814</v>
      </c>
      <c r="H2353" t="str">
        <f>"haly-1"</f>
        <v>haly-1</v>
      </c>
      <c r="I2353" t="s">
        <v>8816</v>
      </c>
      <c r="J2353">
        <v>11.082089749399101</v>
      </c>
      <c r="K2353">
        <v>11.719066979549201</v>
      </c>
      <c r="L2353">
        <v>11.7918116422248</v>
      </c>
      <c r="M2353">
        <v>12.4151643918982</v>
      </c>
      <c r="N2353">
        <v>13.266206685593099</v>
      </c>
      <c r="O2353">
        <v>12.473645707385399</v>
      </c>
      <c r="P2353">
        <v>1.18734947123455</v>
      </c>
      <c r="Q2353">
        <v>0.36368421774727</v>
      </c>
      <c r="R2353">
        <v>2.0110147247218402</v>
      </c>
      <c r="S2353">
        <v>12.548210965682999</v>
      </c>
      <c r="T2353">
        <v>3.0428309903699402</v>
      </c>
      <c r="U2353">
        <v>-3.02303787839198</v>
      </c>
      <c r="V2353">
        <v>7.3905991366513598E-3</v>
      </c>
      <c r="W2353">
        <v>0.14906614501076201</v>
      </c>
      <c r="X2353">
        <v>1</v>
      </c>
      <c r="Y2353">
        <v>0</v>
      </c>
    </row>
    <row r="2354" spans="1:25" x14ac:dyDescent="0.2">
      <c r="A2354" t="s">
        <v>8817</v>
      </c>
      <c r="B2354" t="s">
        <v>8818</v>
      </c>
      <c r="C2354" t="s">
        <v>8819</v>
      </c>
      <c r="D2354" t="s">
        <v>8820</v>
      </c>
      <c r="E2354" t="s">
        <v>8818</v>
      </c>
      <c r="F2354" t="s">
        <v>28</v>
      </c>
      <c r="G2354" t="s">
        <v>8818</v>
      </c>
      <c r="H2354" t="str">
        <f>"acbp-3"</f>
        <v>acbp-3</v>
      </c>
      <c r="I2354" t="s">
        <v>8820</v>
      </c>
      <c r="J2354" t="s">
        <v>29</v>
      </c>
      <c r="K2354" t="s">
        <v>29</v>
      </c>
      <c r="L2354" t="s">
        <v>29</v>
      </c>
      <c r="M2354">
        <v>15.6561128039792</v>
      </c>
      <c r="N2354">
        <v>15.960263194171899</v>
      </c>
      <c r="O2354">
        <v>15.4493879159422</v>
      </c>
      <c r="P2354" t="s">
        <v>29</v>
      </c>
      <c r="Q2354" t="s">
        <v>29</v>
      </c>
      <c r="R2354" t="s">
        <v>29</v>
      </c>
      <c r="S2354">
        <v>15.7842783248035</v>
      </c>
      <c r="T2354" t="s">
        <v>29</v>
      </c>
      <c r="U2354" t="s">
        <v>29</v>
      </c>
      <c r="V2354" t="s">
        <v>29</v>
      </c>
      <c r="W2354" t="s">
        <v>29</v>
      </c>
      <c r="X2354" t="s">
        <v>29</v>
      </c>
      <c r="Y2354" t="s">
        <v>29</v>
      </c>
    </row>
    <row r="2355" spans="1:25" x14ac:dyDescent="0.2">
      <c r="A2355" t="s">
        <v>8821</v>
      </c>
      <c r="B2355" t="s">
        <v>8822</v>
      </c>
      <c r="C2355" t="s">
        <v>8823</v>
      </c>
      <c r="D2355" t="s">
        <v>8220</v>
      </c>
      <c r="E2355" t="s">
        <v>8822</v>
      </c>
      <c r="F2355" t="s">
        <v>28</v>
      </c>
      <c r="G2355" t="s">
        <v>8822</v>
      </c>
      <c r="H2355" t="str">
        <f>"pqn-39"</f>
        <v>pqn-39</v>
      </c>
      <c r="I2355" t="s">
        <v>8220</v>
      </c>
      <c r="J2355">
        <v>12.575894321477101</v>
      </c>
      <c r="K2355">
        <v>12.9170719428024</v>
      </c>
      <c r="L2355">
        <v>13.151348169626999</v>
      </c>
      <c r="M2355">
        <v>12.3240359538483</v>
      </c>
      <c r="N2355">
        <v>12.215540386647699</v>
      </c>
      <c r="O2355">
        <v>12.877555572232399</v>
      </c>
      <c r="P2355">
        <v>-0.40906084039270302</v>
      </c>
      <c r="Q2355">
        <v>-1.03399823823855</v>
      </c>
      <c r="R2355">
        <v>0.215876557453139</v>
      </c>
      <c r="S2355">
        <v>12.965251141555999</v>
      </c>
      <c r="T2355">
        <v>-1.38166069996087</v>
      </c>
      <c r="U2355">
        <v>-5.9350655012983102</v>
      </c>
      <c r="V2355">
        <v>0.185074760099281</v>
      </c>
      <c r="W2355">
        <v>0.78295732499061499</v>
      </c>
      <c r="X2355">
        <v>0</v>
      </c>
      <c r="Y2355">
        <v>0</v>
      </c>
    </row>
    <row r="2356" spans="1:25" x14ac:dyDescent="0.2">
      <c r="A2356" t="s">
        <v>8824</v>
      </c>
      <c r="B2356" t="s">
        <v>8825</v>
      </c>
      <c r="C2356" t="s">
        <v>14473</v>
      </c>
      <c r="D2356" t="s">
        <v>8826</v>
      </c>
      <c r="E2356" t="s">
        <v>8825</v>
      </c>
      <c r="F2356" t="s">
        <v>28</v>
      </c>
      <c r="G2356" t="s">
        <v>8825</v>
      </c>
      <c r="H2356" t="str">
        <f>"F49C12.6"</f>
        <v>F49C12.6</v>
      </c>
      <c r="I2356" t="s">
        <v>8826</v>
      </c>
      <c r="J2356">
        <v>11.8179628826321</v>
      </c>
      <c r="K2356">
        <v>12.855432042317799</v>
      </c>
      <c r="L2356" t="s">
        <v>29</v>
      </c>
      <c r="M2356" t="s">
        <v>29</v>
      </c>
      <c r="N2356" t="s">
        <v>29</v>
      </c>
      <c r="O2356" t="s">
        <v>29</v>
      </c>
      <c r="P2356" t="s">
        <v>29</v>
      </c>
      <c r="Q2356" t="s">
        <v>29</v>
      </c>
      <c r="R2356" t="s">
        <v>29</v>
      </c>
      <c r="S2356">
        <v>12.722442015876601</v>
      </c>
      <c r="T2356" t="s">
        <v>29</v>
      </c>
      <c r="U2356" t="s">
        <v>29</v>
      </c>
      <c r="V2356" t="s">
        <v>29</v>
      </c>
      <c r="W2356" t="s">
        <v>29</v>
      </c>
      <c r="X2356" t="s">
        <v>29</v>
      </c>
      <c r="Y2356" t="s">
        <v>29</v>
      </c>
    </row>
    <row r="2357" spans="1:25" x14ac:dyDescent="0.2">
      <c r="A2357" t="s">
        <v>8827</v>
      </c>
      <c r="B2357" t="s">
        <v>8828</v>
      </c>
      <c r="C2357" t="s">
        <v>8829</v>
      </c>
      <c r="D2357" t="s">
        <v>8830</v>
      </c>
      <c r="E2357" t="s">
        <v>8828</v>
      </c>
      <c r="F2357" t="s">
        <v>28</v>
      </c>
      <c r="G2357" t="s">
        <v>8828</v>
      </c>
      <c r="H2357" t="str">
        <f>"rpn-7"</f>
        <v>rpn-7</v>
      </c>
      <c r="I2357" t="s">
        <v>8830</v>
      </c>
      <c r="J2357">
        <v>17.775211120713699</v>
      </c>
      <c r="K2357">
        <v>17.7067390986685</v>
      </c>
      <c r="L2357">
        <v>17.6456169163983</v>
      </c>
      <c r="M2357">
        <v>17.6378883795871</v>
      </c>
      <c r="N2357">
        <v>17.597902100395899</v>
      </c>
      <c r="O2357">
        <v>17.620829468392301</v>
      </c>
      <c r="P2357">
        <v>-9.0315729135067399E-2</v>
      </c>
      <c r="Q2357">
        <v>-0.42182872125339799</v>
      </c>
      <c r="R2357">
        <v>0.24119726298326299</v>
      </c>
      <c r="S2357">
        <v>17.441405128188901</v>
      </c>
      <c r="T2357">
        <v>-0.57260528525859999</v>
      </c>
      <c r="U2357">
        <v>-6.7127410575554904</v>
      </c>
      <c r="V2357">
        <v>0.57403658730685103</v>
      </c>
      <c r="W2357">
        <v>0.96052030798546795</v>
      </c>
      <c r="X2357">
        <v>0</v>
      </c>
      <c r="Y2357">
        <v>0</v>
      </c>
    </row>
    <row r="2358" spans="1:25" x14ac:dyDescent="0.2">
      <c r="A2358" t="s">
        <v>8831</v>
      </c>
      <c r="B2358" t="s">
        <v>8832</v>
      </c>
      <c r="C2358" t="s">
        <v>8833</v>
      </c>
      <c r="D2358" t="s">
        <v>8834</v>
      </c>
      <c r="E2358" t="s">
        <v>8832</v>
      </c>
      <c r="F2358" t="s">
        <v>28</v>
      </c>
      <c r="G2358" t="s">
        <v>8832</v>
      </c>
      <c r="H2358" t="str">
        <f>"skpo-1"</f>
        <v>skpo-1</v>
      </c>
      <c r="I2358" t="s">
        <v>8834</v>
      </c>
      <c r="J2358">
        <v>13.783151294437999</v>
      </c>
      <c r="K2358">
        <v>14.203159870643301</v>
      </c>
      <c r="L2358">
        <v>14.5691027379136</v>
      </c>
      <c r="M2358">
        <v>13.9204537474765</v>
      </c>
      <c r="N2358">
        <v>14.0116152055075</v>
      </c>
      <c r="O2358">
        <v>14.540751390447801</v>
      </c>
      <c r="P2358">
        <v>-2.75311865210544E-2</v>
      </c>
      <c r="Q2358">
        <v>-0.60488301975359204</v>
      </c>
      <c r="R2358">
        <v>0.54982064671148401</v>
      </c>
      <c r="S2358">
        <v>14.495018887978601</v>
      </c>
      <c r="T2358">
        <v>-0.100225191041845</v>
      </c>
      <c r="U2358">
        <v>-6.87724252195465</v>
      </c>
      <c r="V2358">
        <v>0.92127986765589098</v>
      </c>
      <c r="W2358">
        <v>0.99843270744267199</v>
      </c>
      <c r="X2358">
        <v>0</v>
      </c>
      <c r="Y2358">
        <v>0</v>
      </c>
    </row>
    <row r="2359" spans="1:25" x14ac:dyDescent="0.2">
      <c r="A2359" t="s">
        <v>8835</v>
      </c>
      <c r="B2359" t="s">
        <v>8836</v>
      </c>
      <c r="C2359" t="s">
        <v>8837</v>
      </c>
      <c r="D2359" t="s">
        <v>8838</v>
      </c>
      <c r="E2359" t="s">
        <v>8836</v>
      </c>
      <c r="F2359" t="s">
        <v>28</v>
      </c>
      <c r="G2359" t="s">
        <v>8836</v>
      </c>
      <c r="H2359" t="str">
        <f>"gpb-2"</f>
        <v>gpb-2</v>
      </c>
      <c r="I2359" t="s">
        <v>8838</v>
      </c>
      <c r="J2359">
        <v>13.939703254501399</v>
      </c>
      <c r="K2359">
        <v>14.159638689810601</v>
      </c>
      <c r="L2359">
        <v>13.597627595521001</v>
      </c>
      <c r="M2359">
        <v>12.901556099007699</v>
      </c>
      <c r="N2359">
        <v>13.547216973999101</v>
      </c>
      <c r="O2359">
        <v>14.158473003024399</v>
      </c>
      <c r="P2359">
        <v>-0.36324115460061701</v>
      </c>
      <c r="Q2359">
        <v>-0.88746141557006897</v>
      </c>
      <c r="R2359">
        <v>0.160979106368835</v>
      </c>
      <c r="S2359">
        <v>13.239133149147801</v>
      </c>
      <c r="T2359">
        <v>-1.46261916006586</v>
      </c>
      <c r="U2359">
        <v>-5.8274178865466704</v>
      </c>
      <c r="V2359">
        <v>0.16192545891353399</v>
      </c>
      <c r="W2359">
        <v>0.76371720269300603</v>
      </c>
      <c r="X2359">
        <v>0</v>
      </c>
      <c r="Y2359">
        <v>0</v>
      </c>
    </row>
    <row r="2360" spans="1:25" x14ac:dyDescent="0.2">
      <c r="A2360" t="s">
        <v>8839</v>
      </c>
      <c r="B2360" t="s">
        <v>8840</v>
      </c>
      <c r="C2360" t="s">
        <v>8841</v>
      </c>
      <c r="D2360" t="s">
        <v>1047</v>
      </c>
      <c r="E2360" t="s">
        <v>8840</v>
      </c>
      <c r="F2360" t="s">
        <v>28</v>
      </c>
      <c r="G2360" t="s">
        <v>8840</v>
      </c>
      <c r="H2360" t="str">
        <f>"nmy-1"</f>
        <v>nmy-1</v>
      </c>
      <c r="I2360" t="s">
        <v>1047</v>
      </c>
      <c r="J2360">
        <v>14.510198984958601</v>
      </c>
      <c r="K2360">
        <v>14.670405118758399</v>
      </c>
      <c r="L2360">
        <v>14.6328905404298</v>
      </c>
      <c r="M2360">
        <v>14.2889255864043</v>
      </c>
      <c r="N2360">
        <v>14.2890098688026</v>
      </c>
      <c r="O2360">
        <v>14.523693030866401</v>
      </c>
      <c r="P2360">
        <v>-0.237288719357865</v>
      </c>
      <c r="Q2360">
        <v>-0.81094338462607696</v>
      </c>
      <c r="R2360">
        <v>0.33636594591034602</v>
      </c>
      <c r="S2360">
        <v>14.7137508550628</v>
      </c>
      <c r="T2360">
        <v>-0.86939887877293198</v>
      </c>
      <c r="U2360">
        <v>-6.4957536146408996</v>
      </c>
      <c r="V2360">
        <v>0.39614066429630601</v>
      </c>
      <c r="W2360">
        <v>0.90975406915825197</v>
      </c>
      <c r="X2360">
        <v>0</v>
      </c>
      <c r="Y2360">
        <v>0</v>
      </c>
    </row>
    <row r="2361" spans="1:25" x14ac:dyDescent="0.2">
      <c r="A2361" t="s">
        <v>8842</v>
      </c>
      <c r="B2361" t="s">
        <v>8843</v>
      </c>
      <c r="C2361" t="s">
        <v>14474</v>
      </c>
      <c r="D2361" t="s">
        <v>323</v>
      </c>
      <c r="E2361" t="s">
        <v>8843</v>
      </c>
      <c r="F2361" t="s">
        <v>28</v>
      </c>
      <c r="G2361" t="s">
        <v>8843</v>
      </c>
      <c r="H2361" t="str">
        <f>"F52B5.2"</f>
        <v>F52B5.2</v>
      </c>
      <c r="I2361" t="s">
        <v>323</v>
      </c>
      <c r="J2361">
        <v>10.7573177091252</v>
      </c>
      <c r="K2361">
        <v>13.268159947480701</v>
      </c>
      <c r="L2361">
        <v>11.1117711699016</v>
      </c>
      <c r="M2361" t="s">
        <v>29</v>
      </c>
      <c r="N2361">
        <v>11.5413377636273</v>
      </c>
      <c r="O2361">
        <v>11.030325787960001</v>
      </c>
      <c r="P2361">
        <v>-0.42658449970881301</v>
      </c>
      <c r="Q2361">
        <v>-1.6931150973929201</v>
      </c>
      <c r="R2361">
        <v>0.83994609797529196</v>
      </c>
      <c r="S2361">
        <v>11.8878812105448</v>
      </c>
      <c r="T2361">
        <v>-0.71439583605161705</v>
      </c>
      <c r="U2361">
        <v>-6.50871887173437</v>
      </c>
      <c r="V2361">
        <v>0.485342505681432</v>
      </c>
      <c r="W2361">
        <v>0.93985684368537403</v>
      </c>
      <c r="X2361">
        <v>0</v>
      </c>
      <c r="Y2361">
        <v>0</v>
      </c>
    </row>
    <row r="2362" spans="1:25" x14ac:dyDescent="0.2">
      <c r="A2362" t="s">
        <v>8844</v>
      </c>
      <c r="B2362" t="s">
        <v>8845</v>
      </c>
      <c r="C2362" t="s">
        <v>14475</v>
      </c>
      <c r="D2362" t="s">
        <v>2791</v>
      </c>
      <c r="E2362" t="s">
        <v>8845</v>
      </c>
      <c r="F2362" t="s">
        <v>28</v>
      </c>
      <c r="G2362" t="s">
        <v>8845</v>
      </c>
      <c r="H2362" t="str">
        <f>"F52B5.3"</f>
        <v>F52B5.3</v>
      </c>
      <c r="I2362" t="s">
        <v>2791</v>
      </c>
      <c r="J2362">
        <v>14.2795093657243</v>
      </c>
      <c r="K2362">
        <v>14.3168814897065</v>
      </c>
      <c r="L2362">
        <v>14.952153116347899</v>
      </c>
      <c r="M2362">
        <v>14.4231219327544</v>
      </c>
      <c r="N2362">
        <v>14.7631273838208</v>
      </c>
      <c r="O2362">
        <v>14.5317893379222</v>
      </c>
      <c r="P2362">
        <v>5.6498227572895098E-2</v>
      </c>
      <c r="Q2362">
        <v>-0.78620035119920195</v>
      </c>
      <c r="R2362">
        <v>0.89919680634499199</v>
      </c>
      <c r="S2362">
        <v>15.125816807232001</v>
      </c>
      <c r="T2362">
        <v>0.14091430249554701</v>
      </c>
      <c r="U2362">
        <v>-6.8721202236182801</v>
      </c>
      <c r="V2362">
        <v>0.88951175784085201</v>
      </c>
      <c r="W2362">
        <v>0.99702926582654094</v>
      </c>
      <c r="X2362">
        <v>0</v>
      </c>
      <c r="Y2362">
        <v>0</v>
      </c>
    </row>
    <row r="2363" spans="1:25" x14ac:dyDescent="0.2">
      <c r="A2363" t="s">
        <v>8846</v>
      </c>
      <c r="B2363" t="s">
        <v>8847</v>
      </c>
      <c r="C2363" t="s">
        <v>8848</v>
      </c>
      <c r="D2363" t="s">
        <v>8849</v>
      </c>
      <c r="E2363" t="s">
        <v>8847</v>
      </c>
      <c r="F2363" t="s">
        <v>28</v>
      </c>
      <c r="G2363" t="s">
        <v>8847</v>
      </c>
      <c r="H2363" t="str">
        <f>"rpl-25.2"</f>
        <v>rpl-25.2</v>
      </c>
      <c r="I2363" t="s">
        <v>8849</v>
      </c>
      <c r="J2363">
        <v>13.4932927527404</v>
      </c>
      <c r="K2363">
        <v>14.1298724634799</v>
      </c>
      <c r="L2363">
        <v>14.3929872639702</v>
      </c>
      <c r="M2363">
        <v>14.6943228747188</v>
      </c>
      <c r="N2363">
        <v>12.688428345468401</v>
      </c>
      <c r="O2363">
        <v>13.6536893447628</v>
      </c>
      <c r="P2363">
        <v>-0.32657063841352901</v>
      </c>
      <c r="Q2363">
        <v>-1.3964586054063499</v>
      </c>
      <c r="R2363">
        <v>0.743317328579298</v>
      </c>
      <c r="S2363">
        <v>14.7142264242573</v>
      </c>
      <c r="T2363">
        <v>-0.64155123501333</v>
      </c>
      <c r="U2363">
        <v>-6.6698965778826702</v>
      </c>
      <c r="V2363">
        <v>0.52929707757426503</v>
      </c>
      <c r="W2363">
        <v>0.94347340668743696</v>
      </c>
      <c r="X2363">
        <v>0</v>
      </c>
      <c r="Y2363">
        <v>0</v>
      </c>
    </row>
    <row r="2364" spans="1:25" x14ac:dyDescent="0.2">
      <c r="A2364" t="s">
        <v>8850</v>
      </c>
      <c r="B2364" t="s">
        <v>8851</v>
      </c>
      <c r="C2364" t="s">
        <v>8852</v>
      </c>
      <c r="D2364" t="s">
        <v>8853</v>
      </c>
      <c r="E2364" t="s">
        <v>8851</v>
      </c>
      <c r="F2364" t="s">
        <v>28</v>
      </c>
      <c r="G2364" t="s">
        <v>8851</v>
      </c>
      <c r="H2364" t="str">
        <f>"ftt-2"</f>
        <v>ftt-2</v>
      </c>
      <c r="I2364" t="s">
        <v>8853</v>
      </c>
      <c r="J2364">
        <v>15.9363699467423</v>
      </c>
      <c r="K2364">
        <v>16.124514113163102</v>
      </c>
      <c r="L2364">
        <v>15.756842000808</v>
      </c>
      <c r="M2364">
        <v>16.164463403686799</v>
      </c>
      <c r="N2364">
        <v>15.582479818768499</v>
      </c>
      <c r="O2364">
        <v>16.309268495543201</v>
      </c>
      <c r="P2364">
        <v>7.9495219095006703E-2</v>
      </c>
      <c r="Q2364">
        <v>-0.55162858251619296</v>
      </c>
      <c r="R2364">
        <v>0.71061902070620597</v>
      </c>
      <c r="S2364">
        <v>15.544311458633899</v>
      </c>
      <c r="T2364">
        <v>0.26473963436970499</v>
      </c>
      <c r="U2364">
        <v>-6.8459414728069801</v>
      </c>
      <c r="V2364">
        <v>0.79423527150159901</v>
      </c>
      <c r="W2364">
        <v>0.99278624068726296</v>
      </c>
      <c r="X2364">
        <v>0</v>
      </c>
      <c r="Y2364">
        <v>0</v>
      </c>
    </row>
    <row r="2365" spans="1:25" x14ac:dyDescent="0.2">
      <c r="A2365" t="s">
        <v>8854</v>
      </c>
      <c r="B2365" t="s">
        <v>8855</v>
      </c>
      <c r="C2365" t="s">
        <v>8856</v>
      </c>
      <c r="D2365" t="s">
        <v>8857</v>
      </c>
      <c r="E2365" t="s">
        <v>8855</v>
      </c>
      <c r="F2365" t="s">
        <v>28</v>
      </c>
      <c r="G2365" t="s">
        <v>8855</v>
      </c>
      <c r="H2365" t="str">
        <f>"vha-18"</f>
        <v>vha-18</v>
      </c>
      <c r="I2365" t="s">
        <v>8857</v>
      </c>
      <c r="J2365" t="s">
        <v>29</v>
      </c>
      <c r="K2365" t="s">
        <v>29</v>
      </c>
      <c r="L2365">
        <v>12.059500169765601</v>
      </c>
      <c r="M2365">
        <v>11.9393303247804</v>
      </c>
      <c r="N2365">
        <v>12.1996875334707</v>
      </c>
      <c r="O2365">
        <v>11.400095268657701</v>
      </c>
      <c r="P2365">
        <v>-0.21312912746270599</v>
      </c>
      <c r="Q2365">
        <v>-1.3978303355425901</v>
      </c>
      <c r="R2365">
        <v>0.97157208061717604</v>
      </c>
      <c r="S2365">
        <v>11.062536845894099</v>
      </c>
      <c r="T2365">
        <v>-0.392354816349269</v>
      </c>
      <c r="U2365">
        <v>-6.4598400426795699</v>
      </c>
      <c r="V2365">
        <v>0.70173557754879801</v>
      </c>
      <c r="W2365">
        <v>0.98642420921484297</v>
      </c>
      <c r="X2365">
        <v>0</v>
      </c>
      <c r="Y2365">
        <v>0</v>
      </c>
    </row>
    <row r="2366" spans="1:25" x14ac:dyDescent="0.2">
      <c r="A2366" t="s">
        <v>8858</v>
      </c>
      <c r="B2366" t="s">
        <v>8859</v>
      </c>
      <c r="C2366" t="s">
        <v>8860</v>
      </c>
      <c r="D2366" t="s">
        <v>8861</v>
      </c>
      <c r="E2366" t="s">
        <v>8859</v>
      </c>
      <c r="F2366" t="s">
        <v>28</v>
      </c>
      <c r="G2366" t="s">
        <v>8859</v>
      </c>
      <c r="H2366" t="str">
        <f>"pccb-1"</f>
        <v>pccb-1</v>
      </c>
      <c r="I2366" t="s">
        <v>8861</v>
      </c>
      <c r="J2366">
        <v>18.371108740974201</v>
      </c>
      <c r="K2366">
        <v>18.0671571526949</v>
      </c>
      <c r="L2366">
        <v>17.9769733511908</v>
      </c>
      <c r="M2366">
        <v>17.674921903084901</v>
      </c>
      <c r="N2366">
        <v>17.3933599075296</v>
      </c>
      <c r="O2366">
        <v>18.045986455533601</v>
      </c>
      <c r="P2366">
        <v>-0.43365699290394499</v>
      </c>
      <c r="Q2366">
        <v>-1.03001088506421</v>
      </c>
      <c r="R2366">
        <v>0.162696899256318</v>
      </c>
      <c r="S2366">
        <v>17.730734651597398</v>
      </c>
      <c r="T2366">
        <v>-1.5283921873700199</v>
      </c>
      <c r="U2366">
        <v>-5.7360442217743399</v>
      </c>
      <c r="V2366">
        <v>0.143898491117049</v>
      </c>
      <c r="W2366">
        <v>0.73463339032441799</v>
      </c>
      <c r="X2366">
        <v>0</v>
      </c>
      <c r="Y2366">
        <v>0</v>
      </c>
    </row>
    <row r="2367" spans="1:25" x14ac:dyDescent="0.2">
      <c r="A2367" t="s">
        <v>8862</v>
      </c>
      <c r="B2367" t="s">
        <v>8863</v>
      </c>
      <c r="C2367" t="s">
        <v>8864</v>
      </c>
      <c r="D2367" t="s">
        <v>8865</v>
      </c>
      <c r="E2367" t="s">
        <v>8863</v>
      </c>
      <c r="F2367" t="s">
        <v>28</v>
      </c>
      <c r="G2367" t="s">
        <v>8863</v>
      </c>
      <c r="H2367" t="str">
        <f>"sec-3"</f>
        <v>sec-3</v>
      </c>
      <c r="I2367" t="s">
        <v>8865</v>
      </c>
      <c r="J2367">
        <v>12.5498820923747</v>
      </c>
      <c r="K2367">
        <v>12.612096808144999</v>
      </c>
      <c r="L2367">
        <v>12.470115023653801</v>
      </c>
      <c r="M2367">
        <v>12.5571886040503</v>
      </c>
      <c r="N2367">
        <v>12.535290514246601</v>
      </c>
      <c r="O2367">
        <v>12.6065185595273</v>
      </c>
      <c r="P2367">
        <v>2.2301251216870099E-2</v>
      </c>
      <c r="Q2367">
        <v>-0.452959208376919</v>
      </c>
      <c r="R2367">
        <v>0.49756171081065997</v>
      </c>
      <c r="S2367">
        <v>12.6074852175463</v>
      </c>
      <c r="T2367">
        <v>9.9528412282879494E-2</v>
      </c>
      <c r="U2367">
        <v>-6.8772809306706</v>
      </c>
      <c r="V2367">
        <v>0.92196318649628295</v>
      </c>
      <c r="W2367">
        <v>0.99843270744267199</v>
      </c>
      <c r="X2367">
        <v>0</v>
      </c>
      <c r="Y2367">
        <v>0</v>
      </c>
    </row>
    <row r="2368" spans="1:25" x14ac:dyDescent="0.2">
      <c r="A2368" t="s">
        <v>8866</v>
      </c>
      <c r="B2368" t="s">
        <v>8867</v>
      </c>
      <c r="C2368" t="s">
        <v>8868</v>
      </c>
      <c r="D2368" t="s">
        <v>8869</v>
      </c>
      <c r="E2368" t="s">
        <v>8867</v>
      </c>
      <c r="F2368" t="s">
        <v>28</v>
      </c>
      <c r="G2368" t="s">
        <v>8867</v>
      </c>
      <c r="H2368" t="str">
        <f>"mtcu-2"</f>
        <v>mtcu-2</v>
      </c>
      <c r="I2368" t="s">
        <v>8869</v>
      </c>
      <c r="J2368">
        <v>11.831123434940601</v>
      </c>
      <c r="K2368">
        <v>10.4329491858956</v>
      </c>
      <c r="L2368" t="s">
        <v>29</v>
      </c>
      <c r="M2368">
        <v>11.6959801679479</v>
      </c>
      <c r="N2368">
        <v>12.1635971188441</v>
      </c>
      <c r="O2368">
        <v>10.6799575801909</v>
      </c>
      <c r="P2368">
        <v>0.38114197857619603</v>
      </c>
      <c r="Q2368">
        <v>-0.81459098706846</v>
      </c>
      <c r="R2368">
        <v>1.5768749442208501</v>
      </c>
      <c r="S2368">
        <v>11.876714476831401</v>
      </c>
      <c r="T2368">
        <v>0.68413919815425595</v>
      </c>
      <c r="U2368">
        <v>-6.5286956373690304</v>
      </c>
      <c r="V2368">
        <v>0.50513805738393303</v>
      </c>
      <c r="W2368">
        <v>0.94062983959761604</v>
      </c>
      <c r="X2368">
        <v>0</v>
      </c>
      <c r="Y2368">
        <v>0</v>
      </c>
    </row>
    <row r="2369" spans="1:25" x14ac:dyDescent="0.2">
      <c r="A2369" t="s">
        <v>8870</v>
      </c>
      <c r="B2369" t="s">
        <v>8871</v>
      </c>
      <c r="C2369" t="s">
        <v>8872</v>
      </c>
      <c r="D2369" t="s">
        <v>8873</v>
      </c>
      <c r="E2369" t="s">
        <v>8871</v>
      </c>
      <c r="F2369" t="s">
        <v>28</v>
      </c>
      <c r="G2369" t="s">
        <v>8871</v>
      </c>
      <c r="H2369" t="str">
        <f>"ttc-36"</f>
        <v>ttc-36</v>
      </c>
      <c r="I2369" t="s">
        <v>8873</v>
      </c>
      <c r="J2369">
        <v>12.280125187660801</v>
      </c>
      <c r="K2369" t="s">
        <v>29</v>
      </c>
      <c r="L2369" t="s">
        <v>29</v>
      </c>
      <c r="M2369">
        <v>14.5785794022384</v>
      </c>
      <c r="N2369">
        <v>13.9599686936178</v>
      </c>
      <c r="O2369">
        <v>13.5864523425531</v>
      </c>
      <c r="P2369">
        <v>1.76154162514228</v>
      </c>
      <c r="Q2369">
        <v>0.76369348115038804</v>
      </c>
      <c r="R2369">
        <v>2.75938976913416</v>
      </c>
      <c r="S2369">
        <v>13.3373956550498</v>
      </c>
      <c r="T2369">
        <v>3.8900586523043801</v>
      </c>
      <c r="U2369">
        <v>-1.5278817736558199</v>
      </c>
      <c r="V2369">
        <v>2.5643860979302898E-3</v>
      </c>
      <c r="W2369">
        <v>6.7570908541383895E-2</v>
      </c>
      <c r="X2369">
        <v>1</v>
      </c>
      <c r="Y2369">
        <v>0</v>
      </c>
    </row>
    <row r="2370" spans="1:25" x14ac:dyDescent="0.2">
      <c r="A2370" t="s">
        <v>8874</v>
      </c>
      <c r="B2370" t="s">
        <v>8875</v>
      </c>
      <c r="C2370" t="s">
        <v>8876</v>
      </c>
      <c r="D2370" t="s">
        <v>8877</v>
      </c>
      <c r="E2370" t="s">
        <v>8875</v>
      </c>
      <c r="F2370" t="s">
        <v>28</v>
      </c>
      <c r="G2370" t="s">
        <v>8875</v>
      </c>
      <c r="H2370" t="str">
        <f>"lec-2"</f>
        <v>lec-2</v>
      </c>
      <c r="I2370" t="s">
        <v>8877</v>
      </c>
      <c r="J2370">
        <v>12.8190894392477</v>
      </c>
      <c r="K2370">
        <v>12.002261491499199</v>
      </c>
      <c r="L2370">
        <v>12.582329626200501</v>
      </c>
      <c r="M2370">
        <v>12.583031890439401</v>
      </c>
      <c r="N2370">
        <v>12.3029265889431</v>
      </c>
      <c r="O2370">
        <v>12.8282062762473</v>
      </c>
      <c r="P2370">
        <v>0.103494732894125</v>
      </c>
      <c r="Q2370">
        <v>-0.70508484304899</v>
      </c>
      <c r="R2370">
        <v>0.91207430883724105</v>
      </c>
      <c r="S2370">
        <v>12.5408771313835</v>
      </c>
      <c r="T2370">
        <v>0.26902212196988701</v>
      </c>
      <c r="U2370">
        <v>-6.8447519158446104</v>
      </c>
      <c r="V2370">
        <v>0.79098983217535801</v>
      </c>
      <c r="W2370">
        <v>0.99278624068726296</v>
      </c>
      <c r="X2370">
        <v>0</v>
      </c>
      <c r="Y2370">
        <v>0</v>
      </c>
    </row>
    <row r="2371" spans="1:25" x14ac:dyDescent="0.2">
      <c r="A2371" t="s">
        <v>8878</v>
      </c>
      <c r="B2371" t="s">
        <v>8879</v>
      </c>
      <c r="C2371" t="s">
        <v>8880</v>
      </c>
      <c r="D2371" t="s">
        <v>8881</v>
      </c>
      <c r="E2371" t="s">
        <v>8879</v>
      </c>
      <c r="F2371" t="s">
        <v>28</v>
      </c>
      <c r="G2371" t="s">
        <v>8879</v>
      </c>
      <c r="H2371" t="str">
        <f>"F53B1.2"</f>
        <v>F53B1.2</v>
      </c>
      <c r="I2371" t="s">
        <v>8881</v>
      </c>
      <c r="J2371">
        <v>12.026276015356</v>
      </c>
      <c r="K2371">
        <v>12.071327533015101</v>
      </c>
      <c r="L2371">
        <v>12.0451049712869</v>
      </c>
      <c r="M2371">
        <v>11.7727025598042</v>
      </c>
      <c r="N2371">
        <v>12.460731996761799</v>
      </c>
      <c r="O2371" t="s">
        <v>29</v>
      </c>
      <c r="P2371">
        <v>6.9147771730321494E-2</v>
      </c>
      <c r="Q2371">
        <v>-0.75407112139289001</v>
      </c>
      <c r="R2371">
        <v>0.892366664853533</v>
      </c>
      <c r="S2371">
        <v>11.881259299099399</v>
      </c>
      <c r="T2371">
        <v>0.180282990469562</v>
      </c>
      <c r="U2371">
        <v>-6.7550284825239597</v>
      </c>
      <c r="V2371">
        <v>0.85953328680099295</v>
      </c>
      <c r="W2371">
        <v>0.99370971747667503</v>
      </c>
      <c r="X2371">
        <v>0</v>
      </c>
      <c r="Y2371">
        <v>0</v>
      </c>
    </row>
    <row r="2372" spans="1:25" x14ac:dyDescent="0.2">
      <c r="A2372" t="s">
        <v>8882</v>
      </c>
      <c r="B2372" t="s">
        <v>8883</v>
      </c>
      <c r="C2372" t="s">
        <v>8884</v>
      </c>
      <c r="D2372" t="s">
        <v>7359</v>
      </c>
      <c r="E2372" t="s">
        <v>8883</v>
      </c>
      <c r="F2372" t="s">
        <v>28</v>
      </c>
      <c r="G2372" t="s">
        <v>8883</v>
      </c>
      <c r="H2372" t="str">
        <f>"bus-5"</f>
        <v>bus-5</v>
      </c>
      <c r="I2372" t="s">
        <v>7359</v>
      </c>
      <c r="J2372">
        <v>12.947049006344299</v>
      </c>
      <c r="K2372">
        <v>13.169271456672201</v>
      </c>
      <c r="L2372">
        <v>13.3355043324127</v>
      </c>
      <c r="M2372">
        <v>13.522481280680401</v>
      </c>
      <c r="N2372">
        <v>13.4958046702918</v>
      </c>
      <c r="O2372">
        <v>13.413401823379299</v>
      </c>
      <c r="P2372">
        <v>0.32662099297406899</v>
      </c>
      <c r="Q2372">
        <v>-0.505891554897686</v>
      </c>
      <c r="R2372">
        <v>1.1591335408458201</v>
      </c>
      <c r="S2372">
        <v>13.096248161904899</v>
      </c>
      <c r="T2372">
        <v>0.82460472673321195</v>
      </c>
      <c r="U2372">
        <v>-6.5338565841890697</v>
      </c>
      <c r="V2372">
        <v>0.42045219356134</v>
      </c>
      <c r="W2372">
        <v>0.91512503332874395</v>
      </c>
      <c r="X2372">
        <v>0</v>
      </c>
      <c r="Y2372">
        <v>0</v>
      </c>
    </row>
    <row r="2373" spans="1:25" x14ac:dyDescent="0.2">
      <c r="A2373" t="s">
        <v>8885</v>
      </c>
      <c r="B2373" t="s">
        <v>8886</v>
      </c>
      <c r="C2373" t="s">
        <v>8887</v>
      </c>
      <c r="D2373" t="s">
        <v>8888</v>
      </c>
      <c r="E2373" t="s">
        <v>8886</v>
      </c>
      <c r="F2373" t="s">
        <v>28</v>
      </c>
      <c r="G2373" t="s">
        <v>8886</v>
      </c>
      <c r="H2373" t="str">
        <f>"tra-4"</f>
        <v>tra-4</v>
      </c>
      <c r="I2373" t="s">
        <v>8888</v>
      </c>
      <c r="J2373" t="s">
        <v>29</v>
      </c>
      <c r="K2373" t="s">
        <v>29</v>
      </c>
      <c r="L2373" t="s">
        <v>29</v>
      </c>
      <c r="M2373" t="s">
        <v>29</v>
      </c>
      <c r="N2373" t="s">
        <v>29</v>
      </c>
      <c r="O2373" t="s">
        <v>29</v>
      </c>
      <c r="P2373" t="s">
        <v>29</v>
      </c>
      <c r="Q2373" t="s">
        <v>29</v>
      </c>
      <c r="R2373" t="s">
        <v>29</v>
      </c>
      <c r="S2373">
        <v>12.4676439024384</v>
      </c>
      <c r="T2373" t="s">
        <v>29</v>
      </c>
      <c r="U2373" t="s">
        <v>29</v>
      </c>
      <c r="V2373" t="s">
        <v>29</v>
      </c>
      <c r="W2373" t="s">
        <v>29</v>
      </c>
      <c r="X2373" t="s">
        <v>29</v>
      </c>
      <c r="Y2373" t="s">
        <v>29</v>
      </c>
    </row>
    <row r="2374" spans="1:25" x14ac:dyDescent="0.2">
      <c r="A2374" t="s">
        <v>8889</v>
      </c>
      <c r="B2374" t="s">
        <v>8890</v>
      </c>
      <c r="C2374" t="s">
        <v>14476</v>
      </c>
      <c r="D2374" t="s">
        <v>8891</v>
      </c>
      <c r="E2374" t="s">
        <v>8890</v>
      </c>
      <c r="F2374" t="s">
        <v>28</v>
      </c>
      <c r="G2374" t="s">
        <v>8890</v>
      </c>
      <c r="H2374" t="str">
        <f>"F53B3.6"</f>
        <v>F53B3.6</v>
      </c>
      <c r="I2374" t="s">
        <v>8891</v>
      </c>
      <c r="J2374">
        <v>16.317695298472501</v>
      </c>
      <c r="K2374">
        <v>16.716121608531701</v>
      </c>
      <c r="L2374">
        <v>16.714589195899102</v>
      </c>
      <c r="M2374">
        <v>16.248691766032</v>
      </c>
      <c r="N2374">
        <v>15.9632593769272</v>
      </c>
      <c r="O2374">
        <v>16.525510423504599</v>
      </c>
      <c r="P2374">
        <v>-0.336981512146448</v>
      </c>
      <c r="Q2374">
        <v>-0.87441397402501497</v>
      </c>
      <c r="R2374">
        <v>0.20045094973211899</v>
      </c>
      <c r="S2374">
        <v>16.450509365845502</v>
      </c>
      <c r="T2374">
        <v>-1.31787643640132</v>
      </c>
      <c r="U2374">
        <v>-6.0168224294500003</v>
      </c>
      <c r="V2374">
        <v>0.204167694568367</v>
      </c>
      <c r="W2374">
        <v>0.79075284576134597</v>
      </c>
      <c r="X2374">
        <v>0</v>
      </c>
      <c r="Y2374">
        <v>0</v>
      </c>
    </row>
    <row r="2375" spans="1:25" x14ac:dyDescent="0.2">
      <c r="A2375" t="s">
        <v>8892</v>
      </c>
      <c r="B2375" t="s">
        <v>8893</v>
      </c>
      <c r="C2375" t="s">
        <v>8894</v>
      </c>
      <c r="D2375" t="s">
        <v>8895</v>
      </c>
      <c r="E2375" t="s">
        <v>8893</v>
      </c>
      <c r="F2375" t="s">
        <v>28</v>
      </c>
      <c r="G2375" t="s">
        <v>8893</v>
      </c>
      <c r="H2375" t="str">
        <f>"F53F4.10"</f>
        <v>F53F4.10</v>
      </c>
      <c r="I2375" t="s">
        <v>8895</v>
      </c>
      <c r="J2375">
        <v>13.4843386077824</v>
      </c>
      <c r="K2375">
        <v>12.9873695900543</v>
      </c>
      <c r="L2375">
        <v>11.9952888178656</v>
      </c>
      <c r="M2375">
        <v>14.8581953825921</v>
      </c>
      <c r="N2375">
        <v>12.7026571921587</v>
      </c>
      <c r="O2375">
        <v>13.1428221852004</v>
      </c>
      <c r="P2375">
        <v>0.745559248083008</v>
      </c>
      <c r="Q2375">
        <v>-0.45249355339008901</v>
      </c>
      <c r="R2375">
        <v>1.94361204955611</v>
      </c>
      <c r="S2375">
        <v>13.564412160260099</v>
      </c>
      <c r="T2375">
        <v>1.3199446876407499</v>
      </c>
      <c r="U2375">
        <v>-6.01341551754793</v>
      </c>
      <c r="V2375">
        <v>0.20554817658157401</v>
      </c>
      <c r="W2375">
        <v>0.79075284576134597</v>
      </c>
      <c r="X2375">
        <v>0</v>
      </c>
      <c r="Y2375">
        <v>0</v>
      </c>
    </row>
    <row r="2376" spans="1:25" x14ac:dyDescent="0.2">
      <c r="A2376" t="s">
        <v>8896</v>
      </c>
      <c r="B2376" t="s">
        <v>8897</v>
      </c>
      <c r="C2376" t="s">
        <v>14477</v>
      </c>
      <c r="D2376" t="s">
        <v>8898</v>
      </c>
      <c r="E2376" t="s">
        <v>8897</v>
      </c>
      <c r="F2376" t="s">
        <v>28</v>
      </c>
      <c r="G2376" t="s">
        <v>8897</v>
      </c>
      <c r="H2376" t="str">
        <f>"F53F4.11"</f>
        <v>F53F4.11</v>
      </c>
      <c r="I2376" t="s">
        <v>8898</v>
      </c>
      <c r="J2376">
        <v>14.4529679618245</v>
      </c>
      <c r="K2376">
        <v>13.909515846433001</v>
      </c>
      <c r="L2376">
        <v>14.406508032697801</v>
      </c>
      <c r="M2376">
        <v>14.3919006782707</v>
      </c>
      <c r="N2376">
        <v>14.577872958214099</v>
      </c>
      <c r="O2376">
        <v>13.9344569240894</v>
      </c>
      <c r="P2376">
        <v>4.50795732063227E-2</v>
      </c>
      <c r="Q2376">
        <v>-0.39937397241106898</v>
      </c>
      <c r="R2376">
        <v>0.48953311882371497</v>
      </c>
      <c r="S2376">
        <v>14.543846887713</v>
      </c>
      <c r="T2376">
        <v>0.21409347616136901</v>
      </c>
      <c r="U2376">
        <v>-6.8584981855863996</v>
      </c>
      <c r="V2376">
        <v>0.83303671785478295</v>
      </c>
      <c r="W2376">
        <v>0.99370240586176295</v>
      </c>
      <c r="X2376">
        <v>0</v>
      </c>
      <c r="Y2376">
        <v>0</v>
      </c>
    </row>
    <row r="2377" spans="1:25" x14ac:dyDescent="0.2">
      <c r="A2377" t="s">
        <v>8899</v>
      </c>
      <c r="B2377" t="s">
        <v>8900</v>
      </c>
      <c r="C2377" t="s">
        <v>14478</v>
      </c>
      <c r="D2377" t="s">
        <v>1128</v>
      </c>
      <c r="E2377" t="s">
        <v>8900</v>
      </c>
      <c r="F2377" t="s">
        <v>28</v>
      </c>
      <c r="G2377" t="s">
        <v>8900</v>
      </c>
      <c r="H2377" t="str">
        <f>"F53F4.12"</f>
        <v>F53F4.12</v>
      </c>
      <c r="I2377" t="s">
        <v>1128</v>
      </c>
      <c r="J2377" t="s">
        <v>29</v>
      </c>
      <c r="K2377" t="s">
        <v>29</v>
      </c>
      <c r="L2377" t="s">
        <v>29</v>
      </c>
      <c r="M2377" t="s">
        <v>29</v>
      </c>
      <c r="N2377">
        <v>11.7744654744717</v>
      </c>
      <c r="O2377" t="s">
        <v>29</v>
      </c>
      <c r="P2377" t="s">
        <v>29</v>
      </c>
      <c r="Q2377" t="s">
        <v>29</v>
      </c>
      <c r="R2377" t="s">
        <v>29</v>
      </c>
      <c r="S2377">
        <v>11.387821536834601</v>
      </c>
      <c r="T2377" t="s">
        <v>29</v>
      </c>
      <c r="U2377" t="s">
        <v>29</v>
      </c>
      <c r="V2377" t="s">
        <v>29</v>
      </c>
      <c r="W2377" t="s">
        <v>29</v>
      </c>
      <c r="X2377" t="s">
        <v>29</v>
      </c>
      <c r="Y2377" t="s">
        <v>29</v>
      </c>
    </row>
    <row r="2378" spans="1:25" x14ac:dyDescent="0.2">
      <c r="A2378" t="s">
        <v>8901</v>
      </c>
      <c r="B2378" t="s">
        <v>8902</v>
      </c>
      <c r="C2378" t="s">
        <v>14479</v>
      </c>
      <c r="D2378" t="s">
        <v>107</v>
      </c>
      <c r="E2378" t="s">
        <v>8902</v>
      </c>
      <c r="F2378" t="s">
        <v>28</v>
      </c>
      <c r="G2378" t="s">
        <v>8902</v>
      </c>
      <c r="H2378" t="str">
        <f>"F53H8.3"</f>
        <v>F53H8.3</v>
      </c>
      <c r="I2378" t="s">
        <v>107</v>
      </c>
      <c r="J2378" t="s">
        <v>29</v>
      </c>
      <c r="K2378" t="s">
        <v>29</v>
      </c>
      <c r="L2378" t="s">
        <v>29</v>
      </c>
      <c r="M2378">
        <v>12.1447961030507</v>
      </c>
      <c r="N2378" t="s">
        <v>29</v>
      </c>
      <c r="O2378" t="s">
        <v>29</v>
      </c>
      <c r="P2378" t="s">
        <v>29</v>
      </c>
      <c r="Q2378" t="s">
        <v>29</v>
      </c>
      <c r="R2378" t="s">
        <v>29</v>
      </c>
      <c r="S2378">
        <v>11.8939339877585</v>
      </c>
      <c r="T2378" t="s">
        <v>29</v>
      </c>
      <c r="U2378" t="s">
        <v>29</v>
      </c>
      <c r="V2378" t="s">
        <v>29</v>
      </c>
      <c r="W2378" t="s">
        <v>29</v>
      </c>
      <c r="X2378" t="s">
        <v>29</v>
      </c>
      <c r="Y2378" t="s">
        <v>29</v>
      </c>
    </row>
    <row r="2379" spans="1:25" x14ac:dyDescent="0.2">
      <c r="A2379" t="s">
        <v>8903</v>
      </c>
      <c r="B2379" t="s">
        <v>8904</v>
      </c>
      <c r="C2379" t="s">
        <v>8905</v>
      </c>
      <c r="D2379" t="s">
        <v>8906</v>
      </c>
      <c r="E2379" t="s">
        <v>8904</v>
      </c>
      <c r="F2379" t="s">
        <v>28</v>
      </c>
      <c r="G2379" t="s">
        <v>8904</v>
      </c>
      <c r="H2379" t="str">
        <f>"apm-3"</f>
        <v>apm-3</v>
      </c>
      <c r="I2379" t="s">
        <v>8906</v>
      </c>
      <c r="J2379">
        <v>13.3192182576331</v>
      </c>
      <c r="K2379">
        <v>13.371271891769601</v>
      </c>
      <c r="L2379">
        <v>12.957631482431101</v>
      </c>
      <c r="M2379">
        <v>13.3274335872528</v>
      </c>
      <c r="N2379">
        <v>13.346168735215</v>
      </c>
      <c r="O2379">
        <v>13.1874164518999</v>
      </c>
      <c r="P2379">
        <v>7.0965714177972899E-2</v>
      </c>
      <c r="Q2379">
        <v>-0.54677459773596104</v>
      </c>
      <c r="R2379">
        <v>0.68870602609190701</v>
      </c>
      <c r="S2379">
        <v>12.892007022392701</v>
      </c>
      <c r="T2379">
        <v>0.24366444614017099</v>
      </c>
      <c r="U2379">
        <v>-6.8513198244696101</v>
      </c>
      <c r="V2379">
        <v>0.81060766153185004</v>
      </c>
      <c r="W2379">
        <v>0.99278624068726296</v>
      </c>
      <c r="X2379">
        <v>0</v>
      </c>
      <c r="Y2379">
        <v>0</v>
      </c>
    </row>
    <row r="2380" spans="1:25" x14ac:dyDescent="0.2">
      <c r="A2380" t="s">
        <v>8907</v>
      </c>
      <c r="B2380" t="s">
        <v>8908</v>
      </c>
      <c r="C2380" t="s">
        <v>8909</v>
      </c>
      <c r="D2380" t="s">
        <v>8910</v>
      </c>
      <c r="E2380" t="s">
        <v>8908</v>
      </c>
      <c r="F2380" t="s">
        <v>28</v>
      </c>
      <c r="G2380" t="s">
        <v>8908</v>
      </c>
      <c r="H2380" t="str">
        <f>"unc-84"</f>
        <v>unc-84</v>
      </c>
      <c r="I2380" t="s">
        <v>8910</v>
      </c>
      <c r="J2380">
        <v>14.1145347601969</v>
      </c>
      <c r="K2380">
        <v>14.913674638019801</v>
      </c>
      <c r="L2380">
        <v>14.529016303234901</v>
      </c>
      <c r="M2380">
        <v>13.959427765713899</v>
      </c>
      <c r="N2380">
        <v>14.118925284290301</v>
      </c>
      <c r="O2380">
        <v>13.9259336990765</v>
      </c>
      <c r="P2380">
        <v>-0.51764631745698098</v>
      </c>
      <c r="Q2380">
        <v>-1.0223635981352399</v>
      </c>
      <c r="R2380">
        <v>-1.2929036778716801E-2</v>
      </c>
      <c r="S2380">
        <v>14.863990330161</v>
      </c>
      <c r="T2380">
        <v>-2.1556461233775401</v>
      </c>
      <c r="U2380">
        <v>-4.7267859307454803</v>
      </c>
      <c r="V2380">
        <v>4.4976608616591897E-2</v>
      </c>
      <c r="W2380">
        <v>0.46350996389209098</v>
      </c>
      <c r="X2380">
        <v>0</v>
      </c>
      <c r="Y2380">
        <v>0</v>
      </c>
    </row>
    <row r="2381" spans="1:25" x14ac:dyDescent="0.2">
      <c r="A2381" t="s">
        <v>8911</v>
      </c>
      <c r="B2381" t="s">
        <v>8912</v>
      </c>
      <c r="C2381" t="s">
        <v>8913</v>
      </c>
      <c r="D2381" t="s">
        <v>8914</v>
      </c>
      <c r="E2381" t="s">
        <v>8912</v>
      </c>
      <c r="F2381" t="s">
        <v>28</v>
      </c>
      <c r="G2381" t="s">
        <v>8912</v>
      </c>
      <c r="H2381" t="str">
        <f>"atad-3"</f>
        <v>atad-3</v>
      </c>
      <c r="I2381" t="s">
        <v>8914</v>
      </c>
      <c r="J2381">
        <v>13.4646455044929</v>
      </c>
      <c r="K2381">
        <v>13.594875774184199</v>
      </c>
      <c r="L2381">
        <v>13.522992456269399</v>
      </c>
      <c r="M2381">
        <v>13.6250127163455</v>
      </c>
      <c r="N2381">
        <v>13.7403417900658</v>
      </c>
      <c r="O2381">
        <v>13.506960557053</v>
      </c>
      <c r="P2381">
        <v>9.6600442839257297E-2</v>
      </c>
      <c r="Q2381">
        <v>-0.33791613397553</v>
      </c>
      <c r="R2381">
        <v>0.53111701965404401</v>
      </c>
      <c r="S2381">
        <v>13.685629489419201</v>
      </c>
      <c r="T2381">
        <v>0.47154408089545402</v>
      </c>
      <c r="U2381">
        <v>-6.7663552866739396</v>
      </c>
      <c r="V2381">
        <v>0.64365980846360205</v>
      </c>
      <c r="W2381">
        <v>0.97768135215283802</v>
      </c>
      <c r="X2381">
        <v>0</v>
      </c>
      <c r="Y2381">
        <v>0</v>
      </c>
    </row>
    <row r="2382" spans="1:25" x14ac:dyDescent="0.2">
      <c r="A2382" t="s">
        <v>8915</v>
      </c>
      <c r="B2382" t="s">
        <v>8916</v>
      </c>
      <c r="C2382" t="s">
        <v>8917</v>
      </c>
      <c r="D2382" t="s">
        <v>8918</v>
      </c>
      <c r="E2382" t="s">
        <v>8916</v>
      </c>
      <c r="F2382" t="s">
        <v>28</v>
      </c>
      <c r="G2382" t="s">
        <v>8916</v>
      </c>
      <c r="H2382" t="str">
        <f>"iff-2"</f>
        <v>iff-2</v>
      </c>
      <c r="I2382" t="s">
        <v>8918</v>
      </c>
      <c r="J2382">
        <v>16.735701048629998</v>
      </c>
      <c r="K2382">
        <v>16.580791496130502</v>
      </c>
      <c r="L2382">
        <v>16.5414992116009</v>
      </c>
      <c r="M2382">
        <v>16.4931463246776</v>
      </c>
      <c r="N2382">
        <v>16.033584418839698</v>
      </c>
      <c r="O2382">
        <v>16.498016789808201</v>
      </c>
      <c r="P2382">
        <v>-0.277748074345261</v>
      </c>
      <c r="Q2382">
        <v>-0.75723440678952003</v>
      </c>
      <c r="R2382">
        <v>0.20173825809899701</v>
      </c>
      <c r="S2382">
        <v>16.002558336424499</v>
      </c>
      <c r="T2382">
        <v>-1.21749542368327</v>
      </c>
      <c r="U2382">
        <v>-6.1387151250256702</v>
      </c>
      <c r="V2382">
        <v>0.239227468441924</v>
      </c>
      <c r="W2382">
        <v>0.82417082295519895</v>
      </c>
      <c r="X2382">
        <v>0</v>
      </c>
      <c r="Y2382">
        <v>0</v>
      </c>
    </row>
    <row r="2383" spans="1:25" x14ac:dyDescent="0.2">
      <c r="A2383" t="s">
        <v>8919</v>
      </c>
      <c r="B2383" t="s">
        <v>8920</v>
      </c>
      <c r="C2383" t="s">
        <v>8921</v>
      </c>
      <c r="D2383" t="s">
        <v>8922</v>
      </c>
      <c r="E2383" t="s">
        <v>8920</v>
      </c>
      <c r="F2383" t="s">
        <v>28</v>
      </c>
      <c r="G2383" t="s">
        <v>8920</v>
      </c>
      <c r="H2383" t="str">
        <f>"stc-1"</f>
        <v>stc-1</v>
      </c>
      <c r="I2383" t="s">
        <v>8922</v>
      </c>
      <c r="J2383">
        <v>13.948931432955099</v>
      </c>
      <c r="K2383">
        <v>13.696038381363</v>
      </c>
      <c r="L2383">
        <v>13.382207765751801</v>
      </c>
      <c r="M2383">
        <v>13.909142653606301</v>
      </c>
      <c r="N2383">
        <v>13.2048087939342</v>
      </c>
      <c r="O2383">
        <v>13.8021431976022</v>
      </c>
      <c r="P2383">
        <v>-3.7027644975735199E-2</v>
      </c>
      <c r="Q2383">
        <v>-0.99463245924647503</v>
      </c>
      <c r="R2383">
        <v>0.92057716929500399</v>
      </c>
      <c r="S2383">
        <v>13.1910157953559</v>
      </c>
      <c r="T2383">
        <v>-8.2467224082644702E-2</v>
      </c>
      <c r="U2383">
        <v>-6.8788990975006099</v>
      </c>
      <c r="V2383">
        <v>0.93537319798321505</v>
      </c>
      <c r="W2383">
        <v>0.99926809132575301</v>
      </c>
      <c r="X2383">
        <v>0</v>
      </c>
      <c r="Y2383">
        <v>0</v>
      </c>
    </row>
    <row r="2384" spans="1:25" x14ac:dyDescent="0.2">
      <c r="A2384" t="s">
        <v>8923</v>
      </c>
      <c r="B2384" t="s">
        <v>8924</v>
      </c>
      <c r="C2384" t="s">
        <v>8925</v>
      </c>
      <c r="D2384" t="s">
        <v>8926</v>
      </c>
      <c r="E2384" t="s">
        <v>8924</v>
      </c>
      <c r="F2384" t="s">
        <v>28</v>
      </c>
      <c r="G2384" t="s">
        <v>8924</v>
      </c>
      <c r="H2384" t="str">
        <f>"puf-5"</f>
        <v>puf-5</v>
      </c>
      <c r="I2384" t="s">
        <v>8926</v>
      </c>
      <c r="J2384">
        <v>12.5419874411939</v>
      </c>
      <c r="K2384">
        <v>12.4353138530604</v>
      </c>
      <c r="L2384">
        <v>13.2843517288713</v>
      </c>
      <c r="M2384">
        <v>13.2691011598204</v>
      </c>
      <c r="N2384">
        <v>13.759246046469199</v>
      </c>
      <c r="O2384">
        <v>12.205291675828899</v>
      </c>
      <c r="P2384">
        <v>0.32399528633096802</v>
      </c>
      <c r="Q2384">
        <v>-0.46375463912349602</v>
      </c>
      <c r="R2384">
        <v>1.1117452117854301</v>
      </c>
      <c r="S2384">
        <v>14.0621041546349</v>
      </c>
      <c r="T2384">
        <v>0.86816112386216404</v>
      </c>
      <c r="U2384">
        <v>-6.4960933690446296</v>
      </c>
      <c r="V2384">
        <v>0.39747067805171199</v>
      </c>
      <c r="W2384">
        <v>0.90975406915825197</v>
      </c>
      <c r="X2384">
        <v>0</v>
      </c>
      <c r="Y2384">
        <v>0</v>
      </c>
    </row>
    <row r="2385" spans="1:25" x14ac:dyDescent="0.2">
      <c r="A2385" t="s">
        <v>8927</v>
      </c>
      <c r="B2385" t="s">
        <v>8928</v>
      </c>
      <c r="C2385" t="s">
        <v>8929</v>
      </c>
      <c r="D2385" t="s">
        <v>8930</v>
      </c>
      <c r="E2385" t="s">
        <v>8928</v>
      </c>
      <c r="F2385" t="s">
        <v>28</v>
      </c>
      <c r="G2385" t="s">
        <v>8928</v>
      </c>
      <c r="H2385" t="str">
        <f>"arl-1"</f>
        <v>arl-1</v>
      </c>
      <c r="I2385" t="s">
        <v>8930</v>
      </c>
      <c r="J2385">
        <v>16.722984754016501</v>
      </c>
      <c r="K2385">
        <v>16.8070878550324</v>
      </c>
      <c r="L2385">
        <v>16.347547944263301</v>
      </c>
      <c r="M2385">
        <v>16.650279757893699</v>
      </c>
      <c r="N2385">
        <v>16.4808162153995</v>
      </c>
      <c r="O2385">
        <v>16.750293584570301</v>
      </c>
      <c r="P2385">
        <v>1.2563348504741601E-3</v>
      </c>
      <c r="Q2385">
        <v>-0.34821928404199398</v>
      </c>
      <c r="R2385">
        <v>0.35073195374294303</v>
      </c>
      <c r="S2385">
        <v>16.2687894647019</v>
      </c>
      <c r="T2385">
        <v>7.5558101591609297E-3</v>
      </c>
      <c r="U2385">
        <v>-6.8824597449108103</v>
      </c>
      <c r="V2385">
        <v>0.99405498925339297</v>
      </c>
      <c r="W2385">
        <v>0.99968702248720698</v>
      </c>
      <c r="X2385">
        <v>0</v>
      </c>
      <c r="Y2385">
        <v>0</v>
      </c>
    </row>
    <row r="2386" spans="1:25" x14ac:dyDescent="0.2">
      <c r="A2386" t="s">
        <v>8931</v>
      </c>
      <c r="B2386" t="s">
        <v>8932</v>
      </c>
      <c r="C2386" t="s">
        <v>14480</v>
      </c>
      <c r="D2386" t="s">
        <v>8933</v>
      </c>
      <c r="E2386" t="s">
        <v>8932</v>
      </c>
      <c r="F2386" t="s">
        <v>28</v>
      </c>
      <c r="G2386" t="s">
        <v>8932</v>
      </c>
      <c r="H2386" t="str">
        <f>"F54C9.9"</f>
        <v>F54C9.9</v>
      </c>
      <c r="I2386" t="s">
        <v>8933</v>
      </c>
      <c r="J2386">
        <v>13.717226211162201</v>
      </c>
      <c r="K2386">
        <v>13.951017679990001</v>
      </c>
      <c r="L2386">
        <v>14.063799040151</v>
      </c>
      <c r="M2386">
        <v>14.3380638381424</v>
      </c>
      <c r="N2386">
        <v>14.6825436046256</v>
      </c>
      <c r="O2386">
        <v>14.2596935138515</v>
      </c>
      <c r="P2386">
        <v>0.51608600843876595</v>
      </c>
      <c r="Q2386">
        <v>-0.20850690176456399</v>
      </c>
      <c r="R2386">
        <v>1.2406789186420999</v>
      </c>
      <c r="S2386">
        <v>14.8205628969407</v>
      </c>
      <c r="T2386">
        <v>1.50341201908216</v>
      </c>
      <c r="U2386">
        <v>-5.7713820034750896</v>
      </c>
      <c r="V2386">
        <v>0.151195178047764</v>
      </c>
      <c r="W2386">
        <v>0.74633248813841202</v>
      </c>
      <c r="X2386">
        <v>0</v>
      </c>
      <c r="Y2386">
        <v>0</v>
      </c>
    </row>
    <row r="2387" spans="1:25" x14ac:dyDescent="0.2">
      <c r="A2387" t="s">
        <v>8934</v>
      </c>
      <c r="B2387" t="s">
        <v>8935</v>
      </c>
      <c r="C2387" t="s">
        <v>8936</v>
      </c>
      <c r="D2387" t="s">
        <v>8937</v>
      </c>
      <c r="E2387" t="s">
        <v>8935</v>
      </c>
      <c r="F2387" t="s">
        <v>28</v>
      </c>
      <c r="G2387" t="s">
        <v>8935</v>
      </c>
      <c r="H2387" t="str">
        <f>"nhr-7"</f>
        <v>nhr-7</v>
      </c>
      <c r="I2387" t="s">
        <v>8937</v>
      </c>
      <c r="J2387">
        <v>16.344902990318801</v>
      </c>
      <c r="K2387">
        <v>16.684040257113899</v>
      </c>
      <c r="L2387">
        <v>16.075252067787002</v>
      </c>
      <c r="M2387">
        <v>16.599110468504598</v>
      </c>
      <c r="N2387">
        <v>16.277251595494398</v>
      </c>
      <c r="O2387">
        <v>17.1704751370286</v>
      </c>
      <c r="P2387">
        <v>0.31421396193599099</v>
      </c>
      <c r="Q2387">
        <v>-0.64096764030472597</v>
      </c>
      <c r="R2387">
        <v>1.2693955641767101</v>
      </c>
      <c r="S2387">
        <v>16.1314405497914</v>
      </c>
      <c r="T2387">
        <v>0.69140424718953697</v>
      </c>
      <c r="U2387">
        <v>-6.6360263737373204</v>
      </c>
      <c r="V2387">
        <v>0.49818401804499002</v>
      </c>
      <c r="W2387">
        <v>0.94062983959761604</v>
      </c>
      <c r="X2387">
        <v>0</v>
      </c>
      <c r="Y2387">
        <v>0</v>
      </c>
    </row>
    <row r="2388" spans="1:25" x14ac:dyDescent="0.2">
      <c r="A2388" t="s">
        <v>8938</v>
      </c>
      <c r="B2388" t="s">
        <v>8939</v>
      </c>
      <c r="C2388" t="s">
        <v>8940</v>
      </c>
      <c r="D2388" t="s">
        <v>308</v>
      </c>
      <c r="E2388" t="s">
        <v>8939</v>
      </c>
      <c r="F2388" t="s">
        <v>28</v>
      </c>
      <c r="G2388" t="s">
        <v>8939</v>
      </c>
      <c r="H2388" t="str">
        <f>"dnj-13"</f>
        <v>dnj-13</v>
      </c>
      <c r="I2388" t="s">
        <v>308</v>
      </c>
      <c r="J2388" t="s">
        <v>29</v>
      </c>
      <c r="K2388" t="s">
        <v>29</v>
      </c>
      <c r="L2388" t="s">
        <v>29</v>
      </c>
      <c r="M2388" t="s">
        <v>29</v>
      </c>
      <c r="N2388" t="s">
        <v>29</v>
      </c>
      <c r="O2388" t="s">
        <v>29</v>
      </c>
      <c r="P2388" t="s">
        <v>29</v>
      </c>
      <c r="Q2388" t="s">
        <v>29</v>
      </c>
      <c r="R2388" t="s">
        <v>29</v>
      </c>
      <c r="S2388">
        <v>10.749067693539899</v>
      </c>
      <c r="T2388" t="s">
        <v>29</v>
      </c>
      <c r="U2388" t="s">
        <v>29</v>
      </c>
      <c r="V2388" t="s">
        <v>29</v>
      </c>
      <c r="W2388" t="s">
        <v>29</v>
      </c>
      <c r="X2388" t="s">
        <v>29</v>
      </c>
      <c r="Y2388" t="s">
        <v>29</v>
      </c>
    </row>
    <row r="2389" spans="1:25" x14ac:dyDescent="0.2">
      <c r="A2389" t="s">
        <v>8941</v>
      </c>
      <c r="B2389" t="s">
        <v>8942</v>
      </c>
      <c r="C2389" t="s">
        <v>8943</v>
      </c>
      <c r="D2389" t="s">
        <v>8944</v>
      </c>
      <c r="E2389" t="s">
        <v>8942</v>
      </c>
      <c r="F2389" t="s">
        <v>28</v>
      </c>
      <c r="G2389" t="s">
        <v>8942</v>
      </c>
      <c r="H2389" t="str">
        <f>"cox-6A"</f>
        <v>cox-6A</v>
      </c>
      <c r="I2389" t="s">
        <v>8944</v>
      </c>
      <c r="J2389">
        <v>15.477225704727299</v>
      </c>
      <c r="K2389">
        <v>15.160954038786301</v>
      </c>
      <c r="L2389">
        <v>15.2945161584417</v>
      </c>
      <c r="M2389">
        <v>15.204862300557799</v>
      </c>
      <c r="N2389">
        <v>15.1829548995932</v>
      </c>
      <c r="O2389">
        <v>15.041270251749401</v>
      </c>
      <c r="P2389">
        <v>-0.167869483351618</v>
      </c>
      <c r="Q2389">
        <v>-0.55240514072943703</v>
      </c>
      <c r="R2389">
        <v>0.216666174026202</v>
      </c>
      <c r="S2389">
        <v>15.129728173837901</v>
      </c>
      <c r="T2389">
        <v>-0.91754558432699995</v>
      </c>
      <c r="U2389">
        <v>-6.4527410015898203</v>
      </c>
      <c r="V2389">
        <v>0.371058262499392</v>
      </c>
      <c r="W2389">
        <v>0.89225570635691898</v>
      </c>
      <c r="X2389">
        <v>0</v>
      </c>
      <c r="Y2389">
        <v>0</v>
      </c>
    </row>
    <row r="2390" spans="1:25" x14ac:dyDescent="0.2">
      <c r="A2390" t="s">
        <v>8945</v>
      </c>
      <c r="B2390" t="s">
        <v>8946</v>
      </c>
      <c r="C2390" t="s">
        <v>8947</v>
      </c>
      <c r="D2390" t="s">
        <v>8948</v>
      </c>
      <c r="E2390" t="s">
        <v>8946</v>
      </c>
      <c r="F2390" t="s">
        <v>28</v>
      </c>
      <c r="G2390" t="s">
        <v>8946</v>
      </c>
      <c r="H2390" t="str">
        <f>"alh-1"</f>
        <v>alh-1</v>
      </c>
      <c r="I2390" t="s">
        <v>8948</v>
      </c>
      <c r="J2390">
        <v>15.1634139143599</v>
      </c>
      <c r="K2390">
        <v>15.262225957592801</v>
      </c>
      <c r="L2390">
        <v>15.0941133491319</v>
      </c>
      <c r="M2390">
        <v>15.3022732681889</v>
      </c>
      <c r="N2390">
        <v>15.3887241986285</v>
      </c>
      <c r="O2390">
        <v>15.284553503685</v>
      </c>
      <c r="P2390">
        <v>0.15193258313924801</v>
      </c>
      <c r="Q2390">
        <v>-0.33057874906551199</v>
      </c>
      <c r="R2390">
        <v>0.63444391534400701</v>
      </c>
      <c r="S2390">
        <v>15.0199286245922</v>
      </c>
      <c r="T2390">
        <v>0.66181395018075195</v>
      </c>
      <c r="U2390">
        <v>-6.6564208110187897</v>
      </c>
      <c r="V2390">
        <v>0.51652288536588697</v>
      </c>
      <c r="W2390">
        <v>0.94227592550871997</v>
      </c>
      <c r="X2390">
        <v>0</v>
      </c>
      <c r="Y2390">
        <v>0</v>
      </c>
    </row>
    <row r="2391" spans="1:25" x14ac:dyDescent="0.2">
      <c r="A2391" t="s">
        <v>8949</v>
      </c>
      <c r="B2391" t="s">
        <v>8950</v>
      </c>
      <c r="C2391" t="s">
        <v>8951</v>
      </c>
      <c r="D2391" t="s">
        <v>8952</v>
      </c>
      <c r="E2391" t="s">
        <v>8950</v>
      </c>
      <c r="F2391" t="s">
        <v>28</v>
      </c>
      <c r="G2391" t="s">
        <v>8950</v>
      </c>
      <c r="H2391" t="str">
        <f>"pst-2"</f>
        <v>pst-2</v>
      </c>
      <c r="I2391" t="s">
        <v>8952</v>
      </c>
      <c r="J2391">
        <v>13.018484000485399</v>
      </c>
      <c r="K2391">
        <v>13.7355461769423</v>
      </c>
      <c r="L2391">
        <v>13.402459108948101</v>
      </c>
      <c r="M2391">
        <v>13.9261018111787</v>
      </c>
      <c r="N2391">
        <v>13.427692770400901</v>
      </c>
      <c r="O2391">
        <v>13.079868238576699</v>
      </c>
      <c r="P2391">
        <v>9.2391177926838694E-2</v>
      </c>
      <c r="Q2391">
        <v>-0.53650664171933005</v>
      </c>
      <c r="R2391">
        <v>0.72128899757300702</v>
      </c>
      <c r="S2391">
        <v>13.8028886169119</v>
      </c>
      <c r="T2391">
        <v>0.31009904460634802</v>
      </c>
      <c r="U2391">
        <v>-6.8322323894669399</v>
      </c>
      <c r="V2391">
        <v>0.76027809951421099</v>
      </c>
      <c r="W2391">
        <v>0.99278624068726296</v>
      </c>
      <c r="X2391">
        <v>0</v>
      </c>
      <c r="Y2391">
        <v>0</v>
      </c>
    </row>
    <row r="2392" spans="1:25" x14ac:dyDescent="0.2">
      <c r="A2392" t="s">
        <v>8953</v>
      </c>
      <c r="B2392" t="s">
        <v>8954</v>
      </c>
      <c r="C2392" t="s">
        <v>8955</v>
      </c>
      <c r="D2392" t="s">
        <v>8956</v>
      </c>
      <c r="E2392" t="s">
        <v>8954</v>
      </c>
      <c r="F2392" t="s">
        <v>28</v>
      </c>
      <c r="G2392" t="s">
        <v>8954</v>
      </c>
      <c r="H2392" t="str">
        <f>"syx-5"</f>
        <v>syx-5</v>
      </c>
      <c r="I2392" t="s">
        <v>8956</v>
      </c>
      <c r="J2392" t="s">
        <v>29</v>
      </c>
      <c r="K2392" t="s">
        <v>29</v>
      </c>
      <c r="L2392">
        <v>12.790054353161</v>
      </c>
      <c r="M2392" t="s">
        <v>29</v>
      </c>
      <c r="N2392">
        <v>13.814681585873901</v>
      </c>
      <c r="O2392">
        <v>13.608180371373299</v>
      </c>
      <c r="P2392">
        <v>0.92137662546264198</v>
      </c>
      <c r="Q2392">
        <v>6.7638999559071794E-2</v>
      </c>
      <c r="R2392">
        <v>1.7751142513662099</v>
      </c>
      <c r="S2392">
        <v>13.2370944991264</v>
      </c>
      <c r="T2392">
        <v>2.3163525563795702</v>
      </c>
      <c r="U2392">
        <v>-4.1171846708422004</v>
      </c>
      <c r="V2392">
        <v>3.6335513486776501E-2</v>
      </c>
      <c r="W2392">
        <v>0.41698134097928402</v>
      </c>
      <c r="X2392">
        <v>0</v>
      </c>
      <c r="Y2392">
        <v>0</v>
      </c>
    </row>
    <row r="2393" spans="1:25" x14ac:dyDescent="0.2">
      <c r="A2393" t="s">
        <v>8957</v>
      </c>
      <c r="B2393" t="s">
        <v>8958</v>
      </c>
      <c r="C2393" t="s">
        <v>8959</v>
      </c>
      <c r="D2393" t="s">
        <v>8960</v>
      </c>
      <c r="E2393" t="s">
        <v>8958</v>
      </c>
      <c r="F2393" t="s">
        <v>28</v>
      </c>
      <c r="G2393" t="s">
        <v>8958</v>
      </c>
      <c r="H2393" t="str">
        <f>"sel-11"</f>
        <v>sel-11</v>
      </c>
      <c r="I2393" t="s">
        <v>8960</v>
      </c>
      <c r="J2393">
        <v>14.0491919498496</v>
      </c>
      <c r="K2393">
        <v>13.877831178929901</v>
      </c>
      <c r="L2393">
        <v>13.6813133676766</v>
      </c>
      <c r="M2393">
        <v>13.728843066575401</v>
      </c>
      <c r="N2393">
        <v>13.7550762629802</v>
      </c>
      <c r="O2393">
        <v>13.9868045384422</v>
      </c>
      <c r="P2393">
        <v>-4.58708761527582E-2</v>
      </c>
      <c r="Q2393">
        <v>-0.559101801495553</v>
      </c>
      <c r="R2393">
        <v>0.46736004919003599</v>
      </c>
      <c r="S2393">
        <v>13.651442824005301</v>
      </c>
      <c r="T2393">
        <v>-0.18865756779524601</v>
      </c>
      <c r="U2393">
        <v>-6.8638545595262501</v>
      </c>
      <c r="V2393">
        <v>0.85260880371595005</v>
      </c>
      <c r="W2393">
        <v>0.99370971747667503</v>
      </c>
      <c r="X2393">
        <v>0</v>
      </c>
      <c r="Y2393">
        <v>0</v>
      </c>
    </row>
    <row r="2394" spans="1:25" x14ac:dyDescent="0.2">
      <c r="A2394" t="s">
        <v>8961</v>
      </c>
      <c r="B2394" t="s">
        <v>8962</v>
      </c>
      <c r="C2394" t="s">
        <v>8963</v>
      </c>
      <c r="D2394" t="s">
        <v>8964</v>
      </c>
      <c r="E2394" t="s">
        <v>8962</v>
      </c>
      <c r="F2394" t="s">
        <v>28</v>
      </c>
      <c r="G2394" t="s">
        <v>8962</v>
      </c>
      <c r="H2394" t="str">
        <f>"F55A11.4"</f>
        <v>F55A11.4</v>
      </c>
      <c r="I2394" t="s">
        <v>8964</v>
      </c>
      <c r="J2394">
        <v>12.6049851720951</v>
      </c>
      <c r="K2394">
        <v>12.426191311247999</v>
      </c>
      <c r="L2394">
        <v>12.3208571350153</v>
      </c>
      <c r="M2394">
        <v>12.277215447385</v>
      </c>
      <c r="N2394">
        <v>12.2320147288578</v>
      </c>
      <c r="O2394">
        <v>12.608294190379199</v>
      </c>
      <c r="P2394">
        <v>-7.8169750578789304E-2</v>
      </c>
      <c r="Q2394">
        <v>-0.49803526563193901</v>
      </c>
      <c r="R2394">
        <v>0.34169576447436101</v>
      </c>
      <c r="S2394">
        <v>12.280072778151499</v>
      </c>
      <c r="T2394">
        <v>-0.397072788719879</v>
      </c>
      <c r="U2394">
        <v>-6.7996729225741204</v>
      </c>
      <c r="V2394">
        <v>0.69694528272084699</v>
      </c>
      <c r="W2394">
        <v>0.98642420921484297</v>
      </c>
      <c r="X2394">
        <v>0</v>
      </c>
      <c r="Y2394">
        <v>0</v>
      </c>
    </row>
    <row r="2395" spans="1:25" x14ac:dyDescent="0.2">
      <c r="A2395" t="s">
        <v>8965</v>
      </c>
      <c r="B2395" t="s">
        <v>8966</v>
      </c>
      <c r="C2395" t="s">
        <v>8967</v>
      </c>
      <c r="D2395" t="s">
        <v>8968</v>
      </c>
      <c r="E2395" t="s">
        <v>8966</v>
      </c>
      <c r="F2395" t="s">
        <v>28</v>
      </c>
      <c r="G2395" t="s">
        <v>8966</v>
      </c>
      <c r="H2395" t="str">
        <f>"capg-2"</f>
        <v>capg-2</v>
      </c>
      <c r="I2395" t="s">
        <v>8968</v>
      </c>
      <c r="J2395">
        <v>11.540473615692401</v>
      </c>
      <c r="K2395">
        <v>11.1144326848649</v>
      </c>
      <c r="L2395">
        <v>11.5775014167781</v>
      </c>
      <c r="M2395">
        <v>11.056885125282699</v>
      </c>
      <c r="N2395">
        <v>11.6361866863566</v>
      </c>
      <c r="O2395">
        <v>11.298587814408901</v>
      </c>
      <c r="P2395">
        <v>-8.02493637623964E-2</v>
      </c>
      <c r="Q2395">
        <v>-0.71965398475030296</v>
      </c>
      <c r="R2395">
        <v>0.55915525722550996</v>
      </c>
      <c r="S2395">
        <v>11.986145344321899</v>
      </c>
      <c r="T2395">
        <v>-0.26492066738285103</v>
      </c>
      <c r="U2395">
        <v>-6.8457812171944097</v>
      </c>
      <c r="V2395">
        <v>0.79427560397391095</v>
      </c>
      <c r="W2395">
        <v>0.99278624068726296</v>
      </c>
      <c r="X2395">
        <v>0</v>
      </c>
      <c r="Y2395">
        <v>0</v>
      </c>
    </row>
    <row r="2396" spans="1:25" x14ac:dyDescent="0.2">
      <c r="A2396" t="s">
        <v>8969</v>
      </c>
      <c r="B2396" t="s">
        <v>8970</v>
      </c>
      <c r="C2396" t="s">
        <v>8971</v>
      </c>
      <c r="D2396" t="s">
        <v>8972</v>
      </c>
      <c r="E2396" t="s">
        <v>8970</v>
      </c>
      <c r="F2396" t="s">
        <v>28</v>
      </c>
      <c r="G2396" t="s">
        <v>8970</v>
      </c>
      <c r="H2396" t="str">
        <f>"tsfm-1"</f>
        <v>tsfm-1</v>
      </c>
      <c r="I2396" t="s">
        <v>8972</v>
      </c>
      <c r="J2396">
        <v>12.7476796224752</v>
      </c>
      <c r="K2396">
        <v>13.165537812543599</v>
      </c>
      <c r="L2396">
        <v>13.312071480161199</v>
      </c>
      <c r="M2396">
        <v>12.9850807933468</v>
      </c>
      <c r="N2396">
        <v>13.319622683925701</v>
      </c>
      <c r="O2396">
        <v>12.812716356561101</v>
      </c>
      <c r="P2396">
        <v>-3.5956360448759397E-2</v>
      </c>
      <c r="Q2396">
        <v>-0.67502994010037798</v>
      </c>
      <c r="R2396">
        <v>0.60311721920285899</v>
      </c>
      <c r="S2396">
        <v>13.6052194104593</v>
      </c>
      <c r="T2396">
        <v>-0.11876128146229301</v>
      </c>
      <c r="U2396">
        <v>-6.8751001653163897</v>
      </c>
      <c r="V2396">
        <v>0.90686512334954805</v>
      </c>
      <c r="W2396">
        <v>0.99833354317360001</v>
      </c>
      <c r="X2396">
        <v>0</v>
      </c>
      <c r="Y2396">
        <v>0</v>
      </c>
    </row>
    <row r="2397" spans="1:25" x14ac:dyDescent="0.2">
      <c r="A2397" t="s">
        <v>8973</v>
      </c>
      <c r="B2397" t="s">
        <v>8974</v>
      </c>
      <c r="C2397" t="s">
        <v>8975</v>
      </c>
      <c r="D2397" t="s">
        <v>8976</v>
      </c>
      <c r="E2397" t="s">
        <v>8974</v>
      </c>
      <c r="F2397" t="s">
        <v>28</v>
      </c>
      <c r="G2397" t="s">
        <v>8974</v>
      </c>
      <c r="H2397" t="str">
        <f>"srpa-68"</f>
        <v>srpa-68</v>
      </c>
      <c r="I2397" t="s">
        <v>8976</v>
      </c>
      <c r="J2397">
        <v>15.6719013501517</v>
      </c>
      <c r="K2397">
        <v>15.424463408146799</v>
      </c>
      <c r="L2397">
        <v>15.525846535486799</v>
      </c>
      <c r="M2397">
        <v>15.713733021735001</v>
      </c>
      <c r="N2397">
        <v>15.6268317507964</v>
      </c>
      <c r="O2397">
        <v>15.5724030052301</v>
      </c>
      <c r="P2397">
        <v>9.6918827992048803E-2</v>
      </c>
      <c r="Q2397">
        <v>-0.25325399497793799</v>
      </c>
      <c r="R2397">
        <v>0.44709165096203601</v>
      </c>
      <c r="S2397">
        <v>15.227540259289601</v>
      </c>
      <c r="T2397">
        <v>0.58172567143800302</v>
      </c>
      <c r="U2397">
        <v>-6.7073417963093398</v>
      </c>
      <c r="V2397">
        <v>0.56800804785660697</v>
      </c>
      <c r="W2397">
        <v>0.95899594273265498</v>
      </c>
      <c r="X2397">
        <v>0</v>
      </c>
      <c r="Y2397">
        <v>0</v>
      </c>
    </row>
    <row r="2398" spans="1:25" x14ac:dyDescent="0.2">
      <c r="A2398" t="s">
        <v>8977</v>
      </c>
      <c r="B2398" t="s">
        <v>8978</v>
      </c>
      <c r="C2398" t="s">
        <v>14481</v>
      </c>
      <c r="D2398" t="s">
        <v>368</v>
      </c>
      <c r="E2398" t="s">
        <v>8978</v>
      </c>
      <c r="F2398" t="s">
        <v>28</v>
      </c>
      <c r="G2398" t="s">
        <v>8978</v>
      </c>
      <c r="H2398" t="str">
        <f>"F55D12.1"</f>
        <v>F55D12.1</v>
      </c>
      <c r="I2398" t="s">
        <v>368</v>
      </c>
      <c r="J2398">
        <v>12.147782360216</v>
      </c>
      <c r="K2398" t="s">
        <v>29</v>
      </c>
      <c r="L2398">
        <v>11.9745965304484</v>
      </c>
      <c r="M2398">
        <v>12.8651311477467</v>
      </c>
      <c r="N2398">
        <v>11.903036855902</v>
      </c>
      <c r="O2398">
        <v>12.290976181781501</v>
      </c>
      <c r="P2398">
        <v>0.29185861647787997</v>
      </c>
      <c r="Q2398">
        <v>-0.50979381353799902</v>
      </c>
      <c r="R2398">
        <v>1.0935110464937601</v>
      </c>
      <c r="S2398">
        <v>11.829796337949499</v>
      </c>
      <c r="T2398">
        <v>0.80225807916649405</v>
      </c>
      <c r="U2398">
        <v>-6.4353591377875503</v>
      </c>
      <c r="V2398">
        <v>0.43955257452485602</v>
      </c>
      <c r="W2398">
        <v>0.91896318286628498</v>
      </c>
      <c r="X2398">
        <v>0</v>
      </c>
      <c r="Y2398">
        <v>0</v>
      </c>
    </row>
    <row r="2399" spans="1:25" x14ac:dyDescent="0.2">
      <c r="A2399" t="s">
        <v>8979</v>
      </c>
      <c r="B2399" t="s">
        <v>8980</v>
      </c>
      <c r="C2399" t="s">
        <v>8981</v>
      </c>
      <c r="D2399" t="s">
        <v>8982</v>
      </c>
      <c r="E2399" t="s">
        <v>8980</v>
      </c>
      <c r="F2399" t="s">
        <v>28</v>
      </c>
      <c r="G2399" t="s">
        <v>8980</v>
      </c>
      <c r="H2399" t="str">
        <f>"drd-5"</f>
        <v>drd-5</v>
      </c>
      <c r="I2399" t="s">
        <v>8982</v>
      </c>
      <c r="J2399" t="s">
        <v>29</v>
      </c>
      <c r="K2399" t="s">
        <v>29</v>
      </c>
      <c r="L2399" t="s">
        <v>29</v>
      </c>
      <c r="M2399">
        <v>11.094297685581701</v>
      </c>
      <c r="N2399">
        <v>11.903792377494</v>
      </c>
      <c r="O2399" t="s">
        <v>29</v>
      </c>
      <c r="P2399" t="s">
        <v>29</v>
      </c>
      <c r="Q2399" t="s">
        <v>29</v>
      </c>
      <c r="R2399" t="s">
        <v>29</v>
      </c>
      <c r="S2399">
        <v>11.6738337863237</v>
      </c>
      <c r="T2399" t="s">
        <v>29</v>
      </c>
      <c r="U2399" t="s">
        <v>29</v>
      </c>
      <c r="V2399" t="s">
        <v>29</v>
      </c>
      <c r="W2399" t="s">
        <v>29</v>
      </c>
      <c r="X2399" t="s">
        <v>29</v>
      </c>
      <c r="Y2399" t="s">
        <v>29</v>
      </c>
    </row>
    <row r="2400" spans="1:25" x14ac:dyDescent="0.2">
      <c r="A2400" t="s">
        <v>8983</v>
      </c>
      <c r="B2400" t="s">
        <v>8984</v>
      </c>
      <c r="C2400" t="s">
        <v>8985</v>
      </c>
      <c r="D2400" t="s">
        <v>8986</v>
      </c>
      <c r="E2400" t="s">
        <v>8984</v>
      </c>
      <c r="F2400" t="s">
        <v>28</v>
      </c>
      <c r="G2400" t="s">
        <v>8984</v>
      </c>
      <c r="H2400" t="str">
        <f>"plk-3"</f>
        <v>plk-3</v>
      </c>
      <c r="I2400" t="s">
        <v>8986</v>
      </c>
      <c r="J2400">
        <v>10.6226094289526</v>
      </c>
      <c r="K2400" t="s">
        <v>29</v>
      </c>
      <c r="L2400" t="s">
        <v>29</v>
      </c>
      <c r="M2400" t="s">
        <v>29</v>
      </c>
      <c r="N2400">
        <v>10.876214428967801</v>
      </c>
      <c r="O2400" t="s">
        <v>29</v>
      </c>
      <c r="P2400">
        <v>0.25360500001521702</v>
      </c>
      <c r="Q2400">
        <v>-0.616700129565249</v>
      </c>
      <c r="R2400">
        <v>1.1239101295956799</v>
      </c>
      <c r="S2400">
        <v>11.335545579065201</v>
      </c>
      <c r="T2400">
        <v>0.65020927297739695</v>
      </c>
      <c r="U2400">
        <v>-6.1225219148446497</v>
      </c>
      <c r="V2400">
        <v>0.53036271585671402</v>
      </c>
      <c r="W2400">
        <v>0.94347340668743696</v>
      </c>
      <c r="X2400">
        <v>0</v>
      </c>
      <c r="Y2400">
        <v>0</v>
      </c>
    </row>
    <row r="2401" spans="1:25" x14ac:dyDescent="0.2">
      <c r="A2401" t="s">
        <v>8987</v>
      </c>
      <c r="B2401" t="s">
        <v>8988</v>
      </c>
      <c r="C2401" t="s">
        <v>8989</v>
      </c>
      <c r="D2401" t="s">
        <v>1434</v>
      </c>
      <c r="E2401" t="s">
        <v>8988</v>
      </c>
      <c r="F2401" t="s">
        <v>28</v>
      </c>
      <c r="G2401" t="s">
        <v>8988</v>
      </c>
      <c r="H2401" t="str">
        <f>"slc-25a18.2"</f>
        <v>slc-25a18.2</v>
      </c>
      <c r="I2401" t="s">
        <v>1434</v>
      </c>
      <c r="J2401" t="s">
        <v>29</v>
      </c>
      <c r="K2401" t="s">
        <v>29</v>
      </c>
      <c r="L2401">
        <v>10.895193879129099</v>
      </c>
      <c r="M2401">
        <v>11.605932232419599</v>
      </c>
      <c r="N2401">
        <v>11.8325344889845</v>
      </c>
      <c r="O2401">
        <v>12.752271547635299</v>
      </c>
      <c r="P2401">
        <v>1.16838554388403</v>
      </c>
      <c r="Q2401">
        <v>-0.120656615273826</v>
      </c>
      <c r="R2401">
        <v>2.4574277030418901</v>
      </c>
      <c r="S2401">
        <v>11.9700503990071</v>
      </c>
      <c r="T2401">
        <v>1.94540911414068</v>
      </c>
      <c r="U2401">
        <v>-4.7883473104743199</v>
      </c>
      <c r="V2401">
        <v>7.2244055385748907E-2</v>
      </c>
      <c r="W2401">
        <v>0.57541565353348401</v>
      </c>
      <c r="X2401">
        <v>0</v>
      </c>
      <c r="Y2401">
        <v>0</v>
      </c>
    </row>
    <row r="2402" spans="1:25" x14ac:dyDescent="0.2">
      <c r="A2402" t="s">
        <v>8990</v>
      </c>
      <c r="B2402" t="s">
        <v>8991</v>
      </c>
      <c r="C2402" t="s">
        <v>8992</v>
      </c>
      <c r="D2402" t="s">
        <v>8993</v>
      </c>
      <c r="E2402" t="s">
        <v>8991</v>
      </c>
      <c r="F2402" t="s">
        <v>28</v>
      </c>
      <c r="G2402" t="s">
        <v>8991</v>
      </c>
      <c r="H2402" t="str">
        <f>"rod-1"</f>
        <v>rod-1</v>
      </c>
      <c r="I2402" t="s">
        <v>8993</v>
      </c>
      <c r="J2402">
        <v>15.0184161862881</v>
      </c>
      <c r="K2402">
        <v>14.6151549143959</v>
      </c>
      <c r="L2402">
        <v>14.7961935779197</v>
      </c>
      <c r="M2402">
        <v>14.8115589080154</v>
      </c>
      <c r="N2402">
        <v>14.8874592467473</v>
      </c>
      <c r="O2402">
        <v>14.673502710390601</v>
      </c>
      <c r="P2402">
        <v>-1.90812711501742E-2</v>
      </c>
      <c r="Q2402">
        <v>-0.45104955045733303</v>
      </c>
      <c r="R2402">
        <v>0.41288700815698498</v>
      </c>
      <c r="S2402">
        <v>14.693045681024399</v>
      </c>
      <c r="T2402">
        <v>-9.2842742290564495E-2</v>
      </c>
      <c r="U2402">
        <v>-6.8779868537410804</v>
      </c>
      <c r="V2402">
        <v>0.92706002026618095</v>
      </c>
      <c r="W2402">
        <v>0.99926809132575301</v>
      </c>
      <c r="X2402">
        <v>0</v>
      </c>
      <c r="Y2402">
        <v>0</v>
      </c>
    </row>
    <row r="2403" spans="1:25" x14ac:dyDescent="0.2">
      <c r="A2403" t="s">
        <v>8994</v>
      </c>
      <c r="B2403" t="s">
        <v>8995</v>
      </c>
      <c r="C2403" t="s">
        <v>8996</v>
      </c>
      <c r="D2403" t="s">
        <v>8997</v>
      </c>
      <c r="E2403" t="s">
        <v>8995</v>
      </c>
      <c r="F2403" t="s">
        <v>28</v>
      </c>
      <c r="G2403" t="s">
        <v>8995</v>
      </c>
      <c r="H2403" t="str">
        <f>"daz-1"</f>
        <v>daz-1</v>
      </c>
      <c r="I2403" t="s">
        <v>8997</v>
      </c>
      <c r="J2403">
        <v>13.9331562788376</v>
      </c>
      <c r="K2403">
        <v>14.1678668874238</v>
      </c>
      <c r="L2403">
        <v>14.726454979332299</v>
      </c>
      <c r="M2403">
        <v>13.667110042323801</v>
      </c>
      <c r="N2403">
        <v>14.382572312636</v>
      </c>
      <c r="O2403">
        <v>14.0967534519688</v>
      </c>
      <c r="P2403">
        <v>-0.22701411288833201</v>
      </c>
      <c r="Q2403">
        <v>-0.82135712284436402</v>
      </c>
      <c r="R2403">
        <v>0.3673288970677</v>
      </c>
      <c r="S2403">
        <v>14.425859764827599</v>
      </c>
      <c r="T2403">
        <v>-0.80624254294838005</v>
      </c>
      <c r="U2403">
        <v>-6.5482443491055404</v>
      </c>
      <c r="V2403">
        <v>0.43130593563034503</v>
      </c>
      <c r="W2403">
        <v>0.91512503332874395</v>
      </c>
      <c r="X2403">
        <v>0</v>
      </c>
      <c r="Y2403">
        <v>0</v>
      </c>
    </row>
    <row r="2404" spans="1:25" x14ac:dyDescent="0.2">
      <c r="A2404" t="s">
        <v>8998</v>
      </c>
      <c r="B2404" t="s">
        <v>8999</v>
      </c>
      <c r="C2404" t="s">
        <v>14482</v>
      </c>
      <c r="D2404" t="s">
        <v>2955</v>
      </c>
      <c r="E2404" t="s">
        <v>8999</v>
      </c>
      <c r="F2404" t="s">
        <v>28</v>
      </c>
      <c r="G2404" t="s">
        <v>8999</v>
      </c>
      <c r="H2404" t="str">
        <f>"F56D2.2"</f>
        <v>F56D2.2</v>
      </c>
      <c r="I2404" t="s">
        <v>2955</v>
      </c>
      <c r="J2404" t="s">
        <v>29</v>
      </c>
      <c r="K2404" t="s">
        <v>29</v>
      </c>
      <c r="L2404" t="s">
        <v>29</v>
      </c>
      <c r="M2404" t="s">
        <v>29</v>
      </c>
      <c r="N2404" t="s">
        <v>29</v>
      </c>
      <c r="O2404" t="s">
        <v>29</v>
      </c>
      <c r="P2404" t="s">
        <v>29</v>
      </c>
      <c r="Q2404" t="s">
        <v>29</v>
      </c>
      <c r="R2404" t="s">
        <v>29</v>
      </c>
      <c r="S2404">
        <v>11.670829851443401</v>
      </c>
      <c r="T2404" t="s">
        <v>29</v>
      </c>
      <c r="U2404" t="s">
        <v>29</v>
      </c>
      <c r="V2404" t="s">
        <v>29</v>
      </c>
      <c r="W2404" t="s">
        <v>29</v>
      </c>
      <c r="X2404" t="s">
        <v>29</v>
      </c>
      <c r="Y2404" t="s">
        <v>29</v>
      </c>
    </row>
    <row r="2405" spans="1:25" x14ac:dyDescent="0.2">
      <c r="A2405" t="s">
        <v>9000</v>
      </c>
      <c r="B2405" t="s">
        <v>9001</v>
      </c>
      <c r="C2405" t="s">
        <v>9002</v>
      </c>
      <c r="D2405" t="s">
        <v>9003</v>
      </c>
      <c r="E2405" t="s">
        <v>9001</v>
      </c>
      <c r="F2405" t="s">
        <v>28</v>
      </c>
      <c r="G2405" t="s">
        <v>9001</v>
      </c>
      <c r="H2405" t="str">
        <f>"ddx-15"</f>
        <v>ddx-15</v>
      </c>
      <c r="I2405" t="s">
        <v>9003</v>
      </c>
      <c r="J2405">
        <v>13.844553447205501</v>
      </c>
      <c r="K2405">
        <v>13.7937312184517</v>
      </c>
      <c r="L2405">
        <v>13.890226657497699</v>
      </c>
      <c r="M2405">
        <v>13.726431312501701</v>
      </c>
      <c r="N2405">
        <v>13.787531985522</v>
      </c>
      <c r="O2405">
        <v>13.605167603994399</v>
      </c>
      <c r="P2405">
        <v>-0.13646014037897</v>
      </c>
      <c r="Q2405">
        <v>-0.54998993644877103</v>
      </c>
      <c r="R2405">
        <v>0.27706965569083097</v>
      </c>
      <c r="S2405">
        <v>13.9864415092137</v>
      </c>
      <c r="T2405">
        <v>-0.69357194821743495</v>
      </c>
      <c r="U2405">
        <v>-6.63449908298462</v>
      </c>
      <c r="V2405">
        <v>0.49685548307368399</v>
      </c>
      <c r="W2405">
        <v>0.94062983959761604</v>
      </c>
      <c r="X2405">
        <v>0</v>
      </c>
      <c r="Y2405">
        <v>0</v>
      </c>
    </row>
    <row r="2406" spans="1:25" x14ac:dyDescent="0.2">
      <c r="A2406" t="s">
        <v>9004</v>
      </c>
      <c r="B2406" t="s">
        <v>9005</v>
      </c>
      <c r="C2406" t="s">
        <v>14483</v>
      </c>
      <c r="D2406" t="s">
        <v>9006</v>
      </c>
      <c r="E2406" t="s">
        <v>9005</v>
      </c>
      <c r="F2406" t="s">
        <v>28</v>
      </c>
      <c r="G2406" t="s">
        <v>9005</v>
      </c>
      <c r="H2406" t="str">
        <f>"F56D3.1"</f>
        <v>F56D3.1</v>
      </c>
      <c r="I2406" t="s">
        <v>9006</v>
      </c>
      <c r="J2406" t="s">
        <v>29</v>
      </c>
      <c r="K2406">
        <v>11.538132160841799</v>
      </c>
      <c r="L2406">
        <v>11.9777785015304</v>
      </c>
      <c r="M2406">
        <v>10.8416701906492</v>
      </c>
      <c r="N2406">
        <v>11.5933711587871</v>
      </c>
      <c r="O2406">
        <v>11.7209660461859</v>
      </c>
      <c r="P2406">
        <v>-0.37261953264533398</v>
      </c>
      <c r="Q2406">
        <v>-1.51512598948021</v>
      </c>
      <c r="R2406">
        <v>0.76988692418954296</v>
      </c>
      <c r="S2406">
        <v>12.1023077268389</v>
      </c>
      <c r="T2406">
        <v>-0.68842552872032603</v>
      </c>
      <c r="U2406">
        <v>-6.5278954877336597</v>
      </c>
      <c r="V2406">
        <v>0.500529276918255</v>
      </c>
      <c r="W2406">
        <v>0.94062983959761604</v>
      </c>
      <c r="X2406">
        <v>0</v>
      </c>
      <c r="Y2406">
        <v>0</v>
      </c>
    </row>
    <row r="2407" spans="1:25" x14ac:dyDescent="0.2">
      <c r="A2407" t="s">
        <v>9007</v>
      </c>
      <c r="B2407" t="s">
        <v>9008</v>
      </c>
      <c r="C2407" t="s">
        <v>9009</v>
      </c>
      <c r="D2407" t="s">
        <v>9010</v>
      </c>
      <c r="E2407" t="s">
        <v>9008</v>
      </c>
      <c r="F2407" t="s">
        <v>28</v>
      </c>
      <c r="G2407" t="s">
        <v>9008</v>
      </c>
      <c r="H2407" t="str">
        <f>"ifet-1"</f>
        <v>ifet-1</v>
      </c>
      <c r="I2407" t="s">
        <v>9010</v>
      </c>
      <c r="J2407">
        <v>12.308095348641301</v>
      </c>
      <c r="K2407">
        <v>12.123183395569701</v>
      </c>
      <c r="L2407">
        <v>12.607815726309401</v>
      </c>
      <c r="M2407">
        <v>13.0251389982057</v>
      </c>
      <c r="N2407">
        <v>13.535443872354801</v>
      </c>
      <c r="O2407">
        <v>12.5590547716505</v>
      </c>
      <c r="P2407">
        <v>0.693514390563577</v>
      </c>
      <c r="Q2407">
        <v>5.4738475160766902E-2</v>
      </c>
      <c r="R2407">
        <v>1.33229030596639</v>
      </c>
      <c r="S2407">
        <v>13.4067784890924</v>
      </c>
      <c r="T2407">
        <v>2.2916957394742701</v>
      </c>
      <c r="U2407">
        <v>-4.4892208594214997</v>
      </c>
      <c r="V2407">
        <v>3.5047119377717303E-2</v>
      </c>
      <c r="W2407">
        <v>0.409251976452783</v>
      </c>
      <c r="X2407">
        <v>0</v>
      </c>
      <c r="Y2407">
        <v>0</v>
      </c>
    </row>
    <row r="2408" spans="1:25" x14ac:dyDescent="0.2">
      <c r="A2408" t="s">
        <v>9011</v>
      </c>
      <c r="B2408" t="s">
        <v>9012</v>
      </c>
      <c r="C2408" t="s">
        <v>9013</v>
      </c>
      <c r="D2408" t="s">
        <v>3312</v>
      </c>
      <c r="E2408" t="s">
        <v>9012</v>
      </c>
      <c r="F2408" t="s">
        <v>28</v>
      </c>
      <c r="G2408" t="s">
        <v>9014</v>
      </c>
      <c r="H2408" t="str">
        <f>"col-160"</f>
        <v>col-160</v>
      </c>
      <c r="I2408" t="s">
        <v>3312</v>
      </c>
      <c r="J2408">
        <v>13.133227139610501</v>
      </c>
      <c r="K2408">
        <v>12.2605482395754</v>
      </c>
      <c r="L2408">
        <v>14.282662845990099</v>
      </c>
      <c r="M2408">
        <v>14.662920427627601</v>
      </c>
      <c r="N2408">
        <v>15.436851149456199</v>
      </c>
      <c r="O2408">
        <v>14.9314766400267</v>
      </c>
      <c r="P2408">
        <v>1.7849366639781601</v>
      </c>
      <c r="Q2408">
        <v>0.86239099666827201</v>
      </c>
      <c r="R2408">
        <v>2.70748233128805</v>
      </c>
      <c r="S2408">
        <v>14.5595703323298</v>
      </c>
      <c r="T2408">
        <v>4.1264495773435099</v>
      </c>
      <c r="U2408">
        <v>-0.91731118347053697</v>
      </c>
      <c r="V2408">
        <v>9.0928723977085296E-4</v>
      </c>
      <c r="W2408">
        <v>2.9379688679198102E-2</v>
      </c>
      <c r="X2408">
        <v>1</v>
      </c>
      <c r="Y2408">
        <v>1</v>
      </c>
    </row>
    <row r="2409" spans="1:25" x14ac:dyDescent="0.2">
      <c r="A2409" t="s">
        <v>9015</v>
      </c>
      <c r="B2409" t="s">
        <v>9016</v>
      </c>
      <c r="C2409" t="s">
        <v>9017</v>
      </c>
      <c r="D2409" t="s">
        <v>9018</v>
      </c>
      <c r="E2409" t="s">
        <v>9016</v>
      </c>
      <c r="F2409" t="s">
        <v>28</v>
      </c>
      <c r="G2409" t="s">
        <v>9016</v>
      </c>
      <c r="H2409" t="str">
        <f>"sun-1"</f>
        <v>sun-1</v>
      </c>
      <c r="I2409" t="s">
        <v>9018</v>
      </c>
      <c r="J2409" t="s">
        <v>29</v>
      </c>
      <c r="K2409">
        <v>12.6011356649107</v>
      </c>
      <c r="L2409">
        <v>11.675697417100199</v>
      </c>
      <c r="M2409" t="s">
        <v>29</v>
      </c>
      <c r="N2409">
        <v>11.8970320659385</v>
      </c>
      <c r="O2409">
        <v>11.403652631930299</v>
      </c>
      <c r="P2409">
        <v>-0.48807419207102898</v>
      </c>
      <c r="Q2409">
        <v>-1.3274479677893301</v>
      </c>
      <c r="R2409">
        <v>0.35129958364727598</v>
      </c>
      <c r="S2409">
        <v>12.5877189960081</v>
      </c>
      <c r="T2409">
        <v>-1.2681641153235701</v>
      </c>
      <c r="U2409">
        <v>-5.8781071753731098</v>
      </c>
      <c r="V2409">
        <v>0.228998571331264</v>
      </c>
      <c r="W2409">
        <v>0.80920548477219401</v>
      </c>
      <c r="X2409">
        <v>0</v>
      </c>
      <c r="Y2409">
        <v>0</v>
      </c>
    </row>
    <row r="2410" spans="1:25" x14ac:dyDescent="0.2">
      <c r="A2410" t="s">
        <v>9019</v>
      </c>
      <c r="B2410" t="s">
        <v>9020</v>
      </c>
      <c r="C2410" t="s">
        <v>9021</v>
      </c>
      <c r="D2410" t="s">
        <v>9022</v>
      </c>
      <c r="E2410" t="s">
        <v>9020</v>
      </c>
      <c r="F2410" t="s">
        <v>28</v>
      </c>
      <c r="G2410" t="s">
        <v>9020</v>
      </c>
      <c r="H2410" t="str">
        <f>"byn-1"</f>
        <v>byn-1</v>
      </c>
      <c r="I2410" t="s">
        <v>9022</v>
      </c>
      <c r="J2410">
        <v>11.6518127704416</v>
      </c>
      <c r="K2410">
        <v>11.735604782256299</v>
      </c>
      <c r="L2410">
        <v>12.2208996682189</v>
      </c>
      <c r="M2410">
        <v>12.5221490277415</v>
      </c>
      <c r="N2410">
        <v>12.785051644924</v>
      </c>
      <c r="O2410">
        <v>11.9082216569597</v>
      </c>
      <c r="P2410">
        <v>0.53570170290278596</v>
      </c>
      <c r="Q2410">
        <v>-0.178563313323849</v>
      </c>
      <c r="R2410">
        <v>1.2499667191294199</v>
      </c>
      <c r="S2410">
        <v>13.411983536021699</v>
      </c>
      <c r="T2410">
        <v>1.59079119045952</v>
      </c>
      <c r="U2410">
        <v>-5.6483319110820496</v>
      </c>
      <c r="V2410">
        <v>0.13134623963221201</v>
      </c>
      <c r="W2410">
        <v>0.72021766768664797</v>
      </c>
      <c r="X2410">
        <v>0</v>
      </c>
      <c r="Y2410">
        <v>0</v>
      </c>
    </row>
    <row r="2411" spans="1:25" x14ac:dyDescent="0.2">
      <c r="A2411" t="s">
        <v>9023</v>
      </c>
      <c r="B2411" t="s">
        <v>9024</v>
      </c>
      <c r="C2411" t="s">
        <v>9025</v>
      </c>
      <c r="D2411" t="s">
        <v>9026</v>
      </c>
      <c r="E2411" t="s">
        <v>9024</v>
      </c>
      <c r="F2411" t="s">
        <v>28</v>
      </c>
      <c r="G2411" t="s">
        <v>9024</v>
      </c>
      <c r="H2411" t="str">
        <f>"let-711"</f>
        <v>let-711</v>
      </c>
      <c r="I2411" t="s">
        <v>9026</v>
      </c>
      <c r="J2411">
        <v>14.9796379324449</v>
      </c>
      <c r="K2411">
        <v>15.012845294619</v>
      </c>
      <c r="L2411">
        <v>15.1031798139568</v>
      </c>
      <c r="M2411">
        <v>15.0998064355163</v>
      </c>
      <c r="N2411">
        <v>15.2008015867679</v>
      </c>
      <c r="O2411">
        <v>14.8920833814283</v>
      </c>
      <c r="P2411">
        <v>3.2342787563898398E-2</v>
      </c>
      <c r="Q2411">
        <v>-0.415589472194895</v>
      </c>
      <c r="R2411">
        <v>0.48027504732269199</v>
      </c>
      <c r="S2411">
        <v>15.479803467759099</v>
      </c>
      <c r="T2411">
        <v>0.15176010564610301</v>
      </c>
      <c r="U2411">
        <v>-6.8704636691036498</v>
      </c>
      <c r="V2411">
        <v>0.88107397268724497</v>
      </c>
      <c r="W2411">
        <v>0.99702926582654094</v>
      </c>
      <c r="X2411">
        <v>0</v>
      </c>
      <c r="Y2411">
        <v>0</v>
      </c>
    </row>
    <row r="2412" spans="1:25" x14ac:dyDescent="0.2">
      <c r="A2412" t="s">
        <v>9027</v>
      </c>
      <c r="B2412" t="s">
        <v>9028</v>
      </c>
      <c r="C2412" t="s">
        <v>9029</v>
      </c>
      <c r="D2412" t="s">
        <v>9030</v>
      </c>
      <c r="E2412" t="s">
        <v>9028</v>
      </c>
      <c r="F2412" t="s">
        <v>28</v>
      </c>
      <c r="G2412" t="s">
        <v>9028</v>
      </c>
      <c r="H2412" t="str">
        <f>"rpn-6.1"</f>
        <v>rpn-6.1</v>
      </c>
      <c r="I2412" t="s">
        <v>9030</v>
      </c>
      <c r="J2412">
        <v>13.7109596019852</v>
      </c>
      <c r="K2412">
        <v>13.771969466021501</v>
      </c>
      <c r="L2412">
        <v>13.8170552814328</v>
      </c>
      <c r="M2412">
        <v>13.6056888767988</v>
      </c>
      <c r="N2412">
        <v>14.1883098600241</v>
      </c>
      <c r="O2412">
        <v>13.9522553713643</v>
      </c>
      <c r="P2412">
        <v>0.14875658624923499</v>
      </c>
      <c r="Q2412">
        <v>-0.31658396339922201</v>
      </c>
      <c r="R2412">
        <v>0.61409713589769099</v>
      </c>
      <c r="S2412">
        <v>13.8023476207293</v>
      </c>
      <c r="T2412">
        <v>0.67476930430888804</v>
      </c>
      <c r="U2412">
        <v>-6.6470354592609704</v>
      </c>
      <c r="V2412">
        <v>0.50895169779361604</v>
      </c>
      <c r="W2412">
        <v>0.94062983959761604</v>
      </c>
      <c r="X2412">
        <v>0</v>
      </c>
      <c r="Y2412">
        <v>0</v>
      </c>
    </row>
    <row r="2413" spans="1:25" x14ac:dyDescent="0.2">
      <c r="A2413" t="s">
        <v>9031</v>
      </c>
      <c r="B2413" t="s">
        <v>9032</v>
      </c>
      <c r="C2413" t="s">
        <v>9033</v>
      </c>
      <c r="D2413" t="s">
        <v>1912</v>
      </c>
      <c r="E2413" t="s">
        <v>9032</v>
      </c>
      <c r="F2413" t="s">
        <v>28</v>
      </c>
      <c r="G2413" t="s">
        <v>9032</v>
      </c>
      <c r="H2413" t="str">
        <f>"mrp-2"</f>
        <v>mrp-2</v>
      </c>
      <c r="I2413" t="s">
        <v>1912</v>
      </c>
      <c r="J2413">
        <v>11.7047134774699</v>
      </c>
      <c r="K2413">
        <v>11.5891079047689</v>
      </c>
      <c r="L2413">
        <v>11.2128822366723</v>
      </c>
      <c r="M2413">
        <v>11.670172795344101</v>
      </c>
      <c r="N2413">
        <v>11.791867923811401</v>
      </c>
      <c r="O2413">
        <v>11.773683353296899</v>
      </c>
      <c r="P2413">
        <v>0.243006817847089</v>
      </c>
      <c r="Q2413">
        <v>-0.58419144978922199</v>
      </c>
      <c r="R2413">
        <v>1.0702050854834</v>
      </c>
      <c r="S2413">
        <v>11.3901310734206</v>
      </c>
      <c r="T2413">
        <v>0.62654237360096998</v>
      </c>
      <c r="U2413">
        <v>-6.6779060246453703</v>
      </c>
      <c r="V2413">
        <v>0.54044353895613195</v>
      </c>
      <c r="W2413">
        <v>0.94712801350500597</v>
      </c>
      <c r="X2413">
        <v>0</v>
      </c>
      <c r="Y2413">
        <v>0</v>
      </c>
    </row>
    <row r="2414" spans="1:25" x14ac:dyDescent="0.2">
      <c r="A2414" t="s">
        <v>9034</v>
      </c>
      <c r="B2414" t="s">
        <v>9035</v>
      </c>
      <c r="C2414" t="s">
        <v>9036</v>
      </c>
      <c r="D2414" t="s">
        <v>6999</v>
      </c>
      <c r="E2414" t="s">
        <v>9035</v>
      </c>
      <c r="F2414" t="s">
        <v>28</v>
      </c>
      <c r="G2414" t="s">
        <v>9035</v>
      </c>
      <c r="H2414" t="str">
        <f>"lys-4"</f>
        <v>lys-4</v>
      </c>
      <c r="I2414" t="s">
        <v>6999</v>
      </c>
      <c r="J2414">
        <v>15.5098076866211</v>
      </c>
      <c r="K2414">
        <v>15.0028937655728</v>
      </c>
      <c r="L2414">
        <v>15.240850343925899</v>
      </c>
      <c r="M2414">
        <v>14.350611534564701</v>
      </c>
      <c r="N2414">
        <v>15.1118459344376</v>
      </c>
      <c r="O2414">
        <v>15.0555921964982</v>
      </c>
      <c r="P2414">
        <v>-0.41183404353977199</v>
      </c>
      <c r="Q2414">
        <v>-1.0202987397849601</v>
      </c>
      <c r="R2414">
        <v>0.19663065270541999</v>
      </c>
      <c r="S2414">
        <v>15.2915444246383</v>
      </c>
      <c r="T2414">
        <v>-1.4286862731187999</v>
      </c>
      <c r="U2414">
        <v>-5.8731212829227299</v>
      </c>
      <c r="V2414">
        <v>0.17132198424066</v>
      </c>
      <c r="W2414">
        <v>0.774673320044722</v>
      </c>
      <c r="X2414">
        <v>0</v>
      </c>
      <c r="Y2414">
        <v>0</v>
      </c>
    </row>
    <row r="2415" spans="1:25" x14ac:dyDescent="0.2">
      <c r="A2415" t="s">
        <v>9037</v>
      </c>
      <c r="B2415" t="s">
        <v>9038</v>
      </c>
      <c r="C2415" t="s">
        <v>14484</v>
      </c>
      <c r="D2415" t="s">
        <v>9039</v>
      </c>
      <c r="E2415" t="s">
        <v>9038</v>
      </c>
      <c r="F2415" t="s">
        <v>28</v>
      </c>
      <c r="G2415" t="s">
        <v>9038</v>
      </c>
      <c r="H2415" t="str">
        <f>"F58B3.6"</f>
        <v>F58B3.6</v>
      </c>
      <c r="I2415" t="s">
        <v>9039</v>
      </c>
      <c r="J2415">
        <v>12.886762867759799</v>
      </c>
      <c r="K2415">
        <v>13.333328643312701</v>
      </c>
      <c r="L2415">
        <v>12.648284789562499</v>
      </c>
      <c r="M2415">
        <v>12.684520927668199</v>
      </c>
      <c r="N2415">
        <v>12.6943169626296</v>
      </c>
      <c r="O2415">
        <v>13.0841148236875</v>
      </c>
      <c r="P2415">
        <v>-0.13514119554992701</v>
      </c>
      <c r="Q2415">
        <v>-0.92851391578312403</v>
      </c>
      <c r="R2415">
        <v>0.65823152468326895</v>
      </c>
      <c r="S2415">
        <v>12.1959731339938</v>
      </c>
      <c r="T2415">
        <v>-0.361293395863936</v>
      </c>
      <c r="U2415">
        <v>-6.8141154621432296</v>
      </c>
      <c r="V2415">
        <v>0.72263752918121005</v>
      </c>
      <c r="W2415">
        <v>0.99057748145465696</v>
      </c>
      <c r="X2415">
        <v>0</v>
      </c>
      <c r="Y2415">
        <v>0</v>
      </c>
    </row>
    <row r="2416" spans="1:25" x14ac:dyDescent="0.2">
      <c r="A2416" t="s">
        <v>9040</v>
      </c>
      <c r="B2416" t="s">
        <v>9041</v>
      </c>
      <c r="C2416" t="s">
        <v>14485</v>
      </c>
      <c r="D2416" t="s">
        <v>8554</v>
      </c>
      <c r="E2416" t="s">
        <v>9041</v>
      </c>
      <c r="F2416" t="s">
        <v>28</v>
      </c>
      <c r="G2416" t="s">
        <v>9041</v>
      </c>
      <c r="H2416" t="str">
        <f>"F58B3.4"</f>
        <v>F58B3.4</v>
      </c>
      <c r="I2416" t="s">
        <v>8554</v>
      </c>
      <c r="J2416">
        <v>11.971657460970899</v>
      </c>
      <c r="K2416">
        <v>11.2401829802651</v>
      </c>
      <c r="L2416" t="s">
        <v>29</v>
      </c>
      <c r="M2416">
        <v>11.8535237267022</v>
      </c>
      <c r="N2416">
        <v>11.915270895647099</v>
      </c>
      <c r="O2416">
        <v>11.259277589473699</v>
      </c>
      <c r="P2416">
        <v>7.0103849989635605E-2</v>
      </c>
      <c r="Q2416">
        <v>-0.73978178994461696</v>
      </c>
      <c r="R2416">
        <v>0.87998948992388804</v>
      </c>
      <c r="S2416">
        <v>12.3573245372682</v>
      </c>
      <c r="T2416">
        <v>0.18461193597214201</v>
      </c>
      <c r="U2416">
        <v>-6.7542744261046401</v>
      </c>
      <c r="V2416">
        <v>0.85602347288459202</v>
      </c>
      <c r="W2416">
        <v>0.99370971747667503</v>
      </c>
      <c r="X2416">
        <v>0</v>
      </c>
      <c r="Y2416">
        <v>0</v>
      </c>
    </row>
    <row r="2417" spans="1:25" x14ac:dyDescent="0.2">
      <c r="A2417" t="s">
        <v>9042</v>
      </c>
      <c r="B2417" t="s">
        <v>9043</v>
      </c>
      <c r="C2417" t="s">
        <v>9044</v>
      </c>
      <c r="D2417" t="s">
        <v>9045</v>
      </c>
      <c r="E2417" t="s">
        <v>9043</v>
      </c>
      <c r="F2417" t="s">
        <v>28</v>
      </c>
      <c r="G2417" t="s">
        <v>9043</v>
      </c>
      <c r="H2417" t="str">
        <f>"mars-1"</f>
        <v>mars-1</v>
      </c>
      <c r="I2417" t="s">
        <v>9045</v>
      </c>
      <c r="J2417">
        <v>15.015552396095201</v>
      </c>
      <c r="K2417">
        <v>14.7209118723326</v>
      </c>
      <c r="L2417">
        <v>14.785523477118399</v>
      </c>
      <c r="M2417">
        <v>14.956826576985399</v>
      </c>
      <c r="N2417">
        <v>14.9210066393128</v>
      </c>
      <c r="O2417">
        <v>14.538977365438599</v>
      </c>
      <c r="P2417">
        <v>-3.5059054603136602E-2</v>
      </c>
      <c r="Q2417">
        <v>-0.43904983567175399</v>
      </c>
      <c r="R2417">
        <v>0.368931726465481</v>
      </c>
      <c r="S2417">
        <v>14.7252803967502</v>
      </c>
      <c r="T2417">
        <v>-0.182398498614605</v>
      </c>
      <c r="U2417">
        <v>-6.8651227782559703</v>
      </c>
      <c r="V2417">
        <v>0.85732039111943004</v>
      </c>
      <c r="W2417">
        <v>0.99370971747667503</v>
      </c>
      <c r="X2417">
        <v>0</v>
      </c>
      <c r="Y2417">
        <v>0</v>
      </c>
    </row>
    <row r="2418" spans="1:25" x14ac:dyDescent="0.2">
      <c r="A2418" t="s">
        <v>9046</v>
      </c>
      <c r="B2418" t="s">
        <v>9047</v>
      </c>
      <c r="C2418" t="s">
        <v>14486</v>
      </c>
      <c r="D2418" t="s">
        <v>3455</v>
      </c>
      <c r="E2418" t="s">
        <v>9047</v>
      </c>
      <c r="F2418" t="s">
        <v>28</v>
      </c>
      <c r="G2418" t="s">
        <v>9047</v>
      </c>
      <c r="H2418" t="str">
        <f>"F58B4.5"</f>
        <v>F58B4.5</v>
      </c>
      <c r="I2418" t="s">
        <v>3455</v>
      </c>
      <c r="J2418" t="s">
        <v>29</v>
      </c>
      <c r="K2418" t="s">
        <v>29</v>
      </c>
      <c r="L2418">
        <v>11.639677363391099</v>
      </c>
      <c r="M2418" t="s">
        <v>29</v>
      </c>
      <c r="N2418">
        <v>10.125406486829799</v>
      </c>
      <c r="O2418">
        <v>11.246239633830101</v>
      </c>
      <c r="P2418">
        <v>-0.95385430306113905</v>
      </c>
      <c r="Q2418">
        <v>-3.7758005668983499</v>
      </c>
      <c r="R2418">
        <v>1.86809196077607</v>
      </c>
      <c r="S2418">
        <v>10.7723865986517</v>
      </c>
      <c r="T2418">
        <v>-0.75422373296604295</v>
      </c>
      <c r="U2418">
        <v>-6.1860934403477099</v>
      </c>
      <c r="V2418">
        <v>0.46828362856407002</v>
      </c>
      <c r="W2418">
        <v>0.92978583625257705</v>
      </c>
      <c r="X2418">
        <v>0</v>
      </c>
      <c r="Y2418">
        <v>0</v>
      </c>
    </row>
    <row r="2419" spans="1:25" x14ac:dyDescent="0.2">
      <c r="A2419" t="s">
        <v>9048</v>
      </c>
      <c r="B2419" t="s">
        <v>9049</v>
      </c>
      <c r="C2419" t="s">
        <v>14487</v>
      </c>
      <c r="D2419" t="s">
        <v>9050</v>
      </c>
      <c r="E2419" t="s">
        <v>9049</v>
      </c>
      <c r="F2419" t="s">
        <v>28</v>
      </c>
      <c r="G2419" t="s">
        <v>9049</v>
      </c>
      <c r="H2419" t="str">
        <f>"F58F9.4"</f>
        <v>F58F9.4</v>
      </c>
      <c r="I2419" t="s">
        <v>9050</v>
      </c>
      <c r="J2419">
        <v>14.034977352058901</v>
      </c>
      <c r="K2419">
        <v>13.884689021789701</v>
      </c>
      <c r="L2419">
        <v>13.0132233344852</v>
      </c>
      <c r="M2419">
        <v>13.2293086209212</v>
      </c>
      <c r="N2419">
        <v>12.6389862688939</v>
      </c>
      <c r="O2419">
        <v>13.969686904045099</v>
      </c>
      <c r="P2419">
        <v>-0.36496930482455298</v>
      </c>
      <c r="Q2419">
        <v>-1.07244506920838</v>
      </c>
      <c r="R2419">
        <v>0.34250645955927</v>
      </c>
      <c r="S2419">
        <v>13.687337823325301</v>
      </c>
      <c r="T2419">
        <v>-1.09419393470808</v>
      </c>
      <c r="U2419">
        <v>-6.2755793892592404</v>
      </c>
      <c r="V2419">
        <v>0.29017471836561198</v>
      </c>
      <c r="W2419">
        <v>0.856190392347986</v>
      </c>
      <c r="X2419">
        <v>0</v>
      </c>
      <c r="Y2419">
        <v>0</v>
      </c>
    </row>
    <row r="2420" spans="1:25" x14ac:dyDescent="0.2">
      <c r="A2420" t="s">
        <v>9051</v>
      </c>
      <c r="B2420" t="s">
        <v>9052</v>
      </c>
      <c r="C2420" t="s">
        <v>14488</v>
      </c>
      <c r="D2420" t="s">
        <v>9053</v>
      </c>
      <c r="E2420" t="s">
        <v>9052</v>
      </c>
      <c r="F2420" t="s">
        <v>28</v>
      </c>
      <c r="G2420" t="s">
        <v>9052</v>
      </c>
      <c r="H2420" t="str">
        <f>"F58F9.3"</f>
        <v>F58F9.3</v>
      </c>
      <c r="I2420" t="s">
        <v>9053</v>
      </c>
      <c r="J2420">
        <v>13.813130683451099</v>
      </c>
      <c r="K2420">
        <v>13.953398230824</v>
      </c>
      <c r="L2420">
        <v>13.486637414334201</v>
      </c>
      <c r="M2420">
        <v>13.399830684281801</v>
      </c>
      <c r="N2420">
        <v>13.513806865019401</v>
      </c>
      <c r="O2420">
        <v>13.511729005968499</v>
      </c>
      <c r="P2420">
        <v>-0.275933257779851</v>
      </c>
      <c r="Q2420">
        <v>-0.64407121918922206</v>
      </c>
      <c r="R2420">
        <v>9.2204703629519699E-2</v>
      </c>
      <c r="S2420">
        <v>13.4846050182448</v>
      </c>
      <c r="T2420">
        <v>-1.58980176643134</v>
      </c>
      <c r="U2420">
        <v>-5.6497575902564501</v>
      </c>
      <c r="V2420">
        <v>0.131569496820343</v>
      </c>
      <c r="W2420">
        <v>0.72021766768664797</v>
      </c>
      <c r="X2420">
        <v>0</v>
      </c>
      <c r="Y2420">
        <v>0</v>
      </c>
    </row>
    <row r="2421" spans="1:25" x14ac:dyDescent="0.2">
      <c r="A2421" t="s">
        <v>9054</v>
      </c>
      <c r="B2421" t="s">
        <v>9055</v>
      </c>
      <c r="C2421" t="s">
        <v>9056</v>
      </c>
      <c r="D2421" t="s">
        <v>9057</v>
      </c>
      <c r="E2421" t="s">
        <v>9055</v>
      </c>
      <c r="F2421" t="s">
        <v>28</v>
      </c>
      <c r="G2421" t="s">
        <v>9055</v>
      </c>
      <c r="H2421" t="str">
        <f>"myo-5"</f>
        <v>myo-5</v>
      </c>
      <c r="I2421" t="s">
        <v>9057</v>
      </c>
      <c r="J2421">
        <v>14.4765402508375</v>
      </c>
      <c r="K2421">
        <v>14.3881813401913</v>
      </c>
      <c r="L2421">
        <v>13.894054249317</v>
      </c>
      <c r="M2421">
        <v>13.9096931796789</v>
      </c>
      <c r="N2421">
        <v>13.137834112750101</v>
      </c>
      <c r="O2421">
        <v>13.992118667906499</v>
      </c>
      <c r="P2421">
        <v>-0.57304329333679704</v>
      </c>
      <c r="Q2421">
        <v>-1.26394877098632</v>
      </c>
      <c r="R2421">
        <v>0.11786218431272499</v>
      </c>
      <c r="S2421">
        <v>13.710996730523201</v>
      </c>
      <c r="T2421">
        <v>-1.7432565728501599</v>
      </c>
      <c r="U2421">
        <v>-5.4171686215810997</v>
      </c>
      <c r="V2421">
        <v>9.8444458750086505E-2</v>
      </c>
      <c r="W2421">
        <v>0.65004594984184105</v>
      </c>
      <c r="X2421">
        <v>0</v>
      </c>
      <c r="Y2421">
        <v>0</v>
      </c>
    </row>
    <row r="2422" spans="1:25" x14ac:dyDescent="0.2">
      <c r="A2422" t="s">
        <v>9058</v>
      </c>
      <c r="B2422" t="s">
        <v>9059</v>
      </c>
      <c r="C2422" t="s">
        <v>9060</v>
      </c>
      <c r="D2422" t="s">
        <v>9061</v>
      </c>
      <c r="E2422" t="s">
        <v>9059</v>
      </c>
      <c r="F2422" t="s">
        <v>28</v>
      </c>
      <c r="G2422" t="s">
        <v>9059</v>
      </c>
      <c r="H2422" t="str">
        <f>"kin-29"</f>
        <v>kin-29</v>
      </c>
      <c r="I2422" t="s">
        <v>9061</v>
      </c>
      <c r="J2422">
        <v>13.405373966808201</v>
      </c>
      <c r="K2422">
        <v>13.0207204336304</v>
      </c>
      <c r="L2422">
        <v>13.0223940929574</v>
      </c>
      <c r="M2422">
        <v>13.3725654899444</v>
      </c>
      <c r="N2422">
        <v>13.7723211532423</v>
      </c>
      <c r="O2422">
        <v>13.502127949611101</v>
      </c>
      <c r="P2422">
        <v>0.39950869980057901</v>
      </c>
      <c r="Q2422">
        <v>-0.19598206085678199</v>
      </c>
      <c r="R2422">
        <v>0.99499946045794097</v>
      </c>
      <c r="S2422">
        <v>13.812011157397199</v>
      </c>
      <c r="T2422">
        <v>1.4161238158030001</v>
      </c>
      <c r="U2422">
        <v>-5.8898288053368404</v>
      </c>
      <c r="V2422">
        <v>0.17491179880846899</v>
      </c>
      <c r="W2422">
        <v>0.77568784401157198</v>
      </c>
      <c r="X2422">
        <v>0</v>
      </c>
      <c r="Y2422">
        <v>0</v>
      </c>
    </row>
    <row r="2423" spans="1:25" x14ac:dyDescent="0.2">
      <c r="A2423" t="s">
        <v>9062</v>
      </c>
      <c r="B2423" t="s">
        <v>9063</v>
      </c>
      <c r="C2423" t="s">
        <v>9064</v>
      </c>
      <c r="D2423" t="s">
        <v>9065</v>
      </c>
      <c r="E2423" t="s">
        <v>9063</v>
      </c>
      <c r="F2423" t="s">
        <v>28</v>
      </c>
      <c r="G2423" t="s">
        <v>9063</v>
      </c>
      <c r="H2423" t="str">
        <f>"cri-3"</f>
        <v>cri-3</v>
      </c>
      <c r="I2423" t="s">
        <v>9065</v>
      </c>
      <c r="J2423" t="s">
        <v>29</v>
      </c>
      <c r="K2423">
        <v>11.110050034855499</v>
      </c>
      <c r="L2423" t="s">
        <v>29</v>
      </c>
      <c r="M2423" t="s">
        <v>29</v>
      </c>
      <c r="N2423" t="s">
        <v>29</v>
      </c>
      <c r="O2423" t="s">
        <v>29</v>
      </c>
      <c r="P2423" t="s">
        <v>29</v>
      </c>
      <c r="Q2423" t="s">
        <v>29</v>
      </c>
      <c r="R2423" t="s">
        <v>29</v>
      </c>
      <c r="S2423">
        <v>11.2569160731178</v>
      </c>
      <c r="T2423" t="s">
        <v>29</v>
      </c>
      <c r="U2423" t="s">
        <v>29</v>
      </c>
      <c r="V2423" t="s">
        <v>29</v>
      </c>
      <c r="W2423" t="s">
        <v>29</v>
      </c>
      <c r="X2423" t="s">
        <v>29</v>
      </c>
      <c r="Y2423" t="s">
        <v>29</v>
      </c>
    </row>
    <row r="2424" spans="1:25" x14ac:dyDescent="0.2">
      <c r="A2424" t="s">
        <v>9066</v>
      </c>
      <c r="B2424" t="s">
        <v>9067</v>
      </c>
      <c r="C2424" t="s">
        <v>9068</v>
      </c>
      <c r="D2424" t="s">
        <v>2221</v>
      </c>
      <c r="E2424" t="s">
        <v>9067</v>
      </c>
      <c r="F2424" t="s">
        <v>28</v>
      </c>
      <c r="G2424" t="s">
        <v>9067</v>
      </c>
      <c r="H2424" t="str">
        <f>"citk-2"</f>
        <v>citk-2</v>
      </c>
      <c r="I2424" t="s">
        <v>2221</v>
      </c>
      <c r="J2424">
        <v>11.426367199090601</v>
      </c>
      <c r="K2424">
        <v>10.9591025715421</v>
      </c>
      <c r="L2424">
        <v>12.4637811924974</v>
      </c>
      <c r="M2424">
        <v>12.048587156130999</v>
      </c>
      <c r="N2424">
        <v>11.605824460735301</v>
      </c>
      <c r="O2424">
        <v>11.4147654145107</v>
      </c>
      <c r="P2424">
        <v>7.3308689415636494E-2</v>
      </c>
      <c r="Q2424">
        <v>-0.67698411553276105</v>
      </c>
      <c r="R2424">
        <v>0.82360149436403396</v>
      </c>
      <c r="S2424">
        <v>12.1885564254383</v>
      </c>
      <c r="T2424">
        <v>0.20624084854251601</v>
      </c>
      <c r="U2424">
        <v>-6.8602236534247103</v>
      </c>
      <c r="V2424">
        <v>0.83906766382609199</v>
      </c>
      <c r="W2424">
        <v>0.99370971747667503</v>
      </c>
      <c r="X2424">
        <v>0</v>
      </c>
      <c r="Y2424">
        <v>0</v>
      </c>
    </row>
    <row r="2425" spans="1:25" x14ac:dyDescent="0.2">
      <c r="A2425" t="s">
        <v>9069</v>
      </c>
      <c r="B2425" t="s">
        <v>9070</v>
      </c>
      <c r="C2425" t="s">
        <v>9071</v>
      </c>
      <c r="D2425" t="s">
        <v>9072</v>
      </c>
      <c r="E2425" t="s">
        <v>9070</v>
      </c>
      <c r="F2425" t="s">
        <v>28</v>
      </c>
      <c r="G2425" t="s">
        <v>9070</v>
      </c>
      <c r="H2425" t="str">
        <f>"nsy-1"</f>
        <v>nsy-1</v>
      </c>
      <c r="I2425" t="s">
        <v>9072</v>
      </c>
      <c r="J2425">
        <v>12.3405199119542</v>
      </c>
      <c r="K2425">
        <v>12.7070657086725</v>
      </c>
      <c r="L2425">
        <v>12.1667198725644</v>
      </c>
      <c r="M2425">
        <v>12.516419794412201</v>
      </c>
      <c r="N2425">
        <v>12.535246889957801</v>
      </c>
      <c r="O2425">
        <v>12.573691978942801</v>
      </c>
      <c r="P2425">
        <v>0.13701772337385301</v>
      </c>
      <c r="Q2425">
        <v>-0.32409386662216499</v>
      </c>
      <c r="R2425">
        <v>0.59812931336987196</v>
      </c>
      <c r="S2425">
        <v>12.527760537723699</v>
      </c>
      <c r="T2425">
        <v>0.63026071629771196</v>
      </c>
      <c r="U2425">
        <v>-6.6761507387991301</v>
      </c>
      <c r="V2425">
        <v>0.53748029845191203</v>
      </c>
      <c r="W2425">
        <v>0.94544152383096502</v>
      </c>
      <c r="X2425">
        <v>0</v>
      </c>
      <c r="Y2425">
        <v>0</v>
      </c>
    </row>
    <row r="2426" spans="1:25" x14ac:dyDescent="0.2">
      <c r="A2426" t="s">
        <v>9073</v>
      </c>
      <c r="B2426" t="s">
        <v>9074</v>
      </c>
      <c r="C2426" t="s">
        <v>9075</v>
      </c>
      <c r="D2426" t="s">
        <v>9076</v>
      </c>
      <c r="E2426" t="s">
        <v>9074</v>
      </c>
      <c r="F2426" t="s">
        <v>28</v>
      </c>
      <c r="G2426" t="s">
        <v>9074</v>
      </c>
      <c r="H2426" t="str">
        <f>"ver-3"</f>
        <v>ver-3</v>
      </c>
      <c r="I2426" t="s">
        <v>9076</v>
      </c>
      <c r="J2426">
        <v>12.604638631578901</v>
      </c>
      <c r="K2426" t="s">
        <v>29</v>
      </c>
      <c r="L2426">
        <v>12.8329625114684</v>
      </c>
      <c r="M2426" t="s">
        <v>29</v>
      </c>
      <c r="N2426">
        <v>11.803975846796501</v>
      </c>
      <c r="O2426">
        <v>12.966525587018801</v>
      </c>
      <c r="P2426">
        <v>-0.33354985461604197</v>
      </c>
      <c r="Q2426">
        <v>-2.0753530749385498</v>
      </c>
      <c r="R2426">
        <v>1.40825336570647</v>
      </c>
      <c r="S2426">
        <v>12.516312468939301</v>
      </c>
      <c r="T2426">
        <v>-0.41404630277874199</v>
      </c>
      <c r="U2426">
        <v>-6.5919925830560304</v>
      </c>
      <c r="V2426">
        <v>0.68564432757518501</v>
      </c>
      <c r="W2426">
        <v>0.98642420921484297</v>
      </c>
      <c r="X2426">
        <v>0</v>
      </c>
      <c r="Y2426">
        <v>0</v>
      </c>
    </row>
    <row r="2427" spans="1:25" x14ac:dyDescent="0.2">
      <c r="A2427" t="s">
        <v>9077</v>
      </c>
      <c r="B2427" t="s">
        <v>9078</v>
      </c>
      <c r="C2427" t="s">
        <v>9079</v>
      </c>
      <c r="D2427" t="s">
        <v>9080</v>
      </c>
      <c r="E2427" t="s">
        <v>9078</v>
      </c>
      <c r="F2427" t="s">
        <v>28</v>
      </c>
      <c r="G2427" t="s">
        <v>9078</v>
      </c>
      <c r="H2427" t="str">
        <f>"syd-2"</f>
        <v>syd-2</v>
      </c>
      <c r="I2427" t="s">
        <v>9080</v>
      </c>
      <c r="J2427">
        <v>12.5992400060242</v>
      </c>
      <c r="K2427">
        <v>12.9714965897561</v>
      </c>
      <c r="L2427">
        <v>12.8372113898091</v>
      </c>
      <c r="M2427">
        <v>12.677435146814799</v>
      </c>
      <c r="N2427">
        <v>13.0738829111319</v>
      </c>
      <c r="O2427">
        <v>12.481789529627401</v>
      </c>
      <c r="P2427">
        <v>-5.8280132671733001E-2</v>
      </c>
      <c r="Q2427">
        <v>-0.49161654105740399</v>
      </c>
      <c r="R2427">
        <v>0.37505627571393801</v>
      </c>
      <c r="S2427">
        <v>12.917177271042799</v>
      </c>
      <c r="T2427">
        <v>-0.28388690852383303</v>
      </c>
      <c r="U2427">
        <v>-6.8403500784828601</v>
      </c>
      <c r="V2427">
        <v>0.77994671464620202</v>
      </c>
      <c r="W2427">
        <v>0.99278624068726296</v>
      </c>
      <c r="X2427">
        <v>0</v>
      </c>
      <c r="Y2427">
        <v>0</v>
      </c>
    </row>
    <row r="2428" spans="1:25" x14ac:dyDescent="0.2">
      <c r="A2428" t="s">
        <v>9081</v>
      </c>
      <c r="B2428" t="s">
        <v>9082</v>
      </c>
      <c r="C2428" t="s">
        <v>9083</v>
      </c>
      <c r="D2428" t="s">
        <v>9084</v>
      </c>
      <c r="E2428" t="s">
        <v>9082</v>
      </c>
      <c r="F2428" t="s">
        <v>28</v>
      </c>
      <c r="G2428" t="s">
        <v>9082</v>
      </c>
      <c r="H2428" t="str">
        <f>"vps-35"</f>
        <v>vps-35</v>
      </c>
      <c r="I2428" t="s">
        <v>9084</v>
      </c>
      <c r="J2428">
        <v>16.854756615791299</v>
      </c>
      <c r="K2428">
        <v>16.5808652091836</v>
      </c>
      <c r="L2428">
        <v>16.875018436014201</v>
      </c>
      <c r="M2428">
        <v>16.874558999944899</v>
      </c>
      <c r="N2428">
        <v>16.629228255409501</v>
      </c>
      <c r="O2428">
        <v>16.505449233887798</v>
      </c>
      <c r="P2428">
        <v>-0.100467923915602</v>
      </c>
      <c r="Q2428">
        <v>-0.55080126012882602</v>
      </c>
      <c r="R2428">
        <v>0.34986541229762302</v>
      </c>
      <c r="S2428">
        <v>16.193274830972701</v>
      </c>
      <c r="T2428">
        <v>-0.46890605852142098</v>
      </c>
      <c r="U2428">
        <v>-6.7683136599043099</v>
      </c>
      <c r="V2428">
        <v>0.64479866220493098</v>
      </c>
      <c r="W2428">
        <v>0.97807199080128104</v>
      </c>
      <c r="X2428">
        <v>0</v>
      </c>
      <c r="Y2428">
        <v>0</v>
      </c>
    </row>
    <row r="2429" spans="1:25" x14ac:dyDescent="0.2">
      <c r="A2429" t="s">
        <v>9085</v>
      </c>
      <c r="B2429" t="s">
        <v>9086</v>
      </c>
      <c r="C2429" t="s">
        <v>9087</v>
      </c>
      <c r="D2429" t="s">
        <v>9088</v>
      </c>
      <c r="E2429" t="s">
        <v>9086</v>
      </c>
      <c r="F2429" t="s">
        <v>28</v>
      </c>
      <c r="G2429" t="s">
        <v>9086</v>
      </c>
      <c r="H2429" t="str">
        <f>"cgt-3"</f>
        <v>cgt-3</v>
      </c>
      <c r="I2429" t="s">
        <v>9088</v>
      </c>
      <c r="J2429" t="s">
        <v>29</v>
      </c>
      <c r="K2429" t="s">
        <v>29</v>
      </c>
      <c r="L2429" t="s">
        <v>29</v>
      </c>
      <c r="M2429" t="s">
        <v>29</v>
      </c>
      <c r="N2429">
        <v>10.314676613995999</v>
      </c>
      <c r="O2429">
        <v>10.0422941671809</v>
      </c>
      <c r="P2429" t="s">
        <v>29</v>
      </c>
      <c r="Q2429" t="s">
        <v>29</v>
      </c>
      <c r="R2429" t="s">
        <v>29</v>
      </c>
      <c r="S2429">
        <v>11.096263229088301</v>
      </c>
      <c r="T2429" t="s">
        <v>29</v>
      </c>
      <c r="U2429" t="s">
        <v>29</v>
      </c>
      <c r="V2429" t="s">
        <v>29</v>
      </c>
      <c r="W2429" t="s">
        <v>29</v>
      </c>
      <c r="X2429" t="s">
        <v>29</v>
      </c>
      <c r="Y2429" t="s">
        <v>29</v>
      </c>
    </row>
    <row r="2430" spans="1:25" x14ac:dyDescent="0.2">
      <c r="A2430" t="s">
        <v>9089</v>
      </c>
      <c r="B2430" t="s">
        <v>9090</v>
      </c>
      <c r="C2430" t="s">
        <v>9091</v>
      </c>
      <c r="D2430" t="s">
        <v>9092</v>
      </c>
      <c r="E2430" t="s">
        <v>9090</v>
      </c>
      <c r="F2430" t="s">
        <v>28</v>
      </c>
      <c r="G2430" t="s">
        <v>9090</v>
      </c>
      <c r="H2430" t="str">
        <f>"ifc-2"</f>
        <v>ifc-2</v>
      </c>
      <c r="I2430" t="s">
        <v>9092</v>
      </c>
      <c r="J2430">
        <v>16.155980106966702</v>
      </c>
      <c r="K2430">
        <v>16.6816530590993</v>
      </c>
      <c r="L2430">
        <v>18.343370997535398</v>
      </c>
      <c r="M2430">
        <v>16.217333568359798</v>
      </c>
      <c r="N2430">
        <v>16.500865212926399</v>
      </c>
      <c r="O2430">
        <v>16.776955589103199</v>
      </c>
      <c r="P2430">
        <v>-0.56194993107067903</v>
      </c>
      <c r="Q2430">
        <v>-1.7178242060490201</v>
      </c>
      <c r="R2430">
        <v>0.59392434390766502</v>
      </c>
      <c r="S2430">
        <v>17.033298035678499</v>
      </c>
      <c r="T2430">
        <v>-1.0218320897570701</v>
      </c>
      <c r="U2430">
        <v>-6.3524088250525796</v>
      </c>
      <c r="V2430">
        <v>0.320476612271831</v>
      </c>
      <c r="W2430">
        <v>0.86570305652650403</v>
      </c>
      <c r="X2430">
        <v>0</v>
      </c>
      <c r="Y2430">
        <v>0</v>
      </c>
    </row>
    <row r="2431" spans="1:25" x14ac:dyDescent="0.2">
      <c r="A2431" t="s">
        <v>9093</v>
      </c>
      <c r="B2431" t="s">
        <v>9094</v>
      </c>
      <c r="C2431" t="s">
        <v>9095</v>
      </c>
      <c r="D2431" t="s">
        <v>9096</v>
      </c>
      <c r="E2431" t="s">
        <v>9094</v>
      </c>
      <c r="F2431" t="s">
        <v>28</v>
      </c>
      <c r="G2431" t="s">
        <v>9094</v>
      </c>
      <c r="H2431" t="str">
        <f>"srdh-1"</f>
        <v>srdh-1</v>
      </c>
      <c r="I2431" t="s">
        <v>9096</v>
      </c>
      <c r="J2431">
        <v>15.780635064642601</v>
      </c>
      <c r="K2431">
        <v>15.7201130750675</v>
      </c>
      <c r="L2431">
        <v>15.874993707122</v>
      </c>
      <c r="M2431">
        <v>15.757349045223201</v>
      </c>
      <c r="N2431">
        <v>15.7113723232896</v>
      </c>
      <c r="O2431">
        <v>15.682542285047001</v>
      </c>
      <c r="P2431">
        <v>-7.4826064424081906E-2</v>
      </c>
      <c r="Q2431">
        <v>-0.46667457269296803</v>
      </c>
      <c r="R2431">
        <v>0.31702244384480399</v>
      </c>
      <c r="S2431">
        <v>15.425418734157599</v>
      </c>
      <c r="T2431">
        <v>-0.40135365183988497</v>
      </c>
      <c r="U2431">
        <v>-6.7987035330144403</v>
      </c>
      <c r="V2431">
        <v>0.69291202451480505</v>
      </c>
      <c r="W2431">
        <v>0.98642420921484297</v>
      </c>
      <c r="X2431">
        <v>0</v>
      </c>
      <c r="Y2431">
        <v>0</v>
      </c>
    </row>
    <row r="2432" spans="1:25" x14ac:dyDescent="0.2">
      <c r="A2432" t="s">
        <v>9097</v>
      </c>
      <c r="B2432" t="s">
        <v>9098</v>
      </c>
      <c r="C2432" t="s">
        <v>9099</v>
      </c>
      <c r="D2432" t="s">
        <v>9100</v>
      </c>
      <c r="E2432" t="s">
        <v>9098</v>
      </c>
      <c r="F2432" t="s">
        <v>28</v>
      </c>
      <c r="G2432" t="s">
        <v>9098</v>
      </c>
      <c r="H2432" t="str">
        <f>"nst-1"</f>
        <v>nst-1</v>
      </c>
      <c r="I2432" t="s">
        <v>9100</v>
      </c>
      <c r="J2432">
        <v>15.473744116138</v>
      </c>
      <c r="K2432">
        <v>15.5412682375524</v>
      </c>
      <c r="L2432">
        <v>15.815078929179901</v>
      </c>
      <c r="M2432">
        <v>15.805642721916</v>
      </c>
      <c r="N2432">
        <v>16.027816541232198</v>
      </c>
      <c r="O2432">
        <v>15.575508412467199</v>
      </c>
      <c r="P2432">
        <v>0.192958797581708</v>
      </c>
      <c r="Q2432">
        <v>-0.217637484025091</v>
      </c>
      <c r="R2432">
        <v>0.60355507918850704</v>
      </c>
      <c r="S2432">
        <v>15.9099614157468</v>
      </c>
      <c r="T2432">
        <v>0.98773873489305697</v>
      </c>
      <c r="U2432">
        <v>-6.3862747899208401</v>
      </c>
      <c r="V2432">
        <v>0.33644867114434901</v>
      </c>
      <c r="W2432">
        <v>0.87368774661315896</v>
      </c>
      <c r="X2432">
        <v>0</v>
      </c>
      <c r="Y2432">
        <v>0</v>
      </c>
    </row>
    <row r="2433" spans="1:25" x14ac:dyDescent="0.2">
      <c r="A2433" t="s">
        <v>9101</v>
      </c>
      <c r="B2433" t="s">
        <v>9102</v>
      </c>
      <c r="C2433" t="s">
        <v>9103</v>
      </c>
      <c r="D2433" t="s">
        <v>9104</v>
      </c>
      <c r="E2433" t="s">
        <v>9102</v>
      </c>
      <c r="F2433" t="s">
        <v>28</v>
      </c>
      <c r="G2433" t="s">
        <v>9102</v>
      </c>
      <c r="H2433" t="str">
        <f>"miga-1"</f>
        <v>miga-1</v>
      </c>
      <c r="I2433" t="s">
        <v>9104</v>
      </c>
      <c r="J2433">
        <v>13.578048898851501</v>
      </c>
      <c r="K2433">
        <v>13.0411173924733</v>
      </c>
      <c r="L2433">
        <v>13.065631915255199</v>
      </c>
      <c r="M2433">
        <v>13.8983983928204</v>
      </c>
      <c r="N2433">
        <v>13.0853746589301</v>
      </c>
      <c r="O2433">
        <v>12.7352856090756</v>
      </c>
      <c r="P2433">
        <v>1.14201514153578E-2</v>
      </c>
      <c r="Q2433">
        <v>-0.70301726248888996</v>
      </c>
      <c r="R2433">
        <v>0.72585756531960599</v>
      </c>
      <c r="S2433">
        <v>13.332670732174901</v>
      </c>
      <c r="T2433">
        <v>3.3740979459991702E-2</v>
      </c>
      <c r="U2433">
        <v>-6.8818928914646103</v>
      </c>
      <c r="V2433">
        <v>0.97347912430026595</v>
      </c>
      <c r="W2433">
        <v>0.99968702248720698</v>
      </c>
      <c r="X2433">
        <v>0</v>
      </c>
      <c r="Y2433">
        <v>0</v>
      </c>
    </row>
    <row r="2434" spans="1:25" x14ac:dyDescent="0.2">
      <c r="A2434" t="s">
        <v>9105</v>
      </c>
      <c r="B2434" t="s">
        <v>9106</v>
      </c>
      <c r="C2434" t="s">
        <v>14489</v>
      </c>
      <c r="D2434" t="s">
        <v>9107</v>
      </c>
      <c r="E2434" t="s">
        <v>9106</v>
      </c>
      <c r="F2434" t="s">
        <v>28</v>
      </c>
      <c r="G2434" t="s">
        <v>9106</v>
      </c>
      <c r="H2434" t="str">
        <f>"K01H12.4"</f>
        <v>K01H12.4</v>
      </c>
      <c r="I2434" t="s">
        <v>9107</v>
      </c>
      <c r="J2434">
        <v>15.1453549684376</v>
      </c>
      <c r="K2434">
        <v>13.6482146011941</v>
      </c>
      <c r="L2434">
        <v>14.820287197073901</v>
      </c>
      <c r="M2434">
        <v>15.3845244754067</v>
      </c>
      <c r="N2434">
        <v>15.7499975279749</v>
      </c>
      <c r="O2434">
        <v>13.9940461872666</v>
      </c>
      <c r="P2434">
        <v>0.50490380798089496</v>
      </c>
      <c r="Q2434">
        <v>-0.76944737597096702</v>
      </c>
      <c r="R2434">
        <v>1.77925499193276</v>
      </c>
      <c r="S2434">
        <v>14.1183098214706</v>
      </c>
      <c r="T2434">
        <v>0.83631431878561602</v>
      </c>
      <c r="U2434">
        <v>-6.5233593647560504</v>
      </c>
      <c r="V2434">
        <v>0.41465054977112498</v>
      </c>
      <c r="W2434">
        <v>0.91512503332874395</v>
      </c>
      <c r="X2434">
        <v>0</v>
      </c>
      <c r="Y2434">
        <v>0</v>
      </c>
    </row>
    <row r="2435" spans="1:25" x14ac:dyDescent="0.2">
      <c r="A2435" t="s">
        <v>9108</v>
      </c>
      <c r="B2435" t="s">
        <v>9109</v>
      </c>
      <c r="C2435" t="s">
        <v>9110</v>
      </c>
      <c r="D2435" t="s">
        <v>9111</v>
      </c>
      <c r="E2435" t="s">
        <v>9109</v>
      </c>
      <c r="F2435" t="s">
        <v>28</v>
      </c>
      <c r="G2435" t="s">
        <v>9109</v>
      </c>
      <c r="H2435" t="str">
        <f>"dcaf-1"</f>
        <v>dcaf-1</v>
      </c>
      <c r="I2435" t="s">
        <v>9111</v>
      </c>
      <c r="J2435">
        <v>12.190277099803801</v>
      </c>
      <c r="K2435">
        <v>12.647840169494</v>
      </c>
      <c r="L2435">
        <v>12.356715725822401</v>
      </c>
      <c r="M2435">
        <v>12.154295321361399</v>
      </c>
      <c r="N2435">
        <v>12.294208295470501</v>
      </c>
      <c r="O2435">
        <v>12.076098845874199</v>
      </c>
      <c r="P2435">
        <v>-0.22341017747137401</v>
      </c>
      <c r="Q2435">
        <v>-0.72149164213107597</v>
      </c>
      <c r="R2435">
        <v>0.27467128718832801</v>
      </c>
      <c r="S2435">
        <v>12.6778258702924</v>
      </c>
      <c r="T2435">
        <v>-0.94678765429112799</v>
      </c>
      <c r="U2435">
        <v>-6.4248156946027803</v>
      </c>
      <c r="V2435">
        <v>0.35709291937749099</v>
      </c>
      <c r="W2435">
        <v>0.88269106754885296</v>
      </c>
      <c r="X2435">
        <v>0</v>
      </c>
      <c r="Y2435">
        <v>0</v>
      </c>
    </row>
    <row r="2436" spans="1:25" x14ac:dyDescent="0.2">
      <c r="A2436" t="s">
        <v>9112</v>
      </c>
      <c r="B2436" t="s">
        <v>9113</v>
      </c>
      <c r="C2436" t="s">
        <v>9114</v>
      </c>
      <c r="D2436" t="s">
        <v>534</v>
      </c>
      <c r="E2436" t="s">
        <v>9113</v>
      </c>
      <c r="F2436" t="s">
        <v>28</v>
      </c>
      <c r="G2436" t="s">
        <v>9113</v>
      </c>
      <c r="H2436" t="str">
        <f>"sec-12"</f>
        <v>sec-12</v>
      </c>
      <c r="I2436" t="s">
        <v>534</v>
      </c>
      <c r="J2436">
        <v>14.284891616365901</v>
      </c>
      <c r="K2436">
        <v>14.0303505346408</v>
      </c>
      <c r="L2436">
        <v>14.018187044885201</v>
      </c>
      <c r="M2436">
        <v>14.3005970774639</v>
      </c>
      <c r="N2436">
        <v>14.279887630294001</v>
      </c>
      <c r="O2436">
        <v>14.3064307319792</v>
      </c>
      <c r="P2436">
        <v>0.18449541461507499</v>
      </c>
      <c r="Q2436">
        <v>-0.14801801099621001</v>
      </c>
      <c r="R2436">
        <v>0.51700884022635896</v>
      </c>
      <c r="S2436">
        <v>14.0565443305244</v>
      </c>
      <c r="T2436">
        <v>1.17118743608396</v>
      </c>
      <c r="U2436">
        <v>-6.1915252463452504</v>
      </c>
      <c r="V2436">
        <v>0.25777702973023098</v>
      </c>
      <c r="W2436">
        <v>0.83706879678059698</v>
      </c>
      <c r="X2436">
        <v>0</v>
      </c>
      <c r="Y2436">
        <v>0</v>
      </c>
    </row>
    <row r="2437" spans="1:25" x14ac:dyDescent="0.2">
      <c r="A2437" t="s">
        <v>9115</v>
      </c>
      <c r="B2437" t="s">
        <v>9116</v>
      </c>
      <c r="C2437" t="s">
        <v>9117</v>
      </c>
      <c r="D2437" t="s">
        <v>9118</v>
      </c>
      <c r="E2437" t="s">
        <v>9116</v>
      </c>
      <c r="F2437" t="s">
        <v>28</v>
      </c>
      <c r="G2437" t="s">
        <v>9116</v>
      </c>
      <c r="H2437" t="str">
        <f>"mcu-1"</f>
        <v>mcu-1</v>
      </c>
      <c r="I2437" t="s">
        <v>9118</v>
      </c>
      <c r="J2437">
        <v>13.0897370391923</v>
      </c>
      <c r="K2437">
        <v>13.282596452648599</v>
      </c>
      <c r="L2437">
        <v>13.156643870766001</v>
      </c>
      <c r="M2437">
        <v>12.9457939458156</v>
      </c>
      <c r="N2437">
        <v>12.818682161041901</v>
      </c>
      <c r="O2437">
        <v>13.0461632071686</v>
      </c>
      <c r="P2437">
        <v>-0.23944601619360001</v>
      </c>
      <c r="Q2437">
        <v>-0.92811904836422898</v>
      </c>
      <c r="R2437">
        <v>0.44922701597702902</v>
      </c>
      <c r="S2437">
        <v>12.774532586817999</v>
      </c>
      <c r="T2437">
        <v>-0.73078067169305305</v>
      </c>
      <c r="U2437">
        <v>-6.6075791286178696</v>
      </c>
      <c r="V2437">
        <v>0.474373388390255</v>
      </c>
      <c r="W2437">
        <v>0.93359824752381304</v>
      </c>
      <c r="X2437">
        <v>0</v>
      </c>
      <c r="Y2437">
        <v>0</v>
      </c>
    </row>
    <row r="2438" spans="1:25" x14ac:dyDescent="0.2">
      <c r="A2438" t="s">
        <v>9119</v>
      </c>
      <c r="B2438" t="s">
        <v>9120</v>
      </c>
      <c r="C2438" t="s">
        <v>9121</v>
      </c>
      <c r="D2438" t="s">
        <v>9122</v>
      </c>
      <c r="E2438" t="s">
        <v>9120</v>
      </c>
      <c r="F2438" t="s">
        <v>28</v>
      </c>
      <c r="G2438" t="s">
        <v>9120</v>
      </c>
      <c r="H2438" t="str">
        <f>"K02F3.2"</f>
        <v>K02F3.2</v>
      </c>
      <c r="I2438" t="s">
        <v>9122</v>
      </c>
      <c r="J2438">
        <v>16.158707511814601</v>
      </c>
      <c r="K2438">
        <v>15.948988562567299</v>
      </c>
      <c r="L2438">
        <v>15.754782348686501</v>
      </c>
      <c r="M2438">
        <v>15.8044963314277</v>
      </c>
      <c r="N2438">
        <v>15.634258707261299</v>
      </c>
      <c r="O2438">
        <v>15.7710742337658</v>
      </c>
      <c r="P2438">
        <v>-0.217549716871206</v>
      </c>
      <c r="Q2438">
        <v>-0.61880753634460495</v>
      </c>
      <c r="R2438">
        <v>0.183708102602193</v>
      </c>
      <c r="S2438">
        <v>15.4413468335764</v>
      </c>
      <c r="T2438">
        <v>-1.1395346275076299</v>
      </c>
      <c r="U2438">
        <v>-6.2277344922542399</v>
      </c>
      <c r="V2438">
        <v>0.26950436429524199</v>
      </c>
      <c r="W2438">
        <v>0.856190392347986</v>
      </c>
      <c r="X2438">
        <v>0</v>
      </c>
      <c r="Y2438">
        <v>0</v>
      </c>
    </row>
    <row r="2439" spans="1:25" x14ac:dyDescent="0.2">
      <c r="A2439" t="s">
        <v>9123</v>
      </c>
      <c r="B2439" t="s">
        <v>9124</v>
      </c>
      <c r="C2439" t="s">
        <v>9125</v>
      </c>
      <c r="D2439" t="s">
        <v>9126</v>
      </c>
      <c r="E2439" t="s">
        <v>9124</v>
      </c>
      <c r="F2439" t="s">
        <v>28</v>
      </c>
      <c r="G2439" t="s">
        <v>9124</v>
      </c>
      <c r="H2439" t="str">
        <f>"moma-1"</f>
        <v>moma-1</v>
      </c>
      <c r="I2439" t="s">
        <v>9126</v>
      </c>
      <c r="J2439">
        <v>13.7423670968879</v>
      </c>
      <c r="K2439">
        <v>13.181106529944101</v>
      </c>
      <c r="L2439">
        <v>13.532044455687499</v>
      </c>
      <c r="M2439">
        <v>13.593673800387901</v>
      </c>
      <c r="N2439">
        <v>13.517198634385799</v>
      </c>
      <c r="O2439">
        <v>13.3359646443507</v>
      </c>
      <c r="P2439">
        <v>-2.8936677983661999E-3</v>
      </c>
      <c r="Q2439">
        <v>-0.88567488421987695</v>
      </c>
      <c r="R2439">
        <v>0.879887548623145</v>
      </c>
      <c r="S2439">
        <v>13.4613438513063</v>
      </c>
      <c r="T2439">
        <v>-6.9190361665611598E-3</v>
      </c>
      <c r="U2439">
        <v>-6.8824644825162302</v>
      </c>
      <c r="V2439">
        <v>0.99456049503274002</v>
      </c>
      <c r="W2439">
        <v>0.99968702248720698</v>
      </c>
      <c r="X2439">
        <v>0</v>
      </c>
      <c r="Y2439">
        <v>0</v>
      </c>
    </row>
    <row r="2440" spans="1:25" x14ac:dyDescent="0.2">
      <c r="A2440" t="s">
        <v>9127</v>
      </c>
      <c r="B2440" t="s">
        <v>9128</v>
      </c>
      <c r="C2440" t="s">
        <v>9129</v>
      </c>
      <c r="D2440" t="s">
        <v>93</v>
      </c>
      <c r="E2440" t="s">
        <v>9128</v>
      </c>
      <c r="F2440" t="s">
        <v>28</v>
      </c>
      <c r="G2440" t="s">
        <v>9128</v>
      </c>
      <c r="H2440" t="str">
        <f>"rnp-5"</f>
        <v>rnp-5</v>
      </c>
      <c r="I2440" t="s">
        <v>93</v>
      </c>
      <c r="J2440">
        <v>14.741313997230501</v>
      </c>
      <c r="K2440">
        <v>15.494328709533599</v>
      </c>
      <c r="L2440">
        <v>15.2317725626182</v>
      </c>
      <c r="M2440">
        <v>14.6155819038643</v>
      </c>
      <c r="N2440">
        <v>14.530905487827001</v>
      </c>
      <c r="O2440">
        <v>15.1385816107778</v>
      </c>
      <c r="P2440">
        <v>-0.39411542230438601</v>
      </c>
      <c r="Q2440">
        <v>-1.2208975410756899</v>
      </c>
      <c r="R2440">
        <v>0.43266669646692202</v>
      </c>
      <c r="S2440">
        <v>15.716896017194101</v>
      </c>
      <c r="T2440">
        <v>-1.0019011326215099</v>
      </c>
      <c r="U2440">
        <v>-6.3723313526360403</v>
      </c>
      <c r="V2440">
        <v>0.329747463995335</v>
      </c>
      <c r="W2440">
        <v>0.87233669330403496</v>
      </c>
      <c r="X2440">
        <v>0</v>
      </c>
      <c r="Y2440">
        <v>0</v>
      </c>
    </row>
    <row r="2441" spans="1:25" x14ac:dyDescent="0.2">
      <c r="A2441" t="s">
        <v>9130</v>
      </c>
      <c r="B2441" t="s">
        <v>9131</v>
      </c>
      <c r="C2441" t="s">
        <v>9132</v>
      </c>
      <c r="D2441" t="s">
        <v>9133</v>
      </c>
      <c r="E2441" t="s">
        <v>9131</v>
      </c>
      <c r="F2441" t="s">
        <v>28</v>
      </c>
      <c r="G2441" t="s">
        <v>9131</v>
      </c>
      <c r="H2441" t="str">
        <f>"dhhc-10"</f>
        <v>dhhc-10</v>
      </c>
      <c r="I2441" t="s">
        <v>9133</v>
      </c>
      <c r="J2441">
        <v>13.1452407887876</v>
      </c>
      <c r="K2441">
        <v>13.2398491594808</v>
      </c>
      <c r="L2441">
        <v>13.202881308368701</v>
      </c>
      <c r="M2441">
        <v>12.998501751651</v>
      </c>
      <c r="N2441">
        <v>13.055593491031299</v>
      </c>
      <c r="O2441">
        <v>13.189202967035</v>
      </c>
      <c r="P2441">
        <v>-0.114891015639897</v>
      </c>
      <c r="Q2441">
        <v>-0.58052347867411402</v>
      </c>
      <c r="R2441">
        <v>0.350741447394321</v>
      </c>
      <c r="S2441">
        <v>13.0866731246002</v>
      </c>
      <c r="T2441">
        <v>-0.52335014344339503</v>
      </c>
      <c r="U2441">
        <v>-6.7396665426972202</v>
      </c>
      <c r="V2441">
        <v>0.60795029102562304</v>
      </c>
      <c r="W2441">
        <v>0.97103528123305605</v>
      </c>
      <c r="X2441">
        <v>0</v>
      </c>
      <c r="Y2441">
        <v>0</v>
      </c>
    </row>
    <row r="2442" spans="1:25" x14ac:dyDescent="0.2">
      <c r="A2442" t="s">
        <v>9134</v>
      </c>
      <c r="B2442" t="s">
        <v>9135</v>
      </c>
      <c r="C2442" t="s">
        <v>9136</v>
      </c>
      <c r="D2442" t="s">
        <v>9137</v>
      </c>
      <c r="E2442" t="s">
        <v>9135</v>
      </c>
      <c r="F2442" t="s">
        <v>28</v>
      </c>
      <c r="G2442" t="s">
        <v>9135</v>
      </c>
      <c r="H2442" t="str">
        <f>"sur-5"</f>
        <v>sur-5</v>
      </c>
      <c r="I2442" t="s">
        <v>9137</v>
      </c>
      <c r="J2442">
        <v>14.117112843562699</v>
      </c>
      <c r="K2442">
        <v>14.2893450397363</v>
      </c>
      <c r="L2442">
        <v>14.319272303921901</v>
      </c>
      <c r="M2442">
        <v>14.583468214099801</v>
      </c>
      <c r="N2442">
        <v>14.8178603711461</v>
      </c>
      <c r="O2442">
        <v>14.1887248004806</v>
      </c>
      <c r="P2442">
        <v>0.28810773283521302</v>
      </c>
      <c r="Q2442">
        <v>-0.30761042721847298</v>
      </c>
      <c r="R2442">
        <v>0.88382589288889901</v>
      </c>
      <c r="S2442">
        <v>14.8800150333691</v>
      </c>
      <c r="T2442">
        <v>1.02085506672724</v>
      </c>
      <c r="U2442">
        <v>-6.3526160624078196</v>
      </c>
      <c r="V2442">
        <v>0.32171945090654702</v>
      </c>
      <c r="W2442">
        <v>0.86694925717974802</v>
      </c>
      <c r="X2442">
        <v>0</v>
      </c>
      <c r="Y2442">
        <v>0</v>
      </c>
    </row>
    <row r="2443" spans="1:25" x14ac:dyDescent="0.2">
      <c r="A2443" t="s">
        <v>9138</v>
      </c>
      <c r="B2443" t="s">
        <v>9139</v>
      </c>
      <c r="C2443" t="s">
        <v>14490</v>
      </c>
      <c r="D2443" t="s">
        <v>9140</v>
      </c>
      <c r="E2443" t="s">
        <v>9139</v>
      </c>
      <c r="F2443" t="s">
        <v>28</v>
      </c>
      <c r="G2443" t="s">
        <v>9139</v>
      </c>
      <c r="H2443" t="str">
        <f>"K03B4.1"</f>
        <v>K03B4.1</v>
      </c>
      <c r="I2443" t="s">
        <v>9140</v>
      </c>
      <c r="J2443">
        <v>12.3308395771998</v>
      </c>
      <c r="K2443">
        <v>12.587841530921599</v>
      </c>
      <c r="L2443">
        <v>12.7571335308514</v>
      </c>
      <c r="M2443">
        <v>12.4064055538592</v>
      </c>
      <c r="N2443">
        <v>12.645767337543701</v>
      </c>
      <c r="O2443">
        <v>11.9344426948359</v>
      </c>
      <c r="P2443">
        <v>-0.22973301757801301</v>
      </c>
      <c r="Q2443">
        <v>-0.80969386738611604</v>
      </c>
      <c r="R2443">
        <v>0.35022783223009002</v>
      </c>
      <c r="S2443">
        <v>12.579278988478199</v>
      </c>
      <c r="T2443">
        <v>-0.83613182268771002</v>
      </c>
      <c r="U2443">
        <v>-6.5235129150097597</v>
      </c>
      <c r="V2443">
        <v>0.41475036078036798</v>
      </c>
      <c r="W2443">
        <v>0.91512503332874395</v>
      </c>
      <c r="X2443">
        <v>0</v>
      </c>
      <c r="Y2443">
        <v>0</v>
      </c>
    </row>
    <row r="2444" spans="1:25" x14ac:dyDescent="0.2">
      <c r="A2444" t="s">
        <v>9141</v>
      </c>
      <c r="B2444" t="s">
        <v>9142</v>
      </c>
      <c r="C2444" t="s">
        <v>14491</v>
      </c>
      <c r="D2444" t="s">
        <v>368</v>
      </c>
      <c r="E2444" t="s">
        <v>9142</v>
      </c>
      <c r="F2444" t="s">
        <v>28</v>
      </c>
      <c r="G2444" t="s">
        <v>9142</v>
      </c>
      <c r="H2444" t="str">
        <f>"K03B8.6"</f>
        <v>K03B8.6</v>
      </c>
      <c r="I2444" t="s">
        <v>368</v>
      </c>
      <c r="J2444">
        <v>15.262843720087901</v>
      </c>
      <c r="K2444">
        <v>15.436486517431399</v>
      </c>
      <c r="L2444">
        <v>14.7944310051199</v>
      </c>
      <c r="M2444">
        <v>14.778481243454801</v>
      </c>
      <c r="N2444">
        <v>14.471036713884599</v>
      </c>
      <c r="O2444">
        <v>14.993266437211201</v>
      </c>
      <c r="P2444">
        <v>-0.41699228269622401</v>
      </c>
      <c r="Q2444">
        <v>-0.89141453364741396</v>
      </c>
      <c r="R2444">
        <v>5.7429968254964998E-2</v>
      </c>
      <c r="S2444">
        <v>14.3371028837245</v>
      </c>
      <c r="T2444">
        <v>-1.84737678143461</v>
      </c>
      <c r="U2444">
        <v>-5.2519663247978698</v>
      </c>
      <c r="V2444">
        <v>8.1293476632997297E-2</v>
      </c>
      <c r="W2444">
        <v>0.60425905304272798</v>
      </c>
      <c r="X2444">
        <v>0</v>
      </c>
      <c r="Y2444">
        <v>0</v>
      </c>
    </row>
    <row r="2445" spans="1:25" x14ac:dyDescent="0.2">
      <c r="A2445" t="s">
        <v>9143</v>
      </c>
      <c r="B2445" t="s">
        <v>9144</v>
      </c>
      <c r="C2445" t="s">
        <v>9145</v>
      </c>
      <c r="D2445" t="s">
        <v>9146</v>
      </c>
      <c r="E2445" t="s">
        <v>9144</v>
      </c>
      <c r="F2445" t="s">
        <v>28</v>
      </c>
      <c r="G2445" t="s">
        <v>9144</v>
      </c>
      <c r="H2445" t="str">
        <f>"unc-1"</f>
        <v>unc-1</v>
      </c>
      <c r="I2445" t="s">
        <v>9146</v>
      </c>
      <c r="J2445">
        <v>14.6011660210117</v>
      </c>
      <c r="K2445">
        <v>14.555738238675101</v>
      </c>
      <c r="L2445">
        <v>14.0629289436439</v>
      </c>
      <c r="M2445">
        <v>14.543206955173799</v>
      </c>
      <c r="N2445">
        <v>13.8379598063025</v>
      </c>
      <c r="O2445">
        <v>14.358190646648101</v>
      </c>
      <c r="P2445">
        <v>-0.160158598402102</v>
      </c>
      <c r="Q2445">
        <v>-0.66277145442354302</v>
      </c>
      <c r="R2445">
        <v>0.34245425761933901</v>
      </c>
      <c r="S2445">
        <v>13.6677004327777</v>
      </c>
      <c r="T2445">
        <v>-0.67261520352595705</v>
      </c>
      <c r="U2445">
        <v>-6.6485165020141999</v>
      </c>
      <c r="V2445">
        <v>0.51028759445096805</v>
      </c>
      <c r="W2445">
        <v>0.94063089722665905</v>
      </c>
      <c r="X2445">
        <v>0</v>
      </c>
      <c r="Y2445">
        <v>0</v>
      </c>
    </row>
    <row r="2446" spans="1:25" x14ac:dyDescent="0.2">
      <c r="A2446" t="s">
        <v>9147</v>
      </c>
      <c r="B2446" t="s">
        <v>9148</v>
      </c>
      <c r="C2446" t="s">
        <v>9149</v>
      </c>
      <c r="D2446" t="s">
        <v>9150</v>
      </c>
      <c r="E2446" t="s">
        <v>9148</v>
      </c>
      <c r="F2446" t="s">
        <v>28</v>
      </c>
      <c r="G2446" t="s">
        <v>9148</v>
      </c>
      <c r="H2446" t="str">
        <f>"pfn-3"</f>
        <v>pfn-3</v>
      </c>
      <c r="I2446" t="s">
        <v>9150</v>
      </c>
      <c r="J2446">
        <v>14.1997093252116</v>
      </c>
      <c r="K2446">
        <v>14.177648375351501</v>
      </c>
      <c r="L2446">
        <v>13.814993769643801</v>
      </c>
      <c r="M2446">
        <v>14.163594459649699</v>
      </c>
      <c r="N2446">
        <v>14.2362346706884</v>
      </c>
      <c r="O2446">
        <v>14.408710290767001</v>
      </c>
      <c r="P2446">
        <v>0.20539598363268</v>
      </c>
      <c r="Q2446">
        <v>-0.33026042257642402</v>
      </c>
      <c r="R2446">
        <v>0.74105238984178501</v>
      </c>
      <c r="S2446">
        <v>14.0808469685311</v>
      </c>
      <c r="T2446">
        <v>0.80593154889131502</v>
      </c>
      <c r="U2446">
        <v>-6.54918957627961</v>
      </c>
      <c r="V2446">
        <v>0.43086240782765001</v>
      </c>
      <c r="W2446">
        <v>0.91512503332874395</v>
      </c>
      <c r="X2446">
        <v>0</v>
      </c>
      <c r="Y2446">
        <v>0</v>
      </c>
    </row>
    <row r="2447" spans="1:25" x14ac:dyDescent="0.2">
      <c r="A2447" t="s">
        <v>9151</v>
      </c>
      <c r="B2447" t="s">
        <v>9152</v>
      </c>
      <c r="C2447" t="s">
        <v>14492</v>
      </c>
      <c r="D2447" t="s">
        <v>9153</v>
      </c>
      <c r="E2447" t="s">
        <v>9152</v>
      </c>
      <c r="F2447" t="s">
        <v>28</v>
      </c>
      <c r="G2447" t="s">
        <v>9152</v>
      </c>
      <c r="H2447" t="str">
        <f>"K04C2.2"</f>
        <v>K04C2.2</v>
      </c>
      <c r="I2447" t="s">
        <v>9153</v>
      </c>
      <c r="J2447">
        <v>14.759956855812501</v>
      </c>
      <c r="K2447">
        <v>14.726547432942199</v>
      </c>
      <c r="L2447">
        <v>14.9265936295517</v>
      </c>
      <c r="M2447">
        <v>15.210733497049199</v>
      </c>
      <c r="N2447">
        <v>15.075650195188601</v>
      </c>
      <c r="O2447">
        <v>14.8716545892373</v>
      </c>
      <c r="P2447">
        <v>0.24831345438958299</v>
      </c>
      <c r="Q2447">
        <v>-0.12725065784721301</v>
      </c>
      <c r="R2447">
        <v>0.62387756662638005</v>
      </c>
      <c r="S2447">
        <v>15.2512215979682</v>
      </c>
      <c r="T2447">
        <v>1.3956167689288199</v>
      </c>
      <c r="U2447">
        <v>-5.9168527337709804</v>
      </c>
      <c r="V2447">
        <v>0.18090312290904001</v>
      </c>
      <c r="W2447">
        <v>0.78295732499061499</v>
      </c>
      <c r="X2447">
        <v>0</v>
      </c>
      <c r="Y2447">
        <v>0</v>
      </c>
    </row>
    <row r="2448" spans="1:25" x14ac:dyDescent="0.2">
      <c r="A2448" t="s">
        <v>9154</v>
      </c>
      <c r="B2448" t="s">
        <v>9155</v>
      </c>
      <c r="C2448" t="s">
        <v>9156</v>
      </c>
      <c r="D2448" t="s">
        <v>9157</v>
      </c>
      <c r="E2448" t="s">
        <v>9155</v>
      </c>
      <c r="F2448" t="s">
        <v>28</v>
      </c>
      <c r="G2448" t="s">
        <v>9155</v>
      </c>
      <c r="H2448" t="str">
        <f>"rack-1"</f>
        <v>rack-1</v>
      </c>
      <c r="I2448" t="s">
        <v>9157</v>
      </c>
      <c r="J2448">
        <v>20.127065093132298</v>
      </c>
      <c r="K2448">
        <v>20.355345803601999</v>
      </c>
      <c r="L2448">
        <v>20.344139839899299</v>
      </c>
      <c r="M2448">
        <v>19.9144184591479</v>
      </c>
      <c r="N2448">
        <v>19.804798979990501</v>
      </c>
      <c r="O2448">
        <v>20.541868686598001</v>
      </c>
      <c r="P2448">
        <v>-0.18848820363236701</v>
      </c>
      <c r="Q2448">
        <v>-0.71202081337330403</v>
      </c>
      <c r="R2448">
        <v>0.33504440610857</v>
      </c>
      <c r="S2448">
        <v>19.804940523496199</v>
      </c>
      <c r="T2448">
        <v>-0.75671605867954905</v>
      </c>
      <c r="U2448">
        <v>-6.5880325866766896</v>
      </c>
      <c r="V2448">
        <v>0.45906762623937902</v>
      </c>
      <c r="W2448">
        <v>0.92799154546826901</v>
      </c>
      <c r="X2448">
        <v>0</v>
      </c>
      <c r="Y2448">
        <v>0</v>
      </c>
    </row>
    <row r="2449" spans="1:25" x14ac:dyDescent="0.2">
      <c r="A2449" t="s">
        <v>9158</v>
      </c>
      <c r="B2449" t="s">
        <v>9159</v>
      </c>
      <c r="C2449" t="s">
        <v>9160</v>
      </c>
      <c r="D2449" t="s">
        <v>9161</v>
      </c>
      <c r="E2449" t="s">
        <v>9159</v>
      </c>
      <c r="F2449" t="s">
        <v>28</v>
      </c>
      <c r="G2449" t="s">
        <v>9159</v>
      </c>
      <c r="H2449" t="str">
        <f>"gta-1"</f>
        <v>gta-1</v>
      </c>
      <c r="I2449" t="s">
        <v>9161</v>
      </c>
      <c r="J2449">
        <v>12.344997992928599</v>
      </c>
      <c r="K2449">
        <v>12.6375616430135</v>
      </c>
      <c r="L2449">
        <v>12.764134528003201</v>
      </c>
      <c r="M2449">
        <v>12.2275763218215</v>
      </c>
      <c r="N2449">
        <v>12.5414858541121</v>
      </c>
      <c r="O2449">
        <v>12.196468702351501</v>
      </c>
      <c r="P2449">
        <v>-0.26038776188673701</v>
      </c>
      <c r="Q2449">
        <v>-0.81109085354649302</v>
      </c>
      <c r="R2449">
        <v>0.29031532977301999</v>
      </c>
      <c r="S2449">
        <v>12.8014554957581</v>
      </c>
      <c r="T2449">
        <v>-0.99379216219460298</v>
      </c>
      <c r="U2449">
        <v>-6.3803366716489602</v>
      </c>
      <c r="V2449">
        <v>0.33357281750921203</v>
      </c>
      <c r="W2449">
        <v>0.87368774661315896</v>
      </c>
      <c r="X2449">
        <v>0</v>
      </c>
      <c r="Y2449">
        <v>0</v>
      </c>
    </row>
    <row r="2450" spans="1:25" x14ac:dyDescent="0.2">
      <c r="A2450" t="s">
        <v>9162</v>
      </c>
      <c r="B2450" t="s">
        <v>9163</v>
      </c>
      <c r="C2450" t="s">
        <v>9164</v>
      </c>
      <c r="D2450" t="s">
        <v>9165</v>
      </c>
      <c r="E2450" t="s">
        <v>9163</v>
      </c>
      <c r="F2450" t="s">
        <v>28</v>
      </c>
      <c r="G2450" t="s">
        <v>9163</v>
      </c>
      <c r="H2450" t="str">
        <f>"pept-1"</f>
        <v>pept-1</v>
      </c>
      <c r="I2450" t="s">
        <v>9165</v>
      </c>
      <c r="J2450">
        <v>13.4116224175082</v>
      </c>
      <c r="K2450">
        <v>13.0846117796707</v>
      </c>
      <c r="L2450">
        <v>13.3711498210904</v>
      </c>
      <c r="M2450">
        <v>13.170984324403801</v>
      </c>
      <c r="N2450">
        <v>12.7142668762515</v>
      </c>
      <c r="O2450">
        <v>13.6019057502417</v>
      </c>
      <c r="P2450">
        <v>-0.12674235579078699</v>
      </c>
      <c r="Q2450">
        <v>-0.58334196522886295</v>
      </c>
      <c r="R2450">
        <v>0.32985725364728802</v>
      </c>
      <c r="S2450">
        <v>13.0259552917456</v>
      </c>
      <c r="T2450">
        <v>-0.58875657384646096</v>
      </c>
      <c r="U2450">
        <v>-6.7021474878827201</v>
      </c>
      <c r="V2450">
        <v>0.56429840207348603</v>
      </c>
      <c r="W2450">
        <v>0.95650569706421396</v>
      </c>
      <c r="X2450">
        <v>0</v>
      </c>
      <c r="Y2450">
        <v>0</v>
      </c>
    </row>
    <row r="2451" spans="1:25" x14ac:dyDescent="0.2">
      <c r="A2451" t="s">
        <v>9166</v>
      </c>
      <c r="B2451" t="s">
        <v>9167</v>
      </c>
      <c r="C2451" t="s">
        <v>9168</v>
      </c>
      <c r="D2451" t="s">
        <v>9169</v>
      </c>
      <c r="E2451" t="s">
        <v>9167</v>
      </c>
      <c r="F2451" t="s">
        <v>28</v>
      </c>
      <c r="G2451" t="s">
        <v>9167</v>
      </c>
      <c r="H2451" t="str">
        <f>"aho-3"</f>
        <v>aho-3</v>
      </c>
      <c r="I2451" t="s">
        <v>9169</v>
      </c>
      <c r="J2451">
        <v>12.4963410088793</v>
      </c>
      <c r="K2451">
        <v>12.7159954856329</v>
      </c>
      <c r="L2451">
        <v>12.5450797918459</v>
      </c>
      <c r="M2451">
        <v>12.4079576870789</v>
      </c>
      <c r="N2451">
        <v>12.0420403767235</v>
      </c>
      <c r="O2451">
        <v>12.996273131296199</v>
      </c>
      <c r="P2451">
        <v>-0.10371503041982399</v>
      </c>
      <c r="Q2451">
        <v>-0.62126169307313195</v>
      </c>
      <c r="R2451">
        <v>0.41383163223348401</v>
      </c>
      <c r="S2451">
        <v>12.185139134485899</v>
      </c>
      <c r="T2451">
        <v>-0.42505165983912002</v>
      </c>
      <c r="U2451">
        <v>-6.7880033129853201</v>
      </c>
      <c r="V2451">
        <v>0.67649727662679504</v>
      </c>
      <c r="W2451">
        <v>0.98642420921484297</v>
      </c>
      <c r="X2451">
        <v>0</v>
      </c>
      <c r="Y2451">
        <v>0</v>
      </c>
    </row>
    <row r="2452" spans="1:25" x14ac:dyDescent="0.2">
      <c r="A2452" t="s">
        <v>9170</v>
      </c>
      <c r="B2452" t="s">
        <v>9171</v>
      </c>
      <c r="C2452" t="s">
        <v>9172</v>
      </c>
      <c r="D2452" t="s">
        <v>9173</v>
      </c>
      <c r="E2452" t="s">
        <v>9171</v>
      </c>
      <c r="F2452" t="s">
        <v>28</v>
      </c>
      <c r="G2452" t="s">
        <v>9171</v>
      </c>
      <c r="H2452" t="str">
        <f>"vacl-14"</f>
        <v>vacl-14</v>
      </c>
      <c r="I2452" t="s">
        <v>9173</v>
      </c>
      <c r="J2452">
        <v>12.470671596013901</v>
      </c>
      <c r="K2452">
        <v>12.5872368067742</v>
      </c>
      <c r="L2452">
        <v>12.4674429658916</v>
      </c>
      <c r="M2452">
        <v>12.550426838935399</v>
      </c>
      <c r="N2452">
        <v>12.861230586948199</v>
      </c>
      <c r="O2452">
        <v>12.534991475914801</v>
      </c>
      <c r="P2452">
        <v>0.140432511039567</v>
      </c>
      <c r="Q2452">
        <v>-0.48840459913650103</v>
      </c>
      <c r="R2452">
        <v>0.76926962121563403</v>
      </c>
      <c r="S2452">
        <v>12.6715091856722</v>
      </c>
      <c r="T2452">
        <v>0.47138907319242102</v>
      </c>
      <c r="U2452">
        <v>-6.7667898697458497</v>
      </c>
      <c r="V2452">
        <v>0.64339273086596904</v>
      </c>
      <c r="W2452">
        <v>0.97768135215283802</v>
      </c>
      <c r="X2452">
        <v>0</v>
      </c>
      <c r="Y2452">
        <v>0</v>
      </c>
    </row>
    <row r="2453" spans="1:25" x14ac:dyDescent="0.2">
      <c r="A2453" t="s">
        <v>9174</v>
      </c>
      <c r="B2453" t="s">
        <v>9175</v>
      </c>
      <c r="C2453" s="3">
        <v>45383</v>
      </c>
      <c r="D2453" t="s">
        <v>9176</v>
      </c>
      <c r="E2453" t="s">
        <v>9175</v>
      </c>
      <c r="F2453" t="s">
        <v>28</v>
      </c>
      <c r="G2453" t="s">
        <v>9175</v>
      </c>
      <c r="H2453" t="str">
        <f>"apr-1"</f>
        <v>apr-1</v>
      </c>
      <c r="I2453" t="s">
        <v>9176</v>
      </c>
      <c r="J2453" t="s">
        <v>29</v>
      </c>
      <c r="K2453" t="s">
        <v>29</v>
      </c>
      <c r="L2453" t="s">
        <v>29</v>
      </c>
      <c r="M2453">
        <v>11.561669115859001</v>
      </c>
      <c r="N2453">
        <v>12.633631487547399</v>
      </c>
      <c r="O2453" t="s">
        <v>29</v>
      </c>
      <c r="P2453" t="s">
        <v>29</v>
      </c>
      <c r="Q2453" t="s">
        <v>29</v>
      </c>
      <c r="R2453" t="s">
        <v>29</v>
      </c>
      <c r="S2453">
        <v>12.24477572412</v>
      </c>
      <c r="T2453" t="s">
        <v>29</v>
      </c>
      <c r="U2453" t="s">
        <v>29</v>
      </c>
      <c r="V2453" t="s">
        <v>29</v>
      </c>
      <c r="W2453" t="s">
        <v>29</v>
      </c>
      <c r="X2453" t="s">
        <v>29</v>
      </c>
      <c r="Y2453" t="s">
        <v>29</v>
      </c>
    </row>
    <row r="2454" spans="1:25" x14ac:dyDescent="0.2">
      <c r="A2454" t="s">
        <v>9177</v>
      </c>
      <c r="B2454" t="s">
        <v>9178</v>
      </c>
      <c r="C2454" t="s">
        <v>9179</v>
      </c>
      <c r="D2454" t="s">
        <v>9180</v>
      </c>
      <c r="E2454" t="s">
        <v>9178</v>
      </c>
      <c r="F2454" t="s">
        <v>28</v>
      </c>
      <c r="G2454" t="s">
        <v>9178</v>
      </c>
      <c r="H2454" t="str">
        <f>"eif-2beta"</f>
        <v>eif-2beta</v>
      </c>
      <c r="I2454" t="s">
        <v>9180</v>
      </c>
      <c r="J2454">
        <v>14.7737439149883</v>
      </c>
      <c r="K2454">
        <v>15.1263841550645</v>
      </c>
      <c r="L2454">
        <v>15.1370283899277</v>
      </c>
      <c r="M2454">
        <v>15.276302032801199</v>
      </c>
      <c r="N2454">
        <v>15.5011207026532</v>
      </c>
      <c r="O2454">
        <v>15.0112504672403</v>
      </c>
      <c r="P2454">
        <v>0.25050558090470298</v>
      </c>
      <c r="Q2454">
        <v>-0.24271605021215301</v>
      </c>
      <c r="R2454">
        <v>0.743727212021558</v>
      </c>
      <c r="S2454">
        <v>14.883276556902199</v>
      </c>
      <c r="T2454">
        <v>1.06749980365264</v>
      </c>
      <c r="U2454">
        <v>-6.3054509752882</v>
      </c>
      <c r="V2454">
        <v>0.29993641320897402</v>
      </c>
      <c r="W2454">
        <v>0.85855590823088301</v>
      </c>
      <c r="X2454">
        <v>0</v>
      </c>
      <c r="Y2454">
        <v>0</v>
      </c>
    </row>
    <row r="2455" spans="1:25" x14ac:dyDescent="0.2">
      <c r="A2455" t="s">
        <v>9181</v>
      </c>
      <c r="B2455" t="s">
        <v>9182</v>
      </c>
      <c r="C2455" t="s">
        <v>9183</v>
      </c>
      <c r="D2455" t="s">
        <v>9184</v>
      </c>
      <c r="E2455" t="s">
        <v>9182</v>
      </c>
      <c r="F2455" t="s">
        <v>28</v>
      </c>
      <c r="G2455" t="s">
        <v>9182</v>
      </c>
      <c r="H2455" t="str">
        <f>"nuo-4"</f>
        <v>nuo-4</v>
      </c>
      <c r="I2455" t="s">
        <v>9184</v>
      </c>
      <c r="J2455">
        <v>11.7285224186483</v>
      </c>
      <c r="K2455">
        <v>11.8275841619768</v>
      </c>
      <c r="L2455">
        <v>11.9751904792485</v>
      </c>
      <c r="M2455">
        <v>11.804835746139901</v>
      </c>
      <c r="N2455">
        <v>11.825234809724799</v>
      </c>
      <c r="O2455">
        <v>11.875275579024301</v>
      </c>
      <c r="P2455">
        <v>-8.6503083281854708E-3</v>
      </c>
      <c r="Q2455">
        <v>-0.41115226044185599</v>
      </c>
      <c r="R2455">
        <v>0.39385164378548498</v>
      </c>
      <c r="S2455">
        <v>12.4539789662277</v>
      </c>
      <c r="T2455">
        <v>-4.5364236895871303E-2</v>
      </c>
      <c r="U2455">
        <v>-6.8814110163259699</v>
      </c>
      <c r="V2455">
        <v>0.96434886898106298</v>
      </c>
      <c r="W2455">
        <v>0.99968702248720698</v>
      </c>
      <c r="X2455">
        <v>0</v>
      </c>
      <c r="Y2455">
        <v>0</v>
      </c>
    </row>
    <row r="2456" spans="1:25" x14ac:dyDescent="0.2">
      <c r="A2456" t="s">
        <v>9185</v>
      </c>
      <c r="B2456" t="s">
        <v>9186</v>
      </c>
      <c r="C2456" t="s">
        <v>14493</v>
      </c>
      <c r="D2456" t="s">
        <v>9187</v>
      </c>
      <c r="E2456" t="s">
        <v>9186</v>
      </c>
      <c r="F2456" t="s">
        <v>28</v>
      </c>
      <c r="G2456" t="s">
        <v>9186</v>
      </c>
      <c r="H2456" t="str">
        <f>"K04G7.1"</f>
        <v>K04G7.1</v>
      </c>
      <c r="I2456" t="s">
        <v>9187</v>
      </c>
      <c r="J2456">
        <v>13.351197599442401</v>
      </c>
      <c r="K2456">
        <v>12.8554438679257</v>
      </c>
      <c r="L2456">
        <v>12.614644896112299</v>
      </c>
      <c r="M2456">
        <v>12.5341228417136</v>
      </c>
      <c r="N2456">
        <v>13.178222859570001</v>
      </c>
      <c r="O2456">
        <v>13.255484102887699</v>
      </c>
      <c r="P2456">
        <v>4.8847813563636301E-2</v>
      </c>
      <c r="Q2456">
        <v>-0.53199515239772699</v>
      </c>
      <c r="R2456">
        <v>0.62969077952499897</v>
      </c>
      <c r="S2456">
        <v>13.320456403536101</v>
      </c>
      <c r="T2456">
        <v>0.17751555236337499</v>
      </c>
      <c r="U2456">
        <v>-6.8659886988406598</v>
      </c>
      <c r="V2456">
        <v>0.86121431747714805</v>
      </c>
      <c r="W2456">
        <v>0.99394475928068404</v>
      </c>
      <c r="X2456">
        <v>0</v>
      </c>
      <c r="Y2456">
        <v>0</v>
      </c>
    </row>
    <row r="2457" spans="1:25" x14ac:dyDescent="0.2">
      <c r="A2457" t="s">
        <v>9188</v>
      </c>
      <c r="B2457" t="s">
        <v>9189</v>
      </c>
      <c r="C2457" t="s">
        <v>9190</v>
      </c>
      <c r="D2457" t="s">
        <v>9191</v>
      </c>
      <c r="E2457" t="s">
        <v>9189</v>
      </c>
      <c r="F2457" t="s">
        <v>28</v>
      </c>
      <c r="G2457" t="s">
        <v>9189</v>
      </c>
      <c r="H2457" t="str">
        <f>"acdh-8"</f>
        <v>acdh-8</v>
      </c>
      <c r="I2457" t="s">
        <v>9191</v>
      </c>
      <c r="J2457">
        <v>13.0995231024717</v>
      </c>
      <c r="K2457">
        <v>12.9155989556608</v>
      </c>
      <c r="L2457">
        <v>12.6188576437335</v>
      </c>
      <c r="M2457">
        <v>12.629382838512999</v>
      </c>
      <c r="N2457">
        <v>13.042355010398101</v>
      </c>
      <c r="O2457">
        <v>12.7410392314035</v>
      </c>
      <c r="P2457">
        <v>-7.3734207183820302E-2</v>
      </c>
      <c r="Q2457">
        <v>-0.608835086871376</v>
      </c>
      <c r="R2457">
        <v>0.46136667250373498</v>
      </c>
      <c r="S2457">
        <v>12.5819991549916</v>
      </c>
      <c r="T2457">
        <v>-0.292269084906012</v>
      </c>
      <c r="U2457">
        <v>-6.83768147018717</v>
      </c>
      <c r="V2457">
        <v>0.77386132316416301</v>
      </c>
      <c r="W2457">
        <v>0.99278624068726296</v>
      </c>
      <c r="X2457">
        <v>0</v>
      </c>
      <c r="Y2457">
        <v>0</v>
      </c>
    </row>
    <row r="2458" spans="1:25" x14ac:dyDescent="0.2">
      <c r="A2458" t="s">
        <v>9192</v>
      </c>
      <c r="B2458" t="s">
        <v>9193</v>
      </c>
      <c r="C2458" t="s">
        <v>9194</v>
      </c>
      <c r="D2458" t="s">
        <v>9195</v>
      </c>
      <c r="E2458" t="s">
        <v>9193</v>
      </c>
      <c r="F2458" t="s">
        <v>28</v>
      </c>
      <c r="G2458" t="s">
        <v>9193</v>
      </c>
      <c r="H2458" t="str">
        <f>"cogc-6"</f>
        <v>cogc-6</v>
      </c>
      <c r="I2458" t="s">
        <v>9195</v>
      </c>
      <c r="J2458">
        <v>10.9785201391502</v>
      </c>
      <c r="K2458" t="s">
        <v>29</v>
      </c>
      <c r="L2458" t="s">
        <v>29</v>
      </c>
      <c r="M2458">
        <v>10.5822230377483</v>
      </c>
      <c r="N2458">
        <v>11.3859540662705</v>
      </c>
      <c r="O2458">
        <v>11.148434861671801</v>
      </c>
      <c r="P2458">
        <v>6.0350516080040599E-2</v>
      </c>
      <c r="Q2458">
        <v>-1.13581925612392</v>
      </c>
      <c r="R2458">
        <v>1.2565202882840001</v>
      </c>
      <c r="S2458">
        <v>11.6811256378989</v>
      </c>
      <c r="T2458">
        <v>0.108287931430097</v>
      </c>
      <c r="U2458">
        <v>-6.5348899057503598</v>
      </c>
      <c r="V2458">
        <v>0.915315460870336</v>
      </c>
      <c r="W2458">
        <v>0.99833354317360001</v>
      </c>
      <c r="X2458">
        <v>0</v>
      </c>
      <c r="Y2458">
        <v>0</v>
      </c>
    </row>
    <row r="2459" spans="1:25" x14ac:dyDescent="0.2">
      <c r="A2459" t="s">
        <v>9196</v>
      </c>
      <c r="B2459" t="s">
        <v>9197</v>
      </c>
      <c r="C2459" t="s">
        <v>14494</v>
      </c>
      <c r="D2459" t="s">
        <v>9198</v>
      </c>
      <c r="E2459" t="s">
        <v>9197</v>
      </c>
      <c r="F2459" t="s">
        <v>28</v>
      </c>
      <c r="G2459" t="s">
        <v>9197</v>
      </c>
      <c r="H2459" t="str">
        <f>"K07C5.3"</f>
        <v>K07C5.3</v>
      </c>
      <c r="I2459" t="s">
        <v>9198</v>
      </c>
      <c r="J2459" t="s">
        <v>29</v>
      </c>
      <c r="K2459">
        <v>11.083233579298099</v>
      </c>
      <c r="L2459" t="s">
        <v>29</v>
      </c>
      <c r="M2459" t="s">
        <v>29</v>
      </c>
      <c r="N2459" t="s">
        <v>29</v>
      </c>
      <c r="O2459" t="s">
        <v>29</v>
      </c>
      <c r="P2459" t="s">
        <v>29</v>
      </c>
      <c r="Q2459" t="s">
        <v>29</v>
      </c>
      <c r="R2459" t="s">
        <v>29</v>
      </c>
      <c r="S2459">
        <v>12.317302723824801</v>
      </c>
      <c r="T2459" t="s">
        <v>29</v>
      </c>
      <c r="U2459" t="s">
        <v>29</v>
      </c>
      <c r="V2459" t="s">
        <v>29</v>
      </c>
      <c r="W2459" t="s">
        <v>29</v>
      </c>
      <c r="X2459" t="s">
        <v>29</v>
      </c>
      <c r="Y2459" t="s">
        <v>29</v>
      </c>
    </row>
    <row r="2460" spans="1:25" x14ac:dyDescent="0.2">
      <c r="A2460" t="s">
        <v>9199</v>
      </c>
      <c r="B2460" t="s">
        <v>9200</v>
      </c>
      <c r="C2460" t="s">
        <v>9201</v>
      </c>
      <c r="D2460" t="s">
        <v>9202</v>
      </c>
      <c r="E2460" t="s">
        <v>9200</v>
      </c>
      <c r="F2460" t="s">
        <v>28</v>
      </c>
      <c r="G2460" t="s">
        <v>9200</v>
      </c>
      <c r="H2460" t="str">
        <f>"nol-56"</f>
        <v>nol-56</v>
      </c>
      <c r="I2460" t="s">
        <v>9202</v>
      </c>
      <c r="J2460">
        <v>18.5224575353907</v>
      </c>
      <c r="K2460">
        <v>18.417494974097401</v>
      </c>
      <c r="L2460">
        <v>18.5979210505803</v>
      </c>
      <c r="M2460">
        <v>18.672295123100302</v>
      </c>
      <c r="N2460">
        <v>18.7028442356734</v>
      </c>
      <c r="O2460">
        <v>18.6131193393479</v>
      </c>
      <c r="P2460">
        <v>0.150128379351084</v>
      </c>
      <c r="Q2460">
        <v>-0.38858960381019197</v>
      </c>
      <c r="R2460">
        <v>0.68884636251235998</v>
      </c>
      <c r="S2460">
        <v>18.294880401976599</v>
      </c>
      <c r="T2460">
        <v>0.58572510160669</v>
      </c>
      <c r="U2460">
        <v>-6.7049482350043998</v>
      </c>
      <c r="V2460">
        <v>0.56537484699284002</v>
      </c>
      <c r="W2460">
        <v>0.956772784981337</v>
      </c>
      <c r="X2460">
        <v>0</v>
      </c>
      <c r="Y2460">
        <v>0</v>
      </c>
    </row>
    <row r="2461" spans="1:25" x14ac:dyDescent="0.2">
      <c r="A2461" t="s">
        <v>9203</v>
      </c>
      <c r="B2461" t="s">
        <v>9204</v>
      </c>
      <c r="C2461" t="s">
        <v>9205</v>
      </c>
      <c r="D2461" t="s">
        <v>9206</v>
      </c>
      <c r="E2461" t="s">
        <v>9204</v>
      </c>
      <c r="F2461" t="s">
        <v>28</v>
      </c>
      <c r="G2461" t="s">
        <v>9204</v>
      </c>
      <c r="H2461" t="str">
        <f>"K07C5.6"</f>
        <v>K07C5.6</v>
      </c>
      <c r="I2461" t="s">
        <v>9206</v>
      </c>
      <c r="J2461">
        <v>12.104606004655601</v>
      </c>
      <c r="K2461">
        <v>12.386099731618399</v>
      </c>
      <c r="L2461">
        <v>12.647213024991499</v>
      </c>
      <c r="M2461">
        <v>12.624733321506101</v>
      </c>
      <c r="N2461">
        <v>12.345859401943599</v>
      </c>
      <c r="O2461">
        <v>12.950948523102999</v>
      </c>
      <c r="P2461">
        <v>0.26120749509575902</v>
      </c>
      <c r="Q2461">
        <v>-0.59427174463171295</v>
      </c>
      <c r="R2461">
        <v>1.1166867348232301</v>
      </c>
      <c r="S2461">
        <v>13.055070683923301</v>
      </c>
      <c r="T2461">
        <v>0.64762810792983505</v>
      </c>
      <c r="U2461">
        <v>-6.66477278119216</v>
      </c>
      <c r="V2461">
        <v>0.52646978220262397</v>
      </c>
      <c r="W2461">
        <v>0.94259531549477504</v>
      </c>
      <c r="X2461">
        <v>0</v>
      </c>
      <c r="Y2461">
        <v>0</v>
      </c>
    </row>
    <row r="2462" spans="1:25" x14ac:dyDescent="0.2">
      <c r="A2462" t="s">
        <v>9207</v>
      </c>
      <c r="B2462" t="s">
        <v>9208</v>
      </c>
      <c r="C2462" t="s">
        <v>9209</v>
      </c>
      <c r="D2462" t="s">
        <v>9210</v>
      </c>
      <c r="E2462" t="s">
        <v>9208</v>
      </c>
      <c r="F2462" t="s">
        <v>28</v>
      </c>
      <c r="G2462" t="s">
        <v>9208</v>
      </c>
      <c r="H2462" t="str">
        <f>"mup-4"</f>
        <v>mup-4</v>
      </c>
      <c r="I2462" t="s">
        <v>9210</v>
      </c>
      <c r="J2462">
        <v>12.903329338878001</v>
      </c>
      <c r="K2462">
        <v>12.419992373610899</v>
      </c>
      <c r="L2462">
        <v>13.1414070870796</v>
      </c>
      <c r="M2462">
        <v>12.814767168559399</v>
      </c>
      <c r="N2462">
        <v>13.6899644751064</v>
      </c>
      <c r="O2462">
        <v>13.890379215653599</v>
      </c>
      <c r="P2462">
        <v>0.64346068658366595</v>
      </c>
      <c r="Q2462">
        <v>4.6959863432680098E-2</v>
      </c>
      <c r="R2462">
        <v>1.2399615097346499</v>
      </c>
      <c r="S2462">
        <v>13.2024789707966</v>
      </c>
      <c r="T2462">
        <v>2.2672712648665199</v>
      </c>
      <c r="U2462">
        <v>-4.5247803549228802</v>
      </c>
      <c r="V2462">
        <v>3.6002663379537697E-2</v>
      </c>
      <c r="W2462">
        <v>0.414591223969209</v>
      </c>
      <c r="X2462">
        <v>0</v>
      </c>
      <c r="Y2462">
        <v>0</v>
      </c>
    </row>
    <row r="2463" spans="1:25" x14ac:dyDescent="0.2">
      <c r="A2463" t="s">
        <v>9211</v>
      </c>
      <c r="B2463" t="s">
        <v>9212</v>
      </c>
      <c r="C2463" t="s">
        <v>14178</v>
      </c>
      <c r="D2463" t="s">
        <v>9213</v>
      </c>
      <c r="E2463" t="s">
        <v>9212</v>
      </c>
      <c r="F2463" t="s">
        <v>28</v>
      </c>
      <c r="G2463" t="s">
        <v>9212</v>
      </c>
      <c r="H2463" t="str">
        <f>"K07E3.4"</f>
        <v>K07E3.4</v>
      </c>
      <c r="I2463" t="s">
        <v>9213</v>
      </c>
      <c r="J2463">
        <v>11.489625096168201</v>
      </c>
      <c r="K2463">
        <v>11.257303900766599</v>
      </c>
      <c r="L2463">
        <v>11.596108234036</v>
      </c>
      <c r="M2463">
        <v>13.1898009268051</v>
      </c>
      <c r="N2463">
        <v>13.3455117696498</v>
      </c>
      <c r="O2463">
        <v>13.3834138449657</v>
      </c>
      <c r="P2463">
        <v>1.8585631034832599</v>
      </c>
      <c r="Q2463">
        <v>1.3331806284758401</v>
      </c>
      <c r="R2463">
        <v>2.38394557849068</v>
      </c>
      <c r="S2463">
        <v>12.9303117910381</v>
      </c>
      <c r="T2463">
        <v>7.4352271721345602</v>
      </c>
      <c r="U2463">
        <v>6.1269020655534598</v>
      </c>
      <c r="V2463" s="2">
        <v>7.09353212661436E-7</v>
      </c>
      <c r="W2463" s="2">
        <v>7.6152499733459894E-5</v>
      </c>
      <c r="X2463">
        <v>1</v>
      </c>
      <c r="Y2463">
        <v>1</v>
      </c>
    </row>
    <row r="2464" spans="1:25" x14ac:dyDescent="0.2">
      <c r="A2464" t="s">
        <v>9214</v>
      </c>
      <c r="B2464" t="s">
        <v>9215</v>
      </c>
      <c r="C2464" t="s">
        <v>9216</v>
      </c>
      <c r="D2464" t="s">
        <v>9217</v>
      </c>
      <c r="E2464" t="s">
        <v>9215</v>
      </c>
      <c r="F2464" t="s">
        <v>28</v>
      </c>
      <c r="G2464" t="s">
        <v>9215</v>
      </c>
      <c r="H2464" t="str">
        <f>"dao-3"</f>
        <v>dao-3</v>
      </c>
      <c r="I2464" t="s">
        <v>9217</v>
      </c>
      <c r="J2464">
        <v>15.272953282075299</v>
      </c>
      <c r="K2464">
        <v>14.881193324149001</v>
      </c>
      <c r="L2464">
        <v>14.8861421768668</v>
      </c>
      <c r="M2464">
        <v>15.395982756477601</v>
      </c>
      <c r="N2464">
        <v>15.2999275818716</v>
      </c>
      <c r="O2464">
        <v>15.3001441391465</v>
      </c>
      <c r="P2464">
        <v>0.318588564801562</v>
      </c>
      <c r="Q2464">
        <v>-0.102367790027847</v>
      </c>
      <c r="R2464">
        <v>0.73954491963097102</v>
      </c>
      <c r="S2464">
        <v>14.7034776188745</v>
      </c>
      <c r="T2464">
        <v>1.59069027720916</v>
      </c>
      <c r="U2464">
        <v>-5.64679270047455</v>
      </c>
      <c r="V2464">
        <v>0.12918977099892201</v>
      </c>
      <c r="W2464">
        <v>0.71998552612350397</v>
      </c>
      <c r="X2464">
        <v>0</v>
      </c>
      <c r="Y2464">
        <v>0</v>
      </c>
    </row>
    <row r="2465" spans="1:25" x14ac:dyDescent="0.2">
      <c r="A2465" t="s">
        <v>9218</v>
      </c>
      <c r="B2465" t="s">
        <v>9219</v>
      </c>
      <c r="C2465" t="s">
        <v>9220</v>
      </c>
      <c r="D2465" t="s">
        <v>9221</v>
      </c>
      <c r="E2465" t="s">
        <v>9219</v>
      </c>
      <c r="F2465" t="s">
        <v>28</v>
      </c>
      <c r="G2465" t="s">
        <v>9219</v>
      </c>
      <c r="H2465" t="str">
        <f>"catp-5"</f>
        <v>catp-5</v>
      </c>
      <c r="I2465" t="s">
        <v>9221</v>
      </c>
      <c r="J2465" t="s">
        <v>29</v>
      </c>
      <c r="K2465" t="s">
        <v>29</v>
      </c>
      <c r="L2465" t="s">
        <v>29</v>
      </c>
      <c r="M2465" t="s">
        <v>29</v>
      </c>
      <c r="N2465" t="s">
        <v>29</v>
      </c>
      <c r="O2465" t="s">
        <v>29</v>
      </c>
      <c r="P2465" t="s">
        <v>29</v>
      </c>
      <c r="Q2465" t="s">
        <v>29</v>
      </c>
      <c r="R2465" t="s">
        <v>29</v>
      </c>
      <c r="S2465">
        <v>10.989799007241899</v>
      </c>
      <c r="T2465" t="s">
        <v>29</v>
      </c>
      <c r="U2465" t="s">
        <v>29</v>
      </c>
      <c r="V2465" t="s">
        <v>29</v>
      </c>
      <c r="W2465" t="s">
        <v>29</v>
      </c>
      <c r="X2465" t="s">
        <v>29</v>
      </c>
      <c r="Y2465" t="s">
        <v>29</v>
      </c>
    </row>
    <row r="2466" spans="1:25" x14ac:dyDescent="0.2">
      <c r="A2466" t="s">
        <v>9222</v>
      </c>
      <c r="B2466" t="s">
        <v>9223</v>
      </c>
      <c r="C2466" t="s">
        <v>14495</v>
      </c>
      <c r="D2466" t="s">
        <v>8101</v>
      </c>
      <c r="E2466" t="s">
        <v>9223</v>
      </c>
      <c r="F2466" t="s">
        <v>28</v>
      </c>
      <c r="G2466" t="s">
        <v>9223</v>
      </c>
      <c r="H2466" t="str">
        <f>"K07E3.2"</f>
        <v>K07E3.2</v>
      </c>
      <c r="I2466" t="s">
        <v>8101</v>
      </c>
      <c r="J2466" t="s">
        <v>29</v>
      </c>
      <c r="K2466" t="s">
        <v>29</v>
      </c>
      <c r="L2466">
        <v>12.939247707777</v>
      </c>
      <c r="M2466" t="s">
        <v>29</v>
      </c>
      <c r="N2466">
        <v>13.090857488395301</v>
      </c>
      <c r="O2466">
        <v>13.653681921891501</v>
      </c>
      <c r="P2466">
        <v>0.43302199736638503</v>
      </c>
      <c r="Q2466">
        <v>-0.98280400978898896</v>
      </c>
      <c r="R2466">
        <v>1.8488480045217599</v>
      </c>
      <c r="S2466">
        <v>13.1947724828253</v>
      </c>
      <c r="T2466">
        <v>0.67395013813570304</v>
      </c>
      <c r="U2466">
        <v>-6.2461818063257102</v>
      </c>
      <c r="V2466">
        <v>0.51438729055875598</v>
      </c>
      <c r="W2466">
        <v>0.94214689211862301</v>
      </c>
      <c r="X2466">
        <v>0</v>
      </c>
      <c r="Y2466">
        <v>0</v>
      </c>
    </row>
    <row r="2467" spans="1:25" x14ac:dyDescent="0.2">
      <c r="A2467" t="s">
        <v>9224</v>
      </c>
      <c r="B2467" t="s">
        <v>9225</v>
      </c>
      <c r="C2467" t="s">
        <v>14496</v>
      </c>
      <c r="D2467" t="s">
        <v>115</v>
      </c>
      <c r="E2467" t="s">
        <v>9225</v>
      </c>
      <c r="F2467" t="s">
        <v>28</v>
      </c>
      <c r="G2467" t="s">
        <v>9225</v>
      </c>
      <c r="H2467" t="str">
        <f>"K07E3.1"</f>
        <v>K07E3.1</v>
      </c>
      <c r="I2467" t="s">
        <v>115</v>
      </c>
      <c r="J2467">
        <v>10.026678517033</v>
      </c>
      <c r="K2467">
        <v>13.352472469918499</v>
      </c>
      <c r="L2467">
        <v>11.7865907121503</v>
      </c>
      <c r="M2467" t="s">
        <v>29</v>
      </c>
      <c r="N2467">
        <v>11.3306667902746</v>
      </c>
      <c r="O2467">
        <v>11.8982296631634</v>
      </c>
      <c r="P2467">
        <v>-0.107465672981606</v>
      </c>
      <c r="Q2467">
        <v>-1.60074295343722</v>
      </c>
      <c r="R2467">
        <v>1.3858116074740101</v>
      </c>
      <c r="S2467">
        <v>11.5654464977028</v>
      </c>
      <c r="T2467">
        <v>-0.155602492568685</v>
      </c>
      <c r="U2467">
        <v>-6.7593397789705598</v>
      </c>
      <c r="V2467">
        <v>0.87875576171315595</v>
      </c>
      <c r="W2467">
        <v>0.99702926582654094</v>
      </c>
      <c r="X2467">
        <v>0</v>
      </c>
      <c r="Y2467">
        <v>0</v>
      </c>
    </row>
    <row r="2468" spans="1:25" x14ac:dyDescent="0.2">
      <c r="A2468" t="s">
        <v>9226</v>
      </c>
      <c r="B2468" t="s">
        <v>9227</v>
      </c>
      <c r="C2468" t="s">
        <v>9228</v>
      </c>
      <c r="D2468" t="s">
        <v>9229</v>
      </c>
      <c r="E2468" t="s">
        <v>9227</v>
      </c>
      <c r="F2468" t="s">
        <v>28</v>
      </c>
      <c r="G2468" t="s">
        <v>9227</v>
      </c>
      <c r="H2468" t="str">
        <f>"crml-1"</f>
        <v>crml-1</v>
      </c>
      <c r="I2468" t="s">
        <v>9229</v>
      </c>
      <c r="J2468">
        <v>13.2034578050588</v>
      </c>
      <c r="K2468">
        <v>13.059046387472</v>
      </c>
      <c r="L2468">
        <v>12.776155931813699</v>
      </c>
      <c r="M2468">
        <v>12.9667724589518</v>
      </c>
      <c r="N2468">
        <v>12.9786000367562</v>
      </c>
      <c r="O2468">
        <v>13.1324701616726</v>
      </c>
      <c r="P2468">
        <v>1.30608443453539E-2</v>
      </c>
      <c r="Q2468">
        <v>-0.43986576788016901</v>
      </c>
      <c r="R2468">
        <v>0.46598745657087698</v>
      </c>
      <c r="S2468">
        <v>12.751585414892901</v>
      </c>
      <c r="T2468">
        <v>6.08686161209036E-2</v>
      </c>
      <c r="U2468">
        <v>-6.8805478759232201</v>
      </c>
      <c r="V2468">
        <v>0.952178089853984</v>
      </c>
      <c r="W2468">
        <v>0.99968702248720698</v>
      </c>
      <c r="X2468">
        <v>0</v>
      </c>
      <c r="Y2468">
        <v>0</v>
      </c>
    </row>
    <row r="2469" spans="1:25" x14ac:dyDescent="0.2">
      <c r="A2469" t="s">
        <v>9230</v>
      </c>
      <c r="B2469" t="s">
        <v>9231</v>
      </c>
      <c r="C2469" t="s">
        <v>9232</v>
      </c>
      <c r="D2469" t="s">
        <v>9233</v>
      </c>
      <c r="E2469" t="s">
        <v>9231</v>
      </c>
      <c r="F2469" t="s">
        <v>28</v>
      </c>
      <c r="G2469" t="s">
        <v>9231</v>
      </c>
      <c r="H2469" t="str">
        <f>"xpa-1"</f>
        <v>xpa-1</v>
      </c>
      <c r="I2469" t="s">
        <v>9233</v>
      </c>
      <c r="J2469" t="s">
        <v>29</v>
      </c>
      <c r="K2469" t="s">
        <v>29</v>
      </c>
      <c r="L2469">
        <v>10.214401711978599</v>
      </c>
      <c r="M2469">
        <v>10.6740416008741</v>
      </c>
      <c r="N2469">
        <v>10.508667787840899</v>
      </c>
      <c r="O2469" t="s">
        <v>29</v>
      </c>
      <c r="P2469">
        <v>0.37695298237890501</v>
      </c>
      <c r="Q2469">
        <v>-0.41602524261273099</v>
      </c>
      <c r="R2469">
        <v>1.1699312073705399</v>
      </c>
      <c r="S2469">
        <v>11.2530904571046</v>
      </c>
      <c r="T2469">
        <v>1.03674257661831</v>
      </c>
      <c r="U2469">
        <v>-5.93899302669635</v>
      </c>
      <c r="V2469">
        <v>0.32047270344364498</v>
      </c>
      <c r="W2469">
        <v>0.86570305652650403</v>
      </c>
      <c r="X2469">
        <v>0</v>
      </c>
      <c r="Y2469">
        <v>0</v>
      </c>
    </row>
    <row r="2470" spans="1:25" x14ac:dyDescent="0.2">
      <c r="A2470" t="s">
        <v>9234</v>
      </c>
      <c r="B2470" t="s">
        <v>9235</v>
      </c>
      <c r="C2470" t="s">
        <v>9236</v>
      </c>
      <c r="D2470" t="s">
        <v>9237</v>
      </c>
      <c r="E2470" t="s">
        <v>9235</v>
      </c>
      <c r="F2470" t="s">
        <v>28</v>
      </c>
      <c r="G2470" t="s">
        <v>9235</v>
      </c>
      <c r="H2470" t="str">
        <f>"mek-1"</f>
        <v>mek-1</v>
      </c>
      <c r="I2470" t="s">
        <v>9237</v>
      </c>
      <c r="J2470">
        <v>14.541289627861801</v>
      </c>
      <c r="K2470">
        <v>14.643160056228799</v>
      </c>
      <c r="L2470">
        <v>14.500920421796099</v>
      </c>
      <c r="M2470">
        <v>14.402546057148999</v>
      </c>
      <c r="N2470">
        <v>14.3083317575029</v>
      </c>
      <c r="O2470">
        <v>14.5247312627939</v>
      </c>
      <c r="P2470">
        <v>-0.14992034281365499</v>
      </c>
      <c r="Q2470">
        <v>-0.54189394426956805</v>
      </c>
      <c r="R2470">
        <v>0.24205325864225899</v>
      </c>
      <c r="S2470">
        <v>14.1836256587716</v>
      </c>
      <c r="T2470">
        <v>-0.80388932297127602</v>
      </c>
      <c r="U2470">
        <v>-6.5508467137792401</v>
      </c>
      <c r="V2470">
        <v>0.43201071572691302</v>
      </c>
      <c r="W2470">
        <v>0.91512503332874395</v>
      </c>
      <c r="X2470">
        <v>0</v>
      </c>
      <c r="Y2470">
        <v>0</v>
      </c>
    </row>
    <row r="2471" spans="1:25" x14ac:dyDescent="0.2">
      <c r="A2471" t="s">
        <v>9238</v>
      </c>
      <c r="B2471" t="s">
        <v>9239</v>
      </c>
      <c r="C2471" t="s">
        <v>14497</v>
      </c>
      <c r="D2471" t="s">
        <v>319</v>
      </c>
      <c r="E2471" t="s">
        <v>9239</v>
      </c>
      <c r="F2471" t="s">
        <v>28</v>
      </c>
      <c r="G2471" t="s">
        <v>9239</v>
      </c>
      <c r="H2471" t="str">
        <f>"K08C7.1"</f>
        <v>K08C7.1</v>
      </c>
      <c r="I2471" t="s">
        <v>319</v>
      </c>
      <c r="J2471" t="s">
        <v>29</v>
      </c>
      <c r="K2471">
        <v>12.6595311833513</v>
      </c>
      <c r="L2471" t="s">
        <v>29</v>
      </c>
      <c r="M2471" t="s">
        <v>29</v>
      </c>
      <c r="N2471" t="s">
        <v>29</v>
      </c>
      <c r="O2471" t="s">
        <v>29</v>
      </c>
      <c r="P2471" t="s">
        <v>29</v>
      </c>
      <c r="Q2471" t="s">
        <v>29</v>
      </c>
      <c r="R2471" t="s">
        <v>29</v>
      </c>
      <c r="S2471">
        <v>12.924172352286799</v>
      </c>
      <c r="T2471" t="s">
        <v>29</v>
      </c>
      <c r="U2471" t="s">
        <v>29</v>
      </c>
      <c r="V2471" t="s">
        <v>29</v>
      </c>
      <c r="W2471" t="s">
        <v>29</v>
      </c>
      <c r="X2471" t="s">
        <v>29</v>
      </c>
      <c r="Y2471" t="s">
        <v>29</v>
      </c>
    </row>
    <row r="2472" spans="1:25" x14ac:dyDescent="0.2">
      <c r="A2472" t="s">
        <v>9240</v>
      </c>
      <c r="B2472" t="s">
        <v>9241</v>
      </c>
      <c r="C2472" t="s">
        <v>9242</v>
      </c>
      <c r="D2472" t="s">
        <v>9243</v>
      </c>
      <c r="E2472" t="s">
        <v>9241</v>
      </c>
      <c r="F2472" t="s">
        <v>28</v>
      </c>
      <c r="G2472" t="s">
        <v>9241</v>
      </c>
      <c r="H2472" t="str">
        <f>"epi-1"</f>
        <v>epi-1</v>
      </c>
      <c r="I2472" t="s">
        <v>9243</v>
      </c>
      <c r="J2472">
        <v>12.463780239940601</v>
      </c>
      <c r="K2472">
        <v>13.3093690868754</v>
      </c>
      <c r="L2472">
        <v>13.776759160427201</v>
      </c>
      <c r="M2472">
        <v>12.6922191197692</v>
      </c>
      <c r="N2472">
        <v>13.213177189861501</v>
      </c>
      <c r="O2472">
        <v>13.2762366421063</v>
      </c>
      <c r="P2472">
        <v>-0.12275851183542499</v>
      </c>
      <c r="Q2472">
        <v>-0.68943023319258301</v>
      </c>
      <c r="R2472">
        <v>0.44391320952173302</v>
      </c>
      <c r="S2472">
        <v>13.259884742518601</v>
      </c>
      <c r="T2472">
        <v>-0.45531565998504198</v>
      </c>
      <c r="U2472">
        <v>-6.7747983124164204</v>
      </c>
      <c r="V2472">
        <v>0.654358115915878</v>
      </c>
      <c r="W2472">
        <v>0.98183219556719603</v>
      </c>
      <c r="X2472">
        <v>0</v>
      </c>
      <c r="Y2472">
        <v>0</v>
      </c>
    </row>
    <row r="2473" spans="1:25" x14ac:dyDescent="0.2">
      <c r="A2473" t="s">
        <v>9244</v>
      </c>
      <c r="B2473" t="s">
        <v>9245</v>
      </c>
      <c r="C2473" t="s">
        <v>9246</v>
      </c>
      <c r="D2473" t="s">
        <v>93</v>
      </c>
      <c r="E2473" t="s">
        <v>9245</v>
      </c>
      <c r="F2473" t="s">
        <v>28</v>
      </c>
      <c r="G2473" t="s">
        <v>9245</v>
      </c>
      <c r="H2473" t="str">
        <f>"rnp-3"</f>
        <v>rnp-3</v>
      </c>
      <c r="I2473" t="s">
        <v>93</v>
      </c>
      <c r="J2473" t="s">
        <v>29</v>
      </c>
      <c r="K2473" t="s">
        <v>29</v>
      </c>
      <c r="L2473" t="s">
        <v>29</v>
      </c>
      <c r="M2473" t="s">
        <v>29</v>
      </c>
      <c r="N2473" t="s">
        <v>29</v>
      </c>
      <c r="O2473" t="s">
        <v>29</v>
      </c>
      <c r="P2473" t="s">
        <v>29</v>
      </c>
      <c r="Q2473" t="s">
        <v>29</v>
      </c>
      <c r="R2473" t="s">
        <v>29</v>
      </c>
      <c r="S2473">
        <v>12.2904765659693</v>
      </c>
      <c r="T2473" t="s">
        <v>29</v>
      </c>
      <c r="U2473" t="s">
        <v>29</v>
      </c>
      <c r="V2473" t="s">
        <v>29</v>
      </c>
      <c r="W2473" t="s">
        <v>29</v>
      </c>
      <c r="X2473" t="s">
        <v>29</v>
      </c>
      <c r="Y2473" t="s">
        <v>29</v>
      </c>
    </row>
    <row r="2474" spans="1:25" x14ac:dyDescent="0.2">
      <c r="A2474" t="s">
        <v>9247</v>
      </c>
      <c r="B2474" t="s">
        <v>9248</v>
      </c>
      <c r="C2474" t="s">
        <v>9249</v>
      </c>
      <c r="D2474" t="s">
        <v>9250</v>
      </c>
      <c r="E2474" t="s">
        <v>9248</v>
      </c>
      <c r="F2474" t="s">
        <v>28</v>
      </c>
      <c r="G2474" t="s">
        <v>9248</v>
      </c>
      <c r="H2474" t="str">
        <f>"spt-5"</f>
        <v>spt-5</v>
      </c>
      <c r="I2474" t="s">
        <v>9250</v>
      </c>
      <c r="J2474">
        <v>14.447082361066601</v>
      </c>
      <c r="K2474">
        <v>14.615341096892401</v>
      </c>
      <c r="L2474">
        <v>14.4928001354772</v>
      </c>
      <c r="M2474">
        <v>14.4066775058769</v>
      </c>
      <c r="N2474">
        <v>14.5318778889685</v>
      </c>
      <c r="O2474">
        <v>14.3581429211768</v>
      </c>
      <c r="P2474">
        <v>-8.6175092471304296E-2</v>
      </c>
      <c r="Q2474">
        <v>-0.516575017684897</v>
      </c>
      <c r="R2474">
        <v>0.34422483274228799</v>
      </c>
      <c r="S2474">
        <v>14.5728818970235</v>
      </c>
      <c r="T2474">
        <v>-0.42082553484705398</v>
      </c>
      <c r="U2474">
        <v>-6.7904177693741596</v>
      </c>
      <c r="V2474">
        <v>0.67889316842469805</v>
      </c>
      <c r="W2474">
        <v>0.98642420921484297</v>
      </c>
      <c r="X2474">
        <v>0</v>
      </c>
      <c r="Y2474">
        <v>0</v>
      </c>
    </row>
    <row r="2475" spans="1:25" x14ac:dyDescent="0.2">
      <c r="A2475" t="s">
        <v>9251</v>
      </c>
      <c r="B2475" t="s">
        <v>9252</v>
      </c>
      <c r="C2475" t="s">
        <v>9253</v>
      </c>
      <c r="D2475" t="s">
        <v>9254</v>
      </c>
      <c r="E2475" t="s">
        <v>9252</v>
      </c>
      <c r="F2475" t="s">
        <v>28</v>
      </c>
      <c r="G2475" t="s">
        <v>9252</v>
      </c>
      <c r="H2475" t="str">
        <f>"let-99"</f>
        <v>let-99</v>
      </c>
      <c r="I2475" t="s">
        <v>9254</v>
      </c>
      <c r="J2475" t="s">
        <v>29</v>
      </c>
      <c r="K2475" t="s">
        <v>29</v>
      </c>
      <c r="L2475" t="s">
        <v>29</v>
      </c>
      <c r="M2475" t="s">
        <v>29</v>
      </c>
      <c r="N2475" t="s">
        <v>29</v>
      </c>
      <c r="O2475" t="s">
        <v>29</v>
      </c>
      <c r="P2475" t="s">
        <v>29</v>
      </c>
      <c r="Q2475" t="s">
        <v>29</v>
      </c>
      <c r="R2475" t="s">
        <v>29</v>
      </c>
      <c r="S2475">
        <v>11.3712057110898</v>
      </c>
      <c r="T2475" t="s">
        <v>29</v>
      </c>
      <c r="U2475" t="s">
        <v>29</v>
      </c>
      <c r="V2475" t="s">
        <v>29</v>
      </c>
      <c r="W2475" t="s">
        <v>29</v>
      </c>
      <c r="X2475" t="s">
        <v>29</v>
      </c>
      <c r="Y2475" t="s">
        <v>29</v>
      </c>
    </row>
    <row r="2476" spans="1:25" x14ac:dyDescent="0.2">
      <c r="A2476" t="s">
        <v>9255</v>
      </c>
      <c r="B2476" t="s">
        <v>9256</v>
      </c>
      <c r="C2476" t="s">
        <v>9257</v>
      </c>
      <c r="D2476" t="s">
        <v>9258</v>
      </c>
      <c r="E2476" t="s">
        <v>9256</v>
      </c>
      <c r="F2476" t="s">
        <v>28</v>
      </c>
      <c r="G2476" t="s">
        <v>9256</v>
      </c>
      <c r="H2476" t="str">
        <f>"eak-7"</f>
        <v>eak-7</v>
      </c>
      <c r="I2476" t="s">
        <v>9258</v>
      </c>
      <c r="J2476" t="s">
        <v>29</v>
      </c>
      <c r="K2476" t="s">
        <v>29</v>
      </c>
      <c r="L2476">
        <v>11.6549161721115</v>
      </c>
      <c r="M2476">
        <v>12.574956232977</v>
      </c>
      <c r="N2476" t="s">
        <v>29</v>
      </c>
      <c r="O2476">
        <v>11.8352024266661</v>
      </c>
      <c r="P2476">
        <v>0.55016315771005397</v>
      </c>
      <c r="Q2476">
        <v>-0.59157200243358199</v>
      </c>
      <c r="R2476">
        <v>1.6918983178536899</v>
      </c>
      <c r="S2476">
        <v>12.045269883994701</v>
      </c>
      <c r="T2476">
        <v>1.0920196008674401</v>
      </c>
      <c r="U2476">
        <v>-5.87615565633957</v>
      </c>
      <c r="V2476">
        <v>0.30351736731582901</v>
      </c>
      <c r="W2476">
        <v>0.85855590823088301</v>
      </c>
      <c r="X2476">
        <v>0</v>
      </c>
      <c r="Y2476">
        <v>0</v>
      </c>
    </row>
    <row r="2477" spans="1:25" x14ac:dyDescent="0.2">
      <c r="A2477" t="s">
        <v>9259</v>
      </c>
      <c r="B2477" t="s">
        <v>9260</v>
      </c>
      <c r="C2477" t="s">
        <v>9261</v>
      </c>
      <c r="D2477" t="s">
        <v>9262</v>
      </c>
      <c r="E2477" t="s">
        <v>9260</v>
      </c>
      <c r="F2477" t="s">
        <v>28</v>
      </c>
      <c r="G2477" t="s">
        <v>9260</v>
      </c>
      <c r="H2477" t="str">
        <f>"cul-6"</f>
        <v>cul-6</v>
      </c>
      <c r="I2477" t="s">
        <v>9262</v>
      </c>
      <c r="J2477">
        <v>9.9566377093243101</v>
      </c>
      <c r="K2477" t="s">
        <v>29</v>
      </c>
      <c r="L2477" t="s">
        <v>29</v>
      </c>
      <c r="M2477" t="s">
        <v>29</v>
      </c>
      <c r="N2477">
        <v>10.475264254232799</v>
      </c>
      <c r="O2477" t="s">
        <v>29</v>
      </c>
      <c r="P2477">
        <v>0.51862654490848703</v>
      </c>
      <c r="Q2477">
        <v>-0.48643866900910998</v>
      </c>
      <c r="R2477">
        <v>1.5236917588260901</v>
      </c>
      <c r="S2477">
        <v>9.9577191886599792</v>
      </c>
      <c r="T2477">
        <v>1.26810607473078</v>
      </c>
      <c r="U2477">
        <v>-5.5401938843304102</v>
      </c>
      <c r="V2477">
        <v>0.25253840005851602</v>
      </c>
      <c r="W2477">
        <v>0.83701250057606502</v>
      </c>
      <c r="X2477">
        <v>0</v>
      </c>
      <c r="Y2477">
        <v>0</v>
      </c>
    </row>
    <row r="2478" spans="1:25" x14ac:dyDescent="0.2">
      <c r="A2478" t="s">
        <v>9263</v>
      </c>
      <c r="B2478" t="s">
        <v>9264</v>
      </c>
      <c r="C2478" t="s">
        <v>9265</v>
      </c>
      <c r="D2478" t="s">
        <v>9266</v>
      </c>
      <c r="E2478" t="s">
        <v>9264</v>
      </c>
      <c r="F2478" t="s">
        <v>28</v>
      </c>
      <c r="G2478" t="s">
        <v>9264</v>
      </c>
      <c r="H2478" t="str">
        <f>"gtbp-1"</f>
        <v>gtbp-1</v>
      </c>
      <c r="I2478" t="s">
        <v>9266</v>
      </c>
      <c r="J2478">
        <v>15.1804963247587</v>
      </c>
      <c r="K2478">
        <v>15.3751580753529</v>
      </c>
      <c r="L2478">
        <v>15.666884829892799</v>
      </c>
      <c r="M2478">
        <v>15.7782991682834</v>
      </c>
      <c r="N2478">
        <v>15.5243777993892</v>
      </c>
      <c r="O2478">
        <v>15.6173421939266</v>
      </c>
      <c r="P2478">
        <v>0.23249331053158101</v>
      </c>
      <c r="Q2478">
        <v>-0.45199635410557798</v>
      </c>
      <c r="R2478">
        <v>0.91698297516873895</v>
      </c>
      <c r="S2478">
        <v>15.0832074345472</v>
      </c>
      <c r="T2478">
        <v>0.71389785944516004</v>
      </c>
      <c r="U2478">
        <v>-6.6199581634081897</v>
      </c>
      <c r="V2478">
        <v>0.48449841749241401</v>
      </c>
      <c r="W2478">
        <v>0.93959973540712705</v>
      </c>
      <c r="X2478">
        <v>0</v>
      </c>
      <c r="Y2478">
        <v>0</v>
      </c>
    </row>
    <row r="2479" spans="1:25" x14ac:dyDescent="0.2">
      <c r="A2479" t="s">
        <v>9267</v>
      </c>
      <c r="B2479" t="s">
        <v>9268</v>
      </c>
      <c r="C2479" t="s">
        <v>14498</v>
      </c>
      <c r="D2479" t="s">
        <v>9269</v>
      </c>
      <c r="E2479" t="s">
        <v>9268</v>
      </c>
      <c r="F2479" t="s">
        <v>28</v>
      </c>
      <c r="G2479" t="s">
        <v>9268</v>
      </c>
      <c r="H2479" t="str">
        <f>"K08F4.3"</f>
        <v>K08F4.3</v>
      </c>
      <c r="I2479" t="s">
        <v>9269</v>
      </c>
      <c r="J2479">
        <v>13.517377122648799</v>
      </c>
      <c r="K2479">
        <v>13.075298516293801</v>
      </c>
      <c r="L2479">
        <v>14.108529020261299</v>
      </c>
      <c r="M2479">
        <v>13.9641765072026</v>
      </c>
      <c r="N2479">
        <v>14.0681467955517</v>
      </c>
      <c r="O2479">
        <v>13.7340374556891</v>
      </c>
      <c r="P2479">
        <v>0.355052033079854</v>
      </c>
      <c r="Q2479">
        <v>-0.27588473668492802</v>
      </c>
      <c r="R2479">
        <v>0.98598880284463597</v>
      </c>
      <c r="S2479">
        <v>13.8321143619259</v>
      </c>
      <c r="T2479">
        <v>1.19359144032982</v>
      </c>
      <c r="U2479">
        <v>-6.1651773748894501</v>
      </c>
      <c r="V2479">
        <v>0.25014860491129198</v>
      </c>
      <c r="W2479">
        <v>0.83442661774174398</v>
      </c>
      <c r="X2479">
        <v>0</v>
      </c>
      <c r="Y2479">
        <v>0</v>
      </c>
    </row>
    <row r="2480" spans="1:25" x14ac:dyDescent="0.2">
      <c r="A2480" t="s">
        <v>9270</v>
      </c>
      <c r="B2480" t="s">
        <v>9271</v>
      </c>
      <c r="C2480" t="s">
        <v>14499</v>
      </c>
      <c r="D2480" t="s">
        <v>107</v>
      </c>
      <c r="E2480" t="s">
        <v>9271</v>
      </c>
      <c r="F2480" t="s">
        <v>28</v>
      </c>
      <c r="G2480" t="s">
        <v>9271</v>
      </c>
      <c r="H2480" t="str">
        <f>"K09C4.5"</f>
        <v>K09C4.5</v>
      </c>
      <c r="I2480" t="s">
        <v>107</v>
      </c>
      <c r="J2480">
        <v>12.552069962303401</v>
      </c>
      <c r="K2480">
        <v>12.4964347783009</v>
      </c>
      <c r="L2480">
        <v>12.2516846274999</v>
      </c>
      <c r="M2480">
        <v>12.640954234697</v>
      </c>
      <c r="N2480">
        <v>12.599563744172601</v>
      </c>
      <c r="O2480">
        <v>12.8081680747623</v>
      </c>
      <c r="P2480">
        <v>0.24949889517594301</v>
      </c>
      <c r="Q2480">
        <v>-0.30662471781053502</v>
      </c>
      <c r="R2480">
        <v>0.80562250816242098</v>
      </c>
      <c r="S2480">
        <v>12.4863327803498</v>
      </c>
      <c r="T2480">
        <v>0.95158332049961203</v>
      </c>
      <c r="U2480">
        <v>-6.41941808966238</v>
      </c>
      <c r="V2480">
        <v>0.35555507951230297</v>
      </c>
      <c r="W2480">
        <v>0.88107766538863996</v>
      </c>
      <c r="X2480">
        <v>0</v>
      </c>
      <c r="Y2480">
        <v>0</v>
      </c>
    </row>
    <row r="2481" spans="1:25" x14ac:dyDescent="0.2">
      <c r="A2481" t="s">
        <v>9272</v>
      </c>
      <c r="B2481" t="s">
        <v>9273</v>
      </c>
      <c r="C2481" t="s">
        <v>9274</v>
      </c>
      <c r="D2481" t="s">
        <v>9275</v>
      </c>
      <c r="E2481" t="s">
        <v>9273</v>
      </c>
      <c r="F2481" t="s">
        <v>28</v>
      </c>
      <c r="G2481" t="s">
        <v>9273</v>
      </c>
      <c r="H2481" t="str">
        <f>"gpcp-1"</f>
        <v>gpcp-1</v>
      </c>
      <c r="I2481" t="s">
        <v>9275</v>
      </c>
      <c r="J2481">
        <v>11.965706017983299</v>
      </c>
      <c r="K2481">
        <v>12.068131270966999</v>
      </c>
      <c r="L2481">
        <v>12.329205139358301</v>
      </c>
      <c r="M2481">
        <v>11.921505895527201</v>
      </c>
      <c r="N2481">
        <v>11.557710009035</v>
      </c>
      <c r="O2481">
        <v>12.2628387215585</v>
      </c>
      <c r="P2481">
        <v>-0.20699593406262401</v>
      </c>
      <c r="Q2481">
        <v>-0.87514148802907299</v>
      </c>
      <c r="R2481">
        <v>0.46114961990382602</v>
      </c>
      <c r="S2481">
        <v>11.7858114493408</v>
      </c>
      <c r="T2481">
        <v>-0.65711330670652801</v>
      </c>
      <c r="U2481">
        <v>-6.6584349243964596</v>
      </c>
      <c r="V2481">
        <v>0.52051011150531601</v>
      </c>
      <c r="W2481">
        <v>0.942279702500052</v>
      </c>
      <c r="X2481">
        <v>0</v>
      </c>
      <c r="Y2481">
        <v>0</v>
      </c>
    </row>
    <row r="2482" spans="1:25" x14ac:dyDescent="0.2">
      <c r="A2482" t="s">
        <v>9276</v>
      </c>
      <c r="B2482" t="s">
        <v>9277</v>
      </c>
      <c r="C2482" t="s">
        <v>9278</v>
      </c>
      <c r="D2482" t="s">
        <v>9279</v>
      </c>
      <c r="E2482" t="s">
        <v>9277</v>
      </c>
      <c r="F2482" t="s">
        <v>28</v>
      </c>
      <c r="G2482" t="s">
        <v>9277</v>
      </c>
      <c r="H2482" t="str">
        <f>"spc-1"</f>
        <v>spc-1</v>
      </c>
      <c r="I2482" t="s">
        <v>9279</v>
      </c>
      <c r="J2482" t="s">
        <v>29</v>
      </c>
      <c r="K2482" t="s">
        <v>29</v>
      </c>
      <c r="L2482">
        <v>10.7629725379456</v>
      </c>
      <c r="M2482">
        <v>9.4833197776899798</v>
      </c>
      <c r="N2482">
        <v>10.3162071382385</v>
      </c>
      <c r="O2482" t="s">
        <v>29</v>
      </c>
      <c r="P2482">
        <v>-0.863209079981335</v>
      </c>
      <c r="Q2482">
        <v>-1.8412304355984399</v>
      </c>
      <c r="R2482">
        <v>0.11481227563577499</v>
      </c>
      <c r="S2482">
        <v>10.793141776840599</v>
      </c>
      <c r="T2482">
        <v>-1.9083362781909801</v>
      </c>
      <c r="U2482">
        <v>-4.8000547479930198</v>
      </c>
      <c r="V2482">
        <v>7.88587335425594E-2</v>
      </c>
      <c r="W2482">
        <v>0.60076942510977904</v>
      </c>
      <c r="X2482">
        <v>0</v>
      </c>
      <c r="Y2482">
        <v>0</v>
      </c>
    </row>
    <row r="2483" spans="1:25" x14ac:dyDescent="0.2">
      <c r="A2483" t="s">
        <v>9280</v>
      </c>
      <c r="B2483" t="s">
        <v>9281</v>
      </c>
      <c r="C2483" t="s">
        <v>9282</v>
      </c>
      <c r="D2483" t="s">
        <v>828</v>
      </c>
      <c r="E2483" t="s">
        <v>9281</v>
      </c>
      <c r="F2483" t="s">
        <v>28</v>
      </c>
      <c r="G2483" t="s">
        <v>9281</v>
      </c>
      <c r="H2483" t="str">
        <f>"shc-3"</f>
        <v>shc-3</v>
      </c>
      <c r="I2483" t="s">
        <v>828</v>
      </c>
      <c r="J2483">
        <v>12.0836762729543</v>
      </c>
      <c r="K2483" t="s">
        <v>29</v>
      </c>
      <c r="L2483">
        <v>11.4895531241438</v>
      </c>
      <c r="M2483" t="s">
        <v>29</v>
      </c>
      <c r="N2483">
        <v>11.6538097655058</v>
      </c>
      <c r="O2483" t="s">
        <v>29</v>
      </c>
      <c r="P2483">
        <v>-0.132804933043257</v>
      </c>
      <c r="Q2483">
        <v>-1.1479376116084801</v>
      </c>
      <c r="R2483">
        <v>0.88232774552196802</v>
      </c>
      <c r="S2483">
        <v>12.439246743379901</v>
      </c>
      <c r="T2483">
        <v>-0.28828303923116499</v>
      </c>
      <c r="U2483">
        <v>-6.4392698737940197</v>
      </c>
      <c r="V2483">
        <v>0.77854049682890203</v>
      </c>
      <c r="W2483">
        <v>0.99278624068726296</v>
      </c>
      <c r="X2483">
        <v>0</v>
      </c>
      <c r="Y2483">
        <v>0</v>
      </c>
    </row>
    <row r="2484" spans="1:25" x14ac:dyDescent="0.2">
      <c r="A2484" t="s">
        <v>9283</v>
      </c>
      <c r="B2484" t="s">
        <v>9284</v>
      </c>
      <c r="C2484" t="s">
        <v>9285</v>
      </c>
      <c r="D2484" t="s">
        <v>338</v>
      </c>
      <c r="E2484" t="s">
        <v>9284</v>
      </c>
      <c r="F2484" t="s">
        <v>28</v>
      </c>
      <c r="G2484" t="s">
        <v>9284</v>
      </c>
      <c r="H2484" t="str">
        <f>"pix-1"</f>
        <v>pix-1</v>
      </c>
      <c r="I2484" t="s">
        <v>338</v>
      </c>
      <c r="J2484">
        <v>12.9474108656635</v>
      </c>
      <c r="K2484">
        <v>13.0187184958437</v>
      </c>
      <c r="L2484">
        <v>12.6647322028789</v>
      </c>
      <c r="M2484">
        <v>13.1568273735042</v>
      </c>
      <c r="N2484">
        <v>13.083087712704501</v>
      </c>
      <c r="O2484">
        <v>13.7264201302474</v>
      </c>
      <c r="P2484">
        <v>0.44515788402331302</v>
      </c>
      <c r="Q2484">
        <v>-6.3514692550908997E-2</v>
      </c>
      <c r="R2484">
        <v>0.95383046059753596</v>
      </c>
      <c r="S2484">
        <v>12.9413812868317</v>
      </c>
      <c r="T2484">
        <v>1.8393664380008701</v>
      </c>
      <c r="U2484">
        <v>-5.2649089957786197</v>
      </c>
      <c r="V2484">
        <v>8.2513002108789396E-2</v>
      </c>
      <c r="W2484">
        <v>0.60425905304272798</v>
      </c>
      <c r="X2484">
        <v>0</v>
      </c>
      <c r="Y2484">
        <v>0</v>
      </c>
    </row>
    <row r="2485" spans="1:25" x14ac:dyDescent="0.2">
      <c r="A2485" t="s">
        <v>9286</v>
      </c>
      <c r="B2485" t="s">
        <v>9287</v>
      </c>
      <c r="C2485" t="s">
        <v>9288</v>
      </c>
      <c r="D2485" t="s">
        <v>9289</v>
      </c>
      <c r="E2485" t="s">
        <v>9287</v>
      </c>
      <c r="F2485" t="s">
        <v>28</v>
      </c>
      <c r="G2485" t="s">
        <v>9287</v>
      </c>
      <c r="H2485" t="str">
        <f>"npp-3"</f>
        <v>npp-3</v>
      </c>
      <c r="I2485" t="s">
        <v>9289</v>
      </c>
      <c r="J2485">
        <v>14.349003331474499</v>
      </c>
      <c r="K2485">
        <v>14.390120620277701</v>
      </c>
      <c r="L2485">
        <v>14.4247918856266</v>
      </c>
      <c r="M2485">
        <v>14.3450618433461</v>
      </c>
      <c r="N2485">
        <v>14.365237711573201</v>
      </c>
      <c r="O2485">
        <v>14.268763607541</v>
      </c>
      <c r="P2485">
        <v>-6.1617558306190597E-2</v>
      </c>
      <c r="Q2485">
        <v>-0.45634320660077199</v>
      </c>
      <c r="R2485">
        <v>0.33310808998839098</v>
      </c>
      <c r="S2485">
        <v>14.558583767203601</v>
      </c>
      <c r="T2485">
        <v>-0.32809654052100301</v>
      </c>
      <c r="U2485">
        <v>-6.8264142739352804</v>
      </c>
      <c r="V2485">
        <v>0.74664642637313205</v>
      </c>
      <c r="W2485">
        <v>0.99184638945407499</v>
      </c>
      <c r="X2485">
        <v>0</v>
      </c>
      <c r="Y2485">
        <v>0</v>
      </c>
    </row>
    <row r="2486" spans="1:25" x14ac:dyDescent="0.2">
      <c r="A2486" t="s">
        <v>9290</v>
      </c>
      <c r="B2486" t="s">
        <v>9291</v>
      </c>
      <c r="C2486" t="s">
        <v>9292</v>
      </c>
      <c r="D2486" t="s">
        <v>9293</v>
      </c>
      <c r="E2486" t="s">
        <v>9291</v>
      </c>
      <c r="F2486" t="s">
        <v>28</v>
      </c>
      <c r="G2486" t="s">
        <v>9291</v>
      </c>
      <c r="H2486" t="str">
        <f>"lmn-1"</f>
        <v>lmn-1</v>
      </c>
      <c r="I2486" t="s">
        <v>9293</v>
      </c>
      <c r="J2486">
        <v>11.116556631181799</v>
      </c>
      <c r="K2486">
        <v>11.9625778959035</v>
      </c>
      <c r="L2486">
        <v>11.606690078745901</v>
      </c>
      <c r="M2486">
        <v>11.6611605012898</v>
      </c>
      <c r="N2486">
        <v>11.655444677656901</v>
      </c>
      <c r="O2486">
        <v>11.810320124696499</v>
      </c>
      <c r="P2486">
        <v>0.147033565937292</v>
      </c>
      <c r="Q2486">
        <v>-0.46499565962606798</v>
      </c>
      <c r="R2486">
        <v>0.75906279150065203</v>
      </c>
      <c r="S2486">
        <v>12.034039215969299</v>
      </c>
      <c r="T2486">
        <v>0.50710085433509999</v>
      </c>
      <c r="U2486">
        <v>-6.7487335268872704</v>
      </c>
      <c r="V2486">
        <v>0.61863875523533896</v>
      </c>
      <c r="W2486">
        <v>0.97279262440453396</v>
      </c>
      <c r="X2486">
        <v>0</v>
      </c>
      <c r="Y2486">
        <v>0</v>
      </c>
    </row>
    <row r="2487" spans="1:25" x14ac:dyDescent="0.2">
      <c r="A2487" t="s">
        <v>9294</v>
      </c>
      <c r="B2487" t="s">
        <v>9295</v>
      </c>
      <c r="C2487" t="s">
        <v>9296</v>
      </c>
      <c r="D2487" t="s">
        <v>9297</v>
      </c>
      <c r="E2487" t="s">
        <v>9295</v>
      </c>
      <c r="F2487" t="s">
        <v>28</v>
      </c>
      <c r="G2487" t="s">
        <v>9295</v>
      </c>
      <c r="H2487" t="str">
        <f>"cogc-2"</f>
        <v>cogc-2</v>
      </c>
      <c r="I2487" t="s">
        <v>9297</v>
      </c>
      <c r="J2487">
        <v>11.859491956746901</v>
      </c>
      <c r="K2487" t="s">
        <v>29</v>
      </c>
      <c r="L2487" t="s">
        <v>29</v>
      </c>
      <c r="M2487" t="s">
        <v>29</v>
      </c>
      <c r="N2487">
        <v>12.1333460759784</v>
      </c>
      <c r="O2487">
        <v>10.883450128820799</v>
      </c>
      <c r="P2487">
        <v>-0.35109385434729601</v>
      </c>
      <c r="Q2487">
        <v>-1.4769583211151001</v>
      </c>
      <c r="R2487">
        <v>0.77477061242051204</v>
      </c>
      <c r="S2487">
        <v>11.5058185692791</v>
      </c>
      <c r="T2487">
        <v>-0.68717097637594904</v>
      </c>
      <c r="U2487">
        <v>-6.2369837350019699</v>
      </c>
      <c r="V2487">
        <v>0.50633887735807903</v>
      </c>
      <c r="W2487">
        <v>0.94062983959761604</v>
      </c>
      <c r="X2487">
        <v>0</v>
      </c>
      <c r="Y2487">
        <v>0</v>
      </c>
    </row>
    <row r="2488" spans="1:25" x14ac:dyDescent="0.2">
      <c r="A2488" t="s">
        <v>9298</v>
      </c>
      <c r="B2488" t="s">
        <v>9299</v>
      </c>
      <c r="C2488" t="s">
        <v>9300</v>
      </c>
      <c r="D2488" t="s">
        <v>9301</v>
      </c>
      <c r="E2488" t="s">
        <v>9299</v>
      </c>
      <c r="F2488" t="s">
        <v>28</v>
      </c>
      <c r="G2488" t="s">
        <v>9299</v>
      </c>
      <c r="H2488" t="str">
        <f>"lin-14"</f>
        <v>lin-14</v>
      </c>
      <c r="I2488" t="s">
        <v>9301</v>
      </c>
      <c r="J2488" t="s">
        <v>29</v>
      </c>
      <c r="K2488" t="s">
        <v>29</v>
      </c>
      <c r="L2488" t="s">
        <v>29</v>
      </c>
      <c r="M2488" t="s">
        <v>29</v>
      </c>
      <c r="N2488" t="s">
        <v>29</v>
      </c>
      <c r="O2488" t="s">
        <v>29</v>
      </c>
      <c r="P2488" t="s">
        <v>29</v>
      </c>
      <c r="Q2488" t="s">
        <v>29</v>
      </c>
      <c r="R2488" t="s">
        <v>29</v>
      </c>
      <c r="S2488">
        <v>11.8111976655495</v>
      </c>
      <c r="T2488" t="s">
        <v>29</v>
      </c>
      <c r="U2488" t="s">
        <v>29</v>
      </c>
      <c r="V2488" t="s">
        <v>29</v>
      </c>
      <c r="W2488" t="s">
        <v>29</v>
      </c>
      <c r="X2488" t="s">
        <v>29</v>
      </c>
      <c r="Y2488" t="s">
        <v>29</v>
      </c>
    </row>
    <row r="2489" spans="1:25" x14ac:dyDescent="0.2">
      <c r="A2489" t="s">
        <v>9302</v>
      </c>
      <c r="B2489" t="s">
        <v>9303</v>
      </c>
      <c r="C2489" t="s">
        <v>9304</v>
      </c>
      <c r="D2489" t="s">
        <v>9305</v>
      </c>
      <c r="E2489" t="s">
        <v>9303</v>
      </c>
      <c r="F2489" t="s">
        <v>28</v>
      </c>
      <c r="G2489" t="s">
        <v>9303</v>
      </c>
      <c r="H2489" t="str">
        <f>"M01F1.3"</f>
        <v>M01F1.3</v>
      </c>
      <c r="I2489" t="s">
        <v>9305</v>
      </c>
      <c r="J2489">
        <v>13.7100661364201</v>
      </c>
      <c r="K2489">
        <v>13.2537297483813</v>
      </c>
      <c r="L2489">
        <v>13.1495632288397</v>
      </c>
      <c r="M2489">
        <v>12.777467130442201</v>
      </c>
      <c r="N2489">
        <v>13.576807959243601</v>
      </c>
      <c r="O2489">
        <v>13.2280449267463</v>
      </c>
      <c r="P2489">
        <v>-0.17701303240298599</v>
      </c>
      <c r="Q2489">
        <v>-0.69580453737279802</v>
      </c>
      <c r="R2489">
        <v>0.34177847256682697</v>
      </c>
      <c r="S2489">
        <v>13.5251963984493</v>
      </c>
      <c r="T2489">
        <v>-0.72021539285763503</v>
      </c>
      <c r="U2489">
        <v>-6.6147476449100697</v>
      </c>
      <c r="V2489">
        <v>0.48123868910901502</v>
      </c>
      <c r="W2489">
        <v>0.93764446794243095</v>
      </c>
      <c r="X2489">
        <v>0</v>
      </c>
      <c r="Y2489">
        <v>0</v>
      </c>
    </row>
    <row r="2490" spans="1:25" x14ac:dyDescent="0.2">
      <c r="A2490" t="s">
        <v>9306</v>
      </c>
      <c r="B2490" t="s">
        <v>9307</v>
      </c>
      <c r="C2490" t="s">
        <v>14500</v>
      </c>
      <c r="D2490" t="s">
        <v>9308</v>
      </c>
      <c r="E2490" t="s">
        <v>9307</v>
      </c>
      <c r="F2490" t="s">
        <v>28</v>
      </c>
      <c r="G2490" t="s">
        <v>9307</v>
      </c>
      <c r="H2490" t="str">
        <f>"M01F1.4"</f>
        <v>M01F1.4</v>
      </c>
      <c r="I2490" t="s">
        <v>9308</v>
      </c>
      <c r="J2490">
        <v>12.2259242777574</v>
      </c>
      <c r="K2490">
        <v>12.7560991618258</v>
      </c>
      <c r="L2490">
        <v>12.2343388178582</v>
      </c>
      <c r="M2490">
        <v>12.522667021016501</v>
      </c>
      <c r="N2490">
        <v>12.6291984021244</v>
      </c>
      <c r="O2490">
        <v>12.371595261551199</v>
      </c>
      <c r="P2490">
        <v>0.102366142416924</v>
      </c>
      <c r="Q2490">
        <v>-0.559577147028813</v>
      </c>
      <c r="R2490">
        <v>0.76430943186266098</v>
      </c>
      <c r="S2490">
        <v>12.6945547392608</v>
      </c>
      <c r="T2490">
        <v>0.328008489000157</v>
      </c>
      <c r="U2490">
        <v>-6.8260925049807302</v>
      </c>
      <c r="V2490">
        <v>0.74718623302710596</v>
      </c>
      <c r="W2490">
        <v>0.99184638945407499</v>
      </c>
      <c r="X2490">
        <v>0</v>
      </c>
      <c r="Y2490">
        <v>0</v>
      </c>
    </row>
    <row r="2491" spans="1:25" x14ac:dyDescent="0.2">
      <c r="A2491" t="s">
        <v>9309</v>
      </c>
      <c r="B2491" t="s">
        <v>9310</v>
      </c>
      <c r="C2491" t="s">
        <v>9311</v>
      </c>
      <c r="D2491" t="s">
        <v>9312</v>
      </c>
      <c r="E2491" t="s">
        <v>9310</v>
      </c>
      <c r="F2491" t="s">
        <v>28</v>
      </c>
      <c r="G2491" t="s">
        <v>9310</v>
      </c>
      <c r="H2491" t="str">
        <f>"mrpl-35"</f>
        <v>mrpl-35</v>
      </c>
      <c r="I2491" t="s">
        <v>9312</v>
      </c>
      <c r="J2491">
        <v>13.3318404776718</v>
      </c>
      <c r="K2491">
        <v>13.3310673398961</v>
      </c>
      <c r="L2491">
        <v>13.1435076746676</v>
      </c>
      <c r="M2491" t="s">
        <v>29</v>
      </c>
      <c r="N2491" t="s">
        <v>29</v>
      </c>
      <c r="O2491" t="s">
        <v>29</v>
      </c>
      <c r="P2491" t="s">
        <v>29</v>
      </c>
      <c r="Q2491" t="s">
        <v>29</v>
      </c>
      <c r="R2491" t="s">
        <v>29</v>
      </c>
      <c r="S2491">
        <v>13.3316393770618</v>
      </c>
      <c r="T2491" t="s">
        <v>29</v>
      </c>
      <c r="U2491" t="s">
        <v>29</v>
      </c>
      <c r="V2491" t="s">
        <v>29</v>
      </c>
      <c r="W2491" t="s">
        <v>29</v>
      </c>
      <c r="X2491" t="s">
        <v>29</v>
      </c>
      <c r="Y2491" t="s">
        <v>29</v>
      </c>
    </row>
    <row r="2492" spans="1:25" x14ac:dyDescent="0.2">
      <c r="A2492" t="s">
        <v>9313</v>
      </c>
      <c r="B2492" t="s">
        <v>9314</v>
      </c>
      <c r="C2492" t="s">
        <v>9315</v>
      </c>
      <c r="D2492" t="s">
        <v>3282</v>
      </c>
      <c r="E2492" t="s">
        <v>9314</v>
      </c>
      <c r="F2492" t="s">
        <v>28</v>
      </c>
      <c r="G2492" t="s">
        <v>9314</v>
      </c>
      <c r="H2492" t="str">
        <f>"asns-2"</f>
        <v>asns-2</v>
      </c>
      <c r="I2492" t="s">
        <v>3282</v>
      </c>
      <c r="J2492">
        <v>12.5460263109059</v>
      </c>
      <c r="K2492">
        <v>12.509031950239899</v>
      </c>
      <c r="L2492">
        <v>12.892094863020199</v>
      </c>
      <c r="M2492">
        <v>12.4596027266729</v>
      </c>
      <c r="N2492">
        <v>11.435704193752199</v>
      </c>
      <c r="O2492">
        <v>12.8840741604716</v>
      </c>
      <c r="P2492">
        <v>-0.38925734775641302</v>
      </c>
      <c r="Q2492">
        <v>-1.0269903240851199</v>
      </c>
      <c r="R2492">
        <v>0.24847562857229299</v>
      </c>
      <c r="S2492">
        <v>12.630752609784301</v>
      </c>
      <c r="T2492">
        <v>-1.28839181756522</v>
      </c>
      <c r="U2492">
        <v>-6.0529963208242599</v>
      </c>
      <c r="V2492">
        <v>0.214974971217677</v>
      </c>
      <c r="W2492">
        <v>0.79508962856638699</v>
      </c>
      <c r="X2492">
        <v>0</v>
      </c>
      <c r="Y2492">
        <v>0</v>
      </c>
    </row>
    <row r="2493" spans="1:25" x14ac:dyDescent="0.2">
      <c r="A2493" t="s">
        <v>9316</v>
      </c>
      <c r="B2493" t="s">
        <v>9317</v>
      </c>
      <c r="C2493" t="s">
        <v>9318</v>
      </c>
      <c r="D2493" t="s">
        <v>9319</v>
      </c>
      <c r="E2493" t="s">
        <v>9317</v>
      </c>
      <c r="F2493" t="s">
        <v>28</v>
      </c>
      <c r="G2493" t="s">
        <v>9317</v>
      </c>
      <c r="H2493" t="str">
        <f>"atg-2"</f>
        <v>atg-2</v>
      </c>
      <c r="I2493" t="s">
        <v>9319</v>
      </c>
      <c r="J2493">
        <v>12.3090918939946</v>
      </c>
      <c r="K2493" t="s">
        <v>29</v>
      </c>
      <c r="L2493" t="s">
        <v>29</v>
      </c>
      <c r="M2493">
        <v>12.0479820257488</v>
      </c>
      <c r="N2493">
        <v>12.520146791947599</v>
      </c>
      <c r="O2493">
        <v>12.0844797812119</v>
      </c>
      <c r="P2493">
        <v>-9.1555694358508105E-2</v>
      </c>
      <c r="Q2493">
        <v>-0.92560250038095604</v>
      </c>
      <c r="R2493">
        <v>0.74249111166394</v>
      </c>
      <c r="S2493">
        <v>12.497576448656799</v>
      </c>
      <c r="T2493">
        <v>-0.23411893666313099</v>
      </c>
      <c r="U2493">
        <v>-6.5124488149610702</v>
      </c>
      <c r="V2493">
        <v>0.81808012406154496</v>
      </c>
      <c r="W2493">
        <v>0.99278624068726296</v>
      </c>
      <c r="X2493">
        <v>0</v>
      </c>
      <c r="Y2493">
        <v>0</v>
      </c>
    </row>
    <row r="2494" spans="1:25" x14ac:dyDescent="0.2">
      <c r="A2494" t="s">
        <v>9320</v>
      </c>
      <c r="B2494" t="s">
        <v>9321</v>
      </c>
      <c r="C2494" t="s">
        <v>9322</v>
      </c>
      <c r="D2494" t="s">
        <v>9323</v>
      </c>
      <c r="E2494" t="s">
        <v>9321</v>
      </c>
      <c r="F2494" t="s">
        <v>28</v>
      </c>
      <c r="G2494" t="s">
        <v>9321</v>
      </c>
      <c r="H2494" t="str">
        <f>"dhs-28"</f>
        <v>dhs-28</v>
      </c>
      <c r="I2494" t="s">
        <v>9323</v>
      </c>
      <c r="J2494">
        <v>18.778681754390899</v>
      </c>
      <c r="K2494">
        <v>18.654279831061999</v>
      </c>
      <c r="L2494">
        <v>18.422155790842002</v>
      </c>
      <c r="M2494">
        <v>18.422176444425101</v>
      </c>
      <c r="N2494">
        <v>18.4522914969208</v>
      </c>
      <c r="O2494">
        <v>18.654738107353399</v>
      </c>
      <c r="P2494">
        <v>-0.10863710919854699</v>
      </c>
      <c r="Q2494">
        <v>-0.47153780083417202</v>
      </c>
      <c r="R2494">
        <v>0.25426358243707797</v>
      </c>
      <c r="S2494">
        <v>17.8664789496945</v>
      </c>
      <c r="T2494">
        <v>-0.62919160279972597</v>
      </c>
      <c r="U2494">
        <v>-6.6779199633527604</v>
      </c>
      <c r="V2494">
        <v>0.53717384953720304</v>
      </c>
      <c r="W2494">
        <v>0.94544152383096502</v>
      </c>
      <c r="X2494">
        <v>0</v>
      </c>
      <c r="Y2494">
        <v>0</v>
      </c>
    </row>
    <row r="2495" spans="1:25" x14ac:dyDescent="0.2">
      <c r="A2495" t="s">
        <v>9324</v>
      </c>
      <c r="B2495" t="s">
        <v>9325</v>
      </c>
      <c r="C2495" t="s">
        <v>9326</v>
      </c>
      <c r="D2495" t="s">
        <v>9327</v>
      </c>
      <c r="E2495" t="s">
        <v>9325</v>
      </c>
      <c r="F2495" t="s">
        <v>28</v>
      </c>
      <c r="G2495" t="s">
        <v>9325</v>
      </c>
      <c r="H2495" t="str">
        <f>"prp-3"</f>
        <v>prp-3</v>
      </c>
      <c r="I2495" t="s">
        <v>9327</v>
      </c>
      <c r="J2495">
        <v>13.6120617314859</v>
      </c>
      <c r="K2495">
        <v>13.3950588505864</v>
      </c>
      <c r="L2495">
        <v>13.3096305823856</v>
      </c>
      <c r="M2495">
        <v>13.3652136233497</v>
      </c>
      <c r="N2495">
        <v>13.301520696536601</v>
      </c>
      <c r="O2495">
        <v>13.346569504169899</v>
      </c>
      <c r="P2495">
        <v>-0.101149113467216</v>
      </c>
      <c r="Q2495">
        <v>-0.54984638767882699</v>
      </c>
      <c r="R2495">
        <v>0.34754816074439598</v>
      </c>
      <c r="S2495">
        <v>13.024834241350799</v>
      </c>
      <c r="T2495">
        <v>-0.475837497252736</v>
      </c>
      <c r="U2495">
        <v>-6.7646105773230198</v>
      </c>
      <c r="V2495">
        <v>0.64028479787639603</v>
      </c>
      <c r="W2495">
        <v>0.97611901389493605</v>
      </c>
      <c r="X2495">
        <v>0</v>
      </c>
      <c r="Y2495">
        <v>0</v>
      </c>
    </row>
    <row r="2496" spans="1:25" x14ac:dyDescent="0.2">
      <c r="A2496" t="s">
        <v>9328</v>
      </c>
      <c r="B2496" t="s">
        <v>9329</v>
      </c>
      <c r="C2496" t="s">
        <v>9330</v>
      </c>
      <c r="D2496" t="s">
        <v>9331</v>
      </c>
      <c r="E2496" t="s">
        <v>9329</v>
      </c>
      <c r="F2496" t="s">
        <v>28</v>
      </c>
      <c r="G2496" t="s">
        <v>9329</v>
      </c>
      <c r="H2496" t="str">
        <f>"mep-1"</f>
        <v>mep-1</v>
      </c>
      <c r="I2496" t="s">
        <v>9331</v>
      </c>
      <c r="J2496">
        <v>11.3303709584969</v>
      </c>
      <c r="K2496">
        <v>11.1331293555715</v>
      </c>
      <c r="L2496">
        <v>11.7363708030379</v>
      </c>
      <c r="M2496">
        <v>10.9001235651365</v>
      </c>
      <c r="N2496">
        <v>11.1665078257919</v>
      </c>
      <c r="O2496">
        <v>11.1382983783862</v>
      </c>
      <c r="P2496">
        <v>-0.33164711593054502</v>
      </c>
      <c r="Q2496">
        <v>-0.94873064773320204</v>
      </c>
      <c r="R2496">
        <v>0.28543641587211099</v>
      </c>
      <c r="S2496">
        <v>11.781337484744</v>
      </c>
      <c r="T2496">
        <v>-1.1344419601648399</v>
      </c>
      <c r="U2496">
        <v>-6.2326584081337897</v>
      </c>
      <c r="V2496">
        <v>0.27244915242373802</v>
      </c>
      <c r="W2496">
        <v>0.856190392347986</v>
      </c>
      <c r="X2496">
        <v>0</v>
      </c>
      <c r="Y2496">
        <v>0</v>
      </c>
    </row>
    <row r="2497" spans="1:25" x14ac:dyDescent="0.2">
      <c r="A2497" t="s">
        <v>9332</v>
      </c>
      <c r="B2497" t="s">
        <v>9333</v>
      </c>
      <c r="C2497" t="s">
        <v>14501</v>
      </c>
      <c r="D2497" t="s">
        <v>9334</v>
      </c>
      <c r="E2497" t="s">
        <v>9333</v>
      </c>
      <c r="F2497" t="s">
        <v>28</v>
      </c>
      <c r="G2497" t="s">
        <v>9333</v>
      </c>
      <c r="H2497" t="str">
        <f>"M04B2.4"</f>
        <v>M04B2.4</v>
      </c>
      <c r="I2497" t="s">
        <v>9334</v>
      </c>
      <c r="J2497">
        <v>14.598622019684999</v>
      </c>
      <c r="K2497">
        <v>14.7000482356147</v>
      </c>
      <c r="L2497">
        <v>14.7163975634205</v>
      </c>
      <c r="M2497">
        <v>14.2438037930673</v>
      </c>
      <c r="N2497">
        <v>14.5797057335072</v>
      </c>
      <c r="O2497">
        <v>14.257123307159301</v>
      </c>
      <c r="P2497">
        <v>-0.31147832832882599</v>
      </c>
      <c r="Q2497">
        <v>-0.90542016407287096</v>
      </c>
      <c r="R2497">
        <v>0.28246350741521797</v>
      </c>
      <c r="S2497">
        <v>14.824498699151899</v>
      </c>
      <c r="T2497">
        <v>-1.10696510664738</v>
      </c>
      <c r="U2497">
        <v>-6.26268128142548</v>
      </c>
      <c r="V2497">
        <v>0.283821452720459</v>
      </c>
      <c r="W2497">
        <v>0.856190392347986</v>
      </c>
      <c r="X2497">
        <v>0</v>
      </c>
      <c r="Y2497">
        <v>0</v>
      </c>
    </row>
    <row r="2498" spans="1:25" x14ac:dyDescent="0.2">
      <c r="A2498" t="s">
        <v>9335</v>
      </c>
      <c r="B2498" t="s">
        <v>9336</v>
      </c>
      <c r="C2498" t="s">
        <v>9337</v>
      </c>
      <c r="D2498" t="s">
        <v>9338</v>
      </c>
      <c r="E2498" t="s">
        <v>9336</v>
      </c>
      <c r="F2498" t="s">
        <v>28</v>
      </c>
      <c r="G2498" t="s">
        <v>9336</v>
      </c>
      <c r="H2498" t="str">
        <f>"lact-4"</f>
        <v>lact-4</v>
      </c>
      <c r="I2498" t="s">
        <v>9338</v>
      </c>
      <c r="J2498">
        <v>12.8342943214413</v>
      </c>
      <c r="K2498">
        <v>13.420002324897199</v>
      </c>
      <c r="L2498">
        <v>12.460232502980899</v>
      </c>
      <c r="M2498">
        <v>12.052197861077399</v>
      </c>
      <c r="N2498">
        <v>12.5386479748742</v>
      </c>
      <c r="O2498">
        <v>12.2158026363752</v>
      </c>
      <c r="P2498">
        <v>-0.635960225664157</v>
      </c>
      <c r="Q2498">
        <v>-1.2300518593351799</v>
      </c>
      <c r="R2498">
        <v>-4.1868591993129603E-2</v>
      </c>
      <c r="S2498">
        <v>12.0499989880527</v>
      </c>
      <c r="T2498">
        <v>-2.3588711110973799</v>
      </c>
      <c r="U2498">
        <v>-4.4598698783849802</v>
      </c>
      <c r="V2498">
        <v>3.8094397737981497E-2</v>
      </c>
      <c r="W2498">
        <v>0.42323366778142302</v>
      </c>
      <c r="X2498">
        <v>0</v>
      </c>
      <c r="Y2498">
        <v>0</v>
      </c>
    </row>
    <row r="2499" spans="1:25" x14ac:dyDescent="0.2">
      <c r="A2499" t="s">
        <v>9339</v>
      </c>
      <c r="B2499" t="s">
        <v>9340</v>
      </c>
      <c r="C2499" t="s">
        <v>9341</v>
      </c>
      <c r="D2499" t="s">
        <v>9342</v>
      </c>
      <c r="E2499" t="s">
        <v>9340</v>
      </c>
      <c r="F2499" t="s">
        <v>28</v>
      </c>
      <c r="G2499" t="s">
        <v>9340</v>
      </c>
      <c r="H2499" t="str">
        <f>"gss-1"</f>
        <v>gss-1</v>
      </c>
      <c r="I2499" t="s">
        <v>9342</v>
      </c>
      <c r="J2499" t="s">
        <v>29</v>
      </c>
      <c r="K2499" t="s">
        <v>29</v>
      </c>
      <c r="L2499" t="s">
        <v>29</v>
      </c>
      <c r="M2499" t="s">
        <v>29</v>
      </c>
      <c r="N2499" t="s">
        <v>29</v>
      </c>
      <c r="O2499" t="s">
        <v>29</v>
      </c>
      <c r="P2499" t="s">
        <v>29</v>
      </c>
      <c r="Q2499" t="s">
        <v>29</v>
      </c>
      <c r="R2499" t="s">
        <v>29</v>
      </c>
      <c r="S2499">
        <v>11.8953376148882</v>
      </c>
      <c r="T2499" t="s">
        <v>29</v>
      </c>
      <c r="U2499" t="s">
        <v>29</v>
      </c>
      <c r="V2499" t="s">
        <v>29</v>
      </c>
      <c r="W2499" t="s">
        <v>29</v>
      </c>
      <c r="X2499" t="s">
        <v>29</v>
      </c>
      <c r="Y2499" t="s">
        <v>29</v>
      </c>
    </row>
    <row r="2500" spans="1:25" x14ac:dyDescent="0.2">
      <c r="A2500" t="s">
        <v>9343</v>
      </c>
      <c r="B2500" t="s">
        <v>9344</v>
      </c>
      <c r="C2500" t="s">
        <v>14502</v>
      </c>
      <c r="D2500" t="s">
        <v>9345</v>
      </c>
      <c r="E2500" t="s">
        <v>9344</v>
      </c>
      <c r="F2500" t="s">
        <v>28</v>
      </c>
      <c r="G2500" t="s">
        <v>9344</v>
      </c>
      <c r="H2500" t="str">
        <f>"M176.4"</f>
        <v>M176.4</v>
      </c>
      <c r="I2500" t="s">
        <v>9345</v>
      </c>
      <c r="J2500">
        <v>13.3460801872902</v>
      </c>
      <c r="K2500" t="s">
        <v>29</v>
      </c>
      <c r="L2500">
        <v>13.2092835173555</v>
      </c>
      <c r="M2500">
        <v>13.1673366389648</v>
      </c>
      <c r="N2500">
        <v>13.2259086866567</v>
      </c>
      <c r="O2500">
        <v>12.773347855726</v>
      </c>
      <c r="P2500">
        <v>-0.22215079187369799</v>
      </c>
      <c r="Q2500">
        <v>-0.71783693104998803</v>
      </c>
      <c r="R2500">
        <v>0.27353534730259199</v>
      </c>
      <c r="S2500">
        <v>13.713589418647899</v>
      </c>
      <c r="T2500">
        <v>-0.95583448814588701</v>
      </c>
      <c r="U2500">
        <v>-6.3053553083759004</v>
      </c>
      <c r="V2500">
        <v>0.35441292619582099</v>
      </c>
      <c r="W2500">
        <v>0.87950242192597095</v>
      </c>
      <c r="X2500">
        <v>0</v>
      </c>
      <c r="Y2500">
        <v>0</v>
      </c>
    </row>
    <row r="2501" spans="1:25" x14ac:dyDescent="0.2">
      <c r="A2501" t="s">
        <v>9346</v>
      </c>
      <c r="B2501" t="s">
        <v>9347</v>
      </c>
      <c r="C2501" t="s">
        <v>14503</v>
      </c>
      <c r="D2501" t="s">
        <v>9348</v>
      </c>
      <c r="E2501" t="s">
        <v>9347</v>
      </c>
      <c r="F2501" t="s">
        <v>28</v>
      </c>
      <c r="G2501" t="s">
        <v>9347</v>
      </c>
      <c r="H2501" t="str">
        <f>"M18.3"</f>
        <v>M18.3</v>
      </c>
      <c r="I2501" t="s">
        <v>9348</v>
      </c>
      <c r="J2501">
        <v>11.2974753336263</v>
      </c>
      <c r="K2501">
        <v>10.8849468675969</v>
      </c>
      <c r="L2501">
        <v>10.536091933434699</v>
      </c>
      <c r="M2501">
        <v>10.994816990947401</v>
      </c>
      <c r="N2501">
        <v>11.569386949538201</v>
      </c>
      <c r="O2501">
        <v>11.4342539386531</v>
      </c>
      <c r="P2501">
        <v>0.42664791482689801</v>
      </c>
      <c r="Q2501">
        <v>-0.27085320177331901</v>
      </c>
      <c r="R2501">
        <v>1.1241490314271101</v>
      </c>
      <c r="S2501">
        <v>12.0571489545608</v>
      </c>
      <c r="T2501">
        <v>1.3045668124352601</v>
      </c>
      <c r="U2501">
        <v>-6.0320052915847899</v>
      </c>
      <c r="V2501">
        <v>0.21183818520973099</v>
      </c>
      <c r="W2501">
        <v>0.79492804357574798</v>
      </c>
      <c r="X2501">
        <v>0</v>
      </c>
      <c r="Y2501">
        <v>0</v>
      </c>
    </row>
    <row r="2502" spans="1:25" x14ac:dyDescent="0.2">
      <c r="A2502" t="s">
        <v>9349</v>
      </c>
      <c r="B2502" t="s">
        <v>9350</v>
      </c>
      <c r="C2502" t="s">
        <v>9351</v>
      </c>
      <c r="D2502" t="s">
        <v>4425</v>
      </c>
      <c r="E2502" t="s">
        <v>9350</v>
      </c>
      <c r="F2502" t="s">
        <v>28</v>
      </c>
      <c r="G2502" t="s">
        <v>9350</v>
      </c>
      <c r="H2502" t="str">
        <f>"aly-3"</f>
        <v>aly-3</v>
      </c>
      <c r="I2502" t="s">
        <v>4425</v>
      </c>
      <c r="J2502">
        <v>12.2156402041217</v>
      </c>
      <c r="K2502">
        <v>12.730334815039299</v>
      </c>
      <c r="L2502">
        <v>12.702842715550499</v>
      </c>
      <c r="M2502">
        <v>12.689530796113701</v>
      </c>
      <c r="N2502">
        <v>11.8708713810119</v>
      </c>
      <c r="O2502">
        <v>13.1440602293015</v>
      </c>
      <c r="P2502">
        <v>1.85482239052597E-2</v>
      </c>
      <c r="Q2502">
        <v>-0.63176148143142796</v>
      </c>
      <c r="R2502">
        <v>0.66885792924194798</v>
      </c>
      <c r="S2502">
        <v>12.8964170186874</v>
      </c>
      <c r="T2502">
        <v>6.0204937164053098E-2</v>
      </c>
      <c r="U2502">
        <v>-6.8805899830117996</v>
      </c>
      <c r="V2502">
        <v>0.95269884395274196</v>
      </c>
      <c r="W2502">
        <v>0.99968702248720698</v>
      </c>
      <c r="X2502">
        <v>0</v>
      </c>
      <c r="Y2502">
        <v>0</v>
      </c>
    </row>
    <row r="2503" spans="1:25" x14ac:dyDescent="0.2">
      <c r="A2503" t="s">
        <v>9352</v>
      </c>
      <c r="B2503" t="s">
        <v>9353</v>
      </c>
      <c r="C2503" t="s">
        <v>9354</v>
      </c>
      <c r="D2503" t="s">
        <v>9338</v>
      </c>
      <c r="E2503" t="s">
        <v>9353</v>
      </c>
      <c r="F2503" t="s">
        <v>28</v>
      </c>
      <c r="G2503" t="s">
        <v>9353</v>
      </c>
      <c r="H2503" t="str">
        <f>"lact-3"</f>
        <v>lact-3</v>
      </c>
      <c r="I2503" t="s">
        <v>9338</v>
      </c>
      <c r="J2503">
        <v>12.5275450287781</v>
      </c>
      <c r="K2503">
        <v>12.059046919434101</v>
      </c>
      <c r="L2503">
        <v>11.7361188543696</v>
      </c>
      <c r="M2503">
        <v>11.5765947977187</v>
      </c>
      <c r="N2503">
        <v>11.9203015284803</v>
      </c>
      <c r="O2503" t="s">
        <v>29</v>
      </c>
      <c r="P2503">
        <v>-0.359122104427813</v>
      </c>
      <c r="Q2503">
        <v>-1.0714128277649499</v>
      </c>
      <c r="R2503">
        <v>0.35316861890932499</v>
      </c>
      <c r="S2503">
        <v>12.1424188590741</v>
      </c>
      <c r="T2503">
        <v>-1.07529209948547</v>
      </c>
      <c r="U2503">
        <v>-6.1859647624726497</v>
      </c>
      <c r="V2503">
        <v>0.29935405087899503</v>
      </c>
      <c r="W2503">
        <v>0.85855590823088301</v>
      </c>
      <c r="X2503">
        <v>0</v>
      </c>
      <c r="Y2503">
        <v>0</v>
      </c>
    </row>
    <row r="2504" spans="1:25" x14ac:dyDescent="0.2">
      <c r="A2504" t="s">
        <v>9355</v>
      </c>
      <c r="B2504" t="s">
        <v>9356</v>
      </c>
      <c r="C2504" t="s">
        <v>9357</v>
      </c>
      <c r="D2504" t="s">
        <v>4483</v>
      </c>
      <c r="E2504" t="s">
        <v>9356</v>
      </c>
      <c r="F2504" t="s">
        <v>28</v>
      </c>
      <c r="G2504" t="s">
        <v>9356</v>
      </c>
      <c r="H2504" t="str">
        <f>"bcc-1"</f>
        <v>bcc-1</v>
      </c>
      <c r="I2504" t="s">
        <v>4483</v>
      </c>
      <c r="J2504">
        <v>12.1590463259011</v>
      </c>
      <c r="K2504">
        <v>12.1598157288987</v>
      </c>
      <c r="L2504">
        <v>12.947951243612399</v>
      </c>
      <c r="M2504">
        <v>14.016142951245699</v>
      </c>
      <c r="N2504">
        <v>13.293760592687301</v>
      </c>
      <c r="O2504">
        <v>13.6192463224008</v>
      </c>
      <c r="P2504">
        <v>1.2207788559738999</v>
      </c>
      <c r="Q2504">
        <v>0.37724305355120202</v>
      </c>
      <c r="R2504">
        <v>2.0643146583965901</v>
      </c>
      <c r="S2504">
        <v>14.833225655547199</v>
      </c>
      <c r="T2504">
        <v>3.0417673338036999</v>
      </c>
      <c r="U2504">
        <v>-2.9953886348686098</v>
      </c>
      <c r="V2504">
        <v>7.0518790706264401E-3</v>
      </c>
      <c r="W2504">
        <v>0.143979469613772</v>
      </c>
      <c r="X2504">
        <v>1</v>
      </c>
      <c r="Y2504">
        <v>0</v>
      </c>
    </row>
    <row r="2505" spans="1:25" x14ac:dyDescent="0.2">
      <c r="A2505" t="s">
        <v>9358</v>
      </c>
      <c r="B2505" t="s">
        <v>9359</v>
      </c>
      <c r="C2505" t="s">
        <v>9360</v>
      </c>
      <c r="D2505" t="s">
        <v>4334</v>
      </c>
      <c r="E2505" t="s">
        <v>9359</v>
      </c>
      <c r="F2505" t="s">
        <v>28</v>
      </c>
      <c r="G2505" t="s">
        <v>9359</v>
      </c>
      <c r="H2505" t="str">
        <f>"mrps-34"</f>
        <v>mrps-34</v>
      </c>
      <c r="I2505" t="s">
        <v>4334</v>
      </c>
      <c r="J2505" t="s">
        <v>29</v>
      </c>
      <c r="K2505" t="s">
        <v>29</v>
      </c>
      <c r="L2505" t="s">
        <v>29</v>
      </c>
      <c r="M2505" t="s">
        <v>29</v>
      </c>
      <c r="N2505" t="s">
        <v>29</v>
      </c>
      <c r="O2505" t="s">
        <v>29</v>
      </c>
      <c r="P2505" t="s">
        <v>29</v>
      </c>
      <c r="Q2505" t="s">
        <v>29</v>
      </c>
      <c r="R2505" t="s">
        <v>29</v>
      </c>
      <c r="S2505">
        <v>12.4656687592162</v>
      </c>
      <c r="T2505" t="s">
        <v>29</v>
      </c>
      <c r="U2505" t="s">
        <v>29</v>
      </c>
      <c r="V2505" t="s">
        <v>29</v>
      </c>
      <c r="W2505" t="s">
        <v>29</v>
      </c>
      <c r="X2505" t="s">
        <v>29</v>
      </c>
      <c r="Y2505" t="s">
        <v>29</v>
      </c>
    </row>
    <row r="2506" spans="1:25" x14ac:dyDescent="0.2">
      <c r="A2506" t="s">
        <v>9361</v>
      </c>
      <c r="B2506" t="s">
        <v>9362</v>
      </c>
      <c r="C2506" t="s">
        <v>9363</v>
      </c>
      <c r="D2506" t="s">
        <v>49</v>
      </c>
      <c r="E2506" t="s">
        <v>9362</v>
      </c>
      <c r="F2506" t="s">
        <v>28</v>
      </c>
      <c r="G2506" t="s">
        <v>9362</v>
      </c>
      <c r="H2506" t="str">
        <f>"ugt-62"</f>
        <v>ugt-62</v>
      </c>
      <c r="I2506" t="s">
        <v>49</v>
      </c>
      <c r="J2506">
        <v>13.868711985463101</v>
      </c>
      <c r="K2506">
        <v>13.893054074811401</v>
      </c>
      <c r="L2506">
        <v>13.3976875626562</v>
      </c>
      <c r="M2506">
        <v>13.782525104281699</v>
      </c>
      <c r="N2506">
        <v>13.6598079140692</v>
      </c>
      <c r="O2506">
        <v>14.000125589505799</v>
      </c>
      <c r="P2506">
        <v>9.4334994975342895E-2</v>
      </c>
      <c r="Q2506">
        <v>-0.40583740881973701</v>
      </c>
      <c r="R2506">
        <v>0.59450739877042302</v>
      </c>
      <c r="S2506">
        <v>13.6675646419373</v>
      </c>
      <c r="T2506">
        <v>0.398110028065362</v>
      </c>
      <c r="U2506">
        <v>-6.79980981868089</v>
      </c>
      <c r="V2506">
        <v>0.69553472046689802</v>
      </c>
      <c r="W2506">
        <v>0.98642420921484297</v>
      </c>
      <c r="X2506">
        <v>0</v>
      </c>
      <c r="Y2506">
        <v>0</v>
      </c>
    </row>
    <row r="2507" spans="1:25" x14ac:dyDescent="0.2">
      <c r="A2507" t="s">
        <v>9364</v>
      </c>
      <c r="B2507" t="s">
        <v>9365</v>
      </c>
      <c r="C2507" t="s">
        <v>9366</v>
      </c>
      <c r="D2507" t="s">
        <v>9367</v>
      </c>
      <c r="E2507" t="s">
        <v>9365</v>
      </c>
      <c r="F2507" t="s">
        <v>28</v>
      </c>
      <c r="G2507" t="s">
        <v>9365</v>
      </c>
      <c r="H2507" t="str">
        <f>"inpp-4B"</f>
        <v>inpp-4B</v>
      </c>
      <c r="I2507" t="s">
        <v>9367</v>
      </c>
      <c r="J2507">
        <v>13.4005726099883</v>
      </c>
      <c r="K2507">
        <v>13.2363618371822</v>
      </c>
      <c r="L2507">
        <v>12.9115515739835</v>
      </c>
      <c r="M2507">
        <v>13.0541706310047</v>
      </c>
      <c r="N2507">
        <v>12.9842085110003</v>
      </c>
      <c r="O2507">
        <v>13.394837036167401</v>
      </c>
      <c r="P2507">
        <v>-3.8423280993850298E-2</v>
      </c>
      <c r="Q2507">
        <v>-0.47696307482911898</v>
      </c>
      <c r="R2507">
        <v>0.40011651284141903</v>
      </c>
      <c r="S2507">
        <v>12.7864152234333</v>
      </c>
      <c r="T2507">
        <v>-0.185838190698601</v>
      </c>
      <c r="U2507">
        <v>-6.8643444108720697</v>
      </c>
      <c r="V2507">
        <v>0.85492251330541502</v>
      </c>
      <c r="W2507">
        <v>0.99370971747667503</v>
      </c>
      <c r="X2507">
        <v>0</v>
      </c>
      <c r="Y2507">
        <v>0</v>
      </c>
    </row>
    <row r="2508" spans="1:25" x14ac:dyDescent="0.2">
      <c r="A2508" t="s">
        <v>9368</v>
      </c>
      <c r="B2508" t="s">
        <v>9369</v>
      </c>
      <c r="C2508" t="s">
        <v>9370</v>
      </c>
      <c r="D2508" t="s">
        <v>9371</v>
      </c>
      <c r="E2508" t="s">
        <v>9369</v>
      </c>
      <c r="F2508" t="s">
        <v>28</v>
      </c>
      <c r="G2508" t="s">
        <v>9369</v>
      </c>
      <c r="H2508" t="str">
        <f>"cor-1"</f>
        <v>cor-1</v>
      </c>
      <c r="I2508" t="s">
        <v>9371</v>
      </c>
      <c r="J2508">
        <v>11.8643326818527</v>
      </c>
      <c r="K2508">
        <v>12.5157308947452</v>
      </c>
      <c r="L2508">
        <v>12.4173679569962</v>
      </c>
      <c r="M2508">
        <v>11.7094549695249</v>
      </c>
      <c r="N2508">
        <v>10.9417032771658</v>
      </c>
      <c r="O2508">
        <v>11.5076545670193</v>
      </c>
      <c r="P2508">
        <v>-0.87953957329472299</v>
      </c>
      <c r="Q2508">
        <v>-2.0732557173397299</v>
      </c>
      <c r="R2508">
        <v>0.31417657075028699</v>
      </c>
      <c r="S2508">
        <v>12.336390146649199</v>
      </c>
      <c r="T2508">
        <v>-1.5552647551773899</v>
      </c>
      <c r="U2508">
        <v>-5.6984685479011796</v>
      </c>
      <c r="V2508">
        <v>0.138415143549735</v>
      </c>
      <c r="W2508">
        <v>0.72716651652323006</v>
      </c>
      <c r="X2508">
        <v>0</v>
      </c>
      <c r="Y2508">
        <v>0</v>
      </c>
    </row>
    <row r="2509" spans="1:25" x14ac:dyDescent="0.2">
      <c r="A2509" t="s">
        <v>9372</v>
      </c>
      <c r="B2509" t="s">
        <v>9373</v>
      </c>
      <c r="C2509" t="s">
        <v>9374</v>
      </c>
      <c r="D2509" t="s">
        <v>9375</v>
      </c>
      <c r="E2509" t="s">
        <v>9373</v>
      </c>
      <c r="F2509" t="s">
        <v>28</v>
      </c>
      <c r="G2509" t="s">
        <v>9373</v>
      </c>
      <c r="H2509" t="str">
        <f>"hrg-1"</f>
        <v>hrg-1</v>
      </c>
      <c r="I2509" t="s">
        <v>9375</v>
      </c>
      <c r="J2509" t="s">
        <v>29</v>
      </c>
      <c r="K2509" t="s">
        <v>29</v>
      </c>
      <c r="L2509" t="s">
        <v>29</v>
      </c>
      <c r="M2509">
        <v>12.4787621156336</v>
      </c>
      <c r="N2509" t="s">
        <v>29</v>
      </c>
      <c r="O2509" t="s">
        <v>29</v>
      </c>
      <c r="P2509" t="s">
        <v>29</v>
      </c>
      <c r="Q2509" t="s">
        <v>29</v>
      </c>
      <c r="R2509" t="s">
        <v>29</v>
      </c>
      <c r="S2509">
        <v>11.8877274799493</v>
      </c>
      <c r="T2509" t="s">
        <v>29</v>
      </c>
      <c r="U2509" t="s">
        <v>29</v>
      </c>
      <c r="V2509" t="s">
        <v>29</v>
      </c>
      <c r="W2509" t="s">
        <v>29</v>
      </c>
      <c r="X2509" t="s">
        <v>29</v>
      </c>
      <c r="Y2509" t="s">
        <v>29</v>
      </c>
    </row>
    <row r="2510" spans="1:25" x14ac:dyDescent="0.2">
      <c r="A2510" t="s">
        <v>9376</v>
      </c>
      <c r="B2510" t="s">
        <v>9377</v>
      </c>
      <c r="C2510" t="s">
        <v>14504</v>
      </c>
      <c r="D2510" t="s">
        <v>9378</v>
      </c>
      <c r="E2510" t="s">
        <v>9377</v>
      </c>
      <c r="F2510" t="s">
        <v>28</v>
      </c>
      <c r="G2510" t="s">
        <v>9377</v>
      </c>
      <c r="H2510" t="str">
        <f>"R02F2.7"</f>
        <v>R02F2.7</v>
      </c>
      <c r="I2510" t="s">
        <v>9378</v>
      </c>
      <c r="J2510">
        <v>11.416770161316601</v>
      </c>
      <c r="K2510">
        <v>12.4128686758553</v>
      </c>
      <c r="L2510">
        <v>12.3523415917397</v>
      </c>
      <c r="M2510">
        <v>12.1033568628329</v>
      </c>
      <c r="N2510">
        <v>12.063925438608001</v>
      </c>
      <c r="O2510">
        <v>10.136727719737699</v>
      </c>
      <c r="P2510">
        <v>-0.62599013591103503</v>
      </c>
      <c r="Q2510">
        <v>-1.63736766605557</v>
      </c>
      <c r="R2510">
        <v>0.385387394233495</v>
      </c>
      <c r="S2510">
        <v>12.021809209537899</v>
      </c>
      <c r="T2510">
        <v>-1.3200664548402099</v>
      </c>
      <c r="U2510">
        <v>-6.0127723970964997</v>
      </c>
      <c r="V2510">
        <v>0.20674085613248999</v>
      </c>
      <c r="W2510">
        <v>0.79075284576134597</v>
      </c>
      <c r="X2510">
        <v>0</v>
      </c>
      <c r="Y2510">
        <v>0</v>
      </c>
    </row>
    <row r="2511" spans="1:25" x14ac:dyDescent="0.2">
      <c r="A2511" t="s">
        <v>9379</v>
      </c>
      <c r="B2511" t="s">
        <v>9380</v>
      </c>
      <c r="C2511" t="s">
        <v>9381</v>
      </c>
      <c r="D2511" t="s">
        <v>9382</v>
      </c>
      <c r="E2511" t="s">
        <v>9380</v>
      </c>
      <c r="F2511" t="s">
        <v>28</v>
      </c>
      <c r="G2511" t="s">
        <v>9380</v>
      </c>
      <c r="H2511" t="str">
        <f>"osg-1"</f>
        <v>osg-1</v>
      </c>
      <c r="I2511" t="s">
        <v>9382</v>
      </c>
      <c r="J2511" t="s">
        <v>29</v>
      </c>
      <c r="K2511" t="s">
        <v>29</v>
      </c>
      <c r="L2511" t="s">
        <v>29</v>
      </c>
      <c r="M2511" t="s">
        <v>29</v>
      </c>
      <c r="N2511" t="s">
        <v>29</v>
      </c>
      <c r="O2511" t="s">
        <v>29</v>
      </c>
      <c r="P2511" t="s">
        <v>29</v>
      </c>
      <c r="Q2511" t="s">
        <v>29</v>
      </c>
      <c r="R2511" t="s">
        <v>29</v>
      </c>
      <c r="S2511">
        <v>11.7413693750504</v>
      </c>
      <c r="T2511" t="s">
        <v>29</v>
      </c>
      <c r="U2511" t="s">
        <v>29</v>
      </c>
      <c r="V2511" t="s">
        <v>29</v>
      </c>
      <c r="W2511" t="s">
        <v>29</v>
      </c>
      <c r="X2511" t="s">
        <v>29</v>
      </c>
      <c r="Y2511" t="s">
        <v>29</v>
      </c>
    </row>
    <row r="2512" spans="1:25" x14ac:dyDescent="0.2">
      <c r="A2512" t="s">
        <v>9383</v>
      </c>
      <c r="B2512" t="s">
        <v>9384</v>
      </c>
      <c r="C2512" t="s">
        <v>9385</v>
      </c>
      <c r="D2512" t="s">
        <v>9386</v>
      </c>
      <c r="E2512" t="s">
        <v>9384</v>
      </c>
      <c r="F2512" t="s">
        <v>28</v>
      </c>
      <c r="G2512" t="s">
        <v>9384</v>
      </c>
      <c r="H2512" t="str">
        <f>"nrde-3"</f>
        <v>nrde-3</v>
      </c>
      <c r="I2512" t="s">
        <v>9386</v>
      </c>
      <c r="J2512">
        <v>13.3750516129784</v>
      </c>
      <c r="K2512">
        <v>13.2416930275661</v>
      </c>
      <c r="L2512">
        <v>13.5918949532178</v>
      </c>
      <c r="M2512">
        <v>13.242742505593901</v>
      </c>
      <c r="N2512">
        <v>13.43474361332</v>
      </c>
      <c r="O2512">
        <v>13.7877855677272</v>
      </c>
      <c r="P2512">
        <v>8.5544030959635406E-2</v>
      </c>
      <c r="Q2512">
        <v>-0.35159424853177701</v>
      </c>
      <c r="R2512">
        <v>0.52268231045104796</v>
      </c>
      <c r="S2512">
        <v>13.6528651285374</v>
      </c>
      <c r="T2512">
        <v>0.41306736620978202</v>
      </c>
      <c r="U2512">
        <v>-6.7935124366085597</v>
      </c>
      <c r="V2512">
        <v>0.684752310458979</v>
      </c>
      <c r="W2512">
        <v>0.98642420921484297</v>
      </c>
      <c r="X2512">
        <v>0</v>
      </c>
      <c r="Y2512">
        <v>0</v>
      </c>
    </row>
    <row r="2513" spans="1:25" x14ac:dyDescent="0.2">
      <c r="A2513" t="s">
        <v>9387</v>
      </c>
      <c r="B2513" t="s">
        <v>9388</v>
      </c>
      <c r="C2513" t="s">
        <v>9389</v>
      </c>
      <c r="D2513" t="s">
        <v>9390</v>
      </c>
      <c r="E2513" t="s">
        <v>9388</v>
      </c>
      <c r="F2513" t="s">
        <v>28</v>
      </c>
      <c r="G2513" t="s">
        <v>9388</v>
      </c>
      <c r="H2513" t="str">
        <f>"ife-2"</f>
        <v>ife-2</v>
      </c>
      <c r="I2513" t="s">
        <v>9390</v>
      </c>
      <c r="J2513">
        <v>14.0686888834874</v>
      </c>
      <c r="K2513">
        <v>14.043546524526599</v>
      </c>
      <c r="L2513">
        <v>14.0107952360518</v>
      </c>
      <c r="M2513">
        <v>14.1808194638846</v>
      </c>
      <c r="N2513">
        <v>14.331638742084399</v>
      </c>
      <c r="O2513">
        <v>14.3225512407771</v>
      </c>
      <c r="P2513">
        <v>0.23732626756008199</v>
      </c>
      <c r="Q2513">
        <v>-0.117497617096589</v>
      </c>
      <c r="R2513">
        <v>0.59215015221675305</v>
      </c>
      <c r="S2513">
        <v>14.0228422413988</v>
      </c>
      <c r="T2513">
        <v>1.4058062700193701</v>
      </c>
      <c r="U2513">
        <v>-5.9035695024475601</v>
      </c>
      <c r="V2513">
        <v>0.17690717355912999</v>
      </c>
      <c r="W2513">
        <v>0.77568784401157198</v>
      </c>
      <c r="X2513">
        <v>0</v>
      </c>
      <c r="Y2513">
        <v>0</v>
      </c>
    </row>
    <row r="2514" spans="1:25" x14ac:dyDescent="0.2">
      <c r="A2514" t="s">
        <v>9391</v>
      </c>
      <c r="B2514" t="s">
        <v>9392</v>
      </c>
      <c r="C2514" t="s">
        <v>9393</v>
      </c>
      <c r="D2514" t="s">
        <v>9394</v>
      </c>
      <c r="E2514" t="s">
        <v>9392</v>
      </c>
      <c r="F2514" t="s">
        <v>28</v>
      </c>
      <c r="G2514" t="s">
        <v>9392</v>
      </c>
      <c r="H2514" t="str">
        <f>"ddx-52"</f>
        <v>ddx-52</v>
      </c>
      <c r="I2514" t="s">
        <v>9394</v>
      </c>
      <c r="J2514">
        <v>13.796030810060699</v>
      </c>
      <c r="K2514">
        <v>13.4923600261072</v>
      </c>
      <c r="L2514">
        <v>13.770090198077</v>
      </c>
      <c r="M2514">
        <v>13.980332266203799</v>
      </c>
      <c r="N2514">
        <v>13.8508305671239</v>
      </c>
      <c r="O2514">
        <v>13.6495003230756</v>
      </c>
      <c r="P2514">
        <v>0.14072737405279201</v>
      </c>
      <c r="Q2514">
        <v>-0.20991680747426</v>
      </c>
      <c r="R2514">
        <v>0.49137155557984502</v>
      </c>
      <c r="S2514">
        <v>13.6380150779483</v>
      </c>
      <c r="T2514">
        <v>0.84353762836146096</v>
      </c>
      <c r="U2514">
        <v>-6.5179785909030903</v>
      </c>
      <c r="V2514">
        <v>0.41006236121825501</v>
      </c>
      <c r="W2514">
        <v>0.91512503332874395</v>
      </c>
      <c r="X2514">
        <v>0</v>
      </c>
      <c r="Y2514">
        <v>0</v>
      </c>
    </row>
    <row r="2515" spans="1:25" x14ac:dyDescent="0.2">
      <c r="A2515" t="s">
        <v>9395</v>
      </c>
      <c r="B2515" t="s">
        <v>9396</v>
      </c>
      <c r="C2515" t="s">
        <v>9397</v>
      </c>
      <c r="D2515" t="s">
        <v>9398</v>
      </c>
      <c r="E2515" t="s">
        <v>9396</v>
      </c>
      <c r="F2515" t="s">
        <v>28</v>
      </c>
      <c r="G2515" t="s">
        <v>9396</v>
      </c>
      <c r="H2515" t="str">
        <f>"tmem-208"</f>
        <v>tmem-208</v>
      </c>
      <c r="I2515" t="s">
        <v>9398</v>
      </c>
      <c r="J2515" t="s">
        <v>29</v>
      </c>
      <c r="K2515" t="s">
        <v>29</v>
      </c>
      <c r="L2515" t="s">
        <v>29</v>
      </c>
      <c r="M2515" t="s">
        <v>29</v>
      </c>
      <c r="N2515" t="s">
        <v>29</v>
      </c>
      <c r="O2515" t="s">
        <v>29</v>
      </c>
      <c r="P2515" t="s">
        <v>29</v>
      </c>
      <c r="Q2515" t="s">
        <v>29</v>
      </c>
      <c r="R2515" t="s">
        <v>29</v>
      </c>
      <c r="S2515">
        <v>12.500758162189101</v>
      </c>
      <c r="T2515" t="s">
        <v>29</v>
      </c>
      <c r="U2515" t="s">
        <v>29</v>
      </c>
      <c r="V2515" t="s">
        <v>29</v>
      </c>
      <c r="W2515" t="s">
        <v>29</v>
      </c>
      <c r="X2515" t="s">
        <v>29</v>
      </c>
      <c r="Y2515" t="s">
        <v>29</v>
      </c>
    </row>
    <row r="2516" spans="1:25" x14ac:dyDescent="0.2">
      <c r="A2516" t="s">
        <v>9399</v>
      </c>
      <c r="B2516" t="s">
        <v>9400</v>
      </c>
      <c r="C2516" t="s">
        <v>9401</v>
      </c>
      <c r="D2516" t="s">
        <v>9402</v>
      </c>
      <c r="E2516" t="s">
        <v>9400</v>
      </c>
      <c r="F2516" t="s">
        <v>28</v>
      </c>
      <c r="G2516" t="s">
        <v>9400</v>
      </c>
      <c r="H2516" t="str">
        <f>"edc-3"</f>
        <v>edc-3</v>
      </c>
      <c r="I2516" t="s">
        <v>9402</v>
      </c>
      <c r="J2516">
        <v>12.525600098484899</v>
      </c>
      <c r="K2516">
        <v>12.4126845062992</v>
      </c>
      <c r="L2516">
        <v>12.7432573310506</v>
      </c>
      <c r="M2516">
        <v>12.898134630976701</v>
      </c>
      <c r="N2516">
        <v>13.0122793366238</v>
      </c>
      <c r="O2516">
        <v>12.813895462757401</v>
      </c>
      <c r="P2516">
        <v>0.34758916484103403</v>
      </c>
      <c r="Q2516">
        <v>-0.12805667434093501</v>
      </c>
      <c r="R2516">
        <v>0.82323500402300398</v>
      </c>
      <c r="S2516">
        <v>13.641542092118501</v>
      </c>
      <c r="T2516">
        <v>1.5359427954495599</v>
      </c>
      <c r="U2516">
        <v>-5.7253713164079301</v>
      </c>
      <c r="V2516">
        <v>0.142044515849962</v>
      </c>
      <c r="W2516">
        <v>0.73290565697468801</v>
      </c>
      <c r="X2516">
        <v>0</v>
      </c>
      <c r="Y2516">
        <v>0</v>
      </c>
    </row>
    <row r="2517" spans="1:25" x14ac:dyDescent="0.2">
      <c r="A2517" t="s">
        <v>9403</v>
      </c>
      <c r="B2517" t="s">
        <v>9404</v>
      </c>
      <c r="C2517" t="s">
        <v>14505</v>
      </c>
      <c r="D2517" t="s">
        <v>9405</v>
      </c>
      <c r="E2517" t="s">
        <v>9404</v>
      </c>
      <c r="F2517" t="s">
        <v>28</v>
      </c>
      <c r="G2517" t="s">
        <v>9404</v>
      </c>
      <c r="H2517" t="str">
        <f>"R05F9.6"</f>
        <v>R05F9.6</v>
      </c>
      <c r="I2517" t="s">
        <v>9405</v>
      </c>
      <c r="J2517">
        <v>15.063625598701099</v>
      </c>
      <c r="K2517">
        <v>14.7313261656605</v>
      </c>
      <c r="L2517">
        <v>14.8739185980534</v>
      </c>
      <c r="M2517">
        <v>15.009727887309699</v>
      </c>
      <c r="N2517">
        <v>15.0114423795884</v>
      </c>
      <c r="O2517">
        <v>14.686511619365699</v>
      </c>
      <c r="P2517">
        <v>1.29371746162921E-2</v>
      </c>
      <c r="Q2517">
        <v>-0.58863398128062705</v>
      </c>
      <c r="R2517">
        <v>0.61450833051321097</v>
      </c>
      <c r="S2517">
        <v>14.7795563589591</v>
      </c>
      <c r="T2517">
        <v>4.5200677936265199E-2</v>
      </c>
      <c r="U2517">
        <v>-6.8814221193810203</v>
      </c>
      <c r="V2517">
        <v>0.96444793777791604</v>
      </c>
      <c r="W2517">
        <v>0.99968702248720698</v>
      </c>
      <c r="X2517">
        <v>0</v>
      </c>
      <c r="Y2517">
        <v>0</v>
      </c>
    </row>
    <row r="2518" spans="1:25" x14ac:dyDescent="0.2">
      <c r="A2518" t="s">
        <v>9406</v>
      </c>
      <c r="B2518" t="s">
        <v>9407</v>
      </c>
      <c r="C2518" t="s">
        <v>9408</v>
      </c>
      <c r="D2518" t="s">
        <v>9409</v>
      </c>
      <c r="E2518" t="s">
        <v>9407</v>
      </c>
      <c r="F2518" t="s">
        <v>28</v>
      </c>
      <c r="G2518" t="s">
        <v>9407</v>
      </c>
      <c r="H2518" t="str">
        <f>"vdac-1"</f>
        <v>vdac-1</v>
      </c>
      <c r="I2518" t="s">
        <v>9409</v>
      </c>
      <c r="J2518">
        <v>17.6811679796308</v>
      </c>
      <c r="K2518">
        <v>17.942653127507199</v>
      </c>
      <c r="L2518">
        <v>18.5880838475736</v>
      </c>
      <c r="M2518">
        <v>17.489370215529298</v>
      </c>
      <c r="N2518">
        <v>17.605637830040799</v>
      </c>
      <c r="O2518">
        <v>17.9641154251524</v>
      </c>
      <c r="P2518">
        <v>-0.38426049466303203</v>
      </c>
      <c r="Q2518">
        <v>-0.98091656613596501</v>
      </c>
      <c r="R2518">
        <v>0.21239557680990201</v>
      </c>
      <c r="S2518">
        <v>18.292481589411501</v>
      </c>
      <c r="T2518">
        <v>-1.3536119705292999</v>
      </c>
      <c r="U2518">
        <v>-5.9715107646212804</v>
      </c>
      <c r="V2518">
        <v>0.192711484851604</v>
      </c>
      <c r="W2518">
        <v>0.78375110332522002</v>
      </c>
      <c r="X2518">
        <v>0</v>
      </c>
      <c r="Y2518">
        <v>0</v>
      </c>
    </row>
    <row r="2519" spans="1:25" x14ac:dyDescent="0.2">
      <c r="A2519" t="s">
        <v>9410</v>
      </c>
      <c r="B2519" t="s">
        <v>9411</v>
      </c>
      <c r="C2519" t="s">
        <v>9412</v>
      </c>
      <c r="D2519" t="s">
        <v>9413</v>
      </c>
      <c r="E2519" t="s">
        <v>9411</v>
      </c>
      <c r="F2519" t="s">
        <v>28</v>
      </c>
      <c r="G2519" t="s">
        <v>9411</v>
      </c>
      <c r="H2519" t="str">
        <f>"plc-4"</f>
        <v>plc-4</v>
      </c>
      <c r="I2519" t="s">
        <v>9413</v>
      </c>
      <c r="J2519">
        <v>14.2261764626233</v>
      </c>
      <c r="K2519">
        <v>14.1212111431115</v>
      </c>
      <c r="L2519">
        <v>13.705721418459399</v>
      </c>
      <c r="M2519">
        <v>14.0228666983908</v>
      </c>
      <c r="N2519">
        <v>13.8773642585271</v>
      </c>
      <c r="O2519">
        <v>13.8429859830916</v>
      </c>
      <c r="P2519">
        <v>-0.10329736139488301</v>
      </c>
      <c r="Q2519">
        <v>-0.53960888735236701</v>
      </c>
      <c r="R2519">
        <v>0.33301416456260102</v>
      </c>
      <c r="S2519">
        <v>13.6993298688582</v>
      </c>
      <c r="T2519">
        <v>-0.497605366562685</v>
      </c>
      <c r="U2519">
        <v>-6.7540092869735897</v>
      </c>
      <c r="V2519">
        <v>0.62482135856014898</v>
      </c>
      <c r="W2519">
        <v>0.97279262440453396</v>
      </c>
      <c r="X2519">
        <v>0</v>
      </c>
      <c r="Y2519">
        <v>0</v>
      </c>
    </row>
    <row r="2520" spans="1:25" x14ac:dyDescent="0.2">
      <c r="A2520" t="s">
        <v>9414</v>
      </c>
      <c r="B2520" t="s">
        <v>9415</v>
      </c>
      <c r="C2520" t="s">
        <v>9416</v>
      </c>
      <c r="D2520" t="s">
        <v>9417</v>
      </c>
      <c r="E2520" t="s">
        <v>9415</v>
      </c>
      <c r="F2520" t="s">
        <v>28</v>
      </c>
      <c r="G2520" t="s">
        <v>9415</v>
      </c>
      <c r="H2520" t="str">
        <f>"R05G6.4"</f>
        <v>R05G6.4</v>
      </c>
      <c r="I2520" t="s">
        <v>9417</v>
      </c>
      <c r="J2520">
        <v>12.179307337627399</v>
      </c>
      <c r="K2520">
        <v>11.849736085773699</v>
      </c>
      <c r="L2520">
        <v>12.0397667025746</v>
      </c>
      <c r="M2520">
        <v>12.848102972031</v>
      </c>
      <c r="N2520">
        <v>12.3104389560204</v>
      </c>
      <c r="O2520">
        <v>12.123224600498</v>
      </c>
      <c r="P2520">
        <v>0.404318800857913</v>
      </c>
      <c r="Q2520">
        <v>-0.25421818662135898</v>
      </c>
      <c r="R2520">
        <v>1.0628557883371901</v>
      </c>
      <c r="S2520">
        <v>13.0592170858203</v>
      </c>
      <c r="T2520">
        <v>1.3022467844102801</v>
      </c>
      <c r="U2520">
        <v>-6.0354179756438704</v>
      </c>
      <c r="V2520">
        <v>0.21138678165952399</v>
      </c>
      <c r="W2520">
        <v>0.79492804357574798</v>
      </c>
      <c r="X2520">
        <v>0</v>
      </c>
      <c r="Y2520">
        <v>0</v>
      </c>
    </row>
    <row r="2521" spans="1:25" x14ac:dyDescent="0.2">
      <c r="A2521" t="s">
        <v>9418</v>
      </c>
      <c r="B2521" t="s">
        <v>9419</v>
      </c>
      <c r="C2521" t="s">
        <v>14506</v>
      </c>
      <c r="D2521" t="s">
        <v>4039</v>
      </c>
      <c r="E2521" t="s">
        <v>9419</v>
      </c>
      <c r="F2521" t="s">
        <v>28</v>
      </c>
      <c r="G2521" t="s">
        <v>9419</v>
      </c>
      <c r="H2521" t="str">
        <f>"R05H5.3"</f>
        <v>R05H5.3</v>
      </c>
      <c r="I2521" t="s">
        <v>4039</v>
      </c>
      <c r="J2521">
        <v>11.438568951862001</v>
      </c>
      <c r="K2521" t="s">
        <v>29</v>
      </c>
      <c r="L2521">
        <v>11.9017993292802</v>
      </c>
      <c r="M2521">
        <v>11.620863977806801</v>
      </c>
      <c r="N2521" t="s">
        <v>29</v>
      </c>
      <c r="O2521">
        <v>11.514032466976801</v>
      </c>
      <c r="P2521">
        <v>-0.102735918179302</v>
      </c>
      <c r="Q2521">
        <v>-0.69780752323043505</v>
      </c>
      <c r="R2521">
        <v>0.49233568687182999</v>
      </c>
      <c r="S2521">
        <v>12.088817550303901</v>
      </c>
      <c r="T2521">
        <v>-0.370548425208994</v>
      </c>
      <c r="U2521">
        <v>-6.6102270880693901</v>
      </c>
      <c r="V2521">
        <v>0.716561579817939</v>
      </c>
      <c r="W2521">
        <v>0.98786722894487999</v>
      </c>
      <c r="X2521">
        <v>0</v>
      </c>
      <c r="Y2521">
        <v>0</v>
      </c>
    </row>
    <row r="2522" spans="1:25" x14ac:dyDescent="0.2">
      <c r="A2522" t="s">
        <v>9420</v>
      </c>
      <c r="B2522" t="s">
        <v>9421</v>
      </c>
      <c r="C2522" t="s">
        <v>9422</v>
      </c>
      <c r="D2522" t="s">
        <v>9423</v>
      </c>
      <c r="E2522" t="s">
        <v>9421</v>
      </c>
      <c r="F2522" t="s">
        <v>28</v>
      </c>
      <c r="G2522" t="s">
        <v>9421</v>
      </c>
      <c r="H2522" t="str">
        <f>"wago-1"</f>
        <v>wago-1</v>
      </c>
      <c r="I2522" t="s">
        <v>9423</v>
      </c>
      <c r="J2522">
        <v>12.2086898888668</v>
      </c>
      <c r="K2522">
        <v>12.2407268434372</v>
      </c>
      <c r="L2522">
        <v>12.2048249150613</v>
      </c>
      <c r="M2522">
        <v>12.260926755774401</v>
      </c>
      <c r="N2522">
        <v>12.652339418058499</v>
      </c>
      <c r="O2522">
        <v>12.024306535977701</v>
      </c>
      <c r="P2522">
        <v>9.4443687481760505E-2</v>
      </c>
      <c r="Q2522">
        <v>-0.61122173364438104</v>
      </c>
      <c r="R2522">
        <v>0.80010910860790196</v>
      </c>
      <c r="S2522">
        <v>12.380908530067201</v>
      </c>
      <c r="T2522">
        <v>0.28250368153706801</v>
      </c>
      <c r="U2522">
        <v>-6.84075875019556</v>
      </c>
      <c r="V2522">
        <v>0.780989052745931</v>
      </c>
      <c r="W2522">
        <v>0.99278624068726296</v>
      </c>
      <c r="X2522">
        <v>0</v>
      </c>
      <c r="Y2522">
        <v>0</v>
      </c>
    </row>
    <row r="2523" spans="1:25" x14ac:dyDescent="0.2">
      <c r="A2523" t="s">
        <v>9424</v>
      </c>
      <c r="B2523" t="s">
        <v>9425</v>
      </c>
      <c r="C2523" t="s">
        <v>9426</v>
      </c>
      <c r="D2523" t="s">
        <v>9427</v>
      </c>
      <c r="E2523" t="s">
        <v>9425</v>
      </c>
      <c r="F2523" t="s">
        <v>28</v>
      </c>
      <c r="G2523" t="s">
        <v>9425</v>
      </c>
      <c r="H2523" t="str">
        <f>"dhp-1"</f>
        <v>dhp-1</v>
      </c>
      <c r="I2523" t="s">
        <v>9427</v>
      </c>
      <c r="J2523" t="s">
        <v>29</v>
      </c>
      <c r="K2523" t="s">
        <v>29</v>
      </c>
      <c r="L2523" t="s">
        <v>29</v>
      </c>
      <c r="M2523">
        <v>12.210090668762</v>
      </c>
      <c r="N2523">
        <v>12.504926190745801</v>
      </c>
      <c r="O2523">
        <v>12.556862264948601</v>
      </c>
      <c r="P2523" t="s">
        <v>29</v>
      </c>
      <c r="Q2523" t="s">
        <v>29</v>
      </c>
      <c r="R2523" t="s">
        <v>29</v>
      </c>
      <c r="S2523">
        <v>12.775188211087601</v>
      </c>
      <c r="T2523" t="s">
        <v>29</v>
      </c>
      <c r="U2523" t="s">
        <v>29</v>
      </c>
      <c r="V2523" t="s">
        <v>29</v>
      </c>
      <c r="W2523" t="s">
        <v>29</v>
      </c>
      <c r="X2523" t="s">
        <v>29</v>
      </c>
      <c r="Y2523" t="s">
        <v>29</v>
      </c>
    </row>
    <row r="2524" spans="1:25" x14ac:dyDescent="0.2">
      <c r="A2524" t="s">
        <v>9428</v>
      </c>
      <c r="B2524" t="s">
        <v>9429</v>
      </c>
      <c r="C2524" t="s">
        <v>9430</v>
      </c>
      <c r="D2524" t="s">
        <v>9431</v>
      </c>
      <c r="E2524" t="s">
        <v>9429</v>
      </c>
      <c r="F2524" t="s">
        <v>28</v>
      </c>
      <c r="G2524" t="s">
        <v>9429</v>
      </c>
      <c r="H2524" t="str">
        <f>"bub-1"</f>
        <v>bub-1</v>
      </c>
      <c r="I2524" t="s">
        <v>9431</v>
      </c>
      <c r="J2524">
        <v>12.340597534543001</v>
      </c>
      <c r="K2524">
        <v>12.1325031356553</v>
      </c>
      <c r="L2524">
        <v>12.402291479972201</v>
      </c>
      <c r="M2524">
        <v>12.287201154440099</v>
      </c>
      <c r="N2524">
        <v>12.502249151073601</v>
      </c>
      <c r="O2524">
        <v>11.7698577385669</v>
      </c>
      <c r="P2524">
        <v>-0.105361368696679</v>
      </c>
      <c r="Q2524">
        <v>-0.54017930402215697</v>
      </c>
      <c r="R2524">
        <v>0.32945656662879902</v>
      </c>
      <c r="S2524">
        <v>12.3280631512496</v>
      </c>
      <c r="T2524">
        <v>-0.51395309296899305</v>
      </c>
      <c r="U2524">
        <v>-6.7447073473538302</v>
      </c>
      <c r="V2524">
        <v>0.61435554630310096</v>
      </c>
      <c r="W2524">
        <v>0.97238011246645495</v>
      </c>
      <c r="X2524">
        <v>0</v>
      </c>
      <c r="Y2524">
        <v>0</v>
      </c>
    </row>
    <row r="2525" spans="1:25" x14ac:dyDescent="0.2">
      <c r="A2525" t="s">
        <v>9432</v>
      </c>
      <c r="B2525" t="s">
        <v>9433</v>
      </c>
      <c r="C2525" t="s">
        <v>9434</v>
      </c>
      <c r="D2525" t="s">
        <v>130</v>
      </c>
      <c r="E2525" t="s">
        <v>9433</v>
      </c>
      <c r="F2525" t="s">
        <v>28</v>
      </c>
      <c r="G2525" t="s">
        <v>9433</v>
      </c>
      <c r="H2525" t="str">
        <f>"ztf-15"</f>
        <v>ztf-15</v>
      </c>
      <c r="I2525" t="s">
        <v>130</v>
      </c>
      <c r="J2525" t="s">
        <v>29</v>
      </c>
      <c r="K2525" t="s">
        <v>29</v>
      </c>
      <c r="L2525" t="s">
        <v>29</v>
      </c>
      <c r="M2525" t="s">
        <v>29</v>
      </c>
      <c r="N2525" t="s">
        <v>29</v>
      </c>
      <c r="O2525" t="s">
        <v>29</v>
      </c>
      <c r="P2525" t="s">
        <v>29</v>
      </c>
      <c r="Q2525" t="s">
        <v>29</v>
      </c>
      <c r="R2525" t="s">
        <v>29</v>
      </c>
      <c r="S2525">
        <v>10.085795438411701</v>
      </c>
      <c r="T2525" t="s">
        <v>29</v>
      </c>
      <c r="U2525" t="s">
        <v>29</v>
      </c>
      <c r="V2525" t="s">
        <v>29</v>
      </c>
      <c r="W2525" t="s">
        <v>29</v>
      </c>
      <c r="X2525" t="s">
        <v>29</v>
      </c>
      <c r="Y2525" t="s">
        <v>29</v>
      </c>
    </row>
    <row r="2526" spans="1:25" x14ac:dyDescent="0.2">
      <c r="A2526" t="s">
        <v>9435</v>
      </c>
      <c r="B2526" t="s">
        <v>9436</v>
      </c>
      <c r="C2526" t="s">
        <v>9437</v>
      </c>
      <c r="D2526" t="s">
        <v>666</v>
      </c>
      <c r="E2526" t="s">
        <v>9436</v>
      </c>
      <c r="F2526" t="s">
        <v>28</v>
      </c>
      <c r="G2526" t="s">
        <v>9436</v>
      </c>
      <c r="H2526" t="str">
        <f>"pqn-53"</f>
        <v>pqn-53</v>
      </c>
      <c r="I2526" t="s">
        <v>666</v>
      </c>
      <c r="J2526">
        <v>17.238451452817799</v>
      </c>
      <c r="K2526">
        <v>17.5975065161294</v>
      </c>
      <c r="L2526">
        <v>17.545060076062999</v>
      </c>
      <c r="M2526">
        <v>17.2416339523236</v>
      </c>
      <c r="N2526">
        <v>17.184537513654799</v>
      </c>
      <c r="O2526">
        <v>17.015248011998999</v>
      </c>
      <c r="P2526">
        <v>-0.31319952234426301</v>
      </c>
      <c r="Q2526">
        <v>-0.87400808932330598</v>
      </c>
      <c r="R2526">
        <v>0.24760904463478001</v>
      </c>
      <c r="S2526">
        <v>17.283558261066101</v>
      </c>
      <c r="T2526">
        <v>-1.1738131346911</v>
      </c>
      <c r="U2526">
        <v>-6.1892138029583696</v>
      </c>
      <c r="V2526">
        <v>0.25585607230596102</v>
      </c>
      <c r="W2526">
        <v>0.83701250057606502</v>
      </c>
      <c r="X2526">
        <v>0</v>
      </c>
      <c r="Y2526">
        <v>0</v>
      </c>
    </row>
    <row r="2527" spans="1:25" x14ac:dyDescent="0.2">
      <c r="A2527" t="s">
        <v>9438</v>
      </c>
      <c r="B2527" t="s">
        <v>9439</v>
      </c>
      <c r="C2527" t="s">
        <v>9440</v>
      </c>
      <c r="D2527" t="s">
        <v>9441</v>
      </c>
      <c r="E2527" t="s">
        <v>9439</v>
      </c>
      <c r="F2527" t="s">
        <v>28</v>
      </c>
      <c r="G2527" t="s">
        <v>9439</v>
      </c>
      <c r="H2527" t="str">
        <f>"kmo-1"</f>
        <v>kmo-1</v>
      </c>
      <c r="I2527" t="s">
        <v>9441</v>
      </c>
      <c r="J2527" t="s">
        <v>29</v>
      </c>
      <c r="K2527" t="s">
        <v>29</v>
      </c>
      <c r="L2527" t="s">
        <v>29</v>
      </c>
      <c r="M2527" t="s">
        <v>29</v>
      </c>
      <c r="N2527">
        <v>10.9084315238771</v>
      </c>
      <c r="O2527" t="s">
        <v>29</v>
      </c>
      <c r="P2527" t="s">
        <v>29</v>
      </c>
      <c r="Q2527" t="s">
        <v>29</v>
      </c>
      <c r="R2527" t="s">
        <v>29</v>
      </c>
      <c r="S2527">
        <v>11.899659199055099</v>
      </c>
      <c r="T2527" t="s">
        <v>29</v>
      </c>
      <c r="U2527" t="s">
        <v>29</v>
      </c>
      <c r="V2527" t="s">
        <v>29</v>
      </c>
      <c r="W2527" t="s">
        <v>29</v>
      </c>
      <c r="X2527" t="s">
        <v>29</v>
      </c>
      <c r="Y2527" t="s">
        <v>29</v>
      </c>
    </row>
    <row r="2528" spans="1:25" x14ac:dyDescent="0.2">
      <c r="A2528" t="s">
        <v>9442</v>
      </c>
      <c r="B2528" t="s">
        <v>9443</v>
      </c>
      <c r="C2528" t="s">
        <v>14507</v>
      </c>
      <c r="D2528" t="s">
        <v>1434</v>
      </c>
      <c r="E2528" t="s">
        <v>9443</v>
      </c>
      <c r="F2528" t="s">
        <v>28</v>
      </c>
      <c r="G2528" t="s">
        <v>9443</v>
      </c>
      <c r="H2528" t="str">
        <f>"R07B7.10"</f>
        <v>R07B7.10</v>
      </c>
      <c r="I2528" t="s">
        <v>1434</v>
      </c>
      <c r="J2528">
        <v>13.6326889261369</v>
      </c>
      <c r="K2528">
        <v>13.8971267108058</v>
      </c>
      <c r="L2528">
        <v>13.9238746586233</v>
      </c>
      <c r="M2528">
        <v>13.702482107323799</v>
      </c>
      <c r="N2528">
        <v>13.6926197012126</v>
      </c>
      <c r="O2528">
        <v>13.0277421114716</v>
      </c>
      <c r="P2528">
        <v>-0.34361545851936798</v>
      </c>
      <c r="Q2528">
        <v>-0.79384708485778299</v>
      </c>
      <c r="R2528">
        <v>0.10661616781904699</v>
      </c>
      <c r="S2528">
        <v>13.432388587367701</v>
      </c>
      <c r="T2528">
        <v>-1.6187740166621101</v>
      </c>
      <c r="U2528">
        <v>-5.6077471880293297</v>
      </c>
      <c r="V2528">
        <v>0.12516421283867701</v>
      </c>
      <c r="W2528">
        <v>0.71501358698732898</v>
      </c>
      <c r="X2528">
        <v>0</v>
      </c>
      <c r="Y2528">
        <v>0</v>
      </c>
    </row>
    <row r="2529" spans="1:25" x14ac:dyDescent="0.2">
      <c r="A2529" t="s">
        <v>9444</v>
      </c>
      <c r="B2529" t="s">
        <v>9445</v>
      </c>
      <c r="C2529" t="s">
        <v>9446</v>
      </c>
      <c r="D2529" t="s">
        <v>312</v>
      </c>
      <c r="E2529" t="s">
        <v>9445</v>
      </c>
      <c r="F2529" t="s">
        <v>28</v>
      </c>
      <c r="G2529" t="s">
        <v>9445</v>
      </c>
      <c r="H2529" t="str">
        <f>"acl-5"</f>
        <v>acl-5</v>
      </c>
      <c r="I2529" t="s">
        <v>312</v>
      </c>
      <c r="J2529">
        <v>12.915033924500801</v>
      </c>
      <c r="K2529">
        <v>12.4772641695593</v>
      </c>
      <c r="L2529">
        <v>12.932845278673</v>
      </c>
      <c r="M2529">
        <v>12.4919544846666</v>
      </c>
      <c r="N2529">
        <v>12.987559475071899</v>
      </c>
      <c r="O2529">
        <v>12.537259053582501</v>
      </c>
      <c r="P2529">
        <v>-0.10279011980399499</v>
      </c>
      <c r="Q2529">
        <v>-0.64474537273894394</v>
      </c>
      <c r="R2529">
        <v>0.43916513313095401</v>
      </c>
      <c r="S2529">
        <v>13.0172064088722</v>
      </c>
      <c r="T2529">
        <v>-0.40034826922698402</v>
      </c>
      <c r="U2529">
        <v>-6.79888195949541</v>
      </c>
      <c r="V2529">
        <v>0.69391687219285703</v>
      </c>
      <c r="W2529">
        <v>0.98642420921484297</v>
      </c>
      <c r="X2529">
        <v>0</v>
      </c>
      <c r="Y2529">
        <v>0</v>
      </c>
    </row>
    <row r="2530" spans="1:25" x14ac:dyDescent="0.2">
      <c r="A2530" t="s">
        <v>9447</v>
      </c>
      <c r="B2530" t="s">
        <v>9448</v>
      </c>
      <c r="C2530" t="s">
        <v>14508</v>
      </c>
      <c r="D2530" t="s">
        <v>674</v>
      </c>
      <c r="E2530" t="s">
        <v>9448</v>
      </c>
      <c r="F2530" t="s">
        <v>28</v>
      </c>
      <c r="G2530" t="s">
        <v>9448</v>
      </c>
      <c r="H2530" t="str">
        <f>"R07E4.5"</f>
        <v>R07E4.5</v>
      </c>
      <c r="I2530" t="s">
        <v>674</v>
      </c>
      <c r="J2530">
        <v>12.6953127906796</v>
      </c>
      <c r="K2530">
        <v>13.429967903512599</v>
      </c>
      <c r="L2530">
        <v>12.9793282845693</v>
      </c>
      <c r="M2530">
        <v>13.0014582326303</v>
      </c>
      <c r="N2530">
        <v>13.1828514643011</v>
      </c>
      <c r="O2530">
        <v>13.002267658432199</v>
      </c>
      <c r="P2530">
        <v>2.7322792200701301E-2</v>
      </c>
      <c r="Q2530">
        <v>-0.46280923432207</v>
      </c>
      <c r="R2530">
        <v>0.51745481872347299</v>
      </c>
      <c r="S2530">
        <v>13.348201402252601</v>
      </c>
      <c r="T2530">
        <v>0.11823921223782401</v>
      </c>
      <c r="U2530">
        <v>-6.8751394049224901</v>
      </c>
      <c r="V2530">
        <v>0.90735944135193503</v>
      </c>
      <c r="W2530">
        <v>0.99833354317360001</v>
      </c>
      <c r="X2530">
        <v>0</v>
      </c>
      <c r="Y2530">
        <v>0</v>
      </c>
    </row>
    <row r="2531" spans="1:25" x14ac:dyDescent="0.2">
      <c r="A2531" t="s">
        <v>9449</v>
      </c>
      <c r="B2531" t="s">
        <v>9450</v>
      </c>
      <c r="C2531" t="s">
        <v>9451</v>
      </c>
      <c r="D2531" t="s">
        <v>9452</v>
      </c>
      <c r="E2531" t="s">
        <v>9450</v>
      </c>
      <c r="F2531" t="s">
        <v>28</v>
      </c>
      <c r="G2531" t="s">
        <v>9450</v>
      </c>
      <c r="H2531" t="str">
        <f>"prdx-3"</f>
        <v>prdx-3</v>
      </c>
      <c r="I2531" t="s">
        <v>9452</v>
      </c>
      <c r="J2531">
        <v>13.721305556923999</v>
      </c>
      <c r="K2531">
        <v>14.0450597445762</v>
      </c>
      <c r="L2531">
        <v>12.5854238628988</v>
      </c>
      <c r="M2531">
        <v>13.5431776651562</v>
      </c>
      <c r="N2531">
        <v>14.050489544720801</v>
      </c>
      <c r="O2531">
        <v>13.9242740692067</v>
      </c>
      <c r="P2531">
        <v>0.388717371561556</v>
      </c>
      <c r="Q2531">
        <v>-0.33732307024893099</v>
      </c>
      <c r="R2531">
        <v>1.1147578133720399</v>
      </c>
      <c r="S2531">
        <v>13.714560461184499</v>
      </c>
      <c r="T2531">
        <v>1.12529308524194</v>
      </c>
      <c r="U2531">
        <v>-6.2434489039338903</v>
      </c>
      <c r="V2531">
        <v>0.27533169385617801</v>
      </c>
      <c r="W2531">
        <v>0.856190392347986</v>
      </c>
      <c r="X2531">
        <v>0</v>
      </c>
      <c r="Y2531">
        <v>0</v>
      </c>
    </row>
    <row r="2532" spans="1:25" x14ac:dyDescent="0.2">
      <c r="A2532" t="s">
        <v>9453</v>
      </c>
      <c r="B2532" t="s">
        <v>9454</v>
      </c>
      <c r="C2532" t="s">
        <v>9455</v>
      </c>
      <c r="D2532" t="s">
        <v>9456</v>
      </c>
      <c r="E2532" t="s">
        <v>9454</v>
      </c>
      <c r="F2532" t="s">
        <v>28</v>
      </c>
      <c r="G2532" t="s">
        <v>9454</v>
      </c>
      <c r="H2532" t="str">
        <f>"R07E5.1"</f>
        <v>R07E5.1</v>
      </c>
      <c r="I2532" t="s">
        <v>9456</v>
      </c>
      <c r="J2532" t="s">
        <v>29</v>
      </c>
      <c r="K2532" t="s">
        <v>29</v>
      </c>
      <c r="L2532" t="s">
        <v>29</v>
      </c>
      <c r="M2532">
        <v>11.7550523331495</v>
      </c>
      <c r="N2532">
        <v>12.249799120741701</v>
      </c>
      <c r="O2532">
        <v>11.5405667857935</v>
      </c>
      <c r="P2532" t="s">
        <v>29</v>
      </c>
      <c r="Q2532" t="s">
        <v>29</v>
      </c>
      <c r="R2532" t="s">
        <v>29</v>
      </c>
      <c r="S2532">
        <v>11.593327143068599</v>
      </c>
      <c r="T2532" t="s">
        <v>29</v>
      </c>
      <c r="U2532" t="s">
        <v>29</v>
      </c>
      <c r="V2532" t="s">
        <v>29</v>
      </c>
      <c r="W2532" t="s">
        <v>29</v>
      </c>
      <c r="X2532" t="s">
        <v>29</v>
      </c>
      <c r="Y2532" t="s">
        <v>29</v>
      </c>
    </row>
    <row r="2533" spans="1:25" x14ac:dyDescent="0.2">
      <c r="A2533" t="s">
        <v>9457</v>
      </c>
      <c r="B2533" t="s">
        <v>9458</v>
      </c>
      <c r="C2533" t="s">
        <v>9459</v>
      </c>
      <c r="D2533" t="s">
        <v>9460</v>
      </c>
      <c r="E2533" t="s">
        <v>9458</v>
      </c>
      <c r="F2533" t="s">
        <v>28</v>
      </c>
      <c r="G2533" t="s">
        <v>9458</v>
      </c>
      <c r="H2533" t="str">
        <f>"mpc-1"</f>
        <v>mpc-1</v>
      </c>
      <c r="I2533" t="s">
        <v>9460</v>
      </c>
      <c r="J2533">
        <v>13.352425435549</v>
      </c>
      <c r="K2533">
        <v>13.327233760661899</v>
      </c>
      <c r="L2533">
        <v>13.562181446055201</v>
      </c>
      <c r="M2533">
        <v>12.962320621824</v>
      </c>
      <c r="N2533">
        <v>12.9845597227808</v>
      </c>
      <c r="O2533">
        <v>13.079768169732199</v>
      </c>
      <c r="P2533">
        <v>-0.405064042643001</v>
      </c>
      <c r="Q2533">
        <v>-1.3526573442760199</v>
      </c>
      <c r="R2533">
        <v>0.54252925899001303</v>
      </c>
      <c r="S2533">
        <v>12.5739703862107</v>
      </c>
      <c r="T2533">
        <v>-0.90230159236493201</v>
      </c>
      <c r="U2533">
        <v>-6.4658315911066504</v>
      </c>
      <c r="V2533">
        <v>0.37958096082964998</v>
      </c>
      <c r="W2533">
        <v>0.89676491877082198</v>
      </c>
      <c r="X2533">
        <v>0</v>
      </c>
      <c r="Y2533">
        <v>0</v>
      </c>
    </row>
    <row r="2534" spans="1:25" x14ac:dyDescent="0.2">
      <c r="A2534" t="s">
        <v>9461</v>
      </c>
      <c r="B2534" t="s">
        <v>9462</v>
      </c>
      <c r="C2534" t="s">
        <v>9463</v>
      </c>
      <c r="D2534" t="s">
        <v>9464</v>
      </c>
      <c r="E2534" t="s">
        <v>9462</v>
      </c>
      <c r="F2534" t="s">
        <v>28</v>
      </c>
      <c r="G2534" t="s">
        <v>9462</v>
      </c>
      <c r="H2534" t="str">
        <f>"cku-80"</f>
        <v>cku-80</v>
      </c>
      <c r="I2534" t="s">
        <v>9464</v>
      </c>
      <c r="J2534">
        <v>11.696515478305599</v>
      </c>
      <c r="K2534">
        <v>11.5289575546955</v>
      </c>
      <c r="L2534">
        <v>11.4871711240019</v>
      </c>
      <c r="M2534">
        <v>11.450767867701799</v>
      </c>
      <c r="N2534" t="s">
        <v>29</v>
      </c>
      <c r="O2534">
        <v>11.238190123445801</v>
      </c>
      <c r="P2534">
        <v>-0.226402390093837</v>
      </c>
      <c r="Q2534">
        <v>-1.0402113192812099</v>
      </c>
      <c r="R2534">
        <v>0.58740653909353902</v>
      </c>
      <c r="S2534">
        <v>12.2908469053296</v>
      </c>
      <c r="T2534">
        <v>-0.60151408485213997</v>
      </c>
      <c r="U2534">
        <v>-6.5824556852858196</v>
      </c>
      <c r="V2534">
        <v>0.55792493321956005</v>
      </c>
      <c r="W2534">
        <v>0.95635987123881905</v>
      </c>
      <c r="X2534">
        <v>0</v>
      </c>
      <c r="Y2534">
        <v>0</v>
      </c>
    </row>
    <row r="2535" spans="1:25" x14ac:dyDescent="0.2">
      <c r="A2535" t="s">
        <v>9465</v>
      </c>
      <c r="B2535" t="s">
        <v>9466</v>
      </c>
      <c r="C2535" t="s">
        <v>9467</v>
      </c>
      <c r="D2535" t="s">
        <v>9468</v>
      </c>
      <c r="E2535" t="s">
        <v>9466</v>
      </c>
      <c r="F2535" t="s">
        <v>28</v>
      </c>
      <c r="G2535" t="s">
        <v>9466</v>
      </c>
      <c r="H2535" t="str">
        <f>"snfc-5"</f>
        <v>snfc-5</v>
      </c>
      <c r="I2535" t="s">
        <v>9468</v>
      </c>
      <c r="J2535">
        <v>15.051703948550299</v>
      </c>
      <c r="K2535">
        <v>15.2133149165821</v>
      </c>
      <c r="L2535">
        <v>15.0097004123042</v>
      </c>
      <c r="M2535">
        <v>14.797500848318499</v>
      </c>
      <c r="N2535">
        <v>15.0125447471904</v>
      </c>
      <c r="O2535">
        <v>15.1934235815826</v>
      </c>
      <c r="P2535">
        <v>-9.0416700115008894E-2</v>
      </c>
      <c r="Q2535">
        <v>-0.46372445128531598</v>
      </c>
      <c r="R2535">
        <v>0.28289105105529899</v>
      </c>
      <c r="S2535">
        <v>14.8152563675881</v>
      </c>
      <c r="T2535">
        <v>-0.50906607799780401</v>
      </c>
      <c r="U2535">
        <v>-6.7480661660963497</v>
      </c>
      <c r="V2535">
        <v>0.61692539130297297</v>
      </c>
      <c r="W2535">
        <v>0.97258536345632096</v>
      </c>
      <c r="X2535">
        <v>0</v>
      </c>
      <c r="Y2535">
        <v>0</v>
      </c>
    </row>
    <row r="2536" spans="1:25" x14ac:dyDescent="0.2">
      <c r="A2536" t="s">
        <v>9469</v>
      </c>
      <c r="B2536" t="s">
        <v>9470</v>
      </c>
      <c r="C2536" t="s">
        <v>9471</v>
      </c>
      <c r="D2536" t="s">
        <v>2432</v>
      </c>
      <c r="E2536" t="s">
        <v>9470</v>
      </c>
      <c r="F2536" t="s">
        <v>28</v>
      </c>
      <c r="G2536" t="s">
        <v>9470</v>
      </c>
      <c r="H2536" t="str">
        <f>"ivns-1"</f>
        <v>ivns-1</v>
      </c>
      <c r="I2536" t="s">
        <v>2432</v>
      </c>
      <c r="J2536">
        <v>12.767921153455299</v>
      </c>
      <c r="K2536">
        <v>12.8428017920839</v>
      </c>
      <c r="L2536">
        <v>13.0138894181816</v>
      </c>
      <c r="M2536">
        <v>15.003670444121999</v>
      </c>
      <c r="N2536">
        <v>15.2369467925098</v>
      </c>
      <c r="O2536">
        <v>14.5757180400725</v>
      </c>
      <c r="P2536">
        <v>2.0639076376611998</v>
      </c>
      <c r="Q2536">
        <v>1.3708572522840199</v>
      </c>
      <c r="R2536">
        <v>2.7569580230383801</v>
      </c>
      <c r="S2536">
        <v>14.574981395530999</v>
      </c>
      <c r="T2536">
        <v>6.2591875076486101</v>
      </c>
      <c r="U2536">
        <v>3.86387934046454</v>
      </c>
      <c r="V2536" s="2">
        <v>6.8373345866250303E-6</v>
      </c>
      <c r="W2536">
        <v>5.4400781495045998E-4</v>
      </c>
      <c r="X2536">
        <v>1</v>
      </c>
      <c r="Y2536">
        <v>1</v>
      </c>
    </row>
    <row r="2537" spans="1:25" x14ac:dyDescent="0.2">
      <c r="A2537" t="s">
        <v>9472</v>
      </c>
      <c r="B2537" t="s">
        <v>9473</v>
      </c>
      <c r="C2537" t="s">
        <v>14509</v>
      </c>
      <c r="D2537" t="s">
        <v>66</v>
      </c>
      <c r="E2537" t="s">
        <v>9473</v>
      </c>
      <c r="F2537" t="s">
        <v>28</v>
      </c>
      <c r="G2537" t="s">
        <v>9473</v>
      </c>
      <c r="H2537" t="str">
        <f>"R09E10.6"</f>
        <v>R09E10.6</v>
      </c>
      <c r="I2537" t="s">
        <v>66</v>
      </c>
      <c r="J2537" t="s">
        <v>29</v>
      </c>
      <c r="K2537" t="s">
        <v>29</v>
      </c>
      <c r="L2537" t="s">
        <v>29</v>
      </c>
      <c r="M2537" t="s">
        <v>29</v>
      </c>
      <c r="N2537" t="s">
        <v>29</v>
      </c>
      <c r="O2537">
        <v>12.4861747907097</v>
      </c>
      <c r="P2537" t="s">
        <v>29</v>
      </c>
      <c r="Q2537" t="s">
        <v>29</v>
      </c>
      <c r="R2537" t="s">
        <v>29</v>
      </c>
      <c r="S2537">
        <v>12.921820916992299</v>
      </c>
      <c r="T2537" t="s">
        <v>29</v>
      </c>
      <c r="U2537" t="s">
        <v>29</v>
      </c>
      <c r="V2537" t="s">
        <v>29</v>
      </c>
      <c r="W2537" t="s">
        <v>29</v>
      </c>
      <c r="X2537" t="s">
        <v>29</v>
      </c>
      <c r="Y2537" t="s">
        <v>29</v>
      </c>
    </row>
    <row r="2538" spans="1:25" x14ac:dyDescent="0.2">
      <c r="A2538" t="s">
        <v>9474</v>
      </c>
      <c r="B2538" t="s">
        <v>9475</v>
      </c>
      <c r="C2538" t="s">
        <v>9476</v>
      </c>
      <c r="D2538" t="s">
        <v>8008</v>
      </c>
      <c r="E2538" t="s">
        <v>9475</v>
      </c>
      <c r="F2538" t="s">
        <v>28</v>
      </c>
      <c r="G2538" t="s">
        <v>9475</v>
      </c>
      <c r="H2538" t="str">
        <f>"acs-18"</f>
        <v>acs-18</v>
      </c>
      <c r="I2538" t="s">
        <v>8008</v>
      </c>
      <c r="J2538" t="s">
        <v>29</v>
      </c>
      <c r="K2538" t="s">
        <v>29</v>
      </c>
      <c r="L2538">
        <v>10.1035906939253</v>
      </c>
      <c r="M2538" t="s">
        <v>29</v>
      </c>
      <c r="N2538">
        <v>10.937171295133201</v>
      </c>
      <c r="O2538" t="s">
        <v>29</v>
      </c>
      <c r="P2538">
        <v>0.83358060120787603</v>
      </c>
      <c r="Q2538">
        <v>-0.52065938157303204</v>
      </c>
      <c r="R2538">
        <v>2.1878205839887799</v>
      </c>
      <c r="S2538">
        <v>10.8540785391657</v>
      </c>
      <c r="T2538">
        <v>1.3734689884389899</v>
      </c>
      <c r="U2538">
        <v>-5.42421136171422</v>
      </c>
      <c r="V2538">
        <v>0.19992262474081399</v>
      </c>
      <c r="W2538">
        <v>0.79075284576134597</v>
      </c>
      <c r="X2538">
        <v>0</v>
      </c>
      <c r="Y2538">
        <v>0</v>
      </c>
    </row>
    <row r="2539" spans="1:25" x14ac:dyDescent="0.2">
      <c r="A2539" t="s">
        <v>9477</v>
      </c>
      <c r="B2539" t="s">
        <v>9478</v>
      </c>
      <c r="C2539" t="s">
        <v>9479</v>
      </c>
      <c r="D2539" t="s">
        <v>9480</v>
      </c>
      <c r="E2539" t="s">
        <v>9478</v>
      </c>
      <c r="F2539" t="s">
        <v>28</v>
      </c>
      <c r="G2539" t="s">
        <v>9478</v>
      </c>
      <c r="H2539" t="str">
        <f>"R09E10.5"</f>
        <v>R09E10.5</v>
      </c>
      <c r="I2539" t="s">
        <v>9480</v>
      </c>
      <c r="J2539">
        <v>12.261454430515901</v>
      </c>
      <c r="K2539">
        <v>12.718548400893599</v>
      </c>
      <c r="L2539">
        <v>12.9820640998117</v>
      </c>
      <c r="M2539">
        <v>12.6074476159624</v>
      </c>
      <c r="N2539">
        <v>12.5977645442027</v>
      </c>
      <c r="O2539">
        <v>13.1882836655289</v>
      </c>
      <c r="P2539">
        <v>0.14380963149092499</v>
      </c>
      <c r="Q2539">
        <v>-0.63345276747508095</v>
      </c>
      <c r="R2539">
        <v>0.92107203045692998</v>
      </c>
      <c r="S2539">
        <v>12.844444346542801</v>
      </c>
      <c r="T2539">
        <v>0.38887751055212899</v>
      </c>
      <c r="U2539">
        <v>-6.8038098390206896</v>
      </c>
      <c r="V2539">
        <v>0.70195506455224899</v>
      </c>
      <c r="W2539">
        <v>0.98642420921484297</v>
      </c>
      <c r="X2539">
        <v>0</v>
      </c>
      <c r="Y2539">
        <v>0</v>
      </c>
    </row>
    <row r="2540" spans="1:25" x14ac:dyDescent="0.2">
      <c r="A2540" t="s">
        <v>9481</v>
      </c>
      <c r="B2540" t="s">
        <v>9482</v>
      </c>
      <c r="C2540" t="s">
        <v>9483</v>
      </c>
      <c r="D2540" t="s">
        <v>9484</v>
      </c>
      <c r="E2540" t="s">
        <v>9482</v>
      </c>
      <c r="F2540" t="s">
        <v>28</v>
      </c>
      <c r="G2540" t="s">
        <v>9482</v>
      </c>
      <c r="H2540" t="str">
        <f>"ebax-1"</f>
        <v>ebax-1</v>
      </c>
      <c r="I2540" t="s">
        <v>9484</v>
      </c>
      <c r="J2540">
        <v>10.9786759020938</v>
      </c>
      <c r="K2540" t="s">
        <v>29</v>
      </c>
      <c r="L2540">
        <v>10.8048016193219</v>
      </c>
      <c r="M2540">
        <v>10.9019028048625</v>
      </c>
      <c r="N2540">
        <v>10.955526404571501</v>
      </c>
      <c r="O2540">
        <v>10.8154795751169</v>
      </c>
      <c r="P2540">
        <v>-7.6916585754460698E-4</v>
      </c>
      <c r="Q2540">
        <v>-0.65585084384593495</v>
      </c>
      <c r="R2540">
        <v>0.65431251213084496</v>
      </c>
      <c r="S2540">
        <v>11.2840697336433</v>
      </c>
      <c r="T2540">
        <v>-2.5200922462496598E-3</v>
      </c>
      <c r="U2540">
        <v>-6.7722014039579896</v>
      </c>
      <c r="V2540">
        <v>0.99802508283262403</v>
      </c>
      <c r="W2540">
        <v>0.99993024577696799</v>
      </c>
      <c r="X2540">
        <v>0</v>
      </c>
      <c r="Y2540">
        <v>0</v>
      </c>
    </row>
    <row r="2541" spans="1:25" x14ac:dyDescent="0.2">
      <c r="A2541" t="s">
        <v>9485</v>
      </c>
      <c r="B2541" t="s">
        <v>9486</v>
      </c>
      <c r="C2541" t="s">
        <v>9487</v>
      </c>
      <c r="D2541" t="s">
        <v>9488</v>
      </c>
      <c r="E2541" t="s">
        <v>9486</v>
      </c>
      <c r="F2541" t="s">
        <v>28</v>
      </c>
      <c r="G2541" t="s">
        <v>9486</v>
      </c>
      <c r="H2541" t="str">
        <f>"nhr-1"</f>
        <v>nhr-1</v>
      </c>
      <c r="I2541" t="s">
        <v>9488</v>
      </c>
      <c r="J2541">
        <v>12.5101919419429</v>
      </c>
      <c r="K2541">
        <v>12.7241076983839</v>
      </c>
      <c r="L2541">
        <v>12.6147020324115</v>
      </c>
      <c r="M2541">
        <v>12.567786646635399</v>
      </c>
      <c r="N2541">
        <v>12.741918439993</v>
      </c>
      <c r="O2541">
        <v>12.9918480129746</v>
      </c>
      <c r="P2541">
        <v>0.15085047562157999</v>
      </c>
      <c r="Q2541">
        <v>-0.31480321113561999</v>
      </c>
      <c r="R2541">
        <v>0.61650416237878003</v>
      </c>
      <c r="S2541">
        <v>12.880949443924299</v>
      </c>
      <c r="T2541">
        <v>0.68088873838161801</v>
      </c>
      <c r="U2541">
        <v>-6.6433709277631596</v>
      </c>
      <c r="V2541">
        <v>0.50465776450540001</v>
      </c>
      <c r="W2541">
        <v>0.94062983959761604</v>
      </c>
      <c r="X2541">
        <v>0</v>
      </c>
      <c r="Y2541">
        <v>0</v>
      </c>
    </row>
    <row r="2542" spans="1:25" x14ac:dyDescent="0.2">
      <c r="A2542" t="s">
        <v>9489</v>
      </c>
      <c r="B2542" t="s">
        <v>9490</v>
      </c>
      <c r="C2542" t="s">
        <v>14165</v>
      </c>
      <c r="D2542" t="s">
        <v>9491</v>
      </c>
      <c r="E2542" t="s">
        <v>9490</v>
      </c>
      <c r="F2542" t="s">
        <v>28</v>
      </c>
      <c r="G2542" t="s">
        <v>9490</v>
      </c>
      <c r="H2542" t="str">
        <f>"R102.2"</f>
        <v>R102.2</v>
      </c>
      <c r="I2542" t="s">
        <v>9491</v>
      </c>
      <c r="J2542" t="s">
        <v>29</v>
      </c>
      <c r="K2542" t="s">
        <v>29</v>
      </c>
      <c r="L2542" t="s">
        <v>29</v>
      </c>
      <c r="M2542">
        <v>12.760972808505</v>
      </c>
      <c r="N2542">
        <v>12.456868777432</v>
      </c>
      <c r="O2542">
        <v>13.249099137809401</v>
      </c>
      <c r="P2542" t="s">
        <v>29</v>
      </c>
      <c r="Q2542" t="s">
        <v>29</v>
      </c>
      <c r="R2542" t="s">
        <v>29</v>
      </c>
      <c r="S2542">
        <v>14.235836862154001</v>
      </c>
      <c r="T2542" t="s">
        <v>29</v>
      </c>
      <c r="U2542" t="s">
        <v>29</v>
      </c>
      <c r="V2542" t="s">
        <v>29</v>
      </c>
      <c r="W2542" t="s">
        <v>29</v>
      </c>
      <c r="X2542" t="s">
        <v>29</v>
      </c>
      <c r="Y2542" t="s">
        <v>29</v>
      </c>
    </row>
    <row r="2543" spans="1:25" x14ac:dyDescent="0.2">
      <c r="A2543" t="s">
        <v>9492</v>
      </c>
      <c r="B2543" t="s">
        <v>9493</v>
      </c>
      <c r="C2543" t="s">
        <v>9494</v>
      </c>
      <c r="D2543" t="s">
        <v>9495</v>
      </c>
      <c r="E2543" t="s">
        <v>9493</v>
      </c>
      <c r="F2543" t="s">
        <v>28</v>
      </c>
      <c r="G2543" t="s">
        <v>9493</v>
      </c>
      <c r="H2543" t="str">
        <f>"vha-1"</f>
        <v>vha-1</v>
      </c>
      <c r="I2543" t="s">
        <v>9495</v>
      </c>
      <c r="J2543">
        <v>12.599508184212301</v>
      </c>
      <c r="K2543" t="s">
        <v>29</v>
      </c>
      <c r="L2543">
        <v>14.2140281205157</v>
      </c>
      <c r="M2543">
        <v>13.270081811167801</v>
      </c>
      <c r="N2543">
        <v>12.2007398354742</v>
      </c>
      <c r="O2543">
        <v>13.280746499464099</v>
      </c>
      <c r="P2543">
        <v>-0.48957877032865599</v>
      </c>
      <c r="Q2543">
        <v>-1.64769271657295</v>
      </c>
      <c r="R2543">
        <v>0.66853517591563605</v>
      </c>
      <c r="S2543">
        <v>13.5285582238714</v>
      </c>
      <c r="T2543">
        <v>-0.95802223938340503</v>
      </c>
      <c r="U2543">
        <v>-6.29292244862412</v>
      </c>
      <c r="V2543">
        <v>0.363364582044157</v>
      </c>
      <c r="W2543">
        <v>0.888292466632014</v>
      </c>
      <c r="X2543">
        <v>0</v>
      </c>
      <c r="Y2543">
        <v>0</v>
      </c>
    </row>
    <row r="2544" spans="1:25" x14ac:dyDescent="0.2">
      <c r="A2544" t="s">
        <v>9496</v>
      </c>
      <c r="B2544" t="s">
        <v>9497</v>
      </c>
      <c r="C2544" t="s">
        <v>14510</v>
      </c>
      <c r="D2544" t="s">
        <v>2432</v>
      </c>
      <c r="E2544" t="s">
        <v>9497</v>
      </c>
      <c r="F2544" t="s">
        <v>28</v>
      </c>
      <c r="G2544" t="s">
        <v>9497</v>
      </c>
      <c r="H2544" t="str">
        <f>"R10E4.1"</f>
        <v>R10E4.1</v>
      </c>
      <c r="I2544" t="s">
        <v>2432</v>
      </c>
      <c r="J2544">
        <v>14.2898471609615</v>
      </c>
      <c r="K2544">
        <v>14.6529014299519</v>
      </c>
      <c r="L2544">
        <v>13.717721327553299</v>
      </c>
      <c r="M2544">
        <v>13.736915143548901</v>
      </c>
      <c r="N2544">
        <v>14.034801762135301</v>
      </c>
      <c r="O2544">
        <v>14.2392846945166</v>
      </c>
      <c r="P2544">
        <v>-0.21648943942194501</v>
      </c>
      <c r="Q2544">
        <v>-0.82619571089861599</v>
      </c>
      <c r="R2544">
        <v>0.39321683205472602</v>
      </c>
      <c r="S2544">
        <v>13.6155854659224</v>
      </c>
      <c r="T2544">
        <v>-0.74949038676031698</v>
      </c>
      <c r="U2544">
        <v>-6.5929023410512304</v>
      </c>
      <c r="V2544">
        <v>0.46387069102371797</v>
      </c>
      <c r="W2544">
        <v>0.92978583625257705</v>
      </c>
      <c r="X2544">
        <v>0</v>
      </c>
      <c r="Y2544">
        <v>0</v>
      </c>
    </row>
    <row r="2545" spans="1:25" x14ac:dyDescent="0.2">
      <c r="A2545" t="s">
        <v>9498</v>
      </c>
      <c r="B2545" t="s">
        <v>9499</v>
      </c>
      <c r="C2545" t="s">
        <v>9500</v>
      </c>
      <c r="D2545" t="s">
        <v>9501</v>
      </c>
      <c r="E2545" t="s">
        <v>9499</v>
      </c>
      <c r="F2545" t="s">
        <v>28</v>
      </c>
      <c r="G2545" t="s">
        <v>9499</v>
      </c>
      <c r="H2545" t="str">
        <f>"mcm-5"</f>
        <v>mcm-5</v>
      </c>
      <c r="I2545" t="s">
        <v>9501</v>
      </c>
      <c r="J2545">
        <v>16.348737311583601</v>
      </c>
      <c r="K2545">
        <v>16.1134723135253</v>
      </c>
      <c r="L2545">
        <v>16.233924155870302</v>
      </c>
      <c r="M2545">
        <v>16.211997786352899</v>
      </c>
      <c r="N2545">
        <v>16.069772272127999</v>
      </c>
      <c r="O2545">
        <v>16.1558788331469</v>
      </c>
      <c r="P2545">
        <v>-8.6161629783781293E-2</v>
      </c>
      <c r="Q2545">
        <v>-0.46445146271321702</v>
      </c>
      <c r="R2545">
        <v>0.29212820314565502</v>
      </c>
      <c r="S2545">
        <v>16.016180753123699</v>
      </c>
      <c r="T2545">
        <v>-0.47872019550141898</v>
      </c>
      <c r="U2545">
        <v>-6.7635151903463298</v>
      </c>
      <c r="V2545">
        <v>0.63793472266756102</v>
      </c>
      <c r="W2545">
        <v>0.97476997913256702</v>
      </c>
      <c r="X2545">
        <v>0</v>
      </c>
      <c r="Y2545">
        <v>0</v>
      </c>
    </row>
    <row r="2546" spans="1:25" x14ac:dyDescent="0.2">
      <c r="A2546" t="s">
        <v>9502</v>
      </c>
      <c r="B2546" t="s">
        <v>9503</v>
      </c>
      <c r="C2546" t="s">
        <v>14511</v>
      </c>
      <c r="D2546" t="s">
        <v>9504</v>
      </c>
      <c r="E2546" t="s">
        <v>9503</v>
      </c>
      <c r="F2546" t="s">
        <v>28</v>
      </c>
      <c r="G2546" t="s">
        <v>9503</v>
      </c>
      <c r="H2546" t="str">
        <f>"R10E4.9"</f>
        <v>R10E4.9</v>
      </c>
      <c r="I2546" t="s">
        <v>9504</v>
      </c>
      <c r="J2546">
        <v>14.408271617264999</v>
      </c>
      <c r="K2546">
        <v>14.583472015895101</v>
      </c>
      <c r="L2546">
        <v>14.552138226278</v>
      </c>
      <c r="M2546">
        <v>14.279326447539299</v>
      </c>
      <c r="N2546">
        <v>14.467671138950699</v>
      </c>
      <c r="O2546">
        <v>14.516415636601399</v>
      </c>
      <c r="P2546">
        <v>-9.34895454488682E-2</v>
      </c>
      <c r="Q2546">
        <v>-0.61278100034301497</v>
      </c>
      <c r="R2546">
        <v>0.42580190944527901</v>
      </c>
      <c r="S2546">
        <v>14.374430083092699</v>
      </c>
      <c r="T2546">
        <v>-0.38185756762123402</v>
      </c>
      <c r="U2546">
        <v>-6.8061473100819301</v>
      </c>
      <c r="V2546">
        <v>0.70762379841504497</v>
      </c>
      <c r="W2546">
        <v>0.986995809356777</v>
      </c>
      <c r="X2546">
        <v>0</v>
      </c>
      <c r="Y2546">
        <v>0</v>
      </c>
    </row>
    <row r="2547" spans="1:25" x14ac:dyDescent="0.2">
      <c r="A2547" t="s">
        <v>9505</v>
      </c>
      <c r="B2547" t="s">
        <v>9506</v>
      </c>
      <c r="C2547" t="s">
        <v>14512</v>
      </c>
      <c r="D2547" t="s">
        <v>3883</v>
      </c>
      <c r="E2547" t="s">
        <v>9506</v>
      </c>
      <c r="F2547" t="s">
        <v>28</v>
      </c>
      <c r="G2547" t="s">
        <v>9506</v>
      </c>
      <c r="H2547" t="str">
        <f>"R10E9.2"</f>
        <v>R10E9.2</v>
      </c>
      <c r="I2547" t="s">
        <v>3883</v>
      </c>
      <c r="J2547">
        <v>12.915674268384601</v>
      </c>
      <c r="K2547">
        <v>12.697236785317401</v>
      </c>
      <c r="L2547">
        <v>13.496825295462999</v>
      </c>
      <c r="M2547" t="s">
        <v>29</v>
      </c>
      <c r="N2547">
        <v>14.2349461316462</v>
      </c>
      <c r="O2547">
        <v>14.768882892337601</v>
      </c>
      <c r="P2547">
        <v>1.46533572893695</v>
      </c>
      <c r="Q2547">
        <v>-0.549593643362567</v>
      </c>
      <c r="R2547">
        <v>3.4802651012364798</v>
      </c>
      <c r="S2547">
        <v>12.985877759061699</v>
      </c>
      <c r="T2547">
        <v>1.6227222898191</v>
      </c>
      <c r="U2547">
        <v>-5.50544221176854</v>
      </c>
      <c r="V2547">
        <v>0.136037230074493</v>
      </c>
      <c r="W2547">
        <v>0.72553189373063098</v>
      </c>
      <c r="X2547">
        <v>0</v>
      </c>
      <c r="Y2547">
        <v>0</v>
      </c>
    </row>
    <row r="2548" spans="1:25" x14ac:dyDescent="0.2">
      <c r="A2548" t="s">
        <v>9507</v>
      </c>
      <c r="B2548" t="s">
        <v>9508</v>
      </c>
      <c r="C2548" t="s">
        <v>9509</v>
      </c>
      <c r="D2548" t="s">
        <v>9510</v>
      </c>
      <c r="E2548" t="s">
        <v>9508</v>
      </c>
      <c r="F2548" t="s">
        <v>28</v>
      </c>
      <c r="G2548" t="s">
        <v>9508</v>
      </c>
      <c r="H2548" t="str">
        <f>"gpa-7"</f>
        <v>gpa-7</v>
      </c>
      <c r="I2548" t="s">
        <v>9510</v>
      </c>
      <c r="J2548">
        <v>14.3619690357556</v>
      </c>
      <c r="K2548">
        <v>14.5868387342733</v>
      </c>
      <c r="L2548">
        <v>14.0982186085935</v>
      </c>
      <c r="M2548">
        <v>14.2912575039175</v>
      </c>
      <c r="N2548">
        <v>13.7865758835442</v>
      </c>
      <c r="O2548">
        <v>14.3471971394293</v>
      </c>
      <c r="P2548">
        <v>-0.207331950577165</v>
      </c>
      <c r="Q2548">
        <v>-0.72780730279879902</v>
      </c>
      <c r="R2548">
        <v>0.31314340164446802</v>
      </c>
      <c r="S2548">
        <v>13.8860839523516</v>
      </c>
      <c r="T2548">
        <v>-0.83725659848854095</v>
      </c>
      <c r="U2548">
        <v>-6.5232830669467896</v>
      </c>
      <c r="V2548">
        <v>0.41349072084248101</v>
      </c>
      <c r="W2548">
        <v>0.91512503332874395</v>
      </c>
      <c r="X2548">
        <v>0</v>
      </c>
      <c r="Y2548">
        <v>0</v>
      </c>
    </row>
    <row r="2549" spans="1:25" x14ac:dyDescent="0.2">
      <c r="A2549" t="s">
        <v>9511</v>
      </c>
      <c r="B2549" t="s">
        <v>9512</v>
      </c>
      <c r="C2549" t="s">
        <v>9513</v>
      </c>
      <c r="D2549" t="s">
        <v>9514</v>
      </c>
      <c r="E2549" t="s">
        <v>9512</v>
      </c>
      <c r="F2549" t="s">
        <v>28</v>
      </c>
      <c r="G2549" t="s">
        <v>9512</v>
      </c>
      <c r="H2549" t="str">
        <f>"mask-1"</f>
        <v>mask-1</v>
      </c>
      <c r="I2549" t="s">
        <v>9514</v>
      </c>
      <c r="J2549">
        <v>10.693298322541899</v>
      </c>
      <c r="K2549">
        <v>9.8785940519485802</v>
      </c>
      <c r="L2549">
        <v>11.205195578796999</v>
      </c>
      <c r="M2549">
        <v>11.7077383880917</v>
      </c>
      <c r="N2549">
        <v>11.975284103687599</v>
      </c>
      <c r="O2549">
        <v>11.2344424961658</v>
      </c>
      <c r="P2549">
        <v>1.04679234488589</v>
      </c>
      <c r="Q2549">
        <v>0.29871287076577602</v>
      </c>
      <c r="R2549">
        <v>1.794871819006</v>
      </c>
      <c r="S2549">
        <v>12.1795921277531</v>
      </c>
      <c r="T2549">
        <v>2.9536757164449599</v>
      </c>
      <c r="U2549">
        <v>-3.20492969313278</v>
      </c>
      <c r="V2549">
        <v>8.9338644040539792E-3</v>
      </c>
      <c r="W2549">
        <v>0.16555110764584299</v>
      </c>
      <c r="X2549">
        <v>1</v>
      </c>
      <c r="Y2549">
        <v>0</v>
      </c>
    </row>
    <row r="2550" spans="1:25" x14ac:dyDescent="0.2">
      <c r="A2550" t="s">
        <v>9515</v>
      </c>
      <c r="B2550" t="s">
        <v>9516</v>
      </c>
      <c r="C2550" t="s">
        <v>9517</v>
      </c>
      <c r="D2550" t="s">
        <v>9518</v>
      </c>
      <c r="E2550" t="s">
        <v>9516</v>
      </c>
      <c r="F2550" t="s">
        <v>28</v>
      </c>
      <c r="G2550" t="s">
        <v>9516</v>
      </c>
      <c r="H2550" t="str">
        <f>"sir-2.1"</f>
        <v>sir-2.1</v>
      </c>
      <c r="I2550" t="s">
        <v>9518</v>
      </c>
      <c r="J2550" t="s">
        <v>29</v>
      </c>
      <c r="K2550" t="s">
        <v>29</v>
      </c>
      <c r="L2550" t="s">
        <v>29</v>
      </c>
      <c r="M2550" t="s">
        <v>29</v>
      </c>
      <c r="N2550">
        <v>10.891506059805799</v>
      </c>
      <c r="O2550" t="s">
        <v>29</v>
      </c>
      <c r="P2550" t="s">
        <v>29</v>
      </c>
      <c r="Q2550" t="s">
        <v>29</v>
      </c>
      <c r="R2550" t="s">
        <v>29</v>
      </c>
      <c r="S2550">
        <v>10.7386239041483</v>
      </c>
      <c r="T2550" t="s">
        <v>29</v>
      </c>
      <c r="U2550" t="s">
        <v>29</v>
      </c>
      <c r="V2550" t="s">
        <v>29</v>
      </c>
      <c r="W2550" t="s">
        <v>29</v>
      </c>
      <c r="X2550" t="s">
        <v>29</v>
      </c>
      <c r="Y2550" t="s">
        <v>29</v>
      </c>
    </row>
    <row r="2551" spans="1:25" x14ac:dyDescent="0.2">
      <c r="A2551" t="s">
        <v>9519</v>
      </c>
      <c r="B2551" t="s">
        <v>9520</v>
      </c>
      <c r="C2551" t="s">
        <v>9521</v>
      </c>
      <c r="D2551" t="s">
        <v>9522</v>
      </c>
      <c r="E2551" t="s">
        <v>9520</v>
      </c>
      <c r="F2551" t="s">
        <v>28</v>
      </c>
      <c r="G2551" t="s">
        <v>9520</v>
      </c>
      <c r="H2551" t="str">
        <f>"gkow-1"</f>
        <v>gkow-1</v>
      </c>
      <c r="I2551" t="s">
        <v>9522</v>
      </c>
      <c r="J2551" t="s">
        <v>29</v>
      </c>
      <c r="K2551" t="s">
        <v>29</v>
      </c>
      <c r="L2551" t="s">
        <v>29</v>
      </c>
      <c r="M2551" t="s">
        <v>29</v>
      </c>
      <c r="N2551">
        <v>10.282826632716899</v>
      </c>
      <c r="O2551" t="s">
        <v>29</v>
      </c>
      <c r="P2551" t="s">
        <v>29</v>
      </c>
      <c r="Q2551" t="s">
        <v>29</v>
      </c>
      <c r="R2551" t="s">
        <v>29</v>
      </c>
      <c r="S2551">
        <v>10.7542120289456</v>
      </c>
      <c r="T2551" t="s">
        <v>29</v>
      </c>
      <c r="U2551" t="s">
        <v>29</v>
      </c>
      <c r="V2551" t="s">
        <v>29</v>
      </c>
      <c r="W2551" t="s">
        <v>29</v>
      </c>
      <c r="X2551" t="s">
        <v>29</v>
      </c>
      <c r="Y2551" t="s">
        <v>29</v>
      </c>
    </row>
    <row r="2552" spans="1:25" x14ac:dyDescent="0.2">
      <c r="A2552" t="s">
        <v>9523</v>
      </c>
      <c r="B2552" t="s">
        <v>9524</v>
      </c>
      <c r="C2552" t="s">
        <v>9525</v>
      </c>
      <c r="D2552" t="s">
        <v>9526</v>
      </c>
      <c r="E2552" t="s">
        <v>9524</v>
      </c>
      <c r="F2552" t="s">
        <v>28</v>
      </c>
      <c r="G2552" t="s">
        <v>9524</v>
      </c>
      <c r="H2552" t="str">
        <f>"iars-1"</f>
        <v>iars-1</v>
      </c>
      <c r="I2552" t="s">
        <v>9526</v>
      </c>
      <c r="J2552">
        <v>14.760434980443399</v>
      </c>
      <c r="K2552">
        <v>14.5107638118517</v>
      </c>
      <c r="L2552">
        <v>14.67699880853</v>
      </c>
      <c r="M2552">
        <v>14.8066020992828</v>
      </c>
      <c r="N2552">
        <v>14.757542568515399</v>
      </c>
      <c r="O2552">
        <v>14.7035028977749</v>
      </c>
      <c r="P2552">
        <v>0.10648332158271</v>
      </c>
      <c r="Q2552">
        <v>-0.23188540774890501</v>
      </c>
      <c r="R2552">
        <v>0.444852050914325</v>
      </c>
      <c r="S2552">
        <v>14.551290119548399</v>
      </c>
      <c r="T2552">
        <v>0.661429990080448</v>
      </c>
      <c r="U2552">
        <v>-6.6566798740970299</v>
      </c>
      <c r="V2552">
        <v>0.51676332350792198</v>
      </c>
      <c r="W2552">
        <v>0.94227592550871997</v>
      </c>
      <c r="X2552">
        <v>0</v>
      </c>
      <c r="Y2552">
        <v>0</v>
      </c>
    </row>
    <row r="2553" spans="1:25" x14ac:dyDescent="0.2">
      <c r="A2553" t="s">
        <v>9527</v>
      </c>
      <c r="B2553" t="s">
        <v>9528</v>
      </c>
      <c r="C2553" t="s">
        <v>9529</v>
      </c>
      <c r="D2553" t="s">
        <v>9530</v>
      </c>
      <c r="E2553" t="s">
        <v>9528</v>
      </c>
      <c r="F2553" t="s">
        <v>28</v>
      </c>
      <c r="G2553" t="s">
        <v>9528</v>
      </c>
      <c r="H2553" t="str">
        <f>"rpl-28"</f>
        <v>rpl-28</v>
      </c>
      <c r="I2553" t="s">
        <v>9530</v>
      </c>
      <c r="J2553">
        <v>17.836305550322699</v>
      </c>
      <c r="K2553">
        <v>17.961786616203</v>
      </c>
      <c r="L2553">
        <v>17.802036155588901</v>
      </c>
      <c r="M2553">
        <v>17.962523573602699</v>
      </c>
      <c r="N2553">
        <v>17.210899317558798</v>
      </c>
      <c r="O2553">
        <v>17.8010326583892</v>
      </c>
      <c r="P2553">
        <v>-0.20855759085459999</v>
      </c>
      <c r="Q2553">
        <v>-0.71104473562730597</v>
      </c>
      <c r="R2553">
        <v>0.29392955391810699</v>
      </c>
      <c r="S2553">
        <v>17.681833295748302</v>
      </c>
      <c r="T2553">
        <v>-0.87235561142026596</v>
      </c>
      <c r="U2553">
        <v>-6.4931733330057702</v>
      </c>
      <c r="V2553">
        <v>0.39456893202437099</v>
      </c>
      <c r="W2553">
        <v>0.90975406915825197</v>
      </c>
      <c r="X2553">
        <v>0</v>
      </c>
      <c r="Y2553">
        <v>0</v>
      </c>
    </row>
    <row r="2554" spans="1:25" x14ac:dyDescent="0.2">
      <c r="A2554" t="s">
        <v>9531</v>
      </c>
      <c r="B2554" t="s">
        <v>9532</v>
      </c>
      <c r="C2554" t="s">
        <v>9533</v>
      </c>
      <c r="D2554" t="s">
        <v>9534</v>
      </c>
      <c r="E2554" t="s">
        <v>9532</v>
      </c>
      <c r="F2554" t="s">
        <v>28</v>
      </c>
      <c r="G2554" t="s">
        <v>9532</v>
      </c>
      <c r="H2554" t="str">
        <f>"mrpl-49"</f>
        <v>mrpl-49</v>
      </c>
      <c r="I2554" t="s">
        <v>9534</v>
      </c>
      <c r="J2554">
        <v>11.631381344952301</v>
      </c>
      <c r="K2554">
        <v>12.1789617829061</v>
      </c>
      <c r="L2554">
        <v>12.238041562214701</v>
      </c>
      <c r="M2554">
        <v>11.5508832468023</v>
      </c>
      <c r="N2554">
        <v>12.4801464419564</v>
      </c>
      <c r="O2554" t="s">
        <v>29</v>
      </c>
      <c r="P2554">
        <v>-6.1338564500701398E-4</v>
      </c>
      <c r="Q2554">
        <v>-0.74258321798529903</v>
      </c>
      <c r="R2554">
        <v>0.741356446695285</v>
      </c>
      <c r="S2554">
        <v>12.666124952137</v>
      </c>
      <c r="T2554">
        <v>-1.78745289147681E-3</v>
      </c>
      <c r="U2554">
        <v>-6.7722030649149296</v>
      </c>
      <c r="V2554">
        <v>0.99860117618990396</v>
      </c>
      <c r="W2554">
        <v>0.99996163501229596</v>
      </c>
      <c r="X2554">
        <v>0</v>
      </c>
      <c r="Y2554">
        <v>0</v>
      </c>
    </row>
    <row r="2555" spans="1:25" x14ac:dyDescent="0.2">
      <c r="A2555" t="s">
        <v>9535</v>
      </c>
      <c r="B2555" t="s">
        <v>9536</v>
      </c>
      <c r="C2555" t="s">
        <v>9537</v>
      </c>
      <c r="D2555" t="s">
        <v>9538</v>
      </c>
      <c r="E2555" t="s">
        <v>9536</v>
      </c>
      <c r="F2555" t="s">
        <v>28</v>
      </c>
      <c r="G2555" t="s">
        <v>9536</v>
      </c>
      <c r="H2555" t="str">
        <f>"mdt-15"</f>
        <v>mdt-15</v>
      </c>
      <c r="I2555" t="s">
        <v>9538</v>
      </c>
      <c r="J2555">
        <v>12.299616769008299</v>
      </c>
      <c r="K2555">
        <v>13.7255339086442</v>
      </c>
      <c r="L2555">
        <v>13.671864224066899</v>
      </c>
      <c r="M2555">
        <v>12.8866417916479</v>
      </c>
      <c r="N2555">
        <v>13.2416610267162</v>
      </c>
      <c r="O2555">
        <v>13.3283546411052</v>
      </c>
      <c r="P2555">
        <v>-8.0119147416693806E-2</v>
      </c>
      <c r="Q2555">
        <v>-0.91373012868639902</v>
      </c>
      <c r="R2555">
        <v>0.75349183385301099</v>
      </c>
      <c r="S2555">
        <v>13.9458216644638</v>
      </c>
      <c r="T2555">
        <v>-0.203855494724164</v>
      </c>
      <c r="U2555">
        <v>-6.8606603112096396</v>
      </c>
      <c r="V2555">
        <v>0.84105350239077503</v>
      </c>
      <c r="W2555">
        <v>0.99370971747667503</v>
      </c>
      <c r="X2555">
        <v>0</v>
      </c>
      <c r="Y2555">
        <v>0</v>
      </c>
    </row>
    <row r="2556" spans="1:25" x14ac:dyDescent="0.2">
      <c r="A2556" t="s">
        <v>9539</v>
      </c>
      <c r="B2556" t="s">
        <v>9540</v>
      </c>
      <c r="C2556" t="s">
        <v>9541</v>
      </c>
      <c r="D2556" t="s">
        <v>9542</v>
      </c>
      <c r="E2556" t="s">
        <v>9540</v>
      </c>
      <c r="F2556" t="s">
        <v>28</v>
      </c>
      <c r="G2556" t="s">
        <v>9540</v>
      </c>
      <c r="H2556" t="str">
        <f>"ran-5"</f>
        <v>ran-5</v>
      </c>
      <c r="I2556" t="s">
        <v>9542</v>
      </c>
      <c r="J2556">
        <v>13.251257869272299</v>
      </c>
      <c r="K2556">
        <v>13.3272240297607</v>
      </c>
      <c r="L2556">
        <v>13.339235410466699</v>
      </c>
      <c r="M2556">
        <v>13.0607725178105</v>
      </c>
      <c r="N2556">
        <v>13.274534200622099</v>
      </c>
      <c r="O2556">
        <v>13.073353192906101</v>
      </c>
      <c r="P2556">
        <v>-0.16968579938699899</v>
      </c>
      <c r="Q2556">
        <v>-0.60094824176452499</v>
      </c>
      <c r="R2556">
        <v>0.26157664299052802</v>
      </c>
      <c r="S2556">
        <v>12.7502258105885</v>
      </c>
      <c r="T2556">
        <v>-0.82698260347740604</v>
      </c>
      <c r="U2556">
        <v>-6.5318806944390202</v>
      </c>
      <c r="V2556">
        <v>0.41913813239721098</v>
      </c>
      <c r="W2556">
        <v>0.91512503332874395</v>
      </c>
      <c r="X2556">
        <v>0</v>
      </c>
      <c r="Y2556">
        <v>0</v>
      </c>
    </row>
    <row r="2557" spans="1:25" x14ac:dyDescent="0.2">
      <c r="A2557" t="s">
        <v>9543</v>
      </c>
      <c r="B2557" t="s">
        <v>9544</v>
      </c>
      <c r="C2557" t="s">
        <v>9545</v>
      </c>
      <c r="D2557" t="s">
        <v>9546</v>
      </c>
      <c r="E2557" t="s">
        <v>9544</v>
      </c>
      <c r="F2557" t="s">
        <v>28</v>
      </c>
      <c r="G2557" t="s">
        <v>9544</v>
      </c>
      <c r="H2557" t="str">
        <f>"gldc-1"</f>
        <v>gldc-1</v>
      </c>
      <c r="I2557" t="s">
        <v>9546</v>
      </c>
      <c r="J2557">
        <v>16.564257547878601</v>
      </c>
      <c r="K2557">
        <v>16.401002614649499</v>
      </c>
      <c r="L2557">
        <v>16.568986907223</v>
      </c>
      <c r="M2557">
        <v>16.598442451376702</v>
      </c>
      <c r="N2557">
        <v>16.862111310563002</v>
      </c>
      <c r="O2557">
        <v>16.5145305626748</v>
      </c>
      <c r="P2557">
        <v>0.146945751621125</v>
      </c>
      <c r="Q2557">
        <v>-0.48450651082109703</v>
      </c>
      <c r="R2557">
        <v>0.77839801406334697</v>
      </c>
      <c r="S2557">
        <v>16.576172294722799</v>
      </c>
      <c r="T2557">
        <v>0.48911279521324003</v>
      </c>
      <c r="U2557">
        <v>-6.7583283388408297</v>
      </c>
      <c r="V2557">
        <v>0.63070278175469896</v>
      </c>
      <c r="W2557">
        <v>0.97279262440453396</v>
      </c>
      <c r="X2557">
        <v>0</v>
      </c>
      <c r="Y2557">
        <v>0</v>
      </c>
    </row>
    <row r="2558" spans="1:25" x14ac:dyDescent="0.2">
      <c r="A2558" t="s">
        <v>9547</v>
      </c>
      <c r="B2558" t="s">
        <v>9548</v>
      </c>
      <c r="C2558" t="s">
        <v>9549</v>
      </c>
      <c r="D2558" t="s">
        <v>9550</v>
      </c>
      <c r="E2558" t="s">
        <v>9548</v>
      </c>
      <c r="F2558" t="s">
        <v>28</v>
      </c>
      <c r="G2558" t="s">
        <v>9548</v>
      </c>
      <c r="H2558" t="str">
        <f>"asp-4"</f>
        <v>asp-4</v>
      </c>
      <c r="I2558" t="s">
        <v>9550</v>
      </c>
      <c r="J2558">
        <v>12.664437186124699</v>
      </c>
      <c r="K2558">
        <v>12.387981889834499</v>
      </c>
      <c r="L2558">
        <v>12.8725559280527</v>
      </c>
      <c r="M2558">
        <v>13.0779453773175</v>
      </c>
      <c r="N2558">
        <v>12.280622790371099</v>
      </c>
      <c r="O2558">
        <v>12.8049431398825</v>
      </c>
      <c r="P2558">
        <v>7.9512101186384895E-2</v>
      </c>
      <c r="Q2558">
        <v>-0.72920024405964301</v>
      </c>
      <c r="R2558">
        <v>0.88822444643241305</v>
      </c>
      <c r="S2558">
        <v>12.7004900524925</v>
      </c>
      <c r="T2558">
        <v>0.20853967255470299</v>
      </c>
      <c r="U2558">
        <v>-6.8596470022818403</v>
      </c>
      <c r="V2558">
        <v>0.83745645148585102</v>
      </c>
      <c r="W2558">
        <v>0.99370971747667503</v>
      </c>
      <c r="X2558">
        <v>0</v>
      </c>
      <c r="Y2558">
        <v>0</v>
      </c>
    </row>
    <row r="2559" spans="1:25" x14ac:dyDescent="0.2">
      <c r="A2559" t="s">
        <v>9551</v>
      </c>
      <c r="B2559" t="s">
        <v>9552</v>
      </c>
      <c r="C2559" t="s">
        <v>9553</v>
      </c>
      <c r="D2559" t="s">
        <v>9554</v>
      </c>
      <c r="E2559" t="s">
        <v>9552</v>
      </c>
      <c r="F2559" t="s">
        <v>28</v>
      </c>
      <c r="G2559" t="s">
        <v>9552</v>
      </c>
      <c r="H2559" t="str">
        <f>"miz-1"</f>
        <v>miz-1</v>
      </c>
      <c r="I2559" t="s">
        <v>9554</v>
      </c>
      <c r="J2559">
        <v>13.239225343601101</v>
      </c>
      <c r="K2559">
        <v>13.3495867558089</v>
      </c>
      <c r="L2559">
        <v>13.2386049248937</v>
      </c>
      <c r="M2559">
        <v>12.9569399152362</v>
      </c>
      <c r="N2559">
        <v>12.9174311802298</v>
      </c>
      <c r="O2559">
        <v>13.436948888345301</v>
      </c>
      <c r="P2559">
        <v>-0.17203234683079799</v>
      </c>
      <c r="Q2559">
        <v>-0.58542181111650704</v>
      </c>
      <c r="R2559">
        <v>0.24135711745491001</v>
      </c>
      <c r="S2559">
        <v>13.220679518182299</v>
      </c>
      <c r="T2559">
        <v>-0.87841698194503803</v>
      </c>
      <c r="U2559">
        <v>-6.4871144065373398</v>
      </c>
      <c r="V2559">
        <v>0.392039086903337</v>
      </c>
      <c r="W2559">
        <v>0.90920284405177998</v>
      </c>
      <c r="X2559">
        <v>0</v>
      </c>
      <c r="Y2559">
        <v>0</v>
      </c>
    </row>
    <row r="2560" spans="1:25" x14ac:dyDescent="0.2">
      <c r="A2560" t="s">
        <v>9555</v>
      </c>
      <c r="B2560" t="s">
        <v>9556</v>
      </c>
      <c r="C2560" t="s">
        <v>9557</v>
      </c>
      <c r="D2560" t="s">
        <v>9558</v>
      </c>
      <c r="E2560" t="s">
        <v>9556</v>
      </c>
      <c r="F2560" t="s">
        <v>28</v>
      </c>
      <c r="G2560" t="s">
        <v>9556</v>
      </c>
      <c r="H2560" t="str">
        <f>"cra-1"</f>
        <v>cra-1</v>
      </c>
      <c r="I2560" t="s">
        <v>9558</v>
      </c>
      <c r="J2560">
        <v>13.0844148028795</v>
      </c>
      <c r="K2560">
        <v>12.531929434141899</v>
      </c>
      <c r="L2560">
        <v>12.741818136514301</v>
      </c>
      <c r="M2560">
        <v>12.615369861368</v>
      </c>
      <c r="N2560">
        <v>12.703717374517501</v>
      </c>
      <c r="O2560">
        <v>12.5332835221918</v>
      </c>
      <c r="P2560">
        <v>-0.16859720515277801</v>
      </c>
      <c r="Q2560">
        <v>-0.66077833688214005</v>
      </c>
      <c r="R2560">
        <v>0.32358392657658303</v>
      </c>
      <c r="S2560">
        <v>13.0527308588889</v>
      </c>
      <c r="T2560">
        <v>-0.719975840690118</v>
      </c>
      <c r="U2560">
        <v>-6.6155330154869096</v>
      </c>
      <c r="V2560">
        <v>0.48083871846520798</v>
      </c>
      <c r="W2560">
        <v>0.93764446794243095</v>
      </c>
      <c r="X2560">
        <v>0</v>
      </c>
      <c r="Y2560">
        <v>0</v>
      </c>
    </row>
    <row r="2561" spans="1:25" x14ac:dyDescent="0.2">
      <c r="A2561" t="s">
        <v>9559</v>
      </c>
      <c r="B2561" t="s">
        <v>9560</v>
      </c>
      <c r="C2561" t="s">
        <v>9561</v>
      </c>
      <c r="D2561" t="s">
        <v>9562</v>
      </c>
      <c r="E2561" t="s">
        <v>9560</v>
      </c>
      <c r="F2561" t="s">
        <v>28</v>
      </c>
      <c r="G2561" t="s">
        <v>9560</v>
      </c>
      <c r="H2561" t="str">
        <f>"R151.6"</f>
        <v>R151.6</v>
      </c>
      <c r="I2561" t="s">
        <v>9562</v>
      </c>
      <c r="J2561">
        <v>12.5268607565921</v>
      </c>
      <c r="K2561">
        <v>13.1834162755235</v>
      </c>
      <c r="L2561">
        <v>13.2991701936296</v>
      </c>
      <c r="M2561">
        <v>12.9402191486099</v>
      </c>
      <c r="N2561">
        <v>12.983166810278099</v>
      </c>
      <c r="O2561">
        <v>12.794159104535099</v>
      </c>
      <c r="P2561">
        <v>-9.7300720774041893E-2</v>
      </c>
      <c r="Q2561">
        <v>-0.53232325709073003</v>
      </c>
      <c r="R2561">
        <v>0.33772181554264602</v>
      </c>
      <c r="S2561">
        <v>13.4453623089671</v>
      </c>
      <c r="T2561">
        <v>-0.47010710438672199</v>
      </c>
      <c r="U2561">
        <v>-6.7677316320372496</v>
      </c>
      <c r="V2561">
        <v>0.64395687511459299</v>
      </c>
      <c r="W2561">
        <v>0.97768635053894404</v>
      </c>
      <c r="X2561">
        <v>0</v>
      </c>
      <c r="Y2561">
        <v>0</v>
      </c>
    </row>
    <row r="2562" spans="1:25" x14ac:dyDescent="0.2">
      <c r="A2562" t="s">
        <v>9563</v>
      </c>
      <c r="B2562" t="s">
        <v>9564</v>
      </c>
      <c r="C2562" t="s">
        <v>14513</v>
      </c>
      <c r="D2562" t="s">
        <v>9565</v>
      </c>
      <c r="E2562" t="s">
        <v>9564</v>
      </c>
      <c r="F2562" t="s">
        <v>28</v>
      </c>
      <c r="G2562" t="s">
        <v>9564</v>
      </c>
      <c r="H2562" t="str">
        <f>"R166.2"</f>
        <v>R166.2</v>
      </c>
      <c r="I2562" t="s">
        <v>9565</v>
      </c>
      <c r="J2562">
        <v>13.5031683520365</v>
      </c>
      <c r="K2562">
        <v>13.6209632164318</v>
      </c>
      <c r="L2562">
        <v>13.7442108761083</v>
      </c>
      <c r="M2562">
        <v>13.7610959291159</v>
      </c>
      <c r="N2562">
        <v>13.7377524899824</v>
      </c>
      <c r="O2562">
        <v>13.5638119797991</v>
      </c>
      <c r="P2562">
        <v>6.4772651440311094E-2</v>
      </c>
      <c r="Q2562">
        <v>-0.35663491634608302</v>
      </c>
      <c r="R2562">
        <v>0.48618021922670501</v>
      </c>
      <c r="S2562">
        <v>13.735179341921301</v>
      </c>
      <c r="T2562">
        <v>0.32305900985506902</v>
      </c>
      <c r="U2562">
        <v>-6.8281179835599399</v>
      </c>
      <c r="V2562">
        <v>0.75039495544585899</v>
      </c>
      <c r="W2562">
        <v>0.99184638945407499</v>
      </c>
      <c r="X2562">
        <v>0</v>
      </c>
      <c r="Y2562">
        <v>0</v>
      </c>
    </row>
    <row r="2563" spans="1:25" x14ac:dyDescent="0.2">
      <c r="A2563" t="s">
        <v>9566</v>
      </c>
      <c r="B2563" t="s">
        <v>9567</v>
      </c>
      <c r="C2563" t="s">
        <v>9568</v>
      </c>
      <c r="D2563" t="s">
        <v>9569</v>
      </c>
      <c r="E2563" t="s">
        <v>9567</v>
      </c>
      <c r="F2563" t="s">
        <v>28</v>
      </c>
      <c r="G2563" t="s">
        <v>9567</v>
      </c>
      <c r="H2563" t="str">
        <f>"R166.3"</f>
        <v>R166.3</v>
      </c>
      <c r="I2563" t="s">
        <v>9569</v>
      </c>
      <c r="J2563">
        <v>12.5102134323038</v>
      </c>
      <c r="K2563" t="s">
        <v>29</v>
      </c>
      <c r="L2563">
        <v>12.7268085439167</v>
      </c>
      <c r="M2563" t="s">
        <v>29</v>
      </c>
      <c r="N2563">
        <v>12.157540169246699</v>
      </c>
      <c r="O2563">
        <v>11.843395114459399</v>
      </c>
      <c r="P2563">
        <v>-0.61804334625717905</v>
      </c>
      <c r="Q2563">
        <v>-1.39120395906779</v>
      </c>
      <c r="R2563">
        <v>0.155117266553426</v>
      </c>
      <c r="S2563">
        <v>12.415779860060599</v>
      </c>
      <c r="T2563">
        <v>-1.78367655566893</v>
      </c>
      <c r="U2563">
        <v>-5.1905126187845996</v>
      </c>
      <c r="V2563">
        <v>0.105118887132147</v>
      </c>
      <c r="W2563">
        <v>0.66508679919350899</v>
      </c>
      <c r="X2563">
        <v>0</v>
      </c>
      <c r="Y2563">
        <v>0</v>
      </c>
    </row>
    <row r="2564" spans="1:25" x14ac:dyDescent="0.2">
      <c r="A2564" t="s">
        <v>9570</v>
      </c>
      <c r="B2564" t="s">
        <v>9571</v>
      </c>
      <c r="C2564" t="s">
        <v>9572</v>
      </c>
      <c r="D2564" t="s">
        <v>9573</v>
      </c>
      <c r="E2564" t="s">
        <v>9571</v>
      </c>
      <c r="F2564" t="s">
        <v>28</v>
      </c>
      <c r="G2564" t="s">
        <v>9571</v>
      </c>
      <c r="H2564" t="str">
        <f>"pro-1"</f>
        <v>pro-1</v>
      </c>
      <c r="I2564" t="s">
        <v>9573</v>
      </c>
      <c r="J2564">
        <v>12.8176349833471</v>
      </c>
      <c r="K2564">
        <v>12.9765511962802</v>
      </c>
      <c r="L2564">
        <v>12.936150674967999</v>
      </c>
      <c r="M2564">
        <v>13.1964189649427</v>
      </c>
      <c r="N2564">
        <v>13.0644894062621</v>
      </c>
      <c r="O2564">
        <v>13.2829231873942</v>
      </c>
      <c r="P2564">
        <v>0.27116490133459697</v>
      </c>
      <c r="Q2564">
        <v>-0.30945189841863102</v>
      </c>
      <c r="R2564">
        <v>0.85178170108782503</v>
      </c>
      <c r="S2564">
        <v>12.753196976234801</v>
      </c>
      <c r="T2564">
        <v>0.98581152398591898</v>
      </c>
      <c r="U2564">
        <v>-6.3873790567128896</v>
      </c>
      <c r="V2564">
        <v>0.33813395962672699</v>
      </c>
      <c r="W2564">
        <v>0.87368774661315896</v>
      </c>
      <c r="X2564">
        <v>0</v>
      </c>
      <c r="Y2564">
        <v>0</v>
      </c>
    </row>
    <row r="2565" spans="1:25" x14ac:dyDescent="0.2">
      <c r="A2565" t="s">
        <v>9574</v>
      </c>
      <c r="B2565" t="s">
        <v>9575</v>
      </c>
      <c r="C2565" t="s">
        <v>14514</v>
      </c>
      <c r="D2565" t="s">
        <v>9576</v>
      </c>
      <c r="E2565" t="s">
        <v>9575</v>
      </c>
      <c r="F2565" t="s">
        <v>28</v>
      </c>
      <c r="G2565" t="s">
        <v>9575</v>
      </c>
      <c r="H2565" t="str">
        <f>"R186.3"</f>
        <v>R186.3</v>
      </c>
      <c r="I2565" t="s">
        <v>9576</v>
      </c>
      <c r="J2565">
        <v>13.770322835393699</v>
      </c>
      <c r="K2565">
        <v>13.684077058863499</v>
      </c>
      <c r="L2565">
        <v>13.6072506002388</v>
      </c>
      <c r="M2565">
        <v>13.797952113627201</v>
      </c>
      <c r="N2565">
        <v>13.8310608922712</v>
      </c>
      <c r="O2565">
        <v>13.6877230583111</v>
      </c>
      <c r="P2565">
        <v>8.5028523237799206E-2</v>
      </c>
      <c r="Q2565">
        <v>-0.26077470912652501</v>
      </c>
      <c r="R2565">
        <v>0.430831755602123</v>
      </c>
      <c r="S2565">
        <v>13.3509139196953</v>
      </c>
      <c r="T2565">
        <v>0.51680665922132396</v>
      </c>
      <c r="U2565">
        <v>-6.7439778274739197</v>
      </c>
      <c r="V2565">
        <v>0.61161944257191003</v>
      </c>
      <c r="W2565">
        <v>0.97238011246645495</v>
      </c>
      <c r="X2565">
        <v>0</v>
      </c>
      <c r="Y2565">
        <v>0</v>
      </c>
    </row>
    <row r="2566" spans="1:25" x14ac:dyDescent="0.2">
      <c r="A2566" t="s">
        <v>9577</v>
      </c>
      <c r="B2566" t="s">
        <v>9578</v>
      </c>
      <c r="C2566" t="s">
        <v>14515</v>
      </c>
      <c r="D2566" t="s">
        <v>412</v>
      </c>
      <c r="E2566" t="s">
        <v>9578</v>
      </c>
      <c r="F2566" t="s">
        <v>28</v>
      </c>
      <c r="G2566" t="s">
        <v>9578</v>
      </c>
      <c r="H2566" t="str">
        <f>"R31.2"</f>
        <v>R31.2</v>
      </c>
      <c r="I2566" t="s">
        <v>412</v>
      </c>
      <c r="J2566" t="s">
        <v>29</v>
      </c>
      <c r="K2566" t="s">
        <v>29</v>
      </c>
      <c r="L2566" t="s">
        <v>29</v>
      </c>
      <c r="M2566" t="s">
        <v>29</v>
      </c>
      <c r="N2566">
        <v>13.127939967071599</v>
      </c>
      <c r="O2566" t="s">
        <v>29</v>
      </c>
      <c r="P2566" t="s">
        <v>29</v>
      </c>
      <c r="Q2566" t="s">
        <v>29</v>
      </c>
      <c r="R2566" t="s">
        <v>29</v>
      </c>
      <c r="S2566">
        <v>13.4713410570762</v>
      </c>
      <c r="T2566" t="s">
        <v>29</v>
      </c>
      <c r="U2566" t="s">
        <v>29</v>
      </c>
      <c r="V2566" t="s">
        <v>29</v>
      </c>
      <c r="W2566" t="s">
        <v>29</v>
      </c>
      <c r="X2566" t="s">
        <v>29</v>
      </c>
      <c r="Y2566" t="s">
        <v>29</v>
      </c>
    </row>
    <row r="2567" spans="1:25" x14ac:dyDescent="0.2">
      <c r="A2567" t="s">
        <v>9579</v>
      </c>
      <c r="B2567" t="s">
        <v>9580</v>
      </c>
      <c r="C2567" t="s">
        <v>9581</v>
      </c>
      <c r="D2567" t="s">
        <v>9582</v>
      </c>
      <c r="E2567" t="s">
        <v>9580</v>
      </c>
      <c r="F2567" t="s">
        <v>28</v>
      </c>
      <c r="G2567" t="s">
        <v>9580</v>
      </c>
      <c r="H2567" t="str">
        <f>"R53.4"</f>
        <v>R53.4</v>
      </c>
      <c r="I2567" t="s">
        <v>9582</v>
      </c>
      <c r="J2567">
        <v>17.642868988276099</v>
      </c>
      <c r="K2567">
        <v>17.509350836156099</v>
      </c>
      <c r="L2567">
        <v>17.5584159835457</v>
      </c>
      <c r="M2567">
        <v>17.342876143327601</v>
      </c>
      <c r="N2567">
        <v>17.118473822460199</v>
      </c>
      <c r="O2567">
        <v>17.282435663552501</v>
      </c>
      <c r="P2567">
        <v>-0.322283392879189</v>
      </c>
      <c r="Q2567">
        <v>-0.77951769832183504</v>
      </c>
      <c r="R2567">
        <v>0.13495091256345701</v>
      </c>
      <c r="S2567">
        <v>17.548609781461199</v>
      </c>
      <c r="T2567">
        <v>-1.4814658096989599</v>
      </c>
      <c r="U2567">
        <v>-5.8014651555318002</v>
      </c>
      <c r="V2567">
        <v>0.15587665400624401</v>
      </c>
      <c r="W2567">
        <v>0.75094320293391503</v>
      </c>
      <c r="X2567">
        <v>0</v>
      </c>
      <c r="Y2567">
        <v>0</v>
      </c>
    </row>
    <row r="2568" spans="1:25" x14ac:dyDescent="0.2">
      <c r="A2568" t="s">
        <v>9583</v>
      </c>
      <c r="B2568" t="s">
        <v>9584</v>
      </c>
      <c r="C2568" t="s">
        <v>9585</v>
      </c>
      <c r="D2568" t="s">
        <v>9586</v>
      </c>
      <c r="E2568" t="s">
        <v>9584</v>
      </c>
      <c r="F2568" t="s">
        <v>28</v>
      </c>
      <c r="G2568" t="s">
        <v>9584</v>
      </c>
      <c r="H2568" t="str">
        <f>"R74.7"</f>
        <v>R74.7</v>
      </c>
      <c r="I2568" t="s">
        <v>9586</v>
      </c>
      <c r="J2568" t="s">
        <v>29</v>
      </c>
      <c r="K2568" t="s">
        <v>29</v>
      </c>
      <c r="L2568" t="s">
        <v>29</v>
      </c>
      <c r="M2568" t="s">
        <v>29</v>
      </c>
      <c r="N2568" t="s">
        <v>29</v>
      </c>
      <c r="O2568" t="s">
        <v>29</v>
      </c>
      <c r="P2568" t="s">
        <v>29</v>
      </c>
      <c r="Q2568" t="s">
        <v>29</v>
      </c>
      <c r="R2568" t="s">
        <v>29</v>
      </c>
      <c r="S2568">
        <v>11.9855463174598</v>
      </c>
      <c r="T2568" t="s">
        <v>29</v>
      </c>
      <c r="U2568" t="s">
        <v>29</v>
      </c>
      <c r="V2568" t="s">
        <v>29</v>
      </c>
      <c r="W2568" t="s">
        <v>29</v>
      </c>
      <c r="X2568" t="s">
        <v>29</v>
      </c>
      <c r="Y2568" t="s">
        <v>29</v>
      </c>
    </row>
    <row r="2569" spans="1:25" x14ac:dyDescent="0.2">
      <c r="A2569" t="s">
        <v>9587</v>
      </c>
      <c r="B2569" t="s">
        <v>9588</v>
      </c>
      <c r="C2569" t="s">
        <v>9589</v>
      </c>
      <c r="D2569" t="s">
        <v>9590</v>
      </c>
      <c r="E2569" t="s">
        <v>9588</v>
      </c>
      <c r="F2569" t="s">
        <v>28</v>
      </c>
      <c r="G2569" t="s">
        <v>9588</v>
      </c>
      <c r="H2569" t="str">
        <f>"tra-3"</f>
        <v>tra-3</v>
      </c>
      <c r="I2569" t="s">
        <v>9590</v>
      </c>
      <c r="J2569">
        <v>13.2837023801687</v>
      </c>
      <c r="K2569">
        <v>13.529391297078201</v>
      </c>
      <c r="L2569">
        <v>13.401348395034599</v>
      </c>
      <c r="M2569">
        <v>13.1169868175493</v>
      </c>
      <c r="N2569">
        <v>13.0422742246504</v>
      </c>
      <c r="O2569">
        <v>13.6429461122143</v>
      </c>
      <c r="P2569">
        <v>-0.13741163928918501</v>
      </c>
      <c r="Q2569">
        <v>-0.51923945748304901</v>
      </c>
      <c r="R2569">
        <v>0.24441617890467801</v>
      </c>
      <c r="S2569">
        <v>13.117217194293801</v>
      </c>
      <c r="T2569">
        <v>-0.75639468403392596</v>
      </c>
      <c r="U2569">
        <v>-6.5882787086835197</v>
      </c>
      <c r="V2569">
        <v>0.45925543130596103</v>
      </c>
      <c r="W2569">
        <v>0.92799154546826901</v>
      </c>
      <c r="X2569">
        <v>0</v>
      </c>
      <c r="Y2569">
        <v>0</v>
      </c>
    </row>
    <row r="2570" spans="1:25" x14ac:dyDescent="0.2">
      <c r="A2570" t="s">
        <v>9591</v>
      </c>
      <c r="B2570" t="s">
        <v>9592</v>
      </c>
      <c r="C2570" t="s">
        <v>9593</v>
      </c>
      <c r="D2570" t="s">
        <v>9594</v>
      </c>
      <c r="E2570" t="s">
        <v>9592</v>
      </c>
      <c r="F2570" t="s">
        <v>28</v>
      </c>
      <c r="G2570" t="s">
        <v>9592</v>
      </c>
      <c r="H2570" t="str">
        <f>"hrp-1"</f>
        <v>hrp-1</v>
      </c>
      <c r="I2570" t="s">
        <v>9594</v>
      </c>
      <c r="J2570">
        <v>13.4155172128691</v>
      </c>
      <c r="K2570">
        <v>13.9506185422921</v>
      </c>
      <c r="L2570">
        <v>13.547363620504999</v>
      </c>
      <c r="M2570">
        <v>13.389440225774999</v>
      </c>
      <c r="N2570">
        <v>13.1426561535398</v>
      </c>
      <c r="O2570">
        <v>13.2181870816827</v>
      </c>
      <c r="P2570">
        <v>-0.38773863822289201</v>
      </c>
      <c r="Q2570">
        <v>-1.09958797332971</v>
      </c>
      <c r="R2570">
        <v>0.32411069688392502</v>
      </c>
      <c r="S2570">
        <v>13.719059871035</v>
      </c>
      <c r="T2570">
        <v>-1.14483661292032</v>
      </c>
      <c r="U2570">
        <v>-6.2218405830783299</v>
      </c>
      <c r="V2570">
        <v>0.26735852508100999</v>
      </c>
      <c r="W2570">
        <v>0.85467248007494701</v>
      </c>
      <c r="X2570">
        <v>0</v>
      </c>
      <c r="Y2570">
        <v>0</v>
      </c>
    </row>
    <row r="2571" spans="1:25" x14ac:dyDescent="0.2">
      <c r="A2571" t="s">
        <v>9595</v>
      </c>
      <c r="B2571" t="s">
        <v>9596</v>
      </c>
      <c r="C2571" t="s">
        <v>9597</v>
      </c>
      <c r="D2571" t="s">
        <v>9598</v>
      </c>
      <c r="E2571" t="s">
        <v>9596</v>
      </c>
      <c r="F2571" t="s">
        <v>28</v>
      </c>
      <c r="G2571" t="s">
        <v>9596</v>
      </c>
      <c r="H2571" t="str">
        <f>"rho-1"</f>
        <v>rho-1</v>
      </c>
      <c r="I2571" t="s">
        <v>9598</v>
      </c>
      <c r="J2571">
        <v>14.083841502460601</v>
      </c>
      <c r="K2571">
        <v>14.150501320912801</v>
      </c>
      <c r="L2571">
        <v>13.8660960926335</v>
      </c>
      <c r="M2571">
        <v>13.9923399214009</v>
      </c>
      <c r="N2571">
        <v>13.460943129834201</v>
      </c>
      <c r="O2571">
        <v>13.6827748364126</v>
      </c>
      <c r="P2571">
        <v>-0.32146034278643898</v>
      </c>
      <c r="Q2571">
        <v>-0.73942479636536096</v>
      </c>
      <c r="R2571">
        <v>9.6504110792482403E-2</v>
      </c>
      <c r="S2571">
        <v>13.731648036810901</v>
      </c>
      <c r="T2571">
        <v>-1.6165180880371199</v>
      </c>
      <c r="U2571">
        <v>-5.6090058254039201</v>
      </c>
      <c r="V2571">
        <v>0.12347405158893</v>
      </c>
      <c r="W2571">
        <v>0.71115110333987097</v>
      </c>
      <c r="X2571">
        <v>0</v>
      </c>
      <c r="Y2571">
        <v>0</v>
      </c>
    </row>
    <row r="2572" spans="1:25" x14ac:dyDescent="0.2">
      <c r="A2572" t="s">
        <v>9599</v>
      </c>
      <c r="B2572" t="s">
        <v>9600</v>
      </c>
      <c r="C2572" t="s">
        <v>14516</v>
      </c>
      <c r="D2572" t="s">
        <v>9601</v>
      </c>
      <c r="E2572" t="s">
        <v>9600</v>
      </c>
      <c r="F2572" t="s">
        <v>28</v>
      </c>
      <c r="G2572" t="s">
        <v>9600</v>
      </c>
      <c r="H2572" t="str">
        <f>"T01B7.5"</f>
        <v>T01B7.5</v>
      </c>
      <c r="I2572" t="s">
        <v>9601</v>
      </c>
      <c r="J2572" t="s">
        <v>29</v>
      </c>
      <c r="K2572" t="s">
        <v>29</v>
      </c>
      <c r="L2572" t="s">
        <v>29</v>
      </c>
      <c r="M2572" t="s">
        <v>29</v>
      </c>
      <c r="N2572">
        <v>11.4505245496002</v>
      </c>
      <c r="O2572" t="s">
        <v>29</v>
      </c>
      <c r="P2572" t="s">
        <v>29</v>
      </c>
      <c r="Q2572" t="s">
        <v>29</v>
      </c>
      <c r="R2572" t="s">
        <v>29</v>
      </c>
      <c r="S2572">
        <v>12.4472430686669</v>
      </c>
      <c r="T2572" t="s">
        <v>29</v>
      </c>
      <c r="U2572" t="s">
        <v>29</v>
      </c>
      <c r="V2572" t="s">
        <v>29</v>
      </c>
      <c r="W2572" t="s">
        <v>29</v>
      </c>
      <c r="X2572" t="s">
        <v>29</v>
      </c>
      <c r="Y2572" t="s">
        <v>29</v>
      </c>
    </row>
    <row r="2573" spans="1:25" x14ac:dyDescent="0.2">
      <c r="A2573" t="s">
        <v>9602</v>
      </c>
      <c r="B2573" t="s">
        <v>9603</v>
      </c>
      <c r="C2573" t="s">
        <v>9604</v>
      </c>
      <c r="D2573" t="s">
        <v>9605</v>
      </c>
      <c r="E2573" t="s">
        <v>9603</v>
      </c>
      <c r="F2573" t="s">
        <v>28</v>
      </c>
      <c r="G2573" t="s">
        <v>9603</v>
      </c>
      <c r="H2573" t="str">
        <f>"trcs-2"</f>
        <v>trcs-2</v>
      </c>
      <c r="I2573" t="s">
        <v>9605</v>
      </c>
      <c r="J2573">
        <v>13.671075495182199</v>
      </c>
      <c r="K2573">
        <v>13.7925760897886</v>
      </c>
      <c r="L2573">
        <v>13.921775922683899</v>
      </c>
      <c r="M2573">
        <v>13.7414647305612</v>
      </c>
      <c r="N2573">
        <v>14.079998988675399</v>
      </c>
      <c r="O2573">
        <v>14.0145120603003</v>
      </c>
      <c r="P2573">
        <v>0.15018275729407901</v>
      </c>
      <c r="Q2573">
        <v>-0.36344388993346999</v>
      </c>
      <c r="R2573">
        <v>0.66380940452162795</v>
      </c>
      <c r="S2573">
        <v>14.4857918636101</v>
      </c>
      <c r="T2573">
        <v>0.62018613989877402</v>
      </c>
      <c r="U2573">
        <v>-6.6826161651047702</v>
      </c>
      <c r="V2573">
        <v>0.54392506459136802</v>
      </c>
      <c r="W2573">
        <v>0.94873302670863402</v>
      </c>
      <c r="X2573">
        <v>0</v>
      </c>
      <c r="Y2573">
        <v>0</v>
      </c>
    </row>
    <row r="2574" spans="1:25" x14ac:dyDescent="0.2">
      <c r="A2574" t="s">
        <v>9606</v>
      </c>
      <c r="B2574" t="s">
        <v>9607</v>
      </c>
      <c r="C2574" t="s">
        <v>9608</v>
      </c>
      <c r="D2574" t="s">
        <v>9609</v>
      </c>
      <c r="E2574" t="s">
        <v>9607</v>
      </c>
      <c r="F2574" t="s">
        <v>28</v>
      </c>
      <c r="G2574" t="s">
        <v>9607</v>
      </c>
      <c r="H2574" t="str">
        <f>"fib-1"</f>
        <v>fib-1</v>
      </c>
      <c r="I2574" t="s">
        <v>9609</v>
      </c>
      <c r="J2574">
        <v>20.566636590562499</v>
      </c>
      <c r="K2574">
        <v>20.5720996150046</v>
      </c>
      <c r="L2574">
        <v>20.898950814189998</v>
      </c>
      <c r="M2574">
        <v>20.6326365941066</v>
      </c>
      <c r="N2574">
        <v>20.4661382827687</v>
      </c>
      <c r="O2574">
        <v>20.3624648530893</v>
      </c>
      <c r="P2574">
        <v>-0.19214909659753199</v>
      </c>
      <c r="Q2574">
        <v>-0.73206922204734703</v>
      </c>
      <c r="R2574">
        <v>0.347771028852282</v>
      </c>
      <c r="S2574">
        <v>20.4353350347569</v>
      </c>
      <c r="T2574">
        <v>-0.74799956284439595</v>
      </c>
      <c r="U2574">
        <v>-6.5946732980591101</v>
      </c>
      <c r="V2574">
        <v>0.46417790465209302</v>
      </c>
      <c r="W2574">
        <v>0.92978583625257705</v>
      </c>
      <c r="X2574">
        <v>0</v>
      </c>
      <c r="Y2574">
        <v>0</v>
      </c>
    </row>
    <row r="2575" spans="1:25" x14ac:dyDescent="0.2">
      <c r="A2575" t="s">
        <v>9610</v>
      </c>
      <c r="B2575" t="s">
        <v>9611</v>
      </c>
      <c r="C2575" t="s">
        <v>9612</v>
      </c>
      <c r="D2575" t="s">
        <v>9613</v>
      </c>
      <c r="E2575" t="s">
        <v>9611</v>
      </c>
      <c r="F2575" t="s">
        <v>28</v>
      </c>
      <c r="G2575" t="s">
        <v>9611</v>
      </c>
      <c r="H2575" t="str">
        <f>"rps-16"</f>
        <v>rps-16</v>
      </c>
      <c r="I2575" t="s">
        <v>9613</v>
      </c>
      <c r="J2575">
        <v>17.5144074861681</v>
      </c>
      <c r="K2575">
        <v>17.542746667160799</v>
      </c>
      <c r="L2575">
        <v>17.912243019963899</v>
      </c>
      <c r="M2575">
        <v>17.4591861044273</v>
      </c>
      <c r="N2575">
        <v>16.794992776642101</v>
      </c>
      <c r="O2575">
        <v>17.356427019761099</v>
      </c>
      <c r="P2575">
        <v>-0.452930424154108</v>
      </c>
      <c r="Q2575">
        <v>-1.02748924440655</v>
      </c>
      <c r="R2575">
        <v>0.12162839609833299</v>
      </c>
      <c r="S2575">
        <v>17.526461355677402</v>
      </c>
      <c r="T2575">
        <v>-1.65687410741583</v>
      </c>
      <c r="U2575">
        <v>-5.5490636940757696</v>
      </c>
      <c r="V2575">
        <v>0.11497285846666</v>
      </c>
      <c r="W2575">
        <v>0.69822933025008105</v>
      </c>
      <c r="X2575">
        <v>0</v>
      </c>
      <c r="Y2575">
        <v>0</v>
      </c>
    </row>
    <row r="2576" spans="1:25" x14ac:dyDescent="0.2">
      <c r="A2576" t="s">
        <v>9614</v>
      </c>
      <c r="B2576" t="s">
        <v>9615</v>
      </c>
      <c r="C2576" t="s">
        <v>9616</v>
      </c>
      <c r="D2576" t="s">
        <v>4383</v>
      </c>
      <c r="E2576" t="s">
        <v>9615</v>
      </c>
      <c r="F2576" t="s">
        <v>28</v>
      </c>
      <c r="G2576" t="s">
        <v>9615</v>
      </c>
      <c r="H2576" t="str">
        <f>"mut-15"</f>
        <v>mut-15</v>
      </c>
      <c r="I2576" t="s">
        <v>4383</v>
      </c>
      <c r="J2576">
        <v>12.404954273890899</v>
      </c>
      <c r="K2576" t="s">
        <v>29</v>
      </c>
      <c r="L2576" t="s">
        <v>29</v>
      </c>
      <c r="M2576" t="s">
        <v>29</v>
      </c>
      <c r="N2576" t="s">
        <v>29</v>
      </c>
      <c r="O2576" t="s">
        <v>29</v>
      </c>
      <c r="P2576" t="s">
        <v>29</v>
      </c>
      <c r="Q2576" t="s">
        <v>29</v>
      </c>
      <c r="R2576" t="s">
        <v>29</v>
      </c>
      <c r="S2576">
        <v>12.129347875060301</v>
      </c>
      <c r="T2576" t="s">
        <v>29</v>
      </c>
      <c r="U2576" t="s">
        <v>29</v>
      </c>
      <c r="V2576" t="s">
        <v>29</v>
      </c>
      <c r="W2576" t="s">
        <v>29</v>
      </c>
      <c r="X2576" t="s">
        <v>29</v>
      </c>
      <c r="Y2576" t="s">
        <v>29</v>
      </c>
    </row>
    <row r="2577" spans="1:25" x14ac:dyDescent="0.2">
      <c r="A2577" t="s">
        <v>9617</v>
      </c>
      <c r="B2577" t="s">
        <v>9618</v>
      </c>
      <c r="C2577" t="s">
        <v>9619</v>
      </c>
      <c r="D2577" t="s">
        <v>9620</v>
      </c>
      <c r="E2577" t="s">
        <v>9618</v>
      </c>
      <c r="F2577" t="s">
        <v>28</v>
      </c>
      <c r="G2577" t="s">
        <v>9618</v>
      </c>
      <c r="H2577" t="str">
        <f>"got-1.2"</f>
        <v>got-1.2</v>
      </c>
      <c r="I2577" t="s">
        <v>9620</v>
      </c>
      <c r="J2577">
        <v>13.851728637053</v>
      </c>
      <c r="K2577">
        <v>13.477848895881801</v>
      </c>
      <c r="L2577">
        <v>13.625221662801501</v>
      </c>
      <c r="M2577">
        <v>13.570602516213199</v>
      </c>
      <c r="N2577">
        <v>13.0850338600432</v>
      </c>
      <c r="O2577">
        <v>14.041707773656499</v>
      </c>
      <c r="P2577">
        <v>-8.5818348607821393E-2</v>
      </c>
      <c r="Q2577">
        <v>-0.76853947461238903</v>
      </c>
      <c r="R2577">
        <v>0.59690277739674602</v>
      </c>
      <c r="S2577">
        <v>13.3656536987335</v>
      </c>
      <c r="T2577">
        <v>-0.26419787766987901</v>
      </c>
      <c r="U2577">
        <v>-6.8460906085517701</v>
      </c>
      <c r="V2577">
        <v>0.79464611337166102</v>
      </c>
      <c r="W2577">
        <v>0.99278624068726296</v>
      </c>
      <c r="X2577">
        <v>0</v>
      </c>
      <c r="Y2577">
        <v>0</v>
      </c>
    </row>
    <row r="2578" spans="1:25" x14ac:dyDescent="0.2">
      <c r="A2578" t="s">
        <v>9621</v>
      </c>
      <c r="B2578" t="s">
        <v>9622</v>
      </c>
      <c r="C2578" t="s">
        <v>9623</v>
      </c>
      <c r="D2578" t="s">
        <v>9624</v>
      </c>
      <c r="E2578" t="s">
        <v>9622</v>
      </c>
      <c r="F2578" t="s">
        <v>28</v>
      </c>
      <c r="G2578" t="s">
        <v>9622</v>
      </c>
      <c r="H2578" t="str">
        <f>"plc-3"</f>
        <v>plc-3</v>
      </c>
      <c r="I2578" t="s">
        <v>9624</v>
      </c>
      <c r="J2578">
        <v>12.1779015459213</v>
      </c>
      <c r="K2578">
        <v>12.5066963707581</v>
      </c>
      <c r="L2578">
        <v>11.9663194381986</v>
      </c>
      <c r="M2578">
        <v>11.968249552707601</v>
      </c>
      <c r="N2578">
        <v>12.422845279679001</v>
      </c>
      <c r="O2578">
        <v>12.762974873914001</v>
      </c>
      <c r="P2578">
        <v>0.167717450474209</v>
      </c>
      <c r="Q2578">
        <v>-0.36908282627803901</v>
      </c>
      <c r="R2578">
        <v>0.704517727226457</v>
      </c>
      <c r="S2578">
        <v>11.9742259528006</v>
      </c>
      <c r="T2578">
        <v>0.67059052627427096</v>
      </c>
      <c r="U2578">
        <v>-6.6477644560969402</v>
      </c>
      <c r="V2578">
        <v>0.51347392920727297</v>
      </c>
      <c r="W2578">
        <v>0.94175858862430595</v>
      </c>
      <c r="X2578">
        <v>0</v>
      </c>
      <c r="Y2578">
        <v>0</v>
      </c>
    </row>
    <row r="2579" spans="1:25" x14ac:dyDescent="0.2">
      <c r="A2579" t="s">
        <v>9625</v>
      </c>
      <c r="B2579" t="s">
        <v>9626</v>
      </c>
      <c r="C2579" t="s">
        <v>9627</v>
      </c>
      <c r="D2579" t="s">
        <v>9628</v>
      </c>
      <c r="E2579" t="s">
        <v>9626</v>
      </c>
      <c r="F2579" t="s">
        <v>28</v>
      </c>
      <c r="G2579" t="s">
        <v>9626</v>
      </c>
      <c r="H2579" t="str">
        <f>"npp-2"</f>
        <v>npp-2</v>
      </c>
      <c r="I2579" t="s">
        <v>9628</v>
      </c>
      <c r="J2579">
        <v>14.122812983522101</v>
      </c>
      <c r="K2579">
        <v>14.2608116895429</v>
      </c>
      <c r="L2579">
        <v>13.7844626116129</v>
      </c>
      <c r="M2579">
        <v>13.813087620305099</v>
      </c>
      <c r="N2579">
        <v>14.0576883039815</v>
      </c>
      <c r="O2579">
        <v>13.8530835155521</v>
      </c>
      <c r="P2579">
        <v>-0.148075948279727</v>
      </c>
      <c r="Q2579">
        <v>-0.54929568661251804</v>
      </c>
      <c r="R2579">
        <v>0.25314379005306398</v>
      </c>
      <c r="S2579">
        <v>13.9306530526987</v>
      </c>
      <c r="T2579">
        <v>-0.77570170379201597</v>
      </c>
      <c r="U2579">
        <v>-6.57331897217309</v>
      </c>
      <c r="V2579">
        <v>0.44805593243361302</v>
      </c>
      <c r="W2579">
        <v>0.92249172671965796</v>
      </c>
      <c r="X2579">
        <v>0</v>
      </c>
      <c r="Y2579">
        <v>0</v>
      </c>
    </row>
    <row r="2580" spans="1:25" x14ac:dyDescent="0.2">
      <c r="A2580" t="s">
        <v>9629</v>
      </c>
      <c r="B2580" t="s">
        <v>9630</v>
      </c>
      <c r="C2580" t="s">
        <v>14517</v>
      </c>
      <c r="D2580" t="s">
        <v>9631</v>
      </c>
      <c r="E2580" t="s">
        <v>9630</v>
      </c>
      <c r="F2580" t="s">
        <v>28</v>
      </c>
      <c r="G2580" t="s">
        <v>9630</v>
      </c>
      <c r="H2580" t="str">
        <f>"T01H3.2"</f>
        <v>T01H3.2</v>
      </c>
      <c r="I2580" t="s">
        <v>9631</v>
      </c>
      <c r="J2580">
        <v>11.0818603481457</v>
      </c>
      <c r="K2580">
        <v>10.9661387358785</v>
      </c>
      <c r="L2580">
        <v>11.940630849654401</v>
      </c>
      <c r="M2580">
        <v>10.8046883637452</v>
      </c>
      <c r="N2580">
        <v>10.992913048497099</v>
      </c>
      <c r="O2580">
        <v>11.3215470445755</v>
      </c>
      <c r="P2580">
        <v>-0.289827158953608</v>
      </c>
      <c r="Q2580">
        <v>-1.1186404308845601</v>
      </c>
      <c r="R2580">
        <v>0.53898611297734</v>
      </c>
      <c r="S2580">
        <v>11.5584183413508</v>
      </c>
      <c r="T2580">
        <v>-0.74170620552923905</v>
      </c>
      <c r="U2580">
        <v>-6.5980796767790597</v>
      </c>
      <c r="V2580">
        <v>0.46908365957574399</v>
      </c>
      <c r="W2580">
        <v>0.92978583625257705</v>
      </c>
      <c r="X2580">
        <v>0</v>
      </c>
      <c r="Y2580">
        <v>0</v>
      </c>
    </row>
    <row r="2581" spans="1:25" x14ac:dyDescent="0.2">
      <c r="A2581" t="s">
        <v>9632</v>
      </c>
      <c r="B2581" t="s">
        <v>9633</v>
      </c>
      <c r="C2581" t="s">
        <v>14518</v>
      </c>
      <c r="D2581" t="s">
        <v>319</v>
      </c>
      <c r="E2581" t="s">
        <v>9633</v>
      </c>
      <c r="F2581" t="s">
        <v>28</v>
      </c>
      <c r="G2581" t="s">
        <v>9633</v>
      </c>
      <c r="H2581" t="str">
        <f>"T01H3.3"</f>
        <v>T01H3.3</v>
      </c>
      <c r="I2581" t="s">
        <v>319</v>
      </c>
      <c r="J2581">
        <v>13.328645229436299</v>
      </c>
      <c r="K2581">
        <v>13.184518653139699</v>
      </c>
      <c r="L2581">
        <v>13.264113380631001</v>
      </c>
      <c r="M2581">
        <v>12.613778412537799</v>
      </c>
      <c r="N2581">
        <v>13.0061355269338</v>
      </c>
      <c r="O2581">
        <v>12.848031303488</v>
      </c>
      <c r="P2581">
        <v>-0.43644400674914502</v>
      </c>
      <c r="Q2581">
        <v>-1.10214637803532</v>
      </c>
      <c r="R2581">
        <v>0.229258364537025</v>
      </c>
      <c r="S2581">
        <v>13.1006388880702</v>
      </c>
      <c r="T2581">
        <v>-1.37797374642517</v>
      </c>
      <c r="U2581">
        <v>-5.9400567904711101</v>
      </c>
      <c r="V2581">
        <v>0.185199589247215</v>
      </c>
      <c r="W2581">
        <v>0.78295732499061499</v>
      </c>
      <c r="X2581">
        <v>0</v>
      </c>
      <c r="Y2581">
        <v>0</v>
      </c>
    </row>
    <row r="2582" spans="1:25" x14ac:dyDescent="0.2">
      <c r="A2582" t="s">
        <v>9634</v>
      </c>
      <c r="B2582" t="s">
        <v>9635</v>
      </c>
      <c r="C2582" t="s">
        <v>9636</v>
      </c>
      <c r="D2582" t="s">
        <v>9637</v>
      </c>
      <c r="E2582" t="s">
        <v>9635</v>
      </c>
      <c r="F2582" t="s">
        <v>28</v>
      </c>
      <c r="G2582" t="s">
        <v>9635</v>
      </c>
      <c r="H2582" t="str">
        <f>"perm-1"</f>
        <v>perm-1</v>
      </c>
      <c r="I2582" t="s">
        <v>9637</v>
      </c>
      <c r="J2582">
        <v>12.5886466694157</v>
      </c>
      <c r="K2582">
        <v>12.515006039947799</v>
      </c>
      <c r="L2582">
        <v>12.5717766882074</v>
      </c>
      <c r="M2582">
        <v>11.919152415813199</v>
      </c>
      <c r="N2582">
        <v>12.7045225412701</v>
      </c>
      <c r="O2582">
        <v>11.557087058827699</v>
      </c>
      <c r="P2582">
        <v>-0.49822246055333103</v>
      </c>
      <c r="Q2582">
        <v>-1.1053990466246499</v>
      </c>
      <c r="R2582">
        <v>0.10895412551799299</v>
      </c>
      <c r="S2582">
        <v>12.6085685140816</v>
      </c>
      <c r="T2582">
        <v>-1.7500477240403001</v>
      </c>
      <c r="U2582">
        <v>-5.4132024158234602</v>
      </c>
      <c r="V2582">
        <v>0.100675057599024</v>
      </c>
      <c r="W2582">
        <v>0.65399513636263495</v>
      </c>
      <c r="X2582">
        <v>0</v>
      </c>
      <c r="Y2582">
        <v>0</v>
      </c>
    </row>
    <row r="2583" spans="1:25" x14ac:dyDescent="0.2">
      <c r="A2583" t="s">
        <v>9638</v>
      </c>
      <c r="B2583" t="s">
        <v>9639</v>
      </c>
      <c r="C2583" t="s">
        <v>9640</v>
      </c>
      <c r="D2583" t="s">
        <v>9641</v>
      </c>
      <c r="E2583" t="s">
        <v>9639</v>
      </c>
      <c r="F2583" t="s">
        <v>28</v>
      </c>
      <c r="G2583" t="s">
        <v>9639</v>
      </c>
      <c r="H2583" t="str">
        <f>"kars-1"</f>
        <v>kars-1</v>
      </c>
      <c r="I2583" t="s">
        <v>9641</v>
      </c>
      <c r="J2583">
        <v>14.731201937743</v>
      </c>
      <c r="K2583">
        <v>14.615041352638899</v>
      </c>
      <c r="L2583">
        <v>14.763127669617001</v>
      </c>
      <c r="M2583">
        <v>14.583823115885901</v>
      </c>
      <c r="N2583">
        <v>14.205502789058</v>
      </c>
      <c r="O2583">
        <v>14.831748039127801</v>
      </c>
      <c r="P2583">
        <v>-0.16276567197575001</v>
      </c>
      <c r="Q2583">
        <v>-0.62095649075557302</v>
      </c>
      <c r="R2583">
        <v>0.295425146804073</v>
      </c>
      <c r="S2583">
        <v>14.195302330487699</v>
      </c>
      <c r="T2583">
        <v>-0.74663603431773895</v>
      </c>
      <c r="U2583">
        <v>-6.59570557911543</v>
      </c>
      <c r="V2583">
        <v>0.46498040931197498</v>
      </c>
      <c r="W2583">
        <v>0.92978583625257705</v>
      </c>
      <c r="X2583">
        <v>0</v>
      </c>
      <c r="Y2583">
        <v>0</v>
      </c>
    </row>
    <row r="2584" spans="1:25" x14ac:dyDescent="0.2">
      <c r="A2584" t="s">
        <v>9642</v>
      </c>
      <c r="B2584" t="s">
        <v>9643</v>
      </c>
      <c r="C2584" t="s">
        <v>14166</v>
      </c>
      <c r="D2584" t="s">
        <v>9644</v>
      </c>
      <c r="E2584" t="s">
        <v>9643</v>
      </c>
      <c r="F2584" t="s">
        <v>28</v>
      </c>
      <c r="G2584" t="s">
        <v>9643</v>
      </c>
      <c r="H2584" t="str">
        <f>"T02G5.7"</f>
        <v>T02G5.7</v>
      </c>
      <c r="I2584" t="s">
        <v>9644</v>
      </c>
      <c r="J2584" t="s">
        <v>29</v>
      </c>
      <c r="K2584" t="s">
        <v>29</v>
      </c>
      <c r="L2584" t="s">
        <v>29</v>
      </c>
      <c r="M2584">
        <v>12.447165101552001</v>
      </c>
      <c r="N2584">
        <v>12.516508052838001</v>
      </c>
      <c r="O2584">
        <v>12.806997777184201</v>
      </c>
      <c r="P2584" t="s">
        <v>29</v>
      </c>
      <c r="Q2584" t="s">
        <v>29</v>
      </c>
      <c r="R2584" t="s">
        <v>29</v>
      </c>
      <c r="S2584">
        <v>12.68927215239</v>
      </c>
      <c r="T2584" t="s">
        <v>29</v>
      </c>
      <c r="U2584" t="s">
        <v>29</v>
      </c>
      <c r="V2584" t="s">
        <v>29</v>
      </c>
      <c r="W2584" t="s">
        <v>29</v>
      </c>
      <c r="X2584" t="s">
        <v>29</v>
      </c>
      <c r="Y2584" t="s">
        <v>29</v>
      </c>
    </row>
    <row r="2585" spans="1:25" x14ac:dyDescent="0.2">
      <c r="A2585" t="s">
        <v>9645</v>
      </c>
      <c r="B2585" t="s">
        <v>9646</v>
      </c>
      <c r="C2585" t="s">
        <v>9647</v>
      </c>
      <c r="D2585" t="s">
        <v>107</v>
      </c>
      <c r="E2585" t="s">
        <v>9646</v>
      </c>
      <c r="F2585" t="s">
        <v>28</v>
      </c>
      <c r="G2585" t="s">
        <v>9646</v>
      </c>
      <c r="H2585" t="str">
        <f>"mct-5"</f>
        <v>mct-5</v>
      </c>
      <c r="I2585" t="s">
        <v>107</v>
      </c>
      <c r="J2585">
        <v>13.2016363692802</v>
      </c>
      <c r="K2585">
        <v>13.0089457584796</v>
      </c>
      <c r="L2585">
        <v>13.6576638622497</v>
      </c>
      <c r="M2585">
        <v>12.8856381116336</v>
      </c>
      <c r="N2585">
        <v>13.5715982677568</v>
      </c>
      <c r="O2585">
        <v>13.0019322853316</v>
      </c>
      <c r="P2585">
        <v>-0.136359108429181</v>
      </c>
      <c r="Q2585">
        <v>-0.59365046246376496</v>
      </c>
      <c r="R2585">
        <v>0.32093224560540301</v>
      </c>
      <c r="S2585">
        <v>13.4574586506627</v>
      </c>
      <c r="T2585">
        <v>-0.62942092349633005</v>
      </c>
      <c r="U2585">
        <v>-6.6772645533787198</v>
      </c>
      <c r="V2585">
        <v>0.53749259708178698</v>
      </c>
      <c r="W2585">
        <v>0.94544152383096502</v>
      </c>
      <c r="X2585">
        <v>0</v>
      </c>
      <c r="Y2585">
        <v>0</v>
      </c>
    </row>
    <row r="2586" spans="1:25" x14ac:dyDescent="0.2">
      <c r="A2586" t="s">
        <v>9648</v>
      </c>
      <c r="B2586" t="s">
        <v>9649</v>
      </c>
      <c r="C2586" t="s">
        <v>9650</v>
      </c>
      <c r="D2586" t="s">
        <v>9651</v>
      </c>
      <c r="E2586" t="s">
        <v>9649</v>
      </c>
      <c r="F2586" t="s">
        <v>28</v>
      </c>
      <c r="G2586" t="s">
        <v>9649</v>
      </c>
      <c r="H2586" t="str">
        <f>"mmaa-1"</f>
        <v>mmaa-1</v>
      </c>
      <c r="I2586" t="s">
        <v>9651</v>
      </c>
      <c r="J2586">
        <v>14.3344138934669</v>
      </c>
      <c r="K2586">
        <v>14.325476022457201</v>
      </c>
      <c r="L2586">
        <v>14.390744533837299</v>
      </c>
      <c r="M2586">
        <v>14.2925983926499</v>
      </c>
      <c r="N2586">
        <v>14.2737816588103</v>
      </c>
      <c r="O2586">
        <v>14.008277268526101</v>
      </c>
      <c r="P2586">
        <v>-0.158659043258362</v>
      </c>
      <c r="Q2586">
        <v>-0.58210837684829797</v>
      </c>
      <c r="R2586">
        <v>0.26479029033157298</v>
      </c>
      <c r="S2586">
        <v>14.182572454451901</v>
      </c>
      <c r="T2586">
        <v>-0.78750966133698297</v>
      </c>
      <c r="U2586">
        <v>-6.5639962016943896</v>
      </c>
      <c r="V2586">
        <v>0.44129015255451898</v>
      </c>
      <c r="W2586">
        <v>0.92006726233944303</v>
      </c>
      <c r="X2586">
        <v>0</v>
      </c>
      <c r="Y2586">
        <v>0</v>
      </c>
    </row>
    <row r="2587" spans="1:25" x14ac:dyDescent="0.2">
      <c r="A2587" t="s">
        <v>9652</v>
      </c>
      <c r="B2587" t="s">
        <v>9653</v>
      </c>
      <c r="C2587" t="s">
        <v>9654</v>
      </c>
      <c r="D2587" t="s">
        <v>9655</v>
      </c>
      <c r="E2587" t="s">
        <v>9653</v>
      </c>
      <c r="F2587" t="s">
        <v>28</v>
      </c>
      <c r="G2587" t="s">
        <v>9653</v>
      </c>
      <c r="H2587" t="str">
        <f>"metl-9"</f>
        <v>metl-9</v>
      </c>
      <c r="I2587" t="s">
        <v>9655</v>
      </c>
      <c r="J2587" t="s">
        <v>29</v>
      </c>
      <c r="K2587" t="s">
        <v>29</v>
      </c>
      <c r="L2587" t="s">
        <v>29</v>
      </c>
      <c r="M2587">
        <v>12.5698178364997</v>
      </c>
      <c r="N2587">
        <v>12.213030777647701</v>
      </c>
      <c r="O2587" t="s">
        <v>29</v>
      </c>
      <c r="P2587" t="s">
        <v>29</v>
      </c>
      <c r="Q2587" t="s">
        <v>29</v>
      </c>
      <c r="R2587" t="s">
        <v>29</v>
      </c>
      <c r="S2587">
        <v>12.0334999783773</v>
      </c>
      <c r="T2587" t="s">
        <v>29</v>
      </c>
      <c r="U2587" t="s">
        <v>29</v>
      </c>
      <c r="V2587" t="s">
        <v>29</v>
      </c>
      <c r="W2587" t="s">
        <v>29</v>
      </c>
      <c r="X2587" t="s">
        <v>29</v>
      </c>
      <c r="Y2587" t="s">
        <v>29</v>
      </c>
    </row>
    <row r="2588" spans="1:25" x14ac:dyDescent="0.2">
      <c r="A2588" t="s">
        <v>9656</v>
      </c>
      <c r="B2588" t="s">
        <v>9657</v>
      </c>
      <c r="C2588" t="s">
        <v>9658</v>
      </c>
      <c r="D2588" t="s">
        <v>9659</v>
      </c>
      <c r="E2588" t="s">
        <v>9657</v>
      </c>
      <c r="F2588" t="s">
        <v>28</v>
      </c>
      <c r="G2588" t="s">
        <v>9657</v>
      </c>
      <c r="H2588" t="str">
        <f>"nhr-40"</f>
        <v>nhr-40</v>
      </c>
      <c r="I2588" t="s">
        <v>9659</v>
      </c>
      <c r="J2588">
        <v>11.334408680669499</v>
      </c>
      <c r="K2588">
        <v>11.3336569791428</v>
      </c>
      <c r="L2588" t="s">
        <v>29</v>
      </c>
      <c r="M2588">
        <v>11.1125889757673</v>
      </c>
      <c r="N2588">
        <v>11.7919069539535</v>
      </c>
      <c r="O2588" t="s">
        <v>29</v>
      </c>
      <c r="P2588">
        <v>0.118215134954303</v>
      </c>
      <c r="Q2588">
        <v>-0.66384055060407299</v>
      </c>
      <c r="R2588">
        <v>0.90027082051267904</v>
      </c>
      <c r="S2588">
        <v>11.8818134245753</v>
      </c>
      <c r="T2588">
        <v>0.32443469950980203</v>
      </c>
      <c r="U2588">
        <v>-6.6269915927005396</v>
      </c>
      <c r="V2588">
        <v>0.75044146894391806</v>
      </c>
      <c r="W2588">
        <v>0.99184638945407499</v>
      </c>
      <c r="X2588">
        <v>0</v>
      </c>
      <c r="Y2588">
        <v>0</v>
      </c>
    </row>
    <row r="2589" spans="1:25" x14ac:dyDescent="0.2">
      <c r="A2589" t="s">
        <v>9660</v>
      </c>
      <c r="B2589" t="s">
        <v>9661</v>
      </c>
      <c r="C2589" t="s">
        <v>9662</v>
      </c>
      <c r="D2589" t="s">
        <v>93</v>
      </c>
      <c r="E2589" t="s">
        <v>9661</v>
      </c>
      <c r="F2589" t="s">
        <v>28</v>
      </c>
      <c r="G2589" t="s">
        <v>9661</v>
      </c>
      <c r="H2589" t="str">
        <f>"nifk-1"</f>
        <v>nifk-1</v>
      </c>
      <c r="I2589" t="s">
        <v>93</v>
      </c>
      <c r="J2589">
        <v>16.709558144671401</v>
      </c>
      <c r="K2589">
        <v>16.930285772781399</v>
      </c>
      <c r="L2589">
        <v>16.9301978691561</v>
      </c>
      <c r="M2589">
        <v>17.017823826744401</v>
      </c>
      <c r="N2589">
        <v>16.8049047730754</v>
      </c>
      <c r="O2589">
        <v>16.6152521481321</v>
      </c>
      <c r="P2589">
        <v>-4.4020346219028297E-2</v>
      </c>
      <c r="Q2589">
        <v>-0.42685215560461798</v>
      </c>
      <c r="R2589">
        <v>0.33881146316656102</v>
      </c>
      <c r="S2589">
        <v>16.937782634743701</v>
      </c>
      <c r="T2589">
        <v>-0.24167846344143501</v>
      </c>
      <c r="U2589">
        <v>-6.8520214621970403</v>
      </c>
      <c r="V2589">
        <v>0.81177705997327199</v>
      </c>
      <c r="W2589">
        <v>0.99278624068726296</v>
      </c>
      <c r="X2589">
        <v>0</v>
      </c>
      <c r="Y2589">
        <v>0</v>
      </c>
    </row>
    <row r="2590" spans="1:25" x14ac:dyDescent="0.2">
      <c r="A2590" t="s">
        <v>9663</v>
      </c>
      <c r="B2590" t="s">
        <v>9664</v>
      </c>
      <c r="C2590" t="s">
        <v>14519</v>
      </c>
      <c r="D2590" t="s">
        <v>9665</v>
      </c>
      <c r="E2590" t="s">
        <v>9664</v>
      </c>
      <c r="F2590" t="s">
        <v>28</v>
      </c>
      <c r="G2590" t="s">
        <v>9664</v>
      </c>
      <c r="H2590" t="str">
        <f>"T04A8.7"</f>
        <v>T04A8.7</v>
      </c>
      <c r="I2590" t="s">
        <v>9665</v>
      </c>
      <c r="J2590">
        <v>12.825369921163301</v>
      </c>
      <c r="K2590">
        <v>12.8486701706991</v>
      </c>
      <c r="L2590">
        <v>12.6011046210015</v>
      </c>
      <c r="M2590">
        <v>13.019439548202801</v>
      </c>
      <c r="N2590">
        <v>13.002975582739101</v>
      </c>
      <c r="O2590">
        <v>13.317395177425899</v>
      </c>
      <c r="P2590">
        <v>0.35488853183467101</v>
      </c>
      <c r="Q2590">
        <v>-0.17744545887070601</v>
      </c>
      <c r="R2590">
        <v>0.88722252254004896</v>
      </c>
      <c r="S2590">
        <v>13.3356204649749</v>
      </c>
      <c r="T2590">
        <v>1.4012004910553</v>
      </c>
      <c r="U2590">
        <v>-5.9096478542367201</v>
      </c>
      <c r="V2590">
        <v>0.17825833510852401</v>
      </c>
      <c r="W2590">
        <v>0.78058386742259001</v>
      </c>
      <c r="X2590">
        <v>0</v>
      </c>
      <c r="Y2590">
        <v>0</v>
      </c>
    </row>
    <row r="2591" spans="1:25" x14ac:dyDescent="0.2">
      <c r="A2591" t="s">
        <v>9666</v>
      </c>
      <c r="B2591" t="s">
        <v>9667</v>
      </c>
      <c r="C2591" t="s">
        <v>9668</v>
      </c>
      <c r="D2591" t="s">
        <v>9669</v>
      </c>
      <c r="E2591" t="s">
        <v>9667</v>
      </c>
      <c r="F2591" t="s">
        <v>28</v>
      </c>
      <c r="G2591" t="s">
        <v>9667</v>
      </c>
      <c r="H2591" t="str">
        <f>"mrpl-16"</f>
        <v>mrpl-16</v>
      </c>
      <c r="I2591" t="s">
        <v>9669</v>
      </c>
      <c r="J2591">
        <v>13.916143923104601</v>
      </c>
      <c r="K2591">
        <v>14.8973576914448</v>
      </c>
      <c r="L2591">
        <v>14.5207902181579</v>
      </c>
      <c r="M2591">
        <v>14.5512456497875</v>
      </c>
      <c r="N2591">
        <v>14.653675407319399</v>
      </c>
      <c r="O2591">
        <v>13.714372628115999</v>
      </c>
      <c r="P2591">
        <v>-0.13833271582811499</v>
      </c>
      <c r="Q2591">
        <v>-0.828913335084287</v>
      </c>
      <c r="R2591">
        <v>0.55224790342805696</v>
      </c>
      <c r="S2591">
        <v>14.6078150525206</v>
      </c>
      <c r="T2591">
        <v>-0.42487389412207199</v>
      </c>
      <c r="U2591">
        <v>-6.7880818797304201</v>
      </c>
      <c r="V2591">
        <v>0.67662419205714397</v>
      </c>
      <c r="W2591">
        <v>0.98642420921484297</v>
      </c>
      <c r="X2591">
        <v>0</v>
      </c>
      <c r="Y2591">
        <v>0</v>
      </c>
    </row>
    <row r="2592" spans="1:25" x14ac:dyDescent="0.2">
      <c r="A2592" t="s">
        <v>9670</v>
      </c>
      <c r="B2592" t="s">
        <v>9671</v>
      </c>
      <c r="C2592" t="s">
        <v>14520</v>
      </c>
      <c r="D2592" t="s">
        <v>9672</v>
      </c>
      <c r="E2592" t="s">
        <v>9671</v>
      </c>
      <c r="F2592" t="s">
        <v>28</v>
      </c>
      <c r="G2592" t="s">
        <v>9671</v>
      </c>
      <c r="H2592" t="str">
        <f>"T04A8.8"</f>
        <v>T04A8.8</v>
      </c>
      <c r="I2592" t="s">
        <v>9672</v>
      </c>
      <c r="J2592" t="s">
        <v>29</v>
      </c>
      <c r="K2592" t="s">
        <v>29</v>
      </c>
      <c r="L2592" t="s">
        <v>29</v>
      </c>
      <c r="M2592" t="s">
        <v>29</v>
      </c>
      <c r="N2592">
        <v>12.7897268556885</v>
      </c>
      <c r="O2592" t="s">
        <v>29</v>
      </c>
      <c r="P2592" t="s">
        <v>29</v>
      </c>
      <c r="Q2592" t="s">
        <v>29</v>
      </c>
      <c r="R2592" t="s">
        <v>29</v>
      </c>
      <c r="S2592">
        <v>12.4940005240181</v>
      </c>
      <c r="T2592" t="s">
        <v>29</v>
      </c>
      <c r="U2592" t="s">
        <v>29</v>
      </c>
      <c r="V2592" t="s">
        <v>29</v>
      </c>
      <c r="W2592" t="s">
        <v>29</v>
      </c>
      <c r="X2592" t="s">
        <v>29</v>
      </c>
      <c r="Y2592" t="s">
        <v>29</v>
      </c>
    </row>
    <row r="2593" spans="1:25" x14ac:dyDescent="0.2">
      <c r="A2593" t="s">
        <v>9673</v>
      </c>
      <c r="B2593" t="s">
        <v>9674</v>
      </c>
      <c r="C2593" t="s">
        <v>14521</v>
      </c>
      <c r="D2593" t="s">
        <v>9675</v>
      </c>
      <c r="E2593" t="s">
        <v>9674</v>
      </c>
      <c r="F2593" t="s">
        <v>28</v>
      </c>
      <c r="G2593" t="s">
        <v>9674</v>
      </c>
      <c r="H2593" t="str">
        <f>"T04F3.3"</f>
        <v>T04F3.3</v>
      </c>
      <c r="I2593" t="s">
        <v>9675</v>
      </c>
      <c r="J2593" t="s">
        <v>29</v>
      </c>
      <c r="K2593" t="s">
        <v>29</v>
      </c>
      <c r="L2593" t="s">
        <v>29</v>
      </c>
      <c r="M2593">
        <v>10.8048555664734</v>
      </c>
      <c r="N2593" t="s">
        <v>29</v>
      </c>
      <c r="O2593" t="s">
        <v>29</v>
      </c>
      <c r="P2593" t="s">
        <v>29</v>
      </c>
      <c r="Q2593" t="s">
        <v>29</v>
      </c>
      <c r="R2593" t="s">
        <v>29</v>
      </c>
      <c r="S2593">
        <v>11.194064094623201</v>
      </c>
      <c r="T2593" t="s">
        <v>29</v>
      </c>
      <c r="U2593" t="s">
        <v>29</v>
      </c>
      <c r="V2593" t="s">
        <v>29</v>
      </c>
      <c r="W2593" t="s">
        <v>29</v>
      </c>
      <c r="X2593" t="s">
        <v>29</v>
      </c>
      <c r="Y2593" t="s">
        <v>29</v>
      </c>
    </row>
    <row r="2594" spans="1:25" x14ac:dyDescent="0.2">
      <c r="A2594" t="s">
        <v>9676</v>
      </c>
      <c r="B2594" t="s">
        <v>9677</v>
      </c>
      <c r="C2594" t="s">
        <v>9678</v>
      </c>
      <c r="D2594" t="s">
        <v>6991</v>
      </c>
      <c r="E2594" t="s">
        <v>9677</v>
      </c>
      <c r="F2594" t="s">
        <v>28</v>
      </c>
      <c r="G2594" t="s">
        <v>9677</v>
      </c>
      <c r="H2594" t="str">
        <f>"sfxn-1.5"</f>
        <v>sfxn-1.5</v>
      </c>
      <c r="I2594" t="s">
        <v>6991</v>
      </c>
      <c r="J2594">
        <v>15.5261774097354</v>
      </c>
      <c r="K2594">
        <v>15.1768694482122</v>
      </c>
      <c r="L2594">
        <v>15.412800058103</v>
      </c>
      <c r="M2594">
        <v>15.028921346033201</v>
      </c>
      <c r="N2594">
        <v>15.148872811355499</v>
      </c>
      <c r="O2594">
        <v>15.2514008818099</v>
      </c>
      <c r="P2594">
        <v>-0.22888395895069999</v>
      </c>
      <c r="Q2594">
        <v>-0.80490824749120704</v>
      </c>
      <c r="R2594">
        <v>0.34714032958980701</v>
      </c>
      <c r="S2594">
        <v>14.7457427124068</v>
      </c>
      <c r="T2594">
        <v>-0.83515497723881005</v>
      </c>
      <c r="U2594">
        <v>-6.52504975858478</v>
      </c>
      <c r="V2594">
        <v>0.414641946392656</v>
      </c>
      <c r="W2594">
        <v>0.91512503332874395</v>
      </c>
      <c r="X2594">
        <v>0</v>
      </c>
      <c r="Y2594">
        <v>0</v>
      </c>
    </row>
    <row r="2595" spans="1:25" x14ac:dyDescent="0.2">
      <c r="A2595" t="s">
        <v>9679</v>
      </c>
      <c r="B2595" t="s">
        <v>9680</v>
      </c>
      <c r="C2595" t="s">
        <v>9681</v>
      </c>
      <c r="D2595" t="s">
        <v>9682</v>
      </c>
      <c r="E2595" t="s">
        <v>9680</v>
      </c>
      <c r="F2595" t="s">
        <v>28</v>
      </c>
      <c r="G2595" t="s">
        <v>9680</v>
      </c>
      <c r="H2595" t="str">
        <f>"sto-4"</f>
        <v>sto-4</v>
      </c>
      <c r="I2595" t="s">
        <v>9682</v>
      </c>
      <c r="J2595">
        <v>15.311633442604601</v>
      </c>
      <c r="K2595">
        <v>15.672715775215</v>
      </c>
      <c r="L2595">
        <v>15.0750658502024</v>
      </c>
      <c r="M2595">
        <v>15.527452275111299</v>
      </c>
      <c r="N2595">
        <v>15.242628263640899</v>
      </c>
      <c r="O2595">
        <v>15.6342050565168</v>
      </c>
      <c r="P2595">
        <v>0.11495684241568099</v>
      </c>
      <c r="Q2595">
        <v>-0.51353284905010999</v>
      </c>
      <c r="R2595">
        <v>0.74344653388147297</v>
      </c>
      <c r="S2595">
        <v>15.2225793949994</v>
      </c>
      <c r="T2595">
        <v>0.38608833528744702</v>
      </c>
      <c r="U2595">
        <v>-6.8047060149842498</v>
      </c>
      <c r="V2595">
        <v>0.70424997629040498</v>
      </c>
      <c r="W2595">
        <v>0.98642420921484297</v>
      </c>
      <c r="X2595">
        <v>0</v>
      </c>
      <c r="Y2595">
        <v>0</v>
      </c>
    </row>
    <row r="2596" spans="1:25" x14ac:dyDescent="0.2">
      <c r="A2596" t="s">
        <v>9683</v>
      </c>
      <c r="B2596" t="s">
        <v>9684</v>
      </c>
      <c r="C2596" t="s">
        <v>9685</v>
      </c>
      <c r="D2596" t="s">
        <v>9269</v>
      </c>
      <c r="E2596" t="s">
        <v>9684</v>
      </c>
      <c r="F2596" t="s">
        <v>28</v>
      </c>
      <c r="G2596" t="s">
        <v>9684</v>
      </c>
      <c r="H2596" t="str">
        <f>"trap-2"</f>
        <v>trap-2</v>
      </c>
      <c r="I2596" t="s">
        <v>9269</v>
      </c>
      <c r="J2596">
        <v>16.886739828882799</v>
      </c>
      <c r="K2596">
        <v>16.993171466213699</v>
      </c>
      <c r="L2596">
        <v>16.811537847476401</v>
      </c>
      <c r="M2596">
        <v>16.879313311563301</v>
      </c>
      <c r="N2596">
        <v>16.506533271021901</v>
      </c>
      <c r="O2596">
        <v>17.0594792213281</v>
      </c>
      <c r="P2596">
        <v>-8.2041112886457795E-2</v>
      </c>
      <c r="Q2596">
        <v>-0.51174563299004405</v>
      </c>
      <c r="R2596">
        <v>0.34766340721712902</v>
      </c>
      <c r="S2596">
        <v>16.248202455313098</v>
      </c>
      <c r="T2596">
        <v>-0.40128611604223602</v>
      </c>
      <c r="U2596">
        <v>-6.7987316007864296</v>
      </c>
      <c r="V2596">
        <v>0.69296085011769404</v>
      </c>
      <c r="W2596">
        <v>0.98642420921484297</v>
      </c>
      <c r="X2596">
        <v>0</v>
      </c>
      <c r="Y2596">
        <v>0</v>
      </c>
    </row>
    <row r="2597" spans="1:25" x14ac:dyDescent="0.2">
      <c r="A2597" t="s">
        <v>9686</v>
      </c>
      <c r="B2597" t="s">
        <v>9687</v>
      </c>
      <c r="C2597" t="s">
        <v>14522</v>
      </c>
      <c r="D2597" t="s">
        <v>9688</v>
      </c>
      <c r="E2597" t="s">
        <v>9687</v>
      </c>
      <c r="F2597" t="s">
        <v>28</v>
      </c>
      <c r="G2597" t="s">
        <v>9687</v>
      </c>
      <c r="H2597" t="str">
        <f>"T04G9.4"</f>
        <v>T04G9.4</v>
      </c>
      <c r="I2597" t="s">
        <v>9688</v>
      </c>
      <c r="J2597">
        <v>14.0833965455849</v>
      </c>
      <c r="K2597">
        <v>14.1446312345139</v>
      </c>
      <c r="L2597">
        <v>13.8017407863359</v>
      </c>
      <c r="M2597">
        <v>13.8912289269394</v>
      </c>
      <c r="N2597">
        <v>14.293103602227299</v>
      </c>
      <c r="O2597">
        <v>14.0546626566864</v>
      </c>
      <c r="P2597">
        <v>6.97422064728066E-2</v>
      </c>
      <c r="Q2597">
        <v>-0.35650038404592399</v>
      </c>
      <c r="R2597">
        <v>0.49598479699153702</v>
      </c>
      <c r="S2597">
        <v>13.732616117064399</v>
      </c>
      <c r="T2597">
        <v>0.34389934907981301</v>
      </c>
      <c r="U2597">
        <v>-6.8209008084993696</v>
      </c>
      <c r="V2597">
        <v>0.73492979507793599</v>
      </c>
      <c r="W2597">
        <v>0.99062225922210301</v>
      </c>
      <c r="X2597">
        <v>0</v>
      </c>
      <c r="Y2597">
        <v>0</v>
      </c>
    </row>
    <row r="2598" spans="1:25" x14ac:dyDescent="0.2">
      <c r="A2598" t="s">
        <v>9689</v>
      </c>
      <c r="B2598" t="s">
        <v>9690</v>
      </c>
      <c r="C2598" t="s">
        <v>9691</v>
      </c>
      <c r="D2598" t="s">
        <v>3312</v>
      </c>
      <c r="E2598" t="s">
        <v>9690</v>
      </c>
      <c r="F2598" t="s">
        <v>28</v>
      </c>
      <c r="G2598" t="s">
        <v>9690</v>
      </c>
      <c r="H2598" t="str">
        <f>"col-122"</f>
        <v>col-122</v>
      </c>
      <c r="I2598" t="s">
        <v>3312</v>
      </c>
      <c r="J2598">
        <v>11.4157235623725</v>
      </c>
      <c r="K2598">
        <v>11.161341523537001</v>
      </c>
      <c r="L2598">
        <v>12.234710194855801</v>
      </c>
      <c r="M2598">
        <v>10.682572985103899</v>
      </c>
      <c r="N2598">
        <v>11.843784658596499</v>
      </c>
      <c r="O2598">
        <v>12.1380193584637</v>
      </c>
      <c r="P2598">
        <v>-4.9132759533757002E-2</v>
      </c>
      <c r="Q2598">
        <v>-1.27988539486192</v>
      </c>
      <c r="R2598">
        <v>1.1816198757944001</v>
      </c>
      <c r="S2598">
        <v>12.4215214621415</v>
      </c>
      <c r="T2598">
        <v>-8.3905976420649203E-2</v>
      </c>
      <c r="U2598">
        <v>-6.8788118072092397</v>
      </c>
      <c r="V2598">
        <v>0.93406270432294003</v>
      </c>
      <c r="W2598">
        <v>0.99926809132575301</v>
      </c>
      <c r="X2598">
        <v>0</v>
      </c>
      <c r="Y2598">
        <v>0</v>
      </c>
    </row>
    <row r="2599" spans="1:25" x14ac:dyDescent="0.2">
      <c r="A2599" t="s">
        <v>9692</v>
      </c>
      <c r="B2599" t="s">
        <v>9693</v>
      </c>
      <c r="C2599" t="s">
        <v>9694</v>
      </c>
      <c r="D2599" t="s">
        <v>458</v>
      </c>
      <c r="E2599" t="s">
        <v>9693</v>
      </c>
      <c r="F2599" t="s">
        <v>28</v>
      </c>
      <c r="G2599" t="s">
        <v>9693</v>
      </c>
      <c r="H2599" t="str">
        <f>"ttr-14"</f>
        <v>ttr-14</v>
      </c>
      <c r="I2599" t="s">
        <v>458</v>
      </c>
      <c r="J2599">
        <v>12.8982151599891</v>
      </c>
      <c r="K2599">
        <v>13.200635362635699</v>
      </c>
      <c r="L2599" t="s">
        <v>29</v>
      </c>
      <c r="M2599" t="s">
        <v>29</v>
      </c>
      <c r="N2599">
        <v>13.536767375805701</v>
      </c>
      <c r="O2599" t="s">
        <v>29</v>
      </c>
      <c r="P2599">
        <v>0.48734211449333398</v>
      </c>
      <c r="Q2599">
        <v>-0.688643751205535</v>
      </c>
      <c r="R2599">
        <v>1.6633279801922001</v>
      </c>
      <c r="S2599">
        <v>12.4086692828262</v>
      </c>
      <c r="T2599">
        <v>0.95785010889829303</v>
      </c>
      <c r="U2599">
        <v>-6.0062934861844903</v>
      </c>
      <c r="V2599">
        <v>0.36654674219359301</v>
      </c>
      <c r="W2599">
        <v>0.88976481256037698</v>
      </c>
      <c r="X2599">
        <v>0</v>
      </c>
      <c r="Y2599">
        <v>0</v>
      </c>
    </row>
    <row r="2600" spans="1:25" x14ac:dyDescent="0.2">
      <c r="A2600" t="s">
        <v>9695</v>
      </c>
      <c r="B2600" t="s">
        <v>9696</v>
      </c>
      <c r="C2600" t="s">
        <v>14523</v>
      </c>
      <c r="D2600" t="s">
        <v>9697</v>
      </c>
      <c r="E2600" t="s">
        <v>9696</v>
      </c>
      <c r="F2600" t="s">
        <v>28</v>
      </c>
      <c r="G2600" t="s">
        <v>9696</v>
      </c>
      <c r="H2600" t="str">
        <f>"T05B9.1"</f>
        <v>T05B9.1</v>
      </c>
      <c r="I2600" t="s">
        <v>9697</v>
      </c>
      <c r="J2600">
        <v>12.1860432970792</v>
      </c>
      <c r="K2600">
        <v>11.5266978946275</v>
      </c>
      <c r="L2600">
        <v>12.1071009986705</v>
      </c>
      <c r="M2600">
        <v>12.429885063825299</v>
      </c>
      <c r="N2600">
        <v>12.437835228640701</v>
      </c>
      <c r="O2600">
        <v>11.5371177010257</v>
      </c>
      <c r="P2600">
        <v>0.19499860103814901</v>
      </c>
      <c r="Q2600">
        <v>-0.41588386543540701</v>
      </c>
      <c r="R2600">
        <v>0.80588106751170496</v>
      </c>
      <c r="S2600">
        <v>12.552693605219799</v>
      </c>
      <c r="T2600">
        <v>0.67705408891697205</v>
      </c>
      <c r="U2600">
        <v>-6.6448267358874498</v>
      </c>
      <c r="V2600">
        <v>0.50810633358898705</v>
      </c>
      <c r="W2600">
        <v>0.94062983959761604</v>
      </c>
      <c r="X2600">
        <v>0</v>
      </c>
      <c r="Y2600">
        <v>0</v>
      </c>
    </row>
    <row r="2601" spans="1:25" x14ac:dyDescent="0.2">
      <c r="A2601" t="s">
        <v>9698</v>
      </c>
      <c r="B2601" t="s">
        <v>9699</v>
      </c>
      <c r="C2601" t="s">
        <v>9700</v>
      </c>
      <c r="D2601" t="s">
        <v>9701</v>
      </c>
      <c r="E2601" t="s">
        <v>9699</v>
      </c>
      <c r="F2601" t="s">
        <v>28</v>
      </c>
      <c r="G2601" t="s">
        <v>9699</v>
      </c>
      <c r="H2601" t="str">
        <f>"mig-5"</f>
        <v>mig-5</v>
      </c>
      <c r="I2601" t="s">
        <v>9701</v>
      </c>
      <c r="J2601">
        <v>10.060921385396799</v>
      </c>
      <c r="K2601" t="s">
        <v>29</v>
      </c>
      <c r="L2601">
        <v>10.929340590606801</v>
      </c>
      <c r="M2601" t="s">
        <v>29</v>
      </c>
      <c r="N2601">
        <v>12.48715666991</v>
      </c>
      <c r="O2601" t="s">
        <v>29</v>
      </c>
      <c r="P2601">
        <v>1.99202568190827</v>
      </c>
      <c r="Q2601">
        <v>0.88501559606474201</v>
      </c>
      <c r="R2601">
        <v>3.0990357677517899</v>
      </c>
      <c r="S2601">
        <v>11.730786887923699</v>
      </c>
      <c r="T2601">
        <v>3.9652543370770199</v>
      </c>
      <c r="U2601">
        <v>-1.3639374873102299</v>
      </c>
      <c r="V2601">
        <v>2.2552703344793199E-3</v>
      </c>
      <c r="W2601">
        <v>6.0504275003324101E-2</v>
      </c>
      <c r="X2601">
        <v>1</v>
      </c>
      <c r="Y2601">
        <v>0</v>
      </c>
    </row>
    <row r="2602" spans="1:25" x14ac:dyDescent="0.2">
      <c r="A2602" t="s">
        <v>9702</v>
      </c>
      <c r="B2602" t="s">
        <v>9703</v>
      </c>
      <c r="C2602" t="s">
        <v>9704</v>
      </c>
      <c r="D2602" t="s">
        <v>9705</v>
      </c>
      <c r="E2602" t="s">
        <v>9703</v>
      </c>
      <c r="F2602" t="s">
        <v>28</v>
      </c>
      <c r="G2602" t="s">
        <v>9703</v>
      </c>
      <c r="H2602" t="str">
        <f>"decr-1.3"</f>
        <v>decr-1.3</v>
      </c>
      <c r="I2602" t="s">
        <v>9705</v>
      </c>
      <c r="J2602" t="s">
        <v>29</v>
      </c>
      <c r="K2602">
        <v>12.6884993784897</v>
      </c>
      <c r="L2602">
        <v>12.7118709096302</v>
      </c>
      <c r="M2602" t="s">
        <v>29</v>
      </c>
      <c r="N2602">
        <v>13.0308136346891</v>
      </c>
      <c r="O2602">
        <v>13.253556139879899</v>
      </c>
      <c r="P2602">
        <v>0.44199974322458702</v>
      </c>
      <c r="Q2602">
        <v>-0.37427296514463398</v>
      </c>
      <c r="R2602">
        <v>1.25827245159381</v>
      </c>
      <c r="S2602">
        <v>13.0154504948189</v>
      </c>
      <c r="T2602">
        <v>1.2082411733376199</v>
      </c>
      <c r="U2602">
        <v>-5.94501962429855</v>
      </c>
      <c r="V2602">
        <v>0.25503704178271103</v>
      </c>
      <c r="W2602">
        <v>0.83701250057606502</v>
      </c>
      <c r="X2602">
        <v>0</v>
      </c>
      <c r="Y2602">
        <v>0</v>
      </c>
    </row>
    <row r="2603" spans="1:25" x14ac:dyDescent="0.2">
      <c r="A2603" t="s">
        <v>9706</v>
      </c>
      <c r="B2603" t="s">
        <v>9707</v>
      </c>
      <c r="C2603" t="s">
        <v>9708</v>
      </c>
      <c r="D2603" t="s">
        <v>9709</v>
      </c>
      <c r="E2603" t="s">
        <v>9707</v>
      </c>
      <c r="F2603" t="s">
        <v>28</v>
      </c>
      <c r="G2603" t="s">
        <v>9707</v>
      </c>
      <c r="H2603" t="str">
        <f>"enpl-1"</f>
        <v>enpl-1</v>
      </c>
      <c r="I2603" t="s">
        <v>9709</v>
      </c>
      <c r="J2603">
        <v>18.036903212487999</v>
      </c>
      <c r="K2603">
        <v>17.977979652473401</v>
      </c>
      <c r="L2603">
        <v>17.870628783230799</v>
      </c>
      <c r="M2603">
        <v>17.998101035548899</v>
      </c>
      <c r="N2603">
        <v>17.8884299789278</v>
      </c>
      <c r="O2603">
        <v>17.983264145167499</v>
      </c>
      <c r="P2603">
        <v>-5.2388295160064003E-3</v>
      </c>
      <c r="Q2603">
        <v>-0.409137544304078</v>
      </c>
      <c r="R2603">
        <v>0.39865988527206497</v>
      </c>
      <c r="S2603">
        <v>17.347212707729799</v>
      </c>
      <c r="T2603">
        <v>-2.7261786205131401E-2</v>
      </c>
      <c r="U2603">
        <v>-6.8821012593507298</v>
      </c>
      <c r="V2603">
        <v>0.97855265786955703</v>
      </c>
      <c r="W2603">
        <v>0.99968702248720698</v>
      </c>
      <c r="X2603">
        <v>0</v>
      </c>
      <c r="Y2603">
        <v>0</v>
      </c>
    </row>
    <row r="2604" spans="1:25" x14ac:dyDescent="0.2">
      <c r="A2604" t="s">
        <v>9710</v>
      </c>
      <c r="B2604" t="s">
        <v>9711</v>
      </c>
      <c r="C2604" t="s">
        <v>14524</v>
      </c>
      <c r="D2604" t="s">
        <v>9712</v>
      </c>
      <c r="E2604" t="s">
        <v>9711</v>
      </c>
      <c r="F2604" t="s">
        <v>28</v>
      </c>
      <c r="G2604" t="s">
        <v>9711</v>
      </c>
      <c r="H2604" t="str">
        <f>"T05H10.1"</f>
        <v>T05H10.1</v>
      </c>
      <c r="I2604" t="s">
        <v>9712</v>
      </c>
      <c r="J2604">
        <v>14.126517446460101</v>
      </c>
      <c r="K2604">
        <v>13.9957175627853</v>
      </c>
      <c r="L2604">
        <v>13.704211821731</v>
      </c>
      <c r="M2604">
        <v>14.3911231871691</v>
      </c>
      <c r="N2604">
        <v>14.356822877166801</v>
      </c>
      <c r="O2604">
        <v>14.4793646379552</v>
      </c>
      <c r="P2604">
        <v>0.46695462377156899</v>
      </c>
      <c r="Q2604">
        <v>7.4276081761113097E-2</v>
      </c>
      <c r="R2604">
        <v>0.85963316578202498</v>
      </c>
      <c r="S2604">
        <v>14.3092781789834</v>
      </c>
      <c r="T2604">
        <v>2.49936695440599</v>
      </c>
      <c r="U2604">
        <v>-4.08760963387095</v>
      </c>
      <c r="V2604">
        <v>2.24009545404069E-2</v>
      </c>
      <c r="W2604">
        <v>0.311926262386922</v>
      </c>
      <c r="X2604">
        <v>0</v>
      </c>
      <c r="Y2604">
        <v>0</v>
      </c>
    </row>
    <row r="2605" spans="1:25" x14ac:dyDescent="0.2">
      <c r="A2605" t="s">
        <v>9713</v>
      </c>
      <c r="B2605" t="s">
        <v>9714</v>
      </c>
      <c r="C2605" t="s">
        <v>9715</v>
      </c>
      <c r="D2605" t="s">
        <v>9716</v>
      </c>
      <c r="E2605" t="s">
        <v>9714</v>
      </c>
      <c r="F2605" t="s">
        <v>28</v>
      </c>
      <c r="G2605" t="s">
        <v>9714</v>
      </c>
      <c r="H2605" t="str">
        <f>"cox-15"</f>
        <v>cox-15</v>
      </c>
      <c r="I2605" t="s">
        <v>9716</v>
      </c>
      <c r="J2605">
        <v>14.1105731819874</v>
      </c>
      <c r="K2605">
        <v>14.553930535590601</v>
      </c>
      <c r="L2605">
        <v>14.851099832412</v>
      </c>
      <c r="M2605">
        <v>14.275323815836</v>
      </c>
      <c r="N2605">
        <v>14.119910041732799</v>
      </c>
      <c r="O2605">
        <v>13.7938458205342</v>
      </c>
      <c r="P2605">
        <v>-0.44217462396236201</v>
      </c>
      <c r="Q2605">
        <v>-1.05314362085532</v>
      </c>
      <c r="R2605">
        <v>0.16879437293059901</v>
      </c>
      <c r="S2605">
        <v>14.737436368440401</v>
      </c>
      <c r="T2605">
        <v>-1.5211328852417101</v>
      </c>
      <c r="U2605">
        <v>-5.7462673349987003</v>
      </c>
      <c r="V2605">
        <v>0.14569988028455799</v>
      </c>
      <c r="W2605">
        <v>0.73468060846516403</v>
      </c>
      <c r="X2605">
        <v>0</v>
      </c>
      <c r="Y2605">
        <v>0</v>
      </c>
    </row>
    <row r="2606" spans="1:25" x14ac:dyDescent="0.2">
      <c r="A2606" t="s">
        <v>9717</v>
      </c>
      <c r="B2606" t="s">
        <v>9718</v>
      </c>
      <c r="C2606" t="s">
        <v>9719</v>
      </c>
      <c r="D2606" t="s">
        <v>9720</v>
      </c>
      <c r="E2606" t="s">
        <v>9718</v>
      </c>
      <c r="F2606" t="s">
        <v>28</v>
      </c>
      <c r="G2606" t="s">
        <v>9718</v>
      </c>
      <c r="H2606" t="str">
        <f>"rpn-9"</f>
        <v>rpn-9</v>
      </c>
      <c r="I2606" t="s">
        <v>9720</v>
      </c>
      <c r="J2606">
        <v>14.454659406507099</v>
      </c>
      <c r="K2606">
        <v>14.4499670047528</v>
      </c>
      <c r="L2606">
        <v>14.6092079171116</v>
      </c>
      <c r="M2606">
        <v>14.6341322765568</v>
      </c>
      <c r="N2606">
        <v>14.805175454405701</v>
      </c>
      <c r="O2606">
        <v>14.6330391066872</v>
      </c>
      <c r="P2606">
        <v>0.186170836426065</v>
      </c>
      <c r="Q2606">
        <v>-0.27218888356076498</v>
      </c>
      <c r="R2606">
        <v>0.64453055641289503</v>
      </c>
      <c r="S2606">
        <v>14.8038950880476</v>
      </c>
      <c r="T2606">
        <v>0.85368513190559403</v>
      </c>
      <c r="U2606">
        <v>-6.5093315498960003</v>
      </c>
      <c r="V2606">
        <v>0.404562453713323</v>
      </c>
      <c r="W2606">
        <v>0.91027279600179201</v>
      </c>
      <c r="X2606">
        <v>0</v>
      </c>
      <c r="Y2606">
        <v>0</v>
      </c>
    </row>
    <row r="2607" spans="1:25" x14ac:dyDescent="0.2">
      <c r="A2607" t="s">
        <v>9721</v>
      </c>
      <c r="B2607" t="s">
        <v>9722</v>
      </c>
      <c r="C2607" t="s">
        <v>14525</v>
      </c>
      <c r="D2607" t="s">
        <v>9723</v>
      </c>
      <c r="E2607" t="s">
        <v>9722</v>
      </c>
      <c r="F2607" t="s">
        <v>28</v>
      </c>
      <c r="G2607" t="s">
        <v>9722</v>
      </c>
      <c r="H2607" t="str">
        <f>"T06D8.9"</f>
        <v>T06D8.9</v>
      </c>
      <c r="I2607" t="s">
        <v>9723</v>
      </c>
      <c r="J2607">
        <v>11.1551667887798</v>
      </c>
      <c r="K2607">
        <v>11.8944652834719</v>
      </c>
      <c r="L2607">
        <v>11.8897257500319</v>
      </c>
      <c r="M2607">
        <v>12.382094322856201</v>
      </c>
      <c r="N2607">
        <v>12.716636042436599</v>
      </c>
      <c r="O2607">
        <v>11.622664175386699</v>
      </c>
      <c r="P2607">
        <v>0.59401223946526605</v>
      </c>
      <c r="Q2607">
        <v>-7.4079966242388603E-3</v>
      </c>
      <c r="R2607">
        <v>1.1954324755547701</v>
      </c>
      <c r="S2607">
        <v>12.313116576327801</v>
      </c>
      <c r="T2607">
        <v>2.1064878700846701</v>
      </c>
      <c r="U2607">
        <v>-4.8345387929549304</v>
      </c>
      <c r="V2607">
        <v>5.2536639449090199E-2</v>
      </c>
      <c r="W2607">
        <v>0.49530293508943901</v>
      </c>
      <c r="X2607">
        <v>0</v>
      </c>
      <c r="Y2607">
        <v>0</v>
      </c>
    </row>
    <row r="2608" spans="1:25" x14ac:dyDescent="0.2">
      <c r="A2608" t="s">
        <v>9724</v>
      </c>
      <c r="B2608" t="s">
        <v>9725</v>
      </c>
      <c r="C2608" t="s">
        <v>9726</v>
      </c>
      <c r="D2608" t="s">
        <v>4592</v>
      </c>
      <c r="E2608" t="s">
        <v>9725</v>
      </c>
      <c r="F2608" t="s">
        <v>28</v>
      </c>
      <c r="G2608" t="s">
        <v>9725</v>
      </c>
      <c r="H2608" t="str">
        <f>"hcp-2"</f>
        <v>hcp-2</v>
      </c>
      <c r="I2608" t="s">
        <v>4592</v>
      </c>
      <c r="J2608" t="s">
        <v>29</v>
      </c>
      <c r="K2608" t="s">
        <v>29</v>
      </c>
      <c r="L2608">
        <v>12.6456845292147</v>
      </c>
      <c r="M2608" t="s">
        <v>29</v>
      </c>
      <c r="N2608">
        <v>12.420619856479901</v>
      </c>
      <c r="O2608" t="s">
        <v>29</v>
      </c>
      <c r="P2608">
        <v>-0.22506467273476</v>
      </c>
      <c r="Q2608">
        <v>-1.50956412432251</v>
      </c>
      <c r="R2608">
        <v>1.0594347788529901</v>
      </c>
      <c r="S2608">
        <v>12.419187579756899</v>
      </c>
      <c r="T2608">
        <v>-0.39096717711846002</v>
      </c>
      <c r="U2608">
        <v>-6.2624288261517203</v>
      </c>
      <c r="V2608">
        <v>0.70410722196133302</v>
      </c>
      <c r="W2608">
        <v>0.98642420921484297</v>
      </c>
      <c r="X2608">
        <v>0</v>
      </c>
      <c r="Y2608">
        <v>0</v>
      </c>
    </row>
    <row r="2609" spans="1:25" x14ac:dyDescent="0.2">
      <c r="A2609" t="s">
        <v>9727</v>
      </c>
      <c r="B2609" t="s">
        <v>9728</v>
      </c>
      <c r="C2609" t="s">
        <v>9729</v>
      </c>
      <c r="D2609" t="s">
        <v>1744</v>
      </c>
      <c r="E2609" t="s">
        <v>9728</v>
      </c>
      <c r="F2609" t="s">
        <v>28</v>
      </c>
      <c r="G2609" t="s">
        <v>9728</v>
      </c>
      <c r="H2609" t="str">
        <f>"atl-1"</f>
        <v>atl-1</v>
      </c>
      <c r="I2609" t="s">
        <v>1744</v>
      </c>
      <c r="J2609">
        <v>11.034294074899099</v>
      </c>
      <c r="K2609">
        <v>10.265350915791799</v>
      </c>
      <c r="L2609">
        <v>11.0487894110802</v>
      </c>
      <c r="M2609">
        <v>10.854105674102399</v>
      </c>
      <c r="N2609">
        <v>11.4120039413345</v>
      </c>
      <c r="O2609">
        <v>11.3882382591037</v>
      </c>
      <c r="P2609">
        <v>0.43530449092318302</v>
      </c>
      <c r="Q2609">
        <v>-0.34838889093518999</v>
      </c>
      <c r="R2609">
        <v>1.21899787278156</v>
      </c>
      <c r="S2609">
        <v>11.0871128596162</v>
      </c>
      <c r="T2609">
        <v>1.1846459506726601</v>
      </c>
      <c r="U2609">
        <v>-6.1746084036578797</v>
      </c>
      <c r="V2609">
        <v>0.254716124427458</v>
      </c>
      <c r="W2609">
        <v>0.83701250057606502</v>
      </c>
      <c r="X2609">
        <v>0</v>
      </c>
      <c r="Y2609">
        <v>0</v>
      </c>
    </row>
    <row r="2610" spans="1:25" x14ac:dyDescent="0.2">
      <c r="A2610" t="s">
        <v>9730</v>
      </c>
      <c r="B2610" t="s">
        <v>9731</v>
      </c>
      <c r="C2610" t="s">
        <v>9732</v>
      </c>
      <c r="D2610" t="s">
        <v>9733</v>
      </c>
      <c r="E2610" t="s">
        <v>9731</v>
      </c>
      <c r="F2610" t="s">
        <v>28</v>
      </c>
      <c r="G2610" t="s">
        <v>9731</v>
      </c>
      <c r="H2610" t="str">
        <f>"acl-2"</f>
        <v>acl-2</v>
      </c>
      <c r="I2610" t="s">
        <v>9733</v>
      </c>
      <c r="J2610">
        <v>14.3907287832356</v>
      </c>
      <c r="K2610">
        <v>14.0444003622596</v>
      </c>
      <c r="L2610">
        <v>14.2860046994415</v>
      </c>
      <c r="M2610">
        <v>14.265255935340701</v>
      </c>
      <c r="N2610">
        <v>14.2047103644981</v>
      </c>
      <c r="O2610">
        <v>14.285009508022499</v>
      </c>
      <c r="P2610">
        <v>1.12806543081749E-2</v>
      </c>
      <c r="Q2610">
        <v>-0.43543525733605498</v>
      </c>
      <c r="R2610">
        <v>0.45799656595240501</v>
      </c>
      <c r="S2610">
        <v>14.007537576448099</v>
      </c>
      <c r="T2610">
        <v>5.3075657368020702E-2</v>
      </c>
      <c r="U2610">
        <v>-6.8810178009458696</v>
      </c>
      <c r="V2610">
        <v>0.95825964804029595</v>
      </c>
      <c r="W2610">
        <v>0.99968702248720698</v>
      </c>
      <c r="X2610">
        <v>0</v>
      </c>
      <c r="Y2610">
        <v>0</v>
      </c>
    </row>
    <row r="2611" spans="1:25" x14ac:dyDescent="0.2">
      <c r="A2611" t="s">
        <v>9734</v>
      </c>
      <c r="B2611" t="s">
        <v>9735</v>
      </c>
      <c r="C2611" t="s">
        <v>9736</v>
      </c>
      <c r="D2611" t="s">
        <v>9737</v>
      </c>
      <c r="E2611" t="s">
        <v>9735</v>
      </c>
      <c r="F2611" t="s">
        <v>28</v>
      </c>
      <c r="G2611" t="s">
        <v>9735</v>
      </c>
      <c r="H2611" t="str">
        <f>"anmt-3"</f>
        <v>anmt-3</v>
      </c>
      <c r="I2611" t="s">
        <v>9737</v>
      </c>
      <c r="J2611">
        <v>13.0200914685984</v>
      </c>
      <c r="K2611">
        <v>12.8767291512565</v>
      </c>
      <c r="L2611">
        <v>12.668535355561101</v>
      </c>
      <c r="M2611">
        <v>12.307309138416</v>
      </c>
      <c r="N2611">
        <v>12.356932342209101</v>
      </c>
      <c r="O2611">
        <v>12.5581985005742</v>
      </c>
      <c r="P2611">
        <v>-0.44763866473884101</v>
      </c>
      <c r="Q2611">
        <v>-1.06761373411399</v>
      </c>
      <c r="R2611">
        <v>0.17233640463630401</v>
      </c>
      <c r="S2611">
        <v>12.0691303970489</v>
      </c>
      <c r="T2611">
        <v>-1.56113553790369</v>
      </c>
      <c r="U2611">
        <v>-5.6933177723526303</v>
      </c>
      <c r="V2611">
        <v>0.142690034551785</v>
      </c>
      <c r="W2611">
        <v>0.73396048684442206</v>
      </c>
      <c r="X2611">
        <v>0</v>
      </c>
      <c r="Y2611">
        <v>0</v>
      </c>
    </row>
    <row r="2612" spans="1:25" x14ac:dyDescent="0.2">
      <c r="A2612" t="s">
        <v>9738</v>
      </c>
      <c r="B2612" t="s">
        <v>9739</v>
      </c>
      <c r="C2612" t="s">
        <v>9740</v>
      </c>
      <c r="D2612" t="s">
        <v>9741</v>
      </c>
      <c r="E2612" t="s">
        <v>9739</v>
      </c>
      <c r="F2612" t="s">
        <v>28</v>
      </c>
      <c r="G2612" t="s">
        <v>9739</v>
      </c>
      <c r="H2612" t="str">
        <f>"T07D4.2"</f>
        <v>T07D4.2</v>
      </c>
      <c r="I2612" t="s">
        <v>9741</v>
      </c>
      <c r="J2612">
        <v>15.768711626206199</v>
      </c>
      <c r="K2612">
        <v>15.421562875882101</v>
      </c>
      <c r="L2612">
        <v>15.677943647582801</v>
      </c>
      <c r="M2612">
        <v>15.420443402146701</v>
      </c>
      <c r="N2612">
        <v>16.033952379698</v>
      </c>
      <c r="O2612">
        <v>15.6675641405324</v>
      </c>
      <c r="P2612">
        <v>8.4580590902032099E-2</v>
      </c>
      <c r="Q2612">
        <v>-0.36015481700364099</v>
      </c>
      <c r="R2612">
        <v>0.52931599880770497</v>
      </c>
      <c r="S2612">
        <v>15.3451782762858</v>
      </c>
      <c r="T2612">
        <v>0.40143849943744397</v>
      </c>
      <c r="U2612">
        <v>-6.7984281581116397</v>
      </c>
      <c r="V2612">
        <v>0.69312938084495501</v>
      </c>
      <c r="W2612">
        <v>0.98642420921484297</v>
      </c>
      <c r="X2612">
        <v>0</v>
      </c>
      <c r="Y2612">
        <v>0</v>
      </c>
    </row>
    <row r="2613" spans="1:25" x14ac:dyDescent="0.2">
      <c r="A2613" t="s">
        <v>9742</v>
      </c>
      <c r="B2613" t="s">
        <v>9743</v>
      </c>
      <c r="C2613" t="s">
        <v>9744</v>
      </c>
      <c r="D2613" t="s">
        <v>9745</v>
      </c>
      <c r="E2613" t="s">
        <v>9743</v>
      </c>
      <c r="F2613" t="s">
        <v>28</v>
      </c>
      <c r="G2613" t="s">
        <v>9743</v>
      </c>
      <c r="H2613" t="str">
        <f>"rha-1"</f>
        <v>rha-1</v>
      </c>
      <c r="I2613" t="s">
        <v>9745</v>
      </c>
      <c r="J2613">
        <v>14.797430381781499</v>
      </c>
      <c r="K2613">
        <v>14.7670373636421</v>
      </c>
      <c r="L2613">
        <v>14.788028493855</v>
      </c>
      <c r="M2613">
        <v>14.7251508311754</v>
      </c>
      <c r="N2613">
        <v>14.7491940819727</v>
      </c>
      <c r="O2613">
        <v>14.703868080023099</v>
      </c>
      <c r="P2613">
        <v>-5.80944153691174E-2</v>
      </c>
      <c r="Q2613">
        <v>-0.46379962553699799</v>
      </c>
      <c r="R2613">
        <v>0.347610794798763</v>
      </c>
      <c r="S2613">
        <v>14.855783571806599</v>
      </c>
      <c r="T2613">
        <v>-0.30096522200242398</v>
      </c>
      <c r="U2613">
        <v>-6.83528226845731</v>
      </c>
      <c r="V2613">
        <v>0.76690991383921603</v>
      </c>
      <c r="W2613">
        <v>0.99278624068726296</v>
      </c>
      <c r="X2613">
        <v>0</v>
      </c>
      <c r="Y2613">
        <v>0</v>
      </c>
    </row>
    <row r="2614" spans="1:25" x14ac:dyDescent="0.2">
      <c r="A2614" t="s">
        <v>9746</v>
      </c>
      <c r="B2614" t="s">
        <v>9747</v>
      </c>
      <c r="C2614" t="s">
        <v>9748</v>
      </c>
      <c r="D2614" t="s">
        <v>2791</v>
      </c>
      <c r="E2614" t="s">
        <v>9747</v>
      </c>
      <c r="F2614" t="s">
        <v>28</v>
      </c>
      <c r="G2614" t="s">
        <v>9747</v>
      </c>
      <c r="H2614" t="str">
        <f>"ddx-19"</f>
        <v>ddx-19</v>
      </c>
      <c r="I2614" t="s">
        <v>2791</v>
      </c>
      <c r="J2614">
        <v>13.1107561351572</v>
      </c>
      <c r="K2614">
        <v>12.7129066316354</v>
      </c>
      <c r="L2614">
        <v>13.3307117537674</v>
      </c>
      <c r="M2614">
        <v>13.2724484266795</v>
      </c>
      <c r="N2614">
        <v>13.6747122607253</v>
      </c>
      <c r="O2614">
        <v>13.1729749163581</v>
      </c>
      <c r="P2614">
        <v>0.32192036106765798</v>
      </c>
      <c r="Q2614">
        <v>-0.78431806609491095</v>
      </c>
      <c r="R2614">
        <v>1.42815878823023</v>
      </c>
      <c r="S2614">
        <v>13.9503549169851</v>
      </c>
      <c r="T2614">
        <v>0.61163484442625904</v>
      </c>
      <c r="U2614">
        <v>-6.6890603342192803</v>
      </c>
      <c r="V2614">
        <v>0.54847179318358497</v>
      </c>
      <c r="W2614">
        <v>0.95316664632635595</v>
      </c>
      <c r="X2614">
        <v>0</v>
      </c>
      <c r="Y2614">
        <v>0</v>
      </c>
    </row>
    <row r="2615" spans="1:25" x14ac:dyDescent="0.2">
      <c r="A2615" t="s">
        <v>9749</v>
      </c>
      <c r="B2615" t="s">
        <v>9750</v>
      </c>
      <c r="C2615" t="s">
        <v>9751</v>
      </c>
      <c r="D2615" t="s">
        <v>9752</v>
      </c>
      <c r="E2615" t="s">
        <v>9750</v>
      </c>
      <c r="F2615" t="s">
        <v>28</v>
      </c>
      <c r="G2615" t="s">
        <v>9750</v>
      </c>
      <c r="H2615" t="str">
        <f>"epg-7"</f>
        <v>epg-7</v>
      </c>
      <c r="I2615" t="s">
        <v>9752</v>
      </c>
      <c r="J2615">
        <v>11.878314992858501</v>
      </c>
      <c r="K2615">
        <v>11.614385977042399</v>
      </c>
      <c r="L2615">
        <v>11.9107458578793</v>
      </c>
      <c r="M2615">
        <v>12.186074103879401</v>
      </c>
      <c r="N2615">
        <v>11.90885989863</v>
      </c>
      <c r="O2615">
        <v>10.7957025056647</v>
      </c>
      <c r="P2615">
        <v>-0.170936773202016</v>
      </c>
      <c r="Q2615">
        <v>-1.5295914623470099</v>
      </c>
      <c r="R2615">
        <v>1.18771791594298</v>
      </c>
      <c r="S2615">
        <v>11.7289792200534</v>
      </c>
      <c r="T2615">
        <v>-0.26556841562732902</v>
      </c>
      <c r="U2615">
        <v>-6.8456018667927001</v>
      </c>
      <c r="V2615">
        <v>0.79378494955594503</v>
      </c>
      <c r="W2615">
        <v>0.99278624068726296</v>
      </c>
      <c r="X2615">
        <v>0</v>
      </c>
      <c r="Y2615">
        <v>0</v>
      </c>
    </row>
    <row r="2616" spans="1:25" x14ac:dyDescent="0.2">
      <c r="A2616" t="s">
        <v>9753</v>
      </c>
      <c r="B2616" t="s">
        <v>9754</v>
      </c>
      <c r="C2616" t="s">
        <v>9755</v>
      </c>
      <c r="D2616" t="s">
        <v>9756</v>
      </c>
      <c r="E2616" t="s">
        <v>9754</v>
      </c>
      <c r="F2616" t="s">
        <v>28</v>
      </c>
      <c r="G2616" t="s">
        <v>9754</v>
      </c>
      <c r="H2616" t="str">
        <f>"acdh-10"</f>
        <v>acdh-10</v>
      </c>
      <c r="I2616" t="s">
        <v>9756</v>
      </c>
      <c r="J2616">
        <v>17.819380705017</v>
      </c>
      <c r="K2616">
        <v>17.860025473818901</v>
      </c>
      <c r="L2616">
        <v>17.604049080128501</v>
      </c>
      <c r="M2616">
        <v>17.6538850800574</v>
      </c>
      <c r="N2616">
        <v>17.6205894666302</v>
      </c>
      <c r="O2616">
        <v>17.9912138195523</v>
      </c>
      <c r="P2616">
        <v>-5.9222975748447499E-3</v>
      </c>
      <c r="Q2616">
        <v>-0.332722952414444</v>
      </c>
      <c r="R2616">
        <v>0.320878357264754</v>
      </c>
      <c r="S2616">
        <v>17.222417305552501</v>
      </c>
      <c r="T2616">
        <v>-3.80890219020577E-2</v>
      </c>
      <c r="U2616">
        <v>-6.8817315789739997</v>
      </c>
      <c r="V2616">
        <v>0.97003840526333196</v>
      </c>
      <c r="W2616">
        <v>0.99968702248720698</v>
      </c>
      <c r="X2616">
        <v>0</v>
      </c>
      <c r="Y2616">
        <v>0</v>
      </c>
    </row>
    <row r="2617" spans="1:25" x14ac:dyDescent="0.2">
      <c r="A2617" t="s">
        <v>9757</v>
      </c>
      <c r="B2617" t="s">
        <v>9758</v>
      </c>
      <c r="C2617" t="s">
        <v>9759</v>
      </c>
      <c r="D2617" t="s">
        <v>6170</v>
      </c>
      <c r="E2617" t="s">
        <v>9758</v>
      </c>
      <c r="F2617" t="s">
        <v>28</v>
      </c>
      <c r="G2617" t="s">
        <v>9758</v>
      </c>
      <c r="H2617" t="str">
        <f>"exc-15"</f>
        <v>exc-15</v>
      </c>
      <c r="I2617" t="s">
        <v>6170</v>
      </c>
      <c r="J2617">
        <v>10.441976319323301</v>
      </c>
      <c r="K2617" t="s">
        <v>29</v>
      </c>
      <c r="L2617" t="s">
        <v>29</v>
      </c>
      <c r="M2617">
        <v>12.3351632074005</v>
      </c>
      <c r="N2617">
        <v>12.6739439924505</v>
      </c>
      <c r="O2617">
        <v>12.605966506842201</v>
      </c>
      <c r="P2617">
        <v>2.0963815829077701</v>
      </c>
      <c r="Q2617">
        <v>1.13553452128425</v>
      </c>
      <c r="R2617">
        <v>3.0572286445312802</v>
      </c>
      <c r="S2617">
        <v>12.447943927549201</v>
      </c>
      <c r="T2617">
        <v>4.6277042832657296</v>
      </c>
      <c r="U2617">
        <v>0.43786436453390398</v>
      </c>
      <c r="V2617">
        <v>2.8399774453013901E-4</v>
      </c>
      <c r="W2617">
        <v>1.12517201642417E-2</v>
      </c>
      <c r="X2617">
        <v>1</v>
      </c>
      <c r="Y2617">
        <v>1</v>
      </c>
    </row>
    <row r="2618" spans="1:25" x14ac:dyDescent="0.2">
      <c r="A2618" t="s">
        <v>9760</v>
      </c>
      <c r="B2618" t="s">
        <v>9761</v>
      </c>
      <c r="C2618" t="s">
        <v>9762</v>
      </c>
      <c r="D2618" t="s">
        <v>9763</v>
      </c>
      <c r="E2618" t="s">
        <v>9761</v>
      </c>
      <c r="F2618" t="s">
        <v>28</v>
      </c>
      <c r="G2618" t="s">
        <v>9761</v>
      </c>
      <c r="H2618" t="str">
        <f>"him-17"</f>
        <v>him-17</v>
      </c>
      <c r="I2618" t="s">
        <v>9763</v>
      </c>
      <c r="J2618">
        <v>11.8147115580175</v>
      </c>
      <c r="K2618">
        <v>11.0150229283594</v>
      </c>
      <c r="L2618">
        <v>11.771235612377099</v>
      </c>
      <c r="M2618">
        <v>12.1299527442529</v>
      </c>
      <c r="N2618">
        <v>12.4189136692323</v>
      </c>
      <c r="O2618">
        <v>11.912440968562001</v>
      </c>
      <c r="P2618">
        <v>0.62011242776442699</v>
      </c>
      <c r="Q2618">
        <v>-3.3313128913078399E-3</v>
      </c>
      <c r="R2618">
        <v>1.2435561684201599</v>
      </c>
      <c r="S2618">
        <v>12.891190575138101</v>
      </c>
      <c r="T2618">
        <v>2.1213619363717999</v>
      </c>
      <c r="U2618">
        <v>-4.8090734282889098</v>
      </c>
      <c r="V2618">
        <v>5.1086200569196397E-2</v>
      </c>
      <c r="W2618">
        <v>0.491491856479917</v>
      </c>
      <c r="X2618">
        <v>0</v>
      </c>
      <c r="Y2618">
        <v>0</v>
      </c>
    </row>
    <row r="2619" spans="1:25" x14ac:dyDescent="0.2">
      <c r="A2619" t="s">
        <v>9764</v>
      </c>
      <c r="B2619" t="s">
        <v>9765</v>
      </c>
      <c r="C2619" t="s">
        <v>9766</v>
      </c>
      <c r="D2619" t="s">
        <v>9767</v>
      </c>
      <c r="E2619" t="s">
        <v>9765</v>
      </c>
      <c r="F2619" t="s">
        <v>28</v>
      </c>
      <c r="G2619" t="s">
        <v>9765</v>
      </c>
      <c r="H2619" t="str">
        <f>"cni-1"</f>
        <v>cni-1</v>
      </c>
      <c r="I2619" t="s">
        <v>9767</v>
      </c>
      <c r="J2619">
        <v>14.8735496416909</v>
      </c>
      <c r="K2619">
        <v>15.1261801691579</v>
      </c>
      <c r="L2619">
        <v>15.476545211537299</v>
      </c>
      <c r="M2619">
        <v>14.813868694996399</v>
      </c>
      <c r="N2619">
        <v>15.2441565770915</v>
      </c>
      <c r="O2619">
        <v>15.0233485102248</v>
      </c>
      <c r="P2619">
        <v>-0.13163374669106001</v>
      </c>
      <c r="Q2619">
        <v>-0.68805330140542398</v>
      </c>
      <c r="R2619">
        <v>0.42478580802330401</v>
      </c>
      <c r="S2619">
        <v>15.3872335200882</v>
      </c>
      <c r="T2619">
        <v>-0.49936128810333003</v>
      </c>
      <c r="U2619">
        <v>-6.7527553990308302</v>
      </c>
      <c r="V2619">
        <v>0.62396498560237901</v>
      </c>
      <c r="W2619">
        <v>0.97279262440453396</v>
      </c>
      <c r="X2619">
        <v>0</v>
      </c>
      <c r="Y2619">
        <v>0</v>
      </c>
    </row>
    <row r="2620" spans="1:25" x14ac:dyDescent="0.2">
      <c r="A2620" t="s">
        <v>9768</v>
      </c>
      <c r="B2620" t="s">
        <v>9769</v>
      </c>
      <c r="C2620" t="s">
        <v>9770</v>
      </c>
      <c r="D2620" t="s">
        <v>9771</v>
      </c>
      <c r="E2620" t="s">
        <v>9769</v>
      </c>
      <c r="F2620" t="s">
        <v>28</v>
      </c>
      <c r="G2620" t="s">
        <v>9769</v>
      </c>
      <c r="H2620" t="str">
        <f>"unc-10"</f>
        <v>unc-10</v>
      </c>
      <c r="I2620" t="s">
        <v>9771</v>
      </c>
      <c r="J2620" t="s">
        <v>29</v>
      </c>
      <c r="K2620" t="s">
        <v>29</v>
      </c>
      <c r="L2620" t="s">
        <v>29</v>
      </c>
      <c r="M2620">
        <v>13.4595832316742</v>
      </c>
      <c r="N2620" t="s">
        <v>29</v>
      </c>
      <c r="O2620">
        <v>13.226314858466001</v>
      </c>
      <c r="P2620" t="s">
        <v>29</v>
      </c>
      <c r="Q2620" t="s">
        <v>29</v>
      </c>
      <c r="R2620" t="s">
        <v>29</v>
      </c>
      <c r="S2620">
        <v>12.9900359945476</v>
      </c>
      <c r="T2620" t="s">
        <v>29</v>
      </c>
      <c r="U2620" t="s">
        <v>29</v>
      </c>
      <c r="V2620" t="s">
        <v>29</v>
      </c>
      <c r="W2620" t="s">
        <v>29</v>
      </c>
      <c r="X2620" t="s">
        <v>29</v>
      </c>
      <c r="Y2620" t="s">
        <v>29</v>
      </c>
    </row>
    <row r="2621" spans="1:25" x14ac:dyDescent="0.2">
      <c r="A2621" t="s">
        <v>9772</v>
      </c>
      <c r="B2621" t="s">
        <v>9773</v>
      </c>
      <c r="C2621" t="s">
        <v>9774</v>
      </c>
      <c r="D2621" t="s">
        <v>9775</v>
      </c>
      <c r="E2621" t="s">
        <v>9773</v>
      </c>
      <c r="F2621" t="s">
        <v>28</v>
      </c>
      <c r="G2621" t="s">
        <v>9773</v>
      </c>
      <c r="H2621" t="str">
        <f>"ucr-2.2"</f>
        <v>ucr-2.2</v>
      </c>
      <c r="I2621" t="s">
        <v>9775</v>
      </c>
      <c r="J2621">
        <v>14.203801744935699</v>
      </c>
      <c r="K2621">
        <v>14.43007823738</v>
      </c>
      <c r="L2621">
        <v>14.4857498611703</v>
      </c>
      <c r="M2621">
        <v>13.2329989007674</v>
      </c>
      <c r="N2621">
        <v>13.8390294474955</v>
      </c>
      <c r="O2621">
        <v>13.8749868259863</v>
      </c>
      <c r="P2621">
        <v>-0.72420488974557695</v>
      </c>
      <c r="Q2621">
        <v>-1.33876221318924</v>
      </c>
      <c r="R2621">
        <v>-0.109647566301913</v>
      </c>
      <c r="S2621">
        <v>14.5315934333057</v>
      </c>
      <c r="T2621">
        <v>-2.4768035848395802</v>
      </c>
      <c r="U2621">
        <v>-4.1310418096233796</v>
      </c>
      <c r="V2621">
        <v>2.3473326901946E-2</v>
      </c>
      <c r="W2621">
        <v>0.32280674351105898</v>
      </c>
      <c r="X2621">
        <v>0</v>
      </c>
      <c r="Y2621">
        <v>0</v>
      </c>
    </row>
    <row r="2622" spans="1:25" x14ac:dyDescent="0.2">
      <c r="A2622" t="s">
        <v>9776</v>
      </c>
      <c r="B2622" t="s">
        <v>9777</v>
      </c>
      <c r="C2622" t="s">
        <v>9778</v>
      </c>
      <c r="D2622" t="s">
        <v>3312</v>
      </c>
      <c r="E2622" t="s">
        <v>9777</v>
      </c>
      <c r="F2622" t="s">
        <v>28</v>
      </c>
      <c r="G2622" t="s">
        <v>9777</v>
      </c>
      <c r="H2622" t="str">
        <f>"col-167"</f>
        <v>col-167</v>
      </c>
      <c r="I2622" t="s">
        <v>3312</v>
      </c>
      <c r="J2622">
        <v>13.9770707350267</v>
      </c>
      <c r="K2622">
        <v>13.285830730563299</v>
      </c>
      <c r="L2622">
        <v>13.8450132861756</v>
      </c>
      <c r="M2622">
        <v>14.1729481139814</v>
      </c>
      <c r="N2622">
        <v>14.424727532868999</v>
      </c>
      <c r="O2622">
        <v>14.084557820656499</v>
      </c>
      <c r="P2622">
        <v>0.52477290524708997</v>
      </c>
      <c r="Q2622">
        <v>1.31663917082463E-2</v>
      </c>
      <c r="R2622">
        <v>1.0363794187859301</v>
      </c>
      <c r="S2622">
        <v>13.6263527154433</v>
      </c>
      <c r="T2622">
        <v>2.1651368507225701</v>
      </c>
      <c r="U2622">
        <v>-4.7169841023012697</v>
      </c>
      <c r="V2622">
        <v>4.4986093250344202E-2</v>
      </c>
      <c r="W2622">
        <v>0.46350996389209098</v>
      </c>
      <c r="X2622">
        <v>0</v>
      </c>
      <c r="Y2622">
        <v>0</v>
      </c>
    </row>
    <row r="2623" spans="1:25" x14ac:dyDescent="0.2">
      <c r="A2623" t="s">
        <v>9779</v>
      </c>
      <c r="B2623" t="s">
        <v>9780</v>
      </c>
      <c r="C2623" t="s">
        <v>9781</v>
      </c>
      <c r="D2623" t="s">
        <v>3246</v>
      </c>
      <c r="E2623" t="s">
        <v>9780</v>
      </c>
      <c r="F2623" t="s">
        <v>28</v>
      </c>
      <c r="G2623" t="s">
        <v>9780</v>
      </c>
      <c r="H2623" t="str">
        <f>"dhs-19"</f>
        <v>dhs-19</v>
      </c>
      <c r="I2623" t="s">
        <v>3246</v>
      </c>
      <c r="J2623">
        <v>15.4129520784176</v>
      </c>
      <c r="K2623">
        <v>15.205411470928899</v>
      </c>
      <c r="L2623">
        <v>15.478202128740399</v>
      </c>
      <c r="M2623">
        <v>15.317866587463399</v>
      </c>
      <c r="N2623">
        <v>15.070303240078401</v>
      </c>
      <c r="O2623">
        <v>15.596186885619</v>
      </c>
      <c r="P2623">
        <v>-3.7402988308695498E-2</v>
      </c>
      <c r="Q2623">
        <v>-0.43328683962179099</v>
      </c>
      <c r="R2623">
        <v>0.35848086300440002</v>
      </c>
      <c r="S2623">
        <v>15.1816386147534</v>
      </c>
      <c r="T2623">
        <v>-0.19857795231948699</v>
      </c>
      <c r="U2623">
        <v>-6.8619087008973496</v>
      </c>
      <c r="V2623">
        <v>0.84483150216722402</v>
      </c>
      <c r="W2623">
        <v>0.99370971747667503</v>
      </c>
      <c r="X2623">
        <v>0</v>
      </c>
      <c r="Y2623">
        <v>0</v>
      </c>
    </row>
    <row r="2624" spans="1:25" x14ac:dyDescent="0.2">
      <c r="A2624" t="s">
        <v>9782</v>
      </c>
      <c r="B2624" t="s">
        <v>9783</v>
      </c>
      <c r="C2624" t="s">
        <v>9784</v>
      </c>
      <c r="D2624" t="s">
        <v>9785</v>
      </c>
      <c r="E2624" t="s">
        <v>9783</v>
      </c>
      <c r="F2624" t="s">
        <v>28</v>
      </c>
      <c r="G2624" t="s">
        <v>9783</v>
      </c>
      <c r="H2624" t="str">
        <f>"rbm-22"</f>
        <v>rbm-22</v>
      </c>
      <c r="I2624" t="s">
        <v>9785</v>
      </c>
      <c r="J2624">
        <v>13.2460678809655</v>
      </c>
      <c r="K2624">
        <v>12.826516507658299</v>
      </c>
      <c r="L2624">
        <v>13.317786311600999</v>
      </c>
      <c r="M2624">
        <v>12.5987498453476</v>
      </c>
      <c r="N2624">
        <v>12.925814245921501</v>
      </c>
      <c r="O2624">
        <v>12.597731294368099</v>
      </c>
      <c r="P2624">
        <v>-0.42269177152917697</v>
      </c>
      <c r="Q2624">
        <v>-0.91970123660476</v>
      </c>
      <c r="R2624">
        <v>7.4317693546405994E-2</v>
      </c>
      <c r="S2624">
        <v>13.5652510439905</v>
      </c>
      <c r="T2624">
        <v>-1.8038842381929201</v>
      </c>
      <c r="U2624">
        <v>-5.3269870137661002</v>
      </c>
      <c r="V2624">
        <v>9.0233340449687199E-2</v>
      </c>
      <c r="W2624">
        <v>0.62955253043303805</v>
      </c>
      <c r="X2624">
        <v>0</v>
      </c>
      <c r="Y2624">
        <v>0</v>
      </c>
    </row>
    <row r="2625" spans="1:25" x14ac:dyDescent="0.2">
      <c r="A2625" t="s">
        <v>9786</v>
      </c>
      <c r="B2625" t="s">
        <v>9787</v>
      </c>
      <c r="C2625" t="s">
        <v>9788</v>
      </c>
      <c r="D2625" t="s">
        <v>9789</v>
      </c>
      <c r="E2625" t="s">
        <v>9787</v>
      </c>
      <c r="F2625" t="s">
        <v>28</v>
      </c>
      <c r="G2625" t="s">
        <v>9787</v>
      </c>
      <c r="H2625" t="str">
        <f>"tebp-2"</f>
        <v>tebp-2</v>
      </c>
      <c r="I2625" t="s">
        <v>9789</v>
      </c>
      <c r="J2625" t="s">
        <v>29</v>
      </c>
      <c r="K2625" t="s">
        <v>29</v>
      </c>
      <c r="L2625" t="s">
        <v>29</v>
      </c>
      <c r="M2625" t="s">
        <v>29</v>
      </c>
      <c r="N2625" t="s">
        <v>29</v>
      </c>
      <c r="O2625" t="s">
        <v>29</v>
      </c>
      <c r="P2625" t="s">
        <v>29</v>
      </c>
      <c r="Q2625" t="s">
        <v>29</v>
      </c>
      <c r="R2625" t="s">
        <v>29</v>
      </c>
      <c r="S2625">
        <v>11.0605769979075</v>
      </c>
      <c r="T2625" t="s">
        <v>29</v>
      </c>
      <c r="U2625" t="s">
        <v>29</v>
      </c>
      <c r="V2625" t="s">
        <v>29</v>
      </c>
      <c r="W2625" t="s">
        <v>29</v>
      </c>
      <c r="X2625" t="s">
        <v>29</v>
      </c>
      <c r="Y2625" t="s">
        <v>29</v>
      </c>
    </row>
    <row r="2626" spans="1:25" x14ac:dyDescent="0.2">
      <c r="A2626" t="s">
        <v>9790</v>
      </c>
      <c r="B2626" t="s">
        <v>9791</v>
      </c>
      <c r="C2626" t="s">
        <v>9792</v>
      </c>
      <c r="D2626" t="s">
        <v>3680</v>
      </c>
      <c r="E2626" t="s">
        <v>9791</v>
      </c>
      <c r="F2626" t="s">
        <v>28</v>
      </c>
      <c r="G2626" t="s">
        <v>9791</v>
      </c>
      <c r="H2626" t="str">
        <f>"cec-6"</f>
        <v>cec-6</v>
      </c>
      <c r="I2626" t="s">
        <v>3680</v>
      </c>
      <c r="J2626" t="s">
        <v>29</v>
      </c>
      <c r="K2626" t="s">
        <v>29</v>
      </c>
      <c r="L2626" t="s">
        <v>29</v>
      </c>
      <c r="M2626" t="s">
        <v>29</v>
      </c>
      <c r="N2626" t="s">
        <v>29</v>
      </c>
      <c r="O2626">
        <v>10.0568818093458</v>
      </c>
      <c r="P2626" t="s">
        <v>29</v>
      </c>
      <c r="Q2626" t="s">
        <v>29</v>
      </c>
      <c r="R2626" t="s">
        <v>29</v>
      </c>
      <c r="S2626">
        <v>11.759444597322601</v>
      </c>
      <c r="T2626" t="s">
        <v>29</v>
      </c>
      <c r="U2626" t="s">
        <v>29</v>
      </c>
      <c r="V2626" t="s">
        <v>29</v>
      </c>
      <c r="W2626" t="s">
        <v>29</v>
      </c>
      <c r="X2626" t="s">
        <v>29</v>
      </c>
      <c r="Y2626" t="s">
        <v>29</v>
      </c>
    </row>
    <row r="2627" spans="1:25" x14ac:dyDescent="0.2">
      <c r="A2627" t="s">
        <v>9793</v>
      </c>
      <c r="B2627" t="s">
        <v>9794</v>
      </c>
      <c r="C2627" t="s">
        <v>9795</v>
      </c>
      <c r="D2627" t="s">
        <v>9796</v>
      </c>
      <c r="E2627" t="s">
        <v>9794</v>
      </c>
      <c r="F2627" t="s">
        <v>28</v>
      </c>
      <c r="G2627" t="s">
        <v>9794</v>
      </c>
      <c r="H2627" t="str">
        <f>"ari-2"</f>
        <v>ari-2</v>
      </c>
      <c r="I2627" t="s">
        <v>9796</v>
      </c>
      <c r="J2627" t="s">
        <v>29</v>
      </c>
      <c r="K2627" t="s">
        <v>29</v>
      </c>
      <c r="L2627" t="s">
        <v>29</v>
      </c>
      <c r="M2627" t="s">
        <v>29</v>
      </c>
      <c r="N2627" t="s">
        <v>29</v>
      </c>
      <c r="O2627" t="s">
        <v>29</v>
      </c>
      <c r="P2627" t="s">
        <v>29</v>
      </c>
      <c r="Q2627" t="s">
        <v>29</v>
      </c>
      <c r="R2627" t="s">
        <v>29</v>
      </c>
      <c r="S2627">
        <v>11.1750600371704</v>
      </c>
      <c r="T2627" t="s">
        <v>29</v>
      </c>
      <c r="U2627" t="s">
        <v>29</v>
      </c>
      <c r="V2627" t="s">
        <v>29</v>
      </c>
      <c r="W2627" t="s">
        <v>29</v>
      </c>
      <c r="X2627" t="s">
        <v>29</v>
      </c>
      <c r="Y2627" t="s">
        <v>29</v>
      </c>
    </row>
    <row r="2628" spans="1:25" x14ac:dyDescent="0.2">
      <c r="A2628" t="s">
        <v>9797</v>
      </c>
      <c r="B2628" t="s">
        <v>9798</v>
      </c>
      <c r="C2628" t="s">
        <v>9799</v>
      </c>
      <c r="D2628" t="s">
        <v>7469</v>
      </c>
      <c r="E2628" t="s">
        <v>9798</v>
      </c>
      <c r="F2628" t="s">
        <v>28</v>
      </c>
      <c r="G2628" t="s">
        <v>9798</v>
      </c>
      <c r="H2628" t="str">
        <f>"sqst-1"</f>
        <v>sqst-1</v>
      </c>
      <c r="I2628" t="s">
        <v>7469</v>
      </c>
      <c r="J2628">
        <v>10.1296427632373</v>
      </c>
      <c r="K2628">
        <v>12.1239599765162</v>
      </c>
      <c r="L2628">
        <v>11.3562568510447</v>
      </c>
      <c r="M2628">
        <v>10.114743077590999</v>
      </c>
      <c r="N2628" t="s">
        <v>29</v>
      </c>
      <c r="O2628" t="s">
        <v>29</v>
      </c>
      <c r="P2628">
        <v>-1.0885434526750499</v>
      </c>
      <c r="Q2628">
        <v>-2.6762364079065502</v>
      </c>
      <c r="R2628">
        <v>0.49914950255645602</v>
      </c>
      <c r="S2628">
        <v>10.5962791974759</v>
      </c>
      <c r="T2628">
        <v>-1.58469235870539</v>
      </c>
      <c r="U2628">
        <v>-5.3415236511383197</v>
      </c>
      <c r="V2628">
        <v>0.15219631941862499</v>
      </c>
      <c r="W2628">
        <v>0.74633248813841202</v>
      </c>
      <c r="X2628">
        <v>0</v>
      </c>
      <c r="Y2628">
        <v>0</v>
      </c>
    </row>
    <row r="2629" spans="1:25" x14ac:dyDescent="0.2">
      <c r="A2629" t="s">
        <v>9800</v>
      </c>
      <c r="B2629" t="s">
        <v>9801</v>
      </c>
      <c r="C2629" t="s">
        <v>9802</v>
      </c>
      <c r="D2629" t="s">
        <v>9803</v>
      </c>
      <c r="E2629" t="s">
        <v>9801</v>
      </c>
      <c r="F2629" t="s">
        <v>28</v>
      </c>
      <c r="G2629" t="s">
        <v>9801</v>
      </c>
      <c r="H2629" t="str">
        <f>"ssup-72"</f>
        <v>ssup-72</v>
      </c>
      <c r="I2629" t="s">
        <v>9803</v>
      </c>
      <c r="J2629" t="s">
        <v>29</v>
      </c>
      <c r="K2629">
        <v>11.8293124023005</v>
      </c>
      <c r="L2629">
        <v>12.020058581656</v>
      </c>
      <c r="M2629" t="s">
        <v>29</v>
      </c>
      <c r="N2629">
        <v>12.7133673913903</v>
      </c>
      <c r="O2629">
        <v>12.985767193419701</v>
      </c>
      <c r="P2629">
        <v>0.92488180042680301</v>
      </c>
      <c r="Q2629">
        <v>-5.8287609691567203E-2</v>
      </c>
      <c r="R2629">
        <v>1.9080512105451699</v>
      </c>
      <c r="S2629">
        <v>12.6395701013824</v>
      </c>
      <c r="T2629">
        <v>2.0516481760498699</v>
      </c>
      <c r="U2629">
        <v>-4.76396040677127</v>
      </c>
      <c r="V2629">
        <v>6.2892750635962905E-2</v>
      </c>
      <c r="W2629">
        <v>0.53806445788299395</v>
      </c>
      <c r="X2629">
        <v>0</v>
      </c>
      <c r="Y2629">
        <v>0</v>
      </c>
    </row>
    <row r="2630" spans="1:25" x14ac:dyDescent="0.2">
      <c r="A2630" t="s">
        <v>9804</v>
      </c>
      <c r="B2630" t="s">
        <v>9805</v>
      </c>
      <c r="C2630" t="s">
        <v>9806</v>
      </c>
      <c r="D2630" t="s">
        <v>9807</v>
      </c>
      <c r="E2630" t="s">
        <v>9805</v>
      </c>
      <c r="F2630" t="s">
        <v>28</v>
      </c>
      <c r="G2630" t="s">
        <v>9805</v>
      </c>
      <c r="H2630" t="str">
        <f>"bca-1"</f>
        <v>bca-1</v>
      </c>
      <c r="I2630" t="s">
        <v>9807</v>
      </c>
      <c r="J2630">
        <v>13.9537445093095</v>
      </c>
      <c r="K2630">
        <v>14.1364269638058</v>
      </c>
      <c r="L2630">
        <v>13.9812280500776</v>
      </c>
      <c r="M2630" t="s">
        <v>29</v>
      </c>
      <c r="N2630">
        <v>13.3783661356435</v>
      </c>
      <c r="O2630">
        <v>12.939590810384701</v>
      </c>
      <c r="P2630">
        <v>-0.86482136805019205</v>
      </c>
      <c r="Q2630">
        <v>-1.2962575842799999</v>
      </c>
      <c r="R2630">
        <v>-0.43338515182038301</v>
      </c>
      <c r="S2630">
        <v>13.8610823204013</v>
      </c>
      <c r="T2630">
        <v>-4.2751506086454896</v>
      </c>
      <c r="U2630">
        <v>-0.533175008232606</v>
      </c>
      <c r="V2630">
        <v>6.7416941795090497E-4</v>
      </c>
      <c r="W2630">
        <v>2.3371206488964701E-2</v>
      </c>
      <c r="X2630">
        <v>0</v>
      </c>
      <c r="Y2630">
        <v>0</v>
      </c>
    </row>
    <row r="2631" spans="1:25" x14ac:dyDescent="0.2">
      <c r="A2631" t="s">
        <v>9808</v>
      </c>
      <c r="B2631" t="s">
        <v>9809</v>
      </c>
      <c r="C2631" t="s">
        <v>9810</v>
      </c>
      <c r="D2631" t="s">
        <v>9811</v>
      </c>
      <c r="E2631" t="s">
        <v>9809</v>
      </c>
      <c r="F2631" t="s">
        <v>28</v>
      </c>
      <c r="G2631" t="s">
        <v>9809</v>
      </c>
      <c r="H2631" t="str">
        <f>"mrps-18b"</f>
        <v>mrps-18b</v>
      </c>
      <c r="I2631" t="s">
        <v>9811</v>
      </c>
      <c r="J2631">
        <v>12.037505346827</v>
      </c>
      <c r="K2631">
        <v>12.1401525941284</v>
      </c>
      <c r="L2631">
        <v>12.4709363318399</v>
      </c>
      <c r="M2631">
        <v>11.7874186615448</v>
      </c>
      <c r="N2631">
        <v>11.6931099691488</v>
      </c>
      <c r="O2631" t="s">
        <v>29</v>
      </c>
      <c r="P2631">
        <v>-0.47593377558497402</v>
      </c>
      <c r="Q2631">
        <v>-1.1385935633090301</v>
      </c>
      <c r="R2631">
        <v>0.18672601213908499</v>
      </c>
      <c r="S2631">
        <v>12.764362168473999</v>
      </c>
      <c r="T2631">
        <v>-1.5528987982237901</v>
      </c>
      <c r="U2631">
        <v>-5.5978214524812202</v>
      </c>
      <c r="V2631">
        <v>0.144637591110821</v>
      </c>
      <c r="W2631">
        <v>0.73463339032441799</v>
      </c>
      <c r="X2631">
        <v>0</v>
      </c>
      <c r="Y2631">
        <v>0</v>
      </c>
    </row>
    <row r="2632" spans="1:25" x14ac:dyDescent="0.2">
      <c r="A2632" t="s">
        <v>9812</v>
      </c>
      <c r="B2632" t="s">
        <v>9813</v>
      </c>
      <c r="C2632" t="s">
        <v>14526</v>
      </c>
      <c r="D2632" t="s">
        <v>9814</v>
      </c>
      <c r="E2632" t="s">
        <v>9813</v>
      </c>
      <c r="F2632" t="s">
        <v>28</v>
      </c>
      <c r="G2632" t="s">
        <v>9813</v>
      </c>
      <c r="H2632" t="str">
        <f>"T14B4.1"</f>
        <v>T14B4.1</v>
      </c>
      <c r="I2632" t="s">
        <v>9814</v>
      </c>
      <c r="J2632">
        <v>13.4970802208687</v>
      </c>
      <c r="K2632">
        <v>13.8125389839274</v>
      </c>
      <c r="L2632">
        <v>13.5429280557408</v>
      </c>
      <c r="M2632">
        <v>13.565809466522101</v>
      </c>
      <c r="N2632">
        <v>13.4993459710421</v>
      </c>
      <c r="O2632">
        <v>12.8991757508064</v>
      </c>
      <c r="P2632">
        <v>-0.29607202405542699</v>
      </c>
      <c r="Q2632">
        <v>-0.88267018957132903</v>
      </c>
      <c r="R2632">
        <v>0.29052614146047501</v>
      </c>
      <c r="S2632">
        <v>13.2295413873691</v>
      </c>
      <c r="T2632">
        <v>-1.0653852637201899</v>
      </c>
      <c r="U2632">
        <v>-6.3069013101712397</v>
      </c>
      <c r="V2632">
        <v>0.301691097526611</v>
      </c>
      <c r="W2632">
        <v>0.85855590823088301</v>
      </c>
      <c r="X2632">
        <v>0</v>
      </c>
      <c r="Y2632">
        <v>0</v>
      </c>
    </row>
    <row r="2633" spans="1:25" x14ac:dyDescent="0.2">
      <c r="A2633" t="s">
        <v>9815</v>
      </c>
      <c r="B2633" t="s">
        <v>9816</v>
      </c>
      <c r="C2633" t="s">
        <v>9817</v>
      </c>
      <c r="D2633" t="s">
        <v>9818</v>
      </c>
      <c r="E2633" t="s">
        <v>9816</v>
      </c>
      <c r="F2633" t="s">
        <v>28</v>
      </c>
      <c r="G2633" t="s">
        <v>9816</v>
      </c>
      <c r="H2633" t="str">
        <f>"vha-15"</f>
        <v>vha-15</v>
      </c>
      <c r="I2633" t="s">
        <v>9818</v>
      </c>
      <c r="J2633">
        <v>18.307585953442601</v>
      </c>
      <c r="K2633">
        <v>18.0635182334238</v>
      </c>
      <c r="L2633">
        <v>18.059218067839801</v>
      </c>
      <c r="M2633">
        <v>18.1159925115508</v>
      </c>
      <c r="N2633">
        <v>18.167796978287999</v>
      </c>
      <c r="O2633">
        <v>17.965314674266001</v>
      </c>
      <c r="P2633">
        <v>-6.04060302004399E-2</v>
      </c>
      <c r="Q2633">
        <v>-0.436339645284814</v>
      </c>
      <c r="R2633">
        <v>0.31552758488393401</v>
      </c>
      <c r="S2633">
        <v>17.673387680268199</v>
      </c>
      <c r="T2633">
        <v>-0.33772378471760001</v>
      </c>
      <c r="U2633">
        <v>-6.8230858849415803</v>
      </c>
      <c r="V2633">
        <v>0.73950074436441604</v>
      </c>
      <c r="W2633">
        <v>0.99147544347995398</v>
      </c>
      <c r="X2633">
        <v>0</v>
      </c>
      <c r="Y2633">
        <v>0</v>
      </c>
    </row>
    <row r="2634" spans="1:25" x14ac:dyDescent="0.2">
      <c r="A2634" t="s">
        <v>9819</v>
      </c>
      <c r="B2634" t="s">
        <v>9820</v>
      </c>
      <c r="C2634" t="s">
        <v>9821</v>
      </c>
      <c r="D2634" t="s">
        <v>9822</v>
      </c>
      <c r="E2634" t="s">
        <v>9820</v>
      </c>
      <c r="F2634" t="s">
        <v>28</v>
      </c>
      <c r="G2634" t="s">
        <v>9820</v>
      </c>
      <c r="H2634" t="str">
        <f>"copg-1"</f>
        <v>copg-1</v>
      </c>
      <c r="I2634" t="s">
        <v>9822</v>
      </c>
      <c r="J2634">
        <v>15.447819878622701</v>
      </c>
      <c r="K2634">
        <v>15.434697262086599</v>
      </c>
      <c r="L2634">
        <v>15.4688523899238</v>
      </c>
      <c r="M2634">
        <v>15.581567489354899</v>
      </c>
      <c r="N2634">
        <v>15.6991548995956</v>
      </c>
      <c r="O2634">
        <v>15.334405340650701</v>
      </c>
      <c r="P2634">
        <v>8.7919399656042799E-2</v>
      </c>
      <c r="Q2634">
        <v>-0.27201928448346802</v>
      </c>
      <c r="R2634">
        <v>0.44785808379555397</v>
      </c>
      <c r="S2634">
        <v>15.544508402591701</v>
      </c>
      <c r="T2634">
        <v>0.51339153364277201</v>
      </c>
      <c r="U2634">
        <v>-6.7457889749576498</v>
      </c>
      <c r="V2634">
        <v>0.613957711347487</v>
      </c>
      <c r="W2634">
        <v>0.97238011246645495</v>
      </c>
      <c r="X2634">
        <v>0</v>
      </c>
      <c r="Y2634">
        <v>0</v>
      </c>
    </row>
    <row r="2635" spans="1:25" x14ac:dyDescent="0.2">
      <c r="A2635" t="s">
        <v>9823</v>
      </c>
      <c r="B2635" t="s">
        <v>9824</v>
      </c>
      <c r="C2635" t="s">
        <v>9825</v>
      </c>
      <c r="D2635" t="s">
        <v>368</v>
      </c>
      <c r="E2635" t="s">
        <v>9824</v>
      </c>
      <c r="F2635" t="s">
        <v>28</v>
      </c>
      <c r="G2635" t="s">
        <v>9824</v>
      </c>
      <c r="H2635" t="str">
        <f>"tag-18"</f>
        <v>tag-18</v>
      </c>
      <c r="I2635" t="s">
        <v>368</v>
      </c>
      <c r="J2635">
        <v>17.860990862824199</v>
      </c>
      <c r="K2635">
        <v>17.9510350147069</v>
      </c>
      <c r="L2635">
        <v>18.334469223568401</v>
      </c>
      <c r="M2635">
        <v>17.707737323046501</v>
      </c>
      <c r="N2635">
        <v>17.7025380787804</v>
      </c>
      <c r="O2635">
        <v>17.9561987263269</v>
      </c>
      <c r="P2635">
        <v>-0.26000699098190699</v>
      </c>
      <c r="Q2635">
        <v>-0.70188958942788704</v>
      </c>
      <c r="R2635">
        <v>0.181875607464073</v>
      </c>
      <c r="S2635">
        <v>18.3031648353275</v>
      </c>
      <c r="T2635">
        <v>-1.2367178787939801</v>
      </c>
      <c r="U2635">
        <v>-6.1159987068362502</v>
      </c>
      <c r="V2635">
        <v>0.23217733112783201</v>
      </c>
      <c r="W2635">
        <v>0.815069786912897</v>
      </c>
      <c r="X2635">
        <v>0</v>
      </c>
      <c r="Y2635">
        <v>0</v>
      </c>
    </row>
    <row r="2636" spans="1:25" x14ac:dyDescent="0.2">
      <c r="A2636" t="s">
        <v>9826</v>
      </c>
      <c r="B2636" t="s">
        <v>9827</v>
      </c>
      <c r="C2636" t="s">
        <v>9828</v>
      </c>
      <c r="D2636" t="s">
        <v>9829</v>
      </c>
      <c r="E2636" t="s">
        <v>9827</v>
      </c>
      <c r="F2636" t="s">
        <v>28</v>
      </c>
      <c r="G2636" t="s">
        <v>9827</v>
      </c>
      <c r="H2636" t="str">
        <f>"chd-3"</f>
        <v>chd-3</v>
      </c>
      <c r="I2636" t="s">
        <v>9829</v>
      </c>
      <c r="J2636">
        <v>11.912984977562701</v>
      </c>
      <c r="K2636">
        <v>11.767126197006499</v>
      </c>
      <c r="L2636">
        <v>11.6968898445425</v>
      </c>
      <c r="M2636" t="s">
        <v>29</v>
      </c>
      <c r="N2636">
        <v>11.803619439741301</v>
      </c>
      <c r="O2636">
        <v>12.308867014909</v>
      </c>
      <c r="P2636">
        <v>0.26390955428794</v>
      </c>
      <c r="Q2636">
        <v>-0.38909089842365102</v>
      </c>
      <c r="R2636">
        <v>0.91691000699953096</v>
      </c>
      <c r="S2636">
        <v>11.6346728009453</v>
      </c>
      <c r="T2636">
        <v>0.86195230762589703</v>
      </c>
      <c r="U2636">
        <v>-6.3904473600112697</v>
      </c>
      <c r="V2636">
        <v>0.40237787221926002</v>
      </c>
      <c r="W2636">
        <v>0.91027279600179201</v>
      </c>
      <c r="X2636">
        <v>0</v>
      </c>
      <c r="Y2636">
        <v>0</v>
      </c>
    </row>
    <row r="2637" spans="1:25" x14ac:dyDescent="0.2">
      <c r="A2637" t="s">
        <v>9830</v>
      </c>
      <c r="B2637" t="s">
        <v>9831</v>
      </c>
      <c r="C2637" t="s">
        <v>9832</v>
      </c>
      <c r="D2637" t="s">
        <v>9833</v>
      </c>
      <c r="E2637" t="s">
        <v>9831</v>
      </c>
      <c r="F2637" t="s">
        <v>28</v>
      </c>
      <c r="G2637" t="s">
        <v>9831</v>
      </c>
      <c r="H2637" t="str">
        <f>"ekl-6"</f>
        <v>ekl-6</v>
      </c>
      <c r="I2637" t="s">
        <v>9833</v>
      </c>
      <c r="J2637">
        <v>15.2033462052809</v>
      </c>
      <c r="K2637">
        <v>15.072319960290599</v>
      </c>
      <c r="L2637">
        <v>14.953652419466801</v>
      </c>
      <c r="M2637">
        <v>14.8733326953808</v>
      </c>
      <c r="N2637">
        <v>15.1014451299562</v>
      </c>
      <c r="O2637">
        <v>14.8861697044163</v>
      </c>
      <c r="P2637">
        <v>-0.122790351761665</v>
      </c>
      <c r="Q2637">
        <v>-0.58626244963087903</v>
      </c>
      <c r="R2637">
        <v>0.34068174610754898</v>
      </c>
      <c r="S2637">
        <v>15.007484540066599</v>
      </c>
      <c r="T2637">
        <v>-0.55684351079925398</v>
      </c>
      <c r="U2637">
        <v>-6.7218780572730896</v>
      </c>
      <c r="V2637">
        <v>0.58453203504786</v>
      </c>
      <c r="W2637">
        <v>0.963273565916412</v>
      </c>
      <c r="X2637">
        <v>0</v>
      </c>
      <c r="Y2637">
        <v>0</v>
      </c>
    </row>
    <row r="2638" spans="1:25" x14ac:dyDescent="0.2">
      <c r="A2638" t="s">
        <v>9834</v>
      </c>
      <c r="B2638" t="s">
        <v>9835</v>
      </c>
      <c r="C2638" t="s">
        <v>14527</v>
      </c>
      <c r="D2638" t="s">
        <v>9836</v>
      </c>
      <c r="E2638" t="s">
        <v>9835</v>
      </c>
      <c r="F2638" t="s">
        <v>28</v>
      </c>
      <c r="G2638" t="s">
        <v>9835</v>
      </c>
      <c r="H2638" t="str">
        <f>"T16G12.6"</f>
        <v>T16G12.6</v>
      </c>
      <c r="I2638" t="s">
        <v>9836</v>
      </c>
      <c r="J2638">
        <v>11.6497836574045</v>
      </c>
      <c r="K2638">
        <v>11.629737208256801</v>
      </c>
      <c r="L2638">
        <v>11.3663842243421</v>
      </c>
      <c r="M2638">
        <v>11.9400914516204</v>
      </c>
      <c r="N2638">
        <v>11.1333353536088</v>
      </c>
      <c r="O2638">
        <v>11.595085306151599</v>
      </c>
      <c r="P2638">
        <v>7.5356737924412399E-3</v>
      </c>
      <c r="Q2638">
        <v>-0.450672319503024</v>
      </c>
      <c r="R2638">
        <v>0.46574366708790699</v>
      </c>
      <c r="S2638">
        <v>11.7699139443883</v>
      </c>
      <c r="T2638">
        <v>3.5075270989792899E-2</v>
      </c>
      <c r="U2638">
        <v>-6.8818399333303502</v>
      </c>
      <c r="V2638">
        <v>0.97248545782018703</v>
      </c>
      <c r="W2638">
        <v>0.99968702248720698</v>
      </c>
      <c r="X2638">
        <v>0</v>
      </c>
      <c r="Y2638">
        <v>0</v>
      </c>
    </row>
    <row r="2639" spans="1:25" x14ac:dyDescent="0.2">
      <c r="A2639" t="s">
        <v>9837</v>
      </c>
      <c r="B2639" t="s">
        <v>9838</v>
      </c>
      <c r="C2639" t="s">
        <v>9839</v>
      </c>
      <c r="D2639" t="s">
        <v>9840</v>
      </c>
      <c r="E2639" t="s">
        <v>9838</v>
      </c>
      <c r="F2639" t="s">
        <v>28</v>
      </c>
      <c r="G2639" t="s">
        <v>9838</v>
      </c>
      <c r="H2639" t="str">
        <f>"idpp-1"</f>
        <v>idpp-1</v>
      </c>
      <c r="I2639" t="s">
        <v>9840</v>
      </c>
      <c r="J2639">
        <v>14.2246224099364</v>
      </c>
      <c r="K2639">
        <v>14.757468506452</v>
      </c>
      <c r="L2639">
        <v>15.0162946961459</v>
      </c>
      <c r="M2639">
        <v>14.698770802013099</v>
      </c>
      <c r="N2639">
        <v>14.6869203001268</v>
      </c>
      <c r="O2639">
        <v>14.6446844898561</v>
      </c>
      <c r="P2639">
        <v>1.06633264872347E-2</v>
      </c>
      <c r="Q2639">
        <v>-0.82029364858411302</v>
      </c>
      <c r="R2639">
        <v>0.84162030155858203</v>
      </c>
      <c r="S2639">
        <v>14.768301354776</v>
      </c>
      <c r="T2639">
        <v>2.6971598245379098E-2</v>
      </c>
      <c r="U2639">
        <v>-6.8821094820197297</v>
      </c>
      <c r="V2639">
        <v>0.978780895245839</v>
      </c>
      <c r="W2639">
        <v>0.99968702248720698</v>
      </c>
      <c r="X2639">
        <v>0</v>
      </c>
      <c r="Y2639">
        <v>0</v>
      </c>
    </row>
    <row r="2640" spans="1:25" x14ac:dyDescent="0.2">
      <c r="A2640" t="s">
        <v>9841</v>
      </c>
      <c r="B2640" t="s">
        <v>9842</v>
      </c>
      <c r="C2640" t="s">
        <v>9843</v>
      </c>
      <c r="D2640" t="s">
        <v>581</v>
      </c>
      <c r="E2640" t="s">
        <v>9842</v>
      </c>
      <c r="F2640" t="s">
        <v>28</v>
      </c>
      <c r="G2640" t="s">
        <v>9842</v>
      </c>
      <c r="H2640" t="str">
        <f>"ttc-17"</f>
        <v>ttc-17</v>
      </c>
      <c r="I2640" t="s">
        <v>581</v>
      </c>
      <c r="J2640">
        <v>12.209569890097599</v>
      </c>
      <c r="K2640">
        <v>13.9193719080045</v>
      </c>
      <c r="L2640">
        <v>11.300194490858701</v>
      </c>
      <c r="M2640">
        <v>12.6098344424475</v>
      </c>
      <c r="N2640">
        <v>12.015248365040399</v>
      </c>
      <c r="O2640">
        <v>12.279416150727499</v>
      </c>
      <c r="P2640">
        <v>-0.17487911024844599</v>
      </c>
      <c r="Q2640">
        <v>-1.4267692961863701</v>
      </c>
      <c r="R2640">
        <v>1.07701107568947</v>
      </c>
      <c r="S2640">
        <v>11.782743078493001</v>
      </c>
      <c r="T2640">
        <v>-0.29792936159746902</v>
      </c>
      <c r="U2640">
        <v>-6.8357578280668196</v>
      </c>
      <c r="V2640">
        <v>0.76987245254909498</v>
      </c>
      <c r="W2640">
        <v>0.99278624068726296</v>
      </c>
      <c r="X2640">
        <v>0</v>
      </c>
      <c r="Y2640">
        <v>0</v>
      </c>
    </row>
    <row r="2641" spans="1:25" x14ac:dyDescent="0.2">
      <c r="A2641" t="s">
        <v>9844</v>
      </c>
      <c r="B2641" t="s">
        <v>9845</v>
      </c>
      <c r="C2641" t="s">
        <v>9846</v>
      </c>
      <c r="D2641" t="s">
        <v>9847</v>
      </c>
      <c r="E2641" t="s">
        <v>9845</v>
      </c>
      <c r="F2641" t="s">
        <v>28</v>
      </c>
      <c r="G2641" t="s">
        <v>9845</v>
      </c>
      <c r="H2641" t="str">
        <f>"ima-1"</f>
        <v>ima-1</v>
      </c>
      <c r="I2641" t="s">
        <v>9847</v>
      </c>
      <c r="J2641" t="s">
        <v>29</v>
      </c>
      <c r="K2641" t="s">
        <v>29</v>
      </c>
      <c r="L2641">
        <v>12.139543612355901</v>
      </c>
      <c r="M2641" t="s">
        <v>29</v>
      </c>
      <c r="N2641">
        <v>12.5874406913646</v>
      </c>
      <c r="O2641" t="s">
        <v>29</v>
      </c>
      <c r="P2641">
        <v>0.44789707900875397</v>
      </c>
      <c r="Q2641">
        <v>-0.47196078426399701</v>
      </c>
      <c r="R2641">
        <v>1.3677549422815101</v>
      </c>
      <c r="S2641">
        <v>12.782357635380899</v>
      </c>
      <c r="T2641">
        <v>1.0864866525408901</v>
      </c>
      <c r="U2641">
        <v>-5.7491025617103899</v>
      </c>
      <c r="V2641">
        <v>0.30302156908481997</v>
      </c>
      <c r="W2641">
        <v>0.85855590823088301</v>
      </c>
      <c r="X2641">
        <v>0</v>
      </c>
      <c r="Y2641">
        <v>0</v>
      </c>
    </row>
    <row r="2642" spans="1:25" x14ac:dyDescent="0.2">
      <c r="A2642" t="s">
        <v>9848</v>
      </c>
      <c r="B2642" t="s">
        <v>9849</v>
      </c>
      <c r="C2642" t="s">
        <v>9850</v>
      </c>
      <c r="D2642" t="s">
        <v>9851</v>
      </c>
      <c r="E2642" t="s">
        <v>9849</v>
      </c>
      <c r="F2642" t="s">
        <v>28</v>
      </c>
      <c r="G2642" t="s">
        <v>9849</v>
      </c>
      <c r="H2642" t="str">
        <f>"pgap-1"</f>
        <v>pgap-1</v>
      </c>
      <c r="I2642" t="s">
        <v>9851</v>
      </c>
      <c r="J2642">
        <v>13.895604744244499</v>
      </c>
      <c r="K2642">
        <v>13.8712503710747</v>
      </c>
      <c r="L2642">
        <v>14.093957638566501</v>
      </c>
      <c r="M2642">
        <v>13.9444867206007</v>
      </c>
      <c r="N2642">
        <v>14.0447047641452</v>
      </c>
      <c r="O2642">
        <v>13.895115252902499</v>
      </c>
      <c r="P2642">
        <v>7.8313279209112404E-3</v>
      </c>
      <c r="Q2642">
        <v>-0.36870571573439298</v>
      </c>
      <c r="R2642">
        <v>0.38436837157621601</v>
      </c>
      <c r="S2642">
        <v>14.050826953345499</v>
      </c>
      <c r="T2642">
        <v>4.3901333714983101E-2</v>
      </c>
      <c r="U2642">
        <v>-6.8814794533108801</v>
      </c>
      <c r="V2642">
        <v>0.96549774942757405</v>
      </c>
      <c r="W2642">
        <v>0.99968702248720698</v>
      </c>
      <c r="X2642">
        <v>0</v>
      </c>
      <c r="Y2642">
        <v>0</v>
      </c>
    </row>
    <row r="2643" spans="1:25" x14ac:dyDescent="0.2">
      <c r="A2643" t="s">
        <v>9852</v>
      </c>
      <c r="B2643" t="s">
        <v>9853</v>
      </c>
      <c r="C2643" t="s">
        <v>9854</v>
      </c>
      <c r="D2643" t="s">
        <v>9855</v>
      </c>
      <c r="E2643" t="s">
        <v>9853</v>
      </c>
      <c r="F2643" t="s">
        <v>28</v>
      </c>
      <c r="G2643" t="s">
        <v>9853</v>
      </c>
      <c r="H2643" t="str">
        <f>"best-17"</f>
        <v>best-17</v>
      </c>
      <c r="I2643" t="s">
        <v>9855</v>
      </c>
      <c r="J2643" t="s">
        <v>29</v>
      </c>
      <c r="K2643" t="s">
        <v>29</v>
      </c>
      <c r="L2643" t="s">
        <v>29</v>
      </c>
      <c r="M2643">
        <v>13.0928324814678</v>
      </c>
      <c r="N2643">
        <v>13.432446858796199</v>
      </c>
      <c r="O2643">
        <v>12.806783569705701</v>
      </c>
      <c r="P2643" t="s">
        <v>29</v>
      </c>
      <c r="Q2643" t="s">
        <v>29</v>
      </c>
      <c r="R2643" t="s">
        <v>29</v>
      </c>
      <c r="S2643">
        <v>12.183345067556001</v>
      </c>
      <c r="T2643" t="s">
        <v>29</v>
      </c>
      <c r="U2643" t="s">
        <v>29</v>
      </c>
      <c r="V2643" t="s">
        <v>29</v>
      </c>
      <c r="W2643" t="s">
        <v>29</v>
      </c>
      <c r="X2643" t="s">
        <v>29</v>
      </c>
      <c r="Y2643" t="s">
        <v>29</v>
      </c>
    </row>
    <row r="2644" spans="1:25" x14ac:dyDescent="0.2">
      <c r="A2644" t="s">
        <v>9856</v>
      </c>
      <c r="B2644" t="s">
        <v>9857</v>
      </c>
      <c r="C2644" t="s">
        <v>14528</v>
      </c>
      <c r="D2644" t="s">
        <v>9858</v>
      </c>
      <c r="E2644" t="s">
        <v>9857</v>
      </c>
      <c r="F2644" t="s">
        <v>28</v>
      </c>
      <c r="G2644" t="s">
        <v>9857</v>
      </c>
      <c r="H2644" t="str">
        <f>"T19C4.1"</f>
        <v>T19C4.1</v>
      </c>
      <c r="I2644" t="s">
        <v>9858</v>
      </c>
      <c r="J2644">
        <v>14.1399730832894</v>
      </c>
      <c r="K2644">
        <v>14.683828250162399</v>
      </c>
      <c r="L2644">
        <v>14.664771716772499</v>
      </c>
      <c r="M2644">
        <v>15.1718715621766</v>
      </c>
      <c r="N2644">
        <v>14.9641246485695</v>
      </c>
      <c r="O2644">
        <v>15.2566786163838</v>
      </c>
      <c r="P2644">
        <v>0.63470059230189302</v>
      </c>
      <c r="Q2644">
        <v>7.9206346858032003E-2</v>
      </c>
      <c r="R2644">
        <v>1.1901948377457501</v>
      </c>
      <c r="S2644">
        <v>15.043964616784001</v>
      </c>
      <c r="T2644">
        <v>2.40149591623309</v>
      </c>
      <c r="U2644">
        <v>-4.2746019130676798</v>
      </c>
      <c r="V2644">
        <v>2.74122116654818E-2</v>
      </c>
      <c r="W2644">
        <v>0.36201523977271199</v>
      </c>
      <c r="X2644">
        <v>0</v>
      </c>
      <c r="Y2644">
        <v>0</v>
      </c>
    </row>
    <row r="2645" spans="1:25" x14ac:dyDescent="0.2">
      <c r="A2645" t="s">
        <v>9859</v>
      </c>
      <c r="B2645" t="s">
        <v>9860</v>
      </c>
      <c r="C2645" t="s">
        <v>9861</v>
      </c>
      <c r="D2645" t="s">
        <v>9862</v>
      </c>
      <c r="E2645" t="s">
        <v>9860</v>
      </c>
      <c r="F2645" t="s">
        <v>28</v>
      </c>
      <c r="G2645" t="s">
        <v>9860</v>
      </c>
      <c r="H2645" t="str">
        <f>"apa-2"</f>
        <v>apa-2</v>
      </c>
      <c r="I2645" t="s">
        <v>9862</v>
      </c>
      <c r="J2645">
        <v>15.039512048275499</v>
      </c>
      <c r="K2645">
        <v>14.9113899211193</v>
      </c>
      <c r="L2645">
        <v>14.6214183831301</v>
      </c>
      <c r="M2645">
        <v>14.9362599000139</v>
      </c>
      <c r="N2645">
        <v>14.649455996530399</v>
      </c>
      <c r="O2645">
        <v>14.728255096057</v>
      </c>
      <c r="P2645">
        <v>-8.6116453307861093E-2</v>
      </c>
      <c r="Q2645">
        <v>-0.439321602761924</v>
      </c>
      <c r="R2645">
        <v>0.26708869614620201</v>
      </c>
      <c r="S2645">
        <v>14.638623235421001</v>
      </c>
      <c r="T2645">
        <v>-0.51245014658702603</v>
      </c>
      <c r="U2645">
        <v>-6.7462861726413799</v>
      </c>
      <c r="V2645">
        <v>0.614603011955142</v>
      </c>
      <c r="W2645">
        <v>0.97238011246645495</v>
      </c>
      <c r="X2645">
        <v>0</v>
      </c>
      <c r="Y2645">
        <v>0</v>
      </c>
    </row>
    <row r="2646" spans="1:25" x14ac:dyDescent="0.2">
      <c r="A2646" t="s">
        <v>9863</v>
      </c>
      <c r="B2646" t="s">
        <v>9864</v>
      </c>
      <c r="C2646" t="s">
        <v>9865</v>
      </c>
      <c r="D2646" t="s">
        <v>9866</v>
      </c>
      <c r="E2646" t="s">
        <v>9864</v>
      </c>
      <c r="F2646" t="s">
        <v>28</v>
      </c>
      <c r="G2646" t="s">
        <v>9864</v>
      </c>
      <c r="H2646" t="str">
        <f>"adr-2"</f>
        <v>adr-2</v>
      </c>
      <c r="I2646" t="s">
        <v>9866</v>
      </c>
      <c r="J2646">
        <v>13.1038052699184</v>
      </c>
      <c r="K2646">
        <v>12.9058430201957</v>
      </c>
      <c r="L2646">
        <v>12.9403877130569</v>
      </c>
      <c r="M2646">
        <v>12.642516294885301</v>
      </c>
      <c r="N2646">
        <v>12.8946286335685</v>
      </c>
      <c r="O2646">
        <v>13.025086115262299</v>
      </c>
      <c r="P2646">
        <v>-0.129268319818308</v>
      </c>
      <c r="Q2646">
        <v>-0.53012034509710104</v>
      </c>
      <c r="R2646">
        <v>0.27158370546048499</v>
      </c>
      <c r="S2646">
        <v>13.0088595739127</v>
      </c>
      <c r="T2646">
        <v>-0.68070358052191704</v>
      </c>
      <c r="U2646">
        <v>-6.6429321883647896</v>
      </c>
      <c r="V2646">
        <v>0.50528183049219599</v>
      </c>
      <c r="W2646">
        <v>0.94062983959761604</v>
      </c>
      <c r="X2646">
        <v>0</v>
      </c>
      <c r="Y2646">
        <v>0</v>
      </c>
    </row>
    <row r="2647" spans="1:25" x14ac:dyDescent="0.2">
      <c r="A2647" t="s">
        <v>9867</v>
      </c>
      <c r="B2647" t="s">
        <v>9868</v>
      </c>
      <c r="C2647" t="s">
        <v>9869</v>
      </c>
      <c r="D2647" t="s">
        <v>4188</v>
      </c>
      <c r="E2647" t="s">
        <v>9868</v>
      </c>
      <c r="F2647" t="s">
        <v>28</v>
      </c>
      <c r="G2647" t="s">
        <v>9868</v>
      </c>
      <c r="H2647" t="str">
        <f>"pars-1"</f>
        <v>pars-1</v>
      </c>
      <c r="I2647" t="s">
        <v>4188</v>
      </c>
      <c r="J2647">
        <v>17.247554212025101</v>
      </c>
      <c r="K2647">
        <v>17.051335871010298</v>
      </c>
      <c r="L2647">
        <v>17.1156801311066</v>
      </c>
      <c r="M2647">
        <v>17.302556708861498</v>
      </c>
      <c r="N2647">
        <v>17.253162027844098</v>
      </c>
      <c r="O2647">
        <v>17.131599721418301</v>
      </c>
      <c r="P2647">
        <v>9.0916081327289802E-2</v>
      </c>
      <c r="Q2647">
        <v>-0.26908073747891897</v>
      </c>
      <c r="R2647">
        <v>0.450912900133498</v>
      </c>
      <c r="S2647">
        <v>16.708720868533401</v>
      </c>
      <c r="T2647">
        <v>0.53080445421731903</v>
      </c>
      <c r="U2647">
        <v>-6.7364327019016397</v>
      </c>
      <c r="V2647">
        <v>0.60208046288712602</v>
      </c>
      <c r="W2647">
        <v>0.96856739034780204</v>
      </c>
      <c r="X2647">
        <v>0</v>
      </c>
      <c r="Y2647">
        <v>0</v>
      </c>
    </row>
    <row r="2648" spans="1:25" x14ac:dyDescent="0.2">
      <c r="A2648" t="s">
        <v>9870</v>
      </c>
      <c r="B2648" t="s">
        <v>9871</v>
      </c>
      <c r="C2648" t="s">
        <v>9872</v>
      </c>
      <c r="D2648" t="s">
        <v>9873</v>
      </c>
      <c r="E2648" t="s">
        <v>9871</v>
      </c>
      <c r="F2648" t="s">
        <v>28</v>
      </c>
      <c r="G2648" t="s">
        <v>9871</v>
      </c>
      <c r="H2648" t="str">
        <f>"mrpl-50"</f>
        <v>mrpl-50</v>
      </c>
      <c r="I2648" t="s">
        <v>9873</v>
      </c>
      <c r="J2648" t="s">
        <v>29</v>
      </c>
      <c r="K2648" t="s">
        <v>29</v>
      </c>
      <c r="L2648" t="s">
        <v>29</v>
      </c>
      <c r="M2648" t="s">
        <v>29</v>
      </c>
      <c r="N2648" t="s">
        <v>29</v>
      </c>
      <c r="O2648" t="s">
        <v>29</v>
      </c>
      <c r="P2648" t="s">
        <v>29</v>
      </c>
      <c r="Q2648" t="s">
        <v>29</v>
      </c>
      <c r="R2648" t="s">
        <v>29</v>
      </c>
      <c r="S2648">
        <v>12.2366205670015</v>
      </c>
      <c r="T2648" t="s">
        <v>29</v>
      </c>
      <c r="U2648" t="s">
        <v>29</v>
      </c>
      <c r="V2648" t="s">
        <v>29</v>
      </c>
      <c r="W2648" t="s">
        <v>29</v>
      </c>
      <c r="X2648" t="s">
        <v>29</v>
      </c>
      <c r="Y2648" t="s">
        <v>29</v>
      </c>
    </row>
    <row r="2649" spans="1:25" x14ac:dyDescent="0.2">
      <c r="A2649" t="s">
        <v>9874</v>
      </c>
      <c r="B2649" t="s">
        <v>9875</v>
      </c>
      <c r="C2649" t="s">
        <v>14529</v>
      </c>
      <c r="D2649" t="s">
        <v>7619</v>
      </c>
      <c r="E2649" t="s">
        <v>9875</v>
      </c>
      <c r="F2649" t="s">
        <v>28</v>
      </c>
      <c r="G2649" t="s">
        <v>9875</v>
      </c>
      <c r="H2649" t="str">
        <f>"T21B10.3"</f>
        <v>T21B10.3</v>
      </c>
      <c r="I2649" t="s">
        <v>7619</v>
      </c>
      <c r="J2649">
        <v>14.3908880849366</v>
      </c>
      <c r="K2649">
        <v>14.9795816924776</v>
      </c>
      <c r="L2649">
        <v>15.1636244943577</v>
      </c>
      <c r="M2649">
        <v>14.8590338932247</v>
      </c>
      <c r="N2649">
        <v>15.0791247771882</v>
      </c>
      <c r="O2649">
        <v>14.7777125025254</v>
      </c>
      <c r="P2649">
        <v>6.0592300388794498E-2</v>
      </c>
      <c r="Q2649">
        <v>-0.41686512831851802</v>
      </c>
      <c r="R2649">
        <v>0.53804972909610704</v>
      </c>
      <c r="S2649">
        <v>15.0918238357851</v>
      </c>
      <c r="T2649">
        <v>0.26673210914344198</v>
      </c>
      <c r="U2649">
        <v>-6.8453903737493498</v>
      </c>
      <c r="V2649">
        <v>0.79272480973061199</v>
      </c>
      <c r="W2649">
        <v>0.99278624068726296</v>
      </c>
      <c r="X2649">
        <v>0</v>
      </c>
      <c r="Y2649">
        <v>0</v>
      </c>
    </row>
    <row r="2650" spans="1:25" x14ac:dyDescent="0.2">
      <c r="A2650" t="s">
        <v>9876</v>
      </c>
      <c r="B2650" t="s">
        <v>9877</v>
      </c>
      <c r="C2650" t="s">
        <v>9878</v>
      </c>
      <c r="D2650" t="s">
        <v>9879</v>
      </c>
      <c r="E2650" t="s">
        <v>9877</v>
      </c>
      <c r="F2650" t="s">
        <v>28</v>
      </c>
      <c r="G2650" t="s">
        <v>9877</v>
      </c>
      <c r="H2650" t="str">
        <f>"pho-7"</f>
        <v>pho-7</v>
      </c>
      <c r="I2650" t="s">
        <v>9879</v>
      </c>
      <c r="J2650">
        <v>10.816245397876401</v>
      </c>
      <c r="K2650" t="s">
        <v>29</v>
      </c>
      <c r="L2650">
        <v>11.037533410927701</v>
      </c>
      <c r="M2650">
        <v>11.311604358045001</v>
      </c>
      <c r="N2650">
        <v>11.358801218801499</v>
      </c>
      <c r="O2650">
        <v>11.7340656496942</v>
      </c>
      <c r="P2650">
        <v>0.54126767111149798</v>
      </c>
      <c r="Q2650">
        <v>-0.12486564641184</v>
      </c>
      <c r="R2650">
        <v>1.20740098863484</v>
      </c>
      <c r="S2650">
        <v>11.584488621282601</v>
      </c>
      <c r="T2650">
        <v>1.74398532056688</v>
      </c>
      <c r="U2650">
        <v>-5.3189618250075998</v>
      </c>
      <c r="V2650">
        <v>0.10323185282136001</v>
      </c>
      <c r="W2650">
        <v>0.66068385805670304</v>
      </c>
      <c r="X2650">
        <v>0</v>
      </c>
      <c r="Y2650">
        <v>0</v>
      </c>
    </row>
    <row r="2651" spans="1:25" x14ac:dyDescent="0.2">
      <c r="A2651" t="s">
        <v>9880</v>
      </c>
      <c r="B2651" t="s">
        <v>9881</v>
      </c>
      <c r="C2651" t="s">
        <v>14530</v>
      </c>
      <c r="D2651" t="s">
        <v>9006</v>
      </c>
      <c r="E2651" t="s">
        <v>9881</v>
      </c>
      <c r="F2651" t="s">
        <v>28</v>
      </c>
      <c r="G2651" t="s">
        <v>9881</v>
      </c>
      <c r="H2651" t="str">
        <f>"T21B6.3"</f>
        <v>T21B6.3</v>
      </c>
      <c r="I2651" t="s">
        <v>9006</v>
      </c>
      <c r="J2651">
        <v>13.681253706867899</v>
      </c>
      <c r="K2651">
        <v>14.2139875038359</v>
      </c>
      <c r="L2651">
        <v>15.052110458162399</v>
      </c>
      <c r="M2651">
        <v>13.217202134592799</v>
      </c>
      <c r="N2651">
        <v>13.2767187881522</v>
      </c>
      <c r="O2651">
        <v>13.9645139056279</v>
      </c>
      <c r="P2651">
        <v>-0.82963894683108397</v>
      </c>
      <c r="Q2651">
        <v>-2.10549981536608</v>
      </c>
      <c r="R2651">
        <v>0.44622192170391101</v>
      </c>
      <c r="S2651">
        <v>13.945022434645599</v>
      </c>
      <c r="T2651">
        <v>-1.3667161524022799</v>
      </c>
      <c r="U2651">
        <v>-5.9546481004258096</v>
      </c>
      <c r="V2651">
        <v>0.188641145943338</v>
      </c>
      <c r="W2651">
        <v>0.78295732499061499</v>
      </c>
      <c r="X2651">
        <v>0</v>
      </c>
      <c r="Y2651">
        <v>0</v>
      </c>
    </row>
    <row r="2652" spans="1:25" x14ac:dyDescent="0.2">
      <c r="A2652" t="s">
        <v>9882</v>
      </c>
      <c r="B2652" t="s">
        <v>9883</v>
      </c>
      <c r="C2652" t="s">
        <v>9884</v>
      </c>
      <c r="D2652" t="s">
        <v>9885</v>
      </c>
      <c r="E2652" t="s">
        <v>9883</v>
      </c>
      <c r="F2652" t="s">
        <v>28</v>
      </c>
      <c r="G2652" t="s">
        <v>9883</v>
      </c>
      <c r="H2652" t="str">
        <f>"hpd-1"</f>
        <v>hpd-1</v>
      </c>
      <c r="I2652" t="s">
        <v>9885</v>
      </c>
      <c r="J2652">
        <v>12.0996727023833</v>
      </c>
      <c r="K2652">
        <v>12.4119483496578</v>
      </c>
      <c r="L2652">
        <v>11.8867566762215</v>
      </c>
      <c r="M2652">
        <v>13.886977311853601</v>
      </c>
      <c r="N2652">
        <v>14.107286289677999</v>
      </c>
      <c r="O2652">
        <v>13.9629570479297</v>
      </c>
      <c r="P2652">
        <v>1.8529476403995699</v>
      </c>
      <c r="Q2652">
        <v>1.31687482994803</v>
      </c>
      <c r="R2652">
        <v>2.3890204508511101</v>
      </c>
      <c r="S2652">
        <v>13.542005789779401</v>
      </c>
      <c r="T2652">
        <v>7.2649374620641902</v>
      </c>
      <c r="U2652">
        <v>5.8112733859907104</v>
      </c>
      <c r="V2652" s="2">
        <v>9.7344166923034694E-7</v>
      </c>
      <c r="W2652" s="2">
        <v>9.8170117430260506E-5</v>
      </c>
      <c r="X2652">
        <v>1</v>
      </c>
      <c r="Y2652">
        <v>1</v>
      </c>
    </row>
    <row r="2653" spans="1:25" x14ac:dyDescent="0.2">
      <c r="A2653" t="s">
        <v>9886</v>
      </c>
      <c r="B2653" t="s">
        <v>9887</v>
      </c>
      <c r="C2653" t="s">
        <v>9888</v>
      </c>
      <c r="D2653" t="s">
        <v>9889</v>
      </c>
      <c r="E2653" t="s">
        <v>9887</v>
      </c>
      <c r="F2653" t="s">
        <v>28</v>
      </c>
      <c r="G2653" t="s">
        <v>9887</v>
      </c>
      <c r="H2653" t="str">
        <f>"scpl-4"</f>
        <v>scpl-4</v>
      </c>
      <c r="I2653" t="s">
        <v>9889</v>
      </c>
      <c r="J2653">
        <v>15.1669394866191</v>
      </c>
      <c r="K2653">
        <v>15.0473219815712</v>
      </c>
      <c r="L2653">
        <v>15.1057469535028</v>
      </c>
      <c r="M2653">
        <v>15.2032611652933</v>
      </c>
      <c r="N2653">
        <v>15.027961203651</v>
      </c>
      <c r="O2653">
        <v>14.9437315053229</v>
      </c>
      <c r="P2653">
        <v>-4.8351515808626302E-2</v>
      </c>
      <c r="Q2653">
        <v>-0.451808864167904</v>
      </c>
      <c r="R2653">
        <v>0.35510583255065198</v>
      </c>
      <c r="S2653">
        <v>14.8608624133978</v>
      </c>
      <c r="T2653">
        <v>-0.251886549336855</v>
      </c>
      <c r="U2653">
        <v>-6.8493979563032799</v>
      </c>
      <c r="V2653">
        <v>0.80399887039217099</v>
      </c>
      <c r="W2653">
        <v>0.99278624068726296</v>
      </c>
      <c r="X2653">
        <v>0</v>
      </c>
      <c r="Y2653">
        <v>0</v>
      </c>
    </row>
    <row r="2654" spans="1:25" x14ac:dyDescent="0.2">
      <c r="A2654" t="s">
        <v>9890</v>
      </c>
      <c r="B2654" t="s">
        <v>9891</v>
      </c>
      <c r="C2654" t="s">
        <v>14531</v>
      </c>
      <c r="D2654" t="s">
        <v>9892</v>
      </c>
      <c r="E2654" t="s">
        <v>9891</v>
      </c>
      <c r="F2654" t="s">
        <v>28</v>
      </c>
      <c r="G2654" t="s">
        <v>9891</v>
      </c>
      <c r="H2654" t="str">
        <f>"T21C9.6"</f>
        <v>T21C9.6</v>
      </c>
      <c r="I2654" t="s">
        <v>9892</v>
      </c>
      <c r="J2654">
        <v>13.1650017618239</v>
      </c>
      <c r="K2654">
        <v>13.651506012766299</v>
      </c>
      <c r="L2654">
        <v>13.5657096874465</v>
      </c>
      <c r="M2654">
        <v>13.312533089199601</v>
      </c>
      <c r="N2654">
        <v>13.0585645922207</v>
      </c>
      <c r="O2654">
        <v>13.053207273342901</v>
      </c>
      <c r="P2654">
        <v>-0.31930416909116299</v>
      </c>
      <c r="Q2654">
        <v>-0.75135478557678903</v>
      </c>
      <c r="R2654">
        <v>0.112746447394462</v>
      </c>
      <c r="S2654">
        <v>13.444710971419401</v>
      </c>
      <c r="T2654">
        <v>-1.55998338589649</v>
      </c>
      <c r="U2654">
        <v>-5.6917413594700204</v>
      </c>
      <c r="V2654">
        <v>0.137298507037345</v>
      </c>
      <c r="W2654">
        <v>0.72716651652323006</v>
      </c>
      <c r="X2654">
        <v>0</v>
      </c>
      <c r="Y2654">
        <v>0</v>
      </c>
    </row>
    <row r="2655" spans="1:25" x14ac:dyDescent="0.2">
      <c r="A2655" t="s">
        <v>9893</v>
      </c>
      <c r="B2655" t="s">
        <v>9894</v>
      </c>
      <c r="C2655" t="s">
        <v>14532</v>
      </c>
      <c r="D2655" t="s">
        <v>134</v>
      </c>
      <c r="E2655" t="s">
        <v>9894</v>
      </c>
      <c r="F2655" t="s">
        <v>28</v>
      </c>
      <c r="G2655" t="s">
        <v>9894</v>
      </c>
      <c r="H2655" t="str">
        <f>"T22C1.1"</f>
        <v>T22C1.1</v>
      </c>
      <c r="I2655" t="s">
        <v>134</v>
      </c>
      <c r="J2655" t="s">
        <v>29</v>
      </c>
      <c r="K2655" t="s">
        <v>29</v>
      </c>
      <c r="L2655" t="s">
        <v>29</v>
      </c>
      <c r="M2655">
        <v>11.913342928142299</v>
      </c>
      <c r="N2655" t="s">
        <v>29</v>
      </c>
      <c r="O2655" t="s">
        <v>29</v>
      </c>
      <c r="P2655" t="s">
        <v>29</v>
      </c>
      <c r="Q2655" t="s">
        <v>29</v>
      </c>
      <c r="R2655" t="s">
        <v>29</v>
      </c>
      <c r="S2655">
        <v>12.308691882552401</v>
      </c>
      <c r="T2655" t="s">
        <v>29</v>
      </c>
      <c r="U2655" t="s">
        <v>29</v>
      </c>
      <c r="V2655" t="s">
        <v>29</v>
      </c>
      <c r="W2655" t="s">
        <v>29</v>
      </c>
      <c r="X2655" t="s">
        <v>29</v>
      </c>
      <c r="Y2655" t="s">
        <v>29</v>
      </c>
    </row>
    <row r="2656" spans="1:25" x14ac:dyDescent="0.2">
      <c r="A2656" t="s">
        <v>9895</v>
      </c>
      <c r="B2656" t="s">
        <v>9896</v>
      </c>
      <c r="C2656" t="s">
        <v>9897</v>
      </c>
      <c r="D2656" t="s">
        <v>9898</v>
      </c>
      <c r="E2656" t="s">
        <v>9896</v>
      </c>
      <c r="F2656" t="s">
        <v>28</v>
      </c>
      <c r="G2656" t="s">
        <v>9896</v>
      </c>
      <c r="H2656" t="str">
        <f>"pigu-1"</f>
        <v>pigu-1</v>
      </c>
      <c r="I2656" t="s">
        <v>9898</v>
      </c>
      <c r="J2656">
        <v>13.100036419481899</v>
      </c>
      <c r="K2656">
        <v>13.0765675713028</v>
      </c>
      <c r="L2656">
        <v>13.264773257170599</v>
      </c>
      <c r="M2656">
        <v>12.5356294029162</v>
      </c>
      <c r="N2656">
        <v>12.8656045199332</v>
      </c>
      <c r="O2656">
        <v>12.8291248377624</v>
      </c>
      <c r="P2656">
        <v>-0.40367282911450902</v>
      </c>
      <c r="Q2656">
        <v>-1.3172455645810299</v>
      </c>
      <c r="R2656">
        <v>0.50989990635201199</v>
      </c>
      <c r="S2656">
        <v>13.210387949487799</v>
      </c>
      <c r="T2656">
        <v>-0.93720785121652095</v>
      </c>
      <c r="U2656">
        <v>-6.4329329427883204</v>
      </c>
      <c r="V2656">
        <v>0.36267458286524101</v>
      </c>
      <c r="W2656">
        <v>0.888292466632014</v>
      </c>
      <c r="X2656">
        <v>0</v>
      </c>
      <c r="Y2656">
        <v>0</v>
      </c>
    </row>
    <row r="2657" spans="1:25" x14ac:dyDescent="0.2">
      <c r="A2657" t="s">
        <v>9899</v>
      </c>
      <c r="B2657" t="s">
        <v>9900</v>
      </c>
      <c r="C2657" t="s">
        <v>14533</v>
      </c>
      <c r="D2657" t="s">
        <v>3883</v>
      </c>
      <c r="E2657" t="s">
        <v>9900</v>
      </c>
      <c r="F2657" t="s">
        <v>28</v>
      </c>
      <c r="G2657" t="s">
        <v>9900</v>
      </c>
      <c r="H2657" t="str">
        <f>"T23F11.2"</f>
        <v>T23F11.2</v>
      </c>
      <c r="I2657" t="s">
        <v>3883</v>
      </c>
      <c r="J2657">
        <v>15.527099107408</v>
      </c>
      <c r="K2657">
        <v>15.0121071193395</v>
      </c>
      <c r="L2657">
        <v>16.487843568711099</v>
      </c>
      <c r="M2657">
        <v>15.497352211206699</v>
      </c>
      <c r="N2657">
        <v>15.888807775538099</v>
      </c>
      <c r="O2657">
        <v>16.0615205650825</v>
      </c>
      <c r="P2657">
        <v>0.14021025212292099</v>
      </c>
      <c r="Q2657">
        <v>-0.94486689623174203</v>
      </c>
      <c r="R2657">
        <v>1.22528740047758</v>
      </c>
      <c r="S2657">
        <v>14.603961182175899</v>
      </c>
      <c r="T2657">
        <v>0.27158868108329298</v>
      </c>
      <c r="U2657">
        <v>-6.8440299231355599</v>
      </c>
      <c r="V2657">
        <v>0.78904667127800299</v>
      </c>
      <c r="W2657">
        <v>0.99278624068726296</v>
      </c>
      <c r="X2657">
        <v>0</v>
      </c>
      <c r="Y2657">
        <v>0</v>
      </c>
    </row>
    <row r="2658" spans="1:25" x14ac:dyDescent="0.2">
      <c r="A2658" t="s">
        <v>9901</v>
      </c>
      <c r="B2658" t="s">
        <v>9902</v>
      </c>
      <c r="C2658" t="s">
        <v>9903</v>
      </c>
      <c r="D2658" t="s">
        <v>9904</v>
      </c>
      <c r="E2658" t="s">
        <v>9902</v>
      </c>
      <c r="F2658" t="s">
        <v>28</v>
      </c>
      <c r="G2658" t="s">
        <v>9902</v>
      </c>
      <c r="H2658" t="str">
        <f>"dpl-1"</f>
        <v>dpl-1</v>
      </c>
      <c r="I2658" t="s">
        <v>9904</v>
      </c>
      <c r="J2658">
        <v>12.8304214611719</v>
      </c>
      <c r="K2658">
        <v>12.962430448930499</v>
      </c>
      <c r="L2658">
        <v>12.991711939946899</v>
      </c>
      <c r="M2658">
        <v>12.706520105034899</v>
      </c>
      <c r="N2658">
        <v>12.8703190827814</v>
      </c>
      <c r="O2658">
        <v>12.845033980196099</v>
      </c>
      <c r="P2658">
        <v>-0.120896894012303</v>
      </c>
      <c r="Q2658">
        <v>-0.89538007417293197</v>
      </c>
      <c r="R2658">
        <v>0.65358628614832703</v>
      </c>
      <c r="S2658">
        <v>13.3213636736933</v>
      </c>
      <c r="T2658">
        <v>-0.33109504613447799</v>
      </c>
      <c r="U2658">
        <v>-6.8250298134117298</v>
      </c>
      <c r="V2658">
        <v>0.74489744016347303</v>
      </c>
      <c r="W2658">
        <v>0.99184638945407499</v>
      </c>
      <c r="X2658">
        <v>0</v>
      </c>
      <c r="Y2658">
        <v>0</v>
      </c>
    </row>
    <row r="2659" spans="1:25" x14ac:dyDescent="0.2">
      <c r="A2659" t="s">
        <v>9905</v>
      </c>
      <c r="B2659" t="s">
        <v>9906</v>
      </c>
      <c r="C2659" t="s">
        <v>14534</v>
      </c>
      <c r="D2659" t="s">
        <v>9907</v>
      </c>
      <c r="E2659" t="s">
        <v>9906</v>
      </c>
      <c r="F2659" t="s">
        <v>28</v>
      </c>
      <c r="G2659" t="s">
        <v>9906</v>
      </c>
      <c r="H2659" t="str">
        <f>"T23G7.3"</f>
        <v>T23G7.3</v>
      </c>
      <c r="I2659" t="s">
        <v>9907</v>
      </c>
      <c r="J2659">
        <v>10.0139734553198</v>
      </c>
      <c r="K2659" t="s">
        <v>29</v>
      </c>
      <c r="L2659">
        <v>10.858760573873299</v>
      </c>
      <c r="M2659">
        <v>11.133164305343</v>
      </c>
      <c r="N2659">
        <v>11.497362841776299</v>
      </c>
      <c r="O2659">
        <v>10.077086128138101</v>
      </c>
      <c r="P2659">
        <v>0.466170743822579</v>
      </c>
      <c r="Q2659">
        <v>-0.61020170168175003</v>
      </c>
      <c r="R2659">
        <v>1.5425431893269099</v>
      </c>
      <c r="S2659">
        <v>11.957163500062601</v>
      </c>
      <c r="T2659">
        <v>0.92368533522711704</v>
      </c>
      <c r="U2659">
        <v>-6.33537700253531</v>
      </c>
      <c r="V2659">
        <v>0.37037226479699398</v>
      </c>
      <c r="W2659">
        <v>0.891250106467387</v>
      </c>
      <c r="X2659">
        <v>0</v>
      </c>
      <c r="Y2659">
        <v>0</v>
      </c>
    </row>
    <row r="2660" spans="1:25" x14ac:dyDescent="0.2">
      <c r="A2660" t="s">
        <v>9908</v>
      </c>
      <c r="B2660" t="s">
        <v>9909</v>
      </c>
      <c r="C2660" t="s">
        <v>9910</v>
      </c>
      <c r="D2660" t="s">
        <v>9911</v>
      </c>
      <c r="E2660" t="s">
        <v>9909</v>
      </c>
      <c r="F2660" t="s">
        <v>28</v>
      </c>
      <c r="G2660" t="s">
        <v>9909</v>
      </c>
      <c r="H2660" t="str">
        <f>"sec-5"</f>
        <v>sec-5</v>
      </c>
      <c r="I2660" t="s">
        <v>9911</v>
      </c>
      <c r="J2660">
        <v>13.185881268303699</v>
      </c>
      <c r="K2660">
        <v>13.1915376818953</v>
      </c>
      <c r="L2660">
        <v>12.791632518346599</v>
      </c>
      <c r="M2660">
        <v>12.747440510007801</v>
      </c>
      <c r="N2660">
        <v>13.228429538523301</v>
      </c>
      <c r="O2660">
        <v>13.0850186159009</v>
      </c>
      <c r="P2660">
        <v>-3.6054268037890601E-2</v>
      </c>
      <c r="Q2660">
        <v>-0.442350975023587</v>
      </c>
      <c r="R2660">
        <v>0.37024243894780601</v>
      </c>
      <c r="S2660">
        <v>13.0933654912566</v>
      </c>
      <c r="T2660">
        <v>-0.187311048039314</v>
      </c>
      <c r="U2660">
        <v>-6.8641193428075997</v>
      </c>
      <c r="V2660">
        <v>0.85364779252779299</v>
      </c>
      <c r="W2660">
        <v>0.99370971747667503</v>
      </c>
      <c r="X2660">
        <v>0</v>
      </c>
      <c r="Y2660">
        <v>0</v>
      </c>
    </row>
    <row r="2661" spans="1:25" x14ac:dyDescent="0.2">
      <c r="A2661" t="s">
        <v>9912</v>
      </c>
      <c r="B2661" t="s">
        <v>9913</v>
      </c>
      <c r="C2661" t="s">
        <v>9914</v>
      </c>
      <c r="D2661" t="s">
        <v>9915</v>
      </c>
      <c r="E2661" t="s">
        <v>9913</v>
      </c>
      <c r="F2661" t="s">
        <v>28</v>
      </c>
      <c r="G2661" t="s">
        <v>9913</v>
      </c>
      <c r="H2661" t="str">
        <f>"rpl-32"</f>
        <v>rpl-32</v>
      </c>
      <c r="I2661" t="s">
        <v>9915</v>
      </c>
      <c r="J2661">
        <v>16.2216703235894</v>
      </c>
      <c r="K2661">
        <v>16.303394799231</v>
      </c>
      <c r="L2661">
        <v>16.195236931829299</v>
      </c>
      <c r="M2661">
        <v>16.294390925572898</v>
      </c>
      <c r="N2661">
        <v>15.807368103851401</v>
      </c>
      <c r="O2661">
        <v>15.9381065265814</v>
      </c>
      <c r="P2661">
        <v>-0.226812166214657</v>
      </c>
      <c r="Q2661">
        <v>-0.66045293749385503</v>
      </c>
      <c r="R2661">
        <v>0.20682860506454101</v>
      </c>
      <c r="S2661">
        <v>16.0517374203977</v>
      </c>
      <c r="T2661">
        <v>-1.09933170011144</v>
      </c>
      <c r="U2661">
        <v>-6.2716536645573902</v>
      </c>
      <c r="V2661">
        <v>0.28619366139181202</v>
      </c>
      <c r="W2661">
        <v>0.856190392347986</v>
      </c>
      <c r="X2661">
        <v>0</v>
      </c>
      <c r="Y2661">
        <v>0</v>
      </c>
    </row>
    <row r="2662" spans="1:25" x14ac:dyDescent="0.2">
      <c r="A2662" t="s">
        <v>9916</v>
      </c>
      <c r="B2662" t="s">
        <v>9917</v>
      </c>
      <c r="C2662" t="s">
        <v>9918</v>
      </c>
      <c r="D2662" t="s">
        <v>9919</v>
      </c>
      <c r="E2662" t="s">
        <v>9917</v>
      </c>
      <c r="F2662" t="s">
        <v>28</v>
      </c>
      <c r="G2662" t="s">
        <v>9917</v>
      </c>
      <c r="H2662" t="str">
        <f>"chmp-7"</f>
        <v>chmp-7</v>
      </c>
      <c r="I2662" t="s">
        <v>9919</v>
      </c>
      <c r="J2662" t="s">
        <v>29</v>
      </c>
      <c r="K2662" t="s">
        <v>29</v>
      </c>
      <c r="L2662" t="s">
        <v>29</v>
      </c>
      <c r="M2662" t="s">
        <v>29</v>
      </c>
      <c r="N2662" t="s">
        <v>29</v>
      </c>
      <c r="O2662" t="s">
        <v>29</v>
      </c>
      <c r="P2662" t="s">
        <v>29</v>
      </c>
      <c r="Q2662" t="s">
        <v>29</v>
      </c>
      <c r="R2662" t="s">
        <v>29</v>
      </c>
      <c r="S2662">
        <v>11.0023464188631</v>
      </c>
      <c r="T2662" t="s">
        <v>29</v>
      </c>
      <c r="U2662" t="s">
        <v>29</v>
      </c>
      <c r="V2662" t="s">
        <v>29</v>
      </c>
      <c r="W2662" t="s">
        <v>29</v>
      </c>
      <c r="X2662" t="s">
        <v>29</v>
      </c>
      <c r="Y2662" t="s">
        <v>29</v>
      </c>
    </row>
    <row r="2663" spans="1:25" x14ac:dyDescent="0.2">
      <c r="A2663" t="s">
        <v>9920</v>
      </c>
      <c r="B2663" t="s">
        <v>9921</v>
      </c>
      <c r="C2663" t="s">
        <v>14535</v>
      </c>
      <c r="D2663" t="s">
        <v>9922</v>
      </c>
      <c r="E2663" t="s">
        <v>9921</v>
      </c>
      <c r="F2663" t="s">
        <v>28</v>
      </c>
      <c r="G2663" t="s">
        <v>9921</v>
      </c>
      <c r="H2663" t="str">
        <f>"T24C12.3"</f>
        <v>T24C12.3</v>
      </c>
      <c r="I2663" t="s">
        <v>9922</v>
      </c>
      <c r="J2663">
        <v>13.395599404864999</v>
      </c>
      <c r="K2663">
        <v>13.4911429152823</v>
      </c>
      <c r="L2663">
        <v>12.9844307910737</v>
      </c>
      <c r="M2663">
        <v>13.356709270081501</v>
      </c>
      <c r="N2663">
        <v>13.301612383502</v>
      </c>
      <c r="O2663">
        <v>13.456488358635299</v>
      </c>
      <c r="P2663">
        <v>8.1212300332575496E-2</v>
      </c>
      <c r="Q2663">
        <v>-0.40238163095218399</v>
      </c>
      <c r="R2663">
        <v>0.56480623161733501</v>
      </c>
      <c r="S2663">
        <v>13.0738464289372</v>
      </c>
      <c r="T2663">
        <v>0.35447938455016598</v>
      </c>
      <c r="U2663">
        <v>-6.8168752970191697</v>
      </c>
      <c r="V2663">
        <v>0.72736548857512395</v>
      </c>
      <c r="W2663">
        <v>0.99057748145465696</v>
      </c>
      <c r="X2663">
        <v>0</v>
      </c>
      <c r="Y2663">
        <v>0</v>
      </c>
    </row>
    <row r="2664" spans="1:25" x14ac:dyDescent="0.2">
      <c r="A2664" t="s">
        <v>9923</v>
      </c>
      <c r="B2664" t="s">
        <v>9924</v>
      </c>
      <c r="C2664" t="s">
        <v>9925</v>
      </c>
      <c r="D2664" t="s">
        <v>9926</v>
      </c>
      <c r="E2664" t="s">
        <v>9924</v>
      </c>
      <c r="F2664" t="s">
        <v>28</v>
      </c>
      <c r="G2664" t="s">
        <v>9924</v>
      </c>
      <c r="H2664" t="str">
        <f>"raga-1"</f>
        <v>raga-1</v>
      </c>
      <c r="I2664" t="s">
        <v>9926</v>
      </c>
      <c r="J2664">
        <v>15.6986134153163</v>
      </c>
      <c r="K2664">
        <v>15.503303592923199</v>
      </c>
      <c r="L2664">
        <v>15.588302760142</v>
      </c>
      <c r="M2664">
        <v>15.716691441471401</v>
      </c>
      <c r="N2664">
        <v>15.600739013091999</v>
      </c>
      <c r="O2664">
        <v>15.495600907592699</v>
      </c>
      <c r="P2664">
        <v>7.6038645915250704E-3</v>
      </c>
      <c r="Q2664">
        <v>-0.32183606214486798</v>
      </c>
      <c r="R2664">
        <v>0.33704379132791801</v>
      </c>
      <c r="S2664">
        <v>15.378626841765399</v>
      </c>
      <c r="T2664">
        <v>4.8512164790613703E-2</v>
      </c>
      <c r="U2664">
        <v>-6.8812599932598699</v>
      </c>
      <c r="V2664">
        <v>0.96184540964245901</v>
      </c>
      <c r="W2664">
        <v>0.99968702248720698</v>
      </c>
      <c r="X2664">
        <v>0</v>
      </c>
      <c r="Y2664">
        <v>0</v>
      </c>
    </row>
    <row r="2665" spans="1:25" x14ac:dyDescent="0.2">
      <c r="A2665" t="s">
        <v>9927</v>
      </c>
      <c r="B2665" t="s">
        <v>9928</v>
      </c>
      <c r="C2665" t="s">
        <v>9929</v>
      </c>
      <c r="D2665" t="s">
        <v>9930</v>
      </c>
      <c r="E2665" t="s">
        <v>9928</v>
      </c>
      <c r="F2665" t="s">
        <v>28</v>
      </c>
      <c r="G2665" t="s">
        <v>9928</v>
      </c>
      <c r="H2665" t="str">
        <f>"rsf-1"</f>
        <v>rsf-1</v>
      </c>
      <c r="I2665" t="s">
        <v>9930</v>
      </c>
      <c r="J2665" t="s">
        <v>29</v>
      </c>
      <c r="K2665" t="s">
        <v>29</v>
      </c>
      <c r="L2665" t="s">
        <v>29</v>
      </c>
      <c r="M2665" t="s">
        <v>29</v>
      </c>
      <c r="N2665">
        <v>11.8327869077043</v>
      </c>
      <c r="O2665">
        <v>11.970485623560499</v>
      </c>
      <c r="P2665" t="s">
        <v>29</v>
      </c>
      <c r="Q2665" t="s">
        <v>29</v>
      </c>
      <c r="R2665" t="s">
        <v>29</v>
      </c>
      <c r="S2665">
        <v>11.972584493532199</v>
      </c>
      <c r="T2665" t="s">
        <v>29</v>
      </c>
      <c r="U2665" t="s">
        <v>29</v>
      </c>
      <c r="V2665" t="s">
        <v>29</v>
      </c>
      <c r="W2665" t="s">
        <v>29</v>
      </c>
      <c r="X2665" t="s">
        <v>29</v>
      </c>
      <c r="Y2665" t="s">
        <v>29</v>
      </c>
    </row>
    <row r="2666" spans="1:25" x14ac:dyDescent="0.2">
      <c r="A2666" t="s">
        <v>9931</v>
      </c>
      <c r="B2666" t="s">
        <v>9932</v>
      </c>
      <c r="C2666" t="s">
        <v>9933</v>
      </c>
      <c r="D2666" t="s">
        <v>9934</v>
      </c>
      <c r="E2666" t="s">
        <v>9932</v>
      </c>
      <c r="F2666" t="s">
        <v>28</v>
      </c>
      <c r="G2666" t="s">
        <v>9932</v>
      </c>
      <c r="H2666" t="str">
        <f>"samp-1"</f>
        <v>samp-1</v>
      </c>
      <c r="I2666" t="s">
        <v>9934</v>
      </c>
      <c r="J2666">
        <v>11.324142463898101</v>
      </c>
      <c r="K2666">
        <v>11.0142351459631</v>
      </c>
      <c r="L2666">
        <v>11.5698942178411</v>
      </c>
      <c r="M2666">
        <v>12.058437420755499</v>
      </c>
      <c r="N2666">
        <v>11.887596802881401</v>
      </c>
      <c r="O2666">
        <v>11.332786406979601</v>
      </c>
      <c r="P2666">
        <v>0.45684960097136201</v>
      </c>
      <c r="Q2666">
        <v>-0.254873847865836</v>
      </c>
      <c r="R2666">
        <v>1.16857304980856</v>
      </c>
      <c r="S2666">
        <v>12.107934900851999</v>
      </c>
      <c r="T2666">
        <v>1.3776974930869901</v>
      </c>
      <c r="U2666">
        <v>-5.9393849745990996</v>
      </c>
      <c r="V2666">
        <v>0.190082095152976</v>
      </c>
      <c r="W2666">
        <v>0.78295732499061499</v>
      </c>
      <c r="X2666">
        <v>0</v>
      </c>
      <c r="Y2666">
        <v>0</v>
      </c>
    </row>
    <row r="2667" spans="1:25" x14ac:dyDescent="0.2">
      <c r="A2667" t="s">
        <v>9935</v>
      </c>
      <c r="B2667" t="s">
        <v>9936</v>
      </c>
      <c r="C2667" t="s">
        <v>14536</v>
      </c>
      <c r="D2667" t="s">
        <v>9937</v>
      </c>
      <c r="E2667" t="s">
        <v>9936</v>
      </c>
      <c r="F2667" t="s">
        <v>28</v>
      </c>
      <c r="G2667" t="s">
        <v>9936</v>
      </c>
      <c r="H2667" t="str">
        <f>"T24G10.2"</f>
        <v>T24G10.2</v>
      </c>
      <c r="I2667" t="s">
        <v>9937</v>
      </c>
      <c r="J2667" t="s">
        <v>29</v>
      </c>
      <c r="K2667" t="s">
        <v>29</v>
      </c>
      <c r="L2667" t="s">
        <v>29</v>
      </c>
      <c r="M2667" t="s">
        <v>29</v>
      </c>
      <c r="N2667" t="s">
        <v>29</v>
      </c>
      <c r="O2667">
        <v>12.0377853373089</v>
      </c>
      <c r="P2667" t="s">
        <v>29</v>
      </c>
      <c r="Q2667" t="s">
        <v>29</v>
      </c>
      <c r="R2667" t="s">
        <v>29</v>
      </c>
      <c r="S2667">
        <v>12.7282763781265</v>
      </c>
      <c r="T2667" t="s">
        <v>29</v>
      </c>
      <c r="U2667" t="s">
        <v>29</v>
      </c>
      <c r="V2667" t="s">
        <v>29</v>
      </c>
      <c r="W2667" t="s">
        <v>29</v>
      </c>
      <c r="X2667" t="s">
        <v>29</v>
      </c>
      <c r="Y2667" t="s">
        <v>29</v>
      </c>
    </row>
    <row r="2668" spans="1:25" x14ac:dyDescent="0.2">
      <c r="A2668" t="s">
        <v>9938</v>
      </c>
      <c r="B2668" t="s">
        <v>9939</v>
      </c>
      <c r="C2668" t="s">
        <v>9940</v>
      </c>
      <c r="D2668" t="s">
        <v>308</v>
      </c>
      <c r="E2668" t="s">
        <v>9939</v>
      </c>
      <c r="F2668" t="s">
        <v>28</v>
      </c>
      <c r="G2668" t="s">
        <v>9939</v>
      </c>
      <c r="H2668" t="str">
        <f>"dnj-23"</f>
        <v>dnj-23</v>
      </c>
      <c r="I2668" t="s">
        <v>308</v>
      </c>
      <c r="J2668">
        <v>10.963853432453901</v>
      </c>
      <c r="K2668" t="s">
        <v>29</v>
      </c>
      <c r="L2668">
        <v>12.1636212218519</v>
      </c>
      <c r="M2668" t="s">
        <v>29</v>
      </c>
      <c r="N2668" t="s">
        <v>29</v>
      </c>
      <c r="O2668" t="s">
        <v>29</v>
      </c>
      <c r="P2668" t="s">
        <v>29</v>
      </c>
      <c r="Q2668" t="s">
        <v>29</v>
      </c>
      <c r="R2668" t="s">
        <v>29</v>
      </c>
      <c r="S2668">
        <v>11.709743010259601</v>
      </c>
      <c r="T2668" t="s">
        <v>29</v>
      </c>
      <c r="U2668" t="s">
        <v>29</v>
      </c>
      <c r="V2668" t="s">
        <v>29</v>
      </c>
      <c r="W2668" t="s">
        <v>29</v>
      </c>
      <c r="X2668" t="s">
        <v>29</v>
      </c>
      <c r="Y2668" t="s">
        <v>29</v>
      </c>
    </row>
    <row r="2669" spans="1:25" x14ac:dyDescent="0.2">
      <c r="A2669" t="s">
        <v>9941</v>
      </c>
      <c r="B2669" t="s">
        <v>9942</v>
      </c>
      <c r="C2669" t="s">
        <v>14537</v>
      </c>
      <c r="D2669" t="s">
        <v>9943</v>
      </c>
      <c r="E2669" t="s">
        <v>9942</v>
      </c>
      <c r="F2669" t="s">
        <v>28</v>
      </c>
      <c r="G2669" t="s">
        <v>9942</v>
      </c>
      <c r="H2669" t="str">
        <f>"T25B9.4"</f>
        <v>T25B9.4</v>
      </c>
      <c r="I2669" t="s">
        <v>9943</v>
      </c>
      <c r="J2669">
        <v>12.4395187927413</v>
      </c>
      <c r="K2669">
        <v>11.6238224862776</v>
      </c>
      <c r="L2669">
        <v>12.959954171180399</v>
      </c>
      <c r="M2669" t="s">
        <v>29</v>
      </c>
      <c r="N2669">
        <v>13.036984458751499</v>
      </c>
      <c r="O2669">
        <v>12.6845566559102</v>
      </c>
      <c r="P2669">
        <v>0.51967207393104597</v>
      </c>
      <c r="Q2669">
        <v>-0.51811738779033101</v>
      </c>
      <c r="R2669">
        <v>1.55746153565242</v>
      </c>
      <c r="S2669">
        <v>12.6966170642915</v>
      </c>
      <c r="T2669">
        <v>1.0679765797493499</v>
      </c>
      <c r="U2669">
        <v>-6.1936243826476698</v>
      </c>
      <c r="V2669">
        <v>0.30253493558722999</v>
      </c>
      <c r="W2669">
        <v>0.85855590823088301</v>
      </c>
      <c r="X2669">
        <v>0</v>
      </c>
      <c r="Y2669">
        <v>0</v>
      </c>
    </row>
    <row r="2670" spans="1:25" x14ac:dyDescent="0.2">
      <c r="A2670" t="s">
        <v>9944</v>
      </c>
      <c r="B2670" t="s">
        <v>9945</v>
      </c>
      <c r="C2670" t="s">
        <v>14538</v>
      </c>
      <c r="D2670" t="s">
        <v>9946</v>
      </c>
      <c r="E2670" t="s">
        <v>9945</v>
      </c>
      <c r="F2670" t="s">
        <v>28</v>
      </c>
      <c r="G2670" t="s">
        <v>9945</v>
      </c>
      <c r="H2670" t="str">
        <f>"T25B9.1"</f>
        <v>T25B9.1</v>
      </c>
      <c r="I2670" t="s">
        <v>9946</v>
      </c>
      <c r="J2670" t="s">
        <v>29</v>
      </c>
      <c r="K2670" t="s">
        <v>29</v>
      </c>
      <c r="L2670">
        <v>10.538270490401001</v>
      </c>
      <c r="M2670" t="s">
        <v>29</v>
      </c>
      <c r="N2670" t="s">
        <v>29</v>
      </c>
      <c r="O2670" t="s">
        <v>29</v>
      </c>
      <c r="P2670" t="s">
        <v>29</v>
      </c>
      <c r="Q2670" t="s">
        <v>29</v>
      </c>
      <c r="R2670" t="s">
        <v>29</v>
      </c>
      <c r="S2670">
        <v>10.7457164635547</v>
      </c>
      <c r="T2670" t="s">
        <v>29</v>
      </c>
      <c r="U2670" t="s">
        <v>29</v>
      </c>
      <c r="V2670" t="s">
        <v>29</v>
      </c>
      <c r="W2670" t="s">
        <v>29</v>
      </c>
      <c r="X2670" t="s">
        <v>29</v>
      </c>
      <c r="Y2670" t="s">
        <v>29</v>
      </c>
    </row>
    <row r="2671" spans="1:25" x14ac:dyDescent="0.2">
      <c r="A2671" t="s">
        <v>9947</v>
      </c>
      <c r="B2671" t="s">
        <v>9948</v>
      </c>
      <c r="C2671" t="s">
        <v>9949</v>
      </c>
      <c r="D2671" t="s">
        <v>9950</v>
      </c>
      <c r="E2671" t="s">
        <v>9948</v>
      </c>
      <c r="F2671" t="s">
        <v>28</v>
      </c>
      <c r="G2671" t="s">
        <v>9948</v>
      </c>
      <c r="H2671" t="str">
        <f>"acdh-7"</f>
        <v>acdh-7</v>
      </c>
      <c r="I2671" t="s">
        <v>9950</v>
      </c>
      <c r="J2671">
        <v>15.6758048498024</v>
      </c>
      <c r="K2671">
        <v>15.659120299343501</v>
      </c>
      <c r="L2671">
        <v>15.529372912105799</v>
      </c>
      <c r="M2671">
        <v>15.4786208445491</v>
      </c>
      <c r="N2671">
        <v>15.498306476257801</v>
      </c>
      <c r="O2671">
        <v>15.603717287899499</v>
      </c>
      <c r="P2671">
        <v>-9.4551150848447604E-2</v>
      </c>
      <c r="Q2671">
        <v>-0.39267523897685802</v>
      </c>
      <c r="R2671">
        <v>0.20357293727996301</v>
      </c>
      <c r="S2671">
        <v>15.178421023966701</v>
      </c>
      <c r="T2671">
        <v>-0.66659532643839503</v>
      </c>
      <c r="U2671">
        <v>-6.6531827708312603</v>
      </c>
      <c r="V2671">
        <v>0.51353403828840005</v>
      </c>
      <c r="W2671">
        <v>0.94175858862430595</v>
      </c>
      <c r="X2671">
        <v>0</v>
      </c>
      <c r="Y2671">
        <v>0</v>
      </c>
    </row>
    <row r="2672" spans="1:25" x14ac:dyDescent="0.2">
      <c r="A2672" t="s">
        <v>9951</v>
      </c>
      <c r="B2672" t="s">
        <v>9952</v>
      </c>
      <c r="C2672" t="s">
        <v>9953</v>
      </c>
      <c r="D2672" t="s">
        <v>9954</v>
      </c>
      <c r="E2672" t="s">
        <v>9952</v>
      </c>
      <c r="F2672" t="s">
        <v>28</v>
      </c>
      <c r="G2672" t="s">
        <v>9952</v>
      </c>
      <c r="H2672" t="str">
        <f>"rab-6.2"</f>
        <v>rab-6.2</v>
      </c>
      <c r="I2672" t="s">
        <v>9954</v>
      </c>
      <c r="J2672">
        <v>16.470236509522302</v>
      </c>
      <c r="K2672">
        <v>16.613308725355999</v>
      </c>
      <c r="L2672">
        <v>16.461872735377</v>
      </c>
      <c r="M2672">
        <v>16.485713572583599</v>
      </c>
      <c r="N2672">
        <v>16.3614927785692</v>
      </c>
      <c r="O2672">
        <v>16.499995859724699</v>
      </c>
      <c r="P2672">
        <v>-6.6071919792580799E-2</v>
      </c>
      <c r="Q2672">
        <v>-0.39415589441743898</v>
      </c>
      <c r="R2672">
        <v>0.26201205483227702</v>
      </c>
      <c r="S2672">
        <v>16.124369486127101</v>
      </c>
      <c r="T2672">
        <v>-0.42327675727783098</v>
      </c>
      <c r="U2672">
        <v>-6.7893474426779701</v>
      </c>
      <c r="V2672">
        <v>0.677136785420135</v>
      </c>
      <c r="W2672">
        <v>0.98642420921484297</v>
      </c>
      <c r="X2672">
        <v>0</v>
      </c>
      <c r="Y2672">
        <v>0</v>
      </c>
    </row>
    <row r="2673" spans="1:25" x14ac:dyDescent="0.2">
      <c r="A2673" t="s">
        <v>9955</v>
      </c>
      <c r="B2673" t="s">
        <v>9956</v>
      </c>
      <c r="C2673" t="s">
        <v>14539</v>
      </c>
      <c r="D2673" t="s">
        <v>9957</v>
      </c>
      <c r="E2673" t="s">
        <v>9956</v>
      </c>
      <c r="F2673" t="s">
        <v>28</v>
      </c>
      <c r="G2673" t="s">
        <v>9956</v>
      </c>
      <c r="H2673" t="str">
        <f>"T25G3.3"</f>
        <v>T25G3.3</v>
      </c>
      <c r="I2673" t="s">
        <v>9957</v>
      </c>
      <c r="J2673">
        <v>14.810458205974401</v>
      </c>
      <c r="K2673">
        <v>14.679762002639499</v>
      </c>
      <c r="L2673">
        <v>14.6390349906967</v>
      </c>
      <c r="M2673">
        <v>14.8030673327253</v>
      </c>
      <c r="N2673">
        <v>14.709195420307299</v>
      </c>
      <c r="O2673">
        <v>14.6914163306446</v>
      </c>
      <c r="P2673">
        <v>2.48079614555703E-2</v>
      </c>
      <c r="Q2673">
        <v>-0.36400933245554301</v>
      </c>
      <c r="R2673">
        <v>0.41362525536668299</v>
      </c>
      <c r="S2673">
        <v>14.317308489701499</v>
      </c>
      <c r="T2673">
        <v>0.134102853256275</v>
      </c>
      <c r="U2673">
        <v>-6.8730979568752</v>
      </c>
      <c r="V2673">
        <v>0.89481793222356498</v>
      </c>
      <c r="W2673">
        <v>0.99797388687668398</v>
      </c>
      <c r="X2673">
        <v>0</v>
      </c>
      <c r="Y2673">
        <v>0</v>
      </c>
    </row>
    <row r="2674" spans="1:25" x14ac:dyDescent="0.2">
      <c r="A2674" t="s">
        <v>9958</v>
      </c>
      <c r="B2674" t="s">
        <v>9959</v>
      </c>
      <c r="C2674" t="s">
        <v>9960</v>
      </c>
      <c r="D2674" t="s">
        <v>9961</v>
      </c>
      <c r="E2674" t="s">
        <v>9959</v>
      </c>
      <c r="F2674" t="s">
        <v>28</v>
      </c>
      <c r="G2674" t="s">
        <v>9959</v>
      </c>
      <c r="H2674" t="str">
        <f>"algn-1"</f>
        <v>algn-1</v>
      </c>
      <c r="I2674" t="s">
        <v>9961</v>
      </c>
      <c r="J2674">
        <v>12.266592683811499</v>
      </c>
      <c r="K2674" t="s">
        <v>29</v>
      </c>
      <c r="L2674" t="s">
        <v>29</v>
      </c>
      <c r="M2674">
        <v>12.212627645707</v>
      </c>
      <c r="N2674" t="s">
        <v>29</v>
      </c>
      <c r="O2674" t="s">
        <v>29</v>
      </c>
      <c r="P2674">
        <v>-5.3965038104534499E-2</v>
      </c>
      <c r="Q2674">
        <v>-1.6908993953170099</v>
      </c>
      <c r="R2674">
        <v>1.5829693191079399</v>
      </c>
      <c r="S2674">
        <v>12.5500582699233</v>
      </c>
      <c r="T2674">
        <v>-7.3561082981145207E-2</v>
      </c>
      <c r="U2674">
        <v>-6.3404996161509803</v>
      </c>
      <c r="V2674">
        <v>0.94282540322209796</v>
      </c>
      <c r="W2674">
        <v>0.99926809132575301</v>
      </c>
      <c r="X2674">
        <v>0</v>
      </c>
      <c r="Y2674">
        <v>0</v>
      </c>
    </row>
    <row r="2675" spans="1:25" x14ac:dyDescent="0.2">
      <c r="A2675" t="s">
        <v>9962</v>
      </c>
      <c r="B2675" t="s">
        <v>9963</v>
      </c>
      <c r="C2675" t="s">
        <v>9964</v>
      </c>
      <c r="D2675" t="s">
        <v>9965</v>
      </c>
      <c r="E2675" t="s">
        <v>9963</v>
      </c>
      <c r="F2675" t="s">
        <v>28</v>
      </c>
      <c r="G2675" t="s">
        <v>9963</v>
      </c>
      <c r="H2675" t="str">
        <f>"dlc-1"</f>
        <v>dlc-1</v>
      </c>
      <c r="I2675" t="s">
        <v>9965</v>
      </c>
      <c r="J2675">
        <v>14.2376506587833</v>
      </c>
      <c r="K2675">
        <v>14.2821430809338</v>
      </c>
      <c r="L2675">
        <v>14.1201555803156</v>
      </c>
      <c r="M2675">
        <v>13.9978646869488</v>
      </c>
      <c r="N2675">
        <v>14.111598822391599</v>
      </c>
      <c r="O2675">
        <v>14.309094178457601</v>
      </c>
      <c r="P2675">
        <v>-7.3797210744922695E-2</v>
      </c>
      <c r="Q2675">
        <v>-0.47060903093529599</v>
      </c>
      <c r="R2675">
        <v>0.32301460944545102</v>
      </c>
      <c r="S2675">
        <v>13.745549076515401</v>
      </c>
      <c r="T2675">
        <v>-0.39255938103439098</v>
      </c>
      <c r="U2675">
        <v>-6.80208880104587</v>
      </c>
      <c r="V2675">
        <v>0.69955336176295102</v>
      </c>
      <c r="W2675">
        <v>0.98642420921484297</v>
      </c>
      <c r="X2675">
        <v>0</v>
      </c>
      <c r="Y2675">
        <v>0</v>
      </c>
    </row>
    <row r="2676" spans="1:25" x14ac:dyDescent="0.2">
      <c r="A2676" t="s">
        <v>9966</v>
      </c>
      <c r="B2676" t="s">
        <v>9967</v>
      </c>
      <c r="C2676" t="s">
        <v>9968</v>
      </c>
      <c r="D2676" t="s">
        <v>9969</v>
      </c>
      <c r="E2676" t="s">
        <v>9967</v>
      </c>
      <c r="F2676" t="s">
        <v>28</v>
      </c>
      <c r="G2676" t="s">
        <v>9967</v>
      </c>
      <c r="H2676" t="str">
        <f>"nduf-2.2"</f>
        <v>nduf-2.2</v>
      </c>
      <c r="I2676" t="s">
        <v>9969</v>
      </c>
      <c r="J2676">
        <v>14.254301131419499</v>
      </c>
      <c r="K2676">
        <v>14.3926612148228</v>
      </c>
      <c r="L2676">
        <v>14.3038564721908</v>
      </c>
      <c r="M2676">
        <v>13.9681679180052</v>
      </c>
      <c r="N2676">
        <v>14.5900767139777</v>
      </c>
      <c r="O2676">
        <v>14.0109335449703</v>
      </c>
      <c r="P2676">
        <v>-0.12721354715993799</v>
      </c>
      <c r="Q2676">
        <v>-0.69920963210050902</v>
      </c>
      <c r="R2676">
        <v>0.44478253778063198</v>
      </c>
      <c r="S2676">
        <v>14.5028894631192</v>
      </c>
      <c r="T2676">
        <v>-0.46744747622299099</v>
      </c>
      <c r="U2676">
        <v>-6.7690185371671001</v>
      </c>
      <c r="V2676">
        <v>0.64582161602827604</v>
      </c>
      <c r="W2676">
        <v>0.97828599824401596</v>
      </c>
      <c r="X2676">
        <v>0</v>
      </c>
      <c r="Y2676">
        <v>0</v>
      </c>
    </row>
    <row r="2677" spans="1:25" x14ac:dyDescent="0.2">
      <c r="A2677" t="s">
        <v>9970</v>
      </c>
      <c r="B2677" t="s">
        <v>9971</v>
      </c>
      <c r="C2677" t="s">
        <v>14540</v>
      </c>
      <c r="D2677" t="s">
        <v>252</v>
      </c>
      <c r="E2677" t="s">
        <v>9971</v>
      </c>
      <c r="F2677" t="s">
        <v>28</v>
      </c>
      <c r="G2677" t="s">
        <v>9971</v>
      </c>
      <c r="H2677" t="str">
        <f>"T26A8.4"</f>
        <v>T26A8.4</v>
      </c>
      <c r="I2677" t="s">
        <v>252</v>
      </c>
      <c r="J2677">
        <v>11.634564042140401</v>
      </c>
      <c r="K2677" t="s">
        <v>29</v>
      </c>
      <c r="L2677" t="s">
        <v>29</v>
      </c>
      <c r="M2677" t="s">
        <v>29</v>
      </c>
      <c r="N2677" t="s">
        <v>29</v>
      </c>
      <c r="O2677" t="s">
        <v>29</v>
      </c>
      <c r="P2677" t="s">
        <v>29</v>
      </c>
      <c r="Q2677" t="s">
        <v>29</v>
      </c>
      <c r="R2677" t="s">
        <v>29</v>
      </c>
      <c r="S2677">
        <v>12.0799080412708</v>
      </c>
      <c r="T2677" t="s">
        <v>29</v>
      </c>
      <c r="U2677" t="s">
        <v>29</v>
      </c>
      <c r="V2677" t="s">
        <v>29</v>
      </c>
      <c r="W2677" t="s">
        <v>29</v>
      </c>
      <c r="X2677" t="s">
        <v>29</v>
      </c>
      <c r="Y2677" t="s">
        <v>29</v>
      </c>
    </row>
    <row r="2678" spans="1:25" x14ac:dyDescent="0.2">
      <c r="A2678" t="s">
        <v>9972</v>
      </c>
      <c r="B2678" t="s">
        <v>9973</v>
      </c>
      <c r="C2678" t="s">
        <v>14541</v>
      </c>
      <c r="D2678" t="s">
        <v>9974</v>
      </c>
      <c r="E2678" t="s">
        <v>9973</v>
      </c>
      <c r="F2678" t="s">
        <v>28</v>
      </c>
      <c r="G2678" t="s">
        <v>9973</v>
      </c>
      <c r="H2678" t="str">
        <f>"T26C5.3"</f>
        <v>T26C5.3</v>
      </c>
      <c r="I2678" t="s">
        <v>9974</v>
      </c>
      <c r="J2678">
        <v>13.3019406272327</v>
      </c>
      <c r="K2678">
        <v>13.9872648388949</v>
      </c>
      <c r="L2678">
        <v>13.9478952920037</v>
      </c>
      <c r="M2678">
        <v>13.6740762822207</v>
      </c>
      <c r="N2678">
        <v>13.963887282306301</v>
      </c>
      <c r="O2678">
        <v>13.6014588097445</v>
      </c>
      <c r="P2678">
        <v>7.7387204673939902E-4</v>
      </c>
      <c r="Q2678">
        <v>-0.48524900936020199</v>
      </c>
      <c r="R2678">
        <v>0.48679675345368101</v>
      </c>
      <c r="S2678">
        <v>14.0041160704498</v>
      </c>
      <c r="T2678">
        <v>3.3609531369504799E-3</v>
      </c>
      <c r="U2678">
        <v>-6.8824836537921197</v>
      </c>
      <c r="V2678">
        <v>0.99735771877914403</v>
      </c>
      <c r="W2678">
        <v>0.99993024577696799</v>
      </c>
      <c r="X2678">
        <v>0</v>
      </c>
      <c r="Y2678">
        <v>0</v>
      </c>
    </row>
    <row r="2679" spans="1:25" x14ac:dyDescent="0.2">
      <c r="A2679" t="s">
        <v>9975</v>
      </c>
      <c r="B2679" t="s">
        <v>9976</v>
      </c>
      <c r="C2679" t="s">
        <v>9977</v>
      </c>
      <c r="D2679" t="s">
        <v>9978</v>
      </c>
      <c r="E2679" t="s">
        <v>9976</v>
      </c>
      <c r="F2679" t="s">
        <v>28</v>
      </c>
      <c r="G2679" t="s">
        <v>9976</v>
      </c>
      <c r="H2679" t="str">
        <f>"ckc-1"</f>
        <v>ckc-1</v>
      </c>
      <c r="I2679" t="s">
        <v>9978</v>
      </c>
      <c r="J2679">
        <v>15.0871862938522</v>
      </c>
      <c r="K2679">
        <v>15.124470119981501</v>
      </c>
      <c r="L2679">
        <v>15.080072500729299</v>
      </c>
      <c r="M2679">
        <v>15.1296720937377</v>
      </c>
      <c r="N2679">
        <v>15.1269461708309</v>
      </c>
      <c r="O2679">
        <v>15.097015225830299</v>
      </c>
      <c r="P2679">
        <v>2.06348586119471E-2</v>
      </c>
      <c r="Q2679">
        <v>-0.31332311118253497</v>
      </c>
      <c r="R2679">
        <v>0.35459282840642897</v>
      </c>
      <c r="S2679">
        <v>14.676167770215301</v>
      </c>
      <c r="T2679">
        <v>0.13042465554556201</v>
      </c>
      <c r="U2679">
        <v>-6.8735782624636199</v>
      </c>
      <c r="V2679">
        <v>0.89777080084155403</v>
      </c>
      <c r="W2679">
        <v>0.99833354317360001</v>
      </c>
      <c r="X2679">
        <v>0</v>
      </c>
      <c r="Y2679">
        <v>0</v>
      </c>
    </row>
    <row r="2680" spans="1:25" x14ac:dyDescent="0.2">
      <c r="A2680" t="s">
        <v>9979</v>
      </c>
      <c r="B2680" t="s">
        <v>9980</v>
      </c>
      <c r="C2680" t="s">
        <v>9981</v>
      </c>
      <c r="D2680" t="s">
        <v>2692</v>
      </c>
      <c r="E2680" t="s">
        <v>9980</v>
      </c>
      <c r="F2680" t="s">
        <v>28</v>
      </c>
      <c r="G2680" t="s">
        <v>9980</v>
      </c>
      <c r="H2680" t="str">
        <f>"cgr-1"</f>
        <v>cgr-1</v>
      </c>
      <c r="I2680" t="s">
        <v>2692</v>
      </c>
      <c r="J2680">
        <v>13.069123905622799</v>
      </c>
      <c r="K2680">
        <v>13.1835285460572</v>
      </c>
      <c r="L2680">
        <v>13.063660555158901</v>
      </c>
      <c r="M2680">
        <v>12.6669888482489</v>
      </c>
      <c r="N2680">
        <v>13.0814945205234</v>
      </c>
      <c r="O2680">
        <v>12.91921516645</v>
      </c>
      <c r="P2680">
        <v>-0.216204823872234</v>
      </c>
      <c r="Q2680">
        <v>-0.83060842421407199</v>
      </c>
      <c r="R2680">
        <v>0.398198776469604</v>
      </c>
      <c r="S2680">
        <v>13.432797449657301</v>
      </c>
      <c r="T2680">
        <v>-0.74278246158246297</v>
      </c>
      <c r="U2680">
        <v>-6.5979798621981303</v>
      </c>
      <c r="V2680">
        <v>0.467816393258352</v>
      </c>
      <c r="W2680">
        <v>0.92978583625257705</v>
      </c>
      <c r="X2680">
        <v>0</v>
      </c>
      <c r="Y2680">
        <v>0</v>
      </c>
    </row>
    <row r="2681" spans="1:25" x14ac:dyDescent="0.2">
      <c r="A2681" t="s">
        <v>9982</v>
      </c>
      <c r="B2681" t="s">
        <v>9983</v>
      </c>
      <c r="C2681" t="s">
        <v>9984</v>
      </c>
      <c r="D2681" t="s">
        <v>9985</v>
      </c>
      <c r="E2681" t="s">
        <v>9983</v>
      </c>
      <c r="F2681" t="s">
        <v>28</v>
      </c>
      <c r="G2681" t="s">
        <v>9983</v>
      </c>
      <c r="H2681" t="str">
        <f>"T27F2.1"</f>
        <v>T27F2.1</v>
      </c>
      <c r="I2681" t="s">
        <v>9985</v>
      </c>
      <c r="J2681">
        <v>11.260509094034701</v>
      </c>
      <c r="K2681" t="s">
        <v>29</v>
      </c>
      <c r="L2681" t="s">
        <v>29</v>
      </c>
      <c r="M2681" t="s">
        <v>29</v>
      </c>
      <c r="N2681">
        <v>12.0848411955033</v>
      </c>
      <c r="O2681">
        <v>12.049211540631401</v>
      </c>
      <c r="P2681">
        <v>0.80651727403268902</v>
      </c>
      <c r="Q2681">
        <v>0.113779852581394</v>
      </c>
      <c r="R2681">
        <v>1.49925469548398</v>
      </c>
      <c r="S2681">
        <v>11.7964226838812</v>
      </c>
      <c r="T2681">
        <v>2.5978371033725698</v>
      </c>
      <c r="U2681">
        <v>-3.73511862651704</v>
      </c>
      <c r="V2681">
        <v>2.6802473547307599E-2</v>
      </c>
      <c r="W2681">
        <v>0.35645685773147801</v>
      </c>
      <c r="X2681">
        <v>0</v>
      </c>
      <c r="Y2681">
        <v>0</v>
      </c>
    </row>
    <row r="2682" spans="1:25" x14ac:dyDescent="0.2">
      <c r="A2682" t="s">
        <v>9986</v>
      </c>
      <c r="B2682" t="s">
        <v>9987</v>
      </c>
      <c r="C2682" t="s">
        <v>14160</v>
      </c>
      <c r="D2682" t="s">
        <v>368</v>
      </c>
      <c r="E2682" t="s">
        <v>9987</v>
      </c>
      <c r="F2682" t="s">
        <v>28</v>
      </c>
      <c r="G2682" t="s">
        <v>9987</v>
      </c>
      <c r="H2682" t="str">
        <f>"T28F4.5"</f>
        <v>T28F4.5</v>
      </c>
      <c r="I2682" t="s">
        <v>368</v>
      </c>
      <c r="J2682" t="s">
        <v>29</v>
      </c>
      <c r="K2682" t="s">
        <v>29</v>
      </c>
      <c r="L2682" t="s">
        <v>29</v>
      </c>
      <c r="M2682">
        <v>9.4532436160101199</v>
      </c>
      <c r="N2682">
        <v>10.3570446425441</v>
      </c>
      <c r="O2682">
        <v>10.6067200258979</v>
      </c>
      <c r="P2682" t="s">
        <v>29</v>
      </c>
      <c r="Q2682" t="s">
        <v>29</v>
      </c>
      <c r="R2682" t="s">
        <v>29</v>
      </c>
      <c r="S2682">
        <v>10.8848544728934</v>
      </c>
      <c r="T2682" t="s">
        <v>29</v>
      </c>
      <c r="U2682" t="s">
        <v>29</v>
      </c>
      <c r="V2682" t="s">
        <v>29</v>
      </c>
      <c r="W2682" t="s">
        <v>29</v>
      </c>
      <c r="X2682" t="s">
        <v>29</v>
      </c>
      <c r="Y2682" t="s">
        <v>29</v>
      </c>
    </row>
    <row r="2683" spans="1:25" x14ac:dyDescent="0.2">
      <c r="A2683" t="s">
        <v>9988</v>
      </c>
      <c r="B2683" t="s">
        <v>9989</v>
      </c>
      <c r="C2683" t="s">
        <v>9990</v>
      </c>
      <c r="D2683" t="s">
        <v>9991</v>
      </c>
      <c r="E2683" t="s">
        <v>9989</v>
      </c>
      <c r="F2683" t="s">
        <v>28</v>
      </c>
      <c r="G2683" t="s">
        <v>9989</v>
      </c>
      <c r="H2683" t="str">
        <f>"lev-11"</f>
        <v>lev-11</v>
      </c>
      <c r="I2683" t="s">
        <v>9991</v>
      </c>
      <c r="J2683">
        <v>14.481824415055099</v>
      </c>
      <c r="K2683">
        <v>14.3999767166232</v>
      </c>
      <c r="L2683">
        <v>14.5794936762859</v>
      </c>
      <c r="M2683">
        <v>15.5424241792267</v>
      </c>
      <c r="N2683">
        <v>14.1405573258746</v>
      </c>
      <c r="O2683">
        <v>14.1465478002303</v>
      </c>
      <c r="P2683">
        <v>0.122744832455822</v>
      </c>
      <c r="Q2683">
        <v>-1.2341570974634799</v>
      </c>
      <c r="R2683">
        <v>1.4796467623751299</v>
      </c>
      <c r="S2683">
        <v>13.8695074122608</v>
      </c>
      <c r="T2683">
        <v>0.19012852124499599</v>
      </c>
      <c r="U2683">
        <v>-6.8636211132306499</v>
      </c>
      <c r="V2683">
        <v>0.85134854482742695</v>
      </c>
      <c r="W2683">
        <v>0.99370971747667503</v>
      </c>
      <c r="X2683">
        <v>0</v>
      </c>
      <c r="Y2683">
        <v>0</v>
      </c>
    </row>
    <row r="2684" spans="1:25" x14ac:dyDescent="0.2">
      <c r="A2684" t="s">
        <v>9992</v>
      </c>
      <c r="B2684" t="s">
        <v>9993</v>
      </c>
      <c r="C2684" t="s">
        <v>9994</v>
      </c>
      <c r="D2684" t="s">
        <v>9995</v>
      </c>
      <c r="E2684" t="s">
        <v>9993</v>
      </c>
      <c r="F2684" t="s">
        <v>28</v>
      </c>
      <c r="G2684" t="s">
        <v>9993</v>
      </c>
      <c r="H2684" t="str">
        <f>"soc-2"</f>
        <v>soc-2</v>
      </c>
      <c r="I2684" t="s">
        <v>9995</v>
      </c>
      <c r="J2684">
        <v>14.228891987264999</v>
      </c>
      <c r="K2684">
        <v>13.766181555562801</v>
      </c>
      <c r="L2684">
        <v>13.8166598806413</v>
      </c>
      <c r="M2684">
        <v>14.010766868346799</v>
      </c>
      <c r="N2684">
        <v>14.1133196899748</v>
      </c>
      <c r="O2684">
        <v>14.296239934869799</v>
      </c>
      <c r="P2684">
        <v>0.202864356574114</v>
      </c>
      <c r="Q2684">
        <v>-0.212938688531458</v>
      </c>
      <c r="R2684">
        <v>0.61866740167968604</v>
      </c>
      <c r="S2684">
        <v>13.846629829600399</v>
      </c>
      <c r="T2684">
        <v>1.0254408057081199</v>
      </c>
      <c r="U2684">
        <v>-6.3487643253086796</v>
      </c>
      <c r="V2684">
        <v>0.31881797731088701</v>
      </c>
      <c r="W2684">
        <v>0.86570305652650403</v>
      </c>
      <c r="X2684">
        <v>0</v>
      </c>
      <c r="Y2684">
        <v>0</v>
      </c>
    </row>
    <row r="2685" spans="1:25" x14ac:dyDescent="0.2">
      <c r="A2685" t="s">
        <v>9996</v>
      </c>
      <c r="B2685" t="s">
        <v>9997</v>
      </c>
      <c r="C2685" t="s">
        <v>9998</v>
      </c>
      <c r="D2685" t="s">
        <v>9999</v>
      </c>
      <c r="E2685" t="s">
        <v>9997</v>
      </c>
      <c r="F2685" t="s">
        <v>28</v>
      </c>
      <c r="G2685" t="s">
        <v>9997</v>
      </c>
      <c r="H2685" t="str">
        <f>"C37C3.2"</f>
        <v>C37C3.2</v>
      </c>
      <c r="I2685" t="s">
        <v>9999</v>
      </c>
      <c r="J2685" t="s">
        <v>29</v>
      </c>
      <c r="K2685" t="s">
        <v>29</v>
      </c>
      <c r="L2685" t="s">
        <v>29</v>
      </c>
      <c r="M2685" t="s">
        <v>29</v>
      </c>
      <c r="N2685">
        <v>11.8989154109677</v>
      </c>
      <c r="O2685">
        <v>12.619950088642</v>
      </c>
      <c r="P2685" t="s">
        <v>29</v>
      </c>
      <c r="Q2685" t="s">
        <v>29</v>
      </c>
      <c r="R2685" t="s">
        <v>29</v>
      </c>
      <c r="S2685">
        <v>12.075004639967799</v>
      </c>
      <c r="T2685" t="s">
        <v>29</v>
      </c>
      <c r="U2685" t="s">
        <v>29</v>
      </c>
      <c r="V2685" t="s">
        <v>29</v>
      </c>
      <c r="W2685" t="s">
        <v>29</v>
      </c>
      <c r="X2685" t="s">
        <v>29</v>
      </c>
      <c r="Y2685" t="s">
        <v>29</v>
      </c>
    </row>
    <row r="2686" spans="1:25" x14ac:dyDescent="0.2">
      <c r="A2686" t="s">
        <v>10000</v>
      </c>
      <c r="B2686" t="s">
        <v>10001</v>
      </c>
      <c r="C2686" t="s">
        <v>14542</v>
      </c>
      <c r="D2686" t="s">
        <v>10002</v>
      </c>
      <c r="E2686" t="s">
        <v>10001</v>
      </c>
      <c r="F2686" t="s">
        <v>28</v>
      </c>
      <c r="G2686" t="s">
        <v>10001</v>
      </c>
      <c r="H2686" t="str">
        <f>"F08F3.4"</f>
        <v>F08F3.4</v>
      </c>
      <c r="I2686" t="s">
        <v>10002</v>
      </c>
      <c r="J2686">
        <v>13.6282637510571</v>
      </c>
      <c r="K2686">
        <v>13.5720446078673</v>
      </c>
      <c r="L2686">
        <v>14.461059063330501</v>
      </c>
      <c r="M2686">
        <v>13.884997543661701</v>
      </c>
      <c r="N2686">
        <v>14.4010337034165</v>
      </c>
      <c r="O2686">
        <v>13.129825544030499</v>
      </c>
      <c r="P2686">
        <v>-8.1836877048727899E-2</v>
      </c>
      <c r="Q2686">
        <v>-0.76339983012377299</v>
      </c>
      <c r="R2686">
        <v>0.599726076026317</v>
      </c>
      <c r="S2686">
        <v>14.119294273528</v>
      </c>
      <c r="T2686">
        <v>-0.25345046084792699</v>
      </c>
      <c r="U2686">
        <v>-6.8488851552611196</v>
      </c>
      <c r="V2686">
        <v>0.80297854950058001</v>
      </c>
      <c r="W2686">
        <v>0.99278624068726296</v>
      </c>
      <c r="X2686">
        <v>0</v>
      </c>
      <c r="Y2686">
        <v>0</v>
      </c>
    </row>
    <row r="2687" spans="1:25" x14ac:dyDescent="0.2">
      <c r="A2687" t="s">
        <v>10003</v>
      </c>
      <c r="B2687" t="s">
        <v>10004</v>
      </c>
      <c r="C2687" t="s">
        <v>10005</v>
      </c>
      <c r="D2687" t="s">
        <v>10006</v>
      </c>
      <c r="E2687" t="s">
        <v>10004</v>
      </c>
      <c r="F2687" t="s">
        <v>28</v>
      </c>
      <c r="G2687" t="s">
        <v>10004</v>
      </c>
      <c r="H2687" t="str">
        <f>"acl-6"</f>
        <v>acl-6</v>
      </c>
      <c r="I2687" t="s">
        <v>10006</v>
      </c>
      <c r="J2687">
        <v>13.4054003315192</v>
      </c>
      <c r="K2687">
        <v>13.0160552476326</v>
      </c>
      <c r="L2687">
        <v>12.6062719630518</v>
      </c>
      <c r="M2687">
        <v>11.730391119402</v>
      </c>
      <c r="N2687">
        <v>12.9999699844163</v>
      </c>
      <c r="O2687">
        <v>12.7133577173995</v>
      </c>
      <c r="P2687">
        <v>-0.52800290699528996</v>
      </c>
      <c r="Q2687">
        <v>-1.23899343722422</v>
      </c>
      <c r="R2687">
        <v>0.18298762323363901</v>
      </c>
      <c r="S2687">
        <v>12.6665726738778</v>
      </c>
      <c r="T2687">
        <v>-1.57515039729838</v>
      </c>
      <c r="U2687">
        <v>-5.6707938161618401</v>
      </c>
      <c r="V2687">
        <v>0.13491337846232401</v>
      </c>
      <c r="W2687">
        <v>0.72544466191224499</v>
      </c>
      <c r="X2687">
        <v>0</v>
      </c>
      <c r="Y2687">
        <v>0</v>
      </c>
    </row>
    <row r="2688" spans="1:25" x14ac:dyDescent="0.2">
      <c r="A2688" t="s">
        <v>10007</v>
      </c>
      <c r="B2688" t="s">
        <v>10008</v>
      </c>
      <c r="C2688" t="s">
        <v>10009</v>
      </c>
      <c r="D2688" t="s">
        <v>10010</v>
      </c>
      <c r="E2688" t="s">
        <v>10008</v>
      </c>
      <c r="F2688" t="s">
        <v>28</v>
      </c>
      <c r="G2688" t="s">
        <v>10008</v>
      </c>
      <c r="H2688" t="str">
        <f>"prp-39"</f>
        <v>prp-39</v>
      </c>
      <c r="I2688" t="s">
        <v>10010</v>
      </c>
      <c r="J2688">
        <v>14.814887286772199</v>
      </c>
      <c r="K2688">
        <v>15.026806501644399</v>
      </c>
      <c r="L2688">
        <v>14.8235043452058</v>
      </c>
      <c r="M2688">
        <v>14.659904469255</v>
      </c>
      <c r="N2688">
        <v>14.6454868136701</v>
      </c>
      <c r="O2688">
        <v>14.659468875486599</v>
      </c>
      <c r="P2688">
        <v>-0.233445991736907</v>
      </c>
      <c r="Q2688">
        <v>-0.68272542689453797</v>
      </c>
      <c r="R2688">
        <v>0.215833443420723</v>
      </c>
      <c r="S2688">
        <v>15.097805631930701</v>
      </c>
      <c r="T2688">
        <v>-1.09209996841048</v>
      </c>
      <c r="U2688">
        <v>-6.2794081517471598</v>
      </c>
      <c r="V2688">
        <v>0.28927461656172998</v>
      </c>
      <c r="W2688">
        <v>0.856190392347986</v>
      </c>
      <c r="X2688">
        <v>0</v>
      </c>
      <c r="Y2688">
        <v>0</v>
      </c>
    </row>
    <row r="2689" spans="1:25" x14ac:dyDescent="0.2">
      <c r="A2689" t="s">
        <v>10011</v>
      </c>
      <c r="B2689" t="s">
        <v>10012</v>
      </c>
      <c r="C2689" t="s">
        <v>10013</v>
      </c>
      <c r="D2689" t="s">
        <v>10014</v>
      </c>
      <c r="E2689" t="s">
        <v>10012</v>
      </c>
      <c r="F2689" t="s">
        <v>28</v>
      </c>
      <c r="G2689" t="s">
        <v>10012</v>
      </c>
      <c r="H2689" t="str">
        <f>"gcst-1"</f>
        <v>gcst-1</v>
      </c>
      <c r="I2689" t="s">
        <v>10014</v>
      </c>
      <c r="J2689">
        <v>16.758480596040201</v>
      </c>
      <c r="K2689">
        <v>16.7013512208962</v>
      </c>
      <c r="L2689">
        <v>16.6891100044739</v>
      </c>
      <c r="M2689">
        <v>16.774817716370901</v>
      </c>
      <c r="N2689">
        <v>16.6088348237285</v>
      </c>
      <c r="O2689">
        <v>16.589723005702201</v>
      </c>
      <c r="P2689">
        <v>-5.8522091869558999E-2</v>
      </c>
      <c r="Q2689">
        <v>-0.43740553946463001</v>
      </c>
      <c r="R2689">
        <v>0.320361355725512</v>
      </c>
      <c r="S2689">
        <v>16.3523213142321</v>
      </c>
      <c r="T2689">
        <v>-0.32464350771857398</v>
      </c>
      <c r="U2689">
        <v>-6.8275849091423204</v>
      </c>
      <c r="V2689">
        <v>0.74921520324684998</v>
      </c>
      <c r="W2689">
        <v>0.99184638945407499</v>
      </c>
      <c r="X2689">
        <v>0</v>
      </c>
      <c r="Y2689">
        <v>0</v>
      </c>
    </row>
    <row r="2690" spans="1:25" x14ac:dyDescent="0.2">
      <c r="A2690" t="s">
        <v>10015</v>
      </c>
      <c r="B2690" t="s">
        <v>10016</v>
      </c>
      <c r="C2690" t="s">
        <v>14543</v>
      </c>
      <c r="D2690" t="s">
        <v>412</v>
      </c>
      <c r="E2690" t="s">
        <v>10016</v>
      </c>
      <c r="F2690" t="s">
        <v>28</v>
      </c>
      <c r="G2690" t="s">
        <v>10016</v>
      </c>
      <c r="H2690" t="str">
        <f>"F45F2.10"</f>
        <v>F45F2.10</v>
      </c>
      <c r="I2690" t="s">
        <v>412</v>
      </c>
      <c r="J2690">
        <v>12.459303890614301</v>
      </c>
      <c r="K2690">
        <v>13.220903286123599</v>
      </c>
      <c r="L2690">
        <v>12.1693223398147</v>
      </c>
      <c r="M2690">
        <v>12.5099075818943</v>
      </c>
      <c r="N2690">
        <v>12.804135093442801</v>
      </c>
      <c r="O2690">
        <v>13.365678516075</v>
      </c>
      <c r="P2690">
        <v>0.27673055828648402</v>
      </c>
      <c r="Q2690">
        <v>-0.40154779377097899</v>
      </c>
      <c r="R2690">
        <v>0.95500891034394797</v>
      </c>
      <c r="S2690">
        <v>12.541713579894401</v>
      </c>
      <c r="T2690">
        <v>0.86119039231310601</v>
      </c>
      <c r="U2690">
        <v>-6.5021412107146004</v>
      </c>
      <c r="V2690">
        <v>0.40119056088336302</v>
      </c>
      <c r="W2690">
        <v>0.91027279600179201</v>
      </c>
      <c r="X2690">
        <v>0</v>
      </c>
      <c r="Y2690">
        <v>0</v>
      </c>
    </row>
    <row r="2691" spans="1:25" x14ac:dyDescent="0.2">
      <c r="A2691" t="s">
        <v>10017</v>
      </c>
      <c r="B2691" t="s">
        <v>10018</v>
      </c>
      <c r="C2691" t="s">
        <v>10019</v>
      </c>
      <c r="D2691" t="s">
        <v>10020</v>
      </c>
      <c r="E2691" t="s">
        <v>10018</v>
      </c>
      <c r="F2691" t="s">
        <v>28</v>
      </c>
      <c r="G2691" t="s">
        <v>10018</v>
      </c>
      <c r="H2691" t="str">
        <f>"sumv-2"</f>
        <v>sumv-2</v>
      </c>
      <c r="I2691" t="s">
        <v>10020</v>
      </c>
      <c r="J2691">
        <v>11.1403517114951</v>
      </c>
      <c r="K2691">
        <v>12.627407030373501</v>
      </c>
      <c r="L2691">
        <v>12.8440301172968</v>
      </c>
      <c r="M2691">
        <v>12.442010957499299</v>
      </c>
      <c r="N2691">
        <v>12.678908771211701</v>
      </c>
      <c r="O2691">
        <v>12.259867887658199</v>
      </c>
      <c r="P2691">
        <v>0.25633291906794797</v>
      </c>
      <c r="Q2691">
        <v>-0.49555397779750698</v>
      </c>
      <c r="R2691">
        <v>1.0082198159333999</v>
      </c>
      <c r="S2691">
        <v>12.582898252855699</v>
      </c>
      <c r="T2691">
        <v>0.73171803523753598</v>
      </c>
      <c r="U2691">
        <v>-6.6038663192972198</v>
      </c>
      <c r="V2691">
        <v>0.476501177434903</v>
      </c>
      <c r="W2691">
        <v>0.936125099470695</v>
      </c>
      <c r="X2691">
        <v>0</v>
      </c>
      <c r="Y2691">
        <v>0</v>
      </c>
    </row>
    <row r="2692" spans="1:25" x14ac:dyDescent="0.2">
      <c r="A2692" t="s">
        <v>10021</v>
      </c>
      <c r="B2692" t="s">
        <v>10022</v>
      </c>
      <c r="C2692" t="s">
        <v>10023</v>
      </c>
      <c r="D2692" t="s">
        <v>10024</v>
      </c>
      <c r="E2692" t="s">
        <v>10022</v>
      </c>
      <c r="F2692" t="s">
        <v>28</v>
      </c>
      <c r="G2692" t="s">
        <v>10022</v>
      </c>
      <c r="H2692" t="str">
        <f>"pmt-2"</f>
        <v>pmt-2</v>
      </c>
      <c r="I2692" t="s">
        <v>10024</v>
      </c>
      <c r="J2692">
        <v>11.9114440255166</v>
      </c>
      <c r="K2692">
        <v>12.139434846171101</v>
      </c>
      <c r="L2692">
        <v>12.773812559739</v>
      </c>
      <c r="M2692">
        <v>14.1978562671124</v>
      </c>
      <c r="N2692">
        <v>13.9757322457189</v>
      </c>
      <c r="O2692">
        <v>13.759660252334401</v>
      </c>
      <c r="P2692">
        <v>1.70285244457967</v>
      </c>
      <c r="Q2692">
        <v>1.1341976362658199</v>
      </c>
      <c r="R2692">
        <v>2.2715072528935298</v>
      </c>
      <c r="S2692">
        <v>13.6643153541856</v>
      </c>
      <c r="T2692">
        <v>6.2939141472450899</v>
      </c>
      <c r="U2692">
        <v>3.9334467180974202</v>
      </c>
      <c r="V2692" s="2">
        <v>6.3777607159240402E-6</v>
      </c>
      <c r="W2692">
        <v>5.3062969156488003E-4</v>
      </c>
      <c r="X2692">
        <v>1</v>
      </c>
      <c r="Y2692">
        <v>1</v>
      </c>
    </row>
    <row r="2693" spans="1:25" x14ac:dyDescent="0.2">
      <c r="A2693" t="s">
        <v>10025</v>
      </c>
      <c r="B2693" t="s">
        <v>10026</v>
      </c>
      <c r="C2693" t="s">
        <v>14544</v>
      </c>
      <c r="D2693" t="s">
        <v>10027</v>
      </c>
      <c r="E2693" t="s">
        <v>10026</v>
      </c>
      <c r="F2693" t="s">
        <v>28</v>
      </c>
      <c r="G2693" t="s">
        <v>10026</v>
      </c>
      <c r="H2693" t="str">
        <f>"R09F10.1"</f>
        <v>R09F10.1</v>
      </c>
      <c r="I2693" t="s">
        <v>10027</v>
      </c>
      <c r="J2693">
        <v>19.626252781925299</v>
      </c>
      <c r="K2693">
        <v>20.177354087717699</v>
      </c>
      <c r="L2693">
        <v>19.333070317635698</v>
      </c>
      <c r="M2693">
        <v>19.836005082622702</v>
      </c>
      <c r="N2693">
        <v>19.679864323667299</v>
      </c>
      <c r="O2693">
        <v>20.571673689087099</v>
      </c>
      <c r="P2693">
        <v>0.31695530269940903</v>
      </c>
      <c r="Q2693">
        <v>-0.64575538323663095</v>
      </c>
      <c r="R2693">
        <v>1.27966598863545</v>
      </c>
      <c r="S2693">
        <v>18.951419210917699</v>
      </c>
      <c r="T2693">
        <v>0.69198191243367202</v>
      </c>
      <c r="U2693">
        <v>-6.6356198124661496</v>
      </c>
      <c r="V2693">
        <v>0.49782977966088598</v>
      </c>
      <c r="W2693">
        <v>0.94062983959761604</v>
      </c>
      <c r="X2693">
        <v>0</v>
      </c>
      <c r="Y2693">
        <v>0</v>
      </c>
    </row>
    <row r="2694" spans="1:25" x14ac:dyDescent="0.2">
      <c r="A2694" t="s">
        <v>10028</v>
      </c>
      <c r="B2694" t="s">
        <v>10029</v>
      </c>
      <c r="C2694" t="s">
        <v>14545</v>
      </c>
      <c r="D2694" t="s">
        <v>3264</v>
      </c>
      <c r="E2694" t="s">
        <v>10029</v>
      </c>
      <c r="F2694" t="s">
        <v>28</v>
      </c>
      <c r="G2694" t="s">
        <v>10029</v>
      </c>
      <c r="H2694" t="str">
        <f>"T22B7.7"</f>
        <v>T22B7.7</v>
      </c>
      <c r="I2694" t="s">
        <v>3264</v>
      </c>
      <c r="J2694">
        <v>14.77006546664</v>
      </c>
      <c r="K2694">
        <v>14.208393281599699</v>
      </c>
      <c r="L2694">
        <v>14.985446092831801</v>
      </c>
      <c r="M2694">
        <v>14.9314686289298</v>
      </c>
      <c r="N2694">
        <v>15.2127476622895</v>
      </c>
      <c r="O2694">
        <v>14.667989001725401</v>
      </c>
      <c r="P2694">
        <v>0.28276681729108899</v>
      </c>
      <c r="Q2694">
        <v>-1.4979543609466499</v>
      </c>
      <c r="R2694">
        <v>2.0634879955288201</v>
      </c>
      <c r="S2694">
        <v>15.361843161924901</v>
      </c>
      <c r="T2694">
        <v>0.33375288843189499</v>
      </c>
      <c r="U2694">
        <v>-6.8244702444803202</v>
      </c>
      <c r="V2694">
        <v>0.742445170218335</v>
      </c>
      <c r="W2694">
        <v>0.99159672419203304</v>
      </c>
      <c r="X2694">
        <v>0</v>
      </c>
      <c r="Y2694">
        <v>0</v>
      </c>
    </row>
    <row r="2695" spans="1:25" x14ac:dyDescent="0.2">
      <c r="A2695" t="s">
        <v>10030</v>
      </c>
      <c r="B2695" t="s">
        <v>10031</v>
      </c>
      <c r="C2695" t="s">
        <v>10032</v>
      </c>
      <c r="D2695" t="s">
        <v>10033</v>
      </c>
      <c r="E2695" t="s">
        <v>10031</v>
      </c>
      <c r="F2695" t="s">
        <v>28</v>
      </c>
      <c r="G2695" t="s">
        <v>10031</v>
      </c>
      <c r="H2695" t="str">
        <f>"clik-1"</f>
        <v>clik-1</v>
      </c>
      <c r="I2695" t="s">
        <v>10033</v>
      </c>
      <c r="J2695">
        <v>12.287861907198799</v>
      </c>
      <c r="K2695">
        <v>11.872392554495001</v>
      </c>
      <c r="L2695">
        <v>12.507546479747001</v>
      </c>
      <c r="M2695">
        <v>12.4074439958393</v>
      </c>
      <c r="N2695">
        <v>12.579345690248999</v>
      </c>
      <c r="O2695">
        <v>12.803566939178401</v>
      </c>
      <c r="P2695">
        <v>0.37418522794195402</v>
      </c>
      <c r="Q2695">
        <v>-0.39191029370397001</v>
      </c>
      <c r="R2695">
        <v>1.1402807495878799</v>
      </c>
      <c r="S2695">
        <v>12.3805676872809</v>
      </c>
      <c r="T2695">
        <v>1.0359844688909201</v>
      </c>
      <c r="U2695">
        <v>-6.3364066684987899</v>
      </c>
      <c r="V2695">
        <v>0.31571418928769501</v>
      </c>
      <c r="W2695">
        <v>0.865163117388565</v>
      </c>
      <c r="X2695">
        <v>0</v>
      </c>
      <c r="Y2695">
        <v>0</v>
      </c>
    </row>
    <row r="2696" spans="1:25" x14ac:dyDescent="0.2">
      <c r="A2696" t="s">
        <v>10034</v>
      </c>
      <c r="B2696" t="s">
        <v>10035</v>
      </c>
      <c r="C2696" t="s">
        <v>10036</v>
      </c>
      <c r="D2696" t="s">
        <v>312</v>
      </c>
      <c r="E2696" t="s">
        <v>10035</v>
      </c>
      <c r="F2696" t="s">
        <v>28</v>
      </c>
      <c r="G2696" t="s">
        <v>10035</v>
      </c>
      <c r="H2696" t="str">
        <f>"acl-9"</f>
        <v>acl-9</v>
      </c>
      <c r="I2696" t="s">
        <v>312</v>
      </c>
      <c r="J2696">
        <v>13.7309938336595</v>
      </c>
      <c r="K2696">
        <v>13.71103890741</v>
      </c>
      <c r="L2696">
        <v>13.6498210678298</v>
      </c>
      <c r="M2696">
        <v>13.4105398275442</v>
      </c>
      <c r="N2696">
        <v>13.5565302940009</v>
      </c>
      <c r="O2696">
        <v>13.3797425221205</v>
      </c>
      <c r="P2696">
        <v>-0.248347055077872</v>
      </c>
      <c r="Q2696">
        <v>-0.72930801443606696</v>
      </c>
      <c r="R2696">
        <v>0.232613904280323</v>
      </c>
      <c r="S2696">
        <v>14.0521635733877</v>
      </c>
      <c r="T2696">
        <v>-1.08993149538793</v>
      </c>
      <c r="U2696">
        <v>-6.28097406440755</v>
      </c>
      <c r="V2696">
        <v>0.29104536148650101</v>
      </c>
      <c r="W2696">
        <v>0.85792645086543495</v>
      </c>
      <c r="X2696">
        <v>0</v>
      </c>
      <c r="Y2696">
        <v>0</v>
      </c>
    </row>
    <row r="2697" spans="1:25" x14ac:dyDescent="0.2">
      <c r="A2697" t="s">
        <v>10037</v>
      </c>
      <c r="B2697" t="s">
        <v>10038</v>
      </c>
      <c r="C2697" t="s">
        <v>10039</v>
      </c>
      <c r="D2697" t="s">
        <v>158</v>
      </c>
      <c r="E2697" t="s">
        <v>10038</v>
      </c>
      <c r="F2697" t="s">
        <v>28</v>
      </c>
      <c r="G2697" t="s">
        <v>10038</v>
      </c>
      <c r="H2697" t="str">
        <f>"xpo-1"</f>
        <v>xpo-1</v>
      </c>
      <c r="I2697" t="s">
        <v>158</v>
      </c>
      <c r="J2697">
        <v>15.530336239844299</v>
      </c>
      <c r="K2697">
        <v>15.523408840658099</v>
      </c>
      <c r="L2697">
        <v>15.2545169776087</v>
      </c>
      <c r="M2697">
        <v>15.431916022004801</v>
      </c>
      <c r="N2697">
        <v>15.3353642243805</v>
      </c>
      <c r="O2697">
        <v>15.298785541441401</v>
      </c>
      <c r="P2697">
        <v>-8.0732090094828707E-2</v>
      </c>
      <c r="Q2697">
        <v>-0.56580342872877598</v>
      </c>
      <c r="R2697">
        <v>0.40433924853911901</v>
      </c>
      <c r="S2697">
        <v>15.454944269517901</v>
      </c>
      <c r="T2697">
        <v>-0.34981070446817097</v>
      </c>
      <c r="U2697">
        <v>-6.8187726228917098</v>
      </c>
      <c r="V2697">
        <v>0.73056393048746204</v>
      </c>
      <c r="W2697">
        <v>0.99057748145465696</v>
      </c>
      <c r="X2697">
        <v>0</v>
      </c>
      <c r="Y2697">
        <v>0</v>
      </c>
    </row>
    <row r="2698" spans="1:25" x14ac:dyDescent="0.2">
      <c r="A2698" t="s">
        <v>10040</v>
      </c>
      <c r="B2698" t="s">
        <v>10041</v>
      </c>
      <c r="C2698" t="s">
        <v>14546</v>
      </c>
      <c r="D2698" t="s">
        <v>10042</v>
      </c>
      <c r="E2698" t="s">
        <v>10041</v>
      </c>
      <c r="F2698" t="s">
        <v>28</v>
      </c>
      <c r="G2698" t="s">
        <v>10041</v>
      </c>
      <c r="H2698" t="str">
        <f>"ZK742.3"</f>
        <v>ZK742.3</v>
      </c>
      <c r="I2698" t="s">
        <v>10042</v>
      </c>
      <c r="J2698" t="s">
        <v>29</v>
      </c>
      <c r="K2698">
        <v>12.548426421259199</v>
      </c>
      <c r="L2698">
        <v>13.004267998369601</v>
      </c>
      <c r="M2698">
        <v>12.057435521862599</v>
      </c>
      <c r="N2698">
        <v>12.4821077169739</v>
      </c>
      <c r="O2698" t="s">
        <v>29</v>
      </c>
      <c r="P2698">
        <v>-0.50657559039617395</v>
      </c>
      <c r="Q2698">
        <v>-1.3957764641097701</v>
      </c>
      <c r="R2698">
        <v>0.38262528331742302</v>
      </c>
      <c r="S2698">
        <v>12.3659175575389</v>
      </c>
      <c r="T2698">
        <v>-1.2317756735950101</v>
      </c>
      <c r="U2698">
        <v>-5.9220498810678004</v>
      </c>
      <c r="V2698">
        <v>0.24002336162840299</v>
      </c>
      <c r="W2698">
        <v>0.82420784257223501</v>
      </c>
      <c r="X2698">
        <v>0</v>
      </c>
      <c r="Y2698">
        <v>0</v>
      </c>
    </row>
    <row r="2699" spans="1:25" x14ac:dyDescent="0.2">
      <c r="A2699" t="s">
        <v>10043</v>
      </c>
      <c r="B2699" t="s">
        <v>10044</v>
      </c>
      <c r="C2699" t="s">
        <v>14547</v>
      </c>
      <c r="D2699" t="s">
        <v>10042</v>
      </c>
      <c r="E2699" t="s">
        <v>10044</v>
      </c>
      <c r="F2699" t="s">
        <v>28</v>
      </c>
      <c r="G2699" t="s">
        <v>10044</v>
      </c>
      <c r="H2699" t="str">
        <f>"ZK742.4"</f>
        <v>ZK742.4</v>
      </c>
      <c r="I2699" t="s">
        <v>10042</v>
      </c>
      <c r="J2699">
        <v>12.746211592708001</v>
      </c>
      <c r="K2699">
        <v>12.549037479938301</v>
      </c>
      <c r="L2699">
        <v>11.4981920496638</v>
      </c>
      <c r="M2699">
        <v>12.287727589783801</v>
      </c>
      <c r="N2699">
        <v>12.355624038722301</v>
      </c>
      <c r="O2699">
        <v>12.793959666976001</v>
      </c>
      <c r="P2699">
        <v>0.21462339105733499</v>
      </c>
      <c r="Q2699">
        <v>-0.482334300176193</v>
      </c>
      <c r="R2699">
        <v>0.91158108229086399</v>
      </c>
      <c r="S2699">
        <v>12.1248339386166</v>
      </c>
      <c r="T2699">
        <v>0.68712781282149804</v>
      </c>
      <c r="U2699">
        <v>-6.6312494681649197</v>
      </c>
      <c r="V2699">
        <v>0.50778595970866802</v>
      </c>
      <c r="W2699">
        <v>0.94062983959761604</v>
      </c>
      <c r="X2699">
        <v>0</v>
      </c>
      <c r="Y2699">
        <v>0</v>
      </c>
    </row>
    <row r="2700" spans="1:25" x14ac:dyDescent="0.2">
      <c r="A2700" t="s">
        <v>10045</v>
      </c>
      <c r="B2700" t="s">
        <v>10046</v>
      </c>
      <c r="C2700" t="s">
        <v>10047</v>
      </c>
      <c r="D2700" t="s">
        <v>10048</v>
      </c>
      <c r="E2700" t="s">
        <v>10046</v>
      </c>
      <c r="F2700" t="s">
        <v>28</v>
      </c>
      <c r="G2700" t="s">
        <v>10046</v>
      </c>
      <c r="H2700" t="str">
        <f>"tofu-5"</f>
        <v>tofu-5</v>
      </c>
      <c r="I2700" t="s">
        <v>10048</v>
      </c>
      <c r="J2700" t="s">
        <v>29</v>
      </c>
      <c r="K2700" t="s">
        <v>29</v>
      </c>
      <c r="L2700" t="s">
        <v>29</v>
      </c>
      <c r="M2700" t="s">
        <v>29</v>
      </c>
      <c r="N2700" t="s">
        <v>29</v>
      </c>
      <c r="O2700" t="s">
        <v>29</v>
      </c>
      <c r="P2700" t="s">
        <v>29</v>
      </c>
      <c r="Q2700" t="s">
        <v>29</v>
      </c>
      <c r="R2700" t="s">
        <v>29</v>
      </c>
      <c r="S2700">
        <v>11.3896191804526</v>
      </c>
      <c r="T2700" t="s">
        <v>29</v>
      </c>
      <c r="U2700" t="s">
        <v>29</v>
      </c>
      <c r="V2700" t="s">
        <v>29</v>
      </c>
      <c r="W2700" t="s">
        <v>29</v>
      </c>
      <c r="X2700" t="s">
        <v>29</v>
      </c>
      <c r="Y2700" t="s">
        <v>29</v>
      </c>
    </row>
    <row r="2701" spans="1:25" x14ac:dyDescent="0.2">
      <c r="A2701" t="s">
        <v>10049</v>
      </c>
      <c r="B2701" t="s">
        <v>10050</v>
      </c>
      <c r="C2701" t="s">
        <v>10051</v>
      </c>
      <c r="D2701" t="s">
        <v>10052</v>
      </c>
      <c r="E2701" t="s">
        <v>10050</v>
      </c>
      <c r="F2701" t="s">
        <v>28</v>
      </c>
      <c r="G2701" t="s">
        <v>10050</v>
      </c>
      <c r="H2701" t="str">
        <f>"rsp-2"</f>
        <v>rsp-2</v>
      </c>
      <c r="I2701" t="s">
        <v>10052</v>
      </c>
      <c r="J2701">
        <v>15.689498331400801</v>
      </c>
      <c r="K2701">
        <v>15.3436290634905</v>
      </c>
      <c r="L2701">
        <v>15.629326170269399</v>
      </c>
      <c r="M2701">
        <v>15.798055794521201</v>
      </c>
      <c r="N2701">
        <v>15.7986617266689</v>
      </c>
      <c r="O2701">
        <v>15.207806267333201</v>
      </c>
      <c r="P2701">
        <v>4.7356741120864902E-2</v>
      </c>
      <c r="Q2701">
        <v>-0.45091166304581798</v>
      </c>
      <c r="R2701">
        <v>0.54562514528754802</v>
      </c>
      <c r="S2701">
        <v>15.7149698267249</v>
      </c>
      <c r="T2701">
        <v>0.199761123911325</v>
      </c>
      <c r="U2701">
        <v>-6.8616629960038402</v>
      </c>
      <c r="V2701">
        <v>0.84391983045225105</v>
      </c>
      <c r="W2701">
        <v>0.99370971747667503</v>
      </c>
      <c r="X2701">
        <v>0</v>
      </c>
      <c r="Y2701">
        <v>0</v>
      </c>
    </row>
    <row r="2702" spans="1:25" x14ac:dyDescent="0.2">
      <c r="A2702" t="s">
        <v>10053</v>
      </c>
      <c r="B2702" t="s">
        <v>10054</v>
      </c>
      <c r="C2702" t="s">
        <v>10055</v>
      </c>
      <c r="D2702" t="s">
        <v>10056</v>
      </c>
      <c r="E2702" t="s">
        <v>10054</v>
      </c>
      <c r="F2702" t="s">
        <v>28</v>
      </c>
      <c r="G2702" t="s">
        <v>10054</v>
      </c>
      <c r="H2702" t="str">
        <f>"rsp-1"</f>
        <v>rsp-1</v>
      </c>
      <c r="I2702" t="s">
        <v>10056</v>
      </c>
      <c r="J2702">
        <v>12.018144898279401</v>
      </c>
      <c r="K2702">
        <v>12.3567437822255</v>
      </c>
      <c r="L2702">
        <v>12.066877319384201</v>
      </c>
      <c r="M2702">
        <v>12.6535390713594</v>
      </c>
      <c r="N2702">
        <v>13.0613268798544</v>
      </c>
      <c r="O2702">
        <v>12.969436947630999</v>
      </c>
      <c r="P2702">
        <v>0.74751229965190202</v>
      </c>
      <c r="Q2702">
        <v>-0.27440738693788702</v>
      </c>
      <c r="R2702">
        <v>1.7694319862416901</v>
      </c>
      <c r="S2702">
        <v>12.853451061473301</v>
      </c>
      <c r="T2702">
        <v>1.55149759665408</v>
      </c>
      <c r="U2702">
        <v>-5.7044545590755797</v>
      </c>
      <c r="V2702">
        <v>0.140463426755182</v>
      </c>
      <c r="W2702">
        <v>0.72927033422971299</v>
      </c>
      <c r="X2702">
        <v>0</v>
      </c>
      <c r="Y2702">
        <v>0</v>
      </c>
    </row>
    <row r="2703" spans="1:25" x14ac:dyDescent="0.2">
      <c r="A2703" t="s">
        <v>10057</v>
      </c>
      <c r="B2703" t="s">
        <v>10058</v>
      </c>
      <c r="C2703" t="s">
        <v>10059</v>
      </c>
      <c r="D2703" t="s">
        <v>10060</v>
      </c>
      <c r="E2703" t="s">
        <v>10058</v>
      </c>
      <c r="F2703" t="s">
        <v>28</v>
      </c>
      <c r="G2703" t="s">
        <v>10058</v>
      </c>
      <c r="H2703" t="str">
        <f>"mfn-1"</f>
        <v>mfn-1</v>
      </c>
      <c r="I2703" t="s">
        <v>10060</v>
      </c>
      <c r="J2703">
        <v>12.7016250537134</v>
      </c>
      <c r="K2703">
        <v>12.501031732775701</v>
      </c>
      <c r="L2703">
        <v>12.903562971980801</v>
      </c>
      <c r="M2703">
        <v>13.0850191943002</v>
      </c>
      <c r="N2703">
        <v>12.5833423995623</v>
      </c>
      <c r="O2703">
        <v>12.8957144506772</v>
      </c>
      <c r="P2703">
        <v>0.15261876202326299</v>
      </c>
      <c r="Q2703">
        <v>-0.342741845284328</v>
      </c>
      <c r="R2703">
        <v>0.64797936933085398</v>
      </c>
      <c r="S2703">
        <v>12.751431075775599</v>
      </c>
      <c r="T2703">
        <v>0.65348555046886703</v>
      </c>
      <c r="U2703">
        <v>-6.6608692403236001</v>
      </c>
      <c r="V2703">
        <v>0.52278496721793899</v>
      </c>
      <c r="W2703">
        <v>0.94245155746843701</v>
      </c>
      <c r="X2703">
        <v>0</v>
      </c>
      <c r="Y2703">
        <v>0</v>
      </c>
    </row>
    <row r="2704" spans="1:25" x14ac:dyDescent="0.2">
      <c r="A2704" t="s">
        <v>10061</v>
      </c>
      <c r="B2704" t="s">
        <v>10062</v>
      </c>
      <c r="C2704" t="s">
        <v>10063</v>
      </c>
      <c r="D2704" t="s">
        <v>10064</v>
      </c>
      <c r="E2704" t="s">
        <v>10062</v>
      </c>
      <c r="F2704" t="s">
        <v>28</v>
      </c>
      <c r="G2704" t="s">
        <v>10062</v>
      </c>
      <c r="H2704" t="str">
        <f>"metl-1"</f>
        <v>metl-1</v>
      </c>
      <c r="I2704" t="s">
        <v>10064</v>
      </c>
      <c r="J2704" t="s">
        <v>29</v>
      </c>
      <c r="K2704" t="s">
        <v>29</v>
      </c>
      <c r="L2704" t="s">
        <v>29</v>
      </c>
      <c r="M2704" t="s">
        <v>29</v>
      </c>
      <c r="N2704">
        <v>10.9051101495466</v>
      </c>
      <c r="O2704" t="s">
        <v>29</v>
      </c>
      <c r="P2704" t="s">
        <v>29</v>
      </c>
      <c r="Q2704" t="s">
        <v>29</v>
      </c>
      <c r="R2704" t="s">
        <v>29</v>
      </c>
      <c r="S2704">
        <v>10.8824416291692</v>
      </c>
      <c r="T2704" t="s">
        <v>29</v>
      </c>
      <c r="U2704" t="s">
        <v>29</v>
      </c>
      <c r="V2704" t="s">
        <v>29</v>
      </c>
      <c r="W2704" t="s">
        <v>29</v>
      </c>
      <c r="X2704" t="s">
        <v>29</v>
      </c>
      <c r="Y2704" t="s">
        <v>29</v>
      </c>
    </row>
    <row r="2705" spans="1:25" x14ac:dyDescent="0.2">
      <c r="A2705" t="s">
        <v>10065</v>
      </c>
      <c r="B2705" t="s">
        <v>10066</v>
      </c>
      <c r="C2705" t="s">
        <v>14548</v>
      </c>
      <c r="D2705" t="s">
        <v>368</v>
      </c>
      <c r="E2705" t="s">
        <v>10066</v>
      </c>
      <c r="F2705" t="s">
        <v>28</v>
      </c>
      <c r="G2705" t="s">
        <v>10066</v>
      </c>
      <c r="H2705" t="str">
        <f>"W03C9.2"</f>
        <v>W03C9.2</v>
      </c>
      <c r="I2705" t="s">
        <v>368</v>
      </c>
      <c r="J2705" t="s">
        <v>29</v>
      </c>
      <c r="K2705" t="s">
        <v>29</v>
      </c>
      <c r="L2705" t="s">
        <v>29</v>
      </c>
      <c r="M2705" t="s">
        <v>29</v>
      </c>
      <c r="N2705" t="s">
        <v>29</v>
      </c>
      <c r="O2705" t="s">
        <v>29</v>
      </c>
      <c r="P2705" t="s">
        <v>29</v>
      </c>
      <c r="Q2705" t="s">
        <v>29</v>
      </c>
      <c r="R2705" t="s">
        <v>29</v>
      </c>
      <c r="S2705">
        <v>12.426038176705999</v>
      </c>
      <c r="T2705" t="s">
        <v>29</v>
      </c>
      <c r="U2705" t="s">
        <v>29</v>
      </c>
      <c r="V2705" t="s">
        <v>29</v>
      </c>
      <c r="W2705" t="s">
        <v>29</v>
      </c>
      <c r="X2705" t="s">
        <v>29</v>
      </c>
      <c r="Y2705" t="s">
        <v>29</v>
      </c>
    </row>
    <row r="2706" spans="1:25" x14ac:dyDescent="0.2">
      <c r="A2706" t="s">
        <v>10067</v>
      </c>
      <c r="B2706" t="s">
        <v>10068</v>
      </c>
      <c r="C2706" t="s">
        <v>10069</v>
      </c>
      <c r="D2706" t="s">
        <v>10070</v>
      </c>
      <c r="E2706" t="s">
        <v>10068</v>
      </c>
      <c r="F2706" t="s">
        <v>28</v>
      </c>
      <c r="G2706" t="s">
        <v>10068</v>
      </c>
      <c r="H2706" t="str">
        <f>"rab-7"</f>
        <v>rab-7</v>
      </c>
      <c r="I2706" t="s">
        <v>10070</v>
      </c>
      <c r="J2706">
        <v>16.829204830999199</v>
      </c>
      <c r="K2706">
        <v>16.786635674786002</v>
      </c>
      <c r="L2706">
        <v>16.564677607494399</v>
      </c>
      <c r="M2706">
        <v>16.4346569454903</v>
      </c>
      <c r="N2706">
        <v>16.255596598781501</v>
      </c>
      <c r="O2706">
        <v>16.8168610587757</v>
      </c>
      <c r="P2706">
        <v>-0.22446783674399001</v>
      </c>
      <c r="Q2706">
        <v>-0.70055878911845604</v>
      </c>
      <c r="R2706">
        <v>0.25162311563047501</v>
      </c>
      <c r="S2706">
        <v>16.295905851084999</v>
      </c>
      <c r="T2706">
        <v>-0.99096132687396499</v>
      </c>
      <c r="U2706">
        <v>-6.3831176249027299</v>
      </c>
      <c r="V2706">
        <v>0.33491553768187698</v>
      </c>
      <c r="W2706">
        <v>0.87368774661315896</v>
      </c>
      <c r="X2706">
        <v>0</v>
      </c>
      <c r="Y2706">
        <v>0</v>
      </c>
    </row>
    <row r="2707" spans="1:25" x14ac:dyDescent="0.2">
      <c r="A2707" t="s">
        <v>10071</v>
      </c>
      <c r="B2707" t="s">
        <v>10072</v>
      </c>
      <c r="C2707" t="s">
        <v>10073</v>
      </c>
      <c r="D2707" t="s">
        <v>10074</v>
      </c>
      <c r="E2707" t="s">
        <v>10072</v>
      </c>
      <c r="F2707" t="s">
        <v>28</v>
      </c>
      <c r="G2707" t="s">
        <v>10072</v>
      </c>
      <c r="H2707" t="str">
        <f>"mrps-11"</f>
        <v>mrps-11</v>
      </c>
      <c r="I2707" t="s">
        <v>10074</v>
      </c>
      <c r="J2707">
        <v>14.360673508082</v>
      </c>
      <c r="K2707">
        <v>14.499940461733299</v>
      </c>
      <c r="L2707">
        <v>14.5283679401558</v>
      </c>
      <c r="M2707">
        <v>14.496759911536399</v>
      </c>
      <c r="N2707">
        <v>13.8103002003848</v>
      </c>
      <c r="O2707">
        <v>14.244274166939</v>
      </c>
      <c r="P2707">
        <v>-0.279215877036945</v>
      </c>
      <c r="Q2707">
        <v>-0.83467062677251702</v>
      </c>
      <c r="R2707">
        <v>0.27623887269862601</v>
      </c>
      <c r="S2707">
        <v>14.233878006562099</v>
      </c>
      <c r="T2707">
        <v>-1.0565351208914899</v>
      </c>
      <c r="U2707">
        <v>-6.3168906911992098</v>
      </c>
      <c r="V2707">
        <v>0.30477916889054602</v>
      </c>
      <c r="W2707">
        <v>0.85855590823088301</v>
      </c>
      <c r="X2707">
        <v>0</v>
      </c>
      <c r="Y2707">
        <v>0</v>
      </c>
    </row>
    <row r="2708" spans="1:25" x14ac:dyDescent="0.2">
      <c r="A2708" t="s">
        <v>10075</v>
      </c>
      <c r="B2708" t="s">
        <v>10076</v>
      </c>
      <c r="C2708" t="s">
        <v>10077</v>
      </c>
      <c r="D2708" t="s">
        <v>10078</v>
      </c>
      <c r="E2708" t="s">
        <v>10076</v>
      </c>
      <c r="F2708" t="s">
        <v>28</v>
      </c>
      <c r="G2708" t="s">
        <v>10076</v>
      </c>
      <c r="H2708" t="str">
        <f>"atn-1"</f>
        <v>atn-1</v>
      </c>
      <c r="I2708" t="s">
        <v>10078</v>
      </c>
      <c r="J2708">
        <v>11.994434392462599</v>
      </c>
      <c r="K2708">
        <v>12.5645498562592</v>
      </c>
      <c r="L2708">
        <v>12.8021193848235</v>
      </c>
      <c r="M2708">
        <v>12.0787641618625</v>
      </c>
      <c r="N2708">
        <v>12.272939346321399</v>
      </c>
      <c r="O2708">
        <v>12.474297390722899</v>
      </c>
      <c r="P2708">
        <v>-0.17836757821286001</v>
      </c>
      <c r="Q2708">
        <v>-1.1174904470231799</v>
      </c>
      <c r="R2708">
        <v>0.76075529059745906</v>
      </c>
      <c r="S2708">
        <v>12.9063868342538</v>
      </c>
      <c r="T2708">
        <v>-0.39919584524393098</v>
      </c>
      <c r="U2708">
        <v>-6.7995980205033701</v>
      </c>
      <c r="V2708">
        <v>0.69447271363578</v>
      </c>
      <c r="W2708">
        <v>0.98642420921484297</v>
      </c>
      <c r="X2708">
        <v>0</v>
      </c>
      <c r="Y2708">
        <v>0</v>
      </c>
    </row>
    <row r="2709" spans="1:25" x14ac:dyDescent="0.2">
      <c r="A2709" t="s">
        <v>10079</v>
      </c>
      <c r="B2709" t="s">
        <v>10080</v>
      </c>
      <c r="C2709" t="s">
        <v>14549</v>
      </c>
      <c r="D2709" t="s">
        <v>130</v>
      </c>
      <c r="E2709" t="s">
        <v>10080</v>
      </c>
      <c r="F2709" t="s">
        <v>28</v>
      </c>
      <c r="G2709" t="s">
        <v>10080</v>
      </c>
      <c r="H2709" t="str">
        <f>"W04D2.4"</f>
        <v>W04D2.4</v>
      </c>
      <c r="I2709" t="s">
        <v>130</v>
      </c>
      <c r="J2709">
        <v>11.7264072121352</v>
      </c>
      <c r="K2709" t="s">
        <v>29</v>
      </c>
      <c r="L2709">
        <v>10.500686400114301</v>
      </c>
      <c r="M2709" t="s">
        <v>29</v>
      </c>
      <c r="N2709">
        <v>10.8650044370307</v>
      </c>
      <c r="O2709">
        <v>11.609328556339101</v>
      </c>
      <c r="P2709">
        <v>0.123619690560119</v>
      </c>
      <c r="Q2709">
        <v>-0.69506804604850803</v>
      </c>
      <c r="R2709">
        <v>0.94230742716874605</v>
      </c>
      <c r="S2709">
        <v>12.1193238302801</v>
      </c>
      <c r="T2709">
        <v>0.32648002241569901</v>
      </c>
      <c r="U2709">
        <v>-6.6260195637794901</v>
      </c>
      <c r="V2709">
        <v>0.74929944456777198</v>
      </c>
      <c r="W2709">
        <v>0.99184638945407499</v>
      </c>
      <c r="X2709">
        <v>0</v>
      </c>
      <c r="Y2709">
        <v>0</v>
      </c>
    </row>
    <row r="2710" spans="1:25" x14ac:dyDescent="0.2">
      <c r="A2710" t="s">
        <v>10081</v>
      </c>
      <c r="B2710" t="s">
        <v>10082</v>
      </c>
      <c r="C2710" t="s">
        <v>10083</v>
      </c>
      <c r="D2710" t="s">
        <v>10084</v>
      </c>
      <c r="E2710" t="s">
        <v>10082</v>
      </c>
      <c r="F2710" t="s">
        <v>28</v>
      </c>
      <c r="G2710" t="s">
        <v>10082</v>
      </c>
      <c r="H2710" t="str">
        <f>"lpr-4"</f>
        <v>lpr-4</v>
      </c>
      <c r="I2710" t="s">
        <v>10084</v>
      </c>
      <c r="J2710">
        <v>14.021900658774801</v>
      </c>
      <c r="K2710">
        <v>10.374728907359501</v>
      </c>
      <c r="L2710">
        <v>12.864229351504401</v>
      </c>
      <c r="M2710" t="s">
        <v>29</v>
      </c>
      <c r="N2710">
        <v>13.330698785664801</v>
      </c>
      <c r="O2710">
        <v>14.225212244366601</v>
      </c>
      <c r="P2710">
        <v>1.35766920913613</v>
      </c>
      <c r="Q2710">
        <v>-0.47734648866649498</v>
      </c>
      <c r="R2710">
        <v>3.1926849069387502</v>
      </c>
      <c r="S2710">
        <v>12.7719237777366</v>
      </c>
      <c r="T2710">
        <v>1.6136123061597201</v>
      </c>
      <c r="U2710">
        <v>-5.5140755416958802</v>
      </c>
      <c r="V2710">
        <v>0.132808947240349</v>
      </c>
      <c r="W2710">
        <v>0.72220290264032605</v>
      </c>
      <c r="X2710">
        <v>0</v>
      </c>
      <c r="Y2710">
        <v>0</v>
      </c>
    </row>
    <row r="2711" spans="1:25" x14ac:dyDescent="0.2">
      <c r="A2711" t="s">
        <v>10085</v>
      </c>
      <c r="B2711" t="s">
        <v>10086</v>
      </c>
      <c r="C2711" t="s">
        <v>14550</v>
      </c>
      <c r="D2711" t="s">
        <v>10087</v>
      </c>
      <c r="E2711" t="s">
        <v>10086</v>
      </c>
      <c r="F2711" t="s">
        <v>28</v>
      </c>
      <c r="G2711" t="s">
        <v>10086</v>
      </c>
      <c r="H2711" t="str">
        <f>"W04G3.5"</f>
        <v>W04G3.5</v>
      </c>
      <c r="I2711" t="s">
        <v>10087</v>
      </c>
      <c r="J2711">
        <v>13.574914293940999</v>
      </c>
      <c r="K2711">
        <v>13.267246230264799</v>
      </c>
      <c r="L2711">
        <v>13.652754370663899</v>
      </c>
      <c r="M2711">
        <v>13.867507722509499</v>
      </c>
      <c r="N2711">
        <v>13.4726981866836</v>
      </c>
      <c r="O2711">
        <v>13.532953525532101</v>
      </c>
      <c r="P2711">
        <v>0.12608151328514999</v>
      </c>
      <c r="Q2711">
        <v>-0.37976405652419698</v>
      </c>
      <c r="R2711">
        <v>0.63192708309449797</v>
      </c>
      <c r="S2711">
        <v>13.6428492813291</v>
      </c>
      <c r="T2711">
        <v>0.52387295089072405</v>
      </c>
      <c r="U2711">
        <v>-6.7401933700298704</v>
      </c>
      <c r="V2711">
        <v>0.60679493495746695</v>
      </c>
      <c r="W2711">
        <v>0.97103528123305605</v>
      </c>
      <c r="X2711">
        <v>0</v>
      </c>
      <c r="Y2711">
        <v>0</v>
      </c>
    </row>
    <row r="2712" spans="1:25" x14ac:dyDescent="0.2">
      <c r="A2712" t="s">
        <v>10088</v>
      </c>
      <c r="B2712" t="s">
        <v>10089</v>
      </c>
      <c r="C2712" t="s">
        <v>14551</v>
      </c>
      <c r="D2712" t="s">
        <v>10090</v>
      </c>
      <c r="E2712" t="s">
        <v>10089</v>
      </c>
      <c r="F2712" t="s">
        <v>28</v>
      </c>
      <c r="G2712" t="s">
        <v>10089</v>
      </c>
      <c r="H2712" t="str">
        <f>"W05H9.2"</f>
        <v>W05H9.2</v>
      </c>
      <c r="I2712" t="s">
        <v>10090</v>
      </c>
      <c r="J2712">
        <v>11.5151347286338</v>
      </c>
      <c r="K2712">
        <v>10.6242672616194</v>
      </c>
      <c r="L2712">
        <v>11.096338985543801</v>
      </c>
      <c r="M2712">
        <v>11.411464719590199</v>
      </c>
      <c r="N2712">
        <v>11.474520062229301</v>
      </c>
      <c r="O2712" t="s">
        <v>29</v>
      </c>
      <c r="P2712">
        <v>0.364412065644105</v>
      </c>
      <c r="Q2712">
        <v>-0.3932660590757</v>
      </c>
      <c r="R2712">
        <v>1.12209019036391</v>
      </c>
      <c r="S2712">
        <v>12.1115293452426</v>
      </c>
      <c r="T2712">
        <v>1.03990877692183</v>
      </c>
      <c r="U2712">
        <v>-6.22019838684216</v>
      </c>
      <c r="V2712">
        <v>0.31748860168556298</v>
      </c>
      <c r="W2712">
        <v>0.86534615141322802</v>
      </c>
      <c r="X2712">
        <v>0</v>
      </c>
      <c r="Y2712">
        <v>0</v>
      </c>
    </row>
    <row r="2713" spans="1:25" x14ac:dyDescent="0.2">
      <c r="A2713" t="s">
        <v>10091</v>
      </c>
      <c r="B2713" t="s">
        <v>10092</v>
      </c>
      <c r="C2713" t="s">
        <v>10093</v>
      </c>
      <c r="D2713" t="s">
        <v>6796</v>
      </c>
      <c r="E2713" t="s">
        <v>10092</v>
      </c>
      <c r="F2713" t="s">
        <v>28</v>
      </c>
      <c r="G2713" t="s">
        <v>10092</v>
      </c>
      <c r="H2713" t="str">
        <f>"puf-9"</f>
        <v>puf-9</v>
      </c>
      <c r="I2713" t="s">
        <v>6796</v>
      </c>
      <c r="J2713" t="s">
        <v>29</v>
      </c>
      <c r="K2713" t="s">
        <v>29</v>
      </c>
      <c r="L2713" t="s">
        <v>29</v>
      </c>
      <c r="M2713">
        <v>12.3349047705982</v>
      </c>
      <c r="N2713">
        <v>12.6736076047035</v>
      </c>
      <c r="O2713">
        <v>12.9814915546914</v>
      </c>
      <c r="P2713" t="s">
        <v>29</v>
      </c>
      <c r="Q2713" t="s">
        <v>29</v>
      </c>
      <c r="R2713" t="s">
        <v>29</v>
      </c>
      <c r="S2713">
        <v>12.7905711239393</v>
      </c>
      <c r="T2713" t="s">
        <v>29</v>
      </c>
      <c r="U2713" t="s">
        <v>29</v>
      </c>
      <c r="V2713" t="s">
        <v>29</v>
      </c>
      <c r="W2713" t="s">
        <v>29</v>
      </c>
      <c r="X2713" t="s">
        <v>29</v>
      </c>
      <c r="Y2713" t="s">
        <v>29</v>
      </c>
    </row>
    <row r="2714" spans="1:25" x14ac:dyDescent="0.2">
      <c r="A2714" t="s">
        <v>10094</v>
      </c>
      <c r="B2714" t="s">
        <v>10095</v>
      </c>
      <c r="C2714" t="s">
        <v>10096</v>
      </c>
      <c r="D2714" t="s">
        <v>10097</v>
      </c>
      <c r="E2714" t="s">
        <v>10095</v>
      </c>
      <c r="F2714" t="s">
        <v>28</v>
      </c>
      <c r="G2714" t="s">
        <v>10095</v>
      </c>
      <c r="H2714" t="str">
        <f>"atat-2"</f>
        <v>atat-2</v>
      </c>
      <c r="I2714" t="s">
        <v>10097</v>
      </c>
      <c r="J2714">
        <v>11.355025536448601</v>
      </c>
      <c r="K2714">
        <v>11.7412240080253</v>
      </c>
      <c r="L2714">
        <v>11.572356228087999</v>
      </c>
      <c r="M2714">
        <v>10.504918785238999</v>
      </c>
      <c r="N2714">
        <v>11.4128692734994</v>
      </c>
      <c r="O2714">
        <v>11.6226945119008</v>
      </c>
      <c r="P2714">
        <v>-0.376041067307607</v>
      </c>
      <c r="Q2714">
        <v>-1.1816455075907799</v>
      </c>
      <c r="R2714">
        <v>0.42956337297556202</v>
      </c>
      <c r="S2714">
        <v>11.631639247427501</v>
      </c>
      <c r="T2714">
        <v>-0.99006328396301402</v>
      </c>
      <c r="U2714">
        <v>-6.3823431217003996</v>
      </c>
      <c r="V2714">
        <v>0.336976229384299</v>
      </c>
      <c r="W2714">
        <v>0.87368774661315896</v>
      </c>
      <c r="X2714">
        <v>0</v>
      </c>
      <c r="Y2714">
        <v>0</v>
      </c>
    </row>
    <row r="2715" spans="1:25" x14ac:dyDescent="0.2">
      <c r="A2715" t="s">
        <v>10098</v>
      </c>
      <c r="B2715" t="s">
        <v>10099</v>
      </c>
      <c r="C2715" t="s">
        <v>10100</v>
      </c>
      <c r="D2715" t="s">
        <v>10101</v>
      </c>
      <c r="E2715" t="s">
        <v>10099</v>
      </c>
      <c r="F2715" t="s">
        <v>28</v>
      </c>
      <c r="G2715" t="s">
        <v>10099</v>
      </c>
      <c r="H2715" t="str">
        <f>"vps-18"</f>
        <v>vps-18</v>
      </c>
      <c r="I2715" t="s">
        <v>10101</v>
      </c>
      <c r="J2715">
        <v>12.0790523854456</v>
      </c>
      <c r="K2715">
        <v>12.218639884957801</v>
      </c>
      <c r="L2715">
        <v>11.9699644238428</v>
      </c>
      <c r="M2715">
        <v>12.6750575507936</v>
      </c>
      <c r="N2715">
        <v>12.3541097583065</v>
      </c>
      <c r="O2715">
        <v>11.956053453374899</v>
      </c>
      <c r="P2715">
        <v>0.23918802274293099</v>
      </c>
      <c r="Q2715">
        <v>-0.25759954952028402</v>
      </c>
      <c r="R2715">
        <v>0.73597559500614695</v>
      </c>
      <c r="S2715">
        <v>12.377850980665601</v>
      </c>
      <c r="T2715">
        <v>1.0162924961617601</v>
      </c>
      <c r="U2715">
        <v>-6.3572029468537501</v>
      </c>
      <c r="V2715">
        <v>0.32382392597624499</v>
      </c>
      <c r="W2715">
        <v>0.86923772215581496</v>
      </c>
      <c r="X2715">
        <v>0</v>
      </c>
      <c r="Y2715">
        <v>0</v>
      </c>
    </row>
    <row r="2716" spans="1:25" x14ac:dyDescent="0.2">
      <c r="A2716" t="s">
        <v>10102</v>
      </c>
      <c r="B2716" t="s">
        <v>10103</v>
      </c>
      <c r="C2716" t="s">
        <v>14552</v>
      </c>
      <c r="D2716" t="s">
        <v>10104</v>
      </c>
      <c r="E2716" t="s">
        <v>10103</v>
      </c>
      <c r="F2716" t="s">
        <v>28</v>
      </c>
      <c r="G2716" t="s">
        <v>10103</v>
      </c>
      <c r="H2716" t="str">
        <f>"W06B4.1"</f>
        <v>W06B4.1</v>
      </c>
      <c r="I2716" t="s">
        <v>10104</v>
      </c>
      <c r="J2716">
        <v>11.779460308587799</v>
      </c>
      <c r="K2716">
        <v>11.6722523359548</v>
      </c>
      <c r="L2716">
        <v>11.917887091905801</v>
      </c>
      <c r="M2716">
        <v>11.459236006789901</v>
      </c>
      <c r="N2716">
        <v>12.3443456414181</v>
      </c>
      <c r="O2716">
        <v>11.889050736894999</v>
      </c>
      <c r="P2716">
        <v>0.107677549551553</v>
      </c>
      <c r="Q2716">
        <v>-0.45843847718894498</v>
      </c>
      <c r="R2716">
        <v>0.67379357629205106</v>
      </c>
      <c r="S2716">
        <v>12.6789880760413</v>
      </c>
      <c r="T2716">
        <v>0.40343097842443698</v>
      </c>
      <c r="U2716">
        <v>-6.7973230827477904</v>
      </c>
      <c r="V2716">
        <v>0.69200623530507099</v>
      </c>
      <c r="W2716">
        <v>0.98642420921484297</v>
      </c>
      <c r="X2716">
        <v>0</v>
      </c>
      <c r="Y2716">
        <v>0</v>
      </c>
    </row>
    <row r="2717" spans="1:25" x14ac:dyDescent="0.2">
      <c r="A2717" t="s">
        <v>10105</v>
      </c>
      <c r="B2717" t="s">
        <v>10106</v>
      </c>
      <c r="C2717" t="s">
        <v>10107</v>
      </c>
      <c r="D2717" t="s">
        <v>10108</v>
      </c>
      <c r="E2717" t="s">
        <v>10106</v>
      </c>
      <c r="F2717" t="s">
        <v>28</v>
      </c>
      <c r="G2717" t="s">
        <v>10106</v>
      </c>
      <c r="H2717" t="str">
        <f>"sbds-1"</f>
        <v>sbds-1</v>
      </c>
      <c r="I2717" t="s">
        <v>10108</v>
      </c>
      <c r="J2717">
        <v>13.375293834100701</v>
      </c>
      <c r="K2717">
        <v>13.3526765130078</v>
      </c>
      <c r="L2717">
        <v>13.2107924095732</v>
      </c>
      <c r="M2717">
        <v>12.984603080506799</v>
      </c>
      <c r="N2717">
        <v>12.7166113932625</v>
      </c>
      <c r="O2717">
        <v>13.253595321014</v>
      </c>
      <c r="P2717">
        <v>-0.32798432063281502</v>
      </c>
      <c r="Q2717">
        <v>-0.78330078201274</v>
      </c>
      <c r="R2717">
        <v>0.127332140747109</v>
      </c>
      <c r="S2717">
        <v>12.254833539989599</v>
      </c>
      <c r="T2717">
        <v>-1.53631876987065</v>
      </c>
      <c r="U2717">
        <v>-5.7264454662391397</v>
      </c>
      <c r="V2717">
        <v>0.1454275763234</v>
      </c>
      <c r="W2717">
        <v>0.73468060846516403</v>
      </c>
      <c r="X2717">
        <v>0</v>
      </c>
      <c r="Y2717">
        <v>0</v>
      </c>
    </row>
    <row r="2718" spans="1:25" x14ac:dyDescent="0.2">
      <c r="A2718" t="s">
        <v>10109</v>
      </c>
      <c r="B2718" t="s">
        <v>10110</v>
      </c>
      <c r="C2718" t="s">
        <v>10111</v>
      </c>
      <c r="D2718" t="s">
        <v>323</v>
      </c>
      <c r="E2718" t="s">
        <v>10110</v>
      </c>
      <c r="F2718" t="s">
        <v>28</v>
      </c>
      <c r="G2718" t="s">
        <v>10110</v>
      </c>
      <c r="H2718" t="str">
        <f>"scyl-1"</f>
        <v>scyl-1</v>
      </c>
      <c r="I2718" t="s">
        <v>323</v>
      </c>
      <c r="J2718">
        <v>13.9945294542038</v>
      </c>
      <c r="K2718">
        <v>14.078463104956599</v>
      </c>
      <c r="L2718">
        <v>15.4410594275365</v>
      </c>
      <c r="M2718">
        <v>13.5246635803944</v>
      </c>
      <c r="N2718">
        <v>15.415422713196101</v>
      </c>
      <c r="O2718">
        <v>14.365099642450099</v>
      </c>
      <c r="P2718">
        <v>-6.9622016885475105E-2</v>
      </c>
      <c r="Q2718">
        <v>-1.04806071453651</v>
      </c>
      <c r="R2718">
        <v>0.908816680765556</v>
      </c>
      <c r="S2718">
        <v>13.9771071412788</v>
      </c>
      <c r="T2718">
        <v>-0.15019759977336899</v>
      </c>
      <c r="U2718">
        <v>-6.8706734173909902</v>
      </c>
      <c r="V2718">
        <v>0.88238726897463404</v>
      </c>
      <c r="W2718">
        <v>0.99702926582654094</v>
      </c>
      <c r="X2718">
        <v>0</v>
      </c>
      <c r="Y2718">
        <v>0</v>
      </c>
    </row>
    <row r="2719" spans="1:25" x14ac:dyDescent="0.2">
      <c r="A2719" t="s">
        <v>10112</v>
      </c>
      <c r="B2719" t="s">
        <v>10113</v>
      </c>
      <c r="C2719" t="s">
        <v>10114</v>
      </c>
      <c r="D2719" t="s">
        <v>10115</v>
      </c>
      <c r="E2719" t="s">
        <v>10113</v>
      </c>
      <c r="F2719" t="s">
        <v>28</v>
      </c>
      <c r="G2719" t="s">
        <v>10113</v>
      </c>
      <c r="H2719" t="str">
        <f>"fat-3"</f>
        <v>fat-3</v>
      </c>
      <c r="I2719" t="s">
        <v>10115</v>
      </c>
      <c r="J2719" t="s">
        <v>29</v>
      </c>
      <c r="K2719" t="s">
        <v>29</v>
      </c>
      <c r="L2719" t="s">
        <v>29</v>
      </c>
      <c r="M2719" t="s">
        <v>29</v>
      </c>
      <c r="N2719" t="s">
        <v>29</v>
      </c>
      <c r="O2719" t="s">
        <v>29</v>
      </c>
      <c r="P2719" t="s">
        <v>29</v>
      </c>
      <c r="Q2719" t="s">
        <v>29</v>
      </c>
      <c r="R2719" t="s">
        <v>29</v>
      </c>
      <c r="S2719">
        <v>12.155148456781401</v>
      </c>
      <c r="T2719" t="s">
        <v>29</v>
      </c>
      <c r="U2719" t="s">
        <v>29</v>
      </c>
      <c r="V2719" t="s">
        <v>29</v>
      </c>
      <c r="W2719" t="s">
        <v>29</v>
      </c>
      <c r="X2719" t="s">
        <v>29</v>
      </c>
      <c r="Y2719" t="s">
        <v>29</v>
      </c>
    </row>
    <row r="2720" spans="1:25" x14ac:dyDescent="0.2">
      <c r="A2720" t="s">
        <v>10116</v>
      </c>
      <c r="B2720" t="s">
        <v>10117</v>
      </c>
      <c r="C2720" t="s">
        <v>10118</v>
      </c>
      <c r="D2720" t="s">
        <v>10119</v>
      </c>
      <c r="E2720" t="s">
        <v>10117</v>
      </c>
      <c r="F2720" t="s">
        <v>28</v>
      </c>
      <c r="G2720" t="s">
        <v>10117</v>
      </c>
      <c r="H2720" t="str">
        <f>"mtr-4"</f>
        <v>mtr-4</v>
      </c>
      <c r="I2720" t="s">
        <v>10119</v>
      </c>
      <c r="J2720">
        <v>14.923409687352001</v>
      </c>
      <c r="K2720">
        <v>14.839578598544</v>
      </c>
      <c r="L2720">
        <v>14.777432408603</v>
      </c>
      <c r="M2720">
        <v>14.8093732598524</v>
      </c>
      <c r="N2720">
        <v>14.752597023331299</v>
      </c>
      <c r="O2720">
        <v>14.7986204826519</v>
      </c>
      <c r="P2720">
        <v>-5.9943309554469699E-2</v>
      </c>
      <c r="Q2720">
        <v>-0.52290720118357403</v>
      </c>
      <c r="R2720">
        <v>0.40302058207463398</v>
      </c>
      <c r="S2720">
        <v>14.6028342782393</v>
      </c>
      <c r="T2720">
        <v>-0.27213607106922599</v>
      </c>
      <c r="U2720">
        <v>-6.8438750585206698</v>
      </c>
      <c r="V2720">
        <v>0.78863242206315198</v>
      </c>
      <c r="W2720">
        <v>0.99278624068726296</v>
      </c>
      <c r="X2720">
        <v>0</v>
      </c>
      <c r="Y2720">
        <v>0</v>
      </c>
    </row>
    <row r="2721" spans="1:25" x14ac:dyDescent="0.2">
      <c r="A2721" t="s">
        <v>10120</v>
      </c>
      <c r="B2721" t="s">
        <v>10121</v>
      </c>
      <c r="C2721" t="s">
        <v>10122</v>
      </c>
      <c r="D2721" t="s">
        <v>10123</v>
      </c>
      <c r="E2721" t="s">
        <v>10121</v>
      </c>
      <c r="F2721" t="s">
        <v>28</v>
      </c>
      <c r="G2721" t="s">
        <v>10121</v>
      </c>
      <c r="H2721" t="str">
        <f>"zmp-4"</f>
        <v>zmp-4</v>
      </c>
      <c r="I2721" t="s">
        <v>10123</v>
      </c>
      <c r="J2721">
        <v>12.614835121168699</v>
      </c>
      <c r="K2721">
        <v>13.220051415755099</v>
      </c>
      <c r="L2721">
        <v>12.997225509504901</v>
      </c>
      <c r="M2721">
        <v>12.2146964092674</v>
      </c>
      <c r="N2721">
        <v>13.0648379878214</v>
      </c>
      <c r="O2721">
        <v>13.4405815008876</v>
      </c>
      <c r="P2721">
        <v>-3.7332049484120902E-2</v>
      </c>
      <c r="Q2721">
        <v>-0.79902219409814002</v>
      </c>
      <c r="R2721">
        <v>0.72435809512989802</v>
      </c>
      <c r="S2721">
        <v>13.046684367828901</v>
      </c>
      <c r="T2721">
        <v>-0.104530999322621</v>
      </c>
      <c r="U2721">
        <v>-6.8767216594091902</v>
      </c>
      <c r="V2721">
        <v>0.91814254916615301</v>
      </c>
      <c r="W2721">
        <v>0.99833354317360001</v>
      </c>
      <c r="X2721">
        <v>0</v>
      </c>
      <c r="Y2721">
        <v>0</v>
      </c>
    </row>
    <row r="2722" spans="1:25" x14ac:dyDescent="0.2">
      <c r="A2722" t="s">
        <v>10124</v>
      </c>
      <c r="B2722" t="s">
        <v>10125</v>
      </c>
      <c r="C2722" t="s">
        <v>10126</v>
      </c>
      <c r="D2722" t="s">
        <v>10127</v>
      </c>
      <c r="E2722" t="s">
        <v>10125</v>
      </c>
      <c r="F2722" t="s">
        <v>28</v>
      </c>
      <c r="G2722" t="s">
        <v>10125</v>
      </c>
      <c r="H2722" t="str">
        <f>"wdr-4"</f>
        <v>wdr-4</v>
      </c>
      <c r="I2722" t="s">
        <v>10127</v>
      </c>
      <c r="J2722">
        <v>15.4089659271246</v>
      </c>
      <c r="K2722">
        <v>15.214179452479501</v>
      </c>
      <c r="L2722">
        <v>15.027242714918</v>
      </c>
      <c r="M2722">
        <v>15.065824040317899</v>
      </c>
      <c r="N2722">
        <v>15.3475045064498</v>
      </c>
      <c r="O2722">
        <v>15.535237318269299</v>
      </c>
      <c r="P2722">
        <v>9.9392590171586206E-2</v>
      </c>
      <c r="Q2722">
        <v>-0.29593892882488898</v>
      </c>
      <c r="R2722">
        <v>0.49472410916806098</v>
      </c>
      <c r="S2722">
        <v>14.8779378672139</v>
      </c>
      <c r="T2722">
        <v>0.52842709813434796</v>
      </c>
      <c r="U2722">
        <v>-6.7377279268849399</v>
      </c>
      <c r="V2722">
        <v>0.60369540538402</v>
      </c>
      <c r="W2722">
        <v>0.96930204581755797</v>
      </c>
      <c r="X2722">
        <v>0</v>
      </c>
      <c r="Y2722">
        <v>0</v>
      </c>
    </row>
    <row r="2723" spans="1:25" x14ac:dyDescent="0.2">
      <c r="A2723" t="s">
        <v>10128</v>
      </c>
      <c r="B2723" t="s">
        <v>10129</v>
      </c>
      <c r="C2723" t="s">
        <v>10130</v>
      </c>
      <c r="D2723" t="s">
        <v>10131</v>
      </c>
      <c r="E2723" t="s">
        <v>10129</v>
      </c>
      <c r="F2723" t="s">
        <v>28</v>
      </c>
      <c r="G2723" t="s">
        <v>10129</v>
      </c>
      <c r="H2723" t="str">
        <f>"ndx-3"</f>
        <v>ndx-3</v>
      </c>
      <c r="I2723" t="s">
        <v>10131</v>
      </c>
      <c r="J2723" t="s">
        <v>29</v>
      </c>
      <c r="K2723">
        <v>11.4818439895592</v>
      </c>
      <c r="L2723">
        <v>12.213841190405599</v>
      </c>
      <c r="M2723" t="s">
        <v>29</v>
      </c>
      <c r="N2723">
        <v>11.695951874422899</v>
      </c>
      <c r="O2723" t="s">
        <v>29</v>
      </c>
      <c r="P2723">
        <v>-0.15189071555945899</v>
      </c>
      <c r="Q2723">
        <v>-1.3139672963675899</v>
      </c>
      <c r="R2723">
        <v>1.0101858652486699</v>
      </c>
      <c r="S2723">
        <v>11.4342147795063</v>
      </c>
      <c r="T2723">
        <v>-0.33816917704641197</v>
      </c>
      <c r="U2723">
        <v>-6.4169347660924103</v>
      </c>
      <c r="V2723">
        <v>0.74925566792033305</v>
      </c>
      <c r="W2723">
        <v>0.99184638945407499</v>
      </c>
      <c r="X2723">
        <v>0</v>
      </c>
      <c r="Y2723">
        <v>0</v>
      </c>
    </row>
    <row r="2724" spans="1:25" x14ac:dyDescent="0.2">
      <c r="A2724" t="s">
        <v>10132</v>
      </c>
      <c r="B2724" t="s">
        <v>10133</v>
      </c>
      <c r="C2724" t="s">
        <v>10134</v>
      </c>
      <c r="D2724" t="s">
        <v>10135</v>
      </c>
      <c r="E2724" t="s">
        <v>10133</v>
      </c>
      <c r="F2724" t="s">
        <v>28</v>
      </c>
      <c r="G2724" t="s">
        <v>10133</v>
      </c>
      <c r="H2724" t="str">
        <f>"pbs-3"</f>
        <v>pbs-3</v>
      </c>
      <c r="I2724" t="s">
        <v>10135</v>
      </c>
      <c r="J2724">
        <v>12.1283796939633</v>
      </c>
      <c r="K2724" t="s">
        <v>29</v>
      </c>
      <c r="L2724">
        <v>12.055119464022001</v>
      </c>
      <c r="M2724">
        <v>11.975064140042001</v>
      </c>
      <c r="N2724" t="s">
        <v>29</v>
      </c>
      <c r="O2724">
        <v>12.3351409797746</v>
      </c>
      <c r="P2724">
        <v>6.3352980915656304E-2</v>
      </c>
      <c r="Q2724">
        <v>-0.76044759037045095</v>
      </c>
      <c r="R2724">
        <v>0.88715355220176395</v>
      </c>
      <c r="S2724">
        <v>11.945922753343</v>
      </c>
      <c r="T2724">
        <v>0.16505810636523</v>
      </c>
      <c r="U2724">
        <v>-6.6679641435556301</v>
      </c>
      <c r="V2724">
        <v>0.87127549658007597</v>
      </c>
      <c r="W2724">
        <v>0.99506000433029995</v>
      </c>
      <c r="X2724">
        <v>0</v>
      </c>
      <c r="Y2724">
        <v>0</v>
      </c>
    </row>
    <row r="2725" spans="1:25" x14ac:dyDescent="0.2">
      <c r="A2725" t="s">
        <v>10136</v>
      </c>
      <c r="B2725" t="s">
        <v>10137</v>
      </c>
      <c r="C2725" t="s">
        <v>10138</v>
      </c>
      <c r="D2725" t="s">
        <v>10139</v>
      </c>
      <c r="E2725" t="s">
        <v>10137</v>
      </c>
      <c r="F2725" t="s">
        <v>28</v>
      </c>
      <c r="G2725" t="s">
        <v>10137</v>
      </c>
      <c r="H2725" t="str">
        <f>"ulp-2"</f>
        <v>ulp-2</v>
      </c>
      <c r="I2725" t="s">
        <v>10139</v>
      </c>
      <c r="J2725">
        <v>14.921417741131</v>
      </c>
      <c r="K2725">
        <v>15.079335612542</v>
      </c>
      <c r="L2725">
        <v>15.030306237414401</v>
      </c>
      <c r="M2725">
        <v>14.7586200983413</v>
      </c>
      <c r="N2725">
        <v>14.8043236539199</v>
      </c>
      <c r="O2725">
        <v>14.6856804163442</v>
      </c>
      <c r="P2725">
        <v>-0.26081180749402599</v>
      </c>
      <c r="Q2725">
        <v>-0.61336824766642795</v>
      </c>
      <c r="R2725">
        <v>9.17446326783765E-2</v>
      </c>
      <c r="S2725">
        <v>14.9463157024441</v>
      </c>
      <c r="T2725">
        <v>-1.55485935042568</v>
      </c>
      <c r="U2725">
        <v>-5.6984563841372902</v>
      </c>
      <c r="V2725">
        <v>0.13748703658210101</v>
      </c>
      <c r="W2725">
        <v>0.72716651652323006</v>
      </c>
      <c r="X2725">
        <v>0</v>
      </c>
      <c r="Y2725">
        <v>0</v>
      </c>
    </row>
    <row r="2726" spans="1:25" x14ac:dyDescent="0.2">
      <c r="A2726" t="s">
        <v>10140</v>
      </c>
      <c r="B2726" t="s">
        <v>10141</v>
      </c>
      <c r="C2726" t="s">
        <v>10142</v>
      </c>
      <c r="D2726" t="s">
        <v>10143</v>
      </c>
      <c r="E2726" t="s">
        <v>10141</v>
      </c>
      <c r="F2726" t="s">
        <v>28</v>
      </c>
      <c r="G2726" t="s">
        <v>10141</v>
      </c>
      <c r="H2726" t="str">
        <f>"morc-1"</f>
        <v>morc-1</v>
      </c>
      <c r="I2726" t="s">
        <v>10143</v>
      </c>
      <c r="J2726">
        <v>13.244137251683499</v>
      </c>
      <c r="K2726">
        <v>13.0684631349882</v>
      </c>
      <c r="L2726">
        <v>13.079020945642799</v>
      </c>
      <c r="M2726">
        <v>13.1449159069904</v>
      </c>
      <c r="N2726">
        <v>13.1874070886476</v>
      </c>
      <c r="O2726">
        <v>13.1094134961784</v>
      </c>
      <c r="P2726">
        <v>1.6705053167306999E-2</v>
      </c>
      <c r="Q2726">
        <v>-0.55349445407160003</v>
      </c>
      <c r="R2726">
        <v>0.58690456040621397</v>
      </c>
      <c r="S2726">
        <v>13.6787522925204</v>
      </c>
      <c r="T2726">
        <v>6.1840221674454E-2</v>
      </c>
      <c r="U2726">
        <v>-6.88048540022504</v>
      </c>
      <c r="V2726">
        <v>0.95141576213666601</v>
      </c>
      <c r="W2726">
        <v>0.99968702248720698</v>
      </c>
      <c r="X2726">
        <v>0</v>
      </c>
      <c r="Y2726">
        <v>0</v>
      </c>
    </row>
    <row r="2727" spans="1:25" x14ac:dyDescent="0.2">
      <c r="A2727" t="s">
        <v>10144</v>
      </c>
      <c r="B2727" t="s">
        <v>10145</v>
      </c>
      <c r="C2727" t="s">
        <v>10146</v>
      </c>
      <c r="D2727" t="s">
        <v>10147</v>
      </c>
      <c r="E2727" t="s">
        <v>10145</v>
      </c>
      <c r="F2727" t="s">
        <v>28</v>
      </c>
      <c r="G2727" t="s">
        <v>10145</v>
      </c>
      <c r="H2727" t="str">
        <f>"wdr-5.3"</f>
        <v>wdr-5.3</v>
      </c>
      <c r="I2727" t="s">
        <v>10147</v>
      </c>
      <c r="J2727" t="s">
        <v>29</v>
      </c>
      <c r="K2727">
        <v>11.780477183985401</v>
      </c>
      <c r="L2727">
        <v>11.618984796869199</v>
      </c>
      <c r="M2727" t="s">
        <v>29</v>
      </c>
      <c r="N2727">
        <v>11.402836406393201</v>
      </c>
      <c r="O2727">
        <v>11.6126399942515</v>
      </c>
      <c r="P2727">
        <v>-0.191992790104939</v>
      </c>
      <c r="Q2727">
        <v>-0.82939552281416895</v>
      </c>
      <c r="R2727">
        <v>0.44540994260429201</v>
      </c>
      <c r="S2727">
        <v>11.612743816948599</v>
      </c>
      <c r="T2727">
        <v>-0.64649160792377802</v>
      </c>
      <c r="U2727">
        <v>-6.4650608997169599</v>
      </c>
      <c r="V2727">
        <v>0.52849564388322301</v>
      </c>
      <c r="W2727">
        <v>0.94282278237652695</v>
      </c>
      <c r="X2727">
        <v>0</v>
      </c>
      <c r="Y2727">
        <v>0</v>
      </c>
    </row>
    <row r="2728" spans="1:25" x14ac:dyDescent="0.2">
      <c r="A2728" t="s">
        <v>10148</v>
      </c>
      <c r="B2728" t="s">
        <v>10149</v>
      </c>
      <c r="C2728" t="s">
        <v>14553</v>
      </c>
      <c r="D2728" t="s">
        <v>3688</v>
      </c>
      <c r="E2728" t="s">
        <v>10149</v>
      </c>
      <c r="F2728" t="s">
        <v>28</v>
      </c>
      <c r="G2728" t="s">
        <v>10149</v>
      </c>
      <c r="H2728" t="str">
        <f>"ZC373.2"</f>
        <v>ZC373.2</v>
      </c>
      <c r="I2728" t="s">
        <v>3688</v>
      </c>
      <c r="J2728">
        <v>13.8270146709863</v>
      </c>
      <c r="K2728">
        <v>14.229949051707999</v>
      </c>
      <c r="L2728">
        <v>14.7545542134557</v>
      </c>
      <c r="M2728">
        <v>13.9089247195282</v>
      </c>
      <c r="N2728">
        <v>14.2333289669746</v>
      </c>
      <c r="O2728">
        <v>14.3825954349324</v>
      </c>
      <c r="P2728">
        <v>-9.5556271571577894E-2</v>
      </c>
      <c r="Q2728">
        <v>-0.98672768005507805</v>
      </c>
      <c r="R2728">
        <v>0.79561513691192298</v>
      </c>
      <c r="S2728">
        <v>14.5271770915635</v>
      </c>
      <c r="T2728">
        <v>-0.22536707320687399</v>
      </c>
      <c r="U2728">
        <v>-6.8559897050159702</v>
      </c>
      <c r="V2728">
        <v>0.82424738636509398</v>
      </c>
      <c r="W2728">
        <v>0.992837538801569</v>
      </c>
      <c r="X2728">
        <v>0</v>
      </c>
      <c r="Y2728">
        <v>0</v>
      </c>
    </row>
    <row r="2729" spans="1:25" x14ac:dyDescent="0.2">
      <c r="A2729" t="s">
        <v>10150</v>
      </c>
      <c r="B2729" t="s">
        <v>10151</v>
      </c>
      <c r="C2729" t="s">
        <v>10152</v>
      </c>
      <c r="D2729" t="s">
        <v>323</v>
      </c>
      <c r="E2729" t="s">
        <v>10151</v>
      </c>
      <c r="F2729" t="s">
        <v>28</v>
      </c>
      <c r="G2729" t="s">
        <v>10151</v>
      </c>
      <c r="H2729" t="str">
        <f>"mlck-1"</f>
        <v>mlck-1</v>
      </c>
      <c r="I2729" t="s">
        <v>323</v>
      </c>
      <c r="J2729">
        <v>13.895627105271499</v>
      </c>
      <c r="K2729" t="s">
        <v>29</v>
      </c>
      <c r="L2729">
        <v>15.2095540521905</v>
      </c>
      <c r="M2729">
        <v>14.0511587452238</v>
      </c>
      <c r="N2729">
        <v>15.074848353852399</v>
      </c>
      <c r="O2729">
        <v>14.281485093409501</v>
      </c>
      <c r="P2729">
        <v>-8.3426514569053395E-2</v>
      </c>
      <c r="Q2729">
        <v>-1.21291720673947</v>
      </c>
      <c r="R2729">
        <v>1.0460641776013699</v>
      </c>
      <c r="S2729">
        <v>14.7230813261389</v>
      </c>
      <c r="T2729">
        <v>-0.15666463573735101</v>
      </c>
      <c r="U2729">
        <v>-6.7593385167406099</v>
      </c>
      <c r="V2729">
        <v>0.87748176987014403</v>
      </c>
      <c r="W2729">
        <v>0.99702926582654094</v>
      </c>
      <c r="X2729">
        <v>0</v>
      </c>
      <c r="Y2729">
        <v>0</v>
      </c>
    </row>
    <row r="2730" spans="1:25" x14ac:dyDescent="0.2">
      <c r="A2730" t="s">
        <v>10153</v>
      </c>
      <c r="B2730" t="s">
        <v>10154</v>
      </c>
      <c r="C2730" t="s">
        <v>10155</v>
      </c>
      <c r="D2730" t="s">
        <v>10156</v>
      </c>
      <c r="E2730" t="s">
        <v>10154</v>
      </c>
      <c r="F2730" t="s">
        <v>28</v>
      </c>
      <c r="G2730" t="s">
        <v>10154</v>
      </c>
      <c r="H2730" t="str">
        <f>"ZC373.5"</f>
        <v>ZC373.5</v>
      </c>
      <c r="I2730" t="s">
        <v>10156</v>
      </c>
      <c r="J2730" t="s">
        <v>29</v>
      </c>
      <c r="K2730">
        <v>15.273965876534101</v>
      </c>
      <c r="L2730" t="s">
        <v>29</v>
      </c>
      <c r="M2730">
        <v>12.8430235219724</v>
      </c>
      <c r="N2730">
        <v>13.5129727638127</v>
      </c>
      <c r="O2730">
        <v>13.4057200984583</v>
      </c>
      <c r="P2730">
        <v>-2.02006041511958</v>
      </c>
      <c r="Q2730">
        <v>-2.8640654898342102</v>
      </c>
      <c r="R2730">
        <v>-1.1760553404049501</v>
      </c>
      <c r="S2730">
        <v>12.8922618417494</v>
      </c>
      <c r="T2730">
        <v>-5.2740834081392203</v>
      </c>
      <c r="U2730">
        <v>0.69724684842295204</v>
      </c>
      <c r="V2730">
        <v>2.7118990117136498E-4</v>
      </c>
      <c r="W2730">
        <v>1.08737348325097E-2</v>
      </c>
      <c r="X2730">
        <v>-1</v>
      </c>
      <c r="Y2730">
        <v>-1</v>
      </c>
    </row>
    <row r="2731" spans="1:25" x14ac:dyDescent="0.2">
      <c r="A2731" t="s">
        <v>10157</v>
      </c>
      <c r="B2731" t="s">
        <v>10158</v>
      </c>
      <c r="C2731" t="s">
        <v>10159</v>
      </c>
      <c r="D2731" t="s">
        <v>3312</v>
      </c>
      <c r="E2731" t="s">
        <v>10158</v>
      </c>
      <c r="F2731" t="s">
        <v>28</v>
      </c>
      <c r="G2731" t="s">
        <v>10158</v>
      </c>
      <c r="H2731" t="str">
        <f>"col-176"</f>
        <v>col-176</v>
      </c>
      <c r="I2731" t="s">
        <v>3312</v>
      </c>
      <c r="J2731">
        <v>13.1514827942949</v>
      </c>
      <c r="K2731">
        <v>13.260585821303</v>
      </c>
      <c r="L2731">
        <v>14.1318849629097</v>
      </c>
      <c r="M2731">
        <v>15.749152785997801</v>
      </c>
      <c r="N2731">
        <v>16.990697897249898</v>
      </c>
      <c r="O2731">
        <v>16.4390806104178</v>
      </c>
      <c r="P2731">
        <v>2.87832590505265</v>
      </c>
      <c r="Q2731">
        <v>2.2215135610952399</v>
      </c>
      <c r="R2731">
        <v>3.53513824901006</v>
      </c>
      <c r="S2731">
        <v>14.279836583357</v>
      </c>
      <c r="T2731">
        <v>9.2501478280150309</v>
      </c>
      <c r="U2731">
        <v>8.7896611047969504</v>
      </c>
      <c r="V2731" s="2">
        <v>5.0540133049460901E-8</v>
      </c>
      <c r="W2731" s="2">
        <v>9.3443090438114503E-6</v>
      </c>
      <c r="X2731">
        <v>1</v>
      </c>
      <c r="Y2731">
        <v>1</v>
      </c>
    </row>
    <row r="2732" spans="1:25" x14ac:dyDescent="0.2">
      <c r="A2732" t="s">
        <v>10160</v>
      </c>
      <c r="B2732" t="s">
        <v>10161</v>
      </c>
      <c r="C2732" t="s">
        <v>10162</v>
      </c>
      <c r="D2732" t="s">
        <v>10163</v>
      </c>
      <c r="E2732" t="s">
        <v>10161</v>
      </c>
      <c r="F2732" t="s">
        <v>28</v>
      </c>
      <c r="G2732" t="s">
        <v>10161</v>
      </c>
      <c r="H2732" t="str">
        <f>"gck-2"</f>
        <v>gck-2</v>
      </c>
      <c r="I2732" t="s">
        <v>10163</v>
      </c>
      <c r="J2732" t="s">
        <v>29</v>
      </c>
      <c r="K2732">
        <v>12.073006111282499</v>
      </c>
      <c r="L2732" t="s">
        <v>29</v>
      </c>
      <c r="M2732" t="s">
        <v>29</v>
      </c>
      <c r="N2732" t="s">
        <v>29</v>
      </c>
      <c r="O2732" t="s">
        <v>29</v>
      </c>
      <c r="P2732" t="s">
        <v>29</v>
      </c>
      <c r="Q2732" t="s">
        <v>29</v>
      </c>
      <c r="R2732" t="s">
        <v>29</v>
      </c>
      <c r="S2732">
        <v>10.7918818600861</v>
      </c>
      <c r="T2732" t="s">
        <v>29</v>
      </c>
      <c r="U2732" t="s">
        <v>29</v>
      </c>
      <c r="V2732" t="s">
        <v>29</v>
      </c>
      <c r="W2732" t="s">
        <v>29</v>
      </c>
      <c r="X2732" t="s">
        <v>29</v>
      </c>
      <c r="Y2732" t="s">
        <v>29</v>
      </c>
    </row>
    <row r="2733" spans="1:25" x14ac:dyDescent="0.2">
      <c r="A2733" t="s">
        <v>10164</v>
      </c>
      <c r="B2733" t="s">
        <v>10165</v>
      </c>
      <c r="C2733" t="s">
        <v>10166</v>
      </c>
      <c r="D2733" t="s">
        <v>10167</v>
      </c>
      <c r="E2733" t="s">
        <v>10165</v>
      </c>
      <c r="F2733" t="s">
        <v>28</v>
      </c>
      <c r="G2733" t="s">
        <v>10165</v>
      </c>
      <c r="H2733" t="str">
        <f>"mppb-1"</f>
        <v>mppb-1</v>
      </c>
      <c r="I2733" t="s">
        <v>10167</v>
      </c>
      <c r="J2733" t="s">
        <v>29</v>
      </c>
      <c r="K2733" t="s">
        <v>29</v>
      </c>
      <c r="L2733">
        <v>13.1793573748936</v>
      </c>
      <c r="M2733" t="s">
        <v>29</v>
      </c>
      <c r="N2733">
        <v>13.309437558026801</v>
      </c>
      <c r="O2733">
        <v>11.646578008618301</v>
      </c>
      <c r="P2733">
        <v>-0.70134959157106602</v>
      </c>
      <c r="Q2733">
        <v>-1.9968078165616301</v>
      </c>
      <c r="R2733">
        <v>0.59410863341949904</v>
      </c>
      <c r="S2733">
        <v>13.9248567418806</v>
      </c>
      <c r="T2733">
        <v>-1.1807450897413401</v>
      </c>
      <c r="U2733">
        <v>-5.7861292535010396</v>
      </c>
      <c r="V2733">
        <v>0.26077576792319002</v>
      </c>
      <c r="W2733">
        <v>0.84224930965148304</v>
      </c>
      <c r="X2733">
        <v>0</v>
      </c>
      <c r="Y2733">
        <v>0</v>
      </c>
    </row>
    <row r="2734" spans="1:25" x14ac:dyDescent="0.2">
      <c r="A2734" t="s">
        <v>10168</v>
      </c>
      <c r="B2734" t="s">
        <v>10169</v>
      </c>
      <c r="C2734" t="s">
        <v>14182</v>
      </c>
      <c r="D2734" t="s">
        <v>3962</v>
      </c>
      <c r="E2734" t="s">
        <v>10169</v>
      </c>
      <c r="F2734" t="s">
        <v>28</v>
      </c>
      <c r="G2734" t="s">
        <v>10169</v>
      </c>
      <c r="H2734" t="str">
        <f>"ZC412.5"</f>
        <v>ZC412.5</v>
      </c>
      <c r="I2734" t="s">
        <v>3962</v>
      </c>
      <c r="J2734">
        <v>14.1232378360918</v>
      </c>
      <c r="K2734">
        <v>11.218990083294701</v>
      </c>
      <c r="L2734">
        <v>13.711320568067499</v>
      </c>
      <c r="M2734">
        <v>14.3083696500386</v>
      </c>
      <c r="N2734">
        <v>14.478031988952999</v>
      </c>
      <c r="O2734">
        <v>13.4099334684339</v>
      </c>
      <c r="P2734">
        <v>1.0475955399904999</v>
      </c>
      <c r="Q2734">
        <v>-0.33427312086976502</v>
      </c>
      <c r="R2734">
        <v>2.4294642008507599</v>
      </c>
      <c r="S2734">
        <v>13.1885993811657</v>
      </c>
      <c r="T2734">
        <v>1.60796430235371</v>
      </c>
      <c r="U2734">
        <v>-5.6234851678065203</v>
      </c>
      <c r="V2734">
        <v>0.12752225203327999</v>
      </c>
      <c r="W2734">
        <v>0.71774980099684804</v>
      </c>
      <c r="X2734">
        <v>0</v>
      </c>
      <c r="Y2734">
        <v>0</v>
      </c>
    </row>
    <row r="2735" spans="1:25" x14ac:dyDescent="0.2">
      <c r="A2735" t="s">
        <v>10170</v>
      </c>
      <c r="B2735" t="s">
        <v>10171</v>
      </c>
      <c r="C2735" t="s">
        <v>10172</v>
      </c>
      <c r="D2735" t="s">
        <v>10173</v>
      </c>
      <c r="E2735" t="s">
        <v>10171</v>
      </c>
      <c r="F2735" t="s">
        <v>28</v>
      </c>
      <c r="G2735" t="s">
        <v>10171</v>
      </c>
      <c r="H2735" t="str">
        <f>"rps-7"</f>
        <v>rps-7</v>
      </c>
      <c r="I2735" t="s">
        <v>10173</v>
      </c>
      <c r="J2735">
        <v>18.848661562467001</v>
      </c>
      <c r="K2735">
        <v>19.1973666998224</v>
      </c>
      <c r="L2735">
        <v>19.383652169292699</v>
      </c>
      <c r="M2735">
        <v>19.199636915851301</v>
      </c>
      <c r="N2735">
        <v>18.662418367217001</v>
      </c>
      <c r="O2735">
        <v>19.2817096515884</v>
      </c>
      <c r="P2735">
        <v>-9.5305165641839606E-2</v>
      </c>
      <c r="Q2735">
        <v>-0.64821260601916497</v>
      </c>
      <c r="R2735">
        <v>0.45760227473548598</v>
      </c>
      <c r="S2735">
        <v>19.2477874421579</v>
      </c>
      <c r="T2735">
        <v>-0.36229014409364702</v>
      </c>
      <c r="U2735">
        <v>-6.8141623896353698</v>
      </c>
      <c r="V2735">
        <v>0.721378394013794</v>
      </c>
      <c r="W2735">
        <v>0.98959080596781002</v>
      </c>
      <c r="X2735">
        <v>0</v>
      </c>
      <c r="Y2735">
        <v>0</v>
      </c>
    </row>
    <row r="2736" spans="1:25" x14ac:dyDescent="0.2">
      <c r="A2736" t="s">
        <v>10174</v>
      </c>
      <c r="B2736" t="s">
        <v>10175</v>
      </c>
      <c r="C2736" t="s">
        <v>10176</v>
      </c>
      <c r="D2736" t="s">
        <v>10177</v>
      </c>
      <c r="E2736" t="s">
        <v>10175</v>
      </c>
      <c r="F2736" t="s">
        <v>28</v>
      </c>
      <c r="G2736" t="s">
        <v>10175</v>
      </c>
      <c r="H2736" t="str">
        <f>"ZC434.4"</f>
        <v>ZC434.4</v>
      </c>
      <c r="I2736" t="s">
        <v>10177</v>
      </c>
      <c r="J2736">
        <v>12.0911579549969</v>
      </c>
      <c r="K2736">
        <v>12.519918353425</v>
      </c>
      <c r="L2736">
        <v>12.4635055015964</v>
      </c>
      <c r="M2736" t="s">
        <v>29</v>
      </c>
      <c r="N2736">
        <v>11.5926088125254</v>
      </c>
      <c r="O2736">
        <v>13.1359685865405</v>
      </c>
      <c r="P2736">
        <v>6.0947628602026098E-3</v>
      </c>
      <c r="Q2736">
        <v>-0.89836650151537401</v>
      </c>
      <c r="R2736">
        <v>0.91055602723578</v>
      </c>
      <c r="S2736">
        <v>12.3281164670558</v>
      </c>
      <c r="T2736">
        <v>1.4848908591877199E-2</v>
      </c>
      <c r="U2736">
        <v>-6.7720859485865796</v>
      </c>
      <c r="V2736">
        <v>0.98842114457175001</v>
      </c>
      <c r="W2736">
        <v>0.99968702248720698</v>
      </c>
      <c r="X2736">
        <v>0</v>
      </c>
      <c r="Y2736">
        <v>0</v>
      </c>
    </row>
    <row r="2737" spans="1:25" x14ac:dyDescent="0.2">
      <c r="A2737" t="s">
        <v>10178</v>
      </c>
      <c r="B2737" t="s">
        <v>10179</v>
      </c>
      <c r="C2737" t="s">
        <v>10180</v>
      </c>
      <c r="D2737" t="s">
        <v>10181</v>
      </c>
      <c r="E2737" t="s">
        <v>10179</v>
      </c>
      <c r="F2737" t="s">
        <v>28</v>
      </c>
      <c r="G2737" t="s">
        <v>10179</v>
      </c>
      <c r="H2737" t="str">
        <f>"ears-1"</f>
        <v>ears-1</v>
      </c>
      <c r="I2737" t="s">
        <v>10181</v>
      </c>
      <c r="J2737">
        <v>15.6164981985232</v>
      </c>
      <c r="K2737">
        <v>15.442637547690399</v>
      </c>
      <c r="L2737">
        <v>15.575948610813599</v>
      </c>
      <c r="M2737">
        <v>15.8601378319788</v>
      </c>
      <c r="N2737">
        <v>15.829567534291</v>
      </c>
      <c r="O2737">
        <v>15.720352586643401</v>
      </c>
      <c r="P2737">
        <v>0.25832453196197802</v>
      </c>
      <c r="Q2737">
        <v>-7.0667897373672697E-2</v>
      </c>
      <c r="R2737">
        <v>0.58731696129763</v>
      </c>
      <c r="S2737">
        <v>15.369227965579199</v>
      </c>
      <c r="T2737">
        <v>1.65033556969851</v>
      </c>
      <c r="U2737">
        <v>-5.5588493167708197</v>
      </c>
      <c r="V2737">
        <v>0.11631539675496901</v>
      </c>
      <c r="W2737">
        <v>0.69999573309319396</v>
      </c>
      <c r="X2737">
        <v>0</v>
      </c>
      <c r="Y2737">
        <v>0</v>
      </c>
    </row>
    <row r="2738" spans="1:25" x14ac:dyDescent="0.2">
      <c r="A2738" t="s">
        <v>10182</v>
      </c>
      <c r="B2738" t="s">
        <v>10183</v>
      </c>
      <c r="C2738" t="s">
        <v>10184</v>
      </c>
      <c r="D2738" t="s">
        <v>10185</v>
      </c>
      <c r="E2738" t="s">
        <v>10183</v>
      </c>
      <c r="F2738" t="s">
        <v>28</v>
      </c>
      <c r="G2738" t="s">
        <v>10183</v>
      </c>
      <c r="H2738" t="str">
        <f>"coa-6"</f>
        <v>coa-6</v>
      </c>
      <c r="I2738" t="s">
        <v>10185</v>
      </c>
      <c r="J2738" t="s">
        <v>29</v>
      </c>
      <c r="K2738" t="s">
        <v>29</v>
      </c>
      <c r="L2738" t="s">
        <v>29</v>
      </c>
      <c r="M2738" t="s">
        <v>29</v>
      </c>
      <c r="N2738">
        <v>11.8882662702561</v>
      </c>
      <c r="O2738" t="s">
        <v>29</v>
      </c>
      <c r="P2738" t="s">
        <v>29</v>
      </c>
      <c r="Q2738" t="s">
        <v>29</v>
      </c>
      <c r="R2738" t="s">
        <v>29</v>
      </c>
      <c r="S2738">
        <v>11.823124495869999</v>
      </c>
      <c r="T2738" t="s">
        <v>29</v>
      </c>
      <c r="U2738" t="s">
        <v>29</v>
      </c>
      <c r="V2738" t="s">
        <v>29</v>
      </c>
      <c r="W2738" t="s">
        <v>29</v>
      </c>
      <c r="X2738" t="s">
        <v>29</v>
      </c>
      <c r="Y2738" t="s">
        <v>29</v>
      </c>
    </row>
    <row r="2739" spans="1:25" x14ac:dyDescent="0.2">
      <c r="A2739" t="s">
        <v>10186</v>
      </c>
      <c r="B2739" t="s">
        <v>10187</v>
      </c>
      <c r="C2739" t="s">
        <v>10188</v>
      </c>
      <c r="D2739" t="s">
        <v>10189</v>
      </c>
      <c r="E2739" t="s">
        <v>10187</v>
      </c>
      <c r="F2739" t="s">
        <v>28</v>
      </c>
      <c r="G2739" t="s">
        <v>10187</v>
      </c>
      <c r="H2739" t="str">
        <f>"rde-8"</f>
        <v>rde-8</v>
      </c>
      <c r="I2739" t="s">
        <v>10189</v>
      </c>
      <c r="J2739" t="s">
        <v>29</v>
      </c>
      <c r="K2739" t="s">
        <v>29</v>
      </c>
      <c r="L2739" t="s">
        <v>29</v>
      </c>
      <c r="M2739" t="s">
        <v>29</v>
      </c>
      <c r="N2739" t="s">
        <v>29</v>
      </c>
      <c r="O2739" t="s">
        <v>29</v>
      </c>
      <c r="P2739" t="s">
        <v>29</v>
      </c>
      <c r="Q2739" t="s">
        <v>29</v>
      </c>
      <c r="R2739" t="s">
        <v>29</v>
      </c>
      <c r="S2739">
        <v>10.6426849790133</v>
      </c>
      <c r="T2739" t="s">
        <v>29</v>
      </c>
      <c r="U2739" t="s">
        <v>29</v>
      </c>
      <c r="V2739" t="s">
        <v>29</v>
      </c>
      <c r="W2739" t="s">
        <v>29</v>
      </c>
      <c r="X2739" t="s">
        <v>29</v>
      </c>
      <c r="Y2739" t="s">
        <v>29</v>
      </c>
    </row>
    <row r="2740" spans="1:25" x14ac:dyDescent="0.2">
      <c r="A2740" t="s">
        <v>10190</v>
      </c>
      <c r="B2740" t="s">
        <v>10191</v>
      </c>
      <c r="C2740" t="s">
        <v>10192</v>
      </c>
      <c r="D2740" t="s">
        <v>10193</v>
      </c>
      <c r="E2740" t="s">
        <v>10191</v>
      </c>
      <c r="F2740" t="s">
        <v>28</v>
      </c>
      <c r="G2740" t="s">
        <v>10191</v>
      </c>
      <c r="H2740" t="str">
        <f>"mig-15"</f>
        <v>mig-15</v>
      </c>
      <c r="I2740" t="s">
        <v>10193</v>
      </c>
      <c r="J2740">
        <v>13.0746197261945</v>
      </c>
      <c r="K2740">
        <v>13.574315718762</v>
      </c>
      <c r="L2740">
        <v>13.2390816775721</v>
      </c>
      <c r="M2740">
        <v>13.303276081775101</v>
      </c>
      <c r="N2740">
        <v>13.395499312221601</v>
      </c>
      <c r="O2740">
        <v>13.300880905257801</v>
      </c>
      <c r="P2740">
        <v>3.7213058908626799E-2</v>
      </c>
      <c r="Q2740">
        <v>-0.43163479937479199</v>
      </c>
      <c r="R2740">
        <v>0.50606091719204505</v>
      </c>
      <c r="S2740">
        <v>13.3624196908952</v>
      </c>
      <c r="T2740">
        <v>0.168349939161551</v>
      </c>
      <c r="U2740">
        <v>-6.8675958871740201</v>
      </c>
      <c r="V2740">
        <v>0.86843150949052095</v>
      </c>
      <c r="W2740">
        <v>0.99457622291666603</v>
      </c>
      <c r="X2740">
        <v>0</v>
      </c>
      <c r="Y2740">
        <v>0</v>
      </c>
    </row>
    <row r="2741" spans="1:25" x14ac:dyDescent="0.2">
      <c r="A2741" t="s">
        <v>10194</v>
      </c>
      <c r="B2741" t="s">
        <v>10195</v>
      </c>
      <c r="C2741" t="s">
        <v>10196</v>
      </c>
      <c r="D2741" t="s">
        <v>10197</v>
      </c>
      <c r="E2741" t="s">
        <v>10195</v>
      </c>
      <c r="F2741" t="s">
        <v>28</v>
      </c>
      <c r="G2741" t="s">
        <v>10195</v>
      </c>
      <c r="H2741" t="str">
        <f>"cdk-11.2"</f>
        <v>cdk-11.2</v>
      </c>
      <c r="I2741" t="s">
        <v>10197</v>
      </c>
      <c r="J2741" t="s">
        <v>29</v>
      </c>
      <c r="K2741" t="s">
        <v>29</v>
      </c>
      <c r="L2741" t="s">
        <v>29</v>
      </c>
      <c r="M2741" t="s">
        <v>29</v>
      </c>
      <c r="N2741">
        <v>11.767072645487399</v>
      </c>
      <c r="O2741" t="s">
        <v>29</v>
      </c>
      <c r="P2741" t="s">
        <v>29</v>
      </c>
      <c r="Q2741" t="s">
        <v>29</v>
      </c>
      <c r="R2741" t="s">
        <v>29</v>
      </c>
      <c r="S2741">
        <v>11.5967951794551</v>
      </c>
      <c r="T2741" t="s">
        <v>29</v>
      </c>
      <c r="U2741" t="s">
        <v>29</v>
      </c>
      <c r="V2741" t="s">
        <v>29</v>
      </c>
      <c r="W2741" t="s">
        <v>29</v>
      </c>
      <c r="X2741" t="s">
        <v>29</v>
      </c>
      <c r="Y2741" t="s">
        <v>29</v>
      </c>
    </row>
    <row r="2742" spans="1:25" x14ac:dyDescent="0.2">
      <c r="A2742" t="s">
        <v>10198</v>
      </c>
      <c r="B2742" t="s">
        <v>10199</v>
      </c>
      <c r="C2742" t="s">
        <v>10200</v>
      </c>
      <c r="D2742" t="s">
        <v>10201</v>
      </c>
      <c r="E2742" t="s">
        <v>10199</v>
      </c>
      <c r="F2742" t="s">
        <v>28</v>
      </c>
      <c r="G2742" t="s">
        <v>10199</v>
      </c>
      <c r="H2742" t="str">
        <f>"oma-2"</f>
        <v>oma-2</v>
      </c>
      <c r="I2742" t="s">
        <v>10201</v>
      </c>
      <c r="J2742" t="s">
        <v>29</v>
      </c>
      <c r="K2742" t="s">
        <v>29</v>
      </c>
      <c r="L2742">
        <v>10.022872729746901</v>
      </c>
      <c r="M2742" t="s">
        <v>29</v>
      </c>
      <c r="N2742">
        <v>11.5015144879813</v>
      </c>
      <c r="O2742" t="s">
        <v>29</v>
      </c>
      <c r="P2742">
        <v>1.47864175823445</v>
      </c>
      <c r="Q2742">
        <v>0.44249352986685297</v>
      </c>
      <c r="R2742">
        <v>2.51478998660206</v>
      </c>
      <c r="S2742">
        <v>12.363900958078901</v>
      </c>
      <c r="T2742">
        <v>3.1446243388971</v>
      </c>
      <c r="U2742">
        <v>-2.6634783905214499</v>
      </c>
      <c r="V2742">
        <v>9.4344412403871807E-3</v>
      </c>
      <c r="W2742">
        <v>0.17005349260741301</v>
      </c>
      <c r="X2742">
        <v>1</v>
      </c>
      <c r="Y2742">
        <v>0</v>
      </c>
    </row>
    <row r="2743" spans="1:25" x14ac:dyDescent="0.2">
      <c r="A2743" t="s">
        <v>10202</v>
      </c>
      <c r="B2743" t="s">
        <v>10203</v>
      </c>
      <c r="C2743" t="s">
        <v>10204</v>
      </c>
      <c r="D2743" t="s">
        <v>10205</v>
      </c>
      <c r="E2743" t="s">
        <v>10203</v>
      </c>
      <c r="F2743" t="s">
        <v>28</v>
      </c>
      <c r="G2743" t="s">
        <v>10203</v>
      </c>
      <c r="H2743" t="str">
        <f>"vars-1"</f>
        <v>vars-1</v>
      </c>
      <c r="I2743" t="s">
        <v>10205</v>
      </c>
      <c r="J2743">
        <v>10.643463271397801</v>
      </c>
      <c r="K2743">
        <v>10.828096966938601</v>
      </c>
      <c r="L2743">
        <v>10.6102489936782</v>
      </c>
      <c r="M2743">
        <v>11.243378628637601</v>
      </c>
      <c r="N2743">
        <v>11.238274667406399</v>
      </c>
      <c r="O2743" t="s">
        <v>29</v>
      </c>
      <c r="P2743">
        <v>0.54689023735047504</v>
      </c>
      <c r="Q2743">
        <v>-0.106505537047375</v>
      </c>
      <c r="R2743">
        <v>1.2002860117483201</v>
      </c>
      <c r="S2743">
        <v>11.5176433846863</v>
      </c>
      <c r="T2743">
        <v>1.7964525146670101</v>
      </c>
      <c r="U2743">
        <v>-5.2389993965271202</v>
      </c>
      <c r="V2743">
        <v>9.4188443312862802E-2</v>
      </c>
      <c r="W2743">
        <v>0.63840965243423098</v>
      </c>
      <c r="X2743">
        <v>0</v>
      </c>
      <c r="Y2743">
        <v>0</v>
      </c>
    </row>
    <row r="2744" spans="1:25" x14ac:dyDescent="0.2">
      <c r="A2744" t="s">
        <v>10206</v>
      </c>
      <c r="B2744" t="s">
        <v>10207</v>
      </c>
      <c r="C2744" t="s">
        <v>10208</v>
      </c>
      <c r="D2744" t="s">
        <v>10209</v>
      </c>
      <c r="E2744" t="s">
        <v>10207</v>
      </c>
      <c r="F2744" t="s">
        <v>28</v>
      </c>
      <c r="G2744" t="s">
        <v>10207</v>
      </c>
      <c r="H2744" t="str">
        <f>"algn-12"</f>
        <v>algn-12</v>
      </c>
      <c r="I2744" t="s">
        <v>10209</v>
      </c>
      <c r="J2744">
        <v>12.273134113273599</v>
      </c>
      <c r="K2744">
        <v>12.855507724533201</v>
      </c>
      <c r="L2744">
        <v>13.062816408923799</v>
      </c>
      <c r="M2744">
        <v>12.5332529920229</v>
      </c>
      <c r="N2744">
        <v>12.264003643050099</v>
      </c>
      <c r="O2744" t="s">
        <v>29</v>
      </c>
      <c r="P2744">
        <v>-0.33185776470697298</v>
      </c>
      <c r="Q2744">
        <v>-0.98226502758568901</v>
      </c>
      <c r="R2744">
        <v>0.31854949817174399</v>
      </c>
      <c r="S2744">
        <v>12.8509204512438</v>
      </c>
      <c r="T2744">
        <v>-1.0881987111442799</v>
      </c>
      <c r="U2744">
        <v>-6.1723423229964096</v>
      </c>
      <c r="V2744">
        <v>0.29380224094198998</v>
      </c>
      <c r="W2744">
        <v>0.85855590823088301</v>
      </c>
      <c r="X2744">
        <v>0</v>
      </c>
      <c r="Y2744">
        <v>0</v>
      </c>
    </row>
    <row r="2745" spans="1:25" x14ac:dyDescent="0.2">
      <c r="A2745" t="s">
        <v>10210</v>
      </c>
      <c r="B2745" t="s">
        <v>10211</v>
      </c>
      <c r="C2745" t="s">
        <v>10212</v>
      </c>
      <c r="D2745" t="s">
        <v>10213</v>
      </c>
      <c r="E2745" t="s">
        <v>10211</v>
      </c>
      <c r="F2745" t="s">
        <v>28</v>
      </c>
      <c r="G2745" t="s">
        <v>10211</v>
      </c>
      <c r="H2745" t="str">
        <f>"sec-24.2"</f>
        <v>sec-24.2</v>
      </c>
      <c r="I2745" t="s">
        <v>10213</v>
      </c>
      <c r="J2745">
        <v>14.598737313545</v>
      </c>
      <c r="K2745">
        <v>14.476430518561701</v>
      </c>
      <c r="L2745">
        <v>14.389191516065001</v>
      </c>
      <c r="M2745">
        <v>14.3115530753381</v>
      </c>
      <c r="N2745">
        <v>14.515434322714601</v>
      </c>
      <c r="O2745">
        <v>14.138513897190499</v>
      </c>
      <c r="P2745">
        <v>-0.166286017642788</v>
      </c>
      <c r="Q2745">
        <v>-0.51743901452473895</v>
      </c>
      <c r="R2745">
        <v>0.18486697923916301</v>
      </c>
      <c r="S2745">
        <v>14.588747105001699</v>
      </c>
      <c r="T2745">
        <v>-0.99956114652663697</v>
      </c>
      <c r="U2745">
        <v>-6.3738678495858103</v>
      </c>
      <c r="V2745">
        <v>0.33162481253957299</v>
      </c>
      <c r="W2745">
        <v>0.87368774661315896</v>
      </c>
      <c r="X2745">
        <v>0</v>
      </c>
      <c r="Y2745">
        <v>0</v>
      </c>
    </row>
    <row r="2746" spans="1:25" x14ac:dyDescent="0.2">
      <c r="A2746" t="s">
        <v>10214</v>
      </c>
      <c r="B2746" t="s">
        <v>10215</v>
      </c>
      <c r="C2746" t="s">
        <v>10216</v>
      </c>
      <c r="D2746" t="s">
        <v>10217</v>
      </c>
      <c r="E2746" t="s">
        <v>10215</v>
      </c>
      <c r="F2746" t="s">
        <v>28</v>
      </c>
      <c r="G2746" t="s">
        <v>10215</v>
      </c>
      <c r="H2746" t="str">
        <f>"mmcm-1"</f>
        <v>mmcm-1</v>
      </c>
      <c r="I2746" t="s">
        <v>10217</v>
      </c>
      <c r="J2746">
        <v>17.500396041602301</v>
      </c>
      <c r="K2746">
        <v>17.4395086132212</v>
      </c>
      <c r="L2746">
        <v>17.065633011981099</v>
      </c>
      <c r="M2746">
        <v>16.973084774040402</v>
      </c>
      <c r="N2746">
        <v>16.9266194818359</v>
      </c>
      <c r="O2746">
        <v>17.2758553652797</v>
      </c>
      <c r="P2746">
        <v>-0.27665934854952601</v>
      </c>
      <c r="Q2746">
        <v>-0.64239999479733401</v>
      </c>
      <c r="R2746">
        <v>8.9081297698282505E-2</v>
      </c>
      <c r="S2746">
        <v>16.710755007186499</v>
      </c>
      <c r="T2746">
        <v>-1.58988105814231</v>
      </c>
      <c r="U2746">
        <v>-5.6479692619807604</v>
      </c>
      <c r="V2746">
        <v>0.12937239922531699</v>
      </c>
      <c r="W2746">
        <v>0.71998552612350397</v>
      </c>
      <c r="X2746">
        <v>0</v>
      </c>
      <c r="Y2746">
        <v>0</v>
      </c>
    </row>
    <row r="2747" spans="1:25" x14ac:dyDescent="0.2">
      <c r="A2747" t="s">
        <v>10218</v>
      </c>
      <c r="B2747" t="s">
        <v>10219</v>
      </c>
      <c r="C2747" t="s">
        <v>10220</v>
      </c>
      <c r="D2747" t="s">
        <v>10221</v>
      </c>
      <c r="E2747" t="s">
        <v>10219</v>
      </c>
      <c r="F2747" t="s">
        <v>28</v>
      </c>
      <c r="G2747" t="s">
        <v>10219</v>
      </c>
      <c r="H2747" t="str">
        <f>"ccdc-47"</f>
        <v>ccdc-47</v>
      </c>
      <c r="I2747" t="s">
        <v>10221</v>
      </c>
      <c r="J2747">
        <v>14.950294518992401</v>
      </c>
      <c r="K2747">
        <v>14.897003579927601</v>
      </c>
      <c r="L2747">
        <v>14.860017354021901</v>
      </c>
      <c r="M2747">
        <v>14.963828218991001</v>
      </c>
      <c r="N2747">
        <v>14.969322892217701</v>
      </c>
      <c r="O2747">
        <v>14.748525456243399</v>
      </c>
      <c r="P2747">
        <v>-8.54629516322092E-3</v>
      </c>
      <c r="Q2747">
        <v>-0.343371456772402</v>
      </c>
      <c r="R2747">
        <v>0.32627886644595999</v>
      </c>
      <c r="S2747">
        <v>14.631137857408101</v>
      </c>
      <c r="T2747">
        <v>-5.36478490351271E-2</v>
      </c>
      <c r="U2747">
        <v>-6.8809858990464603</v>
      </c>
      <c r="V2747">
        <v>0.95781011184064702</v>
      </c>
      <c r="W2747">
        <v>0.99968702248720698</v>
      </c>
      <c r="X2747">
        <v>0</v>
      </c>
      <c r="Y2747">
        <v>0</v>
      </c>
    </row>
    <row r="2748" spans="1:25" x14ac:dyDescent="0.2">
      <c r="A2748" t="s">
        <v>10222</v>
      </c>
      <c r="B2748" t="s">
        <v>10223</v>
      </c>
      <c r="C2748" t="s">
        <v>10224</v>
      </c>
      <c r="D2748" t="s">
        <v>10225</v>
      </c>
      <c r="E2748" t="s">
        <v>10223</v>
      </c>
      <c r="F2748" t="s">
        <v>28</v>
      </c>
      <c r="G2748" t="s">
        <v>10223</v>
      </c>
      <c r="H2748" t="str">
        <f>"ZK1127.5"</f>
        <v>ZK1127.5</v>
      </c>
      <c r="I2748" t="s">
        <v>10225</v>
      </c>
      <c r="J2748">
        <v>13.682917404514001</v>
      </c>
      <c r="K2748">
        <v>13.3522030296871</v>
      </c>
      <c r="L2748">
        <v>13.355154638183601</v>
      </c>
      <c r="M2748">
        <v>13.412581976996499</v>
      </c>
      <c r="N2748">
        <v>13.4874205452195</v>
      </c>
      <c r="O2748">
        <v>13.3177272921706</v>
      </c>
      <c r="P2748">
        <v>-5.75150859993609E-2</v>
      </c>
      <c r="Q2748">
        <v>-0.72289699143605302</v>
      </c>
      <c r="R2748">
        <v>0.60786681943733101</v>
      </c>
      <c r="S2748">
        <v>13.1323682038078</v>
      </c>
      <c r="T2748">
        <v>-0.184353926931347</v>
      </c>
      <c r="U2748">
        <v>-6.8645631275811096</v>
      </c>
      <c r="V2748">
        <v>0.85622227163560505</v>
      </c>
      <c r="W2748">
        <v>0.99370971747667503</v>
      </c>
      <c r="X2748">
        <v>0</v>
      </c>
      <c r="Y2748">
        <v>0</v>
      </c>
    </row>
    <row r="2749" spans="1:25" x14ac:dyDescent="0.2">
      <c r="A2749" t="s">
        <v>10226</v>
      </c>
      <c r="B2749" t="s">
        <v>10227</v>
      </c>
      <c r="C2749" t="s">
        <v>10228</v>
      </c>
      <c r="D2749" t="s">
        <v>10229</v>
      </c>
      <c r="E2749" t="s">
        <v>10227</v>
      </c>
      <c r="F2749" t="s">
        <v>28</v>
      </c>
      <c r="G2749" t="s">
        <v>10227</v>
      </c>
      <c r="H2749" t="str">
        <f>"ZK1127.4"</f>
        <v>ZK1127.4</v>
      </c>
      <c r="I2749" t="s">
        <v>10229</v>
      </c>
      <c r="J2749">
        <v>12.9585553284419</v>
      </c>
      <c r="K2749">
        <v>12.487208723631101</v>
      </c>
      <c r="L2749">
        <v>12.6869016023456</v>
      </c>
      <c r="M2749">
        <v>12.6753800428095</v>
      </c>
      <c r="N2749">
        <v>12.9421635753632</v>
      </c>
      <c r="O2749">
        <v>12.374726405921299</v>
      </c>
      <c r="P2749">
        <v>-4.6798543441516599E-2</v>
      </c>
      <c r="Q2749">
        <v>-1.25582391508045</v>
      </c>
      <c r="R2749">
        <v>1.16222682819741</v>
      </c>
      <c r="S2749">
        <v>13.558636870488099</v>
      </c>
      <c r="T2749">
        <v>-8.1704680251423897E-2</v>
      </c>
      <c r="U2749">
        <v>-6.8789913292504297</v>
      </c>
      <c r="V2749">
        <v>0.93584169472418099</v>
      </c>
      <c r="W2749">
        <v>0.99926809132575301</v>
      </c>
      <c r="X2749">
        <v>0</v>
      </c>
      <c r="Y2749">
        <v>0</v>
      </c>
    </row>
    <row r="2750" spans="1:25" x14ac:dyDescent="0.2">
      <c r="A2750" t="s">
        <v>10230</v>
      </c>
      <c r="B2750" t="s">
        <v>10231</v>
      </c>
      <c r="C2750" t="s">
        <v>10232</v>
      </c>
      <c r="D2750" t="s">
        <v>10233</v>
      </c>
      <c r="E2750" t="s">
        <v>10231</v>
      </c>
      <c r="F2750" t="s">
        <v>28</v>
      </c>
      <c r="G2750" t="s">
        <v>10231</v>
      </c>
      <c r="H2750" t="str">
        <f>"him-14"</f>
        <v>him-14</v>
      </c>
      <c r="I2750" t="s">
        <v>10233</v>
      </c>
      <c r="J2750" t="s">
        <v>29</v>
      </c>
      <c r="K2750" t="s">
        <v>29</v>
      </c>
      <c r="L2750">
        <v>9.9667640071658301</v>
      </c>
      <c r="M2750" t="s">
        <v>29</v>
      </c>
      <c r="N2750" t="s">
        <v>29</v>
      </c>
      <c r="O2750" t="s">
        <v>29</v>
      </c>
      <c r="P2750" t="s">
        <v>29</v>
      </c>
      <c r="Q2750" t="s">
        <v>29</v>
      </c>
      <c r="R2750" t="s">
        <v>29</v>
      </c>
      <c r="S2750">
        <v>10.8766010888274</v>
      </c>
      <c r="T2750" t="s">
        <v>29</v>
      </c>
      <c r="U2750" t="s">
        <v>29</v>
      </c>
      <c r="V2750" t="s">
        <v>29</v>
      </c>
      <c r="W2750" t="s">
        <v>29</v>
      </c>
      <c r="X2750" t="s">
        <v>29</v>
      </c>
      <c r="Y2750" t="s">
        <v>29</v>
      </c>
    </row>
    <row r="2751" spans="1:25" x14ac:dyDescent="0.2">
      <c r="A2751" t="s">
        <v>10234</v>
      </c>
      <c r="B2751" t="s">
        <v>10235</v>
      </c>
      <c r="C2751" t="s">
        <v>14554</v>
      </c>
      <c r="D2751" t="s">
        <v>3443</v>
      </c>
      <c r="E2751" t="s">
        <v>10235</v>
      </c>
      <c r="F2751" t="s">
        <v>28</v>
      </c>
      <c r="G2751" t="s">
        <v>10235</v>
      </c>
      <c r="H2751" t="str">
        <f>"ZK1248.5"</f>
        <v>ZK1248.5</v>
      </c>
      <c r="I2751" t="s">
        <v>3443</v>
      </c>
      <c r="J2751">
        <v>12.640202924143299</v>
      </c>
      <c r="K2751">
        <v>12.306636578592601</v>
      </c>
      <c r="L2751">
        <v>12.729526921817101</v>
      </c>
      <c r="M2751" t="s">
        <v>29</v>
      </c>
      <c r="N2751">
        <v>13.261725602789101</v>
      </c>
      <c r="O2751">
        <v>12.6080647164376</v>
      </c>
      <c r="P2751">
        <v>0.37610635142897803</v>
      </c>
      <c r="Q2751">
        <v>-0.18151408902410701</v>
      </c>
      <c r="R2751">
        <v>0.93372679188206398</v>
      </c>
      <c r="S2751">
        <v>13.0636484803169</v>
      </c>
      <c r="T2751">
        <v>1.4583414737404301</v>
      </c>
      <c r="U2751">
        <v>-5.7263103129251203</v>
      </c>
      <c r="V2751">
        <v>0.168669919855258</v>
      </c>
      <c r="W2751">
        <v>0.76875593074037796</v>
      </c>
      <c r="X2751">
        <v>0</v>
      </c>
      <c r="Y2751">
        <v>0</v>
      </c>
    </row>
    <row r="2752" spans="1:25" x14ac:dyDescent="0.2">
      <c r="A2752" t="s">
        <v>10236</v>
      </c>
      <c r="B2752" t="s">
        <v>10237</v>
      </c>
      <c r="C2752" t="s">
        <v>10238</v>
      </c>
      <c r="D2752" t="s">
        <v>66</v>
      </c>
      <c r="E2752" t="s">
        <v>10237</v>
      </c>
      <c r="F2752" t="s">
        <v>28</v>
      </c>
      <c r="G2752" t="s">
        <v>10237</v>
      </c>
      <c r="H2752" t="str">
        <f>"tbc-2"</f>
        <v>tbc-2</v>
      </c>
      <c r="I2752" t="s">
        <v>66</v>
      </c>
      <c r="J2752">
        <v>13.756562597023001</v>
      </c>
      <c r="K2752">
        <v>13.8544954216355</v>
      </c>
      <c r="L2752">
        <v>13.7627142167782</v>
      </c>
      <c r="M2752">
        <v>13.7537565931949</v>
      </c>
      <c r="N2752">
        <v>14.123985583135299</v>
      </c>
      <c r="O2752">
        <v>13.634157167412599</v>
      </c>
      <c r="P2752">
        <v>4.6042369435364001E-2</v>
      </c>
      <c r="Q2752">
        <v>-0.49042414866154299</v>
      </c>
      <c r="R2752">
        <v>0.58250888753227104</v>
      </c>
      <c r="S2752">
        <v>13.902331104573999</v>
      </c>
      <c r="T2752">
        <v>0.18038796382215699</v>
      </c>
      <c r="U2752">
        <v>-6.8655031789931904</v>
      </c>
      <c r="V2752">
        <v>0.85887510416840696</v>
      </c>
      <c r="W2752">
        <v>0.99370971747667503</v>
      </c>
      <c r="X2752">
        <v>0</v>
      </c>
      <c r="Y2752">
        <v>0</v>
      </c>
    </row>
    <row r="2753" spans="1:25" x14ac:dyDescent="0.2">
      <c r="A2753" t="s">
        <v>10239</v>
      </c>
      <c r="B2753" t="s">
        <v>10240</v>
      </c>
      <c r="C2753" t="s">
        <v>10241</v>
      </c>
      <c r="D2753" t="s">
        <v>10090</v>
      </c>
      <c r="E2753" t="s">
        <v>10240</v>
      </c>
      <c r="F2753" t="s">
        <v>28</v>
      </c>
      <c r="G2753" t="s">
        <v>10240</v>
      </c>
      <c r="H2753" t="str">
        <f>"gtap-1"</f>
        <v>gtap-1</v>
      </c>
      <c r="I2753" t="s">
        <v>10090</v>
      </c>
      <c r="J2753" t="s">
        <v>29</v>
      </c>
      <c r="K2753" t="s">
        <v>29</v>
      </c>
      <c r="L2753" t="s">
        <v>29</v>
      </c>
      <c r="M2753" t="s">
        <v>29</v>
      </c>
      <c r="N2753" t="s">
        <v>29</v>
      </c>
      <c r="O2753" t="s">
        <v>29</v>
      </c>
      <c r="P2753" t="s">
        <v>29</v>
      </c>
      <c r="Q2753" t="s">
        <v>29</v>
      </c>
      <c r="R2753" t="s">
        <v>29</v>
      </c>
      <c r="S2753">
        <v>10.2999873768134</v>
      </c>
      <c r="T2753" t="s">
        <v>29</v>
      </c>
      <c r="U2753" t="s">
        <v>29</v>
      </c>
      <c r="V2753" t="s">
        <v>29</v>
      </c>
      <c r="W2753" t="s">
        <v>29</v>
      </c>
      <c r="X2753" t="s">
        <v>29</v>
      </c>
      <c r="Y2753" t="s">
        <v>29</v>
      </c>
    </row>
    <row r="2754" spans="1:25" x14ac:dyDescent="0.2">
      <c r="A2754" t="s">
        <v>10242</v>
      </c>
      <c r="B2754" t="s">
        <v>10243</v>
      </c>
      <c r="C2754" t="s">
        <v>10244</v>
      </c>
      <c r="D2754" t="s">
        <v>10245</v>
      </c>
      <c r="E2754" t="s">
        <v>10243</v>
      </c>
      <c r="F2754" t="s">
        <v>28</v>
      </c>
      <c r="G2754" t="s">
        <v>10243</v>
      </c>
      <c r="H2754" t="str">
        <f>"fzo-1"</f>
        <v>fzo-1</v>
      </c>
      <c r="I2754" t="s">
        <v>10245</v>
      </c>
      <c r="J2754">
        <v>14.355474678010999</v>
      </c>
      <c r="K2754">
        <v>14.4292183684751</v>
      </c>
      <c r="L2754">
        <v>14.1869216769154</v>
      </c>
      <c r="M2754">
        <v>14.395604975674001</v>
      </c>
      <c r="N2754">
        <v>14.349133079097699</v>
      </c>
      <c r="O2754">
        <v>14.2693636594559</v>
      </c>
      <c r="P2754">
        <v>1.41623302753473E-2</v>
      </c>
      <c r="Q2754">
        <v>-0.30330712279861599</v>
      </c>
      <c r="R2754">
        <v>0.33163178334931098</v>
      </c>
      <c r="S2754">
        <v>14.239324540804899</v>
      </c>
      <c r="T2754">
        <v>9.3761659972265904E-2</v>
      </c>
      <c r="U2754">
        <v>-6.87789730286595</v>
      </c>
      <c r="V2754">
        <v>0.92634031102209802</v>
      </c>
      <c r="W2754">
        <v>0.99926809132575301</v>
      </c>
      <c r="X2754">
        <v>0</v>
      </c>
      <c r="Y2754">
        <v>0</v>
      </c>
    </row>
    <row r="2755" spans="1:25" x14ac:dyDescent="0.2">
      <c r="A2755" t="s">
        <v>10246</v>
      </c>
      <c r="B2755" t="s">
        <v>10247</v>
      </c>
      <c r="C2755" t="s">
        <v>10248</v>
      </c>
      <c r="D2755" t="s">
        <v>10249</v>
      </c>
      <c r="E2755" t="s">
        <v>10247</v>
      </c>
      <c r="F2755" t="s">
        <v>28</v>
      </c>
      <c r="G2755" t="s">
        <v>10247</v>
      </c>
      <c r="H2755" t="str">
        <f>"rfth-1"</f>
        <v>rfth-1</v>
      </c>
      <c r="I2755" t="s">
        <v>10249</v>
      </c>
      <c r="J2755">
        <v>11.7067575679692</v>
      </c>
      <c r="K2755">
        <v>11.953856310234301</v>
      </c>
      <c r="L2755">
        <v>12.125189990705501</v>
      </c>
      <c r="M2755">
        <v>11.7211226055965</v>
      </c>
      <c r="N2755">
        <v>12.179645336156399</v>
      </c>
      <c r="O2755">
        <v>11.8629126503932</v>
      </c>
      <c r="P2755">
        <v>-7.3744255876544403E-3</v>
      </c>
      <c r="Q2755">
        <v>-0.401491638212019</v>
      </c>
      <c r="R2755">
        <v>0.386742787036711</v>
      </c>
      <c r="S2755">
        <v>12.3952015234686</v>
      </c>
      <c r="T2755">
        <v>-3.9495972174080497E-2</v>
      </c>
      <c r="U2755">
        <v>-6.8816719979099696</v>
      </c>
      <c r="V2755">
        <v>0.968957929765077</v>
      </c>
      <c r="W2755">
        <v>0.99968702248720698</v>
      </c>
      <c r="X2755">
        <v>0</v>
      </c>
      <c r="Y2755">
        <v>0</v>
      </c>
    </row>
    <row r="2756" spans="1:25" x14ac:dyDescent="0.2">
      <c r="A2756" t="s">
        <v>10250</v>
      </c>
      <c r="B2756" t="s">
        <v>10251</v>
      </c>
      <c r="C2756" t="s">
        <v>10252</v>
      </c>
      <c r="D2756" t="s">
        <v>10253</v>
      </c>
      <c r="E2756" t="s">
        <v>10251</v>
      </c>
      <c r="F2756" t="s">
        <v>28</v>
      </c>
      <c r="G2756" t="s">
        <v>10251</v>
      </c>
      <c r="H2756" t="str">
        <f>"sar-1"</f>
        <v>sar-1</v>
      </c>
      <c r="I2756" t="s">
        <v>10253</v>
      </c>
      <c r="J2756">
        <v>14.281528933007399</v>
      </c>
      <c r="K2756">
        <v>13.0334211083514</v>
      </c>
      <c r="L2756">
        <v>12.5584477883994</v>
      </c>
      <c r="M2756">
        <v>13.764967550966301</v>
      </c>
      <c r="N2756" t="s">
        <v>29</v>
      </c>
      <c r="O2756">
        <v>14.298952014906</v>
      </c>
      <c r="P2756">
        <v>0.74082717301677203</v>
      </c>
      <c r="Q2756">
        <v>-0.373091104872534</v>
      </c>
      <c r="R2756">
        <v>1.8547454509060799</v>
      </c>
      <c r="S2756">
        <v>13.6877313374238</v>
      </c>
      <c r="T2756">
        <v>1.4274321239098899</v>
      </c>
      <c r="U2756">
        <v>-5.7671430400970696</v>
      </c>
      <c r="V2756">
        <v>0.17554181452418499</v>
      </c>
      <c r="W2756">
        <v>0.77568784401157198</v>
      </c>
      <c r="X2756">
        <v>0</v>
      </c>
      <c r="Y2756">
        <v>0</v>
      </c>
    </row>
    <row r="2757" spans="1:25" x14ac:dyDescent="0.2">
      <c r="A2757" t="s">
        <v>10254</v>
      </c>
      <c r="B2757" t="s">
        <v>10255</v>
      </c>
      <c r="C2757" t="s">
        <v>10256</v>
      </c>
      <c r="D2757" t="s">
        <v>10257</v>
      </c>
      <c r="E2757" t="s">
        <v>10255</v>
      </c>
      <c r="F2757" t="s">
        <v>28</v>
      </c>
      <c r="G2757" t="s">
        <v>10255</v>
      </c>
      <c r="H2757" t="str">
        <f>"rpn-12"</f>
        <v>rpn-12</v>
      </c>
      <c r="I2757" t="s">
        <v>10257</v>
      </c>
      <c r="J2757">
        <v>12.5857842266426</v>
      </c>
      <c r="K2757">
        <v>12.057532826977701</v>
      </c>
      <c r="L2757">
        <v>12.4456842032144</v>
      </c>
      <c r="M2757">
        <v>12.8320120494459</v>
      </c>
      <c r="N2757">
        <v>13.0412461319978</v>
      </c>
      <c r="O2757">
        <v>12.657334711160299</v>
      </c>
      <c r="P2757">
        <v>0.48053054525644401</v>
      </c>
      <c r="Q2757">
        <v>4.9603100057756498E-2</v>
      </c>
      <c r="R2757">
        <v>0.91145799045513198</v>
      </c>
      <c r="S2757">
        <v>12.7431796787039</v>
      </c>
      <c r="T2757">
        <v>2.3537853618492299</v>
      </c>
      <c r="U2757">
        <v>-4.3750122993210603</v>
      </c>
      <c r="V2757">
        <v>3.09556446889485E-2</v>
      </c>
      <c r="W2757">
        <v>0.38350268280793198</v>
      </c>
      <c r="X2757">
        <v>0</v>
      </c>
      <c r="Y2757">
        <v>0</v>
      </c>
    </row>
    <row r="2758" spans="1:25" x14ac:dyDescent="0.2">
      <c r="A2758" t="s">
        <v>10258</v>
      </c>
      <c r="B2758" t="s">
        <v>10259</v>
      </c>
      <c r="C2758" t="s">
        <v>14555</v>
      </c>
      <c r="D2758" t="s">
        <v>10260</v>
      </c>
      <c r="E2758" t="s">
        <v>10259</v>
      </c>
      <c r="F2758" t="s">
        <v>28</v>
      </c>
      <c r="G2758" t="s">
        <v>10259</v>
      </c>
      <c r="H2758" t="str">
        <f>"ZK287.7"</f>
        <v>ZK287.7</v>
      </c>
      <c r="I2758" t="s">
        <v>10260</v>
      </c>
      <c r="J2758">
        <v>11.9978332852323</v>
      </c>
      <c r="K2758">
        <v>12.5933483360684</v>
      </c>
      <c r="L2758">
        <v>12.682262658902699</v>
      </c>
      <c r="M2758">
        <v>12.5731436506849</v>
      </c>
      <c r="N2758">
        <v>12.8133685985926</v>
      </c>
      <c r="O2758">
        <v>12.761734919285599</v>
      </c>
      <c r="P2758">
        <v>0.29160096278655701</v>
      </c>
      <c r="Q2758">
        <v>-0.29808173206771399</v>
      </c>
      <c r="R2758">
        <v>0.88128365764082806</v>
      </c>
      <c r="S2758">
        <v>12.7951898424761</v>
      </c>
      <c r="T2758">
        <v>1.0438079104081099</v>
      </c>
      <c r="U2758">
        <v>-6.3292665257012697</v>
      </c>
      <c r="V2758">
        <v>0.31128035255910802</v>
      </c>
      <c r="W2758">
        <v>0.86252777434668904</v>
      </c>
      <c r="X2758">
        <v>0</v>
      </c>
      <c r="Y2758">
        <v>0</v>
      </c>
    </row>
    <row r="2759" spans="1:25" x14ac:dyDescent="0.2">
      <c r="A2759" t="s">
        <v>10261</v>
      </c>
      <c r="B2759" t="s">
        <v>10262</v>
      </c>
      <c r="C2759" t="s">
        <v>10263</v>
      </c>
      <c r="D2759" t="s">
        <v>3566</v>
      </c>
      <c r="E2759" t="s">
        <v>10262</v>
      </c>
      <c r="F2759" t="s">
        <v>28</v>
      </c>
      <c r="G2759" t="s">
        <v>10262</v>
      </c>
      <c r="H2759" t="str">
        <f>"eftu-2"</f>
        <v>eftu-2</v>
      </c>
      <c r="I2759" t="s">
        <v>3566</v>
      </c>
      <c r="J2759">
        <v>15.025244277006999</v>
      </c>
      <c r="K2759">
        <v>14.8014044450362</v>
      </c>
      <c r="L2759">
        <v>14.4198903849549</v>
      </c>
      <c r="M2759">
        <v>15.542868013326601</v>
      </c>
      <c r="N2759">
        <v>15.3133234450068</v>
      </c>
      <c r="O2759">
        <v>15.516995219770701</v>
      </c>
      <c r="P2759">
        <v>0.70888252370195903</v>
      </c>
      <c r="Q2759">
        <v>0.20968125458190601</v>
      </c>
      <c r="R2759">
        <v>1.2080837928220101</v>
      </c>
      <c r="S2759">
        <v>15.0933827361985</v>
      </c>
      <c r="T2759">
        <v>2.9846341376779502</v>
      </c>
      <c r="U2759">
        <v>-3.11411279981695</v>
      </c>
      <c r="V2759">
        <v>7.9835922204696992E-3</v>
      </c>
      <c r="W2759">
        <v>0.15592244623443599</v>
      </c>
      <c r="X2759">
        <v>0</v>
      </c>
      <c r="Y2759">
        <v>0</v>
      </c>
    </row>
    <row r="2760" spans="1:25" x14ac:dyDescent="0.2">
      <c r="A2760" t="s">
        <v>10264</v>
      </c>
      <c r="B2760" t="s">
        <v>10265</v>
      </c>
      <c r="C2760" t="s">
        <v>10266</v>
      </c>
      <c r="D2760" t="s">
        <v>368</v>
      </c>
      <c r="E2760" t="s">
        <v>10265</v>
      </c>
      <c r="F2760" t="s">
        <v>28</v>
      </c>
      <c r="G2760" t="s">
        <v>10265</v>
      </c>
      <c r="H2760" t="str">
        <f>"lin-37"</f>
        <v>lin-37</v>
      </c>
      <c r="I2760" t="s">
        <v>368</v>
      </c>
      <c r="J2760" t="s">
        <v>29</v>
      </c>
      <c r="K2760" t="s">
        <v>29</v>
      </c>
      <c r="L2760" t="s">
        <v>29</v>
      </c>
      <c r="M2760" t="s">
        <v>29</v>
      </c>
      <c r="N2760" t="s">
        <v>29</v>
      </c>
      <c r="O2760" t="s">
        <v>29</v>
      </c>
      <c r="P2760" t="s">
        <v>29</v>
      </c>
      <c r="Q2760" t="s">
        <v>29</v>
      </c>
      <c r="R2760" t="s">
        <v>29</v>
      </c>
      <c r="S2760">
        <v>11.1732699060654</v>
      </c>
      <c r="T2760" t="s">
        <v>29</v>
      </c>
      <c r="U2760" t="s">
        <v>29</v>
      </c>
      <c r="V2760" t="s">
        <v>29</v>
      </c>
      <c r="W2760" t="s">
        <v>29</v>
      </c>
      <c r="X2760" t="s">
        <v>29</v>
      </c>
      <c r="Y2760" t="s">
        <v>29</v>
      </c>
    </row>
    <row r="2761" spans="1:25" x14ac:dyDescent="0.2">
      <c r="A2761" t="s">
        <v>10267</v>
      </c>
      <c r="B2761" t="s">
        <v>10268</v>
      </c>
      <c r="C2761" t="s">
        <v>14556</v>
      </c>
      <c r="D2761" t="s">
        <v>10269</v>
      </c>
      <c r="E2761" t="s">
        <v>10268</v>
      </c>
      <c r="F2761" t="s">
        <v>28</v>
      </c>
      <c r="G2761" t="s">
        <v>10268</v>
      </c>
      <c r="H2761" t="str">
        <f>"ZK418.5"</f>
        <v>ZK418.5</v>
      </c>
      <c r="I2761" t="s">
        <v>10269</v>
      </c>
      <c r="J2761">
        <v>13.2074330299872</v>
      </c>
      <c r="K2761">
        <v>13.501494715125601</v>
      </c>
      <c r="L2761">
        <v>13.6965035316693</v>
      </c>
      <c r="M2761">
        <v>13.2247314855874</v>
      </c>
      <c r="N2761">
        <v>13.239515334572699</v>
      </c>
      <c r="O2761">
        <v>13.1925138115003</v>
      </c>
      <c r="P2761">
        <v>-0.24955688170725099</v>
      </c>
      <c r="Q2761">
        <v>-0.68116421557096296</v>
      </c>
      <c r="R2761">
        <v>0.18205045215646101</v>
      </c>
      <c r="S2761">
        <v>13.5744041508009</v>
      </c>
      <c r="T2761">
        <v>-1.2263946987598</v>
      </c>
      <c r="U2761">
        <v>-6.1269818290217</v>
      </c>
      <c r="V2761">
        <v>0.237908419980703</v>
      </c>
      <c r="W2761">
        <v>0.82303453398729798</v>
      </c>
      <c r="X2761">
        <v>0</v>
      </c>
      <c r="Y2761">
        <v>0</v>
      </c>
    </row>
    <row r="2762" spans="1:25" x14ac:dyDescent="0.2">
      <c r="A2762" t="s">
        <v>10270</v>
      </c>
      <c r="B2762" t="s">
        <v>10271</v>
      </c>
      <c r="C2762" t="s">
        <v>10272</v>
      </c>
      <c r="D2762" t="s">
        <v>603</v>
      </c>
      <c r="E2762" t="s">
        <v>10271</v>
      </c>
      <c r="F2762" t="s">
        <v>28</v>
      </c>
      <c r="G2762" t="s">
        <v>10271</v>
      </c>
      <c r="H2762" t="str">
        <f>"fubl-2"</f>
        <v>fubl-2</v>
      </c>
      <c r="I2762" t="s">
        <v>603</v>
      </c>
      <c r="J2762">
        <v>13.8132161871451</v>
      </c>
      <c r="K2762">
        <v>13.5591545022505</v>
      </c>
      <c r="L2762">
        <v>13.7250489808903</v>
      </c>
      <c r="M2762">
        <v>13.4667547808971</v>
      </c>
      <c r="N2762">
        <v>13.5655960122249</v>
      </c>
      <c r="O2762">
        <v>13.566908503058</v>
      </c>
      <c r="P2762">
        <v>-0.16605345803531399</v>
      </c>
      <c r="Q2762">
        <v>-0.74529835929487398</v>
      </c>
      <c r="R2762">
        <v>0.413191443224245</v>
      </c>
      <c r="S2762">
        <v>13.5025820052923</v>
      </c>
      <c r="T2762">
        <v>-0.60252936501162702</v>
      </c>
      <c r="U2762">
        <v>-6.6947190629047499</v>
      </c>
      <c r="V2762">
        <v>0.55438107635918199</v>
      </c>
      <c r="W2762">
        <v>0.95555711976758795</v>
      </c>
      <c r="X2762">
        <v>0</v>
      </c>
      <c r="Y2762">
        <v>0</v>
      </c>
    </row>
    <row r="2763" spans="1:25" x14ac:dyDescent="0.2">
      <c r="A2763" t="s">
        <v>10273</v>
      </c>
      <c r="B2763" t="s">
        <v>10274</v>
      </c>
      <c r="C2763" t="s">
        <v>10275</v>
      </c>
      <c r="D2763" t="s">
        <v>10276</v>
      </c>
      <c r="E2763" t="s">
        <v>10274</v>
      </c>
      <c r="F2763" t="s">
        <v>28</v>
      </c>
      <c r="G2763" t="s">
        <v>10274</v>
      </c>
      <c r="H2763" t="str">
        <f>"bpnt-1"</f>
        <v>bpnt-1</v>
      </c>
      <c r="I2763" t="s">
        <v>10276</v>
      </c>
      <c r="J2763">
        <v>14.571304173921201</v>
      </c>
      <c r="K2763" t="s">
        <v>29</v>
      </c>
      <c r="L2763" t="s">
        <v>29</v>
      </c>
      <c r="M2763">
        <v>13.409644075173601</v>
      </c>
      <c r="N2763">
        <v>13.690543857988001</v>
      </c>
      <c r="O2763">
        <v>13.6312084122515</v>
      </c>
      <c r="P2763">
        <v>-0.99417205878351</v>
      </c>
      <c r="Q2763">
        <v>-2.0111390743353801</v>
      </c>
      <c r="R2763">
        <v>2.27949567683614E-2</v>
      </c>
      <c r="S2763">
        <v>13.273694181779501</v>
      </c>
      <c r="T2763">
        <v>-2.0735008405435602</v>
      </c>
      <c r="U2763">
        <v>-4.5652054909052797</v>
      </c>
      <c r="V2763">
        <v>5.4742877744936497E-2</v>
      </c>
      <c r="W2763">
        <v>0.50667104474271896</v>
      </c>
      <c r="X2763">
        <v>0</v>
      </c>
      <c r="Y2763">
        <v>0</v>
      </c>
    </row>
    <row r="2764" spans="1:25" x14ac:dyDescent="0.2">
      <c r="A2764" t="s">
        <v>10277</v>
      </c>
      <c r="B2764" t="s">
        <v>10278</v>
      </c>
      <c r="C2764" t="s">
        <v>10279</v>
      </c>
      <c r="D2764" t="s">
        <v>10280</v>
      </c>
      <c r="E2764" t="s">
        <v>10278</v>
      </c>
      <c r="F2764" t="s">
        <v>28</v>
      </c>
      <c r="G2764" t="s">
        <v>10278</v>
      </c>
      <c r="H2764" t="str">
        <f>"dcaf-13"</f>
        <v>dcaf-13</v>
      </c>
      <c r="I2764" t="s">
        <v>10280</v>
      </c>
      <c r="J2764">
        <v>13.6939347780629</v>
      </c>
      <c r="K2764">
        <v>13.950328072529899</v>
      </c>
      <c r="L2764">
        <v>13.542542087323399</v>
      </c>
      <c r="M2764">
        <v>13.642412080847601</v>
      </c>
      <c r="N2764">
        <v>13.5031624240524</v>
      </c>
      <c r="O2764">
        <v>13.444307005070399</v>
      </c>
      <c r="P2764">
        <v>-0.198974475981917</v>
      </c>
      <c r="Q2764">
        <v>-0.60841591516980598</v>
      </c>
      <c r="R2764">
        <v>0.210466963205973</v>
      </c>
      <c r="S2764">
        <v>13.745824571425301</v>
      </c>
      <c r="T2764">
        <v>-1.02578321334029</v>
      </c>
      <c r="U2764">
        <v>-6.3476412896890704</v>
      </c>
      <c r="V2764">
        <v>0.31945731476029599</v>
      </c>
      <c r="W2764">
        <v>0.86570305652650403</v>
      </c>
      <c r="X2764">
        <v>0</v>
      </c>
      <c r="Y2764">
        <v>0</v>
      </c>
    </row>
    <row r="2765" spans="1:25" x14ac:dyDescent="0.2">
      <c r="A2765" t="s">
        <v>10281</v>
      </c>
      <c r="B2765" t="s">
        <v>10282</v>
      </c>
      <c r="C2765" t="s">
        <v>10283</v>
      </c>
      <c r="D2765" t="s">
        <v>10284</v>
      </c>
      <c r="E2765" t="s">
        <v>10282</v>
      </c>
      <c r="F2765" t="s">
        <v>28</v>
      </c>
      <c r="G2765" t="s">
        <v>10282</v>
      </c>
      <c r="H2765" t="str">
        <f>"toe-1"</f>
        <v>toe-1</v>
      </c>
      <c r="I2765" t="s">
        <v>10284</v>
      </c>
      <c r="J2765">
        <v>14.341034591048301</v>
      </c>
      <c r="K2765">
        <v>14.4208474949042</v>
      </c>
      <c r="L2765">
        <v>14.178735280548301</v>
      </c>
      <c r="M2765">
        <v>14.2675357154744</v>
      </c>
      <c r="N2765">
        <v>14.331512240584701</v>
      </c>
      <c r="O2765">
        <v>14.266701222643601</v>
      </c>
      <c r="P2765">
        <v>-2.4956062599352801E-2</v>
      </c>
      <c r="Q2765">
        <v>-0.339794461673324</v>
      </c>
      <c r="R2765">
        <v>0.28988233647461797</v>
      </c>
      <c r="S2765">
        <v>14.232682825167901</v>
      </c>
      <c r="T2765">
        <v>-0.16660225834525599</v>
      </c>
      <c r="U2765">
        <v>-6.8679983044527004</v>
      </c>
      <c r="V2765">
        <v>0.86955103518281396</v>
      </c>
      <c r="W2765">
        <v>0.99457622291666603</v>
      </c>
      <c r="X2765">
        <v>0</v>
      </c>
      <c r="Y2765">
        <v>0</v>
      </c>
    </row>
    <row r="2766" spans="1:25" x14ac:dyDescent="0.2">
      <c r="A2766" t="s">
        <v>10285</v>
      </c>
      <c r="B2766" t="s">
        <v>10286</v>
      </c>
      <c r="C2766" t="s">
        <v>10287</v>
      </c>
      <c r="D2766" t="s">
        <v>10288</v>
      </c>
      <c r="E2766" t="s">
        <v>10286</v>
      </c>
      <c r="F2766" t="s">
        <v>28</v>
      </c>
      <c r="G2766" t="s">
        <v>10286</v>
      </c>
      <c r="H2766" t="str">
        <f>"aco-1"</f>
        <v>aco-1</v>
      </c>
      <c r="I2766" t="s">
        <v>10288</v>
      </c>
      <c r="J2766">
        <v>14.7522454361123</v>
      </c>
      <c r="K2766">
        <v>14.5179210229617</v>
      </c>
      <c r="L2766">
        <v>14.612232615031299</v>
      </c>
      <c r="M2766">
        <v>14.9482203480301</v>
      </c>
      <c r="N2766">
        <v>14.953908608427</v>
      </c>
      <c r="O2766">
        <v>15.122050153682901</v>
      </c>
      <c r="P2766">
        <v>0.38059334534494699</v>
      </c>
      <c r="Q2766">
        <v>-0.13459084404929</v>
      </c>
      <c r="R2766">
        <v>0.89577753473918298</v>
      </c>
      <c r="S2766">
        <v>14.7634474873184</v>
      </c>
      <c r="T2766">
        <v>1.5527129572138201</v>
      </c>
      <c r="U2766">
        <v>-5.7015229311525903</v>
      </c>
      <c r="V2766">
        <v>0.13799792945911499</v>
      </c>
      <c r="W2766">
        <v>0.72716651652323006</v>
      </c>
      <c r="X2766">
        <v>0</v>
      </c>
      <c r="Y2766">
        <v>0</v>
      </c>
    </row>
    <row r="2767" spans="1:25" x14ac:dyDescent="0.2">
      <c r="A2767" t="s">
        <v>10289</v>
      </c>
      <c r="B2767" t="s">
        <v>10290</v>
      </c>
      <c r="C2767" t="s">
        <v>10291</v>
      </c>
      <c r="D2767" t="s">
        <v>10292</v>
      </c>
      <c r="E2767" t="s">
        <v>10290</v>
      </c>
      <c r="F2767" t="s">
        <v>28</v>
      </c>
      <c r="G2767" t="s">
        <v>10290</v>
      </c>
      <c r="H2767" t="str">
        <f>"lars-2"</f>
        <v>lars-2</v>
      </c>
      <c r="I2767" t="s">
        <v>10292</v>
      </c>
      <c r="J2767">
        <v>13.764331365299901</v>
      </c>
      <c r="K2767">
        <v>13.8247795085794</v>
      </c>
      <c r="L2767">
        <v>13.6069925810028</v>
      </c>
      <c r="M2767">
        <v>13.803115508813899</v>
      </c>
      <c r="N2767">
        <v>13.929545796227</v>
      </c>
      <c r="O2767">
        <v>13.6208985948698</v>
      </c>
      <c r="P2767">
        <v>5.24854816762002E-2</v>
      </c>
      <c r="Q2767">
        <v>-0.35726900538921402</v>
      </c>
      <c r="R2767">
        <v>0.46223996874161399</v>
      </c>
      <c r="S2767">
        <v>13.3018598141278</v>
      </c>
      <c r="T2767">
        <v>0.26922041061663199</v>
      </c>
      <c r="U2767">
        <v>-6.8446963780894796</v>
      </c>
      <c r="V2767">
        <v>0.79083965590457705</v>
      </c>
      <c r="W2767">
        <v>0.99278624068726296</v>
      </c>
      <c r="X2767">
        <v>0</v>
      </c>
      <c r="Y2767">
        <v>0</v>
      </c>
    </row>
    <row r="2768" spans="1:25" x14ac:dyDescent="0.2">
      <c r="A2768" t="s">
        <v>10293</v>
      </c>
      <c r="B2768" t="s">
        <v>10294</v>
      </c>
      <c r="C2768" t="s">
        <v>10295</v>
      </c>
      <c r="D2768" t="s">
        <v>107</v>
      </c>
      <c r="E2768" t="s">
        <v>10294</v>
      </c>
      <c r="F2768" t="s">
        <v>28</v>
      </c>
      <c r="G2768" t="s">
        <v>10294</v>
      </c>
      <c r="H2768" t="str">
        <f>"slc-17.1"</f>
        <v>slc-17.1</v>
      </c>
      <c r="I2768" t="s">
        <v>107</v>
      </c>
      <c r="J2768">
        <v>11.719473332268</v>
      </c>
      <c r="K2768" t="s">
        <v>29</v>
      </c>
      <c r="L2768" t="s">
        <v>29</v>
      </c>
      <c r="M2768" t="s">
        <v>29</v>
      </c>
      <c r="N2768" t="s">
        <v>29</v>
      </c>
      <c r="O2768">
        <v>11.7797560149486</v>
      </c>
      <c r="P2768">
        <v>6.0282682680576002E-2</v>
      </c>
      <c r="Q2768">
        <v>-1.3309392296948499</v>
      </c>
      <c r="R2768">
        <v>1.4515045950559999</v>
      </c>
      <c r="S2768">
        <v>11.7453701286999</v>
      </c>
      <c r="T2768">
        <v>0.100152518107815</v>
      </c>
      <c r="U2768">
        <v>-6.3379118803423804</v>
      </c>
      <c r="V2768">
        <v>0.92271968629666401</v>
      </c>
      <c r="W2768">
        <v>0.99843270744267199</v>
      </c>
      <c r="X2768">
        <v>0</v>
      </c>
      <c r="Y2768">
        <v>0</v>
      </c>
    </row>
    <row r="2769" spans="1:25" x14ac:dyDescent="0.2">
      <c r="A2769" t="s">
        <v>10296</v>
      </c>
      <c r="B2769" t="s">
        <v>10297</v>
      </c>
      <c r="C2769" t="s">
        <v>10298</v>
      </c>
      <c r="D2769" t="s">
        <v>10299</v>
      </c>
      <c r="E2769" t="s">
        <v>10297</v>
      </c>
      <c r="F2769" t="s">
        <v>28</v>
      </c>
      <c r="G2769" t="s">
        <v>10297</v>
      </c>
      <c r="H2769" t="str">
        <f>"mdt-4"</f>
        <v>mdt-4</v>
      </c>
      <c r="I2769" t="s">
        <v>10299</v>
      </c>
      <c r="J2769" t="s">
        <v>29</v>
      </c>
      <c r="K2769" t="s">
        <v>29</v>
      </c>
      <c r="L2769" t="s">
        <v>29</v>
      </c>
      <c r="M2769">
        <v>13.2628856888937</v>
      </c>
      <c r="N2769">
        <v>13.5010872873293</v>
      </c>
      <c r="O2769">
        <v>13.2473588236076</v>
      </c>
      <c r="P2769" t="s">
        <v>29</v>
      </c>
      <c r="Q2769" t="s">
        <v>29</v>
      </c>
      <c r="R2769" t="s">
        <v>29</v>
      </c>
      <c r="S2769">
        <v>13.300590338104501</v>
      </c>
      <c r="T2769" t="s">
        <v>29</v>
      </c>
      <c r="U2769" t="s">
        <v>29</v>
      </c>
      <c r="V2769" t="s">
        <v>29</v>
      </c>
      <c r="W2769" t="s">
        <v>29</v>
      </c>
      <c r="X2769" t="s">
        <v>29</v>
      </c>
      <c r="Y2769" t="s">
        <v>29</v>
      </c>
    </row>
    <row r="2770" spans="1:25" x14ac:dyDescent="0.2">
      <c r="A2770" t="s">
        <v>10300</v>
      </c>
      <c r="B2770" t="s">
        <v>10301</v>
      </c>
      <c r="C2770" t="s">
        <v>10302</v>
      </c>
      <c r="D2770" t="s">
        <v>10303</v>
      </c>
      <c r="E2770" t="s">
        <v>10301</v>
      </c>
      <c r="F2770" t="s">
        <v>28</v>
      </c>
      <c r="G2770" t="s">
        <v>10301</v>
      </c>
      <c r="H2770" t="str">
        <f>"ZK546.14"</f>
        <v>ZK546.14</v>
      </c>
      <c r="I2770" t="s">
        <v>10303</v>
      </c>
      <c r="J2770" t="s">
        <v>29</v>
      </c>
      <c r="K2770" t="s">
        <v>29</v>
      </c>
      <c r="L2770" t="s">
        <v>29</v>
      </c>
      <c r="M2770" t="s">
        <v>29</v>
      </c>
      <c r="N2770" t="s">
        <v>29</v>
      </c>
      <c r="O2770" t="s">
        <v>29</v>
      </c>
      <c r="P2770" t="s">
        <v>29</v>
      </c>
      <c r="Q2770" t="s">
        <v>29</v>
      </c>
      <c r="R2770" t="s">
        <v>29</v>
      </c>
      <c r="S2770">
        <v>10.4125884876879</v>
      </c>
      <c r="T2770" t="s">
        <v>29</v>
      </c>
      <c r="U2770" t="s">
        <v>29</v>
      </c>
      <c r="V2770" t="s">
        <v>29</v>
      </c>
      <c r="W2770" t="s">
        <v>29</v>
      </c>
      <c r="X2770" t="s">
        <v>29</v>
      </c>
      <c r="Y2770" t="s">
        <v>29</v>
      </c>
    </row>
    <row r="2771" spans="1:25" x14ac:dyDescent="0.2">
      <c r="A2771" t="s">
        <v>10304</v>
      </c>
      <c r="B2771" t="s">
        <v>10305</v>
      </c>
      <c r="C2771" t="s">
        <v>14557</v>
      </c>
      <c r="D2771" t="s">
        <v>10306</v>
      </c>
      <c r="E2771" t="s">
        <v>10305</v>
      </c>
      <c r="F2771" t="s">
        <v>28</v>
      </c>
      <c r="G2771" t="s">
        <v>10305</v>
      </c>
      <c r="H2771" t="str">
        <f>"ZK546.2"</f>
        <v>ZK546.2</v>
      </c>
      <c r="I2771" t="s">
        <v>10306</v>
      </c>
      <c r="J2771">
        <v>13.191427099680601</v>
      </c>
      <c r="K2771">
        <v>13.0972098636196</v>
      </c>
      <c r="L2771">
        <v>13.3353055504314</v>
      </c>
      <c r="M2771">
        <v>13.041794486036901</v>
      </c>
      <c r="N2771">
        <v>13.045356040042501</v>
      </c>
      <c r="O2771">
        <v>13.9485319116193</v>
      </c>
      <c r="P2771">
        <v>0.13724664132233699</v>
      </c>
      <c r="Q2771">
        <v>-0.39869850699479398</v>
      </c>
      <c r="R2771">
        <v>0.67319178963946802</v>
      </c>
      <c r="S2771">
        <v>13.1502172070418</v>
      </c>
      <c r="T2771">
        <v>0.54316391666904096</v>
      </c>
      <c r="U2771">
        <v>-6.7287491880678498</v>
      </c>
      <c r="V2771">
        <v>0.59455281804732796</v>
      </c>
      <c r="W2771">
        <v>0.965676807448271</v>
      </c>
      <c r="X2771">
        <v>0</v>
      </c>
      <c r="Y2771">
        <v>0</v>
      </c>
    </row>
    <row r="2772" spans="1:25" x14ac:dyDescent="0.2">
      <c r="A2772" t="s">
        <v>10307</v>
      </c>
      <c r="B2772" t="s">
        <v>10308</v>
      </c>
      <c r="C2772" t="s">
        <v>10309</v>
      </c>
      <c r="D2772" t="s">
        <v>10310</v>
      </c>
      <c r="E2772" t="s">
        <v>10308</v>
      </c>
      <c r="F2772" t="s">
        <v>28</v>
      </c>
      <c r="G2772" t="s">
        <v>10308</v>
      </c>
      <c r="H2772" t="str">
        <f>"zyg-12"</f>
        <v>zyg-12</v>
      </c>
      <c r="I2772" t="s">
        <v>10310</v>
      </c>
      <c r="J2772" t="s">
        <v>29</v>
      </c>
      <c r="K2772" t="s">
        <v>29</v>
      </c>
      <c r="L2772" t="s">
        <v>29</v>
      </c>
      <c r="M2772" t="s">
        <v>29</v>
      </c>
      <c r="N2772" t="s">
        <v>29</v>
      </c>
      <c r="O2772" t="s">
        <v>29</v>
      </c>
      <c r="P2772" t="s">
        <v>29</v>
      </c>
      <c r="Q2772" t="s">
        <v>29</v>
      </c>
      <c r="R2772" t="s">
        <v>29</v>
      </c>
      <c r="S2772">
        <v>11.886951685204</v>
      </c>
      <c r="T2772" t="s">
        <v>29</v>
      </c>
      <c r="U2772" t="s">
        <v>29</v>
      </c>
      <c r="V2772" t="s">
        <v>29</v>
      </c>
      <c r="W2772" t="s">
        <v>29</v>
      </c>
      <c r="X2772" t="s">
        <v>29</v>
      </c>
      <c r="Y2772" t="s">
        <v>29</v>
      </c>
    </row>
    <row r="2773" spans="1:25" x14ac:dyDescent="0.2">
      <c r="A2773" t="s">
        <v>10311</v>
      </c>
      <c r="B2773" t="s">
        <v>10312</v>
      </c>
      <c r="C2773" t="s">
        <v>10313</v>
      </c>
      <c r="D2773" t="s">
        <v>682</v>
      </c>
      <c r="E2773" t="s">
        <v>10312</v>
      </c>
      <c r="F2773" t="s">
        <v>28</v>
      </c>
      <c r="G2773" t="s">
        <v>10312</v>
      </c>
      <c r="H2773" t="str">
        <f>"pyk-2"</f>
        <v>pyk-2</v>
      </c>
      <c r="I2773" t="s">
        <v>682</v>
      </c>
      <c r="J2773">
        <v>13.867227326853399</v>
      </c>
      <c r="K2773">
        <v>13.8816550279825</v>
      </c>
      <c r="L2773">
        <v>13.5167686554681</v>
      </c>
      <c r="M2773">
        <v>13.6544296988941</v>
      </c>
      <c r="N2773">
        <v>12.778241204791501</v>
      </c>
      <c r="O2773">
        <v>13.1484291556839</v>
      </c>
      <c r="P2773">
        <v>-0.56151698364481994</v>
      </c>
      <c r="Q2773">
        <v>-1.17582113119297</v>
      </c>
      <c r="R2773">
        <v>5.27871639033285E-2</v>
      </c>
      <c r="S2773">
        <v>13.3571890906086</v>
      </c>
      <c r="T2773">
        <v>-1.9387819989241499</v>
      </c>
      <c r="U2773">
        <v>-5.1099077806314597</v>
      </c>
      <c r="V2773">
        <v>7.0493611591175398E-2</v>
      </c>
      <c r="W2773">
        <v>0.57296164832723195</v>
      </c>
      <c r="X2773">
        <v>0</v>
      </c>
      <c r="Y2773">
        <v>0</v>
      </c>
    </row>
    <row r="2774" spans="1:25" x14ac:dyDescent="0.2">
      <c r="A2774" t="s">
        <v>10314</v>
      </c>
      <c r="B2774" t="s">
        <v>10315</v>
      </c>
      <c r="C2774" t="s">
        <v>10316</v>
      </c>
      <c r="D2774" t="s">
        <v>10317</v>
      </c>
      <c r="E2774" t="s">
        <v>10315</v>
      </c>
      <c r="F2774" t="s">
        <v>28</v>
      </c>
      <c r="G2774" t="s">
        <v>10315</v>
      </c>
      <c r="H2774" t="str">
        <f>"rbr-2"</f>
        <v>rbr-2</v>
      </c>
      <c r="I2774" t="s">
        <v>10317</v>
      </c>
      <c r="J2774">
        <v>10.320905739700899</v>
      </c>
      <c r="K2774">
        <v>11.139836239744</v>
      </c>
      <c r="L2774">
        <v>11.447627898862001</v>
      </c>
      <c r="M2774">
        <v>9.8097198279245603</v>
      </c>
      <c r="N2774">
        <v>11.718081561647899</v>
      </c>
      <c r="O2774">
        <v>10.9164632935803</v>
      </c>
      <c r="P2774">
        <v>-0.15470173171806101</v>
      </c>
      <c r="Q2774">
        <v>-1.01995097756553</v>
      </c>
      <c r="R2774">
        <v>0.71054751412940398</v>
      </c>
      <c r="S2774">
        <v>11.344762278683</v>
      </c>
      <c r="T2774">
        <v>-0.38374774683732599</v>
      </c>
      <c r="U2774">
        <v>-6.8047882932228196</v>
      </c>
      <c r="V2774">
        <v>0.70697331451513301</v>
      </c>
      <c r="W2774">
        <v>0.986995809356777</v>
      </c>
      <c r="X2774">
        <v>0</v>
      </c>
      <c r="Y2774">
        <v>0</v>
      </c>
    </row>
    <row r="2775" spans="1:25" x14ac:dyDescent="0.2">
      <c r="A2775" t="s">
        <v>10318</v>
      </c>
      <c r="B2775" t="s">
        <v>10319</v>
      </c>
      <c r="C2775" t="s">
        <v>10320</v>
      </c>
      <c r="D2775" t="s">
        <v>10321</v>
      </c>
      <c r="E2775" t="s">
        <v>10319</v>
      </c>
      <c r="F2775" t="s">
        <v>28</v>
      </c>
      <c r="G2775" t="s">
        <v>10319</v>
      </c>
      <c r="H2775" t="str">
        <f>"unc-22"</f>
        <v>unc-22</v>
      </c>
      <c r="I2775" t="s">
        <v>10321</v>
      </c>
      <c r="J2775">
        <v>14.907963467374399</v>
      </c>
      <c r="K2775">
        <v>15.105570194660199</v>
      </c>
      <c r="L2775">
        <v>14.958579255953101</v>
      </c>
      <c r="M2775">
        <v>14.625623387903</v>
      </c>
      <c r="N2775">
        <v>14.393699486934</v>
      </c>
      <c r="O2775">
        <v>14.9385178790038</v>
      </c>
      <c r="P2775">
        <v>-0.338090721382304</v>
      </c>
      <c r="Q2775">
        <v>-0.73849632860146397</v>
      </c>
      <c r="R2775">
        <v>6.2314885836855703E-2</v>
      </c>
      <c r="S2775">
        <v>14.803448690865901</v>
      </c>
      <c r="T2775">
        <v>-1.7747027186145901</v>
      </c>
      <c r="U2775">
        <v>-5.3679753830336701</v>
      </c>
      <c r="V2775">
        <v>9.2959912099666905E-2</v>
      </c>
      <c r="W2775">
        <v>0.63555990474004798</v>
      </c>
      <c r="X2775">
        <v>0</v>
      </c>
      <c r="Y2775">
        <v>0</v>
      </c>
    </row>
    <row r="2776" spans="1:25" x14ac:dyDescent="0.2">
      <c r="A2776" t="s">
        <v>10322</v>
      </c>
      <c r="B2776" t="s">
        <v>10323</v>
      </c>
      <c r="C2776" t="s">
        <v>10324</v>
      </c>
      <c r="D2776" t="s">
        <v>10325</v>
      </c>
      <c r="E2776" t="s">
        <v>10323</v>
      </c>
      <c r="F2776" t="s">
        <v>28</v>
      </c>
      <c r="G2776" t="s">
        <v>10323</v>
      </c>
      <c r="H2776" t="str">
        <f>"pmt-1"</f>
        <v>pmt-1</v>
      </c>
      <c r="I2776" t="s">
        <v>10325</v>
      </c>
      <c r="J2776">
        <v>15.2824603128247</v>
      </c>
      <c r="K2776">
        <v>15.066483987909701</v>
      </c>
      <c r="L2776">
        <v>15.094857625403399</v>
      </c>
      <c r="M2776">
        <v>15.5329580313484</v>
      </c>
      <c r="N2776">
        <v>15.377493160910101</v>
      </c>
      <c r="O2776">
        <v>15.166286468759999</v>
      </c>
      <c r="P2776">
        <v>0.210978578293542</v>
      </c>
      <c r="Q2776">
        <v>-0.235112104422289</v>
      </c>
      <c r="R2776">
        <v>0.65706926100937202</v>
      </c>
      <c r="S2776">
        <v>15.061275966696099</v>
      </c>
      <c r="T2776">
        <v>0.99404883844448999</v>
      </c>
      <c r="U2776">
        <v>-6.3800841674614404</v>
      </c>
      <c r="V2776">
        <v>0.33345125763336803</v>
      </c>
      <c r="W2776">
        <v>0.87368774661315896</v>
      </c>
      <c r="X2776">
        <v>0</v>
      </c>
      <c r="Y2776">
        <v>0</v>
      </c>
    </row>
    <row r="2777" spans="1:25" x14ac:dyDescent="0.2">
      <c r="A2777" t="s">
        <v>10326</v>
      </c>
      <c r="B2777" t="s">
        <v>10327</v>
      </c>
      <c r="C2777" t="s">
        <v>10328</v>
      </c>
      <c r="D2777" t="s">
        <v>10329</v>
      </c>
      <c r="E2777" t="s">
        <v>10327</v>
      </c>
      <c r="F2777" t="s">
        <v>28</v>
      </c>
      <c r="G2777" t="s">
        <v>10327</v>
      </c>
      <c r="H2777" t="str">
        <f>"dbt-1"</f>
        <v>dbt-1</v>
      </c>
      <c r="I2777" t="s">
        <v>10329</v>
      </c>
      <c r="J2777">
        <v>15.4520094371713</v>
      </c>
      <c r="K2777">
        <v>15.4012791002719</v>
      </c>
      <c r="L2777">
        <v>15.732668859841899</v>
      </c>
      <c r="M2777">
        <v>15.8044189227977</v>
      </c>
      <c r="N2777">
        <v>16.3856899486359</v>
      </c>
      <c r="O2777">
        <v>15.5376013254232</v>
      </c>
      <c r="P2777">
        <v>0.38058426652391503</v>
      </c>
      <c r="Q2777">
        <v>-0.35278991242643398</v>
      </c>
      <c r="R2777">
        <v>1.1139584454742599</v>
      </c>
      <c r="S2777">
        <v>16.273590228113999</v>
      </c>
      <c r="T2777">
        <v>1.0907311809825699</v>
      </c>
      <c r="U2777">
        <v>-6.2808708527806596</v>
      </c>
      <c r="V2777">
        <v>0.28986048508048301</v>
      </c>
      <c r="W2777">
        <v>0.856190392347986</v>
      </c>
      <c r="X2777">
        <v>0</v>
      </c>
      <c r="Y2777">
        <v>0</v>
      </c>
    </row>
    <row r="2778" spans="1:25" x14ac:dyDescent="0.2">
      <c r="A2778" t="s">
        <v>10330</v>
      </c>
      <c r="B2778" t="s">
        <v>10331</v>
      </c>
      <c r="C2778" t="s">
        <v>10332</v>
      </c>
      <c r="D2778" t="s">
        <v>10333</v>
      </c>
      <c r="E2778" t="s">
        <v>10331</v>
      </c>
      <c r="F2778" t="s">
        <v>28</v>
      </c>
      <c r="G2778" t="s">
        <v>10331</v>
      </c>
      <c r="H2778" t="str">
        <f>"upp-1"</f>
        <v>upp-1</v>
      </c>
      <c r="I2778" t="s">
        <v>10333</v>
      </c>
      <c r="J2778" t="s">
        <v>29</v>
      </c>
      <c r="K2778" t="s">
        <v>29</v>
      </c>
      <c r="L2778">
        <v>11.8890857869977</v>
      </c>
      <c r="M2778">
        <v>13.359303949959999</v>
      </c>
      <c r="N2778">
        <v>13.371508889102</v>
      </c>
      <c r="O2778" t="s">
        <v>29</v>
      </c>
      <c r="P2778">
        <v>1.47632063253329</v>
      </c>
      <c r="Q2778">
        <v>0.70261875317979805</v>
      </c>
      <c r="R2778">
        <v>2.2500225118867898</v>
      </c>
      <c r="S2778">
        <v>13.2072734059092</v>
      </c>
      <c r="T2778">
        <v>4.1256680514938102</v>
      </c>
      <c r="U2778">
        <v>-0.84358736523089295</v>
      </c>
      <c r="V2778">
        <v>1.2141180641401701E-3</v>
      </c>
      <c r="W2778">
        <v>3.5443727346127003E-2</v>
      </c>
      <c r="X2778">
        <v>1</v>
      </c>
      <c r="Y2778">
        <v>1</v>
      </c>
    </row>
    <row r="2779" spans="1:25" x14ac:dyDescent="0.2">
      <c r="A2779" t="s">
        <v>10334</v>
      </c>
      <c r="B2779" t="s">
        <v>10335</v>
      </c>
      <c r="C2779" t="s">
        <v>14558</v>
      </c>
      <c r="D2779" t="s">
        <v>10336</v>
      </c>
      <c r="E2779" t="s">
        <v>10335</v>
      </c>
      <c r="F2779" t="s">
        <v>28</v>
      </c>
      <c r="G2779" t="s">
        <v>10335</v>
      </c>
      <c r="H2779" t="str">
        <f>"ZK792.5"</f>
        <v>ZK792.5</v>
      </c>
      <c r="I2779" t="s">
        <v>10336</v>
      </c>
      <c r="J2779">
        <v>13.754590215742001</v>
      </c>
      <c r="K2779" t="s">
        <v>29</v>
      </c>
      <c r="L2779">
        <v>13.541342363821199</v>
      </c>
      <c r="M2779">
        <v>13.1251022323575</v>
      </c>
      <c r="N2779">
        <v>11.3690285131282</v>
      </c>
      <c r="O2779">
        <v>14.1630339645807</v>
      </c>
      <c r="P2779">
        <v>-0.76224471975950803</v>
      </c>
      <c r="Q2779">
        <v>-1.9330920536397</v>
      </c>
      <c r="R2779">
        <v>0.40860261412068699</v>
      </c>
      <c r="S2779">
        <v>13.068818224383801</v>
      </c>
      <c r="T2779">
        <v>-1.3884676293220499</v>
      </c>
      <c r="U2779">
        <v>-5.8181085113846196</v>
      </c>
      <c r="V2779">
        <v>0.185410364968837</v>
      </c>
      <c r="W2779">
        <v>0.78295732499061499</v>
      </c>
      <c r="X2779">
        <v>0</v>
      </c>
      <c r="Y2779">
        <v>0</v>
      </c>
    </row>
    <row r="2780" spans="1:25" x14ac:dyDescent="0.2">
      <c r="A2780" t="s">
        <v>10337</v>
      </c>
      <c r="B2780" t="s">
        <v>10338</v>
      </c>
      <c r="C2780" t="s">
        <v>14559</v>
      </c>
      <c r="D2780" t="s">
        <v>8716</v>
      </c>
      <c r="E2780" t="s">
        <v>10338</v>
      </c>
      <c r="F2780" t="s">
        <v>28</v>
      </c>
      <c r="G2780" t="s">
        <v>10338</v>
      </c>
      <c r="H2780" t="str">
        <f>"ZK813.3"</f>
        <v>ZK813.3</v>
      </c>
      <c r="I2780" t="s">
        <v>8716</v>
      </c>
      <c r="J2780">
        <v>16.178501935439801</v>
      </c>
      <c r="K2780">
        <v>14.4193990237658</v>
      </c>
      <c r="L2780">
        <v>16.6690597003189</v>
      </c>
      <c r="M2780">
        <v>16.101775914521198</v>
      </c>
      <c r="N2780">
        <v>15.9536720850141</v>
      </c>
      <c r="O2780">
        <v>17.024719589531799</v>
      </c>
      <c r="P2780">
        <v>0.60440230984753096</v>
      </c>
      <c r="Q2780">
        <v>-0.68047902487610801</v>
      </c>
      <c r="R2780">
        <v>1.88928364457117</v>
      </c>
      <c r="S2780">
        <v>16.1146548563989</v>
      </c>
      <c r="T2780">
        <v>0.98867967998724504</v>
      </c>
      <c r="U2780">
        <v>-6.3853539000463897</v>
      </c>
      <c r="V2780">
        <v>0.336000514972293</v>
      </c>
      <c r="W2780">
        <v>0.87368774661315896</v>
      </c>
      <c r="X2780">
        <v>0</v>
      </c>
      <c r="Y2780">
        <v>0</v>
      </c>
    </row>
    <row r="2781" spans="1:25" x14ac:dyDescent="0.2">
      <c r="A2781" t="s">
        <v>10339</v>
      </c>
      <c r="B2781" t="s">
        <v>10340</v>
      </c>
      <c r="C2781" t="s">
        <v>14560</v>
      </c>
      <c r="D2781" t="s">
        <v>8716</v>
      </c>
      <c r="E2781" t="s">
        <v>10340</v>
      </c>
      <c r="F2781" t="s">
        <v>28</v>
      </c>
      <c r="G2781" t="s">
        <v>10340</v>
      </c>
      <c r="H2781" t="str">
        <f>"ZK813.1"</f>
        <v>ZK813.1</v>
      </c>
      <c r="I2781" t="s">
        <v>8716</v>
      </c>
      <c r="J2781">
        <v>15.334934143095801</v>
      </c>
      <c r="K2781">
        <v>15.0132871955007</v>
      </c>
      <c r="L2781">
        <v>16.081460216115801</v>
      </c>
      <c r="M2781">
        <v>15.0045884746339</v>
      </c>
      <c r="N2781">
        <v>15.486184868228399</v>
      </c>
      <c r="O2781">
        <v>15.629213293374599</v>
      </c>
      <c r="P2781">
        <v>-0.10323163949179399</v>
      </c>
      <c r="Q2781">
        <v>-0.97853436051439302</v>
      </c>
      <c r="R2781">
        <v>0.77207108153080495</v>
      </c>
      <c r="S2781">
        <v>15.3459921136412</v>
      </c>
      <c r="T2781">
        <v>-0.24788318023532699</v>
      </c>
      <c r="U2781">
        <v>-6.8504396782828003</v>
      </c>
      <c r="V2781">
        <v>0.80704683085295403</v>
      </c>
      <c r="W2781">
        <v>0.99278624068726296</v>
      </c>
      <c r="X2781">
        <v>0</v>
      </c>
      <c r="Y2781">
        <v>0</v>
      </c>
    </row>
    <row r="2782" spans="1:25" x14ac:dyDescent="0.2">
      <c r="A2782" t="s">
        <v>10341</v>
      </c>
      <c r="B2782" t="s">
        <v>10342</v>
      </c>
      <c r="C2782" t="s">
        <v>14181</v>
      </c>
      <c r="D2782" t="s">
        <v>10343</v>
      </c>
      <c r="E2782" t="s">
        <v>10342</v>
      </c>
      <c r="F2782" t="s">
        <v>28</v>
      </c>
      <c r="G2782" t="s">
        <v>10342</v>
      </c>
      <c r="H2782" t="str">
        <f>"ZK822.1"</f>
        <v>ZK822.1</v>
      </c>
      <c r="I2782" t="s">
        <v>10343</v>
      </c>
      <c r="J2782">
        <v>10.8044806880278</v>
      </c>
      <c r="K2782">
        <v>9.1915806324417701</v>
      </c>
      <c r="L2782">
        <v>10.203156143106501</v>
      </c>
      <c r="M2782">
        <v>11.183018477151</v>
      </c>
      <c r="N2782">
        <v>11.429285336657401</v>
      </c>
      <c r="O2782">
        <v>11.017536033236601</v>
      </c>
      <c r="P2782">
        <v>1.1435407944896401</v>
      </c>
      <c r="Q2782">
        <v>0.41830404449477099</v>
      </c>
      <c r="R2782">
        <v>1.8687775444845101</v>
      </c>
      <c r="S2782">
        <v>11.4408274831861</v>
      </c>
      <c r="T2782">
        <v>3.3444244438050399</v>
      </c>
      <c r="U2782">
        <v>-2.44274106387584</v>
      </c>
      <c r="V2782">
        <v>4.1465587192349596E-3</v>
      </c>
      <c r="W2782">
        <v>9.4143898273024496E-2</v>
      </c>
      <c r="X2782">
        <v>1</v>
      </c>
      <c r="Y2782">
        <v>0</v>
      </c>
    </row>
    <row r="2783" spans="1:25" x14ac:dyDescent="0.2">
      <c r="A2783" t="s">
        <v>10344</v>
      </c>
      <c r="B2783" t="s">
        <v>10345</v>
      </c>
      <c r="C2783" t="s">
        <v>10346</v>
      </c>
      <c r="D2783" t="s">
        <v>10347</v>
      </c>
      <c r="E2783" t="s">
        <v>10345</v>
      </c>
      <c r="F2783" t="s">
        <v>28</v>
      </c>
      <c r="G2783" t="s">
        <v>10345</v>
      </c>
      <c r="H2783" t="str">
        <f>"slc-5A12"</f>
        <v>slc-5A12</v>
      </c>
      <c r="I2783" t="s">
        <v>10347</v>
      </c>
      <c r="J2783">
        <v>14.1912069006101</v>
      </c>
      <c r="K2783">
        <v>13.334286021971501</v>
      </c>
      <c r="L2783">
        <v>14.006682375873799</v>
      </c>
      <c r="M2783">
        <v>13.7181358432662</v>
      </c>
      <c r="N2783">
        <v>13.6255988245117</v>
      </c>
      <c r="O2783">
        <v>13.783463203735399</v>
      </c>
      <c r="P2783">
        <v>-0.13499247564733199</v>
      </c>
      <c r="Q2783">
        <v>-0.68720980625320705</v>
      </c>
      <c r="R2783">
        <v>0.417224854958544</v>
      </c>
      <c r="S2783">
        <v>14.1345505999619</v>
      </c>
      <c r="T2783">
        <v>-0.51599981139415696</v>
      </c>
      <c r="U2783">
        <v>-6.7440350665739199</v>
      </c>
      <c r="V2783">
        <v>0.61254156666774595</v>
      </c>
      <c r="W2783">
        <v>0.97238011246645495</v>
      </c>
      <c r="X2783">
        <v>0</v>
      </c>
      <c r="Y2783">
        <v>0</v>
      </c>
    </row>
    <row r="2784" spans="1:25" x14ac:dyDescent="0.2">
      <c r="A2784" t="s">
        <v>10348</v>
      </c>
      <c r="B2784" t="s">
        <v>10349</v>
      </c>
      <c r="C2784" t="s">
        <v>10350</v>
      </c>
      <c r="D2784" t="s">
        <v>10351</v>
      </c>
      <c r="E2784" t="s">
        <v>10349</v>
      </c>
      <c r="F2784" t="s">
        <v>28</v>
      </c>
      <c r="G2784" t="s">
        <v>10349</v>
      </c>
      <c r="H2784" t="str">
        <f>"gdh-1"</f>
        <v>gdh-1</v>
      </c>
      <c r="I2784" t="s">
        <v>10351</v>
      </c>
      <c r="J2784">
        <v>14.200244308100499</v>
      </c>
      <c r="K2784">
        <v>14.287830840607301</v>
      </c>
      <c r="L2784">
        <v>14.658406694233699</v>
      </c>
      <c r="M2784">
        <v>14.700087961803501</v>
      </c>
      <c r="N2784">
        <v>14.3055669113102</v>
      </c>
      <c r="O2784">
        <v>14.590331847084</v>
      </c>
      <c r="P2784">
        <v>0.14983495908542099</v>
      </c>
      <c r="Q2784">
        <v>-0.482295032825313</v>
      </c>
      <c r="R2784">
        <v>0.78196495099615504</v>
      </c>
      <c r="S2784">
        <v>14.544222913157601</v>
      </c>
      <c r="T2784">
        <v>0.49819489209810802</v>
      </c>
      <c r="U2784">
        <v>-6.7537067889887297</v>
      </c>
      <c r="V2784">
        <v>0.62441404514127496</v>
      </c>
      <c r="W2784">
        <v>0.97279262440453396</v>
      </c>
      <c r="X2784">
        <v>0</v>
      </c>
      <c r="Y2784">
        <v>0</v>
      </c>
    </row>
    <row r="2785" spans="1:25" x14ac:dyDescent="0.2">
      <c r="A2785" t="s">
        <v>10352</v>
      </c>
      <c r="B2785" t="s">
        <v>10353</v>
      </c>
      <c r="C2785" t="s">
        <v>14561</v>
      </c>
      <c r="D2785" t="s">
        <v>4084</v>
      </c>
      <c r="E2785" t="s">
        <v>10353</v>
      </c>
      <c r="F2785" t="s">
        <v>28</v>
      </c>
      <c r="G2785" t="s">
        <v>10353</v>
      </c>
      <c r="H2785" t="str">
        <f>"ZK829.7"</f>
        <v>ZK829.7</v>
      </c>
      <c r="I2785" t="s">
        <v>4084</v>
      </c>
      <c r="J2785">
        <v>14.7784807558086</v>
      </c>
      <c r="K2785">
        <v>14.4578582826088</v>
      </c>
      <c r="L2785">
        <v>13.969378509094099</v>
      </c>
      <c r="M2785">
        <v>14.620993199463699</v>
      </c>
      <c r="N2785">
        <v>14.489786545893301</v>
      </c>
      <c r="O2785">
        <v>14.507540650671899</v>
      </c>
      <c r="P2785">
        <v>0.13753428283914099</v>
      </c>
      <c r="Q2785">
        <v>-0.37267438746600301</v>
      </c>
      <c r="R2785">
        <v>0.64774295314428498</v>
      </c>
      <c r="S2785">
        <v>14.4225803003477</v>
      </c>
      <c r="T2785">
        <v>0.56657270172716601</v>
      </c>
      <c r="U2785">
        <v>-6.7162671622331898</v>
      </c>
      <c r="V2785">
        <v>0.57804210730224403</v>
      </c>
      <c r="W2785">
        <v>0.96154852663020995</v>
      </c>
      <c r="X2785">
        <v>0</v>
      </c>
      <c r="Y2785">
        <v>0</v>
      </c>
    </row>
    <row r="2786" spans="1:25" x14ac:dyDescent="0.2">
      <c r="A2786" t="s">
        <v>10354</v>
      </c>
      <c r="B2786" t="s">
        <v>10355</v>
      </c>
      <c r="C2786" t="s">
        <v>10356</v>
      </c>
      <c r="D2786" t="s">
        <v>10357</v>
      </c>
      <c r="E2786" t="s">
        <v>10355</v>
      </c>
      <c r="F2786" t="s">
        <v>28</v>
      </c>
      <c r="G2786" t="s">
        <v>10355</v>
      </c>
      <c r="H2786" t="str">
        <f>"ogdh-2"</f>
        <v>ogdh-2</v>
      </c>
      <c r="I2786" t="s">
        <v>10357</v>
      </c>
      <c r="J2786">
        <v>12.663117557504201</v>
      </c>
      <c r="K2786">
        <v>12.302680604715199</v>
      </c>
      <c r="L2786">
        <v>12.4008405268288</v>
      </c>
      <c r="M2786">
        <v>12.889774122283001</v>
      </c>
      <c r="N2786">
        <v>12.4818018289024</v>
      </c>
      <c r="O2786">
        <v>12.326125727944801</v>
      </c>
      <c r="P2786">
        <v>0.11035433002731999</v>
      </c>
      <c r="Q2786">
        <v>-0.77118188416093703</v>
      </c>
      <c r="R2786">
        <v>0.99189054421557699</v>
      </c>
      <c r="S2786">
        <v>12.7634343863302</v>
      </c>
      <c r="T2786">
        <v>0.26552092362714202</v>
      </c>
      <c r="U2786">
        <v>-6.8454902832907099</v>
      </c>
      <c r="V2786">
        <v>0.79402112838319205</v>
      </c>
      <c r="W2786">
        <v>0.99278624068726296</v>
      </c>
      <c r="X2786">
        <v>0</v>
      </c>
      <c r="Y2786">
        <v>0</v>
      </c>
    </row>
    <row r="2787" spans="1:25" x14ac:dyDescent="0.2">
      <c r="A2787" t="s">
        <v>10358</v>
      </c>
      <c r="B2787" t="s">
        <v>10359</v>
      </c>
      <c r="C2787" t="s">
        <v>14562</v>
      </c>
      <c r="D2787" t="s">
        <v>10360</v>
      </c>
      <c r="E2787" t="s">
        <v>10359</v>
      </c>
      <c r="F2787" t="s">
        <v>28</v>
      </c>
      <c r="G2787" t="s">
        <v>10359</v>
      </c>
      <c r="H2787" t="str">
        <f>"ZK84.1"</f>
        <v>ZK84.1</v>
      </c>
      <c r="I2787" t="s">
        <v>10360</v>
      </c>
      <c r="J2787">
        <v>10.2267915065284</v>
      </c>
      <c r="K2787">
        <v>11.615035721284899</v>
      </c>
      <c r="L2787">
        <v>11.823338370779</v>
      </c>
      <c r="M2787">
        <v>10.8986278157297</v>
      </c>
      <c r="N2787" t="s">
        <v>29</v>
      </c>
      <c r="O2787">
        <v>10.699888231072601</v>
      </c>
      <c r="P2787">
        <v>-0.422463842796306</v>
      </c>
      <c r="Q2787">
        <v>-1.69099268775203</v>
      </c>
      <c r="R2787">
        <v>0.84606500215941904</v>
      </c>
      <c r="S2787">
        <v>10.9623607189131</v>
      </c>
      <c r="T2787">
        <v>-0.72633038157165897</v>
      </c>
      <c r="U2787">
        <v>-6.4960854518837001</v>
      </c>
      <c r="V2787">
        <v>0.481684856250856</v>
      </c>
      <c r="W2787">
        <v>0.93764446794243095</v>
      </c>
      <c r="X2787">
        <v>0</v>
      </c>
      <c r="Y2787">
        <v>0</v>
      </c>
    </row>
    <row r="2788" spans="1:25" x14ac:dyDescent="0.2">
      <c r="A2788" t="s">
        <v>10361</v>
      </c>
      <c r="B2788" t="s">
        <v>10362</v>
      </c>
      <c r="C2788" t="s">
        <v>10363</v>
      </c>
      <c r="D2788" t="s">
        <v>10364</v>
      </c>
      <c r="E2788" t="s">
        <v>10362</v>
      </c>
      <c r="F2788" t="s">
        <v>28</v>
      </c>
      <c r="G2788" t="s">
        <v>10362</v>
      </c>
      <c r="H2788" t="str">
        <f>"cul-5"</f>
        <v>cul-5</v>
      </c>
      <c r="I2788" t="s">
        <v>10364</v>
      </c>
      <c r="J2788">
        <v>13.0186569988334</v>
      </c>
      <c r="K2788">
        <v>12.976551963813</v>
      </c>
      <c r="L2788">
        <v>13.1220508217339</v>
      </c>
      <c r="M2788">
        <v>13.0154304385799</v>
      </c>
      <c r="N2788">
        <v>13.3243343252699</v>
      </c>
      <c r="O2788">
        <v>13.202142523168501</v>
      </c>
      <c r="P2788">
        <v>0.141549167545966</v>
      </c>
      <c r="Q2788">
        <v>-0.30413338183444599</v>
      </c>
      <c r="R2788">
        <v>0.58723171692637799</v>
      </c>
      <c r="S2788">
        <v>13.0917965732797</v>
      </c>
      <c r="T2788">
        <v>0.66753524843565804</v>
      </c>
      <c r="U2788">
        <v>-6.6525436300202703</v>
      </c>
      <c r="V2788">
        <v>0.51294764267040305</v>
      </c>
      <c r="W2788">
        <v>0.94175858862430595</v>
      </c>
      <c r="X2788">
        <v>0</v>
      </c>
      <c r="Y2788">
        <v>0</v>
      </c>
    </row>
    <row r="2789" spans="1:25" x14ac:dyDescent="0.2">
      <c r="A2789" t="s">
        <v>10365</v>
      </c>
      <c r="B2789" t="s">
        <v>10366</v>
      </c>
      <c r="C2789" t="s">
        <v>10367</v>
      </c>
      <c r="D2789" t="s">
        <v>10368</v>
      </c>
      <c r="E2789" t="s">
        <v>10366</v>
      </c>
      <c r="F2789" t="s">
        <v>28</v>
      </c>
      <c r="G2789" t="s">
        <v>10366</v>
      </c>
      <c r="H2789" t="str">
        <f>"elpc-3"</f>
        <v>elpc-3</v>
      </c>
      <c r="I2789" t="s">
        <v>10368</v>
      </c>
      <c r="J2789">
        <v>10.9004207523106</v>
      </c>
      <c r="K2789">
        <v>10.6088151566313</v>
      </c>
      <c r="L2789">
        <v>11.0410139688525</v>
      </c>
      <c r="M2789">
        <v>11.188742851168501</v>
      </c>
      <c r="N2789">
        <v>10.9381079351349</v>
      </c>
      <c r="O2789">
        <v>10.263852184405099</v>
      </c>
      <c r="P2789">
        <v>-5.31823023619626E-2</v>
      </c>
      <c r="Q2789">
        <v>-0.62526431549352701</v>
      </c>
      <c r="R2789">
        <v>0.51889971076960195</v>
      </c>
      <c r="S2789">
        <v>11.1461918839349</v>
      </c>
      <c r="T2789">
        <v>-0.19622704086892701</v>
      </c>
      <c r="U2789">
        <v>-6.8623309344215002</v>
      </c>
      <c r="V2789">
        <v>0.84677336459893604</v>
      </c>
      <c r="W2789">
        <v>0.99370971747667503</v>
      </c>
      <c r="X2789">
        <v>0</v>
      </c>
      <c r="Y2789">
        <v>0</v>
      </c>
    </row>
    <row r="2790" spans="1:25" x14ac:dyDescent="0.2">
      <c r="A2790" t="s">
        <v>10369</v>
      </c>
      <c r="B2790" t="s">
        <v>10370</v>
      </c>
      <c r="C2790" t="s">
        <v>10371</v>
      </c>
      <c r="D2790" t="s">
        <v>10372</v>
      </c>
      <c r="E2790" t="s">
        <v>10370</v>
      </c>
      <c r="F2790" t="s">
        <v>28</v>
      </c>
      <c r="G2790" t="s">
        <v>10370</v>
      </c>
      <c r="H2790" t="str">
        <f>"usip-1"</f>
        <v>usip-1</v>
      </c>
      <c r="I2790" t="s">
        <v>10372</v>
      </c>
      <c r="J2790">
        <v>13.642672363804699</v>
      </c>
      <c r="K2790">
        <v>13.595544441507201</v>
      </c>
      <c r="L2790">
        <v>13.5970580350267</v>
      </c>
      <c r="M2790">
        <v>13.478598168085201</v>
      </c>
      <c r="N2790">
        <v>13.489041448008001</v>
      </c>
      <c r="O2790">
        <v>13.339508475925999</v>
      </c>
      <c r="P2790">
        <v>-0.17604224943980101</v>
      </c>
      <c r="Q2790">
        <v>-0.53142918530346295</v>
      </c>
      <c r="R2790">
        <v>0.17934468642386101</v>
      </c>
      <c r="S2790">
        <v>13.3065332323054</v>
      </c>
      <c r="T2790">
        <v>-1.0455997324937301</v>
      </c>
      <c r="U2790">
        <v>-6.32742454162178</v>
      </c>
      <c r="V2790">
        <v>0.31047578251014901</v>
      </c>
      <c r="W2790">
        <v>0.86207931095287205</v>
      </c>
      <c r="X2790">
        <v>0</v>
      </c>
      <c r="Y2790">
        <v>0</v>
      </c>
    </row>
    <row r="2791" spans="1:25" x14ac:dyDescent="0.2">
      <c r="A2791" t="s">
        <v>10373</v>
      </c>
      <c r="B2791" t="s">
        <v>10374</v>
      </c>
      <c r="C2791" t="s">
        <v>14563</v>
      </c>
      <c r="D2791" t="s">
        <v>10375</v>
      </c>
      <c r="E2791" t="s">
        <v>10374</v>
      </c>
      <c r="F2791" t="s">
        <v>28</v>
      </c>
      <c r="G2791" t="s">
        <v>10374</v>
      </c>
      <c r="H2791" t="str">
        <f>"ZK899.2"</f>
        <v>ZK899.2</v>
      </c>
      <c r="I2791" t="s">
        <v>10375</v>
      </c>
      <c r="J2791">
        <v>13.3716209216397</v>
      </c>
      <c r="K2791">
        <v>13.833431781215699</v>
      </c>
      <c r="L2791">
        <v>13.6426178944092</v>
      </c>
      <c r="M2791">
        <v>13.4649971643176</v>
      </c>
      <c r="N2791">
        <v>13.497483360347999</v>
      </c>
      <c r="O2791">
        <v>13.6357181575847</v>
      </c>
      <c r="P2791">
        <v>-8.3157305004737794E-2</v>
      </c>
      <c r="Q2791">
        <v>-0.62808674815149201</v>
      </c>
      <c r="R2791">
        <v>0.46177213814201701</v>
      </c>
      <c r="S2791">
        <v>13.6741311490768</v>
      </c>
      <c r="T2791">
        <v>-0.32073964582026998</v>
      </c>
      <c r="U2791">
        <v>-6.8288936415899801</v>
      </c>
      <c r="V2791">
        <v>0.75212300158794299</v>
      </c>
      <c r="W2791">
        <v>0.99249220828099705</v>
      </c>
      <c r="X2791">
        <v>0</v>
      </c>
      <c r="Y2791">
        <v>0</v>
      </c>
    </row>
    <row r="2792" spans="1:25" x14ac:dyDescent="0.2">
      <c r="A2792" t="s">
        <v>10376</v>
      </c>
      <c r="B2792" t="s">
        <v>10377</v>
      </c>
      <c r="C2792" t="s">
        <v>10378</v>
      </c>
      <c r="D2792" t="s">
        <v>2221</v>
      </c>
      <c r="E2792" t="s">
        <v>10377</v>
      </c>
      <c r="F2792" t="s">
        <v>28</v>
      </c>
      <c r="G2792" t="s">
        <v>10377</v>
      </c>
      <c r="H2792" t="str">
        <f>"vps-15"</f>
        <v>vps-15</v>
      </c>
      <c r="I2792" t="s">
        <v>2221</v>
      </c>
      <c r="J2792">
        <v>12.1157820782018</v>
      </c>
      <c r="K2792">
        <v>11.963676173789599</v>
      </c>
      <c r="L2792">
        <v>11.733794188061999</v>
      </c>
      <c r="M2792">
        <v>12.030729623103401</v>
      </c>
      <c r="N2792">
        <v>12.146517194096299</v>
      </c>
      <c r="O2792">
        <v>12.239911101191</v>
      </c>
      <c r="P2792">
        <v>0.20130182611243999</v>
      </c>
      <c r="Q2792">
        <v>-0.23820069647890099</v>
      </c>
      <c r="R2792">
        <v>0.64080434870378</v>
      </c>
      <c r="S2792">
        <v>11.8248868493031</v>
      </c>
      <c r="T2792">
        <v>0.96679936313341297</v>
      </c>
      <c r="U2792">
        <v>-6.40578678470174</v>
      </c>
      <c r="V2792">
        <v>0.34728100303010601</v>
      </c>
      <c r="W2792">
        <v>0.87926117922885105</v>
      </c>
      <c r="X2792">
        <v>0</v>
      </c>
      <c r="Y2792">
        <v>0</v>
      </c>
    </row>
    <row r="2793" spans="1:25" x14ac:dyDescent="0.2">
      <c r="A2793" t="s">
        <v>10379</v>
      </c>
      <c r="B2793" t="s">
        <v>10380</v>
      </c>
      <c r="C2793" t="s">
        <v>10381</v>
      </c>
      <c r="D2793" t="s">
        <v>10382</v>
      </c>
      <c r="E2793" t="s">
        <v>10380</v>
      </c>
      <c r="F2793" t="s">
        <v>28</v>
      </c>
      <c r="G2793" t="s">
        <v>10380</v>
      </c>
      <c r="H2793" t="str">
        <f>"top-2"</f>
        <v>top-2</v>
      </c>
      <c r="I2793" t="s">
        <v>10382</v>
      </c>
      <c r="J2793">
        <v>16.1360622463623</v>
      </c>
      <c r="K2793">
        <v>16.202848155720599</v>
      </c>
      <c r="L2793">
        <v>16.014713611655001</v>
      </c>
      <c r="M2793">
        <v>16.058272399183199</v>
      </c>
      <c r="N2793">
        <v>15.9273455559051</v>
      </c>
      <c r="O2793">
        <v>16.0884749929264</v>
      </c>
      <c r="P2793">
        <v>-9.3177021907742102E-2</v>
      </c>
      <c r="Q2793">
        <v>-0.55373879366053302</v>
      </c>
      <c r="R2793">
        <v>0.36738474984504799</v>
      </c>
      <c r="S2793">
        <v>16.174905066224799</v>
      </c>
      <c r="T2793">
        <v>-0.42521977325156901</v>
      </c>
      <c r="U2793">
        <v>-6.7884946963322497</v>
      </c>
      <c r="V2793">
        <v>0.67574590177314797</v>
      </c>
      <c r="W2793">
        <v>0.98642420921484297</v>
      </c>
      <c r="X2793">
        <v>0</v>
      </c>
      <c r="Y2793">
        <v>0</v>
      </c>
    </row>
    <row r="2794" spans="1:25" x14ac:dyDescent="0.2">
      <c r="A2794" t="s">
        <v>10383</v>
      </c>
      <c r="B2794" t="s">
        <v>10384</v>
      </c>
      <c r="C2794" t="s">
        <v>10385</v>
      </c>
      <c r="D2794" t="s">
        <v>10386</v>
      </c>
      <c r="E2794" t="s">
        <v>10384</v>
      </c>
      <c r="F2794" t="s">
        <v>28</v>
      </c>
      <c r="G2794" t="s">
        <v>10384</v>
      </c>
      <c r="H2794" t="str">
        <f>"vha-9"</f>
        <v>vha-9</v>
      </c>
      <c r="I2794" t="s">
        <v>10386</v>
      </c>
      <c r="J2794" t="s">
        <v>29</v>
      </c>
      <c r="K2794">
        <v>12.8805087479875</v>
      </c>
      <c r="L2794" t="s">
        <v>29</v>
      </c>
      <c r="M2794">
        <v>14.303409860107299</v>
      </c>
      <c r="N2794">
        <v>14.335076205991699</v>
      </c>
      <c r="O2794">
        <v>14.492428082580799</v>
      </c>
      <c r="P2794">
        <v>1.4964626349058101</v>
      </c>
      <c r="Q2794">
        <v>0.60840299278757404</v>
      </c>
      <c r="R2794">
        <v>2.38452227702405</v>
      </c>
      <c r="S2794">
        <v>13.8104808865052</v>
      </c>
      <c r="T2794">
        <v>3.5938947084387798</v>
      </c>
      <c r="U2794">
        <v>-1.71796143000268</v>
      </c>
      <c r="V2794">
        <v>2.6852050685288102E-3</v>
      </c>
      <c r="W2794">
        <v>6.8216507389800604E-2</v>
      </c>
      <c r="X2794">
        <v>1</v>
      </c>
      <c r="Y2794">
        <v>0</v>
      </c>
    </row>
    <row r="2795" spans="1:25" x14ac:dyDescent="0.2">
      <c r="A2795" t="s">
        <v>10387</v>
      </c>
      <c r="B2795" t="s">
        <v>10388</v>
      </c>
      <c r="C2795" t="s">
        <v>10389</v>
      </c>
      <c r="D2795" t="s">
        <v>10390</v>
      </c>
      <c r="E2795" t="s">
        <v>10388</v>
      </c>
      <c r="F2795" t="s">
        <v>28</v>
      </c>
      <c r="G2795" t="s">
        <v>10388</v>
      </c>
      <c r="H2795" t="str">
        <f>"dif-1"</f>
        <v>dif-1</v>
      </c>
      <c r="I2795" t="s">
        <v>10390</v>
      </c>
      <c r="J2795">
        <v>16.889981290338099</v>
      </c>
      <c r="K2795">
        <v>16.799622479592401</v>
      </c>
      <c r="L2795">
        <v>16.7911732365733</v>
      </c>
      <c r="M2795">
        <v>16.812696869937799</v>
      </c>
      <c r="N2795">
        <v>16.555605626601501</v>
      </c>
      <c r="O2795">
        <v>16.913289405815298</v>
      </c>
      <c r="P2795">
        <v>-6.63950347164253E-2</v>
      </c>
      <c r="Q2795">
        <v>-0.46886680559863703</v>
      </c>
      <c r="R2795">
        <v>0.33607673616578698</v>
      </c>
      <c r="S2795">
        <v>16.488396677277201</v>
      </c>
      <c r="T2795">
        <v>-0.34673101493550301</v>
      </c>
      <c r="U2795">
        <v>-6.8198858267340396</v>
      </c>
      <c r="V2795">
        <v>0.73283728100620704</v>
      </c>
      <c r="W2795">
        <v>0.99057748145465696</v>
      </c>
      <c r="X2795">
        <v>0</v>
      </c>
      <c r="Y2795">
        <v>0</v>
      </c>
    </row>
    <row r="2796" spans="1:25" x14ac:dyDescent="0.2">
      <c r="A2796" t="s">
        <v>10391</v>
      </c>
      <c r="B2796" t="s">
        <v>10392</v>
      </c>
      <c r="C2796" t="s">
        <v>10393</v>
      </c>
      <c r="D2796" t="s">
        <v>10394</v>
      </c>
      <c r="E2796" t="s">
        <v>10392</v>
      </c>
      <c r="F2796" t="s">
        <v>28</v>
      </c>
      <c r="G2796" t="s">
        <v>10392</v>
      </c>
      <c r="H2796" t="str">
        <f>"rop-1"</f>
        <v>rop-1</v>
      </c>
      <c r="I2796" t="s">
        <v>10394</v>
      </c>
      <c r="J2796">
        <v>14.9228008519631</v>
      </c>
      <c r="K2796">
        <v>14.906322433796101</v>
      </c>
      <c r="L2796">
        <v>14.6848661600109</v>
      </c>
      <c r="M2796">
        <v>14.7516813115865</v>
      </c>
      <c r="N2796">
        <v>14.6567471539463</v>
      </c>
      <c r="O2796">
        <v>14.8294349256256</v>
      </c>
      <c r="P2796">
        <v>-9.20420182039106E-2</v>
      </c>
      <c r="Q2796">
        <v>-0.494105605953503</v>
      </c>
      <c r="R2796">
        <v>0.310021569545682</v>
      </c>
      <c r="S2796">
        <v>14.8582761077262</v>
      </c>
      <c r="T2796">
        <v>-0.48115378034881501</v>
      </c>
      <c r="U2796">
        <v>-6.7623103392864401</v>
      </c>
      <c r="V2796">
        <v>0.63623785979998704</v>
      </c>
      <c r="W2796">
        <v>0.974482469585217</v>
      </c>
      <c r="X2796">
        <v>0</v>
      </c>
      <c r="Y2796">
        <v>0</v>
      </c>
    </row>
    <row r="2797" spans="1:25" x14ac:dyDescent="0.2">
      <c r="A2797" t="s">
        <v>10395</v>
      </c>
      <c r="B2797" t="s">
        <v>10396</v>
      </c>
      <c r="C2797" t="s">
        <v>10397</v>
      </c>
      <c r="D2797" t="s">
        <v>10398</v>
      </c>
      <c r="E2797" t="s">
        <v>10396</v>
      </c>
      <c r="F2797" t="s">
        <v>28</v>
      </c>
      <c r="G2797" t="s">
        <v>10396</v>
      </c>
      <c r="H2797" t="str">
        <f>"rpl-16"</f>
        <v>rpl-16</v>
      </c>
      <c r="I2797" t="s">
        <v>10398</v>
      </c>
      <c r="J2797">
        <v>20.158460316229899</v>
      </c>
      <c r="K2797">
        <v>20.1231099333224</v>
      </c>
      <c r="L2797">
        <v>20.105873989536601</v>
      </c>
      <c r="M2797">
        <v>20.1799813161232</v>
      </c>
      <c r="N2797">
        <v>19.743477525838699</v>
      </c>
      <c r="O2797">
        <v>19.8493135339153</v>
      </c>
      <c r="P2797">
        <v>-0.20489062107057901</v>
      </c>
      <c r="Q2797">
        <v>-0.56744628761101501</v>
      </c>
      <c r="R2797">
        <v>0.15766504546985699</v>
      </c>
      <c r="S2797">
        <v>19.925986622983299</v>
      </c>
      <c r="T2797">
        <v>-1.1877906293764799</v>
      </c>
      <c r="U2797">
        <v>-6.1732260689272298</v>
      </c>
      <c r="V2797">
        <v>0.25044274862020599</v>
      </c>
      <c r="W2797">
        <v>0.83442661774174398</v>
      </c>
      <c r="X2797">
        <v>0</v>
      </c>
      <c r="Y2797">
        <v>0</v>
      </c>
    </row>
    <row r="2798" spans="1:25" x14ac:dyDescent="0.2">
      <c r="A2798" t="s">
        <v>10399</v>
      </c>
      <c r="B2798" t="s">
        <v>10400</v>
      </c>
      <c r="C2798" t="s">
        <v>10401</v>
      </c>
      <c r="D2798" t="s">
        <v>10402</v>
      </c>
      <c r="E2798" t="s">
        <v>10400</v>
      </c>
      <c r="F2798" t="s">
        <v>28</v>
      </c>
      <c r="G2798" t="s">
        <v>10400</v>
      </c>
      <c r="H2798" t="str">
        <f>"lin-15B"</f>
        <v>lin-15B</v>
      </c>
      <c r="I2798" t="s">
        <v>10402</v>
      </c>
      <c r="J2798">
        <v>13.069003602104999</v>
      </c>
      <c r="K2798">
        <v>12.748553590904599</v>
      </c>
      <c r="L2798">
        <v>12.4432918233649</v>
      </c>
      <c r="M2798">
        <v>12.9151341533465</v>
      </c>
      <c r="N2798">
        <v>13.0169195673276</v>
      </c>
      <c r="O2798">
        <v>12.537322785989501</v>
      </c>
      <c r="P2798">
        <v>6.9509163429715998E-2</v>
      </c>
      <c r="Q2798">
        <v>-0.37627980873601502</v>
      </c>
      <c r="R2798">
        <v>0.51529813559544702</v>
      </c>
      <c r="S2798">
        <v>12.890200594558699</v>
      </c>
      <c r="T2798">
        <v>0.329126426164219</v>
      </c>
      <c r="U2798">
        <v>-6.8258961906437401</v>
      </c>
      <c r="V2798">
        <v>0.74610495804032195</v>
      </c>
      <c r="W2798">
        <v>0.99184638945407499</v>
      </c>
      <c r="X2798">
        <v>0</v>
      </c>
      <c r="Y2798">
        <v>0</v>
      </c>
    </row>
    <row r="2799" spans="1:25" x14ac:dyDescent="0.2">
      <c r="A2799" t="s">
        <v>10403</v>
      </c>
      <c r="B2799" t="s">
        <v>10404</v>
      </c>
      <c r="C2799" t="s">
        <v>10405</v>
      </c>
      <c r="D2799" t="s">
        <v>10406</v>
      </c>
      <c r="E2799" t="s">
        <v>10404</v>
      </c>
      <c r="F2799" t="s">
        <v>28</v>
      </c>
      <c r="G2799" t="s">
        <v>10404</v>
      </c>
      <c r="H2799" t="str">
        <f>"gspd-1"</f>
        <v>gspd-1</v>
      </c>
      <c r="I2799" t="s">
        <v>10406</v>
      </c>
      <c r="J2799">
        <v>16.381006388028599</v>
      </c>
      <c r="K2799">
        <v>16.220976949574101</v>
      </c>
      <c r="L2799">
        <v>16.290734774061399</v>
      </c>
      <c r="M2799">
        <v>16.406069383961601</v>
      </c>
      <c r="N2799">
        <v>16.399091534343601</v>
      </c>
      <c r="O2799">
        <v>16.158101953676201</v>
      </c>
      <c r="P2799">
        <v>2.3514920105785798E-2</v>
      </c>
      <c r="Q2799">
        <v>-0.331773843545009</v>
      </c>
      <c r="R2799">
        <v>0.37880368375658102</v>
      </c>
      <c r="S2799">
        <v>15.869989332537701</v>
      </c>
      <c r="T2799">
        <v>0.13910878196433701</v>
      </c>
      <c r="U2799">
        <v>-6.8723841000444903</v>
      </c>
      <c r="V2799">
        <v>0.89091776048510596</v>
      </c>
      <c r="W2799">
        <v>0.99702926582654094</v>
      </c>
      <c r="X2799">
        <v>0</v>
      </c>
      <c r="Y2799">
        <v>0</v>
      </c>
    </row>
    <row r="2800" spans="1:25" x14ac:dyDescent="0.2">
      <c r="A2800" t="s">
        <v>10407</v>
      </c>
      <c r="B2800" t="s">
        <v>10408</v>
      </c>
      <c r="C2800" t="s">
        <v>10409</v>
      </c>
      <c r="D2800" t="s">
        <v>10410</v>
      </c>
      <c r="E2800" t="s">
        <v>10408</v>
      </c>
      <c r="F2800" t="s">
        <v>28</v>
      </c>
      <c r="G2800" t="s">
        <v>10408</v>
      </c>
      <c r="H2800" t="str">
        <f>"lig-1"</f>
        <v>lig-1</v>
      </c>
      <c r="I2800" t="s">
        <v>10410</v>
      </c>
      <c r="J2800">
        <v>14.077915333507701</v>
      </c>
      <c r="K2800">
        <v>13.8570146959265</v>
      </c>
      <c r="L2800">
        <v>13.799731289133801</v>
      </c>
      <c r="M2800">
        <v>13.8388064617059</v>
      </c>
      <c r="N2800">
        <v>13.965406627851101</v>
      </c>
      <c r="O2800">
        <v>13.936448427503301</v>
      </c>
      <c r="P2800">
        <v>2.0000661640970901E-3</v>
      </c>
      <c r="Q2800">
        <v>-0.351087597680036</v>
      </c>
      <c r="R2800">
        <v>0.35508773000823002</v>
      </c>
      <c r="S2800">
        <v>13.8541570478334</v>
      </c>
      <c r="T2800">
        <v>1.19567137313748E-2</v>
      </c>
      <c r="U2800">
        <v>-6.8824146428474204</v>
      </c>
      <c r="V2800">
        <v>0.99060020638223201</v>
      </c>
      <c r="W2800">
        <v>0.99968702248720698</v>
      </c>
      <c r="X2800">
        <v>0</v>
      </c>
      <c r="Y2800">
        <v>0</v>
      </c>
    </row>
    <row r="2801" spans="1:25" x14ac:dyDescent="0.2">
      <c r="A2801" t="s">
        <v>10411</v>
      </c>
      <c r="B2801" t="s">
        <v>10412</v>
      </c>
      <c r="C2801" t="s">
        <v>10413</v>
      </c>
      <c r="D2801" t="s">
        <v>10414</v>
      </c>
      <c r="E2801" t="s">
        <v>10412</v>
      </c>
      <c r="F2801" t="s">
        <v>28</v>
      </c>
      <c r="G2801" t="s">
        <v>10412</v>
      </c>
      <c r="H2801" t="str">
        <f>"cyp-25a2"</f>
        <v>cyp-25a2</v>
      </c>
      <c r="I2801" t="s">
        <v>10414</v>
      </c>
      <c r="J2801">
        <v>12.8007676609857</v>
      </c>
      <c r="K2801">
        <v>12.1495348229017</v>
      </c>
      <c r="L2801">
        <v>12.1512854103682</v>
      </c>
      <c r="M2801">
        <v>11.928655564775999</v>
      </c>
      <c r="N2801">
        <v>11.5070538065326</v>
      </c>
      <c r="O2801" t="s">
        <v>29</v>
      </c>
      <c r="P2801">
        <v>-0.64934127909757999</v>
      </c>
      <c r="Q2801">
        <v>-1.1550468850513</v>
      </c>
      <c r="R2801">
        <v>-0.143635673143859</v>
      </c>
      <c r="S2801">
        <v>12.5225125434975</v>
      </c>
      <c r="T2801">
        <v>-2.7234836599615102</v>
      </c>
      <c r="U2801">
        <v>-3.5875018482297798</v>
      </c>
      <c r="V2801">
        <v>1.5096623621447E-2</v>
      </c>
      <c r="W2801">
        <v>0.236988506661205</v>
      </c>
      <c r="X2801">
        <v>0</v>
      </c>
      <c r="Y2801">
        <v>0</v>
      </c>
    </row>
    <row r="2802" spans="1:25" x14ac:dyDescent="0.2">
      <c r="A2802" t="s">
        <v>10415</v>
      </c>
      <c r="B2802" t="s">
        <v>10416</v>
      </c>
      <c r="C2802" t="s">
        <v>10417</v>
      </c>
      <c r="D2802" t="s">
        <v>10418</v>
      </c>
      <c r="E2802" t="s">
        <v>10416</v>
      </c>
      <c r="F2802" t="s">
        <v>28</v>
      </c>
      <c r="G2802" t="s">
        <v>10416</v>
      </c>
      <c r="H2802" t="str">
        <f>"uba-1"</f>
        <v>uba-1</v>
      </c>
      <c r="I2802" t="s">
        <v>10418</v>
      </c>
      <c r="J2802">
        <v>16.5648453389698</v>
      </c>
      <c r="K2802">
        <v>16.21262669915</v>
      </c>
      <c r="L2802">
        <v>16.295850417744099</v>
      </c>
      <c r="M2802">
        <v>17.0458426940911</v>
      </c>
      <c r="N2802">
        <v>17.087844834511198</v>
      </c>
      <c r="O2802">
        <v>16.882492016108099</v>
      </c>
      <c r="P2802">
        <v>0.64761902961548801</v>
      </c>
      <c r="Q2802">
        <v>0.103604211001007</v>
      </c>
      <c r="R2802">
        <v>1.19163384822997</v>
      </c>
      <c r="S2802">
        <v>16.842015728900801</v>
      </c>
      <c r="T2802">
        <v>2.5020811148116699</v>
      </c>
      <c r="U2802">
        <v>-4.0823724959921703</v>
      </c>
      <c r="V2802">
        <v>2.22751144449631E-2</v>
      </c>
      <c r="W2802">
        <v>0.31147723055813997</v>
      </c>
      <c r="X2802">
        <v>0</v>
      </c>
      <c r="Y2802">
        <v>0</v>
      </c>
    </row>
    <row r="2803" spans="1:25" x14ac:dyDescent="0.2">
      <c r="A2803" t="s">
        <v>10419</v>
      </c>
      <c r="B2803" t="s">
        <v>10420</v>
      </c>
      <c r="C2803" t="s">
        <v>10421</v>
      </c>
      <c r="D2803" t="s">
        <v>10422</v>
      </c>
      <c r="E2803" t="s">
        <v>10420</v>
      </c>
      <c r="F2803" t="s">
        <v>28</v>
      </c>
      <c r="G2803" t="s">
        <v>10420</v>
      </c>
      <c r="H2803" t="str">
        <f>"ctl-2"</f>
        <v>ctl-2</v>
      </c>
      <c r="I2803" t="s">
        <v>10422</v>
      </c>
      <c r="J2803">
        <v>14.407050676365801</v>
      </c>
      <c r="K2803">
        <v>14.357416774417301</v>
      </c>
      <c r="L2803">
        <v>13.9246539358485</v>
      </c>
      <c r="M2803">
        <v>13.8866504005656</v>
      </c>
      <c r="N2803">
        <v>14.145321940425999</v>
      </c>
      <c r="O2803">
        <v>14.0708447814769</v>
      </c>
      <c r="P2803">
        <v>-0.19543475472100799</v>
      </c>
      <c r="Q2803">
        <v>-0.75037381175967</v>
      </c>
      <c r="R2803">
        <v>0.35950430231765401</v>
      </c>
      <c r="S2803">
        <v>13.926388345560399</v>
      </c>
      <c r="T2803">
        <v>-0.74019989535292996</v>
      </c>
      <c r="U2803">
        <v>-6.6005542749132502</v>
      </c>
      <c r="V2803">
        <v>0.468779689232591</v>
      </c>
      <c r="W2803">
        <v>0.92978583625257705</v>
      </c>
      <c r="X2803">
        <v>0</v>
      </c>
      <c r="Y2803">
        <v>0</v>
      </c>
    </row>
    <row r="2804" spans="1:25" x14ac:dyDescent="0.2">
      <c r="A2804" t="s">
        <v>10423</v>
      </c>
      <c r="B2804" t="s">
        <v>10424</v>
      </c>
      <c r="C2804" t="s">
        <v>10425</v>
      </c>
      <c r="D2804" t="s">
        <v>10426</v>
      </c>
      <c r="E2804" t="s">
        <v>10424</v>
      </c>
      <c r="F2804" t="s">
        <v>28</v>
      </c>
      <c r="G2804" t="s">
        <v>10424</v>
      </c>
      <c r="H2804" t="str">
        <f>"rpc-2"</f>
        <v>rpc-2</v>
      </c>
      <c r="I2804" t="s">
        <v>10426</v>
      </c>
      <c r="J2804">
        <v>12.925480752783001</v>
      </c>
      <c r="K2804">
        <v>12.987986134616399</v>
      </c>
      <c r="L2804">
        <v>12.9874559020307</v>
      </c>
      <c r="M2804">
        <v>13.1336244579016</v>
      </c>
      <c r="N2804">
        <v>12.967275720317</v>
      </c>
      <c r="O2804">
        <v>12.9993611976269</v>
      </c>
      <c r="P2804">
        <v>6.6446195471824496E-2</v>
      </c>
      <c r="Q2804">
        <v>-0.553162945907413</v>
      </c>
      <c r="R2804">
        <v>0.68605533685106201</v>
      </c>
      <c r="S2804">
        <v>13.452931616324401</v>
      </c>
      <c r="T2804">
        <v>0.22539527942463999</v>
      </c>
      <c r="U2804">
        <v>-6.8559830808151698</v>
      </c>
      <c r="V2804">
        <v>0.82422577955901</v>
      </c>
      <c r="W2804">
        <v>0.992837538801569</v>
      </c>
      <c r="X2804">
        <v>0</v>
      </c>
      <c r="Y2804">
        <v>0</v>
      </c>
    </row>
    <row r="2805" spans="1:25" x14ac:dyDescent="0.2">
      <c r="A2805" t="s">
        <v>10427</v>
      </c>
      <c r="B2805" t="s">
        <v>10428</v>
      </c>
      <c r="C2805" t="s">
        <v>10429</v>
      </c>
      <c r="D2805" t="s">
        <v>10430</v>
      </c>
      <c r="E2805" t="s">
        <v>10428</v>
      </c>
      <c r="F2805" t="s">
        <v>28</v>
      </c>
      <c r="G2805" t="s">
        <v>10428</v>
      </c>
      <c r="H2805" t="str">
        <f>"rpoa-2"</f>
        <v>rpoa-2</v>
      </c>
      <c r="I2805" t="s">
        <v>10430</v>
      </c>
      <c r="J2805">
        <v>14.2498394830245</v>
      </c>
      <c r="K2805">
        <v>14.0201210754371</v>
      </c>
      <c r="L2805">
        <v>13.7524534907686</v>
      </c>
      <c r="M2805">
        <v>14.220022123976801</v>
      </c>
      <c r="N2805">
        <v>13.8553838284341</v>
      </c>
      <c r="O2805">
        <v>13.895903772469</v>
      </c>
      <c r="P2805">
        <v>-1.70347747834469E-2</v>
      </c>
      <c r="Q2805">
        <v>-0.50524320075728502</v>
      </c>
      <c r="R2805">
        <v>0.47117365119039101</v>
      </c>
      <c r="S2805">
        <v>14.0143457537195</v>
      </c>
      <c r="T2805">
        <v>-7.33370841598108E-2</v>
      </c>
      <c r="U2805">
        <v>-6.87967983470209</v>
      </c>
      <c r="V2805">
        <v>0.94235140196343403</v>
      </c>
      <c r="W2805">
        <v>0.99926809132575301</v>
      </c>
      <c r="X2805">
        <v>0</v>
      </c>
      <c r="Y2805">
        <v>0</v>
      </c>
    </row>
    <row r="2806" spans="1:25" x14ac:dyDescent="0.2">
      <c r="A2806" t="s">
        <v>10431</v>
      </c>
      <c r="B2806" t="s">
        <v>10432</v>
      </c>
      <c r="C2806" t="s">
        <v>10433</v>
      </c>
      <c r="D2806" t="s">
        <v>10434</v>
      </c>
      <c r="E2806" t="s">
        <v>10432</v>
      </c>
      <c r="F2806" t="s">
        <v>28</v>
      </c>
      <c r="G2806" t="s">
        <v>10432</v>
      </c>
      <c r="H2806" t="str">
        <f>"gsp-1"</f>
        <v>gsp-1</v>
      </c>
      <c r="I2806" t="s">
        <v>10434</v>
      </c>
      <c r="J2806">
        <v>12.7611260390839</v>
      </c>
      <c r="K2806">
        <v>13.0697420517422</v>
      </c>
      <c r="L2806">
        <v>12.957939651490101</v>
      </c>
      <c r="M2806">
        <v>13.4171287956976</v>
      </c>
      <c r="N2806">
        <v>13.3082652306952</v>
      </c>
      <c r="O2806">
        <v>13.228981139074101</v>
      </c>
      <c r="P2806">
        <v>0.38852247438355803</v>
      </c>
      <c r="Q2806">
        <v>-5.4480118361998502E-2</v>
      </c>
      <c r="R2806">
        <v>0.831525067129115</v>
      </c>
      <c r="S2806">
        <v>13.506392837729701</v>
      </c>
      <c r="T2806">
        <v>1.8433270283230601</v>
      </c>
      <c r="U2806">
        <v>-5.25851445087826</v>
      </c>
      <c r="V2806">
        <v>8.1908029388408105E-2</v>
      </c>
      <c r="W2806">
        <v>0.60425905304272798</v>
      </c>
      <c r="X2806">
        <v>0</v>
      </c>
      <c r="Y2806">
        <v>0</v>
      </c>
    </row>
    <row r="2807" spans="1:25" x14ac:dyDescent="0.2">
      <c r="A2807" t="s">
        <v>10435</v>
      </c>
      <c r="B2807" t="s">
        <v>10436</v>
      </c>
      <c r="C2807" t="s">
        <v>10437</v>
      </c>
      <c r="D2807" t="s">
        <v>10438</v>
      </c>
      <c r="E2807" t="s">
        <v>10436</v>
      </c>
      <c r="F2807" t="s">
        <v>28</v>
      </c>
      <c r="G2807" t="s">
        <v>10436</v>
      </c>
      <c r="H2807" t="str">
        <f>"htz-1"</f>
        <v>htz-1</v>
      </c>
      <c r="I2807" t="s">
        <v>10438</v>
      </c>
      <c r="J2807">
        <v>11.9298277020645</v>
      </c>
      <c r="K2807">
        <v>12.3269838723016</v>
      </c>
      <c r="L2807">
        <v>12.753724778540301</v>
      </c>
      <c r="M2807">
        <v>13.831215786651899</v>
      </c>
      <c r="N2807">
        <v>12.0705185007388</v>
      </c>
      <c r="O2807">
        <v>12.606713858702699</v>
      </c>
      <c r="P2807">
        <v>0.49930393106231102</v>
      </c>
      <c r="Q2807">
        <v>-0.99128602958383105</v>
      </c>
      <c r="R2807">
        <v>1.9898938917084501</v>
      </c>
      <c r="S2807">
        <v>12.8841627910307</v>
      </c>
      <c r="T2807">
        <v>0.70706087538759299</v>
      </c>
      <c r="U2807">
        <v>-6.6242973998137096</v>
      </c>
      <c r="V2807">
        <v>0.48916712516584998</v>
      </c>
      <c r="W2807">
        <v>0.94046689344422196</v>
      </c>
      <c r="X2807">
        <v>0</v>
      </c>
      <c r="Y2807">
        <v>0</v>
      </c>
    </row>
    <row r="2808" spans="1:25" x14ac:dyDescent="0.2">
      <c r="A2808" t="s">
        <v>10439</v>
      </c>
      <c r="B2808" t="s">
        <v>10440</v>
      </c>
      <c r="C2808" t="s">
        <v>10441</v>
      </c>
      <c r="D2808" t="s">
        <v>10442</v>
      </c>
      <c r="E2808" t="s">
        <v>10440</v>
      </c>
      <c r="F2808" t="s">
        <v>28</v>
      </c>
      <c r="G2808" t="s">
        <v>10440</v>
      </c>
      <c r="H2808" t="str">
        <f>"cyp-13A2"</f>
        <v>cyp-13A2</v>
      </c>
      <c r="I2808" t="s">
        <v>10442</v>
      </c>
      <c r="J2808">
        <v>13.1702708913971</v>
      </c>
      <c r="K2808">
        <v>13.4936542387813</v>
      </c>
      <c r="L2808">
        <v>13.3027117974523</v>
      </c>
      <c r="M2808">
        <v>13.928214312362799</v>
      </c>
      <c r="N2808">
        <v>13.4660949304343</v>
      </c>
      <c r="O2808">
        <v>13.712075372215899</v>
      </c>
      <c r="P2808">
        <v>0.37991589579413299</v>
      </c>
      <c r="Q2808">
        <v>-0.20140425651996</v>
      </c>
      <c r="R2808">
        <v>0.96123604810822505</v>
      </c>
      <c r="S2808">
        <v>12.6529062803831</v>
      </c>
      <c r="T2808">
        <v>1.38618634400578</v>
      </c>
      <c r="U2808">
        <v>-5.9289725293022997</v>
      </c>
      <c r="V2808">
        <v>0.18482910039790201</v>
      </c>
      <c r="W2808">
        <v>0.78295732499061499</v>
      </c>
      <c r="X2808">
        <v>0</v>
      </c>
      <c r="Y2808">
        <v>0</v>
      </c>
    </row>
    <row r="2809" spans="1:25" x14ac:dyDescent="0.2">
      <c r="A2809" t="s">
        <v>10443</v>
      </c>
      <c r="B2809" t="s">
        <v>10444</v>
      </c>
      <c r="C2809" t="s">
        <v>10445</v>
      </c>
      <c r="D2809" t="s">
        <v>10446</v>
      </c>
      <c r="E2809" t="s">
        <v>10444</v>
      </c>
      <c r="F2809" t="s">
        <v>28</v>
      </c>
      <c r="G2809" t="s">
        <v>10444</v>
      </c>
      <c r="H2809" t="str">
        <f>"enol-1"</f>
        <v>enol-1</v>
      </c>
      <c r="I2809" t="s">
        <v>10446</v>
      </c>
      <c r="J2809">
        <v>11.807169937222399</v>
      </c>
      <c r="K2809">
        <v>11.9018386680407</v>
      </c>
      <c r="L2809">
        <v>12.3720372897989</v>
      </c>
      <c r="M2809">
        <v>13.5633680904991</v>
      </c>
      <c r="N2809">
        <v>12.261569427739101</v>
      </c>
      <c r="O2809">
        <v>13.3007810458866</v>
      </c>
      <c r="P2809">
        <v>1.0148908896875899</v>
      </c>
      <c r="Q2809">
        <v>0.12326797515680001</v>
      </c>
      <c r="R2809">
        <v>1.90651380421839</v>
      </c>
      <c r="S2809">
        <v>12.725195637551099</v>
      </c>
      <c r="T2809">
        <v>2.39238265974247</v>
      </c>
      <c r="U2809">
        <v>-4.2918241215361999</v>
      </c>
      <c r="V2809">
        <v>2.7928803140529802E-2</v>
      </c>
      <c r="W2809">
        <v>0.36330730778039799</v>
      </c>
      <c r="X2809">
        <v>1</v>
      </c>
      <c r="Y2809">
        <v>0</v>
      </c>
    </row>
    <row r="2810" spans="1:25" x14ac:dyDescent="0.2">
      <c r="A2810" t="s">
        <v>10447</v>
      </c>
      <c r="B2810" t="s">
        <v>10448</v>
      </c>
      <c r="C2810" t="s">
        <v>10449</v>
      </c>
      <c r="D2810" t="s">
        <v>10450</v>
      </c>
      <c r="E2810" t="s">
        <v>10448</v>
      </c>
      <c r="F2810" t="s">
        <v>28</v>
      </c>
      <c r="G2810" t="s">
        <v>10448</v>
      </c>
      <c r="H2810" t="str">
        <f>"his-74"</f>
        <v>his-74</v>
      </c>
      <c r="I2810" t="s">
        <v>10450</v>
      </c>
      <c r="J2810">
        <v>14.8617733469857</v>
      </c>
      <c r="K2810">
        <v>14.822941962224199</v>
      </c>
      <c r="L2810">
        <v>15.388734538742201</v>
      </c>
      <c r="M2810">
        <v>14.6918662389406</v>
      </c>
      <c r="N2810">
        <v>14.8074640787699</v>
      </c>
      <c r="O2810">
        <v>14.82632339093</v>
      </c>
      <c r="P2810">
        <v>-0.249265379770542</v>
      </c>
      <c r="Q2810">
        <v>-0.62844217353049103</v>
      </c>
      <c r="R2810">
        <v>0.129911413989408</v>
      </c>
      <c r="S2810">
        <v>15.03380333706</v>
      </c>
      <c r="T2810">
        <v>-1.38169672168116</v>
      </c>
      <c r="U2810">
        <v>-5.9352100946192703</v>
      </c>
      <c r="V2810">
        <v>0.18407259081445601</v>
      </c>
      <c r="W2810">
        <v>0.78295732499061499</v>
      </c>
      <c r="X2810">
        <v>0</v>
      </c>
      <c r="Y2810">
        <v>0</v>
      </c>
    </row>
    <row r="2811" spans="1:25" x14ac:dyDescent="0.2">
      <c r="A2811" t="s">
        <v>10451</v>
      </c>
      <c r="B2811" t="s">
        <v>10452</v>
      </c>
      <c r="C2811" t="s">
        <v>10453</v>
      </c>
      <c r="D2811" t="s">
        <v>10454</v>
      </c>
      <c r="E2811" t="s">
        <v>10452</v>
      </c>
      <c r="F2811" t="s">
        <v>28</v>
      </c>
      <c r="G2811" t="s">
        <v>10452</v>
      </c>
      <c r="H2811" t="str">
        <f>"ZC434.8"</f>
        <v>ZC434.8</v>
      </c>
      <c r="I2811" t="s">
        <v>10454</v>
      </c>
      <c r="J2811">
        <v>15.9724136830581</v>
      </c>
      <c r="K2811">
        <v>15.484669051260999</v>
      </c>
      <c r="L2811">
        <v>15.7468517117789</v>
      </c>
      <c r="M2811">
        <v>15.6669710175901</v>
      </c>
      <c r="N2811">
        <v>15.755263981423299</v>
      </c>
      <c r="O2811">
        <v>15.615139971454299</v>
      </c>
      <c r="P2811">
        <v>-5.5519825210058799E-2</v>
      </c>
      <c r="Q2811">
        <v>-0.47616753997224398</v>
      </c>
      <c r="R2811">
        <v>0.36512788955212599</v>
      </c>
      <c r="S2811">
        <v>15.754055381505401</v>
      </c>
      <c r="T2811">
        <v>-0.27740997259988998</v>
      </c>
      <c r="U2811">
        <v>-6.8423671557843404</v>
      </c>
      <c r="V2811">
        <v>0.78464462453089401</v>
      </c>
      <c r="W2811">
        <v>0.99278624068726296</v>
      </c>
      <c r="X2811">
        <v>0</v>
      </c>
      <c r="Y2811">
        <v>0</v>
      </c>
    </row>
    <row r="2812" spans="1:25" x14ac:dyDescent="0.2">
      <c r="A2812" t="s">
        <v>10455</v>
      </c>
      <c r="B2812" t="s">
        <v>10456</v>
      </c>
      <c r="C2812" t="s">
        <v>10457</v>
      </c>
      <c r="D2812" t="s">
        <v>10458</v>
      </c>
      <c r="E2812" t="s">
        <v>10456</v>
      </c>
      <c r="F2812" t="s">
        <v>28</v>
      </c>
      <c r="G2812" t="s">
        <v>10456</v>
      </c>
      <c r="H2812" t="str">
        <f>"clpp-1"</f>
        <v>clpp-1</v>
      </c>
      <c r="I2812" t="s">
        <v>10458</v>
      </c>
      <c r="J2812">
        <v>11.4356939008405</v>
      </c>
      <c r="K2812" t="s">
        <v>29</v>
      </c>
      <c r="L2812">
        <v>12.460565770797301</v>
      </c>
      <c r="M2812" t="s">
        <v>29</v>
      </c>
      <c r="N2812">
        <v>11.966537129375901</v>
      </c>
      <c r="O2812" t="s">
        <v>29</v>
      </c>
      <c r="P2812">
        <v>1.8407293557054099E-2</v>
      </c>
      <c r="Q2812">
        <v>-0.97162254097668399</v>
      </c>
      <c r="R2812">
        <v>1.00843712809079</v>
      </c>
      <c r="S2812">
        <v>12.474634726239</v>
      </c>
      <c r="T2812">
        <v>4.0970319383847001E-2</v>
      </c>
      <c r="U2812">
        <v>-6.4825311587426597</v>
      </c>
      <c r="V2812">
        <v>0.968060711073359</v>
      </c>
      <c r="W2812">
        <v>0.99968702248720698</v>
      </c>
      <c r="X2812">
        <v>0</v>
      </c>
      <c r="Y2812">
        <v>0</v>
      </c>
    </row>
    <row r="2813" spans="1:25" x14ac:dyDescent="0.2">
      <c r="A2813" t="s">
        <v>10459</v>
      </c>
      <c r="B2813" t="s">
        <v>10460</v>
      </c>
      <c r="C2813" t="s">
        <v>10461</v>
      </c>
      <c r="D2813" t="s">
        <v>10462</v>
      </c>
      <c r="E2813" t="s">
        <v>10460</v>
      </c>
      <c r="F2813" t="s">
        <v>28</v>
      </c>
      <c r="G2813" t="s">
        <v>10460</v>
      </c>
      <c r="H2813" t="str">
        <f>"ldh-1"</f>
        <v>ldh-1</v>
      </c>
      <c r="I2813" t="s">
        <v>10462</v>
      </c>
      <c r="J2813">
        <v>16.907036573694999</v>
      </c>
      <c r="K2813">
        <v>16.5942770097001</v>
      </c>
      <c r="L2813">
        <v>16.513507063796599</v>
      </c>
      <c r="M2813">
        <v>16.543248987178</v>
      </c>
      <c r="N2813">
        <v>16.319970367538598</v>
      </c>
      <c r="O2813">
        <v>16.854703552035598</v>
      </c>
      <c r="P2813">
        <v>-9.8965913479865705E-2</v>
      </c>
      <c r="Q2813">
        <v>-0.866300795382694</v>
      </c>
      <c r="R2813">
        <v>0.66836896842296301</v>
      </c>
      <c r="S2813">
        <v>15.989967181181299</v>
      </c>
      <c r="T2813">
        <v>-0.27107733649993698</v>
      </c>
      <c r="U2813">
        <v>-6.8441743106210202</v>
      </c>
      <c r="V2813">
        <v>0.78943370086424403</v>
      </c>
      <c r="W2813">
        <v>0.99278624068726296</v>
      </c>
      <c r="X2813">
        <v>0</v>
      </c>
      <c r="Y2813">
        <v>0</v>
      </c>
    </row>
    <row r="2814" spans="1:25" x14ac:dyDescent="0.2">
      <c r="A2814" t="s">
        <v>10463</v>
      </c>
      <c r="B2814" t="s">
        <v>10464</v>
      </c>
      <c r="C2814" t="s">
        <v>10465</v>
      </c>
      <c r="D2814" t="s">
        <v>10466</v>
      </c>
      <c r="E2814" t="s">
        <v>10464</v>
      </c>
      <c r="F2814" t="s">
        <v>28</v>
      </c>
      <c r="G2814" t="s">
        <v>10464</v>
      </c>
      <c r="H2814" t="str">
        <f>"phf-10"</f>
        <v>phf-10</v>
      </c>
      <c r="I2814" t="s">
        <v>10466</v>
      </c>
      <c r="J2814" t="s">
        <v>29</v>
      </c>
      <c r="K2814" t="s">
        <v>29</v>
      </c>
      <c r="L2814" t="s">
        <v>29</v>
      </c>
      <c r="M2814" t="s">
        <v>29</v>
      </c>
      <c r="N2814" t="s">
        <v>29</v>
      </c>
      <c r="O2814" t="s">
        <v>29</v>
      </c>
      <c r="P2814" t="s">
        <v>29</v>
      </c>
      <c r="Q2814" t="s">
        <v>29</v>
      </c>
      <c r="R2814" t="s">
        <v>29</v>
      </c>
      <c r="S2814">
        <v>10.670057582953101</v>
      </c>
      <c r="T2814" t="s">
        <v>29</v>
      </c>
      <c r="U2814" t="s">
        <v>29</v>
      </c>
      <c r="V2814" t="s">
        <v>29</v>
      </c>
      <c r="W2814" t="s">
        <v>29</v>
      </c>
      <c r="X2814" t="s">
        <v>29</v>
      </c>
      <c r="Y2814" t="s">
        <v>29</v>
      </c>
    </row>
    <row r="2815" spans="1:25" x14ac:dyDescent="0.2">
      <c r="A2815" t="s">
        <v>10467</v>
      </c>
      <c r="B2815" t="s">
        <v>10468</v>
      </c>
      <c r="C2815" t="s">
        <v>14564</v>
      </c>
      <c r="D2815" t="s">
        <v>10469</v>
      </c>
      <c r="E2815" t="s">
        <v>10468</v>
      </c>
      <c r="F2815" t="s">
        <v>28</v>
      </c>
      <c r="G2815" t="s">
        <v>10468</v>
      </c>
      <c r="H2815" t="str">
        <f>"Y71H2AM.3"</f>
        <v>Y71H2AM.3</v>
      </c>
      <c r="I2815" t="s">
        <v>10469</v>
      </c>
      <c r="J2815">
        <v>13.257684345715401</v>
      </c>
      <c r="K2815">
        <v>13.2390344272312</v>
      </c>
      <c r="L2815">
        <v>13.307144596064299</v>
      </c>
      <c r="M2815">
        <v>13.017238951784</v>
      </c>
      <c r="N2815">
        <v>13.3771195462274</v>
      </c>
      <c r="O2815">
        <v>13.3263145931379</v>
      </c>
      <c r="P2815">
        <v>-2.7730092620524598E-2</v>
      </c>
      <c r="Q2815">
        <v>-0.382885169127967</v>
      </c>
      <c r="R2815">
        <v>0.32742498388691799</v>
      </c>
      <c r="S2815">
        <v>13.2237288446562</v>
      </c>
      <c r="T2815">
        <v>-0.16560857613017799</v>
      </c>
      <c r="U2815">
        <v>-6.8680765684603697</v>
      </c>
      <c r="V2815">
        <v>0.87055304608060302</v>
      </c>
      <c r="W2815">
        <v>0.99457622291666603</v>
      </c>
      <c r="X2815">
        <v>0</v>
      </c>
      <c r="Y2815">
        <v>0</v>
      </c>
    </row>
    <row r="2816" spans="1:25" x14ac:dyDescent="0.2">
      <c r="A2816" t="s">
        <v>10470</v>
      </c>
      <c r="B2816" t="s">
        <v>10471</v>
      </c>
      <c r="C2816" t="s">
        <v>10472</v>
      </c>
      <c r="D2816" t="s">
        <v>10473</v>
      </c>
      <c r="E2816" t="s">
        <v>10471</v>
      </c>
      <c r="F2816" t="s">
        <v>28</v>
      </c>
      <c r="G2816" t="s">
        <v>10471</v>
      </c>
      <c r="H2816" t="str">
        <f>"C27D8.3"</f>
        <v>C27D8.3</v>
      </c>
      <c r="I2816" t="s">
        <v>10473</v>
      </c>
      <c r="J2816" t="s">
        <v>29</v>
      </c>
      <c r="K2816" t="s">
        <v>29</v>
      </c>
      <c r="L2816" t="s">
        <v>29</v>
      </c>
      <c r="M2816">
        <v>11.429768771487399</v>
      </c>
      <c r="N2816" t="s">
        <v>29</v>
      </c>
      <c r="O2816" t="s">
        <v>29</v>
      </c>
      <c r="P2816" t="s">
        <v>29</v>
      </c>
      <c r="Q2816" t="s">
        <v>29</v>
      </c>
      <c r="R2816" t="s">
        <v>29</v>
      </c>
      <c r="S2816">
        <v>11.815652343313801</v>
      </c>
      <c r="T2816" t="s">
        <v>29</v>
      </c>
      <c r="U2816" t="s">
        <v>29</v>
      </c>
      <c r="V2816" t="s">
        <v>29</v>
      </c>
      <c r="W2816" t="s">
        <v>29</v>
      </c>
      <c r="X2816" t="s">
        <v>29</v>
      </c>
      <c r="Y2816" t="s">
        <v>29</v>
      </c>
    </row>
    <row r="2817" spans="1:25" x14ac:dyDescent="0.2">
      <c r="A2817" t="s">
        <v>10474</v>
      </c>
      <c r="B2817" t="s">
        <v>10475</v>
      </c>
      <c r="C2817" t="s">
        <v>14565</v>
      </c>
      <c r="D2817" t="s">
        <v>10476</v>
      </c>
      <c r="E2817" t="s">
        <v>10475</v>
      </c>
      <c r="F2817" t="s">
        <v>28</v>
      </c>
      <c r="G2817" t="s">
        <v>10475</v>
      </c>
      <c r="H2817" t="str">
        <f>"Y51H4A.15"</f>
        <v>Y51H4A.15</v>
      </c>
      <c r="I2817" t="s">
        <v>10476</v>
      </c>
      <c r="J2817" t="s">
        <v>29</v>
      </c>
      <c r="K2817" t="s">
        <v>29</v>
      </c>
      <c r="L2817" t="s">
        <v>29</v>
      </c>
      <c r="M2817" t="s">
        <v>29</v>
      </c>
      <c r="N2817" t="s">
        <v>29</v>
      </c>
      <c r="O2817" t="s">
        <v>29</v>
      </c>
      <c r="P2817" t="s">
        <v>29</v>
      </c>
      <c r="Q2817" t="s">
        <v>29</v>
      </c>
      <c r="R2817" t="s">
        <v>29</v>
      </c>
      <c r="S2817">
        <v>12.8550416261703</v>
      </c>
      <c r="T2817" t="s">
        <v>29</v>
      </c>
      <c r="U2817" t="s">
        <v>29</v>
      </c>
      <c r="V2817" t="s">
        <v>29</v>
      </c>
      <c r="W2817" t="s">
        <v>29</v>
      </c>
      <c r="X2817" t="s">
        <v>29</v>
      </c>
      <c r="Y2817" t="s">
        <v>29</v>
      </c>
    </row>
    <row r="2818" spans="1:25" x14ac:dyDescent="0.2">
      <c r="A2818" t="s">
        <v>10477</v>
      </c>
      <c r="B2818" t="s">
        <v>10478</v>
      </c>
      <c r="C2818" t="s">
        <v>10479</v>
      </c>
      <c r="D2818" t="s">
        <v>10480</v>
      </c>
      <c r="E2818" t="s">
        <v>10478</v>
      </c>
      <c r="F2818" t="s">
        <v>28</v>
      </c>
      <c r="G2818" t="s">
        <v>10478</v>
      </c>
      <c r="H2818" t="str">
        <f>"mrpl-47"</f>
        <v>mrpl-47</v>
      </c>
      <c r="I2818" t="s">
        <v>10480</v>
      </c>
      <c r="J2818">
        <v>13.234735896930101</v>
      </c>
      <c r="K2818" t="s">
        <v>29</v>
      </c>
      <c r="L2818" t="s">
        <v>29</v>
      </c>
      <c r="M2818">
        <v>13.184855545763099</v>
      </c>
      <c r="N2818" t="s">
        <v>29</v>
      </c>
      <c r="O2818" t="s">
        <v>29</v>
      </c>
      <c r="P2818">
        <v>-4.9880351166983403E-2</v>
      </c>
      <c r="Q2818">
        <v>-1.29931612100709</v>
      </c>
      <c r="R2818">
        <v>1.1995554186731201</v>
      </c>
      <c r="S2818">
        <v>13.531420152023101</v>
      </c>
      <c r="T2818">
        <v>-8.9080461361414107E-2</v>
      </c>
      <c r="U2818">
        <v>-6.3391530684583799</v>
      </c>
      <c r="V2818">
        <v>0.93079514420917997</v>
      </c>
      <c r="W2818">
        <v>0.99926809132575301</v>
      </c>
      <c r="X2818">
        <v>0</v>
      </c>
      <c r="Y2818">
        <v>0</v>
      </c>
    </row>
    <row r="2819" spans="1:25" x14ac:dyDescent="0.2">
      <c r="A2819" t="s">
        <v>10481</v>
      </c>
      <c r="B2819" t="s">
        <v>10482</v>
      </c>
      <c r="C2819" t="s">
        <v>14566</v>
      </c>
      <c r="D2819" t="s">
        <v>10483</v>
      </c>
      <c r="E2819" t="s">
        <v>10482</v>
      </c>
      <c r="F2819" t="s">
        <v>28</v>
      </c>
      <c r="G2819" t="s">
        <v>10482</v>
      </c>
      <c r="H2819" t="str">
        <f>"K11G12.6"</f>
        <v>K11G12.6</v>
      </c>
      <c r="I2819" t="s">
        <v>10483</v>
      </c>
      <c r="J2819">
        <v>12.1264306847202</v>
      </c>
      <c r="K2819">
        <v>12.7594286399988</v>
      </c>
      <c r="L2819">
        <v>12.196669912243401</v>
      </c>
      <c r="M2819">
        <v>12.666219871285</v>
      </c>
      <c r="N2819">
        <v>12.6640772064336</v>
      </c>
      <c r="O2819">
        <v>12.923696468886501</v>
      </c>
      <c r="P2819">
        <v>0.39048810321421001</v>
      </c>
      <c r="Q2819">
        <v>-0.13907066940089499</v>
      </c>
      <c r="R2819">
        <v>0.92004687582931499</v>
      </c>
      <c r="S2819">
        <v>12.8478748879918</v>
      </c>
      <c r="T2819">
        <v>1.5564803894308701</v>
      </c>
      <c r="U2819">
        <v>-5.69673691415439</v>
      </c>
      <c r="V2819">
        <v>0.13812674361871799</v>
      </c>
      <c r="W2819">
        <v>0.72716651652323006</v>
      </c>
      <c r="X2819">
        <v>0</v>
      </c>
      <c r="Y2819">
        <v>0</v>
      </c>
    </row>
    <row r="2820" spans="1:25" x14ac:dyDescent="0.2">
      <c r="A2820" t="s">
        <v>10484</v>
      </c>
      <c r="B2820" t="s">
        <v>10485</v>
      </c>
      <c r="C2820" t="s">
        <v>10486</v>
      </c>
      <c r="D2820" t="s">
        <v>10487</v>
      </c>
      <c r="E2820" t="s">
        <v>10485</v>
      </c>
      <c r="F2820" t="s">
        <v>28</v>
      </c>
      <c r="G2820" t="s">
        <v>10485</v>
      </c>
      <c r="H2820" t="str">
        <f>"hsp-75"</f>
        <v>hsp-75</v>
      </c>
      <c r="I2820" t="s">
        <v>10487</v>
      </c>
      <c r="J2820">
        <v>15.209058630963799</v>
      </c>
      <c r="K2820">
        <v>15.055899300571401</v>
      </c>
      <c r="L2820">
        <v>15.205820862949301</v>
      </c>
      <c r="M2820">
        <v>15.274977046609299</v>
      </c>
      <c r="N2820">
        <v>15.541543606701101</v>
      </c>
      <c r="O2820">
        <v>15.342287471875601</v>
      </c>
      <c r="P2820">
        <v>0.22934311023385401</v>
      </c>
      <c r="Q2820">
        <v>-0.13078331753030101</v>
      </c>
      <c r="R2820">
        <v>0.58946953799800905</v>
      </c>
      <c r="S2820">
        <v>15.135330478738</v>
      </c>
      <c r="T2820">
        <v>1.3385149244546</v>
      </c>
      <c r="U2820">
        <v>-5.9907741176982103</v>
      </c>
      <c r="V2820">
        <v>0.19748733399274801</v>
      </c>
      <c r="W2820">
        <v>0.79075284576134597</v>
      </c>
      <c r="X2820">
        <v>0</v>
      </c>
      <c r="Y2820">
        <v>0</v>
      </c>
    </row>
    <row r="2821" spans="1:25" x14ac:dyDescent="0.2">
      <c r="A2821" t="s">
        <v>10488</v>
      </c>
      <c r="B2821" t="s">
        <v>10489</v>
      </c>
      <c r="C2821" t="s">
        <v>10490</v>
      </c>
      <c r="D2821" t="s">
        <v>10491</v>
      </c>
      <c r="E2821" t="s">
        <v>10489</v>
      </c>
      <c r="F2821" t="s">
        <v>28</v>
      </c>
      <c r="G2821" t="s">
        <v>10489</v>
      </c>
      <c r="H2821" t="str">
        <f>"sgk-1"</f>
        <v>sgk-1</v>
      </c>
      <c r="I2821" t="s">
        <v>10491</v>
      </c>
      <c r="J2821">
        <v>14.343324691573899</v>
      </c>
      <c r="K2821">
        <v>14.305497912659</v>
      </c>
      <c r="L2821">
        <v>14.052592893374801</v>
      </c>
      <c r="M2821">
        <v>14.2259689551544</v>
      </c>
      <c r="N2821">
        <v>13.986607536876701</v>
      </c>
      <c r="O2821">
        <v>14.1873564752799</v>
      </c>
      <c r="P2821">
        <v>-0.100494176765576</v>
      </c>
      <c r="Q2821">
        <v>-0.47240957458905503</v>
      </c>
      <c r="R2821">
        <v>0.27142122105790401</v>
      </c>
      <c r="S2821">
        <v>13.872602915875699</v>
      </c>
      <c r="T2821">
        <v>-0.56792273007169602</v>
      </c>
      <c r="U2821">
        <v>-6.7154811845235702</v>
      </c>
      <c r="V2821">
        <v>0.57714447535997704</v>
      </c>
      <c r="W2821">
        <v>0.96154852663020995</v>
      </c>
      <c r="X2821">
        <v>0</v>
      </c>
      <c r="Y2821">
        <v>0</v>
      </c>
    </row>
    <row r="2822" spans="1:25" x14ac:dyDescent="0.2">
      <c r="A2822" t="s">
        <v>10492</v>
      </c>
      <c r="B2822" t="s">
        <v>10493</v>
      </c>
      <c r="C2822" t="s">
        <v>10494</v>
      </c>
      <c r="D2822" t="s">
        <v>10495</v>
      </c>
      <c r="E2822" t="s">
        <v>10493</v>
      </c>
      <c r="F2822" t="s">
        <v>28</v>
      </c>
      <c r="G2822" t="s">
        <v>10493</v>
      </c>
      <c r="H2822" t="str">
        <f>"yif-1"</f>
        <v>yif-1</v>
      </c>
      <c r="I2822" t="s">
        <v>10495</v>
      </c>
      <c r="J2822">
        <v>14.5515601163351</v>
      </c>
      <c r="K2822">
        <v>14.385544395838499</v>
      </c>
      <c r="L2822">
        <v>14.906971370015601</v>
      </c>
      <c r="M2822">
        <v>14.6577030643514</v>
      </c>
      <c r="N2822">
        <v>15.124510332862201</v>
      </c>
      <c r="O2822">
        <v>14.6642855449305</v>
      </c>
      <c r="P2822">
        <v>0.20080768665161999</v>
      </c>
      <c r="Q2822">
        <v>-0.49714991218958099</v>
      </c>
      <c r="R2822">
        <v>0.89876528549282197</v>
      </c>
      <c r="S2822">
        <v>15.080699738248001</v>
      </c>
      <c r="T2822">
        <v>0.60470534348292304</v>
      </c>
      <c r="U2822">
        <v>-6.6933741746481603</v>
      </c>
      <c r="V2822">
        <v>0.55296583696207902</v>
      </c>
      <c r="W2822">
        <v>0.95555711976758795</v>
      </c>
      <c r="X2822">
        <v>0</v>
      </c>
      <c r="Y2822">
        <v>0</v>
      </c>
    </row>
    <row r="2823" spans="1:25" x14ac:dyDescent="0.2">
      <c r="A2823" t="s">
        <v>10496</v>
      </c>
      <c r="B2823" t="s">
        <v>10497</v>
      </c>
      <c r="C2823" t="s">
        <v>10498</v>
      </c>
      <c r="D2823" t="s">
        <v>10499</v>
      </c>
      <c r="E2823" t="s">
        <v>10497</v>
      </c>
      <c r="F2823" t="s">
        <v>28</v>
      </c>
      <c r="G2823" t="s">
        <v>10497</v>
      </c>
      <c r="H2823" t="str">
        <f>"gdi-1"</f>
        <v>gdi-1</v>
      </c>
      <c r="I2823" t="s">
        <v>10499</v>
      </c>
      <c r="J2823">
        <v>14.8562581186179</v>
      </c>
      <c r="K2823">
        <v>15.171091802630601</v>
      </c>
      <c r="L2823">
        <v>14.8761588307268</v>
      </c>
      <c r="M2823">
        <v>14.3159991297962</v>
      </c>
      <c r="N2823">
        <v>14.3258833682992</v>
      </c>
      <c r="O2823">
        <v>15.402376593482799</v>
      </c>
      <c r="P2823">
        <v>-0.28641655346572598</v>
      </c>
      <c r="Q2823">
        <v>-1.03351411268589</v>
      </c>
      <c r="R2823">
        <v>0.46068100575444099</v>
      </c>
      <c r="S2823">
        <v>14.536245445662299</v>
      </c>
      <c r="T2823">
        <v>-0.80577411165408497</v>
      </c>
      <c r="U2823">
        <v>-6.5493174656623401</v>
      </c>
      <c r="V2823">
        <v>0.43095086360012402</v>
      </c>
      <c r="W2823">
        <v>0.91512503332874395</v>
      </c>
      <c r="X2823">
        <v>0</v>
      </c>
      <c r="Y2823">
        <v>0</v>
      </c>
    </row>
    <row r="2824" spans="1:25" x14ac:dyDescent="0.2">
      <c r="A2824" t="s">
        <v>10500</v>
      </c>
      <c r="B2824" t="s">
        <v>10501</v>
      </c>
      <c r="C2824" t="s">
        <v>14567</v>
      </c>
      <c r="D2824" t="s">
        <v>2791</v>
      </c>
      <c r="E2824" t="s">
        <v>10501</v>
      </c>
      <c r="F2824" t="s">
        <v>28</v>
      </c>
      <c r="G2824" t="s">
        <v>10501</v>
      </c>
      <c r="H2824" t="str">
        <f>"H20J04.4"</f>
        <v>H20J04.4</v>
      </c>
      <c r="I2824" t="s">
        <v>2791</v>
      </c>
      <c r="J2824">
        <v>13.5249089059695</v>
      </c>
      <c r="K2824">
        <v>13.4641300945376</v>
      </c>
      <c r="L2824">
        <v>13.2937675160589</v>
      </c>
      <c r="M2824">
        <v>13.6355003696845</v>
      </c>
      <c r="N2824">
        <v>13.684943943577499</v>
      </c>
      <c r="O2824">
        <v>13.554289230256099</v>
      </c>
      <c r="P2824">
        <v>0.19730900898404599</v>
      </c>
      <c r="Q2824">
        <v>-0.10612529274408</v>
      </c>
      <c r="R2824">
        <v>0.50074331071217204</v>
      </c>
      <c r="S2824">
        <v>13.3347929458197</v>
      </c>
      <c r="T2824">
        <v>1.3725628953462901</v>
      </c>
      <c r="U2824">
        <v>-5.9468598657424696</v>
      </c>
      <c r="V2824">
        <v>0.18783575081430801</v>
      </c>
      <c r="W2824">
        <v>0.78295732499061499</v>
      </c>
      <c r="X2824">
        <v>0</v>
      </c>
      <c r="Y2824">
        <v>0</v>
      </c>
    </row>
    <row r="2825" spans="1:25" x14ac:dyDescent="0.2">
      <c r="A2825" t="s">
        <v>10502</v>
      </c>
      <c r="B2825" t="s">
        <v>10503</v>
      </c>
      <c r="C2825" t="s">
        <v>14568</v>
      </c>
      <c r="D2825" t="s">
        <v>323</v>
      </c>
      <c r="E2825" t="s">
        <v>10503</v>
      </c>
      <c r="F2825" t="s">
        <v>28</v>
      </c>
      <c r="G2825" t="s">
        <v>10503</v>
      </c>
      <c r="H2825" t="str">
        <f>"F14B8.5"</f>
        <v>F14B8.5</v>
      </c>
      <c r="I2825" t="s">
        <v>323</v>
      </c>
      <c r="J2825" t="s">
        <v>29</v>
      </c>
      <c r="K2825" t="s">
        <v>29</v>
      </c>
      <c r="L2825">
        <v>10.9876089735679</v>
      </c>
      <c r="M2825" t="s">
        <v>29</v>
      </c>
      <c r="N2825">
        <v>10.2082699496</v>
      </c>
      <c r="O2825" t="s">
        <v>29</v>
      </c>
      <c r="P2825">
        <v>-0.77933902396791799</v>
      </c>
      <c r="Q2825">
        <v>-2.5314833552201201</v>
      </c>
      <c r="R2825">
        <v>0.97280530728428405</v>
      </c>
      <c r="S2825">
        <v>10.277601171975199</v>
      </c>
      <c r="T2825">
        <v>-0.97006661355013901</v>
      </c>
      <c r="U2825">
        <v>-5.8679265953589397</v>
      </c>
      <c r="V2825">
        <v>0.351325561694035</v>
      </c>
      <c r="W2825">
        <v>0.87950242192597095</v>
      </c>
      <c r="X2825">
        <v>0</v>
      </c>
      <c r="Y2825">
        <v>0</v>
      </c>
    </row>
    <row r="2826" spans="1:25" x14ac:dyDescent="0.2">
      <c r="A2826" t="s">
        <v>10504</v>
      </c>
      <c r="B2826" t="s">
        <v>10505</v>
      </c>
      <c r="C2826" t="s">
        <v>10506</v>
      </c>
      <c r="D2826" t="s">
        <v>1912</v>
      </c>
      <c r="E2826" t="s">
        <v>10505</v>
      </c>
      <c r="F2826" t="s">
        <v>28</v>
      </c>
      <c r="G2826" t="s">
        <v>10505</v>
      </c>
      <c r="H2826" t="str">
        <f>"mrp-1"</f>
        <v>mrp-1</v>
      </c>
      <c r="I2826" t="s">
        <v>1912</v>
      </c>
      <c r="J2826">
        <v>12.9719682136339</v>
      </c>
      <c r="K2826">
        <v>12.8809814759825</v>
      </c>
      <c r="L2826">
        <v>12.082627197704801</v>
      </c>
      <c r="M2826">
        <v>12.370167455373601</v>
      </c>
      <c r="N2826">
        <v>12.1699238064982</v>
      </c>
      <c r="O2826">
        <v>12.377848829007</v>
      </c>
      <c r="P2826">
        <v>-0.33921226548080902</v>
      </c>
      <c r="Q2826">
        <v>-0.97491630293221998</v>
      </c>
      <c r="R2826">
        <v>0.296491771970602</v>
      </c>
      <c r="S2826">
        <v>12.5368567555978</v>
      </c>
      <c r="T2826">
        <v>-1.1317906648642</v>
      </c>
      <c r="U2826">
        <v>-6.2347765251548299</v>
      </c>
      <c r="V2826">
        <v>0.274508909961515</v>
      </c>
      <c r="W2826">
        <v>0.856190392347986</v>
      </c>
      <c r="X2826">
        <v>0</v>
      </c>
      <c r="Y2826">
        <v>0</v>
      </c>
    </row>
    <row r="2827" spans="1:25" x14ac:dyDescent="0.2">
      <c r="A2827" t="s">
        <v>10507</v>
      </c>
      <c r="B2827" t="s">
        <v>10508</v>
      </c>
      <c r="C2827" t="s">
        <v>14569</v>
      </c>
      <c r="D2827" t="s">
        <v>3358</v>
      </c>
      <c r="E2827" t="s">
        <v>10508</v>
      </c>
      <c r="F2827" t="s">
        <v>28</v>
      </c>
      <c r="G2827" t="s">
        <v>10508</v>
      </c>
      <c r="H2827" t="str">
        <f>"Y82E9BR.19"</f>
        <v>Y82E9BR.19</v>
      </c>
      <c r="I2827" t="s">
        <v>3358</v>
      </c>
      <c r="J2827">
        <v>9.6096619629177908</v>
      </c>
      <c r="K2827">
        <v>9.4863515102059495</v>
      </c>
      <c r="L2827">
        <v>10.6912437593609</v>
      </c>
      <c r="M2827">
        <v>10.271346070421</v>
      </c>
      <c r="N2827">
        <v>10.9559443857344</v>
      </c>
      <c r="O2827">
        <v>9.8872213972561998</v>
      </c>
      <c r="P2827">
        <v>0.44241820697568301</v>
      </c>
      <c r="Q2827">
        <v>-0.33971838370353602</v>
      </c>
      <c r="R2827">
        <v>1.2245547976549001</v>
      </c>
      <c r="S2827">
        <v>10.845399916144</v>
      </c>
      <c r="T2827">
        <v>1.19977530107926</v>
      </c>
      <c r="U2827">
        <v>-6.1580427889182197</v>
      </c>
      <c r="V2827">
        <v>0.24780493839710799</v>
      </c>
      <c r="W2827">
        <v>0.83196032283203103</v>
      </c>
      <c r="X2827">
        <v>0</v>
      </c>
      <c r="Y2827">
        <v>0</v>
      </c>
    </row>
    <row r="2828" spans="1:25" x14ac:dyDescent="0.2">
      <c r="A2828" t="s">
        <v>10509</v>
      </c>
      <c r="B2828" t="s">
        <v>10510</v>
      </c>
      <c r="C2828" t="s">
        <v>10511</v>
      </c>
      <c r="D2828" t="s">
        <v>10512</v>
      </c>
      <c r="E2828" t="s">
        <v>10510</v>
      </c>
      <c r="F2828" t="s">
        <v>28</v>
      </c>
      <c r="G2828" t="s">
        <v>10510</v>
      </c>
      <c r="H2828" t="str">
        <f>"C01B10.11"</f>
        <v>C01B10.11</v>
      </c>
      <c r="I2828" t="s">
        <v>10512</v>
      </c>
      <c r="J2828">
        <v>14.8507676211734</v>
      </c>
      <c r="K2828">
        <v>14.7747399144585</v>
      </c>
      <c r="L2828">
        <v>14.4103274338792</v>
      </c>
      <c r="M2828">
        <v>14.563401918838499</v>
      </c>
      <c r="N2828">
        <v>14.0575603566312</v>
      </c>
      <c r="O2828">
        <v>14.9667565902995</v>
      </c>
      <c r="P2828">
        <v>-0.14937203458061399</v>
      </c>
      <c r="Q2828">
        <v>-1.0437078165767799</v>
      </c>
      <c r="R2828">
        <v>0.74496374741554805</v>
      </c>
      <c r="S2828">
        <v>14.031253859007199</v>
      </c>
      <c r="T2828">
        <v>-0.35104371555568398</v>
      </c>
      <c r="U2828">
        <v>-6.8183242092886003</v>
      </c>
      <c r="V2828">
        <v>0.72965447075808798</v>
      </c>
      <c r="W2828">
        <v>0.99057748145465696</v>
      </c>
      <c r="X2828">
        <v>0</v>
      </c>
      <c r="Y2828">
        <v>0</v>
      </c>
    </row>
    <row r="2829" spans="1:25" x14ac:dyDescent="0.2">
      <c r="A2829" t="s">
        <v>10513</v>
      </c>
      <c r="B2829" t="s">
        <v>10514</v>
      </c>
      <c r="C2829" s="3">
        <v>45357</v>
      </c>
      <c r="D2829" t="s">
        <v>360</v>
      </c>
      <c r="E2829" t="s">
        <v>10514</v>
      </c>
      <c r="F2829" t="s">
        <v>28</v>
      </c>
      <c r="G2829" t="s">
        <v>10514</v>
      </c>
      <c r="H2829" t="str">
        <f>"marc-6"</f>
        <v>marc-6</v>
      </c>
      <c r="I2829" t="s">
        <v>360</v>
      </c>
      <c r="J2829">
        <v>12.937927782824</v>
      </c>
      <c r="K2829">
        <v>13.268456519794899</v>
      </c>
      <c r="L2829">
        <v>13.248299440956</v>
      </c>
      <c r="M2829">
        <v>12.6858376693341</v>
      </c>
      <c r="N2829">
        <v>13.4114977144507</v>
      </c>
      <c r="O2829">
        <v>12.8688434832764</v>
      </c>
      <c r="P2829">
        <v>-0.16283495883787999</v>
      </c>
      <c r="Q2829">
        <v>-0.62188245818644305</v>
      </c>
      <c r="R2829">
        <v>0.29621254051068302</v>
      </c>
      <c r="S2829">
        <v>13.2986257944905</v>
      </c>
      <c r="T2829">
        <v>-0.74875551794944195</v>
      </c>
      <c r="U2829">
        <v>-6.5934606777554103</v>
      </c>
      <c r="V2829">
        <v>0.46430196376709498</v>
      </c>
      <c r="W2829">
        <v>0.92978583625257705</v>
      </c>
      <c r="X2829">
        <v>0</v>
      </c>
      <c r="Y2829">
        <v>0</v>
      </c>
    </row>
    <row r="2830" spans="1:25" x14ac:dyDescent="0.2">
      <c r="A2830" t="s">
        <v>10515</v>
      </c>
      <c r="B2830" t="s">
        <v>10516</v>
      </c>
      <c r="C2830" t="s">
        <v>10517</v>
      </c>
      <c r="D2830" t="s">
        <v>10518</v>
      </c>
      <c r="E2830" t="s">
        <v>10516</v>
      </c>
      <c r="F2830" t="s">
        <v>28</v>
      </c>
      <c r="G2830" t="s">
        <v>10516</v>
      </c>
      <c r="H2830" t="str">
        <f>"C23G10.7"</f>
        <v>C23G10.7</v>
      </c>
      <c r="I2830" t="s">
        <v>10518</v>
      </c>
      <c r="J2830" t="s">
        <v>29</v>
      </c>
      <c r="K2830" t="s">
        <v>29</v>
      </c>
      <c r="L2830" t="s">
        <v>29</v>
      </c>
      <c r="M2830" t="s">
        <v>29</v>
      </c>
      <c r="N2830">
        <v>11.152979214742199</v>
      </c>
      <c r="O2830" t="s">
        <v>29</v>
      </c>
      <c r="P2830" t="s">
        <v>29</v>
      </c>
      <c r="Q2830" t="s">
        <v>29</v>
      </c>
      <c r="R2830" t="s">
        <v>29</v>
      </c>
      <c r="S2830">
        <v>11.4355136664374</v>
      </c>
      <c r="T2830" t="s">
        <v>29</v>
      </c>
      <c r="U2830" t="s">
        <v>29</v>
      </c>
      <c r="V2830" t="s">
        <v>29</v>
      </c>
      <c r="W2830" t="s">
        <v>29</v>
      </c>
      <c r="X2830" t="s">
        <v>29</v>
      </c>
      <c r="Y2830" t="s">
        <v>29</v>
      </c>
    </row>
    <row r="2831" spans="1:25" x14ac:dyDescent="0.2">
      <c r="A2831" t="s">
        <v>10519</v>
      </c>
      <c r="B2831" t="s">
        <v>10520</v>
      </c>
      <c r="C2831" t="s">
        <v>10521</v>
      </c>
      <c r="D2831" t="s">
        <v>10522</v>
      </c>
      <c r="E2831" t="s">
        <v>10520</v>
      </c>
      <c r="F2831" t="s">
        <v>28</v>
      </c>
      <c r="G2831" t="s">
        <v>10520</v>
      </c>
      <c r="H2831" t="str">
        <f>"toc-1"</f>
        <v>toc-1</v>
      </c>
      <c r="I2831" t="s">
        <v>10522</v>
      </c>
      <c r="J2831">
        <v>12.7248213001946</v>
      </c>
      <c r="K2831">
        <v>12.822639694774599</v>
      </c>
      <c r="L2831">
        <v>13.4865295285244</v>
      </c>
      <c r="M2831">
        <v>12.908220258127299</v>
      </c>
      <c r="N2831">
        <v>13.3726354867501</v>
      </c>
      <c r="O2831">
        <v>12.3645660819694</v>
      </c>
      <c r="P2831">
        <v>-0.129522898882275</v>
      </c>
      <c r="Q2831">
        <v>-0.78938201032602895</v>
      </c>
      <c r="R2831">
        <v>0.530336212561479</v>
      </c>
      <c r="S2831">
        <v>13.277274691267399</v>
      </c>
      <c r="T2831">
        <v>-0.4163368651562</v>
      </c>
      <c r="U2831">
        <v>-6.7918171457482597</v>
      </c>
      <c r="V2831">
        <v>0.68273098263306897</v>
      </c>
      <c r="W2831">
        <v>0.98642420921484297</v>
      </c>
      <c r="X2831">
        <v>0</v>
      </c>
      <c r="Y2831">
        <v>0</v>
      </c>
    </row>
    <row r="2832" spans="1:25" x14ac:dyDescent="0.2">
      <c r="A2832" t="s">
        <v>10523</v>
      </c>
      <c r="B2832" t="s">
        <v>10524</v>
      </c>
      <c r="C2832" t="s">
        <v>10525</v>
      </c>
      <c r="D2832" t="s">
        <v>10526</v>
      </c>
      <c r="E2832" t="s">
        <v>10524</v>
      </c>
      <c r="F2832" t="s">
        <v>28</v>
      </c>
      <c r="G2832" t="s">
        <v>10524</v>
      </c>
      <c r="H2832" t="str">
        <f>"vav-1"</f>
        <v>vav-1</v>
      </c>
      <c r="I2832" t="s">
        <v>10526</v>
      </c>
      <c r="J2832">
        <v>12.5972207386015</v>
      </c>
      <c r="K2832">
        <v>12.942989385991201</v>
      </c>
      <c r="L2832">
        <v>12.434788406823101</v>
      </c>
      <c r="M2832">
        <v>12.4094198619136</v>
      </c>
      <c r="N2832">
        <v>13.266183706443201</v>
      </c>
      <c r="O2832" t="s">
        <v>29</v>
      </c>
      <c r="P2832">
        <v>0.179468940373161</v>
      </c>
      <c r="Q2832">
        <v>-0.37128505896143998</v>
      </c>
      <c r="R2832">
        <v>0.73022293970776098</v>
      </c>
      <c r="S2832">
        <v>12.3113573876602</v>
      </c>
      <c r="T2832">
        <v>0.69939662451544204</v>
      </c>
      <c r="U2832">
        <v>-6.5179035317944098</v>
      </c>
      <c r="V2832">
        <v>0.49584636570972801</v>
      </c>
      <c r="W2832">
        <v>0.94062983959761604</v>
      </c>
      <c r="X2832">
        <v>0</v>
      </c>
      <c r="Y2832">
        <v>0</v>
      </c>
    </row>
    <row r="2833" spans="1:25" x14ac:dyDescent="0.2">
      <c r="A2833" t="s">
        <v>10527</v>
      </c>
      <c r="B2833" t="s">
        <v>10528</v>
      </c>
      <c r="C2833" t="s">
        <v>14167</v>
      </c>
      <c r="D2833" t="s">
        <v>214</v>
      </c>
      <c r="E2833" t="s">
        <v>10528</v>
      </c>
      <c r="F2833" t="s">
        <v>28</v>
      </c>
      <c r="G2833" t="s">
        <v>10528</v>
      </c>
      <c r="H2833" t="str">
        <f>"Y54G2A.40"</f>
        <v>Y54G2A.40</v>
      </c>
      <c r="I2833" t="s">
        <v>214</v>
      </c>
      <c r="J2833" t="s">
        <v>29</v>
      </c>
      <c r="K2833" t="s">
        <v>29</v>
      </c>
      <c r="L2833" t="s">
        <v>29</v>
      </c>
      <c r="M2833">
        <v>16.7836132164907</v>
      </c>
      <c r="N2833">
        <v>16.739308951381499</v>
      </c>
      <c r="O2833">
        <v>15.8822829802423</v>
      </c>
      <c r="P2833" t="s">
        <v>29</v>
      </c>
      <c r="Q2833" t="s">
        <v>29</v>
      </c>
      <c r="R2833" t="s">
        <v>29</v>
      </c>
      <c r="S2833">
        <v>16.288998460089299</v>
      </c>
      <c r="T2833" t="s">
        <v>29</v>
      </c>
      <c r="U2833" t="s">
        <v>29</v>
      </c>
      <c r="V2833" t="s">
        <v>29</v>
      </c>
      <c r="W2833" t="s">
        <v>29</v>
      </c>
      <c r="X2833" t="s">
        <v>29</v>
      </c>
      <c r="Y2833" t="s">
        <v>29</v>
      </c>
    </row>
    <row r="2834" spans="1:25" x14ac:dyDescent="0.2">
      <c r="A2834" t="s">
        <v>10529</v>
      </c>
      <c r="B2834" t="s">
        <v>10530</v>
      </c>
      <c r="C2834" t="s">
        <v>10531</v>
      </c>
      <c r="D2834" t="s">
        <v>10532</v>
      </c>
      <c r="E2834" t="s">
        <v>10530</v>
      </c>
      <c r="F2834" t="s">
        <v>28</v>
      </c>
      <c r="G2834" t="s">
        <v>10530</v>
      </c>
      <c r="H2834" t="str">
        <f>"pam-1"</f>
        <v>pam-1</v>
      </c>
      <c r="I2834" t="s">
        <v>10532</v>
      </c>
      <c r="J2834">
        <v>12.832852217203</v>
      </c>
      <c r="K2834">
        <v>12.7629843910931</v>
      </c>
      <c r="L2834">
        <v>12.704422983942999</v>
      </c>
      <c r="M2834">
        <v>12.604702913281701</v>
      </c>
      <c r="N2834">
        <v>12.3207363156773</v>
      </c>
      <c r="O2834">
        <v>12.900871737534301</v>
      </c>
      <c r="P2834">
        <v>-0.15798287524857799</v>
      </c>
      <c r="Q2834">
        <v>-0.70952243700413598</v>
      </c>
      <c r="R2834">
        <v>0.39355668650698</v>
      </c>
      <c r="S2834">
        <v>12.759457455799399</v>
      </c>
      <c r="T2834">
        <v>-0.602040706973068</v>
      </c>
      <c r="U2834">
        <v>-6.6950204437549399</v>
      </c>
      <c r="V2834">
        <v>0.55469916008653397</v>
      </c>
      <c r="W2834">
        <v>0.95555711976758795</v>
      </c>
      <c r="X2834">
        <v>0</v>
      </c>
      <c r="Y2834">
        <v>0</v>
      </c>
    </row>
    <row r="2835" spans="1:25" x14ac:dyDescent="0.2">
      <c r="A2835" t="s">
        <v>10533</v>
      </c>
      <c r="B2835" t="s">
        <v>10534</v>
      </c>
      <c r="C2835" t="s">
        <v>10535</v>
      </c>
      <c r="D2835" t="s">
        <v>10536</v>
      </c>
      <c r="E2835" t="s">
        <v>10534</v>
      </c>
      <c r="F2835" t="s">
        <v>28</v>
      </c>
      <c r="G2835" t="s">
        <v>10534</v>
      </c>
      <c r="H2835" t="str">
        <f>"rad-8"</f>
        <v>rad-8</v>
      </c>
      <c r="I2835" t="s">
        <v>10536</v>
      </c>
      <c r="J2835">
        <v>12.4290828036776</v>
      </c>
      <c r="K2835">
        <v>12.5823093384865</v>
      </c>
      <c r="L2835">
        <v>12.9521013508925</v>
      </c>
      <c r="M2835">
        <v>12.7842920406628</v>
      </c>
      <c r="N2835">
        <v>12.874327156055401</v>
      </c>
      <c r="O2835">
        <v>13.3053395176757</v>
      </c>
      <c r="P2835">
        <v>0.33348840711243499</v>
      </c>
      <c r="Q2835">
        <v>-0.11373952276284</v>
      </c>
      <c r="R2835">
        <v>0.78071633698771103</v>
      </c>
      <c r="S2835">
        <v>12.4737363962656</v>
      </c>
      <c r="T2835">
        <v>1.5903526222675199</v>
      </c>
      <c r="U2835">
        <v>-5.6499378001962999</v>
      </c>
      <c r="V2835">
        <v>0.132751406656829</v>
      </c>
      <c r="W2835">
        <v>0.72220290264032605</v>
      </c>
      <c r="X2835">
        <v>0</v>
      </c>
      <c r="Y2835">
        <v>0</v>
      </c>
    </row>
    <row r="2836" spans="1:25" x14ac:dyDescent="0.2">
      <c r="A2836" t="s">
        <v>10537</v>
      </c>
      <c r="B2836" t="s">
        <v>10538</v>
      </c>
      <c r="C2836" t="s">
        <v>10539</v>
      </c>
      <c r="D2836" t="s">
        <v>93</v>
      </c>
      <c r="E2836" t="s">
        <v>10538</v>
      </c>
      <c r="F2836" t="s">
        <v>28</v>
      </c>
      <c r="G2836" t="s">
        <v>10538</v>
      </c>
      <c r="H2836" t="str">
        <f>"sqd-1"</f>
        <v>sqd-1</v>
      </c>
      <c r="I2836" t="s">
        <v>93</v>
      </c>
      <c r="J2836">
        <v>14.676503366626299</v>
      </c>
      <c r="K2836">
        <v>14.2606114600997</v>
      </c>
      <c r="L2836">
        <v>14.6581533834166</v>
      </c>
      <c r="M2836">
        <v>14.4170742181231</v>
      </c>
      <c r="N2836">
        <v>14.481825878462301</v>
      </c>
      <c r="O2836">
        <v>14.3676316400165</v>
      </c>
      <c r="P2836">
        <v>-0.109578824513601</v>
      </c>
      <c r="Q2836">
        <v>-0.53623201288099098</v>
      </c>
      <c r="R2836">
        <v>0.31707436385378801</v>
      </c>
      <c r="S2836">
        <v>14.468196170998899</v>
      </c>
      <c r="T2836">
        <v>-0.53981401401704399</v>
      </c>
      <c r="U2836">
        <v>-6.7314730458676904</v>
      </c>
      <c r="V2836">
        <v>0.59597951984783104</v>
      </c>
      <c r="W2836">
        <v>0.96643413452906302</v>
      </c>
      <c r="X2836">
        <v>0</v>
      </c>
      <c r="Y2836">
        <v>0</v>
      </c>
    </row>
    <row r="2837" spans="1:25" x14ac:dyDescent="0.2">
      <c r="A2837" t="s">
        <v>10540</v>
      </c>
      <c r="B2837" t="s">
        <v>10541</v>
      </c>
      <c r="C2837" t="s">
        <v>10542</v>
      </c>
      <c r="D2837" t="s">
        <v>10543</v>
      </c>
      <c r="E2837" t="s">
        <v>10541</v>
      </c>
      <c r="F2837" t="s">
        <v>28</v>
      </c>
      <c r="G2837" t="s">
        <v>10541</v>
      </c>
      <c r="H2837" t="str">
        <f>"mrpl-39"</f>
        <v>mrpl-39</v>
      </c>
      <c r="I2837" t="s">
        <v>10543</v>
      </c>
      <c r="J2837">
        <v>13.138887287300401</v>
      </c>
      <c r="K2837">
        <v>13.769359251049799</v>
      </c>
      <c r="L2837">
        <v>13.788530575289</v>
      </c>
      <c r="M2837">
        <v>13.436696883543901</v>
      </c>
      <c r="N2837">
        <v>13.5317800606106</v>
      </c>
      <c r="O2837">
        <v>13.700866037343999</v>
      </c>
      <c r="P2837">
        <v>-9.1447107135618193E-3</v>
      </c>
      <c r="Q2837">
        <v>-0.72369583018332095</v>
      </c>
      <c r="R2837">
        <v>0.70540640875619698</v>
      </c>
      <c r="S2837">
        <v>13.498749704718801</v>
      </c>
      <c r="T2837">
        <v>-2.7013862228776699E-2</v>
      </c>
      <c r="U2837">
        <v>-6.8821070960066901</v>
      </c>
      <c r="V2837">
        <v>0.97876519955423102</v>
      </c>
      <c r="W2837">
        <v>0.99968702248720698</v>
      </c>
      <c r="X2837">
        <v>0</v>
      </c>
      <c r="Y2837">
        <v>0</v>
      </c>
    </row>
    <row r="2838" spans="1:25" x14ac:dyDescent="0.2">
      <c r="A2838" t="s">
        <v>10544</v>
      </c>
      <c r="B2838" t="s">
        <v>10545</v>
      </c>
      <c r="C2838" t="s">
        <v>10546</v>
      </c>
      <c r="D2838" t="s">
        <v>10547</v>
      </c>
      <c r="E2838" t="s">
        <v>10545</v>
      </c>
      <c r="F2838" t="s">
        <v>28</v>
      </c>
      <c r="G2838" t="s">
        <v>10545</v>
      </c>
      <c r="H2838" t="str">
        <f>"gale-1"</f>
        <v>gale-1</v>
      </c>
      <c r="I2838" t="s">
        <v>10547</v>
      </c>
      <c r="J2838">
        <v>15.450607960132</v>
      </c>
      <c r="K2838">
        <v>15.554072505308801</v>
      </c>
      <c r="L2838">
        <v>15.3696596153458</v>
      </c>
      <c r="M2838">
        <v>15.516255500428301</v>
      </c>
      <c r="N2838">
        <v>15.7615148418642</v>
      </c>
      <c r="O2838">
        <v>15.6235887660521</v>
      </c>
      <c r="P2838">
        <v>0.17567300918599399</v>
      </c>
      <c r="Q2838">
        <v>-0.158991398836037</v>
      </c>
      <c r="R2838">
        <v>0.51033741720802495</v>
      </c>
      <c r="S2838">
        <v>15.505859005455401</v>
      </c>
      <c r="T2838">
        <v>1.1032857952470201</v>
      </c>
      <c r="U2838">
        <v>-6.2673948690044003</v>
      </c>
      <c r="V2838">
        <v>0.28451929457389702</v>
      </c>
      <c r="W2838">
        <v>0.856190392347986</v>
      </c>
      <c r="X2838">
        <v>0</v>
      </c>
      <c r="Y2838">
        <v>0</v>
      </c>
    </row>
    <row r="2839" spans="1:25" x14ac:dyDescent="0.2">
      <c r="A2839" t="s">
        <v>10548</v>
      </c>
      <c r="B2839" t="s">
        <v>10549</v>
      </c>
      <c r="C2839" t="s">
        <v>10550</v>
      </c>
      <c r="D2839" t="s">
        <v>81</v>
      </c>
      <c r="E2839" t="s">
        <v>10549</v>
      </c>
      <c r="F2839" t="s">
        <v>28</v>
      </c>
      <c r="G2839" t="s">
        <v>10549</v>
      </c>
      <c r="H2839" t="str">
        <f>"imp-1"</f>
        <v>imp-1</v>
      </c>
      <c r="I2839" t="s">
        <v>81</v>
      </c>
      <c r="J2839" t="s">
        <v>29</v>
      </c>
      <c r="K2839" t="s">
        <v>29</v>
      </c>
      <c r="L2839">
        <v>11.0352820668184</v>
      </c>
      <c r="M2839" t="s">
        <v>29</v>
      </c>
      <c r="N2839" t="s">
        <v>29</v>
      </c>
      <c r="O2839" t="s">
        <v>29</v>
      </c>
      <c r="P2839" t="s">
        <v>29</v>
      </c>
      <c r="Q2839" t="s">
        <v>29</v>
      </c>
      <c r="R2839" t="s">
        <v>29</v>
      </c>
      <c r="S2839">
        <v>11.594346828686501</v>
      </c>
      <c r="T2839" t="s">
        <v>29</v>
      </c>
      <c r="U2839" t="s">
        <v>29</v>
      </c>
      <c r="V2839" t="s">
        <v>29</v>
      </c>
      <c r="W2839" t="s">
        <v>29</v>
      </c>
      <c r="X2839" t="s">
        <v>29</v>
      </c>
      <c r="Y2839" t="s">
        <v>29</v>
      </c>
    </row>
    <row r="2840" spans="1:25" x14ac:dyDescent="0.2">
      <c r="A2840" t="s">
        <v>10551</v>
      </c>
      <c r="B2840" t="s">
        <v>10552</v>
      </c>
      <c r="C2840" t="s">
        <v>10553</v>
      </c>
      <c r="D2840" t="s">
        <v>10554</v>
      </c>
      <c r="E2840" t="s">
        <v>10552</v>
      </c>
      <c r="F2840" t="s">
        <v>28</v>
      </c>
      <c r="G2840" t="s">
        <v>10552</v>
      </c>
      <c r="H2840" t="str">
        <f>"dolk-1"</f>
        <v>dolk-1</v>
      </c>
      <c r="I2840" t="s">
        <v>10554</v>
      </c>
      <c r="J2840">
        <v>12.619090700669201</v>
      </c>
      <c r="K2840">
        <v>12.658190983860999</v>
      </c>
      <c r="L2840">
        <v>12.7689700629718</v>
      </c>
      <c r="M2840">
        <v>12.718327310234701</v>
      </c>
      <c r="N2840">
        <v>12.9260637127202</v>
      </c>
      <c r="O2840">
        <v>12.7797708650973</v>
      </c>
      <c r="P2840">
        <v>0.12597004685006399</v>
      </c>
      <c r="Q2840">
        <v>-0.33957071781822401</v>
      </c>
      <c r="R2840">
        <v>0.59151081151835205</v>
      </c>
      <c r="S2840">
        <v>13.220807438490301</v>
      </c>
      <c r="T2840">
        <v>0.57116237187692898</v>
      </c>
      <c r="U2840">
        <v>-6.71314955916937</v>
      </c>
      <c r="V2840">
        <v>0.57540932943182999</v>
      </c>
      <c r="W2840">
        <v>0.96066330075004902</v>
      </c>
      <c r="X2840">
        <v>0</v>
      </c>
      <c r="Y2840">
        <v>0</v>
      </c>
    </row>
    <row r="2841" spans="1:25" x14ac:dyDescent="0.2">
      <c r="A2841" t="s">
        <v>10555</v>
      </c>
      <c r="B2841" t="s">
        <v>10556</v>
      </c>
      <c r="C2841" t="s">
        <v>14570</v>
      </c>
      <c r="D2841" t="s">
        <v>10557</v>
      </c>
      <c r="E2841" t="s">
        <v>10556</v>
      </c>
      <c r="F2841" t="s">
        <v>28</v>
      </c>
      <c r="G2841" t="s">
        <v>10556</v>
      </c>
      <c r="H2841" t="str">
        <f>"Y87G2A.19"</f>
        <v>Y87G2A.19</v>
      </c>
      <c r="I2841" t="s">
        <v>10557</v>
      </c>
      <c r="J2841">
        <v>14.151968362278399</v>
      </c>
      <c r="K2841">
        <v>14.3402572060486</v>
      </c>
      <c r="L2841">
        <v>14.162904909202499</v>
      </c>
      <c r="M2841">
        <v>13.886530584529</v>
      </c>
      <c r="N2841" t="s">
        <v>29</v>
      </c>
      <c r="O2841">
        <v>13.2176165979686</v>
      </c>
      <c r="P2841">
        <v>-0.666303234594393</v>
      </c>
      <c r="Q2841">
        <v>-1.3256991722529201</v>
      </c>
      <c r="R2841">
        <v>-6.9072969358624503E-3</v>
      </c>
      <c r="S2841">
        <v>13.848683936184001</v>
      </c>
      <c r="T2841">
        <v>-2.1687902247776498</v>
      </c>
      <c r="U2841">
        <v>-4.6331445059375502</v>
      </c>
      <c r="V2841">
        <v>4.79514098752521E-2</v>
      </c>
      <c r="W2841">
        <v>0.47353795864937398</v>
      </c>
      <c r="X2841">
        <v>0</v>
      </c>
      <c r="Y2841">
        <v>0</v>
      </c>
    </row>
    <row r="2842" spans="1:25" x14ac:dyDescent="0.2">
      <c r="A2842" t="s">
        <v>10558</v>
      </c>
      <c r="B2842" t="s">
        <v>10559</v>
      </c>
      <c r="C2842" t="s">
        <v>10560</v>
      </c>
      <c r="D2842" t="s">
        <v>10561</v>
      </c>
      <c r="E2842" t="s">
        <v>10559</v>
      </c>
      <c r="F2842" t="s">
        <v>28</v>
      </c>
      <c r="G2842" t="s">
        <v>10559</v>
      </c>
      <c r="H2842" t="str">
        <f>"sek-4"</f>
        <v>sek-4</v>
      </c>
      <c r="I2842" t="s">
        <v>10561</v>
      </c>
      <c r="J2842">
        <v>13.274120942708</v>
      </c>
      <c r="K2842">
        <v>13.385155973954101</v>
      </c>
      <c r="L2842">
        <v>12.9275081996241</v>
      </c>
      <c r="M2842">
        <v>13.0414205156703</v>
      </c>
      <c r="N2842">
        <v>13.397930013798501</v>
      </c>
      <c r="O2842">
        <v>13.271550722288501</v>
      </c>
      <c r="P2842">
        <v>4.13720451569866E-2</v>
      </c>
      <c r="Q2842">
        <v>-0.478537081899302</v>
      </c>
      <c r="R2842">
        <v>0.561281172213276</v>
      </c>
      <c r="S2842">
        <v>12.9094888566227</v>
      </c>
      <c r="T2842">
        <v>0.16971536179925001</v>
      </c>
      <c r="U2842">
        <v>-6.8672943210053097</v>
      </c>
      <c r="V2842">
        <v>0.86751752201512899</v>
      </c>
      <c r="W2842">
        <v>0.99457622291666603</v>
      </c>
      <c r="X2842">
        <v>0</v>
      </c>
      <c r="Y2842">
        <v>0</v>
      </c>
    </row>
    <row r="2843" spans="1:25" x14ac:dyDescent="0.2">
      <c r="A2843" t="s">
        <v>10562</v>
      </c>
      <c r="B2843" t="s">
        <v>10563</v>
      </c>
      <c r="C2843" t="s">
        <v>10564</v>
      </c>
      <c r="D2843" t="s">
        <v>660</v>
      </c>
      <c r="E2843" t="s">
        <v>10563</v>
      </c>
      <c r="F2843" t="s">
        <v>28</v>
      </c>
      <c r="G2843" t="s">
        <v>10563</v>
      </c>
      <c r="H2843" t="str">
        <f>"abts-4"</f>
        <v>abts-4</v>
      </c>
      <c r="I2843" t="s">
        <v>660</v>
      </c>
      <c r="J2843">
        <v>17.4880709808562</v>
      </c>
      <c r="K2843">
        <v>17.6924404977695</v>
      </c>
      <c r="L2843">
        <v>17.263434322545798</v>
      </c>
      <c r="M2843">
        <v>17.704373280565601</v>
      </c>
      <c r="N2843">
        <v>17.385578084067301</v>
      </c>
      <c r="O2843">
        <v>17.827523103910401</v>
      </c>
      <c r="P2843">
        <v>0.15784288912390901</v>
      </c>
      <c r="Q2843">
        <v>-0.61134531442123496</v>
      </c>
      <c r="R2843">
        <v>0.92703109266905304</v>
      </c>
      <c r="S2843">
        <v>17.263177197865598</v>
      </c>
      <c r="T2843">
        <v>0.43130542376313202</v>
      </c>
      <c r="U2843">
        <v>-6.7857990848263796</v>
      </c>
      <c r="V2843">
        <v>0.67139735478386997</v>
      </c>
      <c r="W2843">
        <v>0.98642420921484297</v>
      </c>
      <c r="X2843">
        <v>0</v>
      </c>
      <c r="Y2843">
        <v>0</v>
      </c>
    </row>
    <row r="2844" spans="1:25" x14ac:dyDescent="0.2">
      <c r="A2844" t="s">
        <v>10565</v>
      </c>
      <c r="B2844" t="s">
        <v>10566</v>
      </c>
      <c r="C2844" t="s">
        <v>10567</v>
      </c>
      <c r="D2844" t="s">
        <v>10568</v>
      </c>
      <c r="E2844" t="s">
        <v>10566</v>
      </c>
      <c r="F2844" t="s">
        <v>28</v>
      </c>
      <c r="G2844" t="s">
        <v>10566</v>
      </c>
      <c r="H2844" t="str">
        <f>"fitm-2"</f>
        <v>fitm-2</v>
      </c>
      <c r="I2844" t="s">
        <v>10568</v>
      </c>
      <c r="J2844">
        <v>15.430998866867499</v>
      </c>
      <c r="K2844">
        <v>15.3602701254792</v>
      </c>
      <c r="L2844">
        <v>15.979311925363399</v>
      </c>
      <c r="M2844">
        <v>15.5051462224936</v>
      </c>
      <c r="N2844">
        <v>15.818103521970601</v>
      </c>
      <c r="O2844">
        <v>15.0232140180202</v>
      </c>
      <c r="P2844">
        <v>-0.14137238507523101</v>
      </c>
      <c r="Q2844">
        <v>-0.62538689541296599</v>
      </c>
      <c r="R2844">
        <v>0.34264212526250398</v>
      </c>
      <c r="S2844">
        <v>15.832741252703601</v>
      </c>
      <c r="T2844">
        <v>-0.61390153108608803</v>
      </c>
      <c r="U2844">
        <v>-6.6876390198812699</v>
      </c>
      <c r="V2844">
        <v>0.54700602136485099</v>
      </c>
      <c r="W2844">
        <v>0.95161319346692397</v>
      </c>
      <c r="X2844">
        <v>0</v>
      </c>
      <c r="Y2844">
        <v>0</v>
      </c>
    </row>
    <row r="2845" spans="1:25" x14ac:dyDescent="0.2">
      <c r="A2845" t="s">
        <v>10569</v>
      </c>
      <c r="B2845" t="s">
        <v>10570</v>
      </c>
      <c r="C2845" t="s">
        <v>10571</v>
      </c>
      <c r="D2845" t="s">
        <v>10572</v>
      </c>
      <c r="E2845" t="s">
        <v>10570</v>
      </c>
      <c r="F2845" t="s">
        <v>28</v>
      </c>
      <c r="G2845" t="s">
        <v>10570</v>
      </c>
      <c r="H2845" t="str">
        <f>"glo-4"</f>
        <v>glo-4</v>
      </c>
      <c r="I2845" t="s">
        <v>10572</v>
      </c>
      <c r="J2845">
        <v>11.1965687485927</v>
      </c>
      <c r="K2845" t="s">
        <v>29</v>
      </c>
      <c r="L2845" t="s">
        <v>29</v>
      </c>
      <c r="M2845" t="s">
        <v>29</v>
      </c>
      <c r="N2845" t="s">
        <v>29</v>
      </c>
      <c r="O2845" t="s">
        <v>29</v>
      </c>
      <c r="P2845" t="s">
        <v>29</v>
      </c>
      <c r="Q2845" t="s">
        <v>29</v>
      </c>
      <c r="R2845" t="s">
        <v>29</v>
      </c>
      <c r="S2845">
        <v>11.285608786912199</v>
      </c>
      <c r="T2845" t="s">
        <v>29</v>
      </c>
      <c r="U2845" t="s">
        <v>29</v>
      </c>
      <c r="V2845" t="s">
        <v>29</v>
      </c>
      <c r="W2845" t="s">
        <v>29</v>
      </c>
      <c r="X2845" t="s">
        <v>29</v>
      </c>
      <c r="Y2845" t="s">
        <v>29</v>
      </c>
    </row>
    <row r="2846" spans="1:25" x14ac:dyDescent="0.2">
      <c r="A2846" t="s">
        <v>10573</v>
      </c>
      <c r="B2846" t="s">
        <v>10574</v>
      </c>
      <c r="C2846" t="s">
        <v>10575</v>
      </c>
      <c r="D2846" t="s">
        <v>10576</v>
      </c>
      <c r="E2846" t="s">
        <v>10574</v>
      </c>
      <c r="F2846" t="s">
        <v>28</v>
      </c>
      <c r="G2846" t="s">
        <v>10574</v>
      </c>
      <c r="H2846" t="str">
        <f>"sax-2"</f>
        <v>sax-2</v>
      </c>
      <c r="I2846" t="s">
        <v>10576</v>
      </c>
      <c r="J2846">
        <v>12.926471943800699</v>
      </c>
      <c r="K2846">
        <v>12.862907325944899</v>
      </c>
      <c r="L2846">
        <v>12.8846721869382</v>
      </c>
      <c r="M2846">
        <v>13.047243707877801</v>
      </c>
      <c r="N2846">
        <v>13.0668444939626</v>
      </c>
      <c r="O2846">
        <v>13.3436690971894</v>
      </c>
      <c r="P2846">
        <v>0.26123528078202302</v>
      </c>
      <c r="Q2846">
        <v>-0.163103581021457</v>
      </c>
      <c r="R2846">
        <v>0.68557414258550298</v>
      </c>
      <c r="S2846">
        <v>13.433867251804299</v>
      </c>
      <c r="T2846">
        <v>1.2994783120247699</v>
      </c>
      <c r="U2846">
        <v>-6.0393285010596696</v>
      </c>
      <c r="V2846">
        <v>0.21123267168457699</v>
      </c>
      <c r="W2846">
        <v>0.79492804357574798</v>
      </c>
      <c r="X2846">
        <v>0</v>
      </c>
      <c r="Y2846">
        <v>0</v>
      </c>
    </row>
    <row r="2847" spans="1:25" x14ac:dyDescent="0.2">
      <c r="A2847" t="s">
        <v>10577</v>
      </c>
      <c r="B2847" t="s">
        <v>10578</v>
      </c>
      <c r="C2847" t="s">
        <v>10579</v>
      </c>
      <c r="D2847" t="s">
        <v>10580</v>
      </c>
      <c r="E2847" t="s">
        <v>10578</v>
      </c>
      <c r="F2847" t="s">
        <v>28</v>
      </c>
      <c r="G2847" t="s">
        <v>10578</v>
      </c>
      <c r="H2847" t="str">
        <f>"sfxn-5"</f>
        <v>sfxn-5</v>
      </c>
      <c r="I2847" t="s">
        <v>10580</v>
      </c>
      <c r="J2847">
        <v>13.138639820598</v>
      </c>
      <c r="K2847">
        <v>13.036286469342601</v>
      </c>
      <c r="L2847">
        <v>13.1543843389143</v>
      </c>
      <c r="M2847">
        <v>13.5946967190857</v>
      </c>
      <c r="N2847">
        <v>13.4345065111001</v>
      </c>
      <c r="O2847">
        <v>13.2549265132148</v>
      </c>
      <c r="P2847">
        <v>0.31827303818187702</v>
      </c>
      <c r="Q2847">
        <v>-0.25184044221856799</v>
      </c>
      <c r="R2847">
        <v>0.88838651858232198</v>
      </c>
      <c r="S2847">
        <v>13.3413547945151</v>
      </c>
      <c r="T2847">
        <v>1.17335938929009</v>
      </c>
      <c r="U2847">
        <v>-6.1897300953237604</v>
      </c>
      <c r="V2847">
        <v>0.25603327090938499</v>
      </c>
      <c r="W2847">
        <v>0.83701250057606502</v>
      </c>
      <c r="X2847">
        <v>0</v>
      </c>
      <c r="Y2847">
        <v>0</v>
      </c>
    </row>
    <row r="2848" spans="1:25" x14ac:dyDescent="0.2">
      <c r="A2848" t="s">
        <v>10581</v>
      </c>
      <c r="B2848" t="s">
        <v>10582</v>
      </c>
      <c r="C2848" t="s">
        <v>10583</v>
      </c>
      <c r="D2848" t="s">
        <v>10584</v>
      </c>
      <c r="E2848" t="s">
        <v>10582</v>
      </c>
      <c r="F2848" t="s">
        <v>28</v>
      </c>
      <c r="G2848" t="s">
        <v>10582</v>
      </c>
      <c r="H2848" t="str">
        <f>"nfi-1"</f>
        <v>nfi-1</v>
      </c>
      <c r="I2848" t="s">
        <v>10584</v>
      </c>
      <c r="J2848" t="s">
        <v>29</v>
      </c>
      <c r="K2848" t="s">
        <v>29</v>
      </c>
      <c r="L2848" t="s">
        <v>29</v>
      </c>
      <c r="M2848" t="s">
        <v>29</v>
      </c>
      <c r="N2848">
        <v>11.095004177537399</v>
      </c>
      <c r="O2848" t="s">
        <v>29</v>
      </c>
      <c r="P2848" t="s">
        <v>29</v>
      </c>
      <c r="Q2848" t="s">
        <v>29</v>
      </c>
      <c r="R2848" t="s">
        <v>29</v>
      </c>
      <c r="S2848">
        <v>12.256385785118001</v>
      </c>
      <c r="T2848" t="s">
        <v>29</v>
      </c>
      <c r="U2848" t="s">
        <v>29</v>
      </c>
      <c r="V2848" t="s">
        <v>29</v>
      </c>
      <c r="W2848" t="s">
        <v>29</v>
      </c>
      <c r="X2848" t="s">
        <v>29</v>
      </c>
      <c r="Y2848" t="s">
        <v>29</v>
      </c>
    </row>
    <row r="2849" spans="1:25" x14ac:dyDescent="0.2">
      <c r="A2849" t="s">
        <v>10585</v>
      </c>
      <c r="B2849" t="s">
        <v>10586</v>
      </c>
      <c r="C2849" t="s">
        <v>10587</v>
      </c>
      <c r="D2849" t="s">
        <v>2692</v>
      </c>
      <c r="E2849" t="s">
        <v>10586</v>
      </c>
      <c r="F2849" t="s">
        <v>28</v>
      </c>
      <c r="G2849" t="s">
        <v>10586</v>
      </c>
      <c r="H2849" t="str">
        <f>"C11H1.9"</f>
        <v>C11H1.9</v>
      </c>
      <c r="I2849" t="s">
        <v>2692</v>
      </c>
      <c r="J2849" t="s">
        <v>29</v>
      </c>
      <c r="K2849" t="s">
        <v>29</v>
      </c>
      <c r="L2849" t="s">
        <v>29</v>
      </c>
      <c r="M2849" t="s">
        <v>29</v>
      </c>
      <c r="N2849" t="s">
        <v>29</v>
      </c>
      <c r="O2849" t="s">
        <v>29</v>
      </c>
      <c r="P2849" t="s">
        <v>29</v>
      </c>
      <c r="Q2849" t="s">
        <v>29</v>
      </c>
      <c r="R2849" t="s">
        <v>29</v>
      </c>
      <c r="S2849">
        <v>13.3519206267194</v>
      </c>
      <c r="T2849" t="s">
        <v>29</v>
      </c>
      <c r="U2849" t="s">
        <v>29</v>
      </c>
      <c r="V2849" t="s">
        <v>29</v>
      </c>
      <c r="W2849" t="s">
        <v>29</v>
      </c>
      <c r="X2849" t="s">
        <v>29</v>
      </c>
      <c r="Y2849" t="s">
        <v>29</v>
      </c>
    </row>
    <row r="2850" spans="1:25" x14ac:dyDescent="0.2">
      <c r="A2850" t="s">
        <v>10588</v>
      </c>
      <c r="B2850" t="s">
        <v>10589</v>
      </c>
      <c r="C2850" t="s">
        <v>10590</v>
      </c>
      <c r="D2850" t="s">
        <v>10591</v>
      </c>
      <c r="E2850" t="s">
        <v>10589</v>
      </c>
      <c r="F2850" t="s">
        <v>28</v>
      </c>
      <c r="G2850" t="s">
        <v>10589</v>
      </c>
      <c r="H2850" t="str">
        <f>"R144.12"</f>
        <v>R144.12</v>
      </c>
      <c r="I2850" t="s">
        <v>10591</v>
      </c>
      <c r="J2850">
        <v>13.775872522690401</v>
      </c>
      <c r="K2850">
        <v>13.6444155656765</v>
      </c>
      <c r="L2850">
        <v>13.7459525618537</v>
      </c>
      <c r="M2850">
        <v>13.7358397813148</v>
      </c>
      <c r="N2850">
        <v>13.804133608593199</v>
      </c>
      <c r="O2850">
        <v>13.5967450521202</v>
      </c>
      <c r="P2850">
        <v>-9.8407360641434797E-3</v>
      </c>
      <c r="Q2850">
        <v>-0.48779320061439102</v>
      </c>
      <c r="R2850">
        <v>0.468111728486104</v>
      </c>
      <c r="S2850">
        <v>13.850263145279399</v>
      </c>
      <c r="T2850">
        <v>-4.32748321083056E-2</v>
      </c>
      <c r="U2850">
        <v>-6.8815111380978102</v>
      </c>
      <c r="V2850">
        <v>0.96596166890330204</v>
      </c>
      <c r="W2850">
        <v>0.99968702248720698</v>
      </c>
      <c r="X2850">
        <v>0</v>
      </c>
      <c r="Y2850">
        <v>0</v>
      </c>
    </row>
    <row r="2851" spans="1:25" x14ac:dyDescent="0.2">
      <c r="A2851" t="s">
        <v>10592</v>
      </c>
      <c r="B2851" t="s">
        <v>10593</v>
      </c>
      <c r="C2851" t="s">
        <v>10594</v>
      </c>
      <c r="D2851" t="s">
        <v>2791</v>
      </c>
      <c r="E2851" t="s">
        <v>10593</v>
      </c>
      <c r="F2851" t="s">
        <v>28</v>
      </c>
      <c r="G2851" t="s">
        <v>10593</v>
      </c>
      <c r="H2851" t="str">
        <f>"vbh-1"</f>
        <v>vbh-1</v>
      </c>
      <c r="I2851" t="s">
        <v>2791</v>
      </c>
      <c r="J2851">
        <v>17.510876330391302</v>
      </c>
      <c r="K2851">
        <v>17.6992779580285</v>
      </c>
      <c r="L2851">
        <v>18.133754313539701</v>
      </c>
      <c r="M2851">
        <v>17.810831648900699</v>
      </c>
      <c r="N2851">
        <v>18.1145215677689</v>
      </c>
      <c r="O2851">
        <v>17.736114496152901</v>
      </c>
      <c r="P2851">
        <v>0.10585303695433999</v>
      </c>
      <c r="Q2851">
        <v>-0.31298905973557201</v>
      </c>
      <c r="R2851">
        <v>0.52469513364425202</v>
      </c>
      <c r="S2851">
        <v>18.2701621983237</v>
      </c>
      <c r="T2851">
        <v>0.53118464304025803</v>
      </c>
      <c r="U2851">
        <v>-6.7362250460385997</v>
      </c>
      <c r="V2851">
        <v>0.60182239608378596</v>
      </c>
      <c r="W2851">
        <v>0.96856739034780204</v>
      </c>
      <c r="X2851">
        <v>0</v>
      </c>
      <c r="Y2851">
        <v>0</v>
      </c>
    </row>
    <row r="2852" spans="1:25" x14ac:dyDescent="0.2">
      <c r="A2852" t="s">
        <v>10595</v>
      </c>
      <c r="B2852" t="s">
        <v>10596</v>
      </c>
      <c r="C2852" t="s">
        <v>10597</v>
      </c>
      <c r="D2852" t="s">
        <v>10598</v>
      </c>
      <c r="E2852" t="s">
        <v>10596</v>
      </c>
      <c r="F2852" t="s">
        <v>28</v>
      </c>
      <c r="G2852" t="s">
        <v>10596</v>
      </c>
      <c r="H2852" t="str">
        <f>"Y54E10A.11"</f>
        <v>Y54E10A.11</v>
      </c>
      <c r="I2852" t="s">
        <v>10598</v>
      </c>
      <c r="J2852">
        <v>13.1597711071548</v>
      </c>
      <c r="K2852">
        <v>13.0496863348737</v>
      </c>
      <c r="L2852">
        <v>13.2941722555171</v>
      </c>
      <c r="M2852">
        <v>13.2227272694271</v>
      </c>
      <c r="N2852">
        <v>13.1301014419799</v>
      </c>
      <c r="O2852">
        <v>12.8580266477131</v>
      </c>
      <c r="P2852">
        <v>-9.7591446141846602E-2</v>
      </c>
      <c r="Q2852">
        <v>-0.47446045977455098</v>
      </c>
      <c r="R2852">
        <v>0.27927756749085803</v>
      </c>
      <c r="S2852">
        <v>13.0145571354692</v>
      </c>
      <c r="T2852">
        <v>-0.54660215013679203</v>
      </c>
      <c r="U2852">
        <v>-6.7272743941301201</v>
      </c>
      <c r="V2852">
        <v>0.59179854410353405</v>
      </c>
      <c r="W2852">
        <v>0.96355457670086098</v>
      </c>
      <c r="X2852">
        <v>0</v>
      </c>
      <c r="Y2852">
        <v>0</v>
      </c>
    </row>
    <row r="2853" spans="1:25" x14ac:dyDescent="0.2">
      <c r="A2853" t="s">
        <v>10599</v>
      </c>
      <c r="B2853" t="s">
        <v>10600</v>
      </c>
      <c r="C2853" t="s">
        <v>14571</v>
      </c>
      <c r="D2853" t="s">
        <v>10601</v>
      </c>
      <c r="E2853" t="s">
        <v>10600</v>
      </c>
      <c r="F2853" t="s">
        <v>28</v>
      </c>
      <c r="G2853" t="s">
        <v>10600</v>
      </c>
      <c r="H2853" t="str">
        <f>"Y47G6A.15"</f>
        <v>Y47G6A.15</v>
      </c>
      <c r="I2853" t="s">
        <v>10601</v>
      </c>
      <c r="J2853">
        <v>12.6495699177225</v>
      </c>
      <c r="K2853">
        <v>12.7765386150573</v>
      </c>
      <c r="L2853">
        <v>15.0689714395654</v>
      </c>
      <c r="M2853">
        <v>13.4962505187553</v>
      </c>
      <c r="N2853">
        <v>12.7707647980289</v>
      </c>
      <c r="O2853">
        <v>13.634051741624001</v>
      </c>
      <c r="P2853">
        <v>-0.19800430464562899</v>
      </c>
      <c r="Q2853">
        <v>-1.5479045751742599</v>
      </c>
      <c r="R2853">
        <v>1.1518959658829999</v>
      </c>
      <c r="S2853">
        <v>13.4494259016063</v>
      </c>
      <c r="T2853">
        <v>-0.30829427555521299</v>
      </c>
      <c r="U2853">
        <v>-6.8329613222212702</v>
      </c>
      <c r="V2853">
        <v>0.76141829035450503</v>
      </c>
      <c r="W2853">
        <v>0.99278624068726296</v>
      </c>
      <c r="X2853">
        <v>0</v>
      </c>
      <c r="Y2853">
        <v>0</v>
      </c>
    </row>
    <row r="2854" spans="1:25" x14ac:dyDescent="0.2">
      <c r="A2854" t="s">
        <v>10602</v>
      </c>
      <c r="B2854" t="s">
        <v>10603</v>
      </c>
      <c r="C2854" t="s">
        <v>10604</v>
      </c>
      <c r="D2854" t="s">
        <v>2602</v>
      </c>
      <c r="E2854" t="s">
        <v>10603</v>
      </c>
      <c r="F2854" t="s">
        <v>28</v>
      </c>
      <c r="G2854" t="s">
        <v>10603</v>
      </c>
      <c r="H2854" t="str">
        <f>"dhs-30"</f>
        <v>dhs-30</v>
      </c>
      <c r="I2854" t="s">
        <v>2602</v>
      </c>
      <c r="J2854">
        <v>15.352503411045699</v>
      </c>
      <c r="K2854">
        <v>15.3234129124251</v>
      </c>
      <c r="L2854">
        <v>14.885903283726099</v>
      </c>
      <c r="M2854">
        <v>14.8558191396534</v>
      </c>
      <c r="N2854">
        <v>14.764231771877199</v>
      </c>
      <c r="O2854">
        <v>15.0176068238982</v>
      </c>
      <c r="P2854">
        <v>-0.30805395725602103</v>
      </c>
      <c r="Q2854">
        <v>-0.75371971321621001</v>
      </c>
      <c r="R2854">
        <v>0.13761179870416701</v>
      </c>
      <c r="S2854">
        <v>14.510009856245899</v>
      </c>
      <c r="T2854">
        <v>-1.4528140800127201</v>
      </c>
      <c r="U2854">
        <v>-5.8406273241959203</v>
      </c>
      <c r="V2854">
        <v>0.163585921444869</v>
      </c>
      <c r="W2854">
        <v>0.76678020643454003</v>
      </c>
      <c r="X2854">
        <v>0</v>
      </c>
      <c r="Y2854">
        <v>0</v>
      </c>
    </row>
    <row r="2855" spans="1:25" x14ac:dyDescent="0.2">
      <c r="A2855" t="s">
        <v>10605</v>
      </c>
      <c r="B2855" t="s">
        <v>10606</v>
      </c>
      <c r="C2855" t="s">
        <v>14572</v>
      </c>
      <c r="D2855" t="s">
        <v>2791</v>
      </c>
      <c r="E2855" t="s">
        <v>10606</v>
      </c>
      <c r="F2855" t="s">
        <v>28</v>
      </c>
      <c r="G2855" t="s">
        <v>10606</v>
      </c>
      <c r="H2855" t="str">
        <f>"Y94H6A.5"</f>
        <v>Y94H6A.5</v>
      </c>
      <c r="I2855" t="s">
        <v>2791</v>
      </c>
      <c r="J2855">
        <v>14.7525314108965</v>
      </c>
      <c r="K2855">
        <v>14.9494397650653</v>
      </c>
      <c r="L2855">
        <v>14.997857324298201</v>
      </c>
      <c r="M2855">
        <v>15.0007595826954</v>
      </c>
      <c r="N2855">
        <v>15.129004849338701</v>
      </c>
      <c r="O2855">
        <v>14.787149565105</v>
      </c>
      <c r="P2855">
        <v>7.2361832293024606E-2</v>
      </c>
      <c r="Q2855">
        <v>-0.42671820038931702</v>
      </c>
      <c r="R2855">
        <v>0.57144186497536598</v>
      </c>
      <c r="S2855">
        <v>15.162628433081901</v>
      </c>
      <c r="T2855">
        <v>0.30474169128609602</v>
      </c>
      <c r="U2855">
        <v>-6.8340932463571402</v>
      </c>
      <c r="V2855">
        <v>0.764078615557225</v>
      </c>
      <c r="W2855">
        <v>0.99278624068726296</v>
      </c>
      <c r="X2855">
        <v>0</v>
      </c>
      <c r="Y2855">
        <v>0</v>
      </c>
    </row>
    <row r="2856" spans="1:25" x14ac:dyDescent="0.2">
      <c r="A2856" t="s">
        <v>10607</v>
      </c>
      <c r="B2856" t="s">
        <v>10608</v>
      </c>
      <c r="C2856" t="s">
        <v>10609</v>
      </c>
      <c r="D2856" t="s">
        <v>10610</v>
      </c>
      <c r="E2856" t="s">
        <v>10608</v>
      </c>
      <c r="F2856" t="s">
        <v>28</v>
      </c>
      <c r="G2856" t="s">
        <v>10608</v>
      </c>
      <c r="H2856" t="str">
        <f>"daf-15"</f>
        <v>daf-15</v>
      </c>
      <c r="I2856" t="s">
        <v>10610</v>
      </c>
      <c r="J2856">
        <v>12.8396609559196</v>
      </c>
      <c r="K2856">
        <v>12.7371141303021</v>
      </c>
      <c r="L2856">
        <v>12.624344880300301</v>
      </c>
      <c r="M2856">
        <v>12.6195923302132</v>
      </c>
      <c r="N2856">
        <v>12.742181222705099</v>
      </c>
      <c r="O2856">
        <v>12.7274676474215</v>
      </c>
      <c r="P2856">
        <v>-3.7292922060709402E-2</v>
      </c>
      <c r="Q2856">
        <v>-0.47891372550928102</v>
      </c>
      <c r="R2856">
        <v>0.40432788138786202</v>
      </c>
      <c r="S2856">
        <v>12.4512666820834</v>
      </c>
      <c r="T2856">
        <v>-0.17824891835307899</v>
      </c>
      <c r="U2856">
        <v>-6.8658522074108204</v>
      </c>
      <c r="V2856">
        <v>0.86064733801127902</v>
      </c>
      <c r="W2856">
        <v>0.993835649167778</v>
      </c>
      <c r="X2856">
        <v>0</v>
      </c>
      <c r="Y2856">
        <v>0</v>
      </c>
    </row>
    <row r="2857" spans="1:25" x14ac:dyDescent="0.2">
      <c r="A2857" t="s">
        <v>10611</v>
      </c>
      <c r="B2857" t="s">
        <v>10612</v>
      </c>
      <c r="C2857" t="s">
        <v>10613</v>
      </c>
      <c r="D2857" t="s">
        <v>10614</v>
      </c>
      <c r="E2857" t="s">
        <v>10612</v>
      </c>
      <c r="F2857" t="s">
        <v>28</v>
      </c>
      <c r="G2857" t="s">
        <v>10612</v>
      </c>
      <c r="H2857" t="str">
        <f>"mrpl-21"</f>
        <v>mrpl-21</v>
      </c>
      <c r="I2857" t="s">
        <v>10614</v>
      </c>
      <c r="J2857" t="s">
        <v>29</v>
      </c>
      <c r="K2857" t="s">
        <v>29</v>
      </c>
      <c r="L2857" t="s">
        <v>29</v>
      </c>
      <c r="M2857" t="s">
        <v>29</v>
      </c>
      <c r="N2857">
        <v>10.9399254234884</v>
      </c>
      <c r="O2857" t="s">
        <v>29</v>
      </c>
      <c r="P2857" t="s">
        <v>29</v>
      </c>
      <c r="Q2857" t="s">
        <v>29</v>
      </c>
      <c r="R2857" t="s">
        <v>29</v>
      </c>
      <c r="S2857">
        <v>10.7551354786444</v>
      </c>
      <c r="T2857" t="s">
        <v>29</v>
      </c>
      <c r="U2857" t="s">
        <v>29</v>
      </c>
      <c r="V2857" t="s">
        <v>29</v>
      </c>
      <c r="W2857" t="s">
        <v>29</v>
      </c>
      <c r="X2857" t="s">
        <v>29</v>
      </c>
      <c r="Y2857" t="s">
        <v>29</v>
      </c>
    </row>
    <row r="2858" spans="1:25" x14ac:dyDescent="0.2">
      <c r="A2858" t="s">
        <v>10615</v>
      </c>
      <c r="B2858" t="s">
        <v>10616</v>
      </c>
      <c r="C2858" t="s">
        <v>14573</v>
      </c>
      <c r="D2858" t="s">
        <v>10617</v>
      </c>
      <c r="E2858" t="s">
        <v>10616</v>
      </c>
      <c r="F2858" t="s">
        <v>28</v>
      </c>
      <c r="G2858" t="s">
        <v>10616</v>
      </c>
      <c r="H2858" t="str">
        <f>"D1069.3"</f>
        <v>D1069.3</v>
      </c>
      <c r="I2858" t="s">
        <v>10617</v>
      </c>
      <c r="J2858">
        <v>11.5787051020038</v>
      </c>
      <c r="K2858">
        <v>12.5077804995615</v>
      </c>
      <c r="L2858">
        <v>11.3190156050055</v>
      </c>
      <c r="M2858">
        <v>11.8903572364824</v>
      </c>
      <c r="N2858">
        <v>11.5767169727021</v>
      </c>
      <c r="O2858">
        <v>12.194620901799</v>
      </c>
      <c r="P2858">
        <v>8.5397968137524302E-2</v>
      </c>
      <c r="Q2858">
        <v>-0.50460567683155999</v>
      </c>
      <c r="R2858">
        <v>0.67540161310660896</v>
      </c>
      <c r="S2858">
        <v>11.517663255742599</v>
      </c>
      <c r="T2858">
        <v>0.307002825727619</v>
      </c>
      <c r="U2858">
        <v>-6.8330637118255604</v>
      </c>
      <c r="V2858">
        <v>0.76282665870007205</v>
      </c>
      <c r="W2858">
        <v>0.99278624068726296</v>
      </c>
      <c r="X2858">
        <v>0</v>
      </c>
      <c r="Y2858">
        <v>0</v>
      </c>
    </row>
    <row r="2859" spans="1:25" x14ac:dyDescent="0.2">
      <c r="A2859" t="s">
        <v>10618</v>
      </c>
      <c r="B2859" t="s">
        <v>10619</v>
      </c>
      <c r="C2859" t="s">
        <v>14574</v>
      </c>
      <c r="D2859" t="s">
        <v>3358</v>
      </c>
      <c r="E2859" t="s">
        <v>10619</v>
      </c>
      <c r="F2859" t="s">
        <v>28</v>
      </c>
      <c r="G2859" t="s">
        <v>10619</v>
      </c>
      <c r="H2859" t="str">
        <f>"T28B4.1"</f>
        <v>T28B4.1</v>
      </c>
      <c r="I2859" t="s">
        <v>3358</v>
      </c>
      <c r="J2859">
        <v>12.6410344191824</v>
      </c>
      <c r="K2859" t="s">
        <v>29</v>
      </c>
      <c r="L2859">
        <v>13.1969725371248</v>
      </c>
      <c r="M2859">
        <v>12.216800823982</v>
      </c>
      <c r="N2859">
        <v>13.172545761358499</v>
      </c>
      <c r="O2859">
        <v>13.2573209004729</v>
      </c>
      <c r="P2859">
        <v>-3.6780982882481397E-2</v>
      </c>
      <c r="Q2859">
        <v>-0.809273094535367</v>
      </c>
      <c r="R2859">
        <v>0.73571112877040401</v>
      </c>
      <c r="S2859">
        <v>12.893411448759601</v>
      </c>
      <c r="T2859">
        <v>-0.102193005045613</v>
      </c>
      <c r="U2859">
        <v>-6.7666813107663097</v>
      </c>
      <c r="V2859">
        <v>0.92006360189423897</v>
      </c>
      <c r="W2859">
        <v>0.99843270744267199</v>
      </c>
      <c r="X2859">
        <v>0</v>
      </c>
      <c r="Y2859">
        <v>0</v>
      </c>
    </row>
    <row r="2860" spans="1:25" x14ac:dyDescent="0.2">
      <c r="A2860" t="s">
        <v>10620</v>
      </c>
      <c r="B2860" t="s">
        <v>10621</v>
      </c>
      <c r="C2860" t="s">
        <v>14575</v>
      </c>
      <c r="D2860" t="s">
        <v>10622</v>
      </c>
      <c r="E2860" t="s">
        <v>10621</v>
      </c>
      <c r="F2860" t="s">
        <v>28</v>
      </c>
      <c r="G2860" t="s">
        <v>10621</v>
      </c>
      <c r="H2860" t="str">
        <f>"R151.2"</f>
        <v>R151.2</v>
      </c>
      <c r="I2860" t="s">
        <v>10622</v>
      </c>
      <c r="J2860">
        <v>15.7802142953744</v>
      </c>
      <c r="K2860">
        <v>15.120128670270301</v>
      </c>
      <c r="L2860">
        <v>15.613134255504599</v>
      </c>
      <c r="M2860">
        <v>15.6900731700109</v>
      </c>
      <c r="N2860">
        <v>15.2595349094235</v>
      </c>
      <c r="O2860">
        <v>15.8654396397705</v>
      </c>
      <c r="P2860">
        <v>0.10052349935190601</v>
      </c>
      <c r="Q2860">
        <v>-0.376976471781241</v>
      </c>
      <c r="R2860">
        <v>0.57802347048505398</v>
      </c>
      <c r="S2860">
        <v>15.438526831489</v>
      </c>
      <c r="T2860">
        <v>0.44247298687345499</v>
      </c>
      <c r="U2860">
        <v>-6.7807549320522398</v>
      </c>
      <c r="V2860">
        <v>0.66344856896416404</v>
      </c>
      <c r="W2860">
        <v>0.98437665515503203</v>
      </c>
      <c r="X2860">
        <v>0</v>
      </c>
      <c r="Y2860">
        <v>0</v>
      </c>
    </row>
    <row r="2861" spans="1:25" x14ac:dyDescent="0.2">
      <c r="A2861" t="s">
        <v>10623</v>
      </c>
      <c r="B2861" t="s">
        <v>10624</v>
      </c>
      <c r="C2861" t="s">
        <v>10625</v>
      </c>
      <c r="D2861" t="s">
        <v>10626</v>
      </c>
      <c r="E2861" t="s">
        <v>10624</v>
      </c>
      <c r="F2861" t="s">
        <v>28</v>
      </c>
      <c r="G2861" t="s">
        <v>10624</v>
      </c>
      <c r="H2861" t="str">
        <f>"dot-1.1"</f>
        <v>dot-1.1</v>
      </c>
      <c r="I2861" t="s">
        <v>10626</v>
      </c>
      <c r="J2861" t="s">
        <v>29</v>
      </c>
      <c r="K2861">
        <v>11.2149380045869</v>
      </c>
      <c r="L2861">
        <v>10.1889305926252</v>
      </c>
      <c r="M2861" t="s">
        <v>29</v>
      </c>
      <c r="N2861" t="s">
        <v>29</v>
      </c>
      <c r="O2861">
        <v>11.638867513004101</v>
      </c>
      <c r="P2861">
        <v>0.93693321439808297</v>
      </c>
      <c r="Q2861">
        <v>-0.28295198592447901</v>
      </c>
      <c r="R2861">
        <v>2.1568184147206502</v>
      </c>
      <c r="S2861">
        <v>11.220192353825</v>
      </c>
      <c r="T2861">
        <v>1.6924559182685499</v>
      </c>
      <c r="U2861">
        <v>-5.1308686757483501</v>
      </c>
      <c r="V2861">
        <v>0.11892359695794701</v>
      </c>
      <c r="W2861">
        <v>0.70643625961637002</v>
      </c>
      <c r="X2861">
        <v>0</v>
      </c>
      <c r="Y2861">
        <v>0</v>
      </c>
    </row>
    <row r="2862" spans="1:25" x14ac:dyDescent="0.2">
      <c r="A2862" t="s">
        <v>10627</v>
      </c>
      <c r="B2862" t="s">
        <v>10628</v>
      </c>
      <c r="C2862" t="s">
        <v>10629</v>
      </c>
      <c r="D2862" t="s">
        <v>10630</v>
      </c>
      <c r="E2862" t="s">
        <v>10628</v>
      </c>
      <c r="F2862" t="s">
        <v>28</v>
      </c>
      <c r="G2862" t="s">
        <v>10628</v>
      </c>
      <c r="H2862" t="str">
        <f>"cogc-3"</f>
        <v>cogc-3</v>
      </c>
      <c r="I2862" t="s">
        <v>10630</v>
      </c>
      <c r="J2862">
        <v>12.0167083843474</v>
      </c>
      <c r="K2862">
        <v>10.067343166696199</v>
      </c>
      <c r="L2862">
        <v>11.6866741377385</v>
      </c>
      <c r="M2862">
        <v>11.9846112816677</v>
      </c>
      <c r="N2862">
        <v>11.983289168617199</v>
      </c>
      <c r="O2862">
        <v>11.5340405417582</v>
      </c>
      <c r="P2862">
        <v>0.57707176775368496</v>
      </c>
      <c r="Q2862">
        <v>-0.33534584907805998</v>
      </c>
      <c r="R2862">
        <v>1.48948938458543</v>
      </c>
      <c r="S2862">
        <v>12.0036567917243</v>
      </c>
      <c r="T2862">
        <v>1.3350151029701101</v>
      </c>
      <c r="U2862">
        <v>-5.9948761691775996</v>
      </c>
      <c r="V2862">
        <v>0.19958276735389199</v>
      </c>
      <c r="W2862">
        <v>0.79075284576134597</v>
      </c>
      <c r="X2862">
        <v>0</v>
      </c>
      <c r="Y2862">
        <v>0</v>
      </c>
    </row>
    <row r="2863" spans="1:25" x14ac:dyDescent="0.2">
      <c r="A2863" t="s">
        <v>10631</v>
      </c>
      <c r="B2863" t="s">
        <v>10632</v>
      </c>
      <c r="C2863" t="s">
        <v>10633</v>
      </c>
      <c r="D2863" t="s">
        <v>10634</v>
      </c>
      <c r="E2863" t="s">
        <v>10632</v>
      </c>
      <c r="F2863" t="s">
        <v>28</v>
      </c>
      <c r="G2863" t="s">
        <v>10632</v>
      </c>
      <c r="H2863" t="str">
        <f>"nurf-1"</f>
        <v>nurf-1</v>
      </c>
      <c r="I2863" t="s">
        <v>10634</v>
      </c>
      <c r="J2863">
        <v>13.827820372527199</v>
      </c>
      <c r="K2863">
        <v>14.3341733153507</v>
      </c>
      <c r="L2863">
        <v>14.1132255902415</v>
      </c>
      <c r="M2863">
        <v>14.0229584040941</v>
      </c>
      <c r="N2863">
        <v>13.9535828655941</v>
      </c>
      <c r="O2863">
        <v>13.9411760191973</v>
      </c>
      <c r="P2863">
        <v>-0.119167329744627</v>
      </c>
      <c r="Q2863">
        <v>-0.56953603594334001</v>
      </c>
      <c r="R2863">
        <v>0.33120137645408598</v>
      </c>
      <c r="S2863">
        <v>14.2450754704373</v>
      </c>
      <c r="T2863">
        <v>-0.55852036748414002</v>
      </c>
      <c r="U2863">
        <v>-6.7204947860851396</v>
      </c>
      <c r="V2863">
        <v>0.58381621688212104</v>
      </c>
      <c r="W2863">
        <v>0.96315662445407302</v>
      </c>
      <c r="X2863">
        <v>0</v>
      </c>
      <c r="Y2863">
        <v>0</v>
      </c>
    </row>
    <row r="2864" spans="1:25" x14ac:dyDescent="0.2">
      <c r="A2864" t="s">
        <v>10635</v>
      </c>
      <c r="B2864" t="s">
        <v>10636</v>
      </c>
      <c r="C2864" t="s">
        <v>14576</v>
      </c>
      <c r="D2864" t="s">
        <v>10637</v>
      </c>
      <c r="E2864" t="s">
        <v>10636</v>
      </c>
      <c r="F2864" t="s">
        <v>28</v>
      </c>
      <c r="G2864" t="s">
        <v>10636</v>
      </c>
      <c r="H2864" t="str">
        <f>"F27C1.2"</f>
        <v>F27C1.2</v>
      </c>
      <c r="I2864" t="s">
        <v>10637</v>
      </c>
      <c r="J2864">
        <v>13.724728308660101</v>
      </c>
      <c r="K2864">
        <v>14.125371660715301</v>
      </c>
      <c r="L2864">
        <v>13.581553655558199</v>
      </c>
      <c r="M2864">
        <v>13.495897695186899</v>
      </c>
      <c r="N2864">
        <v>13.6944525658584</v>
      </c>
      <c r="O2864">
        <v>13.0092896435096</v>
      </c>
      <c r="P2864">
        <v>-0.41067124012628198</v>
      </c>
      <c r="Q2864">
        <v>-1.7810634694141201</v>
      </c>
      <c r="R2864">
        <v>0.95972098916155502</v>
      </c>
      <c r="S2864">
        <v>14.2039770209289</v>
      </c>
      <c r="T2864">
        <v>-0.62985693501005802</v>
      </c>
      <c r="U2864">
        <v>-6.6774918549346998</v>
      </c>
      <c r="V2864">
        <v>0.53674821044548404</v>
      </c>
      <c r="W2864">
        <v>0.94544152383096502</v>
      </c>
      <c r="X2864">
        <v>0</v>
      </c>
      <c r="Y2864">
        <v>0</v>
      </c>
    </row>
    <row r="2865" spans="1:25" x14ac:dyDescent="0.2">
      <c r="A2865" t="s">
        <v>10638</v>
      </c>
      <c r="B2865" t="s">
        <v>10639</v>
      </c>
      <c r="C2865" t="s">
        <v>10640</v>
      </c>
      <c r="D2865" t="s">
        <v>10641</v>
      </c>
      <c r="E2865" t="s">
        <v>10639</v>
      </c>
      <c r="F2865" t="s">
        <v>28</v>
      </c>
      <c r="G2865" t="s">
        <v>10639</v>
      </c>
      <c r="H2865" t="str">
        <f>"math-33"</f>
        <v>math-33</v>
      </c>
      <c r="I2865" t="s">
        <v>10641</v>
      </c>
      <c r="J2865">
        <v>15.1093272264749</v>
      </c>
      <c r="K2865">
        <v>15.063056508224401</v>
      </c>
      <c r="L2865">
        <v>14.596321138378499</v>
      </c>
      <c r="M2865">
        <v>14.6445704440067</v>
      </c>
      <c r="N2865">
        <v>14.498192351786701</v>
      </c>
      <c r="O2865">
        <v>14.9206386527849</v>
      </c>
      <c r="P2865">
        <v>-0.23510114149982</v>
      </c>
      <c r="Q2865">
        <v>-0.67595945245728195</v>
      </c>
      <c r="R2865">
        <v>0.205757169457642</v>
      </c>
      <c r="S2865">
        <v>14.6915687485552</v>
      </c>
      <c r="T2865">
        <v>-1.1208518643025001</v>
      </c>
      <c r="U2865">
        <v>-6.2483144289976202</v>
      </c>
      <c r="V2865">
        <v>0.27716791041694899</v>
      </c>
      <c r="W2865">
        <v>0.856190392347986</v>
      </c>
      <c r="X2865">
        <v>0</v>
      </c>
      <c r="Y2865">
        <v>0</v>
      </c>
    </row>
    <row r="2866" spans="1:25" x14ac:dyDescent="0.2">
      <c r="A2866" t="s">
        <v>10642</v>
      </c>
      <c r="B2866" t="s">
        <v>10643</v>
      </c>
      <c r="C2866" t="s">
        <v>10644</v>
      </c>
      <c r="D2866" t="s">
        <v>10645</v>
      </c>
      <c r="E2866" t="s">
        <v>10643</v>
      </c>
      <c r="F2866" t="s">
        <v>28</v>
      </c>
      <c r="G2866" t="s">
        <v>10643</v>
      </c>
      <c r="H2866" t="str">
        <f>"hsr-9"</f>
        <v>hsr-9</v>
      </c>
      <c r="I2866" t="s">
        <v>10645</v>
      </c>
      <c r="J2866">
        <v>13.3718362349071</v>
      </c>
      <c r="K2866">
        <v>13.8494835916459</v>
      </c>
      <c r="L2866">
        <v>13.7391347687402</v>
      </c>
      <c r="M2866">
        <v>12.604776047019399</v>
      </c>
      <c r="N2866">
        <v>12.699416711738399</v>
      </c>
      <c r="O2866">
        <v>13.320755707069701</v>
      </c>
      <c r="P2866">
        <v>-0.77850204315525096</v>
      </c>
      <c r="Q2866">
        <v>-1.3350513798882999</v>
      </c>
      <c r="R2866">
        <v>-0.221952706422199</v>
      </c>
      <c r="S2866">
        <v>13.294197106990101</v>
      </c>
      <c r="T2866">
        <v>-2.95261009537171</v>
      </c>
      <c r="U2866">
        <v>-3.2070939157713698</v>
      </c>
      <c r="V2866">
        <v>8.9540863510371698E-3</v>
      </c>
      <c r="W2866">
        <v>0.16555110764584299</v>
      </c>
      <c r="X2866">
        <v>0</v>
      </c>
      <c r="Y2866">
        <v>0</v>
      </c>
    </row>
    <row r="2867" spans="1:25" x14ac:dyDescent="0.2">
      <c r="A2867" t="s">
        <v>10646</v>
      </c>
      <c r="B2867" t="s">
        <v>10647</v>
      </c>
      <c r="C2867" t="s">
        <v>10648</v>
      </c>
      <c r="D2867" t="s">
        <v>1027</v>
      </c>
      <c r="E2867" t="s">
        <v>10647</v>
      </c>
      <c r="F2867" t="s">
        <v>28</v>
      </c>
      <c r="G2867" t="s">
        <v>10647</v>
      </c>
      <c r="H2867" t="str">
        <f>"duo-1"</f>
        <v>duo-1</v>
      </c>
      <c r="I2867" t="s">
        <v>1027</v>
      </c>
      <c r="J2867" t="s">
        <v>29</v>
      </c>
      <c r="K2867" t="s">
        <v>29</v>
      </c>
      <c r="L2867" t="s">
        <v>29</v>
      </c>
      <c r="M2867" t="s">
        <v>29</v>
      </c>
      <c r="N2867" t="s">
        <v>29</v>
      </c>
      <c r="O2867" t="s">
        <v>29</v>
      </c>
      <c r="P2867" t="s">
        <v>29</v>
      </c>
      <c r="Q2867" t="s">
        <v>29</v>
      </c>
      <c r="R2867" t="s">
        <v>29</v>
      </c>
      <c r="S2867">
        <v>11.507491645429701</v>
      </c>
      <c r="T2867" t="s">
        <v>29</v>
      </c>
      <c r="U2867" t="s">
        <v>29</v>
      </c>
      <c r="V2867" t="s">
        <v>29</v>
      </c>
      <c r="W2867" t="s">
        <v>29</v>
      </c>
      <c r="X2867" t="s">
        <v>29</v>
      </c>
      <c r="Y2867" t="s">
        <v>29</v>
      </c>
    </row>
    <row r="2868" spans="1:25" x14ac:dyDescent="0.2">
      <c r="A2868" t="s">
        <v>10649</v>
      </c>
      <c r="B2868" t="s">
        <v>10650</v>
      </c>
      <c r="C2868" t="s">
        <v>10651</v>
      </c>
      <c r="D2868" t="s">
        <v>10652</v>
      </c>
      <c r="E2868" t="s">
        <v>10650</v>
      </c>
      <c r="F2868" t="s">
        <v>28</v>
      </c>
      <c r="G2868" t="s">
        <v>10650</v>
      </c>
      <c r="H2868" t="str">
        <f>"sma-9"</f>
        <v>sma-9</v>
      </c>
      <c r="I2868" t="s">
        <v>10652</v>
      </c>
      <c r="J2868">
        <v>12.095199061275601</v>
      </c>
      <c r="K2868">
        <v>12.5648913308162</v>
      </c>
      <c r="L2868">
        <v>12.424513072205499</v>
      </c>
      <c r="M2868">
        <v>11.427546826919899</v>
      </c>
      <c r="N2868">
        <v>12.263432197421301</v>
      </c>
      <c r="O2868">
        <v>12.1027920529647</v>
      </c>
      <c r="P2868">
        <v>-0.430277462330448</v>
      </c>
      <c r="Q2868">
        <v>-1.0182676029701301</v>
      </c>
      <c r="R2868">
        <v>0.157712678309233</v>
      </c>
      <c r="S2868">
        <v>12.3802831190057</v>
      </c>
      <c r="T2868">
        <v>-1.5521299689919601</v>
      </c>
      <c r="U2868">
        <v>-5.7035594676700603</v>
      </c>
      <c r="V2868">
        <v>0.140312574126325</v>
      </c>
      <c r="W2868">
        <v>0.72927033422971299</v>
      </c>
      <c r="X2868">
        <v>0</v>
      </c>
      <c r="Y2868">
        <v>0</v>
      </c>
    </row>
    <row r="2869" spans="1:25" x14ac:dyDescent="0.2">
      <c r="A2869" t="s">
        <v>10653</v>
      </c>
      <c r="B2869" t="s">
        <v>10654</v>
      </c>
      <c r="C2869" t="s">
        <v>10655</v>
      </c>
      <c r="D2869" t="s">
        <v>1027</v>
      </c>
      <c r="E2869" t="s">
        <v>10654</v>
      </c>
      <c r="F2869" t="s">
        <v>28</v>
      </c>
      <c r="G2869" t="s">
        <v>10654</v>
      </c>
      <c r="H2869" t="str">
        <f>"cyld-1"</f>
        <v>cyld-1</v>
      </c>
      <c r="I2869" t="s">
        <v>1027</v>
      </c>
      <c r="J2869">
        <v>11.902721820097501</v>
      </c>
      <c r="K2869">
        <v>12.785417005085799</v>
      </c>
      <c r="L2869">
        <v>12.5148487844714</v>
      </c>
      <c r="M2869">
        <v>12.3539652655602</v>
      </c>
      <c r="N2869">
        <v>12.243796875635301</v>
      </c>
      <c r="O2869">
        <v>12.327180464161501</v>
      </c>
      <c r="P2869">
        <v>-9.2681668099249506E-2</v>
      </c>
      <c r="Q2869">
        <v>-0.55815993470424197</v>
      </c>
      <c r="R2869">
        <v>0.37279659850574298</v>
      </c>
      <c r="S2869">
        <v>12.694872544216601</v>
      </c>
      <c r="T2869">
        <v>-0.422322250327684</v>
      </c>
      <c r="U2869">
        <v>-6.78920608457436</v>
      </c>
      <c r="V2869">
        <v>0.67844704090952102</v>
      </c>
      <c r="W2869">
        <v>0.98642420921484297</v>
      </c>
      <c r="X2869">
        <v>0</v>
      </c>
      <c r="Y2869">
        <v>0</v>
      </c>
    </row>
    <row r="2870" spans="1:25" x14ac:dyDescent="0.2">
      <c r="A2870" t="s">
        <v>10656</v>
      </c>
      <c r="B2870" t="s">
        <v>10657</v>
      </c>
      <c r="C2870" t="s">
        <v>10658</v>
      </c>
      <c r="D2870" t="s">
        <v>10659</v>
      </c>
      <c r="E2870" t="s">
        <v>10657</v>
      </c>
      <c r="F2870" t="s">
        <v>28</v>
      </c>
      <c r="G2870" t="s">
        <v>10657</v>
      </c>
      <c r="H2870" t="str">
        <f>"cbp-3"</f>
        <v>cbp-3</v>
      </c>
      <c r="I2870" t="s">
        <v>10659</v>
      </c>
      <c r="J2870" t="s">
        <v>29</v>
      </c>
      <c r="K2870" t="s">
        <v>29</v>
      </c>
      <c r="L2870" t="s">
        <v>29</v>
      </c>
      <c r="M2870" t="s">
        <v>29</v>
      </c>
      <c r="N2870" t="s">
        <v>29</v>
      </c>
      <c r="O2870" t="s">
        <v>29</v>
      </c>
      <c r="P2870" t="s">
        <v>29</v>
      </c>
      <c r="Q2870" t="s">
        <v>29</v>
      </c>
      <c r="R2870" t="s">
        <v>29</v>
      </c>
      <c r="S2870">
        <v>13.600043749210201</v>
      </c>
      <c r="T2870" t="s">
        <v>29</v>
      </c>
      <c r="U2870" t="s">
        <v>29</v>
      </c>
      <c r="V2870" t="s">
        <v>29</v>
      </c>
      <c r="W2870" t="s">
        <v>29</v>
      </c>
      <c r="X2870" t="s">
        <v>29</v>
      </c>
      <c r="Y2870" t="s">
        <v>29</v>
      </c>
    </row>
    <row r="2871" spans="1:25" x14ac:dyDescent="0.2">
      <c r="A2871" t="s">
        <v>10660</v>
      </c>
      <c r="B2871" t="s">
        <v>10661</v>
      </c>
      <c r="C2871" t="s">
        <v>10662</v>
      </c>
      <c r="D2871" t="s">
        <v>10663</v>
      </c>
      <c r="E2871" t="s">
        <v>10661</v>
      </c>
      <c r="F2871" t="s">
        <v>28</v>
      </c>
      <c r="G2871" t="s">
        <v>10661</v>
      </c>
      <c r="H2871" t="str">
        <f>"atp-3"</f>
        <v>atp-3</v>
      </c>
      <c r="I2871" t="s">
        <v>10663</v>
      </c>
      <c r="J2871">
        <v>14.2804894675829</v>
      </c>
      <c r="K2871">
        <v>14.5046574845923</v>
      </c>
      <c r="L2871">
        <v>14.558315188603901</v>
      </c>
      <c r="M2871">
        <v>14.8161859440365</v>
      </c>
      <c r="N2871">
        <v>14.000985662371001</v>
      </c>
      <c r="O2871">
        <v>13.334665896349</v>
      </c>
      <c r="P2871">
        <v>-0.39720821267418699</v>
      </c>
      <c r="Q2871">
        <v>-1.30423043330793</v>
      </c>
      <c r="R2871">
        <v>0.509814007959561</v>
      </c>
      <c r="S2871">
        <v>14.050853066475501</v>
      </c>
      <c r="T2871">
        <v>-0.920434324408962</v>
      </c>
      <c r="U2871">
        <v>-6.4500931388473202</v>
      </c>
      <c r="V2871">
        <v>0.369588061541199</v>
      </c>
      <c r="W2871">
        <v>0.89092663541315897</v>
      </c>
      <c r="X2871">
        <v>0</v>
      </c>
      <c r="Y2871">
        <v>0</v>
      </c>
    </row>
    <row r="2872" spans="1:25" x14ac:dyDescent="0.2">
      <c r="A2872" t="s">
        <v>10664</v>
      </c>
      <c r="B2872" t="s">
        <v>10665</v>
      </c>
      <c r="C2872" t="s">
        <v>10666</v>
      </c>
      <c r="D2872" t="s">
        <v>10667</v>
      </c>
      <c r="E2872" t="s">
        <v>10665</v>
      </c>
      <c r="F2872" t="s">
        <v>28</v>
      </c>
      <c r="G2872" t="s">
        <v>10665</v>
      </c>
      <c r="H2872" t="str">
        <f>"cyk-1"</f>
        <v>cyk-1</v>
      </c>
      <c r="I2872" t="s">
        <v>10667</v>
      </c>
      <c r="J2872">
        <v>9.8755064669620705</v>
      </c>
      <c r="K2872">
        <v>10.0731279277274</v>
      </c>
      <c r="L2872">
        <v>10.8611807514911</v>
      </c>
      <c r="M2872">
        <v>10.2953926025251</v>
      </c>
      <c r="N2872">
        <v>10.0568365141137</v>
      </c>
      <c r="O2872" t="s">
        <v>29</v>
      </c>
      <c r="P2872">
        <v>-9.38238237407827E-2</v>
      </c>
      <c r="Q2872">
        <v>-0.93297178983075502</v>
      </c>
      <c r="R2872">
        <v>0.74532414234918898</v>
      </c>
      <c r="S2872">
        <v>10.510783397195</v>
      </c>
      <c r="T2872">
        <v>-0.23846035599915799</v>
      </c>
      <c r="U2872">
        <v>-6.7423120220537101</v>
      </c>
      <c r="V2872">
        <v>0.81477358265850297</v>
      </c>
      <c r="W2872">
        <v>0.99278624068726296</v>
      </c>
      <c r="X2872">
        <v>0</v>
      </c>
      <c r="Y2872">
        <v>0</v>
      </c>
    </row>
    <row r="2873" spans="1:25" x14ac:dyDescent="0.2">
      <c r="A2873" t="s">
        <v>10668</v>
      </c>
      <c r="B2873" t="s">
        <v>10669</v>
      </c>
      <c r="C2873" t="s">
        <v>10670</v>
      </c>
      <c r="D2873" t="s">
        <v>3728</v>
      </c>
      <c r="E2873" t="s">
        <v>10669</v>
      </c>
      <c r="F2873" t="s">
        <v>28</v>
      </c>
      <c r="G2873" t="s">
        <v>10669</v>
      </c>
      <c r="H2873" t="str">
        <f>"gldi-2"</f>
        <v>gldi-2</v>
      </c>
      <c r="I2873" t="s">
        <v>3728</v>
      </c>
      <c r="J2873">
        <v>12.895489220332101</v>
      </c>
      <c r="K2873">
        <v>13.079814766019901</v>
      </c>
      <c r="L2873">
        <v>12.7381217670351</v>
      </c>
      <c r="M2873">
        <v>12.128630049810599</v>
      </c>
      <c r="N2873">
        <v>12.8545840624716</v>
      </c>
      <c r="O2873">
        <v>12.828658083750399</v>
      </c>
      <c r="P2873">
        <v>-0.30051785245152002</v>
      </c>
      <c r="Q2873">
        <v>-0.87841040130926296</v>
      </c>
      <c r="R2873">
        <v>0.27737469640622198</v>
      </c>
      <c r="S2873">
        <v>12.7410303254299</v>
      </c>
      <c r="T2873">
        <v>-1.0929887577923301</v>
      </c>
      <c r="U2873">
        <v>-6.2784575236413298</v>
      </c>
      <c r="V2873">
        <v>0.28889466075585002</v>
      </c>
      <c r="W2873">
        <v>0.856190392347986</v>
      </c>
      <c r="X2873">
        <v>0</v>
      </c>
      <c r="Y2873">
        <v>0</v>
      </c>
    </row>
    <row r="2874" spans="1:25" x14ac:dyDescent="0.2">
      <c r="A2874" t="s">
        <v>10671</v>
      </c>
      <c r="B2874" t="s">
        <v>10672</v>
      </c>
      <c r="C2874" t="s">
        <v>14577</v>
      </c>
      <c r="D2874" t="s">
        <v>10673</v>
      </c>
      <c r="E2874" t="s">
        <v>10672</v>
      </c>
      <c r="F2874" t="s">
        <v>28</v>
      </c>
      <c r="G2874" t="s">
        <v>10672</v>
      </c>
      <c r="H2874" t="str">
        <f>"T24H7.9"</f>
        <v>T24H7.9</v>
      </c>
      <c r="I2874" t="s">
        <v>10673</v>
      </c>
      <c r="J2874">
        <v>12.899561526782801</v>
      </c>
      <c r="K2874">
        <v>12.9273025717512</v>
      </c>
      <c r="L2874">
        <v>12.7008379792019</v>
      </c>
      <c r="M2874">
        <v>12.645963026734901</v>
      </c>
      <c r="N2874">
        <v>12.690578541433499</v>
      </c>
      <c r="O2874">
        <v>13.022522161218401</v>
      </c>
      <c r="P2874">
        <v>-5.62127827830139E-2</v>
      </c>
      <c r="Q2874">
        <v>-0.55434026546804804</v>
      </c>
      <c r="R2874">
        <v>0.44191469990201998</v>
      </c>
      <c r="S2874">
        <v>12.598152127652799</v>
      </c>
      <c r="T2874">
        <v>-0.23935588609900099</v>
      </c>
      <c r="U2874">
        <v>-6.85241040430396</v>
      </c>
      <c r="V2874">
        <v>0.81388867451063795</v>
      </c>
      <c r="W2874">
        <v>0.99278624068726296</v>
      </c>
      <c r="X2874">
        <v>0</v>
      </c>
      <c r="Y2874">
        <v>0</v>
      </c>
    </row>
    <row r="2875" spans="1:25" x14ac:dyDescent="0.2">
      <c r="A2875" t="s">
        <v>10674</v>
      </c>
      <c r="B2875" t="s">
        <v>10675</v>
      </c>
      <c r="C2875" t="s">
        <v>10676</v>
      </c>
      <c r="D2875" t="s">
        <v>10677</v>
      </c>
      <c r="E2875" t="s">
        <v>10675</v>
      </c>
      <c r="F2875" t="s">
        <v>28</v>
      </c>
      <c r="G2875" t="s">
        <v>10675</v>
      </c>
      <c r="H2875" t="str">
        <f>"C35B8.3"</f>
        <v>C35B8.3</v>
      </c>
      <c r="I2875" t="s">
        <v>10677</v>
      </c>
      <c r="J2875" t="s">
        <v>29</v>
      </c>
      <c r="K2875" t="s">
        <v>29</v>
      </c>
      <c r="L2875">
        <v>11.5398460628123</v>
      </c>
      <c r="M2875" t="s">
        <v>29</v>
      </c>
      <c r="N2875">
        <v>11.146753391586101</v>
      </c>
      <c r="O2875" t="s">
        <v>29</v>
      </c>
      <c r="P2875">
        <v>-0.39309267122615299</v>
      </c>
      <c r="Q2875">
        <v>-1.73939421136279</v>
      </c>
      <c r="R2875">
        <v>0.95320886891047896</v>
      </c>
      <c r="S2875">
        <v>11.6670703367757</v>
      </c>
      <c r="T2875">
        <v>-0.67486719212402202</v>
      </c>
      <c r="U2875">
        <v>-6.1017162551533302</v>
      </c>
      <c r="V2875">
        <v>0.51903043216329703</v>
      </c>
      <c r="W2875">
        <v>0.94227592550871997</v>
      </c>
      <c r="X2875">
        <v>0</v>
      </c>
      <c r="Y2875">
        <v>0</v>
      </c>
    </row>
    <row r="2876" spans="1:25" x14ac:dyDescent="0.2">
      <c r="A2876" t="s">
        <v>10678</v>
      </c>
      <c r="B2876" t="s">
        <v>10679</v>
      </c>
      <c r="C2876" t="s">
        <v>10680</v>
      </c>
      <c r="D2876" t="s">
        <v>10681</v>
      </c>
      <c r="E2876" t="s">
        <v>10679</v>
      </c>
      <c r="F2876" t="s">
        <v>28</v>
      </c>
      <c r="G2876" t="s">
        <v>10679</v>
      </c>
      <c r="H2876" t="str">
        <f>"npp-16"</f>
        <v>npp-16</v>
      </c>
      <c r="I2876" t="s">
        <v>10681</v>
      </c>
      <c r="J2876">
        <v>12.7433499743667</v>
      </c>
      <c r="K2876">
        <v>12.8567813445945</v>
      </c>
      <c r="L2876">
        <v>12.5196204677237</v>
      </c>
      <c r="M2876">
        <v>13.1976481172116</v>
      </c>
      <c r="N2876">
        <v>13.0942947056663</v>
      </c>
      <c r="O2876">
        <v>12.9226262070058</v>
      </c>
      <c r="P2876">
        <v>0.364939081066328</v>
      </c>
      <c r="Q2876">
        <v>-0.12496922738307201</v>
      </c>
      <c r="R2876">
        <v>0.85484738951572903</v>
      </c>
      <c r="S2876">
        <v>12.4973054016031</v>
      </c>
      <c r="T2876">
        <v>1.5799927682232699</v>
      </c>
      <c r="U2876">
        <v>-5.6638568295056304</v>
      </c>
      <c r="V2876">
        <v>0.13380032160820299</v>
      </c>
      <c r="W2876">
        <v>0.72544466191224499</v>
      </c>
      <c r="X2876">
        <v>0</v>
      </c>
      <c r="Y2876">
        <v>0</v>
      </c>
    </row>
    <row r="2877" spans="1:25" x14ac:dyDescent="0.2">
      <c r="A2877" t="s">
        <v>10682</v>
      </c>
      <c r="B2877" t="s">
        <v>10683</v>
      </c>
      <c r="C2877" t="s">
        <v>10684</v>
      </c>
      <c r="D2877" t="s">
        <v>10685</v>
      </c>
      <c r="E2877" t="s">
        <v>10683</v>
      </c>
      <c r="F2877" t="s">
        <v>28</v>
      </c>
      <c r="G2877" t="s">
        <v>10683</v>
      </c>
      <c r="H2877" t="str">
        <f>"ceh-100"</f>
        <v>ceh-100</v>
      </c>
      <c r="I2877" t="s">
        <v>10685</v>
      </c>
      <c r="J2877">
        <v>11.8192534477805</v>
      </c>
      <c r="K2877" t="s">
        <v>29</v>
      </c>
      <c r="L2877">
        <v>11.6304173279728</v>
      </c>
      <c r="M2877">
        <v>12.280845686992301</v>
      </c>
      <c r="N2877">
        <v>11.3151922158125</v>
      </c>
      <c r="O2877">
        <v>12.342234773258999</v>
      </c>
      <c r="P2877">
        <v>0.25458883747796102</v>
      </c>
      <c r="Q2877">
        <v>-0.43116707709530899</v>
      </c>
      <c r="R2877">
        <v>0.94034475205123103</v>
      </c>
      <c r="S2877">
        <v>12.2930559891409</v>
      </c>
      <c r="T2877">
        <v>0.80270698171709098</v>
      </c>
      <c r="U2877">
        <v>-6.4379068976889497</v>
      </c>
      <c r="V2877">
        <v>0.43668941664979299</v>
      </c>
      <c r="W2877">
        <v>0.91691001805079497</v>
      </c>
      <c r="X2877">
        <v>0</v>
      </c>
      <c r="Y2877">
        <v>0</v>
      </c>
    </row>
    <row r="2878" spans="1:25" x14ac:dyDescent="0.2">
      <c r="A2878" t="s">
        <v>10686</v>
      </c>
      <c r="B2878" t="s">
        <v>10687</v>
      </c>
      <c r="C2878" t="s">
        <v>10688</v>
      </c>
      <c r="D2878" t="s">
        <v>10689</v>
      </c>
      <c r="E2878" t="s">
        <v>10687</v>
      </c>
      <c r="F2878" t="s">
        <v>28</v>
      </c>
      <c r="G2878" t="s">
        <v>10687</v>
      </c>
      <c r="H2878" t="str">
        <f>"gsa-1"</f>
        <v>gsa-1</v>
      </c>
      <c r="I2878" t="s">
        <v>10689</v>
      </c>
      <c r="J2878">
        <v>14.4057795664931</v>
      </c>
      <c r="K2878">
        <v>14.295885361750299</v>
      </c>
      <c r="L2878">
        <v>13.7542956043409</v>
      </c>
      <c r="M2878">
        <v>14.2030238196703</v>
      </c>
      <c r="N2878">
        <v>13.7614761117022</v>
      </c>
      <c r="O2878">
        <v>14.086336787114799</v>
      </c>
      <c r="P2878">
        <v>-0.135041271365612</v>
      </c>
      <c r="Q2878">
        <v>-0.58163287844224798</v>
      </c>
      <c r="R2878">
        <v>0.31155033571102397</v>
      </c>
      <c r="S2878">
        <v>13.6703594014499</v>
      </c>
      <c r="T2878">
        <v>-0.63554817239759098</v>
      </c>
      <c r="U2878">
        <v>-6.6738121533522197</v>
      </c>
      <c r="V2878">
        <v>0.53311484108511198</v>
      </c>
      <c r="W2878">
        <v>0.94473173116680098</v>
      </c>
      <c r="X2878">
        <v>0</v>
      </c>
      <c r="Y2878">
        <v>0</v>
      </c>
    </row>
    <row r="2879" spans="1:25" x14ac:dyDescent="0.2">
      <c r="A2879" t="s">
        <v>10690</v>
      </c>
      <c r="B2879" t="s">
        <v>10691</v>
      </c>
      <c r="C2879" t="s">
        <v>10692</v>
      </c>
      <c r="D2879" t="s">
        <v>10693</v>
      </c>
      <c r="E2879" t="s">
        <v>10691</v>
      </c>
      <c r="F2879" t="s">
        <v>28</v>
      </c>
      <c r="G2879" t="s">
        <v>10691</v>
      </c>
      <c r="H2879" t="str">
        <f>"emc-6"</f>
        <v>emc-6</v>
      </c>
      <c r="I2879" t="s">
        <v>10693</v>
      </c>
      <c r="J2879">
        <v>14.6627752532803</v>
      </c>
      <c r="K2879">
        <v>14.9921209770869</v>
      </c>
      <c r="L2879">
        <v>15.213606816497499</v>
      </c>
      <c r="M2879">
        <v>14.873650050014801</v>
      </c>
      <c r="N2879">
        <v>14.6374793985553</v>
      </c>
      <c r="O2879">
        <v>14.8623631471884</v>
      </c>
      <c r="P2879">
        <v>-0.16500348370207399</v>
      </c>
      <c r="Q2879">
        <v>-0.57818543211713702</v>
      </c>
      <c r="R2879">
        <v>0.24817846471298799</v>
      </c>
      <c r="S2879">
        <v>14.9384188305118</v>
      </c>
      <c r="T2879">
        <v>-0.84294994641955201</v>
      </c>
      <c r="U2879">
        <v>-6.5177553006173499</v>
      </c>
      <c r="V2879">
        <v>0.41103191189732002</v>
      </c>
      <c r="W2879">
        <v>0.91512503332874395</v>
      </c>
      <c r="X2879">
        <v>0</v>
      </c>
      <c r="Y2879">
        <v>0</v>
      </c>
    </row>
    <row r="2880" spans="1:25" x14ac:dyDescent="0.2">
      <c r="A2880" t="s">
        <v>10694</v>
      </c>
      <c r="B2880" t="s">
        <v>10695</v>
      </c>
      <c r="C2880" t="s">
        <v>10696</v>
      </c>
      <c r="D2880" t="s">
        <v>10697</v>
      </c>
      <c r="E2880" t="s">
        <v>10695</v>
      </c>
      <c r="F2880" t="s">
        <v>28</v>
      </c>
      <c r="G2880" t="s">
        <v>10695</v>
      </c>
      <c r="H2880" t="str">
        <f>"mrpl-1"</f>
        <v>mrpl-1</v>
      </c>
      <c r="I2880" t="s">
        <v>10697</v>
      </c>
      <c r="J2880">
        <v>15.419890655998399</v>
      </c>
      <c r="K2880">
        <v>15.237676559435799</v>
      </c>
      <c r="L2880">
        <v>15.4296416843444</v>
      </c>
      <c r="M2880">
        <v>15.412169875250299</v>
      </c>
      <c r="N2880">
        <v>15.1497801033334</v>
      </c>
      <c r="O2880">
        <v>15.1352505917441</v>
      </c>
      <c r="P2880">
        <v>-0.130002776483604</v>
      </c>
      <c r="Q2880">
        <v>-0.69098431862667098</v>
      </c>
      <c r="R2880">
        <v>0.43097876565946303</v>
      </c>
      <c r="S2880">
        <v>15.1487384796757</v>
      </c>
      <c r="T2880">
        <v>-0.48707581831595298</v>
      </c>
      <c r="U2880">
        <v>-6.7593535217709704</v>
      </c>
      <c r="V2880">
        <v>0.63211726969040605</v>
      </c>
      <c r="W2880">
        <v>0.97279262440453396</v>
      </c>
      <c r="X2880">
        <v>0</v>
      </c>
      <c r="Y2880">
        <v>0</v>
      </c>
    </row>
    <row r="2881" spans="1:25" x14ac:dyDescent="0.2">
      <c r="A2881" t="s">
        <v>10698</v>
      </c>
      <c r="B2881" t="s">
        <v>10699</v>
      </c>
      <c r="C2881" t="s">
        <v>14578</v>
      </c>
      <c r="D2881" t="s">
        <v>10700</v>
      </c>
      <c r="E2881" t="s">
        <v>10699</v>
      </c>
      <c r="F2881" t="s">
        <v>28</v>
      </c>
      <c r="G2881" t="s">
        <v>10699</v>
      </c>
      <c r="H2881" t="str">
        <f>"T09F3.5"</f>
        <v>T09F3.5</v>
      </c>
      <c r="I2881" t="s">
        <v>10700</v>
      </c>
      <c r="J2881">
        <v>12.0441758516071</v>
      </c>
      <c r="K2881">
        <v>10.951040888551301</v>
      </c>
      <c r="L2881">
        <v>11.1291937413465</v>
      </c>
      <c r="M2881">
        <v>11.273450542944801</v>
      </c>
      <c r="N2881">
        <v>11.548117746211799</v>
      </c>
      <c r="O2881" t="s">
        <v>29</v>
      </c>
      <c r="P2881">
        <v>3.5980650743351099E-2</v>
      </c>
      <c r="Q2881">
        <v>-0.61629001987355803</v>
      </c>
      <c r="R2881">
        <v>0.68825132136026101</v>
      </c>
      <c r="S2881">
        <v>11.6317023828309</v>
      </c>
      <c r="T2881">
        <v>0.118394916511092</v>
      </c>
      <c r="U2881">
        <v>-6.7647920383536801</v>
      </c>
      <c r="V2881">
        <v>0.90744928402477099</v>
      </c>
      <c r="W2881">
        <v>0.99833354317360001</v>
      </c>
      <c r="X2881">
        <v>0</v>
      </c>
      <c r="Y2881">
        <v>0</v>
      </c>
    </row>
    <row r="2882" spans="1:25" x14ac:dyDescent="0.2">
      <c r="A2882" t="s">
        <v>10701</v>
      </c>
      <c r="B2882" t="s">
        <v>10702</v>
      </c>
      <c r="C2882" t="s">
        <v>10703</v>
      </c>
      <c r="D2882" t="s">
        <v>10704</v>
      </c>
      <c r="E2882" t="s">
        <v>10702</v>
      </c>
      <c r="F2882" t="s">
        <v>28</v>
      </c>
      <c r="G2882" t="s">
        <v>10702</v>
      </c>
      <c r="H2882" t="str">
        <f>"mter-4"</f>
        <v>mter-4</v>
      </c>
      <c r="I2882" t="s">
        <v>10704</v>
      </c>
      <c r="J2882">
        <v>13.422918193083699</v>
      </c>
      <c r="K2882">
        <v>13.2933358466335</v>
      </c>
      <c r="L2882">
        <v>12.67006436494</v>
      </c>
      <c r="M2882">
        <v>13.649575758637701</v>
      </c>
      <c r="N2882">
        <v>13.894213514616601</v>
      </c>
      <c r="O2882">
        <v>13.205849601217199</v>
      </c>
      <c r="P2882">
        <v>0.45444015660474502</v>
      </c>
      <c r="Q2882">
        <v>-0.212448799034026</v>
      </c>
      <c r="R2882">
        <v>1.1213291122435201</v>
      </c>
      <c r="S2882">
        <v>13.7185174249865</v>
      </c>
      <c r="T2882">
        <v>1.4383785198477099</v>
      </c>
      <c r="U2882">
        <v>-5.8601522039618299</v>
      </c>
      <c r="V2882">
        <v>0.168593643052668</v>
      </c>
      <c r="W2882">
        <v>0.76875593074037796</v>
      </c>
      <c r="X2882">
        <v>0</v>
      </c>
      <c r="Y2882">
        <v>0</v>
      </c>
    </row>
    <row r="2883" spans="1:25" x14ac:dyDescent="0.2">
      <c r="A2883" t="s">
        <v>10705</v>
      </c>
      <c r="B2883" t="s">
        <v>10706</v>
      </c>
      <c r="C2883" t="s">
        <v>14579</v>
      </c>
      <c r="D2883" t="s">
        <v>10707</v>
      </c>
      <c r="E2883" t="s">
        <v>10706</v>
      </c>
      <c r="F2883" t="s">
        <v>28</v>
      </c>
      <c r="G2883" t="s">
        <v>10706</v>
      </c>
      <c r="H2883" t="str">
        <f>"Y26E6A.3"</f>
        <v>Y26E6A.3</v>
      </c>
      <c r="I2883" t="s">
        <v>10707</v>
      </c>
      <c r="J2883" t="s">
        <v>29</v>
      </c>
      <c r="K2883" t="s">
        <v>29</v>
      </c>
      <c r="L2883" t="s">
        <v>29</v>
      </c>
      <c r="M2883" t="s">
        <v>29</v>
      </c>
      <c r="N2883" t="s">
        <v>29</v>
      </c>
      <c r="O2883" t="s">
        <v>29</v>
      </c>
      <c r="P2883" t="s">
        <v>29</v>
      </c>
      <c r="Q2883" t="s">
        <v>29</v>
      </c>
      <c r="R2883" t="s">
        <v>29</v>
      </c>
      <c r="S2883">
        <v>11.528036521529</v>
      </c>
      <c r="T2883" t="s">
        <v>29</v>
      </c>
      <c r="U2883" t="s">
        <v>29</v>
      </c>
      <c r="V2883" t="s">
        <v>29</v>
      </c>
      <c r="W2883" t="s">
        <v>29</v>
      </c>
      <c r="X2883" t="s">
        <v>29</v>
      </c>
      <c r="Y2883" t="s">
        <v>29</v>
      </c>
    </row>
    <row r="2884" spans="1:25" x14ac:dyDescent="0.2">
      <c r="A2884" t="s">
        <v>10708</v>
      </c>
      <c r="B2884" t="s">
        <v>10709</v>
      </c>
      <c r="C2884" t="s">
        <v>10710</v>
      </c>
      <c r="D2884" t="s">
        <v>10711</v>
      </c>
      <c r="E2884" t="s">
        <v>10709</v>
      </c>
      <c r="F2884" t="s">
        <v>28</v>
      </c>
      <c r="G2884" t="s">
        <v>10709</v>
      </c>
      <c r="H2884" t="str">
        <f>"mig-14"</f>
        <v>mig-14</v>
      </c>
      <c r="I2884" t="s">
        <v>10711</v>
      </c>
      <c r="J2884">
        <v>12.917180349962599</v>
      </c>
      <c r="K2884">
        <v>12.5055002542337</v>
      </c>
      <c r="L2884">
        <v>12.452183115704401</v>
      </c>
      <c r="M2884">
        <v>12.368957974918001</v>
      </c>
      <c r="N2884">
        <v>12.277729565853299</v>
      </c>
      <c r="O2884">
        <v>13.1847010013829</v>
      </c>
      <c r="P2884">
        <v>-1.44917259154891E-2</v>
      </c>
      <c r="Q2884">
        <v>-0.603119730525144</v>
      </c>
      <c r="R2884">
        <v>0.57413627869416595</v>
      </c>
      <c r="S2884">
        <v>12.874902845293001</v>
      </c>
      <c r="T2884">
        <v>-5.1967186456628199E-2</v>
      </c>
      <c r="U2884">
        <v>-6.8810742161476899</v>
      </c>
      <c r="V2884">
        <v>0.95916433278053204</v>
      </c>
      <c r="W2884">
        <v>0.99968702248720698</v>
      </c>
      <c r="X2884">
        <v>0</v>
      </c>
      <c r="Y2884">
        <v>0</v>
      </c>
    </row>
    <row r="2885" spans="1:25" x14ac:dyDescent="0.2">
      <c r="A2885" t="s">
        <v>10712</v>
      </c>
      <c r="B2885" t="s">
        <v>10713</v>
      </c>
      <c r="C2885" t="s">
        <v>10714</v>
      </c>
      <c r="D2885" t="s">
        <v>10715</v>
      </c>
      <c r="E2885" t="s">
        <v>10713</v>
      </c>
      <c r="F2885" t="s">
        <v>28</v>
      </c>
      <c r="G2885" t="s">
        <v>10713</v>
      </c>
      <c r="H2885" t="str">
        <f>"C26C6.9"</f>
        <v>C26C6.9</v>
      </c>
      <c r="I2885" t="s">
        <v>10715</v>
      </c>
      <c r="J2885">
        <v>14.785211818146401</v>
      </c>
      <c r="K2885">
        <v>14.168895674886601</v>
      </c>
      <c r="L2885">
        <v>14.3206846894851</v>
      </c>
      <c r="M2885">
        <v>13.9834889237837</v>
      </c>
      <c r="N2885">
        <v>14.444883160579</v>
      </c>
      <c r="O2885">
        <v>14.5849724883556</v>
      </c>
      <c r="P2885">
        <v>-8.7149203266621497E-2</v>
      </c>
      <c r="Q2885">
        <v>-0.67157255374628499</v>
      </c>
      <c r="R2885">
        <v>0.49727414721304197</v>
      </c>
      <c r="S2885">
        <v>13.791009657701901</v>
      </c>
      <c r="T2885">
        <v>-0.31628994895663198</v>
      </c>
      <c r="U2885">
        <v>-6.8300377255309703</v>
      </c>
      <c r="V2885">
        <v>0.75589806765513401</v>
      </c>
      <c r="W2885">
        <v>0.99278624068726296</v>
      </c>
      <c r="X2885">
        <v>0</v>
      </c>
      <c r="Y2885">
        <v>0</v>
      </c>
    </row>
    <row r="2886" spans="1:25" x14ac:dyDescent="0.2">
      <c r="A2886" t="s">
        <v>10716</v>
      </c>
      <c r="B2886" t="s">
        <v>10717</v>
      </c>
      <c r="C2886" t="s">
        <v>14580</v>
      </c>
      <c r="D2886" t="s">
        <v>3770</v>
      </c>
      <c r="E2886" t="s">
        <v>10717</v>
      </c>
      <c r="F2886" t="s">
        <v>28</v>
      </c>
      <c r="G2886" t="s">
        <v>10717</v>
      </c>
      <c r="H2886" t="str">
        <f>"Y48G9A.9"</f>
        <v>Y48G9A.9</v>
      </c>
      <c r="I2886" t="s">
        <v>3770</v>
      </c>
      <c r="J2886">
        <v>13.417924431628499</v>
      </c>
      <c r="K2886">
        <v>13.533908497716499</v>
      </c>
      <c r="L2886">
        <v>13.0248398642604</v>
      </c>
      <c r="M2886">
        <v>12.538551344227301</v>
      </c>
      <c r="N2886">
        <v>13.244826949869401</v>
      </c>
      <c r="O2886">
        <v>13.329779133615</v>
      </c>
      <c r="P2886">
        <v>-0.28783845529788199</v>
      </c>
      <c r="Q2886">
        <v>-0.86873121289062405</v>
      </c>
      <c r="R2886">
        <v>0.29305430229486001</v>
      </c>
      <c r="S2886">
        <v>12.8001310053433</v>
      </c>
      <c r="T2886">
        <v>-1.04146664803008</v>
      </c>
      <c r="U2886">
        <v>-6.3324419907400804</v>
      </c>
      <c r="V2886">
        <v>0.31152595696055302</v>
      </c>
      <c r="W2886">
        <v>0.86252777434668904</v>
      </c>
      <c r="X2886">
        <v>0</v>
      </c>
      <c r="Y2886">
        <v>0</v>
      </c>
    </row>
    <row r="2887" spans="1:25" x14ac:dyDescent="0.2">
      <c r="A2887" t="s">
        <v>10718</v>
      </c>
      <c r="B2887" t="s">
        <v>10719</v>
      </c>
      <c r="C2887" t="s">
        <v>10720</v>
      </c>
      <c r="D2887" t="s">
        <v>10721</v>
      </c>
      <c r="E2887" t="s">
        <v>10719</v>
      </c>
      <c r="F2887" t="s">
        <v>28</v>
      </c>
      <c r="G2887" t="s">
        <v>10719</v>
      </c>
      <c r="H2887" t="str">
        <f>"tps-1"</f>
        <v>tps-1</v>
      </c>
      <c r="I2887" t="s">
        <v>10721</v>
      </c>
      <c r="J2887">
        <v>11.7701819910127</v>
      </c>
      <c r="K2887">
        <v>11.207715835361199</v>
      </c>
      <c r="L2887">
        <v>11.3418234565208</v>
      </c>
      <c r="M2887">
        <v>12.441587108063199</v>
      </c>
      <c r="N2887">
        <v>12.7105463169526</v>
      </c>
      <c r="O2887">
        <v>12.5580588037738</v>
      </c>
      <c r="P2887">
        <v>1.13015698196492</v>
      </c>
      <c r="Q2887">
        <v>0.43214086220013098</v>
      </c>
      <c r="R2887">
        <v>1.82817310172972</v>
      </c>
      <c r="S2887">
        <v>12.340294943704199</v>
      </c>
      <c r="T2887">
        <v>3.40303043591795</v>
      </c>
      <c r="U2887">
        <v>-2.2306060267080201</v>
      </c>
      <c r="V2887">
        <v>3.1912853471301001E-3</v>
      </c>
      <c r="W2887">
        <v>7.6407177232006906E-2</v>
      </c>
      <c r="X2887">
        <v>1</v>
      </c>
      <c r="Y2887">
        <v>0</v>
      </c>
    </row>
    <row r="2888" spans="1:25" x14ac:dyDescent="0.2">
      <c r="A2888" t="s">
        <v>10722</v>
      </c>
      <c r="B2888" t="s">
        <v>10723</v>
      </c>
      <c r="C2888" t="s">
        <v>10724</v>
      </c>
      <c r="D2888" t="s">
        <v>10725</v>
      </c>
      <c r="E2888" t="s">
        <v>10723</v>
      </c>
      <c r="F2888" t="s">
        <v>28</v>
      </c>
      <c r="G2888" t="s">
        <v>10723</v>
      </c>
      <c r="H2888" t="str">
        <f>"tnt-2"</f>
        <v>tnt-2</v>
      </c>
      <c r="I2888" t="s">
        <v>10725</v>
      </c>
      <c r="J2888">
        <v>11.493148785921001</v>
      </c>
      <c r="K2888" t="s">
        <v>29</v>
      </c>
      <c r="L2888" t="s">
        <v>29</v>
      </c>
      <c r="M2888">
        <v>11.606021808188601</v>
      </c>
      <c r="N2888">
        <v>11.237486318082</v>
      </c>
      <c r="O2888" t="s">
        <v>29</v>
      </c>
      <c r="P2888">
        <v>-7.1394722785686995E-2</v>
      </c>
      <c r="Q2888">
        <v>-1.6012805561703101</v>
      </c>
      <c r="R2888">
        <v>1.45849111059894</v>
      </c>
      <c r="S2888">
        <v>10.736241098163701</v>
      </c>
      <c r="T2888">
        <v>-0.110690564609797</v>
      </c>
      <c r="U2888">
        <v>-6.4765785893577901</v>
      </c>
      <c r="V2888">
        <v>0.91501466448586499</v>
      </c>
      <c r="W2888">
        <v>0.99833354317360001</v>
      </c>
      <c r="X2888">
        <v>0</v>
      </c>
      <c r="Y2888">
        <v>0</v>
      </c>
    </row>
    <row r="2889" spans="1:25" x14ac:dyDescent="0.2">
      <c r="A2889" t="s">
        <v>10726</v>
      </c>
      <c r="B2889" t="s">
        <v>10727</v>
      </c>
      <c r="C2889" t="s">
        <v>10728</v>
      </c>
      <c r="D2889" t="s">
        <v>379</v>
      </c>
      <c r="E2889" t="s">
        <v>10727</v>
      </c>
      <c r="F2889" t="s">
        <v>28</v>
      </c>
      <c r="G2889" t="s">
        <v>10727</v>
      </c>
      <c r="H2889" t="str">
        <f>"aqp-8"</f>
        <v>aqp-8</v>
      </c>
      <c r="I2889" t="s">
        <v>379</v>
      </c>
      <c r="J2889" t="s">
        <v>29</v>
      </c>
      <c r="K2889">
        <v>13.7318929669722</v>
      </c>
      <c r="L2889">
        <v>13.591242745554799</v>
      </c>
      <c r="M2889">
        <v>13.8335148448549</v>
      </c>
      <c r="N2889">
        <v>14.0519048023354</v>
      </c>
      <c r="O2889">
        <v>13.4976301831472</v>
      </c>
      <c r="P2889">
        <v>0.13278208718235601</v>
      </c>
      <c r="Q2889">
        <v>-1.0339734777637599</v>
      </c>
      <c r="R2889">
        <v>1.2995376521284701</v>
      </c>
      <c r="S2889">
        <v>13.3964127527936</v>
      </c>
      <c r="T2889">
        <v>0.24606330585193401</v>
      </c>
      <c r="U2889">
        <v>-6.7400791196190699</v>
      </c>
      <c r="V2889">
        <v>0.809506502223583</v>
      </c>
      <c r="W2889">
        <v>0.99278624068726296</v>
      </c>
      <c r="X2889">
        <v>0</v>
      </c>
      <c r="Y2889">
        <v>0</v>
      </c>
    </row>
    <row r="2890" spans="1:25" x14ac:dyDescent="0.2">
      <c r="A2890" t="s">
        <v>10729</v>
      </c>
      <c r="B2890" t="s">
        <v>10730</v>
      </c>
      <c r="C2890" t="s">
        <v>10731</v>
      </c>
      <c r="D2890" t="s">
        <v>10732</v>
      </c>
      <c r="E2890" t="s">
        <v>10730</v>
      </c>
      <c r="F2890" t="s">
        <v>28</v>
      </c>
      <c r="G2890" t="s">
        <v>10730</v>
      </c>
      <c r="H2890" t="str">
        <f>"hyl-2"</f>
        <v>hyl-2</v>
      </c>
      <c r="I2890" t="s">
        <v>10732</v>
      </c>
      <c r="J2890">
        <v>13.179164539536799</v>
      </c>
      <c r="K2890">
        <v>13.009656923324499</v>
      </c>
      <c r="L2890">
        <v>13.3024548977038</v>
      </c>
      <c r="M2890">
        <v>13.2499420933322</v>
      </c>
      <c r="N2890">
        <v>13.686186275231799</v>
      </c>
      <c r="O2890">
        <v>13.042969672848599</v>
      </c>
      <c r="P2890">
        <v>0.16260722694917901</v>
      </c>
      <c r="Q2890">
        <v>-0.54637784741126705</v>
      </c>
      <c r="R2890">
        <v>0.87159230130962495</v>
      </c>
      <c r="S2890">
        <v>13.4408638414343</v>
      </c>
      <c r="T2890">
        <v>0.48411970976486302</v>
      </c>
      <c r="U2890">
        <v>-6.7605000472861798</v>
      </c>
      <c r="V2890">
        <v>0.63451668675724504</v>
      </c>
      <c r="W2890">
        <v>0.97446771274947497</v>
      </c>
      <c r="X2890">
        <v>0</v>
      </c>
      <c r="Y2890">
        <v>0</v>
      </c>
    </row>
    <row r="2891" spans="1:25" x14ac:dyDescent="0.2">
      <c r="A2891" t="s">
        <v>10733</v>
      </c>
      <c r="B2891" t="s">
        <v>10734</v>
      </c>
      <c r="C2891" t="s">
        <v>10735</v>
      </c>
      <c r="D2891" t="s">
        <v>10736</v>
      </c>
      <c r="E2891" t="s">
        <v>10734</v>
      </c>
      <c r="F2891" t="s">
        <v>28</v>
      </c>
      <c r="G2891" t="s">
        <v>10734</v>
      </c>
      <c r="H2891" t="str">
        <f>"fnci-1"</f>
        <v>fnci-1</v>
      </c>
      <c r="I2891" t="s">
        <v>10736</v>
      </c>
      <c r="J2891" t="s">
        <v>29</v>
      </c>
      <c r="K2891">
        <v>9.9630887249943303</v>
      </c>
      <c r="L2891" t="s">
        <v>29</v>
      </c>
      <c r="M2891" t="s">
        <v>29</v>
      </c>
      <c r="N2891" t="s">
        <v>29</v>
      </c>
      <c r="O2891" t="s">
        <v>29</v>
      </c>
      <c r="P2891" t="s">
        <v>29</v>
      </c>
      <c r="Q2891" t="s">
        <v>29</v>
      </c>
      <c r="R2891" t="s">
        <v>29</v>
      </c>
      <c r="S2891">
        <v>11.143022861171699</v>
      </c>
      <c r="T2891" t="s">
        <v>29</v>
      </c>
      <c r="U2891" t="s">
        <v>29</v>
      </c>
      <c r="V2891" t="s">
        <v>29</v>
      </c>
      <c r="W2891" t="s">
        <v>29</v>
      </c>
      <c r="X2891" t="s">
        <v>29</v>
      </c>
      <c r="Y2891" t="s">
        <v>29</v>
      </c>
    </row>
    <row r="2892" spans="1:25" x14ac:dyDescent="0.2">
      <c r="A2892" t="s">
        <v>10737</v>
      </c>
      <c r="B2892" t="s">
        <v>10738</v>
      </c>
      <c r="C2892" t="s">
        <v>10739</v>
      </c>
      <c r="D2892" t="s">
        <v>8948</v>
      </c>
      <c r="E2892" t="s">
        <v>10738</v>
      </c>
      <c r="F2892" t="s">
        <v>28</v>
      </c>
      <c r="G2892" t="s">
        <v>10738</v>
      </c>
      <c r="H2892" t="str">
        <f>"alh-12"</f>
        <v>alh-12</v>
      </c>
      <c r="I2892" t="s">
        <v>8948</v>
      </c>
      <c r="J2892">
        <v>11.7876249816356</v>
      </c>
      <c r="K2892">
        <v>11.3766512364865</v>
      </c>
      <c r="L2892" t="s">
        <v>29</v>
      </c>
      <c r="M2892">
        <v>11.299604620315399</v>
      </c>
      <c r="N2892" t="s">
        <v>29</v>
      </c>
      <c r="O2892">
        <v>11.827258246734999</v>
      </c>
      <c r="P2892">
        <v>-1.8706675535860001E-2</v>
      </c>
      <c r="Q2892">
        <v>-0.97623038818379304</v>
      </c>
      <c r="R2892">
        <v>0.93881703711207298</v>
      </c>
      <c r="S2892">
        <v>11.5000607905606</v>
      </c>
      <c r="T2892">
        <v>-4.35927198095147E-2</v>
      </c>
      <c r="U2892">
        <v>-6.6812976557688897</v>
      </c>
      <c r="V2892">
        <v>0.96609618572260503</v>
      </c>
      <c r="W2892">
        <v>0.99968702248720698</v>
      </c>
      <c r="X2892">
        <v>0</v>
      </c>
      <c r="Y2892">
        <v>0</v>
      </c>
    </row>
    <row r="2893" spans="1:25" x14ac:dyDescent="0.2">
      <c r="A2893" t="s">
        <v>10740</v>
      </c>
      <c r="B2893" t="s">
        <v>10741</v>
      </c>
      <c r="C2893" t="s">
        <v>10742</v>
      </c>
      <c r="D2893" t="s">
        <v>10743</v>
      </c>
      <c r="E2893" t="s">
        <v>10741</v>
      </c>
      <c r="F2893" t="s">
        <v>28</v>
      </c>
      <c r="G2893" t="s">
        <v>10741</v>
      </c>
      <c r="H2893" t="str">
        <f>"parg-1"</f>
        <v>parg-1</v>
      </c>
      <c r="I2893" t="s">
        <v>10743</v>
      </c>
      <c r="J2893" t="s">
        <v>29</v>
      </c>
      <c r="K2893">
        <v>14.799715742580499</v>
      </c>
      <c r="L2893">
        <v>10.927189402182799</v>
      </c>
      <c r="M2893">
        <v>10.962050701272601</v>
      </c>
      <c r="N2893" t="s">
        <v>29</v>
      </c>
      <c r="O2893" t="s">
        <v>29</v>
      </c>
      <c r="P2893">
        <v>-1.9014018711090599</v>
      </c>
      <c r="Q2893">
        <v>-4.2753176003128699</v>
      </c>
      <c r="R2893">
        <v>0.472513858094747</v>
      </c>
      <c r="S2893">
        <v>11.587064446899401</v>
      </c>
      <c r="T2893">
        <v>-1.7649658724295301</v>
      </c>
      <c r="U2893">
        <v>-5.0265944338364204</v>
      </c>
      <c r="V2893">
        <v>0.105543613424985</v>
      </c>
      <c r="W2893">
        <v>0.66524459370899702</v>
      </c>
      <c r="X2893">
        <v>0</v>
      </c>
      <c r="Y2893">
        <v>0</v>
      </c>
    </row>
    <row r="2894" spans="1:25" x14ac:dyDescent="0.2">
      <c r="A2894" t="s">
        <v>10744</v>
      </c>
      <c r="B2894" t="s">
        <v>10745</v>
      </c>
      <c r="C2894" t="s">
        <v>14581</v>
      </c>
      <c r="D2894" t="s">
        <v>130</v>
      </c>
      <c r="E2894" t="s">
        <v>10745</v>
      </c>
      <c r="F2894" t="s">
        <v>28</v>
      </c>
      <c r="G2894" t="s">
        <v>10745</v>
      </c>
      <c r="H2894" t="str">
        <f>"Y67H2A.10"</f>
        <v>Y67H2A.10</v>
      </c>
      <c r="I2894" t="s">
        <v>130</v>
      </c>
      <c r="J2894" t="s">
        <v>29</v>
      </c>
      <c r="K2894" t="s">
        <v>29</v>
      </c>
      <c r="L2894" t="s">
        <v>29</v>
      </c>
      <c r="M2894" t="s">
        <v>29</v>
      </c>
      <c r="N2894" t="s">
        <v>29</v>
      </c>
      <c r="O2894" t="s">
        <v>29</v>
      </c>
      <c r="P2894" t="s">
        <v>29</v>
      </c>
      <c r="Q2894" t="s">
        <v>29</v>
      </c>
      <c r="R2894" t="s">
        <v>29</v>
      </c>
      <c r="S2894">
        <v>12.247573029766199</v>
      </c>
      <c r="T2894" t="s">
        <v>29</v>
      </c>
      <c r="U2894" t="s">
        <v>29</v>
      </c>
      <c r="V2894" t="s">
        <v>29</v>
      </c>
      <c r="W2894" t="s">
        <v>29</v>
      </c>
      <c r="X2894" t="s">
        <v>29</v>
      </c>
      <c r="Y2894" t="s">
        <v>29</v>
      </c>
    </row>
    <row r="2895" spans="1:25" x14ac:dyDescent="0.2">
      <c r="A2895" t="s">
        <v>10746</v>
      </c>
      <c r="B2895" t="s">
        <v>10747</v>
      </c>
      <c r="C2895" t="s">
        <v>10748</v>
      </c>
      <c r="D2895" t="s">
        <v>3312</v>
      </c>
      <c r="E2895" t="s">
        <v>10747</v>
      </c>
      <c r="F2895" t="s">
        <v>28</v>
      </c>
      <c r="G2895" t="s">
        <v>10747</v>
      </c>
      <c r="H2895" t="str">
        <f>"col-166"</f>
        <v>col-166</v>
      </c>
      <c r="I2895" t="s">
        <v>3312</v>
      </c>
      <c r="J2895">
        <v>14.9463344847447</v>
      </c>
      <c r="K2895">
        <v>14.7329052159387</v>
      </c>
      <c r="L2895">
        <v>14.302181789164001</v>
      </c>
      <c r="M2895">
        <v>14.60120868195</v>
      </c>
      <c r="N2895">
        <v>14.178525817127699</v>
      </c>
      <c r="O2895">
        <v>14.703136481947601</v>
      </c>
      <c r="P2895">
        <v>-0.16618350294071499</v>
      </c>
      <c r="Q2895">
        <v>-0.93138235985869999</v>
      </c>
      <c r="R2895">
        <v>0.59901535397727002</v>
      </c>
      <c r="S2895">
        <v>14.237089890542</v>
      </c>
      <c r="T2895">
        <v>-0.45646355646616998</v>
      </c>
      <c r="U2895">
        <v>-6.77425779427917</v>
      </c>
      <c r="V2895">
        <v>0.65354827366392398</v>
      </c>
      <c r="W2895">
        <v>0.98150210052054998</v>
      </c>
      <c r="X2895">
        <v>0</v>
      </c>
      <c r="Y2895">
        <v>0</v>
      </c>
    </row>
    <row r="2896" spans="1:25" x14ac:dyDescent="0.2">
      <c r="A2896" t="s">
        <v>10749</v>
      </c>
      <c r="B2896" t="s">
        <v>10750</v>
      </c>
      <c r="C2896" t="s">
        <v>10751</v>
      </c>
      <c r="D2896" t="s">
        <v>10752</v>
      </c>
      <c r="E2896" t="s">
        <v>10750</v>
      </c>
      <c r="F2896" t="s">
        <v>28</v>
      </c>
      <c r="G2896" t="s">
        <v>10750</v>
      </c>
      <c r="H2896" t="str">
        <f>"ulp-3"</f>
        <v>ulp-3</v>
      </c>
      <c r="I2896" t="s">
        <v>10752</v>
      </c>
      <c r="J2896">
        <v>12.262236072580301</v>
      </c>
      <c r="K2896">
        <v>12.292115963828801</v>
      </c>
      <c r="L2896" t="s">
        <v>29</v>
      </c>
      <c r="M2896" t="s">
        <v>29</v>
      </c>
      <c r="N2896">
        <v>12.6045654246856</v>
      </c>
      <c r="O2896">
        <v>12.6300269375309</v>
      </c>
      <c r="P2896">
        <v>0.34012016290365699</v>
      </c>
      <c r="Q2896">
        <v>-0.70584909156806497</v>
      </c>
      <c r="R2896">
        <v>1.3860894173753799</v>
      </c>
      <c r="S2896">
        <v>12.2804857959692</v>
      </c>
      <c r="T2896">
        <v>0.71654117704236098</v>
      </c>
      <c r="U2896">
        <v>-6.4127634064647703</v>
      </c>
      <c r="V2896">
        <v>0.48873262280705698</v>
      </c>
      <c r="W2896">
        <v>0.94046689344422196</v>
      </c>
      <c r="X2896">
        <v>0</v>
      </c>
      <c r="Y2896">
        <v>0</v>
      </c>
    </row>
    <row r="2897" spans="1:25" x14ac:dyDescent="0.2">
      <c r="A2897" t="s">
        <v>10753</v>
      </c>
      <c r="B2897" t="s">
        <v>10754</v>
      </c>
      <c r="C2897" t="s">
        <v>10755</v>
      </c>
      <c r="D2897" t="s">
        <v>9289</v>
      </c>
      <c r="E2897" t="s">
        <v>10754</v>
      </c>
      <c r="F2897" t="s">
        <v>28</v>
      </c>
      <c r="G2897" t="s">
        <v>10754</v>
      </c>
      <c r="H2897" t="str">
        <f>"npp-9"</f>
        <v>npp-9</v>
      </c>
      <c r="I2897" t="s">
        <v>9289</v>
      </c>
      <c r="J2897">
        <v>16.3160604826728</v>
      </c>
      <c r="K2897">
        <v>16.4924096969762</v>
      </c>
      <c r="L2897">
        <v>16.414644621794</v>
      </c>
      <c r="M2897">
        <v>16.617734959751001</v>
      </c>
      <c r="N2897">
        <v>16.829269790313901</v>
      </c>
      <c r="O2897">
        <v>16.9594507966832</v>
      </c>
      <c r="P2897">
        <v>0.39444691510173902</v>
      </c>
      <c r="Q2897">
        <v>-0.14584337550677301</v>
      </c>
      <c r="R2897">
        <v>0.93473720571024999</v>
      </c>
      <c r="S2897">
        <v>16.223877008413499</v>
      </c>
      <c r="T2897">
        <v>1.53445414253414</v>
      </c>
      <c r="U2897">
        <v>-5.7274787358246</v>
      </c>
      <c r="V2897">
        <v>0.14240845613039099</v>
      </c>
      <c r="W2897">
        <v>0.73364604025068303</v>
      </c>
      <c r="X2897">
        <v>0</v>
      </c>
      <c r="Y2897">
        <v>0</v>
      </c>
    </row>
    <row r="2898" spans="1:25" x14ac:dyDescent="0.2">
      <c r="A2898" t="s">
        <v>10756</v>
      </c>
      <c r="B2898" t="s">
        <v>10757</v>
      </c>
      <c r="C2898" t="s">
        <v>10758</v>
      </c>
      <c r="D2898" t="s">
        <v>10759</v>
      </c>
      <c r="E2898" t="s">
        <v>10757</v>
      </c>
      <c r="F2898" t="s">
        <v>28</v>
      </c>
      <c r="G2898" t="s">
        <v>10757</v>
      </c>
      <c r="H2898" t="str">
        <f>"gcy-28"</f>
        <v>gcy-28</v>
      </c>
      <c r="I2898" t="s">
        <v>10759</v>
      </c>
      <c r="J2898">
        <v>12.195098508611499</v>
      </c>
      <c r="K2898">
        <v>10.5650604036482</v>
      </c>
      <c r="L2898">
        <v>11.359436901420001</v>
      </c>
      <c r="M2898">
        <v>10.437678742839999</v>
      </c>
      <c r="N2898" t="s">
        <v>29</v>
      </c>
      <c r="O2898" t="s">
        <v>29</v>
      </c>
      <c r="P2898">
        <v>-0.93551986171988899</v>
      </c>
      <c r="Q2898">
        <v>-2.3171829363765499</v>
      </c>
      <c r="R2898">
        <v>0.446143212936774</v>
      </c>
      <c r="S2898">
        <v>11.497389535034101</v>
      </c>
      <c r="T2898">
        <v>-1.47671223687089</v>
      </c>
      <c r="U2898">
        <v>-5.4798114559026798</v>
      </c>
      <c r="V2898">
        <v>0.165731168439471</v>
      </c>
      <c r="W2898">
        <v>0.76796940364641997</v>
      </c>
      <c r="X2898">
        <v>0</v>
      </c>
      <c r="Y2898">
        <v>0</v>
      </c>
    </row>
    <row r="2899" spans="1:25" x14ac:dyDescent="0.2">
      <c r="A2899" t="s">
        <v>10760</v>
      </c>
      <c r="B2899" t="s">
        <v>10761</v>
      </c>
      <c r="C2899" t="s">
        <v>14582</v>
      </c>
      <c r="D2899" t="s">
        <v>323</v>
      </c>
      <c r="E2899" t="s">
        <v>10761</v>
      </c>
      <c r="F2899" t="s">
        <v>28</v>
      </c>
      <c r="G2899" t="s">
        <v>10761</v>
      </c>
      <c r="H2899" t="str">
        <f>"D2096.12"</f>
        <v>D2096.12</v>
      </c>
      <c r="I2899" t="s">
        <v>323</v>
      </c>
      <c r="J2899" t="s">
        <v>29</v>
      </c>
      <c r="K2899" t="s">
        <v>29</v>
      </c>
      <c r="L2899" t="s">
        <v>29</v>
      </c>
      <c r="M2899" t="s">
        <v>29</v>
      </c>
      <c r="N2899" t="s">
        <v>29</v>
      </c>
      <c r="O2899" t="s">
        <v>29</v>
      </c>
      <c r="P2899" t="s">
        <v>29</v>
      </c>
      <c r="Q2899" t="s">
        <v>29</v>
      </c>
      <c r="R2899" t="s">
        <v>29</v>
      </c>
      <c r="S2899">
        <v>10.697775148784499</v>
      </c>
      <c r="T2899" t="s">
        <v>29</v>
      </c>
      <c r="U2899" t="s">
        <v>29</v>
      </c>
      <c r="V2899" t="s">
        <v>29</v>
      </c>
      <c r="W2899" t="s">
        <v>29</v>
      </c>
      <c r="X2899" t="s">
        <v>29</v>
      </c>
      <c r="Y2899" t="s">
        <v>29</v>
      </c>
    </row>
    <row r="2900" spans="1:25" x14ac:dyDescent="0.2">
      <c r="A2900" t="s">
        <v>10762</v>
      </c>
      <c r="B2900" t="s">
        <v>10763</v>
      </c>
      <c r="C2900" t="s">
        <v>10764</v>
      </c>
      <c r="D2900" t="s">
        <v>10765</v>
      </c>
      <c r="E2900" t="s">
        <v>10763</v>
      </c>
      <c r="F2900" t="s">
        <v>28</v>
      </c>
      <c r="G2900" t="s">
        <v>10763</v>
      </c>
      <c r="H2900" t="str">
        <f>"dve-1"</f>
        <v>dve-1</v>
      </c>
      <c r="I2900" t="s">
        <v>10765</v>
      </c>
      <c r="J2900">
        <v>12.148444492290601</v>
      </c>
      <c r="K2900">
        <v>9.6794220060157308</v>
      </c>
      <c r="L2900">
        <v>10.386754307438</v>
      </c>
      <c r="M2900" t="s">
        <v>29</v>
      </c>
      <c r="N2900">
        <v>10.8986647070898</v>
      </c>
      <c r="O2900" t="s">
        <v>29</v>
      </c>
      <c r="P2900">
        <v>0.16045777184173601</v>
      </c>
      <c r="Q2900">
        <v>-1.9620204886702799</v>
      </c>
      <c r="R2900">
        <v>2.28293603235376</v>
      </c>
      <c r="S2900">
        <v>11.17445465125</v>
      </c>
      <c r="T2900">
        <v>0.163457461843587</v>
      </c>
      <c r="U2900">
        <v>-6.5269575841455501</v>
      </c>
      <c r="V2900">
        <v>0.87269226793718502</v>
      </c>
      <c r="W2900">
        <v>0.99542051916754504</v>
      </c>
      <c r="X2900">
        <v>0</v>
      </c>
      <c r="Y2900">
        <v>0</v>
      </c>
    </row>
    <row r="2901" spans="1:25" x14ac:dyDescent="0.2">
      <c r="A2901" t="s">
        <v>10766</v>
      </c>
      <c r="B2901" t="s">
        <v>10767</v>
      </c>
      <c r="C2901" t="s">
        <v>10768</v>
      </c>
      <c r="D2901" t="s">
        <v>3312</v>
      </c>
      <c r="E2901" t="s">
        <v>10767</v>
      </c>
      <c r="F2901" t="s">
        <v>28</v>
      </c>
      <c r="G2901" t="s">
        <v>10767</v>
      </c>
      <c r="H2901" t="str">
        <f>"col-95"</f>
        <v>col-95</v>
      </c>
      <c r="I2901" t="s">
        <v>3312</v>
      </c>
      <c r="J2901" t="s">
        <v>29</v>
      </c>
      <c r="K2901" t="s">
        <v>29</v>
      </c>
      <c r="L2901">
        <v>11.881055097065699</v>
      </c>
      <c r="M2901">
        <v>13.305975683398501</v>
      </c>
      <c r="N2901">
        <v>14.6789917098986</v>
      </c>
      <c r="O2901">
        <v>13.118357021516101</v>
      </c>
      <c r="P2901">
        <v>1.8200530412053599</v>
      </c>
      <c r="Q2901">
        <v>0.56312144567019096</v>
      </c>
      <c r="R2901">
        <v>3.0769846367405198</v>
      </c>
      <c r="S2901">
        <v>13.244095869578</v>
      </c>
      <c r="T2901">
        <v>3.1580384541290898</v>
      </c>
      <c r="U2901">
        <v>-2.7244429350124202</v>
      </c>
      <c r="V2901">
        <v>8.33258916761093E-3</v>
      </c>
      <c r="W2901">
        <v>0.159372739941432</v>
      </c>
      <c r="X2901">
        <v>1</v>
      </c>
      <c r="Y2901">
        <v>0</v>
      </c>
    </row>
    <row r="2902" spans="1:25" x14ac:dyDescent="0.2">
      <c r="A2902" t="s">
        <v>10769</v>
      </c>
      <c r="B2902" t="s">
        <v>10770</v>
      </c>
      <c r="C2902" t="s">
        <v>10771</v>
      </c>
      <c r="D2902" t="s">
        <v>10772</v>
      </c>
      <c r="E2902" t="s">
        <v>10770</v>
      </c>
      <c r="F2902" t="s">
        <v>28</v>
      </c>
      <c r="G2902" t="s">
        <v>10770</v>
      </c>
      <c r="H2902" t="str">
        <f>"epg-6"</f>
        <v>epg-6</v>
      </c>
      <c r="I2902" t="s">
        <v>10772</v>
      </c>
      <c r="J2902">
        <v>11.583863336480499</v>
      </c>
      <c r="K2902" t="s">
        <v>29</v>
      </c>
      <c r="L2902">
        <v>11.053948689340601</v>
      </c>
      <c r="M2902">
        <v>12.058148023075301</v>
      </c>
      <c r="N2902">
        <v>11.290230879508</v>
      </c>
      <c r="O2902">
        <v>11.4418667017939</v>
      </c>
      <c r="P2902">
        <v>0.27784252188183001</v>
      </c>
      <c r="Q2902">
        <v>-0.62748922313733402</v>
      </c>
      <c r="R2902">
        <v>1.1831742669009899</v>
      </c>
      <c r="S2902">
        <v>11.192850706981099</v>
      </c>
      <c r="T2902">
        <v>0.67626771796126195</v>
      </c>
      <c r="U2902">
        <v>-6.5308531644772598</v>
      </c>
      <c r="V2902">
        <v>0.51297094699177803</v>
      </c>
      <c r="W2902">
        <v>0.94175858862430595</v>
      </c>
      <c r="X2902">
        <v>0</v>
      </c>
      <c r="Y2902">
        <v>0</v>
      </c>
    </row>
    <row r="2903" spans="1:25" x14ac:dyDescent="0.2">
      <c r="A2903" t="s">
        <v>10773</v>
      </c>
      <c r="B2903" t="s">
        <v>10774</v>
      </c>
      <c r="C2903" t="s">
        <v>10775</v>
      </c>
      <c r="D2903" t="s">
        <v>10776</v>
      </c>
      <c r="E2903" t="s">
        <v>10774</v>
      </c>
      <c r="F2903" t="s">
        <v>28</v>
      </c>
      <c r="G2903" t="s">
        <v>10774</v>
      </c>
      <c r="H2903" t="str">
        <f>"nuo-2"</f>
        <v>nuo-2</v>
      </c>
      <c r="I2903" t="s">
        <v>10776</v>
      </c>
      <c r="J2903">
        <v>13.1415821008229</v>
      </c>
      <c r="K2903">
        <v>13.256881439869</v>
      </c>
      <c r="L2903">
        <v>13.6291500329452</v>
      </c>
      <c r="M2903">
        <v>12.960616509809601</v>
      </c>
      <c r="N2903">
        <v>13.1361421702077</v>
      </c>
      <c r="O2903">
        <v>13.127382365731799</v>
      </c>
      <c r="P2903">
        <v>-0.26782417596265001</v>
      </c>
      <c r="Q2903">
        <v>-1.00437366345061</v>
      </c>
      <c r="R2903">
        <v>0.468725311525306</v>
      </c>
      <c r="S2903">
        <v>13.756392101778401</v>
      </c>
      <c r="T2903">
        <v>-0.76425864298179302</v>
      </c>
      <c r="U2903">
        <v>-6.5822280412268599</v>
      </c>
      <c r="V2903">
        <v>0.45467331873123401</v>
      </c>
      <c r="W2903">
        <v>0.92582104169957002</v>
      </c>
      <c r="X2903">
        <v>0</v>
      </c>
      <c r="Y2903">
        <v>0</v>
      </c>
    </row>
    <row r="2904" spans="1:25" x14ac:dyDescent="0.2">
      <c r="A2904" t="s">
        <v>10777</v>
      </c>
      <c r="B2904" t="s">
        <v>10778</v>
      </c>
      <c r="C2904" t="s">
        <v>10779</v>
      </c>
      <c r="D2904" t="s">
        <v>10780</v>
      </c>
      <c r="E2904" t="s">
        <v>10778</v>
      </c>
      <c r="F2904" t="s">
        <v>28</v>
      </c>
      <c r="G2904" t="s">
        <v>10778</v>
      </c>
      <c r="H2904" t="str">
        <f>"asp-2"</f>
        <v>asp-2</v>
      </c>
      <c r="I2904" t="s">
        <v>10780</v>
      </c>
      <c r="J2904">
        <v>12.690378922447101</v>
      </c>
      <c r="K2904">
        <v>12.9630319166234</v>
      </c>
      <c r="L2904">
        <v>12.528827627041499</v>
      </c>
      <c r="M2904">
        <v>12.222035303196201</v>
      </c>
      <c r="N2904" t="s">
        <v>29</v>
      </c>
      <c r="O2904">
        <v>12.913789891822899</v>
      </c>
      <c r="P2904">
        <v>-0.15950022452777199</v>
      </c>
      <c r="Q2904">
        <v>-0.90004789677783803</v>
      </c>
      <c r="R2904">
        <v>0.581047447722294</v>
      </c>
      <c r="S2904">
        <v>12.674056246725501</v>
      </c>
      <c r="T2904">
        <v>-0.459356518298209</v>
      </c>
      <c r="U2904">
        <v>-6.6618543819656599</v>
      </c>
      <c r="V2904">
        <v>0.65261082715185303</v>
      </c>
      <c r="W2904">
        <v>0.98150210052054998</v>
      </c>
      <c r="X2904">
        <v>0</v>
      </c>
      <c r="Y2904">
        <v>0</v>
      </c>
    </row>
    <row r="2905" spans="1:25" x14ac:dyDescent="0.2">
      <c r="A2905" t="s">
        <v>10781</v>
      </c>
      <c r="B2905" t="s">
        <v>10782</v>
      </c>
      <c r="C2905" t="s">
        <v>10783</v>
      </c>
      <c r="D2905" t="s">
        <v>10784</v>
      </c>
      <c r="E2905" t="s">
        <v>10782</v>
      </c>
      <c r="F2905" t="s">
        <v>28</v>
      </c>
      <c r="G2905" t="s">
        <v>10782</v>
      </c>
      <c r="H2905" t="str">
        <f>"syd-1"</f>
        <v>syd-1</v>
      </c>
      <c r="I2905" t="s">
        <v>10784</v>
      </c>
      <c r="J2905">
        <v>12.4845644752633</v>
      </c>
      <c r="K2905">
        <v>13.618418409948999</v>
      </c>
      <c r="L2905">
        <v>12.937441560606301</v>
      </c>
      <c r="M2905">
        <v>13.0564256781074</v>
      </c>
      <c r="N2905">
        <v>12.8761720892317</v>
      </c>
      <c r="O2905">
        <v>13.3544088854731</v>
      </c>
      <c r="P2905">
        <v>8.2194068997880607E-2</v>
      </c>
      <c r="Q2905">
        <v>-0.50186707309395295</v>
      </c>
      <c r="R2905">
        <v>0.66625521108971397</v>
      </c>
      <c r="S2905">
        <v>13.3518137017327</v>
      </c>
      <c r="T2905">
        <v>0.297051794579613</v>
      </c>
      <c r="U2905">
        <v>-6.83636163392607</v>
      </c>
      <c r="V2905">
        <v>0.77004810472363305</v>
      </c>
      <c r="W2905">
        <v>0.99278624068726296</v>
      </c>
      <c r="X2905">
        <v>0</v>
      </c>
      <c r="Y2905">
        <v>0</v>
      </c>
    </row>
    <row r="2906" spans="1:25" x14ac:dyDescent="0.2">
      <c r="A2906" t="s">
        <v>10785</v>
      </c>
      <c r="B2906" t="s">
        <v>10786</v>
      </c>
      <c r="C2906" t="s">
        <v>10787</v>
      </c>
      <c r="D2906" t="s">
        <v>458</v>
      </c>
      <c r="E2906" t="s">
        <v>10786</v>
      </c>
      <c r="F2906" t="s">
        <v>28</v>
      </c>
      <c r="G2906" t="s">
        <v>10786</v>
      </c>
      <c r="H2906" t="str">
        <f>"ttr-41"</f>
        <v>ttr-41</v>
      </c>
      <c r="I2906" t="s">
        <v>458</v>
      </c>
      <c r="J2906">
        <v>14.410945009423401</v>
      </c>
      <c r="K2906">
        <v>14.6236579431677</v>
      </c>
      <c r="L2906">
        <v>14.265102871303499</v>
      </c>
      <c r="M2906">
        <v>14.4679588911519</v>
      </c>
      <c r="N2906">
        <v>14.1530096804634</v>
      </c>
      <c r="O2906">
        <v>14.348238568705501</v>
      </c>
      <c r="P2906">
        <v>-0.110166227857929</v>
      </c>
      <c r="Q2906">
        <v>-0.77483199397655</v>
      </c>
      <c r="R2906">
        <v>0.55449953826069098</v>
      </c>
      <c r="S2906">
        <v>13.796805453224801</v>
      </c>
      <c r="T2906">
        <v>-0.34986071677171499</v>
      </c>
      <c r="U2906">
        <v>-6.8185678128816596</v>
      </c>
      <c r="V2906">
        <v>0.73076653500755995</v>
      </c>
      <c r="W2906">
        <v>0.99057748145465696</v>
      </c>
      <c r="X2906">
        <v>0</v>
      </c>
      <c r="Y2906">
        <v>0</v>
      </c>
    </row>
    <row r="2907" spans="1:25" x14ac:dyDescent="0.2">
      <c r="A2907" t="s">
        <v>10788</v>
      </c>
      <c r="B2907" t="s">
        <v>10789</v>
      </c>
      <c r="C2907" t="s">
        <v>10790</v>
      </c>
      <c r="D2907" t="s">
        <v>10791</v>
      </c>
      <c r="E2907" t="s">
        <v>10789</v>
      </c>
      <c r="F2907" t="s">
        <v>28</v>
      </c>
      <c r="G2907" t="s">
        <v>10789</v>
      </c>
      <c r="H2907" t="str">
        <f>"afd-1"</f>
        <v>afd-1</v>
      </c>
      <c r="I2907" t="s">
        <v>10791</v>
      </c>
      <c r="J2907">
        <v>13.833982635219501</v>
      </c>
      <c r="K2907">
        <v>14.285185037487199</v>
      </c>
      <c r="L2907">
        <v>14.2273635037097</v>
      </c>
      <c r="M2907">
        <v>14.140044103349201</v>
      </c>
      <c r="N2907">
        <v>14.4142599304959</v>
      </c>
      <c r="O2907">
        <v>14.4071893698378</v>
      </c>
      <c r="P2907">
        <v>0.20498740908881</v>
      </c>
      <c r="Q2907">
        <v>-0.19640316569878499</v>
      </c>
      <c r="R2907">
        <v>0.60637798387640496</v>
      </c>
      <c r="S2907">
        <v>14.179329871632101</v>
      </c>
      <c r="T2907">
        <v>1.0832022305597599</v>
      </c>
      <c r="U2907">
        <v>-6.2872851956362403</v>
      </c>
      <c r="V2907">
        <v>0.294877232616225</v>
      </c>
      <c r="W2907">
        <v>0.85855590823088301</v>
      </c>
      <c r="X2907">
        <v>0</v>
      </c>
      <c r="Y2907">
        <v>0</v>
      </c>
    </row>
    <row r="2908" spans="1:25" x14ac:dyDescent="0.2">
      <c r="A2908" t="s">
        <v>10792</v>
      </c>
      <c r="B2908" t="s">
        <v>10793</v>
      </c>
      <c r="C2908" t="s">
        <v>10794</v>
      </c>
      <c r="D2908" t="s">
        <v>150</v>
      </c>
      <c r="E2908" t="s">
        <v>10793</v>
      </c>
      <c r="F2908" t="s">
        <v>28</v>
      </c>
      <c r="G2908" t="s">
        <v>10793</v>
      </c>
      <c r="H2908" t="str">
        <f>"ppw-1"</f>
        <v>ppw-1</v>
      </c>
      <c r="I2908" t="s">
        <v>150</v>
      </c>
      <c r="J2908">
        <v>14.677196262882401</v>
      </c>
      <c r="K2908">
        <v>14.402341099951601</v>
      </c>
      <c r="L2908">
        <v>14.629254209637001</v>
      </c>
      <c r="M2908">
        <v>14.529170052708499</v>
      </c>
      <c r="N2908">
        <v>14.73626558408</v>
      </c>
      <c r="O2908">
        <v>14.5654496140401</v>
      </c>
      <c r="P2908">
        <v>4.0697892785917802E-2</v>
      </c>
      <c r="Q2908">
        <v>-0.42482871348364398</v>
      </c>
      <c r="R2908">
        <v>0.50622449905547895</v>
      </c>
      <c r="S2908">
        <v>14.8089623968905</v>
      </c>
      <c r="T2908">
        <v>0.18374686124204201</v>
      </c>
      <c r="U2908">
        <v>-6.8648653098415799</v>
      </c>
      <c r="V2908">
        <v>0.85627806093528003</v>
      </c>
      <c r="W2908">
        <v>0.99370971747667503</v>
      </c>
      <c r="X2908">
        <v>0</v>
      </c>
      <c r="Y2908">
        <v>0</v>
      </c>
    </row>
    <row r="2909" spans="1:25" x14ac:dyDescent="0.2">
      <c r="A2909" t="s">
        <v>10795</v>
      </c>
      <c r="B2909" t="s">
        <v>10796</v>
      </c>
      <c r="C2909" t="s">
        <v>10797</v>
      </c>
      <c r="D2909" t="s">
        <v>10798</v>
      </c>
      <c r="E2909" t="s">
        <v>10796</v>
      </c>
      <c r="F2909" t="s">
        <v>28</v>
      </c>
      <c r="G2909" t="s">
        <v>10796</v>
      </c>
      <c r="H2909" t="str">
        <f>"C50D2.7"</f>
        <v>C50D2.7</v>
      </c>
      <c r="I2909" t="s">
        <v>10798</v>
      </c>
      <c r="J2909">
        <v>14.012939749433</v>
      </c>
      <c r="K2909">
        <v>13.819491469673901</v>
      </c>
      <c r="L2909">
        <v>13.4646249365444</v>
      </c>
      <c r="M2909">
        <v>13.223584562441699</v>
      </c>
      <c r="N2909">
        <v>13.082110658572301</v>
      </c>
      <c r="O2909">
        <v>13.6933274533149</v>
      </c>
      <c r="P2909">
        <v>-0.43267782710746899</v>
      </c>
      <c r="Q2909">
        <v>-1.3107536811071401</v>
      </c>
      <c r="R2909">
        <v>0.44539802689219898</v>
      </c>
      <c r="S2909">
        <v>13.1138070035865</v>
      </c>
      <c r="T2909">
        <v>-1.0401180148495901</v>
      </c>
      <c r="U2909">
        <v>-6.3330509840725702</v>
      </c>
      <c r="V2909">
        <v>0.312941923520829</v>
      </c>
      <c r="W2909">
        <v>0.86464399033134998</v>
      </c>
      <c r="X2909">
        <v>0</v>
      </c>
      <c r="Y2909">
        <v>0</v>
      </c>
    </row>
    <row r="2910" spans="1:25" x14ac:dyDescent="0.2">
      <c r="A2910" t="s">
        <v>10799</v>
      </c>
      <c r="B2910" t="s">
        <v>10800</v>
      </c>
      <c r="C2910" t="s">
        <v>10801</v>
      </c>
      <c r="D2910" t="s">
        <v>10802</v>
      </c>
      <c r="E2910" t="s">
        <v>10800</v>
      </c>
      <c r="F2910" t="s">
        <v>28</v>
      </c>
      <c r="G2910" t="s">
        <v>10800</v>
      </c>
      <c r="H2910" t="str">
        <f>"icd-2"</f>
        <v>icd-2</v>
      </c>
      <c r="I2910" t="s">
        <v>10802</v>
      </c>
      <c r="J2910">
        <v>17.8993933230451</v>
      </c>
      <c r="K2910">
        <v>17.7490316107843</v>
      </c>
      <c r="L2910">
        <v>17.643880180226599</v>
      </c>
      <c r="M2910">
        <v>17.790178873513</v>
      </c>
      <c r="N2910">
        <v>17.5481014993244</v>
      </c>
      <c r="O2910">
        <v>17.7785309955553</v>
      </c>
      <c r="P2910">
        <v>-5.8497915221057198E-2</v>
      </c>
      <c r="Q2910">
        <v>-0.50756053311750204</v>
      </c>
      <c r="R2910">
        <v>0.39056470267538701</v>
      </c>
      <c r="S2910">
        <v>17.1218415224381</v>
      </c>
      <c r="T2910">
        <v>-0.27379530589343998</v>
      </c>
      <c r="U2910">
        <v>-6.8434037476451</v>
      </c>
      <c r="V2910">
        <v>0.78737715711506595</v>
      </c>
      <c r="W2910">
        <v>0.99278624068726296</v>
      </c>
      <c r="X2910">
        <v>0</v>
      </c>
      <c r="Y2910">
        <v>0</v>
      </c>
    </row>
    <row r="2911" spans="1:25" x14ac:dyDescent="0.2">
      <c r="A2911" t="s">
        <v>10803</v>
      </c>
      <c r="B2911" t="s">
        <v>10804</v>
      </c>
      <c r="C2911" t="s">
        <v>14583</v>
      </c>
      <c r="D2911" t="s">
        <v>10805</v>
      </c>
      <c r="E2911" t="s">
        <v>10804</v>
      </c>
      <c r="F2911" t="s">
        <v>28</v>
      </c>
      <c r="G2911" t="s">
        <v>10804</v>
      </c>
      <c r="H2911" t="str">
        <f>"Y48E1C.4"</f>
        <v>Y48E1C.4</v>
      </c>
      <c r="I2911" t="s">
        <v>10805</v>
      </c>
      <c r="J2911">
        <v>13.449906177810099</v>
      </c>
      <c r="K2911">
        <v>13.4322712762942</v>
      </c>
      <c r="L2911">
        <v>12.8494259949584</v>
      </c>
      <c r="M2911">
        <v>13.2609513513891</v>
      </c>
      <c r="N2911">
        <v>13.3212511483346</v>
      </c>
      <c r="O2911">
        <v>13.4321409323351</v>
      </c>
      <c r="P2911">
        <v>9.4246660998681606E-2</v>
      </c>
      <c r="Q2911">
        <v>-0.67992627666882699</v>
      </c>
      <c r="R2911">
        <v>0.86841959866619001</v>
      </c>
      <c r="S2911">
        <v>12.8544695159756</v>
      </c>
      <c r="T2911">
        <v>0.25696738211605302</v>
      </c>
      <c r="U2911">
        <v>-6.84794793172951</v>
      </c>
      <c r="V2911">
        <v>0.80030721413783401</v>
      </c>
      <c r="W2911">
        <v>0.99278624068726296</v>
      </c>
      <c r="X2911">
        <v>0</v>
      </c>
      <c r="Y2911">
        <v>0</v>
      </c>
    </row>
    <row r="2912" spans="1:25" x14ac:dyDescent="0.2">
      <c r="A2912" t="s">
        <v>10806</v>
      </c>
      <c r="B2912" t="s">
        <v>10807</v>
      </c>
      <c r="C2912" t="s">
        <v>10808</v>
      </c>
      <c r="D2912" t="s">
        <v>10809</v>
      </c>
      <c r="E2912" t="s">
        <v>10807</v>
      </c>
      <c r="F2912" t="s">
        <v>28</v>
      </c>
      <c r="G2912" t="s">
        <v>10807</v>
      </c>
      <c r="H2912" t="str">
        <f>"zoo-1"</f>
        <v>zoo-1</v>
      </c>
      <c r="I2912" t="s">
        <v>10809</v>
      </c>
      <c r="J2912">
        <v>13.9460701854583</v>
      </c>
      <c r="K2912">
        <v>14.390522392809</v>
      </c>
      <c r="L2912">
        <v>14.2258058518368</v>
      </c>
      <c r="M2912">
        <v>14.3051993307164</v>
      </c>
      <c r="N2912">
        <v>14.1029254894178</v>
      </c>
      <c r="O2912">
        <v>14.1980651847035</v>
      </c>
      <c r="P2912">
        <v>1.4597191577871999E-2</v>
      </c>
      <c r="Q2912">
        <v>-0.39129685093251998</v>
      </c>
      <c r="R2912">
        <v>0.420491234088264</v>
      </c>
      <c r="S2912">
        <v>14.189115952456</v>
      </c>
      <c r="T2912">
        <v>7.5911337597943704E-2</v>
      </c>
      <c r="U2912">
        <v>-6.8794697512352103</v>
      </c>
      <c r="V2912">
        <v>0.940381297221625</v>
      </c>
      <c r="W2912">
        <v>0.99926809132575301</v>
      </c>
      <c r="X2912">
        <v>0</v>
      </c>
      <c r="Y2912">
        <v>0</v>
      </c>
    </row>
    <row r="2913" spans="1:25" x14ac:dyDescent="0.2">
      <c r="A2913" t="s">
        <v>10810</v>
      </c>
      <c r="B2913" t="s">
        <v>10811</v>
      </c>
      <c r="C2913" t="s">
        <v>10812</v>
      </c>
      <c r="D2913" t="s">
        <v>10813</v>
      </c>
      <c r="E2913" t="s">
        <v>10811</v>
      </c>
      <c r="F2913" t="s">
        <v>28</v>
      </c>
      <c r="G2913" t="s">
        <v>10811</v>
      </c>
      <c r="H2913" t="str">
        <f>"gly-4"</f>
        <v>gly-4</v>
      </c>
      <c r="I2913" t="s">
        <v>10813</v>
      </c>
      <c r="J2913">
        <v>12.5001989781159</v>
      </c>
      <c r="K2913" t="s">
        <v>29</v>
      </c>
      <c r="L2913">
        <v>11.7780457589015</v>
      </c>
      <c r="M2913" t="s">
        <v>29</v>
      </c>
      <c r="N2913">
        <v>12.2495113554524</v>
      </c>
      <c r="O2913" t="s">
        <v>29</v>
      </c>
      <c r="P2913">
        <v>0.110388986943649</v>
      </c>
      <c r="Q2913">
        <v>-0.708329593536275</v>
      </c>
      <c r="R2913">
        <v>0.92910756742357303</v>
      </c>
      <c r="S2913">
        <v>11.695290949700199</v>
      </c>
      <c r="T2913">
        <v>0.29406010884322198</v>
      </c>
      <c r="U2913">
        <v>-6.4377987810727699</v>
      </c>
      <c r="V2913">
        <v>0.773780107803131</v>
      </c>
      <c r="W2913">
        <v>0.99278624068726296</v>
      </c>
      <c r="X2913">
        <v>0</v>
      </c>
      <c r="Y2913">
        <v>0</v>
      </c>
    </row>
    <row r="2914" spans="1:25" x14ac:dyDescent="0.2">
      <c r="A2914" t="s">
        <v>10814</v>
      </c>
      <c r="B2914" t="s">
        <v>10815</v>
      </c>
      <c r="C2914" t="s">
        <v>10816</v>
      </c>
      <c r="D2914" t="s">
        <v>10817</v>
      </c>
      <c r="E2914" t="s">
        <v>10815</v>
      </c>
      <c r="F2914" t="s">
        <v>28</v>
      </c>
      <c r="G2914" t="s">
        <v>10815</v>
      </c>
      <c r="H2914" t="str">
        <f>"shk-1"</f>
        <v>shk-1</v>
      </c>
      <c r="I2914" t="s">
        <v>10817</v>
      </c>
      <c r="J2914" t="s">
        <v>29</v>
      </c>
      <c r="K2914" t="s">
        <v>29</v>
      </c>
      <c r="L2914" t="s">
        <v>29</v>
      </c>
      <c r="M2914" t="s">
        <v>29</v>
      </c>
      <c r="N2914">
        <v>12.103478585073301</v>
      </c>
      <c r="O2914">
        <v>11.915100356744199</v>
      </c>
      <c r="P2914" t="s">
        <v>29</v>
      </c>
      <c r="Q2914" t="s">
        <v>29</v>
      </c>
      <c r="R2914" t="s">
        <v>29</v>
      </c>
      <c r="S2914">
        <v>11.8905843923562</v>
      </c>
      <c r="T2914" t="s">
        <v>29</v>
      </c>
      <c r="U2914" t="s">
        <v>29</v>
      </c>
      <c r="V2914" t="s">
        <v>29</v>
      </c>
      <c r="W2914" t="s">
        <v>29</v>
      </c>
      <c r="X2914" t="s">
        <v>29</v>
      </c>
      <c r="Y2914" t="s">
        <v>29</v>
      </c>
    </row>
    <row r="2915" spans="1:25" x14ac:dyDescent="0.2">
      <c r="A2915" t="s">
        <v>10818</v>
      </c>
      <c r="B2915" t="s">
        <v>10819</v>
      </c>
      <c r="C2915" t="s">
        <v>10820</v>
      </c>
      <c r="D2915" t="s">
        <v>3312</v>
      </c>
      <c r="E2915" t="s">
        <v>10819</v>
      </c>
      <c r="F2915" t="s">
        <v>28</v>
      </c>
      <c r="G2915" t="s">
        <v>10819</v>
      </c>
      <c r="H2915" t="str">
        <f>"col-42"</f>
        <v>col-42</v>
      </c>
      <c r="I2915" t="s">
        <v>3312</v>
      </c>
      <c r="J2915">
        <v>10.298590775251901</v>
      </c>
      <c r="K2915">
        <v>12.964266096621101</v>
      </c>
      <c r="L2915" t="s">
        <v>29</v>
      </c>
      <c r="M2915">
        <v>10.9317128411688</v>
      </c>
      <c r="N2915">
        <v>11.8957135520861</v>
      </c>
      <c r="O2915">
        <v>11.5616803451494</v>
      </c>
      <c r="P2915">
        <v>-0.168392856468429</v>
      </c>
      <c r="Q2915">
        <v>-1.5933321956623301</v>
      </c>
      <c r="R2915">
        <v>1.25654648272547</v>
      </c>
      <c r="S2915">
        <v>11.965043580013701</v>
      </c>
      <c r="T2915">
        <v>-0.25364083854879599</v>
      </c>
      <c r="U2915">
        <v>-6.7382457084743104</v>
      </c>
      <c r="V2915">
        <v>0.80348753981838505</v>
      </c>
      <c r="W2915">
        <v>0.99278624068726296</v>
      </c>
      <c r="X2915">
        <v>0</v>
      </c>
      <c r="Y2915">
        <v>0</v>
      </c>
    </row>
    <row r="2916" spans="1:25" x14ac:dyDescent="0.2">
      <c r="A2916" t="s">
        <v>10821</v>
      </c>
      <c r="B2916" t="s">
        <v>10822</v>
      </c>
      <c r="C2916" t="s">
        <v>10823</v>
      </c>
      <c r="D2916" t="s">
        <v>10824</v>
      </c>
      <c r="E2916" t="s">
        <v>10822</v>
      </c>
      <c r="F2916" t="s">
        <v>28</v>
      </c>
      <c r="G2916" t="s">
        <v>10822</v>
      </c>
      <c r="H2916" t="str">
        <f>"unc-61"</f>
        <v>unc-61</v>
      </c>
      <c r="I2916" t="s">
        <v>10824</v>
      </c>
      <c r="J2916">
        <v>11.796930608873099</v>
      </c>
      <c r="K2916">
        <v>12.0195050053989</v>
      </c>
      <c r="L2916">
        <v>12.2464557936327</v>
      </c>
      <c r="M2916">
        <v>11.9427097641811</v>
      </c>
      <c r="N2916">
        <v>12.2549258006865</v>
      </c>
      <c r="O2916">
        <v>11.9595703503448</v>
      </c>
      <c r="P2916">
        <v>3.1438169102580502E-2</v>
      </c>
      <c r="Q2916">
        <v>-0.58907281407689005</v>
      </c>
      <c r="R2916">
        <v>0.65194915228205097</v>
      </c>
      <c r="S2916">
        <v>12.273219843954299</v>
      </c>
      <c r="T2916">
        <v>0.10694433536695901</v>
      </c>
      <c r="U2916">
        <v>-6.8764970454189598</v>
      </c>
      <c r="V2916">
        <v>0.91609279106956698</v>
      </c>
      <c r="W2916">
        <v>0.99833354317360001</v>
      </c>
      <c r="X2916">
        <v>0</v>
      </c>
      <c r="Y2916">
        <v>0</v>
      </c>
    </row>
    <row r="2917" spans="1:25" x14ac:dyDescent="0.2">
      <c r="A2917" t="s">
        <v>10825</v>
      </c>
      <c r="B2917" t="s">
        <v>10826</v>
      </c>
      <c r="C2917" t="s">
        <v>10827</v>
      </c>
      <c r="D2917" t="s">
        <v>107</v>
      </c>
      <c r="E2917" t="s">
        <v>10826</v>
      </c>
      <c r="F2917" t="s">
        <v>28</v>
      </c>
      <c r="G2917" t="s">
        <v>10826</v>
      </c>
      <c r="H2917" t="str">
        <f>"slc-17.4"</f>
        <v>slc-17.4</v>
      </c>
      <c r="I2917" t="s">
        <v>107</v>
      </c>
      <c r="J2917">
        <v>13.103574180291901</v>
      </c>
      <c r="K2917">
        <v>12.862527350455601</v>
      </c>
      <c r="L2917">
        <v>12.6513315488166</v>
      </c>
      <c r="M2917">
        <v>11.722799545053199</v>
      </c>
      <c r="N2917">
        <v>12.369715138761901</v>
      </c>
      <c r="O2917">
        <v>11.9994701608199</v>
      </c>
      <c r="P2917">
        <v>-0.84181607830973204</v>
      </c>
      <c r="Q2917">
        <v>-1.6722177489433301</v>
      </c>
      <c r="R2917">
        <v>-1.14144076761301E-2</v>
      </c>
      <c r="S2917">
        <v>12.173120731464399</v>
      </c>
      <c r="T2917">
        <v>-2.1918773382369698</v>
      </c>
      <c r="U2917">
        <v>-4.7089394598142604</v>
      </c>
      <c r="V2917">
        <v>4.73564794345019E-2</v>
      </c>
      <c r="W2917">
        <v>0.47186336394617501</v>
      </c>
      <c r="X2917">
        <v>0</v>
      </c>
      <c r="Y2917">
        <v>0</v>
      </c>
    </row>
    <row r="2918" spans="1:25" x14ac:dyDescent="0.2">
      <c r="A2918" t="s">
        <v>10828</v>
      </c>
      <c r="B2918" t="s">
        <v>10829</v>
      </c>
      <c r="C2918" t="s">
        <v>10830</v>
      </c>
      <c r="D2918" t="s">
        <v>10831</v>
      </c>
      <c r="E2918" t="s">
        <v>10829</v>
      </c>
      <c r="F2918" t="s">
        <v>28</v>
      </c>
      <c r="G2918" t="s">
        <v>10829</v>
      </c>
      <c r="H2918" t="str">
        <f>"set-18"</f>
        <v>set-18</v>
      </c>
      <c r="I2918" t="s">
        <v>10831</v>
      </c>
      <c r="J2918">
        <v>10.9255215484147</v>
      </c>
      <c r="K2918">
        <v>11.375920122641199</v>
      </c>
      <c r="L2918">
        <v>11.5150854454947</v>
      </c>
      <c r="M2918">
        <v>10.849222043703699</v>
      </c>
      <c r="N2918">
        <v>11.6507357307884</v>
      </c>
      <c r="O2918">
        <v>11.367840281434701</v>
      </c>
      <c r="P2918">
        <v>1.7090313125422099E-2</v>
      </c>
      <c r="Q2918">
        <v>-0.78534798532170402</v>
      </c>
      <c r="R2918">
        <v>0.81952861157254797</v>
      </c>
      <c r="S2918">
        <v>11.5919379526695</v>
      </c>
      <c r="T2918">
        <v>4.5423435430901701E-2</v>
      </c>
      <c r="U2918">
        <v>-6.8814000948198002</v>
      </c>
      <c r="V2918">
        <v>0.96437319235435504</v>
      </c>
      <c r="W2918">
        <v>0.99968702248720698</v>
      </c>
      <c r="X2918">
        <v>0</v>
      </c>
      <c r="Y2918">
        <v>0</v>
      </c>
    </row>
    <row r="2919" spans="1:25" x14ac:dyDescent="0.2">
      <c r="A2919" t="s">
        <v>10832</v>
      </c>
      <c r="B2919" t="s">
        <v>10833</v>
      </c>
      <c r="C2919" t="s">
        <v>14584</v>
      </c>
      <c r="D2919" t="s">
        <v>2692</v>
      </c>
      <c r="E2919" t="s">
        <v>10833</v>
      </c>
      <c r="F2919" t="s">
        <v>28</v>
      </c>
      <c r="G2919" t="s">
        <v>10833</v>
      </c>
      <c r="H2919" t="str">
        <f>"T03F7.7"</f>
        <v>T03F7.7</v>
      </c>
      <c r="I2919" t="s">
        <v>2692</v>
      </c>
      <c r="J2919">
        <v>14.6398642680122</v>
      </c>
      <c r="K2919">
        <v>14.4578407803552</v>
      </c>
      <c r="L2919">
        <v>14.2634484179521</v>
      </c>
      <c r="M2919">
        <v>14.1117477463361</v>
      </c>
      <c r="N2919">
        <v>13.9547887231723</v>
      </c>
      <c r="O2919">
        <v>14.5205163060209</v>
      </c>
      <c r="P2919">
        <v>-0.25803356359669699</v>
      </c>
      <c r="Q2919">
        <v>-0.82639676208954405</v>
      </c>
      <c r="R2919">
        <v>0.31032963489614901</v>
      </c>
      <c r="S2919">
        <v>13.654138572773199</v>
      </c>
      <c r="T2919">
        <v>-0.96294122628142198</v>
      </c>
      <c r="U2919">
        <v>-6.4086105810161298</v>
      </c>
      <c r="V2919">
        <v>0.34999882038148</v>
      </c>
      <c r="W2919">
        <v>0.87950242192597095</v>
      </c>
      <c r="X2919">
        <v>0</v>
      </c>
      <c r="Y2919">
        <v>0</v>
      </c>
    </row>
    <row r="2920" spans="1:25" x14ac:dyDescent="0.2">
      <c r="A2920" t="s">
        <v>10834</v>
      </c>
      <c r="B2920" t="s">
        <v>10835</v>
      </c>
      <c r="C2920" t="s">
        <v>14585</v>
      </c>
      <c r="D2920" t="s">
        <v>10836</v>
      </c>
      <c r="E2920" t="s">
        <v>10835</v>
      </c>
      <c r="F2920" t="s">
        <v>28</v>
      </c>
      <c r="G2920" t="s">
        <v>10835</v>
      </c>
      <c r="H2920" t="str">
        <f>"F32D8.12"</f>
        <v>F32D8.12</v>
      </c>
      <c r="I2920" t="s">
        <v>10836</v>
      </c>
      <c r="J2920">
        <v>14.2650591558732</v>
      </c>
      <c r="K2920">
        <v>14.3386008678279</v>
      </c>
      <c r="L2920">
        <v>14.2772324414934</v>
      </c>
      <c r="M2920">
        <v>13.9031275468834</v>
      </c>
      <c r="N2920">
        <v>14.4845717585183</v>
      </c>
      <c r="O2920">
        <v>13.891266198811801</v>
      </c>
      <c r="P2920">
        <v>-0.20064232032704499</v>
      </c>
      <c r="Q2920">
        <v>-0.58467131007386097</v>
      </c>
      <c r="R2920">
        <v>0.183386669419771</v>
      </c>
      <c r="S2920">
        <v>14.365825056269401</v>
      </c>
      <c r="T2920">
        <v>-1.0981231442452299</v>
      </c>
      <c r="U2920">
        <v>-6.2729526906429403</v>
      </c>
      <c r="V2920">
        <v>0.28670686507660298</v>
      </c>
      <c r="W2920">
        <v>0.856190392347986</v>
      </c>
      <c r="X2920">
        <v>0</v>
      </c>
      <c r="Y2920">
        <v>0</v>
      </c>
    </row>
    <row r="2921" spans="1:25" x14ac:dyDescent="0.2">
      <c r="A2921" t="s">
        <v>10837</v>
      </c>
      <c r="B2921" t="s">
        <v>10838</v>
      </c>
      <c r="C2921" t="s">
        <v>14586</v>
      </c>
      <c r="D2921" t="s">
        <v>10839</v>
      </c>
      <c r="E2921" t="s">
        <v>10838</v>
      </c>
      <c r="F2921" t="s">
        <v>28</v>
      </c>
      <c r="G2921" t="s">
        <v>10838</v>
      </c>
      <c r="H2921" t="str">
        <f>"F30F8.9"</f>
        <v>F30F8.9</v>
      </c>
      <c r="I2921" t="s">
        <v>10839</v>
      </c>
      <c r="J2921">
        <v>14.680953190826299</v>
      </c>
      <c r="K2921">
        <v>14.285429286141101</v>
      </c>
      <c r="L2921">
        <v>14.3599529047658</v>
      </c>
      <c r="M2921">
        <v>14.816886149448001</v>
      </c>
      <c r="N2921">
        <v>14.6426914351677</v>
      </c>
      <c r="O2921">
        <v>14.415831261699299</v>
      </c>
      <c r="P2921">
        <v>0.183024488193965</v>
      </c>
      <c r="Q2921">
        <v>-0.34921864403813702</v>
      </c>
      <c r="R2921">
        <v>0.71526762042606695</v>
      </c>
      <c r="S2921">
        <v>14.3085467646218</v>
      </c>
      <c r="T2921">
        <v>0.72585378859677097</v>
      </c>
      <c r="U2921">
        <v>-6.6106036955977796</v>
      </c>
      <c r="V2921">
        <v>0.47786382433774699</v>
      </c>
      <c r="W2921">
        <v>0.93764446794243095</v>
      </c>
      <c r="X2921">
        <v>0</v>
      </c>
      <c r="Y2921">
        <v>0</v>
      </c>
    </row>
    <row r="2922" spans="1:25" x14ac:dyDescent="0.2">
      <c r="A2922" t="s">
        <v>10840</v>
      </c>
      <c r="B2922" t="s">
        <v>10841</v>
      </c>
      <c r="C2922" t="s">
        <v>10842</v>
      </c>
      <c r="D2922" t="s">
        <v>10843</v>
      </c>
      <c r="E2922" t="s">
        <v>10841</v>
      </c>
      <c r="F2922" t="s">
        <v>28</v>
      </c>
      <c r="G2922" t="s">
        <v>10841</v>
      </c>
      <c r="H2922" t="str">
        <f>"gls-1"</f>
        <v>gls-1</v>
      </c>
      <c r="I2922" t="s">
        <v>10843</v>
      </c>
      <c r="J2922">
        <v>14.0289615228358</v>
      </c>
      <c r="K2922">
        <v>13.742903177427101</v>
      </c>
      <c r="L2922">
        <v>14.472481971796</v>
      </c>
      <c r="M2922">
        <v>14.0781510884498</v>
      </c>
      <c r="N2922">
        <v>14.1627748740184</v>
      </c>
      <c r="O2922">
        <v>13.8294342234023</v>
      </c>
      <c r="P2922">
        <v>-5.7995495396113497E-2</v>
      </c>
      <c r="Q2922">
        <v>-0.56797936606418897</v>
      </c>
      <c r="R2922">
        <v>0.45198837527196201</v>
      </c>
      <c r="S2922">
        <v>14.2672611449174</v>
      </c>
      <c r="T2922">
        <v>-0.239017849619414</v>
      </c>
      <c r="U2922">
        <v>-6.8526875372797402</v>
      </c>
      <c r="V2922">
        <v>0.81380770516837397</v>
      </c>
      <c r="W2922">
        <v>0.99278624068726296</v>
      </c>
      <c r="X2922">
        <v>0</v>
      </c>
      <c r="Y2922">
        <v>0</v>
      </c>
    </row>
    <row r="2923" spans="1:25" x14ac:dyDescent="0.2">
      <c r="A2923" t="s">
        <v>10844</v>
      </c>
      <c r="B2923" t="s">
        <v>10845</v>
      </c>
      <c r="C2923" t="s">
        <v>10846</v>
      </c>
      <c r="D2923" t="s">
        <v>10847</v>
      </c>
      <c r="E2923" t="s">
        <v>10845</v>
      </c>
      <c r="F2923" t="s">
        <v>28</v>
      </c>
      <c r="G2923" t="s">
        <v>10845</v>
      </c>
      <c r="H2923" t="str">
        <f>"npp-22"</f>
        <v>npp-22</v>
      </c>
      <c r="I2923" t="s">
        <v>10847</v>
      </c>
      <c r="J2923">
        <v>15.537331000226899</v>
      </c>
      <c r="K2923">
        <v>15.562099471963</v>
      </c>
      <c r="L2923">
        <v>15.747428997354101</v>
      </c>
      <c r="M2923">
        <v>15.727936977456899</v>
      </c>
      <c r="N2923">
        <v>15.6213578779205</v>
      </c>
      <c r="O2923">
        <v>15.4192210532975</v>
      </c>
      <c r="P2923">
        <v>-2.61145202897364E-2</v>
      </c>
      <c r="Q2923">
        <v>-0.41563672744849101</v>
      </c>
      <c r="R2923">
        <v>0.36340768686901798</v>
      </c>
      <c r="S2923">
        <v>15.8754246427557</v>
      </c>
      <c r="T2923">
        <v>-0.14091017142080201</v>
      </c>
      <c r="U2923">
        <v>-6.8721208312492603</v>
      </c>
      <c r="V2923">
        <v>0.88951497438020599</v>
      </c>
      <c r="W2923">
        <v>0.99702926582654094</v>
      </c>
      <c r="X2923">
        <v>0</v>
      </c>
      <c r="Y2923">
        <v>0</v>
      </c>
    </row>
    <row r="2924" spans="1:25" x14ac:dyDescent="0.2">
      <c r="A2924" t="s">
        <v>10848</v>
      </c>
      <c r="B2924" t="s">
        <v>10849</v>
      </c>
      <c r="C2924" t="s">
        <v>10850</v>
      </c>
      <c r="D2924" t="s">
        <v>10851</v>
      </c>
      <c r="E2924" t="s">
        <v>10849</v>
      </c>
      <c r="F2924" t="s">
        <v>28</v>
      </c>
      <c r="G2924" t="s">
        <v>10849</v>
      </c>
      <c r="H2924" t="str">
        <f>"odr-4"</f>
        <v>odr-4</v>
      </c>
      <c r="I2924" t="s">
        <v>10851</v>
      </c>
      <c r="J2924" t="s">
        <v>29</v>
      </c>
      <c r="K2924" t="s">
        <v>29</v>
      </c>
      <c r="L2924" t="s">
        <v>29</v>
      </c>
      <c r="M2924">
        <v>10.0720031568913</v>
      </c>
      <c r="N2924">
        <v>11.7917237108505</v>
      </c>
      <c r="O2924">
        <v>11.446850661627099</v>
      </c>
      <c r="P2924" t="s">
        <v>29</v>
      </c>
      <c r="Q2924" t="s">
        <v>29</v>
      </c>
      <c r="R2924" t="s">
        <v>29</v>
      </c>
      <c r="S2924">
        <v>10.915848016232999</v>
      </c>
      <c r="T2924" t="s">
        <v>29</v>
      </c>
      <c r="U2924" t="s">
        <v>29</v>
      </c>
      <c r="V2924" t="s">
        <v>29</v>
      </c>
      <c r="W2924" t="s">
        <v>29</v>
      </c>
      <c r="X2924" t="s">
        <v>29</v>
      </c>
      <c r="Y2924" t="s">
        <v>29</v>
      </c>
    </row>
    <row r="2925" spans="1:25" x14ac:dyDescent="0.2">
      <c r="A2925" t="s">
        <v>10852</v>
      </c>
      <c r="B2925" t="s">
        <v>10853</v>
      </c>
      <c r="C2925" t="s">
        <v>10854</v>
      </c>
      <c r="D2925" t="s">
        <v>10855</v>
      </c>
      <c r="E2925" t="s">
        <v>10853</v>
      </c>
      <c r="F2925" t="s">
        <v>28</v>
      </c>
      <c r="G2925" t="s">
        <v>10853</v>
      </c>
      <c r="H2925" t="str">
        <f>"pct-1"</f>
        <v>pct-1</v>
      </c>
      <c r="I2925" t="s">
        <v>10855</v>
      </c>
      <c r="J2925">
        <v>12.123844091167999</v>
      </c>
      <c r="K2925">
        <v>12.4485012048813</v>
      </c>
      <c r="L2925">
        <v>12.5631918527799</v>
      </c>
      <c r="M2925">
        <v>11.566997971185</v>
      </c>
      <c r="N2925">
        <v>12.452048509904399</v>
      </c>
      <c r="O2925">
        <v>12.015161212224999</v>
      </c>
      <c r="P2925">
        <v>-0.36710981850496999</v>
      </c>
      <c r="Q2925">
        <v>-0.85478296785443997</v>
      </c>
      <c r="R2925">
        <v>0.12056333084449999</v>
      </c>
      <c r="S2925">
        <v>12.363301778234</v>
      </c>
      <c r="T2925">
        <v>-1.59667558800764</v>
      </c>
      <c r="U2925">
        <v>-5.6398397580119797</v>
      </c>
      <c r="V2925">
        <v>0.130025103819082</v>
      </c>
      <c r="W2925">
        <v>0.72021766768664797</v>
      </c>
      <c r="X2925">
        <v>0</v>
      </c>
      <c r="Y2925">
        <v>0</v>
      </c>
    </row>
    <row r="2926" spans="1:25" x14ac:dyDescent="0.2">
      <c r="A2926" t="s">
        <v>10856</v>
      </c>
      <c r="B2926" t="s">
        <v>10857</v>
      </c>
      <c r="C2926" t="s">
        <v>10858</v>
      </c>
      <c r="D2926" t="s">
        <v>10859</v>
      </c>
      <c r="E2926" t="s">
        <v>10857</v>
      </c>
      <c r="F2926" t="s">
        <v>28</v>
      </c>
      <c r="G2926" t="s">
        <v>10857</v>
      </c>
      <c r="H2926" t="str">
        <f>"fpn-1.1"</f>
        <v>fpn-1.1</v>
      </c>
      <c r="I2926" t="s">
        <v>10859</v>
      </c>
      <c r="J2926">
        <v>12.446737244305099</v>
      </c>
      <c r="K2926">
        <v>12.9329826469043</v>
      </c>
      <c r="L2926">
        <v>12.5931392772943</v>
      </c>
      <c r="M2926">
        <v>12.746850975893601</v>
      </c>
      <c r="N2926">
        <v>12.580290425284501</v>
      </c>
      <c r="O2926">
        <v>12.448150782530099</v>
      </c>
      <c r="P2926">
        <v>-6.5855661598490697E-2</v>
      </c>
      <c r="Q2926">
        <v>-0.64777973789611598</v>
      </c>
      <c r="R2926">
        <v>0.516068414699134</v>
      </c>
      <c r="S2926">
        <v>12.6246947479653</v>
      </c>
      <c r="T2926">
        <v>-0.24289506101064501</v>
      </c>
      <c r="U2926">
        <v>-6.8512605118839396</v>
      </c>
      <c r="V2926">
        <v>0.811635575263293</v>
      </c>
      <c r="W2926">
        <v>0.99278624068726296</v>
      </c>
      <c r="X2926">
        <v>0</v>
      </c>
      <c r="Y2926">
        <v>0</v>
      </c>
    </row>
    <row r="2927" spans="1:25" x14ac:dyDescent="0.2">
      <c r="A2927" t="s">
        <v>10860</v>
      </c>
      <c r="B2927" t="s">
        <v>10861</v>
      </c>
      <c r="C2927" t="s">
        <v>10862</v>
      </c>
      <c r="D2927" t="s">
        <v>10863</v>
      </c>
      <c r="E2927" t="s">
        <v>10861</v>
      </c>
      <c r="F2927" t="s">
        <v>28</v>
      </c>
      <c r="G2927" t="s">
        <v>10861</v>
      </c>
      <c r="H2927" t="str">
        <f>"let-611"</f>
        <v>let-611</v>
      </c>
      <c r="I2927" t="s">
        <v>10863</v>
      </c>
      <c r="J2927" t="s">
        <v>29</v>
      </c>
      <c r="K2927" t="s">
        <v>29</v>
      </c>
      <c r="L2927" t="s">
        <v>29</v>
      </c>
      <c r="M2927" t="s">
        <v>29</v>
      </c>
      <c r="N2927" t="s">
        <v>29</v>
      </c>
      <c r="O2927" t="s">
        <v>29</v>
      </c>
      <c r="P2927" t="s">
        <v>29</v>
      </c>
      <c r="Q2927" t="s">
        <v>29</v>
      </c>
      <c r="R2927" t="s">
        <v>29</v>
      </c>
      <c r="S2927">
        <v>10.074140373073</v>
      </c>
      <c r="T2927" t="s">
        <v>29</v>
      </c>
      <c r="U2927" t="s">
        <v>29</v>
      </c>
      <c r="V2927" t="s">
        <v>29</v>
      </c>
      <c r="W2927" t="s">
        <v>29</v>
      </c>
      <c r="X2927" t="s">
        <v>29</v>
      </c>
      <c r="Y2927" t="s">
        <v>29</v>
      </c>
    </row>
    <row r="2928" spans="1:25" x14ac:dyDescent="0.2">
      <c r="A2928" t="s">
        <v>10864</v>
      </c>
      <c r="B2928" t="s">
        <v>10865</v>
      </c>
      <c r="C2928" t="s">
        <v>10866</v>
      </c>
      <c r="D2928" t="s">
        <v>10867</v>
      </c>
      <c r="E2928" t="s">
        <v>10865</v>
      </c>
      <c r="F2928" t="s">
        <v>28</v>
      </c>
      <c r="G2928" t="s">
        <v>10865</v>
      </c>
      <c r="H2928" t="str">
        <f>"lpd-2"</f>
        <v>lpd-2</v>
      </c>
      <c r="I2928" t="s">
        <v>10867</v>
      </c>
      <c r="J2928" t="s">
        <v>29</v>
      </c>
      <c r="K2928" t="s">
        <v>29</v>
      </c>
      <c r="L2928" t="s">
        <v>29</v>
      </c>
      <c r="M2928" t="s">
        <v>29</v>
      </c>
      <c r="N2928" t="s">
        <v>29</v>
      </c>
      <c r="O2928" t="s">
        <v>29</v>
      </c>
      <c r="P2928" t="s">
        <v>29</v>
      </c>
      <c r="Q2928" t="s">
        <v>29</v>
      </c>
      <c r="R2928" t="s">
        <v>29</v>
      </c>
      <c r="S2928">
        <v>12.3123120799231</v>
      </c>
      <c r="T2928" t="s">
        <v>29</v>
      </c>
      <c r="U2928" t="s">
        <v>29</v>
      </c>
      <c r="V2928" t="s">
        <v>29</v>
      </c>
      <c r="W2928" t="s">
        <v>29</v>
      </c>
      <c r="X2928" t="s">
        <v>29</v>
      </c>
      <c r="Y2928" t="s">
        <v>29</v>
      </c>
    </row>
    <row r="2929" spans="1:25" x14ac:dyDescent="0.2">
      <c r="A2929" t="s">
        <v>10868</v>
      </c>
      <c r="B2929" t="s">
        <v>10869</v>
      </c>
      <c r="C2929" t="s">
        <v>10870</v>
      </c>
      <c r="D2929" t="s">
        <v>10871</v>
      </c>
      <c r="E2929" t="s">
        <v>10869</v>
      </c>
      <c r="F2929" t="s">
        <v>28</v>
      </c>
      <c r="G2929" t="s">
        <v>10869</v>
      </c>
      <c r="H2929" t="str">
        <f>"gip-1"</f>
        <v>gip-1</v>
      </c>
      <c r="I2929" t="s">
        <v>10871</v>
      </c>
      <c r="J2929">
        <v>13.172095603710501</v>
      </c>
      <c r="K2929">
        <v>13.439832269738201</v>
      </c>
      <c r="L2929">
        <v>13.7392431337156</v>
      </c>
      <c r="M2929">
        <v>13.471422312657101</v>
      </c>
      <c r="N2929">
        <v>13.4001162434178</v>
      </c>
      <c r="O2929">
        <v>13.332912710558301</v>
      </c>
      <c r="P2929">
        <v>-4.8906580176991503E-2</v>
      </c>
      <c r="Q2929">
        <v>-0.44218065263348399</v>
      </c>
      <c r="R2929">
        <v>0.34436749227950098</v>
      </c>
      <c r="S2929">
        <v>13.869075770386001</v>
      </c>
      <c r="T2929">
        <v>-0.262495578968302</v>
      </c>
      <c r="U2929">
        <v>-6.8464488254880296</v>
      </c>
      <c r="V2929">
        <v>0.79611333987133703</v>
      </c>
      <c r="W2929">
        <v>0.99278624068726296</v>
      </c>
      <c r="X2929">
        <v>0</v>
      </c>
      <c r="Y2929">
        <v>0</v>
      </c>
    </row>
    <row r="2930" spans="1:25" x14ac:dyDescent="0.2">
      <c r="A2930" t="s">
        <v>10872</v>
      </c>
      <c r="B2930" t="s">
        <v>10873</v>
      </c>
      <c r="C2930" t="s">
        <v>10874</v>
      </c>
      <c r="D2930" t="s">
        <v>10875</v>
      </c>
      <c r="E2930" t="s">
        <v>10873</v>
      </c>
      <c r="F2930" t="s">
        <v>28</v>
      </c>
      <c r="G2930" t="s">
        <v>10873</v>
      </c>
      <c r="H2930" t="str">
        <f>"C50D2.5"</f>
        <v>C50D2.5</v>
      </c>
      <c r="I2930" t="s">
        <v>10875</v>
      </c>
      <c r="J2930">
        <v>12.863177881416799</v>
      </c>
      <c r="K2930">
        <v>13.0804282852736</v>
      </c>
      <c r="L2930">
        <v>12.8551681790556</v>
      </c>
      <c r="M2930">
        <v>13.0401019156951</v>
      </c>
      <c r="N2930" t="s">
        <v>29</v>
      </c>
      <c r="O2930">
        <v>12.7537258674163</v>
      </c>
      <c r="P2930">
        <v>-3.60108903596092E-2</v>
      </c>
      <c r="Q2930">
        <v>-0.83439112832260098</v>
      </c>
      <c r="R2930">
        <v>0.76236934760338304</v>
      </c>
      <c r="S2930">
        <v>12.7554693223653</v>
      </c>
      <c r="T2930">
        <v>-9.7523959463999305E-2</v>
      </c>
      <c r="U2930">
        <v>-6.7671482722747998</v>
      </c>
      <c r="V2930">
        <v>0.92380984693155299</v>
      </c>
      <c r="W2930">
        <v>0.99843270744267199</v>
      </c>
      <c r="X2930">
        <v>0</v>
      </c>
      <c r="Y2930">
        <v>0</v>
      </c>
    </row>
    <row r="2931" spans="1:25" x14ac:dyDescent="0.2">
      <c r="A2931" t="s">
        <v>10876</v>
      </c>
      <c r="B2931" t="s">
        <v>10877</v>
      </c>
      <c r="C2931" t="s">
        <v>10878</v>
      </c>
      <c r="D2931" t="s">
        <v>10879</v>
      </c>
      <c r="E2931" t="s">
        <v>10877</v>
      </c>
      <c r="F2931" t="s">
        <v>28</v>
      </c>
      <c r="G2931" t="s">
        <v>10877</v>
      </c>
      <c r="H2931" t="str">
        <f>"luc-7l3"</f>
        <v>luc-7l3</v>
      </c>
      <c r="I2931" t="s">
        <v>10879</v>
      </c>
      <c r="J2931" t="s">
        <v>29</v>
      </c>
      <c r="K2931">
        <v>10.909665977476401</v>
      </c>
      <c r="L2931">
        <v>11.6388525877513</v>
      </c>
      <c r="M2931">
        <v>12.3349183498662</v>
      </c>
      <c r="N2931">
        <v>11.7541766032514</v>
      </c>
      <c r="O2931">
        <v>11.6455900455814</v>
      </c>
      <c r="P2931">
        <v>0.63730238361920399</v>
      </c>
      <c r="Q2931">
        <v>-0.10564191722317801</v>
      </c>
      <c r="R2931">
        <v>1.3802466844615899</v>
      </c>
      <c r="S2931">
        <v>12.6352450134292</v>
      </c>
      <c r="T2931">
        <v>1.82949359384407</v>
      </c>
      <c r="U2931">
        <v>-5.1841386049341196</v>
      </c>
      <c r="V2931">
        <v>8.7412967289900306E-2</v>
      </c>
      <c r="W2931">
        <v>0.62160332295040199</v>
      </c>
      <c r="X2931">
        <v>0</v>
      </c>
      <c r="Y2931">
        <v>0</v>
      </c>
    </row>
    <row r="2932" spans="1:25" x14ac:dyDescent="0.2">
      <c r="A2932" t="s">
        <v>10880</v>
      </c>
      <c r="B2932" t="s">
        <v>10881</v>
      </c>
      <c r="C2932" t="s">
        <v>10882</v>
      </c>
      <c r="D2932" t="s">
        <v>10883</v>
      </c>
      <c r="E2932" t="s">
        <v>10881</v>
      </c>
      <c r="F2932" t="s">
        <v>28</v>
      </c>
      <c r="G2932" t="s">
        <v>10881</v>
      </c>
      <c r="H2932" t="str">
        <f>"mcat-1"</f>
        <v>mcat-1</v>
      </c>
      <c r="I2932" t="s">
        <v>10883</v>
      </c>
      <c r="J2932">
        <v>12.151956740004101</v>
      </c>
      <c r="K2932">
        <v>12.8244223382948</v>
      </c>
      <c r="L2932">
        <v>12.7046380395568</v>
      </c>
      <c r="M2932">
        <v>11.9669046120262</v>
      </c>
      <c r="N2932">
        <v>13.099934385135899</v>
      </c>
      <c r="O2932">
        <v>12.2109376995127</v>
      </c>
      <c r="P2932">
        <v>-0.134413473726987</v>
      </c>
      <c r="Q2932">
        <v>-0.69193421212798201</v>
      </c>
      <c r="R2932">
        <v>0.423107264674008</v>
      </c>
      <c r="S2932">
        <v>12.917559111019999</v>
      </c>
      <c r="T2932">
        <v>-0.51136536304711699</v>
      </c>
      <c r="U2932">
        <v>-6.7460799620852097</v>
      </c>
      <c r="V2932">
        <v>0.61612511659741598</v>
      </c>
      <c r="W2932">
        <v>0.97238011246645495</v>
      </c>
      <c r="X2932">
        <v>0</v>
      </c>
      <c r="Y2932">
        <v>0</v>
      </c>
    </row>
    <row r="2933" spans="1:25" x14ac:dyDescent="0.2">
      <c r="A2933" t="s">
        <v>10884</v>
      </c>
      <c r="B2933" t="s">
        <v>10885</v>
      </c>
      <c r="C2933" t="s">
        <v>14587</v>
      </c>
      <c r="D2933" t="s">
        <v>10886</v>
      </c>
      <c r="E2933" t="s">
        <v>10885</v>
      </c>
      <c r="F2933" t="s">
        <v>28</v>
      </c>
      <c r="G2933" t="s">
        <v>10885</v>
      </c>
      <c r="H2933" t="str">
        <f>"R148.3"</f>
        <v>R148.3</v>
      </c>
      <c r="I2933" t="s">
        <v>10886</v>
      </c>
      <c r="J2933">
        <v>12.329380433047699</v>
      </c>
      <c r="K2933">
        <v>12.531802686243999</v>
      </c>
      <c r="L2933">
        <v>12.384094515056599</v>
      </c>
      <c r="M2933">
        <v>12.040945566084901</v>
      </c>
      <c r="N2933">
        <v>11.945075043986201</v>
      </c>
      <c r="O2933">
        <v>12.317085102446899</v>
      </c>
      <c r="P2933">
        <v>-0.31405730727675502</v>
      </c>
      <c r="Q2933">
        <v>-1.09782210717616</v>
      </c>
      <c r="R2933">
        <v>0.46970749262264899</v>
      </c>
      <c r="S2933">
        <v>12.6331977848651</v>
      </c>
      <c r="T2933">
        <v>-0.84581067316638303</v>
      </c>
      <c r="U2933">
        <v>-6.5153267489657196</v>
      </c>
      <c r="V2933">
        <v>0.40947818523528601</v>
      </c>
      <c r="W2933">
        <v>0.91512503332874395</v>
      </c>
      <c r="X2933">
        <v>0</v>
      </c>
      <c r="Y2933">
        <v>0</v>
      </c>
    </row>
    <row r="2934" spans="1:25" x14ac:dyDescent="0.2">
      <c r="A2934" t="s">
        <v>10887</v>
      </c>
      <c r="B2934" t="s">
        <v>10888</v>
      </c>
      <c r="C2934" t="s">
        <v>10889</v>
      </c>
      <c r="D2934" t="s">
        <v>6796</v>
      </c>
      <c r="E2934" t="s">
        <v>10888</v>
      </c>
      <c r="F2934" t="s">
        <v>28</v>
      </c>
      <c r="G2934" t="s">
        <v>10888</v>
      </c>
      <c r="H2934" t="str">
        <f>"puf-11"</f>
        <v>puf-11</v>
      </c>
      <c r="I2934" t="s">
        <v>6796</v>
      </c>
      <c r="J2934">
        <v>10.805341128983301</v>
      </c>
      <c r="K2934">
        <v>11.171644529280099</v>
      </c>
      <c r="L2934">
        <v>11.871526536858299</v>
      </c>
      <c r="M2934">
        <v>11.7586475860899</v>
      </c>
      <c r="N2934">
        <v>12.044483115354</v>
      </c>
      <c r="O2934">
        <v>12.636046982950599</v>
      </c>
      <c r="P2934">
        <v>0.86355516309091995</v>
      </c>
      <c r="Q2934">
        <v>-2.49374988095248E-2</v>
      </c>
      <c r="R2934">
        <v>1.75204782499137</v>
      </c>
      <c r="S2934">
        <v>12.3418214407512</v>
      </c>
      <c r="T2934">
        <v>2.06151153702403</v>
      </c>
      <c r="U2934">
        <v>-4.9041643515505697</v>
      </c>
      <c r="V2934">
        <v>5.6002196131959101E-2</v>
      </c>
      <c r="W2934">
        <v>0.50684438128921605</v>
      </c>
      <c r="X2934">
        <v>0</v>
      </c>
      <c r="Y2934">
        <v>0</v>
      </c>
    </row>
    <row r="2935" spans="1:25" x14ac:dyDescent="0.2">
      <c r="A2935" t="s">
        <v>10890</v>
      </c>
      <c r="B2935" t="s">
        <v>10891</v>
      </c>
      <c r="C2935" t="s">
        <v>10892</v>
      </c>
      <c r="D2935" t="s">
        <v>10893</v>
      </c>
      <c r="E2935" t="s">
        <v>10891</v>
      </c>
      <c r="F2935" t="s">
        <v>28</v>
      </c>
      <c r="G2935" t="s">
        <v>10891</v>
      </c>
      <c r="H2935" t="str">
        <f>"gap-2"</f>
        <v>gap-2</v>
      </c>
      <c r="I2935" t="s">
        <v>10893</v>
      </c>
      <c r="J2935" t="s">
        <v>29</v>
      </c>
      <c r="K2935" t="s">
        <v>29</v>
      </c>
      <c r="L2935" t="s">
        <v>29</v>
      </c>
      <c r="M2935" t="s">
        <v>29</v>
      </c>
      <c r="N2935" t="s">
        <v>29</v>
      </c>
      <c r="O2935" t="s">
        <v>29</v>
      </c>
      <c r="P2935" t="s">
        <v>29</v>
      </c>
      <c r="Q2935" t="s">
        <v>29</v>
      </c>
      <c r="R2935" t="s">
        <v>29</v>
      </c>
      <c r="S2935">
        <v>10.0564893135349</v>
      </c>
      <c r="T2935" t="s">
        <v>29</v>
      </c>
      <c r="U2935" t="s">
        <v>29</v>
      </c>
      <c r="V2935" t="s">
        <v>29</v>
      </c>
      <c r="W2935" t="s">
        <v>29</v>
      </c>
      <c r="X2935" t="s">
        <v>29</v>
      </c>
      <c r="Y2935" t="s">
        <v>29</v>
      </c>
    </row>
    <row r="2936" spans="1:25" x14ac:dyDescent="0.2">
      <c r="A2936" t="s">
        <v>10894</v>
      </c>
      <c r="B2936" t="s">
        <v>10895</v>
      </c>
      <c r="C2936" t="s">
        <v>14588</v>
      </c>
      <c r="D2936" t="s">
        <v>3688</v>
      </c>
      <c r="E2936" t="s">
        <v>10895</v>
      </c>
      <c r="F2936" t="s">
        <v>28</v>
      </c>
      <c r="G2936" t="s">
        <v>10895</v>
      </c>
      <c r="H2936" t="str">
        <f>"F28F5.6"</f>
        <v>F28F5.6</v>
      </c>
      <c r="I2936" t="s">
        <v>3688</v>
      </c>
      <c r="J2936">
        <v>10.781951998395201</v>
      </c>
      <c r="K2936">
        <v>11.0586007509759</v>
      </c>
      <c r="L2936">
        <v>11.331766237932399</v>
      </c>
      <c r="M2936">
        <v>11.36713270399</v>
      </c>
      <c r="N2936">
        <v>11.1063007228285</v>
      </c>
      <c r="O2936">
        <v>10.784886274261</v>
      </c>
      <c r="P2936">
        <v>2.8666904591991799E-2</v>
      </c>
      <c r="Q2936">
        <v>-0.43521724123241601</v>
      </c>
      <c r="R2936">
        <v>0.49255105041639902</v>
      </c>
      <c r="S2936">
        <v>11.4170949243252</v>
      </c>
      <c r="T2936">
        <v>0.13179923120405401</v>
      </c>
      <c r="U2936">
        <v>-6.8733218920104404</v>
      </c>
      <c r="V2936">
        <v>0.89690692263379301</v>
      </c>
      <c r="W2936">
        <v>0.99833354317360001</v>
      </c>
      <c r="X2936">
        <v>0</v>
      </c>
      <c r="Y2936">
        <v>0</v>
      </c>
    </row>
    <row r="2937" spans="1:25" x14ac:dyDescent="0.2">
      <c r="A2937" t="s">
        <v>10896</v>
      </c>
      <c r="B2937" t="s">
        <v>10897</v>
      </c>
      <c r="C2937" t="s">
        <v>10898</v>
      </c>
      <c r="D2937" t="s">
        <v>1281</v>
      </c>
      <c r="E2937" t="s">
        <v>10897</v>
      </c>
      <c r="F2937" t="s">
        <v>28</v>
      </c>
      <c r="G2937" t="s">
        <v>10897</v>
      </c>
      <c r="H2937" t="str">
        <f>"lim-8"</f>
        <v>lim-8</v>
      </c>
      <c r="I2937" t="s">
        <v>1281</v>
      </c>
      <c r="J2937" t="s">
        <v>29</v>
      </c>
      <c r="K2937" t="s">
        <v>29</v>
      </c>
      <c r="L2937">
        <v>11.588326834924899</v>
      </c>
      <c r="M2937" t="s">
        <v>29</v>
      </c>
      <c r="N2937" t="s">
        <v>29</v>
      </c>
      <c r="O2937" t="s">
        <v>29</v>
      </c>
      <c r="P2937" t="s">
        <v>29</v>
      </c>
      <c r="Q2937" t="s">
        <v>29</v>
      </c>
      <c r="R2937" t="s">
        <v>29</v>
      </c>
      <c r="S2937">
        <v>11.0343830019943</v>
      </c>
      <c r="T2937" t="s">
        <v>29</v>
      </c>
      <c r="U2937" t="s">
        <v>29</v>
      </c>
      <c r="V2937" t="s">
        <v>29</v>
      </c>
      <c r="W2937" t="s">
        <v>29</v>
      </c>
      <c r="X2937" t="s">
        <v>29</v>
      </c>
      <c r="Y2937" t="s">
        <v>29</v>
      </c>
    </row>
    <row r="2938" spans="1:25" x14ac:dyDescent="0.2">
      <c r="A2938" t="s">
        <v>10899</v>
      </c>
      <c r="B2938" t="s">
        <v>10900</v>
      </c>
      <c r="C2938" t="s">
        <v>10901</v>
      </c>
      <c r="D2938" t="s">
        <v>10902</v>
      </c>
      <c r="E2938" t="s">
        <v>10900</v>
      </c>
      <c r="F2938" t="s">
        <v>28</v>
      </c>
      <c r="G2938" t="s">
        <v>10900</v>
      </c>
      <c r="H2938" t="str">
        <f>"spas-1"</f>
        <v>spas-1</v>
      </c>
      <c r="I2938" t="s">
        <v>10902</v>
      </c>
      <c r="J2938">
        <v>11.938860137841401</v>
      </c>
      <c r="K2938">
        <v>12.2310522993539</v>
      </c>
      <c r="L2938">
        <v>12.3558354396434</v>
      </c>
      <c r="M2938">
        <v>12.023717260099</v>
      </c>
      <c r="N2938">
        <v>12.2676179187636</v>
      </c>
      <c r="O2938">
        <v>12.491867032342601</v>
      </c>
      <c r="P2938">
        <v>8.5818111455481003E-2</v>
      </c>
      <c r="Q2938">
        <v>-0.32257180552374298</v>
      </c>
      <c r="R2938">
        <v>0.49420802843470502</v>
      </c>
      <c r="S2938">
        <v>12.2822400687553</v>
      </c>
      <c r="T2938">
        <v>0.44817285434648302</v>
      </c>
      <c r="U2938">
        <v>-6.7771385846652397</v>
      </c>
      <c r="V2938">
        <v>0.66047861202303804</v>
      </c>
      <c r="W2938">
        <v>0.98382359994193702</v>
      </c>
      <c r="X2938">
        <v>0</v>
      </c>
      <c r="Y2938">
        <v>0</v>
      </c>
    </row>
    <row r="2939" spans="1:25" x14ac:dyDescent="0.2">
      <c r="A2939" t="s">
        <v>10903</v>
      </c>
      <c r="B2939" t="s">
        <v>10904</v>
      </c>
      <c r="C2939" t="s">
        <v>10905</v>
      </c>
      <c r="D2939" t="s">
        <v>66</v>
      </c>
      <c r="E2939" t="s">
        <v>10904</v>
      </c>
      <c r="F2939" t="s">
        <v>28</v>
      </c>
      <c r="G2939" t="s">
        <v>10904</v>
      </c>
      <c r="H2939" t="str">
        <f>"obr-3"</f>
        <v>obr-3</v>
      </c>
      <c r="I2939" t="s">
        <v>66</v>
      </c>
      <c r="J2939">
        <v>13.4521904141754</v>
      </c>
      <c r="K2939">
        <v>13.4850377748513</v>
      </c>
      <c r="L2939">
        <v>13.067658603105</v>
      </c>
      <c r="M2939">
        <v>12.936422120694999</v>
      </c>
      <c r="N2939">
        <v>13.2618577421352</v>
      </c>
      <c r="O2939">
        <v>13.295970570077699</v>
      </c>
      <c r="P2939">
        <v>-0.17021211974130601</v>
      </c>
      <c r="Q2939">
        <v>-0.71368948096516405</v>
      </c>
      <c r="R2939">
        <v>0.37326524148255202</v>
      </c>
      <c r="S2939">
        <v>12.7327707561517</v>
      </c>
      <c r="T2939">
        <v>-0.66108763672444704</v>
      </c>
      <c r="U2939">
        <v>-6.6563659301966496</v>
      </c>
      <c r="V2939">
        <v>0.51747046240904704</v>
      </c>
      <c r="W2939">
        <v>0.94227592550871997</v>
      </c>
      <c r="X2939">
        <v>0</v>
      </c>
      <c r="Y2939">
        <v>0</v>
      </c>
    </row>
    <row r="2940" spans="1:25" x14ac:dyDescent="0.2">
      <c r="A2940" t="s">
        <v>10906</v>
      </c>
      <c r="B2940" t="s">
        <v>10907</v>
      </c>
      <c r="C2940" t="s">
        <v>10908</v>
      </c>
      <c r="D2940" t="s">
        <v>10561</v>
      </c>
      <c r="E2940" t="s">
        <v>10907</v>
      </c>
      <c r="F2940" t="s">
        <v>28</v>
      </c>
      <c r="G2940" t="s">
        <v>10907</v>
      </c>
      <c r="H2940" t="str">
        <f>"sek-3"</f>
        <v>sek-3</v>
      </c>
      <c r="I2940" t="s">
        <v>10561</v>
      </c>
      <c r="J2940">
        <v>10.967730796524799</v>
      </c>
      <c r="K2940">
        <v>11.5933380298119</v>
      </c>
      <c r="L2940">
        <v>11.500452669359801</v>
      </c>
      <c r="M2940">
        <v>11.3215013943008</v>
      </c>
      <c r="N2940">
        <v>12.090987921539</v>
      </c>
      <c r="O2940">
        <v>11.0996543356554</v>
      </c>
      <c r="P2940">
        <v>0.15020738526622199</v>
      </c>
      <c r="Q2940">
        <v>-0.52598028839822697</v>
      </c>
      <c r="R2940">
        <v>0.826395058930672</v>
      </c>
      <c r="S2940">
        <v>12.028039562862901</v>
      </c>
      <c r="T2940">
        <v>0.47376791143005198</v>
      </c>
      <c r="U2940">
        <v>-6.7648549119697803</v>
      </c>
      <c r="V2940">
        <v>0.64253496497274398</v>
      </c>
      <c r="W2940">
        <v>0.97768135215283802</v>
      </c>
      <c r="X2940">
        <v>0</v>
      </c>
      <c r="Y2940">
        <v>0</v>
      </c>
    </row>
    <row r="2941" spans="1:25" x14ac:dyDescent="0.2">
      <c r="A2941" t="s">
        <v>10909</v>
      </c>
      <c r="B2941" t="s">
        <v>10910</v>
      </c>
      <c r="C2941" t="s">
        <v>14589</v>
      </c>
      <c r="D2941" t="s">
        <v>323</v>
      </c>
      <c r="E2941" t="s">
        <v>10910</v>
      </c>
      <c r="F2941" t="s">
        <v>28</v>
      </c>
      <c r="G2941" t="s">
        <v>10910</v>
      </c>
      <c r="H2941" t="str">
        <f>"ZK354.2"</f>
        <v>ZK354.2</v>
      </c>
      <c r="I2941" t="s">
        <v>323</v>
      </c>
      <c r="J2941">
        <v>13.341904221539901</v>
      </c>
      <c r="K2941">
        <v>12.725250124681301</v>
      </c>
      <c r="L2941">
        <v>13.6668928005714</v>
      </c>
      <c r="M2941">
        <v>13.0181857132162</v>
      </c>
      <c r="N2941">
        <v>13.5672125901929</v>
      </c>
      <c r="O2941">
        <v>13.9999591896213</v>
      </c>
      <c r="P2941">
        <v>0.283770115412596</v>
      </c>
      <c r="Q2941">
        <v>-0.78537093392526702</v>
      </c>
      <c r="R2941">
        <v>1.3529111647504599</v>
      </c>
      <c r="S2941">
        <v>12.926416902224201</v>
      </c>
      <c r="T2941">
        <v>0.56024974237627001</v>
      </c>
      <c r="U2941">
        <v>-6.7194993344215899</v>
      </c>
      <c r="V2941">
        <v>0.58266251060366103</v>
      </c>
      <c r="W2941">
        <v>0.96315662445407302</v>
      </c>
      <c r="X2941">
        <v>0</v>
      </c>
      <c r="Y2941">
        <v>0</v>
      </c>
    </row>
    <row r="2942" spans="1:25" x14ac:dyDescent="0.2">
      <c r="A2942" t="s">
        <v>10911</v>
      </c>
      <c r="B2942" t="s">
        <v>10912</v>
      </c>
      <c r="C2942" t="s">
        <v>10913</v>
      </c>
      <c r="D2942" t="s">
        <v>10914</v>
      </c>
      <c r="E2942" t="s">
        <v>10912</v>
      </c>
      <c r="F2942" t="s">
        <v>28</v>
      </c>
      <c r="G2942" t="s">
        <v>10912</v>
      </c>
      <c r="H2942" t="str">
        <f>"del-6"</f>
        <v>del-6</v>
      </c>
      <c r="I2942" t="s">
        <v>10914</v>
      </c>
      <c r="J2942" t="s">
        <v>29</v>
      </c>
      <c r="K2942" t="s">
        <v>29</v>
      </c>
      <c r="L2942" t="s">
        <v>29</v>
      </c>
      <c r="M2942">
        <v>14.4191380586935</v>
      </c>
      <c r="N2942">
        <v>14.403996093379799</v>
      </c>
      <c r="O2942">
        <v>13.471512081460499</v>
      </c>
      <c r="P2942" t="s">
        <v>29</v>
      </c>
      <c r="Q2942" t="s">
        <v>29</v>
      </c>
      <c r="R2942" t="s">
        <v>29</v>
      </c>
      <c r="S2942">
        <v>13.077841514385099</v>
      </c>
      <c r="T2942" t="s">
        <v>29</v>
      </c>
      <c r="U2942" t="s">
        <v>29</v>
      </c>
      <c r="V2942" t="s">
        <v>29</v>
      </c>
      <c r="W2942" t="s">
        <v>29</v>
      </c>
      <c r="X2942" t="s">
        <v>29</v>
      </c>
      <c r="Y2942" t="s">
        <v>29</v>
      </c>
    </row>
    <row r="2943" spans="1:25" x14ac:dyDescent="0.2">
      <c r="A2943" t="s">
        <v>10915</v>
      </c>
      <c r="B2943" t="s">
        <v>10916</v>
      </c>
      <c r="C2943" t="s">
        <v>10917</v>
      </c>
      <c r="D2943" t="s">
        <v>1174</v>
      </c>
      <c r="E2943" t="s">
        <v>10916</v>
      </c>
      <c r="F2943" t="s">
        <v>28</v>
      </c>
      <c r="G2943" t="s">
        <v>10916</v>
      </c>
      <c r="H2943" t="str">
        <f>"zen-4"</f>
        <v>zen-4</v>
      </c>
      <c r="I2943" t="s">
        <v>1174</v>
      </c>
      <c r="J2943">
        <v>13.4952794046549</v>
      </c>
      <c r="K2943">
        <v>12.9363014342263</v>
      </c>
      <c r="L2943">
        <v>13.984485503062301</v>
      </c>
      <c r="M2943">
        <v>13.5801675330788</v>
      </c>
      <c r="N2943">
        <v>13.974947037982499</v>
      </c>
      <c r="O2943">
        <v>13.1021633307413</v>
      </c>
      <c r="P2943">
        <v>8.0403853286385996E-2</v>
      </c>
      <c r="Q2943">
        <v>-0.50803661089813501</v>
      </c>
      <c r="R2943">
        <v>0.668844317470907</v>
      </c>
      <c r="S2943">
        <v>14.0424397348923</v>
      </c>
      <c r="T2943">
        <v>0.28841931841058199</v>
      </c>
      <c r="U2943">
        <v>-6.8389971367393301</v>
      </c>
      <c r="V2943">
        <v>0.77653432560545699</v>
      </c>
      <c r="W2943">
        <v>0.99278624068726296</v>
      </c>
      <c r="X2943">
        <v>0</v>
      </c>
      <c r="Y2943">
        <v>0</v>
      </c>
    </row>
    <row r="2944" spans="1:25" x14ac:dyDescent="0.2">
      <c r="A2944" t="s">
        <v>10918</v>
      </c>
      <c r="B2944" t="s">
        <v>10919</v>
      </c>
      <c r="C2944" t="s">
        <v>14590</v>
      </c>
      <c r="D2944" t="s">
        <v>130</v>
      </c>
      <c r="E2944" t="s">
        <v>10919</v>
      </c>
      <c r="F2944" t="s">
        <v>28</v>
      </c>
      <c r="G2944" t="s">
        <v>10919</v>
      </c>
      <c r="H2944" t="str">
        <f>"F54D8.6"</f>
        <v>F54D8.6</v>
      </c>
      <c r="I2944" t="s">
        <v>130</v>
      </c>
      <c r="J2944" t="s">
        <v>29</v>
      </c>
      <c r="K2944" t="s">
        <v>29</v>
      </c>
      <c r="L2944">
        <v>13.578791959785899</v>
      </c>
      <c r="M2944" t="s">
        <v>29</v>
      </c>
      <c r="N2944">
        <v>12.958845033508901</v>
      </c>
      <c r="O2944" t="s">
        <v>29</v>
      </c>
      <c r="P2944">
        <v>-0.61994692627701797</v>
      </c>
      <c r="Q2944">
        <v>-1.8595405532466101</v>
      </c>
      <c r="R2944">
        <v>0.619646700692569</v>
      </c>
      <c r="S2944">
        <v>12.030268123516899</v>
      </c>
      <c r="T2944">
        <v>-1.10205398586422</v>
      </c>
      <c r="U2944">
        <v>-5.734863599574</v>
      </c>
      <c r="V2944">
        <v>0.294187742413964</v>
      </c>
      <c r="W2944">
        <v>0.85855590823088301</v>
      </c>
      <c r="X2944">
        <v>0</v>
      </c>
      <c r="Y2944">
        <v>0</v>
      </c>
    </row>
    <row r="2945" spans="1:25" x14ac:dyDescent="0.2">
      <c r="A2945" t="s">
        <v>10920</v>
      </c>
      <c r="B2945" t="s">
        <v>10921</v>
      </c>
      <c r="C2945" t="s">
        <v>10922</v>
      </c>
      <c r="D2945" t="s">
        <v>10923</v>
      </c>
      <c r="E2945" t="s">
        <v>10921</v>
      </c>
      <c r="F2945" t="s">
        <v>28</v>
      </c>
      <c r="G2945" t="s">
        <v>10921</v>
      </c>
      <c r="H2945" t="str">
        <f>"hpk-1"</f>
        <v>hpk-1</v>
      </c>
      <c r="I2945" t="s">
        <v>10923</v>
      </c>
      <c r="J2945">
        <v>11.0444101428218</v>
      </c>
      <c r="K2945">
        <v>11.7762427232416</v>
      </c>
      <c r="L2945">
        <v>11.6352939063314</v>
      </c>
      <c r="M2945">
        <v>12.0558445903203</v>
      </c>
      <c r="N2945">
        <v>11.323680562673699</v>
      </c>
      <c r="O2945">
        <v>11.9155192866021</v>
      </c>
      <c r="P2945">
        <v>0.27969922240047401</v>
      </c>
      <c r="Q2945">
        <v>-0.23267176795703901</v>
      </c>
      <c r="R2945">
        <v>0.79207021275798695</v>
      </c>
      <c r="S2945">
        <v>11.9510175475243</v>
      </c>
      <c r="T2945">
        <v>1.1522765919039299</v>
      </c>
      <c r="U2945">
        <v>-6.2128337986235902</v>
      </c>
      <c r="V2945">
        <v>0.26525172935618402</v>
      </c>
      <c r="W2945">
        <v>0.85044099739631995</v>
      </c>
      <c r="X2945">
        <v>0</v>
      </c>
      <c r="Y2945">
        <v>0</v>
      </c>
    </row>
    <row r="2946" spans="1:25" x14ac:dyDescent="0.2">
      <c r="A2946" t="s">
        <v>10924</v>
      </c>
      <c r="B2946" t="s">
        <v>10925</v>
      </c>
      <c r="C2946" t="s">
        <v>10926</v>
      </c>
      <c r="D2946" t="s">
        <v>10927</v>
      </c>
      <c r="E2946" t="s">
        <v>10925</v>
      </c>
      <c r="F2946" t="s">
        <v>28</v>
      </c>
      <c r="G2946" t="s">
        <v>10925</v>
      </c>
      <c r="H2946" t="str">
        <f>"C51E3.9"</f>
        <v>C51E3.9</v>
      </c>
      <c r="I2946" t="s">
        <v>10927</v>
      </c>
      <c r="J2946">
        <v>13.3504452141482</v>
      </c>
      <c r="K2946">
        <v>13.1526290195666</v>
      </c>
      <c r="L2946">
        <v>13.095486755639801</v>
      </c>
      <c r="M2946">
        <v>12.810830779120099</v>
      </c>
      <c r="N2946">
        <v>13.017471806646</v>
      </c>
      <c r="O2946">
        <v>12.7061122281302</v>
      </c>
      <c r="P2946">
        <v>-0.35471539181941802</v>
      </c>
      <c r="Q2946">
        <v>-0.79035127478867195</v>
      </c>
      <c r="R2946">
        <v>8.09204911498351E-2</v>
      </c>
      <c r="S2946">
        <v>12.7871924915982</v>
      </c>
      <c r="T2946">
        <v>-1.71872503084767</v>
      </c>
      <c r="U2946">
        <v>-5.4568320032696596</v>
      </c>
      <c r="V2946">
        <v>0.10393221928377901</v>
      </c>
      <c r="W2946">
        <v>0.66144990976316598</v>
      </c>
      <c r="X2946">
        <v>0</v>
      </c>
      <c r="Y2946">
        <v>0</v>
      </c>
    </row>
    <row r="2947" spans="1:25" x14ac:dyDescent="0.2">
      <c r="A2947" t="s">
        <v>10928</v>
      </c>
      <c r="B2947" t="s">
        <v>10929</v>
      </c>
      <c r="C2947" t="s">
        <v>10930</v>
      </c>
      <c r="D2947" t="s">
        <v>10931</v>
      </c>
      <c r="E2947" t="s">
        <v>10929</v>
      </c>
      <c r="F2947" t="s">
        <v>28</v>
      </c>
      <c r="G2947" t="s">
        <v>10929</v>
      </c>
      <c r="H2947" t="str">
        <f>"egl-19"</f>
        <v>egl-19</v>
      </c>
      <c r="I2947" t="s">
        <v>10931</v>
      </c>
      <c r="J2947" t="s">
        <v>29</v>
      </c>
      <c r="K2947" t="s">
        <v>29</v>
      </c>
      <c r="L2947" t="s">
        <v>29</v>
      </c>
      <c r="M2947" t="s">
        <v>29</v>
      </c>
      <c r="N2947" t="s">
        <v>29</v>
      </c>
      <c r="O2947">
        <v>10.716083635292801</v>
      </c>
      <c r="P2947" t="s">
        <v>29</v>
      </c>
      <c r="Q2947" t="s">
        <v>29</v>
      </c>
      <c r="R2947" t="s">
        <v>29</v>
      </c>
      <c r="S2947">
        <v>11.153301583649601</v>
      </c>
      <c r="T2947" t="s">
        <v>29</v>
      </c>
      <c r="U2947" t="s">
        <v>29</v>
      </c>
      <c r="V2947" t="s">
        <v>29</v>
      </c>
      <c r="W2947" t="s">
        <v>29</v>
      </c>
      <c r="X2947" t="s">
        <v>29</v>
      </c>
      <c r="Y2947" t="s">
        <v>29</v>
      </c>
    </row>
    <row r="2948" spans="1:25" x14ac:dyDescent="0.2">
      <c r="A2948" t="s">
        <v>10932</v>
      </c>
      <c r="B2948" t="s">
        <v>10933</v>
      </c>
      <c r="C2948" t="s">
        <v>10934</v>
      </c>
      <c r="D2948" t="s">
        <v>581</v>
      </c>
      <c r="E2948" t="s">
        <v>10933</v>
      </c>
      <c r="F2948" t="s">
        <v>28</v>
      </c>
      <c r="G2948" t="s">
        <v>10933</v>
      </c>
      <c r="H2948" t="str">
        <f>"rmd-2"</f>
        <v>rmd-2</v>
      </c>
      <c r="I2948" t="s">
        <v>581</v>
      </c>
      <c r="J2948">
        <v>13.367897796396401</v>
      </c>
      <c r="K2948">
        <v>13.3963096356441</v>
      </c>
      <c r="L2948">
        <v>13.563860727474401</v>
      </c>
      <c r="M2948">
        <v>13.9158469888922</v>
      </c>
      <c r="N2948">
        <v>13.658196772814501</v>
      </c>
      <c r="O2948">
        <v>13.6656702155998</v>
      </c>
      <c r="P2948">
        <v>0.303881939263903</v>
      </c>
      <c r="Q2948">
        <v>-0.270874394079334</v>
      </c>
      <c r="R2948">
        <v>0.87863827260714</v>
      </c>
      <c r="S2948">
        <v>13.443538798358301</v>
      </c>
      <c r="T2948">
        <v>1.1112547666655901</v>
      </c>
      <c r="U2948">
        <v>-6.25877136425476</v>
      </c>
      <c r="V2948">
        <v>0.28116670946455202</v>
      </c>
      <c r="W2948">
        <v>0.856190392347986</v>
      </c>
      <c r="X2948">
        <v>0</v>
      </c>
      <c r="Y2948">
        <v>0</v>
      </c>
    </row>
    <row r="2949" spans="1:25" x14ac:dyDescent="0.2">
      <c r="A2949" t="s">
        <v>10935</v>
      </c>
      <c r="B2949" t="s">
        <v>10936</v>
      </c>
      <c r="C2949" t="s">
        <v>10937</v>
      </c>
      <c r="D2949" t="s">
        <v>603</v>
      </c>
      <c r="E2949" t="s">
        <v>10936</v>
      </c>
      <c r="F2949" t="s">
        <v>28</v>
      </c>
      <c r="G2949" t="s">
        <v>10936</v>
      </c>
      <c r="H2949" t="str">
        <f>"mek-5"</f>
        <v>mek-5</v>
      </c>
      <c r="I2949" t="s">
        <v>603</v>
      </c>
      <c r="J2949">
        <v>17.039049400104901</v>
      </c>
      <c r="K2949">
        <v>17.276431264122799</v>
      </c>
      <c r="L2949">
        <v>17.134145942029001</v>
      </c>
      <c r="M2949">
        <v>17.170707506209901</v>
      </c>
      <c r="N2949">
        <v>16.777268320650201</v>
      </c>
      <c r="O2949">
        <v>16.7698107058273</v>
      </c>
      <c r="P2949">
        <v>-0.24394669118972701</v>
      </c>
      <c r="Q2949">
        <v>-0.59008046960084803</v>
      </c>
      <c r="R2949">
        <v>0.102187087221394</v>
      </c>
      <c r="S2949">
        <v>16.817040102555399</v>
      </c>
      <c r="T2949">
        <v>-1.4813014973598999</v>
      </c>
      <c r="U2949">
        <v>-5.8016914461632396</v>
      </c>
      <c r="V2949">
        <v>0.15591999796494499</v>
      </c>
      <c r="W2949">
        <v>0.75094320293391503</v>
      </c>
      <c r="X2949">
        <v>0</v>
      </c>
      <c r="Y2949">
        <v>0</v>
      </c>
    </row>
    <row r="2950" spans="1:25" x14ac:dyDescent="0.2">
      <c r="A2950" t="s">
        <v>10938</v>
      </c>
      <c r="B2950" t="s">
        <v>10939</v>
      </c>
      <c r="C2950" t="s">
        <v>14591</v>
      </c>
      <c r="D2950" t="s">
        <v>1358</v>
      </c>
      <c r="E2950" t="s">
        <v>10939</v>
      </c>
      <c r="F2950" t="s">
        <v>28</v>
      </c>
      <c r="G2950" t="s">
        <v>10939</v>
      </c>
      <c r="H2950" t="str">
        <f>"F56F11.4"</f>
        <v>F56F11.4</v>
      </c>
      <c r="I2950" t="s">
        <v>1358</v>
      </c>
      <c r="J2950">
        <v>16.534087796103499</v>
      </c>
      <c r="K2950">
        <v>16.388517132530101</v>
      </c>
      <c r="L2950">
        <v>16.420399138101502</v>
      </c>
      <c r="M2950">
        <v>16.527445738015398</v>
      </c>
      <c r="N2950">
        <v>16.449002581415101</v>
      </c>
      <c r="O2950">
        <v>16.324698502928602</v>
      </c>
      <c r="P2950">
        <v>-1.3952414792004901E-2</v>
      </c>
      <c r="Q2950">
        <v>-0.43131858240486198</v>
      </c>
      <c r="R2950">
        <v>0.40341375282085301</v>
      </c>
      <c r="S2950">
        <v>16.338769853697499</v>
      </c>
      <c r="T2950">
        <v>-7.0262670240363104E-2</v>
      </c>
      <c r="U2950">
        <v>-6.8799104426836299</v>
      </c>
      <c r="V2950">
        <v>0.94476384073614295</v>
      </c>
      <c r="W2950">
        <v>0.99968702248720698</v>
      </c>
      <c r="X2950">
        <v>0</v>
      </c>
      <c r="Y2950">
        <v>0</v>
      </c>
    </row>
    <row r="2951" spans="1:25" x14ac:dyDescent="0.2">
      <c r="A2951" t="s">
        <v>10940</v>
      </c>
      <c r="B2951" t="s">
        <v>10941</v>
      </c>
      <c r="C2951" t="s">
        <v>10942</v>
      </c>
      <c r="D2951" t="s">
        <v>10943</v>
      </c>
      <c r="E2951" t="s">
        <v>10941</v>
      </c>
      <c r="F2951" t="s">
        <v>28</v>
      </c>
      <c r="G2951" t="s">
        <v>10941</v>
      </c>
      <c r="H2951" t="str">
        <f>"ucr-11"</f>
        <v>ucr-11</v>
      </c>
      <c r="I2951" t="s">
        <v>10943</v>
      </c>
      <c r="J2951">
        <v>17.617829945089099</v>
      </c>
      <c r="K2951">
        <v>17.5790679294727</v>
      </c>
      <c r="L2951">
        <v>17.464243617637301</v>
      </c>
      <c r="M2951">
        <v>17.751817353291798</v>
      </c>
      <c r="N2951">
        <v>17.431472504288902</v>
      </c>
      <c r="O2951">
        <v>17.462771149299499</v>
      </c>
      <c r="P2951">
        <v>-5.0268284396430803E-3</v>
      </c>
      <c r="Q2951">
        <v>-0.417461216035516</v>
      </c>
      <c r="R2951">
        <v>0.40740755915623</v>
      </c>
      <c r="S2951">
        <v>17.130124119323099</v>
      </c>
      <c r="T2951">
        <v>-2.5617202909922001E-2</v>
      </c>
      <c r="U2951">
        <v>-6.8821466960321001</v>
      </c>
      <c r="V2951">
        <v>0.97984617301169596</v>
      </c>
      <c r="W2951">
        <v>0.99968702248720698</v>
      </c>
      <c r="X2951">
        <v>0</v>
      </c>
      <c r="Y2951">
        <v>0</v>
      </c>
    </row>
    <row r="2952" spans="1:25" x14ac:dyDescent="0.2">
      <c r="A2952" t="s">
        <v>10944</v>
      </c>
      <c r="B2952" t="s">
        <v>10945</v>
      </c>
      <c r="C2952" t="s">
        <v>10946</v>
      </c>
      <c r="D2952" t="s">
        <v>10947</v>
      </c>
      <c r="E2952" t="s">
        <v>10945</v>
      </c>
      <c r="F2952" t="s">
        <v>28</v>
      </c>
      <c r="G2952" t="s">
        <v>10945</v>
      </c>
      <c r="H2952" t="str">
        <f>"C08F1.10"</f>
        <v>C08F1.10</v>
      </c>
      <c r="I2952" t="s">
        <v>10947</v>
      </c>
      <c r="J2952" t="s">
        <v>29</v>
      </c>
      <c r="K2952" t="s">
        <v>29</v>
      </c>
      <c r="L2952" t="s">
        <v>29</v>
      </c>
      <c r="M2952" t="s">
        <v>29</v>
      </c>
      <c r="N2952" t="s">
        <v>29</v>
      </c>
      <c r="O2952" t="s">
        <v>29</v>
      </c>
      <c r="P2952" t="s">
        <v>29</v>
      </c>
      <c r="Q2952" t="s">
        <v>29</v>
      </c>
      <c r="R2952" t="s">
        <v>29</v>
      </c>
      <c r="S2952">
        <v>11.6453397634311</v>
      </c>
      <c r="T2952" t="s">
        <v>29</v>
      </c>
      <c r="U2952" t="s">
        <v>29</v>
      </c>
      <c r="V2952" t="s">
        <v>29</v>
      </c>
      <c r="W2952" t="s">
        <v>29</v>
      </c>
      <c r="X2952" t="s">
        <v>29</v>
      </c>
      <c r="Y2952" t="s">
        <v>29</v>
      </c>
    </row>
    <row r="2953" spans="1:25" x14ac:dyDescent="0.2">
      <c r="A2953" t="s">
        <v>10948</v>
      </c>
      <c r="B2953" t="s">
        <v>10949</v>
      </c>
      <c r="C2953" t="s">
        <v>10950</v>
      </c>
      <c r="D2953" t="s">
        <v>10951</v>
      </c>
      <c r="E2953" t="s">
        <v>10949</v>
      </c>
      <c r="F2953" t="s">
        <v>28</v>
      </c>
      <c r="G2953" t="s">
        <v>10949</v>
      </c>
      <c r="H2953" t="str">
        <f>"Y92H12BL.1"</f>
        <v>Y92H12BL.1</v>
      </c>
      <c r="I2953" t="s">
        <v>10951</v>
      </c>
      <c r="J2953">
        <v>13.5630934585256</v>
      </c>
      <c r="K2953">
        <v>13.5373630017748</v>
      </c>
      <c r="L2953">
        <v>13.730141305698099</v>
      </c>
      <c r="M2953">
        <v>13.7788883202353</v>
      </c>
      <c r="N2953">
        <v>13.799778739209099</v>
      </c>
      <c r="O2953">
        <v>13.612649747437199</v>
      </c>
      <c r="P2953">
        <v>0.120239680294389</v>
      </c>
      <c r="Q2953">
        <v>-0.30695698411391598</v>
      </c>
      <c r="R2953">
        <v>0.54743634470269498</v>
      </c>
      <c r="S2953">
        <v>13.5677879918382</v>
      </c>
      <c r="T2953">
        <v>0.59157862410362605</v>
      </c>
      <c r="U2953">
        <v>-6.7014166099484802</v>
      </c>
      <c r="V2953">
        <v>0.56153243749099102</v>
      </c>
      <c r="W2953">
        <v>0.95650569706421396</v>
      </c>
      <c r="X2953">
        <v>0</v>
      </c>
      <c r="Y2953">
        <v>0</v>
      </c>
    </row>
    <row r="2954" spans="1:25" x14ac:dyDescent="0.2">
      <c r="A2954" t="s">
        <v>10952</v>
      </c>
      <c r="B2954" t="s">
        <v>10953</v>
      </c>
      <c r="C2954" t="s">
        <v>10954</v>
      </c>
      <c r="D2954" t="s">
        <v>93</v>
      </c>
      <c r="E2954" t="s">
        <v>10953</v>
      </c>
      <c r="F2954" t="s">
        <v>28</v>
      </c>
      <c r="G2954" t="s">
        <v>10953</v>
      </c>
      <c r="H2954" t="str">
        <f>"hrpf-2"</f>
        <v>hrpf-2</v>
      </c>
      <c r="I2954" t="s">
        <v>93</v>
      </c>
      <c r="J2954">
        <v>14.152154102298001</v>
      </c>
      <c r="K2954">
        <v>14.4620727042951</v>
      </c>
      <c r="L2954">
        <v>14.763005359188099</v>
      </c>
      <c r="M2954">
        <v>14.1676791280908</v>
      </c>
      <c r="N2954">
        <v>14.1179035732144</v>
      </c>
      <c r="O2954">
        <v>14.178309744161099</v>
      </c>
      <c r="P2954">
        <v>-0.304446573438307</v>
      </c>
      <c r="Q2954">
        <v>-0.95678700952677398</v>
      </c>
      <c r="R2954">
        <v>0.34789386265015998</v>
      </c>
      <c r="S2954">
        <v>14.7720049076396</v>
      </c>
      <c r="T2954">
        <v>-0.98091032056655203</v>
      </c>
      <c r="U2954">
        <v>-6.39293412299115</v>
      </c>
      <c r="V2954">
        <v>0.339713431861485</v>
      </c>
      <c r="W2954">
        <v>0.87572912566616701</v>
      </c>
      <c r="X2954">
        <v>0</v>
      </c>
      <c r="Y2954">
        <v>0</v>
      </c>
    </row>
    <row r="2955" spans="1:25" x14ac:dyDescent="0.2">
      <c r="A2955" t="s">
        <v>10955</v>
      </c>
      <c r="B2955" t="s">
        <v>10956</v>
      </c>
      <c r="C2955" t="s">
        <v>10957</v>
      </c>
      <c r="D2955" t="s">
        <v>10958</v>
      </c>
      <c r="E2955" t="s">
        <v>10956</v>
      </c>
      <c r="F2955" t="s">
        <v>28</v>
      </c>
      <c r="G2955" t="s">
        <v>10956</v>
      </c>
      <c r="H2955" t="str">
        <f>"rab-18"</f>
        <v>rab-18</v>
      </c>
      <c r="I2955" t="s">
        <v>10958</v>
      </c>
      <c r="J2955">
        <v>15.635841748163999</v>
      </c>
      <c r="K2955">
        <v>15.644376284579099</v>
      </c>
      <c r="L2955">
        <v>15.546540535518</v>
      </c>
      <c r="M2955">
        <v>15.6184374316408</v>
      </c>
      <c r="N2955">
        <v>15.4660999794077</v>
      </c>
      <c r="O2955">
        <v>15.523244799450699</v>
      </c>
      <c r="P2955">
        <v>-7.2992119253953505E-2</v>
      </c>
      <c r="Q2955">
        <v>-0.43675207752626399</v>
      </c>
      <c r="R2955">
        <v>0.29076783901835701</v>
      </c>
      <c r="S2955">
        <v>15.272165614420199</v>
      </c>
      <c r="T2955">
        <v>-0.42174854687924501</v>
      </c>
      <c r="U2955">
        <v>-6.79001545116322</v>
      </c>
      <c r="V2955">
        <v>0.67823157643372001</v>
      </c>
      <c r="W2955">
        <v>0.98642420921484297</v>
      </c>
      <c r="X2955">
        <v>0</v>
      </c>
      <c r="Y2955">
        <v>0</v>
      </c>
    </row>
    <row r="2956" spans="1:25" x14ac:dyDescent="0.2">
      <c r="A2956" t="s">
        <v>10959</v>
      </c>
      <c r="B2956" t="s">
        <v>10960</v>
      </c>
      <c r="C2956" t="s">
        <v>14592</v>
      </c>
      <c r="D2956" t="s">
        <v>130</v>
      </c>
      <c r="E2956" t="s">
        <v>10960</v>
      </c>
      <c r="F2956" t="s">
        <v>28</v>
      </c>
      <c r="G2956" t="s">
        <v>10960</v>
      </c>
      <c r="H2956" t="str">
        <f>"Y61A9LA.3"</f>
        <v>Y61A9LA.3</v>
      </c>
      <c r="I2956" t="s">
        <v>130</v>
      </c>
      <c r="J2956" t="s">
        <v>29</v>
      </c>
      <c r="K2956" t="s">
        <v>29</v>
      </c>
      <c r="L2956" t="s">
        <v>29</v>
      </c>
      <c r="M2956" t="s">
        <v>29</v>
      </c>
      <c r="N2956" t="s">
        <v>29</v>
      </c>
      <c r="O2956" t="s">
        <v>29</v>
      </c>
      <c r="P2956" t="s">
        <v>29</v>
      </c>
      <c r="Q2956" t="s">
        <v>29</v>
      </c>
      <c r="R2956" t="s">
        <v>29</v>
      </c>
      <c r="S2956">
        <v>12.3769532645155</v>
      </c>
      <c r="T2956" t="s">
        <v>29</v>
      </c>
      <c r="U2956" t="s">
        <v>29</v>
      </c>
      <c r="V2956" t="s">
        <v>29</v>
      </c>
      <c r="W2956" t="s">
        <v>29</v>
      </c>
      <c r="X2956" t="s">
        <v>29</v>
      </c>
      <c r="Y2956" t="s">
        <v>29</v>
      </c>
    </row>
    <row r="2957" spans="1:25" x14ac:dyDescent="0.2">
      <c r="A2957" t="s">
        <v>10961</v>
      </c>
      <c r="B2957" t="s">
        <v>10962</v>
      </c>
      <c r="C2957" t="s">
        <v>14593</v>
      </c>
      <c r="D2957" t="s">
        <v>3246</v>
      </c>
      <c r="E2957" t="s">
        <v>10962</v>
      </c>
      <c r="F2957" t="s">
        <v>28</v>
      </c>
      <c r="G2957" t="s">
        <v>10962</v>
      </c>
      <c r="H2957" t="str">
        <f>"Y47G6A.22"</f>
        <v>Y47G6A.22</v>
      </c>
      <c r="I2957" t="s">
        <v>3246</v>
      </c>
      <c r="J2957">
        <v>14.1319483288879</v>
      </c>
      <c r="K2957">
        <v>14.0254215327691</v>
      </c>
      <c r="L2957">
        <v>14.1811733341824</v>
      </c>
      <c r="M2957">
        <v>13.853821148926601</v>
      </c>
      <c r="N2957">
        <v>13.8818903443747</v>
      </c>
      <c r="O2957">
        <v>14.1675715732875</v>
      </c>
      <c r="P2957">
        <v>-0.14508670975015101</v>
      </c>
      <c r="Q2957">
        <v>-0.59131934038048795</v>
      </c>
      <c r="R2957">
        <v>0.30114592088018599</v>
      </c>
      <c r="S2957">
        <v>13.590583829891701</v>
      </c>
      <c r="T2957">
        <v>-0.68630366852926195</v>
      </c>
      <c r="U2957">
        <v>-6.6390288266584303</v>
      </c>
      <c r="V2957">
        <v>0.50183261709634497</v>
      </c>
      <c r="W2957">
        <v>0.94062983959761604</v>
      </c>
      <c r="X2957">
        <v>0</v>
      </c>
      <c r="Y2957">
        <v>0</v>
      </c>
    </row>
    <row r="2958" spans="1:25" x14ac:dyDescent="0.2">
      <c r="A2958" t="s">
        <v>10963</v>
      </c>
      <c r="B2958" t="s">
        <v>10964</v>
      </c>
      <c r="C2958" t="s">
        <v>10965</v>
      </c>
      <c r="D2958" t="s">
        <v>1128</v>
      </c>
      <c r="E2958" t="s">
        <v>10964</v>
      </c>
      <c r="F2958" t="s">
        <v>28</v>
      </c>
      <c r="G2958" t="s">
        <v>10964</v>
      </c>
      <c r="H2958" t="str">
        <f>"prdx-6"</f>
        <v>prdx-6</v>
      </c>
      <c r="I2958" t="s">
        <v>1128</v>
      </c>
      <c r="J2958">
        <v>14.2209200726614</v>
      </c>
      <c r="K2958">
        <v>14.086794511387</v>
      </c>
      <c r="L2958">
        <v>14.465268819252101</v>
      </c>
      <c r="M2958">
        <v>14.4210827196859</v>
      </c>
      <c r="N2958">
        <v>14.4066008930125</v>
      </c>
      <c r="O2958">
        <v>14.0982727743719</v>
      </c>
      <c r="P2958">
        <v>5.0990994589939803E-2</v>
      </c>
      <c r="Q2958">
        <v>-0.46114115280964102</v>
      </c>
      <c r="R2958">
        <v>0.56312314198951996</v>
      </c>
      <c r="S2958">
        <v>13.9421372045891</v>
      </c>
      <c r="T2958">
        <v>0.21016551585711099</v>
      </c>
      <c r="U2958">
        <v>-6.8593692975705496</v>
      </c>
      <c r="V2958">
        <v>0.83605214101984204</v>
      </c>
      <c r="W2958">
        <v>0.99370971747667503</v>
      </c>
      <c r="X2958">
        <v>0</v>
      </c>
      <c r="Y2958">
        <v>0</v>
      </c>
    </row>
    <row r="2959" spans="1:25" x14ac:dyDescent="0.2">
      <c r="A2959" t="s">
        <v>10966</v>
      </c>
      <c r="B2959" t="s">
        <v>10967</v>
      </c>
      <c r="C2959" t="s">
        <v>10968</v>
      </c>
      <c r="D2959" t="s">
        <v>3312</v>
      </c>
      <c r="E2959" t="s">
        <v>10967</v>
      </c>
      <c r="F2959" t="s">
        <v>28</v>
      </c>
      <c r="G2959" t="s">
        <v>10967</v>
      </c>
      <c r="H2959" t="str">
        <f>"col-106"</f>
        <v>col-106</v>
      </c>
      <c r="I2959" t="s">
        <v>3312</v>
      </c>
      <c r="J2959">
        <v>13.322417622689199</v>
      </c>
      <c r="K2959">
        <v>13.6251089292244</v>
      </c>
      <c r="L2959">
        <v>13.9385335507307</v>
      </c>
      <c r="M2959">
        <v>12.822580239342701</v>
      </c>
      <c r="N2959">
        <v>13.3146218299618</v>
      </c>
      <c r="O2959">
        <v>13.6520940681726</v>
      </c>
      <c r="P2959">
        <v>-0.36558798838908801</v>
      </c>
      <c r="Q2959">
        <v>-1.32472897630703</v>
      </c>
      <c r="R2959">
        <v>0.59355299952885798</v>
      </c>
      <c r="S2959">
        <v>13.551360115919501</v>
      </c>
      <c r="T2959">
        <v>-0.81292611173889395</v>
      </c>
      <c r="U2959">
        <v>-6.5411140042924902</v>
      </c>
      <c r="V2959">
        <v>0.42906336829105002</v>
      </c>
      <c r="W2959">
        <v>0.91512503332874395</v>
      </c>
      <c r="X2959">
        <v>0</v>
      </c>
      <c r="Y2959">
        <v>0</v>
      </c>
    </row>
    <row r="2960" spans="1:25" x14ac:dyDescent="0.2">
      <c r="A2960" t="s">
        <v>10969</v>
      </c>
      <c r="B2960" t="s">
        <v>10970</v>
      </c>
      <c r="C2960" t="s">
        <v>14594</v>
      </c>
      <c r="D2960" t="s">
        <v>2611</v>
      </c>
      <c r="E2960" t="s">
        <v>10970</v>
      </c>
      <c r="F2960" t="s">
        <v>28</v>
      </c>
      <c r="G2960" t="s">
        <v>10970</v>
      </c>
      <c r="H2960" t="str">
        <f>"Y39B6A.27"</f>
        <v>Y39B6A.27</v>
      </c>
      <c r="I2960" t="s">
        <v>2611</v>
      </c>
      <c r="J2960" t="s">
        <v>29</v>
      </c>
      <c r="K2960" t="s">
        <v>29</v>
      </c>
      <c r="L2960" t="s">
        <v>29</v>
      </c>
      <c r="M2960" t="s">
        <v>29</v>
      </c>
      <c r="N2960" t="s">
        <v>29</v>
      </c>
      <c r="O2960" t="s">
        <v>29</v>
      </c>
      <c r="P2960" t="s">
        <v>29</v>
      </c>
      <c r="Q2960" t="s">
        <v>29</v>
      </c>
      <c r="R2960" t="s">
        <v>29</v>
      </c>
      <c r="S2960">
        <v>11.462943693874699</v>
      </c>
      <c r="T2960" t="s">
        <v>29</v>
      </c>
      <c r="U2960" t="s">
        <v>29</v>
      </c>
      <c r="V2960" t="s">
        <v>29</v>
      </c>
      <c r="W2960" t="s">
        <v>29</v>
      </c>
      <c r="X2960" t="s">
        <v>29</v>
      </c>
      <c r="Y2960" t="s">
        <v>29</v>
      </c>
    </row>
    <row r="2961" spans="1:25" x14ac:dyDescent="0.2">
      <c r="A2961" t="s">
        <v>10971</v>
      </c>
      <c r="B2961" t="s">
        <v>10972</v>
      </c>
      <c r="C2961" t="s">
        <v>10973</v>
      </c>
      <c r="D2961" t="s">
        <v>10974</v>
      </c>
      <c r="E2961" t="s">
        <v>10972</v>
      </c>
      <c r="F2961" t="s">
        <v>28</v>
      </c>
      <c r="G2961" t="s">
        <v>10972</v>
      </c>
      <c r="H2961" t="str">
        <f>"ced-12"</f>
        <v>ced-12</v>
      </c>
      <c r="I2961" t="s">
        <v>10974</v>
      </c>
      <c r="J2961" t="s">
        <v>29</v>
      </c>
      <c r="K2961">
        <v>10.648103109445699</v>
      </c>
      <c r="L2961">
        <v>10.4551732840398</v>
      </c>
      <c r="M2961">
        <v>11.107021609860199</v>
      </c>
      <c r="N2961">
        <v>11.1753296826771</v>
      </c>
      <c r="O2961" t="s">
        <v>29</v>
      </c>
      <c r="P2961">
        <v>0.58953744952593101</v>
      </c>
      <c r="Q2961">
        <v>-0.29720627962213497</v>
      </c>
      <c r="R2961">
        <v>1.476281178674</v>
      </c>
      <c r="S2961">
        <v>12.081167658483499</v>
      </c>
      <c r="T2961">
        <v>1.4269382022442201</v>
      </c>
      <c r="U2961">
        <v>-5.6806718428060501</v>
      </c>
      <c r="V2961">
        <v>0.17568156425289999</v>
      </c>
      <c r="W2961">
        <v>0.77568784401157198</v>
      </c>
      <c r="X2961">
        <v>0</v>
      </c>
      <c r="Y2961">
        <v>0</v>
      </c>
    </row>
    <row r="2962" spans="1:25" x14ac:dyDescent="0.2">
      <c r="A2962" t="s">
        <v>10975</v>
      </c>
      <c r="B2962" t="s">
        <v>10976</v>
      </c>
      <c r="C2962" t="s">
        <v>10977</v>
      </c>
      <c r="D2962" t="s">
        <v>10978</v>
      </c>
      <c r="E2962" t="s">
        <v>10976</v>
      </c>
      <c r="F2962" t="s">
        <v>28</v>
      </c>
      <c r="G2962" t="s">
        <v>10976</v>
      </c>
      <c r="H2962" t="str">
        <f>"mrt-1"</f>
        <v>mrt-1</v>
      </c>
      <c r="I2962" t="s">
        <v>10978</v>
      </c>
      <c r="J2962" t="s">
        <v>29</v>
      </c>
      <c r="K2962" t="s">
        <v>29</v>
      </c>
      <c r="L2962">
        <v>12.059924005011</v>
      </c>
      <c r="M2962" t="s">
        <v>29</v>
      </c>
      <c r="N2962" t="s">
        <v>29</v>
      </c>
      <c r="O2962">
        <v>11.688414710303499</v>
      </c>
      <c r="P2962">
        <v>-0.37150929470743499</v>
      </c>
      <c r="Q2962">
        <v>-1.5136317900173699</v>
      </c>
      <c r="R2962">
        <v>0.77061320060250005</v>
      </c>
      <c r="S2962">
        <v>11.6440956626392</v>
      </c>
      <c r="T2962">
        <v>-0.71677804036773696</v>
      </c>
      <c r="U2962">
        <v>-6.0778286535855903</v>
      </c>
      <c r="V2962">
        <v>0.48859217798972998</v>
      </c>
      <c r="W2962">
        <v>0.94046689344422196</v>
      </c>
      <c r="X2962">
        <v>0</v>
      </c>
      <c r="Y2962">
        <v>0</v>
      </c>
    </row>
    <row r="2963" spans="1:25" x14ac:dyDescent="0.2">
      <c r="A2963" t="s">
        <v>10979</v>
      </c>
      <c r="B2963" t="s">
        <v>10980</v>
      </c>
      <c r="C2963" t="s">
        <v>10981</v>
      </c>
      <c r="D2963" t="s">
        <v>10982</v>
      </c>
      <c r="E2963" t="s">
        <v>10980</v>
      </c>
      <c r="F2963" t="s">
        <v>28</v>
      </c>
      <c r="G2963" t="s">
        <v>10980</v>
      </c>
      <c r="H2963" t="str">
        <f>"nhx-2"</f>
        <v>nhx-2</v>
      </c>
      <c r="I2963" t="s">
        <v>10982</v>
      </c>
      <c r="J2963">
        <v>12.277512671354099</v>
      </c>
      <c r="K2963">
        <v>11.588096951789201</v>
      </c>
      <c r="L2963">
        <v>12.468576586240699</v>
      </c>
      <c r="M2963">
        <v>12.1477859492531</v>
      </c>
      <c r="N2963">
        <v>11.2606445165762</v>
      </c>
      <c r="O2963">
        <v>11.959938364303101</v>
      </c>
      <c r="P2963">
        <v>-0.321939126417224</v>
      </c>
      <c r="Q2963">
        <v>-0.97011510476881002</v>
      </c>
      <c r="R2963">
        <v>0.32623685193436203</v>
      </c>
      <c r="S2963">
        <v>12.145527658382401</v>
      </c>
      <c r="T2963">
        <v>-1.04840924640482</v>
      </c>
      <c r="U2963">
        <v>-6.3245307979901897</v>
      </c>
      <c r="V2963">
        <v>0.30921726098676999</v>
      </c>
      <c r="W2963">
        <v>0.86207931095287205</v>
      </c>
      <c r="X2963">
        <v>0</v>
      </c>
      <c r="Y2963">
        <v>0</v>
      </c>
    </row>
    <row r="2964" spans="1:25" x14ac:dyDescent="0.2">
      <c r="A2964" t="s">
        <v>10983</v>
      </c>
      <c r="B2964" t="s">
        <v>10984</v>
      </c>
      <c r="C2964" t="s">
        <v>10985</v>
      </c>
      <c r="D2964" t="s">
        <v>10986</v>
      </c>
      <c r="E2964" t="s">
        <v>10984</v>
      </c>
      <c r="F2964" t="s">
        <v>28</v>
      </c>
      <c r="G2964" t="s">
        <v>10984</v>
      </c>
      <c r="H2964" t="str">
        <f>"acsd-1"</f>
        <v>acsd-1</v>
      </c>
      <c r="I2964" t="s">
        <v>10986</v>
      </c>
      <c r="J2964" t="s">
        <v>29</v>
      </c>
      <c r="K2964" t="s">
        <v>29</v>
      </c>
      <c r="L2964" t="s">
        <v>29</v>
      </c>
      <c r="M2964">
        <v>13.843731272736999</v>
      </c>
      <c r="N2964">
        <v>13.6979009518338</v>
      </c>
      <c r="O2964">
        <v>13.721630770065801</v>
      </c>
      <c r="P2964" t="s">
        <v>29</v>
      </c>
      <c r="Q2964" t="s">
        <v>29</v>
      </c>
      <c r="R2964" t="s">
        <v>29</v>
      </c>
      <c r="S2964">
        <v>13.3452901426393</v>
      </c>
      <c r="T2964" t="s">
        <v>29</v>
      </c>
      <c r="U2964" t="s">
        <v>29</v>
      </c>
      <c r="V2964" t="s">
        <v>29</v>
      </c>
      <c r="W2964" t="s">
        <v>29</v>
      </c>
      <c r="X2964" t="s">
        <v>29</v>
      </c>
      <c r="Y2964" t="s">
        <v>29</v>
      </c>
    </row>
    <row r="2965" spans="1:25" x14ac:dyDescent="0.2">
      <c r="A2965" t="s">
        <v>10987</v>
      </c>
      <c r="B2965" t="s">
        <v>10988</v>
      </c>
      <c r="C2965" t="s">
        <v>10989</v>
      </c>
      <c r="D2965" t="s">
        <v>9289</v>
      </c>
      <c r="E2965" t="s">
        <v>10988</v>
      </c>
      <c r="F2965" t="s">
        <v>28</v>
      </c>
      <c r="G2965" t="s">
        <v>10988</v>
      </c>
      <c r="H2965" t="str">
        <f>"npp-6"</f>
        <v>npp-6</v>
      </c>
      <c r="I2965" t="s">
        <v>9289</v>
      </c>
      <c r="J2965">
        <v>15.0007126401881</v>
      </c>
      <c r="K2965">
        <v>15.019781211147301</v>
      </c>
      <c r="L2965">
        <v>14.790320293419301</v>
      </c>
      <c r="M2965">
        <v>14.895796640611399</v>
      </c>
      <c r="N2965">
        <v>14.869875389520599</v>
      </c>
      <c r="O2965">
        <v>14.932084754173401</v>
      </c>
      <c r="P2965">
        <v>-3.7685786816457102E-2</v>
      </c>
      <c r="Q2965">
        <v>-0.38158486087392102</v>
      </c>
      <c r="R2965">
        <v>0.30621328724100699</v>
      </c>
      <c r="S2965">
        <v>14.9152414036484</v>
      </c>
      <c r="T2965">
        <v>-0.23032394667280601</v>
      </c>
      <c r="U2965">
        <v>-6.8548129343269499</v>
      </c>
      <c r="V2965">
        <v>0.82045250887283705</v>
      </c>
      <c r="W2965">
        <v>0.992837538801569</v>
      </c>
      <c r="X2965">
        <v>0</v>
      </c>
      <c r="Y2965">
        <v>0</v>
      </c>
    </row>
    <row r="2966" spans="1:25" x14ac:dyDescent="0.2">
      <c r="A2966" t="s">
        <v>10990</v>
      </c>
      <c r="B2966" t="s">
        <v>10991</v>
      </c>
      <c r="C2966" t="s">
        <v>10992</v>
      </c>
      <c r="D2966" t="s">
        <v>10993</v>
      </c>
      <c r="E2966" t="s">
        <v>10991</v>
      </c>
      <c r="F2966" t="s">
        <v>28</v>
      </c>
      <c r="G2966" t="s">
        <v>10991</v>
      </c>
      <c r="H2966" t="str">
        <f>"dnj-10"</f>
        <v>dnj-10</v>
      </c>
      <c r="I2966" t="s">
        <v>10993</v>
      </c>
      <c r="J2966">
        <v>12.3314720716275</v>
      </c>
      <c r="K2966">
        <v>12.187896354905</v>
      </c>
      <c r="L2966">
        <v>12.0738951670416</v>
      </c>
      <c r="M2966">
        <v>12.1991089802288</v>
      </c>
      <c r="N2966">
        <v>11.709958615798101</v>
      </c>
      <c r="O2966">
        <v>11.990247821227699</v>
      </c>
      <c r="P2966">
        <v>-0.23131605877315101</v>
      </c>
      <c r="Q2966">
        <v>-0.71916057816647705</v>
      </c>
      <c r="R2966">
        <v>0.25652846062017398</v>
      </c>
      <c r="S2966">
        <v>11.614743995792001</v>
      </c>
      <c r="T2966">
        <v>-1.00571258226599</v>
      </c>
      <c r="U2966">
        <v>-6.36689403202638</v>
      </c>
      <c r="V2966">
        <v>0.329619467706259</v>
      </c>
      <c r="W2966">
        <v>0.87233669330403496</v>
      </c>
      <c r="X2966">
        <v>0</v>
      </c>
      <c r="Y2966">
        <v>0</v>
      </c>
    </row>
    <row r="2967" spans="1:25" x14ac:dyDescent="0.2">
      <c r="A2967" t="s">
        <v>10994</v>
      </c>
      <c r="B2967" t="s">
        <v>10995</v>
      </c>
      <c r="C2967" t="s">
        <v>10996</v>
      </c>
      <c r="D2967" t="s">
        <v>10997</v>
      </c>
      <c r="E2967" t="s">
        <v>10995</v>
      </c>
      <c r="F2967" t="s">
        <v>28</v>
      </c>
      <c r="G2967" t="s">
        <v>10995</v>
      </c>
      <c r="H2967" t="str">
        <f>"csnk-1"</f>
        <v>csnk-1</v>
      </c>
      <c r="I2967" t="s">
        <v>10997</v>
      </c>
      <c r="J2967">
        <v>15.2249162031681</v>
      </c>
      <c r="K2967">
        <v>15.040000278023101</v>
      </c>
      <c r="L2967">
        <v>14.5665851011657</v>
      </c>
      <c r="M2967">
        <v>14.694967697954599</v>
      </c>
      <c r="N2967">
        <v>14.534543292459499</v>
      </c>
      <c r="O2967">
        <v>15.083589838052699</v>
      </c>
      <c r="P2967">
        <v>-0.17280025129667501</v>
      </c>
      <c r="Q2967">
        <v>-0.64812016585222199</v>
      </c>
      <c r="R2967">
        <v>0.30251966325887197</v>
      </c>
      <c r="S2967">
        <v>14.4031795929289</v>
      </c>
      <c r="T2967">
        <v>-0.76410118373904901</v>
      </c>
      <c r="U2967">
        <v>-6.5823497680830103</v>
      </c>
      <c r="V2967">
        <v>0.45476479081176002</v>
      </c>
      <c r="W2967">
        <v>0.92582104169957002</v>
      </c>
      <c r="X2967">
        <v>0</v>
      </c>
      <c r="Y2967">
        <v>0</v>
      </c>
    </row>
    <row r="2968" spans="1:25" x14ac:dyDescent="0.2">
      <c r="A2968" t="s">
        <v>10998</v>
      </c>
      <c r="B2968" t="s">
        <v>10999</v>
      </c>
      <c r="C2968" t="s">
        <v>11000</v>
      </c>
      <c r="D2968" t="s">
        <v>11001</v>
      </c>
      <c r="E2968" t="s">
        <v>10999</v>
      </c>
      <c r="F2968" t="s">
        <v>28</v>
      </c>
      <c r="G2968" t="s">
        <v>10999</v>
      </c>
      <c r="H2968" t="str">
        <f>"rps-20"</f>
        <v>rps-20</v>
      </c>
      <c r="I2968" t="s">
        <v>11001</v>
      </c>
      <c r="J2968">
        <v>19.300728315093298</v>
      </c>
      <c r="K2968">
        <v>19.158949754551699</v>
      </c>
      <c r="L2968">
        <v>19.5521911866715</v>
      </c>
      <c r="M2968">
        <v>19.1482716937379</v>
      </c>
      <c r="N2968">
        <v>18.7672963299397</v>
      </c>
      <c r="O2968">
        <v>18.865622794277801</v>
      </c>
      <c r="P2968">
        <v>-0.41022614612033698</v>
      </c>
      <c r="Q2968">
        <v>-0.98656845039225805</v>
      </c>
      <c r="R2968">
        <v>0.16611615815158401</v>
      </c>
      <c r="S2968">
        <v>18.846768719575</v>
      </c>
      <c r="T2968">
        <v>-1.4960129456123501</v>
      </c>
      <c r="U2968">
        <v>-5.7813535595081502</v>
      </c>
      <c r="V2968">
        <v>0.15207842647960501</v>
      </c>
      <c r="W2968">
        <v>0.74633248813841202</v>
      </c>
      <c r="X2968">
        <v>0</v>
      </c>
      <c r="Y2968">
        <v>0</v>
      </c>
    </row>
    <row r="2969" spans="1:25" x14ac:dyDescent="0.2">
      <c r="A2969" t="s">
        <v>11002</v>
      </c>
      <c r="B2969" t="s">
        <v>11003</v>
      </c>
      <c r="C2969" t="s">
        <v>11004</v>
      </c>
      <c r="D2969" t="s">
        <v>11005</v>
      </c>
      <c r="E2969" t="s">
        <v>11003</v>
      </c>
      <c r="F2969" t="s">
        <v>28</v>
      </c>
      <c r="G2969" t="s">
        <v>11003</v>
      </c>
      <c r="H2969" t="str">
        <f>"hpo-13"</f>
        <v>hpo-13</v>
      </c>
      <c r="I2969" t="s">
        <v>11005</v>
      </c>
      <c r="J2969" t="s">
        <v>29</v>
      </c>
      <c r="K2969" t="s">
        <v>29</v>
      </c>
      <c r="L2969" t="s">
        <v>29</v>
      </c>
      <c r="M2969">
        <v>12.695996621628</v>
      </c>
      <c r="N2969">
        <v>12.1535663667471</v>
      </c>
      <c r="O2969">
        <v>12.1302662936604</v>
      </c>
      <c r="P2969" t="s">
        <v>29</v>
      </c>
      <c r="Q2969" t="s">
        <v>29</v>
      </c>
      <c r="R2969" t="s">
        <v>29</v>
      </c>
      <c r="S2969">
        <v>12.461314550546501</v>
      </c>
      <c r="T2969" t="s">
        <v>29</v>
      </c>
      <c r="U2969" t="s">
        <v>29</v>
      </c>
      <c r="V2969" t="s">
        <v>29</v>
      </c>
      <c r="W2969" t="s">
        <v>29</v>
      </c>
      <c r="X2969" t="s">
        <v>29</v>
      </c>
      <c r="Y2969" t="s">
        <v>29</v>
      </c>
    </row>
    <row r="2970" spans="1:25" x14ac:dyDescent="0.2">
      <c r="A2970" t="s">
        <v>11006</v>
      </c>
      <c r="B2970" t="s">
        <v>11007</v>
      </c>
      <c r="C2970" t="s">
        <v>11008</v>
      </c>
      <c r="D2970" t="s">
        <v>11009</v>
      </c>
      <c r="E2970" t="s">
        <v>11007</v>
      </c>
      <c r="F2970" t="s">
        <v>28</v>
      </c>
      <c r="G2970" t="s">
        <v>11007</v>
      </c>
      <c r="H2970" t="str">
        <f>"apg-1"</f>
        <v>apg-1</v>
      </c>
      <c r="I2970" t="s">
        <v>11009</v>
      </c>
      <c r="J2970">
        <v>15.3814568748229</v>
      </c>
      <c r="K2970">
        <v>15.452933714694399</v>
      </c>
      <c r="L2970">
        <v>15.1526593733916</v>
      </c>
      <c r="M2970">
        <v>15.3220177074171</v>
      </c>
      <c r="N2970">
        <v>15.1173949547094</v>
      </c>
      <c r="O2970">
        <v>15.3798387030124</v>
      </c>
      <c r="P2970">
        <v>-5.59328659233422E-2</v>
      </c>
      <c r="Q2970">
        <v>-0.425720010942087</v>
      </c>
      <c r="R2970">
        <v>0.31385427909540298</v>
      </c>
      <c r="S2970">
        <v>15.090437575794599</v>
      </c>
      <c r="T2970">
        <v>-0.31791262576559598</v>
      </c>
      <c r="U2970">
        <v>-6.8298316027853598</v>
      </c>
      <c r="V2970">
        <v>0.75423110259111803</v>
      </c>
      <c r="W2970">
        <v>0.99278624068726296</v>
      </c>
      <c r="X2970">
        <v>0</v>
      </c>
      <c r="Y2970">
        <v>0</v>
      </c>
    </row>
    <row r="2971" spans="1:25" x14ac:dyDescent="0.2">
      <c r="A2971" t="s">
        <v>11010</v>
      </c>
      <c r="B2971" t="s">
        <v>11011</v>
      </c>
      <c r="C2971" t="s">
        <v>11012</v>
      </c>
      <c r="D2971" t="s">
        <v>11013</v>
      </c>
      <c r="E2971" t="s">
        <v>11011</v>
      </c>
      <c r="F2971" t="s">
        <v>28</v>
      </c>
      <c r="G2971" t="s">
        <v>11011</v>
      </c>
      <c r="H2971" t="str">
        <f>"slc-30a5"</f>
        <v>slc-30a5</v>
      </c>
      <c r="I2971" t="s">
        <v>11013</v>
      </c>
      <c r="J2971">
        <v>14.016407473792899</v>
      </c>
      <c r="K2971">
        <v>14.2202089549872</v>
      </c>
      <c r="L2971">
        <v>14.4887245936658</v>
      </c>
      <c r="M2971">
        <v>14.42957081956</v>
      </c>
      <c r="N2971">
        <v>14.469782291625</v>
      </c>
      <c r="O2971">
        <v>14.201819084875099</v>
      </c>
      <c r="P2971">
        <v>0.12527705787139001</v>
      </c>
      <c r="Q2971">
        <v>-0.227166779670815</v>
      </c>
      <c r="R2971">
        <v>0.47772089541359503</v>
      </c>
      <c r="S2971">
        <v>14.642260431909101</v>
      </c>
      <c r="T2971">
        <v>0.74709208825142703</v>
      </c>
      <c r="U2971">
        <v>-6.5953605130068098</v>
      </c>
      <c r="V2971">
        <v>0.46471190559915299</v>
      </c>
      <c r="W2971">
        <v>0.92978583625257705</v>
      </c>
      <c r="X2971">
        <v>0</v>
      </c>
      <c r="Y2971">
        <v>0</v>
      </c>
    </row>
    <row r="2972" spans="1:25" x14ac:dyDescent="0.2">
      <c r="A2972" t="s">
        <v>11014</v>
      </c>
      <c r="B2972" t="s">
        <v>11015</v>
      </c>
      <c r="C2972" t="s">
        <v>11016</v>
      </c>
      <c r="D2972" t="s">
        <v>11017</v>
      </c>
      <c r="E2972" t="s">
        <v>11015</v>
      </c>
      <c r="F2972" t="s">
        <v>28</v>
      </c>
      <c r="G2972" t="s">
        <v>11015</v>
      </c>
      <c r="H2972" t="str">
        <f>"drp-1"</f>
        <v>drp-1</v>
      </c>
      <c r="I2972" t="s">
        <v>11017</v>
      </c>
      <c r="J2972">
        <v>14.916965594070801</v>
      </c>
      <c r="K2972">
        <v>14.732919604323101</v>
      </c>
      <c r="L2972">
        <v>14.8670492627898</v>
      </c>
      <c r="M2972">
        <v>15.1320867185671</v>
      </c>
      <c r="N2972">
        <v>15.1228686532416</v>
      </c>
      <c r="O2972">
        <v>14.877770791249599</v>
      </c>
      <c r="P2972">
        <v>0.20526390062485</v>
      </c>
      <c r="Q2972">
        <v>-0.31339313232536198</v>
      </c>
      <c r="R2972">
        <v>0.72392093357506204</v>
      </c>
      <c r="S2972">
        <v>15.0624360195945</v>
      </c>
      <c r="T2972">
        <v>0.83181130677118897</v>
      </c>
      <c r="U2972">
        <v>-6.5278520978495402</v>
      </c>
      <c r="V2972">
        <v>0.41647777716470002</v>
      </c>
      <c r="W2972">
        <v>0.91512503332874395</v>
      </c>
      <c r="X2972">
        <v>0</v>
      </c>
      <c r="Y2972">
        <v>0</v>
      </c>
    </row>
    <row r="2973" spans="1:25" x14ac:dyDescent="0.2">
      <c r="A2973" t="s">
        <v>11018</v>
      </c>
      <c r="B2973" t="s">
        <v>11019</v>
      </c>
      <c r="C2973" t="s">
        <v>14595</v>
      </c>
      <c r="D2973" t="s">
        <v>11020</v>
      </c>
      <c r="E2973" t="s">
        <v>11019</v>
      </c>
      <c r="F2973" t="s">
        <v>28</v>
      </c>
      <c r="G2973" t="s">
        <v>11019</v>
      </c>
      <c r="H2973" t="str">
        <f>"R04F11.5"</f>
        <v>R04F11.5</v>
      </c>
      <c r="I2973" t="s">
        <v>11020</v>
      </c>
      <c r="J2973">
        <v>13.4228648133075</v>
      </c>
      <c r="K2973">
        <v>13.7421221802276</v>
      </c>
      <c r="L2973">
        <v>13.637975971449</v>
      </c>
      <c r="M2973">
        <v>13.3789788688389</v>
      </c>
      <c r="N2973">
        <v>13.222139252535399</v>
      </c>
      <c r="O2973">
        <v>13.785166136696001</v>
      </c>
      <c r="P2973">
        <v>-0.13889290230458201</v>
      </c>
      <c r="Q2973">
        <v>-0.90695138049285995</v>
      </c>
      <c r="R2973">
        <v>0.62916557588369704</v>
      </c>
      <c r="S2973">
        <v>13.4704385977613</v>
      </c>
      <c r="T2973">
        <v>-0.38171196966815901</v>
      </c>
      <c r="U2973">
        <v>-6.8064518119330097</v>
      </c>
      <c r="V2973">
        <v>0.70743329776458297</v>
      </c>
      <c r="W2973">
        <v>0.986995809356777</v>
      </c>
      <c r="X2973">
        <v>0</v>
      </c>
      <c r="Y2973">
        <v>0</v>
      </c>
    </row>
    <row r="2974" spans="1:25" x14ac:dyDescent="0.2">
      <c r="A2974" t="s">
        <v>11021</v>
      </c>
      <c r="B2974" t="s">
        <v>11022</v>
      </c>
      <c r="C2974" t="s">
        <v>11023</v>
      </c>
      <c r="D2974" t="s">
        <v>11024</v>
      </c>
      <c r="E2974" t="s">
        <v>11022</v>
      </c>
      <c r="F2974" t="s">
        <v>28</v>
      </c>
      <c r="G2974" t="s">
        <v>11022</v>
      </c>
      <c r="H2974" t="str">
        <f>"lab-2"</f>
        <v>lab-2</v>
      </c>
      <c r="I2974" t="s">
        <v>11024</v>
      </c>
      <c r="J2974" t="s">
        <v>29</v>
      </c>
      <c r="K2974" t="s">
        <v>29</v>
      </c>
      <c r="L2974" t="s">
        <v>29</v>
      </c>
      <c r="M2974">
        <v>12.4558163687404</v>
      </c>
      <c r="N2974">
        <v>13.036972558889801</v>
      </c>
      <c r="O2974">
        <v>10.5891068365945</v>
      </c>
      <c r="P2974" t="s">
        <v>29</v>
      </c>
      <c r="Q2974" t="s">
        <v>29</v>
      </c>
      <c r="R2974" t="s">
        <v>29</v>
      </c>
      <c r="S2974">
        <v>12.702204603552699</v>
      </c>
      <c r="T2974" t="s">
        <v>29</v>
      </c>
      <c r="U2974" t="s">
        <v>29</v>
      </c>
      <c r="V2974" t="s">
        <v>29</v>
      </c>
      <c r="W2974" t="s">
        <v>29</v>
      </c>
      <c r="X2974" t="s">
        <v>29</v>
      </c>
      <c r="Y2974" t="s">
        <v>29</v>
      </c>
    </row>
    <row r="2975" spans="1:25" x14ac:dyDescent="0.2">
      <c r="A2975" t="s">
        <v>11025</v>
      </c>
      <c r="B2975" t="s">
        <v>11026</v>
      </c>
      <c r="C2975" t="s">
        <v>11027</v>
      </c>
      <c r="D2975" t="s">
        <v>11028</v>
      </c>
      <c r="E2975" t="s">
        <v>11026</v>
      </c>
      <c r="F2975" t="s">
        <v>28</v>
      </c>
      <c r="G2975" t="s">
        <v>11026</v>
      </c>
      <c r="H2975" t="str">
        <f>"smg-4"</f>
        <v>smg-4</v>
      </c>
      <c r="I2975" t="s">
        <v>11028</v>
      </c>
      <c r="J2975">
        <v>12.678957330222399</v>
      </c>
      <c r="K2975">
        <v>11.196106605250399</v>
      </c>
      <c r="L2975">
        <v>12.615140185989301</v>
      </c>
      <c r="M2975">
        <v>12.693006150236499</v>
      </c>
      <c r="N2975">
        <v>13.2909480044585</v>
      </c>
      <c r="O2975">
        <v>12.615234780981501</v>
      </c>
      <c r="P2975">
        <v>0.70299493807148605</v>
      </c>
      <c r="Q2975">
        <v>-3.4972088817258003E-2</v>
      </c>
      <c r="R2975">
        <v>1.4409619649602301</v>
      </c>
      <c r="S2975">
        <v>12.5724842649146</v>
      </c>
      <c r="T2975">
        <v>2.0107832251590598</v>
      </c>
      <c r="U2975">
        <v>-4.98476206607429</v>
      </c>
      <c r="V2975">
        <v>6.0586510560999E-2</v>
      </c>
      <c r="W2975">
        <v>0.52783221766231503</v>
      </c>
      <c r="X2975">
        <v>0</v>
      </c>
      <c r="Y2975">
        <v>0</v>
      </c>
    </row>
    <row r="2976" spans="1:25" x14ac:dyDescent="0.2">
      <c r="A2976" t="s">
        <v>11029</v>
      </c>
      <c r="B2976" t="s">
        <v>11030</v>
      </c>
      <c r="C2976" t="s">
        <v>11031</v>
      </c>
      <c r="D2976" t="s">
        <v>11032</v>
      </c>
      <c r="E2976" t="s">
        <v>11030</v>
      </c>
      <c r="F2976" t="s">
        <v>28</v>
      </c>
      <c r="G2976" t="s">
        <v>11030</v>
      </c>
      <c r="H2976" t="str">
        <f>"jnk-1"</f>
        <v>jnk-1</v>
      </c>
      <c r="I2976" t="s">
        <v>11032</v>
      </c>
      <c r="J2976">
        <v>12.6387367552251</v>
      </c>
      <c r="K2976">
        <v>12.8665065189931</v>
      </c>
      <c r="L2976">
        <v>12.7664323011681</v>
      </c>
      <c r="M2976">
        <v>12.651448165431299</v>
      </c>
      <c r="N2976" t="s">
        <v>29</v>
      </c>
      <c r="O2976">
        <v>13.055591298884901</v>
      </c>
      <c r="P2976">
        <v>9.6294540362666894E-2</v>
      </c>
      <c r="Q2976">
        <v>-0.42925035425510599</v>
      </c>
      <c r="R2976">
        <v>0.62183943498044003</v>
      </c>
      <c r="S2976">
        <v>12.5349189030537</v>
      </c>
      <c r="T2976">
        <v>0.39078100803868798</v>
      </c>
      <c r="U2976">
        <v>-6.6921857488358301</v>
      </c>
      <c r="V2976">
        <v>0.70149156531858403</v>
      </c>
      <c r="W2976">
        <v>0.98642420921484297</v>
      </c>
      <c r="X2976">
        <v>0</v>
      </c>
      <c r="Y2976">
        <v>0</v>
      </c>
    </row>
    <row r="2977" spans="1:25" x14ac:dyDescent="0.2">
      <c r="A2977" t="s">
        <v>11033</v>
      </c>
      <c r="B2977" t="s">
        <v>11034</v>
      </c>
      <c r="C2977" t="s">
        <v>11035</v>
      </c>
      <c r="D2977" t="s">
        <v>11036</v>
      </c>
      <c r="E2977" t="s">
        <v>11034</v>
      </c>
      <c r="F2977" t="s">
        <v>28</v>
      </c>
      <c r="G2977" t="s">
        <v>11034</v>
      </c>
      <c r="H2977" t="str">
        <f>"mbk-1"</f>
        <v>mbk-1</v>
      </c>
      <c r="I2977" t="s">
        <v>11036</v>
      </c>
      <c r="J2977">
        <v>12.2802733984269</v>
      </c>
      <c r="K2977">
        <v>12.5960807625244</v>
      </c>
      <c r="L2977">
        <v>13.1001208095559</v>
      </c>
      <c r="M2977">
        <v>12.9481499685351</v>
      </c>
      <c r="N2977">
        <v>12.031981736269699</v>
      </c>
      <c r="O2977">
        <v>12.7129146215884</v>
      </c>
      <c r="P2977">
        <v>-9.4476214704650702E-2</v>
      </c>
      <c r="Q2977">
        <v>-0.88569446413562303</v>
      </c>
      <c r="R2977">
        <v>0.69674203472632101</v>
      </c>
      <c r="S2977">
        <v>12.7766533814195</v>
      </c>
      <c r="T2977">
        <v>-0.25326531609726299</v>
      </c>
      <c r="U2977">
        <v>-6.8488202200803299</v>
      </c>
      <c r="V2977">
        <v>0.80330970070277596</v>
      </c>
      <c r="W2977">
        <v>0.99278624068726296</v>
      </c>
      <c r="X2977">
        <v>0</v>
      </c>
      <c r="Y2977">
        <v>0</v>
      </c>
    </row>
    <row r="2978" spans="1:25" x14ac:dyDescent="0.2">
      <c r="A2978" t="s">
        <v>11037</v>
      </c>
      <c r="B2978" t="s">
        <v>11038</v>
      </c>
      <c r="C2978" t="s">
        <v>11039</v>
      </c>
      <c r="D2978" t="s">
        <v>11040</v>
      </c>
      <c r="E2978" t="s">
        <v>11038</v>
      </c>
      <c r="F2978" t="s">
        <v>28</v>
      </c>
      <c r="G2978" t="s">
        <v>11038</v>
      </c>
      <c r="H2978" t="str">
        <f>"pad-2"</f>
        <v>pad-2</v>
      </c>
      <c r="I2978" t="s">
        <v>11040</v>
      </c>
      <c r="J2978">
        <v>12.992264375885499</v>
      </c>
      <c r="K2978">
        <v>12.731177415274701</v>
      </c>
      <c r="L2978">
        <v>12.967258604176999</v>
      </c>
      <c r="M2978">
        <v>13.1348304804043</v>
      </c>
      <c r="N2978">
        <v>12.6560796239837</v>
      </c>
      <c r="O2978" t="s">
        <v>29</v>
      </c>
      <c r="P2978">
        <v>-1.4450795850571301E-3</v>
      </c>
      <c r="Q2978">
        <v>-0.53633586971041503</v>
      </c>
      <c r="R2978">
        <v>0.53344571054029999</v>
      </c>
      <c r="S2978">
        <v>12.7919853724263</v>
      </c>
      <c r="T2978">
        <v>-5.7619336287931698E-3</v>
      </c>
      <c r="U2978">
        <v>-6.7721872774739298</v>
      </c>
      <c r="V2978">
        <v>0.99547913060339299</v>
      </c>
      <c r="W2978">
        <v>0.99968702248720698</v>
      </c>
      <c r="X2978">
        <v>0</v>
      </c>
      <c r="Y2978">
        <v>0</v>
      </c>
    </row>
    <row r="2979" spans="1:25" x14ac:dyDescent="0.2">
      <c r="A2979" t="s">
        <v>11041</v>
      </c>
      <c r="B2979" t="s">
        <v>11042</v>
      </c>
      <c r="C2979" t="s">
        <v>11043</v>
      </c>
      <c r="D2979" t="s">
        <v>11044</v>
      </c>
      <c r="E2979" t="s">
        <v>11042</v>
      </c>
      <c r="F2979" t="s">
        <v>28</v>
      </c>
      <c r="G2979" t="s">
        <v>11042</v>
      </c>
      <c r="H2979" t="str">
        <f>"algn-5"</f>
        <v>algn-5</v>
      </c>
      <c r="I2979" t="s">
        <v>11044</v>
      </c>
      <c r="J2979">
        <v>15.4020299434306</v>
      </c>
      <c r="K2979">
        <v>15.3006503981881</v>
      </c>
      <c r="L2979">
        <v>15.224690317905401</v>
      </c>
      <c r="M2979">
        <v>15.342057517968801</v>
      </c>
      <c r="N2979">
        <v>15.405364414977001</v>
      </c>
      <c r="O2979">
        <v>15.341891967827999</v>
      </c>
      <c r="P2979">
        <v>5.3981080416578599E-2</v>
      </c>
      <c r="Q2979">
        <v>-0.28886370134648398</v>
      </c>
      <c r="R2979">
        <v>0.396825862179641</v>
      </c>
      <c r="S2979">
        <v>15.206394621939101</v>
      </c>
      <c r="T2979">
        <v>0.33093030687214797</v>
      </c>
      <c r="U2979">
        <v>-6.8254444396439604</v>
      </c>
      <c r="V2979">
        <v>0.74454061291957496</v>
      </c>
      <c r="W2979">
        <v>0.99184638945407499</v>
      </c>
      <c r="X2979">
        <v>0</v>
      </c>
      <c r="Y2979">
        <v>0</v>
      </c>
    </row>
    <row r="2980" spans="1:25" x14ac:dyDescent="0.2">
      <c r="A2980" t="s">
        <v>11045</v>
      </c>
      <c r="B2980" t="s">
        <v>11046</v>
      </c>
      <c r="C2980" t="s">
        <v>11047</v>
      </c>
      <c r="D2980" t="s">
        <v>11048</v>
      </c>
      <c r="E2980" t="s">
        <v>11046</v>
      </c>
      <c r="F2980" t="s">
        <v>28</v>
      </c>
      <c r="G2980" t="s">
        <v>11046</v>
      </c>
      <c r="H2980" t="str">
        <f>"cyk-3"</f>
        <v>cyk-3</v>
      </c>
      <c r="I2980" t="s">
        <v>11048</v>
      </c>
      <c r="J2980">
        <v>12.0480626433806</v>
      </c>
      <c r="K2980">
        <v>11.4536712915798</v>
      </c>
      <c r="L2980">
        <v>11.3279560286266</v>
      </c>
      <c r="M2980">
        <v>11.570753624454101</v>
      </c>
      <c r="N2980">
        <v>12.5409487777208</v>
      </c>
      <c r="O2980">
        <v>12.385659170705599</v>
      </c>
      <c r="P2980">
        <v>0.55589053643117703</v>
      </c>
      <c r="Q2980">
        <v>-6.5321489043207406E-2</v>
      </c>
      <c r="R2980">
        <v>1.17710256190556</v>
      </c>
      <c r="S2980">
        <v>11.8170916906926</v>
      </c>
      <c r="T2980">
        <v>1.8980120099800299</v>
      </c>
      <c r="U2980">
        <v>-5.17655584099729</v>
      </c>
      <c r="V2980">
        <v>7.6007677544710106E-2</v>
      </c>
      <c r="W2980">
        <v>0.59239707463418101</v>
      </c>
      <c r="X2980">
        <v>0</v>
      </c>
      <c r="Y2980">
        <v>0</v>
      </c>
    </row>
    <row r="2981" spans="1:25" x14ac:dyDescent="0.2">
      <c r="A2981" t="s">
        <v>11049</v>
      </c>
      <c r="B2981" t="s">
        <v>11050</v>
      </c>
      <c r="C2981" t="s">
        <v>11051</v>
      </c>
      <c r="D2981" t="s">
        <v>11052</v>
      </c>
      <c r="E2981" t="s">
        <v>11050</v>
      </c>
      <c r="F2981" t="s">
        <v>28</v>
      </c>
      <c r="G2981" t="s">
        <v>11050</v>
      </c>
      <c r="H2981" t="str">
        <f>"ubxn-6"</f>
        <v>ubxn-6</v>
      </c>
      <c r="I2981" t="s">
        <v>11052</v>
      </c>
      <c r="J2981">
        <v>13.338836537677899</v>
      </c>
      <c r="K2981">
        <v>12.948852287246</v>
      </c>
      <c r="L2981">
        <v>12.9540052077887</v>
      </c>
      <c r="M2981">
        <v>13.143347396796299</v>
      </c>
      <c r="N2981">
        <v>12.8294482188112</v>
      </c>
      <c r="O2981">
        <v>12.821334481408799</v>
      </c>
      <c r="P2981">
        <v>-0.149187978565436</v>
      </c>
      <c r="Q2981">
        <v>-0.60860652091665701</v>
      </c>
      <c r="R2981">
        <v>0.31023056378578401</v>
      </c>
      <c r="S2981">
        <v>12.7461362413842</v>
      </c>
      <c r="T2981">
        <v>-0.68544927764734898</v>
      </c>
      <c r="U2981">
        <v>-6.6396263070947903</v>
      </c>
      <c r="V2981">
        <v>0.50235797456859099</v>
      </c>
      <c r="W2981">
        <v>0.94062983959761604</v>
      </c>
      <c r="X2981">
        <v>0</v>
      </c>
      <c r="Y2981">
        <v>0</v>
      </c>
    </row>
    <row r="2982" spans="1:25" x14ac:dyDescent="0.2">
      <c r="A2982" t="s">
        <v>11053</v>
      </c>
      <c r="B2982" t="s">
        <v>11054</v>
      </c>
      <c r="C2982" t="s">
        <v>11055</v>
      </c>
      <c r="D2982" t="s">
        <v>11056</v>
      </c>
      <c r="E2982" t="s">
        <v>11054</v>
      </c>
      <c r="F2982" t="s">
        <v>28</v>
      </c>
      <c r="G2982" t="s">
        <v>11054</v>
      </c>
      <c r="H2982" t="str">
        <f>"hpo-29"</f>
        <v>hpo-29</v>
      </c>
      <c r="I2982" t="s">
        <v>11056</v>
      </c>
      <c r="J2982">
        <v>14.8052882967675</v>
      </c>
      <c r="K2982">
        <v>14.562407514795201</v>
      </c>
      <c r="L2982">
        <v>14.739251535176001</v>
      </c>
      <c r="M2982">
        <v>14.7828020049163</v>
      </c>
      <c r="N2982">
        <v>14.728774839624901</v>
      </c>
      <c r="O2982">
        <v>14.547870143413499</v>
      </c>
      <c r="P2982">
        <v>-1.5833452927987299E-2</v>
      </c>
      <c r="Q2982">
        <v>-0.40502316719328502</v>
      </c>
      <c r="R2982">
        <v>0.37335626133730998</v>
      </c>
      <c r="S2982">
        <v>14.5766293883592</v>
      </c>
      <c r="T2982">
        <v>-8.5508009036028093E-2</v>
      </c>
      <c r="U2982">
        <v>-6.8786700551287803</v>
      </c>
      <c r="V2982">
        <v>0.93280695646807399</v>
      </c>
      <c r="W2982">
        <v>0.99926809132575301</v>
      </c>
      <c r="X2982">
        <v>0</v>
      </c>
      <c r="Y2982">
        <v>0</v>
      </c>
    </row>
    <row r="2983" spans="1:25" x14ac:dyDescent="0.2">
      <c r="A2983" t="s">
        <v>11057</v>
      </c>
      <c r="B2983" t="s">
        <v>11058</v>
      </c>
      <c r="C2983" t="s">
        <v>11059</v>
      </c>
      <c r="D2983" t="s">
        <v>11060</v>
      </c>
      <c r="E2983" t="s">
        <v>11058</v>
      </c>
      <c r="F2983" t="s">
        <v>28</v>
      </c>
      <c r="G2983" t="s">
        <v>11058</v>
      </c>
      <c r="H2983" t="str">
        <f>"arx-4"</f>
        <v>arx-4</v>
      </c>
      <c r="I2983" t="s">
        <v>11060</v>
      </c>
      <c r="J2983">
        <v>16.551439477892799</v>
      </c>
      <c r="K2983">
        <v>16.443011910045701</v>
      </c>
      <c r="L2983">
        <v>16.2944290589998</v>
      </c>
      <c r="M2983">
        <v>16.413270328096399</v>
      </c>
      <c r="N2983">
        <v>16.222895751349501</v>
      </c>
      <c r="O2983">
        <v>16.285257105507299</v>
      </c>
      <c r="P2983">
        <v>-0.122485753995008</v>
      </c>
      <c r="Q2983">
        <v>-0.47050673409249999</v>
      </c>
      <c r="R2983">
        <v>0.225535226102484</v>
      </c>
      <c r="S2983">
        <v>15.9166805085343</v>
      </c>
      <c r="T2983">
        <v>-0.73972903822596603</v>
      </c>
      <c r="U2983">
        <v>-6.60090744883043</v>
      </c>
      <c r="V2983">
        <v>0.46905836862882</v>
      </c>
      <c r="W2983">
        <v>0.92978583625257705</v>
      </c>
      <c r="X2983">
        <v>0</v>
      </c>
      <c r="Y2983">
        <v>0</v>
      </c>
    </row>
    <row r="2984" spans="1:25" x14ac:dyDescent="0.2">
      <c r="A2984" t="s">
        <v>11061</v>
      </c>
      <c r="B2984" t="s">
        <v>11062</v>
      </c>
      <c r="C2984" t="s">
        <v>11063</v>
      </c>
      <c r="D2984" t="s">
        <v>11064</v>
      </c>
      <c r="E2984" t="s">
        <v>11062</v>
      </c>
      <c r="F2984" t="s">
        <v>28</v>
      </c>
      <c r="G2984" t="s">
        <v>11062</v>
      </c>
      <c r="H2984" t="str">
        <f>"ahsa-1"</f>
        <v>ahsa-1</v>
      </c>
      <c r="I2984" t="s">
        <v>11064</v>
      </c>
      <c r="J2984">
        <v>12.88464317265</v>
      </c>
      <c r="K2984">
        <v>13.103893372837</v>
      </c>
      <c r="L2984">
        <v>13.4165838733849</v>
      </c>
      <c r="M2984">
        <v>13.8710246131016</v>
      </c>
      <c r="N2984">
        <v>13.9396159765699</v>
      </c>
      <c r="O2984">
        <v>13.888856031389601</v>
      </c>
      <c r="P2984">
        <v>0.76479206739641203</v>
      </c>
      <c r="Q2984">
        <v>0.29637039353835298</v>
      </c>
      <c r="R2984">
        <v>1.2332137412544699</v>
      </c>
      <c r="S2984">
        <v>13.700569851267201</v>
      </c>
      <c r="T2984">
        <v>3.4463263943351601</v>
      </c>
      <c r="U2984">
        <v>-2.1835309221183099</v>
      </c>
      <c r="V2984">
        <v>3.1056335810926098E-3</v>
      </c>
      <c r="W2984">
        <v>7.5477073230359806E-2</v>
      </c>
      <c r="X2984">
        <v>0</v>
      </c>
      <c r="Y2984">
        <v>0</v>
      </c>
    </row>
    <row r="2985" spans="1:25" x14ac:dyDescent="0.2">
      <c r="A2985" t="s">
        <v>11065</v>
      </c>
      <c r="B2985" t="s">
        <v>11066</v>
      </c>
      <c r="C2985" t="s">
        <v>11067</v>
      </c>
      <c r="D2985" t="s">
        <v>11068</v>
      </c>
      <c r="E2985" t="s">
        <v>11066</v>
      </c>
      <c r="F2985" t="s">
        <v>28</v>
      </c>
      <c r="G2985" t="s">
        <v>11066</v>
      </c>
      <c r="H2985" t="str">
        <f>"C01G10.9"</f>
        <v>C01G10.9</v>
      </c>
      <c r="I2985" t="s">
        <v>11068</v>
      </c>
      <c r="J2985" t="s">
        <v>29</v>
      </c>
      <c r="K2985" t="s">
        <v>29</v>
      </c>
      <c r="L2985" t="s">
        <v>29</v>
      </c>
      <c r="M2985" t="s">
        <v>29</v>
      </c>
      <c r="N2985" t="s">
        <v>29</v>
      </c>
      <c r="O2985" t="s">
        <v>29</v>
      </c>
      <c r="P2985" t="s">
        <v>29</v>
      </c>
      <c r="Q2985" t="s">
        <v>29</v>
      </c>
      <c r="R2985" t="s">
        <v>29</v>
      </c>
      <c r="S2985">
        <v>11.5736448104243</v>
      </c>
      <c r="T2985" t="s">
        <v>29</v>
      </c>
      <c r="U2985" t="s">
        <v>29</v>
      </c>
      <c r="V2985" t="s">
        <v>29</v>
      </c>
      <c r="W2985" t="s">
        <v>29</v>
      </c>
      <c r="X2985" t="s">
        <v>29</v>
      </c>
      <c r="Y2985" t="s">
        <v>29</v>
      </c>
    </row>
    <row r="2986" spans="1:25" x14ac:dyDescent="0.2">
      <c r="A2986" t="s">
        <v>11069</v>
      </c>
      <c r="B2986" t="s">
        <v>11070</v>
      </c>
      <c r="C2986" t="s">
        <v>11071</v>
      </c>
      <c r="D2986" t="s">
        <v>11072</v>
      </c>
      <c r="E2986" t="s">
        <v>11070</v>
      </c>
      <c r="F2986" t="s">
        <v>28</v>
      </c>
      <c r="G2986" t="s">
        <v>11070</v>
      </c>
      <c r="H2986" t="str">
        <f>"osgl-1"</f>
        <v>osgl-1</v>
      </c>
      <c r="I2986" t="s">
        <v>11072</v>
      </c>
      <c r="J2986" t="s">
        <v>29</v>
      </c>
      <c r="K2986" t="s">
        <v>29</v>
      </c>
      <c r="L2986" t="s">
        <v>29</v>
      </c>
      <c r="M2986" t="s">
        <v>29</v>
      </c>
      <c r="N2986" t="s">
        <v>29</v>
      </c>
      <c r="O2986" t="s">
        <v>29</v>
      </c>
      <c r="P2986" t="s">
        <v>29</v>
      </c>
      <c r="Q2986" t="s">
        <v>29</v>
      </c>
      <c r="R2986" t="s">
        <v>29</v>
      </c>
      <c r="S2986">
        <v>10.9318448221459</v>
      </c>
      <c r="T2986" t="s">
        <v>29</v>
      </c>
      <c r="U2986" t="s">
        <v>29</v>
      </c>
      <c r="V2986" t="s">
        <v>29</v>
      </c>
      <c r="W2986" t="s">
        <v>29</v>
      </c>
      <c r="X2986" t="s">
        <v>29</v>
      </c>
      <c r="Y2986" t="s">
        <v>29</v>
      </c>
    </row>
    <row r="2987" spans="1:25" x14ac:dyDescent="0.2">
      <c r="A2987" t="s">
        <v>11073</v>
      </c>
      <c r="B2987" t="s">
        <v>11074</v>
      </c>
      <c r="C2987" t="s">
        <v>11075</v>
      </c>
      <c r="D2987" t="s">
        <v>412</v>
      </c>
      <c r="E2987" t="s">
        <v>11074</v>
      </c>
      <c r="F2987" t="s">
        <v>28</v>
      </c>
      <c r="G2987" t="s">
        <v>11074</v>
      </c>
      <c r="H2987" t="str">
        <f>"C11E4.6"</f>
        <v>C11E4.6</v>
      </c>
      <c r="I2987" t="s">
        <v>412</v>
      </c>
      <c r="J2987">
        <v>13.2561875253663</v>
      </c>
      <c r="K2987">
        <v>13.677657606958499</v>
      </c>
      <c r="L2987">
        <v>11.9277468585934</v>
      </c>
      <c r="M2987" t="s">
        <v>29</v>
      </c>
      <c r="N2987">
        <v>12.1475003063934</v>
      </c>
      <c r="O2987" t="s">
        <v>29</v>
      </c>
      <c r="P2987">
        <v>-0.80636369057930901</v>
      </c>
      <c r="Q2987">
        <v>-2.81719243457233</v>
      </c>
      <c r="R2987">
        <v>1.20446505341371</v>
      </c>
      <c r="S2987">
        <v>11.8619913656328</v>
      </c>
      <c r="T2987">
        <v>-0.90878297906880301</v>
      </c>
      <c r="U2987">
        <v>-6.1111338388117202</v>
      </c>
      <c r="V2987">
        <v>0.387424652374808</v>
      </c>
      <c r="W2987">
        <v>0.90353836237095997</v>
      </c>
      <c r="X2987">
        <v>0</v>
      </c>
      <c r="Y2987">
        <v>0</v>
      </c>
    </row>
    <row r="2988" spans="1:25" x14ac:dyDescent="0.2">
      <c r="A2988" t="s">
        <v>11076</v>
      </c>
      <c r="B2988" t="s">
        <v>11077</v>
      </c>
      <c r="C2988" t="s">
        <v>11078</v>
      </c>
      <c r="D2988" t="s">
        <v>93</v>
      </c>
      <c r="E2988" t="s">
        <v>11077</v>
      </c>
      <c r="F2988" t="s">
        <v>28</v>
      </c>
      <c r="G2988" t="s">
        <v>11077</v>
      </c>
      <c r="H2988" t="str">
        <f>"pabp-2"</f>
        <v>pabp-2</v>
      </c>
      <c r="I2988" t="s">
        <v>93</v>
      </c>
      <c r="J2988">
        <v>13.727368268532899</v>
      </c>
      <c r="K2988">
        <v>14.2302146349782</v>
      </c>
      <c r="L2988">
        <v>13.6035640993556</v>
      </c>
      <c r="M2988">
        <v>14.4019596608463</v>
      </c>
      <c r="N2988">
        <v>13.5625797906741</v>
      </c>
      <c r="O2988">
        <v>13.563565712470901</v>
      </c>
      <c r="P2988">
        <v>-1.10139462917953E-2</v>
      </c>
      <c r="Q2988">
        <v>-0.63408626763293696</v>
      </c>
      <c r="R2988">
        <v>0.61205837504934701</v>
      </c>
      <c r="S2988">
        <v>13.5593108727108</v>
      </c>
      <c r="T2988">
        <v>-3.7312513743399799E-2</v>
      </c>
      <c r="U2988">
        <v>-6.8817598918319502</v>
      </c>
      <c r="V2988">
        <v>0.97067316257397396</v>
      </c>
      <c r="W2988">
        <v>0.99968702248720698</v>
      </c>
      <c r="X2988">
        <v>0</v>
      </c>
      <c r="Y2988">
        <v>0</v>
      </c>
    </row>
    <row r="2989" spans="1:25" x14ac:dyDescent="0.2">
      <c r="A2989" t="s">
        <v>11079</v>
      </c>
      <c r="B2989" t="s">
        <v>11080</v>
      </c>
      <c r="C2989" t="s">
        <v>11081</v>
      </c>
      <c r="D2989" t="s">
        <v>11082</v>
      </c>
      <c r="E2989" t="s">
        <v>11080</v>
      </c>
      <c r="F2989" t="s">
        <v>28</v>
      </c>
      <c r="G2989" t="s">
        <v>11080</v>
      </c>
      <c r="H2989" t="str">
        <f>"nkb-1"</f>
        <v>nkb-1</v>
      </c>
      <c r="I2989" t="s">
        <v>11082</v>
      </c>
      <c r="J2989">
        <v>16.151913210138702</v>
      </c>
      <c r="K2989">
        <v>16.040954951164299</v>
      </c>
      <c r="L2989">
        <v>15.400209827916299</v>
      </c>
      <c r="M2989">
        <v>15.693208142624201</v>
      </c>
      <c r="N2989">
        <v>15.301997778324999</v>
      </c>
      <c r="O2989">
        <v>15.7796247516258</v>
      </c>
      <c r="P2989">
        <v>-0.27274910554809201</v>
      </c>
      <c r="Q2989">
        <v>-0.79531568390993701</v>
      </c>
      <c r="R2989">
        <v>0.24981747281375299</v>
      </c>
      <c r="S2989">
        <v>15.0563547329223</v>
      </c>
      <c r="T2989">
        <v>-1.0970191729843699</v>
      </c>
      <c r="U2989">
        <v>-6.2741382137080501</v>
      </c>
      <c r="V2989">
        <v>0.28717624693671601</v>
      </c>
      <c r="W2989">
        <v>0.856190392347986</v>
      </c>
      <c r="X2989">
        <v>0</v>
      </c>
      <c r="Y2989">
        <v>0</v>
      </c>
    </row>
    <row r="2990" spans="1:25" x14ac:dyDescent="0.2">
      <c r="A2990" t="s">
        <v>11083</v>
      </c>
      <c r="B2990" t="s">
        <v>11084</v>
      </c>
      <c r="C2990" t="s">
        <v>11085</v>
      </c>
      <c r="D2990" t="s">
        <v>49</v>
      </c>
      <c r="E2990" t="s">
        <v>11084</v>
      </c>
      <c r="F2990" t="s">
        <v>28</v>
      </c>
      <c r="G2990" t="s">
        <v>11084</v>
      </c>
      <c r="H2990" t="str">
        <f>"ugt-23"</f>
        <v>ugt-23</v>
      </c>
      <c r="I2990" t="s">
        <v>49</v>
      </c>
      <c r="J2990">
        <v>13.6133980191043</v>
      </c>
      <c r="K2990">
        <v>13.541872121361299</v>
      </c>
      <c r="L2990">
        <v>13.732030313176301</v>
      </c>
      <c r="M2990">
        <v>14.202034512062299</v>
      </c>
      <c r="N2990">
        <v>13.9205894861716</v>
      </c>
      <c r="O2990">
        <v>13.6139350610274</v>
      </c>
      <c r="P2990">
        <v>0.28308620187313099</v>
      </c>
      <c r="Q2990">
        <v>-0.152660487595351</v>
      </c>
      <c r="R2990">
        <v>0.71883289134161199</v>
      </c>
      <c r="S2990">
        <v>13.6188402298329</v>
      </c>
      <c r="T2990">
        <v>1.36545413967134</v>
      </c>
      <c r="U2990">
        <v>-5.9562778030917496</v>
      </c>
      <c r="V2990">
        <v>0.18903012711707201</v>
      </c>
      <c r="W2990">
        <v>0.78295732499061499</v>
      </c>
      <c r="X2990">
        <v>0</v>
      </c>
      <c r="Y2990">
        <v>0</v>
      </c>
    </row>
    <row r="2991" spans="1:25" x14ac:dyDescent="0.2">
      <c r="A2991" t="s">
        <v>11086</v>
      </c>
      <c r="B2991" t="s">
        <v>11087</v>
      </c>
      <c r="C2991" t="s">
        <v>11088</v>
      </c>
      <c r="D2991" t="s">
        <v>11089</v>
      </c>
      <c r="E2991" t="s">
        <v>11087</v>
      </c>
      <c r="F2991" t="s">
        <v>28</v>
      </c>
      <c r="G2991" t="s">
        <v>11087</v>
      </c>
      <c r="H2991" t="str">
        <f>"nas-37"</f>
        <v>nas-37</v>
      </c>
      <c r="I2991" t="s">
        <v>11089</v>
      </c>
      <c r="J2991" t="s">
        <v>29</v>
      </c>
      <c r="K2991" t="s">
        <v>29</v>
      </c>
      <c r="L2991" t="s">
        <v>29</v>
      </c>
      <c r="M2991" t="s">
        <v>29</v>
      </c>
      <c r="N2991">
        <v>12.388177159695401</v>
      </c>
      <c r="O2991" t="s">
        <v>29</v>
      </c>
      <c r="P2991" t="s">
        <v>29</v>
      </c>
      <c r="Q2991" t="s">
        <v>29</v>
      </c>
      <c r="R2991" t="s">
        <v>29</v>
      </c>
      <c r="S2991">
        <v>12.9463216984603</v>
      </c>
      <c r="T2991" t="s">
        <v>29</v>
      </c>
      <c r="U2991" t="s">
        <v>29</v>
      </c>
      <c r="V2991" t="s">
        <v>29</v>
      </c>
      <c r="W2991" t="s">
        <v>29</v>
      </c>
      <c r="X2991" t="s">
        <v>29</v>
      </c>
      <c r="Y2991" t="s">
        <v>29</v>
      </c>
    </row>
    <row r="2992" spans="1:25" x14ac:dyDescent="0.2">
      <c r="A2992" t="s">
        <v>11090</v>
      </c>
      <c r="B2992" t="s">
        <v>11091</v>
      </c>
      <c r="C2992" t="s">
        <v>11092</v>
      </c>
      <c r="D2992" t="s">
        <v>11093</v>
      </c>
      <c r="E2992" t="s">
        <v>11091</v>
      </c>
      <c r="F2992" t="s">
        <v>28</v>
      </c>
      <c r="G2992" t="s">
        <v>11091</v>
      </c>
      <c r="H2992" t="str">
        <f>"cysl-1"</f>
        <v>cysl-1</v>
      </c>
      <c r="I2992" t="s">
        <v>11093</v>
      </c>
      <c r="J2992">
        <v>12.0142311902946</v>
      </c>
      <c r="K2992">
        <v>12.139139441096599</v>
      </c>
      <c r="L2992">
        <v>11.226644936465499</v>
      </c>
      <c r="M2992">
        <v>12.072753663772</v>
      </c>
      <c r="N2992">
        <v>12.2991818369113</v>
      </c>
      <c r="O2992" t="s">
        <v>29</v>
      </c>
      <c r="P2992">
        <v>0.39262922772276099</v>
      </c>
      <c r="Q2992">
        <v>-0.249061283320653</v>
      </c>
      <c r="R2992">
        <v>1.03431973876617</v>
      </c>
      <c r="S2992">
        <v>12.183816010130901</v>
      </c>
      <c r="T2992">
        <v>1.3132545112614</v>
      </c>
      <c r="U2992">
        <v>-5.9127199546533502</v>
      </c>
      <c r="V2992">
        <v>0.21037104776405499</v>
      </c>
      <c r="W2992">
        <v>0.79492804357574798</v>
      </c>
      <c r="X2992">
        <v>0</v>
      </c>
      <c r="Y2992">
        <v>0</v>
      </c>
    </row>
    <row r="2993" spans="1:25" x14ac:dyDescent="0.2">
      <c r="A2993" t="s">
        <v>11094</v>
      </c>
      <c r="B2993" t="s">
        <v>11095</v>
      </c>
      <c r="C2993" t="s">
        <v>11096</v>
      </c>
      <c r="D2993" t="s">
        <v>10002</v>
      </c>
      <c r="E2993" t="s">
        <v>11095</v>
      </c>
      <c r="F2993" t="s">
        <v>28</v>
      </c>
      <c r="G2993" t="s">
        <v>11095</v>
      </c>
      <c r="H2993" t="str">
        <f>"C27D8.4"</f>
        <v>C27D8.4</v>
      </c>
      <c r="I2993" t="s">
        <v>10002</v>
      </c>
      <c r="J2993">
        <v>12.2612989684485</v>
      </c>
      <c r="K2993">
        <v>12.0263404672709</v>
      </c>
      <c r="L2993">
        <v>11.412780344337399</v>
      </c>
      <c r="M2993" t="s">
        <v>29</v>
      </c>
      <c r="N2993">
        <v>11.549868319360501</v>
      </c>
      <c r="O2993" t="s">
        <v>29</v>
      </c>
      <c r="P2993">
        <v>-0.35027160732513402</v>
      </c>
      <c r="Q2993">
        <v>-1.2688026398777801</v>
      </c>
      <c r="R2993">
        <v>0.56825942522751705</v>
      </c>
      <c r="S2993">
        <v>11.547345951705701</v>
      </c>
      <c r="T2993">
        <v>-0.82451459221906298</v>
      </c>
      <c r="U2993">
        <v>-6.1915712006479602</v>
      </c>
      <c r="V2993">
        <v>0.42463659116923902</v>
      </c>
      <c r="W2993">
        <v>0.91512503332874395</v>
      </c>
      <c r="X2993">
        <v>0</v>
      </c>
      <c r="Y2993">
        <v>0</v>
      </c>
    </row>
    <row r="2994" spans="1:25" x14ac:dyDescent="0.2">
      <c r="A2994" t="s">
        <v>11097</v>
      </c>
      <c r="B2994" t="s">
        <v>11098</v>
      </c>
      <c r="C2994" t="s">
        <v>11099</v>
      </c>
      <c r="D2994" t="s">
        <v>11100</v>
      </c>
      <c r="E2994" t="s">
        <v>11098</v>
      </c>
      <c r="F2994" t="s">
        <v>28</v>
      </c>
      <c r="G2994" t="s">
        <v>11098</v>
      </c>
      <c r="H2994" t="str">
        <f>"rpb-3"</f>
        <v>rpb-3</v>
      </c>
      <c r="I2994" t="s">
        <v>11100</v>
      </c>
      <c r="J2994">
        <v>11.374694233388601</v>
      </c>
      <c r="K2994">
        <v>10.5641274578339</v>
      </c>
      <c r="L2994">
        <v>11.0000660342077</v>
      </c>
      <c r="M2994">
        <v>11.1063615921201</v>
      </c>
      <c r="N2994">
        <v>11.3677301114447</v>
      </c>
      <c r="O2994">
        <v>11.859649245329599</v>
      </c>
      <c r="P2994">
        <v>0.46495107448805101</v>
      </c>
      <c r="Q2994">
        <v>-0.155602296947634</v>
      </c>
      <c r="R2994">
        <v>1.08550444592373</v>
      </c>
      <c r="S2994">
        <v>11.825963768755001</v>
      </c>
      <c r="T2994">
        <v>1.60812576084965</v>
      </c>
      <c r="U2994">
        <v>-5.6256011716824004</v>
      </c>
      <c r="V2994">
        <v>0.130285318407411</v>
      </c>
      <c r="W2994">
        <v>0.72021766768664797</v>
      </c>
      <c r="X2994">
        <v>0</v>
      </c>
      <c r="Y2994">
        <v>0</v>
      </c>
    </row>
    <row r="2995" spans="1:25" x14ac:dyDescent="0.2">
      <c r="A2995" t="s">
        <v>11101</v>
      </c>
      <c r="B2995" t="s">
        <v>11102</v>
      </c>
      <c r="C2995" t="s">
        <v>11103</v>
      </c>
      <c r="D2995" t="s">
        <v>11104</v>
      </c>
      <c r="E2995" t="s">
        <v>11102</v>
      </c>
      <c r="F2995" t="s">
        <v>28</v>
      </c>
      <c r="G2995" t="s">
        <v>11102</v>
      </c>
      <c r="H2995" t="str">
        <f>"dhfr-1"</f>
        <v>dhfr-1</v>
      </c>
      <c r="I2995" t="s">
        <v>11104</v>
      </c>
      <c r="J2995">
        <v>13.5105604065356</v>
      </c>
      <c r="K2995">
        <v>13.380797600312301</v>
      </c>
      <c r="L2995">
        <v>12.8693368876593</v>
      </c>
      <c r="M2995">
        <v>13.3252564342482</v>
      </c>
      <c r="N2995">
        <v>13.3307401751526</v>
      </c>
      <c r="O2995">
        <v>13.5020581457498</v>
      </c>
      <c r="P2995">
        <v>0.13245328688115901</v>
      </c>
      <c r="Q2995">
        <v>-0.89448942125599795</v>
      </c>
      <c r="R2995">
        <v>1.1593959950183199</v>
      </c>
      <c r="S2995">
        <v>12.5082066351022</v>
      </c>
      <c r="T2995">
        <v>0.27224915318783999</v>
      </c>
      <c r="U2995">
        <v>-6.8437267507419799</v>
      </c>
      <c r="V2995">
        <v>0.78872967404155503</v>
      </c>
      <c r="W2995">
        <v>0.99278624068726296</v>
      </c>
      <c r="X2995">
        <v>0</v>
      </c>
      <c r="Y2995">
        <v>0</v>
      </c>
    </row>
    <row r="2996" spans="1:25" x14ac:dyDescent="0.2">
      <c r="A2996" t="s">
        <v>11105</v>
      </c>
      <c r="B2996" t="s">
        <v>11106</v>
      </c>
      <c r="C2996" t="s">
        <v>11107</v>
      </c>
      <c r="D2996" t="s">
        <v>11108</v>
      </c>
      <c r="E2996" t="s">
        <v>11106</v>
      </c>
      <c r="F2996" t="s">
        <v>28</v>
      </c>
      <c r="G2996" t="s">
        <v>11106</v>
      </c>
      <c r="H2996" t="str">
        <f>"idhb-1"</f>
        <v>idhb-1</v>
      </c>
      <c r="I2996" t="s">
        <v>11108</v>
      </c>
      <c r="J2996">
        <v>17.120117886889901</v>
      </c>
      <c r="K2996">
        <v>17.0978709708473</v>
      </c>
      <c r="L2996">
        <v>16.915165774846599</v>
      </c>
      <c r="M2996">
        <v>16.789675396040799</v>
      </c>
      <c r="N2996">
        <v>16.9454787752729</v>
      </c>
      <c r="O2996">
        <v>17.0165855114453</v>
      </c>
      <c r="P2996">
        <v>-0.127138316608264</v>
      </c>
      <c r="Q2996">
        <v>-0.49727423247587099</v>
      </c>
      <c r="R2996">
        <v>0.242997599259344</v>
      </c>
      <c r="S2996">
        <v>16.704150456393101</v>
      </c>
      <c r="T2996">
        <v>-0.72195103170483599</v>
      </c>
      <c r="U2996">
        <v>-6.6140873359027301</v>
      </c>
      <c r="V2996">
        <v>0.47965293568753897</v>
      </c>
      <c r="W2996">
        <v>0.93764446794243095</v>
      </c>
      <c r="X2996">
        <v>0</v>
      </c>
      <c r="Y2996">
        <v>0</v>
      </c>
    </row>
    <row r="2997" spans="1:25" x14ac:dyDescent="0.2">
      <c r="A2997" t="s">
        <v>11109</v>
      </c>
      <c r="B2997" t="s">
        <v>11110</v>
      </c>
      <c r="C2997" t="s">
        <v>11111</v>
      </c>
      <c r="D2997" t="s">
        <v>11112</v>
      </c>
      <c r="E2997" t="s">
        <v>11110</v>
      </c>
      <c r="F2997" t="s">
        <v>28</v>
      </c>
      <c r="G2997" t="s">
        <v>11110</v>
      </c>
      <c r="H2997" t="str">
        <f>"mina-1"</f>
        <v>mina-1</v>
      </c>
      <c r="I2997" t="s">
        <v>11112</v>
      </c>
      <c r="J2997" t="s">
        <v>29</v>
      </c>
      <c r="K2997" t="s">
        <v>29</v>
      </c>
      <c r="L2997" t="s">
        <v>29</v>
      </c>
      <c r="M2997" t="s">
        <v>29</v>
      </c>
      <c r="N2997" t="s">
        <v>29</v>
      </c>
      <c r="O2997" t="s">
        <v>29</v>
      </c>
      <c r="P2997" t="s">
        <v>29</v>
      </c>
      <c r="Q2997" t="s">
        <v>29</v>
      </c>
      <c r="R2997" t="s">
        <v>29</v>
      </c>
      <c r="S2997">
        <v>12.343216747222099</v>
      </c>
      <c r="T2997" t="s">
        <v>29</v>
      </c>
      <c r="U2997" t="s">
        <v>29</v>
      </c>
      <c r="V2997" t="s">
        <v>29</v>
      </c>
      <c r="W2997" t="s">
        <v>29</v>
      </c>
      <c r="X2997" t="s">
        <v>29</v>
      </c>
      <c r="Y2997" t="s">
        <v>29</v>
      </c>
    </row>
    <row r="2998" spans="1:25" x14ac:dyDescent="0.2">
      <c r="A2998" t="s">
        <v>11113</v>
      </c>
      <c r="B2998" t="s">
        <v>11114</v>
      </c>
      <c r="C2998" t="s">
        <v>11115</v>
      </c>
      <c r="D2998" t="s">
        <v>2636</v>
      </c>
      <c r="E2998" t="s">
        <v>11114</v>
      </c>
      <c r="F2998" t="s">
        <v>28</v>
      </c>
      <c r="G2998" t="s">
        <v>11116</v>
      </c>
      <c r="H2998" t="str">
        <f>"set-32"</f>
        <v>set-32</v>
      </c>
      <c r="I2998" t="s">
        <v>2636</v>
      </c>
      <c r="J2998" t="s">
        <v>29</v>
      </c>
      <c r="K2998" t="s">
        <v>29</v>
      </c>
      <c r="L2998" t="s">
        <v>29</v>
      </c>
      <c r="M2998" t="s">
        <v>29</v>
      </c>
      <c r="N2998" t="s">
        <v>29</v>
      </c>
      <c r="O2998" t="s">
        <v>29</v>
      </c>
      <c r="P2998" t="s">
        <v>29</v>
      </c>
      <c r="Q2998" t="s">
        <v>29</v>
      </c>
      <c r="R2998" t="s">
        <v>29</v>
      </c>
      <c r="S2998">
        <v>10.059612125092301</v>
      </c>
      <c r="T2998" t="s">
        <v>29</v>
      </c>
      <c r="U2998" t="s">
        <v>29</v>
      </c>
      <c r="V2998" t="s">
        <v>29</v>
      </c>
      <c r="W2998" t="s">
        <v>29</v>
      </c>
      <c r="X2998" t="s">
        <v>29</v>
      </c>
      <c r="Y2998" t="s">
        <v>29</v>
      </c>
    </row>
    <row r="2999" spans="1:25" x14ac:dyDescent="0.2">
      <c r="A2999" t="s">
        <v>11117</v>
      </c>
      <c r="B2999" t="s">
        <v>11118</v>
      </c>
      <c r="C2999" t="s">
        <v>11119</v>
      </c>
      <c r="D2999" t="s">
        <v>2791</v>
      </c>
      <c r="E2999" t="s">
        <v>11118</v>
      </c>
      <c r="F2999" t="s">
        <v>28</v>
      </c>
      <c r="G2999" t="s">
        <v>11118</v>
      </c>
      <c r="H2999" t="str">
        <f>"C46F11.4"</f>
        <v>C46F11.4</v>
      </c>
      <c r="I2999" t="s">
        <v>2791</v>
      </c>
      <c r="J2999">
        <v>13.2341531738087</v>
      </c>
      <c r="K2999">
        <v>13.1683024111591</v>
      </c>
      <c r="L2999">
        <v>12.9666608616222</v>
      </c>
      <c r="M2999">
        <v>13.1823346233168</v>
      </c>
      <c r="N2999">
        <v>12.986864442526301</v>
      </c>
      <c r="O2999">
        <v>12.5664711534086</v>
      </c>
      <c r="P2999">
        <v>-0.21114874244606699</v>
      </c>
      <c r="Q2999">
        <v>-0.80061612786657299</v>
      </c>
      <c r="R2999">
        <v>0.37831864297443901</v>
      </c>
      <c r="S2999">
        <v>12.906854915085701</v>
      </c>
      <c r="T2999">
        <v>-0.75976318912268903</v>
      </c>
      <c r="U2999">
        <v>-6.5843127907332901</v>
      </c>
      <c r="V2999">
        <v>0.45851728963559402</v>
      </c>
      <c r="W2999">
        <v>0.92799154546826901</v>
      </c>
      <c r="X2999">
        <v>0</v>
      </c>
      <c r="Y2999">
        <v>0</v>
      </c>
    </row>
    <row r="3000" spans="1:25" x14ac:dyDescent="0.2">
      <c r="A3000" t="s">
        <v>11120</v>
      </c>
      <c r="B3000" t="s">
        <v>11121</v>
      </c>
      <c r="C3000" t="s">
        <v>14596</v>
      </c>
      <c r="D3000" t="s">
        <v>581</v>
      </c>
      <c r="E3000" t="s">
        <v>11121</v>
      </c>
      <c r="F3000" t="s">
        <v>28</v>
      </c>
      <c r="G3000" t="s">
        <v>11121</v>
      </c>
      <c r="H3000" t="str">
        <f>"D2005.4"</f>
        <v>D2005.4</v>
      </c>
      <c r="I3000" t="s">
        <v>581</v>
      </c>
      <c r="J3000" t="s">
        <v>29</v>
      </c>
      <c r="K3000">
        <v>10.384881206944399</v>
      </c>
      <c r="L3000">
        <v>12.3118086574041</v>
      </c>
      <c r="M3000">
        <v>12.348245338590299</v>
      </c>
      <c r="N3000">
        <v>12.528939636269101</v>
      </c>
      <c r="O3000">
        <v>11.6180333143298</v>
      </c>
      <c r="P3000">
        <v>0.81672783088882095</v>
      </c>
      <c r="Q3000">
        <v>-0.237198182208782</v>
      </c>
      <c r="R3000">
        <v>1.87065384398642</v>
      </c>
      <c r="S3000">
        <v>12.9293708181188</v>
      </c>
      <c r="T3000">
        <v>1.6632560956273601</v>
      </c>
      <c r="U3000">
        <v>-5.4390191915058503</v>
      </c>
      <c r="V3000">
        <v>0.11864274521686501</v>
      </c>
      <c r="W3000">
        <v>0.70633820408179904</v>
      </c>
      <c r="X3000">
        <v>0</v>
      </c>
      <c r="Y3000">
        <v>0</v>
      </c>
    </row>
    <row r="3001" spans="1:25" x14ac:dyDescent="0.2">
      <c r="A3001" t="s">
        <v>11122</v>
      </c>
      <c r="B3001" t="s">
        <v>11123</v>
      </c>
      <c r="C3001" t="s">
        <v>14597</v>
      </c>
      <c r="D3001" t="s">
        <v>11124</v>
      </c>
      <c r="E3001" t="s">
        <v>11123</v>
      </c>
      <c r="F3001" t="s">
        <v>28</v>
      </c>
      <c r="G3001" t="s">
        <v>11123</v>
      </c>
      <c r="H3001" t="str">
        <f>"D2005.6"</f>
        <v>D2005.6</v>
      </c>
      <c r="I3001" t="s">
        <v>11124</v>
      </c>
      <c r="J3001" t="s">
        <v>29</v>
      </c>
      <c r="K3001">
        <v>12.009145429378201</v>
      </c>
      <c r="L3001" t="s">
        <v>29</v>
      </c>
      <c r="M3001">
        <v>10.680413621781501</v>
      </c>
      <c r="N3001" t="s">
        <v>29</v>
      </c>
      <c r="O3001" t="s">
        <v>29</v>
      </c>
      <c r="P3001">
        <v>-1.3287318075966901</v>
      </c>
      <c r="Q3001">
        <v>-2.3847388805445999</v>
      </c>
      <c r="R3001">
        <v>-0.27272473464878899</v>
      </c>
      <c r="S3001">
        <v>12.044948846057499</v>
      </c>
      <c r="T3001">
        <v>-2.8076139707242</v>
      </c>
      <c r="U3001">
        <v>-3.2815511804167001</v>
      </c>
      <c r="V3001">
        <v>1.8729734945034899E-2</v>
      </c>
      <c r="W3001">
        <v>0.27338841182928197</v>
      </c>
      <c r="X3001">
        <v>-1</v>
      </c>
      <c r="Y3001">
        <v>0</v>
      </c>
    </row>
    <row r="3002" spans="1:25" x14ac:dyDescent="0.2">
      <c r="A3002" t="s">
        <v>11125</v>
      </c>
      <c r="B3002" t="s">
        <v>11126</v>
      </c>
      <c r="C3002" t="s">
        <v>11127</v>
      </c>
      <c r="D3002" t="s">
        <v>11128</v>
      </c>
      <c r="E3002" t="s">
        <v>11126</v>
      </c>
      <c r="F3002" t="s">
        <v>28</v>
      </c>
      <c r="G3002" t="s">
        <v>11126</v>
      </c>
      <c r="H3002" t="str">
        <f>"drh-3"</f>
        <v>drh-3</v>
      </c>
      <c r="I3002" t="s">
        <v>11128</v>
      </c>
      <c r="J3002">
        <v>13.894827222365</v>
      </c>
      <c r="K3002">
        <v>13.6756539985759</v>
      </c>
      <c r="L3002">
        <v>13.7837271080351</v>
      </c>
      <c r="M3002">
        <v>13.823558638750001</v>
      </c>
      <c r="N3002">
        <v>13.804044931354801</v>
      </c>
      <c r="O3002">
        <v>13.740504529273901</v>
      </c>
      <c r="P3002">
        <v>4.6332568008775601E-3</v>
      </c>
      <c r="Q3002">
        <v>-0.50527924154887704</v>
      </c>
      <c r="R3002">
        <v>0.51454575515063194</v>
      </c>
      <c r="S3002">
        <v>14.0811098174748</v>
      </c>
      <c r="T3002">
        <v>1.9097795036529901E-2</v>
      </c>
      <c r="U3002">
        <v>-6.8822990078468003</v>
      </c>
      <c r="V3002">
        <v>0.98497441728789503</v>
      </c>
      <c r="W3002">
        <v>0.99968702248720698</v>
      </c>
      <c r="X3002">
        <v>0</v>
      </c>
      <c r="Y3002">
        <v>0</v>
      </c>
    </row>
    <row r="3003" spans="1:25" x14ac:dyDescent="0.2">
      <c r="A3003" t="s">
        <v>11129</v>
      </c>
      <c r="B3003" t="s">
        <v>11130</v>
      </c>
      <c r="C3003" t="s">
        <v>11131</v>
      </c>
      <c r="D3003" t="s">
        <v>11132</v>
      </c>
      <c r="E3003" t="s">
        <v>11130</v>
      </c>
      <c r="F3003" t="s">
        <v>28</v>
      </c>
      <c r="G3003" t="s">
        <v>11130</v>
      </c>
      <c r="H3003" t="str">
        <f>"mrps-5"</f>
        <v>mrps-5</v>
      </c>
      <c r="I3003" t="s">
        <v>11132</v>
      </c>
      <c r="J3003">
        <v>15.939181907159799</v>
      </c>
      <c r="K3003">
        <v>16.026431999996301</v>
      </c>
      <c r="L3003">
        <v>16.019956415757299</v>
      </c>
      <c r="M3003">
        <v>15.5736484147911</v>
      </c>
      <c r="N3003">
        <v>15.600533549847301</v>
      </c>
      <c r="O3003">
        <v>15.6126612993584</v>
      </c>
      <c r="P3003">
        <v>-0.39957568630547002</v>
      </c>
      <c r="Q3003">
        <v>-0.93538217053204697</v>
      </c>
      <c r="R3003">
        <v>0.13623079792110801</v>
      </c>
      <c r="S3003">
        <v>15.8076378430952</v>
      </c>
      <c r="T3003">
        <v>-1.56741356920748</v>
      </c>
      <c r="U3003">
        <v>-5.6804559112454198</v>
      </c>
      <c r="V3003">
        <v>0.13453044580710299</v>
      </c>
      <c r="W3003">
        <v>0.72544466191224499</v>
      </c>
      <c r="X3003">
        <v>0</v>
      </c>
      <c r="Y3003">
        <v>0</v>
      </c>
    </row>
    <row r="3004" spans="1:25" x14ac:dyDescent="0.2">
      <c r="A3004" t="s">
        <v>11133</v>
      </c>
      <c r="B3004" t="s">
        <v>11134</v>
      </c>
      <c r="C3004" t="s">
        <v>11135</v>
      </c>
      <c r="D3004" t="s">
        <v>11136</v>
      </c>
      <c r="E3004" t="s">
        <v>11134</v>
      </c>
      <c r="F3004" t="s">
        <v>28</v>
      </c>
      <c r="G3004" t="s">
        <v>11134</v>
      </c>
      <c r="H3004" t="str">
        <f>"let-19"</f>
        <v>let-19</v>
      </c>
      <c r="I3004" t="s">
        <v>11136</v>
      </c>
      <c r="J3004">
        <v>13.0605826473902</v>
      </c>
      <c r="K3004">
        <v>13.763946593159901</v>
      </c>
      <c r="L3004">
        <v>13.564714080646</v>
      </c>
      <c r="M3004">
        <v>13.515463737391499</v>
      </c>
      <c r="N3004">
        <v>13.547954742807599</v>
      </c>
      <c r="O3004">
        <v>13.5392013494086</v>
      </c>
      <c r="P3004">
        <v>7.1125502803889504E-2</v>
      </c>
      <c r="Q3004">
        <v>-0.53487459291499795</v>
      </c>
      <c r="R3004">
        <v>0.67712559852277698</v>
      </c>
      <c r="S3004">
        <v>13.557309107997201</v>
      </c>
      <c r="T3004">
        <v>0.24668637884490099</v>
      </c>
      <c r="U3004">
        <v>-6.8507478816576102</v>
      </c>
      <c r="V3004">
        <v>0.80795863467307005</v>
      </c>
      <c r="W3004">
        <v>0.99278624068726296</v>
      </c>
      <c r="X3004">
        <v>0</v>
      </c>
      <c r="Y3004">
        <v>0</v>
      </c>
    </row>
    <row r="3005" spans="1:25" x14ac:dyDescent="0.2">
      <c r="A3005" t="s">
        <v>11137</v>
      </c>
      <c r="B3005" t="s">
        <v>11138</v>
      </c>
      <c r="C3005" t="s">
        <v>11139</v>
      </c>
      <c r="D3005" t="s">
        <v>11140</v>
      </c>
      <c r="E3005" t="s">
        <v>11138</v>
      </c>
      <c r="F3005" t="s">
        <v>28</v>
      </c>
      <c r="G3005" t="s">
        <v>11138</v>
      </c>
      <c r="H3005" t="str">
        <f>"ercc-1"</f>
        <v>ercc-1</v>
      </c>
      <c r="I3005" t="s">
        <v>11140</v>
      </c>
      <c r="J3005">
        <v>11.016733182719101</v>
      </c>
      <c r="K3005" t="s">
        <v>29</v>
      </c>
      <c r="L3005" t="s">
        <v>29</v>
      </c>
      <c r="M3005" t="s">
        <v>29</v>
      </c>
      <c r="N3005" t="s">
        <v>29</v>
      </c>
      <c r="O3005" t="s">
        <v>29</v>
      </c>
      <c r="P3005" t="s">
        <v>29</v>
      </c>
      <c r="Q3005" t="s">
        <v>29</v>
      </c>
      <c r="R3005" t="s">
        <v>29</v>
      </c>
      <c r="S3005">
        <v>11.1715738426445</v>
      </c>
      <c r="T3005" t="s">
        <v>29</v>
      </c>
      <c r="U3005" t="s">
        <v>29</v>
      </c>
      <c r="V3005" t="s">
        <v>29</v>
      </c>
      <c r="W3005" t="s">
        <v>29</v>
      </c>
      <c r="X3005" t="s">
        <v>29</v>
      </c>
      <c r="Y3005" t="s">
        <v>29</v>
      </c>
    </row>
    <row r="3006" spans="1:25" x14ac:dyDescent="0.2">
      <c r="A3006" t="s">
        <v>11141</v>
      </c>
      <c r="B3006" t="s">
        <v>11142</v>
      </c>
      <c r="C3006" t="s">
        <v>11143</v>
      </c>
      <c r="D3006" t="s">
        <v>11144</v>
      </c>
      <c r="E3006" t="s">
        <v>11142</v>
      </c>
      <c r="F3006" t="s">
        <v>28</v>
      </c>
      <c r="G3006" t="s">
        <v>11142</v>
      </c>
      <c r="H3006" t="str">
        <f>"nubp-1"</f>
        <v>nubp-1</v>
      </c>
      <c r="I3006" t="s">
        <v>11144</v>
      </c>
      <c r="J3006">
        <v>13.4946628759125</v>
      </c>
      <c r="K3006">
        <v>13.385061046013201</v>
      </c>
      <c r="L3006">
        <v>13.618257658190601</v>
      </c>
      <c r="M3006">
        <v>13.715327969903701</v>
      </c>
      <c r="N3006">
        <v>13.7548637162411</v>
      </c>
      <c r="O3006">
        <v>13.633923476018801</v>
      </c>
      <c r="P3006">
        <v>0.20204452734909001</v>
      </c>
      <c r="Q3006">
        <v>-0.42039801254264297</v>
      </c>
      <c r="R3006">
        <v>0.82448706724082199</v>
      </c>
      <c r="S3006">
        <v>13.3913435970605</v>
      </c>
      <c r="T3006">
        <v>0.68224496373961296</v>
      </c>
      <c r="U3006">
        <v>-6.6424296691894398</v>
      </c>
      <c r="V3006">
        <v>0.50382012383270502</v>
      </c>
      <c r="W3006">
        <v>0.94062983959761604</v>
      </c>
      <c r="X3006">
        <v>0</v>
      </c>
      <c r="Y3006">
        <v>0</v>
      </c>
    </row>
    <row r="3007" spans="1:25" x14ac:dyDescent="0.2">
      <c r="A3007" t="s">
        <v>11145</v>
      </c>
      <c r="B3007" t="s">
        <v>11146</v>
      </c>
      <c r="C3007" t="s">
        <v>14598</v>
      </c>
      <c r="D3007" t="s">
        <v>11147</v>
      </c>
      <c r="E3007" t="s">
        <v>11146</v>
      </c>
      <c r="F3007" t="s">
        <v>28</v>
      </c>
      <c r="G3007" t="s">
        <v>11146</v>
      </c>
      <c r="H3007" t="str">
        <f>"F16B12.6"</f>
        <v>F16B12.6</v>
      </c>
      <c r="I3007" t="s">
        <v>11147</v>
      </c>
      <c r="J3007">
        <v>11.737737442112101</v>
      </c>
      <c r="K3007">
        <v>11.677016924132399</v>
      </c>
      <c r="L3007">
        <v>11.3212979505077</v>
      </c>
      <c r="M3007">
        <v>11.288543231671699</v>
      </c>
      <c r="N3007">
        <v>11.688159366908099</v>
      </c>
      <c r="O3007">
        <v>11.5711074308502</v>
      </c>
      <c r="P3007">
        <v>-6.2747429107389494E-2</v>
      </c>
      <c r="Q3007">
        <v>-0.52290914771097396</v>
      </c>
      <c r="R3007">
        <v>0.39741428949619501</v>
      </c>
      <c r="S3007">
        <v>12.214076809650299</v>
      </c>
      <c r="T3007">
        <v>-0.28782960610483799</v>
      </c>
      <c r="U3007">
        <v>-6.8391743689421602</v>
      </c>
      <c r="V3007">
        <v>0.77697804741994003</v>
      </c>
      <c r="W3007">
        <v>0.99278624068726296</v>
      </c>
      <c r="X3007">
        <v>0</v>
      </c>
      <c r="Y3007">
        <v>0</v>
      </c>
    </row>
    <row r="3008" spans="1:25" x14ac:dyDescent="0.2">
      <c r="A3008" t="s">
        <v>11148</v>
      </c>
      <c r="B3008" t="s">
        <v>11149</v>
      </c>
      <c r="C3008" t="s">
        <v>11150</v>
      </c>
      <c r="D3008" t="s">
        <v>11151</v>
      </c>
      <c r="E3008" t="s">
        <v>11149</v>
      </c>
      <c r="F3008" t="s">
        <v>28</v>
      </c>
      <c r="G3008" t="s">
        <v>11149</v>
      </c>
      <c r="H3008" t="str">
        <f>"tbc-1"</f>
        <v>tbc-1</v>
      </c>
      <c r="I3008" t="s">
        <v>11151</v>
      </c>
      <c r="J3008">
        <v>12.596132762559501</v>
      </c>
      <c r="K3008">
        <v>12.809184035522099</v>
      </c>
      <c r="L3008">
        <v>12.1891800877401</v>
      </c>
      <c r="M3008">
        <v>12.606221441912799</v>
      </c>
      <c r="N3008">
        <v>12.422465269171401</v>
      </c>
      <c r="O3008">
        <v>12.612879057825401</v>
      </c>
      <c r="P3008">
        <v>1.5689627695987699E-2</v>
      </c>
      <c r="Q3008">
        <v>-0.44170207365610198</v>
      </c>
      <c r="R3008">
        <v>0.47308132904807798</v>
      </c>
      <c r="S3008">
        <v>12.350078069620899</v>
      </c>
      <c r="T3008">
        <v>7.2405969095617195E-2</v>
      </c>
      <c r="U3008">
        <v>-6.8797421628832502</v>
      </c>
      <c r="V3008">
        <v>0.94312910414256701</v>
      </c>
      <c r="W3008">
        <v>0.99926809132575301</v>
      </c>
      <c r="X3008">
        <v>0</v>
      </c>
      <c r="Y3008">
        <v>0</v>
      </c>
    </row>
    <row r="3009" spans="1:25" x14ac:dyDescent="0.2">
      <c r="A3009" t="s">
        <v>11152</v>
      </c>
      <c r="B3009" t="s">
        <v>11153</v>
      </c>
      <c r="C3009" t="s">
        <v>11154</v>
      </c>
      <c r="D3009" t="s">
        <v>11155</v>
      </c>
      <c r="E3009" t="s">
        <v>11153</v>
      </c>
      <c r="F3009" t="s">
        <v>28</v>
      </c>
      <c r="G3009" t="s">
        <v>11153</v>
      </c>
      <c r="H3009" t="str">
        <f>"rbg-1"</f>
        <v>rbg-1</v>
      </c>
      <c r="I3009" t="s">
        <v>11155</v>
      </c>
      <c r="J3009">
        <v>12.8984918879397</v>
      </c>
      <c r="K3009">
        <v>12.981309592691501</v>
      </c>
      <c r="L3009">
        <v>11.927677604912599</v>
      </c>
      <c r="M3009" t="s">
        <v>29</v>
      </c>
      <c r="N3009">
        <v>12.7877298731411</v>
      </c>
      <c r="O3009">
        <v>13.3723914111102</v>
      </c>
      <c r="P3009">
        <v>0.47756761361105599</v>
      </c>
      <c r="Q3009">
        <v>-0.359202528687944</v>
      </c>
      <c r="R3009">
        <v>1.31433775591006</v>
      </c>
      <c r="S3009">
        <v>12.5288503872641</v>
      </c>
      <c r="T3009">
        <v>1.21722341458945</v>
      </c>
      <c r="U3009">
        <v>-6.0286987032822301</v>
      </c>
      <c r="V3009">
        <v>0.24245344606879901</v>
      </c>
      <c r="W3009">
        <v>0.82472934687515598</v>
      </c>
      <c r="X3009">
        <v>0</v>
      </c>
      <c r="Y3009">
        <v>0</v>
      </c>
    </row>
    <row r="3010" spans="1:25" x14ac:dyDescent="0.2">
      <c r="A3010" t="s">
        <v>11156</v>
      </c>
      <c r="B3010" t="s">
        <v>11157</v>
      </c>
      <c r="C3010" t="s">
        <v>11158</v>
      </c>
      <c r="D3010" t="s">
        <v>11159</v>
      </c>
      <c r="E3010" t="s">
        <v>11157</v>
      </c>
      <c r="F3010" t="s">
        <v>28</v>
      </c>
      <c r="G3010" t="s">
        <v>11157</v>
      </c>
      <c r="H3010" t="str">
        <f>"slc-25a18.1"</f>
        <v>slc-25a18.1</v>
      </c>
      <c r="I3010" t="s">
        <v>11159</v>
      </c>
      <c r="J3010">
        <v>15.4332128045651</v>
      </c>
      <c r="K3010">
        <v>15.3721182824882</v>
      </c>
      <c r="L3010">
        <v>15.0982291844412</v>
      </c>
      <c r="M3010">
        <v>15.301730623688799</v>
      </c>
      <c r="N3010">
        <v>15.141707105412699</v>
      </c>
      <c r="O3010">
        <v>15.109177799433599</v>
      </c>
      <c r="P3010">
        <v>-0.116981580986492</v>
      </c>
      <c r="Q3010">
        <v>-0.45883080048330999</v>
      </c>
      <c r="R3010">
        <v>0.22486763851032601</v>
      </c>
      <c r="S3010">
        <v>15.087034265514101</v>
      </c>
      <c r="T3010">
        <v>-0.71924260772922699</v>
      </c>
      <c r="U3010">
        <v>-6.6160687318675304</v>
      </c>
      <c r="V3010">
        <v>0.48127934711509701</v>
      </c>
      <c r="W3010">
        <v>0.93764446794243095</v>
      </c>
      <c r="X3010">
        <v>0</v>
      </c>
      <c r="Y3010">
        <v>0</v>
      </c>
    </row>
    <row r="3011" spans="1:25" x14ac:dyDescent="0.2">
      <c r="A3011" t="s">
        <v>11160</v>
      </c>
      <c r="B3011" t="s">
        <v>11161</v>
      </c>
      <c r="C3011" t="s">
        <v>11162</v>
      </c>
      <c r="D3011" t="s">
        <v>11163</v>
      </c>
      <c r="E3011" t="s">
        <v>11161</v>
      </c>
      <c r="F3011" t="s">
        <v>28</v>
      </c>
      <c r="G3011" t="s">
        <v>11161</v>
      </c>
      <c r="H3011" t="str">
        <f>"cup-2"</f>
        <v>cup-2</v>
      </c>
      <c r="I3011" t="s">
        <v>11163</v>
      </c>
      <c r="J3011">
        <v>16.944934544802301</v>
      </c>
      <c r="K3011">
        <v>17.077814897424499</v>
      </c>
      <c r="L3011">
        <v>17.229437014410301</v>
      </c>
      <c r="M3011">
        <v>17.1834705482099</v>
      </c>
      <c r="N3011">
        <v>17.059150091768199</v>
      </c>
      <c r="O3011">
        <v>16.924097778123699</v>
      </c>
      <c r="P3011">
        <v>-2.8489346178457001E-2</v>
      </c>
      <c r="Q3011">
        <v>-0.42512867429892298</v>
      </c>
      <c r="R3011">
        <v>0.36814998194200899</v>
      </c>
      <c r="S3011">
        <v>17.428738564555399</v>
      </c>
      <c r="T3011">
        <v>-0.15096602561973499</v>
      </c>
      <c r="U3011">
        <v>-6.8705891095305898</v>
      </c>
      <c r="V3011">
        <v>0.881691264571971</v>
      </c>
      <c r="W3011">
        <v>0.99702926582654094</v>
      </c>
      <c r="X3011">
        <v>0</v>
      </c>
      <c r="Y3011">
        <v>0</v>
      </c>
    </row>
    <row r="3012" spans="1:25" x14ac:dyDescent="0.2">
      <c r="A3012" t="s">
        <v>11164</v>
      </c>
      <c r="B3012" t="s">
        <v>11165</v>
      </c>
      <c r="C3012" t="s">
        <v>14599</v>
      </c>
      <c r="D3012" t="s">
        <v>4327</v>
      </c>
      <c r="E3012" t="s">
        <v>11165</v>
      </c>
      <c r="F3012" t="s">
        <v>28</v>
      </c>
      <c r="G3012" t="s">
        <v>11165</v>
      </c>
      <c r="H3012" t="str">
        <f>"F25H2.4"</f>
        <v>F25H2.4</v>
      </c>
      <c r="I3012" t="s">
        <v>4327</v>
      </c>
      <c r="J3012">
        <v>15.380563903350099</v>
      </c>
      <c r="K3012">
        <v>14.909482485532401</v>
      </c>
      <c r="L3012">
        <v>14.943814360927499</v>
      </c>
      <c r="M3012">
        <v>15.0371925676316</v>
      </c>
      <c r="N3012">
        <v>14.949285079799999</v>
      </c>
      <c r="O3012">
        <v>15.1037857715245</v>
      </c>
      <c r="P3012">
        <v>-4.7865776951294202E-2</v>
      </c>
      <c r="Q3012">
        <v>-0.47932374786405502</v>
      </c>
      <c r="R3012">
        <v>0.38359219396146599</v>
      </c>
      <c r="S3012">
        <v>14.533097898509</v>
      </c>
      <c r="T3012">
        <v>-0.233173466453684</v>
      </c>
      <c r="U3012">
        <v>-6.8541249337951999</v>
      </c>
      <c r="V3012">
        <v>0.81827303431645504</v>
      </c>
      <c r="W3012">
        <v>0.99278624068726296</v>
      </c>
      <c r="X3012">
        <v>0</v>
      </c>
      <c r="Y3012">
        <v>0</v>
      </c>
    </row>
    <row r="3013" spans="1:25" x14ac:dyDescent="0.2">
      <c r="A3013" t="s">
        <v>11166</v>
      </c>
      <c r="B3013" t="s">
        <v>11167</v>
      </c>
      <c r="C3013" t="s">
        <v>14600</v>
      </c>
      <c r="D3013" t="s">
        <v>11168</v>
      </c>
      <c r="E3013" t="s">
        <v>11167</v>
      </c>
      <c r="F3013" t="s">
        <v>28</v>
      </c>
      <c r="G3013" t="s">
        <v>11167</v>
      </c>
      <c r="H3013" t="str">
        <f>"F25H2.6"</f>
        <v>F25H2.6</v>
      </c>
      <c r="I3013" t="s">
        <v>11168</v>
      </c>
      <c r="J3013">
        <v>12.0311255856943</v>
      </c>
      <c r="K3013">
        <v>12.521550853858701</v>
      </c>
      <c r="L3013">
        <v>12.3013838427688</v>
      </c>
      <c r="M3013">
        <v>12.360732650725</v>
      </c>
      <c r="N3013">
        <v>12.819947724245299</v>
      </c>
      <c r="O3013">
        <v>12.406549520654099</v>
      </c>
      <c r="P3013">
        <v>0.24438987110086799</v>
      </c>
      <c r="Q3013">
        <v>-0.219840864630475</v>
      </c>
      <c r="R3013">
        <v>0.70862060683221095</v>
      </c>
      <c r="S3013">
        <v>12.5472209067085</v>
      </c>
      <c r="T3013">
        <v>1.11660313113558</v>
      </c>
      <c r="U3013">
        <v>-6.2514008088070803</v>
      </c>
      <c r="V3013">
        <v>0.28075947029966702</v>
      </c>
      <c r="W3013">
        <v>0.856190392347986</v>
      </c>
      <c r="X3013">
        <v>0</v>
      </c>
      <c r="Y3013">
        <v>0</v>
      </c>
    </row>
    <row r="3014" spans="1:25" x14ac:dyDescent="0.2">
      <c r="A3014" t="s">
        <v>11169</v>
      </c>
      <c r="B3014" t="s">
        <v>11170</v>
      </c>
      <c r="C3014" t="s">
        <v>11171</v>
      </c>
      <c r="D3014" t="s">
        <v>11172</v>
      </c>
      <c r="E3014" t="s">
        <v>11170</v>
      </c>
      <c r="F3014" t="s">
        <v>28</v>
      </c>
      <c r="G3014" t="s">
        <v>11170</v>
      </c>
      <c r="H3014" t="str">
        <f>"ubc-25"</f>
        <v>ubc-25</v>
      </c>
      <c r="I3014" t="s">
        <v>11172</v>
      </c>
      <c r="J3014" t="s">
        <v>29</v>
      </c>
      <c r="K3014" t="s">
        <v>29</v>
      </c>
      <c r="L3014" t="s">
        <v>29</v>
      </c>
      <c r="M3014" t="s">
        <v>29</v>
      </c>
      <c r="N3014" t="s">
        <v>29</v>
      </c>
      <c r="O3014" t="s">
        <v>29</v>
      </c>
      <c r="P3014" t="s">
        <v>29</v>
      </c>
      <c r="Q3014" t="s">
        <v>29</v>
      </c>
      <c r="R3014" t="s">
        <v>29</v>
      </c>
      <c r="S3014">
        <v>12.137695495264699</v>
      </c>
      <c r="T3014" t="s">
        <v>29</v>
      </c>
      <c r="U3014" t="s">
        <v>29</v>
      </c>
      <c r="V3014" t="s">
        <v>29</v>
      </c>
      <c r="W3014" t="s">
        <v>29</v>
      </c>
      <c r="X3014" t="s">
        <v>29</v>
      </c>
      <c r="Y3014" t="s">
        <v>29</v>
      </c>
    </row>
    <row r="3015" spans="1:25" x14ac:dyDescent="0.2">
      <c r="A3015" t="s">
        <v>11173</v>
      </c>
      <c r="B3015" t="s">
        <v>11174</v>
      </c>
      <c r="C3015" t="s">
        <v>11175</v>
      </c>
      <c r="D3015" t="s">
        <v>11176</v>
      </c>
      <c r="E3015" t="s">
        <v>11174</v>
      </c>
      <c r="F3015" t="s">
        <v>28</v>
      </c>
      <c r="G3015" t="s">
        <v>11174</v>
      </c>
      <c r="H3015" t="str">
        <f>"rla-0"</f>
        <v>rla-0</v>
      </c>
      <c r="I3015" t="s">
        <v>11176</v>
      </c>
      <c r="J3015">
        <v>12.717765756412501</v>
      </c>
      <c r="K3015">
        <v>13.129486731293699</v>
      </c>
      <c r="L3015">
        <v>13.6413247110927</v>
      </c>
      <c r="M3015">
        <v>14.380366555063301</v>
      </c>
      <c r="N3015">
        <v>13.783079998342</v>
      </c>
      <c r="O3015">
        <v>14.4379587106699</v>
      </c>
      <c r="P3015">
        <v>1.0376093550921099</v>
      </c>
      <c r="Q3015">
        <v>9.2494713432420994E-2</v>
      </c>
      <c r="R3015">
        <v>1.98272399675181</v>
      </c>
      <c r="S3015">
        <v>14.2630240730547</v>
      </c>
      <c r="T3015">
        <v>2.3075010141105001</v>
      </c>
      <c r="U3015">
        <v>-4.4505982175457399</v>
      </c>
      <c r="V3015">
        <v>3.3196235575272098E-2</v>
      </c>
      <c r="W3015">
        <v>0.39883419492601302</v>
      </c>
      <c r="X3015">
        <v>1</v>
      </c>
      <c r="Y3015">
        <v>0</v>
      </c>
    </row>
    <row r="3016" spans="1:25" x14ac:dyDescent="0.2">
      <c r="A3016" t="s">
        <v>11177</v>
      </c>
      <c r="B3016" t="s">
        <v>11178</v>
      </c>
      <c r="C3016" t="s">
        <v>11179</v>
      </c>
      <c r="D3016" t="s">
        <v>11180</v>
      </c>
      <c r="E3016" t="s">
        <v>11178</v>
      </c>
      <c r="F3016" t="s">
        <v>28</v>
      </c>
      <c r="G3016" t="s">
        <v>11178</v>
      </c>
      <c r="H3016" t="str">
        <f>"tct-1"</f>
        <v>tct-1</v>
      </c>
      <c r="I3016" t="s">
        <v>11180</v>
      </c>
      <c r="J3016">
        <v>11.758107510337</v>
      </c>
      <c r="K3016" t="s">
        <v>29</v>
      </c>
      <c r="L3016">
        <v>11.871954250876399</v>
      </c>
      <c r="M3016">
        <v>12.9708853381546</v>
      </c>
      <c r="N3016" t="s">
        <v>29</v>
      </c>
      <c r="O3016">
        <v>12.397760833354599</v>
      </c>
      <c r="P3016">
        <v>0.86929220514789096</v>
      </c>
      <c r="Q3016">
        <v>-0.39025158298648299</v>
      </c>
      <c r="R3016">
        <v>2.1288359932822698</v>
      </c>
      <c r="S3016">
        <v>12.1989278209685</v>
      </c>
      <c r="T3016">
        <v>1.4813047238405299</v>
      </c>
      <c r="U3016">
        <v>-5.6084230798350596</v>
      </c>
      <c r="V3016">
        <v>0.16084382975249301</v>
      </c>
      <c r="W3016">
        <v>0.76143423245561503</v>
      </c>
      <c r="X3016">
        <v>0</v>
      </c>
      <c r="Y3016">
        <v>0</v>
      </c>
    </row>
    <row r="3017" spans="1:25" x14ac:dyDescent="0.2">
      <c r="A3017" t="s">
        <v>11181</v>
      </c>
      <c r="B3017" t="s">
        <v>11182</v>
      </c>
      <c r="C3017" t="s">
        <v>11183</v>
      </c>
      <c r="D3017" t="s">
        <v>11184</v>
      </c>
      <c r="E3017" t="s">
        <v>11182</v>
      </c>
      <c r="F3017" t="s">
        <v>28</v>
      </c>
      <c r="G3017" t="s">
        <v>11182</v>
      </c>
      <c r="H3017" t="str">
        <f>"ndk-1"</f>
        <v>ndk-1</v>
      </c>
      <c r="I3017" t="s">
        <v>11184</v>
      </c>
      <c r="J3017" t="s">
        <v>29</v>
      </c>
      <c r="K3017">
        <v>12.298504900948799</v>
      </c>
      <c r="L3017">
        <v>13.1933157715919</v>
      </c>
      <c r="M3017">
        <v>13.769889514207</v>
      </c>
      <c r="N3017">
        <v>12.3238140132658</v>
      </c>
      <c r="O3017">
        <v>13.153818695605599</v>
      </c>
      <c r="P3017">
        <v>0.33659707142246198</v>
      </c>
      <c r="Q3017">
        <v>-1.61723891313523</v>
      </c>
      <c r="R3017">
        <v>2.29043305598015</v>
      </c>
      <c r="S3017">
        <v>12.681325931028899</v>
      </c>
      <c r="T3017">
        <v>0.36364049669762499</v>
      </c>
      <c r="U3017">
        <v>-6.7033468573389801</v>
      </c>
      <c r="V3017">
        <v>0.72063689442065204</v>
      </c>
      <c r="W3017">
        <v>0.98910356032152003</v>
      </c>
      <c r="X3017">
        <v>0</v>
      </c>
      <c r="Y3017">
        <v>0</v>
      </c>
    </row>
    <row r="3018" spans="1:25" x14ac:dyDescent="0.2">
      <c r="A3018" t="s">
        <v>11185</v>
      </c>
      <c r="B3018" t="s">
        <v>11186</v>
      </c>
      <c r="C3018" t="s">
        <v>11187</v>
      </c>
      <c r="D3018" t="s">
        <v>11188</v>
      </c>
      <c r="E3018" t="s">
        <v>11186</v>
      </c>
      <c r="F3018" t="s">
        <v>28</v>
      </c>
      <c r="G3018" t="s">
        <v>11186</v>
      </c>
      <c r="H3018" t="str">
        <f>"F27D4.1"</f>
        <v>F27D4.1</v>
      </c>
      <c r="I3018" t="s">
        <v>11188</v>
      </c>
      <c r="J3018">
        <v>15.2712599761528</v>
      </c>
      <c r="K3018">
        <v>15.540810564101101</v>
      </c>
      <c r="L3018">
        <v>15.4370039061979</v>
      </c>
      <c r="M3018">
        <v>15.5375589307555</v>
      </c>
      <c r="N3018">
        <v>15.3154545327388</v>
      </c>
      <c r="O3018">
        <v>15.3855266623574</v>
      </c>
      <c r="P3018">
        <v>-3.51144020001826E-3</v>
      </c>
      <c r="Q3018">
        <v>-0.51595947650107898</v>
      </c>
      <c r="R3018">
        <v>0.50893659610104203</v>
      </c>
      <c r="S3018">
        <v>15.1291700983301</v>
      </c>
      <c r="T3018">
        <v>-1.4402170786789801E-2</v>
      </c>
      <c r="U3018">
        <v>-6.88238119717444</v>
      </c>
      <c r="V3018">
        <v>0.98866848250123995</v>
      </c>
      <c r="W3018">
        <v>0.99968702248720698</v>
      </c>
      <c r="X3018">
        <v>0</v>
      </c>
      <c r="Y3018">
        <v>0</v>
      </c>
    </row>
    <row r="3019" spans="1:25" x14ac:dyDescent="0.2">
      <c r="A3019" t="s">
        <v>11189</v>
      </c>
      <c r="B3019" t="s">
        <v>11190</v>
      </c>
      <c r="C3019" t="s">
        <v>11191</v>
      </c>
      <c r="D3019" t="s">
        <v>1546</v>
      </c>
      <c r="E3019" t="s">
        <v>11190</v>
      </c>
      <c r="F3019" t="s">
        <v>28</v>
      </c>
      <c r="G3019" t="s">
        <v>11190</v>
      </c>
      <c r="H3019" t="str">
        <f>"lsy-22"</f>
        <v>lsy-22</v>
      </c>
      <c r="I3019" t="s">
        <v>1546</v>
      </c>
      <c r="J3019" t="s">
        <v>29</v>
      </c>
      <c r="K3019" t="s">
        <v>29</v>
      </c>
      <c r="L3019" t="s">
        <v>29</v>
      </c>
      <c r="M3019" t="s">
        <v>29</v>
      </c>
      <c r="N3019" t="s">
        <v>29</v>
      </c>
      <c r="O3019" t="s">
        <v>29</v>
      </c>
      <c r="P3019" t="s">
        <v>29</v>
      </c>
      <c r="Q3019" t="s">
        <v>29</v>
      </c>
      <c r="R3019" t="s">
        <v>29</v>
      </c>
      <c r="S3019">
        <v>12.380822127806001</v>
      </c>
      <c r="T3019" t="s">
        <v>29</v>
      </c>
      <c r="U3019" t="s">
        <v>29</v>
      </c>
      <c r="V3019" t="s">
        <v>29</v>
      </c>
      <c r="W3019" t="s">
        <v>29</v>
      </c>
      <c r="X3019" t="s">
        <v>29</v>
      </c>
      <c r="Y3019" t="s">
        <v>29</v>
      </c>
    </row>
    <row r="3020" spans="1:25" x14ac:dyDescent="0.2">
      <c r="A3020" t="s">
        <v>11192</v>
      </c>
      <c r="B3020" t="s">
        <v>11193</v>
      </c>
      <c r="C3020" t="s">
        <v>11194</v>
      </c>
      <c r="D3020" t="s">
        <v>11195</v>
      </c>
      <c r="E3020" t="s">
        <v>11193</v>
      </c>
      <c r="F3020" t="s">
        <v>28</v>
      </c>
      <c r="G3020" t="s">
        <v>11193</v>
      </c>
      <c r="H3020" t="str">
        <f>"F27D4.4"</f>
        <v>F27D4.4</v>
      </c>
      <c r="I3020" t="s">
        <v>11195</v>
      </c>
      <c r="J3020" t="s">
        <v>29</v>
      </c>
      <c r="K3020">
        <v>10.350681316322801</v>
      </c>
      <c r="L3020">
        <v>10.365021879637901</v>
      </c>
      <c r="M3020">
        <v>12.874026196787399</v>
      </c>
      <c r="N3020">
        <v>13.171589910016101</v>
      </c>
      <c r="O3020">
        <v>12.8222803919854</v>
      </c>
      <c r="P3020">
        <v>2.59811390161595</v>
      </c>
      <c r="Q3020">
        <v>1.7572205233807301</v>
      </c>
      <c r="R3020">
        <v>3.4390072798511602</v>
      </c>
      <c r="S3020">
        <v>12.153022787925</v>
      </c>
      <c r="T3020">
        <v>6.5534016163829696</v>
      </c>
      <c r="U3020">
        <v>3.9959578902944499</v>
      </c>
      <c r="V3020" s="2">
        <v>6.8654832415622997E-6</v>
      </c>
      <c r="W3020">
        <v>5.4400781495045998E-4</v>
      </c>
      <c r="X3020">
        <v>1</v>
      </c>
      <c r="Y3020">
        <v>1</v>
      </c>
    </row>
    <row r="3021" spans="1:25" x14ac:dyDescent="0.2">
      <c r="A3021" t="s">
        <v>11196</v>
      </c>
      <c r="B3021" t="s">
        <v>11197</v>
      </c>
      <c r="C3021" t="s">
        <v>11198</v>
      </c>
      <c r="D3021" t="s">
        <v>11199</v>
      </c>
      <c r="E3021" t="s">
        <v>11197</v>
      </c>
      <c r="F3021" t="s">
        <v>28</v>
      </c>
      <c r="G3021" t="s">
        <v>11197</v>
      </c>
      <c r="H3021" t="str">
        <f>"bckd-1b"</f>
        <v>bckd-1b</v>
      </c>
      <c r="I3021" t="s">
        <v>11199</v>
      </c>
      <c r="J3021">
        <v>15.3731209280303</v>
      </c>
      <c r="K3021">
        <v>15.6360358273865</v>
      </c>
      <c r="L3021">
        <v>15.729783685903399</v>
      </c>
      <c r="M3021">
        <v>15.241983007313699</v>
      </c>
      <c r="N3021">
        <v>15.5314422078566</v>
      </c>
      <c r="O3021">
        <v>15.505195054835699</v>
      </c>
      <c r="P3021">
        <v>-0.15344005710474701</v>
      </c>
      <c r="Q3021">
        <v>-0.50925420676766198</v>
      </c>
      <c r="R3021">
        <v>0.20237409255816699</v>
      </c>
      <c r="S3021">
        <v>15.210493369923499</v>
      </c>
      <c r="T3021">
        <v>-0.91026019112517897</v>
      </c>
      <c r="U3021">
        <v>-6.4586248544955396</v>
      </c>
      <c r="V3021">
        <v>0.37548936318935</v>
      </c>
      <c r="W3021">
        <v>0.89611784539566797</v>
      </c>
      <c r="X3021">
        <v>0</v>
      </c>
      <c r="Y3021">
        <v>0</v>
      </c>
    </row>
    <row r="3022" spans="1:25" x14ac:dyDescent="0.2">
      <c r="A3022" t="s">
        <v>11200</v>
      </c>
      <c r="B3022" t="s">
        <v>11201</v>
      </c>
      <c r="C3022" t="s">
        <v>14601</v>
      </c>
      <c r="D3022" t="s">
        <v>11202</v>
      </c>
      <c r="E3022" t="s">
        <v>11201</v>
      </c>
      <c r="F3022" t="s">
        <v>28</v>
      </c>
      <c r="G3022" t="s">
        <v>11201</v>
      </c>
      <c r="H3022" t="str">
        <f>"F30A10.9"</f>
        <v>F30A10.9</v>
      </c>
      <c r="I3022" t="s">
        <v>11202</v>
      </c>
      <c r="J3022">
        <v>13.779592340900299</v>
      </c>
      <c r="K3022">
        <v>13.848860114691499</v>
      </c>
      <c r="L3022">
        <v>14.5403774093867</v>
      </c>
      <c r="M3022">
        <v>14.3770052223951</v>
      </c>
      <c r="N3022">
        <v>14.3963951208175</v>
      </c>
      <c r="O3022">
        <v>14.0056135808573</v>
      </c>
      <c r="P3022">
        <v>0.20339468636379501</v>
      </c>
      <c r="Q3022">
        <v>-0.27263637049332801</v>
      </c>
      <c r="R3022">
        <v>0.67942574322091898</v>
      </c>
      <c r="S3022">
        <v>14.628275029830901</v>
      </c>
      <c r="T3022">
        <v>0.90189157188569202</v>
      </c>
      <c r="U3022">
        <v>-6.4662013219695096</v>
      </c>
      <c r="V3022">
        <v>0.379792563909361</v>
      </c>
      <c r="W3022">
        <v>0.89676491877082198</v>
      </c>
      <c r="X3022">
        <v>0</v>
      </c>
      <c r="Y3022">
        <v>0</v>
      </c>
    </row>
    <row r="3023" spans="1:25" x14ac:dyDescent="0.2">
      <c r="A3023" t="s">
        <v>11203</v>
      </c>
      <c r="B3023" t="s">
        <v>11204</v>
      </c>
      <c r="C3023" t="s">
        <v>14602</v>
      </c>
      <c r="D3023" t="s">
        <v>214</v>
      </c>
      <c r="E3023" t="s">
        <v>11204</v>
      </c>
      <c r="F3023" t="s">
        <v>28</v>
      </c>
      <c r="G3023" t="s">
        <v>11204</v>
      </c>
      <c r="H3023" t="str">
        <f>"F30F8.1"</f>
        <v>F30F8.1</v>
      </c>
      <c r="I3023" t="s">
        <v>214</v>
      </c>
      <c r="J3023" t="s">
        <v>29</v>
      </c>
      <c r="K3023" t="s">
        <v>29</v>
      </c>
      <c r="L3023">
        <v>11.605473507201699</v>
      </c>
      <c r="M3023">
        <v>12.744184112093</v>
      </c>
      <c r="N3023">
        <v>12.510866638186</v>
      </c>
      <c r="O3023" t="s">
        <v>29</v>
      </c>
      <c r="P3023">
        <v>1.0220518679377599</v>
      </c>
      <c r="Q3023">
        <v>0.28710056209338602</v>
      </c>
      <c r="R3023">
        <v>1.7570031737821299</v>
      </c>
      <c r="S3023">
        <v>12.609905360105</v>
      </c>
      <c r="T3023">
        <v>3.1029963222181598</v>
      </c>
      <c r="U3023">
        <v>-2.9013921097209199</v>
      </c>
      <c r="V3023">
        <v>1.1330168336513499E-2</v>
      </c>
      <c r="W3023">
        <v>0.194364949607819</v>
      </c>
      <c r="X3023">
        <v>1</v>
      </c>
      <c r="Y3023">
        <v>0</v>
      </c>
    </row>
    <row r="3024" spans="1:25" x14ac:dyDescent="0.2">
      <c r="A3024" t="s">
        <v>11205</v>
      </c>
      <c r="B3024" t="s">
        <v>11206</v>
      </c>
      <c r="C3024" t="s">
        <v>11207</v>
      </c>
      <c r="D3024" t="s">
        <v>11208</v>
      </c>
      <c r="E3024" t="s">
        <v>11206</v>
      </c>
      <c r="F3024" t="s">
        <v>28</v>
      </c>
      <c r="G3024" t="s">
        <v>11206</v>
      </c>
      <c r="H3024" t="str">
        <f>"idha-1"</f>
        <v>idha-1</v>
      </c>
      <c r="I3024" t="s">
        <v>11208</v>
      </c>
      <c r="J3024">
        <v>17.374986499177901</v>
      </c>
      <c r="K3024">
        <v>17.208881989961501</v>
      </c>
      <c r="L3024">
        <v>17.148631048639899</v>
      </c>
      <c r="M3024">
        <v>17.141625020171201</v>
      </c>
      <c r="N3024">
        <v>17.362112306276199</v>
      </c>
      <c r="O3024">
        <v>17.406363531496901</v>
      </c>
      <c r="P3024">
        <v>5.9200440055025901E-2</v>
      </c>
      <c r="Q3024">
        <v>-0.29835359682507501</v>
      </c>
      <c r="R3024">
        <v>0.41675447693512602</v>
      </c>
      <c r="S3024">
        <v>16.946571720849601</v>
      </c>
      <c r="T3024">
        <v>0.34799721026913999</v>
      </c>
      <c r="U3024">
        <v>-6.8194293152691401</v>
      </c>
      <c r="V3024">
        <v>0.73190229748857105</v>
      </c>
      <c r="W3024">
        <v>0.99057748145465696</v>
      </c>
      <c r="X3024">
        <v>0</v>
      </c>
      <c r="Y3024">
        <v>0</v>
      </c>
    </row>
    <row r="3025" spans="1:25" x14ac:dyDescent="0.2">
      <c r="A3025" t="s">
        <v>11209</v>
      </c>
      <c r="B3025" t="s">
        <v>11210</v>
      </c>
      <c r="C3025" t="s">
        <v>11211</v>
      </c>
      <c r="D3025" t="s">
        <v>11212</v>
      </c>
      <c r="E3025" t="s">
        <v>11210</v>
      </c>
      <c r="F3025" t="s">
        <v>28</v>
      </c>
      <c r="G3025" t="s">
        <v>11210</v>
      </c>
      <c r="H3025" t="str">
        <f>"slc-25a42"</f>
        <v>slc-25a42</v>
      </c>
      <c r="I3025" t="s">
        <v>11212</v>
      </c>
      <c r="J3025">
        <v>14.442863860486</v>
      </c>
      <c r="K3025">
        <v>13.928482910228499</v>
      </c>
      <c r="L3025">
        <v>13.658657282465599</v>
      </c>
      <c r="M3025">
        <v>14.180149837446001</v>
      </c>
      <c r="N3025">
        <v>13.8216719326287</v>
      </c>
      <c r="O3025">
        <v>13.797426423247099</v>
      </c>
      <c r="P3025">
        <v>-7.6918619952774506E-2</v>
      </c>
      <c r="Q3025">
        <v>-0.57131013776552197</v>
      </c>
      <c r="R3025">
        <v>0.41747289785997299</v>
      </c>
      <c r="S3025">
        <v>13.857156436937499</v>
      </c>
      <c r="T3025">
        <v>-0.32840554832066499</v>
      </c>
      <c r="U3025">
        <v>-6.8261430351017696</v>
      </c>
      <c r="V3025">
        <v>0.74664025931714895</v>
      </c>
      <c r="W3025">
        <v>0.99184638945407499</v>
      </c>
      <c r="X3025">
        <v>0</v>
      </c>
      <c r="Y3025">
        <v>0</v>
      </c>
    </row>
    <row r="3026" spans="1:25" x14ac:dyDescent="0.2">
      <c r="A3026" t="s">
        <v>11213</v>
      </c>
      <c r="B3026" t="s">
        <v>11214</v>
      </c>
      <c r="C3026" t="s">
        <v>14603</v>
      </c>
      <c r="D3026" t="s">
        <v>11215</v>
      </c>
      <c r="E3026" t="s">
        <v>11214</v>
      </c>
      <c r="F3026" t="s">
        <v>28</v>
      </c>
      <c r="G3026" t="s">
        <v>11214</v>
      </c>
      <c r="H3026" t="str">
        <f>"F43G9.4"</f>
        <v>F43G9.4</v>
      </c>
      <c r="I3026" t="s">
        <v>11215</v>
      </c>
      <c r="J3026" t="s">
        <v>29</v>
      </c>
      <c r="K3026" t="s">
        <v>29</v>
      </c>
      <c r="L3026" t="s">
        <v>29</v>
      </c>
      <c r="M3026" t="s">
        <v>29</v>
      </c>
      <c r="N3026">
        <v>10.2173658707184</v>
      </c>
      <c r="O3026" t="s">
        <v>29</v>
      </c>
      <c r="P3026" t="s">
        <v>29</v>
      </c>
      <c r="Q3026" t="s">
        <v>29</v>
      </c>
      <c r="R3026" t="s">
        <v>29</v>
      </c>
      <c r="S3026">
        <v>11.368794360820701</v>
      </c>
      <c r="T3026" t="s">
        <v>29</v>
      </c>
      <c r="U3026" t="s">
        <v>29</v>
      </c>
      <c r="V3026" t="s">
        <v>29</v>
      </c>
      <c r="W3026" t="s">
        <v>29</v>
      </c>
      <c r="X3026" t="s">
        <v>29</v>
      </c>
      <c r="Y3026" t="s">
        <v>29</v>
      </c>
    </row>
    <row r="3027" spans="1:25" x14ac:dyDescent="0.2">
      <c r="A3027" t="s">
        <v>11216</v>
      </c>
      <c r="B3027" t="s">
        <v>11217</v>
      </c>
      <c r="C3027" t="s">
        <v>11218</v>
      </c>
      <c r="D3027" t="s">
        <v>11219</v>
      </c>
      <c r="E3027" t="s">
        <v>11217</v>
      </c>
      <c r="F3027" t="s">
        <v>28</v>
      </c>
      <c r="G3027" t="s">
        <v>11217</v>
      </c>
      <c r="H3027" t="str">
        <f>"ned-8"</f>
        <v>ned-8</v>
      </c>
      <c r="I3027" t="s">
        <v>11219</v>
      </c>
      <c r="J3027">
        <v>12.1514624444372</v>
      </c>
      <c r="K3027">
        <v>12.4967836619136</v>
      </c>
      <c r="L3027" t="s">
        <v>29</v>
      </c>
      <c r="M3027" t="s">
        <v>29</v>
      </c>
      <c r="N3027">
        <v>11.878367372042799</v>
      </c>
      <c r="O3027" t="s">
        <v>29</v>
      </c>
      <c r="P3027">
        <v>-0.44575568113256597</v>
      </c>
      <c r="Q3027">
        <v>-1.49008261160481</v>
      </c>
      <c r="R3027">
        <v>0.59857124933968198</v>
      </c>
      <c r="S3027">
        <v>12.370755099638099</v>
      </c>
      <c r="T3027">
        <v>-0.98656594720722002</v>
      </c>
      <c r="U3027">
        <v>-5.9789215105695099</v>
      </c>
      <c r="V3027">
        <v>0.35312112860591799</v>
      </c>
      <c r="W3027">
        <v>0.87950242192597095</v>
      </c>
      <c r="X3027">
        <v>0</v>
      </c>
      <c r="Y3027">
        <v>0</v>
      </c>
    </row>
    <row r="3028" spans="1:25" x14ac:dyDescent="0.2">
      <c r="A3028" t="s">
        <v>11220</v>
      </c>
      <c r="B3028" t="s">
        <v>11221</v>
      </c>
      <c r="C3028" t="s">
        <v>11222</v>
      </c>
      <c r="D3028" t="s">
        <v>69</v>
      </c>
      <c r="E3028" t="s">
        <v>11221</v>
      </c>
      <c r="F3028" t="s">
        <v>28</v>
      </c>
      <c r="G3028" t="s">
        <v>11221</v>
      </c>
      <c r="H3028" t="str">
        <f>"hpo-35"</f>
        <v>hpo-35</v>
      </c>
      <c r="I3028" t="s">
        <v>69</v>
      </c>
      <c r="J3028" t="s">
        <v>29</v>
      </c>
      <c r="K3028" t="s">
        <v>29</v>
      </c>
      <c r="L3028" t="s">
        <v>29</v>
      </c>
      <c r="M3028">
        <v>10.3512746533955</v>
      </c>
      <c r="N3028">
        <v>11.9940343952084</v>
      </c>
      <c r="O3028" t="s">
        <v>29</v>
      </c>
      <c r="P3028" t="s">
        <v>29</v>
      </c>
      <c r="Q3028" t="s">
        <v>29</v>
      </c>
      <c r="R3028" t="s">
        <v>29</v>
      </c>
      <c r="S3028">
        <v>11.8023286216523</v>
      </c>
      <c r="T3028" t="s">
        <v>29</v>
      </c>
      <c r="U3028" t="s">
        <v>29</v>
      </c>
      <c r="V3028" t="s">
        <v>29</v>
      </c>
      <c r="W3028" t="s">
        <v>29</v>
      </c>
      <c r="X3028" t="s">
        <v>29</v>
      </c>
      <c r="Y3028" t="s">
        <v>29</v>
      </c>
    </row>
    <row r="3029" spans="1:25" x14ac:dyDescent="0.2">
      <c r="A3029" t="s">
        <v>11223</v>
      </c>
      <c r="B3029" t="s">
        <v>11224</v>
      </c>
      <c r="C3029" t="s">
        <v>11225</v>
      </c>
      <c r="D3029" t="s">
        <v>534</v>
      </c>
      <c r="E3029" t="s">
        <v>11224</v>
      </c>
      <c r="F3029" t="s">
        <v>28</v>
      </c>
      <c r="G3029" t="s">
        <v>11224</v>
      </c>
      <c r="H3029" t="str">
        <f>"swan-1"</f>
        <v>swan-1</v>
      </c>
      <c r="I3029" t="s">
        <v>534</v>
      </c>
      <c r="J3029">
        <v>10.8754027908114</v>
      </c>
      <c r="K3029">
        <v>9.9687783231425406</v>
      </c>
      <c r="L3029">
        <v>11.413694024771599</v>
      </c>
      <c r="M3029">
        <v>10.416164897053299</v>
      </c>
      <c r="N3029">
        <v>11.6636272910901</v>
      </c>
      <c r="O3029">
        <v>11.7347334107872</v>
      </c>
      <c r="P3029">
        <v>0.51888348673501195</v>
      </c>
      <c r="Q3029">
        <v>-0.36211291658659001</v>
      </c>
      <c r="R3029">
        <v>1.3998798900566101</v>
      </c>
      <c r="S3029">
        <v>11.3964952874234</v>
      </c>
      <c r="T3029">
        <v>1.24923816599251</v>
      </c>
      <c r="U3029">
        <v>-6.0998790059218404</v>
      </c>
      <c r="V3029">
        <v>0.22966206046604401</v>
      </c>
      <c r="W3029">
        <v>0.81051467362777596</v>
      </c>
      <c r="X3029">
        <v>0</v>
      </c>
      <c r="Y3029">
        <v>0</v>
      </c>
    </row>
    <row r="3030" spans="1:25" x14ac:dyDescent="0.2">
      <c r="A3030" t="s">
        <v>11226</v>
      </c>
      <c r="B3030" t="s">
        <v>11227</v>
      </c>
      <c r="C3030" t="s">
        <v>11228</v>
      </c>
      <c r="D3030" t="s">
        <v>534</v>
      </c>
      <c r="E3030" t="s">
        <v>11227</v>
      </c>
      <c r="F3030" t="s">
        <v>28</v>
      </c>
      <c r="G3030" t="s">
        <v>11227</v>
      </c>
      <c r="H3030" t="str">
        <f>"swan-2"</f>
        <v>swan-2</v>
      </c>
      <c r="I3030" t="s">
        <v>534</v>
      </c>
      <c r="J3030">
        <v>12.244524950496301</v>
      </c>
      <c r="K3030">
        <v>12.0401100031529</v>
      </c>
      <c r="L3030">
        <v>12.008041265222801</v>
      </c>
      <c r="M3030" t="s">
        <v>29</v>
      </c>
      <c r="N3030">
        <v>11.7880330152572</v>
      </c>
      <c r="O3030">
        <v>12.6244657566592</v>
      </c>
      <c r="P3030">
        <v>0.108690646334189</v>
      </c>
      <c r="Q3030">
        <v>-0.50285669070519101</v>
      </c>
      <c r="R3030">
        <v>0.72023798337356904</v>
      </c>
      <c r="S3030">
        <v>11.9481959635058</v>
      </c>
      <c r="T3030">
        <v>0.38146437442588399</v>
      </c>
      <c r="U3030">
        <v>-6.6956189732025004</v>
      </c>
      <c r="V3030">
        <v>0.70862836993339295</v>
      </c>
      <c r="W3030">
        <v>0.98715580374145295</v>
      </c>
      <c r="X3030">
        <v>0</v>
      </c>
      <c r="Y3030">
        <v>0</v>
      </c>
    </row>
    <row r="3031" spans="1:25" x14ac:dyDescent="0.2">
      <c r="A3031" t="s">
        <v>11229</v>
      </c>
      <c r="B3031" t="s">
        <v>11230</v>
      </c>
      <c r="C3031" t="s">
        <v>11231</v>
      </c>
      <c r="D3031" t="s">
        <v>11232</v>
      </c>
      <c r="E3031" t="s">
        <v>11230</v>
      </c>
      <c r="F3031" t="s">
        <v>28</v>
      </c>
      <c r="G3031" t="s">
        <v>11230</v>
      </c>
      <c r="H3031" t="str">
        <f>"F53C11.3"</f>
        <v>F53C11.3</v>
      </c>
      <c r="I3031" t="s">
        <v>11232</v>
      </c>
      <c r="J3031">
        <v>16.368555956650301</v>
      </c>
      <c r="K3031">
        <v>16.3732449190131</v>
      </c>
      <c r="L3031">
        <v>16.377096046479998</v>
      </c>
      <c r="M3031">
        <v>16.499919865415301</v>
      </c>
      <c r="N3031">
        <v>16.616652058379099</v>
      </c>
      <c r="O3031">
        <v>16.583339162951599</v>
      </c>
      <c r="P3031">
        <v>0.193671388200851</v>
      </c>
      <c r="Q3031">
        <v>-0.182177859543249</v>
      </c>
      <c r="R3031">
        <v>0.56952063594495095</v>
      </c>
      <c r="S3031">
        <v>16.399102438857199</v>
      </c>
      <c r="T3031">
        <v>1.08303949265272</v>
      </c>
      <c r="U3031">
        <v>-6.2890604320125103</v>
      </c>
      <c r="V3031">
        <v>0.29316880937867601</v>
      </c>
      <c r="W3031">
        <v>0.85855590823088301</v>
      </c>
      <c r="X3031">
        <v>0</v>
      </c>
      <c r="Y3031">
        <v>0</v>
      </c>
    </row>
    <row r="3032" spans="1:25" x14ac:dyDescent="0.2">
      <c r="A3032" t="s">
        <v>11233</v>
      </c>
      <c r="B3032" t="s">
        <v>11234</v>
      </c>
      <c r="C3032" t="s">
        <v>14168</v>
      </c>
      <c r="D3032" t="s">
        <v>11235</v>
      </c>
      <c r="E3032" t="s">
        <v>11234</v>
      </c>
      <c r="F3032" t="s">
        <v>28</v>
      </c>
      <c r="G3032" t="s">
        <v>11234</v>
      </c>
      <c r="H3032" t="str">
        <f>"F53C11.5"</f>
        <v>F53C11.5</v>
      </c>
      <c r="I3032" t="s">
        <v>11235</v>
      </c>
      <c r="J3032" t="s">
        <v>29</v>
      </c>
      <c r="K3032" t="s">
        <v>29</v>
      </c>
      <c r="L3032" t="s">
        <v>29</v>
      </c>
      <c r="M3032">
        <v>11.5581430107044</v>
      </c>
      <c r="N3032">
        <v>12.1899734728793</v>
      </c>
      <c r="O3032">
        <v>11.8777465082949</v>
      </c>
      <c r="P3032" t="s">
        <v>29</v>
      </c>
      <c r="Q3032" t="s">
        <v>29</v>
      </c>
      <c r="R3032" t="s">
        <v>29</v>
      </c>
      <c r="S3032">
        <v>11.830485914834201</v>
      </c>
      <c r="T3032" t="s">
        <v>29</v>
      </c>
      <c r="U3032" t="s">
        <v>29</v>
      </c>
      <c r="V3032" t="s">
        <v>29</v>
      </c>
      <c r="W3032" t="s">
        <v>29</v>
      </c>
      <c r="X3032" t="s">
        <v>29</v>
      </c>
      <c r="Y3032" t="s">
        <v>29</v>
      </c>
    </row>
    <row r="3033" spans="1:25" x14ac:dyDescent="0.2">
      <c r="A3033" t="s">
        <v>11236</v>
      </c>
      <c r="B3033" t="s">
        <v>11237</v>
      </c>
      <c r="C3033" t="s">
        <v>11238</v>
      </c>
      <c r="D3033" t="s">
        <v>458</v>
      </c>
      <c r="E3033" t="s">
        <v>11237</v>
      </c>
      <c r="F3033" t="s">
        <v>28</v>
      </c>
      <c r="G3033" t="s">
        <v>11237</v>
      </c>
      <c r="H3033" t="str">
        <f>"ttr-31"</f>
        <v>ttr-31</v>
      </c>
      <c r="I3033" t="s">
        <v>458</v>
      </c>
      <c r="J3033">
        <v>13.240381631490701</v>
      </c>
      <c r="K3033">
        <v>13.3829533868563</v>
      </c>
      <c r="L3033">
        <v>13.0669928694871</v>
      </c>
      <c r="M3033">
        <v>12.3325348612405</v>
      </c>
      <c r="N3033">
        <v>13.085354677133401</v>
      </c>
      <c r="O3033">
        <v>13.281427299305401</v>
      </c>
      <c r="P3033">
        <v>-0.33033701671829302</v>
      </c>
      <c r="Q3033">
        <v>-1.21210353863181</v>
      </c>
      <c r="R3033">
        <v>0.55142950519522205</v>
      </c>
      <c r="S3033">
        <v>12.868953492762399</v>
      </c>
      <c r="T3033">
        <v>-0.80407309267747695</v>
      </c>
      <c r="U3033">
        <v>-6.5473498196765103</v>
      </c>
      <c r="V3033">
        <v>0.43489621925232202</v>
      </c>
      <c r="W3033">
        <v>0.91661470403529199</v>
      </c>
      <c r="X3033">
        <v>0</v>
      </c>
      <c r="Y3033">
        <v>0</v>
      </c>
    </row>
    <row r="3034" spans="1:25" x14ac:dyDescent="0.2">
      <c r="A3034" t="s">
        <v>11239</v>
      </c>
      <c r="B3034" t="s">
        <v>11240</v>
      </c>
      <c r="C3034" t="s">
        <v>11241</v>
      </c>
      <c r="D3034" t="s">
        <v>11242</v>
      </c>
      <c r="E3034" t="s">
        <v>11240</v>
      </c>
      <c r="F3034" t="s">
        <v>28</v>
      </c>
      <c r="G3034" t="s">
        <v>11240</v>
      </c>
      <c r="H3034" t="str">
        <f>"ndub-10"</f>
        <v>ndub-10</v>
      </c>
      <c r="I3034" t="s">
        <v>11242</v>
      </c>
      <c r="J3034" t="s">
        <v>29</v>
      </c>
      <c r="K3034" t="s">
        <v>29</v>
      </c>
      <c r="L3034" t="s">
        <v>29</v>
      </c>
      <c r="M3034">
        <v>12.329566376106699</v>
      </c>
      <c r="N3034">
        <v>11.963691982996799</v>
      </c>
      <c r="O3034" t="s">
        <v>29</v>
      </c>
      <c r="P3034" t="s">
        <v>29</v>
      </c>
      <c r="Q3034" t="s">
        <v>29</v>
      </c>
      <c r="R3034" t="s">
        <v>29</v>
      </c>
      <c r="S3034">
        <v>12.144801574365699</v>
      </c>
      <c r="T3034" t="s">
        <v>29</v>
      </c>
      <c r="U3034" t="s">
        <v>29</v>
      </c>
      <c r="V3034" t="s">
        <v>29</v>
      </c>
      <c r="W3034" t="s">
        <v>29</v>
      </c>
      <c r="X3034" t="s">
        <v>29</v>
      </c>
      <c r="Y3034" t="s">
        <v>29</v>
      </c>
    </row>
    <row r="3035" spans="1:25" x14ac:dyDescent="0.2">
      <c r="A3035" t="s">
        <v>11243</v>
      </c>
      <c r="B3035" t="s">
        <v>11244</v>
      </c>
      <c r="C3035" t="s">
        <v>11245</v>
      </c>
      <c r="D3035" t="s">
        <v>11246</v>
      </c>
      <c r="E3035" t="s">
        <v>11244</v>
      </c>
      <c r="F3035" t="s">
        <v>28</v>
      </c>
      <c r="G3035" t="s">
        <v>11244</v>
      </c>
      <c r="H3035" t="str">
        <f>"acox-1.6"</f>
        <v>acox-1.6</v>
      </c>
      <c r="I3035" t="s">
        <v>11246</v>
      </c>
      <c r="J3035">
        <v>14.050841327108801</v>
      </c>
      <c r="K3035">
        <v>14.2745171368011</v>
      </c>
      <c r="L3035">
        <v>13.9262992163736</v>
      </c>
      <c r="M3035">
        <v>14.3525425221359</v>
      </c>
      <c r="N3035">
        <v>14.262450278079299</v>
      </c>
      <c r="O3035">
        <v>14.3978610262921</v>
      </c>
      <c r="P3035">
        <v>0.25373204874127497</v>
      </c>
      <c r="Q3035">
        <v>-6.0204040275781599E-2</v>
      </c>
      <c r="R3035">
        <v>0.56766813775833203</v>
      </c>
      <c r="S3035">
        <v>13.9265005641693</v>
      </c>
      <c r="T3035">
        <v>1.69873875831465</v>
      </c>
      <c r="U3035">
        <v>-5.4857432672164004</v>
      </c>
      <c r="V3035">
        <v>0.106686931443359</v>
      </c>
      <c r="W3035">
        <v>0.66924749930925698</v>
      </c>
      <c r="X3035">
        <v>0</v>
      </c>
      <c r="Y3035">
        <v>0</v>
      </c>
    </row>
    <row r="3036" spans="1:25" x14ac:dyDescent="0.2">
      <c r="A3036" t="s">
        <v>11247</v>
      </c>
      <c r="B3036" t="s">
        <v>11248</v>
      </c>
      <c r="C3036" t="s">
        <v>14604</v>
      </c>
      <c r="D3036" t="s">
        <v>11249</v>
      </c>
      <c r="E3036" t="s">
        <v>11248</v>
      </c>
      <c r="F3036" t="s">
        <v>28</v>
      </c>
      <c r="G3036" t="s">
        <v>11248</v>
      </c>
      <c r="H3036" t="str">
        <f>"F59F4.3"</f>
        <v>F59F4.3</v>
      </c>
      <c r="I3036" t="s">
        <v>11249</v>
      </c>
      <c r="J3036" t="s">
        <v>29</v>
      </c>
      <c r="K3036" t="s">
        <v>29</v>
      </c>
      <c r="L3036" t="s">
        <v>29</v>
      </c>
      <c r="M3036" t="s">
        <v>29</v>
      </c>
      <c r="N3036" t="s">
        <v>29</v>
      </c>
      <c r="O3036" t="s">
        <v>29</v>
      </c>
      <c r="P3036" t="s">
        <v>29</v>
      </c>
      <c r="Q3036" t="s">
        <v>29</v>
      </c>
      <c r="R3036" t="s">
        <v>29</v>
      </c>
      <c r="S3036">
        <v>9.8812305759035208</v>
      </c>
      <c r="T3036" t="s">
        <v>29</v>
      </c>
      <c r="U3036" t="s">
        <v>29</v>
      </c>
      <c r="V3036" t="s">
        <v>29</v>
      </c>
      <c r="W3036" t="s">
        <v>29</v>
      </c>
      <c r="X3036" t="s">
        <v>29</v>
      </c>
      <c r="Y3036" t="s">
        <v>29</v>
      </c>
    </row>
    <row r="3037" spans="1:25" x14ac:dyDescent="0.2">
      <c r="A3037" t="s">
        <v>11250</v>
      </c>
      <c r="B3037" t="s">
        <v>11251</v>
      </c>
      <c r="C3037" t="s">
        <v>11252</v>
      </c>
      <c r="D3037" t="s">
        <v>11253</v>
      </c>
      <c r="E3037" t="s">
        <v>11251</v>
      </c>
      <c r="F3037" t="s">
        <v>28</v>
      </c>
      <c r="G3037" t="s">
        <v>11251</v>
      </c>
      <c r="H3037" t="str">
        <f>"acl-1"</f>
        <v>acl-1</v>
      </c>
      <c r="I3037" t="s">
        <v>11253</v>
      </c>
      <c r="J3037">
        <v>14.6962771088415</v>
      </c>
      <c r="K3037">
        <v>14.5859974974937</v>
      </c>
      <c r="L3037">
        <v>14.5667086015397</v>
      </c>
      <c r="M3037">
        <v>14.606054393847</v>
      </c>
      <c r="N3037">
        <v>14.696387096412501</v>
      </c>
      <c r="O3037">
        <v>14.181697132457501</v>
      </c>
      <c r="P3037">
        <v>-0.121614861719294</v>
      </c>
      <c r="Q3037">
        <v>-0.53923895591988302</v>
      </c>
      <c r="R3037">
        <v>0.29600923248129402</v>
      </c>
      <c r="S3037">
        <v>14.341648449983699</v>
      </c>
      <c r="T3037">
        <v>-0.61468287910824504</v>
      </c>
      <c r="U3037">
        <v>-6.68665748545369</v>
      </c>
      <c r="V3037">
        <v>0.54695411394486604</v>
      </c>
      <c r="W3037">
        <v>0.95161319346692397</v>
      </c>
      <c r="X3037">
        <v>0</v>
      </c>
      <c r="Y3037">
        <v>0</v>
      </c>
    </row>
    <row r="3038" spans="1:25" x14ac:dyDescent="0.2">
      <c r="A3038" t="s">
        <v>11254</v>
      </c>
      <c r="B3038" t="s">
        <v>11255</v>
      </c>
      <c r="C3038" t="s">
        <v>11256</v>
      </c>
      <c r="D3038" t="s">
        <v>11257</v>
      </c>
      <c r="E3038" t="s">
        <v>11255</v>
      </c>
      <c r="F3038" t="s">
        <v>28</v>
      </c>
      <c r="G3038" t="s">
        <v>11255</v>
      </c>
      <c r="H3038" t="str">
        <f>"ent-2"</f>
        <v>ent-2</v>
      </c>
      <c r="I3038" t="s">
        <v>11257</v>
      </c>
      <c r="J3038">
        <v>14.503671889057999</v>
      </c>
      <c r="K3038">
        <v>14.706472862386899</v>
      </c>
      <c r="L3038">
        <v>14.396221832439201</v>
      </c>
      <c r="M3038">
        <v>14.491212448806801</v>
      </c>
      <c r="N3038">
        <v>14.343147466940399</v>
      </c>
      <c r="O3038">
        <v>14.814700209070301</v>
      </c>
      <c r="P3038">
        <v>1.4231180311105301E-2</v>
      </c>
      <c r="Q3038">
        <v>-0.63474594688126595</v>
      </c>
      <c r="R3038">
        <v>0.66320830750347703</v>
      </c>
      <c r="S3038">
        <v>14.572763712852799</v>
      </c>
      <c r="T3038">
        <v>4.6089717245146399E-2</v>
      </c>
      <c r="U3038">
        <v>-6.8813797180289997</v>
      </c>
      <c r="V3038">
        <v>0.96374919192838904</v>
      </c>
      <c r="W3038">
        <v>0.99968702248720698</v>
      </c>
      <c r="X3038">
        <v>0</v>
      </c>
      <c r="Y3038">
        <v>0</v>
      </c>
    </row>
    <row r="3039" spans="1:25" x14ac:dyDescent="0.2">
      <c r="A3039" t="s">
        <v>11258</v>
      </c>
      <c r="B3039" t="s">
        <v>11259</v>
      </c>
      <c r="C3039" t="s">
        <v>11260</v>
      </c>
      <c r="D3039" t="s">
        <v>11261</v>
      </c>
      <c r="E3039" t="s">
        <v>11259</v>
      </c>
      <c r="F3039" t="s">
        <v>28</v>
      </c>
      <c r="G3039" t="s">
        <v>11259</v>
      </c>
      <c r="H3039" t="str">
        <f>"gas-1"</f>
        <v>gas-1</v>
      </c>
      <c r="I3039" t="s">
        <v>11261</v>
      </c>
      <c r="J3039">
        <v>15.7325913734753</v>
      </c>
      <c r="K3039">
        <v>15.901677744998899</v>
      </c>
      <c r="L3039">
        <v>16.109064614509901</v>
      </c>
      <c r="M3039">
        <v>15.4142984891241</v>
      </c>
      <c r="N3039">
        <v>15.6320095324372</v>
      </c>
      <c r="O3039">
        <v>15.330559190351201</v>
      </c>
      <c r="P3039">
        <v>-0.45548884035716097</v>
      </c>
      <c r="Q3039">
        <v>-0.941402309219175</v>
      </c>
      <c r="R3039">
        <v>3.04246285048532E-2</v>
      </c>
      <c r="S3039">
        <v>15.676657656512999</v>
      </c>
      <c r="T3039">
        <v>-1.9702045465342399</v>
      </c>
      <c r="U3039">
        <v>-5.04886336620552</v>
      </c>
      <c r="V3039">
        <v>6.4489499443187395E-2</v>
      </c>
      <c r="W3039">
        <v>0.54340814619935995</v>
      </c>
      <c r="X3039">
        <v>0</v>
      </c>
      <c r="Y3039">
        <v>0</v>
      </c>
    </row>
    <row r="3040" spans="1:25" x14ac:dyDescent="0.2">
      <c r="A3040" t="s">
        <v>11262</v>
      </c>
      <c r="B3040" t="s">
        <v>11263</v>
      </c>
      <c r="C3040" t="s">
        <v>11264</v>
      </c>
      <c r="D3040" t="s">
        <v>11265</v>
      </c>
      <c r="E3040" t="s">
        <v>11263</v>
      </c>
      <c r="F3040" t="s">
        <v>28</v>
      </c>
      <c r="G3040" t="s">
        <v>11263</v>
      </c>
      <c r="H3040" t="str">
        <f>"rab-14"</f>
        <v>rab-14</v>
      </c>
      <c r="I3040" t="s">
        <v>11265</v>
      </c>
      <c r="J3040">
        <v>14.4914618365928</v>
      </c>
      <c r="K3040">
        <v>14.5596034969484</v>
      </c>
      <c r="L3040">
        <v>14.0210952478943</v>
      </c>
      <c r="M3040">
        <v>14.302327907387401</v>
      </c>
      <c r="N3040">
        <v>14.1448420518928</v>
      </c>
      <c r="O3040">
        <v>14.373320506588399</v>
      </c>
      <c r="P3040">
        <v>-8.3890038522266494E-2</v>
      </c>
      <c r="Q3040">
        <v>-0.59620740837714703</v>
      </c>
      <c r="R3040">
        <v>0.42842733133261401</v>
      </c>
      <c r="S3040">
        <v>13.944016193627499</v>
      </c>
      <c r="T3040">
        <v>-0.34416272073693999</v>
      </c>
      <c r="U3040">
        <v>-6.8208067519953497</v>
      </c>
      <c r="V3040">
        <v>0.73473508107903396</v>
      </c>
      <c r="W3040">
        <v>0.99062225922210301</v>
      </c>
      <c r="X3040">
        <v>0</v>
      </c>
      <c r="Y3040">
        <v>0</v>
      </c>
    </row>
    <row r="3041" spans="1:25" x14ac:dyDescent="0.2">
      <c r="A3041" t="s">
        <v>11266</v>
      </c>
      <c r="B3041" t="s">
        <v>11267</v>
      </c>
      <c r="C3041" t="s">
        <v>11268</v>
      </c>
      <c r="D3041" t="s">
        <v>11269</v>
      </c>
      <c r="E3041" t="s">
        <v>11267</v>
      </c>
      <c r="F3041" t="s">
        <v>28</v>
      </c>
      <c r="G3041" t="s">
        <v>11267</v>
      </c>
      <c r="H3041" t="str">
        <f>"erv-46"</f>
        <v>erv-46</v>
      </c>
      <c r="I3041" t="s">
        <v>11269</v>
      </c>
      <c r="J3041">
        <v>11.292756519167501</v>
      </c>
      <c r="K3041">
        <v>11.8061490347577</v>
      </c>
      <c r="L3041">
        <v>10.936837267315299</v>
      </c>
      <c r="M3041" t="s">
        <v>29</v>
      </c>
      <c r="N3041" t="s">
        <v>29</v>
      </c>
      <c r="O3041">
        <v>11.431703003502999</v>
      </c>
      <c r="P3041">
        <v>8.6455396422842098E-2</v>
      </c>
      <c r="Q3041">
        <v>-0.61990588490947396</v>
      </c>
      <c r="R3041">
        <v>0.79281667775515796</v>
      </c>
      <c r="S3041">
        <v>11.0069420082223</v>
      </c>
      <c r="T3041">
        <v>0.26970743211151699</v>
      </c>
      <c r="U3041">
        <v>-6.5022770265049896</v>
      </c>
      <c r="V3041">
        <v>0.79242522189393705</v>
      </c>
      <c r="W3041">
        <v>0.99278624068726296</v>
      </c>
      <c r="X3041">
        <v>0</v>
      </c>
      <c r="Y3041">
        <v>0</v>
      </c>
    </row>
    <row r="3042" spans="1:25" x14ac:dyDescent="0.2">
      <c r="A3042" t="s">
        <v>11270</v>
      </c>
      <c r="B3042" t="s">
        <v>11271</v>
      </c>
      <c r="C3042" t="s">
        <v>11272</v>
      </c>
      <c r="D3042" t="s">
        <v>11273</v>
      </c>
      <c r="E3042" t="s">
        <v>11271</v>
      </c>
      <c r="F3042" t="s">
        <v>28</v>
      </c>
      <c r="G3042" t="s">
        <v>11271</v>
      </c>
      <c r="H3042" t="str">
        <f>"srf-3"</f>
        <v>srf-3</v>
      </c>
      <c r="I3042" t="s">
        <v>11273</v>
      </c>
      <c r="J3042">
        <v>14.094987251787501</v>
      </c>
      <c r="K3042">
        <v>14.3850411010917</v>
      </c>
      <c r="L3042">
        <v>14.5995556470568</v>
      </c>
      <c r="M3042">
        <v>14.3799401697314</v>
      </c>
      <c r="N3042">
        <v>14.2858773550912</v>
      </c>
      <c r="O3042">
        <v>14.471415261450501</v>
      </c>
      <c r="P3042">
        <v>1.9216262112365701E-2</v>
      </c>
      <c r="Q3042">
        <v>-0.34283056203026502</v>
      </c>
      <c r="R3042">
        <v>0.381263086254997</v>
      </c>
      <c r="S3042">
        <v>14.3460554037142</v>
      </c>
      <c r="T3042">
        <v>0.112035120308768</v>
      </c>
      <c r="U3042">
        <v>-6.87591317056037</v>
      </c>
      <c r="V3042">
        <v>0.91211588396090504</v>
      </c>
      <c r="W3042">
        <v>0.99833354317360001</v>
      </c>
      <c r="X3042">
        <v>0</v>
      </c>
      <c r="Y3042">
        <v>0</v>
      </c>
    </row>
    <row r="3043" spans="1:25" x14ac:dyDescent="0.2">
      <c r="A3043" t="s">
        <v>11274</v>
      </c>
      <c r="B3043" t="s">
        <v>11275</v>
      </c>
      <c r="C3043" t="s">
        <v>11276</v>
      </c>
      <c r="D3043" t="s">
        <v>107</v>
      </c>
      <c r="E3043" t="s">
        <v>11275</v>
      </c>
      <c r="F3043" t="s">
        <v>28</v>
      </c>
      <c r="G3043" t="s">
        <v>11275</v>
      </c>
      <c r="H3043" t="str">
        <f>"mct-3"</f>
        <v>mct-3</v>
      </c>
      <c r="I3043" t="s">
        <v>107</v>
      </c>
      <c r="J3043">
        <v>14.262995817559601</v>
      </c>
      <c r="K3043">
        <v>14.018778874547399</v>
      </c>
      <c r="L3043">
        <v>14.205621539825099</v>
      </c>
      <c r="M3043">
        <v>14.8652905639791</v>
      </c>
      <c r="N3043">
        <v>14.7739957094368</v>
      </c>
      <c r="O3043">
        <v>14.4520133729966</v>
      </c>
      <c r="P3043">
        <v>0.534634471493458</v>
      </c>
      <c r="Q3043">
        <v>3.39402297415555E-2</v>
      </c>
      <c r="R3043">
        <v>1.0353287132453599</v>
      </c>
      <c r="S3043">
        <v>14.6298249369407</v>
      </c>
      <c r="T3043">
        <v>2.2538985987531799</v>
      </c>
      <c r="U3043">
        <v>-4.5579691944772298</v>
      </c>
      <c r="V3043">
        <v>3.7778625015646501E-2</v>
      </c>
      <c r="W3043">
        <v>0.42323366778142302</v>
      </c>
      <c r="X3043">
        <v>0</v>
      </c>
      <c r="Y3043">
        <v>0</v>
      </c>
    </row>
    <row r="3044" spans="1:25" x14ac:dyDescent="0.2">
      <c r="A3044" t="s">
        <v>11277</v>
      </c>
      <c r="B3044" t="s">
        <v>11278</v>
      </c>
      <c r="C3044" t="s">
        <v>11279</v>
      </c>
      <c r="D3044" t="s">
        <v>11280</v>
      </c>
      <c r="E3044" t="s">
        <v>11278</v>
      </c>
      <c r="F3044" t="s">
        <v>28</v>
      </c>
      <c r="G3044" t="s">
        <v>11278</v>
      </c>
      <c r="H3044" t="str">
        <f>"gfi-3"</f>
        <v>gfi-3</v>
      </c>
      <c r="I3044" t="s">
        <v>11280</v>
      </c>
      <c r="J3044">
        <v>12.2989965182337</v>
      </c>
      <c r="K3044" t="s">
        <v>29</v>
      </c>
      <c r="L3044">
        <v>12.4160391888284</v>
      </c>
      <c r="M3044">
        <v>12.356171187013</v>
      </c>
      <c r="N3044">
        <v>12.231159415067999</v>
      </c>
      <c r="O3044">
        <v>12.3473801254638</v>
      </c>
      <c r="P3044">
        <v>-4.5947611016146098E-2</v>
      </c>
      <c r="Q3044">
        <v>-0.49462957800327301</v>
      </c>
      <c r="R3044">
        <v>0.40273435597098101</v>
      </c>
      <c r="S3044">
        <v>12.422692100294499</v>
      </c>
      <c r="T3044">
        <v>-0.221417307375464</v>
      </c>
      <c r="U3044">
        <v>-6.7461805817594902</v>
      </c>
      <c r="V3044">
        <v>0.82823518875513502</v>
      </c>
      <c r="W3044">
        <v>0.99339170295129098</v>
      </c>
      <c r="X3044">
        <v>0</v>
      </c>
      <c r="Y3044">
        <v>0</v>
      </c>
    </row>
    <row r="3045" spans="1:25" x14ac:dyDescent="0.2">
      <c r="A3045" t="s">
        <v>11281</v>
      </c>
      <c r="B3045" t="s">
        <v>11282</v>
      </c>
      <c r="C3045" t="s">
        <v>11283</v>
      </c>
      <c r="D3045" t="s">
        <v>11284</v>
      </c>
      <c r="E3045" t="s">
        <v>11282</v>
      </c>
      <c r="F3045" t="s">
        <v>28</v>
      </c>
      <c r="G3045" t="s">
        <v>11282</v>
      </c>
      <c r="H3045" t="str">
        <f>"prx-14"</f>
        <v>prx-14</v>
      </c>
      <c r="I3045" t="s">
        <v>11284</v>
      </c>
      <c r="J3045" t="s">
        <v>29</v>
      </c>
      <c r="K3045" t="s">
        <v>29</v>
      </c>
      <c r="L3045" t="s">
        <v>29</v>
      </c>
      <c r="M3045">
        <v>12.8174143724962</v>
      </c>
      <c r="N3045" t="s">
        <v>29</v>
      </c>
      <c r="O3045" t="s">
        <v>29</v>
      </c>
      <c r="P3045" t="s">
        <v>29</v>
      </c>
      <c r="Q3045" t="s">
        <v>29</v>
      </c>
      <c r="R3045" t="s">
        <v>29</v>
      </c>
      <c r="S3045">
        <v>12.1389615928593</v>
      </c>
      <c r="T3045" t="s">
        <v>29</v>
      </c>
      <c r="U3045" t="s">
        <v>29</v>
      </c>
      <c r="V3045" t="s">
        <v>29</v>
      </c>
      <c r="W3045" t="s">
        <v>29</v>
      </c>
      <c r="X3045" t="s">
        <v>29</v>
      </c>
      <c r="Y3045" t="s">
        <v>29</v>
      </c>
    </row>
    <row r="3046" spans="1:25" x14ac:dyDescent="0.2">
      <c r="A3046" t="s">
        <v>11285</v>
      </c>
      <c r="B3046" t="s">
        <v>11286</v>
      </c>
      <c r="C3046" t="s">
        <v>11287</v>
      </c>
      <c r="D3046" t="s">
        <v>11288</v>
      </c>
      <c r="E3046" t="s">
        <v>11286</v>
      </c>
      <c r="F3046" t="s">
        <v>28</v>
      </c>
      <c r="G3046" t="s">
        <v>11286</v>
      </c>
      <c r="H3046" t="str">
        <f>"adk-1"</f>
        <v>adk-1</v>
      </c>
      <c r="I3046" t="s">
        <v>11288</v>
      </c>
      <c r="J3046">
        <v>13.2289558896077</v>
      </c>
      <c r="K3046">
        <v>12.923113914871101</v>
      </c>
      <c r="L3046">
        <v>13.228953775007099</v>
      </c>
      <c r="M3046">
        <v>13.487330634811901</v>
      </c>
      <c r="N3046">
        <v>13.189623752561401</v>
      </c>
      <c r="O3046">
        <v>13.414040257465899</v>
      </c>
      <c r="P3046">
        <v>0.23665702178444201</v>
      </c>
      <c r="Q3046">
        <v>-0.296703475131745</v>
      </c>
      <c r="R3046">
        <v>0.77001751870062896</v>
      </c>
      <c r="S3046">
        <v>13.312574682085099</v>
      </c>
      <c r="T3046">
        <v>0.93259065915547101</v>
      </c>
      <c r="U3046">
        <v>-6.4388676746214202</v>
      </c>
      <c r="V3046">
        <v>0.36344432946303901</v>
      </c>
      <c r="W3046">
        <v>0.888292466632014</v>
      </c>
      <c r="X3046">
        <v>0</v>
      </c>
      <c r="Y3046">
        <v>0</v>
      </c>
    </row>
    <row r="3047" spans="1:25" x14ac:dyDescent="0.2">
      <c r="A3047" t="s">
        <v>11289</v>
      </c>
      <c r="B3047" t="s">
        <v>11290</v>
      </c>
      <c r="C3047" t="s">
        <v>11291</v>
      </c>
      <c r="D3047" t="s">
        <v>11292</v>
      </c>
      <c r="E3047" t="s">
        <v>11290</v>
      </c>
      <c r="F3047" t="s">
        <v>28</v>
      </c>
      <c r="G3047" t="s">
        <v>11290</v>
      </c>
      <c r="H3047" t="str">
        <f>"serr-1"</f>
        <v>serr-1</v>
      </c>
      <c r="I3047" t="s">
        <v>11292</v>
      </c>
      <c r="J3047">
        <v>13.6382713814182</v>
      </c>
      <c r="K3047">
        <v>13.846285385358501</v>
      </c>
      <c r="L3047">
        <v>13.9243478287091</v>
      </c>
      <c r="M3047">
        <v>13.909495388947301</v>
      </c>
      <c r="N3047">
        <v>14.1556702393351</v>
      </c>
      <c r="O3047">
        <v>13.9956227147423</v>
      </c>
      <c r="P3047">
        <v>0.21729458251297001</v>
      </c>
      <c r="Q3047">
        <v>-0.16149720455956501</v>
      </c>
      <c r="R3047">
        <v>0.59608636958550498</v>
      </c>
      <c r="S3047">
        <v>14.1492748931294</v>
      </c>
      <c r="T3047">
        <v>1.2108723376955</v>
      </c>
      <c r="U3047">
        <v>-6.1458561383761099</v>
      </c>
      <c r="V3047">
        <v>0.24261118707655599</v>
      </c>
      <c r="W3047">
        <v>0.82472934687515598</v>
      </c>
      <c r="X3047">
        <v>0</v>
      </c>
      <c r="Y3047">
        <v>0</v>
      </c>
    </row>
    <row r="3048" spans="1:25" x14ac:dyDescent="0.2">
      <c r="A3048" t="s">
        <v>11293</v>
      </c>
      <c r="B3048" t="s">
        <v>11294</v>
      </c>
      <c r="C3048" t="s">
        <v>11295</v>
      </c>
      <c r="D3048" t="s">
        <v>11296</v>
      </c>
      <c r="E3048" t="s">
        <v>11294</v>
      </c>
      <c r="F3048" t="s">
        <v>28</v>
      </c>
      <c r="G3048" t="s">
        <v>11294</v>
      </c>
      <c r="H3048" t="str">
        <f>"gon-2"</f>
        <v>gon-2</v>
      </c>
      <c r="I3048" t="s">
        <v>11296</v>
      </c>
      <c r="J3048">
        <v>12.669252104812401</v>
      </c>
      <c r="K3048" t="s">
        <v>29</v>
      </c>
      <c r="L3048" t="s">
        <v>29</v>
      </c>
      <c r="M3048">
        <v>11.928359923191</v>
      </c>
      <c r="N3048">
        <v>12.7254708142389</v>
      </c>
      <c r="O3048">
        <v>10.4722056149438</v>
      </c>
      <c r="P3048">
        <v>-0.96057332068775703</v>
      </c>
      <c r="Q3048">
        <v>-2.3255967842884502</v>
      </c>
      <c r="R3048">
        <v>0.40445014291293302</v>
      </c>
      <c r="S3048">
        <v>12.062541716257901</v>
      </c>
      <c r="T3048">
        <v>-1.52151993915008</v>
      </c>
      <c r="U3048">
        <v>-5.4193151370620498</v>
      </c>
      <c r="V3048">
        <v>0.15226697836758099</v>
      </c>
      <c r="W3048">
        <v>0.74633248813841202</v>
      </c>
      <c r="X3048">
        <v>0</v>
      </c>
      <c r="Y3048">
        <v>0</v>
      </c>
    </row>
    <row r="3049" spans="1:25" x14ac:dyDescent="0.2">
      <c r="A3049" t="s">
        <v>11297</v>
      </c>
      <c r="B3049" t="s">
        <v>11298</v>
      </c>
      <c r="C3049" t="s">
        <v>14605</v>
      </c>
      <c r="D3049" t="s">
        <v>11299</v>
      </c>
      <c r="E3049" t="s">
        <v>11298</v>
      </c>
      <c r="F3049" t="s">
        <v>28</v>
      </c>
      <c r="G3049" t="s">
        <v>11298</v>
      </c>
      <c r="H3049" t="str">
        <f>"T08G11.1"</f>
        <v>T08G11.1</v>
      </c>
      <c r="I3049" t="s">
        <v>11299</v>
      </c>
      <c r="J3049">
        <v>15.6489002427277</v>
      </c>
      <c r="K3049">
        <v>15.480667968433201</v>
      </c>
      <c r="L3049">
        <v>15.2982378713236</v>
      </c>
      <c r="M3049">
        <v>15.6825335327147</v>
      </c>
      <c r="N3049">
        <v>15.6668640570982</v>
      </c>
      <c r="O3049">
        <v>15.780382553430499</v>
      </c>
      <c r="P3049">
        <v>0.233991353586287</v>
      </c>
      <c r="Q3049">
        <v>-0.155931299335127</v>
      </c>
      <c r="R3049">
        <v>0.62391400650770101</v>
      </c>
      <c r="S3049">
        <v>15.369619695163401</v>
      </c>
      <c r="T3049">
        <v>1.2612868161514501</v>
      </c>
      <c r="U3049">
        <v>-6.0865292830506403</v>
      </c>
      <c r="V3049">
        <v>0.223400691965571</v>
      </c>
      <c r="W3049">
        <v>0.79980486430864595</v>
      </c>
      <c r="X3049">
        <v>0</v>
      </c>
      <c r="Y3049">
        <v>0</v>
      </c>
    </row>
    <row r="3050" spans="1:25" x14ac:dyDescent="0.2">
      <c r="A3050" t="s">
        <v>11300</v>
      </c>
      <c r="B3050" t="s">
        <v>11301</v>
      </c>
      <c r="C3050" t="s">
        <v>11302</v>
      </c>
      <c r="D3050" t="s">
        <v>11303</v>
      </c>
      <c r="E3050" t="s">
        <v>11301</v>
      </c>
      <c r="F3050" t="s">
        <v>28</v>
      </c>
      <c r="G3050" t="s">
        <v>11301</v>
      </c>
      <c r="H3050" t="str">
        <f>"tgs-1"</f>
        <v>tgs-1</v>
      </c>
      <c r="I3050" t="s">
        <v>11303</v>
      </c>
      <c r="J3050">
        <v>13.209135574645099</v>
      </c>
      <c r="K3050">
        <v>13.498892456315</v>
      </c>
      <c r="L3050">
        <v>13.567334490666299</v>
      </c>
      <c r="M3050">
        <v>13.776917287642901</v>
      </c>
      <c r="N3050">
        <v>13.9284295420803</v>
      </c>
      <c r="O3050">
        <v>14.0900550943075</v>
      </c>
      <c r="P3050">
        <v>0.50667980080142905</v>
      </c>
      <c r="Q3050">
        <v>6.1538710144687502E-2</v>
      </c>
      <c r="R3050">
        <v>0.95182089145816995</v>
      </c>
      <c r="S3050">
        <v>13.990796422754601</v>
      </c>
      <c r="T3050">
        <v>2.4026245962580401</v>
      </c>
      <c r="U3050">
        <v>-4.2841083500287702</v>
      </c>
      <c r="V3050">
        <v>2.8055882842416498E-2</v>
      </c>
      <c r="W3050">
        <v>0.36330730778039799</v>
      </c>
      <c r="X3050">
        <v>0</v>
      </c>
      <c r="Y3050">
        <v>0</v>
      </c>
    </row>
    <row r="3051" spans="1:25" x14ac:dyDescent="0.2">
      <c r="A3051" t="s">
        <v>11304</v>
      </c>
      <c r="B3051" t="s">
        <v>11305</v>
      </c>
      <c r="C3051" t="s">
        <v>14606</v>
      </c>
      <c r="D3051" t="s">
        <v>11306</v>
      </c>
      <c r="E3051" t="s">
        <v>11305</v>
      </c>
      <c r="F3051" t="s">
        <v>28</v>
      </c>
      <c r="G3051" t="s">
        <v>11305</v>
      </c>
      <c r="H3051" t="str">
        <f>"T13F2.6"</f>
        <v>T13F2.6</v>
      </c>
      <c r="I3051" t="s">
        <v>11306</v>
      </c>
      <c r="J3051" t="s">
        <v>29</v>
      </c>
      <c r="K3051" t="s">
        <v>29</v>
      </c>
      <c r="L3051" t="s">
        <v>29</v>
      </c>
      <c r="M3051" t="s">
        <v>29</v>
      </c>
      <c r="N3051" t="s">
        <v>29</v>
      </c>
      <c r="O3051" t="s">
        <v>29</v>
      </c>
      <c r="P3051" t="s">
        <v>29</v>
      </c>
      <c r="Q3051" t="s">
        <v>29</v>
      </c>
      <c r="R3051" t="s">
        <v>29</v>
      </c>
      <c r="S3051">
        <v>10.8126977314247</v>
      </c>
      <c r="T3051" t="s">
        <v>29</v>
      </c>
      <c r="U3051" t="s">
        <v>29</v>
      </c>
      <c r="V3051" t="s">
        <v>29</v>
      </c>
      <c r="W3051" t="s">
        <v>29</v>
      </c>
      <c r="X3051" t="s">
        <v>29</v>
      </c>
      <c r="Y3051" t="s">
        <v>29</v>
      </c>
    </row>
    <row r="3052" spans="1:25" x14ac:dyDescent="0.2">
      <c r="A3052" t="s">
        <v>11307</v>
      </c>
      <c r="B3052" t="s">
        <v>11308</v>
      </c>
      <c r="C3052" t="s">
        <v>11309</v>
      </c>
      <c r="D3052" t="s">
        <v>11310</v>
      </c>
      <c r="E3052" t="s">
        <v>11308</v>
      </c>
      <c r="F3052" t="s">
        <v>28</v>
      </c>
      <c r="G3052" t="s">
        <v>11308</v>
      </c>
      <c r="H3052" t="str">
        <f>"sna-2"</f>
        <v>sna-2</v>
      </c>
      <c r="I3052" t="s">
        <v>11310</v>
      </c>
      <c r="J3052" t="s">
        <v>29</v>
      </c>
      <c r="K3052" t="s">
        <v>29</v>
      </c>
      <c r="L3052">
        <v>11.0566742016485</v>
      </c>
      <c r="M3052">
        <v>13.192063689186501</v>
      </c>
      <c r="N3052">
        <v>13.548036693835501</v>
      </c>
      <c r="O3052">
        <v>12.9654782155975</v>
      </c>
      <c r="P3052">
        <v>2.1785186645580201</v>
      </c>
      <c r="Q3052">
        <v>1.1982526741160999</v>
      </c>
      <c r="R3052">
        <v>3.1587846549999301</v>
      </c>
      <c r="S3052">
        <v>13.2609679868927</v>
      </c>
      <c r="T3052">
        <v>4.7698996517509302</v>
      </c>
      <c r="U3052">
        <v>0.43676206875297702</v>
      </c>
      <c r="V3052">
        <v>3.05206973074342E-4</v>
      </c>
      <c r="W3052">
        <v>1.16750437516254E-2</v>
      </c>
      <c r="X3052">
        <v>1</v>
      </c>
      <c r="Y3052">
        <v>1</v>
      </c>
    </row>
    <row r="3053" spans="1:25" x14ac:dyDescent="0.2">
      <c r="A3053" t="s">
        <v>11311</v>
      </c>
      <c r="B3053" t="s">
        <v>11312</v>
      </c>
      <c r="C3053" t="s">
        <v>11313</v>
      </c>
      <c r="D3053" t="s">
        <v>11314</v>
      </c>
      <c r="E3053" t="s">
        <v>11312</v>
      </c>
      <c r="F3053" t="s">
        <v>28</v>
      </c>
      <c r="G3053" t="s">
        <v>11312</v>
      </c>
      <c r="H3053" t="str">
        <f>"cav-1"</f>
        <v>cav-1</v>
      </c>
      <c r="I3053" t="s">
        <v>11314</v>
      </c>
      <c r="J3053">
        <v>12.2340365482001</v>
      </c>
      <c r="K3053">
        <v>13.376186423719901</v>
      </c>
      <c r="L3053">
        <v>13.282381936913801</v>
      </c>
      <c r="M3053">
        <v>13.0346793305189</v>
      </c>
      <c r="N3053">
        <v>12.8415638526279</v>
      </c>
      <c r="O3053">
        <v>12.9635242339039</v>
      </c>
      <c r="P3053">
        <v>-1.7612497261010801E-2</v>
      </c>
      <c r="Q3053">
        <v>-0.86012076868100196</v>
      </c>
      <c r="R3053">
        <v>0.82489577415897997</v>
      </c>
      <c r="S3053">
        <v>13.793177380777699</v>
      </c>
      <c r="T3053">
        <v>-4.4126225335354499E-2</v>
      </c>
      <c r="U3053">
        <v>-6.8814690783929704</v>
      </c>
      <c r="V3053">
        <v>0.96532112726964703</v>
      </c>
      <c r="W3053">
        <v>0.99968702248720698</v>
      </c>
      <c r="X3053">
        <v>0</v>
      </c>
      <c r="Y3053">
        <v>0</v>
      </c>
    </row>
    <row r="3054" spans="1:25" x14ac:dyDescent="0.2">
      <c r="A3054" t="s">
        <v>11315</v>
      </c>
      <c r="B3054" t="s">
        <v>11316</v>
      </c>
      <c r="C3054" t="s">
        <v>11317</v>
      </c>
      <c r="D3054" t="s">
        <v>11318</v>
      </c>
      <c r="E3054" t="s">
        <v>11316</v>
      </c>
      <c r="F3054" t="s">
        <v>28</v>
      </c>
      <c r="G3054" t="s">
        <v>11316</v>
      </c>
      <c r="H3054" t="str">
        <f>"msp-78"</f>
        <v>msp-78</v>
      </c>
      <c r="I3054" t="s">
        <v>11318</v>
      </c>
      <c r="J3054">
        <v>16.298217837373102</v>
      </c>
      <c r="K3054">
        <v>15.5652355313113</v>
      </c>
      <c r="L3054">
        <v>15.917336426961199</v>
      </c>
      <c r="M3054">
        <v>15.7467996781939</v>
      </c>
      <c r="N3054">
        <v>15.4125616489174</v>
      </c>
      <c r="O3054">
        <v>15.722815862375301</v>
      </c>
      <c r="P3054">
        <v>-0.29953753538634198</v>
      </c>
      <c r="Q3054">
        <v>-0.97146347686323897</v>
      </c>
      <c r="R3054">
        <v>0.37238840609055501</v>
      </c>
      <c r="S3054">
        <v>15.1865162585724</v>
      </c>
      <c r="T3054">
        <v>-0.936962817632228</v>
      </c>
      <c r="U3054">
        <v>-6.4347976694769198</v>
      </c>
      <c r="V3054">
        <v>0.36125171844436599</v>
      </c>
      <c r="W3054">
        <v>0.88792150589575403</v>
      </c>
      <c r="X3054">
        <v>0</v>
      </c>
      <c r="Y3054">
        <v>0</v>
      </c>
    </row>
    <row r="3055" spans="1:25" x14ac:dyDescent="0.2">
      <c r="A3055" t="s">
        <v>11319</v>
      </c>
      <c r="B3055" t="s">
        <v>11320</v>
      </c>
      <c r="C3055" t="s">
        <v>11321</v>
      </c>
      <c r="D3055" t="s">
        <v>11322</v>
      </c>
      <c r="E3055" t="s">
        <v>11320</v>
      </c>
      <c r="F3055" t="s">
        <v>28</v>
      </c>
      <c r="G3055" t="s">
        <v>11320</v>
      </c>
      <c r="H3055" t="str">
        <f>"hlb-1"</f>
        <v>hlb-1</v>
      </c>
      <c r="I3055" t="s">
        <v>11322</v>
      </c>
      <c r="J3055" t="s">
        <v>29</v>
      </c>
      <c r="K3055" t="s">
        <v>29</v>
      </c>
      <c r="L3055" t="s">
        <v>29</v>
      </c>
      <c r="M3055" t="s">
        <v>29</v>
      </c>
      <c r="N3055">
        <v>11.701961781580501</v>
      </c>
      <c r="O3055" t="s">
        <v>29</v>
      </c>
      <c r="P3055" t="s">
        <v>29</v>
      </c>
      <c r="Q3055" t="s">
        <v>29</v>
      </c>
      <c r="R3055" t="s">
        <v>29</v>
      </c>
      <c r="S3055">
        <v>11.482725949841999</v>
      </c>
      <c r="T3055" t="s">
        <v>29</v>
      </c>
      <c r="U3055" t="s">
        <v>29</v>
      </c>
      <c r="V3055" t="s">
        <v>29</v>
      </c>
      <c r="W3055" t="s">
        <v>29</v>
      </c>
      <c r="X3055" t="s">
        <v>29</v>
      </c>
      <c r="Y3055" t="s">
        <v>29</v>
      </c>
    </row>
    <row r="3056" spans="1:25" x14ac:dyDescent="0.2">
      <c r="A3056" t="s">
        <v>11323</v>
      </c>
      <c r="B3056" t="s">
        <v>11324</v>
      </c>
      <c r="C3056" t="s">
        <v>11325</v>
      </c>
      <c r="D3056" t="s">
        <v>11326</v>
      </c>
      <c r="E3056" t="s">
        <v>11324</v>
      </c>
      <c r="F3056" t="s">
        <v>28</v>
      </c>
      <c r="G3056" t="s">
        <v>11324</v>
      </c>
      <c r="H3056" t="str">
        <f>"age-1"</f>
        <v>age-1</v>
      </c>
      <c r="I3056" t="s">
        <v>11326</v>
      </c>
      <c r="J3056">
        <v>12.3381545919998</v>
      </c>
      <c r="K3056">
        <v>13.109984872688701</v>
      </c>
      <c r="L3056">
        <v>11.9714448230402</v>
      </c>
      <c r="M3056">
        <v>12.868497987509199</v>
      </c>
      <c r="N3056">
        <v>12.372708702687699</v>
      </c>
      <c r="O3056">
        <v>12.088152688870901</v>
      </c>
      <c r="P3056">
        <v>-3.0074969553673701E-2</v>
      </c>
      <c r="Q3056">
        <v>-0.62047246253499599</v>
      </c>
      <c r="R3056">
        <v>0.56032252342764799</v>
      </c>
      <c r="S3056">
        <v>12.2878016675875</v>
      </c>
      <c r="T3056">
        <v>-0.10804638017403601</v>
      </c>
      <c r="U3056">
        <v>-6.8763515790680696</v>
      </c>
      <c r="V3056">
        <v>0.91531101967267803</v>
      </c>
      <c r="W3056">
        <v>0.99833354317360001</v>
      </c>
      <c r="X3056">
        <v>0</v>
      </c>
      <c r="Y3056">
        <v>0</v>
      </c>
    </row>
    <row r="3057" spans="1:25" x14ac:dyDescent="0.2">
      <c r="A3057" t="s">
        <v>11327</v>
      </c>
      <c r="B3057" t="s">
        <v>11328</v>
      </c>
      <c r="C3057" t="s">
        <v>11329</v>
      </c>
      <c r="D3057" t="s">
        <v>11330</v>
      </c>
      <c r="E3057" t="s">
        <v>11328</v>
      </c>
      <c r="F3057" t="s">
        <v>28</v>
      </c>
      <c r="G3057" t="s">
        <v>11328</v>
      </c>
      <c r="H3057" t="str">
        <f>"pie-1"</f>
        <v>pie-1</v>
      </c>
      <c r="I3057" t="s">
        <v>11330</v>
      </c>
      <c r="J3057" t="s">
        <v>29</v>
      </c>
      <c r="K3057" t="s">
        <v>29</v>
      </c>
      <c r="L3057">
        <v>11.788634519929801</v>
      </c>
      <c r="M3057" t="s">
        <v>29</v>
      </c>
      <c r="N3057" t="s">
        <v>29</v>
      </c>
      <c r="O3057" t="s">
        <v>29</v>
      </c>
      <c r="P3057" t="s">
        <v>29</v>
      </c>
      <c r="Q3057" t="s">
        <v>29</v>
      </c>
      <c r="R3057" t="s">
        <v>29</v>
      </c>
      <c r="S3057">
        <v>13.2735284670082</v>
      </c>
      <c r="T3057" t="s">
        <v>29</v>
      </c>
      <c r="U3057" t="s">
        <v>29</v>
      </c>
      <c r="V3057" t="s">
        <v>29</v>
      </c>
      <c r="W3057" t="s">
        <v>29</v>
      </c>
      <c r="X3057" t="s">
        <v>29</v>
      </c>
      <c r="Y3057" t="s">
        <v>29</v>
      </c>
    </row>
    <row r="3058" spans="1:25" x14ac:dyDescent="0.2">
      <c r="A3058" t="s">
        <v>11331</v>
      </c>
      <c r="B3058" t="s">
        <v>11332</v>
      </c>
      <c r="C3058" t="s">
        <v>11333</v>
      </c>
      <c r="D3058" t="s">
        <v>11334</v>
      </c>
      <c r="E3058" t="s">
        <v>11332</v>
      </c>
      <c r="F3058" t="s">
        <v>28</v>
      </c>
      <c r="G3058" t="s">
        <v>11332</v>
      </c>
      <c r="H3058" t="str">
        <f>"rab-10"</f>
        <v>rab-10</v>
      </c>
      <c r="I3058" t="s">
        <v>11334</v>
      </c>
      <c r="J3058">
        <v>15.2322999884508</v>
      </c>
      <c r="K3058">
        <v>14.942052524662801</v>
      </c>
      <c r="L3058">
        <v>14.2360087181821</v>
      </c>
      <c r="M3058">
        <v>14.7617262628922</v>
      </c>
      <c r="N3058">
        <v>14.470184749109499</v>
      </c>
      <c r="O3058">
        <v>15.2020058333179</v>
      </c>
      <c r="P3058">
        <v>7.8518713412591996E-3</v>
      </c>
      <c r="Q3058">
        <v>-0.68778827381985297</v>
      </c>
      <c r="R3058">
        <v>0.70349201650237103</v>
      </c>
      <c r="S3058">
        <v>14.1034184888381</v>
      </c>
      <c r="T3058">
        <v>2.3825309492042899E-2</v>
      </c>
      <c r="U3058">
        <v>-6.8821920567431603</v>
      </c>
      <c r="V3058">
        <v>0.98127109094466702</v>
      </c>
      <c r="W3058">
        <v>0.99968702248720698</v>
      </c>
      <c r="X3058">
        <v>0</v>
      </c>
      <c r="Y3058">
        <v>0</v>
      </c>
    </row>
    <row r="3059" spans="1:25" x14ac:dyDescent="0.2">
      <c r="A3059" t="s">
        <v>11335</v>
      </c>
      <c r="B3059" t="s">
        <v>11336</v>
      </c>
      <c r="C3059" t="s">
        <v>11337</v>
      </c>
      <c r="D3059" t="s">
        <v>11338</v>
      </c>
      <c r="E3059" t="s">
        <v>11336</v>
      </c>
      <c r="F3059" t="s">
        <v>28</v>
      </c>
      <c r="G3059" t="s">
        <v>11336</v>
      </c>
      <c r="H3059" t="str">
        <f>"paqr-1"</f>
        <v>paqr-1</v>
      </c>
      <c r="I3059" t="s">
        <v>11338</v>
      </c>
      <c r="J3059">
        <v>10.985375377654799</v>
      </c>
      <c r="K3059">
        <v>12.653857355268199</v>
      </c>
      <c r="L3059">
        <v>12.347408520007299</v>
      </c>
      <c r="M3059">
        <v>12.163459807542299</v>
      </c>
      <c r="N3059" t="s">
        <v>29</v>
      </c>
      <c r="O3059">
        <v>12.144439025065401</v>
      </c>
      <c r="P3059">
        <v>0.15840233199374301</v>
      </c>
      <c r="Q3059">
        <v>-0.63909824401792603</v>
      </c>
      <c r="R3059">
        <v>0.955902908005412</v>
      </c>
      <c r="S3059">
        <v>12.725457395117401</v>
      </c>
      <c r="T3059">
        <v>0.42361582084616001</v>
      </c>
      <c r="U3059">
        <v>-6.6782585235028504</v>
      </c>
      <c r="V3059">
        <v>0.67789960642651703</v>
      </c>
      <c r="W3059">
        <v>0.98642420921484297</v>
      </c>
      <c r="X3059">
        <v>0</v>
      </c>
      <c r="Y3059">
        <v>0</v>
      </c>
    </row>
    <row r="3060" spans="1:25" x14ac:dyDescent="0.2">
      <c r="A3060" t="s">
        <v>11339</v>
      </c>
      <c r="B3060" t="s">
        <v>11340</v>
      </c>
      <c r="C3060" t="s">
        <v>14607</v>
      </c>
      <c r="D3060" t="s">
        <v>11341</v>
      </c>
      <c r="E3060" t="s">
        <v>11340</v>
      </c>
      <c r="F3060" t="s">
        <v>28</v>
      </c>
      <c r="G3060" t="s">
        <v>11340</v>
      </c>
      <c r="H3060" t="str">
        <f>"F16F9.4"</f>
        <v>F16F9.4</v>
      </c>
      <c r="I3060" t="s">
        <v>11341</v>
      </c>
      <c r="J3060">
        <v>12.054219994918499</v>
      </c>
      <c r="K3060">
        <v>12.2122733584971</v>
      </c>
      <c r="L3060">
        <v>11.115811521612001</v>
      </c>
      <c r="M3060">
        <v>11.5700234273272</v>
      </c>
      <c r="N3060" t="s">
        <v>29</v>
      </c>
      <c r="O3060">
        <v>11.1998078591932</v>
      </c>
      <c r="P3060">
        <v>-0.40918598174899001</v>
      </c>
      <c r="Q3060">
        <v>-1.0092625357703899</v>
      </c>
      <c r="R3060">
        <v>0.190890572272406</v>
      </c>
      <c r="S3060">
        <v>11.666292185313999</v>
      </c>
      <c r="T3060">
        <v>-1.45430565949239</v>
      </c>
      <c r="U3060">
        <v>-5.7314581172035899</v>
      </c>
      <c r="V3060">
        <v>0.16660874682473401</v>
      </c>
      <c r="W3060">
        <v>0.76796940364641997</v>
      </c>
      <c r="X3060">
        <v>0</v>
      </c>
      <c r="Y3060">
        <v>0</v>
      </c>
    </row>
    <row r="3061" spans="1:25" x14ac:dyDescent="0.2">
      <c r="A3061" t="s">
        <v>11342</v>
      </c>
      <c r="B3061" t="s">
        <v>11343</v>
      </c>
      <c r="C3061" t="s">
        <v>11344</v>
      </c>
      <c r="D3061" t="s">
        <v>11345</v>
      </c>
      <c r="E3061" t="s">
        <v>11343</v>
      </c>
      <c r="F3061" t="s">
        <v>28</v>
      </c>
      <c r="G3061" t="s">
        <v>11343</v>
      </c>
      <c r="H3061" t="str">
        <f>"dnj-11"</f>
        <v>dnj-11</v>
      </c>
      <c r="I3061" t="s">
        <v>11345</v>
      </c>
      <c r="J3061">
        <v>14.636660119851401</v>
      </c>
      <c r="K3061">
        <v>14.6274296761828</v>
      </c>
      <c r="L3061">
        <v>14.4428866773307</v>
      </c>
      <c r="M3061">
        <v>17.176622992033401</v>
      </c>
      <c r="N3061">
        <v>17.1754665177913</v>
      </c>
      <c r="O3061">
        <v>16.845566330295899</v>
      </c>
      <c r="P3061">
        <v>2.49689312225189</v>
      </c>
      <c r="Q3061">
        <v>1.8952161256378099</v>
      </c>
      <c r="R3061">
        <v>3.0985701188659802</v>
      </c>
      <c r="S3061">
        <v>16.404356366779801</v>
      </c>
      <c r="T3061">
        <v>8.7222606044637505</v>
      </c>
      <c r="U3061">
        <v>8.3808283918551094</v>
      </c>
      <c r="V3061" s="2">
        <v>7.3407874173547797E-8</v>
      </c>
      <c r="W3061" s="2">
        <v>1.2215070262478299E-5</v>
      </c>
      <c r="X3061">
        <v>1</v>
      </c>
      <c r="Y3061">
        <v>1</v>
      </c>
    </row>
    <row r="3062" spans="1:25" x14ac:dyDescent="0.2">
      <c r="A3062" t="s">
        <v>11346</v>
      </c>
      <c r="B3062" t="s">
        <v>11347</v>
      </c>
      <c r="C3062" t="s">
        <v>11348</v>
      </c>
      <c r="D3062" t="s">
        <v>11349</v>
      </c>
      <c r="E3062" t="s">
        <v>11347</v>
      </c>
      <c r="F3062" t="s">
        <v>28</v>
      </c>
      <c r="G3062" t="s">
        <v>11347</v>
      </c>
      <c r="H3062" t="str">
        <f>"odr-8"</f>
        <v>odr-8</v>
      </c>
      <c r="I3062" t="s">
        <v>11349</v>
      </c>
      <c r="J3062">
        <v>14.3922318318986</v>
      </c>
      <c r="K3062">
        <v>14.289820558726801</v>
      </c>
      <c r="L3062">
        <v>13.9668056053083</v>
      </c>
      <c r="M3062">
        <v>13.9892176621125</v>
      </c>
      <c r="N3062">
        <v>14.0673212613176</v>
      </c>
      <c r="O3062">
        <v>13.991564309432</v>
      </c>
      <c r="P3062">
        <v>-0.200251587690504</v>
      </c>
      <c r="Q3062">
        <v>-0.70214729552058797</v>
      </c>
      <c r="R3062">
        <v>0.30164412013957997</v>
      </c>
      <c r="S3062">
        <v>14.2937310153214</v>
      </c>
      <c r="T3062">
        <v>-0.83860027322827502</v>
      </c>
      <c r="U3062">
        <v>-6.5221513803946802</v>
      </c>
      <c r="V3062">
        <v>0.41275576065963399</v>
      </c>
      <c r="W3062">
        <v>0.91512503332874395</v>
      </c>
      <c r="X3062">
        <v>0</v>
      </c>
      <c r="Y3062">
        <v>0</v>
      </c>
    </row>
    <row r="3063" spans="1:25" x14ac:dyDescent="0.2">
      <c r="A3063" t="s">
        <v>11350</v>
      </c>
      <c r="B3063" t="s">
        <v>11351</v>
      </c>
      <c r="C3063" t="s">
        <v>11352</v>
      </c>
      <c r="D3063" t="s">
        <v>11353</v>
      </c>
      <c r="E3063" t="s">
        <v>11351</v>
      </c>
      <c r="F3063" t="s">
        <v>28</v>
      </c>
      <c r="G3063" t="s">
        <v>11351</v>
      </c>
      <c r="H3063" t="str">
        <f>"plp-1"</f>
        <v>plp-1</v>
      </c>
      <c r="I3063" t="s">
        <v>11353</v>
      </c>
      <c r="J3063">
        <v>16.239386720570799</v>
      </c>
      <c r="K3063">
        <v>16.221145181528801</v>
      </c>
      <c r="L3063">
        <v>16.191816656289301</v>
      </c>
      <c r="M3063">
        <v>16.202689635145699</v>
      </c>
      <c r="N3063">
        <v>15.9200326813632</v>
      </c>
      <c r="O3063">
        <v>16.305698783546401</v>
      </c>
      <c r="P3063">
        <v>-7.46424861112054E-2</v>
      </c>
      <c r="Q3063">
        <v>-0.49898844235102102</v>
      </c>
      <c r="R3063">
        <v>0.34970347012860997</v>
      </c>
      <c r="S3063">
        <v>15.7043545667453</v>
      </c>
      <c r="T3063">
        <v>-0.369707738596116</v>
      </c>
      <c r="U3063">
        <v>-6.8113466988194302</v>
      </c>
      <c r="V3063">
        <v>0.71593914331631003</v>
      </c>
      <c r="W3063">
        <v>0.98786722894487999</v>
      </c>
      <c r="X3063">
        <v>0</v>
      </c>
      <c r="Y3063">
        <v>0</v>
      </c>
    </row>
    <row r="3064" spans="1:25" x14ac:dyDescent="0.2">
      <c r="A3064" t="s">
        <v>11354</v>
      </c>
      <c r="B3064" t="s">
        <v>11355</v>
      </c>
      <c r="C3064" t="s">
        <v>11356</v>
      </c>
      <c r="D3064" t="s">
        <v>953</v>
      </c>
      <c r="E3064" t="s">
        <v>11355</v>
      </c>
      <c r="F3064" t="s">
        <v>28</v>
      </c>
      <c r="G3064" t="s">
        <v>11355</v>
      </c>
      <c r="H3064" t="str">
        <f>"stau-1"</f>
        <v>stau-1</v>
      </c>
      <c r="I3064" t="s">
        <v>953</v>
      </c>
      <c r="J3064">
        <v>12.068550995486699</v>
      </c>
      <c r="K3064">
        <v>12.546788140689401</v>
      </c>
      <c r="L3064">
        <v>11.8965991638132</v>
      </c>
      <c r="M3064">
        <v>12.532094271133101</v>
      </c>
      <c r="N3064">
        <v>12.6152487706006</v>
      </c>
      <c r="O3064">
        <v>12.141383099749399</v>
      </c>
      <c r="P3064">
        <v>0.258929280497954</v>
      </c>
      <c r="Q3064">
        <v>-0.21318463572604601</v>
      </c>
      <c r="R3064">
        <v>0.73104319672195395</v>
      </c>
      <c r="S3064">
        <v>12.4775444241107</v>
      </c>
      <c r="T3064">
        <v>1.1632790112057301</v>
      </c>
      <c r="U3064">
        <v>-6.1997037645163404</v>
      </c>
      <c r="V3064">
        <v>0.26188279735210601</v>
      </c>
      <c r="W3064">
        <v>0.84370372660968895</v>
      </c>
      <c r="X3064">
        <v>0</v>
      </c>
      <c r="Y3064">
        <v>0</v>
      </c>
    </row>
    <row r="3065" spans="1:25" x14ac:dyDescent="0.2">
      <c r="A3065" t="s">
        <v>11357</v>
      </c>
      <c r="B3065" t="s">
        <v>11358</v>
      </c>
      <c r="C3065" t="s">
        <v>11359</v>
      </c>
      <c r="D3065" t="s">
        <v>11360</v>
      </c>
      <c r="E3065" t="s">
        <v>11358</v>
      </c>
      <c r="F3065" t="s">
        <v>28</v>
      </c>
      <c r="G3065" t="s">
        <v>11358</v>
      </c>
      <c r="H3065" t="str">
        <f>"sec-22"</f>
        <v>sec-22</v>
      </c>
      <c r="I3065" t="s">
        <v>11360</v>
      </c>
      <c r="J3065">
        <v>13.1028874130433</v>
      </c>
      <c r="K3065">
        <v>12.526729907678</v>
      </c>
      <c r="L3065">
        <v>12.695573712330599</v>
      </c>
      <c r="M3065">
        <v>13.2668365710727</v>
      </c>
      <c r="N3065">
        <v>13.206665237707799</v>
      </c>
      <c r="O3065">
        <v>12.818049460990901</v>
      </c>
      <c r="P3065">
        <v>0.32212007890651301</v>
      </c>
      <c r="Q3065">
        <v>-0.42527957714618397</v>
      </c>
      <c r="R3065">
        <v>1.06951973495921</v>
      </c>
      <c r="S3065">
        <v>12.645536345985301</v>
      </c>
      <c r="T3065">
        <v>0.90973502674794404</v>
      </c>
      <c r="U3065">
        <v>-6.4591021725431297</v>
      </c>
      <c r="V3065">
        <v>0.37575843691108501</v>
      </c>
      <c r="W3065">
        <v>0.89611784539566797</v>
      </c>
      <c r="X3065">
        <v>0</v>
      </c>
      <c r="Y3065">
        <v>0</v>
      </c>
    </row>
    <row r="3066" spans="1:25" x14ac:dyDescent="0.2">
      <c r="A3066" t="s">
        <v>11361</v>
      </c>
      <c r="B3066" t="s">
        <v>11362</v>
      </c>
      <c r="C3066" t="s">
        <v>11363</v>
      </c>
      <c r="D3066" t="s">
        <v>11364</v>
      </c>
      <c r="E3066" t="s">
        <v>11362</v>
      </c>
      <c r="F3066" t="s">
        <v>28</v>
      </c>
      <c r="G3066" t="s">
        <v>11362</v>
      </c>
      <c r="H3066" t="str">
        <f>"dre-1"</f>
        <v>dre-1</v>
      </c>
      <c r="I3066" t="s">
        <v>11364</v>
      </c>
      <c r="J3066">
        <v>10.2291535805827</v>
      </c>
      <c r="K3066">
        <v>11.268246515286799</v>
      </c>
      <c r="L3066">
        <v>11.5083030993235</v>
      </c>
      <c r="M3066">
        <v>10.391900885001199</v>
      </c>
      <c r="N3066">
        <v>10.985813199525399</v>
      </c>
      <c r="O3066">
        <v>10.8174677678164</v>
      </c>
      <c r="P3066">
        <v>-0.27017378095000799</v>
      </c>
      <c r="Q3066">
        <v>-1.0982715935998599</v>
      </c>
      <c r="R3066">
        <v>0.55792403169984495</v>
      </c>
      <c r="S3066">
        <v>11.3669423606399</v>
      </c>
      <c r="T3066">
        <v>-0.69583003194264603</v>
      </c>
      <c r="U3066">
        <v>-6.6309196668575803</v>
      </c>
      <c r="V3066">
        <v>0.49724954969595903</v>
      </c>
      <c r="W3066">
        <v>0.94062983959761604</v>
      </c>
      <c r="X3066">
        <v>0</v>
      </c>
      <c r="Y3066">
        <v>0</v>
      </c>
    </row>
    <row r="3067" spans="1:25" x14ac:dyDescent="0.2">
      <c r="A3067" t="s">
        <v>11365</v>
      </c>
      <c r="B3067" t="s">
        <v>11366</v>
      </c>
      <c r="C3067" t="s">
        <v>11367</v>
      </c>
      <c r="D3067" t="s">
        <v>11368</v>
      </c>
      <c r="E3067" t="s">
        <v>11366</v>
      </c>
      <c r="F3067" t="s">
        <v>28</v>
      </c>
      <c r="G3067" t="s">
        <v>11366</v>
      </c>
      <c r="H3067" t="str">
        <f>"cif-1"</f>
        <v>cif-1</v>
      </c>
      <c r="I3067" t="s">
        <v>11368</v>
      </c>
      <c r="J3067">
        <v>13.6913628832295</v>
      </c>
      <c r="K3067">
        <v>13.3748752596773</v>
      </c>
      <c r="L3067">
        <v>13.799859062680399</v>
      </c>
      <c r="M3067">
        <v>13.645703905981399</v>
      </c>
      <c r="N3067">
        <v>13.996704514972</v>
      </c>
      <c r="O3067">
        <v>13.3749050264387</v>
      </c>
      <c r="P3067">
        <v>5.0405413934933897E-2</v>
      </c>
      <c r="Q3067">
        <v>-0.51541328972966205</v>
      </c>
      <c r="R3067">
        <v>0.616224117599529</v>
      </c>
      <c r="S3067">
        <v>13.700686787397199</v>
      </c>
      <c r="T3067">
        <v>0.18723731270371399</v>
      </c>
      <c r="U3067">
        <v>-6.86419003772507</v>
      </c>
      <c r="V3067">
        <v>0.85358109192629705</v>
      </c>
      <c r="W3067">
        <v>0.99370971747667503</v>
      </c>
      <c r="X3067">
        <v>0</v>
      </c>
      <c r="Y3067">
        <v>0</v>
      </c>
    </row>
    <row r="3068" spans="1:25" x14ac:dyDescent="0.2">
      <c r="A3068" t="s">
        <v>11369</v>
      </c>
      <c r="B3068" t="s">
        <v>11370</v>
      </c>
      <c r="C3068" t="s">
        <v>11371</v>
      </c>
      <c r="D3068" t="s">
        <v>11372</v>
      </c>
      <c r="E3068" t="s">
        <v>11370</v>
      </c>
      <c r="F3068" t="s">
        <v>28</v>
      </c>
      <c r="G3068" t="s">
        <v>11370</v>
      </c>
      <c r="H3068" t="str">
        <f>"fah-1"</f>
        <v>fah-1</v>
      </c>
      <c r="I3068" t="s">
        <v>11372</v>
      </c>
      <c r="J3068" t="s">
        <v>29</v>
      </c>
      <c r="K3068">
        <v>10.947054000479399</v>
      </c>
      <c r="L3068" t="s">
        <v>29</v>
      </c>
      <c r="M3068">
        <v>13.260451657049099</v>
      </c>
      <c r="N3068">
        <v>12.9106729048376</v>
      </c>
      <c r="O3068">
        <v>13.2573167926731</v>
      </c>
      <c r="P3068">
        <v>2.1957597843739101</v>
      </c>
      <c r="Q3068">
        <v>1.3494694745832401</v>
      </c>
      <c r="R3068">
        <v>3.0420500941645798</v>
      </c>
      <c r="S3068">
        <v>12.8575067535954</v>
      </c>
      <c r="T3068">
        <v>5.5031960957928403</v>
      </c>
      <c r="U3068">
        <v>2.1463738504560101</v>
      </c>
      <c r="V3068" s="2">
        <v>4.9300262791576998E-5</v>
      </c>
      <c r="W3068">
        <v>2.68969302574374E-3</v>
      </c>
      <c r="X3068">
        <v>1</v>
      </c>
      <c r="Y3068">
        <v>1</v>
      </c>
    </row>
    <row r="3069" spans="1:25" x14ac:dyDescent="0.2">
      <c r="A3069" t="s">
        <v>11373</v>
      </c>
      <c r="B3069" t="s">
        <v>11374</v>
      </c>
      <c r="C3069" t="s">
        <v>14608</v>
      </c>
      <c r="D3069" t="s">
        <v>3182</v>
      </c>
      <c r="E3069" t="s">
        <v>11374</v>
      </c>
      <c r="F3069" t="s">
        <v>28</v>
      </c>
      <c r="G3069" t="s">
        <v>11374</v>
      </c>
      <c r="H3069" t="str">
        <f>"M02B7.2"</f>
        <v>M02B7.2</v>
      </c>
      <c r="I3069" t="s">
        <v>3182</v>
      </c>
      <c r="J3069" t="s">
        <v>29</v>
      </c>
      <c r="K3069" t="s">
        <v>29</v>
      </c>
      <c r="L3069" t="s">
        <v>29</v>
      </c>
      <c r="M3069" t="s">
        <v>29</v>
      </c>
      <c r="N3069">
        <v>10.740036165835001</v>
      </c>
      <c r="O3069" t="s">
        <v>29</v>
      </c>
      <c r="P3069" t="s">
        <v>29</v>
      </c>
      <c r="Q3069" t="s">
        <v>29</v>
      </c>
      <c r="R3069" t="s">
        <v>29</v>
      </c>
      <c r="S3069">
        <v>11.320958372426601</v>
      </c>
      <c r="T3069" t="s">
        <v>29</v>
      </c>
      <c r="U3069" t="s">
        <v>29</v>
      </c>
      <c r="V3069" t="s">
        <v>29</v>
      </c>
      <c r="W3069" t="s">
        <v>29</v>
      </c>
      <c r="X3069" t="s">
        <v>29</v>
      </c>
      <c r="Y3069" t="s">
        <v>29</v>
      </c>
    </row>
    <row r="3070" spans="1:25" x14ac:dyDescent="0.2">
      <c r="A3070" t="s">
        <v>11375</v>
      </c>
      <c r="B3070" t="s">
        <v>11376</v>
      </c>
      <c r="C3070" t="s">
        <v>11377</v>
      </c>
      <c r="D3070" t="s">
        <v>1873</v>
      </c>
      <c r="E3070" t="s">
        <v>11376</v>
      </c>
      <c r="F3070" t="s">
        <v>28</v>
      </c>
      <c r="G3070" t="s">
        <v>11376</v>
      </c>
      <c r="H3070" t="str">
        <f>"bris-1"</f>
        <v>bris-1</v>
      </c>
      <c r="I3070" t="s">
        <v>1873</v>
      </c>
      <c r="J3070" t="s">
        <v>29</v>
      </c>
      <c r="K3070" t="s">
        <v>29</v>
      </c>
      <c r="L3070">
        <v>10.4042656994563</v>
      </c>
      <c r="M3070">
        <v>10.4427659464013</v>
      </c>
      <c r="N3070">
        <v>11.4470533822071</v>
      </c>
      <c r="O3070" t="s">
        <v>29</v>
      </c>
      <c r="P3070">
        <v>0.54064396484793797</v>
      </c>
      <c r="Q3070">
        <v>-1.1657231215838699</v>
      </c>
      <c r="R3070">
        <v>2.2470110512797499</v>
      </c>
      <c r="S3070">
        <v>11.407623605925201</v>
      </c>
      <c r="T3070">
        <v>0.70697781242253899</v>
      </c>
      <c r="U3070">
        <v>-6.2212834012093703</v>
      </c>
      <c r="V3070">
        <v>0.495891768336155</v>
      </c>
      <c r="W3070">
        <v>0.94062983959761604</v>
      </c>
      <c r="X3070">
        <v>0</v>
      </c>
      <c r="Y3070">
        <v>0</v>
      </c>
    </row>
    <row r="3071" spans="1:25" x14ac:dyDescent="0.2">
      <c r="A3071" t="s">
        <v>11378</v>
      </c>
      <c r="B3071" t="s">
        <v>11379</v>
      </c>
      <c r="C3071" t="s">
        <v>11380</v>
      </c>
      <c r="D3071" t="s">
        <v>11381</v>
      </c>
      <c r="E3071" t="s">
        <v>11379</v>
      </c>
      <c r="F3071" t="s">
        <v>28</v>
      </c>
      <c r="G3071" t="s">
        <v>11379</v>
      </c>
      <c r="H3071" t="str">
        <f>"rpl-11.1"</f>
        <v>rpl-11.1</v>
      </c>
      <c r="I3071" t="s">
        <v>11381</v>
      </c>
      <c r="J3071">
        <v>15.791984052832801</v>
      </c>
      <c r="K3071">
        <v>15.574453590026501</v>
      </c>
      <c r="L3071">
        <v>16.135320133773298</v>
      </c>
      <c r="M3071">
        <v>15.5695390312985</v>
      </c>
      <c r="N3071">
        <v>15.5441043855626</v>
      </c>
      <c r="O3071">
        <v>15.908902554639299</v>
      </c>
      <c r="P3071">
        <v>-0.15973726837741101</v>
      </c>
      <c r="Q3071">
        <v>-0.65866720173600402</v>
      </c>
      <c r="R3071">
        <v>0.339192664981183</v>
      </c>
      <c r="S3071">
        <v>15.828244438986401</v>
      </c>
      <c r="T3071">
        <v>-0.67579769521254396</v>
      </c>
      <c r="U3071">
        <v>-6.6463268120051797</v>
      </c>
      <c r="V3071">
        <v>0.50831463191924198</v>
      </c>
      <c r="W3071">
        <v>0.94062983959761604</v>
      </c>
      <c r="X3071">
        <v>0</v>
      </c>
      <c r="Y3071">
        <v>0</v>
      </c>
    </row>
    <row r="3072" spans="1:25" x14ac:dyDescent="0.2">
      <c r="A3072" t="s">
        <v>11382</v>
      </c>
      <c r="B3072" t="s">
        <v>11383</v>
      </c>
      <c r="C3072" t="s">
        <v>14609</v>
      </c>
      <c r="D3072" t="s">
        <v>11384</v>
      </c>
      <c r="E3072" t="s">
        <v>11383</v>
      </c>
      <c r="F3072" t="s">
        <v>28</v>
      </c>
      <c r="G3072" t="s">
        <v>11383</v>
      </c>
      <c r="H3072" t="str">
        <f>"ZK154.5"</f>
        <v>ZK154.5</v>
      </c>
      <c r="I3072" t="s">
        <v>11384</v>
      </c>
      <c r="J3072" t="s">
        <v>29</v>
      </c>
      <c r="K3072" t="s">
        <v>29</v>
      </c>
      <c r="L3072" t="s">
        <v>29</v>
      </c>
      <c r="M3072" t="s">
        <v>29</v>
      </c>
      <c r="N3072">
        <v>10.9277179637639</v>
      </c>
      <c r="O3072" t="s">
        <v>29</v>
      </c>
      <c r="P3072" t="s">
        <v>29</v>
      </c>
      <c r="Q3072" t="s">
        <v>29</v>
      </c>
      <c r="R3072" t="s">
        <v>29</v>
      </c>
      <c r="S3072">
        <v>10.80321388932</v>
      </c>
      <c r="T3072" t="s">
        <v>29</v>
      </c>
      <c r="U3072" t="s">
        <v>29</v>
      </c>
      <c r="V3072" t="s">
        <v>29</v>
      </c>
      <c r="W3072" t="s">
        <v>29</v>
      </c>
      <c r="X3072" t="s">
        <v>29</v>
      </c>
      <c r="Y3072" t="s">
        <v>29</v>
      </c>
    </row>
    <row r="3073" spans="1:25" x14ac:dyDescent="0.2">
      <c r="A3073" t="s">
        <v>11385</v>
      </c>
      <c r="B3073" t="s">
        <v>11386</v>
      </c>
      <c r="C3073" t="s">
        <v>11387</v>
      </c>
      <c r="D3073" t="s">
        <v>11388</v>
      </c>
      <c r="E3073" t="s">
        <v>11386</v>
      </c>
      <c r="F3073" t="s">
        <v>28</v>
      </c>
      <c r="G3073" t="s">
        <v>11386</v>
      </c>
      <c r="H3073" t="str">
        <f>"nduf-7"</f>
        <v>nduf-7</v>
      </c>
      <c r="I3073" t="s">
        <v>11388</v>
      </c>
      <c r="J3073">
        <v>16.475774422365198</v>
      </c>
      <c r="K3073">
        <v>16.5026982585658</v>
      </c>
      <c r="L3073">
        <v>16.381772361778602</v>
      </c>
      <c r="M3073">
        <v>16.064999456672499</v>
      </c>
      <c r="N3073">
        <v>16.074036504287701</v>
      </c>
      <c r="O3073">
        <v>16.058607326897</v>
      </c>
      <c r="P3073">
        <v>-0.38753391828412698</v>
      </c>
      <c r="Q3073">
        <v>-0.80811907386883797</v>
      </c>
      <c r="R3073">
        <v>3.3051237300583798E-2</v>
      </c>
      <c r="S3073">
        <v>16.116422327574899</v>
      </c>
      <c r="T3073">
        <v>-1.93663730023603</v>
      </c>
      <c r="U3073">
        <v>-5.1052171881000499</v>
      </c>
      <c r="V3073">
        <v>6.8743198979206097E-2</v>
      </c>
      <c r="W3073">
        <v>0.56488238568592097</v>
      </c>
      <c r="X3073">
        <v>0</v>
      </c>
      <c r="Y3073">
        <v>0</v>
      </c>
    </row>
    <row r="3074" spans="1:25" x14ac:dyDescent="0.2">
      <c r="A3074" t="s">
        <v>11389</v>
      </c>
      <c r="B3074" t="s">
        <v>11390</v>
      </c>
      <c r="C3074" t="s">
        <v>11391</v>
      </c>
      <c r="D3074" t="s">
        <v>11392</v>
      </c>
      <c r="E3074" t="s">
        <v>11390</v>
      </c>
      <c r="F3074" t="s">
        <v>28</v>
      </c>
      <c r="G3074" t="s">
        <v>11390</v>
      </c>
      <c r="H3074" t="str">
        <f>"gei-17"</f>
        <v>gei-17</v>
      </c>
      <c r="I3074" t="s">
        <v>11392</v>
      </c>
      <c r="J3074" t="s">
        <v>29</v>
      </c>
      <c r="K3074" t="s">
        <v>29</v>
      </c>
      <c r="L3074" t="s">
        <v>29</v>
      </c>
      <c r="M3074" t="s">
        <v>29</v>
      </c>
      <c r="N3074" t="s">
        <v>29</v>
      </c>
      <c r="O3074" t="s">
        <v>29</v>
      </c>
      <c r="P3074" t="s">
        <v>29</v>
      </c>
      <c r="Q3074" t="s">
        <v>29</v>
      </c>
      <c r="R3074" t="s">
        <v>29</v>
      </c>
      <c r="S3074">
        <v>11.0367585001308</v>
      </c>
      <c r="T3074" t="s">
        <v>29</v>
      </c>
      <c r="U3074" t="s">
        <v>29</v>
      </c>
      <c r="V3074" t="s">
        <v>29</v>
      </c>
      <c r="W3074" t="s">
        <v>29</v>
      </c>
      <c r="X3074" t="s">
        <v>29</v>
      </c>
      <c r="Y3074" t="s">
        <v>29</v>
      </c>
    </row>
    <row r="3075" spans="1:25" x14ac:dyDescent="0.2">
      <c r="A3075" t="s">
        <v>11393</v>
      </c>
      <c r="B3075" t="s">
        <v>11394</v>
      </c>
      <c r="C3075" t="s">
        <v>11395</v>
      </c>
      <c r="D3075" t="s">
        <v>11396</v>
      </c>
      <c r="E3075" t="s">
        <v>11394</v>
      </c>
      <c r="F3075" t="s">
        <v>28</v>
      </c>
      <c r="G3075" t="s">
        <v>11394</v>
      </c>
      <c r="H3075" t="str">
        <f>"nsf-1"</f>
        <v>nsf-1</v>
      </c>
      <c r="I3075" t="s">
        <v>11396</v>
      </c>
      <c r="J3075">
        <v>14.6530982173976</v>
      </c>
      <c r="K3075">
        <v>14.603879974519</v>
      </c>
      <c r="L3075">
        <v>14.696087639423499</v>
      </c>
      <c r="M3075">
        <v>14.7864914414435</v>
      </c>
      <c r="N3075">
        <v>14.852122490268099</v>
      </c>
      <c r="O3075">
        <v>14.5716130427389</v>
      </c>
      <c r="P3075">
        <v>8.5720381036793497E-2</v>
      </c>
      <c r="Q3075">
        <v>-0.211234305770647</v>
      </c>
      <c r="R3075">
        <v>0.382675067844233</v>
      </c>
      <c r="S3075">
        <v>14.6953101414845</v>
      </c>
      <c r="T3075">
        <v>0.60671736046126001</v>
      </c>
      <c r="U3075">
        <v>-6.6921264855279103</v>
      </c>
      <c r="V3075">
        <v>0.55165895015904898</v>
      </c>
      <c r="W3075">
        <v>0.95521383253346204</v>
      </c>
      <c r="X3075">
        <v>0</v>
      </c>
      <c r="Y3075">
        <v>0</v>
      </c>
    </row>
    <row r="3076" spans="1:25" x14ac:dyDescent="0.2">
      <c r="A3076" t="s">
        <v>11397</v>
      </c>
      <c r="B3076" t="s">
        <v>11398</v>
      </c>
      <c r="C3076" t="s">
        <v>11399</v>
      </c>
      <c r="D3076" t="s">
        <v>330</v>
      </c>
      <c r="E3076" t="s">
        <v>11398</v>
      </c>
      <c r="F3076" t="s">
        <v>28</v>
      </c>
      <c r="G3076" t="s">
        <v>11398</v>
      </c>
      <c r="H3076" t="str">
        <f>"nol-16"</f>
        <v>nol-16</v>
      </c>
      <c r="I3076" t="s">
        <v>330</v>
      </c>
      <c r="J3076">
        <v>11.7912039324383</v>
      </c>
      <c r="K3076" t="s">
        <v>29</v>
      </c>
      <c r="L3076">
        <v>11.955374366019001</v>
      </c>
      <c r="M3076">
        <v>12.782277393959999</v>
      </c>
      <c r="N3076">
        <v>11.952461744428</v>
      </c>
      <c r="O3076" t="s">
        <v>29</v>
      </c>
      <c r="P3076">
        <v>0.49408041996531998</v>
      </c>
      <c r="Q3076">
        <v>-0.26275258320653599</v>
      </c>
      <c r="R3076">
        <v>1.2509134231371799</v>
      </c>
      <c r="S3076">
        <v>13.133492292196999</v>
      </c>
      <c r="T3076">
        <v>1.4237790356754201</v>
      </c>
      <c r="U3076">
        <v>-5.6846132843475203</v>
      </c>
      <c r="V3076">
        <v>0.18020949565786701</v>
      </c>
      <c r="W3076">
        <v>0.78295732499061499</v>
      </c>
      <c r="X3076">
        <v>0</v>
      </c>
      <c r="Y3076">
        <v>0</v>
      </c>
    </row>
    <row r="3077" spans="1:25" x14ac:dyDescent="0.2">
      <c r="A3077" t="s">
        <v>11400</v>
      </c>
      <c r="B3077" t="s">
        <v>11401</v>
      </c>
      <c r="C3077" t="s">
        <v>11402</v>
      </c>
      <c r="D3077" t="s">
        <v>11403</v>
      </c>
      <c r="E3077" t="s">
        <v>11401</v>
      </c>
      <c r="F3077" t="s">
        <v>28</v>
      </c>
      <c r="G3077" t="s">
        <v>11401</v>
      </c>
      <c r="H3077" t="str">
        <f>"trmt-6"</f>
        <v>trmt-6</v>
      </c>
      <c r="I3077" t="s">
        <v>11403</v>
      </c>
      <c r="J3077" t="s">
        <v>29</v>
      </c>
      <c r="K3077">
        <v>12.028336923436401</v>
      </c>
      <c r="L3077" t="s">
        <v>29</v>
      </c>
      <c r="M3077" t="s">
        <v>29</v>
      </c>
      <c r="N3077">
        <v>12.2152537764072</v>
      </c>
      <c r="O3077">
        <v>11.814896789223701</v>
      </c>
      <c r="P3077">
        <v>-1.32616406209323E-2</v>
      </c>
      <c r="Q3077">
        <v>-1.04878459274631</v>
      </c>
      <c r="R3077">
        <v>1.0222613115044401</v>
      </c>
      <c r="S3077">
        <v>11.0238331596434</v>
      </c>
      <c r="T3077">
        <v>-2.85761959870897E-2</v>
      </c>
      <c r="U3077">
        <v>-6.4829871724760899</v>
      </c>
      <c r="V3077">
        <v>0.97777072206648896</v>
      </c>
      <c r="W3077">
        <v>0.99968702248720698</v>
      </c>
      <c r="X3077">
        <v>0</v>
      </c>
      <c r="Y3077">
        <v>0</v>
      </c>
    </row>
    <row r="3078" spans="1:25" x14ac:dyDescent="0.2">
      <c r="A3078" t="s">
        <v>11404</v>
      </c>
      <c r="B3078" t="s">
        <v>11405</v>
      </c>
      <c r="C3078" t="s">
        <v>11406</v>
      </c>
      <c r="D3078" t="s">
        <v>11407</v>
      </c>
      <c r="E3078" t="s">
        <v>11405</v>
      </c>
      <c r="F3078" t="s">
        <v>28</v>
      </c>
      <c r="G3078" t="s">
        <v>11405</v>
      </c>
      <c r="H3078" t="str">
        <f>"mel-26"</f>
        <v>mel-26</v>
      </c>
      <c r="I3078" t="s">
        <v>11407</v>
      </c>
      <c r="J3078" t="s">
        <v>29</v>
      </c>
      <c r="K3078" t="s">
        <v>29</v>
      </c>
      <c r="L3078">
        <v>10.5354865375375</v>
      </c>
      <c r="M3078" t="s">
        <v>29</v>
      </c>
      <c r="N3078" t="s">
        <v>29</v>
      </c>
      <c r="O3078">
        <v>11.385424976375999</v>
      </c>
      <c r="P3078">
        <v>0.849938438838445</v>
      </c>
      <c r="Q3078">
        <v>-0.14950933872519501</v>
      </c>
      <c r="R3078">
        <v>1.84938621640208</v>
      </c>
      <c r="S3078">
        <v>10.698525830453301</v>
      </c>
      <c r="T3078">
        <v>1.96559064198273</v>
      </c>
      <c r="U3078">
        <v>-4.6371890492562704</v>
      </c>
      <c r="V3078">
        <v>8.5400277488538706E-2</v>
      </c>
      <c r="W3078">
        <v>0.615177756454235</v>
      </c>
      <c r="X3078">
        <v>0</v>
      </c>
      <c r="Y3078">
        <v>0</v>
      </c>
    </row>
    <row r="3079" spans="1:25" x14ac:dyDescent="0.2">
      <c r="A3079" t="s">
        <v>11408</v>
      </c>
      <c r="B3079" t="s">
        <v>11409</v>
      </c>
      <c r="C3079" t="s">
        <v>11410</v>
      </c>
      <c r="D3079" t="s">
        <v>11411</v>
      </c>
      <c r="E3079" t="s">
        <v>11409</v>
      </c>
      <c r="F3079" t="s">
        <v>28</v>
      </c>
      <c r="G3079" t="s">
        <v>11409</v>
      </c>
      <c r="H3079" t="str">
        <f>"rab-3"</f>
        <v>rab-3</v>
      </c>
      <c r="I3079" t="s">
        <v>11411</v>
      </c>
      <c r="J3079">
        <v>12.780367605147701</v>
      </c>
      <c r="K3079">
        <v>13.4510329052977</v>
      </c>
      <c r="L3079">
        <v>12.6672329811463</v>
      </c>
      <c r="M3079">
        <v>12.717936113396799</v>
      </c>
      <c r="N3079">
        <v>12.6078619115326</v>
      </c>
      <c r="O3079">
        <v>13.019254723634701</v>
      </c>
      <c r="P3079">
        <v>-0.18452691434256799</v>
      </c>
      <c r="Q3079">
        <v>-0.84429027764661502</v>
      </c>
      <c r="R3079">
        <v>0.47523644896147899</v>
      </c>
      <c r="S3079">
        <v>12.436963376477401</v>
      </c>
      <c r="T3079">
        <v>-0.587846635929963</v>
      </c>
      <c r="U3079">
        <v>-6.70367214464029</v>
      </c>
      <c r="V3079">
        <v>0.56398063078059302</v>
      </c>
      <c r="W3079">
        <v>0.95650569706421396</v>
      </c>
      <c r="X3079">
        <v>0</v>
      </c>
      <c r="Y3079">
        <v>0</v>
      </c>
    </row>
    <row r="3080" spans="1:25" x14ac:dyDescent="0.2">
      <c r="A3080" t="s">
        <v>11412</v>
      </c>
      <c r="B3080" t="s">
        <v>11413</v>
      </c>
      <c r="C3080" t="s">
        <v>11414</v>
      </c>
      <c r="D3080" t="s">
        <v>11415</v>
      </c>
      <c r="E3080" t="s">
        <v>11413</v>
      </c>
      <c r="F3080" t="s">
        <v>28</v>
      </c>
      <c r="G3080" t="s">
        <v>11413</v>
      </c>
      <c r="H3080" t="str">
        <f>"pas-4"</f>
        <v>pas-4</v>
      </c>
      <c r="I3080" t="s">
        <v>11415</v>
      </c>
      <c r="J3080">
        <v>13.291870267343899</v>
      </c>
      <c r="K3080">
        <v>13.061769951828101</v>
      </c>
      <c r="L3080">
        <v>13.1010923843975</v>
      </c>
      <c r="M3080">
        <v>12.421357892704</v>
      </c>
      <c r="N3080">
        <v>13.3693204581368</v>
      </c>
      <c r="O3080">
        <v>13.020464101223601</v>
      </c>
      <c r="P3080">
        <v>-0.21453005050171101</v>
      </c>
      <c r="Q3080">
        <v>-0.8680504241757</v>
      </c>
      <c r="R3080">
        <v>0.43899032317227799</v>
      </c>
      <c r="S3080">
        <v>13.187632602123101</v>
      </c>
      <c r="T3080">
        <v>-0.69627136303646198</v>
      </c>
      <c r="U3080">
        <v>-6.63134946700987</v>
      </c>
      <c r="V3080">
        <v>0.49631513697179402</v>
      </c>
      <c r="W3080">
        <v>0.94062983959761604</v>
      </c>
      <c r="X3080">
        <v>0</v>
      </c>
      <c r="Y3080">
        <v>0</v>
      </c>
    </row>
    <row r="3081" spans="1:25" x14ac:dyDescent="0.2">
      <c r="A3081" t="s">
        <v>11416</v>
      </c>
      <c r="B3081" t="s">
        <v>11417</v>
      </c>
      <c r="C3081" t="s">
        <v>11418</v>
      </c>
      <c r="D3081" t="s">
        <v>11419</v>
      </c>
      <c r="E3081" t="s">
        <v>11417</v>
      </c>
      <c r="F3081" t="s">
        <v>28</v>
      </c>
      <c r="G3081" t="s">
        <v>11417</v>
      </c>
      <c r="H3081" t="str">
        <f>"pas-5"</f>
        <v>pas-5</v>
      </c>
      <c r="I3081" t="s">
        <v>11419</v>
      </c>
      <c r="J3081">
        <v>13.7363431544733</v>
      </c>
      <c r="K3081">
        <v>13.3922966645043</v>
      </c>
      <c r="L3081">
        <v>13.856036394610101</v>
      </c>
      <c r="M3081">
        <v>13.783613598028101</v>
      </c>
      <c r="N3081">
        <v>13.512993323772299</v>
      </c>
      <c r="O3081">
        <v>13.5995934749473</v>
      </c>
      <c r="P3081">
        <v>-2.9491938946637899E-2</v>
      </c>
      <c r="Q3081">
        <v>-0.64688739941106099</v>
      </c>
      <c r="R3081">
        <v>0.58790352151778502</v>
      </c>
      <c r="S3081">
        <v>13.497328236253299</v>
      </c>
      <c r="T3081">
        <v>-0.100399698218037</v>
      </c>
      <c r="U3081">
        <v>-6.87722423942928</v>
      </c>
      <c r="V3081">
        <v>0.921143289029277</v>
      </c>
      <c r="W3081">
        <v>0.99843270744267199</v>
      </c>
      <c r="X3081">
        <v>0</v>
      </c>
      <c r="Y3081">
        <v>0</v>
      </c>
    </row>
    <row r="3082" spans="1:25" x14ac:dyDescent="0.2">
      <c r="A3082" t="s">
        <v>11420</v>
      </c>
      <c r="B3082" t="s">
        <v>11421</v>
      </c>
      <c r="C3082" t="s">
        <v>11422</v>
      </c>
      <c r="D3082" t="s">
        <v>581</v>
      </c>
      <c r="E3082" t="s">
        <v>11421</v>
      </c>
      <c r="F3082" t="s">
        <v>28</v>
      </c>
      <c r="G3082" t="s">
        <v>11421</v>
      </c>
      <c r="H3082" t="str">
        <f>"tftc-3"</f>
        <v>tftc-3</v>
      </c>
      <c r="I3082" t="s">
        <v>581</v>
      </c>
      <c r="J3082">
        <v>10.891648060135999</v>
      </c>
      <c r="K3082">
        <v>10.801315141984301</v>
      </c>
      <c r="L3082">
        <v>10.737350930656801</v>
      </c>
      <c r="M3082">
        <v>10.491017177314101</v>
      </c>
      <c r="N3082">
        <v>11.1463407661874</v>
      </c>
      <c r="O3082">
        <v>9.9266024420666596</v>
      </c>
      <c r="P3082">
        <v>-0.28878458240300198</v>
      </c>
      <c r="Q3082">
        <v>-0.80397934088430001</v>
      </c>
      <c r="R3082">
        <v>0.226410176078296</v>
      </c>
      <c r="S3082">
        <v>11.1880021941901</v>
      </c>
      <c r="T3082">
        <v>-1.18891853410597</v>
      </c>
      <c r="U3082">
        <v>-6.17054831585261</v>
      </c>
      <c r="V3082">
        <v>0.25193085503932899</v>
      </c>
      <c r="W3082">
        <v>0.83675238080926795</v>
      </c>
      <c r="X3082">
        <v>0</v>
      </c>
      <c r="Y3082">
        <v>0</v>
      </c>
    </row>
    <row r="3083" spans="1:25" x14ac:dyDescent="0.2">
      <c r="A3083" t="s">
        <v>11423</v>
      </c>
      <c r="B3083" t="s">
        <v>11424</v>
      </c>
      <c r="C3083" t="s">
        <v>11425</v>
      </c>
      <c r="D3083" t="s">
        <v>11426</v>
      </c>
      <c r="E3083" t="s">
        <v>11424</v>
      </c>
      <c r="F3083" t="s">
        <v>28</v>
      </c>
      <c r="G3083" t="s">
        <v>11424</v>
      </c>
      <c r="H3083" t="str">
        <f>"tag-307"</f>
        <v>tag-307</v>
      </c>
      <c r="I3083" t="s">
        <v>11426</v>
      </c>
      <c r="J3083">
        <v>12.8511856801834</v>
      </c>
      <c r="K3083">
        <v>12.7325545490562</v>
      </c>
      <c r="L3083">
        <v>12.260379923209801</v>
      </c>
      <c r="M3083">
        <v>12.521788484967599</v>
      </c>
      <c r="N3083">
        <v>12.7031419801641</v>
      </c>
      <c r="O3083">
        <v>12.838872067303701</v>
      </c>
      <c r="P3083">
        <v>7.3227459995345995E-2</v>
      </c>
      <c r="Q3083">
        <v>-0.49171645865104902</v>
      </c>
      <c r="R3083">
        <v>0.63817137864174101</v>
      </c>
      <c r="S3083">
        <v>12.695704967927</v>
      </c>
      <c r="T3083">
        <v>0.27360160792962601</v>
      </c>
      <c r="U3083">
        <v>-6.8433415302224399</v>
      </c>
      <c r="V3083">
        <v>0.78770745135212406</v>
      </c>
      <c r="W3083">
        <v>0.99278624068726296</v>
      </c>
      <c r="X3083">
        <v>0</v>
      </c>
      <c r="Y3083">
        <v>0</v>
      </c>
    </row>
    <row r="3084" spans="1:25" x14ac:dyDescent="0.2">
      <c r="A3084" t="s">
        <v>11427</v>
      </c>
      <c r="B3084" t="s">
        <v>11428</v>
      </c>
      <c r="C3084" t="s">
        <v>11429</v>
      </c>
      <c r="D3084" t="s">
        <v>11430</v>
      </c>
      <c r="E3084" t="s">
        <v>11428</v>
      </c>
      <c r="F3084" t="s">
        <v>28</v>
      </c>
      <c r="G3084" t="s">
        <v>11428</v>
      </c>
      <c r="H3084" t="str">
        <f>"mrps-18a"</f>
        <v>mrps-18a</v>
      </c>
      <c r="I3084" t="s">
        <v>11430</v>
      </c>
      <c r="J3084">
        <v>13.5442378557326</v>
      </c>
      <c r="K3084">
        <v>13.875139575873</v>
      </c>
      <c r="L3084">
        <v>13.908041389652601</v>
      </c>
      <c r="M3084">
        <v>13.274245911844</v>
      </c>
      <c r="N3084">
        <v>13.076270035674399</v>
      </c>
      <c r="O3084">
        <v>13.227009810499901</v>
      </c>
      <c r="P3084">
        <v>-0.58329768774664004</v>
      </c>
      <c r="Q3084">
        <v>-1.1315917266981801</v>
      </c>
      <c r="R3084">
        <v>-3.5003648795102302E-2</v>
      </c>
      <c r="S3084">
        <v>13.6141786818537</v>
      </c>
      <c r="T3084">
        <v>-2.24557075534182</v>
      </c>
      <c r="U3084">
        <v>-4.5730351540548497</v>
      </c>
      <c r="V3084">
        <v>3.8406420573915197E-2</v>
      </c>
      <c r="W3084">
        <v>0.42323366778142302</v>
      </c>
      <c r="X3084">
        <v>0</v>
      </c>
      <c r="Y3084">
        <v>0</v>
      </c>
    </row>
    <row r="3085" spans="1:25" x14ac:dyDescent="0.2">
      <c r="A3085" t="s">
        <v>11431</v>
      </c>
      <c r="B3085" t="s">
        <v>11432</v>
      </c>
      <c r="C3085" t="s">
        <v>11433</v>
      </c>
      <c r="D3085" t="s">
        <v>11434</v>
      </c>
      <c r="E3085" t="s">
        <v>11432</v>
      </c>
      <c r="F3085" t="s">
        <v>28</v>
      </c>
      <c r="G3085" t="s">
        <v>11432</v>
      </c>
      <c r="H3085" t="str">
        <f>"cpsf-3"</f>
        <v>cpsf-3</v>
      </c>
      <c r="I3085" t="s">
        <v>11434</v>
      </c>
      <c r="J3085">
        <v>13.055247818314101</v>
      </c>
      <c r="K3085">
        <v>13.001798169574201</v>
      </c>
      <c r="L3085">
        <v>12.7687070899012</v>
      </c>
      <c r="M3085">
        <v>13.2021406445471</v>
      </c>
      <c r="N3085">
        <v>13.250074516831299</v>
      </c>
      <c r="O3085">
        <v>13.3464043947868</v>
      </c>
      <c r="P3085">
        <v>0.32428882612523502</v>
      </c>
      <c r="Q3085">
        <v>-4.8543641505942002E-2</v>
      </c>
      <c r="R3085">
        <v>0.69712129375641196</v>
      </c>
      <c r="S3085">
        <v>13.123821951878799</v>
      </c>
      <c r="T3085">
        <v>1.8550681336674699</v>
      </c>
      <c r="U3085">
        <v>-5.24946093200227</v>
      </c>
      <c r="V3085">
        <v>8.3486763585646204E-2</v>
      </c>
      <c r="W3085">
        <v>0.60797363066308696</v>
      </c>
      <c r="X3085">
        <v>0</v>
      </c>
      <c r="Y3085">
        <v>0</v>
      </c>
    </row>
    <row r="3086" spans="1:25" x14ac:dyDescent="0.2">
      <c r="A3086" t="s">
        <v>11435</v>
      </c>
      <c r="B3086" t="s">
        <v>11436</v>
      </c>
      <c r="C3086" t="s">
        <v>11437</v>
      </c>
      <c r="D3086" t="s">
        <v>11438</v>
      </c>
      <c r="E3086" t="s">
        <v>11436</v>
      </c>
      <c r="F3086" t="s">
        <v>28</v>
      </c>
      <c r="G3086" t="s">
        <v>11436</v>
      </c>
      <c r="H3086" t="str">
        <f>"kdp-1"</f>
        <v>kdp-1</v>
      </c>
      <c r="I3086" t="s">
        <v>11438</v>
      </c>
      <c r="J3086">
        <v>14.6176594603411</v>
      </c>
      <c r="K3086">
        <v>14.332235079273699</v>
      </c>
      <c r="L3086">
        <v>14.3023836810326</v>
      </c>
      <c r="M3086">
        <v>14.210340958335401</v>
      </c>
      <c r="N3086">
        <v>14.1165127826754</v>
      </c>
      <c r="O3086">
        <v>14.275266941638799</v>
      </c>
      <c r="P3086">
        <v>-0.21671917933260301</v>
      </c>
      <c r="Q3086">
        <v>-0.62001306964731595</v>
      </c>
      <c r="R3086">
        <v>0.18657471098210901</v>
      </c>
      <c r="S3086">
        <v>14.214881315088499</v>
      </c>
      <c r="T3086">
        <v>-1.12945314190196</v>
      </c>
      <c r="U3086">
        <v>-6.2388762882544304</v>
      </c>
      <c r="V3086">
        <v>0.273619912407087</v>
      </c>
      <c r="W3086">
        <v>0.856190392347986</v>
      </c>
      <c r="X3086">
        <v>0</v>
      </c>
      <c r="Y3086">
        <v>0</v>
      </c>
    </row>
    <row r="3087" spans="1:25" x14ac:dyDescent="0.2">
      <c r="A3087" t="s">
        <v>11439</v>
      </c>
      <c r="B3087" t="s">
        <v>11440</v>
      </c>
      <c r="C3087" t="s">
        <v>11441</v>
      </c>
      <c r="D3087" t="s">
        <v>11442</v>
      </c>
      <c r="E3087" t="s">
        <v>11440</v>
      </c>
      <c r="F3087" t="s">
        <v>28</v>
      </c>
      <c r="G3087" t="s">
        <v>11440</v>
      </c>
      <c r="H3087" t="str">
        <f>"xpb-1"</f>
        <v>xpb-1</v>
      </c>
      <c r="I3087" t="s">
        <v>11442</v>
      </c>
      <c r="J3087">
        <v>13.935059381737499</v>
      </c>
      <c r="K3087">
        <v>13.9955393094292</v>
      </c>
      <c r="L3087">
        <v>13.7552822203495</v>
      </c>
      <c r="M3087">
        <v>13.6464802461873</v>
      </c>
      <c r="N3087">
        <v>13.6714864102332</v>
      </c>
      <c r="O3087">
        <v>13.8746090813365</v>
      </c>
      <c r="P3087">
        <v>-0.164435057919741</v>
      </c>
      <c r="Q3087">
        <v>-0.52802816362998795</v>
      </c>
      <c r="R3087">
        <v>0.199158047790506</v>
      </c>
      <c r="S3087">
        <v>13.6815444518452</v>
      </c>
      <c r="T3087">
        <v>-0.95054195180398704</v>
      </c>
      <c r="U3087">
        <v>-6.4220471988835097</v>
      </c>
      <c r="V3087">
        <v>0.35449939138478198</v>
      </c>
      <c r="W3087">
        <v>0.87950242192597095</v>
      </c>
      <c r="X3087">
        <v>0</v>
      </c>
      <c r="Y3087">
        <v>0</v>
      </c>
    </row>
    <row r="3088" spans="1:25" x14ac:dyDescent="0.2">
      <c r="A3088" t="s">
        <v>11443</v>
      </c>
      <c r="B3088" t="s">
        <v>11444</v>
      </c>
      <c r="C3088" t="s">
        <v>14610</v>
      </c>
      <c r="D3088" t="s">
        <v>11124</v>
      </c>
      <c r="E3088" t="s">
        <v>11444</v>
      </c>
      <c r="F3088" t="s">
        <v>28</v>
      </c>
      <c r="G3088" t="s">
        <v>11444</v>
      </c>
      <c r="H3088" t="str">
        <f>"Y66D12A.24"</f>
        <v>Y66D12A.24</v>
      </c>
      <c r="I3088" t="s">
        <v>11124</v>
      </c>
      <c r="J3088">
        <v>12.3741181739701</v>
      </c>
      <c r="K3088">
        <v>13.390862136044699</v>
      </c>
      <c r="L3088">
        <v>13.2737412400793</v>
      </c>
      <c r="M3088">
        <v>12.7917531174984</v>
      </c>
      <c r="N3088">
        <v>12.5442230191845</v>
      </c>
      <c r="O3088">
        <v>13.1354721609574</v>
      </c>
      <c r="P3088">
        <v>-0.18909108415127401</v>
      </c>
      <c r="Q3088">
        <v>-0.86475371207476504</v>
      </c>
      <c r="R3088">
        <v>0.48657154377221801</v>
      </c>
      <c r="S3088">
        <v>12.9731229269739</v>
      </c>
      <c r="T3088">
        <v>-0.59073291101194203</v>
      </c>
      <c r="U3088">
        <v>-6.70146718912497</v>
      </c>
      <c r="V3088">
        <v>0.56251923847873897</v>
      </c>
      <c r="W3088">
        <v>0.95650569706421396</v>
      </c>
      <c r="X3088">
        <v>0</v>
      </c>
      <c r="Y3088">
        <v>0</v>
      </c>
    </row>
    <row r="3089" spans="1:25" x14ac:dyDescent="0.2">
      <c r="A3089" t="s">
        <v>11445</v>
      </c>
      <c r="B3089" t="s">
        <v>11446</v>
      </c>
      <c r="C3089" t="s">
        <v>14611</v>
      </c>
      <c r="D3089" t="s">
        <v>11447</v>
      </c>
      <c r="E3089" t="s">
        <v>11446</v>
      </c>
      <c r="F3089" t="s">
        <v>28</v>
      </c>
      <c r="G3089" t="s">
        <v>11446</v>
      </c>
      <c r="H3089" t="str">
        <f>"Y66D12A.19"</f>
        <v>Y66D12A.19</v>
      </c>
      <c r="I3089" t="s">
        <v>11447</v>
      </c>
      <c r="J3089">
        <v>12.3092519453939</v>
      </c>
      <c r="K3089">
        <v>12.883098648234901</v>
      </c>
      <c r="L3089">
        <v>12.928567275667399</v>
      </c>
      <c r="M3089" t="s">
        <v>29</v>
      </c>
      <c r="N3089">
        <v>10.7049506054326</v>
      </c>
      <c r="O3089" t="s">
        <v>29</v>
      </c>
      <c r="P3089">
        <v>-2.0020220176661101</v>
      </c>
      <c r="Q3089">
        <v>-3.2982837274262198</v>
      </c>
      <c r="R3089">
        <v>-0.70576030790600797</v>
      </c>
      <c r="S3089">
        <v>12.911079058362199</v>
      </c>
      <c r="T3089">
        <v>-3.3393612341844801</v>
      </c>
      <c r="U3089">
        <v>-2.3332953616109098</v>
      </c>
      <c r="V3089">
        <v>5.3826702797012101E-3</v>
      </c>
      <c r="W3089">
        <v>0.11560619967381</v>
      </c>
      <c r="X3089">
        <v>-1</v>
      </c>
      <c r="Y3089">
        <v>0</v>
      </c>
    </row>
    <row r="3090" spans="1:25" x14ac:dyDescent="0.2">
      <c r="A3090" t="s">
        <v>11448</v>
      </c>
      <c r="B3090" t="s">
        <v>11449</v>
      </c>
      <c r="C3090" t="s">
        <v>11450</v>
      </c>
      <c r="D3090" t="s">
        <v>11451</v>
      </c>
      <c r="E3090" t="s">
        <v>11449</v>
      </c>
      <c r="F3090" t="s">
        <v>28</v>
      </c>
      <c r="G3090" t="s">
        <v>11449</v>
      </c>
      <c r="H3090" t="str">
        <f>"psme-3"</f>
        <v>psme-3</v>
      </c>
      <c r="I3090" t="s">
        <v>11451</v>
      </c>
      <c r="J3090" t="s">
        <v>29</v>
      </c>
      <c r="K3090" t="s">
        <v>29</v>
      </c>
      <c r="L3090" t="s">
        <v>29</v>
      </c>
      <c r="M3090" t="s">
        <v>29</v>
      </c>
      <c r="N3090" t="s">
        <v>29</v>
      </c>
      <c r="O3090" t="s">
        <v>29</v>
      </c>
      <c r="P3090" t="s">
        <v>29</v>
      </c>
      <c r="Q3090" t="s">
        <v>29</v>
      </c>
      <c r="R3090" t="s">
        <v>29</v>
      </c>
      <c r="S3090">
        <v>10.6300715207437</v>
      </c>
      <c r="T3090" t="s">
        <v>29</v>
      </c>
      <c r="U3090" t="s">
        <v>29</v>
      </c>
      <c r="V3090" t="s">
        <v>29</v>
      </c>
      <c r="W3090" t="s">
        <v>29</v>
      </c>
      <c r="X3090" t="s">
        <v>29</v>
      </c>
      <c r="Y3090" t="s">
        <v>29</v>
      </c>
    </row>
    <row r="3091" spans="1:25" x14ac:dyDescent="0.2">
      <c r="A3091" t="s">
        <v>11452</v>
      </c>
      <c r="B3091" t="s">
        <v>11453</v>
      </c>
      <c r="C3091" t="s">
        <v>11454</v>
      </c>
      <c r="D3091" t="s">
        <v>11455</v>
      </c>
      <c r="E3091" t="s">
        <v>11453</v>
      </c>
      <c r="F3091" t="s">
        <v>28</v>
      </c>
      <c r="G3091" t="s">
        <v>11453</v>
      </c>
      <c r="H3091" t="str">
        <f>"such-1"</f>
        <v>such-1</v>
      </c>
      <c r="I3091" t="s">
        <v>11455</v>
      </c>
      <c r="J3091">
        <v>12.4767525398077</v>
      </c>
      <c r="K3091">
        <v>12.812030672175601</v>
      </c>
      <c r="L3091">
        <v>11.913073185734101</v>
      </c>
      <c r="M3091">
        <v>12.4801543781237</v>
      </c>
      <c r="N3091">
        <v>12.7776258870135</v>
      </c>
      <c r="O3091">
        <v>11.752945733268</v>
      </c>
      <c r="P3091">
        <v>-6.3710133104066799E-2</v>
      </c>
      <c r="Q3091">
        <v>-0.71374050889155405</v>
      </c>
      <c r="R3091">
        <v>0.58632024268341998</v>
      </c>
      <c r="S3091">
        <v>13.302061719474599</v>
      </c>
      <c r="T3091">
        <v>-0.20903377643034901</v>
      </c>
      <c r="U3091">
        <v>-6.8594497229378799</v>
      </c>
      <c r="V3091">
        <v>0.837253722979306</v>
      </c>
      <c r="W3091">
        <v>0.99370971747667503</v>
      </c>
      <c r="X3091">
        <v>0</v>
      </c>
      <c r="Y3091">
        <v>0</v>
      </c>
    </row>
    <row r="3092" spans="1:25" x14ac:dyDescent="0.2">
      <c r="A3092" t="s">
        <v>11456</v>
      </c>
      <c r="B3092" t="s">
        <v>11457</v>
      </c>
      <c r="C3092" t="s">
        <v>14612</v>
      </c>
      <c r="D3092" t="s">
        <v>11458</v>
      </c>
      <c r="E3092" t="s">
        <v>11457</v>
      </c>
      <c r="F3092" t="s">
        <v>28</v>
      </c>
      <c r="G3092" t="s">
        <v>11457</v>
      </c>
      <c r="H3092" t="str">
        <f>"Y66D12A.8"</f>
        <v>Y66D12A.8</v>
      </c>
      <c r="I3092" t="s">
        <v>11458</v>
      </c>
      <c r="J3092" t="s">
        <v>29</v>
      </c>
      <c r="K3092">
        <v>10.573093295231899</v>
      </c>
      <c r="L3092">
        <v>11.0490312069829</v>
      </c>
      <c r="M3092">
        <v>11.457894562355399</v>
      </c>
      <c r="N3092">
        <v>11.599924623186601</v>
      </c>
      <c r="O3092">
        <v>11.5802993718747</v>
      </c>
      <c r="P3092">
        <v>0.73497726803151398</v>
      </c>
      <c r="Q3092">
        <v>0.11654285077353201</v>
      </c>
      <c r="R3092">
        <v>1.3534116852895</v>
      </c>
      <c r="S3092">
        <v>12.1503887239923</v>
      </c>
      <c r="T3092">
        <v>2.5507749823751</v>
      </c>
      <c r="U3092">
        <v>-3.95647845736476</v>
      </c>
      <c r="V3092">
        <v>2.3187487244252999E-2</v>
      </c>
      <c r="W3092">
        <v>0.32019899397872997</v>
      </c>
      <c r="X3092">
        <v>0</v>
      </c>
      <c r="Y3092">
        <v>0</v>
      </c>
    </row>
    <row r="3093" spans="1:25" x14ac:dyDescent="0.2">
      <c r="A3093" t="s">
        <v>11459</v>
      </c>
      <c r="B3093" t="s">
        <v>11460</v>
      </c>
      <c r="C3093" t="s">
        <v>11461</v>
      </c>
      <c r="D3093" t="s">
        <v>11462</v>
      </c>
      <c r="E3093" t="s">
        <v>11460</v>
      </c>
      <c r="F3093" t="s">
        <v>28</v>
      </c>
      <c r="G3093" t="s">
        <v>11460</v>
      </c>
      <c r="H3093" t="str">
        <f>"ceh-92"</f>
        <v>ceh-92</v>
      </c>
      <c r="I3093" t="s">
        <v>11462</v>
      </c>
      <c r="J3093" t="s">
        <v>29</v>
      </c>
      <c r="K3093" t="s">
        <v>29</v>
      </c>
      <c r="L3093">
        <v>11.989457281880901</v>
      </c>
      <c r="M3093">
        <v>11.508693025381101</v>
      </c>
      <c r="N3093">
        <v>12.136839378604799</v>
      </c>
      <c r="O3093">
        <v>13.1304706059321</v>
      </c>
      <c r="P3093">
        <v>0.26921038809171399</v>
      </c>
      <c r="Q3093">
        <v>-0.913104930415364</v>
      </c>
      <c r="R3093">
        <v>1.4515257065987901</v>
      </c>
      <c r="S3093">
        <v>13.212777830540499</v>
      </c>
      <c r="T3093">
        <v>0.49231803108640299</v>
      </c>
      <c r="U3093">
        <v>-6.41433405405808</v>
      </c>
      <c r="V3093">
        <v>0.63077000899955105</v>
      </c>
      <c r="W3093">
        <v>0.97279262440453396</v>
      </c>
      <c r="X3093">
        <v>0</v>
      </c>
      <c r="Y3093">
        <v>0</v>
      </c>
    </row>
    <row r="3094" spans="1:25" x14ac:dyDescent="0.2">
      <c r="A3094" t="s">
        <v>11463</v>
      </c>
      <c r="B3094" t="s">
        <v>11464</v>
      </c>
      <c r="C3094" t="s">
        <v>11465</v>
      </c>
      <c r="D3094" t="s">
        <v>11466</v>
      </c>
      <c r="E3094" t="s">
        <v>11464</v>
      </c>
      <c r="F3094" t="s">
        <v>28</v>
      </c>
      <c r="G3094" t="s">
        <v>11464</v>
      </c>
      <c r="H3094" t="str">
        <f>"rad-51"</f>
        <v>rad-51</v>
      </c>
      <c r="I3094" t="s">
        <v>11466</v>
      </c>
      <c r="J3094">
        <v>12.2201073080589</v>
      </c>
      <c r="K3094" t="s">
        <v>29</v>
      </c>
      <c r="L3094">
        <v>12.432696617563201</v>
      </c>
      <c r="M3094" t="s">
        <v>29</v>
      </c>
      <c r="N3094">
        <v>12.3575307971049</v>
      </c>
      <c r="O3094">
        <v>12.616726456730699</v>
      </c>
      <c r="P3094">
        <v>0.16072666410675401</v>
      </c>
      <c r="Q3094">
        <v>-0.58685097834073996</v>
      </c>
      <c r="R3094">
        <v>0.90830430655424799</v>
      </c>
      <c r="S3094">
        <v>12.6133534337947</v>
      </c>
      <c r="T3094">
        <v>0.46889611980221302</v>
      </c>
      <c r="U3094">
        <v>-6.5660751832827398</v>
      </c>
      <c r="V3094">
        <v>0.64762080851058301</v>
      </c>
      <c r="W3094">
        <v>0.97967365941964502</v>
      </c>
      <c r="X3094">
        <v>0</v>
      </c>
      <c r="Y3094">
        <v>0</v>
      </c>
    </row>
    <row r="3095" spans="1:25" x14ac:dyDescent="0.2">
      <c r="A3095" t="s">
        <v>11467</v>
      </c>
      <c r="B3095" t="s">
        <v>11468</v>
      </c>
      <c r="C3095" t="s">
        <v>11469</v>
      </c>
      <c r="D3095" t="s">
        <v>11470</v>
      </c>
      <c r="E3095" t="s">
        <v>11468</v>
      </c>
      <c r="F3095" t="s">
        <v>28</v>
      </c>
      <c r="G3095" t="s">
        <v>11468</v>
      </c>
      <c r="H3095" t="str">
        <f>"riok-2"</f>
        <v>riok-2</v>
      </c>
      <c r="I3095" t="s">
        <v>11470</v>
      </c>
      <c r="J3095">
        <v>14.1868889168557</v>
      </c>
      <c r="K3095">
        <v>14.049905319196499</v>
      </c>
      <c r="L3095">
        <v>14.1017888412545</v>
      </c>
      <c r="M3095">
        <v>14.3571116220817</v>
      </c>
      <c r="N3095">
        <v>14.201997129437</v>
      </c>
      <c r="O3095">
        <v>14.170691541949999</v>
      </c>
      <c r="P3095">
        <v>0.13040573872069999</v>
      </c>
      <c r="Q3095">
        <v>-0.57999424437751501</v>
      </c>
      <c r="R3095">
        <v>0.840805721818916</v>
      </c>
      <c r="S3095">
        <v>13.8094350186903</v>
      </c>
      <c r="T3095">
        <v>0.38582136605474898</v>
      </c>
      <c r="U3095">
        <v>-6.80503650927949</v>
      </c>
      <c r="V3095">
        <v>0.70417730879531903</v>
      </c>
      <c r="W3095">
        <v>0.98642420921484297</v>
      </c>
      <c r="X3095">
        <v>0</v>
      </c>
      <c r="Y3095">
        <v>0</v>
      </c>
    </row>
    <row r="3096" spans="1:25" x14ac:dyDescent="0.2">
      <c r="A3096" t="s">
        <v>11471</v>
      </c>
      <c r="B3096" t="s">
        <v>11472</v>
      </c>
      <c r="C3096" t="s">
        <v>11473</v>
      </c>
      <c r="D3096" t="s">
        <v>11474</v>
      </c>
      <c r="E3096" t="s">
        <v>11472</v>
      </c>
      <c r="F3096" t="s">
        <v>28</v>
      </c>
      <c r="G3096" t="s">
        <v>11472</v>
      </c>
      <c r="H3096" t="str">
        <f>"exoc-8"</f>
        <v>exoc-8</v>
      </c>
      <c r="I3096" t="s">
        <v>11474</v>
      </c>
      <c r="J3096">
        <v>14.300887610403199</v>
      </c>
      <c r="K3096">
        <v>14.2645239226486</v>
      </c>
      <c r="L3096">
        <v>13.9572787926288</v>
      </c>
      <c r="M3096">
        <v>14.220075452697699</v>
      </c>
      <c r="N3096">
        <v>14.054065291530501</v>
      </c>
      <c r="O3096">
        <v>14.007936955085199</v>
      </c>
      <c r="P3096">
        <v>-8.0204208789030701E-2</v>
      </c>
      <c r="Q3096">
        <v>-0.666243690707086</v>
      </c>
      <c r="R3096">
        <v>0.50583527312902499</v>
      </c>
      <c r="S3096">
        <v>14.204482718591599</v>
      </c>
      <c r="T3096">
        <v>-0.287648952130998</v>
      </c>
      <c r="U3096">
        <v>-6.8393577438555999</v>
      </c>
      <c r="V3096">
        <v>0.77692013832029505</v>
      </c>
      <c r="W3096">
        <v>0.99278624068726296</v>
      </c>
      <c r="X3096">
        <v>0</v>
      </c>
      <c r="Y3096">
        <v>0</v>
      </c>
    </row>
    <row r="3097" spans="1:25" x14ac:dyDescent="0.2">
      <c r="A3097" t="s">
        <v>11475</v>
      </c>
      <c r="B3097" t="s">
        <v>11476</v>
      </c>
      <c r="C3097" t="s">
        <v>11477</v>
      </c>
      <c r="D3097" t="s">
        <v>11478</v>
      </c>
      <c r="E3097" t="s">
        <v>11476</v>
      </c>
      <c r="F3097" t="s">
        <v>28</v>
      </c>
      <c r="G3097" t="s">
        <v>11476</v>
      </c>
      <c r="H3097" t="str">
        <f>"C37H5.13"</f>
        <v>C37H5.13</v>
      </c>
      <c r="I3097" t="s">
        <v>11478</v>
      </c>
      <c r="J3097" t="s">
        <v>29</v>
      </c>
      <c r="K3097" t="s">
        <v>29</v>
      </c>
      <c r="L3097">
        <v>10.448684645547999</v>
      </c>
      <c r="M3097" t="s">
        <v>29</v>
      </c>
      <c r="N3097" t="s">
        <v>29</v>
      </c>
      <c r="O3097">
        <v>10.2872537031152</v>
      </c>
      <c r="P3097">
        <v>-0.161430942432846</v>
      </c>
      <c r="Q3097">
        <v>-1.96667287504939</v>
      </c>
      <c r="R3097">
        <v>1.6438109901836999</v>
      </c>
      <c r="S3097">
        <v>10.547632860873</v>
      </c>
      <c r="T3097">
        <v>-0.21210694239876701</v>
      </c>
      <c r="U3097">
        <v>-6.3184945561531496</v>
      </c>
      <c r="V3097">
        <v>0.83815714457949997</v>
      </c>
      <c r="W3097">
        <v>0.99370971747667503</v>
      </c>
      <c r="X3097">
        <v>0</v>
      </c>
      <c r="Y3097">
        <v>0</v>
      </c>
    </row>
    <row r="3098" spans="1:25" x14ac:dyDescent="0.2">
      <c r="A3098" t="s">
        <v>11479</v>
      </c>
      <c r="B3098" t="s">
        <v>11480</v>
      </c>
      <c r="C3098" t="s">
        <v>11481</v>
      </c>
      <c r="D3098" t="s">
        <v>11482</v>
      </c>
      <c r="E3098" t="s">
        <v>11480</v>
      </c>
      <c r="F3098" t="s">
        <v>28</v>
      </c>
      <c r="G3098" t="s">
        <v>11480</v>
      </c>
      <c r="H3098" t="str">
        <f>"sir-2.4"</f>
        <v>sir-2.4</v>
      </c>
      <c r="I3098" t="s">
        <v>11482</v>
      </c>
      <c r="J3098">
        <v>13.728683382417101</v>
      </c>
      <c r="K3098">
        <v>14.6228403620521</v>
      </c>
      <c r="L3098">
        <v>14.1107333650996</v>
      </c>
      <c r="M3098">
        <v>14.380134603035501</v>
      </c>
      <c r="N3098">
        <v>14.1602004061104</v>
      </c>
      <c r="O3098">
        <v>14.1072856608059</v>
      </c>
      <c r="P3098">
        <v>6.1787853461025201E-2</v>
      </c>
      <c r="Q3098">
        <v>-0.71766742597546995</v>
      </c>
      <c r="R3098">
        <v>0.84124313289751995</v>
      </c>
      <c r="S3098">
        <v>14.345082686988301</v>
      </c>
      <c r="T3098">
        <v>0.16661128658750901</v>
      </c>
      <c r="U3098">
        <v>-6.8679967350640201</v>
      </c>
      <c r="V3098">
        <v>0.86954403483297005</v>
      </c>
      <c r="W3098">
        <v>0.99457622291666603</v>
      </c>
      <c r="X3098">
        <v>0</v>
      </c>
      <c r="Y3098">
        <v>0</v>
      </c>
    </row>
    <row r="3099" spans="1:25" x14ac:dyDescent="0.2">
      <c r="A3099" t="s">
        <v>11483</v>
      </c>
      <c r="B3099" t="s">
        <v>11484</v>
      </c>
      <c r="C3099" t="s">
        <v>11485</v>
      </c>
      <c r="D3099" t="s">
        <v>11486</v>
      </c>
      <c r="E3099" t="s">
        <v>11484</v>
      </c>
      <c r="F3099" t="s">
        <v>28</v>
      </c>
      <c r="G3099" t="s">
        <v>11484</v>
      </c>
      <c r="H3099" t="str">
        <f>"let-363"</f>
        <v>let-363</v>
      </c>
      <c r="I3099" t="s">
        <v>11486</v>
      </c>
      <c r="J3099">
        <v>14.0303113897569</v>
      </c>
      <c r="K3099">
        <v>14.186336016379901</v>
      </c>
      <c r="L3099">
        <v>13.7672310420672</v>
      </c>
      <c r="M3099">
        <v>14.1620036824644</v>
      </c>
      <c r="N3099">
        <v>14.0737157777197</v>
      </c>
      <c r="O3099">
        <v>14.1051717905817</v>
      </c>
      <c r="P3099">
        <v>0.119004267520566</v>
      </c>
      <c r="Q3099">
        <v>-0.241013619713736</v>
      </c>
      <c r="R3099">
        <v>0.47902215475486798</v>
      </c>
      <c r="S3099">
        <v>14.3411522572601</v>
      </c>
      <c r="T3099">
        <v>0.69475386230628</v>
      </c>
      <c r="U3099">
        <v>-6.6336644378076697</v>
      </c>
      <c r="V3099">
        <v>0.49613197897366201</v>
      </c>
      <c r="W3099">
        <v>0.94062983959761604</v>
      </c>
      <c r="X3099">
        <v>0</v>
      </c>
      <c r="Y3099">
        <v>0</v>
      </c>
    </row>
    <row r="3100" spans="1:25" x14ac:dyDescent="0.2">
      <c r="A3100" t="s">
        <v>11487</v>
      </c>
      <c r="B3100" t="s">
        <v>11488</v>
      </c>
      <c r="C3100" t="s">
        <v>11489</v>
      </c>
      <c r="D3100" t="s">
        <v>11490</v>
      </c>
      <c r="E3100" t="s">
        <v>11488</v>
      </c>
      <c r="F3100" t="s">
        <v>28</v>
      </c>
      <c r="G3100" t="s">
        <v>11488</v>
      </c>
      <c r="H3100" t="str">
        <f>"jhdm-1"</f>
        <v>jhdm-1</v>
      </c>
      <c r="I3100" t="s">
        <v>11490</v>
      </c>
      <c r="J3100">
        <v>11.944869383035099</v>
      </c>
      <c r="K3100">
        <v>12.478401259235101</v>
      </c>
      <c r="L3100">
        <v>12.315686257858699</v>
      </c>
      <c r="M3100">
        <v>12.2866399857286</v>
      </c>
      <c r="N3100">
        <v>11.907604423133501</v>
      </c>
      <c r="O3100">
        <v>12.210247921909501</v>
      </c>
      <c r="P3100">
        <v>-0.111488189785746</v>
      </c>
      <c r="Q3100">
        <v>-0.67562490696697997</v>
      </c>
      <c r="R3100">
        <v>0.452648527395488</v>
      </c>
      <c r="S3100">
        <v>11.9845623653041</v>
      </c>
      <c r="T3100">
        <v>-0.419173700661362</v>
      </c>
      <c r="U3100">
        <v>-6.7905841495338297</v>
      </c>
      <c r="V3100">
        <v>0.68069915497434896</v>
      </c>
      <c r="W3100">
        <v>0.98642420921484297</v>
      </c>
      <c r="X3100">
        <v>0</v>
      </c>
      <c r="Y3100">
        <v>0</v>
      </c>
    </row>
    <row r="3101" spans="1:25" x14ac:dyDescent="0.2">
      <c r="A3101" t="s">
        <v>11491</v>
      </c>
      <c r="B3101" t="s">
        <v>11492</v>
      </c>
      <c r="C3101" t="s">
        <v>7089</v>
      </c>
      <c r="D3101" t="s">
        <v>11493</v>
      </c>
      <c r="E3101" t="s">
        <v>11492</v>
      </c>
      <c r="F3101" t="s">
        <v>28</v>
      </c>
      <c r="G3101" t="s">
        <v>11492</v>
      </c>
      <c r="H3101" t="str">
        <f>"pacs-1"</f>
        <v>pacs-1</v>
      </c>
      <c r="I3101" t="s">
        <v>11493</v>
      </c>
      <c r="J3101">
        <v>12.9815875326265</v>
      </c>
      <c r="K3101">
        <v>12.948065227323699</v>
      </c>
      <c r="L3101">
        <v>12.6172201782469</v>
      </c>
      <c r="M3101">
        <v>13.549859384564</v>
      </c>
      <c r="N3101">
        <v>13.417611829452101</v>
      </c>
      <c r="O3101">
        <v>13.249869804712</v>
      </c>
      <c r="P3101">
        <v>0.556822693510306</v>
      </c>
      <c r="Q3101">
        <v>9.7814117995196001E-2</v>
      </c>
      <c r="R3101">
        <v>1.0158312690254201</v>
      </c>
      <c r="S3101">
        <v>13.170877187673099</v>
      </c>
      <c r="T3101">
        <v>2.5496973967278498</v>
      </c>
      <c r="U3101">
        <v>-3.99006109571252</v>
      </c>
      <c r="V3101">
        <v>2.0173051850416301E-2</v>
      </c>
      <c r="W3101">
        <v>0.28813698093641799</v>
      </c>
      <c r="X3101">
        <v>0</v>
      </c>
      <c r="Y3101">
        <v>0</v>
      </c>
    </row>
    <row r="3102" spans="1:25" x14ac:dyDescent="0.2">
      <c r="A3102" t="s">
        <v>11494</v>
      </c>
      <c r="B3102" t="s">
        <v>11495</v>
      </c>
      <c r="C3102" t="s">
        <v>11496</v>
      </c>
      <c r="D3102" t="s">
        <v>11497</v>
      </c>
      <c r="E3102" t="s">
        <v>11495</v>
      </c>
      <c r="F3102" t="s">
        <v>28</v>
      </c>
      <c r="G3102" t="s">
        <v>11495</v>
      </c>
      <c r="H3102" t="str">
        <f>"pat-12"</f>
        <v>pat-12</v>
      </c>
      <c r="I3102" t="s">
        <v>11497</v>
      </c>
      <c r="J3102">
        <v>14.7352267327141</v>
      </c>
      <c r="K3102">
        <v>15.2730120835388</v>
      </c>
      <c r="L3102">
        <v>15.3416135816313</v>
      </c>
      <c r="M3102">
        <v>14.939819874607901</v>
      </c>
      <c r="N3102">
        <v>14.919080059950501</v>
      </c>
      <c r="O3102">
        <v>15.632678973954199</v>
      </c>
      <c r="P3102">
        <v>4.7242170209489801E-2</v>
      </c>
      <c r="Q3102">
        <v>-0.68606647545941701</v>
      </c>
      <c r="R3102">
        <v>0.78055081587839703</v>
      </c>
      <c r="S3102">
        <v>15.2807493747497</v>
      </c>
      <c r="T3102">
        <v>0.135405263863627</v>
      </c>
      <c r="U3102">
        <v>-6.8729147425218198</v>
      </c>
      <c r="V3102">
        <v>0.89380294044243302</v>
      </c>
      <c r="W3102">
        <v>0.99751045801221205</v>
      </c>
      <c r="X3102">
        <v>0</v>
      </c>
      <c r="Y3102">
        <v>0</v>
      </c>
    </row>
    <row r="3103" spans="1:25" x14ac:dyDescent="0.2">
      <c r="A3103" t="s">
        <v>11498</v>
      </c>
      <c r="B3103" t="s">
        <v>11499</v>
      </c>
      <c r="C3103" t="s">
        <v>14613</v>
      </c>
      <c r="D3103" t="s">
        <v>11500</v>
      </c>
      <c r="E3103" t="s">
        <v>11499</v>
      </c>
      <c r="F3103" t="s">
        <v>28</v>
      </c>
      <c r="G3103" t="s">
        <v>11499</v>
      </c>
      <c r="H3103" t="str">
        <f>"T13H5.8"</f>
        <v>T13H5.8</v>
      </c>
      <c r="I3103" t="s">
        <v>11500</v>
      </c>
      <c r="J3103">
        <v>13.999600151146799</v>
      </c>
      <c r="K3103">
        <v>14.266947111972099</v>
      </c>
      <c r="L3103">
        <v>14.137869362039501</v>
      </c>
      <c r="M3103">
        <v>14.1272791460464</v>
      </c>
      <c r="N3103">
        <v>13.947569426778699</v>
      </c>
      <c r="O3103">
        <v>13.899353805245299</v>
      </c>
      <c r="P3103">
        <v>-0.14340474902932099</v>
      </c>
      <c r="Q3103">
        <v>-0.52506135863762504</v>
      </c>
      <c r="R3103">
        <v>0.23825186057898401</v>
      </c>
      <c r="S3103">
        <v>13.9153332783312</v>
      </c>
      <c r="T3103">
        <v>-0.79312339201230897</v>
      </c>
      <c r="U3103">
        <v>-6.55883667191749</v>
      </c>
      <c r="V3103">
        <v>0.43870291307579701</v>
      </c>
      <c r="W3103">
        <v>0.91824106585927701</v>
      </c>
      <c r="X3103">
        <v>0</v>
      </c>
      <c r="Y3103">
        <v>0</v>
      </c>
    </row>
    <row r="3104" spans="1:25" x14ac:dyDescent="0.2">
      <c r="A3104" t="s">
        <v>11501</v>
      </c>
      <c r="B3104" t="s">
        <v>11502</v>
      </c>
      <c r="C3104" t="s">
        <v>14614</v>
      </c>
      <c r="D3104" t="s">
        <v>11503</v>
      </c>
      <c r="E3104" t="s">
        <v>11502</v>
      </c>
      <c r="F3104" t="s">
        <v>28</v>
      </c>
      <c r="G3104" t="s">
        <v>11502</v>
      </c>
      <c r="H3104" t="str">
        <f>"R144.11"</f>
        <v>R144.11</v>
      </c>
      <c r="I3104" t="s">
        <v>11503</v>
      </c>
      <c r="J3104">
        <v>12.699146238652</v>
      </c>
      <c r="K3104">
        <v>12.488307769816201</v>
      </c>
      <c r="L3104">
        <v>12.5061542578608</v>
      </c>
      <c r="M3104">
        <v>12.037641989882401</v>
      </c>
      <c r="N3104" t="s">
        <v>29</v>
      </c>
      <c r="O3104">
        <v>12.3465762477006</v>
      </c>
      <c r="P3104">
        <v>-0.37242696998485397</v>
      </c>
      <c r="Q3104">
        <v>-0.83067122277424799</v>
      </c>
      <c r="R3104">
        <v>8.5817282804539999E-2</v>
      </c>
      <c r="S3104">
        <v>12.259694960153899</v>
      </c>
      <c r="T3104">
        <v>-1.7443594793036801</v>
      </c>
      <c r="U3104">
        <v>-5.3183968783839601</v>
      </c>
      <c r="V3104">
        <v>0.103164734382778</v>
      </c>
      <c r="W3104">
        <v>0.66068385805670304</v>
      </c>
      <c r="X3104">
        <v>0</v>
      </c>
      <c r="Y3104">
        <v>0</v>
      </c>
    </row>
    <row r="3105" spans="1:25" x14ac:dyDescent="0.2">
      <c r="A3105" t="s">
        <v>11504</v>
      </c>
      <c r="B3105" t="s">
        <v>11505</v>
      </c>
      <c r="C3105" t="s">
        <v>11506</v>
      </c>
      <c r="D3105" t="s">
        <v>11507</v>
      </c>
      <c r="E3105" t="s">
        <v>11505</v>
      </c>
      <c r="F3105" t="s">
        <v>28</v>
      </c>
      <c r="G3105" t="s">
        <v>11505</v>
      </c>
      <c r="H3105" t="str">
        <f>"zyg-8"</f>
        <v>zyg-8</v>
      </c>
      <c r="I3105" t="s">
        <v>11507</v>
      </c>
      <c r="J3105" t="s">
        <v>29</v>
      </c>
      <c r="K3105" t="s">
        <v>29</v>
      </c>
      <c r="L3105">
        <v>10.4765419948275</v>
      </c>
      <c r="M3105" t="s">
        <v>29</v>
      </c>
      <c r="N3105" t="s">
        <v>29</v>
      </c>
      <c r="O3105" t="s">
        <v>29</v>
      </c>
      <c r="P3105" t="s">
        <v>29</v>
      </c>
      <c r="Q3105" t="s">
        <v>29</v>
      </c>
      <c r="R3105" t="s">
        <v>29</v>
      </c>
      <c r="S3105">
        <v>12.100619679570899</v>
      </c>
      <c r="T3105" t="s">
        <v>29</v>
      </c>
      <c r="U3105" t="s">
        <v>29</v>
      </c>
      <c r="V3105" t="s">
        <v>29</v>
      </c>
      <c r="W3105" t="s">
        <v>29</v>
      </c>
      <c r="X3105" t="s">
        <v>29</v>
      </c>
      <c r="Y3105" t="s">
        <v>29</v>
      </c>
    </row>
    <row r="3106" spans="1:25" x14ac:dyDescent="0.2">
      <c r="A3106" t="s">
        <v>11508</v>
      </c>
      <c r="B3106" t="s">
        <v>11509</v>
      </c>
      <c r="C3106" t="s">
        <v>11510</v>
      </c>
      <c r="D3106" t="s">
        <v>11511</v>
      </c>
      <c r="E3106" t="s">
        <v>11509</v>
      </c>
      <c r="F3106" t="s">
        <v>28</v>
      </c>
      <c r="G3106" t="s">
        <v>11509</v>
      </c>
      <c r="H3106" t="str">
        <f>"tmem-135"</f>
        <v>tmem-135</v>
      </c>
      <c r="I3106" t="s">
        <v>11511</v>
      </c>
      <c r="J3106">
        <v>12.0967625340192</v>
      </c>
      <c r="K3106">
        <v>12.7909592211989</v>
      </c>
      <c r="L3106">
        <v>13.349063471086399</v>
      </c>
      <c r="M3106">
        <v>12.3506260476502</v>
      </c>
      <c r="N3106">
        <v>13.108773387041801</v>
      </c>
      <c r="O3106">
        <v>12.5048319158852</v>
      </c>
      <c r="P3106">
        <v>-9.0851291909041607E-2</v>
      </c>
      <c r="Q3106">
        <v>-0.78247466872780902</v>
      </c>
      <c r="R3106">
        <v>0.600772084909726</v>
      </c>
      <c r="S3106">
        <v>13.1990160239425</v>
      </c>
      <c r="T3106">
        <v>-0.27861915657741299</v>
      </c>
      <c r="U3106">
        <v>-6.8417590636571299</v>
      </c>
      <c r="V3106">
        <v>0.78412925988592297</v>
      </c>
      <c r="W3106">
        <v>0.99278624068726296</v>
      </c>
      <c r="X3106">
        <v>0</v>
      </c>
      <c r="Y3106">
        <v>0</v>
      </c>
    </row>
    <row r="3107" spans="1:25" x14ac:dyDescent="0.2">
      <c r="A3107" t="s">
        <v>11512</v>
      </c>
      <c r="B3107" t="s">
        <v>11513</v>
      </c>
      <c r="C3107" t="s">
        <v>11514</v>
      </c>
      <c r="D3107" t="s">
        <v>11515</v>
      </c>
      <c r="E3107" t="s">
        <v>11513</v>
      </c>
      <c r="F3107" t="s">
        <v>28</v>
      </c>
      <c r="G3107" t="s">
        <v>11513</v>
      </c>
      <c r="H3107" t="str">
        <f>"cox-11"</f>
        <v>cox-11</v>
      </c>
      <c r="I3107" t="s">
        <v>11515</v>
      </c>
      <c r="J3107">
        <v>13.739051850187099</v>
      </c>
      <c r="K3107">
        <v>13.9382968499747</v>
      </c>
      <c r="L3107">
        <v>13.725891292069999</v>
      </c>
      <c r="M3107">
        <v>14.0124288688066</v>
      </c>
      <c r="N3107">
        <v>13.572812678691401</v>
      </c>
      <c r="O3107">
        <v>13.845113508243699</v>
      </c>
      <c r="P3107">
        <v>9.0383545033212408E-3</v>
      </c>
      <c r="Q3107">
        <v>-0.55534405695857203</v>
      </c>
      <c r="R3107">
        <v>0.57342076596521396</v>
      </c>
      <c r="S3107">
        <v>13.6403663829004</v>
      </c>
      <c r="T3107">
        <v>3.3967644394788998E-2</v>
      </c>
      <c r="U3107">
        <v>-6.8818827233454902</v>
      </c>
      <c r="V3107">
        <v>0.97332585133792204</v>
      </c>
      <c r="W3107">
        <v>0.99968702248720698</v>
      </c>
      <c r="X3107">
        <v>0</v>
      </c>
      <c r="Y3107">
        <v>0</v>
      </c>
    </row>
    <row r="3108" spans="1:25" x14ac:dyDescent="0.2">
      <c r="A3108" t="s">
        <v>11516</v>
      </c>
      <c r="B3108" t="s">
        <v>11517</v>
      </c>
      <c r="C3108" t="s">
        <v>14615</v>
      </c>
      <c r="D3108" t="s">
        <v>10637</v>
      </c>
      <c r="E3108" t="s">
        <v>11517</v>
      </c>
      <c r="F3108" t="s">
        <v>28</v>
      </c>
      <c r="G3108" t="s">
        <v>11517</v>
      </c>
      <c r="H3108" t="str">
        <f>"F58G6.7"</f>
        <v>F58G6.7</v>
      </c>
      <c r="I3108" t="s">
        <v>10637</v>
      </c>
      <c r="J3108">
        <v>13.0517942331764</v>
      </c>
      <c r="K3108">
        <v>13.0123814136706</v>
      </c>
      <c r="L3108">
        <v>13.7273865461884</v>
      </c>
      <c r="M3108">
        <v>13.838869534939599</v>
      </c>
      <c r="N3108">
        <v>13.0652003256239</v>
      </c>
      <c r="O3108">
        <v>12.9783979612113</v>
      </c>
      <c r="P3108">
        <v>3.0301876246479498E-2</v>
      </c>
      <c r="Q3108">
        <v>-0.91126395512644098</v>
      </c>
      <c r="R3108">
        <v>0.9718677076194</v>
      </c>
      <c r="S3108">
        <v>13.497584538577801</v>
      </c>
      <c r="T3108">
        <v>6.8260326314139502E-2</v>
      </c>
      <c r="U3108">
        <v>-6.8800391596201997</v>
      </c>
      <c r="V3108">
        <v>0.94642971895768102</v>
      </c>
      <c r="W3108">
        <v>0.99968702248720698</v>
      </c>
      <c r="X3108">
        <v>0</v>
      </c>
      <c r="Y3108">
        <v>0</v>
      </c>
    </row>
    <row r="3109" spans="1:25" x14ac:dyDescent="0.2">
      <c r="A3109" t="s">
        <v>11518</v>
      </c>
      <c r="B3109" t="s">
        <v>11519</v>
      </c>
      <c r="C3109" t="s">
        <v>14616</v>
      </c>
      <c r="D3109" t="s">
        <v>8692</v>
      </c>
      <c r="E3109" t="s">
        <v>11519</v>
      </c>
      <c r="F3109" t="s">
        <v>28</v>
      </c>
      <c r="G3109" t="s">
        <v>11519</v>
      </c>
      <c r="H3109" t="str">
        <f>"F54E7.9"</f>
        <v>F54E7.9</v>
      </c>
      <c r="I3109" t="s">
        <v>8692</v>
      </c>
      <c r="J3109" t="s">
        <v>29</v>
      </c>
      <c r="K3109" t="s">
        <v>29</v>
      </c>
      <c r="L3109" t="s">
        <v>29</v>
      </c>
      <c r="M3109" t="s">
        <v>29</v>
      </c>
      <c r="N3109">
        <v>9.6759921732007896</v>
      </c>
      <c r="O3109" t="s">
        <v>29</v>
      </c>
      <c r="P3109" t="s">
        <v>29</v>
      </c>
      <c r="Q3109" t="s">
        <v>29</v>
      </c>
      <c r="R3109" t="s">
        <v>29</v>
      </c>
      <c r="S3109">
        <v>10.3733466091672</v>
      </c>
      <c r="T3109" t="s">
        <v>29</v>
      </c>
      <c r="U3109" t="s">
        <v>29</v>
      </c>
      <c r="V3109" t="s">
        <v>29</v>
      </c>
      <c r="W3109" t="s">
        <v>29</v>
      </c>
      <c r="X3109" t="s">
        <v>29</v>
      </c>
      <c r="Y3109" t="s">
        <v>29</v>
      </c>
    </row>
    <row r="3110" spans="1:25" x14ac:dyDescent="0.2">
      <c r="A3110" t="s">
        <v>11520</v>
      </c>
      <c r="B3110" t="s">
        <v>11521</v>
      </c>
      <c r="C3110" t="s">
        <v>11522</v>
      </c>
      <c r="D3110" t="s">
        <v>11523</v>
      </c>
      <c r="E3110" t="s">
        <v>11521</v>
      </c>
      <c r="F3110" t="s">
        <v>28</v>
      </c>
      <c r="G3110" t="s">
        <v>11521</v>
      </c>
      <c r="H3110" t="str">
        <f>"fcp-1"</f>
        <v>fcp-1</v>
      </c>
      <c r="I3110" t="s">
        <v>11523</v>
      </c>
      <c r="J3110">
        <v>13.770613588438</v>
      </c>
      <c r="K3110">
        <v>13.920752895785499</v>
      </c>
      <c r="L3110">
        <v>13.644991160480799</v>
      </c>
      <c r="M3110">
        <v>13.751759173342499</v>
      </c>
      <c r="N3110">
        <v>13.781620692134201</v>
      </c>
      <c r="O3110">
        <v>13.9891351129551</v>
      </c>
      <c r="P3110">
        <v>6.2052444575812202E-2</v>
      </c>
      <c r="Q3110">
        <v>-0.26201514792292002</v>
      </c>
      <c r="R3110">
        <v>0.38612003707454501</v>
      </c>
      <c r="S3110">
        <v>13.6516324469557</v>
      </c>
      <c r="T3110">
        <v>0.402453589959195</v>
      </c>
      <c r="U3110">
        <v>-6.79824574755055</v>
      </c>
      <c r="V3110">
        <v>0.69211700960727596</v>
      </c>
      <c r="W3110">
        <v>0.98642420921484297</v>
      </c>
      <c r="X3110">
        <v>0</v>
      </c>
      <c r="Y3110">
        <v>0</v>
      </c>
    </row>
    <row r="3111" spans="1:25" x14ac:dyDescent="0.2">
      <c r="A3111" t="s">
        <v>11524</v>
      </c>
      <c r="B3111" t="s">
        <v>11525</v>
      </c>
      <c r="C3111" t="s">
        <v>11526</v>
      </c>
      <c r="D3111" t="s">
        <v>11527</v>
      </c>
      <c r="E3111" t="s">
        <v>11525</v>
      </c>
      <c r="F3111" t="s">
        <v>28</v>
      </c>
      <c r="G3111" t="s">
        <v>11525</v>
      </c>
      <c r="H3111" t="str">
        <f>"daf-3"</f>
        <v>daf-3</v>
      </c>
      <c r="I3111" t="s">
        <v>11527</v>
      </c>
      <c r="J3111">
        <v>13.8846097887771</v>
      </c>
      <c r="K3111">
        <v>11.5375674504344</v>
      </c>
      <c r="L3111" t="s">
        <v>29</v>
      </c>
      <c r="M3111" t="s">
        <v>29</v>
      </c>
      <c r="N3111" t="s">
        <v>29</v>
      </c>
      <c r="O3111" t="s">
        <v>29</v>
      </c>
      <c r="P3111" t="s">
        <v>29</v>
      </c>
      <c r="Q3111" t="s">
        <v>29</v>
      </c>
      <c r="R3111" t="s">
        <v>29</v>
      </c>
      <c r="S3111">
        <v>12.056889896547499</v>
      </c>
      <c r="T3111" t="s">
        <v>29</v>
      </c>
      <c r="U3111" t="s">
        <v>29</v>
      </c>
      <c r="V3111" t="s">
        <v>29</v>
      </c>
      <c r="W3111" t="s">
        <v>29</v>
      </c>
      <c r="X3111" t="s">
        <v>29</v>
      </c>
      <c r="Y3111" t="s">
        <v>29</v>
      </c>
    </row>
    <row r="3112" spans="1:25" x14ac:dyDescent="0.2">
      <c r="A3112" t="s">
        <v>11528</v>
      </c>
      <c r="B3112" t="s">
        <v>11529</v>
      </c>
      <c r="C3112" t="s">
        <v>11530</v>
      </c>
      <c r="D3112" t="s">
        <v>11531</v>
      </c>
      <c r="E3112" t="s">
        <v>11529</v>
      </c>
      <c r="F3112" t="s">
        <v>28</v>
      </c>
      <c r="G3112" t="s">
        <v>11529</v>
      </c>
      <c r="H3112" t="str">
        <f>"alfa-1"</f>
        <v>alfa-1</v>
      </c>
      <c r="I3112" t="s">
        <v>11531</v>
      </c>
      <c r="J3112">
        <v>12.4065620262368</v>
      </c>
      <c r="K3112">
        <v>12.247847300983899</v>
      </c>
      <c r="L3112" t="s">
        <v>29</v>
      </c>
      <c r="M3112">
        <v>15.5973177740344</v>
      </c>
      <c r="N3112">
        <v>15.593597065478599</v>
      </c>
      <c r="O3112">
        <v>15.288083481022699</v>
      </c>
      <c r="P3112">
        <v>3.1657947765682199</v>
      </c>
      <c r="Q3112">
        <v>2.3754366763858701</v>
      </c>
      <c r="R3112">
        <v>3.9561528767505698</v>
      </c>
      <c r="S3112">
        <v>14.6760319823118</v>
      </c>
      <c r="T3112">
        <v>8.4549075410215799</v>
      </c>
      <c r="U3112">
        <v>7.5588256463114396</v>
      </c>
      <c r="V3112" s="2">
        <v>1.7866883159290101E-7</v>
      </c>
      <c r="W3112" s="2">
        <v>2.4775411314215501E-5</v>
      </c>
      <c r="X3112">
        <v>1</v>
      </c>
      <c r="Y3112">
        <v>1</v>
      </c>
    </row>
    <row r="3113" spans="1:25" x14ac:dyDescent="0.2">
      <c r="A3113" t="s">
        <v>11532</v>
      </c>
      <c r="B3113" t="s">
        <v>11533</v>
      </c>
      <c r="C3113" t="s">
        <v>11534</v>
      </c>
      <c r="D3113" t="s">
        <v>11535</v>
      </c>
      <c r="E3113" t="s">
        <v>11533</v>
      </c>
      <c r="F3113" t="s">
        <v>28</v>
      </c>
      <c r="G3113" t="s">
        <v>11533</v>
      </c>
      <c r="H3113" t="str">
        <f>"mrpl-13"</f>
        <v>mrpl-13</v>
      </c>
      <c r="I3113" t="s">
        <v>11535</v>
      </c>
      <c r="J3113">
        <v>13.8965315673292</v>
      </c>
      <c r="K3113">
        <v>14.4663417173692</v>
      </c>
      <c r="L3113">
        <v>14.125427003784701</v>
      </c>
      <c r="M3113">
        <v>13.829200490371999</v>
      </c>
      <c r="N3113">
        <v>14.1828326529691</v>
      </c>
      <c r="O3113">
        <v>13.125572807025801</v>
      </c>
      <c r="P3113">
        <v>-0.45023144603874199</v>
      </c>
      <c r="Q3113">
        <v>-1.2055395234350901</v>
      </c>
      <c r="R3113">
        <v>0.30507663135760499</v>
      </c>
      <c r="S3113">
        <v>14.1129143467227</v>
      </c>
      <c r="T3113">
        <v>-1.25823484642303</v>
      </c>
      <c r="U3113">
        <v>-6.0896878114239898</v>
      </c>
      <c r="V3113">
        <v>0.225418241782505</v>
      </c>
      <c r="W3113">
        <v>0.80254977402909</v>
      </c>
      <c r="X3113">
        <v>0</v>
      </c>
      <c r="Y3113">
        <v>0</v>
      </c>
    </row>
    <row r="3114" spans="1:25" x14ac:dyDescent="0.2">
      <c r="A3114" t="s">
        <v>11536</v>
      </c>
      <c r="B3114" t="s">
        <v>11537</v>
      </c>
      <c r="C3114" t="s">
        <v>11538</v>
      </c>
      <c r="D3114" t="s">
        <v>93</v>
      </c>
      <c r="E3114" t="s">
        <v>11537</v>
      </c>
      <c r="F3114" t="s">
        <v>28</v>
      </c>
      <c r="G3114" t="s">
        <v>11537</v>
      </c>
      <c r="H3114" t="str">
        <f>"rbm-34"</f>
        <v>rbm-34</v>
      </c>
      <c r="I3114" t="s">
        <v>93</v>
      </c>
      <c r="J3114">
        <v>15.6626161924097</v>
      </c>
      <c r="K3114">
        <v>15.4209690584048</v>
      </c>
      <c r="L3114">
        <v>14.804836135830399</v>
      </c>
      <c r="M3114">
        <v>15.107758672588201</v>
      </c>
      <c r="N3114">
        <v>14.5690722469413</v>
      </c>
      <c r="O3114">
        <v>15.3829679015985</v>
      </c>
      <c r="P3114">
        <v>-0.27620752183891301</v>
      </c>
      <c r="Q3114">
        <v>-1.12804128053025</v>
      </c>
      <c r="R3114">
        <v>0.57562623685242198</v>
      </c>
      <c r="S3114">
        <v>15.061507888712001</v>
      </c>
      <c r="T3114">
        <v>-0.68151146617229397</v>
      </c>
      <c r="U3114">
        <v>-6.6429389578161198</v>
      </c>
      <c r="V3114">
        <v>0.50427305239974896</v>
      </c>
      <c r="W3114">
        <v>0.94062983959761604</v>
      </c>
      <c r="X3114">
        <v>0</v>
      </c>
      <c r="Y3114">
        <v>0</v>
      </c>
    </row>
    <row r="3115" spans="1:25" x14ac:dyDescent="0.2">
      <c r="A3115" t="s">
        <v>11539</v>
      </c>
      <c r="B3115" t="s">
        <v>11540</v>
      </c>
      <c r="C3115" t="s">
        <v>11541</v>
      </c>
      <c r="D3115" t="s">
        <v>2791</v>
      </c>
      <c r="E3115" t="s">
        <v>11540</v>
      </c>
      <c r="F3115" t="s">
        <v>28</v>
      </c>
      <c r="G3115" t="s">
        <v>11540</v>
      </c>
      <c r="H3115" t="str">
        <f>"ddx-23"</f>
        <v>ddx-23</v>
      </c>
      <c r="I3115" t="s">
        <v>2791</v>
      </c>
      <c r="J3115">
        <v>15.493150704157999</v>
      </c>
      <c r="K3115">
        <v>15.819590324932101</v>
      </c>
      <c r="L3115">
        <v>15.767002100633301</v>
      </c>
      <c r="M3115">
        <v>15.6007429070567</v>
      </c>
      <c r="N3115">
        <v>15.6812792017849</v>
      </c>
      <c r="O3115">
        <v>15.517841351278401</v>
      </c>
      <c r="P3115">
        <v>-9.3293223201158099E-2</v>
      </c>
      <c r="Q3115">
        <v>-0.45814144785743899</v>
      </c>
      <c r="R3115">
        <v>0.27155500145512301</v>
      </c>
      <c r="S3115">
        <v>15.8264580008236</v>
      </c>
      <c r="T3115">
        <v>-0.53744047911760096</v>
      </c>
      <c r="U3115">
        <v>-6.7327874885071797</v>
      </c>
      <c r="V3115">
        <v>0.597583821094541</v>
      </c>
      <c r="W3115">
        <v>0.96669273623113094</v>
      </c>
      <c r="X3115">
        <v>0</v>
      </c>
      <c r="Y3115">
        <v>0</v>
      </c>
    </row>
    <row r="3116" spans="1:25" x14ac:dyDescent="0.2">
      <c r="A3116" t="s">
        <v>11542</v>
      </c>
      <c r="B3116" t="s">
        <v>11543</v>
      </c>
      <c r="C3116" t="s">
        <v>11544</v>
      </c>
      <c r="D3116" t="s">
        <v>11545</v>
      </c>
      <c r="E3116" t="s">
        <v>11543</v>
      </c>
      <c r="F3116" t="s">
        <v>28</v>
      </c>
      <c r="G3116" t="s">
        <v>11543</v>
      </c>
      <c r="H3116" t="str">
        <f>"brap-2"</f>
        <v>brap-2</v>
      </c>
      <c r="I3116" t="s">
        <v>11545</v>
      </c>
      <c r="J3116" t="s">
        <v>29</v>
      </c>
      <c r="K3116" t="s">
        <v>29</v>
      </c>
      <c r="L3116" t="s">
        <v>29</v>
      </c>
      <c r="M3116">
        <v>11.394964184197899</v>
      </c>
      <c r="N3116">
        <v>11.8609221309563</v>
      </c>
      <c r="O3116" t="s">
        <v>29</v>
      </c>
      <c r="P3116" t="s">
        <v>29</v>
      </c>
      <c r="Q3116" t="s">
        <v>29</v>
      </c>
      <c r="R3116" t="s">
        <v>29</v>
      </c>
      <c r="S3116">
        <v>11.5483636429245</v>
      </c>
      <c r="T3116" t="s">
        <v>29</v>
      </c>
      <c r="U3116" t="s">
        <v>29</v>
      </c>
      <c r="V3116" t="s">
        <v>29</v>
      </c>
      <c r="W3116" t="s">
        <v>29</v>
      </c>
      <c r="X3116" t="s">
        <v>29</v>
      </c>
      <c r="Y3116" t="s">
        <v>29</v>
      </c>
    </row>
    <row r="3117" spans="1:25" x14ac:dyDescent="0.2">
      <c r="A3117" t="s">
        <v>11546</v>
      </c>
      <c r="B3117" t="s">
        <v>11547</v>
      </c>
      <c r="C3117" t="s">
        <v>11548</v>
      </c>
      <c r="D3117" t="s">
        <v>11549</v>
      </c>
      <c r="E3117" t="s">
        <v>11547</v>
      </c>
      <c r="F3117" t="s">
        <v>28</v>
      </c>
      <c r="G3117" t="s">
        <v>11547</v>
      </c>
      <c r="H3117" t="str">
        <f>"dnj-8"</f>
        <v>dnj-8</v>
      </c>
      <c r="I3117" t="s">
        <v>11549</v>
      </c>
      <c r="J3117">
        <v>12.658507558841601</v>
      </c>
      <c r="K3117">
        <v>12.9003088366965</v>
      </c>
      <c r="L3117">
        <v>12.822835657737</v>
      </c>
      <c r="M3117">
        <v>13.0234301330728</v>
      </c>
      <c r="N3117">
        <v>12.959166159189101</v>
      </c>
      <c r="O3117">
        <v>12.5503018351127</v>
      </c>
      <c r="P3117">
        <v>5.0415358033152599E-2</v>
      </c>
      <c r="Q3117">
        <v>-0.38003349005291698</v>
      </c>
      <c r="R3117">
        <v>0.48086420611922198</v>
      </c>
      <c r="S3117">
        <v>12.9919744620549</v>
      </c>
      <c r="T3117">
        <v>0.246169259326881</v>
      </c>
      <c r="U3117">
        <v>-6.8508805932707597</v>
      </c>
      <c r="V3117">
        <v>0.80835269884509597</v>
      </c>
      <c r="W3117">
        <v>0.99278624068726296</v>
      </c>
      <c r="X3117">
        <v>0</v>
      </c>
      <c r="Y3117">
        <v>0</v>
      </c>
    </row>
    <row r="3118" spans="1:25" x14ac:dyDescent="0.2">
      <c r="A3118" t="s">
        <v>11550</v>
      </c>
      <c r="B3118" t="s">
        <v>11551</v>
      </c>
      <c r="C3118" t="s">
        <v>11552</v>
      </c>
      <c r="D3118" t="s">
        <v>11553</v>
      </c>
      <c r="E3118" t="s">
        <v>11551</v>
      </c>
      <c r="F3118" t="s">
        <v>28</v>
      </c>
      <c r="G3118" t="s">
        <v>11551</v>
      </c>
      <c r="H3118" t="str">
        <f>"atic-1"</f>
        <v>atic-1</v>
      </c>
      <c r="I3118" t="s">
        <v>11553</v>
      </c>
      <c r="J3118">
        <v>13.0488540052338</v>
      </c>
      <c r="K3118">
        <v>12.306593431397999</v>
      </c>
      <c r="L3118">
        <v>12.7960460317277</v>
      </c>
      <c r="M3118">
        <v>12.795817999132201</v>
      </c>
      <c r="N3118">
        <v>13.1048695989262</v>
      </c>
      <c r="O3118">
        <v>12.6240716439758</v>
      </c>
      <c r="P3118">
        <v>0.12442192455822899</v>
      </c>
      <c r="Q3118">
        <v>-0.42618164796788499</v>
      </c>
      <c r="R3118">
        <v>0.67502549708434301</v>
      </c>
      <c r="S3118">
        <v>12.856079161856099</v>
      </c>
      <c r="T3118">
        <v>0.47698849389253101</v>
      </c>
      <c r="U3118">
        <v>-6.7640434572119199</v>
      </c>
      <c r="V3118">
        <v>0.63948175989182598</v>
      </c>
      <c r="W3118">
        <v>0.97534156595783505</v>
      </c>
      <c r="X3118">
        <v>0</v>
      </c>
      <c r="Y3118">
        <v>0</v>
      </c>
    </row>
    <row r="3119" spans="1:25" x14ac:dyDescent="0.2">
      <c r="A3119" t="s">
        <v>11554</v>
      </c>
      <c r="B3119" t="s">
        <v>11555</v>
      </c>
      <c r="C3119" t="s">
        <v>11556</v>
      </c>
      <c r="D3119" t="s">
        <v>901</v>
      </c>
      <c r="E3119" t="s">
        <v>11555</v>
      </c>
      <c r="F3119" t="s">
        <v>28</v>
      </c>
      <c r="G3119" t="s">
        <v>11555</v>
      </c>
      <c r="H3119" t="str">
        <f>"nhr-46"</f>
        <v>nhr-46</v>
      </c>
      <c r="I3119" t="s">
        <v>901</v>
      </c>
      <c r="J3119" t="s">
        <v>29</v>
      </c>
      <c r="K3119" t="s">
        <v>29</v>
      </c>
      <c r="L3119" t="s">
        <v>29</v>
      </c>
      <c r="M3119">
        <v>11.8921038881203</v>
      </c>
      <c r="N3119">
        <v>11.6067174647689</v>
      </c>
      <c r="O3119" t="s">
        <v>29</v>
      </c>
      <c r="P3119" t="s">
        <v>29</v>
      </c>
      <c r="Q3119" t="s">
        <v>29</v>
      </c>
      <c r="R3119" t="s">
        <v>29</v>
      </c>
      <c r="S3119">
        <v>12.2765710043954</v>
      </c>
      <c r="T3119" t="s">
        <v>29</v>
      </c>
      <c r="U3119" t="s">
        <v>29</v>
      </c>
      <c r="V3119" t="s">
        <v>29</v>
      </c>
      <c r="W3119" t="s">
        <v>29</v>
      </c>
      <c r="X3119" t="s">
        <v>29</v>
      </c>
      <c r="Y3119" t="s">
        <v>29</v>
      </c>
    </row>
    <row r="3120" spans="1:25" x14ac:dyDescent="0.2">
      <c r="A3120" t="s">
        <v>11557</v>
      </c>
      <c r="B3120" t="s">
        <v>11558</v>
      </c>
      <c r="C3120" t="s">
        <v>11559</v>
      </c>
      <c r="D3120" t="s">
        <v>93</v>
      </c>
      <c r="E3120" t="s">
        <v>11558</v>
      </c>
      <c r="F3120" t="s">
        <v>28</v>
      </c>
      <c r="G3120" t="s">
        <v>11558</v>
      </c>
      <c r="H3120" t="str">
        <f>"hrpl-1"</f>
        <v>hrpl-1</v>
      </c>
      <c r="I3120" t="s">
        <v>93</v>
      </c>
      <c r="J3120">
        <v>15.565035352758599</v>
      </c>
      <c r="K3120">
        <v>16.040902100544798</v>
      </c>
      <c r="L3120">
        <v>15.8970411078396</v>
      </c>
      <c r="M3120">
        <v>15.7652961396604</v>
      </c>
      <c r="N3120">
        <v>15.8812753425832</v>
      </c>
      <c r="O3120">
        <v>15.8048636656232</v>
      </c>
      <c r="P3120">
        <v>-1.7181137758687001E-2</v>
      </c>
      <c r="Q3120">
        <v>-0.45794082799721603</v>
      </c>
      <c r="R3120">
        <v>0.423578552479842</v>
      </c>
      <c r="S3120">
        <v>16.308843073867301</v>
      </c>
      <c r="T3120">
        <v>-8.1929926264773398E-2</v>
      </c>
      <c r="U3120">
        <v>-6.8789829634319704</v>
      </c>
      <c r="V3120">
        <v>0.93561186962615195</v>
      </c>
      <c r="W3120">
        <v>0.99926809132575301</v>
      </c>
      <c r="X3120">
        <v>0</v>
      </c>
      <c r="Y3120">
        <v>0</v>
      </c>
    </row>
    <row r="3121" spans="1:25" x14ac:dyDescent="0.2">
      <c r="A3121" t="s">
        <v>11560</v>
      </c>
      <c r="B3121" t="s">
        <v>11561</v>
      </c>
      <c r="C3121" t="s">
        <v>11562</v>
      </c>
      <c r="D3121" t="s">
        <v>9491</v>
      </c>
      <c r="E3121" t="s">
        <v>11561</v>
      </c>
      <c r="F3121" t="s">
        <v>28</v>
      </c>
      <c r="G3121" t="s">
        <v>11561</v>
      </c>
      <c r="H3121" t="str">
        <f>"C39D10.8"</f>
        <v>C39D10.8</v>
      </c>
      <c r="I3121" t="s">
        <v>9491</v>
      </c>
      <c r="J3121">
        <v>11.3611765995254</v>
      </c>
      <c r="K3121">
        <v>10.9252943085566</v>
      </c>
      <c r="L3121">
        <v>11.3700435765974</v>
      </c>
      <c r="M3121">
        <v>15.080175115405</v>
      </c>
      <c r="N3121">
        <v>15.4100583448518</v>
      </c>
      <c r="O3121">
        <v>15.476860426164601</v>
      </c>
      <c r="P3121">
        <v>4.1035264672473204</v>
      </c>
      <c r="Q3121">
        <v>3.5563866368320398</v>
      </c>
      <c r="R3121">
        <v>4.6506662976625899</v>
      </c>
      <c r="S3121">
        <v>14.524357470213101</v>
      </c>
      <c r="T3121">
        <v>15.763455336445899</v>
      </c>
      <c r="U3121">
        <v>17.365726790500801</v>
      </c>
      <c r="V3121" s="2">
        <v>6.16090091750824E-12</v>
      </c>
      <c r="W3121" s="2">
        <v>1.0251739126733701E-8</v>
      </c>
      <c r="X3121">
        <v>1</v>
      </c>
      <c r="Y3121">
        <v>1</v>
      </c>
    </row>
    <row r="3122" spans="1:25" x14ac:dyDescent="0.2">
      <c r="A3122" t="s">
        <v>11563</v>
      </c>
      <c r="B3122" t="s">
        <v>11564</v>
      </c>
      <c r="C3122" t="s">
        <v>11565</v>
      </c>
      <c r="D3122" t="s">
        <v>11566</v>
      </c>
      <c r="E3122" t="s">
        <v>11564</v>
      </c>
      <c r="F3122" t="s">
        <v>28</v>
      </c>
      <c r="G3122" t="s">
        <v>11564</v>
      </c>
      <c r="H3122" t="str">
        <f>"C34E10.10"</f>
        <v>C34E10.10</v>
      </c>
      <c r="I3122" t="s">
        <v>11566</v>
      </c>
      <c r="J3122">
        <v>13.743401349905101</v>
      </c>
      <c r="K3122">
        <v>13.9271642430923</v>
      </c>
      <c r="L3122">
        <v>14.132072693573701</v>
      </c>
      <c r="M3122">
        <v>14.203875450039099</v>
      </c>
      <c r="N3122">
        <v>14.137294794271</v>
      </c>
      <c r="O3122">
        <v>14.005970565259</v>
      </c>
      <c r="P3122">
        <v>0.181500840999334</v>
      </c>
      <c r="Q3122">
        <v>-0.25821541276822702</v>
      </c>
      <c r="R3122">
        <v>0.62121709476689502</v>
      </c>
      <c r="S3122">
        <v>14.1019399190179</v>
      </c>
      <c r="T3122">
        <v>0.87127677115384194</v>
      </c>
      <c r="U3122">
        <v>-6.4933758121718901</v>
      </c>
      <c r="V3122">
        <v>0.395815391241643</v>
      </c>
      <c r="W3122">
        <v>0.90975406915825197</v>
      </c>
      <c r="X3122">
        <v>0</v>
      </c>
      <c r="Y3122">
        <v>0</v>
      </c>
    </row>
    <row r="3123" spans="1:25" x14ac:dyDescent="0.2">
      <c r="A3123" t="s">
        <v>11567</v>
      </c>
      <c r="B3123" t="s">
        <v>11568</v>
      </c>
      <c r="C3123" t="s">
        <v>11569</v>
      </c>
      <c r="D3123" t="s">
        <v>11570</v>
      </c>
      <c r="E3123" t="s">
        <v>11568</v>
      </c>
      <c r="F3123" t="s">
        <v>28</v>
      </c>
      <c r="G3123" t="s">
        <v>11568</v>
      </c>
      <c r="H3123" t="str">
        <f>"C27F2.10"</f>
        <v>C27F2.10</v>
      </c>
      <c r="I3123" t="s">
        <v>11570</v>
      </c>
      <c r="J3123">
        <v>12.6440704052836</v>
      </c>
      <c r="K3123">
        <v>12.6619175316699</v>
      </c>
      <c r="L3123">
        <v>12.5127254589807</v>
      </c>
      <c r="M3123">
        <v>12.018380993071</v>
      </c>
      <c r="N3123">
        <v>12.1950309523674</v>
      </c>
      <c r="O3123">
        <v>12.111921741279099</v>
      </c>
      <c r="P3123">
        <v>-0.497793236405567</v>
      </c>
      <c r="Q3123">
        <v>-1.0725241243332699</v>
      </c>
      <c r="R3123">
        <v>7.6937651522139397E-2</v>
      </c>
      <c r="S3123">
        <v>12.1673826971984</v>
      </c>
      <c r="T3123">
        <v>-1.83710501668897</v>
      </c>
      <c r="U3123">
        <v>-5.2744566298888103</v>
      </c>
      <c r="V3123">
        <v>8.4963870933775207E-2</v>
      </c>
      <c r="W3123">
        <v>0.61469513579913804</v>
      </c>
      <c r="X3123">
        <v>0</v>
      </c>
      <c r="Y3123">
        <v>0</v>
      </c>
    </row>
    <row r="3124" spans="1:25" x14ac:dyDescent="0.2">
      <c r="A3124" t="s">
        <v>11571</v>
      </c>
      <c r="B3124" t="s">
        <v>11572</v>
      </c>
      <c r="C3124" t="s">
        <v>11573</v>
      </c>
      <c r="D3124" t="s">
        <v>11574</v>
      </c>
      <c r="E3124" t="s">
        <v>11572</v>
      </c>
      <c r="F3124" t="s">
        <v>28</v>
      </c>
      <c r="G3124" t="s">
        <v>11572</v>
      </c>
      <c r="H3124" t="str">
        <f>"tiar-1"</f>
        <v>tiar-1</v>
      </c>
      <c r="I3124" t="s">
        <v>11574</v>
      </c>
      <c r="J3124">
        <v>13.6782571981123</v>
      </c>
      <c r="K3124">
        <v>13.681417307426599</v>
      </c>
      <c r="L3124">
        <v>13.8608533673727</v>
      </c>
      <c r="M3124">
        <v>14.2509844748252</v>
      </c>
      <c r="N3124">
        <v>14.2457690593933</v>
      </c>
      <c r="O3124">
        <v>14.248545256432299</v>
      </c>
      <c r="P3124">
        <v>0.508256972579746</v>
      </c>
      <c r="Q3124">
        <v>1.4290490072529E-2</v>
      </c>
      <c r="R3124">
        <v>1.00222345508696</v>
      </c>
      <c r="S3124">
        <v>14.4783167293002</v>
      </c>
      <c r="T3124">
        <v>2.1626108473386498</v>
      </c>
      <c r="U3124">
        <v>-4.7143526413865802</v>
      </c>
      <c r="V3124">
        <v>4.4361616853959701E-2</v>
      </c>
      <c r="W3124">
        <v>0.46051730575087702</v>
      </c>
      <c r="X3124">
        <v>0</v>
      </c>
      <c r="Y3124">
        <v>0</v>
      </c>
    </row>
    <row r="3125" spans="1:25" x14ac:dyDescent="0.2">
      <c r="A3125" t="s">
        <v>11575</v>
      </c>
      <c r="B3125" t="s">
        <v>11576</v>
      </c>
      <c r="C3125" t="s">
        <v>11577</v>
      </c>
      <c r="D3125" t="s">
        <v>11578</v>
      </c>
      <c r="E3125" t="s">
        <v>11576</v>
      </c>
      <c r="F3125" t="s">
        <v>28</v>
      </c>
      <c r="G3125" t="s">
        <v>11576</v>
      </c>
      <c r="H3125" t="str">
        <f>"eif-3.L"</f>
        <v>eif-3.L</v>
      </c>
      <c r="I3125" t="s">
        <v>11578</v>
      </c>
      <c r="J3125">
        <v>15.1941219739685</v>
      </c>
      <c r="K3125">
        <v>15.052027776212499</v>
      </c>
      <c r="L3125">
        <v>15.2882195078928</v>
      </c>
      <c r="M3125">
        <v>15.337954527583699</v>
      </c>
      <c r="N3125">
        <v>15.4071921786262</v>
      </c>
      <c r="O3125">
        <v>15.052309819382501</v>
      </c>
      <c r="P3125">
        <v>8.7695755839527906E-2</v>
      </c>
      <c r="Q3125">
        <v>-0.28668999978462301</v>
      </c>
      <c r="R3125">
        <v>0.46208151146367898</v>
      </c>
      <c r="S3125">
        <v>15.121896823606599</v>
      </c>
      <c r="T3125">
        <v>0.492324866817617</v>
      </c>
      <c r="U3125">
        <v>-6.7567032868414501</v>
      </c>
      <c r="V3125">
        <v>0.62847528514325302</v>
      </c>
      <c r="W3125">
        <v>0.97279262440453396</v>
      </c>
      <c r="X3125">
        <v>0</v>
      </c>
      <c r="Y3125">
        <v>0</v>
      </c>
    </row>
    <row r="3126" spans="1:25" x14ac:dyDescent="0.2">
      <c r="A3126" t="s">
        <v>11579</v>
      </c>
      <c r="B3126" t="s">
        <v>11580</v>
      </c>
      <c r="C3126" t="s">
        <v>11581</v>
      </c>
      <c r="D3126" t="s">
        <v>11582</v>
      </c>
      <c r="E3126" t="s">
        <v>11580</v>
      </c>
      <c r="F3126" t="s">
        <v>28</v>
      </c>
      <c r="G3126" t="s">
        <v>11580</v>
      </c>
      <c r="H3126" t="str">
        <f>"cdf-1"</f>
        <v>cdf-1</v>
      </c>
      <c r="I3126" t="s">
        <v>11582</v>
      </c>
      <c r="J3126">
        <v>12.754042667041199</v>
      </c>
      <c r="K3126">
        <v>12.723506418883201</v>
      </c>
      <c r="L3126">
        <v>13.0121626714916</v>
      </c>
      <c r="M3126">
        <v>11.922808648822899</v>
      </c>
      <c r="N3126">
        <v>12.8838026438924</v>
      </c>
      <c r="O3126">
        <v>12.562051229955401</v>
      </c>
      <c r="P3126">
        <v>-0.37368307824842401</v>
      </c>
      <c r="Q3126">
        <v>-1.3943766509686</v>
      </c>
      <c r="R3126">
        <v>0.64701049447174797</v>
      </c>
      <c r="S3126">
        <v>12.553098749685001</v>
      </c>
      <c r="T3126">
        <v>-0.77652882516759802</v>
      </c>
      <c r="U3126">
        <v>-6.5712551888912101</v>
      </c>
      <c r="V3126">
        <v>0.44883872514041401</v>
      </c>
      <c r="W3126">
        <v>0.92249172671965796</v>
      </c>
      <c r="X3126">
        <v>0</v>
      </c>
      <c r="Y3126">
        <v>0</v>
      </c>
    </row>
    <row r="3127" spans="1:25" x14ac:dyDescent="0.2">
      <c r="A3127" t="s">
        <v>11583</v>
      </c>
      <c r="B3127" t="s">
        <v>11584</v>
      </c>
      <c r="C3127" t="s">
        <v>11585</v>
      </c>
      <c r="D3127" t="s">
        <v>11586</v>
      </c>
      <c r="E3127" t="s">
        <v>11584</v>
      </c>
      <c r="F3127" t="s">
        <v>28</v>
      </c>
      <c r="G3127" t="s">
        <v>11584</v>
      </c>
      <c r="H3127" t="str">
        <f>"C07A12.7"</f>
        <v>C07A12.7</v>
      </c>
      <c r="I3127" t="s">
        <v>11586</v>
      </c>
      <c r="J3127" t="s">
        <v>29</v>
      </c>
      <c r="K3127" t="s">
        <v>29</v>
      </c>
      <c r="L3127" t="s">
        <v>29</v>
      </c>
      <c r="M3127">
        <v>12.5032216454701</v>
      </c>
      <c r="N3127">
        <v>12.721196601995601</v>
      </c>
      <c r="O3127">
        <v>12.5515752608257</v>
      </c>
      <c r="P3127" t="s">
        <v>29</v>
      </c>
      <c r="Q3127" t="s">
        <v>29</v>
      </c>
      <c r="R3127" t="s">
        <v>29</v>
      </c>
      <c r="S3127">
        <v>12.1283549782697</v>
      </c>
      <c r="T3127" t="s">
        <v>29</v>
      </c>
      <c r="U3127" t="s">
        <v>29</v>
      </c>
      <c r="V3127" t="s">
        <v>29</v>
      </c>
      <c r="W3127" t="s">
        <v>29</v>
      </c>
      <c r="X3127" t="s">
        <v>29</v>
      </c>
      <c r="Y3127" t="s">
        <v>29</v>
      </c>
    </row>
    <row r="3128" spans="1:25" x14ac:dyDescent="0.2">
      <c r="A3128" t="s">
        <v>11587</v>
      </c>
      <c r="B3128" t="s">
        <v>11588</v>
      </c>
      <c r="C3128" t="s">
        <v>11589</v>
      </c>
      <c r="D3128" t="s">
        <v>11590</v>
      </c>
      <c r="E3128" t="s">
        <v>11588</v>
      </c>
      <c r="F3128" t="s">
        <v>28</v>
      </c>
      <c r="G3128" t="s">
        <v>11588</v>
      </c>
      <c r="H3128" t="str">
        <f>"C02F5.12"</f>
        <v>C02F5.12</v>
      </c>
      <c r="I3128" t="s">
        <v>11590</v>
      </c>
      <c r="J3128" t="s">
        <v>29</v>
      </c>
      <c r="K3128" t="s">
        <v>29</v>
      </c>
      <c r="L3128" t="s">
        <v>29</v>
      </c>
      <c r="M3128" t="s">
        <v>29</v>
      </c>
      <c r="N3128">
        <v>10.581197223607299</v>
      </c>
      <c r="O3128">
        <v>10.4900244294176</v>
      </c>
      <c r="P3128" t="s">
        <v>29</v>
      </c>
      <c r="Q3128" t="s">
        <v>29</v>
      </c>
      <c r="R3128" t="s">
        <v>29</v>
      </c>
      <c r="S3128">
        <v>11.1588857190358</v>
      </c>
      <c r="T3128" t="s">
        <v>29</v>
      </c>
      <c r="U3128" t="s">
        <v>29</v>
      </c>
      <c r="V3128" t="s">
        <v>29</v>
      </c>
      <c r="W3128" t="s">
        <v>29</v>
      </c>
      <c r="X3128" t="s">
        <v>29</v>
      </c>
      <c r="Y3128" t="s">
        <v>29</v>
      </c>
    </row>
    <row r="3129" spans="1:25" x14ac:dyDescent="0.2">
      <c r="A3129" t="s">
        <v>11591</v>
      </c>
      <c r="B3129" t="s">
        <v>11592</v>
      </c>
      <c r="C3129" t="s">
        <v>14617</v>
      </c>
      <c r="D3129" t="s">
        <v>11593</v>
      </c>
      <c r="E3129" t="s">
        <v>11592</v>
      </c>
      <c r="F3129" t="s">
        <v>28</v>
      </c>
      <c r="G3129" t="s">
        <v>11592</v>
      </c>
      <c r="H3129" t="str">
        <f>"F28B3.10"</f>
        <v>F28B3.10</v>
      </c>
      <c r="I3129" t="s">
        <v>11593</v>
      </c>
      <c r="J3129">
        <v>15.263352926979</v>
      </c>
      <c r="K3129">
        <v>15.005565476125</v>
      </c>
      <c r="L3129">
        <v>14.6098132092818</v>
      </c>
      <c r="M3129">
        <v>15.2231458730363</v>
      </c>
      <c r="N3129">
        <v>14.8779361383822</v>
      </c>
      <c r="O3129">
        <v>14.695959602907701</v>
      </c>
      <c r="P3129">
        <v>-2.7229999353202999E-2</v>
      </c>
      <c r="Q3129">
        <v>-0.567356815591185</v>
      </c>
      <c r="R3129">
        <v>0.51289681688477895</v>
      </c>
      <c r="S3129">
        <v>14.634857508639101</v>
      </c>
      <c r="T3129">
        <v>-0.105960598943874</v>
      </c>
      <c r="U3129">
        <v>-6.8766250075897704</v>
      </c>
      <c r="V3129">
        <v>0.916792377141462</v>
      </c>
      <c r="W3129">
        <v>0.99833354317360001</v>
      </c>
      <c r="X3129">
        <v>0</v>
      </c>
      <c r="Y3129">
        <v>0</v>
      </c>
    </row>
    <row r="3130" spans="1:25" x14ac:dyDescent="0.2">
      <c r="A3130" t="s">
        <v>11594</v>
      </c>
      <c r="B3130" t="s">
        <v>11595</v>
      </c>
      <c r="C3130" t="s">
        <v>11596</v>
      </c>
      <c r="D3130" t="s">
        <v>312</v>
      </c>
      <c r="E3130" t="s">
        <v>11595</v>
      </c>
      <c r="F3130" t="s">
        <v>28</v>
      </c>
      <c r="G3130" t="s">
        <v>11595</v>
      </c>
      <c r="H3130" t="str">
        <f>"acl-11"</f>
        <v>acl-11</v>
      </c>
      <c r="I3130" t="s">
        <v>312</v>
      </c>
      <c r="J3130">
        <v>14.048306000345701</v>
      </c>
      <c r="K3130">
        <v>14.358197581022001</v>
      </c>
      <c r="L3130">
        <v>13.767006360111401</v>
      </c>
      <c r="M3130">
        <v>14.1520044302248</v>
      </c>
      <c r="N3130">
        <v>13.827468739191</v>
      </c>
      <c r="O3130">
        <v>13.892760112565901</v>
      </c>
      <c r="P3130">
        <v>-0.10042555316579201</v>
      </c>
      <c r="Q3130">
        <v>-0.55295576767006804</v>
      </c>
      <c r="R3130">
        <v>0.352104661338485</v>
      </c>
      <c r="S3130">
        <v>14.0766469816919</v>
      </c>
      <c r="T3130">
        <v>-0.468432117482383</v>
      </c>
      <c r="U3130">
        <v>-6.7682274600664698</v>
      </c>
      <c r="V3130">
        <v>0.64546241234674895</v>
      </c>
      <c r="W3130">
        <v>0.97828599824401596</v>
      </c>
      <c r="X3130">
        <v>0</v>
      </c>
      <c r="Y3130">
        <v>0</v>
      </c>
    </row>
    <row r="3131" spans="1:25" x14ac:dyDescent="0.2">
      <c r="A3131" t="s">
        <v>11597</v>
      </c>
      <c r="B3131" t="s">
        <v>11598</v>
      </c>
      <c r="C3131" t="s">
        <v>14618</v>
      </c>
      <c r="D3131" t="s">
        <v>11599</v>
      </c>
      <c r="E3131" t="s">
        <v>11598</v>
      </c>
      <c r="F3131" t="s">
        <v>28</v>
      </c>
      <c r="G3131" t="s">
        <v>11598</v>
      </c>
      <c r="H3131" t="str">
        <f>"Y38A10A.7"</f>
        <v>Y38A10A.7</v>
      </c>
      <c r="I3131" t="s">
        <v>11599</v>
      </c>
      <c r="J3131">
        <v>12.021344676400901</v>
      </c>
      <c r="K3131">
        <v>10.650381969712001</v>
      </c>
      <c r="L3131">
        <v>12.3412967558296</v>
      </c>
      <c r="M3131">
        <v>12.150984456207899</v>
      </c>
      <c r="N3131">
        <v>12.5729762902463</v>
      </c>
      <c r="O3131">
        <v>11.9849557476398</v>
      </c>
      <c r="P3131">
        <v>0.56529769738387303</v>
      </c>
      <c r="Q3131">
        <v>-0.30127105283239602</v>
      </c>
      <c r="R3131">
        <v>1.4318664476001399</v>
      </c>
      <c r="S3131">
        <v>11.9881529563804</v>
      </c>
      <c r="T3131">
        <v>1.3912840254335901</v>
      </c>
      <c r="U3131">
        <v>-5.9221255863127196</v>
      </c>
      <c r="V3131">
        <v>0.18457196417470201</v>
      </c>
      <c r="W3131">
        <v>0.78295732499061499</v>
      </c>
      <c r="X3131">
        <v>0</v>
      </c>
      <c r="Y3131">
        <v>0</v>
      </c>
    </row>
    <row r="3132" spans="1:25" x14ac:dyDescent="0.2">
      <c r="A3132" t="s">
        <v>11600</v>
      </c>
      <c r="B3132" t="s">
        <v>11601</v>
      </c>
      <c r="C3132" t="s">
        <v>14619</v>
      </c>
      <c r="D3132" t="s">
        <v>11602</v>
      </c>
      <c r="E3132" t="s">
        <v>11601</v>
      </c>
      <c r="F3132" t="s">
        <v>28</v>
      </c>
      <c r="G3132" t="s">
        <v>11601</v>
      </c>
      <c r="H3132" t="str">
        <f>"Y71H10B.1"</f>
        <v>Y71H10B.1</v>
      </c>
      <c r="I3132" t="s">
        <v>11602</v>
      </c>
      <c r="J3132">
        <v>17.349191872239299</v>
      </c>
      <c r="K3132">
        <v>17.175339526622199</v>
      </c>
      <c r="L3132">
        <v>17.113776499004199</v>
      </c>
      <c r="M3132">
        <v>17.191938634776001</v>
      </c>
      <c r="N3132">
        <v>17.092017700945998</v>
      </c>
      <c r="O3132">
        <v>17.033154233028601</v>
      </c>
      <c r="P3132">
        <v>-0.10706577637164801</v>
      </c>
      <c r="Q3132">
        <v>-0.43112328262123401</v>
      </c>
      <c r="R3132">
        <v>0.216991729877937</v>
      </c>
      <c r="S3132">
        <v>16.7997526928933</v>
      </c>
      <c r="T3132">
        <v>-0.69441820539060595</v>
      </c>
      <c r="U3132">
        <v>-6.6339016091416401</v>
      </c>
      <c r="V3132">
        <v>0.496337387989499</v>
      </c>
      <c r="W3132">
        <v>0.94062983959761604</v>
      </c>
      <c r="X3132">
        <v>0</v>
      </c>
      <c r="Y3132">
        <v>0</v>
      </c>
    </row>
    <row r="3133" spans="1:25" x14ac:dyDescent="0.2">
      <c r="A3133" t="s">
        <v>11603</v>
      </c>
      <c r="B3133" t="s">
        <v>11604</v>
      </c>
      <c r="C3133" t="s">
        <v>11605</v>
      </c>
      <c r="D3133" t="s">
        <v>11606</v>
      </c>
      <c r="E3133" t="s">
        <v>11604</v>
      </c>
      <c r="F3133" t="s">
        <v>28</v>
      </c>
      <c r="G3133" t="s">
        <v>11604</v>
      </c>
      <c r="H3133" t="str">
        <f>"mrpl-9"</f>
        <v>mrpl-9</v>
      </c>
      <c r="I3133" t="s">
        <v>11606</v>
      </c>
      <c r="J3133" t="s">
        <v>29</v>
      </c>
      <c r="K3133" t="s">
        <v>29</v>
      </c>
      <c r="L3133" t="s">
        <v>29</v>
      </c>
      <c r="M3133" t="s">
        <v>29</v>
      </c>
      <c r="N3133" t="s">
        <v>29</v>
      </c>
      <c r="O3133" t="s">
        <v>29</v>
      </c>
      <c r="P3133" t="s">
        <v>29</v>
      </c>
      <c r="Q3133" t="s">
        <v>29</v>
      </c>
      <c r="R3133" t="s">
        <v>29</v>
      </c>
      <c r="S3133">
        <v>13.0070781775763</v>
      </c>
      <c r="T3133" t="s">
        <v>29</v>
      </c>
      <c r="U3133" t="s">
        <v>29</v>
      </c>
      <c r="V3133" t="s">
        <v>29</v>
      </c>
      <c r="W3133" t="s">
        <v>29</v>
      </c>
      <c r="X3133" t="s">
        <v>29</v>
      </c>
      <c r="Y3133" t="s">
        <v>29</v>
      </c>
    </row>
    <row r="3134" spans="1:25" x14ac:dyDescent="0.2">
      <c r="A3134" t="s">
        <v>11607</v>
      </c>
      <c r="B3134" t="s">
        <v>11608</v>
      </c>
      <c r="C3134" t="s">
        <v>11609</v>
      </c>
      <c r="D3134" t="s">
        <v>11610</v>
      </c>
      <c r="E3134" t="s">
        <v>11608</v>
      </c>
      <c r="F3134" t="s">
        <v>28</v>
      </c>
      <c r="G3134" t="s">
        <v>11608</v>
      </c>
      <c r="H3134" t="str">
        <f>"gpaa-1"</f>
        <v>gpaa-1</v>
      </c>
      <c r="I3134" t="s">
        <v>11610</v>
      </c>
      <c r="J3134">
        <v>12.256937772111201</v>
      </c>
      <c r="K3134">
        <v>12.156846170125201</v>
      </c>
      <c r="L3134">
        <v>12.656663130681601</v>
      </c>
      <c r="M3134">
        <v>12.184864177961099</v>
      </c>
      <c r="N3134">
        <v>12.369251265645</v>
      </c>
      <c r="O3134">
        <v>12.0765063909719</v>
      </c>
      <c r="P3134">
        <v>-0.14660841278002601</v>
      </c>
      <c r="Q3134">
        <v>-0.61766262316289999</v>
      </c>
      <c r="R3134">
        <v>0.32444579760284897</v>
      </c>
      <c r="S3134">
        <v>12.3505146606695</v>
      </c>
      <c r="T3134">
        <v>-0.656958619636832</v>
      </c>
      <c r="U3134">
        <v>-6.6591461691677596</v>
      </c>
      <c r="V3134">
        <v>0.52005709467651595</v>
      </c>
      <c r="W3134">
        <v>0.94227592550871997</v>
      </c>
      <c r="X3134">
        <v>0</v>
      </c>
      <c r="Y3134">
        <v>0</v>
      </c>
    </row>
    <row r="3135" spans="1:25" x14ac:dyDescent="0.2">
      <c r="A3135" t="s">
        <v>11611</v>
      </c>
      <c r="B3135" t="s">
        <v>11612</v>
      </c>
      <c r="C3135" t="s">
        <v>11613</v>
      </c>
      <c r="D3135" t="s">
        <v>11614</v>
      </c>
      <c r="E3135" t="s">
        <v>11612</v>
      </c>
      <c r="F3135" t="s">
        <v>28</v>
      </c>
      <c r="G3135" t="s">
        <v>11612</v>
      </c>
      <c r="H3135" t="str">
        <f>"rpoa-49"</f>
        <v>rpoa-49</v>
      </c>
      <c r="I3135" t="s">
        <v>11614</v>
      </c>
      <c r="J3135">
        <v>11.626999606866301</v>
      </c>
      <c r="K3135" t="s">
        <v>29</v>
      </c>
      <c r="L3135">
        <v>11.110751549426601</v>
      </c>
      <c r="M3135">
        <v>10.5860991297991</v>
      </c>
      <c r="N3135">
        <v>11.0399104935777</v>
      </c>
      <c r="O3135">
        <v>12.7761265920842</v>
      </c>
      <c r="P3135">
        <v>9.8503160340600401E-2</v>
      </c>
      <c r="Q3135">
        <v>-1.0097278742126501</v>
      </c>
      <c r="R3135">
        <v>1.2067341948938499</v>
      </c>
      <c r="S3135">
        <v>11.3584876310174</v>
      </c>
      <c r="T3135">
        <v>0.190770733452784</v>
      </c>
      <c r="U3135">
        <v>-6.7529746583550603</v>
      </c>
      <c r="V3135">
        <v>0.851464454653314</v>
      </c>
      <c r="W3135">
        <v>0.99370971747667503</v>
      </c>
      <c r="X3135">
        <v>0</v>
      </c>
      <c r="Y3135">
        <v>0</v>
      </c>
    </row>
    <row r="3136" spans="1:25" x14ac:dyDescent="0.2">
      <c r="A3136" t="s">
        <v>11615</v>
      </c>
      <c r="B3136" t="s">
        <v>11616</v>
      </c>
      <c r="C3136" t="s">
        <v>14620</v>
      </c>
      <c r="D3136" t="s">
        <v>7755</v>
      </c>
      <c r="E3136" t="s">
        <v>11616</v>
      </c>
      <c r="F3136" t="s">
        <v>28</v>
      </c>
      <c r="G3136" t="s">
        <v>11616</v>
      </c>
      <c r="H3136" t="str">
        <f>"Y73B6BL.31"</f>
        <v>Y73B6BL.31</v>
      </c>
      <c r="I3136" t="s">
        <v>7755</v>
      </c>
      <c r="J3136">
        <v>12.862150402791301</v>
      </c>
      <c r="K3136">
        <v>13.114198775000901</v>
      </c>
      <c r="L3136">
        <v>13.2514875336767</v>
      </c>
      <c r="M3136">
        <v>13.0368460471782</v>
      </c>
      <c r="N3136">
        <v>12.43528584631</v>
      </c>
      <c r="O3136" t="s">
        <v>29</v>
      </c>
      <c r="P3136">
        <v>-0.33987962374555503</v>
      </c>
      <c r="Q3136">
        <v>-0.96039982123916101</v>
      </c>
      <c r="R3136">
        <v>0.28064057374805201</v>
      </c>
      <c r="S3136">
        <v>13.0286313055785</v>
      </c>
      <c r="T3136">
        <v>-1.1681828136805401</v>
      </c>
      <c r="U3136">
        <v>-6.0848718396044799</v>
      </c>
      <c r="V3136">
        <v>0.26109156093545599</v>
      </c>
      <c r="W3136">
        <v>0.84224930965148304</v>
      </c>
      <c r="X3136">
        <v>0</v>
      </c>
      <c r="Y3136">
        <v>0</v>
      </c>
    </row>
    <row r="3137" spans="1:25" x14ac:dyDescent="0.2">
      <c r="A3137" t="s">
        <v>11617</v>
      </c>
      <c r="B3137" t="s">
        <v>11618</v>
      </c>
      <c r="C3137" t="s">
        <v>11619</v>
      </c>
      <c r="D3137" t="s">
        <v>11620</v>
      </c>
      <c r="E3137" t="s">
        <v>11618</v>
      </c>
      <c r="F3137" t="s">
        <v>28</v>
      </c>
      <c r="G3137" t="s">
        <v>11618</v>
      </c>
      <c r="H3137" t="str">
        <f>"exos-2"</f>
        <v>exos-2</v>
      </c>
      <c r="I3137" t="s">
        <v>11620</v>
      </c>
      <c r="J3137">
        <v>12.6876119887845</v>
      </c>
      <c r="K3137">
        <v>12.2512921998983</v>
      </c>
      <c r="L3137">
        <v>13.1246754115732</v>
      </c>
      <c r="M3137">
        <v>13.0245572906385</v>
      </c>
      <c r="N3137">
        <v>13.395675433405099</v>
      </c>
      <c r="O3137">
        <v>13.385799272129701</v>
      </c>
      <c r="P3137">
        <v>0.58081746530576295</v>
      </c>
      <c r="Q3137">
        <v>-8.3323480573150199E-2</v>
      </c>
      <c r="R3137">
        <v>1.2449584111846801</v>
      </c>
      <c r="S3137">
        <v>12.7915406248562</v>
      </c>
      <c r="T3137">
        <v>1.8549360457997</v>
      </c>
      <c r="U3137">
        <v>-5.2460060808656701</v>
      </c>
      <c r="V3137">
        <v>8.2249468085786703E-2</v>
      </c>
      <c r="W3137">
        <v>0.60425905304272798</v>
      </c>
      <c r="X3137">
        <v>0</v>
      </c>
      <c r="Y3137">
        <v>0</v>
      </c>
    </row>
    <row r="3138" spans="1:25" x14ac:dyDescent="0.2">
      <c r="A3138" t="s">
        <v>11621</v>
      </c>
      <c r="B3138" t="s">
        <v>11622</v>
      </c>
      <c r="C3138" t="s">
        <v>14621</v>
      </c>
      <c r="D3138" t="s">
        <v>3939</v>
      </c>
      <c r="E3138" t="s">
        <v>11622</v>
      </c>
      <c r="F3138" t="s">
        <v>28</v>
      </c>
      <c r="G3138" t="s">
        <v>11622</v>
      </c>
      <c r="H3138" t="str">
        <f>"Y69A2AR.1"</f>
        <v>Y69A2AR.1</v>
      </c>
      <c r="I3138" t="s">
        <v>3939</v>
      </c>
      <c r="J3138">
        <v>11.7153440295791</v>
      </c>
      <c r="K3138">
        <v>12.289487077074799</v>
      </c>
      <c r="L3138" t="s">
        <v>29</v>
      </c>
      <c r="M3138">
        <v>11.9645972987362</v>
      </c>
      <c r="N3138">
        <v>11.237476925597299</v>
      </c>
      <c r="O3138" t="s">
        <v>29</v>
      </c>
      <c r="P3138">
        <v>-0.401378441160194</v>
      </c>
      <c r="Q3138">
        <v>-1.21107894572749</v>
      </c>
      <c r="R3138">
        <v>0.40832206340710198</v>
      </c>
      <c r="S3138">
        <v>11.5400258765759</v>
      </c>
      <c r="T3138">
        <v>-1.0923387125770101</v>
      </c>
      <c r="U3138">
        <v>-6.0742393865797801</v>
      </c>
      <c r="V3138">
        <v>0.29824969546725599</v>
      </c>
      <c r="W3138">
        <v>0.85855590823088301</v>
      </c>
      <c r="X3138">
        <v>0</v>
      </c>
      <c r="Y3138">
        <v>0</v>
      </c>
    </row>
    <row r="3139" spans="1:25" x14ac:dyDescent="0.2">
      <c r="A3139" t="s">
        <v>11623</v>
      </c>
      <c r="B3139" t="s">
        <v>11624</v>
      </c>
      <c r="C3139" t="s">
        <v>14622</v>
      </c>
      <c r="D3139" t="s">
        <v>11625</v>
      </c>
      <c r="E3139" t="s">
        <v>11624</v>
      </c>
      <c r="F3139" t="s">
        <v>28</v>
      </c>
      <c r="G3139" t="s">
        <v>11624</v>
      </c>
      <c r="H3139" t="str">
        <f>"Y69A2AR.16"</f>
        <v>Y69A2AR.16</v>
      </c>
      <c r="I3139" t="s">
        <v>11625</v>
      </c>
      <c r="J3139">
        <v>13.3819054904443</v>
      </c>
      <c r="K3139">
        <v>12.988009105552299</v>
      </c>
      <c r="L3139">
        <v>12.844341048125001</v>
      </c>
      <c r="M3139">
        <v>13.591641241890899</v>
      </c>
      <c r="N3139">
        <v>13.339005071144699</v>
      </c>
      <c r="O3139">
        <v>12.853787363998199</v>
      </c>
      <c r="P3139">
        <v>0.19005934430409599</v>
      </c>
      <c r="Q3139">
        <v>-0.52718751501555505</v>
      </c>
      <c r="R3139">
        <v>0.90730620362374703</v>
      </c>
      <c r="S3139">
        <v>13.260780808459501</v>
      </c>
      <c r="T3139">
        <v>0.55933318236343399</v>
      </c>
      <c r="U3139">
        <v>-6.72002728802528</v>
      </c>
      <c r="V3139">
        <v>0.58327382458519905</v>
      </c>
      <c r="W3139">
        <v>0.96315662445407302</v>
      </c>
      <c r="X3139">
        <v>0</v>
      </c>
      <c r="Y3139">
        <v>0</v>
      </c>
    </row>
    <row r="3140" spans="1:25" x14ac:dyDescent="0.2">
      <c r="A3140" t="s">
        <v>11626</v>
      </c>
      <c r="B3140" t="s">
        <v>11627</v>
      </c>
      <c r="C3140" t="s">
        <v>14623</v>
      </c>
      <c r="D3140" t="s">
        <v>11628</v>
      </c>
      <c r="E3140" t="s">
        <v>11627</v>
      </c>
      <c r="F3140" t="s">
        <v>28</v>
      </c>
      <c r="G3140" t="s">
        <v>11627</v>
      </c>
      <c r="H3140" t="str">
        <f>"Y69A2AR.18"</f>
        <v>Y69A2AR.18</v>
      </c>
      <c r="I3140" t="s">
        <v>11628</v>
      </c>
      <c r="J3140">
        <v>18.016728198075899</v>
      </c>
      <c r="K3140">
        <v>17.684651946310101</v>
      </c>
      <c r="L3140">
        <v>17.6216696460469</v>
      </c>
      <c r="M3140">
        <v>17.6348554642707</v>
      </c>
      <c r="N3140">
        <v>17.191360014477201</v>
      </c>
      <c r="O3140">
        <v>17.479967554853101</v>
      </c>
      <c r="P3140">
        <v>-0.33895558561059902</v>
      </c>
      <c r="Q3140">
        <v>-0.75000370641410496</v>
      </c>
      <c r="R3140">
        <v>7.2092535192908105E-2</v>
      </c>
      <c r="S3140">
        <v>17.460849221613898</v>
      </c>
      <c r="T3140">
        <v>-1.73317589831924</v>
      </c>
      <c r="U3140">
        <v>-5.43280720907687</v>
      </c>
      <c r="V3140">
        <v>0.10026102868495</v>
      </c>
      <c r="W3140">
        <v>0.65399513636263495</v>
      </c>
      <c r="X3140">
        <v>0</v>
      </c>
      <c r="Y3140">
        <v>0</v>
      </c>
    </row>
    <row r="3141" spans="1:25" x14ac:dyDescent="0.2">
      <c r="A3141" t="s">
        <v>11629</v>
      </c>
      <c r="B3141" t="s">
        <v>11630</v>
      </c>
      <c r="C3141" t="s">
        <v>11631</v>
      </c>
      <c r="D3141" t="s">
        <v>11632</v>
      </c>
      <c r="E3141" t="s">
        <v>11630</v>
      </c>
      <c r="F3141" t="s">
        <v>28</v>
      </c>
      <c r="G3141" t="s">
        <v>11630</v>
      </c>
      <c r="H3141" t="str">
        <f>"ppm-1.d"</f>
        <v>ppm-1.d</v>
      </c>
      <c r="I3141" t="s">
        <v>11632</v>
      </c>
      <c r="J3141">
        <v>11.8305495211878</v>
      </c>
      <c r="K3141">
        <v>11.7979498575846</v>
      </c>
      <c r="L3141">
        <v>12.131110792932001</v>
      </c>
      <c r="M3141">
        <v>11.941909600875</v>
      </c>
      <c r="N3141">
        <v>12.579548113178401</v>
      </c>
      <c r="O3141" t="s">
        <v>29</v>
      </c>
      <c r="P3141">
        <v>0.34085879979189698</v>
      </c>
      <c r="Q3141">
        <v>-0.25149859940111002</v>
      </c>
      <c r="R3141">
        <v>0.93321619898490504</v>
      </c>
      <c r="S3141">
        <v>12.751621202867801</v>
      </c>
      <c r="T3141">
        <v>1.2350444420829001</v>
      </c>
      <c r="U3141">
        <v>-6.0069887232274501</v>
      </c>
      <c r="V3141">
        <v>0.237290841194051</v>
      </c>
      <c r="W3141">
        <v>0.82181747752460499</v>
      </c>
      <c r="X3141">
        <v>0</v>
      </c>
      <c r="Y3141">
        <v>0</v>
      </c>
    </row>
    <row r="3142" spans="1:25" x14ac:dyDescent="0.2">
      <c r="A3142" t="s">
        <v>11633</v>
      </c>
      <c r="B3142" t="s">
        <v>11634</v>
      </c>
      <c r="C3142" t="s">
        <v>14624</v>
      </c>
      <c r="D3142" t="s">
        <v>11635</v>
      </c>
      <c r="E3142" t="s">
        <v>11634</v>
      </c>
      <c r="F3142" t="s">
        <v>28</v>
      </c>
      <c r="G3142" t="s">
        <v>11634</v>
      </c>
      <c r="H3142" t="str">
        <f>"Y54F10BM.13"</f>
        <v>Y54F10BM.13</v>
      </c>
      <c r="I3142" t="s">
        <v>11635</v>
      </c>
      <c r="J3142" t="s">
        <v>29</v>
      </c>
      <c r="K3142" t="s">
        <v>29</v>
      </c>
      <c r="L3142" t="s">
        <v>29</v>
      </c>
      <c r="M3142" t="s">
        <v>29</v>
      </c>
      <c r="N3142" t="s">
        <v>29</v>
      </c>
      <c r="O3142" t="s">
        <v>29</v>
      </c>
      <c r="P3142" t="s">
        <v>29</v>
      </c>
      <c r="Q3142" t="s">
        <v>29</v>
      </c>
      <c r="R3142" t="s">
        <v>29</v>
      </c>
      <c r="S3142">
        <v>10.8844818170188</v>
      </c>
      <c r="T3142" t="s">
        <v>29</v>
      </c>
      <c r="U3142" t="s">
        <v>29</v>
      </c>
      <c r="V3142" t="s">
        <v>29</v>
      </c>
      <c r="W3142" t="s">
        <v>29</v>
      </c>
      <c r="X3142" t="s">
        <v>29</v>
      </c>
      <c r="Y3142" t="s">
        <v>29</v>
      </c>
    </row>
    <row r="3143" spans="1:25" x14ac:dyDescent="0.2">
      <c r="A3143" t="s">
        <v>11636</v>
      </c>
      <c r="B3143" t="s">
        <v>11637</v>
      </c>
      <c r="C3143" t="s">
        <v>11638</v>
      </c>
      <c r="D3143" t="s">
        <v>534</v>
      </c>
      <c r="E3143" t="s">
        <v>11637</v>
      </c>
      <c r="F3143" t="s">
        <v>28</v>
      </c>
      <c r="G3143" t="s">
        <v>11637</v>
      </c>
      <c r="H3143" t="str">
        <f>"chaf-2"</f>
        <v>chaf-2</v>
      </c>
      <c r="I3143" t="s">
        <v>534</v>
      </c>
      <c r="J3143" t="s">
        <v>29</v>
      </c>
      <c r="K3143" t="s">
        <v>29</v>
      </c>
      <c r="L3143">
        <v>10.1816479755333</v>
      </c>
      <c r="M3143" t="s">
        <v>29</v>
      </c>
      <c r="N3143" t="s">
        <v>29</v>
      </c>
      <c r="O3143" t="s">
        <v>29</v>
      </c>
      <c r="P3143" t="s">
        <v>29</v>
      </c>
      <c r="Q3143" t="s">
        <v>29</v>
      </c>
      <c r="R3143" t="s">
        <v>29</v>
      </c>
      <c r="S3143">
        <v>11.573151692926301</v>
      </c>
      <c r="T3143" t="s">
        <v>29</v>
      </c>
      <c r="U3143" t="s">
        <v>29</v>
      </c>
      <c r="V3143" t="s">
        <v>29</v>
      </c>
      <c r="W3143" t="s">
        <v>29</v>
      </c>
      <c r="X3143" t="s">
        <v>29</v>
      </c>
      <c r="Y3143" t="s">
        <v>29</v>
      </c>
    </row>
    <row r="3144" spans="1:25" x14ac:dyDescent="0.2">
      <c r="A3144" t="s">
        <v>11639</v>
      </c>
      <c r="B3144" t="s">
        <v>11640</v>
      </c>
      <c r="C3144" t="s">
        <v>11641</v>
      </c>
      <c r="D3144" t="s">
        <v>7359</v>
      </c>
      <c r="E3144" t="s">
        <v>11640</v>
      </c>
      <c r="F3144" t="s">
        <v>28</v>
      </c>
      <c r="G3144" t="s">
        <v>11640</v>
      </c>
      <c r="H3144" t="str">
        <f>"rml-5"</f>
        <v>rml-5</v>
      </c>
      <c r="I3144" t="s">
        <v>7359</v>
      </c>
      <c r="J3144">
        <v>12.6357064377515</v>
      </c>
      <c r="K3144">
        <v>12.7558111840529</v>
      </c>
      <c r="L3144">
        <v>12.8357485730583</v>
      </c>
      <c r="M3144">
        <v>12.7090194120194</v>
      </c>
      <c r="N3144">
        <v>13.539242599774701</v>
      </c>
      <c r="O3144">
        <v>13.8818137323918</v>
      </c>
      <c r="P3144">
        <v>0.63426984977440903</v>
      </c>
      <c r="Q3144">
        <v>-0.20815615522164599</v>
      </c>
      <c r="R3144">
        <v>1.4766958547704601</v>
      </c>
      <c r="S3144">
        <v>13.042746818931899</v>
      </c>
      <c r="T3144">
        <v>1.5892503509659901</v>
      </c>
      <c r="U3144">
        <v>-5.6496788867211798</v>
      </c>
      <c r="V3144">
        <v>0.13054070961467901</v>
      </c>
      <c r="W3144">
        <v>0.72021766768664797</v>
      </c>
      <c r="X3144">
        <v>0</v>
      </c>
      <c r="Y3144">
        <v>0</v>
      </c>
    </row>
    <row r="3145" spans="1:25" x14ac:dyDescent="0.2">
      <c r="A3145" t="s">
        <v>11642</v>
      </c>
      <c r="B3145" t="s">
        <v>11643</v>
      </c>
      <c r="C3145" t="s">
        <v>14625</v>
      </c>
      <c r="D3145" t="s">
        <v>107</v>
      </c>
      <c r="E3145" t="s">
        <v>11643</v>
      </c>
      <c r="F3145" t="s">
        <v>28</v>
      </c>
      <c r="G3145" t="s">
        <v>11643</v>
      </c>
      <c r="H3145" t="str">
        <f>"Y71G12B.25"</f>
        <v>Y71G12B.25</v>
      </c>
      <c r="I3145" t="s">
        <v>107</v>
      </c>
      <c r="J3145">
        <v>14.930999999381401</v>
      </c>
      <c r="K3145">
        <v>14.6490034915688</v>
      </c>
      <c r="L3145">
        <v>15.5808908908866</v>
      </c>
      <c r="M3145">
        <v>15.2646371133545</v>
      </c>
      <c r="N3145">
        <v>15.610563400057799</v>
      </c>
      <c r="O3145">
        <v>14.895446535606901</v>
      </c>
      <c r="P3145">
        <v>0.20325088906080799</v>
      </c>
      <c r="Q3145">
        <v>-0.54939914311067495</v>
      </c>
      <c r="R3145">
        <v>0.95590092123228998</v>
      </c>
      <c r="S3145">
        <v>15.380132501753501</v>
      </c>
      <c r="T3145">
        <v>0.57001906650321199</v>
      </c>
      <c r="U3145">
        <v>-6.7138203456841099</v>
      </c>
      <c r="V3145">
        <v>0.57616705177196503</v>
      </c>
      <c r="W3145">
        <v>0.96066330075004902</v>
      </c>
      <c r="X3145">
        <v>0</v>
      </c>
      <c r="Y3145">
        <v>0</v>
      </c>
    </row>
    <row r="3146" spans="1:25" x14ac:dyDescent="0.2">
      <c r="A3146" t="s">
        <v>11644</v>
      </c>
      <c r="B3146" t="s">
        <v>11645</v>
      </c>
      <c r="C3146" t="s">
        <v>11646</v>
      </c>
      <c r="D3146" t="s">
        <v>2791</v>
      </c>
      <c r="E3146" t="s">
        <v>11645</v>
      </c>
      <c r="F3146" t="s">
        <v>28</v>
      </c>
      <c r="G3146" t="s">
        <v>11645</v>
      </c>
      <c r="H3146" t="str">
        <f>"ddx-27"</f>
        <v>ddx-27</v>
      </c>
      <c r="I3146" t="s">
        <v>2791</v>
      </c>
      <c r="J3146">
        <v>15.422141962016299</v>
      </c>
      <c r="K3146">
        <v>15.3839941587628</v>
      </c>
      <c r="L3146">
        <v>15.5501616331292</v>
      </c>
      <c r="M3146">
        <v>15.4533284293568</v>
      </c>
      <c r="N3146">
        <v>15.613941338940201</v>
      </c>
      <c r="O3146">
        <v>15.4582243483156</v>
      </c>
      <c r="P3146">
        <v>5.6398787568097603E-2</v>
      </c>
      <c r="Q3146">
        <v>-0.52717609218214301</v>
      </c>
      <c r="R3146">
        <v>0.63997366731833805</v>
      </c>
      <c r="S3146">
        <v>15.6423558191629</v>
      </c>
      <c r="T3146">
        <v>0.20312608203541499</v>
      </c>
      <c r="U3146">
        <v>-6.8609562653120202</v>
      </c>
      <c r="V3146">
        <v>0.84132826717126197</v>
      </c>
      <c r="W3146">
        <v>0.99370971747667503</v>
      </c>
      <c r="X3146">
        <v>0</v>
      </c>
      <c r="Y3146">
        <v>0</v>
      </c>
    </row>
    <row r="3147" spans="1:25" x14ac:dyDescent="0.2">
      <c r="A3147" t="s">
        <v>11647</v>
      </c>
      <c r="B3147" t="s">
        <v>11648</v>
      </c>
      <c r="C3147" t="s">
        <v>11649</v>
      </c>
      <c r="D3147" t="s">
        <v>11650</v>
      </c>
      <c r="E3147" t="s">
        <v>11648</v>
      </c>
      <c r="F3147" t="s">
        <v>28</v>
      </c>
      <c r="G3147" t="s">
        <v>11648</v>
      </c>
      <c r="H3147" t="str">
        <f>"lin-65"</f>
        <v>lin-65</v>
      </c>
      <c r="I3147" t="s">
        <v>11650</v>
      </c>
      <c r="J3147">
        <v>10.8266850978302</v>
      </c>
      <c r="K3147">
        <v>10.431421735351</v>
      </c>
      <c r="L3147">
        <v>10.637155435467699</v>
      </c>
      <c r="M3147">
        <v>10.9430766252214</v>
      </c>
      <c r="N3147" t="s">
        <v>29</v>
      </c>
      <c r="O3147" t="s">
        <v>29</v>
      </c>
      <c r="P3147">
        <v>0.31132253567170098</v>
      </c>
      <c r="Q3147">
        <v>-0.66045447226464105</v>
      </c>
      <c r="R3147">
        <v>1.2830995436080399</v>
      </c>
      <c r="S3147">
        <v>11.8131427809938</v>
      </c>
      <c r="T3147">
        <v>0.69869711826028902</v>
      </c>
      <c r="U3147">
        <v>-6.2871185432456098</v>
      </c>
      <c r="V3147">
        <v>0.49817488758159401</v>
      </c>
      <c r="W3147">
        <v>0.94062983959761604</v>
      </c>
      <c r="X3147">
        <v>0</v>
      </c>
      <c r="Y3147">
        <v>0</v>
      </c>
    </row>
    <row r="3148" spans="1:25" x14ac:dyDescent="0.2">
      <c r="A3148" t="s">
        <v>11651</v>
      </c>
      <c r="B3148" t="s">
        <v>11652</v>
      </c>
      <c r="C3148" t="s">
        <v>14626</v>
      </c>
      <c r="D3148" t="s">
        <v>11653</v>
      </c>
      <c r="E3148" t="s">
        <v>11652</v>
      </c>
      <c r="F3148" t="s">
        <v>28</v>
      </c>
      <c r="G3148" t="s">
        <v>11652</v>
      </c>
      <c r="H3148" t="str">
        <f>"Y71G12B.10"</f>
        <v>Y71G12B.10</v>
      </c>
      <c r="I3148" t="s">
        <v>11653</v>
      </c>
      <c r="J3148" t="s">
        <v>29</v>
      </c>
      <c r="K3148" t="s">
        <v>29</v>
      </c>
      <c r="L3148" t="s">
        <v>29</v>
      </c>
      <c r="M3148" t="s">
        <v>29</v>
      </c>
      <c r="N3148" t="s">
        <v>29</v>
      </c>
      <c r="O3148">
        <v>10.6774203810527</v>
      </c>
      <c r="P3148" t="s">
        <v>29</v>
      </c>
      <c r="Q3148" t="s">
        <v>29</v>
      </c>
      <c r="R3148" t="s">
        <v>29</v>
      </c>
      <c r="S3148">
        <v>11.0744059313063</v>
      </c>
      <c r="T3148" t="s">
        <v>29</v>
      </c>
      <c r="U3148" t="s">
        <v>29</v>
      </c>
      <c r="V3148" t="s">
        <v>29</v>
      </c>
      <c r="W3148" t="s">
        <v>29</v>
      </c>
      <c r="X3148" t="s">
        <v>29</v>
      </c>
      <c r="Y3148" t="s">
        <v>29</v>
      </c>
    </row>
    <row r="3149" spans="1:25" x14ac:dyDescent="0.2">
      <c r="A3149" t="s">
        <v>11654</v>
      </c>
      <c r="B3149" t="s">
        <v>11655</v>
      </c>
      <c r="C3149" t="s">
        <v>11656</v>
      </c>
      <c r="D3149" t="s">
        <v>11657</v>
      </c>
      <c r="E3149" t="s">
        <v>11655</v>
      </c>
      <c r="F3149" t="s">
        <v>28</v>
      </c>
      <c r="G3149" t="s">
        <v>11655</v>
      </c>
      <c r="H3149" t="str">
        <f>"mppa-1"</f>
        <v>mppa-1</v>
      </c>
      <c r="I3149" t="s">
        <v>11657</v>
      </c>
      <c r="J3149">
        <v>9.8168843946107103</v>
      </c>
      <c r="K3149" t="s">
        <v>29</v>
      </c>
      <c r="L3149">
        <v>10.358557898939701</v>
      </c>
      <c r="M3149" t="s">
        <v>29</v>
      </c>
      <c r="N3149">
        <v>10.6958489600633</v>
      </c>
      <c r="O3149" t="s">
        <v>29</v>
      </c>
      <c r="P3149">
        <v>0.60812781328805698</v>
      </c>
      <c r="Q3149">
        <v>-0.116487087636732</v>
      </c>
      <c r="R3149">
        <v>1.3327427142128501</v>
      </c>
      <c r="S3149">
        <v>10.263535775975001</v>
      </c>
      <c r="T3149">
        <v>1.8726408658103</v>
      </c>
      <c r="U3149">
        <v>-4.8749142293727203</v>
      </c>
      <c r="V3149">
        <v>9.0927757745556601E-2</v>
      </c>
      <c r="W3149">
        <v>0.63154672732174599</v>
      </c>
      <c r="X3149">
        <v>0</v>
      </c>
      <c r="Y3149">
        <v>0</v>
      </c>
    </row>
    <row r="3150" spans="1:25" x14ac:dyDescent="0.2">
      <c r="A3150" t="s">
        <v>11658</v>
      </c>
      <c r="B3150" t="s">
        <v>11659</v>
      </c>
      <c r="C3150" t="s">
        <v>11660</v>
      </c>
      <c r="D3150" t="s">
        <v>11661</v>
      </c>
      <c r="E3150" t="s">
        <v>11659</v>
      </c>
      <c r="F3150" t="s">
        <v>28</v>
      </c>
      <c r="G3150" t="s">
        <v>11659</v>
      </c>
      <c r="H3150" t="str">
        <f>"ubc-3"</f>
        <v>ubc-3</v>
      </c>
      <c r="I3150" t="s">
        <v>11661</v>
      </c>
      <c r="J3150" t="s">
        <v>29</v>
      </c>
      <c r="K3150" t="s">
        <v>29</v>
      </c>
      <c r="L3150" t="s">
        <v>29</v>
      </c>
      <c r="M3150">
        <v>13.0087766195621</v>
      </c>
      <c r="N3150">
        <v>13.223238225832</v>
      </c>
      <c r="O3150">
        <v>12.883809252585401</v>
      </c>
      <c r="P3150" t="s">
        <v>29</v>
      </c>
      <c r="Q3150" t="s">
        <v>29</v>
      </c>
      <c r="R3150" t="s">
        <v>29</v>
      </c>
      <c r="S3150">
        <v>13.352387437935301</v>
      </c>
      <c r="T3150" t="s">
        <v>29</v>
      </c>
      <c r="U3150" t="s">
        <v>29</v>
      </c>
      <c r="V3150" t="s">
        <v>29</v>
      </c>
      <c r="W3150" t="s">
        <v>29</v>
      </c>
      <c r="X3150" t="s">
        <v>29</v>
      </c>
      <c r="Y3150" t="s">
        <v>29</v>
      </c>
    </row>
    <row r="3151" spans="1:25" x14ac:dyDescent="0.2">
      <c r="A3151" t="s">
        <v>11662</v>
      </c>
      <c r="B3151" t="s">
        <v>11663</v>
      </c>
      <c r="C3151" t="s">
        <v>11664</v>
      </c>
      <c r="D3151" t="s">
        <v>1502</v>
      </c>
      <c r="E3151" t="s">
        <v>11663</v>
      </c>
      <c r="F3151" t="s">
        <v>28</v>
      </c>
      <c r="G3151" t="s">
        <v>11663</v>
      </c>
      <c r="H3151" t="str">
        <f>"mca-3"</f>
        <v>mca-3</v>
      </c>
      <c r="I3151" t="s">
        <v>1502</v>
      </c>
      <c r="J3151">
        <v>15.977868157846601</v>
      </c>
      <c r="K3151">
        <v>15.732905979164901</v>
      </c>
      <c r="L3151">
        <v>15.5863259697825</v>
      </c>
      <c r="M3151">
        <v>15.780063661810701</v>
      </c>
      <c r="N3151">
        <v>15.451558752242301</v>
      </c>
      <c r="O3151">
        <v>15.509949018370699</v>
      </c>
      <c r="P3151">
        <v>-0.18517622479011001</v>
      </c>
      <c r="Q3151">
        <v>-0.59329214174488598</v>
      </c>
      <c r="R3151">
        <v>0.222939692164665</v>
      </c>
      <c r="S3151">
        <v>15.655267483034899</v>
      </c>
      <c r="T3151">
        <v>-0.95366140278840195</v>
      </c>
      <c r="U3151">
        <v>-6.41909470654132</v>
      </c>
      <c r="V3151">
        <v>0.35296051474210499</v>
      </c>
      <c r="W3151">
        <v>0.87950242192597095</v>
      </c>
      <c r="X3151">
        <v>0</v>
      </c>
      <c r="Y3151">
        <v>0</v>
      </c>
    </row>
    <row r="3152" spans="1:25" x14ac:dyDescent="0.2">
      <c r="A3152" t="s">
        <v>11665</v>
      </c>
      <c r="B3152" t="s">
        <v>11666</v>
      </c>
      <c r="C3152" t="s">
        <v>11667</v>
      </c>
      <c r="D3152" t="s">
        <v>11668</v>
      </c>
      <c r="E3152" t="s">
        <v>11666</v>
      </c>
      <c r="F3152" t="s">
        <v>28</v>
      </c>
      <c r="G3152" t="s">
        <v>11666</v>
      </c>
      <c r="H3152" t="str">
        <f>"zwl-1"</f>
        <v>zwl-1</v>
      </c>
      <c r="I3152" t="s">
        <v>11668</v>
      </c>
      <c r="J3152">
        <v>14.4899715697589</v>
      </c>
      <c r="K3152">
        <v>14.2836593293744</v>
      </c>
      <c r="L3152">
        <v>14.3529215688538</v>
      </c>
      <c r="M3152">
        <v>14.1352206965873</v>
      </c>
      <c r="N3152">
        <v>14.3561725209366</v>
      </c>
      <c r="O3152">
        <v>14.283899168628899</v>
      </c>
      <c r="P3152">
        <v>-0.11708669394474699</v>
      </c>
      <c r="Q3152">
        <v>-0.44966421075476898</v>
      </c>
      <c r="R3152">
        <v>0.21549082286527399</v>
      </c>
      <c r="S3152">
        <v>14.158803992632199</v>
      </c>
      <c r="T3152">
        <v>-0.74312978823014997</v>
      </c>
      <c r="U3152">
        <v>-6.5977180041335899</v>
      </c>
      <c r="V3152">
        <v>0.46761159364716198</v>
      </c>
      <c r="W3152">
        <v>0.92978583625257705</v>
      </c>
      <c r="X3152">
        <v>0</v>
      </c>
      <c r="Y3152">
        <v>0</v>
      </c>
    </row>
    <row r="3153" spans="1:25" x14ac:dyDescent="0.2">
      <c r="A3153" t="s">
        <v>11669</v>
      </c>
      <c r="B3153" t="s">
        <v>11670</v>
      </c>
      <c r="C3153" t="s">
        <v>11671</v>
      </c>
      <c r="D3153" t="s">
        <v>11672</v>
      </c>
      <c r="E3153" t="s">
        <v>11670</v>
      </c>
      <c r="F3153" t="s">
        <v>28</v>
      </c>
      <c r="G3153" t="s">
        <v>11670</v>
      </c>
      <c r="H3153" t="str">
        <f>"mcm-4"</f>
        <v>mcm-4</v>
      </c>
      <c r="I3153" t="s">
        <v>11672</v>
      </c>
      <c r="J3153">
        <v>14.289611585026799</v>
      </c>
      <c r="K3153">
        <v>14.047112709596499</v>
      </c>
      <c r="L3153">
        <v>14.2687589950872</v>
      </c>
      <c r="M3153">
        <v>13.90721780935</v>
      </c>
      <c r="N3153">
        <v>14.419167703045</v>
      </c>
      <c r="O3153">
        <v>14.2885341339805</v>
      </c>
      <c r="P3153">
        <v>3.1454522216947099E-3</v>
      </c>
      <c r="Q3153">
        <v>-0.69092910697099197</v>
      </c>
      <c r="R3153">
        <v>0.69722001141438195</v>
      </c>
      <c r="S3153">
        <v>14.2412975498239</v>
      </c>
      <c r="T3153">
        <v>9.52509859976018E-3</v>
      </c>
      <c r="U3153">
        <v>-6.88244216959112</v>
      </c>
      <c r="V3153">
        <v>0.99250557158679298</v>
      </c>
      <c r="W3153">
        <v>0.99968702248720698</v>
      </c>
      <c r="X3153">
        <v>0</v>
      </c>
      <c r="Y3153">
        <v>0</v>
      </c>
    </row>
    <row r="3154" spans="1:25" x14ac:dyDescent="0.2">
      <c r="A3154" t="s">
        <v>11673</v>
      </c>
      <c r="B3154" t="s">
        <v>11674</v>
      </c>
      <c r="C3154" t="s">
        <v>11675</v>
      </c>
      <c r="D3154" t="s">
        <v>11676</v>
      </c>
      <c r="E3154" t="s">
        <v>11674</v>
      </c>
      <c r="F3154" t="s">
        <v>28</v>
      </c>
      <c r="G3154" t="s">
        <v>11674</v>
      </c>
      <c r="H3154" t="str">
        <f>"eif-2gamma"</f>
        <v>eif-2gamma</v>
      </c>
      <c r="I3154" t="s">
        <v>11676</v>
      </c>
      <c r="J3154">
        <v>18.8969821685589</v>
      </c>
      <c r="K3154">
        <v>18.7061655605312</v>
      </c>
      <c r="L3154">
        <v>18.557382233317099</v>
      </c>
      <c r="M3154">
        <v>18.754289285724301</v>
      </c>
      <c r="N3154">
        <v>18.625654160960799</v>
      </c>
      <c r="O3154">
        <v>18.666383423489702</v>
      </c>
      <c r="P3154">
        <v>-3.8067697410795603E-2</v>
      </c>
      <c r="Q3154">
        <v>-0.35386519032758801</v>
      </c>
      <c r="R3154">
        <v>0.27772979550599702</v>
      </c>
      <c r="S3154">
        <v>18.215209247819299</v>
      </c>
      <c r="T3154">
        <v>-0.253361396325125</v>
      </c>
      <c r="U3154">
        <v>-6.8490100076741101</v>
      </c>
      <c r="V3154">
        <v>0.80287680949874796</v>
      </c>
      <c r="W3154">
        <v>0.99278624068726296</v>
      </c>
      <c r="X3154">
        <v>0</v>
      </c>
      <c r="Y3154">
        <v>0</v>
      </c>
    </row>
    <row r="3155" spans="1:25" x14ac:dyDescent="0.2">
      <c r="A3155" t="s">
        <v>11677</v>
      </c>
      <c r="B3155" t="s">
        <v>11678</v>
      </c>
      <c r="C3155" t="s">
        <v>11679</v>
      </c>
      <c r="D3155" t="s">
        <v>11680</v>
      </c>
      <c r="E3155" t="s">
        <v>11678</v>
      </c>
      <c r="F3155" t="s">
        <v>28</v>
      </c>
      <c r="G3155" t="s">
        <v>11678</v>
      </c>
      <c r="H3155" t="str">
        <f>"nsun-4"</f>
        <v>nsun-4</v>
      </c>
      <c r="I3155" t="s">
        <v>11680</v>
      </c>
      <c r="J3155">
        <v>13.1714890261928</v>
      </c>
      <c r="K3155">
        <v>13.705030903340701</v>
      </c>
      <c r="L3155">
        <v>14.0888999366103</v>
      </c>
      <c r="M3155">
        <v>13.8299221589561</v>
      </c>
      <c r="N3155">
        <v>14.1470374321755</v>
      </c>
      <c r="O3155">
        <v>13.579992106423401</v>
      </c>
      <c r="P3155">
        <v>0.19717727713708999</v>
      </c>
      <c r="Q3155">
        <v>-0.29005741012962699</v>
      </c>
      <c r="R3155">
        <v>0.68441196440380803</v>
      </c>
      <c r="S3155">
        <v>13.7334230346894</v>
      </c>
      <c r="T3155">
        <v>0.85421792238387795</v>
      </c>
      <c r="U3155">
        <v>-6.50814591743777</v>
      </c>
      <c r="V3155">
        <v>0.40493410696349103</v>
      </c>
      <c r="W3155">
        <v>0.91027279600179201</v>
      </c>
      <c r="X3155">
        <v>0</v>
      </c>
      <c r="Y3155">
        <v>0</v>
      </c>
    </row>
    <row r="3156" spans="1:25" x14ac:dyDescent="0.2">
      <c r="A3156" t="s">
        <v>11681</v>
      </c>
      <c r="B3156" t="s">
        <v>11682</v>
      </c>
      <c r="C3156" t="s">
        <v>14627</v>
      </c>
      <c r="D3156" t="s">
        <v>534</v>
      </c>
      <c r="E3156" t="s">
        <v>11682</v>
      </c>
      <c r="F3156" t="s">
        <v>28</v>
      </c>
      <c r="G3156" t="s">
        <v>11682</v>
      </c>
      <c r="H3156" t="str">
        <f>"Y39G10AR.9"</f>
        <v>Y39G10AR.9</v>
      </c>
      <c r="I3156" t="s">
        <v>534</v>
      </c>
      <c r="J3156" t="s">
        <v>29</v>
      </c>
      <c r="K3156" t="s">
        <v>29</v>
      </c>
      <c r="L3156">
        <v>11.0567671663791</v>
      </c>
      <c r="M3156" t="s">
        <v>29</v>
      </c>
      <c r="N3156">
        <v>13.429802496208</v>
      </c>
      <c r="O3156">
        <v>13.6438044205611</v>
      </c>
      <c r="P3156">
        <v>2.4800362920055301</v>
      </c>
      <c r="Q3156">
        <v>1.1266605709056201</v>
      </c>
      <c r="R3156">
        <v>3.8334120131054399</v>
      </c>
      <c r="S3156">
        <v>12.687109754736399</v>
      </c>
      <c r="T3156">
        <v>3.9965446331852199</v>
      </c>
      <c r="U3156">
        <v>-1.1896875301127201</v>
      </c>
      <c r="V3156">
        <v>1.80289752704073E-3</v>
      </c>
      <c r="W3156">
        <v>5.04205291595929E-2</v>
      </c>
      <c r="X3156">
        <v>1</v>
      </c>
      <c r="Y3156">
        <v>1</v>
      </c>
    </row>
    <row r="3157" spans="1:25" x14ac:dyDescent="0.2">
      <c r="A3157" t="s">
        <v>11683</v>
      </c>
      <c r="B3157" t="s">
        <v>11684</v>
      </c>
      <c r="C3157" t="s">
        <v>11685</v>
      </c>
      <c r="D3157" t="s">
        <v>11686</v>
      </c>
      <c r="E3157" t="s">
        <v>11684</v>
      </c>
      <c r="F3157" t="s">
        <v>28</v>
      </c>
      <c r="G3157" t="s">
        <v>11684</v>
      </c>
      <c r="H3157" t="str">
        <f>"epg-2"</f>
        <v>epg-2</v>
      </c>
      <c r="I3157" t="s">
        <v>11686</v>
      </c>
      <c r="J3157" t="s">
        <v>29</v>
      </c>
      <c r="K3157" t="s">
        <v>29</v>
      </c>
      <c r="L3157" t="s">
        <v>29</v>
      </c>
      <c r="M3157" t="s">
        <v>29</v>
      </c>
      <c r="N3157" t="s">
        <v>29</v>
      </c>
      <c r="O3157" t="s">
        <v>29</v>
      </c>
      <c r="P3157" t="s">
        <v>29</v>
      </c>
      <c r="Q3157" t="s">
        <v>29</v>
      </c>
      <c r="R3157" t="s">
        <v>29</v>
      </c>
      <c r="S3157">
        <v>9.7882170386661205</v>
      </c>
      <c r="T3157" t="s">
        <v>29</v>
      </c>
      <c r="U3157" t="s">
        <v>29</v>
      </c>
      <c r="V3157" t="s">
        <v>29</v>
      </c>
      <c r="W3157" t="s">
        <v>29</v>
      </c>
      <c r="X3157" t="s">
        <v>29</v>
      </c>
      <c r="Y3157" t="s">
        <v>29</v>
      </c>
    </row>
    <row r="3158" spans="1:25" x14ac:dyDescent="0.2">
      <c r="A3158" t="s">
        <v>11687</v>
      </c>
      <c r="B3158" t="s">
        <v>11688</v>
      </c>
      <c r="C3158" t="s">
        <v>11689</v>
      </c>
      <c r="D3158" t="s">
        <v>11690</v>
      </c>
      <c r="E3158" t="s">
        <v>11688</v>
      </c>
      <c r="F3158" t="s">
        <v>28</v>
      </c>
      <c r="G3158" t="s">
        <v>11688</v>
      </c>
      <c r="H3158" t="str">
        <f>"trap-3"</f>
        <v>trap-3</v>
      </c>
      <c r="I3158" t="s">
        <v>11690</v>
      </c>
      <c r="J3158">
        <v>17.195177038426099</v>
      </c>
      <c r="K3158">
        <v>17.065517814496399</v>
      </c>
      <c r="L3158">
        <v>17.131977108065801</v>
      </c>
      <c r="M3158">
        <v>17.269696081680902</v>
      </c>
      <c r="N3158">
        <v>17.103735900937799</v>
      </c>
      <c r="O3158">
        <v>16.878797019116</v>
      </c>
      <c r="P3158">
        <v>-4.6814319751181402E-2</v>
      </c>
      <c r="Q3158">
        <v>-0.39859519678389899</v>
      </c>
      <c r="R3158">
        <v>0.30496655728153599</v>
      </c>
      <c r="S3158">
        <v>16.990661283040701</v>
      </c>
      <c r="T3158">
        <v>-0.27970420980978999</v>
      </c>
      <c r="U3158">
        <v>-6.8417022367357996</v>
      </c>
      <c r="V3158">
        <v>0.78291177138121804</v>
      </c>
      <c r="W3158">
        <v>0.99278624068726296</v>
      </c>
      <c r="X3158">
        <v>0</v>
      </c>
      <c r="Y3158">
        <v>0</v>
      </c>
    </row>
    <row r="3159" spans="1:25" x14ac:dyDescent="0.2">
      <c r="A3159" t="s">
        <v>11691</v>
      </c>
      <c r="B3159" t="s">
        <v>11692</v>
      </c>
      <c r="C3159" t="s">
        <v>11693</v>
      </c>
      <c r="D3159" t="s">
        <v>11694</v>
      </c>
      <c r="E3159" t="s">
        <v>11692</v>
      </c>
      <c r="F3159" t="s">
        <v>28</v>
      </c>
      <c r="G3159" t="s">
        <v>11692</v>
      </c>
      <c r="H3159" t="str">
        <f>"sec-61.b"</f>
        <v>sec-61.b</v>
      </c>
      <c r="I3159" t="s">
        <v>11694</v>
      </c>
      <c r="J3159">
        <v>12.578072147899499</v>
      </c>
      <c r="K3159" t="s">
        <v>29</v>
      </c>
      <c r="L3159">
        <v>12.783907719356201</v>
      </c>
      <c r="M3159">
        <v>13.797002280730799</v>
      </c>
      <c r="N3159">
        <v>12.240762294101</v>
      </c>
      <c r="O3159" t="s">
        <v>29</v>
      </c>
      <c r="P3159">
        <v>0.33789235378805299</v>
      </c>
      <c r="Q3159">
        <v>-0.83575776440175598</v>
      </c>
      <c r="R3159">
        <v>1.5115424719778601</v>
      </c>
      <c r="S3159">
        <v>12.677695366180901</v>
      </c>
      <c r="T3159">
        <v>0.62789168209845303</v>
      </c>
      <c r="U3159">
        <v>-6.4753834461880704</v>
      </c>
      <c r="V3159">
        <v>0.54194191583694995</v>
      </c>
      <c r="W3159">
        <v>0.94725981927803005</v>
      </c>
      <c r="X3159">
        <v>0</v>
      </c>
      <c r="Y3159">
        <v>0</v>
      </c>
    </row>
    <row r="3160" spans="1:25" x14ac:dyDescent="0.2">
      <c r="A3160" t="s">
        <v>11695</v>
      </c>
      <c r="B3160" t="s">
        <v>11696</v>
      </c>
      <c r="C3160" t="s">
        <v>11697</v>
      </c>
      <c r="D3160" t="s">
        <v>11698</v>
      </c>
      <c r="E3160" t="s">
        <v>11696</v>
      </c>
      <c r="F3160" t="s">
        <v>28</v>
      </c>
      <c r="G3160" t="s">
        <v>11696</v>
      </c>
      <c r="H3160" t="str">
        <f>"trap-1"</f>
        <v>trap-1</v>
      </c>
      <c r="I3160" t="s">
        <v>11698</v>
      </c>
      <c r="J3160">
        <v>16.061431295749699</v>
      </c>
      <c r="K3160">
        <v>16.070969047403899</v>
      </c>
      <c r="L3160">
        <v>16.1450324696198</v>
      </c>
      <c r="M3160">
        <v>16.2806980556987</v>
      </c>
      <c r="N3160">
        <v>15.9773924137242</v>
      </c>
      <c r="O3160">
        <v>16.130132822399901</v>
      </c>
      <c r="P3160">
        <v>3.6930159683166201E-2</v>
      </c>
      <c r="Q3160">
        <v>-0.317698003874406</v>
      </c>
      <c r="R3160">
        <v>0.39155832324073903</v>
      </c>
      <c r="S3160">
        <v>15.6242867081782</v>
      </c>
      <c r="T3160">
        <v>0.21887717543621299</v>
      </c>
      <c r="U3160">
        <v>-6.8574919337718097</v>
      </c>
      <c r="V3160">
        <v>0.829222652066674</v>
      </c>
      <c r="W3160">
        <v>0.99339560333977295</v>
      </c>
      <c r="X3160">
        <v>0</v>
      </c>
      <c r="Y3160">
        <v>0</v>
      </c>
    </row>
    <row r="3161" spans="1:25" x14ac:dyDescent="0.2">
      <c r="A3161" t="s">
        <v>11699</v>
      </c>
      <c r="B3161" t="s">
        <v>11700</v>
      </c>
      <c r="C3161" t="s">
        <v>11701</v>
      </c>
      <c r="D3161" t="s">
        <v>11702</v>
      </c>
      <c r="E3161" t="s">
        <v>11700</v>
      </c>
      <c r="F3161" t="s">
        <v>28</v>
      </c>
      <c r="G3161" t="s">
        <v>11700</v>
      </c>
      <c r="H3161" t="str">
        <f>"sut-2"</f>
        <v>sut-2</v>
      </c>
      <c r="I3161" t="s">
        <v>11702</v>
      </c>
      <c r="J3161" t="s">
        <v>29</v>
      </c>
      <c r="K3161" t="s">
        <v>29</v>
      </c>
      <c r="L3161" t="s">
        <v>29</v>
      </c>
      <c r="M3161" t="s">
        <v>29</v>
      </c>
      <c r="N3161" t="s">
        <v>29</v>
      </c>
      <c r="O3161" t="s">
        <v>29</v>
      </c>
      <c r="P3161" t="s">
        <v>29</v>
      </c>
      <c r="Q3161" t="s">
        <v>29</v>
      </c>
      <c r="R3161" t="s">
        <v>29</v>
      </c>
      <c r="S3161">
        <v>9.9822916356159404</v>
      </c>
      <c r="T3161" t="s">
        <v>29</v>
      </c>
      <c r="U3161" t="s">
        <v>29</v>
      </c>
      <c r="V3161" t="s">
        <v>29</v>
      </c>
      <c r="W3161" t="s">
        <v>29</v>
      </c>
      <c r="X3161" t="s">
        <v>29</v>
      </c>
      <c r="Y3161" t="s">
        <v>29</v>
      </c>
    </row>
    <row r="3162" spans="1:25" x14ac:dyDescent="0.2">
      <c r="A3162" t="s">
        <v>11703</v>
      </c>
      <c r="B3162" t="s">
        <v>11704</v>
      </c>
      <c r="C3162" t="s">
        <v>11705</v>
      </c>
      <c r="D3162" t="s">
        <v>11706</v>
      </c>
      <c r="E3162" t="s">
        <v>11704</v>
      </c>
      <c r="F3162" t="s">
        <v>28</v>
      </c>
      <c r="G3162" t="s">
        <v>11704</v>
      </c>
      <c r="H3162" t="str">
        <f>"ubc-13"</f>
        <v>ubc-13</v>
      </c>
      <c r="I3162" t="s">
        <v>11706</v>
      </c>
      <c r="J3162">
        <v>13.642812077030101</v>
      </c>
      <c r="K3162">
        <v>13.753354473126601</v>
      </c>
      <c r="L3162">
        <v>13.857990087398401</v>
      </c>
      <c r="M3162">
        <v>13.8042129087364</v>
      </c>
      <c r="N3162">
        <v>13.965163872755101</v>
      </c>
      <c r="O3162">
        <v>14.025900347669699</v>
      </c>
      <c r="P3162">
        <v>0.18037349720200699</v>
      </c>
      <c r="Q3162">
        <v>-0.31643485872327598</v>
      </c>
      <c r="R3162">
        <v>0.67718185312728996</v>
      </c>
      <c r="S3162">
        <v>13.313317721790201</v>
      </c>
      <c r="T3162">
        <v>0.76309102763296899</v>
      </c>
      <c r="U3162">
        <v>-6.5831301298929299</v>
      </c>
      <c r="V3162">
        <v>0.45535188385001502</v>
      </c>
      <c r="W3162">
        <v>0.92629038475113101</v>
      </c>
      <c r="X3162">
        <v>0</v>
      </c>
      <c r="Y3162">
        <v>0</v>
      </c>
    </row>
    <row r="3163" spans="1:25" x14ac:dyDescent="0.2">
      <c r="A3163" t="s">
        <v>11707</v>
      </c>
      <c r="B3163" t="s">
        <v>11708</v>
      </c>
      <c r="C3163" t="s">
        <v>11709</v>
      </c>
      <c r="D3163" t="s">
        <v>11710</v>
      </c>
      <c r="E3163" t="s">
        <v>11708</v>
      </c>
      <c r="F3163" t="s">
        <v>28</v>
      </c>
      <c r="G3163" t="s">
        <v>11708</v>
      </c>
      <c r="H3163" t="str">
        <f>"nprt-1"</f>
        <v>nprt-1</v>
      </c>
      <c r="I3163" t="s">
        <v>11710</v>
      </c>
      <c r="J3163">
        <v>13.456503355819599</v>
      </c>
      <c r="K3163">
        <v>13.278154456833899</v>
      </c>
      <c r="L3163">
        <v>12.6805740386596</v>
      </c>
      <c r="M3163">
        <v>13.1801486535983</v>
      </c>
      <c r="N3163">
        <v>12.737649047525</v>
      </c>
      <c r="O3163">
        <v>13.008290685058</v>
      </c>
      <c r="P3163">
        <v>-0.163047821710601</v>
      </c>
      <c r="Q3163">
        <v>-0.76231368377726805</v>
      </c>
      <c r="R3163">
        <v>0.43621804035606598</v>
      </c>
      <c r="S3163">
        <v>12.7042262461562</v>
      </c>
      <c r="T3163">
        <v>-0.57709191858604802</v>
      </c>
      <c r="U3163">
        <v>-6.7091491029029102</v>
      </c>
      <c r="V3163">
        <v>0.57196110370301101</v>
      </c>
      <c r="W3163">
        <v>0.96052030798546795</v>
      </c>
      <c r="X3163">
        <v>0</v>
      </c>
      <c r="Y3163">
        <v>0</v>
      </c>
    </row>
    <row r="3164" spans="1:25" x14ac:dyDescent="0.2">
      <c r="A3164" t="s">
        <v>11711</v>
      </c>
      <c r="B3164" t="s">
        <v>11712</v>
      </c>
      <c r="C3164" t="s">
        <v>11713</v>
      </c>
      <c r="D3164" t="s">
        <v>11714</v>
      </c>
      <c r="E3164" t="s">
        <v>11712</v>
      </c>
      <c r="F3164" t="s">
        <v>28</v>
      </c>
      <c r="G3164" t="s">
        <v>11712</v>
      </c>
      <c r="H3164" t="str">
        <f>"nol-6"</f>
        <v>nol-6</v>
      </c>
      <c r="I3164" t="s">
        <v>11714</v>
      </c>
      <c r="J3164">
        <v>14.1294573358385</v>
      </c>
      <c r="K3164">
        <v>14.310058270026801</v>
      </c>
      <c r="L3164">
        <v>14.2736642602946</v>
      </c>
      <c r="M3164">
        <v>14.211957032503699</v>
      </c>
      <c r="N3164">
        <v>14.2988331096715</v>
      </c>
      <c r="O3164">
        <v>14.0393060994079</v>
      </c>
      <c r="P3164">
        <v>-5.4361208192229803E-2</v>
      </c>
      <c r="Q3164">
        <v>-0.40612642031375401</v>
      </c>
      <c r="R3164">
        <v>0.297404003929295</v>
      </c>
      <c r="S3164">
        <v>14.1746029920458</v>
      </c>
      <c r="T3164">
        <v>-0.32480950227732702</v>
      </c>
      <c r="U3164">
        <v>-6.8275289142568001</v>
      </c>
      <c r="V3164">
        <v>0.74909164730477495</v>
      </c>
      <c r="W3164">
        <v>0.99184638945407499</v>
      </c>
      <c r="X3164">
        <v>0</v>
      </c>
      <c r="Y3164">
        <v>0</v>
      </c>
    </row>
    <row r="3165" spans="1:25" x14ac:dyDescent="0.2">
      <c r="A3165" t="s">
        <v>11715</v>
      </c>
      <c r="B3165" t="s">
        <v>11716</v>
      </c>
      <c r="C3165" t="s">
        <v>11717</v>
      </c>
      <c r="D3165" t="s">
        <v>11718</v>
      </c>
      <c r="E3165" t="s">
        <v>11716</v>
      </c>
      <c r="F3165" t="s">
        <v>28</v>
      </c>
      <c r="G3165" t="s">
        <v>11716</v>
      </c>
      <c r="H3165" t="str">
        <f>"scc-2"</f>
        <v>scc-2</v>
      </c>
      <c r="I3165" t="s">
        <v>11718</v>
      </c>
      <c r="J3165">
        <v>11.494733298737399</v>
      </c>
      <c r="K3165">
        <v>11.7957814434833</v>
      </c>
      <c r="L3165">
        <v>11.5340085093131</v>
      </c>
      <c r="M3165">
        <v>11.1143334656263</v>
      </c>
      <c r="N3165">
        <v>11.337861164388601</v>
      </c>
      <c r="O3165">
        <v>11.5467911520055</v>
      </c>
      <c r="P3165">
        <v>-0.27517915650449798</v>
      </c>
      <c r="Q3165">
        <v>-1.11941712682273</v>
      </c>
      <c r="R3165">
        <v>0.56905881381373902</v>
      </c>
      <c r="S3165">
        <v>12.089604738137</v>
      </c>
      <c r="T3165">
        <v>-0.68508296273584701</v>
      </c>
      <c r="U3165">
        <v>-6.6404542690541302</v>
      </c>
      <c r="V3165">
        <v>0.50206988104801398</v>
      </c>
      <c r="W3165">
        <v>0.94062983959761604</v>
      </c>
      <c r="X3165">
        <v>0</v>
      </c>
      <c r="Y3165">
        <v>0</v>
      </c>
    </row>
    <row r="3166" spans="1:25" x14ac:dyDescent="0.2">
      <c r="A3166" t="s">
        <v>11719</v>
      </c>
      <c r="B3166" t="s">
        <v>11720</v>
      </c>
      <c r="C3166" t="s">
        <v>11721</v>
      </c>
      <c r="D3166" t="s">
        <v>11722</v>
      </c>
      <c r="E3166" t="s">
        <v>11720</v>
      </c>
      <c r="F3166" t="s">
        <v>28</v>
      </c>
      <c r="G3166" t="s">
        <v>11720</v>
      </c>
      <c r="H3166" t="str">
        <f>"laat-1"</f>
        <v>laat-1</v>
      </c>
      <c r="I3166" t="s">
        <v>11722</v>
      </c>
      <c r="J3166">
        <v>14.403050771636201</v>
      </c>
      <c r="K3166" t="s">
        <v>29</v>
      </c>
      <c r="L3166" t="s">
        <v>29</v>
      </c>
      <c r="M3166">
        <v>12.4473814996106</v>
      </c>
      <c r="N3166" t="s">
        <v>29</v>
      </c>
      <c r="O3166" t="s">
        <v>29</v>
      </c>
      <c r="P3166">
        <v>-1.9556692720256399</v>
      </c>
      <c r="Q3166">
        <v>-11.878324422601001</v>
      </c>
      <c r="R3166">
        <v>7.9669858785497603</v>
      </c>
      <c r="S3166">
        <v>13.017905946951901</v>
      </c>
      <c r="T3166">
        <v>-0.48974852583256401</v>
      </c>
      <c r="U3166">
        <v>-6.2094030488526597</v>
      </c>
      <c r="V3166">
        <v>0.64276231098161796</v>
      </c>
      <c r="W3166">
        <v>0.97768135215283802</v>
      </c>
      <c r="X3166">
        <v>0</v>
      </c>
      <c r="Y3166">
        <v>0</v>
      </c>
    </row>
    <row r="3167" spans="1:25" x14ac:dyDescent="0.2">
      <c r="A3167" t="s">
        <v>11723</v>
      </c>
      <c r="B3167" t="s">
        <v>11724</v>
      </c>
      <c r="C3167" t="s">
        <v>11725</v>
      </c>
      <c r="D3167" t="s">
        <v>11726</v>
      </c>
      <c r="E3167" t="s">
        <v>11724</v>
      </c>
      <c r="F3167" t="s">
        <v>28</v>
      </c>
      <c r="G3167" t="s">
        <v>11724</v>
      </c>
      <c r="H3167" t="str">
        <f>"rps-28"</f>
        <v>rps-28</v>
      </c>
      <c r="I3167" t="s">
        <v>11726</v>
      </c>
      <c r="J3167">
        <v>20.341782057180101</v>
      </c>
      <c r="K3167">
        <v>20.412074205998699</v>
      </c>
      <c r="L3167">
        <v>20.481214033903701</v>
      </c>
      <c r="M3167">
        <v>19.853563845999801</v>
      </c>
      <c r="N3167">
        <v>19.433274474182902</v>
      </c>
      <c r="O3167">
        <v>20.461529660400299</v>
      </c>
      <c r="P3167">
        <v>-0.49556743883315202</v>
      </c>
      <c r="Q3167">
        <v>-1.14619756182187</v>
      </c>
      <c r="R3167">
        <v>0.15506268415556801</v>
      </c>
      <c r="S3167">
        <v>20.061920811384901</v>
      </c>
      <c r="T3167">
        <v>-1.60088859298818</v>
      </c>
      <c r="U3167">
        <v>-5.63192650394714</v>
      </c>
      <c r="V3167">
        <v>0.12690673990669099</v>
      </c>
      <c r="W3167">
        <v>0.71762718189871799</v>
      </c>
      <c r="X3167">
        <v>0</v>
      </c>
      <c r="Y3167">
        <v>0</v>
      </c>
    </row>
    <row r="3168" spans="1:25" x14ac:dyDescent="0.2">
      <c r="A3168" t="s">
        <v>11727</v>
      </c>
      <c r="B3168" t="s">
        <v>11728</v>
      </c>
      <c r="C3168" t="s">
        <v>11729</v>
      </c>
      <c r="D3168" t="s">
        <v>11730</v>
      </c>
      <c r="E3168" t="s">
        <v>11728</v>
      </c>
      <c r="F3168" t="s">
        <v>28</v>
      </c>
      <c r="G3168" t="s">
        <v>11728</v>
      </c>
      <c r="H3168" t="str">
        <f>"npp-8"</f>
        <v>npp-8</v>
      </c>
      <c r="I3168" t="s">
        <v>11730</v>
      </c>
      <c r="J3168">
        <v>15.4889491695766</v>
      </c>
      <c r="K3168">
        <v>15.4657805481824</v>
      </c>
      <c r="L3168">
        <v>15.4549315962226</v>
      </c>
      <c r="M3168">
        <v>15.394488650622</v>
      </c>
      <c r="N3168">
        <v>15.354046970398199</v>
      </c>
      <c r="O3168">
        <v>15.375580164154499</v>
      </c>
      <c r="P3168">
        <v>-9.5181842935607705E-2</v>
      </c>
      <c r="Q3168">
        <v>-0.38134871195682701</v>
      </c>
      <c r="R3168">
        <v>0.19098502608561199</v>
      </c>
      <c r="S3168">
        <v>15.282323667187701</v>
      </c>
      <c r="T3168">
        <v>-0.69908063289554601</v>
      </c>
      <c r="U3168">
        <v>-6.6305974781672097</v>
      </c>
      <c r="V3168">
        <v>0.49348857559646397</v>
      </c>
      <c r="W3168">
        <v>0.94062983959761604</v>
      </c>
      <c r="X3168">
        <v>0</v>
      </c>
      <c r="Y3168">
        <v>0</v>
      </c>
    </row>
    <row r="3169" spans="1:25" x14ac:dyDescent="0.2">
      <c r="A3169" t="s">
        <v>11731</v>
      </c>
      <c r="B3169" t="s">
        <v>11732</v>
      </c>
      <c r="C3169" t="s">
        <v>11733</v>
      </c>
      <c r="D3169" t="s">
        <v>11734</v>
      </c>
      <c r="E3169" t="s">
        <v>11732</v>
      </c>
      <c r="F3169" t="s">
        <v>28</v>
      </c>
      <c r="G3169" t="s">
        <v>11732</v>
      </c>
      <c r="H3169" t="str">
        <f>"ptpn-22"</f>
        <v>ptpn-22</v>
      </c>
      <c r="I3169" t="s">
        <v>11734</v>
      </c>
      <c r="J3169">
        <v>11.170054578520199</v>
      </c>
      <c r="K3169" t="s">
        <v>29</v>
      </c>
      <c r="L3169">
        <v>12.2034177288505</v>
      </c>
      <c r="M3169" t="s">
        <v>29</v>
      </c>
      <c r="N3169" t="s">
        <v>29</v>
      </c>
      <c r="O3169">
        <v>11.617385228034999</v>
      </c>
      <c r="P3169">
        <v>-6.9350925650359899E-2</v>
      </c>
      <c r="Q3169">
        <v>-1.44720697766282</v>
      </c>
      <c r="R3169">
        <v>1.3085051263620999</v>
      </c>
      <c r="S3169">
        <v>12.469896607388501</v>
      </c>
      <c r="T3169">
        <v>-0.110911379572699</v>
      </c>
      <c r="U3169">
        <v>-6.47686878244326</v>
      </c>
      <c r="V3169">
        <v>0.91370339668665701</v>
      </c>
      <c r="W3169">
        <v>0.99833354317360001</v>
      </c>
      <c r="X3169">
        <v>0</v>
      </c>
      <c r="Y3169">
        <v>0</v>
      </c>
    </row>
    <row r="3170" spans="1:25" x14ac:dyDescent="0.2">
      <c r="A3170" t="s">
        <v>11735</v>
      </c>
      <c r="B3170" t="s">
        <v>11736</v>
      </c>
      <c r="C3170" t="s">
        <v>14628</v>
      </c>
      <c r="D3170" t="s">
        <v>8023</v>
      </c>
      <c r="E3170" t="s">
        <v>11736</v>
      </c>
      <c r="F3170" t="s">
        <v>28</v>
      </c>
      <c r="G3170" t="s">
        <v>11736</v>
      </c>
      <c r="H3170" t="str">
        <f>"Y108G3AL.2"</f>
        <v>Y108G3AL.2</v>
      </c>
      <c r="I3170" t="s">
        <v>8023</v>
      </c>
      <c r="J3170" t="s">
        <v>29</v>
      </c>
      <c r="K3170" t="s">
        <v>29</v>
      </c>
      <c r="L3170" t="s">
        <v>29</v>
      </c>
      <c r="M3170" t="s">
        <v>29</v>
      </c>
      <c r="N3170">
        <v>9.9481740527203808</v>
      </c>
      <c r="O3170" t="s">
        <v>29</v>
      </c>
      <c r="P3170" t="s">
        <v>29</v>
      </c>
      <c r="Q3170" t="s">
        <v>29</v>
      </c>
      <c r="R3170" t="s">
        <v>29</v>
      </c>
      <c r="S3170">
        <v>10.1030145916615</v>
      </c>
      <c r="T3170" t="s">
        <v>29</v>
      </c>
      <c r="U3170" t="s">
        <v>29</v>
      </c>
      <c r="V3170" t="s">
        <v>29</v>
      </c>
      <c r="W3170" t="s">
        <v>29</v>
      </c>
      <c r="X3170" t="s">
        <v>29</v>
      </c>
      <c r="Y3170" t="s">
        <v>29</v>
      </c>
    </row>
    <row r="3171" spans="1:25" x14ac:dyDescent="0.2">
      <c r="A3171" t="s">
        <v>11737</v>
      </c>
      <c r="B3171" t="s">
        <v>11738</v>
      </c>
      <c r="C3171" t="s">
        <v>11739</v>
      </c>
      <c r="D3171" t="s">
        <v>11740</v>
      </c>
      <c r="E3171" t="s">
        <v>11738</v>
      </c>
      <c r="F3171" t="s">
        <v>28</v>
      </c>
      <c r="G3171" t="s">
        <v>11738</v>
      </c>
      <c r="H3171" t="str">
        <f>"rcor-1"</f>
        <v>rcor-1</v>
      </c>
      <c r="I3171" t="s">
        <v>11740</v>
      </c>
      <c r="J3171" t="s">
        <v>29</v>
      </c>
      <c r="K3171">
        <v>11.040102603717999</v>
      </c>
      <c r="L3171" t="s">
        <v>29</v>
      </c>
      <c r="M3171" t="s">
        <v>29</v>
      </c>
      <c r="N3171" t="s">
        <v>29</v>
      </c>
      <c r="O3171" t="s">
        <v>29</v>
      </c>
      <c r="P3171" t="s">
        <v>29</v>
      </c>
      <c r="Q3171" t="s">
        <v>29</v>
      </c>
      <c r="R3171" t="s">
        <v>29</v>
      </c>
      <c r="S3171">
        <v>11.754698766921701</v>
      </c>
      <c r="T3171" t="s">
        <v>29</v>
      </c>
      <c r="U3171" t="s">
        <v>29</v>
      </c>
      <c r="V3171" t="s">
        <v>29</v>
      </c>
      <c r="W3171" t="s">
        <v>29</v>
      </c>
      <c r="X3171" t="s">
        <v>29</v>
      </c>
      <c r="Y3171" t="s">
        <v>29</v>
      </c>
    </row>
    <row r="3172" spans="1:25" x14ac:dyDescent="0.2">
      <c r="A3172" t="s">
        <v>11741</v>
      </c>
      <c r="B3172" t="s">
        <v>11742</v>
      </c>
      <c r="C3172" t="s">
        <v>11743</v>
      </c>
      <c r="D3172" t="s">
        <v>8293</v>
      </c>
      <c r="E3172" t="s">
        <v>11742</v>
      </c>
      <c r="F3172" t="s">
        <v>28</v>
      </c>
      <c r="G3172" t="s">
        <v>11742</v>
      </c>
      <c r="H3172" t="str">
        <f>"smr-1"</f>
        <v>smr-1</v>
      </c>
      <c r="I3172" t="s">
        <v>8293</v>
      </c>
      <c r="J3172" t="s">
        <v>29</v>
      </c>
      <c r="K3172" t="s">
        <v>29</v>
      </c>
      <c r="L3172" t="s">
        <v>29</v>
      </c>
      <c r="M3172" t="s">
        <v>29</v>
      </c>
      <c r="N3172" t="s">
        <v>29</v>
      </c>
      <c r="O3172" t="s">
        <v>29</v>
      </c>
      <c r="P3172" t="s">
        <v>29</v>
      </c>
      <c r="Q3172" t="s">
        <v>29</v>
      </c>
      <c r="R3172" t="s">
        <v>29</v>
      </c>
      <c r="S3172">
        <v>11.4842416749058</v>
      </c>
      <c r="T3172" t="s">
        <v>29</v>
      </c>
      <c r="U3172" t="s">
        <v>29</v>
      </c>
      <c r="V3172" t="s">
        <v>29</v>
      </c>
      <c r="W3172" t="s">
        <v>29</v>
      </c>
      <c r="X3172" t="s">
        <v>29</v>
      </c>
      <c r="Y3172" t="s">
        <v>29</v>
      </c>
    </row>
    <row r="3173" spans="1:25" x14ac:dyDescent="0.2">
      <c r="A3173" t="s">
        <v>11744</v>
      </c>
      <c r="B3173" t="s">
        <v>11745</v>
      </c>
      <c r="C3173" t="s">
        <v>11746</v>
      </c>
      <c r="D3173" t="s">
        <v>3358</v>
      </c>
      <c r="E3173" t="s">
        <v>11745</v>
      </c>
      <c r="F3173" t="s">
        <v>28</v>
      </c>
      <c r="G3173" t="s">
        <v>11745</v>
      </c>
      <c r="H3173" t="str">
        <f>"fbxa-63"</f>
        <v>fbxa-63</v>
      </c>
      <c r="I3173" t="s">
        <v>3358</v>
      </c>
      <c r="J3173">
        <v>14.5270022058171</v>
      </c>
      <c r="K3173">
        <v>14.9724866401785</v>
      </c>
      <c r="L3173">
        <v>14.6385284178112</v>
      </c>
      <c r="M3173" t="s">
        <v>29</v>
      </c>
      <c r="N3173">
        <v>14.3104889999696</v>
      </c>
      <c r="O3173" t="s">
        <v>29</v>
      </c>
      <c r="P3173">
        <v>-0.40218342129934098</v>
      </c>
      <c r="Q3173">
        <v>-1.42658607655586</v>
      </c>
      <c r="R3173">
        <v>0.62221923395718204</v>
      </c>
      <c r="S3173">
        <v>13.644885736965501</v>
      </c>
      <c r="T3173">
        <v>-0.86512958133154905</v>
      </c>
      <c r="U3173">
        <v>-6.1542259281496197</v>
      </c>
      <c r="V3173">
        <v>0.40561406333024103</v>
      </c>
      <c r="W3173">
        <v>0.91027279600179201</v>
      </c>
      <c r="X3173">
        <v>0</v>
      </c>
      <c r="Y3173">
        <v>0</v>
      </c>
    </row>
    <row r="3174" spans="1:25" x14ac:dyDescent="0.2">
      <c r="A3174" t="s">
        <v>11747</v>
      </c>
      <c r="B3174" t="s">
        <v>11748</v>
      </c>
      <c r="C3174" t="s">
        <v>11749</v>
      </c>
      <c r="D3174" t="s">
        <v>603</v>
      </c>
      <c r="E3174" t="s">
        <v>11748</v>
      </c>
      <c r="F3174" t="s">
        <v>28</v>
      </c>
      <c r="G3174" t="s">
        <v>11748</v>
      </c>
      <c r="H3174" t="str">
        <f>"pes-4"</f>
        <v>pes-4</v>
      </c>
      <c r="I3174" t="s">
        <v>603</v>
      </c>
      <c r="J3174">
        <v>13.578063481983801</v>
      </c>
      <c r="K3174">
        <v>13.736318199982099</v>
      </c>
      <c r="L3174">
        <v>13.255018077455199</v>
      </c>
      <c r="M3174">
        <v>13.6565235351986</v>
      </c>
      <c r="N3174">
        <v>13.6976974342973</v>
      </c>
      <c r="O3174">
        <v>13.630849730908601</v>
      </c>
      <c r="P3174">
        <v>0.13855698032779901</v>
      </c>
      <c r="Q3174">
        <v>-0.38721905704857301</v>
      </c>
      <c r="R3174">
        <v>0.66433301770416997</v>
      </c>
      <c r="S3174">
        <v>13.5834895822271</v>
      </c>
      <c r="T3174">
        <v>0.55895539303091202</v>
      </c>
      <c r="U3174">
        <v>-6.7197684369867599</v>
      </c>
      <c r="V3174">
        <v>0.58398206777294803</v>
      </c>
      <c r="W3174">
        <v>0.96315662445407302</v>
      </c>
      <c r="X3174">
        <v>0</v>
      </c>
      <c r="Y3174">
        <v>0</v>
      </c>
    </row>
    <row r="3175" spans="1:25" x14ac:dyDescent="0.2">
      <c r="A3175" t="s">
        <v>11750</v>
      </c>
      <c r="B3175" t="s">
        <v>11751</v>
      </c>
      <c r="C3175" t="s">
        <v>11752</v>
      </c>
      <c r="D3175" t="s">
        <v>11753</v>
      </c>
      <c r="E3175" t="s">
        <v>11751</v>
      </c>
      <c r="F3175" t="s">
        <v>28</v>
      </c>
      <c r="G3175" t="s">
        <v>11751</v>
      </c>
      <c r="H3175" t="str">
        <f>"orc-3"</f>
        <v>orc-3</v>
      </c>
      <c r="I3175" t="s">
        <v>11753</v>
      </c>
      <c r="J3175" t="s">
        <v>29</v>
      </c>
      <c r="K3175">
        <v>11.707631127622999</v>
      </c>
      <c r="L3175">
        <v>10.939134454981801</v>
      </c>
      <c r="M3175">
        <v>11.938971468920601</v>
      </c>
      <c r="N3175">
        <v>12.3364200768915</v>
      </c>
      <c r="O3175">
        <v>11.632004508375299</v>
      </c>
      <c r="P3175">
        <v>0.64574922676006896</v>
      </c>
      <c r="Q3175">
        <v>-0.70850028133765097</v>
      </c>
      <c r="R3175">
        <v>1.9999987348577899</v>
      </c>
      <c r="S3175">
        <v>12.2439565581422</v>
      </c>
      <c r="T3175">
        <v>1.01696689133561</v>
      </c>
      <c r="U3175">
        <v>-6.2457812687003003</v>
      </c>
      <c r="V3175">
        <v>0.325404334624114</v>
      </c>
      <c r="W3175">
        <v>0.87094589458108596</v>
      </c>
      <c r="X3175">
        <v>0</v>
      </c>
      <c r="Y3175">
        <v>0</v>
      </c>
    </row>
    <row r="3176" spans="1:25" x14ac:dyDescent="0.2">
      <c r="A3176" t="s">
        <v>11754</v>
      </c>
      <c r="B3176" t="s">
        <v>11755</v>
      </c>
      <c r="C3176" t="s">
        <v>11756</v>
      </c>
      <c r="D3176" t="s">
        <v>11757</v>
      </c>
      <c r="E3176" t="s">
        <v>11755</v>
      </c>
      <c r="F3176" t="s">
        <v>28</v>
      </c>
      <c r="G3176" t="s">
        <v>11755</v>
      </c>
      <c r="H3176" t="str">
        <f>"mrpl-45"</f>
        <v>mrpl-45</v>
      </c>
      <c r="I3176" t="s">
        <v>11757</v>
      </c>
      <c r="J3176">
        <v>14.906824053074001</v>
      </c>
      <c r="K3176">
        <v>15.0782771518766</v>
      </c>
      <c r="L3176">
        <v>15.1209291071784</v>
      </c>
      <c r="M3176">
        <v>15.0398760873227</v>
      </c>
      <c r="N3176">
        <v>15.034643056697901</v>
      </c>
      <c r="O3176">
        <v>14.7502983491786</v>
      </c>
      <c r="P3176">
        <v>-9.3737606309938201E-2</v>
      </c>
      <c r="Q3176">
        <v>-0.59732523782598101</v>
      </c>
      <c r="R3176">
        <v>0.40985002520610497</v>
      </c>
      <c r="S3176">
        <v>15.031801912515199</v>
      </c>
      <c r="T3176">
        <v>-0.39122925022962401</v>
      </c>
      <c r="U3176">
        <v>-6.8028594241497</v>
      </c>
      <c r="V3176">
        <v>0.70024690165269698</v>
      </c>
      <c r="W3176">
        <v>0.98642420921484297</v>
      </c>
      <c r="X3176">
        <v>0</v>
      </c>
      <c r="Y3176">
        <v>0</v>
      </c>
    </row>
    <row r="3177" spans="1:25" x14ac:dyDescent="0.2">
      <c r="A3177" t="s">
        <v>11758</v>
      </c>
      <c r="B3177" t="s">
        <v>11759</v>
      </c>
      <c r="C3177" t="s">
        <v>11760</v>
      </c>
      <c r="D3177" t="s">
        <v>11761</v>
      </c>
      <c r="E3177" t="s">
        <v>11759</v>
      </c>
      <c r="F3177" t="s">
        <v>28</v>
      </c>
      <c r="G3177" t="s">
        <v>11759</v>
      </c>
      <c r="H3177" t="str">
        <f>"fusm-2"</f>
        <v>fusm-2</v>
      </c>
      <c r="I3177" t="s">
        <v>11761</v>
      </c>
      <c r="J3177">
        <v>11.829439945643401</v>
      </c>
      <c r="K3177">
        <v>11.9031551033989</v>
      </c>
      <c r="L3177">
        <v>12.0042965220506</v>
      </c>
      <c r="M3177">
        <v>12.4290738441168</v>
      </c>
      <c r="N3177">
        <v>12.320056215947901</v>
      </c>
      <c r="O3177">
        <v>12.302632075021499</v>
      </c>
      <c r="P3177">
        <v>0.43829018799779401</v>
      </c>
      <c r="Q3177">
        <v>7.1295312997833298E-3</v>
      </c>
      <c r="R3177">
        <v>0.86945084469580403</v>
      </c>
      <c r="S3177">
        <v>12.165651530342201</v>
      </c>
      <c r="T3177">
        <v>2.1561161535145601</v>
      </c>
      <c r="U3177">
        <v>-4.7406605343061496</v>
      </c>
      <c r="V3177">
        <v>4.6746211549878201E-2</v>
      </c>
      <c r="W3177">
        <v>0.47000420555285399</v>
      </c>
      <c r="X3177">
        <v>0</v>
      </c>
      <c r="Y3177">
        <v>0</v>
      </c>
    </row>
    <row r="3178" spans="1:25" x14ac:dyDescent="0.2">
      <c r="A3178" t="s">
        <v>11762</v>
      </c>
      <c r="B3178" t="s">
        <v>11763</v>
      </c>
      <c r="C3178" t="s">
        <v>11764</v>
      </c>
      <c r="D3178" t="s">
        <v>1151</v>
      </c>
      <c r="E3178" t="s">
        <v>11763</v>
      </c>
      <c r="F3178" t="s">
        <v>28</v>
      </c>
      <c r="G3178" t="s">
        <v>11763</v>
      </c>
      <c r="H3178" t="str">
        <f>"zig-9"</f>
        <v>zig-9</v>
      </c>
      <c r="I3178" t="s">
        <v>1151</v>
      </c>
      <c r="J3178">
        <v>14.4893682758922</v>
      </c>
      <c r="K3178">
        <v>14.1731379086775</v>
      </c>
      <c r="L3178">
        <v>13.7687794429843</v>
      </c>
      <c r="M3178">
        <v>13.7596720231574</v>
      </c>
      <c r="N3178">
        <v>13.971696244118201</v>
      </c>
      <c r="O3178">
        <v>14.263571542365</v>
      </c>
      <c r="P3178">
        <v>-0.14544860597113601</v>
      </c>
      <c r="Q3178">
        <v>-0.68324226256624598</v>
      </c>
      <c r="R3178">
        <v>0.39234505062397301</v>
      </c>
      <c r="S3178">
        <v>13.627842042197299</v>
      </c>
      <c r="T3178">
        <v>-0.58047802132329396</v>
      </c>
      <c r="U3178">
        <v>-6.7059038532391204</v>
      </c>
      <c r="V3178">
        <v>0.57088707877885403</v>
      </c>
      <c r="W3178">
        <v>0.96052030798546795</v>
      </c>
      <c r="X3178">
        <v>0</v>
      </c>
      <c r="Y3178">
        <v>0</v>
      </c>
    </row>
    <row r="3179" spans="1:25" x14ac:dyDescent="0.2">
      <c r="A3179" t="s">
        <v>11765</v>
      </c>
      <c r="B3179" t="s">
        <v>11766</v>
      </c>
      <c r="C3179" t="s">
        <v>11767</v>
      </c>
      <c r="D3179" t="s">
        <v>11768</v>
      </c>
      <c r="E3179" t="s">
        <v>11766</v>
      </c>
      <c r="F3179" t="s">
        <v>28</v>
      </c>
      <c r="G3179" t="s">
        <v>11766</v>
      </c>
      <c r="H3179" t="str">
        <f>"bet-1"</f>
        <v>bet-1</v>
      </c>
      <c r="I3179" t="s">
        <v>11768</v>
      </c>
      <c r="J3179" t="s">
        <v>29</v>
      </c>
      <c r="K3179" t="s">
        <v>29</v>
      </c>
      <c r="L3179" t="s">
        <v>29</v>
      </c>
      <c r="M3179" t="s">
        <v>29</v>
      </c>
      <c r="N3179" t="s">
        <v>29</v>
      </c>
      <c r="O3179" t="s">
        <v>29</v>
      </c>
      <c r="P3179" t="s">
        <v>29</v>
      </c>
      <c r="Q3179" t="s">
        <v>29</v>
      </c>
      <c r="R3179" t="s">
        <v>29</v>
      </c>
      <c r="S3179">
        <v>11.1419772264139</v>
      </c>
      <c r="T3179" t="s">
        <v>29</v>
      </c>
      <c r="U3179" t="s">
        <v>29</v>
      </c>
      <c r="V3179" t="s">
        <v>29</v>
      </c>
      <c r="W3179" t="s">
        <v>29</v>
      </c>
      <c r="X3179" t="s">
        <v>29</v>
      </c>
      <c r="Y3179" t="s">
        <v>29</v>
      </c>
    </row>
    <row r="3180" spans="1:25" x14ac:dyDescent="0.2">
      <c r="A3180" t="s">
        <v>11769</v>
      </c>
      <c r="B3180" t="s">
        <v>11770</v>
      </c>
      <c r="C3180" t="s">
        <v>11771</v>
      </c>
      <c r="D3180" t="s">
        <v>11772</v>
      </c>
      <c r="E3180" t="s">
        <v>11770</v>
      </c>
      <c r="F3180" t="s">
        <v>28</v>
      </c>
      <c r="G3180" t="s">
        <v>11770</v>
      </c>
      <c r="H3180" t="str">
        <f>"rnf-145"</f>
        <v>rnf-145</v>
      </c>
      <c r="I3180" t="s">
        <v>11772</v>
      </c>
      <c r="J3180" t="s">
        <v>29</v>
      </c>
      <c r="K3180" t="s">
        <v>29</v>
      </c>
      <c r="L3180" t="s">
        <v>29</v>
      </c>
      <c r="M3180" t="s">
        <v>29</v>
      </c>
      <c r="N3180">
        <v>10.454383748316101</v>
      </c>
      <c r="O3180" t="s">
        <v>29</v>
      </c>
      <c r="P3180" t="s">
        <v>29</v>
      </c>
      <c r="Q3180" t="s">
        <v>29</v>
      </c>
      <c r="R3180" t="s">
        <v>29</v>
      </c>
      <c r="S3180">
        <v>10.6203061812196</v>
      </c>
      <c r="T3180" t="s">
        <v>29</v>
      </c>
      <c r="U3180" t="s">
        <v>29</v>
      </c>
      <c r="V3180" t="s">
        <v>29</v>
      </c>
      <c r="W3180" t="s">
        <v>29</v>
      </c>
      <c r="X3180" t="s">
        <v>29</v>
      </c>
      <c r="Y3180" t="s">
        <v>29</v>
      </c>
    </row>
    <row r="3181" spans="1:25" x14ac:dyDescent="0.2">
      <c r="A3181" t="s">
        <v>11773</v>
      </c>
      <c r="B3181" t="s">
        <v>11774</v>
      </c>
      <c r="C3181" t="s">
        <v>11775</v>
      </c>
      <c r="D3181" t="s">
        <v>11776</v>
      </c>
      <c r="E3181" t="s">
        <v>11774</v>
      </c>
      <c r="F3181" t="s">
        <v>28</v>
      </c>
      <c r="G3181" t="s">
        <v>11774</v>
      </c>
      <c r="H3181" t="str">
        <f>"mrpl-19"</f>
        <v>mrpl-19</v>
      </c>
      <c r="I3181" t="s">
        <v>11776</v>
      </c>
      <c r="J3181">
        <v>13.5540843768316</v>
      </c>
      <c r="K3181">
        <v>13.767852292796199</v>
      </c>
      <c r="L3181">
        <v>13.6291956780167</v>
      </c>
      <c r="M3181">
        <v>13.4710669883533</v>
      </c>
      <c r="N3181">
        <v>13.034185289022499</v>
      </c>
      <c r="O3181">
        <v>13.2819306486874</v>
      </c>
      <c r="P3181">
        <v>-0.38798314052710697</v>
      </c>
      <c r="Q3181">
        <v>-0.82308045441587097</v>
      </c>
      <c r="R3181">
        <v>4.7114173361658199E-2</v>
      </c>
      <c r="S3181">
        <v>13.537243961505499</v>
      </c>
      <c r="T3181">
        <v>-1.8742130828150201</v>
      </c>
      <c r="U3181">
        <v>-5.2083300217140698</v>
      </c>
      <c r="V3181">
        <v>7.7322748154882201E-2</v>
      </c>
      <c r="W3181">
        <v>0.59705360988270995</v>
      </c>
      <c r="X3181">
        <v>0</v>
      </c>
      <c r="Y3181">
        <v>0</v>
      </c>
    </row>
    <row r="3182" spans="1:25" x14ac:dyDescent="0.2">
      <c r="A3182" t="s">
        <v>11777</v>
      </c>
      <c r="B3182" t="s">
        <v>11778</v>
      </c>
      <c r="C3182" t="s">
        <v>11779</v>
      </c>
      <c r="D3182" t="s">
        <v>11780</v>
      </c>
      <c r="E3182" t="s">
        <v>11778</v>
      </c>
      <c r="F3182" t="s">
        <v>28</v>
      </c>
      <c r="G3182" t="s">
        <v>11778</v>
      </c>
      <c r="H3182" t="str">
        <f>"hcp-6"</f>
        <v>hcp-6</v>
      </c>
      <c r="I3182" t="s">
        <v>11780</v>
      </c>
      <c r="J3182" t="s">
        <v>29</v>
      </c>
      <c r="K3182" t="s">
        <v>29</v>
      </c>
      <c r="L3182" t="s">
        <v>29</v>
      </c>
      <c r="M3182" t="s">
        <v>29</v>
      </c>
      <c r="N3182">
        <v>11.0443090210672</v>
      </c>
      <c r="O3182">
        <v>11.081796295206599</v>
      </c>
      <c r="P3182" t="s">
        <v>29</v>
      </c>
      <c r="Q3182" t="s">
        <v>29</v>
      </c>
      <c r="R3182" t="s">
        <v>29</v>
      </c>
      <c r="S3182">
        <v>11.589944636262601</v>
      </c>
      <c r="T3182" t="s">
        <v>29</v>
      </c>
      <c r="U3182" t="s">
        <v>29</v>
      </c>
      <c r="V3182" t="s">
        <v>29</v>
      </c>
      <c r="W3182" t="s">
        <v>29</v>
      </c>
      <c r="X3182" t="s">
        <v>29</v>
      </c>
      <c r="Y3182" t="s">
        <v>29</v>
      </c>
    </row>
    <row r="3183" spans="1:25" x14ac:dyDescent="0.2">
      <c r="A3183" t="s">
        <v>11781</v>
      </c>
      <c r="B3183" t="s">
        <v>11782</v>
      </c>
      <c r="C3183" t="s">
        <v>11783</v>
      </c>
      <c r="D3183" t="s">
        <v>11784</v>
      </c>
      <c r="E3183" t="s">
        <v>11782</v>
      </c>
      <c r="F3183" t="s">
        <v>28</v>
      </c>
      <c r="G3183" t="s">
        <v>11782</v>
      </c>
      <c r="H3183" t="str">
        <f>"lpd-7"</f>
        <v>lpd-7</v>
      </c>
      <c r="I3183" t="s">
        <v>11784</v>
      </c>
      <c r="J3183">
        <v>15.915421097740399</v>
      </c>
      <c r="K3183">
        <v>15.915366224172001</v>
      </c>
      <c r="L3183">
        <v>15.8586147526849</v>
      </c>
      <c r="M3183">
        <v>15.9087043671678</v>
      </c>
      <c r="N3183">
        <v>15.5706763512839</v>
      </c>
      <c r="O3183">
        <v>15.795280958111601</v>
      </c>
      <c r="P3183">
        <v>-0.13824679934464601</v>
      </c>
      <c r="Q3183">
        <v>-0.49412625033177698</v>
      </c>
      <c r="R3183">
        <v>0.21763265164248499</v>
      </c>
      <c r="S3183">
        <v>15.976036007395001</v>
      </c>
      <c r="T3183">
        <v>-0.81647837503844101</v>
      </c>
      <c r="U3183">
        <v>-6.5405693582168398</v>
      </c>
      <c r="V3183">
        <v>0.42496276735398703</v>
      </c>
      <c r="W3183">
        <v>0.91512503332874395</v>
      </c>
      <c r="X3183">
        <v>0</v>
      </c>
      <c r="Y3183">
        <v>0</v>
      </c>
    </row>
    <row r="3184" spans="1:25" x14ac:dyDescent="0.2">
      <c r="A3184" t="s">
        <v>11785</v>
      </c>
      <c r="B3184" t="s">
        <v>11786</v>
      </c>
      <c r="C3184" t="s">
        <v>11787</v>
      </c>
      <c r="D3184" t="s">
        <v>11788</v>
      </c>
      <c r="E3184" t="s">
        <v>11786</v>
      </c>
      <c r="F3184" t="s">
        <v>28</v>
      </c>
      <c r="G3184" t="s">
        <v>11786</v>
      </c>
      <c r="H3184" t="str">
        <f>"rpl-9"</f>
        <v>rpl-9</v>
      </c>
      <c r="I3184" t="s">
        <v>11788</v>
      </c>
      <c r="J3184">
        <v>21.399571618648199</v>
      </c>
      <c r="K3184">
        <v>21.518046792006999</v>
      </c>
      <c r="L3184">
        <v>21.435586056825802</v>
      </c>
      <c r="M3184">
        <v>21.059316017630799</v>
      </c>
      <c r="N3184">
        <v>20.861698226258898</v>
      </c>
      <c r="O3184">
        <v>21.369036525877</v>
      </c>
      <c r="P3184">
        <v>-0.35438456590478801</v>
      </c>
      <c r="Q3184">
        <v>-0.90092389796420203</v>
      </c>
      <c r="R3184">
        <v>0.19215476615462701</v>
      </c>
      <c r="S3184">
        <v>20.6660036601027</v>
      </c>
      <c r="T3184">
        <v>-1.36284319746716</v>
      </c>
      <c r="U3184">
        <v>-5.95964558017823</v>
      </c>
      <c r="V3184">
        <v>0.18983691632772801</v>
      </c>
      <c r="W3184">
        <v>0.78295732499061499</v>
      </c>
      <c r="X3184">
        <v>0</v>
      </c>
      <c r="Y3184">
        <v>0</v>
      </c>
    </row>
    <row r="3185" spans="1:25" x14ac:dyDescent="0.2">
      <c r="A3185" t="s">
        <v>11789</v>
      </c>
      <c r="B3185" t="s">
        <v>11790</v>
      </c>
      <c r="C3185" t="s">
        <v>11791</v>
      </c>
      <c r="D3185" t="s">
        <v>11792</v>
      </c>
      <c r="E3185" t="s">
        <v>11790</v>
      </c>
      <c r="F3185" t="s">
        <v>28</v>
      </c>
      <c r="G3185" t="s">
        <v>11790</v>
      </c>
      <c r="H3185" t="str">
        <f>"rpa-2"</f>
        <v>rpa-2</v>
      </c>
      <c r="I3185" t="s">
        <v>11792</v>
      </c>
      <c r="J3185">
        <v>12.1040186045407</v>
      </c>
      <c r="K3185">
        <v>12.2445391765623</v>
      </c>
      <c r="L3185">
        <v>12.6593661445287</v>
      </c>
      <c r="M3185">
        <v>11.615009716755401</v>
      </c>
      <c r="N3185">
        <v>12.398359454768499</v>
      </c>
      <c r="O3185">
        <v>12.0160938820328</v>
      </c>
      <c r="P3185">
        <v>-0.326153624024977</v>
      </c>
      <c r="Q3185">
        <v>-1.6085416370143799</v>
      </c>
      <c r="R3185">
        <v>0.95623438896442303</v>
      </c>
      <c r="S3185">
        <v>12.999024289506901</v>
      </c>
      <c r="T3185">
        <v>-0.53945135522871501</v>
      </c>
      <c r="U3185">
        <v>-6.7308245763817398</v>
      </c>
      <c r="V3185">
        <v>0.59705185714896403</v>
      </c>
      <c r="W3185">
        <v>0.96643413452906302</v>
      </c>
      <c r="X3185">
        <v>0</v>
      </c>
      <c r="Y3185">
        <v>0</v>
      </c>
    </row>
    <row r="3186" spans="1:25" x14ac:dyDescent="0.2">
      <c r="A3186" t="s">
        <v>11793</v>
      </c>
      <c r="B3186" t="s">
        <v>11794</v>
      </c>
      <c r="C3186" t="s">
        <v>11795</v>
      </c>
      <c r="D3186" t="s">
        <v>3015</v>
      </c>
      <c r="E3186" t="s">
        <v>11794</v>
      </c>
      <c r="F3186" t="s">
        <v>28</v>
      </c>
      <c r="G3186" t="s">
        <v>11794</v>
      </c>
      <c r="H3186" t="str">
        <f>"cas-1"</f>
        <v>cas-1</v>
      </c>
      <c r="I3186" t="s">
        <v>3015</v>
      </c>
      <c r="J3186">
        <v>12.9517087802276</v>
      </c>
      <c r="K3186">
        <v>12.8508165567725</v>
      </c>
      <c r="L3186">
        <v>13.2594132509975</v>
      </c>
      <c r="M3186">
        <v>12.8660855453944</v>
      </c>
      <c r="N3186">
        <v>12.6933004180766</v>
      </c>
      <c r="O3186">
        <v>13.2903946410948</v>
      </c>
      <c r="P3186">
        <v>-7.0719327810602195E-2</v>
      </c>
      <c r="Q3186">
        <v>-0.65100698799797996</v>
      </c>
      <c r="R3186">
        <v>0.50956833237677501</v>
      </c>
      <c r="S3186">
        <v>12.851732240907101</v>
      </c>
      <c r="T3186">
        <v>-0.25849034040195201</v>
      </c>
      <c r="U3186">
        <v>-6.8474196195146204</v>
      </c>
      <c r="V3186">
        <v>0.79934581673254301</v>
      </c>
      <c r="W3186">
        <v>0.99278624068726296</v>
      </c>
      <c r="X3186">
        <v>0</v>
      </c>
      <c r="Y3186">
        <v>0</v>
      </c>
    </row>
    <row r="3187" spans="1:25" x14ac:dyDescent="0.2">
      <c r="A3187" t="s">
        <v>11796</v>
      </c>
      <c r="B3187" t="s">
        <v>11797</v>
      </c>
      <c r="C3187" t="s">
        <v>11798</v>
      </c>
      <c r="D3187" t="s">
        <v>11799</v>
      </c>
      <c r="E3187" t="s">
        <v>11797</v>
      </c>
      <c r="F3187" t="s">
        <v>28</v>
      </c>
      <c r="G3187" t="s">
        <v>11797</v>
      </c>
      <c r="H3187" t="str">
        <f>"acdh-9"</f>
        <v>acdh-9</v>
      </c>
      <c r="I3187" t="s">
        <v>11799</v>
      </c>
      <c r="J3187">
        <v>16.382520421423401</v>
      </c>
      <c r="K3187">
        <v>16.173740800951698</v>
      </c>
      <c r="L3187">
        <v>16.349775557738401</v>
      </c>
      <c r="M3187">
        <v>16.040131358132999</v>
      </c>
      <c r="N3187">
        <v>16.3894919564204</v>
      </c>
      <c r="O3187">
        <v>16.088618637202</v>
      </c>
      <c r="P3187">
        <v>-0.129264942786008</v>
      </c>
      <c r="Q3187">
        <v>-0.54789574107977601</v>
      </c>
      <c r="R3187">
        <v>0.28936585550775901</v>
      </c>
      <c r="S3187">
        <v>16.112005058353901</v>
      </c>
      <c r="T3187">
        <v>-0.64899611285756398</v>
      </c>
      <c r="U3187">
        <v>-6.66499176452366</v>
      </c>
      <c r="V3187">
        <v>0.52458341117954399</v>
      </c>
      <c r="W3187">
        <v>0.94259531549477504</v>
      </c>
      <c r="X3187">
        <v>0</v>
      </c>
      <c r="Y3187">
        <v>0</v>
      </c>
    </row>
    <row r="3188" spans="1:25" x14ac:dyDescent="0.2">
      <c r="A3188" t="s">
        <v>11800</v>
      </c>
      <c r="B3188" t="s">
        <v>11801</v>
      </c>
      <c r="C3188" t="s">
        <v>11802</v>
      </c>
      <c r="D3188" t="s">
        <v>1170</v>
      </c>
      <c r="E3188" t="s">
        <v>11801</v>
      </c>
      <c r="F3188" t="s">
        <v>28</v>
      </c>
      <c r="G3188" t="s">
        <v>11801</v>
      </c>
      <c r="H3188" t="str">
        <f>"ptr-4"</f>
        <v>ptr-4</v>
      </c>
      <c r="I3188" t="s">
        <v>1170</v>
      </c>
      <c r="J3188" t="s">
        <v>29</v>
      </c>
      <c r="K3188">
        <v>12.5827533643103</v>
      </c>
      <c r="L3188">
        <v>11.848591010843601</v>
      </c>
      <c r="M3188">
        <v>12.938029885380599</v>
      </c>
      <c r="N3188">
        <v>12.547412915548399</v>
      </c>
      <c r="O3188">
        <v>12.1137831988946</v>
      </c>
      <c r="P3188">
        <v>0.31740314569759098</v>
      </c>
      <c r="Q3188">
        <v>-0.29112129460254599</v>
      </c>
      <c r="R3188">
        <v>0.92592758599772895</v>
      </c>
      <c r="S3188">
        <v>11.9062446780774</v>
      </c>
      <c r="T3188">
        <v>1.11950256722923</v>
      </c>
      <c r="U3188">
        <v>-6.1376801610489498</v>
      </c>
      <c r="V3188">
        <v>0.28190492610050699</v>
      </c>
      <c r="W3188">
        <v>0.856190392347986</v>
      </c>
      <c r="X3188">
        <v>0</v>
      </c>
      <c r="Y3188">
        <v>0</v>
      </c>
    </row>
    <row r="3189" spans="1:25" x14ac:dyDescent="0.2">
      <c r="A3189" t="s">
        <v>11803</v>
      </c>
      <c r="B3189" t="s">
        <v>11804</v>
      </c>
      <c r="C3189" t="s">
        <v>11805</v>
      </c>
      <c r="D3189" t="s">
        <v>11806</v>
      </c>
      <c r="E3189" t="s">
        <v>11804</v>
      </c>
      <c r="F3189" t="s">
        <v>28</v>
      </c>
      <c r="G3189" t="s">
        <v>11804</v>
      </c>
      <c r="H3189" t="str">
        <f>"vha-16"</f>
        <v>vha-16</v>
      </c>
      <c r="I3189" t="s">
        <v>11806</v>
      </c>
      <c r="J3189">
        <v>12.301362933516501</v>
      </c>
      <c r="K3189">
        <v>12.934559301794501</v>
      </c>
      <c r="L3189">
        <v>12.751940406238701</v>
      </c>
      <c r="M3189">
        <v>12.943514816612799</v>
      </c>
      <c r="N3189">
        <v>12.9800718289057</v>
      </c>
      <c r="O3189">
        <v>12.957359223945</v>
      </c>
      <c r="P3189">
        <v>0.29769440930462898</v>
      </c>
      <c r="Q3189">
        <v>-0.33493485044346599</v>
      </c>
      <c r="R3189">
        <v>0.93032366905272401</v>
      </c>
      <c r="S3189">
        <v>13.027353350101601</v>
      </c>
      <c r="T3189">
        <v>0.99327937406109201</v>
      </c>
      <c r="U3189">
        <v>-6.3800613277112301</v>
      </c>
      <c r="V3189">
        <v>0.33458760673683902</v>
      </c>
      <c r="W3189">
        <v>0.87368774661315896</v>
      </c>
      <c r="X3189">
        <v>0</v>
      </c>
      <c r="Y3189">
        <v>0</v>
      </c>
    </row>
    <row r="3190" spans="1:25" x14ac:dyDescent="0.2">
      <c r="A3190" t="s">
        <v>11807</v>
      </c>
      <c r="B3190" t="s">
        <v>11808</v>
      </c>
      <c r="C3190" t="s">
        <v>11809</v>
      </c>
      <c r="D3190" t="s">
        <v>8596</v>
      </c>
      <c r="E3190" t="s">
        <v>11808</v>
      </c>
      <c r="F3190" t="s">
        <v>28</v>
      </c>
      <c r="G3190" t="s">
        <v>11808</v>
      </c>
      <c r="H3190" t="str">
        <f>"idhg-2"</f>
        <v>idhg-2</v>
      </c>
      <c r="I3190" t="s">
        <v>8596</v>
      </c>
      <c r="J3190">
        <v>13.680651379544599</v>
      </c>
      <c r="K3190">
        <v>13.627447430584199</v>
      </c>
      <c r="L3190">
        <v>13.1649051531961</v>
      </c>
      <c r="M3190">
        <v>13.3733645031359</v>
      </c>
      <c r="N3190">
        <v>12.881024257813401</v>
      </c>
      <c r="O3190">
        <v>13.249024549697101</v>
      </c>
      <c r="P3190">
        <v>-0.32319688422616399</v>
      </c>
      <c r="Q3190">
        <v>-0.98242029599341196</v>
      </c>
      <c r="R3190">
        <v>0.33602652754108397</v>
      </c>
      <c r="S3190">
        <v>13.512337186843901</v>
      </c>
      <c r="T3190">
        <v>-1.0304503139569201</v>
      </c>
      <c r="U3190">
        <v>-6.3436862424230496</v>
      </c>
      <c r="V3190">
        <v>0.31652563825052599</v>
      </c>
      <c r="W3190">
        <v>0.86534615141322802</v>
      </c>
      <c r="X3190">
        <v>0</v>
      </c>
      <c r="Y3190">
        <v>0</v>
      </c>
    </row>
    <row r="3191" spans="1:25" x14ac:dyDescent="0.2">
      <c r="A3191" t="s">
        <v>11810</v>
      </c>
      <c r="B3191" t="s">
        <v>11811</v>
      </c>
      <c r="C3191" t="s">
        <v>11812</v>
      </c>
      <c r="D3191" t="s">
        <v>11813</v>
      </c>
      <c r="E3191" t="s">
        <v>11811</v>
      </c>
      <c r="F3191" t="s">
        <v>28</v>
      </c>
      <c r="G3191" t="s">
        <v>11811</v>
      </c>
      <c r="H3191" t="str">
        <f>"C30F12.2"</f>
        <v>C30F12.2</v>
      </c>
      <c r="I3191" t="s">
        <v>11813</v>
      </c>
      <c r="J3191">
        <v>14.1899123422894</v>
      </c>
      <c r="K3191">
        <v>13.986835216043399</v>
      </c>
      <c r="L3191">
        <v>14.328454217677301</v>
      </c>
      <c r="M3191">
        <v>14.4508438884721</v>
      </c>
      <c r="N3191">
        <v>14.309606360878201</v>
      </c>
      <c r="O3191">
        <v>13.9902054039252</v>
      </c>
      <c r="P3191">
        <v>8.1817959088487796E-2</v>
      </c>
      <c r="Q3191">
        <v>-0.36012317325500498</v>
      </c>
      <c r="R3191">
        <v>0.52375909143197996</v>
      </c>
      <c r="S3191">
        <v>14.4023789879828</v>
      </c>
      <c r="T3191">
        <v>0.39078171189517102</v>
      </c>
      <c r="U3191">
        <v>-6.8028120347438996</v>
      </c>
      <c r="V3191">
        <v>0.70084233595993595</v>
      </c>
      <c r="W3191">
        <v>0.98642420921484297</v>
      </c>
      <c r="X3191">
        <v>0</v>
      </c>
      <c r="Y3191">
        <v>0</v>
      </c>
    </row>
    <row r="3192" spans="1:25" x14ac:dyDescent="0.2">
      <c r="A3192" t="s">
        <v>11814</v>
      </c>
      <c r="B3192" t="s">
        <v>11815</v>
      </c>
      <c r="C3192" t="s">
        <v>11816</v>
      </c>
      <c r="D3192" t="s">
        <v>11817</v>
      </c>
      <c r="E3192" t="s">
        <v>11815</v>
      </c>
      <c r="F3192" t="s">
        <v>28</v>
      </c>
      <c r="G3192" t="s">
        <v>11815</v>
      </c>
      <c r="H3192" t="str">
        <f>"lig-4"</f>
        <v>lig-4</v>
      </c>
      <c r="I3192" t="s">
        <v>11817</v>
      </c>
      <c r="J3192">
        <v>11.2464747915531</v>
      </c>
      <c r="K3192" t="s">
        <v>29</v>
      </c>
      <c r="L3192">
        <v>11.7547292038594</v>
      </c>
      <c r="M3192" t="s">
        <v>29</v>
      </c>
      <c r="N3192" t="s">
        <v>29</v>
      </c>
      <c r="O3192">
        <v>12.163740094076701</v>
      </c>
      <c r="P3192">
        <v>0.66313809637048804</v>
      </c>
      <c r="Q3192">
        <v>-0.89720526280169299</v>
      </c>
      <c r="R3192">
        <v>2.2234814555426698</v>
      </c>
      <c r="S3192">
        <v>12.156887578053301</v>
      </c>
      <c r="T3192">
        <v>0.93650800646441001</v>
      </c>
      <c r="U3192">
        <v>-6.0339019249770303</v>
      </c>
      <c r="V3192">
        <v>0.36930653529537599</v>
      </c>
      <c r="W3192">
        <v>0.89092663541315897</v>
      </c>
      <c r="X3192">
        <v>0</v>
      </c>
      <c r="Y3192">
        <v>0</v>
      </c>
    </row>
    <row r="3193" spans="1:25" x14ac:dyDescent="0.2">
      <c r="A3193" t="s">
        <v>11818</v>
      </c>
      <c r="B3193" t="s">
        <v>11819</v>
      </c>
      <c r="C3193" t="s">
        <v>11820</v>
      </c>
      <c r="D3193" t="s">
        <v>93</v>
      </c>
      <c r="E3193" t="s">
        <v>11819</v>
      </c>
      <c r="F3193" t="s">
        <v>28</v>
      </c>
      <c r="G3193" t="s">
        <v>11819</v>
      </c>
      <c r="H3193" t="str">
        <f>"cux-7"</f>
        <v>cux-7</v>
      </c>
      <c r="I3193" t="s">
        <v>93</v>
      </c>
      <c r="J3193">
        <v>12.3809590966231</v>
      </c>
      <c r="K3193">
        <v>12.5902216970434</v>
      </c>
      <c r="L3193">
        <v>12.4246128616238</v>
      </c>
      <c r="M3193">
        <v>12.5176235507653</v>
      </c>
      <c r="N3193">
        <v>12.7419075745611</v>
      </c>
      <c r="O3193">
        <v>12.1641865067096</v>
      </c>
      <c r="P3193">
        <v>9.3079922485976904E-3</v>
      </c>
      <c r="Q3193">
        <v>-0.42323706819090101</v>
      </c>
      <c r="R3193">
        <v>0.44185305268809699</v>
      </c>
      <c r="S3193">
        <v>12.508434095577099</v>
      </c>
      <c r="T3193">
        <v>4.5422880252850899E-2</v>
      </c>
      <c r="U3193">
        <v>-6.8814082261436598</v>
      </c>
      <c r="V3193">
        <v>0.96430281551017905</v>
      </c>
      <c r="W3193">
        <v>0.99968702248720698</v>
      </c>
      <c r="X3193">
        <v>0</v>
      </c>
      <c r="Y3193">
        <v>0</v>
      </c>
    </row>
    <row r="3194" spans="1:25" x14ac:dyDescent="0.2">
      <c r="A3194" t="s">
        <v>11821</v>
      </c>
      <c r="B3194" t="s">
        <v>11822</v>
      </c>
      <c r="C3194" t="s">
        <v>11823</v>
      </c>
      <c r="D3194" t="s">
        <v>11824</v>
      </c>
      <c r="E3194" t="s">
        <v>11822</v>
      </c>
      <c r="F3194" t="s">
        <v>28</v>
      </c>
      <c r="G3194" t="s">
        <v>11822</v>
      </c>
      <c r="H3194" t="str">
        <f>"clk-2"</f>
        <v>clk-2</v>
      </c>
      <c r="I3194" t="s">
        <v>11824</v>
      </c>
      <c r="J3194" t="s">
        <v>29</v>
      </c>
      <c r="K3194" t="s">
        <v>29</v>
      </c>
      <c r="L3194" t="s">
        <v>29</v>
      </c>
      <c r="M3194" t="s">
        <v>29</v>
      </c>
      <c r="N3194" t="s">
        <v>29</v>
      </c>
      <c r="O3194" t="s">
        <v>29</v>
      </c>
      <c r="P3194" t="s">
        <v>29</v>
      </c>
      <c r="Q3194" t="s">
        <v>29</v>
      </c>
      <c r="R3194" t="s">
        <v>29</v>
      </c>
      <c r="S3194">
        <v>10.6693165575959</v>
      </c>
      <c r="T3194" t="s">
        <v>29</v>
      </c>
      <c r="U3194" t="s">
        <v>29</v>
      </c>
      <c r="V3194" t="s">
        <v>29</v>
      </c>
      <c r="W3194" t="s">
        <v>29</v>
      </c>
      <c r="X3194" t="s">
        <v>29</v>
      </c>
      <c r="Y3194" t="s">
        <v>29</v>
      </c>
    </row>
    <row r="3195" spans="1:25" x14ac:dyDescent="0.2">
      <c r="A3195" t="s">
        <v>11825</v>
      </c>
      <c r="B3195" t="s">
        <v>11826</v>
      </c>
      <c r="C3195" t="s">
        <v>11827</v>
      </c>
      <c r="D3195" t="s">
        <v>11828</v>
      </c>
      <c r="E3195" t="s">
        <v>11826</v>
      </c>
      <c r="F3195" t="s">
        <v>28</v>
      </c>
      <c r="G3195" t="s">
        <v>11826</v>
      </c>
      <c r="H3195" t="str">
        <f>"sap-140"</f>
        <v>sap-140</v>
      </c>
      <c r="I3195" t="s">
        <v>11828</v>
      </c>
      <c r="J3195">
        <v>11.017599868294599</v>
      </c>
      <c r="K3195">
        <v>12.3633453416676</v>
      </c>
      <c r="L3195">
        <v>12.1513695089181</v>
      </c>
      <c r="M3195" t="s">
        <v>29</v>
      </c>
      <c r="N3195">
        <v>12.540780550656899</v>
      </c>
      <c r="O3195" t="s">
        <v>29</v>
      </c>
      <c r="P3195">
        <v>0.69667564436347895</v>
      </c>
      <c r="Q3195">
        <v>-0.52310778526789803</v>
      </c>
      <c r="R3195">
        <v>1.9164590739948599</v>
      </c>
      <c r="S3195">
        <v>12.4000432574875</v>
      </c>
      <c r="T3195">
        <v>1.2349095326077599</v>
      </c>
      <c r="U3195">
        <v>-5.7812235559626499</v>
      </c>
      <c r="V3195">
        <v>0.238893153410562</v>
      </c>
      <c r="W3195">
        <v>0.82387193217652799</v>
      </c>
      <c r="X3195">
        <v>0</v>
      </c>
      <c r="Y3195">
        <v>0</v>
      </c>
    </row>
    <row r="3196" spans="1:25" x14ac:dyDescent="0.2">
      <c r="A3196" t="s">
        <v>11829</v>
      </c>
      <c r="B3196" t="s">
        <v>11830</v>
      </c>
      <c r="C3196" t="s">
        <v>11831</v>
      </c>
      <c r="D3196" t="s">
        <v>11832</v>
      </c>
      <c r="E3196" t="s">
        <v>11830</v>
      </c>
      <c r="F3196" t="s">
        <v>28</v>
      </c>
      <c r="G3196" t="s">
        <v>11830</v>
      </c>
      <c r="H3196" t="str">
        <f>"cgh-1"</f>
        <v>cgh-1</v>
      </c>
      <c r="I3196" t="s">
        <v>11832</v>
      </c>
      <c r="J3196">
        <v>19.118457123387898</v>
      </c>
      <c r="K3196">
        <v>18.963540474172198</v>
      </c>
      <c r="L3196">
        <v>19.147715667708098</v>
      </c>
      <c r="M3196">
        <v>19.0795088598246</v>
      </c>
      <c r="N3196">
        <v>19.008433201416899</v>
      </c>
      <c r="O3196">
        <v>18.988585754774899</v>
      </c>
      <c r="P3196">
        <v>-5.10618164172634E-2</v>
      </c>
      <c r="Q3196">
        <v>-0.43486788776031299</v>
      </c>
      <c r="R3196">
        <v>0.33274425492578602</v>
      </c>
      <c r="S3196">
        <v>18.749597629217899</v>
      </c>
      <c r="T3196">
        <v>-0.27962560229622002</v>
      </c>
      <c r="U3196">
        <v>-6.8417251086863002</v>
      </c>
      <c r="V3196">
        <v>0.78297112489250498</v>
      </c>
      <c r="W3196">
        <v>0.99278624068726296</v>
      </c>
      <c r="X3196">
        <v>0</v>
      </c>
      <c r="Y3196">
        <v>0</v>
      </c>
    </row>
    <row r="3197" spans="1:25" x14ac:dyDescent="0.2">
      <c r="A3197" t="s">
        <v>11833</v>
      </c>
      <c r="B3197" t="s">
        <v>11834</v>
      </c>
      <c r="C3197" t="s">
        <v>11835</v>
      </c>
      <c r="D3197" t="s">
        <v>11836</v>
      </c>
      <c r="E3197" t="s">
        <v>11834</v>
      </c>
      <c r="F3197" t="s">
        <v>28</v>
      </c>
      <c r="G3197" t="s">
        <v>11834</v>
      </c>
      <c r="H3197" t="str">
        <f>"ZK353.9"</f>
        <v>ZK353.9</v>
      </c>
      <c r="I3197" t="s">
        <v>11836</v>
      </c>
      <c r="J3197" t="s">
        <v>29</v>
      </c>
      <c r="K3197" t="s">
        <v>29</v>
      </c>
      <c r="L3197" t="s">
        <v>29</v>
      </c>
      <c r="M3197">
        <v>10.8820028782678</v>
      </c>
      <c r="N3197" t="s">
        <v>29</v>
      </c>
      <c r="O3197" t="s">
        <v>29</v>
      </c>
      <c r="P3197" t="s">
        <v>29</v>
      </c>
      <c r="Q3197" t="s">
        <v>29</v>
      </c>
      <c r="R3197" t="s">
        <v>29</v>
      </c>
      <c r="S3197">
        <v>10.8025084278715</v>
      </c>
      <c r="T3197" t="s">
        <v>29</v>
      </c>
      <c r="U3197" t="s">
        <v>29</v>
      </c>
      <c r="V3197" t="s">
        <v>29</v>
      </c>
      <c r="W3197" t="s">
        <v>29</v>
      </c>
      <c r="X3197" t="s">
        <v>29</v>
      </c>
      <c r="Y3197" t="s">
        <v>29</v>
      </c>
    </row>
    <row r="3198" spans="1:25" x14ac:dyDescent="0.2">
      <c r="A3198" t="s">
        <v>11837</v>
      </c>
      <c r="B3198" t="s">
        <v>11838</v>
      </c>
      <c r="C3198" t="s">
        <v>14629</v>
      </c>
      <c r="D3198" t="s">
        <v>11839</v>
      </c>
      <c r="E3198" t="s">
        <v>11838</v>
      </c>
      <c r="F3198" t="s">
        <v>28</v>
      </c>
      <c r="G3198" t="s">
        <v>11838</v>
      </c>
      <c r="H3198" t="str">
        <f>"Y10G11A.1"</f>
        <v>Y10G11A.1</v>
      </c>
      <c r="I3198" t="s">
        <v>11839</v>
      </c>
      <c r="J3198">
        <v>13.9862202785168</v>
      </c>
      <c r="K3198">
        <v>13.194968023390301</v>
      </c>
      <c r="L3198">
        <v>12.8175116315767</v>
      </c>
      <c r="M3198" t="s">
        <v>29</v>
      </c>
      <c r="N3198">
        <v>14.3836277758548</v>
      </c>
      <c r="O3198" t="s">
        <v>29</v>
      </c>
      <c r="P3198">
        <v>1.0507277980269001</v>
      </c>
      <c r="Q3198">
        <v>-0.109116951324533</v>
      </c>
      <c r="R3198">
        <v>2.2105725473783302</v>
      </c>
      <c r="S3198">
        <v>13.2706366771483</v>
      </c>
      <c r="T3198">
        <v>1.9321105288723199</v>
      </c>
      <c r="U3198">
        <v>-4.80418616483857</v>
      </c>
      <c r="V3198">
        <v>7.2594637664737602E-2</v>
      </c>
      <c r="W3198">
        <v>0.57588154720099105</v>
      </c>
      <c r="X3198">
        <v>0</v>
      </c>
      <c r="Y3198">
        <v>0</v>
      </c>
    </row>
    <row r="3199" spans="1:25" x14ac:dyDescent="0.2">
      <c r="A3199" t="s">
        <v>11840</v>
      </c>
      <c r="B3199" t="s">
        <v>11841</v>
      </c>
      <c r="C3199" t="s">
        <v>11842</v>
      </c>
      <c r="D3199" t="s">
        <v>11843</v>
      </c>
      <c r="E3199" t="s">
        <v>11841</v>
      </c>
      <c r="F3199" t="s">
        <v>28</v>
      </c>
      <c r="G3199" t="s">
        <v>11841</v>
      </c>
      <c r="H3199" t="str">
        <f>"gld-3"</f>
        <v>gld-3</v>
      </c>
      <c r="I3199" t="s">
        <v>11843</v>
      </c>
      <c r="J3199">
        <v>14.187160240648</v>
      </c>
      <c r="K3199">
        <v>11.9646516047459</v>
      </c>
      <c r="L3199">
        <v>12.9686340781645</v>
      </c>
      <c r="M3199">
        <v>14.032492131463099</v>
      </c>
      <c r="N3199">
        <v>13.6599455688124</v>
      </c>
      <c r="O3199" t="s">
        <v>29</v>
      </c>
      <c r="P3199">
        <v>0.80607020895164205</v>
      </c>
      <c r="Q3199">
        <v>-0.16733539701473099</v>
      </c>
      <c r="R3199">
        <v>1.7794758149180101</v>
      </c>
      <c r="S3199">
        <v>13.6705213039059</v>
      </c>
      <c r="T3199">
        <v>1.7904667981026601</v>
      </c>
      <c r="U3199">
        <v>-5.2518325084411099</v>
      </c>
      <c r="V3199">
        <v>9.6871461625256602E-2</v>
      </c>
      <c r="W3199">
        <v>0.64348946963843101</v>
      </c>
      <c r="X3199">
        <v>0</v>
      </c>
      <c r="Y3199">
        <v>0</v>
      </c>
    </row>
    <row r="3200" spans="1:25" x14ac:dyDescent="0.2">
      <c r="A3200" t="s">
        <v>11844</v>
      </c>
      <c r="B3200" t="s">
        <v>11845</v>
      </c>
      <c r="C3200" t="s">
        <v>11846</v>
      </c>
      <c r="D3200" t="s">
        <v>11847</v>
      </c>
      <c r="E3200" t="s">
        <v>11845</v>
      </c>
      <c r="F3200" t="s">
        <v>28</v>
      </c>
      <c r="G3200" t="s">
        <v>11845</v>
      </c>
      <c r="H3200" t="str">
        <f>"aak-2"</f>
        <v>aak-2</v>
      </c>
      <c r="I3200" t="s">
        <v>11847</v>
      </c>
      <c r="J3200">
        <v>14.8968919194471</v>
      </c>
      <c r="K3200">
        <v>14.7346790546483</v>
      </c>
      <c r="L3200">
        <v>14.649766923707</v>
      </c>
      <c r="M3200">
        <v>14.8358298097153</v>
      </c>
      <c r="N3200">
        <v>14.985793174079999</v>
      </c>
      <c r="O3200">
        <v>14.6716571511251</v>
      </c>
      <c r="P3200">
        <v>7.0647412372665003E-2</v>
      </c>
      <c r="Q3200">
        <v>-0.27873800203980098</v>
      </c>
      <c r="R3200">
        <v>0.42003282678513099</v>
      </c>
      <c r="S3200">
        <v>14.7285092750364</v>
      </c>
      <c r="T3200">
        <v>0.42499517723111602</v>
      </c>
      <c r="U3200">
        <v>-6.7885934621184401</v>
      </c>
      <c r="V3200">
        <v>0.67590661472878</v>
      </c>
      <c r="W3200">
        <v>0.98642420921484297</v>
      </c>
      <c r="X3200">
        <v>0</v>
      </c>
      <c r="Y3200">
        <v>0</v>
      </c>
    </row>
    <row r="3201" spans="1:25" x14ac:dyDescent="0.2">
      <c r="A3201" t="s">
        <v>11848</v>
      </c>
      <c r="B3201" t="s">
        <v>11849</v>
      </c>
      <c r="C3201" t="s">
        <v>11850</v>
      </c>
      <c r="D3201" t="s">
        <v>11851</v>
      </c>
      <c r="E3201" t="s">
        <v>11849</v>
      </c>
      <c r="F3201" t="s">
        <v>28</v>
      </c>
      <c r="G3201" t="s">
        <v>11849</v>
      </c>
      <c r="H3201" t="str">
        <f>"pnn-1"</f>
        <v>pnn-1</v>
      </c>
      <c r="I3201" t="s">
        <v>11851</v>
      </c>
      <c r="J3201" t="s">
        <v>29</v>
      </c>
      <c r="K3201">
        <v>12.056410798539201</v>
      </c>
      <c r="L3201">
        <v>12.0823859429357</v>
      </c>
      <c r="M3201" t="s">
        <v>29</v>
      </c>
      <c r="N3201">
        <v>11.3576485465437</v>
      </c>
      <c r="O3201">
        <v>11.0753456420271</v>
      </c>
      <c r="P3201">
        <v>-0.85290127645208502</v>
      </c>
      <c r="Q3201">
        <v>-2.1697189775718599</v>
      </c>
      <c r="R3201">
        <v>0.46391642466768801</v>
      </c>
      <c r="S3201">
        <v>12.645905870978099</v>
      </c>
      <c r="T3201">
        <v>-1.42725246533091</v>
      </c>
      <c r="U3201">
        <v>-5.6799808541240999</v>
      </c>
      <c r="V3201">
        <v>0.18153386586349801</v>
      </c>
      <c r="W3201">
        <v>0.78295732499061499</v>
      </c>
      <c r="X3201">
        <v>0</v>
      </c>
      <c r="Y3201">
        <v>0</v>
      </c>
    </row>
    <row r="3202" spans="1:25" x14ac:dyDescent="0.2">
      <c r="A3202" t="s">
        <v>11852</v>
      </c>
      <c r="B3202" t="s">
        <v>11853</v>
      </c>
      <c r="C3202" t="s">
        <v>14630</v>
      </c>
      <c r="D3202" t="s">
        <v>11854</v>
      </c>
      <c r="E3202" t="s">
        <v>11853</v>
      </c>
      <c r="F3202" t="s">
        <v>28</v>
      </c>
      <c r="G3202" t="s">
        <v>11853</v>
      </c>
      <c r="H3202" t="str">
        <f>"R05D11.9"</f>
        <v>R05D11.9</v>
      </c>
      <c r="I3202" t="s">
        <v>11854</v>
      </c>
      <c r="J3202">
        <v>14.266574040703601</v>
      </c>
      <c r="K3202">
        <v>14.3449920030759</v>
      </c>
      <c r="L3202">
        <v>14.3136438190605</v>
      </c>
      <c r="M3202">
        <v>14.2608125788209</v>
      </c>
      <c r="N3202">
        <v>14.2765333414048</v>
      </c>
      <c r="O3202">
        <v>14.1272350370407</v>
      </c>
      <c r="P3202">
        <v>-8.6876301857840205E-2</v>
      </c>
      <c r="Q3202">
        <v>-0.55459187108917596</v>
      </c>
      <c r="R3202">
        <v>0.38083926737349499</v>
      </c>
      <c r="S3202">
        <v>14.212789249586599</v>
      </c>
      <c r="T3202">
        <v>-0.39040198027645101</v>
      </c>
      <c r="U3202">
        <v>-6.8031943931726202</v>
      </c>
      <c r="V3202">
        <v>0.70084759392917895</v>
      </c>
      <c r="W3202">
        <v>0.98642420921484297</v>
      </c>
      <c r="X3202">
        <v>0</v>
      </c>
      <c r="Y3202">
        <v>0</v>
      </c>
    </row>
    <row r="3203" spans="1:25" x14ac:dyDescent="0.2">
      <c r="A3203" t="s">
        <v>11855</v>
      </c>
      <c r="B3203" t="s">
        <v>11856</v>
      </c>
      <c r="C3203" t="s">
        <v>11857</v>
      </c>
      <c r="D3203" t="s">
        <v>412</v>
      </c>
      <c r="E3203" t="s">
        <v>11856</v>
      </c>
      <c r="F3203" t="s">
        <v>28</v>
      </c>
      <c r="G3203" t="s">
        <v>11856</v>
      </c>
      <c r="H3203" t="str">
        <f>"gfi-2"</f>
        <v>gfi-2</v>
      </c>
      <c r="I3203" t="s">
        <v>412</v>
      </c>
      <c r="J3203">
        <v>12.2188414919629</v>
      </c>
      <c r="K3203">
        <v>12.86523772832</v>
      </c>
      <c r="L3203">
        <v>12.9287202452701</v>
      </c>
      <c r="M3203">
        <v>13.4663359911907</v>
      </c>
      <c r="N3203">
        <v>13.6423373447694</v>
      </c>
      <c r="O3203">
        <v>13.158840064019801</v>
      </c>
      <c r="P3203">
        <v>0.75157131147561496</v>
      </c>
      <c r="Q3203">
        <v>0.22704718898533999</v>
      </c>
      <c r="R3203">
        <v>1.2760954339658901</v>
      </c>
      <c r="S3203">
        <v>13.0098106479281</v>
      </c>
      <c r="T3203">
        <v>3.0559506321354499</v>
      </c>
      <c r="U3203">
        <v>-3.0654500617808198</v>
      </c>
      <c r="V3203">
        <v>8.0584918125970306E-3</v>
      </c>
      <c r="W3203">
        <v>0.15592244623443599</v>
      </c>
      <c r="X3203">
        <v>0</v>
      </c>
      <c r="Y3203">
        <v>0</v>
      </c>
    </row>
    <row r="3204" spans="1:25" x14ac:dyDescent="0.2">
      <c r="A3204" t="s">
        <v>11858</v>
      </c>
      <c r="B3204" t="s">
        <v>11859</v>
      </c>
      <c r="C3204" t="s">
        <v>14631</v>
      </c>
      <c r="D3204" t="s">
        <v>11860</v>
      </c>
      <c r="E3204" t="s">
        <v>11859</v>
      </c>
      <c r="F3204" t="s">
        <v>28</v>
      </c>
      <c r="G3204" t="s">
        <v>11859</v>
      </c>
      <c r="H3204" t="str">
        <f>"F56A8.3"</f>
        <v>F56A8.3</v>
      </c>
      <c r="I3204" t="s">
        <v>11860</v>
      </c>
      <c r="J3204">
        <v>10.133435569509</v>
      </c>
      <c r="K3204" t="s">
        <v>29</v>
      </c>
      <c r="L3204">
        <v>11.167450532527001</v>
      </c>
      <c r="M3204" t="s">
        <v>29</v>
      </c>
      <c r="N3204">
        <v>10.8465355921449</v>
      </c>
      <c r="O3204" t="s">
        <v>29</v>
      </c>
      <c r="P3204">
        <v>0.196092541126866</v>
      </c>
      <c r="Q3204">
        <v>-1.3315772640950201</v>
      </c>
      <c r="R3204">
        <v>1.7237623463487599</v>
      </c>
      <c r="S3204">
        <v>10.907846090245901</v>
      </c>
      <c r="T3204">
        <v>0.29089475109082402</v>
      </c>
      <c r="U3204">
        <v>-6.4376601611300304</v>
      </c>
      <c r="V3204">
        <v>0.77780038027194898</v>
      </c>
      <c r="W3204">
        <v>0.99278624068726296</v>
      </c>
      <c r="X3204">
        <v>0</v>
      </c>
      <c r="Y3204">
        <v>0</v>
      </c>
    </row>
    <row r="3205" spans="1:25" x14ac:dyDescent="0.2">
      <c r="A3205" t="s">
        <v>11861</v>
      </c>
      <c r="B3205" t="s">
        <v>11862</v>
      </c>
      <c r="C3205" t="s">
        <v>14632</v>
      </c>
      <c r="D3205" t="s">
        <v>11863</v>
      </c>
      <c r="E3205" t="s">
        <v>11862</v>
      </c>
      <c r="F3205" t="s">
        <v>28</v>
      </c>
      <c r="G3205" t="s">
        <v>11862</v>
      </c>
      <c r="H3205" t="str">
        <f>"F43H9.4"</f>
        <v>F43H9.4</v>
      </c>
      <c r="I3205" t="s">
        <v>11863</v>
      </c>
      <c r="J3205" t="s">
        <v>29</v>
      </c>
      <c r="K3205" t="s">
        <v>29</v>
      </c>
      <c r="L3205" t="s">
        <v>29</v>
      </c>
      <c r="M3205" t="s">
        <v>29</v>
      </c>
      <c r="N3205">
        <v>9.8968047345683807</v>
      </c>
      <c r="O3205" t="s">
        <v>29</v>
      </c>
      <c r="P3205" t="s">
        <v>29</v>
      </c>
      <c r="Q3205" t="s">
        <v>29</v>
      </c>
      <c r="R3205" t="s">
        <v>29</v>
      </c>
      <c r="S3205">
        <v>11.5770796094535</v>
      </c>
      <c r="T3205" t="s">
        <v>29</v>
      </c>
      <c r="U3205" t="s">
        <v>29</v>
      </c>
      <c r="V3205" t="s">
        <v>29</v>
      </c>
      <c r="W3205" t="s">
        <v>29</v>
      </c>
      <c r="X3205" t="s">
        <v>29</v>
      </c>
      <c r="Y3205" t="s">
        <v>29</v>
      </c>
    </row>
    <row r="3206" spans="1:25" x14ac:dyDescent="0.2">
      <c r="A3206" t="s">
        <v>11864</v>
      </c>
      <c r="B3206" t="s">
        <v>11865</v>
      </c>
      <c r="C3206" t="s">
        <v>14633</v>
      </c>
      <c r="D3206" t="s">
        <v>368</v>
      </c>
      <c r="E3206" t="s">
        <v>11865</v>
      </c>
      <c r="F3206" t="s">
        <v>28</v>
      </c>
      <c r="G3206" t="s">
        <v>11865</v>
      </c>
      <c r="H3206" t="str">
        <f>"F08F8.9"</f>
        <v>F08F8.9</v>
      </c>
      <c r="I3206" t="s">
        <v>368</v>
      </c>
      <c r="J3206">
        <v>13.342239553311201</v>
      </c>
      <c r="K3206">
        <v>13.2485457007108</v>
      </c>
      <c r="L3206">
        <v>12.9995974668938</v>
      </c>
      <c r="M3206">
        <v>13.0049900201751</v>
      </c>
      <c r="N3206">
        <v>13.3506059475793</v>
      </c>
      <c r="O3206">
        <v>13.3419386555665</v>
      </c>
      <c r="P3206">
        <v>3.5717300801712398E-2</v>
      </c>
      <c r="Q3206">
        <v>-0.51668360516616496</v>
      </c>
      <c r="R3206">
        <v>0.58811820676959004</v>
      </c>
      <c r="S3206">
        <v>13.761363804295801</v>
      </c>
      <c r="T3206">
        <v>0.137143042168763</v>
      </c>
      <c r="U3206">
        <v>-6.8726027850678104</v>
      </c>
      <c r="V3206">
        <v>0.89263985671267199</v>
      </c>
      <c r="W3206">
        <v>0.99705229851241195</v>
      </c>
      <c r="X3206">
        <v>0</v>
      </c>
      <c r="Y3206">
        <v>0</v>
      </c>
    </row>
    <row r="3207" spans="1:25" x14ac:dyDescent="0.2">
      <c r="A3207" t="s">
        <v>11866</v>
      </c>
      <c r="B3207" t="s">
        <v>11867</v>
      </c>
      <c r="C3207" t="s">
        <v>11868</v>
      </c>
      <c r="D3207" t="s">
        <v>10659</v>
      </c>
      <c r="E3207" t="s">
        <v>11867</v>
      </c>
      <c r="F3207" t="s">
        <v>28</v>
      </c>
      <c r="G3207" t="s">
        <v>11867</v>
      </c>
      <c r="H3207" t="str">
        <f>"mys-4"</f>
        <v>mys-4</v>
      </c>
      <c r="I3207" t="s">
        <v>10659</v>
      </c>
      <c r="J3207" t="s">
        <v>29</v>
      </c>
      <c r="K3207">
        <v>11.051553364855501</v>
      </c>
      <c r="L3207" t="s">
        <v>29</v>
      </c>
      <c r="M3207">
        <v>10.890658842291201</v>
      </c>
      <c r="N3207">
        <v>11.8214236397666</v>
      </c>
      <c r="O3207" t="s">
        <v>29</v>
      </c>
      <c r="P3207">
        <v>0.30448787617336298</v>
      </c>
      <c r="Q3207">
        <v>-0.65976544658005398</v>
      </c>
      <c r="R3207">
        <v>1.2687411989267801</v>
      </c>
      <c r="S3207">
        <v>11.1715978229991</v>
      </c>
      <c r="T3207">
        <v>0.704605049672266</v>
      </c>
      <c r="U3207">
        <v>-6.2229967645886797</v>
      </c>
      <c r="V3207">
        <v>0.497304434305883</v>
      </c>
      <c r="W3207">
        <v>0.94062983959761604</v>
      </c>
      <c r="X3207">
        <v>0</v>
      </c>
      <c r="Y3207">
        <v>0</v>
      </c>
    </row>
    <row r="3208" spans="1:25" x14ac:dyDescent="0.2">
      <c r="A3208" t="s">
        <v>11869</v>
      </c>
      <c r="B3208" t="s">
        <v>11870</v>
      </c>
      <c r="C3208" t="s">
        <v>11871</v>
      </c>
      <c r="D3208" t="s">
        <v>323</v>
      </c>
      <c r="E3208" t="s">
        <v>11870</v>
      </c>
      <c r="F3208" t="s">
        <v>28</v>
      </c>
      <c r="G3208" t="s">
        <v>11870</v>
      </c>
      <c r="H3208" t="str">
        <f>"mtk-1"</f>
        <v>mtk-1</v>
      </c>
      <c r="I3208" t="s">
        <v>323</v>
      </c>
      <c r="J3208">
        <v>12.452488948767501</v>
      </c>
      <c r="K3208" t="s">
        <v>29</v>
      </c>
      <c r="L3208">
        <v>11.1619494354526</v>
      </c>
      <c r="M3208" t="s">
        <v>29</v>
      </c>
      <c r="N3208">
        <v>11.264131583329799</v>
      </c>
      <c r="O3208">
        <v>11.694059322143501</v>
      </c>
      <c r="P3208">
        <v>-0.32812373937345302</v>
      </c>
      <c r="Q3208">
        <v>-1.41533434745491</v>
      </c>
      <c r="R3208">
        <v>0.75908686870800401</v>
      </c>
      <c r="S3208">
        <v>11.242215642695699</v>
      </c>
      <c r="T3208">
        <v>-0.65254612557843095</v>
      </c>
      <c r="U3208">
        <v>-6.4601436452457097</v>
      </c>
      <c r="V3208">
        <v>0.52551155818854101</v>
      </c>
      <c r="W3208">
        <v>0.94259531549477504</v>
      </c>
      <c r="X3208">
        <v>0</v>
      </c>
      <c r="Y3208">
        <v>0</v>
      </c>
    </row>
    <row r="3209" spans="1:25" x14ac:dyDescent="0.2">
      <c r="A3209" t="s">
        <v>11872</v>
      </c>
      <c r="B3209" t="s">
        <v>11873</v>
      </c>
      <c r="C3209" t="s">
        <v>11874</v>
      </c>
      <c r="D3209" t="s">
        <v>11875</v>
      </c>
      <c r="E3209" t="s">
        <v>11873</v>
      </c>
      <c r="F3209" t="s">
        <v>28</v>
      </c>
      <c r="G3209" t="s">
        <v>11873</v>
      </c>
      <c r="H3209" t="str">
        <f>"mak-2"</f>
        <v>mak-2</v>
      </c>
      <c r="I3209" t="s">
        <v>11875</v>
      </c>
      <c r="J3209">
        <v>11.3868329864787</v>
      </c>
      <c r="K3209">
        <v>11.8386811054215</v>
      </c>
      <c r="L3209">
        <v>11.1329664230779</v>
      </c>
      <c r="M3209">
        <v>11.8271035338767</v>
      </c>
      <c r="N3209">
        <v>12.398749456685501</v>
      </c>
      <c r="O3209">
        <v>12.079715401828</v>
      </c>
      <c r="P3209">
        <v>0.64902929247068497</v>
      </c>
      <c r="Q3209">
        <v>-1.7285635210673798E-2</v>
      </c>
      <c r="R3209">
        <v>1.31534422015204</v>
      </c>
      <c r="S3209">
        <v>11.911787942194501</v>
      </c>
      <c r="T3209">
        <v>2.0774298183083602</v>
      </c>
      <c r="U3209">
        <v>-4.8840099974623703</v>
      </c>
      <c r="V3209">
        <v>5.5480191979797797E-2</v>
      </c>
      <c r="W3209">
        <v>0.50684438128921605</v>
      </c>
      <c r="X3209">
        <v>0</v>
      </c>
      <c r="Y3209">
        <v>0</v>
      </c>
    </row>
    <row r="3210" spans="1:25" x14ac:dyDescent="0.2">
      <c r="A3210" t="s">
        <v>11876</v>
      </c>
      <c r="B3210" t="s">
        <v>11877</v>
      </c>
      <c r="C3210" t="s">
        <v>14634</v>
      </c>
      <c r="D3210" t="s">
        <v>107</v>
      </c>
      <c r="E3210" t="s">
        <v>11877</v>
      </c>
      <c r="F3210" t="s">
        <v>28</v>
      </c>
      <c r="G3210" t="s">
        <v>11877</v>
      </c>
      <c r="H3210" t="str">
        <f>"T25D3.4"</f>
        <v>T25D3.4</v>
      </c>
      <c r="I3210" t="s">
        <v>107</v>
      </c>
      <c r="J3210">
        <v>11.6801107691266</v>
      </c>
      <c r="K3210">
        <v>11.475836129921699</v>
      </c>
      <c r="L3210">
        <v>12.604433638348601</v>
      </c>
      <c r="M3210">
        <v>12.1478477875411</v>
      </c>
      <c r="N3210">
        <v>11.9476200300046</v>
      </c>
      <c r="O3210">
        <v>11.965152642871701</v>
      </c>
      <c r="P3210">
        <v>0.100079974340158</v>
      </c>
      <c r="Q3210">
        <v>-0.67473255266369203</v>
      </c>
      <c r="R3210">
        <v>0.87489250134400798</v>
      </c>
      <c r="S3210">
        <v>12.017095584189899</v>
      </c>
      <c r="T3210">
        <v>0.27723141680272001</v>
      </c>
      <c r="U3210">
        <v>-6.8418334824926896</v>
      </c>
      <c r="V3210">
        <v>0.78568415108772505</v>
      </c>
      <c r="W3210">
        <v>0.99278624068726296</v>
      </c>
      <c r="X3210">
        <v>0</v>
      </c>
      <c r="Y3210">
        <v>0</v>
      </c>
    </row>
    <row r="3211" spans="1:25" x14ac:dyDescent="0.2">
      <c r="A3211" t="s">
        <v>11878</v>
      </c>
      <c r="B3211" t="s">
        <v>11879</v>
      </c>
      <c r="C3211" t="s">
        <v>11880</v>
      </c>
      <c r="D3211" t="s">
        <v>1296</v>
      </c>
      <c r="E3211" t="s">
        <v>11879</v>
      </c>
      <c r="F3211" t="s">
        <v>28</v>
      </c>
      <c r="G3211" t="s">
        <v>11879</v>
      </c>
      <c r="H3211" t="str">
        <f>"ddx-46"</f>
        <v>ddx-46</v>
      </c>
      <c r="I3211" t="s">
        <v>1296</v>
      </c>
      <c r="J3211">
        <v>12.5434799762947</v>
      </c>
      <c r="K3211">
        <v>12.620531217898399</v>
      </c>
      <c r="L3211">
        <v>12.4015596649432</v>
      </c>
      <c r="M3211">
        <v>12.285266279271299</v>
      </c>
      <c r="N3211">
        <v>12.681748553330401</v>
      </c>
      <c r="O3211">
        <v>12.425759030552999</v>
      </c>
      <c r="P3211">
        <v>-5.75989986605219E-2</v>
      </c>
      <c r="Q3211">
        <v>-0.67841971681898905</v>
      </c>
      <c r="R3211">
        <v>0.56322171949794497</v>
      </c>
      <c r="S3211">
        <v>12.4721545866774</v>
      </c>
      <c r="T3211">
        <v>-0.19583880242458199</v>
      </c>
      <c r="U3211">
        <v>-6.8624105327040903</v>
      </c>
      <c r="V3211">
        <v>0.84707244459972997</v>
      </c>
      <c r="W3211">
        <v>0.99370971747667503</v>
      </c>
      <c r="X3211">
        <v>0</v>
      </c>
      <c r="Y3211">
        <v>0</v>
      </c>
    </row>
    <row r="3212" spans="1:25" x14ac:dyDescent="0.2">
      <c r="A3212" t="s">
        <v>11881</v>
      </c>
      <c r="B3212" t="s">
        <v>11882</v>
      </c>
      <c r="C3212" t="s">
        <v>11883</v>
      </c>
      <c r="D3212" t="s">
        <v>11884</v>
      </c>
      <c r="E3212" t="s">
        <v>11882</v>
      </c>
      <c r="F3212" t="s">
        <v>28</v>
      </c>
      <c r="G3212" t="s">
        <v>11882</v>
      </c>
      <c r="H3212" t="str">
        <f>"dnc-3"</f>
        <v>dnc-3</v>
      </c>
      <c r="I3212" t="s">
        <v>11884</v>
      </c>
      <c r="J3212" t="s">
        <v>29</v>
      </c>
      <c r="K3212" t="s">
        <v>29</v>
      </c>
      <c r="L3212" t="s">
        <v>29</v>
      </c>
      <c r="M3212" t="s">
        <v>29</v>
      </c>
      <c r="N3212">
        <v>13.388847250780101</v>
      </c>
      <c r="O3212">
        <v>13.416281454286</v>
      </c>
      <c r="P3212" t="s">
        <v>29</v>
      </c>
      <c r="Q3212" t="s">
        <v>29</v>
      </c>
      <c r="R3212" t="s">
        <v>29</v>
      </c>
      <c r="S3212">
        <v>13.3168373365252</v>
      </c>
      <c r="T3212" t="s">
        <v>29</v>
      </c>
      <c r="U3212" t="s">
        <v>29</v>
      </c>
      <c r="V3212" t="s">
        <v>29</v>
      </c>
      <c r="W3212" t="s">
        <v>29</v>
      </c>
      <c r="X3212" t="s">
        <v>29</v>
      </c>
      <c r="Y3212" t="s">
        <v>29</v>
      </c>
    </row>
    <row r="3213" spans="1:25" x14ac:dyDescent="0.2">
      <c r="A3213" t="s">
        <v>11885</v>
      </c>
      <c r="B3213" t="s">
        <v>11886</v>
      </c>
      <c r="C3213" t="s">
        <v>14635</v>
      </c>
      <c r="D3213" t="s">
        <v>11887</v>
      </c>
      <c r="E3213" t="s">
        <v>11886</v>
      </c>
      <c r="F3213" t="s">
        <v>28</v>
      </c>
      <c r="G3213" t="s">
        <v>11886</v>
      </c>
      <c r="H3213" t="str">
        <f>"M116.5"</f>
        <v>M116.5</v>
      </c>
      <c r="I3213" t="s">
        <v>11887</v>
      </c>
      <c r="J3213">
        <v>12.404606829744001</v>
      </c>
      <c r="K3213">
        <v>12.1900797601698</v>
      </c>
      <c r="L3213">
        <v>12.3726513099252</v>
      </c>
      <c r="M3213">
        <v>12.762758203832201</v>
      </c>
      <c r="N3213">
        <v>12.9238053832473</v>
      </c>
      <c r="O3213">
        <v>12.574745286429099</v>
      </c>
      <c r="P3213">
        <v>0.43132365788983601</v>
      </c>
      <c r="Q3213">
        <v>-0.38363957855637898</v>
      </c>
      <c r="R3213">
        <v>1.2462868943360501</v>
      </c>
      <c r="S3213">
        <v>12.620939092081199</v>
      </c>
      <c r="T3213">
        <v>1.1171597365130499</v>
      </c>
      <c r="U3213">
        <v>-6.2516159175369301</v>
      </c>
      <c r="V3213">
        <v>0.27956173290473801</v>
      </c>
      <c r="W3213">
        <v>0.856190392347986</v>
      </c>
      <c r="X3213">
        <v>0</v>
      </c>
      <c r="Y3213">
        <v>0</v>
      </c>
    </row>
    <row r="3214" spans="1:25" x14ac:dyDescent="0.2">
      <c r="A3214" t="s">
        <v>11888</v>
      </c>
      <c r="B3214" t="s">
        <v>11889</v>
      </c>
      <c r="C3214" t="s">
        <v>11890</v>
      </c>
      <c r="D3214" t="s">
        <v>11891</v>
      </c>
      <c r="E3214" t="s">
        <v>11889</v>
      </c>
      <c r="F3214" t="s">
        <v>28</v>
      </c>
      <c r="G3214" t="s">
        <v>11889</v>
      </c>
      <c r="H3214" t="str">
        <f>"BE0003N10.1"</f>
        <v>BE0003N10.1</v>
      </c>
      <c r="I3214" t="s">
        <v>11891</v>
      </c>
      <c r="J3214">
        <v>13.0990161433804</v>
      </c>
      <c r="K3214">
        <v>13.380327553355899</v>
      </c>
      <c r="L3214">
        <v>13.1184290040721</v>
      </c>
      <c r="M3214">
        <v>13.0120567506673</v>
      </c>
      <c r="N3214">
        <v>13.5348369966894</v>
      </c>
      <c r="O3214">
        <v>12.7734553009828</v>
      </c>
      <c r="P3214">
        <v>-9.2474550822945603E-2</v>
      </c>
      <c r="Q3214">
        <v>-0.59005366148081395</v>
      </c>
      <c r="R3214">
        <v>0.40510455983492299</v>
      </c>
      <c r="S3214">
        <v>13.1840688512551</v>
      </c>
      <c r="T3214">
        <v>-0.39229258934253303</v>
      </c>
      <c r="U3214">
        <v>-6.8021975491359798</v>
      </c>
      <c r="V3214">
        <v>0.69974675025664101</v>
      </c>
      <c r="W3214">
        <v>0.98642420921484297</v>
      </c>
      <c r="X3214">
        <v>0</v>
      </c>
      <c r="Y3214">
        <v>0</v>
      </c>
    </row>
    <row r="3215" spans="1:25" x14ac:dyDescent="0.2">
      <c r="A3215" t="s">
        <v>11892</v>
      </c>
      <c r="B3215" t="s">
        <v>11893</v>
      </c>
      <c r="C3215" t="s">
        <v>11894</v>
      </c>
      <c r="D3215" t="s">
        <v>11895</v>
      </c>
      <c r="E3215" t="s">
        <v>11893</v>
      </c>
      <c r="F3215" t="s">
        <v>28</v>
      </c>
      <c r="G3215" t="s">
        <v>11893</v>
      </c>
      <c r="H3215" t="str">
        <f>"chin-1"</f>
        <v>chin-1</v>
      </c>
      <c r="I3215" t="s">
        <v>11895</v>
      </c>
      <c r="J3215">
        <v>12.8790766791561</v>
      </c>
      <c r="K3215">
        <v>12.660509479174101</v>
      </c>
      <c r="L3215">
        <v>12.809545572261399</v>
      </c>
      <c r="M3215">
        <v>12.6850796706049</v>
      </c>
      <c r="N3215">
        <v>12.562134839667699</v>
      </c>
      <c r="O3215">
        <v>12.489306676627599</v>
      </c>
      <c r="P3215">
        <v>-0.204203514563813</v>
      </c>
      <c r="Q3215">
        <v>-0.92877107956860006</v>
      </c>
      <c r="R3215">
        <v>0.520364050440973</v>
      </c>
      <c r="S3215">
        <v>12.7943033217208</v>
      </c>
      <c r="T3215">
        <v>-0.59488680563015095</v>
      </c>
      <c r="U3215">
        <v>-6.6989389980588996</v>
      </c>
      <c r="V3215">
        <v>0.55980295883193598</v>
      </c>
      <c r="W3215">
        <v>0.95650569706421396</v>
      </c>
      <c r="X3215">
        <v>0</v>
      </c>
      <c r="Y3215">
        <v>0</v>
      </c>
    </row>
    <row r="3216" spans="1:25" x14ac:dyDescent="0.2">
      <c r="A3216" t="s">
        <v>11896</v>
      </c>
      <c r="B3216" t="s">
        <v>11897</v>
      </c>
      <c r="C3216" t="s">
        <v>11898</v>
      </c>
      <c r="D3216" t="s">
        <v>11899</v>
      </c>
      <c r="E3216" t="s">
        <v>11897</v>
      </c>
      <c r="F3216" t="s">
        <v>28</v>
      </c>
      <c r="G3216" t="s">
        <v>11900</v>
      </c>
      <c r="H3216" t="str">
        <f>"spsb-1"</f>
        <v>spsb-1</v>
      </c>
      <c r="I3216" t="s">
        <v>689</v>
      </c>
      <c r="J3216" t="s">
        <v>29</v>
      </c>
      <c r="K3216" t="s">
        <v>29</v>
      </c>
      <c r="L3216" t="s">
        <v>29</v>
      </c>
      <c r="M3216" t="s">
        <v>29</v>
      </c>
      <c r="N3216">
        <v>11.2131996607449</v>
      </c>
      <c r="O3216" t="s">
        <v>29</v>
      </c>
      <c r="P3216" t="s">
        <v>29</v>
      </c>
      <c r="Q3216" t="s">
        <v>29</v>
      </c>
      <c r="R3216" t="s">
        <v>29</v>
      </c>
      <c r="S3216">
        <v>12.591548559785601</v>
      </c>
      <c r="T3216" t="s">
        <v>29</v>
      </c>
      <c r="U3216" t="s">
        <v>29</v>
      </c>
      <c r="V3216" t="s">
        <v>29</v>
      </c>
      <c r="W3216" t="s">
        <v>29</v>
      </c>
      <c r="X3216" t="s">
        <v>29</v>
      </c>
      <c r="Y3216" t="s">
        <v>29</v>
      </c>
    </row>
    <row r="3217" spans="1:25" x14ac:dyDescent="0.2">
      <c r="A3217" t="s">
        <v>11901</v>
      </c>
      <c r="B3217" t="s">
        <v>11902</v>
      </c>
      <c r="C3217" t="s">
        <v>14636</v>
      </c>
      <c r="D3217" t="s">
        <v>11903</v>
      </c>
      <c r="E3217" t="s">
        <v>11902</v>
      </c>
      <c r="F3217" t="s">
        <v>28</v>
      </c>
      <c r="G3217" t="s">
        <v>11902</v>
      </c>
      <c r="H3217" t="str">
        <f>"Y46E12BL.2"</f>
        <v>Y46E12BL.2</v>
      </c>
      <c r="I3217" t="s">
        <v>11903</v>
      </c>
      <c r="J3217">
        <v>15.262210238613701</v>
      </c>
      <c r="K3217">
        <v>15.287880744997301</v>
      </c>
      <c r="L3217">
        <v>15.4633849511701</v>
      </c>
      <c r="M3217">
        <v>15.2234125071246</v>
      </c>
      <c r="N3217">
        <v>15.407577089162601</v>
      </c>
      <c r="O3217">
        <v>15.0408530157746</v>
      </c>
      <c r="P3217">
        <v>-0.113877774239777</v>
      </c>
      <c r="Q3217">
        <v>-0.55765360630712801</v>
      </c>
      <c r="R3217">
        <v>0.32989805782757398</v>
      </c>
      <c r="S3217">
        <v>15.554567208365899</v>
      </c>
      <c r="T3217">
        <v>-0.53934646472368897</v>
      </c>
      <c r="U3217">
        <v>-6.7317324138577197</v>
      </c>
      <c r="V3217">
        <v>0.596295373530353</v>
      </c>
      <c r="W3217">
        <v>0.96643413452906302</v>
      </c>
      <c r="X3217">
        <v>0</v>
      </c>
      <c r="Y3217">
        <v>0</v>
      </c>
    </row>
    <row r="3218" spans="1:25" x14ac:dyDescent="0.2">
      <c r="A3218" t="s">
        <v>11904</v>
      </c>
      <c r="B3218" t="s">
        <v>11905</v>
      </c>
      <c r="C3218" t="s">
        <v>14637</v>
      </c>
      <c r="D3218" t="s">
        <v>11906</v>
      </c>
      <c r="E3218" t="s">
        <v>11905</v>
      </c>
      <c r="F3218" t="s">
        <v>28</v>
      </c>
      <c r="G3218" t="s">
        <v>11905</v>
      </c>
      <c r="H3218" t="str">
        <f>"Y22D7AL.10"</f>
        <v>Y22D7AL.10</v>
      </c>
      <c r="I3218" t="s">
        <v>11906</v>
      </c>
      <c r="J3218">
        <v>13.796418323808799</v>
      </c>
      <c r="K3218">
        <v>13.6110015468951</v>
      </c>
      <c r="L3218">
        <v>13.7552952279234</v>
      </c>
      <c r="M3218">
        <v>14.637098725132301</v>
      </c>
      <c r="N3218">
        <v>13.541147975246201</v>
      </c>
      <c r="O3218">
        <v>13.4276447789576</v>
      </c>
      <c r="P3218">
        <v>0.14772546023626601</v>
      </c>
      <c r="Q3218">
        <v>-0.87869754986419002</v>
      </c>
      <c r="R3218">
        <v>1.17414847033672</v>
      </c>
      <c r="S3218">
        <v>13.539082988708699</v>
      </c>
      <c r="T3218">
        <v>0.30526604645998201</v>
      </c>
      <c r="U3218">
        <v>-6.8336197114152997</v>
      </c>
      <c r="V3218">
        <v>0.76412470746620298</v>
      </c>
      <c r="W3218">
        <v>0.99278624068726296</v>
      </c>
      <c r="X3218">
        <v>0</v>
      </c>
      <c r="Y3218">
        <v>0</v>
      </c>
    </row>
    <row r="3219" spans="1:25" x14ac:dyDescent="0.2">
      <c r="A3219" t="s">
        <v>11907</v>
      </c>
      <c r="B3219" t="s">
        <v>11908</v>
      </c>
      <c r="C3219" t="s">
        <v>14638</v>
      </c>
      <c r="D3219" t="s">
        <v>11909</v>
      </c>
      <c r="E3219" t="s">
        <v>11908</v>
      </c>
      <c r="F3219" t="s">
        <v>28</v>
      </c>
      <c r="G3219" t="s">
        <v>11908</v>
      </c>
      <c r="H3219" t="str">
        <f>"Y22D7AL.9"</f>
        <v>Y22D7AL.9</v>
      </c>
      <c r="I3219" t="s">
        <v>11909</v>
      </c>
      <c r="J3219" t="s">
        <v>29</v>
      </c>
      <c r="K3219" t="s">
        <v>29</v>
      </c>
      <c r="L3219" t="s">
        <v>29</v>
      </c>
      <c r="M3219" t="s">
        <v>29</v>
      </c>
      <c r="N3219" t="s">
        <v>29</v>
      </c>
      <c r="O3219" t="s">
        <v>29</v>
      </c>
      <c r="P3219" t="s">
        <v>29</v>
      </c>
      <c r="Q3219" t="s">
        <v>29</v>
      </c>
      <c r="R3219" t="s">
        <v>29</v>
      </c>
      <c r="S3219">
        <v>11.0915050749068</v>
      </c>
      <c r="T3219" t="s">
        <v>29</v>
      </c>
      <c r="U3219" t="s">
        <v>29</v>
      </c>
      <c r="V3219" t="s">
        <v>29</v>
      </c>
      <c r="W3219" t="s">
        <v>29</v>
      </c>
      <c r="X3219" t="s">
        <v>29</v>
      </c>
      <c r="Y3219" t="s">
        <v>29</v>
      </c>
    </row>
    <row r="3220" spans="1:25" x14ac:dyDescent="0.2">
      <c r="A3220" t="s">
        <v>11910</v>
      </c>
      <c r="B3220" t="s">
        <v>11911</v>
      </c>
      <c r="C3220" t="s">
        <v>14639</v>
      </c>
      <c r="D3220" t="s">
        <v>11912</v>
      </c>
      <c r="E3220" t="s">
        <v>11911</v>
      </c>
      <c r="F3220" t="s">
        <v>28</v>
      </c>
      <c r="G3220" t="s">
        <v>11911</v>
      </c>
      <c r="H3220" t="str">
        <f>"Y50D4C.3"</f>
        <v>Y50D4C.3</v>
      </c>
      <c r="I3220" t="s">
        <v>11912</v>
      </c>
      <c r="J3220">
        <v>13.230442726333401</v>
      </c>
      <c r="K3220">
        <v>13.389937456449999</v>
      </c>
      <c r="L3220">
        <v>13.8241296060284</v>
      </c>
      <c r="M3220">
        <v>12.9295600988041</v>
      </c>
      <c r="N3220">
        <v>13.0256012689362</v>
      </c>
      <c r="O3220">
        <v>12.878765583908001</v>
      </c>
      <c r="P3220">
        <v>-0.53686094572115906</v>
      </c>
      <c r="Q3220">
        <v>-0.97213943001188596</v>
      </c>
      <c r="R3220">
        <v>-0.10158246143043199</v>
      </c>
      <c r="S3220">
        <v>13.4592131689746</v>
      </c>
      <c r="T3220">
        <v>-2.6034223244824002</v>
      </c>
      <c r="U3220">
        <v>-3.9013410085143798</v>
      </c>
      <c r="V3220">
        <v>1.8613371876735701E-2</v>
      </c>
      <c r="W3220">
        <v>0.27338841182928197</v>
      </c>
      <c r="X3220">
        <v>0</v>
      </c>
      <c r="Y3220">
        <v>0</v>
      </c>
    </row>
    <row r="3221" spans="1:25" x14ac:dyDescent="0.2">
      <c r="A3221" t="s">
        <v>11913</v>
      </c>
      <c r="B3221" t="s">
        <v>11914</v>
      </c>
      <c r="C3221" t="s">
        <v>11915</v>
      </c>
      <c r="D3221" t="s">
        <v>11916</v>
      </c>
      <c r="E3221" t="s">
        <v>11914</v>
      </c>
      <c r="F3221" t="s">
        <v>28</v>
      </c>
      <c r="G3221" t="s">
        <v>11914</v>
      </c>
      <c r="H3221" t="str">
        <f>"eif-3.I"</f>
        <v>eif-3.I</v>
      </c>
      <c r="I3221" t="s">
        <v>11916</v>
      </c>
      <c r="J3221">
        <v>13.2002724401215</v>
      </c>
      <c r="K3221">
        <v>13.448976648532099</v>
      </c>
      <c r="L3221">
        <v>13.7000826763947</v>
      </c>
      <c r="M3221">
        <v>12.901344963038699</v>
      </c>
      <c r="N3221">
        <v>13.4253311931325</v>
      </c>
      <c r="O3221">
        <v>13.6611252231029</v>
      </c>
      <c r="P3221">
        <v>-0.120510128591368</v>
      </c>
      <c r="Q3221">
        <v>-0.86242897112558503</v>
      </c>
      <c r="R3221">
        <v>0.62140871394284802</v>
      </c>
      <c r="S3221">
        <v>13.3557406812244</v>
      </c>
      <c r="T3221">
        <v>-0.34286026937034297</v>
      </c>
      <c r="U3221">
        <v>-6.8210914227471502</v>
      </c>
      <c r="V3221">
        <v>0.73593245722056899</v>
      </c>
      <c r="W3221">
        <v>0.99093639417984203</v>
      </c>
      <c r="X3221">
        <v>0</v>
      </c>
      <c r="Y3221">
        <v>0</v>
      </c>
    </row>
    <row r="3222" spans="1:25" x14ac:dyDescent="0.2">
      <c r="A3222" t="s">
        <v>11917</v>
      </c>
      <c r="B3222" t="s">
        <v>11918</v>
      </c>
      <c r="C3222" t="s">
        <v>11919</v>
      </c>
      <c r="D3222" t="s">
        <v>11920</v>
      </c>
      <c r="E3222" t="s">
        <v>11918</v>
      </c>
      <c r="F3222" t="s">
        <v>28</v>
      </c>
      <c r="G3222" t="s">
        <v>11918</v>
      </c>
      <c r="H3222" t="str">
        <f>"taco-1"</f>
        <v>taco-1</v>
      </c>
      <c r="I3222" t="s">
        <v>11920</v>
      </c>
      <c r="J3222" t="s">
        <v>29</v>
      </c>
      <c r="K3222" t="s">
        <v>29</v>
      </c>
      <c r="L3222">
        <v>12.028361060637</v>
      </c>
      <c r="M3222" t="s">
        <v>29</v>
      </c>
      <c r="N3222">
        <v>12.2868884563488</v>
      </c>
      <c r="O3222" t="s">
        <v>29</v>
      </c>
      <c r="P3222">
        <v>0.25852739571183903</v>
      </c>
      <c r="Q3222">
        <v>-0.444422412591924</v>
      </c>
      <c r="R3222">
        <v>0.96147720401560299</v>
      </c>
      <c r="S3222">
        <v>12.9342576101216</v>
      </c>
      <c r="T3222">
        <v>0.82063331690633501</v>
      </c>
      <c r="U3222">
        <v>-5.9959334514737401</v>
      </c>
      <c r="V3222">
        <v>0.431180655625788</v>
      </c>
      <c r="W3222">
        <v>0.91512503332874395</v>
      </c>
      <c r="X3222">
        <v>0</v>
      </c>
      <c r="Y3222">
        <v>0</v>
      </c>
    </row>
    <row r="3223" spans="1:25" x14ac:dyDescent="0.2">
      <c r="A3223" t="s">
        <v>11921</v>
      </c>
      <c r="B3223" t="s">
        <v>11922</v>
      </c>
      <c r="C3223" t="s">
        <v>11923</v>
      </c>
      <c r="D3223" t="s">
        <v>11924</v>
      </c>
      <c r="E3223" t="s">
        <v>11922</v>
      </c>
      <c r="F3223" t="s">
        <v>28</v>
      </c>
      <c r="G3223" t="s">
        <v>11922</v>
      </c>
      <c r="H3223" t="str">
        <f>"xpo-2"</f>
        <v>xpo-2</v>
      </c>
      <c r="I3223" t="s">
        <v>11924</v>
      </c>
      <c r="J3223">
        <v>15.5816195837176</v>
      </c>
      <c r="K3223">
        <v>15.5674989486768</v>
      </c>
      <c r="L3223">
        <v>15.534206861518999</v>
      </c>
      <c r="M3223">
        <v>15.334661213954901</v>
      </c>
      <c r="N3223">
        <v>15.338285821321399</v>
      </c>
      <c r="O3223">
        <v>15.575717837575001</v>
      </c>
      <c r="P3223">
        <v>-0.14488684035403099</v>
      </c>
      <c r="Q3223">
        <v>-0.613110635304147</v>
      </c>
      <c r="R3223">
        <v>0.32333695459608403</v>
      </c>
      <c r="S3223">
        <v>15.5871954947327</v>
      </c>
      <c r="T3223">
        <v>-0.65038119270258898</v>
      </c>
      <c r="U3223">
        <v>-6.6640732958256104</v>
      </c>
      <c r="V3223">
        <v>0.52370904016742104</v>
      </c>
      <c r="W3223">
        <v>0.94245155746843701</v>
      </c>
      <c r="X3223">
        <v>0</v>
      </c>
      <c r="Y3223">
        <v>0</v>
      </c>
    </row>
    <row r="3224" spans="1:25" x14ac:dyDescent="0.2">
      <c r="A3224" t="s">
        <v>11925</v>
      </c>
      <c r="B3224" t="s">
        <v>11926</v>
      </c>
      <c r="C3224" t="s">
        <v>11927</v>
      </c>
      <c r="D3224" t="s">
        <v>416</v>
      </c>
      <c r="E3224" t="s">
        <v>11926</v>
      </c>
      <c r="F3224" t="s">
        <v>28</v>
      </c>
      <c r="G3224" t="s">
        <v>11926</v>
      </c>
      <c r="H3224" t="str">
        <f>"ubh-3"</f>
        <v>ubh-3</v>
      </c>
      <c r="I3224" t="s">
        <v>416</v>
      </c>
      <c r="J3224">
        <v>11.998931217975899</v>
      </c>
      <c r="K3224">
        <v>10.886301405457999</v>
      </c>
      <c r="L3224">
        <v>12.1402304944903</v>
      </c>
      <c r="M3224">
        <v>12.295998706615199</v>
      </c>
      <c r="N3224">
        <v>12.310261808862</v>
      </c>
      <c r="O3224">
        <v>11.780545729723899</v>
      </c>
      <c r="P3224">
        <v>0.45378104242563599</v>
      </c>
      <c r="Q3224">
        <v>-0.24486755980092501</v>
      </c>
      <c r="R3224">
        <v>1.1524296446522</v>
      </c>
      <c r="S3224">
        <v>12.0921014647994</v>
      </c>
      <c r="T3224">
        <v>1.37764424954068</v>
      </c>
      <c r="U3224">
        <v>-5.9400446634321797</v>
      </c>
      <c r="V3224">
        <v>0.18740209246220199</v>
      </c>
      <c r="W3224">
        <v>0.78295732499061499</v>
      </c>
      <c r="X3224">
        <v>0</v>
      </c>
      <c r="Y3224">
        <v>0</v>
      </c>
    </row>
    <row r="3225" spans="1:25" x14ac:dyDescent="0.2">
      <c r="A3225" t="s">
        <v>11928</v>
      </c>
      <c r="B3225" t="s">
        <v>11929</v>
      </c>
      <c r="C3225" t="s">
        <v>11930</v>
      </c>
      <c r="D3225" t="s">
        <v>11931</v>
      </c>
      <c r="E3225" t="s">
        <v>11929</v>
      </c>
      <c r="F3225" t="s">
        <v>28</v>
      </c>
      <c r="G3225" t="s">
        <v>11929</v>
      </c>
      <c r="H3225" t="str">
        <f>"nhr-86"</f>
        <v>nhr-86</v>
      </c>
      <c r="I3225" t="s">
        <v>11931</v>
      </c>
      <c r="J3225">
        <v>11.194956188283401</v>
      </c>
      <c r="K3225" t="s">
        <v>29</v>
      </c>
      <c r="L3225">
        <v>10.817228303325299</v>
      </c>
      <c r="M3225" t="s">
        <v>29</v>
      </c>
      <c r="N3225">
        <v>11.5897166441713</v>
      </c>
      <c r="O3225" t="s">
        <v>29</v>
      </c>
      <c r="P3225">
        <v>0.58362439836688795</v>
      </c>
      <c r="Q3225">
        <v>-0.48897642917822498</v>
      </c>
      <c r="R3225">
        <v>1.6562252259120001</v>
      </c>
      <c r="S3225">
        <v>12.0479285496908</v>
      </c>
      <c r="T3225">
        <v>1.1990105511657401</v>
      </c>
      <c r="U3225">
        <v>-5.7642123131738501</v>
      </c>
      <c r="V3225">
        <v>0.25595178394330098</v>
      </c>
      <c r="W3225">
        <v>0.83701250057606502</v>
      </c>
      <c r="X3225">
        <v>0</v>
      </c>
      <c r="Y3225">
        <v>0</v>
      </c>
    </row>
    <row r="3226" spans="1:25" x14ac:dyDescent="0.2">
      <c r="A3226" t="s">
        <v>11932</v>
      </c>
      <c r="B3226" t="s">
        <v>11933</v>
      </c>
      <c r="C3226" t="s">
        <v>11934</v>
      </c>
      <c r="D3226" t="s">
        <v>11935</v>
      </c>
      <c r="E3226" t="s">
        <v>11933</v>
      </c>
      <c r="F3226" t="s">
        <v>28</v>
      </c>
      <c r="G3226" t="s">
        <v>11933</v>
      </c>
      <c r="H3226" t="str">
        <f>"comt-3"</f>
        <v>comt-3</v>
      </c>
      <c r="I3226" t="s">
        <v>11935</v>
      </c>
      <c r="J3226" t="s">
        <v>29</v>
      </c>
      <c r="K3226" t="s">
        <v>29</v>
      </c>
      <c r="L3226" t="s">
        <v>29</v>
      </c>
      <c r="M3226">
        <v>15.619391217154099</v>
      </c>
      <c r="N3226">
        <v>15.8830009841882</v>
      </c>
      <c r="O3226">
        <v>15.491330530368099</v>
      </c>
      <c r="P3226" t="s">
        <v>29</v>
      </c>
      <c r="Q3226" t="s">
        <v>29</v>
      </c>
      <c r="R3226" t="s">
        <v>29</v>
      </c>
      <c r="S3226">
        <v>14.861672444082499</v>
      </c>
      <c r="T3226" t="s">
        <v>29</v>
      </c>
      <c r="U3226" t="s">
        <v>29</v>
      </c>
      <c r="V3226" t="s">
        <v>29</v>
      </c>
      <c r="W3226" t="s">
        <v>29</v>
      </c>
      <c r="X3226" t="s">
        <v>29</v>
      </c>
      <c r="Y3226" t="s">
        <v>29</v>
      </c>
    </row>
    <row r="3227" spans="1:25" x14ac:dyDescent="0.2">
      <c r="A3227" t="s">
        <v>11936</v>
      </c>
      <c r="B3227" t="s">
        <v>11937</v>
      </c>
      <c r="C3227" t="s">
        <v>14640</v>
      </c>
      <c r="D3227" t="s">
        <v>368</v>
      </c>
      <c r="E3227" t="s">
        <v>11937</v>
      </c>
      <c r="F3227" t="s">
        <v>28</v>
      </c>
      <c r="G3227" t="s">
        <v>11937</v>
      </c>
      <c r="H3227" t="str">
        <f>"Y39A3CL.7"</f>
        <v>Y39A3CL.7</v>
      </c>
      <c r="I3227" t="s">
        <v>368</v>
      </c>
      <c r="J3227" t="s">
        <v>29</v>
      </c>
      <c r="K3227" t="s">
        <v>29</v>
      </c>
      <c r="L3227" t="s">
        <v>29</v>
      </c>
      <c r="M3227" t="s">
        <v>29</v>
      </c>
      <c r="N3227" t="s">
        <v>29</v>
      </c>
      <c r="O3227" t="s">
        <v>29</v>
      </c>
      <c r="P3227" t="s">
        <v>29</v>
      </c>
      <c r="Q3227" t="s">
        <v>29</v>
      </c>
      <c r="R3227" t="s">
        <v>29</v>
      </c>
      <c r="S3227">
        <v>12.3783090390827</v>
      </c>
      <c r="T3227" t="s">
        <v>29</v>
      </c>
      <c r="U3227" t="s">
        <v>29</v>
      </c>
      <c r="V3227" t="s">
        <v>29</v>
      </c>
      <c r="W3227" t="s">
        <v>29</v>
      </c>
      <c r="X3227" t="s">
        <v>29</v>
      </c>
      <c r="Y3227" t="s">
        <v>29</v>
      </c>
    </row>
    <row r="3228" spans="1:25" x14ac:dyDescent="0.2">
      <c r="A3228" t="s">
        <v>11938</v>
      </c>
      <c r="B3228" t="s">
        <v>11939</v>
      </c>
      <c r="C3228" t="s">
        <v>11940</v>
      </c>
      <c r="D3228" t="s">
        <v>11941</v>
      </c>
      <c r="E3228" t="s">
        <v>11939</v>
      </c>
      <c r="F3228" t="s">
        <v>28</v>
      </c>
      <c r="G3228" t="s">
        <v>11939</v>
      </c>
      <c r="H3228" t="str">
        <f>"rpl-7A"</f>
        <v>rpl-7A</v>
      </c>
      <c r="I3228" t="s">
        <v>11941</v>
      </c>
      <c r="J3228">
        <v>20.009009546669301</v>
      </c>
      <c r="K3228">
        <v>19.760159544497402</v>
      </c>
      <c r="L3228">
        <v>19.845145839577999</v>
      </c>
      <c r="M3228">
        <v>19.957580176833801</v>
      </c>
      <c r="N3228">
        <v>19.453140987669101</v>
      </c>
      <c r="O3228">
        <v>19.384850507990901</v>
      </c>
      <c r="P3228">
        <v>-0.27291441941697803</v>
      </c>
      <c r="Q3228">
        <v>-0.76854636322960901</v>
      </c>
      <c r="R3228">
        <v>0.22271752439565401</v>
      </c>
      <c r="S3228">
        <v>19.404817416306201</v>
      </c>
      <c r="T3228">
        <v>-1.15733664945266</v>
      </c>
      <c r="U3228">
        <v>-6.2078517893920697</v>
      </c>
      <c r="V3228">
        <v>0.26234998589807801</v>
      </c>
      <c r="W3228">
        <v>0.84439144397369903</v>
      </c>
      <c r="X3228">
        <v>0</v>
      </c>
      <c r="Y3228">
        <v>0</v>
      </c>
    </row>
    <row r="3229" spans="1:25" x14ac:dyDescent="0.2">
      <c r="A3229" t="s">
        <v>11942</v>
      </c>
      <c r="B3229" t="s">
        <v>11943</v>
      </c>
      <c r="C3229" t="s">
        <v>11944</v>
      </c>
      <c r="D3229" t="s">
        <v>11945</v>
      </c>
      <c r="E3229" t="s">
        <v>11943</v>
      </c>
      <c r="F3229" t="s">
        <v>28</v>
      </c>
      <c r="G3229" t="s">
        <v>11943</v>
      </c>
      <c r="H3229" t="str">
        <f>"tald-1"</f>
        <v>tald-1</v>
      </c>
      <c r="I3229" t="s">
        <v>11945</v>
      </c>
      <c r="J3229">
        <v>14.1607032482774</v>
      </c>
      <c r="K3229">
        <v>13.6526016968756</v>
      </c>
      <c r="L3229">
        <v>13.984644435886899</v>
      </c>
      <c r="M3229">
        <v>14.5167841579045</v>
      </c>
      <c r="N3229">
        <v>14.248419767921201</v>
      </c>
      <c r="O3229">
        <v>14.7331763105795</v>
      </c>
      <c r="P3229">
        <v>0.56681028512174303</v>
      </c>
      <c r="Q3229">
        <v>-2.2304418245702201E-2</v>
      </c>
      <c r="R3229">
        <v>1.15592498848919</v>
      </c>
      <c r="S3229">
        <v>14.117034484436299</v>
      </c>
      <c r="T3229">
        <v>2.0222291816945499</v>
      </c>
      <c r="U3229">
        <v>-4.9603085068666299</v>
      </c>
      <c r="V3229">
        <v>5.8361602864338301E-2</v>
      </c>
      <c r="W3229">
        <v>0.51954051162896797</v>
      </c>
      <c r="X3229">
        <v>0</v>
      </c>
      <c r="Y3229">
        <v>0</v>
      </c>
    </row>
    <row r="3230" spans="1:25" x14ac:dyDescent="0.2">
      <c r="A3230" t="s">
        <v>11946</v>
      </c>
      <c r="B3230" t="s">
        <v>11947</v>
      </c>
      <c r="C3230" t="s">
        <v>11948</v>
      </c>
      <c r="D3230" t="s">
        <v>11949</v>
      </c>
      <c r="E3230" t="s">
        <v>11947</v>
      </c>
      <c r="F3230" t="s">
        <v>28</v>
      </c>
      <c r="G3230" t="s">
        <v>11947</v>
      </c>
      <c r="H3230" t="str">
        <f>"spl-3"</f>
        <v>spl-3</v>
      </c>
      <c r="I3230" t="s">
        <v>11949</v>
      </c>
      <c r="J3230">
        <v>13.2752137196942</v>
      </c>
      <c r="K3230">
        <v>13.012673504089101</v>
      </c>
      <c r="L3230">
        <v>12.663116789888599</v>
      </c>
      <c r="M3230">
        <v>13.1029229258592</v>
      </c>
      <c r="N3230">
        <v>12.862602945411201</v>
      </c>
      <c r="O3230">
        <v>13.028965988486799</v>
      </c>
      <c r="P3230">
        <v>1.4495948695113701E-2</v>
      </c>
      <c r="Q3230">
        <v>-0.47241762903140699</v>
      </c>
      <c r="R3230">
        <v>0.50140952642163406</v>
      </c>
      <c r="S3230">
        <v>12.793017602938299</v>
      </c>
      <c r="T3230">
        <v>6.2573042355371394E-2</v>
      </c>
      <c r="U3230">
        <v>-6.8804440188273004</v>
      </c>
      <c r="V3230">
        <v>0.95080011350875604</v>
      </c>
      <c r="W3230">
        <v>0.99968702248720698</v>
      </c>
      <c r="X3230">
        <v>0</v>
      </c>
      <c r="Y3230">
        <v>0</v>
      </c>
    </row>
    <row r="3231" spans="1:25" x14ac:dyDescent="0.2">
      <c r="A3231" t="s">
        <v>11950</v>
      </c>
      <c r="B3231" t="s">
        <v>11951</v>
      </c>
      <c r="C3231" t="s">
        <v>14641</v>
      </c>
      <c r="D3231" t="s">
        <v>11952</v>
      </c>
      <c r="E3231" t="s">
        <v>11951</v>
      </c>
      <c r="F3231" t="s">
        <v>28</v>
      </c>
      <c r="G3231" t="s">
        <v>11951</v>
      </c>
      <c r="H3231" t="str">
        <f>"K08D12.3"</f>
        <v>K08D12.3</v>
      </c>
      <c r="I3231" t="s">
        <v>11952</v>
      </c>
      <c r="J3231">
        <v>12.4512228974718</v>
      </c>
      <c r="K3231">
        <v>12.4961490787241</v>
      </c>
      <c r="L3231">
        <v>11.759711530298601</v>
      </c>
      <c r="M3231" t="s">
        <v>29</v>
      </c>
      <c r="N3231">
        <v>12.6073481199056</v>
      </c>
      <c r="O3231">
        <v>12.2179304693726</v>
      </c>
      <c r="P3231">
        <v>0.17694479247429501</v>
      </c>
      <c r="Q3231">
        <v>-0.99117226169836703</v>
      </c>
      <c r="R3231">
        <v>1.3450618466469599</v>
      </c>
      <c r="S3231">
        <v>12.1921812509378</v>
      </c>
      <c r="T3231">
        <v>0.32752063373617102</v>
      </c>
      <c r="U3231">
        <v>-6.7153924035976802</v>
      </c>
      <c r="V3231">
        <v>0.748530490621934</v>
      </c>
      <c r="W3231">
        <v>0.99184638945407499</v>
      </c>
      <c r="X3231">
        <v>0</v>
      </c>
      <c r="Y3231">
        <v>0</v>
      </c>
    </row>
    <row r="3232" spans="1:25" x14ac:dyDescent="0.2">
      <c r="A3232" t="s">
        <v>11953</v>
      </c>
      <c r="B3232" t="s">
        <v>11954</v>
      </c>
      <c r="C3232" t="s">
        <v>14642</v>
      </c>
      <c r="D3232" t="s">
        <v>2217</v>
      </c>
      <c r="E3232" t="s">
        <v>11954</v>
      </c>
      <c r="F3232" t="s">
        <v>28</v>
      </c>
      <c r="G3232" t="s">
        <v>11954</v>
      </c>
      <c r="H3232" t="str">
        <f>"F41B4.1"</f>
        <v>F41B4.1</v>
      </c>
      <c r="I3232" t="s">
        <v>2217</v>
      </c>
      <c r="J3232">
        <v>10.1733488684519</v>
      </c>
      <c r="K3232">
        <v>11.5407367274808</v>
      </c>
      <c r="L3232">
        <v>11.680704499841299</v>
      </c>
      <c r="M3232">
        <v>11.081430757979</v>
      </c>
      <c r="N3232" t="s">
        <v>29</v>
      </c>
      <c r="O3232">
        <v>10.915053978062</v>
      </c>
      <c r="P3232">
        <v>-0.13335433057082299</v>
      </c>
      <c r="Q3232">
        <v>-0.96542381176997805</v>
      </c>
      <c r="R3232">
        <v>0.698715150628332</v>
      </c>
      <c r="S3232">
        <v>11.2162100597033</v>
      </c>
      <c r="T3232">
        <v>-0.34953650782871099</v>
      </c>
      <c r="U3232">
        <v>-6.7071702184845696</v>
      </c>
      <c r="V3232">
        <v>0.73279672471475199</v>
      </c>
      <c r="W3232">
        <v>0.99057748145465696</v>
      </c>
      <c r="X3232">
        <v>0</v>
      </c>
      <c r="Y3232">
        <v>0</v>
      </c>
    </row>
    <row r="3233" spans="1:25" x14ac:dyDescent="0.2">
      <c r="A3233" t="s">
        <v>11955</v>
      </c>
      <c r="B3233" t="s">
        <v>11956</v>
      </c>
      <c r="C3233" t="s">
        <v>11957</v>
      </c>
      <c r="D3233" t="s">
        <v>11958</v>
      </c>
      <c r="E3233" t="s">
        <v>11956</v>
      </c>
      <c r="F3233" t="s">
        <v>28</v>
      </c>
      <c r="G3233" t="s">
        <v>11956</v>
      </c>
      <c r="H3233" t="str">
        <f>"E01A2.2"</f>
        <v>E01A2.2</v>
      </c>
      <c r="I3233" t="s">
        <v>11958</v>
      </c>
      <c r="J3233">
        <v>15.337054012490499</v>
      </c>
      <c r="K3233">
        <v>15.212086788960301</v>
      </c>
      <c r="L3233">
        <v>15.024533207392899</v>
      </c>
      <c r="M3233">
        <v>14.9954999858129</v>
      </c>
      <c r="N3233">
        <v>15.1987708512131</v>
      </c>
      <c r="O3233">
        <v>14.988157646387601</v>
      </c>
      <c r="P3233">
        <v>-0.130415175143376</v>
      </c>
      <c r="Q3233">
        <v>-0.527681902214858</v>
      </c>
      <c r="R3233">
        <v>0.266851551928105</v>
      </c>
      <c r="S3233">
        <v>15.007003364049099</v>
      </c>
      <c r="T3233">
        <v>-0.69294050733897905</v>
      </c>
      <c r="U3233">
        <v>-6.6343637030711999</v>
      </c>
      <c r="V3233">
        <v>0.49776250375748499</v>
      </c>
      <c r="W3233">
        <v>0.94062983959761604</v>
      </c>
      <c r="X3233">
        <v>0</v>
      </c>
      <c r="Y3233">
        <v>0</v>
      </c>
    </row>
    <row r="3234" spans="1:25" x14ac:dyDescent="0.2">
      <c r="A3234" t="s">
        <v>11959</v>
      </c>
      <c r="B3234" t="s">
        <v>11960</v>
      </c>
      <c r="C3234" t="s">
        <v>11961</v>
      </c>
      <c r="D3234" t="s">
        <v>11962</v>
      </c>
      <c r="E3234" t="s">
        <v>11960</v>
      </c>
      <c r="F3234" t="s">
        <v>28</v>
      </c>
      <c r="G3234" t="s">
        <v>11960</v>
      </c>
      <c r="H3234" t="str">
        <f>"let-504"</f>
        <v>let-504</v>
      </c>
      <c r="I3234" t="s">
        <v>11962</v>
      </c>
      <c r="J3234" t="s">
        <v>29</v>
      </c>
      <c r="K3234" t="s">
        <v>29</v>
      </c>
      <c r="L3234">
        <v>12.390955300492999</v>
      </c>
      <c r="M3234">
        <v>11.648461181983601</v>
      </c>
      <c r="N3234" t="s">
        <v>29</v>
      </c>
      <c r="O3234">
        <v>11.427068103031999</v>
      </c>
      <c r="P3234">
        <v>-0.85319065798518801</v>
      </c>
      <c r="Q3234">
        <v>-1.7218619814982199</v>
      </c>
      <c r="R3234">
        <v>1.54806655278448E-2</v>
      </c>
      <c r="S3234">
        <v>12.6500807082716</v>
      </c>
      <c r="T3234">
        <v>-2.1915808506946002</v>
      </c>
      <c r="U3234">
        <v>-4.3881571819538499</v>
      </c>
      <c r="V3234">
        <v>5.3470483606968898E-2</v>
      </c>
      <c r="W3234">
        <v>0.50126695618025996</v>
      </c>
      <c r="X3234">
        <v>0</v>
      </c>
      <c r="Y3234">
        <v>0</v>
      </c>
    </row>
    <row r="3235" spans="1:25" x14ac:dyDescent="0.2">
      <c r="A3235" t="s">
        <v>11963</v>
      </c>
      <c r="B3235" t="s">
        <v>11964</v>
      </c>
      <c r="C3235" t="s">
        <v>11965</v>
      </c>
      <c r="D3235" t="s">
        <v>11966</v>
      </c>
      <c r="E3235" t="s">
        <v>11964</v>
      </c>
      <c r="F3235" t="s">
        <v>28</v>
      </c>
      <c r="G3235" t="s">
        <v>11964</v>
      </c>
      <c r="H3235" t="str">
        <f>"glh-2"</f>
        <v>glh-2</v>
      </c>
      <c r="I3235" t="s">
        <v>11966</v>
      </c>
      <c r="J3235">
        <v>14.7304812432931</v>
      </c>
      <c r="K3235">
        <v>14.4526116716908</v>
      </c>
      <c r="L3235">
        <v>14.701622979492701</v>
      </c>
      <c r="M3235">
        <v>14.779193731109</v>
      </c>
      <c r="N3235">
        <v>15.164448997698701</v>
      </c>
      <c r="O3235">
        <v>14.7148047167047</v>
      </c>
      <c r="P3235">
        <v>0.25791051701193302</v>
      </c>
      <c r="Q3235">
        <v>-0.403086064892135</v>
      </c>
      <c r="R3235">
        <v>0.91890709891599998</v>
      </c>
      <c r="S3235">
        <v>15.3661189112884</v>
      </c>
      <c r="T3235">
        <v>0.82360666316884301</v>
      </c>
      <c r="U3235">
        <v>-6.5339777167214397</v>
      </c>
      <c r="V3235">
        <v>0.42163761670472</v>
      </c>
      <c r="W3235">
        <v>0.91512503332874395</v>
      </c>
      <c r="X3235">
        <v>0</v>
      </c>
      <c r="Y3235">
        <v>0</v>
      </c>
    </row>
    <row r="3236" spans="1:25" x14ac:dyDescent="0.2">
      <c r="A3236" t="s">
        <v>11967</v>
      </c>
      <c r="B3236" t="s">
        <v>11968</v>
      </c>
      <c r="C3236" t="s">
        <v>11969</v>
      </c>
      <c r="D3236" t="s">
        <v>11970</v>
      </c>
      <c r="E3236" t="s">
        <v>11968</v>
      </c>
      <c r="F3236" t="s">
        <v>28</v>
      </c>
      <c r="G3236" t="s">
        <v>11968</v>
      </c>
      <c r="H3236" t="str">
        <f>"uri-1"</f>
        <v>uri-1</v>
      </c>
      <c r="I3236" t="s">
        <v>11970</v>
      </c>
      <c r="J3236" t="s">
        <v>29</v>
      </c>
      <c r="K3236">
        <v>13.8786773425606</v>
      </c>
      <c r="L3236" t="s">
        <v>29</v>
      </c>
      <c r="M3236" t="s">
        <v>29</v>
      </c>
      <c r="N3236" t="s">
        <v>29</v>
      </c>
      <c r="O3236" t="s">
        <v>29</v>
      </c>
      <c r="P3236" t="s">
        <v>29</v>
      </c>
      <c r="Q3236" t="s">
        <v>29</v>
      </c>
      <c r="R3236" t="s">
        <v>29</v>
      </c>
      <c r="S3236">
        <v>13.389017107367399</v>
      </c>
      <c r="T3236" t="s">
        <v>29</v>
      </c>
      <c r="U3236" t="s">
        <v>29</v>
      </c>
      <c r="V3236" t="s">
        <v>29</v>
      </c>
      <c r="W3236" t="s">
        <v>29</v>
      </c>
      <c r="X3236" t="s">
        <v>29</v>
      </c>
      <c r="Y3236" t="s">
        <v>29</v>
      </c>
    </row>
    <row r="3237" spans="1:25" x14ac:dyDescent="0.2">
      <c r="A3237" t="s">
        <v>11971</v>
      </c>
      <c r="B3237" t="s">
        <v>11972</v>
      </c>
      <c r="C3237" t="s">
        <v>11973</v>
      </c>
      <c r="D3237" t="s">
        <v>9565</v>
      </c>
      <c r="E3237" t="s">
        <v>11972</v>
      </c>
      <c r="F3237" t="s">
        <v>28</v>
      </c>
      <c r="G3237" t="s">
        <v>11972</v>
      </c>
      <c r="H3237" t="str">
        <f>"C36B7.6"</f>
        <v>C36B7.6</v>
      </c>
      <c r="I3237" t="s">
        <v>9565</v>
      </c>
      <c r="J3237">
        <v>14.2010593486694</v>
      </c>
      <c r="K3237">
        <v>14.378193987823</v>
      </c>
      <c r="L3237">
        <v>13.9885494294514</v>
      </c>
      <c r="M3237">
        <v>14.396155176238</v>
      </c>
      <c r="N3237">
        <v>14.2597966324561</v>
      </c>
      <c r="O3237">
        <v>13.684729909944799</v>
      </c>
      <c r="P3237">
        <v>-7.5707015768269798E-2</v>
      </c>
      <c r="Q3237">
        <v>-0.613107953860346</v>
      </c>
      <c r="R3237">
        <v>0.46169392232380602</v>
      </c>
      <c r="S3237">
        <v>14.339783601296901</v>
      </c>
      <c r="T3237">
        <v>-0.29609441818271998</v>
      </c>
      <c r="U3237">
        <v>-6.8367941688212799</v>
      </c>
      <c r="V3237">
        <v>0.77056664739581404</v>
      </c>
      <c r="W3237">
        <v>0.99278624068726296</v>
      </c>
      <c r="X3237">
        <v>0</v>
      </c>
      <c r="Y3237">
        <v>0</v>
      </c>
    </row>
    <row r="3238" spans="1:25" x14ac:dyDescent="0.2">
      <c r="A3238" t="s">
        <v>11974</v>
      </c>
      <c r="B3238" t="s">
        <v>11975</v>
      </c>
      <c r="C3238" t="s">
        <v>11976</v>
      </c>
      <c r="D3238" t="s">
        <v>7680</v>
      </c>
      <c r="E3238" t="s">
        <v>11975</v>
      </c>
      <c r="F3238" t="s">
        <v>28</v>
      </c>
      <c r="G3238" t="s">
        <v>11975</v>
      </c>
      <c r="H3238" t="str">
        <f>"eif-1"</f>
        <v>eif-1</v>
      </c>
      <c r="I3238" t="s">
        <v>7680</v>
      </c>
      <c r="J3238">
        <v>15.319359978492701</v>
      </c>
      <c r="K3238">
        <v>14.979198552707301</v>
      </c>
      <c r="L3238">
        <v>15.3185446726996</v>
      </c>
      <c r="M3238">
        <v>15.298514006752301</v>
      </c>
      <c r="N3238">
        <v>15.4325422106199</v>
      </c>
      <c r="O3238">
        <v>15.0480168245074</v>
      </c>
      <c r="P3238">
        <v>5.3989945993313498E-2</v>
      </c>
      <c r="Q3238">
        <v>-0.358602490459419</v>
      </c>
      <c r="R3238">
        <v>0.466582382446046</v>
      </c>
      <c r="S3238">
        <v>14.8965986951773</v>
      </c>
      <c r="T3238">
        <v>0.27503258065380098</v>
      </c>
      <c r="U3238">
        <v>-6.8430504469226703</v>
      </c>
      <c r="V3238">
        <v>0.786441508631051</v>
      </c>
      <c r="W3238">
        <v>0.99278624068726296</v>
      </c>
      <c r="X3238">
        <v>0</v>
      </c>
      <c r="Y3238">
        <v>0</v>
      </c>
    </row>
    <row r="3239" spans="1:25" x14ac:dyDescent="0.2">
      <c r="A3239" t="s">
        <v>11977</v>
      </c>
      <c r="B3239" t="s">
        <v>11978</v>
      </c>
      <c r="C3239" t="s">
        <v>11979</v>
      </c>
      <c r="D3239" t="s">
        <v>11980</v>
      </c>
      <c r="E3239" t="s">
        <v>11978</v>
      </c>
      <c r="F3239" t="s">
        <v>28</v>
      </c>
      <c r="G3239" t="s">
        <v>11978</v>
      </c>
      <c r="H3239" t="str">
        <f>"hmr-1"</f>
        <v>hmr-1</v>
      </c>
      <c r="I3239" t="s">
        <v>11980</v>
      </c>
      <c r="J3239" t="s">
        <v>29</v>
      </c>
      <c r="K3239" t="s">
        <v>29</v>
      </c>
      <c r="L3239" t="s">
        <v>29</v>
      </c>
      <c r="M3239">
        <v>14.2393687334246</v>
      </c>
      <c r="N3239">
        <v>14.167270347743999</v>
      </c>
      <c r="O3239">
        <v>13.596089611969999</v>
      </c>
      <c r="P3239" t="s">
        <v>29</v>
      </c>
      <c r="Q3239" t="s">
        <v>29</v>
      </c>
      <c r="R3239" t="s">
        <v>29</v>
      </c>
      <c r="S3239">
        <v>12.7047404002709</v>
      </c>
      <c r="T3239" t="s">
        <v>29</v>
      </c>
      <c r="U3239" t="s">
        <v>29</v>
      </c>
      <c r="V3239" t="s">
        <v>29</v>
      </c>
      <c r="W3239" t="s">
        <v>29</v>
      </c>
      <c r="X3239" t="s">
        <v>29</v>
      </c>
      <c r="Y3239" t="s">
        <v>29</v>
      </c>
    </row>
    <row r="3240" spans="1:25" x14ac:dyDescent="0.2">
      <c r="A3240" t="s">
        <v>11981</v>
      </c>
      <c r="B3240" t="s">
        <v>11982</v>
      </c>
      <c r="C3240" t="s">
        <v>11983</v>
      </c>
      <c r="D3240" t="s">
        <v>11984</v>
      </c>
      <c r="E3240" t="s">
        <v>11982</v>
      </c>
      <c r="F3240" t="s">
        <v>28</v>
      </c>
      <c r="G3240" t="s">
        <v>11982</v>
      </c>
      <c r="H3240" t="str">
        <f>"nstp-10"</f>
        <v>nstp-10</v>
      </c>
      <c r="I3240" t="s">
        <v>11984</v>
      </c>
      <c r="J3240">
        <v>14.9027609255633</v>
      </c>
      <c r="K3240">
        <v>15.429706120637499</v>
      </c>
      <c r="L3240">
        <v>15.3117269845641</v>
      </c>
      <c r="M3240">
        <v>15.2816286376307</v>
      </c>
      <c r="N3240">
        <v>15.088882044804899</v>
      </c>
      <c r="O3240">
        <v>15.034109456925499</v>
      </c>
      <c r="P3240">
        <v>-7.9857963801208201E-2</v>
      </c>
      <c r="Q3240">
        <v>-0.51270466359892697</v>
      </c>
      <c r="R3240">
        <v>0.35298873599650998</v>
      </c>
      <c r="S3240">
        <v>15.4260717533686</v>
      </c>
      <c r="T3240">
        <v>-0.387772168202421</v>
      </c>
      <c r="U3240">
        <v>-6.8042545979262199</v>
      </c>
      <c r="V3240">
        <v>0.70275848487907899</v>
      </c>
      <c r="W3240">
        <v>0.98642420921484297</v>
      </c>
      <c r="X3240">
        <v>0</v>
      </c>
      <c r="Y3240">
        <v>0</v>
      </c>
    </row>
    <row r="3241" spans="1:25" x14ac:dyDescent="0.2">
      <c r="A3241" t="s">
        <v>11985</v>
      </c>
      <c r="B3241" t="s">
        <v>11986</v>
      </c>
      <c r="C3241" t="s">
        <v>11987</v>
      </c>
      <c r="D3241" t="s">
        <v>11988</v>
      </c>
      <c r="E3241" t="s">
        <v>11986</v>
      </c>
      <c r="F3241" t="s">
        <v>28</v>
      </c>
      <c r="G3241" t="s">
        <v>11986</v>
      </c>
      <c r="H3241" t="str">
        <f>"xrn-1"</f>
        <v>xrn-1</v>
      </c>
      <c r="I3241" t="s">
        <v>11988</v>
      </c>
      <c r="J3241">
        <v>13.4420261086255</v>
      </c>
      <c r="K3241">
        <v>13.9922892704029</v>
      </c>
      <c r="L3241">
        <v>12.752664925249499</v>
      </c>
      <c r="M3241">
        <v>18.068911289817699</v>
      </c>
      <c r="N3241">
        <v>18.1159191690626</v>
      </c>
      <c r="O3241">
        <v>18.1296042914182</v>
      </c>
      <c r="P3241">
        <v>4.7091514820068801</v>
      </c>
      <c r="Q3241">
        <v>3.5628346110362599</v>
      </c>
      <c r="R3241">
        <v>5.8554683529774998</v>
      </c>
      <c r="S3241">
        <v>16.0536476672643</v>
      </c>
      <c r="T3241">
        <v>8.6343667138397997</v>
      </c>
      <c r="U3241">
        <v>8.2341576219154096</v>
      </c>
      <c r="V3241" s="2">
        <v>8.5130947258856898E-8</v>
      </c>
      <c r="W3241" s="2">
        <v>1.3491228213213099E-5</v>
      </c>
      <c r="X3241">
        <v>1</v>
      </c>
      <c r="Y3241">
        <v>1</v>
      </c>
    </row>
    <row r="3242" spans="1:25" x14ac:dyDescent="0.2">
      <c r="A3242" t="s">
        <v>11989</v>
      </c>
      <c r="B3242" t="s">
        <v>11990</v>
      </c>
      <c r="C3242" t="s">
        <v>11991</v>
      </c>
      <c r="D3242" t="s">
        <v>11992</v>
      </c>
      <c r="E3242" t="s">
        <v>11990</v>
      </c>
      <c r="F3242" t="s">
        <v>28</v>
      </c>
      <c r="G3242" t="s">
        <v>11990</v>
      </c>
      <c r="H3242" t="str">
        <f>"hut-1"</f>
        <v>hut-1</v>
      </c>
      <c r="I3242" t="s">
        <v>11992</v>
      </c>
      <c r="J3242">
        <v>15.019566832082401</v>
      </c>
      <c r="K3242">
        <v>14.9865937501812</v>
      </c>
      <c r="L3242">
        <v>15.0105641355741</v>
      </c>
      <c r="M3242">
        <v>15.197081151665399</v>
      </c>
      <c r="N3242">
        <v>15.2605330901066</v>
      </c>
      <c r="O3242">
        <v>14.830169853022401</v>
      </c>
      <c r="P3242">
        <v>9.0353125652242697E-2</v>
      </c>
      <c r="Q3242">
        <v>-0.296679573182068</v>
      </c>
      <c r="R3242">
        <v>0.47738582448655398</v>
      </c>
      <c r="S3242">
        <v>15.1634957163413</v>
      </c>
      <c r="T3242">
        <v>0.49066833937882398</v>
      </c>
      <c r="U3242">
        <v>-6.7575426502551004</v>
      </c>
      <c r="V3242">
        <v>0.62962359143134905</v>
      </c>
      <c r="W3242">
        <v>0.97279262440453396</v>
      </c>
      <c r="X3242">
        <v>0</v>
      </c>
      <c r="Y3242">
        <v>0</v>
      </c>
    </row>
    <row r="3243" spans="1:25" x14ac:dyDescent="0.2">
      <c r="A3243" t="s">
        <v>11993</v>
      </c>
      <c r="B3243" t="s">
        <v>11994</v>
      </c>
      <c r="C3243" t="s">
        <v>14643</v>
      </c>
      <c r="D3243" t="s">
        <v>323</v>
      </c>
      <c r="E3243" t="s">
        <v>11994</v>
      </c>
      <c r="F3243" t="s">
        <v>28</v>
      </c>
      <c r="G3243" t="s">
        <v>11994</v>
      </c>
      <c r="H3243" t="str">
        <f>"Y111B2A.1"</f>
        <v>Y111B2A.1</v>
      </c>
      <c r="I3243" t="s">
        <v>323</v>
      </c>
      <c r="J3243">
        <v>10.629059817335101</v>
      </c>
      <c r="K3243">
        <v>10.006469439898799</v>
      </c>
      <c r="L3243" t="s">
        <v>29</v>
      </c>
      <c r="M3243">
        <v>9.5458707090421395</v>
      </c>
      <c r="N3243" t="s">
        <v>29</v>
      </c>
      <c r="O3243" t="s">
        <v>29</v>
      </c>
      <c r="P3243">
        <v>-0.77189391957480802</v>
      </c>
      <c r="Q3243">
        <v>-1.4888437982573099</v>
      </c>
      <c r="R3243">
        <v>-5.4944040892303397E-2</v>
      </c>
      <c r="S3243">
        <v>11.4624397926237</v>
      </c>
      <c r="T3243">
        <v>-2.3724469915397202</v>
      </c>
      <c r="U3243">
        <v>-4.0763595721702703</v>
      </c>
      <c r="V3243">
        <v>3.7194809750858898E-2</v>
      </c>
      <c r="W3243">
        <v>0.41960788763002799</v>
      </c>
      <c r="X3243">
        <v>0</v>
      </c>
      <c r="Y3243">
        <v>0</v>
      </c>
    </row>
    <row r="3244" spans="1:25" x14ac:dyDescent="0.2">
      <c r="A3244" t="s">
        <v>11995</v>
      </c>
      <c r="B3244" t="s">
        <v>11996</v>
      </c>
      <c r="C3244" t="s">
        <v>11997</v>
      </c>
      <c r="D3244" t="s">
        <v>11998</v>
      </c>
      <c r="E3244" t="s">
        <v>11996</v>
      </c>
      <c r="F3244" t="s">
        <v>28</v>
      </c>
      <c r="G3244" t="s">
        <v>11996</v>
      </c>
      <c r="H3244" t="str">
        <f>"Y66D12A.7"</f>
        <v>Y66D12A.7</v>
      </c>
      <c r="I3244" t="s">
        <v>11998</v>
      </c>
      <c r="J3244" t="s">
        <v>29</v>
      </c>
      <c r="K3244" t="s">
        <v>29</v>
      </c>
      <c r="L3244" t="s">
        <v>29</v>
      </c>
      <c r="M3244" t="s">
        <v>29</v>
      </c>
      <c r="N3244" t="s">
        <v>29</v>
      </c>
      <c r="O3244" t="s">
        <v>29</v>
      </c>
      <c r="P3244" t="s">
        <v>29</v>
      </c>
      <c r="Q3244" t="s">
        <v>29</v>
      </c>
      <c r="R3244" t="s">
        <v>29</v>
      </c>
      <c r="S3244">
        <v>11.630322434789999</v>
      </c>
      <c r="T3244" t="s">
        <v>29</v>
      </c>
      <c r="U3244" t="s">
        <v>29</v>
      </c>
      <c r="V3244" t="s">
        <v>29</v>
      </c>
      <c r="W3244" t="s">
        <v>29</v>
      </c>
      <c r="X3244" t="s">
        <v>29</v>
      </c>
      <c r="Y3244" t="s">
        <v>29</v>
      </c>
    </row>
    <row r="3245" spans="1:25" x14ac:dyDescent="0.2">
      <c r="A3245" t="s">
        <v>11999</v>
      </c>
      <c r="B3245" t="s">
        <v>12000</v>
      </c>
      <c r="C3245" t="s">
        <v>12001</v>
      </c>
      <c r="D3245" t="s">
        <v>12002</v>
      </c>
      <c r="E3245" t="s">
        <v>12000</v>
      </c>
      <c r="F3245" t="s">
        <v>28</v>
      </c>
      <c r="G3245" t="s">
        <v>12000</v>
      </c>
      <c r="H3245" t="str">
        <f>"trpp-8"</f>
        <v>trpp-8</v>
      </c>
      <c r="I3245" t="s">
        <v>12002</v>
      </c>
      <c r="J3245">
        <v>12.463629256345101</v>
      </c>
      <c r="K3245">
        <v>12.5688764238263</v>
      </c>
      <c r="L3245">
        <v>11.872427320639501</v>
      </c>
      <c r="M3245">
        <v>12.016404921764</v>
      </c>
      <c r="N3245">
        <v>12.3226040492814</v>
      </c>
      <c r="O3245">
        <v>12.061921298563201</v>
      </c>
      <c r="P3245">
        <v>-0.168000910400741</v>
      </c>
      <c r="Q3245">
        <v>-0.77035029892693596</v>
      </c>
      <c r="R3245">
        <v>0.43434847812545402</v>
      </c>
      <c r="S3245">
        <v>11.957381442916301</v>
      </c>
      <c r="T3245">
        <v>-0.59157892136670298</v>
      </c>
      <c r="U3245">
        <v>-6.7004332489311</v>
      </c>
      <c r="V3245">
        <v>0.56245252719607997</v>
      </c>
      <c r="W3245">
        <v>0.95650569706421396</v>
      </c>
      <c r="X3245">
        <v>0</v>
      </c>
      <c r="Y3245">
        <v>0</v>
      </c>
    </row>
    <row r="3246" spans="1:25" x14ac:dyDescent="0.2">
      <c r="A3246" t="s">
        <v>12003</v>
      </c>
      <c r="B3246" t="s">
        <v>12004</v>
      </c>
      <c r="C3246" t="s">
        <v>12005</v>
      </c>
      <c r="D3246" t="s">
        <v>4036</v>
      </c>
      <c r="E3246" t="s">
        <v>12004</v>
      </c>
      <c r="F3246" t="s">
        <v>28</v>
      </c>
      <c r="G3246" t="s">
        <v>12004</v>
      </c>
      <c r="H3246" t="str">
        <f>"bpl-1"</f>
        <v>bpl-1</v>
      </c>
      <c r="I3246" t="s">
        <v>4036</v>
      </c>
      <c r="J3246">
        <v>12.8334065873391</v>
      </c>
      <c r="K3246">
        <v>13.0539742247318</v>
      </c>
      <c r="L3246">
        <v>13.0666289234619</v>
      </c>
      <c r="M3246">
        <v>12.223924923301899</v>
      </c>
      <c r="N3246">
        <v>13.283854592679299</v>
      </c>
      <c r="O3246">
        <v>12.0163538194582</v>
      </c>
      <c r="P3246">
        <v>-0.47662546669782602</v>
      </c>
      <c r="Q3246">
        <v>-1.24395152134513</v>
      </c>
      <c r="R3246">
        <v>0.29070058794947701</v>
      </c>
      <c r="S3246">
        <v>12.639066915615301</v>
      </c>
      <c r="T3246">
        <v>-1.3055388851644201</v>
      </c>
      <c r="U3246">
        <v>-6.0322351927496998</v>
      </c>
      <c r="V3246">
        <v>0.20824563754977499</v>
      </c>
      <c r="W3246">
        <v>0.79180661593008295</v>
      </c>
      <c r="X3246">
        <v>0</v>
      </c>
      <c r="Y3246">
        <v>0</v>
      </c>
    </row>
    <row r="3247" spans="1:25" x14ac:dyDescent="0.2">
      <c r="A3247" t="s">
        <v>12006</v>
      </c>
      <c r="B3247" t="s">
        <v>12007</v>
      </c>
      <c r="C3247" t="s">
        <v>12008</v>
      </c>
      <c r="D3247" t="s">
        <v>12009</v>
      </c>
      <c r="E3247" t="s">
        <v>12007</v>
      </c>
      <c r="F3247" t="s">
        <v>28</v>
      </c>
      <c r="G3247" t="s">
        <v>12007</v>
      </c>
      <c r="H3247" t="str">
        <f>"B0464.9"</f>
        <v>B0464.9</v>
      </c>
      <c r="I3247" t="s">
        <v>12009</v>
      </c>
      <c r="J3247">
        <v>14.051516398993201</v>
      </c>
      <c r="K3247">
        <v>13.813358133722801</v>
      </c>
      <c r="L3247">
        <v>13.914790583391</v>
      </c>
      <c r="M3247">
        <v>13.9628133509571</v>
      </c>
      <c r="N3247">
        <v>13.6155910445214</v>
      </c>
      <c r="O3247">
        <v>13.743259989364599</v>
      </c>
      <c r="P3247">
        <v>-0.152666910421312</v>
      </c>
      <c r="Q3247">
        <v>-0.54427195308315002</v>
      </c>
      <c r="R3247">
        <v>0.23893813224052601</v>
      </c>
      <c r="S3247">
        <v>13.567549522008299</v>
      </c>
      <c r="T3247">
        <v>-0.82289922689981598</v>
      </c>
      <c r="U3247">
        <v>-6.5345644392069699</v>
      </c>
      <c r="V3247">
        <v>0.42202878961711798</v>
      </c>
      <c r="W3247">
        <v>0.91512503332874395</v>
      </c>
      <c r="X3247">
        <v>0</v>
      </c>
      <c r="Y3247">
        <v>0</v>
      </c>
    </row>
    <row r="3248" spans="1:25" x14ac:dyDescent="0.2">
      <c r="A3248" t="s">
        <v>12010</v>
      </c>
      <c r="B3248" t="s">
        <v>12011</v>
      </c>
      <c r="C3248" t="s">
        <v>12012</v>
      </c>
      <c r="D3248" t="s">
        <v>93</v>
      </c>
      <c r="E3248" t="s">
        <v>12011</v>
      </c>
      <c r="F3248" t="s">
        <v>28</v>
      </c>
      <c r="G3248" t="s">
        <v>12011</v>
      </c>
      <c r="H3248" t="str">
        <f>"hrpf-1"</f>
        <v>hrpf-1</v>
      </c>
      <c r="I3248" t="s">
        <v>93</v>
      </c>
      <c r="J3248">
        <v>15.9329112325319</v>
      </c>
      <c r="K3248">
        <v>16.5736966036703</v>
      </c>
      <c r="L3248">
        <v>16.493887335552799</v>
      </c>
      <c r="M3248">
        <v>15.6285774504153</v>
      </c>
      <c r="N3248">
        <v>15.5729546716823</v>
      </c>
      <c r="O3248">
        <v>16.070970052385199</v>
      </c>
      <c r="P3248">
        <v>-0.575997665757361</v>
      </c>
      <c r="Q3248">
        <v>-1.1387359151444301</v>
      </c>
      <c r="R3248">
        <v>-1.32594163702972E-2</v>
      </c>
      <c r="S3248">
        <v>16.5761277458876</v>
      </c>
      <c r="T3248">
        <v>-2.1513288504814798</v>
      </c>
      <c r="U3248">
        <v>-4.7344813150188498</v>
      </c>
      <c r="V3248">
        <v>4.5361732845937398E-2</v>
      </c>
      <c r="W3248">
        <v>0.465937799108888</v>
      </c>
      <c r="X3248">
        <v>0</v>
      </c>
      <c r="Y3248">
        <v>0</v>
      </c>
    </row>
    <row r="3249" spans="1:25" x14ac:dyDescent="0.2">
      <c r="A3249" t="s">
        <v>12013</v>
      </c>
      <c r="B3249" t="s">
        <v>12014</v>
      </c>
      <c r="C3249" t="s">
        <v>12015</v>
      </c>
      <c r="D3249" t="s">
        <v>158</v>
      </c>
      <c r="E3249" t="s">
        <v>12014</v>
      </c>
      <c r="F3249" t="s">
        <v>28</v>
      </c>
      <c r="G3249" t="s">
        <v>12014</v>
      </c>
      <c r="H3249" t="str">
        <f>"imb-1"</f>
        <v>imb-1</v>
      </c>
      <c r="I3249" t="s">
        <v>158</v>
      </c>
      <c r="J3249">
        <v>11.223710139376999</v>
      </c>
      <c r="K3249">
        <v>10.8922776646596</v>
      </c>
      <c r="L3249">
        <v>11.5128952395344</v>
      </c>
      <c r="M3249">
        <v>11.5782540818998</v>
      </c>
      <c r="N3249">
        <v>11.6989866590728</v>
      </c>
      <c r="O3249">
        <v>11.980715759877601</v>
      </c>
      <c r="P3249">
        <v>0.54302448575976603</v>
      </c>
      <c r="Q3249">
        <v>-0.11779025012061201</v>
      </c>
      <c r="R3249">
        <v>1.2038392216401399</v>
      </c>
      <c r="S3249">
        <v>12.228815574160199</v>
      </c>
      <c r="T3249">
        <v>1.74296723767919</v>
      </c>
      <c r="U3249">
        <v>-5.4216630448355101</v>
      </c>
      <c r="V3249">
        <v>0.100647711396342</v>
      </c>
      <c r="W3249">
        <v>0.65399513636263495</v>
      </c>
      <c r="X3249">
        <v>0</v>
      </c>
      <c r="Y3249">
        <v>0</v>
      </c>
    </row>
    <row r="3250" spans="1:25" x14ac:dyDescent="0.2">
      <c r="A3250" t="s">
        <v>12016</v>
      </c>
      <c r="B3250" t="s">
        <v>12017</v>
      </c>
      <c r="C3250" t="s">
        <v>12018</v>
      </c>
      <c r="D3250" t="s">
        <v>12019</v>
      </c>
      <c r="E3250" t="s">
        <v>12017</v>
      </c>
      <c r="F3250" t="s">
        <v>28</v>
      </c>
      <c r="G3250" t="s">
        <v>12017</v>
      </c>
      <c r="H3250" t="str">
        <f>"rbm-5"</f>
        <v>rbm-5</v>
      </c>
      <c r="I3250" t="s">
        <v>12019</v>
      </c>
      <c r="J3250">
        <v>12.5844212409094</v>
      </c>
      <c r="K3250">
        <v>11.7191464942859</v>
      </c>
      <c r="L3250">
        <v>12.0170575735448</v>
      </c>
      <c r="M3250">
        <v>12.5050844364733</v>
      </c>
      <c r="N3250">
        <v>12.6326419451212</v>
      </c>
      <c r="O3250">
        <v>12.943172588836401</v>
      </c>
      <c r="P3250">
        <v>0.586757887230279</v>
      </c>
      <c r="Q3250">
        <v>5.39973034261232E-4</v>
      </c>
      <c r="R3250">
        <v>1.1729758014263001</v>
      </c>
      <c r="S3250">
        <v>12.971451931281701</v>
      </c>
      <c r="T3250">
        <v>2.1347226400717099</v>
      </c>
      <c r="U3250">
        <v>-4.7861182116859098</v>
      </c>
      <c r="V3250">
        <v>4.98149267801632E-2</v>
      </c>
      <c r="W3250">
        <v>0.48617031180171</v>
      </c>
      <c r="X3250">
        <v>0</v>
      </c>
      <c r="Y3250">
        <v>0</v>
      </c>
    </row>
    <row r="3251" spans="1:25" x14ac:dyDescent="0.2">
      <c r="A3251" t="s">
        <v>12020</v>
      </c>
      <c r="B3251" t="s">
        <v>12021</v>
      </c>
      <c r="C3251" t="s">
        <v>12022</v>
      </c>
      <c r="D3251" t="s">
        <v>433</v>
      </c>
      <c r="E3251" t="s">
        <v>12021</v>
      </c>
      <c r="F3251" t="s">
        <v>28</v>
      </c>
      <c r="G3251" t="s">
        <v>12021</v>
      </c>
      <c r="H3251" t="str">
        <f>"C49A9.9"</f>
        <v>C49A9.9</v>
      </c>
      <c r="I3251" t="s">
        <v>433</v>
      </c>
      <c r="J3251">
        <v>14.9684195993653</v>
      </c>
      <c r="K3251">
        <v>15.005230058449699</v>
      </c>
      <c r="L3251">
        <v>14.47391313426</v>
      </c>
      <c r="M3251">
        <v>14.6652092280116</v>
      </c>
      <c r="N3251">
        <v>14.4453555965266</v>
      </c>
      <c r="O3251">
        <v>14.947054990051299</v>
      </c>
      <c r="P3251">
        <v>-0.129980992495181</v>
      </c>
      <c r="Q3251">
        <v>-0.62366059405123198</v>
      </c>
      <c r="R3251">
        <v>0.36369860906086998</v>
      </c>
      <c r="S3251">
        <v>14.467746446076699</v>
      </c>
      <c r="T3251">
        <v>-0.55575666409774205</v>
      </c>
      <c r="U3251">
        <v>-6.7220794556857699</v>
      </c>
      <c r="V3251">
        <v>0.58566235395598198</v>
      </c>
      <c r="W3251">
        <v>0.963273565916412</v>
      </c>
      <c r="X3251">
        <v>0</v>
      </c>
      <c r="Y3251">
        <v>0</v>
      </c>
    </row>
    <row r="3252" spans="1:25" x14ac:dyDescent="0.2">
      <c r="A3252" t="s">
        <v>12023</v>
      </c>
      <c r="B3252" t="s">
        <v>12024</v>
      </c>
      <c r="C3252" t="s">
        <v>12025</v>
      </c>
      <c r="D3252" t="s">
        <v>12026</v>
      </c>
      <c r="E3252" t="s">
        <v>12024</v>
      </c>
      <c r="F3252" t="s">
        <v>28</v>
      </c>
      <c r="G3252" t="s">
        <v>12024</v>
      </c>
      <c r="H3252" t="str">
        <f>"ddx-35"</f>
        <v>ddx-35</v>
      </c>
      <c r="I3252" t="s">
        <v>12026</v>
      </c>
      <c r="J3252">
        <v>12.286140237493999</v>
      </c>
      <c r="K3252">
        <v>12.5587479395048</v>
      </c>
      <c r="L3252">
        <v>12.3333402519354</v>
      </c>
      <c r="M3252">
        <v>12.4330120597392</v>
      </c>
      <c r="N3252">
        <v>12.710907160013701</v>
      </c>
      <c r="O3252">
        <v>11.704625123468199</v>
      </c>
      <c r="P3252">
        <v>-0.10989469523772601</v>
      </c>
      <c r="Q3252">
        <v>-0.63396957357208605</v>
      </c>
      <c r="R3252">
        <v>0.41418018309663501</v>
      </c>
      <c r="S3252">
        <v>12.6362058436466</v>
      </c>
      <c r="T3252">
        <v>-0.44476736847695802</v>
      </c>
      <c r="U3252">
        <v>-6.7790904928721796</v>
      </c>
      <c r="V3252">
        <v>0.66248458157147905</v>
      </c>
      <c r="W3252">
        <v>0.98382359994193702</v>
      </c>
      <c r="X3252">
        <v>0</v>
      </c>
      <c r="Y3252">
        <v>0</v>
      </c>
    </row>
    <row r="3253" spans="1:25" x14ac:dyDescent="0.2">
      <c r="A3253" t="s">
        <v>12027</v>
      </c>
      <c r="B3253" t="s">
        <v>12028</v>
      </c>
      <c r="C3253" t="s">
        <v>12029</v>
      </c>
      <c r="D3253" t="s">
        <v>12030</v>
      </c>
      <c r="E3253" t="s">
        <v>12028</v>
      </c>
      <c r="F3253" t="s">
        <v>28</v>
      </c>
      <c r="G3253" t="s">
        <v>12028</v>
      </c>
      <c r="H3253" t="str">
        <f>"cisd-3.2"</f>
        <v>cisd-3.2</v>
      </c>
      <c r="I3253" t="s">
        <v>12030</v>
      </c>
      <c r="J3253">
        <v>15.326930483402901</v>
      </c>
      <c r="K3253">
        <v>15.3678216258247</v>
      </c>
      <c r="L3253">
        <v>15.2500714776324</v>
      </c>
      <c r="M3253">
        <v>14.503025793227</v>
      </c>
      <c r="N3253">
        <v>14.3175210189669</v>
      </c>
      <c r="O3253">
        <v>14.9020410557772</v>
      </c>
      <c r="P3253">
        <v>-0.74074523962965499</v>
      </c>
      <c r="Q3253">
        <v>-1.22704311670607</v>
      </c>
      <c r="R3253">
        <v>-0.25444736255324502</v>
      </c>
      <c r="S3253">
        <v>14.3219259874312</v>
      </c>
      <c r="T3253">
        <v>-3.2152630430485201</v>
      </c>
      <c r="U3253">
        <v>-2.6671363227850899</v>
      </c>
      <c r="V3253">
        <v>5.1096885207085703E-3</v>
      </c>
      <c r="W3253">
        <v>0.11187528550604001</v>
      </c>
      <c r="X3253">
        <v>0</v>
      </c>
      <c r="Y3253">
        <v>0</v>
      </c>
    </row>
    <row r="3254" spans="1:25" x14ac:dyDescent="0.2">
      <c r="A3254" t="s">
        <v>12031</v>
      </c>
      <c r="B3254" t="s">
        <v>12032</v>
      </c>
      <c r="C3254" t="s">
        <v>12033</v>
      </c>
      <c r="D3254" t="s">
        <v>581</v>
      </c>
      <c r="E3254" t="s">
        <v>12032</v>
      </c>
      <c r="F3254" t="s">
        <v>28</v>
      </c>
      <c r="G3254" t="s">
        <v>12032</v>
      </c>
      <c r="H3254" t="str">
        <f>"ttc-37"</f>
        <v>ttc-37</v>
      </c>
      <c r="I3254" t="s">
        <v>581</v>
      </c>
      <c r="J3254">
        <v>12.2850603081801</v>
      </c>
      <c r="K3254">
        <v>12.4006881325686</v>
      </c>
      <c r="L3254">
        <v>12.407690948359599</v>
      </c>
      <c r="M3254">
        <v>12.417172219414301</v>
      </c>
      <c r="N3254">
        <v>12.9904369670954</v>
      </c>
      <c r="O3254">
        <v>12.0589477263683</v>
      </c>
      <c r="P3254">
        <v>0.12437250792323</v>
      </c>
      <c r="Q3254">
        <v>-0.58419884248113296</v>
      </c>
      <c r="R3254">
        <v>0.83294385832759299</v>
      </c>
      <c r="S3254">
        <v>12.2676832975264</v>
      </c>
      <c r="T3254">
        <v>0.36892094836140199</v>
      </c>
      <c r="U3254">
        <v>-6.8116480259113903</v>
      </c>
      <c r="V3254">
        <v>0.71651535366593699</v>
      </c>
      <c r="W3254">
        <v>0.98786722894487999</v>
      </c>
      <c r="X3254">
        <v>0</v>
      </c>
      <c r="Y3254">
        <v>0</v>
      </c>
    </row>
    <row r="3255" spans="1:25" x14ac:dyDescent="0.2">
      <c r="A3255" t="s">
        <v>12034</v>
      </c>
      <c r="B3255" t="s">
        <v>12035</v>
      </c>
      <c r="C3255" t="s">
        <v>14644</v>
      </c>
      <c r="D3255" t="s">
        <v>12036</v>
      </c>
      <c r="E3255" t="s">
        <v>12035</v>
      </c>
      <c r="F3255" t="s">
        <v>28</v>
      </c>
      <c r="G3255" t="s">
        <v>12035</v>
      </c>
      <c r="H3255" t="str">
        <f>"Y82E9BR.18"</f>
        <v>Y82E9BR.18</v>
      </c>
      <c r="I3255" t="s">
        <v>12036</v>
      </c>
      <c r="J3255">
        <v>15.4900080676753</v>
      </c>
      <c r="K3255">
        <v>15.2325603811686</v>
      </c>
      <c r="L3255">
        <v>15.2037522357311</v>
      </c>
      <c r="M3255">
        <v>15.4685576851085</v>
      </c>
      <c r="N3255">
        <v>15.2902269851493</v>
      </c>
      <c r="O3255">
        <v>15.3345336288192</v>
      </c>
      <c r="P3255">
        <v>5.5665871500705698E-2</v>
      </c>
      <c r="Q3255">
        <v>-0.42057637208222698</v>
      </c>
      <c r="R3255">
        <v>0.531908115083638</v>
      </c>
      <c r="S3255">
        <v>14.847063562617899</v>
      </c>
      <c r="T3255">
        <v>0.245670839771193</v>
      </c>
      <c r="U3255">
        <v>-6.8510082440250697</v>
      </c>
      <c r="V3255">
        <v>0.80873256291922402</v>
      </c>
      <c r="W3255">
        <v>0.99278624068726296</v>
      </c>
      <c r="X3255">
        <v>0</v>
      </c>
      <c r="Y3255">
        <v>0</v>
      </c>
    </row>
    <row r="3256" spans="1:25" x14ac:dyDescent="0.2">
      <c r="A3256" t="s">
        <v>12037</v>
      </c>
      <c r="B3256" t="s">
        <v>12038</v>
      </c>
      <c r="C3256" t="s">
        <v>14645</v>
      </c>
      <c r="D3256" t="s">
        <v>107</v>
      </c>
      <c r="E3256" t="s">
        <v>12038</v>
      </c>
      <c r="F3256" t="s">
        <v>28</v>
      </c>
      <c r="G3256" t="s">
        <v>12038</v>
      </c>
      <c r="H3256" t="str">
        <f>"Y82E9BR.16"</f>
        <v>Y82E9BR.16</v>
      </c>
      <c r="I3256" t="s">
        <v>107</v>
      </c>
      <c r="J3256">
        <v>12.7182743135512</v>
      </c>
      <c r="K3256">
        <v>12.1143064906097</v>
      </c>
      <c r="L3256">
        <v>12.325988391522699</v>
      </c>
      <c r="M3256">
        <v>12.522144257141701</v>
      </c>
      <c r="N3256">
        <v>11.772144804602901</v>
      </c>
      <c r="O3256">
        <v>12.497623185957901</v>
      </c>
      <c r="P3256">
        <v>-0.122218982660419</v>
      </c>
      <c r="Q3256">
        <v>-0.69801458742086098</v>
      </c>
      <c r="R3256">
        <v>0.45357662210002297</v>
      </c>
      <c r="S3256">
        <v>12.580915941401701</v>
      </c>
      <c r="T3256">
        <v>-0.45270149089456502</v>
      </c>
      <c r="U3256">
        <v>-6.7750134607101904</v>
      </c>
      <c r="V3256">
        <v>0.65728762451105505</v>
      </c>
      <c r="W3256">
        <v>0.98382359994193702</v>
      </c>
      <c r="X3256">
        <v>0</v>
      </c>
      <c r="Y3256">
        <v>0</v>
      </c>
    </row>
    <row r="3257" spans="1:25" x14ac:dyDescent="0.2">
      <c r="A3257" t="s">
        <v>12039</v>
      </c>
      <c r="B3257" t="s">
        <v>12040</v>
      </c>
      <c r="C3257" t="s">
        <v>12041</v>
      </c>
      <c r="D3257" t="s">
        <v>12042</v>
      </c>
      <c r="E3257" t="s">
        <v>12040</v>
      </c>
      <c r="F3257" t="s">
        <v>28</v>
      </c>
      <c r="G3257" t="s">
        <v>12040</v>
      </c>
      <c r="H3257" t="str">
        <f>"elc-1"</f>
        <v>elc-1</v>
      </c>
      <c r="I3257" t="s">
        <v>12042</v>
      </c>
      <c r="J3257">
        <v>13.245550353696199</v>
      </c>
      <c r="K3257">
        <v>13.1799823211472</v>
      </c>
      <c r="L3257">
        <v>13.290480902589501</v>
      </c>
      <c r="M3257">
        <v>13.0737002843107</v>
      </c>
      <c r="N3257">
        <v>13.1831381652245</v>
      </c>
      <c r="O3257">
        <v>13.3825599756488</v>
      </c>
      <c r="P3257">
        <v>-2.5538384082983302E-2</v>
      </c>
      <c r="Q3257">
        <v>-0.51011275405658496</v>
      </c>
      <c r="R3257">
        <v>0.459035985890619</v>
      </c>
      <c r="S3257">
        <v>13.157519703194399</v>
      </c>
      <c r="T3257">
        <v>-0.112402140139226</v>
      </c>
      <c r="U3257">
        <v>-6.8758206979109904</v>
      </c>
      <c r="V3257">
        <v>0.91200538696759803</v>
      </c>
      <c r="W3257">
        <v>0.99833354317360001</v>
      </c>
      <c r="X3257">
        <v>0</v>
      </c>
      <c r="Y3257">
        <v>0</v>
      </c>
    </row>
    <row r="3258" spans="1:25" x14ac:dyDescent="0.2">
      <c r="A3258" t="s">
        <v>12043</v>
      </c>
      <c r="B3258" t="s">
        <v>12044</v>
      </c>
      <c r="C3258" t="s">
        <v>12045</v>
      </c>
      <c r="D3258" t="s">
        <v>12046</v>
      </c>
      <c r="E3258" t="s">
        <v>12044</v>
      </c>
      <c r="F3258" t="s">
        <v>28</v>
      </c>
      <c r="G3258" t="s">
        <v>12044</v>
      </c>
      <c r="H3258" t="str">
        <f>"npp-13"</f>
        <v>npp-13</v>
      </c>
      <c r="I3258" t="s">
        <v>12046</v>
      </c>
      <c r="J3258">
        <v>14.780921010650999</v>
      </c>
      <c r="K3258">
        <v>14.777118640166499</v>
      </c>
      <c r="L3258">
        <v>14.844643818949899</v>
      </c>
      <c r="M3258">
        <v>14.7333442271122</v>
      </c>
      <c r="N3258">
        <v>14.7239852029609</v>
      </c>
      <c r="O3258">
        <v>14.6564732117431</v>
      </c>
      <c r="P3258">
        <v>-9.6293609317047696E-2</v>
      </c>
      <c r="Q3258">
        <v>-0.47461689672042501</v>
      </c>
      <c r="R3258">
        <v>0.28202967808632901</v>
      </c>
      <c r="S3258">
        <v>14.7288636094605</v>
      </c>
      <c r="T3258">
        <v>-0.53496689018053301</v>
      </c>
      <c r="U3258">
        <v>-6.7341513739238996</v>
      </c>
      <c r="V3258">
        <v>0.59925801438339599</v>
      </c>
      <c r="W3258">
        <v>0.96842094135679302</v>
      </c>
      <c r="X3258">
        <v>0</v>
      </c>
      <c r="Y3258">
        <v>0</v>
      </c>
    </row>
    <row r="3259" spans="1:25" x14ac:dyDescent="0.2">
      <c r="A3259" t="s">
        <v>12047</v>
      </c>
      <c r="B3259" t="s">
        <v>12048</v>
      </c>
      <c r="C3259" t="s">
        <v>12049</v>
      </c>
      <c r="D3259" t="s">
        <v>12050</v>
      </c>
      <c r="E3259" t="s">
        <v>12048</v>
      </c>
      <c r="F3259" t="s">
        <v>28</v>
      </c>
      <c r="G3259" t="s">
        <v>12048</v>
      </c>
      <c r="H3259" t="str">
        <f>"eif-2alpha"</f>
        <v>eif-2alpha</v>
      </c>
      <c r="I3259" t="s">
        <v>12050</v>
      </c>
      <c r="J3259">
        <v>16.944371691450701</v>
      </c>
      <c r="K3259">
        <v>16.7690532453434</v>
      </c>
      <c r="L3259">
        <v>16.822587529092701</v>
      </c>
      <c r="M3259">
        <v>16.921513941114998</v>
      </c>
      <c r="N3259">
        <v>17.109947613348901</v>
      </c>
      <c r="O3259">
        <v>17.112438624247201</v>
      </c>
      <c r="P3259">
        <v>0.202629237608104</v>
      </c>
      <c r="Q3259">
        <v>-9.7338147777595904E-2</v>
      </c>
      <c r="R3259">
        <v>0.50259662299380303</v>
      </c>
      <c r="S3259">
        <v>16.687655569121599</v>
      </c>
      <c r="T3259">
        <v>1.41977846930911</v>
      </c>
      <c r="U3259">
        <v>-5.8850327579874602</v>
      </c>
      <c r="V3259">
        <v>0.17285887579831999</v>
      </c>
      <c r="W3259">
        <v>0.77568784401157198</v>
      </c>
      <c r="X3259">
        <v>0</v>
      </c>
      <c r="Y3259">
        <v>0</v>
      </c>
    </row>
    <row r="3260" spans="1:25" x14ac:dyDescent="0.2">
      <c r="A3260" t="s">
        <v>12051</v>
      </c>
      <c r="B3260" t="s">
        <v>12052</v>
      </c>
      <c r="C3260" t="s">
        <v>12053</v>
      </c>
      <c r="D3260" t="s">
        <v>12054</v>
      </c>
      <c r="E3260" t="s">
        <v>12052</v>
      </c>
      <c r="F3260" t="s">
        <v>28</v>
      </c>
      <c r="G3260" t="s">
        <v>12052</v>
      </c>
      <c r="H3260" t="str">
        <f>"phb-1"</f>
        <v>phb-1</v>
      </c>
      <c r="I3260" t="s">
        <v>12054</v>
      </c>
      <c r="J3260">
        <v>16.8359377875713</v>
      </c>
      <c r="K3260">
        <v>16.9412386819732</v>
      </c>
      <c r="L3260">
        <v>16.776224225387001</v>
      </c>
      <c r="M3260">
        <v>16.840967781182801</v>
      </c>
      <c r="N3260">
        <v>16.580041374992199</v>
      </c>
      <c r="O3260">
        <v>16.9735725611101</v>
      </c>
      <c r="P3260">
        <v>-5.2939659215468303E-2</v>
      </c>
      <c r="Q3260">
        <v>-0.54087252933970698</v>
      </c>
      <c r="R3260">
        <v>0.43499321090877102</v>
      </c>
      <c r="S3260">
        <v>16.217551655731999</v>
      </c>
      <c r="T3260">
        <v>-0.22804133703316501</v>
      </c>
      <c r="U3260">
        <v>-6.85535799152668</v>
      </c>
      <c r="V3260">
        <v>0.82219946586453196</v>
      </c>
      <c r="W3260">
        <v>0.992837538801569</v>
      </c>
      <c r="X3260">
        <v>0</v>
      </c>
      <c r="Y3260">
        <v>0</v>
      </c>
    </row>
    <row r="3261" spans="1:25" x14ac:dyDescent="0.2">
      <c r="A3261" t="s">
        <v>12055</v>
      </c>
      <c r="B3261" t="s">
        <v>12056</v>
      </c>
      <c r="C3261" t="s">
        <v>14646</v>
      </c>
      <c r="D3261" t="s">
        <v>12057</v>
      </c>
      <c r="E3261" t="s">
        <v>12056</v>
      </c>
      <c r="F3261" t="s">
        <v>28</v>
      </c>
      <c r="G3261" t="s">
        <v>12056</v>
      </c>
      <c r="H3261" t="str">
        <f>"Y37E3.8"</f>
        <v>Y37E3.8</v>
      </c>
      <c r="I3261" t="s">
        <v>12057</v>
      </c>
      <c r="J3261">
        <v>20.229643513093301</v>
      </c>
      <c r="K3261">
        <v>20.2592826506893</v>
      </c>
      <c r="L3261">
        <v>20.4419526929175</v>
      </c>
      <c r="M3261">
        <v>20.372997825408799</v>
      </c>
      <c r="N3261">
        <v>20.281888085143901</v>
      </c>
      <c r="O3261">
        <v>20.017926057309602</v>
      </c>
      <c r="P3261">
        <v>-8.6022296279306701E-2</v>
      </c>
      <c r="Q3261">
        <v>-0.49212514014993303</v>
      </c>
      <c r="R3261">
        <v>0.32008054759131899</v>
      </c>
      <c r="S3261">
        <v>20.590374164328701</v>
      </c>
      <c r="T3261">
        <v>-0.44521266862924302</v>
      </c>
      <c r="U3261">
        <v>-6.7794982079086799</v>
      </c>
      <c r="V3261">
        <v>0.66150475322205904</v>
      </c>
      <c r="W3261">
        <v>0.98382359994193702</v>
      </c>
      <c r="X3261">
        <v>0</v>
      </c>
      <c r="Y3261">
        <v>0</v>
      </c>
    </row>
    <row r="3262" spans="1:25" x14ac:dyDescent="0.2">
      <c r="A3262" t="s">
        <v>12058</v>
      </c>
      <c r="B3262" t="s">
        <v>12059</v>
      </c>
      <c r="C3262" t="s">
        <v>14647</v>
      </c>
      <c r="D3262" t="s">
        <v>12060</v>
      </c>
      <c r="E3262" t="s">
        <v>12059</v>
      </c>
      <c r="F3262" t="s">
        <v>28</v>
      </c>
      <c r="G3262" t="s">
        <v>12059</v>
      </c>
      <c r="H3262" t="str">
        <f>"Y92H12BL.4"</f>
        <v>Y92H12BL.4</v>
      </c>
      <c r="I3262" t="s">
        <v>12060</v>
      </c>
      <c r="J3262">
        <v>11.9068527709296</v>
      </c>
      <c r="K3262">
        <v>12.460049529938599</v>
      </c>
      <c r="L3262">
        <v>12.3948423772122</v>
      </c>
      <c r="M3262">
        <v>12.229038876354201</v>
      </c>
      <c r="N3262">
        <v>11.5222884681969</v>
      </c>
      <c r="O3262">
        <v>12.5738162625359</v>
      </c>
      <c r="P3262">
        <v>-0.14553369033109601</v>
      </c>
      <c r="Q3262">
        <v>-0.68140936726472501</v>
      </c>
      <c r="R3262">
        <v>0.390341986602533</v>
      </c>
      <c r="S3262">
        <v>11.9623696628485</v>
      </c>
      <c r="T3262">
        <v>-0.57921673698616205</v>
      </c>
      <c r="U3262">
        <v>-6.7073130751001901</v>
      </c>
      <c r="V3262">
        <v>0.57109956114360805</v>
      </c>
      <c r="W3262">
        <v>0.96052030798546795</v>
      </c>
      <c r="X3262">
        <v>0</v>
      </c>
      <c r="Y3262">
        <v>0</v>
      </c>
    </row>
    <row r="3263" spans="1:25" x14ac:dyDescent="0.2">
      <c r="A3263" t="s">
        <v>12061</v>
      </c>
      <c r="B3263" t="s">
        <v>12062</v>
      </c>
      <c r="C3263" t="s">
        <v>14648</v>
      </c>
      <c r="D3263" t="s">
        <v>2432</v>
      </c>
      <c r="E3263" t="s">
        <v>12062</v>
      </c>
      <c r="F3263" t="s">
        <v>28</v>
      </c>
      <c r="G3263" t="s">
        <v>12062</v>
      </c>
      <c r="H3263" t="str">
        <f>"Y54F10AM.11"</f>
        <v>Y54F10AM.11</v>
      </c>
      <c r="I3263" t="s">
        <v>2432</v>
      </c>
      <c r="J3263" t="s">
        <v>29</v>
      </c>
      <c r="K3263" t="s">
        <v>29</v>
      </c>
      <c r="L3263" t="s">
        <v>29</v>
      </c>
      <c r="M3263">
        <v>11.852348621417701</v>
      </c>
      <c r="N3263" t="s">
        <v>29</v>
      </c>
      <c r="O3263" t="s">
        <v>29</v>
      </c>
      <c r="P3263" t="s">
        <v>29</v>
      </c>
      <c r="Q3263" t="s">
        <v>29</v>
      </c>
      <c r="R3263" t="s">
        <v>29</v>
      </c>
      <c r="S3263">
        <v>11.754876580695001</v>
      </c>
      <c r="T3263" t="s">
        <v>29</v>
      </c>
      <c r="U3263" t="s">
        <v>29</v>
      </c>
      <c r="V3263" t="s">
        <v>29</v>
      </c>
      <c r="W3263" t="s">
        <v>29</v>
      </c>
      <c r="X3263" t="s">
        <v>29</v>
      </c>
      <c r="Y3263" t="s">
        <v>29</v>
      </c>
    </row>
    <row r="3264" spans="1:25" x14ac:dyDescent="0.2">
      <c r="A3264" t="s">
        <v>12063</v>
      </c>
      <c r="B3264" t="s">
        <v>12064</v>
      </c>
      <c r="C3264" t="s">
        <v>12065</v>
      </c>
      <c r="D3264" t="s">
        <v>12066</v>
      </c>
      <c r="E3264" t="s">
        <v>12064</v>
      </c>
      <c r="F3264" t="s">
        <v>28</v>
      </c>
      <c r="G3264" t="s">
        <v>12064</v>
      </c>
      <c r="H3264" t="str">
        <f>"feh-1"</f>
        <v>feh-1</v>
      </c>
      <c r="I3264" t="s">
        <v>12066</v>
      </c>
      <c r="J3264">
        <v>13.252073650918501</v>
      </c>
      <c r="K3264">
        <v>13.475556473596299</v>
      </c>
      <c r="L3264">
        <v>13.540374271221699</v>
      </c>
      <c r="M3264">
        <v>12.902711725655401</v>
      </c>
      <c r="N3264">
        <v>12.959030434375199</v>
      </c>
      <c r="O3264">
        <v>13.619524726051599</v>
      </c>
      <c r="P3264">
        <v>-0.26224583655141998</v>
      </c>
      <c r="Q3264">
        <v>-0.72024995954731696</v>
      </c>
      <c r="R3264">
        <v>0.19575828644447699</v>
      </c>
      <c r="S3264">
        <v>13.2372397544524</v>
      </c>
      <c r="T3264">
        <v>-1.2086184721209901</v>
      </c>
      <c r="U3264">
        <v>-6.1484841596434601</v>
      </c>
      <c r="V3264">
        <v>0.24345380772144301</v>
      </c>
      <c r="W3264">
        <v>0.82513725030013996</v>
      </c>
      <c r="X3264">
        <v>0</v>
      </c>
      <c r="Y3264">
        <v>0</v>
      </c>
    </row>
    <row r="3265" spans="1:25" x14ac:dyDescent="0.2">
      <c r="A3265" t="s">
        <v>12067</v>
      </c>
      <c r="B3265" t="s">
        <v>12068</v>
      </c>
      <c r="C3265" t="s">
        <v>12069</v>
      </c>
      <c r="D3265" t="s">
        <v>12070</v>
      </c>
      <c r="E3265" t="s">
        <v>12068</v>
      </c>
      <c r="F3265" t="s">
        <v>28</v>
      </c>
      <c r="G3265" t="s">
        <v>12068</v>
      </c>
      <c r="H3265" t="str">
        <f>"ceh-44"</f>
        <v>ceh-44</v>
      </c>
      <c r="I3265" t="s">
        <v>12070</v>
      </c>
      <c r="J3265" t="s">
        <v>29</v>
      </c>
      <c r="K3265" t="s">
        <v>29</v>
      </c>
      <c r="L3265" t="s">
        <v>29</v>
      </c>
      <c r="M3265" t="s">
        <v>29</v>
      </c>
      <c r="N3265" t="s">
        <v>29</v>
      </c>
      <c r="O3265" t="s">
        <v>29</v>
      </c>
      <c r="P3265" t="s">
        <v>29</v>
      </c>
      <c r="Q3265" t="s">
        <v>29</v>
      </c>
      <c r="R3265" t="s">
        <v>29</v>
      </c>
      <c r="S3265">
        <v>11.493939607660399</v>
      </c>
      <c r="T3265" t="s">
        <v>29</v>
      </c>
      <c r="U3265" t="s">
        <v>29</v>
      </c>
      <c r="V3265" t="s">
        <v>29</v>
      </c>
      <c r="W3265" t="s">
        <v>29</v>
      </c>
      <c r="X3265" t="s">
        <v>29</v>
      </c>
      <c r="Y3265" t="s">
        <v>29</v>
      </c>
    </row>
    <row r="3266" spans="1:25" x14ac:dyDescent="0.2">
      <c r="A3266" t="s">
        <v>12071</v>
      </c>
      <c r="B3266" t="s">
        <v>12072</v>
      </c>
      <c r="C3266" t="s">
        <v>12073</v>
      </c>
      <c r="D3266" t="s">
        <v>534</v>
      </c>
      <c r="E3266" t="s">
        <v>12072</v>
      </c>
      <c r="F3266" t="s">
        <v>28</v>
      </c>
      <c r="G3266" t="s">
        <v>12072</v>
      </c>
      <c r="H3266" t="str">
        <f>"rbc-2"</f>
        <v>rbc-2</v>
      </c>
      <c r="I3266" t="s">
        <v>534</v>
      </c>
      <c r="J3266">
        <v>13.351839896768301</v>
      </c>
      <c r="K3266">
        <v>13.424666790814699</v>
      </c>
      <c r="L3266">
        <v>13.1811895724832</v>
      </c>
      <c r="M3266">
        <v>13.401093516896699</v>
      </c>
      <c r="N3266">
        <v>13.404325907509699</v>
      </c>
      <c r="O3266">
        <v>13.076928823359401</v>
      </c>
      <c r="P3266">
        <v>-2.5116004100175001E-2</v>
      </c>
      <c r="Q3266">
        <v>-0.40951573668046098</v>
      </c>
      <c r="R3266">
        <v>0.35928372848011098</v>
      </c>
      <c r="S3266">
        <v>13.1071974113756</v>
      </c>
      <c r="T3266">
        <v>-0.13791689833203299</v>
      </c>
      <c r="U3266">
        <v>-6.8725256338148704</v>
      </c>
      <c r="V3266">
        <v>0.891936483745839</v>
      </c>
      <c r="W3266">
        <v>0.99705229851241195</v>
      </c>
      <c r="X3266">
        <v>0</v>
      </c>
      <c r="Y3266">
        <v>0</v>
      </c>
    </row>
    <row r="3267" spans="1:25" x14ac:dyDescent="0.2">
      <c r="A3267" t="s">
        <v>12074</v>
      </c>
      <c r="B3267" t="s">
        <v>12075</v>
      </c>
      <c r="C3267" t="s">
        <v>14649</v>
      </c>
      <c r="D3267" t="s">
        <v>12076</v>
      </c>
      <c r="E3267" t="s">
        <v>12075</v>
      </c>
      <c r="F3267" t="s">
        <v>28</v>
      </c>
      <c r="G3267" t="s">
        <v>12075</v>
      </c>
      <c r="H3267" t="str">
        <f>"Y48G8AL.13"</f>
        <v>Y48G8AL.13</v>
      </c>
      <c r="I3267" t="s">
        <v>12076</v>
      </c>
      <c r="J3267">
        <v>13.9878078889255</v>
      </c>
      <c r="K3267">
        <v>13.882182419149601</v>
      </c>
      <c r="L3267">
        <v>14.371641648646699</v>
      </c>
      <c r="M3267">
        <v>13.999469534331601</v>
      </c>
      <c r="N3267">
        <v>14.563978289211599</v>
      </c>
      <c r="O3267">
        <v>14.3594499870366</v>
      </c>
      <c r="P3267">
        <v>0.227088617952729</v>
      </c>
      <c r="Q3267">
        <v>-0.226989761555978</v>
      </c>
      <c r="R3267">
        <v>0.68116699746143705</v>
      </c>
      <c r="S3267">
        <v>14.395252875113901</v>
      </c>
      <c r="T3267">
        <v>1.0556368849784401</v>
      </c>
      <c r="U3267">
        <v>-6.3170552202468198</v>
      </c>
      <c r="V3267">
        <v>0.30599655182186902</v>
      </c>
      <c r="W3267">
        <v>0.85855590823088301</v>
      </c>
      <c r="X3267">
        <v>0</v>
      </c>
      <c r="Y3267">
        <v>0</v>
      </c>
    </row>
    <row r="3268" spans="1:25" x14ac:dyDescent="0.2">
      <c r="A3268" t="s">
        <v>12077</v>
      </c>
      <c r="B3268" t="s">
        <v>12078</v>
      </c>
      <c r="C3268" t="s">
        <v>12079</v>
      </c>
      <c r="D3268" t="s">
        <v>12080</v>
      </c>
      <c r="E3268" t="s">
        <v>12078</v>
      </c>
      <c r="F3268" t="s">
        <v>28</v>
      </c>
      <c r="G3268" t="s">
        <v>12078</v>
      </c>
      <c r="H3268" t="str">
        <f>"herc-1"</f>
        <v>herc-1</v>
      </c>
      <c r="I3268" t="s">
        <v>12080</v>
      </c>
      <c r="J3268">
        <v>14.008111828659301</v>
      </c>
      <c r="K3268">
        <v>13.874469013356601</v>
      </c>
      <c r="L3268">
        <v>13.732096711576901</v>
      </c>
      <c r="M3268">
        <v>13.358077751488899</v>
      </c>
      <c r="N3268">
        <v>13.4360811871887</v>
      </c>
      <c r="O3268">
        <v>13.8452792613333</v>
      </c>
      <c r="P3268">
        <v>-0.32507978452729502</v>
      </c>
      <c r="Q3268">
        <v>-0.91025232761945196</v>
      </c>
      <c r="R3268">
        <v>0.26009275856486203</v>
      </c>
      <c r="S3268">
        <v>13.223196091140601</v>
      </c>
      <c r="T3268">
        <v>-1.17829911814637</v>
      </c>
      <c r="U3268">
        <v>-6.1826885683107804</v>
      </c>
      <c r="V3268">
        <v>0.25601717841322702</v>
      </c>
      <c r="W3268">
        <v>0.83701250057606502</v>
      </c>
      <c r="X3268">
        <v>0</v>
      </c>
      <c r="Y3268">
        <v>0</v>
      </c>
    </row>
    <row r="3269" spans="1:25" x14ac:dyDescent="0.2">
      <c r="A3269" t="s">
        <v>12081</v>
      </c>
      <c r="B3269" t="s">
        <v>12082</v>
      </c>
      <c r="C3269" t="s">
        <v>12083</v>
      </c>
      <c r="D3269" t="s">
        <v>12084</v>
      </c>
      <c r="E3269" t="s">
        <v>12082</v>
      </c>
      <c r="F3269" t="s">
        <v>28</v>
      </c>
      <c r="G3269" t="s">
        <v>12082</v>
      </c>
      <c r="H3269" t="str">
        <f>"nsun-2"</f>
        <v>nsun-2</v>
      </c>
      <c r="I3269" t="s">
        <v>12084</v>
      </c>
      <c r="J3269">
        <v>16.093355223282799</v>
      </c>
      <c r="K3269">
        <v>15.7887211173369</v>
      </c>
      <c r="L3269">
        <v>16.011879275831699</v>
      </c>
      <c r="M3269">
        <v>16.053144316922399</v>
      </c>
      <c r="N3269">
        <v>15.9987400573808</v>
      </c>
      <c r="O3269">
        <v>15.7366671315008</v>
      </c>
      <c r="P3269">
        <v>-3.5134703549122299E-2</v>
      </c>
      <c r="Q3269">
        <v>-0.362977580849346</v>
      </c>
      <c r="R3269">
        <v>0.29270817375110098</v>
      </c>
      <c r="S3269">
        <v>15.8176938407527</v>
      </c>
      <c r="T3269">
        <v>-0.22524909461474099</v>
      </c>
      <c r="U3269">
        <v>-6.85601740323093</v>
      </c>
      <c r="V3269">
        <v>0.82433776306111906</v>
      </c>
      <c r="W3269">
        <v>0.992837538801569</v>
      </c>
      <c r="X3269">
        <v>0</v>
      </c>
      <c r="Y3269">
        <v>0</v>
      </c>
    </row>
    <row r="3270" spans="1:25" x14ac:dyDescent="0.2">
      <c r="A3270" t="s">
        <v>12085</v>
      </c>
      <c r="B3270" t="s">
        <v>12086</v>
      </c>
      <c r="C3270" t="s">
        <v>12087</v>
      </c>
      <c r="D3270" t="s">
        <v>12088</v>
      </c>
      <c r="E3270" t="s">
        <v>12086</v>
      </c>
      <c r="F3270" t="s">
        <v>28</v>
      </c>
      <c r="G3270" t="s">
        <v>12086</v>
      </c>
      <c r="H3270" t="str">
        <f>"haf-6"</f>
        <v>haf-6</v>
      </c>
      <c r="I3270" t="s">
        <v>12088</v>
      </c>
      <c r="J3270">
        <v>12.710344389628499</v>
      </c>
      <c r="K3270">
        <v>11.977685222191299</v>
      </c>
      <c r="L3270">
        <v>12.826916108606101</v>
      </c>
      <c r="M3270">
        <v>12.5568440099109</v>
      </c>
      <c r="N3270">
        <v>12.8256644108827</v>
      </c>
      <c r="O3270">
        <v>12.5033817402335</v>
      </c>
      <c r="P3270">
        <v>0.123648146867069</v>
      </c>
      <c r="Q3270">
        <v>-0.39006262553596999</v>
      </c>
      <c r="R3270">
        <v>0.63735891927010802</v>
      </c>
      <c r="S3270">
        <v>12.3761055152222</v>
      </c>
      <c r="T3270">
        <v>0.50806461894771004</v>
      </c>
      <c r="U3270">
        <v>-6.7482285054340503</v>
      </c>
      <c r="V3270">
        <v>0.61797702885287598</v>
      </c>
      <c r="W3270">
        <v>0.97279262440453396</v>
      </c>
      <c r="X3270">
        <v>0</v>
      </c>
      <c r="Y3270">
        <v>0</v>
      </c>
    </row>
    <row r="3271" spans="1:25" x14ac:dyDescent="0.2">
      <c r="A3271" t="s">
        <v>12089</v>
      </c>
      <c r="B3271" t="s">
        <v>12090</v>
      </c>
      <c r="C3271" t="s">
        <v>12091</v>
      </c>
      <c r="D3271" t="s">
        <v>12092</v>
      </c>
      <c r="E3271" t="s">
        <v>12090</v>
      </c>
      <c r="F3271" t="s">
        <v>28</v>
      </c>
      <c r="G3271" t="s">
        <v>12090</v>
      </c>
      <c r="H3271" t="str">
        <f>"rpl-17"</f>
        <v>rpl-17</v>
      </c>
      <c r="I3271" t="s">
        <v>12092</v>
      </c>
      <c r="J3271">
        <v>19.827766483746199</v>
      </c>
      <c r="K3271">
        <v>19.937473337978499</v>
      </c>
      <c r="L3271">
        <v>20.078392813493501</v>
      </c>
      <c r="M3271">
        <v>19.844874497034301</v>
      </c>
      <c r="N3271">
        <v>19.772270761642901</v>
      </c>
      <c r="O3271">
        <v>19.673167291293499</v>
      </c>
      <c r="P3271">
        <v>-0.184440028415885</v>
      </c>
      <c r="Q3271">
        <v>-0.535175063899894</v>
      </c>
      <c r="R3271">
        <v>0.166295007068123</v>
      </c>
      <c r="S3271">
        <v>20.0689737621781</v>
      </c>
      <c r="T3271">
        <v>-1.10527040955352</v>
      </c>
      <c r="U3271">
        <v>-6.2652523002664697</v>
      </c>
      <c r="V3271">
        <v>0.28368162354572601</v>
      </c>
      <c r="W3271">
        <v>0.856190392347986</v>
      </c>
      <c r="X3271">
        <v>0</v>
      </c>
      <c r="Y3271">
        <v>0</v>
      </c>
    </row>
    <row r="3272" spans="1:25" x14ac:dyDescent="0.2">
      <c r="A3272" t="s">
        <v>12093</v>
      </c>
      <c r="B3272" t="s">
        <v>12094</v>
      </c>
      <c r="C3272" t="s">
        <v>14650</v>
      </c>
      <c r="D3272" t="s">
        <v>12095</v>
      </c>
      <c r="E3272" t="s">
        <v>12094</v>
      </c>
      <c r="F3272" t="s">
        <v>28</v>
      </c>
      <c r="G3272" t="s">
        <v>12094</v>
      </c>
      <c r="H3272" t="str">
        <f>"Y71H2AM.20"</f>
        <v>Y71H2AM.20</v>
      </c>
      <c r="I3272" t="s">
        <v>12095</v>
      </c>
      <c r="J3272">
        <v>9.8633436216404409</v>
      </c>
      <c r="K3272" t="s">
        <v>29</v>
      </c>
      <c r="L3272" t="s">
        <v>29</v>
      </c>
      <c r="M3272" t="s">
        <v>29</v>
      </c>
      <c r="N3272" t="s">
        <v>29</v>
      </c>
      <c r="O3272" t="s">
        <v>29</v>
      </c>
      <c r="P3272" t="s">
        <v>29</v>
      </c>
      <c r="Q3272" t="s">
        <v>29</v>
      </c>
      <c r="R3272" t="s">
        <v>29</v>
      </c>
      <c r="S3272">
        <v>10.088693152860801</v>
      </c>
      <c r="T3272" t="s">
        <v>29</v>
      </c>
      <c r="U3272" t="s">
        <v>29</v>
      </c>
      <c r="V3272" t="s">
        <v>29</v>
      </c>
      <c r="W3272" t="s">
        <v>29</v>
      </c>
      <c r="X3272" t="s">
        <v>29</v>
      </c>
      <c r="Y3272" t="s">
        <v>29</v>
      </c>
    </row>
    <row r="3273" spans="1:25" x14ac:dyDescent="0.2">
      <c r="A3273" t="s">
        <v>12096</v>
      </c>
      <c r="B3273" t="s">
        <v>12097</v>
      </c>
      <c r="C3273" t="s">
        <v>12098</v>
      </c>
      <c r="D3273" t="s">
        <v>12099</v>
      </c>
      <c r="E3273" t="s">
        <v>12097</v>
      </c>
      <c r="F3273" t="s">
        <v>28</v>
      </c>
      <c r="G3273" t="s">
        <v>12097</v>
      </c>
      <c r="H3273" t="str">
        <f>"set-27"</f>
        <v>set-27</v>
      </c>
      <c r="I3273" t="s">
        <v>12099</v>
      </c>
      <c r="J3273">
        <v>13.987819735876901</v>
      </c>
      <c r="K3273">
        <v>13.6312733134108</v>
      </c>
      <c r="L3273">
        <v>13.6526946392701</v>
      </c>
      <c r="M3273">
        <v>13.6256006080991</v>
      </c>
      <c r="N3273">
        <v>13.6469430711062</v>
      </c>
      <c r="O3273">
        <v>13.534875385159699</v>
      </c>
      <c r="P3273">
        <v>-0.15478954139755</v>
      </c>
      <c r="Q3273">
        <v>-0.53049239563888295</v>
      </c>
      <c r="R3273">
        <v>0.22091331284378299</v>
      </c>
      <c r="S3273">
        <v>13.298926178355799</v>
      </c>
      <c r="T3273">
        <v>-0.86965526834874696</v>
      </c>
      <c r="U3273">
        <v>-6.4947912430369703</v>
      </c>
      <c r="V3273">
        <v>0.39667629876795601</v>
      </c>
      <c r="W3273">
        <v>0.90975406915825197</v>
      </c>
      <c r="X3273">
        <v>0</v>
      </c>
      <c r="Y3273">
        <v>0</v>
      </c>
    </row>
    <row r="3274" spans="1:25" x14ac:dyDescent="0.2">
      <c r="A3274" t="s">
        <v>12100</v>
      </c>
      <c r="B3274" t="s">
        <v>12101</v>
      </c>
      <c r="C3274" t="s">
        <v>14651</v>
      </c>
      <c r="D3274" t="s">
        <v>12102</v>
      </c>
      <c r="E3274" t="s">
        <v>12101</v>
      </c>
      <c r="F3274" t="s">
        <v>28</v>
      </c>
      <c r="G3274" t="s">
        <v>12101</v>
      </c>
      <c r="H3274" t="str">
        <f>"Y65B4A.8"</f>
        <v>Y65B4A.8</v>
      </c>
      <c r="I3274" t="s">
        <v>12102</v>
      </c>
      <c r="J3274">
        <v>12.810869433786401</v>
      </c>
      <c r="K3274">
        <v>12.719772270819799</v>
      </c>
      <c r="L3274">
        <v>12.734720115280499</v>
      </c>
      <c r="M3274">
        <v>12.5393003127916</v>
      </c>
      <c r="N3274">
        <v>12.7975895806503</v>
      </c>
      <c r="O3274">
        <v>12.864083111141101</v>
      </c>
      <c r="P3274">
        <v>-2.1462938434599E-2</v>
      </c>
      <c r="Q3274">
        <v>-0.49548558072954602</v>
      </c>
      <c r="R3274">
        <v>0.45255970386034799</v>
      </c>
      <c r="S3274">
        <v>12.827517901456799</v>
      </c>
      <c r="T3274">
        <v>-9.6567658005100601E-2</v>
      </c>
      <c r="U3274">
        <v>-6.87756673557067</v>
      </c>
      <c r="V3274">
        <v>0.92435708082079404</v>
      </c>
      <c r="W3274">
        <v>0.99843270744267199</v>
      </c>
      <c r="X3274">
        <v>0</v>
      </c>
      <c r="Y3274">
        <v>0</v>
      </c>
    </row>
    <row r="3275" spans="1:25" x14ac:dyDescent="0.2">
      <c r="A3275" t="s">
        <v>12103</v>
      </c>
      <c r="B3275" t="s">
        <v>12104</v>
      </c>
      <c r="C3275" t="s">
        <v>12105</v>
      </c>
      <c r="D3275" t="s">
        <v>2791</v>
      </c>
      <c r="E3275" t="s">
        <v>12104</v>
      </c>
      <c r="F3275" t="s">
        <v>28</v>
      </c>
      <c r="G3275" t="s">
        <v>12104</v>
      </c>
      <c r="H3275" t="str">
        <f>"eif-4a3"</f>
        <v>eif-4a3</v>
      </c>
      <c r="I3275" t="s">
        <v>2791</v>
      </c>
      <c r="J3275">
        <v>16.6342125389193</v>
      </c>
      <c r="K3275">
        <v>16.451727505870501</v>
      </c>
      <c r="L3275">
        <v>16.621631526873401</v>
      </c>
      <c r="M3275">
        <v>16.6557220130885</v>
      </c>
      <c r="N3275">
        <v>16.773344853102099</v>
      </c>
      <c r="O3275">
        <v>16.755819303214199</v>
      </c>
      <c r="P3275">
        <v>0.15910486591387499</v>
      </c>
      <c r="Q3275">
        <v>-0.19040356088591101</v>
      </c>
      <c r="R3275">
        <v>0.50861329271366096</v>
      </c>
      <c r="S3275">
        <v>16.476875511242799</v>
      </c>
      <c r="T3275">
        <v>0.95679373695319803</v>
      </c>
      <c r="U3275">
        <v>-6.4161212401614396</v>
      </c>
      <c r="V3275">
        <v>0.351419904278159</v>
      </c>
      <c r="W3275">
        <v>0.87950242192597095</v>
      </c>
      <c r="X3275">
        <v>0</v>
      </c>
      <c r="Y3275">
        <v>0</v>
      </c>
    </row>
    <row r="3276" spans="1:25" x14ac:dyDescent="0.2">
      <c r="A3276" t="s">
        <v>12106</v>
      </c>
      <c r="B3276" t="s">
        <v>12107</v>
      </c>
      <c r="C3276" t="s">
        <v>14652</v>
      </c>
      <c r="D3276" t="s">
        <v>12108</v>
      </c>
      <c r="E3276" t="s">
        <v>12107</v>
      </c>
      <c r="F3276" t="s">
        <v>28</v>
      </c>
      <c r="G3276" t="s">
        <v>12107</v>
      </c>
      <c r="H3276" t="str">
        <f>"Y54H5A.2"</f>
        <v>Y54H5A.2</v>
      </c>
      <c r="I3276" t="s">
        <v>12108</v>
      </c>
      <c r="J3276">
        <v>13.940851813369299</v>
      </c>
      <c r="K3276">
        <v>13.6279470911908</v>
      </c>
      <c r="L3276">
        <v>13.9709859163774</v>
      </c>
      <c r="M3276">
        <v>14.213302937604</v>
      </c>
      <c r="N3276">
        <v>14.488235166527801</v>
      </c>
      <c r="O3276">
        <v>14.1295239307575</v>
      </c>
      <c r="P3276">
        <v>0.43042573798392603</v>
      </c>
      <c r="Q3276">
        <v>5.3441787732381403E-2</v>
      </c>
      <c r="R3276">
        <v>0.80740968823547099</v>
      </c>
      <c r="S3276">
        <v>13.9657654098189</v>
      </c>
      <c r="T3276">
        <v>2.4100462944793701</v>
      </c>
      <c r="U3276">
        <v>-4.2702148457039097</v>
      </c>
      <c r="V3276">
        <v>2.7638206226217401E-2</v>
      </c>
      <c r="W3276">
        <v>0.36212578866477002</v>
      </c>
      <c r="X3276">
        <v>0</v>
      </c>
      <c r="Y3276">
        <v>0</v>
      </c>
    </row>
    <row r="3277" spans="1:25" x14ac:dyDescent="0.2">
      <c r="A3277" t="s">
        <v>12109</v>
      </c>
      <c r="B3277" t="s">
        <v>12110</v>
      </c>
      <c r="C3277" t="s">
        <v>12111</v>
      </c>
      <c r="D3277" t="s">
        <v>11202</v>
      </c>
      <c r="E3277" t="s">
        <v>12110</v>
      </c>
      <c r="F3277" t="s">
        <v>28</v>
      </c>
      <c r="G3277" t="s">
        <v>12110</v>
      </c>
      <c r="H3277" t="str">
        <f>"smg-6"</f>
        <v>smg-6</v>
      </c>
      <c r="I3277" t="s">
        <v>11202</v>
      </c>
      <c r="J3277">
        <v>14.290051583601</v>
      </c>
      <c r="K3277">
        <v>14.647907480002001</v>
      </c>
      <c r="L3277">
        <v>14.4668242288116</v>
      </c>
      <c r="M3277">
        <v>14.4486568677534</v>
      </c>
      <c r="N3277">
        <v>14.260448452651801</v>
      </c>
      <c r="O3277">
        <v>14.2985545908417</v>
      </c>
      <c r="P3277">
        <v>-0.132374460389208</v>
      </c>
      <c r="Q3277">
        <v>-0.552350303541429</v>
      </c>
      <c r="R3277">
        <v>0.287601382763012</v>
      </c>
      <c r="S3277">
        <v>14.3744749203872</v>
      </c>
      <c r="T3277">
        <v>-0.66247944110749402</v>
      </c>
      <c r="U3277">
        <v>-6.6559714563777099</v>
      </c>
      <c r="V3277">
        <v>0.51610630006104696</v>
      </c>
      <c r="W3277">
        <v>0.94227592550871997</v>
      </c>
      <c r="X3277">
        <v>0</v>
      </c>
      <c r="Y3277">
        <v>0</v>
      </c>
    </row>
    <row r="3278" spans="1:25" x14ac:dyDescent="0.2">
      <c r="A3278" t="s">
        <v>12112</v>
      </c>
      <c r="B3278" t="s">
        <v>12113</v>
      </c>
      <c r="C3278" t="s">
        <v>12114</v>
      </c>
      <c r="D3278" t="s">
        <v>2845</v>
      </c>
      <c r="E3278" t="s">
        <v>12113</v>
      </c>
      <c r="F3278" t="s">
        <v>28</v>
      </c>
      <c r="G3278" t="s">
        <v>12113</v>
      </c>
      <c r="H3278" t="str">
        <f>"ppk-2"</f>
        <v>ppk-2</v>
      </c>
      <c r="I3278" t="s">
        <v>2845</v>
      </c>
      <c r="J3278">
        <v>17.9431310886715</v>
      </c>
      <c r="K3278">
        <v>17.251072864594502</v>
      </c>
      <c r="L3278">
        <v>17.323382199110501</v>
      </c>
      <c r="M3278">
        <v>17.411210670438901</v>
      </c>
      <c r="N3278">
        <v>17.238662220859901</v>
      </c>
      <c r="O3278">
        <v>16.931284845653099</v>
      </c>
      <c r="P3278">
        <v>-0.31214280514155501</v>
      </c>
      <c r="Q3278">
        <v>-0.85241508689937295</v>
      </c>
      <c r="R3278">
        <v>0.22812947661626301</v>
      </c>
      <c r="S3278">
        <v>16.487202630621798</v>
      </c>
      <c r="T3278">
        <v>-1.2143200200100399</v>
      </c>
      <c r="U3278">
        <v>-6.1424387830302596</v>
      </c>
      <c r="V3278">
        <v>0.24040771809827699</v>
      </c>
      <c r="W3278">
        <v>0.82420784257223501</v>
      </c>
      <c r="X3278">
        <v>0</v>
      </c>
      <c r="Y3278">
        <v>0</v>
      </c>
    </row>
    <row r="3279" spans="1:25" x14ac:dyDescent="0.2">
      <c r="A3279" t="s">
        <v>12115</v>
      </c>
      <c r="B3279" t="s">
        <v>12116</v>
      </c>
      <c r="C3279" t="s">
        <v>12117</v>
      </c>
      <c r="D3279" t="s">
        <v>11396</v>
      </c>
      <c r="E3279" t="s">
        <v>12116</v>
      </c>
      <c r="F3279" t="s">
        <v>28</v>
      </c>
      <c r="G3279" t="s">
        <v>12116</v>
      </c>
      <c r="H3279" t="str">
        <f>"vps-4"</f>
        <v>vps-4</v>
      </c>
      <c r="I3279" t="s">
        <v>11396</v>
      </c>
      <c r="J3279">
        <v>14.001028592136199</v>
      </c>
      <c r="K3279">
        <v>13.677221626359501</v>
      </c>
      <c r="L3279">
        <v>13.781312779574399</v>
      </c>
      <c r="M3279">
        <v>14.0571464404716</v>
      </c>
      <c r="N3279">
        <v>14.351944940602699</v>
      </c>
      <c r="O3279">
        <v>14.1153522748785</v>
      </c>
      <c r="P3279">
        <v>0.35496021929419402</v>
      </c>
      <c r="Q3279">
        <v>-0.10557491221828599</v>
      </c>
      <c r="R3279">
        <v>0.81549535080667301</v>
      </c>
      <c r="S3279">
        <v>13.833368764572599</v>
      </c>
      <c r="T3279">
        <v>1.6269227480028901</v>
      </c>
      <c r="U3279">
        <v>-5.5946915278889797</v>
      </c>
      <c r="V3279">
        <v>0.122258223540988</v>
      </c>
      <c r="W3279">
        <v>0.70940958826195</v>
      </c>
      <c r="X3279">
        <v>0</v>
      </c>
      <c r="Y3279">
        <v>0</v>
      </c>
    </row>
    <row r="3280" spans="1:25" x14ac:dyDescent="0.2">
      <c r="A3280" t="s">
        <v>12118</v>
      </c>
      <c r="B3280" t="s">
        <v>12119</v>
      </c>
      <c r="C3280" t="s">
        <v>12120</v>
      </c>
      <c r="D3280" t="s">
        <v>12121</v>
      </c>
      <c r="E3280" t="s">
        <v>12119</v>
      </c>
      <c r="F3280" t="s">
        <v>28</v>
      </c>
      <c r="G3280" t="s">
        <v>12119</v>
      </c>
      <c r="H3280" t="str">
        <f>"mrpl-38"</f>
        <v>mrpl-38</v>
      </c>
      <c r="I3280" t="s">
        <v>12121</v>
      </c>
      <c r="J3280">
        <v>13.4660725846033</v>
      </c>
      <c r="K3280">
        <v>14.0194837198574</v>
      </c>
      <c r="L3280">
        <v>14.0867492669109</v>
      </c>
      <c r="M3280">
        <v>13.530265044206301</v>
      </c>
      <c r="N3280">
        <v>13.858829578075399</v>
      </c>
      <c r="O3280">
        <v>13.6886233994097</v>
      </c>
      <c r="P3280">
        <v>-0.16486251656004899</v>
      </c>
      <c r="Q3280">
        <v>-1.0595050741438401</v>
      </c>
      <c r="R3280">
        <v>0.72978004102374605</v>
      </c>
      <c r="S3280">
        <v>13.990408209871401</v>
      </c>
      <c r="T3280">
        <v>-0.38897562258674701</v>
      </c>
      <c r="U3280">
        <v>-6.8035435300568503</v>
      </c>
      <c r="V3280">
        <v>0.702152880323483</v>
      </c>
      <c r="W3280">
        <v>0.98642420921484297</v>
      </c>
      <c r="X3280">
        <v>0</v>
      </c>
      <c r="Y3280">
        <v>0</v>
      </c>
    </row>
    <row r="3281" spans="1:25" x14ac:dyDescent="0.2">
      <c r="A3281" t="s">
        <v>12122</v>
      </c>
      <c r="B3281" t="s">
        <v>12123</v>
      </c>
      <c r="C3281" t="s">
        <v>14653</v>
      </c>
      <c r="D3281" t="s">
        <v>12124</v>
      </c>
      <c r="E3281" t="s">
        <v>12123</v>
      </c>
      <c r="F3281" t="s">
        <v>28</v>
      </c>
      <c r="G3281" t="s">
        <v>12123</v>
      </c>
      <c r="H3281" t="str">
        <f>"Y18H1A.4"</f>
        <v>Y18H1A.4</v>
      </c>
      <c r="I3281" t="s">
        <v>12124</v>
      </c>
      <c r="J3281">
        <v>11.6775591019532</v>
      </c>
      <c r="K3281">
        <v>11.1808932125789</v>
      </c>
      <c r="L3281" t="s">
        <v>29</v>
      </c>
      <c r="M3281">
        <v>11.124588768998599</v>
      </c>
      <c r="N3281">
        <v>12.1596231266786</v>
      </c>
      <c r="O3281">
        <v>12.224082996964</v>
      </c>
      <c r="P3281">
        <v>0.40687214028097102</v>
      </c>
      <c r="Q3281">
        <v>-0.49049336391746301</v>
      </c>
      <c r="R3281">
        <v>1.3042376444793999</v>
      </c>
      <c r="S3281">
        <v>13.042444222842599</v>
      </c>
      <c r="T3281">
        <v>0.95705874493927601</v>
      </c>
      <c r="U3281">
        <v>-6.3060421148098698</v>
      </c>
      <c r="V3281">
        <v>0.352033335444222</v>
      </c>
      <c r="W3281">
        <v>0.87950242192597095</v>
      </c>
      <c r="X3281">
        <v>0</v>
      </c>
      <c r="Y3281">
        <v>0</v>
      </c>
    </row>
    <row r="3282" spans="1:25" x14ac:dyDescent="0.2">
      <c r="A3282" t="s">
        <v>12125</v>
      </c>
      <c r="B3282" t="s">
        <v>12126</v>
      </c>
      <c r="C3282" t="s">
        <v>12127</v>
      </c>
      <c r="D3282" t="s">
        <v>603</v>
      </c>
      <c r="E3282" t="s">
        <v>12126</v>
      </c>
      <c r="F3282" t="s">
        <v>28</v>
      </c>
      <c r="G3282" t="s">
        <v>12126</v>
      </c>
      <c r="H3282" t="str">
        <f>"fubl-3"</f>
        <v>fubl-3</v>
      </c>
      <c r="I3282" t="s">
        <v>603</v>
      </c>
      <c r="J3282" t="s">
        <v>29</v>
      </c>
      <c r="K3282">
        <v>12.043416512748101</v>
      </c>
      <c r="L3282">
        <v>11.4177625346931</v>
      </c>
      <c r="M3282">
        <v>12.5656785340725</v>
      </c>
      <c r="N3282">
        <v>11.8002989020553</v>
      </c>
      <c r="O3282" t="s">
        <v>29</v>
      </c>
      <c r="P3282">
        <v>0.45239919434334103</v>
      </c>
      <c r="Q3282">
        <v>-0.34630173089973398</v>
      </c>
      <c r="R3282">
        <v>1.25110011958642</v>
      </c>
      <c r="S3282">
        <v>11.9709833911198</v>
      </c>
      <c r="T3282">
        <v>1.21570870964321</v>
      </c>
      <c r="U3282">
        <v>-5.9417092166636598</v>
      </c>
      <c r="V3282">
        <v>0.244347538186381</v>
      </c>
      <c r="W3282">
        <v>0.82557218993327697</v>
      </c>
      <c r="X3282">
        <v>0</v>
      </c>
      <c r="Y3282">
        <v>0</v>
      </c>
    </row>
    <row r="3283" spans="1:25" x14ac:dyDescent="0.2">
      <c r="A3283" t="s">
        <v>12128</v>
      </c>
      <c r="B3283" t="s">
        <v>12129</v>
      </c>
      <c r="C3283" t="s">
        <v>12130</v>
      </c>
      <c r="D3283" t="s">
        <v>12131</v>
      </c>
      <c r="E3283" t="s">
        <v>12129</v>
      </c>
      <c r="F3283" t="s">
        <v>28</v>
      </c>
      <c r="G3283" t="s">
        <v>12129</v>
      </c>
      <c r="H3283" t="str">
        <f>"mog-2"</f>
        <v>mog-2</v>
      </c>
      <c r="I3283" t="s">
        <v>12131</v>
      </c>
      <c r="J3283">
        <v>12.4066455254126</v>
      </c>
      <c r="K3283">
        <v>11.784437680438799</v>
      </c>
      <c r="L3283">
        <v>12.653163523036101</v>
      </c>
      <c r="M3283">
        <v>12.254936379123</v>
      </c>
      <c r="N3283">
        <v>12.817072698651099</v>
      </c>
      <c r="O3283">
        <v>13.858422414687301</v>
      </c>
      <c r="P3283">
        <v>0.69539492119128699</v>
      </c>
      <c r="Q3283">
        <v>-0.193462981238227</v>
      </c>
      <c r="R3283">
        <v>1.5842528236208</v>
      </c>
      <c r="S3283">
        <v>12.5240315600801</v>
      </c>
      <c r="T3283">
        <v>1.6593909088085701</v>
      </c>
      <c r="U3283">
        <v>-5.5479447867767799</v>
      </c>
      <c r="V3283">
        <v>0.116634428134475</v>
      </c>
      <c r="W3283">
        <v>0.70064869464175805</v>
      </c>
      <c r="X3283">
        <v>0</v>
      </c>
      <c r="Y3283">
        <v>0</v>
      </c>
    </row>
    <row r="3284" spans="1:25" x14ac:dyDescent="0.2">
      <c r="A3284" t="s">
        <v>12132</v>
      </c>
      <c r="B3284" t="s">
        <v>12133</v>
      </c>
      <c r="C3284" t="s">
        <v>12134</v>
      </c>
      <c r="D3284" t="s">
        <v>12135</v>
      </c>
      <c r="E3284" t="s">
        <v>12133</v>
      </c>
      <c r="F3284" t="s">
        <v>28</v>
      </c>
      <c r="G3284" t="s">
        <v>12133</v>
      </c>
      <c r="H3284" t="str">
        <f>"atln-1"</f>
        <v>atln-1</v>
      </c>
      <c r="I3284" t="s">
        <v>12135</v>
      </c>
      <c r="J3284">
        <v>14.5474433760749</v>
      </c>
      <c r="K3284">
        <v>14.132102450580501</v>
      </c>
      <c r="L3284">
        <v>14.265310018902101</v>
      </c>
      <c r="M3284">
        <v>14.637354499709501</v>
      </c>
      <c r="N3284">
        <v>14.600673528204799</v>
      </c>
      <c r="O3284">
        <v>14.318729599232</v>
      </c>
      <c r="P3284">
        <v>0.20396726052959999</v>
      </c>
      <c r="Q3284">
        <v>-0.19961832873754101</v>
      </c>
      <c r="R3284">
        <v>0.60755284979674096</v>
      </c>
      <c r="S3284">
        <v>14.130840142117799</v>
      </c>
      <c r="T3284">
        <v>1.0667799031515799</v>
      </c>
      <c r="U3284">
        <v>-6.3054419905613299</v>
      </c>
      <c r="V3284">
        <v>0.301078755688021</v>
      </c>
      <c r="W3284">
        <v>0.85855590823088301</v>
      </c>
      <c r="X3284">
        <v>0</v>
      </c>
      <c r="Y3284">
        <v>0</v>
      </c>
    </row>
    <row r="3285" spans="1:25" x14ac:dyDescent="0.2">
      <c r="A3285" t="s">
        <v>12136</v>
      </c>
      <c r="B3285" t="s">
        <v>12137</v>
      </c>
      <c r="C3285" t="s">
        <v>12138</v>
      </c>
      <c r="D3285" t="s">
        <v>1151</v>
      </c>
      <c r="E3285" t="s">
        <v>12137</v>
      </c>
      <c r="F3285" t="s">
        <v>28</v>
      </c>
      <c r="G3285" t="s">
        <v>12137</v>
      </c>
      <c r="H3285" t="str">
        <f>"zig-11"</f>
        <v>zig-11</v>
      </c>
      <c r="I3285" t="s">
        <v>1151</v>
      </c>
      <c r="J3285">
        <v>13.802212393599101</v>
      </c>
      <c r="K3285">
        <v>13.688231320540501</v>
      </c>
      <c r="L3285">
        <v>13.280629846918201</v>
      </c>
      <c r="M3285">
        <v>13.641429772053799</v>
      </c>
      <c r="N3285">
        <v>13.4853833344068</v>
      </c>
      <c r="O3285">
        <v>13.231261137430501</v>
      </c>
      <c r="P3285">
        <v>-0.13766643905555201</v>
      </c>
      <c r="Q3285">
        <v>-0.60208474946627399</v>
      </c>
      <c r="R3285">
        <v>0.32675187135516998</v>
      </c>
      <c r="S3285">
        <v>12.9113151554215</v>
      </c>
      <c r="T3285">
        <v>-0.62570375012745405</v>
      </c>
      <c r="U3285">
        <v>-6.6796536340192096</v>
      </c>
      <c r="V3285">
        <v>0.53987046566163199</v>
      </c>
      <c r="W3285">
        <v>0.94712119647965798</v>
      </c>
      <c r="X3285">
        <v>0</v>
      </c>
      <c r="Y3285">
        <v>0</v>
      </c>
    </row>
    <row r="3286" spans="1:25" x14ac:dyDescent="0.2">
      <c r="A3286" t="s">
        <v>12139</v>
      </c>
      <c r="B3286" t="s">
        <v>12140</v>
      </c>
      <c r="C3286" t="s">
        <v>12141</v>
      </c>
      <c r="D3286" t="s">
        <v>12142</v>
      </c>
      <c r="E3286" t="s">
        <v>12140</v>
      </c>
      <c r="F3286" t="s">
        <v>28</v>
      </c>
      <c r="G3286" t="s">
        <v>12140</v>
      </c>
      <c r="H3286" t="str">
        <f>"mrpl-15"</f>
        <v>mrpl-15</v>
      </c>
      <c r="I3286" t="s">
        <v>12142</v>
      </c>
      <c r="J3286">
        <v>14.441721214284099</v>
      </c>
      <c r="K3286">
        <v>14.520174540039701</v>
      </c>
      <c r="L3286">
        <v>14.7446776450782</v>
      </c>
      <c r="M3286">
        <v>14.0195857360132</v>
      </c>
      <c r="N3286">
        <v>14.4646561469406</v>
      </c>
      <c r="O3286">
        <v>13.810484834103301</v>
      </c>
      <c r="P3286">
        <v>-0.470615560781667</v>
      </c>
      <c r="Q3286">
        <v>-0.9561865668524</v>
      </c>
      <c r="R3286">
        <v>1.49554452890663E-2</v>
      </c>
      <c r="S3286">
        <v>14.7209333330701</v>
      </c>
      <c r="T3286">
        <v>-2.0458017669833199</v>
      </c>
      <c r="U3286">
        <v>-4.9250362801205503</v>
      </c>
      <c r="V3286">
        <v>5.66689125991377E-2</v>
      </c>
      <c r="W3286">
        <v>0.50971389494575703</v>
      </c>
      <c r="X3286">
        <v>0</v>
      </c>
      <c r="Y3286">
        <v>0</v>
      </c>
    </row>
    <row r="3287" spans="1:25" x14ac:dyDescent="0.2">
      <c r="A3287" t="s">
        <v>12143</v>
      </c>
      <c r="B3287" t="s">
        <v>12144</v>
      </c>
      <c r="C3287" t="s">
        <v>14654</v>
      </c>
      <c r="D3287" t="s">
        <v>4425</v>
      </c>
      <c r="E3287" t="s">
        <v>12144</v>
      </c>
      <c r="F3287" t="s">
        <v>28</v>
      </c>
      <c r="G3287" t="s">
        <v>12144</v>
      </c>
      <c r="H3287" t="str">
        <f>"Y92H12BR.2"</f>
        <v>Y92H12BR.2</v>
      </c>
      <c r="I3287" t="s">
        <v>4425</v>
      </c>
      <c r="J3287">
        <v>12.630107623142001</v>
      </c>
      <c r="K3287">
        <v>14.106763696655801</v>
      </c>
      <c r="L3287">
        <v>13.9143278892689</v>
      </c>
      <c r="M3287">
        <v>12.9593735412033</v>
      </c>
      <c r="N3287">
        <v>13.2226811388276</v>
      </c>
      <c r="O3287">
        <v>13.171182086245899</v>
      </c>
      <c r="P3287">
        <v>-0.43265414759665799</v>
      </c>
      <c r="Q3287">
        <v>-1.12483167600125</v>
      </c>
      <c r="R3287">
        <v>0.25952338080793702</v>
      </c>
      <c r="S3287">
        <v>13.7175654969974</v>
      </c>
      <c r="T3287">
        <v>-1.3331069158534701</v>
      </c>
      <c r="U3287">
        <v>-5.9964524423804004</v>
      </c>
      <c r="V3287">
        <v>0.20252874278458999</v>
      </c>
      <c r="W3287">
        <v>0.79075284576134597</v>
      </c>
      <c r="X3287">
        <v>0</v>
      </c>
      <c r="Y3287">
        <v>0</v>
      </c>
    </row>
    <row r="3288" spans="1:25" x14ac:dyDescent="0.2">
      <c r="A3288" t="s">
        <v>12145</v>
      </c>
      <c r="B3288" t="s">
        <v>12146</v>
      </c>
      <c r="C3288" t="s">
        <v>12147</v>
      </c>
      <c r="D3288" t="s">
        <v>12148</v>
      </c>
      <c r="E3288" t="s">
        <v>12146</v>
      </c>
      <c r="F3288" t="s">
        <v>28</v>
      </c>
      <c r="G3288" t="s">
        <v>12146</v>
      </c>
      <c r="H3288" t="str">
        <f>"uggt-1"</f>
        <v>uggt-1</v>
      </c>
      <c r="I3288" t="s">
        <v>12148</v>
      </c>
      <c r="J3288">
        <v>12.9458465166285</v>
      </c>
      <c r="K3288">
        <v>12.918703090112301</v>
      </c>
      <c r="L3288">
        <v>12.5371032377115</v>
      </c>
      <c r="M3288">
        <v>12.805365576875399</v>
      </c>
      <c r="N3288">
        <v>12.423405298493799</v>
      </c>
      <c r="O3288">
        <v>13.0495766491194</v>
      </c>
      <c r="P3288">
        <v>-4.1101773321216201E-2</v>
      </c>
      <c r="Q3288">
        <v>-0.55219151173176495</v>
      </c>
      <c r="R3288">
        <v>0.46998796508933299</v>
      </c>
      <c r="S3288">
        <v>12.5341682162284</v>
      </c>
      <c r="T3288">
        <v>-0.169751418302</v>
      </c>
      <c r="U3288">
        <v>-6.8673993410624403</v>
      </c>
      <c r="V3288">
        <v>0.86722164577474503</v>
      </c>
      <c r="W3288">
        <v>0.99457622291666603</v>
      </c>
      <c r="X3288">
        <v>0</v>
      </c>
      <c r="Y3288">
        <v>0</v>
      </c>
    </row>
    <row r="3289" spans="1:25" x14ac:dyDescent="0.2">
      <c r="A3289" t="s">
        <v>12149</v>
      </c>
      <c r="B3289" t="s">
        <v>12150</v>
      </c>
      <c r="C3289" t="s">
        <v>12151</v>
      </c>
      <c r="D3289" t="s">
        <v>12152</v>
      </c>
      <c r="E3289" t="s">
        <v>12150</v>
      </c>
      <c r="F3289" t="s">
        <v>28</v>
      </c>
      <c r="G3289" t="s">
        <v>12150</v>
      </c>
      <c r="H3289" t="str">
        <f>"rpb-10"</f>
        <v>rpb-10</v>
      </c>
      <c r="I3289" t="s">
        <v>12152</v>
      </c>
      <c r="J3289" t="s">
        <v>29</v>
      </c>
      <c r="K3289" t="s">
        <v>29</v>
      </c>
      <c r="L3289" t="s">
        <v>29</v>
      </c>
      <c r="M3289" t="s">
        <v>29</v>
      </c>
      <c r="N3289" t="s">
        <v>29</v>
      </c>
      <c r="O3289">
        <v>10.0206004310479</v>
      </c>
      <c r="P3289" t="s">
        <v>29</v>
      </c>
      <c r="Q3289" t="s">
        <v>29</v>
      </c>
      <c r="R3289" t="s">
        <v>29</v>
      </c>
      <c r="S3289">
        <v>10.666302310768501</v>
      </c>
      <c r="T3289" t="s">
        <v>29</v>
      </c>
      <c r="U3289" t="s">
        <v>29</v>
      </c>
      <c r="V3289" t="s">
        <v>29</v>
      </c>
      <c r="W3289" t="s">
        <v>29</v>
      </c>
      <c r="X3289" t="s">
        <v>29</v>
      </c>
      <c r="Y3289" t="s">
        <v>29</v>
      </c>
    </row>
    <row r="3290" spans="1:25" x14ac:dyDescent="0.2">
      <c r="A3290" t="s">
        <v>12153</v>
      </c>
      <c r="B3290" t="s">
        <v>12154</v>
      </c>
      <c r="C3290" t="s">
        <v>12155</v>
      </c>
      <c r="D3290" t="s">
        <v>12156</v>
      </c>
      <c r="E3290" t="s">
        <v>12154</v>
      </c>
      <c r="F3290" t="s">
        <v>28</v>
      </c>
      <c r="G3290" t="s">
        <v>12154</v>
      </c>
      <c r="H3290" t="str">
        <f>"ebp-1"</f>
        <v>ebp-1</v>
      </c>
      <c r="I3290" t="s">
        <v>12156</v>
      </c>
      <c r="J3290">
        <v>12.289882518292799</v>
      </c>
      <c r="K3290">
        <v>12.8091824552885</v>
      </c>
      <c r="L3290">
        <v>12.7243370485758</v>
      </c>
      <c r="M3290">
        <v>12.9789496877509</v>
      </c>
      <c r="N3290">
        <v>13.4493405017776</v>
      </c>
      <c r="O3290">
        <v>12.7631584687103</v>
      </c>
      <c r="P3290">
        <v>0.456015545360557</v>
      </c>
      <c r="Q3290">
        <v>-5.6845009619603003E-2</v>
      </c>
      <c r="R3290">
        <v>0.96887610034071803</v>
      </c>
      <c r="S3290">
        <v>12.500836389233401</v>
      </c>
      <c r="T3290">
        <v>1.8859487190864599</v>
      </c>
      <c r="U3290">
        <v>-5.1961066371533704</v>
      </c>
      <c r="V3290">
        <v>7.7711600600263706E-2</v>
      </c>
      <c r="W3290">
        <v>0.59866714536499499</v>
      </c>
      <c r="X3290">
        <v>0</v>
      </c>
      <c r="Y3290">
        <v>0</v>
      </c>
    </row>
    <row r="3291" spans="1:25" x14ac:dyDescent="0.2">
      <c r="A3291" t="s">
        <v>12157</v>
      </c>
      <c r="B3291" t="s">
        <v>12158</v>
      </c>
      <c r="C3291" t="s">
        <v>12159</v>
      </c>
      <c r="D3291" t="s">
        <v>12160</v>
      </c>
      <c r="E3291" t="s">
        <v>12158</v>
      </c>
      <c r="F3291" t="s">
        <v>28</v>
      </c>
      <c r="G3291" t="s">
        <v>12158</v>
      </c>
      <c r="H3291" t="str">
        <f>"prp-6"</f>
        <v>prp-6</v>
      </c>
      <c r="I3291" t="s">
        <v>12160</v>
      </c>
      <c r="J3291">
        <v>13.166232995830599</v>
      </c>
      <c r="K3291">
        <v>12.8390179454542</v>
      </c>
      <c r="L3291">
        <v>12.924970214705001</v>
      </c>
      <c r="M3291">
        <v>13.4027082069499</v>
      </c>
      <c r="N3291">
        <v>13.375575732825901</v>
      </c>
      <c r="O3291">
        <v>13.5096725882079</v>
      </c>
      <c r="P3291">
        <v>0.45257845733131902</v>
      </c>
      <c r="Q3291">
        <v>-7.7154943331447304E-2</v>
      </c>
      <c r="R3291">
        <v>0.98231185799408405</v>
      </c>
      <c r="S3291">
        <v>13.701327352236101</v>
      </c>
      <c r="T3291">
        <v>1.8033770315450901</v>
      </c>
      <c r="U3291">
        <v>-5.32505527789439</v>
      </c>
      <c r="V3291">
        <v>8.9191594210282596E-2</v>
      </c>
      <c r="W3291">
        <v>0.62622283867472694</v>
      </c>
      <c r="X3291">
        <v>0</v>
      </c>
      <c r="Y3291">
        <v>0</v>
      </c>
    </row>
    <row r="3292" spans="1:25" x14ac:dyDescent="0.2">
      <c r="A3292" t="s">
        <v>12161</v>
      </c>
      <c r="B3292" t="s">
        <v>12162</v>
      </c>
      <c r="C3292" t="s">
        <v>12163</v>
      </c>
      <c r="D3292" t="s">
        <v>844</v>
      </c>
      <c r="E3292" t="s">
        <v>12162</v>
      </c>
      <c r="F3292" t="s">
        <v>28</v>
      </c>
      <c r="G3292" t="s">
        <v>12162</v>
      </c>
      <c r="H3292" t="str">
        <f>"phf-14"</f>
        <v>phf-14</v>
      </c>
      <c r="I3292" t="s">
        <v>844</v>
      </c>
      <c r="J3292" t="s">
        <v>29</v>
      </c>
      <c r="K3292" t="s">
        <v>29</v>
      </c>
      <c r="L3292" t="s">
        <v>29</v>
      </c>
      <c r="M3292" t="s">
        <v>29</v>
      </c>
      <c r="N3292" t="s">
        <v>29</v>
      </c>
      <c r="O3292" t="s">
        <v>29</v>
      </c>
      <c r="P3292" t="s">
        <v>29</v>
      </c>
      <c r="Q3292" t="s">
        <v>29</v>
      </c>
      <c r="R3292" t="s">
        <v>29</v>
      </c>
      <c r="S3292">
        <v>12.1931349812289</v>
      </c>
      <c r="T3292" t="s">
        <v>29</v>
      </c>
      <c r="U3292" t="s">
        <v>29</v>
      </c>
      <c r="V3292" t="s">
        <v>29</v>
      </c>
      <c r="W3292" t="s">
        <v>29</v>
      </c>
      <c r="X3292" t="s">
        <v>29</v>
      </c>
      <c r="Y3292" t="s">
        <v>29</v>
      </c>
    </row>
    <row r="3293" spans="1:25" x14ac:dyDescent="0.2">
      <c r="A3293" t="s">
        <v>12164</v>
      </c>
      <c r="B3293" t="s">
        <v>12165</v>
      </c>
      <c r="C3293" t="s">
        <v>12166</v>
      </c>
      <c r="D3293" t="s">
        <v>12167</v>
      </c>
      <c r="E3293" t="s">
        <v>12165</v>
      </c>
      <c r="F3293" t="s">
        <v>28</v>
      </c>
      <c r="G3293" t="s">
        <v>12165</v>
      </c>
      <c r="H3293" t="str">
        <f>"tcc-1"</f>
        <v>tcc-1</v>
      </c>
      <c r="I3293" t="s">
        <v>12167</v>
      </c>
      <c r="J3293">
        <v>11.4934277802727</v>
      </c>
      <c r="K3293">
        <v>10.961193430925199</v>
      </c>
      <c r="L3293">
        <v>11.2350915497254</v>
      </c>
      <c r="M3293">
        <v>11.8674549577596</v>
      </c>
      <c r="N3293">
        <v>12.342981248429499</v>
      </c>
      <c r="O3293">
        <v>10.883178487445999</v>
      </c>
      <c r="P3293">
        <v>0.46796731090392502</v>
      </c>
      <c r="Q3293">
        <v>-0.43293478077332598</v>
      </c>
      <c r="R3293">
        <v>1.3688694025811801</v>
      </c>
      <c r="S3293">
        <v>11.414854518408299</v>
      </c>
      <c r="T3293">
        <v>1.1078463413742199</v>
      </c>
      <c r="U3293">
        <v>-6.2599604040994503</v>
      </c>
      <c r="V3293">
        <v>0.285497625643232</v>
      </c>
      <c r="W3293">
        <v>0.856190392347986</v>
      </c>
      <c r="X3293">
        <v>0</v>
      </c>
      <c r="Y3293">
        <v>0</v>
      </c>
    </row>
    <row r="3294" spans="1:25" x14ac:dyDescent="0.2">
      <c r="A3294" t="s">
        <v>12168</v>
      </c>
      <c r="B3294" t="s">
        <v>12169</v>
      </c>
      <c r="C3294" t="s">
        <v>12170</v>
      </c>
      <c r="D3294" t="s">
        <v>12171</v>
      </c>
      <c r="E3294" t="s">
        <v>12169</v>
      </c>
      <c r="F3294" t="s">
        <v>28</v>
      </c>
      <c r="G3294" t="s">
        <v>12169</v>
      </c>
      <c r="H3294" t="str">
        <f>"csn-1"</f>
        <v>csn-1</v>
      </c>
      <c r="I3294" t="s">
        <v>12171</v>
      </c>
      <c r="J3294">
        <v>13.3819368363758</v>
      </c>
      <c r="K3294">
        <v>13.094198897416099</v>
      </c>
      <c r="L3294">
        <v>12.817733663077099</v>
      </c>
      <c r="M3294">
        <v>13.4996743646502</v>
      </c>
      <c r="N3294">
        <v>13.258737160496599</v>
      </c>
      <c r="O3294">
        <v>13.136845911970999</v>
      </c>
      <c r="P3294">
        <v>0.20046268008298401</v>
      </c>
      <c r="Q3294">
        <v>-0.235131752146822</v>
      </c>
      <c r="R3294">
        <v>0.63605711231279005</v>
      </c>
      <c r="S3294">
        <v>13.1651668475217</v>
      </c>
      <c r="T3294">
        <v>0.97140699294840205</v>
      </c>
      <c r="U3294">
        <v>-6.40135501365795</v>
      </c>
      <c r="V3294">
        <v>0.34504857146347401</v>
      </c>
      <c r="W3294">
        <v>0.87901395057154197</v>
      </c>
      <c r="X3294">
        <v>0</v>
      </c>
      <c r="Y3294">
        <v>0</v>
      </c>
    </row>
    <row r="3295" spans="1:25" x14ac:dyDescent="0.2">
      <c r="A3295" t="s">
        <v>12172</v>
      </c>
      <c r="B3295" t="s">
        <v>12173</v>
      </c>
      <c r="C3295" t="s">
        <v>12174</v>
      </c>
      <c r="D3295" t="s">
        <v>12175</v>
      </c>
      <c r="E3295" t="s">
        <v>12173</v>
      </c>
      <c r="F3295" t="s">
        <v>28</v>
      </c>
      <c r="G3295" t="s">
        <v>12173</v>
      </c>
      <c r="H3295" t="str">
        <f>"zyg-1"</f>
        <v>zyg-1</v>
      </c>
      <c r="I3295" t="s">
        <v>12175</v>
      </c>
      <c r="J3295" t="s">
        <v>29</v>
      </c>
      <c r="K3295" t="s">
        <v>29</v>
      </c>
      <c r="L3295" t="s">
        <v>29</v>
      </c>
      <c r="M3295" t="s">
        <v>29</v>
      </c>
      <c r="N3295" t="s">
        <v>29</v>
      </c>
      <c r="O3295" t="s">
        <v>29</v>
      </c>
      <c r="P3295" t="s">
        <v>29</v>
      </c>
      <c r="Q3295" t="s">
        <v>29</v>
      </c>
      <c r="R3295" t="s">
        <v>29</v>
      </c>
      <c r="S3295">
        <v>10.4601143270206</v>
      </c>
      <c r="T3295" t="s">
        <v>29</v>
      </c>
      <c r="U3295" t="s">
        <v>29</v>
      </c>
      <c r="V3295" t="s">
        <v>29</v>
      </c>
      <c r="W3295" t="s">
        <v>29</v>
      </c>
      <c r="X3295" t="s">
        <v>29</v>
      </c>
      <c r="Y3295" t="s">
        <v>29</v>
      </c>
    </row>
    <row r="3296" spans="1:25" x14ac:dyDescent="0.2">
      <c r="A3296" t="s">
        <v>12176</v>
      </c>
      <c r="B3296" t="s">
        <v>12177</v>
      </c>
      <c r="C3296" t="s">
        <v>12178</v>
      </c>
      <c r="D3296" t="s">
        <v>12124</v>
      </c>
      <c r="E3296" t="s">
        <v>12177</v>
      </c>
      <c r="F3296" t="s">
        <v>28</v>
      </c>
      <c r="G3296" t="s">
        <v>12177</v>
      </c>
      <c r="H3296" t="str">
        <f>"acp-6"</f>
        <v>acp-6</v>
      </c>
      <c r="I3296" t="s">
        <v>12124</v>
      </c>
      <c r="J3296">
        <v>13.319574620964399</v>
      </c>
      <c r="K3296">
        <v>13.3294704266584</v>
      </c>
      <c r="L3296">
        <v>12.8534570830208</v>
      </c>
      <c r="M3296">
        <v>13.6636415869934</v>
      </c>
      <c r="N3296">
        <v>13.2209001804835</v>
      </c>
      <c r="O3296">
        <v>13.332015130349101</v>
      </c>
      <c r="P3296">
        <v>0.23801825572743801</v>
      </c>
      <c r="Q3296">
        <v>-0.40807253726399501</v>
      </c>
      <c r="R3296">
        <v>0.88410904871886997</v>
      </c>
      <c r="S3296">
        <v>13.665038480169599</v>
      </c>
      <c r="T3296">
        <v>0.77429994627521703</v>
      </c>
      <c r="U3296">
        <v>-6.5744169719539203</v>
      </c>
      <c r="V3296">
        <v>0.44886334752318602</v>
      </c>
      <c r="W3296">
        <v>0.92249172671965796</v>
      </c>
      <c r="X3296">
        <v>0</v>
      </c>
      <c r="Y3296">
        <v>0</v>
      </c>
    </row>
    <row r="3297" spans="1:25" x14ac:dyDescent="0.2">
      <c r="A3297" t="s">
        <v>12179</v>
      </c>
      <c r="B3297" t="s">
        <v>12180</v>
      </c>
      <c r="C3297" t="s">
        <v>12181</v>
      </c>
      <c r="D3297" t="s">
        <v>12182</v>
      </c>
      <c r="E3297" t="s">
        <v>12180</v>
      </c>
      <c r="F3297" t="s">
        <v>28</v>
      </c>
      <c r="G3297" t="s">
        <v>12180</v>
      </c>
      <c r="H3297" t="str">
        <f>"aatf-1"</f>
        <v>aatf-1</v>
      </c>
      <c r="I3297" t="s">
        <v>12182</v>
      </c>
      <c r="J3297" t="s">
        <v>29</v>
      </c>
      <c r="K3297" t="s">
        <v>29</v>
      </c>
      <c r="L3297" t="s">
        <v>29</v>
      </c>
      <c r="M3297">
        <v>9.6478100048947404</v>
      </c>
      <c r="N3297">
        <v>10.5390833615779</v>
      </c>
      <c r="O3297">
        <v>9.6844672597076507</v>
      </c>
      <c r="P3297" t="s">
        <v>29</v>
      </c>
      <c r="Q3297" t="s">
        <v>29</v>
      </c>
      <c r="R3297" t="s">
        <v>29</v>
      </c>
      <c r="S3297">
        <v>10.0912659644897</v>
      </c>
      <c r="T3297" t="s">
        <v>29</v>
      </c>
      <c r="U3297" t="s">
        <v>29</v>
      </c>
      <c r="V3297" t="s">
        <v>29</v>
      </c>
      <c r="W3297" t="s">
        <v>29</v>
      </c>
      <c r="X3297" t="s">
        <v>29</v>
      </c>
      <c r="Y3297" t="s">
        <v>29</v>
      </c>
    </row>
    <row r="3298" spans="1:25" x14ac:dyDescent="0.2">
      <c r="A3298" t="s">
        <v>12183</v>
      </c>
      <c r="B3298" t="s">
        <v>12184</v>
      </c>
      <c r="C3298" t="s">
        <v>12185</v>
      </c>
      <c r="D3298" t="s">
        <v>12186</v>
      </c>
      <c r="E3298" t="s">
        <v>12184</v>
      </c>
      <c r="F3298" t="s">
        <v>28</v>
      </c>
      <c r="G3298" t="s">
        <v>12184</v>
      </c>
      <c r="H3298" t="str">
        <f>"unc-27"</f>
        <v>unc-27</v>
      </c>
      <c r="I3298" t="s">
        <v>12186</v>
      </c>
      <c r="J3298">
        <v>15.0508911206866</v>
      </c>
      <c r="K3298">
        <v>14.804436542842099</v>
      </c>
      <c r="L3298">
        <v>14.4982689951855</v>
      </c>
      <c r="M3298">
        <v>15.3548315089617</v>
      </c>
      <c r="N3298">
        <v>14.7461133393198</v>
      </c>
      <c r="O3298">
        <v>14.348891385739099</v>
      </c>
      <c r="P3298">
        <v>3.2079858435483999E-2</v>
      </c>
      <c r="Q3298">
        <v>-0.51400614456803395</v>
      </c>
      <c r="R3298">
        <v>0.57816586143900195</v>
      </c>
      <c r="S3298">
        <v>14.3968483038988</v>
      </c>
      <c r="T3298">
        <v>0.123999921782021</v>
      </c>
      <c r="U3298">
        <v>-6.8744341897962702</v>
      </c>
      <c r="V3298">
        <v>0.90277865309620997</v>
      </c>
      <c r="W3298">
        <v>0.99833354317360001</v>
      </c>
      <c r="X3298">
        <v>0</v>
      </c>
      <c r="Y3298">
        <v>0</v>
      </c>
    </row>
    <row r="3299" spans="1:25" x14ac:dyDescent="0.2">
      <c r="A3299" t="s">
        <v>12187</v>
      </c>
      <c r="B3299" t="s">
        <v>12188</v>
      </c>
      <c r="C3299" t="s">
        <v>12189</v>
      </c>
      <c r="D3299" t="s">
        <v>130</v>
      </c>
      <c r="E3299" t="s">
        <v>12188</v>
      </c>
      <c r="F3299" t="s">
        <v>28</v>
      </c>
      <c r="G3299" t="s">
        <v>12188</v>
      </c>
      <c r="H3299" t="str">
        <f>"ztf-8"</f>
        <v>ztf-8</v>
      </c>
      <c r="I3299" t="s">
        <v>130</v>
      </c>
      <c r="J3299" t="s">
        <v>29</v>
      </c>
      <c r="K3299" t="s">
        <v>29</v>
      </c>
      <c r="L3299">
        <v>12.4746974246961</v>
      </c>
      <c r="M3299">
        <v>11.3314914413141</v>
      </c>
      <c r="N3299" t="s">
        <v>29</v>
      </c>
      <c r="O3299" t="s">
        <v>29</v>
      </c>
      <c r="P3299">
        <v>-1.1432059833820301</v>
      </c>
      <c r="Q3299">
        <v>-1.8056891722189801</v>
      </c>
      <c r="R3299">
        <v>-0.48072279454508099</v>
      </c>
      <c r="S3299">
        <v>12.3088578987093</v>
      </c>
      <c r="T3299">
        <v>-3.85049458662778</v>
      </c>
      <c r="U3299">
        <v>-1.59733804609248</v>
      </c>
      <c r="V3299">
        <v>3.2726437213370201E-3</v>
      </c>
      <c r="W3299">
        <v>7.7388460048956595E-2</v>
      </c>
      <c r="X3299">
        <v>-1</v>
      </c>
      <c r="Y3299">
        <v>0</v>
      </c>
    </row>
    <row r="3300" spans="1:25" x14ac:dyDescent="0.2">
      <c r="A3300" t="s">
        <v>12190</v>
      </c>
      <c r="B3300" t="s">
        <v>12191</v>
      </c>
      <c r="C3300" t="s">
        <v>12192</v>
      </c>
      <c r="D3300" t="s">
        <v>12193</v>
      </c>
      <c r="E3300" t="s">
        <v>12191</v>
      </c>
      <c r="F3300" t="s">
        <v>28</v>
      </c>
      <c r="G3300" t="s">
        <v>12191</v>
      </c>
      <c r="H3300" t="str">
        <f>"rme-6"</f>
        <v>rme-6</v>
      </c>
      <c r="I3300" t="s">
        <v>12193</v>
      </c>
      <c r="J3300">
        <v>11.1803571777403</v>
      </c>
      <c r="K3300" t="s">
        <v>29</v>
      </c>
      <c r="L3300">
        <v>11.542550488261099</v>
      </c>
      <c r="M3300">
        <v>11.1941167672072</v>
      </c>
      <c r="N3300">
        <v>11.853578589609</v>
      </c>
      <c r="O3300">
        <v>11.373069368584</v>
      </c>
      <c r="P3300">
        <v>0.11213440879936</v>
      </c>
      <c r="Q3300">
        <v>-0.52561381066183599</v>
      </c>
      <c r="R3300">
        <v>0.74988262826055596</v>
      </c>
      <c r="S3300">
        <v>11.5424299320778</v>
      </c>
      <c r="T3300">
        <v>0.374999983618996</v>
      </c>
      <c r="U3300">
        <v>-6.6984880778773102</v>
      </c>
      <c r="V3300">
        <v>0.71294620554433097</v>
      </c>
      <c r="W3300">
        <v>0.98786722894487999</v>
      </c>
      <c r="X3300">
        <v>0</v>
      </c>
      <c r="Y3300">
        <v>0</v>
      </c>
    </row>
    <row r="3301" spans="1:25" x14ac:dyDescent="0.2">
      <c r="A3301" t="s">
        <v>12194</v>
      </c>
      <c r="B3301" t="s">
        <v>12195</v>
      </c>
      <c r="C3301" t="s">
        <v>12196</v>
      </c>
      <c r="D3301" t="s">
        <v>12197</v>
      </c>
      <c r="E3301" t="s">
        <v>12195</v>
      </c>
      <c r="F3301" t="s">
        <v>28</v>
      </c>
      <c r="G3301" t="s">
        <v>12195</v>
      </c>
      <c r="H3301" t="str">
        <f>"pigx-1"</f>
        <v>pigx-1</v>
      </c>
      <c r="I3301" t="s">
        <v>12197</v>
      </c>
      <c r="J3301">
        <v>12.8795836976677</v>
      </c>
      <c r="K3301">
        <v>12.917658105079701</v>
      </c>
      <c r="L3301">
        <v>12.206947610484599</v>
      </c>
      <c r="M3301">
        <v>13.1716738291558</v>
      </c>
      <c r="N3301">
        <v>12.294528412564899</v>
      </c>
      <c r="O3301">
        <v>12.3624182005659</v>
      </c>
      <c r="P3301">
        <v>-5.85229903151223E-2</v>
      </c>
      <c r="Q3301">
        <v>-0.68059487791628404</v>
      </c>
      <c r="R3301">
        <v>0.56354889728603996</v>
      </c>
      <c r="S3301">
        <v>12.489832682519999</v>
      </c>
      <c r="T3301">
        <v>-0.19954252496712099</v>
      </c>
      <c r="U3301">
        <v>-6.8615730692067398</v>
      </c>
      <c r="V3301">
        <v>0.84436872045200995</v>
      </c>
      <c r="W3301">
        <v>0.99370971747667503</v>
      </c>
      <c r="X3301">
        <v>0</v>
      </c>
      <c r="Y3301">
        <v>0</v>
      </c>
    </row>
    <row r="3302" spans="1:25" x14ac:dyDescent="0.2">
      <c r="A3302" t="s">
        <v>12198</v>
      </c>
      <c r="B3302" t="s">
        <v>12199</v>
      </c>
      <c r="C3302" t="s">
        <v>12200</v>
      </c>
      <c r="D3302" t="s">
        <v>12201</v>
      </c>
      <c r="E3302" t="s">
        <v>12199</v>
      </c>
      <c r="F3302" t="s">
        <v>28</v>
      </c>
      <c r="G3302" t="s">
        <v>12199</v>
      </c>
      <c r="H3302" t="str">
        <f>"jmjd-1.2"</f>
        <v>jmjd-1.2</v>
      </c>
      <c r="I3302" t="s">
        <v>12201</v>
      </c>
      <c r="J3302">
        <v>12.5057322807803</v>
      </c>
      <c r="K3302">
        <v>12.856097186476701</v>
      </c>
      <c r="L3302">
        <v>12.367071174527601</v>
      </c>
      <c r="M3302">
        <v>12.8432959369238</v>
      </c>
      <c r="N3302">
        <v>12.6931064361289</v>
      </c>
      <c r="O3302">
        <v>12.679164673436899</v>
      </c>
      <c r="P3302">
        <v>0.16222213490165099</v>
      </c>
      <c r="Q3302">
        <v>-0.326219708694305</v>
      </c>
      <c r="R3302">
        <v>0.65066397849760604</v>
      </c>
      <c r="S3302">
        <v>12.8255109957584</v>
      </c>
      <c r="T3302">
        <v>0.70104720785705399</v>
      </c>
      <c r="U3302">
        <v>-6.6286079059924896</v>
      </c>
      <c r="V3302">
        <v>0.49281708336157998</v>
      </c>
      <c r="W3302">
        <v>0.94062983959761604</v>
      </c>
      <c r="X3302">
        <v>0</v>
      </c>
      <c r="Y3302">
        <v>0</v>
      </c>
    </row>
    <row r="3303" spans="1:25" x14ac:dyDescent="0.2">
      <c r="A3303" t="s">
        <v>12202</v>
      </c>
      <c r="B3303" t="s">
        <v>12203</v>
      </c>
      <c r="C3303" t="s">
        <v>14655</v>
      </c>
      <c r="D3303" t="s">
        <v>12204</v>
      </c>
      <c r="E3303" t="s">
        <v>12203</v>
      </c>
      <c r="F3303" t="s">
        <v>28</v>
      </c>
      <c r="G3303" t="s">
        <v>12203</v>
      </c>
      <c r="H3303" t="str">
        <f>"F29B9.8"</f>
        <v>F29B9.8</v>
      </c>
      <c r="I3303" t="s">
        <v>12204</v>
      </c>
      <c r="J3303">
        <v>12.367584844772001</v>
      </c>
      <c r="K3303">
        <v>12.4551745815796</v>
      </c>
      <c r="L3303">
        <v>11.8758047004536</v>
      </c>
      <c r="M3303">
        <v>11.575089354177599</v>
      </c>
      <c r="N3303">
        <v>12.156385557301</v>
      </c>
      <c r="O3303" t="s">
        <v>29</v>
      </c>
      <c r="P3303">
        <v>-0.36711725319578298</v>
      </c>
      <c r="Q3303">
        <v>-1.1998065229224899</v>
      </c>
      <c r="R3303">
        <v>0.46557201653092301</v>
      </c>
      <c r="S3303">
        <v>11.921078013369</v>
      </c>
      <c r="T3303">
        <v>-0.95325495510124902</v>
      </c>
      <c r="U3303">
        <v>-6.3053930308868003</v>
      </c>
      <c r="V3303">
        <v>0.357989045963372</v>
      </c>
      <c r="W3303">
        <v>0.88269106754885296</v>
      </c>
      <c r="X3303">
        <v>0</v>
      </c>
      <c r="Y3303">
        <v>0</v>
      </c>
    </row>
    <row r="3304" spans="1:25" x14ac:dyDescent="0.2">
      <c r="A3304" t="s">
        <v>12205</v>
      </c>
      <c r="B3304" t="s">
        <v>12206</v>
      </c>
      <c r="C3304" t="s">
        <v>12207</v>
      </c>
      <c r="D3304" t="s">
        <v>561</v>
      </c>
      <c r="E3304" t="s">
        <v>12206</v>
      </c>
      <c r="F3304" t="s">
        <v>28</v>
      </c>
      <c r="G3304" t="s">
        <v>12206</v>
      </c>
      <c r="H3304" t="str">
        <f>"phat-1"</f>
        <v>phat-1</v>
      </c>
      <c r="I3304" t="s">
        <v>561</v>
      </c>
      <c r="J3304" t="s">
        <v>29</v>
      </c>
      <c r="K3304">
        <v>12.592533257057299</v>
      </c>
      <c r="L3304">
        <v>13.144385379453899</v>
      </c>
      <c r="M3304">
        <v>11.236869532714</v>
      </c>
      <c r="N3304">
        <v>11.524973603476299</v>
      </c>
      <c r="O3304" t="s">
        <v>29</v>
      </c>
      <c r="P3304">
        <v>-1.4875377501604501</v>
      </c>
      <c r="Q3304">
        <v>-2.5961173249584801</v>
      </c>
      <c r="R3304">
        <v>-0.37895817536242998</v>
      </c>
      <c r="S3304">
        <v>11.7696527565453</v>
      </c>
      <c r="T3304">
        <v>-2.9012714725866302</v>
      </c>
      <c r="U3304">
        <v>-3.2609858399877698</v>
      </c>
      <c r="V3304">
        <v>1.2466068208495299E-2</v>
      </c>
      <c r="W3304">
        <v>0.206403358198369</v>
      </c>
      <c r="X3304">
        <v>-1</v>
      </c>
      <c r="Y3304">
        <v>0</v>
      </c>
    </row>
    <row r="3305" spans="1:25" x14ac:dyDescent="0.2">
      <c r="A3305" t="s">
        <v>12208</v>
      </c>
      <c r="B3305" t="s">
        <v>12209</v>
      </c>
      <c r="C3305" t="s">
        <v>12210</v>
      </c>
      <c r="D3305" t="s">
        <v>806</v>
      </c>
      <c r="E3305" t="s">
        <v>12209</v>
      </c>
      <c r="F3305" t="s">
        <v>28</v>
      </c>
      <c r="G3305" t="s">
        <v>12209</v>
      </c>
      <c r="H3305" t="str">
        <f>"snx-1"</f>
        <v>snx-1</v>
      </c>
      <c r="I3305" t="s">
        <v>806</v>
      </c>
      <c r="J3305">
        <v>12.8364099340486</v>
      </c>
      <c r="K3305">
        <v>12.346991382719599</v>
      </c>
      <c r="L3305">
        <v>12.623337628458</v>
      </c>
      <c r="M3305">
        <v>13.179645271577</v>
      </c>
      <c r="N3305">
        <v>13.241208939257399</v>
      </c>
      <c r="O3305">
        <v>12.668420152112899</v>
      </c>
      <c r="P3305">
        <v>0.42751180590700799</v>
      </c>
      <c r="Q3305">
        <v>-0.19398725678422901</v>
      </c>
      <c r="R3305">
        <v>1.04901086859824</v>
      </c>
      <c r="S3305">
        <v>13.138783445661099</v>
      </c>
      <c r="T3305">
        <v>1.4519700145375001</v>
      </c>
      <c r="U3305">
        <v>-5.8418506525443998</v>
      </c>
      <c r="V3305">
        <v>0.16482767023790701</v>
      </c>
      <c r="W3305">
        <v>0.76719788328916605</v>
      </c>
      <c r="X3305">
        <v>0</v>
      </c>
      <c r="Y3305">
        <v>0</v>
      </c>
    </row>
    <row r="3306" spans="1:25" x14ac:dyDescent="0.2">
      <c r="A3306" t="s">
        <v>12211</v>
      </c>
      <c r="B3306" t="s">
        <v>12212</v>
      </c>
      <c r="C3306" t="s">
        <v>14656</v>
      </c>
      <c r="D3306" t="s">
        <v>12213</v>
      </c>
      <c r="E3306" t="s">
        <v>12212</v>
      </c>
      <c r="F3306" t="s">
        <v>28</v>
      </c>
      <c r="G3306" t="s">
        <v>12212</v>
      </c>
      <c r="H3306" t="str">
        <f>"T05A12.3"</f>
        <v>T05A12.3</v>
      </c>
      <c r="I3306" t="s">
        <v>12213</v>
      </c>
      <c r="J3306">
        <v>12.0963229564864</v>
      </c>
      <c r="K3306">
        <v>11.9525939396719</v>
      </c>
      <c r="L3306">
        <v>12.8747642893277</v>
      </c>
      <c r="M3306">
        <v>12.638166371410801</v>
      </c>
      <c r="N3306">
        <v>12.133570230784599</v>
      </c>
      <c r="O3306" t="s">
        <v>29</v>
      </c>
      <c r="P3306">
        <v>7.7974572602387895E-2</v>
      </c>
      <c r="Q3306">
        <v>-0.58319797145303098</v>
      </c>
      <c r="R3306">
        <v>0.73914711665780697</v>
      </c>
      <c r="S3306">
        <v>12.282315758809901</v>
      </c>
      <c r="T3306">
        <v>0.257207249239994</v>
      </c>
      <c r="U3306">
        <v>-6.7369064058126202</v>
      </c>
      <c r="V3306">
        <v>0.80141404395304905</v>
      </c>
      <c r="W3306">
        <v>0.99278624068726296</v>
      </c>
      <c r="X3306">
        <v>0</v>
      </c>
      <c r="Y3306">
        <v>0</v>
      </c>
    </row>
    <row r="3307" spans="1:25" x14ac:dyDescent="0.2">
      <c r="A3307" t="s">
        <v>12214</v>
      </c>
      <c r="B3307" t="s">
        <v>12215</v>
      </c>
      <c r="C3307" t="s">
        <v>14657</v>
      </c>
      <c r="D3307" t="s">
        <v>162</v>
      </c>
      <c r="E3307" t="s">
        <v>12215</v>
      </c>
      <c r="F3307" t="s">
        <v>28</v>
      </c>
      <c r="G3307" t="s">
        <v>12215</v>
      </c>
      <c r="H3307" t="str">
        <f>"R04E5.8"</f>
        <v>R04E5.8</v>
      </c>
      <c r="I3307" t="s">
        <v>162</v>
      </c>
      <c r="J3307" t="s">
        <v>29</v>
      </c>
      <c r="K3307" t="s">
        <v>29</v>
      </c>
      <c r="L3307" t="s">
        <v>29</v>
      </c>
      <c r="M3307" t="s">
        <v>29</v>
      </c>
      <c r="N3307" t="s">
        <v>29</v>
      </c>
      <c r="O3307" t="s">
        <v>29</v>
      </c>
      <c r="P3307" t="s">
        <v>29</v>
      </c>
      <c r="Q3307" t="s">
        <v>29</v>
      </c>
      <c r="R3307" t="s">
        <v>29</v>
      </c>
      <c r="S3307">
        <v>11.2797413631995</v>
      </c>
      <c r="T3307" t="s">
        <v>29</v>
      </c>
      <c r="U3307" t="s">
        <v>29</v>
      </c>
      <c r="V3307" t="s">
        <v>29</v>
      </c>
      <c r="W3307" t="s">
        <v>29</v>
      </c>
      <c r="X3307" t="s">
        <v>29</v>
      </c>
      <c r="Y3307" t="s">
        <v>29</v>
      </c>
    </row>
    <row r="3308" spans="1:25" x14ac:dyDescent="0.2">
      <c r="A3308" t="s">
        <v>12216</v>
      </c>
      <c r="B3308" t="s">
        <v>12217</v>
      </c>
      <c r="C3308" t="s">
        <v>12218</v>
      </c>
      <c r="D3308" t="s">
        <v>12219</v>
      </c>
      <c r="E3308" t="s">
        <v>12217</v>
      </c>
      <c r="F3308" t="s">
        <v>28</v>
      </c>
      <c r="G3308" t="s">
        <v>12217</v>
      </c>
      <c r="H3308" t="str">
        <f>"C49H3.3"</f>
        <v>C49H3.3</v>
      </c>
      <c r="I3308" t="s">
        <v>12219</v>
      </c>
      <c r="J3308">
        <v>17.576708101651899</v>
      </c>
      <c r="K3308">
        <v>17.207684194087602</v>
      </c>
      <c r="L3308">
        <v>16.8550376039538</v>
      </c>
      <c r="M3308">
        <v>17.6363946091003</v>
      </c>
      <c r="N3308">
        <v>17.737805906940899</v>
      </c>
      <c r="O3308">
        <v>17.513604775226302</v>
      </c>
      <c r="P3308">
        <v>0.41612513052475503</v>
      </c>
      <c r="Q3308">
        <v>-0.143098940376855</v>
      </c>
      <c r="R3308">
        <v>0.97534920142636405</v>
      </c>
      <c r="S3308">
        <v>16.256502707806501</v>
      </c>
      <c r="T3308">
        <v>1.5782929534918899</v>
      </c>
      <c r="U3308">
        <v>-5.6662936766447203</v>
      </c>
      <c r="V3308">
        <v>0.1341901474627</v>
      </c>
      <c r="W3308">
        <v>0.72544466191224499</v>
      </c>
      <c r="X3308">
        <v>0</v>
      </c>
      <c r="Y3308">
        <v>0</v>
      </c>
    </row>
    <row r="3309" spans="1:25" x14ac:dyDescent="0.2">
      <c r="A3309" t="s">
        <v>12220</v>
      </c>
      <c r="B3309" t="s">
        <v>12221</v>
      </c>
      <c r="C3309" t="s">
        <v>12222</v>
      </c>
      <c r="D3309" t="s">
        <v>12223</v>
      </c>
      <c r="E3309" t="s">
        <v>12221</v>
      </c>
      <c r="F3309" t="s">
        <v>28</v>
      </c>
      <c r="G3309" t="s">
        <v>12221</v>
      </c>
      <c r="H3309" t="str">
        <f>"npp-27"</f>
        <v>npp-27</v>
      </c>
      <c r="I3309" t="s">
        <v>12223</v>
      </c>
      <c r="J3309" t="s">
        <v>29</v>
      </c>
      <c r="K3309" t="s">
        <v>29</v>
      </c>
      <c r="L3309">
        <v>12.284205449696399</v>
      </c>
      <c r="M3309" t="s">
        <v>29</v>
      </c>
      <c r="N3309">
        <v>12.454399115830499</v>
      </c>
      <c r="O3309" t="s">
        <v>29</v>
      </c>
      <c r="P3309">
        <v>0.17019366613412301</v>
      </c>
      <c r="Q3309">
        <v>-1.32321717871086</v>
      </c>
      <c r="R3309">
        <v>1.6636045109791</v>
      </c>
      <c r="S3309">
        <v>13.341529291915</v>
      </c>
      <c r="T3309">
        <v>0.25112606181908598</v>
      </c>
      <c r="U3309">
        <v>-6.3101036148254703</v>
      </c>
      <c r="V3309">
        <v>0.80638993451769603</v>
      </c>
      <c r="W3309">
        <v>0.99278624068726296</v>
      </c>
      <c r="X3309">
        <v>0</v>
      </c>
      <c r="Y3309">
        <v>0</v>
      </c>
    </row>
    <row r="3310" spans="1:25" x14ac:dyDescent="0.2">
      <c r="A3310" t="s">
        <v>12224</v>
      </c>
      <c r="B3310" t="s">
        <v>12225</v>
      </c>
      <c r="C3310" t="s">
        <v>12226</v>
      </c>
      <c r="D3310" t="s">
        <v>2355</v>
      </c>
      <c r="E3310" t="s">
        <v>12225</v>
      </c>
      <c r="F3310" t="s">
        <v>28</v>
      </c>
      <c r="G3310" t="s">
        <v>12225</v>
      </c>
      <c r="H3310" t="str">
        <f>"sna-3"</f>
        <v>sna-3</v>
      </c>
      <c r="I3310" t="s">
        <v>2355</v>
      </c>
      <c r="J3310">
        <v>11.9776484870087</v>
      </c>
      <c r="K3310">
        <v>12.2989954159445</v>
      </c>
      <c r="L3310">
        <v>12.5326144828589</v>
      </c>
      <c r="M3310">
        <v>12.3615266000107</v>
      </c>
      <c r="N3310">
        <v>12.892181211088699</v>
      </c>
      <c r="O3310">
        <v>11.733674835790101</v>
      </c>
      <c r="P3310">
        <v>5.93747536924525E-2</v>
      </c>
      <c r="Q3310">
        <v>-0.72191987915804801</v>
      </c>
      <c r="R3310">
        <v>0.84066938654295298</v>
      </c>
      <c r="S3310">
        <v>13.4383871160623</v>
      </c>
      <c r="T3310">
        <v>0.16041205159233099</v>
      </c>
      <c r="U3310">
        <v>-6.8690128885377302</v>
      </c>
      <c r="V3310">
        <v>0.87445884213238201</v>
      </c>
      <c r="W3310">
        <v>0.99542051916754504</v>
      </c>
      <c r="X3310">
        <v>0</v>
      </c>
      <c r="Y3310">
        <v>0</v>
      </c>
    </row>
    <row r="3311" spans="1:25" x14ac:dyDescent="0.2">
      <c r="A3311" t="s">
        <v>12227</v>
      </c>
      <c r="B3311" t="s">
        <v>12228</v>
      </c>
      <c r="C3311" t="s">
        <v>12229</v>
      </c>
      <c r="D3311" t="s">
        <v>12230</v>
      </c>
      <c r="E3311" t="s">
        <v>12228</v>
      </c>
      <c r="F3311" t="s">
        <v>28</v>
      </c>
      <c r="G3311" t="s">
        <v>12228</v>
      </c>
      <c r="H3311" t="str">
        <f>"mes-6"</f>
        <v>mes-6</v>
      </c>
      <c r="I3311" t="s">
        <v>12230</v>
      </c>
      <c r="J3311" t="s">
        <v>29</v>
      </c>
      <c r="K3311" t="s">
        <v>29</v>
      </c>
      <c r="L3311">
        <v>11.037451870197501</v>
      </c>
      <c r="M3311" t="s">
        <v>29</v>
      </c>
      <c r="N3311" t="s">
        <v>29</v>
      </c>
      <c r="O3311">
        <v>10.4491678314597</v>
      </c>
      <c r="P3311">
        <v>-0.58828403873783797</v>
      </c>
      <c r="Q3311">
        <v>-1.7572052120110799</v>
      </c>
      <c r="R3311">
        <v>0.58063713453540999</v>
      </c>
      <c r="S3311">
        <v>11.124190971597301</v>
      </c>
      <c r="T3311">
        <v>-1.16323524272095</v>
      </c>
      <c r="U3311">
        <v>-5.6628748653590799</v>
      </c>
      <c r="V3311">
        <v>0.27868350630237498</v>
      </c>
      <c r="W3311">
        <v>0.856190392347986</v>
      </c>
      <c r="X3311">
        <v>0</v>
      </c>
      <c r="Y3311">
        <v>0</v>
      </c>
    </row>
    <row r="3312" spans="1:25" x14ac:dyDescent="0.2">
      <c r="A3312" t="s">
        <v>12231</v>
      </c>
      <c r="B3312" t="s">
        <v>12232</v>
      </c>
      <c r="C3312" t="s">
        <v>12233</v>
      </c>
      <c r="D3312" t="s">
        <v>1198</v>
      </c>
      <c r="E3312" t="s">
        <v>12232</v>
      </c>
      <c r="F3312" t="s">
        <v>28</v>
      </c>
      <c r="G3312" t="s">
        <v>12232</v>
      </c>
      <c r="H3312" t="str">
        <f>"fars-1"</f>
        <v>fars-1</v>
      </c>
      <c r="I3312" t="s">
        <v>1198</v>
      </c>
      <c r="J3312">
        <v>16.584490424259499</v>
      </c>
      <c r="K3312">
        <v>16.6208403060728</v>
      </c>
      <c r="L3312">
        <v>16.5848740589093</v>
      </c>
      <c r="M3312">
        <v>16.499800197177599</v>
      </c>
      <c r="N3312">
        <v>16.442276485080399</v>
      </c>
      <c r="O3312">
        <v>16.688349781502001</v>
      </c>
      <c r="P3312">
        <v>-5.32594418272367E-2</v>
      </c>
      <c r="Q3312">
        <v>-0.46187764906644801</v>
      </c>
      <c r="R3312">
        <v>0.35535876541197398</v>
      </c>
      <c r="S3312">
        <v>16.056354255076201</v>
      </c>
      <c r="T3312">
        <v>-0.27395006619272999</v>
      </c>
      <c r="U3312">
        <v>-6.8433596426544003</v>
      </c>
      <c r="V3312">
        <v>0.78726010644351896</v>
      </c>
      <c r="W3312">
        <v>0.99278624068726296</v>
      </c>
      <c r="X3312">
        <v>0</v>
      </c>
      <c r="Y3312">
        <v>0</v>
      </c>
    </row>
    <row r="3313" spans="1:25" x14ac:dyDescent="0.2">
      <c r="A3313" t="s">
        <v>12234</v>
      </c>
      <c r="B3313" t="s">
        <v>12235</v>
      </c>
      <c r="C3313" t="s">
        <v>12236</v>
      </c>
      <c r="D3313" t="s">
        <v>12237</v>
      </c>
      <c r="E3313" t="s">
        <v>12235</v>
      </c>
      <c r="F3313" t="s">
        <v>28</v>
      </c>
      <c r="G3313" t="s">
        <v>12235</v>
      </c>
      <c r="H3313" t="str">
        <f>"mrpl-23"</f>
        <v>mrpl-23</v>
      </c>
      <c r="I3313" t="s">
        <v>12237</v>
      </c>
      <c r="J3313">
        <v>13.592088675017999</v>
      </c>
      <c r="K3313">
        <v>13.890109355547899</v>
      </c>
      <c r="L3313">
        <v>13.926240380729899</v>
      </c>
      <c r="M3313">
        <v>13.3437812085358</v>
      </c>
      <c r="N3313">
        <v>13.9783101424603</v>
      </c>
      <c r="O3313">
        <v>12.9162617407989</v>
      </c>
      <c r="P3313">
        <v>-0.39002843983362501</v>
      </c>
      <c r="Q3313">
        <v>-1.15428938590393</v>
      </c>
      <c r="R3313">
        <v>0.37423250623668097</v>
      </c>
      <c r="S3313">
        <v>13.804309110308999</v>
      </c>
      <c r="T3313">
        <v>-1.07722052900286</v>
      </c>
      <c r="U3313">
        <v>-6.2944643132431803</v>
      </c>
      <c r="V3313">
        <v>0.29652328383073701</v>
      </c>
      <c r="W3313">
        <v>0.85855590823088301</v>
      </c>
      <c r="X3313">
        <v>0</v>
      </c>
      <c r="Y3313">
        <v>0</v>
      </c>
    </row>
    <row r="3314" spans="1:25" x14ac:dyDescent="0.2">
      <c r="A3314" t="s">
        <v>12238</v>
      </c>
      <c r="B3314" t="s">
        <v>12239</v>
      </c>
      <c r="C3314" t="s">
        <v>12240</v>
      </c>
      <c r="D3314" t="s">
        <v>3451</v>
      </c>
      <c r="E3314" t="s">
        <v>12239</v>
      </c>
      <c r="F3314" t="s">
        <v>28</v>
      </c>
      <c r="G3314" t="s">
        <v>12239</v>
      </c>
      <c r="H3314" t="str">
        <f>"ech-1.2"</f>
        <v>ech-1.2</v>
      </c>
      <c r="I3314" t="s">
        <v>3451</v>
      </c>
      <c r="J3314">
        <v>15.1213524689267</v>
      </c>
      <c r="K3314">
        <v>15.0955511086228</v>
      </c>
      <c r="L3314">
        <v>15.205308085932</v>
      </c>
      <c r="M3314">
        <v>15.203010322036199</v>
      </c>
      <c r="N3314">
        <v>15.1670733906896</v>
      </c>
      <c r="O3314">
        <v>15.217127063704901</v>
      </c>
      <c r="P3314">
        <v>5.4999704316394102E-2</v>
      </c>
      <c r="Q3314">
        <v>-0.34660319599817002</v>
      </c>
      <c r="R3314">
        <v>0.45660260463095798</v>
      </c>
      <c r="S3314">
        <v>15.371054146033201</v>
      </c>
      <c r="T3314">
        <v>0.28784323521715499</v>
      </c>
      <c r="U3314">
        <v>-6.8392995960044098</v>
      </c>
      <c r="V3314">
        <v>0.77677379573582805</v>
      </c>
      <c r="W3314">
        <v>0.99278624068726296</v>
      </c>
      <c r="X3314">
        <v>0</v>
      </c>
      <c r="Y3314">
        <v>0</v>
      </c>
    </row>
    <row r="3315" spans="1:25" x14ac:dyDescent="0.2">
      <c r="A3315" t="s">
        <v>12241</v>
      </c>
      <c r="B3315" t="s">
        <v>12242</v>
      </c>
      <c r="C3315" t="s">
        <v>12243</v>
      </c>
      <c r="D3315" t="s">
        <v>12244</v>
      </c>
      <c r="E3315" t="s">
        <v>12242</v>
      </c>
      <c r="F3315" t="s">
        <v>28</v>
      </c>
      <c r="G3315" t="s">
        <v>12242</v>
      </c>
      <c r="H3315" t="str">
        <f>"ldp-1"</f>
        <v>ldp-1</v>
      </c>
      <c r="I3315" t="s">
        <v>12244</v>
      </c>
      <c r="J3315">
        <v>18.3107459374326</v>
      </c>
      <c r="K3315">
        <v>18.119611057359101</v>
      </c>
      <c r="L3315">
        <v>17.8608158778435</v>
      </c>
      <c r="M3315">
        <v>17.9276636072955</v>
      </c>
      <c r="N3315">
        <v>17.784176435082401</v>
      </c>
      <c r="O3315">
        <v>18.085303428333201</v>
      </c>
      <c r="P3315">
        <v>-0.164676467308045</v>
      </c>
      <c r="Q3315">
        <v>-0.59496244688060695</v>
      </c>
      <c r="R3315">
        <v>0.26560951226451801</v>
      </c>
      <c r="S3315">
        <v>17.485612197787599</v>
      </c>
      <c r="T3315">
        <v>-0.80439036446258305</v>
      </c>
      <c r="U3315">
        <v>-6.5504405119742701</v>
      </c>
      <c r="V3315">
        <v>0.431728810812612</v>
      </c>
      <c r="W3315">
        <v>0.91512503332874395</v>
      </c>
      <c r="X3315">
        <v>0</v>
      </c>
      <c r="Y3315">
        <v>0</v>
      </c>
    </row>
    <row r="3316" spans="1:25" x14ac:dyDescent="0.2">
      <c r="A3316" t="s">
        <v>12245</v>
      </c>
      <c r="B3316" t="s">
        <v>12246</v>
      </c>
      <c r="C3316" t="s">
        <v>12247</v>
      </c>
      <c r="D3316" t="s">
        <v>12248</v>
      </c>
      <c r="E3316" t="s">
        <v>12246</v>
      </c>
      <c r="F3316" t="s">
        <v>28</v>
      </c>
      <c r="G3316" t="s">
        <v>12246</v>
      </c>
      <c r="H3316" t="str">
        <f>"ruvb-2"</f>
        <v>ruvb-2</v>
      </c>
      <c r="I3316" t="s">
        <v>12248</v>
      </c>
      <c r="J3316">
        <v>12.1717920849963</v>
      </c>
      <c r="K3316">
        <v>12.2452978237427</v>
      </c>
      <c r="L3316">
        <v>11.7835361924996</v>
      </c>
      <c r="M3316">
        <v>12.329060081241</v>
      </c>
      <c r="N3316">
        <v>12.4915267174708</v>
      </c>
      <c r="O3316">
        <v>12.505597350770801</v>
      </c>
      <c r="P3316">
        <v>0.37518601608134</v>
      </c>
      <c r="Q3316">
        <v>-2.21384208815774E-2</v>
      </c>
      <c r="R3316">
        <v>0.77251045304425703</v>
      </c>
      <c r="S3316">
        <v>12.634949230061199</v>
      </c>
      <c r="T3316">
        <v>2.0028613974759701</v>
      </c>
      <c r="U3316">
        <v>-5.0034182397676403</v>
      </c>
      <c r="V3316">
        <v>6.2551411773991206E-2</v>
      </c>
      <c r="W3316">
        <v>0.53705942841316601</v>
      </c>
      <c r="X3316">
        <v>0</v>
      </c>
      <c r="Y3316">
        <v>0</v>
      </c>
    </row>
    <row r="3317" spans="1:25" x14ac:dyDescent="0.2">
      <c r="A3317" t="s">
        <v>12249</v>
      </c>
      <c r="B3317" t="s">
        <v>12250</v>
      </c>
      <c r="C3317" t="s">
        <v>12251</v>
      </c>
      <c r="D3317" t="s">
        <v>12252</v>
      </c>
      <c r="E3317" t="s">
        <v>12250</v>
      </c>
      <c r="F3317" t="s">
        <v>28</v>
      </c>
      <c r="G3317" t="s">
        <v>12250</v>
      </c>
      <c r="H3317" t="str">
        <f>"T22D1.3"</f>
        <v>T22D1.3</v>
      </c>
      <c r="I3317" t="s">
        <v>12252</v>
      </c>
      <c r="J3317">
        <v>12.534607466923701</v>
      </c>
      <c r="K3317">
        <v>11.7707884573106</v>
      </c>
      <c r="L3317">
        <v>12.1430060373494</v>
      </c>
      <c r="M3317">
        <v>12.861964646472201</v>
      </c>
      <c r="N3317">
        <v>13.063916036277099</v>
      </c>
      <c r="O3317">
        <v>13.0172617519017</v>
      </c>
      <c r="P3317">
        <v>0.83158015768912497</v>
      </c>
      <c r="Q3317">
        <v>0.40307185764661102</v>
      </c>
      <c r="R3317">
        <v>1.26008845773164</v>
      </c>
      <c r="S3317">
        <v>12.727201940477901</v>
      </c>
      <c r="T3317">
        <v>4.0788467915930697</v>
      </c>
      <c r="U3317">
        <v>-0.76214666805159903</v>
      </c>
      <c r="V3317">
        <v>7.1207360511727803E-4</v>
      </c>
      <c r="W3317">
        <v>2.4181438345207199E-2</v>
      </c>
      <c r="X3317">
        <v>0</v>
      </c>
      <c r="Y3317">
        <v>0</v>
      </c>
    </row>
    <row r="3318" spans="1:25" x14ac:dyDescent="0.2">
      <c r="A3318" t="s">
        <v>12253</v>
      </c>
      <c r="B3318" t="s">
        <v>12254</v>
      </c>
      <c r="C3318" t="s">
        <v>12255</v>
      </c>
      <c r="D3318" t="s">
        <v>12256</v>
      </c>
      <c r="E3318" t="s">
        <v>12254</v>
      </c>
      <c r="F3318" t="s">
        <v>28</v>
      </c>
      <c r="G3318" t="s">
        <v>12254</v>
      </c>
      <c r="H3318" t="str">
        <f>"ribo-1"</f>
        <v>ribo-1</v>
      </c>
      <c r="I3318" t="s">
        <v>12256</v>
      </c>
      <c r="J3318">
        <v>16.642881418201501</v>
      </c>
      <c r="K3318">
        <v>16.546228621687401</v>
      </c>
      <c r="L3318">
        <v>16.335822000977402</v>
      </c>
      <c r="M3318">
        <v>16.460303636293101</v>
      </c>
      <c r="N3318">
        <v>16.283570454675999</v>
      </c>
      <c r="O3318">
        <v>16.5302212686024</v>
      </c>
      <c r="P3318">
        <v>-8.3612227098218E-2</v>
      </c>
      <c r="Q3318">
        <v>-0.41673303561456898</v>
      </c>
      <c r="R3318">
        <v>0.24950858141813301</v>
      </c>
      <c r="S3318">
        <v>15.906736933205799</v>
      </c>
      <c r="T3318">
        <v>-0.52754625299008395</v>
      </c>
      <c r="U3318">
        <v>-6.7382063963436902</v>
      </c>
      <c r="V3318">
        <v>0.60429430138742601</v>
      </c>
      <c r="W3318">
        <v>0.96966800145484799</v>
      </c>
      <c r="X3318">
        <v>0</v>
      </c>
      <c r="Y3318">
        <v>0</v>
      </c>
    </row>
    <row r="3319" spans="1:25" x14ac:dyDescent="0.2">
      <c r="A3319" t="s">
        <v>12257</v>
      </c>
      <c r="B3319" t="s">
        <v>12258</v>
      </c>
      <c r="C3319" t="s">
        <v>12259</v>
      </c>
      <c r="D3319" t="s">
        <v>12260</v>
      </c>
      <c r="E3319" t="s">
        <v>12258</v>
      </c>
      <c r="F3319" t="s">
        <v>28</v>
      </c>
      <c r="G3319" t="s">
        <v>12258</v>
      </c>
      <c r="H3319" t="str">
        <f>"rpn-1"</f>
        <v>rpn-1</v>
      </c>
      <c r="I3319" t="s">
        <v>12260</v>
      </c>
      <c r="J3319">
        <v>15.040139929064299</v>
      </c>
      <c r="K3319">
        <v>14.9363605011171</v>
      </c>
      <c r="L3319">
        <v>14.917817195096699</v>
      </c>
      <c r="M3319">
        <v>14.7785659138752</v>
      </c>
      <c r="N3319">
        <v>14.8128896882702</v>
      </c>
      <c r="O3319">
        <v>14.9549613734559</v>
      </c>
      <c r="P3319">
        <v>-0.115966883225591</v>
      </c>
      <c r="Q3319">
        <v>-0.436204181630099</v>
      </c>
      <c r="R3319">
        <v>0.204270415178918</v>
      </c>
      <c r="S3319">
        <v>14.714640318591201</v>
      </c>
      <c r="T3319">
        <v>-0.76112254261086798</v>
      </c>
      <c r="U3319">
        <v>-6.5846480388112099</v>
      </c>
      <c r="V3319">
        <v>0.45649727840106702</v>
      </c>
      <c r="W3319">
        <v>0.92701205554747701</v>
      </c>
      <c r="X3319">
        <v>0</v>
      </c>
      <c r="Y3319">
        <v>0</v>
      </c>
    </row>
    <row r="3320" spans="1:25" x14ac:dyDescent="0.2">
      <c r="A3320" t="s">
        <v>12261</v>
      </c>
      <c r="B3320" t="s">
        <v>12262</v>
      </c>
      <c r="C3320" t="s">
        <v>14658</v>
      </c>
      <c r="D3320" t="s">
        <v>12263</v>
      </c>
      <c r="E3320" t="s">
        <v>12262</v>
      </c>
      <c r="F3320" t="s">
        <v>28</v>
      </c>
      <c r="G3320" t="s">
        <v>12262</v>
      </c>
      <c r="H3320" t="str">
        <f>"F52G3.1"</f>
        <v>F52G3.1</v>
      </c>
      <c r="I3320" t="s">
        <v>12263</v>
      </c>
      <c r="J3320">
        <v>11.2913126638422</v>
      </c>
      <c r="K3320">
        <v>12.1452961407589</v>
      </c>
      <c r="L3320">
        <v>12.400157634155301</v>
      </c>
      <c r="M3320">
        <v>10.784279562385599</v>
      </c>
      <c r="N3320">
        <v>11.5473467739544</v>
      </c>
      <c r="O3320">
        <v>11.049503682808499</v>
      </c>
      <c r="P3320">
        <v>-0.81854547320261195</v>
      </c>
      <c r="Q3320">
        <v>-2.1466638104139202</v>
      </c>
      <c r="R3320">
        <v>0.50957286400870005</v>
      </c>
      <c r="S3320">
        <v>12.3397917101752</v>
      </c>
      <c r="T3320">
        <v>-1.3144608146760199</v>
      </c>
      <c r="U3320">
        <v>-6.0197489307342202</v>
      </c>
      <c r="V3320">
        <v>0.20857292662135099</v>
      </c>
      <c r="W3320">
        <v>0.79180661593008295</v>
      </c>
      <c r="X3320">
        <v>0</v>
      </c>
      <c r="Y3320">
        <v>0</v>
      </c>
    </row>
    <row r="3321" spans="1:25" x14ac:dyDescent="0.2">
      <c r="A3321" t="s">
        <v>12264</v>
      </c>
      <c r="B3321" t="s">
        <v>12265</v>
      </c>
      <c r="C3321" t="s">
        <v>12266</v>
      </c>
      <c r="D3321" t="s">
        <v>12267</v>
      </c>
      <c r="E3321" t="s">
        <v>12265</v>
      </c>
      <c r="F3321" t="s">
        <v>28</v>
      </c>
      <c r="G3321" t="s">
        <v>12265</v>
      </c>
      <c r="H3321" t="str">
        <f>"plk-2"</f>
        <v>plk-2</v>
      </c>
      <c r="I3321" t="s">
        <v>12267</v>
      </c>
      <c r="J3321">
        <v>10.874619122063701</v>
      </c>
      <c r="K3321">
        <v>11.6656582288542</v>
      </c>
      <c r="L3321">
        <v>12.1368657749622</v>
      </c>
      <c r="M3321">
        <v>12.272194002053199</v>
      </c>
      <c r="N3321">
        <v>12.0213103013749</v>
      </c>
      <c r="O3321">
        <v>11.3023518477215</v>
      </c>
      <c r="P3321">
        <v>0.30623767508983801</v>
      </c>
      <c r="Q3321">
        <v>-0.50634729778528598</v>
      </c>
      <c r="R3321">
        <v>1.1188226479649599</v>
      </c>
      <c r="S3321">
        <v>12.2393344145603</v>
      </c>
      <c r="T3321">
        <v>0.79935438584623897</v>
      </c>
      <c r="U3321">
        <v>-6.5530542344261598</v>
      </c>
      <c r="V3321">
        <v>0.435868055954726</v>
      </c>
      <c r="W3321">
        <v>0.91691001805079497</v>
      </c>
      <c r="X3321">
        <v>0</v>
      </c>
      <c r="Y3321">
        <v>0</v>
      </c>
    </row>
    <row r="3322" spans="1:25" x14ac:dyDescent="0.2">
      <c r="A3322" t="s">
        <v>12268</v>
      </c>
      <c r="B3322" t="s">
        <v>12269</v>
      </c>
      <c r="C3322" t="s">
        <v>14659</v>
      </c>
      <c r="D3322" t="s">
        <v>3358</v>
      </c>
      <c r="E3322" t="s">
        <v>12269</v>
      </c>
      <c r="F3322" t="s">
        <v>28</v>
      </c>
      <c r="G3322" t="s">
        <v>12269</v>
      </c>
      <c r="H3322" t="str">
        <f>"Y9C9A.8"</f>
        <v>Y9C9A.8</v>
      </c>
      <c r="I3322" t="s">
        <v>3358</v>
      </c>
      <c r="J3322" t="s">
        <v>29</v>
      </c>
      <c r="K3322">
        <v>12.7801315046535</v>
      </c>
      <c r="L3322" t="s">
        <v>29</v>
      </c>
      <c r="M3322" t="s">
        <v>29</v>
      </c>
      <c r="N3322" t="s">
        <v>29</v>
      </c>
      <c r="O3322" t="s">
        <v>29</v>
      </c>
      <c r="P3322" t="s">
        <v>29</v>
      </c>
      <c r="Q3322" t="s">
        <v>29</v>
      </c>
      <c r="R3322" t="s">
        <v>29</v>
      </c>
      <c r="S3322">
        <v>12.891835165246301</v>
      </c>
      <c r="T3322" t="s">
        <v>29</v>
      </c>
      <c r="U3322" t="s">
        <v>29</v>
      </c>
      <c r="V3322" t="s">
        <v>29</v>
      </c>
      <c r="W3322" t="s">
        <v>29</v>
      </c>
      <c r="X3322" t="s">
        <v>29</v>
      </c>
      <c r="Y3322" t="s">
        <v>29</v>
      </c>
    </row>
    <row r="3323" spans="1:25" x14ac:dyDescent="0.2">
      <c r="A3323" t="s">
        <v>12270</v>
      </c>
      <c r="B3323" t="s">
        <v>12271</v>
      </c>
      <c r="C3323" t="s">
        <v>12272</v>
      </c>
      <c r="D3323" t="s">
        <v>12273</v>
      </c>
      <c r="E3323" t="s">
        <v>12271</v>
      </c>
      <c r="F3323" t="s">
        <v>28</v>
      </c>
      <c r="G3323" t="s">
        <v>12271</v>
      </c>
      <c r="H3323" t="str">
        <f>"gpa-16"</f>
        <v>gpa-16</v>
      </c>
      <c r="I3323" t="s">
        <v>12273</v>
      </c>
      <c r="J3323">
        <v>12.720309891230499</v>
      </c>
      <c r="K3323">
        <v>13.062870952821401</v>
      </c>
      <c r="L3323">
        <v>12.3734813742194</v>
      </c>
      <c r="M3323">
        <v>12.3792382941837</v>
      </c>
      <c r="N3323">
        <v>12.2180451494929</v>
      </c>
      <c r="O3323">
        <v>12.491955542071601</v>
      </c>
      <c r="P3323">
        <v>-0.35580774417438998</v>
      </c>
      <c r="Q3323">
        <v>-1.2269250431173699</v>
      </c>
      <c r="R3323">
        <v>0.51530955476858598</v>
      </c>
      <c r="S3323">
        <v>12.1121132211281</v>
      </c>
      <c r="T3323">
        <v>-0.86633984267424802</v>
      </c>
      <c r="U3323">
        <v>-6.4968499259007002</v>
      </c>
      <c r="V3323">
        <v>0.39919263591467102</v>
      </c>
      <c r="W3323">
        <v>0.91027279600179201</v>
      </c>
      <c r="X3323">
        <v>0</v>
      </c>
      <c r="Y3323">
        <v>0</v>
      </c>
    </row>
    <row r="3324" spans="1:25" x14ac:dyDescent="0.2">
      <c r="A3324" t="s">
        <v>12274</v>
      </c>
      <c r="B3324" t="s">
        <v>12275</v>
      </c>
      <c r="C3324" t="s">
        <v>12276</v>
      </c>
      <c r="D3324" t="s">
        <v>12277</v>
      </c>
      <c r="E3324" t="s">
        <v>12275</v>
      </c>
      <c r="F3324" t="s">
        <v>28</v>
      </c>
      <c r="G3324" t="s">
        <v>12275</v>
      </c>
      <c r="H3324" t="str">
        <f>"pde-6"</f>
        <v>pde-6</v>
      </c>
      <c r="I3324" t="s">
        <v>12277</v>
      </c>
      <c r="J3324">
        <v>12.519698107897099</v>
      </c>
      <c r="K3324">
        <v>12.847138498575699</v>
      </c>
      <c r="L3324">
        <v>12.416396236792</v>
      </c>
      <c r="M3324">
        <v>12.8907448776866</v>
      </c>
      <c r="N3324">
        <v>12.821780060868701</v>
      </c>
      <c r="O3324">
        <v>12.2982406184142</v>
      </c>
      <c r="P3324">
        <v>7.5844237901568703E-2</v>
      </c>
      <c r="Q3324">
        <v>-0.49041531398216998</v>
      </c>
      <c r="R3324">
        <v>0.64210378978530702</v>
      </c>
      <c r="S3324">
        <v>12.619097796483199</v>
      </c>
      <c r="T3324">
        <v>0.28272034624131098</v>
      </c>
      <c r="U3324">
        <v>-6.84069486761934</v>
      </c>
      <c r="V3324">
        <v>0.78082575548226496</v>
      </c>
      <c r="W3324">
        <v>0.99278624068726296</v>
      </c>
      <c r="X3324">
        <v>0</v>
      </c>
      <c r="Y3324">
        <v>0</v>
      </c>
    </row>
    <row r="3325" spans="1:25" x14ac:dyDescent="0.2">
      <c r="A3325" t="s">
        <v>12278</v>
      </c>
      <c r="B3325" t="s">
        <v>12279</v>
      </c>
      <c r="C3325" t="s">
        <v>14660</v>
      </c>
      <c r="D3325" t="s">
        <v>12280</v>
      </c>
      <c r="E3325" t="s">
        <v>12279</v>
      </c>
      <c r="F3325" t="s">
        <v>28</v>
      </c>
      <c r="G3325" t="s">
        <v>12279</v>
      </c>
      <c r="H3325" t="str">
        <f>"Y74C10AL.2"</f>
        <v>Y74C10AL.2</v>
      </c>
      <c r="I3325" t="s">
        <v>12280</v>
      </c>
      <c r="J3325">
        <v>11.9205361296753</v>
      </c>
      <c r="K3325">
        <v>11.892297610637099</v>
      </c>
      <c r="L3325">
        <v>12.5893261304397</v>
      </c>
      <c r="M3325" t="s">
        <v>29</v>
      </c>
      <c r="N3325" t="s">
        <v>29</v>
      </c>
      <c r="O3325" t="s">
        <v>29</v>
      </c>
      <c r="P3325" t="s">
        <v>29</v>
      </c>
      <c r="Q3325" t="s">
        <v>29</v>
      </c>
      <c r="R3325" t="s">
        <v>29</v>
      </c>
      <c r="S3325">
        <v>13.001809597421</v>
      </c>
      <c r="T3325" t="s">
        <v>29</v>
      </c>
      <c r="U3325" t="s">
        <v>29</v>
      </c>
      <c r="V3325" t="s">
        <v>29</v>
      </c>
      <c r="W3325" t="s">
        <v>29</v>
      </c>
      <c r="X3325" t="s">
        <v>29</v>
      </c>
      <c r="Y3325" t="s">
        <v>29</v>
      </c>
    </row>
    <row r="3326" spans="1:25" x14ac:dyDescent="0.2">
      <c r="A3326" t="s">
        <v>12281</v>
      </c>
      <c r="B3326" t="s">
        <v>12282</v>
      </c>
      <c r="C3326" t="s">
        <v>12283</v>
      </c>
      <c r="D3326" t="s">
        <v>12284</v>
      </c>
      <c r="E3326" t="s">
        <v>12282</v>
      </c>
      <c r="F3326" t="s">
        <v>28</v>
      </c>
      <c r="G3326" t="s">
        <v>12282</v>
      </c>
      <c r="H3326" t="str">
        <f>"wwp-1"</f>
        <v>wwp-1</v>
      </c>
      <c r="I3326" t="s">
        <v>12284</v>
      </c>
      <c r="J3326">
        <v>13.607078516671001</v>
      </c>
      <c r="K3326">
        <v>13.4856405900188</v>
      </c>
      <c r="L3326">
        <v>13.9146659644676</v>
      </c>
      <c r="M3326">
        <v>13.5708443725061</v>
      </c>
      <c r="N3326">
        <v>13.6994450690886</v>
      </c>
      <c r="O3326">
        <v>13.213974337221201</v>
      </c>
      <c r="P3326">
        <v>-0.17437376411384301</v>
      </c>
      <c r="Q3326">
        <v>-0.63500885473889301</v>
      </c>
      <c r="R3326">
        <v>0.286261326511206</v>
      </c>
      <c r="S3326">
        <v>13.686106764966899</v>
      </c>
      <c r="T3326">
        <v>-0.79564005138840299</v>
      </c>
      <c r="U3326">
        <v>-6.5575006735315604</v>
      </c>
      <c r="V3326">
        <v>0.43666869269199299</v>
      </c>
      <c r="W3326">
        <v>0.91691001805079497</v>
      </c>
      <c r="X3326">
        <v>0</v>
      </c>
      <c r="Y3326">
        <v>0</v>
      </c>
    </row>
    <row r="3327" spans="1:25" x14ac:dyDescent="0.2">
      <c r="A3327" t="s">
        <v>12285</v>
      </c>
      <c r="B3327" t="s">
        <v>12286</v>
      </c>
      <c r="C3327" t="s">
        <v>12287</v>
      </c>
      <c r="D3327" t="s">
        <v>12288</v>
      </c>
      <c r="E3327" t="s">
        <v>12286</v>
      </c>
      <c r="F3327" t="s">
        <v>28</v>
      </c>
      <c r="G3327" t="s">
        <v>12286</v>
      </c>
      <c r="H3327" t="str">
        <f>"deps-1"</f>
        <v>deps-1</v>
      </c>
      <c r="I3327" t="s">
        <v>12288</v>
      </c>
      <c r="J3327">
        <v>14.5573135268539</v>
      </c>
      <c r="K3327">
        <v>14.3944146718105</v>
      </c>
      <c r="L3327">
        <v>14.3984164761139</v>
      </c>
      <c r="M3327">
        <v>14.309629325355401</v>
      </c>
      <c r="N3327">
        <v>13.9211525617467</v>
      </c>
      <c r="O3327">
        <v>14.6208692030061</v>
      </c>
      <c r="P3327">
        <v>-0.166164528223334</v>
      </c>
      <c r="Q3327">
        <v>-0.582585421150143</v>
      </c>
      <c r="R3327">
        <v>0.25025636470347501</v>
      </c>
      <c r="S3327">
        <v>14.567734573616001</v>
      </c>
      <c r="T3327">
        <v>-0.846360404737452</v>
      </c>
      <c r="U3327">
        <v>-6.5140462119524098</v>
      </c>
      <c r="V3327">
        <v>0.40991336318525501</v>
      </c>
      <c r="W3327">
        <v>0.91512503332874395</v>
      </c>
      <c r="X3327">
        <v>0</v>
      </c>
      <c r="Y3327">
        <v>0</v>
      </c>
    </row>
    <row r="3328" spans="1:25" x14ac:dyDescent="0.2">
      <c r="A3328" t="s">
        <v>12289</v>
      </c>
      <c r="B3328" t="s">
        <v>12290</v>
      </c>
      <c r="C3328" t="s">
        <v>14661</v>
      </c>
      <c r="D3328" t="s">
        <v>12291</v>
      </c>
      <c r="E3328" t="s">
        <v>12290</v>
      </c>
      <c r="F3328" t="s">
        <v>28</v>
      </c>
      <c r="G3328" t="s">
        <v>12290</v>
      </c>
      <c r="H3328" t="str">
        <f>"Y61A9LA.10"</f>
        <v>Y61A9LA.10</v>
      </c>
      <c r="I3328" t="s">
        <v>12291</v>
      </c>
      <c r="J3328">
        <v>14.507632836791901</v>
      </c>
      <c r="K3328">
        <v>14.495560181134801</v>
      </c>
      <c r="L3328">
        <v>14.603942200093501</v>
      </c>
      <c r="M3328">
        <v>14.5629699230581</v>
      </c>
      <c r="N3328">
        <v>14.5060850568806</v>
      </c>
      <c r="O3328">
        <v>14.394764604783701</v>
      </c>
      <c r="P3328">
        <v>-4.7771877765992302E-2</v>
      </c>
      <c r="Q3328">
        <v>-0.437856805344434</v>
      </c>
      <c r="R3328">
        <v>0.34231304981244998</v>
      </c>
      <c r="S3328">
        <v>14.481145209264801</v>
      </c>
      <c r="T3328">
        <v>-0.25850155240177503</v>
      </c>
      <c r="U3328">
        <v>-6.8475350769618197</v>
      </c>
      <c r="V3328">
        <v>0.799142705510829</v>
      </c>
      <c r="W3328">
        <v>0.99278624068726296</v>
      </c>
      <c r="X3328">
        <v>0</v>
      </c>
      <c r="Y3328">
        <v>0</v>
      </c>
    </row>
    <row r="3329" spans="1:25" x14ac:dyDescent="0.2">
      <c r="A3329" t="s">
        <v>12292</v>
      </c>
      <c r="B3329" t="s">
        <v>12293</v>
      </c>
      <c r="C3329" t="s">
        <v>14662</v>
      </c>
      <c r="D3329" t="s">
        <v>107</v>
      </c>
      <c r="E3329" t="s">
        <v>12293</v>
      </c>
      <c r="F3329" t="s">
        <v>28</v>
      </c>
      <c r="G3329" t="s">
        <v>12293</v>
      </c>
      <c r="H3329" t="str">
        <f>"Y61A9LA.1"</f>
        <v>Y61A9LA.1</v>
      </c>
      <c r="I3329" t="s">
        <v>107</v>
      </c>
      <c r="J3329">
        <v>10.6206066489977</v>
      </c>
      <c r="K3329">
        <v>10.8110042783818</v>
      </c>
      <c r="L3329">
        <v>10.667930151764301</v>
      </c>
      <c r="M3329">
        <v>10.412091120235599</v>
      </c>
      <c r="N3329">
        <v>10.834697981484901</v>
      </c>
      <c r="O3329" t="s">
        <v>29</v>
      </c>
      <c r="P3329">
        <v>-7.6452475521014293E-2</v>
      </c>
      <c r="Q3329">
        <v>-0.75070142304716003</v>
      </c>
      <c r="R3329">
        <v>0.59779647200513097</v>
      </c>
      <c r="S3329">
        <v>11.0609502042684</v>
      </c>
      <c r="T3329">
        <v>-0.24336782901711501</v>
      </c>
      <c r="U3329">
        <v>-6.7409350363277998</v>
      </c>
      <c r="V3329">
        <v>0.81127661183674105</v>
      </c>
      <c r="W3329">
        <v>0.99278624068726296</v>
      </c>
      <c r="X3329">
        <v>0</v>
      </c>
      <c r="Y3329">
        <v>0</v>
      </c>
    </row>
    <row r="3330" spans="1:25" x14ac:dyDescent="0.2">
      <c r="A3330" t="s">
        <v>12294</v>
      </c>
      <c r="B3330" t="s">
        <v>12295</v>
      </c>
      <c r="C3330" t="s">
        <v>12296</v>
      </c>
      <c r="D3330" t="s">
        <v>12297</v>
      </c>
      <c r="E3330" t="s">
        <v>12295</v>
      </c>
      <c r="F3330" t="s">
        <v>28</v>
      </c>
      <c r="G3330" t="s">
        <v>12295</v>
      </c>
      <c r="H3330" t="str">
        <f>"catp-7"</f>
        <v>catp-7</v>
      </c>
      <c r="I3330" t="s">
        <v>12297</v>
      </c>
      <c r="J3330">
        <v>11.561771614881399</v>
      </c>
      <c r="K3330">
        <v>12.5991125717874</v>
      </c>
      <c r="L3330">
        <v>12.668889581680901</v>
      </c>
      <c r="M3330" t="s">
        <v>29</v>
      </c>
      <c r="N3330">
        <v>12.504926190745801</v>
      </c>
      <c r="O3330">
        <v>12.344477273481999</v>
      </c>
      <c r="P3330">
        <v>0.14811047599730501</v>
      </c>
      <c r="Q3330">
        <v>-0.69986479313135797</v>
      </c>
      <c r="R3330">
        <v>0.99608574512596704</v>
      </c>
      <c r="S3330">
        <v>12.410236318287801</v>
      </c>
      <c r="T3330">
        <v>0.37251537055241501</v>
      </c>
      <c r="U3330">
        <v>-6.6994571232018396</v>
      </c>
      <c r="V3330">
        <v>0.71475627365708305</v>
      </c>
      <c r="W3330">
        <v>0.98786722894487999</v>
      </c>
      <c r="X3330">
        <v>0</v>
      </c>
      <c r="Y3330">
        <v>0</v>
      </c>
    </row>
    <row r="3331" spans="1:25" x14ac:dyDescent="0.2">
      <c r="A3331" t="s">
        <v>12298</v>
      </c>
      <c r="B3331" t="s">
        <v>12299</v>
      </c>
      <c r="C3331" t="s">
        <v>12300</v>
      </c>
      <c r="D3331" t="s">
        <v>12301</v>
      </c>
      <c r="E3331" t="s">
        <v>12299</v>
      </c>
      <c r="F3331" t="s">
        <v>28</v>
      </c>
      <c r="G3331" t="s">
        <v>12299</v>
      </c>
      <c r="H3331" t="str">
        <f>"mdt-6"</f>
        <v>mdt-6</v>
      </c>
      <c r="I3331" t="s">
        <v>12301</v>
      </c>
      <c r="J3331">
        <v>12.270189890492199</v>
      </c>
      <c r="K3331">
        <v>12.6136441941117</v>
      </c>
      <c r="L3331">
        <v>12.5892429457534</v>
      </c>
      <c r="M3331">
        <v>13.8846705544627</v>
      </c>
      <c r="N3331">
        <v>13.538132683216199</v>
      </c>
      <c r="O3331">
        <v>13.344443032727099</v>
      </c>
      <c r="P3331">
        <v>1.0980564133495501</v>
      </c>
      <c r="Q3331">
        <v>0.41741862242098499</v>
      </c>
      <c r="R3331">
        <v>1.77869420427811</v>
      </c>
      <c r="S3331">
        <v>13.0952580821571</v>
      </c>
      <c r="T3331">
        <v>3.42182759235491</v>
      </c>
      <c r="U3331">
        <v>-2.28377459633814</v>
      </c>
      <c r="V3331">
        <v>3.5234638259856298E-3</v>
      </c>
      <c r="W3331">
        <v>8.2000612677483695E-2</v>
      </c>
      <c r="X3331">
        <v>1</v>
      </c>
      <c r="Y3331">
        <v>0</v>
      </c>
    </row>
    <row r="3332" spans="1:25" x14ac:dyDescent="0.2">
      <c r="A3332" t="s">
        <v>12302</v>
      </c>
      <c r="B3332" t="s">
        <v>12303</v>
      </c>
      <c r="C3332" t="s">
        <v>14663</v>
      </c>
      <c r="D3332" t="s">
        <v>12304</v>
      </c>
      <c r="E3332" t="s">
        <v>12303</v>
      </c>
      <c r="F3332" t="s">
        <v>28</v>
      </c>
      <c r="G3332" t="s">
        <v>12303</v>
      </c>
      <c r="H3332" t="str">
        <f>"Y55F3BR.1"</f>
        <v>Y55F3BR.1</v>
      </c>
      <c r="I3332" t="s">
        <v>12304</v>
      </c>
      <c r="J3332">
        <v>12.4393634999587</v>
      </c>
      <c r="K3332" t="s">
        <v>29</v>
      </c>
      <c r="L3332" t="s">
        <v>29</v>
      </c>
      <c r="M3332">
        <v>11.9303294041393</v>
      </c>
      <c r="N3332">
        <v>12.800571252009901</v>
      </c>
      <c r="O3332" t="s">
        <v>29</v>
      </c>
      <c r="P3332">
        <v>-7.3913171884134599E-2</v>
      </c>
      <c r="Q3332">
        <v>-1.0015798851680799</v>
      </c>
      <c r="R3332">
        <v>0.85375354139980997</v>
      </c>
      <c r="S3332">
        <v>12.7911631773287</v>
      </c>
      <c r="T3332">
        <v>-0.17557293118039999</v>
      </c>
      <c r="U3332">
        <v>-6.4670079260365601</v>
      </c>
      <c r="V3332">
        <v>0.86385003037812502</v>
      </c>
      <c r="W3332">
        <v>0.99396806223294298</v>
      </c>
      <c r="X3332">
        <v>0</v>
      </c>
      <c r="Y3332">
        <v>0</v>
      </c>
    </row>
    <row r="3333" spans="1:25" x14ac:dyDescent="0.2">
      <c r="A3333" t="s">
        <v>12305</v>
      </c>
      <c r="B3333" t="s">
        <v>12306</v>
      </c>
      <c r="C3333" t="s">
        <v>12307</v>
      </c>
      <c r="D3333" t="s">
        <v>12308</v>
      </c>
      <c r="E3333" t="s">
        <v>12306</v>
      </c>
      <c r="F3333" t="s">
        <v>28</v>
      </c>
      <c r="G3333" t="s">
        <v>12306</v>
      </c>
      <c r="H3333" t="str">
        <f>"cox-18"</f>
        <v>cox-18</v>
      </c>
      <c r="I3333" t="s">
        <v>12308</v>
      </c>
      <c r="J3333">
        <v>14.4272818256321</v>
      </c>
      <c r="K3333">
        <v>14.4025815337412</v>
      </c>
      <c r="L3333">
        <v>14.42539052877</v>
      </c>
      <c r="M3333">
        <v>14.3683354677227</v>
      </c>
      <c r="N3333">
        <v>14.465275169945301</v>
      </c>
      <c r="O3333">
        <v>14.401777601347099</v>
      </c>
      <c r="P3333">
        <v>-6.6218830427313699E-3</v>
      </c>
      <c r="Q3333">
        <v>-0.42480098595419202</v>
      </c>
      <c r="R3333">
        <v>0.41155721986872901</v>
      </c>
      <c r="S3333">
        <v>14.333487428845601</v>
      </c>
      <c r="T3333">
        <v>-3.3282174431312997E-2</v>
      </c>
      <c r="U3333">
        <v>-6.8819108197000496</v>
      </c>
      <c r="V3333">
        <v>0.97381798836922295</v>
      </c>
      <c r="W3333">
        <v>0.99968702248720698</v>
      </c>
      <c r="X3333">
        <v>0</v>
      </c>
      <c r="Y3333">
        <v>0</v>
      </c>
    </row>
    <row r="3334" spans="1:25" x14ac:dyDescent="0.2">
      <c r="A3334" t="s">
        <v>12309</v>
      </c>
      <c r="B3334" t="s">
        <v>12310</v>
      </c>
      <c r="C3334" t="s">
        <v>12311</v>
      </c>
      <c r="D3334" t="s">
        <v>12312</v>
      </c>
      <c r="E3334" t="s">
        <v>12310</v>
      </c>
      <c r="F3334" t="s">
        <v>28</v>
      </c>
      <c r="G3334" t="s">
        <v>12310</v>
      </c>
      <c r="H3334" t="str">
        <f>"cct-8"</f>
        <v>cct-8</v>
      </c>
      <c r="I3334" t="s">
        <v>12312</v>
      </c>
      <c r="J3334">
        <v>15.3794687417157</v>
      </c>
      <c r="K3334">
        <v>15.0150819691587</v>
      </c>
      <c r="L3334">
        <v>15.2398280536234</v>
      </c>
      <c r="M3334">
        <v>16.120481382174599</v>
      </c>
      <c r="N3334">
        <v>16.254255260077301</v>
      </c>
      <c r="O3334">
        <v>15.9388111240609</v>
      </c>
      <c r="P3334">
        <v>0.89305633393830397</v>
      </c>
      <c r="Q3334">
        <v>0.50190743612868904</v>
      </c>
      <c r="R3334">
        <v>1.28420523174792</v>
      </c>
      <c r="S3334">
        <v>15.3728180462269</v>
      </c>
      <c r="T3334">
        <v>4.7987625106280696</v>
      </c>
      <c r="U3334">
        <v>0.80773605260058101</v>
      </c>
      <c r="V3334">
        <v>1.4601801651122599E-4</v>
      </c>
      <c r="W3334">
        <v>6.9421136992765904E-3</v>
      </c>
      <c r="X3334">
        <v>0</v>
      </c>
      <c r="Y3334">
        <v>0</v>
      </c>
    </row>
    <row r="3335" spans="1:25" x14ac:dyDescent="0.2">
      <c r="A3335" t="s">
        <v>12313</v>
      </c>
      <c r="B3335" t="s">
        <v>12314</v>
      </c>
      <c r="C3335" t="s">
        <v>12315</v>
      </c>
      <c r="D3335" t="s">
        <v>12316</v>
      </c>
      <c r="E3335" t="s">
        <v>12314</v>
      </c>
      <c r="F3335" t="s">
        <v>28</v>
      </c>
      <c r="G3335" t="s">
        <v>12314</v>
      </c>
      <c r="H3335" t="str">
        <f>"csn-4"</f>
        <v>csn-4</v>
      </c>
      <c r="I3335" t="s">
        <v>12316</v>
      </c>
      <c r="J3335">
        <v>14.096500857192099</v>
      </c>
      <c r="K3335">
        <v>14.249569586523499</v>
      </c>
      <c r="L3335">
        <v>13.962261158127699</v>
      </c>
      <c r="M3335">
        <v>13.973755848102201</v>
      </c>
      <c r="N3335">
        <v>14.0519367561112</v>
      </c>
      <c r="O3335">
        <v>14.2186606788937</v>
      </c>
      <c r="P3335">
        <v>-2.1326106245389598E-2</v>
      </c>
      <c r="Q3335">
        <v>-0.387387707210754</v>
      </c>
      <c r="R3335">
        <v>0.344735494719975</v>
      </c>
      <c r="S3335">
        <v>14.013235069032</v>
      </c>
      <c r="T3335">
        <v>-0.12244749557253599</v>
      </c>
      <c r="U3335">
        <v>-6.8746588704529001</v>
      </c>
      <c r="V3335">
        <v>0.90390927525537601</v>
      </c>
      <c r="W3335">
        <v>0.99833354317360001</v>
      </c>
      <c r="X3335">
        <v>0</v>
      </c>
      <c r="Y3335">
        <v>0</v>
      </c>
    </row>
    <row r="3336" spans="1:25" x14ac:dyDescent="0.2">
      <c r="A3336" t="s">
        <v>12317</v>
      </c>
      <c r="B3336" t="s">
        <v>12318</v>
      </c>
      <c r="C3336" t="s">
        <v>12319</v>
      </c>
      <c r="D3336" t="s">
        <v>12320</v>
      </c>
      <c r="E3336" t="s">
        <v>12318</v>
      </c>
      <c r="F3336" t="s">
        <v>28</v>
      </c>
      <c r="G3336" t="s">
        <v>12318</v>
      </c>
      <c r="H3336" t="str">
        <f>"mrps-25"</f>
        <v>mrps-25</v>
      </c>
      <c r="I3336" t="s">
        <v>12320</v>
      </c>
      <c r="J3336" t="s">
        <v>29</v>
      </c>
      <c r="K3336" t="s">
        <v>29</v>
      </c>
      <c r="L3336" t="s">
        <v>29</v>
      </c>
      <c r="M3336">
        <v>12.6700783172609</v>
      </c>
      <c r="N3336" t="s">
        <v>29</v>
      </c>
      <c r="O3336" t="s">
        <v>29</v>
      </c>
      <c r="P3336" t="s">
        <v>29</v>
      </c>
      <c r="Q3336" t="s">
        <v>29</v>
      </c>
      <c r="R3336" t="s">
        <v>29</v>
      </c>
      <c r="S3336">
        <v>11.934927455709399</v>
      </c>
      <c r="T3336" t="s">
        <v>29</v>
      </c>
      <c r="U3336" t="s">
        <v>29</v>
      </c>
      <c r="V3336" t="s">
        <v>29</v>
      </c>
      <c r="W3336" t="s">
        <v>29</v>
      </c>
      <c r="X3336" t="s">
        <v>29</v>
      </c>
      <c r="Y3336" t="s">
        <v>29</v>
      </c>
    </row>
    <row r="3337" spans="1:25" x14ac:dyDescent="0.2">
      <c r="A3337" t="s">
        <v>12321</v>
      </c>
      <c r="B3337" t="s">
        <v>12322</v>
      </c>
      <c r="C3337" t="s">
        <v>14664</v>
      </c>
      <c r="D3337" t="s">
        <v>12323</v>
      </c>
      <c r="E3337" t="s">
        <v>12322</v>
      </c>
      <c r="F3337" t="s">
        <v>28</v>
      </c>
      <c r="G3337" t="s">
        <v>12322</v>
      </c>
      <c r="H3337" t="str">
        <f>"Y55F3AM.13"</f>
        <v>Y55F3AM.13</v>
      </c>
      <c r="I3337" t="s">
        <v>12323</v>
      </c>
      <c r="J3337">
        <v>15.572218055152501</v>
      </c>
      <c r="K3337">
        <v>15.3483874261208</v>
      </c>
      <c r="L3337">
        <v>15.3952394884602</v>
      </c>
      <c r="M3337">
        <v>16.121487374018201</v>
      </c>
      <c r="N3337">
        <v>16.0118588949457</v>
      </c>
      <c r="O3337">
        <v>15.911558027111999</v>
      </c>
      <c r="P3337">
        <v>0.57635310878078605</v>
      </c>
      <c r="Q3337">
        <v>0.18598087262145299</v>
      </c>
      <c r="R3337">
        <v>0.96672534494011897</v>
      </c>
      <c r="S3337">
        <v>15.2652175842295</v>
      </c>
      <c r="T3337">
        <v>3.1031461539801399</v>
      </c>
      <c r="U3337">
        <v>-2.8670761834972698</v>
      </c>
      <c r="V3337">
        <v>6.1688658009631699E-3</v>
      </c>
      <c r="W3337">
        <v>0.12831240866003399</v>
      </c>
      <c r="X3337">
        <v>0</v>
      </c>
      <c r="Y3337">
        <v>0</v>
      </c>
    </row>
    <row r="3338" spans="1:25" x14ac:dyDescent="0.2">
      <c r="A3338" t="s">
        <v>12324</v>
      </c>
      <c r="B3338" t="s">
        <v>12325</v>
      </c>
      <c r="C3338" t="s">
        <v>12326</v>
      </c>
      <c r="D3338" t="s">
        <v>12327</v>
      </c>
      <c r="E3338" t="s">
        <v>12325</v>
      </c>
      <c r="F3338" t="s">
        <v>28</v>
      </c>
      <c r="G3338" t="s">
        <v>12325</v>
      </c>
      <c r="H3338" t="str">
        <f>"dcap-1"</f>
        <v>dcap-1</v>
      </c>
      <c r="I3338" t="s">
        <v>12327</v>
      </c>
      <c r="J3338">
        <v>13.5933391512183</v>
      </c>
      <c r="K3338">
        <v>13.831502248622099</v>
      </c>
      <c r="L3338">
        <v>13.6590754445411</v>
      </c>
      <c r="M3338">
        <v>15.2862756911224</v>
      </c>
      <c r="N3338">
        <v>15.4849427425165</v>
      </c>
      <c r="O3338">
        <v>15.2161525099407</v>
      </c>
      <c r="P3338">
        <v>1.63448469973275</v>
      </c>
      <c r="Q3338">
        <v>0.834041448518552</v>
      </c>
      <c r="R3338">
        <v>2.4349279509469501</v>
      </c>
      <c r="S3338">
        <v>14.816122265869801</v>
      </c>
      <c r="T3338">
        <v>4.29183310526569</v>
      </c>
      <c r="U3338">
        <v>-0.29616432433877099</v>
      </c>
      <c r="V3338">
        <v>4.4422961338974203E-4</v>
      </c>
      <c r="W3338">
        <v>1.66111927343939E-2</v>
      </c>
      <c r="X3338">
        <v>1</v>
      </c>
      <c r="Y3338">
        <v>1</v>
      </c>
    </row>
    <row r="3339" spans="1:25" x14ac:dyDescent="0.2">
      <c r="A3339" t="s">
        <v>12328</v>
      </c>
      <c r="B3339" t="s">
        <v>12329</v>
      </c>
      <c r="C3339" t="s">
        <v>12330</v>
      </c>
      <c r="D3339" t="s">
        <v>93</v>
      </c>
      <c r="E3339" t="s">
        <v>12329</v>
      </c>
      <c r="F3339" t="s">
        <v>28</v>
      </c>
      <c r="G3339" t="s">
        <v>12329</v>
      </c>
      <c r="H3339" t="str">
        <f>"rbm-39"</f>
        <v>rbm-39</v>
      </c>
      <c r="I3339" t="s">
        <v>93</v>
      </c>
      <c r="J3339">
        <v>16.079845444456101</v>
      </c>
      <c r="K3339">
        <v>15.5890036156392</v>
      </c>
      <c r="L3339">
        <v>15.626531003328401</v>
      </c>
      <c r="M3339">
        <v>15.209810282230601</v>
      </c>
      <c r="N3339">
        <v>15.419985902373799</v>
      </c>
      <c r="O3339">
        <v>15.095605484119099</v>
      </c>
      <c r="P3339">
        <v>-0.52332613156670005</v>
      </c>
      <c r="Q3339">
        <v>-1.3344077263815599</v>
      </c>
      <c r="R3339">
        <v>0.28775546324816398</v>
      </c>
      <c r="S3339">
        <v>15.841758179470199</v>
      </c>
      <c r="T3339">
        <v>-1.3561270786558499</v>
      </c>
      <c r="U3339">
        <v>-5.9682845013328398</v>
      </c>
      <c r="V3339">
        <v>0.19192486891778901</v>
      </c>
      <c r="W3339">
        <v>0.78295732499061499</v>
      </c>
      <c r="X3339">
        <v>0</v>
      </c>
      <c r="Y3339">
        <v>0</v>
      </c>
    </row>
    <row r="3340" spans="1:25" x14ac:dyDescent="0.2">
      <c r="A3340" t="s">
        <v>12331</v>
      </c>
      <c r="B3340" t="s">
        <v>12332</v>
      </c>
      <c r="C3340" t="s">
        <v>12333</v>
      </c>
      <c r="D3340" t="s">
        <v>12334</v>
      </c>
      <c r="E3340" t="s">
        <v>12332</v>
      </c>
      <c r="F3340" t="s">
        <v>28</v>
      </c>
      <c r="G3340" t="s">
        <v>12332</v>
      </c>
      <c r="H3340" t="str">
        <f>"atg-3"</f>
        <v>atg-3</v>
      </c>
      <c r="I3340" t="s">
        <v>12334</v>
      </c>
      <c r="J3340" t="s">
        <v>29</v>
      </c>
      <c r="K3340" t="s">
        <v>29</v>
      </c>
      <c r="L3340">
        <v>11.544524448746699</v>
      </c>
      <c r="M3340" t="s">
        <v>29</v>
      </c>
      <c r="N3340" t="s">
        <v>29</v>
      </c>
      <c r="O3340" t="s">
        <v>29</v>
      </c>
      <c r="P3340" t="s">
        <v>29</v>
      </c>
      <c r="Q3340" t="s">
        <v>29</v>
      </c>
      <c r="R3340" t="s">
        <v>29</v>
      </c>
      <c r="S3340">
        <v>11.8317492686534</v>
      </c>
      <c r="T3340" t="s">
        <v>29</v>
      </c>
      <c r="U3340" t="s">
        <v>29</v>
      </c>
      <c r="V3340" t="s">
        <v>29</v>
      </c>
      <c r="W3340" t="s">
        <v>29</v>
      </c>
      <c r="X3340" t="s">
        <v>29</v>
      </c>
      <c r="Y3340" t="s">
        <v>29</v>
      </c>
    </row>
    <row r="3341" spans="1:25" x14ac:dyDescent="0.2">
      <c r="A3341" t="s">
        <v>12335</v>
      </c>
      <c r="B3341" t="s">
        <v>12336</v>
      </c>
      <c r="C3341" t="s">
        <v>14174</v>
      </c>
      <c r="D3341" t="s">
        <v>416</v>
      </c>
      <c r="E3341" t="s">
        <v>12336</v>
      </c>
      <c r="F3341" t="s">
        <v>28</v>
      </c>
      <c r="G3341" t="s">
        <v>12336</v>
      </c>
      <c r="H3341" t="str">
        <f>"Y55F3AM.9"</f>
        <v>Y55F3AM.9</v>
      </c>
      <c r="I3341" t="s">
        <v>416</v>
      </c>
      <c r="J3341">
        <v>11.632250062475901</v>
      </c>
      <c r="K3341" t="s">
        <v>29</v>
      </c>
      <c r="L3341">
        <v>11.243748697673</v>
      </c>
      <c r="M3341">
        <v>13.762931235451401</v>
      </c>
      <c r="N3341">
        <v>14.507588744828499</v>
      </c>
      <c r="O3341">
        <v>13.539971769295001</v>
      </c>
      <c r="P3341">
        <v>2.49883120311718</v>
      </c>
      <c r="Q3341">
        <v>1.5987119153518301</v>
      </c>
      <c r="R3341">
        <v>3.3989504908825299</v>
      </c>
      <c r="S3341">
        <v>12.762657337754201</v>
      </c>
      <c r="T3341">
        <v>6.0545499297224197</v>
      </c>
      <c r="U3341">
        <v>2.0459521796637099</v>
      </c>
      <c r="V3341" s="2">
        <v>5.9355221788218403E-5</v>
      </c>
      <c r="W3341">
        <v>3.0864715329873599E-3</v>
      </c>
      <c r="X3341">
        <v>1</v>
      </c>
      <c r="Y3341">
        <v>1</v>
      </c>
    </row>
    <row r="3342" spans="1:25" x14ac:dyDescent="0.2">
      <c r="A3342" t="s">
        <v>12337</v>
      </c>
      <c r="B3342" t="s">
        <v>12338</v>
      </c>
      <c r="C3342" t="s">
        <v>12339</v>
      </c>
      <c r="D3342" t="s">
        <v>12340</v>
      </c>
      <c r="E3342" t="s">
        <v>12338</v>
      </c>
      <c r="F3342" t="s">
        <v>28</v>
      </c>
      <c r="G3342" t="s">
        <v>12338</v>
      </c>
      <c r="H3342" t="str">
        <f>"lep-2"</f>
        <v>lep-2</v>
      </c>
      <c r="I3342" t="s">
        <v>12340</v>
      </c>
      <c r="J3342">
        <v>11.1441277245683</v>
      </c>
      <c r="K3342">
        <v>11.275980326547501</v>
      </c>
      <c r="L3342" t="s">
        <v>29</v>
      </c>
      <c r="M3342">
        <v>11.235820172607999</v>
      </c>
      <c r="N3342">
        <v>11.8590590410075</v>
      </c>
      <c r="O3342">
        <v>11.384532450372401</v>
      </c>
      <c r="P3342">
        <v>0.28308319577138302</v>
      </c>
      <c r="Q3342">
        <v>-0.341345323679348</v>
      </c>
      <c r="R3342">
        <v>0.90751171522211405</v>
      </c>
      <c r="S3342">
        <v>12.216053614925499</v>
      </c>
      <c r="T3342">
        <v>0.96156996444644605</v>
      </c>
      <c r="U3342">
        <v>-6.3008859576268099</v>
      </c>
      <c r="V3342">
        <v>0.35066641600943099</v>
      </c>
      <c r="W3342">
        <v>0.87950242192597095</v>
      </c>
      <c r="X3342">
        <v>0</v>
      </c>
      <c r="Y3342">
        <v>0</v>
      </c>
    </row>
    <row r="3343" spans="1:25" x14ac:dyDescent="0.2">
      <c r="A3343" t="s">
        <v>12341</v>
      </c>
      <c r="B3343" t="s">
        <v>12342</v>
      </c>
      <c r="C3343" t="s">
        <v>14665</v>
      </c>
      <c r="D3343" t="s">
        <v>587</v>
      </c>
      <c r="E3343" t="s">
        <v>12342</v>
      </c>
      <c r="F3343" t="s">
        <v>28</v>
      </c>
      <c r="G3343" t="s">
        <v>12342</v>
      </c>
      <c r="H3343" t="str">
        <f>"Y54F10AR.2"</f>
        <v>Y54F10AR.2</v>
      </c>
      <c r="I3343" t="s">
        <v>587</v>
      </c>
      <c r="J3343">
        <v>13.5263252227448</v>
      </c>
      <c r="K3343">
        <v>13.1945453131005</v>
      </c>
      <c r="L3343">
        <v>13.472577156937399</v>
      </c>
      <c r="M3343">
        <v>13.540290527541</v>
      </c>
      <c r="N3343">
        <v>13.6437674926971</v>
      </c>
      <c r="O3343">
        <v>13.4174411383073</v>
      </c>
      <c r="P3343">
        <v>0.13601715525424199</v>
      </c>
      <c r="Q3343">
        <v>-0.38416929532226202</v>
      </c>
      <c r="R3343">
        <v>0.656203605830746</v>
      </c>
      <c r="S3343">
        <v>13.4923410469797</v>
      </c>
      <c r="T3343">
        <v>0.55193084406127602</v>
      </c>
      <c r="U3343">
        <v>-6.7242606243209204</v>
      </c>
      <c r="V3343">
        <v>0.58822284794690805</v>
      </c>
      <c r="W3343">
        <v>0.963273565916412</v>
      </c>
      <c r="X3343">
        <v>0</v>
      </c>
      <c r="Y3343">
        <v>0</v>
      </c>
    </row>
    <row r="3344" spans="1:25" x14ac:dyDescent="0.2">
      <c r="A3344" t="s">
        <v>12343</v>
      </c>
      <c r="B3344" t="s">
        <v>12344</v>
      </c>
      <c r="C3344" t="s">
        <v>12345</v>
      </c>
      <c r="D3344" t="s">
        <v>12346</v>
      </c>
      <c r="E3344" t="s">
        <v>12344</v>
      </c>
      <c r="F3344" t="s">
        <v>28</v>
      </c>
      <c r="G3344" t="s">
        <v>12344</v>
      </c>
      <c r="H3344" t="str">
        <f>"rpb-7"</f>
        <v>rpb-7</v>
      </c>
      <c r="I3344" t="s">
        <v>12346</v>
      </c>
      <c r="J3344">
        <v>14.6071881246038</v>
      </c>
      <c r="K3344">
        <v>14.488820958945301</v>
      </c>
      <c r="L3344">
        <v>14.503235282617901</v>
      </c>
      <c r="M3344">
        <v>15.0747683293152</v>
      </c>
      <c r="N3344">
        <v>14.182667557263001</v>
      </c>
      <c r="O3344">
        <v>14.9040869991981</v>
      </c>
      <c r="P3344">
        <v>0.18742617320312499</v>
      </c>
      <c r="Q3344">
        <v>-0.537559231300204</v>
      </c>
      <c r="R3344">
        <v>0.91241157770645398</v>
      </c>
      <c r="S3344">
        <v>13.5319196731811</v>
      </c>
      <c r="T3344">
        <v>0.54336728608007101</v>
      </c>
      <c r="U3344">
        <v>-6.7294948010609996</v>
      </c>
      <c r="V3344">
        <v>0.59358181076731997</v>
      </c>
      <c r="W3344">
        <v>0.96457044249689505</v>
      </c>
      <c r="X3344">
        <v>0</v>
      </c>
      <c r="Y3344">
        <v>0</v>
      </c>
    </row>
    <row r="3345" spans="1:25" x14ac:dyDescent="0.2">
      <c r="A3345" t="s">
        <v>12347</v>
      </c>
      <c r="B3345" t="s">
        <v>12348</v>
      </c>
      <c r="C3345" t="s">
        <v>12349</v>
      </c>
      <c r="D3345" t="s">
        <v>12350</v>
      </c>
      <c r="E3345" t="s">
        <v>12348</v>
      </c>
      <c r="F3345" t="s">
        <v>28</v>
      </c>
      <c r="G3345" t="s">
        <v>12348</v>
      </c>
      <c r="H3345" t="str">
        <f>"sec-11"</f>
        <v>sec-11</v>
      </c>
      <c r="I3345" t="s">
        <v>12350</v>
      </c>
      <c r="J3345">
        <v>12.3567727787681</v>
      </c>
      <c r="K3345">
        <v>14.415372186775899</v>
      </c>
      <c r="L3345">
        <v>14.6049088881825</v>
      </c>
      <c r="M3345">
        <v>14.133611732675099</v>
      </c>
      <c r="N3345">
        <v>13.9490640836589</v>
      </c>
      <c r="O3345">
        <v>15.156931744066799</v>
      </c>
      <c r="P3345">
        <v>0.62085123555810495</v>
      </c>
      <c r="Q3345">
        <v>-0.33896826275966602</v>
      </c>
      <c r="R3345">
        <v>1.5806707338758701</v>
      </c>
      <c r="S3345">
        <v>14.2634901845343</v>
      </c>
      <c r="T3345">
        <v>1.3595353196867399</v>
      </c>
      <c r="U3345">
        <v>-5.9639048159083901</v>
      </c>
      <c r="V3345">
        <v>0.19086301174070899</v>
      </c>
      <c r="W3345">
        <v>0.78295732499061499</v>
      </c>
      <c r="X3345">
        <v>0</v>
      </c>
      <c r="Y3345">
        <v>0</v>
      </c>
    </row>
    <row r="3346" spans="1:25" x14ac:dyDescent="0.2">
      <c r="A3346" t="s">
        <v>12351</v>
      </c>
      <c r="B3346" t="s">
        <v>12352</v>
      </c>
      <c r="C3346" t="s">
        <v>14666</v>
      </c>
      <c r="D3346" t="s">
        <v>12353</v>
      </c>
      <c r="E3346" t="s">
        <v>12352</v>
      </c>
      <c r="F3346" t="s">
        <v>28</v>
      </c>
      <c r="G3346" t="s">
        <v>12352</v>
      </c>
      <c r="H3346" t="str">
        <f>"Y54E10BR.4"</f>
        <v>Y54E10BR.4</v>
      </c>
      <c r="I3346" t="s">
        <v>12353</v>
      </c>
      <c r="J3346" t="s">
        <v>29</v>
      </c>
      <c r="K3346" t="s">
        <v>29</v>
      </c>
      <c r="L3346" t="s">
        <v>29</v>
      </c>
      <c r="M3346" t="s">
        <v>29</v>
      </c>
      <c r="N3346" t="s">
        <v>29</v>
      </c>
      <c r="O3346" t="s">
        <v>29</v>
      </c>
      <c r="P3346" t="s">
        <v>29</v>
      </c>
      <c r="Q3346" t="s">
        <v>29</v>
      </c>
      <c r="R3346" t="s">
        <v>29</v>
      </c>
      <c r="S3346">
        <v>10.709771804039899</v>
      </c>
      <c r="T3346" t="s">
        <v>29</v>
      </c>
      <c r="U3346" t="s">
        <v>29</v>
      </c>
      <c r="V3346" t="s">
        <v>29</v>
      </c>
      <c r="W3346" t="s">
        <v>29</v>
      </c>
      <c r="X3346" t="s">
        <v>29</v>
      </c>
      <c r="Y3346" t="s">
        <v>29</v>
      </c>
    </row>
    <row r="3347" spans="1:25" x14ac:dyDescent="0.2">
      <c r="A3347" t="s">
        <v>12354</v>
      </c>
      <c r="B3347" t="s">
        <v>12355</v>
      </c>
      <c r="C3347" t="s">
        <v>12356</v>
      </c>
      <c r="D3347" t="s">
        <v>12357</v>
      </c>
      <c r="E3347" t="s">
        <v>12355</v>
      </c>
      <c r="F3347" t="s">
        <v>28</v>
      </c>
      <c r="G3347" t="s">
        <v>12355</v>
      </c>
      <c r="H3347" t="str">
        <f>"nduf-5"</f>
        <v>nduf-5</v>
      </c>
      <c r="I3347" t="s">
        <v>12357</v>
      </c>
      <c r="J3347">
        <v>13.261900024889099</v>
      </c>
      <c r="K3347">
        <v>13.185914859527401</v>
      </c>
      <c r="L3347">
        <v>12.582312818526701</v>
      </c>
      <c r="M3347">
        <v>13.1537740136484</v>
      </c>
      <c r="N3347">
        <v>12.886117145501199</v>
      </c>
      <c r="O3347">
        <v>12.708754514635899</v>
      </c>
      <c r="P3347">
        <v>-9.3827343052533194E-2</v>
      </c>
      <c r="Q3347">
        <v>-1.1081910656504399</v>
      </c>
      <c r="R3347">
        <v>0.92053637954537304</v>
      </c>
      <c r="S3347">
        <v>13.156512026489599</v>
      </c>
      <c r="T3347">
        <v>-0.19727739085346899</v>
      </c>
      <c r="U3347">
        <v>-6.8619651225707496</v>
      </c>
      <c r="V3347">
        <v>0.84627726329624597</v>
      </c>
      <c r="W3347">
        <v>0.99370971747667503</v>
      </c>
      <c r="X3347">
        <v>0</v>
      </c>
      <c r="Y3347">
        <v>0</v>
      </c>
    </row>
    <row r="3348" spans="1:25" x14ac:dyDescent="0.2">
      <c r="A3348" t="s">
        <v>12358</v>
      </c>
      <c r="B3348" t="s">
        <v>12359</v>
      </c>
      <c r="C3348" t="s">
        <v>12360</v>
      </c>
      <c r="D3348" t="s">
        <v>12361</v>
      </c>
      <c r="E3348" t="s">
        <v>12359</v>
      </c>
      <c r="F3348" t="s">
        <v>28</v>
      </c>
      <c r="G3348" t="s">
        <v>12359</v>
      </c>
      <c r="H3348" t="str">
        <f>"mab-31"</f>
        <v>mab-31</v>
      </c>
      <c r="I3348" t="s">
        <v>12361</v>
      </c>
      <c r="J3348">
        <v>11.8813441025611</v>
      </c>
      <c r="K3348">
        <v>12.3914904673819</v>
      </c>
      <c r="L3348">
        <v>12.318444748912199</v>
      </c>
      <c r="M3348">
        <v>12.397318848022</v>
      </c>
      <c r="N3348">
        <v>11.8603402584738</v>
      </c>
      <c r="O3348">
        <v>12.8922499738868</v>
      </c>
      <c r="P3348">
        <v>0.18620992050913501</v>
      </c>
      <c r="Q3348">
        <v>-0.50540929539503598</v>
      </c>
      <c r="R3348">
        <v>0.87782913641330695</v>
      </c>
      <c r="S3348">
        <v>12.986288234292701</v>
      </c>
      <c r="T3348">
        <v>0.571064671051287</v>
      </c>
      <c r="U3348">
        <v>-6.7127142854041502</v>
      </c>
      <c r="V3348">
        <v>0.57594165958343602</v>
      </c>
      <c r="W3348">
        <v>0.96066330075004902</v>
      </c>
      <c r="X3348">
        <v>0</v>
      </c>
      <c r="Y3348">
        <v>0</v>
      </c>
    </row>
    <row r="3349" spans="1:25" x14ac:dyDescent="0.2">
      <c r="A3349" t="s">
        <v>12362</v>
      </c>
      <c r="B3349" t="s">
        <v>12363</v>
      </c>
      <c r="C3349" t="s">
        <v>12364</v>
      </c>
      <c r="D3349" t="s">
        <v>66</v>
      </c>
      <c r="E3349" t="s">
        <v>12363</v>
      </c>
      <c r="F3349" t="s">
        <v>28</v>
      </c>
      <c r="G3349" t="s">
        <v>12363</v>
      </c>
      <c r="H3349" t="str">
        <f>"syp-5"</f>
        <v>syp-5</v>
      </c>
      <c r="I3349" t="s">
        <v>66</v>
      </c>
      <c r="J3349" t="s">
        <v>29</v>
      </c>
      <c r="K3349" t="s">
        <v>29</v>
      </c>
      <c r="L3349" t="s">
        <v>29</v>
      </c>
      <c r="M3349" t="s">
        <v>29</v>
      </c>
      <c r="N3349" t="s">
        <v>29</v>
      </c>
      <c r="O3349" t="s">
        <v>29</v>
      </c>
      <c r="P3349" t="s">
        <v>29</v>
      </c>
      <c r="Q3349" t="s">
        <v>29</v>
      </c>
      <c r="R3349" t="s">
        <v>29</v>
      </c>
      <c r="S3349">
        <v>11.438599625527299</v>
      </c>
      <c r="T3349" t="s">
        <v>29</v>
      </c>
      <c r="U3349" t="s">
        <v>29</v>
      </c>
      <c r="V3349" t="s">
        <v>29</v>
      </c>
      <c r="W3349" t="s">
        <v>29</v>
      </c>
      <c r="X3349" t="s">
        <v>29</v>
      </c>
      <c r="Y3349" t="s">
        <v>29</v>
      </c>
    </row>
    <row r="3350" spans="1:25" x14ac:dyDescent="0.2">
      <c r="A3350" t="s">
        <v>12365</v>
      </c>
      <c r="B3350" t="s">
        <v>12366</v>
      </c>
      <c r="C3350" t="s">
        <v>12367</v>
      </c>
      <c r="D3350" t="s">
        <v>12368</v>
      </c>
      <c r="E3350" t="s">
        <v>12366</v>
      </c>
      <c r="F3350" t="s">
        <v>28</v>
      </c>
      <c r="G3350" t="s">
        <v>12366</v>
      </c>
      <c r="H3350" t="str">
        <f>"Y54E10A.10"</f>
        <v>Y54E10A.10</v>
      </c>
      <c r="I3350" t="s">
        <v>12368</v>
      </c>
      <c r="J3350">
        <v>11.246600883037701</v>
      </c>
      <c r="K3350">
        <v>11.625765081108501</v>
      </c>
      <c r="L3350">
        <v>12.467915619481699</v>
      </c>
      <c r="M3350">
        <v>13.011583471154401</v>
      </c>
      <c r="N3350">
        <v>11.315064035707</v>
      </c>
      <c r="O3350">
        <v>11.718010815304099</v>
      </c>
      <c r="P3350">
        <v>0.23479224617919101</v>
      </c>
      <c r="Q3350">
        <v>-0.71505772064899698</v>
      </c>
      <c r="R3350">
        <v>1.1846422130073799</v>
      </c>
      <c r="S3350">
        <v>13.193909366180399</v>
      </c>
      <c r="T3350">
        <v>0.52429808144735701</v>
      </c>
      <c r="U3350">
        <v>-6.7391531470285102</v>
      </c>
      <c r="V3350">
        <v>0.60730597000229902</v>
      </c>
      <c r="W3350">
        <v>0.97103528123305605</v>
      </c>
      <c r="X3350">
        <v>0</v>
      </c>
      <c r="Y3350">
        <v>0</v>
      </c>
    </row>
    <row r="3351" spans="1:25" x14ac:dyDescent="0.2">
      <c r="A3351" t="s">
        <v>12369</v>
      </c>
      <c r="B3351" t="s">
        <v>12370</v>
      </c>
      <c r="C3351" t="s">
        <v>14667</v>
      </c>
      <c r="D3351" t="s">
        <v>12371</v>
      </c>
      <c r="E3351" t="s">
        <v>12370</v>
      </c>
      <c r="F3351" t="s">
        <v>28</v>
      </c>
      <c r="G3351" t="s">
        <v>12370</v>
      </c>
      <c r="H3351" t="str">
        <f>"Y54E10A.6"</f>
        <v>Y54E10A.6</v>
      </c>
      <c r="I3351" t="s">
        <v>12371</v>
      </c>
      <c r="J3351">
        <v>13.523088517426499</v>
      </c>
      <c r="K3351">
        <v>13.414331438590599</v>
      </c>
      <c r="L3351">
        <v>13.3552623787496</v>
      </c>
      <c r="M3351">
        <v>13.4648351838969</v>
      </c>
      <c r="N3351">
        <v>13.280252681987999</v>
      </c>
      <c r="O3351">
        <v>13.2533759152215</v>
      </c>
      <c r="P3351">
        <v>-9.80728512200848E-2</v>
      </c>
      <c r="Q3351">
        <v>-0.50243661992229505</v>
      </c>
      <c r="R3351">
        <v>0.306290917482125</v>
      </c>
      <c r="S3351">
        <v>13.195486830835099</v>
      </c>
      <c r="T3351">
        <v>-0.51194885863577699</v>
      </c>
      <c r="U3351">
        <v>-6.74618370582668</v>
      </c>
      <c r="V3351">
        <v>0.61531351755243702</v>
      </c>
      <c r="W3351">
        <v>0.97238011246645495</v>
      </c>
      <c r="X3351">
        <v>0</v>
      </c>
      <c r="Y3351">
        <v>0</v>
      </c>
    </row>
    <row r="3352" spans="1:25" x14ac:dyDescent="0.2">
      <c r="A3352" t="s">
        <v>12372</v>
      </c>
      <c r="B3352" t="s">
        <v>12373</v>
      </c>
      <c r="C3352" t="s">
        <v>12374</v>
      </c>
      <c r="D3352" t="s">
        <v>12375</v>
      </c>
      <c r="E3352" t="s">
        <v>12373</v>
      </c>
      <c r="F3352" t="s">
        <v>28</v>
      </c>
      <c r="G3352" t="s">
        <v>12373</v>
      </c>
      <c r="H3352" t="str">
        <f>"mrpl-17"</f>
        <v>mrpl-17</v>
      </c>
      <c r="I3352" t="s">
        <v>12375</v>
      </c>
      <c r="J3352" t="s">
        <v>29</v>
      </c>
      <c r="K3352" t="s">
        <v>29</v>
      </c>
      <c r="L3352" t="s">
        <v>29</v>
      </c>
      <c r="M3352" t="s">
        <v>29</v>
      </c>
      <c r="N3352" t="s">
        <v>29</v>
      </c>
      <c r="O3352" t="s">
        <v>29</v>
      </c>
      <c r="P3352" t="s">
        <v>29</v>
      </c>
      <c r="Q3352" t="s">
        <v>29</v>
      </c>
      <c r="R3352" t="s">
        <v>29</v>
      </c>
      <c r="S3352">
        <v>10.065829146078</v>
      </c>
      <c r="T3352" t="s">
        <v>29</v>
      </c>
      <c r="U3352" t="s">
        <v>29</v>
      </c>
      <c r="V3352" t="s">
        <v>29</v>
      </c>
      <c r="W3352" t="s">
        <v>29</v>
      </c>
      <c r="X3352" t="s">
        <v>29</v>
      </c>
      <c r="Y3352" t="s">
        <v>29</v>
      </c>
    </row>
    <row r="3353" spans="1:25" x14ac:dyDescent="0.2">
      <c r="A3353" t="s">
        <v>12376</v>
      </c>
      <c r="B3353" t="s">
        <v>12377</v>
      </c>
      <c r="C3353" t="s">
        <v>14668</v>
      </c>
      <c r="D3353" t="s">
        <v>252</v>
      </c>
      <c r="E3353" t="s">
        <v>12377</v>
      </c>
      <c r="F3353" t="s">
        <v>28</v>
      </c>
      <c r="G3353" t="s">
        <v>12377</v>
      </c>
      <c r="H3353" t="str">
        <f>"Y53G8AR.9"</f>
        <v>Y53G8AR.9</v>
      </c>
      <c r="I3353" t="s">
        <v>252</v>
      </c>
      <c r="J3353">
        <v>13.5182480219336</v>
      </c>
      <c r="K3353">
        <v>14.5111699180899</v>
      </c>
      <c r="L3353">
        <v>14.5134894862449</v>
      </c>
      <c r="M3353">
        <v>13.650675753172999</v>
      </c>
      <c r="N3353">
        <v>14.1526687410703</v>
      </c>
      <c r="O3353">
        <v>14.149789593178401</v>
      </c>
      <c r="P3353">
        <v>-0.196591112948898</v>
      </c>
      <c r="Q3353">
        <v>-0.90844832267481801</v>
      </c>
      <c r="R3353">
        <v>0.51526609677702195</v>
      </c>
      <c r="S3353">
        <v>14.8526699541887</v>
      </c>
      <c r="T3353">
        <v>-0.58044825046876602</v>
      </c>
      <c r="U3353">
        <v>-6.7081029757991102</v>
      </c>
      <c r="V3353">
        <v>0.56885043477195396</v>
      </c>
      <c r="W3353">
        <v>0.95903457290834004</v>
      </c>
      <c r="X3353">
        <v>0</v>
      </c>
      <c r="Y3353">
        <v>0</v>
      </c>
    </row>
    <row r="3354" spans="1:25" x14ac:dyDescent="0.2">
      <c r="A3354" t="s">
        <v>12378</v>
      </c>
      <c r="B3354" t="s">
        <v>12379</v>
      </c>
      <c r="C3354" t="s">
        <v>14669</v>
      </c>
      <c r="D3354" t="s">
        <v>12380</v>
      </c>
      <c r="E3354" t="s">
        <v>12379</v>
      </c>
      <c r="F3354" t="s">
        <v>28</v>
      </c>
      <c r="G3354" t="s">
        <v>12379</v>
      </c>
      <c r="H3354" t="str">
        <f>"Y53G8AR.8"</f>
        <v>Y53G8AR.8</v>
      </c>
      <c r="I3354" t="s">
        <v>12380</v>
      </c>
      <c r="J3354">
        <v>13.3952377359576</v>
      </c>
      <c r="K3354">
        <v>13.6928869903182</v>
      </c>
      <c r="L3354">
        <v>13.6787063846739</v>
      </c>
      <c r="M3354">
        <v>13.229937613298301</v>
      </c>
      <c r="N3354">
        <v>13.6339815044596</v>
      </c>
      <c r="O3354">
        <v>12.8936007353504</v>
      </c>
      <c r="P3354">
        <v>-0.336437085947138</v>
      </c>
      <c r="Q3354">
        <v>-0.97309325512514</v>
      </c>
      <c r="R3354">
        <v>0.30021908323086499</v>
      </c>
      <c r="S3354">
        <v>13.5810138492054</v>
      </c>
      <c r="T3354">
        <v>-1.11068632324549</v>
      </c>
      <c r="U3354">
        <v>-6.2593882852826201</v>
      </c>
      <c r="V3354">
        <v>0.28140488847689898</v>
      </c>
      <c r="W3354">
        <v>0.856190392347986</v>
      </c>
      <c r="X3354">
        <v>0</v>
      </c>
      <c r="Y3354">
        <v>0</v>
      </c>
    </row>
    <row r="3355" spans="1:25" x14ac:dyDescent="0.2">
      <c r="A3355" t="s">
        <v>12381</v>
      </c>
      <c r="B3355" t="s">
        <v>12382</v>
      </c>
      <c r="C3355" t="s">
        <v>12383</v>
      </c>
      <c r="D3355" t="s">
        <v>107</v>
      </c>
      <c r="E3355" t="s">
        <v>12382</v>
      </c>
      <c r="F3355" t="s">
        <v>28</v>
      </c>
      <c r="G3355" t="s">
        <v>12382</v>
      </c>
      <c r="H3355" t="str">
        <f>"mfsd-8"</f>
        <v>mfsd-8</v>
      </c>
      <c r="I3355" t="s">
        <v>107</v>
      </c>
      <c r="J3355">
        <v>10.271101074097899</v>
      </c>
      <c r="K3355">
        <v>10.601248666748001</v>
      </c>
      <c r="L3355">
        <v>11.9401863170262</v>
      </c>
      <c r="M3355" t="s">
        <v>29</v>
      </c>
      <c r="N3355">
        <v>11.332535924865301</v>
      </c>
      <c r="O3355" t="s">
        <v>29</v>
      </c>
      <c r="P3355">
        <v>0.39502390557462702</v>
      </c>
      <c r="Q3355">
        <v>-0.80460130494265503</v>
      </c>
      <c r="R3355">
        <v>1.5946491160919101</v>
      </c>
      <c r="S3355">
        <v>11.2670851238009</v>
      </c>
      <c r="T3355">
        <v>0.73475861175125401</v>
      </c>
      <c r="U3355">
        <v>-6.2577158817297596</v>
      </c>
      <c r="V3355">
        <v>0.47953740863558703</v>
      </c>
      <c r="W3355">
        <v>0.93764446794243095</v>
      </c>
      <c r="X3355">
        <v>0</v>
      </c>
      <c r="Y3355">
        <v>0</v>
      </c>
    </row>
    <row r="3356" spans="1:25" x14ac:dyDescent="0.2">
      <c r="A3356" t="s">
        <v>12384</v>
      </c>
      <c r="B3356" t="s">
        <v>12385</v>
      </c>
      <c r="C3356" t="s">
        <v>12386</v>
      </c>
      <c r="D3356" t="s">
        <v>12387</v>
      </c>
      <c r="E3356" t="s">
        <v>12385</v>
      </c>
      <c r="F3356" t="s">
        <v>28</v>
      </c>
      <c r="G3356" t="s">
        <v>12385</v>
      </c>
      <c r="H3356" t="str">
        <f>"nduf-9"</f>
        <v>nduf-9</v>
      </c>
      <c r="I3356" t="s">
        <v>12387</v>
      </c>
      <c r="J3356">
        <v>15.868065849777601</v>
      </c>
      <c r="K3356">
        <v>15.939336198620399</v>
      </c>
      <c r="L3356">
        <v>15.9285268141956</v>
      </c>
      <c r="M3356">
        <v>15.422909013764301</v>
      </c>
      <c r="N3356">
        <v>15.986213242042201</v>
      </c>
      <c r="O3356">
        <v>15.3837013136681</v>
      </c>
      <c r="P3356">
        <v>-0.31436843103965001</v>
      </c>
      <c r="Q3356">
        <v>-0.83835220583390302</v>
      </c>
      <c r="R3356">
        <v>0.209615343754603</v>
      </c>
      <c r="S3356">
        <v>16.224025730779701</v>
      </c>
      <c r="T3356">
        <v>-1.26099568806191</v>
      </c>
      <c r="U3356">
        <v>-6.0868813178749699</v>
      </c>
      <c r="V3356">
        <v>0.22350316220163499</v>
      </c>
      <c r="W3356">
        <v>0.79980486430864595</v>
      </c>
      <c r="X3356">
        <v>0</v>
      </c>
      <c r="Y3356">
        <v>0</v>
      </c>
    </row>
    <row r="3357" spans="1:25" x14ac:dyDescent="0.2">
      <c r="A3357" t="s">
        <v>12388</v>
      </c>
      <c r="B3357" t="s">
        <v>12389</v>
      </c>
      <c r="C3357" t="s">
        <v>12390</v>
      </c>
      <c r="D3357" t="s">
        <v>12391</v>
      </c>
      <c r="E3357" t="s">
        <v>12389</v>
      </c>
      <c r="F3357" t="s">
        <v>28</v>
      </c>
      <c r="G3357" t="s">
        <v>12389</v>
      </c>
      <c r="H3357" t="str">
        <f>"xpd-1"</f>
        <v>xpd-1</v>
      </c>
      <c r="I3357" t="s">
        <v>12391</v>
      </c>
      <c r="J3357">
        <v>13.6767833719928</v>
      </c>
      <c r="K3357">
        <v>14.511713363378799</v>
      </c>
      <c r="L3357">
        <v>13.5127878204078</v>
      </c>
      <c r="M3357">
        <v>13.992282294952201</v>
      </c>
      <c r="N3357" t="s">
        <v>29</v>
      </c>
      <c r="O3357">
        <v>14.461811295297</v>
      </c>
      <c r="P3357">
        <v>0.32661860986477897</v>
      </c>
      <c r="Q3357">
        <v>-0.84266270761108997</v>
      </c>
      <c r="R3357">
        <v>1.4958999273406499</v>
      </c>
      <c r="S3357">
        <v>13.7522842608057</v>
      </c>
      <c r="T3357">
        <v>0.59574927324684102</v>
      </c>
      <c r="U3357">
        <v>-6.5874868571336096</v>
      </c>
      <c r="V3357">
        <v>0.56028700808876497</v>
      </c>
      <c r="W3357">
        <v>0.95650569706421396</v>
      </c>
      <c r="X3357">
        <v>0</v>
      </c>
      <c r="Y3357">
        <v>0</v>
      </c>
    </row>
    <row r="3358" spans="1:25" x14ac:dyDescent="0.2">
      <c r="A3358" t="s">
        <v>12392</v>
      </c>
      <c r="B3358" t="s">
        <v>12393</v>
      </c>
      <c r="C3358" t="s">
        <v>14670</v>
      </c>
      <c r="D3358" t="s">
        <v>12394</v>
      </c>
      <c r="E3358" t="s">
        <v>12393</v>
      </c>
      <c r="F3358" t="s">
        <v>28</v>
      </c>
      <c r="G3358" t="s">
        <v>12393</v>
      </c>
      <c r="H3358" t="str">
        <f>"Y50D7A.3"</f>
        <v>Y50D7A.3</v>
      </c>
      <c r="I3358" t="s">
        <v>12394</v>
      </c>
      <c r="J3358">
        <v>12.855035327928899</v>
      </c>
      <c r="K3358">
        <v>13.144878615639</v>
      </c>
      <c r="L3358">
        <v>12.917619167845301</v>
      </c>
      <c r="M3358">
        <v>13.2294693278231</v>
      </c>
      <c r="N3358">
        <v>12.987882194721299</v>
      </c>
      <c r="O3358">
        <v>12.9027279962948</v>
      </c>
      <c r="P3358">
        <v>6.7515469142014298E-2</v>
      </c>
      <c r="Q3358">
        <v>-0.34996004480429099</v>
      </c>
      <c r="R3358">
        <v>0.48499098308831901</v>
      </c>
      <c r="S3358">
        <v>13.063726737145499</v>
      </c>
      <c r="T3358">
        <v>0.34136759690139801</v>
      </c>
      <c r="U3358">
        <v>-6.8216230155085302</v>
      </c>
      <c r="V3358">
        <v>0.73703565939369198</v>
      </c>
      <c r="W3358">
        <v>0.99105239372210396</v>
      </c>
      <c r="X3358">
        <v>0</v>
      </c>
      <c r="Y3358">
        <v>0</v>
      </c>
    </row>
    <row r="3359" spans="1:25" x14ac:dyDescent="0.2">
      <c r="A3359" t="s">
        <v>12395</v>
      </c>
      <c r="B3359" t="s">
        <v>12396</v>
      </c>
      <c r="C3359" t="s">
        <v>14671</v>
      </c>
      <c r="D3359" t="s">
        <v>2432</v>
      </c>
      <c r="E3359" t="s">
        <v>12396</v>
      </c>
      <c r="F3359" t="s">
        <v>28</v>
      </c>
      <c r="G3359" t="s">
        <v>12396</v>
      </c>
      <c r="H3359" t="str">
        <f>"Y48G1A.1"</f>
        <v>Y48G1A.1</v>
      </c>
      <c r="I3359" t="s">
        <v>2432</v>
      </c>
      <c r="J3359">
        <v>12.5907737154121</v>
      </c>
      <c r="K3359">
        <v>12.558245007465599</v>
      </c>
      <c r="L3359">
        <v>12.4350444048196</v>
      </c>
      <c r="M3359">
        <v>13.146476524175201</v>
      </c>
      <c r="N3359">
        <v>13.0804322495507</v>
      </c>
      <c r="O3359">
        <v>13.075142493773299</v>
      </c>
      <c r="P3359">
        <v>0.57266271326729501</v>
      </c>
      <c r="Q3359">
        <v>0.166984710568784</v>
      </c>
      <c r="R3359">
        <v>0.97834071596580696</v>
      </c>
      <c r="S3359">
        <v>12.714680061706501</v>
      </c>
      <c r="T3359">
        <v>3.1106069684478901</v>
      </c>
      <c r="U3359">
        <v>-3.1566234415823198</v>
      </c>
      <c r="V3359">
        <v>1.00216656152125E-2</v>
      </c>
      <c r="W3359">
        <v>0.178353492873943</v>
      </c>
      <c r="X3359">
        <v>0</v>
      </c>
      <c r="Y3359">
        <v>0</v>
      </c>
    </row>
    <row r="3360" spans="1:25" x14ac:dyDescent="0.2">
      <c r="A3360" t="s">
        <v>12397</v>
      </c>
      <c r="B3360" t="s">
        <v>12398</v>
      </c>
      <c r="C3360" t="s">
        <v>12399</v>
      </c>
      <c r="D3360" t="s">
        <v>12400</v>
      </c>
      <c r="E3360" t="s">
        <v>12398</v>
      </c>
      <c r="F3360" t="s">
        <v>28</v>
      </c>
      <c r="G3360" t="s">
        <v>12398</v>
      </c>
      <c r="H3360" t="str">
        <f>"nol-14"</f>
        <v>nol-14</v>
      </c>
      <c r="I3360" t="s">
        <v>12400</v>
      </c>
      <c r="J3360" t="s">
        <v>29</v>
      </c>
      <c r="K3360" t="s">
        <v>29</v>
      </c>
      <c r="L3360">
        <v>11.2621060153073</v>
      </c>
      <c r="M3360" t="s">
        <v>29</v>
      </c>
      <c r="N3360">
        <v>11.653874129282601</v>
      </c>
      <c r="O3360">
        <v>12.4250503525922</v>
      </c>
      <c r="P3360">
        <v>0.77735622563010898</v>
      </c>
      <c r="Q3360">
        <v>-0.26566832855459799</v>
      </c>
      <c r="R3360">
        <v>1.8203807798148199</v>
      </c>
      <c r="S3360">
        <v>12.3884071409604</v>
      </c>
      <c r="T3360">
        <v>1.6254385709029799</v>
      </c>
      <c r="U3360">
        <v>-5.2228826373693398</v>
      </c>
      <c r="V3360">
        <v>0.13025201527285901</v>
      </c>
      <c r="W3360">
        <v>0.72021766768664797</v>
      </c>
      <c r="X3360">
        <v>0</v>
      </c>
      <c r="Y3360">
        <v>0</v>
      </c>
    </row>
    <row r="3361" spans="1:25" x14ac:dyDescent="0.2">
      <c r="A3361" t="s">
        <v>12401</v>
      </c>
      <c r="B3361" t="s">
        <v>12402</v>
      </c>
      <c r="C3361" t="s">
        <v>12403</v>
      </c>
      <c r="D3361" t="s">
        <v>3898</v>
      </c>
      <c r="E3361" t="s">
        <v>12402</v>
      </c>
      <c r="F3361" t="s">
        <v>28</v>
      </c>
      <c r="G3361" t="s">
        <v>12402</v>
      </c>
      <c r="H3361" t="str">
        <f>"inx-22"</f>
        <v>inx-22</v>
      </c>
      <c r="I3361" t="s">
        <v>3898</v>
      </c>
      <c r="J3361" t="s">
        <v>29</v>
      </c>
      <c r="K3361" t="s">
        <v>29</v>
      </c>
      <c r="L3361" t="s">
        <v>29</v>
      </c>
      <c r="M3361" t="s">
        <v>29</v>
      </c>
      <c r="N3361">
        <v>11.1096603349083</v>
      </c>
      <c r="O3361" t="s">
        <v>29</v>
      </c>
      <c r="P3361" t="s">
        <v>29</v>
      </c>
      <c r="Q3361" t="s">
        <v>29</v>
      </c>
      <c r="R3361" t="s">
        <v>29</v>
      </c>
      <c r="S3361">
        <v>11.447136714162699</v>
      </c>
      <c r="T3361" t="s">
        <v>29</v>
      </c>
      <c r="U3361" t="s">
        <v>29</v>
      </c>
      <c r="V3361" t="s">
        <v>29</v>
      </c>
      <c r="W3361" t="s">
        <v>29</v>
      </c>
      <c r="X3361" t="s">
        <v>29</v>
      </c>
      <c r="Y3361" t="s">
        <v>29</v>
      </c>
    </row>
    <row r="3362" spans="1:25" x14ac:dyDescent="0.2">
      <c r="A3362" t="s">
        <v>12404</v>
      </c>
      <c r="B3362" t="s">
        <v>12405</v>
      </c>
      <c r="C3362" t="s">
        <v>12406</v>
      </c>
      <c r="D3362" t="s">
        <v>12407</v>
      </c>
      <c r="E3362" t="s">
        <v>12405</v>
      </c>
      <c r="F3362" t="s">
        <v>28</v>
      </c>
      <c r="G3362" t="s">
        <v>12405</v>
      </c>
      <c r="H3362" t="str">
        <f>"rnp-6"</f>
        <v>rnp-6</v>
      </c>
      <c r="I3362" t="s">
        <v>12407</v>
      </c>
      <c r="J3362">
        <v>13.3284581335329</v>
      </c>
      <c r="K3362">
        <v>13.1265569748986</v>
      </c>
      <c r="L3362">
        <v>12.954273881711099</v>
      </c>
      <c r="M3362">
        <v>12.998107812515901</v>
      </c>
      <c r="N3362">
        <v>13.07222235371</v>
      </c>
      <c r="O3362">
        <v>12.9851825024304</v>
      </c>
      <c r="P3362">
        <v>-0.117925440495428</v>
      </c>
      <c r="Q3362">
        <v>-0.71751970774249796</v>
      </c>
      <c r="R3362">
        <v>0.48166882675164202</v>
      </c>
      <c r="S3362">
        <v>13.391295567035099</v>
      </c>
      <c r="T3362">
        <v>-0.41337342045627501</v>
      </c>
      <c r="U3362">
        <v>-6.7936343046071599</v>
      </c>
      <c r="V3362">
        <v>0.68424446100476</v>
      </c>
      <c r="W3362">
        <v>0.98642420921484297</v>
      </c>
      <c r="X3362">
        <v>0</v>
      </c>
      <c r="Y3362">
        <v>0</v>
      </c>
    </row>
    <row r="3363" spans="1:25" x14ac:dyDescent="0.2">
      <c r="A3363" t="s">
        <v>12408</v>
      </c>
      <c r="B3363" t="s">
        <v>12409</v>
      </c>
      <c r="C3363" t="s">
        <v>14672</v>
      </c>
      <c r="D3363" t="s">
        <v>9943</v>
      </c>
      <c r="E3363" t="s">
        <v>12409</v>
      </c>
      <c r="F3363" t="s">
        <v>28</v>
      </c>
      <c r="G3363" t="s">
        <v>12409</v>
      </c>
      <c r="H3363" t="str">
        <f>"Y47G6A.5"</f>
        <v>Y47G6A.5</v>
      </c>
      <c r="I3363" t="s">
        <v>9943</v>
      </c>
      <c r="J3363">
        <v>11.9016296012508</v>
      </c>
      <c r="K3363">
        <v>12.3224106593056</v>
      </c>
      <c r="L3363">
        <v>11.8557893844236</v>
      </c>
      <c r="M3363">
        <v>11.639965411713799</v>
      </c>
      <c r="N3363">
        <v>11.606805964161399</v>
      </c>
      <c r="O3363">
        <v>11.657802528794001</v>
      </c>
      <c r="P3363">
        <v>-0.391751913436932</v>
      </c>
      <c r="Q3363">
        <v>-0.80628384547982801</v>
      </c>
      <c r="R3363">
        <v>2.2780018605962699E-2</v>
      </c>
      <c r="S3363">
        <v>11.6561058803891</v>
      </c>
      <c r="T3363">
        <v>-2.0044843305242299</v>
      </c>
      <c r="U3363">
        <v>-5.0006943387638403</v>
      </c>
      <c r="V3363">
        <v>6.2361210813782299E-2</v>
      </c>
      <c r="W3363">
        <v>0.53705942841316601</v>
      </c>
      <c r="X3363">
        <v>0</v>
      </c>
      <c r="Y3363">
        <v>0</v>
      </c>
    </row>
    <row r="3364" spans="1:25" x14ac:dyDescent="0.2">
      <c r="A3364" t="s">
        <v>12410</v>
      </c>
      <c r="B3364" t="s">
        <v>12411</v>
      </c>
      <c r="C3364" t="s">
        <v>12412</v>
      </c>
      <c r="D3364" t="s">
        <v>12413</v>
      </c>
      <c r="E3364" t="s">
        <v>12411</v>
      </c>
      <c r="F3364" t="s">
        <v>28</v>
      </c>
      <c r="G3364" t="s">
        <v>12411</v>
      </c>
      <c r="H3364" t="str">
        <f>"pcaf-1"</f>
        <v>pcaf-1</v>
      </c>
      <c r="I3364" t="s">
        <v>12413</v>
      </c>
      <c r="J3364">
        <v>12.0046015556431</v>
      </c>
      <c r="K3364">
        <v>11.620687356072899</v>
      </c>
      <c r="L3364">
        <v>11.823513507664</v>
      </c>
      <c r="M3364">
        <v>12.0140470421653</v>
      </c>
      <c r="N3364">
        <v>12.233630629700601</v>
      </c>
      <c r="O3364" t="s">
        <v>29</v>
      </c>
      <c r="P3364">
        <v>0.30757136280624098</v>
      </c>
      <c r="Q3364">
        <v>-0.23461103189722701</v>
      </c>
      <c r="R3364">
        <v>0.84975375750971005</v>
      </c>
      <c r="S3364">
        <v>12.2643881091503</v>
      </c>
      <c r="T3364">
        <v>1.20987942531138</v>
      </c>
      <c r="U3364">
        <v>-6.0372315287923897</v>
      </c>
      <c r="V3364">
        <v>0.24517715038778201</v>
      </c>
      <c r="W3364">
        <v>0.82753504715064696</v>
      </c>
      <c r="X3364">
        <v>0</v>
      </c>
      <c r="Y3364">
        <v>0</v>
      </c>
    </row>
    <row r="3365" spans="1:25" x14ac:dyDescent="0.2">
      <c r="A3365" t="s">
        <v>12414</v>
      </c>
      <c r="B3365" t="s">
        <v>12415</v>
      </c>
      <c r="C3365" t="s">
        <v>14158</v>
      </c>
      <c r="D3365" t="s">
        <v>12416</v>
      </c>
      <c r="E3365" t="s">
        <v>12415</v>
      </c>
      <c r="F3365" t="s">
        <v>28</v>
      </c>
      <c r="G3365" t="s">
        <v>12415</v>
      </c>
      <c r="H3365" t="str">
        <f>"Y47G6A.18"</f>
        <v>Y47G6A.18</v>
      </c>
      <c r="I3365" t="s">
        <v>12416</v>
      </c>
      <c r="J3365" t="s">
        <v>29</v>
      </c>
      <c r="K3365" t="s">
        <v>29</v>
      </c>
      <c r="L3365" t="s">
        <v>29</v>
      </c>
      <c r="M3365">
        <v>13.933474538702001</v>
      </c>
      <c r="N3365">
        <v>13.4866499374399</v>
      </c>
      <c r="O3365">
        <v>12.688825715800901</v>
      </c>
      <c r="P3365" t="s">
        <v>29</v>
      </c>
      <c r="Q3365" t="s">
        <v>29</v>
      </c>
      <c r="R3365" t="s">
        <v>29</v>
      </c>
      <c r="S3365">
        <v>12.643570893039501</v>
      </c>
      <c r="T3365" t="s">
        <v>29</v>
      </c>
      <c r="U3365" t="s">
        <v>29</v>
      </c>
      <c r="V3365" t="s">
        <v>29</v>
      </c>
      <c r="W3365" t="s">
        <v>29</v>
      </c>
      <c r="X3365" t="s">
        <v>29</v>
      </c>
      <c r="Y3365" t="s">
        <v>29</v>
      </c>
    </row>
    <row r="3366" spans="1:25" x14ac:dyDescent="0.2">
      <c r="A3366" t="s">
        <v>12417</v>
      </c>
      <c r="B3366" t="s">
        <v>12418</v>
      </c>
      <c r="C3366" t="s">
        <v>12419</v>
      </c>
      <c r="D3366" t="s">
        <v>12420</v>
      </c>
      <c r="E3366" t="s">
        <v>12418</v>
      </c>
      <c r="F3366" t="s">
        <v>28</v>
      </c>
      <c r="G3366" t="s">
        <v>12418</v>
      </c>
      <c r="H3366" t="str">
        <f>"crn-1"</f>
        <v>crn-1</v>
      </c>
      <c r="I3366" t="s">
        <v>12420</v>
      </c>
      <c r="J3366">
        <v>11.4129962076947</v>
      </c>
      <c r="K3366">
        <v>11.745200484247601</v>
      </c>
      <c r="L3366">
        <v>11.7622138317628</v>
      </c>
      <c r="M3366" t="s">
        <v>29</v>
      </c>
      <c r="N3366">
        <v>11.404285690203199</v>
      </c>
      <c r="O3366" t="s">
        <v>29</v>
      </c>
      <c r="P3366">
        <v>-0.23585115103187199</v>
      </c>
      <c r="Q3366">
        <v>-1.67224210785206</v>
      </c>
      <c r="R3366">
        <v>1.2005398057883201</v>
      </c>
      <c r="S3366">
        <v>12.2851649942807</v>
      </c>
      <c r="T3366">
        <v>-0.35501980594617999</v>
      </c>
      <c r="U3366">
        <v>-6.4748528458259598</v>
      </c>
      <c r="V3366">
        <v>0.72831395582549896</v>
      </c>
      <c r="W3366">
        <v>0.99057748145465696</v>
      </c>
      <c r="X3366">
        <v>0</v>
      </c>
      <c r="Y3366">
        <v>0</v>
      </c>
    </row>
    <row r="3367" spans="1:25" x14ac:dyDescent="0.2">
      <c r="A3367" t="s">
        <v>12421</v>
      </c>
      <c r="B3367" t="s">
        <v>12422</v>
      </c>
      <c r="C3367" t="s">
        <v>12423</v>
      </c>
      <c r="D3367" t="s">
        <v>12424</v>
      </c>
      <c r="E3367" t="s">
        <v>12422</v>
      </c>
      <c r="F3367" t="s">
        <v>28</v>
      </c>
      <c r="G3367" t="s">
        <v>12422</v>
      </c>
      <c r="H3367" t="str">
        <f>"spg-7"</f>
        <v>spg-7</v>
      </c>
      <c r="I3367" t="s">
        <v>12424</v>
      </c>
      <c r="J3367">
        <v>16.576785714381</v>
      </c>
      <c r="K3367">
        <v>16.455905528743902</v>
      </c>
      <c r="L3367">
        <v>16.4739429961509</v>
      </c>
      <c r="M3367">
        <v>16.569003385737101</v>
      </c>
      <c r="N3367">
        <v>16.553236772753301</v>
      </c>
      <c r="O3367">
        <v>16.444613101513099</v>
      </c>
      <c r="P3367">
        <v>2.00730069092145E-2</v>
      </c>
      <c r="Q3367">
        <v>-0.30346106165689801</v>
      </c>
      <c r="R3367">
        <v>0.34360707547532698</v>
      </c>
      <c r="S3367">
        <v>16.5666191091276</v>
      </c>
      <c r="T3367">
        <v>0.130402202897625</v>
      </c>
      <c r="U3367">
        <v>-6.8736088946822802</v>
      </c>
      <c r="V3367">
        <v>0.89770292959384701</v>
      </c>
      <c r="W3367">
        <v>0.99833354317360001</v>
      </c>
      <c r="X3367">
        <v>0</v>
      </c>
      <c r="Y3367">
        <v>0</v>
      </c>
    </row>
    <row r="3368" spans="1:25" x14ac:dyDescent="0.2">
      <c r="A3368" t="s">
        <v>12425</v>
      </c>
      <c r="B3368" t="s">
        <v>12426</v>
      </c>
      <c r="C3368" t="s">
        <v>12427</v>
      </c>
      <c r="D3368" t="s">
        <v>12428</v>
      </c>
      <c r="E3368" t="s">
        <v>12426</v>
      </c>
      <c r="F3368" t="s">
        <v>28</v>
      </c>
      <c r="G3368" t="s">
        <v>12426</v>
      </c>
      <c r="H3368" t="str">
        <f>"msh-6"</f>
        <v>msh-6</v>
      </c>
      <c r="I3368" t="s">
        <v>12428</v>
      </c>
      <c r="J3368">
        <v>13.190447465792399</v>
      </c>
      <c r="K3368">
        <v>12.992574703391799</v>
      </c>
      <c r="L3368">
        <v>12.9726695151356</v>
      </c>
      <c r="M3368">
        <v>13.1919491409325</v>
      </c>
      <c r="N3368">
        <v>13.3520457569388</v>
      </c>
      <c r="O3368">
        <v>13.158271422480199</v>
      </c>
      <c r="P3368">
        <v>0.182191545343905</v>
      </c>
      <c r="Q3368">
        <v>-0.16632176166830501</v>
      </c>
      <c r="R3368">
        <v>0.53070485235611398</v>
      </c>
      <c r="S3368">
        <v>13.0252918819663</v>
      </c>
      <c r="T3368">
        <v>1.10881319197518</v>
      </c>
      <c r="U3368">
        <v>-6.2598533596807497</v>
      </c>
      <c r="V3368">
        <v>0.284006328929722</v>
      </c>
      <c r="W3368">
        <v>0.856190392347986</v>
      </c>
      <c r="X3368">
        <v>0</v>
      </c>
      <c r="Y3368">
        <v>0</v>
      </c>
    </row>
    <row r="3369" spans="1:25" x14ac:dyDescent="0.2">
      <c r="A3369" t="s">
        <v>12429</v>
      </c>
      <c r="B3369" t="s">
        <v>12430</v>
      </c>
      <c r="C3369" t="s">
        <v>12431</v>
      </c>
      <c r="D3369" t="s">
        <v>12432</v>
      </c>
      <c r="E3369" t="s">
        <v>12430</v>
      </c>
      <c r="F3369" t="s">
        <v>28</v>
      </c>
      <c r="G3369" t="s">
        <v>12430</v>
      </c>
      <c r="H3369" t="str">
        <f>"rps-4"</f>
        <v>rps-4</v>
      </c>
      <c r="I3369" t="s">
        <v>12432</v>
      </c>
      <c r="J3369">
        <v>22.759870684209599</v>
      </c>
      <c r="K3369">
        <v>22.759521430041001</v>
      </c>
      <c r="L3369">
        <v>22.687695786139201</v>
      </c>
      <c r="M3369">
        <v>22.661212320128499</v>
      </c>
      <c r="N3369">
        <v>22.2018293162117</v>
      </c>
      <c r="O3369">
        <v>22.616840190937999</v>
      </c>
      <c r="P3369">
        <v>-0.24240202437052399</v>
      </c>
      <c r="Q3369">
        <v>-0.60477202278797804</v>
      </c>
      <c r="R3369">
        <v>0.11996797404693101</v>
      </c>
      <c r="S3369">
        <v>22.435523184724499</v>
      </c>
      <c r="T3369">
        <v>-1.40597151347603</v>
      </c>
      <c r="U3369">
        <v>-5.9033511306844701</v>
      </c>
      <c r="V3369">
        <v>0.176858851652406</v>
      </c>
      <c r="W3369">
        <v>0.77568784401157198</v>
      </c>
      <c r="X3369">
        <v>0</v>
      </c>
      <c r="Y3369">
        <v>0</v>
      </c>
    </row>
    <row r="3370" spans="1:25" x14ac:dyDescent="0.2">
      <c r="A3370" t="s">
        <v>12433</v>
      </c>
      <c r="B3370" t="s">
        <v>12434</v>
      </c>
      <c r="C3370" t="s">
        <v>14673</v>
      </c>
      <c r="D3370" t="s">
        <v>12435</v>
      </c>
      <c r="E3370" t="s">
        <v>12434</v>
      </c>
      <c r="F3370" t="s">
        <v>28</v>
      </c>
      <c r="G3370" t="s">
        <v>12434</v>
      </c>
      <c r="H3370" t="str">
        <f>"Y43B11AR.3"</f>
        <v>Y43B11AR.3</v>
      </c>
      <c r="I3370" t="s">
        <v>12435</v>
      </c>
      <c r="J3370" t="s">
        <v>29</v>
      </c>
      <c r="K3370" t="s">
        <v>29</v>
      </c>
      <c r="L3370" t="s">
        <v>29</v>
      </c>
      <c r="M3370" t="s">
        <v>29</v>
      </c>
      <c r="N3370">
        <v>11.014809384736701</v>
      </c>
      <c r="O3370">
        <v>11.352600889122501</v>
      </c>
      <c r="P3370" t="s">
        <v>29</v>
      </c>
      <c r="Q3370" t="s">
        <v>29</v>
      </c>
      <c r="R3370" t="s">
        <v>29</v>
      </c>
      <c r="S3370">
        <v>11.116432712701</v>
      </c>
      <c r="T3370" t="s">
        <v>29</v>
      </c>
      <c r="U3370" t="s">
        <v>29</v>
      </c>
      <c r="V3370" t="s">
        <v>29</v>
      </c>
      <c r="W3370" t="s">
        <v>29</v>
      </c>
      <c r="X3370" t="s">
        <v>29</v>
      </c>
      <c r="Y3370" t="s">
        <v>29</v>
      </c>
    </row>
    <row r="3371" spans="1:25" x14ac:dyDescent="0.2">
      <c r="A3371" t="s">
        <v>12436</v>
      </c>
      <c r="B3371" t="s">
        <v>12437</v>
      </c>
      <c r="C3371" t="s">
        <v>14674</v>
      </c>
      <c r="D3371" t="s">
        <v>12438</v>
      </c>
      <c r="E3371" t="s">
        <v>12437</v>
      </c>
      <c r="F3371" t="s">
        <v>28</v>
      </c>
      <c r="G3371" t="s">
        <v>12437</v>
      </c>
      <c r="H3371" t="str">
        <f>"Y39A3CL.1"</f>
        <v>Y39A3CL.1</v>
      </c>
      <c r="I3371" t="s">
        <v>12438</v>
      </c>
      <c r="J3371">
        <v>10.7962803055525</v>
      </c>
      <c r="K3371">
        <v>11.661462392521001</v>
      </c>
      <c r="L3371">
        <v>11.517177097733899</v>
      </c>
      <c r="M3371" t="s">
        <v>29</v>
      </c>
      <c r="N3371">
        <v>12.048245846806299</v>
      </c>
      <c r="O3371">
        <v>11.4490287671362</v>
      </c>
      <c r="P3371">
        <v>0.42366404170209598</v>
      </c>
      <c r="Q3371">
        <v>-0.37365134543255801</v>
      </c>
      <c r="R3371">
        <v>1.2209794288367499</v>
      </c>
      <c r="S3371">
        <v>12.4110709859244</v>
      </c>
      <c r="T3371">
        <v>1.12704430630104</v>
      </c>
      <c r="U3371">
        <v>-6.1314234809954504</v>
      </c>
      <c r="V3371">
        <v>0.27645103038574498</v>
      </c>
      <c r="W3371">
        <v>0.856190392347986</v>
      </c>
      <c r="X3371">
        <v>0</v>
      </c>
      <c r="Y3371">
        <v>0</v>
      </c>
    </row>
    <row r="3372" spans="1:25" x14ac:dyDescent="0.2">
      <c r="A3372" t="s">
        <v>12439</v>
      </c>
      <c r="B3372" t="s">
        <v>12440</v>
      </c>
      <c r="C3372" t="s">
        <v>12441</v>
      </c>
      <c r="D3372" t="s">
        <v>12442</v>
      </c>
      <c r="E3372" t="s">
        <v>12440</v>
      </c>
      <c r="F3372" t="s">
        <v>28</v>
      </c>
      <c r="G3372" t="s">
        <v>12440</v>
      </c>
      <c r="H3372" t="str">
        <f>"rimb-1"</f>
        <v>rimb-1</v>
      </c>
      <c r="I3372" t="s">
        <v>12442</v>
      </c>
      <c r="J3372">
        <v>11.644894804402799</v>
      </c>
      <c r="K3372">
        <v>12.6566448445407</v>
      </c>
      <c r="L3372">
        <v>12.1375715894298</v>
      </c>
      <c r="M3372">
        <v>11.3955941396484</v>
      </c>
      <c r="N3372">
        <v>11.390349688432799</v>
      </c>
      <c r="O3372">
        <v>11.810299087615</v>
      </c>
      <c r="P3372">
        <v>-0.61428944089236603</v>
      </c>
      <c r="Q3372">
        <v>-1.39055569271891</v>
      </c>
      <c r="R3372">
        <v>0.16197681093417901</v>
      </c>
      <c r="S3372">
        <v>12.2595891028257</v>
      </c>
      <c r="T3372">
        <v>-1.6784633954205099</v>
      </c>
      <c r="U3372">
        <v>-5.5195045714338802</v>
      </c>
      <c r="V3372">
        <v>0.112804754272507</v>
      </c>
      <c r="W3372">
        <v>0.69137057498877197</v>
      </c>
      <c r="X3372">
        <v>0</v>
      </c>
      <c r="Y3372">
        <v>0</v>
      </c>
    </row>
    <row r="3373" spans="1:25" x14ac:dyDescent="0.2">
      <c r="A3373" t="s">
        <v>12443</v>
      </c>
      <c r="B3373" t="s">
        <v>12444</v>
      </c>
      <c r="C3373" t="s">
        <v>12445</v>
      </c>
      <c r="D3373" t="s">
        <v>12446</v>
      </c>
      <c r="E3373" t="s">
        <v>12444</v>
      </c>
      <c r="F3373" t="s">
        <v>28</v>
      </c>
      <c r="G3373" t="s">
        <v>12444</v>
      </c>
      <c r="H3373" t="str">
        <f>"csn-3"</f>
        <v>csn-3</v>
      </c>
      <c r="I3373" t="s">
        <v>12446</v>
      </c>
      <c r="J3373">
        <v>14.410321525718301</v>
      </c>
      <c r="K3373">
        <v>14.437753011763499</v>
      </c>
      <c r="L3373">
        <v>14.596213665664999</v>
      </c>
      <c r="M3373">
        <v>14.472984716107799</v>
      </c>
      <c r="N3373">
        <v>14.5932841136154</v>
      </c>
      <c r="O3373">
        <v>14.49190919484</v>
      </c>
      <c r="P3373">
        <v>3.7963273805424101E-2</v>
      </c>
      <c r="Q3373">
        <v>-0.45827496378779897</v>
      </c>
      <c r="R3373">
        <v>0.53420151139864702</v>
      </c>
      <c r="S3373">
        <v>14.5850057737031</v>
      </c>
      <c r="T3373">
        <v>0.160792558118516</v>
      </c>
      <c r="U3373">
        <v>-6.8689906284841902</v>
      </c>
      <c r="V3373">
        <v>0.874058056782681</v>
      </c>
      <c r="W3373">
        <v>0.99542051916754504</v>
      </c>
      <c r="X3373">
        <v>0</v>
      </c>
      <c r="Y3373">
        <v>0</v>
      </c>
    </row>
    <row r="3374" spans="1:25" x14ac:dyDescent="0.2">
      <c r="A3374" t="s">
        <v>12447</v>
      </c>
      <c r="B3374" t="s">
        <v>12448</v>
      </c>
      <c r="C3374" t="s">
        <v>14675</v>
      </c>
      <c r="D3374" t="s">
        <v>368</v>
      </c>
      <c r="E3374" t="s">
        <v>12448</v>
      </c>
      <c r="F3374" t="s">
        <v>28</v>
      </c>
      <c r="G3374" t="s">
        <v>12448</v>
      </c>
      <c r="H3374" t="str">
        <f>"Y38C1AA.7"</f>
        <v>Y38C1AA.7</v>
      </c>
      <c r="I3374" t="s">
        <v>368</v>
      </c>
      <c r="J3374">
        <v>15.3146518344494</v>
      </c>
      <c r="K3374">
        <v>14.5239711478266</v>
      </c>
      <c r="L3374">
        <v>14.7858998792655</v>
      </c>
      <c r="M3374">
        <v>15.022324202988001</v>
      </c>
      <c r="N3374">
        <v>14.9313859321922</v>
      </c>
      <c r="O3374">
        <v>14.9342175957671</v>
      </c>
      <c r="P3374">
        <v>8.7801623135265003E-2</v>
      </c>
      <c r="Q3374">
        <v>-0.68921455438213297</v>
      </c>
      <c r="R3374">
        <v>0.864817800652663</v>
      </c>
      <c r="S3374">
        <v>14.446420539892699</v>
      </c>
      <c r="T3374">
        <v>0.23851873465409101</v>
      </c>
      <c r="U3374">
        <v>-6.8527215288072796</v>
      </c>
      <c r="V3374">
        <v>0.81434778957668397</v>
      </c>
      <c r="W3374">
        <v>0.99278624068726296</v>
      </c>
      <c r="X3374">
        <v>0</v>
      </c>
      <c r="Y3374">
        <v>0</v>
      </c>
    </row>
    <row r="3375" spans="1:25" x14ac:dyDescent="0.2">
      <c r="A3375" t="s">
        <v>12449</v>
      </c>
      <c r="B3375" t="s">
        <v>12450</v>
      </c>
      <c r="C3375" t="s">
        <v>14676</v>
      </c>
      <c r="D3375" t="s">
        <v>3296</v>
      </c>
      <c r="E3375" t="s">
        <v>12450</v>
      </c>
      <c r="F3375" t="s">
        <v>28</v>
      </c>
      <c r="G3375" t="s">
        <v>12450</v>
      </c>
      <c r="H3375" t="str">
        <f>"Y34D9A.7"</f>
        <v>Y34D9A.7</v>
      </c>
      <c r="I3375" t="s">
        <v>3296</v>
      </c>
      <c r="J3375" t="s">
        <v>29</v>
      </c>
      <c r="K3375" t="s">
        <v>29</v>
      </c>
      <c r="L3375" t="s">
        <v>29</v>
      </c>
      <c r="M3375" t="s">
        <v>29</v>
      </c>
      <c r="N3375" t="s">
        <v>29</v>
      </c>
      <c r="O3375" t="s">
        <v>29</v>
      </c>
      <c r="P3375" t="s">
        <v>29</v>
      </c>
      <c r="Q3375" t="s">
        <v>29</v>
      </c>
      <c r="R3375" t="s">
        <v>29</v>
      </c>
      <c r="S3375">
        <v>9.5699929060022697</v>
      </c>
      <c r="T3375" t="s">
        <v>29</v>
      </c>
      <c r="U3375" t="s">
        <v>29</v>
      </c>
      <c r="V3375" t="s">
        <v>29</v>
      </c>
      <c r="W3375" t="s">
        <v>29</v>
      </c>
      <c r="X3375" t="s">
        <v>29</v>
      </c>
      <c r="Y3375" t="s">
        <v>29</v>
      </c>
    </row>
    <row r="3376" spans="1:25" x14ac:dyDescent="0.2">
      <c r="A3376" t="s">
        <v>12451</v>
      </c>
      <c r="B3376" t="s">
        <v>12452</v>
      </c>
      <c r="C3376" t="s">
        <v>12453</v>
      </c>
      <c r="D3376" t="s">
        <v>1296</v>
      </c>
      <c r="E3376" t="s">
        <v>12452</v>
      </c>
      <c r="F3376" t="s">
        <v>28</v>
      </c>
      <c r="G3376" t="s">
        <v>12452</v>
      </c>
      <c r="H3376" t="str">
        <f>"ddx-10"</f>
        <v>ddx-10</v>
      </c>
      <c r="I3376" t="s">
        <v>1296</v>
      </c>
      <c r="J3376">
        <v>13.634287209878501</v>
      </c>
      <c r="K3376">
        <v>13.244541375587399</v>
      </c>
      <c r="L3376">
        <v>13.0102333823842</v>
      </c>
      <c r="M3376">
        <v>13.024904682330501</v>
      </c>
      <c r="N3376">
        <v>13.148084814659599</v>
      </c>
      <c r="O3376">
        <v>13.042568002619999</v>
      </c>
      <c r="P3376">
        <v>-0.22450148941333101</v>
      </c>
      <c r="Q3376">
        <v>-0.75673050769182504</v>
      </c>
      <c r="R3376">
        <v>0.30772752886516302</v>
      </c>
      <c r="S3376">
        <v>13.624424743428801</v>
      </c>
      <c r="T3376">
        <v>-0.89468510446251404</v>
      </c>
      <c r="U3376">
        <v>-6.4718287896251301</v>
      </c>
      <c r="V3376">
        <v>0.384303363890939</v>
      </c>
      <c r="W3376">
        <v>0.90131190629249203</v>
      </c>
      <c r="X3376">
        <v>0</v>
      </c>
      <c r="Y3376">
        <v>0</v>
      </c>
    </row>
    <row r="3377" spans="1:25" x14ac:dyDescent="0.2">
      <c r="A3377" t="s">
        <v>12454</v>
      </c>
      <c r="B3377" t="s">
        <v>12455</v>
      </c>
      <c r="C3377" t="s">
        <v>12456</v>
      </c>
      <c r="D3377" t="s">
        <v>12457</v>
      </c>
      <c r="E3377" t="s">
        <v>12455</v>
      </c>
      <c r="F3377" t="s">
        <v>28</v>
      </c>
      <c r="G3377" t="s">
        <v>12455</v>
      </c>
      <c r="H3377" t="str">
        <f>"sqv-2"</f>
        <v>sqv-2</v>
      </c>
      <c r="I3377" t="s">
        <v>12457</v>
      </c>
      <c r="J3377">
        <v>12.3716924029175</v>
      </c>
      <c r="K3377">
        <v>11.9233209207471</v>
      </c>
      <c r="L3377">
        <v>12.461975813690801</v>
      </c>
      <c r="M3377">
        <v>12.046382619609499</v>
      </c>
      <c r="N3377">
        <v>12.687529524978601</v>
      </c>
      <c r="O3377">
        <v>12.212914381058001</v>
      </c>
      <c r="P3377">
        <v>6.3279129430199504E-2</v>
      </c>
      <c r="Q3377">
        <v>-0.61507278907135898</v>
      </c>
      <c r="R3377">
        <v>0.74163104793175805</v>
      </c>
      <c r="S3377">
        <v>12.695587075330099</v>
      </c>
      <c r="T3377">
        <v>0.19606404179216599</v>
      </c>
      <c r="U3377">
        <v>-6.8624259314563503</v>
      </c>
      <c r="V3377">
        <v>0.84676929860507399</v>
      </c>
      <c r="W3377">
        <v>0.99370971747667503</v>
      </c>
      <c r="X3377">
        <v>0</v>
      </c>
      <c r="Y3377">
        <v>0</v>
      </c>
    </row>
    <row r="3378" spans="1:25" x14ac:dyDescent="0.2">
      <c r="A3378" t="s">
        <v>12458</v>
      </c>
      <c r="B3378" t="s">
        <v>12459</v>
      </c>
      <c r="C3378" t="s">
        <v>12460</v>
      </c>
      <c r="D3378" t="s">
        <v>12461</v>
      </c>
      <c r="E3378" t="s">
        <v>12459</v>
      </c>
      <c r="F3378" t="s">
        <v>28</v>
      </c>
      <c r="G3378" t="s">
        <v>12459</v>
      </c>
      <c r="H3378" t="str">
        <f>"pinn-1"</f>
        <v>pinn-1</v>
      </c>
      <c r="I3378" t="s">
        <v>12461</v>
      </c>
      <c r="J3378">
        <v>12.542227990639001</v>
      </c>
      <c r="K3378">
        <v>11.7339443872023</v>
      </c>
      <c r="L3378">
        <v>12.3861790914621</v>
      </c>
      <c r="M3378" t="s">
        <v>29</v>
      </c>
      <c r="N3378">
        <v>12.4009695679025</v>
      </c>
      <c r="O3378">
        <v>12.9403997922903</v>
      </c>
      <c r="P3378">
        <v>0.44990085699523202</v>
      </c>
      <c r="Q3378">
        <v>-0.45354866177911102</v>
      </c>
      <c r="R3378">
        <v>1.35335037576957</v>
      </c>
      <c r="S3378">
        <v>12.691205675294899</v>
      </c>
      <c r="T3378">
        <v>1.06882061652114</v>
      </c>
      <c r="U3378">
        <v>-6.19164456934333</v>
      </c>
      <c r="V3378">
        <v>0.30336758666506503</v>
      </c>
      <c r="W3378">
        <v>0.85855590823088301</v>
      </c>
      <c r="X3378">
        <v>0</v>
      </c>
      <c r="Y3378">
        <v>0</v>
      </c>
    </row>
    <row r="3379" spans="1:25" x14ac:dyDescent="0.2">
      <c r="A3379" t="s">
        <v>12462</v>
      </c>
      <c r="B3379" t="s">
        <v>12463</v>
      </c>
      <c r="C3379" t="s">
        <v>12464</v>
      </c>
      <c r="D3379" t="s">
        <v>12465</v>
      </c>
      <c r="E3379" t="s">
        <v>12463</v>
      </c>
      <c r="F3379" t="s">
        <v>28</v>
      </c>
      <c r="G3379" t="s">
        <v>12463</v>
      </c>
      <c r="H3379" t="str">
        <f>"hxk-3"</f>
        <v>hxk-3</v>
      </c>
      <c r="I3379" t="s">
        <v>12465</v>
      </c>
      <c r="J3379">
        <v>14.8133576913909</v>
      </c>
      <c r="K3379">
        <v>14.7110582891438</v>
      </c>
      <c r="L3379">
        <v>14.504253498456199</v>
      </c>
      <c r="M3379">
        <v>14.990768135566199</v>
      </c>
      <c r="N3379">
        <v>14.798626400342901</v>
      </c>
      <c r="O3379">
        <v>14.8918924557296</v>
      </c>
      <c r="P3379">
        <v>0.217539170882633</v>
      </c>
      <c r="Q3379">
        <v>-0.25632186411484098</v>
      </c>
      <c r="R3379">
        <v>0.69140020588010698</v>
      </c>
      <c r="S3379">
        <v>14.5378308081577</v>
      </c>
      <c r="T3379">
        <v>0.96489261716645602</v>
      </c>
      <c r="U3379">
        <v>-6.4083924023018497</v>
      </c>
      <c r="V3379">
        <v>0.34745800826859902</v>
      </c>
      <c r="W3379">
        <v>0.87926117922885105</v>
      </c>
      <c r="X3379">
        <v>0</v>
      </c>
      <c r="Y3379">
        <v>0</v>
      </c>
    </row>
    <row r="3380" spans="1:25" x14ac:dyDescent="0.2">
      <c r="A3380" t="s">
        <v>12466</v>
      </c>
      <c r="B3380" t="s">
        <v>12467</v>
      </c>
      <c r="C3380" t="s">
        <v>12468</v>
      </c>
      <c r="D3380" t="s">
        <v>12469</v>
      </c>
      <c r="E3380" t="s">
        <v>12467</v>
      </c>
      <c r="F3380" t="s">
        <v>28</v>
      </c>
      <c r="G3380" t="s">
        <v>12467</v>
      </c>
      <c r="H3380" t="str">
        <f>"npp-20"</f>
        <v>npp-20</v>
      </c>
      <c r="I3380" t="s">
        <v>12469</v>
      </c>
      <c r="J3380">
        <v>13.9636808890154</v>
      </c>
      <c r="K3380">
        <v>13.6794622977713</v>
      </c>
      <c r="L3380">
        <v>13.745711144888199</v>
      </c>
      <c r="M3380">
        <v>13.9537252378429</v>
      </c>
      <c r="N3380">
        <v>14.0604547188412</v>
      </c>
      <c r="O3380">
        <v>13.9786567403555</v>
      </c>
      <c r="P3380">
        <v>0.201327455121527</v>
      </c>
      <c r="Q3380">
        <v>-0.474852178075304</v>
      </c>
      <c r="R3380">
        <v>0.877507088318358</v>
      </c>
      <c r="S3380">
        <v>13.597971905802099</v>
      </c>
      <c r="T3380">
        <v>0.62579693467591102</v>
      </c>
      <c r="U3380">
        <v>-6.6800975276702701</v>
      </c>
      <c r="V3380">
        <v>0.53934841556948998</v>
      </c>
      <c r="W3380">
        <v>0.94712119647965798</v>
      </c>
      <c r="X3380">
        <v>0</v>
      </c>
      <c r="Y3380">
        <v>0</v>
      </c>
    </row>
    <row r="3381" spans="1:25" x14ac:dyDescent="0.2">
      <c r="A3381" t="s">
        <v>12470</v>
      </c>
      <c r="B3381" t="s">
        <v>12471</v>
      </c>
      <c r="C3381" t="s">
        <v>12472</v>
      </c>
      <c r="D3381" t="s">
        <v>12473</v>
      </c>
      <c r="E3381" t="s">
        <v>12471</v>
      </c>
      <c r="F3381" t="s">
        <v>28</v>
      </c>
      <c r="G3381" t="s">
        <v>12471</v>
      </c>
      <c r="H3381" t="str">
        <f>"clp-7"</f>
        <v>clp-7</v>
      </c>
      <c r="I3381" t="s">
        <v>12473</v>
      </c>
      <c r="J3381">
        <v>11.961174344982</v>
      </c>
      <c r="K3381" t="s">
        <v>29</v>
      </c>
      <c r="L3381" t="s">
        <v>29</v>
      </c>
      <c r="M3381">
        <v>13.9959865945044</v>
      </c>
      <c r="N3381">
        <v>13.879361931013801</v>
      </c>
      <c r="O3381">
        <v>13.730323648424401</v>
      </c>
      <c r="P3381">
        <v>1.9073830463321599</v>
      </c>
      <c r="Q3381">
        <v>1.0929322527628</v>
      </c>
      <c r="R3381">
        <v>2.7218338399015201</v>
      </c>
      <c r="S3381">
        <v>13.465341963474801</v>
      </c>
      <c r="T3381">
        <v>4.9673252444448002</v>
      </c>
      <c r="U3381">
        <v>1.1108766162833801</v>
      </c>
      <c r="V3381">
        <v>1.4248736458183299E-4</v>
      </c>
      <c r="W3381">
        <v>6.8724340482368296E-3</v>
      </c>
      <c r="X3381">
        <v>1</v>
      </c>
      <c r="Y3381">
        <v>1</v>
      </c>
    </row>
    <row r="3382" spans="1:25" x14ac:dyDescent="0.2">
      <c r="A3382" t="s">
        <v>12474</v>
      </c>
      <c r="B3382" t="s">
        <v>12475</v>
      </c>
      <c r="C3382" t="s">
        <v>12476</v>
      </c>
      <c r="D3382" t="s">
        <v>12477</v>
      </c>
      <c r="E3382" t="s">
        <v>12475</v>
      </c>
      <c r="F3382" t="s">
        <v>28</v>
      </c>
      <c r="G3382" t="s">
        <v>12475</v>
      </c>
      <c r="H3382" t="str">
        <f>"cpsf-1"</f>
        <v>cpsf-1</v>
      </c>
      <c r="I3382" t="s">
        <v>12477</v>
      </c>
      <c r="J3382" t="s">
        <v>29</v>
      </c>
      <c r="K3382">
        <v>11.4013149215703</v>
      </c>
      <c r="L3382">
        <v>11.589475335598999</v>
      </c>
      <c r="M3382" t="s">
        <v>29</v>
      </c>
      <c r="N3382">
        <v>11.4157305081463</v>
      </c>
      <c r="O3382" t="s">
        <v>29</v>
      </c>
      <c r="P3382">
        <v>-7.9664620438395103E-2</v>
      </c>
      <c r="Q3382">
        <v>-0.84579485013105904</v>
      </c>
      <c r="R3382">
        <v>0.68646560925426903</v>
      </c>
      <c r="S3382">
        <v>11.7920580828418</v>
      </c>
      <c r="T3382">
        <v>-0.22913455346567499</v>
      </c>
      <c r="U3382">
        <v>-6.4554907661845498</v>
      </c>
      <c r="V3382">
        <v>0.823008757120679</v>
      </c>
      <c r="W3382">
        <v>0.992837538801569</v>
      </c>
      <c r="X3382">
        <v>0</v>
      </c>
      <c r="Y3382">
        <v>0</v>
      </c>
    </row>
    <row r="3383" spans="1:25" x14ac:dyDescent="0.2">
      <c r="A3383" t="s">
        <v>12478</v>
      </c>
      <c r="B3383" t="s">
        <v>12479</v>
      </c>
      <c r="C3383" t="s">
        <v>12480</v>
      </c>
      <c r="D3383" t="s">
        <v>12481</v>
      </c>
      <c r="E3383" t="s">
        <v>12479</v>
      </c>
      <c r="F3383" t="s">
        <v>28</v>
      </c>
      <c r="G3383" t="s">
        <v>12479</v>
      </c>
      <c r="H3383" t="str">
        <f>"xpc-1"</f>
        <v>xpc-1</v>
      </c>
      <c r="I3383" t="s">
        <v>12481</v>
      </c>
      <c r="J3383">
        <v>12.8734941542752</v>
      </c>
      <c r="K3383">
        <v>13.9140719640284</v>
      </c>
      <c r="L3383">
        <v>12.9258873231583</v>
      </c>
      <c r="M3383">
        <v>12.658389122417701</v>
      </c>
      <c r="N3383">
        <v>12.9250592065749</v>
      </c>
      <c r="O3383">
        <v>12.8007246676473</v>
      </c>
      <c r="P3383">
        <v>-0.44309348160732398</v>
      </c>
      <c r="Q3383">
        <v>-1.1165813386153201</v>
      </c>
      <c r="R3383">
        <v>0.23039437540066901</v>
      </c>
      <c r="S3383">
        <v>13.5680988914289</v>
      </c>
      <c r="T3383">
        <v>-1.3954527026813901</v>
      </c>
      <c r="U3383">
        <v>-5.9169011577547597</v>
      </c>
      <c r="V3383">
        <v>0.182070430594134</v>
      </c>
      <c r="W3383">
        <v>0.78295732499061499</v>
      </c>
      <c r="X3383">
        <v>0</v>
      </c>
      <c r="Y3383">
        <v>0</v>
      </c>
    </row>
    <row r="3384" spans="1:25" x14ac:dyDescent="0.2">
      <c r="A3384" t="s">
        <v>12482</v>
      </c>
      <c r="B3384" t="s">
        <v>12483</v>
      </c>
      <c r="C3384" t="s">
        <v>14677</v>
      </c>
      <c r="D3384" t="s">
        <v>141</v>
      </c>
      <c r="E3384" t="s">
        <v>12483</v>
      </c>
      <c r="F3384" t="s">
        <v>28</v>
      </c>
      <c r="G3384" t="s">
        <v>12483</v>
      </c>
      <c r="H3384" t="str">
        <f>"Y73C8B.3"</f>
        <v>Y73C8B.3</v>
      </c>
      <c r="I3384" t="s">
        <v>141</v>
      </c>
      <c r="J3384" t="s">
        <v>29</v>
      </c>
      <c r="K3384" t="s">
        <v>29</v>
      </c>
      <c r="L3384">
        <v>11.8340385233</v>
      </c>
      <c r="M3384">
        <v>12.258104781843</v>
      </c>
      <c r="N3384">
        <v>12.500788042956099</v>
      </c>
      <c r="O3384" t="s">
        <v>29</v>
      </c>
      <c r="P3384">
        <v>0.54540788909954896</v>
      </c>
      <c r="Q3384">
        <v>-0.57771923466947905</v>
      </c>
      <c r="R3384">
        <v>1.6685350128685801</v>
      </c>
      <c r="S3384">
        <v>12.5251170038611</v>
      </c>
      <c r="T3384">
        <v>1.0591013274391601</v>
      </c>
      <c r="U3384">
        <v>-5.9163204078609901</v>
      </c>
      <c r="V3384">
        <v>0.31058686713716799</v>
      </c>
      <c r="W3384">
        <v>0.86207931095287205</v>
      </c>
      <c r="X3384">
        <v>0</v>
      </c>
      <c r="Y3384">
        <v>0</v>
      </c>
    </row>
    <row r="3385" spans="1:25" x14ac:dyDescent="0.2">
      <c r="A3385" t="s">
        <v>12484</v>
      </c>
      <c r="B3385" t="s">
        <v>12485</v>
      </c>
      <c r="C3385" t="s">
        <v>12486</v>
      </c>
      <c r="D3385" t="s">
        <v>12487</v>
      </c>
      <c r="E3385" t="s">
        <v>12485</v>
      </c>
      <c r="F3385" t="s">
        <v>28</v>
      </c>
      <c r="G3385" t="s">
        <v>12485</v>
      </c>
      <c r="H3385" t="str">
        <f>"ppfr-4"</f>
        <v>ppfr-4</v>
      </c>
      <c r="I3385" t="s">
        <v>12487</v>
      </c>
      <c r="J3385" t="s">
        <v>29</v>
      </c>
      <c r="K3385" t="s">
        <v>29</v>
      </c>
      <c r="L3385" t="s">
        <v>29</v>
      </c>
      <c r="M3385">
        <v>13.544096370940199</v>
      </c>
      <c r="N3385">
        <v>13.5560782256737</v>
      </c>
      <c r="O3385">
        <v>13.282191478542201</v>
      </c>
      <c r="P3385" t="s">
        <v>29</v>
      </c>
      <c r="Q3385" t="s">
        <v>29</v>
      </c>
      <c r="R3385" t="s">
        <v>29</v>
      </c>
      <c r="S3385">
        <v>13.2803256311861</v>
      </c>
      <c r="T3385" t="s">
        <v>29</v>
      </c>
      <c r="U3385" t="s">
        <v>29</v>
      </c>
      <c r="V3385" t="s">
        <v>29</v>
      </c>
      <c r="W3385" t="s">
        <v>29</v>
      </c>
      <c r="X3385" t="s">
        <v>29</v>
      </c>
      <c r="Y3385" t="s">
        <v>29</v>
      </c>
    </row>
    <row r="3386" spans="1:25" x14ac:dyDescent="0.2">
      <c r="A3386" t="s">
        <v>12488</v>
      </c>
      <c r="B3386" t="s">
        <v>12489</v>
      </c>
      <c r="C3386" t="s">
        <v>14678</v>
      </c>
      <c r="D3386" t="s">
        <v>12490</v>
      </c>
      <c r="E3386" t="s">
        <v>12489</v>
      </c>
      <c r="F3386" t="s">
        <v>28</v>
      </c>
      <c r="G3386" t="s">
        <v>12489</v>
      </c>
      <c r="H3386" t="str">
        <f>"Y71H2B.5"</f>
        <v>Y71H2B.5</v>
      </c>
      <c r="I3386" t="s">
        <v>12490</v>
      </c>
      <c r="J3386">
        <v>13.1326390901729</v>
      </c>
      <c r="K3386">
        <v>13.0838988664516</v>
      </c>
      <c r="L3386">
        <v>12.8646772281253</v>
      </c>
      <c r="M3386">
        <v>13.0721616282657</v>
      </c>
      <c r="N3386">
        <v>13.091652703964099</v>
      </c>
      <c r="O3386">
        <v>12.609364905363</v>
      </c>
      <c r="P3386">
        <v>-0.102678649052342</v>
      </c>
      <c r="Q3386">
        <v>-0.59771329019353203</v>
      </c>
      <c r="R3386">
        <v>0.39235599208884803</v>
      </c>
      <c r="S3386">
        <v>12.769876018354401</v>
      </c>
      <c r="T3386">
        <v>-0.43781896346204602</v>
      </c>
      <c r="U3386">
        <v>-6.7825920504020303</v>
      </c>
      <c r="V3386">
        <v>0.66706334209405005</v>
      </c>
      <c r="W3386">
        <v>0.98642420921484297</v>
      </c>
      <c r="X3386">
        <v>0</v>
      </c>
      <c r="Y3386">
        <v>0</v>
      </c>
    </row>
    <row r="3387" spans="1:25" x14ac:dyDescent="0.2">
      <c r="A3387" t="s">
        <v>12491</v>
      </c>
      <c r="B3387" t="s">
        <v>12492</v>
      </c>
      <c r="C3387" t="s">
        <v>12493</v>
      </c>
      <c r="D3387" t="s">
        <v>12494</v>
      </c>
      <c r="E3387" t="s">
        <v>12492</v>
      </c>
      <c r="F3387" t="s">
        <v>28</v>
      </c>
      <c r="G3387" t="s">
        <v>12492</v>
      </c>
      <c r="H3387" t="str">
        <f>"apb-1"</f>
        <v>apb-1</v>
      </c>
      <c r="I3387" t="s">
        <v>12494</v>
      </c>
      <c r="J3387">
        <v>14.386372988454401</v>
      </c>
      <c r="K3387">
        <v>14.1943750536438</v>
      </c>
      <c r="L3387">
        <v>14.055255623673601</v>
      </c>
      <c r="M3387">
        <v>14.309519503538599</v>
      </c>
      <c r="N3387">
        <v>14.236346348815101</v>
      </c>
      <c r="O3387">
        <v>14.282233746986099</v>
      </c>
      <c r="P3387">
        <v>6.4031977855995195E-2</v>
      </c>
      <c r="Q3387">
        <v>-0.29906249004126301</v>
      </c>
      <c r="R3387">
        <v>0.42712644575325298</v>
      </c>
      <c r="S3387">
        <v>14.0256630592137</v>
      </c>
      <c r="T3387">
        <v>0.37065494442852498</v>
      </c>
      <c r="U3387">
        <v>-6.8109830967647396</v>
      </c>
      <c r="V3387">
        <v>0.71524568467350103</v>
      </c>
      <c r="W3387">
        <v>0.98786722894487999</v>
      </c>
      <c r="X3387">
        <v>0</v>
      </c>
      <c r="Y3387">
        <v>0</v>
      </c>
    </row>
    <row r="3388" spans="1:25" x14ac:dyDescent="0.2">
      <c r="A3388" t="s">
        <v>12495</v>
      </c>
      <c r="B3388" t="s">
        <v>12496</v>
      </c>
      <c r="C3388" t="s">
        <v>12497</v>
      </c>
      <c r="D3388" t="s">
        <v>12498</v>
      </c>
      <c r="E3388" t="s">
        <v>12496</v>
      </c>
      <c r="F3388" t="s">
        <v>28</v>
      </c>
      <c r="G3388" t="s">
        <v>12496</v>
      </c>
      <c r="H3388" t="str">
        <f>"gpa-17"</f>
        <v>gpa-17</v>
      </c>
      <c r="I3388" t="s">
        <v>12498</v>
      </c>
      <c r="J3388">
        <v>12.7024376636793</v>
      </c>
      <c r="K3388">
        <v>13.2792781652076</v>
      </c>
      <c r="L3388">
        <v>11.9488265492929</v>
      </c>
      <c r="M3388">
        <v>12.129159481928101</v>
      </c>
      <c r="N3388">
        <v>11.891154661900501</v>
      </c>
      <c r="O3388">
        <v>11.811337257193401</v>
      </c>
      <c r="P3388">
        <v>-0.69963032571927497</v>
      </c>
      <c r="Q3388">
        <v>-1.3217973416492399</v>
      </c>
      <c r="R3388">
        <v>-7.74633097893066E-2</v>
      </c>
      <c r="S3388">
        <v>11.5938500865112</v>
      </c>
      <c r="T3388">
        <v>-2.3982985692196301</v>
      </c>
      <c r="U3388">
        <v>-4.3189151930907297</v>
      </c>
      <c r="V3388">
        <v>3.0026955510400698E-2</v>
      </c>
      <c r="W3388">
        <v>0.38350268280793198</v>
      </c>
      <c r="X3388">
        <v>0</v>
      </c>
      <c r="Y3388">
        <v>0</v>
      </c>
    </row>
    <row r="3389" spans="1:25" x14ac:dyDescent="0.2">
      <c r="A3389" t="s">
        <v>12499</v>
      </c>
      <c r="B3389" t="s">
        <v>12500</v>
      </c>
      <c r="C3389" t="s">
        <v>14679</v>
      </c>
      <c r="D3389" t="s">
        <v>2641</v>
      </c>
      <c r="E3389" t="s">
        <v>12500</v>
      </c>
      <c r="F3389" t="s">
        <v>28</v>
      </c>
      <c r="G3389" t="s">
        <v>12500</v>
      </c>
      <c r="H3389" t="str">
        <f>"Y71F9B.1"</f>
        <v>Y71F9B.1</v>
      </c>
      <c r="I3389" t="s">
        <v>2641</v>
      </c>
      <c r="J3389" t="s">
        <v>29</v>
      </c>
      <c r="K3389" t="s">
        <v>29</v>
      </c>
      <c r="L3389" t="s">
        <v>29</v>
      </c>
      <c r="M3389" t="s">
        <v>29</v>
      </c>
      <c r="N3389" t="s">
        <v>29</v>
      </c>
      <c r="O3389" t="s">
        <v>29</v>
      </c>
      <c r="P3389" t="s">
        <v>29</v>
      </c>
      <c r="Q3389" t="s">
        <v>29</v>
      </c>
      <c r="R3389" t="s">
        <v>29</v>
      </c>
      <c r="S3389">
        <v>10.4019961639589</v>
      </c>
      <c r="T3389" t="s">
        <v>29</v>
      </c>
      <c r="U3389" t="s">
        <v>29</v>
      </c>
      <c r="V3389" t="s">
        <v>29</v>
      </c>
      <c r="W3389" t="s">
        <v>29</v>
      </c>
      <c r="X3389" t="s">
        <v>29</v>
      </c>
      <c r="Y3389" t="s">
        <v>29</v>
      </c>
    </row>
    <row r="3390" spans="1:25" x14ac:dyDescent="0.2">
      <c r="A3390" t="s">
        <v>12501</v>
      </c>
      <c r="B3390" t="s">
        <v>12502</v>
      </c>
      <c r="C3390" t="s">
        <v>12503</v>
      </c>
      <c r="D3390" t="s">
        <v>12504</v>
      </c>
      <c r="E3390" t="s">
        <v>12502</v>
      </c>
      <c r="F3390" t="s">
        <v>28</v>
      </c>
      <c r="G3390" t="s">
        <v>12502</v>
      </c>
      <c r="H3390" t="str">
        <f>"sop-3"</f>
        <v>sop-3</v>
      </c>
      <c r="I3390" t="s">
        <v>12504</v>
      </c>
      <c r="J3390">
        <v>12.282291010868599</v>
      </c>
      <c r="K3390">
        <v>12.8280065542292</v>
      </c>
      <c r="L3390">
        <v>12.593189546677699</v>
      </c>
      <c r="M3390">
        <v>12.292704766261799</v>
      </c>
      <c r="N3390">
        <v>12.140481806116499</v>
      </c>
      <c r="O3390">
        <v>12.742184129378201</v>
      </c>
      <c r="P3390">
        <v>-0.17603880333966199</v>
      </c>
      <c r="Q3390">
        <v>-0.636512647583929</v>
      </c>
      <c r="R3390">
        <v>0.28443504090460597</v>
      </c>
      <c r="S3390">
        <v>12.3756773525044</v>
      </c>
      <c r="T3390">
        <v>-0.81087324502236702</v>
      </c>
      <c r="U3390">
        <v>-6.5436846263883996</v>
      </c>
      <c r="V3390">
        <v>0.42941328447594401</v>
      </c>
      <c r="W3390">
        <v>0.91512503332874395</v>
      </c>
      <c r="X3390">
        <v>0</v>
      </c>
      <c r="Y3390">
        <v>0</v>
      </c>
    </row>
    <row r="3391" spans="1:25" x14ac:dyDescent="0.2">
      <c r="A3391" t="s">
        <v>12505</v>
      </c>
      <c r="B3391" t="s">
        <v>12506</v>
      </c>
      <c r="C3391" t="s">
        <v>12507</v>
      </c>
      <c r="D3391" t="s">
        <v>12508</v>
      </c>
      <c r="E3391" t="s">
        <v>12506</v>
      </c>
      <c r="F3391" t="s">
        <v>28</v>
      </c>
      <c r="G3391" t="s">
        <v>12506</v>
      </c>
      <c r="H3391" t="str">
        <f>"parp-1"</f>
        <v>parp-1</v>
      </c>
      <c r="I3391" t="s">
        <v>12508</v>
      </c>
      <c r="J3391">
        <v>13.395160867584201</v>
      </c>
      <c r="K3391">
        <v>12.914527147512599</v>
      </c>
      <c r="L3391">
        <v>13.220723975191101</v>
      </c>
      <c r="M3391">
        <v>13.2680662681919</v>
      </c>
      <c r="N3391">
        <v>13.2676302068392</v>
      </c>
      <c r="O3391">
        <v>12.974764677457401</v>
      </c>
      <c r="P3391">
        <v>-6.6502792664646596E-3</v>
      </c>
      <c r="Q3391">
        <v>-0.487080056393081</v>
      </c>
      <c r="R3391">
        <v>0.473779497860152</v>
      </c>
      <c r="S3391">
        <v>13.769330188241501</v>
      </c>
      <c r="T3391">
        <v>-2.9218638753516001E-2</v>
      </c>
      <c r="U3391">
        <v>-6.8820421167919701</v>
      </c>
      <c r="V3391">
        <v>0.97703259235690398</v>
      </c>
      <c r="W3391">
        <v>0.99968702248720698</v>
      </c>
      <c r="X3391">
        <v>0</v>
      </c>
      <c r="Y3391">
        <v>0</v>
      </c>
    </row>
    <row r="3392" spans="1:25" x14ac:dyDescent="0.2">
      <c r="A3392" t="s">
        <v>12509</v>
      </c>
      <c r="B3392" t="s">
        <v>12510</v>
      </c>
      <c r="C3392" t="s">
        <v>12511</v>
      </c>
      <c r="D3392" t="s">
        <v>12512</v>
      </c>
      <c r="E3392" t="s">
        <v>12510</v>
      </c>
      <c r="F3392" t="s">
        <v>28</v>
      </c>
      <c r="G3392" t="s">
        <v>12510</v>
      </c>
      <c r="H3392" t="str">
        <f>"gst-43"</f>
        <v>gst-43</v>
      </c>
      <c r="I3392" t="s">
        <v>12512</v>
      </c>
      <c r="J3392">
        <v>11.864714234487099</v>
      </c>
      <c r="K3392">
        <v>11.8865902228405</v>
      </c>
      <c r="L3392">
        <v>11.7065664142355</v>
      </c>
      <c r="M3392">
        <v>11.341746017477201</v>
      </c>
      <c r="N3392">
        <v>11.4031388184517</v>
      </c>
      <c r="O3392">
        <v>11.615178566802699</v>
      </c>
      <c r="P3392">
        <v>-0.36593582294385602</v>
      </c>
      <c r="Q3392">
        <v>-0.955071260449325</v>
      </c>
      <c r="R3392">
        <v>0.223199614561614</v>
      </c>
      <c r="S3392">
        <v>11.7102652304257</v>
      </c>
      <c r="T3392">
        <v>-1.34300312671635</v>
      </c>
      <c r="U3392">
        <v>-5.9829578080429098</v>
      </c>
      <c r="V3392">
        <v>0.20243238530840901</v>
      </c>
      <c r="W3392">
        <v>0.79075284576134597</v>
      </c>
      <c r="X3392">
        <v>0</v>
      </c>
      <c r="Y3392">
        <v>0</v>
      </c>
    </row>
    <row r="3393" spans="1:25" x14ac:dyDescent="0.2">
      <c r="A3393" t="s">
        <v>12513</v>
      </c>
      <c r="B3393" t="s">
        <v>12514</v>
      </c>
      <c r="C3393" t="s">
        <v>12515</v>
      </c>
      <c r="D3393" t="s">
        <v>12516</v>
      </c>
      <c r="E3393" t="s">
        <v>12514</v>
      </c>
      <c r="F3393" t="s">
        <v>28</v>
      </c>
      <c r="G3393" t="s">
        <v>12514</v>
      </c>
      <c r="H3393" t="str">
        <f>"copa-1"</f>
        <v>copa-1</v>
      </c>
      <c r="I3393" t="s">
        <v>12516</v>
      </c>
      <c r="J3393">
        <v>17.658957886212399</v>
      </c>
      <c r="K3393">
        <v>17.607678604832699</v>
      </c>
      <c r="L3393">
        <v>17.459149389659999</v>
      </c>
      <c r="M3393">
        <v>17.622204823203901</v>
      </c>
      <c r="N3393">
        <v>17.5257097451858</v>
      </c>
      <c r="O3393">
        <v>17.462536675399299</v>
      </c>
      <c r="P3393">
        <v>-3.8444878972043697E-2</v>
      </c>
      <c r="Q3393">
        <v>-0.37177479461616397</v>
      </c>
      <c r="R3393">
        <v>0.294885036672076</v>
      </c>
      <c r="S3393">
        <v>17.225611244654001</v>
      </c>
      <c r="T3393">
        <v>-0.242413453545132</v>
      </c>
      <c r="U3393">
        <v>-6.8518361688190303</v>
      </c>
      <c r="V3393">
        <v>0.81121633921124603</v>
      </c>
      <c r="W3393">
        <v>0.99278624068726296</v>
      </c>
      <c r="X3393">
        <v>0</v>
      </c>
      <c r="Y3393">
        <v>0</v>
      </c>
    </row>
    <row r="3394" spans="1:25" x14ac:dyDescent="0.2">
      <c r="A3394" t="s">
        <v>12517</v>
      </c>
      <c r="B3394" t="s">
        <v>12518</v>
      </c>
      <c r="C3394" t="s">
        <v>12519</v>
      </c>
      <c r="D3394" t="s">
        <v>12520</v>
      </c>
      <c r="E3394" t="s">
        <v>12518</v>
      </c>
      <c r="F3394" t="s">
        <v>28</v>
      </c>
      <c r="G3394" t="s">
        <v>12518</v>
      </c>
      <c r="H3394" t="str">
        <f>"arx-1"</f>
        <v>arx-1</v>
      </c>
      <c r="I3394" t="s">
        <v>12520</v>
      </c>
      <c r="J3394">
        <v>12.3385111672484</v>
      </c>
      <c r="K3394">
        <v>11.8935540814321</v>
      </c>
      <c r="L3394">
        <v>12.412263328516</v>
      </c>
      <c r="M3394">
        <v>12.2550736856748</v>
      </c>
      <c r="N3394">
        <v>12.2781108047157</v>
      </c>
      <c r="O3394">
        <v>12.0076475765959</v>
      </c>
      <c r="P3394">
        <v>-3.4498836736700497E-2</v>
      </c>
      <c r="Q3394">
        <v>-0.54646828374471401</v>
      </c>
      <c r="R3394">
        <v>0.47747061027131299</v>
      </c>
      <c r="S3394">
        <v>12.219576476207701</v>
      </c>
      <c r="T3394">
        <v>-0.14292557135075101</v>
      </c>
      <c r="U3394">
        <v>-6.8717520227307798</v>
      </c>
      <c r="V3394">
        <v>0.88814508304979101</v>
      </c>
      <c r="W3394">
        <v>0.99702926582654094</v>
      </c>
      <c r="X3394">
        <v>0</v>
      </c>
      <c r="Y3394">
        <v>0</v>
      </c>
    </row>
    <row r="3395" spans="1:25" x14ac:dyDescent="0.2">
      <c r="A3395" t="s">
        <v>12521</v>
      </c>
      <c r="B3395" t="s">
        <v>12522</v>
      </c>
      <c r="C3395" t="s">
        <v>14177</v>
      </c>
      <c r="D3395" t="s">
        <v>12523</v>
      </c>
      <c r="E3395" t="s">
        <v>12522</v>
      </c>
      <c r="F3395" t="s">
        <v>28</v>
      </c>
      <c r="G3395" t="s">
        <v>12522</v>
      </c>
      <c r="H3395" t="str">
        <f>"Y71F9AL.9"</f>
        <v>Y71F9AL.9</v>
      </c>
      <c r="I3395" t="s">
        <v>12523</v>
      </c>
      <c r="J3395">
        <v>11.959196759862399</v>
      </c>
      <c r="K3395">
        <v>11.9998554340238</v>
      </c>
      <c r="L3395">
        <v>12.4098824652992</v>
      </c>
      <c r="M3395">
        <v>14.2428382076397</v>
      </c>
      <c r="N3395">
        <v>14.276408790730001</v>
      </c>
      <c r="O3395">
        <v>14.1423827372635</v>
      </c>
      <c r="P3395">
        <v>2.0975650254825999</v>
      </c>
      <c r="Q3395">
        <v>1.6214374221738701</v>
      </c>
      <c r="R3395">
        <v>2.57369262879133</v>
      </c>
      <c r="S3395">
        <v>12.8956411435794</v>
      </c>
      <c r="T3395">
        <v>9.2991250073434308</v>
      </c>
      <c r="U3395">
        <v>8.8639344574138796</v>
      </c>
      <c r="V3395" s="2">
        <v>4.68726189373422E-8</v>
      </c>
      <c r="W3395" s="2">
        <v>9.1760044602044005E-6</v>
      </c>
      <c r="X3395">
        <v>1</v>
      </c>
      <c r="Y3395">
        <v>1</v>
      </c>
    </row>
    <row r="3396" spans="1:25" x14ac:dyDescent="0.2">
      <c r="A3396" t="s">
        <v>12524</v>
      </c>
      <c r="B3396" t="s">
        <v>12525</v>
      </c>
      <c r="C3396" t="s">
        <v>12526</v>
      </c>
      <c r="D3396" t="s">
        <v>12527</v>
      </c>
      <c r="E3396" t="s">
        <v>12525</v>
      </c>
      <c r="F3396" t="s">
        <v>28</v>
      </c>
      <c r="G3396" t="s">
        <v>12525</v>
      </c>
      <c r="H3396" t="str">
        <f>"rpl-1"</f>
        <v>rpl-1</v>
      </c>
      <c r="I3396" t="s">
        <v>12527</v>
      </c>
      <c r="J3396">
        <v>17.719273514033901</v>
      </c>
      <c r="K3396">
        <v>17.505817173686001</v>
      </c>
      <c r="L3396">
        <v>17.490101362193901</v>
      </c>
      <c r="M3396">
        <v>17.400866684143601</v>
      </c>
      <c r="N3396">
        <v>16.996036245141099</v>
      </c>
      <c r="O3396">
        <v>17.217086172462601</v>
      </c>
      <c r="P3396">
        <v>-0.36706764938881897</v>
      </c>
      <c r="Q3396">
        <v>-0.84126741586809095</v>
      </c>
      <c r="R3396">
        <v>0.107132117090454</v>
      </c>
      <c r="S3396">
        <v>17.121587876153999</v>
      </c>
      <c r="T3396">
        <v>-1.6269615451757999</v>
      </c>
      <c r="U3396">
        <v>-5.5935983987914204</v>
      </c>
      <c r="V3396">
        <v>0.121224464400694</v>
      </c>
      <c r="W3396">
        <v>0.708618319665276</v>
      </c>
      <c r="X3396">
        <v>0</v>
      </c>
      <c r="Y3396">
        <v>0</v>
      </c>
    </row>
    <row r="3397" spans="1:25" x14ac:dyDescent="0.2">
      <c r="A3397" t="s">
        <v>12528</v>
      </c>
      <c r="B3397" t="s">
        <v>12529</v>
      </c>
      <c r="C3397" t="s">
        <v>12530</v>
      </c>
      <c r="D3397" t="s">
        <v>12531</v>
      </c>
      <c r="E3397" t="s">
        <v>12529</v>
      </c>
      <c r="F3397" t="s">
        <v>28</v>
      </c>
      <c r="G3397" t="s">
        <v>12529</v>
      </c>
      <c r="H3397" t="str">
        <f>"vit-3"</f>
        <v>vit-3</v>
      </c>
      <c r="I3397" t="s">
        <v>12531</v>
      </c>
      <c r="J3397">
        <v>18.795656758004601</v>
      </c>
      <c r="K3397">
        <v>18.542328873176</v>
      </c>
      <c r="L3397">
        <v>19.094522904954999</v>
      </c>
      <c r="M3397">
        <v>18.5108524462057</v>
      </c>
      <c r="N3397">
        <v>18.626379629745198</v>
      </c>
      <c r="O3397">
        <v>18.4908180258264</v>
      </c>
      <c r="P3397">
        <v>-0.26815281145277597</v>
      </c>
      <c r="Q3397">
        <v>-0.67655237923445399</v>
      </c>
      <c r="R3397">
        <v>0.14024675632890299</v>
      </c>
      <c r="S3397">
        <v>19.218920101366301</v>
      </c>
      <c r="T3397">
        <v>-1.3800333891658201</v>
      </c>
      <c r="U3397">
        <v>-5.9373767791806298</v>
      </c>
      <c r="V3397">
        <v>0.184575422826987</v>
      </c>
      <c r="W3397">
        <v>0.78295732499061499</v>
      </c>
      <c r="X3397">
        <v>0</v>
      </c>
      <c r="Y3397">
        <v>0</v>
      </c>
    </row>
    <row r="3398" spans="1:25" x14ac:dyDescent="0.2">
      <c r="A3398" t="s">
        <v>12532</v>
      </c>
      <c r="B3398" t="s">
        <v>12533</v>
      </c>
      <c r="C3398" t="s">
        <v>14680</v>
      </c>
      <c r="D3398" t="s">
        <v>649</v>
      </c>
      <c r="E3398" t="s">
        <v>12533</v>
      </c>
      <c r="F3398" t="s">
        <v>28</v>
      </c>
      <c r="G3398" t="s">
        <v>12533</v>
      </c>
      <c r="H3398" t="str">
        <f>"F54A3.2"</f>
        <v>F54A3.2</v>
      </c>
      <c r="I3398" t="s">
        <v>649</v>
      </c>
      <c r="J3398">
        <v>10.6760585757049</v>
      </c>
      <c r="K3398">
        <v>10.9881733337753</v>
      </c>
      <c r="L3398">
        <v>11.5824929796687</v>
      </c>
      <c r="M3398">
        <v>10.383272134127401</v>
      </c>
      <c r="N3398" t="s">
        <v>29</v>
      </c>
      <c r="O3398">
        <v>9.4569766743850199</v>
      </c>
      <c r="P3398">
        <v>-1.16211722546011</v>
      </c>
      <c r="Q3398">
        <v>-2.3829296696954998</v>
      </c>
      <c r="R3398">
        <v>5.8695218775288903E-2</v>
      </c>
      <c r="S3398">
        <v>11.633707807175201</v>
      </c>
      <c r="T3398">
        <v>-2.0582031352175001</v>
      </c>
      <c r="U3398">
        <v>-4.8279589184031799</v>
      </c>
      <c r="V3398">
        <v>6.0371530450541E-2</v>
      </c>
      <c r="W3398">
        <v>0.52733977254435804</v>
      </c>
      <c r="X3398">
        <v>0</v>
      </c>
      <c r="Y3398">
        <v>0</v>
      </c>
    </row>
    <row r="3399" spans="1:25" x14ac:dyDescent="0.2">
      <c r="A3399" t="s">
        <v>12534</v>
      </c>
      <c r="B3399" t="s">
        <v>12535</v>
      </c>
      <c r="C3399" t="s">
        <v>12536</v>
      </c>
      <c r="D3399" t="s">
        <v>12537</v>
      </c>
      <c r="E3399" t="s">
        <v>12535</v>
      </c>
      <c r="F3399" t="s">
        <v>28</v>
      </c>
      <c r="G3399" t="s">
        <v>12535</v>
      </c>
      <c r="H3399" t="str">
        <f>"cct-3"</f>
        <v>cct-3</v>
      </c>
      <c r="I3399" t="s">
        <v>12537</v>
      </c>
      <c r="J3399">
        <v>18.466031267958002</v>
      </c>
      <c r="K3399">
        <v>18.270094321803299</v>
      </c>
      <c r="L3399">
        <v>18.290040655899102</v>
      </c>
      <c r="M3399">
        <v>18.310446831957201</v>
      </c>
      <c r="N3399">
        <v>18.339564041872599</v>
      </c>
      <c r="O3399">
        <v>18.282450171175899</v>
      </c>
      <c r="P3399">
        <v>-3.1235066884896402E-2</v>
      </c>
      <c r="Q3399">
        <v>-0.37189991163352698</v>
      </c>
      <c r="R3399">
        <v>0.30942977786373499</v>
      </c>
      <c r="S3399">
        <v>17.931919577686099</v>
      </c>
      <c r="T3399">
        <v>-0.192711501403041</v>
      </c>
      <c r="U3399">
        <v>-6.86310549817268</v>
      </c>
      <c r="V3399">
        <v>0.849355099847107</v>
      </c>
      <c r="W3399">
        <v>0.99370971747667503</v>
      </c>
      <c r="X3399">
        <v>0</v>
      </c>
      <c r="Y3399">
        <v>0</v>
      </c>
    </row>
    <row r="3400" spans="1:25" x14ac:dyDescent="0.2">
      <c r="A3400" t="s">
        <v>12538</v>
      </c>
      <c r="B3400" t="s">
        <v>12539</v>
      </c>
      <c r="C3400" t="s">
        <v>14681</v>
      </c>
      <c r="D3400" t="s">
        <v>7638</v>
      </c>
      <c r="E3400" t="s">
        <v>12539</v>
      </c>
      <c r="F3400" t="s">
        <v>28</v>
      </c>
      <c r="G3400" t="s">
        <v>12539</v>
      </c>
      <c r="H3400" t="str">
        <f>"ZK973.1"</f>
        <v>ZK973.1</v>
      </c>
      <c r="I3400" t="s">
        <v>7638</v>
      </c>
      <c r="J3400">
        <v>15.7096019161614</v>
      </c>
      <c r="K3400">
        <v>15.3016762657708</v>
      </c>
      <c r="L3400">
        <v>14.7279906419956</v>
      </c>
      <c r="M3400">
        <v>15.2708040802578</v>
      </c>
      <c r="N3400">
        <v>14.4358356585495</v>
      </c>
      <c r="O3400">
        <v>15.4968362557105</v>
      </c>
      <c r="P3400">
        <v>-0.17859760980332101</v>
      </c>
      <c r="Q3400">
        <v>-0.78183253650125595</v>
      </c>
      <c r="R3400">
        <v>0.42463731689461498</v>
      </c>
      <c r="S3400">
        <v>14.8511340427569</v>
      </c>
      <c r="T3400">
        <v>-0.62227403029723805</v>
      </c>
      <c r="U3400">
        <v>-6.6823454325388099</v>
      </c>
      <c r="V3400">
        <v>0.54161018004269801</v>
      </c>
      <c r="W3400">
        <v>0.94725981927803005</v>
      </c>
      <c r="X3400">
        <v>0</v>
      </c>
      <c r="Y3400">
        <v>0</v>
      </c>
    </row>
    <row r="3401" spans="1:25" x14ac:dyDescent="0.2">
      <c r="A3401" t="s">
        <v>12540</v>
      </c>
      <c r="B3401" t="s">
        <v>12541</v>
      </c>
      <c r="C3401" t="s">
        <v>12542</v>
      </c>
      <c r="D3401" t="s">
        <v>3680</v>
      </c>
      <c r="E3401" t="s">
        <v>12541</v>
      </c>
      <c r="F3401" t="s">
        <v>28</v>
      </c>
      <c r="G3401" t="s">
        <v>12541</v>
      </c>
      <c r="H3401" t="str">
        <f>"cec-10"</f>
        <v>cec-10</v>
      </c>
      <c r="I3401" t="s">
        <v>3680</v>
      </c>
      <c r="J3401" t="s">
        <v>29</v>
      </c>
      <c r="K3401">
        <v>11.949671822298599</v>
      </c>
      <c r="L3401" t="s">
        <v>29</v>
      </c>
      <c r="M3401" t="s">
        <v>29</v>
      </c>
      <c r="N3401">
        <v>11.6725541738969</v>
      </c>
      <c r="O3401" t="s">
        <v>29</v>
      </c>
      <c r="P3401">
        <v>-0.27711764840171299</v>
      </c>
      <c r="Q3401">
        <v>-1.02428627379505</v>
      </c>
      <c r="R3401">
        <v>0.47005097699162801</v>
      </c>
      <c r="S3401">
        <v>12.229301182297601</v>
      </c>
      <c r="T3401">
        <v>-0.82758469115734701</v>
      </c>
      <c r="U3401">
        <v>-5.9902216852863299</v>
      </c>
      <c r="V3401">
        <v>0.42741356809750802</v>
      </c>
      <c r="W3401">
        <v>0.91512503332874395</v>
      </c>
      <c r="X3401">
        <v>0</v>
      </c>
      <c r="Y3401">
        <v>0</v>
      </c>
    </row>
    <row r="3402" spans="1:25" x14ac:dyDescent="0.2">
      <c r="A3402" t="s">
        <v>12543</v>
      </c>
      <c r="B3402" t="s">
        <v>12544</v>
      </c>
      <c r="C3402" t="s">
        <v>12545</v>
      </c>
      <c r="D3402" t="s">
        <v>11632</v>
      </c>
      <c r="E3402" t="s">
        <v>12544</v>
      </c>
      <c r="F3402" t="s">
        <v>28</v>
      </c>
      <c r="G3402" t="s">
        <v>12544</v>
      </c>
      <c r="H3402" t="str">
        <f>"pdp-1"</f>
        <v>pdp-1</v>
      </c>
      <c r="I3402" t="s">
        <v>11632</v>
      </c>
      <c r="J3402">
        <v>12.7561999571407</v>
      </c>
      <c r="K3402">
        <v>12.7788188721326</v>
      </c>
      <c r="L3402">
        <v>12.9406946596878</v>
      </c>
      <c r="M3402">
        <v>12.5316486894348</v>
      </c>
      <c r="N3402">
        <v>12.8380594142813</v>
      </c>
      <c r="O3402">
        <v>12.446348094485</v>
      </c>
      <c r="P3402">
        <v>-0.21988576358668299</v>
      </c>
      <c r="Q3402">
        <v>-0.61678492048469302</v>
      </c>
      <c r="R3402">
        <v>0.17701339331132601</v>
      </c>
      <c r="S3402">
        <v>12.8843008672444</v>
      </c>
      <c r="T3402">
        <v>-1.1750773779114601</v>
      </c>
      <c r="U3402">
        <v>-6.1863536727328698</v>
      </c>
      <c r="V3402">
        <v>0.25726682754153701</v>
      </c>
      <c r="W3402">
        <v>0.83706879678059698</v>
      </c>
      <c r="X3402">
        <v>0</v>
      </c>
      <c r="Y3402">
        <v>0</v>
      </c>
    </row>
    <row r="3403" spans="1:25" x14ac:dyDescent="0.2">
      <c r="A3403" t="s">
        <v>12546</v>
      </c>
      <c r="B3403" t="s">
        <v>12547</v>
      </c>
      <c r="C3403" t="s">
        <v>12548</v>
      </c>
      <c r="D3403" t="s">
        <v>12549</v>
      </c>
      <c r="E3403" t="s">
        <v>12547</v>
      </c>
      <c r="F3403" t="s">
        <v>28</v>
      </c>
      <c r="G3403" t="s">
        <v>12547</v>
      </c>
      <c r="H3403" t="str">
        <f>"anc-1"</f>
        <v>anc-1</v>
      </c>
      <c r="I3403" t="s">
        <v>12549</v>
      </c>
      <c r="J3403">
        <v>13.298059752452099</v>
      </c>
      <c r="K3403">
        <v>13.2842664327124</v>
      </c>
      <c r="L3403">
        <v>12.9388944649831</v>
      </c>
      <c r="M3403">
        <v>14.192011388806</v>
      </c>
      <c r="N3403">
        <v>13.8449283215497</v>
      </c>
      <c r="O3403">
        <v>13.951007048622699</v>
      </c>
      <c r="P3403">
        <v>0.82224203627691494</v>
      </c>
      <c r="Q3403">
        <v>0.38927002749113998</v>
      </c>
      <c r="R3403">
        <v>1.2552140450626901</v>
      </c>
      <c r="S3403">
        <v>13.9538920508211</v>
      </c>
      <c r="T3403">
        <v>4.0085736603326199</v>
      </c>
      <c r="U3403">
        <v>-0.989382879472818</v>
      </c>
      <c r="V3403">
        <v>9.2011328927177804E-4</v>
      </c>
      <c r="W3403">
        <v>2.9443625256696901E-2</v>
      </c>
      <c r="X3403">
        <v>0</v>
      </c>
      <c r="Y3403">
        <v>0</v>
      </c>
    </row>
    <row r="3404" spans="1:25" x14ac:dyDescent="0.2">
      <c r="A3404" t="s">
        <v>12550</v>
      </c>
      <c r="B3404" t="s">
        <v>12551</v>
      </c>
      <c r="C3404" t="s">
        <v>12552</v>
      </c>
      <c r="D3404" t="s">
        <v>12553</v>
      </c>
      <c r="E3404" t="s">
        <v>12551</v>
      </c>
      <c r="F3404" t="s">
        <v>28</v>
      </c>
      <c r="G3404" t="s">
        <v>12551</v>
      </c>
      <c r="H3404" t="str">
        <f>"perm-3"</f>
        <v>perm-3</v>
      </c>
      <c r="I3404" t="s">
        <v>12553</v>
      </c>
      <c r="J3404">
        <v>14.9808613052582</v>
      </c>
      <c r="K3404">
        <v>15.352051095497099</v>
      </c>
      <c r="L3404">
        <v>14.944385571071299</v>
      </c>
      <c r="M3404">
        <v>14.3157187052777</v>
      </c>
      <c r="N3404">
        <v>14.830668675637099</v>
      </c>
      <c r="O3404">
        <v>14.6299587585476</v>
      </c>
      <c r="P3404">
        <v>-0.50031727745475996</v>
      </c>
      <c r="Q3404">
        <v>-0.90563920308803203</v>
      </c>
      <c r="R3404">
        <v>-9.49953518214883E-2</v>
      </c>
      <c r="S3404">
        <v>14.8443575706575</v>
      </c>
      <c r="T3404">
        <v>-2.6181524626346802</v>
      </c>
      <c r="U3404">
        <v>-3.8911234197502802</v>
      </c>
      <c r="V3404">
        <v>1.8713475835127599E-2</v>
      </c>
      <c r="W3404">
        <v>0.27338841182928197</v>
      </c>
      <c r="X3404">
        <v>0</v>
      </c>
      <c r="Y3404">
        <v>0</v>
      </c>
    </row>
    <row r="3405" spans="1:25" x14ac:dyDescent="0.2">
      <c r="A3405" t="s">
        <v>12554</v>
      </c>
      <c r="B3405" t="s">
        <v>12555</v>
      </c>
      <c r="C3405" t="s">
        <v>12556</v>
      </c>
      <c r="D3405" t="s">
        <v>12557</v>
      </c>
      <c r="E3405" t="s">
        <v>12555</v>
      </c>
      <c r="F3405" t="s">
        <v>28</v>
      </c>
      <c r="G3405" t="s">
        <v>12555</v>
      </c>
      <c r="H3405" t="str">
        <f>"swsn-6"</f>
        <v>swsn-6</v>
      </c>
      <c r="I3405" t="s">
        <v>12557</v>
      </c>
      <c r="J3405">
        <v>13.8686163689854</v>
      </c>
      <c r="K3405">
        <v>13.7072433225034</v>
      </c>
      <c r="L3405">
        <v>13.758261791557899</v>
      </c>
      <c r="M3405">
        <v>14.0212206239616</v>
      </c>
      <c r="N3405">
        <v>14.031008665540099</v>
      </c>
      <c r="O3405">
        <v>14.0397858764026</v>
      </c>
      <c r="P3405">
        <v>0.25263122761921702</v>
      </c>
      <c r="Q3405">
        <v>-0.199502093379163</v>
      </c>
      <c r="R3405">
        <v>0.70476454861759696</v>
      </c>
      <c r="S3405">
        <v>14.1088774648588</v>
      </c>
      <c r="T3405">
        <v>1.1743918564646301</v>
      </c>
      <c r="U3405">
        <v>-6.1885550589628897</v>
      </c>
      <c r="V3405">
        <v>0.25563020162068101</v>
      </c>
      <c r="W3405">
        <v>0.83701250057606502</v>
      </c>
      <c r="X3405">
        <v>0</v>
      </c>
      <c r="Y3405">
        <v>0</v>
      </c>
    </row>
    <row r="3406" spans="1:25" x14ac:dyDescent="0.2">
      <c r="A3406" t="s">
        <v>12558</v>
      </c>
      <c r="B3406" t="s">
        <v>12559</v>
      </c>
      <c r="C3406" t="s">
        <v>14682</v>
      </c>
      <c r="D3406" t="s">
        <v>12560</v>
      </c>
      <c r="E3406" t="s">
        <v>12559</v>
      </c>
      <c r="F3406" t="s">
        <v>28</v>
      </c>
      <c r="G3406" t="s">
        <v>12559</v>
      </c>
      <c r="H3406" t="str">
        <f>"ZK121.2"</f>
        <v>ZK121.2</v>
      </c>
      <c r="I3406" t="s">
        <v>12560</v>
      </c>
      <c r="J3406">
        <v>12.503316476319</v>
      </c>
      <c r="K3406" t="s">
        <v>29</v>
      </c>
      <c r="L3406" t="s">
        <v>29</v>
      </c>
      <c r="M3406">
        <v>12.9490960800574</v>
      </c>
      <c r="N3406">
        <v>12.7132929285202</v>
      </c>
      <c r="O3406" t="s">
        <v>29</v>
      </c>
      <c r="P3406">
        <v>0.32787802796971599</v>
      </c>
      <c r="Q3406">
        <v>-0.703771867629156</v>
      </c>
      <c r="R3406">
        <v>1.35952792356859</v>
      </c>
      <c r="S3406">
        <v>12.927158468563499</v>
      </c>
      <c r="T3406">
        <v>0.70033796372478097</v>
      </c>
      <c r="U3406">
        <v>-6.2276607725517001</v>
      </c>
      <c r="V3406">
        <v>0.49839893187392198</v>
      </c>
      <c r="W3406">
        <v>0.94062983959761604</v>
      </c>
      <c r="X3406">
        <v>0</v>
      </c>
      <c r="Y3406">
        <v>0</v>
      </c>
    </row>
    <row r="3407" spans="1:25" x14ac:dyDescent="0.2">
      <c r="A3407" t="s">
        <v>12561</v>
      </c>
      <c r="B3407" t="s">
        <v>12562</v>
      </c>
      <c r="C3407" t="s">
        <v>14683</v>
      </c>
      <c r="D3407" t="s">
        <v>12563</v>
      </c>
      <c r="E3407" t="s">
        <v>12562</v>
      </c>
      <c r="F3407" t="s">
        <v>28</v>
      </c>
      <c r="G3407" t="s">
        <v>12562</v>
      </c>
      <c r="H3407" t="str">
        <f>"Y53G8B.2"</f>
        <v>Y53G8B.2</v>
      </c>
      <c r="I3407" t="s">
        <v>12563</v>
      </c>
      <c r="J3407">
        <v>12.3520815842571</v>
      </c>
      <c r="K3407">
        <v>12.9613020045359</v>
      </c>
      <c r="L3407">
        <v>13.107472618185801</v>
      </c>
      <c r="M3407">
        <v>12.6664751393941</v>
      </c>
      <c r="N3407">
        <v>12.936937849573701</v>
      </c>
      <c r="O3407">
        <v>13.362779470278801</v>
      </c>
      <c r="P3407">
        <v>0.18177875075591701</v>
      </c>
      <c r="Q3407">
        <v>-0.32118227297080199</v>
      </c>
      <c r="R3407">
        <v>0.68473977448263701</v>
      </c>
      <c r="S3407">
        <v>13.245867590501501</v>
      </c>
      <c r="T3407">
        <v>0.76658146261817595</v>
      </c>
      <c r="U3407">
        <v>-6.5790344069050999</v>
      </c>
      <c r="V3407">
        <v>0.45456578851936202</v>
      </c>
      <c r="W3407">
        <v>0.92582104169957002</v>
      </c>
      <c r="X3407">
        <v>0</v>
      </c>
      <c r="Y3407">
        <v>0</v>
      </c>
    </row>
    <row r="3408" spans="1:25" x14ac:dyDescent="0.2">
      <c r="A3408" t="s">
        <v>12564</v>
      </c>
      <c r="B3408" t="s">
        <v>12565</v>
      </c>
      <c r="C3408" t="s">
        <v>14684</v>
      </c>
      <c r="D3408" t="s">
        <v>12566</v>
      </c>
      <c r="E3408" t="s">
        <v>12565</v>
      </c>
      <c r="F3408" t="s">
        <v>28</v>
      </c>
      <c r="G3408" t="s">
        <v>12565</v>
      </c>
      <c r="H3408" t="str">
        <f>"Y47D9A.1"</f>
        <v>Y47D9A.1</v>
      </c>
      <c r="I3408" t="s">
        <v>12566</v>
      </c>
      <c r="J3408">
        <v>13.7151478047219</v>
      </c>
      <c r="K3408">
        <v>14.1300891539557</v>
      </c>
      <c r="L3408">
        <v>13.944365467968501</v>
      </c>
      <c r="M3408">
        <v>13.520217016023899</v>
      </c>
      <c r="N3408">
        <v>13.9422295120199</v>
      </c>
      <c r="O3408">
        <v>13.9059846355832</v>
      </c>
      <c r="P3408">
        <v>-0.14039042100642801</v>
      </c>
      <c r="Q3408">
        <v>-0.51472045991992699</v>
      </c>
      <c r="R3408">
        <v>0.23393961790707099</v>
      </c>
      <c r="S3408">
        <v>13.468709218549799</v>
      </c>
      <c r="T3408">
        <v>-0.79548560812161295</v>
      </c>
      <c r="U3408">
        <v>-6.55617343703521</v>
      </c>
      <c r="V3408">
        <v>0.43804968564117402</v>
      </c>
      <c r="W3408">
        <v>0.91824106585927701</v>
      </c>
      <c r="X3408">
        <v>0</v>
      </c>
      <c r="Y3408">
        <v>0</v>
      </c>
    </row>
    <row r="3409" spans="1:25" x14ac:dyDescent="0.2">
      <c r="A3409" t="s">
        <v>12567</v>
      </c>
      <c r="B3409" t="s">
        <v>12568</v>
      </c>
      <c r="C3409" t="s">
        <v>12569</v>
      </c>
      <c r="D3409" t="s">
        <v>2051</v>
      </c>
      <c r="E3409" t="s">
        <v>12568</v>
      </c>
      <c r="F3409" t="s">
        <v>28</v>
      </c>
      <c r="G3409" t="s">
        <v>12568</v>
      </c>
      <c r="H3409" t="str">
        <f>"fbxc-51"</f>
        <v>fbxc-51</v>
      </c>
      <c r="I3409" t="s">
        <v>2051</v>
      </c>
      <c r="J3409">
        <v>13.1002106683903</v>
      </c>
      <c r="K3409">
        <v>13.1623768153533</v>
      </c>
      <c r="L3409">
        <v>12.672080386973599</v>
      </c>
      <c r="M3409">
        <v>13.633344859005</v>
      </c>
      <c r="N3409">
        <v>12.8424207669701</v>
      </c>
      <c r="O3409">
        <v>12.466294417872501</v>
      </c>
      <c r="P3409">
        <v>2.46405771011027E-3</v>
      </c>
      <c r="Q3409">
        <v>-0.80137224628415604</v>
      </c>
      <c r="R3409">
        <v>0.80630036170437602</v>
      </c>
      <c r="S3409">
        <v>12.754453864668401</v>
      </c>
      <c r="T3409">
        <v>6.5376981410381896E-3</v>
      </c>
      <c r="U3409">
        <v>-6.8824670040528604</v>
      </c>
      <c r="V3409">
        <v>0.99487046689585501</v>
      </c>
      <c r="W3409">
        <v>0.99968702248720698</v>
      </c>
      <c r="X3409">
        <v>0</v>
      </c>
      <c r="Y3409">
        <v>0</v>
      </c>
    </row>
    <row r="3410" spans="1:25" x14ac:dyDescent="0.2">
      <c r="A3410" t="s">
        <v>12570</v>
      </c>
      <c r="B3410" t="s">
        <v>12571</v>
      </c>
      <c r="C3410" t="s">
        <v>12572</v>
      </c>
      <c r="D3410" t="s">
        <v>12573</v>
      </c>
      <c r="E3410" t="s">
        <v>12571</v>
      </c>
      <c r="F3410" t="s">
        <v>28</v>
      </c>
      <c r="G3410" t="s">
        <v>12571</v>
      </c>
      <c r="H3410" t="str">
        <f>"nuo-5"</f>
        <v>nuo-5</v>
      </c>
      <c r="I3410" t="s">
        <v>12573</v>
      </c>
      <c r="J3410">
        <v>14.7958667605006</v>
      </c>
      <c r="K3410">
        <v>15.0344003011555</v>
      </c>
      <c r="L3410">
        <v>15.059474099555199</v>
      </c>
      <c r="M3410">
        <v>14.682351893771299</v>
      </c>
      <c r="N3410">
        <v>15.253016742500501</v>
      </c>
      <c r="O3410">
        <v>14.6180943355713</v>
      </c>
      <c r="P3410">
        <v>-0.112092729789389</v>
      </c>
      <c r="Q3410">
        <v>-0.71415432258646205</v>
      </c>
      <c r="R3410">
        <v>0.489968863007685</v>
      </c>
      <c r="S3410">
        <v>15.228153136306</v>
      </c>
      <c r="T3410">
        <v>-0.39131728850592701</v>
      </c>
      <c r="U3410">
        <v>-6.80282373563288</v>
      </c>
      <c r="V3410">
        <v>0.70018298780432797</v>
      </c>
      <c r="W3410">
        <v>0.98642420921484297</v>
      </c>
      <c r="X3410">
        <v>0</v>
      </c>
      <c r="Y3410">
        <v>0</v>
      </c>
    </row>
    <row r="3411" spans="1:25" x14ac:dyDescent="0.2">
      <c r="A3411" t="s">
        <v>12574</v>
      </c>
      <c r="B3411" t="s">
        <v>12575</v>
      </c>
      <c r="C3411" t="s">
        <v>12576</v>
      </c>
      <c r="D3411" t="s">
        <v>12577</v>
      </c>
      <c r="E3411" t="s">
        <v>12575</v>
      </c>
      <c r="F3411" t="s">
        <v>28</v>
      </c>
      <c r="G3411" t="s">
        <v>12575</v>
      </c>
      <c r="H3411" t="str">
        <f>"Y45G12B.3"</f>
        <v>Y45G12B.3</v>
      </c>
      <c r="I3411" t="s">
        <v>12577</v>
      </c>
      <c r="J3411">
        <v>16.0136891995257</v>
      </c>
      <c r="K3411">
        <v>15.808921414194</v>
      </c>
      <c r="L3411">
        <v>15.564683599431101</v>
      </c>
      <c r="M3411">
        <v>15.4825245156409</v>
      </c>
      <c r="N3411">
        <v>15.4694493947342</v>
      </c>
      <c r="O3411">
        <v>15.4657026761554</v>
      </c>
      <c r="P3411">
        <v>-0.32320587554010199</v>
      </c>
      <c r="Q3411">
        <v>-0.82488488905031399</v>
      </c>
      <c r="R3411">
        <v>0.178473137970109</v>
      </c>
      <c r="S3411">
        <v>15.442810231447201</v>
      </c>
      <c r="T3411">
        <v>-1.3540846862674201</v>
      </c>
      <c r="U3411">
        <v>-5.97090475801705</v>
      </c>
      <c r="V3411">
        <v>0.19256344409408399</v>
      </c>
      <c r="W3411">
        <v>0.78375110332522002</v>
      </c>
      <c r="X3411">
        <v>0</v>
      </c>
      <c r="Y3411">
        <v>0</v>
      </c>
    </row>
    <row r="3412" spans="1:25" x14ac:dyDescent="0.2">
      <c r="A3412" t="s">
        <v>12578</v>
      </c>
      <c r="B3412" t="s">
        <v>12579</v>
      </c>
      <c r="C3412" t="s">
        <v>14685</v>
      </c>
      <c r="D3412" t="s">
        <v>12580</v>
      </c>
      <c r="E3412" t="s">
        <v>12579</v>
      </c>
      <c r="F3412" t="s">
        <v>28</v>
      </c>
      <c r="G3412" t="s">
        <v>12579</v>
      </c>
      <c r="H3412" t="str">
        <f>"Y32H12A.8"</f>
        <v>Y32H12A.8</v>
      </c>
      <c r="I3412" t="s">
        <v>12580</v>
      </c>
      <c r="J3412">
        <v>12.051420541932499</v>
      </c>
      <c r="K3412">
        <v>12.5887535817592</v>
      </c>
      <c r="L3412">
        <v>13.803138298352399</v>
      </c>
      <c r="M3412">
        <v>11.6007009451583</v>
      </c>
      <c r="N3412">
        <v>12.810295202237301</v>
      </c>
      <c r="O3412">
        <v>13.0270207792029</v>
      </c>
      <c r="P3412">
        <v>-0.33509849848186202</v>
      </c>
      <c r="Q3412">
        <v>-1.2035474370732699</v>
      </c>
      <c r="R3412">
        <v>0.53335044010954802</v>
      </c>
      <c r="S3412">
        <v>12.851632141945601</v>
      </c>
      <c r="T3412">
        <v>-0.82817112805298698</v>
      </c>
      <c r="U3412">
        <v>-6.5274492570575298</v>
      </c>
      <c r="V3412">
        <v>0.42157105820526702</v>
      </c>
      <c r="W3412">
        <v>0.91512503332874395</v>
      </c>
      <c r="X3412">
        <v>0</v>
      </c>
      <c r="Y3412">
        <v>0</v>
      </c>
    </row>
    <row r="3413" spans="1:25" x14ac:dyDescent="0.2">
      <c r="A3413" t="s">
        <v>12581</v>
      </c>
      <c r="B3413" t="s">
        <v>12582</v>
      </c>
      <c r="C3413" t="s">
        <v>12583</v>
      </c>
      <c r="D3413" t="s">
        <v>12584</v>
      </c>
      <c r="E3413" t="s">
        <v>12582</v>
      </c>
      <c r="F3413" t="s">
        <v>28</v>
      </c>
      <c r="G3413" t="s">
        <v>12582</v>
      </c>
      <c r="H3413" t="str">
        <f>"dhs-9"</f>
        <v>dhs-9</v>
      </c>
      <c r="I3413" t="s">
        <v>12584</v>
      </c>
      <c r="J3413">
        <v>14.989204354407899</v>
      </c>
      <c r="K3413">
        <v>15.042745217704899</v>
      </c>
      <c r="L3413">
        <v>14.8039502729587</v>
      </c>
      <c r="M3413">
        <v>14.8540740874836</v>
      </c>
      <c r="N3413">
        <v>14.9931262185079</v>
      </c>
      <c r="O3413">
        <v>15.1397699410199</v>
      </c>
      <c r="P3413">
        <v>5.0356800646646598E-2</v>
      </c>
      <c r="Q3413">
        <v>-0.25938837576378798</v>
      </c>
      <c r="R3413">
        <v>0.36010197705708102</v>
      </c>
      <c r="S3413">
        <v>14.630380893470701</v>
      </c>
      <c r="T3413">
        <v>0.34170087522947501</v>
      </c>
      <c r="U3413">
        <v>-6.82168316554879</v>
      </c>
      <c r="V3413">
        <v>0.73655587519641297</v>
      </c>
      <c r="W3413">
        <v>0.99093639417984203</v>
      </c>
      <c r="X3413">
        <v>0</v>
      </c>
      <c r="Y3413">
        <v>0</v>
      </c>
    </row>
    <row r="3414" spans="1:25" x14ac:dyDescent="0.2">
      <c r="A3414" t="s">
        <v>12585</v>
      </c>
      <c r="B3414" t="s">
        <v>12586</v>
      </c>
      <c r="C3414" t="s">
        <v>14686</v>
      </c>
      <c r="D3414" t="s">
        <v>12587</v>
      </c>
      <c r="E3414" t="s">
        <v>12586</v>
      </c>
      <c r="F3414" t="s">
        <v>28</v>
      </c>
      <c r="G3414" t="s">
        <v>12586</v>
      </c>
      <c r="H3414" t="str">
        <f>"Y17G9B.5"</f>
        <v>Y17G9B.5</v>
      </c>
      <c r="I3414" t="s">
        <v>12587</v>
      </c>
      <c r="J3414">
        <v>11.4971925979572</v>
      </c>
      <c r="K3414">
        <v>12.2039134101096</v>
      </c>
      <c r="L3414">
        <v>12.6311153017281</v>
      </c>
      <c r="M3414">
        <v>11.794674593601099</v>
      </c>
      <c r="N3414">
        <v>12.441470800160401</v>
      </c>
      <c r="O3414">
        <v>11.9372416446103</v>
      </c>
      <c r="P3414">
        <v>-5.2944757141025499E-2</v>
      </c>
      <c r="Q3414">
        <v>-0.72802400785784105</v>
      </c>
      <c r="R3414">
        <v>0.62213449357578998</v>
      </c>
      <c r="S3414">
        <v>12.8279836735007</v>
      </c>
      <c r="T3414">
        <v>-0.16634805627903501</v>
      </c>
      <c r="U3414">
        <v>-6.8679476796416896</v>
      </c>
      <c r="V3414">
        <v>0.869980662177393</v>
      </c>
      <c r="W3414">
        <v>0.99457622291666603</v>
      </c>
      <c r="X3414">
        <v>0</v>
      </c>
      <c r="Y3414">
        <v>0</v>
      </c>
    </row>
    <row r="3415" spans="1:25" x14ac:dyDescent="0.2">
      <c r="A3415" t="s">
        <v>12588</v>
      </c>
      <c r="B3415" t="s">
        <v>12589</v>
      </c>
      <c r="C3415" t="s">
        <v>12590</v>
      </c>
      <c r="D3415" t="s">
        <v>12591</v>
      </c>
      <c r="E3415" t="s">
        <v>12589</v>
      </c>
      <c r="F3415" t="s">
        <v>28</v>
      </c>
      <c r="G3415" t="s">
        <v>12589</v>
      </c>
      <c r="H3415" t="str">
        <f>"let-630"</f>
        <v>let-630</v>
      </c>
      <c r="I3415" t="s">
        <v>12591</v>
      </c>
      <c r="J3415">
        <v>13.450448591530799</v>
      </c>
      <c r="K3415">
        <v>13.384642035592201</v>
      </c>
      <c r="L3415">
        <v>13.386360102363</v>
      </c>
      <c r="M3415">
        <v>13.3044585707976</v>
      </c>
      <c r="N3415">
        <v>13.327036612897</v>
      </c>
      <c r="O3415">
        <v>13.0809662797786</v>
      </c>
      <c r="P3415">
        <v>-0.16966308867089799</v>
      </c>
      <c r="Q3415">
        <v>-0.64981806263972697</v>
      </c>
      <c r="R3415">
        <v>0.31049188529792998</v>
      </c>
      <c r="S3415">
        <v>13.7025017012606</v>
      </c>
      <c r="T3415">
        <v>-0.74267439307156602</v>
      </c>
      <c r="U3415">
        <v>-6.5986947668944804</v>
      </c>
      <c r="V3415">
        <v>0.46731677993045201</v>
      </c>
      <c r="W3415">
        <v>0.92978583625257705</v>
      </c>
      <c r="X3415">
        <v>0</v>
      </c>
      <c r="Y3415">
        <v>0</v>
      </c>
    </row>
    <row r="3416" spans="1:25" x14ac:dyDescent="0.2">
      <c r="A3416" t="s">
        <v>12592</v>
      </c>
      <c r="B3416" t="s">
        <v>12593</v>
      </c>
      <c r="C3416" t="s">
        <v>12594</v>
      </c>
      <c r="D3416" t="s">
        <v>12595</v>
      </c>
      <c r="E3416" t="s">
        <v>12593</v>
      </c>
      <c r="F3416" t="s">
        <v>28</v>
      </c>
      <c r="G3416" t="s">
        <v>12593</v>
      </c>
      <c r="H3416" t="str">
        <f>"mtm-1"</f>
        <v>mtm-1</v>
      </c>
      <c r="I3416" t="s">
        <v>12595</v>
      </c>
      <c r="J3416">
        <v>12.5912807013475</v>
      </c>
      <c r="K3416">
        <v>12.939670348845</v>
      </c>
      <c r="L3416">
        <v>12.000966414279301</v>
      </c>
      <c r="M3416">
        <v>13.329515050181101</v>
      </c>
      <c r="N3416">
        <v>12.956975672313201</v>
      </c>
      <c r="O3416">
        <v>13.156766764594799</v>
      </c>
      <c r="P3416">
        <v>0.63711334087243499</v>
      </c>
      <c r="Q3416">
        <v>0.18153169197628199</v>
      </c>
      <c r="R3416">
        <v>1.09269498976859</v>
      </c>
      <c r="S3416">
        <v>12.8503483438715</v>
      </c>
      <c r="T3416">
        <v>2.9661971057768102</v>
      </c>
      <c r="U3416">
        <v>-3.2091910821808698</v>
      </c>
      <c r="V3416">
        <v>9.1487586555232502E-3</v>
      </c>
      <c r="W3416">
        <v>0.168215849754593</v>
      </c>
      <c r="X3416">
        <v>0</v>
      </c>
      <c r="Y3416">
        <v>0</v>
      </c>
    </row>
    <row r="3417" spans="1:25" x14ac:dyDescent="0.2">
      <c r="A3417" t="s">
        <v>12596</v>
      </c>
      <c r="B3417" t="s">
        <v>12597</v>
      </c>
      <c r="C3417" t="s">
        <v>12598</v>
      </c>
      <c r="D3417" t="s">
        <v>12599</v>
      </c>
      <c r="E3417" t="s">
        <v>12597</v>
      </c>
      <c r="F3417" t="s">
        <v>28</v>
      </c>
      <c r="G3417" t="s">
        <v>12597</v>
      </c>
      <c r="H3417" t="str">
        <f>"pfkb-1.1"</f>
        <v>pfkb-1.1</v>
      </c>
      <c r="I3417" t="s">
        <v>12599</v>
      </c>
      <c r="J3417">
        <v>11.6895300372028</v>
      </c>
      <c r="K3417" t="s">
        <v>29</v>
      </c>
      <c r="L3417" t="s">
        <v>29</v>
      </c>
      <c r="M3417">
        <v>13.445766542338299</v>
      </c>
      <c r="N3417">
        <v>13.0304773976207</v>
      </c>
      <c r="O3417">
        <v>12.4786076473173</v>
      </c>
      <c r="P3417">
        <v>1.29542049188931</v>
      </c>
      <c r="Q3417">
        <v>0.13851103357991501</v>
      </c>
      <c r="R3417">
        <v>2.4523299501986999</v>
      </c>
      <c r="S3417">
        <v>12.950795678508401</v>
      </c>
      <c r="T3417">
        <v>2.3881026851792599</v>
      </c>
      <c r="U3417">
        <v>-4.0265595912083896</v>
      </c>
      <c r="V3417">
        <v>3.06296726601532E-2</v>
      </c>
      <c r="W3417">
        <v>0.38350268280793198</v>
      </c>
      <c r="X3417">
        <v>1</v>
      </c>
      <c r="Y3417">
        <v>0</v>
      </c>
    </row>
    <row r="3418" spans="1:25" x14ac:dyDescent="0.2">
      <c r="A3418" t="s">
        <v>12600</v>
      </c>
      <c r="B3418" t="s">
        <v>12601</v>
      </c>
      <c r="C3418" t="s">
        <v>12602</v>
      </c>
      <c r="D3418" t="s">
        <v>12603</v>
      </c>
      <c r="E3418" t="s">
        <v>12601</v>
      </c>
      <c r="F3418" t="s">
        <v>28</v>
      </c>
      <c r="G3418" t="s">
        <v>12601</v>
      </c>
      <c r="H3418" t="str">
        <f>"prp-31"</f>
        <v>prp-31</v>
      </c>
      <c r="I3418" t="s">
        <v>12603</v>
      </c>
      <c r="J3418">
        <v>14.4372472642732</v>
      </c>
      <c r="K3418">
        <v>14.396370172303801</v>
      </c>
      <c r="L3418">
        <v>14.274591376259201</v>
      </c>
      <c r="M3418">
        <v>14.2579679417</v>
      </c>
      <c r="N3418">
        <v>14.1381934851235</v>
      </c>
      <c r="O3418">
        <v>14.082906211931601</v>
      </c>
      <c r="P3418">
        <v>-0.20971372469373001</v>
      </c>
      <c r="Q3418">
        <v>-0.57881101822911896</v>
      </c>
      <c r="R3418">
        <v>0.159383568841659</v>
      </c>
      <c r="S3418">
        <v>14.214620772958799</v>
      </c>
      <c r="T3418">
        <v>-1.1942039579516801</v>
      </c>
      <c r="U3418">
        <v>-6.1658363918835999</v>
      </c>
      <c r="V3418">
        <v>0.24798817315185501</v>
      </c>
      <c r="W3418">
        <v>0.83196032283203103</v>
      </c>
      <c r="X3418">
        <v>0</v>
      </c>
      <c r="Y3418">
        <v>0</v>
      </c>
    </row>
    <row r="3419" spans="1:25" x14ac:dyDescent="0.2">
      <c r="A3419" t="s">
        <v>12604</v>
      </c>
      <c r="B3419" t="s">
        <v>12605</v>
      </c>
      <c r="C3419" t="s">
        <v>12606</v>
      </c>
      <c r="D3419" t="s">
        <v>12607</v>
      </c>
      <c r="E3419" t="s">
        <v>12605</v>
      </c>
      <c r="F3419" t="s">
        <v>28</v>
      </c>
      <c r="G3419" t="s">
        <v>12605</v>
      </c>
      <c r="H3419" t="str">
        <f>"mat-1"</f>
        <v>mat-1</v>
      </c>
      <c r="I3419" t="s">
        <v>12607</v>
      </c>
      <c r="J3419">
        <v>14.0103387986776</v>
      </c>
      <c r="K3419">
        <v>14.4548957305734</v>
      </c>
      <c r="L3419">
        <v>14.7489740596424</v>
      </c>
      <c r="M3419">
        <v>13.953212022330799</v>
      </c>
      <c r="N3419">
        <v>14.385924425047101</v>
      </c>
      <c r="O3419">
        <v>13.9877828828105</v>
      </c>
      <c r="P3419">
        <v>-0.295763086235031</v>
      </c>
      <c r="Q3419">
        <v>-0.91702852170833904</v>
      </c>
      <c r="R3419">
        <v>0.32550234923827798</v>
      </c>
      <c r="S3419">
        <v>14.425542121054599</v>
      </c>
      <c r="T3419">
        <v>-1.0048859879723799</v>
      </c>
      <c r="U3419">
        <v>-6.3685907337226704</v>
      </c>
      <c r="V3419">
        <v>0.32912787818484601</v>
      </c>
      <c r="W3419">
        <v>0.87233669330403496</v>
      </c>
      <c r="X3419">
        <v>0</v>
      </c>
      <c r="Y3419">
        <v>0</v>
      </c>
    </row>
    <row r="3420" spans="1:25" x14ac:dyDescent="0.2">
      <c r="A3420" t="s">
        <v>12608</v>
      </c>
      <c r="B3420" t="s">
        <v>12609</v>
      </c>
      <c r="C3420" t="s">
        <v>12610</v>
      </c>
      <c r="D3420" t="s">
        <v>12611</v>
      </c>
      <c r="E3420" t="s">
        <v>12609</v>
      </c>
      <c r="F3420" t="s">
        <v>28</v>
      </c>
      <c r="G3420" t="s">
        <v>12609</v>
      </c>
      <c r="H3420" t="str">
        <f>"elpc-1"</f>
        <v>elpc-1</v>
      </c>
      <c r="I3420" t="s">
        <v>12611</v>
      </c>
      <c r="J3420" t="s">
        <v>29</v>
      </c>
      <c r="K3420" t="s">
        <v>29</v>
      </c>
      <c r="L3420" t="s">
        <v>29</v>
      </c>
      <c r="M3420" t="s">
        <v>29</v>
      </c>
      <c r="N3420">
        <v>13.654915707273901</v>
      </c>
      <c r="O3420">
        <v>13.7705569546055</v>
      </c>
      <c r="P3420" t="s">
        <v>29</v>
      </c>
      <c r="Q3420" t="s">
        <v>29</v>
      </c>
      <c r="R3420" t="s">
        <v>29</v>
      </c>
      <c r="S3420">
        <v>13.2593718837668</v>
      </c>
      <c r="T3420" t="s">
        <v>29</v>
      </c>
      <c r="U3420" t="s">
        <v>29</v>
      </c>
      <c r="V3420" t="s">
        <v>29</v>
      </c>
      <c r="W3420" t="s">
        <v>29</v>
      </c>
      <c r="X3420" t="s">
        <v>29</v>
      </c>
      <c r="Y3420" t="s">
        <v>29</v>
      </c>
    </row>
    <row r="3421" spans="1:25" x14ac:dyDescent="0.2">
      <c r="A3421" t="s">
        <v>12612</v>
      </c>
      <c r="B3421" t="s">
        <v>12613</v>
      </c>
      <c r="C3421" t="s">
        <v>12614</v>
      </c>
      <c r="D3421" t="s">
        <v>12615</v>
      </c>
      <c r="E3421" t="s">
        <v>12613</v>
      </c>
      <c r="F3421" t="s">
        <v>28</v>
      </c>
      <c r="G3421" t="s">
        <v>12613</v>
      </c>
      <c r="H3421" t="str">
        <f>"pas-3"</f>
        <v>pas-3</v>
      </c>
      <c r="I3421" t="s">
        <v>12615</v>
      </c>
      <c r="J3421">
        <v>13.416245712152</v>
      </c>
      <c r="K3421">
        <v>13.3751554434358</v>
      </c>
      <c r="L3421">
        <v>13.4718628560195</v>
      </c>
      <c r="M3421">
        <v>13.700025280379901</v>
      </c>
      <c r="N3421">
        <v>13.5743360255062</v>
      </c>
      <c r="O3421">
        <v>13.0411112355585</v>
      </c>
      <c r="P3421">
        <v>1.74028432791111E-2</v>
      </c>
      <c r="Q3421">
        <v>-0.71058088611249803</v>
      </c>
      <c r="R3421">
        <v>0.74538657267071995</v>
      </c>
      <c r="S3421">
        <v>13.330943178804899</v>
      </c>
      <c r="T3421">
        <v>5.0704682328861501E-2</v>
      </c>
      <c r="U3421">
        <v>-6.8811374151828897</v>
      </c>
      <c r="V3421">
        <v>0.96019256373422501</v>
      </c>
      <c r="W3421">
        <v>0.99968702248720698</v>
      </c>
      <c r="X3421">
        <v>0</v>
      </c>
      <c r="Y3421">
        <v>0</v>
      </c>
    </row>
    <row r="3422" spans="1:25" x14ac:dyDescent="0.2">
      <c r="A3422" t="s">
        <v>12616</v>
      </c>
      <c r="B3422" t="s">
        <v>12617</v>
      </c>
      <c r="C3422" t="s">
        <v>12618</v>
      </c>
      <c r="D3422" t="s">
        <v>12619</v>
      </c>
      <c r="E3422" t="s">
        <v>12617</v>
      </c>
      <c r="F3422" t="s">
        <v>28</v>
      </c>
      <c r="G3422" t="s">
        <v>12617</v>
      </c>
      <c r="H3422" t="str">
        <f>"spe-5"</f>
        <v>spe-5</v>
      </c>
      <c r="I3422" t="s">
        <v>12619</v>
      </c>
      <c r="J3422">
        <v>15.0066635252564</v>
      </c>
      <c r="K3422">
        <v>14.7319682990149</v>
      </c>
      <c r="L3422">
        <v>14.5434458057625</v>
      </c>
      <c r="M3422">
        <v>15.3714109542735</v>
      </c>
      <c r="N3422">
        <v>15.1193576960719</v>
      </c>
      <c r="O3422">
        <v>15.3308005084291</v>
      </c>
      <c r="P3422">
        <v>0.51316384291358796</v>
      </c>
      <c r="Q3422">
        <v>-5.9646579428794802E-3</v>
      </c>
      <c r="R3422">
        <v>1.03229234377006</v>
      </c>
      <c r="S3422">
        <v>15.242268063079999</v>
      </c>
      <c r="T3422">
        <v>2.0776562225081201</v>
      </c>
      <c r="U3422">
        <v>-4.8643882937126204</v>
      </c>
      <c r="V3422">
        <v>5.2414802121821098E-2</v>
      </c>
      <c r="W3422">
        <v>0.49530293508943901</v>
      </c>
      <c r="X3422">
        <v>0</v>
      </c>
      <c r="Y3422">
        <v>0</v>
      </c>
    </row>
    <row r="3423" spans="1:25" x14ac:dyDescent="0.2">
      <c r="A3423" t="s">
        <v>12620</v>
      </c>
      <c r="B3423" t="s">
        <v>12621</v>
      </c>
      <c r="C3423" t="s">
        <v>14687</v>
      </c>
      <c r="D3423" t="s">
        <v>150</v>
      </c>
      <c r="E3423" t="s">
        <v>12621</v>
      </c>
      <c r="F3423" t="s">
        <v>28</v>
      </c>
      <c r="G3423" t="s">
        <v>12621</v>
      </c>
      <c r="H3423" t="str">
        <f>"Y104H12D.2"</f>
        <v>Y104H12D.2</v>
      </c>
      <c r="I3423" t="s">
        <v>150</v>
      </c>
      <c r="J3423">
        <v>12.2955642952716</v>
      </c>
      <c r="K3423">
        <v>11.256091487175899</v>
      </c>
      <c r="L3423">
        <v>12.1637297840784</v>
      </c>
      <c r="M3423" t="s">
        <v>29</v>
      </c>
      <c r="N3423">
        <v>12.670431848896399</v>
      </c>
      <c r="O3423" t="s">
        <v>29</v>
      </c>
      <c r="P3423">
        <v>0.765303326721121</v>
      </c>
      <c r="Q3423">
        <v>-0.42647026286067602</v>
      </c>
      <c r="R3423">
        <v>1.95707691630292</v>
      </c>
      <c r="S3423">
        <v>11.8807414749025</v>
      </c>
      <c r="T3423">
        <v>1.4005056225880399</v>
      </c>
      <c r="U3423">
        <v>-5.5786207023664502</v>
      </c>
      <c r="V3423">
        <v>0.18690379710806099</v>
      </c>
      <c r="W3423">
        <v>0.78295732499061499</v>
      </c>
      <c r="X3423">
        <v>0</v>
      </c>
      <c r="Y3423">
        <v>0</v>
      </c>
    </row>
    <row r="3424" spans="1:25" x14ac:dyDescent="0.2">
      <c r="A3424" t="s">
        <v>12622</v>
      </c>
      <c r="B3424" t="s">
        <v>12623</v>
      </c>
      <c r="C3424" t="s">
        <v>14688</v>
      </c>
      <c r="D3424" t="s">
        <v>12624</v>
      </c>
      <c r="E3424" t="s">
        <v>12623</v>
      </c>
      <c r="F3424" t="s">
        <v>28</v>
      </c>
      <c r="G3424" t="s">
        <v>12623</v>
      </c>
      <c r="H3424" t="str">
        <f>"W08E12.7"</f>
        <v>W08E12.7</v>
      </c>
      <c r="I3424" t="s">
        <v>12624</v>
      </c>
      <c r="J3424">
        <v>13.754261074120601</v>
      </c>
      <c r="K3424">
        <v>13.881500913047001</v>
      </c>
      <c r="L3424">
        <v>14.048446664462199</v>
      </c>
      <c r="M3424">
        <v>14.4092983759368</v>
      </c>
      <c r="N3424">
        <v>13.9060241818954</v>
      </c>
      <c r="O3424">
        <v>14.2831646832178</v>
      </c>
      <c r="P3424">
        <v>0.30475952980674698</v>
      </c>
      <c r="Q3424">
        <v>-0.266694513453618</v>
      </c>
      <c r="R3424">
        <v>0.87621357306711201</v>
      </c>
      <c r="S3424">
        <v>13.7921577560326</v>
      </c>
      <c r="T3424">
        <v>1.1209042043473401</v>
      </c>
      <c r="U3424">
        <v>-6.2482571856549098</v>
      </c>
      <c r="V3424">
        <v>0.27714621788180099</v>
      </c>
      <c r="W3424">
        <v>0.856190392347986</v>
      </c>
      <c r="X3424">
        <v>0</v>
      </c>
      <c r="Y3424">
        <v>0</v>
      </c>
    </row>
    <row r="3425" spans="1:25" x14ac:dyDescent="0.2">
      <c r="A3425" t="s">
        <v>12625</v>
      </c>
      <c r="B3425" t="s">
        <v>12626</v>
      </c>
      <c r="C3425" t="s">
        <v>12627</v>
      </c>
      <c r="D3425" t="s">
        <v>12628</v>
      </c>
      <c r="E3425" t="s">
        <v>12626</v>
      </c>
      <c r="F3425" t="s">
        <v>28</v>
      </c>
      <c r="G3425" t="s">
        <v>12626</v>
      </c>
      <c r="H3425" t="str">
        <f>"sos-1"</f>
        <v>sos-1</v>
      </c>
      <c r="I3425" t="s">
        <v>12628</v>
      </c>
      <c r="J3425">
        <v>12.1264420387066</v>
      </c>
      <c r="K3425">
        <v>12.7602523425182</v>
      </c>
      <c r="L3425">
        <v>12.2093428718171</v>
      </c>
      <c r="M3425">
        <v>12.6933680118821</v>
      </c>
      <c r="N3425">
        <v>12.368008505436601</v>
      </c>
      <c r="O3425">
        <v>12.569380097746301</v>
      </c>
      <c r="P3425">
        <v>0.178239787341026</v>
      </c>
      <c r="Q3425">
        <v>-0.29697671592091102</v>
      </c>
      <c r="R3425">
        <v>0.65345629060296195</v>
      </c>
      <c r="S3425">
        <v>12.8629131851437</v>
      </c>
      <c r="T3425">
        <v>0.79554119028767101</v>
      </c>
      <c r="U3425">
        <v>-6.5561287227392802</v>
      </c>
      <c r="V3425">
        <v>0.43801829379326301</v>
      </c>
      <c r="W3425">
        <v>0.91824106585927701</v>
      </c>
      <c r="X3425">
        <v>0</v>
      </c>
      <c r="Y3425">
        <v>0</v>
      </c>
    </row>
    <row r="3426" spans="1:25" x14ac:dyDescent="0.2">
      <c r="A3426" t="s">
        <v>12629</v>
      </c>
      <c r="B3426" t="s">
        <v>12630</v>
      </c>
      <c r="C3426" t="s">
        <v>12631</v>
      </c>
      <c r="D3426" t="s">
        <v>12632</v>
      </c>
      <c r="E3426" t="s">
        <v>12630</v>
      </c>
      <c r="F3426" t="s">
        <v>28</v>
      </c>
      <c r="G3426" t="s">
        <v>12630</v>
      </c>
      <c r="H3426" t="str">
        <f>"lido-7"</f>
        <v>lido-7</v>
      </c>
      <c r="I3426" t="s">
        <v>12632</v>
      </c>
      <c r="J3426" t="s">
        <v>29</v>
      </c>
      <c r="K3426" t="s">
        <v>29</v>
      </c>
      <c r="L3426">
        <v>10.520751574727001</v>
      </c>
      <c r="M3426" t="s">
        <v>29</v>
      </c>
      <c r="N3426" t="s">
        <v>29</v>
      </c>
      <c r="O3426" t="s">
        <v>29</v>
      </c>
      <c r="P3426" t="s">
        <v>29</v>
      </c>
      <c r="Q3426" t="s">
        <v>29</v>
      </c>
      <c r="R3426" t="s">
        <v>29</v>
      </c>
      <c r="S3426">
        <v>11.749826385762301</v>
      </c>
      <c r="T3426" t="s">
        <v>29</v>
      </c>
      <c r="U3426" t="s">
        <v>29</v>
      </c>
      <c r="V3426" t="s">
        <v>29</v>
      </c>
      <c r="W3426" t="s">
        <v>29</v>
      </c>
      <c r="X3426" t="s">
        <v>29</v>
      </c>
      <c r="Y3426" t="s">
        <v>29</v>
      </c>
    </row>
    <row r="3427" spans="1:25" x14ac:dyDescent="0.2">
      <c r="A3427" t="s">
        <v>12633</v>
      </c>
      <c r="B3427" t="s">
        <v>12634</v>
      </c>
      <c r="C3427" t="s">
        <v>12635</v>
      </c>
      <c r="D3427" t="s">
        <v>2791</v>
      </c>
      <c r="E3427" t="s">
        <v>12634</v>
      </c>
      <c r="F3427" t="s">
        <v>28</v>
      </c>
      <c r="G3427" t="s">
        <v>12634</v>
      </c>
      <c r="H3427" t="str">
        <f>"sacy-1"</f>
        <v>sacy-1</v>
      </c>
      <c r="I3427" t="s">
        <v>2791</v>
      </c>
      <c r="J3427">
        <v>10.4235048072068</v>
      </c>
      <c r="K3427">
        <v>11.7552816740348</v>
      </c>
      <c r="L3427">
        <v>11.7523384076172</v>
      </c>
      <c r="M3427">
        <v>11.596227431440401</v>
      </c>
      <c r="N3427">
        <v>11.8497709783655</v>
      </c>
      <c r="O3427">
        <v>11.906235669097899</v>
      </c>
      <c r="P3427">
        <v>0.47370306334832102</v>
      </c>
      <c r="Q3427">
        <v>-0.28367316698092099</v>
      </c>
      <c r="R3427">
        <v>1.2310792936775601</v>
      </c>
      <c r="S3427">
        <v>12.220094800316</v>
      </c>
      <c r="T3427">
        <v>1.32661239898479</v>
      </c>
      <c r="U3427">
        <v>-6.0050643946572198</v>
      </c>
      <c r="V3427">
        <v>0.20338206127755001</v>
      </c>
      <c r="W3427">
        <v>0.79075284576134597</v>
      </c>
      <c r="X3427">
        <v>0</v>
      </c>
      <c r="Y3427">
        <v>0</v>
      </c>
    </row>
    <row r="3428" spans="1:25" x14ac:dyDescent="0.2">
      <c r="A3428" t="s">
        <v>12636</v>
      </c>
      <c r="B3428" t="s">
        <v>12637</v>
      </c>
      <c r="C3428" t="s">
        <v>12638</v>
      </c>
      <c r="D3428" t="s">
        <v>12639</v>
      </c>
      <c r="E3428" t="s">
        <v>12637</v>
      </c>
      <c r="F3428" t="s">
        <v>28</v>
      </c>
      <c r="G3428" t="s">
        <v>12637</v>
      </c>
      <c r="H3428" t="str">
        <f>"rpb-5"</f>
        <v>rpb-5</v>
      </c>
      <c r="I3428" t="s">
        <v>12639</v>
      </c>
      <c r="J3428">
        <v>14.3349859549268</v>
      </c>
      <c r="K3428">
        <v>14.3737687497427</v>
      </c>
      <c r="L3428">
        <v>14.114210696581001</v>
      </c>
      <c r="M3428">
        <v>13.9600693166393</v>
      </c>
      <c r="N3428">
        <v>14.176396462123201</v>
      </c>
      <c r="O3428">
        <v>14.4926717067433</v>
      </c>
      <c r="P3428">
        <v>-6.4609305248261306E-2</v>
      </c>
      <c r="Q3428">
        <v>-0.50319022877506903</v>
      </c>
      <c r="R3428">
        <v>0.37397161827854603</v>
      </c>
      <c r="S3428">
        <v>13.8695381806083</v>
      </c>
      <c r="T3428">
        <v>-0.31095342625670702</v>
      </c>
      <c r="U3428">
        <v>-6.8319558697794598</v>
      </c>
      <c r="V3428">
        <v>0.75963975622430902</v>
      </c>
      <c r="W3428">
        <v>0.99278624068726296</v>
      </c>
      <c r="X3428">
        <v>0</v>
      </c>
      <c r="Y3428">
        <v>0</v>
      </c>
    </row>
    <row r="3429" spans="1:25" x14ac:dyDescent="0.2">
      <c r="A3429" t="s">
        <v>12640</v>
      </c>
      <c r="B3429" t="s">
        <v>12641</v>
      </c>
      <c r="C3429" t="s">
        <v>12642</v>
      </c>
      <c r="D3429" t="s">
        <v>12643</v>
      </c>
      <c r="E3429" t="s">
        <v>12641</v>
      </c>
      <c r="F3429" t="s">
        <v>28</v>
      </c>
      <c r="G3429" t="s">
        <v>12641</v>
      </c>
      <c r="H3429" t="str">
        <f>"trm-2a"</f>
        <v>trm-2a</v>
      </c>
      <c r="I3429" t="s">
        <v>12643</v>
      </c>
      <c r="J3429">
        <v>14.182139026176801</v>
      </c>
      <c r="K3429">
        <v>14.154701356608699</v>
      </c>
      <c r="L3429">
        <v>14.001597198299899</v>
      </c>
      <c r="M3429">
        <v>13.936384854939501</v>
      </c>
      <c r="N3429">
        <v>13.728330097894199</v>
      </c>
      <c r="O3429">
        <v>13.949188276447799</v>
      </c>
      <c r="P3429">
        <v>-0.24151145060134199</v>
      </c>
      <c r="Q3429">
        <v>-0.59393989744091202</v>
      </c>
      <c r="R3429">
        <v>0.110916996238228</v>
      </c>
      <c r="S3429">
        <v>13.794562815504101</v>
      </c>
      <c r="T3429">
        <v>-1.44649448996893</v>
      </c>
      <c r="U3429">
        <v>-5.8492397811064203</v>
      </c>
      <c r="V3429">
        <v>0.166336461138576</v>
      </c>
      <c r="W3429">
        <v>0.76796940364641997</v>
      </c>
      <c r="X3429">
        <v>0</v>
      </c>
      <c r="Y3429">
        <v>0</v>
      </c>
    </row>
    <row r="3430" spans="1:25" x14ac:dyDescent="0.2">
      <c r="A3430" t="s">
        <v>12644</v>
      </c>
      <c r="B3430" t="s">
        <v>12645</v>
      </c>
      <c r="C3430" t="s">
        <v>12646</v>
      </c>
      <c r="D3430" t="s">
        <v>12647</v>
      </c>
      <c r="E3430" t="s">
        <v>12645</v>
      </c>
      <c r="F3430" t="s">
        <v>28</v>
      </c>
      <c r="G3430" t="s">
        <v>12645</v>
      </c>
      <c r="H3430" t="str">
        <f>"athp-2"</f>
        <v>athp-2</v>
      </c>
      <c r="I3430" t="s">
        <v>12647</v>
      </c>
      <c r="J3430">
        <v>11.652226891400799</v>
      </c>
      <c r="K3430">
        <v>11.8161799117694</v>
      </c>
      <c r="L3430">
        <v>11.725172833280601</v>
      </c>
      <c r="M3430">
        <v>11.149272598033599</v>
      </c>
      <c r="N3430">
        <v>11.799707493329899</v>
      </c>
      <c r="O3430">
        <v>12.744776749002201</v>
      </c>
      <c r="P3430">
        <v>0.166725734638273</v>
      </c>
      <c r="Q3430">
        <v>-0.55828280595425195</v>
      </c>
      <c r="R3430">
        <v>0.89173427523079896</v>
      </c>
      <c r="S3430">
        <v>12.123551621197199</v>
      </c>
      <c r="T3430">
        <v>0.48776321763481501</v>
      </c>
      <c r="U3430">
        <v>-6.7582895296843501</v>
      </c>
      <c r="V3430">
        <v>0.63237700433735999</v>
      </c>
      <c r="W3430">
        <v>0.97279262440453396</v>
      </c>
      <c r="X3430">
        <v>0</v>
      </c>
      <c r="Y3430">
        <v>0</v>
      </c>
    </row>
    <row r="3431" spans="1:25" x14ac:dyDescent="0.2">
      <c r="A3431" t="s">
        <v>12648</v>
      </c>
      <c r="B3431" t="s">
        <v>12649</v>
      </c>
      <c r="C3431" t="s">
        <v>12650</v>
      </c>
      <c r="D3431" t="s">
        <v>12651</v>
      </c>
      <c r="E3431" t="s">
        <v>12649</v>
      </c>
      <c r="F3431" t="s">
        <v>28</v>
      </c>
      <c r="G3431" t="s">
        <v>12649</v>
      </c>
      <c r="H3431" t="str">
        <f>"pfd-2"</f>
        <v>pfd-2</v>
      </c>
      <c r="I3431" t="s">
        <v>12651</v>
      </c>
      <c r="J3431" t="s">
        <v>29</v>
      </c>
      <c r="K3431" t="s">
        <v>29</v>
      </c>
      <c r="L3431" t="s">
        <v>29</v>
      </c>
      <c r="M3431">
        <v>13.4071088263323</v>
      </c>
      <c r="N3431">
        <v>13.517072983932801</v>
      </c>
      <c r="O3431">
        <v>12.6088693688302</v>
      </c>
      <c r="P3431" t="s">
        <v>29</v>
      </c>
      <c r="Q3431" t="s">
        <v>29</v>
      </c>
      <c r="R3431" t="s">
        <v>29</v>
      </c>
      <c r="S3431">
        <v>12.706655590856901</v>
      </c>
      <c r="T3431" t="s">
        <v>29</v>
      </c>
      <c r="U3431" t="s">
        <v>29</v>
      </c>
      <c r="V3431" t="s">
        <v>29</v>
      </c>
      <c r="W3431" t="s">
        <v>29</v>
      </c>
      <c r="X3431" t="s">
        <v>29</v>
      </c>
      <c r="Y3431" t="s">
        <v>29</v>
      </c>
    </row>
    <row r="3432" spans="1:25" x14ac:dyDescent="0.2">
      <c r="A3432" t="s">
        <v>12652</v>
      </c>
      <c r="B3432" t="s">
        <v>12653</v>
      </c>
      <c r="C3432" t="s">
        <v>14689</v>
      </c>
      <c r="D3432" t="s">
        <v>12654</v>
      </c>
      <c r="E3432" t="s">
        <v>12653</v>
      </c>
      <c r="F3432" t="s">
        <v>28</v>
      </c>
      <c r="G3432" t="s">
        <v>12653</v>
      </c>
      <c r="H3432" t="str">
        <f>"H20J04.6"</f>
        <v>H20J04.6</v>
      </c>
      <c r="I3432" t="s">
        <v>12654</v>
      </c>
      <c r="J3432">
        <v>13.8311778975021</v>
      </c>
      <c r="K3432">
        <v>13.5586239401516</v>
      </c>
      <c r="L3432">
        <v>13.925486325535999</v>
      </c>
      <c r="M3432">
        <v>14.3060424382269</v>
      </c>
      <c r="N3432">
        <v>13.855336643723099</v>
      </c>
      <c r="O3432">
        <v>13.701213442189699</v>
      </c>
      <c r="P3432">
        <v>0.18243478698332399</v>
      </c>
      <c r="Q3432">
        <v>-0.283090534416228</v>
      </c>
      <c r="R3432">
        <v>0.64796010838287499</v>
      </c>
      <c r="S3432">
        <v>13.7438477381683</v>
      </c>
      <c r="T3432">
        <v>0.82720730017676103</v>
      </c>
      <c r="U3432">
        <v>-6.5309842748787004</v>
      </c>
      <c r="V3432">
        <v>0.41965026135219802</v>
      </c>
      <c r="W3432">
        <v>0.91512503332874395</v>
      </c>
      <c r="X3432">
        <v>0</v>
      </c>
      <c r="Y3432">
        <v>0</v>
      </c>
    </row>
    <row r="3433" spans="1:25" x14ac:dyDescent="0.2">
      <c r="A3433" t="s">
        <v>12655</v>
      </c>
      <c r="B3433" t="s">
        <v>12656</v>
      </c>
      <c r="C3433" t="s">
        <v>12657</v>
      </c>
      <c r="D3433" t="s">
        <v>12658</v>
      </c>
      <c r="E3433" t="s">
        <v>12656</v>
      </c>
      <c r="F3433" t="s">
        <v>28</v>
      </c>
      <c r="G3433" t="s">
        <v>12656</v>
      </c>
      <c r="H3433" t="str">
        <f>"fbf-1"</f>
        <v>fbf-1</v>
      </c>
      <c r="I3433" t="s">
        <v>12658</v>
      </c>
      <c r="J3433" t="s">
        <v>29</v>
      </c>
      <c r="K3433" t="s">
        <v>29</v>
      </c>
      <c r="L3433" t="s">
        <v>29</v>
      </c>
      <c r="M3433" t="s">
        <v>29</v>
      </c>
      <c r="N3433">
        <v>11.0984403800544</v>
      </c>
      <c r="O3433" t="s">
        <v>29</v>
      </c>
      <c r="P3433" t="s">
        <v>29</v>
      </c>
      <c r="Q3433" t="s">
        <v>29</v>
      </c>
      <c r="R3433" t="s">
        <v>29</v>
      </c>
      <c r="S3433">
        <v>12.217902854162499</v>
      </c>
      <c r="T3433" t="s">
        <v>29</v>
      </c>
      <c r="U3433" t="s">
        <v>29</v>
      </c>
      <c r="V3433" t="s">
        <v>29</v>
      </c>
      <c r="W3433" t="s">
        <v>29</v>
      </c>
      <c r="X3433" t="s">
        <v>29</v>
      </c>
      <c r="Y3433" t="s">
        <v>29</v>
      </c>
    </row>
    <row r="3434" spans="1:25" x14ac:dyDescent="0.2">
      <c r="A3434" t="s">
        <v>12659</v>
      </c>
      <c r="B3434" t="s">
        <v>12660</v>
      </c>
      <c r="C3434" t="s">
        <v>14690</v>
      </c>
      <c r="D3434" t="s">
        <v>12661</v>
      </c>
      <c r="E3434" t="s">
        <v>12660</v>
      </c>
      <c r="F3434" t="s">
        <v>28</v>
      </c>
      <c r="G3434" t="s">
        <v>12660</v>
      </c>
      <c r="H3434" t="str">
        <f>"H06I04.3"</f>
        <v>H06I04.3</v>
      </c>
      <c r="I3434" t="s">
        <v>12661</v>
      </c>
      <c r="J3434">
        <v>15.3388259485537</v>
      </c>
      <c r="K3434">
        <v>15.6306603640214</v>
      </c>
      <c r="L3434">
        <v>15.9875182595355</v>
      </c>
      <c r="M3434">
        <v>15.535357460622601</v>
      </c>
      <c r="N3434">
        <v>15.4989165886475</v>
      </c>
      <c r="O3434">
        <v>15.438325382842301</v>
      </c>
      <c r="P3434">
        <v>-0.16146837999935701</v>
      </c>
      <c r="Q3434">
        <v>-0.57599334598232999</v>
      </c>
      <c r="R3434">
        <v>0.25305658598361502</v>
      </c>
      <c r="S3434">
        <v>15.8000175632194</v>
      </c>
      <c r="T3434">
        <v>-0.81870851794861998</v>
      </c>
      <c r="U3434">
        <v>-6.5387332830700604</v>
      </c>
      <c r="V3434">
        <v>0.423721868383369</v>
      </c>
      <c r="W3434">
        <v>0.91512503332874395</v>
      </c>
      <c r="X3434">
        <v>0</v>
      </c>
      <c r="Y3434">
        <v>0</v>
      </c>
    </row>
    <row r="3435" spans="1:25" x14ac:dyDescent="0.2">
      <c r="A3435" t="s">
        <v>12662</v>
      </c>
      <c r="B3435" t="s">
        <v>12663</v>
      </c>
      <c r="C3435" t="s">
        <v>12664</v>
      </c>
      <c r="D3435" t="s">
        <v>12665</v>
      </c>
      <c r="E3435" t="s">
        <v>12663</v>
      </c>
      <c r="F3435" t="s">
        <v>28</v>
      </c>
      <c r="G3435" t="s">
        <v>12663</v>
      </c>
      <c r="H3435" t="str">
        <f>"spt-16"</f>
        <v>spt-16</v>
      </c>
      <c r="I3435" t="s">
        <v>12665</v>
      </c>
      <c r="J3435">
        <v>14.670557278156799</v>
      </c>
      <c r="K3435">
        <v>14.4345596216373</v>
      </c>
      <c r="L3435">
        <v>14.5630696342782</v>
      </c>
      <c r="M3435">
        <v>14.5710282205859</v>
      </c>
      <c r="N3435">
        <v>14.6761236275374</v>
      </c>
      <c r="O3435">
        <v>14.522475580228701</v>
      </c>
      <c r="P3435">
        <v>3.3813631426541597E-2</v>
      </c>
      <c r="Q3435">
        <v>-0.43834342269223803</v>
      </c>
      <c r="R3435">
        <v>0.50597068554532099</v>
      </c>
      <c r="S3435">
        <v>14.5760054872796</v>
      </c>
      <c r="T3435">
        <v>0.15052126000253199</v>
      </c>
      <c r="U3435">
        <v>-6.8706590821502997</v>
      </c>
      <c r="V3435">
        <v>0.88203704496300095</v>
      </c>
      <c r="W3435">
        <v>0.99702926582654094</v>
      </c>
      <c r="X3435">
        <v>0</v>
      </c>
      <c r="Y3435">
        <v>0</v>
      </c>
    </row>
    <row r="3436" spans="1:25" x14ac:dyDescent="0.2">
      <c r="A3436" t="s">
        <v>12666</v>
      </c>
      <c r="B3436" t="s">
        <v>12667</v>
      </c>
      <c r="C3436" t="s">
        <v>12668</v>
      </c>
      <c r="D3436" t="s">
        <v>1128</v>
      </c>
      <c r="E3436" t="s">
        <v>12667</v>
      </c>
      <c r="F3436" t="s">
        <v>28</v>
      </c>
      <c r="G3436" t="s">
        <v>12667</v>
      </c>
      <c r="H3436" t="str">
        <f>"txdc-12.2"</f>
        <v>txdc-12.2</v>
      </c>
      <c r="I3436" t="s">
        <v>1128</v>
      </c>
      <c r="J3436">
        <v>15.505746906862599</v>
      </c>
      <c r="K3436">
        <v>12.7459654669803</v>
      </c>
      <c r="L3436">
        <v>14.728674491625499</v>
      </c>
      <c r="M3436">
        <v>17.2399687155438</v>
      </c>
      <c r="N3436">
        <v>17.156828031966299</v>
      </c>
      <c r="O3436">
        <v>16.2775271835906</v>
      </c>
      <c r="P3436">
        <v>2.56464568854412</v>
      </c>
      <c r="Q3436">
        <v>0.98662002202777799</v>
      </c>
      <c r="R3436">
        <v>4.1426713550604699</v>
      </c>
      <c r="S3436">
        <v>15.267647899321499</v>
      </c>
      <c r="T3436">
        <v>3.4159053248733802</v>
      </c>
      <c r="U3436">
        <v>-2.2029831005581602</v>
      </c>
      <c r="V3436">
        <v>3.1017562628709201E-3</v>
      </c>
      <c r="W3436">
        <v>7.5477073230359806E-2</v>
      </c>
      <c r="X3436">
        <v>1</v>
      </c>
      <c r="Y3436">
        <v>0</v>
      </c>
    </row>
    <row r="3437" spans="1:25" x14ac:dyDescent="0.2">
      <c r="A3437" t="s">
        <v>12669</v>
      </c>
      <c r="B3437" t="s">
        <v>12670</v>
      </c>
      <c r="C3437" t="s">
        <v>12671</v>
      </c>
      <c r="D3437" t="s">
        <v>12672</v>
      </c>
      <c r="E3437" t="s">
        <v>12670</v>
      </c>
      <c r="F3437" t="s">
        <v>28</v>
      </c>
      <c r="G3437" t="s">
        <v>12670</v>
      </c>
      <c r="H3437" t="str">
        <f>"pygl-1"</f>
        <v>pygl-1</v>
      </c>
      <c r="I3437" t="s">
        <v>12672</v>
      </c>
      <c r="J3437">
        <v>18.768229004077099</v>
      </c>
      <c r="K3437">
        <v>18.532396813358201</v>
      </c>
      <c r="L3437">
        <v>18.268771956469401</v>
      </c>
      <c r="M3437">
        <v>18.551242535566001</v>
      </c>
      <c r="N3437">
        <v>18.243343563702901</v>
      </c>
      <c r="O3437">
        <v>18.457288362884</v>
      </c>
      <c r="P3437">
        <v>-0.105841103917292</v>
      </c>
      <c r="Q3437">
        <v>-0.48575932545970502</v>
      </c>
      <c r="R3437">
        <v>0.27407711762511999</v>
      </c>
      <c r="S3437">
        <v>18.193111023721201</v>
      </c>
      <c r="T3437">
        <v>-0.58554024546403105</v>
      </c>
      <c r="U3437">
        <v>-6.7050592146833798</v>
      </c>
      <c r="V3437">
        <v>0.565496414680976</v>
      </c>
      <c r="W3437">
        <v>0.956772784981337</v>
      </c>
      <c r="X3437">
        <v>0</v>
      </c>
      <c r="Y3437">
        <v>0</v>
      </c>
    </row>
    <row r="3438" spans="1:25" x14ac:dyDescent="0.2">
      <c r="A3438" t="s">
        <v>12673</v>
      </c>
      <c r="B3438" t="s">
        <v>12674</v>
      </c>
      <c r="C3438" t="s">
        <v>12675</v>
      </c>
      <c r="D3438" t="s">
        <v>12676</v>
      </c>
      <c r="E3438" t="s">
        <v>12674</v>
      </c>
      <c r="F3438" t="s">
        <v>28</v>
      </c>
      <c r="G3438" t="s">
        <v>12674</v>
      </c>
      <c r="H3438" t="str">
        <f>"cdc-73"</f>
        <v>cdc-73</v>
      </c>
      <c r="I3438" t="s">
        <v>12676</v>
      </c>
      <c r="J3438">
        <v>12.260856407774099</v>
      </c>
      <c r="K3438">
        <v>12.604752569480601</v>
      </c>
      <c r="L3438">
        <v>12.563038099184</v>
      </c>
      <c r="M3438">
        <v>12.2768056167192</v>
      </c>
      <c r="N3438">
        <v>12.1997991926344</v>
      </c>
      <c r="O3438">
        <v>12.532799212733</v>
      </c>
      <c r="P3438">
        <v>-0.13974768478404101</v>
      </c>
      <c r="Q3438">
        <v>-0.59069343403054697</v>
      </c>
      <c r="R3438">
        <v>0.31119806446246601</v>
      </c>
      <c r="S3438">
        <v>12.4570460009715</v>
      </c>
      <c r="T3438">
        <v>-0.65413944369814403</v>
      </c>
      <c r="U3438">
        <v>-6.66103493398463</v>
      </c>
      <c r="V3438">
        <v>0.52182734418905297</v>
      </c>
      <c r="W3438">
        <v>0.94229050540486703</v>
      </c>
      <c r="X3438">
        <v>0</v>
      </c>
      <c r="Y3438">
        <v>0</v>
      </c>
    </row>
    <row r="3439" spans="1:25" x14ac:dyDescent="0.2">
      <c r="A3439" t="s">
        <v>12677</v>
      </c>
      <c r="B3439" t="s">
        <v>12678</v>
      </c>
      <c r="C3439" t="s">
        <v>12679</v>
      </c>
      <c r="D3439" t="s">
        <v>158</v>
      </c>
      <c r="E3439" t="s">
        <v>12678</v>
      </c>
      <c r="F3439" t="s">
        <v>28</v>
      </c>
      <c r="G3439" t="s">
        <v>12678</v>
      </c>
      <c r="H3439" t="str">
        <f>"imb-3"</f>
        <v>imb-3</v>
      </c>
      <c r="I3439" t="s">
        <v>158</v>
      </c>
      <c r="J3439">
        <v>15.4178664095908</v>
      </c>
      <c r="K3439">
        <v>15.286227124698</v>
      </c>
      <c r="L3439">
        <v>15.6802503839561</v>
      </c>
      <c r="M3439">
        <v>15.8116555122606</v>
      </c>
      <c r="N3439">
        <v>15.933596922878101</v>
      </c>
      <c r="O3439">
        <v>15.4766504510273</v>
      </c>
      <c r="P3439">
        <v>0.27918632264036503</v>
      </c>
      <c r="Q3439">
        <v>-0.15352343223534101</v>
      </c>
      <c r="R3439">
        <v>0.71189607751607198</v>
      </c>
      <c r="S3439">
        <v>15.8612761801767</v>
      </c>
      <c r="T3439">
        <v>1.35609453440325</v>
      </c>
      <c r="U3439">
        <v>-5.9683262786240503</v>
      </c>
      <c r="V3439">
        <v>0.191935030949965</v>
      </c>
      <c r="W3439">
        <v>0.78295732499061499</v>
      </c>
      <c r="X3439">
        <v>0</v>
      </c>
      <c r="Y3439">
        <v>0</v>
      </c>
    </row>
    <row r="3440" spans="1:25" x14ac:dyDescent="0.2">
      <c r="A3440" t="s">
        <v>12680</v>
      </c>
      <c r="B3440" t="s">
        <v>12681</v>
      </c>
      <c r="C3440" t="s">
        <v>12682</v>
      </c>
      <c r="D3440" t="s">
        <v>12683</v>
      </c>
      <c r="E3440" t="s">
        <v>12681</v>
      </c>
      <c r="F3440" t="s">
        <v>28</v>
      </c>
      <c r="G3440" t="s">
        <v>12681</v>
      </c>
      <c r="H3440" t="str">
        <f>"C39B5.6"</f>
        <v>C39B5.6</v>
      </c>
      <c r="I3440" t="s">
        <v>12683</v>
      </c>
      <c r="J3440">
        <v>13.169013000614999</v>
      </c>
      <c r="K3440">
        <v>13.6654084817346</v>
      </c>
      <c r="L3440">
        <v>13.080636240893799</v>
      </c>
      <c r="M3440">
        <v>12.890537819937</v>
      </c>
      <c r="N3440">
        <v>13.1692986323963</v>
      </c>
      <c r="O3440">
        <v>13.264167641641</v>
      </c>
      <c r="P3440">
        <v>-0.197017876423004</v>
      </c>
      <c r="Q3440">
        <v>-0.68249064915320801</v>
      </c>
      <c r="R3440">
        <v>0.2884548963072</v>
      </c>
      <c r="S3440">
        <v>13.187256910919499</v>
      </c>
      <c r="T3440">
        <v>-0.85662504744833301</v>
      </c>
      <c r="U3440">
        <v>-6.5060779482212796</v>
      </c>
      <c r="V3440">
        <v>0.403639144129463</v>
      </c>
      <c r="W3440">
        <v>0.91027279600179201</v>
      </c>
      <c r="X3440">
        <v>0</v>
      </c>
      <c r="Y3440">
        <v>0</v>
      </c>
    </row>
    <row r="3441" spans="1:25" x14ac:dyDescent="0.2">
      <c r="A3441" t="s">
        <v>12684</v>
      </c>
      <c r="B3441" t="s">
        <v>12685</v>
      </c>
      <c r="C3441" t="s">
        <v>12686</v>
      </c>
      <c r="D3441" t="s">
        <v>12687</v>
      </c>
      <c r="E3441" t="s">
        <v>12685</v>
      </c>
      <c r="F3441" t="s">
        <v>28</v>
      </c>
      <c r="G3441" t="s">
        <v>12685</v>
      </c>
      <c r="H3441" t="str">
        <f>"art-1"</f>
        <v>art-1</v>
      </c>
      <c r="I3441" t="s">
        <v>12687</v>
      </c>
      <c r="J3441">
        <v>18.114196186012801</v>
      </c>
      <c r="K3441">
        <v>18.214543744021999</v>
      </c>
      <c r="L3441">
        <v>18.147942611786199</v>
      </c>
      <c r="M3441">
        <v>17.953136534760599</v>
      </c>
      <c r="N3441">
        <v>18.070946284393798</v>
      </c>
      <c r="O3441">
        <v>18.048359335095899</v>
      </c>
      <c r="P3441">
        <v>-0.13474679585687699</v>
      </c>
      <c r="Q3441">
        <v>-0.47346381198711401</v>
      </c>
      <c r="R3441">
        <v>0.20397022027336001</v>
      </c>
      <c r="S3441">
        <v>18.155952176165801</v>
      </c>
      <c r="T3441">
        <v>-0.83613026795378098</v>
      </c>
      <c r="U3441">
        <v>-6.5242304074636097</v>
      </c>
      <c r="V3441">
        <v>0.41410744623926798</v>
      </c>
      <c r="W3441">
        <v>0.91512503332874395</v>
      </c>
      <c r="X3441">
        <v>0</v>
      </c>
      <c r="Y3441">
        <v>0</v>
      </c>
    </row>
    <row r="3442" spans="1:25" x14ac:dyDescent="0.2">
      <c r="A3442" t="s">
        <v>12688</v>
      </c>
      <c r="B3442" t="s">
        <v>12689</v>
      </c>
      <c r="C3442" t="s">
        <v>12690</v>
      </c>
      <c r="D3442" t="s">
        <v>214</v>
      </c>
      <c r="E3442" t="s">
        <v>12689</v>
      </c>
      <c r="F3442" t="s">
        <v>28</v>
      </c>
      <c r="G3442" t="s">
        <v>12689</v>
      </c>
      <c r="H3442" t="str">
        <f>"C09E7.7"</f>
        <v>C09E7.7</v>
      </c>
      <c r="I3442" t="s">
        <v>214</v>
      </c>
      <c r="J3442" t="s">
        <v>29</v>
      </c>
      <c r="K3442">
        <v>10.7556283963818</v>
      </c>
      <c r="L3442" t="s">
        <v>29</v>
      </c>
      <c r="M3442" t="s">
        <v>29</v>
      </c>
      <c r="N3442">
        <v>10.4845986314849</v>
      </c>
      <c r="O3442" t="s">
        <v>29</v>
      </c>
      <c r="P3442">
        <v>-0.271029764896909</v>
      </c>
      <c r="Q3442">
        <v>-2.9899899702414201</v>
      </c>
      <c r="R3442">
        <v>2.4479304404476001</v>
      </c>
      <c r="S3442">
        <v>9.5090862279930306</v>
      </c>
      <c r="T3442">
        <v>-0.23039860681847399</v>
      </c>
      <c r="U3442">
        <v>-6.3144901365110497</v>
      </c>
      <c r="V3442">
        <v>0.82363972547947595</v>
      </c>
      <c r="W3442">
        <v>0.992837538801569</v>
      </c>
      <c r="X3442">
        <v>0</v>
      </c>
      <c r="Y3442">
        <v>0</v>
      </c>
    </row>
    <row r="3443" spans="1:25" x14ac:dyDescent="0.2">
      <c r="A3443" t="s">
        <v>12691</v>
      </c>
      <c r="B3443" t="s">
        <v>12692</v>
      </c>
      <c r="C3443" t="s">
        <v>12693</v>
      </c>
      <c r="D3443" t="s">
        <v>12694</v>
      </c>
      <c r="E3443" t="s">
        <v>12692</v>
      </c>
      <c r="F3443" t="s">
        <v>28</v>
      </c>
      <c r="G3443" t="s">
        <v>12692</v>
      </c>
      <c r="H3443" t="str">
        <f>"ntl-11"</f>
        <v>ntl-11</v>
      </c>
      <c r="I3443" t="s">
        <v>12694</v>
      </c>
      <c r="J3443">
        <v>12.784049329159201</v>
      </c>
      <c r="K3443">
        <v>12.8885492876071</v>
      </c>
      <c r="L3443">
        <v>13.015072334618401</v>
      </c>
      <c r="M3443">
        <v>12.593137448159499</v>
      </c>
      <c r="N3443">
        <v>12.861384999485001</v>
      </c>
      <c r="O3443">
        <v>12.291267046237</v>
      </c>
      <c r="P3443">
        <v>-0.31396048583442299</v>
      </c>
      <c r="Q3443">
        <v>-0.75468222784680605</v>
      </c>
      <c r="R3443">
        <v>0.12676125617796</v>
      </c>
      <c r="S3443">
        <v>12.984568574760001</v>
      </c>
      <c r="T3443">
        <v>-1.5036976798622199</v>
      </c>
      <c r="U3443">
        <v>-5.7709854468958701</v>
      </c>
      <c r="V3443">
        <v>0.15112216885428201</v>
      </c>
      <c r="W3443">
        <v>0.74633248813841202</v>
      </c>
      <c r="X3443">
        <v>0</v>
      </c>
      <c r="Y3443">
        <v>0</v>
      </c>
    </row>
    <row r="3444" spans="1:25" x14ac:dyDescent="0.2">
      <c r="A3444" t="s">
        <v>12695</v>
      </c>
      <c r="B3444" t="s">
        <v>12696</v>
      </c>
      <c r="C3444" t="s">
        <v>14691</v>
      </c>
      <c r="D3444" t="s">
        <v>12697</v>
      </c>
      <c r="E3444" t="s">
        <v>12696</v>
      </c>
      <c r="F3444" t="s">
        <v>28</v>
      </c>
      <c r="G3444" t="s">
        <v>12696</v>
      </c>
      <c r="H3444" t="str">
        <f>"Y57A10A.13"</f>
        <v>Y57A10A.13</v>
      </c>
      <c r="I3444" t="s">
        <v>12697</v>
      </c>
      <c r="J3444">
        <v>12.842916324892499</v>
      </c>
      <c r="K3444">
        <v>12.8617751330061</v>
      </c>
      <c r="L3444">
        <v>12.864992550781601</v>
      </c>
      <c r="M3444">
        <v>12.580327663476099</v>
      </c>
      <c r="N3444">
        <v>12.8144048499743</v>
      </c>
      <c r="O3444">
        <v>12.812921225010699</v>
      </c>
      <c r="P3444">
        <v>-0.120676756739693</v>
      </c>
      <c r="Q3444">
        <v>-0.523986281245573</v>
      </c>
      <c r="R3444">
        <v>0.28263276776618701</v>
      </c>
      <c r="S3444">
        <v>13.043226859812799</v>
      </c>
      <c r="T3444">
        <v>-0.63158988268570304</v>
      </c>
      <c r="U3444">
        <v>-6.6758642975453002</v>
      </c>
      <c r="V3444">
        <v>0.53610777365721596</v>
      </c>
      <c r="W3444">
        <v>0.94544152383096502</v>
      </c>
      <c r="X3444">
        <v>0</v>
      </c>
      <c r="Y3444">
        <v>0</v>
      </c>
    </row>
    <row r="3445" spans="1:25" x14ac:dyDescent="0.2">
      <c r="A3445" t="s">
        <v>12698</v>
      </c>
      <c r="B3445" t="s">
        <v>12699</v>
      </c>
      <c r="C3445" t="s">
        <v>14692</v>
      </c>
      <c r="D3445" t="s">
        <v>214</v>
      </c>
      <c r="E3445" t="s">
        <v>12699</v>
      </c>
      <c r="F3445" t="s">
        <v>28</v>
      </c>
      <c r="G3445" t="s">
        <v>12699</v>
      </c>
      <c r="H3445" t="str">
        <f>"Y57A10A.31"</f>
        <v>Y57A10A.31</v>
      </c>
      <c r="I3445" t="s">
        <v>214</v>
      </c>
      <c r="J3445" t="s">
        <v>29</v>
      </c>
      <c r="K3445" t="s">
        <v>29</v>
      </c>
      <c r="L3445">
        <v>11.186468346544</v>
      </c>
      <c r="M3445" t="s">
        <v>29</v>
      </c>
      <c r="N3445">
        <v>11.883883474337299</v>
      </c>
      <c r="O3445">
        <v>12.630587089721599</v>
      </c>
      <c r="P3445">
        <v>1.0707669354853799</v>
      </c>
      <c r="Q3445">
        <v>0.20796472038979</v>
      </c>
      <c r="R3445">
        <v>1.93356915058098</v>
      </c>
      <c r="S3445">
        <v>12.7081394359433</v>
      </c>
      <c r="T3445">
        <v>2.73471072544561</v>
      </c>
      <c r="U3445">
        <v>-3.4679451114684801</v>
      </c>
      <c r="V3445">
        <v>1.9567175278541901E-2</v>
      </c>
      <c r="W3445">
        <v>0.28312851881298801</v>
      </c>
      <c r="X3445">
        <v>1</v>
      </c>
      <c r="Y3445">
        <v>0</v>
      </c>
    </row>
    <row r="3446" spans="1:25" x14ac:dyDescent="0.2">
      <c r="A3446" t="s">
        <v>12700</v>
      </c>
      <c r="B3446" t="s">
        <v>12701</v>
      </c>
      <c r="C3446" t="s">
        <v>12702</v>
      </c>
      <c r="D3446" t="s">
        <v>12703</v>
      </c>
      <c r="E3446" t="s">
        <v>12701</v>
      </c>
      <c r="F3446" t="s">
        <v>28</v>
      </c>
      <c r="G3446" t="s">
        <v>12701</v>
      </c>
      <c r="H3446" t="str">
        <f>"tric-1B.2"</f>
        <v>tric-1B.2</v>
      </c>
      <c r="I3446" t="s">
        <v>12703</v>
      </c>
      <c r="J3446">
        <v>10.482407637624</v>
      </c>
      <c r="K3446" t="s">
        <v>29</v>
      </c>
      <c r="L3446">
        <v>10.4457310850879</v>
      </c>
      <c r="M3446" t="s">
        <v>29</v>
      </c>
      <c r="N3446">
        <v>10.902049252620101</v>
      </c>
      <c r="O3446" t="s">
        <v>29</v>
      </c>
      <c r="P3446">
        <v>0.437979891264138</v>
      </c>
      <c r="Q3446">
        <v>-0.51608754651016997</v>
      </c>
      <c r="R3446">
        <v>1.3920473290384501</v>
      </c>
      <c r="S3446">
        <v>11.072829167714699</v>
      </c>
      <c r="T3446">
        <v>1.01158595538277</v>
      </c>
      <c r="U3446">
        <v>-5.9622886845096401</v>
      </c>
      <c r="V3446">
        <v>0.333674511523118</v>
      </c>
      <c r="W3446">
        <v>0.87368774661315896</v>
      </c>
      <c r="X3446">
        <v>0</v>
      </c>
      <c r="Y3446">
        <v>0</v>
      </c>
    </row>
    <row r="3447" spans="1:25" x14ac:dyDescent="0.2">
      <c r="A3447" t="s">
        <v>12704</v>
      </c>
      <c r="B3447" t="s">
        <v>12705</v>
      </c>
      <c r="C3447" t="s">
        <v>12706</v>
      </c>
      <c r="D3447" t="s">
        <v>12707</v>
      </c>
      <c r="E3447" t="s">
        <v>12705</v>
      </c>
      <c r="F3447" t="s">
        <v>28</v>
      </c>
      <c r="G3447" t="s">
        <v>12705</v>
      </c>
      <c r="H3447" t="str">
        <f>"tric-1B.1"</f>
        <v>tric-1B.1</v>
      </c>
      <c r="I3447" t="s">
        <v>12707</v>
      </c>
      <c r="J3447">
        <v>13.900250817824601</v>
      </c>
      <c r="K3447">
        <v>14.1535082837035</v>
      </c>
      <c r="L3447">
        <v>14.1878346103715</v>
      </c>
      <c r="M3447">
        <v>13.661989239845701</v>
      </c>
      <c r="N3447">
        <v>13.770343194839301</v>
      </c>
      <c r="O3447">
        <v>13.8513253734315</v>
      </c>
      <c r="P3447">
        <v>-0.3193119679277</v>
      </c>
      <c r="Q3447">
        <v>-0.72275104835044901</v>
      </c>
      <c r="R3447">
        <v>8.4127112495049797E-2</v>
      </c>
      <c r="S3447">
        <v>13.9399789414383</v>
      </c>
      <c r="T3447">
        <v>-1.6635265792395999</v>
      </c>
      <c r="U3447">
        <v>-5.5390785508216904</v>
      </c>
      <c r="V3447">
        <v>0.113620522964529</v>
      </c>
      <c r="W3447">
        <v>0.69509025813593905</v>
      </c>
      <c r="X3447">
        <v>0</v>
      </c>
      <c r="Y3447">
        <v>0</v>
      </c>
    </row>
    <row r="3448" spans="1:25" x14ac:dyDescent="0.2">
      <c r="A3448" t="s">
        <v>12708</v>
      </c>
      <c r="B3448" t="s">
        <v>12709</v>
      </c>
      <c r="C3448" t="s">
        <v>12710</v>
      </c>
      <c r="D3448" t="s">
        <v>12711</v>
      </c>
      <c r="E3448" t="s">
        <v>12709</v>
      </c>
      <c r="F3448" t="s">
        <v>28</v>
      </c>
      <c r="G3448" t="s">
        <v>12709</v>
      </c>
      <c r="H3448" t="str">
        <f>"parn-2"</f>
        <v>parn-2</v>
      </c>
      <c r="I3448" t="s">
        <v>12711</v>
      </c>
      <c r="J3448">
        <v>12.571361827879199</v>
      </c>
      <c r="K3448">
        <v>12.8572377329979</v>
      </c>
      <c r="L3448">
        <v>12.743072073759199</v>
      </c>
      <c r="M3448">
        <v>12.589118956859901</v>
      </c>
      <c r="N3448">
        <v>12.8574486807391</v>
      </c>
      <c r="O3448">
        <v>12.2088191540641</v>
      </c>
      <c r="P3448">
        <v>-0.17209494765771899</v>
      </c>
      <c r="Q3448">
        <v>-0.87341360647869504</v>
      </c>
      <c r="R3448">
        <v>0.52922371116325695</v>
      </c>
      <c r="S3448">
        <v>13.283137028596</v>
      </c>
      <c r="T3448">
        <v>-0.51575712949772601</v>
      </c>
      <c r="U3448">
        <v>-6.7445356660881899</v>
      </c>
      <c r="V3448">
        <v>0.61233757911168596</v>
      </c>
      <c r="W3448">
        <v>0.97238011246645495</v>
      </c>
      <c r="X3448">
        <v>0</v>
      </c>
      <c r="Y3448">
        <v>0</v>
      </c>
    </row>
    <row r="3449" spans="1:25" x14ac:dyDescent="0.2">
      <c r="A3449" t="s">
        <v>12712</v>
      </c>
      <c r="B3449" t="s">
        <v>12713</v>
      </c>
      <c r="C3449" t="s">
        <v>12714</v>
      </c>
      <c r="D3449" t="s">
        <v>12715</v>
      </c>
      <c r="E3449" t="s">
        <v>12713</v>
      </c>
      <c r="F3449" t="s">
        <v>28</v>
      </c>
      <c r="G3449" t="s">
        <v>12713</v>
      </c>
      <c r="H3449" t="str">
        <f>"sinh-1"</f>
        <v>sinh-1</v>
      </c>
      <c r="I3449" t="s">
        <v>12715</v>
      </c>
      <c r="J3449">
        <v>12.7987822319648</v>
      </c>
      <c r="K3449">
        <v>12.567722038464201</v>
      </c>
      <c r="L3449">
        <v>12.600259160708999</v>
      </c>
      <c r="M3449">
        <v>11.9220716109098</v>
      </c>
      <c r="N3449">
        <v>12.3787315626608</v>
      </c>
      <c r="O3449">
        <v>12.940915267756701</v>
      </c>
      <c r="P3449">
        <v>-0.241681663270187</v>
      </c>
      <c r="Q3449">
        <v>-1.1443271700598201</v>
      </c>
      <c r="R3449">
        <v>0.66096384351944903</v>
      </c>
      <c r="S3449">
        <v>12.312756478888801</v>
      </c>
      <c r="T3449">
        <v>-0.56516660189174195</v>
      </c>
      <c r="U3449">
        <v>-6.71665293414895</v>
      </c>
      <c r="V3449">
        <v>0.57938871390893198</v>
      </c>
      <c r="W3449">
        <v>0.96217846301842602</v>
      </c>
      <c r="X3449">
        <v>0</v>
      </c>
      <c r="Y3449">
        <v>0</v>
      </c>
    </row>
    <row r="3450" spans="1:25" x14ac:dyDescent="0.2">
      <c r="A3450" t="s">
        <v>12716</v>
      </c>
      <c r="B3450" t="s">
        <v>12717</v>
      </c>
      <c r="C3450" t="s">
        <v>12718</v>
      </c>
      <c r="D3450" t="s">
        <v>3312</v>
      </c>
      <c r="E3450" t="s">
        <v>12717</v>
      </c>
      <c r="F3450" t="s">
        <v>28</v>
      </c>
      <c r="G3450" t="s">
        <v>12717</v>
      </c>
      <c r="H3450" t="str">
        <f>"rol-1"</f>
        <v>rol-1</v>
      </c>
      <c r="I3450" t="s">
        <v>3312</v>
      </c>
      <c r="J3450">
        <v>13.0506079348757</v>
      </c>
      <c r="K3450">
        <v>12.887731751735201</v>
      </c>
      <c r="L3450">
        <v>13.9528626482021</v>
      </c>
      <c r="M3450">
        <v>13.1616041067326</v>
      </c>
      <c r="N3450">
        <v>13.0267935823355</v>
      </c>
      <c r="O3450">
        <v>13.177793853434601</v>
      </c>
      <c r="P3450">
        <v>-0.175003597436792</v>
      </c>
      <c r="Q3450">
        <v>-0.80350591302125995</v>
      </c>
      <c r="R3450">
        <v>0.45349871814767601</v>
      </c>
      <c r="S3450">
        <v>12.9338424152869</v>
      </c>
      <c r="T3450">
        <v>-0.58774657544431996</v>
      </c>
      <c r="U3450">
        <v>-6.7032742679180197</v>
      </c>
      <c r="V3450">
        <v>0.56447631882034699</v>
      </c>
      <c r="W3450">
        <v>0.95650569706421396</v>
      </c>
      <c r="X3450">
        <v>0</v>
      </c>
      <c r="Y3450">
        <v>0</v>
      </c>
    </row>
    <row r="3451" spans="1:25" x14ac:dyDescent="0.2">
      <c r="A3451" t="s">
        <v>12719</v>
      </c>
      <c r="B3451" t="s">
        <v>12720</v>
      </c>
      <c r="C3451" t="s">
        <v>14693</v>
      </c>
      <c r="D3451" t="s">
        <v>4609</v>
      </c>
      <c r="E3451" t="s">
        <v>12720</v>
      </c>
      <c r="F3451" t="s">
        <v>28</v>
      </c>
      <c r="G3451" t="s">
        <v>12720</v>
      </c>
      <c r="H3451" t="str">
        <f>"Y57A10A.5"</f>
        <v>Y57A10A.5</v>
      </c>
      <c r="I3451" t="s">
        <v>4609</v>
      </c>
      <c r="J3451" t="s">
        <v>29</v>
      </c>
      <c r="K3451" t="s">
        <v>29</v>
      </c>
      <c r="L3451" t="s">
        <v>29</v>
      </c>
      <c r="M3451" t="s">
        <v>29</v>
      </c>
      <c r="N3451">
        <v>11.0770627205371</v>
      </c>
      <c r="O3451" t="s">
        <v>29</v>
      </c>
      <c r="P3451" t="s">
        <v>29</v>
      </c>
      <c r="Q3451" t="s">
        <v>29</v>
      </c>
      <c r="R3451" t="s">
        <v>29</v>
      </c>
      <c r="S3451">
        <v>11.7113673290358</v>
      </c>
      <c r="T3451" t="s">
        <v>29</v>
      </c>
      <c r="U3451" t="s">
        <v>29</v>
      </c>
      <c r="V3451" t="s">
        <v>29</v>
      </c>
      <c r="W3451" t="s">
        <v>29</v>
      </c>
      <c r="X3451" t="s">
        <v>29</v>
      </c>
      <c r="Y3451" t="s">
        <v>29</v>
      </c>
    </row>
    <row r="3452" spans="1:25" x14ac:dyDescent="0.2">
      <c r="A3452" t="s">
        <v>12721</v>
      </c>
      <c r="B3452" t="s">
        <v>12722</v>
      </c>
      <c r="C3452" t="s">
        <v>12723</v>
      </c>
      <c r="D3452" t="s">
        <v>12724</v>
      </c>
      <c r="E3452" t="s">
        <v>12722</v>
      </c>
      <c r="F3452" t="s">
        <v>28</v>
      </c>
      <c r="G3452" t="s">
        <v>12722</v>
      </c>
      <c r="H3452" t="str">
        <f>"aat-9"</f>
        <v>aat-9</v>
      </c>
      <c r="I3452" t="s">
        <v>12724</v>
      </c>
      <c r="J3452">
        <v>13.4627497601802</v>
      </c>
      <c r="K3452">
        <v>13.484216174172399</v>
      </c>
      <c r="L3452">
        <v>13.0550079629342</v>
      </c>
      <c r="M3452">
        <v>13.183276387642101</v>
      </c>
      <c r="N3452">
        <v>13.157126902245601</v>
      </c>
      <c r="O3452">
        <v>12.9637200641879</v>
      </c>
      <c r="P3452">
        <v>-0.23261684773708199</v>
      </c>
      <c r="Q3452">
        <v>-0.65385082251196402</v>
      </c>
      <c r="R3452">
        <v>0.18861712703779901</v>
      </c>
      <c r="S3452">
        <v>13.0835962234513</v>
      </c>
      <c r="T3452">
        <v>-1.1656489779451999</v>
      </c>
      <c r="U3452">
        <v>-6.1977964544122903</v>
      </c>
      <c r="V3452">
        <v>0.259949491316673</v>
      </c>
      <c r="W3452">
        <v>0.84073071632836605</v>
      </c>
      <c r="X3452">
        <v>0</v>
      </c>
      <c r="Y3452">
        <v>0</v>
      </c>
    </row>
    <row r="3453" spans="1:25" x14ac:dyDescent="0.2">
      <c r="A3453" t="s">
        <v>12725</v>
      </c>
      <c r="B3453" t="s">
        <v>12726</v>
      </c>
      <c r="C3453" t="s">
        <v>12727</v>
      </c>
      <c r="D3453" t="s">
        <v>4173</v>
      </c>
      <c r="E3453" t="s">
        <v>12726</v>
      </c>
      <c r="F3453" t="s">
        <v>28</v>
      </c>
      <c r="G3453" t="s">
        <v>12726</v>
      </c>
      <c r="H3453" t="str">
        <f>"arp-1"</f>
        <v>arp-1</v>
      </c>
      <c r="I3453" t="s">
        <v>4173</v>
      </c>
      <c r="J3453">
        <v>12.7498041416678</v>
      </c>
      <c r="K3453">
        <v>12.529680704637601</v>
      </c>
      <c r="L3453">
        <v>12.687207608304</v>
      </c>
      <c r="M3453">
        <v>12.682987784113999</v>
      </c>
      <c r="N3453">
        <v>12.729152903672199</v>
      </c>
      <c r="O3453">
        <v>13.0577797872117</v>
      </c>
      <c r="P3453">
        <v>0.16774267346285399</v>
      </c>
      <c r="Q3453">
        <v>-0.453430426788966</v>
      </c>
      <c r="R3453">
        <v>0.78891577371467403</v>
      </c>
      <c r="S3453">
        <v>13.017560822486899</v>
      </c>
      <c r="T3453">
        <v>0.56757522916795999</v>
      </c>
      <c r="U3453">
        <v>-6.7156836696800903</v>
      </c>
      <c r="V3453">
        <v>0.57737546006878404</v>
      </c>
      <c r="W3453">
        <v>0.96154852663020995</v>
      </c>
      <c r="X3453">
        <v>0</v>
      </c>
      <c r="Y3453">
        <v>0</v>
      </c>
    </row>
    <row r="3454" spans="1:25" x14ac:dyDescent="0.2">
      <c r="A3454" t="s">
        <v>12728</v>
      </c>
      <c r="B3454" t="s">
        <v>12729</v>
      </c>
      <c r="C3454" t="s">
        <v>14694</v>
      </c>
      <c r="D3454" t="s">
        <v>12730</v>
      </c>
      <c r="E3454" t="s">
        <v>12729</v>
      </c>
      <c r="F3454" t="s">
        <v>28</v>
      </c>
      <c r="G3454" t="s">
        <v>12729</v>
      </c>
      <c r="H3454" t="str">
        <f>"Y53F4B.21"</f>
        <v>Y53F4B.21</v>
      </c>
      <c r="I3454" t="s">
        <v>12730</v>
      </c>
      <c r="J3454">
        <v>9.6840755058425998</v>
      </c>
      <c r="K3454">
        <v>10.1365328490851</v>
      </c>
      <c r="L3454">
        <v>10.873911834567201</v>
      </c>
      <c r="M3454" t="s">
        <v>29</v>
      </c>
      <c r="N3454">
        <v>10.7782431944902</v>
      </c>
      <c r="O3454">
        <v>10.4609425536534</v>
      </c>
      <c r="P3454">
        <v>0.38808614424014298</v>
      </c>
      <c r="Q3454">
        <v>-0.36247180565398301</v>
      </c>
      <c r="R3454">
        <v>1.1386440941342699</v>
      </c>
      <c r="S3454">
        <v>10.9910721152525</v>
      </c>
      <c r="T3454">
        <v>1.10277144996174</v>
      </c>
      <c r="U3454">
        <v>-6.1567953506443098</v>
      </c>
      <c r="V3454">
        <v>0.28762573536257602</v>
      </c>
      <c r="W3454">
        <v>0.856190392347986</v>
      </c>
      <c r="X3454">
        <v>0</v>
      </c>
      <c r="Y3454">
        <v>0</v>
      </c>
    </row>
    <row r="3455" spans="1:25" x14ac:dyDescent="0.2">
      <c r="A3455" t="s">
        <v>12731</v>
      </c>
      <c r="B3455" t="s">
        <v>12732</v>
      </c>
      <c r="C3455" t="s">
        <v>12733</v>
      </c>
      <c r="D3455" t="s">
        <v>12734</v>
      </c>
      <c r="E3455" t="s">
        <v>12732</v>
      </c>
      <c r="F3455" t="s">
        <v>28</v>
      </c>
      <c r="G3455" t="s">
        <v>12732</v>
      </c>
      <c r="H3455" t="str">
        <f>"Y53F4B.13"</f>
        <v>Y53F4B.13</v>
      </c>
      <c r="I3455" t="s">
        <v>12734</v>
      </c>
      <c r="J3455">
        <v>14.5418485033438</v>
      </c>
      <c r="K3455">
        <v>14.414219715903499</v>
      </c>
      <c r="L3455">
        <v>14.154709663245701</v>
      </c>
      <c r="M3455">
        <v>14.1536413714073</v>
      </c>
      <c r="N3455">
        <v>14.1701392892132</v>
      </c>
      <c r="O3455">
        <v>14.185614576411</v>
      </c>
      <c r="P3455">
        <v>-0.20046088182050101</v>
      </c>
      <c r="Q3455">
        <v>-0.49988588618718699</v>
      </c>
      <c r="R3455">
        <v>9.8964122546186098E-2</v>
      </c>
      <c r="S3455">
        <v>14.130167404377501</v>
      </c>
      <c r="T3455">
        <v>-1.4071295553687999</v>
      </c>
      <c r="U3455">
        <v>-5.9018201853540502</v>
      </c>
      <c r="V3455">
        <v>0.17652050655563001</v>
      </c>
      <c r="W3455">
        <v>0.77568784401157198</v>
      </c>
      <c r="X3455">
        <v>0</v>
      </c>
      <c r="Y3455">
        <v>0</v>
      </c>
    </row>
    <row r="3456" spans="1:25" x14ac:dyDescent="0.2">
      <c r="A3456" t="s">
        <v>12735</v>
      </c>
      <c r="B3456" t="s">
        <v>12736</v>
      </c>
      <c r="C3456" t="s">
        <v>12737</v>
      </c>
      <c r="D3456" t="s">
        <v>12738</v>
      </c>
      <c r="E3456" t="s">
        <v>12736</v>
      </c>
      <c r="F3456" t="s">
        <v>28</v>
      </c>
      <c r="G3456" t="s">
        <v>12736</v>
      </c>
      <c r="H3456" t="str">
        <f>"nsun-5"</f>
        <v>nsun-5</v>
      </c>
      <c r="I3456" t="s">
        <v>12738</v>
      </c>
      <c r="J3456">
        <v>12.020049950177301</v>
      </c>
      <c r="K3456">
        <v>10.880588248972201</v>
      </c>
      <c r="L3456">
        <v>12.4634195134695</v>
      </c>
      <c r="M3456">
        <v>12.044138828954701</v>
      </c>
      <c r="N3456">
        <v>12.7271436396779</v>
      </c>
      <c r="O3456">
        <v>12.6349846160402</v>
      </c>
      <c r="P3456">
        <v>0.68073645735129795</v>
      </c>
      <c r="Q3456">
        <v>-0.13173144992061001</v>
      </c>
      <c r="R3456">
        <v>1.49320436462321</v>
      </c>
      <c r="S3456">
        <v>12.812281031992899</v>
      </c>
      <c r="T3456">
        <v>1.7685722570717199</v>
      </c>
      <c r="U3456">
        <v>-5.3797607141625399</v>
      </c>
      <c r="V3456">
        <v>9.5014986885103805E-2</v>
      </c>
      <c r="W3456">
        <v>0.638807831017425</v>
      </c>
      <c r="X3456">
        <v>0</v>
      </c>
      <c r="Y3456">
        <v>0</v>
      </c>
    </row>
    <row r="3457" spans="1:25" x14ac:dyDescent="0.2">
      <c r="A3457" t="s">
        <v>12739</v>
      </c>
      <c r="B3457" t="s">
        <v>12740</v>
      </c>
      <c r="C3457" t="s">
        <v>12741</v>
      </c>
      <c r="D3457" t="s">
        <v>12742</v>
      </c>
      <c r="E3457" t="s">
        <v>12740</v>
      </c>
      <c r="F3457" t="s">
        <v>28</v>
      </c>
      <c r="G3457" t="s">
        <v>12740</v>
      </c>
      <c r="H3457" t="str">
        <f>"gst-27"</f>
        <v>gst-27</v>
      </c>
      <c r="I3457" t="s">
        <v>12742</v>
      </c>
      <c r="J3457">
        <v>13.212027186203199</v>
      </c>
      <c r="K3457">
        <v>13.3416897805311</v>
      </c>
      <c r="L3457">
        <v>13.1231792656694</v>
      </c>
      <c r="M3457">
        <v>12.7160290027971</v>
      </c>
      <c r="N3457">
        <v>13.030554491687299</v>
      </c>
      <c r="O3457">
        <v>13.3482366551799</v>
      </c>
      <c r="P3457">
        <v>-0.194025360913159</v>
      </c>
      <c r="Q3457">
        <v>-0.59108852465934802</v>
      </c>
      <c r="R3457">
        <v>0.20303780283303099</v>
      </c>
      <c r="S3457">
        <v>12.8270773234774</v>
      </c>
      <c r="T3457">
        <v>-1.0314517438267701</v>
      </c>
      <c r="U3457">
        <v>-6.3418930229134602</v>
      </c>
      <c r="V3457">
        <v>0.31686938929817499</v>
      </c>
      <c r="W3457">
        <v>0.86534615141322802</v>
      </c>
      <c r="X3457">
        <v>0</v>
      </c>
      <c r="Y3457">
        <v>0</v>
      </c>
    </row>
    <row r="3458" spans="1:25" x14ac:dyDescent="0.2">
      <c r="A3458" t="s">
        <v>12743</v>
      </c>
      <c r="B3458" t="s">
        <v>12744</v>
      </c>
      <c r="C3458" t="s">
        <v>12745</v>
      </c>
      <c r="D3458" t="s">
        <v>12742</v>
      </c>
      <c r="E3458" t="s">
        <v>12744</v>
      </c>
      <c r="F3458" t="s">
        <v>28</v>
      </c>
      <c r="G3458" t="s">
        <v>12744</v>
      </c>
      <c r="H3458" t="str">
        <f>"gst-26"</f>
        <v>gst-26</v>
      </c>
      <c r="I3458" t="s">
        <v>12742</v>
      </c>
      <c r="J3458">
        <v>13.9124182910464</v>
      </c>
      <c r="K3458">
        <v>13.745884708852</v>
      </c>
      <c r="L3458">
        <v>13.895177120193001</v>
      </c>
      <c r="M3458">
        <v>13.525992915047</v>
      </c>
      <c r="N3458">
        <v>13.671716592184801</v>
      </c>
      <c r="O3458">
        <v>13.8174960266297</v>
      </c>
      <c r="P3458">
        <v>-0.179424862076589</v>
      </c>
      <c r="Q3458">
        <v>-0.57963802684651</v>
      </c>
      <c r="R3458">
        <v>0.22078830269333199</v>
      </c>
      <c r="S3458">
        <v>13.5850757698222</v>
      </c>
      <c r="T3458">
        <v>-0.94228822433398696</v>
      </c>
      <c r="U3458">
        <v>-6.4298170177195502</v>
      </c>
      <c r="V3458">
        <v>0.358593246191722</v>
      </c>
      <c r="W3458">
        <v>0.88269106754885296</v>
      </c>
      <c r="X3458">
        <v>0</v>
      </c>
      <c r="Y3458">
        <v>0</v>
      </c>
    </row>
    <row r="3459" spans="1:25" x14ac:dyDescent="0.2">
      <c r="A3459" t="s">
        <v>12746</v>
      </c>
      <c r="B3459" t="s">
        <v>12747</v>
      </c>
      <c r="C3459" t="s">
        <v>14695</v>
      </c>
      <c r="D3459" t="s">
        <v>12748</v>
      </c>
      <c r="E3459" t="s">
        <v>12747</v>
      </c>
      <c r="F3459" t="s">
        <v>28</v>
      </c>
      <c r="G3459" t="s">
        <v>12747</v>
      </c>
      <c r="H3459" t="str">
        <f>"Y53F4B.18"</f>
        <v>Y53F4B.18</v>
      </c>
      <c r="I3459" t="s">
        <v>12748</v>
      </c>
      <c r="J3459">
        <v>14.554347514831999</v>
      </c>
      <c r="K3459">
        <v>14.3756729709156</v>
      </c>
      <c r="L3459">
        <v>14.245819063610501</v>
      </c>
      <c r="M3459">
        <v>15.0044516553394</v>
      </c>
      <c r="N3459">
        <v>15.219716174645599</v>
      </c>
      <c r="O3459">
        <v>14.8651376504135</v>
      </c>
      <c r="P3459">
        <v>0.63782197701343102</v>
      </c>
      <c r="Q3459">
        <v>0.14880988522648</v>
      </c>
      <c r="R3459">
        <v>1.12683406880038</v>
      </c>
      <c r="S3459">
        <v>14.367522538905799</v>
      </c>
      <c r="T3459">
        <v>2.7413999118378101</v>
      </c>
      <c r="U3459">
        <v>-3.6107042918708498</v>
      </c>
      <c r="V3459">
        <v>1.3465734828749999E-2</v>
      </c>
      <c r="W3459">
        <v>0.218604709805268</v>
      </c>
      <c r="X3459">
        <v>0</v>
      </c>
      <c r="Y3459">
        <v>0</v>
      </c>
    </row>
    <row r="3460" spans="1:25" x14ac:dyDescent="0.2">
      <c r="A3460" t="s">
        <v>12749</v>
      </c>
      <c r="B3460" t="s">
        <v>12750</v>
      </c>
      <c r="C3460" t="s">
        <v>14696</v>
      </c>
      <c r="D3460" t="s">
        <v>1358</v>
      </c>
      <c r="E3460" t="s">
        <v>12750</v>
      </c>
      <c r="F3460" t="s">
        <v>28</v>
      </c>
      <c r="G3460" t="s">
        <v>12750</v>
      </c>
      <c r="H3460" t="str">
        <f>"Y53F4B.9"</f>
        <v>Y53F4B.9</v>
      </c>
      <c r="I3460" t="s">
        <v>1358</v>
      </c>
      <c r="J3460" t="s">
        <v>29</v>
      </c>
      <c r="K3460" t="s">
        <v>29</v>
      </c>
      <c r="L3460">
        <v>10.3475043949051</v>
      </c>
      <c r="M3460" t="s">
        <v>29</v>
      </c>
      <c r="N3460" t="s">
        <v>29</v>
      </c>
      <c r="O3460" t="s">
        <v>29</v>
      </c>
      <c r="P3460" t="s">
        <v>29</v>
      </c>
      <c r="Q3460" t="s">
        <v>29</v>
      </c>
      <c r="R3460" t="s">
        <v>29</v>
      </c>
      <c r="S3460">
        <v>11.6055706932645</v>
      </c>
      <c r="T3460" t="s">
        <v>29</v>
      </c>
      <c r="U3460" t="s">
        <v>29</v>
      </c>
      <c r="V3460" t="s">
        <v>29</v>
      </c>
      <c r="W3460" t="s">
        <v>29</v>
      </c>
      <c r="X3460" t="s">
        <v>29</v>
      </c>
      <c r="Y3460" t="s">
        <v>29</v>
      </c>
    </row>
    <row r="3461" spans="1:25" x14ac:dyDescent="0.2">
      <c r="A3461" t="s">
        <v>12751</v>
      </c>
      <c r="B3461" t="s">
        <v>12752</v>
      </c>
      <c r="C3461" t="s">
        <v>12753</v>
      </c>
      <c r="D3461" t="s">
        <v>12754</v>
      </c>
      <c r="E3461" t="s">
        <v>12752</v>
      </c>
      <c r="F3461" t="s">
        <v>28</v>
      </c>
      <c r="G3461" t="s">
        <v>12752</v>
      </c>
      <c r="H3461" t="str">
        <f>"elo-9"</f>
        <v>elo-9</v>
      </c>
      <c r="I3461" t="s">
        <v>12754</v>
      </c>
      <c r="J3461" t="s">
        <v>29</v>
      </c>
      <c r="K3461" t="s">
        <v>29</v>
      </c>
      <c r="L3461">
        <v>13.6162041743413</v>
      </c>
      <c r="M3461">
        <v>14.4344549868073</v>
      </c>
      <c r="N3461" t="s">
        <v>29</v>
      </c>
      <c r="O3461" t="s">
        <v>29</v>
      </c>
      <c r="P3461">
        <v>0.81825081246590903</v>
      </c>
      <c r="Q3461">
        <v>-0.52592961035685004</v>
      </c>
      <c r="R3461">
        <v>2.1624312352886701</v>
      </c>
      <c r="S3461">
        <v>13.917212349737699</v>
      </c>
      <c r="T3461">
        <v>1.3583002160180799</v>
      </c>
      <c r="U3461">
        <v>-5.4427177384415799</v>
      </c>
      <c r="V3461">
        <v>0.20452832096696699</v>
      </c>
      <c r="W3461">
        <v>0.79075284576134597</v>
      </c>
      <c r="X3461">
        <v>0</v>
      </c>
      <c r="Y3461">
        <v>0</v>
      </c>
    </row>
    <row r="3462" spans="1:25" x14ac:dyDescent="0.2">
      <c r="A3462" t="s">
        <v>12755</v>
      </c>
      <c r="B3462" t="s">
        <v>12756</v>
      </c>
      <c r="C3462" t="s">
        <v>12757</v>
      </c>
      <c r="D3462" t="s">
        <v>12758</v>
      </c>
      <c r="E3462" t="s">
        <v>12756</v>
      </c>
      <c r="F3462" t="s">
        <v>28</v>
      </c>
      <c r="G3462" t="s">
        <v>12756</v>
      </c>
      <c r="H3462" t="str">
        <f>"sta-1"</f>
        <v>sta-1</v>
      </c>
      <c r="I3462" t="s">
        <v>12758</v>
      </c>
      <c r="J3462">
        <v>12.2843060711051</v>
      </c>
      <c r="K3462">
        <v>11.658493885239199</v>
      </c>
      <c r="L3462" t="s">
        <v>29</v>
      </c>
      <c r="M3462" t="s">
        <v>29</v>
      </c>
      <c r="N3462" t="s">
        <v>29</v>
      </c>
      <c r="O3462">
        <v>8.9296599272271404</v>
      </c>
      <c r="P3462">
        <v>-3.0417400509449899</v>
      </c>
      <c r="Q3462">
        <v>-4.1555986850430102</v>
      </c>
      <c r="R3462">
        <v>-1.92788141684698</v>
      </c>
      <c r="S3462">
        <v>12.575243872316101</v>
      </c>
      <c r="T3462">
        <v>-5.9044474949191699</v>
      </c>
      <c r="U3462">
        <v>2.1955844051174802</v>
      </c>
      <c r="V3462" s="2">
        <v>5.3729536153580598E-5</v>
      </c>
      <c r="W3462">
        <v>2.8840628438567099E-3</v>
      </c>
      <c r="X3462">
        <v>-1</v>
      </c>
      <c r="Y3462">
        <v>-1</v>
      </c>
    </row>
    <row r="3463" spans="1:25" x14ac:dyDescent="0.2">
      <c r="A3463" t="s">
        <v>12759</v>
      </c>
      <c r="B3463" t="s">
        <v>12760</v>
      </c>
      <c r="C3463" t="s">
        <v>12761</v>
      </c>
      <c r="D3463" t="s">
        <v>10543</v>
      </c>
      <c r="E3463" t="s">
        <v>12760</v>
      </c>
      <c r="F3463" t="s">
        <v>28</v>
      </c>
      <c r="G3463" t="s">
        <v>12760</v>
      </c>
      <c r="H3463" t="str">
        <f>"mrpl-20"</f>
        <v>mrpl-20</v>
      </c>
      <c r="I3463" t="s">
        <v>10543</v>
      </c>
      <c r="J3463">
        <v>11.9907344229581</v>
      </c>
      <c r="K3463">
        <v>11.4657160004323</v>
      </c>
      <c r="L3463">
        <v>12.340473704878701</v>
      </c>
      <c r="M3463">
        <v>12.457159080841899</v>
      </c>
      <c r="N3463">
        <v>12.6697359368696</v>
      </c>
      <c r="O3463" t="s">
        <v>29</v>
      </c>
      <c r="P3463">
        <v>0.63113946609939997</v>
      </c>
      <c r="Q3463">
        <v>-0.30637379510041002</v>
      </c>
      <c r="R3463">
        <v>1.5686527272992099</v>
      </c>
      <c r="S3463">
        <v>13.0050380257782</v>
      </c>
      <c r="T3463">
        <v>1.427898864878</v>
      </c>
      <c r="U3463">
        <v>-5.7666095733660603</v>
      </c>
      <c r="V3463">
        <v>0.17267395599574401</v>
      </c>
      <c r="W3463">
        <v>0.77568784401157198</v>
      </c>
      <c r="X3463">
        <v>0</v>
      </c>
      <c r="Y3463">
        <v>0</v>
      </c>
    </row>
    <row r="3464" spans="1:25" x14ac:dyDescent="0.2">
      <c r="A3464" t="s">
        <v>12762</v>
      </c>
      <c r="B3464" t="s">
        <v>12763</v>
      </c>
      <c r="C3464" t="s">
        <v>12764</v>
      </c>
      <c r="D3464" t="s">
        <v>12765</v>
      </c>
      <c r="E3464" t="s">
        <v>12763</v>
      </c>
      <c r="F3464" t="s">
        <v>28</v>
      </c>
      <c r="G3464" t="s">
        <v>12763</v>
      </c>
      <c r="H3464" t="str">
        <f>"mac-1"</f>
        <v>mac-1</v>
      </c>
      <c r="I3464" t="s">
        <v>12765</v>
      </c>
      <c r="J3464">
        <v>11.974319371315101</v>
      </c>
      <c r="K3464" t="s">
        <v>29</v>
      </c>
      <c r="L3464" t="s">
        <v>29</v>
      </c>
      <c r="M3464">
        <v>12.0263142714431</v>
      </c>
      <c r="N3464" t="s">
        <v>29</v>
      </c>
      <c r="O3464" t="s">
        <v>29</v>
      </c>
      <c r="P3464">
        <v>5.1994900127974503E-2</v>
      </c>
      <c r="Q3464">
        <v>-0.98766534651156002</v>
      </c>
      <c r="R3464">
        <v>1.09165514676751</v>
      </c>
      <c r="S3464">
        <v>12.547070882397501</v>
      </c>
      <c r="T3464">
        <v>0.11159280664328999</v>
      </c>
      <c r="U3464">
        <v>-6.3367439002862804</v>
      </c>
      <c r="V3464">
        <v>0.91337743730675103</v>
      </c>
      <c r="W3464">
        <v>0.99833354317360001</v>
      </c>
      <c r="X3464">
        <v>0</v>
      </c>
      <c r="Y3464">
        <v>0</v>
      </c>
    </row>
    <row r="3465" spans="1:25" x14ac:dyDescent="0.2">
      <c r="A3465" t="s">
        <v>12766</v>
      </c>
      <c r="B3465" t="s">
        <v>12767</v>
      </c>
      <c r="C3465" t="s">
        <v>12768</v>
      </c>
      <c r="D3465" t="s">
        <v>12769</v>
      </c>
      <c r="E3465" t="s">
        <v>12767</v>
      </c>
      <c r="F3465" t="s">
        <v>28</v>
      </c>
      <c r="G3465" t="s">
        <v>12767</v>
      </c>
      <c r="H3465" t="str">
        <f>"rsks-1"</f>
        <v>rsks-1</v>
      </c>
      <c r="I3465" t="s">
        <v>12769</v>
      </c>
      <c r="J3465">
        <v>13.615671794832</v>
      </c>
      <c r="K3465">
        <v>13.4624059668343</v>
      </c>
      <c r="L3465">
        <v>13.5003564959556</v>
      </c>
      <c r="M3465">
        <v>13.748078300380101</v>
      </c>
      <c r="N3465">
        <v>13.8835524624578</v>
      </c>
      <c r="O3465">
        <v>13.8451375894203</v>
      </c>
      <c r="P3465">
        <v>0.29944469821209702</v>
      </c>
      <c r="Q3465">
        <v>-0.166932709607993</v>
      </c>
      <c r="R3465">
        <v>0.76582210603218803</v>
      </c>
      <c r="S3465">
        <v>14.1751546066602</v>
      </c>
      <c r="T3465">
        <v>1.34949611009177</v>
      </c>
      <c r="U3465">
        <v>-5.9767799013736296</v>
      </c>
      <c r="V3465">
        <v>0.19400429059793201</v>
      </c>
      <c r="W3465">
        <v>0.78513100884523002</v>
      </c>
      <c r="X3465">
        <v>0</v>
      </c>
      <c r="Y3465">
        <v>0</v>
      </c>
    </row>
    <row r="3466" spans="1:25" x14ac:dyDescent="0.2">
      <c r="A3466" t="s">
        <v>12770</v>
      </c>
      <c r="B3466" t="s">
        <v>12771</v>
      </c>
      <c r="C3466" t="s">
        <v>14697</v>
      </c>
      <c r="D3466" t="s">
        <v>6170</v>
      </c>
      <c r="E3466" t="s">
        <v>12771</v>
      </c>
      <c r="F3466" t="s">
        <v>28</v>
      </c>
      <c r="G3466" t="s">
        <v>12771</v>
      </c>
      <c r="H3466" t="str">
        <f>"Y39G8B.1"</f>
        <v>Y39G8B.1</v>
      </c>
      <c r="I3466" t="s">
        <v>6170</v>
      </c>
      <c r="J3466" t="s">
        <v>29</v>
      </c>
      <c r="K3466" t="s">
        <v>29</v>
      </c>
      <c r="L3466">
        <v>11.916663491358401</v>
      </c>
      <c r="M3466">
        <v>11.621657062014</v>
      </c>
      <c r="N3466">
        <v>11.8766697832509</v>
      </c>
      <c r="O3466">
        <v>12.2906449022882</v>
      </c>
      <c r="P3466">
        <v>1.299375782596E-2</v>
      </c>
      <c r="Q3466">
        <v>-1.77466096133049</v>
      </c>
      <c r="R3466">
        <v>1.80064847698241</v>
      </c>
      <c r="S3466">
        <v>12.0915163864471</v>
      </c>
      <c r="T3466">
        <v>1.6800292387329101E-2</v>
      </c>
      <c r="U3466">
        <v>-6.5408883366280897</v>
      </c>
      <c r="V3466">
        <v>0.98701272927436001</v>
      </c>
      <c r="W3466">
        <v>0.99968702248720698</v>
      </c>
      <c r="X3466">
        <v>0</v>
      </c>
      <c r="Y3466">
        <v>0</v>
      </c>
    </row>
    <row r="3467" spans="1:25" x14ac:dyDescent="0.2">
      <c r="A3467" t="s">
        <v>12772</v>
      </c>
      <c r="B3467" t="s">
        <v>12773</v>
      </c>
      <c r="C3467" t="s">
        <v>12774</v>
      </c>
      <c r="D3467" t="s">
        <v>12775</v>
      </c>
      <c r="E3467" t="s">
        <v>12773</v>
      </c>
      <c r="F3467" t="s">
        <v>28</v>
      </c>
      <c r="G3467" t="s">
        <v>12773</v>
      </c>
      <c r="H3467" t="str">
        <f>"mdt-17"</f>
        <v>mdt-17</v>
      </c>
      <c r="I3467" t="s">
        <v>12775</v>
      </c>
      <c r="J3467">
        <v>13.4520618475264</v>
      </c>
      <c r="K3467">
        <v>13.565247682485399</v>
      </c>
      <c r="L3467">
        <v>13.257677809114099</v>
      </c>
      <c r="M3467">
        <v>13.4118755481301</v>
      </c>
      <c r="N3467">
        <v>13.5435976508625</v>
      </c>
      <c r="O3467">
        <v>13.682846589643599</v>
      </c>
      <c r="P3467">
        <v>0.121110816503435</v>
      </c>
      <c r="Q3467">
        <v>-0.21275575433725799</v>
      </c>
      <c r="R3467">
        <v>0.45497738734412901</v>
      </c>
      <c r="S3467">
        <v>13.5092583925647</v>
      </c>
      <c r="T3467">
        <v>0.76243444541435101</v>
      </c>
      <c r="U3467">
        <v>-6.5836368318869898</v>
      </c>
      <c r="V3467">
        <v>0.45573373140637802</v>
      </c>
      <c r="W3467">
        <v>0.92650082963984404</v>
      </c>
      <c r="X3467">
        <v>0</v>
      </c>
      <c r="Y3467">
        <v>0</v>
      </c>
    </row>
    <row r="3468" spans="1:25" x14ac:dyDescent="0.2">
      <c r="A3468" t="s">
        <v>12776</v>
      </c>
      <c r="B3468" t="s">
        <v>12777</v>
      </c>
      <c r="C3468" t="s">
        <v>12778</v>
      </c>
      <c r="D3468" t="s">
        <v>12779</v>
      </c>
      <c r="E3468" t="s">
        <v>12777</v>
      </c>
      <c r="F3468" t="s">
        <v>28</v>
      </c>
      <c r="G3468" t="s">
        <v>12777</v>
      </c>
      <c r="H3468" t="str">
        <f>"uba-2"</f>
        <v>uba-2</v>
      </c>
      <c r="I3468" t="s">
        <v>12779</v>
      </c>
      <c r="J3468">
        <v>13.5859895805636</v>
      </c>
      <c r="K3468">
        <v>13.668461086320701</v>
      </c>
      <c r="L3468">
        <v>13.3084367470091</v>
      </c>
      <c r="M3468">
        <v>13.3336067405058</v>
      </c>
      <c r="N3468">
        <v>13.1653022734997</v>
      </c>
      <c r="O3468">
        <v>13.4248902706208</v>
      </c>
      <c r="P3468">
        <v>-0.21302937642237699</v>
      </c>
      <c r="Q3468">
        <v>-0.61048382011812796</v>
      </c>
      <c r="R3468">
        <v>0.18442506727337499</v>
      </c>
      <c r="S3468">
        <v>13.1608834122648</v>
      </c>
      <c r="T3468">
        <v>-1.1313634710542699</v>
      </c>
      <c r="U3468">
        <v>-6.2360535995764597</v>
      </c>
      <c r="V3468">
        <v>0.27370614506660401</v>
      </c>
      <c r="W3468">
        <v>0.856190392347986</v>
      </c>
      <c r="X3468">
        <v>0</v>
      </c>
      <c r="Y3468">
        <v>0</v>
      </c>
    </row>
    <row r="3469" spans="1:25" x14ac:dyDescent="0.2">
      <c r="A3469" t="s">
        <v>12780</v>
      </c>
      <c r="B3469" t="s">
        <v>12781</v>
      </c>
      <c r="C3469" t="s">
        <v>12782</v>
      </c>
      <c r="D3469" t="s">
        <v>12783</v>
      </c>
      <c r="E3469" t="s">
        <v>12781</v>
      </c>
      <c r="F3469" t="s">
        <v>28</v>
      </c>
      <c r="G3469" t="s">
        <v>12781</v>
      </c>
      <c r="H3469" t="str">
        <f>"par-6"</f>
        <v>par-6</v>
      </c>
      <c r="I3469" t="s">
        <v>12783</v>
      </c>
      <c r="J3469" t="s">
        <v>29</v>
      </c>
      <c r="K3469" t="s">
        <v>29</v>
      </c>
      <c r="L3469">
        <v>11.7378739762707</v>
      </c>
      <c r="M3469" t="s">
        <v>29</v>
      </c>
      <c r="N3469">
        <v>11.9452244743868</v>
      </c>
      <c r="O3469" t="s">
        <v>29</v>
      </c>
      <c r="P3469">
        <v>0.20735049811617801</v>
      </c>
      <c r="Q3469">
        <v>-0.78764998272647102</v>
      </c>
      <c r="R3469">
        <v>1.20235097895883</v>
      </c>
      <c r="S3469">
        <v>11.874054681979301</v>
      </c>
      <c r="T3469">
        <v>0.46499542803938998</v>
      </c>
      <c r="U3469">
        <v>-6.2292392877271396</v>
      </c>
      <c r="V3469">
        <v>0.65199881623699296</v>
      </c>
      <c r="W3469">
        <v>0.98150210052054998</v>
      </c>
      <c r="X3469">
        <v>0</v>
      </c>
      <c r="Y3469">
        <v>0</v>
      </c>
    </row>
    <row r="3470" spans="1:25" x14ac:dyDescent="0.2">
      <c r="A3470" t="s">
        <v>12784</v>
      </c>
      <c r="B3470" t="s">
        <v>12785</v>
      </c>
      <c r="C3470" t="s">
        <v>14698</v>
      </c>
      <c r="D3470" t="s">
        <v>12786</v>
      </c>
      <c r="E3470" t="s">
        <v>12785</v>
      </c>
      <c r="F3470" t="s">
        <v>28</v>
      </c>
      <c r="G3470" t="s">
        <v>12785</v>
      </c>
      <c r="H3470" t="str">
        <f>"K09E4.4"</f>
        <v>K09E4.4</v>
      </c>
      <c r="I3470" t="s">
        <v>12786</v>
      </c>
      <c r="J3470">
        <v>14.332573623310701</v>
      </c>
      <c r="K3470">
        <v>14.2313480989684</v>
      </c>
      <c r="L3470">
        <v>13.834448793391401</v>
      </c>
      <c r="M3470">
        <v>14.062042478970101</v>
      </c>
      <c r="N3470">
        <v>13.7984259168498</v>
      </c>
      <c r="O3470">
        <v>13.954450385535999</v>
      </c>
      <c r="P3470">
        <v>-0.194483911438219</v>
      </c>
      <c r="Q3470">
        <v>-0.96909192945759004</v>
      </c>
      <c r="R3470">
        <v>0.58012410658115199</v>
      </c>
      <c r="S3470">
        <v>13.7610611560699</v>
      </c>
      <c r="T3470">
        <v>-0.53253875929744299</v>
      </c>
      <c r="U3470">
        <v>-6.7346522815409502</v>
      </c>
      <c r="V3470">
        <v>0.60171885326652697</v>
      </c>
      <c r="W3470">
        <v>0.96856739034780204</v>
      </c>
      <c r="X3470">
        <v>0</v>
      </c>
      <c r="Y3470">
        <v>0</v>
      </c>
    </row>
    <row r="3471" spans="1:25" x14ac:dyDescent="0.2">
      <c r="A3471" t="s">
        <v>12787</v>
      </c>
      <c r="B3471" t="s">
        <v>12788</v>
      </c>
      <c r="C3471" t="s">
        <v>12789</v>
      </c>
      <c r="D3471" t="s">
        <v>12790</v>
      </c>
      <c r="E3471" t="s">
        <v>12788</v>
      </c>
      <c r="F3471" t="s">
        <v>28</v>
      </c>
      <c r="G3471" t="s">
        <v>12788</v>
      </c>
      <c r="H3471" t="str">
        <f>"mrps-15"</f>
        <v>mrps-15</v>
      </c>
      <c r="I3471" t="s">
        <v>12790</v>
      </c>
      <c r="J3471" t="s">
        <v>29</v>
      </c>
      <c r="K3471">
        <v>11.3522500722849</v>
      </c>
      <c r="L3471">
        <v>11.7819034652162</v>
      </c>
      <c r="M3471">
        <v>11.1678639066789</v>
      </c>
      <c r="N3471">
        <v>11.363281622409501</v>
      </c>
      <c r="O3471" t="s">
        <v>29</v>
      </c>
      <c r="P3471">
        <v>-0.30150400420638801</v>
      </c>
      <c r="Q3471">
        <v>-0.93613985384475695</v>
      </c>
      <c r="R3471">
        <v>0.33313184543198099</v>
      </c>
      <c r="S3471">
        <v>12.237346323914</v>
      </c>
      <c r="T3471">
        <v>-1.0272016955805601</v>
      </c>
      <c r="U3471">
        <v>-6.1446460376942902</v>
      </c>
      <c r="V3471">
        <v>0.32320913570277698</v>
      </c>
      <c r="W3471">
        <v>0.86906013099403701</v>
      </c>
      <c r="X3471">
        <v>0</v>
      </c>
      <c r="Y3471">
        <v>0</v>
      </c>
    </row>
    <row r="3472" spans="1:25" x14ac:dyDescent="0.2">
      <c r="A3472" t="s">
        <v>12791</v>
      </c>
      <c r="B3472" t="s">
        <v>12792</v>
      </c>
      <c r="C3472" t="s">
        <v>12793</v>
      </c>
      <c r="D3472" t="s">
        <v>12794</v>
      </c>
      <c r="E3472" t="s">
        <v>12792</v>
      </c>
      <c r="F3472" t="s">
        <v>28</v>
      </c>
      <c r="G3472" t="s">
        <v>12792</v>
      </c>
      <c r="H3472" t="str">
        <f>"C47G2.3"</f>
        <v>C47G2.3</v>
      </c>
      <c r="I3472" t="s">
        <v>12794</v>
      </c>
      <c r="J3472">
        <v>15.0123781981754</v>
      </c>
      <c r="K3472">
        <v>14.9619569316853</v>
      </c>
      <c r="L3472">
        <v>14.5038400093822</v>
      </c>
      <c r="M3472">
        <v>14.5708102258689</v>
      </c>
      <c r="N3472">
        <v>14.663599483374201</v>
      </c>
      <c r="O3472">
        <v>14.9480020520189</v>
      </c>
      <c r="P3472">
        <v>-9.85877926602967E-2</v>
      </c>
      <c r="Q3472">
        <v>-0.70199471124978896</v>
      </c>
      <c r="R3472">
        <v>0.50481912592919498</v>
      </c>
      <c r="S3472">
        <v>14.522700411215901</v>
      </c>
      <c r="T3472">
        <v>-0.34654719457627903</v>
      </c>
      <c r="U3472">
        <v>-6.8195622072830702</v>
      </c>
      <c r="V3472">
        <v>0.73347662008288705</v>
      </c>
      <c r="W3472">
        <v>0.99062225922210301</v>
      </c>
      <c r="X3472">
        <v>0</v>
      </c>
      <c r="Y3472">
        <v>0</v>
      </c>
    </row>
    <row r="3473" spans="1:25" x14ac:dyDescent="0.2">
      <c r="A3473" t="s">
        <v>12795</v>
      </c>
      <c r="B3473" t="s">
        <v>12796</v>
      </c>
      <c r="C3473" t="s">
        <v>12797</v>
      </c>
      <c r="D3473" t="s">
        <v>3312</v>
      </c>
      <c r="E3473" t="s">
        <v>12796</v>
      </c>
      <c r="F3473" t="s">
        <v>28</v>
      </c>
      <c r="G3473" t="s">
        <v>12796</v>
      </c>
      <c r="H3473" t="str">
        <f>"col-124"</f>
        <v>col-124</v>
      </c>
      <c r="I3473" t="s">
        <v>3312</v>
      </c>
      <c r="J3473">
        <v>13.8636012063072</v>
      </c>
      <c r="K3473">
        <v>13.595054426842999</v>
      </c>
      <c r="L3473">
        <v>14.426214561777201</v>
      </c>
      <c r="M3473">
        <v>13.1007536151746</v>
      </c>
      <c r="N3473">
        <v>13.613131149253901</v>
      </c>
      <c r="O3473">
        <v>13.372406685055299</v>
      </c>
      <c r="P3473">
        <v>-0.59952624848122005</v>
      </c>
      <c r="Q3473">
        <v>-1.4147947361723201</v>
      </c>
      <c r="R3473">
        <v>0.215742239209881</v>
      </c>
      <c r="S3473">
        <v>13.6557159656306</v>
      </c>
      <c r="T3473">
        <v>-1.5522353129347</v>
      </c>
      <c r="U3473">
        <v>-5.70277949854718</v>
      </c>
      <c r="V3473">
        <v>0.13913605701170201</v>
      </c>
      <c r="W3473">
        <v>0.72716651652323006</v>
      </c>
      <c r="X3473">
        <v>0</v>
      </c>
      <c r="Y3473">
        <v>0</v>
      </c>
    </row>
    <row r="3474" spans="1:25" x14ac:dyDescent="0.2">
      <c r="A3474" t="s">
        <v>12798</v>
      </c>
      <c r="B3474" t="s">
        <v>12799</v>
      </c>
      <c r="C3474" t="s">
        <v>12800</v>
      </c>
      <c r="D3474" t="s">
        <v>12801</v>
      </c>
      <c r="E3474" t="s">
        <v>12799</v>
      </c>
      <c r="F3474" t="s">
        <v>28</v>
      </c>
      <c r="G3474" t="s">
        <v>12799</v>
      </c>
      <c r="H3474" t="str">
        <f>"cst-1"</f>
        <v>cst-1</v>
      </c>
      <c r="I3474" t="s">
        <v>12801</v>
      </c>
      <c r="J3474">
        <v>11.8324370268608</v>
      </c>
      <c r="K3474">
        <v>11.9417970730352</v>
      </c>
      <c r="L3474">
        <v>11.4361823409571</v>
      </c>
      <c r="M3474">
        <v>12.8727459651403</v>
      </c>
      <c r="N3474">
        <v>13.353784549699199</v>
      </c>
      <c r="O3474">
        <v>12.813075763594901</v>
      </c>
      <c r="P3474">
        <v>1.27639661252713</v>
      </c>
      <c r="Q3474">
        <v>0.72103332625755301</v>
      </c>
      <c r="R3474">
        <v>1.8317598987967201</v>
      </c>
      <c r="S3474">
        <v>12.292847276721799</v>
      </c>
      <c r="T3474">
        <v>4.8748135154632903</v>
      </c>
      <c r="U3474">
        <v>0.71193667511629299</v>
      </c>
      <c r="V3474">
        <v>1.71727600218481E-4</v>
      </c>
      <c r="W3474">
        <v>7.7231007233392697E-3</v>
      </c>
      <c r="X3474">
        <v>1</v>
      </c>
      <c r="Y3474">
        <v>1</v>
      </c>
    </row>
    <row r="3475" spans="1:25" x14ac:dyDescent="0.2">
      <c r="A3475" t="s">
        <v>12802</v>
      </c>
      <c r="B3475" t="s">
        <v>12803</v>
      </c>
      <c r="C3475" t="s">
        <v>12804</v>
      </c>
      <c r="D3475" t="s">
        <v>12805</v>
      </c>
      <c r="E3475" t="s">
        <v>12803</v>
      </c>
      <c r="F3475" t="s">
        <v>28</v>
      </c>
      <c r="G3475" t="s">
        <v>12803</v>
      </c>
      <c r="H3475" t="str">
        <f>"mboa-2"</f>
        <v>mboa-2</v>
      </c>
      <c r="I3475" t="s">
        <v>12805</v>
      </c>
      <c r="J3475">
        <v>13.3720943186014</v>
      </c>
      <c r="K3475">
        <v>13.270221524988401</v>
      </c>
      <c r="L3475">
        <v>13.529590194864801</v>
      </c>
      <c r="M3475">
        <v>13.371716086370499</v>
      </c>
      <c r="N3475">
        <v>13.5539720275428</v>
      </c>
      <c r="O3475">
        <v>13.2972459695451</v>
      </c>
      <c r="P3475">
        <v>1.7009348334596601E-2</v>
      </c>
      <c r="Q3475">
        <v>-0.43404120369224097</v>
      </c>
      <c r="R3475">
        <v>0.46805990036143502</v>
      </c>
      <c r="S3475">
        <v>13.7745158657668</v>
      </c>
      <c r="T3475">
        <v>7.9260164551047799E-2</v>
      </c>
      <c r="U3475">
        <v>-6.8792077323738798</v>
      </c>
      <c r="V3475">
        <v>0.93770530371552896</v>
      </c>
      <c r="W3475">
        <v>0.99926809132575301</v>
      </c>
      <c r="X3475">
        <v>0</v>
      </c>
      <c r="Y3475">
        <v>0</v>
      </c>
    </row>
    <row r="3476" spans="1:25" x14ac:dyDescent="0.2">
      <c r="A3476" t="s">
        <v>12806</v>
      </c>
      <c r="B3476" t="s">
        <v>12807</v>
      </c>
      <c r="C3476" t="s">
        <v>12808</v>
      </c>
      <c r="D3476" t="s">
        <v>12809</v>
      </c>
      <c r="E3476" t="s">
        <v>12807</v>
      </c>
      <c r="F3476" t="s">
        <v>28</v>
      </c>
      <c r="G3476" t="s">
        <v>12807</v>
      </c>
      <c r="H3476" t="str">
        <f>"mrps-35"</f>
        <v>mrps-35</v>
      </c>
      <c r="I3476" t="s">
        <v>12809</v>
      </c>
      <c r="J3476">
        <v>12.552947943312599</v>
      </c>
      <c r="K3476">
        <v>12.192894339392399</v>
      </c>
      <c r="L3476">
        <v>12.659553913903601</v>
      </c>
      <c r="M3476">
        <v>12.409854469716301</v>
      </c>
      <c r="N3476">
        <v>12.6922695681099</v>
      </c>
      <c r="O3476">
        <v>11.930313097934</v>
      </c>
      <c r="P3476">
        <v>-0.124319686949415</v>
      </c>
      <c r="Q3476">
        <v>-0.75928160246936605</v>
      </c>
      <c r="R3476">
        <v>0.51064222857053698</v>
      </c>
      <c r="S3476">
        <v>12.9108403449022</v>
      </c>
      <c r="T3476">
        <v>-0.41151412199023601</v>
      </c>
      <c r="U3476">
        <v>-6.7944280425285104</v>
      </c>
      <c r="V3476">
        <v>0.68558230711633095</v>
      </c>
      <c r="W3476">
        <v>0.98642420921484297</v>
      </c>
      <c r="X3476">
        <v>0</v>
      </c>
      <c r="Y3476">
        <v>0</v>
      </c>
    </row>
    <row r="3477" spans="1:25" x14ac:dyDescent="0.2">
      <c r="A3477" t="s">
        <v>12810</v>
      </c>
      <c r="B3477" t="s">
        <v>12811</v>
      </c>
      <c r="C3477" t="s">
        <v>12812</v>
      </c>
      <c r="D3477" t="s">
        <v>12813</v>
      </c>
      <c r="E3477" t="s">
        <v>12811</v>
      </c>
      <c r="F3477" t="s">
        <v>28</v>
      </c>
      <c r="G3477" t="s">
        <v>12811</v>
      </c>
      <c r="H3477" t="str">
        <f>"ssl-1"</f>
        <v>ssl-1</v>
      </c>
      <c r="I3477" t="s">
        <v>12813</v>
      </c>
      <c r="J3477">
        <v>13.5628706631136</v>
      </c>
      <c r="K3477">
        <v>14.227144084787</v>
      </c>
      <c r="L3477">
        <v>14.034887045522799</v>
      </c>
      <c r="M3477">
        <v>13.587289533827599</v>
      </c>
      <c r="N3477">
        <v>13.7430156860891</v>
      </c>
      <c r="O3477">
        <v>13.8661920458706</v>
      </c>
      <c r="P3477">
        <v>-0.20946817587864999</v>
      </c>
      <c r="Q3477">
        <v>-0.62187305606712895</v>
      </c>
      <c r="R3477">
        <v>0.20293670430982999</v>
      </c>
      <c r="S3477">
        <v>14.2194644349265</v>
      </c>
      <c r="T3477">
        <v>-1.0675464188761301</v>
      </c>
      <c r="U3477">
        <v>-6.3054021187505001</v>
      </c>
      <c r="V3477">
        <v>0.29991594425292201</v>
      </c>
      <c r="W3477">
        <v>0.85855590823088301</v>
      </c>
      <c r="X3477">
        <v>0</v>
      </c>
      <c r="Y3477">
        <v>0</v>
      </c>
    </row>
    <row r="3478" spans="1:25" x14ac:dyDescent="0.2">
      <c r="A3478" t="s">
        <v>12814</v>
      </c>
      <c r="B3478" t="s">
        <v>12815</v>
      </c>
      <c r="C3478" t="s">
        <v>14699</v>
      </c>
      <c r="D3478" t="s">
        <v>12816</v>
      </c>
      <c r="E3478" t="s">
        <v>12815</v>
      </c>
      <c r="F3478" t="s">
        <v>28</v>
      </c>
      <c r="G3478" t="s">
        <v>12815</v>
      </c>
      <c r="H3478" t="str">
        <f>"Y111B2A.3"</f>
        <v>Y111B2A.3</v>
      </c>
      <c r="I3478" t="s">
        <v>12816</v>
      </c>
      <c r="J3478">
        <v>10.971621619392099</v>
      </c>
      <c r="K3478" t="s">
        <v>29</v>
      </c>
      <c r="L3478">
        <v>11.632841448422299</v>
      </c>
      <c r="M3478">
        <v>11.5110405768449</v>
      </c>
      <c r="N3478">
        <v>11.419458371557401</v>
      </c>
      <c r="O3478" t="s">
        <v>29</v>
      </c>
      <c r="P3478">
        <v>0.16301794029394001</v>
      </c>
      <c r="Q3478">
        <v>-0.73101713605983898</v>
      </c>
      <c r="R3478">
        <v>1.0570530166477199</v>
      </c>
      <c r="S3478">
        <v>12.4251347133258</v>
      </c>
      <c r="T3478">
        <v>0.39424671914829801</v>
      </c>
      <c r="U3478">
        <v>-6.6003745213650502</v>
      </c>
      <c r="V3478">
        <v>0.69984145873671699</v>
      </c>
      <c r="W3478">
        <v>0.98642420921484297</v>
      </c>
      <c r="X3478">
        <v>0</v>
      </c>
      <c r="Y3478">
        <v>0</v>
      </c>
    </row>
    <row r="3479" spans="1:25" x14ac:dyDescent="0.2">
      <c r="A3479" t="s">
        <v>12817</v>
      </c>
      <c r="B3479" t="s">
        <v>12818</v>
      </c>
      <c r="C3479" t="s">
        <v>12819</v>
      </c>
      <c r="D3479" t="s">
        <v>12820</v>
      </c>
      <c r="E3479" t="s">
        <v>12818</v>
      </c>
      <c r="F3479" t="s">
        <v>28</v>
      </c>
      <c r="G3479" t="s">
        <v>12818</v>
      </c>
      <c r="H3479" t="str">
        <f>"rps-6"</f>
        <v>rps-6</v>
      </c>
      <c r="I3479" t="s">
        <v>12820</v>
      </c>
      <c r="J3479">
        <v>18.355763186537299</v>
      </c>
      <c r="K3479">
        <v>18.402665238516001</v>
      </c>
      <c r="L3479">
        <v>18.592548153445399</v>
      </c>
      <c r="M3479">
        <v>18.2865411230752</v>
      </c>
      <c r="N3479">
        <v>18.012093707154602</v>
      </c>
      <c r="O3479">
        <v>18.239284974724001</v>
      </c>
      <c r="P3479">
        <v>-0.27101892451499399</v>
      </c>
      <c r="Q3479">
        <v>-0.59077365233700396</v>
      </c>
      <c r="R3479">
        <v>4.8735803307016302E-2</v>
      </c>
      <c r="S3479">
        <v>18.426186318480099</v>
      </c>
      <c r="T3479">
        <v>-1.78145622923117</v>
      </c>
      <c r="U3479">
        <v>-5.35733029106978</v>
      </c>
      <c r="V3479">
        <v>9.1817334036198295E-2</v>
      </c>
      <c r="W3479">
        <v>0.63266440135328395</v>
      </c>
      <c r="X3479">
        <v>0</v>
      </c>
      <c r="Y3479">
        <v>0</v>
      </c>
    </row>
    <row r="3480" spans="1:25" x14ac:dyDescent="0.2">
      <c r="A3480" t="s">
        <v>12821</v>
      </c>
      <c r="B3480" t="s">
        <v>12822</v>
      </c>
      <c r="C3480" t="s">
        <v>12823</v>
      </c>
      <c r="D3480" t="s">
        <v>12824</v>
      </c>
      <c r="E3480" t="s">
        <v>12822</v>
      </c>
      <c r="F3480" t="s">
        <v>28</v>
      </c>
      <c r="G3480" t="s">
        <v>12822</v>
      </c>
      <c r="H3480" t="str">
        <f>"fat-1"</f>
        <v>fat-1</v>
      </c>
      <c r="I3480" t="s">
        <v>12824</v>
      </c>
      <c r="J3480">
        <v>15.6847459285264</v>
      </c>
      <c r="K3480">
        <v>15.5020962166071</v>
      </c>
      <c r="L3480">
        <v>16.117840702265699</v>
      </c>
      <c r="M3480">
        <v>15.4792315359306</v>
      </c>
      <c r="N3480">
        <v>15.895936360213099</v>
      </c>
      <c r="O3480">
        <v>15.3325592119867</v>
      </c>
      <c r="P3480">
        <v>-0.19898524642293899</v>
      </c>
      <c r="Q3480">
        <v>-0.77938627033240204</v>
      </c>
      <c r="R3480">
        <v>0.381415777486524</v>
      </c>
      <c r="S3480">
        <v>16.0766624896</v>
      </c>
      <c r="T3480">
        <v>-0.72058500505005396</v>
      </c>
      <c r="U3480">
        <v>-6.6150875548980901</v>
      </c>
      <c r="V3480">
        <v>0.480472829014851</v>
      </c>
      <c r="W3480">
        <v>0.93764446794243095</v>
      </c>
      <c r="X3480">
        <v>0</v>
      </c>
      <c r="Y3480">
        <v>0</v>
      </c>
    </row>
    <row r="3481" spans="1:25" x14ac:dyDescent="0.2">
      <c r="A3481" t="s">
        <v>12825</v>
      </c>
      <c r="B3481" t="s">
        <v>12826</v>
      </c>
      <c r="C3481" t="s">
        <v>14700</v>
      </c>
      <c r="D3481" t="s">
        <v>12827</v>
      </c>
      <c r="E3481" t="s">
        <v>12826</v>
      </c>
      <c r="F3481" t="s">
        <v>28</v>
      </c>
      <c r="G3481" t="s">
        <v>12826</v>
      </c>
      <c r="H3481" t="str">
        <f>"Y39B6A.1"</f>
        <v>Y39B6A.1</v>
      </c>
      <c r="I3481" t="s">
        <v>12827</v>
      </c>
      <c r="J3481" t="s">
        <v>29</v>
      </c>
      <c r="K3481" t="s">
        <v>29</v>
      </c>
      <c r="L3481">
        <v>9.30054879835191</v>
      </c>
      <c r="M3481" t="s">
        <v>29</v>
      </c>
      <c r="N3481">
        <v>9.8255301810792108</v>
      </c>
      <c r="O3481" t="s">
        <v>29</v>
      </c>
      <c r="P3481">
        <v>0.524981382727294</v>
      </c>
      <c r="Q3481">
        <v>-0.77768512882807295</v>
      </c>
      <c r="R3481">
        <v>1.8276478942826599</v>
      </c>
      <c r="S3481">
        <v>9.9112208708024099</v>
      </c>
      <c r="T3481">
        <v>0.89924399059307802</v>
      </c>
      <c r="U3481">
        <v>-5.9289366228836196</v>
      </c>
      <c r="V3481">
        <v>0.389881301570703</v>
      </c>
      <c r="W3481">
        <v>0.90686099788302799</v>
      </c>
      <c r="X3481">
        <v>0</v>
      </c>
      <c r="Y3481">
        <v>0</v>
      </c>
    </row>
    <row r="3482" spans="1:25" x14ac:dyDescent="0.2">
      <c r="A3482" t="s">
        <v>12828</v>
      </c>
      <c r="B3482" t="s">
        <v>12829</v>
      </c>
      <c r="C3482" t="s">
        <v>14701</v>
      </c>
      <c r="D3482" t="s">
        <v>368</v>
      </c>
      <c r="E3482" t="s">
        <v>12829</v>
      </c>
      <c r="F3482" t="s">
        <v>28</v>
      </c>
      <c r="G3482" t="s">
        <v>12829</v>
      </c>
      <c r="H3482" t="str">
        <f>"Y39B6A.10"</f>
        <v>Y39B6A.10</v>
      </c>
      <c r="I3482" t="s">
        <v>368</v>
      </c>
      <c r="J3482">
        <v>13.3584688809404</v>
      </c>
      <c r="K3482">
        <v>13.507994769308601</v>
      </c>
      <c r="L3482">
        <v>13.713425243157101</v>
      </c>
      <c r="M3482">
        <v>13.5502979745159</v>
      </c>
      <c r="N3482">
        <v>13.264781443265999</v>
      </c>
      <c r="O3482">
        <v>13.2454450389126</v>
      </c>
      <c r="P3482">
        <v>-0.17312147890388199</v>
      </c>
      <c r="Q3482">
        <v>-0.60289185499419995</v>
      </c>
      <c r="R3482">
        <v>0.25664889718643602</v>
      </c>
      <c r="S3482">
        <v>13.557729256631299</v>
      </c>
      <c r="T3482">
        <v>-0.85440544387710204</v>
      </c>
      <c r="U3482">
        <v>-6.5071658111098802</v>
      </c>
      <c r="V3482">
        <v>0.40557408166953202</v>
      </c>
      <c r="W3482">
        <v>0.91027279600179201</v>
      </c>
      <c r="X3482">
        <v>0</v>
      </c>
      <c r="Y3482">
        <v>0</v>
      </c>
    </row>
    <row r="3483" spans="1:25" x14ac:dyDescent="0.2">
      <c r="A3483" t="s">
        <v>12830</v>
      </c>
      <c r="B3483" t="s">
        <v>12831</v>
      </c>
      <c r="C3483" t="s">
        <v>12832</v>
      </c>
      <c r="D3483" t="s">
        <v>12833</v>
      </c>
      <c r="E3483" t="s">
        <v>12831</v>
      </c>
      <c r="F3483" t="s">
        <v>28</v>
      </c>
      <c r="G3483" t="s">
        <v>12831</v>
      </c>
      <c r="H3483" t="str">
        <f>"pro-3"</f>
        <v>pro-3</v>
      </c>
      <c r="I3483" t="s">
        <v>12833</v>
      </c>
      <c r="J3483">
        <v>13.652791481522801</v>
      </c>
      <c r="K3483">
        <v>13.151574512442499</v>
      </c>
      <c r="L3483">
        <v>13.5155584031857</v>
      </c>
      <c r="M3483">
        <v>13.426032477321799</v>
      </c>
      <c r="N3483">
        <v>14.1064740659547</v>
      </c>
      <c r="O3483">
        <v>13.5901546461689</v>
      </c>
      <c r="P3483">
        <v>0.26757893076480399</v>
      </c>
      <c r="Q3483">
        <v>-0.33783332592202397</v>
      </c>
      <c r="R3483">
        <v>0.87299118745163296</v>
      </c>
      <c r="S3483">
        <v>14.3133606501878</v>
      </c>
      <c r="T3483">
        <v>0.93293356431706798</v>
      </c>
      <c r="U3483">
        <v>-6.4377799174918504</v>
      </c>
      <c r="V3483">
        <v>0.36399628315391502</v>
      </c>
      <c r="W3483">
        <v>0.888292466632014</v>
      </c>
      <c r="X3483">
        <v>0</v>
      </c>
      <c r="Y3483">
        <v>0</v>
      </c>
    </row>
    <row r="3484" spans="1:25" x14ac:dyDescent="0.2">
      <c r="A3484" t="s">
        <v>12834</v>
      </c>
      <c r="B3484" t="s">
        <v>12835</v>
      </c>
      <c r="C3484" t="s">
        <v>12836</v>
      </c>
      <c r="D3484" t="s">
        <v>12837</v>
      </c>
      <c r="E3484" t="s">
        <v>12835</v>
      </c>
      <c r="F3484" t="s">
        <v>28</v>
      </c>
      <c r="G3484" t="s">
        <v>12835</v>
      </c>
      <c r="H3484" t="str">
        <f>"tgt-2"</f>
        <v>tgt-2</v>
      </c>
      <c r="I3484" t="s">
        <v>12837</v>
      </c>
      <c r="J3484">
        <v>12.749770942063501</v>
      </c>
      <c r="K3484">
        <v>13.1583493241132</v>
      </c>
      <c r="L3484">
        <v>13.186724925117099</v>
      </c>
      <c r="M3484">
        <v>12.801499330460601</v>
      </c>
      <c r="N3484">
        <v>13.342512829396</v>
      </c>
      <c r="O3484" t="s">
        <v>29</v>
      </c>
      <c r="P3484">
        <v>4.0391016163708202E-2</v>
      </c>
      <c r="Q3484">
        <v>-0.53104695355898701</v>
      </c>
      <c r="R3484">
        <v>0.611828985886404</v>
      </c>
      <c r="S3484">
        <v>13.1831904793905</v>
      </c>
      <c r="T3484">
        <v>0.15282799999367</v>
      </c>
      <c r="U3484">
        <v>-6.7597940542634296</v>
      </c>
      <c r="V3484">
        <v>0.88089940467816796</v>
      </c>
      <c r="W3484">
        <v>0.99702926582654094</v>
      </c>
      <c r="X3484">
        <v>0</v>
      </c>
      <c r="Y3484">
        <v>0</v>
      </c>
    </row>
    <row r="3485" spans="1:25" x14ac:dyDescent="0.2">
      <c r="A3485" t="s">
        <v>12838</v>
      </c>
      <c r="B3485" t="s">
        <v>12839</v>
      </c>
      <c r="C3485" t="s">
        <v>12840</v>
      </c>
      <c r="D3485" t="s">
        <v>12841</v>
      </c>
      <c r="E3485" t="s">
        <v>12839</v>
      </c>
      <c r="F3485" t="s">
        <v>28</v>
      </c>
      <c r="G3485" t="s">
        <v>12839</v>
      </c>
      <c r="H3485" t="str">
        <f>"Y39B6A.33"</f>
        <v>Y39B6A.33</v>
      </c>
      <c r="I3485" t="s">
        <v>12841</v>
      </c>
      <c r="J3485" t="s">
        <v>29</v>
      </c>
      <c r="K3485" t="s">
        <v>29</v>
      </c>
      <c r="L3485" t="s">
        <v>29</v>
      </c>
      <c r="M3485">
        <v>12.4126263100082</v>
      </c>
      <c r="N3485" t="s">
        <v>29</v>
      </c>
      <c r="O3485">
        <v>13.697283447125599</v>
      </c>
      <c r="P3485" t="s">
        <v>29</v>
      </c>
      <c r="Q3485" t="s">
        <v>29</v>
      </c>
      <c r="R3485" t="s">
        <v>29</v>
      </c>
      <c r="S3485">
        <v>12.5236820245066</v>
      </c>
      <c r="T3485" t="s">
        <v>29</v>
      </c>
      <c r="U3485" t="s">
        <v>29</v>
      </c>
      <c r="V3485" t="s">
        <v>29</v>
      </c>
      <c r="W3485" t="s">
        <v>29</v>
      </c>
      <c r="X3485" t="s">
        <v>29</v>
      </c>
      <c r="Y3485" t="s">
        <v>29</v>
      </c>
    </row>
    <row r="3486" spans="1:25" x14ac:dyDescent="0.2">
      <c r="A3486" t="s">
        <v>12842</v>
      </c>
      <c r="B3486" t="s">
        <v>12843</v>
      </c>
      <c r="C3486" t="s">
        <v>12844</v>
      </c>
      <c r="D3486" t="s">
        <v>12845</v>
      </c>
      <c r="E3486" t="s">
        <v>12843</v>
      </c>
      <c r="F3486" t="s">
        <v>28</v>
      </c>
      <c r="G3486" t="s">
        <v>12843</v>
      </c>
      <c r="H3486" t="str">
        <f>"rsp-3"</f>
        <v>rsp-3</v>
      </c>
      <c r="I3486" t="s">
        <v>12845</v>
      </c>
      <c r="J3486">
        <v>18.342158144337599</v>
      </c>
      <c r="K3486">
        <v>18.4362796743685</v>
      </c>
      <c r="L3486">
        <v>18.245303846996499</v>
      </c>
      <c r="M3486">
        <v>18.183996707569801</v>
      </c>
      <c r="N3486">
        <v>17.845178119401702</v>
      </c>
      <c r="O3486">
        <v>18.345216955805601</v>
      </c>
      <c r="P3486">
        <v>-0.21644996097517599</v>
      </c>
      <c r="Q3486">
        <v>-0.62918931463092698</v>
      </c>
      <c r="R3486">
        <v>0.19628939268057499</v>
      </c>
      <c r="S3486">
        <v>18.071661403619199</v>
      </c>
      <c r="T3486">
        <v>-1.1022348678078</v>
      </c>
      <c r="U3486">
        <v>-6.2685280806288697</v>
      </c>
      <c r="V3486">
        <v>0.28496360775746099</v>
      </c>
      <c r="W3486">
        <v>0.856190392347986</v>
      </c>
      <c r="X3486">
        <v>0</v>
      </c>
      <c r="Y3486">
        <v>0</v>
      </c>
    </row>
    <row r="3487" spans="1:25" x14ac:dyDescent="0.2">
      <c r="A3487" t="s">
        <v>12846</v>
      </c>
      <c r="B3487" t="s">
        <v>12847</v>
      </c>
      <c r="C3487" t="s">
        <v>12848</v>
      </c>
      <c r="D3487" t="s">
        <v>12849</v>
      </c>
      <c r="E3487" t="s">
        <v>12847</v>
      </c>
      <c r="F3487" t="s">
        <v>28</v>
      </c>
      <c r="G3487" t="s">
        <v>12847</v>
      </c>
      <c r="H3487" t="str">
        <f>"elpc-2"</f>
        <v>elpc-2</v>
      </c>
      <c r="I3487" t="s">
        <v>12849</v>
      </c>
      <c r="J3487">
        <v>13.5298692742603</v>
      </c>
      <c r="K3487">
        <v>13.282330819125001</v>
      </c>
      <c r="L3487">
        <v>13.138890099833599</v>
      </c>
      <c r="M3487">
        <v>13.3201583838828</v>
      </c>
      <c r="N3487">
        <v>13.281705861183999</v>
      </c>
      <c r="O3487">
        <v>13.969363388981099</v>
      </c>
      <c r="P3487">
        <v>0.206712480276353</v>
      </c>
      <c r="Q3487">
        <v>-0.51733313107701795</v>
      </c>
      <c r="R3487">
        <v>0.930758091629725</v>
      </c>
      <c r="S3487">
        <v>13.184209435383201</v>
      </c>
      <c r="T3487">
        <v>0.60263005243567402</v>
      </c>
      <c r="U3487">
        <v>-6.6941809026406096</v>
      </c>
      <c r="V3487">
        <v>0.55475814763056497</v>
      </c>
      <c r="W3487">
        <v>0.95555711976758795</v>
      </c>
      <c r="X3487">
        <v>0</v>
      </c>
      <c r="Y3487">
        <v>0</v>
      </c>
    </row>
    <row r="3488" spans="1:25" x14ac:dyDescent="0.2">
      <c r="A3488" t="s">
        <v>12850</v>
      </c>
      <c r="B3488" t="s">
        <v>12851</v>
      </c>
      <c r="C3488" t="s">
        <v>14702</v>
      </c>
      <c r="D3488" t="s">
        <v>130</v>
      </c>
      <c r="E3488" t="s">
        <v>12851</v>
      </c>
      <c r="F3488" t="s">
        <v>28</v>
      </c>
      <c r="G3488" t="s">
        <v>12851</v>
      </c>
      <c r="H3488" t="str">
        <f>"Y105E8A.21"</f>
        <v>Y105E8A.21</v>
      </c>
      <c r="I3488" t="s">
        <v>130</v>
      </c>
      <c r="J3488">
        <v>13.5131058005909</v>
      </c>
      <c r="K3488">
        <v>13.750824469487</v>
      </c>
      <c r="L3488">
        <v>13.267384070481301</v>
      </c>
      <c r="M3488">
        <v>13.830878815526299</v>
      </c>
      <c r="N3488">
        <v>13.396752269022601</v>
      </c>
      <c r="O3488">
        <v>13.1931949405002</v>
      </c>
      <c r="P3488">
        <v>-3.68294385033767E-2</v>
      </c>
      <c r="Q3488">
        <v>-0.49317399112339799</v>
      </c>
      <c r="R3488">
        <v>0.41951511411664499</v>
      </c>
      <c r="S3488">
        <v>13.601227446823399</v>
      </c>
      <c r="T3488">
        <v>-0.17321843870051301</v>
      </c>
      <c r="U3488">
        <v>-6.8665907000528401</v>
      </c>
      <c r="V3488">
        <v>0.86497772042895504</v>
      </c>
      <c r="W3488">
        <v>0.99435089933939902</v>
      </c>
      <c r="X3488">
        <v>0</v>
      </c>
      <c r="Y3488">
        <v>0</v>
      </c>
    </row>
    <row r="3489" spans="1:25" x14ac:dyDescent="0.2">
      <c r="A3489" t="s">
        <v>12852</v>
      </c>
      <c r="B3489" t="s">
        <v>12853</v>
      </c>
      <c r="C3489" t="s">
        <v>12854</v>
      </c>
      <c r="D3489" t="s">
        <v>3982</v>
      </c>
      <c r="E3489" t="s">
        <v>12853</v>
      </c>
      <c r="F3489" t="s">
        <v>28</v>
      </c>
      <c r="G3489" t="s">
        <v>12853</v>
      </c>
      <c r="H3489" t="str">
        <f>"ech-7"</f>
        <v>ech-7</v>
      </c>
      <c r="I3489" t="s">
        <v>3982</v>
      </c>
      <c r="J3489" t="s">
        <v>29</v>
      </c>
      <c r="K3489" t="s">
        <v>29</v>
      </c>
      <c r="L3489">
        <v>9.8657584617808407</v>
      </c>
      <c r="M3489" t="s">
        <v>29</v>
      </c>
      <c r="N3489" t="s">
        <v>29</v>
      </c>
      <c r="O3489" t="s">
        <v>29</v>
      </c>
      <c r="P3489" t="s">
        <v>29</v>
      </c>
      <c r="Q3489" t="s">
        <v>29</v>
      </c>
      <c r="R3489" t="s">
        <v>29</v>
      </c>
      <c r="S3489">
        <v>10.266522593626</v>
      </c>
      <c r="T3489" t="s">
        <v>29</v>
      </c>
      <c r="U3489" t="s">
        <v>29</v>
      </c>
      <c r="V3489" t="s">
        <v>29</v>
      </c>
      <c r="W3489" t="s">
        <v>29</v>
      </c>
      <c r="X3489" t="s">
        <v>29</v>
      </c>
      <c r="Y3489" t="s">
        <v>29</v>
      </c>
    </row>
    <row r="3490" spans="1:25" x14ac:dyDescent="0.2">
      <c r="A3490" t="s">
        <v>12855</v>
      </c>
      <c r="B3490" t="s">
        <v>12856</v>
      </c>
      <c r="C3490" t="s">
        <v>12857</v>
      </c>
      <c r="D3490" t="s">
        <v>12858</v>
      </c>
      <c r="E3490" t="s">
        <v>12856</v>
      </c>
      <c r="F3490" t="s">
        <v>28</v>
      </c>
      <c r="G3490" t="s">
        <v>12856</v>
      </c>
      <c r="H3490" t="str">
        <f>"hprt-1"</f>
        <v>hprt-1</v>
      </c>
      <c r="I3490" t="s">
        <v>12858</v>
      </c>
      <c r="J3490" t="s">
        <v>29</v>
      </c>
      <c r="K3490" t="s">
        <v>29</v>
      </c>
      <c r="L3490">
        <v>13.579618560034699</v>
      </c>
      <c r="M3490">
        <v>13.7715213160049</v>
      </c>
      <c r="N3490">
        <v>13.8303813714562</v>
      </c>
      <c r="O3490">
        <v>13.836836100419299</v>
      </c>
      <c r="P3490">
        <v>0.23329436925874</v>
      </c>
      <c r="Q3490">
        <v>-0.69701299636821101</v>
      </c>
      <c r="R3490">
        <v>1.16360173488569</v>
      </c>
      <c r="S3490">
        <v>13.740815634421701</v>
      </c>
      <c r="T3490">
        <v>0.531896738413279</v>
      </c>
      <c r="U3490">
        <v>-6.3950778613075299</v>
      </c>
      <c r="V3490">
        <v>0.60215322434783702</v>
      </c>
      <c r="W3490">
        <v>0.96856739034780204</v>
      </c>
      <c r="X3490">
        <v>0</v>
      </c>
      <c r="Y3490">
        <v>0</v>
      </c>
    </row>
    <row r="3491" spans="1:25" x14ac:dyDescent="0.2">
      <c r="A3491" t="s">
        <v>12859</v>
      </c>
      <c r="B3491" t="s">
        <v>12860</v>
      </c>
      <c r="C3491" t="s">
        <v>12861</v>
      </c>
      <c r="D3491" t="s">
        <v>12862</v>
      </c>
      <c r="E3491" t="s">
        <v>12860</v>
      </c>
      <c r="F3491" t="s">
        <v>28</v>
      </c>
      <c r="G3491" t="s">
        <v>12860</v>
      </c>
      <c r="H3491" t="str">
        <f>"bath-40"</f>
        <v>bath-40</v>
      </c>
      <c r="I3491" t="s">
        <v>12862</v>
      </c>
      <c r="J3491">
        <v>11.9638918961308</v>
      </c>
      <c r="K3491" t="s">
        <v>29</v>
      </c>
      <c r="L3491">
        <v>11.3599126008878</v>
      </c>
      <c r="M3491">
        <v>11.716292464404001</v>
      </c>
      <c r="N3491">
        <v>12.4074861817467</v>
      </c>
      <c r="O3491" t="s">
        <v>29</v>
      </c>
      <c r="P3491">
        <v>0.39998707456607902</v>
      </c>
      <c r="Q3491">
        <v>-0.37150755968728799</v>
      </c>
      <c r="R3491">
        <v>1.17148170881945</v>
      </c>
      <c r="S3491">
        <v>12.527820087464301</v>
      </c>
      <c r="T3491">
        <v>1.1209862666605199</v>
      </c>
      <c r="U3491">
        <v>-6.0466959727088501</v>
      </c>
      <c r="V3491">
        <v>0.28273635257011298</v>
      </c>
      <c r="W3491">
        <v>0.856190392347986</v>
      </c>
      <c r="X3491">
        <v>0</v>
      </c>
      <c r="Y3491">
        <v>0</v>
      </c>
    </row>
    <row r="3492" spans="1:25" x14ac:dyDescent="0.2">
      <c r="A3492" t="s">
        <v>12863</v>
      </c>
      <c r="B3492" t="s">
        <v>12864</v>
      </c>
      <c r="C3492" t="s">
        <v>12865</v>
      </c>
      <c r="D3492" t="s">
        <v>12866</v>
      </c>
      <c r="E3492" t="s">
        <v>12864</v>
      </c>
      <c r="F3492" t="s">
        <v>28</v>
      </c>
      <c r="G3492" t="s">
        <v>12864</v>
      </c>
      <c r="H3492" t="str">
        <f>"ced-2"</f>
        <v>ced-2</v>
      </c>
      <c r="I3492" t="s">
        <v>12866</v>
      </c>
      <c r="J3492">
        <v>11.7556394345584</v>
      </c>
      <c r="K3492">
        <v>12.1412821267069</v>
      </c>
      <c r="L3492">
        <v>11.936972739859</v>
      </c>
      <c r="M3492" t="s">
        <v>29</v>
      </c>
      <c r="N3492">
        <v>11.1779800519963</v>
      </c>
      <c r="O3492" t="s">
        <v>29</v>
      </c>
      <c r="P3492">
        <v>-0.76665138171173397</v>
      </c>
      <c r="Q3492">
        <v>-1.5906392805649401</v>
      </c>
      <c r="R3492">
        <v>5.73365171414707E-2</v>
      </c>
      <c r="S3492">
        <v>12.218921512590899</v>
      </c>
      <c r="T3492">
        <v>-2.0502403779901002</v>
      </c>
      <c r="U3492">
        <v>-4.6470756225787904</v>
      </c>
      <c r="V3492">
        <v>6.5192317569546701E-2</v>
      </c>
      <c r="W3492">
        <v>0.54512571073228999</v>
      </c>
      <c r="X3492">
        <v>0</v>
      </c>
      <c r="Y3492">
        <v>0</v>
      </c>
    </row>
    <row r="3493" spans="1:25" x14ac:dyDescent="0.2">
      <c r="A3493" t="s">
        <v>12867</v>
      </c>
      <c r="B3493" t="s">
        <v>12868</v>
      </c>
      <c r="C3493" t="s">
        <v>12869</v>
      </c>
      <c r="D3493" t="s">
        <v>93</v>
      </c>
      <c r="E3493" t="s">
        <v>12868</v>
      </c>
      <c r="F3493" t="s">
        <v>28</v>
      </c>
      <c r="G3493" t="s">
        <v>12868</v>
      </c>
      <c r="H3493" t="str">
        <f>"hrpr-1"</f>
        <v>hrpr-1</v>
      </c>
      <c r="I3493" t="s">
        <v>93</v>
      </c>
      <c r="J3493">
        <v>16.6107849426424</v>
      </c>
      <c r="K3493">
        <v>16.7724894560113</v>
      </c>
      <c r="L3493">
        <v>16.947347421685699</v>
      </c>
      <c r="M3493">
        <v>16.789827440293401</v>
      </c>
      <c r="N3493">
        <v>17.019548789093999</v>
      </c>
      <c r="O3493">
        <v>16.724630078038501</v>
      </c>
      <c r="P3493">
        <v>6.7794829028809303E-2</v>
      </c>
      <c r="Q3493">
        <v>-0.403936011390508</v>
      </c>
      <c r="R3493">
        <v>0.53952566944812697</v>
      </c>
      <c r="S3493">
        <v>17.370229475030001</v>
      </c>
      <c r="T3493">
        <v>0.302061109221201</v>
      </c>
      <c r="U3493">
        <v>-6.8349387394471499</v>
      </c>
      <c r="V3493">
        <v>0.76608795412230801</v>
      </c>
      <c r="W3493">
        <v>0.99278624068726296</v>
      </c>
      <c r="X3493">
        <v>0</v>
      </c>
      <c r="Y3493">
        <v>0</v>
      </c>
    </row>
    <row r="3494" spans="1:25" x14ac:dyDescent="0.2">
      <c r="A3494" t="s">
        <v>12870</v>
      </c>
      <c r="B3494" t="s">
        <v>12871</v>
      </c>
      <c r="C3494" t="s">
        <v>12872</v>
      </c>
      <c r="D3494" t="s">
        <v>12873</v>
      </c>
      <c r="E3494" t="s">
        <v>12871</v>
      </c>
      <c r="F3494" t="s">
        <v>28</v>
      </c>
      <c r="G3494" t="s">
        <v>12871</v>
      </c>
      <c r="H3494" t="str">
        <f>"cdk-9"</f>
        <v>cdk-9</v>
      </c>
      <c r="I3494" t="s">
        <v>12873</v>
      </c>
      <c r="J3494">
        <v>11.6914445206514</v>
      </c>
      <c r="K3494" t="s">
        <v>29</v>
      </c>
      <c r="L3494">
        <v>12.3496185871991</v>
      </c>
      <c r="M3494" t="s">
        <v>29</v>
      </c>
      <c r="N3494" t="s">
        <v>29</v>
      </c>
      <c r="O3494" t="s">
        <v>29</v>
      </c>
      <c r="P3494" t="s">
        <v>29</v>
      </c>
      <c r="Q3494" t="s">
        <v>29</v>
      </c>
      <c r="R3494" t="s">
        <v>29</v>
      </c>
      <c r="S3494">
        <v>12.404076928855</v>
      </c>
      <c r="T3494" t="s">
        <v>29</v>
      </c>
      <c r="U3494" t="s">
        <v>29</v>
      </c>
      <c r="V3494" t="s">
        <v>29</v>
      </c>
      <c r="W3494" t="s">
        <v>29</v>
      </c>
      <c r="X3494" t="s">
        <v>29</v>
      </c>
      <c r="Y3494" t="s">
        <v>29</v>
      </c>
    </row>
    <row r="3495" spans="1:25" x14ac:dyDescent="0.2">
      <c r="A3495" t="s">
        <v>12874</v>
      </c>
      <c r="B3495" t="s">
        <v>12875</v>
      </c>
      <c r="C3495" t="s">
        <v>12876</v>
      </c>
      <c r="D3495" t="s">
        <v>12877</v>
      </c>
      <c r="E3495" t="s">
        <v>12875</v>
      </c>
      <c r="F3495" t="s">
        <v>28</v>
      </c>
      <c r="G3495" t="s">
        <v>12875</v>
      </c>
      <c r="H3495" t="str">
        <f>"msp-79"</f>
        <v>msp-79</v>
      </c>
      <c r="I3495" t="s">
        <v>12877</v>
      </c>
      <c r="J3495">
        <v>18.9737748844131</v>
      </c>
      <c r="K3495">
        <v>18.313647410418302</v>
      </c>
      <c r="L3495">
        <v>18.525617702303201</v>
      </c>
      <c r="M3495">
        <v>18.4213341044529</v>
      </c>
      <c r="N3495">
        <v>18.120371707490499</v>
      </c>
      <c r="O3495">
        <v>18.399640644204499</v>
      </c>
      <c r="P3495">
        <v>-0.290564513662257</v>
      </c>
      <c r="Q3495">
        <v>-0.794919728972724</v>
      </c>
      <c r="R3495">
        <v>0.21379070164821001</v>
      </c>
      <c r="S3495">
        <v>17.914863839374799</v>
      </c>
      <c r="T3495">
        <v>-1.2108729302172401</v>
      </c>
      <c r="U3495">
        <v>-6.1464717199276997</v>
      </c>
      <c r="V3495">
        <v>0.24169398456617799</v>
      </c>
      <c r="W3495">
        <v>0.82472934687515598</v>
      </c>
      <c r="X3495">
        <v>0</v>
      </c>
      <c r="Y3495">
        <v>0</v>
      </c>
    </row>
    <row r="3496" spans="1:25" x14ac:dyDescent="0.2">
      <c r="A3496" t="s">
        <v>12878</v>
      </c>
      <c r="B3496" t="s">
        <v>12879</v>
      </c>
      <c r="C3496" t="s">
        <v>12880</v>
      </c>
      <c r="D3496" t="s">
        <v>12881</v>
      </c>
      <c r="E3496" t="s">
        <v>12879</v>
      </c>
      <c r="F3496" t="s">
        <v>28</v>
      </c>
      <c r="G3496" t="s">
        <v>12879</v>
      </c>
      <c r="H3496" t="str">
        <f>"par-1"</f>
        <v>par-1</v>
      </c>
      <c r="I3496" t="s">
        <v>12881</v>
      </c>
      <c r="J3496">
        <v>15.0020761643292</v>
      </c>
      <c r="K3496">
        <v>15.3108963828039</v>
      </c>
      <c r="L3496">
        <v>15.2438170291808</v>
      </c>
      <c r="M3496">
        <v>14.9168460766546</v>
      </c>
      <c r="N3496">
        <v>15.0056564796431</v>
      </c>
      <c r="O3496">
        <v>15.0624706588571</v>
      </c>
      <c r="P3496">
        <v>-0.190605453719705</v>
      </c>
      <c r="Q3496">
        <v>-0.63182358293910501</v>
      </c>
      <c r="R3496">
        <v>0.25061267549969501</v>
      </c>
      <c r="S3496">
        <v>15.314086408071001</v>
      </c>
      <c r="T3496">
        <v>-0.90797624636988805</v>
      </c>
      <c r="U3496">
        <v>-6.4614583031619697</v>
      </c>
      <c r="V3496">
        <v>0.37595660324476299</v>
      </c>
      <c r="W3496">
        <v>0.89611784539566797</v>
      </c>
      <c r="X3496">
        <v>0</v>
      </c>
      <c r="Y3496">
        <v>0</v>
      </c>
    </row>
    <row r="3497" spans="1:25" x14ac:dyDescent="0.2">
      <c r="A3497" t="s">
        <v>12882</v>
      </c>
      <c r="B3497" t="s">
        <v>12883</v>
      </c>
      <c r="C3497" t="s">
        <v>12884</v>
      </c>
      <c r="D3497" t="s">
        <v>12885</v>
      </c>
      <c r="E3497" t="s">
        <v>12883</v>
      </c>
      <c r="F3497" t="s">
        <v>28</v>
      </c>
      <c r="G3497" t="s">
        <v>12883</v>
      </c>
      <c r="H3497" t="str">
        <f>"dys-1"</f>
        <v>dys-1</v>
      </c>
      <c r="I3497" t="s">
        <v>12885</v>
      </c>
      <c r="J3497" t="s">
        <v>29</v>
      </c>
      <c r="K3497" t="s">
        <v>29</v>
      </c>
      <c r="L3497" t="s">
        <v>29</v>
      </c>
      <c r="M3497" t="s">
        <v>29</v>
      </c>
      <c r="N3497">
        <v>11.130058853208901</v>
      </c>
      <c r="O3497">
        <v>11.622846357249999</v>
      </c>
      <c r="P3497" t="s">
        <v>29</v>
      </c>
      <c r="Q3497" t="s">
        <v>29</v>
      </c>
      <c r="R3497" t="s">
        <v>29</v>
      </c>
      <c r="S3497">
        <v>10.9028045131569</v>
      </c>
      <c r="T3497" t="s">
        <v>29</v>
      </c>
      <c r="U3497" t="s">
        <v>29</v>
      </c>
      <c r="V3497" t="s">
        <v>29</v>
      </c>
      <c r="W3497" t="s">
        <v>29</v>
      </c>
      <c r="X3497" t="s">
        <v>29</v>
      </c>
      <c r="Y3497" t="s">
        <v>29</v>
      </c>
    </row>
    <row r="3498" spans="1:25" x14ac:dyDescent="0.2">
      <c r="A3498" t="s">
        <v>12886</v>
      </c>
      <c r="B3498" t="s">
        <v>12887</v>
      </c>
      <c r="C3498" t="s">
        <v>12888</v>
      </c>
      <c r="D3498" t="s">
        <v>12889</v>
      </c>
      <c r="E3498" t="s">
        <v>12887</v>
      </c>
      <c r="F3498" t="s">
        <v>28</v>
      </c>
      <c r="G3498" t="s">
        <v>12887</v>
      </c>
      <c r="H3498" t="str">
        <f>"png-1"</f>
        <v>png-1</v>
      </c>
      <c r="I3498" t="s">
        <v>12889</v>
      </c>
      <c r="J3498">
        <v>12.834132197464299</v>
      </c>
      <c r="K3498">
        <v>12.085239918338599</v>
      </c>
      <c r="L3498">
        <v>12.5292319105241</v>
      </c>
      <c r="M3498">
        <v>13.011480164818201</v>
      </c>
      <c r="N3498">
        <v>12.810592659867799</v>
      </c>
      <c r="O3498">
        <v>12.3480172754652</v>
      </c>
      <c r="P3498">
        <v>0.24049535794140001</v>
      </c>
      <c r="Q3498">
        <v>-0.221814004610141</v>
      </c>
      <c r="R3498">
        <v>0.70280472049294096</v>
      </c>
      <c r="S3498">
        <v>12.446345827639201</v>
      </c>
      <c r="T3498">
        <v>1.09805481942903</v>
      </c>
      <c r="U3498">
        <v>-6.27228085692375</v>
      </c>
      <c r="V3498">
        <v>0.28758361424309098</v>
      </c>
      <c r="W3498">
        <v>0.856190392347986</v>
      </c>
      <c r="X3498">
        <v>0</v>
      </c>
      <c r="Y3498">
        <v>0</v>
      </c>
    </row>
    <row r="3499" spans="1:25" x14ac:dyDescent="0.2">
      <c r="A3499" t="s">
        <v>12890</v>
      </c>
      <c r="B3499" t="s">
        <v>12891</v>
      </c>
      <c r="C3499" t="s">
        <v>12892</v>
      </c>
      <c r="D3499" t="s">
        <v>12893</v>
      </c>
      <c r="E3499" t="s">
        <v>12891</v>
      </c>
      <c r="F3499" t="s">
        <v>28</v>
      </c>
      <c r="G3499" t="s">
        <v>12891</v>
      </c>
      <c r="H3499" t="str">
        <f>"did-2"</f>
        <v>did-2</v>
      </c>
      <c r="I3499" t="s">
        <v>12893</v>
      </c>
      <c r="J3499">
        <v>13.969615800347601</v>
      </c>
      <c r="K3499">
        <v>13.7969576824601</v>
      </c>
      <c r="L3499">
        <v>14.2448715556775</v>
      </c>
      <c r="M3499">
        <v>14.1398651394839</v>
      </c>
      <c r="N3499">
        <v>14.6050688186249</v>
      </c>
      <c r="O3499">
        <v>14.930121896141401</v>
      </c>
      <c r="P3499">
        <v>0.55453693858835396</v>
      </c>
      <c r="Q3499">
        <v>-0.193714934144079</v>
      </c>
      <c r="R3499">
        <v>1.3027888113207899</v>
      </c>
      <c r="S3499">
        <v>14.5135077408006</v>
      </c>
      <c r="T3499">
        <v>1.5576690154688499</v>
      </c>
      <c r="U3499">
        <v>-5.6944373633392802</v>
      </c>
      <c r="V3499">
        <v>0.13682066185990799</v>
      </c>
      <c r="W3499">
        <v>0.72716651652323006</v>
      </c>
      <c r="X3499">
        <v>0</v>
      </c>
      <c r="Y3499">
        <v>0</v>
      </c>
    </row>
    <row r="3500" spans="1:25" x14ac:dyDescent="0.2">
      <c r="A3500" t="s">
        <v>12894</v>
      </c>
      <c r="B3500" t="s">
        <v>12895</v>
      </c>
      <c r="C3500" t="s">
        <v>14703</v>
      </c>
      <c r="D3500" t="s">
        <v>12896</v>
      </c>
      <c r="E3500" t="s">
        <v>12895</v>
      </c>
      <c r="F3500" t="s">
        <v>28</v>
      </c>
      <c r="G3500" t="s">
        <v>12895</v>
      </c>
      <c r="H3500" t="str">
        <f>"F23C8.5"</f>
        <v>F23C8.5</v>
      </c>
      <c r="I3500" t="s">
        <v>12896</v>
      </c>
      <c r="J3500">
        <v>13.414418194081801</v>
      </c>
      <c r="K3500">
        <v>14.264653313894501</v>
      </c>
      <c r="L3500">
        <v>14.325719668266199</v>
      </c>
      <c r="M3500">
        <v>13.746627054625501</v>
      </c>
      <c r="N3500">
        <v>13.948212818347899</v>
      </c>
      <c r="O3500">
        <v>13.007800977110399</v>
      </c>
      <c r="P3500">
        <v>-0.43405010871955202</v>
      </c>
      <c r="Q3500">
        <v>-1.60891699196467</v>
      </c>
      <c r="R3500">
        <v>0.74081677452556605</v>
      </c>
      <c r="S3500">
        <v>13.755772171384701</v>
      </c>
      <c r="T3500">
        <v>-0.77650404114552096</v>
      </c>
      <c r="U3500">
        <v>-6.5726896646243</v>
      </c>
      <c r="V3500">
        <v>0.44759418785968602</v>
      </c>
      <c r="W3500">
        <v>0.92249172671965796</v>
      </c>
      <c r="X3500">
        <v>0</v>
      </c>
      <c r="Y3500">
        <v>0</v>
      </c>
    </row>
    <row r="3501" spans="1:25" x14ac:dyDescent="0.2">
      <c r="A3501" t="s">
        <v>12897</v>
      </c>
      <c r="B3501" t="s">
        <v>12898</v>
      </c>
      <c r="C3501" t="s">
        <v>12899</v>
      </c>
      <c r="D3501" t="s">
        <v>12900</v>
      </c>
      <c r="E3501" t="s">
        <v>12898</v>
      </c>
      <c r="F3501" t="s">
        <v>28</v>
      </c>
      <c r="G3501" t="s">
        <v>12898</v>
      </c>
      <c r="H3501" t="str">
        <f>"vps-34"</f>
        <v>vps-34</v>
      </c>
      <c r="I3501" t="s">
        <v>12900</v>
      </c>
      <c r="J3501">
        <v>13.093689005996399</v>
      </c>
      <c r="K3501">
        <v>13.3464562159034</v>
      </c>
      <c r="L3501">
        <v>12.9764370624302</v>
      </c>
      <c r="M3501">
        <v>12.6817641098081</v>
      </c>
      <c r="N3501">
        <v>12.6647586593699</v>
      </c>
      <c r="O3501">
        <v>13.201795162762499</v>
      </c>
      <c r="P3501">
        <v>-0.28942145079648501</v>
      </c>
      <c r="Q3501">
        <v>-0.76475478992294199</v>
      </c>
      <c r="R3501">
        <v>0.18591188832997099</v>
      </c>
      <c r="S3501">
        <v>12.999917355589201</v>
      </c>
      <c r="T3501">
        <v>-1.28523473173763</v>
      </c>
      <c r="U3501">
        <v>-6.0568709483510101</v>
      </c>
      <c r="V3501">
        <v>0.216050141314855</v>
      </c>
      <c r="W3501">
        <v>0.79508962856638699</v>
      </c>
      <c r="X3501">
        <v>0</v>
      </c>
      <c r="Y3501">
        <v>0</v>
      </c>
    </row>
    <row r="3502" spans="1:25" x14ac:dyDescent="0.2">
      <c r="A3502" t="s">
        <v>12901</v>
      </c>
      <c r="B3502" t="s">
        <v>12902</v>
      </c>
      <c r="C3502" t="s">
        <v>12903</v>
      </c>
      <c r="D3502" t="s">
        <v>12904</v>
      </c>
      <c r="E3502" t="s">
        <v>12902</v>
      </c>
      <c r="F3502" t="s">
        <v>28</v>
      </c>
      <c r="G3502" t="s">
        <v>12902</v>
      </c>
      <c r="H3502" t="str">
        <f>"K02F3.12"</f>
        <v>K02F3.12</v>
      </c>
      <c r="I3502" t="s">
        <v>12904</v>
      </c>
      <c r="J3502">
        <v>11.313463609813599</v>
      </c>
      <c r="K3502" t="s">
        <v>29</v>
      </c>
      <c r="L3502">
        <v>12.5357757272371</v>
      </c>
      <c r="M3502">
        <v>12.421475380754901</v>
      </c>
      <c r="N3502">
        <v>12.4839990685782</v>
      </c>
      <c r="O3502">
        <v>12.728138148368799</v>
      </c>
      <c r="P3502">
        <v>0.61991786404197802</v>
      </c>
      <c r="Q3502">
        <v>-0.143960025992413</v>
      </c>
      <c r="R3502">
        <v>1.3837957540763699</v>
      </c>
      <c r="S3502">
        <v>12.6669901549567</v>
      </c>
      <c r="T3502">
        <v>1.74181531374035</v>
      </c>
      <c r="U3502">
        <v>-5.3222368247993197</v>
      </c>
      <c r="V3502">
        <v>0.10362187958232499</v>
      </c>
      <c r="W3502">
        <v>0.66144990976316598</v>
      </c>
      <c r="X3502">
        <v>0</v>
      </c>
      <c r="Y3502">
        <v>0</v>
      </c>
    </row>
    <row r="3503" spans="1:25" x14ac:dyDescent="0.2">
      <c r="A3503" t="s">
        <v>12905</v>
      </c>
      <c r="B3503" t="s">
        <v>12906</v>
      </c>
      <c r="C3503" t="s">
        <v>12907</v>
      </c>
      <c r="D3503" t="s">
        <v>368</v>
      </c>
      <c r="E3503" t="s">
        <v>12906</v>
      </c>
      <c r="F3503" t="s">
        <v>28</v>
      </c>
      <c r="G3503" t="s">
        <v>12906</v>
      </c>
      <c r="H3503" t="str">
        <f>"meg-3"</f>
        <v>meg-3</v>
      </c>
      <c r="I3503" t="s">
        <v>368</v>
      </c>
      <c r="J3503" t="s">
        <v>29</v>
      </c>
      <c r="K3503" t="s">
        <v>29</v>
      </c>
      <c r="L3503">
        <v>11.723996901080101</v>
      </c>
      <c r="M3503">
        <v>11.639535077859501</v>
      </c>
      <c r="N3503">
        <v>11.7406126588528</v>
      </c>
      <c r="O3503" t="s">
        <v>29</v>
      </c>
      <c r="P3503">
        <v>-3.3923032723954798E-2</v>
      </c>
      <c r="Q3503">
        <v>-0.89844786995870096</v>
      </c>
      <c r="R3503">
        <v>0.83060180451079202</v>
      </c>
      <c r="S3503">
        <v>12.119102831435701</v>
      </c>
      <c r="T3503">
        <v>-8.6465904688584797E-2</v>
      </c>
      <c r="U3503">
        <v>-6.4794399985399602</v>
      </c>
      <c r="V3503">
        <v>0.93266466454484698</v>
      </c>
      <c r="W3503">
        <v>0.99926809132575301</v>
      </c>
      <c r="X3503">
        <v>0</v>
      </c>
      <c r="Y3503">
        <v>0</v>
      </c>
    </row>
    <row r="3504" spans="1:25" x14ac:dyDescent="0.2">
      <c r="A3504" t="s">
        <v>12908</v>
      </c>
      <c r="B3504" t="s">
        <v>12909</v>
      </c>
      <c r="C3504" t="s">
        <v>14704</v>
      </c>
      <c r="D3504" t="s">
        <v>368</v>
      </c>
      <c r="E3504" t="s">
        <v>12909</v>
      </c>
      <c r="F3504" t="s">
        <v>28</v>
      </c>
      <c r="G3504" t="s">
        <v>12909</v>
      </c>
      <c r="H3504" t="str">
        <f>"F52D2.7"</f>
        <v>F52D2.7</v>
      </c>
      <c r="I3504" t="s">
        <v>368</v>
      </c>
      <c r="J3504" t="s">
        <v>29</v>
      </c>
      <c r="K3504" t="s">
        <v>29</v>
      </c>
      <c r="L3504" t="s">
        <v>29</v>
      </c>
      <c r="M3504" t="s">
        <v>29</v>
      </c>
      <c r="N3504" t="s">
        <v>29</v>
      </c>
      <c r="O3504" t="s">
        <v>29</v>
      </c>
      <c r="P3504" t="s">
        <v>29</v>
      </c>
      <c r="Q3504" t="s">
        <v>29</v>
      </c>
      <c r="R3504" t="s">
        <v>29</v>
      </c>
      <c r="S3504">
        <v>11.4651013239463</v>
      </c>
      <c r="T3504" t="s">
        <v>29</v>
      </c>
      <c r="U3504" t="s">
        <v>29</v>
      </c>
      <c r="V3504" t="s">
        <v>29</v>
      </c>
      <c r="W3504" t="s">
        <v>29</v>
      </c>
      <c r="X3504" t="s">
        <v>29</v>
      </c>
      <c r="Y3504" t="s">
        <v>29</v>
      </c>
    </row>
    <row r="3505" spans="1:25" x14ac:dyDescent="0.2">
      <c r="A3505" t="s">
        <v>12910</v>
      </c>
      <c r="B3505" t="s">
        <v>12911</v>
      </c>
      <c r="C3505" t="s">
        <v>12912</v>
      </c>
      <c r="D3505" t="s">
        <v>12913</v>
      </c>
      <c r="E3505" t="s">
        <v>12911</v>
      </c>
      <c r="F3505" t="s">
        <v>28</v>
      </c>
      <c r="G3505" t="s">
        <v>12911</v>
      </c>
      <c r="H3505" t="str">
        <f>"rps-27"</f>
        <v>rps-27</v>
      </c>
      <c r="I3505" t="s">
        <v>12913</v>
      </c>
      <c r="J3505">
        <v>16.147292688664301</v>
      </c>
      <c r="K3505">
        <v>16.210269728816399</v>
      </c>
      <c r="L3505">
        <v>16.151647960454</v>
      </c>
      <c r="M3505">
        <v>15.974514303158299</v>
      </c>
      <c r="N3505">
        <v>15.749381077321001</v>
      </c>
      <c r="O3505">
        <v>15.773573736218401</v>
      </c>
      <c r="P3505">
        <v>-0.337247087078964</v>
      </c>
      <c r="Q3505">
        <v>-0.70720699067500403</v>
      </c>
      <c r="R3505">
        <v>3.2712816517076103E-2</v>
      </c>
      <c r="S3505">
        <v>15.4925436877419</v>
      </c>
      <c r="T3505">
        <v>-1.91595834471985</v>
      </c>
      <c r="U3505">
        <v>-5.1396207101062501</v>
      </c>
      <c r="V3505">
        <v>7.1486572262929801E-2</v>
      </c>
      <c r="W3505">
        <v>0.57425814043729895</v>
      </c>
      <c r="X3505">
        <v>0</v>
      </c>
      <c r="Y3505">
        <v>0</v>
      </c>
    </row>
    <row r="3506" spans="1:25" x14ac:dyDescent="0.2">
      <c r="A3506" t="s">
        <v>12914</v>
      </c>
      <c r="B3506" t="s">
        <v>12915</v>
      </c>
      <c r="C3506" t="s">
        <v>12916</v>
      </c>
      <c r="D3506" t="s">
        <v>12917</v>
      </c>
      <c r="E3506" t="s">
        <v>12915</v>
      </c>
      <c r="F3506" t="s">
        <v>28</v>
      </c>
      <c r="G3506" t="s">
        <v>12915</v>
      </c>
      <c r="H3506" t="str">
        <f>"tank-1"</f>
        <v>tank-1</v>
      </c>
      <c r="I3506" t="s">
        <v>12917</v>
      </c>
      <c r="J3506">
        <v>15.132282949302301</v>
      </c>
      <c r="K3506">
        <v>15.608947206814101</v>
      </c>
      <c r="L3506">
        <v>15.2503901272419</v>
      </c>
      <c r="M3506">
        <v>14.8735578174509</v>
      </c>
      <c r="N3506">
        <v>14.956081898660999</v>
      </c>
      <c r="O3506">
        <v>15.1194603752399</v>
      </c>
      <c r="P3506">
        <v>-0.34750673066880999</v>
      </c>
      <c r="Q3506">
        <v>-0.79498628748337796</v>
      </c>
      <c r="R3506">
        <v>9.9972826145757698E-2</v>
      </c>
      <c r="S3506">
        <v>15.448826511116</v>
      </c>
      <c r="T3506">
        <v>-1.6322344298459199</v>
      </c>
      <c r="U3506">
        <v>-5.5857913463184596</v>
      </c>
      <c r="V3506">
        <v>0.120101928299935</v>
      </c>
      <c r="W3506">
        <v>0.70732126648809501</v>
      </c>
      <c r="X3506">
        <v>0</v>
      </c>
      <c r="Y3506">
        <v>0</v>
      </c>
    </row>
    <row r="3507" spans="1:25" x14ac:dyDescent="0.2">
      <c r="A3507" t="s">
        <v>12918</v>
      </c>
      <c r="B3507" t="s">
        <v>12919</v>
      </c>
      <c r="C3507" t="s">
        <v>12920</v>
      </c>
      <c r="D3507" t="s">
        <v>12921</v>
      </c>
      <c r="E3507" t="s">
        <v>12919</v>
      </c>
      <c r="F3507" t="s">
        <v>28</v>
      </c>
      <c r="G3507" t="s">
        <v>12919</v>
      </c>
      <c r="H3507" t="str">
        <f>"msh-2"</f>
        <v>msh-2</v>
      </c>
      <c r="I3507" t="s">
        <v>12921</v>
      </c>
      <c r="J3507">
        <v>13.8962441560298</v>
      </c>
      <c r="K3507">
        <v>13.493606772634701</v>
      </c>
      <c r="L3507">
        <v>13.5505177701707</v>
      </c>
      <c r="M3507">
        <v>13.7676478157038</v>
      </c>
      <c r="N3507">
        <v>13.6252142799236</v>
      </c>
      <c r="O3507">
        <v>13.699905340972901</v>
      </c>
      <c r="P3507">
        <v>5.0799579255070199E-2</v>
      </c>
      <c r="Q3507">
        <v>-0.28067564649460702</v>
      </c>
      <c r="R3507">
        <v>0.38227480500474698</v>
      </c>
      <c r="S3507">
        <v>13.502568712314</v>
      </c>
      <c r="T3507">
        <v>0.32210803123203002</v>
      </c>
      <c r="U3507">
        <v>-6.8284366846240596</v>
      </c>
      <c r="V3507">
        <v>0.75110331984612899</v>
      </c>
      <c r="W3507">
        <v>0.99193327319361801</v>
      </c>
      <c r="X3507">
        <v>0</v>
      </c>
      <c r="Y3507">
        <v>0</v>
      </c>
    </row>
    <row r="3508" spans="1:25" x14ac:dyDescent="0.2">
      <c r="A3508" t="s">
        <v>12922</v>
      </c>
      <c r="B3508" t="s">
        <v>12923</v>
      </c>
      <c r="C3508" t="s">
        <v>14705</v>
      </c>
      <c r="D3508" t="s">
        <v>4432</v>
      </c>
      <c r="E3508" t="s">
        <v>12923</v>
      </c>
      <c r="F3508" t="s">
        <v>28</v>
      </c>
      <c r="G3508" t="s">
        <v>12923</v>
      </c>
      <c r="H3508" t="str">
        <f>"F56B3.11"</f>
        <v>F56B3.11</v>
      </c>
      <c r="I3508" t="s">
        <v>4432</v>
      </c>
      <c r="J3508">
        <v>13.3386249354171</v>
      </c>
      <c r="K3508">
        <v>13.3533722111084</v>
      </c>
      <c r="L3508">
        <v>13.0921889471014</v>
      </c>
      <c r="M3508">
        <v>13.438404700413001</v>
      </c>
      <c r="N3508">
        <v>13.025782191484801</v>
      </c>
      <c r="O3508">
        <v>12.981964878053599</v>
      </c>
      <c r="P3508">
        <v>-0.11267810789183</v>
      </c>
      <c r="Q3508">
        <v>-0.59928462938619398</v>
      </c>
      <c r="R3508">
        <v>0.37392841360253498</v>
      </c>
      <c r="S3508">
        <v>12.743295264120199</v>
      </c>
      <c r="T3508">
        <v>-0.48669191724702898</v>
      </c>
      <c r="U3508">
        <v>-6.7595462675215501</v>
      </c>
      <c r="V3508">
        <v>0.63238401670113598</v>
      </c>
      <c r="W3508">
        <v>0.97279262440453396</v>
      </c>
      <c r="X3508">
        <v>0</v>
      </c>
      <c r="Y3508">
        <v>0</v>
      </c>
    </row>
    <row r="3509" spans="1:25" x14ac:dyDescent="0.2">
      <c r="A3509" t="s">
        <v>12924</v>
      </c>
      <c r="B3509" t="s">
        <v>12925</v>
      </c>
      <c r="C3509" t="s">
        <v>12926</v>
      </c>
      <c r="D3509" t="s">
        <v>2795</v>
      </c>
      <c r="E3509" t="s">
        <v>12925</v>
      </c>
      <c r="F3509" t="s">
        <v>28</v>
      </c>
      <c r="G3509" t="s">
        <v>12925</v>
      </c>
      <c r="H3509" t="str">
        <f>"ugt-13"</f>
        <v>ugt-13</v>
      </c>
      <c r="I3509" t="s">
        <v>2795</v>
      </c>
      <c r="J3509">
        <v>12.907729837642901</v>
      </c>
      <c r="K3509">
        <v>12.558088750909899</v>
      </c>
      <c r="L3509">
        <v>12.692726275729299</v>
      </c>
      <c r="M3509">
        <v>12.0515806923611</v>
      </c>
      <c r="N3509" t="s">
        <v>29</v>
      </c>
      <c r="O3509">
        <v>12.232577587817101</v>
      </c>
      <c r="P3509">
        <v>-0.57743581467160099</v>
      </c>
      <c r="Q3509">
        <v>-1.31538017032341</v>
      </c>
      <c r="R3509">
        <v>0.16050854098020401</v>
      </c>
      <c r="S3509">
        <v>12.126918723135599</v>
      </c>
      <c r="T3509">
        <v>-1.6794690095420299</v>
      </c>
      <c r="U3509">
        <v>-5.4152060848091503</v>
      </c>
      <c r="V3509">
        <v>0.11539563470448599</v>
      </c>
      <c r="W3509">
        <v>0.69878630773589001</v>
      </c>
      <c r="X3509">
        <v>0</v>
      </c>
      <c r="Y3509">
        <v>0</v>
      </c>
    </row>
    <row r="3510" spans="1:25" x14ac:dyDescent="0.2">
      <c r="A3510" t="s">
        <v>12927</v>
      </c>
      <c r="B3510" t="s">
        <v>12928</v>
      </c>
      <c r="C3510" t="s">
        <v>12929</v>
      </c>
      <c r="D3510" t="s">
        <v>12930</v>
      </c>
      <c r="E3510" t="s">
        <v>12928</v>
      </c>
      <c r="F3510" t="s">
        <v>28</v>
      </c>
      <c r="G3510" t="s">
        <v>12928</v>
      </c>
      <c r="H3510" t="str">
        <f>"ykt-6"</f>
        <v>ykt-6</v>
      </c>
      <c r="I3510" t="s">
        <v>12930</v>
      </c>
      <c r="J3510">
        <v>14.0957367898316</v>
      </c>
      <c r="K3510">
        <v>14.127944970915101</v>
      </c>
      <c r="L3510">
        <v>13.775173908783</v>
      </c>
      <c r="M3510">
        <v>14.2931169917065</v>
      </c>
      <c r="N3510">
        <v>13.8034370528474</v>
      </c>
      <c r="O3510">
        <v>14.1305894416607</v>
      </c>
      <c r="P3510">
        <v>7.6095938894971099E-2</v>
      </c>
      <c r="Q3510">
        <v>-0.45408135210932399</v>
      </c>
      <c r="R3510">
        <v>0.60627322989926702</v>
      </c>
      <c r="S3510">
        <v>13.687023385092701</v>
      </c>
      <c r="T3510">
        <v>0.30296354320486102</v>
      </c>
      <c r="U3510">
        <v>-6.8345124086658799</v>
      </c>
      <c r="V3510">
        <v>0.76561623789422995</v>
      </c>
      <c r="W3510">
        <v>0.99278624068726296</v>
      </c>
      <c r="X3510">
        <v>0</v>
      </c>
      <c r="Y3510">
        <v>0</v>
      </c>
    </row>
    <row r="3511" spans="1:25" x14ac:dyDescent="0.2">
      <c r="A3511" t="s">
        <v>12931</v>
      </c>
      <c r="B3511" t="s">
        <v>12932</v>
      </c>
      <c r="C3511" t="s">
        <v>12933</v>
      </c>
      <c r="D3511" t="s">
        <v>12934</v>
      </c>
      <c r="E3511" t="s">
        <v>12932</v>
      </c>
      <c r="F3511" t="s">
        <v>28</v>
      </c>
      <c r="G3511" t="s">
        <v>12932</v>
      </c>
      <c r="H3511" t="str">
        <f>"dpm-1"</f>
        <v>dpm-1</v>
      </c>
      <c r="I3511" t="s">
        <v>12934</v>
      </c>
      <c r="J3511">
        <v>16.208110102704101</v>
      </c>
      <c r="K3511">
        <v>16.145558176487601</v>
      </c>
      <c r="L3511">
        <v>16.136073120875601</v>
      </c>
      <c r="M3511">
        <v>16.370554200501999</v>
      </c>
      <c r="N3511">
        <v>15.915386336950601</v>
      </c>
      <c r="O3511">
        <v>16.073067488514599</v>
      </c>
      <c r="P3511">
        <v>-4.35777913667117E-2</v>
      </c>
      <c r="Q3511">
        <v>-0.41542838744379201</v>
      </c>
      <c r="R3511">
        <v>0.32827280471036802</v>
      </c>
      <c r="S3511">
        <v>15.7787347497315</v>
      </c>
      <c r="T3511">
        <v>-0.246314084785721</v>
      </c>
      <c r="U3511">
        <v>-6.8508434536921499</v>
      </c>
      <c r="V3511">
        <v>0.80824233116989497</v>
      </c>
      <c r="W3511">
        <v>0.99278624068726296</v>
      </c>
      <c r="X3511">
        <v>0</v>
      </c>
      <c r="Y3511">
        <v>0</v>
      </c>
    </row>
    <row r="3512" spans="1:25" x14ac:dyDescent="0.2">
      <c r="A3512" t="s">
        <v>12935</v>
      </c>
      <c r="B3512" t="s">
        <v>12936</v>
      </c>
      <c r="C3512" t="s">
        <v>12937</v>
      </c>
      <c r="D3512" t="s">
        <v>12938</v>
      </c>
      <c r="E3512" t="s">
        <v>12936</v>
      </c>
      <c r="F3512" t="s">
        <v>28</v>
      </c>
      <c r="G3512" t="s">
        <v>12936</v>
      </c>
      <c r="H3512" t="str">
        <f>"Y66H1A.4"</f>
        <v>Y66H1A.4</v>
      </c>
      <c r="I3512" t="s">
        <v>12938</v>
      </c>
      <c r="J3512">
        <v>15.504098689325</v>
      </c>
      <c r="K3512">
        <v>15.3818592462887</v>
      </c>
      <c r="L3512">
        <v>15.732810131729901</v>
      </c>
      <c r="M3512">
        <v>15.7120831436019</v>
      </c>
      <c r="N3512">
        <v>15.2358630382392</v>
      </c>
      <c r="O3512">
        <v>15.162286233902501</v>
      </c>
      <c r="P3512">
        <v>-0.16951188386663499</v>
      </c>
      <c r="Q3512">
        <v>-1.08437286130847</v>
      </c>
      <c r="R3512">
        <v>0.74534909357519596</v>
      </c>
      <c r="S3512">
        <v>14.970132049293801</v>
      </c>
      <c r="T3512">
        <v>-0.38943731296494</v>
      </c>
      <c r="U3512">
        <v>-6.8035841153990999</v>
      </c>
      <c r="V3512">
        <v>0.70154830888533104</v>
      </c>
      <c r="W3512">
        <v>0.98642420921484297</v>
      </c>
      <c r="X3512">
        <v>0</v>
      </c>
      <c r="Y3512">
        <v>0</v>
      </c>
    </row>
    <row r="3513" spans="1:25" x14ac:dyDescent="0.2">
      <c r="A3513" t="s">
        <v>12939</v>
      </c>
      <c r="B3513" t="s">
        <v>12940</v>
      </c>
      <c r="C3513" t="s">
        <v>12941</v>
      </c>
      <c r="D3513" t="s">
        <v>12942</v>
      </c>
      <c r="E3513" t="s">
        <v>12940</v>
      </c>
      <c r="F3513" t="s">
        <v>28</v>
      </c>
      <c r="G3513" t="s">
        <v>12940</v>
      </c>
      <c r="H3513" t="str">
        <f>"copb-1"</f>
        <v>copb-1</v>
      </c>
      <c r="I3513" t="s">
        <v>12942</v>
      </c>
      <c r="J3513">
        <v>16.5579745379681</v>
      </c>
      <c r="K3513">
        <v>16.515620412714501</v>
      </c>
      <c r="L3513">
        <v>16.519562784799199</v>
      </c>
      <c r="M3513">
        <v>16.5887112599417</v>
      </c>
      <c r="N3513">
        <v>16.8149327036706</v>
      </c>
      <c r="O3513">
        <v>16.707063885551701</v>
      </c>
      <c r="P3513">
        <v>0.17251670456073501</v>
      </c>
      <c r="Q3513">
        <v>-0.35318680613318298</v>
      </c>
      <c r="R3513">
        <v>0.69822021525465305</v>
      </c>
      <c r="S3513">
        <v>16.501407064058501</v>
      </c>
      <c r="T3513">
        <v>0.68973583382394499</v>
      </c>
      <c r="U3513">
        <v>-6.6371987980018297</v>
      </c>
      <c r="V3513">
        <v>0.49920794667820401</v>
      </c>
      <c r="W3513">
        <v>0.94062983959761604</v>
      </c>
      <c r="X3513">
        <v>0</v>
      </c>
      <c r="Y3513">
        <v>0</v>
      </c>
    </row>
    <row r="3514" spans="1:25" x14ac:dyDescent="0.2">
      <c r="A3514" t="s">
        <v>12943</v>
      </c>
      <c r="B3514" t="s">
        <v>12944</v>
      </c>
      <c r="C3514" t="s">
        <v>14706</v>
      </c>
      <c r="D3514" t="s">
        <v>4609</v>
      </c>
      <c r="E3514" t="s">
        <v>12944</v>
      </c>
      <c r="F3514" t="s">
        <v>28</v>
      </c>
      <c r="G3514" t="s">
        <v>12944</v>
      </c>
      <c r="H3514" t="str">
        <f>"Y14H12B.2"</f>
        <v>Y14H12B.2</v>
      </c>
      <c r="I3514" t="s">
        <v>4609</v>
      </c>
      <c r="J3514">
        <v>11.799558222114801</v>
      </c>
      <c r="K3514">
        <v>11.3309656013856</v>
      </c>
      <c r="L3514">
        <v>12.4553612079298</v>
      </c>
      <c r="M3514">
        <v>12.0205683675347</v>
      </c>
      <c r="N3514">
        <v>12.530308567302701</v>
      </c>
      <c r="O3514">
        <v>11.7592318868581</v>
      </c>
      <c r="P3514">
        <v>0.24140793008844399</v>
      </c>
      <c r="Q3514">
        <v>-0.55676769525625902</v>
      </c>
      <c r="R3514">
        <v>1.0395835554331501</v>
      </c>
      <c r="S3514">
        <v>12.956666121444901</v>
      </c>
      <c r="T3514">
        <v>0.64150877437379406</v>
      </c>
      <c r="U3514">
        <v>-6.6688152552440396</v>
      </c>
      <c r="V3514">
        <v>0.53033483839655504</v>
      </c>
      <c r="W3514">
        <v>0.94347340668743696</v>
      </c>
      <c r="X3514">
        <v>0</v>
      </c>
      <c r="Y3514">
        <v>0</v>
      </c>
    </row>
    <row r="3515" spans="1:25" x14ac:dyDescent="0.2">
      <c r="A3515" t="s">
        <v>12945</v>
      </c>
      <c r="B3515" t="s">
        <v>12946</v>
      </c>
      <c r="C3515" t="s">
        <v>12947</v>
      </c>
      <c r="D3515" t="s">
        <v>1502</v>
      </c>
      <c r="E3515" t="s">
        <v>12946</v>
      </c>
      <c r="F3515" t="s">
        <v>28</v>
      </c>
      <c r="G3515" t="s">
        <v>12946</v>
      </c>
      <c r="H3515" t="str">
        <f>"mca-2"</f>
        <v>mca-2</v>
      </c>
      <c r="I3515" t="s">
        <v>1502</v>
      </c>
      <c r="J3515">
        <v>16.1163358974852</v>
      </c>
      <c r="K3515">
        <v>15.9268565785075</v>
      </c>
      <c r="L3515">
        <v>15.736162141544099</v>
      </c>
      <c r="M3515">
        <v>16.029887370043198</v>
      </c>
      <c r="N3515">
        <v>15.8494310831914</v>
      </c>
      <c r="O3515">
        <v>15.924974210756799</v>
      </c>
      <c r="P3515">
        <v>8.3126821515655501E-3</v>
      </c>
      <c r="Q3515">
        <v>-0.42578730624383399</v>
      </c>
      <c r="R3515">
        <v>0.44241267054696498</v>
      </c>
      <c r="S3515">
        <v>15.934667606399101</v>
      </c>
      <c r="T3515">
        <v>4.0247963809987297E-2</v>
      </c>
      <c r="U3515">
        <v>-6.8816432191360297</v>
      </c>
      <c r="V3515">
        <v>0.96834107992306995</v>
      </c>
      <c r="W3515">
        <v>0.99968702248720698</v>
      </c>
      <c r="X3515">
        <v>0</v>
      </c>
      <c r="Y3515">
        <v>0</v>
      </c>
    </row>
    <row r="3516" spans="1:25" x14ac:dyDescent="0.2">
      <c r="A3516" t="s">
        <v>12948</v>
      </c>
      <c r="B3516" t="s">
        <v>12949</v>
      </c>
      <c r="C3516" t="s">
        <v>12950</v>
      </c>
      <c r="D3516" t="s">
        <v>12951</v>
      </c>
      <c r="E3516" t="s">
        <v>12949</v>
      </c>
      <c r="F3516" t="s">
        <v>28</v>
      </c>
      <c r="G3516" t="s">
        <v>12949</v>
      </c>
      <c r="H3516" t="str">
        <f>"lin-33"</f>
        <v>lin-33</v>
      </c>
      <c r="I3516" t="s">
        <v>12951</v>
      </c>
      <c r="J3516">
        <v>12.9046610419568</v>
      </c>
      <c r="K3516">
        <v>12.9228947292205</v>
      </c>
      <c r="L3516">
        <v>13.0637156612816</v>
      </c>
      <c r="M3516">
        <v>13.287615070646201</v>
      </c>
      <c r="N3516">
        <v>13.387342425844601</v>
      </c>
      <c r="O3516">
        <v>13.549937912911</v>
      </c>
      <c r="P3516">
        <v>0.44454132564765197</v>
      </c>
      <c r="Q3516">
        <v>-0.43671474531322901</v>
      </c>
      <c r="R3516">
        <v>1.3257973966085299</v>
      </c>
      <c r="S3516">
        <v>12.9195236500685</v>
      </c>
      <c r="T3516">
        <v>1.0602359635504299</v>
      </c>
      <c r="U3516">
        <v>-6.3130411375607602</v>
      </c>
      <c r="V3516">
        <v>0.30313835990701599</v>
      </c>
      <c r="W3516">
        <v>0.85855590823088301</v>
      </c>
      <c r="X3516">
        <v>0</v>
      </c>
      <c r="Y3516">
        <v>0</v>
      </c>
    </row>
    <row r="3517" spans="1:25" x14ac:dyDescent="0.2">
      <c r="A3517" t="s">
        <v>12952</v>
      </c>
      <c r="B3517" t="s">
        <v>12953</v>
      </c>
      <c r="C3517" t="s">
        <v>14707</v>
      </c>
      <c r="D3517" t="s">
        <v>3246</v>
      </c>
      <c r="E3517" t="s">
        <v>12953</v>
      </c>
      <c r="F3517" t="s">
        <v>28</v>
      </c>
      <c r="G3517" t="s">
        <v>12953</v>
      </c>
      <c r="H3517" t="str">
        <f>"H04M03.3"</f>
        <v>H04M03.3</v>
      </c>
      <c r="I3517" t="s">
        <v>3246</v>
      </c>
      <c r="J3517">
        <v>13.950813407178501</v>
      </c>
      <c r="K3517">
        <v>13.7445034194991</v>
      </c>
      <c r="L3517">
        <v>13.9557642727244</v>
      </c>
      <c r="M3517">
        <v>13.9349063012894</v>
      </c>
      <c r="N3517">
        <v>13.9666807129476</v>
      </c>
      <c r="O3517">
        <v>13.789113161045499</v>
      </c>
      <c r="P3517">
        <v>1.32063586268174E-2</v>
      </c>
      <c r="Q3517">
        <v>-0.50421871570990295</v>
      </c>
      <c r="R3517">
        <v>0.53063143296353699</v>
      </c>
      <c r="S3517">
        <v>13.997419057867999</v>
      </c>
      <c r="T3517">
        <v>5.3874794804071702E-2</v>
      </c>
      <c r="U3517">
        <v>-6.8809684084003999</v>
      </c>
      <c r="V3517">
        <v>0.95766684771361699</v>
      </c>
      <c r="W3517">
        <v>0.99968702248720698</v>
      </c>
      <c r="X3517">
        <v>0</v>
      </c>
      <c r="Y3517">
        <v>0</v>
      </c>
    </row>
    <row r="3518" spans="1:25" x14ac:dyDescent="0.2">
      <c r="A3518" t="s">
        <v>12954</v>
      </c>
      <c r="B3518" t="s">
        <v>12955</v>
      </c>
      <c r="C3518" t="s">
        <v>12956</v>
      </c>
      <c r="D3518" t="s">
        <v>12957</v>
      </c>
      <c r="E3518" t="s">
        <v>12955</v>
      </c>
      <c r="F3518" t="s">
        <v>28</v>
      </c>
      <c r="G3518" t="s">
        <v>12955</v>
      </c>
      <c r="H3518" t="str">
        <f>"shc-1"</f>
        <v>shc-1</v>
      </c>
      <c r="I3518" t="s">
        <v>12957</v>
      </c>
      <c r="J3518">
        <v>13.7129460828533</v>
      </c>
      <c r="K3518">
        <v>13.30601588074</v>
      </c>
      <c r="L3518">
        <v>13.791540204362001</v>
      </c>
      <c r="M3518">
        <v>13.4565566303742</v>
      </c>
      <c r="N3518">
        <v>14.1345730288977</v>
      </c>
      <c r="O3518">
        <v>13.1407070644409</v>
      </c>
      <c r="P3518">
        <v>-2.6221814747534801E-2</v>
      </c>
      <c r="Q3518">
        <v>-1.3574598472967101</v>
      </c>
      <c r="R3518">
        <v>1.30501621780164</v>
      </c>
      <c r="S3518">
        <v>13.311862294811499</v>
      </c>
      <c r="T3518">
        <v>-4.2009608484251698E-2</v>
      </c>
      <c r="U3518">
        <v>-6.8815576926584603</v>
      </c>
      <c r="V3518">
        <v>0.96704899895680096</v>
      </c>
      <c r="W3518">
        <v>0.99968702248720698</v>
      </c>
      <c r="X3518">
        <v>0</v>
      </c>
      <c r="Y3518">
        <v>0</v>
      </c>
    </row>
    <row r="3519" spans="1:25" x14ac:dyDescent="0.2">
      <c r="A3519" t="s">
        <v>12958</v>
      </c>
      <c r="B3519" t="s">
        <v>12959</v>
      </c>
      <c r="C3519" t="s">
        <v>14708</v>
      </c>
      <c r="D3519" t="s">
        <v>93</v>
      </c>
      <c r="E3519" t="s">
        <v>12959</v>
      </c>
      <c r="F3519" t="s">
        <v>28</v>
      </c>
      <c r="G3519" t="s">
        <v>12959</v>
      </c>
      <c r="H3519" t="str">
        <f>"W05F2.6"</f>
        <v>W05F2.6</v>
      </c>
      <c r="I3519" t="s">
        <v>93</v>
      </c>
      <c r="J3519">
        <v>11.8234152245758</v>
      </c>
      <c r="K3519">
        <v>11.887054021047501</v>
      </c>
      <c r="L3519">
        <v>12.2174608896393</v>
      </c>
      <c r="M3519">
        <v>11.947566218271101</v>
      </c>
      <c r="N3519">
        <v>11.7979699154938</v>
      </c>
      <c r="O3519" t="s">
        <v>29</v>
      </c>
      <c r="P3519">
        <v>-0.103208644871748</v>
      </c>
      <c r="Q3519">
        <v>-0.77194376018801303</v>
      </c>
      <c r="R3519">
        <v>0.56552647044451798</v>
      </c>
      <c r="S3519">
        <v>12.565831923281999</v>
      </c>
      <c r="T3519">
        <v>-0.33124843872048498</v>
      </c>
      <c r="U3519">
        <v>-6.7143804966942602</v>
      </c>
      <c r="V3519">
        <v>0.74539955687829196</v>
      </c>
      <c r="W3519">
        <v>0.99184638945407499</v>
      </c>
      <c r="X3519">
        <v>0</v>
      </c>
      <c r="Y3519">
        <v>0</v>
      </c>
    </row>
    <row r="3520" spans="1:25" x14ac:dyDescent="0.2">
      <c r="A3520" t="s">
        <v>12960</v>
      </c>
      <c r="B3520" t="s">
        <v>12961</v>
      </c>
      <c r="C3520" t="s">
        <v>12962</v>
      </c>
      <c r="D3520" t="s">
        <v>12963</v>
      </c>
      <c r="E3520" t="s">
        <v>12961</v>
      </c>
      <c r="F3520" t="s">
        <v>28</v>
      </c>
      <c r="G3520" t="s">
        <v>12961</v>
      </c>
      <c r="H3520" t="str">
        <f>"mys-1"</f>
        <v>mys-1</v>
      </c>
      <c r="I3520" t="s">
        <v>12963</v>
      </c>
      <c r="J3520" t="s">
        <v>29</v>
      </c>
      <c r="K3520" t="s">
        <v>29</v>
      </c>
      <c r="L3520">
        <v>10.1254501223725</v>
      </c>
      <c r="M3520" t="s">
        <v>29</v>
      </c>
      <c r="N3520" t="s">
        <v>29</v>
      </c>
      <c r="O3520" t="s">
        <v>29</v>
      </c>
      <c r="P3520" t="s">
        <v>29</v>
      </c>
      <c r="Q3520" t="s">
        <v>29</v>
      </c>
      <c r="R3520" t="s">
        <v>29</v>
      </c>
      <c r="S3520">
        <v>10.4950088522064</v>
      </c>
      <c r="T3520" t="s">
        <v>29</v>
      </c>
      <c r="U3520" t="s">
        <v>29</v>
      </c>
      <c r="V3520" t="s">
        <v>29</v>
      </c>
      <c r="W3520" t="s">
        <v>29</v>
      </c>
      <c r="X3520" t="s">
        <v>29</v>
      </c>
      <c r="Y3520" t="s">
        <v>29</v>
      </c>
    </row>
    <row r="3521" spans="1:25" x14ac:dyDescent="0.2">
      <c r="A3521" t="s">
        <v>12964</v>
      </c>
      <c r="B3521" t="s">
        <v>12965</v>
      </c>
      <c r="C3521" t="s">
        <v>12966</v>
      </c>
      <c r="D3521" t="s">
        <v>12967</v>
      </c>
      <c r="E3521" t="s">
        <v>12965</v>
      </c>
      <c r="F3521" t="s">
        <v>28</v>
      </c>
      <c r="G3521" t="s">
        <v>12965</v>
      </c>
      <c r="H3521" t="str">
        <f>"gldi-1"</f>
        <v>gldi-1</v>
      </c>
      <c r="I3521" t="s">
        <v>12967</v>
      </c>
      <c r="J3521">
        <v>10.8494743467077</v>
      </c>
      <c r="K3521" t="s">
        <v>29</v>
      </c>
      <c r="L3521" t="s">
        <v>29</v>
      </c>
      <c r="M3521">
        <v>13.0803834910674</v>
      </c>
      <c r="N3521">
        <v>11.187757311604299</v>
      </c>
      <c r="O3521" t="s">
        <v>29</v>
      </c>
      <c r="P3521">
        <v>1.2845960546281201</v>
      </c>
      <c r="Q3521">
        <v>-0.12103339646351401</v>
      </c>
      <c r="R3521">
        <v>2.6902255057197499</v>
      </c>
      <c r="S3521">
        <v>11.926149649498999</v>
      </c>
      <c r="T3521">
        <v>2.0138328882850498</v>
      </c>
      <c r="U3521">
        <v>-4.6518683620375603</v>
      </c>
      <c r="V3521">
        <v>6.9391642974614601E-2</v>
      </c>
      <c r="W3521">
        <v>0.56740881528136999</v>
      </c>
      <c r="X3521">
        <v>0</v>
      </c>
      <c r="Y3521">
        <v>0</v>
      </c>
    </row>
    <row r="3522" spans="1:25" x14ac:dyDescent="0.2">
      <c r="A3522" t="s">
        <v>12968</v>
      </c>
      <c r="B3522" t="s">
        <v>12969</v>
      </c>
      <c r="C3522" t="s">
        <v>12970</v>
      </c>
      <c r="D3522" t="s">
        <v>12971</v>
      </c>
      <c r="E3522" t="s">
        <v>12969</v>
      </c>
      <c r="F3522" t="s">
        <v>28</v>
      </c>
      <c r="G3522" t="s">
        <v>12969</v>
      </c>
      <c r="H3522" t="str">
        <f>"nsun-1"</f>
        <v>nsun-1</v>
      </c>
      <c r="I3522" t="s">
        <v>12971</v>
      </c>
      <c r="J3522">
        <v>13.599744450737999</v>
      </c>
      <c r="K3522">
        <v>13.347632732583801</v>
      </c>
      <c r="L3522">
        <v>13.4389111767749</v>
      </c>
      <c r="M3522">
        <v>13.0158097379484</v>
      </c>
      <c r="N3522">
        <v>13.3925779481321</v>
      </c>
      <c r="O3522">
        <v>13.082977709331001</v>
      </c>
      <c r="P3522">
        <v>-0.29830765489507999</v>
      </c>
      <c r="Q3522">
        <v>-1.43879270516368</v>
      </c>
      <c r="R3522">
        <v>0.84217739537351499</v>
      </c>
      <c r="S3522">
        <v>13.096208264827601</v>
      </c>
      <c r="T3522">
        <v>-0.54975262823777804</v>
      </c>
      <c r="U3522">
        <v>-6.7259082932139798</v>
      </c>
      <c r="V3522">
        <v>0.58928513856262399</v>
      </c>
      <c r="W3522">
        <v>0.963273565916412</v>
      </c>
      <c r="X3522">
        <v>0</v>
      </c>
      <c r="Y3522">
        <v>0</v>
      </c>
    </row>
    <row r="3523" spans="1:25" x14ac:dyDescent="0.2">
      <c r="A3523" t="s">
        <v>12972</v>
      </c>
      <c r="B3523" t="s">
        <v>12973</v>
      </c>
      <c r="C3523" t="s">
        <v>12974</v>
      </c>
      <c r="D3523" t="s">
        <v>12975</v>
      </c>
      <c r="E3523" t="s">
        <v>12973</v>
      </c>
      <c r="F3523" t="s">
        <v>28</v>
      </c>
      <c r="G3523" t="s">
        <v>12973</v>
      </c>
      <c r="H3523" t="str">
        <f>"dpf-5"</f>
        <v>dpf-5</v>
      </c>
      <c r="I3523" t="s">
        <v>12975</v>
      </c>
      <c r="J3523">
        <v>12.139383491076201</v>
      </c>
      <c r="K3523">
        <v>12.212712411136</v>
      </c>
      <c r="L3523">
        <v>12.9450384084088</v>
      </c>
      <c r="M3523">
        <v>12.8804550273299</v>
      </c>
      <c r="N3523">
        <v>12.876669061311</v>
      </c>
      <c r="O3523">
        <v>12.8536240542945</v>
      </c>
      <c r="P3523">
        <v>0.43787127743814702</v>
      </c>
      <c r="Q3523">
        <v>-7.6535066377087693E-2</v>
      </c>
      <c r="R3523">
        <v>0.952277621253381</v>
      </c>
      <c r="S3523">
        <v>12.700325213612199</v>
      </c>
      <c r="T3523">
        <v>1.81543936504565</v>
      </c>
      <c r="U3523">
        <v>-5.3119599088691896</v>
      </c>
      <c r="V3523">
        <v>8.9639794701009204E-2</v>
      </c>
      <c r="W3523">
        <v>0.62761537843567405</v>
      </c>
      <c r="X3523">
        <v>0</v>
      </c>
      <c r="Y3523">
        <v>0</v>
      </c>
    </row>
    <row r="3524" spans="1:25" x14ac:dyDescent="0.2">
      <c r="A3524" t="s">
        <v>12976</v>
      </c>
      <c r="B3524" t="s">
        <v>12977</v>
      </c>
      <c r="C3524" t="s">
        <v>12978</v>
      </c>
      <c r="D3524" t="s">
        <v>2636</v>
      </c>
      <c r="E3524" t="s">
        <v>12977</v>
      </c>
      <c r="F3524" t="s">
        <v>28</v>
      </c>
      <c r="G3524" t="s">
        <v>12977</v>
      </c>
      <c r="H3524" t="str">
        <f>"set-15"</f>
        <v>set-15</v>
      </c>
      <c r="I3524" t="s">
        <v>2636</v>
      </c>
      <c r="J3524" t="s">
        <v>29</v>
      </c>
      <c r="K3524">
        <v>9.05271890969148</v>
      </c>
      <c r="L3524">
        <v>9.6733477303207192</v>
      </c>
      <c r="M3524" t="s">
        <v>29</v>
      </c>
      <c r="N3524" t="s">
        <v>29</v>
      </c>
      <c r="O3524" t="s">
        <v>29</v>
      </c>
      <c r="P3524" t="s">
        <v>29</v>
      </c>
      <c r="Q3524" t="s">
        <v>29</v>
      </c>
      <c r="R3524" t="s">
        <v>29</v>
      </c>
      <c r="S3524">
        <v>10.456112862824201</v>
      </c>
      <c r="T3524" t="s">
        <v>29</v>
      </c>
      <c r="U3524" t="s">
        <v>29</v>
      </c>
      <c r="V3524" t="s">
        <v>29</v>
      </c>
      <c r="W3524" t="s">
        <v>29</v>
      </c>
      <c r="X3524" t="s">
        <v>29</v>
      </c>
      <c r="Y3524" t="s">
        <v>29</v>
      </c>
    </row>
    <row r="3525" spans="1:25" x14ac:dyDescent="0.2">
      <c r="A3525" t="s">
        <v>12979</v>
      </c>
      <c r="B3525" t="s">
        <v>12980</v>
      </c>
      <c r="C3525" t="s">
        <v>14709</v>
      </c>
      <c r="D3525" t="s">
        <v>12981</v>
      </c>
      <c r="E3525" t="s">
        <v>12980</v>
      </c>
      <c r="F3525" t="s">
        <v>28</v>
      </c>
      <c r="G3525" t="s">
        <v>12980</v>
      </c>
      <c r="H3525" t="str">
        <f>"M57.2"</f>
        <v>M57.2</v>
      </c>
      <c r="I3525" t="s">
        <v>12981</v>
      </c>
      <c r="J3525">
        <v>14.5166041749276</v>
      </c>
      <c r="K3525">
        <v>14.549183960805401</v>
      </c>
      <c r="L3525">
        <v>14.3191186562577</v>
      </c>
      <c r="M3525">
        <v>14.3493164383886</v>
      </c>
      <c r="N3525">
        <v>14.250319792752</v>
      </c>
      <c r="O3525">
        <v>14.218947566824101</v>
      </c>
      <c r="P3525">
        <v>-0.18877433134199101</v>
      </c>
      <c r="Q3525">
        <v>-0.59605679300039704</v>
      </c>
      <c r="R3525">
        <v>0.218508130316415</v>
      </c>
      <c r="S3525">
        <v>13.9783561178994</v>
      </c>
      <c r="T3525">
        <v>-0.97835674803111605</v>
      </c>
      <c r="U3525">
        <v>-6.3946349311025497</v>
      </c>
      <c r="V3525">
        <v>0.341700280486888</v>
      </c>
      <c r="W3525">
        <v>0.876350511665964</v>
      </c>
      <c r="X3525">
        <v>0</v>
      </c>
      <c r="Y3525">
        <v>0</v>
      </c>
    </row>
    <row r="3526" spans="1:25" x14ac:dyDescent="0.2">
      <c r="A3526" t="s">
        <v>12982</v>
      </c>
      <c r="B3526" t="s">
        <v>12983</v>
      </c>
      <c r="C3526" t="s">
        <v>14175</v>
      </c>
      <c r="D3526" t="s">
        <v>7751</v>
      </c>
      <c r="E3526" t="s">
        <v>12983</v>
      </c>
      <c r="F3526" t="s">
        <v>28</v>
      </c>
      <c r="G3526" t="s">
        <v>12983</v>
      </c>
      <c r="H3526" t="str">
        <f>"H35B03.1"</f>
        <v>H35B03.1</v>
      </c>
      <c r="I3526" t="s">
        <v>7751</v>
      </c>
      <c r="J3526">
        <v>12.5294164066057</v>
      </c>
      <c r="K3526">
        <v>12.5712014024871</v>
      </c>
      <c r="L3526">
        <v>12.4921529596801</v>
      </c>
      <c r="M3526">
        <v>14.8581656517319</v>
      </c>
      <c r="N3526">
        <v>14.96404508592</v>
      </c>
      <c r="O3526">
        <v>14.7030913255138</v>
      </c>
      <c r="P3526">
        <v>2.3108437647976099</v>
      </c>
      <c r="Q3526">
        <v>1.93334236658087</v>
      </c>
      <c r="R3526">
        <v>2.6883451630143602</v>
      </c>
      <c r="S3526">
        <v>13.2368847277023</v>
      </c>
      <c r="T3526">
        <v>13.055503493070599</v>
      </c>
      <c r="U3526">
        <v>12.268336537817399</v>
      </c>
      <c r="V3526" s="2">
        <v>1.47768401258089E-9</v>
      </c>
      <c r="W3526" s="2">
        <v>7.8812797672218799E-7</v>
      </c>
      <c r="X3526">
        <v>1</v>
      </c>
      <c r="Y3526">
        <v>1</v>
      </c>
    </row>
    <row r="3527" spans="1:25" x14ac:dyDescent="0.2">
      <c r="A3527" t="s">
        <v>12984</v>
      </c>
      <c r="B3527" t="s">
        <v>12985</v>
      </c>
      <c r="C3527" t="s">
        <v>12986</v>
      </c>
      <c r="D3527" t="s">
        <v>9775</v>
      </c>
      <c r="E3527" t="s">
        <v>12985</v>
      </c>
      <c r="F3527" t="s">
        <v>28</v>
      </c>
      <c r="G3527" t="s">
        <v>12985</v>
      </c>
      <c r="H3527" t="str">
        <f>"ucr-2.3"</f>
        <v>ucr-2.3</v>
      </c>
      <c r="I3527" t="s">
        <v>9775</v>
      </c>
      <c r="J3527">
        <v>16.0443149807449</v>
      </c>
      <c r="K3527">
        <v>16.141106689488598</v>
      </c>
      <c r="L3527">
        <v>16.173238563960901</v>
      </c>
      <c r="M3527">
        <v>15.4560580204757</v>
      </c>
      <c r="N3527">
        <v>15.997522805528</v>
      </c>
      <c r="O3527">
        <v>16.096771020748101</v>
      </c>
      <c r="P3527">
        <v>-0.26943612914751802</v>
      </c>
      <c r="Q3527">
        <v>-0.753803555587234</v>
      </c>
      <c r="R3527">
        <v>0.21493129729219701</v>
      </c>
      <c r="S3527">
        <v>16.3025337032708</v>
      </c>
      <c r="T3527">
        <v>-1.1691585620090099</v>
      </c>
      <c r="U3527">
        <v>-6.19450187598936</v>
      </c>
      <c r="V3527">
        <v>0.25767819173951001</v>
      </c>
      <c r="W3527">
        <v>0.83706879678059698</v>
      </c>
      <c r="X3527">
        <v>0</v>
      </c>
      <c r="Y3527">
        <v>0</v>
      </c>
    </row>
    <row r="3528" spans="1:25" x14ac:dyDescent="0.2">
      <c r="A3528" t="s">
        <v>12987</v>
      </c>
      <c r="B3528" t="s">
        <v>12988</v>
      </c>
      <c r="C3528" t="s">
        <v>14710</v>
      </c>
      <c r="D3528" t="s">
        <v>141</v>
      </c>
      <c r="E3528" t="s">
        <v>12988</v>
      </c>
      <c r="F3528" t="s">
        <v>28</v>
      </c>
      <c r="G3528" t="s">
        <v>12988</v>
      </c>
      <c r="H3528" t="str">
        <f>"K01A2.5"</f>
        <v>K01A2.5</v>
      </c>
      <c r="I3528" t="s">
        <v>141</v>
      </c>
      <c r="J3528">
        <v>12.6381477096462</v>
      </c>
      <c r="K3528">
        <v>12.832321311196299</v>
      </c>
      <c r="L3528">
        <v>11.6897716555386</v>
      </c>
      <c r="M3528">
        <v>13.076008878875101</v>
      </c>
      <c r="N3528">
        <v>12.2372858164322</v>
      </c>
      <c r="O3528">
        <v>13.090841750944801</v>
      </c>
      <c r="P3528">
        <v>0.414631923290328</v>
      </c>
      <c r="Q3528">
        <v>-0.52685079633393095</v>
      </c>
      <c r="R3528">
        <v>1.3561146429145901</v>
      </c>
      <c r="S3528">
        <v>12.3197543750038</v>
      </c>
      <c r="T3528">
        <v>0.93927332525501595</v>
      </c>
      <c r="U3528">
        <v>-6.4300222908232598</v>
      </c>
      <c r="V3528">
        <v>0.36257348520377503</v>
      </c>
      <c r="W3528">
        <v>0.888292466632014</v>
      </c>
      <c r="X3528">
        <v>0</v>
      </c>
      <c r="Y3528">
        <v>0</v>
      </c>
    </row>
    <row r="3529" spans="1:25" x14ac:dyDescent="0.2">
      <c r="A3529" t="s">
        <v>12989</v>
      </c>
      <c r="B3529" t="s">
        <v>12990</v>
      </c>
      <c r="C3529" t="s">
        <v>12991</v>
      </c>
      <c r="D3529" t="s">
        <v>218</v>
      </c>
      <c r="E3529" t="s">
        <v>12990</v>
      </c>
      <c r="F3529" t="s">
        <v>28</v>
      </c>
      <c r="G3529" t="s">
        <v>12990</v>
      </c>
      <c r="H3529" t="str">
        <f>"ubc-20"</f>
        <v>ubc-20</v>
      </c>
      <c r="I3529" t="s">
        <v>218</v>
      </c>
      <c r="J3529">
        <v>14.6960230039553</v>
      </c>
      <c r="K3529">
        <v>14.4687144823816</v>
      </c>
      <c r="L3529">
        <v>14.359397966056299</v>
      </c>
      <c r="M3529">
        <v>13.718606645045901</v>
      </c>
      <c r="N3529">
        <v>14.5203675177395</v>
      </c>
      <c r="O3529">
        <v>14.678091211625601</v>
      </c>
      <c r="P3529">
        <v>-0.202356692660729</v>
      </c>
      <c r="Q3529">
        <v>-0.73779679196109504</v>
      </c>
      <c r="R3529">
        <v>0.33308340663963798</v>
      </c>
      <c r="S3529">
        <v>14.1795978960872</v>
      </c>
      <c r="T3529">
        <v>-0.79773141162768502</v>
      </c>
      <c r="U3529">
        <v>-6.5551345275002699</v>
      </c>
      <c r="V3529">
        <v>0.43609574962105002</v>
      </c>
      <c r="W3529">
        <v>0.91691001805079497</v>
      </c>
      <c r="X3529">
        <v>0</v>
      </c>
      <c r="Y3529">
        <v>0</v>
      </c>
    </row>
    <row r="3530" spans="1:25" x14ac:dyDescent="0.2">
      <c r="A3530" t="s">
        <v>12992</v>
      </c>
      <c r="B3530" t="s">
        <v>12993</v>
      </c>
      <c r="C3530" t="s">
        <v>12994</v>
      </c>
      <c r="D3530" t="s">
        <v>12995</v>
      </c>
      <c r="E3530" t="s">
        <v>12993</v>
      </c>
      <c r="F3530" t="s">
        <v>28</v>
      </c>
      <c r="G3530" t="s">
        <v>12993</v>
      </c>
      <c r="H3530" t="str">
        <f>"pat-4"</f>
        <v>pat-4</v>
      </c>
      <c r="I3530" t="s">
        <v>12995</v>
      </c>
      <c r="J3530">
        <v>16.497846885905201</v>
      </c>
      <c r="K3530">
        <v>16.352024771545</v>
      </c>
      <c r="L3530">
        <v>16.243581739788901</v>
      </c>
      <c r="M3530">
        <v>16.228767848140102</v>
      </c>
      <c r="N3530">
        <v>16.0640411805566</v>
      </c>
      <c r="O3530">
        <v>16.198435137890701</v>
      </c>
      <c r="P3530">
        <v>-0.200736410217253</v>
      </c>
      <c r="Q3530">
        <v>-0.53007281693184505</v>
      </c>
      <c r="R3530">
        <v>0.128599996497338</v>
      </c>
      <c r="S3530">
        <v>16.038632851741401</v>
      </c>
      <c r="T3530">
        <v>-1.2810878838288999</v>
      </c>
      <c r="U3530">
        <v>-6.0624268438383702</v>
      </c>
      <c r="V3530">
        <v>0.21651648499145801</v>
      </c>
      <c r="W3530">
        <v>0.79508962856638699</v>
      </c>
      <c r="X3530">
        <v>0</v>
      </c>
      <c r="Y3530">
        <v>0</v>
      </c>
    </row>
    <row r="3531" spans="1:25" x14ac:dyDescent="0.2">
      <c r="A3531" t="s">
        <v>12996</v>
      </c>
      <c r="B3531" t="s">
        <v>12997</v>
      </c>
      <c r="C3531" t="s">
        <v>12998</v>
      </c>
      <c r="D3531" t="s">
        <v>3003</v>
      </c>
      <c r="E3531" t="s">
        <v>12997</v>
      </c>
      <c r="F3531" t="s">
        <v>28</v>
      </c>
      <c r="G3531" t="s">
        <v>12997</v>
      </c>
      <c r="H3531" t="str">
        <f>"haf-4"</f>
        <v>haf-4</v>
      </c>
      <c r="I3531" t="s">
        <v>3003</v>
      </c>
      <c r="J3531">
        <v>17.1140377632724</v>
      </c>
      <c r="K3531">
        <v>17.110441740130099</v>
      </c>
      <c r="L3531">
        <v>16.866737869455498</v>
      </c>
      <c r="M3531">
        <v>17.101291126452399</v>
      </c>
      <c r="N3531">
        <v>16.848102474706199</v>
      </c>
      <c r="O3531">
        <v>16.7878143915772</v>
      </c>
      <c r="P3531">
        <v>-0.11800312670742499</v>
      </c>
      <c r="Q3531">
        <v>-0.48093186372873098</v>
      </c>
      <c r="R3531">
        <v>0.24492561031388099</v>
      </c>
      <c r="S3531">
        <v>16.826587940205702</v>
      </c>
      <c r="T3531">
        <v>-0.68338378624132701</v>
      </c>
      <c r="U3531">
        <v>-6.6416379218064296</v>
      </c>
      <c r="V3531">
        <v>0.50311737266968903</v>
      </c>
      <c r="W3531">
        <v>0.94062983959761604</v>
      </c>
      <c r="X3531">
        <v>0</v>
      </c>
      <c r="Y3531">
        <v>0</v>
      </c>
    </row>
    <row r="3532" spans="1:25" x14ac:dyDescent="0.2">
      <c r="A3532" t="s">
        <v>12999</v>
      </c>
      <c r="B3532" t="s">
        <v>13000</v>
      </c>
      <c r="C3532" t="s">
        <v>14711</v>
      </c>
      <c r="D3532" t="s">
        <v>7527</v>
      </c>
      <c r="E3532" t="s">
        <v>13000</v>
      </c>
      <c r="F3532" t="s">
        <v>28</v>
      </c>
      <c r="G3532" t="s">
        <v>13000</v>
      </c>
      <c r="H3532" t="str">
        <f>"T10B11.6"</f>
        <v>T10B11.6</v>
      </c>
      <c r="I3532" t="s">
        <v>7527</v>
      </c>
      <c r="J3532">
        <v>13.1648546814304</v>
      </c>
      <c r="K3532">
        <v>13.065556645204801</v>
      </c>
      <c r="L3532">
        <v>13.177780138344801</v>
      </c>
      <c r="M3532">
        <v>13.409740001574599</v>
      </c>
      <c r="N3532">
        <v>13.2524356320876</v>
      </c>
      <c r="O3532">
        <v>13.1628461777309</v>
      </c>
      <c r="P3532">
        <v>0.138943448804385</v>
      </c>
      <c r="Q3532">
        <v>-0.35922447874962499</v>
      </c>
      <c r="R3532">
        <v>0.63711137635839499</v>
      </c>
      <c r="S3532">
        <v>13.1995292171919</v>
      </c>
      <c r="T3532">
        <v>0.58872479053522497</v>
      </c>
      <c r="U3532">
        <v>-6.7026833021607999</v>
      </c>
      <c r="V3532">
        <v>0.56383485679937795</v>
      </c>
      <c r="W3532">
        <v>0.95650569706421396</v>
      </c>
      <c r="X3532">
        <v>0</v>
      </c>
      <c r="Y3532">
        <v>0</v>
      </c>
    </row>
    <row r="3533" spans="1:25" x14ac:dyDescent="0.2">
      <c r="A3533" t="s">
        <v>13001</v>
      </c>
      <c r="B3533" t="s">
        <v>13002</v>
      </c>
      <c r="C3533" t="s">
        <v>13003</v>
      </c>
      <c r="D3533" t="s">
        <v>13004</v>
      </c>
      <c r="E3533" t="s">
        <v>13002</v>
      </c>
      <c r="F3533" t="s">
        <v>28</v>
      </c>
      <c r="G3533" t="s">
        <v>13002</v>
      </c>
      <c r="H3533" t="str">
        <f>"cerk-1"</f>
        <v>cerk-1</v>
      </c>
      <c r="I3533" t="s">
        <v>13004</v>
      </c>
      <c r="J3533">
        <v>12.4290623115083</v>
      </c>
      <c r="K3533">
        <v>12.448273930951601</v>
      </c>
      <c r="L3533">
        <v>12.2284566943085</v>
      </c>
      <c r="M3533">
        <v>12.6044590072435</v>
      </c>
      <c r="N3533">
        <v>12.1988212427598</v>
      </c>
      <c r="O3533">
        <v>12.109798302637399</v>
      </c>
      <c r="P3533">
        <v>-6.4238128042577003E-2</v>
      </c>
      <c r="Q3533">
        <v>-0.44316329255654602</v>
      </c>
      <c r="R3533">
        <v>0.31468703647139201</v>
      </c>
      <c r="S3533">
        <v>12.1729828808606</v>
      </c>
      <c r="T3533">
        <v>-0.35784045883590998</v>
      </c>
      <c r="U3533">
        <v>-6.8156298823832797</v>
      </c>
      <c r="V3533">
        <v>0.72489416911447502</v>
      </c>
      <c r="W3533">
        <v>0.99057748145465696</v>
      </c>
      <c r="X3533">
        <v>0</v>
      </c>
      <c r="Y3533">
        <v>0</v>
      </c>
    </row>
    <row r="3534" spans="1:25" x14ac:dyDescent="0.2">
      <c r="A3534" t="s">
        <v>13005</v>
      </c>
      <c r="B3534" t="s">
        <v>13006</v>
      </c>
      <c r="C3534" t="s">
        <v>13007</v>
      </c>
      <c r="D3534" t="s">
        <v>93</v>
      </c>
      <c r="E3534" t="s">
        <v>13006</v>
      </c>
      <c r="F3534" t="s">
        <v>28</v>
      </c>
      <c r="G3534" t="s">
        <v>13006</v>
      </c>
      <c r="H3534" t="str">
        <f>"ztf-4"</f>
        <v>ztf-4</v>
      </c>
      <c r="I3534" t="s">
        <v>93</v>
      </c>
      <c r="J3534">
        <v>12.1839590596198</v>
      </c>
      <c r="K3534">
        <v>12.127102002457001</v>
      </c>
      <c r="L3534">
        <v>11.4253955125453</v>
      </c>
      <c r="M3534" t="s">
        <v>29</v>
      </c>
      <c r="N3534">
        <v>12.047111993454299</v>
      </c>
      <c r="O3534">
        <v>11.720727885653901</v>
      </c>
      <c r="P3534">
        <v>-2.8232251986603198E-2</v>
      </c>
      <c r="Q3534">
        <v>-0.72300153714472504</v>
      </c>
      <c r="R3534">
        <v>0.66653703317151902</v>
      </c>
      <c r="S3534">
        <v>12.2753150729589</v>
      </c>
      <c r="T3534">
        <v>-8.6665553870142201E-2</v>
      </c>
      <c r="U3534">
        <v>-6.7682496971753903</v>
      </c>
      <c r="V3534">
        <v>0.93209167308143004</v>
      </c>
      <c r="W3534">
        <v>0.99926809132575301</v>
      </c>
      <c r="X3534">
        <v>0</v>
      </c>
      <c r="Y3534">
        <v>0</v>
      </c>
    </row>
    <row r="3535" spans="1:25" x14ac:dyDescent="0.2">
      <c r="A3535" t="s">
        <v>13008</v>
      </c>
      <c r="B3535" t="s">
        <v>13009</v>
      </c>
      <c r="C3535" t="s">
        <v>13010</v>
      </c>
      <c r="D3535" t="s">
        <v>13011</v>
      </c>
      <c r="E3535" t="s">
        <v>13009</v>
      </c>
      <c r="F3535" t="s">
        <v>28</v>
      </c>
      <c r="G3535" t="s">
        <v>13009</v>
      </c>
      <c r="H3535" t="str">
        <f>"gbas-1"</f>
        <v>gbas-1</v>
      </c>
      <c r="I3535" t="s">
        <v>13011</v>
      </c>
      <c r="J3535" t="s">
        <v>29</v>
      </c>
      <c r="K3535">
        <v>10.912454208656801</v>
      </c>
      <c r="L3535" t="s">
        <v>29</v>
      </c>
      <c r="M3535" t="s">
        <v>29</v>
      </c>
      <c r="N3535" t="s">
        <v>29</v>
      </c>
      <c r="O3535">
        <v>11.097799223633199</v>
      </c>
      <c r="P3535">
        <v>0.185345014976425</v>
      </c>
      <c r="Q3535">
        <v>-1.8570237841325099</v>
      </c>
      <c r="R3535">
        <v>2.2277138140853601</v>
      </c>
      <c r="S3535">
        <v>12.345709502490401</v>
      </c>
      <c r="T3535">
        <v>0.199974415411275</v>
      </c>
      <c r="U3535">
        <v>-6.3222588996790696</v>
      </c>
      <c r="V3535">
        <v>0.84518417317825301</v>
      </c>
      <c r="W3535">
        <v>0.99370971747667503</v>
      </c>
      <c r="X3535">
        <v>0</v>
      </c>
      <c r="Y3535">
        <v>0</v>
      </c>
    </row>
    <row r="3536" spans="1:25" x14ac:dyDescent="0.2">
      <c r="A3536" t="s">
        <v>13012</v>
      </c>
      <c r="B3536" t="s">
        <v>13013</v>
      </c>
      <c r="C3536" t="s">
        <v>13014</v>
      </c>
      <c r="D3536" t="s">
        <v>2180</v>
      </c>
      <c r="E3536" t="s">
        <v>13013</v>
      </c>
      <c r="F3536" t="s">
        <v>28</v>
      </c>
      <c r="G3536" t="s">
        <v>13013</v>
      </c>
      <c r="H3536" t="str">
        <f>"spe-15"</f>
        <v>spe-15</v>
      </c>
      <c r="I3536" t="s">
        <v>2180</v>
      </c>
      <c r="J3536">
        <v>14.035528347405901</v>
      </c>
      <c r="K3536">
        <v>13.6732806535506</v>
      </c>
      <c r="L3536">
        <v>14.2324370395049</v>
      </c>
      <c r="M3536">
        <v>14.144784409981201</v>
      </c>
      <c r="N3536">
        <v>13.620456549864199</v>
      </c>
      <c r="O3536">
        <v>14.4579456880936</v>
      </c>
      <c r="P3536">
        <v>9.3980202492534901E-2</v>
      </c>
      <c r="Q3536">
        <v>-0.505811333160749</v>
      </c>
      <c r="R3536">
        <v>0.69377173814581905</v>
      </c>
      <c r="S3536">
        <v>13.837964225963299</v>
      </c>
      <c r="T3536">
        <v>0.3341778415819</v>
      </c>
      <c r="U3536">
        <v>-6.8237399508046801</v>
      </c>
      <c r="V3536">
        <v>0.74290412021489105</v>
      </c>
      <c r="W3536">
        <v>0.99159672419203304</v>
      </c>
      <c r="X3536">
        <v>0</v>
      </c>
      <c r="Y3536">
        <v>0</v>
      </c>
    </row>
    <row r="3537" spans="1:25" x14ac:dyDescent="0.2">
      <c r="A3537" t="s">
        <v>13015</v>
      </c>
      <c r="B3537" t="s">
        <v>13016</v>
      </c>
      <c r="C3537" t="s">
        <v>13017</v>
      </c>
      <c r="D3537" t="s">
        <v>13018</v>
      </c>
      <c r="E3537" t="s">
        <v>13016</v>
      </c>
      <c r="F3537" t="s">
        <v>28</v>
      </c>
      <c r="G3537" t="s">
        <v>13016</v>
      </c>
      <c r="H3537" t="str">
        <f>"pfk-1.1"</f>
        <v>pfk-1.1</v>
      </c>
      <c r="I3537" t="s">
        <v>13018</v>
      </c>
      <c r="J3537">
        <v>15.4771973687758</v>
      </c>
      <c r="K3537">
        <v>15.341122475232901</v>
      </c>
      <c r="L3537">
        <v>15.213622838091799</v>
      </c>
      <c r="M3537">
        <v>15.338641201793401</v>
      </c>
      <c r="N3537">
        <v>15.385748215027901</v>
      </c>
      <c r="O3537">
        <v>15.1646064209566</v>
      </c>
      <c r="P3537">
        <v>-4.7648948107498902E-2</v>
      </c>
      <c r="Q3537">
        <v>-0.44061064714810899</v>
      </c>
      <c r="R3537">
        <v>0.34531275093311198</v>
      </c>
      <c r="S3537">
        <v>15.0852237584874</v>
      </c>
      <c r="T3537">
        <v>-0.25485643742486003</v>
      </c>
      <c r="U3537">
        <v>-6.8486144522472898</v>
      </c>
      <c r="V3537">
        <v>0.801739835113359</v>
      </c>
      <c r="W3537">
        <v>0.99278624068726296</v>
      </c>
      <c r="X3537">
        <v>0</v>
      </c>
      <c r="Y3537">
        <v>0</v>
      </c>
    </row>
    <row r="3538" spans="1:25" x14ac:dyDescent="0.2">
      <c r="A3538" t="s">
        <v>13019</v>
      </c>
      <c r="B3538" t="s">
        <v>13020</v>
      </c>
      <c r="C3538" t="s">
        <v>13021</v>
      </c>
      <c r="D3538" t="s">
        <v>13022</v>
      </c>
      <c r="E3538" t="s">
        <v>13020</v>
      </c>
      <c r="F3538" t="s">
        <v>28</v>
      </c>
      <c r="G3538" t="s">
        <v>13020</v>
      </c>
      <c r="H3538" t="str">
        <f>"fard-1"</f>
        <v>fard-1</v>
      </c>
      <c r="I3538" t="s">
        <v>13022</v>
      </c>
      <c r="J3538">
        <v>15.8758409545625</v>
      </c>
      <c r="K3538">
        <v>15.8648039166986</v>
      </c>
      <c r="L3538">
        <v>15.800468677319399</v>
      </c>
      <c r="M3538">
        <v>15.8380093035372</v>
      </c>
      <c r="N3538">
        <v>15.726542871411899</v>
      </c>
      <c r="O3538">
        <v>15.5878698944025</v>
      </c>
      <c r="P3538">
        <v>-0.12956382640963701</v>
      </c>
      <c r="Q3538">
        <v>-0.50271177237089704</v>
      </c>
      <c r="R3538">
        <v>0.24358411955162301</v>
      </c>
      <c r="S3538">
        <v>15.657488053481799</v>
      </c>
      <c r="T3538">
        <v>-0.72978548854576297</v>
      </c>
      <c r="U3538">
        <v>-6.6083163904214803</v>
      </c>
      <c r="V3538">
        <v>0.474966705199524</v>
      </c>
      <c r="W3538">
        <v>0.93370024246844496</v>
      </c>
      <c r="X3538">
        <v>0</v>
      </c>
      <c r="Y3538">
        <v>0</v>
      </c>
    </row>
    <row r="3539" spans="1:25" x14ac:dyDescent="0.2">
      <c r="A3539" t="s">
        <v>13023</v>
      </c>
      <c r="B3539" t="s">
        <v>13024</v>
      </c>
      <c r="C3539" t="s">
        <v>13025</v>
      </c>
      <c r="D3539" t="s">
        <v>13026</v>
      </c>
      <c r="E3539" t="s">
        <v>13024</v>
      </c>
      <c r="F3539" t="s">
        <v>28</v>
      </c>
      <c r="G3539" t="s">
        <v>13024</v>
      </c>
      <c r="H3539" t="str">
        <f>"mop-25.3"</f>
        <v>mop-25.3</v>
      </c>
      <c r="I3539" t="s">
        <v>13026</v>
      </c>
      <c r="J3539" t="s">
        <v>29</v>
      </c>
      <c r="K3539" t="s">
        <v>29</v>
      </c>
      <c r="L3539">
        <v>10.060936787008</v>
      </c>
      <c r="M3539" t="s">
        <v>29</v>
      </c>
      <c r="N3539">
        <v>10.369581058237101</v>
      </c>
      <c r="O3539" t="s">
        <v>29</v>
      </c>
      <c r="P3539">
        <v>0.30864427122908999</v>
      </c>
      <c r="Q3539">
        <v>-0.84168100673152901</v>
      </c>
      <c r="R3539">
        <v>1.4589695491897099</v>
      </c>
      <c r="S3539">
        <v>10.648356239389599</v>
      </c>
      <c r="T3539">
        <v>0.60805359741500997</v>
      </c>
      <c r="U3539">
        <v>-6.1481268848236299</v>
      </c>
      <c r="V3539">
        <v>0.55835553780559699</v>
      </c>
      <c r="W3539">
        <v>0.95635987123881905</v>
      </c>
      <c r="X3539">
        <v>0</v>
      </c>
      <c r="Y3539">
        <v>0</v>
      </c>
    </row>
    <row r="3540" spans="1:25" x14ac:dyDescent="0.2">
      <c r="A3540" t="s">
        <v>13027</v>
      </c>
      <c r="B3540" t="s">
        <v>13028</v>
      </c>
      <c r="C3540" t="s">
        <v>13029</v>
      </c>
      <c r="D3540" t="s">
        <v>13030</v>
      </c>
      <c r="E3540" t="s">
        <v>13028</v>
      </c>
      <c r="F3540" t="s">
        <v>28</v>
      </c>
      <c r="G3540" t="s">
        <v>13028</v>
      </c>
      <c r="H3540" t="str">
        <f>"lrk-1"</f>
        <v>lrk-1</v>
      </c>
      <c r="I3540" t="s">
        <v>13030</v>
      </c>
      <c r="J3540" t="s">
        <v>29</v>
      </c>
      <c r="K3540">
        <v>10.757384880088701</v>
      </c>
      <c r="L3540">
        <v>13.252925450373599</v>
      </c>
      <c r="M3540">
        <v>12.3406502274182</v>
      </c>
      <c r="N3540">
        <v>12.2322973038093</v>
      </c>
      <c r="O3540" t="s">
        <v>29</v>
      </c>
      <c r="P3540">
        <v>0.281318600382576</v>
      </c>
      <c r="Q3540">
        <v>-0.82941608766310204</v>
      </c>
      <c r="R3540">
        <v>1.3920532884282499</v>
      </c>
      <c r="S3540">
        <v>11.886795160323899</v>
      </c>
      <c r="T3540">
        <v>0.543600698144457</v>
      </c>
      <c r="U3540">
        <v>-6.5280403157941898</v>
      </c>
      <c r="V3540">
        <v>0.59533087951813601</v>
      </c>
      <c r="W3540">
        <v>0.96600088511905002</v>
      </c>
      <c r="X3540">
        <v>0</v>
      </c>
      <c r="Y3540">
        <v>0</v>
      </c>
    </row>
    <row r="3541" spans="1:25" x14ac:dyDescent="0.2">
      <c r="A3541" t="s">
        <v>13031</v>
      </c>
      <c r="B3541" t="s">
        <v>13032</v>
      </c>
      <c r="C3541" t="s">
        <v>13033</v>
      </c>
      <c r="D3541" t="s">
        <v>6042</v>
      </c>
      <c r="E3541" t="s">
        <v>13032</v>
      </c>
      <c r="F3541" t="s">
        <v>28</v>
      </c>
      <c r="G3541" t="s">
        <v>13032</v>
      </c>
      <c r="H3541" t="str">
        <f>"tag-343"</f>
        <v>tag-343</v>
      </c>
      <c r="I3541" t="s">
        <v>6042</v>
      </c>
      <c r="J3541" t="s">
        <v>29</v>
      </c>
      <c r="K3541">
        <v>12.620420862134001</v>
      </c>
      <c r="L3541">
        <v>12.2027387156882</v>
      </c>
      <c r="M3541">
        <v>11.9557581881377</v>
      </c>
      <c r="N3541">
        <v>12.615775073637</v>
      </c>
      <c r="O3541">
        <v>12.179750799755601</v>
      </c>
      <c r="P3541">
        <v>-0.161151768400947</v>
      </c>
      <c r="Q3541">
        <v>-0.78674484114454901</v>
      </c>
      <c r="R3541">
        <v>0.46444130434265501</v>
      </c>
      <c r="S3541">
        <v>12.137896808212499</v>
      </c>
      <c r="T3541">
        <v>-0.54637733352559403</v>
      </c>
      <c r="U3541">
        <v>-6.6170605012807302</v>
      </c>
      <c r="V3541">
        <v>0.59239400896596395</v>
      </c>
      <c r="W3541">
        <v>0.96358497877437199</v>
      </c>
      <c r="X3541">
        <v>0</v>
      </c>
      <c r="Y3541">
        <v>0</v>
      </c>
    </row>
    <row r="3542" spans="1:25" x14ac:dyDescent="0.2">
      <c r="A3542" t="s">
        <v>13034</v>
      </c>
      <c r="B3542" t="s">
        <v>13035</v>
      </c>
      <c r="C3542" t="s">
        <v>13036</v>
      </c>
      <c r="D3542" t="s">
        <v>13037</v>
      </c>
      <c r="E3542" t="s">
        <v>13035</v>
      </c>
      <c r="F3542" t="s">
        <v>28</v>
      </c>
      <c r="G3542" t="s">
        <v>13035</v>
      </c>
      <c r="H3542" t="str">
        <f>"pgl-1"</f>
        <v>pgl-1</v>
      </c>
      <c r="I3542" t="s">
        <v>13037</v>
      </c>
      <c r="J3542">
        <v>12.596097542499599</v>
      </c>
      <c r="K3542">
        <v>13.668194039158401</v>
      </c>
      <c r="L3542">
        <v>12.319694074389901</v>
      </c>
      <c r="M3542">
        <v>14.1062266643229</v>
      </c>
      <c r="N3542">
        <v>14.193437227470101</v>
      </c>
      <c r="O3542">
        <v>14.0220562517889</v>
      </c>
      <c r="P3542">
        <v>1.24591149584467</v>
      </c>
      <c r="Q3542">
        <v>0.397518825436179</v>
      </c>
      <c r="R3542">
        <v>2.0943041662531501</v>
      </c>
      <c r="S3542">
        <v>14.2182870855874</v>
      </c>
      <c r="T3542">
        <v>3.0866173876923702</v>
      </c>
      <c r="U3542">
        <v>-2.9017044219910302</v>
      </c>
      <c r="V3542">
        <v>6.3954400985294403E-3</v>
      </c>
      <c r="W3542">
        <v>0.13219891085655899</v>
      </c>
      <c r="X3542">
        <v>1</v>
      </c>
      <c r="Y3542">
        <v>0</v>
      </c>
    </row>
    <row r="3543" spans="1:25" x14ac:dyDescent="0.2">
      <c r="A3543" t="s">
        <v>13038</v>
      </c>
      <c r="B3543" t="s">
        <v>13039</v>
      </c>
      <c r="C3543" t="s">
        <v>13040</v>
      </c>
      <c r="D3543" t="s">
        <v>13041</v>
      </c>
      <c r="E3543" t="s">
        <v>13039</v>
      </c>
      <c r="F3543" t="s">
        <v>28</v>
      </c>
      <c r="G3543" t="s">
        <v>13039</v>
      </c>
      <c r="H3543" t="str">
        <f>"cct-7"</f>
        <v>cct-7</v>
      </c>
      <c r="I3543" t="s">
        <v>13041</v>
      </c>
      <c r="J3543">
        <v>16.004615855463101</v>
      </c>
      <c r="K3543">
        <v>15.7190936494179</v>
      </c>
      <c r="L3543">
        <v>15.988008821128799</v>
      </c>
      <c r="M3543">
        <v>16.017561953377701</v>
      </c>
      <c r="N3543">
        <v>16.333017423494201</v>
      </c>
      <c r="O3543">
        <v>16.117932383084899</v>
      </c>
      <c r="P3543">
        <v>0.252264477982308</v>
      </c>
      <c r="Q3543">
        <v>-0.123125118998411</v>
      </c>
      <c r="R3543">
        <v>0.62765407496302805</v>
      </c>
      <c r="S3543">
        <v>16.034707330343199</v>
      </c>
      <c r="T3543">
        <v>1.4124282028508399</v>
      </c>
      <c r="U3543">
        <v>-5.89480248121572</v>
      </c>
      <c r="V3543">
        <v>0.17497907427305401</v>
      </c>
      <c r="W3543">
        <v>0.77568784401157198</v>
      </c>
      <c r="X3543">
        <v>0</v>
      </c>
      <c r="Y3543">
        <v>0</v>
      </c>
    </row>
    <row r="3544" spans="1:25" x14ac:dyDescent="0.2">
      <c r="A3544" t="s">
        <v>13042</v>
      </c>
      <c r="B3544" t="s">
        <v>13043</v>
      </c>
      <c r="C3544" t="s">
        <v>14712</v>
      </c>
      <c r="D3544" t="s">
        <v>13044</v>
      </c>
      <c r="E3544" t="s">
        <v>13043</v>
      </c>
      <c r="F3544" t="s">
        <v>28</v>
      </c>
      <c r="G3544" t="s">
        <v>13043</v>
      </c>
      <c r="H3544" t="str">
        <f>"Y87G2A.13"</f>
        <v>Y87G2A.13</v>
      </c>
      <c r="I3544" t="s">
        <v>13044</v>
      </c>
      <c r="J3544">
        <v>12.827639054694099</v>
      </c>
      <c r="K3544">
        <v>12.9954515631507</v>
      </c>
      <c r="L3544">
        <v>13.7507316853136</v>
      </c>
      <c r="M3544">
        <v>13.669569821661</v>
      </c>
      <c r="N3544">
        <v>13.5883557502718</v>
      </c>
      <c r="O3544">
        <v>12.9589897125291</v>
      </c>
      <c r="P3544">
        <v>0.214364327101153</v>
      </c>
      <c r="Q3544">
        <v>-0.49466325940739703</v>
      </c>
      <c r="R3544">
        <v>0.92339191360970296</v>
      </c>
      <c r="S3544">
        <v>14.2215482071107</v>
      </c>
      <c r="T3544">
        <v>0.63817442438574601</v>
      </c>
      <c r="U3544">
        <v>-6.6715852698678999</v>
      </c>
      <c r="V3544">
        <v>0.53191574867008895</v>
      </c>
      <c r="W3544">
        <v>0.94416142892016397</v>
      </c>
      <c r="X3544">
        <v>0</v>
      </c>
      <c r="Y3544">
        <v>0</v>
      </c>
    </row>
    <row r="3545" spans="1:25" x14ac:dyDescent="0.2">
      <c r="A3545" t="s">
        <v>13045</v>
      </c>
      <c r="B3545" t="s">
        <v>13046</v>
      </c>
      <c r="C3545" t="s">
        <v>13047</v>
      </c>
      <c r="D3545" t="s">
        <v>13048</v>
      </c>
      <c r="E3545" t="s">
        <v>13046</v>
      </c>
      <c r="F3545" t="s">
        <v>28</v>
      </c>
      <c r="G3545" t="s">
        <v>13046</v>
      </c>
      <c r="H3545" t="str">
        <f>"ubc-14"</f>
        <v>ubc-14</v>
      </c>
      <c r="I3545" t="s">
        <v>13048</v>
      </c>
      <c r="J3545">
        <v>11.5034380931719</v>
      </c>
      <c r="K3545">
        <v>11.6112148430713</v>
      </c>
      <c r="L3545">
        <v>11.9443007727391</v>
      </c>
      <c r="M3545">
        <v>12.292185366262901</v>
      </c>
      <c r="N3545">
        <v>12.134923996096999</v>
      </c>
      <c r="O3545" t="s">
        <v>29</v>
      </c>
      <c r="P3545">
        <v>0.52723677818583603</v>
      </c>
      <c r="Q3545">
        <v>-0.32375812636840301</v>
      </c>
      <c r="R3545">
        <v>1.37823168274007</v>
      </c>
      <c r="S3545">
        <v>12.037756964426601</v>
      </c>
      <c r="T3545">
        <v>1.33957175628</v>
      </c>
      <c r="U3545">
        <v>-5.8794298330990697</v>
      </c>
      <c r="V3545">
        <v>0.20351614427914799</v>
      </c>
      <c r="W3545">
        <v>0.79075284576134597</v>
      </c>
      <c r="X3545">
        <v>0</v>
      </c>
      <c r="Y3545">
        <v>0</v>
      </c>
    </row>
    <row r="3546" spans="1:25" x14ac:dyDescent="0.2">
      <c r="A3546" t="s">
        <v>13049</v>
      </c>
      <c r="B3546" t="s">
        <v>13050</v>
      </c>
      <c r="C3546" t="s">
        <v>13051</v>
      </c>
      <c r="D3546" t="s">
        <v>13052</v>
      </c>
      <c r="E3546" t="s">
        <v>13050</v>
      </c>
      <c r="F3546" t="s">
        <v>28</v>
      </c>
      <c r="G3546" t="s">
        <v>13050</v>
      </c>
      <c r="H3546" t="str">
        <f>"cyn-15"</f>
        <v>cyn-15</v>
      </c>
      <c r="I3546" t="s">
        <v>13052</v>
      </c>
      <c r="J3546">
        <v>11.9818046738067</v>
      </c>
      <c r="K3546">
        <v>12.3810337486596</v>
      </c>
      <c r="L3546">
        <v>11.7580279320314</v>
      </c>
      <c r="M3546">
        <v>11.2911793505739</v>
      </c>
      <c r="N3546">
        <v>12.1425578837302</v>
      </c>
      <c r="O3546">
        <v>12.1367006801276</v>
      </c>
      <c r="P3546">
        <v>-0.18347614668868101</v>
      </c>
      <c r="Q3546">
        <v>-0.82749043218460006</v>
      </c>
      <c r="R3546">
        <v>0.46053813880723699</v>
      </c>
      <c r="S3546">
        <v>12.5591787937033</v>
      </c>
      <c r="T3546">
        <v>-0.60427362591877898</v>
      </c>
      <c r="U3546">
        <v>-6.6926258629725304</v>
      </c>
      <c r="V3546">
        <v>0.55418964926765302</v>
      </c>
      <c r="W3546">
        <v>0.95555711976758795</v>
      </c>
      <c r="X3546">
        <v>0</v>
      </c>
      <c r="Y3546">
        <v>0</v>
      </c>
    </row>
    <row r="3547" spans="1:25" x14ac:dyDescent="0.2">
      <c r="A3547" t="s">
        <v>13053</v>
      </c>
      <c r="B3547" t="s">
        <v>13054</v>
      </c>
      <c r="C3547" t="s">
        <v>13055</v>
      </c>
      <c r="D3547" t="s">
        <v>13056</v>
      </c>
      <c r="E3547" t="s">
        <v>13054</v>
      </c>
      <c r="F3547" t="s">
        <v>28</v>
      </c>
      <c r="G3547" t="s">
        <v>13054</v>
      </c>
      <c r="H3547" t="str">
        <f>"glp-4"</f>
        <v>glp-4</v>
      </c>
      <c r="I3547" t="s">
        <v>13056</v>
      </c>
      <c r="J3547">
        <v>16.859729161869499</v>
      </c>
      <c r="K3547">
        <v>16.546230517861598</v>
      </c>
      <c r="L3547">
        <v>16.7748933702219</v>
      </c>
      <c r="M3547">
        <v>16.865475358089199</v>
      </c>
      <c r="N3547">
        <v>16.835226658439201</v>
      </c>
      <c r="O3547">
        <v>16.866183092568999</v>
      </c>
      <c r="P3547">
        <v>0.12867735304810801</v>
      </c>
      <c r="Q3547">
        <v>-0.200423115785309</v>
      </c>
      <c r="R3547">
        <v>0.45777782188152399</v>
      </c>
      <c r="S3547">
        <v>16.516315612238198</v>
      </c>
      <c r="T3547">
        <v>0.821799988502804</v>
      </c>
      <c r="U3547">
        <v>-6.5361804001228103</v>
      </c>
      <c r="V3547">
        <v>0.42200551895608601</v>
      </c>
      <c r="W3547">
        <v>0.91512503332874395</v>
      </c>
      <c r="X3547">
        <v>0</v>
      </c>
      <c r="Y3547">
        <v>0</v>
      </c>
    </row>
    <row r="3548" spans="1:25" x14ac:dyDescent="0.2">
      <c r="A3548" t="s">
        <v>13057</v>
      </c>
      <c r="B3548" t="s">
        <v>13058</v>
      </c>
      <c r="C3548" t="s">
        <v>14713</v>
      </c>
      <c r="D3548" t="s">
        <v>11478</v>
      </c>
      <c r="E3548" t="s">
        <v>13058</v>
      </c>
      <c r="F3548" t="s">
        <v>28</v>
      </c>
      <c r="G3548" t="s">
        <v>13058</v>
      </c>
      <c r="H3548" t="str">
        <f>"Y87G2A.2"</f>
        <v>Y87G2A.2</v>
      </c>
      <c r="I3548" t="s">
        <v>11478</v>
      </c>
      <c r="J3548">
        <v>12.577658567560301</v>
      </c>
      <c r="K3548">
        <v>12.092715059240099</v>
      </c>
      <c r="L3548">
        <v>11.7880924675272</v>
      </c>
      <c r="M3548">
        <v>10.9572856563294</v>
      </c>
      <c r="N3548">
        <v>12.0915076438468</v>
      </c>
      <c r="O3548" t="s">
        <v>29</v>
      </c>
      <c r="P3548">
        <v>-0.62842538135443404</v>
      </c>
      <c r="Q3548">
        <v>-1.8430951065458701</v>
      </c>
      <c r="R3548">
        <v>0.58624434383699997</v>
      </c>
      <c r="S3548">
        <v>11.3937215495242</v>
      </c>
      <c r="T3548">
        <v>-1.15441616822703</v>
      </c>
      <c r="U3548">
        <v>-6.0933227379088999</v>
      </c>
      <c r="V3548">
        <v>0.27544807010195899</v>
      </c>
      <c r="W3548">
        <v>0.856190392347986</v>
      </c>
      <c r="X3548">
        <v>0</v>
      </c>
      <c r="Y3548">
        <v>0</v>
      </c>
    </row>
    <row r="3549" spans="1:25" x14ac:dyDescent="0.2">
      <c r="A3549" t="s">
        <v>13059</v>
      </c>
      <c r="B3549" t="s">
        <v>13060</v>
      </c>
      <c r="C3549" t="s">
        <v>14714</v>
      </c>
      <c r="D3549" t="s">
        <v>368</v>
      </c>
      <c r="E3549" t="s">
        <v>13060</v>
      </c>
      <c r="F3549" t="s">
        <v>28</v>
      </c>
      <c r="G3549" t="s">
        <v>13060</v>
      </c>
      <c r="H3549" t="str">
        <f>"Y87G2A.1"</f>
        <v>Y87G2A.1</v>
      </c>
      <c r="I3549" t="s">
        <v>368</v>
      </c>
      <c r="J3549">
        <v>11.7497622991821</v>
      </c>
      <c r="K3549">
        <v>11.302444972603</v>
      </c>
      <c r="L3549">
        <v>11.760422686314399</v>
      </c>
      <c r="M3549">
        <v>11.9623882566025</v>
      </c>
      <c r="N3549">
        <v>11.9709213497531</v>
      </c>
      <c r="O3549">
        <v>11.5826294614365</v>
      </c>
      <c r="P3549">
        <v>0.23443636989753</v>
      </c>
      <c r="Q3549">
        <v>-0.541570622813213</v>
      </c>
      <c r="R3549">
        <v>1.0104433626082701</v>
      </c>
      <c r="S3549">
        <v>12.1634508829196</v>
      </c>
      <c r="T3549">
        <v>0.64077990397892204</v>
      </c>
      <c r="U3549">
        <v>-6.6692943251778098</v>
      </c>
      <c r="V3549">
        <v>0.53079625447119305</v>
      </c>
      <c r="W3549">
        <v>0.94347340668743696</v>
      </c>
      <c r="X3549">
        <v>0</v>
      </c>
      <c r="Y3549">
        <v>0</v>
      </c>
    </row>
    <row r="3550" spans="1:25" x14ac:dyDescent="0.2">
      <c r="A3550" t="s">
        <v>13061</v>
      </c>
      <c r="B3550" t="s">
        <v>13062</v>
      </c>
      <c r="C3550" t="s">
        <v>13063</v>
      </c>
      <c r="D3550" t="s">
        <v>13064</v>
      </c>
      <c r="E3550" t="s">
        <v>13062</v>
      </c>
      <c r="F3550" t="s">
        <v>28</v>
      </c>
      <c r="G3550" t="s">
        <v>13062</v>
      </c>
      <c r="H3550" t="str">
        <f>"emb-4"</f>
        <v>emb-4</v>
      </c>
      <c r="I3550" t="s">
        <v>13064</v>
      </c>
      <c r="J3550">
        <v>14.8535333753576</v>
      </c>
      <c r="K3550">
        <v>14.7840034876905</v>
      </c>
      <c r="L3550">
        <v>14.4782199470064</v>
      </c>
      <c r="M3550">
        <v>14.487994951017001</v>
      </c>
      <c r="N3550">
        <v>14.5875128051693</v>
      </c>
      <c r="O3550">
        <v>14.4672940345475</v>
      </c>
      <c r="P3550">
        <v>-0.19098500644028399</v>
      </c>
      <c r="Q3550">
        <v>-0.63036662905493301</v>
      </c>
      <c r="R3550">
        <v>0.24839661617436501</v>
      </c>
      <c r="S3550">
        <v>14.5887842939926</v>
      </c>
      <c r="T3550">
        <v>-0.91358697340523398</v>
      </c>
      <c r="U3550">
        <v>-6.4563572308938202</v>
      </c>
      <c r="V3550">
        <v>0.37307935631568601</v>
      </c>
      <c r="W3550">
        <v>0.89517526879495601</v>
      </c>
      <c r="X3550">
        <v>0</v>
      </c>
      <c r="Y3550">
        <v>0</v>
      </c>
    </row>
    <row r="3551" spans="1:25" x14ac:dyDescent="0.2">
      <c r="A3551" t="s">
        <v>13065</v>
      </c>
      <c r="B3551" t="s">
        <v>13066</v>
      </c>
      <c r="C3551" t="s">
        <v>13067</v>
      </c>
      <c r="D3551" t="s">
        <v>13068</v>
      </c>
      <c r="E3551" t="s">
        <v>13066</v>
      </c>
      <c r="F3551" t="s">
        <v>28</v>
      </c>
      <c r="G3551" t="s">
        <v>13066</v>
      </c>
      <c r="H3551" t="str">
        <f>"cyp-42a1"</f>
        <v>cyp-42a1</v>
      </c>
      <c r="I3551" t="s">
        <v>13068</v>
      </c>
      <c r="J3551" t="s">
        <v>29</v>
      </c>
      <c r="K3551" t="s">
        <v>29</v>
      </c>
      <c r="L3551" t="s">
        <v>29</v>
      </c>
      <c r="M3551">
        <v>9.81772532466786</v>
      </c>
      <c r="N3551" t="s">
        <v>29</v>
      </c>
      <c r="O3551">
        <v>9.0839291286619304</v>
      </c>
      <c r="P3551" t="s">
        <v>29</v>
      </c>
      <c r="Q3551" t="s">
        <v>29</v>
      </c>
      <c r="R3551" t="s">
        <v>29</v>
      </c>
      <c r="S3551">
        <v>10.2150788698501</v>
      </c>
      <c r="T3551" t="s">
        <v>29</v>
      </c>
      <c r="U3551" t="s">
        <v>29</v>
      </c>
      <c r="V3551" t="s">
        <v>29</v>
      </c>
      <c r="W3551" t="s">
        <v>29</v>
      </c>
      <c r="X3551" t="s">
        <v>29</v>
      </c>
      <c r="Y3551" t="s">
        <v>29</v>
      </c>
    </row>
    <row r="3552" spans="1:25" x14ac:dyDescent="0.2">
      <c r="A3552" t="s">
        <v>13069</v>
      </c>
      <c r="B3552" t="s">
        <v>13070</v>
      </c>
      <c r="C3552" t="s">
        <v>14715</v>
      </c>
      <c r="D3552" t="s">
        <v>130</v>
      </c>
      <c r="E3552" t="s">
        <v>13070</v>
      </c>
      <c r="F3552" t="s">
        <v>28</v>
      </c>
      <c r="G3552" t="s">
        <v>13070</v>
      </c>
      <c r="H3552" t="str">
        <f>"Y79H2A.3"</f>
        <v>Y79H2A.3</v>
      </c>
      <c r="I3552" t="s">
        <v>130</v>
      </c>
      <c r="J3552">
        <v>13.080170133727799</v>
      </c>
      <c r="K3552">
        <v>12.6974651380136</v>
      </c>
      <c r="L3552" t="s">
        <v>29</v>
      </c>
      <c r="M3552">
        <v>12.6919099833821</v>
      </c>
      <c r="N3552">
        <v>12.712457873080901</v>
      </c>
      <c r="O3552">
        <v>13.5574131813369</v>
      </c>
      <c r="P3552">
        <v>9.84427100626242E-2</v>
      </c>
      <c r="Q3552">
        <v>-0.48435285390159799</v>
      </c>
      <c r="R3552">
        <v>0.681238274026847</v>
      </c>
      <c r="S3552">
        <v>13.1520717967271</v>
      </c>
      <c r="T3552">
        <v>0.360254097764859</v>
      </c>
      <c r="U3552">
        <v>-6.7041466259122702</v>
      </c>
      <c r="V3552">
        <v>0.72371450761094702</v>
      </c>
      <c r="W3552">
        <v>0.99057748145465696</v>
      </c>
      <c r="X3552">
        <v>0</v>
      </c>
      <c r="Y3552">
        <v>0</v>
      </c>
    </row>
    <row r="3553" spans="1:25" x14ac:dyDescent="0.2">
      <c r="A3553" t="s">
        <v>13071</v>
      </c>
      <c r="B3553" t="s">
        <v>13072</v>
      </c>
      <c r="C3553" t="s">
        <v>13073</v>
      </c>
      <c r="D3553" t="s">
        <v>13074</v>
      </c>
      <c r="E3553" t="s">
        <v>13072</v>
      </c>
      <c r="F3553" t="s">
        <v>28</v>
      </c>
      <c r="G3553" t="s">
        <v>13072</v>
      </c>
      <c r="H3553" t="str">
        <f>"brp-1"</f>
        <v>brp-1</v>
      </c>
      <c r="I3553" t="s">
        <v>13074</v>
      </c>
      <c r="J3553">
        <v>11.8769797445753</v>
      </c>
      <c r="K3553">
        <v>10.0263839319379</v>
      </c>
      <c r="L3553">
        <v>10.0524235175419</v>
      </c>
      <c r="M3553" t="s">
        <v>29</v>
      </c>
      <c r="N3553">
        <v>10.689244725131401</v>
      </c>
      <c r="O3553">
        <v>9.3401032751115096</v>
      </c>
      <c r="P3553">
        <v>-0.63725506456357595</v>
      </c>
      <c r="Q3553">
        <v>-1.9412898638699301</v>
      </c>
      <c r="R3553">
        <v>0.66677973474277596</v>
      </c>
      <c r="S3553">
        <v>11.1251388827438</v>
      </c>
      <c r="T3553">
        <v>-1.0365103532529001</v>
      </c>
      <c r="U3553">
        <v>-6.2270367349715601</v>
      </c>
      <c r="V3553">
        <v>0.31547641071353799</v>
      </c>
      <c r="W3553">
        <v>0.865163117388565</v>
      </c>
      <c r="X3553">
        <v>0</v>
      </c>
      <c r="Y3553">
        <v>0</v>
      </c>
    </row>
    <row r="3554" spans="1:25" x14ac:dyDescent="0.2">
      <c r="A3554" t="s">
        <v>13075</v>
      </c>
      <c r="B3554" t="s">
        <v>13076</v>
      </c>
      <c r="C3554" t="s">
        <v>13077</v>
      </c>
      <c r="D3554" t="s">
        <v>13078</v>
      </c>
      <c r="E3554" t="s">
        <v>13076</v>
      </c>
      <c r="F3554" t="s">
        <v>28</v>
      </c>
      <c r="G3554" t="s">
        <v>13076</v>
      </c>
      <c r="H3554" t="str">
        <f>"gphr-1"</f>
        <v>gphr-1</v>
      </c>
      <c r="I3554" t="s">
        <v>13078</v>
      </c>
      <c r="J3554">
        <v>10.587332355293499</v>
      </c>
      <c r="K3554">
        <v>10.184750237527799</v>
      </c>
      <c r="L3554">
        <v>11.1793275590019</v>
      </c>
      <c r="M3554">
        <v>9.2264632457827602</v>
      </c>
      <c r="N3554">
        <v>11.1688138913395</v>
      </c>
      <c r="O3554">
        <v>10.7192366765216</v>
      </c>
      <c r="P3554">
        <v>-0.27896544605975598</v>
      </c>
      <c r="Q3554">
        <v>-1.16447557768194</v>
      </c>
      <c r="R3554">
        <v>0.60654468556243202</v>
      </c>
      <c r="S3554">
        <v>11.3864701406105</v>
      </c>
      <c r="T3554">
        <v>-0.67615890355988995</v>
      </c>
      <c r="U3554">
        <v>-6.6439134453807496</v>
      </c>
      <c r="V3554">
        <v>0.510038357870787</v>
      </c>
      <c r="W3554">
        <v>0.94063089722665905</v>
      </c>
      <c r="X3554">
        <v>0</v>
      </c>
      <c r="Y3554">
        <v>0</v>
      </c>
    </row>
    <row r="3555" spans="1:25" x14ac:dyDescent="0.2">
      <c r="A3555" t="s">
        <v>13079</v>
      </c>
      <c r="B3555" t="s">
        <v>13080</v>
      </c>
      <c r="C3555" t="s">
        <v>14716</v>
      </c>
      <c r="D3555" t="s">
        <v>13081</v>
      </c>
      <c r="E3555" t="s">
        <v>13080</v>
      </c>
      <c r="F3555" t="s">
        <v>28</v>
      </c>
      <c r="G3555" t="s">
        <v>13080</v>
      </c>
      <c r="H3555" t="str">
        <f>"Y6D1A.1"</f>
        <v>Y6D1A.1</v>
      </c>
      <c r="I3555" t="s">
        <v>13081</v>
      </c>
      <c r="J3555">
        <v>11.967925645450199</v>
      </c>
      <c r="K3555">
        <v>11.951747493970799</v>
      </c>
      <c r="L3555">
        <v>12.5871236555565</v>
      </c>
      <c r="M3555">
        <v>12.4878119993931</v>
      </c>
      <c r="N3555">
        <v>12.4978947561497</v>
      </c>
      <c r="O3555">
        <v>11.7190762665404</v>
      </c>
      <c r="P3555">
        <v>6.5995409035233293E-2</v>
      </c>
      <c r="Q3555">
        <v>-0.50691048123526405</v>
      </c>
      <c r="R3555">
        <v>0.63890129930573103</v>
      </c>
      <c r="S3555">
        <v>12.735961021547199</v>
      </c>
      <c r="T3555">
        <v>0.243153458227684</v>
      </c>
      <c r="U3555">
        <v>-6.8515554858889303</v>
      </c>
      <c r="V3555">
        <v>0.81081414157100795</v>
      </c>
      <c r="W3555">
        <v>0.99278624068726296</v>
      </c>
      <c r="X3555">
        <v>0</v>
      </c>
      <c r="Y3555">
        <v>0</v>
      </c>
    </row>
    <row r="3556" spans="1:25" x14ac:dyDescent="0.2">
      <c r="A3556" t="s">
        <v>13082</v>
      </c>
      <c r="B3556" t="s">
        <v>13083</v>
      </c>
      <c r="C3556" t="s">
        <v>14717</v>
      </c>
      <c r="D3556" t="s">
        <v>130</v>
      </c>
      <c r="E3556" t="s">
        <v>13083</v>
      </c>
      <c r="F3556" t="s">
        <v>28</v>
      </c>
      <c r="G3556" t="s">
        <v>13083</v>
      </c>
      <c r="H3556" t="str">
        <f>"Y6B3B.9"</f>
        <v>Y6B3B.9</v>
      </c>
      <c r="I3556" t="s">
        <v>130</v>
      </c>
      <c r="J3556" t="s">
        <v>29</v>
      </c>
      <c r="K3556" t="s">
        <v>29</v>
      </c>
      <c r="L3556">
        <v>9.8075942913161605</v>
      </c>
      <c r="M3556" t="s">
        <v>29</v>
      </c>
      <c r="N3556">
        <v>11.5142513198178</v>
      </c>
      <c r="O3556" t="s">
        <v>29</v>
      </c>
      <c r="P3556">
        <v>1.70665702850168</v>
      </c>
      <c r="Q3556">
        <v>0.46588180613125102</v>
      </c>
      <c r="R3556">
        <v>2.9474322508721</v>
      </c>
      <c r="S3556">
        <v>11.5371500321575</v>
      </c>
      <c r="T3556">
        <v>3.0691635500715702</v>
      </c>
      <c r="U3556">
        <v>-2.8547952115109201</v>
      </c>
      <c r="V3556">
        <v>1.1998987596183701E-2</v>
      </c>
      <c r="W3556">
        <v>0.199663153600497</v>
      </c>
      <c r="X3556">
        <v>1</v>
      </c>
      <c r="Y3556">
        <v>0</v>
      </c>
    </row>
    <row r="3557" spans="1:25" x14ac:dyDescent="0.2">
      <c r="A3557" t="s">
        <v>13084</v>
      </c>
      <c r="B3557" t="s">
        <v>13085</v>
      </c>
      <c r="C3557" t="s">
        <v>13086</v>
      </c>
      <c r="D3557" t="s">
        <v>308</v>
      </c>
      <c r="E3557" t="s">
        <v>13085</v>
      </c>
      <c r="F3557" t="s">
        <v>28</v>
      </c>
      <c r="G3557" t="s">
        <v>13085</v>
      </c>
      <c r="H3557" t="str">
        <f>"dnj-29"</f>
        <v>dnj-29</v>
      </c>
      <c r="I3557" t="s">
        <v>308</v>
      </c>
      <c r="J3557">
        <v>15.2849782708899</v>
      </c>
      <c r="K3557">
        <v>15.230844656639</v>
      </c>
      <c r="L3557">
        <v>14.8992304408132</v>
      </c>
      <c r="M3557">
        <v>15.274121247688599</v>
      </c>
      <c r="N3557">
        <v>14.967093659563201</v>
      </c>
      <c r="O3557">
        <v>15.0390001143286</v>
      </c>
      <c r="P3557">
        <v>-4.4946115587212197E-2</v>
      </c>
      <c r="Q3557">
        <v>-0.49533571477389299</v>
      </c>
      <c r="R3557">
        <v>0.40544348359946902</v>
      </c>
      <c r="S3557">
        <v>14.875618538686799</v>
      </c>
      <c r="T3557">
        <v>-0.209747273737766</v>
      </c>
      <c r="U3557">
        <v>-6.8595313343846298</v>
      </c>
      <c r="V3557">
        <v>0.83623435021343095</v>
      </c>
      <c r="W3557">
        <v>0.99370971747667503</v>
      </c>
      <c r="X3557">
        <v>0</v>
      </c>
      <c r="Y3557">
        <v>0</v>
      </c>
    </row>
    <row r="3558" spans="1:25" x14ac:dyDescent="0.2">
      <c r="A3558" t="s">
        <v>13087</v>
      </c>
      <c r="B3558" t="s">
        <v>13088</v>
      </c>
      <c r="C3558" t="s">
        <v>13089</v>
      </c>
      <c r="D3558" t="s">
        <v>13090</v>
      </c>
      <c r="E3558" t="s">
        <v>13088</v>
      </c>
      <c r="F3558" t="s">
        <v>28</v>
      </c>
      <c r="G3558" t="s">
        <v>13088</v>
      </c>
      <c r="H3558" t="str">
        <f>"emc-3"</f>
        <v>emc-3</v>
      </c>
      <c r="I3558" t="s">
        <v>13090</v>
      </c>
      <c r="J3558">
        <v>14.1504966307992</v>
      </c>
      <c r="K3558">
        <v>14.0609170462617</v>
      </c>
      <c r="L3558">
        <v>14.0020866226993</v>
      </c>
      <c r="M3558">
        <v>13.9615685218984</v>
      </c>
      <c r="N3558">
        <v>13.734374727072201</v>
      </c>
      <c r="O3558">
        <v>13.843741103586099</v>
      </c>
      <c r="P3558">
        <v>-0.224605315734491</v>
      </c>
      <c r="Q3558">
        <v>-0.51574813519209295</v>
      </c>
      <c r="R3558">
        <v>6.6537503723109806E-2</v>
      </c>
      <c r="S3558">
        <v>13.9869679358432</v>
      </c>
      <c r="T3558">
        <v>-1.62146082410073</v>
      </c>
      <c r="U3558">
        <v>-5.60172287556603</v>
      </c>
      <c r="V3558">
        <v>0.122404982573608</v>
      </c>
      <c r="W3558">
        <v>0.70940958826195</v>
      </c>
      <c r="X3558">
        <v>0</v>
      </c>
      <c r="Y3558">
        <v>0</v>
      </c>
    </row>
    <row r="3559" spans="1:25" x14ac:dyDescent="0.2">
      <c r="A3559" t="s">
        <v>13091</v>
      </c>
      <c r="B3559" t="s">
        <v>13092</v>
      </c>
      <c r="C3559" t="s">
        <v>13093</v>
      </c>
      <c r="D3559" t="s">
        <v>13094</v>
      </c>
      <c r="E3559" t="s">
        <v>13092</v>
      </c>
      <c r="F3559" t="s">
        <v>28</v>
      </c>
      <c r="G3559" t="s">
        <v>13092</v>
      </c>
      <c r="H3559" t="str">
        <f>"agt-1"</f>
        <v>agt-1</v>
      </c>
      <c r="I3559" t="s">
        <v>13094</v>
      </c>
      <c r="J3559" t="s">
        <v>29</v>
      </c>
      <c r="K3559" t="s">
        <v>29</v>
      </c>
      <c r="L3559" t="s">
        <v>29</v>
      </c>
      <c r="M3559" t="s">
        <v>29</v>
      </c>
      <c r="N3559" t="s">
        <v>29</v>
      </c>
      <c r="O3559" t="s">
        <v>29</v>
      </c>
      <c r="P3559" t="s">
        <v>29</v>
      </c>
      <c r="Q3559" t="s">
        <v>29</v>
      </c>
      <c r="R3559" t="s">
        <v>29</v>
      </c>
      <c r="S3559">
        <v>13.4907157972316</v>
      </c>
      <c r="T3559" t="s">
        <v>29</v>
      </c>
      <c r="U3559" t="s">
        <v>29</v>
      </c>
      <c r="V3559" t="s">
        <v>29</v>
      </c>
      <c r="W3559" t="s">
        <v>29</v>
      </c>
      <c r="X3559" t="s">
        <v>29</v>
      </c>
      <c r="Y3559" t="s">
        <v>29</v>
      </c>
    </row>
    <row r="3560" spans="1:25" x14ac:dyDescent="0.2">
      <c r="A3560" t="s">
        <v>13095</v>
      </c>
      <c r="B3560" t="s">
        <v>13096</v>
      </c>
      <c r="C3560" t="s">
        <v>13097</v>
      </c>
      <c r="D3560" t="s">
        <v>13098</v>
      </c>
      <c r="E3560" t="s">
        <v>13096</v>
      </c>
      <c r="F3560" t="s">
        <v>28</v>
      </c>
      <c r="G3560" t="s">
        <v>13096</v>
      </c>
      <c r="H3560" t="str">
        <f>"chk-2"</f>
        <v>chk-2</v>
      </c>
      <c r="I3560" t="s">
        <v>13098</v>
      </c>
      <c r="J3560">
        <v>11.802208005517301</v>
      </c>
      <c r="K3560" t="s">
        <v>29</v>
      </c>
      <c r="L3560">
        <v>11.090092729661601</v>
      </c>
      <c r="M3560">
        <v>11.1575045937869</v>
      </c>
      <c r="N3560">
        <v>11.5644807324535</v>
      </c>
      <c r="O3560">
        <v>11.812915017872699</v>
      </c>
      <c r="P3560">
        <v>6.5483080448249395E-2</v>
      </c>
      <c r="Q3560">
        <v>-0.86471906680791599</v>
      </c>
      <c r="R3560">
        <v>0.99568522770441503</v>
      </c>
      <c r="S3560">
        <v>11.1007868636948</v>
      </c>
      <c r="T3560">
        <v>0.15220853573084001</v>
      </c>
      <c r="U3560">
        <v>-6.7598943688634101</v>
      </c>
      <c r="V3560">
        <v>0.88137815254751495</v>
      </c>
      <c r="W3560">
        <v>0.99702926582654094</v>
      </c>
      <c r="X3560">
        <v>0</v>
      </c>
      <c r="Y3560">
        <v>0</v>
      </c>
    </row>
    <row r="3561" spans="1:25" x14ac:dyDescent="0.2">
      <c r="A3561" t="s">
        <v>13099</v>
      </c>
      <c r="B3561" t="s">
        <v>13100</v>
      </c>
      <c r="C3561" t="s">
        <v>13101</v>
      </c>
      <c r="D3561" t="s">
        <v>13102</v>
      </c>
      <c r="E3561" t="s">
        <v>13100</v>
      </c>
      <c r="F3561" t="s">
        <v>28</v>
      </c>
      <c r="G3561" t="s">
        <v>13100</v>
      </c>
      <c r="H3561" t="str">
        <f>"dhs-24"</f>
        <v>dhs-24</v>
      </c>
      <c r="I3561" t="s">
        <v>13102</v>
      </c>
      <c r="J3561">
        <v>14.878922164163701</v>
      </c>
      <c r="K3561">
        <v>14.934816495497399</v>
      </c>
      <c r="L3561">
        <v>15.0115535113055</v>
      </c>
      <c r="M3561">
        <v>14.799712677038301</v>
      </c>
      <c r="N3561">
        <v>15.0820226458251</v>
      </c>
      <c r="O3561">
        <v>14.859556092536801</v>
      </c>
      <c r="P3561">
        <v>-2.8000251855459599E-2</v>
      </c>
      <c r="Q3561">
        <v>-0.450793953150677</v>
      </c>
      <c r="R3561">
        <v>0.39479344943975803</v>
      </c>
      <c r="S3561">
        <v>15.1683526656072</v>
      </c>
      <c r="T3561">
        <v>-0.13919573938427601</v>
      </c>
      <c r="U3561">
        <v>-6.8723714690620898</v>
      </c>
      <c r="V3561">
        <v>0.89085003605600499</v>
      </c>
      <c r="W3561">
        <v>0.99702926582654094</v>
      </c>
      <c r="X3561">
        <v>0</v>
      </c>
      <c r="Y3561">
        <v>0</v>
      </c>
    </row>
    <row r="3562" spans="1:25" x14ac:dyDescent="0.2">
      <c r="A3562" t="s">
        <v>13103</v>
      </c>
      <c r="B3562" t="s">
        <v>13104</v>
      </c>
      <c r="C3562" t="s">
        <v>13105</v>
      </c>
      <c r="D3562" t="s">
        <v>13106</v>
      </c>
      <c r="E3562" t="s">
        <v>13104</v>
      </c>
      <c r="F3562" t="s">
        <v>28</v>
      </c>
      <c r="G3562" t="s">
        <v>13104</v>
      </c>
      <c r="H3562" t="str">
        <f>"algn-7"</f>
        <v>algn-7</v>
      </c>
      <c r="I3562" t="s">
        <v>13106</v>
      </c>
      <c r="J3562">
        <v>13.137023194936701</v>
      </c>
      <c r="K3562">
        <v>13.551994026865099</v>
      </c>
      <c r="L3562">
        <v>13.5439795826136</v>
      </c>
      <c r="M3562">
        <v>13.299958296053999</v>
      </c>
      <c r="N3562">
        <v>13.320957666379501</v>
      </c>
      <c r="O3562">
        <v>12.7406531612239</v>
      </c>
      <c r="P3562">
        <v>-0.29047589358599901</v>
      </c>
      <c r="Q3562">
        <v>-0.83222478140659695</v>
      </c>
      <c r="R3562">
        <v>0.25127299423459898</v>
      </c>
      <c r="S3562">
        <v>13.313779756015901</v>
      </c>
      <c r="T3562">
        <v>-1.1372648012723801</v>
      </c>
      <c r="U3562">
        <v>-6.2287377560295596</v>
      </c>
      <c r="V3562">
        <v>0.272281704957333</v>
      </c>
      <c r="W3562">
        <v>0.856190392347986</v>
      </c>
      <c r="X3562">
        <v>0</v>
      </c>
      <c r="Y3562">
        <v>0</v>
      </c>
    </row>
    <row r="3563" spans="1:25" x14ac:dyDescent="0.2">
      <c r="A3563" t="s">
        <v>13107</v>
      </c>
      <c r="B3563" t="s">
        <v>13108</v>
      </c>
      <c r="C3563" t="s">
        <v>13109</v>
      </c>
      <c r="D3563" t="s">
        <v>13110</v>
      </c>
      <c r="E3563" t="s">
        <v>13108</v>
      </c>
      <c r="F3563" t="s">
        <v>28</v>
      </c>
      <c r="G3563" t="s">
        <v>13108</v>
      </c>
      <c r="H3563" t="str">
        <f>"abhd-3.1"</f>
        <v>abhd-3.1</v>
      </c>
      <c r="I3563" t="s">
        <v>13110</v>
      </c>
      <c r="J3563">
        <v>12.4930852597225</v>
      </c>
      <c r="K3563">
        <v>12.014734351571301</v>
      </c>
      <c r="L3563">
        <v>12.5469535410663</v>
      </c>
      <c r="M3563">
        <v>12.825331732885999</v>
      </c>
      <c r="N3563">
        <v>12.6606053543888</v>
      </c>
      <c r="O3563">
        <v>11.998227237854101</v>
      </c>
      <c r="P3563">
        <v>0.14313039092295199</v>
      </c>
      <c r="Q3563">
        <v>-0.47098491862262898</v>
      </c>
      <c r="R3563">
        <v>0.75724570046853301</v>
      </c>
      <c r="S3563">
        <v>12.679043408724301</v>
      </c>
      <c r="T3563">
        <v>0.49434649925728102</v>
      </c>
      <c r="U3563">
        <v>-6.7549401647305496</v>
      </c>
      <c r="V3563">
        <v>0.62782379419865497</v>
      </c>
      <c r="W3563">
        <v>0.97279262440453396</v>
      </c>
      <c r="X3563">
        <v>0</v>
      </c>
      <c r="Y3563">
        <v>0</v>
      </c>
    </row>
    <row r="3564" spans="1:25" x14ac:dyDescent="0.2">
      <c r="A3564" t="s">
        <v>13111</v>
      </c>
      <c r="B3564" t="s">
        <v>13112</v>
      </c>
      <c r="C3564" t="s">
        <v>13113</v>
      </c>
      <c r="D3564" t="s">
        <v>93</v>
      </c>
      <c r="E3564" t="s">
        <v>13112</v>
      </c>
      <c r="F3564" t="s">
        <v>28</v>
      </c>
      <c r="G3564" t="s">
        <v>13112</v>
      </c>
      <c r="H3564" t="str">
        <f>"melo-1"</f>
        <v>melo-1</v>
      </c>
      <c r="I3564" t="s">
        <v>93</v>
      </c>
      <c r="J3564">
        <v>12.133956318950201</v>
      </c>
      <c r="K3564">
        <v>11.7349946650906</v>
      </c>
      <c r="L3564">
        <v>11.338320850971201</v>
      </c>
      <c r="M3564">
        <v>11.1683017121041</v>
      </c>
      <c r="N3564">
        <v>11.8525476742442</v>
      </c>
      <c r="O3564" t="s">
        <v>29</v>
      </c>
      <c r="P3564">
        <v>-0.22533258516324201</v>
      </c>
      <c r="Q3564">
        <v>-0.927549360911607</v>
      </c>
      <c r="R3564">
        <v>0.47688419058512199</v>
      </c>
      <c r="S3564">
        <v>11.792131361933899</v>
      </c>
      <c r="T3564">
        <v>-0.69380918228301303</v>
      </c>
      <c r="U3564">
        <v>-6.5209104629124903</v>
      </c>
      <c r="V3564">
        <v>0.50010998703800702</v>
      </c>
      <c r="W3564">
        <v>0.94062983959761604</v>
      </c>
      <c r="X3564">
        <v>0</v>
      </c>
      <c r="Y3564">
        <v>0</v>
      </c>
    </row>
    <row r="3565" spans="1:25" x14ac:dyDescent="0.2">
      <c r="A3565" t="s">
        <v>13114</v>
      </c>
      <c r="B3565" t="s">
        <v>13115</v>
      </c>
      <c r="C3565" t="s">
        <v>13116</v>
      </c>
      <c r="D3565" t="s">
        <v>13117</v>
      </c>
      <c r="E3565" t="s">
        <v>13115</v>
      </c>
      <c r="F3565" t="s">
        <v>28</v>
      </c>
      <c r="G3565" t="s">
        <v>13115</v>
      </c>
      <c r="H3565" t="str">
        <f>"polg-1"</f>
        <v>polg-1</v>
      </c>
      <c r="I3565" t="s">
        <v>13117</v>
      </c>
      <c r="J3565">
        <v>11.977719631746201</v>
      </c>
      <c r="K3565">
        <v>11.4187411315272</v>
      </c>
      <c r="L3565">
        <v>11.7850642607153</v>
      </c>
      <c r="M3565">
        <v>11.3943933751451</v>
      </c>
      <c r="N3565">
        <v>12.445126708374501</v>
      </c>
      <c r="O3565">
        <v>11.582074572017101</v>
      </c>
      <c r="P3565">
        <v>8.0023210516012397E-2</v>
      </c>
      <c r="Q3565">
        <v>-0.46968100047037697</v>
      </c>
      <c r="R3565">
        <v>0.62972742150240202</v>
      </c>
      <c r="S3565">
        <v>12.295810130564201</v>
      </c>
      <c r="T3565">
        <v>0.30877095223892898</v>
      </c>
      <c r="U3565">
        <v>-6.8324944754290504</v>
      </c>
      <c r="V3565">
        <v>0.76150593241643605</v>
      </c>
      <c r="W3565">
        <v>0.99278624068726296</v>
      </c>
      <c r="X3565">
        <v>0</v>
      </c>
      <c r="Y3565">
        <v>0</v>
      </c>
    </row>
    <row r="3566" spans="1:25" x14ac:dyDescent="0.2">
      <c r="A3566" t="s">
        <v>13118</v>
      </c>
      <c r="B3566" t="s">
        <v>13119</v>
      </c>
      <c r="C3566" t="s">
        <v>14718</v>
      </c>
      <c r="D3566" t="s">
        <v>13120</v>
      </c>
      <c r="E3566" t="s">
        <v>13119</v>
      </c>
      <c r="F3566" t="s">
        <v>28</v>
      </c>
      <c r="G3566" t="s">
        <v>13119</v>
      </c>
      <c r="H3566" t="str">
        <f>"Y57A10A.27"</f>
        <v>Y57A10A.27</v>
      </c>
      <c r="I3566" t="s">
        <v>13120</v>
      </c>
      <c r="J3566">
        <v>11.766331609582499</v>
      </c>
      <c r="K3566">
        <v>11.9534116813906</v>
      </c>
      <c r="L3566">
        <v>11.102504436175</v>
      </c>
      <c r="M3566">
        <v>11.855744379406399</v>
      </c>
      <c r="N3566">
        <v>12.198020436073399</v>
      </c>
      <c r="O3566">
        <v>11.8982994365332</v>
      </c>
      <c r="P3566">
        <v>0.37660550828832001</v>
      </c>
      <c r="Q3566">
        <v>-0.17703361484198599</v>
      </c>
      <c r="R3566">
        <v>0.93024463141862501</v>
      </c>
      <c r="S3566">
        <v>11.9690968786797</v>
      </c>
      <c r="T3566">
        <v>1.4507798048973</v>
      </c>
      <c r="U3566">
        <v>-5.8436075293134904</v>
      </c>
      <c r="V3566">
        <v>0.16757407909081201</v>
      </c>
      <c r="W3566">
        <v>0.76875593074037796</v>
      </c>
      <c r="X3566">
        <v>0</v>
      </c>
      <c r="Y3566">
        <v>0</v>
      </c>
    </row>
    <row r="3567" spans="1:25" x14ac:dyDescent="0.2">
      <c r="A3567" t="s">
        <v>13121</v>
      </c>
      <c r="B3567" t="s">
        <v>13122</v>
      </c>
      <c r="C3567" t="s">
        <v>13123</v>
      </c>
      <c r="D3567" t="s">
        <v>13124</v>
      </c>
      <c r="E3567" t="s">
        <v>13122</v>
      </c>
      <c r="F3567" t="s">
        <v>28</v>
      </c>
      <c r="G3567" t="s">
        <v>13122</v>
      </c>
      <c r="H3567" t="str">
        <f>"ung-1"</f>
        <v>ung-1</v>
      </c>
      <c r="I3567" t="s">
        <v>13124</v>
      </c>
      <c r="J3567">
        <v>12.216952505600601</v>
      </c>
      <c r="K3567">
        <v>12.745694824783399</v>
      </c>
      <c r="L3567">
        <v>12.6046873396851</v>
      </c>
      <c r="M3567">
        <v>12.3798712914954</v>
      </c>
      <c r="N3567">
        <v>12.529929618822299</v>
      </c>
      <c r="O3567">
        <v>12.1966808405029</v>
      </c>
      <c r="P3567">
        <v>-0.153617639749491</v>
      </c>
      <c r="Q3567">
        <v>-0.56193471591275501</v>
      </c>
      <c r="R3567">
        <v>0.25469943641377202</v>
      </c>
      <c r="S3567">
        <v>12.7655055365019</v>
      </c>
      <c r="T3567">
        <v>-0.79798196317060799</v>
      </c>
      <c r="U3567">
        <v>-6.5541623476426203</v>
      </c>
      <c r="V3567">
        <v>0.43664118698432403</v>
      </c>
      <c r="W3567">
        <v>0.91691001805079497</v>
      </c>
      <c r="X3567">
        <v>0</v>
      </c>
      <c r="Y3567">
        <v>0</v>
      </c>
    </row>
    <row r="3568" spans="1:25" x14ac:dyDescent="0.2">
      <c r="A3568" t="s">
        <v>13125</v>
      </c>
      <c r="B3568" t="s">
        <v>13126</v>
      </c>
      <c r="C3568" t="s">
        <v>13127</v>
      </c>
      <c r="D3568" t="s">
        <v>13128</v>
      </c>
      <c r="E3568" t="s">
        <v>13126</v>
      </c>
      <c r="F3568" t="s">
        <v>28</v>
      </c>
      <c r="G3568" t="s">
        <v>13126</v>
      </c>
      <c r="H3568" t="str">
        <f>"wah-1"</f>
        <v>wah-1</v>
      </c>
      <c r="I3568" t="s">
        <v>13128</v>
      </c>
      <c r="J3568">
        <v>13.2274955027613</v>
      </c>
      <c r="K3568">
        <v>11.9599580749104</v>
      </c>
      <c r="L3568" t="s">
        <v>29</v>
      </c>
      <c r="M3568" t="s">
        <v>29</v>
      </c>
      <c r="N3568" t="s">
        <v>29</v>
      </c>
      <c r="O3568" t="s">
        <v>29</v>
      </c>
      <c r="P3568" t="s">
        <v>29</v>
      </c>
      <c r="Q3568" t="s">
        <v>29</v>
      </c>
      <c r="R3568" t="s">
        <v>29</v>
      </c>
      <c r="S3568">
        <v>12.066740245209401</v>
      </c>
      <c r="T3568" t="s">
        <v>29</v>
      </c>
      <c r="U3568" t="s">
        <v>29</v>
      </c>
      <c r="V3568" t="s">
        <v>29</v>
      </c>
      <c r="W3568" t="s">
        <v>29</v>
      </c>
      <c r="X3568" t="s">
        <v>29</v>
      </c>
      <c r="Y3568" t="s">
        <v>29</v>
      </c>
    </row>
    <row r="3569" spans="1:25" x14ac:dyDescent="0.2">
      <c r="A3569" t="s">
        <v>13129</v>
      </c>
      <c r="B3569" t="s">
        <v>13130</v>
      </c>
      <c r="C3569" t="s">
        <v>13131</v>
      </c>
      <c r="D3569" t="s">
        <v>13132</v>
      </c>
      <c r="E3569" t="s">
        <v>13130</v>
      </c>
      <c r="F3569" t="s">
        <v>28</v>
      </c>
      <c r="G3569" t="s">
        <v>13130</v>
      </c>
      <c r="H3569" t="str">
        <f>"trap-4"</f>
        <v>trap-4</v>
      </c>
      <c r="I3569" t="s">
        <v>13132</v>
      </c>
      <c r="J3569">
        <v>17.311982111236301</v>
      </c>
      <c r="K3569">
        <v>17.2191036960653</v>
      </c>
      <c r="L3569">
        <v>17.2792979006386</v>
      </c>
      <c r="M3569">
        <v>17.171027011415099</v>
      </c>
      <c r="N3569">
        <v>17.068028233544101</v>
      </c>
      <c r="O3569">
        <v>17.389625911320099</v>
      </c>
      <c r="P3569">
        <v>-6.0567517220310001E-2</v>
      </c>
      <c r="Q3569">
        <v>-0.40723350406761499</v>
      </c>
      <c r="R3569">
        <v>0.28609846962699498</v>
      </c>
      <c r="S3569">
        <v>16.673678103924399</v>
      </c>
      <c r="T3569">
        <v>-0.36721554007797902</v>
      </c>
      <c r="U3569">
        <v>-6.8122989976122499</v>
      </c>
      <c r="V3569">
        <v>0.71776492056643104</v>
      </c>
      <c r="W3569">
        <v>0.98830022989039401</v>
      </c>
      <c r="X3569">
        <v>0</v>
      </c>
      <c r="Y3569">
        <v>0</v>
      </c>
    </row>
    <row r="3570" spans="1:25" x14ac:dyDescent="0.2">
      <c r="A3570" t="s">
        <v>13133</v>
      </c>
      <c r="B3570" t="s">
        <v>13134</v>
      </c>
      <c r="C3570" t="s">
        <v>13135</v>
      </c>
      <c r="D3570" t="s">
        <v>13136</v>
      </c>
      <c r="E3570" t="s">
        <v>13134</v>
      </c>
      <c r="F3570" t="s">
        <v>28</v>
      </c>
      <c r="G3570" t="s">
        <v>13134</v>
      </c>
      <c r="H3570" t="str">
        <f>"rsy-1"</f>
        <v>rsy-1</v>
      </c>
      <c r="I3570" t="s">
        <v>13136</v>
      </c>
      <c r="J3570" t="s">
        <v>29</v>
      </c>
      <c r="K3570" t="s">
        <v>29</v>
      </c>
      <c r="L3570">
        <v>11.1623603691647</v>
      </c>
      <c r="M3570" t="s">
        <v>29</v>
      </c>
      <c r="N3570">
        <v>10.5508731687625</v>
      </c>
      <c r="O3570" t="s">
        <v>29</v>
      </c>
      <c r="P3570">
        <v>-0.61148720040223903</v>
      </c>
      <c r="Q3570">
        <v>-1.7906659264481299</v>
      </c>
      <c r="R3570">
        <v>0.56769152564365</v>
      </c>
      <c r="S3570">
        <v>11.877881711918199</v>
      </c>
      <c r="T3570">
        <v>-1.15710994425291</v>
      </c>
      <c r="U3570">
        <v>-5.6743536539332302</v>
      </c>
      <c r="V3570">
        <v>0.27439667629132303</v>
      </c>
      <c r="W3570">
        <v>0.856190392347986</v>
      </c>
      <c r="X3570">
        <v>0</v>
      </c>
      <c r="Y3570">
        <v>0</v>
      </c>
    </row>
    <row r="3571" spans="1:25" x14ac:dyDescent="0.2">
      <c r="A3571" t="s">
        <v>13137</v>
      </c>
      <c r="B3571" t="s">
        <v>13138</v>
      </c>
      <c r="C3571" t="s">
        <v>14719</v>
      </c>
      <c r="D3571" t="s">
        <v>13139</v>
      </c>
      <c r="E3571" t="s">
        <v>13138</v>
      </c>
      <c r="F3571" t="s">
        <v>28</v>
      </c>
      <c r="G3571" t="s">
        <v>13138</v>
      </c>
      <c r="H3571" t="str">
        <f>"Y52B11A.10"</f>
        <v>Y52B11A.10</v>
      </c>
      <c r="I3571" t="s">
        <v>13139</v>
      </c>
      <c r="J3571">
        <v>11.8597427173318</v>
      </c>
      <c r="K3571">
        <v>11.752628065887301</v>
      </c>
      <c r="L3571">
        <v>12.9546027255812</v>
      </c>
      <c r="M3571">
        <v>13.045201014828899</v>
      </c>
      <c r="N3571">
        <v>13.2248264048272</v>
      </c>
      <c r="O3571">
        <v>12.5830043933637</v>
      </c>
      <c r="P3571">
        <v>0.76201943473980205</v>
      </c>
      <c r="Q3571">
        <v>-0.108949427497206</v>
      </c>
      <c r="R3571">
        <v>1.6329882969768099</v>
      </c>
      <c r="S3571">
        <v>13.6544066162243</v>
      </c>
      <c r="T3571">
        <v>1.85572213788939</v>
      </c>
      <c r="U3571">
        <v>-5.2447477660770803</v>
      </c>
      <c r="V3571">
        <v>8.2131594358413204E-2</v>
      </c>
      <c r="W3571">
        <v>0.60425905304272798</v>
      </c>
      <c r="X3571">
        <v>0</v>
      </c>
      <c r="Y3571">
        <v>0</v>
      </c>
    </row>
    <row r="3572" spans="1:25" x14ac:dyDescent="0.2">
      <c r="A3572" t="s">
        <v>13140</v>
      </c>
      <c r="B3572" t="s">
        <v>13141</v>
      </c>
      <c r="C3572" t="s">
        <v>13142</v>
      </c>
      <c r="D3572" t="s">
        <v>13143</v>
      </c>
      <c r="E3572" t="s">
        <v>13141</v>
      </c>
      <c r="F3572" t="s">
        <v>28</v>
      </c>
      <c r="G3572" t="s">
        <v>13141</v>
      </c>
      <c r="H3572" t="str">
        <f>"set-26"</f>
        <v>set-26</v>
      </c>
      <c r="I3572" t="s">
        <v>13143</v>
      </c>
      <c r="J3572">
        <v>15.7461475225883</v>
      </c>
      <c r="K3572">
        <v>16.0927480748108</v>
      </c>
      <c r="L3572">
        <v>15.892609593205099</v>
      </c>
      <c r="M3572">
        <v>15.512868905439801</v>
      </c>
      <c r="N3572">
        <v>15.340104669996601</v>
      </c>
      <c r="O3572">
        <v>15.6349545040511</v>
      </c>
      <c r="P3572">
        <v>-0.41452570370558001</v>
      </c>
      <c r="Q3572">
        <v>-0.85455855896432198</v>
      </c>
      <c r="R3572">
        <v>2.5507151553161401E-2</v>
      </c>
      <c r="S3572">
        <v>15.546456216957299</v>
      </c>
      <c r="T3572">
        <v>-1.9884577783783199</v>
      </c>
      <c r="U3572">
        <v>-5.0225113071381404</v>
      </c>
      <c r="V3572">
        <v>6.3210177749527793E-2</v>
      </c>
      <c r="W3572">
        <v>0.53891772862600895</v>
      </c>
      <c r="X3572">
        <v>0</v>
      </c>
      <c r="Y3572">
        <v>0</v>
      </c>
    </row>
    <row r="3573" spans="1:25" x14ac:dyDescent="0.2">
      <c r="A3573" t="s">
        <v>13144</v>
      </c>
      <c r="B3573" t="s">
        <v>13145</v>
      </c>
      <c r="C3573" t="s">
        <v>13146</v>
      </c>
      <c r="D3573" t="s">
        <v>13147</v>
      </c>
      <c r="E3573" t="s">
        <v>13145</v>
      </c>
      <c r="F3573" t="s">
        <v>28</v>
      </c>
      <c r="G3573" t="s">
        <v>13145</v>
      </c>
      <c r="H3573" t="str">
        <f>"ints-5"</f>
        <v>ints-5</v>
      </c>
      <c r="I3573" t="s">
        <v>13147</v>
      </c>
      <c r="J3573">
        <v>13.7762184186252</v>
      </c>
      <c r="K3573">
        <v>14.2006270425348</v>
      </c>
      <c r="L3573">
        <v>13.7297925380858</v>
      </c>
      <c r="M3573">
        <v>13.9276254288791</v>
      </c>
      <c r="N3573">
        <v>13.9299368972042</v>
      </c>
      <c r="O3573">
        <v>13.623581607664301</v>
      </c>
      <c r="P3573">
        <v>-7.5164688499411297E-2</v>
      </c>
      <c r="Q3573">
        <v>-0.50544636682632804</v>
      </c>
      <c r="R3573">
        <v>0.355116989827505</v>
      </c>
      <c r="S3573">
        <v>14.2102049726775</v>
      </c>
      <c r="T3573">
        <v>-0.36873216317360302</v>
      </c>
      <c r="U3573">
        <v>-6.8115145695941104</v>
      </c>
      <c r="V3573">
        <v>0.71690733548039898</v>
      </c>
      <c r="W3573">
        <v>0.98786722894487999</v>
      </c>
      <c r="X3573">
        <v>0</v>
      </c>
      <c r="Y3573">
        <v>0</v>
      </c>
    </row>
    <row r="3574" spans="1:25" x14ac:dyDescent="0.2">
      <c r="A3574" t="s">
        <v>13148</v>
      </c>
      <c r="B3574" t="s">
        <v>13149</v>
      </c>
      <c r="C3574" t="s">
        <v>13150</v>
      </c>
      <c r="D3574" t="s">
        <v>13151</v>
      </c>
      <c r="E3574" t="s">
        <v>13149</v>
      </c>
      <c r="F3574" t="s">
        <v>28</v>
      </c>
      <c r="G3574" t="s">
        <v>13149</v>
      </c>
      <c r="H3574" t="str">
        <f>"haf-7"</f>
        <v>haf-7</v>
      </c>
      <c r="I3574" t="s">
        <v>13151</v>
      </c>
      <c r="J3574">
        <v>11.8481322065646</v>
      </c>
      <c r="K3574" t="s">
        <v>29</v>
      </c>
      <c r="L3574" t="s">
        <v>29</v>
      </c>
      <c r="M3574" t="s">
        <v>29</v>
      </c>
      <c r="N3574">
        <v>12.1235154351067</v>
      </c>
      <c r="O3574" t="s">
        <v>29</v>
      </c>
      <c r="P3574">
        <v>0.275383228542189</v>
      </c>
      <c r="Q3574">
        <v>-0.52158651788292798</v>
      </c>
      <c r="R3574">
        <v>1.07235297496731</v>
      </c>
      <c r="S3574">
        <v>12.007688692355501</v>
      </c>
      <c r="T3574">
        <v>0.77101449368767205</v>
      </c>
      <c r="U3574">
        <v>-6.0354793709986199</v>
      </c>
      <c r="V3574">
        <v>0.45871312467730302</v>
      </c>
      <c r="W3574">
        <v>0.92799154546826901</v>
      </c>
      <c r="X3574">
        <v>0</v>
      </c>
      <c r="Y3574">
        <v>0</v>
      </c>
    </row>
    <row r="3575" spans="1:25" x14ac:dyDescent="0.2">
      <c r="A3575" t="s">
        <v>13152</v>
      </c>
      <c r="B3575" t="s">
        <v>13153</v>
      </c>
      <c r="C3575" t="s">
        <v>13154</v>
      </c>
      <c r="D3575" t="s">
        <v>13155</v>
      </c>
      <c r="E3575" t="s">
        <v>13153</v>
      </c>
      <c r="F3575" t="s">
        <v>28</v>
      </c>
      <c r="G3575" t="s">
        <v>13153</v>
      </c>
      <c r="H3575" t="str">
        <f>"tat-1"</f>
        <v>tat-1</v>
      </c>
      <c r="I3575" t="s">
        <v>13155</v>
      </c>
      <c r="J3575">
        <v>10.6683006926442</v>
      </c>
      <c r="K3575">
        <v>10.9173672326228</v>
      </c>
      <c r="L3575">
        <v>11.599556353082001</v>
      </c>
      <c r="M3575">
        <v>12.5498644342748</v>
      </c>
      <c r="N3575">
        <v>12.744600150354399</v>
      </c>
      <c r="O3575">
        <v>12.260073343735799</v>
      </c>
      <c r="P3575">
        <v>1.45643788333867</v>
      </c>
      <c r="Q3575">
        <v>0.92449021329195202</v>
      </c>
      <c r="R3575">
        <v>1.98838555338538</v>
      </c>
      <c r="S3575">
        <v>11.905699757100701</v>
      </c>
      <c r="T3575">
        <v>5.8072775855584302</v>
      </c>
      <c r="U3575">
        <v>2.5512015573590499</v>
      </c>
      <c r="V3575" s="2">
        <v>2.7435691437720899E-5</v>
      </c>
      <c r="W3575">
        <v>1.78512982300258E-3</v>
      </c>
      <c r="X3575">
        <v>1</v>
      </c>
      <c r="Y3575">
        <v>1</v>
      </c>
    </row>
    <row r="3576" spans="1:25" x14ac:dyDescent="0.2">
      <c r="A3576" t="s">
        <v>13156</v>
      </c>
      <c r="B3576" t="s">
        <v>13157</v>
      </c>
      <c r="C3576" t="s">
        <v>14720</v>
      </c>
      <c r="D3576" t="s">
        <v>13158</v>
      </c>
      <c r="E3576" t="s">
        <v>13157</v>
      </c>
      <c r="F3576" t="s">
        <v>28</v>
      </c>
      <c r="G3576" t="s">
        <v>13157</v>
      </c>
      <c r="H3576" t="str">
        <f>"Y48G10A.3"</f>
        <v>Y48G10A.3</v>
      </c>
      <c r="I3576" t="s">
        <v>13158</v>
      </c>
      <c r="J3576">
        <v>13.216674463859199</v>
      </c>
      <c r="K3576">
        <v>12.1484092374507</v>
      </c>
      <c r="L3576">
        <v>12.6942403122312</v>
      </c>
      <c r="M3576" t="s">
        <v>29</v>
      </c>
      <c r="N3576">
        <v>13.140368827105</v>
      </c>
      <c r="O3576">
        <v>13.0709283756654</v>
      </c>
      <c r="P3576">
        <v>0.41920726353814602</v>
      </c>
      <c r="Q3576">
        <v>-0.32760903169285999</v>
      </c>
      <c r="R3576">
        <v>1.1660235587691501</v>
      </c>
      <c r="S3576">
        <v>12.8493631927553</v>
      </c>
      <c r="T3576">
        <v>1.1971721888570099</v>
      </c>
      <c r="U3576">
        <v>-6.0518958191390304</v>
      </c>
      <c r="V3576">
        <v>0.249945784483424</v>
      </c>
      <c r="W3576">
        <v>0.83442661774174398</v>
      </c>
      <c r="X3576">
        <v>0</v>
      </c>
      <c r="Y3576">
        <v>0</v>
      </c>
    </row>
    <row r="3577" spans="1:25" x14ac:dyDescent="0.2">
      <c r="A3577" t="s">
        <v>13159</v>
      </c>
      <c r="B3577" t="s">
        <v>13160</v>
      </c>
      <c r="C3577" t="s">
        <v>14721</v>
      </c>
      <c r="D3577" t="s">
        <v>13161</v>
      </c>
      <c r="E3577" t="s">
        <v>13160</v>
      </c>
      <c r="F3577" t="s">
        <v>28</v>
      </c>
      <c r="G3577" t="s">
        <v>13160</v>
      </c>
      <c r="H3577" t="str">
        <f>"Y48C3A.20"</f>
        <v>Y48C3A.20</v>
      </c>
      <c r="I3577" t="s">
        <v>13161</v>
      </c>
      <c r="J3577">
        <v>14.0826726253771</v>
      </c>
      <c r="K3577">
        <v>13.290491348282201</v>
      </c>
      <c r="L3577">
        <v>14.047445668901499</v>
      </c>
      <c r="M3577">
        <v>14.1995516089235</v>
      </c>
      <c r="N3577">
        <v>13.5648990736975</v>
      </c>
      <c r="O3577" t="s">
        <v>29</v>
      </c>
      <c r="P3577">
        <v>7.53554604569171E-2</v>
      </c>
      <c r="Q3577">
        <v>-0.493130227034562</v>
      </c>
      <c r="R3577">
        <v>0.64384114794839697</v>
      </c>
      <c r="S3577">
        <v>14.096463262615</v>
      </c>
      <c r="T3577">
        <v>0.28270715402751601</v>
      </c>
      <c r="U3577">
        <v>-6.7302223156325898</v>
      </c>
      <c r="V3577">
        <v>0.78129213515463902</v>
      </c>
      <c r="W3577">
        <v>0.99278624068726296</v>
      </c>
      <c r="X3577">
        <v>0</v>
      </c>
      <c r="Y3577">
        <v>0</v>
      </c>
    </row>
    <row r="3578" spans="1:25" x14ac:dyDescent="0.2">
      <c r="A3578" t="s">
        <v>13162</v>
      </c>
      <c r="B3578" t="s">
        <v>13163</v>
      </c>
      <c r="C3578" t="s">
        <v>14722</v>
      </c>
      <c r="D3578" t="s">
        <v>13164</v>
      </c>
      <c r="E3578" t="s">
        <v>13163</v>
      </c>
      <c r="F3578" t="s">
        <v>28</v>
      </c>
      <c r="G3578" t="s">
        <v>13163</v>
      </c>
      <c r="H3578" t="str">
        <f>"Y48B6A.13"</f>
        <v>Y48B6A.13</v>
      </c>
      <c r="I3578" t="s">
        <v>13164</v>
      </c>
      <c r="J3578">
        <v>13.420654411360999</v>
      </c>
      <c r="K3578">
        <v>13.3601184268531</v>
      </c>
      <c r="L3578">
        <v>13.3280632884992</v>
      </c>
      <c r="M3578">
        <v>13.3332718056955</v>
      </c>
      <c r="N3578">
        <v>13.3216561977837</v>
      </c>
      <c r="O3578">
        <v>13.3073111919108</v>
      </c>
      <c r="P3578">
        <v>-4.8865643774430402E-2</v>
      </c>
      <c r="Q3578">
        <v>-0.50200913252976798</v>
      </c>
      <c r="R3578">
        <v>0.40427784498090702</v>
      </c>
      <c r="S3578">
        <v>13.250354672900301</v>
      </c>
      <c r="T3578">
        <v>-0.22762391772412399</v>
      </c>
      <c r="U3578">
        <v>-6.8553747443285999</v>
      </c>
      <c r="V3578">
        <v>0.82267043114671001</v>
      </c>
      <c r="W3578">
        <v>0.992837538801569</v>
      </c>
      <c r="X3578">
        <v>0</v>
      </c>
      <c r="Y3578">
        <v>0</v>
      </c>
    </row>
    <row r="3579" spans="1:25" x14ac:dyDescent="0.2">
      <c r="A3579" t="s">
        <v>13165</v>
      </c>
      <c r="B3579" t="s">
        <v>13166</v>
      </c>
      <c r="C3579" t="s">
        <v>13167</v>
      </c>
      <c r="D3579" t="s">
        <v>13168</v>
      </c>
      <c r="E3579" t="s">
        <v>13166</v>
      </c>
      <c r="F3579" t="s">
        <v>28</v>
      </c>
      <c r="G3579" t="s">
        <v>13166</v>
      </c>
      <c r="H3579" t="str">
        <f>"men-1"</f>
        <v>men-1</v>
      </c>
      <c r="I3579" t="s">
        <v>13168</v>
      </c>
      <c r="J3579">
        <v>13.6806663063182</v>
      </c>
      <c r="K3579">
        <v>14.022220593439799</v>
      </c>
      <c r="L3579">
        <v>14.6035825539219</v>
      </c>
      <c r="M3579">
        <v>14.157651916973499</v>
      </c>
      <c r="N3579">
        <v>14.1138572317262</v>
      </c>
      <c r="O3579">
        <v>13.886361862127799</v>
      </c>
      <c r="P3579">
        <v>-4.9532814284130901E-2</v>
      </c>
      <c r="Q3579">
        <v>-0.76288234061359905</v>
      </c>
      <c r="R3579">
        <v>0.66381671204533699</v>
      </c>
      <c r="S3579">
        <v>14.264912346677599</v>
      </c>
      <c r="T3579">
        <v>-0.14656849881835499</v>
      </c>
      <c r="U3579">
        <v>-6.8712371651914701</v>
      </c>
      <c r="V3579">
        <v>0.88520731059261104</v>
      </c>
      <c r="W3579">
        <v>0.99702926582654094</v>
      </c>
      <c r="X3579">
        <v>0</v>
      </c>
      <c r="Y3579">
        <v>0</v>
      </c>
    </row>
    <row r="3580" spans="1:25" x14ac:dyDescent="0.2">
      <c r="A3580" t="s">
        <v>13169</v>
      </c>
      <c r="B3580" t="s">
        <v>13170</v>
      </c>
      <c r="C3580" t="s">
        <v>13171</v>
      </c>
      <c r="D3580" t="s">
        <v>13172</v>
      </c>
      <c r="E3580" t="s">
        <v>13170</v>
      </c>
      <c r="F3580" t="s">
        <v>28</v>
      </c>
      <c r="G3580" t="s">
        <v>13170</v>
      </c>
      <c r="H3580" t="str">
        <f>"xrn-2"</f>
        <v>xrn-2</v>
      </c>
      <c r="I3580" t="s">
        <v>13172</v>
      </c>
      <c r="J3580">
        <v>13.982426063870101</v>
      </c>
      <c r="K3580">
        <v>14.4713453709353</v>
      </c>
      <c r="L3580">
        <v>14.7882653778864</v>
      </c>
      <c r="M3580">
        <v>13.8864656079603</v>
      </c>
      <c r="N3580">
        <v>14.184741221220801</v>
      </c>
      <c r="O3580">
        <v>14.1139847478315</v>
      </c>
      <c r="P3580">
        <v>-0.35228174522639899</v>
      </c>
      <c r="Q3580">
        <v>-0.84032946560373201</v>
      </c>
      <c r="R3580">
        <v>0.135765975150933</v>
      </c>
      <c r="S3580">
        <v>15.1326845519639</v>
      </c>
      <c r="T3580">
        <v>-1.5171215026221001</v>
      </c>
      <c r="U3580">
        <v>-5.7519004335795696</v>
      </c>
      <c r="V3580">
        <v>0.14670331265693601</v>
      </c>
      <c r="W3580">
        <v>0.73750547510919096</v>
      </c>
      <c r="X3580">
        <v>0</v>
      </c>
      <c r="Y3580">
        <v>0</v>
      </c>
    </row>
    <row r="3581" spans="1:25" x14ac:dyDescent="0.2">
      <c r="A3581" t="s">
        <v>13173</v>
      </c>
      <c r="B3581" t="s">
        <v>13174</v>
      </c>
      <c r="C3581" t="s">
        <v>13175</v>
      </c>
      <c r="D3581" t="s">
        <v>13176</v>
      </c>
      <c r="E3581" t="s">
        <v>13174</v>
      </c>
      <c r="F3581" t="s">
        <v>28</v>
      </c>
      <c r="G3581" t="s">
        <v>13174</v>
      </c>
      <c r="H3581" t="str">
        <f>"rpl-43"</f>
        <v>rpl-43</v>
      </c>
      <c r="I3581" t="s">
        <v>13176</v>
      </c>
      <c r="J3581">
        <v>16.757068925772199</v>
      </c>
      <c r="K3581">
        <v>16.6057576345736</v>
      </c>
      <c r="L3581">
        <v>16.694880609598101</v>
      </c>
      <c r="M3581">
        <v>16.668373809889701</v>
      </c>
      <c r="N3581">
        <v>16.596954701297499</v>
      </c>
      <c r="O3581">
        <v>16.593264424285699</v>
      </c>
      <c r="P3581">
        <v>-6.6371411490337096E-2</v>
      </c>
      <c r="Q3581">
        <v>-0.71623670991564703</v>
      </c>
      <c r="R3581">
        <v>0.58349388693497295</v>
      </c>
      <c r="S3581">
        <v>16.186613809175899</v>
      </c>
      <c r="T3581">
        <v>-0.21465955254672001</v>
      </c>
      <c r="U3581">
        <v>-6.8584447905998198</v>
      </c>
      <c r="V3581">
        <v>0.83245995920712901</v>
      </c>
      <c r="W3581">
        <v>0.99370240586176295</v>
      </c>
      <c r="X3581">
        <v>0</v>
      </c>
      <c r="Y3581">
        <v>0</v>
      </c>
    </row>
    <row r="3582" spans="1:25" x14ac:dyDescent="0.2">
      <c r="A3582" t="s">
        <v>13177</v>
      </c>
      <c r="B3582" t="s">
        <v>13178</v>
      </c>
      <c r="C3582" t="s">
        <v>13179</v>
      </c>
      <c r="D3582" t="s">
        <v>13180</v>
      </c>
      <c r="E3582" t="s">
        <v>13178</v>
      </c>
      <c r="F3582" t="s">
        <v>28</v>
      </c>
      <c r="G3582" t="s">
        <v>13178</v>
      </c>
      <c r="H3582" t="str">
        <f>"Y48B6A.1"</f>
        <v>Y48B6A.1</v>
      </c>
      <c r="I3582" t="s">
        <v>13180</v>
      </c>
      <c r="J3582">
        <v>12.6073817464243</v>
      </c>
      <c r="K3582">
        <v>12.9265059153342</v>
      </c>
      <c r="L3582">
        <v>12.3348018804272</v>
      </c>
      <c r="M3582">
        <v>13.012887530484701</v>
      </c>
      <c r="N3582">
        <v>12.768323593765899</v>
      </c>
      <c r="O3582">
        <v>13.375461399431501</v>
      </c>
      <c r="P3582">
        <v>0.42932766049881199</v>
      </c>
      <c r="Q3582">
        <v>-2.6724784199042201E-2</v>
      </c>
      <c r="R3582">
        <v>0.88538010519666599</v>
      </c>
      <c r="S3582">
        <v>12.8938007527292</v>
      </c>
      <c r="T3582">
        <v>1.9871200019592199</v>
      </c>
      <c r="U3582">
        <v>-5.0247650815362199</v>
      </c>
      <c r="V3582">
        <v>6.3370596336438101E-2</v>
      </c>
      <c r="W3582">
        <v>0.53891772862600895</v>
      </c>
      <c r="X3582">
        <v>0</v>
      </c>
      <c r="Y3582">
        <v>0</v>
      </c>
    </row>
    <row r="3583" spans="1:25" x14ac:dyDescent="0.2">
      <c r="A3583" t="s">
        <v>13181</v>
      </c>
      <c r="B3583" t="s">
        <v>13182</v>
      </c>
      <c r="C3583" t="s">
        <v>14723</v>
      </c>
      <c r="D3583" t="s">
        <v>13183</v>
      </c>
      <c r="E3583" t="s">
        <v>13182</v>
      </c>
      <c r="F3583" t="s">
        <v>28</v>
      </c>
      <c r="G3583" t="s">
        <v>13182</v>
      </c>
      <c r="H3583" t="str">
        <f>"Y47H9C.8"</f>
        <v>Y47H9C.8</v>
      </c>
      <c r="I3583" t="s">
        <v>13183</v>
      </c>
      <c r="J3583">
        <v>14.5879501343989</v>
      </c>
      <c r="K3583">
        <v>14.6747619353755</v>
      </c>
      <c r="L3583">
        <v>15.070366567524699</v>
      </c>
      <c r="M3583">
        <v>14.9718082353554</v>
      </c>
      <c r="N3583">
        <v>14.946379151131699</v>
      </c>
      <c r="O3583">
        <v>14.6009498218428</v>
      </c>
      <c r="P3583">
        <v>6.2019523676976697E-2</v>
      </c>
      <c r="Q3583">
        <v>-0.54635621919736399</v>
      </c>
      <c r="R3583">
        <v>0.67039526655131698</v>
      </c>
      <c r="S3583">
        <v>15.141358200296599</v>
      </c>
      <c r="T3583">
        <v>0.21426392191476701</v>
      </c>
      <c r="U3583">
        <v>-6.8585332264118799</v>
      </c>
      <c r="V3583">
        <v>0.83276379144997303</v>
      </c>
      <c r="W3583">
        <v>0.99370240586176295</v>
      </c>
      <c r="X3583">
        <v>0</v>
      </c>
      <c r="Y3583">
        <v>0</v>
      </c>
    </row>
    <row r="3584" spans="1:25" x14ac:dyDescent="0.2">
      <c r="A3584" t="s">
        <v>13184</v>
      </c>
      <c r="B3584" t="s">
        <v>13185</v>
      </c>
      <c r="C3584" t="s">
        <v>13186</v>
      </c>
      <c r="D3584" t="s">
        <v>13187</v>
      </c>
      <c r="E3584" t="s">
        <v>13185</v>
      </c>
      <c r="F3584" t="s">
        <v>28</v>
      </c>
      <c r="G3584" t="s">
        <v>13185</v>
      </c>
      <c r="H3584" t="str">
        <f>"rab-35"</f>
        <v>rab-35</v>
      </c>
      <c r="I3584" t="s">
        <v>13187</v>
      </c>
      <c r="J3584">
        <v>15.327831677736899</v>
      </c>
      <c r="K3584">
        <v>15.533401451342501</v>
      </c>
      <c r="L3584">
        <v>14.9868161897748</v>
      </c>
      <c r="M3584">
        <v>15.2572090856483</v>
      </c>
      <c r="N3584">
        <v>14.9849597750079</v>
      </c>
      <c r="O3584">
        <v>15.3818339349196</v>
      </c>
      <c r="P3584">
        <v>-7.4682174426095899E-2</v>
      </c>
      <c r="Q3584">
        <v>-0.52038765209706594</v>
      </c>
      <c r="R3584">
        <v>0.37102330324487498</v>
      </c>
      <c r="S3584">
        <v>14.694801456626299</v>
      </c>
      <c r="T3584">
        <v>-0.35217741051886398</v>
      </c>
      <c r="U3584">
        <v>-6.8179105413361798</v>
      </c>
      <c r="V3584">
        <v>0.728818630014477</v>
      </c>
      <c r="W3584">
        <v>0.99057748145465696</v>
      </c>
      <c r="X3584">
        <v>0</v>
      </c>
      <c r="Y3584">
        <v>0</v>
      </c>
    </row>
    <row r="3585" spans="1:25" x14ac:dyDescent="0.2">
      <c r="A3585" t="s">
        <v>13188</v>
      </c>
      <c r="B3585" t="s">
        <v>13189</v>
      </c>
      <c r="C3585" t="s">
        <v>13190</v>
      </c>
      <c r="D3585" t="s">
        <v>13191</v>
      </c>
      <c r="E3585" t="s">
        <v>13189</v>
      </c>
      <c r="F3585" t="s">
        <v>28</v>
      </c>
      <c r="G3585" t="s">
        <v>13189</v>
      </c>
      <c r="H3585" t="str">
        <f>"cku-70"</f>
        <v>cku-70</v>
      </c>
      <c r="I3585" t="s">
        <v>13191</v>
      </c>
      <c r="J3585" t="s">
        <v>29</v>
      </c>
      <c r="K3585" t="s">
        <v>29</v>
      </c>
      <c r="L3585">
        <v>11.671017687278599</v>
      </c>
      <c r="M3585">
        <v>11.640446307403799</v>
      </c>
      <c r="N3585">
        <v>11.4477621621173</v>
      </c>
      <c r="O3585" t="s">
        <v>29</v>
      </c>
      <c r="P3585">
        <v>-0.126913452518091</v>
      </c>
      <c r="Q3585">
        <v>-1.2829380134169399</v>
      </c>
      <c r="R3585">
        <v>1.02911110838076</v>
      </c>
      <c r="S3585">
        <v>13.400799974922201</v>
      </c>
      <c r="T3585">
        <v>-0.23943388370379001</v>
      </c>
      <c r="U3585">
        <v>-6.4531385674348201</v>
      </c>
      <c r="V3585">
        <v>0.81484506204213203</v>
      </c>
      <c r="W3585">
        <v>0.99278624068726296</v>
      </c>
      <c r="X3585">
        <v>0</v>
      </c>
      <c r="Y3585">
        <v>0</v>
      </c>
    </row>
    <row r="3586" spans="1:25" x14ac:dyDescent="0.2">
      <c r="A3586" t="s">
        <v>13192</v>
      </c>
      <c r="B3586" t="s">
        <v>13193</v>
      </c>
      <c r="C3586" t="s">
        <v>13194</v>
      </c>
      <c r="D3586" t="s">
        <v>13195</v>
      </c>
      <c r="E3586" t="s">
        <v>13193</v>
      </c>
      <c r="F3586" t="s">
        <v>28</v>
      </c>
      <c r="G3586" t="s">
        <v>13193</v>
      </c>
      <c r="H3586" t="str">
        <f>"cnp-2"</f>
        <v>cnp-2</v>
      </c>
      <c r="I3586" t="s">
        <v>13195</v>
      </c>
      <c r="J3586">
        <v>12.837971126628601</v>
      </c>
      <c r="K3586">
        <v>10.9918029313468</v>
      </c>
      <c r="L3586" t="s">
        <v>29</v>
      </c>
      <c r="M3586" t="s">
        <v>29</v>
      </c>
      <c r="N3586" t="s">
        <v>29</v>
      </c>
      <c r="O3586" t="s">
        <v>29</v>
      </c>
      <c r="P3586" t="s">
        <v>29</v>
      </c>
      <c r="Q3586" t="s">
        <v>29</v>
      </c>
      <c r="R3586" t="s">
        <v>29</v>
      </c>
      <c r="S3586">
        <v>11.3696602590172</v>
      </c>
      <c r="T3586" t="s">
        <v>29</v>
      </c>
      <c r="U3586" t="s">
        <v>29</v>
      </c>
      <c r="V3586" t="s">
        <v>29</v>
      </c>
      <c r="W3586" t="s">
        <v>29</v>
      </c>
      <c r="X3586" t="s">
        <v>29</v>
      </c>
      <c r="Y3586" t="s">
        <v>29</v>
      </c>
    </row>
    <row r="3587" spans="1:25" x14ac:dyDescent="0.2">
      <c r="A3587" t="s">
        <v>13196</v>
      </c>
      <c r="B3587" t="s">
        <v>13197</v>
      </c>
      <c r="C3587" t="s">
        <v>13198</v>
      </c>
      <c r="D3587" t="s">
        <v>178</v>
      </c>
      <c r="E3587" t="s">
        <v>13197</v>
      </c>
      <c r="F3587" t="s">
        <v>28</v>
      </c>
      <c r="G3587" t="s">
        <v>13197</v>
      </c>
      <c r="H3587" t="str">
        <f>"tbc-17"</f>
        <v>tbc-17</v>
      </c>
      <c r="I3587" t="s">
        <v>178</v>
      </c>
      <c r="J3587">
        <v>13.7765861253166</v>
      </c>
      <c r="K3587">
        <v>14.092415907389301</v>
      </c>
      <c r="L3587">
        <v>13.9139921549802</v>
      </c>
      <c r="M3587">
        <v>13.787720626874901</v>
      </c>
      <c r="N3587">
        <v>13.6127885703423</v>
      </c>
      <c r="O3587">
        <v>13.7679951753019</v>
      </c>
      <c r="P3587">
        <v>-0.20482993838904501</v>
      </c>
      <c r="Q3587">
        <v>-0.84079099399692203</v>
      </c>
      <c r="R3587">
        <v>0.43113111721883302</v>
      </c>
      <c r="S3587">
        <v>13.923778252780201</v>
      </c>
      <c r="T3587">
        <v>-0.67694818158637804</v>
      </c>
      <c r="U3587">
        <v>-6.6460956980530197</v>
      </c>
      <c r="V3587">
        <v>0.50709607308829197</v>
      </c>
      <c r="W3587">
        <v>0.94062983959761604</v>
      </c>
      <c r="X3587">
        <v>0</v>
      </c>
      <c r="Y3587">
        <v>0</v>
      </c>
    </row>
    <row r="3588" spans="1:25" x14ac:dyDescent="0.2">
      <c r="A3588" t="s">
        <v>13199</v>
      </c>
      <c r="B3588" t="s">
        <v>13200</v>
      </c>
      <c r="C3588" t="s">
        <v>13201</v>
      </c>
      <c r="D3588" t="s">
        <v>13202</v>
      </c>
      <c r="E3588" t="s">
        <v>13200</v>
      </c>
      <c r="F3588" t="s">
        <v>28</v>
      </c>
      <c r="G3588" t="s">
        <v>13200</v>
      </c>
      <c r="H3588" t="str">
        <f>"gsy-1"</f>
        <v>gsy-1</v>
      </c>
      <c r="I3588" t="s">
        <v>13202</v>
      </c>
      <c r="J3588">
        <v>15.784522844039399</v>
      </c>
      <c r="K3588">
        <v>15.4276588008535</v>
      </c>
      <c r="L3588">
        <v>15.3094658242092</v>
      </c>
      <c r="M3588">
        <v>15.487528446127</v>
      </c>
      <c r="N3588">
        <v>15.398483680016399</v>
      </c>
      <c r="O3588">
        <v>15.161855364681699</v>
      </c>
      <c r="P3588">
        <v>-0.15792665942564299</v>
      </c>
      <c r="Q3588">
        <v>-0.57207125324046304</v>
      </c>
      <c r="R3588">
        <v>0.256217934389177</v>
      </c>
      <c r="S3588">
        <v>15.343362991584099</v>
      </c>
      <c r="T3588">
        <v>-0.80148604597870199</v>
      </c>
      <c r="U3588">
        <v>-6.5527918150349604</v>
      </c>
      <c r="V3588">
        <v>0.43336449895616003</v>
      </c>
      <c r="W3588">
        <v>0.91512503332874395</v>
      </c>
      <c r="X3588">
        <v>0</v>
      </c>
      <c r="Y3588">
        <v>0</v>
      </c>
    </row>
    <row r="3589" spans="1:25" x14ac:dyDescent="0.2">
      <c r="A3589" t="s">
        <v>13203</v>
      </c>
      <c r="B3589" t="s">
        <v>13204</v>
      </c>
      <c r="C3589" t="s">
        <v>14724</v>
      </c>
      <c r="D3589" t="s">
        <v>11249</v>
      </c>
      <c r="E3589" t="s">
        <v>13204</v>
      </c>
      <c r="F3589" t="s">
        <v>28</v>
      </c>
      <c r="G3589" t="s">
        <v>13204</v>
      </c>
      <c r="H3589" t="str">
        <f>"Y46G5A.22"</f>
        <v>Y46G5A.22</v>
      </c>
      <c r="I3589" t="s">
        <v>11249</v>
      </c>
      <c r="J3589">
        <v>12.258615891239799</v>
      </c>
      <c r="K3589">
        <v>10.977119718551601</v>
      </c>
      <c r="L3589">
        <v>12.7185122064491</v>
      </c>
      <c r="M3589">
        <v>13.0209511535251</v>
      </c>
      <c r="N3589">
        <v>12.947327446875001</v>
      </c>
      <c r="O3589">
        <v>11.3272098256784</v>
      </c>
      <c r="P3589">
        <v>0.447080203279343</v>
      </c>
      <c r="Q3589">
        <v>-0.77012240568611801</v>
      </c>
      <c r="R3589">
        <v>1.6642828122447999</v>
      </c>
      <c r="S3589">
        <v>11.955443226525601</v>
      </c>
      <c r="T3589">
        <v>0.78834162452575596</v>
      </c>
      <c r="U3589">
        <v>-6.5600525020380802</v>
      </c>
      <c r="V3589">
        <v>0.44373925767633099</v>
      </c>
      <c r="W3589">
        <v>0.92040391447423997</v>
      </c>
      <c r="X3589">
        <v>0</v>
      </c>
      <c r="Y3589">
        <v>0</v>
      </c>
    </row>
    <row r="3590" spans="1:25" x14ac:dyDescent="0.2">
      <c r="A3590" t="s">
        <v>13205</v>
      </c>
      <c r="B3590" t="s">
        <v>13206</v>
      </c>
      <c r="C3590" t="s">
        <v>14725</v>
      </c>
      <c r="D3590" t="s">
        <v>13207</v>
      </c>
      <c r="E3590" t="s">
        <v>13206</v>
      </c>
      <c r="F3590" t="s">
        <v>28</v>
      </c>
      <c r="G3590" t="s">
        <v>13206</v>
      </c>
      <c r="H3590" t="str">
        <f>"Y46G5A.18"</f>
        <v>Y46G5A.18</v>
      </c>
      <c r="I3590" t="s">
        <v>13207</v>
      </c>
      <c r="J3590" t="s">
        <v>29</v>
      </c>
      <c r="K3590" t="s">
        <v>29</v>
      </c>
      <c r="L3590" t="s">
        <v>29</v>
      </c>
      <c r="M3590" t="s">
        <v>29</v>
      </c>
      <c r="N3590" t="s">
        <v>29</v>
      </c>
      <c r="O3590" t="s">
        <v>29</v>
      </c>
      <c r="P3590" t="s">
        <v>29</v>
      </c>
      <c r="Q3590" t="s">
        <v>29</v>
      </c>
      <c r="R3590" t="s">
        <v>29</v>
      </c>
      <c r="S3590">
        <v>10.919046441846801</v>
      </c>
      <c r="T3590" t="s">
        <v>29</v>
      </c>
      <c r="U3590" t="s">
        <v>29</v>
      </c>
      <c r="V3590" t="s">
        <v>29</v>
      </c>
      <c r="W3590" t="s">
        <v>29</v>
      </c>
      <c r="X3590" t="s">
        <v>29</v>
      </c>
      <c r="Y3590" t="s">
        <v>29</v>
      </c>
    </row>
    <row r="3591" spans="1:25" x14ac:dyDescent="0.2">
      <c r="A3591" t="s">
        <v>13208</v>
      </c>
      <c r="B3591" t="s">
        <v>13209</v>
      </c>
      <c r="C3591" t="s">
        <v>13210</v>
      </c>
      <c r="D3591" t="s">
        <v>13211</v>
      </c>
      <c r="E3591" t="s">
        <v>13209</v>
      </c>
      <c r="F3591" t="s">
        <v>28</v>
      </c>
      <c r="G3591" t="s">
        <v>13209</v>
      </c>
      <c r="H3591" t="str">
        <f>"cpt-1"</f>
        <v>cpt-1</v>
      </c>
      <c r="I3591" t="s">
        <v>13211</v>
      </c>
      <c r="J3591">
        <v>16.138531884678901</v>
      </c>
      <c r="K3591">
        <v>16.0128308294817</v>
      </c>
      <c r="L3591">
        <v>15.4570882466105</v>
      </c>
      <c r="M3591">
        <v>15.3689958059528</v>
      </c>
      <c r="N3591">
        <v>15.0754160489701</v>
      </c>
      <c r="O3591">
        <v>15.7014923112721</v>
      </c>
      <c r="P3591">
        <v>-0.48751559819204399</v>
      </c>
      <c r="Q3591">
        <v>-0.98662986325258195</v>
      </c>
      <c r="R3591">
        <v>1.15986668684949E-2</v>
      </c>
      <c r="S3591">
        <v>15.2169245512841</v>
      </c>
      <c r="T3591">
        <v>-2.0529626407440098</v>
      </c>
      <c r="U3591">
        <v>-4.90731901934533</v>
      </c>
      <c r="V3591">
        <v>5.49929491945646E-2</v>
      </c>
      <c r="W3591">
        <v>0.50667104474271896</v>
      </c>
      <c r="X3591">
        <v>0</v>
      </c>
      <c r="Y3591">
        <v>0</v>
      </c>
    </row>
    <row r="3592" spans="1:25" x14ac:dyDescent="0.2">
      <c r="A3592" t="s">
        <v>13212</v>
      </c>
      <c r="B3592" t="s">
        <v>13213</v>
      </c>
      <c r="C3592" t="s">
        <v>13214</v>
      </c>
      <c r="D3592" t="s">
        <v>93</v>
      </c>
      <c r="E3592" t="s">
        <v>13213</v>
      </c>
      <c r="F3592" t="s">
        <v>28</v>
      </c>
      <c r="G3592" t="s">
        <v>13213</v>
      </c>
      <c r="H3592" t="str">
        <f>"tiar-2"</f>
        <v>tiar-2</v>
      </c>
      <c r="I3592" t="s">
        <v>93</v>
      </c>
      <c r="J3592" t="s">
        <v>29</v>
      </c>
      <c r="K3592">
        <v>13.1417493265613</v>
      </c>
      <c r="L3592">
        <v>12.747511092577</v>
      </c>
      <c r="M3592">
        <v>12.6069492944956</v>
      </c>
      <c r="N3592">
        <v>12.8633812881003</v>
      </c>
      <c r="O3592">
        <v>12.475723359907599</v>
      </c>
      <c r="P3592">
        <v>-0.29594556206796702</v>
      </c>
      <c r="Q3592">
        <v>-0.99215484762955797</v>
      </c>
      <c r="R3592">
        <v>0.40026372349362399</v>
      </c>
      <c r="S3592">
        <v>13.514016547964101</v>
      </c>
      <c r="T3592">
        <v>-0.91235511932259705</v>
      </c>
      <c r="U3592">
        <v>-6.3446408223925896</v>
      </c>
      <c r="V3592">
        <v>0.377139785165923</v>
      </c>
      <c r="W3592">
        <v>0.89651514645156505</v>
      </c>
      <c r="X3592">
        <v>0</v>
      </c>
      <c r="Y3592">
        <v>0</v>
      </c>
    </row>
    <row r="3593" spans="1:25" x14ac:dyDescent="0.2">
      <c r="A3593" t="s">
        <v>13215</v>
      </c>
      <c r="B3593" t="s">
        <v>13216</v>
      </c>
      <c r="C3593" t="s">
        <v>13217</v>
      </c>
      <c r="D3593" t="s">
        <v>13218</v>
      </c>
      <c r="E3593" t="s">
        <v>13216</v>
      </c>
      <c r="F3593" t="s">
        <v>28</v>
      </c>
      <c r="G3593" t="s">
        <v>13216</v>
      </c>
      <c r="H3593" t="str">
        <f>"vps-2"</f>
        <v>vps-2</v>
      </c>
      <c r="I3593" t="s">
        <v>13218</v>
      </c>
      <c r="J3593">
        <v>10.4529164811795</v>
      </c>
      <c r="K3593">
        <v>10.4668708270918</v>
      </c>
      <c r="L3593">
        <v>10.508034698921399</v>
      </c>
      <c r="M3593" t="s">
        <v>29</v>
      </c>
      <c r="N3593">
        <v>10.622101644587699</v>
      </c>
      <c r="O3593" t="s">
        <v>29</v>
      </c>
      <c r="P3593">
        <v>0.14616097552346999</v>
      </c>
      <c r="Q3593">
        <v>-0.47621297285797098</v>
      </c>
      <c r="R3593">
        <v>0.76853492390491096</v>
      </c>
      <c r="S3593">
        <v>10.808822878744699</v>
      </c>
      <c r="T3593">
        <v>0.50404802837912299</v>
      </c>
      <c r="U3593">
        <v>-6.4088780733961901</v>
      </c>
      <c r="V3593">
        <v>0.62212500761927503</v>
      </c>
      <c r="W3593">
        <v>0.97279262440453396</v>
      </c>
      <c r="X3593">
        <v>0</v>
      </c>
      <c r="Y3593">
        <v>0</v>
      </c>
    </row>
    <row r="3594" spans="1:25" x14ac:dyDescent="0.2">
      <c r="A3594" t="s">
        <v>13219</v>
      </c>
      <c r="B3594" t="s">
        <v>13220</v>
      </c>
      <c r="C3594" t="s">
        <v>13221</v>
      </c>
      <c r="D3594" t="s">
        <v>13222</v>
      </c>
      <c r="E3594" t="s">
        <v>13220</v>
      </c>
      <c r="F3594" t="s">
        <v>28</v>
      </c>
      <c r="G3594" t="s">
        <v>13220</v>
      </c>
      <c r="H3594" t="str">
        <f>"snrp-200"</f>
        <v>snrp-200</v>
      </c>
      <c r="I3594" t="s">
        <v>13222</v>
      </c>
      <c r="J3594">
        <v>16.659833906279601</v>
      </c>
      <c r="K3594">
        <v>16.508587732659901</v>
      </c>
      <c r="L3594">
        <v>16.314335839035898</v>
      </c>
      <c r="M3594">
        <v>16.361098907488099</v>
      </c>
      <c r="N3594">
        <v>16.286375099102099</v>
      </c>
      <c r="O3594">
        <v>16.278867220573702</v>
      </c>
      <c r="P3594">
        <v>-0.18547208360383699</v>
      </c>
      <c r="Q3594">
        <v>-0.48319772992779197</v>
      </c>
      <c r="R3594">
        <v>0.11225356272011699</v>
      </c>
      <c r="S3594">
        <v>16.370066540486398</v>
      </c>
      <c r="T3594">
        <v>-1.3093471803411401</v>
      </c>
      <c r="U3594">
        <v>-6.0274903840778702</v>
      </c>
      <c r="V3594">
        <v>0.206980091893982</v>
      </c>
      <c r="W3594">
        <v>0.79075284576134597</v>
      </c>
      <c r="X3594">
        <v>0</v>
      </c>
      <c r="Y3594">
        <v>0</v>
      </c>
    </row>
    <row r="3595" spans="1:25" x14ac:dyDescent="0.2">
      <c r="A3595" t="s">
        <v>13223</v>
      </c>
      <c r="B3595" t="s">
        <v>13224</v>
      </c>
      <c r="C3595" t="s">
        <v>13225</v>
      </c>
      <c r="D3595" t="s">
        <v>13226</v>
      </c>
      <c r="E3595" t="s">
        <v>13224</v>
      </c>
      <c r="F3595" t="s">
        <v>28</v>
      </c>
      <c r="G3595" t="s">
        <v>13224</v>
      </c>
      <c r="H3595" t="str">
        <f>"pisy-1"</f>
        <v>pisy-1</v>
      </c>
      <c r="I3595" t="s">
        <v>13226</v>
      </c>
      <c r="J3595">
        <v>13.4692579277842</v>
      </c>
      <c r="K3595">
        <v>15.305521444575101</v>
      </c>
      <c r="L3595">
        <v>14.631689549741401</v>
      </c>
      <c r="M3595">
        <v>14.1101826199182</v>
      </c>
      <c r="N3595" t="s">
        <v>29</v>
      </c>
      <c r="O3595">
        <v>14.7422818581651</v>
      </c>
      <c r="P3595">
        <v>-4.25907349919026E-2</v>
      </c>
      <c r="Q3595">
        <v>-1.40129726087002</v>
      </c>
      <c r="R3595">
        <v>1.31611579088622</v>
      </c>
      <c r="S3595">
        <v>15.0793282280219</v>
      </c>
      <c r="T3595">
        <v>-6.7279284821567004E-2</v>
      </c>
      <c r="U3595">
        <v>-6.7698102098052297</v>
      </c>
      <c r="V3595">
        <v>0.94731788098300396</v>
      </c>
      <c r="W3595">
        <v>0.99968702248720698</v>
      </c>
      <c r="X3595">
        <v>0</v>
      </c>
      <c r="Y3595">
        <v>0</v>
      </c>
    </row>
    <row r="3596" spans="1:25" x14ac:dyDescent="0.2">
      <c r="A3596" t="s">
        <v>13227</v>
      </c>
      <c r="B3596" t="s">
        <v>13228</v>
      </c>
      <c r="C3596" t="s">
        <v>13229</v>
      </c>
      <c r="D3596" t="s">
        <v>6796</v>
      </c>
      <c r="E3596" t="s">
        <v>13228</v>
      </c>
      <c r="F3596" t="s">
        <v>28</v>
      </c>
      <c r="G3596" t="s">
        <v>13228</v>
      </c>
      <c r="H3596" t="str">
        <f>"puf-3"</f>
        <v>puf-3</v>
      </c>
      <c r="I3596" t="s">
        <v>6796</v>
      </c>
      <c r="J3596">
        <v>12.8945672925273</v>
      </c>
      <c r="K3596">
        <v>12.8709860039279</v>
      </c>
      <c r="L3596">
        <v>13.36764355957</v>
      </c>
      <c r="M3596">
        <v>13.1050776201871</v>
      </c>
      <c r="N3596">
        <v>13.6665163709763</v>
      </c>
      <c r="O3596">
        <v>12.8994798239835</v>
      </c>
      <c r="P3596">
        <v>0.17929231970720799</v>
      </c>
      <c r="Q3596">
        <v>-0.54322160254209695</v>
      </c>
      <c r="R3596">
        <v>0.90180624195651404</v>
      </c>
      <c r="S3596">
        <v>13.540116646724501</v>
      </c>
      <c r="T3596">
        <v>0.52379998223315405</v>
      </c>
      <c r="U3596">
        <v>-6.7398516432649904</v>
      </c>
      <c r="V3596">
        <v>0.60722116049774699</v>
      </c>
      <c r="W3596">
        <v>0.97103528123305605</v>
      </c>
      <c r="X3596">
        <v>0</v>
      </c>
      <c r="Y3596">
        <v>0</v>
      </c>
    </row>
    <row r="3597" spans="1:25" x14ac:dyDescent="0.2">
      <c r="A3597" t="s">
        <v>13230</v>
      </c>
      <c r="B3597" t="s">
        <v>13231</v>
      </c>
      <c r="C3597" t="s">
        <v>13232</v>
      </c>
      <c r="D3597" t="s">
        <v>13233</v>
      </c>
      <c r="E3597" t="s">
        <v>13231</v>
      </c>
      <c r="F3597" t="s">
        <v>28</v>
      </c>
      <c r="G3597" t="s">
        <v>13231</v>
      </c>
      <c r="H3597" t="str">
        <f>"mrp-7"</f>
        <v>mrp-7</v>
      </c>
      <c r="I3597" t="s">
        <v>13233</v>
      </c>
      <c r="J3597">
        <v>13.269530104831301</v>
      </c>
      <c r="K3597">
        <v>13.191703651455899</v>
      </c>
      <c r="L3597">
        <v>12.9335657870727</v>
      </c>
      <c r="M3597">
        <v>13.079343335412799</v>
      </c>
      <c r="N3597">
        <v>13.3158574365874</v>
      </c>
      <c r="O3597">
        <v>12.5907771486999</v>
      </c>
      <c r="P3597">
        <v>-0.13627387421998299</v>
      </c>
      <c r="Q3597">
        <v>-0.86983010300752595</v>
      </c>
      <c r="R3597">
        <v>0.59728235456756096</v>
      </c>
      <c r="S3597">
        <v>13.327697417756999</v>
      </c>
      <c r="T3597">
        <v>-0.39212922131024402</v>
      </c>
      <c r="U3597">
        <v>-6.8022641044392902</v>
      </c>
      <c r="V3597">
        <v>0.69986518084114002</v>
      </c>
      <c r="W3597">
        <v>0.98642420921484297</v>
      </c>
      <c r="X3597">
        <v>0</v>
      </c>
      <c r="Y3597">
        <v>0</v>
      </c>
    </row>
    <row r="3598" spans="1:25" x14ac:dyDescent="0.2">
      <c r="A3598" t="s">
        <v>13234</v>
      </c>
      <c r="B3598" t="s">
        <v>13235</v>
      </c>
      <c r="C3598" t="s">
        <v>13236</v>
      </c>
      <c r="D3598" t="s">
        <v>4609</v>
      </c>
      <c r="E3598" t="s">
        <v>13235</v>
      </c>
      <c r="F3598" t="s">
        <v>28</v>
      </c>
      <c r="G3598" t="s">
        <v>13235</v>
      </c>
      <c r="H3598" t="str">
        <f>"set-24"</f>
        <v>set-24</v>
      </c>
      <c r="I3598" t="s">
        <v>4609</v>
      </c>
      <c r="J3598">
        <v>16.1018061338983</v>
      </c>
      <c r="K3598">
        <v>12.1589451518728</v>
      </c>
      <c r="L3598" t="s">
        <v>29</v>
      </c>
      <c r="M3598" t="s">
        <v>29</v>
      </c>
      <c r="N3598">
        <v>11.2797108713975</v>
      </c>
      <c r="O3598">
        <v>11.8778754823066</v>
      </c>
      <c r="P3598">
        <v>-2.5515824660334498</v>
      </c>
      <c r="Q3598">
        <v>-4.6220104490626603</v>
      </c>
      <c r="R3598">
        <v>-0.48115448300424402</v>
      </c>
      <c r="S3598">
        <v>12.0061690178561</v>
      </c>
      <c r="T3598">
        <v>-2.6877847954174698</v>
      </c>
      <c r="U3598">
        <v>-3.6824690792816699</v>
      </c>
      <c r="V3598">
        <v>1.98814013007481E-2</v>
      </c>
      <c r="W3598">
        <v>0.28642988540644798</v>
      </c>
      <c r="X3598">
        <v>-1</v>
      </c>
      <c r="Y3598">
        <v>0</v>
      </c>
    </row>
    <row r="3599" spans="1:25" x14ac:dyDescent="0.2">
      <c r="A3599" t="s">
        <v>13237</v>
      </c>
      <c r="B3599" t="s">
        <v>13238</v>
      </c>
      <c r="C3599" t="s">
        <v>13239</v>
      </c>
      <c r="D3599" t="s">
        <v>13240</v>
      </c>
      <c r="E3599" t="s">
        <v>13238</v>
      </c>
      <c r="F3599" t="s">
        <v>28</v>
      </c>
      <c r="G3599" t="s">
        <v>13238</v>
      </c>
      <c r="H3599" t="str">
        <f>"fcd-2"</f>
        <v>fcd-2</v>
      </c>
      <c r="I3599" t="s">
        <v>13240</v>
      </c>
      <c r="J3599">
        <v>12.538249408221899</v>
      </c>
      <c r="K3599">
        <v>11.520679046114701</v>
      </c>
      <c r="L3599">
        <v>11.5559968601448</v>
      </c>
      <c r="M3599" t="s">
        <v>29</v>
      </c>
      <c r="N3599" t="s">
        <v>29</v>
      </c>
      <c r="O3599" t="s">
        <v>29</v>
      </c>
      <c r="P3599" t="s">
        <v>29</v>
      </c>
      <c r="Q3599" t="s">
        <v>29</v>
      </c>
      <c r="R3599" t="s">
        <v>29</v>
      </c>
      <c r="S3599">
        <v>12.2521626479632</v>
      </c>
      <c r="T3599" t="s">
        <v>29</v>
      </c>
      <c r="U3599" t="s">
        <v>29</v>
      </c>
      <c r="V3599" t="s">
        <v>29</v>
      </c>
      <c r="W3599" t="s">
        <v>29</v>
      </c>
      <c r="X3599" t="s">
        <v>29</v>
      </c>
      <c r="Y3599" t="s">
        <v>29</v>
      </c>
    </row>
    <row r="3600" spans="1:25" x14ac:dyDescent="0.2">
      <c r="A3600" t="s">
        <v>13241</v>
      </c>
      <c r="B3600" t="s">
        <v>13242</v>
      </c>
      <c r="C3600" t="s">
        <v>13243</v>
      </c>
      <c r="D3600" t="s">
        <v>13244</v>
      </c>
      <c r="E3600" t="s">
        <v>13242</v>
      </c>
      <c r="F3600" t="s">
        <v>28</v>
      </c>
      <c r="G3600" t="s">
        <v>13242</v>
      </c>
      <c r="H3600" t="str">
        <f>"eef-1B.2"</f>
        <v>eef-1B.2</v>
      </c>
      <c r="I3600" t="s">
        <v>13244</v>
      </c>
      <c r="J3600">
        <v>12.6896394093905</v>
      </c>
      <c r="K3600">
        <v>12.4268030200898</v>
      </c>
      <c r="L3600">
        <v>12.531103317463399</v>
      </c>
      <c r="M3600">
        <v>14.175129843362701</v>
      </c>
      <c r="N3600">
        <v>13.665808664306001</v>
      </c>
      <c r="O3600">
        <v>13.571703901612601</v>
      </c>
      <c r="P3600">
        <v>1.25503222077918</v>
      </c>
      <c r="Q3600">
        <v>0.703648835419041</v>
      </c>
      <c r="R3600">
        <v>1.80641560613932</v>
      </c>
      <c r="S3600">
        <v>13.243866146573399</v>
      </c>
      <c r="T3600">
        <v>4.7840280056605398</v>
      </c>
      <c r="U3600">
        <v>0.775841215276729</v>
      </c>
      <c r="V3600">
        <v>1.5077602887141601E-4</v>
      </c>
      <c r="W3600">
        <v>7.0136117840784804E-3</v>
      </c>
      <c r="X3600">
        <v>1</v>
      </c>
      <c r="Y3600">
        <v>1</v>
      </c>
    </row>
    <row r="3601" spans="1:25" x14ac:dyDescent="0.2">
      <c r="A3601" t="s">
        <v>13245</v>
      </c>
      <c r="B3601" t="s">
        <v>13246</v>
      </c>
      <c r="C3601" t="s">
        <v>14726</v>
      </c>
      <c r="D3601" t="s">
        <v>13247</v>
      </c>
      <c r="E3601" t="s">
        <v>13246</v>
      </c>
      <c r="F3601" t="s">
        <v>28</v>
      </c>
      <c r="G3601" t="s">
        <v>13246</v>
      </c>
      <c r="H3601" t="str">
        <f>"Y41C4A.9"</f>
        <v>Y41C4A.9</v>
      </c>
      <c r="I3601" t="s">
        <v>13247</v>
      </c>
      <c r="J3601">
        <v>12.774993560738601</v>
      </c>
      <c r="K3601">
        <v>12.856530575261599</v>
      </c>
      <c r="L3601">
        <v>12.6783278742036</v>
      </c>
      <c r="M3601">
        <v>12.7271218673101</v>
      </c>
      <c r="N3601">
        <v>12.253630119647701</v>
      </c>
      <c r="O3601">
        <v>12.5836306509363</v>
      </c>
      <c r="P3601">
        <v>-0.248489790769927</v>
      </c>
      <c r="Q3601">
        <v>-0.72684125083159601</v>
      </c>
      <c r="R3601">
        <v>0.22986166929174201</v>
      </c>
      <c r="S3601">
        <v>12.565988455726901</v>
      </c>
      <c r="T3601">
        <v>-1.0965071291277899</v>
      </c>
      <c r="U3601">
        <v>-6.2739414342616504</v>
      </c>
      <c r="V3601">
        <v>0.28824081517015399</v>
      </c>
      <c r="W3601">
        <v>0.856190392347986</v>
      </c>
      <c r="X3601">
        <v>0</v>
      </c>
      <c r="Y3601">
        <v>0</v>
      </c>
    </row>
    <row r="3602" spans="1:25" x14ac:dyDescent="0.2">
      <c r="A3602" t="s">
        <v>13248</v>
      </c>
      <c r="B3602" t="s">
        <v>13249</v>
      </c>
      <c r="C3602" t="s">
        <v>13250</v>
      </c>
      <c r="D3602" t="s">
        <v>13251</v>
      </c>
      <c r="E3602" t="s">
        <v>13249</v>
      </c>
      <c r="F3602" t="s">
        <v>28</v>
      </c>
      <c r="G3602" t="s">
        <v>13249</v>
      </c>
      <c r="H3602" t="str">
        <f>"slc-25a46"</f>
        <v>slc-25a46</v>
      </c>
      <c r="I3602" t="s">
        <v>13251</v>
      </c>
      <c r="J3602">
        <v>12.427121521140201</v>
      </c>
      <c r="K3602">
        <v>12.098347454457899</v>
      </c>
      <c r="L3602">
        <v>12.1852030117666</v>
      </c>
      <c r="M3602" t="s">
        <v>29</v>
      </c>
      <c r="N3602">
        <v>12.179579655480101</v>
      </c>
      <c r="O3602">
        <v>12.2555973356609</v>
      </c>
      <c r="P3602">
        <v>-1.9302166884429501E-2</v>
      </c>
      <c r="Q3602">
        <v>-0.51620064930169096</v>
      </c>
      <c r="R3602">
        <v>0.477596315532831</v>
      </c>
      <c r="S3602">
        <v>12.428655626111899</v>
      </c>
      <c r="T3602">
        <v>-8.23925464700416E-2</v>
      </c>
      <c r="U3602">
        <v>-6.7686440978089797</v>
      </c>
      <c r="V3602">
        <v>0.93536319861866601</v>
      </c>
      <c r="W3602">
        <v>0.99926809132575301</v>
      </c>
      <c r="X3602">
        <v>0</v>
      </c>
      <c r="Y3602">
        <v>0</v>
      </c>
    </row>
    <row r="3603" spans="1:25" x14ac:dyDescent="0.2">
      <c r="A3603" t="s">
        <v>13252</v>
      </c>
      <c r="B3603" t="s">
        <v>13253</v>
      </c>
      <c r="C3603" t="s">
        <v>14727</v>
      </c>
      <c r="D3603" t="s">
        <v>107</v>
      </c>
      <c r="E3603" t="s">
        <v>13253</v>
      </c>
      <c r="F3603" t="s">
        <v>28</v>
      </c>
      <c r="G3603" t="s">
        <v>13253</v>
      </c>
      <c r="H3603" t="str">
        <f>"Y39E4B.5"</f>
        <v>Y39E4B.5</v>
      </c>
      <c r="I3603" t="s">
        <v>107</v>
      </c>
      <c r="J3603">
        <v>11.819632698401101</v>
      </c>
      <c r="K3603">
        <v>11.846860791118999</v>
      </c>
      <c r="L3603">
        <v>12.560809977379799</v>
      </c>
      <c r="M3603">
        <v>12.1418009792625</v>
      </c>
      <c r="N3603">
        <v>12.401518939350201</v>
      </c>
      <c r="O3603">
        <v>11.4907666526447</v>
      </c>
      <c r="P3603">
        <v>-6.4405631880823905E-2</v>
      </c>
      <c r="Q3603">
        <v>-0.69876156342697604</v>
      </c>
      <c r="R3603">
        <v>0.56995029966532895</v>
      </c>
      <c r="S3603">
        <v>12.5118045377322</v>
      </c>
      <c r="T3603">
        <v>-0.214309218939636</v>
      </c>
      <c r="U3603">
        <v>-6.85844987508725</v>
      </c>
      <c r="V3603">
        <v>0.83287117322016202</v>
      </c>
      <c r="W3603">
        <v>0.99370240586176295</v>
      </c>
      <c r="X3603">
        <v>0</v>
      </c>
      <c r="Y3603">
        <v>0</v>
      </c>
    </row>
    <row r="3604" spans="1:25" x14ac:dyDescent="0.2">
      <c r="A3604" t="s">
        <v>13254</v>
      </c>
      <c r="B3604" t="s">
        <v>13255</v>
      </c>
      <c r="C3604" t="s">
        <v>13256</v>
      </c>
      <c r="D3604" t="s">
        <v>13257</v>
      </c>
      <c r="E3604" t="s">
        <v>13255</v>
      </c>
      <c r="F3604" t="s">
        <v>28</v>
      </c>
      <c r="G3604" t="s">
        <v>13255</v>
      </c>
      <c r="H3604" t="str">
        <f>"snpc-1.2"</f>
        <v>snpc-1.2</v>
      </c>
      <c r="I3604" t="s">
        <v>13257</v>
      </c>
      <c r="J3604" t="s">
        <v>29</v>
      </c>
      <c r="K3604">
        <v>12.6383691473771</v>
      </c>
      <c r="L3604" t="s">
        <v>29</v>
      </c>
      <c r="M3604" t="s">
        <v>29</v>
      </c>
      <c r="N3604" t="s">
        <v>29</v>
      </c>
      <c r="O3604">
        <v>12.481895382922801</v>
      </c>
      <c r="P3604">
        <v>-0.15647376445428801</v>
      </c>
      <c r="Q3604">
        <v>-2.4560059113810602</v>
      </c>
      <c r="R3604">
        <v>2.1430583824724798</v>
      </c>
      <c r="S3604">
        <v>12.1815080228632</v>
      </c>
      <c r="T3604">
        <v>-0.15420780337076201</v>
      </c>
      <c r="U3604">
        <v>-6.3305792872867501</v>
      </c>
      <c r="V3604">
        <v>0.88088791328358795</v>
      </c>
      <c r="W3604">
        <v>0.99702926582654094</v>
      </c>
      <c r="X3604">
        <v>0</v>
      </c>
      <c r="Y3604">
        <v>0</v>
      </c>
    </row>
    <row r="3605" spans="1:25" x14ac:dyDescent="0.2">
      <c r="A3605" t="s">
        <v>13258</v>
      </c>
      <c r="B3605" t="s">
        <v>13259</v>
      </c>
      <c r="C3605" t="s">
        <v>13260</v>
      </c>
      <c r="D3605" t="s">
        <v>13261</v>
      </c>
      <c r="E3605" t="s">
        <v>13259</v>
      </c>
      <c r="F3605" t="s">
        <v>28</v>
      </c>
      <c r="G3605" t="s">
        <v>13259</v>
      </c>
      <c r="H3605" t="str">
        <f>"abce-1"</f>
        <v>abce-1</v>
      </c>
      <c r="I3605" t="s">
        <v>13261</v>
      </c>
      <c r="J3605">
        <v>14.490643645944999</v>
      </c>
      <c r="K3605">
        <v>14.6081676415993</v>
      </c>
      <c r="L3605">
        <v>14.601208374818899</v>
      </c>
      <c r="M3605">
        <v>14.627066392395699</v>
      </c>
      <c r="N3605">
        <v>14.7263245184838</v>
      </c>
      <c r="O3605">
        <v>14.829293182829</v>
      </c>
      <c r="P3605">
        <v>0.160888143781758</v>
      </c>
      <c r="Q3605">
        <v>-0.21183254955306699</v>
      </c>
      <c r="R3605">
        <v>0.53360883711658302</v>
      </c>
      <c r="S3605">
        <v>14.432556626328701</v>
      </c>
      <c r="T3605">
        <v>0.911151404493729</v>
      </c>
      <c r="U3605">
        <v>-6.4578142664409199</v>
      </c>
      <c r="V3605">
        <v>0.375033037390685</v>
      </c>
      <c r="W3605">
        <v>0.89611784539566797</v>
      </c>
      <c r="X3605">
        <v>0</v>
      </c>
      <c r="Y3605">
        <v>0</v>
      </c>
    </row>
    <row r="3606" spans="1:25" x14ac:dyDescent="0.2">
      <c r="A3606" s="28" t="s">
        <v>13262</v>
      </c>
      <c r="B3606" s="28" t="s">
        <v>13263</v>
      </c>
      <c r="C3606" s="28" t="s">
        <v>13264</v>
      </c>
      <c r="D3606" s="28" t="s">
        <v>4483</v>
      </c>
      <c r="E3606" s="28" t="s">
        <v>13263</v>
      </c>
      <c r="F3606" s="28" t="s">
        <v>28</v>
      </c>
      <c r="G3606" s="28" t="s">
        <v>13263</v>
      </c>
      <c r="H3606" s="28" t="str">
        <f>"mlt-3"</f>
        <v>mlt-3</v>
      </c>
      <c r="I3606" s="28" t="s">
        <v>4483</v>
      </c>
      <c r="J3606" s="28">
        <v>12.0313594007247</v>
      </c>
      <c r="K3606" s="28">
        <v>10.1472465554517</v>
      </c>
      <c r="L3606" s="28">
        <v>11.3353312261752</v>
      </c>
      <c r="M3606" s="28">
        <v>12.1452116412697</v>
      </c>
      <c r="N3606" s="28">
        <v>12.345214439265501</v>
      </c>
      <c r="O3606" s="28">
        <v>12.3532540682536</v>
      </c>
      <c r="P3606" s="28">
        <v>1.10991432214568</v>
      </c>
      <c r="Q3606" s="28">
        <v>0.236627473013755</v>
      </c>
      <c r="R3606" s="28">
        <v>1.9832011712776101</v>
      </c>
      <c r="S3606" s="28">
        <v>14.367618206001501</v>
      </c>
      <c r="T3606" s="28">
        <v>2.6713146659382798</v>
      </c>
      <c r="U3606" s="28">
        <v>-3.7507541408803502</v>
      </c>
      <c r="V3606" s="28">
        <v>1.5624165578910099E-2</v>
      </c>
      <c r="W3606" s="28">
        <v>0.24297767778791099</v>
      </c>
      <c r="X3606" s="28">
        <v>1</v>
      </c>
      <c r="Y3606" s="28">
        <v>0</v>
      </c>
    </row>
    <row r="3607" spans="1:25" x14ac:dyDescent="0.2">
      <c r="A3607" t="s">
        <v>13265</v>
      </c>
      <c r="B3607" t="s">
        <v>13266</v>
      </c>
      <c r="C3607" t="s">
        <v>13267</v>
      </c>
      <c r="D3607" t="s">
        <v>13268</v>
      </c>
      <c r="E3607" t="s">
        <v>13266</v>
      </c>
      <c r="F3607" t="s">
        <v>28</v>
      </c>
      <c r="G3607" t="s">
        <v>13266</v>
      </c>
      <c r="H3607" t="str">
        <f>"dpy-28"</f>
        <v>dpy-28</v>
      </c>
      <c r="I3607" t="s">
        <v>13268</v>
      </c>
      <c r="J3607">
        <v>11.8319361695316</v>
      </c>
      <c r="K3607">
        <v>12.241761503006501</v>
      </c>
      <c r="L3607">
        <v>12.2088309069571</v>
      </c>
      <c r="M3607">
        <v>11.933711677333299</v>
      </c>
      <c r="N3607">
        <v>12.4418958635795</v>
      </c>
      <c r="O3607">
        <v>12.293141508580799</v>
      </c>
      <c r="P3607">
        <v>0.128740156666135</v>
      </c>
      <c r="Q3607">
        <v>-0.29926945721533599</v>
      </c>
      <c r="R3607">
        <v>0.55674977054760599</v>
      </c>
      <c r="S3607">
        <v>12.7699787378175</v>
      </c>
      <c r="T3607">
        <v>0.63490759496118598</v>
      </c>
      <c r="U3607">
        <v>-6.6737135361489504</v>
      </c>
      <c r="V3607">
        <v>0.53399329795525896</v>
      </c>
      <c r="W3607">
        <v>0.94494516919629801</v>
      </c>
      <c r="X3607">
        <v>0</v>
      </c>
      <c r="Y3607">
        <v>0</v>
      </c>
    </row>
    <row r="3608" spans="1:25" x14ac:dyDescent="0.2">
      <c r="A3608" t="s">
        <v>13269</v>
      </c>
      <c r="B3608" t="s">
        <v>13270</v>
      </c>
      <c r="C3608" t="s">
        <v>13271</v>
      </c>
      <c r="D3608" t="s">
        <v>13272</v>
      </c>
      <c r="E3608" t="s">
        <v>13270</v>
      </c>
      <c r="F3608" t="s">
        <v>28</v>
      </c>
      <c r="G3608" t="s">
        <v>13270</v>
      </c>
      <c r="H3608" t="str">
        <f>"hphd-1"</f>
        <v>hphd-1</v>
      </c>
      <c r="I3608" t="s">
        <v>13272</v>
      </c>
      <c r="J3608">
        <v>15.9256726985444</v>
      </c>
      <c r="K3608">
        <v>15.8529895875197</v>
      </c>
      <c r="L3608">
        <v>16.160857709263901</v>
      </c>
      <c r="M3608">
        <v>15.376146458803101</v>
      </c>
      <c r="N3608">
        <v>15.819624110660399</v>
      </c>
      <c r="O3608">
        <v>15.323643130041599</v>
      </c>
      <c r="P3608">
        <v>-0.47336876527432098</v>
      </c>
      <c r="Q3608">
        <v>-1.02415833487868</v>
      </c>
      <c r="R3608">
        <v>7.7420804330040296E-2</v>
      </c>
      <c r="S3608">
        <v>15.5658314008229</v>
      </c>
      <c r="T3608">
        <v>-1.80636871875828</v>
      </c>
      <c r="U3608">
        <v>-5.3178204174951604</v>
      </c>
      <c r="V3608">
        <v>8.7707839350779901E-2</v>
      </c>
      <c r="W3608">
        <v>0.62237033978549094</v>
      </c>
      <c r="X3608">
        <v>0</v>
      </c>
      <c r="Y3608">
        <v>0</v>
      </c>
    </row>
    <row r="3609" spans="1:25" x14ac:dyDescent="0.2">
      <c r="A3609" t="s">
        <v>13273</v>
      </c>
      <c r="B3609" t="s">
        <v>13274</v>
      </c>
      <c r="C3609" t="s">
        <v>13275</v>
      </c>
      <c r="D3609" t="s">
        <v>13276</v>
      </c>
      <c r="E3609" t="s">
        <v>13274</v>
      </c>
      <c r="F3609" t="s">
        <v>28</v>
      </c>
      <c r="G3609" t="s">
        <v>13274</v>
      </c>
      <c r="H3609" t="str">
        <f>"Y37H9A.3"</f>
        <v>Y37H9A.3</v>
      </c>
      <c r="I3609" t="s">
        <v>13276</v>
      </c>
      <c r="J3609">
        <v>13.0559677963301</v>
      </c>
      <c r="K3609">
        <v>12.5626741772827</v>
      </c>
      <c r="L3609">
        <v>12.6837291451721</v>
      </c>
      <c r="M3609">
        <v>12.563685384508901</v>
      </c>
      <c r="N3609">
        <v>12.4788847076574</v>
      </c>
      <c r="O3609">
        <v>12.645954234998801</v>
      </c>
      <c r="P3609">
        <v>-0.204615597206597</v>
      </c>
      <c r="Q3609">
        <v>-0.78562412975311902</v>
      </c>
      <c r="R3609">
        <v>0.37639293533992402</v>
      </c>
      <c r="S3609">
        <v>11.9962410314777</v>
      </c>
      <c r="T3609">
        <v>-0.74337206757003405</v>
      </c>
      <c r="U3609">
        <v>-6.5975352759649599</v>
      </c>
      <c r="V3609">
        <v>0.46746876680872301</v>
      </c>
      <c r="W3609">
        <v>0.92978583625257705</v>
      </c>
      <c r="X3609">
        <v>0</v>
      </c>
      <c r="Y3609">
        <v>0</v>
      </c>
    </row>
    <row r="3610" spans="1:25" x14ac:dyDescent="0.2">
      <c r="A3610" t="s">
        <v>13277</v>
      </c>
      <c r="B3610" t="s">
        <v>13278</v>
      </c>
      <c r="C3610" t="s">
        <v>14728</v>
      </c>
      <c r="D3610" t="s">
        <v>13279</v>
      </c>
      <c r="E3610" t="s">
        <v>13278</v>
      </c>
      <c r="F3610" t="s">
        <v>28</v>
      </c>
      <c r="G3610" t="s">
        <v>13278</v>
      </c>
      <c r="H3610" t="str">
        <f>"Y37H9A.1"</f>
        <v>Y37H9A.1</v>
      </c>
      <c r="I3610" t="s">
        <v>13279</v>
      </c>
      <c r="J3610">
        <v>12.993349446606199</v>
      </c>
      <c r="K3610" t="s">
        <v>29</v>
      </c>
      <c r="L3610">
        <v>12.807015890576301</v>
      </c>
      <c r="M3610" t="s">
        <v>29</v>
      </c>
      <c r="N3610">
        <v>12.491874161816799</v>
      </c>
      <c r="O3610">
        <v>11.5305888451529</v>
      </c>
      <c r="P3610">
        <v>-0.88895116510634997</v>
      </c>
      <c r="Q3610">
        <v>-2.0553014569225398</v>
      </c>
      <c r="R3610">
        <v>0.27739912670983502</v>
      </c>
      <c r="S3610">
        <v>13.050174046488699</v>
      </c>
      <c r="T3610">
        <v>-1.6622407069463601</v>
      </c>
      <c r="U3610">
        <v>-5.3586301523705604</v>
      </c>
      <c r="V3610">
        <v>0.122569264798865</v>
      </c>
      <c r="W3610">
        <v>0.70940958826195</v>
      </c>
      <c r="X3610">
        <v>0</v>
      </c>
      <c r="Y3610">
        <v>0</v>
      </c>
    </row>
    <row r="3611" spans="1:25" x14ac:dyDescent="0.2">
      <c r="A3611" t="s">
        <v>13280</v>
      </c>
      <c r="B3611" t="s">
        <v>13281</v>
      </c>
      <c r="C3611" t="s">
        <v>14729</v>
      </c>
      <c r="D3611" t="s">
        <v>13282</v>
      </c>
      <c r="E3611" t="s">
        <v>13281</v>
      </c>
      <c r="F3611" t="s">
        <v>28</v>
      </c>
      <c r="G3611" t="s">
        <v>13281</v>
      </c>
      <c r="H3611" t="str">
        <f>"Y37H2A.1"</f>
        <v>Y37H2A.1</v>
      </c>
      <c r="I3611" t="s">
        <v>13282</v>
      </c>
      <c r="J3611" t="s">
        <v>29</v>
      </c>
      <c r="K3611">
        <v>10.382513792029499</v>
      </c>
      <c r="L3611">
        <v>11.949915386084401</v>
      </c>
      <c r="M3611">
        <v>11.650076407199499</v>
      </c>
      <c r="N3611" t="s">
        <v>29</v>
      </c>
      <c r="O3611" t="s">
        <v>29</v>
      </c>
      <c r="P3611">
        <v>0.483861818142584</v>
      </c>
      <c r="Q3611">
        <v>-0.92554184499360204</v>
      </c>
      <c r="R3611">
        <v>1.8932654812787699</v>
      </c>
      <c r="S3611">
        <v>12.4272044510684</v>
      </c>
      <c r="T3611">
        <v>0.74873988703762995</v>
      </c>
      <c r="U3611">
        <v>-6.1934541081667103</v>
      </c>
      <c r="V3611">
        <v>0.468561511622407</v>
      </c>
      <c r="W3611">
        <v>0.92978583625257705</v>
      </c>
      <c r="X3611">
        <v>0</v>
      </c>
      <c r="Y3611">
        <v>0</v>
      </c>
    </row>
    <row r="3612" spans="1:25" x14ac:dyDescent="0.2">
      <c r="A3612" t="s">
        <v>13283</v>
      </c>
      <c r="B3612" t="s">
        <v>13284</v>
      </c>
      <c r="C3612" t="s">
        <v>13285</v>
      </c>
      <c r="D3612" t="s">
        <v>13286</v>
      </c>
      <c r="E3612" t="s">
        <v>13284</v>
      </c>
      <c r="F3612" t="s">
        <v>28</v>
      </c>
      <c r="G3612" t="s">
        <v>13284</v>
      </c>
      <c r="H3612" t="str">
        <f>"pap-1"</f>
        <v>pap-1</v>
      </c>
      <c r="I3612" t="s">
        <v>13286</v>
      </c>
      <c r="J3612">
        <v>14.403702659947699</v>
      </c>
      <c r="K3612">
        <v>14.390267745001401</v>
      </c>
      <c r="L3612">
        <v>14.097356559086601</v>
      </c>
      <c r="M3612">
        <v>14.2973609259108</v>
      </c>
      <c r="N3612">
        <v>14.1652739479419</v>
      </c>
      <c r="O3612">
        <v>14.374856454835999</v>
      </c>
      <c r="P3612">
        <v>-1.7945211782377499E-2</v>
      </c>
      <c r="Q3612">
        <v>-0.58341628569687698</v>
      </c>
      <c r="R3612">
        <v>0.54752586213212195</v>
      </c>
      <c r="S3612">
        <v>14.226283415149</v>
      </c>
      <c r="T3612">
        <v>-6.6700748466764798E-2</v>
      </c>
      <c r="U3612">
        <v>-6.8801652774369</v>
      </c>
      <c r="V3612">
        <v>0.94755950473630501</v>
      </c>
      <c r="W3612">
        <v>0.99968702248720698</v>
      </c>
      <c r="X3612">
        <v>0</v>
      </c>
      <c r="Y3612">
        <v>0</v>
      </c>
    </row>
    <row r="3613" spans="1:25" x14ac:dyDescent="0.2">
      <c r="A3613" t="s">
        <v>13287</v>
      </c>
      <c r="B3613" t="s">
        <v>13288</v>
      </c>
      <c r="C3613" t="s">
        <v>14730</v>
      </c>
      <c r="D3613" t="s">
        <v>13282</v>
      </c>
      <c r="E3613" t="s">
        <v>13288</v>
      </c>
      <c r="F3613" t="s">
        <v>28</v>
      </c>
      <c r="G3613" t="s">
        <v>13288</v>
      </c>
      <c r="H3613" t="str">
        <f>"Y24F12A.1"</f>
        <v>Y24F12A.1</v>
      </c>
      <c r="I3613" t="s">
        <v>13282</v>
      </c>
      <c r="J3613" t="s">
        <v>29</v>
      </c>
      <c r="K3613" t="s">
        <v>29</v>
      </c>
      <c r="L3613" t="s">
        <v>29</v>
      </c>
      <c r="M3613" t="s">
        <v>29</v>
      </c>
      <c r="N3613" t="s">
        <v>29</v>
      </c>
      <c r="O3613" t="s">
        <v>29</v>
      </c>
      <c r="P3613" t="s">
        <v>29</v>
      </c>
      <c r="Q3613" t="s">
        <v>29</v>
      </c>
      <c r="R3613" t="s">
        <v>29</v>
      </c>
      <c r="S3613">
        <v>12.2044492171224</v>
      </c>
      <c r="T3613" t="s">
        <v>29</v>
      </c>
      <c r="U3613" t="s">
        <v>29</v>
      </c>
      <c r="V3613" t="s">
        <v>29</v>
      </c>
      <c r="W3613" t="s">
        <v>29</v>
      </c>
      <c r="X3613" t="s">
        <v>29</v>
      </c>
      <c r="Y3613" t="s">
        <v>29</v>
      </c>
    </row>
    <row r="3614" spans="1:25" x14ac:dyDescent="0.2">
      <c r="A3614" t="s">
        <v>13289</v>
      </c>
      <c r="B3614" t="s">
        <v>13290</v>
      </c>
      <c r="C3614" t="s">
        <v>13291</v>
      </c>
      <c r="D3614" t="s">
        <v>13292</v>
      </c>
      <c r="E3614" t="s">
        <v>13290</v>
      </c>
      <c r="F3614" t="s">
        <v>28</v>
      </c>
      <c r="G3614" t="s">
        <v>13290</v>
      </c>
      <c r="H3614" t="str">
        <f>"gsk-3"</f>
        <v>gsk-3</v>
      </c>
      <c r="I3614" t="s">
        <v>13292</v>
      </c>
      <c r="J3614">
        <v>16.757155776864099</v>
      </c>
      <c r="K3614">
        <v>16.660067495682998</v>
      </c>
      <c r="L3614">
        <v>16.410401594512798</v>
      </c>
      <c r="M3614">
        <v>16.5279485293741</v>
      </c>
      <c r="N3614">
        <v>16.372902661086499</v>
      </c>
      <c r="O3614">
        <v>16.634979957914801</v>
      </c>
      <c r="P3614">
        <v>-9.7264572894804502E-2</v>
      </c>
      <c r="Q3614">
        <v>-0.39883781157323001</v>
      </c>
      <c r="R3614">
        <v>0.204308665783621</v>
      </c>
      <c r="S3614">
        <v>16.2249916080414</v>
      </c>
      <c r="T3614">
        <v>-0.677882460583076</v>
      </c>
      <c r="U3614">
        <v>-6.6454510315269397</v>
      </c>
      <c r="V3614">
        <v>0.50651735970130496</v>
      </c>
      <c r="W3614">
        <v>0.94062983959761604</v>
      </c>
      <c r="X3614">
        <v>0</v>
      </c>
      <c r="Y3614">
        <v>0</v>
      </c>
    </row>
    <row r="3615" spans="1:25" x14ac:dyDescent="0.2">
      <c r="A3615" t="s">
        <v>13293</v>
      </c>
      <c r="B3615" t="s">
        <v>13294</v>
      </c>
      <c r="C3615" t="s">
        <v>13295</v>
      </c>
      <c r="D3615" t="s">
        <v>13296</v>
      </c>
      <c r="E3615" t="s">
        <v>13294</v>
      </c>
      <c r="F3615" t="s">
        <v>28</v>
      </c>
      <c r="G3615" t="s">
        <v>13294</v>
      </c>
      <c r="H3615" t="str">
        <f>"Y17G7B.18"</f>
        <v>Y17G7B.18</v>
      </c>
      <c r="I3615" t="s">
        <v>13296</v>
      </c>
      <c r="J3615">
        <v>13.187405855401099</v>
      </c>
      <c r="K3615">
        <v>13.2122937480177</v>
      </c>
      <c r="L3615">
        <v>12.6662598183357</v>
      </c>
      <c r="M3615">
        <v>12.6134440896135</v>
      </c>
      <c r="N3615">
        <v>12.744353965609699</v>
      </c>
      <c r="O3615">
        <v>12.8616995046198</v>
      </c>
      <c r="P3615">
        <v>-0.282153953970466</v>
      </c>
      <c r="Q3615">
        <v>-0.85082108541067103</v>
      </c>
      <c r="R3615">
        <v>0.28651317746973798</v>
      </c>
      <c r="S3615">
        <v>12.6465418557465</v>
      </c>
      <c r="T3615">
        <v>-1.06492716715334</v>
      </c>
      <c r="U3615">
        <v>-6.3044428688803302</v>
      </c>
      <c r="V3615">
        <v>0.30506509452832398</v>
      </c>
      <c r="W3615">
        <v>0.85855590823088301</v>
      </c>
      <c r="X3615">
        <v>0</v>
      </c>
      <c r="Y3615">
        <v>0</v>
      </c>
    </row>
    <row r="3616" spans="1:25" x14ac:dyDescent="0.2">
      <c r="A3616" t="s">
        <v>13297</v>
      </c>
      <c r="B3616" t="s">
        <v>13298</v>
      </c>
      <c r="C3616" t="s">
        <v>14731</v>
      </c>
      <c r="D3616" t="s">
        <v>107</v>
      </c>
      <c r="E3616" t="s">
        <v>13298</v>
      </c>
      <c r="F3616" t="s">
        <v>28</v>
      </c>
      <c r="G3616" t="s">
        <v>13298</v>
      </c>
      <c r="H3616" t="str">
        <f>"Y15E3A.4"</f>
        <v>Y15E3A.4</v>
      </c>
      <c r="I3616" t="s">
        <v>107</v>
      </c>
      <c r="J3616">
        <v>14.515835399708401</v>
      </c>
      <c r="K3616">
        <v>14.608414663099101</v>
      </c>
      <c r="L3616">
        <v>14.2654877711133</v>
      </c>
      <c r="M3616">
        <v>14.6042077802762</v>
      </c>
      <c r="N3616">
        <v>14.280493972235099</v>
      </c>
      <c r="O3616">
        <v>14.3141756304985</v>
      </c>
      <c r="P3616">
        <v>-6.3620150303641806E-2</v>
      </c>
      <c r="Q3616">
        <v>-0.618295419125236</v>
      </c>
      <c r="R3616">
        <v>0.49105511851795303</v>
      </c>
      <c r="S3616">
        <v>14.3442322188546</v>
      </c>
      <c r="T3616">
        <v>-0.241072905075084</v>
      </c>
      <c r="U3616">
        <v>-6.85217370543731</v>
      </c>
      <c r="V3616">
        <v>0.81223911660581904</v>
      </c>
      <c r="W3616">
        <v>0.99278624068726296</v>
      </c>
      <c r="X3616">
        <v>0</v>
      </c>
      <c r="Y3616">
        <v>0</v>
      </c>
    </row>
    <row r="3617" spans="1:25" x14ac:dyDescent="0.2">
      <c r="A3617" t="s">
        <v>13299</v>
      </c>
      <c r="B3617" t="s">
        <v>13300</v>
      </c>
      <c r="C3617" t="s">
        <v>13301</v>
      </c>
      <c r="D3617" t="s">
        <v>13302</v>
      </c>
      <c r="E3617" t="s">
        <v>13300</v>
      </c>
      <c r="F3617" t="s">
        <v>28</v>
      </c>
      <c r="G3617" t="s">
        <v>13300</v>
      </c>
      <c r="H3617" t="str">
        <f>"arf-6"</f>
        <v>arf-6</v>
      </c>
      <c r="I3617" t="s">
        <v>13302</v>
      </c>
      <c r="J3617">
        <v>14.004349469390601</v>
      </c>
      <c r="K3617">
        <v>13.8244672526274</v>
      </c>
      <c r="L3617">
        <v>13.627406686653501</v>
      </c>
      <c r="M3617">
        <v>13.5441720158941</v>
      </c>
      <c r="N3617">
        <v>13.304748804973</v>
      </c>
      <c r="O3617">
        <v>13.700650989703799</v>
      </c>
      <c r="P3617">
        <v>-0.30221719936688102</v>
      </c>
      <c r="Q3617">
        <v>-0.66047960092607805</v>
      </c>
      <c r="R3617">
        <v>5.6045202192316297E-2</v>
      </c>
      <c r="S3617">
        <v>13.6897732071858</v>
      </c>
      <c r="T3617">
        <v>-1.7892353653295201</v>
      </c>
      <c r="U3617">
        <v>-5.34995099724211</v>
      </c>
      <c r="V3617">
        <v>9.2647138325270204E-2</v>
      </c>
      <c r="W3617">
        <v>0.63555990474004798</v>
      </c>
      <c r="X3617">
        <v>0</v>
      </c>
      <c r="Y3617">
        <v>0</v>
      </c>
    </row>
    <row r="3618" spans="1:25" x14ac:dyDescent="0.2">
      <c r="A3618" t="s">
        <v>13303</v>
      </c>
      <c r="B3618" t="s">
        <v>13304</v>
      </c>
      <c r="C3618" t="s">
        <v>13305</v>
      </c>
      <c r="D3618" t="s">
        <v>13306</v>
      </c>
      <c r="E3618" t="s">
        <v>13304</v>
      </c>
      <c r="F3618" t="s">
        <v>28</v>
      </c>
      <c r="G3618" t="s">
        <v>13304</v>
      </c>
      <c r="H3618" t="str">
        <f>"cyn-13"</f>
        <v>cyn-13</v>
      </c>
      <c r="I3618" t="s">
        <v>13306</v>
      </c>
      <c r="J3618">
        <v>12.2081102623545</v>
      </c>
      <c r="K3618">
        <v>13.0016453065953</v>
      </c>
      <c r="L3618">
        <v>12.9782798614578</v>
      </c>
      <c r="M3618" t="s">
        <v>29</v>
      </c>
      <c r="N3618">
        <v>13.1248568088841</v>
      </c>
      <c r="O3618">
        <v>13.1377720358395</v>
      </c>
      <c r="P3618">
        <v>0.40196927889260098</v>
      </c>
      <c r="Q3618">
        <v>-0.123150061444917</v>
      </c>
      <c r="R3618">
        <v>0.92708861923011898</v>
      </c>
      <c r="S3618">
        <v>12.934369866387099</v>
      </c>
      <c r="T3618">
        <v>1.63258745414532</v>
      </c>
      <c r="U3618">
        <v>-5.4821653109317197</v>
      </c>
      <c r="V3618">
        <v>0.123511219269965</v>
      </c>
      <c r="W3618">
        <v>0.71115110333987097</v>
      </c>
      <c r="X3618">
        <v>0</v>
      </c>
      <c r="Y3618">
        <v>0</v>
      </c>
    </row>
    <row r="3619" spans="1:25" x14ac:dyDescent="0.2">
      <c r="A3619" t="s">
        <v>13307</v>
      </c>
      <c r="B3619" t="s">
        <v>13308</v>
      </c>
      <c r="C3619" t="s">
        <v>13309</v>
      </c>
      <c r="D3619" t="s">
        <v>13310</v>
      </c>
      <c r="E3619" t="s">
        <v>13308</v>
      </c>
      <c r="F3619" t="s">
        <v>28</v>
      </c>
      <c r="G3619" t="s">
        <v>13308</v>
      </c>
      <c r="H3619" t="str">
        <f>"uaf-2"</f>
        <v>uaf-2</v>
      </c>
      <c r="I3619" t="s">
        <v>13310</v>
      </c>
      <c r="J3619" t="s">
        <v>29</v>
      </c>
      <c r="K3619">
        <v>10.2742564855961</v>
      </c>
      <c r="L3619">
        <v>10.5678194494217</v>
      </c>
      <c r="M3619">
        <v>10.413040410743999</v>
      </c>
      <c r="N3619">
        <v>10.4077388296396</v>
      </c>
      <c r="O3619">
        <v>9.8335516334290194</v>
      </c>
      <c r="P3619">
        <v>-0.20292767623796801</v>
      </c>
      <c r="Q3619">
        <v>-0.80394506486665296</v>
      </c>
      <c r="R3619">
        <v>0.398089712390718</v>
      </c>
      <c r="S3619">
        <v>11.136572920254901</v>
      </c>
      <c r="T3619">
        <v>-0.72467977000700601</v>
      </c>
      <c r="U3619">
        <v>-6.4995328370081502</v>
      </c>
      <c r="V3619">
        <v>0.48067429736414002</v>
      </c>
      <c r="W3619">
        <v>0.93764446794243095</v>
      </c>
      <c r="X3619">
        <v>0</v>
      </c>
      <c r="Y3619">
        <v>0</v>
      </c>
    </row>
    <row r="3620" spans="1:25" x14ac:dyDescent="0.2">
      <c r="A3620" t="s">
        <v>13311</v>
      </c>
      <c r="B3620" t="s">
        <v>13312</v>
      </c>
      <c r="C3620" t="s">
        <v>14732</v>
      </c>
      <c r="D3620" t="s">
        <v>13313</v>
      </c>
      <c r="E3620" t="s">
        <v>13312</v>
      </c>
      <c r="F3620" t="s">
        <v>28</v>
      </c>
      <c r="G3620" t="s">
        <v>13312</v>
      </c>
      <c r="H3620" t="str">
        <f>"Y116A8C.27"</f>
        <v>Y116A8C.27</v>
      </c>
      <c r="I3620" t="s">
        <v>13313</v>
      </c>
      <c r="J3620">
        <v>12.949066189671299</v>
      </c>
      <c r="K3620">
        <v>12.3431304886952</v>
      </c>
      <c r="L3620">
        <v>12.8586213659331</v>
      </c>
      <c r="M3620">
        <v>13.2168663646744</v>
      </c>
      <c r="N3620">
        <v>13.310461342487301</v>
      </c>
      <c r="O3620">
        <v>12.435658957506799</v>
      </c>
      <c r="P3620">
        <v>0.27072287345632301</v>
      </c>
      <c r="Q3620">
        <v>-0.295957076025266</v>
      </c>
      <c r="R3620">
        <v>0.83740282293791202</v>
      </c>
      <c r="S3620">
        <v>13.0181238641668</v>
      </c>
      <c r="T3620">
        <v>1.00840993933901</v>
      </c>
      <c r="U3620">
        <v>-6.3650847087609002</v>
      </c>
      <c r="V3620">
        <v>0.32748274423972401</v>
      </c>
      <c r="W3620">
        <v>0.87178721197791498</v>
      </c>
      <c r="X3620">
        <v>0</v>
      </c>
      <c r="Y3620">
        <v>0</v>
      </c>
    </row>
    <row r="3621" spans="1:25" x14ac:dyDescent="0.2">
      <c r="A3621" t="s">
        <v>13314</v>
      </c>
      <c r="B3621" t="s">
        <v>13315</v>
      </c>
      <c r="C3621" t="s">
        <v>13316</v>
      </c>
      <c r="D3621" t="s">
        <v>13317</v>
      </c>
      <c r="E3621" t="s">
        <v>13315</v>
      </c>
      <c r="F3621" t="s">
        <v>28</v>
      </c>
      <c r="G3621" t="s">
        <v>13315</v>
      </c>
      <c r="H3621" t="str">
        <f>"prmt-1"</f>
        <v>prmt-1</v>
      </c>
      <c r="I3621" t="s">
        <v>13317</v>
      </c>
      <c r="J3621">
        <v>16.362504410542002</v>
      </c>
      <c r="K3621">
        <v>16.115344867291999</v>
      </c>
      <c r="L3621">
        <v>15.640407163426501</v>
      </c>
      <c r="M3621">
        <v>16.011529340035899</v>
      </c>
      <c r="N3621">
        <v>15.636863408521499</v>
      </c>
      <c r="O3621">
        <v>16.450190215081399</v>
      </c>
      <c r="P3621">
        <v>-6.5578258738838704E-3</v>
      </c>
      <c r="Q3621">
        <v>-0.81987610245821296</v>
      </c>
      <c r="R3621">
        <v>0.806760450710445</v>
      </c>
      <c r="S3621">
        <v>15.029723963556499</v>
      </c>
      <c r="T3621">
        <v>-1.6946962261970198E-2</v>
      </c>
      <c r="U3621">
        <v>-6.8823395144196402</v>
      </c>
      <c r="V3621">
        <v>0.98666644727450203</v>
      </c>
      <c r="W3621">
        <v>0.99968702248720698</v>
      </c>
      <c r="X3621">
        <v>0</v>
      </c>
      <c r="Y3621">
        <v>0</v>
      </c>
    </row>
    <row r="3622" spans="1:25" x14ac:dyDescent="0.2">
      <c r="A3622" t="s">
        <v>13318</v>
      </c>
      <c r="B3622" t="s">
        <v>13319</v>
      </c>
      <c r="C3622" t="s">
        <v>13320</v>
      </c>
      <c r="D3622" t="s">
        <v>13321</v>
      </c>
      <c r="E3622" t="s">
        <v>13319</v>
      </c>
      <c r="F3622" t="s">
        <v>28</v>
      </c>
      <c r="G3622" t="s">
        <v>13319</v>
      </c>
      <c r="H3622" t="str">
        <f>"cdkr-3"</f>
        <v>cdkr-3</v>
      </c>
      <c r="I3622" t="s">
        <v>13321</v>
      </c>
      <c r="J3622">
        <v>9.3746290607799398</v>
      </c>
      <c r="K3622">
        <v>9.0076505403956606</v>
      </c>
      <c r="L3622" t="s">
        <v>29</v>
      </c>
      <c r="M3622">
        <v>11.9714299338244</v>
      </c>
      <c r="N3622">
        <v>12.1044310674845</v>
      </c>
      <c r="O3622">
        <v>11.764101087641301</v>
      </c>
      <c r="P3622">
        <v>2.7555142290622401</v>
      </c>
      <c r="Q3622">
        <v>2.1697090795515801</v>
      </c>
      <c r="R3622">
        <v>3.3413193785729001</v>
      </c>
      <c r="S3622">
        <v>12.4822228021123</v>
      </c>
      <c r="T3622">
        <v>9.9288622650862806</v>
      </c>
      <c r="U3622">
        <v>9.7783561942587003</v>
      </c>
      <c r="V3622" s="2">
        <v>1.8224492693132401E-8</v>
      </c>
      <c r="W3622" s="2">
        <v>5.0542593068953897E-6</v>
      </c>
      <c r="X3622">
        <v>1</v>
      </c>
      <c r="Y3622">
        <v>1</v>
      </c>
    </row>
    <row r="3623" spans="1:25" x14ac:dyDescent="0.2">
      <c r="A3623" t="s">
        <v>13322</v>
      </c>
      <c r="B3623" t="s">
        <v>13323</v>
      </c>
      <c r="C3623" t="s">
        <v>13324</v>
      </c>
      <c r="D3623" t="s">
        <v>13325</v>
      </c>
      <c r="E3623" t="s">
        <v>13323</v>
      </c>
      <c r="F3623" t="s">
        <v>28</v>
      </c>
      <c r="G3623" t="s">
        <v>13323</v>
      </c>
      <c r="H3623" t="str">
        <f>"sec-23"</f>
        <v>sec-23</v>
      </c>
      <c r="I3623" t="s">
        <v>13325</v>
      </c>
      <c r="J3623">
        <v>17.257412123265699</v>
      </c>
      <c r="K3623">
        <v>17.273665548645798</v>
      </c>
      <c r="L3623">
        <v>16.9374091550456</v>
      </c>
      <c r="M3623">
        <v>17.083005276592999</v>
      </c>
      <c r="N3623">
        <v>16.9530231872276</v>
      </c>
      <c r="O3623">
        <v>17.1820772641323</v>
      </c>
      <c r="P3623">
        <v>-8.3460366334755107E-2</v>
      </c>
      <c r="Q3623">
        <v>-0.48573487971706703</v>
      </c>
      <c r="R3623">
        <v>0.31881414704755701</v>
      </c>
      <c r="S3623">
        <v>16.474921958910301</v>
      </c>
      <c r="T3623">
        <v>-0.43606404758565698</v>
      </c>
      <c r="U3623">
        <v>-6.7836651442783102</v>
      </c>
      <c r="V3623">
        <v>0.66800533646773697</v>
      </c>
      <c r="W3623">
        <v>0.98642420921484297</v>
      </c>
      <c r="X3623">
        <v>0</v>
      </c>
      <c r="Y3623">
        <v>0</v>
      </c>
    </row>
    <row r="3624" spans="1:25" x14ac:dyDescent="0.2">
      <c r="A3624" t="s">
        <v>13326</v>
      </c>
      <c r="B3624" t="s">
        <v>13327</v>
      </c>
      <c r="C3624" t="s">
        <v>13328</v>
      </c>
      <c r="D3624" t="s">
        <v>8346</v>
      </c>
      <c r="E3624" t="s">
        <v>13327</v>
      </c>
      <c r="F3624" t="s">
        <v>28</v>
      </c>
      <c r="G3624" t="s">
        <v>13327</v>
      </c>
      <c r="H3624" t="str">
        <f>"pab-1"</f>
        <v>pab-1</v>
      </c>
      <c r="I3624" t="s">
        <v>8346</v>
      </c>
      <c r="J3624">
        <v>19.3802103415114</v>
      </c>
      <c r="K3624">
        <v>19.658292677531101</v>
      </c>
      <c r="L3624">
        <v>20.096733521561301</v>
      </c>
      <c r="M3624">
        <v>19.563949183085601</v>
      </c>
      <c r="N3624">
        <v>19.945888731319201</v>
      </c>
      <c r="O3624">
        <v>19.481075035279101</v>
      </c>
      <c r="P3624">
        <v>-4.8107863639991401E-2</v>
      </c>
      <c r="Q3624">
        <v>-0.48963896836700499</v>
      </c>
      <c r="R3624">
        <v>0.39342324108702198</v>
      </c>
      <c r="S3624">
        <v>20.059904085126199</v>
      </c>
      <c r="T3624">
        <v>-0.22900622118161801</v>
      </c>
      <c r="U3624">
        <v>-6.8551282483191001</v>
      </c>
      <c r="V3624">
        <v>0.82146089060428795</v>
      </c>
      <c r="W3624">
        <v>0.992837538801569</v>
      </c>
      <c r="X3624">
        <v>0</v>
      </c>
      <c r="Y3624">
        <v>0</v>
      </c>
    </row>
    <row r="3625" spans="1:25" x14ac:dyDescent="0.2">
      <c r="A3625" t="s">
        <v>13329</v>
      </c>
      <c r="B3625" t="s">
        <v>13330</v>
      </c>
      <c r="C3625" t="s">
        <v>13331</v>
      </c>
      <c r="D3625" t="s">
        <v>93</v>
      </c>
      <c r="E3625" t="s">
        <v>13330</v>
      </c>
      <c r="F3625" t="s">
        <v>28</v>
      </c>
      <c r="G3625" t="s">
        <v>13330</v>
      </c>
      <c r="H3625" t="str">
        <f>"rbm-12"</f>
        <v>rbm-12</v>
      </c>
      <c r="I3625" t="s">
        <v>93</v>
      </c>
      <c r="J3625">
        <v>12.993851846635</v>
      </c>
      <c r="K3625">
        <v>13.4400643098699</v>
      </c>
      <c r="L3625">
        <v>13.5001248462282</v>
      </c>
      <c r="M3625">
        <v>12.6070362582924</v>
      </c>
      <c r="N3625">
        <v>12.543369958087601</v>
      </c>
      <c r="O3625">
        <v>13.0357542879863</v>
      </c>
      <c r="P3625">
        <v>-0.58262683278894301</v>
      </c>
      <c r="Q3625">
        <v>-1.8290515078102101</v>
      </c>
      <c r="R3625">
        <v>0.66379784223232097</v>
      </c>
      <c r="S3625">
        <v>13.537763972106299</v>
      </c>
      <c r="T3625">
        <v>-0.98246470492010296</v>
      </c>
      <c r="U3625">
        <v>-6.3914218675435404</v>
      </c>
      <c r="V3625">
        <v>0.33896832658548098</v>
      </c>
      <c r="W3625">
        <v>0.87516415118423596</v>
      </c>
      <c r="X3625">
        <v>0</v>
      </c>
      <c r="Y3625">
        <v>0</v>
      </c>
    </row>
    <row r="3626" spans="1:25" x14ac:dyDescent="0.2">
      <c r="A3626" t="s">
        <v>13332</v>
      </c>
      <c r="B3626" t="s">
        <v>13333</v>
      </c>
      <c r="C3626" t="s">
        <v>13334</v>
      </c>
      <c r="D3626" t="s">
        <v>13335</v>
      </c>
      <c r="E3626" t="s">
        <v>13333</v>
      </c>
      <c r="F3626" t="s">
        <v>28</v>
      </c>
      <c r="G3626" t="s">
        <v>13333</v>
      </c>
      <c r="H3626" t="str">
        <f>"gln-3"</f>
        <v>gln-3</v>
      </c>
      <c r="I3626" t="s">
        <v>13335</v>
      </c>
      <c r="J3626">
        <v>13.192061486307001</v>
      </c>
      <c r="K3626">
        <v>12.7365333560926</v>
      </c>
      <c r="L3626">
        <v>12.352994465150299</v>
      </c>
      <c r="M3626">
        <v>15.246905970586701</v>
      </c>
      <c r="N3626">
        <v>15.378513324132101</v>
      </c>
      <c r="O3626">
        <v>14.6348974435664</v>
      </c>
      <c r="P3626">
        <v>2.3262424769117702</v>
      </c>
      <c r="Q3626">
        <v>1.3036119872216101</v>
      </c>
      <c r="R3626">
        <v>3.3488729666019301</v>
      </c>
      <c r="S3626">
        <v>14.990659521668899</v>
      </c>
      <c r="T3626">
        <v>4.7811102422748597</v>
      </c>
      <c r="U3626">
        <v>0.76952358189214898</v>
      </c>
      <c r="V3626">
        <v>1.5173679340554401E-4</v>
      </c>
      <c r="W3626">
        <v>7.0136117840784804E-3</v>
      </c>
      <c r="X3626">
        <v>1</v>
      </c>
      <c r="Y3626">
        <v>1</v>
      </c>
    </row>
    <row r="3627" spans="1:25" x14ac:dyDescent="0.2">
      <c r="A3627" t="s">
        <v>13336</v>
      </c>
      <c r="B3627" t="s">
        <v>13337</v>
      </c>
      <c r="C3627" t="s">
        <v>13338</v>
      </c>
      <c r="D3627" t="s">
        <v>13339</v>
      </c>
      <c r="E3627" t="s">
        <v>13337</v>
      </c>
      <c r="F3627" t="s">
        <v>28</v>
      </c>
      <c r="G3627" t="s">
        <v>13337</v>
      </c>
      <c r="H3627" t="str">
        <f>"jac-1"</f>
        <v>jac-1</v>
      </c>
      <c r="I3627" t="s">
        <v>13339</v>
      </c>
      <c r="J3627">
        <v>11.2235361568433</v>
      </c>
      <c r="K3627">
        <v>12.8176147483868</v>
      </c>
      <c r="L3627">
        <v>11.792906791478</v>
      </c>
      <c r="M3627">
        <v>15.4229333726616</v>
      </c>
      <c r="N3627">
        <v>15.4144577257618</v>
      </c>
      <c r="O3627">
        <v>15.354387822754401</v>
      </c>
      <c r="P3627">
        <v>3.4525737414898598</v>
      </c>
      <c r="Q3627">
        <v>2.7582673247825999</v>
      </c>
      <c r="R3627">
        <v>4.1468801581971304</v>
      </c>
      <c r="S3627">
        <v>13.2365121741379</v>
      </c>
      <c r="T3627">
        <v>10.5473003659803</v>
      </c>
      <c r="U3627">
        <v>10.093832555309501</v>
      </c>
      <c r="V3627" s="2">
        <v>1.3908435038856301E-8</v>
      </c>
      <c r="W3627" s="2">
        <v>4.2079338008466998E-6</v>
      </c>
      <c r="X3627">
        <v>1</v>
      </c>
      <c r="Y3627">
        <v>1</v>
      </c>
    </row>
    <row r="3628" spans="1:25" x14ac:dyDescent="0.2">
      <c r="A3628" t="s">
        <v>13340</v>
      </c>
      <c r="B3628" t="s">
        <v>13341</v>
      </c>
      <c r="C3628" t="s">
        <v>13342</v>
      </c>
      <c r="D3628" t="s">
        <v>6078</v>
      </c>
      <c r="E3628" t="s">
        <v>13341</v>
      </c>
      <c r="F3628" t="s">
        <v>28</v>
      </c>
      <c r="G3628" t="s">
        <v>13341</v>
      </c>
      <c r="H3628" t="str">
        <f>"cox-4"</f>
        <v>cox-4</v>
      </c>
      <c r="I3628" t="s">
        <v>6078</v>
      </c>
      <c r="J3628">
        <v>13.000827393392299</v>
      </c>
      <c r="K3628">
        <v>12.708017700087501</v>
      </c>
      <c r="L3628">
        <v>13.7373400490576</v>
      </c>
      <c r="M3628">
        <v>13.4820294513855</v>
      </c>
      <c r="N3628">
        <v>13.605398651167899</v>
      </c>
      <c r="O3628">
        <v>12.7917235594385</v>
      </c>
      <c r="P3628">
        <v>0.14432217315149201</v>
      </c>
      <c r="Q3628">
        <v>-0.61421184368849402</v>
      </c>
      <c r="R3628">
        <v>0.90285618999147799</v>
      </c>
      <c r="S3628">
        <v>13.2331280370183</v>
      </c>
      <c r="T3628">
        <v>0.40161323015797901</v>
      </c>
      <c r="U3628">
        <v>-6.7983553150052103</v>
      </c>
      <c r="V3628">
        <v>0.69300320354269496</v>
      </c>
      <c r="W3628">
        <v>0.98642420921484297</v>
      </c>
      <c r="X3628">
        <v>0</v>
      </c>
      <c r="Y3628">
        <v>0</v>
      </c>
    </row>
    <row r="3629" spans="1:25" x14ac:dyDescent="0.2">
      <c r="A3629" t="s">
        <v>13343</v>
      </c>
      <c r="B3629" t="s">
        <v>13344</v>
      </c>
      <c r="C3629" t="s">
        <v>13345</v>
      </c>
      <c r="D3629" t="s">
        <v>13346</v>
      </c>
      <c r="E3629" t="s">
        <v>13344</v>
      </c>
      <c r="F3629" t="s">
        <v>28</v>
      </c>
      <c r="G3629" t="s">
        <v>13344</v>
      </c>
      <c r="H3629" t="str">
        <f>"rpl-31"</f>
        <v>rpl-31</v>
      </c>
      <c r="I3629" t="s">
        <v>13346</v>
      </c>
      <c r="J3629">
        <v>15.9041016552695</v>
      </c>
      <c r="K3629">
        <v>16.121858333380999</v>
      </c>
      <c r="L3629">
        <v>16.399878772830299</v>
      </c>
      <c r="M3629">
        <v>16.288451888880001</v>
      </c>
      <c r="N3629">
        <v>14.8909022053043</v>
      </c>
      <c r="O3629">
        <v>15.1164291216694</v>
      </c>
      <c r="P3629">
        <v>-0.71001851520903803</v>
      </c>
      <c r="Q3629">
        <v>-1.5725547548201699</v>
      </c>
      <c r="R3629">
        <v>0.15251772440209799</v>
      </c>
      <c r="S3629">
        <v>15.4783907457048</v>
      </c>
      <c r="T3629">
        <v>-1.7301542984415901</v>
      </c>
      <c r="U3629">
        <v>-5.4374822271858001</v>
      </c>
      <c r="V3629">
        <v>0.10081114932513</v>
      </c>
      <c r="W3629">
        <v>0.65399513636263495</v>
      </c>
      <c r="X3629">
        <v>0</v>
      </c>
      <c r="Y3629">
        <v>0</v>
      </c>
    </row>
    <row r="3630" spans="1:25" x14ac:dyDescent="0.2">
      <c r="A3630" t="s">
        <v>13347</v>
      </c>
      <c r="B3630" t="s">
        <v>13348</v>
      </c>
      <c r="C3630" t="s">
        <v>13349</v>
      </c>
      <c r="D3630" t="s">
        <v>13350</v>
      </c>
      <c r="E3630" t="s">
        <v>13348</v>
      </c>
      <c r="F3630" t="s">
        <v>28</v>
      </c>
      <c r="G3630" t="s">
        <v>13348</v>
      </c>
      <c r="H3630" t="str">
        <f>"unc-59"</f>
        <v>unc-59</v>
      </c>
      <c r="I3630" t="s">
        <v>13350</v>
      </c>
      <c r="J3630">
        <v>14.3584996580244</v>
      </c>
      <c r="K3630">
        <v>14.2180392207885</v>
      </c>
      <c r="L3630">
        <v>14.6552580737336</v>
      </c>
      <c r="M3630">
        <v>14.264673427590701</v>
      </c>
      <c r="N3630">
        <v>14.1362300413484</v>
      </c>
      <c r="O3630">
        <v>14.4703902242538</v>
      </c>
      <c r="P3630">
        <v>-0.12016775311788799</v>
      </c>
      <c r="Q3630">
        <v>-0.771960474298099</v>
      </c>
      <c r="R3630">
        <v>0.53162496806232196</v>
      </c>
      <c r="S3630">
        <v>14.7523670189667</v>
      </c>
      <c r="T3630">
        <v>-0.38749932273508297</v>
      </c>
      <c r="U3630">
        <v>-6.8043641917911</v>
      </c>
      <c r="V3630">
        <v>0.70295685869315605</v>
      </c>
      <c r="W3630">
        <v>0.98642420921484297</v>
      </c>
      <c r="X3630">
        <v>0</v>
      </c>
      <c r="Y3630">
        <v>0</v>
      </c>
    </row>
    <row r="3631" spans="1:25" x14ac:dyDescent="0.2">
      <c r="A3631" t="s">
        <v>13351</v>
      </c>
      <c r="B3631" t="s">
        <v>13352</v>
      </c>
      <c r="C3631" t="s">
        <v>13353</v>
      </c>
      <c r="D3631" t="s">
        <v>3312</v>
      </c>
      <c r="E3631" t="s">
        <v>13352</v>
      </c>
      <c r="F3631" t="s">
        <v>28</v>
      </c>
      <c r="G3631" t="s">
        <v>13354</v>
      </c>
      <c r="H3631" t="str">
        <f>"col-93"</f>
        <v>col-93</v>
      </c>
      <c r="I3631" t="s">
        <v>3312</v>
      </c>
      <c r="J3631">
        <v>13.735222383847701</v>
      </c>
      <c r="K3631">
        <v>13.8188310620069</v>
      </c>
      <c r="L3631">
        <v>14.2656962683247</v>
      </c>
      <c r="M3631">
        <v>14.033545634672301</v>
      </c>
      <c r="N3631">
        <v>14.244375884826299</v>
      </c>
      <c r="O3631">
        <v>14.398450499585101</v>
      </c>
      <c r="P3631">
        <v>0.28554076830148201</v>
      </c>
      <c r="Q3631">
        <v>-0.33603358863639099</v>
      </c>
      <c r="R3631">
        <v>0.907115125239355</v>
      </c>
      <c r="S3631">
        <v>14.262027801527701</v>
      </c>
      <c r="T3631">
        <v>0.96553394677960303</v>
      </c>
      <c r="U3631">
        <v>-6.40777786912279</v>
      </c>
      <c r="V3631">
        <v>0.347145598525054</v>
      </c>
      <c r="W3631">
        <v>0.87926117922885105</v>
      </c>
      <c r="X3631">
        <v>0</v>
      </c>
      <c r="Y3631">
        <v>0</v>
      </c>
    </row>
    <row r="3632" spans="1:25" x14ac:dyDescent="0.2">
      <c r="A3632" t="s">
        <v>13355</v>
      </c>
      <c r="B3632" t="s">
        <v>13356</v>
      </c>
      <c r="C3632" t="s">
        <v>14733</v>
      </c>
      <c r="D3632" t="s">
        <v>13357</v>
      </c>
      <c r="E3632" t="s">
        <v>13356</v>
      </c>
      <c r="F3632" t="s">
        <v>28</v>
      </c>
      <c r="G3632" t="s">
        <v>13356</v>
      </c>
      <c r="H3632" t="str">
        <f>"W03H9.1"</f>
        <v>W03H9.1</v>
      </c>
      <c r="I3632" t="s">
        <v>13357</v>
      </c>
      <c r="J3632" t="s">
        <v>29</v>
      </c>
      <c r="K3632">
        <v>9.3544004788133694</v>
      </c>
      <c r="L3632" t="s">
        <v>29</v>
      </c>
      <c r="M3632">
        <v>10.428430848988601</v>
      </c>
      <c r="N3632" t="s">
        <v>29</v>
      </c>
      <c r="O3632" t="s">
        <v>29</v>
      </c>
      <c r="P3632">
        <v>1.0740303701751801</v>
      </c>
      <c r="Q3632">
        <v>2.5726856732392101E-2</v>
      </c>
      <c r="R3632">
        <v>2.1223338836179599</v>
      </c>
      <c r="S3632">
        <v>9.3344479956175093</v>
      </c>
      <c r="T3632">
        <v>2.65073957573704</v>
      </c>
      <c r="U3632">
        <v>-3.8452415350226601</v>
      </c>
      <c r="V3632">
        <v>4.6357206261163401E-2</v>
      </c>
      <c r="W3632">
        <v>0.46892639038647999</v>
      </c>
      <c r="X3632">
        <v>1</v>
      </c>
      <c r="Y3632">
        <v>0</v>
      </c>
    </row>
    <row r="3633" spans="1:25" x14ac:dyDescent="0.2">
      <c r="A3633" t="s">
        <v>13358</v>
      </c>
      <c r="B3633" t="s">
        <v>13359</v>
      </c>
      <c r="C3633" t="s">
        <v>13360</v>
      </c>
      <c r="D3633" t="s">
        <v>13361</v>
      </c>
      <c r="E3633" t="s">
        <v>13359</v>
      </c>
      <c r="F3633" t="s">
        <v>28</v>
      </c>
      <c r="G3633" t="s">
        <v>13359</v>
      </c>
      <c r="H3633" t="str">
        <f>"ect-2"</f>
        <v>ect-2</v>
      </c>
      <c r="I3633" t="s">
        <v>13361</v>
      </c>
      <c r="J3633" t="s">
        <v>29</v>
      </c>
      <c r="K3633">
        <v>11.848130038704699</v>
      </c>
      <c r="L3633" t="s">
        <v>29</v>
      </c>
      <c r="M3633" t="s">
        <v>29</v>
      </c>
      <c r="N3633" t="s">
        <v>29</v>
      </c>
      <c r="O3633" t="s">
        <v>29</v>
      </c>
      <c r="P3633" t="s">
        <v>29</v>
      </c>
      <c r="Q3633" t="s">
        <v>29</v>
      </c>
      <c r="R3633" t="s">
        <v>29</v>
      </c>
      <c r="S3633">
        <v>10.977799021749799</v>
      </c>
      <c r="T3633" t="s">
        <v>29</v>
      </c>
      <c r="U3633" t="s">
        <v>29</v>
      </c>
      <c r="V3633" t="s">
        <v>29</v>
      </c>
      <c r="W3633" t="s">
        <v>29</v>
      </c>
      <c r="X3633" t="s">
        <v>29</v>
      </c>
      <c r="Y3633" t="s">
        <v>29</v>
      </c>
    </row>
    <row r="3634" spans="1:25" x14ac:dyDescent="0.2">
      <c r="A3634" t="s">
        <v>13362</v>
      </c>
      <c r="B3634" t="s">
        <v>13363</v>
      </c>
      <c r="C3634" t="s">
        <v>14734</v>
      </c>
      <c r="D3634" t="s">
        <v>13364</v>
      </c>
      <c r="E3634" t="s">
        <v>13363</v>
      </c>
      <c r="F3634" t="s">
        <v>28</v>
      </c>
      <c r="G3634" t="s">
        <v>13363</v>
      </c>
      <c r="H3634" t="str">
        <f>"T16G1.9"</f>
        <v>T16G1.9</v>
      </c>
      <c r="I3634" t="s">
        <v>13364</v>
      </c>
      <c r="J3634">
        <v>13.6218678496497</v>
      </c>
      <c r="K3634">
        <v>13.416315696691299</v>
      </c>
      <c r="L3634">
        <v>13.413339394042699</v>
      </c>
      <c r="M3634">
        <v>13.680389587876199</v>
      </c>
      <c r="N3634">
        <v>13.4645638037307</v>
      </c>
      <c r="O3634">
        <v>13.4725196814277</v>
      </c>
      <c r="P3634">
        <v>5.5316710883611002E-2</v>
      </c>
      <c r="Q3634">
        <v>-0.35290568591025401</v>
      </c>
      <c r="R3634">
        <v>0.46353910767747603</v>
      </c>
      <c r="S3634">
        <v>13.2735275261384</v>
      </c>
      <c r="T3634">
        <v>0.28602864851798798</v>
      </c>
      <c r="U3634">
        <v>-6.8397134054527404</v>
      </c>
      <c r="V3634">
        <v>0.778333646773119</v>
      </c>
      <c r="W3634">
        <v>0.99278624068726296</v>
      </c>
      <c r="X3634">
        <v>0</v>
      </c>
      <c r="Y3634">
        <v>0</v>
      </c>
    </row>
    <row r="3635" spans="1:25" x14ac:dyDescent="0.2">
      <c r="A3635" t="s">
        <v>13365</v>
      </c>
      <c r="B3635" t="s">
        <v>13366</v>
      </c>
      <c r="C3635" t="s">
        <v>13367</v>
      </c>
      <c r="D3635" t="s">
        <v>13368</v>
      </c>
      <c r="E3635" t="s">
        <v>13366</v>
      </c>
      <c r="F3635" t="s">
        <v>28</v>
      </c>
      <c r="G3635" t="s">
        <v>13366</v>
      </c>
      <c r="H3635" t="str">
        <f>"gldi-7"</f>
        <v>gldi-7</v>
      </c>
      <c r="I3635" t="s">
        <v>13368</v>
      </c>
      <c r="J3635" t="s">
        <v>29</v>
      </c>
      <c r="K3635" t="s">
        <v>29</v>
      </c>
      <c r="L3635" t="s">
        <v>29</v>
      </c>
      <c r="M3635">
        <v>14.859461902395299</v>
      </c>
      <c r="N3635">
        <v>14.587228218904499</v>
      </c>
      <c r="O3635">
        <v>14.848719830160301</v>
      </c>
      <c r="P3635" t="s">
        <v>29</v>
      </c>
      <c r="Q3635" t="s">
        <v>29</v>
      </c>
      <c r="R3635" t="s">
        <v>29</v>
      </c>
      <c r="S3635">
        <v>13.408481249397401</v>
      </c>
      <c r="T3635" t="s">
        <v>29</v>
      </c>
      <c r="U3635" t="s">
        <v>29</v>
      </c>
      <c r="V3635" t="s">
        <v>29</v>
      </c>
      <c r="W3635" t="s">
        <v>29</v>
      </c>
      <c r="X3635" t="s">
        <v>29</v>
      </c>
      <c r="Y3635" t="s">
        <v>29</v>
      </c>
    </row>
    <row r="3636" spans="1:25" x14ac:dyDescent="0.2">
      <c r="A3636" t="s">
        <v>13369</v>
      </c>
      <c r="B3636" t="s">
        <v>13370</v>
      </c>
      <c r="C3636" t="s">
        <v>13371</v>
      </c>
      <c r="D3636" t="s">
        <v>8655</v>
      </c>
      <c r="E3636" t="s">
        <v>13370</v>
      </c>
      <c r="F3636" t="s">
        <v>28</v>
      </c>
      <c r="G3636" t="s">
        <v>13370</v>
      </c>
      <c r="H3636" t="str">
        <f>"pis-1"</f>
        <v>pis-1</v>
      </c>
      <c r="I3636" t="s">
        <v>8655</v>
      </c>
      <c r="J3636">
        <v>12.038377067917301</v>
      </c>
      <c r="K3636">
        <v>12.5929570421301</v>
      </c>
      <c r="L3636">
        <v>12.477719024907699</v>
      </c>
      <c r="M3636">
        <v>11.7775239126388</v>
      </c>
      <c r="N3636">
        <v>12.336775478465199</v>
      </c>
      <c r="O3636">
        <v>12.3216350073284</v>
      </c>
      <c r="P3636">
        <v>-0.224372912174235</v>
      </c>
      <c r="Q3636">
        <v>-0.76251532183423598</v>
      </c>
      <c r="R3636">
        <v>0.31376949748576499</v>
      </c>
      <c r="S3636">
        <v>13.0804721508354</v>
      </c>
      <c r="T3636">
        <v>-0.88008216260095695</v>
      </c>
      <c r="U3636">
        <v>-6.4856474722865096</v>
      </c>
      <c r="V3636">
        <v>0.39116184665366499</v>
      </c>
      <c r="W3636">
        <v>0.90906887266997105</v>
      </c>
      <c r="X3636">
        <v>0</v>
      </c>
      <c r="Y3636">
        <v>0</v>
      </c>
    </row>
    <row r="3637" spans="1:25" x14ac:dyDescent="0.2">
      <c r="A3637" t="s">
        <v>13372</v>
      </c>
      <c r="B3637" t="s">
        <v>13373</v>
      </c>
      <c r="C3637" t="s">
        <v>13374</v>
      </c>
      <c r="D3637" t="s">
        <v>13375</v>
      </c>
      <c r="E3637" t="s">
        <v>13373</v>
      </c>
      <c r="F3637" t="s">
        <v>28</v>
      </c>
      <c r="G3637" t="s">
        <v>13373</v>
      </c>
      <c r="H3637" t="str">
        <f>"rsbp-1"</f>
        <v>rsbp-1</v>
      </c>
      <c r="I3637" t="s">
        <v>13375</v>
      </c>
      <c r="J3637" t="s">
        <v>29</v>
      </c>
      <c r="K3637" t="s">
        <v>29</v>
      </c>
      <c r="L3637" t="s">
        <v>29</v>
      </c>
      <c r="M3637">
        <v>12.0200226511772</v>
      </c>
      <c r="N3637">
        <v>11.632706679046001</v>
      </c>
      <c r="O3637" t="s">
        <v>29</v>
      </c>
      <c r="P3637" t="s">
        <v>29</v>
      </c>
      <c r="Q3637" t="s">
        <v>29</v>
      </c>
      <c r="R3637" t="s">
        <v>29</v>
      </c>
      <c r="S3637">
        <v>11.653045481277401</v>
      </c>
      <c r="T3637" t="s">
        <v>29</v>
      </c>
      <c r="U3637" t="s">
        <v>29</v>
      </c>
      <c r="V3637" t="s">
        <v>29</v>
      </c>
      <c r="W3637" t="s">
        <v>29</v>
      </c>
      <c r="X3637" t="s">
        <v>29</v>
      </c>
      <c r="Y3637" t="s">
        <v>29</v>
      </c>
    </row>
    <row r="3638" spans="1:25" x14ac:dyDescent="0.2">
      <c r="A3638" t="s">
        <v>13376</v>
      </c>
      <c r="B3638" t="s">
        <v>13377</v>
      </c>
      <c r="C3638" t="s">
        <v>13378</v>
      </c>
      <c r="D3638" t="s">
        <v>13379</v>
      </c>
      <c r="E3638" t="s">
        <v>13377</v>
      </c>
      <c r="F3638" t="s">
        <v>28</v>
      </c>
      <c r="G3638" t="s">
        <v>13377</v>
      </c>
      <c r="H3638" t="str">
        <f>"chaf-1"</f>
        <v>chaf-1</v>
      </c>
      <c r="I3638" t="s">
        <v>13379</v>
      </c>
      <c r="J3638" t="s">
        <v>29</v>
      </c>
      <c r="K3638" t="s">
        <v>29</v>
      </c>
      <c r="L3638" t="s">
        <v>29</v>
      </c>
      <c r="M3638" t="s">
        <v>29</v>
      </c>
      <c r="N3638" t="s">
        <v>29</v>
      </c>
      <c r="O3638" t="s">
        <v>29</v>
      </c>
      <c r="P3638" t="s">
        <v>29</v>
      </c>
      <c r="Q3638" t="s">
        <v>29</v>
      </c>
      <c r="R3638" t="s">
        <v>29</v>
      </c>
      <c r="S3638">
        <v>13.143955990008401</v>
      </c>
      <c r="T3638" t="s">
        <v>29</v>
      </c>
      <c r="U3638" t="s">
        <v>29</v>
      </c>
      <c r="V3638" t="s">
        <v>29</v>
      </c>
      <c r="W3638" t="s">
        <v>29</v>
      </c>
      <c r="X3638" t="s">
        <v>29</v>
      </c>
      <c r="Y3638" t="s">
        <v>29</v>
      </c>
    </row>
    <row r="3639" spans="1:25" x14ac:dyDescent="0.2">
      <c r="A3639" t="s">
        <v>13380</v>
      </c>
      <c r="B3639" t="s">
        <v>13381</v>
      </c>
      <c r="C3639" t="s">
        <v>13382</v>
      </c>
      <c r="D3639" t="s">
        <v>13383</v>
      </c>
      <c r="E3639" t="s">
        <v>13381</v>
      </c>
      <c r="F3639" t="s">
        <v>28</v>
      </c>
      <c r="G3639" t="s">
        <v>13381</v>
      </c>
      <c r="H3639" t="str">
        <f>"nol-9"</f>
        <v>nol-9</v>
      </c>
      <c r="I3639" t="s">
        <v>13383</v>
      </c>
      <c r="J3639">
        <v>13.474060658828099</v>
      </c>
      <c r="K3639">
        <v>13.3631557926673</v>
      </c>
      <c r="L3639">
        <v>13.5349457407918</v>
      </c>
      <c r="M3639">
        <v>13.249132990699101</v>
      </c>
      <c r="N3639">
        <v>13.473033694094401</v>
      </c>
      <c r="O3639">
        <v>13.415183632216999</v>
      </c>
      <c r="P3639">
        <v>-7.8270625092235604E-2</v>
      </c>
      <c r="Q3639">
        <v>-0.48689358550137102</v>
      </c>
      <c r="R3639">
        <v>0.3303523353169</v>
      </c>
      <c r="S3639">
        <v>13.4310826193335</v>
      </c>
      <c r="T3639">
        <v>-0.40259516002436502</v>
      </c>
      <c r="U3639">
        <v>-6.7981867378630696</v>
      </c>
      <c r="V3639">
        <v>0.692014712111372</v>
      </c>
      <c r="W3639">
        <v>0.98642420921484297</v>
      </c>
      <c r="X3639">
        <v>0</v>
      </c>
      <c r="Y3639">
        <v>0</v>
      </c>
    </row>
    <row r="3640" spans="1:25" x14ac:dyDescent="0.2">
      <c r="A3640" t="s">
        <v>13384</v>
      </c>
      <c r="B3640" t="s">
        <v>13385</v>
      </c>
      <c r="C3640" t="s">
        <v>13386</v>
      </c>
      <c r="D3640" t="s">
        <v>13387</v>
      </c>
      <c r="E3640" t="s">
        <v>13385</v>
      </c>
      <c r="F3640" t="s">
        <v>28</v>
      </c>
      <c r="G3640" t="s">
        <v>13385</v>
      </c>
      <c r="H3640" t="str">
        <f>"dcn-1"</f>
        <v>dcn-1</v>
      </c>
      <c r="I3640" t="s">
        <v>13387</v>
      </c>
      <c r="J3640">
        <v>15.4890708050377</v>
      </c>
      <c r="K3640">
        <v>15.3614259323071</v>
      </c>
      <c r="L3640">
        <v>15.206220734746701</v>
      </c>
      <c r="M3640">
        <v>15.1854275715315</v>
      </c>
      <c r="N3640">
        <v>15.1796729006594</v>
      </c>
      <c r="O3640">
        <v>15.2642580314655</v>
      </c>
      <c r="P3640">
        <v>-0.14245298947837501</v>
      </c>
      <c r="Q3640">
        <v>-0.45529761152215997</v>
      </c>
      <c r="R3640">
        <v>0.17039163256540901</v>
      </c>
      <c r="S3640">
        <v>14.960390782845</v>
      </c>
      <c r="T3640">
        <v>-0.95705167385799805</v>
      </c>
      <c r="U3640">
        <v>-6.4158759936484104</v>
      </c>
      <c r="V3640">
        <v>0.35129324670240802</v>
      </c>
      <c r="W3640">
        <v>0.87950242192597095</v>
      </c>
      <c r="X3640">
        <v>0</v>
      </c>
      <c r="Y3640">
        <v>0</v>
      </c>
    </row>
    <row r="3641" spans="1:25" x14ac:dyDescent="0.2">
      <c r="A3641" t="s">
        <v>13388</v>
      </c>
      <c r="B3641" t="s">
        <v>13389</v>
      </c>
      <c r="C3641" t="s">
        <v>13390</v>
      </c>
      <c r="D3641" t="s">
        <v>13391</v>
      </c>
      <c r="E3641" t="s">
        <v>13389</v>
      </c>
      <c r="F3641" t="s">
        <v>28</v>
      </c>
      <c r="G3641" t="s">
        <v>13389</v>
      </c>
      <c r="H3641" t="str">
        <f>"sms-1"</f>
        <v>sms-1</v>
      </c>
      <c r="I3641" t="s">
        <v>13391</v>
      </c>
      <c r="J3641">
        <v>12.125886279641101</v>
      </c>
      <c r="K3641">
        <v>12.5721858284432</v>
      </c>
      <c r="L3641">
        <v>12.0400718638311</v>
      </c>
      <c r="M3641">
        <v>11.2990840796444</v>
      </c>
      <c r="N3641">
        <v>11.782223169678</v>
      </c>
      <c r="O3641">
        <v>11.618287228731299</v>
      </c>
      <c r="P3641">
        <v>-0.67951649795385205</v>
      </c>
      <c r="Q3641">
        <v>-1.3622461474888401</v>
      </c>
      <c r="R3641">
        <v>3.2131515811338902E-3</v>
      </c>
      <c r="S3641">
        <v>11.7849154644053</v>
      </c>
      <c r="T3641">
        <v>-2.1110609457745602</v>
      </c>
      <c r="U3641">
        <v>-4.8190381301725198</v>
      </c>
      <c r="V3641">
        <v>5.0963418521236703E-2</v>
      </c>
      <c r="W3641">
        <v>0.491491856479917</v>
      </c>
      <c r="X3641">
        <v>0</v>
      </c>
      <c r="Y3641">
        <v>0</v>
      </c>
    </row>
    <row r="3642" spans="1:25" x14ac:dyDescent="0.2">
      <c r="A3642" t="s">
        <v>13392</v>
      </c>
      <c r="B3642" t="s">
        <v>13393</v>
      </c>
      <c r="C3642" t="s">
        <v>13394</v>
      </c>
      <c r="D3642" t="s">
        <v>13395</v>
      </c>
      <c r="E3642" t="s">
        <v>13393</v>
      </c>
      <c r="F3642" t="s">
        <v>28</v>
      </c>
      <c r="G3642" t="s">
        <v>13393</v>
      </c>
      <c r="H3642" t="str">
        <f>"adr-1"</f>
        <v>adr-1</v>
      </c>
      <c r="I3642" t="s">
        <v>13395</v>
      </c>
      <c r="J3642">
        <v>14.928651670491201</v>
      </c>
      <c r="K3642">
        <v>14.911680040639499</v>
      </c>
      <c r="L3642">
        <v>14.787441495476999</v>
      </c>
      <c r="M3642">
        <v>15.000018388761699</v>
      </c>
      <c r="N3642">
        <v>14.7959490462478</v>
      </c>
      <c r="O3642">
        <v>14.6889050640406</v>
      </c>
      <c r="P3642">
        <v>-4.76335691858552E-2</v>
      </c>
      <c r="Q3642">
        <v>-0.49232975576405402</v>
      </c>
      <c r="R3642">
        <v>0.397062617392344</v>
      </c>
      <c r="S3642">
        <v>14.829967849289799</v>
      </c>
      <c r="T3642">
        <v>-0.22513459341983799</v>
      </c>
      <c r="U3642">
        <v>-6.8560442712566001</v>
      </c>
      <c r="V3642">
        <v>0.82442547833881397</v>
      </c>
      <c r="W3642">
        <v>0.992837538801569</v>
      </c>
      <c r="X3642">
        <v>0</v>
      </c>
      <c r="Y3642">
        <v>0</v>
      </c>
    </row>
    <row r="3643" spans="1:25" x14ac:dyDescent="0.2">
      <c r="A3643" t="s">
        <v>13396</v>
      </c>
      <c r="B3643" t="s">
        <v>13397</v>
      </c>
      <c r="C3643" t="s">
        <v>13398</v>
      </c>
      <c r="D3643" t="s">
        <v>13399</v>
      </c>
      <c r="E3643" t="s">
        <v>13397</v>
      </c>
      <c r="F3643" t="s">
        <v>28</v>
      </c>
      <c r="G3643" t="s">
        <v>13397</v>
      </c>
      <c r="H3643" t="str">
        <f>"ndua-1"</f>
        <v>ndua-1</v>
      </c>
      <c r="I3643" t="s">
        <v>13399</v>
      </c>
      <c r="J3643">
        <v>14.087214842226301</v>
      </c>
      <c r="K3643">
        <v>14.236895943531</v>
      </c>
      <c r="L3643">
        <v>14.693591623357801</v>
      </c>
      <c r="M3643">
        <v>14.940465085762501</v>
      </c>
      <c r="N3643">
        <v>13.995231845477701</v>
      </c>
      <c r="O3643" t="s">
        <v>29</v>
      </c>
      <c r="P3643">
        <v>0.12861432924836799</v>
      </c>
      <c r="Q3643">
        <v>-1.5924558531940001</v>
      </c>
      <c r="R3643">
        <v>1.8496845116907401</v>
      </c>
      <c r="S3643">
        <v>13.6343745645742</v>
      </c>
      <c r="T3643">
        <v>0.16298055377930101</v>
      </c>
      <c r="U3643">
        <v>-6.7580079991751898</v>
      </c>
      <c r="V3643">
        <v>0.87326984271713204</v>
      </c>
      <c r="W3643">
        <v>0.99542051916754504</v>
      </c>
      <c r="X3643">
        <v>0</v>
      </c>
      <c r="Y3643">
        <v>0</v>
      </c>
    </row>
    <row r="3644" spans="1:25" x14ac:dyDescent="0.2">
      <c r="A3644" t="s">
        <v>13400</v>
      </c>
      <c r="B3644" t="s">
        <v>13401</v>
      </c>
      <c r="C3644" t="s">
        <v>14735</v>
      </c>
      <c r="D3644" t="s">
        <v>4609</v>
      </c>
      <c r="E3644" t="s">
        <v>13401</v>
      </c>
      <c r="F3644" t="s">
        <v>28</v>
      </c>
      <c r="G3644" t="s">
        <v>13401</v>
      </c>
      <c r="H3644" t="str">
        <f>"F28H6.4"</f>
        <v>F28H6.4</v>
      </c>
      <c r="I3644" t="s">
        <v>4609</v>
      </c>
      <c r="J3644" t="s">
        <v>29</v>
      </c>
      <c r="K3644" t="s">
        <v>29</v>
      </c>
      <c r="L3644" t="s">
        <v>29</v>
      </c>
      <c r="M3644" t="s">
        <v>29</v>
      </c>
      <c r="N3644" t="s">
        <v>29</v>
      </c>
      <c r="O3644" t="s">
        <v>29</v>
      </c>
      <c r="P3644" t="s">
        <v>29</v>
      </c>
      <c r="Q3644" t="s">
        <v>29</v>
      </c>
      <c r="R3644" t="s">
        <v>29</v>
      </c>
      <c r="S3644">
        <v>10.7083937241994</v>
      </c>
      <c r="T3644" t="s">
        <v>29</v>
      </c>
      <c r="U3644" t="s">
        <v>29</v>
      </c>
      <c r="V3644" t="s">
        <v>29</v>
      </c>
      <c r="W3644" t="s">
        <v>29</v>
      </c>
      <c r="X3644" t="s">
        <v>29</v>
      </c>
      <c r="Y3644" t="s">
        <v>29</v>
      </c>
    </row>
    <row r="3645" spans="1:25" x14ac:dyDescent="0.2">
      <c r="A3645" t="s">
        <v>13402</v>
      </c>
      <c r="B3645" t="s">
        <v>13403</v>
      </c>
      <c r="C3645" t="s">
        <v>13404</v>
      </c>
      <c r="D3645" t="s">
        <v>13405</v>
      </c>
      <c r="E3645" t="s">
        <v>13403</v>
      </c>
      <c r="F3645" t="s">
        <v>28</v>
      </c>
      <c r="G3645" t="s">
        <v>13403</v>
      </c>
      <c r="H3645" t="str">
        <f>"F26F2.7"</f>
        <v>F26F2.7</v>
      </c>
      <c r="I3645" t="s">
        <v>13405</v>
      </c>
      <c r="J3645">
        <v>12.2472071877463</v>
      </c>
      <c r="K3645" t="s">
        <v>29</v>
      </c>
      <c r="L3645">
        <v>12.000988102624399</v>
      </c>
      <c r="M3645" t="s">
        <v>29</v>
      </c>
      <c r="N3645">
        <v>12.5804961333916</v>
      </c>
      <c r="O3645" t="s">
        <v>29</v>
      </c>
      <c r="P3645">
        <v>0.456398488206256</v>
      </c>
      <c r="Q3645">
        <v>-0.24302938960373599</v>
      </c>
      <c r="R3645">
        <v>1.15582636601625</v>
      </c>
      <c r="S3645">
        <v>11.9738355523709</v>
      </c>
      <c r="T3645">
        <v>1.45602271108098</v>
      </c>
      <c r="U3645">
        <v>-5.4525844486005797</v>
      </c>
      <c r="V3645">
        <v>0.176370235501845</v>
      </c>
      <c r="W3645">
        <v>0.77568784401157198</v>
      </c>
      <c r="X3645">
        <v>0</v>
      </c>
      <c r="Y3645">
        <v>0</v>
      </c>
    </row>
    <row r="3646" spans="1:25" x14ac:dyDescent="0.2">
      <c r="A3646" t="s">
        <v>13406</v>
      </c>
      <c r="B3646" t="s">
        <v>13407</v>
      </c>
      <c r="C3646" t="s">
        <v>14736</v>
      </c>
      <c r="D3646" t="s">
        <v>13408</v>
      </c>
      <c r="E3646" t="s">
        <v>13407</v>
      </c>
      <c r="F3646" t="s">
        <v>28</v>
      </c>
      <c r="G3646" t="s">
        <v>13407</v>
      </c>
      <c r="H3646" t="str">
        <f>"F11A10.6"</f>
        <v>F11A10.6</v>
      </c>
      <c r="I3646" t="s">
        <v>13408</v>
      </c>
      <c r="J3646">
        <v>13.2863944795034</v>
      </c>
      <c r="K3646">
        <v>13.0171419323083</v>
      </c>
      <c r="L3646">
        <v>13.365246720391401</v>
      </c>
      <c r="M3646">
        <v>13.6170452705028</v>
      </c>
      <c r="N3646">
        <v>13.466461704359901</v>
      </c>
      <c r="O3646" t="s">
        <v>29</v>
      </c>
      <c r="P3646">
        <v>0.31882577669694201</v>
      </c>
      <c r="Q3646">
        <v>-0.49145783456102199</v>
      </c>
      <c r="R3646">
        <v>1.1291093879549099</v>
      </c>
      <c r="S3646">
        <v>13.3258406015199</v>
      </c>
      <c r="T3646">
        <v>0.83918551156300802</v>
      </c>
      <c r="U3646">
        <v>-6.4098893547830604</v>
      </c>
      <c r="V3646">
        <v>0.41463121825598198</v>
      </c>
      <c r="W3646">
        <v>0.91512503332874395</v>
      </c>
      <c r="X3646">
        <v>0</v>
      </c>
      <c r="Y3646">
        <v>0</v>
      </c>
    </row>
    <row r="3647" spans="1:25" x14ac:dyDescent="0.2">
      <c r="A3647" t="s">
        <v>13409</v>
      </c>
      <c r="B3647" t="s">
        <v>13410</v>
      </c>
      <c r="C3647" t="s">
        <v>13411</v>
      </c>
      <c r="D3647" t="s">
        <v>13412</v>
      </c>
      <c r="E3647" t="s">
        <v>13410</v>
      </c>
      <c r="F3647" t="s">
        <v>28</v>
      </c>
      <c r="G3647" t="s">
        <v>13410</v>
      </c>
      <c r="H3647" t="str">
        <f>"ints-11"</f>
        <v>ints-11</v>
      </c>
      <c r="I3647" t="s">
        <v>13412</v>
      </c>
      <c r="J3647">
        <v>13.750057282109299</v>
      </c>
      <c r="K3647">
        <v>13.2630057694161</v>
      </c>
      <c r="L3647">
        <v>13.2342391328828</v>
      </c>
      <c r="M3647">
        <v>13.828581464517899</v>
      </c>
      <c r="N3647">
        <v>13.410943161396199</v>
      </c>
      <c r="O3647">
        <v>13.400287421763499</v>
      </c>
      <c r="P3647">
        <v>0.130836621089781</v>
      </c>
      <c r="Q3647">
        <v>-0.48336713536694298</v>
      </c>
      <c r="R3647">
        <v>0.74504037754650498</v>
      </c>
      <c r="S3647">
        <v>13.0423116323563</v>
      </c>
      <c r="T3647">
        <v>0.44964199356180101</v>
      </c>
      <c r="U3647">
        <v>-6.77715659429232</v>
      </c>
      <c r="V3647">
        <v>0.65868380909916102</v>
      </c>
      <c r="W3647">
        <v>0.98382359994193702</v>
      </c>
      <c r="X3647">
        <v>0</v>
      </c>
      <c r="Y3647">
        <v>0</v>
      </c>
    </row>
    <row r="3648" spans="1:25" x14ac:dyDescent="0.2">
      <c r="A3648" t="s">
        <v>13413</v>
      </c>
      <c r="B3648" t="s">
        <v>13414</v>
      </c>
      <c r="C3648" t="s">
        <v>13415</v>
      </c>
      <c r="D3648" t="s">
        <v>323</v>
      </c>
      <c r="E3648" t="s">
        <v>13414</v>
      </c>
      <c r="F3648" t="s">
        <v>28</v>
      </c>
      <c r="G3648" t="s">
        <v>13414</v>
      </c>
      <c r="H3648" t="str">
        <f>"C49C3.10"</f>
        <v>C49C3.10</v>
      </c>
      <c r="I3648" t="s">
        <v>323</v>
      </c>
      <c r="J3648" t="s">
        <v>29</v>
      </c>
      <c r="K3648">
        <v>11.9756113599059</v>
      </c>
      <c r="L3648" t="s">
        <v>29</v>
      </c>
      <c r="M3648" t="s">
        <v>29</v>
      </c>
      <c r="N3648">
        <v>9.95093047905352</v>
      </c>
      <c r="O3648" t="s">
        <v>29</v>
      </c>
      <c r="P3648">
        <v>-2.0246808808523298</v>
      </c>
      <c r="Q3648">
        <v>-3.2210303561809801</v>
      </c>
      <c r="R3648">
        <v>-0.828331405523686</v>
      </c>
      <c r="S3648">
        <v>12.007937598155801</v>
      </c>
      <c r="T3648">
        <v>-3.77629061090291</v>
      </c>
      <c r="U3648">
        <v>-1.7144575531712201</v>
      </c>
      <c r="V3648">
        <v>3.6922542015917002E-3</v>
      </c>
      <c r="W3648">
        <v>8.4743599882049603E-2</v>
      </c>
      <c r="X3648">
        <v>-1</v>
      </c>
      <c r="Y3648">
        <v>0</v>
      </c>
    </row>
    <row r="3649" spans="1:25" x14ac:dyDescent="0.2">
      <c r="A3649" t="s">
        <v>13416</v>
      </c>
      <c r="B3649" t="s">
        <v>13417</v>
      </c>
      <c r="C3649" t="s">
        <v>13418</v>
      </c>
      <c r="D3649" t="s">
        <v>13419</v>
      </c>
      <c r="E3649" t="s">
        <v>13417</v>
      </c>
      <c r="F3649" t="s">
        <v>28</v>
      </c>
      <c r="G3649" t="s">
        <v>13417</v>
      </c>
      <c r="H3649" t="str">
        <f>"C47B2.2"</f>
        <v>C47B2.2</v>
      </c>
      <c r="I3649" t="s">
        <v>13419</v>
      </c>
      <c r="J3649">
        <v>15.0574309808117</v>
      </c>
      <c r="K3649">
        <v>14.7986752349225</v>
      </c>
      <c r="L3649">
        <v>14.993386718191701</v>
      </c>
      <c r="M3649">
        <v>15.1500585897259</v>
      </c>
      <c r="N3649">
        <v>15.4454108707301</v>
      </c>
      <c r="O3649">
        <v>15.381534489840901</v>
      </c>
      <c r="P3649">
        <v>0.375837005456999</v>
      </c>
      <c r="Q3649">
        <v>3.7493461115560199E-2</v>
      </c>
      <c r="R3649">
        <v>0.71418054979843804</v>
      </c>
      <c r="S3649">
        <v>14.8518252364237</v>
      </c>
      <c r="T3649">
        <v>2.3347165280745501</v>
      </c>
      <c r="U3649">
        <v>-4.4000180644687399</v>
      </c>
      <c r="V3649">
        <v>3.1414282075360102E-2</v>
      </c>
      <c r="W3649">
        <v>0.38454578694047797</v>
      </c>
      <c r="X3649">
        <v>0</v>
      </c>
      <c r="Y3649">
        <v>0</v>
      </c>
    </row>
    <row r="3650" spans="1:25" x14ac:dyDescent="0.2">
      <c r="A3650" t="s">
        <v>13420</v>
      </c>
      <c r="B3650" t="s">
        <v>13421</v>
      </c>
      <c r="C3650" t="s">
        <v>13422</v>
      </c>
      <c r="D3650" t="s">
        <v>3358</v>
      </c>
      <c r="E3650" t="s">
        <v>13421</v>
      </c>
      <c r="F3650" t="s">
        <v>28</v>
      </c>
      <c r="G3650" t="s">
        <v>13421</v>
      </c>
      <c r="H3650" t="str">
        <f>"fbxa-174"</f>
        <v>fbxa-174</v>
      </c>
      <c r="I3650" t="s">
        <v>3358</v>
      </c>
      <c r="J3650">
        <v>17.078555029903502</v>
      </c>
      <c r="K3650">
        <v>16.7549584015409</v>
      </c>
      <c r="L3650">
        <v>17.854261669673001</v>
      </c>
      <c r="M3650">
        <v>17.3361450328314</v>
      </c>
      <c r="N3650">
        <v>17.503272010026599</v>
      </c>
      <c r="O3650">
        <v>18.032178672387499</v>
      </c>
      <c r="P3650">
        <v>0.394606871376038</v>
      </c>
      <c r="Q3650">
        <v>-0.59406191963701405</v>
      </c>
      <c r="R3650">
        <v>1.3832756623890901</v>
      </c>
      <c r="S3650">
        <v>16.3755929374178</v>
      </c>
      <c r="T3650">
        <v>0.84248820903517496</v>
      </c>
      <c r="U3650">
        <v>-6.5181465743165496</v>
      </c>
      <c r="V3650">
        <v>0.41128304957217998</v>
      </c>
      <c r="W3650">
        <v>0.91512503332874395</v>
      </c>
      <c r="X3650">
        <v>0</v>
      </c>
      <c r="Y3650">
        <v>0</v>
      </c>
    </row>
    <row r="3651" spans="1:25" x14ac:dyDescent="0.2">
      <c r="A3651" t="s">
        <v>13423</v>
      </c>
      <c r="B3651" t="s">
        <v>13424</v>
      </c>
      <c r="C3651" t="s">
        <v>13425</v>
      </c>
      <c r="D3651" t="s">
        <v>13426</v>
      </c>
      <c r="E3651" t="s">
        <v>13424</v>
      </c>
      <c r="F3651" t="s">
        <v>28</v>
      </c>
      <c r="G3651" t="s">
        <v>13424</v>
      </c>
      <c r="H3651" t="str">
        <f>"C27A7.5"</f>
        <v>C27A7.5</v>
      </c>
      <c r="I3651" t="s">
        <v>13426</v>
      </c>
      <c r="J3651">
        <v>12.937265049830099</v>
      </c>
      <c r="K3651">
        <v>13.0789847366324</v>
      </c>
      <c r="L3651">
        <v>12.98678874843</v>
      </c>
      <c r="M3651">
        <v>13.363900077101601</v>
      </c>
      <c r="N3651">
        <v>13.466102192832601</v>
      </c>
      <c r="O3651">
        <v>13.2625469734335</v>
      </c>
      <c r="P3651">
        <v>0.363170236158393</v>
      </c>
      <c r="Q3651">
        <v>-0.16199719833919399</v>
      </c>
      <c r="R3651">
        <v>0.88833767065597902</v>
      </c>
      <c r="S3651">
        <v>13.271065166150001</v>
      </c>
      <c r="T3651">
        <v>1.45969618787397</v>
      </c>
      <c r="U3651">
        <v>-5.8313875106487103</v>
      </c>
      <c r="V3651">
        <v>0.16271783969959</v>
      </c>
      <c r="W3651">
        <v>0.76378698239807397</v>
      </c>
      <c r="X3651">
        <v>0</v>
      </c>
      <c r="Y3651">
        <v>0</v>
      </c>
    </row>
    <row r="3652" spans="1:25" x14ac:dyDescent="0.2">
      <c r="A3652" t="s">
        <v>13427</v>
      </c>
      <c r="B3652" t="s">
        <v>13428</v>
      </c>
      <c r="C3652" t="s">
        <v>13429</v>
      </c>
      <c r="D3652" t="s">
        <v>9133</v>
      </c>
      <c r="E3652" t="s">
        <v>13428</v>
      </c>
      <c r="F3652" t="s">
        <v>28</v>
      </c>
      <c r="G3652" t="s">
        <v>13428</v>
      </c>
      <c r="H3652" t="str">
        <f>"dhhc-7"</f>
        <v>dhhc-7</v>
      </c>
      <c r="I3652" t="s">
        <v>9133</v>
      </c>
      <c r="J3652">
        <v>12.831826760791399</v>
      </c>
      <c r="K3652">
        <v>13.094744809813101</v>
      </c>
      <c r="L3652">
        <v>13.214234725983101</v>
      </c>
      <c r="M3652">
        <v>12.670434065566701</v>
      </c>
      <c r="N3652">
        <v>12.519993149878699</v>
      </c>
      <c r="O3652">
        <v>12.3003361340374</v>
      </c>
      <c r="P3652">
        <v>-0.55001431570158998</v>
      </c>
      <c r="Q3652">
        <v>-1.0942880805341699</v>
      </c>
      <c r="R3652">
        <v>-5.7405508690087101E-3</v>
      </c>
      <c r="S3652">
        <v>13.0444535102898</v>
      </c>
      <c r="T3652">
        <v>-2.1434142925850401</v>
      </c>
      <c r="U3652">
        <v>-4.7628482733128301</v>
      </c>
      <c r="V3652">
        <v>4.7901383099642501E-2</v>
      </c>
      <c r="W3652">
        <v>0.47353795864937398</v>
      </c>
      <c r="X3652">
        <v>0</v>
      </c>
      <c r="Y3652">
        <v>0</v>
      </c>
    </row>
    <row r="3653" spans="1:25" x14ac:dyDescent="0.2">
      <c r="A3653" t="s">
        <v>13430</v>
      </c>
      <c r="B3653" t="s">
        <v>13431</v>
      </c>
      <c r="C3653" t="s">
        <v>13432</v>
      </c>
      <c r="D3653" t="s">
        <v>13433</v>
      </c>
      <c r="E3653" t="s">
        <v>13431</v>
      </c>
      <c r="F3653" t="s">
        <v>28</v>
      </c>
      <c r="G3653" t="s">
        <v>13431</v>
      </c>
      <c r="H3653" t="str">
        <f>"alkb-8"</f>
        <v>alkb-8</v>
      </c>
      <c r="I3653" t="s">
        <v>13433</v>
      </c>
      <c r="J3653">
        <v>12.829477849808001</v>
      </c>
      <c r="K3653" t="s">
        <v>29</v>
      </c>
      <c r="L3653">
        <v>11.990381238974299</v>
      </c>
      <c r="M3653">
        <v>12.580501923156101</v>
      </c>
      <c r="N3653">
        <v>12.755881941128401</v>
      </c>
      <c r="O3653">
        <v>12.042843537765901</v>
      </c>
      <c r="P3653">
        <v>4.9812922959015203E-2</v>
      </c>
      <c r="Q3653">
        <v>-0.606319830141268</v>
      </c>
      <c r="R3653">
        <v>0.70594567605929803</v>
      </c>
      <c r="S3653">
        <v>12.092833602353901</v>
      </c>
      <c r="T3653">
        <v>0.161916800895894</v>
      </c>
      <c r="U3653">
        <v>-6.7584082717690501</v>
      </c>
      <c r="V3653">
        <v>0.87354733981670796</v>
      </c>
      <c r="W3653">
        <v>0.99542051916754504</v>
      </c>
      <c r="X3653">
        <v>0</v>
      </c>
      <c r="Y3653">
        <v>0</v>
      </c>
    </row>
    <row r="3654" spans="1:25" x14ac:dyDescent="0.2">
      <c r="A3654" t="s">
        <v>13434</v>
      </c>
      <c r="B3654" t="s">
        <v>13435</v>
      </c>
      <c r="C3654" t="s">
        <v>13436</v>
      </c>
      <c r="D3654" t="s">
        <v>4334</v>
      </c>
      <c r="E3654" t="s">
        <v>13435</v>
      </c>
      <c r="F3654" t="s">
        <v>28</v>
      </c>
      <c r="G3654" t="s">
        <v>13435</v>
      </c>
      <c r="H3654" t="str">
        <f>"mrps-22"</f>
        <v>mrps-22</v>
      </c>
      <c r="I3654" t="s">
        <v>4334</v>
      </c>
      <c r="J3654">
        <v>13.211969032962401</v>
      </c>
      <c r="K3654">
        <v>13.0126847323566</v>
      </c>
      <c r="L3654">
        <v>13.269379196851901</v>
      </c>
      <c r="M3654">
        <v>13.0004515718833</v>
      </c>
      <c r="N3654">
        <v>13.0048079179792</v>
      </c>
      <c r="O3654">
        <v>13.004996241109501</v>
      </c>
      <c r="P3654">
        <v>-0.16125907706630599</v>
      </c>
      <c r="Q3654">
        <v>-0.58453430691327102</v>
      </c>
      <c r="R3654">
        <v>0.26201615278065798</v>
      </c>
      <c r="S3654">
        <v>13.2360797387215</v>
      </c>
      <c r="T3654">
        <v>-0.80417640926946299</v>
      </c>
      <c r="U3654">
        <v>-6.5499232070686704</v>
      </c>
      <c r="V3654">
        <v>0.43246562788439202</v>
      </c>
      <c r="W3654">
        <v>0.91512503332874395</v>
      </c>
      <c r="X3654">
        <v>0</v>
      </c>
      <c r="Y3654">
        <v>0</v>
      </c>
    </row>
    <row r="3655" spans="1:25" x14ac:dyDescent="0.2">
      <c r="A3655" t="s">
        <v>13437</v>
      </c>
      <c r="B3655" t="s">
        <v>13438</v>
      </c>
      <c r="C3655" t="s">
        <v>13439</v>
      </c>
      <c r="D3655" t="s">
        <v>49</v>
      </c>
      <c r="E3655" t="s">
        <v>13438</v>
      </c>
      <c r="F3655" t="s">
        <v>28</v>
      </c>
      <c r="G3655" t="s">
        <v>13438</v>
      </c>
      <c r="H3655" t="str">
        <f>"ugt-22"</f>
        <v>ugt-22</v>
      </c>
      <c r="I3655" t="s">
        <v>49</v>
      </c>
      <c r="J3655">
        <v>14.476378667186401</v>
      </c>
      <c r="K3655">
        <v>14.205186473622801</v>
      </c>
      <c r="L3655">
        <v>14.4217644265765</v>
      </c>
      <c r="M3655">
        <v>14.281018316868</v>
      </c>
      <c r="N3655">
        <v>14.3492052961433</v>
      </c>
      <c r="O3655">
        <v>14.6076181018318</v>
      </c>
      <c r="P3655">
        <v>4.48373824857526E-2</v>
      </c>
      <c r="Q3655">
        <v>-0.49880308896285303</v>
      </c>
      <c r="R3655">
        <v>0.58847785393435803</v>
      </c>
      <c r="S3655">
        <v>14.199348995864399</v>
      </c>
      <c r="T3655">
        <v>0.173348857698642</v>
      </c>
      <c r="U3655">
        <v>-6.8668018999994196</v>
      </c>
      <c r="V3655">
        <v>0.86432296924596597</v>
      </c>
      <c r="W3655">
        <v>0.99396806223294298</v>
      </c>
      <c r="X3655">
        <v>0</v>
      </c>
      <c r="Y3655">
        <v>0</v>
      </c>
    </row>
    <row r="3656" spans="1:25" x14ac:dyDescent="0.2">
      <c r="A3656" t="s">
        <v>13440</v>
      </c>
      <c r="B3656" t="s">
        <v>13441</v>
      </c>
      <c r="C3656" t="s">
        <v>13442</v>
      </c>
      <c r="D3656" t="s">
        <v>13443</v>
      </c>
      <c r="E3656" t="s">
        <v>13441</v>
      </c>
      <c r="F3656" t="s">
        <v>28</v>
      </c>
      <c r="G3656" t="s">
        <v>13441</v>
      </c>
      <c r="H3656" t="str">
        <f>"thoc-7"</f>
        <v>thoc-7</v>
      </c>
      <c r="I3656" t="s">
        <v>13443</v>
      </c>
      <c r="J3656" t="s">
        <v>29</v>
      </c>
      <c r="K3656" t="s">
        <v>29</v>
      </c>
      <c r="L3656" t="s">
        <v>29</v>
      </c>
      <c r="M3656" t="s">
        <v>29</v>
      </c>
      <c r="N3656" t="s">
        <v>29</v>
      </c>
      <c r="O3656" t="s">
        <v>29</v>
      </c>
      <c r="P3656" t="s">
        <v>29</v>
      </c>
      <c r="Q3656" t="s">
        <v>29</v>
      </c>
      <c r="R3656" t="s">
        <v>29</v>
      </c>
      <c r="S3656">
        <v>11.1368065613859</v>
      </c>
      <c r="T3656" t="s">
        <v>29</v>
      </c>
      <c r="U3656" t="s">
        <v>29</v>
      </c>
      <c r="V3656" t="s">
        <v>29</v>
      </c>
      <c r="W3656" t="s">
        <v>29</v>
      </c>
      <c r="X3656" t="s">
        <v>29</v>
      </c>
      <c r="Y3656" t="s">
        <v>29</v>
      </c>
    </row>
    <row r="3657" spans="1:25" x14ac:dyDescent="0.2">
      <c r="A3657" t="s">
        <v>13444</v>
      </c>
      <c r="B3657" t="s">
        <v>13445</v>
      </c>
      <c r="C3657" t="s">
        <v>13446</v>
      </c>
      <c r="D3657" t="s">
        <v>356</v>
      </c>
      <c r="E3657" t="s">
        <v>13445</v>
      </c>
      <c r="F3657" t="s">
        <v>28</v>
      </c>
      <c r="G3657" t="s">
        <v>13445</v>
      </c>
      <c r="H3657" t="str">
        <f>"znf-207"</f>
        <v>znf-207</v>
      </c>
      <c r="I3657" t="s">
        <v>356</v>
      </c>
      <c r="J3657">
        <v>14.289845662284099</v>
      </c>
      <c r="K3657">
        <v>14.4913843126189</v>
      </c>
      <c r="L3657">
        <v>14.617402600079</v>
      </c>
      <c r="M3657">
        <v>14.4980296583</v>
      </c>
      <c r="N3657">
        <v>14.498135663686099</v>
      </c>
      <c r="O3657">
        <v>14.3428020804028</v>
      </c>
      <c r="P3657">
        <v>-1.98883908644003E-2</v>
      </c>
      <c r="Q3657">
        <v>-0.83762421188891201</v>
      </c>
      <c r="R3657">
        <v>0.79784743016011195</v>
      </c>
      <c r="S3657">
        <v>14.6607481134821</v>
      </c>
      <c r="T3657">
        <v>-5.1118621894955703E-2</v>
      </c>
      <c r="U3657">
        <v>-6.8811243282036498</v>
      </c>
      <c r="V3657">
        <v>0.95979727981607899</v>
      </c>
      <c r="W3657">
        <v>0.99968702248720698</v>
      </c>
      <c r="X3657">
        <v>0</v>
      </c>
      <c r="Y3657">
        <v>0</v>
      </c>
    </row>
    <row r="3658" spans="1:25" x14ac:dyDescent="0.2">
      <c r="A3658" t="s">
        <v>13447</v>
      </c>
      <c r="B3658" t="s">
        <v>13448</v>
      </c>
      <c r="C3658" t="s">
        <v>13449</v>
      </c>
      <c r="D3658" t="s">
        <v>13450</v>
      </c>
      <c r="E3658" t="s">
        <v>13448</v>
      </c>
      <c r="F3658" t="s">
        <v>28</v>
      </c>
      <c r="G3658" t="s">
        <v>13448</v>
      </c>
      <c r="H3658" t="str">
        <f>"lin-41"</f>
        <v>lin-41</v>
      </c>
      <c r="I3658" t="s">
        <v>13450</v>
      </c>
      <c r="J3658">
        <v>12.4812187032651</v>
      </c>
      <c r="K3658">
        <v>12.5304359570712</v>
      </c>
      <c r="L3658">
        <v>12.559623522177599</v>
      </c>
      <c r="M3658">
        <v>12.7564938845721</v>
      </c>
      <c r="N3658">
        <v>13.2114804980427</v>
      </c>
      <c r="O3658">
        <v>13.090132720644799</v>
      </c>
      <c r="P3658">
        <v>0.495609640248523</v>
      </c>
      <c r="Q3658">
        <v>-0.12628651394853099</v>
      </c>
      <c r="R3658">
        <v>1.11750579444558</v>
      </c>
      <c r="S3658">
        <v>13.3767479068344</v>
      </c>
      <c r="T3658">
        <v>1.68217776190029</v>
      </c>
      <c r="U3658">
        <v>-5.5123596597088902</v>
      </c>
      <c r="V3658">
        <v>0.110922782612705</v>
      </c>
      <c r="W3658">
        <v>0.68517337256976496</v>
      </c>
      <c r="X3658">
        <v>0</v>
      </c>
      <c r="Y3658">
        <v>0</v>
      </c>
    </row>
    <row r="3659" spans="1:25" x14ac:dyDescent="0.2">
      <c r="A3659" t="s">
        <v>13451</v>
      </c>
      <c r="B3659" t="s">
        <v>13452</v>
      </c>
      <c r="C3659" t="s">
        <v>13453</v>
      </c>
      <c r="D3659" t="s">
        <v>13454</v>
      </c>
      <c r="E3659" t="s">
        <v>13452</v>
      </c>
      <c r="F3659" t="s">
        <v>28</v>
      </c>
      <c r="G3659" t="s">
        <v>13452</v>
      </c>
      <c r="H3659" t="str">
        <f>"xnp-1"</f>
        <v>xnp-1</v>
      </c>
      <c r="I3659" t="s">
        <v>13454</v>
      </c>
      <c r="J3659">
        <v>13.6069689823304</v>
      </c>
      <c r="K3659">
        <v>13.870752969038</v>
      </c>
      <c r="L3659">
        <v>14.2665233569107</v>
      </c>
      <c r="M3659">
        <v>13.7910710487418</v>
      </c>
      <c r="N3659">
        <v>14.333189551863001</v>
      </c>
      <c r="O3659">
        <v>14.1037291248723</v>
      </c>
      <c r="P3659">
        <v>0.161248139066032</v>
      </c>
      <c r="Q3659">
        <v>-0.43759491782297499</v>
      </c>
      <c r="R3659">
        <v>0.76009119595503905</v>
      </c>
      <c r="S3659">
        <v>14.218921156298601</v>
      </c>
      <c r="T3659">
        <v>0.56594497182621295</v>
      </c>
      <c r="U3659">
        <v>-6.7166320080807198</v>
      </c>
      <c r="V3659">
        <v>0.57845972675034596</v>
      </c>
      <c r="W3659">
        <v>0.96154852663020995</v>
      </c>
      <c r="X3659">
        <v>0</v>
      </c>
      <c r="Y3659">
        <v>0</v>
      </c>
    </row>
    <row r="3660" spans="1:25" x14ac:dyDescent="0.2">
      <c r="A3660" t="s">
        <v>13455</v>
      </c>
      <c r="B3660" t="s">
        <v>13456</v>
      </c>
      <c r="C3660" t="s">
        <v>13457</v>
      </c>
      <c r="D3660" t="s">
        <v>13458</v>
      </c>
      <c r="E3660" t="s">
        <v>13456</v>
      </c>
      <c r="F3660" t="s">
        <v>28</v>
      </c>
      <c r="G3660" t="s">
        <v>13456</v>
      </c>
      <c r="H3660" t="str">
        <f>"lit-1"</f>
        <v>lit-1</v>
      </c>
      <c r="I3660" t="s">
        <v>13458</v>
      </c>
      <c r="J3660">
        <v>11.6779349116344</v>
      </c>
      <c r="K3660" t="s">
        <v>29</v>
      </c>
      <c r="L3660" t="s">
        <v>29</v>
      </c>
      <c r="M3660" t="s">
        <v>29</v>
      </c>
      <c r="N3660" t="s">
        <v>29</v>
      </c>
      <c r="O3660" t="s">
        <v>29</v>
      </c>
      <c r="P3660" t="s">
        <v>29</v>
      </c>
      <c r="Q3660" t="s">
        <v>29</v>
      </c>
      <c r="R3660" t="s">
        <v>29</v>
      </c>
      <c r="S3660">
        <v>11.584518821533599</v>
      </c>
      <c r="T3660" t="s">
        <v>29</v>
      </c>
      <c r="U3660" t="s">
        <v>29</v>
      </c>
      <c r="V3660" t="s">
        <v>29</v>
      </c>
      <c r="W3660" t="s">
        <v>29</v>
      </c>
      <c r="X3660" t="s">
        <v>29</v>
      </c>
      <c r="Y3660" t="s">
        <v>29</v>
      </c>
    </row>
    <row r="3661" spans="1:25" x14ac:dyDescent="0.2">
      <c r="A3661" t="s">
        <v>13459</v>
      </c>
      <c r="B3661" t="s">
        <v>13460</v>
      </c>
      <c r="C3661" t="s">
        <v>14737</v>
      </c>
      <c r="D3661" t="s">
        <v>2221</v>
      </c>
      <c r="E3661" t="s">
        <v>13460</v>
      </c>
      <c r="F3661" t="s">
        <v>28</v>
      </c>
      <c r="G3661" t="s">
        <v>13460</v>
      </c>
      <c r="H3661" t="str">
        <f>"W04B5.5"</f>
        <v>W04B5.5</v>
      </c>
      <c r="I3661" t="s">
        <v>2221</v>
      </c>
      <c r="J3661">
        <v>12.2071473102365</v>
      </c>
      <c r="K3661" t="s">
        <v>29</v>
      </c>
      <c r="L3661">
        <v>12.0837534232599</v>
      </c>
      <c r="M3661" t="s">
        <v>29</v>
      </c>
      <c r="N3661">
        <v>12.5583941917775</v>
      </c>
      <c r="O3661" t="s">
        <v>29</v>
      </c>
      <c r="P3661">
        <v>0.41294382502933202</v>
      </c>
      <c r="Q3661">
        <v>-0.17849351349592499</v>
      </c>
      <c r="R3661">
        <v>1.0043811635545901</v>
      </c>
      <c r="S3661">
        <v>12.175693253312501</v>
      </c>
      <c r="T3661">
        <v>1.53854403469677</v>
      </c>
      <c r="U3661">
        <v>-5.3436199585722903</v>
      </c>
      <c r="V3661">
        <v>0.152437026503531</v>
      </c>
      <c r="W3661">
        <v>0.74633248813841202</v>
      </c>
      <c r="X3661">
        <v>0</v>
      </c>
      <c r="Y3661">
        <v>0</v>
      </c>
    </row>
    <row r="3662" spans="1:25" x14ac:dyDescent="0.2">
      <c r="A3662" t="s">
        <v>13461</v>
      </c>
      <c r="B3662" t="s">
        <v>13462</v>
      </c>
      <c r="C3662" t="s">
        <v>13463</v>
      </c>
      <c r="D3662" t="s">
        <v>13464</v>
      </c>
      <c r="E3662" t="s">
        <v>13462</v>
      </c>
      <c r="F3662" t="s">
        <v>28</v>
      </c>
      <c r="G3662" t="s">
        <v>13462</v>
      </c>
      <c r="H3662" t="str">
        <f>"rab-1"</f>
        <v>rab-1</v>
      </c>
      <c r="I3662" t="s">
        <v>13464</v>
      </c>
      <c r="J3662">
        <v>14.671231513787699</v>
      </c>
      <c r="K3662">
        <v>14.7276449113429</v>
      </c>
      <c r="L3662">
        <v>14.9593356728343</v>
      </c>
      <c r="M3662">
        <v>14.976789175186999</v>
      </c>
      <c r="N3662">
        <v>14.6896345286246</v>
      </c>
      <c r="O3662">
        <v>15.0672596842146</v>
      </c>
      <c r="P3662">
        <v>0.12515709668708799</v>
      </c>
      <c r="Q3662">
        <v>-0.26252923138453499</v>
      </c>
      <c r="R3662">
        <v>0.51284342475871203</v>
      </c>
      <c r="S3662">
        <v>14.619457274750101</v>
      </c>
      <c r="T3662">
        <v>0.67852758393274104</v>
      </c>
      <c r="U3662">
        <v>-6.6450053940704397</v>
      </c>
      <c r="V3662">
        <v>0.50611797594437602</v>
      </c>
      <c r="W3662">
        <v>0.94062983959761604</v>
      </c>
      <c r="X3662">
        <v>0</v>
      </c>
      <c r="Y3662">
        <v>0</v>
      </c>
    </row>
    <row r="3663" spans="1:25" x14ac:dyDescent="0.2">
      <c r="A3663" t="s">
        <v>13465</v>
      </c>
      <c r="B3663" t="s">
        <v>13466</v>
      </c>
      <c r="C3663" t="s">
        <v>13467</v>
      </c>
      <c r="D3663" t="s">
        <v>107</v>
      </c>
      <c r="E3663" t="s">
        <v>13466</v>
      </c>
      <c r="F3663" t="s">
        <v>28</v>
      </c>
      <c r="G3663" t="s">
        <v>13466</v>
      </c>
      <c r="H3663" t="str">
        <f>"mct-2"</f>
        <v>mct-2</v>
      </c>
      <c r="I3663" t="s">
        <v>107</v>
      </c>
      <c r="J3663">
        <v>14.318133521617201</v>
      </c>
      <c r="K3663">
        <v>14.2985164413506</v>
      </c>
      <c r="L3663">
        <v>14.3132218054674</v>
      </c>
      <c r="M3663">
        <v>14.0810208187835</v>
      </c>
      <c r="N3663">
        <v>14.6498207432195</v>
      </c>
      <c r="O3663">
        <v>14.0463283872121</v>
      </c>
      <c r="P3663">
        <v>-5.0900606406699501E-2</v>
      </c>
      <c r="Q3663">
        <v>-0.75380468030056202</v>
      </c>
      <c r="R3663">
        <v>0.65200346748716298</v>
      </c>
      <c r="S3663">
        <v>14.4772377432621</v>
      </c>
      <c r="T3663">
        <v>-0.15220166699750101</v>
      </c>
      <c r="U3663">
        <v>-6.8703936319035002</v>
      </c>
      <c r="V3663">
        <v>0.880730751221109</v>
      </c>
      <c r="W3663">
        <v>0.99702926582654094</v>
      </c>
      <c r="X3663">
        <v>0</v>
      </c>
      <c r="Y3663">
        <v>0</v>
      </c>
    </row>
    <row r="3664" spans="1:25" x14ac:dyDescent="0.2">
      <c r="A3664" t="s">
        <v>13468</v>
      </c>
      <c r="B3664" t="s">
        <v>13469</v>
      </c>
      <c r="C3664" t="s">
        <v>13470</v>
      </c>
      <c r="D3664" t="s">
        <v>13471</v>
      </c>
      <c r="E3664" t="s">
        <v>13469</v>
      </c>
      <c r="F3664" t="s">
        <v>28</v>
      </c>
      <c r="G3664" t="s">
        <v>13469</v>
      </c>
      <c r="H3664" t="str">
        <f>"mdh-1"</f>
        <v>mdh-1</v>
      </c>
      <c r="I3664" t="s">
        <v>13471</v>
      </c>
      <c r="J3664">
        <v>12.477069101314401</v>
      </c>
      <c r="K3664">
        <v>12.4645533888876</v>
      </c>
      <c r="L3664">
        <v>12.2542288700231</v>
      </c>
      <c r="M3664">
        <v>11.717214975878001</v>
      </c>
      <c r="N3664">
        <v>11.959412936458399</v>
      </c>
      <c r="O3664">
        <v>10.693670738140201</v>
      </c>
      <c r="P3664">
        <v>-0.94185090324951704</v>
      </c>
      <c r="Q3664">
        <v>-1.69367377090088</v>
      </c>
      <c r="R3664">
        <v>-0.19002803559815701</v>
      </c>
      <c r="S3664">
        <v>12.072704386507301</v>
      </c>
      <c r="T3664">
        <v>-2.7086561173682</v>
      </c>
      <c r="U3664">
        <v>-3.7938476410699402</v>
      </c>
      <c r="V3664">
        <v>1.8003099327082401E-2</v>
      </c>
      <c r="W3664">
        <v>0.27099109231500002</v>
      </c>
      <c r="X3664">
        <v>0</v>
      </c>
      <c r="Y3664">
        <v>0</v>
      </c>
    </row>
    <row r="3665" spans="1:25" x14ac:dyDescent="0.2">
      <c r="A3665" t="s">
        <v>13472</v>
      </c>
      <c r="B3665" t="s">
        <v>13473</v>
      </c>
      <c r="C3665" t="s">
        <v>13474</v>
      </c>
      <c r="D3665" t="s">
        <v>13475</v>
      </c>
      <c r="E3665" t="s">
        <v>13473</v>
      </c>
      <c r="F3665" t="s">
        <v>28</v>
      </c>
      <c r="G3665" t="s">
        <v>13473</v>
      </c>
      <c r="H3665" t="str">
        <f>"acs-1"</f>
        <v>acs-1</v>
      </c>
      <c r="I3665" t="s">
        <v>13475</v>
      </c>
      <c r="J3665">
        <v>14.842726278124299</v>
      </c>
      <c r="K3665">
        <v>14.6819287572853</v>
      </c>
      <c r="L3665">
        <v>15.0085694110698</v>
      </c>
      <c r="M3665">
        <v>14.7490740522886</v>
      </c>
      <c r="N3665">
        <v>14.796490886813199</v>
      </c>
      <c r="O3665">
        <v>14.7504548526767</v>
      </c>
      <c r="P3665">
        <v>-7.9068218233640394E-2</v>
      </c>
      <c r="Q3665">
        <v>-0.64794093647213802</v>
      </c>
      <c r="R3665">
        <v>0.48980450000485798</v>
      </c>
      <c r="S3665">
        <v>14.3566523507857</v>
      </c>
      <c r="T3665">
        <v>-0.292132152617536</v>
      </c>
      <c r="U3665">
        <v>-6.8380060413827097</v>
      </c>
      <c r="V3665">
        <v>0.77354539422676005</v>
      </c>
      <c r="W3665">
        <v>0.99278624068726296</v>
      </c>
      <c r="X3665">
        <v>0</v>
      </c>
      <c r="Y3665">
        <v>0</v>
      </c>
    </row>
    <row r="3666" spans="1:25" x14ac:dyDescent="0.2">
      <c r="A3666" t="s">
        <v>13476</v>
      </c>
      <c r="B3666" t="s">
        <v>13477</v>
      </c>
      <c r="C3666" t="s">
        <v>14738</v>
      </c>
      <c r="D3666" t="s">
        <v>3246</v>
      </c>
      <c r="E3666" t="s">
        <v>13477</v>
      </c>
      <c r="F3666" t="s">
        <v>28</v>
      </c>
      <c r="G3666" t="s">
        <v>13477</v>
      </c>
      <c r="H3666" t="str">
        <f>"DC2.5"</f>
        <v>DC2.5</v>
      </c>
      <c r="I3666" t="s">
        <v>3246</v>
      </c>
      <c r="J3666">
        <v>14.1222589929216</v>
      </c>
      <c r="K3666">
        <v>14.2812236801715</v>
      </c>
      <c r="L3666">
        <v>14.0817702420222</v>
      </c>
      <c r="M3666">
        <v>13.8058152506203</v>
      </c>
      <c r="N3666">
        <v>13.9161788645419</v>
      </c>
      <c r="O3666">
        <v>13.983249581779701</v>
      </c>
      <c r="P3666">
        <v>-0.26000307272442003</v>
      </c>
      <c r="Q3666">
        <v>-0.68415858082996195</v>
      </c>
      <c r="R3666">
        <v>0.16415243538112201</v>
      </c>
      <c r="S3666">
        <v>14.4507893931958</v>
      </c>
      <c r="T3666">
        <v>-1.2939079537425799</v>
      </c>
      <c r="U3666">
        <v>-6.04620780293995</v>
      </c>
      <c r="V3666">
        <v>0.21310650623747299</v>
      </c>
      <c r="W3666">
        <v>0.79508962856638699</v>
      </c>
      <c r="X3666">
        <v>0</v>
      </c>
      <c r="Y3666">
        <v>0</v>
      </c>
    </row>
    <row r="3667" spans="1:25" x14ac:dyDescent="0.2">
      <c r="A3667" t="s">
        <v>13478</v>
      </c>
      <c r="B3667" t="s">
        <v>13479</v>
      </c>
      <c r="C3667" t="s">
        <v>14739</v>
      </c>
      <c r="D3667" t="s">
        <v>107</v>
      </c>
      <c r="E3667" t="s">
        <v>13479</v>
      </c>
      <c r="F3667" t="s">
        <v>28</v>
      </c>
      <c r="G3667" t="s">
        <v>13479</v>
      </c>
      <c r="H3667" t="str">
        <f>"T12B3.2"</f>
        <v>T12B3.2</v>
      </c>
      <c r="I3667" t="s">
        <v>107</v>
      </c>
      <c r="J3667">
        <v>13.370491854350099</v>
      </c>
      <c r="K3667">
        <v>13.352308918897499</v>
      </c>
      <c r="L3667">
        <v>13.452495018300599</v>
      </c>
      <c r="M3667">
        <v>13.1531016733552</v>
      </c>
      <c r="N3667">
        <v>13.2055678430707</v>
      </c>
      <c r="O3667">
        <v>13.0740326978644</v>
      </c>
      <c r="P3667">
        <v>-0.24753119241929999</v>
      </c>
      <c r="Q3667">
        <v>-0.61482914357003504</v>
      </c>
      <c r="R3667">
        <v>0.119766758731434</v>
      </c>
      <c r="S3667">
        <v>13.4979839094326</v>
      </c>
      <c r="T3667">
        <v>-1.4225300236788501</v>
      </c>
      <c r="U3667">
        <v>-5.8813232753004296</v>
      </c>
      <c r="V3667">
        <v>0.17307359654580801</v>
      </c>
      <c r="W3667">
        <v>0.77568784401157198</v>
      </c>
      <c r="X3667">
        <v>0</v>
      </c>
      <c r="Y3667">
        <v>0</v>
      </c>
    </row>
    <row r="3668" spans="1:25" x14ac:dyDescent="0.2">
      <c r="A3668" t="s">
        <v>13480</v>
      </c>
      <c r="B3668" t="s">
        <v>13481</v>
      </c>
      <c r="C3668" t="s">
        <v>13482</v>
      </c>
      <c r="D3668" t="s">
        <v>11100</v>
      </c>
      <c r="E3668" t="s">
        <v>13481</v>
      </c>
      <c r="F3668" t="s">
        <v>28</v>
      </c>
      <c r="G3668" t="s">
        <v>13481</v>
      </c>
      <c r="H3668" t="str">
        <f>"rpac-40"</f>
        <v>rpac-40</v>
      </c>
      <c r="I3668" t="s">
        <v>11100</v>
      </c>
      <c r="J3668">
        <v>13.2073067353422</v>
      </c>
      <c r="K3668">
        <v>13.275904410919599</v>
      </c>
      <c r="L3668">
        <v>13.0803597490893</v>
      </c>
      <c r="M3668">
        <v>13.159747339294899</v>
      </c>
      <c r="N3668">
        <v>13.65944232845</v>
      </c>
      <c r="O3668">
        <v>13.1116271615636</v>
      </c>
      <c r="P3668">
        <v>0.122415311319143</v>
      </c>
      <c r="Q3668">
        <v>-0.39428046764178998</v>
      </c>
      <c r="R3668">
        <v>0.63911109028007695</v>
      </c>
      <c r="S3668">
        <v>13.3547587783544</v>
      </c>
      <c r="T3668">
        <v>0.49795871877950099</v>
      </c>
      <c r="U3668">
        <v>-6.7538280163134203</v>
      </c>
      <c r="V3668">
        <v>0.62457720643439296</v>
      </c>
      <c r="W3668">
        <v>0.97279262440453396</v>
      </c>
      <c r="X3668">
        <v>0</v>
      </c>
      <c r="Y3668">
        <v>0</v>
      </c>
    </row>
    <row r="3669" spans="1:25" x14ac:dyDescent="0.2">
      <c r="A3669" t="s">
        <v>13483</v>
      </c>
      <c r="B3669" t="s">
        <v>13484</v>
      </c>
      <c r="C3669" t="s">
        <v>13485</v>
      </c>
      <c r="D3669" t="s">
        <v>297</v>
      </c>
      <c r="E3669" t="s">
        <v>13484</v>
      </c>
      <c r="F3669" t="s">
        <v>28</v>
      </c>
      <c r="G3669" t="s">
        <v>13484</v>
      </c>
      <c r="H3669" t="str">
        <f>"let-805"</f>
        <v>let-805</v>
      </c>
      <c r="I3669" t="s">
        <v>297</v>
      </c>
      <c r="J3669">
        <v>14.348509767977999</v>
      </c>
      <c r="K3669">
        <v>14.38411895041</v>
      </c>
      <c r="L3669">
        <v>14.9965314538996</v>
      </c>
      <c r="M3669">
        <v>14.6602205395771</v>
      </c>
      <c r="N3669">
        <v>14.8961140922507</v>
      </c>
      <c r="O3669">
        <v>15.289824449224</v>
      </c>
      <c r="P3669">
        <v>0.37233296958807599</v>
      </c>
      <c r="Q3669">
        <v>-0.20342041581394099</v>
      </c>
      <c r="R3669">
        <v>0.94808635499009297</v>
      </c>
      <c r="S3669">
        <v>15.0407816409268</v>
      </c>
      <c r="T3669">
        <v>1.35921296045896</v>
      </c>
      <c r="U3669">
        <v>-5.9643194382684204</v>
      </c>
      <c r="V3669">
        <v>0.190963243266595</v>
      </c>
      <c r="W3669">
        <v>0.78295732499061499</v>
      </c>
      <c r="X3669">
        <v>0</v>
      </c>
      <c r="Y3669">
        <v>0</v>
      </c>
    </row>
    <row r="3670" spans="1:25" x14ac:dyDescent="0.2">
      <c r="A3670" t="s">
        <v>13486</v>
      </c>
      <c r="B3670" t="s">
        <v>13487</v>
      </c>
      <c r="C3670" t="s">
        <v>13488</v>
      </c>
      <c r="D3670" t="s">
        <v>13489</v>
      </c>
      <c r="E3670" t="s">
        <v>13487</v>
      </c>
      <c r="F3670" t="s">
        <v>28</v>
      </c>
      <c r="G3670" t="s">
        <v>13487</v>
      </c>
      <c r="H3670" t="str">
        <f>"lem-2"</f>
        <v>lem-2</v>
      </c>
      <c r="I3670" t="s">
        <v>13489</v>
      </c>
      <c r="J3670">
        <v>12.983076548310599</v>
      </c>
      <c r="K3670">
        <v>13.457299932843901</v>
      </c>
      <c r="L3670">
        <v>13.384585282528199</v>
      </c>
      <c r="M3670">
        <v>13.1725671601955</v>
      </c>
      <c r="N3670">
        <v>13.3116770301203</v>
      </c>
      <c r="O3670">
        <v>13.129160901404701</v>
      </c>
      <c r="P3670">
        <v>-7.0518890654062402E-2</v>
      </c>
      <c r="Q3670">
        <v>-0.58379989510600405</v>
      </c>
      <c r="R3670">
        <v>0.442762113797879</v>
      </c>
      <c r="S3670">
        <v>13.808337071804401</v>
      </c>
      <c r="T3670">
        <v>-0.28876382953285701</v>
      </c>
      <c r="U3670">
        <v>-6.8390235384410296</v>
      </c>
      <c r="V3670">
        <v>0.77608048054380296</v>
      </c>
      <c r="W3670">
        <v>0.99278624068726296</v>
      </c>
      <c r="X3670">
        <v>0</v>
      </c>
      <c r="Y3670">
        <v>0</v>
      </c>
    </row>
    <row r="3671" spans="1:25" x14ac:dyDescent="0.2">
      <c r="A3671" t="s">
        <v>13490</v>
      </c>
      <c r="B3671" t="s">
        <v>13491</v>
      </c>
      <c r="C3671" t="s">
        <v>13492</v>
      </c>
      <c r="D3671" t="s">
        <v>13493</v>
      </c>
      <c r="E3671" t="s">
        <v>13491</v>
      </c>
      <c r="F3671" t="s">
        <v>28</v>
      </c>
      <c r="G3671" t="s">
        <v>13491</v>
      </c>
      <c r="H3671" t="str">
        <f>"mom-4"</f>
        <v>mom-4</v>
      </c>
      <c r="I3671" t="s">
        <v>13493</v>
      </c>
      <c r="J3671" t="s">
        <v>29</v>
      </c>
      <c r="K3671" t="s">
        <v>29</v>
      </c>
      <c r="L3671" t="s">
        <v>29</v>
      </c>
      <c r="M3671">
        <v>13.255369315111199</v>
      </c>
      <c r="N3671">
        <v>13.060900693273499</v>
      </c>
      <c r="O3671">
        <v>13.234820715046499</v>
      </c>
      <c r="P3671" t="s">
        <v>29</v>
      </c>
      <c r="Q3671" t="s">
        <v>29</v>
      </c>
      <c r="R3671" t="s">
        <v>29</v>
      </c>
      <c r="S3671">
        <v>12.6098304709614</v>
      </c>
      <c r="T3671" t="s">
        <v>29</v>
      </c>
      <c r="U3671" t="s">
        <v>29</v>
      </c>
      <c r="V3671" t="s">
        <v>29</v>
      </c>
      <c r="W3671" t="s">
        <v>29</v>
      </c>
      <c r="X3671" t="s">
        <v>29</v>
      </c>
      <c r="Y3671" t="s">
        <v>29</v>
      </c>
    </row>
    <row r="3672" spans="1:25" x14ac:dyDescent="0.2">
      <c r="A3672" t="s">
        <v>13494</v>
      </c>
      <c r="B3672" t="s">
        <v>13495</v>
      </c>
      <c r="C3672" t="s">
        <v>13496</v>
      </c>
      <c r="D3672" t="s">
        <v>13497</v>
      </c>
      <c r="E3672" t="s">
        <v>13495</v>
      </c>
      <c r="F3672" t="s">
        <v>28</v>
      </c>
      <c r="G3672" t="s">
        <v>13495</v>
      </c>
      <c r="H3672" t="str">
        <f>"mbk-2"</f>
        <v>mbk-2</v>
      </c>
      <c r="I3672" t="s">
        <v>13497</v>
      </c>
      <c r="J3672">
        <v>12.6067569676045</v>
      </c>
      <c r="K3672">
        <v>12.911019687671899</v>
      </c>
      <c r="L3672">
        <v>12.6260020814789</v>
      </c>
      <c r="M3672">
        <v>12.05241864708</v>
      </c>
      <c r="N3672">
        <v>11.463980115905899</v>
      </c>
      <c r="O3672">
        <v>12.934115784778299</v>
      </c>
      <c r="P3672">
        <v>-0.56442139633037103</v>
      </c>
      <c r="Q3672">
        <v>-1.4852537431772399</v>
      </c>
      <c r="R3672">
        <v>0.35641095051649402</v>
      </c>
      <c r="S3672">
        <v>12.5580124208764</v>
      </c>
      <c r="T3672">
        <v>-1.3000870486693099</v>
      </c>
      <c r="U3672">
        <v>-6.0380866620914402</v>
      </c>
      <c r="V3672">
        <v>0.21210820393487501</v>
      </c>
      <c r="W3672">
        <v>0.79492804357574798</v>
      </c>
      <c r="X3672">
        <v>0</v>
      </c>
      <c r="Y3672">
        <v>0</v>
      </c>
    </row>
    <row r="3673" spans="1:25" x14ac:dyDescent="0.2">
      <c r="A3673" t="s">
        <v>13498</v>
      </c>
      <c r="B3673" t="s">
        <v>13499</v>
      </c>
      <c r="C3673" t="s">
        <v>13500</v>
      </c>
      <c r="D3673" t="s">
        <v>13501</v>
      </c>
      <c r="E3673" t="s">
        <v>13499</v>
      </c>
      <c r="F3673" t="s">
        <v>28</v>
      </c>
      <c r="G3673" t="s">
        <v>13499</v>
      </c>
      <c r="H3673" t="str">
        <f>"akt-2"</f>
        <v>akt-2</v>
      </c>
      <c r="I3673" t="s">
        <v>13501</v>
      </c>
      <c r="J3673">
        <v>12.3354439398487</v>
      </c>
      <c r="K3673">
        <v>12.0577846008914</v>
      </c>
      <c r="L3673">
        <v>12.001807716803199</v>
      </c>
      <c r="M3673">
        <v>13.742416474107801</v>
      </c>
      <c r="N3673">
        <v>13.7589151037833</v>
      </c>
      <c r="O3673">
        <v>13.381918147117499</v>
      </c>
      <c r="P3673">
        <v>1.4960711558217601</v>
      </c>
      <c r="Q3673">
        <v>0.97245089928957895</v>
      </c>
      <c r="R3673">
        <v>2.0196914123539398</v>
      </c>
      <c r="S3673">
        <v>13.483808340810301</v>
      </c>
      <c r="T3673">
        <v>6.0052117249689596</v>
      </c>
      <c r="U3673">
        <v>3.3502475545520598</v>
      </c>
      <c r="V3673" s="2">
        <v>1.14286652885719E-5</v>
      </c>
      <c r="W3673">
        <v>8.0924676766738605E-4</v>
      </c>
      <c r="X3673">
        <v>1</v>
      </c>
      <c r="Y3673">
        <v>1</v>
      </c>
    </row>
    <row r="3674" spans="1:25" x14ac:dyDescent="0.2">
      <c r="A3674" t="s">
        <v>13502</v>
      </c>
      <c r="B3674" t="s">
        <v>13503</v>
      </c>
      <c r="C3674" t="s">
        <v>13504</v>
      </c>
      <c r="D3674" t="s">
        <v>13505</v>
      </c>
      <c r="E3674" t="s">
        <v>13503</v>
      </c>
      <c r="F3674" t="s">
        <v>28</v>
      </c>
      <c r="G3674" t="s">
        <v>13503</v>
      </c>
      <c r="H3674" t="str">
        <f>"B0250.5"</f>
        <v>B0250.5</v>
      </c>
      <c r="I3674" t="s">
        <v>13505</v>
      </c>
      <c r="J3674">
        <v>16.940284817366901</v>
      </c>
      <c r="K3674">
        <v>16.669979607260501</v>
      </c>
      <c r="L3674">
        <v>16.914867322442898</v>
      </c>
      <c r="M3674">
        <v>16.721663410918602</v>
      </c>
      <c r="N3674">
        <v>16.871937075786999</v>
      </c>
      <c r="O3674">
        <v>16.8761578578479</v>
      </c>
      <c r="P3674">
        <v>-1.8457800838937999E-2</v>
      </c>
      <c r="Q3674">
        <v>-0.379602673806688</v>
      </c>
      <c r="R3674">
        <v>0.342687072128812</v>
      </c>
      <c r="S3674">
        <v>16.4935325470896</v>
      </c>
      <c r="T3674">
        <v>-0.10742145117166001</v>
      </c>
      <c r="U3674">
        <v>-6.8764622392679797</v>
      </c>
      <c r="V3674">
        <v>0.91564983260404897</v>
      </c>
      <c r="W3674">
        <v>0.99833354317360001</v>
      </c>
      <c r="X3674">
        <v>0</v>
      </c>
      <c r="Y3674">
        <v>0</v>
      </c>
    </row>
    <row r="3675" spans="1:25" x14ac:dyDescent="0.2">
      <c r="A3675" t="s">
        <v>13506</v>
      </c>
      <c r="B3675" t="s">
        <v>13507</v>
      </c>
      <c r="C3675" t="s">
        <v>13508</v>
      </c>
      <c r="D3675" t="s">
        <v>13509</v>
      </c>
      <c r="E3675" t="s">
        <v>13507</v>
      </c>
      <c r="F3675" t="s">
        <v>28</v>
      </c>
      <c r="G3675" t="s">
        <v>13507</v>
      </c>
      <c r="H3675" t="str">
        <f>"gob-1"</f>
        <v>gob-1</v>
      </c>
      <c r="I3675" t="s">
        <v>13509</v>
      </c>
      <c r="J3675" t="s">
        <v>29</v>
      </c>
      <c r="K3675" t="s">
        <v>29</v>
      </c>
      <c r="L3675">
        <v>11.363465509932199</v>
      </c>
      <c r="M3675" t="s">
        <v>29</v>
      </c>
      <c r="N3675">
        <v>12.2933593480246</v>
      </c>
      <c r="O3675" t="s">
        <v>29</v>
      </c>
      <c r="P3675">
        <v>0.92989383809235104</v>
      </c>
      <c r="Q3675">
        <v>1.9400796655653401E-2</v>
      </c>
      <c r="R3675">
        <v>1.8403868795290499</v>
      </c>
      <c r="S3675">
        <v>11.657757312942501</v>
      </c>
      <c r="T3675">
        <v>2.5098734373334599</v>
      </c>
      <c r="U3675">
        <v>-3.9473379383500502</v>
      </c>
      <c r="V3675">
        <v>4.6607022724968201E-2</v>
      </c>
      <c r="W3675">
        <v>0.47000420555285399</v>
      </c>
      <c r="X3675">
        <v>0</v>
      </c>
      <c r="Y3675">
        <v>0</v>
      </c>
    </row>
    <row r="3676" spans="1:25" x14ac:dyDescent="0.2">
      <c r="A3676" t="s">
        <v>13510</v>
      </c>
      <c r="B3676" t="s">
        <v>13511</v>
      </c>
      <c r="C3676" t="s">
        <v>14740</v>
      </c>
      <c r="D3676" t="s">
        <v>534</v>
      </c>
      <c r="E3676" t="s">
        <v>13511</v>
      </c>
      <c r="F3676" t="s">
        <v>28</v>
      </c>
      <c r="G3676" t="s">
        <v>13511</v>
      </c>
      <c r="H3676" t="str">
        <f>"F47G4.4"</f>
        <v>F47G4.4</v>
      </c>
      <c r="I3676" t="s">
        <v>534</v>
      </c>
      <c r="J3676" t="s">
        <v>29</v>
      </c>
      <c r="K3676" t="s">
        <v>29</v>
      </c>
      <c r="L3676" t="s">
        <v>29</v>
      </c>
      <c r="M3676" t="s">
        <v>29</v>
      </c>
      <c r="N3676" t="s">
        <v>29</v>
      </c>
      <c r="O3676" t="s">
        <v>29</v>
      </c>
      <c r="P3676" t="s">
        <v>29</v>
      </c>
      <c r="Q3676" t="s">
        <v>29</v>
      </c>
      <c r="R3676" t="s">
        <v>29</v>
      </c>
      <c r="S3676">
        <v>9.3669392140089904</v>
      </c>
      <c r="T3676" t="s">
        <v>29</v>
      </c>
      <c r="U3676" t="s">
        <v>29</v>
      </c>
      <c r="V3676" t="s">
        <v>29</v>
      </c>
      <c r="W3676" t="s">
        <v>29</v>
      </c>
      <c r="X3676" t="s">
        <v>29</v>
      </c>
      <c r="Y3676" t="s">
        <v>29</v>
      </c>
    </row>
    <row r="3677" spans="1:25" x14ac:dyDescent="0.2">
      <c r="A3677" t="s">
        <v>13512</v>
      </c>
      <c r="B3677" t="s">
        <v>13513</v>
      </c>
      <c r="C3677" t="s">
        <v>13514</v>
      </c>
      <c r="D3677" t="s">
        <v>13515</v>
      </c>
      <c r="E3677" t="s">
        <v>13513</v>
      </c>
      <c r="F3677" t="s">
        <v>28</v>
      </c>
      <c r="G3677" t="s">
        <v>13513</v>
      </c>
      <c r="H3677" t="str">
        <f>"ani-1"</f>
        <v>ani-1</v>
      </c>
      <c r="I3677" t="s">
        <v>13515</v>
      </c>
      <c r="J3677">
        <v>13.028760695578301</v>
      </c>
      <c r="K3677">
        <v>12.9554298702573</v>
      </c>
      <c r="L3677">
        <v>13.3510697508099</v>
      </c>
      <c r="M3677">
        <v>12.8133126356463</v>
      </c>
      <c r="N3677">
        <v>12.7731314376227</v>
      </c>
      <c r="O3677">
        <v>12.8248582261926</v>
      </c>
      <c r="P3677">
        <v>-0.30798600572798501</v>
      </c>
      <c r="Q3677">
        <v>-0.80974481882496396</v>
      </c>
      <c r="R3677">
        <v>0.19377280736899399</v>
      </c>
      <c r="S3677">
        <v>13.1736850894344</v>
      </c>
      <c r="T3677">
        <v>-1.3019236131690799</v>
      </c>
      <c r="U3677">
        <v>-6.0358175304500197</v>
      </c>
      <c r="V3677">
        <v>0.211494607528563</v>
      </c>
      <c r="W3677">
        <v>0.79492804357574798</v>
      </c>
      <c r="X3677">
        <v>0</v>
      </c>
      <c r="Y3677">
        <v>0</v>
      </c>
    </row>
    <row r="3678" spans="1:25" x14ac:dyDescent="0.2">
      <c r="A3678" t="s">
        <v>13516</v>
      </c>
      <c r="B3678" t="s">
        <v>13517</v>
      </c>
      <c r="C3678" t="s">
        <v>13518</v>
      </c>
      <c r="D3678" t="s">
        <v>13519</v>
      </c>
      <c r="E3678" t="s">
        <v>13517</v>
      </c>
      <c r="F3678" t="s">
        <v>28</v>
      </c>
      <c r="G3678" t="s">
        <v>13517</v>
      </c>
      <c r="H3678" t="str">
        <f>"rpt-6"</f>
        <v>rpt-6</v>
      </c>
      <c r="I3678" t="s">
        <v>13519</v>
      </c>
      <c r="J3678">
        <v>16.006480050510898</v>
      </c>
      <c r="K3678">
        <v>15.877008105906899</v>
      </c>
      <c r="L3678">
        <v>15.8369286076568</v>
      </c>
      <c r="M3678">
        <v>16.029496092198901</v>
      </c>
      <c r="N3678">
        <v>15.860890778891299</v>
      </c>
      <c r="O3678">
        <v>15.941910144907601</v>
      </c>
      <c r="P3678">
        <v>3.7293417307749301E-2</v>
      </c>
      <c r="Q3678">
        <v>-0.35983108625090998</v>
      </c>
      <c r="R3678">
        <v>0.43441792086640801</v>
      </c>
      <c r="S3678">
        <v>15.6735611535836</v>
      </c>
      <c r="T3678">
        <v>0.197377665999246</v>
      </c>
      <c r="U3678">
        <v>-6.8621564751106403</v>
      </c>
      <c r="V3678">
        <v>0.84575659194383201</v>
      </c>
      <c r="W3678">
        <v>0.99370971747667503</v>
      </c>
      <c r="X3678">
        <v>0</v>
      </c>
      <c r="Y3678">
        <v>0</v>
      </c>
    </row>
    <row r="3679" spans="1:25" x14ac:dyDescent="0.2">
      <c r="A3679" t="s">
        <v>13520</v>
      </c>
      <c r="B3679" t="s">
        <v>13521</v>
      </c>
      <c r="C3679" t="s">
        <v>13522</v>
      </c>
      <c r="D3679" t="s">
        <v>13523</v>
      </c>
      <c r="E3679" t="s">
        <v>13521</v>
      </c>
      <c r="F3679" t="s">
        <v>28</v>
      </c>
      <c r="G3679" t="s">
        <v>13521</v>
      </c>
      <c r="H3679" t="str">
        <f>"snr-6"</f>
        <v>snr-6</v>
      </c>
      <c r="I3679" t="s">
        <v>13523</v>
      </c>
      <c r="J3679" t="s">
        <v>29</v>
      </c>
      <c r="K3679" t="s">
        <v>29</v>
      </c>
      <c r="L3679" t="s">
        <v>29</v>
      </c>
      <c r="M3679" t="s">
        <v>29</v>
      </c>
      <c r="N3679" t="s">
        <v>29</v>
      </c>
      <c r="O3679" t="s">
        <v>29</v>
      </c>
      <c r="P3679" t="s">
        <v>29</v>
      </c>
      <c r="Q3679" t="s">
        <v>29</v>
      </c>
      <c r="R3679" t="s">
        <v>29</v>
      </c>
      <c r="S3679">
        <v>10.1259535328022</v>
      </c>
      <c r="T3679" t="s">
        <v>29</v>
      </c>
      <c r="U3679" t="s">
        <v>29</v>
      </c>
      <c r="V3679" t="s">
        <v>29</v>
      </c>
      <c r="W3679" t="s">
        <v>29</v>
      </c>
      <c r="X3679" t="s">
        <v>29</v>
      </c>
      <c r="Y3679" t="s">
        <v>29</v>
      </c>
    </row>
    <row r="3680" spans="1:25" x14ac:dyDescent="0.2">
      <c r="A3680" t="s">
        <v>13524</v>
      </c>
      <c r="B3680" t="s">
        <v>13525</v>
      </c>
      <c r="C3680" t="s">
        <v>14741</v>
      </c>
      <c r="D3680" t="s">
        <v>1285</v>
      </c>
      <c r="E3680" t="s">
        <v>13525</v>
      </c>
      <c r="F3680" t="s">
        <v>28</v>
      </c>
      <c r="G3680" t="s">
        <v>13525</v>
      </c>
      <c r="H3680" t="str">
        <f>"Y49E10.4"</f>
        <v>Y49E10.4</v>
      </c>
      <c r="I3680" t="s">
        <v>1285</v>
      </c>
      <c r="J3680">
        <v>12.510443601234099</v>
      </c>
      <c r="K3680">
        <v>12.309202431074199</v>
      </c>
      <c r="L3680">
        <v>12.859934353409599</v>
      </c>
      <c r="M3680">
        <v>12.478084498731899</v>
      </c>
      <c r="N3680">
        <v>12.609221780932</v>
      </c>
      <c r="O3680">
        <v>12.182008234115701</v>
      </c>
      <c r="P3680">
        <v>-0.136755290646077</v>
      </c>
      <c r="Q3680">
        <v>-0.52307599041778496</v>
      </c>
      <c r="R3680">
        <v>0.24956540912563099</v>
      </c>
      <c r="S3680">
        <v>12.6507792077328</v>
      </c>
      <c r="T3680">
        <v>-0.75083703773196597</v>
      </c>
      <c r="U3680">
        <v>-6.5911567287199597</v>
      </c>
      <c r="V3680">
        <v>0.46372221111487899</v>
      </c>
      <c r="W3680">
        <v>0.92978583625257705</v>
      </c>
      <c r="X3680">
        <v>0</v>
      </c>
      <c r="Y3680">
        <v>0</v>
      </c>
    </row>
    <row r="3681" spans="1:25" x14ac:dyDescent="0.2">
      <c r="A3681" t="s">
        <v>13526</v>
      </c>
      <c r="B3681" t="s">
        <v>13527</v>
      </c>
      <c r="C3681" t="s">
        <v>13528</v>
      </c>
      <c r="D3681" t="s">
        <v>13529</v>
      </c>
      <c r="E3681" t="s">
        <v>13527</v>
      </c>
      <c r="F3681" t="s">
        <v>28</v>
      </c>
      <c r="G3681" t="s">
        <v>13527</v>
      </c>
      <c r="H3681" t="str">
        <f>"glrx-5"</f>
        <v>glrx-5</v>
      </c>
      <c r="I3681" t="s">
        <v>13529</v>
      </c>
      <c r="J3681">
        <v>13.7561721394462</v>
      </c>
      <c r="K3681">
        <v>14.5697048833437</v>
      </c>
      <c r="L3681">
        <v>14.217901651998099</v>
      </c>
      <c r="M3681">
        <v>13.6029528515175</v>
      </c>
      <c r="N3681">
        <v>14.7215658701111</v>
      </c>
      <c r="O3681">
        <v>14.1151307739682</v>
      </c>
      <c r="P3681">
        <v>-3.4709726397022002E-2</v>
      </c>
      <c r="Q3681">
        <v>-0.82715400384704096</v>
      </c>
      <c r="R3681">
        <v>0.75773455105299703</v>
      </c>
      <c r="S3681">
        <v>14.7963768048588</v>
      </c>
      <c r="T3681">
        <v>-9.2455440032675196E-2</v>
      </c>
      <c r="U3681">
        <v>-6.87801040994853</v>
      </c>
      <c r="V3681">
        <v>0.92742365972825902</v>
      </c>
      <c r="W3681">
        <v>0.99926809132575301</v>
      </c>
      <c r="X3681">
        <v>0</v>
      </c>
      <c r="Y3681">
        <v>0</v>
      </c>
    </row>
    <row r="3682" spans="1:25" x14ac:dyDescent="0.2">
      <c r="A3682" t="s">
        <v>13530</v>
      </c>
      <c r="B3682" t="s">
        <v>13531</v>
      </c>
      <c r="C3682" t="s">
        <v>13532</v>
      </c>
      <c r="D3682" t="s">
        <v>13533</v>
      </c>
      <c r="E3682" t="s">
        <v>13531</v>
      </c>
      <c r="F3682" t="s">
        <v>28</v>
      </c>
      <c r="G3682" t="s">
        <v>13531</v>
      </c>
      <c r="H3682" t="str">
        <f>"mbf-1"</f>
        <v>mbf-1</v>
      </c>
      <c r="I3682" t="s">
        <v>13533</v>
      </c>
      <c r="J3682">
        <v>12.2707352825933</v>
      </c>
      <c r="K3682">
        <v>11.0853303711976</v>
      </c>
      <c r="L3682">
        <v>12.617595264706299</v>
      </c>
      <c r="M3682">
        <v>13.7385608346501</v>
      </c>
      <c r="N3682">
        <v>13.111451970159701</v>
      </c>
      <c r="O3682">
        <v>13.0577113236674</v>
      </c>
      <c r="P3682">
        <v>1.31135440332666</v>
      </c>
      <c r="Q3682">
        <v>0.50812272795913005</v>
      </c>
      <c r="R3682">
        <v>2.1145860786941801</v>
      </c>
      <c r="S3682">
        <v>12.191414588530399</v>
      </c>
      <c r="T3682">
        <v>3.4461110275507498</v>
      </c>
      <c r="U3682">
        <v>-2.1839845046079902</v>
      </c>
      <c r="V3682">
        <v>3.1070790362257498E-3</v>
      </c>
      <c r="W3682">
        <v>7.5477073230359806E-2</v>
      </c>
      <c r="X3682">
        <v>1</v>
      </c>
      <c r="Y3682">
        <v>0</v>
      </c>
    </row>
    <row r="3683" spans="1:25" x14ac:dyDescent="0.2">
      <c r="A3683" t="s">
        <v>13534</v>
      </c>
      <c r="B3683" t="s">
        <v>13535</v>
      </c>
      <c r="C3683" t="s">
        <v>13536</v>
      </c>
      <c r="D3683" t="s">
        <v>13537</v>
      </c>
      <c r="E3683" t="s">
        <v>13535</v>
      </c>
      <c r="F3683" t="s">
        <v>28</v>
      </c>
      <c r="G3683" t="s">
        <v>13535</v>
      </c>
      <c r="H3683" t="str">
        <f>"num-1"</f>
        <v>num-1</v>
      </c>
      <c r="I3683" t="s">
        <v>13537</v>
      </c>
      <c r="J3683">
        <v>11.7615039142218</v>
      </c>
      <c r="K3683">
        <v>11.9155415064532</v>
      </c>
      <c r="L3683">
        <v>12.510223379601699</v>
      </c>
      <c r="M3683">
        <v>12.861494142841099</v>
      </c>
      <c r="N3683">
        <v>12.7389030877124</v>
      </c>
      <c r="O3683">
        <v>12.7079370069776</v>
      </c>
      <c r="P3683">
        <v>0.70702181241814799</v>
      </c>
      <c r="Q3683">
        <v>0.232106480779876</v>
      </c>
      <c r="R3683">
        <v>1.1819371440564199</v>
      </c>
      <c r="S3683">
        <v>12.2069822555091</v>
      </c>
      <c r="T3683">
        <v>3.1576657186687198</v>
      </c>
      <c r="U3683">
        <v>-2.8236903026301801</v>
      </c>
      <c r="V3683">
        <v>6.1360970195912896E-3</v>
      </c>
      <c r="W3683">
        <v>0.12831240866003399</v>
      </c>
      <c r="X3683">
        <v>0</v>
      </c>
      <c r="Y3683">
        <v>0</v>
      </c>
    </row>
    <row r="3684" spans="1:25" x14ac:dyDescent="0.2">
      <c r="A3684" t="s">
        <v>13538</v>
      </c>
      <c r="B3684" t="s">
        <v>13539</v>
      </c>
      <c r="C3684" t="s">
        <v>13540</v>
      </c>
      <c r="D3684" t="s">
        <v>13541</v>
      </c>
      <c r="E3684" t="s">
        <v>13539</v>
      </c>
      <c r="F3684" t="s">
        <v>28</v>
      </c>
      <c r="G3684" t="s">
        <v>13539</v>
      </c>
      <c r="H3684" t="str">
        <f>"vha-20"</f>
        <v>vha-20</v>
      </c>
      <c r="I3684" t="s">
        <v>13541</v>
      </c>
      <c r="J3684" t="s">
        <v>29</v>
      </c>
      <c r="K3684">
        <v>12.5569955930291</v>
      </c>
      <c r="L3684">
        <v>13.041426875687799</v>
      </c>
      <c r="M3684">
        <v>12.2872928523922</v>
      </c>
      <c r="N3684">
        <v>12.785881852269799</v>
      </c>
      <c r="O3684">
        <v>12.64844515305</v>
      </c>
      <c r="P3684">
        <v>-0.22533794845444899</v>
      </c>
      <c r="Q3684">
        <v>-1.02801011286317</v>
      </c>
      <c r="R3684">
        <v>0.57733421595427004</v>
      </c>
      <c r="S3684">
        <v>12.8906205134645</v>
      </c>
      <c r="T3684">
        <v>-0.598739264340866</v>
      </c>
      <c r="U3684">
        <v>-6.5856502674803901</v>
      </c>
      <c r="V3684">
        <v>0.558343244082257</v>
      </c>
      <c r="W3684">
        <v>0.95635987123881905</v>
      </c>
      <c r="X3684">
        <v>0</v>
      </c>
      <c r="Y3684">
        <v>0</v>
      </c>
    </row>
    <row r="3685" spans="1:25" x14ac:dyDescent="0.2">
      <c r="A3685" t="s">
        <v>13542</v>
      </c>
      <c r="B3685" t="s">
        <v>13543</v>
      </c>
      <c r="C3685" t="s">
        <v>13544</v>
      </c>
      <c r="D3685" t="s">
        <v>93</v>
      </c>
      <c r="E3685" t="s">
        <v>13543</v>
      </c>
      <c r="F3685" t="s">
        <v>28</v>
      </c>
      <c r="G3685" t="s">
        <v>13543</v>
      </c>
      <c r="H3685" t="str">
        <f>"rsp-8"</f>
        <v>rsp-8</v>
      </c>
      <c r="I3685" t="s">
        <v>93</v>
      </c>
      <c r="J3685">
        <v>16.718303833646001</v>
      </c>
      <c r="K3685">
        <v>17.0774513742445</v>
      </c>
      <c r="L3685">
        <v>17.106772592672801</v>
      </c>
      <c r="M3685">
        <v>16.779262154746199</v>
      </c>
      <c r="N3685">
        <v>16.809407645981299</v>
      </c>
      <c r="O3685">
        <v>16.633320901368698</v>
      </c>
      <c r="P3685">
        <v>-0.226845699489054</v>
      </c>
      <c r="Q3685">
        <v>-0.66403396788275204</v>
      </c>
      <c r="R3685">
        <v>0.21034256890464301</v>
      </c>
      <c r="S3685">
        <v>17.168102144979201</v>
      </c>
      <c r="T3685">
        <v>-1.09057255469952</v>
      </c>
      <c r="U3685">
        <v>-6.2810402588852696</v>
      </c>
      <c r="V3685">
        <v>0.28992843634614102</v>
      </c>
      <c r="W3685">
        <v>0.856190392347986</v>
      </c>
      <c r="X3685">
        <v>0</v>
      </c>
      <c r="Y3685">
        <v>0</v>
      </c>
    </row>
    <row r="3686" spans="1:25" x14ac:dyDescent="0.2">
      <c r="A3686" t="s">
        <v>13545</v>
      </c>
      <c r="B3686" t="s">
        <v>13546</v>
      </c>
      <c r="C3686" t="s">
        <v>14742</v>
      </c>
      <c r="D3686" t="s">
        <v>4609</v>
      </c>
      <c r="E3686" t="s">
        <v>13546</v>
      </c>
      <c r="F3686" t="s">
        <v>28</v>
      </c>
      <c r="G3686" t="s">
        <v>13546</v>
      </c>
      <c r="H3686" t="str">
        <f>"T28A8.4"</f>
        <v>T28A8.4</v>
      </c>
      <c r="I3686" t="s">
        <v>4609</v>
      </c>
      <c r="J3686">
        <v>10.5685513317858</v>
      </c>
      <c r="K3686" t="s">
        <v>29</v>
      </c>
      <c r="L3686">
        <v>10.063238763639299</v>
      </c>
      <c r="M3686" t="s">
        <v>29</v>
      </c>
      <c r="N3686">
        <v>12.565173483295</v>
      </c>
      <c r="O3686" t="s">
        <v>29</v>
      </c>
      <c r="P3686">
        <v>2.24927843558243</v>
      </c>
      <c r="Q3686">
        <v>1.0163867363044601</v>
      </c>
      <c r="R3686">
        <v>3.4821701348604002</v>
      </c>
      <c r="S3686">
        <v>12.321353396701401</v>
      </c>
      <c r="T3686">
        <v>3.9446232975751698</v>
      </c>
      <c r="U3686">
        <v>-1.1739453575894501</v>
      </c>
      <c r="V3686">
        <v>1.7036413298758401E-3</v>
      </c>
      <c r="W3686">
        <v>4.8048460557854097E-2</v>
      </c>
      <c r="X3686">
        <v>1</v>
      </c>
      <c r="Y3686">
        <v>1</v>
      </c>
    </row>
    <row r="3687" spans="1:25" x14ac:dyDescent="0.2">
      <c r="A3687" t="s">
        <v>13547</v>
      </c>
      <c r="B3687" t="s">
        <v>13548</v>
      </c>
      <c r="C3687" t="s">
        <v>13549</v>
      </c>
      <c r="D3687" t="s">
        <v>1174</v>
      </c>
      <c r="E3687" t="s">
        <v>13548</v>
      </c>
      <c r="F3687" t="s">
        <v>28</v>
      </c>
      <c r="G3687" t="s">
        <v>13548</v>
      </c>
      <c r="H3687" t="str">
        <f>"klp-7"</f>
        <v>klp-7</v>
      </c>
      <c r="I3687" t="s">
        <v>1174</v>
      </c>
      <c r="J3687">
        <v>14.129181836986801</v>
      </c>
      <c r="K3687">
        <v>13.835947321068399</v>
      </c>
      <c r="L3687">
        <v>14.576724633304099</v>
      </c>
      <c r="M3687">
        <v>14.416503964586299</v>
      </c>
      <c r="N3687">
        <v>14.1443095114605</v>
      </c>
      <c r="O3687">
        <v>14.2693312901112</v>
      </c>
      <c r="P3687">
        <v>9.6096991599589301E-2</v>
      </c>
      <c r="Q3687">
        <v>-0.34960217451622499</v>
      </c>
      <c r="R3687">
        <v>0.54179615771540401</v>
      </c>
      <c r="S3687">
        <v>14.211618393091999</v>
      </c>
      <c r="T3687">
        <v>0.45511168222841297</v>
      </c>
      <c r="U3687">
        <v>-6.7745941601108397</v>
      </c>
      <c r="V3687">
        <v>0.65482285969592502</v>
      </c>
      <c r="W3687">
        <v>0.98208674045427502</v>
      </c>
      <c r="X3687">
        <v>0</v>
      </c>
      <c r="Y3687">
        <v>0</v>
      </c>
    </row>
    <row r="3688" spans="1:25" x14ac:dyDescent="0.2">
      <c r="A3688" t="s">
        <v>13550</v>
      </c>
      <c r="B3688" t="s">
        <v>13551</v>
      </c>
      <c r="C3688" t="s">
        <v>13552</v>
      </c>
      <c r="D3688" t="s">
        <v>12465</v>
      </c>
      <c r="E3688" t="s">
        <v>13551</v>
      </c>
      <c r="F3688" t="s">
        <v>28</v>
      </c>
      <c r="G3688" t="s">
        <v>13551</v>
      </c>
      <c r="H3688" t="str">
        <f>"hxk-2"</f>
        <v>hxk-2</v>
      </c>
      <c r="I3688" t="s">
        <v>12465</v>
      </c>
      <c r="J3688">
        <v>15.180777695872001</v>
      </c>
      <c r="K3688">
        <v>14.8076105616334</v>
      </c>
      <c r="L3688">
        <v>14.923023082206701</v>
      </c>
      <c r="M3688">
        <v>14.902209925302699</v>
      </c>
      <c r="N3688">
        <v>14.6130893490449</v>
      </c>
      <c r="O3688">
        <v>14.5629386210252</v>
      </c>
      <c r="P3688">
        <v>-0.27772448144645301</v>
      </c>
      <c r="Q3688">
        <v>-0.95311255154242203</v>
      </c>
      <c r="R3688">
        <v>0.39766358864951501</v>
      </c>
      <c r="S3688">
        <v>14.8428631050313</v>
      </c>
      <c r="T3688">
        <v>-0.86427767032278002</v>
      </c>
      <c r="U3688">
        <v>-6.5002037553233398</v>
      </c>
      <c r="V3688">
        <v>0.39887267885312799</v>
      </c>
      <c r="W3688">
        <v>0.91027279600179201</v>
      </c>
      <c r="X3688">
        <v>0</v>
      </c>
      <c r="Y3688">
        <v>0</v>
      </c>
    </row>
    <row r="3689" spans="1:25" x14ac:dyDescent="0.2">
      <c r="A3689" t="s">
        <v>13553</v>
      </c>
      <c r="B3689" t="s">
        <v>13554</v>
      </c>
      <c r="C3689" t="s">
        <v>13555</v>
      </c>
      <c r="D3689" t="s">
        <v>368</v>
      </c>
      <c r="E3689" t="s">
        <v>13554</v>
      </c>
      <c r="F3689" t="s">
        <v>28</v>
      </c>
      <c r="G3689" t="s">
        <v>13554</v>
      </c>
      <c r="H3689" t="str">
        <f>"B0379.1"</f>
        <v>B0379.1</v>
      </c>
      <c r="I3689" t="s">
        <v>368</v>
      </c>
      <c r="J3689">
        <v>13.7926256005344</v>
      </c>
      <c r="K3689">
        <v>13.5242840269047</v>
      </c>
      <c r="L3689">
        <v>13.9413282282712</v>
      </c>
      <c r="M3689">
        <v>13.490660136582999</v>
      </c>
      <c r="N3689">
        <v>12.9377565629143</v>
      </c>
      <c r="O3689">
        <v>13.365593342207401</v>
      </c>
      <c r="P3689">
        <v>-0.48807593800185201</v>
      </c>
      <c r="Q3689">
        <v>-0.90687254587787303</v>
      </c>
      <c r="R3689">
        <v>-6.92793301258324E-2</v>
      </c>
      <c r="S3689">
        <v>13.7897957073335</v>
      </c>
      <c r="T3689">
        <v>-2.4494961172169698</v>
      </c>
      <c r="U3689">
        <v>-4.1833508263288701</v>
      </c>
      <c r="V3689">
        <v>2.4835784388067501E-2</v>
      </c>
      <c r="W3689">
        <v>0.33736118548362698</v>
      </c>
      <c r="X3689">
        <v>0</v>
      </c>
      <c r="Y3689">
        <v>0</v>
      </c>
    </row>
    <row r="3690" spans="1:25" x14ac:dyDescent="0.2">
      <c r="A3690" t="s">
        <v>13556</v>
      </c>
      <c r="B3690" t="s">
        <v>13557</v>
      </c>
      <c r="C3690" t="s">
        <v>13558</v>
      </c>
      <c r="D3690" t="s">
        <v>93</v>
      </c>
      <c r="E3690" t="s">
        <v>13557</v>
      </c>
      <c r="F3690" t="s">
        <v>28</v>
      </c>
      <c r="G3690" t="s">
        <v>13557</v>
      </c>
      <c r="H3690" t="str">
        <f>"rbd-1"</f>
        <v>rbd-1</v>
      </c>
      <c r="I3690" t="s">
        <v>93</v>
      </c>
      <c r="J3690">
        <v>13.405992108761</v>
      </c>
      <c r="K3690">
        <v>13.0034222181609</v>
      </c>
      <c r="L3690">
        <v>13.267296647001601</v>
      </c>
      <c r="M3690">
        <v>13.434949287781199</v>
      </c>
      <c r="N3690">
        <v>13.3361501580438</v>
      </c>
      <c r="O3690">
        <v>13.1707212109597</v>
      </c>
      <c r="P3690">
        <v>8.8369894287071205E-2</v>
      </c>
      <c r="Q3690">
        <v>-0.28999740001614799</v>
      </c>
      <c r="R3690">
        <v>0.46673718859029001</v>
      </c>
      <c r="S3690">
        <v>13.610948398986601</v>
      </c>
      <c r="T3690">
        <v>0.49299300734762203</v>
      </c>
      <c r="U3690">
        <v>-6.7560196513177297</v>
      </c>
      <c r="V3690">
        <v>0.62836367811409</v>
      </c>
      <c r="W3690">
        <v>0.97279262440453396</v>
      </c>
      <c r="X3690">
        <v>0</v>
      </c>
      <c r="Y3690">
        <v>0</v>
      </c>
    </row>
    <row r="3691" spans="1:25" x14ac:dyDescent="0.2">
      <c r="A3691" t="s">
        <v>13559</v>
      </c>
      <c r="B3691" t="s">
        <v>13560</v>
      </c>
      <c r="C3691" t="s">
        <v>14743</v>
      </c>
      <c r="D3691" t="s">
        <v>13561</v>
      </c>
      <c r="E3691" t="s">
        <v>13560</v>
      </c>
      <c r="F3691" t="s">
        <v>28</v>
      </c>
      <c r="G3691" t="s">
        <v>13560</v>
      </c>
      <c r="H3691" t="str">
        <f>"F44E5.1"</f>
        <v>F44E5.1</v>
      </c>
      <c r="I3691" t="s">
        <v>13561</v>
      </c>
      <c r="J3691">
        <v>14.592767085022301</v>
      </c>
      <c r="K3691">
        <v>14.1214840947555</v>
      </c>
      <c r="L3691">
        <v>13.659178976828301</v>
      </c>
      <c r="M3691">
        <v>13.5084126952252</v>
      </c>
      <c r="N3691">
        <v>13.687665767450101</v>
      </c>
      <c r="O3691">
        <v>13.764038941445101</v>
      </c>
      <c r="P3691">
        <v>-0.47110425082851598</v>
      </c>
      <c r="Q3691">
        <v>-1.0634381702278499</v>
      </c>
      <c r="R3691">
        <v>0.121229668570823</v>
      </c>
      <c r="S3691">
        <v>13.6132955369894</v>
      </c>
      <c r="T3691">
        <v>-1.6788056931272199</v>
      </c>
      <c r="U3691">
        <v>-5.5174404405997297</v>
      </c>
      <c r="V3691">
        <v>0.11158773074904201</v>
      </c>
      <c r="W3691">
        <v>0.68517337256976496</v>
      </c>
      <c r="X3691">
        <v>0</v>
      </c>
      <c r="Y3691">
        <v>0</v>
      </c>
    </row>
    <row r="3692" spans="1:25" x14ac:dyDescent="0.2">
      <c r="A3692" t="s">
        <v>13562</v>
      </c>
      <c r="B3692" t="s">
        <v>13563</v>
      </c>
      <c r="C3692" t="s">
        <v>13564</v>
      </c>
      <c r="D3692" t="s">
        <v>13565</v>
      </c>
      <c r="E3692" t="s">
        <v>13563</v>
      </c>
      <c r="F3692" t="s">
        <v>28</v>
      </c>
      <c r="G3692" t="s">
        <v>13563</v>
      </c>
      <c r="H3692" t="str">
        <f>"mex-5"</f>
        <v>mex-5</v>
      </c>
      <c r="I3692" t="s">
        <v>13565</v>
      </c>
      <c r="J3692">
        <v>12.4784257808383</v>
      </c>
      <c r="K3692">
        <v>11.8912551662438</v>
      </c>
      <c r="L3692">
        <v>13.7521256193626</v>
      </c>
      <c r="M3692">
        <v>13.389802635877</v>
      </c>
      <c r="N3692">
        <v>14.362476546210001</v>
      </c>
      <c r="O3692">
        <v>12.942944268360399</v>
      </c>
      <c r="P3692">
        <v>0.85780562800087501</v>
      </c>
      <c r="Q3692">
        <v>-8.1000158996418103E-2</v>
      </c>
      <c r="R3692">
        <v>1.79661141499817</v>
      </c>
      <c r="S3692">
        <v>13.993389597435399</v>
      </c>
      <c r="T3692">
        <v>1.9286931872525701</v>
      </c>
      <c r="U3692">
        <v>-5.1222734054778698</v>
      </c>
      <c r="V3692">
        <v>7.0743980382068E-2</v>
      </c>
      <c r="W3692">
        <v>0.57296164832723195</v>
      </c>
      <c r="X3692">
        <v>0</v>
      </c>
      <c r="Y3692">
        <v>0</v>
      </c>
    </row>
    <row r="3693" spans="1:25" x14ac:dyDescent="0.2">
      <c r="A3693" t="s">
        <v>13566</v>
      </c>
      <c r="B3693" t="s">
        <v>13567</v>
      </c>
      <c r="C3693" t="s">
        <v>13568</v>
      </c>
      <c r="D3693" t="s">
        <v>13569</v>
      </c>
      <c r="E3693" t="s">
        <v>13567</v>
      </c>
      <c r="F3693" t="s">
        <v>28</v>
      </c>
      <c r="G3693" t="s">
        <v>13567</v>
      </c>
      <c r="H3693" t="str">
        <f>"rsd-2"</f>
        <v>rsd-2</v>
      </c>
      <c r="I3693" t="s">
        <v>13569</v>
      </c>
      <c r="J3693">
        <v>13.2134531143658</v>
      </c>
      <c r="K3693">
        <v>13.5149474533738</v>
      </c>
      <c r="L3693">
        <v>13.6617752278959</v>
      </c>
      <c r="M3693">
        <v>13.5577941810217</v>
      </c>
      <c r="N3693">
        <v>13.8644458016878</v>
      </c>
      <c r="O3693">
        <v>13.5489125902595</v>
      </c>
      <c r="P3693">
        <v>0.19365892577781599</v>
      </c>
      <c r="Q3693">
        <v>-0.249128616661109</v>
      </c>
      <c r="R3693">
        <v>0.636446468216742</v>
      </c>
      <c r="S3693">
        <v>13.9984676656505</v>
      </c>
      <c r="T3693">
        <v>0.92319222421208802</v>
      </c>
      <c r="U3693">
        <v>-6.4467924368575904</v>
      </c>
      <c r="V3693">
        <v>0.36890447075796801</v>
      </c>
      <c r="W3693">
        <v>0.89092663541315897</v>
      </c>
      <c r="X3693">
        <v>0</v>
      </c>
      <c r="Y3693">
        <v>0</v>
      </c>
    </row>
    <row r="3694" spans="1:25" x14ac:dyDescent="0.2">
      <c r="A3694" t="s">
        <v>13570</v>
      </c>
      <c r="B3694" t="s">
        <v>13571</v>
      </c>
      <c r="C3694" t="s">
        <v>14744</v>
      </c>
      <c r="D3694" t="s">
        <v>3455</v>
      </c>
      <c r="E3694" t="s">
        <v>13571</v>
      </c>
      <c r="F3694" t="s">
        <v>28</v>
      </c>
      <c r="G3694" t="s">
        <v>13571</v>
      </c>
      <c r="H3694" t="str">
        <f>"T16G1.6"</f>
        <v>T16G1.6</v>
      </c>
      <c r="I3694" t="s">
        <v>3455</v>
      </c>
      <c r="J3694" t="s">
        <v>29</v>
      </c>
      <c r="K3694" t="s">
        <v>29</v>
      </c>
      <c r="L3694" t="s">
        <v>29</v>
      </c>
      <c r="M3694" t="s">
        <v>29</v>
      </c>
      <c r="N3694" t="s">
        <v>29</v>
      </c>
      <c r="O3694" t="s">
        <v>29</v>
      </c>
      <c r="P3694" t="s">
        <v>29</v>
      </c>
      <c r="Q3694" t="s">
        <v>29</v>
      </c>
      <c r="R3694" t="s">
        <v>29</v>
      </c>
      <c r="S3694">
        <v>11.3964646268858</v>
      </c>
      <c r="T3694" t="s">
        <v>29</v>
      </c>
      <c r="U3694" t="s">
        <v>29</v>
      </c>
      <c r="V3694" t="s">
        <v>29</v>
      </c>
      <c r="W3694" t="s">
        <v>29</v>
      </c>
      <c r="X3694" t="s">
        <v>29</v>
      </c>
      <c r="Y3694" t="s">
        <v>29</v>
      </c>
    </row>
    <row r="3695" spans="1:25" x14ac:dyDescent="0.2">
      <c r="A3695" t="s">
        <v>13572</v>
      </c>
      <c r="B3695" t="s">
        <v>13573</v>
      </c>
      <c r="C3695" t="s">
        <v>13574</v>
      </c>
      <c r="D3695" t="s">
        <v>13575</v>
      </c>
      <c r="E3695" t="s">
        <v>13573</v>
      </c>
      <c r="F3695" t="s">
        <v>28</v>
      </c>
      <c r="G3695" t="s">
        <v>13573</v>
      </c>
      <c r="H3695" t="str">
        <f>"eif-3.K"</f>
        <v>eif-3.K</v>
      </c>
      <c r="I3695" t="s">
        <v>13575</v>
      </c>
      <c r="J3695">
        <v>13.4339779976395</v>
      </c>
      <c r="K3695">
        <v>13.0723350345756</v>
      </c>
      <c r="L3695">
        <v>14.120147654965599</v>
      </c>
      <c r="M3695">
        <v>14.2344736116536</v>
      </c>
      <c r="N3695">
        <v>14.047876798633499</v>
      </c>
      <c r="O3695">
        <v>13.9317530144217</v>
      </c>
      <c r="P3695">
        <v>0.52921424584271104</v>
      </c>
      <c r="Q3695">
        <v>-0.15453860802456601</v>
      </c>
      <c r="R3695">
        <v>1.2129670997099899</v>
      </c>
      <c r="S3695">
        <v>13.6841556916812</v>
      </c>
      <c r="T3695">
        <v>1.64165503944202</v>
      </c>
      <c r="U3695">
        <v>-5.5741871090372896</v>
      </c>
      <c r="V3695">
        <v>0.120295624048156</v>
      </c>
      <c r="W3695">
        <v>0.70732126648809501</v>
      </c>
      <c r="X3695">
        <v>0</v>
      </c>
      <c r="Y3695">
        <v>0</v>
      </c>
    </row>
    <row r="3696" spans="1:25" x14ac:dyDescent="0.2">
      <c r="A3696" t="s">
        <v>13576</v>
      </c>
      <c r="B3696" t="s">
        <v>13577</v>
      </c>
      <c r="C3696" t="s">
        <v>14745</v>
      </c>
      <c r="D3696" t="s">
        <v>4039</v>
      </c>
      <c r="E3696" t="s">
        <v>13577</v>
      </c>
      <c r="F3696" t="s">
        <v>28</v>
      </c>
      <c r="G3696" t="s">
        <v>13577</v>
      </c>
      <c r="H3696" t="str">
        <f>"T05F1.11"</f>
        <v>T05F1.11</v>
      </c>
      <c r="I3696" t="s">
        <v>4039</v>
      </c>
      <c r="J3696">
        <v>13.5875332690955</v>
      </c>
      <c r="K3696">
        <v>13.403090639663899</v>
      </c>
      <c r="L3696">
        <v>13.0368870638328</v>
      </c>
      <c r="M3696">
        <v>13.1464688903433</v>
      </c>
      <c r="N3696">
        <v>13.216842724129901</v>
      </c>
      <c r="O3696">
        <v>12.1009782161719</v>
      </c>
      <c r="P3696">
        <v>-0.521073713982389</v>
      </c>
      <c r="Q3696">
        <v>-1.11483226152661</v>
      </c>
      <c r="R3696">
        <v>7.2684833561830794E-2</v>
      </c>
      <c r="S3696">
        <v>12.827626758320401</v>
      </c>
      <c r="T3696">
        <v>-1.85241932856958</v>
      </c>
      <c r="U3696">
        <v>-5.2467609306862704</v>
      </c>
      <c r="V3696">
        <v>8.1518837964611707E-2</v>
      </c>
      <c r="W3696">
        <v>0.60425905304272798</v>
      </c>
      <c r="X3696">
        <v>0</v>
      </c>
      <c r="Y3696">
        <v>0</v>
      </c>
    </row>
    <row r="3697" spans="1:25" x14ac:dyDescent="0.2">
      <c r="A3697" t="s">
        <v>13578</v>
      </c>
      <c r="B3697" t="s">
        <v>13579</v>
      </c>
      <c r="C3697" t="s">
        <v>14746</v>
      </c>
      <c r="D3697" t="s">
        <v>13580</v>
      </c>
      <c r="E3697" t="s">
        <v>13579</v>
      </c>
      <c r="F3697" t="s">
        <v>28</v>
      </c>
      <c r="G3697" t="s">
        <v>13579</v>
      </c>
      <c r="H3697" t="str">
        <f>"T05F1.2"</f>
        <v>T05F1.2</v>
      </c>
      <c r="I3697" t="s">
        <v>13580</v>
      </c>
      <c r="J3697">
        <v>12.092136383715999</v>
      </c>
      <c r="K3697">
        <v>11.617033340786501</v>
      </c>
      <c r="L3697">
        <v>12.419257274541399</v>
      </c>
      <c r="M3697">
        <v>12.2311438905271</v>
      </c>
      <c r="N3697">
        <v>12.7956860057214</v>
      </c>
      <c r="O3697">
        <v>12.149623487275001</v>
      </c>
      <c r="P3697">
        <v>0.34934212815989202</v>
      </c>
      <c r="Q3697">
        <v>-0.25400575446277202</v>
      </c>
      <c r="R3697">
        <v>0.952690010782555</v>
      </c>
      <c r="S3697">
        <v>12.8893672153898</v>
      </c>
      <c r="T3697">
        <v>1.2221743976280499</v>
      </c>
      <c r="U3697">
        <v>-6.1326160440016597</v>
      </c>
      <c r="V3697">
        <v>0.238419549870968</v>
      </c>
      <c r="W3697">
        <v>0.82309155806077094</v>
      </c>
      <c r="X3697">
        <v>0</v>
      </c>
      <c r="Y3697">
        <v>0</v>
      </c>
    </row>
    <row r="3698" spans="1:25" x14ac:dyDescent="0.2">
      <c r="A3698" t="s">
        <v>13581</v>
      </c>
      <c r="B3698" t="s">
        <v>13582</v>
      </c>
      <c r="C3698" t="s">
        <v>13583</v>
      </c>
      <c r="D3698" t="s">
        <v>13584</v>
      </c>
      <c r="E3698" t="s">
        <v>13582</v>
      </c>
      <c r="F3698" t="s">
        <v>28</v>
      </c>
      <c r="G3698" t="s">
        <v>13582</v>
      </c>
      <c r="H3698" t="str">
        <f>"pdr-1"</f>
        <v>pdr-1</v>
      </c>
      <c r="I3698" t="s">
        <v>13584</v>
      </c>
      <c r="J3698" t="s">
        <v>29</v>
      </c>
      <c r="K3698" t="s">
        <v>29</v>
      </c>
      <c r="L3698" t="s">
        <v>29</v>
      </c>
      <c r="M3698" t="s">
        <v>29</v>
      </c>
      <c r="N3698">
        <v>10.215330742137301</v>
      </c>
      <c r="O3698" t="s">
        <v>29</v>
      </c>
      <c r="P3698" t="s">
        <v>29</v>
      </c>
      <c r="Q3698" t="s">
        <v>29</v>
      </c>
      <c r="R3698" t="s">
        <v>29</v>
      </c>
      <c r="S3698">
        <v>11.2715182993939</v>
      </c>
      <c r="T3698" t="s">
        <v>29</v>
      </c>
      <c r="U3698" t="s">
        <v>29</v>
      </c>
      <c r="V3698" t="s">
        <v>29</v>
      </c>
      <c r="W3698" t="s">
        <v>29</v>
      </c>
      <c r="X3698" t="s">
        <v>29</v>
      </c>
      <c r="Y3698" t="s">
        <v>29</v>
      </c>
    </row>
    <row r="3699" spans="1:25" x14ac:dyDescent="0.2">
      <c r="A3699" t="s">
        <v>13585</v>
      </c>
      <c r="B3699" t="s">
        <v>13586</v>
      </c>
      <c r="C3699" t="s">
        <v>13587</v>
      </c>
      <c r="D3699" t="s">
        <v>13588</v>
      </c>
      <c r="E3699" t="s">
        <v>13586</v>
      </c>
      <c r="F3699" t="s">
        <v>28</v>
      </c>
      <c r="G3699" t="s">
        <v>13586</v>
      </c>
      <c r="H3699" t="str">
        <f>"rml-1"</f>
        <v>rml-1</v>
      </c>
      <c r="I3699" t="s">
        <v>13588</v>
      </c>
      <c r="J3699">
        <v>18.246521306073099</v>
      </c>
      <c r="K3699">
        <v>18.157843676857102</v>
      </c>
      <c r="L3699">
        <v>17.974298779222</v>
      </c>
      <c r="M3699">
        <v>17.955162614270201</v>
      </c>
      <c r="N3699">
        <v>18.211430802855801</v>
      </c>
      <c r="O3699">
        <v>18.223942928296701</v>
      </c>
      <c r="P3699">
        <v>3.9575277569028301E-3</v>
      </c>
      <c r="Q3699">
        <v>-0.36955068911391598</v>
      </c>
      <c r="R3699">
        <v>0.37746574462772098</v>
      </c>
      <c r="S3699">
        <v>17.668939455738499</v>
      </c>
      <c r="T3699">
        <v>2.2269800286094599E-2</v>
      </c>
      <c r="U3699">
        <v>-6.88223044823284</v>
      </c>
      <c r="V3699">
        <v>0.982479181533645</v>
      </c>
      <c r="W3699">
        <v>0.99968702248720698</v>
      </c>
      <c r="X3699">
        <v>0</v>
      </c>
      <c r="Y3699">
        <v>0</v>
      </c>
    </row>
    <row r="3700" spans="1:25" x14ac:dyDescent="0.2">
      <c r="A3700" t="s">
        <v>13589</v>
      </c>
      <c r="B3700" t="s">
        <v>13590</v>
      </c>
      <c r="C3700" t="s">
        <v>13591</v>
      </c>
      <c r="D3700" t="s">
        <v>561</v>
      </c>
      <c r="E3700" t="s">
        <v>13590</v>
      </c>
      <c r="F3700" t="s">
        <v>28</v>
      </c>
      <c r="G3700" t="s">
        <v>13590</v>
      </c>
      <c r="H3700" t="str">
        <f>"tyr-2"</f>
        <v>tyr-2</v>
      </c>
      <c r="I3700" t="s">
        <v>561</v>
      </c>
      <c r="J3700" t="s">
        <v>29</v>
      </c>
      <c r="K3700" t="s">
        <v>29</v>
      </c>
      <c r="L3700">
        <v>11.3442673435462</v>
      </c>
      <c r="M3700" t="s">
        <v>29</v>
      </c>
      <c r="N3700">
        <v>10.657193139555</v>
      </c>
      <c r="O3700" t="s">
        <v>29</v>
      </c>
      <c r="P3700">
        <v>-0.68707420399111496</v>
      </c>
      <c r="Q3700">
        <v>-1.6073086086252499</v>
      </c>
      <c r="R3700">
        <v>0.23316020064302301</v>
      </c>
      <c r="S3700">
        <v>11.2159211354004</v>
      </c>
      <c r="T3700">
        <v>-1.6659887626274701</v>
      </c>
      <c r="U3700">
        <v>-5.0426083152732</v>
      </c>
      <c r="V3700">
        <v>0.12700793573868499</v>
      </c>
      <c r="W3700">
        <v>0.71762718189871799</v>
      </c>
      <c r="X3700">
        <v>0</v>
      </c>
      <c r="Y3700">
        <v>0</v>
      </c>
    </row>
    <row r="3701" spans="1:25" x14ac:dyDescent="0.2">
      <c r="A3701" t="s">
        <v>13592</v>
      </c>
      <c r="B3701" t="s">
        <v>13593</v>
      </c>
      <c r="C3701" t="s">
        <v>13594</v>
      </c>
      <c r="D3701" t="s">
        <v>13595</v>
      </c>
      <c r="E3701" t="s">
        <v>13593</v>
      </c>
      <c r="F3701" t="s">
        <v>28</v>
      </c>
      <c r="G3701" t="s">
        <v>13593</v>
      </c>
      <c r="H3701" t="str">
        <f>"cyk-4"</f>
        <v>cyk-4</v>
      </c>
      <c r="I3701" t="s">
        <v>13595</v>
      </c>
      <c r="J3701">
        <v>12.5186464931882</v>
      </c>
      <c r="K3701">
        <v>12.8202717602014</v>
      </c>
      <c r="L3701">
        <v>13.4358032343094</v>
      </c>
      <c r="M3701">
        <v>13.450066121746</v>
      </c>
      <c r="N3701">
        <v>13.1763795965675</v>
      </c>
      <c r="O3701">
        <v>12.8072827815897</v>
      </c>
      <c r="P3701">
        <v>0.21966900406807499</v>
      </c>
      <c r="Q3701">
        <v>-0.37007633448349597</v>
      </c>
      <c r="R3701">
        <v>0.80941434261964695</v>
      </c>
      <c r="S3701">
        <v>13.7833040991722</v>
      </c>
      <c r="T3701">
        <v>0.78623844769336704</v>
      </c>
      <c r="U3701">
        <v>-6.5643310504254799</v>
      </c>
      <c r="V3701">
        <v>0.44261649248961799</v>
      </c>
      <c r="W3701">
        <v>0.92006726233944303</v>
      </c>
      <c r="X3701">
        <v>0</v>
      </c>
      <c r="Y3701">
        <v>0</v>
      </c>
    </row>
    <row r="3702" spans="1:25" x14ac:dyDescent="0.2">
      <c r="A3702" t="s">
        <v>13596</v>
      </c>
      <c r="B3702" t="s">
        <v>13597</v>
      </c>
      <c r="C3702" t="s">
        <v>13598</v>
      </c>
      <c r="D3702" t="s">
        <v>13599</v>
      </c>
      <c r="E3702" t="s">
        <v>13597</v>
      </c>
      <c r="F3702" t="s">
        <v>28</v>
      </c>
      <c r="G3702" t="s">
        <v>13597</v>
      </c>
      <c r="H3702" t="str">
        <f>"dbn-1"</f>
        <v>dbn-1</v>
      </c>
      <c r="I3702" t="s">
        <v>13599</v>
      </c>
      <c r="J3702">
        <v>12.541720643455401</v>
      </c>
      <c r="K3702">
        <v>12.793634804074401</v>
      </c>
      <c r="L3702" t="s">
        <v>29</v>
      </c>
      <c r="M3702">
        <v>13.2833322886167</v>
      </c>
      <c r="N3702">
        <v>12.8699343684117</v>
      </c>
      <c r="O3702">
        <v>13.3825053132449</v>
      </c>
      <c r="P3702">
        <v>0.51091293299285201</v>
      </c>
      <c r="Q3702">
        <v>-0.132177139808484</v>
      </c>
      <c r="R3702">
        <v>1.1540030057941899</v>
      </c>
      <c r="S3702">
        <v>12.6160837122309</v>
      </c>
      <c r="T3702">
        <v>1.7326869453446001</v>
      </c>
      <c r="U3702">
        <v>-5.3420418034800399</v>
      </c>
      <c r="V3702">
        <v>0.108971997148471</v>
      </c>
      <c r="W3702">
        <v>0.67786692805628201</v>
      </c>
      <c r="X3702">
        <v>0</v>
      </c>
      <c r="Y3702">
        <v>0</v>
      </c>
    </row>
    <row r="3703" spans="1:25" x14ac:dyDescent="0.2">
      <c r="A3703" t="s">
        <v>13600</v>
      </c>
      <c r="B3703" t="s">
        <v>13601</v>
      </c>
      <c r="C3703" t="s">
        <v>14170</v>
      </c>
      <c r="D3703" t="s">
        <v>13602</v>
      </c>
      <c r="E3703" t="s">
        <v>13601</v>
      </c>
      <c r="F3703" t="s">
        <v>28</v>
      </c>
      <c r="G3703" t="s">
        <v>13601</v>
      </c>
      <c r="H3703" t="str">
        <f>"K05C4.7"</f>
        <v>K05C4.7</v>
      </c>
      <c r="I3703" t="s">
        <v>13602</v>
      </c>
      <c r="J3703" t="s">
        <v>29</v>
      </c>
      <c r="K3703" t="s">
        <v>29</v>
      </c>
      <c r="L3703" t="s">
        <v>29</v>
      </c>
      <c r="M3703">
        <v>8.7706872045565696</v>
      </c>
      <c r="N3703">
        <v>9.8613352777564494</v>
      </c>
      <c r="O3703">
        <v>9.4649284628779107</v>
      </c>
      <c r="P3703" t="s">
        <v>29</v>
      </c>
      <c r="Q3703" t="s">
        <v>29</v>
      </c>
      <c r="R3703" t="s">
        <v>29</v>
      </c>
      <c r="S3703">
        <v>10.344533358997399</v>
      </c>
      <c r="T3703" t="s">
        <v>29</v>
      </c>
      <c r="U3703" t="s">
        <v>29</v>
      </c>
      <c r="V3703" t="s">
        <v>29</v>
      </c>
      <c r="W3703" t="s">
        <v>29</v>
      </c>
      <c r="X3703" t="s">
        <v>29</v>
      </c>
      <c r="Y3703" t="s">
        <v>29</v>
      </c>
    </row>
    <row r="3704" spans="1:25" x14ac:dyDescent="0.2">
      <c r="A3704" t="s">
        <v>13603</v>
      </c>
      <c r="B3704" t="s">
        <v>13604</v>
      </c>
      <c r="C3704" t="s">
        <v>14747</v>
      </c>
      <c r="D3704" t="s">
        <v>534</v>
      </c>
      <c r="E3704" t="s">
        <v>13604</v>
      </c>
      <c r="F3704" t="s">
        <v>28</v>
      </c>
      <c r="G3704" t="s">
        <v>13604</v>
      </c>
      <c r="H3704" t="str">
        <f>"K05C4.5"</f>
        <v>K05C4.5</v>
      </c>
      <c r="I3704" t="s">
        <v>534</v>
      </c>
      <c r="J3704">
        <v>14.160733039559799</v>
      </c>
      <c r="K3704">
        <v>14.0116993068595</v>
      </c>
      <c r="L3704">
        <v>13.953951234339</v>
      </c>
      <c r="M3704">
        <v>13.833094834270501</v>
      </c>
      <c r="N3704">
        <v>13.728790004009999</v>
      </c>
      <c r="O3704">
        <v>14.097438151272801</v>
      </c>
      <c r="P3704">
        <v>-0.15568686373501001</v>
      </c>
      <c r="Q3704">
        <v>-0.49375233477278502</v>
      </c>
      <c r="R3704">
        <v>0.18237860730276501</v>
      </c>
      <c r="S3704">
        <v>13.874702501082</v>
      </c>
      <c r="T3704">
        <v>-0.96792936934237594</v>
      </c>
      <c r="U3704">
        <v>-6.4054792849926097</v>
      </c>
      <c r="V3704">
        <v>0.34598043690944003</v>
      </c>
      <c r="W3704">
        <v>0.87926117922885105</v>
      </c>
      <c r="X3704">
        <v>0</v>
      </c>
      <c r="Y3704">
        <v>0</v>
      </c>
    </row>
    <row r="3705" spans="1:25" x14ac:dyDescent="0.2">
      <c r="A3705" t="s">
        <v>13605</v>
      </c>
      <c r="B3705" t="s">
        <v>13606</v>
      </c>
      <c r="C3705" t="s">
        <v>13607</v>
      </c>
      <c r="D3705" t="s">
        <v>13608</v>
      </c>
      <c r="E3705" t="s">
        <v>13606</v>
      </c>
      <c r="F3705" t="s">
        <v>28</v>
      </c>
      <c r="G3705" t="s">
        <v>13606</v>
      </c>
      <c r="H3705" t="str">
        <f>"K05C4.2"</f>
        <v>K05C4.2</v>
      </c>
      <c r="I3705" t="s">
        <v>13608</v>
      </c>
      <c r="J3705">
        <v>15.586842916341499</v>
      </c>
      <c r="K3705">
        <v>15.2000671856346</v>
      </c>
      <c r="L3705">
        <v>14.6615623387128</v>
      </c>
      <c r="M3705">
        <v>15.3759080197618</v>
      </c>
      <c r="N3705">
        <v>15.475423609667301</v>
      </c>
      <c r="O3705">
        <v>14.613726288220599</v>
      </c>
      <c r="P3705">
        <v>5.5284923202840704E-3</v>
      </c>
      <c r="Q3705">
        <v>-2.3111706238212499</v>
      </c>
      <c r="R3705">
        <v>2.3222276084618199</v>
      </c>
      <c r="S3705">
        <v>14.8277650764326</v>
      </c>
      <c r="T3705">
        <v>5.0615858514692401E-3</v>
      </c>
      <c r="U3705">
        <v>-6.8824760990707201</v>
      </c>
      <c r="V3705">
        <v>0.996024437977166</v>
      </c>
      <c r="W3705">
        <v>0.99968702248720698</v>
      </c>
      <c r="X3705">
        <v>0</v>
      </c>
      <c r="Y3705">
        <v>0</v>
      </c>
    </row>
    <row r="3706" spans="1:25" x14ac:dyDescent="0.2">
      <c r="A3706" t="s">
        <v>13609</v>
      </c>
      <c r="B3706" t="s">
        <v>13610</v>
      </c>
      <c r="C3706" t="s">
        <v>13611</v>
      </c>
      <c r="D3706" t="s">
        <v>13612</v>
      </c>
      <c r="E3706" t="s">
        <v>13610</v>
      </c>
      <c r="F3706" t="s">
        <v>28</v>
      </c>
      <c r="G3706" t="s">
        <v>13610</v>
      </c>
      <c r="H3706" t="str">
        <f>"pbs-5"</f>
        <v>pbs-5</v>
      </c>
      <c r="I3706" t="s">
        <v>13612</v>
      </c>
      <c r="J3706">
        <v>12.1457798187138</v>
      </c>
      <c r="K3706" t="s">
        <v>29</v>
      </c>
      <c r="L3706">
        <v>13.2536741876746</v>
      </c>
      <c r="M3706" t="s">
        <v>29</v>
      </c>
      <c r="N3706">
        <v>12.0624581262798</v>
      </c>
      <c r="O3706" t="s">
        <v>29</v>
      </c>
      <c r="P3706">
        <v>-0.63726887691440104</v>
      </c>
      <c r="Q3706">
        <v>-1.7012904058498399</v>
      </c>
      <c r="R3706">
        <v>0.42675265202103801</v>
      </c>
      <c r="S3706">
        <v>12.7280246098564</v>
      </c>
      <c r="T3706">
        <v>-1.31977527150579</v>
      </c>
      <c r="U3706">
        <v>-5.6230887641359901</v>
      </c>
      <c r="V3706">
        <v>0.21396891175167501</v>
      </c>
      <c r="W3706">
        <v>0.79508962856638699</v>
      </c>
      <c r="X3706">
        <v>0</v>
      </c>
      <c r="Y3706">
        <v>0</v>
      </c>
    </row>
    <row r="3707" spans="1:25" x14ac:dyDescent="0.2">
      <c r="A3707" t="s">
        <v>13613</v>
      </c>
      <c r="B3707" t="s">
        <v>13614</v>
      </c>
      <c r="C3707" t="s">
        <v>13615</v>
      </c>
      <c r="D3707" t="s">
        <v>2791</v>
      </c>
      <c r="E3707" t="s">
        <v>13614</v>
      </c>
      <c r="F3707" t="s">
        <v>28</v>
      </c>
      <c r="G3707" t="s">
        <v>13614</v>
      </c>
      <c r="H3707" t="str">
        <f>"ddx-17"</f>
        <v>ddx-17</v>
      </c>
      <c r="I3707" t="s">
        <v>2791</v>
      </c>
      <c r="J3707">
        <v>17.390289366810102</v>
      </c>
      <c r="K3707">
        <v>17.6357959265872</v>
      </c>
      <c r="L3707">
        <v>18.071119562790599</v>
      </c>
      <c r="M3707">
        <v>17.9093299148137</v>
      </c>
      <c r="N3707">
        <v>18.100537668217001</v>
      </c>
      <c r="O3707">
        <v>17.645294090588798</v>
      </c>
      <c r="P3707">
        <v>0.18598560581052201</v>
      </c>
      <c r="Q3707">
        <v>-0.249356681904922</v>
      </c>
      <c r="R3707">
        <v>0.62132789352596596</v>
      </c>
      <c r="S3707">
        <v>18.1564396514751</v>
      </c>
      <c r="T3707">
        <v>0.89792691941756597</v>
      </c>
      <c r="U3707">
        <v>-6.4705231861678199</v>
      </c>
      <c r="V3707">
        <v>0.38114708823502802</v>
      </c>
      <c r="W3707">
        <v>0.89707037457296401</v>
      </c>
      <c r="X3707">
        <v>0</v>
      </c>
      <c r="Y3707">
        <v>0</v>
      </c>
    </row>
    <row r="3708" spans="1:25" x14ac:dyDescent="0.2">
      <c r="A3708" t="s">
        <v>13616</v>
      </c>
      <c r="B3708" t="s">
        <v>13617</v>
      </c>
      <c r="C3708" t="s">
        <v>14748</v>
      </c>
      <c r="D3708" t="s">
        <v>13618</v>
      </c>
      <c r="E3708" t="s">
        <v>13617</v>
      </c>
      <c r="F3708" t="s">
        <v>28</v>
      </c>
      <c r="G3708" t="s">
        <v>13617</v>
      </c>
      <c r="H3708" t="str">
        <f>"F56G4.6"</f>
        <v>F56G4.6</v>
      </c>
      <c r="I3708" t="s">
        <v>13618</v>
      </c>
      <c r="J3708" t="s">
        <v>29</v>
      </c>
      <c r="K3708" t="s">
        <v>29</v>
      </c>
      <c r="L3708" t="s">
        <v>29</v>
      </c>
      <c r="M3708" t="s">
        <v>29</v>
      </c>
      <c r="N3708" t="s">
        <v>29</v>
      </c>
      <c r="O3708" t="s">
        <v>29</v>
      </c>
      <c r="P3708" t="s">
        <v>29</v>
      </c>
      <c r="Q3708" t="s">
        <v>29</v>
      </c>
      <c r="R3708" t="s">
        <v>29</v>
      </c>
      <c r="S3708">
        <v>11.0553154699529</v>
      </c>
      <c r="T3708" t="s">
        <v>29</v>
      </c>
      <c r="U3708" t="s">
        <v>29</v>
      </c>
      <c r="V3708" t="s">
        <v>29</v>
      </c>
      <c r="W3708" t="s">
        <v>29</v>
      </c>
      <c r="X3708" t="s">
        <v>29</v>
      </c>
      <c r="Y3708" t="s">
        <v>29</v>
      </c>
    </row>
    <row r="3709" spans="1:25" x14ac:dyDescent="0.2">
      <c r="A3709" t="s">
        <v>13619</v>
      </c>
      <c r="B3709" t="s">
        <v>13620</v>
      </c>
      <c r="C3709" t="s">
        <v>13621</v>
      </c>
      <c r="D3709" t="s">
        <v>13622</v>
      </c>
      <c r="E3709" t="s">
        <v>13620</v>
      </c>
      <c r="F3709" t="s">
        <v>28</v>
      </c>
      <c r="G3709" t="s">
        <v>13620</v>
      </c>
      <c r="H3709" t="str">
        <f>"aakb-1"</f>
        <v>aakb-1</v>
      </c>
      <c r="I3709" t="s">
        <v>13622</v>
      </c>
      <c r="J3709">
        <v>12.518478572968201</v>
      </c>
      <c r="K3709">
        <v>13.5986248368106</v>
      </c>
      <c r="L3709">
        <v>13.089891634790201</v>
      </c>
      <c r="M3709">
        <v>13.5487287612622</v>
      </c>
      <c r="N3709">
        <v>13.213628678491199</v>
      </c>
      <c r="O3709">
        <v>13.841782594655101</v>
      </c>
      <c r="P3709">
        <v>0.46571499661322202</v>
      </c>
      <c r="Q3709">
        <v>-0.37057113152141402</v>
      </c>
      <c r="R3709">
        <v>1.30200112474786</v>
      </c>
      <c r="S3709">
        <v>12.5343852229249</v>
      </c>
      <c r="T3709">
        <v>1.18770049050688</v>
      </c>
      <c r="U3709">
        <v>-6.1711154705059101</v>
      </c>
      <c r="V3709">
        <v>0.25354647506061101</v>
      </c>
      <c r="W3709">
        <v>0.83701250057606502</v>
      </c>
      <c r="X3709">
        <v>0</v>
      </c>
      <c r="Y3709">
        <v>0</v>
      </c>
    </row>
    <row r="3710" spans="1:25" x14ac:dyDescent="0.2">
      <c r="A3710" t="s">
        <v>13623</v>
      </c>
      <c r="B3710" t="s">
        <v>13624</v>
      </c>
      <c r="C3710" t="s">
        <v>13625</v>
      </c>
      <c r="D3710" t="s">
        <v>13626</v>
      </c>
      <c r="E3710" t="s">
        <v>13624</v>
      </c>
      <c r="F3710" t="s">
        <v>28</v>
      </c>
      <c r="G3710" t="s">
        <v>13624</v>
      </c>
      <c r="H3710" t="str">
        <f>"nkb-3"</f>
        <v>nkb-3</v>
      </c>
      <c r="I3710" t="s">
        <v>13626</v>
      </c>
      <c r="J3710">
        <v>14.959809186993899</v>
      </c>
      <c r="K3710">
        <v>14.7430944949642</v>
      </c>
      <c r="L3710">
        <v>14.5480452088514</v>
      </c>
      <c r="M3710">
        <v>14.089014620315201</v>
      </c>
      <c r="N3710">
        <v>14.0414814161675</v>
      </c>
      <c r="O3710">
        <v>14.001700262755101</v>
      </c>
      <c r="P3710">
        <v>-0.70625086385725699</v>
      </c>
      <c r="Q3710">
        <v>-1.2231301185261201</v>
      </c>
      <c r="R3710">
        <v>-0.18937160918839499</v>
      </c>
      <c r="S3710">
        <v>13.743509603966499</v>
      </c>
      <c r="T3710">
        <v>-2.8718543044320599</v>
      </c>
      <c r="U3710">
        <v>-3.3462624410205799</v>
      </c>
      <c r="V3710">
        <v>1.01856492469302E-2</v>
      </c>
      <c r="W3710">
        <v>0.18030766326480699</v>
      </c>
      <c r="X3710">
        <v>0</v>
      </c>
      <c r="Y3710">
        <v>0</v>
      </c>
    </row>
    <row r="3711" spans="1:25" x14ac:dyDescent="0.2">
      <c r="A3711" t="s">
        <v>13627</v>
      </c>
      <c r="B3711" t="s">
        <v>13628</v>
      </c>
      <c r="C3711" t="s">
        <v>13629</v>
      </c>
      <c r="D3711" t="s">
        <v>13630</v>
      </c>
      <c r="E3711" t="s">
        <v>13628</v>
      </c>
      <c r="F3711" t="s">
        <v>28</v>
      </c>
      <c r="G3711" t="s">
        <v>13628</v>
      </c>
      <c r="H3711" t="str">
        <f>"gfm-1"</f>
        <v>gfm-1</v>
      </c>
      <c r="I3711" t="s">
        <v>13630</v>
      </c>
      <c r="J3711">
        <v>16.897717583453499</v>
      </c>
      <c r="K3711">
        <v>16.9700585167814</v>
      </c>
      <c r="L3711">
        <v>16.845203544197599</v>
      </c>
      <c r="M3711">
        <v>16.4952911200667</v>
      </c>
      <c r="N3711">
        <v>16.601293196507001</v>
      </c>
      <c r="O3711">
        <v>16.579134761654501</v>
      </c>
      <c r="P3711">
        <v>-0.345753522068101</v>
      </c>
      <c r="Q3711">
        <v>-0.75585817075223305</v>
      </c>
      <c r="R3711">
        <v>6.4351126616031207E-2</v>
      </c>
      <c r="S3711">
        <v>16.916504867860699</v>
      </c>
      <c r="T3711">
        <v>-1.77200292225528</v>
      </c>
      <c r="U3711">
        <v>-5.3722230017930697</v>
      </c>
      <c r="V3711">
        <v>9.3420124381018793E-2</v>
      </c>
      <c r="W3711">
        <v>0.63569316011837795</v>
      </c>
      <c r="X3711">
        <v>0</v>
      </c>
      <c r="Y3711">
        <v>0</v>
      </c>
    </row>
    <row r="3712" spans="1:25" x14ac:dyDescent="0.2">
      <c r="A3712" t="s">
        <v>13631</v>
      </c>
      <c r="B3712" t="s">
        <v>13632</v>
      </c>
      <c r="C3712" t="s">
        <v>13633</v>
      </c>
      <c r="D3712" t="s">
        <v>3118</v>
      </c>
      <c r="E3712" t="s">
        <v>13632</v>
      </c>
      <c r="F3712" t="s">
        <v>28</v>
      </c>
      <c r="G3712" t="s">
        <v>13632</v>
      </c>
      <c r="H3712" t="str">
        <f>"cyp-37a1"</f>
        <v>cyp-37a1</v>
      </c>
      <c r="I3712" t="s">
        <v>3118</v>
      </c>
      <c r="J3712">
        <v>11.9730719893151</v>
      </c>
      <c r="K3712" t="s">
        <v>29</v>
      </c>
      <c r="L3712">
        <v>10.9552085481108</v>
      </c>
      <c r="M3712">
        <v>10.7899875341362</v>
      </c>
      <c r="N3712">
        <v>11.001167021869099</v>
      </c>
      <c r="O3712">
        <v>10.229393186028</v>
      </c>
      <c r="P3712">
        <v>-0.790624354701844</v>
      </c>
      <c r="Q3712">
        <v>-2.05381014355059</v>
      </c>
      <c r="R3712">
        <v>0.472561434146898</v>
      </c>
      <c r="S3712">
        <v>11.105855213571701</v>
      </c>
      <c r="T3712">
        <v>-1.3532879093158401</v>
      </c>
      <c r="U3712">
        <v>-5.8622380316123701</v>
      </c>
      <c r="V3712">
        <v>0.19921223012825701</v>
      </c>
      <c r="W3712">
        <v>0.79075284576134597</v>
      </c>
      <c r="X3712">
        <v>0</v>
      </c>
      <c r="Y3712">
        <v>0</v>
      </c>
    </row>
    <row r="3713" spans="1:25" x14ac:dyDescent="0.2">
      <c r="A3713" t="s">
        <v>13634</v>
      </c>
      <c r="B3713" t="s">
        <v>13635</v>
      </c>
      <c r="C3713" t="s">
        <v>13636</v>
      </c>
      <c r="D3713" t="s">
        <v>13637</v>
      </c>
      <c r="E3713" t="s">
        <v>13635</v>
      </c>
      <c r="F3713" t="s">
        <v>28</v>
      </c>
      <c r="G3713" t="s">
        <v>13635</v>
      </c>
      <c r="H3713" t="str">
        <f>"immp-1"</f>
        <v>immp-1</v>
      </c>
      <c r="I3713" t="s">
        <v>13637</v>
      </c>
      <c r="J3713">
        <v>12.3721167306664</v>
      </c>
      <c r="K3713">
        <v>12.7758401620853</v>
      </c>
      <c r="L3713">
        <v>12.7407186695423</v>
      </c>
      <c r="M3713">
        <v>12.7557928160592</v>
      </c>
      <c r="N3713">
        <v>12.8084109231479</v>
      </c>
      <c r="O3713">
        <v>11.5460607203431</v>
      </c>
      <c r="P3713">
        <v>-0.25947036758127101</v>
      </c>
      <c r="Q3713">
        <v>-1.3197376724666099</v>
      </c>
      <c r="R3713">
        <v>0.80079693730407198</v>
      </c>
      <c r="S3713">
        <v>12.2440373094629</v>
      </c>
      <c r="T3713">
        <v>-0.519065217069408</v>
      </c>
      <c r="U3713">
        <v>-6.7419760271865004</v>
      </c>
      <c r="V3713">
        <v>0.61086695191469698</v>
      </c>
      <c r="W3713">
        <v>0.97238011246645495</v>
      </c>
      <c r="X3713">
        <v>0</v>
      </c>
      <c r="Y3713">
        <v>0</v>
      </c>
    </row>
    <row r="3714" spans="1:25" x14ac:dyDescent="0.2">
      <c r="A3714" t="s">
        <v>13638</v>
      </c>
      <c r="B3714" t="s">
        <v>13639</v>
      </c>
      <c r="C3714" t="s">
        <v>13640</v>
      </c>
      <c r="D3714" t="s">
        <v>13641</v>
      </c>
      <c r="E3714" t="s">
        <v>13639</v>
      </c>
      <c r="F3714" t="s">
        <v>28</v>
      </c>
      <c r="G3714" t="s">
        <v>13639</v>
      </c>
      <c r="H3714" t="str">
        <f>"rpl-14"</f>
        <v>rpl-14</v>
      </c>
      <c r="I3714" t="s">
        <v>13641</v>
      </c>
      <c r="J3714">
        <v>20.892498843585798</v>
      </c>
      <c r="K3714">
        <v>21.005723796470299</v>
      </c>
      <c r="L3714">
        <v>21.0789417539441</v>
      </c>
      <c r="M3714">
        <v>20.867176542943</v>
      </c>
      <c r="N3714">
        <v>20.330931058558701</v>
      </c>
      <c r="O3714">
        <v>20.651434294034999</v>
      </c>
      <c r="P3714">
        <v>-0.37587416615449998</v>
      </c>
      <c r="Q3714">
        <v>-0.829951519254152</v>
      </c>
      <c r="R3714">
        <v>7.8203186945152506E-2</v>
      </c>
      <c r="S3714">
        <v>20.732094486402701</v>
      </c>
      <c r="T3714">
        <v>-1.7398233237241301</v>
      </c>
      <c r="U3714">
        <v>-5.4225019742804701</v>
      </c>
      <c r="V3714">
        <v>9.90599143976265E-2</v>
      </c>
      <c r="W3714">
        <v>0.65281464379267495</v>
      </c>
      <c r="X3714">
        <v>0</v>
      </c>
      <c r="Y3714">
        <v>0</v>
      </c>
    </row>
    <row r="3715" spans="1:25" x14ac:dyDescent="0.2">
      <c r="A3715" t="s">
        <v>13642</v>
      </c>
      <c r="B3715" t="s">
        <v>13643</v>
      </c>
      <c r="C3715" t="s">
        <v>13644</v>
      </c>
      <c r="D3715" t="s">
        <v>150</v>
      </c>
      <c r="E3715" t="s">
        <v>13643</v>
      </c>
      <c r="F3715" t="s">
        <v>28</v>
      </c>
      <c r="G3715" t="s">
        <v>13643</v>
      </c>
      <c r="H3715" t="str">
        <f>"vsra-1"</f>
        <v>vsra-1</v>
      </c>
      <c r="I3715" t="s">
        <v>150</v>
      </c>
      <c r="J3715">
        <v>12.583147325001599</v>
      </c>
      <c r="K3715">
        <v>12.543382757395801</v>
      </c>
      <c r="L3715">
        <v>12.407317348566</v>
      </c>
      <c r="M3715">
        <v>12.900496317597201</v>
      </c>
      <c r="N3715">
        <v>12.9787131866452</v>
      </c>
      <c r="O3715">
        <v>12.875485370900201</v>
      </c>
      <c r="P3715">
        <v>0.40694914805971499</v>
      </c>
      <c r="Q3715">
        <v>-6.6111501405129697E-2</v>
      </c>
      <c r="R3715">
        <v>0.88000979752455899</v>
      </c>
      <c r="S3715">
        <v>12.647045954178299</v>
      </c>
      <c r="T3715">
        <v>1.8158222487683899</v>
      </c>
      <c r="U3715">
        <v>-5.3053196683166703</v>
      </c>
      <c r="V3715">
        <v>8.7186646272555499E-2</v>
      </c>
      <c r="W3715">
        <v>0.62160332295040199</v>
      </c>
      <c r="X3715">
        <v>0</v>
      </c>
      <c r="Y3715">
        <v>0</v>
      </c>
    </row>
    <row r="3716" spans="1:25" x14ac:dyDescent="0.2">
      <c r="A3716" t="s">
        <v>13645</v>
      </c>
      <c r="B3716" t="s">
        <v>13646</v>
      </c>
      <c r="C3716" t="s">
        <v>13647</v>
      </c>
      <c r="D3716" t="s">
        <v>13648</v>
      </c>
      <c r="E3716" t="s">
        <v>13646</v>
      </c>
      <c r="F3716" t="s">
        <v>28</v>
      </c>
      <c r="G3716" t="s">
        <v>13646</v>
      </c>
      <c r="H3716" t="str">
        <f>"rpl-2"</f>
        <v>rpl-2</v>
      </c>
      <c r="I3716" t="s">
        <v>13648</v>
      </c>
      <c r="J3716">
        <v>20.613320627132801</v>
      </c>
      <c r="K3716">
        <v>20.7672503233591</v>
      </c>
      <c r="L3716">
        <v>20.8742602354592</v>
      </c>
      <c r="M3716">
        <v>20.567328837887398</v>
      </c>
      <c r="N3716">
        <v>20.509084505735299</v>
      </c>
      <c r="O3716">
        <v>20.467047260586099</v>
      </c>
      <c r="P3716">
        <v>-0.237123527247491</v>
      </c>
      <c r="Q3716">
        <v>-0.65078998302702595</v>
      </c>
      <c r="R3716">
        <v>0.17654292853204501</v>
      </c>
      <c r="S3716">
        <v>20.7986675161346</v>
      </c>
      <c r="T3716">
        <v>-1.2048052583101501</v>
      </c>
      <c r="U3716">
        <v>-6.1535470184005101</v>
      </c>
      <c r="V3716">
        <v>0.24397086968008899</v>
      </c>
      <c r="W3716">
        <v>0.82513725030013996</v>
      </c>
      <c r="X3716">
        <v>0</v>
      </c>
      <c r="Y3716">
        <v>0</v>
      </c>
    </row>
    <row r="3717" spans="1:25" x14ac:dyDescent="0.2">
      <c r="A3717" t="s">
        <v>13649</v>
      </c>
      <c r="B3717" t="s">
        <v>13650</v>
      </c>
      <c r="C3717" t="s">
        <v>13651</v>
      </c>
      <c r="D3717" t="s">
        <v>13652</v>
      </c>
      <c r="E3717" t="s">
        <v>13650</v>
      </c>
      <c r="F3717" t="s">
        <v>28</v>
      </c>
      <c r="G3717" t="s">
        <v>13650</v>
      </c>
      <c r="H3717" t="str">
        <f>"hmg-20"</f>
        <v>hmg-20</v>
      </c>
      <c r="I3717" t="s">
        <v>13652</v>
      </c>
      <c r="J3717" t="s">
        <v>29</v>
      </c>
      <c r="K3717" t="s">
        <v>29</v>
      </c>
      <c r="L3717" t="s">
        <v>29</v>
      </c>
      <c r="M3717" t="s">
        <v>29</v>
      </c>
      <c r="N3717" t="s">
        <v>29</v>
      </c>
      <c r="O3717" t="s">
        <v>29</v>
      </c>
      <c r="P3717" t="s">
        <v>29</v>
      </c>
      <c r="Q3717" t="s">
        <v>29</v>
      </c>
      <c r="R3717" t="s">
        <v>29</v>
      </c>
      <c r="S3717">
        <v>11.543719204389999</v>
      </c>
      <c r="T3717" t="s">
        <v>29</v>
      </c>
      <c r="U3717" t="s">
        <v>29</v>
      </c>
      <c r="V3717" t="s">
        <v>29</v>
      </c>
      <c r="W3717" t="s">
        <v>29</v>
      </c>
      <c r="X3717" t="s">
        <v>29</v>
      </c>
      <c r="Y3717" t="s">
        <v>29</v>
      </c>
    </row>
    <row r="3718" spans="1:25" x14ac:dyDescent="0.2">
      <c r="A3718" t="s">
        <v>13653</v>
      </c>
      <c r="B3718" t="s">
        <v>13654</v>
      </c>
      <c r="C3718" t="s">
        <v>13655</v>
      </c>
      <c r="D3718" t="s">
        <v>2221</v>
      </c>
      <c r="E3718" t="s">
        <v>13654</v>
      </c>
      <c r="F3718" t="s">
        <v>28</v>
      </c>
      <c r="G3718" t="s">
        <v>13654</v>
      </c>
      <c r="H3718" t="str">
        <f>"citk-1"</f>
        <v>citk-1</v>
      </c>
      <c r="I3718" t="s">
        <v>2221</v>
      </c>
      <c r="J3718" t="s">
        <v>29</v>
      </c>
      <c r="K3718">
        <v>11.060378082884</v>
      </c>
      <c r="L3718">
        <v>11.668735122199401</v>
      </c>
      <c r="M3718">
        <v>10.638349334930799</v>
      </c>
      <c r="N3718">
        <v>11.0158675287436</v>
      </c>
      <c r="O3718" t="s">
        <v>29</v>
      </c>
      <c r="P3718">
        <v>-0.53744817070447004</v>
      </c>
      <c r="Q3718">
        <v>-1.97558823796475</v>
      </c>
      <c r="R3718">
        <v>0.90069189655581094</v>
      </c>
      <c r="S3718">
        <v>11.5715070898446</v>
      </c>
      <c r="T3718">
        <v>-0.80209774565247804</v>
      </c>
      <c r="U3718">
        <v>-6.3505445245680603</v>
      </c>
      <c r="V3718">
        <v>0.43600037151551202</v>
      </c>
      <c r="W3718">
        <v>0.91691001805079497</v>
      </c>
      <c r="X3718">
        <v>0</v>
      </c>
      <c r="Y3718">
        <v>0</v>
      </c>
    </row>
    <row r="3719" spans="1:25" x14ac:dyDescent="0.2">
      <c r="A3719" t="s">
        <v>13656</v>
      </c>
      <c r="B3719" t="s">
        <v>13657</v>
      </c>
      <c r="C3719" t="s">
        <v>13658</v>
      </c>
      <c r="D3719" t="s">
        <v>13659</v>
      </c>
      <c r="E3719" t="s">
        <v>13657</v>
      </c>
      <c r="F3719" t="s">
        <v>28</v>
      </c>
      <c r="G3719" t="s">
        <v>13657</v>
      </c>
      <c r="H3719" t="str">
        <f>"sptl-3"</f>
        <v>sptl-3</v>
      </c>
      <c r="I3719" t="s">
        <v>13659</v>
      </c>
      <c r="J3719">
        <v>13.2249355024514</v>
      </c>
      <c r="K3719">
        <v>13.0857537247125</v>
      </c>
      <c r="L3719">
        <v>12.9873823002231</v>
      </c>
      <c r="M3719">
        <v>12.9998063783256</v>
      </c>
      <c r="N3719">
        <v>13.323204001932201</v>
      </c>
      <c r="O3719">
        <v>12.878173555828599</v>
      </c>
      <c r="P3719">
        <v>-3.2295863766872698E-2</v>
      </c>
      <c r="Q3719">
        <v>-0.443507479933333</v>
      </c>
      <c r="R3719">
        <v>0.37891575239958702</v>
      </c>
      <c r="S3719">
        <v>13.0381570787961</v>
      </c>
      <c r="T3719">
        <v>-0.16577977397941701</v>
      </c>
      <c r="U3719">
        <v>-6.8680966349342896</v>
      </c>
      <c r="V3719">
        <v>0.87029788052474699</v>
      </c>
      <c r="W3719">
        <v>0.99457622291666603</v>
      </c>
      <c r="X3719">
        <v>0</v>
      </c>
      <c r="Y3719">
        <v>0</v>
      </c>
    </row>
    <row r="3720" spans="1:25" x14ac:dyDescent="0.2">
      <c r="A3720" t="s">
        <v>13660</v>
      </c>
      <c r="B3720" t="s">
        <v>13661</v>
      </c>
      <c r="C3720" t="s">
        <v>13662</v>
      </c>
      <c r="D3720" t="s">
        <v>13663</v>
      </c>
      <c r="E3720" t="s">
        <v>13661</v>
      </c>
      <c r="F3720" t="s">
        <v>28</v>
      </c>
      <c r="G3720" t="s">
        <v>13661</v>
      </c>
      <c r="H3720" t="str">
        <f>"acbp-5"</f>
        <v>acbp-5</v>
      </c>
      <c r="I3720" t="s">
        <v>13663</v>
      </c>
      <c r="J3720" t="s">
        <v>29</v>
      </c>
      <c r="K3720" t="s">
        <v>29</v>
      </c>
      <c r="L3720" t="s">
        <v>29</v>
      </c>
      <c r="M3720" t="s">
        <v>29</v>
      </c>
      <c r="N3720" t="s">
        <v>29</v>
      </c>
      <c r="O3720" t="s">
        <v>29</v>
      </c>
      <c r="P3720" t="s">
        <v>29</v>
      </c>
      <c r="Q3720" t="s">
        <v>29</v>
      </c>
      <c r="R3720" t="s">
        <v>29</v>
      </c>
      <c r="S3720">
        <v>11.1592158373592</v>
      </c>
      <c r="T3720" t="s">
        <v>29</v>
      </c>
      <c r="U3720" t="s">
        <v>29</v>
      </c>
      <c r="V3720" t="s">
        <v>29</v>
      </c>
      <c r="W3720" t="s">
        <v>29</v>
      </c>
      <c r="X3720" t="s">
        <v>29</v>
      </c>
      <c r="Y3720" t="s">
        <v>29</v>
      </c>
    </row>
    <row r="3721" spans="1:25" x14ac:dyDescent="0.2">
      <c r="A3721" t="s">
        <v>13664</v>
      </c>
      <c r="B3721" t="s">
        <v>13665</v>
      </c>
      <c r="C3721" t="s">
        <v>13666</v>
      </c>
      <c r="D3721" t="s">
        <v>13667</v>
      </c>
      <c r="E3721" t="s">
        <v>13665</v>
      </c>
      <c r="F3721" t="s">
        <v>28</v>
      </c>
      <c r="G3721" t="s">
        <v>13665</v>
      </c>
      <c r="H3721" t="str">
        <f>"ubc-12"</f>
        <v>ubc-12</v>
      </c>
      <c r="I3721" t="s">
        <v>13667</v>
      </c>
      <c r="J3721">
        <v>11.662430755092901</v>
      </c>
      <c r="K3721">
        <v>11.892912766027001</v>
      </c>
      <c r="L3721">
        <v>12.7979704234032</v>
      </c>
      <c r="M3721">
        <v>12.0989837663688</v>
      </c>
      <c r="N3721">
        <v>12.8259211310005</v>
      </c>
      <c r="O3721">
        <v>12.1994375351171</v>
      </c>
      <c r="P3721">
        <v>0.257009495987781</v>
      </c>
      <c r="Q3721">
        <v>-0.59411740447386696</v>
      </c>
      <c r="R3721">
        <v>1.10813639644943</v>
      </c>
      <c r="S3721">
        <v>12.699833013943101</v>
      </c>
      <c r="T3721">
        <v>0.64047824515601803</v>
      </c>
      <c r="U3721">
        <v>-6.6694924474269399</v>
      </c>
      <c r="V3721">
        <v>0.53098728687667396</v>
      </c>
      <c r="W3721">
        <v>0.94347340668743696</v>
      </c>
      <c r="X3721">
        <v>0</v>
      </c>
      <c r="Y3721">
        <v>0</v>
      </c>
    </row>
    <row r="3722" spans="1:25" x14ac:dyDescent="0.2">
      <c r="A3722" t="s">
        <v>13668</v>
      </c>
      <c r="B3722" t="s">
        <v>13669</v>
      </c>
      <c r="C3722" t="s">
        <v>13670</v>
      </c>
      <c r="D3722" t="s">
        <v>13671</v>
      </c>
      <c r="E3722" t="s">
        <v>13669</v>
      </c>
      <c r="F3722" t="s">
        <v>28</v>
      </c>
      <c r="G3722" t="s">
        <v>13669</v>
      </c>
      <c r="H3722" t="str">
        <f>"letm-1"</f>
        <v>letm-1</v>
      </c>
      <c r="I3722" t="s">
        <v>13671</v>
      </c>
      <c r="J3722">
        <v>12.798138408611401</v>
      </c>
      <c r="K3722">
        <v>12.6837588326269</v>
      </c>
      <c r="L3722">
        <v>12.5730282415213</v>
      </c>
      <c r="M3722">
        <v>12.6799620723371</v>
      </c>
      <c r="N3722">
        <v>12.746359616601101</v>
      </c>
      <c r="O3722">
        <v>12.8333245025145</v>
      </c>
      <c r="P3722">
        <v>6.8240236231055504E-2</v>
      </c>
      <c r="Q3722">
        <v>-0.36230197602382602</v>
      </c>
      <c r="R3722">
        <v>0.498782448485937</v>
      </c>
      <c r="S3722">
        <v>12.4120928696788</v>
      </c>
      <c r="T3722">
        <v>0.33456060183062702</v>
      </c>
      <c r="U3722">
        <v>-6.8240182183501004</v>
      </c>
      <c r="V3722">
        <v>0.74207402861640404</v>
      </c>
      <c r="W3722">
        <v>0.99159672419203304</v>
      </c>
      <c r="X3722">
        <v>0</v>
      </c>
      <c r="Y3722">
        <v>0</v>
      </c>
    </row>
    <row r="3723" spans="1:25" x14ac:dyDescent="0.2">
      <c r="A3723" t="s">
        <v>13672</v>
      </c>
      <c r="B3723" t="s">
        <v>13673</v>
      </c>
      <c r="C3723" t="s">
        <v>14749</v>
      </c>
      <c r="D3723" t="s">
        <v>3883</v>
      </c>
      <c r="E3723" t="s">
        <v>13673</v>
      </c>
      <c r="F3723" t="s">
        <v>28</v>
      </c>
      <c r="G3723" t="s">
        <v>13673</v>
      </c>
      <c r="H3723" t="str">
        <f>"F53B6.4"</f>
        <v>F53B6.4</v>
      </c>
      <c r="I3723" t="s">
        <v>3883</v>
      </c>
      <c r="J3723">
        <v>16.142344199424699</v>
      </c>
      <c r="K3723">
        <v>15.506773079441301</v>
      </c>
      <c r="L3723">
        <v>16.760379562079098</v>
      </c>
      <c r="M3723">
        <v>15.808871789737999</v>
      </c>
      <c r="N3723">
        <v>16.158207074926299</v>
      </c>
      <c r="O3723">
        <v>16.198167506558899</v>
      </c>
      <c r="P3723">
        <v>-8.1416823240662198E-2</v>
      </c>
      <c r="Q3723">
        <v>-0.99456479027415601</v>
      </c>
      <c r="R3723">
        <v>0.83173114379283097</v>
      </c>
      <c r="S3723">
        <v>14.844606604413601</v>
      </c>
      <c r="T3723">
        <v>-0.18739824072130101</v>
      </c>
      <c r="U3723">
        <v>-6.8641585989294702</v>
      </c>
      <c r="V3723">
        <v>0.85345679211134595</v>
      </c>
      <c r="W3723">
        <v>0.99370971747667503</v>
      </c>
      <c r="X3723">
        <v>0</v>
      </c>
      <c r="Y3723">
        <v>0</v>
      </c>
    </row>
    <row r="3724" spans="1:25" x14ac:dyDescent="0.2">
      <c r="A3724" t="s">
        <v>13674</v>
      </c>
      <c r="B3724" t="s">
        <v>13675</v>
      </c>
      <c r="C3724" t="s">
        <v>13676</v>
      </c>
      <c r="D3724" t="s">
        <v>13677</v>
      </c>
      <c r="E3724" t="s">
        <v>13675</v>
      </c>
      <c r="F3724" t="s">
        <v>28</v>
      </c>
      <c r="G3724" t="s">
        <v>13675</v>
      </c>
      <c r="H3724" t="str">
        <f>"ape-1"</f>
        <v>ape-1</v>
      </c>
      <c r="I3724" t="s">
        <v>13677</v>
      </c>
      <c r="J3724">
        <v>11.4575527231469</v>
      </c>
      <c r="K3724" t="s">
        <v>29</v>
      </c>
      <c r="L3724" t="s">
        <v>29</v>
      </c>
      <c r="M3724">
        <v>14.286332344039799</v>
      </c>
      <c r="N3724">
        <v>13.7477856082124</v>
      </c>
      <c r="O3724">
        <v>14.061304304225301</v>
      </c>
      <c r="P3724">
        <v>2.57425469567898</v>
      </c>
      <c r="Q3724">
        <v>1.11024083811554</v>
      </c>
      <c r="R3724">
        <v>4.0382685532424096</v>
      </c>
      <c r="S3724">
        <v>12.5027332540496</v>
      </c>
      <c r="T3724">
        <v>3.8746637476084702</v>
      </c>
      <c r="U3724">
        <v>-1.55396482873043</v>
      </c>
      <c r="V3724">
        <v>2.6329253011154801E-3</v>
      </c>
      <c r="W3724">
        <v>6.7925390714049003E-2</v>
      </c>
      <c r="X3724">
        <v>1</v>
      </c>
      <c r="Y3724">
        <v>0</v>
      </c>
    </row>
    <row r="3725" spans="1:25" x14ac:dyDescent="0.2">
      <c r="A3725" t="s">
        <v>13678</v>
      </c>
      <c r="B3725" t="s">
        <v>13679</v>
      </c>
      <c r="C3725" t="s">
        <v>14750</v>
      </c>
      <c r="D3725" t="s">
        <v>13680</v>
      </c>
      <c r="E3725" t="s">
        <v>13679</v>
      </c>
      <c r="F3725" t="s">
        <v>28</v>
      </c>
      <c r="G3725" t="s">
        <v>13679</v>
      </c>
      <c r="H3725" t="str">
        <f>"F36A2.2"</f>
        <v>F36A2.2</v>
      </c>
      <c r="I3725" t="s">
        <v>13680</v>
      </c>
      <c r="J3725">
        <v>12.8638893856414</v>
      </c>
      <c r="K3725" t="s">
        <v>29</v>
      </c>
      <c r="L3725">
        <v>11.453878268584001</v>
      </c>
      <c r="M3725">
        <v>12.4164939574699</v>
      </c>
      <c r="N3725">
        <v>12.0564526873469</v>
      </c>
      <c r="O3725">
        <v>11.117687775214</v>
      </c>
      <c r="P3725">
        <v>-0.29533902043577798</v>
      </c>
      <c r="Q3725">
        <v>-1.30856989787947</v>
      </c>
      <c r="R3725">
        <v>0.71789185700791702</v>
      </c>
      <c r="S3725">
        <v>13.0833740026715</v>
      </c>
      <c r="T3725">
        <v>-0.62166156847270304</v>
      </c>
      <c r="U3725">
        <v>-6.5712799512078801</v>
      </c>
      <c r="V3725">
        <v>0.54356278413878201</v>
      </c>
      <c r="W3725">
        <v>0.94859829345247404</v>
      </c>
      <c r="X3725">
        <v>0</v>
      </c>
      <c r="Y3725">
        <v>0</v>
      </c>
    </row>
    <row r="3726" spans="1:25" x14ac:dyDescent="0.2">
      <c r="A3726" t="s">
        <v>13681</v>
      </c>
      <c r="B3726" t="s">
        <v>13682</v>
      </c>
      <c r="C3726" t="s">
        <v>13683</v>
      </c>
      <c r="D3726" t="s">
        <v>13684</v>
      </c>
      <c r="E3726" t="s">
        <v>13682</v>
      </c>
      <c r="F3726" t="s">
        <v>28</v>
      </c>
      <c r="G3726" t="s">
        <v>13682</v>
      </c>
      <c r="H3726" t="str">
        <f>"rps-15"</f>
        <v>rps-15</v>
      </c>
      <c r="I3726" t="s">
        <v>13684</v>
      </c>
      <c r="J3726">
        <v>18.146545116175101</v>
      </c>
      <c r="K3726">
        <v>18.1548858784824</v>
      </c>
      <c r="L3726">
        <v>18.579077060544101</v>
      </c>
      <c r="M3726">
        <v>17.9144173803016</v>
      </c>
      <c r="N3726">
        <v>17.586432915638898</v>
      </c>
      <c r="O3726">
        <v>18.180645009918599</v>
      </c>
      <c r="P3726">
        <v>-0.39967091644749397</v>
      </c>
      <c r="Q3726">
        <v>-0.90809176347783704</v>
      </c>
      <c r="R3726">
        <v>0.108749930582849</v>
      </c>
      <c r="S3726">
        <v>18.3410087720227</v>
      </c>
      <c r="T3726">
        <v>-1.6522345886952901</v>
      </c>
      <c r="U3726">
        <v>-5.5560101495078298</v>
      </c>
      <c r="V3726">
        <v>0.115924106261434</v>
      </c>
      <c r="W3726">
        <v>0.69890475659067597</v>
      </c>
      <c r="X3726">
        <v>0</v>
      </c>
      <c r="Y3726">
        <v>0</v>
      </c>
    </row>
    <row r="3727" spans="1:25" x14ac:dyDescent="0.2">
      <c r="A3727" t="s">
        <v>13685</v>
      </c>
      <c r="B3727" t="s">
        <v>13686</v>
      </c>
      <c r="C3727" t="s">
        <v>14751</v>
      </c>
      <c r="D3727" t="s">
        <v>13687</v>
      </c>
      <c r="E3727" t="s">
        <v>13686</v>
      </c>
      <c r="F3727" t="s">
        <v>28</v>
      </c>
      <c r="G3727" t="s">
        <v>13686</v>
      </c>
      <c r="H3727" t="str">
        <f>"F36A2.10"</f>
        <v>F36A2.10</v>
      </c>
      <c r="I3727" t="s">
        <v>13687</v>
      </c>
      <c r="J3727">
        <v>14.019031977844399</v>
      </c>
      <c r="K3727">
        <v>13.1520957459702</v>
      </c>
      <c r="L3727">
        <v>13.656864305510799</v>
      </c>
      <c r="M3727">
        <v>12.994492981592201</v>
      </c>
      <c r="N3727">
        <v>13.624694724288499</v>
      </c>
      <c r="O3727">
        <v>12.4430637571965</v>
      </c>
      <c r="P3727">
        <v>-0.58858018874937901</v>
      </c>
      <c r="Q3727">
        <v>-1.8125168777641101</v>
      </c>
      <c r="R3727">
        <v>0.63535650026535495</v>
      </c>
      <c r="S3727">
        <v>12.5252575376145</v>
      </c>
      <c r="T3727">
        <v>-1.02562427705129</v>
      </c>
      <c r="U3727">
        <v>-6.3459426282604001</v>
      </c>
      <c r="V3727">
        <v>0.32143762637840501</v>
      </c>
      <c r="W3727">
        <v>0.86689175088114301</v>
      </c>
      <c r="X3727">
        <v>0</v>
      </c>
      <c r="Y3727">
        <v>0</v>
      </c>
    </row>
    <row r="3728" spans="1:25" x14ac:dyDescent="0.2">
      <c r="A3728" t="s">
        <v>13688</v>
      </c>
      <c r="B3728" t="s">
        <v>13689</v>
      </c>
      <c r="C3728" t="s">
        <v>13690</v>
      </c>
      <c r="D3728" t="s">
        <v>13691</v>
      </c>
      <c r="E3728" t="s">
        <v>13689</v>
      </c>
      <c r="F3728" t="s">
        <v>28</v>
      </c>
      <c r="G3728" t="s">
        <v>13689</v>
      </c>
      <c r="H3728" t="str">
        <f>"timm-23"</f>
        <v>timm-23</v>
      </c>
      <c r="I3728" t="s">
        <v>13691</v>
      </c>
      <c r="J3728">
        <v>14.9698293808598</v>
      </c>
      <c r="K3728">
        <v>15.26901314467</v>
      </c>
      <c r="L3728">
        <v>15.334954909975799</v>
      </c>
      <c r="M3728">
        <v>15.0538056470717</v>
      </c>
      <c r="N3728">
        <v>14.9182117132792</v>
      </c>
      <c r="O3728">
        <v>15.1825422664127</v>
      </c>
      <c r="P3728">
        <v>-0.13974593624732501</v>
      </c>
      <c r="Q3728">
        <v>-0.60248159930008605</v>
      </c>
      <c r="R3728">
        <v>0.32298972680543703</v>
      </c>
      <c r="S3728">
        <v>14.904789651501501</v>
      </c>
      <c r="T3728">
        <v>-0.63746482985111497</v>
      </c>
      <c r="U3728">
        <v>-6.6720484394041</v>
      </c>
      <c r="V3728">
        <v>0.53236663728378397</v>
      </c>
      <c r="W3728">
        <v>0.94441160388082701</v>
      </c>
      <c r="X3728">
        <v>0</v>
      </c>
      <c r="Y3728">
        <v>0</v>
      </c>
    </row>
    <row r="3729" spans="1:25" x14ac:dyDescent="0.2">
      <c r="A3729" t="s">
        <v>13692</v>
      </c>
      <c r="B3729" t="s">
        <v>13693</v>
      </c>
      <c r="C3729" t="s">
        <v>13694</v>
      </c>
      <c r="D3729" t="s">
        <v>13695</v>
      </c>
      <c r="E3729" t="s">
        <v>13693</v>
      </c>
      <c r="F3729" t="s">
        <v>28</v>
      </c>
      <c r="G3729" t="s">
        <v>13693</v>
      </c>
      <c r="H3729" t="str">
        <f>"elo-2"</f>
        <v>elo-2</v>
      </c>
      <c r="I3729" t="s">
        <v>13695</v>
      </c>
      <c r="J3729">
        <v>14.8653105893138</v>
      </c>
      <c r="K3729">
        <v>14.924739580877301</v>
      </c>
      <c r="L3729">
        <v>15.3005907359458</v>
      </c>
      <c r="M3729">
        <v>15.143317070675799</v>
      </c>
      <c r="N3729">
        <v>15.38240440535</v>
      </c>
      <c r="O3729">
        <v>14.894277712576301</v>
      </c>
      <c r="P3729">
        <v>0.109786094155073</v>
      </c>
      <c r="Q3729">
        <v>-0.65547302779462602</v>
      </c>
      <c r="R3729">
        <v>0.87504521610477204</v>
      </c>
      <c r="S3729">
        <v>15.2837218446448</v>
      </c>
      <c r="T3729">
        <v>0.30153055879851198</v>
      </c>
      <c r="U3729">
        <v>-6.8351052060152799</v>
      </c>
      <c r="V3729">
        <v>0.76648585275751902</v>
      </c>
      <c r="W3729">
        <v>0.99278624068726296</v>
      </c>
      <c r="X3729">
        <v>0</v>
      </c>
      <c r="Y3729">
        <v>0</v>
      </c>
    </row>
    <row r="3730" spans="1:25" x14ac:dyDescent="0.2">
      <c r="A3730" t="s">
        <v>13696</v>
      </c>
      <c r="B3730" t="s">
        <v>13697</v>
      </c>
      <c r="C3730" t="s">
        <v>13698</v>
      </c>
      <c r="D3730" t="s">
        <v>13699</v>
      </c>
      <c r="E3730" t="s">
        <v>13697</v>
      </c>
      <c r="F3730" t="s">
        <v>28</v>
      </c>
      <c r="G3730" t="s">
        <v>13697</v>
      </c>
      <c r="H3730" t="str">
        <f>"otub-1"</f>
        <v>otub-1</v>
      </c>
      <c r="I3730" t="s">
        <v>13699</v>
      </c>
      <c r="J3730" t="s">
        <v>29</v>
      </c>
      <c r="K3730" t="s">
        <v>29</v>
      </c>
      <c r="L3730">
        <v>10.647710390880899</v>
      </c>
      <c r="M3730" t="s">
        <v>29</v>
      </c>
      <c r="N3730" t="s">
        <v>29</v>
      </c>
      <c r="O3730" t="s">
        <v>29</v>
      </c>
      <c r="P3730" t="s">
        <v>29</v>
      </c>
      <c r="Q3730" t="s">
        <v>29</v>
      </c>
      <c r="R3730" t="s">
        <v>29</v>
      </c>
      <c r="S3730">
        <v>11.4406221071714</v>
      </c>
      <c r="T3730" t="s">
        <v>29</v>
      </c>
      <c r="U3730" t="s">
        <v>29</v>
      </c>
      <c r="V3730" t="s">
        <v>29</v>
      </c>
      <c r="W3730" t="s">
        <v>29</v>
      </c>
      <c r="X3730" t="s">
        <v>29</v>
      </c>
      <c r="Y3730" t="s">
        <v>29</v>
      </c>
    </row>
    <row r="3731" spans="1:25" x14ac:dyDescent="0.2">
      <c r="A3731" t="s">
        <v>13700</v>
      </c>
      <c r="B3731" t="s">
        <v>13701</v>
      </c>
      <c r="C3731" t="s">
        <v>13702</v>
      </c>
      <c r="D3731" t="s">
        <v>13703</v>
      </c>
      <c r="E3731" t="s">
        <v>13701</v>
      </c>
      <c r="F3731" t="s">
        <v>28</v>
      </c>
      <c r="G3731" t="s">
        <v>13701</v>
      </c>
      <c r="H3731" t="str">
        <f>"mcm-3"</f>
        <v>mcm-3</v>
      </c>
      <c r="I3731" t="s">
        <v>13703</v>
      </c>
      <c r="J3731">
        <v>15.160148247225999</v>
      </c>
      <c r="K3731">
        <v>14.9700315232037</v>
      </c>
      <c r="L3731">
        <v>15.2068713327503</v>
      </c>
      <c r="M3731">
        <v>15.2063882318593</v>
      </c>
      <c r="N3731">
        <v>15.220296017430201</v>
      </c>
      <c r="O3731">
        <v>15.158924223359699</v>
      </c>
      <c r="P3731">
        <v>8.2852456489741003E-2</v>
      </c>
      <c r="Q3731">
        <v>-0.35006214474382802</v>
      </c>
      <c r="R3731">
        <v>0.51576705772331</v>
      </c>
      <c r="S3731">
        <v>15.0478704158754</v>
      </c>
      <c r="T3731">
        <v>0.403973771248331</v>
      </c>
      <c r="U3731">
        <v>-6.7973681871261897</v>
      </c>
      <c r="V3731">
        <v>0.69129951121132205</v>
      </c>
      <c r="W3731">
        <v>0.98642420921484297</v>
      </c>
      <c r="X3731">
        <v>0</v>
      </c>
      <c r="Y3731">
        <v>0</v>
      </c>
    </row>
    <row r="3732" spans="1:25" x14ac:dyDescent="0.2">
      <c r="A3732" t="s">
        <v>13704</v>
      </c>
      <c r="B3732" t="s">
        <v>13705</v>
      </c>
      <c r="C3732" t="s">
        <v>13706</v>
      </c>
      <c r="D3732" t="s">
        <v>13707</v>
      </c>
      <c r="E3732" t="s">
        <v>13705</v>
      </c>
      <c r="F3732" t="s">
        <v>28</v>
      </c>
      <c r="G3732" t="s">
        <v>13705</v>
      </c>
      <c r="H3732" t="str">
        <f>"nola-3"</f>
        <v>nola-3</v>
      </c>
      <c r="I3732" t="s">
        <v>13707</v>
      </c>
      <c r="J3732">
        <v>15.7804838628523</v>
      </c>
      <c r="K3732">
        <v>14.870432202585899</v>
      </c>
      <c r="L3732">
        <v>15.7343742758136</v>
      </c>
      <c r="M3732">
        <v>15.3453626804097</v>
      </c>
      <c r="N3732">
        <v>15.072124102566001</v>
      </c>
      <c r="O3732">
        <v>15.2096677916125</v>
      </c>
      <c r="P3732">
        <v>-0.252711922221181</v>
      </c>
      <c r="Q3732">
        <v>-1.2003968698691601</v>
      </c>
      <c r="R3732">
        <v>0.69497302542679795</v>
      </c>
      <c r="S3732">
        <v>14.7908831712435</v>
      </c>
      <c r="T3732">
        <v>-0.56047243958973703</v>
      </c>
      <c r="U3732">
        <v>-6.71979619490563</v>
      </c>
      <c r="V3732">
        <v>0.58210703042993495</v>
      </c>
      <c r="W3732">
        <v>0.96315662445407302</v>
      </c>
      <c r="X3732">
        <v>0</v>
      </c>
      <c r="Y3732">
        <v>0</v>
      </c>
    </row>
    <row r="3733" spans="1:25" x14ac:dyDescent="0.2">
      <c r="A3733" t="s">
        <v>13708</v>
      </c>
      <c r="B3733" t="s">
        <v>13709</v>
      </c>
      <c r="C3733" t="s">
        <v>13710</v>
      </c>
      <c r="D3733" t="s">
        <v>13711</v>
      </c>
      <c r="E3733" t="s">
        <v>13709</v>
      </c>
      <c r="F3733" t="s">
        <v>28</v>
      </c>
      <c r="G3733" t="s">
        <v>13709</v>
      </c>
      <c r="H3733" t="str">
        <f>"tag-72"</f>
        <v>tag-72</v>
      </c>
      <c r="I3733" t="s">
        <v>13711</v>
      </c>
      <c r="J3733" t="s">
        <v>29</v>
      </c>
      <c r="K3733" t="s">
        <v>29</v>
      </c>
      <c r="L3733" t="s">
        <v>29</v>
      </c>
      <c r="M3733" t="s">
        <v>29</v>
      </c>
      <c r="N3733" t="s">
        <v>29</v>
      </c>
      <c r="O3733" t="s">
        <v>29</v>
      </c>
      <c r="P3733" t="s">
        <v>29</v>
      </c>
      <c r="Q3733" t="s">
        <v>29</v>
      </c>
      <c r="R3733" t="s">
        <v>29</v>
      </c>
      <c r="S3733">
        <v>10.1459124747942</v>
      </c>
      <c r="T3733" t="s">
        <v>29</v>
      </c>
      <c r="U3733" t="s">
        <v>29</v>
      </c>
      <c r="V3733" t="s">
        <v>29</v>
      </c>
      <c r="W3733" t="s">
        <v>29</v>
      </c>
      <c r="X3733" t="s">
        <v>29</v>
      </c>
      <c r="Y3733" t="s">
        <v>29</v>
      </c>
    </row>
    <row r="3734" spans="1:25" x14ac:dyDescent="0.2">
      <c r="A3734" t="s">
        <v>13712</v>
      </c>
      <c r="B3734" t="s">
        <v>13713</v>
      </c>
      <c r="C3734" t="s">
        <v>13714</v>
      </c>
      <c r="D3734" t="s">
        <v>93</v>
      </c>
      <c r="E3734" t="s">
        <v>13713</v>
      </c>
      <c r="F3734" t="s">
        <v>28</v>
      </c>
      <c r="G3734" t="s">
        <v>13713</v>
      </c>
      <c r="H3734" t="str">
        <f>"sup-46"</f>
        <v>sup-46</v>
      </c>
      <c r="I3734" t="s">
        <v>93</v>
      </c>
      <c r="J3734">
        <v>16.243117519604599</v>
      </c>
      <c r="K3734">
        <v>16.623797956093799</v>
      </c>
      <c r="L3734">
        <v>16.768189577494599</v>
      </c>
      <c r="M3734">
        <v>16.603975241327198</v>
      </c>
      <c r="N3734">
        <v>16.667976692695301</v>
      </c>
      <c r="O3734">
        <v>16.5780297207845</v>
      </c>
      <c r="P3734">
        <v>7.1625533871330305E-2</v>
      </c>
      <c r="Q3734">
        <v>-0.45687848763189098</v>
      </c>
      <c r="R3734">
        <v>0.60012955537455104</v>
      </c>
      <c r="S3734">
        <v>16.9648679716251</v>
      </c>
      <c r="T3734">
        <v>0.28484728798360698</v>
      </c>
      <c r="U3734">
        <v>-6.8401919413770296</v>
      </c>
      <c r="V3734">
        <v>0.77903142838864603</v>
      </c>
      <c r="W3734">
        <v>0.99278624068726296</v>
      </c>
      <c r="X3734">
        <v>0</v>
      </c>
      <c r="Y3734">
        <v>0</v>
      </c>
    </row>
    <row r="3735" spans="1:25" x14ac:dyDescent="0.2">
      <c r="A3735" t="s">
        <v>13715</v>
      </c>
      <c r="B3735" t="s">
        <v>13716</v>
      </c>
      <c r="C3735" t="s">
        <v>13717</v>
      </c>
      <c r="D3735" t="s">
        <v>13718</v>
      </c>
      <c r="E3735" t="s">
        <v>13716</v>
      </c>
      <c r="F3735" t="s">
        <v>28</v>
      </c>
      <c r="G3735" t="s">
        <v>13716</v>
      </c>
      <c r="H3735" t="str">
        <f>"clec-87"</f>
        <v>clec-87</v>
      </c>
      <c r="I3735" t="s">
        <v>13718</v>
      </c>
      <c r="J3735" t="s">
        <v>29</v>
      </c>
      <c r="K3735" t="s">
        <v>29</v>
      </c>
      <c r="L3735" t="s">
        <v>29</v>
      </c>
      <c r="M3735" t="s">
        <v>29</v>
      </c>
      <c r="N3735" t="s">
        <v>29</v>
      </c>
      <c r="O3735" t="s">
        <v>29</v>
      </c>
      <c r="P3735" t="s">
        <v>29</v>
      </c>
      <c r="Q3735" t="s">
        <v>29</v>
      </c>
      <c r="R3735" t="s">
        <v>29</v>
      </c>
      <c r="S3735">
        <v>12.1699613490151</v>
      </c>
      <c r="T3735" t="s">
        <v>29</v>
      </c>
      <c r="U3735" t="s">
        <v>29</v>
      </c>
      <c r="V3735" t="s">
        <v>29</v>
      </c>
      <c r="W3735" t="s">
        <v>29</v>
      </c>
      <c r="X3735" t="s">
        <v>29</v>
      </c>
      <c r="Y3735" t="s">
        <v>29</v>
      </c>
    </row>
    <row r="3736" spans="1:25" x14ac:dyDescent="0.2">
      <c r="A3736" t="s">
        <v>13719</v>
      </c>
      <c r="B3736" t="s">
        <v>13720</v>
      </c>
      <c r="C3736" t="s">
        <v>13721</v>
      </c>
      <c r="D3736" t="s">
        <v>13722</v>
      </c>
      <c r="E3736" t="s">
        <v>13720</v>
      </c>
      <c r="F3736" t="s">
        <v>28</v>
      </c>
      <c r="G3736" t="s">
        <v>13720</v>
      </c>
      <c r="H3736" t="str">
        <f>"nxf-1"</f>
        <v>nxf-1</v>
      </c>
      <c r="I3736" t="s">
        <v>13722</v>
      </c>
      <c r="J3736">
        <v>15.3396499957376</v>
      </c>
      <c r="K3736">
        <v>15.099006577949</v>
      </c>
      <c r="L3736">
        <v>14.984451277522499</v>
      </c>
      <c r="M3736">
        <v>14.871707683546701</v>
      </c>
      <c r="N3736">
        <v>15.078697543518199</v>
      </c>
      <c r="O3736">
        <v>15.0239837184861</v>
      </c>
      <c r="P3736">
        <v>-0.14957296855271299</v>
      </c>
      <c r="Q3736">
        <v>-0.53789704145671102</v>
      </c>
      <c r="R3736">
        <v>0.23875110435128599</v>
      </c>
      <c r="S3736">
        <v>15.0548864626293</v>
      </c>
      <c r="T3736">
        <v>-0.80956423234939401</v>
      </c>
      <c r="U3736">
        <v>-6.5462322295965203</v>
      </c>
      <c r="V3736">
        <v>0.42882456959788401</v>
      </c>
      <c r="W3736">
        <v>0.91512503332874395</v>
      </c>
      <c r="X3736">
        <v>0</v>
      </c>
      <c r="Y3736">
        <v>0</v>
      </c>
    </row>
    <row r="3737" spans="1:25" x14ac:dyDescent="0.2">
      <c r="A3737" t="s">
        <v>13723</v>
      </c>
      <c r="B3737" t="s">
        <v>13724</v>
      </c>
      <c r="C3737" t="s">
        <v>13725</v>
      </c>
      <c r="D3737" t="s">
        <v>368</v>
      </c>
      <c r="E3737" t="s">
        <v>13724</v>
      </c>
      <c r="F3737" t="s">
        <v>28</v>
      </c>
      <c r="G3737" t="s">
        <v>13724</v>
      </c>
      <c r="H3737" t="str">
        <f>"C15C6.1"</f>
        <v>C15C6.1</v>
      </c>
      <c r="I3737" t="s">
        <v>368</v>
      </c>
      <c r="J3737" t="s">
        <v>29</v>
      </c>
      <c r="K3737" t="s">
        <v>29</v>
      </c>
      <c r="L3737" t="s">
        <v>29</v>
      </c>
      <c r="M3737" t="s">
        <v>29</v>
      </c>
      <c r="N3737" t="s">
        <v>29</v>
      </c>
      <c r="O3737" t="s">
        <v>29</v>
      </c>
      <c r="P3737" t="s">
        <v>29</v>
      </c>
      <c r="Q3737" t="s">
        <v>29</v>
      </c>
      <c r="R3737" t="s">
        <v>29</v>
      </c>
      <c r="S3737">
        <v>12.664752254868301</v>
      </c>
      <c r="T3737" t="s">
        <v>29</v>
      </c>
      <c r="U3737" t="s">
        <v>29</v>
      </c>
      <c r="V3737" t="s">
        <v>29</v>
      </c>
      <c r="W3737" t="s">
        <v>29</v>
      </c>
      <c r="X3737" t="s">
        <v>29</v>
      </c>
      <c r="Y3737" t="s">
        <v>29</v>
      </c>
    </row>
    <row r="3738" spans="1:25" x14ac:dyDescent="0.2">
      <c r="A3738" t="s">
        <v>13726</v>
      </c>
      <c r="B3738" t="s">
        <v>13727</v>
      </c>
      <c r="C3738" t="s">
        <v>13728</v>
      </c>
      <c r="D3738" t="s">
        <v>13729</v>
      </c>
      <c r="E3738" t="s">
        <v>13727</v>
      </c>
      <c r="F3738" t="s">
        <v>28</v>
      </c>
      <c r="G3738" t="s">
        <v>13727</v>
      </c>
      <c r="H3738" t="str">
        <f>"atgp-1"</f>
        <v>atgp-1</v>
      </c>
      <c r="I3738" t="s">
        <v>13729</v>
      </c>
      <c r="J3738">
        <v>12.2440356262079</v>
      </c>
      <c r="K3738">
        <v>12.7043581344447</v>
      </c>
      <c r="L3738">
        <v>12.194385022264299</v>
      </c>
      <c r="M3738">
        <v>13.2947482104932</v>
      </c>
      <c r="N3738">
        <v>11.7239903176539</v>
      </c>
      <c r="O3738">
        <v>13.5418136675315</v>
      </c>
      <c r="P3738">
        <v>0.47259113758722998</v>
      </c>
      <c r="Q3738">
        <v>-0.39235747339558502</v>
      </c>
      <c r="R3738">
        <v>1.33753974857005</v>
      </c>
      <c r="S3738">
        <v>12.572401534165801</v>
      </c>
      <c r="T3738">
        <v>1.1813606803479</v>
      </c>
      <c r="U3738">
        <v>-6.1762891751372901</v>
      </c>
      <c r="V3738">
        <v>0.25878927764082899</v>
      </c>
      <c r="W3738">
        <v>0.838608292101926</v>
      </c>
      <c r="X3738">
        <v>0</v>
      </c>
      <c r="Y3738">
        <v>0</v>
      </c>
    </row>
    <row r="3739" spans="1:25" x14ac:dyDescent="0.2">
      <c r="A3739" t="s">
        <v>13730</v>
      </c>
      <c r="B3739" t="s">
        <v>13731</v>
      </c>
      <c r="C3739" t="s">
        <v>14752</v>
      </c>
      <c r="D3739" t="s">
        <v>13732</v>
      </c>
      <c r="E3739" t="s">
        <v>13731</v>
      </c>
      <c r="F3739" t="s">
        <v>28</v>
      </c>
      <c r="G3739" t="s">
        <v>13731</v>
      </c>
      <c r="H3739" t="str">
        <f>"R03G8.6"</f>
        <v>R03G8.6</v>
      </c>
      <c r="I3739" t="s">
        <v>13732</v>
      </c>
      <c r="J3739" t="s">
        <v>29</v>
      </c>
      <c r="K3739">
        <v>13.086535183863999</v>
      </c>
      <c r="L3739">
        <v>13.146355747115701</v>
      </c>
      <c r="M3739" t="s">
        <v>29</v>
      </c>
      <c r="N3739" t="s">
        <v>29</v>
      </c>
      <c r="O3739" t="s">
        <v>29</v>
      </c>
      <c r="P3739" t="s">
        <v>29</v>
      </c>
      <c r="Q3739" t="s">
        <v>29</v>
      </c>
      <c r="R3739" t="s">
        <v>29</v>
      </c>
      <c r="S3739">
        <v>13.063551987394</v>
      </c>
      <c r="T3739" t="s">
        <v>29</v>
      </c>
      <c r="U3739" t="s">
        <v>29</v>
      </c>
      <c r="V3739" t="s">
        <v>29</v>
      </c>
      <c r="W3739" t="s">
        <v>29</v>
      </c>
      <c r="X3739" t="s">
        <v>29</v>
      </c>
      <c r="Y3739" t="s">
        <v>29</v>
      </c>
    </row>
    <row r="3740" spans="1:25" x14ac:dyDescent="0.2">
      <c r="A3740" t="s">
        <v>13733</v>
      </c>
      <c r="B3740" t="s">
        <v>13734</v>
      </c>
      <c r="C3740" t="s">
        <v>13735</v>
      </c>
      <c r="D3740" t="s">
        <v>13736</v>
      </c>
      <c r="E3740" t="s">
        <v>13734</v>
      </c>
      <c r="F3740" t="s">
        <v>28</v>
      </c>
      <c r="G3740" t="s">
        <v>13734</v>
      </c>
      <c r="H3740" t="str">
        <f>"rhy-1"</f>
        <v>rhy-1</v>
      </c>
      <c r="I3740" t="s">
        <v>13736</v>
      </c>
      <c r="J3740" t="s">
        <v>29</v>
      </c>
      <c r="K3740" t="s">
        <v>29</v>
      </c>
      <c r="L3740" t="s">
        <v>29</v>
      </c>
      <c r="M3740" t="s">
        <v>29</v>
      </c>
      <c r="N3740">
        <v>10.4364695397808</v>
      </c>
      <c r="O3740" t="s">
        <v>29</v>
      </c>
      <c r="P3740" t="s">
        <v>29</v>
      </c>
      <c r="Q3740" t="s">
        <v>29</v>
      </c>
      <c r="R3740" t="s">
        <v>29</v>
      </c>
      <c r="S3740">
        <v>11.231899292309301</v>
      </c>
      <c r="T3740" t="s">
        <v>29</v>
      </c>
      <c r="U3740" t="s">
        <v>29</v>
      </c>
      <c r="V3740" t="s">
        <v>29</v>
      </c>
      <c r="W3740" t="s">
        <v>29</v>
      </c>
      <c r="X3740" t="s">
        <v>29</v>
      </c>
      <c r="Y3740" t="s">
        <v>29</v>
      </c>
    </row>
    <row r="3741" spans="1:25" x14ac:dyDescent="0.2">
      <c r="A3741" t="s">
        <v>13737</v>
      </c>
      <c r="B3741" t="s">
        <v>13738</v>
      </c>
      <c r="C3741" t="s">
        <v>14753</v>
      </c>
      <c r="D3741" t="s">
        <v>2217</v>
      </c>
      <c r="E3741" t="s">
        <v>13738</v>
      </c>
      <c r="F3741" t="s">
        <v>28</v>
      </c>
      <c r="G3741" t="s">
        <v>13738</v>
      </c>
      <c r="H3741" t="str">
        <f>"F54D5.15"</f>
        <v>F54D5.15</v>
      </c>
      <c r="I3741" t="s">
        <v>2217</v>
      </c>
      <c r="J3741">
        <v>11.0194305708256</v>
      </c>
      <c r="K3741">
        <v>12.284647672807299</v>
      </c>
      <c r="L3741" t="s">
        <v>29</v>
      </c>
      <c r="M3741" t="s">
        <v>29</v>
      </c>
      <c r="N3741" t="s">
        <v>29</v>
      </c>
      <c r="O3741">
        <v>12.2729493276988</v>
      </c>
      <c r="P3741">
        <v>0.620910205882376</v>
      </c>
      <c r="Q3741">
        <v>-0.98587538312775003</v>
      </c>
      <c r="R3741">
        <v>2.2276957948925</v>
      </c>
      <c r="S3741">
        <v>11.6896021697496</v>
      </c>
      <c r="T3741">
        <v>0.86225904915650298</v>
      </c>
      <c r="U3741">
        <v>-6.0981257089000396</v>
      </c>
      <c r="V3741">
        <v>0.40895570505318801</v>
      </c>
      <c r="W3741">
        <v>0.91512503332874395</v>
      </c>
      <c r="X3741">
        <v>0</v>
      </c>
      <c r="Y3741">
        <v>0</v>
      </c>
    </row>
    <row r="3742" spans="1:25" x14ac:dyDescent="0.2">
      <c r="A3742" t="s">
        <v>13739</v>
      </c>
      <c r="B3742" t="s">
        <v>13740</v>
      </c>
      <c r="C3742" t="s">
        <v>14754</v>
      </c>
      <c r="D3742" t="s">
        <v>368</v>
      </c>
      <c r="E3742" t="s">
        <v>13740</v>
      </c>
      <c r="F3742" t="s">
        <v>28</v>
      </c>
      <c r="G3742" t="s">
        <v>13740</v>
      </c>
      <c r="H3742" t="str">
        <f>"Y7A5A.2"</f>
        <v>Y7A5A.2</v>
      </c>
      <c r="I3742" t="s">
        <v>368</v>
      </c>
      <c r="J3742">
        <v>11.013516423499199</v>
      </c>
      <c r="K3742">
        <v>10.8445900719113</v>
      </c>
      <c r="L3742">
        <v>11.348880841367199</v>
      </c>
      <c r="M3742">
        <v>11.137083313216101</v>
      </c>
      <c r="N3742" t="s">
        <v>29</v>
      </c>
      <c r="O3742">
        <v>10.774361401481199</v>
      </c>
      <c r="P3742">
        <v>-0.11327342157724</v>
      </c>
      <c r="Q3742">
        <v>-0.81831334565730696</v>
      </c>
      <c r="R3742">
        <v>0.59176650250282603</v>
      </c>
      <c r="S3742">
        <v>11.4239007347515</v>
      </c>
      <c r="T3742">
        <v>-0.35039614647838202</v>
      </c>
      <c r="U3742">
        <v>-6.7068515974782601</v>
      </c>
      <c r="V3742">
        <v>0.73216800773512203</v>
      </c>
      <c r="W3742">
        <v>0.99057748145465696</v>
      </c>
      <c r="X3742">
        <v>0</v>
      </c>
      <c r="Y3742">
        <v>0</v>
      </c>
    </row>
    <row r="3743" spans="1:25" x14ac:dyDescent="0.2">
      <c r="A3743" t="s">
        <v>13741</v>
      </c>
      <c r="B3743" t="s">
        <v>13742</v>
      </c>
      <c r="C3743" t="s">
        <v>14755</v>
      </c>
      <c r="D3743" t="s">
        <v>13743</v>
      </c>
      <c r="E3743" t="s">
        <v>13742</v>
      </c>
      <c r="F3743" t="s">
        <v>28</v>
      </c>
      <c r="G3743" t="s">
        <v>13742</v>
      </c>
      <c r="H3743" t="str">
        <f>"Y7A5A.1"</f>
        <v>Y7A5A.1</v>
      </c>
      <c r="I3743" t="s">
        <v>13743</v>
      </c>
      <c r="J3743">
        <v>14.7827082787264</v>
      </c>
      <c r="K3743">
        <v>14.812641033872399</v>
      </c>
      <c r="L3743">
        <v>14.913219476528299</v>
      </c>
      <c r="M3743">
        <v>14.581331778655001</v>
      </c>
      <c r="N3743">
        <v>14.719233421343199</v>
      </c>
      <c r="O3743">
        <v>14.593158905593601</v>
      </c>
      <c r="P3743">
        <v>-0.20494822784509401</v>
      </c>
      <c r="Q3743">
        <v>-0.57972647677199096</v>
      </c>
      <c r="R3743">
        <v>0.16983002108180301</v>
      </c>
      <c r="S3743">
        <v>14.615079370638499</v>
      </c>
      <c r="T3743">
        <v>-1.1493764721136199</v>
      </c>
      <c r="U3743">
        <v>-6.2167751470285797</v>
      </c>
      <c r="V3743">
        <v>0.26553129078769999</v>
      </c>
      <c r="W3743">
        <v>0.85051793622855199</v>
      </c>
      <c r="X3743">
        <v>0</v>
      </c>
      <c r="Y3743">
        <v>0</v>
      </c>
    </row>
    <row r="3744" spans="1:25" x14ac:dyDescent="0.2">
      <c r="A3744" t="s">
        <v>13744</v>
      </c>
      <c r="B3744" t="s">
        <v>13745</v>
      </c>
      <c r="C3744" t="s">
        <v>14756</v>
      </c>
      <c r="D3744" t="s">
        <v>2791</v>
      </c>
      <c r="E3744" t="s">
        <v>13745</v>
      </c>
      <c r="F3744" t="s">
        <v>28</v>
      </c>
      <c r="G3744" t="s">
        <v>13745</v>
      </c>
      <c r="H3744" t="str">
        <f>"Y54G11A.3"</f>
        <v>Y54G11A.3</v>
      </c>
      <c r="I3744" t="s">
        <v>2791</v>
      </c>
      <c r="J3744">
        <v>13.8301615551101</v>
      </c>
      <c r="K3744">
        <v>13.528200504125399</v>
      </c>
      <c r="L3744">
        <v>13.812832396110601</v>
      </c>
      <c r="M3744">
        <v>13.0941570492647</v>
      </c>
      <c r="N3744">
        <v>13.896712598962001</v>
      </c>
      <c r="O3744">
        <v>13.5859586847857</v>
      </c>
      <c r="P3744">
        <v>-0.198122040777925</v>
      </c>
      <c r="Q3744">
        <v>-1.1017216293426999</v>
      </c>
      <c r="R3744">
        <v>0.70547754778685101</v>
      </c>
      <c r="S3744">
        <v>14.646330731256</v>
      </c>
      <c r="T3744">
        <v>-0.46505712038062003</v>
      </c>
      <c r="U3744">
        <v>-6.7695070244081501</v>
      </c>
      <c r="V3744">
        <v>0.64819800181589904</v>
      </c>
      <c r="W3744">
        <v>0.98010129488564801</v>
      </c>
      <c r="X3744">
        <v>0</v>
      </c>
      <c r="Y3744">
        <v>0</v>
      </c>
    </row>
    <row r="3745" spans="1:25" x14ac:dyDescent="0.2">
      <c r="A3745" t="s">
        <v>13746</v>
      </c>
      <c r="B3745" t="s">
        <v>13747</v>
      </c>
      <c r="C3745" t="s">
        <v>14757</v>
      </c>
      <c r="D3745" t="s">
        <v>13748</v>
      </c>
      <c r="E3745" t="s">
        <v>13747</v>
      </c>
      <c r="F3745" t="s">
        <v>28</v>
      </c>
      <c r="G3745" t="s">
        <v>13747</v>
      </c>
      <c r="H3745" t="str">
        <f>"Y54G11A.7"</f>
        <v>Y54G11A.7</v>
      </c>
      <c r="I3745" t="s">
        <v>13748</v>
      </c>
      <c r="J3745">
        <v>12.738324728742899</v>
      </c>
      <c r="K3745">
        <v>13.070172980820001</v>
      </c>
      <c r="L3745">
        <v>12.9948251530639</v>
      </c>
      <c r="M3745">
        <v>12.7215867198382</v>
      </c>
      <c r="N3745">
        <v>12.6198560474585</v>
      </c>
      <c r="O3745">
        <v>13.1259429020984</v>
      </c>
      <c r="P3745">
        <v>-0.111979064410622</v>
      </c>
      <c r="Q3745">
        <v>-0.60604733451763104</v>
      </c>
      <c r="R3745">
        <v>0.38208920569638599</v>
      </c>
      <c r="S3745">
        <v>13.087809616362099</v>
      </c>
      <c r="T3745">
        <v>-0.47840959810565997</v>
      </c>
      <c r="U3745">
        <v>-6.7633414101239602</v>
      </c>
      <c r="V3745">
        <v>0.63849090631195304</v>
      </c>
      <c r="W3745">
        <v>0.97476997913256702</v>
      </c>
      <c r="X3745">
        <v>0</v>
      </c>
      <c r="Y3745">
        <v>0</v>
      </c>
    </row>
    <row r="3746" spans="1:25" x14ac:dyDescent="0.2">
      <c r="A3746" t="s">
        <v>13749</v>
      </c>
      <c r="B3746" t="s">
        <v>13750</v>
      </c>
      <c r="C3746" t="s">
        <v>13751</v>
      </c>
      <c r="D3746" t="s">
        <v>13752</v>
      </c>
      <c r="E3746" t="s">
        <v>13750</v>
      </c>
      <c r="F3746" t="s">
        <v>28</v>
      </c>
      <c r="G3746" t="s">
        <v>13750</v>
      </c>
      <c r="H3746" t="str">
        <f>"pad-1"</f>
        <v>pad-1</v>
      </c>
      <c r="I3746" t="s">
        <v>13752</v>
      </c>
      <c r="J3746">
        <v>12.479195262770199</v>
      </c>
      <c r="K3746">
        <v>13.0411825893613</v>
      </c>
      <c r="L3746">
        <v>12.5447355014465</v>
      </c>
      <c r="M3746">
        <v>12.791538872658901</v>
      </c>
      <c r="N3746">
        <v>13.1452073214334</v>
      </c>
      <c r="O3746" t="s">
        <v>29</v>
      </c>
      <c r="P3746">
        <v>0.28000197918679998</v>
      </c>
      <c r="Q3746">
        <v>-0.29207590416474599</v>
      </c>
      <c r="R3746">
        <v>0.852079862538345</v>
      </c>
      <c r="S3746">
        <v>13.049611561647399</v>
      </c>
      <c r="T3746">
        <v>1.0381389192084001</v>
      </c>
      <c r="U3746">
        <v>-6.2253780123150202</v>
      </c>
      <c r="V3746">
        <v>0.31474087304114901</v>
      </c>
      <c r="W3746">
        <v>0.865163117388565</v>
      </c>
      <c r="X3746">
        <v>0</v>
      </c>
      <c r="Y3746">
        <v>0</v>
      </c>
    </row>
    <row r="3747" spans="1:25" x14ac:dyDescent="0.2">
      <c r="A3747" t="s">
        <v>13753</v>
      </c>
      <c r="B3747" t="s">
        <v>13754</v>
      </c>
      <c r="C3747" t="s">
        <v>13755</v>
      </c>
      <c r="D3747" t="s">
        <v>13756</v>
      </c>
      <c r="E3747" t="s">
        <v>13754</v>
      </c>
      <c r="F3747" t="s">
        <v>28</v>
      </c>
      <c r="G3747" t="s">
        <v>13754</v>
      </c>
      <c r="H3747" t="str">
        <f>"pfn-1"</f>
        <v>pfn-1</v>
      </c>
      <c r="I3747" t="s">
        <v>13756</v>
      </c>
      <c r="J3747">
        <v>17.277265046392401</v>
      </c>
      <c r="K3747">
        <v>17.154517972849298</v>
      </c>
      <c r="L3747">
        <v>17.347108151526498</v>
      </c>
      <c r="M3747">
        <v>17.396764504616701</v>
      </c>
      <c r="N3747">
        <v>17.2408666867235</v>
      </c>
      <c r="O3747">
        <v>17.1159474535398</v>
      </c>
      <c r="P3747">
        <v>-8.4375086293988506E-3</v>
      </c>
      <c r="Q3747">
        <v>-0.48135317327697502</v>
      </c>
      <c r="R3747">
        <v>0.46447815601817699</v>
      </c>
      <c r="S3747">
        <v>17.273242285235099</v>
      </c>
      <c r="T3747">
        <v>-3.7499289872480898E-2</v>
      </c>
      <c r="U3747">
        <v>-6.8817548684157703</v>
      </c>
      <c r="V3747">
        <v>0.97050206905914205</v>
      </c>
      <c r="W3747">
        <v>0.99968702248720698</v>
      </c>
      <c r="X3747">
        <v>0</v>
      </c>
      <c r="Y3747">
        <v>0</v>
      </c>
    </row>
    <row r="3748" spans="1:25" x14ac:dyDescent="0.2">
      <c r="A3748" t="s">
        <v>13757</v>
      </c>
      <c r="B3748" t="s">
        <v>13758</v>
      </c>
      <c r="C3748" t="s">
        <v>13759</v>
      </c>
      <c r="D3748" t="s">
        <v>13760</v>
      </c>
      <c r="E3748" t="s">
        <v>13758</v>
      </c>
      <c r="F3748" t="s">
        <v>28</v>
      </c>
      <c r="G3748" t="s">
        <v>13758</v>
      </c>
      <c r="H3748" t="str">
        <f>"car-1"</f>
        <v>car-1</v>
      </c>
      <c r="I3748" t="s">
        <v>13760</v>
      </c>
      <c r="J3748">
        <v>18.3153055556187</v>
      </c>
      <c r="K3748">
        <v>18.290149165197501</v>
      </c>
      <c r="L3748">
        <v>19.09759094612</v>
      </c>
      <c r="M3748">
        <v>18.439622258834198</v>
      </c>
      <c r="N3748">
        <v>18.596219835816399</v>
      </c>
      <c r="O3748">
        <v>18.1320045994736</v>
      </c>
      <c r="P3748">
        <v>-0.17839965760400001</v>
      </c>
      <c r="Q3748">
        <v>-0.71453304440598098</v>
      </c>
      <c r="R3748">
        <v>0.35773372919798002</v>
      </c>
      <c r="S3748">
        <v>18.952917740402199</v>
      </c>
      <c r="T3748">
        <v>-0.69938075350669504</v>
      </c>
      <c r="U3748">
        <v>-6.6303840743046001</v>
      </c>
      <c r="V3748">
        <v>0.49330552353631602</v>
      </c>
      <c r="W3748">
        <v>0.94062983959761604</v>
      </c>
      <c r="X3748">
        <v>0</v>
      </c>
      <c r="Y3748">
        <v>0</v>
      </c>
    </row>
    <row r="3749" spans="1:25" x14ac:dyDescent="0.2">
      <c r="A3749" t="s">
        <v>13761</v>
      </c>
      <c r="B3749" t="s">
        <v>13762</v>
      </c>
      <c r="C3749" t="s">
        <v>13763</v>
      </c>
      <c r="D3749" t="s">
        <v>13764</v>
      </c>
      <c r="E3749" t="s">
        <v>13762</v>
      </c>
      <c r="F3749" t="s">
        <v>28</v>
      </c>
      <c r="G3749" t="s">
        <v>13762</v>
      </c>
      <c r="H3749" t="str">
        <f>"attf-6"</f>
        <v>attf-6</v>
      </c>
      <c r="I3749" t="s">
        <v>13764</v>
      </c>
      <c r="J3749">
        <v>10.0150990111064</v>
      </c>
      <c r="K3749" t="s">
        <v>29</v>
      </c>
      <c r="L3749">
        <v>10.7990609048218</v>
      </c>
      <c r="M3749" t="s">
        <v>29</v>
      </c>
      <c r="N3749">
        <v>10.0590203851766</v>
      </c>
      <c r="O3749" t="s">
        <v>29</v>
      </c>
      <c r="P3749">
        <v>-0.34805957278756799</v>
      </c>
      <c r="Q3749">
        <v>-1.7778094732324701</v>
      </c>
      <c r="R3749">
        <v>1.08169032765734</v>
      </c>
      <c r="S3749">
        <v>10.9631376200029</v>
      </c>
      <c r="T3749">
        <v>-0.52635742331534996</v>
      </c>
      <c r="U3749">
        <v>-6.3391561413368196</v>
      </c>
      <c r="V3749">
        <v>0.60757493385212002</v>
      </c>
      <c r="W3749">
        <v>0.97103528123305605</v>
      </c>
      <c r="X3749">
        <v>0</v>
      </c>
      <c r="Y3749">
        <v>0</v>
      </c>
    </row>
    <row r="3750" spans="1:25" x14ac:dyDescent="0.2">
      <c r="A3750" t="s">
        <v>13765</v>
      </c>
      <c r="B3750" t="s">
        <v>13766</v>
      </c>
      <c r="C3750" t="s">
        <v>13767</v>
      </c>
      <c r="D3750" t="s">
        <v>13768</v>
      </c>
      <c r="E3750" t="s">
        <v>13766</v>
      </c>
      <c r="F3750" t="s">
        <v>28</v>
      </c>
      <c r="G3750" t="s">
        <v>13766</v>
      </c>
      <c r="H3750" t="str">
        <f>"tmem-189"</f>
        <v>tmem-189</v>
      </c>
      <c r="I3750" t="s">
        <v>13768</v>
      </c>
      <c r="J3750">
        <v>11.9836960521975</v>
      </c>
      <c r="K3750">
        <v>11.887675633427</v>
      </c>
      <c r="L3750">
        <v>12.3421149406285</v>
      </c>
      <c r="M3750">
        <v>12.5603221827088</v>
      </c>
      <c r="N3750">
        <v>12.882674848901299</v>
      </c>
      <c r="O3750">
        <v>12.5758502631088</v>
      </c>
      <c r="P3750">
        <v>0.60178688948860404</v>
      </c>
      <c r="Q3750">
        <v>2.89817828064751E-2</v>
      </c>
      <c r="R3750">
        <v>1.1745919961707301</v>
      </c>
      <c r="S3750">
        <v>12.8112180418464</v>
      </c>
      <c r="T3750">
        <v>2.2283600849565501</v>
      </c>
      <c r="U3750">
        <v>-4.61313794633769</v>
      </c>
      <c r="V3750">
        <v>4.0650787550949599E-2</v>
      </c>
      <c r="W3750">
        <v>0.43565163651932598</v>
      </c>
      <c r="X3750">
        <v>0</v>
      </c>
      <c r="Y3750">
        <v>0</v>
      </c>
    </row>
    <row r="3751" spans="1:25" x14ac:dyDescent="0.2">
      <c r="A3751" t="s">
        <v>13769</v>
      </c>
      <c r="B3751" t="s">
        <v>13770</v>
      </c>
      <c r="C3751" t="s">
        <v>14758</v>
      </c>
      <c r="D3751" t="s">
        <v>13771</v>
      </c>
      <c r="E3751" t="s">
        <v>13770</v>
      </c>
      <c r="F3751" t="s">
        <v>28</v>
      </c>
      <c r="G3751" t="s">
        <v>13770</v>
      </c>
      <c r="H3751" t="str">
        <f>"Y75B8A.7"</f>
        <v>Y75B8A.7</v>
      </c>
      <c r="I3751" t="s">
        <v>13771</v>
      </c>
      <c r="J3751" t="s">
        <v>29</v>
      </c>
      <c r="K3751" t="s">
        <v>29</v>
      </c>
      <c r="L3751">
        <v>10.5525894072093</v>
      </c>
      <c r="M3751">
        <v>10.519138434138</v>
      </c>
      <c r="N3751">
        <v>11.086692819792001</v>
      </c>
      <c r="O3751" t="s">
        <v>29</v>
      </c>
      <c r="P3751">
        <v>0.25032621975569602</v>
      </c>
      <c r="Q3751">
        <v>-0.87083304907195003</v>
      </c>
      <c r="R3751">
        <v>1.3714854885833401</v>
      </c>
      <c r="S3751">
        <v>12.342037893971</v>
      </c>
      <c r="T3751">
        <v>0.48694963187632001</v>
      </c>
      <c r="U3751">
        <v>-6.3591061844458601</v>
      </c>
      <c r="V3751">
        <v>0.63514347836823404</v>
      </c>
      <c r="W3751">
        <v>0.974482469585217</v>
      </c>
      <c r="X3751">
        <v>0</v>
      </c>
      <c r="Y3751">
        <v>0</v>
      </c>
    </row>
    <row r="3752" spans="1:25" x14ac:dyDescent="0.2">
      <c r="A3752" t="s">
        <v>13772</v>
      </c>
      <c r="B3752" t="s">
        <v>13773</v>
      </c>
      <c r="C3752" t="s">
        <v>14759</v>
      </c>
      <c r="D3752" t="s">
        <v>9542</v>
      </c>
      <c r="E3752" t="s">
        <v>13773</v>
      </c>
      <c r="F3752" t="s">
        <v>28</v>
      </c>
      <c r="G3752" t="s">
        <v>13773</v>
      </c>
      <c r="H3752" t="str">
        <f>"Y75B8A.25"</f>
        <v>Y75B8A.25</v>
      </c>
      <c r="I3752" t="s">
        <v>9542</v>
      </c>
      <c r="J3752">
        <v>12.3266836507392</v>
      </c>
      <c r="K3752">
        <v>12.636253828094301</v>
      </c>
      <c r="L3752">
        <v>12.1620745294129</v>
      </c>
      <c r="M3752">
        <v>12.7406166898037</v>
      </c>
      <c r="N3752">
        <v>12.662854776904</v>
      </c>
      <c r="O3752">
        <v>13.1596407516155</v>
      </c>
      <c r="P3752">
        <v>0.47936673669225599</v>
      </c>
      <c r="Q3752">
        <v>6.2891743233606495E-2</v>
      </c>
      <c r="R3752">
        <v>0.89584173015090596</v>
      </c>
      <c r="S3752">
        <v>12.4529992740213</v>
      </c>
      <c r="T3752">
        <v>2.4548251882325598</v>
      </c>
      <c r="U3752">
        <v>-4.2155163480889497</v>
      </c>
      <c r="V3752">
        <v>2.6884216132993102E-2</v>
      </c>
      <c r="W3752">
        <v>0.35645685773147801</v>
      </c>
      <c r="X3752">
        <v>0</v>
      </c>
      <c r="Y3752">
        <v>0</v>
      </c>
    </row>
    <row r="3753" spans="1:25" x14ac:dyDescent="0.2">
      <c r="A3753" t="s">
        <v>13774</v>
      </c>
      <c r="B3753" t="s">
        <v>13775</v>
      </c>
      <c r="C3753" t="s">
        <v>14760</v>
      </c>
      <c r="D3753" t="s">
        <v>13776</v>
      </c>
      <c r="E3753" t="s">
        <v>13775</v>
      </c>
      <c r="F3753" t="s">
        <v>28</v>
      </c>
      <c r="G3753" t="s">
        <v>13775</v>
      </c>
      <c r="H3753" t="str">
        <f>"Y75B8A.24"</f>
        <v>Y75B8A.24</v>
      </c>
      <c r="I3753" t="s">
        <v>13776</v>
      </c>
      <c r="J3753">
        <v>13.571576641262499</v>
      </c>
      <c r="K3753">
        <v>13.551339559895601</v>
      </c>
      <c r="L3753">
        <v>13.2091117067084</v>
      </c>
      <c r="M3753">
        <v>13.449622225493201</v>
      </c>
      <c r="N3753">
        <v>13.2379093055035</v>
      </c>
      <c r="O3753">
        <v>13.282623435650001</v>
      </c>
      <c r="P3753">
        <v>-0.120624313739919</v>
      </c>
      <c r="Q3753">
        <v>-0.55843599541006705</v>
      </c>
      <c r="R3753">
        <v>0.317187367930229</v>
      </c>
      <c r="S3753">
        <v>13.1228521578595</v>
      </c>
      <c r="T3753">
        <v>-0.58156401141981595</v>
      </c>
      <c r="U3753">
        <v>-6.7069874972885701</v>
      </c>
      <c r="V3753">
        <v>0.56853936148183004</v>
      </c>
      <c r="W3753">
        <v>0.95899594273265498</v>
      </c>
      <c r="X3753">
        <v>0</v>
      </c>
      <c r="Y3753">
        <v>0</v>
      </c>
    </row>
    <row r="3754" spans="1:25" x14ac:dyDescent="0.2">
      <c r="A3754" t="s">
        <v>13777</v>
      </c>
      <c r="B3754" t="s">
        <v>13778</v>
      </c>
      <c r="C3754" t="s">
        <v>13779</v>
      </c>
      <c r="D3754" t="s">
        <v>13780</v>
      </c>
      <c r="E3754" t="s">
        <v>13778</v>
      </c>
      <c r="F3754" t="s">
        <v>28</v>
      </c>
      <c r="G3754" t="s">
        <v>13778</v>
      </c>
      <c r="H3754" t="str">
        <f>"gex-4"</f>
        <v>gex-4</v>
      </c>
      <c r="I3754" t="s">
        <v>13780</v>
      </c>
      <c r="J3754">
        <v>13.3322745482825</v>
      </c>
      <c r="K3754" t="s">
        <v>29</v>
      </c>
      <c r="L3754">
        <v>13.6296854526506</v>
      </c>
      <c r="M3754">
        <v>13.610914104741999</v>
      </c>
      <c r="N3754">
        <v>13.824171486556599</v>
      </c>
      <c r="O3754">
        <v>13.3140087621113</v>
      </c>
      <c r="P3754">
        <v>0.102051450670091</v>
      </c>
      <c r="Q3754">
        <v>-0.52087230871157097</v>
      </c>
      <c r="R3754">
        <v>0.72497521005175303</v>
      </c>
      <c r="S3754">
        <v>13.176789871609699</v>
      </c>
      <c r="T3754">
        <v>0.35162211307774299</v>
      </c>
      <c r="U3754">
        <v>-6.7070815058741298</v>
      </c>
      <c r="V3754">
        <v>0.73039676107568796</v>
      </c>
      <c r="W3754">
        <v>0.99057748145465696</v>
      </c>
      <c r="X3754">
        <v>0</v>
      </c>
      <c r="Y3754">
        <v>0</v>
      </c>
    </row>
    <row r="3755" spans="1:25" x14ac:dyDescent="0.2">
      <c r="A3755" t="s">
        <v>13781</v>
      </c>
      <c r="B3755" t="s">
        <v>13782</v>
      </c>
      <c r="C3755" t="s">
        <v>13783</v>
      </c>
      <c r="D3755" t="s">
        <v>13784</v>
      </c>
      <c r="E3755" t="s">
        <v>13782</v>
      </c>
      <c r="F3755" t="s">
        <v>28</v>
      </c>
      <c r="G3755" t="s">
        <v>13782</v>
      </c>
      <c r="H3755" t="str">
        <f>"Y75B8A.31"</f>
        <v>Y75B8A.31</v>
      </c>
      <c r="I3755" t="s">
        <v>13784</v>
      </c>
      <c r="J3755" t="s">
        <v>29</v>
      </c>
      <c r="K3755" t="s">
        <v>29</v>
      </c>
      <c r="L3755" t="s">
        <v>29</v>
      </c>
      <c r="M3755" t="s">
        <v>29</v>
      </c>
      <c r="N3755" t="s">
        <v>29</v>
      </c>
      <c r="O3755" t="s">
        <v>29</v>
      </c>
      <c r="P3755" t="s">
        <v>29</v>
      </c>
      <c r="Q3755" t="s">
        <v>29</v>
      </c>
      <c r="R3755" t="s">
        <v>29</v>
      </c>
      <c r="S3755">
        <v>11.532907047054101</v>
      </c>
      <c r="T3755" t="s">
        <v>29</v>
      </c>
      <c r="U3755" t="s">
        <v>29</v>
      </c>
      <c r="V3755" t="s">
        <v>29</v>
      </c>
      <c r="W3755" t="s">
        <v>29</v>
      </c>
      <c r="X3755" t="s">
        <v>29</v>
      </c>
      <c r="Y3755" t="s">
        <v>29</v>
      </c>
    </row>
    <row r="3756" spans="1:25" x14ac:dyDescent="0.2">
      <c r="A3756" t="s">
        <v>13785</v>
      </c>
      <c r="B3756" t="s">
        <v>13786</v>
      </c>
      <c r="C3756" t="s">
        <v>13787</v>
      </c>
      <c r="D3756" t="s">
        <v>270</v>
      </c>
      <c r="E3756" t="s">
        <v>13786</v>
      </c>
      <c r="F3756" t="s">
        <v>28</v>
      </c>
      <c r="G3756" t="s">
        <v>13786</v>
      </c>
      <c r="H3756" t="str">
        <f>"grl-15"</f>
        <v>grl-15</v>
      </c>
      <c r="I3756" t="s">
        <v>270</v>
      </c>
      <c r="J3756">
        <v>14.320170129946799</v>
      </c>
      <c r="K3756">
        <v>14.5040959330519</v>
      </c>
      <c r="L3756">
        <v>15.525639357399999</v>
      </c>
      <c r="M3756">
        <v>15.5907423765512</v>
      </c>
      <c r="N3756">
        <v>15.9455132908005</v>
      </c>
      <c r="O3756">
        <v>15.051394771780499</v>
      </c>
      <c r="P3756">
        <v>0.74591500624454299</v>
      </c>
      <c r="Q3756">
        <v>-2.14014763600416E-2</v>
      </c>
      <c r="R3756">
        <v>1.5132314888491301</v>
      </c>
      <c r="S3756">
        <v>14.528152669796301</v>
      </c>
      <c r="T3756">
        <v>2.04318329977623</v>
      </c>
      <c r="U3756">
        <v>-4.9242337590097396</v>
      </c>
      <c r="V3756">
        <v>5.6045292161788302E-2</v>
      </c>
      <c r="W3756">
        <v>0.50684438128921605</v>
      </c>
      <c r="X3756">
        <v>0</v>
      </c>
      <c r="Y3756">
        <v>0</v>
      </c>
    </row>
    <row r="3757" spans="1:25" x14ac:dyDescent="0.2">
      <c r="A3757" t="s">
        <v>13788</v>
      </c>
      <c r="B3757" t="s">
        <v>13789</v>
      </c>
      <c r="C3757" t="s">
        <v>13790</v>
      </c>
      <c r="D3757" t="s">
        <v>13791</v>
      </c>
      <c r="E3757" t="s">
        <v>13789</v>
      </c>
      <c r="F3757" t="s">
        <v>28</v>
      </c>
      <c r="G3757" t="s">
        <v>13789</v>
      </c>
      <c r="H3757" t="str">
        <f>"lonp-2"</f>
        <v>lonp-2</v>
      </c>
      <c r="I3757" t="s">
        <v>13791</v>
      </c>
      <c r="J3757" t="s">
        <v>29</v>
      </c>
      <c r="K3757">
        <v>11.220957330257599</v>
      </c>
      <c r="L3757" t="s">
        <v>29</v>
      </c>
      <c r="M3757" t="s">
        <v>29</v>
      </c>
      <c r="N3757" t="s">
        <v>29</v>
      </c>
      <c r="O3757" t="s">
        <v>29</v>
      </c>
      <c r="P3757" t="s">
        <v>29</v>
      </c>
      <c r="Q3757" t="s">
        <v>29</v>
      </c>
      <c r="R3757" t="s">
        <v>29</v>
      </c>
      <c r="S3757">
        <v>11.0676243038768</v>
      </c>
      <c r="T3757" t="s">
        <v>29</v>
      </c>
      <c r="U3757" t="s">
        <v>29</v>
      </c>
      <c r="V3757" t="s">
        <v>29</v>
      </c>
      <c r="W3757" t="s">
        <v>29</v>
      </c>
      <c r="X3757" t="s">
        <v>29</v>
      </c>
      <c r="Y3757" t="s">
        <v>29</v>
      </c>
    </row>
    <row r="3758" spans="1:25" x14ac:dyDescent="0.2">
      <c r="A3758" t="s">
        <v>13792</v>
      </c>
      <c r="B3758" t="s">
        <v>13793</v>
      </c>
      <c r="C3758" t="s">
        <v>13794</v>
      </c>
      <c r="D3758" t="s">
        <v>13795</v>
      </c>
      <c r="E3758" t="s">
        <v>13793</v>
      </c>
      <c r="F3758" t="s">
        <v>28</v>
      </c>
      <c r="G3758" t="s">
        <v>13793</v>
      </c>
      <c r="H3758" t="str">
        <f>"vha-13"</f>
        <v>vha-13</v>
      </c>
      <c r="I3758" t="s">
        <v>13795</v>
      </c>
      <c r="J3758">
        <v>15.477765994254799</v>
      </c>
      <c r="K3758">
        <v>15.3542527949662</v>
      </c>
      <c r="L3758">
        <v>15.655798905828901</v>
      </c>
      <c r="M3758">
        <v>16.171058882803301</v>
      </c>
      <c r="N3758">
        <v>16.1531233002733</v>
      </c>
      <c r="O3758">
        <v>16.110504886230402</v>
      </c>
      <c r="P3758">
        <v>0.648956458085726</v>
      </c>
      <c r="Q3758">
        <v>0.272054832839635</v>
      </c>
      <c r="R3758">
        <v>1.02585808333182</v>
      </c>
      <c r="S3758">
        <v>16.047482842824301</v>
      </c>
      <c r="T3758">
        <v>3.618928990783</v>
      </c>
      <c r="U3758">
        <v>-1.7649648351318501</v>
      </c>
      <c r="V3758">
        <v>1.97813543922394E-3</v>
      </c>
      <c r="W3758">
        <v>5.3960940506043102E-2</v>
      </c>
      <c r="X3758">
        <v>0</v>
      </c>
      <c r="Y3758">
        <v>0</v>
      </c>
    </row>
    <row r="3759" spans="1:25" x14ac:dyDescent="0.2">
      <c r="A3759" t="s">
        <v>13796</v>
      </c>
      <c r="B3759" t="s">
        <v>13797</v>
      </c>
      <c r="C3759" t="s">
        <v>14761</v>
      </c>
      <c r="D3759" t="s">
        <v>13798</v>
      </c>
      <c r="E3759" t="s">
        <v>13797</v>
      </c>
      <c r="F3759" t="s">
        <v>28</v>
      </c>
      <c r="G3759" t="s">
        <v>13797</v>
      </c>
      <c r="H3759" t="str">
        <f>"Y76A2B.5"</f>
        <v>Y76A2B.5</v>
      </c>
      <c r="I3759" t="s">
        <v>13798</v>
      </c>
      <c r="J3759" t="s">
        <v>29</v>
      </c>
      <c r="K3759" t="s">
        <v>29</v>
      </c>
      <c r="L3759" t="s">
        <v>29</v>
      </c>
      <c r="M3759">
        <v>13.116966285858901</v>
      </c>
      <c r="N3759" t="s">
        <v>29</v>
      </c>
      <c r="O3759" t="s">
        <v>29</v>
      </c>
      <c r="P3759" t="s">
        <v>29</v>
      </c>
      <c r="Q3759" t="s">
        <v>29</v>
      </c>
      <c r="R3759" t="s">
        <v>29</v>
      </c>
      <c r="S3759">
        <v>13.6768352645893</v>
      </c>
      <c r="T3759" t="s">
        <v>29</v>
      </c>
      <c r="U3759" t="s">
        <v>29</v>
      </c>
      <c r="V3759" t="s">
        <v>29</v>
      </c>
      <c r="W3759" t="s">
        <v>29</v>
      </c>
      <c r="X3759" t="s">
        <v>29</v>
      </c>
      <c r="Y3759" t="s">
        <v>29</v>
      </c>
    </row>
    <row r="3760" spans="1:25" x14ac:dyDescent="0.2">
      <c r="A3760" t="s">
        <v>13799</v>
      </c>
      <c r="B3760" t="s">
        <v>13800</v>
      </c>
      <c r="C3760" t="s">
        <v>13801</v>
      </c>
      <c r="D3760" t="s">
        <v>8008</v>
      </c>
      <c r="E3760" t="s">
        <v>13800</v>
      </c>
      <c r="F3760" t="s">
        <v>28</v>
      </c>
      <c r="G3760" t="s">
        <v>13800</v>
      </c>
      <c r="H3760" t="str">
        <f>"acs-5"</f>
        <v>acs-5</v>
      </c>
      <c r="I3760" t="s">
        <v>8008</v>
      </c>
      <c r="J3760">
        <v>15.9434467608778</v>
      </c>
      <c r="K3760">
        <v>15.8931886765528</v>
      </c>
      <c r="L3760">
        <v>15.6673889890212</v>
      </c>
      <c r="M3760">
        <v>15.906599751055101</v>
      </c>
      <c r="N3760">
        <v>15.892473188188401</v>
      </c>
      <c r="O3760">
        <v>15.8127427749225</v>
      </c>
      <c r="P3760">
        <v>3.5930429238073103E-2</v>
      </c>
      <c r="Q3760">
        <v>-0.283397908157481</v>
      </c>
      <c r="R3760">
        <v>0.35525876663362699</v>
      </c>
      <c r="S3760">
        <v>15.548037213054601</v>
      </c>
      <c r="T3760">
        <v>0.23649254710939799</v>
      </c>
      <c r="U3760">
        <v>-6.8533129609093004</v>
      </c>
      <c r="V3760">
        <v>0.81573633537177703</v>
      </c>
      <c r="W3760">
        <v>0.99278624068726296</v>
      </c>
      <c r="X3760">
        <v>0</v>
      </c>
      <c r="Y3760">
        <v>0</v>
      </c>
    </row>
    <row r="3761" spans="1:25" x14ac:dyDescent="0.2">
      <c r="A3761" t="s">
        <v>13802</v>
      </c>
      <c r="B3761" t="s">
        <v>13803</v>
      </c>
      <c r="C3761" t="s">
        <v>13804</v>
      </c>
      <c r="D3761" t="s">
        <v>13805</v>
      </c>
      <c r="E3761" t="s">
        <v>13803</v>
      </c>
      <c r="F3761" t="s">
        <v>28</v>
      </c>
      <c r="G3761" t="s">
        <v>13803</v>
      </c>
      <c r="H3761" t="str">
        <f>"eif-2bbeta"</f>
        <v>eif-2bbeta</v>
      </c>
      <c r="I3761" t="s">
        <v>13805</v>
      </c>
      <c r="J3761">
        <v>14.006185892898101</v>
      </c>
      <c r="K3761">
        <v>13.9649065191093</v>
      </c>
      <c r="L3761">
        <v>13.813654785633</v>
      </c>
      <c r="M3761">
        <v>14.077846902723801</v>
      </c>
      <c r="N3761">
        <v>14.240938867358601</v>
      </c>
      <c r="O3761">
        <v>13.7736487872333</v>
      </c>
      <c r="P3761">
        <v>0.10256245322508301</v>
      </c>
      <c r="Q3761">
        <v>-0.31456943333079801</v>
      </c>
      <c r="R3761">
        <v>0.51969433978096402</v>
      </c>
      <c r="S3761">
        <v>14.008493811671499</v>
      </c>
      <c r="T3761">
        <v>0.51899721079625605</v>
      </c>
      <c r="U3761">
        <v>-6.7424346770319499</v>
      </c>
      <c r="V3761">
        <v>0.61049441530719595</v>
      </c>
      <c r="W3761">
        <v>0.97238011246645495</v>
      </c>
      <c r="X3761">
        <v>0</v>
      </c>
      <c r="Y3761">
        <v>0</v>
      </c>
    </row>
    <row r="3762" spans="1:25" x14ac:dyDescent="0.2">
      <c r="A3762" t="s">
        <v>13806</v>
      </c>
      <c r="B3762" t="s">
        <v>13807</v>
      </c>
      <c r="C3762" t="s">
        <v>13808</v>
      </c>
      <c r="D3762" t="s">
        <v>13809</v>
      </c>
      <c r="E3762" t="s">
        <v>13807</v>
      </c>
      <c r="F3762" t="s">
        <v>28</v>
      </c>
      <c r="G3762" t="s">
        <v>13807</v>
      </c>
      <c r="H3762" t="str">
        <f>"dxbp-1"</f>
        <v>dxbp-1</v>
      </c>
      <c r="I3762" t="s">
        <v>13809</v>
      </c>
      <c r="J3762">
        <v>11.199953050854401</v>
      </c>
      <c r="K3762">
        <v>10.793253097176301</v>
      </c>
      <c r="L3762">
        <v>10.9082348420273</v>
      </c>
      <c r="M3762">
        <v>10.321952509238701</v>
      </c>
      <c r="N3762">
        <v>11.2181073520801</v>
      </c>
      <c r="O3762" t="s">
        <v>29</v>
      </c>
      <c r="P3762">
        <v>-0.19711706602662499</v>
      </c>
      <c r="Q3762">
        <v>-0.90622907924820195</v>
      </c>
      <c r="R3762">
        <v>0.51199494719495298</v>
      </c>
      <c r="S3762">
        <v>11.6738028748219</v>
      </c>
      <c r="T3762">
        <v>-0.59285841587105503</v>
      </c>
      <c r="U3762">
        <v>-6.5892542233453097</v>
      </c>
      <c r="V3762">
        <v>0.56216976089256898</v>
      </c>
      <c r="W3762">
        <v>0.95650569706421396</v>
      </c>
      <c r="X3762">
        <v>0</v>
      </c>
      <c r="Y3762">
        <v>0</v>
      </c>
    </row>
    <row r="3763" spans="1:25" x14ac:dyDescent="0.2">
      <c r="A3763" t="s">
        <v>13810</v>
      </c>
      <c r="B3763" t="s">
        <v>13811</v>
      </c>
      <c r="C3763" t="s">
        <v>13812</v>
      </c>
      <c r="D3763" t="s">
        <v>13813</v>
      </c>
      <c r="E3763" t="s">
        <v>13811</v>
      </c>
      <c r="F3763" t="s">
        <v>28</v>
      </c>
      <c r="G3763" t="s">
        <v>13811</v>
      </c>
      <c r="H3763" t="str">
        <f>"ndua-2"</f>
        <v>ndua-2</v>
      </c>
      <c r="I3763" t="s">
        <v>13813</v>
      </c>
      <c r="J3763">
        <v>13.0701092770882</v>
      </c>
      <c r="K3763">
        <v>12.8945697490039</v>
      </c>
      <c r="L3763">
        <v>13.4746623960961</v>
      </c>
      <c r="M3763">
        <v>13.008689115328099</v>
      </c>
      <c r="N3763">
        <v>13.2162081294925</v>
      </c>
      <c r="O3763">
        <v>12.192831451444601</v>
      </c>
      <c r="P3763">
        <v>-0.34053757530766199</v>
      </c>
      <c r="Q3763">
        <v>-0.919478659537452</v>
      </c>
      <c r="R3763">
        <v>0.238403508922127</v>
      </c>
      <c r="S3763">
        <v>13.500344162804099</v>
      </c>
      <c r="T3763">
        <v>-1.2624743468199899</v>
      </c>
      <c r="U3763">
        <v>-6.08256116213858</v>
      </c>
      <c r="V3763">
        <v>0.227555757522756</v>
      </c>
      <c r="W3763">
        <v>0.80661639672414198</v>
      </c>
      <c r="X3763">
        <v>0</v>
      </c>
      <c r="Y3763">
        <v>0</v>
      </c>
    </row>
    <row r="3764" spans="1:25" x14ac:dyDescent="0.2">
      <c r="A3764" t="s">
        <v>13814</v>
      </c>
      <c r="B3764" t="s">
        <v>13815</v>
      </c>
      <c r="C3764" t="s">
        <v>13816</v>
      </c>
      <c r="D3764" t="s">
        <v>13817</v>
      </c>
      <c r="E3764" t="s">
        <v>13815</v>
      </c>
      <c r="F3764" t="s">
        <v>28</v>
      </c>
      <c r="G3764" t="s">
        <v>13815</v>
      </c>
      <c r="H3764" t="str">
        <f>"bub-3"</f>
        <v>bub-3</v>
      </c>
      <c r="I3764" t="s">
        <v>13817</v>
      </c>
      <c r="J3764">
        <v>13.587966255736401</v>
      </c>
      <c r="K3764">
        <v>13.705102703223799</v>
      </c>
      <c r="L3764">
        <v>13.5244022323277</v>
      </c>
      <c r="M3764">
        <v>12.992088079522301</v>
      </c>
      <c r="N3764">
        <v>13.0583229299483</v>
      </c>
      <c r="O3764">
        <v>14.009303660550399</v>
      </c>
      <c r="P3764">
        <v>-0.25258550708899102</v>
      </c>
      <c r="Q3764">
        <v>-0.92908820270505099</v>
      </c>
      <c r="R3764">
        <v>0.423917188527068</v>
      </c>
      <c r="S3764">
        <v>13.2729017954391</v>
      </c>
      <c r="T3764">
        <v>-0.78811375908284897</v>
      </c>
      <c r="U3764">
        <v>-6.5628389054353597</v>
      </c>
      <c r="V3764">
        <v>0.44154836388041302</v>
      </c>
      <c r="W3764">
        <v>0.92006726233944303</v>
      </c>
      <c r="X3764">
        <v>0</v>
      </c>
      <c r="Y3764">
        <v>0</v>
      </c>
    </row>
    <row r="3765" spans="1:25" x14ac:dyDescent="0.2">
      <c r="A3765" t="s">
        <v>13818</v>
      </c>
      <c r="B3765" t="s">
        <v>13819</v>
      </c>
      <c r="C3765" t="s">
        <v>14762</v>
      </c>
      <c r="D3765" t="s">
        <v>13820</v>
      </c>
      <c r="E3765" t="s">
        <v>13819</v>
      </c>
      <c r="F3765" t="s">
        <v>28</v>
      </c>
      <c r="G3765" t="s">
        <v>13819</v>
      </c>
      <c r="H3765" t="str">
        <f>"Y54E2A.4"</f>
        <v>Y54E2A.4</v>
      </c>
      <c r="I3765" t="s">
        <v>13820</v>
      </c>
      <c r="J3765">
        <v>13.024820421470301</v>
      </c>
      <c r="K3765">
        <v>13.2954301907925</v>
      </c>
      <c r="L3765">
        <v>13.293840261812701</v>
      </c>
      <c r="M3765">
        <v>13.107057787764299</v>
      </c>
      <c r="N3765">
        <v>13.4307737071903</v>
      </c>
      <c r="O3765">
        <v>13.0983479764029</v>
      </c>
      <c r="P3765">
        <v>7.3628657606530402E-3</v>
      </c>
      <c r="Q3765">
        <v>-0.39506739773761601</v>
      </c>
      <c r="R3765">
        <v>0.40979312925892197</v>
      </c>
      <c r="S3765">
        <v>13.4739437589191</v>
      </c>
      <c r="T3765">
        <v>3.84546411210318E-2</v>
      </c>
      <c r="U3765">
        <v>-6.8817169576370398</v>
      </c>
      <c r="V3765">
        <v>0.96975095073085105</v>
      </c>
      <c r="W3765">
        <v>0.99968702248720698</v>
      </c>
      <c r="X3765">
        <v>0</v>
      </c>
      <c r="Y3765">
        <v>0</v>
      </c>
    </row>
    <row r="3766" spans="1:25" x14ac:dyDescent="0.2">
      <c r="A3766" t="s">
        <v>13821</v>
      </c>
      <c r="B3766" t="s">
        <v>13822</v>
      </c>
      <c r="C3766" t="s">
        <v>13823</v>
      </c>
      <c r="D3766" t="s">
        <v>178</v>
      </c>
      <c r="E3766" t="s">
        <v>13822</v>
      </c>
      <c r="F3766" t="s">
        <v>28</v>
      </c>
      <c r="G3766" t="s">
        <v>13822</v>
      </c>
      <c r="H3766" t="str">
        <f>"tbc-20"</f>
        <v>tbc-20</v>
      </c>
      <c r="I3766" t="s">
        <v>178</v>
      </c>
      <c r="J3766">
        <v>11.6539265731101</v>
      </c>
      <c r="K3766">
        <v>11.576197153080299</v>
      </c>
      <c r="L3766">
        <v>12.087396150702601</v>
      </c>
      <c r="M3766" t="s">
        <v>29</v>
      </c>
      <c r="N3766">
        <v>11.2972043573801</v>
      </c>
      <c r="O3766">
        <v>11.5647067989826</v>
      </c>
      <c r="P3766">
        <v>-0.34155104744959702</v>
      </c>
      <c r="Q3766">
        <v>-1.29315465689179</v>
      </c>
      <c r="R3766">
        <v>0.61005256199259605</v>
      </c>
      <c r="S3766">
        <v>11.864937036010399</v>
      </c>
      <c r="T3766">
        <v>-0.77035593654064305</v>
      </c>
      <c r="U3766">
        <v>-6.4648182151640601</v>
      </c>
      <c r="V3766">
        <v>0.453988158145604</v>
      </c>
      <c r="W3766">
        <v>0.92582104169957002</v>
      </c>
      <c r="X3766">
        <v>0</v>
      </c>
      <c r="Y3766">
        <v>0</v>
      </c>
    </row>
    <row r="3767" spans="1:25" x14ac:dyDescent="0.2">
      <c r="A3767" t="s">
        <v>13824</v>
      </c>
      <c r="B3767" t="s">
        <v>13825</v>
      </c>
      <c r="C3767" t="s">
        <v>13826</v>
      </c>
      <c r="D3767" t="s">
        <v>13827</v>
      </c>
      <c r="E3767" t="s">
        <v>13825</v>
      </c>
      <c r="F3767" t="s">
        <v>28</v>
      </c>
      <c r="G3767" t="s">
        <v>13825</v>
      </c>
      <c r="H3767" t="str">
        <f>"eif-3.B"</f>
        <v>eif-3.B</v>
      </c>
      <c r="I3767" t="s">
        <v>13827</v>
      </c>
      <c r="J3767">
        <v>15.9313654330929</v>
      </c>
      <c r="K3767">
        <v>15.7129358155362</v>
      </c>
      <c r="L3767">
        <v>15.8782872704454</v>
      </c>
      <c r="M3767">
        <v>15.790440112544299</v>
      </c>
      <c r="N3767">
        <v>15.8434792154234</v>
      </c>
      <c r="O3767">
        <v>15.537204057319901</v>
      </c>
      <c r="P3767">
        <v>-0.11715504459565899</v>
      </c>
      <c r="Q3767">
        <v>-0.52162637137642298</v>
      </c>
      <c r="R3767">
        <v>0.28731628218510502</v>
      </c>
      <c r="S3767">
        <v>15.686472399761101</v>
      </c>
      <c r="T3767">
        <v>-0.608787556832459</v>
      </c>
      <c r="U3767">
        <v>-6.6908385688048204</v>
      </c>
      <c r="V3767">
        <v>0.55031599524842501</v>
      </c>
      <c r="W3767">
        <v>0.95372533928426795</v>
      </c>
      <c r="X3767">
        <v>0</v>
      </c>
      <c r="Y3767">
        <v>0</v>
      </c>
    </row>
    <row r="3768" spans="1:25" x14ac:dyDescent="0.2">
      <c r="A3768" t="s">
        <v>13828</v>
      </c>
      <c r="B3768" t="s">
        <v>13829</v>
      </c>
      <c r="C3768" t="s">
        <v>14763</v>
      </c>
      <c r="D3768" t="s">
        <v>368</v>
      </c>
      <c r="E3768" t="s">
        <v>13829</v>
      </c>
      <c r="F3768" t="s">
        <v>28</v>
      </c>
      <c r="G3768" t="s">
        <v>13829</v>
      </c>
      <c r="H3768" t="str">
        <f>"Y54E2A.7"</f>
        <v>Y54E2A.7</v>
      </c>
      <c r="I3768" t="s">
        <v>368</v>
      </c>
      <c r="J3768">
        <v>13.5160694103709</v>
      </c>
      <c r="K3768">
        <v>11.802297285414401</v>
      </c>
      <c r="L3768">
        <v>13.1409876132213</v>
      </c>
      <c r="M3768">
        <v>12.7620168131926</v>
      </c>
      <c r="N3768">
        <v>13.3460731356124</v>
      </c>
      <c r="O3768">
        <v>13.5641370996105</v>
      </c>
      <c r="P3768">
        <v>0.40429091313628401</v>
      </c>
      <c r="Q3768">
        <v>-0.61812794937705895</v>
      </c>
      <c r="R3768">
        <v>1.4267097756496301</v>
      </c>
      <c r="S3768">
        <v>12.604022076045601</v>
      </c>
      <c r="T3768">
        <v>0.87135037088393696</v>
      </c>
      <c r="U3768">
        <v>-6.4860952277720001</v>
      </c>
      <c r="V3768">
        <v>0.402355496708794</v>
      </c>
      <c r="W3768">
        <v>0.91027279600179201</v>
      </c>
      <c r="X3768">
        <v>0</v>
      </c>
      <c r="Y3768">
        <v>0</v>
      </c>
    </row>
    <row r="3769" spans="1:25" x14ac:dyDescent="0.2">
      <c r="A3769" t="s">
        <v>13830</v>
      </c>
      <c r="B3769" t="s">
        <v>13831</v>
      </c>
      <c r="C3769" t="s">
        <v>13832</v>
      </c>
      <c r="D3769" t="s">
        <v>13833</v>
      </c>
      <c r="E3769" t="s">
        <v>13831</v>
      </c>
      <c r="F3769" t="s">
        <v>28</v>
      </c>
      <c r="G3769" t="s">
        <v>13831</v>
      </c>
      <c r="H3769" t="str">
        <f>"smg-9"</f>
        <v>smg-9</v>
      </c>
      <c r="I3769" t="s">
        <v>13833</v>
      </c>
      <c r="J3769">
        <v>14.3636001714786</v>
      </c>
      <c r="K3769">
        <v>14.2111746760004</v>
      </c>
      <c r="L3769">
        <v>12.852237543828</v>
      </c>
      <c r="M3769">
        <v>13.2788444888958</v>
      </c>
      <c r="N3769" t="s">
        <v>29</v>
      </c>
      <c r="O3769">
        <v>13.685805862252</v>
      </c>
      <c r="P3769">
        <v>-0.326678954861782</v>
      </c>
      <c r="Q3769">
        <v>-1.22450268434326</v>
      </c>
      <c r="R3769">
        <v>0.57114477461969404</v>
      </c>
      <c r="S3769">
        <v>13.6247798784356</v>
      </c>
      <c r="T3769">
        <v>-0.78094773682551499</v>
      </c>
      <c r="U3769">
        <v>-6.4564900526982303</v>
      </c>
      <c r="V3769">
        <v>0.447934700431804</v>
      </c>
      <c r="W3769">
        <v>0.92249172671965796</v>
      </c>
      <c r="X3769">
        <v>0</v>
      </c>
      <c r="Y3769">
        <v>0</v>
      </c>
    </row>
    <row r="3770" spans="1:25" x14ac:dyDescent="0.2">
      <c r="A3770" t="s">
        <v>13834</v>
      </c>
      <c r="B3770" t="s">
        <v>13835</v>
      </c>
      <c r="C3770" t="s">
        <v>13836</v>
      </c>
      <c r="D3770" t="s">
        <v>953</v>
      </c>
      <c r="E3770" t="s">
        <v>13835</v>
      </c>
      <c r="F3770" t="s">
        <v>28</v>
      </c>
      <c r="G3770" t="s">
        <v>13835</v>
      </c>
      <c r="H3770" t="str">
        <f>"dus-2"</f>
        <v>dus-2</v>
      </c>
      <c r="I3770" t="s">
        <v>953</v>
      </c>
      <c r="J3770" t="s">
        <v>29</v>
      </c>
      <c r="K3770" t="s">
        <v>29</v>
      </c>
      <c r="L3770" t="s">
        <v>29</v>
      </c>
      <c r="M3770">
        <v>11.615890668216</v>
      </c>
      <c r="N3770">
        <v>10.7255249369579</v>
      </c>
      <c r="O3770" t="s">
        <v>29</v>
      </c>
      <c r="P3770" t="s">
        <v>29</v>
      </c>
      <c r="Q3770" t="s">
        <v>29</v>
      </c>
      <c r="R3770" t="s">
        <v>29</v>
      </c>
      <c r="S3770">
        <v>12.0361545473076</v>
      </c>
      <c r="T3770" t="s">
        <v>29</v>
      </c>
      <c r="U3770" t="s">
        <v>29</v>
      </c>
      <c r="V3770" t="s">
        <v>29</v>
      </c>
      <c r="W3770" t="s">
        <v>29</v>
      </c>
      <c r="X3770" t="s">
        <v>29</v>
      </c>
      <c r="Y3770" t="s">
        <v>29</v>
      </c>
    </row>
    <row r="3771" spans="1:25" x14ac:dyDescent="0.2">
      <c r="A3771" t="s">
        <v>13837</v>
      </c>
      <c r="B3771" t="s">
        <v>13838</v>
      </c>
      <c r="C3771" t="s">
        <v>14764</v>
      </c>
      <c r="D3771" t="s">
        <v>13839</v>
      </c>
      <c r="E3771" t="s">
        <v>13838</v>
      </c>
      <c r="F3771" t="s">
        <v>28</v>
      </c>
      <c r="G3771" t="s">
        <v>13838</v>
      </c>
      <c r="H3771" t="str">
        <f>"Y54E5A.5"</f>
        <v>Y54E5A.5</v>
      </c>
      <c r="I3771" t="s">
        <v>13839</v>
      </c>
      <c r="J3771">
        <v>11.419921763470899</v>
      </c>
      <c r="K3771">
        <v>10.6068612421028</v>
      </c>
      <c r="L3771">
        <v>11.7415083493027</v>
      </c>
      <c r="M3771">
        <v>11.016304219463199</v>
      </c>
      <c r="N3771">
        <v>11.9854989840056</v>
      </c>
      <c r="O3771">
        <v>11.3072222079696</v>
      </c>
      <c r="P3771">
        <v>0.180244685520661</v>
      </c>
      <c r="Q3771">
        <v>-0.48608173919535003</v>
      </c>
      <c r="R3771">
        <v>0.84657111023667098</v>
      </c>
      <c r="S3771">
        <v>12.1041221524614</v>
      </c>
      <c r="T3771">
        <v>0.57692191680126903</v>
      </c>
      <c r="U3771">
        <v>-6.70868304849437</v>
      </c>
      <c r="V3771">
        <v>0.57260903737118996</v>
      </c>
      <c r="W3771">
        <v>0.96052030798546795</v>
      </c>
      <c r="X3771">
        <v>0</v>
      </c>
      <c r="Y3771">
        <v>0</v>
      </c>
    </row>
    <row r="3772" spans="1:25" x14ac:dyDescent="0.2">
      <c r="A3772" t="s">
        <v>13840</v>
      </c>
      <c r="B3772" t="s">
        <v>13841</v>
      </c>
      <c r="C3772" t="s">
        <v>13842</v>
      </c>
      <c r="D3772" t="s">
        <v>689</v>
      </c>
      <c r="E3772" t="s">
        <v>13841</v>
      </c>
      <c r="F3772" t="s">
        <v>28</v>
      </c>
      <c r="G3772" t="s">
        <v>13841</v>
      </c>
      <c r="H3772" t="str">
        <f>"gid-1"</f>
        <v>gid-1</v>
      </c>
      <c r="I3772" t="s">
        <v>689</v>
      </c>
      <c r="J3772" t="s">
        <v>29</v>
      </c>
      <c r="K3772" t="s">
        <v>29</v>
      </c>
      <c r="L3772" t="s">
        <v>29</v>
      </c>
      <c r="M3772" t="s">
        <v>29</v>
      </c>
      <c r="N3772">
        <v>11.9627681210277</v>
      </c>
      <c r="O3772" t="s">
        <v>29</v>
      </c>
      <c r="P3772" t="s">
        <v>29</v>
      </c>
      <c r="Q3772" t="s">
        <v>29</v>
      </c>
      <c r="R3772" t="s">
        <v>29</v>
      </c>
      <c r="S3772">
        <v>11.207380069359401</v>
      </c>
      <c r="T3772" t="s">
        <v>29</v>
      </c>
      <c r="U3772" t="s">
        <v>29</v>
      </c>
      <c r="V3772" t="s">
        <v>29</v>
      </c>
      <c r="W3772" t="s">
        <v>29</v>
      </c>
      <c r="X3772" t="s">
        <v>29</v>
      </c>
      <c r="Y3772" t="s">
        <v>29</v>
      </c>
    </row>
    <row r="3773" spans="1:25" x14ac:dyDescent="0.2">
      <c r="A3773" t="s">
        <v>13843</v>
      </c>
      <c r="B3773" t="s">
        <v>13844</v>
      </c>
      <c r="C3773" t="s">
        <v>14765</v>
      </c>
      <c r="D3773" t="s">
        <v>13845</v>
      </c>
      <c r="E3773" t="s">
        <v>13844</v>
      </c>
      <c r="F3773" t="s">
        <v>28</v>
      </c>
      <c r="G3773" t="s">
        <v>13844</v>
      </c>
      <c r="H3773" t="str">
        <f>"Y48A6C.4"</f>
        <v>Y48A6C.4</v>
      </c>
      <c r="I3773" t="s">
        <v>13845</v>
      </c>
      <c r="J3773">
        <v>12.739308557832</v>
      </c>
      <c r="K3773" t="s">
        <v>29</v>
      </c>
      <c r="L3773">
        <v>12.948661011279199</v>
      </c>
      <c r="M3773">
        <v>12.4110420106643</v>
      </c>
      <c r="N3773" t="s">
        <v>29</v>
      </c>
      <c r="O3773">
        <v>12.7850451935376</v>
      </c>
      <c r="P3773">
        <v>-0.24594118245461</v>
      </c>
      <c r="Q3773">
        <v>-0.85910741494956</v>
      </c>
      <c r="R3773">
        <v>0.36722505004034001</v>
      </c>
      <c r="S3773">
        <v>12.904275199924401</v>
      </c>
      <c r="T3773">
        <v>-0.86088456160164095</v>
      </c>
      <c r="U3773">
        <v>-6.3014378416807197</v>
      </c>
      <c r="V3773">
        <v>0.40391252227368801</v>
      </c>
      <c r="W3773">
        <v>0.91027279600179201</v>
      </c>
      <c r="X3773">
        <v>0</v>
      </c>
      <c r="Y3773">
        <v>0</v>
      </c>
    </row>
    <row r="3774" spans="1:25" x14ac:dyDescent="0.2">
      <c r="A3774" t="s">
        <v>13846</v>
      </c>
      <c r="B3774" t="s">
        <v>13847</v>
      </c>
      <c r="C3774" t="s">
        <v>13848</v>
      </c>
      <c r="D3774" t="s">
        <v>130</v>
      </c>
      <c r="E3774" t="s">
        <v>13847</v>
      </c>
      <c r="F3774" t="s">
        <v>28</v>
      </c>
      <c r="G3774" t="s">
        <v>13847</v>
      </c>
      <c r="H3774" t="str">
        <f>"sup-35"</f>
        <v>sup-35</v>
      </c>
      <c r="I3774" t="s">
        <v>130</v>
      </c>
      <c r="J3774">
        <v>10.5316201057394</v>
      </c>
      <c r="K3774">
        <v>11.902569346431701</v>
      </c>
      <c r="L3774">
        <v>12.6154974037903</v>
      </c>
      <c r="M3774">
        <v>12.7461699839294</v>
      </c>
      <c r="N3774">
        <v>12.421726709066199</v>
      </c>
      <c r="O3774" t="s">
        <v>29</v>
      </c>
      <c r="P3774">
        <v>0.90071939451067495</v>
      </c>
      <c r="Q3774">
        <v>-0.20518598306598501</v>
      </c>
      <c r="R3774">
        <v>2.0066247720873398</v>
      </c>
      <c r="S3774">
        <v>13.5468355650469</v>
      </c>
      <c r="T3774">
        <v>1.7609977000048</v>
      </c>
      <c r="U3774">
        <v>-5.2964177059350401</v>
      </c>
      <c r="V3774">
        <v>0.10191659296756</v>
      </c>
      <c r="W3774">
        <v>0.65605110521477406</v>
      </c>
      <c r="X3774">
        <v>0</v>
      </c>
      <c r="Y3774">
        <v>0</v>
      </c>
    </row>
    <row r="3775" spans="1:25" x14ac:dyDescent="0.2">
      <c r="A3775" t="s">
        <v>13849</v>
      </c>
      <c r="B3775" t="s">
        <v>13850</v>
      </c>
      <c r="C3775" t="s">
        <v>14766</v>
      </c>
      <c r="D3775" t="s">
        <v>130</v>
      </c>
      <c r="E3775" t="s">
        <v>13850</v>
      </c>
      <c r="F3775" t="s">
        <v>28</v>
      </c>
      <c r="G3775" t="s">
        <v>13850</v>
      </c>
      <c r="H3775" t="str">
        <f>"Y5F2A.4"</f>
        <v>Y5F2A.4</v>
      </c>
      <c r="I3775" t="s">
        <v>130</v>
      </c>
      <c r="J3775" t="s">
        <v>29</v>
      </c>
      <c r="K3775" t="s">
        <v>29</v>
      </c>
      <c r="L3775">
        <v>10.211325425222601</v>
      </c>
      <c r="M3775" t="s">
        <v>29</v>
      </c>
      <c r="N3775">
        <v>9.8935634449964205</v>
      </c>
      <c r="O3775" t="s">
        <v>29</v>
      </c>
      <c r="P3775">
        <v>-0.317761980226202</v>
      </c>
      <c r="Q3775">
        <v>-1.50494820373412</v>
      </c>
      <c r="R3775">
        <v>0.86942424328171897</v>
      </c>
      <c r="S3775">
        <v>11.137058345496101</v>
      </c>
      <c r="T3775">
        <v>-0.59724149707232099</v>
      </c>
      <c r="U3775">
        <v>-6.1564187441671301</v>
      </c>
      <c r="V3775">
        <v>0.56376200867283199</v>
      </c>
      <c r="W3775">
        <v>0.95650569706421396</v>
      </c>
      <c r="X3775">
        <v>0</v>
      </c>
      <c r="Y3775">
        <v>0</v>
      </c>
    </row>
    <row r="3776" spans="1:25" x14ac:dyDescent="0.2">
      <c r="A3776" t="s">
        <v>13851</v>
      </c>
      <c r="B3776" t="s">
        <v>13852</v>
      </c>
      <c r="C3776" t="s">
        <v>14767</v>
      </c>
      <c r="D3776" t="s">
        <v>13853</v>
      </c>
      <c r="E3776" t="s">
        <v>13852</v>
      </c>
      <c r="F3776" t="s">
        <v>28</v>
      </c>
      <c r="G3776" t="s">
        <v>13852</v>
      </c>
      <c r="H3776" t="str">
        <f>"Y38F1A.1"</f>
        <v>Y38F1A.1</v>
      </c>
      <c r="I3776" t="s">
        <v>13853</v>
      </c>
      <c r="J3776">
        <v>14.2268407890439</v>
      </c>
      <c r="K3776">
        <v>12.006841654271399</v>
      </c>
      <c r="L3776">
        <v>11.127544124781201</v>
      </c>
      <c r="M3776">
        <v>12.6732042918446</v>
      </c>
      <c r="N3776">
        <v>11.640057010144901</v>
      </c>
      <c r="O3776">
        <v>12.554203697805001</v>
      </c>
      <c r="P3776">
        <v>-0.16458718943402301</v>
      </c>
      <c r="Q3776">
        <v>-2.0333894863770601</v>
      </c>
      <c r="R3776">
        <v>1.7042151075090199</v>
      </c>
      <c r="S3776">
        <v>12.3627378479007</v>
      </c>
      <c r="T3776">
        <v>-0.19207802536869001</v>
      </c>
      <c r="U3776">
        <v>-6.8627288831929896</v>
      </c>
      <c r="V3776">
        <v>0.85092109671966398</v>
      </c>
      <c r="W3776">
        <v>0.99370971747667503</v>
      </c>
      <c r="X3776">
        <v>0</v>
      </c>
      <c r="Y3776">
        <v>0</v>
      </c>
    </row>
    <row r="3777" spans="1:25" x14ac:dyDescent="0.2">
      <c r="A3777" t="s">
        <v>13854</v>
      </c>
      <c r="B3777" t="s">
        <v>13855</v>
      </c>
      <c r="C3777" t="s">
        <v>13856</v>
      </c>
      <c r="D3777" t="s">
        <v>13857</v>
      </c>
      <c r="E3777" t="s">
        <v>13855</v>
      </c>
      <c r="F3777" t="s">
        <v>28</v>
      </c>
      <c r="G3777" t="s">
        <v>13855</v>
      </c>
      <c r="H3777" t="str">
        <f>"nlp-26"</f>
        <v>nlp-26</v>
      </c>
      <c r="I3777" t="s">
        <v>13857</v>
      </c>
      <c r="J3777">
        <v>11.858911155689601</v>
      </c>
      <c r="K3777">
        <v>13.0380382876096</v>
      </c>
      <c r="L3777">
        <v>12.944622874152</v>
      </c>
      <c r="M3777">
        <v>13.231646359074</v>
      </c>
      <c r="N3777">
        <v>13.504816972051801</v>
      </c>
      <c r="O3777">
        <v>13.915041729435901</v>
      </c>
      <c r="P3777">
        <v>0.93664424770350296</v>
      </c>
      <c r="Q3777">
        <v>0.209986950950631</v>
      </c>
      <c r="R3777">
        <v>1.6633015444563799</v>
      </c>
      <c r="S3777">
        <v>13.116402588147601</v>
      </c>
      <c r="T3777">
        <v>2.7490753092631199</v>
      </c>
      <c r="U3777">
        <v>-3.6625132508458398</v>
      </c>
      <c r="V3777">
        <v>1.4988203058429701E-2</v>
      </c>
      <c r="W3777">
        <v>0.236988506661205</v>
      </c>
      <c r="X3777">
        <v>0</v>
      </c>
      <c r="Y3777">
        <v>0</v>
      </c>
    </row>
    <row r="3778" spans="1:25" x14ac:dyDescent="0.2">
      <c r="A3778" t="s">
        <v>13858</v>
      </c>
      <c r="B3778" t="s">
        <v>13859</v>
      </c>
      <c r="C3778" t="s">
        <v>13860</v>
      </c>
      <c r="D3778" t="s">
        <v>13861</v>
      </c>
      <c r="E3778" t="s">
        <v>13859</v>
      </c>
      <c r="F3778" t="s">
        <v>28</v>
      </c>
      <c r="G3778" t="s">
        <v>13859</v>
      </c>
      <c r="H3778" t="str">
        <f>"ani-3"</f>
        <v>ani-3</v>
      </c>
      <c r="I3778" t="s">
        <v>13861</v>
      </c>
      <c r="J3778" t="s">
        <v>29</v>
      </c>
      <c r="K3778" t="s">
        <v>29</v>
      </c>
      <c r="L3778" t="s">
        <v>29</v>
      </c>
      <c r="M3778" t="s">
        <v>29</v>
      </c>
      <c r="N3778" t="s">
        <v>29</v>
      </c>
      <c r="O3778" t="s">
        <v>29</v>
      </c>
      <c r="P3778" t="s">
        <v>29</v>
      </c>
      <c r="Q3778" t="s">
        <v>29</v>
      </c>
      <c r="R3778" t="s">
        <v>29</v>
      </c>
      <c r="S3778">
        <v>11.607224080393401</v>
      </c>
      <c r="T3778" t="s">
        <v>29</v>
      </c>
      <c r="U3778" t="s">
        <v>29</v>
      </c>
      <c r="V3778" t="s">
        <v>29</v>
      </c>
      <c r="W3778" t="s">
        <v>29</v>
      </c>
      <c r="X3778" t="s">
        <v>29</v>
      </c>
      <c r="Y3778" t="s">
        <v>29</v>
      </c>
    </row>
    <row r="3779" spans="1:25" x14ac:dyDescent="0.2">
      <c r="A3779" t="s">
        <v>13862</v>
      </c>
      <c r="B3779" t="s">
        <v>13863</v>
      </c>
      <c r="C3779" t="s">
        <v>13864</v>
      </c>
      <c r="D3779" t="s">
        <v>4334</v>
      </c>
      <c r="E3779" t="s">
        <v>13863</v>
      </c>
      <c r="F3779" t="s">
        <v>28</v>
      </c>
      <c r="G3779" t="s">
        <v>13863</v>
      </c>
      <c r="H3779" t="str">
        <f>"mrps-28"</f>
        <v>mrps-28</v>
      </c>
      <c r="I3779" t="s">
        <v>4334</v>
      </c>
      <c r="J3779">
        <v>12.912629671047901</v>
      </c>
      <c r="K3779">
        <v>13.053620044723299</v>
      </c>
      <c r="L3779">
        <v>13.4418651056481</v>
      </c>
      <c r="M3779">
        <v>12.5207502484012</v>
      </c>
      <c r="N3779">
        <v>13.2934157478582</v>
      </c>
      <c r="O3779">
        <v>11.4215575540651</v>
      </c>
      <c r="P3779">
        <v>-0.72413042369824299</v>
      </c>
      <c r="Q3779">
        <v>-1.5532041297984001</v>
      </c>
      <c r="R3779">
        <v>0.104943282401909</v>
      </c>
      <c r="S3779">
        <v>12.921895396457201</v>
      </c>
      <c r="T3779">
        <v>-1.86279583572698</v>
      </c>
      <c r="U3779">
        <v>-5.2371756361411004</v>
      </c>
      <c r="V3779">
        <v>8.2331762518417104E-2</v>
      </c>
      <c r="W3779">
        <v>0.60425905304272798</v>
      </c>
      <c r="X3779">
        <v>0</v>
      </c>
      <c r="Y3779">
        <v>0</v>
      </c>
    </row>
    <row r="3780" spans="1:25" x14ac:dyDescent="0.2">
      <c r="A3780" t="s">
        <v>13865</v>
      </c>
      <c r="B3780" t="s">
        <v>13866</v>
      </c>
      <c r="C3780" t="s">
        <v>13867</v>
      </c>
      <c r="D3780" t="s">
        <v>13868</v>
      </c>
      <c r="E3780" t="s">
        <v>13866</v>
      </c>
      <c r="F3780" t="s">
        <v>28</v>
      </c>
      <c r="G3780" t="s">
        <v>13866</v>
      </c>
      <c r="H3780" t="str">
        <f>"spr-5"</f>
        <v>spr-5</v>
      </c>
      <c r="I3780" t="s">
        <v>13868</v>
      </c>
      <c r="J3780">
        <v>12.6505443376623</v>
      </c>
      <c r="K3780">
        <v>12.8773020598112</v>
      </c>
      <c r="L3780">
        <v>12.4602239094224</v>
      </c>
      <c r="M3780">
        <v>11.9119434834143</v>
      </c>
      <c r="N3780">
        <v>12.3108398800705</v>
      </c>
      <c r="O3780">
        <v>12.517456073399799</v>
      </c>
      <c r="P3780">
        <v>-0.41594362333708501</v>
      </c>
      <c r="Q3780">
        <v>-0.83525539338777</v>
      </c>
      <c r="R3780">
        <v>3.3681467135994701E-3</v>
      </c>
      <c r="S3780">
        <v>12.767958613045399</v>
      </c>
      <c r="T3780">
        <v>-2.1040058709066698</v>
      </c>
      <c r="U3780">
        <v>-4.83122814705027</v>
      </c>
      <c r="V3780">
        <v>5.1654560325772599E-2</v>
      </c>
      <c r="W3780">
        <v>0.491491856479917</v>
      </c>
      <c r="X3780">
        <v>0</v>
      </c>
      <c r="Y3780">
        <v>0</v>
      </c>
    </row>
    <row r="3781" spans="1:25" x14ac:dyDescent="0.2">
      <c r="A3781" t="s">
        <v>13869</v>
      </c>
      <c r="B3781" t="s">
        <v>13870</v>
      </c>
      <c r="C3781" t="s">
        <v>13871</v>
      </c>
      <c r="D3781" t="s">
        <v>13872</v>
      </c>
      <c r="E3781" t="s">
        <v>13870</v>
      </c>
      <c r="F3781" t="s">
        <v>28</v>
      </c>
      <c r="G3781" t="s">
        <v>13870</v>
      </c>
      <c r="H3781" t="str">
        <f>"eif-3.j"</f>
        <v>eif-3.j</v>
      </c>
      <c r="I3781" t="s">
        <v>13872</v>
      </c>
      <c r="J3781" t="s">
        <v>29</v>
      </c>
      <c r="K3781" t="s">
        <v>29</v>
      </c>
      <c r="L3781">
        <v>12.9093909402731</v>
      </c>
      <c r="M3781">
        <v>14.1623739936365</v>
      </c>
      <c r="N3781">
        <v>14.1370536602854</v>
      </c>
      <c r="O3781">
        <v>13.8389442202889</v>
      </c>
      <c r="P3781">
        <v>1.1367330177971899</v>
      </c>
      <c r="Q3781">
        <v>-0.42477503910922698</v>
      </c>
      <c r="R3781">
        <v>2.6982410747036099</v>
      </c>
      <c r="S3781">
        <v>13.884050055004201</v>
      </c>
      <c r="T3781">
        <v>1.58766641480462</v>
      </c>
      <c r="U3781">
        <v>-5.3296657200680597</v>
      </c>
      <c r="V3781">
        <v>0.138572744413406</v>
      </c>
      <c r="W3781">
        <v>0.72716651652323006</v>
      </c>
      <c r="X3781">
        <v>0</v>
      </c>
      <c r="Y3781">
        <v>0</v>
      </c>
    </row>
    <row r="3782" spans="1:25" x14ac:dyDescent="0.2">
      <c r="A3782" t="s">
        <v>13873</v>
      </c>
      <c r="B3782" t="s">
        <v>13874</v>
      </c>
      <c r="C3782" t="s">
        <v>14768</v>
      </c>
      <c r="D3782" t="s">
        <v>2611</v>
      </c>
      <c r="E3782" t="s">
        <v>13874</v>
      </c>
      <c r="F3782" t="s">
        <v>28</v>
      </c>
      <c r="G3782" t="s">
        <v>13874</v>
      </c>
      <c r="H3782" t="str">
        <f>"Y11D7A.3"</f>
        <v>Y11D7A.3</v>
      </c>
      <c r="I3782" t="s">
        <v>2611</v>
      </c>
      <c r="J3782" t="s">
        <v>29</v>
      </c>
      <c r="K3782" t="s">
        <v>29</v>
      </c>
      <c r="L3782" t="s">
        <v>29</v>
      </c>
      <c r="M3782" t="s">
        <v>29</v>
      </c>
      <c r="N3782" t="s">
        <v>29</v>
      </c>
      <c r="O3782" t="s">
        <v>29</v>
      </c>
      <c r="P3782" t="s">
        <v>29</v>
      </c>
      <c r="Q3782" t="s">
        <v>29</v>
      </c>
      <c r="R3782" t="s">
        <v>29</v>
      </c>
      <c r="S3782">
        <v>12.5440718298366</v>
      </c>
      <c r="T3782" t="s">
        <v>29</v>
      </c>
      <c r="U3782" t="s">
        <v>29</v>
      </c>
      <c r="V3782" t="s">
        <v>29</v>
      </c>
      <c r="W3782" t="s">
        <v>29</v>
      </c>
      <c r="X3782" t="s">
        <v>29</v>
      </c>
      <c r="Y3782" t="s">
        <v>29</v>
      </c>
    </row>
    <row r="3783" spans="1:25" x14ac:dyDescent="0.2">
      <c r="A3783" t="s">
        <v>13875</v>
      </c>
      <c r="B3783" t="s">
        <v>13876</v>
      </c>
      <c r="C3783" t="s">
        <v>13877</v>
      </c>
      <c r="D3783" t="s">
        <v>13878</v>
      </c>
      <c r="E3783" t="s">
        <v>13876</v>
      </c>
      <c r="F3783" t="s">
        <v>28</v>
      </c>
      <c r="G3783" t="s">
        <v>13876</v>
      </c>
      <c r="H3783" t="str">
        <f>"sec-8"</f>
        <v>sec-8</v>
      </c>
      <c r="I3783" t="s">
        <v>13878</v>
      </c>
      <c r="J3783">
        <v>13.367431040219399</v>
      </c>
      <c r="K3783">
        <v>12.4680722631626</v>
      </c>
      <c r="L3783">
        <v>12.879313860893699</v>
      </c>
      <c r="M3783">
        <v>13.339759997904</v>
      </c>
      <c r="N3783">
        <v>13.235969951777401</v>
      </c>
      <c r="O3783">
        <v>12.951730992685301</v>
      </c>
      <c r="P3783">
        <v>0.27088125936368901</v>
      </c>
      <c r="Q3783">
        <v>-0.16359887600453299</v>
      </c>
      <c r="R3783">
        <v>0.70536139473191095</v>
      </c>
      <c r="S3783">
        <v>13.051203502019099</v>
      </c>
      <c r="T3783">
        <v>1.3160095713553399</v>
      </c>
      <c r="U3783">
        <v>-6.0187709459001901</v>
      </c>
      <c r="V3783">
        <v>0.205748112522706</v>
      </c>
      <c r="W3783">
        <v>0.79075284576134597</v>
      </c>
      <c r="X3783">
        <v>0</v>
      </c>
      <c r="Y3783">
        <v>0</v>
      </c>
    </row>
    <row r="3784" spans="1:25" x14ac:dyDescent="0.2">
      <c r="A3784" t="s">
        <v>13879</v>
      </c>
      <c r="B3784" t="s">
        <v>13880</v>
      </c>
      <c r="C3784" t="s">
        <v>13881</v>
      </c>
      <c r="D3784" t="s">
        <v>13882</v>
      </c>
      <c r="E3784" t="s">
        <v>13880</v>
      </c>
      <c r="F3784" t="s">
        <v>28</v>
      </c>
      <c r="G3784" t="s">
        <v>13880</v>
      </c>
      <c r="H3784" t="str">
        <f>"rpl-30"</f>
        <v>rpl-30</v>
      </c>
      <c r="I3784" t="s">
        <v>13882</v>
      </c>
      <c r="J3784">
        <v>17.799642523922302</v>
      </c>
      <c r="K3784">
        <v>17.476068818290301</v>
      </c>
      <c r="L3784">
        <v>17.870106889279899</v>
      </c>
      <c r="M3784">
        <v>17.548016377111601</v>
      </c>
      <c r="N3784">
        <v>17.632274399012399</v>
      </c>
      <c r="O3784">
        <v>17.374535447549899</v>
      </c>
      <c r="P3784">
        <v>-0.196997335939532</v>
      </c>
      <c r="Q3784">
        <v>-0.62617066491893103</v>
      </c>
      <c r="R3784">
        <v>0.232175993039867</v>
      </c>
      <c r="S3784">
        <v>17.332335314340501</v>
      </c>
      <c r="T3784">
        <v>-0.96476189386678302</v>
      </c>
      <c r="U3784">
        <v>-6.4085176185517803</v>
      </c>
      <c r="V3784">
        <v>0.34752171108791902</v>
      </c>
      <c r="W3784">
        <v>0.87926117922885105</v>
      </c>
      <c r="X3784">
        <v>0</v>
      </c>
      <c r="Y3784">
        <v>0</v>
      </c>
    </row>
    <row r="3785" spans="1:25" x14ac:dyDescent="0.2">
      <c r="A3785" t="s">
        <v>13883</v>
      </c>
      <c r="B3785" t="s">
        <v>13884</v>
      </c>
      <c r="C3785" t="s">
        <v>14769</v>
      </c>
      <c r="D3785" t="s">
        <v>13885</v>
      </c>
      <c r="E3785" t="s">
        <v>13884</v>
      </c>
      <c r="F3785" t="s">
        <v>28</v>
      </c>
      <c r="G3785" t="s">
        <v>13884</v>
      </c>
      <c r="H3785" t="str">
        <f>"Y62H9A.5"</f>
        <v>Y62H9A.5</v>
      </c>
      <c r="I3785" t="s">
        <v>13885</v>
      </c>
      <c r="J3785">
        <v>15.162815901431101</v>
      </c>
      <c r="K3785">
        <v>14.173107880833999</v>
      </c>
      <c r="L3785">
        <v>15.585455593338899</v>
      </c>
      <c r="M3785">
        <v>14.4720602424816</v>
      </c>
      <c r="N3785">
        <v>14.803069038890101</v>
      </c>
      <c r="O3785">
        <v>15.7191715238611</v>
      </c>
      <c r="P3785">
        <v>2.4307143209599098E-2</v>
      </c>
      <c r="Q3785">
        <v>-0.95850014063413203</v>
      </c>
      <c r="R3785">
        <v>1.0071144270533301</v>
      </c>
      <c r="S3785">
        <v>15.097280169555001</v>
      </c>
      <c r="T3785">
        <v>5.1982608219861101E-2</v>
      </c>
      <c r="U3785">
        <v>-6.8810777920700001</v>
      </c>
      <c r="V3785">
        <v>0.95911843022488097</v>
      </c>
      <c r="W3785">
        <v>0.99968702248720698</v>
      </c>
      <c r="X3785">
        <v>0</v>
      </c>
      <c r="Y3785">
        <v>0</v>
      </c>
    </row>
    <row r="3786" spans="1:25" x14ac:dyDescent="0.2">
      <c r="A3786" t="s">
        <v>13886</v>
      </c>
      <c r="B3786" t="s">
        <v>13887</v>
      </c>
      <c r="C3786" t="s">
        <v>13888</v>
      </c>
      <c r="D3786" t="s">
        <v>8032</v>
      </c>
      <c r="E3786" t="s">
        <v>13887</v>
      </c>
      <c r="F3786" t="s">
        <v>28</v>
      </c>
      <c r="G3786" t="s">
        <v>13887</v>
      </c>
      <c r="H3786" t="str">
        <f>"ule-5"</f>
        <v>ule-5</v>
      </c>
      <c r="I3786" t="s">
        <v>8032</v>
      </c>
      <c r="J3786">
        <v>14.351963029499201</v>
      </c>
      <c r="K3786">
        <v>14.127970309983301</v>
      </c>
      <c r="L3786">
        <v>15.0862210066387</v>
      </c>
      <c r="M3786">
        <v>14.060377672418101</v>
      </c>
      <c r="N3786">
        <v>14.549267369592201</v>
      </c>
      <c r="O3786">
        <v>15.561655296355299</v>
      </c>
      <c r="P3786">
        <v>0.20171533074812401</v>
      </c>
      <c r="Q3786">
        <v>-0.86607206918073298</v>
      </c>
      <c r="R3786">
        <v>1.2695027306769799</v>
      </c>
      <c r="S3786">
        <v>14.801037906915299</v>
      </c>
      <c r="T3786">
        <v>0.39705130522960902</v>
      </c>
      <c r="U3786">
        <v>-6.80048231587958</v>
      </c>
      <c r="V3786">
        <v>0.696025202005498</v>
      </c>
      <c r="W3786">
        <v>0.98642420921484297</v>
      </c>
      <c r="X3786">
        <v>0</v>
      </c>
      <c r="Y3786">
        <v>0</v>
      </c>
    </row>
    <row r="3787" spans="1:25" x14ac:dyDescent="0.2">
      <c r="A3787" t="s">
        <v>13889</v>
      </c>
      <c r="B3787" t="s">
        <v>13890</v>
      </c>
      <c r="C3787" t="s">
        <v>14770</v>
      </c>
      <c r="D3787" t="s">
        <v>13891</v>
      </c>
      <c r="E3787" t="s">
        <v>13890</v>
      </c>
      <c r="F3787" t="s">
        <v>28</v>
      </c>
      <c r="G3787" t="s">
        <v>13890</v>
      </c>
      <c r="H3787" t="str">
        <f>"Y62H9A.3"</f>
        <v>Y62H9A.3</v>
      </c>
      <c r="I3787" t="s">
        <v>13891</v>
      </c>
      <c r="J3787">
        <v>15.7295624577444</v>
      </c>
      <c r="K3787">
        <v>15.142768752868101</v>
      </c>
      <c r="L3787">
        <v>15.820283662281</v>
      </c>
      <c r="M3787">
        <v>15.321124114099</v>
      </c>
      <c r="N3787">
        <v>15.832747070258501</v>
      </c>
      <c r="O3787">
        <v>15.5740663651194</v>
      </c>
      <c r="P3787">
        <v>1.1774225527823E-2</v>
      </c>
      <c r="Q3787">
        <v>-0.83198299542890497</v>
      </c>
      <c r="R3787">
        <v>0.85553144648455104</v>
      </c>
      <c r="S3787">
        <v>15.2242755485518</v>
      </c>
      <c r="T3787">
        <v>2.9329682437565199E-2</v>
      </c>
      <c r="U3787">
        <v>-6.8820401166256602</v>
      </c>
      <c r="V3787">
        <v>0.97692628148374805</v>
      </c>
      <c r="W3787">
        <v>0.99968702248720698</v>
      </c>
      <c r="X3787">
        <v>0</v>
      </c>
      <c r="Y3787">
        <v>0</v>
      </c>
    </row>
    <row r="3788" spans="1:25" x14ac:dyDescent="0.2">
      <c r="A3788" t="s">
        <v>13892</v>
      </c>
      <c r="B3788" t="s">
        <v>13893</v>
      </c>
      <c r="C3788" t="s">
        <v>13894</v>
      </c>
      <c r="D3788" t="s">
        <v>13895</v>
      </c>
      <c r="E3788" t="s">
        <v>13893</v>
      </c>
      <c r="F3788" t="s">
        <v>28</v>
      </c>
      <c r="G3788" t="s">
        <v>13893</v>
      </c>
      <c r="H3788" t="str">
        <f>"epg-3"</f>
        <v>epg-3</v>
      </c>
      <c r="I3788" t="s">
        <v>13895</v>
      </c>
      <c r="J3788">
        <v>15.9467604678778</v>
      </c>
      <c r="K3788">
        <v>16.061049532766599</v>
      </c>
      <c r="L3788">
        <v>15.993368736939299</v>
      </c>
      <c r="M3788">
        <v>15.857404342319899</v>
      </c>
      <c r="N3788">
        <v>16.041642786034</v>
      </c>
      <c r="O3788">
        <v>15.812089612248</v>
      </c>
      <c r="P3788">
        <v>-9.6680665660574802E-2</v>
      </c>
      <c r="Q3788">
        <v>-0.49901851499684102</v>
      </c>
      <c r="R3788">
        <v>0.305657183675692</v>
      </c>
      <c r="S3788">
        <v>15.973459378030601</v>
      </c>
      <c r="T3788">
        <v>-0.50505800041256299</v>
      </c>
      <c r="U3788">
        <v>-6.7501595655339104</v>
      </c>
      <c r="V3788">
        <v>0.61968139819724999</v>
      </c>
      <c r="W3788">
        <v>0.97279262440453396</v>
      </c>
      <c r="X3788">
        <v>0</v>
      </c>
      <c r="Y3788">
        <v>0</v>
      </c>
    </row>
    <row r="3789" spans="1:25" x14ac:dyDescent="0.2">
      <c r="A3789" t="s">
        <v>13896</v>
      </c>
      <c r="B3789" t="s">
        <v>13897</v>
      </c>
      <c r="C3789" t="s">
        <v>13898</v>
      </c>
      <c r="D3789" t="s">
        <v>13899</v>
      </c>
      <c r="E3789" t="s">
        <v>13897</v>
      </c>
      <c r="F3789" t="s">
        <v>28</v>
      </c>
      <c r="G3789" t="s">
        <v>13897</v>
      </c>
      <c r="H3789" t="str">
        <f>"npp-25"</f>
        <v>npp-25</v>
      </c>
      <c r="I3789" t="s">
        <v>13899</v>
      </c>
      <c r="J3789">
        <v>16.067380784717201</v>
      </c>
      <c r="K3789">
        <v>16.1284535219575</v>
      </c>
      <c r="L3789">
        <v>16.2807652042552</v>
      </c>
      <c r="M3789">
        <v>15.7848049807072</v>
      </c>
      <c r="N3789">
        <v>16.073126891625598</v>
      </c>
      <c r="O3789">
        <v>15.944249497639399</v>
      </c>
      <c r="P3789">
        <v>-0.22480604698593801</v>
      </c>
      <c r="Q3789">
        <v>-0.58458837894105797</v>
      </c>
      <c r="R3789">
        <v>0.13497628496918301</v>
      </c>
      <c r="S3789">
        <v>16.155331526098699</v>
      </c>
      <c r="T3789">
        <v>-1.3132900980398501</v>
      </c>
      <c r="U3789">
        <v>-6.0225658635254797</v>
      </c>
      <c r="V3789">
        <v>0.20567620069595399</v>
      </c>
      <c r="W3789">
        <v>0.79075284576134597</v>
      </c>
      <c r="X3789">
        <v>0</v>
      </c>
      <c r="Y3789">
        <v>0</v>
      </c>
    </row>
    <row r="3790" spans="1:25" x14ac:dyDescent="0.2">
      <c r="A3790" t="s">
        <v>13900</v>
      </c>
      <c r="B3790" t="s">
        <v>13901</v>
      </c>
      <c r="C3790" t="s">
        <v>13902</v>
      </c>
      <c r="D3790" t="s">
        <v>13903</v>
      </c>
      <c r="E3790" t="s">
        <v>13901</v>
      </c>
      <c r="F3790" t="s">
        <v>28</v>
      </c>
      <c r="G3790" t="s">
        <v>13901</v>
      </c>
      <c r="H3790" t="str">
        <f>"Y37D8A.2"</f>
        <v>Y37D8A.2</v>
      </c>
      <c r="I3790" t="s">
        <v>13903</v>
      </c>
      <c r="J3790">
        <v>14.372880953955301</v>
      </c>
      <c r="K3790">
        <v>15.0379210998918</v>
      </c>
      <c r="L3790">
        <v>14.3187789488489</v>
      </c>
      <c r="M3790">
        <v>14.363364131439701</v>
      </c>
      <c r="N3790">
        <v>14.5162794426081</v>
      </c>
      <c r="O3790">
        <v>14.3307726835572</v>
      </c>
      <c r="P3790">
        <v>-0.173054915030352</v>
      </c>
      <c r="Q3790">
        <v>-0.88454958532635597</v>
      </c>
      <c r="R3790">
        <v>0.53843975526565102</v>
      </c>
      <c r="S3790">
        <v>13.5109611048213</v>
      </c>
      <c r="T3790">
        <v>-0.51340760843616495</v>
      </c>
      <c r="U3790">
        <v>-6.7454118704079997</v>
      </c>
      <c r="V3790">
        <v>0.61431464357890797</v>
      </c>
      <c r="W3790">
        <v>0.97238011246645495</v>
      </c>
      <c r="X3790">
        <v>0</v>
      </c>
      <c r="Y3790">
        <v>0</v>
      </c>
    </row>
    <row r="3791" spans="1:25" x14ac:dyDescent="0.2">
      <c r="A3791" t="s">
        <v>13904</v>
      </c>
      <c r="B3791" t="s">
        <v>13905</v>
      </c>
      <c r="C3791" t="s">
        <v>13906</v>
      </c>
      <c r="D3791" t="s">
        <v>93</v>
      </c>
      <c r="E3791" t="s">
        <v>13905</v>
      </c>
      <c r="F3791" t="s">
        <v>28</v>
      </c>
      <c r="G3791" t="s">
        <v>13905</v>
      </c>
      <c r="H3791" t="str">
        <f>"rbm-7"</f>
        <v>rbm-7</v>
      </c>
      <c r="I3791" t="s">
        <v>93</v>
      </c>
      <c r="J3791">
        <v>13.2995235832816</v>
      </c>
      <c r="K3791">
        <v>13.524346945822799</v>
      </c>
      <c r="L3791">
        <v>14.1768699306546</v>
      </c>
      <c r="M3791">
        <v>12.3557917516458</v>
      </c>
      <c r="N3791">
        <v>13.6213825040437</v>
      </c>
      <c r="O3791">
        <v>13.629438818100001</v>
      </c>
      <c r="P3791">
        <v>-0.46470912865652098</v>
      </c>
      <c r="Q3791">
        <v>-1.1806506980252001</v>
      </c>
      <c r="R3791">
        <v>0.251232440712154</v>
      </c>
      <c r="S3791">
        <v>14.2274505264987</v>
      </c>
      <c r="T3791">
        <v>-1.37010432584095</v>
      </c>
      <c r="U3791">
        <v>-5.9500364920372402</v>
      </c>
      <c r="V3791">
        <v>0.188587537964301</v>
      </c>
      <c r="W3791">
        <v>0.78295732499061499</v>
      </c>
      <c r="X3791">
        <v>0</v>
      </c>
      <c r="Y3791">
        <v>0</v>
      </c>
    </row>
    <row r="3792" spans="1:25" x14ac:dyDescent="0.2">
      <c r="A3792" t="s">
        <v>13907</v>
      </c>
      <c r="B3792" t="s">
        <v>13908</v>
      </c>
      <c r="C3792" t="s">
        <v>13909</v>
      </c>
      <c r="D3792" t="s">
        <v>3680</v>
      </c>
      <c r="E3792" t="s">
        <v>13908</v>
      </c>
      <c r="F3792" t="s">
        <v>28</v>
      </c>
      <c r="G3792" t="s">
        <v>13908</v>
      </c>
      <c r="H3792" t="str">
        <f>"cec-7"</f>
        <v>cec-7</v>
      </c>
      <c r="I3792" t="s">
        <v>3680</v>
      </c>
      <c r="J3792" t="s">
        <v>29</v>
      </c>
      <c r="K3792" t="s">
        <v>29</v>
      </c>
      <c r="L3792" t="s">
        <v>29</v>
      </c>
      <c r="M3792">
        <v>15.4010685886301</v>
      </c>
      <c r="N3792">
        <v>14.862025140799201</v>
      </c>
      <c r="O3792" t="s">
        <v>29</v>
      </c>
      <c r="P3792" t="s">
        <v>29</v>
      </c>
      <c r="Q3792" t="s">
        <v>29</v>
      </c>
      <c r="R3792" t="s">
        <v>29</v>
      </c>
      <c r="S3792">
        <v>15.216069002962699</v>
      </c>
      <c r="T3792" t="s">
        <v>29</v>
      </c>
      <c r="U3792" t="s">
        <v>29</v>
      </c>
      <c r="V3792" t="s">
        <v>29</v>
      </c>
      <c r="W3792" t="s">
        <v>29</v>
      </c>
      <c r="X3792" t="s">
        <v>29</v>
      </c>
      <c r="Y3792" t="s">
        <v>29</v>
      </c>
    </row>
    <row r="3793" spans="1:25" x14ac:dyDescent="0.2">
      <c r="A3793" t="s">
        <v>13910</v>
      </c>
      <c r="B3793" t="s">
        <v>13911</v>
      </c>
      <c r="C3793" t="s">
        <v>13912</v>
      </c>
      <c r="D3793" t="s">
        <v>2783</v>
      </c>
      <c r="E3793" t="s">
        <v>13911</v>
      </c>
      <c r="F3793" t="s">
        <v>28</v>
      </c>
      <c r="G3793" t="s">
        <v>13911</v>
      </c>
      <c r="H3793" t="str">
        <f>"acdh-11"</f>
        <v>acdh-11</v>
      </c>
      <c r="I3793" t="s">
        <v>2783</v>
      </c>
      <c r="J3793">
        <v>11.7107368600391</v>
      </c>
      <c r="K3793">
        <v>11.738140164395</v>
      </c>
      <c r="L3793">
        <v>12.7087209106488</v>
      </c>
      <c r="M3793" t="s">
        <v>29</v>
      </c>
      <c r="N3793">
        <v>12.3627828431498</v>
      </c>
      <c r="O3793">
        <v>11.5528236104941</v>
      </c>
      <c r="P3793">
        <v>-9.4729418205634602E-2</v>
      </c>
      <c r="Q3793">
        <v>-1.28766225091058</v>
      </c>
      <c r="R3793">
        <v>1.09820341449931</v>
      </c>
      <c r="S3793">
        <v>12.141538798494301</v>
      </c>
      <c r="T3793">
        <v>-0.17043577946272401</v>
      </c>
      <c r="U3793">
        <v>-6.7568516756557297</v>
      </c>
      <c r="V3793">
        <v>0.86712420384470801</v>
      </c>
      <c r="W3793">
        <v>0.99457622291666603</v>
      </c>
      <c r="X3793">
        <v>0</v>
      </c>
      <c r="Y3793">
        <v>0</v>
      </c>
    </row>
    <row r="3794" spans="1:25" x14ac:dyDescent="0.2">
      <c r="A3794" t="s">
        <v>13913</v>
      </c>
      <c r="B3794" t="s">
        <v>13914</v>
      </c>
      <c r="C3794" t="s">
        <v>13915</v>
      </c>
      <c r="D3794" t="s">
        <v>13916</v>
      </c>
      <c r="E3794" t="s">
        <v>13914</v>
      </c>
      <c r="F3794" t="s">
        <v>28</v>
      </c>
      <c r="G3794" t="s">
        <v>13914</v>
      </c>
      <c r="H3794" t="str">
        <f>"sbp-1"</f>
        <v>sbp-1</v>
      </c>
      <c r="I3794" t="s">
        <v>13916</v>
      </c>
      <c r="J3794">
        <v>14.1184257245121</v>
      </c>
      <c r="K3794">
        <v>14.054243713131999</v>
      </c>
      <c r="L3794">
        <v>13.7595637768237</v>
      </c>
      <c r="M3794">
        <v>13.901557040431101</v>
      </c>
      <c r="N3794">
        <v>13.9917441980961</v>
      </c>
      <c r="O3794">
        <v>14.051152636379999</v>
      </c>
      <c r="P3794">
        <v>4.0735534798610499E-3</v>
      </c>
      <c r="Q3794">
        <v>-0.36109342348982698</v>
      </c>
      <c r="R3794">
        <v>0.36924053044954902</v>
      </c>
      <c r="S3794">
        <v>13.974016768112101</v>
      </c>
      <c r="T3794">
        <v>2.3446306570350399E-2</v>
      </c>
      <c r="U3794">
        <v>-6.8822023463504198</v>
      </c>
      <c r="V3794">
        <v>0.98155373699121296</v>
      </c>
      <c r="W3794">
        <v>0.99968702248720698</v>
      </c>
      <c r="X3794">
        <v>0</v>
      </c>
      <c r="Y3794">
        <v>0</v>
      </c>
    </row>
    <row r="3795" spans="1:25" x14ac:dyDescent="0.2">
      <c r="A3795" t="s">
        <v>13917</v>
      </c>
      <c r="B3795" t="s">
        <v>13918</v>
      </c>
      <c r="C3795" t="s">
        <v>14771</v>
      </c>
      <c r="D3795" t="s">
        <v>13919</v>
      </c>
      <c r="E3795" t="s">
        <v>13918</v>
      </c>
      <c r="F3795" t="s">
        <v>28</v>
      </c>
      <c r="G3795" t="s">
        <v>13918</v>
      </c>
      <c r="H3795" t="str">
        <f>"Y39A1A.22"</f>
        <v>Y39A1A.22</v>
      </c>
      <c r="I3795" t="s">
        <v>13919</v>
      </c>
      <c r="J3795">
        <v>12.9398061781989</v>
      </c>
      <c r="K3795">
        <v>12.7826316004675</v>
      </c>
      <c r="L3795">
        <v>12.791251070250899</v>
      </c>
      <c r="M3795">
        <v>12.7536264788216</v>
      </c>
      <c r="N3795">
        <v>12.5947994850789</v>
      </c>
      <c r="O3795">
        <v>12.6037406379729</v>
      </c>
      <c r="P3795">
        <v>-0.187174082347973</v>
      </c>
      <c r="Q3795">
        <v>-0.86235435094268398</v>
      </c>
      <c r="R3795">
        <v>0.48800618624673903</v>
      </c>
      <c r="S3795">
        <v>12.4899843437654</v>
      </c>
      <c r="T3795">
        <v>-0.58516182232871405</v>
      </c>
      <c r="U3795">
        <v>-6.7048312477836998</v>
      </c>
      <c r="V3795">
        <v>0.56617310563247203</v>
      </c>
      <c r="W3795">
        <v>0.95743094285816499</v>
      </c>
      <c r="X3795">
        <v>0</v>
      </c>
      <c r="Y3795">
        <v>0</v>
      </c>
    </row>
    <row r="3796" spans="1:25" x14ac:dyDescent="0.2">
      <c r="A3796" t="s">
        <v>13920</v>
      </c>
      <c r="B3796" t="s">
        <v>13921</v>
      </c>
      <c r="C3796" t="s">
        <v>13922</v>
      </c>
      <c r="D3796" t="s">
        <v>13923</v>
      </c>
      <c r="E3796" t="s">
        <v>13921</v>
      </c>
      <c r="F3796" t="s">
        <v>28</v>
      </c>
      <c r="G3796" t="s">
        <v>13921</v>
      </c>
      <c r="H3796" t="str">
        <f>"cnt-2"</f>
        <v>cnt-2</v>
      </c>
      <c r="I3796" t="s">
        <v>13923</v>
      </c>
      <c r="J3796">
        <v>12.785266272621699</v>
      </c>
      <c r="K3796">
        <v>12.9785410599317</v>
      </c>
      <c r="L3796">
        <v>13.1822814937786</v>
      </c>
      <c r="M3796">
        <v>13.0462564503602</v>
      </c>
      <c r="N3796">
        <v>13.2000237418455</v>
      </c>
      <c r="O3796">
        <v>13.0191368729161</v>
      </c>
      <c r="P3796">
        <v>0.10644274626325199</v>
      </c>
      <c r="Q3796">
        <v>-0.37044823294478801</v>
      </c>
      <c r="R3796">
        <v>0.58333372547129103</v>
      </c>
      <c r="S3796">
        <v>13.1988802829402</v>
      </c>
      <c r="T3796">
        <v>0.47113674447883203</v>
      </c>
      <c r="U3796">
        <v>-6.7669128888159902</v>
      </c>
      <c r="V3796">
        <v>0.64356922754659396</v>
      </c>
      <c r="W3796">
        <v>0.97768135215283802</v>
      </c>
      <c r="X3796">
        <v>0</v>
      </c>
      <c r="Y3796">
        <v>0</v>
      </c>
    </row>
    <row r="3797" spans="1:25" x14ac:dyDescent="0.2">
      <c r="A3797" t="s">
        <v>13924</v>
      </c>
      <c r="B3797" t="s">
        <v>13925</v>
      </c>
      <c r="C3797" t="s">
        <v>13926</v>
      </c>
      <c r="D3797" t="s">
        <v>13927</v>
      </c>
      <c r="E3797" t="s">
        <v>13925</v>
      </c>
      <c r="F3797" t="s">
        <v>28</v>
      </c>
      <c r="G3797" t="s">
        <v>13925</v>
      </c>
      <c r="H3797" t="str">
        <f>"Y39A1A.14"</f>
        <v>Y39A1A.14</v>
      </c>
      <c r="I3797" t="s">
        <v>13927</v>
      </c>
      <c r="J3797">
        <v>15.304536260876301</v>
      </c>
      <c r="K3797">
        <v>15.214794600547901</v>
      </c>
      <c r="L3797">
        <v>15.039621801652</v>
      </c>
      <c r="M3797">
        <v>15.375364653871101</v>
      </c>
      <c r="N3797">
        <v>15.299127223672601</v>
      </c>
      <c r="O3797">
        <v>15.306145454606</v>
      </c>
      <c r="P3797">
        <v>0.14056155635782</v>
      </c>
      <c r="Q3797">
        <v>-0.21077434695073899</v>
      </c>
      <c r="R3797">
        <v>0.49189745966637999</v>
      </c>
      <c r="S3797">
        <v>14.835104775088199</v>
      </c>
      <c r="T3797">
        <v>0.84088486820591302</v>
      </c>
      <c r="U3797">
        <v>-6.5202233733665604</v>
      </c>
      <c r="V3797">
        <v>0.41150806851616101</v>
      </c>
      <c r="W3797">
        <v>0.91512503332874395</v>
      </c>
      <c r="X3797">
        <v>0</v>
      </c>
      <c r="Y3797">
        <v>0</v>
      </c>
    </row>
    <row r="3798" spans="1:25" x14ac:dyDescent="0.2">
      <c r="A3798" t="s">
        <v>13928</v>
      </c>
      <c r="B3798" t="s">
        <v>13929</v>
      </c>
      <c r="C3798" t="s">
        <v>13930</v>
      </c>
      <c r="D3798" t="s">
        <v>13931</v>
      </c>
      <c r="E3798" t="s">
        <v>13929</v>
      </c>
      <c r="F3798" t="s">
        <v>28</v>
      </c>
      <c r="G3798" t="s">
        <v>13929</v>
      </c>
      <c r="H3798" t="str">
        <f>"orc-1"</f>
        <v>orc-1</v>
      </c>
      <c r="I3798" t="s">
        <v>13931</v>
      </c>
      <c r="J3798" t="s">
        <v>29</v>
      </c>
      <c r="K3798" t="s">
        <v>29</v>
      </c>
      <c r="L3798" t="s">
        <v>29</v>
      </c>
      <c r="M3798" t="s">
        <v>29</v>
      </c>
      <c r="N3798" t="s">
        <v>29</v>
      </c>
      <c r="O3798" t="s">
        <v>29</v>
      </c>
      <c r="P3798" t="s">
        <v>29</v>
      </c>
      <c r="Q3798" t="s">
        <v>29</v>
      </c>
      <c r="R3798" t="s">
        <v>29</v>
      </c>
      <c r="S3798">
        <v>10.779063099665199</v>
      </c>
      <c r="T3798" t="s">
        <v>29</v>
      </c>
      <c r="U3798" t="s">
        <v>29</v>
      </c>
      <c r="V3798" t="s">
        <v>29</v>
      </c>
      <c r="W3798" t="s">
        <v>29</v>
      </c>
      <c r="X3798" t="s">
        <v>29</v>
      </c>
      <c r="Y3798" t="s">
        <v>29</v>
      </c>
    </row>
    <row r="3799" spans="1:25" x14ac:dyDescent="0.2">
      <c r="A3799" t="s">
        <v>13932</v>
      </c>
      <c r="B3799" t="s">
        <v>13933</v>
      </c>
      <c r="C3799" t="s">
        <v>13934</v>
      </c>
      <c r="D3799" t="s">
        <v>13935</v>
      </c>
      <c r="E3799" t="s">
        <v>13933</v>
      </c>
      <c r="F3799" t="s">
        <v>28</v>
      </c>
      <c r="G3799" t="s">
        <v>13933</v>
      </c>
      <c r="H3799" t="str">
        <f>"mrpl-22"</f>
        <v>mrpl-22</v>
      </c>
      <c r="I3799" t="s">
        <v>13935</v>
      </c>
      <c r="J3799">
        <v>12.710917462088601</v>
      </c>
      <c r="K3799">
        <v>12.677276100201301</v>
      </c>
      <c r="L3799">
        <v>12.9137897515683</v>
      </c>
      <c r="M3799">
        <v>12.5722020994529</v>
      </c>
      <c r="N3799">
        <v>12.555077786304301</v>
      </c>
      <c r="O3799">
        <v>12.114928404683001</v>
      </c>
      <c r="P3799">
        <v>-0.35325834113934601</v>
      </c>
      <c r="Q3799">
        <v>-1.01113997364112</v>
      </c>
      <c r="R3799">
        <v>0.304623291362425</v>
      </c>
      <c r="S3799">
        <v>12.636676624654701</v>
      </c>
      <c r="T3799">
        <v>-1.1389225546542201</v>
      </c>
      <c r="U3799">
        <v>-6.2269041386550601</v>
      </c>
      <c r="V3799">
        <v>0.27160991370050902</v>
      </c>
      <c r="W3799">
        <v>0.856190392347986</v>
      </c>
      <c r="X3799">
        <v>0</v>
      </c>
      <c r="Y3799">
        <v>0</v>
      </c>
    </row>
    <row r="3800" spans="1:25" x14ac:dyDescent="0.2">
      <c r="A3800" t="s">
        <v>13936</v>
      </c>
      <c r="B3800" t="s">
        <v>13937</v>
      </c>
      <c r="C3800" t="s">
        <v>14772</v>
      </c>
      <c r="D3800" t="s">
        <v>368</v>
      </c>
      <c r="E3800" t="s">
        <v>13937</v>
      </c>
      <c r="F3800" t="s">
        <v>28</v>
      </c>
      <c r="G3800" t="s">
        <v>13937</v>
      </c>
      <c r="H3800" t="str">
        <f>"Y39A1A.20"</f>
        <v>Y39A1A.20</v>
      </c>
      <c r="I3800" t="s">
        <v>368</v>
      </c>
      <c r="J3800">
        <v>9.6680691105133008</v>
      </c>
      <c r="K3800" t="s">
        <v>29</v>
      </c>
      <c r="L3800">
        <v>10.730568718456199</v>
      </c>
      <c r="M3800">
        <v>10.5118521896859</v>
      </c>
      <c r="N3800" t="s">
        <v>29</v>
      </c>
      <c r="O3800" t="s">
        <v>29</v>
      </c>
      <c r="P3800">
        <v>0.31253327520114899</v>
      </c>
      <c r="Q3800">
        <v>-0.75692954870309004</v>
      </c>
      <c r="R3800">
        <v>1.3819960991053899</v>
      </c>
      <c r="S3800">
        <v>10.847603266339499</v>
      </c>
      <c r="T3800">
        <v>0.67545478451575802</v>
      </c>
      <c r="U3800">
        <v>-6.2394465373600099</v>
      </c>
      <c r="V3800">
        <v>0.51867653385988299</v>
      </c>
      <c r="W3800">
        <v>0.94227592550871997</v>
      </c>
      <c r="X3800">
        <v>0</v>
      </c>
      <c r="Y3800">
        <v>0</v>
      </c>
    </row>
    <row r="3801" spans="1:25" x14ac:dyDescent="0.2">
      <c r="A3801" t="s">
        <v>13938</v>
      </c>
      <c r="B3801" t="s">
        <v>13939</v>
      </c>
      <c r="C3801" t="s">
        <v>14773</v>
      </c>
      <c r="D3801" t="s">
        <v>3358</v>
      </c>
      <c r="E3801" t="s">
        <v>13939</v>
      </c>
      <c r="F3801" t="s">
        <v>28</v>
      </c>
      <c r="G3801" t="s">
        <v>13939</v>
      </c>
      <c r="H3801" t="str">
        <f>"Y32B12B.2"</f>
        <v>Y32B12B.2</v>
      </c>
      <c r="I3801" t="s">
        <v>3358</v>
      </c>
      <c r="J3801">
        <v>12.178352580731101</v>
      </c>
      <c r="K3801">
        <v>12.212138313710501</v>
      </c>
      <c r="L3801">
        <v>12.7114479719007</v>
      </c>
      <c r="M3801">
        <v>12.271575507608899</v>
      </c>
      <c r="N3801">
        <v>12.5638886005659</v>
      </c>
      <c r="O3801">
        <v>12.5575139471313</v>
      </c>
      <c r="P3801">
        <v>9.7013062987947804E-2</v>
      </c>
      <c r="Q3801">
        <v>-0.418433295214234</v>
      </c>
      <c r="R3801">
        <v>0.61245942119012997</v>
      </c>
      <c r="S3801">
        <v>13.161170286561299</v>
      </c>
      <c r="T3801">
        <v>0.399205274740978</v>
      </c>
      <c r="U3801">
        <v>-6.7990889627511502</v>
      </c>
      <c r="V3801">
        <v>0.69505431677932406</v>
      </c>
      <c r="W3801">
        <v>0.98642420921484297</v>
      </c>
      <c r="X3801">
        <v>0</v>
      </c>
      <c r="Y3801">
        <v>0</v>
      </c>
    </row>
    <row r="3802" spans="1:25" x14ac:dyDescent="0.2">
      <c r="A3802" t="s">
        <v>13940</v>
      </c>
      <c r="B3802" t="s">
        <v>13941</v>
      </c>
      <c r="C3802" t="s">
        <v>13942</v>
      </c>
      <c r="D3802" t="s">
        <v>11887</v>
      </c>
      <c r="E3802" t="s">
        <v>13941</v>
      </c>
      <c r="F3802" t="s">
        <v>28</v>
      </c>
      <c r="G3802" t="s">
        <v>13941</v>
      </c>
      <c r="H3802" t="str">
        <f>"ebp-2"</f>
        <v>ebp-2</v>
      </c>
      <c r="I3802" t="s">
        <v>11887</v>
      </c>
      <c r="J3802">
        <v>12.397434139368499</v>
      </c>
      <c r="K3802" t="s">
        <v>29</v>
      </c>
      <c r="L3802">
        <v>12.6083232260464</v>
      </c>
      <c r="M3802">
        <v>11.857789622652</v>
      </c>
      <c r="N3802">
        <v>12.8872109387345</v>
      </c>
      <c r="O3802">
        <v>12.518535948743301</v>
      </c>
      <c r="P3802">
        <v>-8.1699845997500006E-2</v>
      </c>
      <c r="Q3802">
        <v>-0.71464368379180898</v>
      </c>
      <c r="R3802">
        <v>0.55124399179680905</v>
      </c>
      <c r="S3802">
        <v>12.387172123084801</v>
      </c>
      <c r="T3802">
        <v>-0.277043493290902</v>
      </c>
      <c r="U3802">
        <v>-6.7317082730564897</v>
      </c>
      <c r="V3802">
        <v>0.78582549755999298</v>
      </c>
      <c r="W3802">
        <v>0.99278624068726296</v>
      </c>
      <c r="X3802">
        <v>0</v>
      </c>
      <c r="Y3802">
        <v>0</v>
      </c>
    </row>
    <row r="3803" spans="1:25" x14ac:dyDescent="0.2">
      <c r="A3803" t="s">
        <v>13943</v>
      </c>
      <c r="B3803" t="s">
        <v>13944</v>
      </c>
      <c r="C3803" t="s">
        <v>13945</v>
      </c>
      <c r="D3803" t="s">
        <v>13946</v>
      </c>
      <c r="E3803" t="s">
        <v>13944</v>
      </c>
      <c r="F3803" t="s">
        <v>28</v>
      </c>
      <c r="G3803" t="s">
        <v>13944</v>
      </c>
      <c r="H3803" t="str">
        <f>"exos-1"</f>
        <v>exos-1</v>
      </c>
      <c r="I3803" t="s">
        <v>13946</v>
      </c>
      <c r="J3803">
        <v>14.3121346076758</v>
      </c>
      <c r="K3803">
        <v>14.239170927059901</v>
      </c>
      <c r="L3803">
        <v>14.0998776531603</v>
      </c>
      <c r="M3803">
        <v>14.3894362835608</v>
      </c>
      <c r="N3803">
        <v>14.187706628312601</v>
      </c>
      <c r="O3803">
        <v>14.3924220727102</v>
      </c>
      <c r="P3803">
        <v>0.10612726556255</v>
      </c>
      <c r="Q3803">
        <v>-0.28474583872711301</v>
      </c>
      <c r="R3803">
        <v>0.49700036985221402</v>
      </c>
      <c r="S3803">
        <v>13.967339031047301</v>
      </c>
      <c r="T3803">
        <v>0.57066823568792002</v>
      </c>
      <c r="U3803">
        <v>-6.7138772059455301</v>
      </c>
      <c r="V3803">
        <v>0.57532119474212495</v>
      </c>
      <c r="W3803">
        <v>0.96066330075004902</v>
      </c>
      <c r="X3803">
        <v>0</v>
      </c>
      <c r="Y3803">
        <v>0</v>
      </c>
    </row>
    <row r="3804" spans="1:25" x14ac:dyDescent="0.2">
      <c r="A3804" t="s">
        <v>13947</v>
      </c>
      <c r="B3804" t="s">
        <v>13948</v>
      </c>
      <c r="C3804" t="s">
        <v>13949</v>
      </c>
      <c r="D3804" t="s">
        <v>13950</v>
      </c>
      <c r="E3804" t="s">
        <v>13948</v>
      </c>
      <c r="F3804" t="s">
        <v>28</v>
      </c>
      <c r="G3804" t="s">
        <v>13948</v>
      </c>
      <c r="H3804" t="str">
        <f>"Y48A6B.3"</f>
        <v>Y48A6B.3</v>
      </c>
      <c r="I3804" t="s">
        <v>13950</v>
      </c>
      <c r="J3804">
        <v>14.9633314452939</v>
      </c>
      <c r="K3804">
        <v>14.434426351986399</v>
      </c>
      <c r="L3804">
        <v>15.121882272838</v>
      </c>
      <c r="M3804">
        <v>14.787147316282701</v>
      </c>
      <c r="N3804">
        <v>14.8002037346862</v>
      </c>
      <c r="O3804">
        <v>14.6002044668694</v>
      </c>
      <c r="P3804">
        <v>-0.110694850760002</v>
      </c>
      <c r="Q3804">
        <v>-0.51734678836344905</v>
      </c>
      <c r="R3804">
        <v>0.29595708684344602</v>
      </c>
      <c r="S3804">
        <v>14.7348951069187</v>
      </c>
      <c r="T3804">
        <v>-0.57213311614906603</v>
      </c>
      <c r="U3804">
        <v>-6.7130183434907398</v>
      </c>
      <c r="V3804">
        <v>0.57434958320044505</v>
      </c>
      <c r="W3804">
        <v>0.96052030798546795</v>
      </c>
      <c r="X3804">
        <v>0</v>
      </c>
      <c r="Y3804">
        <v>0</v>
      </c>
    </row>
    <row r="3805" spans="1:25" x14ac:dyDescent="0.2">
      <c r="A3805" t="s">
        <v>13951</v>
      </c>
      <c r="B3805" t="s">
        <v>13952</v>
      </c>
      <c r="C3805" t="s">
        <v>13953</v>
      </c>
      <c r="D3805" t="s">
        <v>13954</v>
      </c>
      <c r="E3805" t="s">
        <v>13952</v>
      </c>
      <c r="F3805" t="s">
        <v>28</v>
      </c>
      <c r="G3805" t="s">
        <v>13952</v>
      </c>
      <c r="H3805" t="str">
        <f>"oxi-1"</f>
        <v>oxi-1</v>
      </c>
      <c r="I3805" t="s">
        <v>13954</v>
      </c>
      <c r="J3805" t="s">
        <v>29</v>
      </c>
      <c r="K3805" t="s">
        <v>29</v>
      </c>
      <c r="L3805">
        <v>11.5328536150083</v>
      </c>
      <c r="M3805" t="s">
        <v>29</v>
      </c>
      <c r="N3805" t="s">
        <v>29</v>
      </c>
      <c r="O3805" t="s">
        <v>29</v>
      </c>
      <c r="P3805" t="s">
        <v>29</v>
      </c>
      <c r="Q3805" t="s">
        <v>29</v>
      </c>
      <c r="R3805" t="s">
        <v>29</v>
      </c>
      <c r="S3805">
        <v>12.291236915736301</v>
      </c>
      <c r="T3805" t="s">
        <v>29</v>
      </c>
      <c r="U3805" t="s">
        <v>29</v>
      </c>
      <c r="V3805" t="s">
        <v>29</v>
      </c>
      <c r="W3805" t="s">
        <v>29</v>
      </c>
      <c r="X3805" t="s">
        <v>29</v>
      </c>
      <c r="Y3805" t="s">
        <v>29</v>
      </c>
    </row>
    <row r="3806" spans="1:25" x14ac:dyDescent="0.2">
      <c r="A3806" t="s">
        <v>13955</v>
      </c>
      <c r="B3806" t="s">
        <v>13956</v>
      </c>
      <c r="C3806" t="s">
        <v>14774</v>
      </c>
      <c r="D3806" t="s">
        <v>13957</v>
      </c>
      <c r="E3806" t="s">
        <v>13956</v>
      </c>
      <c r="F3806" t="s">
        <v>28</v>
      </c>
      <c r="G3806" t="s">
        <v>13956</v>
      </c>
      <c r="H3806" t="str">
        <f>"Y17G7B.17"</f>
        <v>Y17G7B.17</v>
      </c>
      <c r="I3806" t="s">
        <v>13957</v>
      </c>
      <c r="J3806">
        <v>13.276190424464801</v>
      </c>
      <c r="K3806">
        <v>12.953578128775201</v>
      </c>
      <c r="L3806">
        <v>12.135557815695201</v>
      </c>
      <c r="M3806">
        <v>11.4613242950591</v>
      </c>
      <c r="N3806" t="s">
        <v>29</v>
      </c>
      <c r="O3806">
        <v>12.5334368239334</v>
      </c>
      <c r="P3806">
        <v>-0.79106156348215995</v>
      </c>
      <c r="Q3806">
        <v>-1.73979246390916</v>
      </c>
      <c r="R3806">
        <v>0.15766933694484001</v>
      </c>
      <c r="S3806">
        <v>12.858592343952401</v>
      </c>
      <c r="T3806">
        <v>-1.80282877743692</v>
      </c>
      <c r="U3806">
        <v>-5.2329981247829398</v>
      </c>
      <c r="V3806">
        <v>9.4822401909383E-2</v>
      </c>
      <c r="W3806">
        <v>0.638807831017425</v>
      </c>
      <c r="X3806">
        <v>0</v>
      </c>
      <c r="Y3806">
        <v>0</v>
      </c>
    </row>
    <row r="3807" spans="1:25" x14ac:dyDescent="0.2">
      <c r="A3807" t="s">
        <v>13958</v>
      </c>
      <c r="B3807" t="s">
        <v>13959</v>
      </c>
      <c r="C3807" t="s">
        <v>13960</v>
      </c>
      <c r="D3807" t="s">
        <v>13961</v>
      </c>
      <c r="E3807" t="s">
        <v>13959</v>
      </c>
      <c r="F3807" t="s">
        <v>28</v>
      </c>
      <c r="G3807" t="s">
        <v>13959</v>
      </c>
      <c r="H3807" t="str">
        <f>"cnt-1"</f>
        <v>cnt-1</v>
      </c>
      <c r="I3807" t="s">
        <v>13961</v>
      </c>
      <c r="J3807">
        <v>11.490376201206701</v>
      </c>
      <c r="K3807">
        <v>11.9478749160194</v>
      </c>
      <c r="L3807">
        <v>11.6996731371656</v>
      </c>
      <c r="M3807">
        <v>12.2152719057918</v>
      </c>
      <c r="N3807">
        <v>12.6624540860798</v>
      </c>
      <c r="O3807">
        <v>12.857705801335401</v>
      </c>
      <c r="P3807">
        <v>0.86583584627177002</v>
      </c>
      <c r="Q3807">
        <v>0.433985977946931</v>
      </c>
      <c r="R3807">
        <v>1.2976857145966101</v>
      </c>
      <c r="S3807">
        <v>11.9781937134148</v>
      </c>
      <c r="T3807">
        <v>4.2760657685109997</v>
      </c>
      <c r="U3807">
        <v>-0.61716500959824505</v>
      </c>
      <c r="V3807">
        <v>6.7293301806774502E-4</v>
      </c>
      <c r="W3807">
        <v>2.3371206488964701E-2</v>
      </c>
      <c r="X3807">
        <v>0</v>
      </c>
      <c r="Y3807">
        <v>0</v>
      </c>
    </row>
    <row r="3808" spans="1:25" x14ac:dyDescent="0.2">
      <c r="A3808" t="s">
        <v>13962</v>
      </c>
      <c r="B3808" t="s">
        <v>13963</v>
      </c>
      <c r="C3808" t="s">
        <v>14775</v>
      </c>
      <c r="D3808" t="s">
        <v>13964</v>
      </c>
      <c r="E3808" t="s">
        <v>13963</v>
      </c>
      <c r="F3808" t="s">
        <v>28</v>
      </c>
      <c r="G3808" t="s">
        <v>13963</v>
      </c>
      <c r="H3808" t="str">
        <f>"Y17G7B.12"</f>
        <v>Y17G7B.12</v>
      </c>
      <c r="I3808" t="s">
        <v>13964</v>
      </c>
      <c r="J3808">
        <v>10.9750029049047</v>
      </c>
      <c r="K3808">
        <v>11.027454577831</v>
      </c>
      <c r="L3808">
        <v>11.134318280758199</v>
      </c>
      <c r="M3808">
        <v>11.7294701108467</v>
      </c>
      <c r="N3808" t="s">
        <v>29</v>
      </c>
      <c r="O3808" t="s">
        <v>29</v>
      </c>
      <c r="P3808">
        <v>0.68387818968206404</v>
      </c>
      <c r="Q3808">
        <v>-1.0346743893914301</v>
      </c>
      <c r="R3808">
        <v>2.4024307687555502</v>
      </c>
      <c r="S3808">
        <v>11.345416241392501</v>
      </c>
      <c r="T3808">
        <v>0.85409823084141601</v>
      </c>
      <c r="U3808">
        <v>-6.1679451655694901</v>
      </c>
      <c r="V3808">
        <v>0.40753483019012798</v>
      </c>
      <c r="W3808">
        <v>0.91393255719187705</v>
      </c>
      <c r="X3808">
        <v>0</v>
      </c>
      <c r="Y3808">
        <v>0</v>
      </c>
    </row>
    <row r="3809" spans="1:25" x14ac:dyDescent="0.2">
      <c r="A3809" t="s">
        <v>13965</v>
      </c>
      <c r="B3809" t="s">
        <v>13966</v>
      </c>
      <c r="C3809" t="s">
        <v>13967</v>
      </c>
      <c r="D3809" t="s">
        <v>13968</v>
      </c>
      <c r="E3809" t="s">
        <v>13966</v>
      </c>
      <c r="F3809" t="s">
        <v>28</v>
      </c>
      <c r="G3809" t="s">
        <v>13966</v>
      </c>
      <c r="H3809" t="str">
        <f>"mcm-2"</f>
        <v>mcm-2</v>
      </c>
      <c r="I3809" t="s">
        <v>13968</v>
      </c>
      <c r="J3809">
        <v>15.371256251876099</v>
      </c>
      <c r="K3809">
        <v>15.4351198593773</v>
      </c>
      <c r="L3809">
        <v>15.534679479992199</v>
      </c>
      <c r="M3809">
        <v>15.515927659287099</v>
      </c>
      <c r="N3809">
        <v>15.493984231801599</v>
      </c>
      <c r="O3809">
        <v>15.472984028581299</v>
      </c>
      <c r="P3809">
        <v>4.7280109474810303E-2</v>
      </c>
      <c r="Q3809">
        <v>-0.35170855086508002</v>
      </c>
      <c r="R3809">
        <v>0.44626876981469998</v>
      </c>
      <c r="S3809">
        <v>15.4553352014665</v>
      </c>
      <c r="T3809">
        <v>0.24906369902873299</v>
      </c>
      <c r="U3809">
        <v>-6.85013421684177</v>
      </c>
      <c r="V3809">
        <v>0.80614771101969596</v>
      </c>
      <c r="W3809">
        <v>0.99278624068726296</v>
      </c>
      <c r="X3809">
        <v>0</v>
      </c>
      <c r="Y3809">
        <v>0</v>
      </c>
    </row>
    <row r="3810" spans="1:25" x14ac:dyDescent="0.2">
      <c r="A3810" t="s">
        <v>13969</v>
      </c>
      <c r="B3810" t="s">
        <v>13970</v>
      </c>
      <c r="C3810" t="s">
        <v>13971</v>
      </c>
      <c r="D3810" t="s">
        <v>13972</v>
      </c>
      <c r="E3810" t="s">
        <v>13970</v>
      </c>
      <c r="F3810" t="s">
        <v>28</v>
      </c>
      <c r="G3810" t="s">
        <v>13970</v>
      </c>
      <c r="H3810" t="str">
        <f>"atp-1"</f>
        <v>atp-1</v>
      </c>
      <c r="I3810" t="s">
        <v>13972</v>
      </c>
      <c r="J3810">
        <v>20.716976783114301</v>
      </c>
      <c r="K3810">
        <v>20.524841077926698</v>
      </c>
      <c r="L3810">
        <v>20.446142249478999</v>
      </c>
      <c r="M3810">
        <v>20.382392175010398</v>
      </c>
      <c r="N3810">
        <v>20.3417426830657</v>
      </c>
      <c r="O3810">
        <v>20.7764923782855</v>
      </c>
      <c r="P3810">
        <v>-6.24442913861607E-2</v>
      </c>
      <c r="Q3810">
        <v>-0.43950870621013</v>
      </c>
      <c r="R3810">
        <v>0.31462012343780799</v>
      </c>
      <c r="S3810">
        <v>20.3160625490328</v>
      </c>
      <c r="T3810">
        <v>-0.34807249528461298</v>
      </c>
      <c r="U3810">
        <v>-6.8194021204633</v>
      </c>
      <c r="V3810">
        <v>0.73184671914620902</v>
      </c>
      <c r="W3810">
        <v>0.99057748145465696</v>
      </c>
      <c r="X3810">
        <v>0</v>
      </c>
      <c r="Y3810">
        <v>0</v>
      </c>
    </row>
    <row r="3811" spans="1:25" x14ac:dyDescent="0.2">
      <c r="A3811" t="s">
        <v>13973</v>
      </c>
      <c r="B3811" t="s">
        <v>13974</v>
      </c>
      <c r="C3811" t="s">
        <v>13975</v>
      </c>
      <c r="D3811" t="s">
        <v>13976</v>
      </c>
      <c r="E3811" t="s">
        <v>13974</v>
      </c>
      <c r="F3811" t="s">
        <v>28</v>
      </c>
      <c r="G3811" t="s">
        <v>13974</v>
      </c>
      <c r="H3811" t="str">
        <f>"tram-1"</f>
        <v>tram-1</v>
      </c>
      <c r="I3811" t="s">
        <v>13976</v>
      </c>
      <c r="J3811">
        <v>15.2289719559804</v>
      </c>
      <c r="K3811">
        <v>15.517232802418</v>
      </c>
      <c r="L3811">
        <v>16.005146595171901</v>
      </c>
      <c r="M3811">
        <v>15.1921653033077</v>
      </c>
      <c r="N3811">
        <v>15.581516151847699</v>
      </c>
      <c r="O3811">
        <v>14.9643332416018</v>
      </c>
      <c r="P3811">
        <v>-0.33777888560430303</v>
      </c>
      <c r="Q3811">
        <v>-0.82285375213189804</v>
      </c>
      <c r="R3811">
        <v>0.14729598092329199</v>
      </c>
      <c r="S3811">
        <v>16.0961982679001</v>
      </c>
      <c r="T3811">
        <v>-1.4635792339146101</v>
      </c>
      <c r="U3811">
        <v>-5.8259833937060099</v>
      </c>
      <c r="V3811">
        <v>0.16065350631808101</v>
      </c>
      <c r="W3811">
        <v>0.76143423245561503</v>
      </c>
      <c r="X3811">
        <v>0</v>
      </c>
      <c r="Y3811">
        <v>0</v>
      </c>
    </row>
    <row r="3812" spans="1:25" x14ac:dyDescent="0.2">
      <c r="A3812" t="s">
        <v>13977</v>
      </c>
      <c r="B3812" t="s">
        <v>13978</v>
      </c>
      <c r="C3812" t="s">
        <v>14776</v>
      </c>
      <c r="D3812" t="s">
        <v>13979</v>
      </c>
      <c r="E3812" t="s">
        <v>13978</v>
      </c>
      <c r="F3812" t="s">
        <v>28</v>
      </c>
      <c r="G3812" t="s">
        <v>13978</v>
      </c>
      <c r="H3812" t="str">
        <f>"ZK1025.3"</f>
        <v>ZK1025.3</v>
      </c>
      <c r="I3812" t="s">
        <v>13979</v>
      </c>
      <c r="J3812">
        <v>11.5895583588897</v>
      </c>
      <c r="K3812" t="s">
        <v>29</v>
      </c>
      <c r="L3812">
        <v>11.784714111048499</v>
      </c>
      <c r="M3812">
        <v>12.430615856153601</v>
      </c>
      <c r="N3812">
        <v>13.256660462948</v>
      </c>
      <c r="O3812" t="s">
        <v>29</v>
      </c>
      <c r="P3812">
        <v>1.1565019245817101</v>
      </c>
      <c r="Q3812">
        <v>0.13331954800880699</v>
      </c>
      <c r="R3812">
        <v>2.1796843011546199</v>
      </c>
      <c r="S3812">
        <v>11.638564581637199</v>
      </c>
      <c r="T3812">
        <v>2.5220877868081599</v>
      </c>
      <c r="U3812">
        <v>-4.0316429627051003</v>
      </c>
      <c r="V3812">
        <v>3.0503660902791399E-2</v>
      </c>
      <c r="W3812">
        <v>0.38350268280793198</v>
      </c>
      <c r="X3812">
        <v>1</v>
      </c>
      <c r="Y3812">
        <v>0</v>
      </c>
    </row>
    <row r="3813" spans="1:25" x14ac:dyDescent="0.2">
      <c r="A3813" t="s">
        <v>13980</v>
      </c>
      <c r="B3813" t="s">
        <v>13981</v>
      </c>
      <c r="C3813" t="s">
        <v>13982</v>
      </c>
      <c r="D3813" t="s">
        <v>13983</v>
      </c>
      <c r="E3813" t="s">
        <v>13981</v>
      </c>
      <c r="F3813" t="s">
        <v>28</v>
      </c>
      <c r="G3813" t="s">
        <v>13981</v>
      </c>
      <c r="H3813" t="str">
        <f>"pus-1"</f>
        <v>pus-1</v>
      </c>
      <c r="I3813" t="s">
        <v>13983</v>
      </c>
      <c r="J3813" t="s">
        <v>29</v>
      </c>
      <c r="K3813">
        <v>11.0049286819161</v>
      </c>
      <c r="L3813">
        <v>10.816839278202</v>
      </c>
      <c r="M3813">
        <v>11.026343981194801</v>
      </c>
      <c r="N3813">
        <v>10.918246050791399</v>
      </c>
      <c r="O3813">
        <v>10.8219082008548</v>
      </c>
      <c r="P3813">
        <v>1.1282097554673199E-2</v>
      </c>
      <c r="Q3813">
        <v>-1.0663026119091801</v>
      </c>
      <c r="R3813">
        <v>1.0888668070185299</v>
      </c>
      <c r="S3813">
        <v>12.0126027228875</v>
      </c>
      <c r="T3813">
        <v>2.2471409975221301E-2</v>
      </c>
      <c r="U3813">
        <v>-6.7719375950474401</v>
      </c>
      <c r="V3813">
        <v>0.98239143017942598</v>
      </c>
      <c r="W3813">
        <v>0.99968702248720698</v>
      </c>
      <c r="X3813">
        <v>0</v>
      </c>
      <c r="Y3813">
        <v>0</v>
      </c>
    </row>
    <row r="3814" spans="1:25" x14ac:dyDescent="0.2">
      <c r="A3814" t="s">
        <v>13984</v>
      </c>
      <c r="B3814" t="s">
        <v>13985</v>
      </c>
      <c r="C3814" t="s">
        <v>13986</v>
      </c>
      <c r="D3814" t="s">
        <v>13987</v>
      </c>
      <c r="E3814" t="s">
        <v>13985</v>
      </c>
      <c r="F3814" t="s">
        <v>28</v>
      </c>
      <c r="G3814" t="s">
        <v>13985</v>
      </c>
      <c r="H3814" t="str">
        <f>"immt-2"</f>
        <v>immt-2</v>
      </c>
      <c r="I3814" t="s">
        <v>13987</v>
      </c>
      <c r="J3814">
        <v>12.2795031576649</v>
      </c>
      <c r="K3814">
        <v>12.067175803219801</v>
      </c>
      <c r="L3814">
        <v>12.4753333035047</v>
      </c>
      <c r="M3814">
        <v>12.4532941594109</v>
      </c>
      <c r="N3814">
        <v>12.491866489598401</v>
      </c>
      <c r="O3814">
        <v>12.411981052347899</v>
      </c>
      <c r="P3814">
        <v>0.17837647898924799</v>
      </c>
      <c r="Q3814">
        <v>-0.40936611206857099</v>
      </c>
      <c r="R3814">
        <v>0.76611907004706803</v>
      </c>
      <c r="S3814">
        <v>12.291076247971899</v>
      </c>
      <c r="T3814">
        <v>0.64727976376905405</v>
      </c>
      <c r="U3814">
        <v>-6.6643304552684501</v>
      </c>
      <c r="V3814">
        <v>0.52730150720371405</v>
      </c>
      <c r="W3814">
        <v>0.94259531549477504</v>
      </c>
      <c r="X3814">
        <v>0</v>
      </c>
      <c r="Y3814">
        <v>0</v>
      </c>
    </row>
    <row r="3815" spans="1:25" x14ac:dyDescent="0.2">
      <c r="A3815" t="s">
        <v>13988</v>
      </c>
      <c r="B3815" t="s">
        <v>13989</v>
      </c>
      <c r="C3815" t="s">
        <v>13990</v>
      </c>
      <c r="D3815" t="s">
        <v>13991</v>
      </c>
      <c r="E3815" t="s">
        <v>13989</v>
      </c>
      <c r="F3815" t="s">
        <v>28</v>
      </c>
      <c r="G3815" t="s">
        <v>13989</v>
      </c>
      <c r="H3815" t="str">
        <f>"ngp-1"</f>
        <v>ngp-1</v>
      </c>
      <c r="I3815" t="s">
        <v>13991</v>
      </c>
      <c r="J3815">
        <v>15.179381807164701</v>
      </c>
      <c r="K3815">
        <v>15.1532913549224</v>
      </c>
      <c r="L3815">
        <v>15.402759368481799</v>
      </c>
      <c r="M3815">
        <v>15.5155933538848</v>
      </c>
      <c r="N3815">
        <v>15.691816634996099</v>
      </c>
      <c r="O3815">
        <v>15.341164220945799</v>
      </c>
      <c r="P3815">
        <v>0.27104722641929202</v>
      </c>
      <c r="Q3815">
        <v>-0.13006038142638299</v>
      </c>
      <c r="R3815">
        <v>0.67215483426496603</v>
      </c>
      <c r="S3815">
        <v>15.815034015561</v>
      </c>
      <c r="T3815">
        <v>1.4202885351913599</v>
      </c>
      <c r="U3815">
        <v>-5.8843532987891898</v>
      </c>
      <c r="V3815">
        <v>0.17271252294971401</v>
      </c>
      <c r="W3815">
        <v>0.77568784401157198</v>
      </c>
      <c r="X3815">
        <v>0</v>
      </c>
      <c r="Y3815">
        <v>0</v>
      </c>
    </row>
    <row r="3816" spans="1:25" x14ac:dyDescent="0.2">
      <c r="A3816" t="s">
        <v>13992</v>
      </c>
      <c r="B3816" t="s">
        <v>13993</v>
      </c>
      <c r="C3816" t="s">
        <v>14777</v>
      </c>
      <c r="D3816" t="s">
        <v>107</v>
      </c>
      <c r="E3816" t="s">
        <v>13993</v>
      </c>
      <c r="F3816" t="s">
        <v>28</v>
      </c>
      <c r="G3816" t="s">
        <v>13993</v>
      </c>
      <c r="H3816" t="str">
        <f>"Y51A2D.18"</f>
        <v>Y51A2D.18</v>
      </c>
      <c r="I3816" t="s">
        <v>107</v>
      </c>
      <c r="J3816">
        <v>13.094477072337201</v>
      </c>
      <c r="K3816">
        <v>13.3238149808243</v>
      </c>
      <c r="L3816">
        <v>12.9516020920861</v>
      </c>
      <c r="M3816">
        <v>13.259836498970101</v>
      </c>
      <c r="N3816">
        <v>13.0116529133587</v>
      </c>
      <c r="O3816">
        <v>12.7355030477769</v>
      </c>
      <c r="P3816">
        <v>-0.120967228380671</v>
      </c>
      <c r="Q3816">
        <v>-0.58181955337779701</v>
      </c>
      <c r="R3816">
        <v>0.339885096616454</v>
      </c>
      <c r="S3816">
        <v>12.989113016284</v>
      </c>
      <c r="T3816">
        <v>-0.551694253651413</v>
      </c>
      <c r="U3816">
        <v>-6.7248096951048</v>
      </c>
      <c r="V3816">
        <v>0.58798172029576301</v>
      </c>
      <c r="W3816">
        <v>0.963273565916412</v>
      </c>
      <c r="X3816">
        <v>0</v>
      </c>
      <c r="Y3816">
        <v>0</v>
      </c>
    </row>
    <row r="3817" spans="1:25" x14ac:dyDescent="0.2">
      <c r="A3817" t="s">
        <v>13994</v>
      </c>
      <c r="B3817" t="s">
        <v>13995</v>
      </c>
      <c r="C3817" t="s">
        <v>13996</v>
      </c>
      <c r="D3817" t="s">
        <v>13997</v>
      </c>
      <c r="E3817" t="s">
        <v>13995</v>
      </c>
      <c r="F3817" t="s">
        <v>28</v>
      </c>
      <c r="G3817" t="s">
        <v>13995</v>
      </c>
      <c r="H3817" t="str">
        <f>"lpin-1"</f>
        <v>lpin-1</v>
      </c>
      <c r="I3817" t="s">
        <v>13997</v>
      </c>
      <c r="J3817">
        <v>15.504855970078101</v>
      </c>
      <c r="K3817">
        <v>15.602164722361101</v>
      </c>
      <c r="L3817">
        <v>15.179679060566199</v>
      </c>
      <c r="M3817">
        <v>15.381002296153</v>
      </c>
      <c r="N3817">
        <v>15.213965112773</v>
      </c>
      <c r="O3817">
        <v>15.4277136495453</v>
      </c>
      <c r="P3817">
        <v>-8.8006231511338101E-2</v>
      </c>
      <c r="Q3817">
        <v>-0.56714221252358599</v>
      </c>
      <c r="R3817">
        <v>0.39112974950091001</v>
      </c>
      <c r="S3817">
        <v>14.837831972332699</v>
      </c>
      <c r="T3817">
        <v>-0.38605319588683401</v>
      </c>
      <c r="U3817">
        <v>-6.8049437913583404</v>
      </c>
      <c r="V3817">
        <v>0.70400863963864502</v>
      </c>
      <c r="W3817">
        <v>0.98642420921484297</v>
      </c>
      <c r="X3817">
        <v>0</v>
      </c>
      <c r="Y3817">
        <v>0</v>
      </c>
    </row>
    <row r="3818" spans="1:25" x14ac:dyDescent="0.2">
      <c r="A3818" t="s">
        <v>13998</v>
      </c>
      <c r="B3818" t="s">
        <v>13999</v>
      </c>
      <c r="C3818" t="s">
        <v>14000</v>
      </c>
      <c r="D3818" t="s">
        <v>14001</v>
      </c>
      <c r="E3818" t="s">
        <v>13999</v>
      </c>
      <c r="F3818" t="s">
        <v>28</v>
      </c>
      <c r="G3818" t="s">
        <v>13999</v>
      </c>
      <c r="H3818" t="str">
        <f>"vha-11"</f>
        <v>vha-11</v>
      </c>
      <c r="I3818" t="s">
        <v>14001</v>
      </c>
      <c r="J3818">
        <v>16.544223413708</v>
      </c>
      <c r="K3818">
        <v>16.379108910973098</v>
      </c>
      <c r="L3818">
        <v>16.327277554965299</v>
      </c>
      <c r="M3818">
        <v>16.7261208787714</v>
      </c>
      <c r="N3818">
        <v>16.619031894799399</v>
      </c>
      <c r="O3818">
        <v>16.430420817864</v>
      </c>
      <c r="P3818">
        <v>0.17498790392945601</v>
      </c>
      <c r="Q3818">
        <v>-0.25683826873341098</v>
      </c>
      <c r="R3818">
        <v>0.606814076592322</v>
      </c>
      <c r="S3818">
        <v>16.473797861732798</v>
      </c>
      <c r="T3818">
        <v>0.85170967595066505</v>
      </c>
      <c r="U3818">
        <v>-6.5110223739271298</v>
      </c>
      <c r="V3818">
        <v>0.40562937393950099</v>
      </c>
      <c r="W3818">
        <v>0.91027279600179201</v>
      </c>
      <c r="X3818">
        <v>0</v>
      </c>
      <c r="Y3818">
        <v>0</v>
      </c>
    </row>
    <row r="3819" spans="1:25" x14ac:dyDescent="0.2">
      <c r="A3819" t="s">
        <v>14002</v>
      </c>
      <c r="B3819" t="s">
        <v>14003</v>
      </c>
      <c r="C3819" t="s">
        <v>14004</v>
      </c>
      <c r="D3819" t="s">
        <v>14005</v>
      </c>
      <c r="E3819" t="s">
        <v>14003</v>
      </c>
      <c r="F3819" t="s">
        <v>28</v>
      </c>
      <c r="G3819" t="s">
        <v>14003</v>
      </c>
      <c r="H3819" t="str">
        <f>"nhr-8"</f>
        <v>nhr-8</v>
      </c>
      <c r="I3819" t="s">
        <v>14005</v>
      </c>
      <c r="J3819" t="s">
        <v>29</v>
      </c>
      <c r="K3819">
        <v>11.171049044591401</v>
      </c>
      <c r="L3819">
        <v>11.2660258023091</v>
      </c>
      <c r="M3819">
        <v>10.9287883981806</v>
      </c>
      <c r="N3819">
        <v>12.2093466925017</v>
      </c>
      <c r="O3819">
        <v>10.6246592125856</v>
      </c>
      <c r="P3819">
        <v>3.5727344305721297E-2</v>
      </c>
      <c r="Q3819">
        <v>-0.965787650362399</v>
      </c>
      <c r="R3819">
        <v>1.0372423389738401</v>
      </c>
      <c r="S3819">
        <v>12.1323546618781</v>
      </c>
      <c r="T3819">
        <v>7.6565861274892094E-2</v>
      </c>
      <c r="U3819">
        <v>-6.7691036969836</v>
      </c>
      <c r="V3819">
        <v>0.940060448079586</v>
      </c>
      <c r="W3819">
        <v>0.99926809132575301</v>
      </c>
      <c r="X3819">
        <v>0</v>
      </c>
      <c r="Y3819">
        <v>0</v>
      </c>
    </row>
    <row r="3820" spans="1:25" x14ac:dyDescent="0.2">
      <c r="A3820" t="s">
        <v>14006</v>
      </c>
      <c r="B3820" t="s">
        <v>14007</v>
      </c>
      <c r="C3820" t="s">
        <v>14008</v>
      </c>
      <c r="D3820" t="s">
        <v>14009</v>
      </c>
      <c r="E3820" t="s">
        <v>14007</v>
      </c>
      <c r="F3820" t="s">
        <v>28</v>
      </c>
      <c r="G3820" t="s">
        <v>14007</v>
      </c>
      <c r="H3820" t="str">
        <f>"unc-11"</f>
        <v>unc-11</v>
      </c>
      <c r="I3820" t="s">
        <v>14009</v>
      </c>
      <c r="J3820" t="s">
        <v>29</v>
      </c>
      <c r="K3820" t="s">
        <v>29</v>
      </c>
      <c r="L3820" t="s">
        <v>29</v>
      </c>
      <c r="M3820" t="s">
        <v>29</v>
      </c>
      <c r="N3820">
        <v>12.845886416726801</v>
      </c>
      <c r="O3820" t="s">
        <v>29</v>
      </c>
      <c r="P3820" t="s">
        <v>29</v>
      </c>
      <c r="Q3820" t="s">
        <v>29</v>
      </c>
      <c r="R3820" t="s">
        <v>29</v>
      </c>
      <c r="S3820">
        <v>13.0705914222728</v>
      </c>
      <c r="T3820" t="s">
        <v>29</v>
      </c>
      <c r="U3820" t="s">
        <v>29</v>
      </c>
      <c r="V3820" t="s">
        <v>29</v>
      </c>
      <c r="W3820" t="s">
        <v>29</v>
      </c>
      <c r="X3820" t="s">
        <v>29</v>
      </c>
      <c r="Y3820" t="s">
        <v>29</v>
      </c>
    </row>
    <row r="3821" spans="1:25" x14ac:dyDescent="0.2">
      <c r="A3821" t="s">
        <v>14010</v>
      </c>
      <c r="B3821" t="s">
        <v>14011</v>
      </c>
      <c r="C3821" t="s">
        <v>14012</v>
      </c>
      <c r="D3821" t="s">
        <v>14013</v>
      </c>
      <c r="E3821" t="s">
        <v>14011</v>
      </c>
      <c r="F3821" t="s">
        <v>28</v>
      </c>
      <c r="G3821" t="s">
        <v>14011</v>
      </c>
      <c r="H3821" t="str">
        <f>"itr-1"</f>
        <v>itr-1</v>
      </c>
      <c r="I3821" t="s">
        <v>14013</v>
      </c>
      <c r="J3821">
        <v>13.094026599480101</v>
      </c>
      <c r="K3821">
        <v>12.738115171412799</v>
      </c>
      <c r="L3821">
        <v>12.6936737137032</v>
      </c>
      <c r="M3821">
        <v>12.650742280179401</v>
      </c>
      <c r="N3821">
        <v>12.924853335984499</v>
      </c>
      <c r="O3821">
        <v>12.857261536097001</v>
      </c>
      <c r="P3821">
        <v>-3.09861107783913E-2</v>
      </c>
      <c r="Q3821">
        <v>-0.47379696974615898</v>
      </c>
      <c r="R3821">
        <v>0.41182474818937598</v>
      </c>
      <c r="S3821">
        <v>12.782597446788801</v>
      </c>
      <c r="T3821">
        <v>-0.14770623216723799</v>
      </c>
      <c r="U3821">
        <v>-6.8710619085002902</v>
      </c>
      <c r="V3821">
        <v>0.88432304701489395</v>
      </c>
      <c r="W3821">
        <v>0.99702926582654094</v>
      </c>
      <c r="X3821">
        <v>0</v>
      </c>
      <c r="Y3821">
        <v>0</v>
      </c>
    </row>
    <row r="3822" spans="1:25" x14ac:dyDescent="0.2">
      <c r="A3822" t="s">
        <v>14014</v>
      </c>
      <c r="B3822" t="s">
        <v>14015</v>
      </c>
      <c r="C3822" t="s">
        <v>14016</v>
      </c>
      <c r="D3822" t="s">
        <v>14017</v>
      </c>
      <c r="E3822" t="s">
        <v>14015</v>
      </c>
      <c r="F3822" t="s">
        <v>28</v>
      </c>
      <c r="G3822" t="s">
        <v>14015</v>
      </c>
      <c r="H3822" t="str">
        <f>"spl-1"</f>
        <v>spl-1</v>
      </c>
      <c r="I3822" t="s">
        <v>14017</v>
      </c>
      <c r="J3822">
        <v>13.948541474986699</v>
      </c>
      <c r="K3822">
        <v>12.861288586223401</v>
      </c>
      <c r="L3822">
        <v>13.180434438053201</v>
      </c>
      <c r="M3822">
        <v>13.3767512917339</v>
      </c>
      <c r="N3822">
        <v>12.9907703785083</v>
      </c>
      <c r="O3822">
        <v>13.655037649212399</v>
      </c>
      <c r="P3822">
        <v>1.0764940063754801E-2</v>
      </c>
      <c r="Q3822">
        <v>-0.57015679266966701</v>
      </c>
      <c r="R3822">
        <v>0.59168667279717702</v>
      </c>
      <c r="S3822">
        <v>13.592340064533699</v>
      </c>
      <c r="T3822">
        <v>3.9304612762635902E-2</v>
      </c>
      <c r="U3822">
        <v>-6.8816770565681402</v>
      </c>
      <c r="V3822">
        <v>0.96913696863715904</v>
      </c>
      <c r="W3822">
        <v>0.99968702248720698</v>
      </c>
      <c r="X3822">
        <v>0</v>
      </c>
      <c r="Y3822">
        <v>0</v>
      </c>
    </row>
    <row r="3823" spans="1:25" x14ac:dyDescent="0.2">
      <c r="A3823" t="s">
        <v>14018</v>
      </c>
      <c r="B3823" t="s">
        <v>14019</v>
      </c>
      <c r="C3823" t="s">
        <v>14020</v>
      </c>
      <c r="D3823" t="s">
        <v>55</v>
      </c>
      <c r="E3823" t="s">
        <v>14019</v>
      </c>
      <c r="F3823" t="s">
        <v>28</v>
      </c>
      <c r="G3823" t="s">
        <v>14019</v>
      </c>
      <c r="H3823" t="str">
        <f>"rhgf-2"</f>
        <v>rhgf-2</v>
      </c>
      <c r="I3823" t="s">
        <v>55</v>
      </c>
      <c r="J3823" t="s">
        <v>29</v>
      </c>
      <c r="K3823" t="s">
        <v>29</v>
      </c>
      <c r="L3823">
        <v>10.1049599802417</v>
      </c>
      <c r="M3823">
        <v>10.5359176673623</v>
      </c>
      <c r="N3823" t="s">
        <v>29</v>
      </c>
      <c r="O3823">
        <v>10.752273258162701</v>
      </c>
      <c r="P3823">
        <v>0.53913548252078403</v>
      </c>
      <c r="Q3823">
        <v>-0.26397129574808398</v>
      </c>
      <c r="R3823">
        <v>1.34224226078965</v>
      </c>
      <c r="S3823">
        <v>11.2356297488886</v>
      </c>
      <c r="T3823">
        <v>1.4640962774798001</v>
      </c>
      <c r="U3823">
        <v>-5.4416866725188404</v>
      </c>
      <c r="V3823">
        <v>0.16908934534313599</v>
      </c>
      <c r="W3823">
        <v>0.76875593074037796</v>
      </c>
      <c r="X3823">
        <v>0</v>
      </c>
      <c r="Y3823">
        <v>0</v>
      </c>
    </row>
    <row r="3824" spans="1:25" x14ac:dyDescent="0.2">
      <c r="A3824" t="s">
        <v>14021</v>
      </c>
      <c r="B3824" t="s">
        <v>14022</v>
      </c>
      <c r="C3824" t="s">
        <v>14023</v>
      </c>
      <c r="D3824" t="s">
        <v>368</v>
      </c>
      <c r="E3824" t="s">
        <v>14022</v>
      </c>
      <c r="F3824" t="s">
        <v>28</v>
      </c>
      <c r="G3824" t="s">
        <v>14022</v>
      </c>
      <c r="H3824" t="str">
        <f>"C08F8.3"</f>
        <v>C08F8.3</v>
      </c>
      <c r="I3824" t="s">
        <v>368</v>
      </c>
      <c r="J3824" t="s">
        <v>29</v>
      </c>
      <c r="K3824">
        <v>10.889394821261099</v>
      </c>
      <c r="L3824">
        <v>10.385831802550699</v>
      </c>
      <c r="M3824" t="s">
        <v>29</v>
      </c>
      <c r="N3824">
        <v>11.665569057613499</v>
      </c>
      <c r="O3824" t="s">
        <v>29</v>
      </c>
      <c r="P3824">
        <v>1.02795574570764</v>
      </c>
      <c r="Q3824">
        <v>0.109681513753302</v>
      </c>
      <c r="R3824">
        <v>1.94622997766197</v>
      </c>
      <c r="S3824">
        <v>12.6421726338277</v>
      </c>
      <c r="T3824">
        <v>2.4667759982142399</v>
      </c>
      <c r="U3824">
        <v>-3.9199190676024198</v>
      </c>
      <c r="V3824">
        <v>3.1490161541895802E-2</v>
      </c>
      <c r="W3824">
        <v>0.38454578694047797</v>
      </c>
      <c r="X3824">
        <v>1</v>
      </c>
      <c r="Y3824">
        <v>0</v>
      </c>
    </row>
    <row r="3825" spans="1:25" x14ac:dyDescent="0.2">
      <c r="A3825" t="s">
        <v>14024</v>
      </c>
      <c r="B3825" t="s">
        <v>14025</v>
      </c>
      <c r="C3825" t="s">
        <v>14026</v>
      </c>
      <c r="D3825" t="s">
        <v>2378</v>
      </c>
      <c r="E3825" t="s">
        <v>14025</v>
      </c>
      <c r="F3825" t="s">
        <v>28</v>
      </c>
      <c r="G3825" t="s">
        <v>14025</v>
      </c>
      <c r="H3825" t="str">
        <f>"kcc-1"</f>
        <v>kcc-1</v>
      </c>
      <c r="I3825" t="s">
        <v>2378</v>
      </c>
      <c r="J3825">
        <v>15.7034509504364</v>
      </c>
      <c r="K3825">
        <v>15.6088679824372</v>
      </c>
      <c r="L3825">
        <v>14.8544879402357</v>
      </c>
      <c r="M3825">
        <v>15.5676824931135</v>
      </c>
      <c r="N3825">
        <v>15.2011070538972</v>
      </c>
      <c r="O3825">
        <v>15.3130563017312</v>
      </c>
      <c r="P3825">
        <v>-2.8320341455779999E-2</v>
      </c>
      <c r="Q3825">
        <v>-0.54642961610406404</v>
      </c>
      <c r="R3825">
        <v>0.48978893319250399</v>
      </c>
      <c r="S3825">
        <v>14.791652250023899</v>
      </c>
      <c r="T3825">
        <v>-0.114886667420875</v>
      </c>
      <c r="U3825">
        <v>-6.8755957178933302</v>
      </c>
      <c r="V3825">
        <v>0.90981423329975197</v>
      </c>
      <c r="W3825">
        <v>0.99833354317360001</v>
      </c>
      <c r="X3825">
        <v>0</v>
      </c>
      <c r="Y3825">
        <v>0</v>
      </c>
    </row>
    <row r="3826" spans="1:25" x14ac:dyDescent="0.2">
      <c r="A3826" t="s">
        <v>14027</v>
      </c>
      <c r="B3826" t="s">
        <v>14028</v>
      </c>
      <c r="C3826" t="s">
        <v>14029</v>
      </c>
      <c r="D3826" t="s">
        <v>14030</v>
      </c>
      <c r="E3826" t="s">
        <v>14028</v>
      </c>
      <c r="F3826" t="s">
        <v>28</v>
      </c>
      <c r="G3826" t="s">
        <v>14028</v>
      </c>
      <c r="H3826" t="str">
        <f>"ptrn-1"</f>
        <v>ptrn-1</v>
      </c>
      <c r="I3826" t="s">
        <v>14030</v>
      </c>
      <c r="J3826">
        <v>14.1471381057417</v>
      </c>
      <c r="K3826">
        <v>14.442798018662801</v>
      </c>
      <c r="L3826">
        <v>14.4625752604718</v>
      </c>
      <c r="M3826">
        <v>14.6124080241156</v>
      </c>
      <c r="N3826">
        <v>14.532496610345699</v>
      </c>
      <c r="O3826">
        <v>14.434745912617601</v>
      </c>
      <c r="P3826">
        <v>0.17571305406751</v>
      </c>
      <c r="Q3826">
        <v>-0.28180010296765901</v>
      </c>
      <c r="R3826">
        <v>0.63322621110267796</v>
      </c>
      <c r="S3826">
        <v>14.4783816917897</v>
      </c>
      <c r="T3826">
        <v>0.80722193103433504</v>
      </c>
      <c r="U3826">
        <v>-6.5481404984780598</v>
      </c>
      <c r="V3826">
        <v>0.43013784040109698</v>
      </c>
      <c r="W3826">
        <v>0.91512503332874395</v>
      </c>
      <c r="X3826">
        <v>0</v>
      </c>
      <c r="Y3826">
        <v>0</v>
      </c>
    </row>
    <row r="3827" spans="1:25" x14ac:dyDescent="0.2">
      <c r="A3827" t="s">
        <v>14031</v>
      </c>
      <c r="B3827" t="s">
        <v>14032</v>
      </c>
      <c r="C3827" t="s">
        <v>14033</v>
      </c>
      <c r="D3827" t="s">
        <v>758</v>
      </c>
      <c r="E3827" t="s">
        <v>14032</v>
      </c>
      <c r="F3827" t="s">
        <v>28</v>
      </c>
      <c r="G3827" t="s">
        <v>14032</v>
      </c>
      <c r="H3827" t="str">
        <f>"fln-1"</f>
        <v>fln-1</v>
      </c>
      <c r="I3827" t="s">
        <v>758</v>
      </c>
      <c r="J3827">
        <v>17.2445739130034</v>
      </c>
      <c r="K3827">
        <v>17.0915831914492</v>
      </c>
      <c r="L3827">
        <v>17.153126622775002</v>
      </c>
      <c r="M3827">
        <v>16.974364924513601</v>
      </c>
      <c r="N3827">
        <v>16.8813589687079</v>
      </c>
      <c r="O3827">
        <v>17.012384582097798</v>
      </c>
      <c r="P3827">
        <v>-0.20705841730275401</v>
      </c>
      <c r="Q3827">
        <v>-0.50708916694246498</v>
      </c>
      <c r="R3827">
        <v>9.2972332336956606E-2</v>
      </c>
      <c r="S3827">
        <v>16.932299273038002</v>
      </c>
      <c r="T3827">
        <v>-1.4505063557478699</v>
      </c>
      <c r="U3827">
        <v>-5.8437554791192303</v>
      </c>
      <c r="V3827">
        <v>0.164220209433588</v>
      </c>
      <c r="W3827">
        <v>0.76700908257918199</v>
      </c>
      <c r="X3827">
        <v>0</v>
      </c>
      <c r="Y3827">
        <v>0</v>
      </c>
    </row>
    <row r="3828" spans="1:25" x14ac:dyDescent="0.2">
      <c r="A3828" t="s">
        <v>14034</v>
      </c>
      <c r="B3828" t="s">
        <v>14035</v>
      </c>
      <c r="C3828" t="s">
        <v>14778</v>
      </c>
      <c r="D3828" t="s">
        <v>14036</v>
      </c>
      <c r="E3828" t="s">
        <v>14035</v>
      </c>
      <c r="F3828" t="s">
        <v>28</v>
      </c>
      <c r="G3828" t="s">
        <v>14035</v>
      </c>
      <c r="H3828" t="str">
        <f>"Y37E11AM.3"</f>
        <v>Y37E11AM.3</v>
      </c>
      <c r="I3828" t="s">
        <v>14036</v>
      </c>
      <c r="J3828">
        <v>13.1037110933284</v>
      </c>
      <c r="K3828">
        <v>13.0131416487057</v>
      </c>
      <c r="L3828">
        <v>12.904995993577099</v>
      </c>
      <c r="M3828">
        <v>12.897220949168901</v>
      </c>
      <c r="N3828">
        <v>13.050668893987901</v>
      </c>
      <c r="O3828">
        <v>12.785038570678299</v>
      </c>
      <c r="P3828">
        <v>-9.6306773925386197E-2</v>
      </c>
      <c r="Q3828">
        <v>-0.490287397772178</v>
      </c>
      <c r="R3828">
        <v>0.297673849921405</v>
      </c>
      <c r="S3828">
        <v>12.532935450847001</v>
      </c>
      <c r="T3828">
        <v>-0.518479394692128</v>
      </c>
      <c r="U3828">
        <v>-6.7422903475340901</v>
      </c>
      <c r="V3828">
        <v>0.61126623743719699</v>
      </c>
      <c r="W3828">
        <v>0.97238011246645495</v>
      </c>
      <c r="X3828">
        <v>0</v>
      </c>
      <c r="Y3828">
        <v>0</v>
      </c>
    </row>
    <row r="3829" spans="1:25" x14ac:dyDescent="0.2">
      <c r="A3829" t="s">
        <v>14037</v>
      </c>
      <c r="B3829" t="s">
        <v>14038</v>
      </c>
      <c r="C3829" t="s">
        <v>14039</v>
      </c>
      <c r="D3829" t="s">
        <v>14040</v>
      </c>
      <c r="E3829" t="s">
        <v>14038</v>
      </c>
      <c r="F3829" t="s">
        <v>28</v>
      </c>
      <c r="G3829" t="s">
        <v>14038</v>
      </c>
      <c r="H3829" t="str">
        <f>"denn-4"</f>
        <v>denn-4</v>
      </c>
      <c r="I3829" t="s">
        <v>14040</v>
      </c>
      <c r="J3829">
        <v>13.970529509683301</v>
      </c>
      <c r="K3829">
        <v>13.650815977637</v>
      </c>
      <c r="L3829">
        <v>13.5067947074477</v>
      </c>
      <c r="M3829">
        <v>13.6344419944551</v>
      </c>
      <c r="N3829">
        <v>13.5219067306098</v>
      </c>
      <c r="O3829">
        <v>13.8980605467502</v>
      </c>
      <c r="P3829">
        <v>-2.4576974317632502E-2</v>
      </c>
      <c r="Q3829">
        <v>-0.46889076152028297</v>
      </c>
      <c r="R3829">
        <v>0.41973681288501802</v>
      </c>
      <c r="S3829">
        <v>13.791184702143999</v>
      </c>
      <c r="T3829">
        <v>-0.11675853551328599</v>
      </c>
      <c r="U3829">
        <v>-6.8753471877180399</v>
      </c>
      <c r="V3829">
        <v>0.90842810918253802</v>
      </c>
      <c r="W3829">
        <v>0.99833354317360001</v>
      </c>
      <c r="X3829">
        <v>0</v>
      </c>
      <c r="Y3829">
        <v>0</v>
      </c>
    </row>
    <row r="3830" spans="1:25" x14ac:dyDescent="0.2">
      <c r="A3830" t="s">
        <v>14041</v>
      </c>
      <c r="B3830" t="s">
        <v>14042</v>
      </c>
      <c r="C3830" t="s">
        <v>14043</v>
      </c>
      <c r="D3830" t="s">
        <v>14044</v>
      </c>
      <c r="E3830" t="s">
        <v>14042</v>
      </c>
      <c r="F3830" t="s">
        <v>28</v>
      </c>
      <c r="G3830" t="s">
        <v>14042</v>
      </c>
      <c r="H3830" t="str">
        <f>"tftc-1"</f>
        <v>tftc-1</v>
      </c>
      <c r="I3830" t="s">
        <v>14044</v>
      </c>
      <c r="J3830">
        <v>12.2279304914282</v>
      </c>
      <c r="K3830">
        <v>12.5958127160113</v>
      </c>
      <c r="L3830">
        <v>12.3891350585293</v>
      </c>
      <c r="M3830">
        <v>12.391934620253</v>
      </c>
      <c r="N3830">
        <v>12.4776224126656</v>
      </c>
      <c r="O3830">
        <v>12.422017843204401</v>
      </c>
      <c r="P3830">
        <v>2.6232203384744E-2</v>
      </c>
      <c r="Q3830">
        <v>-0.41934509961986899</v>
      </c>
      <c r="R3830">
        <v>0.47180950638935698</v>
      </c>
      <c r="S3830">
        <v>12.801848261961499</v>
      </c>
      <c r="T3830">
        <v>0.12373832235447201</v>
      </c>
      <c r="U3830">
        <v>-6.8744929712214002</v>
      </c>
      <c r="V3830">
        <v>0.902901714298183</v>
      </c>
      <c r="W3830">
        <v>0.99833354317360001</v>
      </c>
      <c r="X3830">
        <v>0</v>
      </c>
      <c r="Y3830">
        <v>0</v>
      </c>
    </row>
    <row r="3831" spans="1:25" x14ac:dyDescent="0.2">
      <c r="A3831" t="s">
        <v>14045</v>
      </c>
      <c r="B3831" t="s">
        <v>14046</v>
      </c>
      <c r="C3831" t="s">
        <v>14047</v>
      </c>
      <c r="D3831" t="s">
        <v>13954</v>
      </c>
      <c r="E3831" t="s">
        <v>14046</v>
      </c>
      <c r="F3831" t="s">
        <v>28</v>
      </c>
      <c r="G3831" t="s">
        <v>14046</v>
      </c>
      <c r="H3831" t="str">
        <f>"eel-1"</f>
        <v>eel-1</v>
      </c>
      <c r="I3831" t="s">
        <v>13954</v>
      </c>
      <c r="J3831">
        <v>13.7701216368829</v>
      </c>
      <c r="K3831">
        <v>13.5672111700194</v>
      </c>
      <c r="L3831">
        <v>13.813988087041199</v>
      </c>
      <c r="M3831">
        <v>13.678589541213499</v>
      </c>
      <c r="N3831">
        <v>13.829442925736901</v>
      </c>
      <c r="O3831">
        <v>13.639413546921</v>
      </c>
      <c r="P3831">
        <v>-1.2916266907119201E-3</v>
      </c>
      <c r="Q3831">
        <v>-1.76069423906275</v>
      </c>
      <c r="R3831">
        <v>1.75811098568132</v>
      </c>
      <c r="S3831">
        <v>14.197384734129599</v>
      </c>
      <c r="T3831">
        <v>-1.54299419277465E-3</v>
      </c>
      <c r="U3831">
        <v>-6.8824883304409203</v>
      </c>
      <c r="V3831">
        <v>0.99878594019946598</v>
      </c>
      <c r="W3831">
        <v>0.99996163501229596</v>
      </c>
      <c r="X3831">
        <v>0</v>
      </c>
      <c r="Y3831">
        <v>0</v>
      </c>
    </row>
    <row r="3832" spans="1:25" x14ac:dyDescent="0.2">
      <c r="A3832" t="s">
        <v>14048</v>
      </c>
      <c r="B3832" t="s">
        <v>14049</v>
      </c>
      <c r="C3832" t="s">
        <v>14050</v>
      </c>
      <c r="D3832" t="s">
        <v>2180</v>
      </c>
      <c r="E3832" t="s">
        <v>14049</v>
      </c>
      <c r="F3832" t="s">
        <v>28</v>
      </c>
      <c r="G3832" t="s">
        <v>14049</v>
      </c>
      <c r="H3832" t="str">
        <f>"hum-8"</f>
        <v>hum-8</v>
      </c>
      <c r="I3832" t="s">
        <v>2180</v>
      </c>
      <c r="J3832">
        <v>13.7265332401834</v>
      </c>
      <c r="K3832">
        <v>13.6854602727696</v>
      </c>
      <c r="L3832">
        <v>13.5455140107844</v>
      </c>
      <c r="M3832">
        <v>13.4130092015795</v>
      </c>
      <c r="N3832">
        <v>13.4905184022398</v>
      </c>
      <c r="O3832">
        <v>12.9337633531529</v>
      </c>
      <c r="P3832">
        <v>-0.373405522255082</v>
      </c>
      <c r="Q3832">
        <v>-0.79517584718565104</v>
      </c>
      <c r="R3832">
        <v>4.8364802675486998E-2</v>
      </c>
      <c r="S3832">
        <v>13.344100105670201</v>
      </c>
      <c r="T3832">
        <v>-1.8687651621649899</v>
      </c>
      <c r="U3832">
        <v>-5.2203573574856996</v>
      </c>
      <c r="V3832">
        <v>7.9094338949324702E-2</v>
      </c>
      <c r="W3832">
        <v>0.60076942510977904</v>
      </c>
      <c r="X3832">
        <v>0</v>
      </c>
      <c r="Y3832">
        <v>0</v>
      </c>
    </row>
    <row r="3833" spans="1:25" x14ac:dyDescent="0.2">
      <c r="A3833" t="s">
        <v>14051</v>
      </c>
      <c r="B3833" t="s">
        <v>14052</v>
      </c>
      <c r="C3833" t="s">
        <v>14779</v>
      </c>
      <c r="D3833" t="s">
        <v>581</v>
      </c>
      <c r="E3833" t="s">
        <v>14052</v>
      </c>
      <c r="F3833" t="s">
        <v>28</v>
      </c>
      <c r="G3833" t="s">
        <v>14052</v>
      </c>
      <c r="H3833" t="str">
        <f>"Y76B12C.6"</f>
        <v>Y76B12C.6</v>
      </c>
      <c r="I3833" t="s">
        <v>581</v>
      </c>
      <c r="J3833">
        <v>11.1592733698904</v>
      </c>
      <c r="K3833" t="s">
        <v>29</v>
      </c>
      <c r="L3833">
        <v>11.1643901506073</v>
      </c>
      <c r="M3833" t="s">
        <v>29</v>
      </c>
      <c r="N3833">
        <v>13.857478696520401</v>
      </c>
      <c r="O3833" t="s">
        <v>29</v>
      </c>
      <c r="P3833">
        <v>2.6956469362715798</v>
      </c>
      <c r="Q3833">
        <v>1.6268318578562999</v>
      </c>
      <c r="R3833">
        <v>3.7644620146868601</v>
      </c>
      <c r="S3833">
        <v>12.310289819498401</v>
      </c>
      <c r="T3833">
        <v>5.55761081424198</v>
      </c>
      <c r="U3833">
        <v>1.13689543073709</v>
      </c>
      <c r="V3833">
        <v>1.7687550667928599E-4</v>
      </c>
      <c r="W3833">
        <v>7.8485558163821998E-3</v>
      </c>
      <c r="X3833">
        <v>1</v>
      </c>
      <c r="Y3833">
        <v>1</v>
      </c>
    </row>
    <row r="3834" spans="1:25" x14ac:dyDescent="0.2">
      <c r="A3834" t="s">
        <v>14053</v>
      </c>
      <c r="B3834" t="s">
        <v>14054</v>
      </c>
      <c r="C3834" t="s">
        <v>14780</v>
      </c>
      <c r="D3834" t="s">
        <v>4052</v>
      </c>
      <c r="E3834" t="s">
        <v>14054</v>
      </c>
      <c r="F3834" t="s">
        <v>28</v>
      </c>
      <c r="G3834" t="s">
        <v>14054</v>
      </c>
      <c r="H3834" t="str">
        <f>"F56A11.5"</f>
        <v>F56A11.5</v>
      </c>
      <c r="I3834" t="s">
        <v>4052</v>
      </c>
      <c r="J3834">
        <v>14.640225408245101</v>
      </c>
      <c r="K3834">
        <v>14.142307993483101</v>
      </c>
      <c r="L3834">
        <v>14.3688487939908</v>
      </c>
      <c r="M3834">
        <v>14.2987988225408</v>
      </c>
      <c r="N3834">
        <v>14.419864845078299</v>
      </c>
      <c r="O3834">
        <v>14.0547096735752</v>
      </c>
      <c r="P3834">
        <v>-0.12600295150820401</v>
      </c>
      <c r="Q3834">
        <v>-0.494652860941318</v>
      </c>
      <c r="R3834">
        <v>0.24264695792491101</v>
      </c>
      <c r="S3834">
        <v>14.514205973773301</v>
      </c>
      <c r="T3834">
        <v>-0.721467213657908</v>
      </c>
      <c r="U3834">
        <v>-6.61383023881202</v>
      </c>
      <c r="V3834">
        <v>0.48048819068269399</v>
      </c>
      <c r="W3834">
        <v>0.93764446794243095</v>
      </c>
      <c r="X3834">
        <v>0</v>
      </c>
      <c r="Y3834">
        <v>0</v>
      </c>
    </row>
    <row r="3835" spans="1:25" x14ac:dyDescent="0.2">
      <c r="A3835" t="s">
        <v>14055</v>
      </c>
      <c r="B3835" t="s">
        <v>14056</v>
      </c>
      <c r="C3835" t="s">
        <v>14781</v>
      </c>
      <c r="D3835" t="s">
        <v>14057</v>
      </c>
      <c r="E3835" t="s">
        <v>14056</v>
      </c>
      <c r="F3835" t="s">
        <v>28</v>
      </c>
      <c r="G3835" t="s">
        <v>14056</v>
      </c>
      <c r="H3835" t="str">
        <f>"Y41D4A.6"</f>
        <v>Y41D4A.6</v>
      </c>
      <c r="I3835" t="s">
        <v>14057</v>
      </c>
      <c r="J3835">
        <v>12.698793443712299</v>
      </c>
      <c r="K3835">
        <v>12.811452757837801</v>
      </c>
      <c r="L3835">
        <v>12.7968901950121</v>
      </c>
      <c r="M3835">
        <v>12.517360638956699</v>
      </c>
      <c r="N3835">
        <v>12.8285170532025</v>
      </c>
      <c r="O3835">
        <v>12.5172726932536</v>
      </c>
      <c r="P3835">
        <v>-0.147995337049798</v>
      </c>
      <c r="Q3835">
        <v>-0.71900927581766805</v>
      </c>
      <c r="R3835">
        <v>0.42301860171807298</v>
      </c>
      <c r="S3835">
        <v>12.9749792528364</v>
      </c>
      <c r="T3835">
        <v>-0.54708062641147504</v>
      </c>
      <c r="U3835">
        <v>-6.7270049330825303</v>
      </c>
      <c r="V3835">
        <v>0.59147702906782595</v>
      </c>
      <c r="W3835">
        <v>0.96355457670086098</v>
      </c>
      <c r="X3835">
        <v>0</v>
      </c>
      <c r="Y3835">
        <v>0</v>
      </c>
    </row>
    <row r="3836" spans="1:25" x14ac:dyDescent="0.2">
      <c r="A3836" t="s">
        <v>14058</v>
      </c>
      <c r="B3836" t="s">
        <v>14059</v>
      </c>
      <c r="C3836" t="s">
        <v>14060</v>
      </c>
      <c r="D3836" t="s">
        <v>14061</v>
      </c>
      <c r="E3836" t="s">
        <v>14059</v>
      </c>
      <c r="F3836" t="s">
        <v>28</v>
      </c>
      <c r="G3836" t="s">
        <v>14059</v>
      </c>
      <c r="H3836" t="str">
        <f>"pfs-2"</f>
        <v>pfs-2</v>
      </c>
      <c r="I3836" t="s">
        <v>14061</v>
      </c>
      <c r="J3836">
        <v>12.6902624425617</v>
      </c>
      <c r="K3836">
        <v>12.929174048687401</v>
      </c>
      <c r="L3836">
        <v>12.9063282925094</v>
      </c>
      <c r="M3836">
        <v>12.5242789551553</v>
      </c>
      <c r="N3836">
        <v>12.8658914138915</v>
      </c>
      <c r="O3836">
        <v>12.793204370693401</v>
      </c>
      <c r="P3836">
        <v>-0.11413001467275</v>
      </c>
      <c r="Q3836">
        <v>-0.55558420445585399</v>
      </c>
      <c r="R3836">
        <v>0.327324175110355</v>
      </c>
      <c r="S3836">
        <v>12.6145045929115</v>
      </c>
      <c r="T3836">
        <v>-0.54571292907373403</v>
      </c>
      <c r="U3836">
        <v>-6.7277745679515801</v>
      </c>
      <c r="V3836">
        <v>0.59239629404217697</v>
      </c>
      <c r="W3836">
        <v>0.96358497877437199</v>
      </c>
      <c r="X3836">
        <v>0</v>
      </c>
      <c r="Y3836">
        <v>0</v>
      </c>
    </row>
    <row r="3837" spans="1:25" x14ac:dyDescent="0.2">
      <c r="A3837" t="s">
        <v>14062</v>
      </c>
      <c r="B3837" t="s">
        <v>14063</v>
      </c>
      <c r="C3837" t="s">
        <v>14064</v>
      </c>
      <c r="D3837" t="s">
        <v>433</v>
      </c>
      <c r="E3837" t="s">
        <v>14063</v>
      </c>
      <c r="F3837" t="s">
        <v>28</v>
      </c>
      <c r="G3837" t="s">
        <v>14063</v>
      </c>
      <c r="H3837" t="str">
        <f>"slmp-1"</f>
        <v>slmp-1</v>
      </c>
      <c r="I3837" t="s">
        <v>433</v>
      </c>
      <c r="J3837" t="s">
        <v>29</v>
      </c>
      <c r="K3837">
        <v>12.3724522924285</v>
      </c>
      <c r="L3837">
        <v>11.8029670667171</v>
      </c>
      <c r="M3837" t="s">
        <v>29</v>
      </c>
      <c r="N3837" t="s">
        <v>29</v>
      </c>
      <c r="O3837">
        <v>12.919650160295401</v>
      </c>
      <c r="P3837">
        <v>0.83194048072257798</v>
      </c>
      <c r="Q3837">
        <v>-0.122214924038024</v>
      </c>
      <c r="R3837">
        <v>1.7860958854831801</v>
      </c>
      <c r="S3837">
        <v>11.603771638340501</v>
      </c>
      <c r="T3837">
        <v>1.94553940998012</v>
      </c>
      <c r="U3837">
        <v>-4.7664143139844901</v>
      </c>
      <c r="V3837">
        <v>8.0647685410527706E-2</v>
      </c>
      <c r="W3837">
        <v>0.60313594841850804</v>
      </c>
      <c r="X3837">
        <v>0</v>
      </c>
      <c r="Y3837">
        <v>0</v>
      </c>
    </row>
    <row r="3838" spans="1:25" x14ac:dyDescent="0.2">
      <c r="A3838" t="s">
        <v>14065</v>
      </c>
      <c r="B3838" t="s">
        <v>14066</v>
      </c>
      <c r="C3838" t="s">
        <v>14782</v>
      </c>
      <c r="D3838" t="s">
        <v>14067</v>
      </c>
      <c r="E3838" t="s">
        <v>14066</v>
      </c>
      <c r="F3838" t="s">
        <v>28</v>
      </c>
      <c r="G3838" t="s">
        <v>14066</v>
      </c>
      <c r="H3838" t="str">
        <f>"Y77E11A.7"</f>
        <v>Y77E11A.7</v>
      </c>
      <c r="I3838" t="s">
        <v>14067</v>
      </c>
      <c r="J3838">
        <v>13.1885998736039</v>
      </c>
      <c r="K3838">
        <v>13.148004539446299</v>
      </c>
      <c r="L3838">
        <v>12.975714467110601</v>
      </c>
      <c r="M3838">
        <v>12.806938966964101</v>
      </c>
      <c r="N3838">
        <v>13.1305325705353</v>
      </c>
      <c r="O3838">
        <v>13.3832787411599</v>
      </c>
      <c r="P3838">
        <v>2.8104661661920698E-3</v>
      </c>
      <c r="Q3838">
        <v>-0.59247618096397403</v>
      </c>
      <c r="R3838">
        <v>0.59809711329635895</v>
      </c>
      <c r="S3838">
        <v>13.4897779627504</v>
      </c>
      <c r="T3838">
        <v>9.9230398067025292E-3</v>
      </c>
      <c r="U3838">
        <v>-6.882438125887</v>
      </c>
      <c r="V3838">
        <v>0.992192478701312</v>
      </c>
      <c r="W3838">
        <v>0.99968702248720698</v>
      </c>
      <c r="X3838">
        <v>0</v>
      </c>
      <c r="Y3838">
        <v>0</v>
      </c>
    </row>
    <row r="3839" spans="1:25" x14ac:dyDescent="0.2">
      <c r="A3839" t="s">
        <v>14068</v>
      </c>
      <c r="B3839" t="s">
        <v>14069</v>
      </c>
      <c r="C3839" t="s">
        <v>14070</v>
      </c>
      <c r="D3839" t="s">
        <v>14071</v>
      </c>
      <c r="E3839" t="s">
        <v>14069</v>
      </c>
      <c r="F3839" t="s">
        <v>28</v>
      </c>
      <c r="G3839" t="s">
        <v>14069</v>
      </c>
      <c r="H3839" t="str">
        <f>"aass-1"</f>
        <v>aass-1</v>
      </c>
      <c r="I3839" t="s">
        <v>14071</v>
      </c>
      <c r="J3839">
        <v>16.630912425574099</v>
      </c>
      <c r="K3839">
        <v>16.672803100484401</v>
      </c>
      <c r="L3839">
        <v>16.671981959461199</v>
      </c>
      <c r="M3839">
        <v>16.453147241424801</v>
      </c>
      <c r="N3839">
        <v>16.782529431958501</v>
      </c>
      <c r="O3839">
        <v>16.375814771119298</v>
      </c>
      <c r="P3839">
        <v>-0.12140201367233799</v>
      </c>
      <c r="Q3839">
        <v>-0.69479212476218799</v>
      </c>
      <c r="R3839">
        <v>0.451988097417512</v>
      </c>
      <c r="S3839">
        <v>17.0038728388134</v>
      </c>
      <c r="T3839">
        <v>-0.44500839592783598</v>
      </c>
      <c r="U3839">
        <v>-6.7795921719202203</v>
      </c>
      <c r="V3839">
        <v>0.66164960033902598</v>
      </c>
      <c r="W3839">
        <v>0.98382359994193702</v>
      </c>
      <c r="X3839">
        <v>0</v>
      </c>
      <c r="Y3839">
        <v>0</v>
      </c>
    </row>
    <row r="3840" spans="1:25" x14ac:dyDescent="0.2">
      <c r="A3840" t="s">
        <v>14072</v>
      </c>
      <c r="B3840" t="s">
        <v>14073</v>
      </c>
      <c r="C3840" t="s">
        <v>14074</v>
      </c>
      <c r="D3840" t="s">
        <v>2432</v>
      </c>
      <c r="E3840" t="s">
        <v>14073</v>
      </c>
      <c r="F3840" t="s">
        <v>28</v>
      </c>
      <c r="G3840" t="s">
        <v>14073</v>
      </c>
      <c r="H3840" t="str">
        <f>"kvs-5"</f>
        <v>kvs-5</v>
      </c>
      <c r="I3840" t="s">
        <v>2432</v>
      </c>
      <c r="J3840" t="s">
        <v>29</v>
      </c>
      <c r="K3840" t="s">
        <v>29</v>
      </c>
      <c r="L3840" t="s">
        <v>29</v>
      </c>
      <c r="M3840" t="s">
        <v>29</v>
      </c>
      <c r="N3840">
        <v>12.220726449279301</v>
      </c>
      <c r="O3840" t="s">
        <v>29</v>
      </c>
      <c r="P3840" t="s">
        <v>29</v>
      </c>
      <c r="Q3840" t="s">
        <v>29</v>
      </c>
      <c r="R3840" t="s">
        <v>29</v>
      </c>
      <c r="S3840">
        <v>11.563302626930099</v>
      </c>
      <c r="T3840" t="s">
        <v>29</v>
      </c>
      <c r="U3840" t="s">
        <v>29</v>
      </c>
      <c r="V3840" t="s">
        <v>29</v>
      </c>
      <c r="W3840" t="s">
        <v>29</v>
      </c>
      <c r="X3840" t="s">
        <v>29</v>
      </c>
      <c r="Y3840" t="s">
        <v>29</v>
      </c>
    </row>
    <row r="3841" spans="1:25" x14ac:dyDescent="0.2">
      <c r="A3841" t="s">
        <v>14075</v>
      </c>
      <c r="B3841" t="s">
        <v>14076</v>
      </c>
      <c r="C3841" t="s">
        <v>14077</v>
      </c>
      <c r="D3841" t="s">
        <v>758</v>
      </c>
      <c r="E3841" t="s">
        <v>14076</v>
      </c>
      <c r="F3841" t="s">
        <v>28</v>
      </c>
      <c r="G3841" t="s">
        <v>14076</v>
      </c>
      <c r="H3841" t="str">
        <f>"plst-1"</f>
        <v>plst-1</v>
      </c>
      <c r="I3841" t="s">
        <v>758</v>
      </c>
      <c r="J3841">
        <v>13.145511484487701</v>
      </c>
      <c r="K3841">
        <v>13.240409780230101</v>
      </c>
      <c r="L3841">
        <v>13.396180891832399</v>
      </c>
      <c r="M3841">
        <v>13.6222824182927</v>
      </c>
      <c r="N3841">
        <v>13.576216462593401</v>
      </c>
      <c r="O3841">
        <v>13.0616182331039</v>
      </c>
      <c r="P3841">
        <v>0.15933831914660401</v>
      </c>
      <c r="Q3841">
        <v>-0.48345857327896002</v>
      </c>
      <c r="R3841">
        <v>0.80213521157216905</v>
      </c>
      <c r="S3841">
        <v>12.978844339665001</v>
      </c>
      <c r="T3841">
        <v>0.52100150295807801</v>
      </c>
      <c r="U3841">
        <v>-6.7417372285260599</v>
      </c>
      <c r="V3841">
        <v>0.60875318865421402</v>
      </c>
      <c r="W3841">
        <v>0.97166935819722999</v>
      </c>
      <c r="X3841">
        <v>0</v>
      </c>
      <c r="Y3841">
        <v>0</v>
      </c>
    </row>
    <row r="3842" spans="1:25" x14ac:dyDescent="0.2">
      <c r="A3842" t="s">
        <v>14078</v>
      </c>
      <c r="B3842" t="s">
        <v>14079</v>
      </c>
      <c r="C3842" t="s">
        <v>14080</v>
      </c>
      <c r="D3842" t="s">
        <v>14081</v>
      </c>
      <c r="E3842" t="s">
        <v>14079</v>
      </c>
      <c r="F3842" t="s">
        <v>28</v>
      </c>
      <c r="G3842" t="s">
        <v>14079</v>
      </c>
      <c r="H3842" t="str">
        <f>"pig-1"</f>
        <v>pig-1</v>
      </c>
      <c r="I3842" t="s">
        <v>14081</v>
      </c>
      <c r="J3842">
        <v>13.158043359435</v>
      </c>
      <c r="K3842">
        <v>13.4232656080446</v>
      </c>
      <c r="L3842">
        <v>13.410188521018799</v>
      </c>
      <c r="M3842">
        <v>13.5283119529901</v>
      </c>
      <c r="N3842">
        <v>12.8666278116036</v>
      </c>
      <c r="O3842">
        <v>12.752021638159</v>
      </c>
      <c r="P3842">
        <v>-0.28151202858188101</v>
      </c>
      <c r="Q3842">
        <v>-0.84997954644727702</v>
      </c>
      <c r="R3842">
        <v>0.286955489283514</v>
      </c>
      <c r="S3842">
        <v>13.0971132847713</v>
      </c>
      <c r="T3842">
        <v>-1.0503664270655799</v>
      </c>
      <c r="U3842">
        <v>-6.3216460120338702</v>
      </c>
      <c r="V3842">
        <v>0.30925782683734399</v>
      </c>
      <c r="W3842">
        <v>0.86207931095287205</v>
      </c>
      <c r="X3842">
        <v>0</v>
      </c>
      <c r="Y3842">
        <v>0</v>
      </c>
    </row>
    <row r="3843" spans="1:25" x14ac:dyDescent="0.2">
      <c r="A3843" t="s">
        <v>14082</v>
      </c>
      <c r="B3843" t="s">
        <v>14083</v>
      </c>
      <c r="C3843" t="s">
        <v>14084</v>
      </c>
      <c r="D3843" t="s">
        <v>14085</v>
      </c>
      <c r="E3843" t="s">
        <v>14083</v>
      </c>
      <c r="F3843" t="s">
        <v>28</v>
      </c>
      <c r="G3843" t="s">
        <v>14083</v>
      </c>
      <c r="H3843" t="str">
        <f>"smgl-2"</f>
        <v>smgl-2</v>
      </c>
      <c r="I3843" t="s">
        <v>14085</v>
      </c>
      <c r="J3843" t="s">
        <v>29</v>
      </c>
      <c r="K3843" t="s">
        <v>29</v>
      </c>
      <c r="L3843" t="s">
        <v>29</v>
      </c>
      <c r="M3843" t="s">
        <v>29</v>
      </c>
      <c r="N3843">
        <v>11.5294619701226</v>
      </c>
      <c r="O3843" t="s">
        <v>29</v>
      </c>
      <c r="P3843" t="s">
        <v>29</v>
      </c>
      <c r="Q3843" t="s">
        <v>29</v>
      </c>
      <c r="R3843" t="s">
        <v>29</v>
      </c>
      <c r="S3843">
        <v>11.822937074320601</v>
      </c>
      <c r="T3843" t="s">
        <v>29</v>
      </c>
      <c r="U3843" t="s">
        <v>29</v>
      </c>
      <c r="V3843" t="s">
        <v>29</v>
      </c>
      <c r="W3843" t="s">
        <v>29</v>
      </c>
      <c r="X3843" t="s">
        <v>29</v>
      </c>
      <c r="Y3843" t="s">
        <v>29</v>
      </c>
    </row>
    <row r="3844" spans="1:25" x14ac:dyDescent="0.2">
      <c r="A3844" t="s">
        <v>14086</v>
      </c>
      <c r="B3844" t="s">
        <v>14087</v>
      </c>
      <c r="C3844" t="s">
        <v>14088</v>
      </c>
      <c r="D3844" t="s">
        <v>14089</v>
      </c>
      <c r="E3844" t="s">
        <v>14087</v>
      </c>
      <c r="F3844" t="s">
        <v>28</v>
      </c>
      <c r="G3844" t="s">
        <v>14087</v>
      </c>
      <c r="H3844" t="str">
        <f>"glna-1"</f>
        <v>glna-1</v>
      </c>
      <c r="I3844" t="s">
        <v>14089</v>
      </c>
      <c r="J3844">
        <v>12.3697535659718</v>
      </c>
      <c r="K3844">
        <v>12.1749784944752</v>
      </c>
      <c r="L3844">
        <v>12.224633985691099</v>
      </c>
      <c r="M3844">
        <v>13.787491625786901</v>
      </c>
      <c r="N3844">
        <v>13.8571901245496</v>
      </c>
      <c r="O3844">
        <v>13.5476787529941</v>
      </c>
      <c r="P3844">
        <v>1.4743314857308401</v>
      </c>
      <c r="Q3844">
        <v>0.78000978439413504</v>
      </c>
      <c r="R3844">
        <v>2.1686531870675401</v>
      </c>
      <c r="S3844">
        <v>13.8693984177694</v>
      </c>
      <c r="T3844">
        <v>4.4630002792452101</v>
      </c>
      <c r="U3844">
        <v>7.7793829467023706E-2</v>
      </c>
      <c r="V3844">
        <v>3.04513439100948E-4</v>
      </c>
      <c r="W3844">
        <v>1.16750437516254E-2</v>
      </c>
      <c r="X3844">
        <v>1</v>
      </c>
      <c r="Y3844">
        <v>1</v>
      </c>
    </row>
    <row r="3845" spans="1:25" x14ac:dyDescent="0.2">
      <c r="A3845" t="s">
        <v>14090</v>
      </c>
      <c r="B3845" t="s">
        <v>14091</v>
      </c>
      <c r="C3845" t="s">
        <v>14783</v>
      </c>
      <c r="D3845" t="s">
        <v>663</v>
      </c>
      <c r="E3845" t="s">
        <v>14091</v>
      </c>
      <c r="F3845" t="s">
        <v>28</v>
      </c>
      <c r="G3845" t="s">
        <v>14091</v>
      </c>
      <c r="H3845" t="str">
        <f>"Y41D4A.4"</f>
        <v>Y41D4A.4</v>
      </c>
      <c r="I3845" t="s">
        <v>663</v>
      </c>
      <c r="J3845">
        <v>14.2118126220688</v>
      </c>
      <c r="K3845">
        <v>14.0802811518307</v>
      </c>
      <c r="L3845">
        <v>14.405936301719599</v>
      </c>
      <c r="M3845">
        <v>14.3705567253081</v>
      </c>
      <c r="N3845">
        <v>14.630749635253</v>
      </c>
      <c r="O3845">
        <v>14.002327451872899</v>
      </c>
      <c r="P3845">
        <v>0.101867912271633</v>
      </c>
      <c r="Q3845">
        <v>-0.33398573129115999</v>
      </c>
      <c r="R3845">
        <v>0.53772155583442605</v>
      </c>
      <c r="S3845">
        <v>14.502064930116401</v>
      </c>
      <c r="T3845">
        <v>0.49123492717968398</v>
      </c>
      <c r="U3845">
        <v>-6.7572558696488896</v>
      </c>
      <c r="V3845">
        <v>0.62923072267978597</v>
      </c>
      <c r="W3845">
        <v>0.97279262440453396</v>
      </c>
      <c r="X3845">
        <v>0</v>
      </c>
      <c r="Y3845">
        <v>0</v>
      </c>
    </row>
    <row r="3846" spans="1:25" x14ac:dyDescent="0.2">
      <c r="A3846" t="s">
        <v>14092</v>
      </c>
      <c r="B3846" t="s">
        <v>14093</v>
      </c>
      <c r="C3846" t="s">
        <v>14094</v>
      </c>
      <c r="D3846" t="s">
        <v>14095</v>
      </c>
      <c r="E3846" t="s">
        <v>14093</v>
      </c>
      <c r="F3846" t="s">
        <v>28</v>
      </c>
      <c r="G3846" t="s">
        <v>14093</v>
      </c>
      <c r="H3846" t="str">
        <f>"plx-1"</f>
        <v>plx-1</v>
      </c>
      <c r="I3846" t="s">
        <v>14095</v>
      </c>
      <c r="J3846">
        <v>13.6001160579216</v>
      </c>
      <c r="K3846" t="s">
        <v>29</v>
      </c>
      <c r="L3846">
        <v>13.4527622085598</v>
      </c>
      <c r="M3846">
        <v>13.2314324996156</v>
      </c>
      <c r="N3846">
        <v>13.496772439526801</v>
      </c>
      <c r="O3846">
        <v>13.889469337606</v>
      </c>
      <c r="P3846">
        <v>1.278562567542E-2</v>
      </c>
      <c r="Q3846">
        <v>-0.68617975864492697</v>
      </c>
      <c r="R3846">
        <v>0.71175100999576701</v>
      </c>
      <c r="S3846">
        <v>13.038459152465199</v>
      </c>
      <c r="T3846">
        <v>3.9894344144744902E-2</v>
      </c>
      <c r="U3846">
        <v>-6.7713532306724904</v>
      </c>
      <c r="V3846">
        <v>0.96883913040852798</v>
      </c>
      <c r="W3846">
        <v>0.99968702248720698</v>
      </c>
      <c r="X3846">
        <v>0</v>
      </c>
      <c r="Y3846">
        <v>0</v>
      </c>
    </row>
    <row r="3847" spans="1:25" x14ac:dyDescent="0.2">
      <c r="A3847" t="s">
        <v>14096</v>
      </c>
      <c r="B3847" t="s">
        <v>14097</v>
      </c>
      <c r="C3847" t="s">
        <v>14784</v>
      </c>
      <c r="D3847" t="s">
        <v>14098</v>
      </c>
      <c r="E3847" t="s">
        <v>14097</v>
      </c>
      <c r="F3847" t="s">
        <v>28</v>
      </c>
      <c r="G3847" t="s">
        <v>14097</v>
      </c>
      <c r="H3847" t="str">
        <f>"H35B03.2"</f>
        <v>H35B03.2</v>
      </c>
      <c r="I3847" t="s">
        <v>14098</v>
      </c>
      <c r="J3847" t="s">
        <v>29</v>
      </c>
      <c r="K3847">
        <v>11.6777049294913</v>
      </c>
      <c r="L3847" t="s">
        <v>29</v>
      </c>
      <c r="M3847">
        <v>11.681222494841</v>
      </c>
      <c r="N3847" t="s">
        <v>29</v>
      </c>
      <c r="O3847" t="s">
        <v>29</v>
      </c>
      <c r="P3847">
        <v>3.5175653496644101E-3</v>
      </c>
      <c r="Q3847">
        <v>-1.2705243599408</v>
      </c>
      <c r="R3847">
        <v>1.27755949064013</v>
      </c>
      <c r="S3847">
        <v>11.8732518996704</v>
      </c>
      <c r="T3847">
        <v>6.1606331052435704E-3</v>
      </c>
      <c r="U3847">
        <v>-6.3433673170242004</v>
      </c>
      <c r="V3847">
        <v>0.99520698999094603</v>
      </c>
      <c r="W3847">
        <v>0.99968702248720698</v>
      </c>
      <c r="X3847">
        <v>0</v>
      </c>
      <c r="Y3847">
        <v>0</v>
      </c>
    </row>
    <row r="3848" spans="1:25" x14ac:dyDescent="0.2">
      <c r="A3848" t="s">
        <v>14099</v>
      </c>
      <c r="B3848" t="s">
        <v>14100</v>
      </c>
      <c r="C3848" t="s">
        <v>14101</v>
      </c>
      <c r="D3848" t="s">
        <v>14102</v>
      </c>
      <c r="E3848" t="s">
        <v>14100</v>
      </c>
      <c r="F3848" t="s">
        <v>28</v>
      </c>
      <c r="G3848" t="s">
        <v>14100</v>
      </c>
      <c r="H3848" t="str">
        <f>"mtm-10"</f>
        <v>mtm-10</v>
      </c>
      <c r="I3848" t="s">
        <v>14102</v>
      </c>
      <c r="J3848" t="s">
        <v>29</v>
      </c>
      <c r="K3848" t="s">
        <v>29</v>
      </c>
      <c r="L3848" t="s">
        <v>29</v>
      </c>
      <c r="M3848">
        <v>11.271567976770401</v>
      </c>
      <c r="N3848">
        <v>11.6764654332438</v>
      </c>
      <c r="O3848">
        <v>12.151781129644901</v>
      </c>
      <c r="P3848" t="s">
        <v>29</v>
      </c>
      <c r="Q3848" t="s">
        <v>29</v>
      </c>
      <c r="R3848" t="s">
        <v>29</v>
      </c>
      <c r="S3848">
        <v>11.2113334236528</v>
      </c>
      <c r="T3848" t="s">
        <v>29</v>
      </c>
      <c r="U3848" t="s">
        <v>29</v>
      </c>
      <c r="V3848" t="s">
        <v>29</v>
      </c>
      <c r="W3848" t="s">
        <v>29</v>
      </c>
      <c r="X3848" t="s">
        <v>29</v>
      </c>
      <c r="Y3848" t="s">
        <v>29</v>
      </c>
    </row>
    <row r="3849" spans="1:25" x14ac:dyDescent="0.2">
      <c r="A3849" t="s">
        <v>14103</v>
      </c>
      <c r="B3849" t="s">
        <v>14104</v>
      </c>
      <c r="C3849" t="s">
        <v>14105</v>
      </c>
      <c r="D3849" t="s">
        <v>416</v>
      </c>
      <c r="E3849" t="s">
        <v>14104</v>
      </c>
      <c r="F3849" t="s">
        <v>28</v>
      </c>
      <c r="G3849" t="s">
        <v>14104</v>
      </c>
      <c r="H3849" t="str">
        <f>"usp-4"</f>
        <v>usp-4</v>
      </c>
      <c r="I3849" t="s">
        <v>416</v>
      </c>
      <c r="J3849">
        <v>14.7036867028428</v>
      </c>
      <c r="K3849">
        <v>14.7420827574038</v>
      </c>
      <c r="L3849">
        <v>14.5123457499707</v>
      </c>
      <c r="M3849">
        <v>14.6314725641676</v>
      </c>
      <c r="N3849">
        <v>14.539079412797999</v>
      </c>
      <c r="O3849">
        <v>14.3827893275795</v>
      </c>
      <c r="P3849">
        <v>-0.134924635224069</v>
      </c>
      <c r="Q3849">
        <v>-0.661400085614538</v>
      </c>
      <c r="R3849">
        <v>0.391550815166401</v>
      </c>
      <c r="S3849">
        <v>14.1783388236802</v>
      </c>
      <c r="T3849">
        <v>-0.53864873090997001</v>
      </c>
      <c r="U3849">
        <v>-6.7321190698080304</v>
      </c>
      <c r="V3849">
        <v>0.59676688264092803</v>
      </c>
      <c r="W3849">
        <v>0.96643413452906302</v>
      </c>
      <c r="X3849">
        <v>0</v>
      </c>
      <c r="Y3849">
        <v>0</v>
      </c>
    </row>
    <row r="3850" spans="1:25" x14ac:dyDescent="0.2">
      <c r="A3850" t="s">
        <v>14106</v>
      </c>
      <c r="B3850" t="s">
        <v>14107</v>
      </c>
      <c r="C3850" t="s">
        <v>14785</v>
      </c>
      <c r="D3850" t="s">
        <v>865</v>
      </c>
      <c r="E3850" t="s">
        <v>14107</v>
      </c>
      <c r="F3850" t="s">
        <v>28</v>
      </c>
      <c r="G3850" t="s">
        <v>14107</v>
      </c>
      <c r="H3850" t="str">
        <f>"Y48G1C.8"</f>
        <v>Y48G1C.8</v>
      </c>
      <c r="I3850" t="s">
        <v>865</v>
      </c>
      <c r="J3850">
        <v>11.5591710238653</v>
      </c>
      <c r="K3850">
        <v>11.6055759491</v>
      </c>
      <c r="L3850">
        <v>11.991369001550099</v>
      </c>
      <c r="M3850">
        <v>11.962642557110801</v>
      </c>
      <c r="N3850">
        <v>12.3116331584725</v>
      </c>
      <c r="O3850" t="s">
        <v>29</v>
      </c>
      <c r="P3850">
        <v>0.41843253295318</v>
      </c>
      <c r="Q3850">
        <v>-0.17484580151107701</v>
      </c>
      <c r="R3850">
        <v>1.01171086741744</v>
      </c>
      <c r="S3850">
        <v>12.5468145946534</v>
      </c>
      <c r="T3850">
        <v>1.51376635115319</v>
      </c>
      <c r="U3850">
        <v>-5.6511297972673704</v>
      </c>
      <c r="V3850">
        <v>0.15249582089366601</v>
      </c>
      <c r="W3850">
        <v>0.74633248813841202</v>
      </c>
      <c r="X3850">
        <v>0</v>
      </c>
      <c r="Y3850">
        <v>0</v>
      </c>
    </row>
    <row r="3851" spans="1:25" x14ac:dyDescent="0.2">
      <c r="A3851" t="s">
        <v>14108</v>
      </c>
      <c r="B3851" t="s">
        <v>14109</v>
      </c>
      <c r="C3851" t="s">
        <v>14110</v>
      </c>
      <c r="D3851" t="s">
        <v>14111</v>
      </c>
      <c r="E3851" t="s">
        <v>14109</v>
      </c>
      <c r="F3851" t="s">
        <v>28</v>
      </c>
      <c r="G3851" t="s">
        <v>14109</v>
      </c>
      <c r="H3851" t="str">
        <f>"hecd-1"</f>
        <v>hecd-1</v>
      </c>
      <c r="I3851" t="s">
        <v>14111</v>
      </c>
      <c r="J3851">
        <v>15.023197289479301</v>
      </c>
      <c r="K3851">
        <v>14.8810006162396</v>
      </c>
      <c r="L3851">
        <v>14.836561689770701</v>
      </c>
      <c r="M3851">
        <v>15.0537909065295</v>
      </c>
      <c r="N3851">
        <v>15.0238831034127</v>
      </c>
      <c r="O3851">
        <v>14.8874531458458</v>
      </c>
      <c r="P3851">
        <v>7.4789186766123394E-2</v>
      </c>
      <c r="Q3851">
        <v>-0.394528799032966</v>
      </c>
      <c r="R3851">
        <v>0.54410717256521202</v>
      </c>
      <c r="S3851">
        <v>15.3699245343053</v>
      </c>
      <c r="T3851">
        <v>0.33637338520687499</v>
      </c>
      <c r="U3851">
        <v>-6.8233849968404403</v>
      </c>
      <c r="V3851">
        <v>0.74073106152586898</v>
      </c>
      <c r="W3851">
        <v>0.99147544347995398</v>
      </c>
      <c r="X3851">
        <v>0</v>
      </c>
      <c r="Y3851">
        <v>0</v>
      </c>
    </row>
    <row r="3852" spans="1:25" x14ac:dyDescent="0.2">
      <c r="A3852" t="s">
        <v>14112</v>
      </c>
      <c r="B3852" t="s">
        <v>14113</v>
      </c>
      <c r="C3852" t="s">
        <v>14114</v>
      </c>
      <c r="D3852" t="s">
        <v>2477</v>
      </c>
      <c r="E3852" t="s">
        <v>14113</v>
      </c>
      <c r="F3852" t="s">
        <v>28</v>
      </c>
      <c r="G3852" t="s">
        <v>14113</v>
      </c>
      <c r="H3852" t="str">
        <f>"hgap-1"</f>
        <v>hgap-1</v>
      </c>
      <c r="I3852" t="s">
        <v>2477</v>
      </c>
      <c r="J3852">
        <v>12.7543106519368</v>
      </c>
      <c r="K3852">
        <v>12.393767725779499</v>
      </c>
      <c r="L3852">
        <v>12.5686201000221</v>
      </c>
      <c r="M3852">
        <v>12.1945636849976</v>
      </c>
      <c r="N3852">
        <v>12.513459064004399</v>
      </c>
      <c r="O3852">
        <v>12.249443629375</v>
      </c>
      <c r="P3852">
        <v>-0.25307736645383899</v>
      </c>
      <c r="Q3852">
        <v>-0.92843544216252505</v>
      </c>
      <c r="R3852">
        <v>0.42228070925484701</v>
      </c>
      <c r="S3852">
        <v>12.3502918651995</v>
      </c>
      <c r="T3852">
        <v>-0.78761090802273004</v>
      </c>
      <c r="U3852">
        <v>-6.5639156960453997</v>
      </c>
      <c r="V3852">
        <v>0.44123241563782001</v>
      </c>
      <c r="W3852">
        <v>0.92006726233944303</v>
      </c>
      <c r="X3852">
        <v>0</v>
      </c>
      <c r="Y3852">
        <v>0</v>
      </c>
    </row>
    <row r="3853" spans="1:25" x14ac:dyDescent="0.2">
      <c r="A3853" t="s">
        <v>14115</v>
      </c>
      <c r="B3853" t="s">
        <v>14116</v>
      </c>
      <c r="C3853" t="s">
        <v>14117</v>
      </c>
      <c r="D3853" t="s">
        <v>8008</v>
      </c>
      <c r="E3853" t="s">
        <v>14116</v>
      </c>
      <c r="F3853" t="s">
        <v>28</v>
      </c>
      <c r="G3853" t="s">
        <v>14116</v>
      </c>
      <c r="H3853" t="str">
        <f>"acs-13"</f>
        <v>acs-13</v>
      </c>
      <c r="I3853" t="s">
        <v>8008</v>
      </c>
      <c r="J3853">
        <v>12.0246740500295</v>
      </c>
      <c r="K3853">
        <v>11.523625947593301</v>
      </c>
      <c r="L3853">
        <v>12.036403026662301</v>
      </c>
      <c r="M3853">
        <v>11.7930971210872</v>
      </c>
      <c r="N3853">
        <v>11.8066164996635</v>
      </c>
      <c r="O3853">
        <v>11.347121801898799</v>
      </c>
      <c r="P3853">
        <v>-0.21262253387852301</v>
      </c>
      <c r="Q3853">
        <v>-0.73610517426310296</v>
      </c>
      <c r="R3853">
        <v>0.310860106506056</v>
      </c>
      <c r="S3853">
        <v>11.853248471573099</v>
      </c>
      <c r="T3853">
        <v>-0.85734776160907999</v>
      </c>
      <c r="U3853">
        <v>-6.50545602172713</v>
      </c>
      <c r="V3853">
        <v>0.403250873524441</v>
      </c>
      <c r="W3853">
        <v>0.91027279600179201</v>
      </c>
      <c r="X3853">
        <v>0</v>
      </c>
      <c r="Y3853">
        <v>0</v>
      </c>
    </row>
    <row r="3854" spans="1:25" x14ac:dyDescent="0.2">
      <c r="A3854" t="s">
        <v>14118</v>
      </c>
      <c r="B3854" t="s">
        <v>14119</v>
      </c>
      <c r="C3854" t="s">
        <v>14786</v>
      </c>
      <c r="D3854" t="s">
        <v>1007</v>
      </c>
      <c r="E3854" t="s">
        <v>14119</v>
      </c>
      <c r="F3854" t="s">
        <v>28</v>
      </c>
      <c r="G3854" t="s">
        <v>14119</v>
      </c>
      <c r="H3854" t="str">
        <f>"F41H10.3"</f>
        <v>F41H10.3</v>
      </c>
      <c r="I3854" t="s">
        <v>1007</v>
      </c>
      <c r="J3854">
        <v>12.5273362666865</v>
      </c>
      <c r="K3854">
        <v>11.4620497537463</v>
      </c>
      <c r="L3854">
        <v>10.6052267004205</v>
      </c>
      <c r="M3854" t="s">
        <v>29</v>
      </c>
      <c r="N3854">
        <v>11.0793790253586</v>
      </c>
      <c r="O3854">
        <v>12.442689473262901</v>
      </c>
      <c r="P3854">
        <v>0.22949667569299101</v>
      </c>
      <c r="Q3854">
        <v>-0.76823462842206602</v>
      </c>
      <c r="R3854">
        <v>1.2272279798080501</v>
      </c>
      <c r="S3854">
        <v>11.9811980416994</v>
      </c>
      <c r="T3854">
        <v>0.49733616935698099</v>
      </c>
      <c r="U3854">
        <v>-6.6419170928097397</v>
      </c>
      <c r="V3854">
        <v>0.62732400699611202</v>
      </c>
      <c r="W3854">
        <v>0.97279262440453396</v>
      </c>
      <c r="X3854">
        <v>0</v>
      </c>
      <c r="Y3854">
        <v>0</v>
      </c>
    </row>
    <row r="3855" spans="1:25" x14ac:dyDescent="0.2">
      <c r="A3855" t="s">
        <v>14120</v>
      </c>
      <c r="B3855" t="s">
        <v>14121</v>
      </c>
      <c r="C3855" t="s">
        <v>14122</v>
      </c>
      <c r="D3855" t="s">
        <v>14123</v>
      </c>
      <c r="E3855" t="s">
        <v>14121</v>
      </c>
      <c r="F3855" t="s">
        <v>28</v>
      </c>
      <c r="G3855" t="s">
        <v>14121</v>
      </c>
      <c r="H3855" t="str">
        <f>"ketn-1"</f>
        <v>ketn-1</v>
      </c>
      <c r="I3855" t="s">
        <v>14123</v>
      </c>
      <c r="J3855">
        <v>15.103716979833401</v>
      </c>
      <c r="K3855">
        <v>15.4623022978016</v>
      </c>
      <c r="L3855">
        <v>16.544478261426001</v>
      </c>
      <c r="M3855">
        <v>15.136165029443999</v>
      </c>
      <c r="N3855">
        <v>15.639283932467499</v>
      </c>
      <c r="O3855">
        <v>15.997854256938901</v>
      </c>
      <c r="P3855">
        <v>-0.112398106736915</v>
      </c>
      <c r="Q3855">
        <v>-1.1595133019827899</v>
      </c>
      <c r="R3855">
        <v>0.93471708850896096</v>
      </c>
      <c r="S3855">
        <v>16.2373429852775</v>
      </c>
      <c r="T3855">
        <v>-0.22560932551747201</v>
      </c>
      <c r="U3855">
        <v>-6.8559327854527199</v>
      </c>
      <c r="V3855">
        <v>0.82406181856704797</v>
      </c>
      <c r="W3855">
        <v>0.992837538801569</v>
      </c>
      <c r="X3855">
        <v>0</v>
      </c>
      <c r="Y3855">
        <v>0</v>
      </c>
    </row>
    <row r="3856" spans="1:25" x14ac:dyDescent="0.2">
      <c r="A3856" t="s">
        <v>14124</v>
      </c>
      <c r="B3856" t="s">
        <v>14125</v>
      </c>
      <c r="C3856" t="s">
        <v>14126</v>
      </c>
      <c r="D3856" t="s">
        <v>9836</v>
      </c>
      <c r="E3856" t="s">
        <v>14125</v>
      </c>
      <c r="F3856" t="s">
        <v>28</v>
      </c>
      <c r="G3856" t="s">
        <v>14125</v>
      </c>
      <c r="H3856" t="str">
        <f>"xpo-3"</f>
        <v>xpo-3</v>
      </c>
      <c r="I3856" t="s">
        <v>9836</v>
      </c>
      <c r="J3856">
        <v>14.0061367430209</v>
      </c>
      <c r="K3856">
        <v>14.1326029824982</v>
      </c>
      <c r="L3856">
        <v>14.0312373769861</v>
      </c>
      <c r="M3856">
        <v>14.0219602291324</v>
      </c>
      <c r="N3856">
        <v>14.287670255853101</v>
      </c>
      <c r="O3856">
        <v>13.9187806449979</v>
      </c>
      <c r="P3856">
        <v>1.9478009159445999E-2</v>
      </c>
      <c r="Q3856">
        <v>-0.40074792231548501</v>
      </c>
      <c r="R3856">
        <v>0.43970394063437701</v>
      </c>
      <c r="S3856">
        <v>14.190975708205601</v>
      </c>
      <c r="T3856">
        <v>9.7838938085920701E-2</v>
      </c>
      <c r="U3856">
        <v>-6.8774737510593598</v>
      </c>
      <c r="V3856">
        <v>0.92321154851615905</v>
      </c>
      <c r="W3856">
        <v>0.99843270744267199</v>
      </c>
      <c r="X3856">
        <v>0</v>
      </c>
      <c r="Y3856">
        <v>0</v>
      </c>
    </row>
    <row r="3857" spans="1:25" x14ac:dyDescent="0.2">
      <c r="A3857" t="s">
        <v>14127</v>
      </c>
      <c r="B3857" t="s">
        <v>14128</v>
      </c>
      <c r="C3857" t="s">
        <v>14129</v>
      </c>
      <c r="D3857" t="s">
        <v>189</v>
      </c>
      <c r="E3857" t="s">
        <v>14128</v>
      </c>
      <c r="F3857" t="s">
        <v>28</v>
      </c>
      <c r="G3857" t="s">
        <v>14128</v>
      </c>
      <c r="H3857" t="str">
        <f>"ints-3"</f>
        <v>ints-3</v>
      </c>
      <c r="I3857" t="s">
        <v>189</v>
      </c>
      <c r="J3857">
        <v>13.1110882620951</v>
      </c>
      <c r="K3857">
        <v>13.186789000538001</v>
      </c>
      <c r="L3857">
        <v>12.993529659673801</v>
      </c>
      <c r="M3857">
        <v>12.995889411681301</v>
      </c>
      <c r="N3857">
        <v>12.9397560728769</v>
      </c>
      <c r="O3857">
        <v>13.010519387918</v>
      </c>
      <c r="P3857">
        <v>-0.115080683276894</v>
      </c>
      <c r="Q3857">
        <v>-0.61949145143162898</v>
      </c>
      <c r="R3857">
        <v>0.38933008487784099</v>
      </c>
      <c r="S3857">
        <v>13.2624246091407</v>
      </c>
      <c r="T3857">
        <v>-0.481579615486803</v>
      </c>
      <c r="U3857">
        <v>-6.76176805211845</v>
      </c>
      <c r="V3857">
        <v>0.636283175002607</v>
      </c>
      <c r="W3857">
        <v>0.974482469585217</v>
      </c>
      <c r="X3857">
        <v>0</v>
      </c>
      <c r="Y3857">
        <v>0</v>
      </c>
    </row>
    <row r="3858" spans="1:25" x14ac:dyDescent="0.2">
      <c r="A3858" t="s">
        <v>14130</v>
      </c>
      <c r="B3858" t="s">
        <v>14131</v>
      </c>
      <c r="C3858" t="s">
        <v>14132</v>
      </c>
      <c r="D3858" t="s">
        <v>14133</v>
      </c>
      <c r="E3858" t="s">
        <v>14131</v>
      </c>
      <c r="F3858" t="s">
        <v>28</v>
      </c>
      <c r="G3858" t="s">
        <v>14131</v>
      </c>
      <c r="H3858" t="str">
        <f>"nprl-2"</f>
        <v>nprl-2</v>
      </c>
      <c r="I3858" t="s">
        <v>14133</v>
      </c>
      <c r="J3858" t="s">
        <v>29</v>
      </c>
      <c r="K3858">
        <v>10.987030692826099</v>
      </c>
      <c r="L3858" t="s">
        <v>29</v>
      </c>
      <c r="M3858" t="s">
        <v>29</v>
      </c>
      <c r="N3858">
        <v>11.288122015123699</v>
      </c>
      <c r="O3858">
        <v>10.499652597808501</v>
      </c>
      <c r="P3858">
        <v>-9.31433863599853E-2</v>
      </c>
      <c r="Q3858">
        <v>-0.88704689308394602</v>
      </c>
      <c r="R3858">
        <v>0.70076012036397595</v>
      </c>
      <c r="S3858">
        <v>11.6463863207898</v>
      </c>
      <c r="T3858">
        <v>-0.25853062514181002</v>
      </c>
      <c r="U3858">
        <v>-6.4478869688520399</v>
      </c>
      <c r="V3858">
        <v>0.800816313533392</v>
      </c>
      <c r="W3858">
        <v>0.99278624068726296</v>
      </c>
      <c r="X3858">
        <v>0</v>
      </c>
      <c r="Y3858">
        <v>0</v>
      </c>
    </row>
    <row r="3859" spans="1:25" x14ac:dyDescent="0.2">
      <c r="A3859" t="s">
        <v>14134</v>
      </c>
      <c r="B3859" t="s">
        <v>14135</v>
      </c>
      <c r="C3859" t="s">
        <v>14136</v>
      </c>
      <c r="D3859" t="s">
        <v>14137</v>
      </c>
      <c r="E3859" t="s">
        <v>14135</v>
      </c>
      <c r="F3859" t="s">
        <v>28</v>
      </c>
      <c r="G3859" t="s">
        <v>14135</v>
      </c>
      <c r="H3859" t="str">
        <f>"cla-1"</f>
        <v>cla-1</v>
      </c>
      <c r="I3859" t="s">
        <v>14137</v>
      </c>
      <c r="J3859">
        <v>13.163096150151199</v>
      </c>
      <c r="K3859">
        <v>13.177639803832299</v>
      </c>
      <c r="L3859">
        <v>12.996499794554801</v>
      </c>
      <c r="M3859">
        <v>13.0164239958902</v>
      </c>
      <c r="N3859">
        <v>13.003486828125499</v>
      </c>
      <c r="O3859">
        <v>13.156890794322599</v>
      </c>
      <c r="P3859">
        <v>-5.3478043400007301E-2</v>
      </c>
      <c r="Q3859">
        <v>-0.4454566510113</v>
      </c>
      <c r="R3859">
        <v>0.33850056421128499</v>
      </c>
      <c r="S3859">
        <v>13.137214085788001</v>
      </c>
      <c r="T3859">
        <v>-0.28937610936642999</v>
      </c>
      <c r="U3859">
        <v>-6.8385617919895099</v>
      </c>
      <c r="V3859">
        <v>0.77603396927641599</v>
      </c>
      <c r="W3859">
        <v>0.99278624068726296</v>
      </c>
      <c r="X3859">
        <v>0</v>
      </c>
      <c r="Y3859">
        <v>0</v>
      </c>
    </row>
    <row r="3860" spans="1:25" x14ac:dyDescent="0.2">
      <c r="A3860" t="s">
        <v>14138</v>
      </c>
      <c r="B3860" t="s">
        <v>14139</v>
      </c>
      <c r="C3860" t="s">
        <v>14140</v>
      </c>
      <c r="D3860" t="s">
        <v>14141</v>
      </c>
      <c r="E3860" t="s">
        <v>14139</v>
      </c>
      <c r="F3860" t="s">
        <v>28</v>
      </c>
      <c r="G3860" t="s">
        <v>14139</v>
      </c>
      <c r="H3860" t="str">
        <f>"ntl-4"</f>
        <v>ntl-4</v>
      </c>
      <c r="I3860" t="s">
        <v>14141</v>
      </c>
      <c r="J3860">
        <v>12.679758853756301</v>
      </c>
      <c r="K3860">
        <v>13.427957067507601</v>
      </c>
      <c r="L3860">
        <v>13.576919959004201</v>
      </c>
      <c r="M3860">
        <v>13.573473422066501</v>
      </c>
      <c r="N3860">
        <v>14.0813209314838</v>
      </c>
      <c r="O3860">
        <v>13.5487096699042</v>
      </c>
      <c r="P3860">
        <v>0.50628938106219801</v>
      </c>
      <c r="Q3860">
        <v>-0.166691350266059</v>
      </c>
      <c r="R3860">
        <v>1.1792701123904501</v>
      </c>
      <c r="S3860">
        <v>13.996576188774499</v>
      </c>
      <c r="T3860">
        <v>1.58120690413099</v>
      </c>
      <c r="U3860">
        <v>-5.6605527939879003</v>
      </c>
      <c r="V3860">
        <v>0.13134371945937801</v>
      </c>
      <c r="W3860">
        <v>0.72021766768664797</v>
      </c>
      <c r="X3860">
        <v>0</v>
      </c>
      <c r="Y3860">
        <v>0</v>
      </c>
    </row>
    <row r="3861" spans="1:25" x14ac:dyDescent="0.2">
      <c r="A3861" t="s">
        <v>14142</v>
      </c>
      <c r="B3861" t="s">
        <v>14143</v>
      </c>
      <c r="C3861" t="s">
        <v>14787</v>
      </c>
      <c r="D3861" t="s">
        <v>14144</v>
      </c>
      <c r="E3861" t="s">
        <v>14143</v>
      </c>
      <c r="F3861" t="s">
        <v>28</v>
      </c>
      <c r="G3861" t="s">
        <v>14143</v>
      </c>
      <c r="H3861" t="str">
        <f>"Y92H12A.5"</f>
        <v>Y92H12A.5</v>
      </c>
      <c r="I3861" t="s">
        <v>14144</v>
      </c>
      <c r="J3861">
        <v>14.8403718267454</v>
      </c>
      <c r="K3861">
        <v>14.369067679178</v>
      </c>
      <c r="L3861">
        <v>14.474696429838099</v>
      </c>
      <c r="M3861">
        <v>14.6909054428936</v>
      </c>
      <c r="N3861">
        <v>14.6158786412393</v>
      </c>
      <c r="O3861">
        <v>14.416976498382899</v>
      </c>
      <c r="P3861">
        <v>1.32082155847595E-2</v>
      </c>
      <c r="Q3861">
        <v>-0.37036432897165</v>
      </c>
      <c r="R3861">
        <v>0.39678076014116898</v>
      </c>
      <c r="S3861">
        <v>14.355855322877099</v>
      </c>
      <c r="T3861">
        <v>7.2375095275268697E-2</v>
      </c>
      <c r="U3861">
        <v>-6.8797530531493702</v>
      </c>
      <c r="V3861">
        <v>0.94310619721058397</v>
      </c>
      <c r="W3861">
        <v>0.99926809132575301</v>
      </c>
      <c r="X3861">
        <v>0</v>
      </c>
      <c r="Y3861">
        <v>0</v>
      </c>
    </row>
    <row r="3862" spans="1:25" x14ac:dyDescent="0.2">
      <c r="A3862" t="s">
        <v>14145</v>
      </c>
      <c r="B3862" t="s">
        <v>14146</v>
      </c>
      <c r="C3862" t="s">
        <v>14147</v>
      </c>
      <c r="D3862" t="s">
        <v>1151</v>
      </c>
      <c r="E3862" t="s">
        <v>14146</v>
      </c>
      <c r="F3862" t="s">
        <v>28</v>
      </c>
      <c r="G3862" t="s">
        <v>14146</v>
      </c>
      <c r="H3862" t="str">
        <f>"iglr-3"</f>
        <v>iglr-3</v>
      </c>
      <c r="I3862" t="s">
        <v>1151</v>
      </c>
      <c r="J3862" t="s">
        <v>29</v>
      </c>
      <c r="K3862" t="s">
        <v>29</v>
      </c>
      <c r="L3862" t="s">
        <v>29</v>
      </c>
      <c r="M3862" t="s">
        <v>29</v>
      </c>
      <c r="N3862" t="s">
        <v>29</v>
      </c>
      <c r="O3862" t="s">
        <v>29</v>
      </c>
      <c r="P3862" t="s">
        <v>29</v>
      </c>
      <c r="Q3862" t="s">
        <v>29</v>
      </c>
      <c r="R3862" t="s">
        <v>29</v>
      </c>
      <c r="S3862">
        <v>11.0407316476605</v>
      </c>
      <c r="T3862" t="s">
        <v>29</v>
      </c>
      <c r="U3862" t="s">
        <v>29</v>
      </c>
      <c r="V3862" t="s">
        <v>29</v>
      </c>
      <c r="W3862" t="s">
        <v>29</v>
      </c>
      <c r="X3862" t="s">
        <v>29</v>
      </c>
      <c r="Y3862" t="s">
        <v>29</v>
      </c>
    </row>
    <row r="3863" spans="1:25" x14ac:dyDescent="0.2">
      <c r="A3863" t="s">
        <v>14148</v>
      </c>
      <c r="B3863" t="s">
        <v>14149</v>
      </c>
      <c r="C3863" t="s">
        <v>14150</v>
      </c>
      <c r="D3863" t="s">
        <v>14151</v>
      </c>
      <c r="E3863" t="s">
        <v>14149</v>
      </c>
      <c r="F3863" t="s">
        <v>28</v>
      </c>
      <c r="G3863" t="s">
        <v>14149</v>
      </c>
      <c r="H3863" t="str">
        <f>"wnk-1"</f>
        <v>wnk-1</v>
      </c>
      <c r="I3863" t="s">
        <v>14151</v>
      </c>
      <c r="J3863" t="s">
        <v>29</v>
      </c>
      <c r="K3863" t="s">
        <v>29</v>
      </c>
      <c r="L3863" t="s">
        <v>29</v>
      </c>
      <c r="M3863" t="s">
        <v>29</v>
      </c>
      <c r="N3863" t="s">
        <v>29</v>
      </c>
      <c r="O3863" t="s">
        <v>29</v>
      </c>
      <c r="P3863" t="s">
        <v>29</v>
      </c>
      <c r="Q3863" t="s">
        <v>29</v>
      </c>
      <c r="R3863" t="s">
        <v>29</v>
      </c>
      <c r="S3863">
        <v>10.963162393276299</v>
      </c>
      <c r="T3863" t="s">
        <v>29</v>
      </c>
      <c r="U3863" t="s">
        <v>29</v>
      </c>
      <c r="V3863" t="s">
        <v>29</v>
      </c>
      <c r="W3863" t="s">
        <v>29</v>
      </c>
      <c r="X3863" t="s">
        <v>29</v>
      </c>
      <c r="Y3863" t="s">
        <v>29</v>
      </c>
    </row>
    <row r="3864" spans="1:25" x14ac:dyDescent="0.2">
      <c r="A3864" t="s">
        <v>14152</v>
      </c>
      <c r="B3864" t="s">
        <v>14153</v>
      </c>
      <c r="C3864" t="s">
        <v>14788</v>
      </c>
      <c r="D3864" t="s">
        <v>1035</v>
      </c>
      <c r="E3864" t="s">
        <v>14153</v>
      </c>
      <c r="F3864" t="s">
        <v>28</v>
      </c>
      <c r="G3864" t="s">
        <v>14153</v>
      </c>
      <c r="H3864" t="str">
        <f>"T28C6.7"</f>
        <v>T28C6.7</v>
      </c>
      <c r="I3864" t="s">
        <v>1035</v>
      </c>
      <c r="J3864">
        <v>13.7311123951244</v>
      </c>
      <c r="K3864">
        <v>14.155434717512501</v>
      </c>
      <c r="L3864">
        <v>13.346143614368</v>
      </c>
      <c r="M3864">
        <v>14.170490491819001</v>
      </c>
      <c r="N3864">
        <v>13.4851024823112</v>
      </c>
      <c r="O3864">
        <v>13.7699049515391</v>
      </c>
      <c r="P3864">
        <v>6.4269066221482901E-2</v>
      </c>
      <c r="Q3864">
        <v>-0.85652644325724603</v>
      </c>
      <c r="R3864">
        <v>0.985064575700212</v>
      </c>
      <c r="S3864">
        <v>13.6117209010065</v>
      </c>
      <c r="T3864">
        <v>0.146700404213705</v>
      </c>
      <c r="U3864">
        <v>-6.8712517134443001</v>
      </c>
      <c r="V3864">
        <v>0.88500854499163695</v>
      </c>
      <c r="W3864">
        <v>0.99702926582654094</v>
      </c>
      <c r="X3864">
        <v>0</v>
      </c>
      <c r="Y3864">
        <v>0</v>
      </c>
    </row>
    <row r="3865" spans="1:25" x14ac:dyDescent="0.2">
      <c r="A3865" t="s">
        <v>14154</v>
      </c>
      <c r="B3865" t="s">
        <v>14155</v>
      </c>
      <c r="C3865" t="s">
        <v>14156</v>
      </c>
      <c r="D3865" t="s">
        <v>14157</v>
      </c>
      <c r="E3865" t="s">
        <v>14155</v>
      </c>
      <c r="F3865" t="s">
        <v>28</v>
      </c>
      <c r="G3865" t="s">
        <v>14155</v>
      </c>
      <c r="H3865" t="str">
        <f>"ekl-7"</f>
        <v>ekl-7</v>
      </c>
      <c r="I3865" t="s">
        <v>14157</v>
      </c>
      <c r="J3865">
        <v>10.789319970122699</v>
      </c>
      <c r="K3865" t="s">
        <v>29</v>
      </c>
      <c r="L3865">
        <v>11.220726006493001</v>
      </c>
      <c r="M3865" t="s">
        <v>29</v>
      </c>
      <c r="N3865">
        <v>11.636602287020301</v>
      </c>
      <c r="O3865" t="s">
        <v>29</v>
      </c>
      <c r="P3865">
        <v>0.63157929871237095</v>
      </c>
      <c r="Q3865">
        <v>-0.118771926657096</v>
      </c>
      <c r="R3865">
        <v>1.38193052408184</v>
      </c>
      <c r="S3865">
        <v>12.615949878611399</v>
      </c>
      <c r="T3865">
        <v>1.8547739339034399</v>
      </c>
      <c r="U3865">
        <v>-4.8942049523760298</v>
      </c>
      <c r="V3865">
        <v>9.08679860207285E-2</v>
      </c>
      <c r="W3865">
        <v>0.63154672732174599</v>
      </c>
      <c r="X3865">
        <v>0</v>
      </c>
      <c r="Y386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5297-C03A-7448-8C47-26531D07D00F}">
  <dimension ref="A1:Q3313"/>
  <sheetViews>
    <sheetView workbookViewId="0">
      <pane ySplit="1" topLeftCell="A2" activePane="bottomLeft" state="frozen"/>
      <selection pane="bottomLeft" activeCell="E13" sqref="E13"/>
    </sheetView>
  </sheetViews>
  <sheetFormatPr baseColWidth="10" defaultRowHeight="16" x14ac:dyDescent="0.2"/>
  <cols>
    <col min="5" max="5" width="26.6640625" customWidth="1"/>
    <col min="17" max="17" width="25.6640625" customWidth="1"/>
  </cols>
  <sheetData>
    <row r="1" spans="1:17" x14ac:dyDescent="0.2">
      <c r="A1" s="1" t="s">
        <v>14922</v>
      </c>
      <c r="B1" s="1" t="s">
        <v>14789</v>
      </c>
      <c r="C1" s="1" t="s">
        <v>22</v>
      </c>
      <c r="E1" s="7" t="s">
        <v>14912</v>
      </c>
      <c r="G1" s="1" t="s">
        <v>14922</v>
      </c>
      <c r="H1" s="1" t="s">
        <v>9</v>
      </c>
      <c r="I1" s="1" t="s">
        <v>10</v>
      </c>
      <c r="J1" s="1" t="s">
        <v>11</v>
      </c>
      <c r="K1" s="1" t="s">
        <v>14792</v>
      </c>
      <c r="L1" s="1" t="s">
        <v>14794</v>
      </c>
      <c r="M1" s="1" t="s">
        <v>14795</v>
      </c>
      <c r="N1" s="1" t="s">
        <v>14796</v>
      </c>
      <c r="O1" s="1" t="s">
        <v>14793</v>
      </c>
      <c r="Q1" s="7" t="s">
        <v>14797</v>
      </c>
    </row>
    <row r="2" spans="1:17" x14ac:dyDescent="0.2">
      <c r="A2" s="4" t="str">
        <f>"mlt-2"</f>
        <v>mlt-2</v>
      </c>
      <c r="B2" s="4">
        <v>7.2864177270010604</v>
      </c>
      <c r="C2" s="5">
        <v>2.6963012563696999E-12</v>
      </c>
      <c r="E2" s="8" t="s">
        <v>14790</v>
      </c>
      <c r="G2" s="4" t="str">
        <f>"Y54G2A.40"</f>
        <v>Y54G2A.40</v>
      </c>
      <c r="H2" s="4" t="s">
        <v>14849</v>
      </c>
      <c r="I2" s="4" t="s">
        <v>14849</v>
      </c>
      <c r="J2" s="4" t="s">
        <v>14849</v>
      </c>
      <c r="K2" s="4" t="s">
        <v>14849</v>
      </c>
      <c r="L2" s="4">
        <v>16.7836132164907</v>
      </c>
      <c r="M2" s="4">
        <v>16.739308951381499</v>
      </c>
      <c r="N2" s="4">
        <v>15.8822829802423</v>
      </c>
      <c r="O2" s="4">
        <f t="shared" ref="O2:O33" si="0">(L2+M2+N2)/3</f>
        <v>16.468401716038166</v>
      </c>
      <c r="Q2" s="8" t="s">
        <v>14798</v>
      </c>
    </row>
    <row r="3" spans="1:17" x14ac:dyDescent="0.2">
      <c r="A3" s="4" t="str">
        <f>"xrn-1"</f>
        <v>xrn-1</v>
      </c>
      <c r="B3" s="4">
        <v>4.7091514820068801</v>
      </c>
      <c r="C3" s="5">
        <v>1.3491228213213099E-5</v>
      </c>
      <c r="E3" s="9" t="s">
        <v>14791</v>
      </c>
      <c r="G3" s="4" t="str">
        <f>"M01H9.3"</f>
        <v>M01H9.3</v>
      </c>
      <c r="H3" s="4" t="s">
        <v>14849</v>
      </c>
      <c r="I3" s="4" t="s">
        <v>14849</v>
      </c>
      <c r="J3" s="4" t="s">
        <v>14849</v>
      </c>
      <c r="K3" s="4" t="s">
        <v>14849</v>
      </c>
      <c r="L3" s="4">
        <v>16.283879849001199</v>
      </c>
      <c r="M3" s="4">
        <v>16.027675982681298</v>
      </c>
      <c r="N3" s="4">
        <v>16.830239534060599</v>
      </c>
      <c r="O3" s="4">
        <f t="shared" si="0"/>
        <v>16.380598455247696</v>
      </c>
      <c r="Q3" s="9" t="s">
        <v>14799</v>
      </c>
    </row>
    <row r="4" spans="1:17" x14ac:dyDescent="0.2">
      <c r="A4" s="4" t="str">
        <f>"aldo-2"</f>
        <v>aldo-2</v>
      </c>
      <c r="B4" s="4">
        <v>4.5018331041935804</v>
      </c>
      <c r="C4" s="5">
        <v>2.22762915139648E-8</v>
      </c>
      <c r="E4" s="10">
        <f>(98/104)*100</f>
        <v>94.230769230769226</v>
      </c>
      <c r="G4" s="4" t="str">
        <f>"tap-1"</f>
        <v>tap-1</v>
      </c>
      <c r="H4" s="4" t="s">
        <v>14849</v>
      </c>
      <c r="I4" s="4" t="s">
        <v>14849</v>
      </c>
      <c r="J4" s="4" t="s">
        <v>14849</v>
      </c>
      <c r="K4" s="4" t="s">
        <v>14849</v>
      </c>
      <c r="L4" s="4">
        <v>16.076813620261898</v>
      </c>
      <c r="M4" s="4">
        <v>16.164836016760798</v>
      </c>
      <c r="N4" s="4">
        <v>15.972823901541201</v>
      </c>
      <c r="O4" s="4">
        <f t="shared" si="0"/>
        <v>16.071491179521299</v>
      </c>
      <c r="Q4" s="11">
        <f>(56/64)*100</f>
        <v>87.5</v>
      </c>
    </row>
    <row r="5" spans="1:17" x14ac:dyDescent="0.2">
      <c r="A5" s="4" t="str">
        <f>"ampd-1"</f>
        <v>ampd-1</v>
      </c>
      <c r="B5" s="4">
        <v>4.3771232834387197</v>
      </c>
      <c r="C5" s="5">
        <v>7.8812797672218799E-7</v>
      </c>
      <c r="G5" s="4" t="str">
        <f>"acbp-3"</f>
        <v>acbp-3</v>
      </c>
      <c r="H5" s="4" t="s">
        <v>14849</v>
      </c>
      <c r="I5" s="4" t="s">
        <v>14849</v>
      </c>
      <c r="J5" s="4" t="s">
        <v>14849</v>
      </c>
      <c r="K5" s="4" t="s">
        <v>14849</v>
      </c>
      <c r="L5" s="4">
        <v>15.6561128039792</v>
      </c>
      <c r="M5" s="4">
        <v>15.960263194171899</v>
      </c>
      <c r="N5" s="4">
        <v>15.4493879159422</v>
      </c>
      <c r="O5" s="4">
        <f t="shared" si="0"/>
        <v>15.688587971364433</v>
      </c>
    </row>
    <row r="6" spans="1:17" x14ac:dyDescent="0.2">
      <c r="A6" s="4" t="str">
        <f>"nap-1"</f>
        <v>nap-1</v>
      </c>
      <c r="B6" s="4">
        <v>4.1699304590762898</v>
      </c>
      <c r="C6" s="5">
        <v>3.4290154112634699E-7</v>
      </c>
      <c r="G6" s="4" t="str">
        <f>"comt-3"</f>
        <v>comt-3</v>
      </c>
      <c r="H6" s="4" t="s">
        <v>14849</v>
      </c>
      <c r="I6" s="4" t="s">
        <v>14849</v>
      </c>
      <c r="J6" s="4" t="s">
        <v>14849</v>
      </c>
      <c r="K6" s="4" t="s">
        <v>14849</v>
      </c>
      <c r="L6" s="4">
        <v>15.619391217154099</v>
      </c>
      <c r="M6" s="4">
        <v>15.8830009841882</v>
      </c>
      <c r="N6" s="4">
        <v>15.491330530368099</v>
      </c>
      <c r="O6" s="4">
        <f t="shared" si="0"/>
        <v>15.664574243903466</v>
      </c>
    </row>
    <row r="7" spans="1:17" x14ac:dyDescent="0.2">
      <c r="A7" s="4" t="str">
        <f>"C39D10.8"</f>
        <v>C39D10.8</v>
      </c>
      <c r="B7" s="4">
        <v>4.1035264672473204</v>
      </c>
      <c r="C7" s="5">
        <v>1.0251739126733701E-8</v>
      </c>
      <c r="G7" s="4" t="str">
        <f>"gldi-7"</f>
        <v>gldi-7</v>
      </c>
      <c r="H7" s="4" t="s">
        <v>14849</v>
      </c>
      <c r="I7" s="4" t="s">
        <v>14849</v>
      </c>
      <c r="J7" s="4" t="s">
        <v>14849</v>
      </c>
      <c r="K7" s="4" t="s">
        <v>14849</v>
      </c>
      <c r="L7" s="4">
        <v>14.859461902395299</v>
      </c>
      <c r="M7" s="4">
        <v>14.587228218904499</v>
      </c>
      <c r="N7" s="4">
        <v>14.848719830160301</v>
      </c>
      <c r="O7" s="4">
        <f t="shared" si="0"/>
        <v>14.765136650486701</v>
      </c>
    </row>
    <row r="8" spans="1:17" x14ac:dyDescent="0.2">
      <c r="A8" s="4" t="str">
        <f>"hpo-9"</f>
        <v>hpo-9</v>
      </c>
      <c r="B8" s="4">
        <v>3.7018147294324502</v>
      </c>
      <c r="C8" s="5">
        <v>1.1522673443549101E-6</v>
      </c>
      <c r="G8" s="4" t="str">
        <f>"K02B12.7"</f>
        <v>K02B12.7</v>
      </c>
      <c r="H8" s="4" t="s">
        <v>14849</v>
      </c>
      <c r="I8" s="4" t="s">
        <v>14849</v>
      </c>
      <c r="J8" s="4" t="s">
        <v>14849</v>
      </c>
      <c r="K8" s="4" t="s">
        <v>14849</v>
      </c>
      <c r="L8" s="4">
        <v>14.1905332042775</v>
      </c>
      <c r="M8" s="4">
        <v>14.222445539632099</v>
      </c>
      <c r="N8" s="4">
        <v>13.9904131418731</v>
      </c>
      <c r="O8" s="4">
        <f t="shared" si="0"/>
        <v>14.134463961927565</v>
      </c>
    </row>
    <row r="9" spans="1:17" x14ac:dyDescent="0.2">
      <c r="A9" s="4" t="str">
        <f>"hip-1"</f>
        <v>hip-1</v>
      </c>
      <c r="B9" s="4">
        <v>3.5706009203054401</v>
      </c>
      <c r="C9" s="5">
        <v>7.29399417914493E-6</v>
      </c>
      <c r="G9" s="4" t="str">
        <f>"scb-1"</f>
        <v>scb-1</v>
      </c>
      <c r="H9" s="4" t="s">
        <v>14849</v>
      </c>
      <c r="I9" s="4" t="s">
        <v>14849</v>
      </c>
      <c r="J9" s="4" t="s">
        <v>14849</v>
      </c>
      <c r="K9" s="4" t="s">
        <v>14849</v>
      </c>
      <c r="L9" s="4">
        <v>14.016274601825099</v>
      </c>
      <c r="M9" s="4">
        <v>13.8505213471012</v>
      </c>
      <c r="N9" s="4">
        <v>14.4568211198289</v>
      </c>
      <c r="O9" s="4">
        <f t="shared" si="0"/>
        <v>14.107872356251733</v>
      </c>
    </row>
    <row r="10" spans="1:17" x14ac:dyDescent="0.2">
      <c r="A10" s="4" t="str">
        <f>"rsd-3"</f>
        <v>rsd-3</v>
      </c>
      <c r="B10" s="4">
        <v>3.4774758386252098</v>
      </c>
      <c r="C10" s="4">
        <v>1.8482926868194801E-3</v>
      </c>
      <c r="G10" s="4" t="str">
        <f>"del-6"</f>
        <v>del-6</v>
      </c>
      <c r="H10" s="4" t="s">
        <v>14849</v>
      </c>
      <c r="I10" s="4" t="s">
        <v>14849</v>
      </c>
      <c r="J10" s="4" t="s">
        <v>14849</v>
      </c>
      <c r="K10" s="4" t="s">
        <v>14849</v>
      </c>
      <c r="L10" s="4">
        <v>14.4191380586935</v>
      </c>
      <c r="M10" s="4">
        <v>14.403996093379799</v>
      </c>
      <c r="N10" s="4">
        <v>13.471512081460499</v>
      </c>
      <c r="O10" s="4">
        <f t="shared" si="0"/>
        <v>14.098215411177932</v>
      </c>
    </row>
    <row r="11" spans="1:17" x14ac:dyDescent="0.2">
      <c r="A11" s="4" t="str">
        <f>"Y92H12BM.1"</f>
        <v>Y92H12BM.1</v>
      </c>
      <c r="B11" s="4">
        <v>3.4593785477550498</v>
      </c>
      <c r="C11" s="5">
        <v>3.8392426850029798E-7</v>
      </c>
      <c r="G11" s="4" t="str">
        <f>"hmr-1"</f>
        <v>hmr-1</v>
      </c>
      <c r="H11" s="4" t="s">
        <v>14849</v>
      </c>
      <c r="I11" s="4" t="s">
        <v>14849</v>
      </c>
      <c r="J11" s="4" t="s">
        <v>14849</v>
      </c>
      <c r="K11" s="4" t="s">
        <v>14849</v>
      </c>
      <c r="L11" s="4">
        <v>14.2393687334246</v>
      </c>
      <c r="M11" s="4">
        <v>14.167270347743999</v>
      </c>
      <c r="N11" s="4">
        <v>13.596089611969999</v>
      </c>
      <c r="O11" s="4">
        <f t="shared" si="0"/>
        <v>14.000909564379533</v>
      </c>
    </row>
    <row r="12" spans="1:17" x14ac:dyDescent="0.2">
      <c r="A12" s="4" t="str">
        <f>"jac-1"</f>
        <v>jac-1</v>
      </c>
      <c r="B12" s="4">
        <v>3.4525737414898598</v>
      </c>
      <c r="C12" s="5">
        <v>4.2079338008466998E-6</v>
      </c>
      <c r="G12" s="4" t="str">
        <f>"F25H8.2"</f>
        <v>F25H8.2</v>
      </c>
      <c r="H12" s="4" t="s">
        <v>14849</v>
      </c>
      <c r="I12" s="4" t="s">
        <v>14849</v>
      </c>
      <c r="J12" s="4" t="s">
        <v>14849</v>
      </c>
      <c r="K12" s="4" t="s">
        <v>14849</v>
      </c>
      <c r="L12" s="4">
        <v>14.143019916999799</v>
      </c>
      <c r="M12" s="4">
        <v>13.941655486266599</v>
      </c>
      <c r="N12" s="4">
        <v>13.8628896536478</v>
      </c>
      <c r="O12" s="4">
        <f t="shared" si="0"/>
        <v>13.982521685638067</v>
      </c>
    </row>
    <row r="13" spans="1:17" x14ac:dyDescent="0.2">
      <c r="A13" s="4" t="str">
        <f>"F42A10.5"</f>
        <v>F42A10.5</v>
      </c>
      <c r="B13" s="4">
        <v>3.2430944402670199</v>
      </c>
      <c r="C13" s="5">
        <v>9.6265107044332193E-5</v>
      </c>
      <c r="G13" s="4" t="str">
        <f>"acsd-1"</f>
        <v>acsd-1</v>
      </c>
      <c r="H13" s="4" t="s">
        <v>14849</v>
      </c>
      <c r="I13" s="4" t="s">
        <v>14849</v>
      </c>
      <c r="J13" s="4" t="s">
        <v>14849</v>
      </c>
      <c r="K13" s="4" t="s">
        <v>14849</v>
      </c>
      <c r="L13" s="4">
        <v>13.843731272736999</v>
      </c>
      <c r="M13" s="4">
        <v>13.6979009518338</v>
      </c>
      <c r="N13" s="4">
        <v>13.721630770065801</v>
      </c>
      <c r="O13" s="4">
        <f t="shared" si="0"/>
        <v>13.754420998212199</v>
      </c>
    </row>
    <row r="14" spans="1:17" x14ac:dyDescent="0.2">
      <c r="A14" s="4" t="str">
        <f>"cdc-37"</f>
        <v>cdc-37</v>
      </c>
      <c r="B14" s="4">
        <v>3.2391244711219902</v>
      </c>
      <c r="C14" s="5">
        <v>2.57884926355743E-5</v>
      </c>
      <c r="G14" s="4" t="str">
        <f>"clic-1"</f>
        <v>clic-1</v>
      </c>
      <c r="H14" s="4" t="s">
        <v>14849</v>
      </c>
      <c r="I14" s="4" t="s">
        <v>14849</v>
      </c>
      <c r="J14" s="4" t="s">
        <v>14849</v>
      </c>
      <c r="K14" s="4" t="s">
        <v>14849</v>
      </c>
      <c r="L14" s="4">
        <v>13.9985590979775</v>
      </c>
      <c r="M14" s="4">
        <v>13.637576467223299</v>
      </c>
      <c r="N14" s="4">
        <v>13.2011588298622</v>
      </c>
      <c r="O14" s="4">
        <f t="shared" si="0"/>
        <v>13.612431465020999</v>
      </c>
    </row>
    <row r="15" spans="1:17" x14ac:dyDescent="0.2">
      <c r="A15" s="4" t="str">
        <f>"alfa-1"</f>
        <v>alfa-1</v>
      </c>
      <c r="B15" s="4">
        <v>3.1657947765682199</v>
      </c>
      <c r="C15" s="5">
        <v>2.4775411314215501E-5</v>
      </c>
      <c r="G15" s="4" t="str">
        <f>"eef-1B.1"</f>
        <v>eef-1B.1</v>
      </c>
      <c r="H15" s="4" t="s">
        <v>14849</v>
      </c>
      <c r="I15" s="4" t="s">
        <v>14849</v>
      </c>
      <c r="J15" s="4" t="s">
        <v>14849</v>
      </c>
      <c r="K15" s="4" t="s">
        <v>14849</v>
      </c>
      <c r="L15" s="4">
        <v>13.908601649522</v>
      </c>
      <c r="M15" s="4">
        <v>13.5220829725003</v>
      </c>
      <c r="N15" s="4">
        <v>13.362181534884201</v>
      </c>
      <c r="O15" s="4">
        <f t="shared" si="0"/>
        <v>13.597622052302166</v>
      </c>
    </row>
    <row r="16" spans="1:17" x14ac:dyDescent="0.2">
      <c r="A16" s="4" t="str">
        <f>"saps-1"</f>
        <v>saps-1</v>
      </c>
      <c r="B16" s="4">
        <v>3.1547706607659398</v>
      </c>
      <c r="C16" s="5">
        <v>8.6664364248691402E-6</v>
      </c>
      <c r="G16" s="4" t="str">
        <f>"unc-25"</f>
        <v>unc-25</v>
      </c>
      <c r="H16" s="4" t="s">
        <v>14849</v>
      </c>
      <c r="I16" s="4" t="s">
        <v>14849</v>
      </c>
      <c r="J16" s="4" t="s">
        <v>14849</v>
      </c>
      <c r="K16" s="4" t="s">
        <v>14849</v>
      </c>
      <c r="L16" s="4">
        <v>13.4940009441053</v>
      </c>
      <c r="M16" s="4">
        <v>13.466625811318099</v>
      </c>
      <c r="N16" s="4">
        <v>13.6531202034113</v>
      </c>
      <c r="O16" s="4">
        <f t="shared" si="0"/>
        <v>13.537915652944898</v>
      </c>
    </row>
    <row r="17" spans="1:15" x14ac:dyDescent="0.2">
      <c r="A17" s="4" t="str">
        <f>"mlt-4"</f>
        <v>mlt-4</v>
      </c>
      <c r="B17" s="4">
        <v>3.14035114022768</v>
      </c>
      <c r="C17" s="4">
        <v>2.42326283832672E-4</v>
      </c>
      <c r="G17" s="4" t="str">
        <f>"ppfr-4"</f>
        <v>ppfr-4</v>
      </c>
      <c r="H17" s="4" t="s">
        <v>14849</v>
      </c>
      <c r="I17" s="4" t="s">
        <v>14849</v>
      </c>
      <c r="J17" s="4" t="s">
        <v>14849</v>
      </c>
      <c r="K17" s="4" t="s">
        <v>14849</v>
      </c>
      <c r="L17" s="4">
        <v>13.544096370940199</v>
      </c>
      <c r="M17" s="4">
        <v>13.5560782256737</v>
      </c>
      <c r="N17" s="4">
        <v>13.282191478542201</v>
      </c>
      <c r="O17" s="4">
        <f t="shared" si="0"/>
        <v>13.460788691718699</v>
      </c>
    </row>
    <row r="18" spans="1:15" x14ac:dyDescent="0.2">
      <c r="A18" s="4" t="str">
        <f>"erfa-3"</f>
        <v>erfa-3</v>
      </c>
      <c r="B18" s="4">
        <v>2.9677992501680301</v>
      </c>
      <c r="C18" s="5">
        <v>2.65465083415655E-5</v>
      </c>
      <c r="G18" s="4" t="str">
        <f>"Y62E10A.13"</f>
        <v>Y62E10A.13</v>
      </c>
      <c r="H18" s="4" t="s">
        <v>14849</v>
      </c>
      <c r="I18" s="4" t="s">
        <v>14849</v>
      </c>
      <c r="J18" s="4" t="s">
        <v>14849</v>
      </c>
      <c r="K18" s="4" t="s">
        <v>14849</v>
      </c>
      <c r="L18" s="4">
        <v>13.4964912441952</v>
      </c>
      <c r="M18" s="4">
        <v>13.8279005601467</v>
      </c>
      <c r="N18" s="4">
        <v>12.9812132938714</v>
      </c>
      <c r="O18" s="4">
        <f t="shared" si="0"/>
        <v>13.435201699404432</v>
      </c>
    </row>
    <row r="19" spans="1:15" x14ac:dyDescent="0.2">
      <c r="A19" s="4" t="str">
        <f>"nekl-2"</f>
        <v>nekl-2</v>
      </c>
      <c r="B19" s="4">
        <v>2.9547416833879101</v>
      </c>
      <c r="C19" s="4">
        <v>4.2296172552362997E-3</v>
      </c>
      <c r="G19" s="4" t="str">
        <f>"Y47G6A.18"</f>
        <v>Y47G6A.18</v>
      </c>
      <c r="H19" s="4" t="s">
        <v>14849</v>
      </c>
      <c r="I19" s="4" t="s">
        <v>14849</v>
      </c>
      <c r="J19" s="4" t="s">
        <v>14849</v>
      </c>
      <c r="K19" s="4" t="s">
        <v>14849</v>
      </c>
      <c r="L19" s="4">
        <v>13.933474538702001</v>
      </c>
      <c r="M19" s="4">
        <v>13.4866499374399</v>
      </c>
      <c r="N19" s="4">
        <v>12.688825715800901</v>
      </c>
      <c r="O19" s="4">
        <f t="shared" si="0"/>
        <v>13.369650063980934</v>
      </c>
    </row>
    <row r="20" spans="1:15" x14ac:dyDescent="0.2">
      <c r="A20" s="4" t="str">
        <f>"col-176"</f>
        <v>col-176</v>
      </c>
      <c r="B20" s="4">
        <v>2.87832590505265</v>
      </c>
      <c r="C20" s="5">
        <v>9.3443090438114503E-6</v>
      </c>
      <c r="G20" s="4" t="str">
        <f>"mdt-4"</f>
        <v>mdt-4</v>
      </c>
      <c r="H20" s="4" t="s">
        <v>14849</v>
      </c>
      <c r="I20" s="4" t="s">
        <v>14849</v>
      </c>
      <c r="J20" s="4" t="s">
        <v>14849</v>
      </c>
      <c r="K20" s="4" t="s">
        <v>14849</v>
      </c>
      <c r="L20" s="4">
        <v>13.2628856888937</v>
      </c>
      <c r="M20" s="4">
        <v>13.5010872873293</v>
      </c>
      <c r="N20" s="4">
        <v>13.2473588236076</v>
      </c>
      <c r="O20" s="4">
        <f t="shared" si="0"/>
        <v>13.337110599943534</v>
      </c>
    </row>
    <row r="21" spans="1:15" x14ac:dyDescent="0.2">
      <c r="A21" s="4" t="str">
        <f>"fkb-6"</f>
        <v>fkb-6</v>
      </c>
      <c r="B21" s="4">
        <v>2.793225593896</v>
      </c>
      <c r="C21" s="5">
        <v>6.9265709878813901E-6</v>
      </c>
      <c r="G21" s="4" t="str">
        <f>"T04A11.2"</f>
        <v>T04A11.2</v>
      </c>
      <c r="H21" s="4" t="s">
        <v>14849</v>
      </c>
      <c r="I21" s="4" t="s">
        <v>14849</v>
      </c>
      <c r="J21" s="4" t="s">
        <v>14849</v>
      </c>
      <c r="K21" s="4" t="s">
        <v>14849</v>
      </c>
      <c r="L21" s="4">
        <v>13.067558344424301</v>
      </c>
      <c r="M21" s="4">
        <v>13.1204322167117</v>
      </c>
      <c r="N21" s="4">
        <v>13.7083019238563</v>
      </c>
      <c r="O21" s="4">
        <f t="shared" si="0"/>
        <v>13.298764161664101</v>
      </c>
    </row>
    <row r="22" spans="1:15" x14ac:dyDescent="0.2">
      <c r="A22" s="4" t="str">
        <f>"rpn-11"</f>
        <v>rpn-11</v>
      </c>
      <c r="B22" s="4">
        <v>2.7786923855064001</v>
      </c>
      <c r="C22" s="5">
        <v>3.7093527003766898E-5</v>
      </c>
      <c r="G22" s="4" t="str">
        <f>"C01B10.3"</f>
        <v>C01B10.3</v>
      </c>
      <c r="H22" s="4" t="s">
        <v>14849</v>
      </c>
      <c r="I22" s="4" t="s">
        <v>14849</v>
      </c>
      <c r="J22" s="4" t="s">
        <v>14849</v>
      </c>
      <c r="K22" s="4" t="s">
        <v>14849</v>
      </c>
      <c r="L22" s="4">
        <v>13.0777389585942</v>
      </c>
      <c r="M22" s="4">
        <v>13.4924634844728</v>
      </c>
      <c r="N22" s="4">
        <v>13.054335882819901</v>
      </c>
      <c r="O22" s="4">
        <f t="shared" si="0"/>
        <v>13.208179441962301</v>
      </c>
    </row>
    <row r="23" spans="1:15" x14ac:dyDescent="0.2">
      <c r="A23" s="4" t="str">
        <f>"cdkr-3"</f>
        <v>cdkr-3</v>
      </c>
      <c r="B23" s="4">
        <v>2.7555142290622401</v>
      </c>
      <c r="C23" s="5">
        <v>5.0542593068953897E-6</v>
      </c>
      <c r="G23" s="4" t="str">
        <f>"mom-4"</f>
        <v>mom-4</v>
      </c>
      <c r="H23" s="4" t="s">
        <v>14849</v>
      </c>
      <c r="I23" s="4" t="s">
        <v>14849</v>
      </c>
      <c r="J23" s="4" t="s">
        <v>14849</v>
      </c>
      <c r="K23" s="4" t="s">
        <v>14849</v>
      </c>
      <c r="L23" s="4">
        <v>13.255369315111199</v>
      </c>
      <c r="M23" s="4">
        <v>13.060900693273499</v>
      </c>
      <c r="N23" s="4">
        <v>13.234820715046499</v>
      </c>
      <c r="O23" s="4">
        <f t="shared" si="0"/>
        <v>13.1836969078104</v>
      </c>
    </row>
    <row r="24" spans="1:15" x14ac:dyDescent="0.2">
      <c r="A24" s="4" t="str">
        <f>"C05C8.7"</f>
        <v>C05C8.7</v>
      </c>
      <c r="B24" s="4">
        <v>2.73934430930874</v>
      </c>
      <c r="C24" s="5">
        <v>5.9621756857530301E-6</v>
      </c>
      <c r="G24" s="4" t="str">
        <f>"pfd-2"</f>
        <v>pfd-2</v>
      </c>
      <c r="H24" s="4" t="s">
        <v>14849</v>
      </c>
      <c r="I24" s="4" t="s">
        <v>14849</v>
      </c>
      <c r="J24" s="4" t="s">
        <v>14849</v>
      </c>
      <c r="K24" s="4" t="s">
        <v>14849</v>
      </c>
      <c r="L24" s="4">
        <v>13.4071088263323</v>
      </c>
      <c r="M24" s="4">
        <v>13.517072983932801</v>
      </c>
      <c r="N24" s="4">
        <v>12.6088693688302</v>
      </c>
      <c r="O24" s="4">
        <f t="shared" si="0"/>
        <v>13.177683726365101</v>
      </c>
    </row>
    <row r="25" spans="1:15" x14ac:dyDescent="0.2">
      <c r="A25" s="4" t="str">
        <f>"Y76B12C.6"</f>
        <v>Y76B12C.6</v>
      </c>
      <c r="B25" s="4">
        <v>2.6956469362715798</v>
      </c>
      <c r="C25" s="4">
        <v>7.8485558163821998E-3</v>
      </c>
      <c r="G25" s="4" t="str">
        <f>"best-17"</f>
        <v>best-17</v>
      </c>
      <c r="H25" s="4" t="s">
        <v>14849</v>
      </c>
      <c r="I25" s="4" t="s">
        <v>14849</v>
      </c>
      <c r="J25" s="4" t="s">
        <v>14849</v>
      </c>
      <c r="K25" s="4" t="s">
        <v>14849</v>
      </c>
      <c r="L25" s="4">
        <v>13.0928324814678</v>
      </c>
      <c r="M25" s="4">
        <v>13.432446858796199</v>
      </c>
      <c r="N25" s="4">
        <v>12.806783569705701</v>
      </c>
      <c r="O25" s="4">
        <f t="shared" si="0"/>
        <v>13.110687636656566</v>
      </c>
    </row>
    <row r="26" spans="1:15" x14ac:dyDescent="0.2">
      <c r="A26" s="4" t="str">
        <f>"rpap-2"</f>
        <v>rpap-2</v>
      </c>
      <c r="B26" s="4">
        <v>2.65370331774028</v>
      </c>
      <c r="C26" s="4">
        <v>4.4449466279503601E-3</v>
      </c>
      <c r="G26" s="4" t="str">
        <f>"CTEL55X.1"</f>
        <v>CTEL55X.1</v>
      </c>
      <c r="H26" s="4" t="s">
        <v>14849</v>
      </c>
      <c r="I26" s="4" t="s">
        <v>14849</v>
      </c>
      <c r="J26" s="4" t="s">
        <v>14849</v>
      </c>
      <c r="K26" s="4" t="s">
        <v>14849</v>
      </c>
      <c r="L26" s="4">
        <v>13.7060161766967</v>
      </c>
      <c r="M26" s="4">
        <v>13.545268108561899</v>
      </c>
      <c r="N26" s="4">
        <v>11.918678097237001</v>
      </c>
      <c r="O26" s="4">
        <f t="shared" si="0"/>
        <v>13.056654127498533</v>
      </c>
    </row>
    <row r="27" spans="1:15" x14ac:dyDescent="0.2">
      <c r="A27" s="4" t="str">
        <f>"panl-3"</f>
        <v>panl-3</v>
      </c>
      <c r="B27" s="4">
        <v>2.6181644488606302</v>
      </c>
      <c r="C27" s="5">
        <v>1.63505702075617E-5</v>
      </c>
      <c r="G27" s="4" t="str">
        <f>"mag-1"</f>
        <v>mag-1</v>
      </c>
      <c r="H27" s="4" t="s">
        <v>14849</v>
      </c>
      <c r="I27" s="4" t="s">
        <v>14849</v>
      </c>
      <c r="J27" s="4" t="s">
        <v>14849</v>
      </c>
      <c r="K27" s="4" t="s">
        <v>14849</v>
      </c>
      <c r="L27" s="4">
        <v>12.579425941991399</v>
      </c>
      <c r="M27" s="4">
        <v>13.546744614253299</v>
      </c>
      <c r="N27" s="4">
        <v>12.999972153084601</v>
      </c>
      <c r="O27" s="4">
        <f t="shared" si="0"/>
        <v>13.042047569776434</v>
      </c>
    </row>
    <row r="28" spans="1:15" x14ac:dyDescent="0.2">
      <c r="A28" s="4" t="str">
        <f>"F27D4.4"</f>
        <v>F27D4.4</v>
      </c>
      <c r="B28" s="4">
        <v>2.59811390161595</v>
      </c>
      <c r="C28" s="4">
        <v>5.4400781495045998E-4</v>
      </c>
      <c r="G28" s="4" t="str">
        <f>"ubc-3"</f>
        <v>ubc-3</v>
      </c>
      <c r="H28" s="4" t="s">
        <v>14849</v>
      </c>
      <c r="I28" s="4" t="s">
        <v>14849</v>
      </c>
      <c r="J28" s="4" t="s">
        <v>14849</v>
      </c>
      <c r="K28" s="4" t="s">
        <v>14849</v>
      </c>
      <c r="L28" s="4">
        <v>13.0087766195621</v>
      </c>
      <c r="M28" s="4">
        <v>13.223238225832</v>
      </c>
      <c r="N28" s="4">
        <v>12.883809252585401</v>
      </c>
      <c r="O28" s="4">
        <f t="shared" si="0"/>
        <v>13.038608032659832</v>
      </c>
    </row>
    <row r="29" spans="1:15" x14ac:dyDescent="0.2">
      <c r="A29" s="4" t="str">
        <f>"fln-2"</f>
        <v>fln-2</v>
      </c>
      <c r="B29" s="4">
        <v>2.5855938535214902</v>
      </c>
      <c r="C29" s="5">
        <v>1.5904990118466899E-5</v>
      </c>
      <c r="G29" s="4" t="str">
        <f>"F13E6.1"</f>
        <v>F13E6.1</v>
      </c>
      <c r="H29" s="4" t="s">
        <v>14849</v>
      </c>
      <c r="I29" s="4" t="s">
        <v>14849</v>
      </c>
      <c r="J29" s="4" t="s">
        <v>14849</v>
      </c>
      <c r="K29" s="4" t="s">
        <v>14849</v>
      </c>
      <c r="L29" s="4">
        <v>12.332313772036001</v>
      </c>
      <c r="M29" s="4">
        <v>13.055050736309401</v>
      </c>
      <c r="N29" s="4">
        <v>13.336088483926501</v>
      </c>
      <c r="O29" s="4">
        <f t="shared" si="0"/>
        <v>12.907817664090635</v>
      </c>
    </row>
    <row r="30" spans="1:15" x14ac:dyDescent="0.2">
      <c r="A30" s="4" t="str">
        <f>"ZC247.1"</f>
        <v>ZC247.1</v>
      </c>
      <c r="B30" s="4">
        <v>2.5280193374350102</v>
      </c>
      <c r="C30" s="5">
        <v>6.2845189632928798E-5</v>
      </c>
      <c r="G30" s="4" t="str">
        <f>"kin-9"</f>
        <v>kin-9</v>
      </c>
      <c r="H30" s="4" t="s">
        <v>14849</v>
      </c>
      <c r="I30" s="4" t="s">
        <v>14849</v>
      </c>
      <c r="J30" s="4" t="s">
        <v>14849</v>
      </c>
      <c r="K30" s="4" t="s">
        <v>14849</v>
      </c>
      <c r="L30" s="4">
        <v>13.534144230382299</v>
      </c>
      <c r="M30" s="4">
        <v>12.7515893139895</v>
      </c>
      <c r="N30" s="4">
        <v>12.3059613303249</v>
      </c>
      <c r="O30" s="4">
        <f t="shared" si="0"/>
        <v>12.863898291565567</v>
      </c>
    </row>
    <row r="31" spans="1:15" x14ac:dyDescent="0.2">
      <c r="A31" s="4" t="str">
        <f>"pck-2"</f>
        <v>pck-2</v>
      </c>
      <c r="B31" s="4">
        <v>2.5095081828317198</v>
      </c>
      <c r="C31" s="5">
        <v>1.3565625114428099E-6</v>
      </c>
      <c r="G31" s="4" t="str">
        <f>"R102.2"</f>
        <v>R102.2</v>
      </c>
      <c r="H31" s="4" t="s">
        <v>14849</v>
      </c>
      <c r="I31" s="4" t="s">
        <v>14849</v>
      </c>
      <c r="J31" s="4" t="s">
        <v>14849</v>
      </c>
      <c r="K31" s="4" t="s">
        <v>14849</v>
      </c>
      <c r="L31" s="4">
        <v>12.760972808505</v>
      </c>
      <c r="M31" s="4">
        <v>12.456868777432</v>
      </c>
      <c r="N31" s="4">
        <v>13.249099137809401</v>
      </c>
      <c r="O31" s="4">
        <f t="shared" si="0"/>
        <v>12.822313574582134</v>
      </c>
    </row>
    <row r="32" spans="1:15" x14ac:dyDescent="0.2">
      <c r="A32" s="4" t="str">
        <f>"eif-2Bgamma"</f>
        <v>eif-2Bgamma</v>
      </c>
      <c r="B32" s="4">
        <v>2.5003785191001602</v>
      </c>
      <c r="C32" s="4">
        <v>1.5981765421566901E-2</v>
      </c>
      <c r="G32" s="4" t="str">
        <f>"srp-2"</f>
        <v>srp-2</v>
      </c>
      <c r="H32" s="4" t="s">
        <v>14849</v>
      </c>
      <c r="I32" s="4" t="s">
        <v>14849</v>
      </c>
      <c r="J32" s="4" t="s">
        <v>14849</v>
      </c>
      <c r="K32" s="4" t="s">
        <v>14849</v>
      </c>
      <c r="L32" s="4">
        <v>13.0031361122553</v>
      </c>
      <c r="M32" s="4">
        <v>13.1079266970492</v>
      </c>
      <c r="N32" s="4">
        <v>12.302555254604499</v>
      </c>
      <c r="O32" s="4">
        <f t="shared" si="0"/>
        <v>12.804539354636333</v>
      </c>
    </row>
    <row r="33" spans="1:15" x14ac:dyDescent="0.2">
      <c r="A33" s="4" t="str">
        <f>"Y55F3AM.9"</f>
        <v>Y55F3AM.9</v>
      </c>
      <c r="B33" s="4">
        <v>2.49883120311718</v>
      </c>
      <c r="C33" s="4">
        <v>3.0864715329873599E-3</v>
      </c>
      <c r="G33" s="4" t="str">
        <f>"clp-1"</f>
        <v>clp-1</v>
      </c>
      <c r="H33" s="4" t="s">
        <v>14849</v>
      </c>
      <c r="I33" s="4" t="s">
        <v>14849</v>
      </c>
      <c r="J33" s="4" t="s">
        <v>14849</v>
      </c>
      <c r="K33" s="4" t="s">
        <v>14849</v>
      </c>
      <c r="L33" s="4">
        <v>12.7268553071229</v>
      </c>
      <c r="M33" s="4">
        <v>12.636221853783599</v>
      </c>
      <c r="N33" s="4">
        <v>12.785596940354599</v>
      </c>
      <c r="O33" s="4">
        <f t="shared" si="0"/>
        <v>12.716224700420367</v>
      </c>
    </row>
    <row r="34" spans="1:15" x14ac:dyDescent="0.2">
      <c r="A34" s="4" t="str">
        <f>"dnj-11"</f>
        <v>dnj-11</v>
      </c>
      <c r="B34" s="4">
        <v>2.49689312225189</v>
      </c>
      <c r="C34" s="5">
        <v>1.2215070262478299E-5</v>
      </c>
      <c r="G34" s="4" t="str">
        <f>"R12E2.11"</f>
        <v>R12E2.11</v>
      </c>
      <c r="H34" s="4" t="s">
        <v>14849</v>
      </c>
      <c r="I34" s="4" t="s">
        <v>14849</v>
      </c>
      <c r="J34" s="4" t="s">
        <v>14849</v>
      </c>
      <c r="K34" s="4" t="s">
        <v>14849</v>
      </c>
      <c r="L34" s="4">
        <v>12.925885497943201</v>
      </c>
      <c r="M34" s="4">
        <v>12.621997559326701</v>
      </c>
      <c r="N34" s="4">
        <v>12.5351097976279</v>
      </c>
      <c r="O34" s="4">
        <f t="shared" ref="O34:O57" si="1">(L34+M34+N34)/3</f>
        <v>12.694330951632599</v>
      </c>
    </row>
    <row r="35" spans="1:15" x14ac:dyDescent="0.2">
      <c r="A35" s="4" t="str">
        <f>"cogc-8"</f>
        <v>cogc-8</v>
      </c>
      <c r="B35" s="4">
        <v>2.4046652713455701</v>
      </c>
      <c r="C35" s="4">
        <v>1.4431079641359899E-3</v>
      </c>
      <c r="G35" s="4" t="str">
        <f>"puf-9"</f>
        <v>puf-9</v>
      </c>
      <c r="H35" s="4" t="s">
        <v>14849</v>
      </c>
      <c r="I35" s="4" t="s">
        <v>14849</v>
      </c>
      <c r="J35" s="4" t="s">
        <v>14849</v>
      </c>
      <c r="K35" s="4" t="s">
        <v>14849</v>
      </c>
      <c r="L35" s="4">
        <v>12.3349047705982</v>
      </c>
      <c r="M35" s="4">
        <v>12.6736076047035</v>
      </c>
      <c r="N35" s="4">
        <v>12.9814915546914</v>
      </c>
      <c r="O35" s="4">
        <f t="shared" si="1"/>
        <v>12.663334643331034</v>
      </c>
    </row>
    <row r="36" spans="1:15" x14ac:dyDescent="0.2">
      <c r="A36" s="4" t="str">
        <f>"gln-3"</f>
        <v>gln-3</v>
      </c>
      <c r="B36" s="4">
        <v>2.3262424769117702</v>
      </c>
      <c r="C36" s="4">
        <v>7.0136117840784804E-3</v>
      </c>
      <c r="G36" s="4" t="str">
        <f>"C48B6.2"</f>
        <v>C48B6.2</v>
      </c>
      <c r="H36" s="4" t="s">
        <v>14849</v>
      </c>
      <c r="I36" s="4" t="s">
        <v>14849</v>
      </c>
      <c r="J36" s="4" t="s">
        <v>14849</v>
      </c>
      <c r="K36" s="4" t="s">
        <v>14849</v>
      </c>
      <c r="L36" s="4">
        <v>12.777793633141</v>
      </c>
      <c r="M36" s="4">
        <v>12.6890500250614</v>
      </c>
      <c r="N36" s="4">
        <v>12.4571307824529</v>
      </c>
      <c r="O36" s="4">
        <f t="shared" si="1"/>
        <v>12.641324813551767</v>
      </c>
    </row>
    <row r="37" spans="1:15" x14ac:dyDescent="0.2">
      <c r="A37" s="4" t="str">
        <f>"mog-4"</f>
        <v>mog-4</v>
      </c>
      <c r="B37" s="4">
        <v>2.3175157513726901</v>
      </c>
      <c r="C37" s="5">
        <v>2.0754616273051899E-6</v>
      </c>
      <c r="G37" s="4" t="str">
        <f>"C07A12.7"</f>
        <v>C07A12.7</v>
      </c>
      <c r="H37" s="4" t="s">
        <v>14849</v>
      </c>
      <c r="I37" s="4" t="s">
        <v>14849</v>
      </c>
      <c r="J37" s="4" t="s">
        <v>14849</v>
      </c>
      <c r="K37" s="4" t="s">
        <v>14849</v>
      </c>
      <c r="L37" s="4">
        <v>12.5032216454701</v>
      </c>
      <c r="M37" s="4">
        <v>12.721196601995601</v>
      </c>
      <c r="N37" s="4">
        <v>12.5515752608257</v>
      </c>
      <c r="O37" s="4">
        <f t="shared" si="1"/>
        <v>12.591997836097134</v>
      </c>
    </row>
    <row r="38" spans="1:15" x14ac:dyDescent="0.2">
      <c r="A38" s="4" t="str">
        <f>"H35B03.1"</f>
        <v>H35B03.1</v>
      </c>
      <c r="B38" s="4">
        <v>2.3108437647976099</v>
      </c>
      <c r="C38" s="5">
        <v>7.8812797672218799E-7</v>
      </c>
      <c r="G38" s="4" t="str">
        <f>"tes-1"</f>
        <v>tes-1</v>
      </c>
      <c r="H38" s="4" t="s">
        <v>14849</v>
      </c>
      <c r="I38" s="4" t="s">
        <v>14849</v>
      </c>
      <c r="J38" s="4" t="s">
        <v>14849</v>
      </c>
      <c r="K38" s="4" t="s">
        <v>14849</v>
      </c>
      <c r="L38" s="4">
        <v>11.862196467585299</v>
      </c>
      <c r="M38" s="4">
        <v>13.2461501878097</v>
      </c>
      <c r="N38" s="4">
        <v>12.6635374530712</v>
      </c>
      <c r="O38" s="4">
        <f t="shared" si="1"/>
        <v>12.590628036155399</v>
      </c>
    </row>
    <row r="39" spans="1:15" x14ac:dyDescent="0.2">
      <c r="A39" s="4" t="str">
        <f>"natc-1"</f>
        <v>natc-1</v>
      </c>
      <c r="B39" s="4">
        <v>2.27040701692105</v>
      </c>
      <c r="C39" s="4">
        <v>2.1248679071256302E-3</v>
      </c>
      <c r="G39" s="4" t="str">
        <f>"T02G5.7"</f>
        <v>T02G5.7</v>
      </c>
      <c r="H39" s="4" t="s">
        <v>14849</v>
      </c>
      <c r="I39" s="4" t="s">
        <v>14849</v>
      </c>
      <c r="J39" s="4" t="s">
        <v>14849</v>
      </c>
      <c r="K39" s="4" t="s">
        <v>14849</v>
      </c>
      <c r="L39" s="4">
        <v>12.447165101552001</v>
      </c>
      <c r="M39" s="4">
        <v>12.516508052838001</v>
      </c>
      <c r="N39" s="4">
        <v>12.806997777184201</v>
      </c>
      <c r="O39" s="4">
        <f t="shared" si="1"/>
        <v>12.590223643858067</v>
      </c>
    </row>
    <row r="40" spans="1:15" x14ac:dyDescent="0.2">
      <c r="A40" s="4" t="str">
        <f>"nud-1"</f>
        <v>nud-1</v>
      </c>
      <c r="B40" s="4">
        <v>2.2666283368530999</v>
      </c>
      <c r="C40" s="5">
        <v>3.7093527003766898E-5</v>
      </c>
      <c r="G40" s="4" t="str">
        <f>"ubc-7"</f>
        <v>ubc-7</v>
      </c>
      <c r="H40" s="4" t="s">
        <v>14849</v>
      </c>
      <c r="I40" s="4" t="s">
        <v>14849</v>
      </c>
      <c r="J40" s="4" t="s">
        <v>14849</v>
      </c>
      <c r="K40" s="4" t="s">
        <v>14849</v>
      </c>
      <c r="L40" s="4">
        <v>12.549900312444301</v>
      </c>
      <c r="M40" s="4">
        <v>12.724232193640299</v>
      </c>
      <c r="N40" s="4">
        <v>12.487697057935801</v>
      </c>
      <c r="O40" s="4">
        <f t="shared" si="1"/>
        <v>12.587276521340135</v>
      </c>
    </row>
    <row r="41" spans="1:15" x14ac:dyDescent="0.2">
      <c r="A41" s="4" t="str">
        <f>"snap-29"</f>
        <v>snap-29</v>
      </c>
      <c r="B41" s="4">
        <v>2.2643680214551898</v>
      </c>
      <c r="C41" s="4">
        <v>2.2621335825823E-3</v>
      </c>
      <c r="G41" s="4" t="str">
        <f>"vps-32.1"</f>
        <v>vps-32.1</v>
      </c>
      <c r="H41" s="4" t="s">
        <v>14849</v>
      </c>
      <c r="I41" s="4" t="s">
        <v>14849</v>
      </c>
      <c r="J41" s="4" t="s">
        <v>14849</v>
      </c>
      <c r="K41" s="4" t="s">
        <v>14849</v>
      </c>
      <c r="L41" s="4">
        <v>12.269861630907601</v>
      </c>
      <c r="M41" s="4">
        <v>12.7969178572227</v>
      </c>
      <c r="N41" s="4">
        <v>12.244323047187301</v>
      </c>
      <c r="O41" s="4">
        <f t="shared" si="1"/>
        <v>12.4370341784392</v>
      </c>
    </row>
    <row r="42" spans="1:15" x14ac:dyDescent="0.2">
      <c r="A42" s="4" t="str">
        <f>"T28A8.4"</f>
        <v>T28A8.4</v>
      </c>
      <c r="B42" s="4">
        <v>2.24927843558243</v>
      </c>
      <c r="C42" s="4">
        <v>4.8048460557854097E-2</v>
      </c>
      <c r="G42" s="4" t="str">
        <f>"dhp-1"</f>
        <v>dhp-1</v>
      </c>
      <c r="H42" s="4" t="s">
        <v>14849</v>
      </c>
      <c r="I42" s="4" t="s">
        <v>14849</v>
      </c>
      <c r="J42" s="4" t="s">
        <v>14849</v>
      </c>
      <c r="K42" s="4" t="s">
        <v>14849</v>
      </c>
      <c r="L42" s="4">
        <v>12.210090668762</v>
      </c>
      <c r="M42" s="4">
        <v>12.504926190745801</v>
      </c>
      <c r="N42" s="4">
        <v>12.556862264948601</v>
      </c>
      <c r="O42" s="4">
        <f t="shared" si="1"/>
        <v>12.423959708152132</v>
      </c>
    </row>
    <row r="43" spans="1:15" x14ac:dyDescent="0.2">
      <c r="A43" s="4" t="str">
        <f>"Y92H12BL.7"</f>
        <v>Y92H12BL.7</v>
      </c>
      <c r="B43" s="4">
        <v>2.22480963791608</v>
      </c>
      <c r="C43" s="4">
        <v>7.1213124170199703E-4</v>
      </c>
      <c r="G43" s="4" t="str">
        <f>"hpo-13"</f>
        <v>hpo-13</v>
      </c>
      <c r="H43" s="4" t="s">
        <v>14849</v>
      </c>
      <c r="I43" s="4" t="s">
        <v>14849</v>
      </c>
      <c r="J43" s="4" t="s">
        <v>14849</v>
      </c>
      <c r="K43" s="4" t="s">
        <v>14849</v>
      </c>
      <c r="L43" s="4">
        <v>12.695996621628</v>
      </c>
      <c r="M43" s="4">
        <v>12.1535663667471</v>
      </c>
      <c r="N43" s="4">
        <v>12.1302662936604</v>
      </c>
      <c r="O43" s="4">
        <f t="shared" si="1"/>
        <v>12.326609760678499</v>
      </c>
    </row>
    <row r="44" spans="1:15" x14ac:dyDescent="0.2">
      <c r="A44" s="4" t="str">
        <f>"lea-1"</f>
        <v>lea-1</v>
      </c>
      <c r="B44" s="4">
        <v>2.20164241067762</v>
      </c>
      <c r="C44" s="4">
        <v>2.38114722644141E-3</v>
      </c>
      <c r="G44" s="4" t="str">
        <f>"vha-7"</f>
        <v>vha-7</v>
      </c>
      <c r="H44" s="4" t="s">
        <v>14849</v>
      </c>
      <c r="I44" s="4" t="s">
        <v>14849</v>
      </c>
      <c r="J44" s="4" t="s">
        <v>14849</v>
      </c>
      <c r="K44" s="4" t="s">
        <v>14849</v>
      </c>
      <c r="L44" s="4">
        <v>12.454833256534901</v>
      </c>
      <c r="M44" s="4">
        <v>12.431698488457</v>
      </c>
      <c r="N44" s="4">
        <v>12.032255103328399</v>
      </c>
      <c r="O44" s="4">
        <f t="shared" si="1"/>
        <v>12.306262282773432</v>
      </c>
    </row>
    <row r="45" spans="1:15" x14ac:dyDescent="0.2">
      <c r="A45" s="4" t="str">
        <f>"fah-1"</f>
        <v>fah-1</v>
      </c>
      <c r="B45" s="4">
        <v>2.1957597843739101</v>
      </c>
      <c r="C45" s="4">
        <v>2.68969302574374E-3</v>
      </c>
      <c r="G45" s="4" t="str">
        <f>"aka-1"</f>
        <v>aka-1</v>
      </c>
      <c r="H45" s="4" t="s">
        <v>14849</v>
      </c>
      <c r="I45" s="4" t="s">
        <v>14849</v>
      </c>
      <c r="J45" s="4" t="s">
        <v>14849</v>
      </c>
      <c r="K45" s="4" t="s">
        <v>14849</v>
      </c>
      <c r="L45" s="4">
        <v>12.100271278887501</v>
      </c>
      <c r="M45" s="4">
        <v>11.856545352229899</v>
      </c>
      <c r="N45" s="4">
        <v>12.622371800753999</v>
      </c>
      <c r="O45" s="4">
        <f t="shared" si="1"/>
        <v>12.1930628106238</v>
      </c>
    </row>
    <row r="46" spans="1:15" x14ac:dyDescent="0.2">
      <c r="A46" s="4" t="str">
        <f>"sna-2"</f>
        <v>sna-2</v>
      </c>
      <c r="B46" s="4">
        <v>2.1785186645580201</v>
      </c>
      <c r="C46" s="4">
        <v>1.16750437516254E-2</v>
      </c>
      <c r="G46" s="4" t="str">
        <f>"dnj-16"</f>
        <v>dnj-16</v>
      </c>
      <c r="H46" s="4" t="s">
        <v>14849</v>
      </c>
      <c r="I46" s="4" t="s">
        <v>14849</v>
      </c>
      <c r="J46" s="4" t="s">
        <v>14849</v>
      </c>
      <c r="K46" s="4" t="s">
        <v>14849</v>
      </c>
      <c r="L46" s="4">
        <v>11.927886938655</v>
      </c>
      <c r="M46" s="4">
        <v>12.4481343269038</v>
      </c>
      <c r="N46" s="4">
        <v>11.853813193161001</v>
      </c>
      <c r="O46" s="4">
        <f t="shared" si="1"/>
        <v>12.076611486239933</v>
      </c>
    </row>
    <row r="47" spans="1:15" x14ac:dyDescent="0.2">
      <c r="A47" s="4" t="str">
        <f>"znf-622"</f>
        <v>znf-622</v>
      </c>
      <c r="B47" s="4">
        <v>2.13469785255691</v>
      </c>
      <c r="C47" s="4">
        <v>1.15039234619712E-2</v>
      </c>
      <c r="G47" s="4" t="str">
        <f>"lab-2"</f>
        <v>lab-2</v>
      </c>
      <c r="H47" s="4" t="s">
        <v>14849</v>
      </c>
      <c r="I47" s="4" t="s">
        <v>14849</v>
      </c>
      <c r="J47" s="4" t="s">
        <v>14849</v>
      </c>
      <c r="K47" s="4" t="s">
        <v>14849</v>
      </c>
      <c r="L47" s="4">
        <v>12.4558163687404</v>
      </c>
      <c r="M47" s="4">
        <v>13.036972558889801</v>
      </c>
      <c r="N47" s="4">
        <v>10.5891068365945</v>
      </c>
      <c r="O47" s="4">
        <f t="shared" si="1"/>
        <v>12.027298588074899</v>
      </c>
    </row>
    <row r="48" spans="1:15" x14ac:dyDescent="0.2">
      <c r="A48" s="4" t="str">
        <f>"cash-1"</f>
        <v>cash-1</v>
      </c>
      <c r="B48" s="4">
        <v>2.1123153037664499</v>
      </c>
      <c r="C48" s="4">
        <v>1.844501306385E-4</v>
      </c>
      <c r="G48" s="4" t="str">
        <f>"F53C11.5"</f>
        <v>F53C11.5</v>
      </c>
      <c r="H48" s="4" t="s">
        <v>14849</v>
      </c>
      <c r="I48" s="4" t="s">
        <v>14849</v>
      </c>
      <c r="J48" s="4" t="s">
        <v>14849</v>
      </c>
      <c r="K48" s="4" t="s">
        <v>14849</v>
      </c>
      <c r="L48" s="4">
        <v>11.5581430107044</v>
      </c>
      <c r="M48" s="4">
        <v>12.1899734728793</v>
      </c>
      <c r="N48" s="4">
        <v>11.8777465082949</v>
      </c>
      <c r="O48" s="4">
        <f t="shared" si="1"/>
        <v>11.875287663959533</v>
      </c>
    </row>
    <row r="49" spans="1:15" x14ac:dyDescent="0.2">
      <c r="A49" s="4" t="str">
        <f>"Y71F9AL.9"</f>
        <v>Y71F9AL.9</v>
      </c>
      <c r="B49" s="4">
        <v>2.0975650254825999</v>
      </c>
      <c r="C49" s="5">
        <v>9.1760044602044005E-6</v>
      </c>
      <c r="G49" s="4" t="str">
        <f>"R07E5.1"</f>
        <v>R07E5.1</v>
      </c>
      <c r="H49" s="4" t="s">
        <v>14849</v>
      </c>
      <c r="I49" s="4" t="s">
        <v>14849</v>
      </c>
      <c r="J49" s="4" t="s">
        <v>14849</v>
      </c>
      <c r="K49" s="4" t="s">
        <v>14849</v>
      </c>
      <c r="L49" s="4">
        <v>11.7550523331495</v>
      </c>
      <c r="M49" s="4">
        <v>12.249799120741701</v>
      </c>
      <c r="N49" s="4">
        <v>11.5405667857935</v>
      </c>
      <c r="O49" s="4">
        <f t="shared" si="1"/>
        <v>11.848472746561567</v>
      </c>
    </row>
    <row r="50" spans="1:15" x14ac:dyDescent="0.2">
      <c r="A50" s="4" t="str">
        <f>"exc-15"</f>
        <v>exc-15</v>
      </c>
      <c r="B50" s="4">
        <v>2.0963815829077701</v>
      </c>
      <c r="C50" s="4">
        <v>1.12517201642417E-2</v>
      </c>
      <c r="G50" s="4" t="str">
        <f>"ret-1"</f>
        <v>ret-1</v>
      </c>
      <c r="H50" s="4" t="s">
        <v>14849</v>
      </c>
      <c r="I50" s="4" t="s">
        <v>14849</v>
      </c>
      <c r="J50" s="4" t="s">
        <v>14849</v>
      </c>
      <c r="K50" s="4" t="s">
        <v>14849</v>
      </c>
      <c r="L50" s="4">
        <v>11.503928377449199</v>
      </c>
      <c r="M50" s="4">
        <v>12.128648595039</v>
      </c>
      <c r="N50" s="4">
        <v>11.8898935654392</v>
      </c>
      <c r="O50" s="4">
        <f t="shared" si="1"/>
        <v>11.840823512642466</v>
      </c>
    </row>
    <row r="51" spans="1:15" x14ac:dyDescent="0.2">
      <c r="A51" s="4" t="str">
        <f>"spk-1"</f>
        <v>spk-1</v>
      </c>
      <c r="B51" s="4">
        <v>2.0734756111738202</v>
      </c>
      <c r="C51" s="4">
        <v>8.5489235251782201E-4</v>
      </c>
      <c r="G51" s="4" t="str">
        <f>"mtm-10"</f>
        <v>mtm-10</v>
      </c>
      <c r="H51" s="4" t="s">
        <v>14849</v>
      </c>
      <c r="I51" s="4" t="s">
        <v>14849</v>
      </c>
      <c r="J51" s="4" t="s">
        <v>14849</v>
      </c>
      <c r="K51" s="4" t="s">
        <v>14849</v>
      </c>
      <c r="L51" s="4">
        <v>11.271567976770401</v>
      </c>
      <c r="M51" s="4">
        <v>11.6764654332438</v>
      </c>
      <c r="N51" s="4">
        <v>12.151781129644901</v>
      </c>
      <c r="O51" s="4">
        <f t="shared" si="1"/>
        <v>11.699938179886367</v>
      </c>
    </row>
    <row r="52" spans="1:15" x14ac:dyDescent="0.2">
      <c r="A52" s="4" t="str">
        <f>"ivns-1"</f>
        <v>ivns-1</v>
      </c>
      <c r="B52" s="4">
        <v>2.0639076376611998</v>
      </c>
      <c r="C52" s="4">
        <v>5.4400781495045998E-4</v>
      </c>
      <c r="G52" s="4" t="str">
        <f>"sec-10"</f>
        <v>sec-10</v>
      </c>
      <c r="H52" s="4" t="s">
        <v>14849</v>
      </c>
      <c r="I52" s="4" t="s">
        <v>14849</v>
      </c>
      <c r="J52" s="4" t="s">
        <v>14849</v>
      </c>
      <c r="K52" s="4" t="s">
        <v>14849</v>
      </c>
      <c r="L52" s="4">
        <v>13.5446506954002</v>
      </c>
      <c r="M52" s="4">
        <v>11.086878538783401</v>
      </c>
      <c r="N52" s="4">
        <v>9.8245993186933003</v>
      </c>
      <c r="O52" s="4">
        <f t="shared" si="1"/>
        <v>11.485376184292301</v>
      </c>
    </row>
    <row r="53" spans="1:15" x14ac:dyDescent="0.2">
      <c r="A53" s="4" t="str">
        <f>"dnbp-1"</f>
        <v>dnbp-1</v>
      </c>
      <c r="B53" s="4">
        <v>2.02633215223638</v>
      </c>
      <c r="C53" s="4">
        <v>3.2633809675896102E-3</v>
      </c>
      <c r="G53" s="4" t="str">
        <f>"odr-4"</f>
        <v>odr-4</v>
      </c>
      <c r="H53" s="4" t="s">
        <v>14849</v>
      </c>
      <c r="I53" s="4" t="s">
        <v>14849</v>
      </c>
      <c r="J53" s="4" t="s">
        <v>14849</v>
      </c>
      <c r="K53" s="4" t="s">
        <v>14849</v>
      </c>
      <c r="L53" s="4">
        <v>10.0720031568913</v>
      </c>
      <c r="M53" s="4">
        <v>11.7917237108505</v>
      </c>
      <c r="N53" s="4">
        <v>11.446850661627099</v>
      </c>
      <c r="O53" s="4">
        <f t="shared" si="1"/>
        <v>11.103525843122966</v>
      </c>
    </row>
    <row r="54" spans="1:15" x14ac:dyDescent="0.2">
      <c r="A54" s="4" t="str">
        <f>"ZK1307.1"</f>
        <v>ZK1307.1</v>
      </c>
      <c r="B54" s="4">
        <v>1.9957276477567001</v>
      </c>
      <c r="C54" s="4">
        <v>2.0476322339000701E-2</v>
      </c>
      <c r="G54" s="4" t="str">
        <f>"nhl-2"</f>
        <v>nhl-2</v>
      </c>
      <c r="H54" s="4" t="s">
        <v>14849</v>
      </c>
      <c r="I54" s="4" t="s">
        <v>14849</v>
      </c>
      <c r="J54" s="4" t="s">
        <v>14849</v>
      </c>
      <c r="K54" s="4" t="s">
        <v>14849</v>
      </c>
      <c r="L54" s="4">
        <v>11.6028290594613</v>
      </c>
      <c r="M54" s="4">
        <v>11.0400296138769</v>
      </c>
      <c r="N54" s="4">
        <v>10.5491773099958</v>
      </c>
      <c r="O54" s="4">
        <f t="shared" si="1"/>
        <v>11.064011994444668</v>
      </c>
    </row>
    <row r="55" spans="1:15" x14ac:dyDescent="0.2">
      <c r="A55" s="4" t="str">
        <f>"edc-4"</f>
        <v>edc-4</v>
      </c>
      <c r="B55" s="4">
        <v>1.91734710035115</v>
      </c>
      <c r="C55" s="5">
        <v>2.4984878798754399E-5</v>
      </c>
      <c r="G55" s="4" t="str">
        <f>"best-3"</f>
        <v>best-3</v>
      </c>
      <c r="H55" s="4" t="s">
        <v>14849</v>
      </c>
      <c r="I55" s="4" t="s">
        <v>14849</v>
      </c>
      <c r="J55" s="4" t="s">
        <v>14849</v>
      </c>
      <c r="K55" s="4" t="s">
        <v>14849</v>
      </c>
      <c r="L55" s="4">
        <v>10.610215475026401</v>
      </c>
      <c r="M55" s="4">
        <v>10.570887001386099</v>
      </c>
      <c r="N55" s="4">
        <v>11.445016617236501</v>
      </c>
      <c r="O55" s="4">
        <f t="shared" si="1"/>
        <v>10.875373031216332</v>
      </c>
    </row>
    <row r="56" spans="1:15" x14ac:dyDescent="0.2">
      <c r="A56" s="4" t="str">
        <f>"clp-7"</f>
        <v>clp-7</v>
      </c>
      <c r="B56" s="4">
        <v>1.9073830463321599</v>
      </c>
      <c r="C56" s="4">
        <v>6.8724340482368296E-3</v>
      </c>
      <c r="G56" s="4" t="str">
        <f>"egl-15"</f>
        <v>egl-15</v>
      </c>
      <c r="H56" s="4" t="s">
        <v>14849</v>
      </c>
      <c r="I56" s="4" t="s">
        <v>14849</v>
      </c>
      <c r="J56" s="4" t="s">
        <v>14849</v>
      </c>
      <c r="K56" s="4" t="s">
        <v>14849</v>
      </c>
      <c r="L56" s="4">
        <v>11.1210950329579</v>
      </c>
      <c r="M56" s="4">
        <v>10.5805923360241</v>
      </c>
      <c r="N56" s="4">
        <v>10.588493277870599</v>
      </c>
      <c r="O56" s="4">
        <f t="shared" si="1"/>
        <v>10.763393548950866</v>
      </c>
    </row>
    <row r="57" spans="1:15" x14ac:dyDescent="0.2">
      <c r="A57" s="4" t="str">
        <f>"frm-5.1"</f>
        <v>frm-5.1</v>
      </c>
      <c r="B57" s="4">
        <v>1.8660632094215801</v>
      </c>
      <c r="C57" s="5">
        <v>9.6211522870511402E-6</v>
      </c>
      <c r="G57" s="4" t="str">
        <f>"T28F4.5"</f>
        <v>T28F4.5</v>
      </c>
      <c r="H57" s="4" t="s">
        <v>14849</v>
      </c>
      <c r="I57" s="4" t="s">
        <v>14849</v>
      </c>
      <c r="J57" s="4" t="s">
        <v>14849</v>
      </c>
      <c r="K57" s="4" t="s">
        <v>14849</v>
      </c>
      <c r="L57" s="4">
        <v>9.4532436160101199</v>
      </c>
      <c r="M57" s="4">
        <v>10.3570446425441</v>
      </c>
      <c r="N57" s="4">
        <v>10.6067200258979</v>
      </c>
      <c r="O57" s="4">
        <f t="shared" si="1"/>
        <v>10.13900276148404</v>
      </c>
    </row>
    <row r="58" spans="1:15" x14ac:dyDescent="0.2">
      <c r="A58" s="4" t="str">
        <f>"K07E3.4"</f>
        <v>K07E3.4</v>
      </c>
      <c r="B58" s="4">
        <v>1.8585631034832599</v>
      </c>
      <c r="C58" s="5">
        <v>7.6152499733459894E-5</v>
      </c>
      <c r="G58" s="6" t="str">
        <f>"EEED8.2"</f>
        <v>EEED8.2</v>
      </c>
      <c r="H58" s="6">
        <v>10.1524930149574</v>
      </c>
      <c r="I58" s="6">
        <v>10.0604851167577</v>
      </c>
      <c r="J58" s="6">
        <v>10.046570889634401</v>
      </c>
      <c r="K58" s="6">
        <f t="shared" ref="K58:K65" si="2">(H58+I58+J58)/3</f>
        <v>10.086516340449833</v>
      </c>
      <c r="L58" s="6" t="s">
        <v>14849</v>
      </c>
      <c r="M58" s="6" t="s">
        <v>14849</v>
      </c>
      <c r="N58" s="6" t="s">
        <v>14849</v>
      </c>
      <c r="O58" s="6" t="s">
        <v>14849</v>
      </c>
    </row>
    <row r="59" spans="1:15" x14ac:dyDescent="0.2">
      <c r="A59" s="4" t="str">
        <f>"hpd-1"</f>
        <v>hpd-1</v>
      </c>
      <c r="B59" s="4">
        <v>1.8529476403995699</v>
      </c>
      <c r="C59" s="5">
        <v>9.8170117430260506E-5</v>
      </c>
      <c r="G59" s="6" t="str">
        <f>"eri-12"</f>
        <v>eri-12</v>
      </c>
      <c r="H59" s="6">
        <v>10.4399149218153</v>
      </c>
      <c r="I59" s="6">
        <v>10.803306937276099</v>
      </c>
      <c r="J59" s="6">
        <v>10.6687671604057</v>
      </c>
      <c r="K59" s="6">
        <f t="shared" si="2"/>
        <v>10.6373296731657</v>
      </c>
      <c r="L59" s="6" t="s">
        <v>14849</v>
      </c>
      <c r="M59" s="6" t="s">
        <v>14849</v>
      </c>
      <c r="N59" s="6" t="s">
        <v>14849</v>
      </c>
      <c r="O59" s="6" t="s">
        <v>14849</v>
      </c>
    </row>
    <row r="60" spans="1:15" x14ac:dyDescent="0.2">
      <c r="A60" s="4" t="str">
        <f>"icd-1"</f>
        <v>icd-1</v>
      </c>
      <c r="B60" s="4">
        <v>1.8291126701913101</v>
      </c>
      <c r="C60" s="4">
        <v>4.2240904739496002E-2</v>
      </c>
      <c r="G60" s="6" t="str">
        <f>"fcd-2"</f>
        <v>fcd-2</v>
      </c>
      <c r="H60" s="6">
        <v>12.538249408221899</v>
      </c>
      <c r="I60" s="6">
        <v>11.520679046114701</v>
      </c>
      <c r="J60" s="6">
        <v>11.5559968601448</v>
      </c>
      <c r="K60" s="6">
        <f t="shared" si="2"/>
        <v>11.871641771493801</v>
      </c>
      <c r="L60" s="6" t="s">
        <v>14849</v>
      </c>
      <c r="M60" s="6" t="s">
        <v>14849</v>
      </c>
      <c r="N60" s="6" t="s">
        <v>14849</v>
      </c>
      <c r="O60" s="6" t="s">
        <v>14849</v>
      </c>
    </row>
    <row r="61" spans="1:15" x14ac:dyDescent="0.2">
      <c r="A61" s="4" t="str">
        <f>"T04F3.1"</f>
        <v>T04F3.1</v>
      </c>
      <c r="B61" s="4">
        <v>1.7962291942569699</v>
      </c>
      <c r="C61" s="4">
        <v>2.5272166164675E-4</v>
      </c>
      <c r="G61" s="6" t="str">
        <f>"Y74C10AL.2"</f>
        <v>Y74C10AL.2</v>
      </c>
      <c r="H61" s="6">
        <v>11.9205361296753</v>
      </c>
      <c r="I61" s="6">
        <v>11.892297610637099</v>
      </c>
      <c r="J61" s="6">
        <v>12.5893261304397</v>
      </c>
      <c r="K61" s="6">
        <f t="shared" si="2"/>
        <v>12.1340532902507</v>
      </c>
      <c r="L61" s="6" t="s">
        <v>14849</v>
      </c>
      <c r="M61" s="6" t="s">
        <v>14849</v>
      </c>
      <c r="N61" s="6" t="s">
        <v>14849</v>
      </c>
      <c r="O61" s="6" t="s">
        <v>14849</v>
      </c>
    </row>
    <row r="62" spans="1:15" x14ac:dyDescent="0.2">
      <c r="A62" s="4" t="str">
        <f>"col-160"</f>
        <v>col-160</v>
      </c>
      <c r="B62" s="4">
        <v>1.7849366639781601</v>
      </c>
      <c r="C62" s="4">
        <v>2.9379688679198102E-2</v>
      </c>
      <c r="G62" s="6" t="str">
        <f>"taf-5"</f>
        <v>taf-5</v>
      </c>
      <c r="H62" s="6">
        <v>12.5413827077983</v>
      </c>
      <c r="I62" s="6">
        <v>12.3699971784798</v>
      </c>
      <c r="J62" s="6">
        <v>11.8593375368718</v>
      </c>
      <c r="K62" s="6">
        <f t="shared" si="2"/>
        <v>12.256905807716633</v>
      </c>
      <c r="L62" s="6" t="s">
        <v>14849</v>
      </c>
      <c r="M62" s="6" t="s">
        <v>14849</v>
      </c>
      <c r="N62" s="6" t="s">
        <v>14849</v>
      </c>
      <c r="O62" s="6" t="s">
        <v>14849</v>
      </c>
    </row>
    <row r="63" spans="1:15" x14ac:dyDescent="0.2">
      <c r="A63" s="4" t="str">
        <f>"T20B12.7"</f>
        <v>T20B12.7</v>
      </c>
      <c r="B63" s="4">
        <v>1.7619486596390901</v>
      </c>
      <c r="C63" s="4">
        <v>1.4059892974210099E-4</v>
      </c>
      <c r="G63" s="6" t="str">
        <f>"simr-1"</f>
        <v>simr-1</v>
      </c>
      <c r="H63" s="6">
        <v>11.8979437525922</v>
      </c>
      <c r="I63" s="6">
        <v>12.235962018034</v>
      </c>
      <c r="J63" s="6">
        <v>12.877760510751701</v>
      </c>
      <c r="K63" s="6">
        <f t="shared" si="2"/>
        <v>12.337222093792633</v>
      </c>
      <c r="L63" s="6" t="s">
        <v>14849</v>
      </c>
      <c r="M63" s="6" t="s">
        <v>14849</v>
      </c>
      <c r="N63" s="6" t="s">
        <v>14849</v>
      </c>
      <c r="O63" s="6" t="s">
        <v>14849</v>
      </c>
    </row>
    <row r="64" spans="1:15" x14ac:dyDescent="0.2">
      <c r="A64" s="4" t="str">
        <f>"itsn-1"</f>
        <v>itsn-1</v>
      </c>
      <c r="B64" s="4">
        <v>1.7609794182356799</v>
      </c>
      <c r="C64" s="4">
        <v>2.3417920409210102E-2</v>
      </c>
      <c r="G64" s="6" t="str">
        <f>"C43E11.9"</f>
        <v>C43E11.9</v>
      </c>
      <c r="H64" s="6">
        <v>12.109421597856899</v>
      </c>
      <c r="I64" s="6">
        <v>13.4467035080902</v>
      </c>
      <c r="J64" s="6">
        <v>13.2815944614073</v>
      </c>
      <c r="K64" s="6">
        <f t="shared" si="2"/>
        <v>12.945906522451466</v>
      </c>
      <c r="L64" s="6" t="s">
        <v>14849</v>
      </c>
      <c r="M64" s="6" t="s">
        <v>14849</v>
      </c>
      <c r="N64" s="6" t="s">
        <v>14849</v>
      </c>
      <c r="O64" s="6" t="s">
        <v>14849</v>
      </c>
    </row>
    <row r="65" spans="1:15" x14ac:dyDescent="0.2">
      <c r="A65" s="4" t="str">
        <f>"krr-1"</f>
        <v>krr-1</v>
      </c>
      <c r="B65" s="4">
        <v>1.7530046005818101</v>
      </c>
      <c r="C65" s="4">
        <v>4.7885075430424397E-2</v>
      </c>
      <c r="G65" s="6" t="str">
        <f>"mrpl-35"</f>
        <v>mrpl-35</v>
      </c>
      <c r="H65" s="6">
        <v>13.3318404776718</v>
      </c>
      <c r="I65" s="6">
        <v>13.3310673398961</v>
      </c>
      <c r="J65" s="6">
        <v>13.1435076746676</v>
      </c>
      <c r="K65" s="6">
        <f t="shared" si="2"/>
        <v>13.268805164078501</v>
      </c>
      <c r="L65" s="6" t="s">
        <v>14849</v>
      </c>
      <c r="M65" s="6" t="s">
        <v>14849</v>
      </c>
      <c r="N65" s="6" t="s">
        <v>14849</v>
      </c>
      <c r="O65" s="6" t="s">
        <v>14849</v>
      </c>
    </row>
    <row r="66" spans="1:15" x14ac:dyDescent="0.2">
      <c r="A66" s="4" t="str">
        <f>"phdh-1"</f>
        <v>phdh-1</v>
      </c>
      <c r="B66" s="4">
        <v>1.7490946093072299</v>
      </c>
      <c r="C66" s="4">
        <v>1.0561790487494701E-2</v>
      </c>
    </row>
    <row r="67" spans="1:15" x14ac:dyDescent="0.2">
      <c r="A67" s="4" t="str">
        <f>"tdo-2"</f>
        <v>tdo-2</v>
      </c>
      <c r="B67" s="4">
        <v>1.7457211923604401</v>
      </c>
      <c r="C67" s="4">
        <v>2.4421702872711198E-2</v>
      </c>
    </row>
    <row r="68" spans="1:15" x14ac:dyDescent="0.2">
      <c r="A68" s="4" t="str">
        <f>"pmt-2"</f>
        <v>pmt-2</v>
      </c>
      <c r="B68" s="4">
        <v>1.70285244457967</v>
      </c>
      <c r="C68" s="4">
        <v>5.3062969156488003E-4</v>
      </c>
    </row>
    <row r="69" spans="1:15" x14ac:dyDescent="0.2">
      <c r="A69" s="4" t="str">
        <f>"inx-12"</f>
        <v>inx-12</v>
      </c>
      <c r="B69" s="4">
        <v>1.6971690783575899</v>
      </c>
      <c r="C69" s="4">
        <v>1.8482926868194801E-3</v>
      </c>
    </row>
    <row r="70" spans="1:15" x14ac:dyDescent="0.2">
      <c r="A70" s="4" t="str">
        <f>"pptr-2"</f>
        <v>pptr-2</v>
      </c>
      <c r="B70" s="4">
        <v>1.64768585828255</v>
      </c>
      <c r="C70" s="4">
        <v>2.4219407977970901E-2</v>
      </c>
    </row>
    <row r="71" spans="1:15" x14ac:dyDescent="0.2">
      <c r="A71" s="4" t="str">
        <f>"dcap-1"</f>
        <v>dcap-1</v>
      </c>
      <c r="B71" s="4">
        <v>1.63448469973275</v>
      </c>
      <c r="C71" s="4">
        <v>1.66111927343939E-2</v>
      </c>
    </row>
    <row r="72" spans="1:15" x14ac:dyDescent="0.2">
      <c r="A72" s="4" t="str">
        <f>"mua-6"</f>
        <v>mua-6</v>
      </c>
      <c r="B72" s="4">
        <v>1.6204769885871999</v>
      </c>
      <c r="C72" s="4">
        <v>6.14127828235265E-4</v>
      </c>
    </row>
    <row r="73" spans="1:15" x14ac:dyDescent="0.2">
      <c r="A73" s="4" t="str">
        <f>"deb-1"</f>
        <v>deb-1</v>
      </c>
      <c r="B73" s="4">
        <v>1.6018257045306199</v>
      </c>
      <c r="C73" s="4">
        <v>5.6004232081454503E-4</v>
      </c>
    </row>
    <row r="74" spans="1:15" x14ac:dyDescent="0.2">
      <c r="A74" s="4" t="str">
        <f>"teg-4"</f>
        <v>teg-4</v>
      </c>
      <c r="B74" s="4">
        <v>1.5922293342642999</v>
      </c>
      <c r="C74" s="4">
        <v>6.9101764747123498E-4</v>
      </c>
    </row>
    <row r="75" spans="1:15" x14ac:dyDescent="0.2">
      <c r="A75" s="4" t="str">
        <f>"txl-1"</f>
        <v>txl-1</v>
      </c>
      <c r="B75" s="4">
        <v>1.53440473184616</v>
      </c>
      <c r="C75" s="4">
        <v>8.2349237824489892E-3</v>
      </c>
    </row>
    <row r="76" spans="1:15" x14ac:dyDescent="0.2">
      <c r="A76" s="4" t="str">
        <f>"eif-2A"</f>
        <v>eif-2A</v>
      </c>
      <c r="B76" s="4">
        <v>1.5014560335761</v>
      </c>
      <c r="C76" s="4">
        <v>1.84193205501212E-4</v>
      </c>
    </row>
    <row r="77" spans="1:15" x14ac:dyDescent="0.2">
      <c r="A77" s="4" t="str">
        <f>"akt-2"</f>
        <v>akt-2</v>
      </c>
      <c r="B77" s="4">
        <v>1.4960711558217601</v>
      </c>
      <c r="C77" s="4">
        <v>8.0924676766738605E-4</v>
      </c>
    </row>
    <row r="78" spans="1:15" x14ac:dyDescent="0.2">
      <c r="A78" s="4" t="str">
        <f>"hmp-1"</f>
        <v>hmp-1</v>
      </c>
      <c r="B78" s="4">
        <v>1.4821141192893501</v>
      </c>
      <c r="C78" s="4">
        <v>9.2183103968832194E-3</v>
      </c>
    </row>
    <row r="79" spans="1:15" x14ac:dyDescent="0.2">
      <c r="A79" s="4" t="str">
        <f>"prdx-2"</f>
        <v>prdx-2</v>
      </c>
      <c r="B79" s="4">
        <v>1.47663599084273</v>
      </c>
      <c r="C79" s="4">
        <v>1.8427253110846701E-3</v>
      </c>
    </row>
    <row r="80" spans="1:15" x14ac:dyDescent="0.2">
      <c r="A80" s="4" t="str">
        <f>"upp-1"</f>
        <v>upp-1</v>
      </c>
      <c r="B80" s="4">
        <v>1.47632063253329</v>
      </c>
      <c r="C80" s="4">
        <v>3.5443727346127003E-2</v>
      </c>
    </row>
    <row r="81" spans="1:3" x14ac:dyDescent="0.2">
      <c r="A81" s="4" t="str">
        <f>"glna-1"</f>
        <v>glna-1</v>
      </c>
      <c r="B81" s="4">
        <v>1.4743314857308401</v>
      </c>
      <c r="C81" s="4">
        <v>1.16750437516254E-2</v>
      </c>
    </row>
    <row r="82" spans="1:3" x14ac:dyDescent="0.2">
      <c r="A82" s="4" t="str">
        <f>"tat-1"</f>
        <v>tat-1</v>
      </c>
      <c r="B82" s="4">
        <v>1.45643788333867</v>
      </c>
      <c r="C82" s="4">
        <v>1.78512982300258E-3</v>
      </c>
    </row>
    <row r="83" spans="1:3" x14ac:dyDescent="0.2">
      <c r="A83" s="4" t="str">
        <f>"pah-1"</f>
        <v>pah-1</v>
      </c>
      <c r="B83" s="4">
        <v>1.4444919218028001</v>
      </c>
      <c r="C83" s="4">
        <v>3.0273163349820199E-3</v>
      </c>
    </row>
    <row r="84" spans="1:3" x14ac:dyDescent="0.2">
      <c r="A84" s="4" t="str">
        <f>"sma-1"</f>
        <v>sma-1</v>
      </c>
      <c r="B84" s="4">
        <v>1.4282218943118601</v>
      </c>
      <c r="C84" s="4">
        <v>3.5024195720561799E-2</v>
      </c>
    </row>
    <row r="85" spans="1:3" x14ac:dyDescent="0.2">
      <c r="A85" s="4" t="str">
        <f>"F36A2.3"</f>
        <v>F36A2.3</v>
      </c>
      <c r="B85" s="4">
        <v>1.42526352134108</v>
      </c>
      <c r="C85" s="4">
        <v>2.0239181800272898E-2</v>
      </c>
    </row>
    <row r="86" spans="1:3" x14ac:dyDescent="0.2">
      <c r="A86" s="4" t="str">
        <f>"pes-7"</f>
        <v>pes-7</v>
      </c>
      <c r="B86" s="4">
        <v>1.3910636509541601</v>
      </c>
      <c r="C86" s="4">
        <v>3.0633323166901798E-2</v>
      </c>
    </row>
    <row r="87" spans="1:3" x14ac:dyDescent="0.2">
      <c r="A87" s="4" t="str">
        <f>"daf-18"</f>
        <v>daf-18</v>
      </c>
      <c r="B87" s="4">
        <v>1.3575737502227101</v>
      </c>
      <c r="C87" s="4">
        <v>1.78512982300258E-3</v>
      </c>
    </row>
    <row r="88" spans="1:3" x14ac:dyDescent="0.2">
      <c r="A88" s="4" t="str">
        <f>"cst-1"</f>
        <v>cst-1</v>
      </c>
      <c r="B88" s="4">
        <v>1.27639661252713</v>
      </c>
      <c r="C88" s="4">
        <v>7.7231007233392697E-3</v>
      </c>
    </row>
    <row r="89" spans="1:3" x14ac:dyDescent="0.2">
      <c r="A89" s="4" t="str">
        <f>"larp-1"</f>
        <v>larp-1</v>
      </c>
      <c r="B89" s="4">
        <v>1.2607256077457401</v>
      </c>
      <c r="C89" s="4">
        <v>1.8482926868194801E-3</v>
      </c>
    </row>
    <row r="90" spans="1:3" x14ac:dyDescent="0.2">
      <c r="A90" s="4" t="str">
        <f>"eef-1B.2"</f>
        <v>eef-1B.2</v>
      </c>
      <c r="B90" s="4">
        <v>1.25503222077918</v>
      </c>
      <c r="C90" s="4">
        <v>7.0136117840784804E-3</v>
      </c>
    </row>
    <row r="91" spans="1:3" x14ac:dyDescent="0.2">
      <c r="A91" s="4" t="str">
        <f>"pck-1"</f>
        <v>pck-1</v>
      </c>
      <c r="B91" s="4">
        <v>1.24183396739318</v>
      </c>
      <c r="C91" s="4">
        <v>2.98367606305805E-4</v>
      </c>
    </row>
    <row r="92" spans="1:3" x14ac:dyDescent="0.2">
      <c r="A92" s="4" t="str">
        <f>"smap-1"</f>
        <v>smap-1</v>
      </c>
      <c r="B92" s="4">
        <v>1.22567408015963</v>
      </c>
      <c r="C92" s="4">
        <v>1.2583933466029701E-3</v>
      </c>
    </row>
    <row r="93" spans="1:3" x14ac:dyDescent="0.2">
      <c r="A93" s="4" t="str">
        <f>"rde-4"</f>
        <v>rde-4</v>
      </c>
      <c r="B93" s="4">
        <v>1.2182363646510701</v>
      </c>
      <c r="C93" s="4">
        <v>1.66119417981354E-2</v>
      </c>
    </row>
    <row r="94" spans="1:3" x14ac:dyDescent="0.2">
      <c r="A94" s="4" t="str">
        <f>"copz-1"</f>
        <v>copz-1</v>
      </c>
      <c r="B94" s="4">
        <v>1.16905845759146</v>
      </c>
      <c r="C94" s="4">
        <v>2.43733920436995E-3</v>
      </c>
    </row>
    <row r="95" spans="1:3" x14ac:dyDescent="0.2">
      <c r="A95" s="4" t="str">
        <f>"gakh-1"</f>
        <v>gakh-1</v>
      </c>
      <c r="B95" s="4">
        <v>1.1518309495680199</v>
      </c>
      <c r="C95" s="4">
        <v>3.5443727346127003E-2</v>
      </c>
    </row>
    <row r="96" spans="1:3" x14ac:dyDescent="0.2">
      <c r="A96" s="4" t="str">
        <f>"efk-1"</f>
        <v>efk-1</v>
      </c>
      <c r="B96" s="4">
        <v>1.06330204517857</v>
      </c>
      <c r="C96" s="4">
        <v>4.2225261505901401E-3</v>
      </c>
    </row>
    <row r="97" spans="1:3" x14ac:dyDescent="0.2">
      <c r="A97" s="4" t="str">
        <f>"ufd-3"</f>
        <v>ufd-3</v>
      </c>
      <c r="B97" s="4">
        <v>1.05633837346282</v>
      </c>
      <c r="C97" s="4">
        <v>8.2349237824489892E-3</v>
      </c>
    </row>
    <row r="98" spans="1:3" x14ac:dyDescent="0.2">
      <c r="A98" s="4" t="str">
        <f>"nucl-1"</f>
        <v>nucl-1</v>
      </c>
      <c r="B98" s="4">
        <v>1.05237798561769</v>
      </c>
      <c r="C98" s="4">
        <v>2.6829381458636999E-2</v>
      </c>
    </row>
    <row r="99" spans="1:3" x14ac:dyDescent="0.2">
      <c r="A99" s="4" t="str">
        <f>"arrd-25"</f>
        <v>arrd-25</v>
      </c>
      <c r="B99" s="4">
        <v>1.0193613897453699</v>
      </c>
      <c r="C99" s="4">
        <v>2.49952080028574E-2</v>
      </c>
    </row>
    <row r="100" spans="1:3" x14ac:dyDescent="0.2">
      <c r="A100" s="6" t="str">
        <f>"asg-1"</f>
        <v>asg-1</v>
      </c>
      <c r="B100" s="6">
        <v>-1.1355165161231799</v>
      </c>
      <c r="C100" s="6">
        <v>3.5024195720561799E-2</v>
      </c>
    </row>
    <row r="101" spans="1:3" x14ac:dyDescent="0.2">
      <c r="A101" s="6" t="str">
        <f>"acdh-2"</f>
        <v>acdh-2</v>
      </c>
      <c r="B101" s="6">
        <v>-1.42776210759142</v>
      </c>
      <c r="C101" s="6">
        <v>4.6954079501139001E-2</v>
      </c>
    </row>
    <row r="102" spans="1:3" x14ac:dyDescent="0.2">
      <c r="A102" s="6" t="str">
        <f>"rbm-25"</f>
        <v>rbm-25</v>
      </c>
      <c r="B102" s="6">
        <v>-1.4652548482622501</v>
      </c>
      <c r="C102" s="6">
        <v>3.1570579860468899E-2</v>
      </c>
    </row>
    <row r="103" spans="1:3" x14ac:dyDescent="0.2">
      <c r="A103" s="6" t="str">
        <f>"ZC373.5"</f>
        <v>ZC373.5</v>
      </c>
      <c r="B103" s="6">
        <v>-2.02006041511958</v>
      </c>
      <c r="C103" s="6">
        <v>1.08737348325097E-2</v>
      </c>
    </row>
    <row r="104" spans="1:3" x14ac:dyDescent="0.2">
      <c r="A104" s="6" t="str">
        <f>"acr-18"</f>
        <v>acr-18</v>
      </c>
      <c r="B104" s="6">
        <v>-2.9190320104871099</v>
      </c>
      <c r="C104" s="6">
        <v>7.9401127521755103E-3</v>
      </c>
    </row>
    <row r="105" spans="1:3" x14ac:dyDescent="0.2">
      <c r="A105" s="6" t="str">
        <f>"sta-1"</f>
        <v>sta-1</v>
      </c>
      <c r="B105" s="6">
        <v>-3.0417400509449899</v>
      </c>
      <c r="C105" s="6">
        <v>2.8840628438567099E-3</v>
      </c>
    </row>
    <row r="3311" spans="2:2" x14ac:dyDescent="0.2">
      <c r="B3311" s="2"/>
    </row>
    <row r="3313" spans="2:2" x14ac:dyDescent="0.2">
      <c r="B331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C94D1-BFD9-FF47-9C21-749FB86C34CC}">
  <dimension ref="A1:V295"/>
  <sheetViews>
    <sheetView topLeftCell="F1" workbookViewId="0">
      <pane ySplit="1" topLeftCell="A2" activePane="bottomLeft" state="frozen"/>
      <selection pane="bottomLeft" activeCell="O7" sqref="O7"/>
    </sheetView>
  </sheetViews>
  <sheetFormatPr baseColWidth="10" defaultRowHeight="16" x14ac:dyDescent="0.2"/>
  <cols>
    <col min="1" max="1" width="15" style="24" customWidth="1"/>
    <col min="2" max="2" width="11" style="24" customWidth="1"/>
    <col min="3" max="3" width="15.5" style="24" customWidth="1"/>
    <col min="4" max="4" width="8.33203125" style="24" customWidth="1"/>
    <col min="5" max="15" width="10.83203125" style="24"/>
    <col min="16" max="16" width="25.5" style="24" customWidth="1"/>
    <col min="17" max="17" width="10.83203125" style="24"/>
    <col min="18" max="18" width="8" style="24" customWidth="1"/>
    <col min="19" max="19" width="30.83203125" style="24" customWidth="1"/>
    <col min="20" max="20" width="10.5" style="24" customWidth="1"/>
    <col min="21" max="21" width="28" style="24" customWidth="1"/>
    <col min="22" max="22" width="73.33203125" style="24" customWidth="1"/>
    <col min="23" max="16384" width="10.83203125" style="24"/>
  </cols>
  <sheetData>
    <row r="1" spans="1:22" x14ac:dyDescent="0.2">
      <c r="A1" s="7" t="s">
        <v>14891</v>
      </c>
      <c r="B1" s="7" t="s">
        <v>14890</v>
      </c>
      <c r="C1" s="7" t="s">
        <v>14892</v>
      </c>
      <c r="D1" s="7" t="s">
        <v>14789</v>
      </c>
      <c r="E1" s="7" t="s">
        <v>14800</v>
      </c>
      <c r="F1" s="7" t="s">
        <v>14889</v>
      </c>
      <c r="G1" s="7" t="s">
        <v>9</v>
      </c>
      <c r="H1" s="7" t="s">
        <v>10</v>
      </c>
      <c r="I1" s="7" t="s">
        <v>11</v>
      </c>
      <c r="J1" s="7" t="s">
        <v>14792</v>
      </c>
      <c r="K1" s="7" t="s">
        <v>14794</v>
      </c>
      <c r="L1" s="7" t="s">
        <v>14801</v>
      </c>
      <c r="M1" s="7" t="s">
        <v>14802</v>
      </c>
      <c r="N1" s="7" t="s">
        <v>14793</v>
      </c>
      <c r="O1" s="7" t="s">
        <v>14923</v>
      </c>
      <c r="P1" s="7" t="s">
        <v>14924</v>
      </c>
      <c r="Q1" s="7" t="s">
        <v>14803</v>
      </c>
      <c r="S1" s="7" t="s">
        <v>14925</v>
      </c>
      <c r="T1" s="7" t="s">
        <v>14804</v>
      </c>
      <c r="U1" s="7"/>
      <c r="V1" s="7" t="s">
        <v>14915</v>
      </c>
    </row>
    <row r="2" spans="1:22" x14ac:dyDescent="0.2">
      <c r="A2" s="24" t="str">
        <f>"Y54G2A.40"</f>
        <v>Y54G2A.40</v>
      </c>
      <c r="B2" s="24" t="s">
        <v>10528</v>
      </c>
      <c r="C2" s="24" t="s">
        <v>214</v>
      </c>
      <c r="D2" s="24" t="s">
        <v>29</v>
      </c>
      <c r="E2" s="24" t="s">
        <v>29</v>
      </c>
      <c r="F2" s="24" t="s">
        <v>29</v>
      </c>
      <c r="G2" s="24" t="s">
        <v>14849</v>
      </c>
      <c r="H2" s="24" t="s">
        <v>14849</v>
      </c>
      <c r="I2" s="24" t="s">
        <v>14849</v>
      </c>
      <c r="J2" s="24" t="s">
        <v>14849</v>
      </c>
      <c r="K2" s="24">
        <v>16.7836132164907</v>
      </c>
      <c r="L2" s="24">
        <v>16.739308951381499</v>
      </c>
      <c r="M2" s="24">
        <v>15.8822829802423</v>
      </c>
      <c r="N2" s="24">
        <f t="shared" ref="N2:N33" si="0">(K2+L2+M2)/3</f>
        <v>16.468401716038166</v>
      </c>
      <c r="O2" s="24" t="str">
        <f t="shared" ref="O2:O33" si="1">IFERROR(INDEX(T:T, MATCH(A2, S:S, 0)), "ND")</f>
        <v>ND</v>
      </c>
      <c r="P2" s="24" t="str">
        <f t="shared" ref="P2:P33" si="2">IFERROR(E2/O2, "NA")</f>
        <v>NA</v>
      </c>
      <c r="S2" s="12" t="s">
        <v>5634</v>
      </c>
      <c r="T2" s="13">
        <v>131.944345</v>
      </c>
      <c r="U2" s="39" t="s">
        <v>14926</v>
      </c>
      <c r="V2" s="24" t="s">
        <v>14916</v>
      </c>
    </row>
    <row r="3" spans="1:22" x14ac:dyDescent="0.2">
      <c r="A3" s="24" t="str">
        <f>"M01H9.3"</f>
        <v>M01H9.3</v>
      </c>
      <c r="B3" s="24" t="s">
        <v>2517</v>
      </c>
      <c r="C3" s="24" t="s">
        <v>2518</v>
      </c>
      <c r="D3" s="24" t="s">
        <v>29</v>
      </c>
      <c r="E3" s="24" t="s">
        <v>29</v>
      </c>
      <c r="F3" s="24" t="s">
        <v>29</v>
      </c>
      <c r="G3" s="24" t="s">
        <v>14849</v>
      </c>
      <c r="H3" s="24" t="s">
        <v>14849</v>
      </c>
      <c r="I3" s="24" t="s">
        <v>14849</v>
      </c>
      <c r="J3" s="24" t="s">
        <v>14849</v>
      </c>
      <c r="K3" s="24">
        <v>16.283879849001199</v>
      </c>
      <c r="L3" s="24">
        <v>16.027675982681298</v>
      </c>
      <c r="M3" s="24">
        <v>16.830239534060599</v>
      </c>
      <c r="N3" s="24">
        <f t="shared" si="0"/>
        <v>16.380598455247696</v>
      </c>
      <c r="O3" s="24" t="str">
        <f t="shared" si="1"/>
        <v>ND</v>
      </c>
      <c r="P3" s="24" t="str">
        <f t="shared" si="2"/>
        <v>NA</v>
      </c>
      <c r="S3" s="12" t="s">
        <v>8063</v>
      </c>
      <c r="T3" s="13">
        <v>58.276928099999999</v>
      </c>
      <c r="U3" s="39" t="s">
        <v>14917</v>
      </c>
      <c r="V3" s="24" t="s">
        <v>14918</v>
      </c>
    </row>
    <row r="4" spans="1:22" x14ac:dyDescent="0.2">
      <c r="A4" s="10" t="str">
        <f>"tap-1"</f>
        <v>tap-1</v>
      </c>
      <c r="B4" s="10" t="s">
        <v>1669</v>
      </c>
      <c r="C4" s="10" t="s">
        <v>1671</v>
      </c>
      <c r="D4" s="10" t="s">
        <v>29</v>
      </c>
      <c r="E4" s="10" t="s">
        <v>29</v>
      </c>
      <c r="F4" s="10" t="s">
        <v>29</v>
      </c>
      <c r="G4" s="10" t="s">
        <v>14849</v>
      </c>
      <c r="H4" s="10" t="s">
        <v>14849</v>
      </c>
      <c r="I4" s="10" t="s">
        <v>14849</v>
      </c>
      <c r="J4" s="10" t="s">
        <v>14849</v>
      </c>
      <c r="K4" s="10">
        <v>16.076813620261898</v>
      </c>
      <c r="L4" s="10">
        <v>16.164836016760798</v>
      </c>
      <c r="M4" s="10">
        <v>15.972823901541201</v>
      </c>
      <c r="N4" s="10">
        <f t="shared" si="0"/>
        <v>16.071491179521299</v>
      </c>
      <c r="O4" s="10">
        <f t="shared" si="1"/>
        <v>2.7583972946551407</v>
      </c>
      <c r="P4" s="10" t="str">
        <f t="shared" si="2"/>
        <v>NA</v>
      </c>
      <c r="S4" s="12" t="s">
        <v>14173</v>
      </c>
      <c r="T4" s="13">
        <v>45.449789099999997</v>
      </c>
      <c r="U4" s="39"/>
    </row>
    <row r="5" spans="1:22" x14ac:dyDescent="0.2">
      <c r="A5" s="14" t="str">
        <f>"acbp-3"</f>
        <v>acbp-3</v>
      </c>
      <c r="B5" s="14" t="s">
        <v>8818</v>
      </c>
      <c r="C5" s="14" t="s">
        <v>8820</v>
      </c>
      <c r="D5" s="14" t="s">
        <v>29</v>
      </c>
      <c r="E5" s="14" t="s">
        <v>29</v>
      </c>
      <c r="F5" s="14" t="s">
        <v>29</v>
      </c>
      <c r="G5" s="14" t="s">
        <v>14849</v>
      </c>
      <c r="H5" s="14" t="s">
        <v>14849</v>
      </c>
      <c r="I5" s="14" t="s">
        <v>14849</v>
      </c>
      <c r="J5" s="14" t="s">
        <v>14849</v>
      </c>
      <c r="K5" s="14">
        <v>15.6561128039792</v>
      </c>
      <c r="L5" s="14">
        <v>15.960263194171899</v>
      </c>
      <c r="M5" s="14">
        <v>15.4493879159422</v>
      </c>
      <c r="N5" s="14">
        <f t="shared" si="0"/>
        <v>15.688587971364433</v>
      </c>
      <c r="O5" s="14">
        <f t="shared" si="1"/>
        <v>11.9608679</v>
      </c>
      <c r="P5" s="14" t="str">
        <f t="shared" si="2"/>
        <v>NA</v>
      </c>
      <c r="S5" s="12" t="s">
        <v>3109</v>
      </c>
      <c r="T5" s="13">
        <v>28.1004726</v>
      </c>
      <c r="U5" s="39"/>
    </row>
    <row r="6" spans="1:22" x14ac:dyDescent="0.2">
      <c r="A6" s="16" t="str">
        <f>"comt-3"</f>
        <v>comt-3</v>
      </c>
      <c r="B6" s="16" t="s">
        <v>11933</v>
      </c>
      <c r="C6" s="16" t="s">
        <v>11935</v>
      </c>
      <c r="D6" s="16" t="s">
        <v>29</v>
      </c>
      <c r="E6" s="16" t="s">
        <v>29</v>
      </c>
      <c r="F6" s="16" t="s">
        <v>29</v>
      </c>
      <c r="G6" s="16" t="s">
        <v>14849</v>
      </c>
      <c r="H6" s="16" t="s">
        <v>14849</v>
      </c>
      <c r="I6" s="16" t="s">
        <v>14849</v>
      </c>
      <c r="J6" s="16" t="s">
        <v>14849</v>
      </c>
      <c r="K6" s="16">
        <v>15.619391217154099</v>
      </c>
      <c r="L6" s="16">
        <v>15.8830009841882</v>
      </c>
      <c r="M6" s="16">
        <v>15.491330530368099</v>
      </c>
      <c r="N6" s="16">
        <f t="shared" si="0"/>
        <v>15.664574243903466</v>
      </c>
      <c r="O6" s="16">
        <f t="shared" si="1"/>
        <v>9.9269247280034332</v>
      </c>
      <c r="P6" s="16" t="str">
        <f t="shared" si="2"/>
        <v>NA</v>
      </c>
      <c r="S6" s="12" t="s">
        <v>4604</v>
      </c>
      <c r="T6" s="13">
        <v>27.4262218</v>
      </c>
      <c r="U6" s="39"/>
    </row>
    <row r="7" spans="1:22" x14ac:dyDescent="0.2">
      <c r="A7" s="24" t="str">
        <f>"gldi-7"</f>
        <v>gldi-7</v>
      </c>
      <c r="B7" s="24" t="s">
        <v>13366</v>
      </c>
      <c r="C7" s="24" t="s">
        <v>13368</v>
      </c>
      <c r="D7" s="24" t="s">
        <v>29</v>
      </c>
      <c r="E7" s="24" t="s">
        <v>29</v>
      </c>
      <c r="F7" s="24" t="s">
        <v>29</v>
      </c>
      <c r="G7" s="24" t="s">
        <v>14849</v>
      </c>
      <c r="H7" s="24" t="s">
        <v>14849</v>
      </c>
      <c r="I7" s="24" t="s">
        <v>14849</v>
      </c>
      <c r="J7" s="24" t="s">
        <v>14849</v>
      </c>
      <c r="K7" s="24">
        <v>14.859461902395299</v>
      </c>
      <c r="L7" s="24">
        <v>14.587228218904499</v>
      </c>
      <c r="M7" s="24">
        <v>14.848719830160301</v>
      </c>
      <c r="N7" s="24">
        <f t="shared" si="0"/>
        <v>14.765136650486701</v>
      </c>
      <c r="O7" s="24" t="str">
        <f t="shared" si="1"/>
        <v>ND</v>
      </c>
      <c r="P7" s="24" t="str">
        <f t="shared" si="2"/>
        <v>NA</v>
      </c>
      <c r="S7" s="12" t="s">
        <v>14303</v>
      </c>
      <c r="T7" s="13">
        <v>25.5388345</v>
      </c>
      <c r="U7" s="39"/>
    </row>
    <row r="8" spans="1:22" x14ac:dyDescent="0.2">
      <c r="A8" s="10" t="str">
        <f>"K02B12.7"</f>
        <v>K02B12.7</v>
      </c>
      <c r="B8" s="10" t="s">
        <v>6097</v>
      </c>
      <c r="C8" s="10" t="s">
        <v>3609</v>
      </c>
      <c r="D8" s="10" t="s">
        <v>29</v>
      </c>
      <c r="E8" s="10" t="s">
        <v>29</v>
      </c>
      <c r="F8" s="10" t="s">
        <v>29</v>
      </c>
      <c r="G8" s="10" t="s">
        <v>14849</v>
      </c>
      <c r="H8" s="10" t="s">
        <v>14849</v>
      </c>
      <c r="I8" s="10" t="s">
        <v>14849</v>
      </c>
      <c r="J8" s="10" t="s">
        <v>14849</v>
      </c>
      <c r="K8" s="10">
        <v>14.1905332042775</v>
      </c>
      <c r="L8" s="10">
        <v>14.222445539632099</v>
      </c>
      <c r="M8" s="10">
        <v>13.9904131418731</v>
      </c>
      <c r="N8" s="10">
        <f t="shared" si="0"/>
        <v>14.134463961927565</v>
      </c>
      <c r="O8" s="10">
        <f t="shared" si="1"/>
        <v>4.0086542005910042</v>
      </c>
      <c r="P8" s="10" t="str">
        <f t="shared" si="2"/>
        <v>NA</v>
      </c>
      <c r="S8" s="12" t="s">
        <v>1545</v>
      </c>
      <c r="T8" s="13">
        <v>19.488423999999998</v>
      </c>
      <c r="U8" s="39"/>
    </row>
    <row r="9" spans="1:22" x14ac:dyDescent="0.2">
      <c r="A9" s="22" t="str">
        <f>"scb-1"</f>
        <v>scb-1</v>
      </c>
      <c r="B9" s="22" t="s">
        <v>4117</v>
      </c>
      <c r="C9" s="22" t="s">
        <v>4119</v>
      </c>
      <c r="D9" s="22" t="s">
        <v>29</v>
      </c>
      <c r="E9" s="22" t="s">
        <v>29</v>
      </c>
      <c r="F9" s="22" t="s">
        <v>29</v>
      </c>
      <c r="G9" s="22" t="s">
        <v>14849</v>
      </c>
      <c r="H9" s="22" t="s">
        <v>14849</v>
      </c>
      <c r="I9" s="22" t="s">
        <v>14849</v>
      </c>
      <c r="J9" s="22" t="s">
        <v>14849</v>
      </c>
      <c r="K9" s="22">
        <v>14.016274601825099</v>
      </c>
      <c r="L9" s="22">
        <v>13.8505213471012</v>
      </c>
      <c r="M9" s="22">
        <v>14.4568211198289</v>
      </c>
      <c r="N9" s="22">
        <f t="shared" si="0"/>
        <v>14.107872356251733</v>
      </c>
      <c r="O9" s="22" t="str">
        <f t="shared" si="1"/>
        <v>ND</v>
      </c>
      <c r="P9" s="22" t="str">
        <f t="shared" si="2"/>
        <v>NA</v>
      </c>
      <c r="S9" s="12" t="s">
        <v>7421</v>
      </c>
      <c r="T9" s="13">
        <v>16.838587100000002</v>
      </c>
      <c r="U9" s="39"/>
    </row>
    <row r="10" spans="1:22" x14ac:dyDescent="0.2">
      <c r="A10" s="10" t="str">
        <f>"del-6"</f>
        <v>del-6</v>
      </c>
      <c r="B10" s="10" t="s">
        <v>10912</v>
      </c>
      <c r="C10" s="10" t="s">
        <v>10914</v>
      </c>
      <c r="D10" s="10" t="s">
        <v>29</v>
      </c>
      <c r="E10" s="10" t="s">
        <v>29</v>
      </c>
      <c r="F10" s="10" t="s">
        <v>29</v>
      </c>
      <c r="G10" s="10" t="s">
        <v>14849</v>
      </c>
      <c r="H10" s="10" t="s">
        <v>14849</v>
      </c>
      <c r="I10" s="10" t="s">
        <v>14849</v>
      </c>
      <c r="J10" s="10" t="s">
        <v>14849</v>
      </c>
      <c r="K10" s="10">
        <v>14.4191380586935</v>
      </c>
      <c r="L10" s="10">
        <v>14.403996093379799</v>
      </c>
      <c r="M10" s="10">
        <v>13.471512081460499</v>
      </c>
      <c r="N10" s="10">
        <f t="shared" si="0"/>
        <v>14.098215411177932</v>
      </c>
      <c r="O10" s="10">
        <f t="shared" si="1"/>
        <v>2.8898607958470506</v>
      </c>
      <c r="P10" s="10" t="str">
        <f t="shared" si="2"/>
        <v>NA</v>
      </c>
      <c r="S10" s="12" t="s">
        <v>13243</v>
      </c>
      <c r="T10" s="13">
        <v>15.862799600000001</v>
      </c>
      <c r="U10" s="39"/>
    </row>
    <row r="11" spans="1:22" x14ac:dyDescent="0.2">
      <c r="A11" s="24" t="str">
        <f>"hmr-1"</f>
        <v>hmr-1</v>
      </c>
      <c r="B11" s="24" t="s">
        <v>11978</v>
      </c>
      <c r="C11" s="24" t="s">
        <v>11980</v>
      </c>
      <c r="D11" s="24" t="s">
        <v>29</v>
      </c>
      <c r="E11" s="24" t="s">
        <v>29</v>
      </c>
      <c r="F11" s="24" t="s">
        <v>29</v>
      </c>
      <c r="G11" s="24" t="s">
        <v>14849</v>
      </c>
      <c r="H11" s="24" t="s">
        <v>14849</v>
      </c>
      <c r="I11" s="24" t="s">
        <v>14849</v>
      </c>
      <c r="J11" s="24" t="s">
        <v>14849</v>
      </c>
      <c r="K11" s="24">
        <v>14.2393687334246</v>
      </c>
      <c r="L11" s="24">
        <v>14.167270347743999</v>
      </c>
      <c r="M11" s="24">
        <v>13.596089611969999</v>
      </c>
      <c r="N11" s="24">
        <f t="shared" si="0"/>
        <v>14.000909564379533</v>
      </c>
      <c r="O11" s="24" t="str">
        <f t="shared" si="1"/>
        <v>ND</v>
      </c>
      <c r="P11" s="24" t="str">
        <f t="shared" si="2"/>
        <v>NA</v>
      </c>
      <c r="S11" s="12" t="s">
        <v>236</v>
      </c>
      <c r="T11" s="13">
        <v>15.711251000000001</v>
      </c>
      <c r="U11" s="39"/>
    </row>
    <row r="12" spans="1:22" x14ac:dyDescent="0.2">
      <c r="A12" s="10" t="str">
        <f>"F25H8.2"</f>
        <v>F25H8.2</v>
      </c>
      <c r="B12" s="10" t="s">
        <v>8431</v>
      </c>
      <c r="C12" s="10" t="s">
        <v>8432</v>
      </c>
      <c r="D12" s="10" t="s">
        <v>29</v>
      </c>
      <c r="E12" s="10" t="s">
        <v>29</v>
      </c>
      <c r="F12" s="10" t="s">
        <v>29</v>
      </c>
      <c r="G12" s="10" t="s">
        <v>14849</v>
      </c>
      <c r="H12" s="10" t="s">
        <v>14849</v>
      </c>
      <c r="I12" s="10" t="s">
        <v>14849</v>
      </c>
      <c r="J12" s="10" t="s">
        <v>14849</v>
      </c>
      <c r="K12" s="10">
        <v>14.143019916999799</v>
      </c>
      <c r="L12" s="10">
        <v>13.941655486266599</v>
      </c>
      <c r="M12" s="10">
        <v>13.8628896536478</v>
      </c>
      <c r="N12" s="10">
        <f t="shared" si="0"/>
        <v>13.982521685638067</v>
      </c>
      <c r="O12" s="10">
        <f t="shared" si="1"/>
        <v>2.7286739180665229</v>
      </c>
      <c r="P12" s="10" t="str">
        <f t="shared" si="2"/>
        <v>NA</v>
      </c>
      <c r="S12" s="12" t="s">
        <v>2802</v>
      </c>
      <c r="T12" s="13">
        <v>15.4569776</v>
      </c>
      <c r="U12" s="39"/>
    </row>
    <row r="13" spans="1:22" x14ac:dyDescent="0.2">
      <c r="A13" s="16" t="str">
        <f>"acsd-1"</f>
        <v>acsd-1</v>
      </c>
      <c r="B13" s="16" t="s">
        <v>10984</v>
      </c>
      <c r="C13" s="16" t="s">
        <v>10986</v>
      </c>
      <c r="D13" s="16" t="s">
        <v>29</v>
      </c>
      <c r="E13" s="16" t="s">
        <v>29</v>
      </c>
      <c r="F13" s="16" t="s">
        <v>29</v>
      </c>
      <c r="G13" s="16" t="s">
        <v>14849</v>
      </c>
      <c r="H13" s="16" t="s">
        <v>14849</v>
      </c>
      <c r="I13" s="16" t="s">
        <v>14849</v>
      </c>
      <c r="J13" s="16" t="s">
        <v>14849</v>
      </c>
      <c r="K13" s="16">
        <v>13.843731272736999</v>
      </c>
      <c r="L13" s="16">
        <v>13.6979009518338</v>
      </c>
      <c r="M13" s="16">
        <v>13.721630770065801</v>
      </c>
      <c r="N13" s="16">
        <f t="shared" si="0"/>
        <v>13.754420998212199</v>
      </c>
      <c r="O13" s="16">
        <f t="shared" si="1"/>
        <v>5.4897413400000001</v>
      </c>
      <c r="P13" s="16" t="str">
        <f t="shared" si="2"/>
        <v>NA</v>
      </c>
      <c r="S13" s="12" t="s">
        <v>11562</v>
      </c>
      <c r="T13" s="13">
        <v>14.660895399999999</v>
      </c>
      <c r="U13" s="39"/>
    </row>
    <row r="14" spans="1:22" x14ac:dyDescent="0.2">
      <c r="A14" s="16" t="str">
        <f>"clic-1"</f>
        <v>clic-1</v>
      </c>
      <c r="B14" s="16" t="s">
        <v>6132</v>
      </c>
      <c r="C14" s="16" t="s">
        <v>6134</v>
      </c>
      <c r="D14" s="16" t="s">
        <v>29</v>
      </c>
      <c r="E14" s="16" t="s">
        <v>29</v>
      </c>
      <c r="F14" s="16" t="s">
        <v>29</v>
      </c>
      <c r="G14" s="16" t="s">
        <v>14849</v>
      </c>
      <c r="H14" s="16" t="s">
        <v>14849</v>
      </c>
      <c r="I14" s="16" t="s">
        <v>14849</v>
      </c>
      <c r="J14" s="16" t="s">
        <v>14849</v>
      </c>
      <c r="K14" s="16">
        <v>13.9985590979775</v>
      </c>
      <c r="L14" s="16">
        <v>13.637576467223299</v>
      </c>
      <c r="M14" s="16">
        <v>13.2011588298622</v>
      </c>
      <c r="N14" s="16">
        <f t="shared" si="0"/>
        <v>13.612431465020999</v>
      </c>
      <c r="O14" s="16">
        <f t="shared" si="1"/>
        <v>9.8103186667543536</v>
      </c>
      <c r="P14" s="16" t="str">
        <f t="shared" si="2"/>
        <v>NA</v>
      </c>
      <c r="S14" s="12" t="s">
        <v>8188</v>
      </c>
      <c r="T14" s="13">
        <v>14.6257997</v>
      </c>
      <c r="U14" s="39"/>
    </row>
    <row r="15" spans="1:22" x14ac:dyDescent="0.2">
      <c r="A15" s="10" t="str">
        <f>"eef-1B.1"</f>
        <v>eef-1B.1</v>
      </c>
      <c r="B15" s="10" t="s">
        <v>5146</v>
      </c>
      <c r="C15" s="10" t="s">
        <v>5148</v>
      </c>
      <c r="D15" s="10" t="s">
        <v>29</v>
      </c>
      <c r="E15" s="10" t="s">
        <v>29</v>
      </c>
      <c r="F15" s="10" t="s">
        <v>29</v>
      </c>
      <c r="G15" s="10" t="s">
        <v>14849</v>
      </c>
      <c r="H15" s="10" t="s">
        <v>14849</v>
      </c>
      <c r="I15" s="10" t="s">
        <v>14849</v>
      </c>
      <c r="J15" s="10" t="s">
        <v>14849</v>
      </c>
      <c r="K15" s="10">
        <v>13.908601649522</v>
      </c>
      <c r="L15" s="10">
        <v>13.5220829725003</v>
      </c>
      <c r="M15" s="10">
        <v>13.362181534884201</v>
      </c>
      <c r="N15" s="10">
        <f t="shared" si="0"/>
        <v>13.597622052302166</v>
      </c>
      <c r="O15" s="10">
        <f t="shared" si="1"/>
        <v>3.4624468677270763</v>
      </c>
      <c r="P15" s="10" t="str">
        <f t="shared" si="2"/>
        <v>NA</v>
      </c>
      <c r="S15" s="12" t="s">
        <v>3189</v>
      </c>
      <c r="T15" s="13">
        <v>13.513067700000001</v>
      </c>
      <c r="U15" s="39"/>
    </row>
    <row r="16" spans="1:22" x14ac:dyDescent="0.2">
      <c r="A16" s="24" t="str">
        <f>"unc-25"</f>
        <v>unc-25</v>
      </c>
      <c r="B16" s="24" t="s">
        <v>1360</v>
      </c>
      <c r="C16" s="24" t="s">
        <v>1362</v>
      </c>
      <c r="D16" s="24" t="s">
        <v>29</v>
      </c>
      <c r="E16" s="24" t="s">
        <v>29</v>
      </c>
      <c r="F16" s="24" t="s">
        <v>29</v>
      </c>
      <c r="G16" s="24" t="s">
        <v>14849</v>
      </c>
      <c r="H16" s="24" t="s">
        <v>14849</v>
      </c>
      <c r="I16" s="24" t="s">
        <v>14849</v>
      </c>
      <c r="J16" s="24" t="s">
        <v>14849</v>
      </c>
      <c r="K16" s="24">
        <v>13.4940009441053</v>
      </c>
      <c r="L16" s="24">
        <v>13.466625811318099</v>
      </c>
      <c r="M16" s="24">
        <v>13.6531202034113</v>
      </c>
      <c r="N16" s="24">
        <f t="shared" si="0"/>
        <v>13.537915652944898</v>
      </c>
      <c r="O16" s="24" t="str">
        <f t="shared" si="1"/>
        <v>ND</v>
      </c>
      <c r="P16" s="24" t="str">
        <f t="shared" si="2"/>
        <v>NA</v>
      </c>
      <c r="S16" s="12" t="s">
        <v>76</v>
      </c>
      <c r="T16" s="13">
        <v>13.279445000000001</v>
      </c>
      <c r="U16" s="39"/>
    </row>
    <row r="17" spans="1:21" x14ac:dyDescent="0.2">
      <c r="A17" s="10" t="str">
        <f>"ppfr-4"</f>
        <v>ppfr-4</v>
      </c>
      <c r="B17" s="10" t="s">
        <v>12485</v>
      </c>
      <c r="C17" s="10" t="s">
        <v>12487</v>
      </c>
      <c r="D17" s="10" t="s">
        <v>29</v>
      </c>
      <c r="E17" s="10" t="s">
        <v>29</v>
      </c>
      <c r="F17" s="10" t="s">
        <v>29</v>
      </c>
      <c r="G17" s="10" t="s">
        <v>14849</v>
      </c>
      <c r="H17" s="10" t="s">
        <v>14849</v>
      </c>
      <c r="I17" s="10" t="s">
        <v>14849</v>
      </c>
      <c r="J17" s="10" t="s">
        <v>14849</v>
      </c>
      <c r="K17" s="10">
        <v>13.544096370940199</v>
      </c>
      <c r="L17" s="10">
        <v>13.5560782256737</v>
      </c>
      <c r="M17" s="10">
        <v>13.282191478542201</v>
      </c>
      <c r="N17" s="10">
        <f t="shared" si="0"/>
        <v>13.460788691718699</v>
      </c>
      <c r="O17" s="10">
        <f t="shared" si="1"/>
        <v>3.69990569</v>
      </c>
      <c r="P17" s="10" t="str">
        <f t="shared" si="2"/>
        <v>NA</v>
      </c>
      <c r="S17" s="12" t="s">
        <v>10385</v>
      </c>
      <c r="T17" s="13">
        <v>12.7803343</v>
      </c>
      <c r="U17" s="39"/>
    </row>
    <row r="18" spans="1:21" x14ac:dyDescent="0.2">
      <c r="A18" s="22" t="str">
        <f>"Y62E10A.13"</f>
        <v>Y62E10A.13</v>
      </c>
      <c r="B18" s="22" t="s">
        <v>26</v>
      </c>
      <c r="C18" s="22" t="s">
        <v>27</v>
      </c>
      <c r="D18" s="22" t="s">
        <v>29</v>
      </c>
      <c r="E18" s="22" t="s">
        <v>29</v>
      </c>
      <c r="F18" s="22" t="s">
        <v>29</v>
      </c>
      <c r="G18" s="22" t="s">
        <v>14849</v>
      </c>
      <c r="H18" s="22" t="s">
        <v>14849</v>
      </c>
      <c r="I18" s="22" t="s">
        <v>14849</v>
      </c>
      <c r="J18" s="22" t="s">
        <v>14849</v>
      </c>
      <c r="K18" s="22">
        <v>13.4964912441952</v>
      </c>
      <c r="L18" s="22">
        <v>13.8279005601467</v>
      </c>
      <c r="M18" s="22">
        <v>12.9812132938714</v>
      </c>
      <c r="N18" s="22">
        <f t="shared" si="0"/>
        <v>13.435201699404432</v>
      </c>
      <c r="O18" s="22" t="str">
        <f t="shared" si="1"/>
        <v>ND</v>
      </c>
      <c r="P18" s="22" t="str">
        <f t="shared" si="2"/>
        <v>NA</v>
      </c>
      <c r="S18" s="12" t="s">
        <v>11175</v>
      </c>
      <c r="T18" s="13">
        <v>12.709663600000001</v>
      </c>
      <c r="U18" s="39"/>
    </row>
    <row r="19" spans="1:21" x14ac:dyDescent="0.2">
      <c r="A19" s="24" t="str">
        <f>"Y47G6A.18"</f>
        <v>Y47G6A.18</v>
      </c>
      <c r="B19" s="24" t="s">
        <v>12415</v>
      </c>
      <c r="C19" s="24" t="s">
        <v>12416</v>
      </c>
      <c r="D19" s="24" t="s">
        <v>29</v>
      </c>
      <c r="E19" s="24" t="s">
        <v>29</v>
      </c>
      <c r="F19" s="24" t="s">
        <v>29</v>
      </c>
      <c r="G19" s="24" t="s">
        <v>14849</v>
      </c>
      <c r="H19" s="24" t="s">
        <v>14849</v>
      </c>
      <c r="I19" s="24" t="s">
        <v>14849</v>
      </c>
      <c r="J19" s="24" t="s">
        <v>14849</v>
      </c>
      <c r="K19" s="24">
        <v>13.933474538702001</v>
      </c>
      <c r="L19" s="24">
        <v>13.4866499374399</v>
      </c>
      <c r="M19" s="24">
        <v>12.688825715800901</v>
      </c>
      <c r="N19" s="24">
        <f t="shared" si="0"/>
        <v>13.369650063980934</v>
      </c>
      <c r="O19" s="24" t="str">
        <f t="shared" si="1"/>
        <v>ND</v>
      </c>
      <c r="P19" s="24" t="str">
        <f t="shared" si="2"/>
        <v>NA</v>
      </c>
      <c r="S19" s="12" t="s">
        <v>2196</v>
      </c>
      <c r="T19" s="13">
        <v>12.573299199999999</v>
      </c>
      <c r="U19" s="39"/>
    </row>
    <row r="20" spans="1:21" x14ac:dyDescent="0.2">
      <c r="A20" s="10" t="str">
        <f>"mdt-4"</f>
        <v>mdt-4</v>
      </c>
      <c r="B20" s="10" t="s">
        <v>10297</v>
      </c>
      <c r="C20" s="10" t="s">
        <v>10299</v>
      </c>
      <c r="D20" s="10" t="s">
        <v>29</v>
      </c>
      <c r="E20" s="10" t="s">
        <v>29</v>
      </c>
      <c r="F20" s="10" t="s">
        <v>29</v>
      </c>
      <c r="G20" s="10" t="s">
        <v>14849</v>
      </c>
      <c r="H20" s="10" t="s">
        <v>14849</v>
      </c>
      <c r="I20" s="10" t="s">
        <v>14849</v>
      </c>
      <c r="J20" s="10" t="s">
        <v>14849</v>
      </c>
      <c r="K20" s="10">
        <v>13.2628856888937</v>
      </c>
      <c r="L20" s="10">
        <v>13.5010872873293</v>
      </c>
      <c r="M20" s="10">
        <v>13.2473588236076</v>
      </c>
      <c r="N20" s="10">
        <f t="shared" si="0"/>
        <v>13.337110599943534</v>
      </c>
      <c r="O20" s="10">
        <f t="shared" si="1"/>
        <v>2.9140060499999998</v>
      </c>
      <c r="P20" s="10" t="str">
        <f t="shared" si="2"/>
        <v>NA</v>
      </c>
      <c r="S20" s="12" t="s">
        <v>8819</v>
      </c>
      <c r="T20" s="13">
        <v>11.9608679</v>
      </c>
      <c r="U20" s="39"/>
    </row>
    <row r="21" spans="1:21" x14ac:dyDescent="0.2">
      <c r="A21" s="24" t="str">
        <f>"T04A11.2"</f>
        <v>T04A11.2</v>
      </c>
      <c r="B21" s="24" t="s">
        <v>1130</v>
      </c>
      <c r="C21" s="24" t="s">
        <v>1131</v>
      </c>
      <c r="D21" s="24" t="s">
        <v>29</v>
      </c>
      <c r="E21" s="24" t="s">
        <v>29</v>
      </c>
      <c r="F21" s="24" t="s">
        <v>29</v>
      </c>
      <c r="G21" s="24" t="s">
        <v>14849</v>
      </c>
      <c r="H21" s="24" t="s">
        <v>14849</v>
      </c>
      <c r="I21" s="24" t="s">
        <v>14849</v>
      </c>
      <c r="J21" s="24" t="s">
        <v>14849</v>
      </c>
      <c r="K21" s="24">
        <v>13.067558344424301</v>
      </c>
      <c r="L21" s="24">
        <v>13.1204322167117</v>
      </c>
      <c r="M21" s="24">
        <v>13.7083019238563</v>
      </c>
      <c r="N21" s="24">
        <f t="shared" si="0"/>
        <v>13.298764161664101</v>
      </c>
      <c r="O21" s="24" t="str">
        <f t="shared" si="1"/>
        <v>ND</v>
      </c>
      <c r="P21" s="24" t="str">
        <f t="shared" si="2"/>
        <v>NA</v>
      </c>
      <c r="S21" s="12" t="s">
        <v>6701</v>
      </c>
      <c r="T21" s="13">
        <v>11.410588000000001</v>
      </c>
      <c r="U21" s="39"/>
    </row>
    <row r="22" spans="1:21" x14ac:dyDescent="0.2">
      <c r="A22" s="16" t="str">
        <f>"C01B10.3"</f>
        <v>C01B10.3</v>
      </c>
      <c r="B22" s="16" t="s">
        <v>7353</v>
      </c>
      <c r="C22" s="16" t="s">
        <v>7355</v>
      </c>
      <c r="D22" s="16" t="s">
        <v>29</v>
      </c>
      <c r="E22" s="16" t="s">
        <v>29</v>
      </c>
      <c r="F22" s="16" t="s">
        <v>29</v>
      </c>
      <c r="G22" s="16" t="s">
        <v>14849</v>
      </c>
      <c r="H22" s="16" t="s">
        <v>14849</v>
      </c>
      <c r="I22" s="16" t="s">
        <v>14849</v>
      </c>
      <c r="J22" s="16" t="s">
        <v>14849</v>
      </c>
      <c r="K22" s="16">
        <v>13.0777389585942</v>
      </c>
      <c r="L22" s="16">
        <v>13.4924634844728</v>
      </c>
      <c r="M22" s="16">
        <v>13.054335882819901</v>
      </c>
      <c r="N22" s="16">
        <f t="shared" si="0"/>
        <v>13.208179441962301</v>
      </c>
      <c r="O22" s="16">
        <f t="shared" si="1"/>
        <v>7.2656431499999998</v>
      </c>
      <c r="P22" s="16" t="str">
        <f t="shared" si="2"/>
        <v>NA</v>
      </c>
      <c r="S22" s="12" t="s">
        <v>4114</v>
      </c>
      <c r="T22" s="13">
        <v>11.1537191</v>
      </c>
      <c r="U22" s="39"/>
    </row>
    <row r="23" spans="1:21" x14ac:dyDescent="0.2">
      <c r="A23" s="24" t="str">
        <f>"mom-4"</f>
        <v>mom-4</v>
      </c>
      <c r="B23" s="24" t="s">
        <v>13491</v>
      </c>
      <c r="C23" s="24" t="s">
        <v>13493</v>
      </c>
      <c r="D23" s="24" t="s">
        <v>29</v>
      </c>
      <c r="E23" s="24" t="s">
        <v>29</v>
      </c>
      <c r="F23" s="24" t="s">
        <v>29</v>
      </c>
      <c r="G23" s="24" t="s">
        <v>14849</v>
      </c>
      <c r="H23" s="24" t="s">
        <v>14849</v>
      </c>
      <c r="I23" s="24" t="s">
        <v>14849</v>
      </c>
      <c r="J23" s="24" t="s">
        <v>14849</v>
      </c>
      <c r="K23" s="24">
        <v>13.255369315111199</v>
      </c>
      <c r="L23" s="24">
        <v>13.060900693273499</v>
      </c>
      <c r="M23" s="24">
        <v>13.234820715046499</v>
      </c>
      <c r="N23" s="24">
        <f t="shared" si="0"/>
        <v>13.1836969078104</v>
      </c>
      <c r="O23" s="24" t="str">
        <f t="shared" si="1"/>
        <v>ND</v>
      </c>
      <c r="P23" s="24" t="str">
        <f t="shared" si="2"/>
        <v>NA</v>
      </c>
      <c r="S23" s="12" t="s">
        <v>14177</v>
      </c>
      <c r="T23" s="13">
        <v>11.1474306</v>
      </c>
      <c r="U23" s="39"/>
    </row>
    <row r="24" spans="1:21" x14ac:dyDescent="0.2">
      <c r="A24" s="16" t="str">
        <f>"pfd-2"</f>
        <v>pfd-2</v>
      </c>
      <c r="B24" s="16" t="s">
        <v>12649</v>
      </c>
      <c r="C24" s="16" t="s">
        <v>12651</v>
      </c>
      <c r="D24" s="16" t="s">
        <v>29</v>
      </c>
      <c r="E24" s="16" t="s">
        <v>29</v>
      </c>
      <c r="F24" s="16" t="s">
        <v>29</v>
      </c>
      <c r="G24" s="16" t="s">
        <v>14849</v>
      </c>
      <c r="H24" s="16" t="s">
        <v>14849</v>
      </c>
      <c r="I24" s="16" t="s">
        <v>14849</v>
      </c>
      <c r="J24" s="16" t="s">
        <v>14849</v>
      </c>
      <c r="K24" s="16">
        <v>13.4071088263323</v>
      </c>
      <c r="L24" s="16">
        <v>13.517072983932801</v>
      </c>
      <c r="M24" s="16">
        <v>12.6088693688302</v>
      </c>
      <c r="N24" s="16">
        <f t="shared" si="0"/>
        <v>13.177683726365101</v>
      </c>
      <c r="O24" s="16">
        <f t="shared" si="1"/>
        <v>8.5325504999825288</v>
      </c>
      <c r="P24" s="16" t="str">
        <f t="shared" si="2"/>
        <v>NA</v>
      </c>
      <c r="S24" s="14" t="s">
        <v>7065</v>
      </c>
      <c r="T24" s="15">
        <v>10.739022063060709</v>
      </c>
      <c r="U24" s="40"/>
    </row>
    <row r="25" spans="1:21" x14ac:dyDescent="0.2">
      <c r="A25" s="24" t="str">
        <f>"best-17"</f>
        <v>best-17</v>
      </c>
      <c r="B25" s="24" t="s">
        <v>9853</v>
      </c>
      <c r="C25" s="24" t="s">
        <v>9855</v>
      </c>
      <c r="D25" s="24" t="s">
        <v>29</v>
      </c>
      <c r="E25" s="24" t="s">
        <v>29</v>
      </c>
      <c r="F25" s="24" t="s">
        <v>29</v>
      </c>
      <c r="G25" s="24" t="s">
        <v>14849</v>
      </c>
      <c r="H25" s="24" t="s">
        <v>14849</v>
      </c>
      <c r="I25" s="24" t="s">
        <v>14849</v>
      </c>
      <c r="J25" s="24" t="s">
        <v>14849</v>
      </c>
      <c r="K25" s="24">
        <v>13.0928324814678</v>
      </c>
      <c r="L25" s="24">
        <v>13.432446858796199</v>
      </c>
      <c r="M25" s="24">
        <v>12.806783569705701</v>
      </c>
      <c r="N25" s="24">
        <f t="shared" si="0"/>
        <v>13.110687636656566</v>
      </c>
      <c r="O25" s="24" t="str">
        <f t="shared" si="1"/>
        <v>ND</v>
      </c>
      <c r="P25" s="24" t="str">
        <f t="shared" si="2"/>
        <v>NA</v>
      </c>
      <c r="S25" s="12" t="s">
        <v>6784</v>
      </c>
      <c r="T25" s="13">
        <v>10.478298199999999</v>
      </c>
      <c r="U25" s="39"/>
    </row>
    <row r="26" spans="1:21" x14ac:dyDescent="0.2">
      <c r="A26" s="24" t="str">
        <f>"CTEL55X.1"</f>
        <v>CTEL55X.1</v>
      </c>
      <c r="B26" s="24" t="s">
        <v>2209</v>
      </c>
      <c r="C26" s="24" t="s">
        <v>2210</v>
      </c>
      <c r="D26" s="24" t="s">
        <v>29</v>
      </c>
      <c r="E26" s="24" t="s">
        <v>29</v>
      </c>
      <c r="F26" s="24" t="s">
        <v>29</v>
      </c>
      <c r="G26" s="24" t="s">
        <v>14849</v>
      </c>
      <c r="H26" s="24" t="s">
        <v>14849</v>
      </c>
      <c r="I26" s="24" t="s">
        <v>14849</v>
      </c>
      <c r="J26" s="24" t="s">
        <v>14849</v>
      </c>
      <c r="K26" s="24">
        <v>13.7060161766967</v>
      </c>
      <c r="L26" s="24">
        <v>13.545268108561899</v>
      </c>
      <c r="M26" s="24">
        <v>11.918678097237001</v>
      </c>
      <c r="N26" s="24">
        <f t="shared" si="0"/>
        <v>13.056654127498533</v>
      </c>
      <c r="O26" s="24" t="str">
        <f t="shared" si="1"/>
        <v>ND</v>
      </c>
      <c r="P26" s="24" t="str">
        <f t="shared" si="2"/>
        <v>NA</v>
      </c>
      <c r="S26" s="12" t="s">
        <v>4012</v>
      </c>
      <c r="T26" s="13">
        <v>10.26802</v>
      </c>
      <c r="U26" s="39"/>
    </row>
    <row r="27" spans="1:21" x14ac:dyDescent="0.2">
      <c r="A27" s="10" t="str">
        <f>"mag-1"</f>
        <v>mag-1</v>
      </c>
      <c r="B27" s="10" t="s">
        <v>5725</v>
      </c>
      <c r="C27" s="10" t="s">
        <v>5727</v>
      </c>
      <c r="D27" s="10" t="s">
        <v>29</v>
      </c>
      <c r="E27" s="10" t="s">
        <v>29</v>
      </c>
      <c r="F27" s="10" t="s">
        <v>29</v>
      </c>
      <c r="G27" s="10" t="s">
        <v>14849</v>
      </c>
      <c r="H27" s="10" t="s">
        <v>14849</v>
      </c>
      <c r="I27" s="10" t="s">
        <v>14849</v>
      </c>
      <c r="J27" s="10" t="s">
        <v>14849</v>
      </c>
      <c r="K27" s="10">
        <v>12.579425941991399</v>
      </c>
      <c r="L27" s="10">
        <v>13.546744614253299</v>
      </c>
      <c r="M27" s="10">
        <v>12.999972153084601</v>
      </c>
      <c r="N27" s="10">
        <f t="shared" si="0"/>
        <v>13.042047569776434</v>
      </c>
      <c r="O27" s="10">
        <f t="shared" si="1"/>
        <v>2.59333298</v>
      </c>
      <c r="P27" s="10" t="str">
        <f t="shared" si="2"/>
        <v>NA</v>
      </c>
      <c r="S27" s="16" t="s">
        <v>11934</v>
      </c>
      <c r="T27" s="17">
        <v>9.9269247280034332</v>
      </c>
      <c r="U27" s="39" t="s">
        <v>14927</v>
      </c>
    </row>
    <row r="28" spans="1:21" x14ac:dyDescent="0.2">
      <c r="A28" s="24" t="str">
        <f>"ubc-3"</f>
        <v>ubc-3</v>
      </c>
      <c r="B28" s="24" t="s">
        <v>11659</v>
      </c>
      <c r="C28" s="24" t="s">
        <v>11661</v>
      </c>
      <c r="D28" s="24" t="s">
        <v>29</v>
      </c>
      <c r="E28" s="24" t="s">
        <v>29</v>
      </c>
      <c r="F28" s="24" t="s">
        <v>29</v>
      </c>
      <c r="G28" s="24" t="s">
        <v>14849</v>
      </c>
      <c r="H28" s="24" t="s">
        <v>14849</v>
      </c>
      <c r="I28" s="24" t="s">
        <v>14849</v>
      </c>
      <c r="J28" s="24" t="s">
        <v>14849</v>
      </c>
      <c r="K28" s="24">
        <v>13.0087766195621</v>
      </c>
      <c r="L28" s="24">
        <v>13.223238225832</v>
      </c>
      <c r="M28" s="24">
        <v>12.883809252585401</v>
      </c>
      <c r="N28" s="24">
        <f t="shared" si="0"/>
        <v>13.038608032659832</v>
      </c>
      <c r="O28" s="24" t="str">
        <f t="shared" si="1"/>
        <v>ND</v>
      </c>
      <c r="P28" s="24" t="str">
        <f t="shared" si="2"/>
        <v>NA</v>
      </c>
      <c r="S28" s="16" t="s">
        <v>6133</v>
      </c>
      <c r="T28" s="17">
        <v>9.8103186667543536</v>
      </c>
      <c r="U28" s="39" t="s">
        <v>14917</v>
      </c>
    </row>
    <row r="29" spans="1:21" x14ac:dyDescent="0.2">
      <c r="A29" s="16" t="str">
        <f>"F13E6.1"</f>
        <v>F13E6.1</v>
      </c>
      <c r="B29" s="16" t="s">
        <v>5986</v>
      </c>
      <c r="C29" s="16" t="s">
        <v>5988</v>
      </c>
      <c r="D29" s="16" t="s">
        <v>29</v>
      </c>
      <c r="E29" s="16" t="s">
        <v>29</v>
      </c>
      <c r="F29" s="16" t="s">
        <v>29</v>
      </c>
      <c r="G29" s="16" t="s">
        <v>14849</v>
      </c>
      <c r="H29" s="16" t="s">
        <v>14849</v>
      </c>
      <c r="I29" s="16" t="s">
        <v>14849</v>
      </c>
      <c r="J29" s="16" t="s">
        <v>14849</v>
      </c>
      <c r="K29" s="16">
        <v>12.332313772036001</v>
      </c>
      <c r="L29" s="16">
        <v>13.055050736309401</v>
      </c>
      <c r="M29" s="16">
        <v>13.336088483926501</v>
      </c>
      <c r="N29" s="16">
        <f t="shared" si="0"/>
        <v>12.907817664090635</v>
      </c>
      <c r="O29" s="16">
        <f t="shared" si="1"/>
        <v>6.2273672773130739</v>
      </c>
      <c r="P29" s="16" t="str">
        <f t="shared" si="2"/>
        <v>NA</v>
      </c>
      <c r="S29" s="18" t="s">
        <v>5490</v>
      </c>
      <c r="T29" s="19">
        <v>8.9708627199999995</v>
      </c>
      <c r="U29" s="39"/>
    </row>
    <row r="30" spans="1:21" x14ac:dyDescent="0.2">
      <c r="A30" s="24" t="str">
        <f>"kin-9"</f>
        <v>kin-9</v>
      </c>
      <c r="B30" s="24" t="s">
        <v>861</v>
      </c>
      <c r="C30" s="24" t="s">
        <v>323</v>
      </c>
      <c r="D30" s="24" t="s">
        <v>29</v>
      </c>
      <c r="E30" s="24" t="s">
        <v>29</v>
      </c>
      <c r="F30" s="24" t="s">
        <v>29</v>
      </c>
      <c r="G30" s="24" t="s">
        <v>14849</v>
      </c>
      <c r="H30" s="24" t="s">
        <v>14849</v>
      </c>
      <c r="I30" s="24" t="s">
        <v>14849</v>
      </c>
      <c r="J30" s="24" t="s">
        <v>14849</v>
      </c>
      <c r="K30" s="24">
        <v>13.534144230382299</v>
      </c>
      <c r="L30" s="24">
        <v>12.7515893139895</v>
      </c>
      <c r="M30" s="24">
        <v>12.3059613303249</v>
      </c>
      <c r="N30" s="24">
        <f t="shared" si="0"/>
        <v>12.863898291565567</v>
      </c>
      <c r="O30" s="24" t="str">
        <f t="shared" si="1"/>
        <v>ND</v>
      </c>
      <c r="P30" s="24" t="str">
        <f t="shared" si="2"/>
        <v>NA</v>
      </c>
      <c r="S30" s="16" t="s">
        <v>12650</v>
      </c>
      <c r="T30" s="19">
        <v>8.5325504999825288</v>
      </c>
      <c r="U30" s="39"/>
    </row>
    <row r="31" spans="1:21" x14ac:dyDescent="0.2">
      <c r="A31" s="22" t="str">
        <f>"R102.2"</f>
        <v>R102.2</v>
      </c>
      <c r="B31" s="22" t="s">
        <v>9490</v>
      </c>
      <c r="C31" s="22" t="s">
        <v>9491</v>
      </c>
      <c r="D31" s="22" t="s">
        <v>29</v>
      </c>
      <c r="E31" s="22" t="s">
        <v>29</v>
      </c>
      <c r="F31" s="22" t="s">
        <v>29</v>
      </c>
      <c r="G31" s="22" t="s">
        <v>14849</v>
      </c>
      <c r="H31" s="22" t="s">
        <v>14849</v>
      </c>
      <c r="I31" s="22" t="s">
        <v>14849</v>
      </c>
      <c r="J31" s="22" t="s">
        <v>14849</v>
      </c>
      <c r="K31" s="22">
        <v>12.760972808505</v>
      </c>
      <c r="L31" s="22">
        <v>12.456868777432</v>
      </c>
      <c r="M31" s="22">
        <v>13.249099137809401</v>
      </c>
      <c r="N31" s="22">
        <f t="shared" si="0"/>
        <v>12.822313574582134</v>
      </c>
      <c r="O31" s="22" t="str">
        <f t="shared" si="1"/>
        <v>ND</v>
      </c>
      <c r="P31" s="22" t="str">
        <f t="shared" si="2"/>
        <v>NA</v>
      </c>
      <c r="S31" s="18" t="s">
        <v>13334</v>
      </c>
      <c r="T31" s="19">
        <v>8.4615092599999997</v>
      </c>
      <c r="U31" s="39"/>
    </row>
    <row r="32" spans="1:21" x14ac:dyDescent="0.2">
      <c r="A32" s="24" t="str">
        <f>"srp-2"</f>
        <v>srp-2</v>
      </c>
      <c r="B32" s="24" t="s">
        <v>3363</v>
      </c>
      <c r="C32" s="24" t="s">
        <v>599</v>
      </c>
      <c r="D32" s="24" t="s">
        <v>29</v>
      </c>
      <c r="E32" s="24" t="s">
        <v>29</v>
      </c>
      <c r="F32" s="24" t="s">
        <v>29</v>
      </c>
      <c r="G32" s="24" t="s">
        <v>14849</v>
      </c>
      <c r="H32" s="24" t="s">
        <v>14849</v>
      </c>
      <c r="I32" s="24" t="s">
        <v>14849</v>
      </c>
      <c r="J32" s="24" t="s">
        <v>14849</v>
      </c>
      <c r="K32" s="24">
        <v>13.0031361122553</v>
      </c>
      <c r="L32" s="24">
        <v>13.1079266970492</v>
      </c>
      <c r="M32" s="24">
        <v>12.302555254604499</v>
      </c>
      <c r="N32" s="24">
        <f t="shared" si="0"/>
        <v>12.804539354636333</v>
      </c>
      <c r="O32" s="24" t="str">
        <f t="shared" si="1"/>
        <v>ND</v>
      </c>
      <c r="P32" s="24" t="str">
        <f t="shared" si="2"/>
        <v>NA</v>
      </c>
      <c r="S32" s="16" t="s">
        <v>1727</v>
      </c>
      <c r="T32" s="17">
        <v>8.2716725536539464</v>
      </c>
      <c r="U32" s="40"/>
    </row>
    <row r="33" spans="1:21" x14ac:dyDescent="0.2">
      <c r="A33" s="10" t="str">
        <f>"clp-1"</f>
        <v>clp-1</v>
      </c>
      <c r="B33" s="10" t="s">
        <v>4978</v>
      </c>
      <c r="C33" s="10" t="s">
        <v>4980</v>
      </c>
      <c r="D33" s="10" t="s">
        <v>29</v>
      </c>
      <c r="E33" s="10" t="s">
        <v>29</v>
      </c>
      <c r="F33" s="10" t="s">
        <v>29</v>
      </c>
      <c r="G33" s="10" t="s">
        <v>14849</v>
      </c>
      <c r="H33" s="10" t="s">
        <v>14849</v>
      </c>
      <c r="I33" s="10" t="s">
        <v>14849</v>
      </c>
      <c r="J33" s="10" t="s">
        <v>14849</v>
      </c>
      <c r="K33" s="10">
        <v>12.7268553071229</v>
      </c>
      <c r="L33" s="10">
        <v>12.636221853783599</v>
      </c>
      <c r="M33" s="10">
        <v>12.785596940354599</v>
      </c>
      <c r="N33" s="10">
        <f t="shared" si="0"/>
        <v>12.716224700420367</v>
      </c>
      <c r="O33" s="10">
        <f t="shared" si="1"/>
        <v>2.3367719299999998</v>
      </c>
      <c r="P33" s="10" t="str">
        <f t="shared" si="2"/>
        <v>NA</v>
      </c>
      <c r="S33" s="18" t="s">
        <v>7354</v>
      </c>
      <c r="T33" s="19">
        <v>7.2656431499999998</v>
      </c>
      <c r="U33" s="39"/>
    </row>
    <row r="34" spans="1:21" x14ac:dyDescent="0.2">
      <c r="A34" s="16" t="str">
        <f>"R12E2.11"</f>
        <v>R12E2.11</v>
      </c>
      <c r="B34" s="16" t="s">
        <v>4317</v>
      </c>
      <c r="C34" s="16" t="s">
        <v>4319</v>
      </c>
      <c r="D34" s="16" t="s">
        <v>29</v>
      </c>
      <c r="E34" s="16" t="s">
        <v>29</v>
      </c>
      <c r="F34" s="16" t="s">
        <v>29</v>
      </c>
      <c r="G34" s="16" t="s">
        <v>14849</v>
      </c>
      <c r="H34" s="16" t="s">
        <v>14849</v>
      </c>
      <c r="I34" s="16" t="s">
        <v>14849</v>
      </c>
      <c r="J34" s="16" t="s">
        <v>14849</v>
      </c>
      <c r="K34" s="16">
        <v>12.925885497943201</v>
      </c>
      <c r="L34" s="16">
        <v>12.621997559326701</v>
      </c>
      <c r="M34" s="16">
        <v>12.5351097976279</v>
      </c>
      <c r="N34" s="16">
        <f t="shared" ref="N34:N65" si="3">(K34+L34+M34)/3</f>
        <v>12.694330951632599</v>
      </c>
      <c r="O34" s="16">
        <f t="shared" ref="O34:O65" si="4">IFERROR(INDEX(T:T, MATCH(A34, S:S, 0)), "ND")</f>
        <v>7.0566296503743651</v>
      </c>
      <c r="P34" s="16" t="str">
        <f t="shared" ref="P34:P65" si="5">IFERROR(E34/O34, "NA")</f>
        <v>NA</v>
      </c>
      <c r="S34" s="18" t="s">
        <v>8815</v>
      </c>
      <c r="T34" s="19">
        <v>7.2562335100000004</v>
      </c>
      <c r="U34" s="39"/>
    </row>
    <row r="35" spans="1:21" x14ac:dyDescent="0.2">
      <c r="A35" s="24" t="str">
        <f>"puf-9"</f>
        <v>puf-9</v>
      </c>
      <c r="B35" s="24" t="s">
        <v>10092</v>
      </c>
      <c r="C35" s="24" t="s">
        <v>6796</v>
      </c>
      <c r="D35" s="24" t="s">
        <v>29</v>
      </c>
      <c r="E35" s="24" t="s">
        <v>29</v>
      </c>
      <c r="F35" s="24" t="s">
        <v>29</v>
      </c>
      <c r="G35" s="24" t="s">
        <v>14849</v>
      </c>
      <c r="H35" s="24" t="s">
        <v>14849</v>
      </c>
      <c r="I35" s="24" t="s">
        <v>14849</v>
      </c>
      <c r="J35" s="24" t="s">
        <v>14849</v>
      </c>
      <c r="K35" s="24">
        <v>12.3349047705982</v>
      </c>
      <c r="L35" s="24">
        <v>12.6736076047035</v>
      </c>
      <c r="M35" s="24">
        <v>12.9814915546914</v>
      </c>
      <c r="N35" s="24">
        <f t="shared" si="3"/>
        <v>12.663334643331034</v>
      </c>
      <c r="O35" s="24" t="str">
        <f t="shared" si="4"/>
        <v>ND</v>
      </c>
      <c r="P35" s="24" t="str">
        <f t="shared" si="5"/>
        <v>NA</v>
      </c>
      <c r="S35" s="16" t="s">
        <v>4318</v>
      </c>
      <c r="T35" s="19">
        <v>7.0566296503743651</v>
      </c>
      <c r="U35" s="39"/>
    </row>
    <row r="36" spans="1:21" x14ac:dyDescent="0.2">
      <c r="A36" s="24" t="str">
        <f>"C48B6.2"</f>
        <v>C48B6.2</v>
      </c>
      <c r="B36" s="24" t="s">
        <v>2748</v>
      </c>
      <c r="C36" s="24" t="s">
        <v>2750</v>
      </c>
      <c r="D36" s="24" t="s">
        <v>29</v>
      </c>
      <c r="E36" s="24" t="s">
        <v>29</v>
      </c>
      <c r="F36" s="24" t="s">
        <v>29</v>
      </c>
      <c r="G36" s="24" t="s">
        <v>14849</v>
      </c>
      <c r="H36" s="24" t="s">
        <v>14849</v>
      </c>
      <c r="I36" s="24" t="s">
        <v>14849</v>
      </c>
      <c r="J36" s="24" t="s">
        <v>14849</v>
      </c>
      <c r="K36" s="24">
        <v>12.777793633141</v>
      </c>
      <c r="L36" s="24">
        <v>12.6890500250614</v>
      </c>
      <c r="M36" s="24">
        <v>12.4571307824529</v>
      </c>
      <c r="N36" s="24">
        <f t="shared" si="3"/>
        <v>12.641324813551767</v>
      </c>
      <c r="O36" s="24" t="str">
        <f t="shared" si="4"/>
        <v>ND</v>
      </c>
      <c r="P36" s="24" t="str">
        <f t="shared" si="5"/>
        <v>NA</v>
      </c>
      <c r="S36" s="18" t="s">
        <v>9471</v>
      </c>
      <c r="T36" s="19">
        <v>6.7355698300000002</v>
      </c>
      <c r="U36" s="39"/>
    </row>
    <row r="37" spans="1:21" x14ac:dyDescent="0.2">
      <c r="A37" s="10" t="str">
        <f>"C07A12.7"</f>
        <v>C07A12.7</v>
      </c>
      <c r="B37" s="10" t="s">
        <v>11584</v>
      </c>
      <c r="C37" s="10" t="s">
        <v>11586</v>
      </c>
      <c r="D37" s="10" t="s">
        <v>29</v>
      </c>
      <c r="E37" s="10" t="s">
        <v>29</v>
      </c>
      <c r="F37" s="10" t="s">
        <v>29</v>
      </c>
      <c r="G37" s="10" t="s">
        <v>14849</v>
      </c>
      <c r="H37" s="10" t="s">
        <v>14849</v>
      </c>
      <c r="I37" s="10" t="s">
        <v>14849</v>
      </c>
      <c r="J37" s="10" t="s">
        <v>14849</v>
      </c>
      <c r="K37" s="10">
        <v>12.5032216454701</v>
      </c>
      <c r="L37" s="10">
        <v>12.721196601995601</v>
      </c>
      <c r="M37" s="10">
        <v>12.5515752608257</v>
      </c>
      <c r="N37" s="10">
        <f t="shared" si="3"/>
        <v>12.591997836097134</v>
      </c>
      <c r="O37" s="10">
        <f t="shared" si="4"/>
        <v>2.85350839</v>
      </c>
      <c r="P37" s="10" t="str">
        <f t="shared" si="5"/>
        <v>NA</v>
      </c>
      <c r="S37" s="16" t="s">
        <v>7800</v>
      </c>
      <c r="T37" s="17">
        <v>6.5615682544325828</v>
      </c>
      <c r="U37" s="40"/>
    </row>
    <row r="38" spans="1:21" x14ac:dyDescent="0.2">
      <c r="A38" s="10" t="str">
        <f>"tes-1"</f>
        <v>tes-1</v>
      </c>
      <c r="B38" s="10" t="s">
        <v>7339</v>
      </c>
      <c r="C38" s="10" t="s">
        <v>7341</v>
      </c>
      <c r="D38" s="10" t="s">
        <v>29</v>
      </c>
      <c r="E38" s="10" t="s">
        <v>29</v>
      </c>
      <c r="F38" s="10" t="s">
        <v>29</v>
      </c>
      <c r="G38" s="10" t="s">
        <v>14849</v>
      </c>
      <c r="H38" s="10" t="s">
        <v>14849</v>
      </c>
      <c r="I38" s="10" t="s">
        <v>14849</v>
      </c>
      <c r="J38" s="10" t="s">
        <v>14849</v>
      </c>
      <c r="K38" s="10">
        <v>11.862196467585299</v>
      </c>
      <c r="L38" s="10">
        <v>13.2461501878097</v>
      </c>
      <c r="M38" s="10">
        <v>12.6635374530712</v>
      </c>
      <c r="N38" s="10">
        <f t="shared" si="3"/>
        <v>12.590628036155399</v>
      </c>
      <c r="O38" s="10">
        <f t="shared" si="4"/>
        <v>3.5329462735661892</v>
      </c>
      <c r="P38" s="10" t="str">
        <f t="shared" si="5"/>
        <v>NA</v>
      </c>
      <c r="S38" s="18" t="s">
        <v>5135</v>
      </c>
      <c r="T38" s="19">
        <v>6.4278586200000003</v>
      </c>
      <c r="U38" s="39"/>
    </row>
    <row r="39" spans="1:21" x14ac:dyDescent="0.2">
      <c r="A39" s="10" t="str">
        <f>"T02G5.7"</f>
        <v>T02G5.7</v>
      </c>
      <c r="B39" s="10" t="s">
        <v>9643</v>
      </c>
      <c r="C39" s="10" t="s">
        <v>9644</v>
      </c>
      <c r="D39" s="10" t="s">
        <v>29</v>
      </c>
      <c r="E39" s="10" t="s">
        <v>29</v>
      </c>
      <c r="F39" s="10" t="s">
        <v>29</v>
      </c>
      <c r="G39" s="10" t="s">
        <v>14849</v>
      </c>
      <c r="H39" s="10" t="s">
        <v>14849</v>
      </c>
      <c r="I39" s="10" t="s">
        <v>14849</v>
      </c>
      <c r="J39" s="10" t="s">
        <v>14849</v>
      </c>
      <c r="K39" s="10">
        <v>12.447165101552001</v>
      </c>
      <c r="L39" s="10">
        <v>12.516508052838001</v>
      </c>
      <c r="M39" s="10">
        <v>12.806997777184201</v>
      </c>
      <c r="N39" s="10">
        <f t="shared" si="3"/>
        <v>12.590223643858067</v>
      </c>
      <c r="O39" s="10">
        <f t="shared" si="4"/>
        <v>3.7979094356966026</v>
      </c>
      <c r="P39" s="10" t="str">
        <f t="shared" si="5"/>
        <v>NA</v>
      </c>
      <c r="S39" s="18" t="s">
        <v>6122</v>
      </c>
      <c r="T39" s="19">
        <v>6.3154922200000003</v>
      </c>
      <c r="U39" s="39"/>
    </row>
    <row r="40" spans="1:21" x14ac:dyDescent="0.2">
      <c r="A40" s="10" t="str">
        <f>"ubc-7"</f>
        <v>ubc-7</v>
      </c>
      <c r="B40" s="10" t="s">
        <v>5170</v>
      </c>
      <c r="C40" s="10" t="s">
        <v>5172</v>
      </c>
      <c r="D40" s="10" t="s">
        <v>29</v>
      </c>
      <c r="E40" s="10" t="s">
        <v>29</v>
      </c>
      <c r="F40" s="10" t="s">
        <v>29</v>
      </c>
      <c r="G40" s="10" t="s">
        <v>14849</v>
      </c>
      <c r="H40" s="10" t="s">
        <v>14849</v>
      </c>
      <c r="I40" s="10" t="s">
        <v>14849</v>
      </c>
      <c r="J40" s="10" t="s">
        <v>14849</v>
      </c>
      <c r="K40" s="10">
        <v>12.549900312444301</v>
      </c>
      <c r="L40" s="10">
        <v>12.724232193640299</v>
      </c>
      <c r="M40" s="10">
        <v>12.487697057935801</v>
      </c>
      <c r="N40" s="10">
        <f t="shared" si="3"/>
        <v>12.587276521340135</v>
      </c>
      <c r="O40" s="10">
        <f t="shared" si="4"/>
        <v>2.3200671100000001</v>
      </c>
      <c r="P40" s="10" t="str">
        <f t="shared" si="5"/>
        <v>NA</v>
      </c>
      <c r="S40" s="18" t="s">
        <v>3078</v>
      </c>
      <c r="T40" s="19">
        <v>6.2592155700000003</v>
      </c>
      <c r="U40" s="39"/>
    </row>
    <row r="41" spans="1:21" x14ac:dyDescent="0.2">
      <c r="A41" s="10" t="str">
        <f>"vps-32.1"</f>
        <v>vps-32.1</v>
      </c>
      <c r="B41" s="10" t="s">
        <v>7990</v>
      </c>
      <c r="C41" s="10" t="s">
        <v>7992</v>
      </c>
      <c r="D41" s="10" t="s">
        <v>29</v>
      </c>
      <c r="E41" s="10" t="s">
        <v>29</v>
      </c>
      <c r="F41" s="10" t="s">
        <v>29</v>
      </c>
      <c r="G41" s="10" t="s">
        <v>14849</v>
      </c>
      <c r="H41" s="10" t="s">
        <v>14849</v>
      </c>
      <c r="I41" s="10" t="s">
        <v>14849</v>
      </c>
      <c r="J41" s="10" t="s">
        <v>14849</v>
      </c>
      <c r="K41" s="10">
        <v>12.269861630907601</v>
      </c>
      <c r="L41" s="10">
        <v>12.7969178572227</v>
      </c>
      <c r="M41" s="10">
        <v>12.244323047187301</v>
      </c>
      <c r="N41" s="10">
        <f t="shared" si="3"/>
        <v>12.4370341784392</v>
      </c>
      <c r="O41" s="10">
        <f t="shared" si="4"/>
        <v>2.5931230799999998</v>
      </c>
      <c r="P41" s="10" t="str">
        <f t="shared" si="5"/>
        <v>NA</v>
      </c>
      <c r="S41" s="16" t="s">
        <v>5987</v>
      </c>
      <c r="T41" s="17">
        <v>6.2273672773130739</v>
      </c>
      <c r="U41" s="40"/>
    </row>
    <row r="42" spans="1:21" x14ac:dyDescent="0.2">
      <c r="A42" s="10" t="str">
        <f>"dhp-1"</f>
        <v>dhp-1</v>
      </c>
      <c r="B42" s="10" t="s">
        <v>9425</v>
      </c>
      <c r="C42" s="10" t="s">
        <v>9427</v>
      </c>
      <c r="D42" s="10" t="s">
        <v>29</v>
      </c>
      <c r="E42" s="10" t="s">
        <v>29</v>
      </c>
      <c r="F42" s="10" t="s">
        <v>29</v>
      </c>
      <c r="G42" s="10" t="s">
        <v>14849</v>
      </c>
      <c r="H42" s="10" t="s">
        <v>14849</v>
      </c>
      <c r="I42" s="10" t="s">
        <v>14849</v>
      </c>
      <c r="J42" s="10" t="s">
        <v>14849</v>
      </c>
      <c r="K42" s="10">
        <v>12.210090668762</v>
      </c>
      <c r="L42" s="10">
        <v>12.504926190745801</v>
      </c>
      <c r="M42" s="10">
        <v>12.556862264948601</v>
      </c>
      <c r="N42" s="10">
        <f t="shared" si="3"/>
        <v>12.423959708152132</v>
      </c>
      <c r="O42" s="10">
        <f t="shared" si="4"/>
        <v>3.13809</v>
      </c>
      <c r="P42" s="10" t="str">
        <f t="shared" si="5"/>
        <v>NA</v>
      </c>
      <c r="S42" s="18" t="s">
        <v>12892</v>
      </c>
      <c r="T42" s="19">
        <v>6.1756567000000002</v>
      </c>
      <c r="U42" s="39"/>
    </row>
    <row r="43" spans="1:21" x14ac:dyDescent="0.2">
      <c r="A43" s="24" t="str">
        <f>"hpo-13"</f>
        <v>hpo-13</v>
      </c>
      <c r="B43" s="24" t="s">
        <v>11003</v>
      </c>
      <c r="C43" s="24" t="s">
        <v>11005</v>
      </c>
      <c r="D43" s="24" t="s">
        <v>29</v>
      </c>
      <c r="E43" s="24" t="s">
        <v>29</v>
      </c>
      <c r="F43" s="24" t="s">
        <v>29</v>
      </c>
      <c r="G43" s="24" t="s">
        <v>14849</v>
      </c>
      <c r="H43" s="24" t="s">
        <v>14849</v>
      </c>
      <c r="I43" s="24" t="s">
        <v>14849</v>
      </c>
      <c r="J43" s="24" t="s">
        <v>14849</v>
      </c>
      <c r="K43" s="24">
        <v>12.695996621628</v>
      </c>
      <c r="L43" s="24">
        <v>12.1535663667471</v>
      </c>
      <c r="M43" s="24">
        <v>12.1302662936604</v>
      </c>
      <c r="N43" s="24">
        <f t="shared" si="3"/>
        <v>12.326609760678499</v>
      </c>
      <c r="O43" s="24" t="str">
        <f t="shared" si="4"/>
        <v>ND</v>
      </c>
      <c r="P43" s="24" t="str">
        <f t="shared" si="5"/>
        <v>NA</v>
      </c>
      <c r="S43" s="18" t="s">
        <v>10023</v>
      </c>
      <c r="T43" s="19">
        <v>6.1614871899999999</v>
      </c>
      <c r="U43" s="39"/>
    </row>
    <row r="44" spans="1:21" x14ac:dyDescent="0.2">
      <c r="A44" s="16" t="str">
        <f>"vha-7"</f>
        <v>vha-7</v>
      </c>
      <c r="B44" s="16" t="s">
        <v>643</v>
      </c>
      <c r="C44" s="16" t="s">
        <v>645</v>
      </c>
      <c r="D44" s="16" t="s">
        <v>29</v>
      </c>
      <c r="E44" s="16" t="s">
        <v>29</v>
      </c>
      <c r="F44" s="16" t="s">
        <v>29</v>
      </c>
      <c r="G44" s="16" t="s">
        <v>14849</v>
      </c>
      <c r="H44" s="16" t="s">
        <v>14849</v>
      </c>
      <c r="I44" s="16" t="s">
        <v>14849</v>
      </c>
      <c r="J44" s="16" t="s">
        <v>14849</v>
      </c>
      <c r="K44" s="16">
        <v>12.454833256534901</v>
      </c>
      <c r="L44" s="16">
        <v>12.431698488457</v>
      </c>
      <c r="M44" s="16">
        <v>12.032255103328399</v>
      </c>
      <c r="N44" s="16">
        <f t="shared" si="3"/>
        <v>12.306262282773432</v>
      </c>
      <c r="O44" s="16">
        <f t="shared" si="4"/>
        <v>5.4147697799611878</v>
      </c>
      <c r="P44" s="16" t="str">
        <f t="shared" si="5"/>
        <v>NA</v>
      </c>
      <c r="S44" s="18" t="s">
        <v>32</v>
      </c>
      <c r="T44" s="19">
        <v>6.0233030899999997</v>
      </c>
      <c r="U44" s="39"/>
    </row>
    <row r="45" spans="1:21" x14ac:dyDescent="0.2">
      <c r="A45" s="24" t="str">
        <f>"aka-1"</f>
        <v>aka-1</v>
      </c>
      <c r="B45" s="24" t="s">
        <v>2400</v>
      </c>
      <c r="C45" s="24" t="s">
        <v>2402</v>
      </c>
      <c r="D45" s="24" t="s">
        <v>29</v>
      </c>
      <c r="E45" s="24" t="s">
        <v>29</v>
      </c>
      <c r="F45" s="24" t="s">
        <v>29</v>
      </c>
      <c r="G45" s="24" t="s">
        <v>14849</v>
      </c>
      <c r="H45" s="24" t="s">
        <v>14849</v>
      </c>
      <c r="I45" s="24" t="s">
        <v>14849</v>
      </c>
      <c r="J45" s="24" t="s">
        <v>14849</v>
      </c>
      <c r="K45" s="24">
        <v>12.100271278887501</v>
      </c>
      <c r="L45" s="24">
        <v>11.856545352229899</v>
      </c>
      <c r="M45" s="24">
        <v>12.622371800753999</v>
      </c>
      <c r="N45" s="24">
        <f t="shared" si="3"/>
        <v>12.1930628106238</v>
      </c>
      <c r="O45" s="24" t="str">
        <f t="shared" si="4"/>
        <v>ND</v>
      </c>
      <c r="P45" s="24" t="str">
        <f t="shared" si="5"/>
        <v>NA</v>
      </c>
      <c r="S45" s="18" t="s">
        <v>2062</v>
      </c>
      <c r="T45" s="19">
        <v>6.0027472199999998</v>
      </c>
      <c r="U45" s="39"/>
    </row>
    <row r="46" spans="1:21" x14ac:dyDescent="0.2">
      <c r="A46" s="10" t="str">
        <f>"dnj-16"</f>
        <v>dnj-16</v>
      </c>
      <c r="B46" s="10" t="s">
        <v>710</v>
      </c>
      <c r="C46" s="10" t="s">
        <v>308</v>
      </c>
      <c r="D46" s="10" t="s">
        <v>29</v>
      </c>
      <c r="E46" s="10" t="s">
        <v>29</v>
      </c>
      <c r="F46" s="10" t="s">
        <v>29</v>
      </c>
      <c r="G46" s="10" t="s">
        <v>14849</v>
      </c>
      <c r="H46" s="10" t="s">
        <v>14849</v>
      </c>
      <c r="I46" s="10" t="s">
        <v>14849</v>
      </c>
      <c r="J46" s="10" t="s">
        <v>14849</v>
      </c>
      <c r="K46" s="10">
        <v>11.927886938655</v>
      </c>
      <c r="L46" s="10">
        <v>12.4481343269038</v>
      </c>
      <c r="M46" s="10">
        <v>11.853813193161001</v>
      </c>
      <c r="N46" s="10">
        <f t="shared" si="3"/>
        <v>12.076611486239933</v>
      </c>
      <c r="O46" s="10">
        <f t="shared" si="4"/>
        <v>2.1460555700000001</v>
      </c>
      <c r="P46" s="10" t="str">
        <f t="shared" si="5"/>
        <v>NA</v>
      </c>
      <c r="S46" s="18" t="s">
        <v>10275</v>
      </c>
      <c r="T46" s="19">
        <v>5.9248670499999996</v>
      </c>
      <c r="U46" s="39"/>
    </row>
    <row r="47" spans="1:21" x14ac:dyDescent="0.2">
      <c r="A47" s="24" t="str">
        <f>"lab-2"</f>
        <v>lab-2</v>
      </c>
      <c r="B47" s="24" t="s">
        <v>11022</v>
      </c>
      <c r="C47" s="24" t="s">
        <v>11024</v>
      </c>
      <c r="D47" s="24" t="s">
        <v>29</v>
      </c>
      <c r="E47" s="24" t="s">
        <v>29</v>
      </c>
      <c r="F47" s="24" t="s">
        <v>29</v>
      </c>
      <c r="G47" s="24" t="s">
        <v>14849</v>
      </c>
      <c r="H47" s="24" t="s">
        <v>14849</v>
      </c>
      <c r="I47" s="24" t="s">
        <v>14849</v>
      </c>
      <c r="J47" s="24" t="s">
        <v>14849</v>
      </c>
      <c r="K47" s="24">
        <v>12.4558163687404</v>
      </c>
      <c r="L47" s="24">
        <v>13.036972558889801</v>
      </c>
      <c r="M47" s="24">
        <v>10.5891068365945</v>
      </c>
      <c r="N47" s="24">
        <f t="shared" si="3"/>
        <v>12.027298588074899</v>
      </c>
      <c r="O47" s="24" t="str">
        <f t="shared" si="4"/>
        <v>ND</v>
      </c>
      <c r="P47" s="24" t="str">
        <f t="shared" si="5"/>
        <v>NA</v>
      </c>
      <c r="S47" s="18" t="s">
        <v>757</v>
      </c>
      <c r="T47" s="19">
        <v>5.9086830800000003</v>
      </c>
      <c r="U47" s="39"/>
    </row>
    <row r="48" spans="1:21" x14ac:dyDescent="0.2">
      <c r="A48" s="24" t="str">
        <f>"F53C11.5"</f>
        <v>F53C11.5</v>
      </c>
      <c r="B48" s="24" t="s">
        <v>11234</v>
      </c>
      <c r="C48" s="24" t="s">
        <v>11235</v>
      </c>
      <c r="D48" s="24" t="s">
        <v>29</v>
      </c>
      <c r="E48" s="24" t="s">
        <v>29</v>
      </c>
      <c r="F48" s="24" t="s">
        <v>29</v>
      </c>
      <c r="G48" s="24" t="s">
        <v>14849</v>
      </c>
      <c r="H48" s="24" t="s">
        <v>14849</v>
      </c>
      <c r="I48" s="24" t="s">
        <v>14849</v>
      </c>
      <c r="J48" s="24" t="s">
        <v>14849</v>
      </c>
      <c r="K48" s="24">
        <v>11.5581430107044</v>
      </c>
      <c r="L48" s="24">
        <v>12.1899734728793</v>
      </c>
      <c r="M48" s="24">
        <v>11.8777465082949</v>
      </c>
      <c r="N48" s="24">
        <f t="shared" si="3"/>
        <v>11.875287663959533</v>
      </c>
      <c r="O48" s="24" t="str">
        <f t="shared" si="4"/>
        <v>ND</v>
      </c>
      <c r="P48" s="24" t="str">
        <f t="shared" si="5"/>
        <v>NA</v>
      </c>
      <c r="S48" s="18" t="s">
        <v>10417</v>
      </c>
      <c r="T48" s="19">
        <v>5.8160155800000002</v>
      </c>
      <c r="U48" s="39"/>
    </row>
    <row r="49" spans="1:21" x14ac:dyDescent="0.2">
      <c r="A49" s="24" t="str">
        <f>"R07E5.1"</f>
        <v>R07E5.1</v>
      </c>
      <c r="B49" s="24" t="s">
        <v>9454</v>
      </c>
      <c r="C49" s="24" t="s">
        <v>9456</v>
      </c>
      <c r="D49" s="24" t="s">
        <v>29</v>
      </c>
      <c r="E49" s="24" t="s">
        <v>29</v>
      </c>
      <c r="F49" s="24" t="s">
        <v>29</v>
      </c>
      <c r="G49" s="24" t="s">
        <v>14849</v>
      </c>
      <c r="H49" s="24" t="s">
        <v>14849</v>
      </c>
      <c r="I49" s="24" t="s">
        <v>14849</v>
      </c>
      <c r="J49" s="24" t="s">
        <v>14849</v>
      </c>
      <c r="K49" s="24">
        <v>11.7550523331495</v>
      </c>
      <c r="L49" s="24">
        <v>12.249799120741701</v>
      </c>
      <c r="M49" s="24">
        <v>11.5405667857935</v>
      </c>
      <c r="N49" s="24">
        <f t="shared" si="3"/>
        <v>11.848472746561567</v>
      </c>
      <c r="O49" s="24" t="str">
        <f t="shared" si="4"/>
        <v>ND</v>
      </c>
      <c r="P49" s="24" t="str">
        <f t="shared" si="5"/>
        <v>NA</v>
      </c>
      <c r="S49" s="18" t="s">
        <v>12548</v>
      </c>
      <c r="T49" s="19">
        <v>5.7997844399999998</v>
      </c>
      <c r="U49" s="39"/>
    </row>
    <row r="50" spans="1:21" x14ac:dyDescent="0.2">
      <c r="A50" s="10" t="str">
        <f>"ret-1"</f>
        <v>ret-1</v>
      </c>
      <c r="B50" s="10" t="s">
        <v>1421</v>
      </c>
      <c r="C50" s="10" t="s">
        <v>1423</v>
      </c>
      <c r="D50" s="10" t="s">
        <v>29</v>
      </c>
      <c r="E50" s="10" t="s">
        <v>29</v>
      </c>
      <c r="F50" s="10" t="s">
        <v>29</v>
      </c>
      <c r="G50" s="10" t="s">
        <v>14849</v>
      </c>
      <c r="H50" s="10" t="s">
        <v>14849</v>
      </c>
      <c r="I50" s="10" t="s">
        <v>14849</v>
      </c>
      <c r="J50" s="10" t="s">
        <v>14849</v>
      </c>
      <c r="K50" s="10">
        <v>11.503928377449199</v>
      </c>
      <c r="L50" s="10">
        <v>12.128648595039</v>
      </c>
      <c r="M50" s="10">
        <v>11.8898935654392</v>
      </c>
      <c r="N50" s="10">
        <f t="shared" si="3"/>
        <v>11.840823512642466</v>
      </c>
      <c r="O50" s="10">
        <f t="shared" si="4"/>
        <v>4.0776110599999997</v>
      </c>
      <c r="P50" s="10" t="str">
        <f t="shared" si="5"/>
        <v>NA</v>
      </c>
      <c r="S50" s="18" t="s">
        <v>4027</v>
      </c>
      <c r="T50" s="19">
        <v>5.79721084</v>
      </c>
      <c r="U50" s="39"/>
    </row>
    <row r="51" spans="1:21" x14ac:dyDescent="0.2">
      <c r="A51" s="24" t="str">
        <f>"mtm-10"</f>
        <v>mtm-10</v>
      </c>
      <c r="B51" s="24" t="s">
        <v>14100</v>
      </c>
      <c r="C51" s="24" t="s">
        <v>14102</v>
      </c>
      <c r="D51" s="24" t="s">
        <v>29</v>
      </c>
      <c r="E51" s="24" t="s">
        <v>29</v>
      </c>
      <c r="F51" s="24" t="s">
        <v>29</v>
      </c>
      <c r="G51" s="24" t="s">
        <v>14849</v>
      </c>
      <c r="H51" s="24" t="s">
        <v>14849</v>
      </c>
      <c r="I51" s="24" t="s">
        <v>14849</v>
      </c>
      <c r="J51" s="24" t="s">
        <v>14849</v>
      </c>
      <c r="K51" s="24">
        <v>11.271567976770401</v>
      </c>
      <c r="L51" s="24">
        <v>11.6764654332438</v>
      </c>
      <c r="M51" s="24">
        <v>12.151781129644901</v>
      </c>
      <c r="N51" s="24">
        <f t="shared" si="3"/>
        <v>11.699938179886367</v>
      </c>
      <c r="O51" s="24" t="str">
        <f t="shared" si="4"/>
        <v>ND</v>
      </c>
      <c r="P51" s="24" t="str">
        <f t="shared" si="5"/>
        <v>NA</v>
      </c>
      <c r="S51" s="18" t="s">
        <v>4326</v>
      </c>
      <c r="T51" s="19">
        <v>5.6978899700000003</v>
      </c>
      <c r="U51" s="39"/>
    </row>
    <row r="52" spans="1:21" x14ac:dyDescent="0.2">
      <c r="A52" s="24" t="str">
        <f>"sec-10"</f>
        <v>sec-10</v>
      </c>
      <c r="B52" s="24" t="s">
        <v>7783</v>
      </c>
      <c r="C52" s="24" t="s">
        <v>7785</v>
      </c>
      <c r="D52" s="24" t="s">
        <v>29</v>
      </c>
      <c r="E52" s="24" t="s">
        <v>29</v>
      </c>
      <c r="F52" s="24" t="s">
        <v>29</v>
      </c>
      <c r="G52" s="24" t="s">
        <v>14849</v>
      </c>
      <c r="H52" s="24" t="s">
        <v>14849</v>
      </c>
      <c r="I52" s="24" t="s">
        <v>14849</v>
      </c>
      <c r="J52" s="24" t="s">
        <v>14849</v>
      </c>
      <c r="K52" s="24">
        <v>13.5446506954002</v>
      </c>
      <c r="L52" s="24">
        <v>11.086878538783401</v>
      </c>
      <c r="M52" s="24">
        <v>9.8245993186933003</v>
      </c>
      <c r="N52" s="24">
        <f t="shared" si="3"/>
        <v>11.485376184292301</v>
      </c>
      <c r="O52" s="24" t="str">
        <f t="shared" si="4"/>
        <v>ND</v>
      </c>
      <c r="P52" s="24" t="str">
        <f t="shared" si="5"/>
        <v>NA</v>
      </c>
      <c r="S52" s="18" t="s">
        <v>11344</v>
      </c>
      <c r="T52" s="19">
        <v>5.5413512200000001</v>
      </c>
      <c r="U52" s="39"/>
    </row>
    <row r="53" spans="1:21" x14ac:dyDescent="0.2">
      <c r="A53" s="24" t="str">
        <f>"odr-4"</f>
        <v>odr-4</v>
      </c>
      <c r="B53" s="24" t="s">
        <v>10849</v>
      </c>
      <c r="C53" s="24" t="s">
        <v>10851</v>
      </c>
      <c r="D53" s="24" t="s">
        <v>29</v>
      </c>
      <c r="E53" s="24" t="s">
        <v>29</v>
      </c>
      <c r="F53" s="24" t="s">
        <v>29</v>
      </c>
      <c r="G53" s="24" t="s">
        <v>14849</v>
      </c>
      <c r="H53" s="24" t="s">
        <v>14849</v>
      </c>
      <c r="I53" s="24" t="s">
        <v>14849</v>
      </c>
      <c r="J53" s="24" t="s">
        <v>14849</v>
      </c>
      <c r="K53" s="24">
        <v>10.0720031568913</v>
      </c>
      <c r="L53" s="24">
        <v>11.7917237108505</v>
      </c>
      <c r="M53" s="24">
        <v>11.446850661627099</v>
      </c>
      <c r="N53" s="24">
        <f t="shared" si="3"/>
        <v>11.103525843122966</v>
      </c>
      <c r="O53" s="24" t="str">
        <f t="shared" si="4"/>
        <v>ND</v>
      </c>
      <c r="P53" s="24" t="str">
        <f t="shared" si="5"/>
        <v>NA</v>
      </c>
      <c r="S53" s="18" t="s">
        <v>11987</v>
      </c>
      <c r="T53" s="19">
        <v>5.4986622599999997</v>
      </c>
      <c r="U53" s="39"/>
    </row>
    <row r="54" spans="1:21" x14ac:dyDescent="0.2">
      <c r="A54" s="24" t="str">
        <f>"nhl-2"</f>
        <v>nhl-2</v>
      </c>
      <c r="B54" s="24" t="s">
        <v>8447</v>
      </c>
      <c r="C54" s="24" t="s">
        <v>360</v>
      </c>
      <c r="D54" s="24" t="s">
        <v>29</v>
      </c>
      <c r="E54" s="24" t="s">
        <v>29</v>
      </c>
      <c r="F54" s="24" t="s">
        <v>29</v>
      </c>
      <c r="G54" s="24" t="s">
        <v>14849</v>
      </c>
      <c r="H54" s="24" t="s">
        <v>14849</v>
      </c>
      <c r="I54" s="24" t="s">
        <v>14849</v>
      </c>
      <c r="J54" s="24" t="s">
        <v>14849</v>
      </c>
      <c r="K54" s="24">
        <v>11.6028290594613</v>
      </c>
      <c r="L54" s="24">
        <v>11.0400296138769</v>
      </c>
      <c r="M54" s="24">
        <v>10.5491773099958</v>
      </c>
      <c r="N54" s="24">
        <f t="shared" si="3"/>
        <v>11.064011994444668</v>
      </c>
      <c r="O54" s="24" t="str">
        <f t="shared" si="4"/>
        <v>ND</v>
      </c>
      <c r="P54" s="24" t="str">
        <f t="shared" si="5"/>
        <v>NA</v>
      </c>
      <c r="S54" s="18" t="s">
        <v>10985</v>
      </c>
      <c r="T54" s="19">
        <v>5.4897413400000001</v>
      </c>
      <c r="U54" s="39"/>
    </row>
    <row r="55" spans="1:21" x14ac:dyDescent="0.2">
      <c r="A55" s="24" t="str">
        <f>"best-3"</f>
        <v>best-3</v>
      </c>
      <c r="B55" s="24" t="s">
        <v>3333</v>
      </c>
      <c r="C55" s="24" t="s">
        <v>3335</v>
      </c>
      <c r="D55" s="24" t="s">
        <v>29</v>
      </c>
      <c r="E55" s="24" t="s">
        <v>29</v>
      </c>
      <c r="F55" s="24" t="s">
        <v>29</v>
      </c>
      <c r="G55" s="24" t="s">
        <v>14849</v>
      </c>
      <c r="H55" s="24" t="s">
        <v>14849</v>
      </c>
      <c r="I55" s="24" t="s">
        <v>14849</v>
      </c>
      <c r="J55" s="24" t="s">
        <v>14849</v>
      </c>
      <c r="K55" s="24">
        <v>10.610215475026401</v>
      </c>
      <c r="L55" s="24">
        <v>10.570887001386099</v>
      </c>
      <c r="M55" s="24">
        <v>11.445016617236501</v>
      </c>
      <c r="N55" s="24">
        <f t="shared" si="3"/>
        <v>10.875373031216332</v>
      </c>
      <c r="O55" s="24" t="str">
        <f t="shared" si="4"/>
        <v>ND</v>
      </c>
      <c r="P55" s="24" t="str">
        <f t="shared" si="5"/>
        <v>NA</v>
      </c>
      <c r="S55" s="16" t="s">
        <v>14805</v>
      </c>
      <c r="T55" s="19">
        <v>5.4884546661773141</v>
      </c>
      <c r="U55" s="39"/>
    </row>
    <row r="56" spans="1:21" x14ac:dyDescent="0.2">
      <c r="A56" s="24" t="str">
        <f>"egl-15"</f>
        <v>egl-15</v>
      </c>
      <c r="B56" s="24" t="s">
        <v>7104</v>
      </c>
      <c r="C56" s="24" t="s">
        <v>7106</v>
      </c>
      <c r="D56" s="24" t="s">
        <v>29</v>
      </c>
      <c r="E56" s="24" t="s">
        <v>29</v>
      </c>
      <c r="F56" s="24" t="s">
        <v>29</v>
      </c>
      <c r="G56" s="24" t="s">
        <v>14849</v>
      </c>
      <c r="H56" s="24" t="s">
        <v>14849</v>
      </c>
      <c r="I56" s="24" t="s">
        <v>14849</v>
      </c>
      <c r="J56" s="24" t="s">
        <v>14849</v>
      </c>
      <c r="K56" s="24">
        <v>11.1210950329579</v>
      </c>
      <c r="L56" s="24">
        <v>10.5805923360241</v>
      </c>
      <c r="M56" s="24">
        <v>10.588493277870599</v>
      </c>
      <c r="N56" s="24">
        <f t="shared" si="3"/>
        <v>10.763393548950866</v>
      </c>
      <c r="O56" s="24" t="str">
        <f t="shared" si="4"/>
        <v>ND</v>
      </c>
      <c r="P56" s="24" t="str">
        <f t="shared" si="5"/>
        <v>NA</v>
      </c>
      <c r="S56" s="16" t="s">
        <v>644</v>
      </c>
      <c r="T56" s="19">
        <v>5.4147697799611878</v>
      </c>
      <c r="U56" s="39"/>
    </row>
    <row r="57" spans="1:21" x14ac:dyDescent="0.2">
      <c r="A57" s="22" t="str">
        <f>"T28F4.5"</f>
        <v>T28F4.5</v>
      </c>
      <c r="B57" s="22" t="s">
        <v>9987</v>
      </c>
      <c r="C57" s="22" t="s">
        <v>368</v>
      </c>
      <c r="D57" s="22" t="s">
        <v>29</v>
      </c>
      <c r="E57" s="22" t="s">
        <v>29</v>
      </c>
      <c r="F57" s="22" t="s">
        <v>29</v>
      </c>
      <c r="G57" s="22" t="s">
        <v>14849</v>
      </c>
      <c r="H57" s="22" t="s">
        <v>14849</v>
      </c>
      <c r="I57" s="22" t="s">
        <v>14849</v>
      </c>
      <c r="J57" s="22" t="s">
        <v>14849</v>
      </c>
      <c r="K57" s="22">
        <v>9.4532436160101199</v>
      </c>
      <c r="L57" s="22">
        <v>10.3570446425441</v>
      </c>
      <c r="M57" s="22">
        <v>10.6067200258979</v>
      </c>
      <c r="N57" s="22">
        <f t="shared" si="3"/>
        <v>10.13900276148404</v>
      </c>
      <c r="O57" s="22" t="str">
        <f t="shared" si="4"/>
        <v>ND</v>
      </c>
      <c r="P57" s="22" t="str">
        <f t="shared" si="5"/>
        <v>NA</v>
      </c>
      <c r="S57" s="18" t="s">
        <v>14806</v>
      </c>
      <c r="T57" s="19">
        <v>5.3912494400000002</v>
      </c>
      <c r="U57" s="39"/>
    </row>
    <row r="58" spans="1:21" x14ac:dyDescent="0.2">
      <c r="A58" s="24" t="str">
        <f>"K05C4.7"</f>
        <v>K05C4.7</v>
      </c>
      <c r="B58" s="24" t="s">
        <v>13601</v>
      </c>
      <c r="C58" s="24" t="s">
        <v>13602</v>
      </c>
      <c r="D58" s="24" t="s">
        <v>29</v>
      </c>
      <c r="E58" s="24" t="s">
        <v>29</v>
      </c>
      <c r="F58" s="24" t="s">
        <v>29</v>
      </c>
      <c r="G58" s="24" t="s">
        <v>14849</v>
      </c>
      <c r="H58" s="24" t="s">
        <v>14849</v>
      </c>
      <c r="I58" s="24" t="s">
        <v>14849</v>
      </c>
      <c r="J58" s="24" t="s">
        <v>14849</v>
      </c>
      <c r="K58" s="24">
        <v>8.7706872045565696</v>
      </c>
      <c r="L58" s="24">
        <v>9.8613352777564494</v>
      </c>
      <c r="M58" s="24">
        <v>9.4649284628779107</v>
      </c>
      <c r="N58" s="24">
        <f t="shared" si="3"/>
        <v>9.3656503150636432</v>
      </c>
      <c r="O58" s="24" t="str">
        <f t="shared" si="4"/>
        <v>ND</v>
      </c>
      <c r="P58" s="24" t="str">
        <f t="shared" si="5"/>
        <v>NA</v>
      </c>
      <c r="S58" s="18" t="s">
        <v>14807</v>
      </c>
      <c r="T58" s="19">
        <v>5.35563623</v>
      </c>
      <c r="U58" s="39"/>
    </row>
    <row r="59" spans="1:21" x14ac:dyDescent="0.2">
      <c r="A59" s="25" t="str">
        <f>"mlt-2"</f>
        <v>mlt-2</v>
      </c>
      <c r="B59" s="25" t="s">
        <v>7389</v>
      </c>
      <c r="C59" s="25" t="s">
        <v>412</v>
      </c>
      <c r="D59" s="25">
        <v>7.2864177270010604</v>
      </c>
      <c r="E59" s="25">
        <f t="shared" ref="E59:E90" si="6">2^D59</f>
        <v>156.10984652587015</v>
      </c>
      <c r="F59" s="26">
        <v>2.6963012563696999E-12</v>
      </c>
      <c r="G59" s="25">
        <v>11.158376817069801</v>
      </c>
      <c r="H59" s="25">
        <v>10.668773969975501</v>
      </c>
      <c r="I59" s="25">
        <v>11.1675085806671</v>
      </c>
      <c r="J59" s="25">
        <f t="shared" ref="J59:J90" si="7">AVERAGEIF(G59:I59, "&gt;0")</f>
        <v>10.998219789237467</v>
      </c>
      <c r="K59" s="25">
        <v>18.416505335871101</v>
      </c>
      <c r="L59" s="25">
        <v>18.324481112457999</v>
      </c>
      <c r="M59" s="25">
        <v>18.112926100386499</v>
      </c>
      <c r="N59" s="25">
        <f t="shared" si="3"/>
        <v>18.284637516238533</v>
      </c>
      <c r="O59" s="25" t="str">
        <f t="shared" si="4"/>
        <v>ND</v>
      </c>
      <c r="P59" s="25" t="str">
        <f t="shared" si="5"/>
        <v>NA</v>
      </c>
      <c r="S59" s="18" t="s">
        <v>9884</v>
      </c>
      <c r="T59" s="19">
        <v>5.3329647099999997</v>
      </c>
      <c r="U59" s="39"/>
    </row>
    <row r="60" spans="1:21" x14ac:dyDescent="0.2">
      <c r="A60" s="16" t="str">
        <f>"xrn-1"</f>
        <v>xrn-1</v>
      </c>
      <c r="B60" s="16" t="s">
        <v>11986</v>
      </c>
      <c r="C60" s="16" t="s">
        <v>11988</v>
      </c>
      <c r="D60" s="16">
        <v>4.7091514820068801</v>
      </c>
      <c r="E60" s="16">
        <f t="shared" si="6"/>
        <v>26.157476884880964</v>
      </c>
      <c r="F60" s="31">
        <v>1.3491228213213099E-5</v>
      </c>
      <c r="G60" s="16">
        <v>13.4420261086255</v>
      </c>
      <c r="H60" s="16">
        <v>13.9922892704029</v>
      </c>
      <c r="I60" s="16">
        <v>12.752664925249499</v>
      </c>
      <c r="J60" s="16">
        <f t="shared" si="7"/>
        <v>13.395660101425966</v>
      </c>
      <c r="K60" s="16">
        <v>18.068911289817699</v>
      </c>
      <c r="L60" s="16">
        <v>18.1159191690626</v>
      </c>
      <c r="M60" s="16">
        <v>18.1296042914182</v>
      </c>
      <c r="N60" s="16">
        <f t="shared" si="3"/>
        <v>18.104811583432834</v>
      </c>
      <c r="O60" s="16">
        <f t="shared" si="4"/>
        <v>5.4986622599999997</v>
      </c>
      <c r="P60" s="16">
        <f t="shared" si="5"/>
        <v>4.7570619267095999</v>
      </c>
      <c r="S60" s="18" t="s">
        <v>11276</v>
      </c>
      <c r="T60" s="19">
        <v>5.3056272399999997</v>
      </c>
      <c r="U60" s="39"/>
    </row>
    <row r="61" spans="1:21" x14ac:dyDescent="0.2">
      <c r="A61" s="14" t="str">
        <f>"aldo-2"</f>
        <v>aldo-2</v>
      </c>
      <c r="B61" s="14" t="s">
        <v>5633</v>
      </c>
      <c r="C61" s="14" t="s">
        <v>5635</v>
      </c>
      <c r="D61" s="14">
        <v>4.5018331041935804</v>
      </c>
      <c r="E61" s="14">
        <f t="shared" si="6"/>
        <v>22.656185916168358</v>
      </c>
      <c r="F61" s="30">
        <v>2.22762915139648E-8</v>
      </c>
      <c r="G61" s="14">
        <v>14.4703821797707</v>
      </c>
      <c r="H61" s="14">
        <v>13.5247751416188</v>
      </c>
      <c r="I61" s="14">
        <v>13.9129046498284</v>
      </c>
      <c r="J61" s="14">
        <f t="shared" si="7"/>
        <v>13.969353990405965</v>
      </c>
      <c r="K61" s="14">
        <v>18.374053633857301</v>
      </c>
      <c r="L61" s="14">
        <v>18.4110396875828</v>
      </c>
      <c r="M61" s="14">
        <v>18.628467962358599</v>
      </c>
      <c r="N61" s="14">
        <f t="shared" si="3"/>
        <v>18.471187094599568</v>
      </c>
      <c r="O61" s="14">
        <f t="shared" si="4"/>
        <v>131.944345</v>
      </c>
      <c r="P61" s="14">
        <f t="shared" si="5"/>
        <v>0.17171017004304623</v>
      </c>
      <c r="S61" s="18" t="s">
        <v>2875</v>
      </c>
      <c r="T61" s="19">
        <v>5.3045302100000002</v>
      </c>
      <c r="U61" s="39"/>
    </row>
    <row r="62" spans="1:21" x14ac:dyDescent="0.2">
      <c r="A62" s="14" t="str">
        <f>"ampd-1"</f>
        <v>ampd-1</v>
      </c>
      <c r="B62" s="14" t="s">
        <v>235</v>
      </c>
      <c r="C62" s="14" t="s">
        <v>237</v>
      </c>
      <c r="D62" s="14">
        <v>4.3771232834387197</v>
      </c>
      <c r="E62" s="14">
        <f t="shared" si="6"/>
        <v>20.779993292378279</v>
      </c>
      <c r="F62" s="30">
        <v>7.8812797672218799E-7</v>
      </c>
      <c r="G62" s="14">
        <v>12.726094433296501</v>
      </c>
      <c r="H62" s="14">
        <v>11.783712190855301</v>
      </c>
      <c r="I62" s="14">
        <v>12.351551426175501</v>
      </c>
      <c r="J62" s="14">
        <f t="shared" si="7"/>
        <v>12.2871193501091</v>
      </c>
      <c r="K62" s="14">
        <v>16.808033047248099</v>
      </c>
      <c r="L62" s="14">
        <v>16.984770261003298</v>
      </c>
      <c r="M62" s="14">
        <v>16.199924592392001</v>
      </c>
      <c r="N62" s="14">
        <f t="shared" si="3"/>
        <v>16.664242633547797</v>
      </c>
      <c r="O62" s="14">
        <f t="shared" si="4"/>
        <v>15.711251000000001</v>
      </c>
      <c r="P62" s="14">
        <f t="shared" si="5"/>
        <v>1.3226186312202814</v>
      </c>
      <c r="S62" s="18" t="s">
        <v>12857</v>
      </c>
      <c r="T62" s="19">
        <v>5.2960393799999999</v>
      </c>
      <c r="U62" s="39"/>
    </row>
    <row r="63" spans="1:21" x14ac:dyDescent="0.2">
      <c r="A63" s="14" t="str">
        <f>"nap-1"</f>
        <v>nap-1</v>
      </c>
      <c r="B63" s="14" t="s">
        <v>8062</v>
      </c>
      <c r="C63" s="14" t="s">
        <v>8064</v>
      </c>
      <c r="D63" s="14">
        <v>4.1699304590762898</v>
      </c>
      <c r="E63" s="14">
        <f t="shared" si="6"/>
        <v>18.000068093113669</v>
      </c>
      <c r="F63" s="30">
        <v>3.4290154112634699E-7</v>
      </c>
      <c r="G63" s="14">
        <v>12.6789625809438</v>
      </c>
      <c r="H63" s="14">
        <v>12.5725581685767</v>
      </c>
      <c r="I63" s="14">
        <v>12.714227230652901</v>
      </c>
      <c r="J63" s="14">
        <f t="shared" si="7"/>
        <v>12.655249326724467</v>
      </c>
      <c r="K63" s="14">
        <v>17.036715020901099</v>
      </c>
      <c r="L63" s="14">
        <v>16.7876184705238</v>
      </c>
      <c r="M63" s="14">
        <v>16.6512058659773</v>
      </c>
      <c r="N63" s="14">
        <f t="shared" si="3"/>
        <v>16.825179785800731</v>
      </c>
      <c r="O63" s="14">
        <f t="shared" si="4"/>
        <v>58.276928099999999</v>
      </c>
      <c r="P63" s="14">
        <f t="shared" si="5"/>
        <v>0.30887125797410842</v>
      </c>
      <c r="S63" s="18" t="s">
        <v>11641</v>
      </c>
      <c r="T63" s="19">
        <v>5.2188431199999998</v>
      </c>
      <c r="U63" s="39"/>
    </row>
    <row r="64" spans="1:21" x14ac:dyDescent="0.2">
      <c r="A64" s="14" t="str">
        <f>"C39D10.8"</f>
        <v>C39D10.8</v>
      </c>
      <c r="B64" s="14" t="s">
        <v>11561</v>
      </c>
      <c r="C64" s="14" t="s">
        <v>9491</v>
      </c>
      <c r="D64" s="14">
        <v>4.1035264672473204</v>
      </c>
      <c r="E64" s="14">
        <f t="shared" si="6"/>
        <v>17.190343489384798</v>
      </c>
      <c r="F64" s="30">
        <v>1.0251739126733701E-8</v>
      </c>
      <c r="G64" s="14">
        <v>11.3611765995254</v>
      </c>
      <c r="H64" s="14">
        <v>10.9252943085566</v>
      </c>
      <c r="I64" s="14">
        <v>11.3700435765974</v>
      </c>
      <c r="J64" s="14">
        <f t="shared" si="7"/>
        <v>11.218838161559802</v>
      </c>
      <c r="K64" s="14">
        <v>15.080175115405</v>
      </c>
      <c r="L64" s="14">
        <v>15.4100583448518</v>
      </c>
      <c r="M64" s="14">
        <v>15.476860426164601</v>
      </c>
      <c r="N64" s="14">
        <f t="shared" si="3"/>
        <v>15.322364628807135</v>
      </c>
      <c r="O64" s="14">
        <f t="shared" si="4"/>
        <v>14.660895399999999</v>
      </c>
      <c r="P64" s="14">
        <f t="shared" si="5"/>
        <v>1.1725302596037073</v>
      </c>
      <c r="S64" s="18" t="s">
        <v>3454</v>
      </c>
      <c r="T64" s="19">
        <v>5.1872334499999999</v>
      </c>
      <c r="U64" s="39"/>
    </row>
    <row r="65" spans="1:21" x14ac:dyDescent="0.2">
      <c r="A65" s="24" t="str">
        <f>"hpo-9"</f>
        <v>hpo-9</v>
      </c>
      <c r="B65" s="24" t="s">
        <v>3184</v>
      </c>
      <c r="C65" s="24" t="s">
        <v>3186</v>
      </c>
      <c r="D65" s="24">
        <v>3.7018147294324502</v>
      </c>
      <c r="E65" s="24">
        <f t="shared" si="6"/>
        <v>13.012396013888294</v>
      </c>
      <c r="F65" s="29">
        <v>1.1522673443549101E-6</v>
      </c>
      <c r="G65" s="24" t="s">
        <v>14849</v>
      </c>
      <c r="H65" s="24">
        <v>11.658395087559899</v>
      </c>
      <c r="I65" s="24">
        <v>10.685252078487901</v>
      </c>
      <c r="J65" s="24">
        <f t="shared" si="7"/>
        <v>11.171823583023901</v>
      </c>
      <c r="K65" s="24">
        <v>14.9622793217374</v>
      </c>
      <c r="L65" s="24">
        <v>14.8362237482787</v>
      </c>
      <c r="M65" s="24">
        <v>14.822411867353001</v>
      </c>
      <c r="N65" s="24">
        <f t="shared" si="3"/>
        <v>14.873638312456366</v>
      </c>
      <c r="O65" s="24" t="str">
        <f t="shared" si="4"/>
        <v>ND</v>
      </c>
      <c r="P65" s="24" t="str">
        <f t="shared" si="5"/>
        <v>NA</v>
      </c>
      <c r="S65" s="18" t="s">
        <v>7683</v>
      </c>
      <c r="T65" s="19">
        <v>5.1493989300000003</v>
      </c>
      <c r="U65" s="39"/>
    </row>
    <row r="66" spans="1:21" x14ac:dyDescent="0.2">
      <c r="A66" s="14" t="str">
        <f>"hip-1"</f>
        <v>hip-1</v>
      </c>
      <c r="B66" s="14" t="s">
        <v>1544</v>
      </c>
      <c r="C66" s="14" t="s">
        <v>1546</v>
      </c>
      <c r="D66" s="14">
        <v>3.5706009203054401</v>
      </c>
      <c r="E66" s="14">
        <f t="shared" si="6"/>
        <v>11.881136339276745</v>
      </c>
      <c r="F66" s="30">
        <v>7.29399417914493E-6</v>
      </c>
      <c r="G66" s="14">
        <v>13.258814409724</v>
      </c>
      <c r="H66" s="14">
        <v>12.7055243277456</v>
      </c>
      <c r="I66" s="14">
        <v>12.940731087664799</v>
      </c>
      <c r="J66" s="14">
        <f t="shared" si="7"/>
        <v>12.968356608378132</v>
      </c>
      <c r="K66" s="14">
        <v>16.894799583699498</v>
      </c>
      <c r="L66" s="14">
        <v>16.7044121879436</v>
      </c>
      <c r="M66" s="14">
        <v>16.017660814407702</v>
      </c>
      <c r="N66" s="14">
        <f t="shared" ref="N66:N97" si="8">(K66+L66+M66)/3</f>
        <v>16.5389575286836</v>
      </c>
      <c r="O66" s="14">
        <f t="shared" ref="O66:O97" si="9">IFERROR(INDEX(T:T, MATCH(A66, S:S, 0)), "ND")</f>
        <v>19.488423999999998</v>
      </c>
      <c r="P66" s="14">
        <f t="shared" ref="P66:P97" si="10">IFERROR(E66/O66, "NA")</f>
        <v>0.60965095685914605</v>
      </c>
      <c r="S66" s="18" t="s">
        <v>11194</v>
      </c>
      <c r="T66" s="19">
        <v>5.1442231500000002</v>
      </c>
      <c r="U66" s="39"/>
    </row>
    <row r="67" spans="1:21" x14ac:dyDescent="0.2">
      <c r="A67" s="16" t="str">
        <f>"rsd-3"</f>
        <v>rsd-3</v>
      </c>
      <c r="B67" s="16" t="s">
        <v>7799</v>
      </c>
      <c r="C67" s="16" t="s">
        <v>7801</v>
      </c>
      <c r="D67" s="16">
        <v>3.4774758386252098</v>
      </c>
      <c r="E67" s="16">
        <f t="shared" si="6"/>
        <v>11.138444279632768</v>
      </c>
      <c r="F67" s="16">
        <v>1.8482926868194801E-3</v>
      </c>
      <c r="G67" s="16" t="s">
        <v>14849</v>
      </c>
      <c r="H67" s="16" t="s">
        <v>14849</v>
      </c>
      <c r="I67" s="16">
        <v>11.0015702905054</v>
      </c>
      <c r="J67" s="16">
        <f t="shared" si="7"/>
        <v>11.0015702905054</v>
      </c>
      <c r="K67" s="16">
        <v>14.0942845226363</v>
      </c>
      <c r="L67" s="16">
        <v>14.691136517307299</v>
      </c>
      <c r="M67" s="16">
        <v>14.6517173474481</v>
      </c>
      <c r="N67" s="16">
        <f t="shared" si="8"/>
        <v>14.479046129130566</v>
      </c>
      <c r="O67" s="16">
        <f t="shared" si="9"/>
        <v>6.5615682544325828</v>
      </c>
      <c r="P67" s="16">
        <f t="shared" si="10"/>
        <v>1.6975277628344925</v>
      </c>
      <c r="S67" s="18" t="s">
        <v>3805</v>
      </c>
      <c r="T67" s="19">
        <v>5.0381587100000003</v>
      </c>
      <c r="U67" s="39"/>
    </row>
    <row r="68" spans="1:21" x14ac:dyDescent="0.2">
      <c r="A68" s="10" t="str">
        <f>"Y92H12BM.1"</f>
        <v>Y92H12BM.1</v>
      </c>
      <c r="B68" s="10" t="s">
        <v>914</v>
      </c>
      <c r="C68" s="10" t="s">
        <v>915</v>
      </c>
      <c r="D68" s="10">
        <v>3.4593785477550498</v>
      </c>
      <c r="E68" s="10">
        <f t="shared" si="6"/>
        <v>10.99959536218614</v>
      </c>
      <c r="F68" s="32">
        <v>3.8392426850029798E-7</v>
      </c>
      <c r="G68" s="10">
        <v>10.2205996185674</v>
      </c>
      <c r="H68" s="10" t="s">
        <v>14849</v>
      </c>
      <c r="I68" s="10">
        <v>10.361591120431401</v>
      </c>
      <c r="J68" s="10">
        <f t="shared" si="7"/>
        <v>10.2910953694994</v>
      </c>
      <c r="K68" s="10">
        <v>13.595347729640901</v>
      </c>
      <c r="L68" s="10">
        <v>13.808978929060901</v>
      </c>
      <c r="M68" s="10">
        <v>13.847095093061601</v>
      </c>
      <c r="N68" s="10">
        <f t="shared" si="8"/>
        <v>13.750473917254467</v>
      </c>
      <c r="O68" s="10">
        <f t="shared" si="9"/>
        <v>3.3613502799999999</v>
      </c>
      <c r="P68" s="10">
        <f t="shared" si="10"/>
        <v>3.2723740300538213</v>
      </c>
      <c r="S68" s="18" t="s">
        <v>315</v>
      </c>
      <c r="T68" s="19">
        <v>5.0101333800000001</v>
      </c>
      <c r="U68" s="39"/>
    </row>
    <row r="69" spans="1:21" x14ac:dyDescent="0.2">
      <c r="A69" s="10" t="str">
        <f>"jac-1"</f>
        <v>jac-1</v>
      </c>
      <c r="B69" s="10" t="s">
        <v>13337</v>
      </c>
      <c r="C69" s="10" t="s">
        <v>13339</v>
      </c>
      <c r="D69" s="10">
        <v>3.4525737414898598</v>
      </c>
      <c r="E69" s="10">
        <f t="shared" si="6"/>
        <v>10.947835380656528</v>
      </c>
      <c r="F69" s="32">
        <v>4.2079338008466998E-6</v>
      </c>
      <c r="G69" s="10">
        <v>11.2235361568433</v>
      </c>
      <c r="H69" s="10">
        <v>12.8176147483868</v>
      </c>
      <c r="I69" s="10">
        <v>11.792906791478</v>
      </c>
      <c r="J69" s="10">
        <f t="shared" si="7"/>
        <v>11.9446858989027</v>
      </c>
      <c r="K69" s="10">
        <v>15.4229333726616</v>
      </c>
      <c r="L69" s="10">
        <v>15.4144577257618</v>
      </c>
      <c r="M69" s="10">
        <v>15.354387822754401</v>
      </c>
      <c r="N69" s="10">
        <f t="shared" si="8"/>
        <v>15.397259640392599</v>
      </c>
      <c r="O69" s="10">
        <f t="shared" si="9"/>
        <v>3.0909888400000001</v>
      </c>
      <c r="P69" s="10">
        <f t="shared" si="10"/>
        <v>3.5418553567655482</v>
      </c>
      <c r="S69" s="11" t="s">
        <v>5251</v>
      </c>
      <c r="T69" s="20">
        <v>4.9786246800000002</v>
      </c>
      <c r="U69" s="41" t="s">
        <v>14928</v>
      </c>
    </row>
    <row r="70" spans="1:21" x14ac:dyDescent="0.2">
      <c r="A70" s="10" t="str">
        <f>"F42A10.5"</f>
        <v>F42A10.5</v>
      </c>
      <c r="B70" s="10" t="s">
        <v>8729</v>
      </c>
      <c r="C70" s="10" t="s">
        <v>8730</v>
      </c>
      <c r="D70" s="10">
        <v>3.2430944402670199</v>
      </c>
      <c r="E70" s="10">
        <f t="shared" si="6"/>
        <v>9.4682279534503149</v>
      </c>
      <c r="F70" s="32">
        <v>9.6265107044332193E-5</v>
      </c>
      <c r="G70" s="10">
        <v>9.9566818556722403</v>
      </c>
      <c r="H70" s="10" t="s">
        <v>14849</v>
      </c>
      <c r="I70" s="10">
        <v>10.8966645353281</v>
      </c>
      <c r="J70" s="10">
        <f t="shared" si="7"/>
        <v>10.42667319550017</v>
      </c>
      <c r="K70" s="10">
        <v>13.679574398219099</v>
      </c>
      <c r="L70" s="10">
        <v>13.856873276679</v>
      </c>
      <c r="M70" s="10">
        <v>13.472855232403299</v>
      </c>
      <c r="N70" s="10">
        <f t="shared" si="8"/>
        <v>13.669767635767132</v>
      </c>
      <c r="O70" s="10">
        <f t="shared" si="9"/>
        <v>4.1223131100000003</v>
      </c>
      <c r="P70" s="10">
        <f t="shared" si="10"/>
        <v>2.2968240647422133</v>
      </c>
      <c r="S70" s="11" t="s">
        <v>8357</v>
      </c>
      <c r="T70" s="20">
        <v>4.8608899699999997</v>
      </c>
      <c r="U70" s="39" t="s">
        <v>14917</v>
      </c>
    </row>
    <row r="71" spans="1:21" x14ac:dyDescent="0.2">
      <c r="A71" s="24" t="str">
        <f>"cdc-37"</f>
        <v>cdc-37</v>
      </c>
      <c r="B71" s="24" t="s">
        <v>3021</v>
      </c>
      <c r="C71" s="24" t="s">
        <v>3023</v>
      </c>
      <c r="D71" s="24">
        <v>3.2391244711219902</v>
      </c>
      <c r="E71" s="24">
        <f t="shared" si="6"/>
        <v>9.4422093552249251</v>
      </c>
      <c r="F71" s="29">
        <v>2.57884926355743E-5</v>
      </c>
      <c r="G71" s="24">
        <v>13.0022575256903</v>
      </c>
      <c r="H71" s="24">
        <v>13.196152140209</v>
      </c>
      <c r="I71" s="24" t="s">
        <v>14849</v>
      </c>
      <c r="J71" s="24">
        <f t="shared" si="7"/>
        <v>13.099204832949649</v>
      </c>
      <c r="K71" s="24">
        <v>16.367534939214799</v>
      </c>
      <c r="L71" s="24">
        <v>16.3973336681285</v>
      </c>
      <c r="M71" s="24">
        <v>16.2501193048716</v>
      </c>
      <c r="N71" s="24">
        <f t="shared" si="8"/>
        <v>16.338329304071635</v>
      </c>
      <c r="O71" s="24" t="str">
        <f t="shared" si="9"/>
        <v>ND</v>
      </c>
      <c r="P71" s="24" t="str">
        <f t="shared" si="10"/>
        <v>NA</v>
      </c>
      <c r="S71" s="11" t="s">
        <v>6434</v>
      </c>
      <c r="T71" s="20">
        <v>4.8303157299999997</v>
      </c>
      <c r="U71" s="39"/>
    </row>
    <row r="72" spans="1:21" x14ac:dyDescent="0.2">
      <c r="A72" s="10" t="str">
        <f>"alfa-1"</f>
        <v>alfa-1</v>
      </c>
      <c r="B72" s="10" t="s">
        <v>11529</v>
      </c>
      <c r="C72" s="10" t="s">
        <v>11531</v>
      </c>
      <c r="D72" s="10">
        <v>3.1657947765682199</v>
      </c>
      <c r="E72" s="10">
        <f t="shared" si="6"/>
        <v>8.9742711629821112</v>
      </c>
      <c r="F72" s="32">
        <v>2.4775411314215501E-5</v>
      </c>
      <c r="G72" s="10">
        <v>12.4065620262368</v>
      </c>
      <c r="H72" s="10">
        <v>12.247847300983899</v>
      </c>
      <c r="I72" s="10" t="s">
        <v>14849</v>
      </c>
      <c r="J72" s="10">
        <f t="shared" si="7"/>
        <v>12.327204663610349</v>
      </c>
      <c r="K72" s="10">
        <v>15.5973177740344</v>
      </c>
      <c r="L72" s="10">
        <v>15.593597065478599</v>
      </c>
      <c r="M72" s="10">
        <v>15.288083481022699</v>
      </c>
      <c r="N72" s="10">
        <f t="shared" si="8"/>
        <v>15.492999440178565</v>
      </c>
      <c r="O72" s="10">
        <f t="shared" si="9"/>
        <v>3.1386884199999998</v>
      </c>
      <c r="P72" s="10">
        <f t="shared" si="10"/>
        <v>2.8592424484690047</v>
      </c>
      <c r="S72" s="11" t="s">
        <v>88</v>
      </c>
      <c r="T72" s="20">
        <v>4.8081449999999997</v>
      </c>
      <c r="U72" s="39"/>
    </row>
    <row r="73" spans="1:21" x14ac:dyDescent="0.2">
      <c r="A73" s="10" t="str">
        <f>"saps-1"</f>
        <v>saps-1</v>
      </c>
      <c r="B73" s="10" t="s">
        <v>627</v>
      </c>
      <c r="C73" s="10" t="s">
        <v>629</v>
      </c>
      <c r="D73" s="10">
        <v>3.1547706607659398</v>
      </c>
      <c r="E73" s="10">
        <f t="shared" si="6"/>
        <v>8.9059570903152743</v>
      </c>
      <c r="F73" s="32">
        <v>8.6664364248691402E-6</v>
      </c>
      <c r="G73" s="10">
        <v>10.2053593211016</v>
      </c>
      <c r="H73" s="10" t="s">
        <v>14849</v>
      </c>
      <c r="I73" s="10">
        <v>10.379090651613501</v>
      </c>
      <c r="J73" s="10">
        <f t="shared" si="7"/>
        <v>10.292224986357549</v>
      </c>
      <c r="K73" s="10">
        <v>13.410088841401601</v>
      </c>
      <c r="L73" s="10">
        <v>13.6100410381109</v>
      </c>
      <c r="M73" s="10">
        <v>13.3208570618579</v>
      </c>
      <c r="N73" s="10">
        <f t="shared" si="8"/>
        <v>13.446995647123467</v>
      </c>
      <c r="O73" s="10">
        <f t="shared" si="9"/>
        <v>3.7304220099999998</v>
      </c>
      <c r="P73" s="10">
        <f t="shared" si="10"/>
        <v>2.3873859489466378</v>
      </c>
      <c r="S73" s="11" t="s">
        <v>465</v>
      </c>
      <c r="T73" s="20">
        <v>4.7841150700000004</v>
      </c>
      <c r="U73" s="39"/>
    </row>
    <row r="74" spans="1:21" x14ac:dyDescent="0.2">
      <c r="A74" s="25" t="str">
        <f>"mlt-4"</f>
        <v>mlt-4</v>
      </c>
      <c r="B74" s="25" t="s">
        <v>971</v>
      </c>
      <c r="C74" s="25" t="s">
        <v>412</v>
      </c>
      <c r="D74" s="25">
        <v>3.14035114022768</v>
      </c>
      <c r="E74" s="25">
        <f t="shared" si="6"/>
        <v>8.8173867460147051</v>
      </c>
      <c r="F74" s="25">
        <v>2.42326283832672E-4</v>
      </c>
      <c r="G74" s="25" t="s">
        <v>14849</v>
      </c>
      <c r="H74" s="25">
        <v>13.793987917205101</v>
      </c>
      <c r="I74" s="25" t="s">
        <v>14849</v>
      </c>
      <c r="J74" s="25">
        <f t="shared" si="7"/>
        <v>13.793987917205101</v>
      </c>
      <c r="K74" s="25">
        <v>17.021979699881499</v>
      </c>
      <c r="L74" s="25">
        <v>17.063535179238201</v>
      </c>
      <c r="M74" s="25">
        <v>16.717502293178701</v>
      </c>
      <c r="N74" s="25">
        <f t="shared" si="8"/>
        <v>16.934339057432798</v>
      </c>
      <c r="O74" s="25" t="str">
        <f t="shared" si="9"/>
        <v>ND</v>
      </c>
      <c r="P74" s="25" t="str">
        <f t="shared" si="10"/>
        <v>NA</v>
      </c>
      <c r="S74" s="11" t="s">
        <v>944</v>
      </c>
      <c r="T74" s="20">
        <v>4.7641000399999998</v>
      </c>
      <c r="U74" s="39"/>
    </row>
    <row r="75" spans="1:21" x14ac:dyDescent="0.2">
      <c r="A75" s="14" t="str">
        <f>"erfa-3"</f>
        <v>erfa-3</v>
      </c>
      <c r="B75" s="14" t="s">
        <v>4113</v>
      </c>
      <c r="C75" s="14" t="s">
        <v>4115</v>
      </c>
      <c r="D75" s="14">
        <v>2.9677992501680301</v>
      </c>
      <c r="E75" s="14">
        <f t="shared" si="6"/>
        <v>7.8234190894834308</v>
      </c>
      <c r="F75" s="30">
        <v>2.65465083415655E-5</v>
      </c>
      <c r="G75" s="14">
        <v>14.868496968503599</v>
      </c>
      <c r="H75" s="14">
        <v>14.5904233236647</v>
      </c>
      <c r="I75" s="14">
        <v>14.616835287969201</v>
      </c>
      <c r="J75" s="14">
        <f t="shared" si="7"/>
        <v>14.691918526712501</v>
      </c>
      <c r="K75" s="14">
        <v>17.723887211744401</v>
      </c>
      <c r="L75" s="14">
        <v>17.833156037810301</v>
      </c>
      <c r="M75" s="14">
        <v>17.422110081086799</v>
      </c>
      <c r="N75" s="14">
        <f t="shared" si="8"/>
        <v>17.659717776880502</v>
      </c>
      <c r="O75" s="14">
        <f t="shared" si="9"/>
        <v>11.1537191</v>
      </c>
      <c r="P75" s="14">
        <f t="shared" si="10"/>
        <v>0.7014179772093625</v>
      </c>
      <c r="S75" s="11" t="s">
        <v>1209</v>
      </c>
      <c r="T75" s="20">
        <v>4.5818628099999996</v>
      </c>
      <c r="U75" s="39"/>
    </row>
    <row r="76" spans="1:21" x14ac:dyDescent="0.2">
      <c r="A76" s="27" t="str">
        <f>"nekl-2"</f>
        <v>nekl-2</v>
      </c>
      <c r="B76" s="27" t="s">
        <v>2855</v>
      </c>
      <c r="C76" s="27" t="s">
        <v>2857</v>
      </c>
      <c r="D76" s="27">
        <v>2.9547416833879101</v>
      </c>
      <c r="E76" s="27">
        <f t="shared" si="6"/>
        <v>7.7529302379395446</v>
      </c>
      <c r="F76" s="27">
        <v>4.2296172552362997E-3</v>
      </c>
      <c r="G76" s="27" t="s">
        <v>14849</v>
      </c>
      <c r="H76" s="27" t="s">
        <v>14849</v>
      </c>
      <c r="I76" s="27">
        <v>12.9853021787654</v>
      </c>
      <c r="J76" s="27">
        <f t="shared" si="7"/>
        <v>12.9853021787654</v>
      </c>
      <c r="K76" s="27">
        <v>16.030766854401399</v>
      </c>
      <c r="L76" s="27">
        <v>16.1294836008103</v>
      </c>
      <c r="M76" s="27">
        <v>15.6598811312483</v>
      </c>
      <c r="N76" s="27">
        <f t="shared" si="8"/>
        <v>15.940043862153331</v>
      </c>
      <c r="O76" s="27" t="str">
        <f t="shared" si="9"/>
        <v>ND</v>
      </c>
      <c r="P76" s="27" t="str">
        <f t="shared" si="10"/>
        <v>NA</v>
      </c>
      <c r="S76" s="11" t="s">
        <v>9440</v>
      </c>
      <c r="T76" s="20">
        <v>4.5629360500000002</v>
      </c>
      <c r="U76" s="39"/>
    </row>
    <row r="77" spans="1:21" x14ac:dyDescent="0.2">
      <c r="A77" s="24" t="str">
        <f>"col-176"</f>
        <v>col-176</v>
      </c>
      <c r="B77" s="24" t="s">
        <v>10158</v>
      </c>
      <c r="C77" s="24" t="s">
        <v>3312</v>
      </c>
      <c r="D77" s="24">
        <v>2.87832590505265</v>
      </c>
      <c r="E77" s="24">
        <f t="shared" si="6"/>
        <v>7.3529639160190738</v>
      </c>
      <c r="F77" s="29">
        <v>9.3443090438114503E-6</v>
      </c>
      <c r="G77" s="24">
        <v>13.1514827942949</v>
      </c>
      <c r="H77" s="24">
        <v>13.260585821303</v>
      </c>
      <c r="I77" s="24">
        <v>14.1318849629097</v>
      </c>
      <c r="J77" s="24">
        <f t="shared" si="7"/>
        <v>13.514651192835865</v>
      </c>
      <c r="K77" s="24">
        <v>15.749152785997801</v>
      </c>
      <c r="L77" s="24">
        <v>16.990697897249898</v>
      </c>
      <c r="M77" s="24">
        <v>16.4390806104178</v>
      </c>
      <c r="N77" s="24">
        <f t="shared" si="8"/>
        <v>16.392977097888501</v>
      </c>
      <c r="O77" s="24" t="str">
        <f t="shared" si="9"/>
        <v>ND</v>
      </c>
      <c r="P77" s="24" t="str">
        <f t="shared" si="10"/>
        <v>NA</v>
      </c>
      <c r="S77" s="11" t="s">
        <v>3930</v>
      </c>
      <c r="T77" s="20">
        <v>4.51665078</v>
      </c>
      <c r="U77" s="39"/>
    </row>
    <row r="78" spans="1:21" x14ac:dyDescent="0.2">
      <c r="A78" s="10" t="str">
        <f>"fkb-6"</f>
        <v>fkb-6</v>
      </c>
      <c r="B78" s="10" t="s">
        <v>4060</v>
      </c>
      <c r="C78" s="10" t="s">
        <v>4062</v>
      </c>
      <c r="D78" s="10">
        <v>2.793225593896</v>
      </c>
      <c r="E78" s="10">
        <f t="shared" si="6"/>
        <v>6.9317786871184417</v>
      </c>
      <c r="F78" s="32">
        <v>6.9265709878813901E-6</v>
      </c>
      <c r="G78" s="10">
        <v>14.9038452614476</v>
      </c>
      <c r="H78" s="10">
        <v>14.740748436036201</v>
      </c>
      <c r="I78" s="10">
        <v>14.7215673740747</v>
      </c>
      <c r="J78" s="10">
        <f t="shared" si="7"/>
        <v>14.788720357186167</v>
      </c>
      <c r="K78" s="10">
        <v>17.5686167752636</v>
      </c>
      <c r="L78" s="10">
        <v>17.736442871691001</v>
      </c>
      <c r="M78" s="10">
        <v>17.440778206291899</v>
      </c>
      <c r="N78" s="10">
        <f t="shared" si="8"/>
        <v>17.581945951082165</v>
      </c>
      <c r="O78" s="10">
        <f t="shared" si="9"/>
        <v>3.90200031</v>
      </c>
      <c r="P78" s="10">
        <f t="shared" si="10"/>
        <v>1.7764680001059359</v>
      </c>
      <c r="S78" s="10" t="s">
        <v>14808</v>
      </c>
      <c r="T78" s="21">
        <v>4.4289296021776599</v>
      </c>
      <c r="U78" s="40"/>
    </row>
    <row r="79" spans="1:21" x14ac:dyDescent="0.2">
      <c r="A79" s="14" t="str">
        <f>"rpn-11"</f>
        <v>rpn-11</v>
      </c>
      <c r="B79" s="14" t="s">
        <v>4603</v>
      </c>
      <c r="C79" s="14" t="s">
        <v>4605</v>
      </c>
      <c r="D79" s="14">
        <v>2.7786923855064001</v>
      </c>
      <c r="E79" s="14">
        <f t="shared" si="6"/>
        <v>6.8623008930885243</v>
      </c>
      <c r="F79" s="30">
        <v>3.7093527003766898E-5</v>
      </c>
      <c r="G79" s="14">
        <v>14.565381076797101</v>
      </c>
      <c r="H79" s="14">
        <v>14.626223376635499</v>
      </c>
      <c r="I79" s="14">
        <v>14.6899224052148</v>
      </c>
      <c r="J79" s="14">
        <f t="shared" si="7"/>
        <v>14.627175619549133</v>
      </c>
      <c r="K79" s="14">
        <v>17.6324699355281</v>
      </c>
      <c r="L79" s="14">
        <v>17.3756407404843</v>
      </c>
      <c r="M79" s="14">
        <v>17.2094933391542</v>
      </c>
      <c r="N79" s="14">
        <f t="shared" si="8"/>
        <v>17.405868005055535</v>
      </c>
      <c r="O79" s="14">
        <f t="shared" si="9"/>
        <v>27.4262218</v>
      </c>
      <c r="P79" s="14">
        <f t="shared" si="10"/>
        <v>0.25020948722468672</v>
      </c>
      <c r="S79" s="11" t="s">
        <v>3299</v>
      </c>
      <c r="T79" s="20">
        <v>4.4027046299999997</v>
      </c>
      <c r="U79" s="39"/>
    </row>
    <row r="80" spans="1:21" x14ac:dyDescent="0.2">
      <c r="A80" s="24" t="str">
        <f>"cdkr-3"</f>
        <v>cdkr-3</v>
      </c>
      <c r="B80" s="24" t="s">
        <v>13319</v>
      </c>
      <c r="C80" s="24" t="s">
        <v>13321</v>
      </c>
      <c r="D80" s="24">
        <v>2.7555142290622401</v>
      </c>
      <c r="E80" s="24">
        <f t="shared" si="6"/>
        <v>6.752932931391415</v>
      </c>
      <c r="F80" s="29">
        <v>5.0542593068953897E-6</v>
      </c>
      <c r="G80" s="24">
        <v>9.3746290607799398</v>
      </c>
      <c r="H80" s="24">
        <v>9.0076505403956606</v>
      </c>
      <c r="I80" s="24" t="s">
        <v>14849</v>
      </c>
      <c r="J80" s="24">
        <f t="shared" si="7"/>
        <v>9.1911398005878002</v>
      </c>
      <c r="K80" s="24">
        <v>11.9714299338244</v>
      </c>
      <c r="L80" s="24">
        <v>12.1044310674845</v>
      </c>
      <c r="M80" s="24">
        <v>11.764101087641301</v>
      </c>
      <c r="N80" s="24">
        <f t="shared" si="8"/>
        <v>11.946654029650068</v>
      </c>
      <c r="O80" s="24" t="str">
        <f t="shared" si="9"/>
        <v>ND</v>
      </c>
      <c r="P80" s="24" t="str">
        <f t="shared" si="10"/>
        <v>NA</v>
      </c>
      <c r="S80" s="11" t="s">
        <v>14809</v>
      </c>
      <c r="T80" s="20">
        <v>4.39401449</v>
      </c>
      <c r="U80" s="39"/>
    </row>
    <row r="81" spans="1:21" x14ac:dyDescent="0.2">
      <c r="A81" s="14" t="str">
        <f>"C05C8.7"</f>
        <v>C05C8.7</v>
      </c>
      <c r="B81" s="14" t="s">
        <v>3188</v>
      </c>
      <c r="C81" s="14" t="s">
        <v>3190</v>
      </c>
      <c r="D81" s="14">
        <v>2.73934430930874</v>
      </c>
      <c r="E81" s="14">
        <f t="shared" si="6"/>
        <v>6.6776677314132096</v>
      </c>
      <c r="F81" s="30">
        <v>5.9621756857530301E-6</v>
      </c>
      <c r="G81" s="14">
        <v>12.4041123835161</v>
      </c>
      <c r="H81" s="14">
        <v>12.782009873755401</v>
      </c>
      <c r="I81" s="14">
        <v>12.6895545720184</v>
      </c>
      <c r="J81" s="14">
        <f t="shared" si="7"/>
        <v>12.6252256097633</v>
      </c>
      <c r="K81" s="14">
        <v>15.5036839821231</v>
      </c>
      <c r="L81" s="14">
        <v>15.5719678115163</v>
      </c>
      <c r="M81" s="14">
        <v>15.0180579635767</v>
      </c>
      <c r="N81" s="14">
        <f t="shared" si="8"/>
        <v>15.364569919072034</v>
      </c>
      <c r="O81" s="14">
        <f t="shared" si="9"/>
        <v>13.513067700000001</v>
      </c>
      <c r="P81" s="14">
        <f t="shared" si="10"/>
        <v>0.49416371468435766</v>
      </c>
      <c r="S81" s="11" t="s">
        <v>9759</v>
      </c>
      <c r="T81" s="20">
        <v>4.2269197700000003</v>
      </c>
      <c r="U81" s="39"/>
    </row>
    <row r="82" spans="1:21" x14ac:dyDescent="0.2">
      <c r="A82" s="24" t="str">
        <f>"rpap-2"</f>
        <v>rpap-2</v>
      </c>
      <c r="B82" s="24" t="s">
        <v>4894</v>
      </c>
      <c r="C82" s="24" t="s">
        <v>4896</v>
      </c>
      <c r="D82" s="24">
        <v>2.65370331774028</v>
      </c>
      <c r="E82" s="24">
        <f t="shared" si="6"/>
        <v>6.2928053491266835</v>
      </c>
      <c r="F82" s="24">
        <v>4.4449466279503601E-3</v>
      </c>
      <c r="G82" s="24" t="s">
        <v>14849</v>
      </c>
      <c r="H82" s="24">
        <v>9.2119993413352805</v>
      </c>
      <c r="I82" s="24">
        <v>11.290721356418301</v>
      </c>
      <c r="J82" s="24">
        <f t="shared" si="7"/>
        <v>10.251360348876791</v>
      </c>
      <c r="K82" s="24">
        <v>12.827015720602001</v>
      </c>
      <c r="L82" s="24">
        <v>13.0160988139131</v>
      </c>
      <c r="M82" s="24">
        <v>12.872076465336001</v>
      </c>
      <c r="N82" s="24">
        <f t="shared" si="8"/>
        <v>12.905063666617034</v>
      </c>
      <c r="O82" s="24" t="str">
        <f t="shared" si="9"/>
        <v>ND</v>
      </c>
      <c r="P82" s="24" t="str">
        <f t="shared" si="10"/>
        <v>NA</v>
      </c>
      <c r="S82" s="10" t="s">
        <v>7987</v>
      </c>
      <c r="T82" s="20">
        <v>4.1515668901613356</v>
      </c>
      <c r="U82" s="39"/>
    </row>
    <row r="83" spans="1:21" x14ac:dyDescent="0.2">
      <c r="A83" s="24" t="str">
        <f>"panl-3"</f>
        <v>panl-3</v>
      </c>
      <c r="B83" s="24" t="s">
        <v>5357</v>
      </c>
      <c r="C83" s="24" t="s">
        <v>5359</v>
      </c>
      <c r="D83" s="24">
        <v>2.6181644488606302</v>
      </c>
      <c r="E83" s="24">
        <f t="shared" si="6"/>
        <v>6.139684189921506</v>
      </c>
      <c r="F83" s="29">
        <v>1.63505702075617E-5</v>
      </c>
      <c r="G83" s="24">
        <v>11.603543570277999</v>
      </c>
      <c r="H83" s="24">
        <v>10.788808355569101</v>
      </c>
      <c r="I83" s="24">
        <v>12.0450956405534</v>
      </c>
      <c r="J83" s="24">
        <f t="shared" si="7"/>
        <v>11.479149188800166</v>
      </c>
      <c r="K83" s="24">
        <v>14.648314936613501</v>
      </c>
      <c r="L83" s="24">
        <v>13.887798578825601</v>
      </c>
      <c r="M83" s="24">
        <v>13.755827397543399</v>
      </c>
      <c r="N83" s="24">
        <f t="shared" si="8"/>
        <v>14.097313637660832</v>
      </c>
      <c r="O83" s="24" t="str">
        <f t="shared" si="9"/>
        <v>ND</v>
      </c>
      <c r="P83" s="24" t="str">
        <f t="shared" si="10"/>
        <v>NA</v>
      </c>
      <c r="S83" s="11" t="s">
        <v>14172</v>
      </c>
      <c r="T83" s="20">
        <v>4.1223131100000003</v>
      </c>
      <c r="U83" s="39"/>
    </row>
    <row r="84" spans="1:21" x14ac:dyDescent="0.2">
      <c r="A84" s="16" t="str">
        <f>"F27D4.4"</f>
        <v>F27D4.4</v>
      </c>
      <c r="B84" s="16" t="s">
        <v>11193</v>
      </c>
      <c r="C84" s="16" t="s">
        <v>11195</v>
      </c>
      <c r="D84" s="16">
        <v>2.59811390161595</v>
      </c>
      <c r="E84" s="16">
        <f t="shared" si="6"/>
        <v>6.0549451944669181</v>
      </c>
      <c r="F84" s="16">
        <v>5.4400781495045998E-4</v>
      </c>
      <c r="G84" s="16" t="s">
        <v>14849</v>
      </c>
      <c r="H84" s="16">
        <v>10.350681316322801</v>
      </c>
      <c r="I84" s="16">
        <v>10.365021879637901</v>
      </c>
      <c r="J84" s="16">
        <f t="shared" si="7"/>
        <v>10.35785159798035</v>
      </c>
      <c r="K84" s="16">
        <v>12.874026196787399</v>
      </c>
      <c r="L84" s="16">
        <v>13.171589910016101</v>
      </c>
      <c r="M84" s="16">
        <v>12.8222803919854</v>
      </c>
      <c r="N84" s="16">
        <f t="shared" si="8"/>
        <v>12.955965499596301</v>
      </c>
      <c r="O84" s="16">
        <f t="shared" si="9"/>
        <v>5.1442231500000002</v>
      </c>
      <c r="P84" s="16">
        <f t="shared" si="10"/>
        <v>1.1770378185221062</v>
      </c>
      <c r="S84" s="10" t="s">
        <v>13532</v>
      </c>
      <c r="T84" s="21">
        <v>4.0876309905636603</v>
      </c>
      <c r="U84" s="40"/>
    </row>
    <row r="85" spans="1:21" x14ac:dyDescent="0.2">
      <c r="A85" s="16" t="str">
        <f>"fln-2"</f>
        <v>fln-2</v>
      </c>
      <c r="B85" s="16" t="s">
        <v>756</v>
      </c>
      <c r="C85" s="16" t="s">
        <v>758</v>
      </c>
      <c r="D85" s="16">
        <v>2.5855938535214902</v>
      </c>
      <c r="E85" s="16">
        <f t="shared" si="6"/>
        <v>6.0026262970996385</v>
      </c>
      <c r="F85" s="31">
        <v>1.5904990118466899E-5</v>
      </c>
      <c r="G85" s="16">
        <v>14.478208477083299</v>
      </c>
      <c r="H85" s="16">
        <v>14.9566417813509</v>
      </c>
      <c r="I85" s="16">
        <v>14.925909545466199</v>
      </c>
      <c r="J85" s="16">
        <f t="shared" si="7"/>
        <v>14.786919934633467</v>
      </c>
      <c r="K85" s="16">
        <v>17.3165899941954</v>
      </c>
      <c r="L85" s="16">
        <v>17.257620190733</v>
      </c>
      <c r="M85" s="16">
        <v>17.543331179536398</v>
      </c>
      <c r="N85" s="16">
        <f t="shared" si="8"/>
        <v>17.372513788154933</v>
      </c>
      <c r="O85" s="16">
        <f t="shared" si="9"/>
        <v>5.9086830800000003</v>
      </c>
      <c r="P85" s="16">
        <f t="shared" si="10"/>
        <v>1.0158991802111745</v>
      </c>
      <c r="S85" s="11" t="s">
        <v>14213</v>
      </c>
      <c r="T85" s="20">
        <v>4.0803284199999998</v>
      </c>
      <c r="U85" s="39"/>
    </row>
    <row r="86" spans="1:21" x14ac:dyDescent="0.2">
      <c r="A86" s="14" t="str">
        <f>"ZC247.1"</f>
        <v>ZC247.1</v>
      </c>
      <c r="B86" s="14" t="s">
        <v>1002</v>
      </c>
      <c r="C86" s="14" t="s">
        <v>1003</v>
      </c>
      <c r="D86" s="14">
        <v>2.5280193374350102</v>
      </c>
      <c r="E86" s="14">
        <f t="shared" si="6"/>
        <v>5.7677927950210659</v>
      </c>
      <c r="F86" s="30">
        <v>6.2845189632928798E-5</v>
      </c>
      <c r="G86" s="14">
        <v>13.829354127713399</v>
      </c>
      <c r="H86" s="14">
        <v>14.1692928373669</v>
      </c>
      <c r="I86" s="14">
        <v>14.048621893857399</v>
      </c>
      <c r="J86" s="14">
        <f t="shared" si="7"/>
        <v>14.015756286312566</v>
      </c>
      <c r="K86" s="14">
        <v>16.6399813027253</v>
      </c>
      <c r="L86" s="14">
        <v>16.577052570002401</v>
      </c>
      <c r="M86" s="14">
        <v>16.414292998514998</v>
      </c>
      <c r="N86" s="14">
        <f t="shared" si="8"/>
        <v>16.543775623747564</v>
      </c>
      <c r="O86" s="14">
        <f t="shared" si="9"/>
        <v>45.449789099999997</v>
      </c>
      <c r="P86" s="14">
        <f t="shared" si="10"/>
        <v>0.12690472077506443</v>
      </c>
      <c r="S86" s="11" t="s">
        <v>1422</v>
      </c>
      <c r="T86" s="20">
        <v>4.0776110599999997</v>
      </c>
      <c r="U86" s="39"/>
    </row>
    <row r="87" spans="1:21" x14ac:dyDescent="0.2">
      <c r="A87" s="16" t="str">
        <f>"pck-2"</f>
        <v>pck-2</v>
      </c>
      <c r="B87" s="16" t="s">
        <v>3077</v>
      </c>
      <c r="C87" s="16" t="s">
        <v>3079</v>
      </c>
      <c r="D87" s="16">
        <v>2.5095081828317198</v>
      </c>
      <c r="E87" s="16">
        <f t="shared" si="6"/>
        <v>5.6942592689031741</v>
      </c>
      <c r="F87" s="31">
        <v>1.3565625114428099E-6</v>
      </c>
      <c r="G87" s="16">
        <v>14.2351025874752</v>
      </c>
      <c r="H87" s="16">
        <v>14.0989692015164</v>
      </c>
      <c r="I87" s="16">
        <v>14.274739648371099</v>
      </c>
      <c r="J87" s="16">
        <f t="shared" si="7"/>
        <v>14.202937145787567</v>
      </c>
      <c r="K87" s="16">
        <v>16.6926396450162</v>
      </c>
      <c r="L87" s="16">
        <v>16.792407137018401</v>
      </c>
      <c r="M87" s="16">
        <v>16.652289203823301</v>
      </c>
      <c r="N87" s="16">
        <f t="shared" si="8"/>
        <v>16.7124453286193</v>
      </c>
      <c r="O87" s="16">
        <f t="shared" si="9"/>
        <v>6.2592155700000003</v>
      </c>
      <c r="P87" s="16">
        <f t="shared" si="10"/>
        <v>0.90974007928331724</v>
      </c>
      <c r="S87" s="11" t="s">
        <v>12679</v>
      </c>
      <c r="T87" s="20">
        <v>4.0673590600000002</v>
      </c>
      <c r="U87" s="39"/>
    </row>
    <row r="88" spans="1:21" x14ac:dyDescent="0.2">
      <c r="A88" s="10" t="str">
        <f>"Y55F3AM.9"</f>
        <v>Y55F3AM.9</v>
      </c>
      <c r="B88" s="10" t="s">
        <v>12336</v>
      </c>
      <c r="C88" s="10" t="s">
        <v>416</v>
      </c>
      <c r="D88" s="10">
        <v>2.49883120311718</v>
      </c>
      <c r="E88" s="10">
        <f t="shared" si="6"/>
        <v>5.6522732147518315</v>
      </c>
      <c r="F88" s="10">
        <v>3.0864715329873599E-3</v>
      </c>
      <c r="G88" s="10">
        <v>11.632250062475901</v>
      </c>
      <c r="H88" s="10" t="s">
        <v>14849</v>
      </c>
      <c r="I88" s="10">
        <v>11.243748697673</v>
      </c>
      <c r="J88" s="10">
        <f t="shared" si="7"/>
        <v>11.437999380074451</v>
      </c>
      <c r="K88" s="10">
        <v>13.762931235451401</v>
      </c>
      <c r="L88" s="10">
        <v>14.507588744828499</v>
      </c>
      <c r="M88" s="10">
        <v>13.539971769295001</v>
      </c>
      <c r="N88" s="10">
        <f t="shared" si="8"/>
        <v>13.936830583191634</v>
      </c>
      <c r="O88" s="10">
        <f t="shared" si="9"/>
        <v>2.6250738600000001</v>
      </c>
      <c r="P88" s="10">
        <f t="shared" si="10"/>
        <v>2.1531863544410257</v>
      </c>
      <c r="S88" s="11" t="s">
        <v>12300</v>
      </c>
      <c r="T88" s="20">
        <v>4.0429665400000001</v>
      </c>
      <c r="U88" s="39"/>
    </row>
    <row r="89" spans="1:21" x14ac:dyDescent="0.2">
      <c r="A89" s="16" t="str">
        <f>"dnj-11"</f>
        <v>dnj-11</v>
      </c>
      <c r="B89" s="16" t="s">
        <v>11343</v>
      </c>
      <c r="C89" s="16" t="s">
        <v>11345</v>
      </c>
      <c r="D89" s="16">
        <v>2.49689312225189</v>
      </c>
      <c r="E89" s="16">
        <f t="shared" si="6"/>
        <v>5.644685188521696</v>
      </c>
      <c r="F89" s="31">
        <v>1.2215070262478299E-5</v>
      </c>
      <c r="G89" s="16">
        <v>14.636660119851401</v>
      </c>
      <c r="H89" s="16">
        <v>14.6274296761828</v>
      </c>
      <c r="I89" s="16">
        <v>14.4428866773307</v>
      </c>
      <c r="J89" s="16">
        <f t="shared" si="7"/>
        <v>14.568992157788299</v>
      </c>
      <c r="K89" s="16">
        <v>17.176622992033401</v>
      </c>
      <c r="L89" s="16">
        <v>17.1754665177913</v>
      </c>
      <c r="M89" s="16">
        <v>16.845566330295899</v>
      </c>
      <c r="N89" s="16">
        <f t="shared" si="8"/>
        <v>17.065885280040202</v>
      </c>
      <c r="O89" s="16">
        <f t="shared" si="9"/>
        <v>5.5413512200000001</v>
      </c>
      <c r="P89" s="16">
        <f t="shared" si="10"/>
        <v>1.0186477926446424</v>
      </c>
      <c r="S89" s="11" t="s">
        <v>7671</v>
      </c>
      <c r="T89" s="20">
        <v>4.0404980300000002</v>
      </c>
      <c r="U89" s="39"/>
    </row>
    <row r="90" spans="1:21" x14ac:dyDescent="0.2">
      <c r="A90" s="16" t="str">
        <f>"cogc-8"</f>
        <v>cogc-8</v>
      </c>
      <c r="B90" s="16" t="s">
        <v>3804</v>
      </c>
      <c r="C90" s="16" t="s">
        <v>3806</v>
      </c>
      <c r="D90" s="16">
        <v>2.4046652713455701</v>
      </c>
      <c r="E90" s="16">
        <f t="shared" si="6"/>
        <v>5.2951269436940231</v>
      </c>
      <c r="F90" s="16">
        <v>1.4431079641359899E-3</v>
      </c>
      <c r="G90" s="16">
        <v>11.5378934767988</v>
      </c>
      <c r="H90" s="16">
        <v>12.455456303284601</v>
      </c>
      <c r="I90" s="16">
        <v>11.5320095853906</v>
      </c>
      <c r="J90" s="16">
        <f t="shared" si="7"/>
        <v>11.841786455158001</v>
      </c>
      <c r="K90" s="16">
        <v>14.3351054518804</v>
      </c>
      <c r="L90" s="16">
        <v>14.4963489144712</v>
      </c>
      <c r="M90" s="16">
        <v>13.9079008131592</v>
      </c>
      <c r="N90" s="16">
        <f t="shared" si="8"/>
        <v>14.246451726503601</v>
      </c>
      <c r="O90" s="16">
        <f t="shared" si="9"/>
        <v>5.0381587100000003</v>
      </c>
      <c r="P90" s="16">
        <f t="shared" si="10"/>
        <v>1.0510043943601814</v>
      </c>
      <c r="S90" s="11" t="s">
        <v>3897</v>
      </c>
      <c r="T90" s="20">
        <v>4.0345622900000002</v>
      </c>
      <c r="U90" s="39"/>
    </row>
    <row r="91" spans="1:21" x14ac:dyDescent="0.2">
      <c r="A91" s="16" t="str">
        <f>"gln-3"</f>
        <v>gln-3</v>
      </c>
      <c r="B91" s="16" t="s">
        <v>13333</v>
      </c>
      <c r="C91" s="16" t="s">
        <v>13335</v>
      </c>
      <c r="D91" s="16">
        <v>2.3262424769117702</v>
      </c>
      <c r="E91" s="16">
        <f t="shared" ref="E91:E122" si="11">2^D91</f>
        <v>5.0149748887356056</v>
      </c>
      <c r="F91" s="16">
        <v>7.0136117840784804E-3</v>
      </c>
      <c r="G91" s="16">
        <v>13.192061486307001</v>
      </c>
      <c r="H91" s="16">
        <v>12.7365333560926</v>
      </c>
      <c r="I91" s="16">
        <v>12.352994465150299</v>
      </c>
      <c r="J91" s="16">
        <f t="shared" ref="J91:J122" si="12">AVERAGEIF(G91:I91, "&gt;0")</f>
        <v>12.7605297691833</v>
      </c>
      <c r="K91" s="16">
        <v>15.246905970586701</v>
      </c>
      <c r="L91" s="16">
        <v>15.378513324132101</v>
      </c>
      <c r="M91" s="16">
        <v>14.6348974435664</v>
      </c>
      <c r="N91" s="16">
        <f t="shared" si="8"/>
        <v>15.086772246095068</v>
      </c>
      <c r="O91" s="16">
        <f t="shared" si="9"/>
        <v>8.4615092599999997</v>
      </c>
      <c r="P91" s="16">
        <f t="shared" si="10"/>
        <v>0.59268089588258699</v>
      </c>
      <c r="S91" s="10" t="s">
        <v>4967</v>
      </c>
      <c r="T91" s="20">
        <v>4.0339140586133171</v>
      </c>
      <c r="U91" s="39"/>
    </row>
    <row r="92" spans="1:21" x14ac:dyDescent="0.2">
      <c r="A92" s="16" t="str">
        <f>"mog-4"</f>
        <v>mog-4</v>
      </c>
      <c r="B92" s="16" t="s">
        <v>4026</v>
      </c>
      <c r="C92" s="16" t="s">
        <v>4028</v>
      </c>
      <c r="D92" s="16">
        <v>2.3175157513726901</v>
      </c>
      <c r="E92" s="16">
        <f t="shared" si="11"/>
        <v>4.9847313434235199</v>
      </c>
      <c r="F92" s="31">
        <v>2.0754616273051899E-6</v>
      </c>
      <c r="G92" s="16">
        <v>13.3330787319897</v>
      </c>
      <c r="H92" s="16">
        <v>13.0650063110684</v>
      </c>
      <c r="I92" s="16">
        <v>13.371328057368601</v>
      </c>
      <c r="J92" s="16">
        <f t="shared" si="12"/>
        <v>13.256471033475568</v>
      </c>
      <c r="K92" s="16">
        <v>15.6738289943646</v>
      </c>
      <c r="L92" s="16">
        <v>15.5790617819169</v>
      </c>
      <c r="M92" s="16">
        <v>15.469069578263399</v>
      </c>
      <c r="N92" s="16">
        <f t="shared" si="8"/>
        <v>15.5739867848483</v>
      </c>
      <c r="O92" s="16">
        <f t="shared" si="9"/>
        <v>5.79721084</v>
      </c>
      <c r="P92" s="16">
        <f t="shared" si="10"/>
        <v>0.85984993145833555</v>
      </c>
      <c r="S92" s="11" t="s">
        <v>6169</v>
      </c>
      <c r="T92" s="20">
        <v>4.02411809</v>
      </c>
      <c r="U92" s="39"/>
    </row>
    <row r="93" spans="1:21" x14ac:dyDescent="0.2">
      <c r="A93" s="24" t="str">
        <f>"H35B03.1"</f>
        <v>H35B03.1</v>
      </c>
      <c r="B93" s="24" t="s">
        <v>12983</v>
      </c>
      <c r="C93" s="24" t="s">
        <v>7751</v>
      </c>
      <c r="D93" s="24">
        <v>2.3108437647976099</v>
      </c>
      <c r="E93" s="24">
        <f t="shared" si="11"/>
        <v>4.9617318360278952</v>
      </c>
      <c r="F93" s="29">
        <v>7.8812797672218799E-7</v>
      </c>
      <c r="G93" s="24">
        <v>12.5294164066057</v>
      </c>
      <c r="H93" s="24">
        <v>12.5712014024871</v>
      </c>
      <c r="I93" s="24">
        <v>12.4921529596801</v>
      </c>
      <c r="J93" s="24">
        <f t="shared" si="12"/>
        <v>12.530923589590968</v>
      </c>
      <c r="K93" s="24">
        <v>14.8581656517319</v>
      </c>
      <c r="L93" s="24">
        <v>14.96404508592</v>
      </c>
      <c r="M93" s="24">
        <v>14.7030913255138</v>
      </c>
      <c r="N93" s="24">
        <f t="shared" si="8"/>
        <v>14.841767354388566</v>
      </c>
      <c r="O93" s="24" t="str">
        <f t="shared" si="9"/>
        <v>ND</v>
      </c>
      <c r="P93" s="24" t="str">
        <f t="shared" si="10"/>
        <v>NA</v>
      </c>
      <c r="S93" s="10" t="s">
        <v>14162</v>
      </c>
      <c r="T93" s="20">
        <v>4.0086542005910042</v>
      </c>
      <c r="U93" s="39"/>
    </row>
    <row r="94" spans="1:21" x14ac:dyDescent="0.2">
      <c r="A94" s="10" t="str">
        <f>"natc-1"</f>
        <v>natc-1</v>
      </c>
      <c r="B94" s="10" t="s">
        <v>3298</v>
      </c>
      <c r="C94" s="10" t="s">
        <v>3300</v>
      </c>
      <c r="D94" s="10">
        <v>2.27040701692105</v>
      </c>
      <c r="E94" s="10">
        <f t="shared" si="11"/>
        <v>4.8245922454378478</v>
      </c>
      <c r="F94" s="10">
        <v>2.1248679071256302E-3</v>
      </c>
      <c r="G94" s="10">
        <v>12.171743768465101</v>
      </c>
      <c r="H94" s="10">
        <v>11.878978978488099</v>
      </c>
      <c r="I94" s="10">
        <v>12.415713199401001</v>
      </c>
      <c r="J94" s="10">
        <f t="shared" si="12"/>
        <v>12.155478648784731</v>
      </c>
      <c r="K94" s="10">
        <v>14.646792693225599</v>
      </c>
      <c r="L94" s="10">
        <v>14.566899082248501</v>
      </c>
      <c r="M94" s="10">
        <v>14.0639652216431</v>
      </c>
      <c r="N94" s="10">
        <f t="shared" si="8"/>
        <v>14.425885665705733</v>
      </c>
      <c r="O94" s="10">
        <f t="shared" si="9"/>
        <v>4.4027046299999997</v>
      </c>
      <c r="P94" s="10">
        <f t="shared" si="10"/>
        <v>1.0958246466417731</v>
      </c>
      <c r="S94" s="10" t="s">
        <v>14810</v>
      </c>
      <c r="T94" s="20">
        <v>4.0059125255190766</v>
      </c>
      <c r="U94" s="39"/>
    </row>
    <row r="95" spans="1:21" x14ac:dyDescent="0.2">
      <c r="A95" s="10" t="str">
        <f>"nud-1"</f>
        <v>nud-1</v>
      </c>
      <c r="B95" s="10" t="s">
        <v>1584</v>
      </c>
      <c r="C95" s="10" t="s">
        <v>1586</v>
      </c>
      <c r="D95" s="10">
        <v>2.2666283368530999</v>
      </c>
      <c r="E95" s="10">
        <f t="shared" si="11"/>
        <v>4.8119722971771415</v>
      </c>
      <c r="F95" s="32">
        <v>3.7093527003766898E-5</v>
      </c>
      <c r="G95" s="10">
        <v>13.0852069342123</v>
      </c>
      <c r="H95" s="10">
        <v>13.2539630210937</v>
      </c>
      <c r="I95" s="10">
        <v>13.115148196417</v>
      </c>
      <c r="J95" s="10">
        <f t="shared" si="12"/>
        <v>13.151439383907666</v>
      </c>
      <c r="K95" s="10">
        <v>15.161014828472799</v>
      </c>
      <c r="L95" s="10">
        <v>15.467901845115501</v>
      </c>
      <c r="M95" s="10">
        <v>15.625286488694</v>
      </c>
      <c r="N95" s="10">
        <f t="shared" si="8"/>
        <v>15.418067720760767</v>
      </c>
      <c r="O95" s="10">
        <f t="shared" si="9"/>
        <v>3.6120241900000001</v>
      </c>
      <c r="P95" s="10">
        <f t="shared" si="10"/>
        <v>1.3322093219915954</v>
      </c>
      <c r="S95" s="11" t="s">
        <v>14088</v>
      </c>
      <c r="T95" s="20">
        <v>4.0005771499999998</v>
      </c>
      <c r="U95" s="39"/>
    </row>
    <row r="96" spans="1:21" x14ac:dyDescent="0.2">
      <c r="A96" s="10" t="str">
        <f>"snap-29"</f>
        <v>snap-29</v>
      </c>
      <c r="B96" s="10" t="s">
        <v>6018</v>
      </c>
      <c r="C96" s="10" t="s">
        <v>6020</v>
      </c>
      <c r="D96" s="10">
        <v>2.2643680214551898</v>
      </c>
      <c r="E96" s="10">
        <f t="shared" si="11"/>
        <v>4.8044391325910407</v>
      </c>
      <c r="F96" s="10">
        <v>2.2621335825823E-3</v>
      </c>
      <c r="G96" s="10" t="s">
        <v>14849</v>
      </c>
      <c r="H96" s="10" t="s">
        <v>14849</v>
      </c>
      <c r="I96" s="10">
        <v>11.6064249704422</v>
      </c>
      <c r="J96" s="10">
        <f t="shared" si="12"/>
        <v>11.6064249704422</v>
      </c>
      <c r="K96" s="10">
        <v>13.9092914914447</v>
      </c>
      <c r="L96" s="10">
        <v>13.8405999219158</v>
      </c>
      <c r="M96" s="10">
        <v>13.8624875623318</v>
      </c>
      <c r="N96" s="10">
        <f t="shared" si="8"/>
        <v>13.870792991897433</v>
      </c>
      <c r="O96" s="10">
        <f t="shared" si="9"/>
        <v>3.5951703799999999</v>
      </c>
      <c r="P96" s="10">
        <f t="shared" si="10"/>
        <v>1.3363592332976</v>
      </c>
      <c r="S96" s="11" t="s">
        <v>4061</v>
      </c>
      <c r="T96" s="20">
        <v>3.90200031</v>
      </c>
      <c r="U96" s="39"/>
    </row>
    <row r="97" spans="1:21" x14ac:dyDescent="0.2">
      <c r="A97" s="24" t="str">
        <f>"Y92H12BL.7"</f>
        <v>Y92H12BL.7</v>
      </c>
      <c r="B97" s="24" t="s">
        <v>365</v>
      </c>
      <c r="C97" s="24" t="s">
        <v>111</v>
      </c>
      <c r="D97" s="24">
        <v>2.22480963791608</v>
      </c>
      <c r="E97" s="24">
        <f t="shared" si="11"/>
        <v>4.6744921592568609</v>
      </c>
      <c r="F97" s="24">
        <v>7.1213124170199703E-4</v>
      </c>
      <c r="G97" s="24">
        <v>12.6321228576392</v>
      </c>
      <c r="H97" s="24">
        <v>11.6424485537731</v>
      </c>
      <c r="I97" s="24" t="s">
        <v>14849</v>
      </c>
      <c r="J97" s="24">
        <f t="shared" si="12"/>
        <v>12.13728570570615</v>
      </c>
      <c r="K97" s="24">
        <v>14.423235786004</v>
      </c>
      <c r="L97" s="24">
        <v>14.197602298905201</v>
      </c>
      <c r="M97" s="24">
        <v>14.4654479459576</v>
      </c>
      <c r="N97" s="24">
        <f t="shared" si="8"/>
        <v>14.362095343622267</v>
      </c>
      <c r="O97" s="24" t="str">
        <f t="shared" si="9"/>
        <v>ND</v>
      </c>
      <c r="P97" s="24" t="str">
        <f t="shared" si="10"/>
        <v>NA</v>
      </c>
      <c r="S97" s="10" t="s">
        <v>14166</v>
      </c>
      <c r="T97" s="21">
        <v>3.7979094356966026</v>
      </c>
      <c r="U97" s="40"/>
    </row>
    <row r="98" spans="1:21" x14ac:dyDescent="0.2">
      <c r="A98" s="14" t="str">
        <f>"lea-1"</f>
        <v>lea-1</v>
      </c>
      <c r="B98" s="14" t="s">
        <v>2195</v>
      </c>
      <c r="C98" s="14" t="s">
        <v>2197</v>
      </c>
      <c r="D98" s="14">
        <v>2.20164241067762</v>
      </c>
      <c r="E98" s="14">
        <f t="shared" si="11"/>
        <v>4.6000272599905561</v>
      </c>
      <c r="F98" s="14">
        <v>2.38114722644141E-3</v>
      </c>
      <c r="G98" s="14">
        <v>12.3888086287417</v>
      </c>
      <c r="H98" s="14">
        <v>12.778827821609999</v>
      </c>
      <c r="I98" s="14">
        <v>12.302385086334599</v>
      </c>
      <c r="J98" s="14">
        <f t="shared" si="12"/>
        <v>12.490007178895434</v>
      </c>
      <c r="K98" s="14">
        <v>14.7461497765304</v>
      </c>
      <c r="L98" s="14">
        <v>14.862031909896601</v>
      </c>
      <c r="M98" s="14">
        <v>14.466767082292201</v>
      </c>
      <c r="N98" s="14">
        <f t="shared" ref="N98:N129" si="13">(K98+L98+M98)/3</f>
        <v>14.691649589573068</v>
      </c>
      <c r="O98" s="14">
        <f t="shared" ref="O98:O129" si="14">IFERROR(INDEX(T:T, MATCH(A98, S:S, 0)), "ND")</f>
        <v>12.573299199999999</v>
      </c>
      <c r="P98" s="14">
        <f t="shared" ref="P98:P129" si="15">IFERROR(E98/O98, "NA")</f>
        <v>0.36585681982264101</v>
      </c>
      <c r="S98" s="11" t="s">
        <v>1213</v>
      </c>
      <c r="T98" s="20">
        <v>3.7943776300000001</v>
      </c>
      <c r="U98" s="39"/>
    </row>
    <row r="99" spans="1:21" x14ac:dyDescent="0.2">
      <c r="A99" s="10" t="str">
        <f>"fah-1"</f>
        <v>fah-1</v>
      </c>
      <c r="B99" s="10" t="s">
        <v>11370</v>
      </c>
      <c r="C99" s="10" t="s">
        <v>11372</v>
      </c>
      <c r="D99" s="10">
        <v>2.1957597843739101</v>
      </c>
      <c r="E99" s="10">
        <f t="shared" si="11"/>
        <v>4.5813087185913597</v>
      </c>
      <c r="F99" s="10">
        <v>2.68969302574374E-3</v>
      </c>
      <c r="G99" s="10" t="s">
        <v>14849</v>
      </c>
      <c r="H99" s="10">
        <v>10.947054000479399</v>
      </c>
      <c r="I99" s="10" t="s">
        <v>14849</v>
      </c>
      <c r="J99" s="10">
        <f t="shared" si="12"/>
        <v>10.947054000479399</v>
      </c>
      <c r="K99" s="10">
        <v>13.260451657049099</v>
      </c>
      <c r="L99" s="10">
        <v>12.9106729048376</v>
      </c>
      <c r="M99" s="10">
        <v>13.2573167926731</v>
      </c>
      <c r="N99" s="10">
        <f t="shared" si="13"/>
        <v>13.142813784853267</v>
      </c>
      <c r="O99" s="10">
        <f t="shared" si="14"/>
        <v>2.7911792396759152</v>
      </c>
      <c r="P99" s="10">
        <f t="shared" si="15"/>
        <v>1.6413523909425813</v>
      </c>
      <c r="S99" s="11" t="s">
        <v>2882</v>
      </c>
      <c r="T99" s="20">
        <v>3.7548965700000001</v>
      </c>
      <c r="U99" s="39"/>
    </row>
    <row r="100" spans="1:21" x14ac:dyDescent="0.2">
      <c r="A100" s="10" t="str">
        <f>"sna-2"</f>
        <v>sna-2</v>
      </c>
      <c r="B100" s="10" t="s">
        <v>11308</v>
      </c>
      <c r="C100" s="10" t="s">
        <v>11310</v>
      </c>
      <c r="D100" s="10">
        <v>2.1785186645580201</v>
      </c>
      <c r="E100" s="10">
        <f t="shared" si="11"/>
        <v>4.5268850232735645</v>
      </c>
      <c r="F100" s="10">
        <v>1.16750437516254E-2</v>
      </c>
      <c r="G100" s="10" t="s">
        <v>14849</v>
      </c>
      <c r="H100" s="10" t="s">
        <v>14849</v>
      </c>
      <c r="I100" s="10">
        <v>11.0566742016485</v>
      </c>
      <c r="J100" s="10">
        <f t="shared" si="12"/>
        <v>11.0566742016485</v>
      </c>
      <c r="K100" s="10">
        <v>13.192063689186501</v>
      </c>
      <c r="L100" s="10">
        <v>13.548036693835501</v>
      </c>
      <c r="M100" s="10">
        <v>12.9654782155975</v>
      </c>
      <c r="N100" s="10">
        <f t="shared" si="13"/>
        <v>13.235192866206502</v>
      </c>
      <c r="O100" s="10">
        <f t="shared" si="14"/>
        <v>2.8844428600000001</v>
      </c>
      <c r="P100" s="10">
        <f t="shared" si="15"/>
        <v>1.569414005751379</v>
      </c>
      <c r="S100" s="11" t="s">
        <v>12326</v>
      </c>
      <c r="T100" s="20">
        <v>3.7477500199999998</v>
      </c>
      <c r="U100" s="39"/>
    </row>
    <row r="101" spans="1:21" x14ac:dyDescent="0.2">
      <c r="A101" s="10" t="str">
        <f>"znf-622"</f>
        <v>znf-622</v>
      </c>
      <c r="B101" s="10" t="s">
        <v>7633</v>
      </c>
      <c r="C101" s="10" t="s">
        <v>130</v>
      </c>
      <c r="D101" s="10">
        <v>2.13469785255691</v>
      </c>
      <c r="E101" s="10">
        <f t="shared" si="11"/>
        <v>4.3914514455263998</v>
      </c>
      <c r="F101" s="10">
        <v>1.15039234619712E-2</v>
      </c>
      <c r="G101" s="10" t="s">
        <v>14849</v>
      </c>
      <c r="H101" s="10" t="s">
        <v>14849</v>
      </c>
      <c r="I101" s="10">
        <v>11.1773887485997</v>
      </c>
      <c r="J101" s="10">
        <f t="shared" si="12"/>
        <v>11.1773887485997</v>
      </c>
      <c r="K101" s="10">
        <v>13.928113621441801</v>
      </c>
      <c r="L101" s="10">
        <v>13.1970648294712</v>
      </c>
      <c r="M101" s="10">
        <v>12.811081352556799</v>
      </c>
      <c r="N101" s="10">
        <f t="shared" si="13"/>
        <v>13.312086601156601</v>
      </c>
      <c r="O101" s="10">
        <f t="shared" si="14"/>
        <v>2.2172895499999998</v>
      </c>
      <c r="P101" s="10">
        <f t="shared" si="15"/>
        <v>1.9805493808990351</v>
      </c>
      <c r="S101" s="11" t="s">
        <v>628</v>
      </c>
      <c r="T101" s="20">
        <v>3.7304220099999998</v>
      </c>
      <c r="U101" s="39"/>
    </row>
    <row r="102" spans="1:21" x14ac:dyDescent="0.2">
      <c r="A102" s="16" t="str">
        <f>"cash-1"</f>
        <v>cash-1</v>
      </c>
      <c r="B102" s="16" t="s">
        <v>314</v>
      </c>
      <c r="C102" s="16" t="s">
        <v>316</v>
      </c>
      <c r="D102" s="16">
        <v>2.1123153037664499</v>
      </c>
      <c r="E102" s="16">
        <f t="shared" si="11"/>
        <v>4.3238464898388145</v>
      </c>
      <c r="F102" s="16">
        <v>1.844501306385E-4</v>
      </c>
      <c r="G102" s="16">
        <v>12.816555692430599</v>
      </c>
      <c r="H102" s="16" t="s">
        <v>14849</v>
      </c>
      <c r="I102" s="16">
        <v>13.1805658848872</v>
      </c>
      <c r="J102" s="16">
        <f t="shared" si="12"/>
        <v>12.998560788658899</v>
      </c>
      <c r="K102" s="16">
        <v>15.2037908775215</v>
      </c>
      <c r="L102" s="16">
        <v>15.192938826760001</v>
      </c>
      <c r="M102" s="16">
        <v>14.9358985729945</v>
      </c>
      <c r="N102" s="16">
        <f t="shared" si="13"/>
        <v>15.110876092425334</v>
      </c>
      <c r="O102" s="16">
        <f t="shared" si="14"/>
        <v>5.0101333800000001</v>
      </c>
      <c r="P102" s="16">
        <f t="shared" si="15"/>
        <v>0.86302023556882124</v>
      </c>
      <c r="S102" s="11" t="s">
        <v>12486</v>
      </c>
      <c r="T102" s="20">
        <v>3.69990569</v>
      </c>
      <c r="U102" s="39"/>
    </row>
    <row r="103" spans="1:21" x14ac:dyDescent="0.2">
      <c r="A103" s="14" t="str">
        <f>"Y71F9AL.9"</f>
        <v>Y71F9AL.9</v>
      </c>
      <c r="B103" s="14" t="s">
        <v>12522</v>
      </c>
      <c r="C103" s="14" t="s">
        <v>12523</v>
      </c>
      <c r="D103" s="14">
        <v>2.0975650254825999</v>
      </c>
      <c r="E103" s="14">
        <f t="shared" si="11"/>
        <v>4.279864214277822</v>
      </c>
      <c r="F103" s="30">
        <v>9.1760044602044005E-6</v>
      </c>
      <c r="G103" s="14">
        <v>11.959196759862399</v>
      </c>
      <c r="H103" s="14">
        <v>11.9998554340238</v>
      </c>
      <c r="I103" s="14">
        <v>12.4098824652992</v>
      </c>
      <c r="J103" s="14">
        <f t="shared" si="12"/>
        <v>12.122978219728466</v>
      </c>
      <c r="K103" s="14">
        <v>14.2428382076397</v>
      </c>
      <c r="L103" s="14">
        <v>14.276408790730001</v>
      </c>
      <c r="M103" s="14">
        <v>14.1423827372635</v>
      </c>
      <c r="N103" s="14">
        <f t="shared" si="13"/>
        <v>14.220543245211067</v>
      </c>
      <c r="O103" s="14">
        <f t="shared" si="14"/>
        <v>11.1474306</v>
      </c>
      <c r="P103" s="14">
        <f t="shared" si="15"/>
        <v>0.38393279741771363</v>
      </c>
      <c r="S103" s="11" t="s">
        <v>624</v>
      </c>
      <c r="T103" s="20">
        <v>3.6879316499999999</v>
      </c>
      <c r="U103" s="39"/>
    </row>
    <row r="104" spans="1:21" x14ac:dyDescent="0.2">
      <c r="A104" s="10" t="str">
        <f>"exc-15"</f>
        <v>exc-15</v>
      </c>
      <c r="B104" s="10" t="s">
        <v>9758</v>
      </c>
      <c r="C104" s="10" t="s">
        <v>6170</v>
      </c>
      <c r="D104" s="10">
        <v>2.0963815829077701</v>
      </c>
      <c r="E104" s="10">
        <f t="shared" si="11"/>
        <v>4.2763548817082295</v>
      </c>
      <c r="F104" s="10">
        <v>1.12517201642417E-2</v>
      </c>
      <c r="G104" s="10">
        <v>10.441976319323301</v>
      </c>
      <c r="H104" s="10" t="s">
        <v>14849</v>
      </c>
      <c r="I104" s="10" t="s">
        <v>14849</v>
      </c>
      <c r="J104" s="10">
        <f t="shared" si="12"/>
        <v>10.441976319323301</v>
      </c>
      <c r="K104" s="10">
        <v>12.3351632074005</v>
      </c>
      <c r="L104" s="10">
        <v>12.6739439924505</v>
      </c>
      <c r="M104" s="10">
        <v>12.605966506842201</v>
      </c>
      <c r="N104" s="10">
        <f t="shared" si="13"/>
        <v>12.538357902231068</v>
      </c>
      <c r="O104" s="10">
        <f t="shared" si="14"/>
        <v>4.2269197700000003</v>
      </c>
      <c r="P104" s="10">
        <f t="shared" si="15"/>
        <v>1.0116953040034231</v>
      </c>
      <c r="S104" s="11" t="s">
        <v>348</v>
      </c>
      <c r="T104" s="20">
        <v>3.6495920599999998</v>
      </c>
      <c r="U104" s="39"/>
    </row>
    <row r="105" spans="1:21" x14ac:dyDescent="0.2">
      <c r="A105" s="24" t="str">
        <f>"spk-1"</f>
        <v>spk-1</v>
      </c>
      <c r="B105" s="24" t="s">
        <v>6504</v>
      </c>
      <c r="C105" s="24" t="s">
        <v>6506</v>
      </c>
      <c r="D105" s="24">
        <v>2.0734756111738202</v>
      </c>
      <c r="E105" s="24">
        <f t="shared" si="11"/>
        <v>4.2089944611974923</v>
      </c>
      <c r="F105" s="24">
        <v>8.5489235251782201E-4</v>
      </c>
      <c r="G105" s="24">
        <v>11.2608229600214</v>
      </c>
      <c r="H105" s="24" t="s">
        <v>14849</v>
      </c>
      <c r="I105" s="24">
        <v>11.387234452959699</v>
      </c>
      <c r="J105" s="24">
        <f t="shared" si="12"/>
        <v>11.32402870649055</v>
      </c>
      <c r="K105" s="24">
        <v>13.126840868837199</v>
      </c>
      <c r="L105" s="24">
        <v>13.6639396190109</v>
      </c>
      <c r="M105" s="24">
        <v>13.4017324651451</v>
      </c>
      <c r="N105" s="24">
        <f t="shared" si="13"/>
        <v>13.397504317664399</v>
      </c>
      <c r="O105" s="24" t="str">
        <f t="shared" si="14"/>
        <v>ND</v>
      </c>
      <c r="P105" s="24" t="str">
        <f t="shared" si="15"/>
        <v>NA</v>
      </c>
      <c r="S105" s="11" t="s">
        <v>14664</v>
      </c>
      <c r="T105" s="20">
        <v>3.6442160499999998</v>
      </c>
      <c r="U105" s="39"/>
    </row>
    <row r="106" spans="1:21" x14ac:dyDescent="0.2">
      <c r="A106" s="16" t="str">
        <f>"ivns-1"</f>
        <v>ivns-1</v>
      </c>
      <c r="B106" s="16" t="s">
        <v>9470</v>
      </c>
      <c r="C106" s="16" t="s">
        <v>2432</v>
      </c>
      <c r="D106" s="16">
        <v>2.0639076376611998</v>
      </c>
      <c r="E106" s="16">
        <f t="shared" si="11"/>
        <v>4.1811727106701762</v>
      </c>
      <c r="F106" s="16">
        <v>5.4400781495045998E-4</v>
      </c>
      <c r="G106" s="16">
        <v>12.767921153455299</v>
      </c>
      <c r="H106" s="16">
        <v>12.8428017920839</v>
      </c>
      <c r="I106" s="16">
        <v>13.0138894181816</v>
      </c>
      <c r="J106" s="16">
        <f t="shared" si="12"/>
        <v>12.874870787906934</v>
      </c>
      <c r="K106" s="16">
        <v>15.003670444121999</v>
      </c>
      <c r="L106" s="16">
        <v>15.2369467925098</v>
      </c>
      <c r="M106" s="16">
        <v>14.5757180400725</v>
      </c>
      <c r="N106" s="16">
        <f t="shared" si="13"/>
        <v>14.938778425568101</v>
      </c>
      <c r="O106" s="16">
        <f t="shared" si="14"/>
        <v>6.7355698300000002</v>
      </c>
      <c r="P106" s="16">
        <f t="shared" si="15"/>
        <v>0.62076005686220848</v>
      </c>
      <c r="S106" s="11" t="s">
        <v>1585</v>
      </c>
      <c r="T106" s="20">
        <v>3.6120241900000001</v>
      </c>
      <c r="U106" s="39"/>
    </row>
    <row r="107" spans="1:21" x14ac:dyDescent="0.2">
      <c r="A107" s="10" t="str">
        <f>"dnbp-1"</f>
        <v>dnbp-1</v>
      </c>
      <c r="B107" s="10" t="s">
        <v>1212</v>
      </c>
      <c r="C107" s="10" t="s">
        <v>1214</v>
      </c>
      <c r="D107" s="10">
        <v>2.02633215223638</v>
      </c>
      <c r="E107" s="10">
        <f t="shared" si="11"/>
        <v>4.0736785756935898</v>
      </c>
      <c r="F107" s="10">
        <v>3.2633809675896102E-3</v>
      </c>
      <c r="G107" s="10">
        <v>12.9426890590256</v>
      </c>
      <c r="H107" s="10">
        <v>12.5556007278111</v>
      </c>
      <c r="I107" s="10">
        <v>12.2689083270746</v>
      </c>
      <c r="J107" s="10">
        <f t="shared" si="12"/>
        <v>12.589066037970433</v>
      </c>
      <c r="K107" s="10">
        <v>14.759844782595099</v>
      </c>
      <c r="L107" s="10">
        <v>14.726015918587301</v>
      </c>
      <c r="M107" s="10">
        <v>14.3603338694382</v>
      </c>
      <c r="N107" s="10">
        <f t="shared" si="13"/>
        <v>14.615398190206866</v>
      </c>
      <c r="O107" s="10">
        <f t="shared" si="14"/>
        <v>3.7943776300000001</v>
      </c>
      <c r="P107" s="10">
        <f t="shared" si="15"/>
        <v>1.0736091588473733</v>
      </c>
      <c r="S107" s="11" t="s">
        <v>10263</v>
      </c>
      <c r="T107" s="20">
        <v>3.60346374</v>
      </c>
      <c r="U107" s="39"/>
    </row>
    <row r="108" spans="1:21" x14ac:dyDescent="0.2">
      <c r="A108" s="14" t="str">
        <f>"ZK1307.1"</f>
        <v>ZK1307.1</v>
      </c>
      <c r="B108" s="14" t="s">
        <v>6700</v>
      </c>
      <c r="C108" s="14" t="s">
        <v>6702</v>
      </c>
      <c r="D108" s="14">
        <v>1.9957276477567001</v>
      </c>
      <c r="E108" s="14">
        <f t="shared" si="11"/>
        <v>3.9881720464637089</v>
      </c>
      <c r="F108" s="14">
        <v>2.0476322339000701E-2</v>
      </c>
      <c r="G108" s="14">
        <v>12.5254271454058</v>
      </c>
      <c r="H108" s="14" t="s">
        <v>14849</v>
      </c>
      <c r="I108" s="14">
        <v>13.030604311559401</v>
      </c>
      <c r="J108" s="14">
        <f t="shared" si="12"/>
        <v>12.7780157284826</v>
      </c>
      <c r="K108" s="14">
        <v>14.802984349952601</v>
      </c>
      <c r="L108" s="14">
        <v>14.898023216535501</v>
      </c>
      <c r="M108" s="14">
        <v>14.6202225622299</v>
      </c>
      <c r="N108" s="14">
        <f t="shared" si="13"/>
        <v>14.773743376239333</v>
      </c>
      <c r="O108" s="14">
        <f t="shared" si="14"/>
        <v>11.410588000000001</v>
      </c>
      <c r="P108" s="14">
        <f t="shared" si="15"/>
        <v>0.34951503344645418</v>
      </c>
      <c r="S108" s="11" t="s">
        <v>6019</v>
      </c>
      <c r="T108" s="20">
        <v>3.5951703799999999</v>
      </c>
      <c r="U108" s="39"/>
    </row>
    <row r="109" spans="1:21" x14ac:dyDescent="0.2">
      <c r="A109" s="24" t="str">
        <f>"edc-4"</f>
        <v>edc-4</v>
      </c>
      <c r="B109" s="24" t="s">
        <v>431</v>
      </c>
      <c r="C109" s="24" t="s">
        <v>433</v>
      </c>
      <c r="D109" s="24">
        <v>1.91734710035115</v>
      </c>
      <c r="E109" s="24">
        <f t="shared" si="11"/>
        <v>3.7772783488411954</v>
      </c>
      <c r="F109" s="29">
        <v>2.4984878798754399E-5</v>
      </c>
      <c r="G109" s="24">
        <v>11.920371341518599</v>
      </c>
      <c r="H109" s="24">
        <v>11.454727761420401</v>
      </c>
      <c r="I109" s="24">
        <v>11.7757898023814</v>
      </c>
      <c r="J109" s="24">
        <f t="shared" si="12"/>
        <v>11.716962968440134</v>
      </c>
      <c r="K109" s="24">
        <v>13.584397128355199</v>
      </c>
      <c r="L109" s="24">
        <v>14.0337186808776</v>
      </c>
      <c r="M109" s="24">
        <v>13.284814397141</v>
      </c>
      <c r="N109" s="24">
        <f t="shared" si="13"/>
        <v>13.634310068791265</v>
      </c>
      <c r="O109" s="24" t="str">
        <f t="shared" si="14"/>
        <v>ND</v>
      </c>
      <c r="P109" s="24" t="str">
        <f t="shared" si="15"/>
        <v>NA</v>
      </c>
      <c r="S109" s="11" t="s">
        <v>14245</v>
      </c>
      <c r="T109" s="20">
        <v>3.5934479100000001</v>
      </c>
      <c r="U109" s="39"/>
    </row>
    <row r="110" spans="1:21" x14ac:dyDescent="0.2">
      <c r="A110" s="24" t="str">
        <f>"clp-7"</f>
        <v>clp-7</v>
      </c>
      <c r="B110" s="24" t="s">
        <v>12471</v>
      </c>
      <c r="C110" s="24" t="s">
        <v>12473</v>
      </c>
      <c r="D110" s="24">
        <v>1.9073830463321599</v>
      </c>
      <c r="E110" s="24">
        <f t="shared" si="11"/>
        <v>3.7512802466027519</v>
      </c>
      <c r="F110" s="24">
        <v>6.8724340482368296E-3</v>
      </c>
      <c r="G110" s="24">
        <v>11.961174344982</v>
      </c>
      <c r="H110" s="24" t="s">
        <v>14849</v>
      </c>
      <c r="I110" s="24" t="s">
        <v>14849</v>
      </c>
      <c r="J110" s="24">
        <f t="shared" si="12"/>
        <v>11.961174344982</v>
      </c>
      <c r="K110" s="24">
        <v>13.9959865945044</v>
      </c>
      <c r="L110" s="24">
        <v>13.879361931013801</v>
      </c>
      <c r="M110" s="24">
        <v>13.730323648424401</v>
      </c>
      <c r="N110" s="24">
        <f t="shared" si="13"/>
        <v>13.8685573913142</v>
      </c>
      <c r="O110" s="24" t="str">
        <f t="shared" si="14"/>
        <v>ND</v>
      </c>
      <c r="P110" s="24" t="str">
        <f t="shared" si="15"/>
        <v>NA</v>
      </c>
      <c r="S110" s="11" t="s">
        <v>6023</v>
      </c>
      <c r="T110" s="20">
        <v>3.5795412899999999</v>
      </c>
      <c r="U110" s="39"/>
    </row>
    <row r="111" spans="1:21" x14ac:dyDescent="0.2">
      <c r="A111" s="24" t="str">
        <f>"frm-5.1"</f>
        <v>frm-5.1</v>
      </c>
      <c r="B111" s="24" t="s">
        <v>448</v>
      </c>
      <c r="C111" s="24" t="s">
        <v>450</v>
      </c>
      <c r="D111" s="24">
        <v>1.8660632094215801</v>
      </c>
      <c r="E111" s="24">
        <f t="shared" si="11"/>
        <v>3.6453648349953656</v>
      </c>
      <c r="F111" s="29">
        <v>9.6211522870511402E-6</v>
      </c>
      <c r="G111" s="24">
        <v>10.9647975226712</v>
      </c>
      <c r="H111" s="24">
        <v>11.1260795649222</v>
      </c>
      <c r="I111" s="24">
        <v>10.9534852560286</v>
      </c>
      <c r="J111" s="24">
        <f t="shared" si="12"/>
        <v>11.014787447873999</v>
      </c>
      <c r="K111" s="24">
        <v>13.009372664772201</v>
      </c>
      <c r="L111" s="24">
        <v>13.007576495861199</v>
      </c>
      <c r="M111" s="24">
        <v>12.6256028112533</v>
      </c>
      <c r="N111" s="24">
        <f t="shared" si="13"/>
        <v>12.880850657295568</v>
      </c>
      <c r="O111" s="24" t="str">
        <f t="shared" si="14"/>
        <v>ND</v>
      </c>
      <c r="P111" s="24" t="str">
        <f t="shared" si="15"/>
        <v>NA</v>
      </c>
      <c r="S111" s="11" t="s">
        <v>3739</v>
      </c>
      <c r="T111" s="20">
        <v>3.5748882000000002</v>
      </c>
      <c r="U111" s="39"/>
    </row>
    <row r="112" spans="1:21" x14ac:dyDescent="0.2">
      <c r="A112" s="10" t="str">
        <f>"K07E3.4"</f>
        <v>K07E3.4</v>
      </c>
      <c r="B112" s="10" t="s">
        <v>9212</v>
      </c>
      <c r="C112" s="10" t="s">
        <v>9213</v>
      </c>
      <c r="D112" s="10">
        <v>1.8585631034832599</v>
      </c>
      <c r="E112" s="10">
        <f t="shared" si="11"/>
        <v>3.6264629346425661</v>
      </c>
      <c r="F112" s="32">
        <v>7.6152499733459894E-5</v>
      </c>
      <c r="G112" s="10">
        <v>11.489625096168201</v>
      </c>
      <c r="H112" s="10">
        <v>11.257303900766599</v>
      </c>
      <c r="I112" s="10">
        <v>11.596108234036</v>
      </c>
      <c r="J112" s="10">
        <f t="shared" si="12"/>
        <v>11.447679076990267</v>
      </c>
      <c r="K112" s="10">
        <v>13.1898009268051</v>
      </c>
      <c r="L112" s="10">
        <v>13.3455117696498</v>
      </c>
      <c r="M112" s="10">
        <v>13.3834138449657</v>
      </c>
      <c r="N112" s="10">
        <f t="shared" si="13"/>
        <v>13.306242180473534</v>
      </c>
      <c r="O112" s="10">
        <f t="shared" si="14"/>
        <v>2.7277159700000002</v>
      </c>
      <c r="P112" s="10">
        <f t="shared" si="15"/>
        <v>1.3294870047054663</v>
      </c>
      <c r="S112" s="10" t="s">
        <v>14811</v>
      </c>
      <c r="T112" s="20">
        <v>3.5724707499043444</v>
      </c>
      <c r="U112" s="39"/>
    </row>
    <row r="113" spans="1:21" x14ac:dyDescent="0.2">
      <c r="A113" s="16" t="str">
        <f>"hpd-1"</f>
        <v>hpd-1</v>
      </c>
      <c r="B113" s="16" t="s">
        <v>9883</v>
      </c>
      <c r="C113" s="16" t="s">
        <v>9885</v>
      </c>
      <c r="D113" s="16">
        <v>1.8529476403995699</v>
      </c>
      <c r="E113" s="16">
        <f t="shared" si="11"/>
        <v>3.6123749346319256</v>
      </c>
      <c r="F113" s="31">
        <v>9.8170117430260506E-5</v>
      </c>
      <c r="G113" s="16">
        <v>12.0996727023833</v>
      </c>
      <c r="H113" s="16">
        <v>12.4119483496578</v>
      </c>
      <c r="I113" s="16">
        <v>11.8867566762215</v>
      </c>
      <c r="J113" s="16">
        <f t="shared" si="12"/>
        <v>12.132792576087533</v>
      </c>
      <c r="K113" s="16">
        <v>13.886977311853601</v>
      </c>
      <c r="L113" s="16">
        <v>14.107286289677999</v>
      </c>
      <c r="M113" s="16">
        <v>13.9629570479297</v>
      </c>
      <c r="N113" s="16">
        <f t="shared" si="13"/>
        <v>13.9857402164871</v>
      </c>
      <c r="O113" s="16">
        <f t="shared" si="14"/>
        <v>5.3329647099999997</v>
      </c>
      <c r="P113" s="16">
        <f t="shared" si="15"/>
        <v>0.67736711774189218</v>
      </c>
      <c r="S113" s="10" t="s">
        <v>10680</v>
      </c>
      <c r="T113" s="20">
        <v>3.5699404279015292</v>
      </c>
      <c r="U113" s="39"/>
    </row>
    <row r="114" spans="1:21" x14ac:dyDescent="0.2">
      <c r="A114" s="10" t="str">
        <f>"icd-1"</f>
        <v>icd-1</v>
      </c>
      <c r="B114" s="10" t="s">
        <v>7986</v>
      </c>
      <c r="C114" s="10" t="s">
        <v>7988</v>
      </c>
      <c r="D114" s="10">
        <v>1.8291126701913101</v>
      </c>
      <c r="E114" s="10">
        <f t="shared" si="11"/>
        <v>3.5531846656874349</v>
      </c>
      <c r="F114" s="10">
        <v>4.2240904739496002E-2</v>
      </c>
      <c r="G114" s="10">
        <v>10.971345158400601</v>
      </c>
      <c r="H114" s="10">
        <v>12.3330689177018</v>
      </c>
      <c r="I114" s="10">
        <v>12.990161993270601</v>
      </c>
      <c r="J114" s="10">
        <f t="shared" si="12"/>
        <v>12.098192023124334</v>
      </c>
      <c r="K114" s="10">
        <v>14.3998040088689</v>
      </c>
      <c r="L114" s="10">
        <v>13.651724034213</v>
      </c>
      <c r="M114" s="10">
        <v>13.730386036865101</v>
      </c>
      <c r="N114" s="10">
        <f t="shared" si="13"/>
        <v>13.927304693315667</v>
      </c>
      <c r="O114" s="10">
        <f t="shared" si="14"/>
        <v>4.1515668901613356</v>
      </c>
      <c r="P114" s="10">
        <f t="shared" si="15"/>
        <v>0.85586593199498062</v>
      </c>
      <c r="S114" s="10" t="s">
        <v>7340</v>
      </c>
      <c r="T114" s="20">
        <v>3.5329462735661892</v>
      </c>
      <c r="U114" s="39"/>
    </row>
    <row r="115" spans="1:21" x14ac:dyDescent="0.2">
      <c r="A115" s="10" t="str">
        <f>"T04F3.1"</f>
        <v>T04F3.1</v>
      </c>
      <c r="B115" s="10" t="s">
        <v>1555</v>
      </c>
      <c r="C115" s="10" t="s">
        <v>1556</v>
      </c>
      <c r="D115" s="10">
        <v>1.7962291942569699</v>
      </c>
      <c r="E115" s="10">
        <f t="shared" si="11"/>
        <v>3.473112623841998</v>
      </c>
      <c r="F115" s="10">
        <v>2.5272166164675E-4</v>
      </c>
      <c r="G115" s="10">
        <v>13.0608550297052</v>
      </c>
      <c r="H115" s="10">
        <v>12.9476766261173</v>
      </c>
      <c r="I115" s="10">
        <v>13.1129313821629</v>
      </c>
      <c r="J115" s="10">
        <f t="shared" si="12"/>
        <v>13.040487679328466</v>
      </c>
      <c r="K115" s="10">
        <v>14.827210294448401</v>
      </c>
      <c r="L115" s="10">
        <v>14.893543565935</v>
      </c>
      <c r="M115" s="10">
        <v>14.789396760372901</v>
      </c>
      <c r="N115" s="10">
        <f t="shared" si="13"/>
        <v>14.836716873585432</v>
      </c>
      <c r="O115" s="10">
        <f t="shared" si="14"/>
        <v>2.2527639000000002</v>
      </c>
      <c r="P115" s="10">
        <f t="shared" si="15"/>
        <v>1.5417117718558957</v>
      </c>
      <c r="S115" s="11" t="s">
        <v>14697</v>
      </c>
      <c r="T115" s="20">
        <v>3.5275356200000001</v>
      </c>
      <c r="U115" s="39"/>
    </row>
    <row r="116" spans="1:21" x14ac:dyDescent="0.2">
      <c r="A116" s="24" t="str">
        <f>"col-160"</f>
        <v>col-160</v>
      </c>
      <c r="B116" s="24" t="s">
        <v>9014</v>
      </c>
      <c r="C116" s="24" t="s">
        <v>3312</v>
      </c>
      <c r="D116" s="24">
        <v>1.7849366639781601</v>
      </c>
      <c r="E116" s="24">
        <f t="shared" si="11"/>
        <v>3.4460333505797021</v>
      </c>
      <c r="F116" s="24">
        <v>2.9379688679198102E-2</v>
      </c>
      <c r="G116" s="24">
        <v>13.133227139610501</v>
      </c>
      <c r="H116" s="24">
        <v>12.2605482395754</v>
      </c>
      <c r="I116" s="24">
        <v>14.282662845990099</v>
      </c>
      <c r="J116" s="24">
        <f t="shared" si="12"/>
        <v>13.225479408391999</v>
      </c>
      <c r="K116" s="24">
        <v>14.662920427627601</v>
      </c>
      <c r="L116" s="24">
        <v>15.436851149456199</v>
      </c>
      <c r="M116" s="24">
        <v>14.9314766400267</v>
      </c>
      <c r="N116" s="24">
        <f t="shared" si="13"/>
        <v>15.010416072370168</v>
      </c>
      <c r="O116" s="24" t="str">
        <f t="shared" si="14"/>
        <v>ND</v>
      </c>
      <c r="P116" s="24" t="str">
        <f t="shared" si="15"/>
        <v>NA</v>
      </c>
      <c r="S116" s="10" t="s">
        <v>14485</v>
      </c>
      <c r="T116" s="20">
        <v>3.5094892716802968</v>
      </c>
      <c r="U116" s="39"/>
    </row>
    <row r="117" spans="1:21" x14ac:dyDescent="0.2">
      <c r="A117" s="16" t="str">
        <f>"T20B12.7"</f>
        <v>T20B12.7</v>
      </c>
      <c r="B117" s="16" t="s">
        <v>5489</v>
      </c>
      <c r="C117" s="16" t="s">
        <v>5491</v>
      </c>
      <c r="D117" s="16">
        <v>1.7619486596390901</v>
      </c>
      <c r="E117" s="16">
        <f t="shared" si="11"/>
        <v>3.3915591629144624</v>
      </c>
      <c r="F117" s="16">
        <v>1.4059892974210099E-4</v>
      </c>
      <c r="G117" s="16">
        <v>12.7392208838763</v>
      </c>
      <c r="H117" s="16">
        <v>12.3115623343392</v>
      </c>
      <c r="I117" s="16">
        <v>12.281807489023</v>
      </c>
      <c r="J117" s="16">
        <f t="shared" si="12"/>
        <v>12.444196902412834</v>
      </c>
      <c r="K117" s="16">
        <v>14.150530539856099</v>
      </c>
      <c r="L117" s="16">
        <v>14.3461410691816</v>
      </c>
      <c r="M117" s="16">
        <v>14.121765077118001</v>
      </c>
      <c r="N117" s="16">
        <f t="shared" si="13"/>
        <v>14.206145562051899</v>
      </c>
      <c r="O117" s="16">
        <f t="shared" si="14"/>
        <v>8.9708627199999995</v>
      </c>
      <c r="P117" s="16">
        <f t="shared" si="15"/>
        <v>0.37806387955900661</v>
      </c>
      <c r="S117" s="11" t="s">
        <v>1709</v>
      </c>
      <c r="T117" s="20">
        <v>3.4727308099999998</v>
      </c>
      <c r="U117" s="39"/>
    </row>
    <row r="118" spans="1:21" x14ac:dyDescent="0.2">
      <c r="A118" s="14" t="str">
        <f>"itsn-1"</f>
        <v>itsn-1</v>
      </c>
      <c r="B118" s="14" t="s">
        <v>75</v>
      </c>
      <c r="C118" s="14" t="s">
        <v>77</v>
      </c>
      <c r="D118" s="14">
        <v>1.7609794182356799</v>
      </c>
      <c r="E118" s="14">
        <f t="shared" si="11"/>
        <v>3.3892813873008643</v>
      </c>
      <c r="F118" s="14">
        <v>2.3417920409210102E-2</v>
      </c>
      <c r="G118" s="14">
        <v>10.436166300737099</v>
      </c>
      <c r="H118" s="14">
        <v>12.007443924763299</v>
      </c>
      <c r="I118" s="14">
        <v>10.395857267852501</v>
      </c>
      <c r="J118" s="14">
        <f t="shared" si="12"/>
        <v>10.946489164450966</v>
      </c>
      <c r="K118" s="14">
        <v>12.6747674609162</v>
      </c>
      <c r="L118" s="14">
        <v>12.9758434706985</v>
      </c>
      <c r="M118" s="14">
        <v>12.4717948164452</v>
      </c>
      <c r="N118" s="14">
        <f t="shared" si="13"/>
        <v>12.707468582686635</v>
      </c>
      <c r="O118" s="14">
        <f t="shared" si="14"/>
        <v>13.279445000000001</v>
      </c>
      <c r="P118" s="14">
        <f t="shared" si="15"/>
        <v>0.25522763845182267</v>
      </c>
      <c r="S118" s="10" t="s">
        <v>5147</v>
      </c>
      <c r="T118" s="20">
        <v>3.4624468677270763</v>
      </c>
      <c r="U118" s="39"/>
    </row>
    <row r="119" spans="1:21" x14ac:dyDescent="0.2">
      <c r="A119" s="24" t="str">
        <f>"phdh-1"</f>
        <v>phdh-1</v>
      </c>
      <c r="B119" s="24" t="s">
        <v>3461</v>
      </c>
      <c r="C119" s="24" t="s">
        <v>3463</v>
      </c>
      <c r="D119" s="24">
        <v>1.7490946093072299</v>
      </c>
      <c r="E119" s="24">
        <f t="shared" si="11"/>
        <v>3.3614754411285395</v>
      </c>
      <c r="F119" s="24">
        <v>1.0561790487494701E-2</v>
      </c>
      <c r="G119" s="24" t="s">
        <v>14849</v>
      </c>
      <c r="H119" s="24">
        <v>10.4433294662648</v>
      </c>
      <c r="I119" s="24">
        <v>10.9825491723435</v>
      </c>
      <c r="J119" s="24">
        <f t="shared" si="12"/>
        <v>10.71293931930415</v>
      </c>
      <c r="K119" s="24">
        <v>12.612112596532199</v>
      </c>
      <c r="L119" s="24">
        <v>12.171554345566999</v>
      </c>
      <c r="M119" s="24">
        <v>12.602434843734899</v>
      </c>
      <c r="N119" s="24">
        <f t="shared" si="13"/>
        <v>12.462033928611367</v>
      </c>
      <c r="O119" s="24" t="str">
        <f t="shared" si="14"/>
        <v>ND</v>
      </c>
      <c r="P119" s="24" t="str">
        <f t="shared" si="15"/>
        <v>NA</v>
      </c>
      <c r="S119" s="11" t="s">
        <v>14812</v>
      </c>
      <c r="T119" s="20">
        <v>3.4324472699999999</v>
      </c>
      <c r="U119" s="39"/>
    </row>
    <row r="120" spans="1:21" x14ac:dyDescent="0.2">
      <c r="A120" s="14" t="str">
        <f>"tdo-2"</f>
        <v>tdo-2</v>
      </c>
      <c r="B120" s="14" t="s">
        <v>6783</v>
      </c>
      <c r="C120" s="14" t="s">
        <v>6785</v>
      </c>
      <c r="D120" s="14">
        <v>1.7457211923604401</v>
      </c>
      <c r="E120" s="14">
        <f t="shared" si="11"/>
        <v>3.3536245713264909</v>
      </c>
      <c r="F120" s="14">
        <v>2.4421702872711198E-2</v>
      </c>
      <c r="G120" s="14">
        <v>12.4614333638552</v>
      </c>
      <c r="H120" s="14">
        <v>12.601271399343601</v>
      </c>
      <c r="I120" s="14">
        <v>13.832710655138801</v>
      </c>
      <c r="J120" s="14">
        <f t="shared" si="12"/>
        <v>12.965138472779202</v>
      </c>
      <c r="K120" s="14">
        <v>14.9544117457979</v>
      </c>
      <c r="L120" s="14">
        <v>14.7536221579354</v>
      </c>
      <c r="M120" s="14">
        <v>14.4245450916856</v>
      </c>
      <c r="N120" s="14">
        <f t="shared" si="13"/>
        <v>14.710859665139635</v>
      </c>
      <c r="O120" s="14">
        <f t="shared" si="14"/>
        <v>10.478298199999999</v>
      </c>
      <c r="P120" s="14">
        <f t="shared" si="15"/>
        <v>0.3200543167712569</v>
      </c>
      <c r="S120" s="10" t="s">
        <v>14813</v>
      </c>
      <c r="T120" s="20">
        <v>3.4226173322639637</v>
      </c>
      <c r="U120" s="39"/>
    </row>
    <row r="121" spans="1:21" x14ac:dyDescent="0.2">
      <c r="A121" s="16" t="str">
        <f>"pmt-2"</f>
        <v>pmt-2</v>
      </c>
      <c r="B121" s="16" t="s">
        <v>10022</v>
      </c>
      <c r="C121" s="16" t="s">
        <v>10024</v>
      </c>
      <c r="D121" s="16">
        <v>1.70285244457967</v>
      </c>
      <c r="E121" s="16">
        <f t="shared" si="11"/>
        <v>3.2554397646112228</v>
      </c>
      <c r="F121" s="16">
        <v>5.3062969156488003E-4</v>
      </c>
      <c r="G121" s="16">
        <v>11.9114440255166</v>
      </c>
      <c r="H121" s="16">
        <v>12.139434846171101</v>
      </c>
      <c r="I121" s="16">
        <v>12.773812559739</v>
      </c>
      <c r="J121" s="16">
        <f t="shared" si="12"/>
        <v>12.2748971438089</v>
      </c>
      <c r="K121" s="16">
        <v>14.1978562671124</v>
      </c>
      <c r="L121" s="16">
        <v>13.9757322457189</v>
      </c>
      <c r="M121" s="16">
        <v>13.759660252334401</v>
      </c>
      <c r="N121" s="16">
        <f t="shared" si="13"/>
        <v>13.977749588388567</v>
      </c>
      <c r="O121" s="16">
        <f t="shared" si="14"/>
        <v>6.1614871899999999</v>
      </c>
      <c r="P121" s="16">
        <f t="shared" si="15"/>
        <v>0.52835292263444966</v>
      </c>
      <c r="S121" s="11" t="s">
        <v>1705</v>
      </c>
      <c r="T121" s="20">
        <v>3.4104602499999999</v>
      </c>
      <c r="U121" s="39"/>
    </row>
    <row r="122" spans="1:21" x14ac:dyDescent="0.2">
      <c r="A122" s="14" t="str">
        <f>"inx-12"</f>
        <v>inx-12</v>
      </c>
      <c r="B122" s="14" t="s">
        <v>2801</v>
      </c>
      <c r="C122" s="14" t="s">
        <v>2803</v>
      </c>
      <c r="D122" s="14">
        <v>1.6971690783575899</v>
      </c>
      <c r="E122" s="14">
        <f t="shared" si="11"/>
        <v>3.2426404823732424</v>
      </c>
      <c r="F122" s="14">
        <v>1.8482926868194801E-3</v>
      </c>
      <c r="G122" s="14">
        <v>12.963163882755699</v>
      </c>
      <c r="H122" s="14">
        <v>12.538082881378701</v>
      </c>
      <c r="I122" s="14">
        <v>12.879152531426501</v>
      </c>
      <c r="J122" s="14">
        <f t="shared" si="12"/>
        <v>12.793466431853632</v>
      </c>
      <c r="K122" s="14">
        <v>14.7649842026016</v>
      </c>
      <c r="L122" s="14">
        <v>14.288309296187199</v>
      </c>
      <c r="M122" s="14">
        <v>14.418613031844901</v>
      </c>
      <c r="N122" s="14">
        <f t="shared" si="13"/>
        <v>14.490635510211233</v>
      </c>
      <c r="O122" s="14">
        <f t="shared" si="14"/>
        <v>15.4569776</v>
      </c>
      <c r="P122" s="14">
        <f t="shared" si="15"/>
        <v>0.20978489885197493</v>
      </c>
      <c r="S122" s="10" t="s">
        <v>14814</v>
      </c>
      <c r="T122" s="20">
        <v>3.3905045955362612</v>
      </c>
      <c r="U122" s="39"/>
    </row>
    <row r="123" spans="1:21" x14ac:dyDescent="0.2">
      <c r="A123" s="24" t="str">
        <f>"pptr-2"</f>
        <v>pptr-2</v>
      </c>
      <c r="B123" s="24" t="s">
        <v>589</v>
      </c>
      <c r="C123" s="24" t="s">
        <v>591</v>
      </c>
      <c r="D123" s="24">
        <v>1.64768585828255</v>
      </c>
      <c r="E123" s="24">
        <f t="shared" ref="E123:E151" si="16">2^D123</f>
        <v>3.1333064071778383</v>
      </c>
      <c r="F123" s="24">
        <v>2.4219407977970901E-2</v>
      </c>
      <c r="G123" s="24" t="s">
        <v>14849</v>
      </c>
      <c r="H123" s="24" t="s">
        <v>14849</v>
      </c>
      <c r="I123" s="24">
        <v>11.1247155659065</v>
      </c>
      <c r="J123" s="24">
        <f t="shared" ref="J123:J151" si="17">AVERAGEIF(G123:I123, "&gt;0")</f>
        <v>11.1247155659065</v>
      </c>
      <c r="K123" s="24">
        <v>12.615452592558899</v>
      </c>
      <c r="L123" s="24">
        <v>12.6446517000401</v>
      </c>
      <c r="M123" s="24">
        <v>13.0570999799681</v>
      </c>
      <c r="N123" s="24">
        <f t="shared" si="13"/>
        <v>12.772401424189033</v>
      </c>
      <c r="O123" s="24" t="str">
        <f t="shared" si="14"/>
        <v>ND</v>
      </c>
      <c r="P123" s="24" t="str">
        <f t="shared" si="15"/>
        <v>NA</v>
      </c>
      <c r="S123" s="11" t="s">
        <v>14171</v>
      </c>
      <c r="T123" s="20">
        <v>3.3613502799999999</v>
      </c>
      <c r="U123" s="39"/>
    </row>
    <row r="124" spans="1:21" x14ac:dyDescent="0.2">
      <c r="A124" s="10" t="str">
        <f>"dcap-1"</f>
        <v>dcap-1</v>
      </c>
      <c r="B124" s="10" t="s">
        <v>12325</v>
      </c>
      <c r="C124" s="10" t="s">
        <v>12327</v>
      </c>
      <c r="D124" s="10">
        <v>1.63448469973275</v>
      </c>
      <c r="E124" s="10">
        <f t="shared" si="16"/>
        <v>3.1047663448196934</v>
      </c>
      <c r="F124" s="10">
        <v>1.66111927343939E-2</v>
      </c>
      <c r="G124" s="10">
        <v>13.5933391512183</v>
      </c>
      <c r="H124" s="10">
        <v>13.831502248622099</v>
      </c>
      <c r="I124" s="10">
        <v>13.6590754445411</v>
      </c>
      <c r="J124" s="10">
        <f t="shared" si="17"/>
        <v>13.694638948127166</v>
      </c>
      <c r="K124" s="10">
        <v>15.2862756911224</v>
      </c>
      <c r="L124" s="10">
        <v>15.4849427425165</v>
      </c>
      <c r="M124" s="10">
        <v>15.2161525099407</v>
      </c>
      <c r="N124" s="10">
        <f t="shared" si="13"/>
        <v>15.329123647859866</v>
      </c>
      <c r="O124" s="10">
        <f t="shared" si="14"/>
        <v>3.7477500199999998</v>
      </c>
      <c r="P124" s="10">
        <f t="shared" si="15"/>
        <v>0.8284347483826292</v>
      </c>
      <c r="S124" s="11" t="s">
        <v>5322</v>
      </c>
      <c r="T124" s="20">
        <v>3.3128137099999999</v>
      </c>
      <c r="U124" s="39"/>
    </row>
    <row r="125" spans="1:21" x14ac:dyDescent="0.2">
      <c r="A125" s="14" t="str">
        <f>"mua-6"</f>
        <v>mua-6</v>
      </c>
      <c r="B125" s="14" t="s">
        <v>3108</v>
      </c>
      <c r="C125" s="14" t="s">
        <v>3110</v>
      </c>
      <c r="D125" s="14">
        <v>1.6204769885871999</v>
      </c>
      <c r="E125" s="14">
        <f t="shared" si="16"/>
        <v>3.0747667840640434</v>
      </c>
      <c r="F125" s="14">
        <v>6.14127828235265E-4</v>
      </c>
      <c r="G125" s="14">
        <v>11.471459656273099</v>
      </c>
      <c r="H125" s="14">
        <v>12.201083918468999</v>
      </c>
      <c r="I125" s="14">
        <v>11.753658568921299</v>
      </c>
      <c r="J125" s="14">
        <f t="shared" si="17"/>
        <v>11.808734047887802</v>
      </c>
      <c r="K125" s="14">
        <v>13.3368676535045</v>
      </c>
      <c r="L125" s="14">
        <v>13.484524785505799</v>
      </c>
      <c r="M125" s="14">
        <v>13.466240670414599</v>
      </c>
      <c r="N125" s="14">
        <f t="shared" si="13"/>
        <v>13.429211036474967</v>
      </c>
      <c r="O125" s="14">
        <f t="shared" si="14"/>
        <v>28.1004726</v>
      </c>
      <c r="P125" s="14">
        <f t="shared" si="15"/>
        <v>0.1094204651940282</v>
      </c>
      <c r="S125" s="11" t="s">
        <v>14815</v>
      </c>
      <c r="T125" s="20">
        <v>3.2988511900000002</v>
      </c>
      <c r="U125" s="39"/>
    </row>
    <row r="126" spans="1:21" x14ac:dyDescent="0.2">
      <c r="A126" s="24" t="str">
        <f>"deb-1"</f>
        <v>deb-1</v>
      </c>
      <c r="B126" s="24" t="s">
        <v>4794</v>
      </c>
      <c r="C126" s="24" t="s">
        <v>4796</v>
      </c>
      <c r="D126" s="24">
        <v>1.6018257045306199</v>
      </c>
      <c r="E126" s="24">
        <f t="shared" si="16"/>
        <v>3.0352717852872964</v>
      </c>
      <c r="F126" s="24">
        <v>5.6004232081454503E-4</v>
      </c>
      <c r="G126" s="24">
        <v>11.2059148503439</v>
      </c>
      <c r="H126" s="24">
        <v>11.9431731353147</v>
      </c>
      <c r="I126" s="24">
        <v>11.845601764268601</v>
      </c>
      <c r="J126" s="24">
        <f t="shared" si="17"/>
        <v>11.664896583309067</v>
      </c>
      <c r="K126" s="24">
        <v>13.1054711117169</v>
      </c>
      <c r="L126" s="24">
        <v>13.246219609320301</v>
      </c>
      <c r="M126" s="24">
        <v>13.448476142481899</v>
      </c>
      <c r="N126" s="24">
        <f t="shared" si="13"/>
        <v>13.2667222878397</v>
      </c>
      <c r="O126" s="24" t="str">
        <f t="shared" si="14"/>
        <v>ND</v>
      </c>
      <c r="P126" s="24" t="str">
        <f t="shared" si="15"/>
        <v>NA</v>
      </c>
      <c r="S126" s="11" t="s">
        <v>14816</v>
      </c>
      <c r="T126" s="20">
        <v>3.26683769</v>
      </c>
      <c r="U126" s="39"/>
    </row>
    <row r="127" spans="1:21" x14ac:dyDescent="0.2">
      <c r="A127" s="10" t="str">
        <f>"teg-4"</f>
        <v>teg-4</v>
      </c>
      <c r="B127" s="10" t="s">
        <v>3929</v>
      </c>
      <c r="C127" s="10" t="s">
        <v>3931</v>
      </c>
      <c r="D127" s="10">
        <v>1.5922293342642999</v>
      </c>
      <c r="E127" s="10">
        <f t="shared" si="16"/>
        <v>3.0151490763534441</v>
      </c>
      <c r="F127" s="10">
        <v>6.9101764747123498E-4</v>
      </c>
      <c r="G127" s="10">
        <v>12.262026411874301</v>
      </c>
      <c r="H127" s="10">
        <v>12.6534248439328</v>
      </c>
      <c r="I127" s="10">
        <v>11.566603277590501</v>
      </c>
      <c r="J127" s="10">
        <f t="shared" si="17"/>
        <v>12.160684844465868</v>
      </c>
      <c r="K127" s="10">
        <v>13.8471529365153</v>
      </c>
      <c r="L127" s="10">
        <v>13.866470358430099</v>
      </c>
      <c r="M127" s="10">
        <v>13.545119241244899</v>
      </c>
      <c r="N127" s="10">
        <f t="shared" si="13"/>
        <v>13.7529141787301</v>
      </c>
      <c r="O127" s="10">
        <f t="shared" si="14"/>
        <v>4.51665078</v>
      </c>
      <c r="P127" s="10">
        <f t="shared" si="15"/>
        <v>0.66756302915972709</v>
      </c>
      <c r="S127" s="11" t="s">
        <v>4256</v>
      </c>
      <c r="T127" s="20">
        <v>3.2404884100000002</v>
      </c>
      <c r="U127" s="39"/>
    </row>
    <row r="128" spans="1:21" x14ac:dyDescent="0.2">
      <c r="A128" s="10" t="str">
        <f>"txl-1"</f>
        <v>txl-1</v>
      </c>
      <c r="B128" s="10" t="s">
        <v>1708</v>
      </c>
      <c r="C128" s="10" t="s">
        <v>1710</v>
      </c>
      <c r="D128" s="10">
        <v>1.53440473184616</v>
      </c>
      <c r="E128" s="10">
        <f t="shared" si="16"/>
        <v>2.8966888642206845</v>
      </c>
      <c r="F128" s="10">
        <v>8.2349237824489892E-3</v>
      </c>
      <c r="G128" s="10">
        <v>12.018839695545299</v>
      </c>
      <c r="H128" s="10">
        <v>12.742008559831399</v>
      </c>
      <c r="I128" s="10">
        <v>11.239904278333601</v>
      </c>
      <c r="J128" s="10">
        <f t="shared" si="17"/>
        <v>12.000250844570099</v>
      </c>
      <c r="K128" s="10">
        <v>13.366608870351399</v>
      </c>
      <c r="L128" s="10">
        <v>13.784593211676601</v>
      </c>
      <c r="M128" s="10">
        <v>13.452764647220899</v>
      </c>
      <c r="N128" s="10">
        <f t="shared" si="13"/>
        <v>13.534655576416299</v>
      </c>
      <c r="O128" s="10">
        <f t="shared" si="14"/>
        <v>3.4727308099999998</v>
      </c>
      <c r="P128" s="10">
        <f t="shared" si="15"/>
        <v>0.83412421598571429</v>
      </c>
      <c r="S128" s="11" t="s">
        <v>12598</v>
      </c>
      <c r="T128" s="20">
        <v>3.2164031500000001</v>
      </c>
      <c r="U128" s="39"/>
    </row>
    <row r="129" spans="1:21" x14ac:dyDescent="0.2">
      <c r="A129" s="10" t="str">
        <f>"eif-2A"</f>
        <v>eif-2A</v>
      </c>
      <c r="B129" s="10" t="s">
        <v>8079</v>
      </c>
      <c r="C129" s="10" t="s">
        <v>8081</v>
      </c>
      <c r="D129" s="10">
        <v>1.5014560335761</v>
      </c>
      <c r="E129" s="10">
        <f t="shared" si="16"/>
        <v>2.8312831432560501</v>
      </c>
      <c r="F129" s="10">
        <v>1.84193205501212E-4</v>
      </c>
      <c r="G129" s="10">
        <v>12.369600254961799</v>
      </c>
      <c r="H129" s="10">
        <v>12.343046050931701</v>
      </c>
      <c r="I129" s="10">
        <v>12.295926181980001</v>
      </c>
      <c r="J129" s="10">
        <f t="shared" si="17"/>
        <v>12.336190829291168</v>
      </c>
      <c r="K129" s="10">
        <v>13.774220289012799</v>
      </c>
      <c r="L129" s="10">
        <v>13.8133375022172</v>
      </c>
      <c r="M129" s="10">
        <v>13.925382797371901</v>
      </c>
      <c r="N129" s="10">
        <f t="shared" si="13"/>
        <v>13.837646862867301</v>
      </c>
      <c r="O129" s="10">
        <f t="shared" si="14"/>
        <v>3.0728087799999999</v>
      </c>
      <c r="P129" s="10">
        <f t="shared" si="15"/>
        <v>0.92139906709588681</v>
      </c>
      <c r="S129" s="11" t="s">
        <v>8165</v>
      </c>
      <c r="T129" s="20">
        <v>3.2135458099999998</v>
      </c>
      <c r="U129" s="39"/>
    </row>
    <row r="130" spans="1:21" x14ac:dyDescent="0.2">
      <c r="A130" s="24" t="str">
        <f>"akt-2"</f>
        <v>akt-2</v>
      </c>
      <c r="B130" s="24" t="s">
        <v>13499</v>
      </c>
      <c r="C130" s="24" t="s">
        <v>13501</v>
      </c>
      <c r="D130" s="24">
        <v>1.4960711558217601</v>
      </c>
      <c r="E130" s="24">
        <f t="shared" si="16"/>
        <v>2.8207350403006233</v>
      </c>
      <c r="F130" s="24">
        <v>8.0924676766738605E-4</v>
      </c>
      <c r="G130" s="24">
        <v>12.3354439398487</v>
      </c>
      <c r="H130" s="24">
        <v>12.0577846008914</v>
      </c>
      <c r="I130" s="24">
        <v>12.001807716803199</v>
      </c>
      <c r="J130" s="24">
        <f t="shared" si="17"/>
        <v>12.131678752514432</v>
      </c>
      <c r="K130" s="24">
        <v>13.742416474107801</v>
      </c>
      <c r="L130" s="24">
        <v>13.7589151037833</v>
      </c>
      <c r="M130" s="24">
        <v>13.381918147117499</v>
      </c>
      <c r="N130" s="24">
        <f t="shared" ref="N130:N151" si="18">(K130+L130+M130)/3</f>
        <v>13.627749908336199</v>
      </c>
      <c r="O130" s="24" t="str">
        <f t="shared" ref="O130:O151" si="19">IFERROR(INDEX(T:T, MATCH(A130, S:S, 0)), "ND")</f>
        <v>ND</v>
      </c>
      <c r="P130" s="24" t="str">
        <f t="shared" ref="P130:P151" si="20">IFERROR(E130/O130, "NA")</f>
        <v>NA</v>
      </c>
      <c r="S130" s="11" t="s">
        <v>396</v>
      </c>
      <c r="T130" s="20">
        <v>3.2054233700000001</v>
      </c>
      <c r="U130" s="39"/>
    </row>
    <row r="131" spans="1:21" x14ac:dyDescent="0.2">
      <c r="A131" s="24" t="str">
        <f>"hmp-1"</f>
        <v>hmp-1</v>
      </c>
      <c r="B131" s="24" t="s">
        <v>6128</v>
      </c>
      <c r="C131" s="24" t="s">
        <v>6130</v>
      </c>
      <c r="D131" s="24">
        <v>1.4821141192893501</v>
      </c>
      <c r="E131" s="24">
        <f t="shared" si="16"/>
        <v>2.7935780323064643</v>
      </c>
      <c r="F131" s="24">
        <v>9.2183103968832194E-3</v>
      </c>
      <c r="G131" s="24">
        <v>11.2773298610255</v>
      </c>
      <c r="H131" s="24">
        <v>10.974568725354599</v>
      </c>
      <c r="I131" s="24" t="s">
        <v>14849</v>
      </c>
      <c r="J131" s="24">
        <f t="shared" si="17"/>
        <v>11.12594929319005</v>
      </c>
      <c r="K131" s="24">
        <v>12.834105794203801</v>
      </c>
      <c r="L131" s="24">
        <v>12.512063557933301</v>
      </c>
      <c r="M131" s="24">
        <v>12.478020885301101</v>
      </c>
      <c r="N131" s="24">
        <f t="shared" si="18"/>
        <v>12.608063412479401</v>
      </c>
      <c r="O131" s="24" t="str">
        <f t="shared" si="19"/>
        <v>ND</v>
      </c>
      <c r="P131" s="24" t="str">
        <f t="shared" si="20"/>
        <v>NA</v>
      </c>
      <c r="S131" s="11" t="s">
        <v>14817</v>
      </c>
      <c r="T131" s="20">
        <v>3.1978355700000001</v>
      </c>
      <c r="U131" s="39"/>
    </row>
    <row r="132" spans="1:21" x14ac:dyDescent="0.2">
      <c r="A132" s="10" t="str">
        <f>"prdx-2"</f>
        <v>prdx-2</v>
      </c>
      <c r="B132" s="10" t="s">
        <v>87</v>
      </c>
      <c r="C132" s="10" t="s">
        <v>89</v>
      </c>
      <c r="D132" s="10">
        <v>1.47663599084273</v>
      </c>
      <c r="E132" s="10">
        <f t="shared" si="16"/>
        <v>2.7829905133876234</v>
      </c>
      <c r="F132" s="10">
        <v>1.8427253110846701E-3</v>
      </c>
      <c r="G132" s="10">
        <v>15.0014972762035</v>
      </c>
      <c r="H132" s="10">
        <v>14.877990213328401</v>
      </c>
      <c r="I132" s="10">
        <v>15.334473720984899</v>
      </c>
      <c r="J132" s="10">
        <f t="shared" si="17"/>
        <v>15.071320403505601</v>
      </c>
      <c r="K132" s="10">
        <v>16.713244711264299</v>
      </c>
      <c r="L132" s="10">
        <v>16.368808622136701</v>
      </c>
      <c r="M132" s="10">
        <v>16.561815849644098</v>
      </c>
      <c r="N132" s="10">
        <f t="shared" si="18"/>
        <v>16.547956394348365</v>
      </c>
      <c r="O132" s="10">
        <f t="shared" si="19"/>
        <v>4.8081449999999997</v>
      </c>
      <c r="P132" s="10">
        <f t="shared" si="20"/>
        <v>0.57880752626795229</v>
      </c>
      <c r="S132" s="11" t="s">
        <v>12251</v>
      </c>
      <c r="T132" s="20">
        <v>3.1719083800000001</v>
      </c>
      <c r="U132" s="39"/>
    </row>
    <row r="133" spans="1:21" x14ac:dyDescent="0.2">
      <c r="A133" s="10" t="str">
        <f>"glna-1"</f>
        <v>glna-1</v>
      </c>
      <c r="B133" s="10" t="s">
        <v>14087</v>
      </c>
      <c r="C133" s="10" t="s">
        <v>14089</v>
      </c>
      <c r="D133" s="10">
        <v>1.4743314857308401</v>
      </c>
      <c r="E133" s="10">
        <f t="shared" si="16"/>
        <v>2.7785486208613408</v>
      </c>
      <c r="F133" s="10">
        <v>1.16750437516254E-2</v>
      </c>
      <c r="G133" s="10">
        <v>12.3697535659718</v>
      </c>
      <c r="H133" s="10">
        <v>12.1749784944752</v>
      </c>
      <c r="I133" s="10">
        <v>12.224633985691099</v>
      </c>
      <c r="J133" s="10">
        <f t="shared" si="17"/>
        <v>12.2564553487127</v>
      </c>
      <c r="K133" s="10">
        <v>13.787491625786901</v>
      </c>
      <c r="L133" s="10">
        <v>13.8571901245496</v>
      </c>
      <c r="M133" s="10">
        <v>13.5476787529941</v>
      </c>
      <c r="N133" s="10">
        <f t="shared" si="18"/>
        <v>13.730786834443535</v>
      </c>
      <c r="O133" s="10">
        <f t="shared" si="19"/>
        <v>4.0005771499999998</v>
      </c>
      <c r="P133" s="10">
        <f t="shared" si="20"/>
        <v>0.69453694221628515</v>
      </c>
      <c r="S133" s="11" t="s">
        <v>14818</v>
      </c>
      <c r="T133" s="20">
        <v>3.1679403800000001</v>
      </c>
      <c r="U133" s="39"/>
    </row>
    <row r="134" spans="1:21" x14ac:dyDescent="0.2">
      <c r="A134" s="24" t="str">
        <f>"tat-1"</f>
        <v>tat-1</v>
      </c>
      <c r="B134" s="24" t="s">
        <v>13153</v>
      </c>
      <c r="C134" s="24" t="s">
        <v>13155</v>
      </c>
      <c r="D134" s="24">
        <v>1.45643788333867</v>
      </c>
      <c r="E134" s="24">
        <f t="shared" si="16"/>
        <v>2.7442993939576885</v>
      </c>
      <c r="F134" s="24">
        <v>1.78512982300258E-3</v>
      </c>
      <c r="G134" s="24">
        <v>10.6683006926442</v>
      </c>
      <c r="H134" s="24">
        <v>10.9173672326228</v>
      </c>
      <c r="I134" s="24">
        <v>11.599556353082001</v>
      </c>
      <c r="J134" s="24">
        <f t="shared" si="17"/>
        <v>11.061741426116333</v>
      </c>
      <c r="K134" s="24">
        <v>12.5498644342748</v>
      </c>
      <c r="L134" s="24">
        <v>12.744600150354399</v>
      </c>
      <c r="M134" s="24">
        <v>12.260073343735799</v>
      </c>
      <c r="N134" s="24">
        <f t="shared" si="18"/>
        <v>12.518179309455</v>
      </c>
      <c r="O134" s="24" t="str">
        <f t="shared" si="19"/>
        <v>ND</v>
      </c>
      <c r="P134" s="24" t="str">
        <f t="shared" si="20"/>
        <v>NA</v>
      </c>
      <c r="S134" s="11" t="s">
        <v>11530</v>
      </c>
      <c r="T134" s="20">
        <v>3.1386884199999998</v>
      </c>
      <c r="U134" s="39"/>
    </row>
    <row r="135" spans="1:21" x14ac:dyDescent="0.2">
      <c r="A135" s="16" t="str">
        <f>"pah-1"</f>
        <v>pah-1</v>
      </c>
      <c r="B135" s="16" t="s">
        <v>6121</v>
      </c>
      <c r="C135" s="16" t="s">
        <v>6123</v>
      </c>
      <c r="D135" s="16">
        <v>1.4444919218028001</v>
      </c>
      <c r="E135" s="16">
        <f t="shared" si="16"/>
        <v>2.7216695657464713</v>
      </c>
      <c r="F135" s="16">
        <v>3.0273163349820199E-3</v>
      </c>
      <c r="G135" s="16">
        <v>14.1130694635717</v>
      </c>
      <c r="H135" s="16">
        <v>13.960931823667</v>
      </c>
      <c r="I135" s="16">
        <v>14.1483473511094</v>
      </c>
      <c r="J135" s="16">
        <f t="shared" si="17"/>
        <v>14.0741162127827</v>
      </c>
      <c r="K135" s="16">
        <v>15.538788886071501</v>
      </c>
      <c r="L135" s="16">
        <v>15.582514959391601</v>
      </c>
      <c r="M135" s="16">
        <v>15.4345205582934</v>
      </c>
      <c r="N135" s="16">
        <f t="shared" si="18"/>
        <v>15.5186081345855</v>
      </c>
      <c r="O135" s="16">
        <f t="shared" si="19"/>
        <v>6.3154922200000003</v>
      </c>
      <c r="P135" s="16">
        <f t="shared" si="20"/>
        <v>0.43095129737116061</v>
      </c>
      <c r="S135" s="11" t="s">
        <v>9426</v>
      </c>
      <c r="T135" s="20">
        <v>3.13809</v>
      </c>
      <c r="U135" s="39"/>
    </row>
    <row r="136" spans="1:21" x14ac:dyDescent="0.2">
      <c r="A136" s="10" t="str">
        <f>"sma-1"</f>
        <v>sma-1</v>
      </c>
      <c r="B136" s="10" t="s">
        <v>1971</v>
      </c>
      <c r="C136" s="10" t="s">
        <v>810</v>
      </c>
      <c r="D136" s="10">
        <v>1.4282218943118601</v>
      </c>
      <c r="E136" s="10">
        <f t="shared" si="16"/>
        <v>2.6911482983995363</v>
      </c>
      <c r="F136" s="10">
        <v>3.5024195720561799E-2</v>
      </c>
      <c r="G136" s="10">
        <v>12.552601899764401</v>
      </c>
      <c r="H136" s="10">
        <v>12.7728096190092</v>
      </c>
      <c r="I136" s="10">
        <v>13.0319269199864</v>
      </c>
      <c r="J136" s="10">
        <f t="shared" si="17"/>
        <v>12.785779479586665</v>
      </c>
      <c r="K136" s="10">
        <v>14.096949106136501</v>
      </c>
      <c r="L136" s="10">
        <v>14.3274598332499</v>
      </c>
      <c r="M136" s="10">
        <v>14.2175951823092</v>
      </c>
      <c r="N136" s="10">
        <f t="shared" si="18"/>
        <v>14.214001373898535</v>
      </c>
      <c r="O136" s="10">
        <f t="shared" si="19"/>
        <v>2.9604292000000001</v>
      </c>
      <c r="P136" s="10">
        <f t="shared" si="20"/>
        <v>0.90903991164508724</v>
      </c>
      <c r="S136" s="11" t="s">
        <v>983</v>
      </c>
      <c r="T136" s="20">
        <v>3.1329182800000002</v>
      </c>
      <c r="U136" s="39"/>
    </row>
    <row r="137" spans="1:21" x14ac:dyDescent="0.2">
      <c r="A137" s="24" t="str">
        <f>"F36A2.3"</f>
        <v>F36A2.3</v>
      </c>
      <c r="B137" s="24" t="s">
        <v>1453</v>
      </c>
      <c r="C137" s="24" t="s">
        <v>1454</v>
      </c>
      <c r="D137" s="24">
        <v>1.42526352134108</v>
      </c>
      <c r="E137" s="24">
        <f t="shared" si="16"/>
        <v>2.6856355164591439</v>
      </c>
      <c r="F137" s="24">
        <v>2.0239181800272898E-2</v>
      </c>
      <c r="G137" s="24">
        <v>12.8446897951167</v>
      </c>
      <c r="H137" s="24">
        <v>11.5880551726987</v>
      </c>
      <c r="I137" s="24">
        <v>12.0966588820519</v>
      </c>
      <c r="J137" s="24">
        <f t="shared" si="17"/>
        <v>12.176467949955766</v>
      </c>
      <c r="K137" s="24">
        <v>13.682766956027001</v>
      </c>
      <c r="L137" s="24">
        <v>13.9201458294049</v>
      </c>
      <c r="M137" s="24">
        <v>13.2022816284586</v>
      </c>
      <c r="N137" s="24">
        <f t="shared" si="18"/>
        <v>13.601731471296835</v>
      </c>
      <c r="O137" s="24" t="str">
        <f t="shared" si="19"/>
        <v>ND</v>
      </c>
      <c r="P137" s="24" t="str">
        <f t="shared" si="20"/>
        <v>NA</v>
      </c>
      <c r="S137" s="11" t="s">
        <v>5398</v>
      </c>
      <c r="T137" s="20">
        <v>3.1192659200000001</v>
      </c>
      <c r="U137" s="39"/>
    </row>
    <row r="138" spans="1:21" x14ac:dyDescent="0.2">
      <c r="A138" s="24" t="str">
        <f>"pes-7"</f>
        <v>pes-7</v>
      </c>
      <c r="B138" s="24" t="s">
        <v>3516</v>
      </c>
      <c r="C138" s="24" t="s">
        <v>758</v>
      </c>
      <c r="D138" s="24">
        <v>1.3910636509541601</v>
      </c>
      <c r="E138" s="24">
        <f t="shared" si="16"/>
        <v>2.622719738908267</v>
      </c>
      <c r="F138" s="24">
        <v>3.0633323166901798E-2</v>
      </c>
      <c r="G138" s="24">
        <v>11.863976846072401</v>
      </c>
      <c r="H138" s="24">
        <v>11.456434208626501</v>
      </c>
      <c r="I138" s="24">
        <v>12.296316837863101</v>
      </c>
      <c r="J138" s="24">
        <f t="shared" si="17"/>
        <v>11.872242630854002</v>
      </c>
      <c r="K138" s="24">
        <v>13.293333942405299</v>
      </c>
      <c r="L138" s="24">
        <v>13.354022114825</v>
      </c>
      <c r="M138" s="24">
        <v>13.1425627881941</v>
      </c>
      <c r="N138" s="24">
        <f t="shared" si="18"/>
        <v>13.263306281808132</v>
      </c>
      <c r="O138" s="24" t="str">
        <f t="shared" si="19"/>
        <v>ND</v>
      </c>
      <c r="P138" s="24" t="str">
        <f t="shared" si="20"/>
        <v>NA</v>
      </c>
      <c r="S138" s="11" t="s">
        <v>13338</v>
      </c>
      <c r="T138" s="20">
        <v>3.0909888400000001</v>
      </c>
      <c r="U138" s="39"/>
    </row>
    <row r="139" spans="1:21" x14ac:dyDescent="0.2">
      <c r="A139" s="24" t="str">
        <f>"daf-18"</f>
        <v>daf-18</v>
      </c>
      <c r="B139" s="24" t="s">
        <v>1540</v>
      </c>
      <c r="C139" s="24" t="s">
        <v>1542</v>
      </c>
      <c r="D139" s="24">
        <v>1.3575737502227101</v>
      </c>
      <c r="E139" s="24">
        <f t="shared" si="16"/>
        <v>2.5625386246089659</v>
      </c>
      <c r="F139" s="24">
        <v>1.78512982300258E-3</v>
      </c>
      <c r="G139" s="24">
        <v>11.209621920793101</v>
      </c>
      <c r="H139" s="24" t="s">
        <v>14849</v>
      </c>
      <c r="I139" s="24">
        <v>11.215239594054299</v>
      </c>
      <c r="J139" s="24">
        <f t="shared" si="17"/>
        <v>11.2124307574237</v>
      </c>
      <c r="K139" s="24">
        <v>12.567656607301</v>
      </c>
      <c r="L139" s="24">
        <v>12.665002332623899</v>
      </c>
      <c r="M139" s="24">
        <v>12.477354583014399</v>
      </c>
      <c r="N139" s="24">
        <f t="shared" si="18"/>
        <v>12.570004507646432</v>
      </c>
      <c r="O139" s="24" t="str">
        <f t="shared" si="19"/>
        <v>ND</v>
      </c>
      <c r="P139" s="24" t="str">
        <f t="shared" si="20"/>
        <v>NA</v>
      </c>
      <c r="S139" s="11" t="s">
        <v>8080</v>
      </c>
      <c r="T139" s="20">
        <v>3.0728087799999999</v>
      </c>
      <c r="U139" s="39"/>
    </row>
    <row r="140" spans="1:21" x14ac:dyDescent="0.2">
      <c r="A140" s="24" t="str">
        <f>"cst-1"</f>
        <v>cst-1</v>
      </c>
      <c r="B140" s="24" t="s">
        <v>12799</v>
      </c>
      <c r="C140" s="24" t="s">
        <v>12801</v>
      </c>
      <c r="D140" s="24">
        <v>1.27639661252713</v>
      </c>
      <c r="E140" s="24">
        <f t="shared" si="16"/>
        <v>2.4223320017360219</v>
      </c>
      <c r="F140" s="24">
        <v>7.7231007233392697E-3</v>
      </c>
      <c r="G140" s="24">
        <v>11.8324370268608</v>
      </c>
      <c r="H140" s="24">
        <v>11.9417970730352</v>
      </c>
      <c r="I140" s="24">
        <v>11.4361823409571</v>
      </c>
      <c r="J140" s="24">
        <f t="shared" si="17"/>
        <v>11.736805480284366</v>
      </c>
      <c r="K140" s="24">
        <v>12.8727459651403</v>
      </c>
      <c r="L140" s="24">
        <v>13.353784549699199</v>
      </c>
      <c r="M140" s="24">
        <v>12.813075763594901</v>
      </c>
      <c r="N140" s="24">
        <f t="shared" si="18"/>
        <v>13.013202092811467</v>
      </c>
      <c r="O140" s="24" t="str">
        <f t="shared" si="19"/>
        <v>ND</v>
      </c>
      <c r="P140" s="24" t="str">
        <f t="shared" si="20"/>
        <v>NA</v>
      </c>
      <c r="S140" s="11" t="s">
        <v>11874</v>
      </c>
      <c r="T140" s="20">
        <v>3.04240968</v>
      </c>
      <c r="U140" s="39"/>
    </row>
    <row r="141" spans="1:21" x14ac:dyDescent="0.2">
      <c r="A141" s="24" t="str">
        <f>"larp-1"</f>
        <v>larp-1</v>
      </c>
      <c r="B141" s="24" t="s">
        <v>788</v>
      </c>
      <c r="C141" s="24" t="s">
        <v>790</v>
      </c>
      <c r="D141" s="24">
        <v>1.2607256077457401</v>
      </c>
      <c r="E141" s="24">
        <f t="shared" si="16"/>
        <v>2.396162263130476</v>
      </c>
      <c r="F141" s="24">
        <v>1.8482926868194801E-3</v>
      </c>
      <c r="G141" s="24">
        <v>12.6874718631409</v>
      </c>
      <c r="H141" s="24">
        <v>12.978714145184201</v>
      </c>
      <c r="I141" s="24">
        <v>13.093040787917101</v>
      </c>
      <c r="J141" s="24">
        <f t="shared" si="17"/>
        <v>12.919742265414067</v>
      </c>
      <c r="K141" s="24">
        <v>14.3763100057147</v>
      </c>
      <c r="L141" s="24">
        <v>14.1276137008589</v>
      </c>
      <c r="M141" s="24">
        <v>14.0374799129059</v>
      </c>
      <c r="N141" s="24">
        <f t="shared" si="18"/>
        <v>14.180467873159834</v>
      </c>
      <c r="O141" s="24" t="str">
        <f t="shared" si="19"/>
        <v>ND</v>
      </c>
      <c r="P141" s="24" t="str">
        <f t="shared" si="20"/>
        <v>NA</v>
      </c>
      <c r="S141" s="11" t="s">
        <v>7358</v>
      </c>
      <c r="T141" s="20">
        <v>3.0399567200000002</v>
      </c>
      <c r="U141" s="39"/>
    </row>
    <row r="142" spans="1:21" x14ac:dyDescent="0.2">
      <c r="A142" s="14" t="str">
        <f>"eef-1B.2"</f>
        <v>eef-1B.2</v>
      </c>
      <c r="B142" s="14" t="s">
        <v>13242</v>
      </c>
      <c r="C142" s="14" t="s">
        <v>13244</v>
      </c>
      <c r="D142" s="14">
        <v>1.25503222077918</v>
      </c>
      <c r="E142" s="14">
        <f t="shared" si="16"/>
        <v>2.3867247899644704</v>
      </c>
      <c r="F142" s="14">
        <v>7.0136117840784804E-3</v>
      </c>
      <c r="G142" s="14">
        <v>12.6896394093905</v>
      </c>
      <c r="H142" s="14">
        <v>12.4268030200898</v>
      </c>
      <c r="I142" s="14">
        <v>12.531103317463399</v>
      </c>
      <c r="J142" s="14">
        <f t="shared" si="17"/>
        <v>12.5491819156479</v>
      </c>
      <c r="K142" s="14">
        <v>14.175129843362701</v>
      </c>
      <c r="L142" s="14">
        <v>13.665808664306001</v>
      </c>
      <c r="M142" s="14">
        <v>13.571703901612601</v>
      </c>
      <c r="N142" s="14">
        <f t="shared" si="18"/>
        <v>13.804214136427101</v>
      </c>
      <c r="O142" s="14">
        <f t="shared" si="19"/>
        <v>15.862799600000001</v>
      </c>
      <c r="P142" s="14">
        <f t="shared" si="20"/>
        <v>0.15046050193841384</v>
      </c>
      <c r="S142" s="11" t="s">
        <v>5031</v>
      </c>
      <c r="T142" s="20">
        <v>3.0350834999999998</v>
      </c>
      <c r="U142" s="39"/>
    </row>
    <row r="143" spans="1:21" x14ac:dyDescent="0.2">
      <c r="A143" s="24" t="str">
        <f>"pck-1"</f>
        <v>pck-1</v>
      </c>
      <c r="B143" s="24" t="s">
        <v>3906</v>
      </c>
      <c r="C143" s="24" t="s">
        <v>3079</v>
      </c>
      <c r="D143" s="24">
        <v>1.24183396739318</v>
      </c>
      <c r="E143" s="24">
        <f t="shared" si="16"/>
        <v>2.3649898098950319</v>
      </c>
      <c r="F143" s="24">
        <v>2.98367606305805E-4</v>
      </c>
      <c r="G143" s="24">
        <v>13.0937306161621</v>
      </c>
      <c r="H143" s="24">
        <v>13.016597323665099</v>
      </c>
      <c r="I143" s="24">
        <v>13.092986790629499</v>
      </c>
      <c r="J143" s="24">
        <f t="shared" si="17"/>
        <v>13.067771576818899</v>
      </c>
      <c r="K143" s="24">
        <v>14.50218696848</v>
      </c>
      <c r="L143" s="24">
        <v>14.2398319812369</v>
      </c>
      <c r="M143" s="24">
        <v>14.1867976829193</v>
      </c>
      <c r="N143" s="24">
        <f t="shared" si="18"/>
        <v>14.309605544212067</v>
      </c>
      <c r="O143" s="24" t="str">
        <f t="shared" si="19"/>
        <v>ND</v>
      </c>
      <c r="P143" s="24" t="str">
        <f t="shared" si="20"/>
        <v>NA</v>
      </c>
      <c r="S143" s="11" t="s">
        <v>14819</v>
      </c>
      <c r="T143" s="20">
        <v>3.0216343399999999</v>
      </c>
      <c r="U143" s="39"/>
    </row>
    <row r="144" spans="1:21" x14ac:dyDescent="0.2">
      <c r="A144" s="24" t="str">
        <f>"smap-1"</f>
        <v>smap-1</v>
      </c>
      <c r="B144" s="24" t="s">
        <v>3607</v>
      </c>
      <c r="C144" s="24" t="s">
        <v>3609</v>
      </c>
      <c r="D144" s="24">
        <v>1.22567408015963</v>
      </c>
      <c r="E144" s="24">
        <f t="shared" si="16"/>
        <v>2.3386469437127326</v>
      </c>
      <c r="F144" s="24">
        <v>1.2583933466029701E-3</v>
      </c>
      <c r="G144" s="24">
        <v>12.915602510982101</v>
      </c>
      <c r="H144" s="24">
        <v>13.157025960157499</v>
      </c>
      <c r="I144" s="24">
        <v>12.995654712442301</v>
      </c>
      <c r="J144" s="24">
        <f t="shared" si="17"/>
        <v>13.022761061193968</v>
      </c>
      <c r="K144" s="24">
        <v>14.2573015700951</v>
      </c>
      <c r="L144" s="24">
        <v>14.265212297648899</v>
      </c>
      <c r="M144" s="24">
        <v>14.2227915563168</v>
      </c>
      <c r="N144" s="24">
        <f t="shared" si="18"/>
        <v>14.248435141353601</v>
      </c>
      <c r="O144" s="24" t="str">
        <f t="shared" si="19"/>
        <v>ND</v>
      </c>
      <c r="P144" s="24" t="str">
        <f t="shared" si="20"/>
        <v>NA</v>
      </c>
      <c r="S144" s="11" t="s">
        <v>7523</v>
      </c>
      <c r="T144" s="20">
        <v>2.9844003699999999</v>
      </c>
      <c r="U144" s="39"/>
    </row>
    <row r="145" spans="1:21" x14ac:dyDescent="0.2">
      <c r="A145" s="10" t="str">
        <f>"rde-4"</f>
        <v>rde-4</v>
      </c>
      <c r="B145" s="10" t="s">
        <v>951</v>
      </c>
      <c r="C145" s="10" t="s">
        <v>953</v>
      </c>
      <c r="D145" s="10">
        <v>1.2182363646510701</v>
      </c>
      <c r="E145" s="10">
        <f t="shared" si="16"/>
        <v>2.3266212350052533</v>
      </c>
      <c r="F145" s="10">
        <v>1.66119417981354E-2</v>
      </c>
      <c r="G145" s="10">
        <v>13.9415403978082</v>
      </c>
      <c r="H145" s="10">
        <v>13.631220333598799</v>
      </c>
      <c r="I145" s="10">
        <v>13.6145439469664</v>
      </c>
      <c r="J145" s="10">
        <f t="shared" si="17"/>
        <v>13.729101559457801</v>
      </c>
      <c r="K145" s="10">
        <v>14.8282666316902</v>
      </c>
      <c r="L145" s="10">
        <v>14.9940216308663</v>
      </c>
      <c r="M145" s="10">
        <v>15.01972550977</v>
      </c>
      <c r="N145" s="10">
        <f t="shared" si="18"/>
        <v>14.947337924108831</v>
      </c>
      <c r="O145" s="10">
        <f t="shared" si="19"/>
        <v>2.44797508</v>
      </c>
      <c r="P145" s="10">
        <f t="shared" si="20"/>
        <v>0.95042684625909402</v>
      </c>
      <c r="S145" s="11" t="s">
        <v>1972</v>
      </c>
      <c r="T145" s="20">
        <v>2.9604292000000001</v>
      </c>
      <c r="U145" s="39"/>
    </row>
    <row r="146" spans="1:21" x14ac:dyDescent="0.2">
      <c r="A146" s="10" t="str">
        <f>"copz-1"</f>
        <v>copz-1</v>
      </c>
      <c r="B146" s="10" t="s">
        <v>3538</v>
      </c>
      <c r="C146" s="10" t="s">
        <v>3540</v>
      </c>
      <c r="D146" s="10">
        <v>1.16905845759146</v>
      </c>
      <c r="E146" s="10">
        <f t="shared" si="16"/>
        <v>2.2486489603256303</v>
      </c>
      <c r="F146" s="10">
        <v>2.43733920436995E-3</v>
      </c>
      <c r="G146" s="10">
        <v>14.403088752210801</v>
      </c>
      <c r="H146" s="10">
        <v>14.4403774779888</v>
      </c>
      <c r="I146" s="10">
        <v>14.6020221230508</v>
      </c>
      <c r="J146" s="10">
        <f t="shared" si="17"/>
        <v>14.481829451083469</v>
      </c>
      <c r="K146" s="10">
        <v>15.429115053371801</v>
      </c>
      <c r="L146" s="10">
        <v>15.563275525898</v>
      </c>
      <c r="M146" s="10">
        <v>15.960273146754901</v>
      </c>
      <c r="N146" s="10">
        <f t="shared" si="18"/>
        <v>15.650887908674902</v>
      </c>
      <c r="O146" s="10">
        <f t="shared" si="19"/>
        <v>2.4944524299999999</v>
      </c>
      <c r="P146" s="10">
        <f t="shared" si="20"/>
        <v>0.90145994899795723</v>
      </c>
      <c r="S146" s="11" t="s">
        <v>8753</v>
      </c>
      <c r="T146" s="20">
        <v>2.93598567</v>
      </c>
      <c r="U146" s="39"/>
    </row>
    <row r="147" spans="1:21" x14ac:dyDescent="0.2">
      <c r="A147" s="24" t="str">
        <f>"gakh-1"</f>
        <v>gakh-1</v>
      </c>
      <c r="B147" s="24" t="s">
        <v>8803</v>
      </c>
      <c r="C147" s="24" t="s">
        <v>323</v>
      </c>
      <c r="D147" s="24">
        <v>1.1518309495680199</v>
      </c>
      <c r="E147" s="24">
        <f t="shared" si="16"/>
        <v>2.2219570801676851</v>
      </c>
      <c r="F147" s="24">
        <v>3.5443727346127003E-2</v>
      </c>
      <c r="G147" s="24">
        <v>10.996683621467</v>
      </c>
      <c r="H147" s="24">
        <v>10.907850042309899</v>
      </c>
      <c r="I147" s="24">
        <v>11.100535440992701</v>
      </c>
      <c r="J147" s="24">
        <f t="shared" si="17"/>
        <v>11.001689701589868</v>
      </c>
      <c r="K147" s="24">
        <v>11.762172234765499</v>
      </c>
      <c r="L147" s="24">
        <v>12.3164485975537</v>
      </c>
      <c r="M147" s="24">
        <v>12.381941121154499</v>
      </c>
      <c r="N147" s="24">
        <f t="shared" si="18"/>
        <v>12.153520651157899</v>
      </c>
      <c r="O147" s="24" t="str">
        <f t="shared" si="19"/>
        <v>ND</v>
      </c>
      <c r="P147" s="24" t="str">
        <f t="shared" si="20"/>
        <v>NA</v>
      </c>
      <c r="S147" s="11" t="s">
        <v>10298</v>
      </c>
      <c r="T147" s="20">
        <v>2.9140060499999998</v>
      </c>
      <c r="U147" s="39"/>
    </row>
    <row r="148" spans="1:21" x14ac:dyDescent="0.2">
      <c r="A148" s="24" t="str">
        <f>"efk-1"</f>
        <v>efk-1</v>
      </c>
      <c r="B148" s="24" t="s">
        <v>2984</v>
      </c>
      <c r="C148" s="24" t="s">
        <v>2986</v>
      </c>
      <c r="D148" s="24">
        <v>1.06330204517857</v>
      </c>
      <c r="E148" s="24">
        <f t="shared" si="16"/>
        <v>2.0897089850924471</v>
      </c>
      <c r="F148" s="24">
        <v>4.2225261505901401E-3</v>
      </c>
      <c r="G148" s="24">
        <v>13.346379964293501</v>
      </c>
      <c r="H148" s="24">
        <v>13.580914837422499</v>
      </c>
      <c r="I148" s="24">
        <v>12.884244750239199</v>
      </c>
      <c r="J148" s="24">
        <f t="shared" si="17"/>
        <v>13.270513183985067</v>
      </c>
      <c r="K148" s="24">
        <v>14.171434846158499</v>
      </c>
      <c r="L148" s="24">
        <v>14.634890194113</v>
      </c>
      <c r="M148" s="24">
        <v>14.195120647219399</v>
      </c>
      <c r="N148" s="24">
        <f t="shared" si="18"/>
        <v>14.333815229163633</v>
      </c>
      <c r="O148" s="24" t="str">
        <f t="shared" si="19"/>
        <v>ND</v>
      </c>
      <c r="P148" s="24" t="str">
        <f t="shared" si="20"/>
        <v>NA</v>
      </c>
      <c r="S148" s="11" t="s">
        <v>1471</v>
      </c>
      <c r="T148" s="20">
        <v>2.9108313400000001</v>
      </c>
      <c r="U148" s="39"/>
    </row>
    <row r="149" spans="1:21" x14ac:dyDescent="0.2">
      <c r="A149" s="10" t="str">
        <f>"ufd-3"</f>
        <v>ufd-3</v>
      </c>
      <c r="B149" s="10" t="s">
        <v>1704</v>
      </c>
      <c r="C149" s="10" t="s">
        <v>1706</v>
      </c>
      <c r="D149" s="10">
        <v>1.05633837346282</v>
      </c>
      <c r="E149" s="10">
        <f t="shared" si="16"/>
        <v>2.0796465788941929</v>
      </c>
      <c r="F149" s="10">
        <v>8.2349237824489892E-3</v>
      </c>
      <c r="G149" s="10">
        <v>12.7102140961687</v>
      </c>
      <c r="H149" s="10">
        <v>12.6811677271367</v>
      </c>
      <c r="I149" s="10">
        <v>12.6025783971059</v>
      </c>
      <c r="J149" s="10">
        <f t="shared" si="17"/>
        <v>12.664653406803767</v>
      </c>
      <c r="K149" s="10">
        <v>13.7929195182148</v>
      </c>
      <c r="L149" s="10">
        <v>13.8688638066923</v>
      </c>
      <c r="M149" s="10">
        <v>13.501192015892601</v>
      </c>
      <c r="N149" s="10">
        <f t="shared" si="18"/>
        <v>13.720991780266566</v>
      </c>
      <c r="O149" s="10">
        <f t="shared" si="19"/>
        <v>3.4104602499999999</v>
      </c>
      <c r="P149" s="10">
        <f t="shared" si="20"/>
        <v>0.60978472887763258</v>
      </c>
      <c r="S149" s="11" t="s">
        <v>14820</v>
      </c>
      <c r="T149" s="20">
        <v>2.9063408000000002</v>
      </c>
      <c r="U149" s="39"/>
    </row>
    <row r="150" spans="1:21" x14ac:dyDescent="0.2">
      <c r="A150" s="14" t="str">
        <f>"nucl-1"</f>
        <v>nucl-1</v>
      </c>
      <c r="B150" s="14" t="s">
        <v>4011</v>
      </c>
      <c r="C150" s="14" t="s">
        <v>93</v>
      </c>
      <c r="D150" s="14">
        <v>1.05237798561769</v>
      </c>
      <c r="E150" s="14">
        <f t="shared" si="16"/>
        <v>2.0739455038915322</v>
      </c>
      <c r="F150" s="14">
        <v>2.6829381458636999E-2</v>
      </c>
      <c r="G150" s="14">
        <v>17.154323629845099</v>
      </c>
      <c r="H150" s="14">
        <v>17.146894827783299</v>
      </c>
      <c r="I150" s="14">
        <v>17.714488665728201</v>
      </c>
      <c r="J150" s="14">
        <f t="shared" si="17"/>
        <v>17.338569041118863</v>
      </c>
      <c r="K150" s="14">
        <v>18.387166314172301</v>
      </c>
      <c r="L150" s="14">
        <v>18.6880073600876</v>
      </c>
      <c r="M150" s="14">
        <v>18.0976674059498</v>
      </c>
      <c r="N150" s="14">
        <f t="shared" si="18"/>
        <v>18.390947026736566</v>
      </c>
      <c r="O150" s="14">
        <f t="shared" si="19"/>
        <v>10.26802</v>
      </c>
      <c r="P150" s="14">
        <f t="shared" si="20"/>
        <v>0.20198105417515083</v>
      </c>
      <c r="S150" s="11" t="s">
        <v>5630</v>
      </c>
      <c r="T150" s="20">
        <v>2.8936961499999998</v>
      </c>
      <c r="U150" s="39"/>
    </row>
    <row r="151" spans="1:21" x14ac:dyDescent="0.2">
      <c r="A151" s="14" t="str">
        <f>"arrd-25"</f>
        <v>arrd-25</v>
      </c>
      <c r="B151" s="14" t="s">
        <v>7420</v>
      </c>
      <c r="C151" s="14" t="s">
        <v>7422</v>
      </c>
      <c r="D151" s="14">
        <v>1.0193613897453699</v>
      </c>
      <c r="E151" s="14">
        <f t="shared" si="16"/>
        <v>2.0270214980783203</v>
      </c>
      <c r="F151" s="14">
        <v>2.49952080028574E-2</v>
      </c>
      <c r="G151" s="14">
        <v>13.615903602785499</v>
      </c>
      <c r="H151" s="14">
        <v>13.5449298300046</v>
      </c>
      <c r="I151" s="14">
        <v>13.3245858773185</v>
      </c>
      <c r="J151" s="14">
        <f t="shared" si="17"/>
        <v>13.495139770036198</v>
      </c>
      <c r="K151" s="14">
        <v>14.5323983315013</v>
      </c>
      <c r="L151" s="14">
        <v>14.426299249659101</v>
      </c>
      <c r="M151" s="14">
        <v>14.5848058981842</v>
      </c>
      <c r="N151" s="14">
        <f t="shared" si="18"/>
        <v>14.514501159781533</v>
      </c>
      <c r="O151" s="14">
        <f t="shared" si="19"/>
        <v>16.838587100000002</v>
      </c>
      <c r="P151" s="14">
        <f t="shared" si="20"/>
        <v>0.12037954764496364</v>
      </c>
      <c r="S151" s="11" t="s">
        <v>6905</v>
      </c>
      <c r="T151" s="20">
        <v>2.8920846600000001</v>
      </c>
      <c r="U151" s="39"/>
    </row>
    <row r="152" spans="1:21" x14ac:dyDescent="0.2">
      <c r="S152" s="10" t="s">
        <v>10913</v>
      </c>
      <c r="T152" s="21">
        <v>2.8898607958470506</v>
      </c>
      <c r="U152" s="40"/>
    </row>
    <row r="153" spans="1:21" x14ac:dyDescent="0.2">
      <c r="S153" s="11" t="s">
        <v>11309</v>
      </c>
      <c r="T153" s="20">
        <v>2.8844428600000001</v>
      </c>
      <c r="U153" s="39"/>
    </row>
    <row r="154" spans="1:21" x14ac:dyDescent="0.2">
      <c r="S154" s="11" t="s">
        <v>1299</v>
      </c>
      <c r="T154" s="20">
        <v>2.8723567499999998</v>
      </c>
      <c r="U154" s="39"/>
    </row>
    <row r="155" spans="1:21" x14ac:dyDescent="0.2">
      <c r="S155" s="11" t="s">
        <v>11585</v>
      </c>
      <c r="T155" s="20">
        <v>2.85350839</v>
      </c>
      <c r="U155" s="39"/>
    </row>
    <row r="156" spans="1:21" x14ac:dyDescent="0.2">
      <c r="S156" s="11" t="s">
        <v>5622</v>
      </c>
      <c r="T156" s="20">
        <v>2.8418008499999998</v>
      </c>
      <c r="U156" s="39"/>
    </row>
    <row r="157" spans="1:21" x14ac:dyDescent="0.2">
      <c r="S157" s="11" t="s">
        <v>4439</v>
      </c>
      <c r="T157" s="20">
        <v>2.83839576</v>
      </c>
      <c r="U157" s="39"/>
    </row>
    <row r="158" spans="1:21" x14ac:dyDescent="0.2">
      <c r="S158" s="11" t="s">
        <v>13488</v>
      </c>
      <c r="T158" s="20">
        <v>2.8256087999999999</v>
      </c>
      <c r="U158" s="39"/>
    </row>
    <row r="159" spans="1:21" x14ac:dyDescent="0.2">
      <c r="S159" s="11" t="s">
        <v>14821</v>
      </c>
      <c r="T159" s="20">
        <v>2.8244664199999998</v>
      </c>
      <c r="U159" s="39"/>
    </row>
    <row r="160" spans="1:21" x14ac:dyDescent="0.2">
      <c r="S160" s="11" t="s">
        <v>1146</v>
      </c>
      <c r="T160" s="20">
        <v>2.8244629099999998</v>
      </c>
      <c r="U160" s="39"/>
    </row>
    <row r="161" spans="1:21" x14ac:dyDescent="0.2">
      <c r="S161" s="11" t="s">
        <v>14822</v>
      </c>
      <c r="T161" s="20">
        <v>2.824373</v>
      </c>
      <c r="U161" s="39"/>
    </row>
    <row r="162" spans="1:21" x14ac:dyDescent="0.2">
      <c r="S162" s="11" t="s">
        <v>14823</v>
      </c>
      <c r="T162" s="20">
        <v>2.7984265100000001</v>
      </c>
      <c r="U162" s="39"/>
    </row>
    <row r="163" spans="1:21" x14ac:dyDescent="0.2">
      <c r="S163" s="10" t="s">
        <v>11371</v>
      </c>
      <c r="T163" s="20">
        <v>2.7911792396759152</v>
      </c>
      <c r="U163" s="39"/>
    </row>
    <row r="164" spans="1:21" x14ac:dyDescent="0.2">
      <c r="S164" s="10" t="s">
        <v>1670</v>
      </c>
      <c r="T164" s="20">
        <v>2.7583972946551407</v>
      </c>
      <c r="U164" s="39"/>
    </row>
    <row r="165" spans="1:21" x14ac:dyDescent="0.2">
      <c r="S165" s="11" t="s">
        <v>12210</v>
      </c>
      <c r="T165" s="20">
        <v>2.7508854500000002</v>
      </c>
      <c r="U165" s="39"/>
    </row>
    <row r="166" spans="1:21" x14ac:dyDescent="0.2">
      <c r="S166" s="11" t="s">
        <v>10728</v>
      </c>
      <c r="T166" s="20">
        <v>2.7414156099999998</v>
      </c>
      <c r="U166" s="39"/>
    </row>
    <row r="167" spans="1:21" x14ac:dyDescent="0.2">
      <c r="S167" s="10" t="s">
        <v>14164</v>
      </c>
      <c r="T167" s="21">
        <v>2.7286739180665229</v>
      </c>
      <c r="U167" s="40"/>
    </row>
    <row r="168" spans="1:21" x14ac:dyDescent="0.2">
      <c r="S168" s="11" t="s">
        <v>14178</v>
      </c>
      <c r="T168" s="20">
        <v>2.7277159700000002</v>
      </c>
      <c r="U168" s="39"/>
    </row>
    <row r="169" spans="1:21" x14ac:dyDescent="0.2">
      <c r="S169" s="11" t="s">
        <v>13036</v>
      </c>
      <c r="T169" s="20">
        <v>2.7237521500000001</v>
      </c>
      <c r="U169" s="39"/>
    </row>
    <row r="170" spans="1:21" x14ac:dyDescent="0.2">
      <c r="S170" s="11" t="s">
        <v>14824</v>
      </c>
      <c r="T170" s="20">
        <v>2.7062234200000002</v>
      </c>
      <c r="U170" s="39"/>
    </row>
    <row r="171" spans="1:21" x14ac:dyDescent="0.2">
      <c r="S171" s="11" t="s">
        <v>3478</v>
      </c>
      <c r="T171" s="20">
        <v>2.6950409099999999</v>
      </c>
      <c r="U171" s="39"/>
    </row>
    <row r="172" spans="1:21" x14ac:dyDescent="0.2">
      <c r="S172" s="10" t="s">
        <v>14825</v>
      </c>
      <c r="T172" s="20">
        <v>2.6926505093943405</v>
      </c>
      <c r="U172" s="39"/>
    </row>
    <row r="173" spans="1:21" x14ac:dyDescent="0.2">
      <c r="S173" s="11" t="s">
        <v>9998</v>
      </c>
      <c r="T173" s="20">
        <v>2.6827469499999999</v>
      </c>
      <c r="U173" s="39"/>
    </row>
    <row r="174" spans="1:21" x14ac:dyDescent="0.2">
      <c r="S174" s="10" t="s">
        <v>7499</v>
      </c>
      <c r="T174" s="20">
        <v>2.6806548415707212</v>
      </c>
      <c r="U174" s="39"/>
    </row>
    <row r="175" spans="1:21" x14ac:dyDescent="0.2">
      <c r="S175" s="11" t="s">
        <v>14826</v>
      </c>
      <c r="T175" s="20">
        <v>2.6793032800000001</v>
      </c>
      <c r="U175" s="39"/>
    </row>
    <row r="176" spans="1:21" x14ac:dyDescent="0.2">
      <c r="A176" s="42"/>
      <c r="S176" s="11" t="s">
        <v>8353</v>
      </c>
      <c r="T176" s="20">
        <v>2.6655700100000002</v>
      </c>
      <c r="U176" s="39"/>
    </row>
    <row r="177" spans="1:21" x14ac:dyDescent="0.2">
      <c r="S177" s="11" t="s">
        <v>5394</v>
      </c>
      <c r="T177" s="20">
        <v>2.6556687499999998</v>
      </c>
      <c r="U177" s="39"/>
    </row>
    <row r="178" spans="1:21" x14ac:dyDescent="0.2">
      <c r="A178" s="42"/>
      <c r="S178" s="11" t="s">
        <v>5983</v>
      </c>
      <c r="T178" s="20">
        <v>2.6459550300000001</v>
      </c>
      <c r="U178" s="39"/>
    </row>
    <row r="179" spans="1:21" x14ac:dyDescent="0.2">
      <c r="S179" s="11" t="s">
        <v>13871</v>
      </c>
      <c r="T179" s="20">
        <v>2.63493887</v>
      </c>
      <c r="U179" s="39"/>
    </row>
    <row r="180" spans="1:21" x14ac:dyDescent="0.2">
      <c r="S180" s="11" t="s">
        <v>14827</v>
      </c>
      <c r="T180" s="20">
        <v>2.6260325600000001</v>
      </c>
      <c r="U180" s="39"/>
    </row>
    <row r="181" spans="1:21" x14ac:dyDescent="0.2">
      <c r="A181" s="42"/>
      <c r="S181" s="11" t="s">
        <v>14174</v>
      </c>
      <c r="T181" s="20">
        <v>2.6250738600000001</v>
      </c>
      <c r="U181" s="39"/>
    </row>
    <row r="182" spans="1:21" x14ac:dyDescent="0.2">
      <c r="A182" s="42"/>
      <c r="S182" s="11" t="s">
        <v>7323</v>
      </c>
      <c r="T182" s="20">
        <v>2.6221794300000001</v>
      </c>
      <c r="U182" s="39"/>
    </row>
    <row r="183" spans="1:21" x14ac:dyDescent="0.2">
      <c r="A183" s="42"/>
      <c r="S183" s="11" t="s">
        <v>14353</v>
      </c>
      <c r="T183" s="20">
        <v>2.6156528899999998</v>
      </c>
      <c r="U183" s="39"/>
    </row>
    <row r="184" spans="1:21" x14ac:dyDescent="0.2">
      <c r="A184" s="42"/>
      <c r="S184" s="10" t="s">
        <v>14828</v>
      </c>
      <c r="T184" s="20">
        <v>2.6129819099335019</v>
      </c>
      <c r="U184" s="39"/>
    </row>
    <row r="185" spans="1:21" x14ac:dyDescent="0.2">
      <c r="A185" s="42"/>
      <c r="S185" s="11" t="s">
        <v>8401</v>
      </c>
      <c r="T185" s="20">
        <v>2.60958449</v>
      </c>
      <c r="U185" s="39"/>
    </row>
    <row r="186" spans="1:21" x14ac:dyDescent="0.2">
      <c r="A186" s="42"/>
      <c r="S186" s="11" t="s">
        <v>11795</v>
      </c>
      <c r="T186" s="20">
        <v>2.6003555899999999</v>
      </c>
      <c r="U186" s="39"/>
    </row>
    <row r="187" spans="1:21" x14ac:dyDescent="0.2">
      <c r="A187" s="42"/>
      <c r="S187" s="11" t="s">
        <v>5726</v>
      </c>
      <c r="T187" s="20">
        <v>2.59333298</v>
      </c>
      <c r="U187" s="39"/>
    </row>
    <row r="188" spans="1:21" x14ac:dyDescent="0.2">
      <c r="A188" s="42"/>
      <c r="S188" s="11" t="s">
        <v>7991</v>
      </c>
      <c r="T188" s="20">
        <v>2.5931230799999998</v>
      </c>
      <c r="U188" s="39"/>
    </row>
    <row r="189" spans="1:21" x14ac:dyDescent="0.2">
      <c r="A189" s="42"/>
      <c r="S189" s="11" t="s">
        <v>14829</v>
      </c>
      <c r="T189" s="20">
        <v>2.5739457699999999</v>
      </c>
      <c r="U189" s="39"/>
    </row>
    <row r="190" spans="1:21" x14ac:dyDescent="0.2">
      <c r="A190" s="42"/>
      <c r="S190" s="11" t="s">
        <v>12757</v>
      </c>
      <c r="T190" s="20">
        <v>2.57074034</v>
      </c>
      <c r="U190" s="39"/>
    </row>
    <row r="191" spans="1:21" x14ac:dyDescent="0.2">
      <c r="A191" s="42"/>
      <c r="S191" s="10" t="s">
        <v>14830</v>
      </c>
      <c r="T191" s="20">
        <v>2.5360633189098243</v>
      </c>
      <c r="U191" s="39"/>
    </row>
    <row r="192" spans="1:21" x14ac:dyDescent="0.2">
      <c r="A192" s="42"/>
      <c r="S192" s="11" t="s">
        <v>14515</v>
      </c>
      <c r="T192" s="20">
        <v>2.52863543</v>
      </c>
      <c r="U192" s="39"/>
    </row>
    <row r="193" spans="1:21" x14ac:dyDescent="0.2">
      <c r="A193" s="42"/>
      <c r="S193" s="10" t="s">
        <v>10155</v>
      </c>
      <c r="T193" s="20">
        <v>2.5136782550893848</v>
      </c>
      <c r="U193" s="39"/>
    </row>
    <row r="194" spans="1:21" x14ac:dyDescent="0.2">
      <c r="A194" s="42"/>
      <c r="S194" s="11" t="s">
        <v>14524</v>
      </c>
      <c r="T194" s="20">
        <v>2.5135381300000001</v>
      </c>
      <c r="U194" s="39"/>
    </row>
    <row r="195" spans="1:21" x14ac:dyDescent="0.2">
      <c r="A195" s="42"/>
      <c r="S195" s="11" t="s">
        <v>14831</v>
      </c>
      <c r="T195" s="20">
        <v>2.5104880199999999</v>
      </c>
      <c r="U195" s="39"/>
    </row>
    <row r="196" spans="1:21" x14ac:dyDescent="0.2">
      <c r="A196" s="42"/>
      <c r="S196" s="11" t="s">
        <v>9285</v>
      </c>
      <c r="T196" s="20">
        <v>2.4946958399999999</v>
      </c>
      <c r="U196" s="39"/>
    </row>
    <row r="197" spans="1:21" x14ac:dyDescent="0.2">
      <c r="A197" s="42"/>
      <c r="S197" s="11" t="s">
        <v>3539</v>
      </c>
      <c r="T197" s="20">
        <v>2.4944524299999999</v>
      </c>
      <c r="U197" s="39"/>
    </row>
    <row r="198" spans="1:21" x14ac:dyDescent="0.2">
      <c r="A198" s="42"/>
      <c r="S198" s="10" t="s">
        <v>14264</v>
      </c>
      <c r="T198" s="21">
        <v>2.4658827188051093</v>
      </c>
      <c r="U198" s="40"/>
    </row>
    <row r="199" spans="1:21" x14ac:dyDescent="0.2">
      <c r="A199" s="42"/>
      <c r="S199" s="11" t="s">
        <v>5920</v>
      </c>
      <c r="T199" s="20">
        <v>2.4633087200000001</v>
      </c>
      <c r="U199" s="39"/>
    </row>
    <row r="200" spans="1:21" x14ac:dyDescent="0.2">
      <c r="A200" s="42"/>
      <c r="S200" s="10" t="s">
        <v>14832</v>
      </c>
      <c r="T200" s="21">
        <v>2.4557334764799923</v>
      </c>
      <c r="U200" s="40"/>
    </row>
    <row r="201" spans="1:21" x14ac:dyDescent="0.2">
      <c r="A201" s="42"/>
      <c r="S201" s="11" t="s">
        <v>14320</v>
      </c>
      <c r="T201" s="20">
        <v>2.44814482</v>
      </c>
      <c r="U201" s="39"/>
    </row>
    <row r="202" spans="1:21" x14ac:dyDescent="0.2">
      <c r="A202" s="42"/>
      <c r="S202" s="11" t="s">
        <v>952</v>
      </c>
      <c r="T202" s="20">
        <v>2.44797508</v>
      </c>
      <c r="U202" s="39"/>
    </row>
    <row r="203" spans="1:21" x14ac:dyDescent="0.2">
      <c r="A203" s="42"/>
      <c r="S203" s="11" t="s">
        <v>13794</v>
      </c>
      <c r="T203" s="20">
        <v>2.4469431199999998</v>
      </c>
      <c r="U203" s="39"/>
    </row>
    <row r="204" spans="1:21" x14ac:dyDescent="0.2">
      <c r="A204" s="42"/>
      <c r="S204" s="11" t="s">
        <v>11944</v>
      </c>
      <c r="T204" s="20">
        <v>2.4374346600000001</v>
      </c>
      <c r="U204" s="39"/>
    </row>
    <row r="205" spans="1:21" x14ac:dyDescent="0.2">
      <c r="A205" s="42"/>
      <c r="S205" s="11" t="s">
        <v>10180</v>
      </c>
      <c r="T205" s="20">
        <v>2.4317500999999999</v>
      </c>
      <c r="U205" s="39"/>
    </row>
    <row r="206" spans="1:21" x14ac:dyDescent="0.2">
      <c r="A206" s="42"/>
      <c r="S206" s="11" t="s">
        <v>6557</v>
      </c>
      <c r="T206" s="20">
        <v>2.42257934</v>
      </c>
      <c r="U206" s="39"/>
    </row>
    <row r="207" spans="1:21" x14ac:dyDescent="0.2">
      <c r="A207" s="42"/>
      <c r="S207" s="10" t="s">
        <v>14833</v>
      </c>
      <c r="T207" s="20">
        <v>2.4043285577118638</v>
      </c>
      <c r="U207" s="39"/>
    </row>
    <row r="208" spans="1:21" x14ac:dyDescent="0.2">
      <c r="A208" s="42"/>
      <c r="S208" s="10" t="s">
        <v>14834</v>
      </c>
      <c r="T208" s="20">
        <v>2.3896511107642122</v>
      </c>
      <c r="U208" s="39"/>
    </row>
    <row r="209" spans="1:21" x14ac:dyDescent="0.2">
      <c r="A209" s="42"/>
      <c r="S209" s="11" t="s">
        <v>5754</v>
      </c>
      <c r="T209" s="20">
        <v>2.3840881299999999</v>
      </c>
      <c r="U209" s="39"/>
    </row>
    <row r="210" spans="1:21" x14ac:dyDescent="0.2">
      <c r="A210" s="42"/>
      <c r="S210" s="11" t="s">
        <v>5654</v>
      </c>
      <c r="T210" s="20">
        <v>2.3740384899999998</v>
      </c>
      <c r="U210" s="39"/>
    </row>
    <row r="211" spans="1:21" x14ac:dyDescent="0.2">
      <c r="A211" s="42"/>
      <c r="S211" s="11" t="s">
        <v>7382</v>
      </c>
      <c r="T211" s="20">
        <v>2.3732021699999999</v>
      </c>
      <c r="U211" s="39"/>
    </row>
    <row r="212" spans="1:21" x14ac:dyDescent="0.2">
      <c r="A212" s="42"/>
      <c r="S212" s="10" t="s">
        <v>14835</v>
      </c>
      <c r="T212" s="20">
        <v>2.3613504247647152</v>
      </c>
      <c r="U212" s="39"/>
    </row>
    <row r="213" spans="1:21" x14ac:dyDescent="0.2">
      <c r="A213" s="42"/>
      <c r="S213" s="11" t="s">
        <v>5943</v>
      </c>
      <c r="T213" s="20">
        <v>2.3589548100000002</v>
      </c>
      <c r="U213" s="39"/>
    </row>
    <row r="214" spans="1:21" x14ac:dyDescent="0.2">
      <c r="A214" s="42"/>
      <c r="S214" s="11" t="s">
        <v>14836</v>
      </c>
      <c r="T214" s="20">
        <v>2.34472418</v>
      </c>
      <c r="U214" s="39"/>
    </row>
    <row r="215" spans="1:21" x14ac:dyDescent="0.2">
      <c r="A215" s="42"/>
      <c r="S215" s="11" t="s">
        <v>4979</v>
      </c>
      <c r="T215" s="20">
        <v>2.3367719299999998</v>
      </c>
      <c r="U215" s="39"/>
    </row>
    <row r="216" spans="1:21" x14ac:dyDescent="0.2">
      <c r="S216" s="11" t="s">
        <v>5171</v>
      </c>
      <c r="T216" s="20">
        <v>2.3200671100000001</v>
      </c>
      <c r="U216" s="39"/>
    </row>
    <row r="217" spans="1:21" x14ac:dyDescent="0.2">
      <c r="A217" s="42"/>
      <c r="S217" s="11" t="s">
        <v>14435</v>
      </c>
      <c r="T217" s="20">
        <v>2.31945413</v>
      </c>
      <c r="U217" s="39"/>
    </row>
    <row r="218" spans="1:21" x14ac:dyDescent="0.2">
      <c r="S218" s="10" t="s">
        <v>14837</v>
      </c>
      <c r="T218" s="20">
        <v>2.3074640686789936</v>
      </c>
      <c r="U218" s="39"/>
    </row>
    <row r="219" spans="1:21" x14ac:dyDescent="0.2">
      <c r="A219" s="42"/>
      <c r="S219" s="10" t="s">
        <v>14838</v>
      </c>
      <c r="T219" s="20">
        <v>2.2942140484523303</v>
      </c>
      <c r="U219" s="39"/>
    </row>
    <row r="220" spans="1:21" x14ac:dyDescent="0.2">
      <c r="A220" s="42"/>
      <c r="S220" s="10" t="s">
        <v>14394</v>
      </c>
      <c r="T220" s="20">
        <v>2.2870691712641826</v>
      </c>
      <c r="U220" s="39"/>
    </row>
    <row r="221" spans="1:21" x14ac:dyDescent="0.2">
      <c r="A221" s="42"/>
      <c r="S221" s="10" t="s">
        <v>6213</v>
      </c>
      <c r="T221" s="20">
        <v>2.2845523517470934</v>
      </c>
      <c r="U221" s="39"/>
    </row>
    <row r="222" spans="1:21" x14ac:dyDescent="0.2">
      <c r="A222" s="42"/>
      <c r="S222" s="11" t="s">
        <v>14839</v>
      </c>
      <c r="T222" s="20">
        <v>2.28333005</v>
      </c>
      <c r="U222" s="39"/>
    </row>
    <row r="223" spans="1:21" x14ac:dyDescent="0.2">
      <c r="A223" s="42"/>
      <c r="S223" s="10" t="s">
        <v>14653</v>
      </c>
      <c r="T223" s="20">
        <v>2.2795263866027669</v>
      </c>
      <c r="U223" s="39"/>
    </row>
    <row r="224" spans="1:21" x14ac:dyDescent="0.2">
      <c r="A224" s="42"/>
      <c r="S224" s="10" t="s">
        <v>6272</v>
      </c>
      <c r="T224" s="20">
        <v>2.2777352857525219</v>
      </c>
      <c r="U224" s="39"/>
    </row>
    <row r="225" spans="1:21" x14ac:dyDescent="0.2">
      <c r="A225" s="42"/>
      <c r="S225" s="11" t="s">
        <v>11496</v>
      </c>
      <c r="T225" s="20">
        <v>2.2734654299999999</v>
      </c>
      <c r="U225" s="39"/>
    </row>
    <row r="226" spans="1:21" x14ac:dyDescent="0.2">
      <c r="A226" s="42"/>
      <c r="S226" s="11" t="s">
        <v>14179</v>
      </c>
      <c r="T226" s="20">
        <v>2.2527639000000002</v>
      </c>
      <c r="U226" s="39"/>
    </row>
    <row r="227" spans="1:21" x14ac:dyDescent="0.2">
      <c r="S227" s="11" t="s">
        <v>6609</v>
      </c>
      <c r="T227" s="20">
        <v>2.2526991999999999</v>
      </c>
      <c r="U227" s="39"/>
    </row>
    <row r="228" spans="1:21" x14ac:dyDescent="0.2">
      <c r="A228" s="42"/>
      <c r="S228" s="11" t="s">
        <v>14840</v>
      </c>
      <c r="T228" s="20">
        <v>2.2416322900000001</v>
      </c>
      <c r="U228" s="39"/>
    </row>
    <row r="229" spans="1:21" x14ac:dyDescent="0.2">
      <c r="A229" s="42"/>
      <c r="S229" s="10" t="s">
        <v>14841</v>
      </c>
      <c r="T229" s="20">
        <v>2.2353488547905687</v>
      </c>
      <c r="U229" s="39"/>
    </row>
    <row r="230" spans="1:21" x14ac:dyDescent="0.2">
      <c r="A230" s="42"/>
      <c r="S230" s="11" t="s">
        <v>14842</v>
      </c>
      <c r="T230" s="20">
        <v>2.2325585999999999</v>
      </c>
      <c r="U230" s="39"/>
    </row>
    <row r="231" spans="1:21" x14ac:dyDescent="0.2">
      <c r="A231" s="42"/>
      <c r="S231" s="11" t="s">
        <v>11179</v>
      </c>
      <c r="T231" s="20">
        <v>2.2288679600000001</v>
      </c>
      <c r="U231" s="39"/>
    </row>
    <row r="232" spans="1:21" x14ac:dyDescent="0.2">
      <c r="S232" s="10" t="s">
        <v>14843</v>
      </c>
      <c r="T232" s="20">
        <v>2.2273063436391891</v>
      </c>
      <c r="U232" s="39"/>
    </row>
    <row r="233" spans="1:21" x14ac:dyDescent="0.2">
      <c r="A233" s="42"/>
      <c r="S233" s="11" t="s">
        <v>7634</v>
      </c>
      <c r="T233" s="20">
        <v>2.2172895499999998</v>
      </c>
      <c r="U233" s="39"/>
    </row>
    <row r="234" spans="1:21" x14ac:dyDescent="0.2">
      <c r="S234" s="10" t="s">
        <v>14844</v>
      </c>
      <c r="T234" s="20">
        <v>2.2010617794804963</v>
      </c>
      <c r="U234" s="39"/>
    </row>
    <row r="235" spans="1:21" x14ac:dyDescent="0.2">
      <c r="A235" s="42"/>
      <c r="S235" s="11" t="s">
        <v>207</v>
      </c>
      <c r="T235" s="20">
        <v>2.1934022799999999</v>
      </c>
      <c r="U235" s="39"/>
    </row>
    <row r="236" spans="1:21" x14ac:dyDescent="0.2">
      <c r="A236" s="42"/>
      <c r="S236" s="11" t="s">
        <v>14845</v>
      </c>
      <c r="T236" s="20">
        <v>2.1915128199999998</v>
      </c>
      <c r="U236" s="39"/>
    </row>
    <row r="237" spans="1:21" x14ac:dyDescent="0.2">
      <c r="A237" s="42"/>
      <c r="S237" s="11" t="s">
        <v>303</v>
      </c>
      <c r="T237" s="20">
        <v>2.1821675200000001</v>
      </c>
      <c r="U237" s="39"/>
    </row>
    <row r="238" spans="1:21" x14ac:dyDescent="0.2">
      <c r="S238" s="11" t="s">
        <v>14306</v>
      </c>
      <c r="T238" s="20">
        <v>2.1758025600000002</v>
      </c>
      <c r="U238" s="39"/>
    </row>
    <row r="239" spans="1:21" x14ac:dyDescent="0.2">
      <c r="A239" s="42"/>
      <c r="S239" s="11" t="s">
        <v>14259</v>
      </c>
      <c r="T239" s="20">
        <v>2.17545952</v>
      </c>
      <c r="U239" s="39"/>
    </row>
    <row r="240" spans="1:21" x14ac:dyDescent="0.2">
      <c r="S240" s="11" t="s">
        <v>4539</v>
      </c>
      <c r="T240" s="20">
        <v>2.1642393700000002</v>
      </c>
      <c r="U240" s="39"/>
    </row>
    <row r="241" spans="1:21" x14ac:dyDescent="0.2">
      <c r="A241" s="42"/>
      <c r="S241" s="11" t="s">
        <v>415</v>
      </c>
      <c r="T241" s="20">
        <v>2.15698086</v>
      </c>
      <c r="U241" s="39"/>
    </row>
    <row r="242" spans="1:21" x14ac:dyDescent="0.2">
      <c r="A242" s="42"/>
      <c r="S242" s="11" t="s">
        <v>2405</v>
      </c>
      <c r="T242" s="20">
        <v>2.1461375500000002</v>
      </c>
      <c r="U242" s="39"/>
    </row>
    <row r="243" spans="1:21" x14ac:dyDescent="0.2">
      <c r="A243" s="42"/>
      <c r="S243" s="11" t="s">
        <v>711</v>
      </c>
      <c r="T243" s="20">
        <v>2.1460555700000001</v>
      </c>
      <c r="U243" s="39"/>
    </row>
    <row r="244" spans="1:21" x14ac:dyDescent="0.2">
      <c r="A244" s="42"/>
      <c r="S244" s="11" t="s">
        <v>5151</v>
      </c>
      <c r="T244" s="20">
        <v>2.1402167599999999</v>
      </c>
      <c r="U244" s="39"/>
    </row>
    <row r="245" spans="1:21" x14ac:dyDescent="0.2">
      <c r="A245" s="42"/>
      <c r="S245" s="11" t="s">
        <v>14846</v>
      </c>
      <c r="T245" s="20">
        <v>2.1308901699999998</v>
      </c>
      <c r="U245" s="39"/>
    </row>
    <row r="246" spans="1:21" x14ac:dyDescent="0.2">
      <c r="S246" s="11" t="s">
        <v>5800</v>
      </c>
      <c r="T246" s="20">
        <v>2.1268589100000002</v>
      </c>
      <c r="U246" s="39"/>
    </row>
    <row r="247" spans="1:21" x14ac:dyDescent="0.2">
      <c r="S247" s="11" t="s">
        <v>14452</v>
      </c>
      <c r="T247" s="20">
        <v>2.11454648</v>
      </c>
      <c r="U247" s="39"/>
    </row>
    <row r="248" spans="1:21" x14ac:dyDescent="0.2">
      <c r="A248" s="42"/>
      <c r="S248" s="11" t="s">
        <v>14732</v>
      </c>
      <c r="T248" s="20">
        <v>2.1104118999999999</v>
      </c>
      <c r="U248" s="39"/>
    </row>
    <row r="249" spans="1:21" x14ac:dyDescent="0.2">
      <c r="A249" s="42"/>
      <c r="S249" s="11" t="s">
        <v>1123</v>
      </c>
      <c r="T249" s="20">
        <v>2.1018122699999999</v>
      </c>
      <c r="U249" s="39"/>
    </row>
    <row r="250" spans="1:21" x14ac:dyDescent="0.2">
      <c r="A250" s="42"/>
      <c r="S250" s="11" t="s">
        <v>2511</v>
      </c>
      <c r="T250" s="20">
        <v>2.0950321299999999</v>
      </c>
      <c r="U250" s="39"/>
    </row>
    <row r="251" spans="1:21" x14ac:dyDescent="0.2">
      <c r="S251" s="11" t="s">
        <v>1295</v>
      </c>
      <c r="T251" s="20">
        <v>2.0911383699999999</v>
      </c>
      <c r="U251" s="39"/>
    </row>
    <row r="252" spans="1:21" x14ac:dyDescent="0.2">
      <c r="A252" s="42"/>
      <c r="S252" s="10" t="s">
        <v>8887</v>
      </c>
      <c r="T252" s="20">
        <v>2.0871557869853428</v>
      </c>
      <c r="U252" s="39"/>
    </row>
    <row r="253" spans="1:21" x14ac:dyDescent="0.2">
      <c r="A253" s="42"/>
      <c r="S253" s="11" t="s">
        <v>14029</v>
      </c>
      <c r="T253" s="20">
        <v>2.07907866</v>
      </c>
      <c r="U253" s="39"/>
    </row>
    <row r="254" spans="1:21" x14ac:dyDescent="0.2">
      <c r="A254" s="42"/>
      <c r="S254" s="11" t="s">
        <v>10801</v>
      </c>
      <c r="T254" s="20">
        <v>2.0747279999999999</v>
      </c>
      <c r="U254" s="39"/>
    </row>
    <row r="255" spans="1:21" x14ac:dyDescent="0.2">
      <c r="S255" s="11" t="s">
        <v>14000</v>
      </c>
      <c r="T255" s="20">
        <v>2.0621125600000001</v>
      </c>
      <c r="U255" s="39"/>
    </row>
    <row r="256" spans="1:21" x14ac:dyDescent="0.2">
      <c r="S256" s="11" t="s">
        <v>11573</v>
      </c>
      <c r="T256" s="20">
        <v>2.054189</v>
      </c>
      <c r="U256" s="39"/>
    </row>
    <row r="257" spans="1:21" x14ac:dyDescent="0.2">
      <c r="S257" s="11" t="s">
        <v>14425</v>
      </c>
      <c r="T257" s="20">
        <v>2.0410746</v>
      </c>
      <c r="U257" s="39"/>
    </row>
    <row r="258" spans="1:21" x14ac:dyDescent="0.2">
      <c r="S258" s="11" t="s">
        <v>6070</v>
      </c>
      <c r="T258" s="20">
        <v>2.0385904099999999</v>
      </c>
      <c r="U258" s="39"/>
    </row>
    <row r="259" spans="1:21" x14ac:dyDescent="0.2">
      <c r="A259" s="42"/>
      <c r="S259" s="11" t="s">
        <v>3546</v>
      </c>
      <c r="T259" s="20">
        <v>2.0302970400000002</v>
      </c>
      <c r="U259" s="39"/>
    </row>
    <row r="260" spans="1:21" x14ac:dyDescent="0.2">
      <c r="S260" s="11" t="s">
        <v>1674</v>
      </c>
      <c r="T260" s="20">
        <v>2.0183022500000001</v>
      </c>
      <c r="U260" s="39"/>
    </row>
    <row r="261" spans="1:21" x14ac:dyDescent="0.2">
      <c r="S261" s="11" t="s">
        <v>14117</v>
      </c>
      <c r="T261" s="20">
        <v>2.0162053499999999</v>
      </c>
      <c r="U261" s="39"/>
    </row>
    <row r="262" spans="1:21" x14ac:dyDescent="0.2">
      <c r="A262" s="42"/>
      <c r="S262" s="10" t="s">
        <v>14847</v>
      </c>
      <c r="T262" s="21">
        <v>2.0051368904255464</v>
      </c>
      <c r="U262" s="40"/>
    </row>
    <row r="263" spans="1:21" x14ac:dyDescent="0.2">
      <c r="A263" s="42"/>
      <c r="S263" s="22" t="s">
        <v>14848</v>
      </c>
      <c r="T263" s="23" t="s">
        <v>14849</v>
      </c>
      <c r="U263" s="39" t="s">
        <v>14929</v>
      </c>
    </row>
    <row r="264" spans="1:21" x14ac:dyDescent="0.2">
      <c r="A264" s="42"/>
      <c r="S264" s="22" t="s">
        <v>6225</v>
      </c>
      <c r="T264" s="23" t="s">
        <v>14849</v>
      </c>
      <c r="U264" s="39" t="s">
        <v>14888</v>
      </c>
    </row>
    <row r="265" spans="1:21" x14ac:dyDescent="0.2">
      <c r="S265" s="22" t="s">
        <v>14850</v>
      </c>
      <c r="T265" s="23" t="s">
        <v>14849</v>
      </c>
      <c r="U265" s="39"/>
    </row>
    <row r="266" spans="1:21" x14ac:dyDescent="0.2">
      <c r="A266" s="42"/>
      <c r="S266" s="22" t="s">
        <v>14851</v>
      </c>
      <c r="T266" s="23" t="s">
        <v>14849</v>
      </c>
      <c r="U266" s="39"/>
    </row>
    <row r="267" spans="1:21" x14ac:dyDescent="0.2">
      <c r="A267" s="42"/>
      <c r="S267" s="22" t="s">
        <v>14163</v>
      </c>
      <c r="T267" s="23" t="s">
        <v>14849</v>
      </c>
      <c r="U267" s="39"/>
    </row>
    <row r="268" spans="1:21" x14ac:dyDescent="0.2">
      <c r="S268" s="22" t="s">
        <v>14852</v>
      </c>
      <c r="T268" s="23" t="s">
        <v>14849</v>
      </c>
      <c r="U268" s="39"/>
    </row>
    <row r="269" spans="1:21" x14ac:dyDescent="0.2">
      <c r="S269" s="22" t="s">
        <v>14853</v>
      </c>
      <c r="T269" s="23" t="s">
        <v>14849</v>
      </c>
      <c r="U269" s="39"/>
    </row>
    <row r="270" spans="1:21" x14ac:dyDescent="0.2">
      <c r="A270" s="42"/>
      <c r="S270" s="22" t="s">
        <v>14183</v>
      </c>
      <c r="T270" s="23" t="s">
        <v>14849</v>
      </c>
      <c r="U270" s="39"/>
    </row>
    <row r="271" spans="1:21" x14ac:dyDescent="0.2">
      <c r="A271" s="42"/>
      <c r="S271" s="22" t="s">
        <v>14165</v>
      </c>
      <c r="T271" s="23" t="s">
        <v>14849</v>
      </c>
      <c r="U271" s="39"/>
    </row>
    <row r="272" spans="1:21" x14ac:dyDescent="0.2">
      <c r="A272" s="42"/>
      <c r="S272" s="22" t="s">
        <v>14854</v>
      </c>
      <c r="T272" s="23" t="s">
        <v>14849</v>
      </c>
      <c r="U272" s="39"/>
    </row>
    <row r="273" spans="1:21" x14ac:dyDescent="0.2">
      <c r="A273" s="42"/>
      <c r="S273" s="22" t="s">
        <v>14855</v>
      </c>
      <c r="T273" s="23" t="s">
        <v>14849</v>
      </c>
      <c r="U273" s="39"/>
    </row>
    <row r="274" spans="1:21" x14ac:dyDescent="0.2">
      <c r="A274" s="42"/>
      <c r="S274" s="22" t="s">
        <v>11544</v>
      </c>
      <c r="T274" s="23" t="s">
        <v>14849</v>
      </c>
      <c r="U274" s="39"/>
    </row>
    <row r="275" spans="1:21" x14ac:dyDescent="0.2">
      <c r="A275" s="42"/>
      <c r="S275" s="22" t="s">
        <v>10878</v>
      </c>
      <c r="T275" s="23" t="s">
        <v>14849</v>
      </c>
      <c r="U275" s="39"/>
    </row>
    <row r="276" spans="1:21" x14ac:dyDescent="0.2">
      <c r="A276" s="42"/>
      <c r="S276" s="22" t="s">
        <v>14856</v>
      </c>
      <c r="T276" s="23" t="s">
        <v>14849</v>
      </c>
      <c r="U276" s="39"/>
    </row>
    <row r="277" spans="1:21" x14ac:dyDescent="0.2">
      <c r="A277" s="42"/>
      <c r="S277" s="22" t="s">
        <v>14857</v>
      </c>
      <c r="T277" s="23" t="s">
        <v>14849</v>
      </c>
      <c r="U277" s="39"/>
    </row>
    <row r="278" spans="1:21" x14ac:dyDescent="0.2">
      <c r="A278" s="42"/>
      <c r="S278" s="22" t="s">
        <v>14858</v>
      </c>
      <c r="T278" s="23" t="s">
        <v>14849</v>
      </c>
      <c r="U278" s="39"/>
    </row>
    <row r="279" spans="1:21" x14ac:dyDescent="0.2">
      <c r="A279" s="42"/>
      <c r="S279" s="22" t="s">
        <v>14859</v>
      </c>
      <c r="T279" s="23" t="s">
        <v>14849</v>
      </c>
      <c r="U279" s="39"/>
    </row>
    <row r="280" spans="1:21" x14ac:dyDescent="0.2">
      <c r="A280" s="42"/>
      <c r="S280" s="22" t="s">
        <v>14860</v>
      </c>
      <c r="T280" s="23" t="s">
        <v>14849</v>
      </c>
      <c r="U280" s="39"/>
    </row>
    <row r="281" spans="1:21" x14ac:dyDescent="0.2">
      <c r="A281" s="42"/>
      <c r="S281" s="22" t="s">
        <v>14516</v>
      </c>
      <c r="T281" s="23" t="s">
        <v>14849</v>
      </c>
      <c r="U281" s="39"/>
    </row>
    <row r="282" spans="1:21" x14ac:dyDescent="0.2">
      <c r="A282" s="42"/>
      <c r="S282" s="22" t="s">
        <v>14861</v>
      </c>
      <c r="T282" s="23" t="s">
        <v>14849</v>
      </c>
      <c r="U282" s="39"/>
    </row>
    <row r="283" spans="1:21" x14ac:dyDescent="0.2">
      <c r="A283" s="42"/>
      <c r="S283" s="22" t="s">
        <v>13446</v>
      </c>
      <c r="T283" s="23" t="s">
        <v>14849</v>
      </c>
      <c r="U283" s="39"/>
    </row>
    <row r="284" spans="1:21" x14ac:dyDescent="0.2">
      <c r="A284" s="42"/>
      <c r="S284" s="22" t="s">
        <v>14160</v>
      </c>
      <c r="T284" s="23" t="s">
        <v>14849</v>
      </c>
      <c r="U284" s="39"/>
    </row>
    <row r="285" spans="1:21" x14ac:dyDescent="0.2">
      <c r="A285" s="42"/>
      <c r="S285" s="22" t="s">
        <v>4118</v>
      </c>
      <c r="T285" s="23" t="s">
        <v>14849</v>
      </c>
      <c r="U285" s="39"/>
    </row>
    <row r="286" spans="1:21" x14ac:dyDescent="0.2">
      <c r="S286" s="22" t="s">
        <v>14862</v>
      </c>
      <c r="T286" s="23" t="s">
        <v>14849</v>
      </c>
      <c r="U286" s="39"/>
    </row>
    <row r="287" spans="1:21" x14ac:dyDescent="0.2">
      <c r="A287" s="42"/>
      <c r="S287" s="22" t="s">
        <v>8872</v>
      </c>
      <c r="T287" s="23" t="s">
        <v>14849</v>
      </c>
      <c r="U287" s="39"/>
    </row>
    <row r="288" spans="1:21" x14ac:dyDescent="0.2">
      <c r="A288" s="42"/>
      <c r="S288" s="22" t="s">
        <v>11283</v>
      </c>
      <c r="T288" s="23" t="s">
        <v>14849</v>
      </c>
      <c r="U288" s="39"/>
    </row>
    <row r="289" spans="1:21" x14ac:dyDescent="0.2">
      <c r="A289" s="42"/>
      <c r="S289" s="22" t="s">
        <v>14863</v>
      </c>
      <c r="T289" s="23" t="s">
        <v>14849</v>
      </c>
      <c r="U289" s="39"/>
    </row>
    <row r="290" spans="1:21" x14ac:dyDescent="0.2">
      <c r="A290" s="42"/>
    </row>
    <row r="291" spans="1:21" x14ac:dyDescent="0.2">
      <c r="A291" s="42"/>
    </row>
    <row r="292" spans="1:21" x14ac:dyDescent="0.2">
      <c r="A292" s="42"/>
    </row>
    <row r="293" spans="1:21" x14ac:dyDescent="0.2">
      <c r="A293" s="42"/>
    </row>
    <row r="294" spans="1:21" x14ac:dyDescent="0.2">
      <c r="A294" s="42"/>
    </row>
    <row r="295" spans="1:21" x14ac:dyDescent="0.2">
      <c r="A295" s="42"/>
    </row>
  </sheetData>
  <autoFilter ref="A1:A107" xr:uid="{3B5C94D1-BFD9-FF47-9C21-749FB86C34CC}">
    <sortState xmlns:xlrd2="http://schemas.microsoft.com/office/spreadsheetml/2017/richdata2" ref="A2:Q300">
      <sortCondition sortBy="fontColor" ref="A1:A300" dxfId="168"/>
    </sortState>
  </autoFilter>
  <sortState xmlns:xlrd2="http://schemas.microsoft.com/office/spreadsheetml/2017/richdata2" ref="A2:Q347">
    <sortCondition descending="1" ref="E1:E347"/>
  </sortState>
  <conditionalFormatting sqref="A1:A1048576">
    <cfRule type="duplicateValues" dxfId="162" priority="1"/>
  </conditionalFormatting>
  <conditionalFormatting sqref="A56:A59">
    <cfRule type="duplicateValues" dxfId="161" priority="14"/>
    <cfRule type="duplicateValues" dxfId="160" priority="15"/>
  </conditionalFormatting>
  <conditionalFormatting sqref="A148:A174">
    <cfRule type="duplicateValues" dxfId="159" priority="2"/>
    <cfRule type="duplicateValues" dxfId="158" priority="3"/>
  </conditionalFormatting>
  <conditionalFormatting sqref="A175:A1048576 A1:A147">
    <cfRule type="duplicateValues" dxfId="157" priority="4"/>
  </conditionalFormatting>
  <conditionalFormatting sqref="A262:A296">
    <cfRule type="duplicateValues" dxfId="156" priority="5"/>
    <cfRule type="duplicateValues" dxfId="155" priority="6"/>
  </conditionalFormatting>
  <conditionalFormatting sqref="A297:A1048576 A1:A20">
    <cfRule type="duplicateValues" dxfId="154" priority="21"/>
  </conditionalFormatting>
  <conditionalFormatting sqref="A297:A1048576 A1:A32">
    <cfRule type="duplicateValues" dxfId="153" priority="20"/>
  </conditionalFormatting>
  <conditionalFormatting sqref="A297:A1048576 A1:A42">
    <cfRule type="duplicateValues" dxfId="152" priority="19"/>
  </conditionalFormatting>
  <conditionalFormatting sqref="A297:A1048576 A1:A55">
    <cfRule type="duplicateValues" dxfId="151" priority="16"/>
  </conditionalFormatting>
  <conditionalFormatting sqref="A297:A1048576 A1:A59">
    <cfRule type="duplicateValues" dxfId="150" priority="13"/>
  </conditionalFormatting>
  <conditionalFormatting sqref="A297:A1048576 A1:A79">
    <cfRule type="duplicateValues" dxfId="149" priority="8"/>
  </conditionalFormatting>
  <conditionalFormatting sqref="A297:A1048576 A1:A102">
    <cfRule type="duplicateValues" dxfId="148" priority="7"/>
  </conditionalFormatting>
  <conditionalFormatting sqref="S228:S262">
    <cfRule type="duplicateValues" dxfId="147" priority="11"/>
    <cfRule type="duplicateValues" dxfId="146" priority="12"/>
  </conditionalFormatting>
  <conditionalFormatting sqref="S263:S289">
    <cfRule type="duplicateValues" dxfId="145" priority="9"/>
    <cfRule type="duplicateValues" dxfId="144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99F4-BF9F-754E-A2FC-01B9C277C1DD}">
  <dimension ref="A1:V11642"/>
  <sheetViews>
    <sheetView topLeftCell="J1" workbookViewId="0">
      <pane ySplit="1" topLeftCell="A2" activePane="bottomLeft" state="frozen"/>
      <selection pane="bottomLeft" activeCell="O16" sqref="O16"/>
    </sheetView>
  </sheetViews>
  <sheetFormatPr baseColWidth="10" defaultRowHeight="16" x14ac:dyDescent="0.2"/>
  <cols>
    <col min="1" max="1" width="15" style="24" customWidth="1"/>
    <col min="2" max="2" width="11" style="24" customWidth="1"/>
    <col min="3" max="3" width="15.5" style="24" customWidth="1"/>
    <col min="4" max="4" width="8.33203125" style="24" customWidth="1"/>
    <col min="5" max="15" width="10.83203125" style="24"/>
    <col min="16" max="16" width="29.83203125" style="24" customWidth="1"/>
    <col min="17" max="18" width="10.83203125" style="24"/>
    <col min="19" max="19" width="30.83203125" style="24" customWidth="1"/>
    <col min="20" max="20" width="10.5" style="24" customWidth="1"/>
    <col min="21" max="21" width="28" style="24" customWidth="1"/>
    <col min="22" max="22" width="92.33203125" style="24" customWidth="1"/>
    <col min="23" max="16384" width="10.83203125" style="24"/>
  </cols>
  <sheetData>
    <row r="1" spans="1:22" x14ac:dyDescent="0.2">
      <c r="A1" s="7" t="s">
        <v>14897</v>
      </c>
      <c r="B1" s="7" t="s">
        <v>14890</v>
      </c>
      <c r="C1" s="7" t="s">
        <v>14892</v>
      </c>
      <c r="D1" s="7" t="s">
        <v>14789</v>
      </c>
      <c r="E1" s="7" t="s">
        <v>14800</v>
      </c>
      <c r="F1" s="7" t="s">
        <v>14889</v>
      </c>
      <c r="G1" s="7" t="s">
        <v>9</v>
      </c>
      <c r="H1" s="7" t="s">
        <v>10</v>
      </c>
      <c r="I1" s="7" t="s">
        <v>11</v>
      </c>
      <c r="J1" s="7" t="s">
        <v>14792</v>
      </c>
      <c r="K1" s="7" t="s">
        <v>14794</v>
      </c>
      <c r="L1" s="7" t="s">
        <v>14801</v>
      </c>
      <c r="M1" s="7" t="s">
        <v>14802</v>
      </c>
      <c r="N1" s="7" t="s">
        <v>14793</v>
      </c>
      <c r="O1" s="7" t="s">
        <v>14923</v>
      </c>
      <c r="P1" s="7" t="s">
        <v>14924</v>
      </c>
      <c r="Q1" s="7" t="s">
        <v>14803</v>
      </c>
      <c r="S1" s="7" t="s">
        <v>14925</v>
      </c>
      <c r="T1" s="7" t="s">
        <v>14804</v>
      </c>
      <c r="U1" s="7"/>
      <c r="V1" s="7" t="s">
        <v>14919</v>
      </c>
    </row>
    <row r="2" spans="1:22" x14ac:dyDescent="0.2">
      <c r="A2" s="24" t="str">
        <f>"M01H9.3"</f>
        <v>M01H9.3</v>
      </c>
      <c r="B2" s="24" t="s">
        <v>2517</v>
      </c>
      <c r="C2" s="24" t="s">
        <v>2518</v>
      </c>
      <c r="D2" s="24" t="s">
        <v>29</v>
      </c>
      <c r="E2" s="24" t="s">
        <v>29</v>
      </c>
      <c r="F2" s="24" t="s">
        <v>29</v>
      </c>
      <c r="G2" s="24" t="s">
        <v>14849</v>
      </c>
      <c r="H2" s="24" t="s">
        <v>14849</v>
      </c>
      <c r="I2" s="24" t="s">
        <v>14849</v>
      </c>
      <c r="J2" s="24" t="s">
        <v>14849</v>
      </c>
      <c r="K2" s="24">
        <v>16.283879849001199</v>
      </c>
      <c r="L2" s="24">
        <v>16.027675982681298</v>
      </c>
      <c r="M2" s="24">
        <v>16.830239534060599</v>
      </c>
      <c r="N2" s="24">
        <f t="shared" ref="N2:N33" si="0">(K2+L2+M2)/3</f>
        <v>16.380598455247696</v>
      </c>
      <c r="O2" s="24" t="str">
        <f t="shared" ref="O2:O33" si="1">IFERROR(INDEX(T:T, MATCH(A2, S:S, 0)), "ND")</f>
        <v>ND</v>
      </c>
      <c r="P2" s="24" t="str">
        <f t="shared" ref="P2:P33" si="2">IFERROR(E2/O2, "NA")</f>
        <v>NA</v>
      </c>
      <c r="Q2" s="24" t="s">
        <v>14920</v>
      </c>
      <c r="S2" s="12" t="s">
        <v>5634</v>
      </c>
      <c r="T2" s="13">
        <v>131.944345</v>
      </c>
      <c r="U2" s="39" t="s">
        <v>14926</v>
      </c>
      <c r="V2" s="24" t="s">
        <v>14916</v>
      </c>
    </row>
    <row r="3" spans="1:22" x14ac:dyDescent="0.2">
      <c r="A3" s="10" t="str">
        <f>"tap-1"</f>
        <v>tap-1</v>
      </c>
      <c r="B3" s="10" t="s">
        <v>1669</v>
      </c>
      <c r="C3" s="10" t="s">
        <v>1671</v>
      </c>
      <c r="D3" s="10" t="s">
        <v>29</v>
      </c>
      <c r="E3" s="10" t="s">
        <v>29</v>
      </c>
      <c r="F3" s="10" t="s">
        <v>29</v>
      </c>
      <c r="G3" s="10" t="s">
        <v>14849</v>
      </c>
      <c r="H3" s="10" t="s">
        <v>14849</v>
      </c>
      <c r="I3" s="10" t="s">
        <v>14849</v>
      </c>
      <c r="J3" s="10" t="s">
        <v>14849</v>
      </c>
      <c r="K3" s="10">
        <v>16.076813620261898</v>
      </c>
      <c r="L3" s="10">
        <v>16.164836016760798</v>
      </c>
      <c r="M3" s="10">
        <v>15.972823901541201</v>
      </c>
      <c r="N3" s="10">
        <f t="shared" si="0"/>
        <v>16.071491179521299</v>
      </c>
      <c r="O3" s="10">
        <f t="shared" si="1"/>
        <v>2.7583972946551407</v>
      </c>
      <c r="P3" s="10" t="str">
        <f t="shared" si="2"/>
        <v>NA</v>
      </c>
      <c r="Q3" s="60" t="s">
        <v>14921</v>
      </c>
      <c r="S3" s="12" t="s">
        <v>8063</v>
      </c>
      <c r="T3" s="13">
        <v>58.276928099999999</v>
      </c>
      <c r="U3" s="39" t="s">
        <v>14917</v>
      </c>
      <c r="V3" s="24" t="s">
        <v>14918</v>
      </c>
    </row>
    <row r="4" spans="1:22" x14ac:dyDescent="0.2">
      <c r="A4" s="10" t="str">
        <f>"K02B12.7"</f>
        <v>K02B12.7</v>
      </c>
      <c r="B4" s="10" t="s">
        <v>6097</v>
      </c>
      <c r="C4" s="10" t="s">
        <v>3609</v>
      </c>
      <c r="D4" s="10" t="s">
        <v>29</v>
      </c>
      <c r="E4" s="10" t="s">
        <v>29</v>
      </c>
      <c r="F4" s="10" t="s">
        <v>29</v>
      </c>
      <c r="G4" s="10" t="s">
        <v>14849</v>
      </c>
      <c r="H4" s="10" t="s">
        <v>14849</v>
      </c>
      <c r="I4" s="10" t="s">
        <v>14849</v>
      </c>
      <c r="J4" s="10" t="s">
        <v>14849</v>
      </c>
      <c r="K4" s="10">
        <v>14.1905332042775</v>
      </c>
      <c r="L4" s="10">
        <v>14.222445539632099</v>
      </c>
      <c r="M4" s="10">
        <v>13.9904131418731</v>
      </c>
      <c r="N4" s="10">
        <f t="shared" si="0"/>
        <v>14.134463961927565</v>
      </c>
      <c r="O4" s="10">
        <f t="shared" si="1"/>
        <v>4.0086542005910042</v>
      </c>
      <c r="P4" s="10" t="str">
        <f t="shared" si="2"/>
        <v>NA</v>
      </c>
      <c r="S4" s="12" t="s">
        <v>14173</v>
      </c>
      <c r="T4" s="13">
        <v>45.449789099999997</v>
      </c>
      <c r="U4" s="39"/>
      <c r="V4" s="24" t="s">
        <v>14930</v>
      </c>
    </row>
    <row r="5" spans="1:22" x14ac:dyDescent="0.2">
      <c r="A5" s="10" t="str">
        <f>"del-6"</f>
        <v>del-6</v>
      </c>
      <c r="B5" s="10" t="s">
        <v>10912</v>
      </c>
      <c r="C5" s="10" t="s">
        <v>10914</v>
      </c>
      <c r="D5" s="10" t="s">
        <v>29</v>
      </c>
      <c r="E5" s="10" t="s">
        <v>29</v>
      </c>
      <c r="F5" s="10" t="s">
        <v>29</v>
      </c>
      <c r="G5" s="10" t="s">
        <v>14849</v>
      </c>
      <c r="H5" s="10" t="s">
        <v>14849</v>
      </c>
      <c r="I5" s="10" t="s">
        <v>14849</v>
      </c>
      <c r="J5" s="10" t="s">
        <v>14849</v>
      </c>
      <c r="K5" s="10">
        <v>14.4191380586935</v>
      </c>
      <c r="L5" s="10">
        <v>14.403996093379799</v>
      </c>
      <c r="M5" s="10">
        <v>13.471512081460499</v>
      </c>
      <c r="N5" s="10">
        <f t="shared" si="0"/>
        <v>14.098215411177932</v>
      </c>
      <c r="O5" s="10">
        <f t="shared" si="1"/>
        <v>2.8898607958470506</v>
      </c>
      <c r="P5" s="10" t="str">
        <f t="shared" si="2"/>
        <v>NA</v>
      </c>
      <c r="S5" s="12" t="s">
        <v>3109</v>
      </c>
      <c r="T5" s="13">
        <v>28.1004726</v>
      </c>
      <c r="U5" s="39"/>
      <c r="V5" s="24" t="s">
        <v>14931</v>
      </c>
    </row>
    <row r="6" spans="1:22" x14ac:dyDescent="0.2">
      <c r="A6" s="24" t="str">
        <f>"hmr-1"</f>
        <v>hmr-1</v>
      </c>
      <c r="B6" s="24" t="s">
        <v>11978</v>
      </c>
      <c r="C6" s="24" t="s">
        <v>11980</v>
      </c>
      <c r="D6" s="24" t="s">
        <v>29</v>
      </c>
      <c r="E6" s="24" t="s">
        <v>29</v>
      </c>
      <c r="F6" s="24" t="s">
        <v>29</v>
      </c>
      <c r="G6" s="24" t="s">
        <v>14849</v>
      </c>
      <c r="H6" s="24" t="s">
        <v>14849</v>
      </c>
      <c r="I6" s="24" t="s">
        <v>14849</v>
      </c>
      <c r="J6" s="24" t="s">
        <v>14849</v>
      </c>
      <c r="K6" s="24">
        <v>14.2393687334246</v>
      </c>
      <c r="L6" s="24">
        <v>14.167270347743999</v>
      </c>
      <c r="M6" s="24">
        <v>13.596089611969999</v>
      </c>
      <c r="N6" s="24">
        <f t="shared" si="0"/>
        <v>14.000909564379533</v>
      </c>
      <c r="O6" s="24" t="str">
        <f t="shared" si="1"/>
        <v>ND</v>
      </c>
      <c r="P6" s="24" t="str">
        <f t="shared" si="2"/>
        <v>NA</v>
      </c>
      <c r="S6" s="12" t="s">
        <v>4604</v>
      </c>
      <c r="T6" s="13">
        <v>27.4262218</v>
      </c>
      <c r="U6" s="39"/>
    </row>
    <row r="7" spans="1:22" x14ac:dyDescent="0.2">
      <c r="A7" s="10" t="str">
        <f>"F25H8.2"</f>
        <v>F25H8.2</v>
      </c>
      <c r="B7" s="10" t="s">
        <v>8431</v>
      </c>
      <c r="C7" s="10" t="s">
        <v>8432</v>
      </c>
      <c r="D7" s="10" t="s">
        <v>29</v>
      </c>
      <c r="E7" s="10" t="s">
        <v>29</v>
      </c>
      <c r="F7" s="10" t="s">
        <v>29</v>
      </c>
      <c r="G7" s="10" t="s">
        <v>14849</v>
      </c>
      <c r="H7" s="10" t="s">
        <v>14849</v>
      </c>
      <c r="I7" s="10" t="s">
        <v>14849</v>
      </c>
      <c r="J7" s="10" t="s">
        <v>14849</v>
      </c>
      <c r="K7" s="10">
        <v>14.143019916999799</v>
      </c>
      <c r="L7" s="10">
        <v>13.941655486266599</v>
      </c>
      <c r="M7" s="10">
        <v>13.8628896536478</v>
      </c>
      <c r="N7" s="10">
        <f t="shared" si="0"/>
        <v>13.982521685638067</v>
      </c>
      <c r="O7" s="10">
        <f t="shared" si="1"/>
        <v>2.7286739180665229</v>
      </c>
      <c r="P7" s="10" t="str">
        <f t="shared" si="2"/>
        <v>NA</v>
      </c>
      <c r="S7" s="12" t="s">
        <v>14303</v>
      </c>
      <c r="T7" s="13">
        <v>25.5388345</v>
      </c>
      <c r="U7" s="39"/>
    </row>
    <row r="8" spans="1:22" x14ac:dyDescent="0.2">
      <c r="A8" s="10" t="str">
        <f>"eef-1B.1"</f>
        <v>eef-1B.1</v>
      </c>
      <c r="B8" s="10" t="s">
        <v>5146</v>
      </c>
      <c r="C8" s="10" t="s">
        <v>5148</v>
      </c>
      <c r="D8" s="10" t="s">
        <v>29</v>
      </c>
      <c r="E8" s="10" t="s">
        <v>29</v>
      </c>
      <c r="F8" s="10" t="s">
        <v>29</v>
      </c>
      <c r="G8" s="10" t="s">
        <v>14849</v>
      </c>
      <c r="H8" s="10" t="s">
        <v>14849</v>
      </c>
      <c r="I8" s="10" t="s">
        <v>14849</v>
      </c>
      <c r="J8" s="10" t="s">
        <v>14849</v>
      </c>
      <c r="K8" s="10">
        <v>13.908601649522</v>
      </c>
      <c r="L8" s="10">
        <v>13.5220829725003</v>
      </c>
      <c r="M8" s="10">
        <v>13.362181534884201</v>
      </c>
      <c r="N8" s="10">
        <f t="shared" si="0"/>
        <v>13.597622052302166</v>
      </c>
      <c r="O8" s="10">
        <f t="shared" si="1"/>
        <v>3.4624468677270763</v>
      </c>
      <c r="P8" s="10" t="str">
        <f t="shared" si="2"/>
        <v>NA</v>
      </c>
      <c r="S8" s="12" t="s">
        <v>1545</v>
      </c>
      <c r="T8" s="13">
        <v>19.488423999999998</v>
      </c>
      <c r="U8" s="39"/>
    </row>
    <row r="9" spans="1:22" x14ac:dyDescent="0.2">
      <c r="A9" s="24" t="str">
        <f>"unc-25"</f>
        <v>unc-25</v>
      </c>
      <c r="B9" s="24" t="s">
        <v>1360</v>
      </c>
      <c r="C9" s="24" t="s">
        <v>1362</v>
      </c>
      <c r="D9" s="24" t="s">
        <v>29</v>
      </c>
      <c r="E9" s="24" t="s">
        <v>29</v>
      </c>
      <c r="F9" s="24" t="s">
        <v>29</v>
      </c>
      <c r="G9" s="24" t="s">
        <v>14849</v>
      </c>
      <c r="H9" s="24" t="s">
        <v>14849</v>
      </c>
      <c r="I9" s="24" t="s">
        <v>14849</v>
      </c>
      <c r="J9" s="24" t="s">
        <v>14849</v>
      </c>
      <c r="K9" s="24">
        <v>13.4940009441053</v>
      </c>
      <c r="L9" s="24">
        <v>13.466625811318099</v>
      </c>
      <c r="M9" s="24">
        <v>13.6531202034113</v>
      </c>
      <c r="N9" s="24">
        <f t="shared" si="0"/>
        <v>13.537915652944898</v>
      </c>
      <c r="O9" s="24" t="str">
        <f t="shared" si="1"/>
        <v>ND</v>
      </c>
      <c r="P9" s="24" t="str">
        <f t="shared" si="2"/>
        <v>NA</v>
      </c>
      <c r="S9" s="12" t="s">
        <v>7421</v>
      </c>
      <c r="T9" s="13">
        <v>16.838587100000002</v>
      </c>
      <c r="U9" s="39"/>
    </row>
    <row r="10" spans="1:22" x14ac:dyDescent="0.2">
      <c r="A10" s="10" t="str">
        <f>"ppfr-4"</f>
        <v>ppfr-4</v>
      </c>
      <c r="B10" s="10" t="s">
        <v>12485</v>
      </c>
      <c r="C10" s="10" t="s">
        <v>12487</v>
      </c>
      <c r="D10" s="10" t="s">
        <v>29</v>
      </c>
      <c r="E10" s="10" t="s">
        <v>29</v>
      </c>
      <c r="F10" s="10" t="s">
        <v>29</v>
      </c>
      <c r="G10" s="10" t="s">
        <v>14849</v>
      </c>
      <c r="H10" s="10" t="s">
        <v>14849</v>
      </c>
      <c r="I10" s="10" t="s">
        <v>14849</v>
      </c>
      <c r="J10" s="10" t="s">
        <v>14849</v>
      </c>
      <c r="K10" s="10">
        <v>13.544096370940199</v>
      </c>
      <c r="L10" s="10">
        <v>13.5560782256737</v>
      </c>
      <c r="M10" s="10">
        <v>13.282191478542201</v>
      </c>
      <c r="N10" s="10">
        <f t="shared" si="0"/>
        <v>13.460788691718699</v>
      </c>
      <c r="O10" s="10">
        <f t="shared" si="1"/>
        <v>3.69990569</v>
      </c>
      <c r="P10" s="10" t="str">
        <f t="shared" si="2"/>
        <v>NA</v>
      </c>
      <c r="S10" s="12" t="s">
        <v>13243</v>
      </c>
      <c r="T10" s="13">
        <v>15.862799600000001</v>
      </c>
      <c r="U10" s="39"/>
    </row>
    <row r="11" spans="1:22" x14ac:dyDescent="0.2">
      <c r="A11" s="22" t="str">
        <f>"Y62E10A.13"</f>
        <v>Y62E10A.13</v>
      </c>
      <c r="B11" s="22" t="s">
        <v>26</v>
      </c>
      <c r="C11" s="22" t="s">
        <v>27</v>
      </c>
      <c r="D11" s="22" t="s">
        <v>29</v>
      </c>
      <c r="E11" s="22" t="s">
        <v>29</v>
      </c>
      <c r="F11" s="22" t="s">
        <v>29</v>
      </c>
      <c r="G11" s="22" t="s">
        <v>14849</v>
      </c>
      <c r="H11" s="22" t="s">
        <v>14849</v>
      </c>
      <c r="I11" s="22" t="s">
        <v>14849</v>
      </c>
      <c r="J11" s="22" t="s">
        <v>14849</v>
      </c>
      <c r="K11" s="22">
        <v>13.4964912441952</v>
      </c>
      <c r="L11" s="22">
        <v>13.8279005601467</v>
      </c>
      <c r="M11" s="22">
        <v>12.9812132938714</v>
      </c>
      <c r="N11" s="22">
        <f t="shared" si="0"/>
        <v>13.435201699404432</v>
      </c>
      <c r="O11" s="22" t="str">
        <f t="shared" si="1"/>
        <v>ND</v>
      </c>
      <c r="P11" s="22" t="str">
        <f t="shared" si="2"/>
        <v>NA</v>
      </c>
      <c r="S11" s="12" t="s">
        <v>236</v>
      </c>
      <c r="T11" s="13">
        <v>15.711251000000001</v>
      </c>
      <c r="U11" s="39"/>
    </row>
    <row r="12" spans="1:22" x14ac:dyDescent="0.2">
      <c r="A12" s="24" t="str">
        <f>"Y47G6A.18"</f>
        <v>Y47G6A.18</v>
      </c>
      <c r="B12" s="24" t="s">
        <v>12415</v>
      </c>
      <c r="C12" s="24" t="s">
        <v>12416</v>
      </c>
      <c r="D12" s="24" t="s">
        <v>29</v>
      </c>
      <c r="E12" s="24" t="s">
        <v>29</v>
      </c>
      <c r="F12" s="24" t="s">
        <v>29</v>
      </c>
      <c r="G12" s="24" t="s">
        <v>14849</v>
      </c>
      <c r="H12" s="24" t="s">
        <v>14849</v>
      </c>
      <c r="I12" s="24" t="s">
        <v>14849</v>
      </c>
      <c r="J12" s="24" t="s">
        <v>14849</v>
      </c>
      <c r="K12" s="24">
        <v>13.933474538702001</v>
      </c>
      <c r="L12" s="24">
        <v>13.4866499374399</v>
      </c>
      <c r="M12" s="24">
        <v>12.688825715800901</v>
      </c>
      <c r="N12" s="24">
        <f t="shared" si="0"/>
        <v>13.369650063980934</v>
      </c>
      <c r="O12" s="24" t="str">
        <f t="shared" si="1"/>
        <v>ND</v>
      </c>
      <c r="P12" s="24" t="str">
        <f t="shared" si="2"/>
        <v>NA</v>
      </c>
      <c r="S12" s="12" t="s">
        <v>2802</v>
      </c>
      <c r="T12" s="13">
        <v>15.4569776</v>
      </c>
      <c r="U12" s="39"/>
    </row>
    <row r="13" spans="1:22" x14ac:dyDescent="0.2">
      <c r="A13" s="10" t="str">
        <f>"mdt-4"</f>
        <v>mdt-4</v>
      </c>
      <c r="B13" s="10" t="s">
        <v>10297</v>
      </c>
      <c r="C13" s="10" t="s">
        <v>10299</v>
      </c>
      <c r="D13" s="10" t="s">
        <v>29</v>
      </c>
      <c r="E13" s="10" t="s">
        <v>29</v>
      </c>
      <c r="F13" s="10" t="s">
        <v>29</v>
      </c>
      <c r="G13" s="10" t="s">
        <v>14849</v>
      </c>
      <c r="H13" s="10" t="s">
        <v>14849</v>
      </c>
      <c r="I13" s="10" t="s">
        <v>14849</v>
      </c>
      <c r="J13" s="10" t="s">
        <v>14849</v>
      </c>
      <c r="K13" s="10">
        <v>13.2628856888937</v>
      </c>
      <c r="L13" s="10">
        <v>13.5010872873293</v>
      </c>
      <c r="M13" s="10">
        <v>13.2473588236076</v>
      </c>
      <c r="N13" s="10">
        <f t="shared" si="0"/>
        <v>13.337110599943534</v>
      </c>
      <c r="O13" s="10">
        <f t="shared" si="1"/>
        <v>2.9140060499999998</v>
      </c>
      <c r="P13" s="10" t="str">
        <f t="shared" si="2"/>
        <v>NA</v>
      </c>
      <c r="S13" s="12" t="s">
        <v>11562</v>
      </c>
      <c r="T13" s="13">
        <v>14.660895399999999</v>
      </c>
      <c r="U13" s="39"/>
    </row>
    <row r="14" spans="1:22" x14ac:dyDescent="0.2">
      <c r="A14" s="24" t="str">
        <f>"T04A11.2"</f>
        <v>T04A11.2</v>
      </c>
      <c r="B14" s="24" t="s">
        <v>1130</v>
      </c>
      <c r="C14" s="24" t="s">
        <v>1131</v>
      </c>
      <c r="D14" s="24" t="s">
        <v>29</v>
      </c>
      <c r="E14" s="24" t="s">
        <v>29</v>
      </c>
      <c r="F14" s="24" t="s">
        <v>29</v>
      </c>
      <c r="G14" s="24" t="s">
        <v>14849</v>
      </c>
      <c r="H14" s="24" t="s">
        <v>14849</v>
      </c>
      <c r="I14" s="24" t="s">
        <v>14849</v>
      </c>
      <c r="J14" s="24" t="s">
        <v>14849</v>
      </c>
      <c r="K14" s="24">
        <v>13.067558344424301</v>
      </c>
      <c r="L14" s="24">
        <v>13.1204322167117</v>
      </c>
      <c r="M14" s="24">
        <v>13.7083019238563</v>
      </c>
      <c r="N14" s="24">
        <f t="shared" si="0"/>
        <v>13.298764161664101</v>
      </c>
      <c r="O14" s="24" t="str">
        <f t="shared" si="1"/>
        <v>ND</v>
      </c>
      <c r="P14" s="24" t="str">
        <f t="shared" si="2"/>
        <v>NA</v>
      </c>
      <c r="S14" s="12" t="s">
        <v>8188</v>
      </c>
      <c r="T14" s="13">
        <v>14.6257997</v>
      </c>
      <c r="U14" s="39"/>
    </row>
    <row r="15" spans="1:22" x14ac:dyDescent="0.2">
      <c r="A15" s="24" t="str">
        <f>"mom-4"</f>
        <v>mom-4</v>
      </c>
      <c r="B15" s="24" t="s">
        <v>13491</v>
      </c>
      <c r="C15" s="24" t="s">
        <v>13493</v>
      </c>
      <c r="D15" s="24" t="s">
        <v>29</v>
      </c>
      <c r="E15" s="24" t="s">
        <v>29</v>
      </c>
      <c r="F15" s="24" t="s">
        <v>29</v>
      </c>
      <c r="G15" s="24" t="s">
        <v>14849</v>
      </c>
      <c r="H15" s="24" t="s">
        <v>14849</v>
      </c>
      <c r="I15" s="24" t="s">
        <v>14849</v>
      </c>
      <c r="J15" s="24" t="s">
        <v>14849</v>
      </c>
      <c r="K15" s="24">
        <v>13.255369315111199</v>
      </c>
      <c r="L15" s="24">
        <v>13.060900693273499</v>
      </c>
      <c r="M15" s="24">
        <v>13.234820715046499</v>
      </c>
      <c r="N15" s="24">
        <f t="shared" si="0"/>
        <v>13.1836969078104</v>
      </c>
      <c r="O15" s="24" t="str">
        <f t="shared" si="1"/>
        <v>ND</v>
      </c>
      <c r="P15" s="24" t="str">
        <f t="shared" si="2"/>
        <v>NA</v>
      </c>
      <c r="S15" s="12" t="s">
        <v>3189</v>
      </c>
      <c r="T15" s="13">
        <v>13.513067700000001</v>
      </c>
      <c r="U15" s="39"/>
    </row>
    <row r="16" spans="1:22" x14ac:dyDescent="0.2">
      <c r="A16" s="24" t="str">
        <f>"best-17"</f>
        <v>best-17</v>
      </c>
      <c r="B16" s="24" t="s">
        <v>9853</v>
      </c>
      <c r="C16" s="24" t="s">
        <v>9855</v>
      </c>
      <c r="D16" s="24" t="s">
        <v>29</v>
      </c>
      <c r="E16" s="24" t="s">
        <v>29</v>
      </c>
      <c r="F16" s="24" t="s">
        <v>29</v>
      </c>
      <c r="G16" s="24" t="s">
        <v>14849</v>
      </c>
      <c r="H16" s="24" t="s">
        <v>14849</v>
      </c>
      <c r="I16" s="24" t="s">
        <v>14849</v>
      </c>
      <c r="J16" s="24" t="s">
        <v>14849</v>
      </c>
      <c r="K16" s="24">
        <v>13.0928324814678</v>
      </c>
      <c r="L16" s="24">
        <v>13.432446858796199</v>
      </c>
      <c r="M16" s="24">
        <v>12.806783569705701</v>
      </c>
      <c r="N16" s="24">
        <f t="shared" si="0"/>
        <v>13.110687636656566</v>
      </c>
      <c r="O16" s="24" t="str">
        <f t="shared" si="1"/>
        <v>ND</v>
      </c>
      <c r="P16" s="24" t="str">
        <f t="shared" si="2"/>
        <v>NA</v>
      </c>
      <c r="S16" s="12" t="s">
        <v>76</v>
      </c>
      <c r="T16" s="13">
        <v>13.279445000000001</v>
      </c>
      <c r="U16" s="39"/>
    </row>
    <row r="17" spans="1:21" x14ac:dyDescent="0.2">
      <c r="A17" s="24" t="str">
        <f>"CTEL55X.1"</f>
        <v>CTEL55X.1</v>
      </c>
      <c r="B17" s="24" t="s">
        <v>2209</v>
      </c>
      <c r="C17" s="24" t="s">
        <v>2210</v>
      </c>
      <c r="D17" s="24" t="s">
        <v>29</v>
      </c>
      <c r="E17" s="24" t="s">
        <v>29</v>
      </c>
      <c r="F17" s="24" t="s">
        <v>29</v>
      </c>
      <c r="G17" s="24" t="s">
        <v>14849</v>
      </c>
      <c r="H17" s="24" t="s">
        <v>14849</v>
      </c>
      <c r="I17" s="24" t="s">
        <v>14849</v>
      </c>
      <c r="J17" s="24" t="s">
        <v>14849</v>
      </c>
      <c r="K17" s="24">
        <v>13.7060161766967</v>
      </c>
      <c r="L17" s="24">
        <v>13.545268108561899</v>
      </c>
      <c r="M17" s="24">
        <v>11.918678097237001</v>
      </c>
      <c r="N17" s="24">
        <f t="shared" si="0"/>
        <v>13.056654127498533</v>
      </c>
      <c r="O17" s="24" t="str">
        <f t="shared" si="1"/>
        <v>ND</v>
      </c>
      <c r="P17" s="24" t="str">
        <f t="shared" si="2"/>
        <v>NA</v>
      </c>
      <c r="S17" s="12" t="s">
        <v>10385</v>
      </c>
      <c r="T17" s="13">
        <v>12.7803343</v>
      </c>
      <c r="U17" s="39"/>
    </row>
    <row r="18" spans="1:21" x14ac:dyDescent="0.2">
      <c r="A18" s="10" t="str">
        <f>"mag-1"</f>
        <v>mag-1</v>
      </c>
      <c r="B18" s="10" t="s">
        <v>5725</v>
      </c>
      <c r="C18" s="10" t="s">
        <v>5727</v>
      </c>
      <c r="D18" s="10" t="s">
        <v>29</v>
      </c>
      <c r="E18" s="10" t="s">
        <v>29</v>
      </c>
      <c r="F18" s="10" t="s">
        <v>29</v>
      </c>
      <c r="G18" s="10" t="s">
        <v>14849</v>
      </c>
      <c r="H18" s="10" t="s">
        <v>14849</v>
      </c>
      <c r="I18" s="10" t="s">
        <v>14849</v>
      </c>
      <c r="J18" s="10" t="s">
        <v>14849</v>
      </c>
      <c r="K18" s="10">
        <v>12.579425941991399</v>
      </c>
      <c r="L18" s="10">
        <v>13.546744614253299</v>
      </c>
      <c r="M18" s="10">
        <v>12.999972153084601</v>
      </c>
      <c r="N18" s="10">
        <f t="shared" si="0"/>
        <v>13.042047569776434</v>
      </c>
      <c r="O18" s="10">
        <f t="shared" si="1"/>
        <v>2.59333298</v>
      </c>
      <c r="P18" s="10" t="str">
        <f t="shared" si="2"/>
        <v>NA</v>
      </c>
      <c r="S18" s="12" t="s">
        <v>11175</v>
      </c>
      <c r="T18" s="13">
        <v>12.709663600000001</v>
      </c>
      <c r="U18" s="39"/>
    </row>
    <row r="19" spans="1:21" x14ac:dyDescent="0.2">
      <c r="A19" s="24" t="str">
        <f>"ubc-3"</f>
        <v>ubc-3</v>
      </c>
      <c r="B19" s="24" t="s">
        <v>11659</v>
      </c>
      <c r="C19" s="24" t="s">
        <v>11661</v>
      </c>
      <c r="D19" s="24" t="s">
        <v>29</v>
      </c>
      <c r="E19" s="24" t="s">
        <v>29</v>
      </c>
      <c r="F19" s="24" t="s">
        <v>29</v>
      </c>
      <c r="G19" s="24" t="s">
        <v>14849</v>
      </c>
      <c r="H19" s="24" t="s">
        <v>14849</v>
      </c>
      <c r="I19" s="24" t="s">
        <v>14849</v>
      </c>
      <c r="J19" s="24" t="s">
        <v>14849</v>
      </c>
      <c r="K19" s="24">
        <v>13.0087766195621</v>
      </c>
      <c r="L19" s="24">
        <v>13.223238225832</v>
      </c>
      <c r="M19" s="24">
        <v>12.883809252585401</v>
      </c>
      <c r="N19" s="24">
        <f t="shared" si="0"/>
        <v>13.038608032659832</v>
      </c>
      <c r="O19" s="24" t="str">
        <f t="shared" si="1"/>
        <v>ND</v>
      </c>
      <c r="P19" s="24" t="str">
        <f t="shared" si="2"/>
        <v>NA</v>
      </c>
      <c r="S19" s="12" t="s">
        <v>2196</v>
      </c>
      <c r="T19" s="13">
        <v>12.573299199999999</v>
      </c>
      <c r="U19" s="39"/>
    </row>
    <row r="20" spans="1:21" x14ac:dyDescent="0.2">
      <c r="A20" s="22" t="str">
        <f>"R102.2"</f>
        <v>R102.2</v>
      </c>
      <c r="B20" s="22" t="s">
        <v>9490</v>
      </c>
      <c r="C20" s="22" t="s">
        <v>9491</v>
      </c>
      <c r="D20" s="22" t="s">
        <v>29</v>
      </c>
      <c r="E20" s="22" t="s">
        <v>29</v>
      </c>
      <c r="F20" s="22" t="s">
        <v>29</v>
      </c>
      <c r="G20" s="22" t="s">
        <v>14849</v>
      </c>
      <c r="H20" s="22" t="s">
        <v>14849</v>
      </c>
      <c r="I20" s="22" t="s">
        <v>14849</v>
      </c>
      <c r="J20" s="22" t="s">
        <v>14849</v>
      </c>
      <c r="K20" s="22">
        <v>12.760972808505</v>
      </c>
      <c r="L20" s="22">
        <v>12.456868777432</v>
      </c>
      <c r="M20" s="22">
        <v>13.249099137809401</v>
      </c>
      <c r="N20" s="22">
        <f t="shared" si="0"/>
        <v>12.822313574582134</v>
      </c>
      <c r="O20" s="22" t="str">
        <f t="shared" si="1"/>
        <v>ND</v>
      </c>
      <c r="P20" s="22" t="str">
        <f t="shared" si="2"/>
        <v>NA</v>
      </c>
      <c r="S20" s="12" t="s">
        <v>8819</v>
      </c>
      <c r="T20" s="13">
        <v>11.9608679</v>
      </c>
      <c r="U20" s="39"/>
    </row>
    <row r="21" spans="1:21" x14ac:dyDescent="0.2">
      <c r="A21" s="24" t="str">
        <f>"srp-2"</f>
        <v>srp-2</v>
      </c>
      <c r="B21" s="24" t="s">
        <v>3363</v>
      </c>
      <c r="C21" s="24" t="s">
        <v>599</v>
      </c>
      <c r="D21" s="24" t="s">
        <v>29</v>
      </c>
      <c r="E21" s="24" t="s">
        <v>29</v>
      </c>
      <c r="F21" s="24" t="s">
        <v>29</v>
      </c>
      <c r="G21" s="24" t="s">
        <v>14849</v>
      </c>
      <c r="H21" s="24" t="s">
        <v>14849</v>
      </c>
      <c r="I21" s="24" t="s">
        <v>14849</v>
      </c>
      <c r="J21" s="24" t="s">
        <v>14849</v>
      </c>
      <c r="K21" s="24">
        <v>13.0031361122553</v>
      </c>
      <c r="L21" s="24">
        <v>13.1079266970492</v>
      </c>
      <c r="M21" s="24">
        <v>12.302555254604499</v>
      </c>
      <c r="N21" s="24">
        <f t="shared" si="0"/>
        <v>12.804539354636333</v>
      </c>
      <c r="O21" s="24" t="str">
        <f t="shared" si="1"/>
        <v>ND</v>
      </c>
      <c r="P21" s="24" t="str">
        <f t="shared" si="2"/>
        <v>NA</v>
      </c>
      <c r="S21" s="12" t="s">
        <v>6701</v>
      </c>
      <c r="T21" s="13">
        <v>11.410588000000001</v>
      </c>
      <c r="U21" s="39"/>
    </row>
    <row r="22" spans="1:21" x14ac:dyDescent="0.2">
      <c r="A22" s="10" t="str">
        <f>"clp-1"</f>
        <v>clp-1</v>
      </c>
      <c r="B22" s="10" t="s">
        <v>4978</v>
      </c>
      <c r="C22" s="10" t="s">
        <v>4980</v>
      </c>
      <c r="D22" s="10" t="s">
        <v>29</v>
      </c>
      <c r="E22" s="10" t="s">
        <v>29</v>
      </c>
      <c r="F22" s="10" t="s">
        <v>29</v>
      </c>
      <c r="G22" s="10" t="s">
        <v>14849</v>
      </c>
      <c r="H22" s="10" t="s">
        <v>14849</v>
      </c>
      <c r="I22" s="10" t="s">
        <v>14849</v>
      </c>
      <c r="J22" s="10" t="s">
        <v>14849</v>
      </c>
      <c r="K22" s="10">
        <v>12.7268553071229</v>
      </c>
      <c r="L22" s="10">
        <v>12.636221853783599</v>
      </c>
      <c r="M22" s="10">
        <v>12.785596940354599</v>
      </c>
      <c r="N22" s="10">
        <f t="shared" si="0"/>
        <v>12.716224700420367</v>
      </c>
      <c r="O22" s="10">
        <f t="shared" si="1"/>
        <v>2.3367719299999998</v>
      </c>
      <c r="P22" s="10" t="str">
        <f t="shared" si="2"/>
        <v>NA</v>
      </c>
      <c r="S22" s="12" t="s">
        <v>4114</v>
      </c>
      <c r="T22" s="13">
        <v>11.1537191</v>
      </c>
      <c r="U22" s="39"/>
    </row>
    <row r="23" spans="1:21" x14ac:dyDescent="0.2">
      <c r="A23" s="24" t="str">
        <f>"puf-9"</f>
        <v>puf-9</v>
      </c>
      <c r="B23" s="24" t="s">
        <v>10092</v>
      </c>
      <c r="C23" s="24" t="s">
        <v>6796</v>
      </c>
      <c r="D23" s="24" t="s">
        <v>29</v>
      </c>
      <c r="E23" s="24" t="s">
        <v>29</v>
      </c>
      <c r="F23" s="24" t="s">
        <v>29</v>
      </c>
      <c r="G23" s="24" t="s">
        <v>14849</v>
      </c>
      <c r="H23" s="24" t="s">
        <v>14849</v>
      </c>
      <c r="I23" s="24" t="s">
        <v>14849</v>
      </c>
      <c r="J23" s="24" t="s">
        <v>14849</v>
      </c>
      <c r="K23" s="24">
        <v>12.3349047705982</v>
      </c>
      <c r="L23" s="24">
        <v>12.6736076047035</v>
      </c>
      <c r="M23" s="24">
        <v>12.9814915546914</v>
      </c>
      <c r="N23" s="24">
        <f t="shared" si="0"/>
        <v>12.663334643331034</v>
      </c>
      <c r="O23" s="24" t="str">
        <f t="shared" si="1"/>
        <v>ND</v>
      </c>
      <c r="P23" s="24" t="str">
        <f t="shared" si="2"/>
        <v>NA</v>
      </c>
      <c r="S23" s="12" t="s">
        <v>14177</v>
      </c>
      <c r="T23" s="13">
        <v>11.1474306</v>
      </c>
      <c r="U23" s="39"/>
    </row>
    <row r="24" spans="1:21" x14ac:dyDescent="0.2">
      <c r="A24" s="24" t="str">
        <f>"C48B6.2"</f>
        <v>C48B6.2</v>
      </c>
      <c r="B24" s="24" t="s">
        <v>2748</v>
      </c>
      <c r="C24" s="24" t="s">
        <v>2750</v>
      </c>
      <c r="D24" s="24" t="s">
        <v>29</v>
      </c>
      <c r="E24" s="24" t="s">
        <v>29</v>
      </c>
      <c r="F24" s="24" t="s">
        <v>29</v>
      </c>
      <c r="G24" s="24" t="s">
        <v>14849</v>
      </c>
      <c r="H24" s="24" t="s">
        <v>14849</v>
      </c>
      <c r="I24" s="24" t="s">
        <v>14849</v>
      </c>
      <c r="J24" s="24" t="s">
        <v>14849</v>
      </c>
      <c r="K24" s="24">
        <v>12.777793633141</v>
      </c>
      <c r="L24" s="24">
        <v>12.6890500250614</v>
      </c>
      <c r="M24" s="24">
        <v>12.4571307824529</v>
      </c>
      <c r="N24" s="24">
        <f t="shared" si="0"/>
        <v>12.641324813551767</v>
      </c>
      <c r="O24" s="24" t="str">
        <f t="shared" si="1"/>
        <v>ND</v>
      </c>
      <c r="P24" s="24" t="str">
        <f t="shared" si="2"/>
        <v>NA</v>
      </c>
      <c r="S24" s="14" t="s">
        <v>7065</v>
      </c>
      <c r="T24" s="15">
        <v>10.739022063060709</v>
      </c>
      <c r="U24" s="40"/>
    </row>
    <row r="25" spans="1:21" x14ac:dyDescent="0.2">
      <c r="A25" s="10" t="str">
        <f>"C07A12.7"</f>
        <v>C07A12.7</v>
      </c>
      <c r="B25" s="10" t="s">
        <v>11584</v>
      </c>
      <c r="C25" s="10" t="s">
        <v>11586</v>
      </c>
      <c r="D25" s="10" t="s">
        <v>29</v>
      </c>
      <c r="E25" s="10" t="s">
        <v>29</v>
      </c>
      <c r="F25" s="10" t="s">
        <v>29</v>
      </c>
      <c r="G25" s="10" t="s">
        <v>14849</v>
      </c>
      <c r="H25" s="10" t="s">
        <v>14849</v>
      </c>
      <c r="I25" s="10" t="s">
        <v>14849</v>
      </c>
      <c r="J25" s="10" t="s">
        <v>14849</v>
      </c>
      <c r="K25" s="10">
        <v>12.5032216454701</v>
      </c>
      <c r="L25" s="10">
        <v>12.721196601995601</v>
      </c>
      <c r="M25" s="10">
        <v>12.5515752608257</v>
      </c>
      <c r="N25" s="10">
        <f t="shared" si="0"/>
        <v>12.591997836097134</v>
      </c>
      <c r="O25" s="10">
        <f t="shared" si="1"/>
        <v>2.85350839</v>
      </c>
      <c r="P25" s="10" t="str">
        <f t="shared" si="2"/>
        <v>NA</v>
      </c>
      <c r="S25" s="12" t="s">
        <v>6784</v>
      </c>
      <c r="T25" s="13">
        <v>10.478298199999999</v>
      </c>
      <c r="U25" s="39"/>
    </row>
    <row r="26" spans="1:21" x14ac:dyDescent="0.2">
      <c r="A26" s="10" t="str">
        <f>"tes-1"</f>
        <v>tes-1</v>
      </c>
      <c r="B26" s="10" t="s">
        <v>7339</v>
      </c>
      <c r="C26" s="10" t="s">
        <v>7341</v>
      </c>
      <c r="D26" s="10" t="s">
        <v>29</v>
      </c>
      <c r="E26" s="10" t="s">
        <v>29</v>
      </c>
      <c r="F26" s="10" t="s">
        <v>29</v>
      </c>
      <c r="G26" s="10" t="s">
        <v>14849</v>
      </c>
      <c r="H26" s="10" t="s">
        <v>14849</v>
      </c>
      <c r="I26" s="10" t="s">
        <v>14849</v>
      </c>
      <c r="J26" s="10" t="s">
        <v>14849</v>
      </c>
      <c r="K26" s="10">
        <v>11.862196467585299</v>
      </c>
      <c r="L26" s="10">
        <v>13.2461501878097</v>
      </c>
      <c r="M26" s="10">
        <v>12.6635374530712</v>
      </c>
      <c r="N26" s="10">
        <f t="shared" si="0"/>
        <v>12.590628036155399</v>
      </c>
      <c r="O26" s="10">
        <f t="shared" si="1"/>
        <v>3.5329462735661892</v>
      </c>
      <c r="P26" s="10" t="str">
        <f t="shared" si="2"/>
        <v>NA</v>
      </c>
      <c r="S26" s="12" t="s">
        <v>4012</v>
      </c>
      <c r="T26" s="13">
        <v>10.26802</v>
      </c>
      <c r="U26" s="39"/>
    </row>
    <row r="27" spans="1:21" x14ac:dyDescent="0.2">
      <c r="A27" s="10" t="str">
        <f>"T02G5.7"</f>
        <v>T02G5.7</v>
      </c>
      <c r="B27" s="10" t="s">
        <v>9643</v>
      </c>
      <c r="C27" s="10" t="s">
        <v>9644</v>
      </c>
      <c r="D27" s="10" t="s">
        <v>29</v>
      </c>
      <c r="E27" s="10" t="s">
        <v>29</v>
      </c>
      <c r="F27" s="10" t="s">
        <v>29</v>
      </c>
      <c r="G27" s="10" t="s">
        <v>14849</v>
      </c>
      <c r="H27" s="10" t="s">
        <v>14849</v>
      </c>
      <c r="I27" s="10" t="s">
        <v>14849</v>
      </c>
      <c r="J27" s="10" t="s">
        <v>14849</v>
      </c>
      <c r="K27" s="10">
        <v>12.447165101552001</v>
      </c>
      <c r="L27" s="10">
        <v>12.516508052838001</v>
      </c>
      <c r="M27" s="10">
        <v>12.806997777184201</v>
      </c>
      <c r="N27" s="10">
        <f t="shared" si="0"/>
        <v>12.590223643858067</v>
      </c>
      <c r="O27" s="10">
        <f t="shared" si="1"/>
        <v>3.7979094356966026</v>
      </c>
      <c r="P27" s="10" t="str">
        <f t="shared" si="2"/>
        <v>NA</v>
      </c>
      <c r="S27" s="16" t="s">
        <v>11934</v>
      </c>
      <c r="T27" s="17">
        <v>9.9269247280034332</v>
      </c>
      <c r="U27" s="39" t="s">
        <v>14927</v>
      </c>
    </row>
    <row r="28" spans="1:21" x14ac:dyDescent="0.2">
      <c r="A28" s="10" t="str">
        <f>"ubc-7"</f>
        <v>ubc-7</v>
      </c>
      <c r="B28" s="10" t="s">
        <v>5170</v>
      </c>
      <c r="C28" s="10" t="s">
        <v>5172</v>
      </c>
      <c r="D28" s="10" t="s">
        <v>29</v>
      </c>
      <c r="E28" s="10" t="s">
        <v>29</v>
      </c>
      <c r="F28" s="10" t="s">
        <v>29</v>
      </c>
      <c r="G28" s="10" t="s">
        <v>14849</v>
      </c>
      <c r="H28" s="10" t="s">
        <v>14849</v>
      </c>
      <c r="I28" s="10" t="s">
        <v>14849</v>
      </c>
      <c r="J28" s="10" t="s">
        <v>14849</v>
      </c>
      <c r="K28" s="10">
        <v>12.549900312444301</v>
      </c>
      <c r="L28" s="10">
        <v>12.724232193640299</v>
      </c>
      <c r="M28" s="10">
        <v>12.487697057935801</v>
      </c>
      <c r="N28" s="10">
        <f t="shared" si="0"/>
        <v>12.587276521340135</v>
      </c>
      <c r="O28" s="10">
        <f t="shared" si="1"/>
        <v>2.3200671100000001</v>
      </c>
      <c r="P28" s="10" t="str">
        <f t="shared" si="2"/>
        <v>NA</v>
      </c>
      <c r="S28" s="16" t="s">
        <v>6133</v>
      </c>
      <c r="T28" s="17">
        <v>9.8103186667543536</v>
      </c>
      <c r="U28" s="39" t="s">
        <v>14917</v>
      </c>
    </row>
    <row r="29" spans="1:21" x14ac:dyDescent="0.2">
      <c r="A29" s="10" t="str">
        <f>"vps-32.1"</f>
        <v>vps-32.1</v>
      </c>
      <c r="B29" s="10" t="s">
        <v>7990</v>
      </c>
      <c r="C29" s="10" t="s">
        <v>7992</v>
      </c>
      <c r="D29" s="10" t="s">
        <v>29</v>
      </c>
      <c r="E29" s="10" t="s">
        <v>29</v>
      </c>
      <c r="F29" s="10" t="s">
        <v>29</v>
      </c>
      <c r="G29" s="10" t="s">
        <v>14849</v>
      </c>
      <c r="H29" s="10" t="s">
        <v>14849</v>
      </c>
      <c r="I29" s="10" t="s">
        <v>14849</v>
      </c>
      <c r="J29" s="10" t="s">
        <v>14849</v>
      </c>
      <c r="K29" s="10">
        <v>12.269861630907601</v>
      </c>
      <c r="L29" s="10">
        <v>12.7969178572227</v>
      </c>
      <c r="M29" s="10">
        <v>12.244323047187301</v>
      </c>
      <c r="N29" s="10">
        <f t="shared" si="0"/>
        <v>12.4370341784392</v>
      </c>
      <c r="O29" s="10">
        <f t="shared" si="1"/>
        <v>2.5931230799999998</v>
      </c>
      <c r="P29" s="10" t="str">
        <f t="shared" si="2"/>
        <v>NA</v>
      </c>
      <c r="S29" s="18" t="s">
        <v>5490</v>
      </c>
      <c r="T29" s="19">
        <v>8.9708627199999995</v>
      </c>
      <c r="U29" s="39"/>
    </row>
    <row r="30" spans="1:21" x14ac:dyDescent="0.2">
      <c r="A30" s="10" t="str">
        <f>"dhp-1"</f>
        <v>dhp-1</v>
      </c>
      <c r="B30" s="10" t="s">
        <v>9425</v>
      </c>
      <c r="C30" s="10" t="s">
        <v>9427</v>
      </c>
      <c r="D30" s="10" t="s">
        <v>29</v>
      </c>
      <c r="E30" s="10" t="s">
        <v>29</v>
      </c>
      <c r="F30" s="10" t="s">
        <v>29</v>
      </c>
      <c r="G30" s="10" t="s">
        <v>14849</v>
      </c>
      <c r="H30" s="10" t="s">
        <v>14849</v>
      </c>
      <c r="I30" s="10" t="s">
        <v>14849</v>
      </c>
      <c r="J30" s="10" t="s">
        <v>14849</v>
      </c>
      <c r="K30" s="10">
        <v>12.210090668762</v>
      </c>
      <c r="L30" s="10">
        <v>12.504926190745801</v>
      </c>
      <c r="M30" s="10">
        <v>12.556862264948601</v>
      </c>
      <c r="N30" s="10">
        <f t="shared" si="0"/>
        <v>12.423959708152132</v>
      </c>
      <c r="O30" s="10">
        <f t="shared" si="1"/>
        <v>3.13809</v>
      </c>
      <c r="P30" s="10" t="str">
        <f t="shared" si="2"/>
        <v>NA</v>
      </c>
      <c r="S30" s="16" t="s">
        <v>12650</v>
      </c>
      <c r="T30" s="19">
        <v>8.5325504999825288</v>
      </c>
      <c r="U30" s="39"/>
    </row>
    <row r="31" spans="1:21" x14ac:dyDescent="0.2">
      <c r="A31" s="24" t="str">
        <f>"hpo-13"</f>
        <v>hpo-13</v>
      </c>
      <c r="B31" s="24" t="s">
        <v>11003</v>
      </c>
      <c r="C31" s="24" t="s">
        <v>11005</v>
      </c>
      <c r="D31" s="24" t="s">
        <v>29</v>
      </c>
      <c r="E31" s="24" t="s">
        <v>29</v>
      </c>
      <c r="F31" s="24" t="s">
        <v>29</v>
      </c>
      <c r="G31" s="24" t="s">
        <v>14849</v>
      </c>
      <c r="H31" s="24" t="s">
        <v>14849</v>
      </c>
      <c r="I31" s="24" t="s">
        <v>14849</v>
      </c>
      <c r="J31" s="24" t="s">
        <v>14849</v>
      </c>
      <c r="K31" s="24">
        <v>12.695996621628</v>
      </c>
      <c r="L31" s="24">
        <v>12.1535663667471</v>
      </c>
      <c r="M31" s="24">
        <v>12.1302662936604</v>
      </c>
      <c r="N31" s="24">
        <f t="shared" si="0"/>
        <v>12.326609760678499</v>
      </c>
      <c r="O31" s="24" t="str">
        <f t="shared" si="1"/>
        <v>ND</v>
      </c>
      <c r="P31" s="24" t="str">
        <f t="shared" si="2"/>
        <v>NA</v>
      </c>
      <c r="S31" s="18" t="s">
        <v>13334</v>
      </c>
      <c r="T31" s="19">
        <v>8.4615092599999997</v>
      </c>
      <c r="U31" s="39"/>
    </row>
    <row r="32" spans="1:21" x14ac:dyDescent="0.2">
      <c r="A32" s="24" t="str">
        <f>"aka-1"</f>
        <v>aka-1</v>
      </c>
      <c r="B32" s="24" t="s">
        <v>2400</v>
      </c>
      <c r="C32" s="24" t="s">
        <v>2402</v>
      </c>
      <c r="D32" s="24" t="s">
        <v>29</v>
      </c>
      <c r="E32" s="24" t="s">
        <v>29</v>
      </c>
      <c r="F32" s="24" t="s">
        <v>29</v>
      </c>
      <c r="G32" s="24" t="s">
        <v>14849</v>
      </c>
      <c r="H32" s="24" t="s">
        <v>14849</v>
      </c>
      <c r="I32" s="24" t="s">
        <v>14849</v>
      </c>
      <c r="J32" s="24" t="s">
        <v>14849</v>
      </c>
      <c r="K32" s="24">
        <v>12.100271278887501</v>
      </c>
      <c r="L32" s="24">
        <v>11.856545352229899</v>
      </c>
      <c r="M32" s="24">
        <v>12.622371800753999</v>
      </c>
      <c r="N32" s="24">
        <f t="shared" si="0"/>
        <v>12.1930628106238</v>
      </c>
      <c r="O32" s="24" t="str">
        <f t="shared" si="1"/>
        <v>ND</v>
      </c>
      <c r="P32" s="24" t="str">
        <f t="shared" si="2"/>
        <v>NA</v>
      </c>
      <c r="S32" s="16" t="s">
        <v>1727</v>
      </c>
      <c r="T32" s="17">
        <v>8.2716725536539464</v>
      </c>
      <c r="U32" s="40"/>
    </row>
    <row r="33" spans="1:21" x14ac:dyDescent="0.2">
      <c r="A33" s="10" t="str">
        <f>"dnj-16"</f>
        <v>dnj-16</v>
      </c>
      <c r="B33" s="10" t="s">
        <v>710</v>
      </c>
      <c r="C33" s="10" t="s">
        <v>308</v>
      </c>
      <c r="D33" s="10" t="s">
        <v>29</v>
      </c>
      <c r="E33" s="10" t="s">
        <v>29</v>
      </c>
      <c r="F33" s="10" t="s">
        <v>29</v>
      </c>
      <c r="G33" s="10" t="s">
        <v>14849</v>
      </c>
      <c r="H33" s="10" t="s">
        <v>14849</v>
      </c>
      <c r="I33" s="10" t="s">
        <v>14849</v>
      </c>
      <c r="J33" s="10" t="s">
        <v>14849</v>
      </c>
      <c r="K33" s="10">
        <v>11.927886938655</v>
      </c>
      <c r="L33" s="10">
        <v>12.4481343269038</v>
      </c>
      <c r="M33" s="10">
        <v>11.853813193161001</v>
      </c>
      <c r="N33" s="10">
        <f t="shared" si="0"/>
        <v>12.076611486239933</v>
      </c>
      <c r="O33" s="10">
        <f t="shared" si="1"/>
        <v>2.1460555700000001</v>
      </c>
      <c r="P33" s="10" t="str">
        <f t="shared" si="2"/>
        <v>NA</v>
      </c>
      <c r="S33" s="18" t="s">
        <v>7354</v>
      </c>
      <c r="T33" s="19">
        <v>7.2656431499999998</v>
      </c>
      <c r="U33" s="39"/>
    </row>
    <row r="34" spans="1:21" x14ac:dyDescent="0.2">
      <c r="A34" s="24" t="str">
        <f>"F53C11.5"</f>
        <v>F53C11.5</v>
      </c>
      <c r="B34" s="24" t="s">
        <v>11234</v>
      </c>
      <c r="C34" s="24" t="s">
        <v>11235</v>
      </c>
      <c r="D34" s="24" t="s">
        <v>29</v>
      </c>
      <c r="E34" s="24" t="s">
        <v>29</v>
      </c>
      <c r="F34" s="24" t="s">
        <v>29</v>
      </c>
      <c r="G34" s="24" t="s">
        <v>14849</v>
      </c>
      <c r="H34" s="24" t="s">
        <v>14849</v>
      </c>
      <c r="I34" s="24" t="s">
        <v>14849</v>
      </c>
      <c r="J34" s="24" t="s">
        <v>14849</v>
      </c>
      <c r="K34" s="24">
        <v>11.5581430107044</v>
      </c>
      <c r="L34" s="24">
        <v>12.1899734728793</v>
      </c>
      <c r="M34" s="24">
        <v>11.8777465082949</v>
      </c>
      <c r="N34" s="24">
        <f t="shared" ref="N34:N65" si="3">(K34+L34+M34)/3</f>
        <v>11.875287663959533</v>
      </c>
      <c r="O34" s="24" t="str">
        <f t="shared" ref="O34:O65" si="4">IFERROR(INDEX(T:T, MATCH(A34, S:S, 0)), "ND")</f>
        <v>ND</v>
      </c>
      <c r="P34" s="24" t="str">
        <f t="shared" ref="P34:P65" si="5">IFERROR(E34/O34, "NA")</f>
        <v>NA</v>
      </c>
      <c r="S34" s="18" t="s">
        <v>8815</v>
      </c>
      <c r="T34" s="19">
        <v>7.2562335100000004</v>
      </c>
      <c r="U34" s="39"/>
    </row>
    <row r="35" spans="1:21" x14ac:dyDescent="0.2">
      <c r="A35" s="24" t="str">
        <f>"R07E5.1"</f>
        <v>R07E5.1</v>
      </c>
      <c r="B35" s="24" t="s">
        <v>9454</v>
      </c>
      <c r="C35" s="24" t="s">
        <v>9456</v>
      </c>
      <c r="D35" s="24" t="s">
        <v>29</v>
      </c>
      <c r="E35" s="24" t="s">
        <v>29</v>
      </c>
      <c r="F35" s="24" t="s">
        <v>29</v>
      </c>
      <c r="G35" s="24" t="s">
        <v>14849</v>
      </c>
      <c r="H35" s="24" t="s">
        <v>14849</v>
      </c>
      <c r="I35" s="24" t="s">
        <v>14849</v>
      </c>
      <c r="J35" s="24" t="s">
        <v>14849</v>
      </c>
      <c r="K35" s="24">
        <v>11.7550523331495</v>
      </c>
      <c r="L35" s="24">
        <v>12.249799120741701</v>
      </c>
      <c r="M35" s="24">
        <v>11.5405667857935</v>
      </c>
      <c r="N35" s="24">
        <f t="shared" si="3"/>
        <v>11.848472746561567</v>
      </c>
      <c r="O35" s="24" t="str">
        <f t="shared" si="4"/>
        <v>ND</v>
      </c>
      <c r="P35" s="24" t="str">
        <f t="shared" si="5"/>
        <v>NA</v>
      </c>
      <c r="S35" s="16" t="s">
        <v>4318</v>
      </c>
      <c r="T35" s="19">
        <v>7.0566296503743651</v>
      </c>
      <c r="U35" s="39"/>
    </row>
    <row r="36" spans="1:21" x14ac:dyDescent="0.2">
      <c r="A36" s="10" t="str">
        <f>"ret-1"</f>
        <v>ret-1</v>
      </c>
      <c r="B36" s="10" t="s">
        <v>1421</v>
      </c>
      <c r="C36" s="10" t="s">
        <v>1423</v>
      </c>
      <c r="D36" s="10" t="s">
        <v>29</v>
      </c>
      <c r="E36" s="10" t="s">
        <v>29</v>
      </c>
      <c r="F36" s="10" t="s">
        <v>29</v>
      </c>
      <c r="G36" s="10" t="s">
        <v>14849</v>
      </c>
      <c r="H36" s="10" t="s">
        <v>14849</v>
      </c>
      <c r="I36" s="10" t="s">
        <v>14849</v>
      </c>
      <c r="J36" s="10" t="s">
        <v>14849</v>
      </c>
      <c r="K36" s="10">
        <v>11.503928377449199</v>
      </c>
      <c r="L36" s="10">
        <v>12.128648595039</v>
      </c>
      <c r="M36" s="10">
        <v>11.8898935654392</v>
      </c>
      <c r="N36" s="10">
        <f t="shared" si="3"/>
        <v>11.840823512642466</v>
      </c>
      <c r="O36" s="10">
        <f t="shared" si="4"/>
        <v>4.0776110599999997</v>
      </c>
      <c r="P36" s="10" t="str">
        <f t="shared" si="5"/>
        <v>NA</v>
      </c>
      <c r="S36" s="18" t="s">
        <v>9471</v>
      </c>
      <c r="T36" s="19">
        <v>6.7355698300000002</v>
      </c>
      <c r="U36" s="39"/>
    </row>
    <row r="37" spans="1:21" x14ac:dyDescent="0.2">
      <c r="A37" s="24" t="str">
        <f>"sec-10"</f>
        <v>sec-10</v>
      </c>
      <c r="B37" s="24" t="s">
        <v>7783</v>
      </c>
      <c r="C37" s="24" t="s">
        <v>7785</v>
      </c>
      <c r="D37" s="24" t="s">
        <v>29</v>
      </c>
      <c r="E37" s="24" t="s">
        <v>29</v>
      </c>
      <c r="F37" s="24" t="s">
        <v>29</v>
      </c>
      <c r="G37" s="24" t="s">
        <v>14849</v>
      </c>
      <c r="H37" s="24" t="s">
        <v>14849</v>
      </c>
      <c r="I37" s="24" t="s">
        <v>14849</v>
      </c>
      <c r="J37" s="24" t="s">
        <v>14849</v>
      </c>
      <c r="K37" s="24">
        <v>13.5446506954002</v>
      </c>
      <c r="L37" s="24">
        <v>11.086878538783401</v>
      </c>
      <c r="M37" s="24">
        <v>9.8245993186933003</v>
      </c>
      <c r="N37" s="24">
        <f t="shared" si="3"/>
        <v>11.485376184292301</v>
      </c>
      <c r="O37" s="24" t="str">
        <f t="shared" si="4"/>
        <v>ND</v>
      </c>
      <c r="P37" s="24" t="str">
        <f t="shared" si="5"/>
        <v>NA</v>
      </c>
      <c r="S37" s="16" t="s">
        <v>7800</v>
      </c>
      <c r="T37" s="17">
        <v>6.5615682544325828</v>
      </c>
      <c r="U37" s="40"/>
    </row>
    <row r="38" spans="1:21" x14ac:dyDescent="0.2">
      <c r="A38" s="24" t="str">
        <f>"odr-4"</f>
        <v>odr-4</v>
      </c>
      <c r="B38" s="24" t="s">
        <v>10849</v>
      </c>
      <c r="C38" s="24" t="s">
        <v>10851</v>
      </c>
      <c r="D38" s="24" t="s">
        <v>29</v>
      </c>
      <c r="E38" s="24" t="s">
        <v>29</v>
      </c>
      <c r="F38" s="24" t="s">
        <v>29</v>
      </c>
      <c r="G38" s="24" t="s">
        <v>14849</v>
      </c>
      <c r="H38" s="24" t="s">
        <v>14849</v>
      </c>
      <c r="I38" s="24" t="s">
        <v>14849</v>
      </c>
      <c r="J38" s="24" t="s">
        <v>14849</v>
      </c>
      <c r="K38" s="24">
        <v>10.0720031568913</v>
      </c>
      <c r="L38" s="24">
        <v>11.7917237108505</v>
      </c>
      <c r="M38" s="24">
        <v>11.446850661627099</v>
      </c>
      <c r="N38" s="24">
        <f t="shared" si="3"/>
        <v>11.103525843122966</v>
      </c>
      <c r="O38" s="24" t="str">
        <f t="shared" si="4"/>
        <v>ND</v>
      </c>
      <c r="P38" s="24" t="str">
        <f t="shared" si="5"/>
        <v>NA</v>
      </c>
      <c r="S38" s="18" t="s">
        <v>5135</v>
      </c>
      <c r="T38" s="19">
        <v>6.4278586200000003</v>
      </c>
      <c r="U38" s="39"/>
    </row>
    <row r="39" spans="1:21" x14ac:dyDescent="0.2">
      <c r="A39" s="24" t="str">
        <f>"nhl-2"</f>
        <v>nhl-2</v>
      </c>
      <c r="B39" s="24" t="s">
        <v>8447</v>
      </c>
      <c r="C39" s="24" t="s">
        <v>360</v>
      </c>
      <c r="D39" s="24" t="s">
        <v>29</v>
      </c>
      <c r="E39" s="24" t="s">
        <v>29</v>
      </c>
      <c r="F39" s="24" t="s">
        <v>29</v>
      </c>
      <c r="G39" s="24" t="s">
        <v>14849</v>
      </c>
      <c r="H39" s="24" t="s">
        <v>14849</v>
      </c>
      <c r="I39" s="24" t="s">
        <v>14849</v>
      </c>
      <c r="J39" s="24" t="s">
        <v>14849</v>
      </c>
      <c r="K39" s="24">
        <v>11.6028290594613</v>
      </c>
      <c r="L39" s="24">
        <v>11.0400296138769</v>
      </c>
      <c r="M39" s="24">
        <v>10.5491773099958</v>
      </c>
      <c r="N39" s="24">
        <f t="shared" si="3"/>
        <v>11.064011994444668</v>
      </c>
      <c r="O39" s="24" t="str">
        <f t="shared" si="4"/>
        <v>ND</v>
      </c>
      <c r="P39" s="24" t="str">
        <f t="shared" si="5"/>
        <v>NA</v>
      </c>
      <c r="S39" s="18" t="s">
        <v>6122</v>
      </c>
      <c r="T39" s="19">
        <v>6.3154922200000003</v>
      </c>
      <c r="U39" s="39"/>
    </row>
    <row r="40" spans="1:21" x14ac:dyDescent="0.2">
      <c r="A40" s="24" t="str">
        <f>"best-3"</f>
        <v>best-3</v>
      </c>
      <c r="B40" s="24" t="s">
        <v>3333</v>
      </c>
      <c r="C40" s="24" t="s">
        <v>3335</v>
      </c>
      <c r="D40" s="24" t="s">
        <v>29</v>
      </c>
      <c r="E40" s="24" t="s">
        <v>29</v>
      </c>
      <c r="F40" s="24" t="s">
        <v>29</v>
      </c>
      <c r="G40" s="24" t="s">
        <v>14849</v>
      </c>
      <c r="H40" s="24" t="s">
        <v>14849</v>
      </c>
      <c r="I40" s="24" t="s">
        <v>14849</v>
      </c>
      <c r="J40" s="24" t="s">
        <v>14849</v>
      </c>
      <c r="K40" s="24">
        <v>10.610215475026401</v>
      </c>
      <c r="L40" s="24">
        <v>10.570887001386099</v>
      </c>
      <c r="M40" s="24">
        <v>11.445016617236501</v>
      </c>
      <c r="N40" s="24">
        <f t="shared" si="3"/>
        <v>10.875373031216332</v>
      </c>
      <c r="O40" s="24" t="str">
        <f t="shared" si="4"/>
        <v>ND</v>
      </c>
      <c r="P40" s="24" t="str">
        <f t="shared" si="5"/>
        <v>NA</v>
      </c>
      <c r="S40" s="18" t="s">
        <v>3078</v>
      </c>
      <c r="T40" s="19">
        <v>6.2592155700000003</v>
      </c>
      <c r="U40" s="39"/>
    </row>
    <row r="41" spans="1:21" x14ac:dyDescent="0.2">
      <c r="A41" s="24" t="str">
        <f>"egl-15"</f>
        <v>egl-15</v>
      </c>
      <c r="B41" s="24" t="s">
        <v>7104</v>
      </c>
      <c r="C41" s="24" t="s">
        <v>7106</v>
      </c>
      <c r="D41" s="24" t="s">
        <v>29</v>
      </c>
      <c r="E41" s="24" t="s">
        <v>29</v>
      </c>
      <c r="F41" s="24" t="s">
        <v>29</v>
      </c>
      <c r="G41" s="24" t="s">
        <v>14849</v>
      </c>
      <c r="H41" s="24" t="s">
        <v>14849</v>
      </c>
      <c r="I41" s="24" t="s">
        <v>14849</v>
      </c>
      <c r="J41" s="24" t="s">
        <v>14849</v>
      </c>
      <c r="K41" s="24">
        <v>11.1210950329579</v>
      </c>
      <c r="L41" s="24">
        <v>10.5805923360241</v>
      </c>
      <c r="M41" s="24">
        <v>10.588493277870599</v>
      </c>
      <c r="N41" s="24">
        <f t="shared" si="3"/>
        <v>10.763393548950866</v>
      </c>
      <c r="O41" s="24" t="str">
        <f t="shared" si="4"/>
        <v>ND</v>
      </c>
      <c r="P41" s="24" t="str">
        <f t="shared" si="5"/>
        <v>NA</v>
      </c>
      <c r="S41" s="16" t="s">
        <v>5987</v>
      </c>
      <c r="T41" s="17">
        <v>6.2273672773130739</v>
      </c>
      <c r="U41" s="40"/>
    </row>
    <row r="42" spans="1:21" x14ac:dyDescent="0.2">
      <c r="A42" s="22" t="str">
        <f>"T28F4.5"</f>
        <v>T28F4.5</v>
      </c>
      <c r="B42" s="22" t="s">
        <v>9987</v>
      </c>
      <c r="C42" s="22" t="s">
        <v>368</v>
      </c>
      <c r="D42" s="22" t="s">
        <v>29</v>
      </c>
      <c r="E42" s="22" t="s">
        <v>29</v>
      </c>
      <c r="F42" s="22" t="s">
        <v>29</v>
      </c>
      <c r="G42" s="22" t="s">
        <v>14849</v>
      </c>
      <c r="H42" s="22" t="s">
        <v>14849</v>
      </c>
      <c r="I42" s="22" t="s">
        <v>14849</v>
      </c>
      <c r="J42" s="22" t="s">
        <v>14849</v>
      </c>
      <c r="K42" s="22">
        <v>9.4532436160101199</v>
      </c>
      <c r="L42" s="22">
        <v>10.3570446425441</v>
      </c>
      <c r="M42" s="22">
        <v>10.6067200258979</v>
      </c>
      <c r="N42" s="22">
        <f t="shared" si="3"/>
        <v>10.13900276148404</v>
      </c>
      <c r="O42" s="22" t="str">
        <f t="shared" si="4"/>
        <v>ND</v>
      </c>
      <c r="P42" s="22" t="str">
        <f t="shared" si="5"/>
        <v>NA</v>
      </c>
      <c r="S42" s="18" t="s">
        <v>12892</v>
      </c>
      <c r="T42" s="19">
        <v>6.1756567000000002</v>
      </c>
      <c r="U42" s="39"/>
    </row>
    <row r="43" spans="1:21" x14ac:dyDescent="0.2">
      <c r="A43" s="24" t="str">
        <f>"K05C4.7"</f>
        <v>K05C4.7</v>
      </c>
      <c r="B43" s="24" t="s">
        <v>13601</v>
      </c>
      <c r="C43" s="24" t="s">
        <v>13602</v>
      </c>
      <c r="D43" s="24" t="s">
        <v>29</v>
      </c>
      <c r="E43" s="24" t="s">
        <v>29</v>
      </c>
      <c r="F43" s="24" t="s">
        <v>29</v>
      </c>
      <c r="G43" s="24" t="s">
        <v>14849</v>
      </c>
      <c r="H43" s="24" t="s">
        <v>14849</v>
      </c>
      <c r="I43" s="24" t="s">
        <v>14849</v>
      </c>
      <c r="J43" s="24" t="s">
        <v>14849</v>
      </c>
      <c r="K43" s="24">
        <v>8.7706872045565696</v>
      </c>
      <c r="L43" s="24">
        <v>9.8613352777564494</v>
      </c>
      <c r="M43" s="24">
        <v>9.4649284628779107</v>
      </c>
      <c r="N43" s="24">
        <f t="shared" si="3"/>
        <v>9.3656503150636432</v>
      </c>
      <c r="O43" s="24" t="str">
        <f t="shared" si="4"/>
        <v>ND</v>
      </c>
      <c r="P43" s="24" t="str">
        <f t="shared" si="5"/>
        <v>NA</v>
      </c>
      <c r="S43" s="18" t="s">
        <v>10023</v>
      </c>
      <c r="T43" s="19">
        <v>6.1614871899999999</v>
      </c>
      <c r="U43" s="39"/>
    </row>
    <row r="44" spans="1:21" x14ac:dyDescent="0.2">
      <c r="A44" s="25" t="str">
        <f>"mlt-2"</f>
        <v>mlt-2</v>
      </c>
      <c r="B44" s="25" t="s">
        <v>7389</v>
      </c>
      <c r="C44" s="25" t="s">
        <v>412</v>
      </c>
      <c r="D44" s="25">
        <v>7.2864177270010604</v>
      </c>
      <c r="E44" s="25">
        <v>156.10984652587015</v>
      </c>
      <c r="F44" s="26">
        <v>2.6963012563696999E-12</v>
      </c>
      <c r="G44" s="25">
        <v>11.158376817069801</v>
      </c>
      <c r="H44" s="25">
        <v>10.668773969975501</v>
      </c>
      <c r="I44" s="25">
        <v>11.1675085806671</v>
      </c>
      <c r="J44" s="25">
        <f t="shared" ref="J44:J80" si="6">AVERAGEIF(G44:I44, "&gt;0")</f>
        <v>10.998219789237467</v>
      </c>
      <c r="K44" s="25">
        <v>18.416505335871101</v>
      </c>
      <c r="L44" s="25">
        <v>18.324481112457999</v>
      </c>
      <c r="M44" s="25">
        <v>18.112926100386499</v>
      </c>
      <c r="N44" s="25">
        <f t="shared" si="3"/>
        <v>18.284637516238533</v>
      </c>
      <c r="O44" s="25" t="str">
        <f t="shared" si="4"/>
        <v>ND</v>
      </c>
      <c r="P44" s="25" t="str">
        <f t="shared" si="5"/>
        <v>NA</v>
      </c>
      <c r="S44" s="18" t="s">
        <v>32</v>
      </c>
      <c r="T44" s="19">
        <v>6.0233030899999997</v>
      </c>
      <c r="U44" s="39"/>
    </row>
    <row r="45" spans="1:21" x14ac:dyDescent="0.2">
      <c r="A45" s="24" t="str">
        <f>"hpo-9"</f>
        <v>hpo-9</v>
      </c>
      <c r="B45" s="24" t="s">
        <v>3184</v>
      </c>
      <c r="C45" s="24" t="s">
        <v>3186</v>
      </c>
      <c r="D45" s="24">
        <v>3.7018147294324502</v>
      </c>
      <c r="E45" s="24">
        <v>13.012396013888294</v>
      </c>
      <c r="F45" s="29">
        <v>1.1522673443549101E-6</v>
      </c>
      <c r="G45" s="24" t="s">
        <v>14849</v>
      </c>
      <c r="H45" s="24">
        <v>11.658395087559899</v>
      </c>
      <c r="I45" s="24">
        <v>10.685252078487901</v>
      </c>
      <c r="J45" s="24">
        <f t="shared" si="6"/>
        <v>11.171823583023901</v>
      </c>
      <c r="K45" s="24">
        <v>14.9622793217374</v>
      </c>
      <c r="L45" s="24">
        <v>14.8362237482787</v>
      </c>
      <c r="M45" s="24">
        <v>14.822411867353001</v>
      </c>
      <c r="N45" s="24">
        <f t="shared" si="3"/>
        <v>14.873638312456366</v>
      </c>
      <c r="O45" s="24" t="str">
        <f t="shared" si="4"/>
        <v>ND</v>
      </c>
      <c r="P45" s="24" t="str">
        <f t="shared" si="5"/>
        <v>NA</v>
      </c>
      <c r="S45" s="18" t="s">
        <v>2062</v>
      </c>
      <c r="T45" s="19">
        <v>6.0027472199999998</v>
      </c>
      <c r="U45" s="39"/>
    </row>
    <row r="46" spans="1:21" x14ac:dyDescent="0.2">
      <c r="A46" s="10" t="str">
        <f>"Y92H12BM.1"</f>
        <v>Y92H12BM.1</v>
      </c>
      <c r="B46" s="10" t="s">
        <v>914</v>
      </c>
      <c r="C46" s="10" t="s">
        <v>915</v>
      </c>
      <c r="D46" s="10">
        <v>3.4593785477550498</v>
      </c>
      <c r="E46" s="10">
        <v>10.99959536218614</v>
      </c>
      <c r="F46" s="32">
        <v>3.8392426850029798E-7</v>
      </c>
      <c r="G46" s="10">
        <v>10.2205996185674</v>
      </c>
      <c r="H46" s="10" t="s">
        <v>14849</v>
      </c>
      <c r="I46" s="10">
        <v>10.361591120431401</v>
      </c>
      <c r="J46" s="10">
        <f t="shared" si="6"/>
        <v>10.2910953694994</v>
      </c>
      <c r="K46" s="10">
        <v>13.595347729640901</v>
      </c>
      <c r="L46" s="10">
        <v>13.808978929060901</v>
      </c>
      <c r="M46" s="10">
        <v>13.847095093061601</v>
      </c>
      <c r="N46" s="10">
        <f t="shared" si="3"/>
        <v>13.750473917254467</v>
      </c>
      <c r="O46" s="10">
        <f t="shared" si="4"/>
        <v>3.3613502799999999</v>
      </c>
      <c r="P46" s="10">
        <f t="shared" si="5"/>
        <v>3.2723740300538213</v>
      </c>
      <c r="S46" s="18" t="s">
        <v>10275</v>
      </c>
      <c r="T46" s="19">
        <v>5.9248670499999996</v>
      </c>
      <c r="U46" s="39"/>
    </row>
    <row r="47" spans="1:21" x14ac:dyDescent="0.2">
      <c r="A47" s="10" t="str">
        <f>"jac-1"</f>
        <v>jac-1</v>
      </c>
      <c r="B47" s="10" t="s">
        <v>13337</v>
      </c>
      <c r="C47" s="10" t="s">
        <v>13339</v>
      </c>
      <c r="D47" s="10">
        <v>3.4525737414898598</v>
      </c>
      <c r="E47" s="10">
        <v>10.947835380656528</v>
      </c>
      <c r="F47" s="32">
        <v>4.2079338008466998E-6</v>
      </c>
      <c r="G47" s="10">
        <v>11.2235361568433</v>
      </c>
      <c r="H47" s="10">
        <v>12.8176147483868</v>
      </c>
      <c r="I47" s="10">
        <v>11.792906791478</v>
      </c>
      <c r="J47" s="10">
        <f t="shared" si="6"/>
        <v>11.9446858989027</v>
      </c>
      <c r="K47" s="10">
        <v>15.4229333726616</v>
      </c>
      <c r="L47" s="10">
        <v>15.4144577257618</v>
      </c>
      <c r="M47" s="10">
        <v>15.354387822754401</v>
      </c>
      <c r="N47" s="10">
        <f t="shared" si="3"/>
        <v>15.397259640392599</v>
      </c>
      <c r="O47" s="10">
        <f t="shared" si="4"/>
        <v>3.0909888400000001</v>
      </c>
      <c r="P47" s="10">
        <f t="shared" si="5"/>
        <v>3.5418553567655482</v>
      </c>
      <c r="S47" s="18" t="s">
        <v>757</v>
      </c>
      <c r="T47" s="19">
        <v>5.9086830800000003</v>
      </c>
      <c r="U47" s="39"/>
    </row>
    <row r="48" spans="1:21" x14ac:dyDescent="0.2">
      <c r="A48" s="10" t="str">
        <f>"F42A10.5"</f>
        <v>F42A10.5</v>
      </c>
      <c r="B48" s="10" t="s">
        <v>8729</v>
      </c>
      <c r="C48" s="10" t="s">
        <v>8730</v>
      </c>
      <c r="D48" s="10">
        <v>3.2430944402670199</v>
      </c>
      <c r="E48" s="10">
        <v>9.4682279534503149</v>
      </c>
      <c r="F48" s="32">
        <v>9.6265107044332193E-5</v>
      </c>
      <c r="G48" s="10">
        <v>9.9566818556722403</v>
      </c>
      <c r="H48" s="10" t="s">
        <v>14849</v>
      </c>
      <c r="I48" s="10">
        <v>10.8966645353281</v>
      </c>
      <c r="J48" s="10">
        <f t="shared" si="6"/>
        <v>10.42667319550017</v>
      </c>
      <c r="K48" s="10">
        <v>13.679574398219099</v>
      </c>
      <c r="L48" s="10">
        <v>13.856873276679</v>
      </c>
      <c r="M48" s="10">
        <v>13.472855232403299</v>
      </c>
      <c r="N48" s="10">
        <f t="shared" si="3"/>
        <v>13.669767635767132</v>
      </c>
      <c r="O48" s="10">
        <f t="shared" si="4"/>
        <v>4.1223131100000003</v>
      </c>
      <c r="P48" s="10">
        <f t="shared" si="5"/>
        <v>2.2968240647422133</v>
      </c>
      <c r="S48" s="18" t="s">
        <v>10417</v>
      </c>
      <c r="T48" s="19">
        <v>5.8160155800000002</v>
      </c>
      <c r="U48" s="39"/>
    </row>
    <row r="49" spans="1:21" x14ac:dyDescent="0.2">
      <c r="A49" s="24" t="str">
        <f>"cdc-37"</f>
        <v>cdc-37</v>
      </c>
      <c r="B49" s="24" t="s">
        <v>3021</v>
      </c>
      <c r="C49" s="24" t="s">
        <v>3023</v>
      </c>
      <c r="D49" s="24">
        <v>3.2391244711219902</v>
      </c>
      <c r="E49" s="24">
        <v>9.4422093552249251</v>
      </c>
      <c r="F49" s="29">
        <v>2.57884926355743E-5</v>
      </c>
      <c r="G49" s="24">
        <v>13.0022575256903</v>
      </c>
      <c r="H49" s="24">
        <v>13.196152140209</v>
      </c>
      <c r="I49" s="24" t="s">
        <v>14849</v>
      </c>
      <c r="J49" s="24">
        <f t="shared" si="6"/>
        <v>13.099204832949649</v>
      </c>
      <c r="K49" s="24">
        <v>16.367534939214799</v>
      </c>
      <c r="L49" s="24">
        <v>16.3973336681285</v>
      </c>
      <c r="M49" s="24">
        <v>16.2501193048716</v>
      </c>
      <c r="N49" s="24">
        <f t="shared" si="3"/>
        <v>16.338329304071635</v>
      </c>
      <c r="O49" s="24" t="str">
        <f t="shared" si="4"/>
        <v>ND</v>
      </c>
      <c r="P49" s="24" t="str">
        <f t="shared" si="5"/>
        <v>NA</v>
      </c>
      <c r="S49" s="18" t="s">
        <v>12548</v>
      </c>
      <c r="T49" s="19">
        <v>5.7997844399999998</v>
      </c>
      <c r="U49" s="39"/>
    </row>
    <row r="50" spans="1:21" x14ac:dyDescent="0.2">
      <c r="A50" s="10" t="str">
        <f>"alfa-1"</f>
        <v>alfa-1</v>
      </c>
      <c r="B50" s="10" t="s">
        <v>11529</v>
      </c>
      <c r="C50" s="10" t="s">
        <v>11531</v>
      </c>
      <c r="D50" s="10">
        <v>3.1657947765682199</v>
      </c>
      <c r="E50" s="10">
        <v>8.9742711629821112</v>
      </c>
      <c r="F50" s="32">
        <v>2.4775411314215501E-5</v>
      </c>
      <c r="G50" s="10">
        <v>12.4065620262368</v>
      </c>
      <c r="H50" s="10">
        <v>12.247847300983899</v>
      </c>
      <c r="I50" s="10" t="s">
        <v>14849</v>
      </c>
      <c r="J50" s="10">
        <f t="shared" si="6"/>
        <v>12.327204663610349</v>
      </c>
      <c r="K50" s="10">
        <v>15.5973177740344</v>
      </c>
      <c r="L50" s="10">
        <v>15.593597065478599</v>
      </c>
      <c r="M50" s="10">
        <v>15.288083481022699</v>
      </c>
      <c r="N50" s="10">
        <f t="shared" si="3"/>
        <v>15.492999440178565</v>
      </c>
      <c r="O50" s="10">
        <f t="shared" si="4"/>
        <v>3.1386884199999998</v>
      </c>
      <c r="P50" s="10">
        <f t="shared" si="5"/>
        <v>2.8592424484690047</v>
      </c>
      <c r="S50" s="18" t="s">
        <v>4027</v>
      </c>
      <c r="T50" s="19">
        <v>5.79721084</v>
      </c>
      <c r="U50" s="39"/>
    </row>
    <row r="51" spans="1:21" x14ac:dyDescent="0.2">
      <c r="A51" s="10" t="str">
        <f>"saps-1"</f>
        <v>saps-1</v>
      </c>
      <c r="B51" s="10" t="s">
        <v>627</v>
      </c>
      <c r="C51" s="10" t="s">
        <v>629</v>
      </c>
      <c r="D51" s="10">
        <v>3.1547706607659398</v>
      </c>
      <c r="E51" s="10">
        <v>8.9059570903152743</v>
      </c>
      <c r="F51" s="32">
        <v>8.6664364248691402E-6</v>
      </c>
      <c r="G51" s="10">
        <v>10.2053593211016</v>
      </c>
      <c r="H51" s="10" t="s">
        <v>14849</v>
      </c>
      <c r="I51" s="10">
        <v>10.379090651613501</v>
      </c>
      <c r="J51" s="10">
        <f t="shared" si="6"/>
        <v>10.292224986357549</v>
      </c>
      <c r="K51" s="10">
        <v>13.410088841401601</v>
      </c>
      <c r="L51" s="10">
        <v>13.6100410381109</v>
      </c>
      <c r="M51" s="10">
        <v>13.3208570618579</v>
      </c>
      <c r="N51" s="10">
        <f t="shared" si="3"/>
        <v>13.446995647123467</v>
      </c>
      <c r="O51" s="10">
        <f t="shared" si="4"/>
        <v>3.7304220099999998</v>
      </c>
      <c r="P51" s="10">
        <f t="shared" si="5"/>
        <v>2.3873859489466378</v>
      </c>
      <c r="S51" s="18" t="s">
        <v>4326</v>
      </c>
      <c r="T51" s="19">
        <v>5.6978899700000003</v>
      </c>
      <c r="U51" s="39"/>
    </row>
    <row r="52" spans="1:21" x14ac:dyDescent="0.2">
      <c r="A52" s="25" t="str">
        <f>"mlt-4"</f>
        <v>mlt-4</v>
      </c>
      <c r="B52" s="25" t="s">
        <v>971</v>
      </c>
      <c r="C52" s="25" t="s">
        <v>412</v>
      </c>
      <c r="D52" s="25">
        <v>3.14035114022768</v>
      </c>
      <c r="E52" s="25">
        <v>8.8173867460147051</v>
      </c>
      <c r="F52" s="25">
        <v>2.42326283832672E-4</v>
      </c>
      <c r="G52" s="25" t="s">
        <v>14849</v>
      </c>
      <c r="H52" s="25">
        <v>13.793987917205101</v>
      </c>
      <c r="I52" s="25" t="s">
        <v>14849</v>
      </c>
      <c r="J52" s="25">
        <f t="shared" si="6"/>
        <v>13.793987917205101</v>
      </c>
      <c r="K52" s="25">
        <v>17.021979699881499</v>
      </c>
      <c r="L52" s="25">
        <v>17.063535179238201</v>
      </c>
      <c r="M52" s="25">
        <v>16.717502293178701</v>
      </c>
      <c r="N52" s="25">
        <f t="shared" si="3"/>
        <v>16.934339057432798</v>
      </c>
      <c r="O52" s="25" t="str">
        <f t="shared" si="4"/>
        <v>ND</v>
      </c>
      <c r="P52" s="25" t="str">
        <f t="shared" si="5"/>
        <v>NA</v>
      </c>
      <c r="S52" s="18" t="s">
        <v>11344</v>
      </c>
      <c r="T52" s="19">
        <v>5.5413512200000001</v>
      </c>
      <c r="U52" s="39"/>
    </row>
    <row r="53" spans="1:21" x14ac:dyDescent="0.2">
      <c r="A53" s="27" t="str">
        <f>"nekl-2"</f>
        <v>nekl-2</v>
      </c>
      <c r="B53" s="27" t="s">
        <v>2855</v>
      </c>
      <c r="C53" s="27" t="s">
        <v>2857</v>
      </c>
      <c r="D53" s="27">
        <v>2.9547416833879101</v>
      </c>
      <c r="E53" s="27">
        <v>7.7529302379395446</v>
      </c>
      <c r="F53" s="27">
        <v>4.2296172552362997E-3</v>
      </c>
      <c r="G53" s="27" t="s">
        <v>14849</v>
      </c>
      <c r="H53" s="27" t="s">
        <v>14849</v>
      </c>
      <c r="I53" s="27">
        <v>12.9853021787654</v>
      </c>
      <c r="J53" s="27">
        <f t="shared" si="6"/>
        <v>12.9853021787654</v>
      </c>
      <c r="K53" s="27">
        <v>16.030766854401399</v>
      </c>
      <c r="L53" s="27">
        <v>16.1294836008103</v>
      </c>
      <c r="M53" s="27">
        <v>15.6598811312483</v>
      </c>
      <c r="N53" s="27">
        <f t="shared" si="3"/>
        <v>15.940043862153331</v>
      </c>
      <c r="O53" s="27" t="str">
        <f t="shared" si="4"/>
        <v>ND</v>
      </c>
      <c r="P53" s="27" t="str">
        <f t="shared" si="5"/>
        <v>NA</v>
      </c>
      <c r="S53" s="18" t="s">
        <v>11987</v>
      </c>
      <c r="T53" s="19">
        <v>5.4986622599999997</v>
      </c>
      <c r="U53" s="39"/>
    </row>
    <row r="54" spans="1:21" x14ac:dyDescent="0.2">
      <c r="A54" s="10" t="str">
        <f>"fkb-6"</f>
        <v>fkb-6</v>
      </c>
      <c r="B54" s="10" t="s">
        <v>4060</v>
      </c>
      <c r="C54" s="10" t="s">
        <v>4062</v>
      </c>
      <c r="D54" s="10">
        <v>2.793225593896</v>
      </c>
      <c r="E54" s="10">
        <v>6.9317786871184417</v>
      </c>
      <c r="F54" s="32">
        <v>6.9265709878813901E-6</v>
      </c>
      <c r="G54" s="10">
        <v>14.9038452614476</v>
      </c>
      <c r="H54" s="10">
        <v>14.740748436036201</v>
      </c>
      <c r="I54" s="10">
        <v>14.7215673740747</v>
      </c>
      <c r="J54" s="10">
        <f t="shared" si="6"/>
        <v>14.788720357186167</v>
      </c>
      <c r="K54" s="10">
        <v>17.5686167752636</v>
      </c>
      <c r="L54" s="10">
        <v>17.736442871691001</v>
      </c>
      <c r="M54" s="10">
        <v>17.440778206291899</v>
      </c>
      <c r="N54" s="10">
        <f t="shared" si="3"/>
        <v>17.581945951082165</v>
      </c>
      <c r="O54" s="10">
        <f t="shared" si="4"/>
        <v>3.90200031</v>
      </c>
      <c r="P54" s="10">
        <f t="shared" si="5"/>
        <v>1.7764680001059359</v>
      </c>
      <c r="S54" s="18" t="s">
        <v>10985</v>
      </c>
      <c r="T54" s="19">
        <v>5.4897413400000001</v>
      </c>
      <c r="U54" s="39"/>
    </row>
    <row r="55" spans="1:21" x14ac:dyDescent="0.2">
      <c r="A55" s="24" t="str">
        <f>"cdkr-3"</f>
        <v>cdkr-3</v>
      </c>
      <c r="B55" s="24" t="s">
        <v>13319</v>
      </c>
      <c r="C55" s="24" t="s">
        <v>13321</v>
      </c>
      <c r="D55" s="24">
        <v>2.7555142290622401</v>
      </c>
      <c r="E55" s="24">
        <v>6.752932931391415</v>
      </c>
      <c r="F55" s="29">
        <v>5.0542593068953897E-6</v>
      </c>
      <c r="G55" s="24">
        <v>9.3746290607799398</v>
      </c>
      <c r="H55" s="24">
        <v>9.0076505403956606</v>
      </c>
      <c r="I55" s="24" t="s">
        <v>14849</v>
      </c>
      <c r="J55" s="24">
        <f t="shared" si="6"/>
        <v>9.1911398005878002</v>
      </c>
      <c r="K55" s="24">
        <v>11.9714299338244</v>
      </c>
      <c r="L55" s="24">
        <v>12.1044310674845</v>
      </c>
      <c r="M55" s="24">
        <v>11.764101087641301</v>
      </c>
      <c r="N55" s="24">
        <f t="shared" si="3"/>
        <v>11.946654029650068</v>
      </c>
      <c r="O55" s="24" t="str">
        <f t="shared" si="4"/>
        <v>ND</v>
      </c>
      <c r="P55" s="24" t="str">
        <f t="shared" si="5"/>
        <v>NA</v>
      </c>
      <c r="S55" s="16" t="s">
        <v>14805</v>
      </c>
      <c r="T55" s="19">
        <v>5.4884546661773141</v>
      </c>
      <c r="U55" s="39"/>
    </row>
    <row r="56" spans="1:21" x14ac:dyDescent="0.2">
      <c r="A56" s="24" t="str">
        <f>"rpap-2"</f>
        <v>rpap-2</v>
      </c>
      <c r="B56" s="24" t="s">
        <v>4894</v>
      </c>
      <c r="C56" s="24" t="s">
        <v>4896</v>
      </c>
      <c r="D56" s="24">
        <v>2.65370331774028</v>
      </c>
      <c r="E56" s="24">
        <v>6.2928053491266835</v>
      </c>
      <c r="F56" s="24">
        <v>4.4449466279503601E-3</v>
      </c>
      <c r="G56" s="24" t="s">
        <v>14849</v>
      </c>
      <c r="H56" s="24">
        <v>9.2119993413352805</v>
      </c>
      <c r="I56" s="24">
        <v>11.290721356418301</v>
      </c>
      <c r="J56" s="24">
        <f t="shared" si="6"/>
        <v>10.251360348876791</v>
      </c>
      <c r="K56" s="24">
        <v>12.827015720602001</v>
      </c>
      <c r="L56" s="24">
        <v>13.0160988139131</v>
      </c>
      <c r="M56" s="24">
        <v>12.872076465336001</v>
      </c>
      <c r="N56" s="24">
        <f t="shared" si="3"/>
        <v>12.905063666617034</v>
      </c>
      <c r="O56" s="24" t="str">
        <f t="shared" si="4"/>
        <v>ND</v>
      </c>
      <c r="P56" s="24" t="str">
        <f t="shared" si="5"/>
        <v>NA</v>
      </c>
      <c r="S56" s="16" t="s">
        <v>644</v>
      </c>
      <c r="T56" s="19">
        <v>5.4147697799611878</v>
      </c>
      <c r="U56" s="39"/>
    </row>
    <row r="57" spans="1:21" x14ac:dyDescent="0.2">
      <c r="A57" s="24" t="str">
        <f>"panl-3"</f>
        <v>panl-3</v>
      </c>
      <c r="B57" s="24" t="s">
        <v>5357</v>
      </c>
      <c r="C57" s="24" t="s">
        <v>5359</v>
      </c>
      <c r="D57" s="24">
        <v>2.6181644488606302</v>
      </c>
      <c r="E57" s="24">
        <v>6.139684189921506</v>
      </c>
      <c r="F57" s="29">
        <v>1.63505702075617E-5</v>
      </c>
      <c r="G57" s="24">
        <v>11.603543570277999</v>
      </c>
      <c r="H57" s="24">
        <v>10.788808355569101</v>
      </c>
      <c r="I57" s="24">
        <v>12.0450956405534</v>
      </c>
      <c r="J57" s="24">
        <f t="shared" si="6"/>
        <v>11.479149188800166</v>
      </c>
      <c r="K57" s="24">
        <v>14.648314936613501</v>
      </c>
      <c r="L57" s="24">
        <v>13.887798578825601</v>
      </c>
      <c r="M57" s="24">
        <v>13.755827397543399</v>
      </c>
      <c r="N57" s="24">
        <f t="shared" si="3"/>
        <v>14.097313637660832</v>
      </c>
      <c r="O57" s="24" t="str">
        <f t="shared" si="4"/>
        <v>ND</v>
      </c>
      <c r="P57" s="24" t="str">
        <f t="shared" si="5"/>
        <v>NA</v>
      </c>
      <c r="S57" s="18" t="s">
        <v>14806</v>
      </c>
      <c r="T57" s="19">
        <v>5.3912494400000002</v>
      </c>
      <c r="U57" s="39"/>
    </row>
    <row r="58" spans="1:21" x14ac:dyDescent="0.2">
      <c r="A58" s="10" t="str">
        <f>"Y55F3AM.9"</f>
        <v>Y55F3AM.9</v>
      </c>
      <c r="B58" s="10" t="s">
        <v>12336</v>
      </c>
      <c r="C58" s="10" t="s">
        <v>416</v>
      </c>
      <c r="D58" s="10">
        <v>2.49883120311718</v>
      </c>
      <c r="E58" s="10">
        <v>5.6522732147518315</v>
      </c>
      <c r="F58" s="10">
        <v>3.0864715329873599E-3</v>
      </c>
      <c r="G58" s="10">
        <v>11.632250062475901</v>
      </c>
      <c r="H58" s="10" t="s">
        <v>14849</v>
      </c>
      <c r="I58" s="10">
        <v>11.243748697673</v>
      </c>
      <c r="J58" s="10">
        <f t="shared" si="6"/>
        <v>11.437999380074451</v>
      </c>
      <c r="K58" s="10">
        <v>13.762931235451401</v>
      </c>
      <c r="L58" s="10">
        <v>14.507588744828499</v>
      </c>
      <c r="M58" s="10">
        <v>13.539971769295001</v>
      </c>
      <c r="N58" s="10">
        <f t="shared" si="3"/>
        <v>13.936830583191634</v>
      </c>
      <c r="O58" s="10">
        <f t="shared" si="4"/>
        <v>2.6250738600000001</v>
      </c>
      <c r="P58" s="10">
        <f t="shared" si="5"/>
        <v>2.1531863544410257</v>
      </c>
      <c r="S58" s="18" t="s">
        <v>14807</v>
      </c>
      <c r="T58" s="19">
        <v>5.35563623</v>
      </c>
      <c r="U58" s="39"/>
    </row>
    <row r="59" spans="1:21" x14ac:dyDescent="0.2">
      <c r="A59" s="24" t="str">
        <f>"H35B03.1"</f>
        <v>H35B03.1</v>
      </c>
      <c r="B59" s="24" t="s">
        <v>12983</v>
      </c>
      <c r="C59" s="24" t="s">
        <v>7751</v>
      </c>
      <c r="D59" s="24">
        <v>2.3108437647976099</v>
      </c>
      <c r="E59" s="24">
        <v>4.9617318360278952</v>
      </c>
      <c r="F59" s="29">
        <v>7.8812797672218799E-7</v>
      </c>
      <c r="G59" s="24">
        <v>12.5294164066057</v>
      </c>
      <c r="H59" s="24">
        <v>12.5712014024871</v>
      </c>
      <c r="I59" s="24">
        <v>12.4921529596801</v>
      </c>
      <c r="J59" s="24">
        <f t="shared" si="6"/>
        <v>12.530923589590968</v>
      </c>
      <c r="K59" s="24">
        <v>14.8581656517319</v>
      </c>
      <c r="L59" s="24">
        <v>14.96404508592</v>
      </c>
      <c r="M59" s="24">
        <v>14.7030913255138</v>
      </c>
      <c r="N59" s="24">
        <f t="shared" si="3"/>
        <v>14.841767354388566</v>
      </c>
      <c r="O59" s="24" t="str">
        <f t="shared" si="4"/>
        <v>ND</v>
      </c>
      <c r="P59" s="24" t="str">
        <f t="shared" si="5"/>
        <v>NA</v>
      </c>
      <c r="S59" s="18" t="s">
        <v>9884</v>
      </c>
      <c r="T59" s="19">
        <v>5.3329647099999997</v>
      </c>
      <c r="U59" s="39"/>
    </row>
    <row r="60" spans="1:21" x14ac:dyDescent="0.2">
      <c r="A60" s="10" t="str">
        <f>"fah-1"</f>
        <v>fah-1</v>
      </c>
      <c r="B60" s="10" t="s">
        <v>11370</v>
      </c>
      <c r="C60" s="10" t="s">
        <v>11372</v>
      </c>
      <c r="D60" s="10">
        <v>2.1957597843739101</v>
      </c>
      <c r="E60" s="10">
        <v>4.5813087185913597</v>
      </c>
      <c r="F60" s="10">
        <v>2.68969302574374E-3</v>
      </c>
      <c r="G60" s="10" t="s">
        <v>14849</v>
      </c>
      <c r="H60" s="10">
        <v>10.947054000479399</v>
      </c>
      <c r="I60" s="10" t="s">
        <v>14849</v>
      </c>
      <c r="J60" s="10">
        <f t="shared" si="6"/>
        <v>10.947054000479399</v>
      </c>
      <c r="K60" s="10">
        <v>13.260451657049099</v>
      </c>
      <c r="L60" s="10">
        <v>12.9106729048376</v>
      </c>
      <c r="M60" s="10">
        <v>13.2573167926731</v>
      </c>
      <c r="N60" s="10">
        <f t="shared" si="3"/>
        <v>13.142813784853267</v>
      </c>
      <c r="O60" s="10">
        <f t="shared" si="4"/>
        <v>2.7911792396759152</v>
      </c>
      <c r="P60" s="10">
        <f t="shared" si="5"/>
        <v>1.6413523909425813</v>
      </c>
      <c r="S60" s="18" t="s">
        <v>11276</v>
      </c>
      <c r="T60" s="19">
        <v>5.3056272399999997</v>
      </c>
      <c r="U60" s="39"/>
    </row>
    <row r="61" spans="1:21" x14ac:dyDescent="0.2">
      <c r="A61" s="10" t="str">
        <f>"sna-2"</f>
        <v>sna-2</v>
      </c>
      <c r="B61" s="10" t="s">
        <v>11308</v>
      </c>
      <c r="C61" s="10" t="s">
        <v>11310</v>
      </c>
      <c r="D61" s="10">
        <v>2.1785186645580201</v>
      </c>
      <c r="E61" s="10">
        <v>4.5268850232735645</v>
      </c>
      <c r="F61" s="10">
        <v>1.16750437516254E-2</v>
      </c>
      <c r="G61" s="10" t="s">
        <v>14849</v>
      </c>
      <c r="H61" s="10" t="s">
        <v>14849</v>
      </c>
      <c r="I61" s="10">
        <v>11.0566742016485</v>
      </c>
      <c r="J61" s="10">
        <f t="shared" si="6"/>
        <v>11.0566742016485</v>
      </c>
      <c r="K61" s="10">
        <v>13.192063689186501</v>
      </c>
      <c r="L61" s="10">
        <v>13.548036693835501</v>
      </c>
      <c r="M61" s="10">
        <v>12.9654782155975</v>
      </c>
      <c r="N61" s="10">
        <f t="shared" si="3"/>
        <v>13.235192866206502</v>
      </c>
      <c r="O61" s="10">
        <f t="shared" si="4"/>
        <v>2.8844428600000001</v>
      </c>
      <c r="P61" s="10">
        <f t="shared" si="5"/>
        <v>1.569414005751379</v>
      </c>
      <c r="S61" s="18" t="s">
        <v>2875</v>
      </c>
      <c r="T61" s="19">
        <v>5.3045302100000002</v>
      </c>
      <c r="U61" s="39"/>
    </row>
    <row r="62" spans="1:21" x14ac:dyDescent="0.2">
      <c r="A62" s="24" t="str">
        <f>"spk-1"</f>
        <v>spk-1</v>
      </c>
      <c r="B62" s="24" t="s">
        <v>6504</v>
      </c>
      <c r="C62" s="24" t="s">
        <v>6506</v>
      </c>
      <c r="D62" s="24">
        <v>2.0734756111738202</v>
      </c>
      <c r="E62" s="24">
        <v>4.2089944611974923</v>
      </c>
      <c r="F62" s="24">
        <v>8.5489235251782201E-4</v>
      </c>
      <c r="G62" s="24">
        <v>11.2608229600214</v>
      </c>
      <c r="H62" s="24" t="s">
        <v>14849</v>
      </c>
      <c r="I62" s="24">
        <v>11.387234452959699</v>
      </c>
      <c r="J62" s="24">
        <f t="shared" si="6"/>
        <v>11.32402870649055</v>
      </c>
      <c r="K62" s="24">
        <v>13.126840868837199</v>
      </c>
      <c r="L62" s="24">
        <v>13.6639396190109</v>
      </c>
      <c r="M62" s="24">
        <v>13.4017324651451</v>
      </c>
      <c r="N62" s="24">
        <f t="shared" si="3"/>
        <v>13.397504317664399</v>
      </c>
      <c r="O62" s="24" t="str">
        <f t="shared" si="4"/>
        <v>ND</v>
      </c>
      <c r="P62" s="24" t="str">
        <f t="shared" si="5"/>
        <v>NA</v>
      </c>
      <c r="S62" s="18" t="s">
        <v>12857</v>
      </c>
      <c r="T62" s="19">
        <v>5.2960393799999999</v>
      </c>
      <c r="U62" s="39"/>
    </row>
    <row r="63" spans="1:21" x14ac:dyDescent="0.2">
      <c r="A63" s="24" t="str">
        <f>"edc-4"</f>
        <v>edc-4</v>
      </c>
      <c r="B63" s="24" t="s">
        <v>431</v>
      </c>
      <c r="C63" s="24" t="s">
        <v>433</v>
      </c>
      <c r="D63" s="24">
        <v>1.91734710035115</v>
      </c>
      <c r="E63" s="24">
        <v>3.7772783488411954</v>
      </c>
      <c r="F63" s="29">
        <v>2.4984878798754399E-5</v>
      </c>
      <c r="G63" s="24">
        <v>11.920371341518599</v>
      </c>
      <c r="H63" s="24">
        <v>11.454727761420401</v>
      </c>
      <c r="I63" s="24">
        <v>11.7757898023814</v>
      </c>
      <c r="J63" s="24">
        <f t="shared" si="6"/>
        <v>11.716962968440134</v>
      </c>
      <c r="K63" s="24">
        <v>13.584397128355199</v>
      </c>
      <c r="L63" s="24">
        <v>14.0337186808776</v>
      </c>
      <c r="M63" s="24">
        <v>13.284814397141</v>
      </c>
      <c r="N63" s="24">
        <f t="shared" si="3"/>
        <v>13.634310068791265</v>
      </c>
      <c r="O63" s="24" t="str">
        <f t="shared" si="4"/>
        <v>ND</v>
      </c>
      <c r="P63" s="24" t="str">
        <f t="shared" si="5"/>
        <v>NA</v>
      </c>
      <c r="S63" s="18" t="s">
        <v>11641</v>
      </c>
      <c r="T63" s="19">
        <v>5.2188431199999998</v>
      </c>
      <c r="U63" s="39"/>
    </row>
    <row r="64" spans="1:21" x14ac:dyDescent="0.2">
      <c r="A64" s="24" t="str">
        <f>"clp-7"</f>
        <v>clp-7</v>
      </c>
      <c r="B64" s="24" t="s">
        <v>12471</v>
      </c>
      <c r="C64" s="24" t="s">
        <v>12473</v>
      </c>
      <c r="D64" s="24">
        <v>1.9073830463321599</v>
      </c>
      <c r="E64" s="24">
        <v>3.7512802466027519</v>
      </c>
      <c r="F64" s="24">
        <v>6.8724340482368296E-3</v>
      </c>
      <c r="G64" s="24">
        <v>11.961174344982</v>
      </c>
      <c r="H64" s="24" t="s">
        <v>14849</v>
      </c>
      <c r="I64" s="24" t="s">
        <v>14849</v>
      </c>
      <c r="J64" s="24">
        <f t="shared" si="6"/>
        <v>11.961174344982</v>
      </c>
      <c r="K64" s="24">
        <v>13.9959865945044</v>
      </c>
      <c r="L64" s="24">
        <v>13.879361931013801</v>
      </c>
      <c r="M64" s="24">
        <v>13.730323648424401</v>
      </c>
      <c r="N64" s="24">
        <f t="shared" si="3"/>
        <v>13.8685573913142</v>
      </c>
      <c r="O64" s="24" t="str">
        <f t="shared" si="4"/>
        <v>ND</v>
      </c>
      <c r="P64" s="24" t="str">
        <f t="shared" si="5"/>
        <v>NA</v>
      </c>
      <c r="S64" s="18" t="s">
        <v>3454</v>
      </c>
      <c r="T64" s="19">
        <v>5.1872334499999999</v>
      </c>
      <c r="U64" s="39"/>
    </row>
    <row r="65" spans="1:21" x14ac:dyDescent="0.2">
      <c r="A65" s="24" t="str">
        <f>"frm-5.1"</f>
        <v>frm-5.1</v>
      </c>
      <c r="B65" s="24" t="s">
        <v>448</v>
      </c>
      <c r="C65" s="24" t="s">
        <v>450</v>
      </c>
      <c r="D65" s="24">
        <v>1.8660632094215801</v>
      </c>
      <c r="E65" s="24">
        <v>3.6453648349953656</v>
      </c>
      <c r="F65" s="29">
        <v>9.6211522870511402E-6</v>
      </c>
      <c r="G65" s="24">
        <v>10.9647975226712</v>
      </c>
      <c r="H65" s="24">
        <v>11.1260795649222</v>
      </c>
      <c r="I65" s="24">
        <v>10.9534852560286</v>
      </c>
      <c r="J65" s="24">
        <f t="shared" si="6"/>
        <v>11.014787447873999</v>
      </c>
      <c r="K65" s="24">
        <v>13.009372664772201</v>
      </c>
      <c r="L65" s="24">
        <v>13.007576495861199</v>
      </c>
      <c r="M65" s="24">
        <v>12.6256028112533</v>
      </c>
      <c r="N65" s="24">
        <f t="shared" si="3"/>
        <v>12.880850657295568</v>
      </c>
      <c r="O65" s="24" t="str">
        <f t="shared" si="4"/>
        <v>ND</v>
      </c>
      <c r="P65" s="24" t="str">
        <f t="shared" si="5"/>
        <v>NA</v>
      </c>
      <c r="S65" s="18" t="s">
        <v>7683</v>
      </c>
      <c r="T65" s="19">
        <v>5.1493989300000003</v>
      </c>
      <c r="U65" s="39"/>
    </row>
    <row r="66" spans="1:21" x14ac:dyDescent="0.2">
      <c r="A66" s="10" t="str">
        <f>"T04F3.1"</f>
        <v>T04F3.1</v>
      </c>
      <c r="B66" s="10" t="s">
        <v>1555</v>
      </c>
      <c r="C66" s="10" t="s">
        <v>1556</v>
      </c>
      <c r="D66" s="10">
        <v>1.7962291942569699</v>
      </c>
      <c r="E66" s="10">
        <v>3.473112623841998</v>
      </c>
      <c r="F66" s="10">
        <v>2.5272166164675E-4</v>
      </c>
      <c r="G66" s="10">
        <v>13.0608550297052</v>
      </c>
      <c r="H66" s="10">
        <v>12.9476766261173</v>
      </c>
      <c r="I66" s="10">
        <v>13.1129313821629</v>
      </c>
      <c r="J66" s="10">
        <f t="shared" si="6"/>
        <v>13.040487679328466</v>
      </c>
      <c r="K66" s="10">
        <v>14.827210294448401</v>
      </c>
      <c r="L66" s="10">
        <v>14.893543565935</v>
      </c>
      <c r="M66" s="10">
        <v>14.789396760372901</v>
      </c>
      <c r="N66" s="10">
        <f t="shared" ref="N66:N91" si="7">(K66+L66+M66)/3</f>
        <v>14.836716873585432</v>
      </c>
      <c r="O66" s="10">
        <f t="shared" ref="O66:O91" si="8">IFERROR(INDEX(T:T, MATCH(A66, S:S, 0)), "ND")</f>
        <v>2.2527639000000002</v>
      </c>
      <c r="P66" s="10">
        <f t="shared" ref="P66:P91" si="9">IFERROR(E66/O66, "NA")</f>
        <v>1.5417117718558957</v>
      </c>
      <c r="S66" s="18" t="s">
        <v>11194</v>
      </c>
      <c r="T66" s="19">
        <v>5.1442231500000002</v>
      </c>
      <c r="U66" s="39"/>
    </row>
    <row r="67" spans="1:21" x14ac:dyDescent="0.2">
      <c r="A67" s="24" t="str">
        <f>"col-160"</f>
        <v>col-160</v>
      </c>
      <c r="B67" s="24" t="s">
        <v>9014</v>
      </c>
      <c r="C67" s="24" t="s">
        <v>3312</v>
      </c>
      <c r="D67" s="24">
        <v>1.7849366639781601</v>
      </c>
      <c r="E67" s="24">
        <v>3.4460333505797021</v>
      </c>
      <c r="F67" s="24">
        <v>2.9379688679198102E-2</v>
      </c>
      <c r="G67" s="24">
        <v>13.133227139610501</v>
      </c>
      <c r="H67" s="24">
        <v>12.2605482395754</v>
      </c>
      <c r="I67" s="24">
        <v>14.282662845990099</v>
      </c>
      <c r="J67" s="24">
        <f t="shared" si="6"/>
        <v>13.225479408391999</v>
      </c>
      <c r="K67" s="24">
        <v>14.662920427627601</v>
      </c>
      <c r="L67" s="24">
        <v>15.436851149456199</v>
      </c>
      <c r="M67" s="24">
        <v>14.9314766400267</v>
      </c>
      <c r="N67" s="24">
        <f t="shared" si="7"/>
        <v>15.010416072370168</v>
      </c>
      <c r="O67" s="24" t="str">
        <f t="shared" si="8"/>
        <v>ND</v>
      </c>
      <c r="P67" s="24" t="str">
        <f t="shared" si="9"/>
        <v>NA</v>
      </c>
      <c r="S67" s="18" t="s">
        <v>3805</v>
      </c>
      <c r="T67" s="19">
        <v>5.0381587100000003</v>
      </c>
      <c r="U67" s="39"/>
    </row>
    <row r="68" spans="1:21" x14ac:dyDescent="0.2">
      <c r="A68" s="24" t="str">
        <f>"pptr-2"</f>
        <v>pptr-2</v>
      </c>
      <c r="B68" s="24" t="s">
        <v>589</v>
      </c>
      <c r="C68" s="24" t="s">
        <v>591</v>
      </c>
      <c r="D68" s="24">
        <v>1.64768585828255</v>
      </c>
      <c r="E68" s="24">
        <v>3.1333064071778383</v>
      </c>
      <c r="F68" s="24">
        <v>2.4219407977970901E-2</v>
      </c>
      <c r="G68" s="24" t="s">
        <v>14849</v>
      </c>
      <c r="H68" s="24" t="s">
        <v>14849</v>
      </c>
      <c r="I68" s="24">
        <v>11.1247155659065</v>
      </c>
      <c r="J68" s="24">
        <f t="shared" si="6"/>
        <v>11.1247155659065</v>
      </c>
      <c r="K68" s="24">
        <v>12.615452592558899</v>
      </c>
      <c r="L68" s="24">
        <v>12.6446517000401</v>
      </c>
      <c r="M68" s="24">
        <v>13.0570999799681</v>
      </c>
      <c r="N68" s="24">
        <f t="shared" si="7"/>
        <v>12.772401424189033</v>
      </c>
      <c r="O68" s="24" t="str">
        <f t="shared" si="8"/>
        <v>ND</v>
      </c>
      <c r="P68" s="24" t="str">
        <f t="shared" si="9"/>
        <v>NA</v>
      </c>
      <c r="S68" s="18" t="s">
        <v>315</v>
      </c>
      <c r="T68" s="19">
        <v>5.0101333800000001</v>
      </c>
      <c r="U68" s="39"/>
    </row>
    <row r="69" spans="1:21" x14ac:dyDescent="0.2">
      <c r="A69" s="24" t="str">
        <f>"deb-1"</f>
        <v>deb-1</v>
      </c>
      <c r="B69" s="24" t="s">
        <v>4794</v>
      </c>
      <c r="C69" s="24" t="s">
        <v>4796</v>
      </c>
      <c r="D69" s="24">
        <v>1.6018257045306199</v>
      </c>
      <c r="E69" s="24">
        <v>3.0352717852872964</v>
      </c>
      <c r="F69" s="24">
        <v>5.6004232081454503E-4</v>
      </c>
      <c r="G69" s="24">
        <v>11.2059148503439</v>
      </c>
      <c r="H69" s="24">
        <v>11.9431731353147</v>
      </c>
      <c r="I69" s="24">
        <v>11.845601764268601</v>
      </c>
      <c r="J69" s="24">
        <f t="shared" si="6"/>
        <v>11.664896583309067</v>
      </c>
      <c r="K69" s="24">
        <v>13.1054711117169</v>
      </c>
      <c r="L69" s="24">
        <v>13.246219609320301</v>
      </c>
      <c r="M69" s="24">
        <v>13.448476142481899</v>
      </c>
      <c r="N69" s="24">
        <f t="shared" si="7"/>
        <v>13.2667222878397</v>
      </c>
      <c r="O69" s="24" t="str">
        <f t="shared" si="8"/>
        <v>ND</v>
      </c>
      <c r="P69" s="24" t="str">
        <f t="shared" si="9"/>
        <v>NA</v>
      </c>
      <c r="S69" s="11" t="s">
        <v>5251</v>
      </c>
      <c r="T69" s="20">
        <v>4.9786246800000002</v>
      </c>
      <c r="U69" s="41" t="s">
        <v>14928</v>
      </c>
    </row>
    <row r="70" spans="1:21" x14ac:dyDescent="0.2">
      <c r="A70" s="24" t="str">
        <f>"akt-2"</f>
        <v>akt-2</v>
      </c>
      <c r="B70" s="24" t="s">
        <v>13499</v>
      </c>
      <c r="C70" s="24" t="s">
        <v>13501</v>
      </c>
      <c r="D70" s="24">
        <v>1.4960711558217601</v>
      </c>
      <c r="E70" s="24">
        <v>2.8207350403006233</v>
      </c>
      <c r="F70" s="24">
        <v>8.0924676766738605E-4</v>
      </c>
      <c r="G70" s="24">
        <v>12.3354439398487</v>
      </c>
      <c r="H70" s="24">
        <v>12.0577846008914</v>
      </c>
      <c r="I70" s="24">
        <v>12.001807716803199</v>
      </c>
      <c r="J70" s="24">
        <f t="shared" si="6"/>
        <v>12.131678752514432</v>
      </c>
      <c r="K70" s="24">
        <v>13.742416474107801</v>
      </c>
      <c r="L70" s="24">
        <v>13.7589151037833</v>
      </c>
      <c r="M70" s="24">
        <v>13.381918147117499</v>
      </c>
      <c r="N70" s="24">
        <f t="shared" si="7"/>
        <v>13.627749908336199</v>
      </c>
      <c r="O70" s="24" t="str">
        <f t="shared" si="8"/>
        <v>ND</v>
      </c>
      <c r="P70" s="24" t="str">
        <f t="shared" si="9"/>
        <v>NA</v>
      </c>
      <c r="S70" s="11" t="s">
        <v>8357</v>
      </c>
      <c r="T70" s="20">
        <v>4.8608899699999997</v>
      </c>
      <c r="U70" s="39" t="s">
        <v>14917</v>
      </c>
    </row>
    <row r="71" spans="1:21" x14ac:dyDescent="0.2">
      <c r="A71" s="24" t="str">
        <f>"hmp-1"</f>
        <v>hmp-1</v>
      </c>
      <c r="B71" s="24" t="s">
        <v>6128</v>
      </c>
      <c r="C71" s="24" t="s">
        <v>6130</v>
      </c>
      <c r="D71" s="24">
        <v>1.4821141192893501</v>
      </c>
      <c r="E71" s="24">
        <v>2.7935780323064643</v>
      </c>
      <c r="F71" s="24">
        <v>9.2183103968832194E-3</v>
      </c>
      <c r="G71" s="24">
        <v>11.2773298610255</v>
      </c>
      <c r="H71" s="24">
        <v>10.974568725354599</v>
      </c>
      <c r="I71" s="24" t="s">
        <v>14849</v>
      </c>
      <c r="J71" s="24">
        <f t="shared" si="6"/>
        <v>11.12594929319005</v>
      </c>
      <c r="K71" s="24">
        <v>12.834105794203801</v>
      </c>
      <c r="L71" s="24">
        <v>12.512063557933301</v>
      </c>
      <c r="M71" s="24">
        <v>12.478020885301101</v>
      </c>
      <c r="N71" s="24">
        <f t="shared" si="7"/>
        <v>12.608063412479401</v>
      </c>
      <c r="O71" s="24" t="str">
        <f t="shared" si="8"/>
        <v>ND</v>
      </c>
      <c r="P71" s="24" t="str">
        <f t="shared" si="9"/>
        <v>NA</v>
      </c>
      <c r="S71" s="11" t="s">
        <v>6434</v>
      </c>
      <c r="T71" s="20">
        <v>4.8303157299999997</v>
      </c>
      <c r="U71" s="39"/>
    </row>
    <row r="72" spans="1:21" x14ac:dyDescent="0.2">
      <c r="A72" s="24" t="str">
        <f>"tat-1"</f>
        <v>tat-1</v>
      </c>
      <c r="B72" s="24" t="s">
        <v>13153</v>
      </c>
      <c r="C72" s="24" t="s">
        <v>13155</v>
      </c>
      <c r="D72" s="24">
        <v>1.45643788333867</v>
      </c>
      <c r="E72" s="24">
        <v>2.7442993939576885</v>
      </c>
      <c r="F72" s="24">
        <v>1.78512982300258E-3</v>
      </c>
      <c r="G72" s="24">
        <v>10.6683006926442</v>
      </c>
      <c r="H72" s="24">
        <v>10.9173672326228</v>
      </c>
      <c r="I72" s="24">
        <v>11.599556353082001</v>
      </c>
      <c r="J72" s="24">
        <f t="shared" si="6"/>
        <v>11.061741426116333</v>
      </c>
      <c r="K72" s="24">
        <v>12.5498644342748</v>
      </c>
      <c r="L72" s="24">
        <v>12.744600150354399</v>
      </c>
      <c r="M72" s="24">
        <v>12.260073343735799</v>
      </c>
      <c r="N72" s="24">
        <f t="shared" si="7"/>
        <v>12.518179309455</v>
      </c>
      <c r="O72" s="24" t="str">
        <f t="shared" si="8"/>
        <v>ND</v>
      </c>
      <c r="P72" s="24" t="str">
        <f t="shared" si="9"/>
        <v>NA</v>
      </c>
      <c r="S72" s="11" t="s">
        <v>88</v>
      </c>
      <c r="T72" s="20">
        <v>4.8081449999999997</v>
      </c>
      <c r="U72" s="39"/>
    </row>
    <row r="73" spans="1:21" x14ac:dyDescent="0.2">
      <c r="A73" s="24" t="str">
        <f>"F36A2.3"</f>
        <v>F36A2.3</v>
      </c>
      <c r="B73" s="24" t="s">
        <v>1453</v>
      </c>
      <c r="C73" s="24" t="s">
        <v>1454</v>
      </c>
      <c r="D73" s="24">
        <v>1.42526352134108</v>
      </c>
      <c r="E73" s="24">
        <v>2.6856355164591439</v>
      </c>
      <c r="F73" s="24">
        <v>2.0239181800272898E-2</v>
      </c>
      <c r="G73" s="24">
        <v>12.8446897951167</v>
      </c>
      <c r="H73" s="24">
        <v>11.5880551726987</v>
      </c>
      <c r="I73" s="24">
        <v>12.0966588820519</v>
      </c>
      <c r="J73" s="24">
        <f t="shared" si="6"/>
        <v>12.176467949955766</v>
      </c>
      <c r="K73" s="24">
        <v>13.682766956027001</v>
      </c>
      <c r="L73" s="24">
        <v>13.9201458294049</v>
      </c>
      <c r="M73" s="24">
        <v>13.2022816284586</v>
      </c>
      <c r="N73" s="24">
        <f t="shared" si="7"/>
        <v>13.601731471296835</v>
      </c>
      <c r="O73" s="24" t="str">
        <f t="shared" si="8"/>
        <v>ND</v>
      </c>
      <c r="P73" s="24" t="str">
        <f t="shared" si="9"/>
        <v>NA</v>
      </c>
      <c r="S73" s="11" t="s">
        <v>465</v>
      </c>
      <c r="T73" s="20">
        <v>4.7841150700000004</v>
      </c>
      <c r="U73" s="39"/>
    </row>
    <row r="74" spans="1:21" x14ac:dyDescent="0.2">
      <c r="A74" s="24" t="str">
        <f>"pes-7"</f>
        <v>pes-7</v>
      </c>
      <c r="B74" s="24" t="s">
        <v>3516</v>
      </c>
      <c r="C74" s="24" t="s">
        <v>758</v>
      </c>
      <c r="D74" s="24">
        <v>1.3910636509541601</v>
      </c>
      <c r="E74" s="24">
        <v>2.622719738908267</v>
      </c>
      <c r="F74" s="24">
        <v>3.0633323166901798E-2</v>
      </c>
      <c r="G74" s="24">
        <v>11.863976846072401</v>
      </c>
      <c r="H74" s="24">
        <v>11.456434208626501</v>
      </c>
      <c r="I74" s="24">
        <v>12.296316837863101</v>
      </c>
      <c r="J74" s="24">
        <f t="shared" si="6"/>
        <v>11.872242630854002</v>
      </c>
      <c r="K74" s="24">
        <v>13.293333942405299</v>
      </c>
      <c r="L74" s="24">
        <v>13.354022114825</v>
      </c>
      <c r="M74" s="24">
        <v>13.1425627881941</v>
      </c>
      <c r="N74" s="24">
        <f t="shared" si="7"/>
        <v>13.263306281808132</v>
      </c>
      <c r="O74" s="24" t="str">
        <f t="shared" si="8"/>
        <v>ND</v>
      </c>
      <c r="P74" s="24" t="str">
        <f t="shared" si="9"/>
        <v>NA</v>
      </c>
      <c r="S74" s="11" t="s">
        <v>944</v>
      </c>
      <c r="T74" s="20">
        <v>4.7641000399999998</v>
      </c>
      <c r="U74" s="39"/>
    </row>
    <row r="75" spans="1:21" x14ac:dyDescent="0.2">
      <c r="A75" s="24" t="str">
        <f>"daf-18"</f>
        <v>daf-18</v>
      </c>
      <c r="B75" s="24" t="s">
        <v>1540</v>
      </c>
      <c r="C75" s="24" t="s">
        <v>1542</v>
      </c>
      <c r="D75" s="24">
        <v>1.3575737502227101</v>
      </c>
      <c r="E75" s="24">
        <v>2.5625386246089659</v>
      </c>
      <c r="F75" s="24">
        <v>1.78512982300258E-3</v>
      </c>
      <c r="G75" s="24">
        <v>11.209621920793101</v>
      </c>
      <c r="H75" s="24" t="s">
        <v>14849</v>
      </c>
      <c r="I75" s="24">
        <v>11.215239594054299</v>
      </c>
      <c r="J75" s="24">
        <f t="shared" si="6"/>
        <v>11.2124307574237</v>
      </c>
      <c r="K75" s="24">
        <v>12.567656607301</v>
      </c>
      <c r="L75" s="24">
        <v>12.665002332623899</v>
      </c>
      <c r="M75" s="24">
        <v>12.477354583014399</v>
      </c>
      <c r="N75" s="24">
        <f t="shared" si="7"/>
        <v>12.570004507646432</v>
      </c>
      <c r="O75" s="24" t="str">
        <f t="shared" si="8"/>
        <v>ND</v>
      </c>
      <c r="P75" s="24" t="str">
        <f t="shared" si="9"/>
        <v>NA</v>
      </c>
      <c r="S75" s="11" t="s">
        <v>1209</v>
      </c>
      <c r="T75" s="20">
        <v>4.5818628099999996</v>
      </c>
      <c r="U75" s="39"/>
    </row>
    <row r="76" spans="1:21" x14ac:dyDescent="0.2">
      <c r="A76" s="24" t="str">
        <f>"cst-1"</f>
        <v>cst-1</v>
      </c>
      <c r="B76" s="24" t="s">
        <v>12799</v>
      </c>
      <c r="C76" s="24" t="s">
        <v>12801</v>
      </c>
      <c r="D76" s="24">
        <v>1.27639661252713</v>
      </c>
      <c r="E76" s="24">
        <v>2.4223320017360219</v>
      </c>
      <c r="F76" s="24">
        <v>7.7231007233392697E-3</v>
      </c>
      <c r="G76" s="24">
        <v>11.8324370268608</v>
      </c>
      <c r="H76" s="24">
        <v>11.9417970730352</v>
      </c>
      <c r="I76" s="24">
        <v>11.4361823409571</v>
      </c>
      <c r="J76" s="24">
        <f t="shared" si="6"/>
        <v>11.736805480284366</v>
      </c>
      <c r="K76" s="24">
        <v>12.8727459651403</v>
      </c>
      <c r="L76" s="24">
        <v>13.353784549699199</v>
      </c>
      <c r="M76" s="24">
        <v>12.813075763594901</v>
      </c>
      <c r="N76" s="24">
        <f t="shared" si="7"/>
        <v>13.013202092811467</v>
      </c>
      <c r="O76" s="24" t="str">
        <f t="shared" si="8"/>
        <v>ND</v>
      </c>
      <c r="P76" s="24" t="str">
        <f t="shared" si="9"/>
        <v>NA</v>
      </c>
      <c r="S76" s="11" t="s">
        <v>9440</v>
      </c>
      <c r="T76" s="20">
        <v>4.5629360500000002</v>
      </c>
      <c r="U76" s="39"/>
    </row>
    <row r="77" spans="1:21" x14ac:dyDescent="0.2">
      <c r="A77" s="24" t="str">
        <f>"larp-1"</f>
        <v>larp-1</v>
      </c>
      <c r="B77" s="24" t="s">
        <v>788</v>
      </c>
      <c r="C77" s="24" t="s">
        <v>790</v>
      </c>
      <c r="D77" s="24">
        <v>1.2607256077457401</v>
      </c>
      <c r="E77" s="24">
        <v>2.396162263130476</v>
      </c>
      <c r="F77" s="24">
        <v>1.8482926868194801E-3</v>
      </c>
      <c r="G77" s="24">
        <v>12.6874718631409</v>
      </c>
      <c r="H77" s="24">
        <v>12.978714145184201</v>
      </c>
      <c r="I77" s="24">
        <v>13.093040787917101</v>
      </c>
      <c r="J77" s="24">
        <f t="shared" si="6"/>
        <v>12.919742265414067</v>
      </c>
      <c r="K77" s="24">
        <v>14.3763100057147</v>
      </c>
      <c r="L77" s="24">
        <v>14.1276137008589</v>
      </c>
      <c r="M77" s="24">
        <v>14.0374799129059</v>
      </c>
      <c r="N77" s="24">
        <f t="shared" si="7"/>
        <v>14.180467873159834</v>
      </c>
      <c r="O77" s="24" t="str">
        <f t="shared" si="8"/>
        <v>ND</v>
      </c>
      <c r="P77" s="24" t="str">
        <f t="shared" si="9"/>
        <v>NA</v>
      </c>
      <c r="S77" s="11" t="s">
        <v>3930</v>
      </c>
      <c r="T77" s="20">
        <v>4.51665078</v>
      </c>
      <c r="U77" s="39"/>
    </row>
    <row r="78" spans="1:21" x14ac:dyDescent="0.2">
      <c r="A78" s="24" t="str">
        <f>"pck-1"</f>
        <v>pck-1</v>
      </c>
      <c r="B78" s="24" t="s">
        <v>3906</v>
      </c>
      <c r="C78" s="24" t="s">
        <v>3079</v>
      </c>
      <c r="D78" s="24">
        <v>1.24183396739318</v>
      </c>
      <c r="E78" s="24">
        <v>2.3649898098950319</v>
      </c>
      <c r="F78" s="24">
        <v>2.98367606305805E-4</v>
      </c>
      <c r="G78" s="24">
        <v>13.0937306161621</v>
      </c>
      <c r="H78" s="24">
        <v>13.016597323665099</v>
      </c>
      <c r="I78" s="24">
        <v>13.092986790629499</v>
      </c>
      <c r="J78" s="24">
        <f t="shared" si="6"/>
        <v>13.067771576818899</v>
      </c>
      <c r="K78" s="24">
        <v>14.50218696848</v>
      </c>
      <c r="L78" s="24">
        <v>14.2398319812369</v>
      </c>
      <c r="M78" s="24">
        <v>14.1867976829193</v>
      </c>
      <c r="N78" s="24">
        <f t="shared" si="7"/>
        <v>14.309605544212067</v>
      </c>
      <c r="O78" s="24" t="str">
        <f t="shared" si="8"/>
        <v>ND</v>
      </c>
      <c r="P78" s="24" t="str">
        <f t="shared" si="9"/>
        <v>NA</v>
      </c>
      <c r="S78" s="10" t="s">
        <v>14808</v>
      </c>
      <c r="T78" s="21">
        <v>4.4289296021776599</v>
      </c>
      <c r="U78" s="40"/>
    </row>
    <row r="79" spans="1:21" x14ac:dyDescent="0.2">
      <c r="A79" s="24" t="str">
        <f>"gakh-1"</f>
        <v>gakh-1</v>
      </c>
      <c r="B79" s="24" t="s">
        <v>8803</v>
      </c>
      <c r="C79" s="24" t="s">
        <v>323</v>
      </c>
      <c r="D79" s="24">
        <v>1.1518309495680199</v>
      </c>
      <c r="E79" s="24">
        <v>2.2219570801676851</v>
      </c>
      <c r="F79" s="24">
        <v>3.5443727346127003E-2</v>
      </c>
      <c r="G79" s="24">
        <v>10.996683621467</v>
      </c>
      <c r="H79" s="24">
        <v>10.907850042309899</v>
      </c>
      <c r="I79" s="24">
        <v>11.100535440992701</v>
      </c>
      <c r="J79" s="24">
        <f t="shared" si="6"/>
        <v>11.001689701589868</v>
      </c>
      <c r="K79" s="24">
        <v>11.762172234765499</v>
      </c>
      <c r="L79" s="24">
        <v>12.3164485975537</v>
      </c>
      <c r="M79" s="24">
        <v>12.381941121154499</v>
      </c>
      <c r="N79" s="24">
        <f t="shared" si="7"/>
        <v>12.153520651157899</v>
      </c>
      <c r="O79" s="24" t="str">
        <f t="shared" si="8"/>
        <v>ND</v>
      </c>
      <c r="P79" s="24" t="str">
        <f t="shared" si="9"/>
        <v>NA</v>
      </c>
      <c r="S79" s="11" t="s">
        <v>3299</v>
      </c>
      <c r="T79" s="20">
        <v>4.4027046299999997</v>
      </c>
      <c r="U79" s="39"/>
    </row>
    <row r="80" spans="1:21" x14ac:dyDescent="0.2">
      <c r="A80" s="24" t="str">
        <f>"efk-1"</f>
        <v>efk-1</v>
      </c>
      <c r="B80" s="24" t="s">
        <v>2984</v>
      </c>
      <c r="C80" s="24" t="s">
        <v>2986</v>
      </c>
      <c r="D80" s="24">
        <v>1.06330204517857</v>
      </c>
      <c r="E80" s="24">
        <v>2.0897089850924471</v>
      </c>
      <c r="F80" s="24">
        <v>4.2225261505901401E-3</v>
      </c>
      <c r="G80" s="24">
        <v>13.346379964293501</v>
      </c>
      <c r="H80" s="24">
        <v>13.580914837422499</v>
      </c>
      <c r="I80" s="24">
        <v>12.884244750239199</v>
      </c>
      <c r="J80" s="24">
        <f t="shared" si="6"/>
        <v>13.270513183985067</v>
      </c>
      <c r="K80" s="24">
        <v>14.171434846158499</v>
      </c>
      <c r="L80" s="24">
        <v>14.634890194113</v>
      </c>
      <c r="M80" s="24">
        <v>14.195120647219399</v>
      </c>
      <c r="N80" s="24">
        <f t="shared" si="7"/>
        <v>14.333815229163633</v>
      </c>
      <c r="O80" s="24" t="str">
        <f t="shared" si="8"/>
        <v>ND</v>
      </c>
      <c r="P80" s="24" t="str">
        <f t="shared" si="9"/>
        <v>NA</v>
      </c>
      <c r="S80" s="11" t="s">
        <v>14809</v>
      </c>
      <c r="T80" s="20">
        <v>4.39401449</v>
      </c>
      <c r="U80" s="39"/>
    </row>
    <row r="81" spans="1:21" x14ac:dyDescent="0.2">
      <c r="A81" s="57" t="str">
        <f>"Y54G2A.40"</f>
        <v>Y54G2A.40</v>
      </c>
      <c r="B81" s="24" t="s">
        <v>10528</v>
      </c>
      <c r="C81" s="24" t="s">
        <v>214</v>
      </c>
      <c r="D81" s="24" t="s">
        <v>29</v>
      </c>
      <c r="E81" s="24" t="s">
        <v>29</v>
      </c>
      <c r="F81" s="24" t="s">
        <v>29</v>
      </c>
      <c r="G81" s="24" t="s">
        <v>14849</v>
      </c>
      <c r="H81" s="24" t="s">
        <v>14849</v>
      </c>
      <c r="I81" s="24" t="s">
        <v>14849</v>
      </c>
      <c r="J81" s="24" t="s">
        <v>14849</v>
      </c>
      <c r="K81" s="24">
        <v>16.7836132164907</v>
      </c>
      <c r="L81" s="24">
        <v>16.739308951381499</v>
      </c>
      <c r="M81" s="24">
        <v>15.8822829802423</v>
      </c>
      <c r="N81" s="24">
        <f t="shared" si="7"/>
        <v>16.468401716038166</v>
      </c>
      <c r="O81" s="24" t="str">
        <f t="shared" si="8"/>
        <v>ND</v>
      </c>
      <c r="P81" s="24" t="str">
        <f t="shared" si="9"/>
        <v>NA</v>
      </c>
      <c r="S81" s="11" t="s">
        <v>9759</v>
      </c>
      <c r="T81" s="20">
        <v>4.2269197700000003</v>
      </c>
      <c r="U81" s="39"/>
    </row>
    <row r="82" spans="1:21" x14ac:dyDescent="0.2">
      <c r="A82" s="57" t="str">
        <f>"gldi-7"</f>
        <v>gldi-7</v>
      </c>
      <c r="B82" s="24" t="s">
        <v>13366</v>
      </c>
      <c r="C82" s="24" t="s">
        <v>13368</v>
      </c>
      <c r="D82" s="24" t="s">
        <v>29</v>
      </c>
      <c r="E82" s="24" t="s">
        <v>29</v>
      </c>
      <c r="F82" s="24" t="s">
        <v>29</v>
      </c>
      <c r="G82" s="24" t="s">
        <v>14849</v>
      </c>
      <c r="H82" s="24" t="s">
        <v>14849</v>
      </c>
      <c r="I82" s="24" t="s">
        <v>14849</v>
      </c>
      <c r="J82" s="24" t="s">
        <v>14849</v>
      </c>
      <c r="K82" s="24">
        <v>14.859461902395299</v>
      </c>
      <c r="L82" s="24">
        <v>14.587228218904499</v>
      </c>
      <c r="M82" s="24">
        <v>14.848719830160301</v>
      </c>
      <c r="N82" s="24">
        <f t="shared" si="7"/>
        <v>14.765136650486701</v>
      </c>
      <c r="O82" s="24" t="str">
        <f t="shared" si="8"/>
        <v>ND</v>
      </c>
      <c r="P82" s="24" t="str">
        <f t="shared" si="9"/>
        <v>NA</v>
      </c>
      <c r="S82" s="10" t="s">
        <v>7987</v>
      </c>
      <c r="T82" s="20">
        <v>4.1515668901613356</v>
      </c>
      <c r="U82" s="39"/>
    </row>
    <row r="83" spans="1:21" x14ac:dyDescent="0.2">
      <c r="A83" s="58" t="str">
        <f>"scb-1"</f>
        <v>scb-1</v>
      </c>
      <c r="B83" s="22" t="s">
        <v>4117</v>
      </c>
      <c r="C83" s="22" t="s">
        <v>4119</v>
      </c>
      <c r="D83" s="22" t="s">
        <v>29</v>
      </c>
      <c r="E83" s="22" t="s">
        <v>29</v>
      </c>
      <c r="F83" s="22" t="s">
        <v>29</v>
      </c>
      <c r="G83" s="22" t="s">
        <v>14849</v>
      </c>
      <c r="H83" s="22" t="s">
        <v>14849</v>
      </c>
      <c r="I83" s="22" t="s">
        <v>14849</v>
      </c>
      <c r="J83" s="22" t="s">
        <v>14849</v>
      </c>
      <c r="K83" s="22">
        <v>14.016274601825099</v>
      </c>
      <c r="L83" s="22">
        <v>13.8505213471012</v>
      </c>
      <c r="M83" s="22">
        <v>14.4568211198289</v>
      </c>
      <c r="N83" s="22">
        <f t="shared" si="7"/>
        <v>14.107872356251733</v>
      </c>
      <c r="O83" s="22" t="str">
        <f t="shared" si="8"/>
        <v>ND</v>
      </c>
      <c r="P83" s="22" t="str">
        <f t="shared" si="9"/>
        <v>NA</v>
      </c>
      <c r="S83" s="11" t="s">
        <v>14172</v>
      </c>
      <c r="T83" s="20">
        <v>4.1223131100000003</v>
      </c>
      <c r="U83" s="39"/>
    </row>
    <row r="84" spans="1:21" x14ac:dyDescent="0.2">
      <c r="A84" s="57" t="str">
        <f>"kin-9"</f>
        <v>kin-9</v>
      </c>
      <c r="B84" s="24" t="s">
        <v>861</v>
      </c>
      <c r="C84" s="24" t="s">
        <v>323</v>
      </c>
      <c r="D84" s="24" t="s">
        <v>29</v>
      </c>
      <c r="E84" s="24" t="s">
        <v>29</v>
      </c>
      <c r="F84" s="24" t="s">
        <v>29</v>
      </c>
      <c r="G84" s="24" t="s">
        <v>14849</v>
      </c>
      <c r="H84" s="24" t="s">
        <v>14849</v>
      </c>
      <c r="I84" s="24" t="s">
        <v>14849</v>
      </c>
      <c r="J84" s="24" t="s">
        <v>14849</v>
      </c>
      <c r="K84" s="24">
        <v>13.534144230382299</v>
      </c>
      <c r="L84" s="24">
        <v>12.7515893139895</v>
      </c>
      <c r="M84" s="24">
        <v>12.3059613303249</v>
      </c>
      <c r="N84" s="24">
        <f t="shared" si="7"/>
        <v>12.863898291565567</v>
      </c>
      <c r="O84" s="24" t="str">
        <f t="shared" si="8"/>
        <v>ND</v>
      </c>
      <c r="P84" s="24" t="str">
        <f t="shared" si="9"/>
        <v>NA</v>
      </c>
      <c r="S84" s="10" t="s">
        <v>13532</v>
      </c>
      <c r="T84" s="21">
        <v>4.0876309905636603</v>
      </c>
      <c r="U84" s="40"/>
    </row>
    <row r="85" spans="1:21" x14ac:dyDescent="0.2">
      <c r="A85" s="57" t="str">
        <f>"lab-2"</f>
        <v>lab-2</v>
      </c>
      <c r="B85" s="24" t="s">
        <v>11022</v>
      </c>
      <c r="C85" s="24" t="s">
        <v>11024</v>
      </c>
      <c r="D85" s="24" t="s">
        <v>29</v>
      </c>
      <c r="E85" s="24" t="s">
        <v>29</v>
      </c>
      <c r="F85" s="24" t="s">
        <v>29</v>
      </c>
      <c r="G85" s="24" t="s">
        <v>14849</v>
      </c>
      <c r="H85" s="24" t="s">
        <v>14849</v>
      </c>
      <c r="I85" s="24" t="s">
        <v>14849</v>
      </c>
      <c r="J85" s="24" t="s">
        <v>14849</v>
      </c>
      <c r="K85" s="24">
        <v>12.4558163687404</v>
      </c>
      <c r="L85" s="24">
        <v>13.036972558889801</v>
      </c>
      <c r="M85" s="24">
        <v>10.5891068365945</v>
      </c>
      <c r="N85" s="24">
        <f t="shared" si="7"/>
        <v>12.027298588074899</v>
      </c>
      <c r="O85" s="24" t="str">
        <f t="shared" si="8"/>
        <v>ND</v>
      </c>
      <c r="P85" s="24" t="str">
        <f t="shared" si="9"/>
        <v>NA</v>
      </c>
      <c r="S85" s="11" t="s">
        <v>14213</v>
      </c>
      <c r="T85" s="20">
        <v>4.0803284199999998</v>
      </c>
      <c r="U85" s="39"/>
    </row>
    <row r="86" spans="1:21" x14ac:dyDescent="0.2">
      <c r="A86" s="57" t="str">
        <f>"mtm-10"</f>
        <v>mtm-10</v>
      </c>
      <c r="B86" s="24" t="s">
        <v>14100</v>
      </c>
      <c r="C86" s="24" t="s">
        <v>14102</v>
      </c>
      <c r="D86" s="24" t="s">
        <v>29</v>
      </c>
      <c r="E86" s="24" t="s">
        <v>29</v>
      </c>
      <c r="F86" s="24" t="s">
        <v>29</v>
      </c>
      <c r="G86" s="24" t="s">
        <v>14849</v>
      </c>
      <c r="H86" s="24" t="s">
        <v>14849</v>
      </c>
      <c r="I86" s="24" t="s">
        <v>14849</v>
      </c>
      <c r="J86" s="24" t="s">
        <v>14849</v>
      </c>
      <c r="K86" s="24">
        <v>11.271567976770401</v>
      </c>
      <c r="L86" s="24">
        <v>11.6764654332438</v>
      </c>
      <c r="M86" s="24">
        <v>12.151781129644901</v>
      </c>
      <c r="N86" s="24">
        <f t="shared" si="7"/>
        <v>11.699938179886367</v>
      </c>
      <c r="O86" s="24" t="str">
        <f t="shared" si="8"/>
        <v>ND</v>
      </c>
      <c r="P86" s="24" t="str">
        <f t="shared" si="9"/>
        <v>NA</v>
      </c>
      <c r="S86" s="11" t="s">
        <v>1422</v>
      </c>
      <c r="T86" s="20">
        <v>4.0776110599999997</v>
      </c>
      <c r="U86" s="39"/>
    </row>
    <row r="87" spans="1:21" x14ac:dyDescent="0.2">
      <c r="A87" s="57" t="str">
        <f>"col-176"</f>
        <v>col-176</v>
      </c>
      <c r="B87" s="24" t="s">
        <v>10158</v>
      </c>
      <c r="C87" s="24" t="s">
        <v>3312</v>
      </c>
      <c r="D87" s="24">
        <v>2.87832590505265</v>
      </c>
      <c r="E87" s="24">
        <v>7.3529639160190738</v>
      </c>
      <c r="F87" s="29">
        <v>9.3443090438114503E-6</v>
      </c>
      <c r="G87" s="24">
        <v>13.1514827942949</v>
      </c>
      <c r="H87" s="24">
        <v>13.260585821303</v>
      </c>
      <c r="I87" s="24">
        <v>14.1318849629097</v>
      </c>
      <c r="J87" s="24">
        <f>AVERAGEIF(G87:I87, "&gt;0")</f>
        <v>13.514651192835865</v>
      </c>
      <c r="K87" s="24">
        <v>15.749152785997801</v>
      </c>
      <c r="L87" s="24">
        <v>16.990697897249898</v>
      </c>
      <c r="M87" s="24">
        <v>16.4390806104178</v>
      </c>
      <c r="N87" s="24">
        <f t="shared" si="7"/>
        <v>16.392977097888501</v>
      </c>
      <c r="O87" s="24" t="str">
        <f t="shared" si="8"/>
        <v>ND</v>
      </c>
      <c r="P87" s="24" t="str">
        <f t="shared" si="9"/>
        <v>NA</v>
      </c>
      <c r="S87" s="11" t="s">
        <v>12679</v>
      </c>
      <c r="T87" s="20">
        <v>4.0673590600000002</v>
      </c>
      <c r="U87" s="39"/>
    </row>
    <row r="88" spans="1:21" x14ac:dyDescent="0.2">
      <c r="A88" s="57" t="str">
        <f>"Y92H12BL.7"</f>
        <v>Y92H12BL.7</v>
      </c>
      <c r="B88" s="24" t="s">
        <v>365</v>
      </c>
      <c r="C88" s="24" t="s">
        <v>111</v>
      </c>
      <c r="D88" s="24">
        <v>2.22480963791608</v>
      </c>
      <c r="E88" s="24">
        <v>4.6744921592568609</v>
      </c>
      <c r="F88" s="24">
        <v>7.1213124170199703E-4</v>
      </c>
      <c r="G88" s="24">
        <v>12.6321228576392</v>
      </c>
      <c r="H88" s="24">
        <v>11.6424485537731</v>
      </c>
      <c r="I88" s="24" t="s">
        <v>14849</v>
      </c>
      <c r="J88" s="24">
        <f>AVERAGEIF(G88:I88, "&gt;0")</f>
        <v>12.13728570570615</v>
      </c>
      <c r="K88" s="24">
        <v>14.423235786004</v>
      </c>
      <c r="L88" s="24">
        <v>14.197602298905201</v>
      </c>
      <c r="M88" s="24">
        <v>14.4654479459576</v>
      </c>
      <c r="N88" s="24">
        <f t="shared" si="7"/>
        <v>14.362095343622267</v>
      </c>
      <c r="O88" s="24" t="str">
        <f t="shared" si="8"/>
        <v>ND</v>
      </c>
      <c r="P88" s="24" t="str">
        <f t="shared" si="9"/>
        <v>NA</v>
      </c>
      <c r="S88" s="11" t="s">
        <v>12300</v>
      </c>
      <c r="T88" s="20">
        <v>4.0429665400000001</v>
      </c>
      <c r="U88" s="39"/>
    </row>
    <row r="89" spans="1:21" x14ac:dyDescent="0.2">
      <c r="A89" s="59" t="str">
        <f>"znf-622"</f>
        <v>znf-622</v>
      </c>
      <c r="B89" s="10" t="s">
        <v>7633</v>
      </c>
      <c r="C89" s="10" t="s">
        <v>130</v>
      </c>
      <c r="D89" s="10">
        <v>2.13469785255691</v>
      </c>
      <c r="E89" s="10">
        <v>4.3914514455263998</v>
      </c>
      <c r="F89" s="10">
        <v>1.15039234619712E-2</v>
      </c>
      <c r="G89" s="10" t="s">
        <v>14849</v>
      </c>
      <c r="H89" s="10" t="s">
        <v>14849</v>
      </c>
      <c r="I89" s="10">
        <v>11.1773887485997</v>
      </c>
      <c r="J89" s="10">
        <f>AVERAGEIF(G89:I89, "&gt;0")</f>
        <v>11.1773887485997</v>
      </c>
      <c r="K89" s="10">
        <v>13.928113621441801</v>
      </c>
      <c r="L89" s="10">
        <v>13.1970648294712</v>
      </c>
      <c r="M89" s="10">
        <v>12.811081352556799</v>
      </c>
      <c r="N89" s="10">
        <f t="shared" si="7"/>
        <v>13.312086601156601</v>
      </c>
      <c r="O89" s="10">
        <f t="shared" si="8"/>
        <v>2.2172895499999998</v>
      </c>
      <c r="P89" s="10">
        <f t="shared" si="9"/>
        <v>1.9805493808990351</v>
      </c>
      <c r="S89" s="11" t="s">
        <v>7671</v>
      </c>
      <c r="T89" s="20">
        <v>4.0404980300000002</v>
      </c>
      <c r="U89" s="39"/>
    </row>
    <row r="90" spans="1:21" x14ac:dyDescent="0.2">
      <c r="A90" s="57" t="str">
        <f>"phdh-1"</f>
        <v>phdh-1</v>
      </c>
      <c r="B90" s="24" t="s">
        <v>3461</v>
      </c>
      <c r="C90" s="24" t="s">
        <v>3463</v>
      </c>
      <c r="D90" s="24">
        <v>1.7490946093072299</v>
      </c>
      <c r="E90" s="24">
        <v>3.3614754411285395</v>
      </c>
      <c r="F90" s="24">
        <v>1.0561790487494701E-2</v>
      </c>
      <c r="G90" s="24" t="s">
        <v>14849</v>
      </c>
      <c r="H90" s="24">
        <v>10.4433294662648</v>
      </c>
      <c r="I90" s="24">
        <v>10.9825491723435</v>
      </c>
      <c r="J90" s="24">
        <f>AVERAGEIF(G90:I90, "&gt;0")</f>
        <v>10.71293931930415</v>
      </c>
      <c r="K90" s="24">
        <v>12.612112596532199</v>
      </c>
      <c r="L90" s="24">
        <v>12.171554345566999</v>
      </c>
      <c r="M90" s="24">
        <v>12.602434843734899</v>
      </c>
      <c r="N90" s="24">
        <f t="shared" si="7"/>
        <v>12.462033928611367</v>
      </c>
      <c r="O90" s="24" t="str">
        <f t="shared" si="8"/>
        <v>ND</v>
      </c>
      <c r="P90" s="24" t="str">
        <f t="shared" si="9"/>
        <v>NA</v>
      </c>
      <c r="S90" s="11" t="s">
        <v>3897</v>
      </c>
      <c r="T90" s="20">
        <v>4.0345622900000002</v>
      </c>
      <c r="U90" s="39"/>
    </row>
    <row r="91" spans="1:21" x14ac:dyDescent="0.2">
      <c r="A91" s="57" t="str">
        <f>"smap-1"</f>
        <v>smap-1</v>
      </c>
      <c r="B91" s="24" t="s">
        <v>3607</v>
      </c>
      <c r="C91" s="24" t="s">
        <v>3609</v>
      </c>
      <c r="D91" s="24">
        <v>1.22567408015963</v>
      </c>
      <c r="E91" s="24">
        <v>2.3386469437127326</v>
      </c>
      <c r="F91" s="24">
        <v>1.2583933466029701E-3</v>
      </c>
      <c r="G91" s="24">
        <v>12.915602510982101</v>
      </c>
      <c r="H91" s="24">
        <v>13.157025960157499</v>
      </c>
      <c r="I91" s="24">
        <v>12.995654712442301</v>
      </c>
      <c r="J91" s="24">
        <f>AVERAGEIF(G91:I91, "&gt;0")</f>
        <v>13.022761061193968</v>
      </c>
      <c r="K91" s="24">
        <v>14.2573015700951</v>
      </c>
      <c r="L91" s="24">
        <v>14.265212297648899</v>
      </c>
      <c r="M91" s="24">
        <v>14.2227915563168</v>
      </c>
      <c r="N91" s="24">
        <f t="shared" si="7"/>
        <v>14.248435141353601</v>
      </c>
      <c r="O91" s="24" t="str">
        <f t="shared" si="8"/>
        <v>ND</v>
      </c>
      <c r="P91" s="24" t="str">
        <f t="shared" si="9"/>
        <v>NA</v>
      </c>
      <c r="S91" s="10" t="s">
        <v>4967</v>
      </c>
      <c r="T91" s="20">
        <v>4.0339140586133171</v>
      </c>
      <c r="U91" s="39"/>
    </row>
    <row r="92" spans="1:21" x14ac:dyDescent="0.2">
      <c r="A92" s="52"/>
      <c r="S92" s="11" t="s">
        <v>6169</v>
      </c>
      <c r="T92" s="20">
        <v>4.02411809</v>
      </c>
      <c r="U92" s="39"/>
    </row>
    <row r="93" spans="1:21" x14ac:dyDescent="0.2">
      <c r="A93" s="52"/>
      <c r="S93" s="10" t="s">
        <v>14162</v>
      </c>
      <c r="T93" s="20">
        <v>4.0086542005910042</v>
      </c>
      <c r="U93" s="39"/>
    </row>
    <row r="94" spans="1:21" x14ac:dyDescent="0.2">
      <c r="A94" s="52"/>
      <c r="S94" s="10" t="s">
        <v>14810</v>
      </c>
      <c r="T94" s="20">
        <v>4.0059125255190766</v>
      </c>
      <c r="U94" s="39"/>
    </row>
    <row r="95" spans="1:21" x14ac:dyDescent="0.2">
      <c r="A95" s="52"/>
      <c r="S95" s="11" t="s">
        <v>14088</v>
      </c>
      <c r="T95" s="20">
        <v>4.0005771499999998</v>
      </c>
      <c r="U95" s="39"/>
    </row>
    <row r="96" spans="1:21" x14ac:dyDescent="0.2">
      <c r="A96" s="52"/>
      <c r="S96" s="11" t="s">
        <v>4061</v>
      </c>
      <c r="T96" s="20">
        <v>3.90200031</v>
      </c>
      <c r="U96" s="39"/>
    </row>
    <row r="97" spans="1:21" x14ac:dyDescent="0.2">
      <c r="A97" s="52"/>
      <c r="S97" s="10" t="s">
        <v>14166</v>
      </c>
      <c r="T97" s="21">
        <v>3.7979094356966026</v>
      </c>
      <c r="U97" s="40"/>
    </row>
    <row r="98" spans="1:21" x14ac:dyDescent="0.2">
      <c r="A98" s="52"/>
      <c r="S98" s="11" t="s">
        <v>1213</v>
      </c>
      <c r="T98" s="20">
        <v>3.7943776300000001</v>
      </c>
      <c r="U98" s="39"/>
    </row>
    <row r="99" spans="1:21" x14ac:dyDescent="0.2">
      <c r="A99" s="52"/>
      <c r="S99" s="11" t="s">
        <v>2882</v>
      </c>
      <c r="T99" s="20">
        <v>3.7548965700000001</v>
      </c>
      <c r="U99" s="39"/>
    </row>
    <row r="100" spans="1:21" x14ac:dyDescent="0.2">
      <c r="A100" s="52"/>
      <c r="S100" s="11" t="s">
        <v>12326</v>
      </c>
      <c r="T100" s="20">
        <v>3.7477500199999998</v>
      </c>
      <c r="U100" s="39"/>
    </row>
    <row r="101" spans="1:21" x14ac:dyDescent="0.2">
      <c r="A101" s="52"/>
      <c r="S101" s="11" t="s">
        <v>628</v>
      </c>
      <c r="T101" s="20">
        <v>3.7304220099999998</v>
      </c>
      <c r="U101" s="39"/>
    </row>
    <row r="102" spans="1:21" x14ac:dyDescent="0.2">
      <c r="A102" s="52"/>
      <c r="S102" s="11" t="s">
        <v>12486</v>
      </c>
      <c r="T102" s="20">
        <v>3.69990569</v>
      </c>
      <c r="U102" s="39"/>
    </row>
    <row r="103" spans="1:21" x14ac:dyDescent="0.2">
      <c r="A103" s="52"/>
      <c r="S103" s="11" t="s">
        <v>624</v>
      </c>
      <c r="T103" s="20">
        <v>3.6879316499999999</v>
      </c>
      <c r="U103" s="39"/>
    </row>
    <row r="104" spans="1:21" x14ac:dyDescent="0.2">
      <c r="A104" s="52"/>
      <c r="S104" s="11" t="s">
        <v>348</v>
      </c>
      <c r="T104" s="20">
        <v>3.6495920599999998</v>
      </c>
      <c r="U104" s="39"/>
    </row>
    <row r="105" spans="1:21" x14ac:dyDescent="0.2">
      <c r="A105" s="52"/>
      <c r="S105" s="11" t="s">
        <v>14664</v>
      </c>
      <c r="T105" s="20">
        <v>3.6442160499999998</v>
      </c>
      <c r="U105" s="39"/>
    </row>
    <row r="106" spans="1:21" x14ac:dyDescent="0.2">
      <c r="A106" s="52"/>
      <c r="S106" s="11" t="s">
        <v>1585</v>
      </c>
      <c r="T106" s="20">
        <v>3.6120241900000001</v>
      </c>
      <c r="U106" s="39"/>
    </row>
    <row r="107" spans="1:21" x14ac:dyDescent="0.2">
      <c r="A107" s="52"/>
      <c r="S107" s="11" t="s">
        <v>10263</v>
      </c>
      <c r="T107" s="20">
        <v>3.60346374</v>
      </c>
      <c r="U107" s="39"/>
    </row>
    <row r="108" spans="1:21" x14ac:dyDescent="0.2">
      <c r="A108" s="52"/>
      <c r="S108" s="11" t="s">
        <v>6019</v>
      </c>
      <c r="T108" s="20">
        <v>3.5951703799999999</v>
      </c>
      <c r="U108" s="39"/>
    </row>
    <row r="109" spans="1:21" x14ac:dyDescent="0.2">
      <c r="A109" s="52"/>
      <c r="S109" s="11" t="s">
        <v>14245</v>
      </c>
      <c r="T109" s="20">
        <v>3.5934479100000001</v>
      </c>
      <c r="U109" s="39"/>
    </row>
    <row r="110" spans="1:21" x14ac:dyDescent="0.2">
      <c r="A110" s="52"/>
      <c r="S110" s="11" t="s">
        <v>6023</v>
      </c>
      <c r="T110" s="20">
        <v>3.5795412899999999</v>
      </c>
      <c r="U110" s="39"/>
    </row>
    <row r="111" spans="1:21" x14ac:dyDescent="0.2">
      <c r="A111" s="52"/>
      <c r="S111" s="11" t="s">
        <v>3739</v>
      </c>
      <c r="T111" s="20">
        <v>3.5748882000000002</v>
      </c>
      <c r="U111" s="39"/>
    </row>
    <row r="112" spans="1:21" x14ac:dyDescent="0.2">
      <c r="A112" s="52"/>
      <c r="S112" s="10" t="s">
        <v>14811</v>
      </c>
      <c r="T112" s="20">
        <v>3.5724707499043444</v>
      </c>
      <c r="U112" s="39"/>
    </row>
    <row r="113" spans="1:21" x14ac:dyDescent="0.2">
      <c r="A113" s="52"/>
      <c r="S113" s="10" t="s">
        <v>10680</v>
      </c>
      <c r="T113" s="20">
        <v>3.5699404279015292</v>
      </c>
      <c r="U113" s="39"/>
    </row>
    <row r="114" spans="1:21" x14ac:dyDescent="0.2">
      <c r="A114" s="52"/>
      <c r="S114" s="10" t="s">
        <v>7340</v>
      </c>
      <c r="T114" s="20">
        <v>3.5329462735661892</v>
      </c>
      <c r="U114" s="39"/>
    </row>
    <row r="115" spans="1:21" x14ac:dyDescent="0.2">
      <c r="A115" s="52"/>
      <c r="S115" s="11" t="s">
        <v>14697</v>
      </c>
      <c r="T115" s="20">
        <v>3.5275356200000001</v>
      </c>
      <c r="U115" s="39"/>
    </row>
    <row r="116" spans="1:21" x14ac:dyDescent="0.2">
      <c r="A116" s="52"/>
      <c r="S116" s="10" t="s">
        <v>14485</v>
      </c>
      <c r="T116" s="20">
        <v>3.5094892716802968</v>
      </c>
      <c r="U116" s="39"/>
    </row>
    <row r="117" spans="1:21" x14ac:dyDescent="0.2">
      <c r="A117" s="53"/>
      <c r="S117" s="11" t="s">
        <v>1709</v>
      </c>
      <c r="T117" s="20">
        <v>3.4727308099999998</v>
      </c>
      <c r="U117" s="39"/>
    </row>
    <row r="118" spans="1:21" x14ac:dyDescent="0.2">
      <c r="A118" s="52"/>
      <c r="S118" s="10" t="s">
        <v>5147</v>
      </c>
      <c r="T118" s="20">
        <v>3.4624468677270763</v>
      </c>
      <c r="U118" s="39"/>
    </row>
    <row r="119" spans="1:21" x14ac:dyDescent="0.2">
      <c r="A119" s="52"/>
      <c r="S119" s="11" t="s">
        <v>14812</v>
      </c>
      <c r="T119" s="20">
        <v>3.4324472699999999</v>
      </c>
      <c r="U119" s="39"/>
    </row>
    <row r="120" spans="1:21" x14ac:dyDescent="0.2">
      <c r="A120" s="52"/>
      <c r="S120" s="10" t="s">
        <v>14813</v>
      </c>
      <c r="T120" s="20">
        <v>3.4226173322639637</v>
      </c>
      <c r="U120" s="39"/>
    </row>
    <row r="121" spans="1:21" x14ac:dyDescent="0.2">
      <c r="A121" s="52"/>
      <c r="S121" s="11" t="s">
        <v>1705</v>
      </c>
      <c r="T121" s="20">
        <v>3.4104602499999999</v>
      </c>
      <c r="U121" s="39"/>
    </row>
    <row r="122" spans="1:21" x14ac:dyDescent="0.2">
      <c r="A122" s="52"/>
      <c r="S122" s="10" t="s">
        <v>14814</v>
      </c>
      <c r="T122" s="20">
        <v>3.3905045955362612</v>
      </c>
      <c r="U122" s="39"/>
    </row>
    <row r="123" spans="1:21" x14ac:dyDescent="0.2">
      <c r="A123" s="52"/>
      <c r="S123" s="11" t="s">
        <v>14171</v>
      </c>
      <c r="T123" s="20">
        <v>3.3613502799999999</v>
      </c>
      <c r="U123" s="39"/>
    </row>
    <row r="124" spans="1:21" x14ac:dyDescent="0.2">
      <c r="A124" s="52"/>
      <c r="S124" s="11" t="s">
        <v>5322</v>
      </c>
      <c r="T124" s="20">
        <v>3.3128137099999999</v>
      </c>
      <c r="U124" s="39"/>
    </row>
    <row r="125" spans="1:21" x14ac:dyDescent="0.2">
      <c r="A125" s="52"/>
      <c r="S125" s="11" t="s">
        <v>14815</v>
      </c>
      <c r="T125" s="20">
        <v>3.2988511900000002</v>
      </c>
      <c r="U125" s="39"/>
    </row>
    <row r="126" spans="1:21" x14ac:dyDescent="0.2">
      <c r="A126" s="52"/>
      <c r="S126" s="11" t="s">
        <v>14816</v>
      </c>
      <c r="T126" s="20">
        <v>3.26683769</v>
      </c>
      <c r="U126" s="39"/>
    </row>
    <row r="127" spans="1:21" x14ac:dyDescent="0.2">
      <c r="A127" s="52"/>
      <c r="S127" s="11" t="s">
        <v>4256</v>
      </c>
      <c r="T127" s="20">
        <v>3.2404884100000002</v>
      </c>
      <c r="U127" s="39"/>
    </row>
    <row r="128" spans="1:21" x14ac:dyDescent="0.2">
      <c r="A128" s="52"/>
      <c r="S128" s="11" t="s">
        <v>12598</v>
      </c>
      <c r="T128" s="20">
        <v>3.2164031500000001</v>
      </c>
      <c r="U128" s="39"/>
    </row>
    <row r="129" spans="1:21" x14ac:dyDescent="0.2">
      <c r="A129" s="52"/>
      <c r="S129" s="11" t="s">
        <v>8165</v>
      </c>
      <c r="T129" s="20">
        <v>3.2135458099999998</v>
      </c>
      <c r="U129" s="39"/>
    </row>
    <row r="130" spans="1:21" x14ac:dyDescent="0.2">
      <c r="A130" s="52"/>
      <c r="S130" s="11" t="s">
        <v>396</v>
      </c>
      <c r="T130" s="20">
        <v>3.2054233700000001</v>
      </c>
      <c r="U130" s="39"/>
    </row>
    <row r="131" spans="1:21" x14ac:dyDescent="0.2">
      <c r="A131" s="52"/>
      <c r="S131" s="11" t="s">
        <v>14817</v>
      </c>
      <c r="T131" s="20">
        <v>3.1978355700000001</v>
      </c>
      <c r="U131" s="39"/>
    </row>
    <row r="132" spans="1:21" x14ac:dyDescent="0.2">
      <c r="A132" s="52"/>
      <c r="S132" s="11" t="s">
        <v>12251</v>
      </c>
      <c r="T132" s="20">
        <v>3.1719083800000001</v>
      </c>
      <c r="U132" s="39"/>
    </row>
    <row r="133" spans="1:21" x14ac:dyDescent="0.2">
      <c r="A133" s="52"/>
      <c r="S133" s="11" t="s">
        <v>14818</v>
      </c>
      <c r="T133" s="20">
        <v>3.1679403800000001</v>
      </c>
      <c r="U133" s="39"/>
    </row>
    <row r="134" spans="1:21" x14ac:dyDescent="0.2">
      <c r="A134" s="52"/>
      <c r="S134" s="11" t="s">
        <v>11530</v>
      </c>
      <c r="T134" s="20">
        <v>3.1386884199999998</v>
      </c>
      <c r="U134" s="39"/>
    </row>
    <row r="135" spans="1:21" x14ac:dyDescent="0.2">
      <c r="A135" s="52"/>
      <c r="S135" s="11" t="s">
        <v>9426</v>
      </c>
      <c r="T135" s="20">
        <v>3.13809</v>
      </c>
      <c r="U135" s="39"/>
    </row>
    <row r="136" spans="1:21" x14ac:dyDescent="0.2">
      <c r="A136" s="52"/>
      <c r="S136" s="11" t="s">
        <v>983</v>
      </c>
      <c r="T136" s="20">
        <v>3.1329182800000002</v>
      </c>
      <c r="U136" s="39"/>
    </row>
    <row r="137" spans="1:21" x14ac:dyDescent="0.2">
      <c r="A137" s="52"/>
      <c r="S137" s="11" t="s">
        <v>5398</v>
      </c>
      <c r="T137" s="20">
        <v>3.1192659200000001</v>
      </c>
      <c r="U137" s="39"/>
    </row>
    <row r="138" spans="1:21" x14ac:dyDescent="0.2">
      <c r="A138" s="52"/>
      <c r="S138" s="11" t="s">
        <v>13338</v>
      </c>
      <c r="T138" s="20">
        <v>3.0909888400000001</v>
      </c>
      <c r="U138" s="39"/>
    </row>
    <row r="139" spans="1:21" x14ac:dyDescent="0.2">
      <c r="A139" s="52"/>
      <c r="S139" s="11" t="s">
        <v>8080</v>
      </c>
      <c r="T139" s="20">
        <v>3.0728087799999999</v>
      </c>
      <c r="U139" s="39"/>
    </row>
    <row r="140" spans="1:21" x14ac:dyDescent="0.2">
      <c r="A140" s="52"/>
      <c r="S140" s="11" t="s">
        <v>11874</v>
      </c>
      <c r="T140" s="20">
        <v>3.04240968</v>
      </c>
      <c r="U140" s="39"/>
    </row>
    <row r="141" spans="1:21" x14ac:dyDescent="0.2">
      <c r="A141" s="52"/>
      <c r="S141" s="11" t="s">
        <v>7358</v>
      </c>
      <c r="T141" s="20">
        <v>3.0399567200000002</v>
      </c>
      <c r="U141" s="39"/>
    </row>
    <row r="142" spans="1:21" x14ac:dyDescent="0.2">
      <c r="A142" s="52"/>
      <c r="S142" s="11" t="s">
        <v>5031</v>
      </c>
      <c r="T142" s="20">
        <v>3.0350834999999998</v>
      </c>
      <c r="U142" s="39"/>
    </row>
    <row r="143" spans="1:21" x14ac:dyDescent="0.2">
      <c r="A143" s="52"/>
      <c r="S143" s="11" t="s">
        <v>14819</v>
      </c>
      <c r="T143" s="20">
        <v>3.0216343399999999</v>
      </c>
      <c r="U143" s="39"/>
    </row>
    <row r="144" spans="1:21" x14ac:dyDescent="0.2">
      <c r="A144" s="52"/>
      <c r="S144" s="11" t="s">
        <v>7523</v>
      </c>
      <c r="T144" s="20">
        <v>2.9844003699999999</v>
      </c>
      <c r="U144" s="39"/>
    </row>
    <row r="145" spans="1:21" x14ac:dyDescent="0.2">
      <c r="A145" s="52"/>
      <c r="S145" s="11" t="s">
        <v>1972</v>
      </c>
      <c r="T145" s="20">
        <v>2.9604292000000001</v>
      </c>
      <c r="U145" s="39"/>
    </row>
    <row r="146" spans="1:21" x14ac:dyDescent="0.2">
      <c r="A146" s="52"/>
      <c r="S146" s="11" t="s">
        <v>8753</v>
      </c>
      <c r="T146" s="20">
        <v>2.93598567</v>
      </c>
      <c r="U146" s="39"/>
    </row>
    <row r="147" spans="1:21" x14ac:dyDescent="0.2">
      <c r="A147" s="52"/>
      <c r="S147" s="11" t="s">
        <v>10298</v>
      </c>
      <c r="T147" s="20">
        <v>2.9140060499999998</v>
      </c>
      <c r="U147" s="39"/>
    </row>
    <row r="148" spans="1:21" x14ac:dyDescent="0.2">
      <c r="A148" s="52"/>
      <c r="S148" s="11" t="s">
        <v>1471</v>
      </c>
      <c r="T148" s="20">
        <v>2.9108313400000001</v>
      </c>
      <c r="U148" s="39"/>
    </row>
    <row r="149" spans="1:21" x14ac:dyDescent="0.2">
      <c r="A149" s="52"/>
      <c r="S149" s="11" t="s">
        <v>14820</v>
      </c>
      <c r="T149" s="20">
        <v>2.9063408000000002</v>
      </c>
      <c r="U149" s="39"/>
    </row>
    <row r="150" spans="1:21" x14ac:dyDescent="0.2">
      <c r="A150" s="52"/>
      <c r="S150" s="11" t="s">
        <v>5630</v>
      </c>
      <c r="T150" s="20">
        <v>2.8936961499999998</v>
      </c>
      <c r="U150" s="39"/>
    </row>
    <row r="151" spans="1:21" x14ac:dyDescent="0.2">
      <c r="A151" s="52"/>
      <c r="S151" s="11" t="s">
        <v>6905</v>
      </c>
      <c r="T151" s="20">
        <v>2.8920846600000001</v>
      </c>
      <c r="U151" s="39"/>
    </row>
    <row r="152" spans="1:21" x14ac:dyDescent="0.2">
      <c r="A152" s="52"/>
      <c r="S152" s="10" t="s">
        <v>10913</v>
      </c>
      <c r="T152" s="21">
        <v>2.8898607958470506</v>
      </c>
      <c r="U152" s="40"/>
    </row>
    <row r="153" spans="1:21" x14ac:dyDescent="0.2">
      <c r="A153" s="52"/>
      <c r="S153" s="11" t="s">
        <v>11309</v>
      </c>
      <c r="T153" s="20">
        <v>2.8844428600000001</v>
      </c>
      <c r="U153" s="39"/>
    </row>
    <row r="154" spans="1:21" x14ac:dyDescent="0.2">
      <c r="A154" s="52"/>
      <c r="S154" s="11" t="s">
        <v>1299</v>
      </c>
      <c r="T154" s="20">
        <v>2.8723567499999998</v>
      </c>
      <c r="U154" s="39"/>
    </row>
    <row r="155" spans="1:21" x14ac:dyDescent="0.2">
      <c r="A155" s="52"/>
      <c r="S155" s="11" t="s">
        <v>11585</v>
      </c>
      <c r="T155" s="20">
        <v>2.85350839</v>
      </c>
      <c r="U155" s="39"/>
    </row>
    <row r="156" spans="1:21" x14ac:dyDescent="0.2">
      <c r="A156" s="53"/>
      <c r="S156" s="11" t="s">
        <v>5622</v>
      </c>
      <c r="T156" s="20">
        <v>2.8418008499999998</v>
      </c>
      <c r="U156" s="39"/>
    </row>
    <row r="157" spans="1:21" x14ac:dyDescent="0.2">
      <c r="A157" s="52"/>
      <c r="S157" s="11" t="s">
        <v>4439</v>
      </c>
      <c r="T157" s="20">
        <v>2.83839576</v>
      </c>
      <c r="U157" s="39"/>
    </row>
    <row r="158" spans="1:21" x14ac:dyDescent="0.2">
      <c r="A158" s="52"/>
      <c r="S158" s="11" t="s">
        <v>13488</v>
      </c>
      <c r="T158" s="20">
        <v>2.8256087999999999</v>
      </c>
      <c r="U158" s="39"/>
    </row>
    <row r="159" spans="1:21" x14ac:dyDescent="0.2">
      <c r="A159" s="52"/>
      <c r="S159" s="11" t="s">
        <v>14821</v>
      </c>
      <c r="T159" s="20">
        <v>2.8244664199999998</v>
      </c>
      <c r="U159" s="39"/>
    </row>
    <row r="160" spans="1:21" x14ac:dyDescent="0.2">
      <c r="A160" s="52"/>
      <c r="S160" s="11" t="s">
        <v>1146</v>
      </c>
      <c r="T160" s="20">
        <v>2.8244629099999998</v>
      </c>
      <c r="U160" s="39"/>
    </row>
    <row r="161" spans="1:21" x14ac:dyDescent="0.2">
      <c r="A161" s="52"/>
      <c r="S161" s="11" t="s">
        <v>14822</v>
      </c>
      <c r="T161" s="20">
        <v>2.824373</v>
      </c>
      <c r="U161" s="39"/>
    </row>
    <row r="162" spans="1:21" x14ac:dyDescent="0.2">
      <c r="A162" s="52"/>
      <c r="S162" s="11" t="s">
        <v>14823</v>
      </c>
      <c r="T162" s="20">
        <v>2.7984265100000001</v>
      </c>
      <c r="U162" s="39"/>
    </row>
    <row r="163" spans="1:21" x14ac:dyDescent="0.2">
      <c r="A163" s="52"/>
      <c r="S163" s="10" t="s">
        <v>11371</v>
      </c>
      <c r="T163" s="20">
        <v>2.7911792396759152</v>
      </c>
      <c r="U163" s="39"/>
    </row>
    <row r="164" spans="1:21" x14ac:dyDescent="0.2">
      <c r="A164" s="52"/>
      <c r="S164" s="10" t="s">
        <v>1670</v>
      </c>
      <c r="T164" s="20">
        <v>2.7583972946551407</v>
      </c>
      <c r="U164" s="39"/>
    </row>
    <row r="165" spans="1:21" x14ac:dyDescent="0.2">
      <c r="A165" s="52"/>
      <c r="S165" s="11" t="s">
        <v>12210</v>
      </c>
      <c r="T165" s="20">
        <v>2.7508854500000002</v>
      </c>
      <c r="U165" s="39"/>
    </row>
    <row r="166" spans="1:21" x14ac:dyDescent="0.2">
      <c r="A166" s="52"/>
      <c r="S166" s="11" t="s">
        <v>10728</v>
      </c>
      <c r="T166" s="20">
        <v>2.7414156099999998</v>
      </c>
      <c r="U166" s="39"/>
    </row>
    <row r="167" spans="1:21" x14ac:dyDescent="0.2">
      <c r="A167" s="52"/>
      <c r="S167" s="10" t="s">
        <v>14164</v>
      </c>
      <c r="T167" s="21">
        <v>2.7286739180665229</v>
      </c>
      <c r="U167" s="40"/>
    </row>
    <row r="168" spans="1:21" x14ac:dyDescent="0.2">
      <c r="A168" s="52"/>
      <c r="S168" s="11" t="s">
        <v>14178</v>
      </c>
      <c r="T168" s="20">
        <v>2.7277159700000002</v>
      </c>
      <c r="U168" s="39"/>
    </row>
    <row r="169" spans="1:21" x14ac:dyDescent="0.2">
      <c r="A169" s="52"/>
      <c r="S169" s="11" t="s">
        <v>13036</v>
      </c>
      <c r="T169" s="20">
        <v>2.7237521500000001</v>
      </c>
      <c r="U169" s="39"/>
    </row>
    <row r="170" spans="1:21" x14ac:dyDescent="0.2">
      <c r="A170" s="52"/>
      <c r="S170" s="11" t="s">
        <v>14824</v>
      </c>
      <c r="T170" s="20">
        <v>2.7062234200000002</v>
      </c>
      <c r="U170" s="39"/>
    </row>
    <row r="171" spans="1:21" x14ac:dyDescent="0.2">
      <c r="A171" s="52"/>
      <c r="S171" s="11" t="s">
        <v>3478</v>
      </c>
      <c r="T171" s="20">
        <v>2.6950409099999999</v>
      </c>
      <c r="U171" s="39"/>
    </row>
    <row r="172" spans="1:21" x14ac:dyDescent="0.2">
      <c r="A172" s="52"/>
      <c r="S172" s="10" t="s">
        <v>14825</v>
      </c>
      <c r="T172" s="20">
        <v>2.6926505093943405</v>
      </c>
      <c r="U172" s="39"/>
    </row>
    <row r="173" spans="1:21" x14ac:dyDescent="0.2">
      <c r="A173" s="52"/>
      <c r="S173" s="11" t="s">
        <v>9998</v>
      </c>
      <c r="T173" s="20">
        <v>2.6827469499999999</v>
      </c>
      <c r="U173" s="39"/>
    </row>
    <row r="174" spans="1:21" x14ac:dyDescent="0.2">
      <c r="A174" s="52"/>
      <c r="S174" s="10" t="s">
        <v>7499</v>
      </c>
      <c r="T174" s="20">
        <v>2.6806548415707212</v>
      </c>
      <c r="U174" s="39"/>
    </row>
    <row r="175" spans="1:21" x14ac:dyDescent="0.2">
      <c r="A175" s="52"/>
      <c r="S175" s="11" t="s">
        <v>14826</v>
      </c>
      <c r="T175" s="20">
        <v>2.6793032800000001</v>
      </c>
      <c r="U175" s="39"/>
    </row>
    <row r="176" spans="1:21" x14ac:dyDescent="0.2">
      <c r="A176" s="52"/>
      <c r="S176" s="11" t="s">
        <v>8353</v>
      </c>
      <c r="T176" s="20">
        <v>2.6655700100000002</v>
      </c>
      <c r="U176" s="39"/>
    </row>
    <row r="177" spans="1:21" x14ac:dyDescent="0.2">
      <c r="A177" s="52"/>
      <c r="S177" s="11" t="s">
        <v>5394</v>
      </c>
      <c r="T177" s="20">
        <v>2.6556687499999998</v>
      </c>
      <c r="U177" s="39"/>
    </row>
    <row r="178" spans="1:21" x14ac:dyDescent="0.2">
      <c r="A178" s="52"/>
      <c r="S178" s="11" t="s">
        <v>5983</v>
      </c>
      <c r="T178" s="20">
        <v>2.6459550300000001</v>
      </c>
      <c r="U178" s="39"/>
    </row>
    <row r="179" spans="1:21" x14ac:dyDescent="0.2">
      <c r="A179" s="52"/>
      <c r="S179" s="11" t="s">
        <v>13871</v>
      </c>
      <c r="T179" s="20">
        <v>2.63493887</v>
      </c>
      <c r="U179" s="39"/>
    </row>
    <row r="180" spans="1:21" x14ac:dyDescent="0.2">
      <c r="A180" s="52"/>
      <c r="S180" s="11" t="s">
        <v>14827</v>
      </c>
      <c r="T180" s="20">
        <v>2.6260325600000001</v>
      </c>
      <c r="U180" s="39"/>
    </row>
    <row r="181" spans="1:21" x14ac:dyDescent="0.2">
      <c r="A181" s="52"/>
      <c r="S181" s="11" t="s">
        <v>14174</v>
      </c>
      <c r="T181" s="20">
        <v>2.6250738600000001</v>
      </c>
      <c r="U181" s="39"/>
    </row>
    <row r="182" spans="1:21" x14ac:dyDescent="0.2">
      <c r="A182" s="52"/>
      <c r="S182" s="11" t="s">
        <v>7323</v>
      </c>
      <c r="T182" s="20">
        <v>2.6221794300000001</v>
      </c>
      <c r="U182" s="39"/>
    </row>
    <row r="183" spans="1:21" x14ac:dyDescent="0.2">
      <c r="A183" s="52"/>
      <c r="S183" s="11" t="s">
        <v>14353</v>
      </c>
      <c r="T183" s="20">
        <v>2.6156528899999998</v>
      </c>
      <c r="U183" s="39"/>
    </row>
    <row r="184" spans="1:21" x14ac:dyDescent="0.2">
      <c r="A184" s="52"/>
      <c r="S184" s="10" t="s">
        <v>14828</v>
      </c>
      <c r="T184" s="20">
        <v>2.6129819099335019</v>
      </c>
      <c r="U184" s="39"/>
    </row>
    <row r="185" spans="1:21" x14ac:dyDescent="0.2">
      <c r="A185" s="52"/>
      <c r="S185" s="11" t="s">
        <v>8401</v>
      </c>
      <c r="T185" s="20">
        <v>2.60958449</v>
      </c>
      <c r="U185" s="39"/>
    </row>
    <row r="186" spans="1:21" x14ac:dyDescent="0.2">
      <c r="A186" s="52"/>
      <c r="S186" s="11" t="s">
        <v>11795</v>
      </c>
      <c r="T186" s="20">
        <v>2.6003555899999999</v>
      </c>
      <c r="U186" s="39"/>
    </row>
    <row r="187" spans="1:21" x14ac:dyDescent="0.2">
      <c r="A187" s="52"/>
      <c r="S187" s="11" t="s">
        <v>5726</v>
      </c>
      <c r="T187" s="20">
        <v>2.59333298</v>
      </c>
      <c r="U187" s="39"/>
    </row>
    <row r="188" spans="1:21" x14ac:dyDescent="0.2">
      <c r="A188" s="52"/>
      <c r="S188" s="11" t="s">
        <v>7991</v>
      </c>
      <c r="T188" s="20">
        <v>2.5931230799999998</v>
      </c>
      <c r="U188" s="39"/>
    </row>
    <row r="189" spans="1:21" x14ac:dyDescent="0.2">
      <c r="A189" s="52"/>
      <c r="S189" s="11" t="s">
        <v>14829</v>
      </c>
      <c r="T189" s="20">
        <v>2.5739457699999999</v>
      </c>
      <c r="U189" s="39"/>
    </row>
    <row r="190" spans="1:21" x14ac:dyDescent="0.2">
      <c r="A190" s="52"/>
      <c r="S190" s="11" t="s">
        <v>12757</v>
      </c>
      <c r="T190" s="20">
        <v>2.57074034</v>
      </c>
      <c r="U190" s="39"/>
    </row>
    <row r="191" spans="1:21" x14ac:dyDescent="0.2">
      <c r="A191" s="52"/>
      <c r="S191" s="10" t="s">
        <v>14830</v>
      </c>
      <c r="T191" s="20">
        <v>2.5360633189098243</v>
      </c>
      <c r="U191" s="39"/>
    </row>
    <row r="192" spans="1:21" x14ac:dyDescent="0.2">
      <c r="A192" s="52"/>
      <c r="S192" s="11" t="s">
        <v>14515</v>
      </c>
      <c r="T192" s="20">
        <v>2.52863543</v>
      </c>
      <c r="U192" s="39"/>
    </row>
    <row r="193" spans="1:21" x14ac:dyDescent="0.2">
      <c r="A193" s="52"/>
      <c r="S193" s="10" t="s">
        <v>10155</v>
      </c>
      <c r="T193" s="20">
        <v>2.5136782550893848</v>
      </c>
      <c r="U193" s="39"/>
    </row>
    <row r="194" spans="1:21" x14ac:dyDescent="0.2">
      <c r="A194" s="52"/>
      <c r="S194" s="11" t="s">
        <v>14524</v>
      </c>
      <c r="T194" s="20">
        <v>2.5135381300000001</v>
      </c>
      <c r="U194" s="39"/>
    </row>
    <row r="195" spans="1:21" x14ac:dyDescent="0.2">
      <c r="A195" s="52"/>
      <c r="S195" s="11" t="s">
        <v>14831</v>
      </c>
      <c r="T195" s="20">
        <v>2.5104880199999999</v>
      </c>
      <c r="U195" s="39"/>
    </row>
    <row r="196" spans="1:21" x14ac:dyDescent="0.2">
      <c r="A196" s="52"/>
      <c r="S196" s="11" t="s">
        <v>9285</v>
      </c>
      <c r="T196" s="20">
        <v>2.4946958399999999</v>
      </c>
      <c r="U196" s="39"/>
    </row>
    <row r="197" spans="1:21" x14ac:dyDescent="0.2">
      <c r="A197" s="52"/>
      <c r="S197" s="11" t="s">
        <v>3539</v>
      </c>
      <c r="T197" s="20">
        <v>2.4944524299999999</v>
      </c>
      <c r="U197" s="39"/>
    </row>
    <row r="198" spans="1:21" x14ac:dyDescent="0.2">
      <c r="A198" s="52"/>
      <c r="S198" s="10" t="s">
        <v>14264</v>
      </c>
      <c r="T198" s="21">
        <v>2.4658827188051093</v>
      </c>
      <c r="U198" s="40"/>
    </row>
    <row r="199" spans="1:21" x14ac:dyDescent="0.2">
      <c r="A199" s="52"/>
      <c r="S199" s="11" t="s">
        <v>5920</v>
      </c>
      <c r="T199" s="20">
        <v>2.4633087200000001</v>
      </c>
      <c r="U199" s="39"/>
    </row>
    <row r="200" spans="1:21" x14ac:dyDescent="0.2">
      <c r="A200" s="52"/>
      <c r="S200" s="10" t="s">
        <v>14832</v>
      </c>
      <c r="T200" s="21">
        <v>2.4557334764799923</v>
      </c>
      <c r="U200" s="40"/>
    </row>
    <row r="201" spans="1:21" x14ac:dyDescent="0.2">
      <c r="A201" s="52"/>
      <c r="S201" s="11" t="s">
        <v>14320</v>
      </c>
      <c r="T201" s="20">
        <v>2.44814482</v>
      </c>
      <c r="U201" s="39"/>
    </row>
    <row r="202" spans="1:21" x14ac:dyDescent="0.2">
      <c r="A202" s="52"/>
      <c r="S202" s="11" t="s">
        <v>952</v>
      </c>
      <c r="T202" s="20">
        <v>2.44797508</v>
      </c>
      <c r="U202" s="39"/>
    </row>
    <row r="203" spans="1:21" x14ac:dyDescent="0.2">
      <c r="A203" s="52"/>
      <c r="S203" s="11" t="s">
        <v>13794</v>
      </c>
      <c r="T203" s="20">
        <v>2.4469431199999998</v>
      </c>
      <c r="U203" s="39"/>
    </row>
    <row r="204" spans="1:21" x14ac:dyDescent="0.2">
      <c r="A204" s="52"/>
      <c r="S204" s="11" t="s">
        <v>11944</v>
      </c>
      <c r="T204" s="20">
        <v>2.4374346600000001</v>
      </c>
      <c r="U204" s="39"/>
    </row>
    <row r="205" spans="1:21" x14ac:dyDescent="0.2">
      <c r="A205" s="52"/>
      <c r="S205" s="11" t="s">
        <v>10180</v>
      </c>
      <c r="T205" s="20">
        <v>2.4317500999999999</v>
      </c>
      <c r="U205" s="39"/>
    </row>
    <row r="206" spans="1:21" x14ac:dyDescent="0.2">
      <c r="A206" s="53"/>
      <c r="S206" s="11" t="s">
        <v>6557</v>
      </c>
      <c r="T206" s="20">
        <v>2.42257934</v>
      </c>
      <c r="U206" s="39"/>
    </row>
    <row r="207" spans="1:21" x14ac:dyDescent="0.2">
      <c r="A207" s="52"/>
      <c r="S207" s="10" t="s">
        <v>14833</v>
      </c>
      <c r="T207" s="20">
        <v>2.4043285577118638</v>
      </c>
      <c r="U207" s="39"/>
    </row>
    <row r="208" spans="1:21" x14ac:dyDescent="0.2">
      <c r="A208" s="52"/>
      <c r="S208" s="10" t="s">
        <v>14834</v>
      </c>
      <c r="T208" s="20">
        <v>2.3896511107642122</v>
      </c>
      <c r="U208" s="39"/>
    </row>
    <row r="209" spans="1:21" x14ac:dyDescent="0.2">
      <c r="A209" s="52"/>
      <c r="S209" s="11" t="s">
        <v>5754</v>
      </c>
      <c r="T209" s="20">
        <v>2.3840881299999999</v>
      </c>
      <c r="U209" s="39"/>
    </row>
    <row r="210" spans="1:21" x14ac:dyDescent="0.2">
      <c r="A210" s="52"/>
      <c r="S210" s="11" t="s">
        <v>5654</v>
      </c>
      <c r="T210" s="20">
        <v>2.3740384899999998</v>
      </c>
      <c r="U210" s="39"/>
    </row>
    <row r="211" spans="1:21" x14ac:dyDescent="0.2">
      <c r="A211" s="52"/>
      <c r="S211" s="11" t="s">
        <v>7382</v>
      </c>
      <c r="T211" s="20">
        <v>2.3732021699999999</v>
      </c>
      <c r="U211" s="39"/>
    </row>
    <row r="212" spans="1:21" x14ac:dyDescent="0.2">
      <c r="A212" s="52"/>
      <c r="S212" s="10" t="s">
        <v>14835</v>
      </c>
      <c r="T212" s="20">
        <v>2.3613504247647152</v>
      </c>
      <c r="U212" s="39"/>
    </row>
    <row r="213" spans="1:21" x14ac:dyDescent="0.2">
      <c r="A213" s="52"/>
      <c r="S213" s="11" t="s">
        <v>5943</v>
      </c>
      <c r="T213" s="20">
        <v>2.3589548100000002</v>
      </c>
      <c r="U213" s="39"/>
    </row>
    <row r="214" spans="1:21" x14ac:dyDescent="0.2">
      <c r="A214" s="53"/>
      <c r="S214" s="11" t="s">
        <v>14836</v>
      </c>
      <c r="T214" s="20">
        <v>2.34472418</v>
      </c>
      <c r="U214" s="39"/>
    </row>
    <row r="215" spans="1:21" x14ac:dyDescent="0.2">
      <c r="A215" s="52"/>
      <c r="S215" s="11" t="s">
        <v>4979</v>
      </c>
      <c r="T215" s="20">
        <v>2.3367719299999998</v>
      </c>
      <c r="U215" s="39"/>
    </row>
    <row r="216" spans="1:21" x14ac:dyDescent="0.2">
      <c r="A216" s="52"/>
      <c r="S216" s="11" t="s">
        <v>5171</v>
      </c>
      <c r="T216" s="20">
        <v>2.3200671100000001</v>
      </c>
      <c r="U216" s="39"/>
    </row>
    <row r="217" spans="1:21" x14ac:dyDescent="0.2">
      <c r="A217" s="52"/>
      <c r="S217" s="11" t="s">
        <v>14435</v>
      </c>
      <c r="T217" s="20">
        <v>2.31945413</v>
      </c>
      <c r="U217" s="39"/>
    </row>
    <row r="218" spans="1:21" x14ac:dyDescent="0.2">
      <c r="A218" s="52"/>
      <c r="S218" s="10" t="s">
        <v>14837</v>
      </c>
      <c r="T218" s="20">
        <v>2.3074640686789936</v>
      </c>
      <c r="U218" s="39"/>
    </row>
    <row r="219" spans="1:21" x14ac:dyDescent="0.2">
      <c r="A219" s="52"/>
      <c r="S219" s="10" t="s">
        <v>14838</v>
      </c>
      <c r="T219" s="20">
        <v>2.2942140484523303</v>
      </c>
      <c r="U219" s="39"/>
    </row>
    <row r="220" spans="1:21" x14ac:dyDescent="0.2">
      <c r="A220" s="52"/>
      <c r="S220" s="10" t="s">
        <v>14394</v>
      </c>
      <c r="T220" s="20">
        <v>2.2870691712641826</v>
      </c>
      <c r="U220" s="39"/>
    </row>
    <row r="221" spans="1:21" x14ac:dyDescent="0.2">
      <c r="A221" s="52"/>
      <c r="S221" s="10" t="s">
        <v>6213</v>
      </c>
      <c r="T221" s="20">
        <v>2.2845523517470934</v>
      </c>
      <c r="U221" s="39"/>
    </row>
    <row r="222" spans="1:21" x14ac:dyDescent="0.2">
      <c r="A222" s="52"/>
      <c r="S222" s="11" t="s">
        <v>14839</v>
      </c>
      <c r="T222" s="20">
        <v>2.28333005</v>
      </c>
      <c r="U222" s="39"/>
    </row>
    <row r="223" spans="1:21" x14ac:dyDescent="0.2">
      <c r="A223" s="52"/>
      <c r="S223" s="10" t="s">
        <v>14653</v>
      </c>
      <c r="T223" s="20">
        <v>2.2795263866027669</v>
      </c>
      <c r="U223" s="39"/>
    </row>
    <row r="224" spans="1:21" x14ac:dyDescent="0.2">
      <c r="A224" s="52"/>
      <c r="S224" s="10" t="s">
        <v>6272</v>
      </c>
      <c r="T224" s="20">
        <v>2.2777352857525219</v>
      </c>
      <c r="U224" s="39"/>
    </row>
    <row r="225" spans="1:21" x14ac:dyDescent="0.2">
      <c r="A225" s="52"/>
      <c r="S225" s="11" t="s">
        <v>11496</v>
      </c>
      <c r="T225" s="20">
        <v>2.2734654299999999</v>
      </c>
      <c r="U225" s="39"/>
    </row>
    <row r="226" spans="1:21" x14ac:dyDescent="0.2">
      <c r="A226" s="52"/>
      <c r="S226" s="11" t="s">
        <v>14179</v>
      </c>
      <c r="T226" s="20">
        <v>2.2527639000000002</v>
      </c>
      <c r="U226" s="39"/>
    </row>
    <row r="227" spans="1:21" x14ac:dyDescent="0.2">
      <c r="A227" s="52"/>
      <c r="S227" s="11" t="s">
        <v>6609</v>
      </c>
      <c r="T227" s="20">
        <v>2.2526991999999999</v>
      </c>
      <c r="U227" s="39"/>
    </row>
    <row r="228" spans="1:21" x14ac:dyDescent="0.2">
      <c r="A228" s="52"/>
      <c r="S228" s="11" t="s">
        <v>14840</v>
      </c>
      <c r="T228" s="20">
        <v>2.2416322900000001</v>
      </c>
      <c r="U228" s="39"/>
    </row>
    <row r="229" spans="1:21" x14ac:dyDescent="0.2">
      <c r="A229" s="52"/>
      <c r="S229" s="10" t="s">
        <v>14841</v>
      </c>
      <c r="T229" s="20">
        <v>2.2353488547905687</v>
      </c>
      <c r="U229" s="39"/>
    </row>
    <row r="230" spans="1:21" x14ac:dyDescent="0.2">
      <c r="A230" s="52"/>
      <c r="S230" s="11" t="s">
        <v>14842</v>
      </c>
      <c r="T230" s="20">
        <v>2.2325585999999999</v>
      </c>
      <c r="U230" s="39"/>
    </row>
    <row r="231" spans="1:21" x14ac:dyDescent="0.2">
      <c r="A231" s="52"/>
      <c r="S231" s="11" t="s">
        <v>11179</v>
      </c>
      <c r="T231" s="20">
        <v>2.2288679600000001</v>
      </c>
      <c r="U231" s="39"/>
    </row>
    <row r="232" spans="1:21" x14ac:dyDescent="0.2">
      <c r="A232" s="52"/>
      <c r="S232" s="10" t="s">
        <v>14843</v>
      </c>
      <c r="T232" s="20">
        <v>2.2273063436391891</v>
      </c>
      <c r="U232" s="39"/>
    </row>
    <row r="233" spans="1:21" x14ac:dyDescent="0.2">
      <c r="A233" s="52"/>
      <c r="S233" s="11" t="s">
        <v>7634</v>
      </c>
      <c r="T233" s="20">
        <v>2.2172895499999998</v>
      </c>
      <c r="U233" s="39"/>
    </row>
    <row r="234" spans="1:21" x14ac:dyDescent="0.2">
      <c r="A234" s="52"/>
      <c r="S234" s="10" t="s">
        <v>14844</v>
      </c>
      <c r="T234" s="20">
        <v>2.2010617794804963</v>
      </c>
      <c r="U234" s="39"/>
    </row>
    <row r="235" spans="1:21" x14ac:dyDescent="0.2">
      <c r="A235" s="52"/>
      <c r="S235" s="11" t="s">
        <v>207</v>
      </c>
      <c r="T235" s="20">
        <v>2.1934022799999999</v>
      </c>
      <c r="U235" s="39"/>
    </row>
    <row r="236" spans="1:21" x14ac:dyDescent="0.2">
      <c r="A236" s="52"/>
      <c r="S236" s="11" t="s">
        <v>14845</v>
      </c>
      <c r="T236" s="20">
        <v>2.1915128199999998</v>
      </c>
      <c r="U236" s="39"/>
    </row>
    <row r="237" spans="1:21" x14ac:dyDescent="0.2">
      <c r="A237" s="52"/>
      <c r="S237" s="11" t="s">
        <v>303</v>
      </c>
      <c r="T237" s="20">
        <v>2.1821675200000001</v>
      </c>
      <c r="U237" s="39"/>
    </row>
    <row r="238" spans="1:21" x14ac:dyDescent="0.2">
      <c r="A238" s="52"/>
      <c r="S238" s="11" t="s">
        <v>14306</v>
      </c>
      <c r="T238" s="20">
        <v>2.1758025600000002</v>
      </c>
      <c r="U238" s="39"/>
    </row>
    <row r="239" spans="1:21" x14ac:dyDescent="0.2">
      <c r="A239" s="52"/>
      <c r="S239" s="11" t="s">
        <v>14259</v>
      </c>
      <c r="T239" s="20">
        <v>2.17545952</v>
      </c>
      <c r="U239" s="39"/>
    </row>
    <row r="240" spans="1:21" x14ac:dyDescent="0.2">
      <c r="A240" s="52"/>
      <c r="S240" s="11" t="s">
        <v>4539</v>
      </c>
      <c r="T240" s="20">
        <v>2.1642393700000002</v>
      </c>
      <c r="U240" s="39"/>
    </row>
    <row r="241" spans="1:21" x14ac:dyDescent="0.2">
      <c r="A241" s="52"/>
      <c r="S241" s="11" t="s">
        <v>415</v>
      </c>
      <c r="T241" s="20">
        <v>2.15698086</v>
      </c>
      <c r="U241" s="39"/>
    </row>
    <row r="242" spans="1:21" x14ac:dyDescent="0.2">
      <c r="A242" s="52"/>
      <c r="S242" s="11" t="s">
        <v>2405</v>
      </c>
      <c r="T242" s="20">
        <v>2.1461375500000002</v>
      </c>
      <c r="U242" s="39"/>
    </row>
    <row r="243" spans="1:21" x14ac:dyDescent="0.2">
      <c r="A243" s="52"/>
      <c r="S243" s="11" t="s">
        <v>711</v>
      </c>
      <c r="T243" s="20">
        <v>2.1460555700000001</v>
      </c>
      <c r="U243" s="39"/>
    </row>
    <row r="244" spans="1:21" x14ac:dyDescent="0.2">
      <c r="A244" s="52"/>
      <c r="S244" s="11" t="s">
        <v>5151</v>
      </c>
      <c r="T244" s="20">
        <v>2.1402167599999999</v>
      </c>
      <c r="U244" s="39"/>
    </row>
    <row r="245" spans="1:21" x14ac:dyDescent="0.2">
      <c r="A245" s="52"/>
      <c r="S245" s="11" t="s">
        <v>14846</v>
      </c>
      <c r="T245" s="20">
        <v>2.1308901699999998</v>
      </c>
      <c r="U245" s="39"/>
    </row>
    <row r="246" spans="1:21" x14ac:dyDescent="0.2">
      <c r="A246" s="52"/>
      <c r="S246" s="11" t="s">
        <v>5800</v>
      </c>
      <c r="T246" s="20">
        <v>2.1268589100000002</v>
      </c>
      <c r="U246" s="39"/>
    </row>
    <row r="247" spans="1:21" x14ac:dyDescent="0.2">
      <c r="A247" s="52"/>
      <c r="S247" s="11" t="s">
        <v>14452</v>
      </c>
      <c r="T247" s="20">
        <v>2.11454648</v>
      </c>
      <c r="U247" s="39"/>
    </row>
    <row r="248" spans="1:21" x14ac:dyDescent="0.2">
      <c r="A248" s="52"/>
      <c r="S248" s="11" t="s">
        <v>14732</v>
      </c>
      <c r="T248" s="20">
        <v>2.1104118999999999</v>
      </c>
      <c r="U248" s="39"/>
    </row>
    <row r="249" spans="1:21" x14ac:dyDescent="0.2">
      <c r="A249" s="52"/>
      <c r="S249" s="11" t="s">
        <v>1123</v>
      </c>
      <c r="T249" s="20">
        <v>2.1018122699999999</v>
      </c>
      <c r="U249" s="39"/>
    </row>
    <row r="250" spans="1:21" x14ac:dyDescent="0.2">
      <c r="A250" s="52"/>
      <c r="S250" s="11" t="s">
        <v>2511</v>
      </c>
      <c r="T250" s="20">
        <v>2.0950321299999999</v>
      </c>
      <c r="U250" s="39"/>
    </row>
    <row r="251" spans="1:21" x14ac:dyDescent="0.2">
      <c r="A251" s="52"/>
      <c r="S251" s="11" t="s">
        <v>1295</v>
      </c>
      <c r="T251" s="20">
        <v>2.0911383699999999</v>
      </c>
      <c r="U251" s="39"/>
    </row>
    <row r="252" spans="1:21" x14ac:dyDescent="0.2">
      <c r="A252" s="52"/>
      <c r="S252" s="10" t="s">
        <v>8887</v>
      </c>
      <c r="T252" s="20">
        <v>2.0871557869853428</v>
      </c>
      <c r="U252" s="39"/>
    </row>
    <row r="253" spans="1:21" x14ac:dyDescent="0.2">
      <c r="A253" s="53"/>
      <c r="S253" s="11" t="s">
        <v>14029</v>
      </c>
      <c r="T253" s="20">
        <v>2.07907866</v>
      </c>
      <c r="U253" s="39"/>
    </row>
    <row r="254" spans="1:21" x14ac:dyDescent="0.2">
      <c r="A254" s="53"/>
      <c r="S254" s="11" t="s">
        <v>10801</v>
      </c>
      <c r="T254" s="20">
        <v>2.0747279999999999</v>
      </c>
      <c r="U254" s="39"/>
    </row>
    <row r="255" spans="1:21" x14ac:dyDescent="0.2">
      <c r="A255" s="52"/>
      <c r="S255" s="11" t="s">
        <v>14000</v>
      </c>
      <c r="T255" s="20">
        <v>2.0621125600000001</v>
      </c>
      <c r="U255" s="39"/>
    </row>
    <row r="256" spans="1:21" x14ac:dyDescent="0.2">
      <c r="A256" s="52"/>
      <c r="S256" s="11" t="s">
        <v>11573</v>
      </c>
      <c r="T256" s="20">
        <v>2.054189</v>
      </c>
      <c r="U256" s="39"/>
    </row>
    <row r="257" spans="1:21" x14ac:dyDescent="0.2">
      <c r="A257" s="53"/>
      <c r="S257" s="11" t="s">
        <v>14425</v>
      </c>
      <c r="T257" s="20">
        <v>2.0410746</v>
      </c>
      <c r="U257" s="39"/>
    </row>
    <row r="258" spans="1:21" x14ac:dyDescent="0.2">
      <c r="A258" s="52"/>
      <c r="S258" s="11" t="s">
        <v>6070</v>
      </c>
      <c r="T258" s="20">
        <v>2.0385904099999999</v>
      </c>
      <c r="U258" s="39"/>
    </row>
    <row r="259" spans="1:21" x14ac:dyDescent="0.2">
      <c r="A259" s="52"/>
      <c r="S259" s="11" t="s">
        <v>3546</v>
      </c>
      <c r="T259" s="20">
        <v>2.0302970400000002</v>
      </c>
      <c r="U259" s="39"/>
    </row>
    <row r="260" spans="1:21" x14ac:dyDescent="0.2">
      <c r="A260" s="52"/>
      <c r="S260" s="11" t="s">
        <v>1674</v>
      </c>
      <c r="T260" s="20">
        <v>2.0183022500000001</v>
      </c>
      <c r="U260" s="39"/>
    </row>
    <row r="261" spans="1:21" x14ac:dyDescent="0.2">
      <c r="A261" s="52"/>
      <c r="S261" s="11" t="s">
        <v>14117</v>
      </c>
      <c r="T261" s="20">
        <v>2.0162053499999999</v>
      </c>
      <c r="U261" s="39"/>
    </row>
    <row r="262" spans="1:21" x14ac:dyDescent="0.2">
      <c r="A262" s="52"/>
      <c r="S262" s="10" t="s">
        <v>14847</v>
      </c>
      <c r="T262" s="21">
        <v>2.0051368904255464</v>
      </c>
      <c r="U262" s="40"/>
    </row>
    <row r="263" spans="1:21" x14ac:dyDescent="0.2">
      <c r="A263" s="52"/>
      <c r="S263" s="22" t="s">
        <v>14848</v>
      </c>
      <c r="T263" s="23" t="s">
        <v>14849</v>
      </c>
      <c r="U263" s="39" t="s">
        <v>14929</v>
      </c>
    </row>
    <row r="264" spans="1:21" x14ac:dyDescent="0.2">
      <c r="A264" s="52"/>
      <c r="S264" s="22" t="s">
        <v>6225</v>
      </c>
      <c r="T264" s="23" t="s">
        <v>14849</v>
      </c>
      <c r="U264" s="39" t="s">
        <v>14888</v>
      </c>
    </row>
    <row r="265" spans="1:21" x14ac:dyDescent="0.2">
      <c r="A265" s="52"/>
      <c r="S265" s="22" t="s">
        <v>14850</v>
      </c>
      <c r="T265" s="23" t="s">
        <v>14849</v>
      </c>
      <c r="U265" s="39"/>
    </row>
    <row r="266" spans="1:21" x14ac:dyDescent="0.2">
      <c r="A266" s="52"/>
      <c r="S266" s="22" t="s">
        <v>14851</v>
      </c>
      <c r="T266" s="23" t="s">
        <v>14849</v>
      </c>
      <c r="U266" s="39"/>
    </row>
    <row r="267" spans="1:21" x14ac:dyDescent="0.2">
      <c r="A267" s="52"/>
      <c r="S267" s="22" t="s">
        <v>14163</v>
      </c>
      <c r="T267" s="23" t="s">
        <v>14849</v>
      </c>
      <c r="U267" s="39"/>
    </row>
    <row r="268" spans="1:21" x14ac:dyDescent="0.2">
      <c r="A268" s="52"/>
      <c r="S268" s="22" t="s">
        <v>14852</v>
      </c>
      <c r="T268" s="23" t="s">
        <v>14849</v>
      </c>
      <c r="U268" s="39"/>
    </row>
    <row r="269" spans="1:21" x14ac:dyDescent="0.2">
      <c r="A269" s="52"/>
      <c r="S269" s="22" t="s">
        <v>14853</v>
      </c>
      <c r="T269" s="23" t="s">
        <v>14849</v>
      </c>
      <c r="U269" s="39"/>
    </row>
    <row r="270" spans="1:21" x14ac:dyDescent="0.2">
      <c r="A270" s="53"/>
      <c r="S270" s="22" t="s">
        <v>14183</v>
      </c>
      <c r="T270" s="23" t="s">
        <v>14849</v>
      </c>
      <c r="U270" s="39"/>
    </row>
    <row r="271" spans="1:21" x14ac:dyDescent="0.2">
      <c r="A271" s="52"/>
      <c r="S271" s="22" t="s">
        <v>14165</v>
      </c>
      <c r="T271" s="23" t="s">
        <v>14849</v>
      </c>
      <c r="U271" s="39"/>
    </row>
    <row r="272" spans="1:21" x14ac:dyDescent="0.2">
      <c r="A272" s="52"/>
      <c r="S272" s="22" t="s">
        <v>14854</v>
      </c>
      <c r="T272" s="23" t="s">
        <v>14849</v>
      </c>
      <c r="U272" s="39"/>
    </row>
    <row r="273" spans="1:21" x14ac:dyDescent="0.2">
      <c r="A273" s="52"/>
      <c r="S273" s="22" t="s">
        <v>14855</v>
      </c>
      <c r="T273" s="23" t="s">
        <v>14849</v>
      </c>
      <c r="U273" s="39"/>
    </row>
    <row r="274" spans="1:21" x14ac:dyDescent="0.2">
      <c r="A274" s="53"/>
      <c r="S274" s="22" t="s">
        <v>11544</v>
      </c>
      <c r="T274" s="23" t="s">
        <v>14849</v>
      </c>
      <c r="U274" s="39"/>
    </row>
    <row r="275" spans="1:21" x14ac:dyDescent="0.2">
      <c r="A275" s="52"/>
      <c r="S275" s="22" t="s">
        <v>10878</v>
      </c>
      <c r="T275" s="23" t="s">
        <v>14849</v>
      </c>
      <c r="U275" s="39"/>
    </row>
    <row r="276" spans="1:21" x14ac:dyDescent="0.2">
      <c r="A276" s="52"/>
      <c r="S276" s="22" t="s">
        <v>14856</v>
      </c>
      <c r="T276" s="23" t="s">
        <v>14849</v>
      </c>
      <c r="U276" s="39"/>
    </row>
    <row r="277" spans="1:21" x14ac:dyDescent="0.2">
      <c r="A277" s="52"/>
      <c r="S277" s="22" t="s">
        <v>14857</v>
      </c>
      <c r="T277" s="23" t="s">
        <v>14849</v>
      </c>
      <c r="U277" s="39"/>
    </row>
    <row r="278" spans="1:21" x14ac:dyDescent="0.2">
      <c r="A278" s="52"/>
      <c r="S278" s="22" t="s">
        <v>14858</v>
      </c>
      <c r="T278" s="23" t="s">
        <v>14849</v>
      </c>
      <c r="U278" s="39"/>
    </row>
    <row r="279" spans="1:21" x14ac:dyDescent="0.2">
      <c r="A279" s="52"/>
      <c r="S279" s="22" t="s">
        <v>14859</v>
      </c>
      <c r="T279" s="23" t="s">
        <v>14849</v>
      </c>
      <c r="U279" s="39"/>
    </row>
    <row r="280" spans="1:21" x14ac:dyDescent="0.2">
      <c r="A280" s="52"/>
      <c r="S280" s="22" t="s">
        <v>14860</v>
      </c>
      <c r="T280" s="23" t="s">
        <v>14849</v>
      </c>
      <c r="U280" s="39"/>
    </row>
    <row r="281" spans="1:21" x14ac:dyDescent="0.2">
      <c r="A281" s="52"/>
      <c r="S281" s="22" t="s">
        <v>14516</v>
      </c>
      <c r="T281" s="23" t="s">
        <v>14849</v>
      </c>
      <c r="U281" s="39"/>
    </row>
    <row r="282" spans="1:21" x14ac:dyDescent="0.2">
      <c r="A282" s="52"/>
      <c r="S282" s="22" t="s">
        <v>14861</v>
      </c>
      <c r="T282" s="23" t="s">
        <v>14849</v>
      </c>
      <c r="U282" s="39"/>
    </row>
    <row r="283" spans="1:21" x14ac:dyDescent="0.2">
      <c r="A283" s="52"/>
      <c r="S283" s="22" t="s">
        <v>13446</v>
      </c>
      <c r="T283" s="23" t="s">
        <v>14849</v>
      </c>
      <c r="U283" s="39"/>
    </row>
    <row r="284" spans="1:21" x14ac:dyDescent="0.2">
      <c r="A284" s="53"/>
      <c r="S284" s="22" t="s">
        <v>14160</v>
      </c>
      <c r="T284" s="23" t="s">
        <v>14849</v>
      </c>
      <c r="U284" s="39"/>
    </row>
    <row r="285" spans="1:21" x14ac:dyDescent="0.2">
      <c r="A285" s="52"/>
      <c r="S285" s="22" t="s">
        <v>4118</v>
      </c>
      <c r="T285" s="23" t="s">
        <v>14849</v>
      </c>
      <c r="U285" s="39"/>
    </row>
    <row r="286" spans="1:21" x14ac:dyDescent="0.2">
      <c r="A286" s="52"/>
      <c r="S286" s="22" t="s">
        <v>14862</v>
      </c>
      <c r="T286" s="23" t="s">
        <v>14849</v>
      </c>
      <c r="U286" s="39"/>
    </row>
    <row r="287" spans="1:21" x14ac:dyDescent="0.2">
      <c r="A287" s="52"/>
      <c r="S287" s="22" t="s">
        <v>8872</v>
      </c>
      <c r="T287" s="23" t="s">
        <v>14849</v>
      </c>
      <c r="U287" s="39"/>
    </row>
    <row r="288" spans="1:21" x14ac:dyDescent="0.2">
      <c r="A288" s="52"/>
      <c r="S288" s="22" t="s">
        <v>11283</v>
      </c>
      <c r="T288" s="23" t="s">
        <v>14849</v>
      </c>
      <c r="U288" s="39"/>
    </row>
    <row r="289" spans="1:21" x14ac:dyDescent="0.2">
      <c r="A289" s="52"/>
      <c r="S289" s="22" t="s">
        <v>14863</v>
      </c>
      <c r="T289" s="23" t="s">
        <v>14849</v>
      </c>
      <c r="U289" s="39"/>
    </row>
    <row r="290" spans="1:21" x14ac:dyDescent="0.2">
      <c r="A290" s="52"/>
    </row>
    <row r="291" spans="1:21" x14ac:dyDescent="0.2">
      <c r="A291" s="52"/>
    </row>
    <row r="292" spans="1:21" x14ac:dyDescent="0.2">
      <c r="A292" s="52"/>
    </row>
    <row r="293" spans="1:21" x14ac:dyDescent="0.2">
      <c r="A293" s="52"/>
    </row>
    <row r="294" spans="1:21" x14ac:dyDescent="0.2">
      <c r="A294" s="52"/>
    </row>
    <row r="295" spans="1:21" x14ac:dyDescent="0.2">
      <c r="A295" s="52"/>
    </row>
    <row r="296" spans="1:21" x14ac:dyDescent="0.2">
      <c r="A296" s="52"/>
    </row>
    <row r="297" spans="1:21" x14ac:dyDescent="0.2">
      <c r="A297" s="52"/>
    </row>
    <row r="298" spans="1:21" x14ac:dyDescent="0.2">
      <c r="A298" s="52"/>
    </row>
    <row r="299" spans="1:21" x14ac:dyDescent="0.2">
      <c r="A299" s="53"/>
    </row>
    <row r="300" spans="1:21" x14ac:dyDescent="0.2">
      <c r="A300" s="52"/>
    </row>
    <row r="301" spans="1:21" x14ac:dyDescent="0.2">
      <c r="A301" s="52"/>
    </row>
    <row r="302" spans="1:21" x14ac:dyDescent="0.2">
      <c r="A302" s="52"/>
    </row>
    <row r="303" spans="1:21" x14ac:dyDescent="0.2">
      <c r="A303" s="52"/>
    </row>
    <row r="304" spans="1:21" x14ac:dyDescent="0.2">
      <c r="A304" s="52"/>
    </row>
    <row r="305" spans="1:1" x14ac:dyDescent="0.2">
      <c r="A305" s="52"/>
    </row>
    <row r="306" spans="1:1" x14ac:dyDescent="0.2">
      <c r="A306" s="52"/>
    </row>
    <row r="307" spans="1:1" x14ac:dyDescent="0.2">
      <c r="A307" s="52"/>
    </row>
    <row r="308" spans="1:1" x14ac:dyDescent="0.2">
      <c r="A308" s="52"/>
    </row>
    <row r="309" spans="1:1" x14ac:dyDescent="0.2">
      <c r="A309" s="52"/>
    </row>
    <row r="310" spans="1:1" x14ac:dyDescent="0.2">
      <c r="A310" s="52"/>
    </row>
    <row r="311" spans="1:1" x14ac:dyDescent="0.2">
      <c r="A311" s="52"/>
    </row>
    <row r="312" spans="1:1" x14ac:dyDescent="0.2">
      <c r="A312" s="52"/>
    </row>
    <row r="313" spans="1:1" x14ac:dyDescent="0.2">
      <c r="A313" s="52"/>
    </row>
    <row r="314" spans="1:1" x14ac:dyDescent="0.2">
      <c r="A314" s="52"/>
    </row>
    <row r="315" spans="1:1" x14ac:dyDescent="0.2">
      <c r="A315" s="52"/>
    </row>
    <row r="316" spans="1:1" x14ac:dyDescent="0.2">
      <c r="A316" s="52"/>
    </row>
    <row r="317" spans="1:1" x14ac:dyDescent="0.2">
      <c r="A317" s="52"/>
    </row>
    <row r="318" spans="1:1" x14ac:dyDescent="0.2">
      <c r="A318" s="52"/>
    </row>
    <row r="319" spans="1:1" x14ac:dyDescent="0.2">
      <c r="A319" s="53"/>
    </row>
    <row r="320" spans="1:1" x14ac:dyDescent="0.2">
      <c r="A320" s="52"/>
    </row>
    <row r="321" spans="1:1" x14ac:dyDescent="0.2">
      <c r="A321" s="52"/>
    </row>
    <row r="322" spans="1:1" x14ac:dyDescent="0.2">
      <c r="A322" s="52"/>
    </row>
    <row r="323" spans="1:1" x14ac:dyDescent="0.2">
      <c r="A323" s="52"/>
    </row>
    <row r="324" spans="1:1" x14ac:dyDescent="0.2">
      <c r="A324" s="52"/>
    </row>
    <row r="325" spans="1:1" x14ac:dyDescent="0.2">
      <c r="A325" s="52"/>
    </row>
    <row r="326" spans="1:1" x14ac:dyDescent="0.2">
      <c r="A326" s="52"/>
    </row>
    <row r="327" spans="1:1" x14ac:dyDescent="0.2">
      <c r="A327" s="52"/>
    </row>
    <row r="328" spans="1:1" x14ac:dyDescent="0.2">
      <c r="A328" s="52"/>
    </row>
    <row r="329" spans="1:1" x14ac:dyDescent="0.2">
      <c r="A329" s="52"/>
    </row>
    <row r="330" spans="1:1" x14ac:dyDescent="0.2">
      <c r="A330" s="52"/>
    </row>
    <row r="331" spans="1:1" x14ac:dyDescent="0.2">
      <c r="A331" s="52"/>
    </row>
    <row r="332" spans="1:1" x14ac:dyDescent="0.2">
      <c r="A332" s="52"/>
    </row>
    <row r="333" spans="1:1" x14ac:dyDescent="0.2">
      <c r="A333" s="52"/>
    </row>
    <row r="334" spans="1:1" x14ac:dyDescent="0.2">
      <c r="A334" s="52"/>
    </row>
    <row r="335" spans="1:1" x14ac:dyDescent="0.2">
      <c r="A335" s="52"/>
    </row>
    <row r="336" spans="1:1" x14ac:dyDescent="0.2">
      <c r="A336" s="52"/>
    </row>
    <row r="337" spans="1:1" x14ac:dyDescent="0.2">
      <c r="A337" s="52"/>
    </row>
    <row r="338" spans="1:1" x14ac:dyDescent="0.2">
      <c r="A338" s="52"/>
    </row>
    <row r="339" spans="1:1" x14ac:dyDescent="0.2">
      <c r="A339" s="52"/>
    </row>
    <row r="340" spans="1:1" x14ac:dyDescent="0.2">
      <c r="A340" s="52"/>
    </row>
    <row r="341" spans="1:1" x14ac:dyDescent="0.2">
      <c r="A341" s="52"/>
    </row>
    <row r="342" spans="1:1" x14ac:dyDescent="0.2">
      <c r="A342" s="52"/>
    </row>
    <row r="343" spans="1:1" x14ac:dyDescent="0.2">
      <c r="A343" s="52"/>
    </row>
    <row r="344" spans="1:1" x14ac:dyDescent="0.2">
      <c r="A344" s="52"/>
    </row>
    <row r="345" spans="1:1" x14ac:dyDescent="0.2">
      <c r="A345" s="52"/>
    </row>
    <row r="346" spans="1:1" x14ac:dyDescent="0.2">
      <c r="A346" s="53"/>
    </row>
    <row r="347" spans="1:1" x14ac:dyDescent="0.2">
      <c r="A347" s="53"/>
    </row>
    <row r="348" spans="1:1" x14ac:dyDescent="0.2">
      <c r="A348" s="52"/>
    </row>
    <row r="349" spans="1:1" x14ac:dyDescent="0.2">
      <c r="A349" s="52"/>
    </row>
    <row r="350" spans="1:1" x14ac:dyDescent="0.2">
      <c r="A350" s="52"/>
    </row>
    <row r="351" spans="1:1" x14ac:dyDescent="0.2">
      <c r="A351" s="53"/>
    </row>
    <row r="352" spans="1:1" x14ac:dyDescent="0.2">
      <c r="A352" s="52"/>
    </row>
    <row r="353" spans="1:1" x14ac:dyDescent="0.2">
      <c r="A353" s="52"/>
    </row>
    <row r="354" spans="1:1" x14ac:dyDescent="0.2">
      <c r="A354" s="52"/>
    </row>
    <row r="355" spans="1:1" x14ac:dyDescent="0.2">
      <c r="A355" s="52"/>
    </row>
    <row r="356" spans="1:1" x14ac:dyDescent="0.2">
      <c r="A356" s="52"/>
    </row>
    <row r="357" spans="1:1" x14ac:dyDescent="0.2">
      <c r="A357" s="52"/>
    </row>
    <row r="358" spans="1:1" x14ac:dyDescent="0.2">
      <c r="A358" s="52"/>
    </row>
    <row r="359" spans="1:1" x14ac:dyDescent="0.2">
      <c r="A359" s="52"/>
    </row>
    <row r="360" spans="1:1" x14ac:dyDescent="0.2">
      <c r="A360" s="52"/>
    </row>
    <row r="361" spans="1:1" x14ac:dyDescent="0.2">
      <c r="A361" s="52"/>
    </row>
    <row r="362" spans="1:1" x14ac:dyDescent="0.2">
      <c r="A362" s="53"/>
    </row>
    <row r="363" spans="1:1" x14ac:dyDescent="0.2">
      <c r="A363" s="52"/>
    </row>
    <row r="364" spans="1:1" x14ac:dyDescent="0.2">
      <c r="A364" s="52"/>
    </row>
    <row r="365" spans="1:1" x14ac:dyDescent="0.2">
      <c r="A365" s="52"/>
    </row>
    <row r="366" spans="1:1" x14ac:dyDescent="0.2">
      <c r="A366" s="52"/>
    </row>
    <row r="367" spans="1:1" x14ac:dyDescent="0.2">
      <c r="A367" s="52"/>
    </row>
    <row r="368" spans="1:1" x14ac:dyDescent="0.2">
      <c r="A368" s="52"/>
    </row>
    <row r="369" spans="1:1" x14ac:dyDescent="0.2">
      <c r="A369" s="52"/>
    </row>
    <row r="370" spans="1:1" x14ac:dyDescent="0.2">
      <c r="A370" s="52"/>
    </row>
    <row r="371" spans="1:1" x14ac:dyDescent="0.2">
      <c r="A371" s="52"/>
    </row>
    <row r="372" spans="1:1" x14ac:dyDescent="0.2">
      <c r="A372" s="52"/>
    </row>
    <row r="373" spans="1:1" x14ac:dyDescent="0.2">
      <c r="A373" s="52"/>
    </row>
    <row r="374" spans="1:1" x14ac:dyDescent="0.2">
      <c r="A374" s="52"/>
    </row>
    <row r="375" spans="1:1" x14ac:dyDescent="0.2">
      <c r="A375" s="52"/>
    </row>
    <row r="376" spans="1:1" x14ac:dyDescent="0.2">
      <c r="A376" s="52"/>
    </row>
    <row r="377" spans="1:1" x14ac:dyDescent="0.2">
      <c r="A377" s="52"/>
    </row>
    <row r="378" spans="1:1" x14ac:dyDescent="0.2">
      <c r="A378" s="52"/>
    </row>
    <row r="379" spans="1:1" x14ac:dyDescent="0.2">
      <c r="A379" s="52"/>
    </row>
    <row r="380" spans="1:1" x14ac:dyDescent="0.2">
      <c r="A380" s="52"/>
    </row>
    <row r="381" spans="1:1" x14ac:dyDescent="0.2">
      <c r="A381" s="52"/>
    </row>
    <row r="382" spans="1:1" x14ac:dyDescent="0.2">
      <c r="A382" s="53"/>
    </row>
    <row r="383" spans="1:1" x14ac:dyDescent="0.2">
      <c r="A383" s="52"/>
    </row>
    <row r="384" spans="1:1" x14ac:dyDescent="0.2">
      <c r="A384" s="52"/>
    </row>
    <row r="385" spans="1:1" x14ac:dyDescent="0.2">
      <c r="A385" s="52"/>
    </row>
    <row r="386" spans="1:1" x14ac:dyDescent="0.2">
      <c r="A386" s="52"/>
    </row>
    <row r="387" spans="1:1" x14ac:dyDescent="0.2">
      <c r="A387" s="52"/>
    </row>
    <row r="388" spans="1:1" x14ac:dyDescent="0.2">
      <c r="A388" s="52"/>
    </row>
    <row r="389" spans="1:1" x14ac:dyDescent="0.2">
      <c r="A389" s="52"/>
    </row>
    <row r="390" spans="1:1" x14ac:dyDescent="0.2">
      <c r="A390" s="52"/>
    </row>
    <row r="391" spans="1:1" x14ac:dyDescent="0.2">
      <c r="A391" s="52"/>
    </row>
    <row r="392" spans="1:1" x14ac:dyDescent="0.2">
      <c r="A392" s="52"/>
    </row>
    <row r="393" spans="1:1" x14ac:dyDescent="0.2">
      <c r="A393" s="52"/>
    </row>
    <row r="394" spans="1:1" x14ac:dyDescent="0.2">
      <c r="A394" s="52"/>
    </row>
    <row r="395" spans="1:1" x14ac:dyDescent="0.2">
      <c r="A395" s="52"/>
    </row>
    <row r="396" spans="1:1" x14ac:dyDescent="0.2">
      <c r="A396" s="52"/>
    </row>
    <row r="397" spans="1:1" x14ac:dyDescent="0.2">
      <c r="A397" s="52"/>
    </row>
    <row r="398" spans="1:1" x14ac:dyDescent="0.2">
      <c r="A398" s="52"/>
    </row>
    <row r="399" spans="1:1" x14ac:dyDescent="0.2">
      <c r="A399" s="52"/>
    </row>
    <row r="400" spans="1:1" x14ac:dyDescent="0.2">
      <c r="A400" s="52"/>
    </row>
    <row r="401" spans="1:1" x14ac:dyDescent="0.2">
      <c r="A401" s="52"/>
    </row>
    <row r="402" spans="1:1" x14ac:dyDescent="0.2">
      <c r="A402" s="52"/>
    </row>
    <row r="403" spans="1:1" x14ac:dyDescent="0.2">
      <c r="A403" s="52"/>
    </row>
    <row r="404" spans="1:1" x14ac:dyDescent="0.2">
      <c r="A404" s="52"/>
    </row>
    <row r="405" spans="1:1" x14ac:dyDescent="0.2">
      <c r="A405" s="52"/>
    </row>
    <row r="406" spans="1:1" x14ac:dyDescent="0.2">
      <c r="A406" s="52"/>
    </row>
    <row r="407" spans="1:1" x14ac:dyDescent="0.2">
      <c r="A407" s="52"/>
    </row>
    <row r="408" spans="1:1" x14ac:dyDescent="0.2">
      <c r="A408" s="52"/>
    </row>
    <row r="409" spans="1:1" x14ac:dyDescent="0.2">
      <c r="A409" s="52"/>
    </row>
    <row r="410" spans="1:1" x14ac:dyDescent="0.2">
      <c r="A410" s="52"/>
    </row>
    <row r="411" spans="1:1" x14ac:dyDescent="0.2">
      <c r="A411" s="52"/>
    </row>
    <row r="412" spans="1:1" x14ac:dyDescent="0.2">
      <c r="A412" s="52"/>
    </row>
    <row r="413" spans="1:1" x14ac:dyDescent="0.2">
      <c r="A413" s="52"/>
    </row>
    <row r="414" spans="1:1" x14ac:dyDescent="0.2">
      <c r="A414" s="52"/>
    </row>
    <row r="415" spans="1:1" x14ac:dyDescent="0.2">
      <c r="A415" s="52"/>
    </row>
    <row r="416" spans="1:1" x14ac:dyDescent="0.2">
      <c r="A416" s="52"/>
    </row>
    <row r="417" spans="1:1" x14ac:dyDescent="0.2">
      <c r="A417" s="52"/>
    </row>
    <row r="418" spans="1:1" x14ac:dyDescent="0.2">
      <c r="A418" s="52"/>
    </row>
    <row r="419" spans="1:1" x14ac:dyDescent="0.2">
      <c r="A419" s="52"/>
    </row>
    <row r="420" spans="1:1" x14ac:dyDescent="0.2">
      <c r="A420" s="52"/>
    </row>
    <row r="421" spans="1:1" x14ac:dyDescent="0.2">
      <c r="A421" s="52"/>
    </row>
    <row r="422" spans="1:1" x14ac:dyDescent="0.2">
      <c r="A422" s="52"/>
    </row>
    <row r="423" spans="1:1" x14ac:dyDescent="0.2">
      <c r="A423" s="52"/>
    </row>
    <row r="424" spans="1:1" x14ac:dyDescent="0.2">
      <c r="A424" s="52"/>
    </row>
    <row r="425" spans="1:1" x14ac:dyDescent="0.2">
      <c r="A425" s="52"/>
    </row>
    <row r="426" spans="1:1" x14ac:dyDescent="0.2">
      <c r="A426" s="53"/>
    </row>
    <row r="427" spans="1:1" x14ac:dyDescent="0.2">
      <c r="A427" s="52"/>
    </row>
    <row r="428" spans="1:1" x14ac:dyDescent="0.2">
      <c r="A428" s="52"/>
    </row>
    <row r="429" spans="1:1" x14ac:dyDescent="0.2">
      <c r="A429" s="52"/>
    </row>
    <row r="430" spans="1:1" x14ac:dyDescent="0.2">
      <c r="A430" s="52"/>
    </row>
    <row r="431" spans="1:1" x14ac:dyDescent="0.2">
      <c r="A431" s="52"/>
    </row>
    <row r="432" spans="1:1" x14ac:dyDescent="0.2">
      <c r="A432" s="52"/>
    </row>
    <row r="433" spans="1:1" x14ac:dyDescent="0.2">
      <c r="A433" s="53"/>
    </row>
    <row r="434" spans="1:1" x14ac:dyDescent="0.2">
      <c r="A434" s="53"/>
    </row>
    <row r="435" spans="1:1" x14ac:dyDescent="0.2">
      <c r="A435" s="52"/>
    </row>
    <row r="436" spans="1:1" x14ac:dyDescent="0.2">
      <c r="A436" s="52"/>
    </row>
    <row r="437" spans="1:1" x14ac:dyDescent="0.2">
      <c r="A437" s="52"/>
    </row>
    <row r="438" spans="1:1" x14ac:dyDescent="0.2">
      <c r="A438" s="52"/>
    </row>
    <row r="439" spans="1:1" x14ac:dyDescent="0.2">
      <c r="A439" s="52"/>
    </row>
    <row r="440" spans="1:1" x14ac:dyDescent="0.2">
      <c r="A440" s="52"/>
    </row>
    <row r="441" spans="1:1" x14ac:dyDescent="0.2">
      <c r="A441" s="52"/>
    </row>
    <row r="442" spans="1:1" x14ac:dyDescent="0.2">
      <c r="A442" s="52"/>
    </row>
    <row r="443" spans="1:1" x14ac:dyDescent="0.2">
      <c r="A443" s="52"/>
    </row>
    <row r="444" spans="1:1" x14ac:dyDescent="0.2">
      <c r="A444" s="53"/>
    </row>
    <row r="445" spans="1:1" x14ac:dyDescent="0.2">
      <c r="A445" s="52"/>
    </row>
    <row r="446" spans="1:1" x14ac:dyDescent="0.2">
      <c r="A446" s="52"/>
    </row>
    <row r="447" spans="1:1" x14ac:dyDescent="0.2">
      <c r="A447" s="52"/>
    </row>
    <row r="448" spans="1:1" x14ac:dyDescent="0.2">
      <c r="A448" s="52"/>
    </row>
    <row r="449" spans="1:1" x14ac:dyDescent="0.2">
      <c r="A449" s="52"/>
    </row>
    <row r="450" spans="1:1" x14ac:dyDescent="0.2">
      <c r="A450" s="52"/>
    </row>
    <row r="451" spans="1:1" x14ac:dyDescent="0.2">
      <c r="A451" s="52"/>
    </row>
    <row r="452" spans="1:1" x14ac:dyDescent="0.2">
      <c r="A452" s="52"/>
    </row>
    <row r="453" spans="1:1" x14ac:dyDescent="0.2">
      <c r="A453" s="52"/>
    </row>
    <row r="454" spans="1:1" x14ac:dyDescent="0.2">
      <c r="A454" s="52"/>
    </row>
    <row r="455" spans="1:1" x14ac:dyDescent="0.2">
      <c r="A455" s="52"/>
    </row>
    <row r="456" spans="1:1" x14ac:dyDescent="0.2">
      <c r="A456" s="52"/>
    </row>
    <row r="457" spans="1:1" x14ac:dyDescent="0.2">
      <c r="A457" s="52"/>
    </row>
    <row r="458" spans="1:1" x14ac:dyDescent="0.2">
      <c r="A458" s="52"/>
    </row>
    <row r="459" spans="1:1" x14ac:dyDescent="0.2">
      <c r="A459" s="52"/>
    </row>
    <row r="460" spans="1:1" x14ac:dyDescent="0.2">
      <c r="A460" s="52"/>
    </row>
    <row r="461" spans="1:1" x14ac:dyDescent="0.2">
      <c r="A461" s="52"/>
    </row>
    <row r="462" spans="1:1" x14ac:dyDescent="0.2">
      <c r="A462" s="52"/>
    </row>
    <row r="463" spans="1:1" x14ac:dyDescent="0.2">
      <c r="A463" s="52"/>
    </row>
    <row r="464" spans="1:1" x14ac:dyDescent="0.2">
      <c r="A464" s="52"/>
    </row>
    <row r="465" spans="1:1" x14ac:dyDescent="0.2">
      <c r="A465" s="52"/>
    </row>
    <row r="466" spans="1:1" x14ac:dyDescent="0.2">
      <c r="A466" s="52"/>
    </row>
    <row r="467" spans="1:1" x14ac:dyDescent="0.2">
      <c r="A467" s="52"/>
    </row>
    <row r="468" spans="1:1" x14ac:dyDescent="0.2">
      <c r="A468" s="52"/>
    </row>
    <row r="469" spans="1:1" x14ac:dyDescent="0.2">
      <c r="A469" s="52"/>
    </row>
    <row r="470" spans="1:1" x14ac:dyDescent="0.2">
      <c r="A470" s="52"/>
    </row>
    <row r="471" spans="1:1" x14ac:dyDescent="0.2">
      <c r="A471" s="52"/>
    </row>
    <row r="472" spans="1:1" x14ac:dyDescent="0.2">
      <c r="A472" s="52"/>
    </row>
    <row r="473" spans="1:1" x14ac:dyDescent="0.2">
      <c r="A473" s="52"/>
    </row>
    <row r="474" spans="1:1" x14ac:dyDescent="0.2">
      <c r="A474" s="52"/>
    </row>
    <row r="475" spans="1:1" x14ac:dyDescent="0.2">
      <c r="A475" s="52"/>
    </row>
    <row r="476" spans="1:1" x14ac:dyDescent="0.2">
      <c r="A476" s="52"/>
    </row>
    <row r="477" spans="1:1" x14ac:dyDescent="0.2">
      <c r="A477" s="52"/>
    </row>
    <row r="478" spans="1:1" x14ac:dyDescent="0.2">
      <c r="A478" s="52"/>
    </row>
    <row r="479" spans="1:1" x14ac:dyDescent="0.2">
      <c r="A479" s="52"/>
    </row>
    <row r="480" spans="1:1" x14ac:dyDescent="0.2">
      <c r="A480" s="53"/>
    </row>
    <row r="481" spans="1:1" x14ac:dyDescent="0.2">
      <c r="A481" s="52"/>
    </row>
    <row r="482" spans="1:1" x14ac:dyDescent="0.2">
      <c r="A482" s="52"/>
    </row>
    <row r="483" spans="1:1" x14ac:dyDescent="0.2">
      <c r="A483" s="52"/>
    </row>
    <row r="484" spans="1:1" x14ac:dyDescent="0.2">
      <c r="A484" s="52"/>
    </row>
    <row r="485" spans="1:1" x14ac:dyDescent="0.2">
      <c r="A485" s="52"/>
    </row>
    <row r="486" spans="1:1" x14ac:dyDescent="0.2">
      <c r="A486" s="52"/>
    </row>
    <row r="487" spans="1:1" x14ac:dyDescent="0.2">
      <c r="A487" s="52"/>
    </row>
    <row r="488" spans="1:1" x14ac:dyDescent="0.2">
      <c r="A488" s="52"/>
    </row>
    <row r="489" spans="1:1" x14ac:dyDescent="0.2">
      <c r="A489" s="52"/>
    </row>
    <row r="490" spans="1:1" x14ac:dyDescent="0.2">
      <c r="A490" s="52"/>
    </row>
    <row r="491" spans="1:1" x14ac:dyDescent="0.2">
      <c r="A491" s="52"/>
    </row>
    <row r="492" spans="1:1" x14ac:dyDescent="0.2">
      <c r="A492" s="52"/>
    </row>
    <row r="493" spans="1:1" x14ac:dyDescent="0.2">
      <c r="A493" s="53"/>
    </row>
    <row r="494" spans="1:1" x14ac:dyDescent="0.2">
      <c r="A494" s="52"/>
    </row>
    <row r="495" spans="1:1" x14ac:dyDescent="0.2">
      <c r="A495" s="52"/>
    </row>
    <row r="496" spans="1:1" x14ac:dyDescent="0.2">
      <c r="A496" s="52"/>
    </row>
    <row r="497" spans="1:1" x14ac:dyDescent="0.2">
      <c r="A497" s="52"/>
    </row>
    <row r="498" spans="1:1" x14ac:dyDescent="0.2">
      <c r="A498" s="52"/>
    </row>
    <row r="499" spans="1:1" x14ac:dyDescent="0.2">
      <c r="A499" s="53"/>
    </row>
    <row r="500" spans="1:1" x14ac:dyDescent="0.2">
      <c r="A500" s="52"/>
    </row>
    <row r="501" spans="1:1" x14ac:dyDescent="0.2">
      <c r="A501" s="52"/>
    </row>
    <row r="502" spans="1:1" x14ac:dyDescent="0.2">
      <c r="A502" s="52"/>
    </row>
    <row r="503" spans="1:1" x14ac:dyDescent="0.2">
      <c r="A503" s="52"/>
    </row>
    <row r="504" spans="1:1" x14ac:dyDescent="0.2">
      <c r="A504" s="52"/>
    </row>
    <row r="505" spans="1:1" x14ac:dyDescent="0.2">
      <c r="A505" s="52"/>
    </row>
    <row r="506" spans="1:1" x14ac:dyDescent="0.2">
      <c r="A506" s="52"/>
    </row>
    <row r="507" spans="1:1" x14ac:dyDescent="0.2">
      <c r="A507" s="52"/>
    </row>
    <row r="508" spans="1:1" x14ac:dyDescent="0.2">
      <c r="A508" s="53"/>
    </row>
    <row r="509" spans="1:1" x14ac:dyDescent="0.2">
      <c r="A509" s="52"/>
    </row>
    <row r="510" spans="1:1" x14ac:dyDescent="0.2">
      <c r="A510" s="52"/>
    </row>
    <row r="511" spans="1:1" x14ac:dyDescent="0.2">
      <c r="A511" s="52"/>
    </row>
    <row r="512" spans="1:1" x14ac:dyDescent="0.2">
      <c r="A512" s="52"/>
    </row>
    <row r="513" spans="1:1" x14ac:dyDescent="0.2">
      <c r="A513" s="52"/>
    </row>
    <row r="514" spans="1:1" x14ac:dyDescent="0.2">
      <c r="A514" s="52"/>
    </row>
    <row r="515" spans="1:1" x14ac:dyDescent="0.2">
      <c r="A515" s="52"/>
    </row>
    <row r="516" spans="1:1" x14ac:dyDescent="0.2">
      <c r="A516" s="52"/>
    </row>
    <row r="517" spans="1:1" x14ac:dyDescent="0.2">
      <c r="A517" s="52"/>
    </row>
    <row r="518" spans="1:1" x14ac:dyDescent="0.2">
      <c r="A518" s="52"/>
    </row>
    <row r="519" spans="1:1" x14ac:dyDescent="0.2">
      <c r="A519" s="52"/>
    </row>
    <row r="520" spans="1:1" x14ac:dyDescent="0.2">
      <c r="A520" s="52"/>
    </row>
    <row r="521" spans="1:1" x14ac:dyDescent="0.2">
      <c r="A521" s="52"/>
    </row>
    <row r="522" spans="1:1" x14ac:dyDescent="0.2">
      <c r="A522" s="52"/>
    </row>
    <row r="523" spans="1:1" x14ac:dyDescent="0.2">
      <c r="A523" s="52"/>
    </row>
    <row r="524" spans="1:1" x14ac:dyDescent="0.2">
      <c r="A524" s="52"/>
    </row>
    <row r="525" spans="1:1" x14ac:dyDescent="0.2">
      <c r="A525" s="52"/>
    </row>
    <row r="526" spans="1:1" x14ac:dyDescent="0.2">
      <c r="A526" s="52"/>
    </row>
    <row r="527" spans="1:1" x14ac:dyDescent="0.2">
      <c r="A527" s="52"/>
    </row>
    <row r="528" spans="1:1" x14ac:dyDescent="0.2">
      <c r="A528" s="53"/>
    </row>
    <row r="529" spans="1:1" x14ac:dyDescent="0.2">
      <c r="A529" s="52"/>
    </row>
    <row r="530" spans="1:1" x14ac:dyDescent="0.2">
      <c r="A530" s="52"/>
    </row>
    <row r="531" spans="1:1" x14ac:dyDescent="0.2">
      <c r="A531" s="52"/>
    </row>
    <row r="532" spans="1:1" x14ac:dyDescent="0.2">
      <c r="A532" s="52"/>
    </row>
    <row r="533" spans="1:1" x14ac:dyDescent="0.2">
      <c r="A533" s="52"/>
    </row>
    <row r="534" spans="1:1" x14ac:dyDescent="0.2">
      <c r="A534" s="52"/>
    </row>
    <row r="535" spans="1:1" x14ac:dyDescent="0.2">
      <c r="A535" s="52"/>
    </row>
    <row r="536" spans="1:1" x14ac:dyDescent="0.2">
      <c r="A536" s="52"/>
    </row>
    <row r="537" spans="1:1" x14ac:dyDescent="0.2">
      <c r="A537" s="52"/>
    </row>
    <row r="538" spans="1:1" x14ac:dyDescent="0.2">
      <c r="A538" s="53"/>
    </row>
    <row r="539" spans="1:1" x14ac:dyDescent="0.2">
      <c r="A539" s="52"/>
    </row>
    <row r="540" spans="1:1" x14ac:dyDescent="0.2">
      <c r="A540" s="52"/>
    </row>
    <row r="541" spans="1:1" x14ac:dyDescent="0.2">
      <c r="A541" s="52"/>
    </row>
    <row r="542" spans="1:1" x14ac:dyDescent="0.2">
      <c r="A542" s="53"/>
    </row>
    <row r="543" spans="1:1" x14ac:dyDescent="0.2">
      <c r="A543" s="52"/>
    </row>
    <row r="544" spans="1:1" x14ac:dyDescent="0.2">
      <c r="A544" s="52"/>
    </row>
    <row r="545" spans="1:1" x14ac:dyDescent="0.2">
      <c r="A545" s="52"/>
    </row>
    <row r="546" spans="1:1" x14ac:dyDescent="0.2">
      <c r="A546" s="52"/>
    </row>
    <row r="547" spans="1:1" x14ac:dyDescent="0.2">
      <c r="A547" s="52"/>
    </row>
    <row r="548" spans="1:1" x14ac:dyDescent="0.2">
      <c r="A548" s="52"/>
    </row>
    <row r="549" spans="1:1" x14ac:dyDescent="0.2">
      <c r="A549" s="52"/>
    </row>
    <row r="550" spans="1:1" x14ac:dyDescent="0.2">
      <c r="A550" s="52"/>
    </row>
    <row r="551" spans="1:1" x14ac:dyDescent="0.2">
      <c r="A551" s="52"/>
    </row>
    <row r="552" spans="1:1" x14ac:dyDescent="0.2">
      <c r="A552" s="52"/>
    </row>
    <row r="553" spans="1:1" x14ac:dyDescent="0.2">
      <c r="A553" s="52"/>
    </row>
    <row r="554" spans="1:1" x14ac:dyDescent="0.2">
      <c r="A554" s="52"/>
    </row>
    <row r="555" spans="1:1" x14ac:dyDescent="0.2">
      <c r="A555" s="52"/>
    </row>
    <row r="556" spans="1:1" x14ac:dyDescent="0.2">
      <c r="A556" s="52"/>
    </row>
    <row r="557" spans="1:1" x14ac:dyDescent="0.2">
      <c r="A557" s="52"/>
    </row>
    <row r="558" spans="1:1" x14ac:dyDescent="0.2">
      <c r="A558" s="52"/>
    </row>
    <row r="559" spans="1:1" x14ac:dyDescent="0.2">
      <c r="A559" s="52"/>
    </row>
    <row r="560" spans="1:1" x14ac:dyDescent="0.2">
      <c r="A560" s="52"/>
    </row>
    <row r="561" spans="1:1" x14ac:dyDescent="0.2">
      <c r="A561" s="52"/>
    </row>
    <row r="562" spans="1:1" x14ac:dyDescent="0.2">
      <c r="A562" s="52"/>
    </row>
    <row r="563" spans="1:1" x14ac:dyDescent="0.2">
      <c r="A563" s="52"/>
    </row>
    <row r="564" spans="1:1" x14ac:dyDescent="0.2">
      <c r="A564" s="52"/>
    </row>
    <row r="565" spans="1:1" x14ac:dyDescent="0.2">
      <c r="A565" s="52"/>
    </row>
    <row r="566" spans="1:1" x14ac:dyDescent="0.2">
      <c r="A566" s="53"/>
    </row>
    <row r="567" spans="1:1" x14ac:dyDescent="0.2">
      <c r="A567" s="52"/>
    </row>
    <row r="568" spans="1:1" x14ac:dyDescent="0.2">
      <c r="A568" s="52"/>
    </row>
    <row r="569" spans="1:1" x14ac:dyDescent="0.2">
      <c r="A569" s="52"/>
    </row>
    <row r="570" spans="1:1" x14ac:dyDescent="0.2">
      <c r="A570" s="52"/>
    </row>
    <row r="571" spans="1:1" x14ac:dyDescent="0.2">
      <c r="A571" s="52"/>
    </row>
    <row r="572" spans="1:1" x14ac:dyDescent="0.2">
      <c r="A572" s="52"/>
    </row>
    <row r="573" spans="1:1" x14ac:dyDescent="0.2">
      <c r="A573" s="52"/>
    </row>
    <row r="574" spans="1:1" x14ac:dyDescent="0.2">
      <c r="A574" s="52"/>
    </row>
    <row r="575" spans="1:1" x14ac:dyDescent="0.2">
      <c r="A575" s="52"/>
    </row>
    <row r="576" spans="1:1" x14ac:dyDescent="0.2">
      <c r="A576" s="52"/>
    </row>
    <row r="577" spans="1:1" x14ac:dyDescent="0.2">
      <c r="A577" s="52"/>
    </row>
    <row r="578" spans="1:1" x14ac:dyDescent="0.2">
      <c r="A578" s="52"/>
    </row>
    <row r="579" spans="1:1" x14ac:dyDescent="0.2">
      <c r="A579" s="52"/>
    </row>
    <row r="580" spans="1:1" x14ac:dyDescent="0.2">
      <c r="A580" s="52"/>
    </row>
    <row r="581" spans="1:1" x14ac:dyDescent="0.2">
      <c r="A581" s="52"/>
    </row>
    <row r="582" spans="1:1" x14ac:dyDescent="0.2">
      <c r="A582" s="52"/>
    </row>
    <row r="583" spans="1:1" x14ac:dyDescent="0.2">
      <c r="A583" s="52"/>
    </row>
    <row r="584" spans="1:1" x14ac:dyDescent="0.2">
      <c r="A584" s="52"/>
    </row>
    <row r="585" spans="1:1" x14ac:dyDescent="0.2">
      <c r="A585" s="52"/>
    </row>
    <row r="586" spans="1:1" x14ac:dyDescent="0.2">
      <c r="A586" s="52"/>
    </row>
    <row r="587" spans="1:1" x14ac:dyDescent="0.2">
      <c r="A587" s="52"/>
    </row>
    <row r="588" spans="1:1" x14ac:dyDescent="0.2">
      <c r="A588" s="52"/>
    </row>
    <row r="589" spans="1:1" x14ac:dyDescent="0.2">
      <c r="A589" s="52"/>
    </row>
    <row r="590" spans="1:1" x14ac:dyDescent="0.2">
      <c r="A590" s="52"/>
    </row>
    <row r="591" spans="1:1" x14ac:dyDescent="0.2">
      <c r="A591" s="52"/>
    </row>
    <row r="592" spans="1:1" x14ac:dyDescent="0.2">
      <c r="A592" s="53"/>
    </row>
    <row r="593" spans="1:1" x14ac:dyDescent="0.2">
      <c r="A593" s="52"/>
    </row>
    <row r="594" spans="1:1" x14ac:dyDescent="0.2">
      <c r="A594" s="53"/>
    </row>
    <row r="595" spans="1:1" x14ac:dyDescent="0.2">
      <c r="A595" s="52"/>
    </row>
    <row r="596" spans="1:1" x14ac:dyDescent="0.2">
      <c r="A596" s="52"/>
    </row>
    <row r="597" spans="1:1" x14ac:dyDescent="0.2">
      <c r="A597" s="52"/>
    </row>
    <row r="598" spans="1:1" x14ac:dyDescent="0.2">
      <c r="A598" s="52"/>
    </row>
    <row r="599" spans="1:1" x14ac:dyDescent="0.2">
      <c r="A599" s="52"/>
    </row>
    <row r="600" spans="1:1" x14ac:dyDescent="0.2">
      <c r="A600" s="53"/>
    </row>
    <row r="601" spans="1:1" x14ac:dyDescent="0.2">
      <c r="A601" s="52"/>
    </row>
    <row r="602" spans="1:1" x14ac:dyDescent="0.2">
      <c r="A602" s="52"/>
    </row>
    <row r="603" spans="1:1" x14ac:dyDescent="0.2">
      <c r="A603" s="52"/>
    </row>
    <row r="604" spans="1:1" x14ac:dyDescent="0.2">
      <c r="A604" s="52"/>
    </row>
    <row r="605" spans="1:1" x14ac:dyDescent="0.2">
      <c r="A605" s="52"/>
    </row>
    <row r="606" spans="1:1" x14ac:dyDescent="0.2">
      <c r="A606" s="52"/>
    </row>
    <row r="607" spans="1:1" x14ac:dyDescent="0.2">
      <c r="A607" s="52"/>
    </row>
    <row r="608" spans="1:1" x14ac:dyDescent="0.2">
      <c r="A608" s="52"/>
    </row>
    <row r="609" spans="1:1" x14ac:dyDescent="0.2">
      <c r="A609" s="52"/>
    </row>
    <row r="610" spans="1:1" x14ac:dyDescent="0.2">
      <c r="A610" s="52"/>
    </row>
    <row r="611" spans="1:1" x14ac:dyDescent="0.2">
      <c r="A611" s="52"/>
    </row>
    <row r="612" spans="1:1" x14ac:dyDescent="0.2">
      <c r="A612" s="53"/>
    </row>
    <row r="613" spans="1:1" x14ac:dyDescent="0.2">
      <c r="A613" s="52"/>
    </row>
    <row r="614" spans="1:1" x14ac:dyDescent="0.2">
      <c r="A614" s="52"/>
    </row>
    <row r="615" spans="1:1" x14ac:dyDescent="0.2">
      <c r="A615" s="53"/>
    </row>
    <row r="616" spans="1:1" x14ac:dyDescent="0.2">
      <c r="A616" s="52"/>
    </row>
    <row r="617" spans="1:1" x14ac:dyDescent="0.2">
      <c r="A617" s="52"/>
    </row>
    <row r="618" spans="1:1" x14ac:dyDescent="0.2">
      <c r="A618" s="52"/>
    </row>
    <row r="619" spans="1:1" x14ac:dyDescent="0.2">
      <c r="A619" s="52"/>
    </row>
    <row r="620" spans="1:1" x14ac:dyDescent="0.2">
      <c r="A620" s="52"/>
    </row>
    <row r="621" spans="1:1" x14ac:dyDescent="0.2">
      <c r="A621" s="52"/>
    </row>
    <row r="622" spans="1:1" x14ac:dyDescent="0.2">
      <c r="A622" s="52"/>
    </row>
    <row r="623" spans="1:1" x14ac:dyDescent="0.2">
      <c r="A623" s="52"/>
    </row>
    <row r="624" spans="1:1" x14ac:dyDescent="0.2">
      <c r="A624" s="52"/>
    </row>
    <row r="625" spans="1:1" x14ac:dyDescent="0.2">
      <c r="A625" s="52"/>
    </row>
    <row r="626" spans="1:1" x14ac:dyDescent="0.2">
      <c r="A626" s="52"/>
    </row>
    <row r="627" spans="1:1" x14ac:dyDescent="0.2">
      <c r="A627" s="52"/>
    </row>
    <row r="628" spans="1:1" x14ac:dyDescent="0.2">
      <c r="A628" s="52"/>
    </row>
    <row r="629" spans="1:1" x14ac:dyDescent="0.2">
      <c r="A629" s="52"/>
    </row>
    <row r="630" spans="1:1" x14ac:dyDescent="0.2">
      <c r="A630" s="52"/>
    </row>
    <row r="631" spans="1:1" x14ac:dyDescent="0.2">
      <c r="A631" s="52"/>
    </row>
    <row r="632" spans="1:1" x14ac:dyDescent="0.2">
      <c r="A632" s="52"/>
    </row>
    <row r="633" spans="1:1" x14ac:dyDescent="0.2">
      <c r="A633" s="52"/>
    </row>
    <row r="634" spans="1:1" x14ac:dyDescent="0.2">
      <c r="A634" s="52"/>
    </row>
    <row r="635" spans="1:1" x14ac:dyDescent="0.2">
      <c r="A635" s="52"/>
    </row>
    <row r="636" spans="1:1" x14ac:dyDescent="0.2">
      <c r="A636" s="52"/>
    </row>
    <row r="637" spans="1:1" x14ac:dyDescent="0.2">
      <c r="A637" s="52"/>
    </row>
    <row r="638" spans="1:1" x14ac:dyDescent="0.2">
      <c r="A638" s="52"/>
    </row>
    <row r="639" spans="1:1" x14ac:dyDescent="0.2">
      <c r="A639" s="53"/>
    </row>
    <row r="640" spans="1:1" x14ac:dyDescent="0.2">
      <c r="A640" s="52"/>
    </row>
    <row r="641" spans="1:1" x14ac:dyDescent="0.2">
      <c r="A641" s="52"/>
    </row>
    <row r="642" spans="1:1" x14ac:dyDescent="0.2">
      <c r="A642" s="52"/>
    </row>
    <row r="643" spans="1:1" x14ac:dyDescent="0.2">
      <c r="A643" s="52"/>
    </row>
    <row r="644" spans="1:1" x14ac:dyDescent="0.2">
      <c r="A644" s="52"/>
    </row>
    <row r="645" spans="1:1" x14ac:dyDescent="0.2">
      <c r="A645" s="52"/>
    </row>
    <row r="646" spans="1:1" x14ac:dyDescent="0.2">
      <c r="A646" s="52"/>
    </row>
    <row r="647" spans="1:1" x14ac:dyDescent="0.2">
      <c r="A647" s="52"/>
    </row>
    <row r="648" spans="1:1" x14ac:dyDescent="0.2">
      <c r="A648" s="52"/>
    </row>
    <row r="649" spans="1:1" x14ac:dyDescent="0.2">
      <c r="A649" s="52"/>
    </row>
    <row r="650" spans="1:1" x14ac:dyDescent="0.2">
      <c r="A650" s="52"/>
    </row>
    <row r="651" spans="1:1" x14ac:dyDescent="0.2">
      <c r="A651" s="52"/>
    </row>
    <row r="652" spans="1:1" x14ac:dyDescent="0.2">
      <c r="A652" s="52"/>
    </row>
    <row r="653" spans="1:1" x14ac:dyDescent="0.2">
      <c r="A653" s="52"/>
    </row>
    <row r="654" spans="1:1" x14ac:dyDescent="0.2">
      <c r="A654" s="52"/>
    </row>
    <row r="655" spans="1:1" x14ac:dyDescent="0.2">
      <c r="A655" s="53"/>
    </row>
    <row r="656" spans="1:1" x14ac:dyDescent="0.2">
      <c r="A656" s="52"/>
    </row>
    <row r="657" spans="1:1" x14ac:dyDescent="0.2">
      <c r="A657" s="52"/>
    </row>
    <row r="658" spans="1:1" x14ac:dyDescent="0.2">
      <c r="A658" s="52"/>
    </row>
    <row r="659" spans="1:1" x14ac:dyDescent="0.2">
      <c r="A659" s="52"/>
    </row>
    <row r="660" spans="1:1" x14ac:dyDescent="0.2">
      <c r="A660" s="52"/>
    </row>
    <row r="661" spans="1:1" x14ac:dyDescent="0.2">
      <c r="A661" s="52"/>
    </row>
    <row r="662" spans="1:1" x14ac:dyDescent="0.2">
      <c r="A662" s="52"/>
    </row>
    <row r="663" spans="1:1" x14ac:dyDescent="0.2">
      <c r="A663" s="52"/>
    </row>
    <row r="664" spans="1:1" x14ac:dyDescent="0.2">
      <c r="A664" s="52"/>
    </row>
    <row r="665" spans="1:1" x14ac:dyDescent="0.2">
      <c r="A665" s="52"/>
    </row>
    <row r="666" spans="1:1" x14ac:dyDescent="0.2">
      <c r="A666" s="53"/>
    </row>
    <row r="667" spans="1:1" x14ac:dyDescent="0.2">
      <c r="A667" s="52"/>
    </row>
    <row r="668" spans="1:1" x14ac:dyDescent="0.2">
      <c r="A668" s="52"/>
    </row>
    <row r="669" spans="1:1" x14ac:dyDescent="0.2">
      <c r="A669" s="52"/>
    </row>
    <row r="670" spans="1:1" x14ac:dyDescent="0.2">
      <c r="A670" s="52"/>
    </row>
    <row r="671" spans="1:1" x14ac:dyDescent="0.2">
      <c r="A671" s="52"/>
    </row>
    <row r="672" spans="1:1" x14ac:dyDescent="0.2">
      <c r="A672" s="52"/>
    </row>
    <row r="673" spans="1:1" x14ac:dyDescent="0.2">
      <c r="A673" s="52"/>
    </row>
    <row r="674" spans="1:1" x14ac:dyDescent="0.2">
      <c r="A674" s="52"/>
    </row>
    <row r="675" spans="1:1" x14ac:dyDescent="0.2">
      <c r="A675" s="52"/>
    </row>
    <row r="676" spans="1:1" x14ac:dyDescent="0.2">
      <c r="A676" s="52"/>
    </row>
    <row r="677" spans="1:1" x14ac:dyDescent="0.2">
      <c r="A677" s="52"/>
    </row>
    <row r="678" spans="1:1" x14ac:dyDescent="0.2">
      <c r="A678" s="52"/>
    </row>
    <row r="679" spans="1:1" x14ac:dyDescent="0.2">
      <c r="A679" s="53"/>
    </row>
    <row r="680" spans="1:1" x14ac:dyDescent="0.2">
      <c r="A680" s="52"/>
    </row>
    <row r="681" spans="1:1" x14ac:dyDescent="0.2">
      <c r="A681" s="52"/>
    </row>
    <row r="682" spans="1:1" x14ac:dyDescent="0.2">
      <c r="A682" s="53"/>
    </row>
    <row r="683" spans="1:1" x14ac:dyDescent="0.2">
      <c r="A683" s="52"/>
    </row>
    <row r="684" spans="1:1" x14ac:dyDescent="0.2">
      <c r="A684" s="52"/>
    </row>
    <row r="685" spans="1:1" x14ac:dyDescent="0.2">
      <c r="A685" s="52"/>
    </row>
    <row r="686" spans="1:1" x14ac:dyDescent="0.2">
      <c r="A686" s="52"/>
    </row>
    <row r="687" spans="1:1" x14ac:dyDescent="0.2">
      <c r="A687" s="52"/>
    </row>
    <row r="688" spans="1:1" x14ac:dyDescent="0.2">
      <c r="A688" s="52"/>
    </row>
    <row r="689" spans="1:1" x14ac:dyDescent="0.2">
      <c r="A689" s="52"/>
    </row>
    <row r="690" spans="1:1" x14ac:dyDescent="0.2">
      <c r="A690" s="52"/>
    </row>
    <row r="691" spans="1:1" x14ac:dyDescent="0.2">
      <c r="A691" s="52"/>
    </row>
    <row r="692" spans="1:1" x14ac:dyDescent="0.2">
      <c r="A692" s="52"/>
    </row>
    <row r="693" spans="1:1" x14ac:dyDescent="0.2">
      <c r="A693" s="52"/>
    </row>
    <row r="694" spans="1:1" x14ac:dyDescent="0.2">
      <c r="A694" s="52"/>
    </row>
    <row r="695" spans="1:1" x14ac:dyDescent="0.2">
      <c r="A695" s="52"/>
    </row>
    <row r="696" spans="1:1" x14ac:dyDescent="0.2">
      <c r="A696" s="52"/>
    </row>
    <row r="697" spans="1:1" x14ac:dyDescent="0.2">
      <c r="A697" s="52"/>
    </row>
    <row r="698" spans="1:1" x14ac:dyDescent="0.2">
      <c r="A698" s="52"/>
    </row>
    <row r="699" spans="1:1" x14ac:dyDescent="0.2">
      <c r="A699" s="52"/>
    </row>
    <row r="700" spans="1:1" x14ac:dyDescent="0.2">
      <c r="A700" s="52"/>
    </row>
    <row r="701" spans="1:1" x14ac:dyDescent="0.2">
      <c r="A701" s="52"/>
    </row>
    <row r="702" spans="1:1" x14ac:dyDescent="0.2">
      <c r="A702" s="52"/>
    </row>
    <row r="703" spans="1:1" x14ac:dyDescent="0.2">
      <c r="A703" s="52"/>
    </row>
    <row r="704" spans="1:1" x14ac:dyDescent="0.2">
      <c r="A704" s="52"/>
    </row>
    <row r="705" spans="1:1" x14ac:dyDescent="0.2">
      <c r="A705" s="52"/>
    </row>
    <row r="706" spans="1:1" x14ac:dyDescent="0.2">
      <c r="A706" s="52"/>
    </row>
    <row r="707" spans="1:1" x14ac:dyDescent="0.2">
      <c r="A707" s="52"/>
    </row>
    <row r="708" spans="1:1" x14ac:dyDescent="0.2">
      <c r="A708" s="52"/>
    </row>
    <row r="709" spans="1:1" x14ac:dyDescent="0.2">
      <c r="A709" s="52"/>
    </row>
    <row r="710" spans="1:1" x14ac:dyDescent="0.2">
      <c r="A710" s="52"/>
    </row>
    <row r="711" spans="1:1" x14ac:dyDescent="0.2">
      <c r="A711" s="52"/>
    </row>
    <row r="712" spans="1:1" x14ac:dyDescent="0.2">
      <c r="A712" s="52"/>
    </row>
    <row r="713" spans="1:1" x14ac:dyDescent="0.2">
      <c r="A713" s="52"/>
    </row>
    <row r="714" spans="1:1" x14ac:dyDescent="0.2">
      <c r="A714" s="52"/>
    </row>
    <row r="715" spans="1:1" x14ac:dyDescent="0.2">
      <c r="A715" s="52"/>
    </row>
    <row r="716" spans="1:1" x14ac:dyDescent="0.2">
      <c r="A716" s="52"/>
    </row>
    <row r="717" spans="1:1" x14ac:dyDescent="0.2">
      <c r="A717" s="52"/>
    </row>
    <row r="718" spans="1:1" x14ac:dyDescent="0.2">
      <c r="A718" s="52"/>
    </row>
    <row r="719" spans="1:1" x14ac:dyDescent="0.2">
      <c r="A719" s="52"/>
    </row>
    <row r="720" spans="1:1" x14ac:dyDescent="0.2">
      <c r="A720" s="52"/>
    </row>
    <row r="721" spans="1:1" x14ac:dyDescent="0.2">
      <c r="A721" s="52"/>
    </row>
    <row r="722" spans="1:1" x14ac:dyDescent="0.2">
      <c r="A722" s="52"/>
    </row>
    <row r="723" spans="1:1" x14ac:dyDescent="0.2">
      <c r="A723" s="52"/>
    </row>
    <row r="724" spans="1:1" x14ac:dyDescent="0.2">
      <c r="A724" s="52"/>
    </row>
    <row r="725" spans="1:1" x14ac:dyDescent="0.2">
      <c r="A725" s="52"/>
    </row>
    <row r="726" spans="1:1" x14ac:dyDescent="0.2">
      <c r="A726" s="52"/>
    </row>
    <row r="727" spans="1:1" x14ac:dyDescent="0.2">
      <c r="A727" s="52"/>
    </row>
    <row r="728" spans="1:1" x14ac:dyDescent="0.2">
      <c r="A728" s="52"/>
    </row>
    <row r="729" spans="1:1" x14ac:dyDescent="0.2">
      <c r="A729" s="52"/>
    </row>
    <row r="730" spans="1:1" x14ac:dyDescent="0.2">
      <c r="A730" s="52"/>
    </row>
    <row r="731" spans="1:1" x14ac:dyDescent="0.2">
      <c r="A731" s="52"/>
    </row>
    <row r="732" spans="1:1" x14ac:dyDescent="0.2">
      <c r="A732" s="53"/>
    </row>
    <row r="733" spans="1:1" x14ac:dyDescent="0.2">
      <c r="A733" s="52"/>
    </row>
    <row r="734" spans="1:1" x14ac:dyDescent="0.2">
      <c r="A734" s="53"/>
    </row>
    <row r="735" spans="1:1" x14ac:dyDescent="0.2">
      <c r="A735" s="52"/>
    </row>
    <row r="736" spans="1:1" x14ac:dyDescent="0.2">
      <c r="A736" s="52"/>
    </row>
    <row r="737" spans="1:1" x14ac:dyDescent="0.2">
      <c r="A737" s="52"/>
    </row>
    <row r="738" spans="1:1" x14ac:dyDescent="0.2">
      <c r="A738" s="52"/>
    </row>
    <row r="739" spans="1:1" x14ac:dyDescent="0.2">
      <c r="A739" s="52"/>
    </row>
    <row r="740" spans="1:1" x14ac:dyDescent="0.2">
      <c r="A740" s="52"/>
    </row>
    <row r="741" spans="1:1" x14ac:dyDescent="0.2">
      <c r="A741" s="53"/>
    </row>
    <row r="742" spans="1:1" x14ac:dyDescent="0.2">
      <c r="A742" s="52"/>
    </row>
    <row r="743" spans="1:1" x14ac:dyDescent="0.2">
      <c r="A743" s="52"/>
    </row>
    <row r="744" spans="1:1" x14ac:dyDescent="0.2">
      <c r="A744" s="52"/>
    </row>
    <row r="745" spans="1:1" x14ac:dyDescent="0.2">
      <c r="A745" s="52"/>
    </row>
    <row r="746" spans="1:1" x14ac:dyDescent="0.2">
      <c r="A746" s="52"/>
    </row>
    <row r="747" spans="1:1" x14ac:dyDescent="0.2">
      <c r="A747" s="52"/>
    </row>
    <row r="748" spans="1:1" x14ac:dyDescent="0.2">
      <c r="A748" s="52"/>
    </row>
    <row r="749" spans="1:1" x14ac:dyDescent="0.2">
      <c r="A749" s="52"/>
    </row>
    <row r="750" spans="1:1" x14ac:dyDescent="0.2">
      <c r="A750" s="52"/>
    </row>
    <row r="751" spans="1:1" x14ac:dyDescent="0.2">
      <c r="A751" s="52"/>
    </row>
    <row r="752" spans="1:1" x14ac:dyDescent="0.2">
      <c r="A752" s="52"/>
    </row>
    <row r="753" spans="1:1" x14ac:dyDescent="0.2">
      <c r="A753" s="52"/>
    </row>
    <row r="754" spans="1:1" x14ac:dyDescent="0.2">
      <c r="A754" s="52"/>
    </row>
    <row r="755" spans="1:1" x14ac:dyDescent="0.2">
      <c r="A755" s="52"/>
    </row>
    <row r="756" spans="1:1" x14ac:dyDescent="0.2">
      <c r="A756" s="52"/>
    </row>
    <row r="757" spans="1:1" x14ac:dyDescent="0.2">
      <c r="A757" s="52"/>
    </row>
    <row r="758" spans="1:1" x14ac:dyDescent="0.2">
      <c r="A758" s="52"/>
    </row>
    <row r="759" spans="1:1" x14ac:dyDescent="0.2">
      <c r="A759" s="52"/>
    </row>
    <row r="760" spans="1:1" x14ac:dyDescent="0.2">
      <c r="A760" s="52"/>
    </row>
    <row r="761" spans="1:1" x14ac:dyDescent="0.2">
      <c r="A761" s="52"/>
    </row>
    <row r="762" spans="1:1" x14ac:dyDescent="0.2">
      <c r="A762" s="52"/>
    </row>
    <row r="763" spans="1:1" x14ac:dyDescent="0.2">
      <c r="A763" s="52"/>
    </row>
    <row r="764" spans="1:1" x14ac:dyDescent="0.2">
      <c r="A764" s="52"/>
    </row>
    <row r="765" spans="1:1" x14ac:dyDescent="0.2">
      <c r="A765" s="52"/>
    </row>
    <row r="766" spans="1:1" x14ac:dyDescent="0.2">
      <c r="A766" s="52"/>
    </row>
    <row r="767" spans="1:1" x14ac:dyDescent="0.2">
      <c r="A767" s="52"/>
    </row>
    <row r="768" spans="1:1" x14ac:dyDescent="0.2">
      <c r="A768" s="52"/>
    </row>
    <row r="769" spans="1:1" x14ac:dyDescent="0.2">
      <c r="A769" s="52"/>
    </row>
    <row r="770" spans="1:1" x14ac:dyDescent="0.2">
      <c r="A770" s="52"/>
    </row>
    <row r="771" spans="1:1" x14ac:dyDescent="0.2">
      <c r="A771" s="52"/>
    </row>
    <row r="772" spans="1:1" x14ac:dyDescent="0.2">
      <c r="A772" s="52"/>
    </row>
    <row r="773" spans="1:1" x14ac:dyDescent="0.2">
      <c r="A773" s="52"/>
    </row>
    <row r="774" spans="1:1" x14ac:dyDescent="0.2">
      <c r="A774" s="52"/>
    </row>
    <row r="775" spans="1:1" x14ac:dyDescent="0.2">
      <c r="A775" s="52"/>
    </row>
    <row r="776" spans="1:1" x14ac:dyDescent="0.2">
      <c r="A776" s="52"/>
    </row>
    <row r="777" spans="1:1" x14ac:dyDescent="0.2">
      <c r="A777" s="52"/>
    </row>
    <row r="778" spans="1:1" x14ac:dyDescent="0.2">
      <c r="A778" s="52"/>
    </row>
    <row r="779" spans="1:1" x14ac:dyDescent="0.2">
      <c r="A779" s="52"/>
    </row>
    <row r="780" spans="1:1" x14ac:dyDescent="0.2">
      <c r="A780" s="52"/>
    </row>
    <row r="781" spans="1:1" x14ac:dyDescent="0.2">
      <c r="A781" s="53"/>
    </row>
    <row r="782" spans="1:1" x14ac:dyDescent="0.2">
      <c r="A782" s="52"/>
    </row>
    <row r="783" spans="1:1" x14ac:dyDescent="0.2">
      <c r="A783" s="52"/>
    </row>
    <row r="784" spans="1:1" x14ac:dyDescent="0.2">
      <c r="A784" s="52"/>
    </row>
    <row r="785" spans="1:1" x14ac:dyDescent="0.2">
      <c r="A785" s="53"/>
    </row>
    <row r="786" spans="1:1" x14ac:dyDescent="0.2">
      <c r="A786" s="53"/>
    </row>
    <row r="787" spans="1:1" x14ac:dyDescent="0.2">
      <c r="A787" s="52"/>
    </row>
    <row r="788" spans="1:1" x14ac:dyDescent="0.2">
      <c r="A788" s="53"/>
    </row>
    <row r="789" spans="1:1" x14ac:dyDescent="0.2">
      <c r="A789" s="52"/>
    </row>
    <row r="790" spans="1:1" x14ac:dyDescent="0.2">
      <c r="A790" s="52"/>
    </row>
    <row r="791" spans="1:1" x14ac:dyDescent="0.2">
      <c r="A791" s="53"/>
    </row>
    <row r="792" spans="1:1" x14ac:dyDescent="0.2">
      <c r="A792" s="52"/>
    </row>
    <row r="793" spans="1:1" x14ac:dyDescent="0.2">
      <c r="A793" s="52"/>
    </row>
    <row r="794" spans="1:1" x14ac:dyDescent="0.2">
      <c r="A794" s="52"/>
    </row>
    <row r="795" spans="1:1" x14ac:dyDescent="0.2">
      <c r="A795" s="52"/>
    </row>
    <row r="796" spans="1:1" x14ac:dyDescent="0.2">
      <c r="A796" s="52"/>
    </row>
    <row r="797" spans="1:1" x14ac:dyDescent="0.2">
      <c r="A797" s="52"/>
    </row>
    <row r="798" spans="1:1" x14ac:dyDescent="0.2">
      <c r="A798" s="52"/>
    </row>
    <row r="799" spans="1:1" x14ac:dyDescent="0.2">
      <c r="A799" s="52"/>
    </row>
    <row r="800" spans="1:1" x14ac:dyDescent="0.2">
      <c r="A800" s="52"/>
    </row>
    <row r="801" spans="1:1" x14ac:dyDescent="0.2">
      <c r="A801" s="53"/>
    </row>
    <row r="802" spans="1:1" x14ac:dyDescent="0.2">
      <c r="A802" s="52"/>
    </row>
    <row r="803" spans="1:1" x14ac:dyDescent="0.2">
      <c r="A803" s="52"/>
    </row>
    <row r="804" spans="1:1" x14ac:dyDescent="0.2">
      <c r="A804" s="52"/>
    </row>
    <row r="805" spans="1:1" x14ac:dyDescent="0.2">
      <c r="A805" s="52"/>
    </row>
    <row r="806" spans="1:1" x14ac:dyDescent="0.2">
      <c r="A806" s="52"/>
    </row>
    <row r="807" spans="1:1" x14ac:dyDescent="0.2">
      <c r="A807" s="53"/>
    </row>
    <row r="808" spans="1:1" x14ac:dyDescent="0.2">
      <c r="A808" s="52"/>
    </row>
    <row r="809" spans="1:1" x14ac:dyDescent="0.2">
      <c r="A809" s="52"/>
    </row>
    <row r="810" spans="1:1" x14ac:dyDescent="0.2">
      <c r="A810" s="52"/>
    </row>
    <row r="811" spans="1:1" x14ac:dyDescent="0.2">
      <c r="A811" s="53"/>
    </row>
    <row r="812" spans="1:1" x14ac:dyDescent="0.2">
      <c r="A812" s="52"/>
    </row>
    <row r="813" spans="1:1" x14ac:dyDescent="0.2">
      <c r="A813" s="52"/>
    </row>
    <row r="814" spans="1:1" x14ac:dyDescent="0.2">
      <c r="A814" s="52"/>
    </row>
    <row r="815" spans="1:1" x14ac:dyDescent="0.2">
      <c r="A815" s="52"/>
    </row>
    <row r="816" spans="1:1" x14ac:dyDescent="0.2">
      <c r="A816" s="52"/>
    </row>
    <row r="817" spans="1:1" x14ac:dyDescent="0.2">
      <c r="A817" s="52"/>
    </row>
    <row r="818" spans="1:1" x14ac:dyDescent="0.2">
      <c r="A818" s="52"/>
    </row>
    <row r="819" spans="1:1" x14ac:dyDescent="0.2">
      <c r="A819" s="52"/>
    </row>
    <row r="820" spans="1:1" x14ac:dyDescent="0.2">
      <c r="A820" s="52"/>
    </row>
    <row r="821" spans="1:1" x14ac:dyDescent="0.2">
      <c r="A821" s="52"/>
    </row>
    <row r="822" spans="1:1" x14ac:dyDescent="0.2">
      <c r="A822" s="52"/>
    </row>
    <row r="823" spans="1:1" x14ac:dyDescent="0.2">
      <c r="A823" s="52"/>
    </row>
    <row r="824" spans="1:1" x14ac:dyDescent="0.2">
      <c r="A824" s="52"/>
    </row>
    <row r="825" spans="1:1" x14ac:dyDescent="0.2">
      <c r="A825" s="52"/>
    </row>
    <row r="826" spans="1:1" x14ac:dyDescent="0.2">
      <c r="A826" s="52"/>
    </row>
    <row r="827" spans="1:1" x14ac:dyDescent="0.2">
      <c r="A827" s="52"/>
    </row>
    <row r="828" spans="1:1" x14ac:dyDescent="0.2">
      <c r="A828" s="52"/>
    </row>
    <row r="829" spans="1:1" x14ac:dyDescent="0.2">
      <c r="A829" s="52"/>
    </row>
    <row r="830" spans="1:1" x14ac:dyDescent="0.2">
      <c r="A830" s="52"/>
    </row>
    <row r="831" spans="1:1" x14ac:dyDescent="0.2">
      <c r="A831" s="52"/>
    </row>
    <row r="832" spans="1:1" x14ac:dyDescent="0.2">
      <c r="A832" s="52"/>
    </row>
    <row r="833" spans="1:1" x14ac:dyDescent="0.2">
      <c r="A833" s="52"/>
    </row>
    <row r="834" spans="1:1" x14ac:dyDescent="0.2">
      <c r="A834" s="52"/>
    </row>
    <row r="835" spans="1:1" x14ac:dyDescent="0.2">
      <c r="A835" s="53"/>
    </row>
    <row r="836" spans="1:1" x14ac:dyDescent="0.2">
      <c r="A836" s="52"/>
    </row>
    <row r="837" spans="1:1" x14ac:dyDescent="0.2">
      <c r="A837" s="52"/>
    </row>
    <row r="838" spans="1:1" x14ac:dyDescent="0.2">
      <c r="A838" s="52"/>
    </row>
    <row r="839" spans="1:1" x14ac:dyDescent="0.2">
      <c r="A839" s="52"/>
    </row>
    <row r="840" spans="1:1" x14ac:dyDescent="0.2">
      <c r="A840" s="52"/>
    </row>
    <row r="841" spans="1:1" x14ac:dyDescent="0.2">
      <c r="A841" s="52"/>
    </row>
    <row r="842" spans="1:1" x14ac:dyDescent="0.2">
      <c r="A842" s="53"/>
    </row>
    <row r="843" spans="1:1" x14ac:dyDescent="0.2">
      <c r="A843" s="52"/>
    </row>
    <row r="844" spans="1:1" x14ac:dyDescent="0.2">
      <c r="A844" s="52"/>
    </row>
    <row r="845" spans="1:1" x14ac:dyDescent="0.2">
      <c r="A845" s="52"/>
    </row>
    <row r="846" spans="1:1" x14ac:dyDescent="0.2">
      <c r="A846" s="52"/>
    </row>
    <row r="847" spans="1:1" x14ac:dyDescent="0.2">
      <c r="A847" s="52"/>
    </row>
    <row r="848" spans="1:1" x14ac:dyDescent="0.2">
      <c r="A848" s="53"/>
    </row>
    <row r="849" spans="1:1" x14ac:dyDescent="0.2">
      <c r="A849" s="53"/>
    </row>
    <row r="850" spans="1:1" x14ac:dyDescent="0.2">
      <c r="A850" s="52"/>
    </row>
    <row r="851" spans="1:1" x14ac:dyDescent="0.2">
      <c r="A851" s="52"/>
    </row>
    <row r="852" spans="1:1" x14ac:dyDescent="0.2">
      <c r="A852" s="52"/>
    </row>
    <row r="853" spans="1:1" x14ac:dyDescent="0.2">
      <c r="A853" s="52"/>
    </row>
    <row r="854" spans="1:1" x14ac:dyDescent="0.2">
      <c r="A854" s="52"/>
    </row>
    <row r="855" spans="1:1" x14ac:dyDescent="0.2">
      <c r="A855" s="52"/>
    </row>
    <row r="856" spans="1:1" x14ac:dyDescent="0.2">
      <c r="A856" s="52"/>
    </row>
    <row r="857" spans="1:1" x14ac:dyDescent="0.2">
      <c r="A857" s="53"/>
    </row>
    <row r="858" spans="1:1" x14ac:dyDescent="0.2">
      <c r="A858" s="52"/>
    </row>
    <row r="859" spans="1:1" x14ac:dyDescent="0.2">
      <c r="A859" s="52"/>
    </row>
    <row r="860" spans="1:1" x14ac:dyDescent="0.2">
      <c r="A860" s="52"/>
    </row>
    <row r="861" spans="1:1" x14ac:dyDescent="0.2">
      <c r="A861" s="53"/>
    </row>
    <row r="862" spans="1:1" x14ac:dyDescent="0.2">
      <c r="A862" s="52"/>
    </row>
    <row r="863" spans="1:1" x14ac:dyDescent="0.2">
      <c r="A863" s="52"/>
    </row>
    <row r="864" spans="1:1" x14ac:dyDescent="0.2">
      <c r="A864" s="53"/>
    </row>
    <row r="865" spans="1:1" x14ac:dyDescent="0.2">
      <c r="A865" s="52"/>
    </row>
    <row r="866" spans="1:1" x14ac:dyDescent="0.2">
      <c r="A866" s="52"/>
    </row>
    <row r="867" spans="1:1" x14ac:dyDescent="0.2">
      <c r="A867" s="52"/>
    </row>
    <row r="868" spans="1:1" x14ac:dyDescent="0.2">
      <c r="A868" s="52"/>
    </row>
    <row r="869" spans="1:1" x14ac:dyDescent="0.2">
      <c r="A869" s="52"/>
    </row>
    <row r="870" spans="1:1" x14ac:dyDescent="0.2">
      <c r="A870" s="52"/>
    </row>
    <row r="871" spans="1:1" x14ac:dyDescent="0.2">
      <c r="A871" s="52"/>
    </row>
    <row r="872" spans="1:1" x14ac:dyDescent="0.2">
      <c r="A872" s="52"/>
    </row>
    <row r="873" spans="1:1" x14ac:dyDescent="0.2">
      <c r="A873" s="52"/>
    </row>
    <row r="874" spans="1:1" x14ac:dyDescent="0.2">
      <c r="A874" s="52"/>
    </row>
    <row r="875" spans="1:1" x14ac:dyDescent="0.2">
      <c r="A875" s="52"/>
    </row>
    <row r="876" spans="1:1" x14ac:dyDescent="0.2">
      <c r="A876" s="52"/>
    </row>
    <row r="877" spans="1:1" x14ac:dyDescent="0.2">
      <c r="A877" s="53"/>
    </row>
    <row r="878" spans="1:1" x14ac:dyDescent="0.2">
      <c r="A878" s="52"/>
    </row>
    <row r="879" spans="1:1" x14ac:dyDescent="0.2">
      <c r="A879" s="52"/>
    </row>
    <row r="880" spans="1:1" x14ac:dyDescent="0.2">
      <c r="A880" s="52"/>
    </row>
    <row r="881" spans="1:1" x14ac:dyDescent="0.2">
      <c r="A881" s="52"/>
    </row>
    <row r="882" spans="1:1" x14ac:dyDescent="0.2">
      <c r="A882" s="52"/>
    </row>
    <row r="883" spans="1:1" x14ac:dyDescent="0.2">
      <c r="A883" s="53"/>
    </row>
    <row r="884" spans="1:1" x14ac:dyDescent="0.2">
      <c r="A884" s="52"/>
    </row>
    <row r="885" spans="1:1" x14ac:dyDescent="0.2">
      <c r="A885" s="52"/>
    </row>
    <row r="886" spans="1:1" x14ac:dyDescent="0.2">
      <c r="A886" s="52"/>
    </row>
    <row r="887" spans="1:1" x14ac:dyDescent="0.2">
      <c r="A887" s="52"/>
    </row>
    <row r="888" spans="1:1" x14ac:dyDescent="0.2">
      <c r="A888" s="52"/>
    </row>
    <row r="889" spans="1:1" x14ac:dyDescent="0.2">
      <c r="A889" s="52"/>
    </row>
    <row r="890" spans="1:1" x14ac:dyDescent="0.2">
      <c r="A890" s="52"/>
    </row>
    <row r="891" spans="1:1" x14ac:dyDescent="0.2">
      <c r="A891" s="53"/>
    </row>
    <row r="892" spans="1:1" x14ac:dyDescent="0.2">
      <c r="A892" s="52"/>
    </row>
    <row r="893" spans="1:1" x14ac:dyDescent="0.2">
      <c r="A893" s="52"/>
    </row>
    <row r="894" spans="1:1" x14ac:dyDescent="0.2">
      <c r="A894" s="52"/>
    </row>
    <row r="895" spans="1:1" x14ac:dyDescent="0.2">
      <c r="A895" s="52"/>
    </row>
    <row r="896" spans="1:1" x14ac:dyDescent="0.2">
      <c r="A896" s="52"/>
    </row>
    <row r="897" spans="1:1" x14ac:dyDescent="0.2">
      <c r="A897" s="52"/>
    </row>
    <row r="898" spans="1:1" x14ac:dyDescent="0.2">
      <c r="A898" s="52"/>
    </row>
    <row r="899" spans="1:1" x14ac:dyDescent="0.2">
      <c r="A899" s="52"/>
    </row>
    <row r="900" spans="1:1" x14ac:dyDescent="0.2">
      <c r="A900" s="52"/>
    </row>
    <row r="901" spans="1:1" x14ac:dyDescent="0.2">
      <c r="A901" s="52"/>
    </row>
    <row r="902" spans="1:1" x14ac:dyDescent="0.2">
      <c r="A902" s="52"/>
    </row>
    <row r="903" spans="1:1" x14ac:dyDescent="0.2">
      <c r="A903" s="52"/>
    </row>
    <row r="904" spans="1:1" x14ac:dyDescent="0.2">
      <c r="A904" s="52"/>
    </row>
    <row r="905" spans="1:1" x14ac:dyDescent="0.2">
      <c r="A905" s="52"/>
    </row>
    <row r="906" spans="1:1" x14ac:dyDescent="0.2">
      <c r="A906" s="52"/>
    </row>
    <row r="907" spans="1:1" x14ac:dyDescent="0.2">
      <c r="A907" s="52"/>
    </row>
    <row r="908" spans="1:1" x14ac:dyDescent="0.2">
      <c r="A908" s="52"/>
    </row>
    <row r="909" spans="1:1" x14ac:dyDescent="0.2">
      <c r="A909" s="52"/>
    </row>
    <row r="910" spans="1:1" x14ac:dyDescent="0.2">
      <c r="A910" s="52"/>
    </row>
    <row r="911" spans="1:1" x14ac:dyDescent="0.2">
      <c r="A911" s="52"/>
    </row>
    <row r="912" spans="1:1" x14ac:dyDescent="0.2">
      <c r="A912" s="52"/>
    </row>
    <row r="913" spans="1:1" x14ac:dyDescent="0.2">
      <c r="A913" s="52"/>
    </row>
    <row r="914" spans="1:1" x14ac:dyDescent="0.2">
      <c r="A914" s="52"/>
    </row>
    <row r="915" spans="1:1" x14ac:dyDescent="0.2">
      <c r="A915" s="52"/>
    </row>
    <row r="916" spans="1:1" x14ac:dyDescent="0.2">
      <c r="A916" s="52"/>
    </row>
    <row r="917" spans="1:1" x14ac:dyDescent="0.2">
      <c r="A917" s="52"/>
    </row>
    <row r="918" spans="1:1" x14ac:dyDescent="0.2">
      <c r="A918" s="52"/>
    </row>
    <row r="919" spans="1:1" x14ac:dyDescent="0.2">
      <c r="A919" s="52"/>
    </row>
    <row r="920" spans="1:1" x14ac:dyDescent="0.2">
      <c r="A920" s="52"/>
    </row>
    <row r="921" spans="1:1" x14ac:dyDescent="0.2">
      <c r="A921" s="52"/>
    </row>
    <row r="922" spans="1:1" x14ac:dyDescent="0.2">
      <c r="A922" s="52"/>
    </row>
    <row r="923" spans="1:1" x14ac:dyDescent="0.2">
      <c r="A923" s="52"/>
    </row>
    <row r="924" spans="1:1" x14ac:dyDescent="0.2">
      <c r="A924" s="52"/>
    </row>
    <row r="925" spans="1:1" x14ac:dyDescent="0.2">
      <c r="A925" s="52"/>
    </row>
    <row r="926" spans="1:1" x14ac:dyDescent="0.2">
      <c r="A926" s="52"/>
    </row>
    <row r="927" spans="1:1" x14ac:dyDescent="0.2">
      <c r="A927" s="52"/>
    </row>
    <row r="928" spans="1:1" x14ac:dyDescent="0.2">
      <c r="A928" s="52"/>
    </row>
    <row r="929" spans="1:1" x14ac:dyDescent="0.2">
      <c r="A929" s="52"/>
    </row>
    <row r="930" spans="1:1" x14ac:dyDescent="0.2">
      <c r="A930" s="52"/>
    </row>
    <row r="931" spans="1:1" x14ac:dyDescent="0.2">
      <c r="A931" s="52"/>
    </row>
    <row r="932" spans="1:1" x14ac:dyDescent="0.2">
      <c r="A932" s="52"/>
    </row>
    <row r="933" spans="1:1" x14ac:dyDescent="0.2">
      <c r="A933" s="52"/>
    </row>
    <row r="934" spans="1:1" x14ac:dyDescent="0.2">
      <c r="A934" s="52"/>
    </row>
    <row r="935" spans="1:1" x14ac:dyDescent="0.2">
      <c r="A935" s="52"/>
    </row>
    <row r="936" spans="1:1" x14ac:dyDescent="0.2">
      <c r="A936" s="53"/>
    </row>
    <row r="937" spans="1:1" x14ac:dyDescent="0.2">
      <c r="A937" s="52"/>
    </row>
    <row r="938" spans="1:1" x14ac:dyDescent="0.2">
      <c r="A938" s="52"/>
    </row>
    <row r="939" spans="1:1" x14ac:dyDescent="0.2">
      <c r="A939" s="52"/>
    </row>
    <row r="940" spans="1:1" x14ac:dyDescent="0.2">
      <c r="A940" s="52"/>
    </row>
    <row r="941" spans="1:1" x14ac:dyDescent="0.2">
      <c r="A941" s="53"/>
    </row>
    <row r="942" spans="1:1" x14ac:dyDescent="0.2">
      <c r="A942" s="52"/>
    </row>
    <row r="943" spans="1:1" x14ac:dyDescent="0.2">
      <c r="A943" s="52"/>
    </row>
    <row r="944" spans="1:1" x14ac:dyDescent="0.2">
      <c r="A944" s="52"/>
    </row>
    <row r="945" spans="1:1" x14ac:dyDescent="0.2">
      <c r="A945" s="52"/>
    </row>
    <row r="946" spans="1:1" x14ac:dyDescent="0.2">
      <c r="A946" s="52"/>
    </row>
    <row r="947" spans="1:1" x14ac:dyDescent="0.2">
      <c r="A947" s="52"/>
    </row>
    <row r="948" spans="1:1" x14ac:dyDescent="0.2">
      <c r="A948" s="52"/>
    </row>
    <row r="949" spans="1:1" x14ac:dyDescent="0.2">
      <c r="A949" s="52"/>
    </row>
    <row r="950" spans="1:1" x14ac:dyDescent="0.2">
      <c r="A950" s="52"/>
    </row>
    <row r="951" spans="1:1" x14ac:dyDescent="0.2">
      <c r="A951" s="52"/>
    </row>
    <row r="952" spans="1:1" x14ac:dyDescent="0.2">
      <c r="A952" s="52"/>
    </row>
    <row r="953" spans="1:1" x14ac:dyDescent="0.2">
      <c r="A953" s="52"/>
    </row>
    <row r="954" spans="1:1" x14ac:dyDescent="0.2">
      <c r="A954" s="52"/>
    </row>
    <row r="955" spans="1:1" x14ac:dyDescent="0.2">
      <c r="A955" s="52"/>
    </row>
    <row r="956" spans="1:1" x14ac:dyDescent="0.2">
      <c r="A956" s="52"/>
    </row>
    <row r="957" spans="1:1" x14ac:dyDescent="0.2">
      <c r="A957" s="52"/>
    </row>
    <row r="958" spans="1:1" x14ac:dyDescent="0.2">
      <c r="A958" s="52"/>
    </row>
    <row r="959" spans="1:1" x14ac:dyDescent="0.2">
      <c r="A959" s="52"/>
    </row>
    <row r="960" spans="1:1" x14ac:dyDescent="0.2">
      <c r="A960" s="52"/>
    </row>
    <row r="961" spans="1:1" x14ac:dyDescent="0.2">
      <c r="A961" s="52"/>
    </row>
    <row r="962" spans="1:1" x14ac:dyDescent="0.2">
      <c r="A962" s="53"/>
    </row>
    <row r="963" spans="1:1" x14ac:dyDescent="0.2">
      <c r="A963" s="52"/>
    </row>
    <row r="964" spans="1:1" x14ac:dyDescent="0.2">
      <c r="A964" s="52"/>
    </row>
    <row r="965" spans="1:1" x14ac:dyDescent="0.2">
      <c r="A965" s="52"/>
    </row>
    <row r="966" spans="1:1" x14ac:dyDescent="0.2">
      <c r="A966" s="52"/>
    </row>
    <row r="967" spans="1:1" x14ac:dyDescent="0.2">
      <c r="A967" s="53"/>
    </row>
    <row r="968" spans="1:1" x14ac:dyDescent="0.2">
      <c r="A968" s="52"/>
    </row>
    <row r="969" spans="1:1" x14ac:dyDescent="0.2">
      <c r="A969" s="52"/>
    </row>
    <row r="970" spans="1:1" x14ac:dyDescent="0.2">
      <c r="A970" s="52"/>
    </row>
    <row r="971" spans="1:1" x14ac:dyDescent="0.2">
      <c r="A971" s="52"/>
    </row>
    <row r="972" spans="1:1" x14ac:dyDescent="0.2">
      <c r="A972" s="53"/>
    </row>
    <row r="973" spans="1:1" x14ac:dyDescent="0.2">
      <c r="A973" s="52"/>
    </row>
    <row r="974" spans="1:1" x14ac:dyDescent="0.2">
      <c r="A974" s="52"/>
    </row>
    <row r="975" spans="1:1" x14ac:dyDescent="0.2">
      <c r="A975" s="52"/>
    </row>
    <row r="976" spans="1:1" x14ac:dyDescent="0.2">
      <c r="A976" s="52"/>
    </row>
    <row r="977" spans="1:1" x14ac:dyDescent="0.2">
      <c r="A977" s="52"/>
    </row>
    <row r="978" spans="1:1" x14ac:dyDescent="0.2">
      <c r="A978" s="52"/>
    </row>
    <row r="979" spans="1:1" x14ac:dyDescent="0.2">
      <c r="A979" s="53"/>
    </row>
    <row r="980" spans="1:1" x14ac:dyDescent="0.2">
      <c r="A980" s="52"/>
    </row>
    <row r="981" spans="1:1" x14ac:dyDescent="0.2">
      <c r="A981" s="52"/>
    </row>
    <row r="982" spans="1:1" x14ac:dyDescent="0.2">
      <c r="A982" s="52"/>
    </row>
    <row r="983" spans="1:1" x14ac:dyDescent="0.2">
      <c r="A983" s="52"/>
    </row>
    <row r="984" spans="1:1" x14ac:dyDescent="0.2">
      <c r="A984" s="52"/>
    </row>
    <row r="985" spans="1:1" x14ac:dyDescent="0.2">
      <c r="A985" s="52"/>
    </row>
    <row r="986" spans="1:1" x14ac:dyDescent="0.2">
      <c r="A986" s="53"/>
    </row>
    <row r="987" spans="1:1" x14ac:dyDescent="0.2">
      <c r="A987" s="52"/>
    </row>
    <row r="988" spans="1:1" x14ac:dyDescent="0.2">
      <c r="A988" s="52"/>
    </row>
    <row r="989" spans="1:1" x14ac:dyDescent="0.2">
      <c r="A989" s="52"/>
    </row>
    <row r="990" spans="1:1" x14ac:dyDescent="0.2">
      <c r="A990" s="52"/>
    </row>
    <row r="991" spans="1:1" x14ac:dyDescent="0.2">
      <c r="A991" s="52"/>
    </row>
    <row r="992" spans="1:1" x14ac:dyDescent="0.2">
      <c r="A992" s="52"/>
    </row>
    <row r="993" spans="1:1" x14ac:dyDescent="0.2">
      <c r="A993" s="53"/>
    </row>
    <row r="994" spans="1:1" x14ac:dyDescent="0.2">
      <c r="A994" s="52"/>
    </row>
    <row r="995" spans="1:1" x14ac:dyDescent="0.2">
      <c r="A995" s="52"/>
    </row>
    <row r="996" spans="1:1" x14ac:dyDescent="0.2">
      <c r="A996" s="52"/>
    </row>
    <row r="997" spans="1:1" x14ac:dyDescent="0.2">
      <c r="A997" s="52"/>
    </row>
    <row r="998" spans="1:1" x14ac:dyDescent="0.2">
      <c r="A998" s="52"/>
    </row>
    <row r="999" spans="1:1" x14ac:dyDescent="0.2">
      <c r="A999" s="52"/>
    </row>
    <row r="1000" spans="1:1" x14ac:dyDescent="0.2">
      <c r="A1000" s="52"/>
    </row>
    <row r="1001" spans="1:1" x14ac:dyDescent="0.2">
      <c r="A1001" s="52"/>
    </row>
    <row r="1002" spans="1:1" x14ac:dyDescent="0.2">
      <c r="A1002" s="53"/>
    </row>
    <row r="1003" spans="1:1" x14ac:dyDescent="0.2">
      <c r="A1003" s="53"/>
    </row>
    <row r="1004" spans="1:1" x14ac:dyDescent="0.2">
      <c r="A1004" s="53"/>
    </row>
    <row r="1005" spans="1:1" x14ac:dyDescent="0.2">
      <c r="A1005" s="52"/>
    </row>
    <row r="1006" spans="1:1" x14ac:dyDescent="0.2">
      <c r="A1006" s="53"/>
    </row>
    <row r="1007" spans="1:1" x14ac:dyDescent="0.2">
      <c r="A1007" s="52"/>
    </row>
    <row r="1008" spans="1:1" x14ac:dyDescent="0.2">
      <c r="A1008" s="52"/>
    </row>
    <row r="1009" spans="1:1" x14ac:dyDescent="0.2">
      <c r="A1009" s="52"/>
    </row>
    <row r="1010" spans="1:1" x14ac:dyDescent="0.2">
      <c r="A1010" s="52"/>
    </row>
    <row r="1011" spans="1:1" x14ac:dyDescent="0.2">
      <c r="A1011" s="52"/>
    </row>
    <row r="1012" spans="1:1" x14ac:dyDescent="0.2">
      <c r="A1012" s="52"/>
    </row>
    <row r="1013" spans="1:1" x14ac:dyDescent="0.2">
      <c r="A1013" s="52"/>
    </row>
    <row r="1014" spans="1:1" x14ac:dyDescent="0.2">
      <c r="A1014" s="52"/>
    </row>
    <row r="1015" spans="1:1" x14ac:dyDescent="0.2">
      <c r="A1015" s="52"/>
    </row>
    <row r="1016" spans="1:1" x14ac:dyDescent="0.2">
      <c r="A1016" s="52"/>
    </row>
    <row r="1017" spans="1:1" x14ac:dyDescent="0.2">
      <c r="A1017" s="52"/>
    </row>
    <row r="1018" spans="1:1" x14ac:dyDescent="0.2">
      <c r="A1018" s="52"/>
    </row>
    <row r="1019" spans="1:1" x14ac:dyDescent="0.2">
      <c r="A1019" s="52"/>
    </row>
    <row r="1020" spans="1:1" x14ac:dyDescent="0.2">
      <c r="A1020" s="53"/>
    </row>
    <row r="1021" spans="1:1" x14ac:dyDescent="0.2">
      <c r="A1021" s="52"/>
    </row>
    <row r="1022" spans="1:1" x14ac:dyDescent="0.2">
      <c r="A1022" s="52"/>
    </row>
    <row r="1023" spans="1:1" x14ac:dyDescent="0.2">
      <c r="A1023" s="52"/>
    </row>
    <row r="1024" spans="1:1" x14ac:dyDescent="0.2">
      <c r="A1024" s="52"/>
    </row>
    <row r="1025" spans="1:1" x14ac:dyDescent="0.2">
      <c r="A1025" s="52"/>
    </row>
    <row r="1026" spans="1:1" x14ac:dyDescent="0.2">
      <c r="A1026" s="52"/>
    </row>
    <row r="1027" spans="1:1" x14ac:dyDescent="0.2">
      <c r="A1027" s="52"/>
    </row>
    <row r="1028" spans="1:1" x14ac:dyDescent="0.2">
      <c r="A1028" s="52"/>
    </row>
    <row r="1029" spans="1:1" x14ac:dyDescent="0.2">
      <c r="A1029" s="52"/>
    </row>
    <row r="1030" spans="1:1" x14ac:dyDescent="0.2">
      <c r="A1030" s="52"/>
    </row>
    <row r="1031" spans="1:1" x14ac:dyDescent="0.2">
      <c r="A1031" s="52"/>
    </row>
    <row r="1032" spans="1:1" x14ac:dyDescent="0.2">
      <c r="A1032" s="52"/>
    </row>
    <row r="1033" spans="1:1" x14ac:dyDescent="0.2">
      <c r="A1033" s="52"/>
    </row>
    <row r="1034" spans="1:1" x14ac:dyDescent="0.2">
      <c r="A1034" s="52"/>
    </row>
    <row r="1035" spans="1:1" x14ac:dyDescent="0.2">
      <c r="A1035" s="52"/>
    </row>
    <row r="1036" spans="1:1" x14ac:dyDescent="0.2">
      <c r="A1036" s="52"/>
    </row>
    <row r="1037" spans="1:1" x14ac:dyDescent="0.2">
      <c r="A1037" s="52"/>
    </row>
    <row r="1038" spans="1:1" x14ac:dyDescent="0.2">
      <c r="A1038" s="52"/>
    </row>
    <row r="1039" spans="1:1" x14ac:dyDescent="0.2">
      <c r="A1039" s="52"/>
    </row>
    <row r="1040" spans="1:1" x14ac:dyDescent="0.2">
      <c r="A1040" s="52"/>
    </row>
    <row r="1041" spans="1:1" x14ac:dyDescent="0.2">
      <c r="A1041" s="52"/>
    </row>
    <row r="1042" spans="1:1" x14ac:dyDescent="0.2">
      <c r="A1042" s="52"/>
    </row>
    <row r="1043" spans="1:1" x14ac:dyDescent="0.2">
      <c r="A1043" s="52"/>
    </row>
    <row r="1044" spans="1:1" x14ac:dyDescent="0.2">
      <c r="A1044" s="52"/>
    </row>
    <row r="1045" spans="1:1" x14ac:dyDescent="0.2">
      <c r="A1045" s="52"/>
    </row>
    <row r="1046" spans="1:1" x14ac:dyDescent="0.2">
      <c r="A1046" s="53"/>
    </row>
    <row r="1047" spans="1:1" x14ac:dyDescent="0.2">
      <c r="A1047" s="52"/>
    </row>
    <row r="1048" spans="1:1" x14ac:dyDescent="0.2">
      <c r="A1048" s="52"/>
    </row>
    <row r="1049" spans="1:1" x14ac:dyDescent="0.2">
      <c r="A1049" s="52"/>
    </row>
    <row r="1050" spans="1:1" x14ac:dyDescent="0.2">
      <c r="A1050" s="52"/>
    </row>
    <row r="1051" spans="1:1" x14ac:dyDescent="0.2">
      <c r="A1051" s="52"/>
    </row>
    <row r="1052" spans="1:1" x14ac:dyDescent="0.2">
      <c r="A1052" s="53"/>
    </row>
    <row r="1053" spans="1:1" x14ac:dyDescent="0.2">
      <c r="A1053" s="52"/>
    </row>
    <row r="1054" spans="1:1" x14ac:dyDescent="0.2">
      <c r="A1054" s="52"/>
    </row>
    <row r="1055" spans="1:1" x14ac:dyDescent="0.2">
      <c r="A1055" s="52"/>
    </row>
    <row r="1056" spans="1:1" x14ac:dyDescent="0.2">
      <c r="A1056" s="52"/>
    </row>
    <row r="1057" spans="1:1" x14ac:dyDescent="0.2">
      <c r="A1057" s="52"/>
    </row>
    <row r="1058" spans="1:1" x14ac:dyDescent="0.2">
      <c r="A1058" s="52"/>
    </row>
    <row r="1059" spans="1:1" x14ac:dyDescent="0.2">
      <c r="A1059" s="52"/>
    </row>
    <row r="1060" spans="1:1" x14ac:dyDescent="0.2">
      <c r="A1060" s="52"/>
    </row>
    <row r="1061" spans="1:1" x14ac:dyDescent="0.2">
      <c r="A1061" s="52"/>
    </row>
    <row r="1062" spans="1:1" x14ac:dyDescent="0.2">
      <c r="A1062" s="52"/>
    </row>
    <row r="1063" spans="1:1" x14ac:dyDescent="0.2">
      <c r="A1063" s="52"/>
    </row>
    <row r="1064" spans="1:1" x14ac:dyDescent="0.2">
      <c r="A1064" s="52"/>
    </row>
    <row r="1065" spans="1:1" x14ac:dyDescent="0.2">
      <c r="A1065" s="52"/>
    </row>
    <row r="1066" spans="1:1" x14ac:dyDescent="0.2">
      <c r="A1066" s="52"/>
    </row>
    <row r="1067" spans="1:1" x14ac:dyDescent="0.2">
      <c r="A1067" s="52"/>
    </row>
    <row r="1068" spans="1:1" x14ac:dyDescent="0.2">
      <c r="A1068" s="52"/>
    </row>
    <row r="1069" spans="1:1" x14ac:dyDescent="0.2">
      <c r="A1069" s="52"/>
    </row>
    <row r="1070" spans="1:1" x14ac:dyDescent="0.2">
      <c r="A1070" s="52"/>
    </row>
    <row r="1071" spans="1:1" x14ac:dyDescent="0.2">
      <c r="A1071" s="52"/>
    </row>
    <row r="1072" spans="1:1" x14ac:dyDescent="0.2">
      <c r="A1072" s="52"/>
    </row>
    <row r="1073" spans="1:1" x14ac:dyDescent="0.2">
      <c r="A1073" s="52"/>
    </row>
    <row r="1074" spans="1:1" x14ac:dyDescent="0.2">
      <c r="A1074" s="52"/>
    </row>
    <row r="1075" spans="1:1" x14ac:dyDescent="0.2">
      <c r="A1075" s="53"/>
    </row>
    <row r="1076" spans="1:1" x14ac:dyDescent="0.2">
      <c r="A1076" s="52"/>
    </row>
    <row r="1077" spans="1:1" x14ac:dyDescent="0.2">
      <c r="A1077" s="53"/>
    </row>
    <row r="1078" spans="1:1" x14ac:dyDescent="0.2">
      <c r="A1078" s="53"/>
    </row>
    <row r="1079" spans="1:1" x14ac:dyDescent="0.2">
      <c r="A1079" s="52"/>
    </row>
    <row r="1080" spans="1:1" x14ac:dyDescent="0.2">
      <c r="A1080" s="52"/>
    </row>
    <row r="1081" spans="1:1" x14ac:dyDescent="0.2">
      <c r="A1081" s="52"/>
    </row>
    <row r="1082" spans="1:1" x14ac:dyDescent="0.2">
      <c r="A1082" s="52"/>
    </row>
    <row r="1083" spans="1:1" x14ac:dyDescent="0.2">
      <c r="A1083" s="52"/>
    </row>
    <row r="1084" spans="1:1" x14ac:dyDescent="0.2">
      <c r="A1084" s="52"/>
    </row>
    <row r="1085" spans="1:1" x14ac:dyDescent="0.2">
      <c r="A1085" s="52"/>
    </row>
    <row r="1086" spans="1:1" x14ac:dyDescent="0.2">
      <c r="A1086" s="52"/>
    </row>
    <row r="1087" spans="1:1" x14ac:dyDescent="0.2">
      <c r="A1087" s="52"/>
    </row>
    <row r="1088" spans="1:1" x14ac:dyDescent="0.2">
      <c r="A1088" s="52"/>
    </row>
    <row r="1089" spans="1:1" x14ac:dyDescent="0.2">
      <c r="A1089" s="52"/>
    </row>
    <row r="1090" spans="1:1" x14ac:dyDescent="0.2">
      <c r="A1090" s="52"/>
    </row>
    <row r="1091" spans="1:1" x14ac:dyDescent="0.2">
      <c r="A1091" s="52"/>
    </row>
    <row r="1092" spans="1:1" x14ac:dyDescent="0.2">
      <c r="A1092" s="52"/>
    </row>
    <row r="1093" spans="1:1" x14ac:dyDescent="0.2">
      <c r="A1093" s="52"/>
    </row>
    <row r="1094" spans="1:1" x14ac:dyDescent="0.2">
      <c r="A1094" s="52"/>
    </row>
    <row r="1095" spans="1:1" x14ac:dyDescent="0.2">
      <c r="A1095" s="52"/>
    </row>
    <row r="1096" spans="1:1" x14ac:dyDescent="0.2">
      <c r="A1096" s="52"/>
    </row>
    <row r="1097" spans="1:1" x14ac:dyDescent="0.2">
      <c r="A1097" s="52"/>
    </row>
    <row r="1098" spans="1:1" x14ac:dyDescent="0.2">
      <c r="A1098" s="52"/>
    </row>
    <row r="1099" spans="1:1" x14ac:dyDescent="0.2">
      <c r="A1099" s="52"/>
    </row>
    <row r="1100" spans="1:1" x14ac:dyDescent="0.2">
      <c r="A1100" s="52"/>
    </row>
    <row r="1101" spans="1:1" x14ac:dyDescent="0.2">
      <c r="A1101" s="52"/>
    </row>
    <row r="1102" spans="1:1" x14ac:dyDescent="0.2">
      <c r="A1102" s="52"/>
    </row>
    <row r="1103" spans="1:1" x14ac:dyDescent="0.2">
      <c r="A1103" s="52"/>
    </row>
    <row r="1104" spans="1:1" x14ac:dyDescent="0.2">
      <c r="A1104" s="52"/>
    </row>
    <row r="1105" spans="1:1" x14ac:dyDescent="0.2">
      <c r="A1105" s="52"/>
    </row>
    <row r="1106" spans="1:1" x14ac:dyDescent="0.2">
      <c r="A1106" s="52"/>
    </row>
    <row r="1107" spans="1:1" x14ac:dyDescent="0.2">
      <c r="A1107" s="52"/>
    </row>
    <row r="1108" spans="1:1" x14ac:dyDescent="0.2">
      <c r="A1108" s="52"/>
    </row>
    <row r="1109" spans="1:1" x14ac:dyDescent="0.2">
      <c r="A1109" s="52"/>
    </row>
    <row r="1110" spans="1:1" x14ac:dyDescent="0.2">
      <c r="A1110" s="52"/>
    </row>
    <row r="1111" spans="1:1" x14ac:dyDescent="0.2">
      <c r="A1111" s="52"/>
    </row>
    <row r="1112" spans="1:1" x14ac:dyDescent="0.2">
      <c r="A1112" s="52"/>
    </row>
    <row r="1113" spans="1:1" x14ac:dyDescent="0.2">
      <c r="A1113" s="52"/>
    </row>
    <row r="1114" spans="1:1" x14ac:dyDescent="0.2">
      <c r="A1114" s="52"/>
    </row>
    <row r="1115" spans="1:1" x14ac:dyDescent="0.2">
      <c r="A1115" s="52"/>
    </row>
    <row r="1116" spans="1:1" x14ac:dyDescent="0.2">
      <c r="A1116" s="52"/>
    </row>
    <row r="1117" spans="1:1" x14ac:dyDescent="0.2">
      <c r="A1117" s="52"/>
    </row>
    <row r="1118" spans="1:1" x14ac:dyDescent="0.2">
      <c r="A1118" s="52"/>
    </row>
    <row r="1119" spans="1:1" x14ac:dyDescent="0.2">
      <c r="A1119" s="52"/>
    </row>
    <row r="1120" spans="1:1" x14ac:dyDescent="0.2">
      <c r="A1120" s="52"/>
    </row>
    <row r="1121" spans="1:1" x14ac:dyDescent="0.2">
      <c r="A1121" s="52"/>
    </row>
    <row r="1122" spans="1:1" x14ac:dyDescent="0.2">
      <c r="A1122" s="52"/>
    </row>
    <row r="1123" spans="1:1" x14ac:dyDescent="0.2">
      <c r="A1123" s="52"/>
    </row>
    <row r="1124" spans="1:1" x14ac:dyDescent="0.2">
      <c r="A1124" s="52"/>
    </row>
    <row r="1125" spans="1:1" x14ac:dyDescent="0.2">
      <c r="A1125" s="53"/>
    </row>
    <row r="1126" spans="1:1" x14ac:dyDescent="0.2">
      <c r="A1126" s="52"/>
    </row>
    <row r="1127" spans="1:1" x14ac:dyDescent="0.2">
      <c r="A1127" s="52"/>
    </row>
    <row r="1128" spans="1:1" x14ac:dyDescent="0.2">
      <c r="A1128" s="52"/>
    </row>
    <row r="1129" spans="1:1" x14ac:dyDescent="0.2">
      <c r="A1129" s="52"/>
    </row>
    <row r="1130" spans="1:1" x14ac:dyDescent="0.2">
      <c r="A1130" s="52"/>
    </row>
    <row r="1131" spans="1:1" x14ac:dyDescent="0.2">
      <c r="A1131" s="52"/>
    </row>
    <row r="1132" spans="1:1" x14ac:dyDescent="0.2">
      <c r="A1132" s="52"/>
    </row>
    <row r="1133" spans="1:1" x14ac:dyDescent="0.2">
      <c r="A1133" s="53"/>
    </row>
    <row r="1134" spans="1:1" x14ac:dyDescent="0.2">
      <c r="A1134" s="52"/>
    </row>
    <row r="1135" spans="1:1" x14ac:dyDescent="0.2">
      <c r="A1135" s="52"/>
    </row>
    <row r="1136" spans="1:1" x14ac:dyDescent="0.2">
      <c r="A1136" s="52"/>
    </row>
    <row r="1137" spans="1:1" x14ac:dyDescent="0.2">
      <c r="A1137" s="52"/>
    </row>
    <row r="1138" spans="1:1" x14ac:dyDescent="0.2">
      <c r="A1138" s="52"/>
    </row>
    <row r="1139" spans="1:1" x14ac:dyDescent="0.2">
      <c r="A1139" s="52"/>
    </row>
    <row r="1140" spans="1:1" x14ac:dyDescent="0.2">
      <c r="A1140" s="52"/>
    </row>
    <row r="1141" spans="1:1" x14ac:dyDescent="0.2">
      <c r="A1141" s="52"/>
    </row>
    <row r="1142" spans="1:1" x14ac:dyDescent="0.2">
      <c r="A1142" s="52"/>
    </row>
    <row r="1143" spans="1:1" x14ac:dyDescent="0.2">
      <c r="A1143" s="52"/>
    </row>
    <row r="1144" spans="1:1" x14ac:dyDescent="0.2">
      <c r="A1144" s="52"/>
    </row>
    <row r="1145" spans="1:1" x14ac:dyDescent="0.2">
      <c r="A1145" s="52"/>
    </row>
    <row r="1146" spans="1:1" x14ac:dyDescent="0.2">
      <c r="A1146" s="52"/>
    </row>
    <row r="1147" spans="1:1" x14ac:dyDescent="0.2">
      <c r="A1147" s="52"/>
    </row>
    <row r="1148" spans="1:1" x14ac:dyDescent="0.2">
      <c r="A1148" s="52"/>
    </row>
    <row r="1149" spans="1:1" x14ac:dyDescent="0.2">
      <c r="A1149" s="52"/>
    </row>
    <row r="1150" spans="1:1" x14ac:dyDescent="0.2">
      <c r="A1150" s="52"/>
    </row>
    <row r="1151" spans="1:1" x14ac:dyDescent="0.2">
      <c r="A1151" s="52"/>
    </row>
    <row r="1152" spans="1:1" x14ac:dyDescent="0.2">
      <c r="A1152" s="53"/>
    </row>
    <row r="1153" spans="1:1" x14ac:dyDescent="0.2">
      <c r="A1153" s="52"/>
    </row>
    <row r="1154" spans="1:1" x14ac:dyDescent="0.2">
      <c r="A1154" s="52"/>
    </row>
    <row r="1155" spans="1:1" x14ac:dyDescent="0.2">
      <c r="A1155" s="52"/>
    </row>
    <row r="1156" spans="1:1" x14ac:dyDescent="0.2">
      <c r="A1156" s="52"/>
    </row>
    <row r="1157" spans="1:1" x14ac:dyDescent="0.2">
      <c r="A1157" s="53"/>
    </row>
    <row r="1158" spans="1:1" x14ac:dyDescent="0.2">
      <c r="A1158" s="52"/>
    </row>
    <row r="1159" spans="1:1" x14ac:dyDescent="0.2">
      <c r="A1159" s="52"/>
    </row>
    <row r="1160" spans="1:1" x14ac:dyDescent="0.2">
      <c r="A1160" s="52"/>
    </row>
    <row r="1161" spans="1:1" x14ac:dyDescent="0.2">
      <c r="A1161" s="52"/>
    </row>
    <row r="1162" spans="1:1" x14ac:dyDescent="0.2">
      <c r="A1162" s="52"/>
    </row>
    <row r="1163" spans="1:1" x14ac:dyDescent="0.2">
      <c r="A1163" s="52"/>
    </row>
    <row r="1164" spans="1:1" x14ac:dyDescent="0.2">
      <c r="A1164" s="52"/>
    </row>
    <row r="1165" spans="1:1" x14ac:dyDescent="0.2">
      <c r="A1165" s="52"/>
    </row>
    <row r="1166" spans="1:1" x14ac:dyDescent="0.2">
      <c r="A1166" s="52"/>
    </row>
    <row r="1167" spans="1:1" x14ac:dyDescent="0.2">
      <c r="A1167" s="52"/>
    </row>
    <row r="1168" spans="1:1" x14ac:dyDescent="0.2">
      <c r="A1168" s="52"/>
    </row>
    <row r="1169" spans="1:1" x14ac:dyDescent="0.2">
      <c r="A1169" s="52"/>
    </row>
    <row r="1170" spans="1:1" x14ac:dyDescent="0.2">
      <c r="A1170" s="52"/>
    </row>
    <row r="1171" spans="1:1" x14ac:dyDescent="0.2">
      <c r="A1171" s="52"/>
    </row>
    <row r="1172" spans="1:1" x14ac:dyDescent="0.2">
      <c r="A1172" s="52"/>
    </row>
    <row r="1173" spans="1:1" x14ac:dyDescent="0.2">
      <c r="A1173" s="52"/>
    </row>
    <row r="1174" spans="1:1" x14ac:dyDescent="0.2">
      <c r="A1174" s="52"/>
    </row>
    <row r="1175" spans="1:1" x14ac:dyDescent="0.2">
      <c r="A1175" s="52"/>
    </row>
    <row r="1176" spans="1:1" x14ac:dyDescent="0.2">
      <c r="A1176" s="52"/>
    </row>
    <row r="1177" spans="1:1" x14ac:dyDescent="0.2">
      <c r="A1177" s="52"/>
    </row>
    <row r="1178" spans="1:1" x14ac:dyDescent="0.2">
      <c r="A1178" s="52"/>
    </row>
    <row r="1179" spans="1:1" x14ac:dyDescent="0.2">
      <c r="A1179" s="52"/>
    </row>
    <row r="1180" spans="1:1" x14ac:dyDescent="0.2">
      <c r="A1180" s="52"/>
    </row>
    <row r="1181" spans="1:1" x14ac:dyDescent="0.2">
      <c r="A1181" s="52"/>
    </row>
    <row r="1182" spans="1:1" x14ac:dyDescent="0.2">
      <c r="A1182" s="52"/>
    </row>
    <row r="1183" spans="1:1" x14ac:dyDescent="0.2">
      <c r="A1183" s="52"/>
    </row>
    <row r="1184" spans="1:1" x14ac:dyDescent="0.2">
      <c r="A1184" s="52"/>
    </row>
    <row r="1185" spans="1:1" x14ac:dyDescent="0.2">
      <c r="A1185" s="52"/>
    </row>
    <row r="1186" spans="1:1" x14ac:dyDescent="0.2">
      <c r="A1186" s="52"/>
    </row>
    <row r="1187" spans="1:1" x14ac:dyDescent="0.2">
      <c r="A1187" s="52"/>
    </row>
    <row r="1188" spans="1:1" x14ac:dyDescent="0.2">
      <c r="A1188" s="52"/>
    </row>
    <row r="1189" spans="1:1" x14ac:dyDescent="0.2">
      <c r="A1189" s="52"/>
    </row>
    <row r="1190" spans="1:1" x14ac:dyDescent="0.2">
      <c r="A1190" s="52"/>
    </row>
    <row r="1191" spans="1:1" x14ac:dyDescent="0.2">
      <c r="A1191" s="52"/>
    </row>
    <row r="1192" spans="1:1" x14ac:dyDescent="0.2">
      <c r="A1192" s="53"/>
    </row>
    <row r="1193" spans="1:1" x14ac:dyDescent="0.2">
      <c r="A1193" s="52"/>
    </row>
    <row r="1194" spans="1:1" x14ac:dyDescent="0.2">
      <c r="A1194" s="52"/>
    </row>
    <row r="1195" spans="1:1" x14ac:dyDescent="0.2">
      <c r="A1195" s="52"/>
    </row>
    <row r="1196" spans="1:1" x14ac:dyDescent="0.2">
      <c r="A1196" s="52"/>
    </row>
    <row r="1197" spans="1:1" x14ac:dyDescent="0.2">
      <c r="A1197" s="52"/>
    </row>
    <row r="1198" spans="1:1" x14ac:dyDescent="0.2">
      <c r="A1198" s="52"/>
    </row>
    <row r="1199" spans="1:1" x14ac:dyDescent="0.2">
      <c r="A1199" s="52"/>
    </row>
    <row r="1200" spans="1:1" x14ac:dyDescent="0.2">
      <c r="A1200" s="52"/>
    </row>
    <row r="1201" spans="1:1" x14ac:dyDescent="0.2">
      <c r="A1201" s="52"/>
    </row>
    <row r="1202" spans="1:1" x14ac:dyDescent="0.2">
      <c r="A1202" s="52"/>
    </row>
    <row r="1203" spans="1:1" x14ac:dyDescent="0.2">
      <c r="A1203" s="52"/>
    </row>
    <row r="1204" spans="1:1" x14ac:dyDescent="0.2">
      <c r="A1204" s="52"/>
    </row>
    <row r="1205" spans="1:1" x14ac:dyDescent="0.2">
      <c r="A1205" s="52"/>
    </row>
    <row r="1206" spans="1:1" x14ac:dyDescent="0.2">
      <c r="A1206" s="52"/>
    </row>
    <row r="1207" spans="1:1" x14ac:dyDescent="0.2">
      <c r="A1207" s="52"/>
    </row>
    <row r="1208" spans="1:1" x14ac:dyDescent="0.2">
      <c r="A1208" s="52"/>
    </row>
    <row r="1209" spans="1:1" x14ac:dyDescent="0.2">
      <c r="A1209" s="52"/>
    </row>
    <row r="1210" spans="1:1" x14ac:dyDescent="0.2">
      <c r="A1210" s="52"/>
    </row>
    <row r="1211" spans="1:1" x14ac:dyDescent="0.2">
      <c r="A1211" s="52"/>
    </row>
    <row r="1212" spans="1:1" x14ac:dyDescent="0.2">
      <c r="A1212" s="52"/>
    </row>
    <row r="1213" spans="1:1" x14ac:dyDescent="0.2">
      <c r="A1213" s="52"/>
    </row>
    <row r="1214" spans="1:1" x14ac:dyDescent="0.2">
      <c r="A1214" s="52"/>
    </row>
    <row r="1215" spans="1:1" x14ac:dyDescent="0.2">
      <c r="A1215" s="52"/>
    </row>
    <row r="1216" spans="1:1" x14ac:dyDescent="0.2">
      <c r="A1216" s="52"/>
    </row>
    <row r="1217" spans="1:1" x14ac:dyDescent="0.2">
      <c r="A1217" s="52"/>
    </row>
    <row r="1218" spans="1:1" x14ac:dyDescent="0.2">
      <c r="A1218" s="52"/>
    </row>
    <row r="1219" spans="1:1" x14ac:dyDescent="0.2">
      <c r="A1219" s="52"/>
    </row>
    <row r="1220" spans="1:1" x14ac:dyDescent="0.2">
      <c r="A1220" s="52"/>
    </row>
    <row r="1221" spans="1:1" x14ac:dyDescent="0.2">
      <c r="A1221" s="52"/>
    </row>
    <row r="1222" spans="1:1" x14ac:dyDescent="0.2">
      <c r="A1222" s="52"/>
    </row>
    <row r="1223" spans="1:1" x14ac:dyDescent="0.2">
      <c r="A1223" s="52"/>
    </row>
    <row r="1224" spans="1:1" x14ac:dyDescent="0.2">
      <c r="A1224" s="52"/>
    </row>
    <row r="1225" spans="1:1" x14ac:dyDescent="0.2">
      <c r="A1225" s="52"/>
    </row>
    <row r="1226" spans="1:1" x14ac:dyDescent="0.2">
      <c r="A1226" s="52"/>
    </row>
    <row r="1227" spans="1:1" x14ac:dyDescent="0.2">
      <c r="A1227" s="52"/>
    </row>
    <row r="1228" spans="1:1" x14ac:dyDescent="0.2">
      <c r="A1228" s="52"/>
    </row>
    <row r="1229" spans="1:1" x14ac:dyDescent="0.2">
      <c r="A1229" s="52"/>
    </row>
    <row r="1230" spans="1:1" x14ac:dyDescent="0.2">
      <c r="A1230" s="52"/>
    </row>
    <row r="1231" spans="1:1" x14ac:dyDescent="0.2">
      <c r="A1231" s="52"/>
    </row>
    <row r="1232" spans="1:1" x14ac:dyDescent="0.2">
      <c r="A1232" s="52"/>
    </row>
    <row r="1233" spans="1:1" x14ac:dyDescent="0.2">
      <c r="A1233" s="52"/>
    </row>
    <row r="1234" spans="1:1" x14ac:dyDescent="0.2">
      <c r="A1234" s="52"/>
    </row>
    <row r="1235" spans="1:1" x14ac:dyDescent="0.2">
      <c r="A1235" s="52"/>
    </row>
    <row r="1236" spans="1:1" x14ac:dyDescent="0.2">
      <c r="A1236" s="52"/>
    </row>
    <row r="1237" spans="1:1" x14ac:dyDescent="0.2">
      <c r="A1237" s="52"/>
    </row>
    <row r="1238" spans="1:1" x14ac:dyDescent="0.2">
      <c r="A1238" s="52"/>
    </row>
    <row r="1239" spans="1:1" x14ac:dyDescent="0.2">
      <c r="A1239" s="52"/>
    </row>
    <row r="1240" spans="1:1" x14ac:dyDescent="0.2">
      <c r="A1240" s="52"/>
    </row>
    <row r="1241" spans="1:1" x14ac:dyDescent="0.2">
      <c r="A1241" s="52"/>
    </row>
    <row r="1242" spans="1:1" x14ac:dyDescent="0.2">
      <c r="A1242" s="52"/>
    </row>
    <row r="1243" spans="1:1" x14ac:dyDescent="0.2">
      <c r="A1243" s="52"/>
    </row>
    <row r="1244" spans="1:1" x14ac:dyDescent="0.2">
      <c r="A1244" s="52"/>
    </row>
    <row r="1245" spans="1:1" x14ac:dyDescent="0.2">
      <c r="A1245" s="52"/>
    </row>
    <row r="1246" spans="1:1" x14ac:dyDescent="0.2">
      <c r="A1246" s="52"/>
    </row>
    <row r="1247" spans="1:1" x14ac:dyDescent="0.2">
      <c r="A1247" s="52"/>
    </row>
    <row r="1248" spans="1:1" x14ac:dyDescent="0.2">
      <c r="A1248" s="52"/>
    </row>
    <row r="1249" spans="1:1" x14ac:dyDescent="0.2">
      <c r="A1249" s="52"/>
    </row>
    <row r="1250" spans="1:1" x14ac:dyDescent="0.2">
      <c r="A1250" s="52"/>
    </row>
    <row r="1251" spans="1:1" x14ac:dyDescent="0.2">
      <c r="A1251" s="52"/>
    </row>
    <row r="1252" spans="1:1" x14ac:dyDescent="0.2">
      <c r="A1252" s="52"/>
    </row>
    <row r="1253" spans="1:1" x14ac:dyDescent="0.2">
      <c r="A1253" s="52"/>
    </row>
    <row r="1254" spans="1:1" x14ac:dyDescent="0.2">
      <c r="A1254" s="52"/>
    </row>
    <row r="1255" spans="1:1" x14ac:dyDescent="0.2">
      <c r="A1255" s="52"/>
    </row>
    <row r="1256" spans="1:1" x14ac:dyDescent="0.2">
      <c r="A1256" s="52"/>
    </row>
    <row r="1257" spans="1:1" x14ac:dyDescent="0.2">
      <c r="A1257" s="52"/>
    </row>
    <row r="1258" spans="1:1" x14ac:dyDescent="0.2">
      <c r="A1258" s="52"/>
    </row>
    <row r="1259" spans="1:1" x14ac:dyDescent="0.2">
      <c r="A1259" s="52"/>
    </row>
    <row r="1260" spans="1:1" x14ac:dyDescent="0.2">
      <c r="A1260" s="52"/>
    </row>
    <row r="1261" spans="1:1" x14ac:dyDescent="0.2">
      <c r="A1261" s="52"/>
    </row>
    <row r="1262" spans="1:1" x14ac:dyDescent="0.2">
      <c r="A1262" s="52"/>
    </row>
    <row r="1263" spans="1:1" x14ac:dyDescent="0.2">
      <c r="A1263" s="52"/>
    </row>
    <row r="1264" spans="1:1" x14ac:dyDescent="0.2">
      <c r="A1264" s="52"/>
    </row>
    <row r="1265" spans="1:1" x14ac:dyDescent="0.2">
      <c r="A1265" s="52"/>
    </row>
    <row r="1266" spans="1:1" x14ac:dyDescent="0.2">
      <c r="A1266" s="52"/>
    </row>
    <row r="1267" spans="1:1" x14ac:dyDescent="0.2">
      <c r="A1267" s="52"/>
    </row>
    <row r="1268" spans="1:1" x14ac:dyDescent="0.2">
      <c r="A1268" s="52"/>
    </row>
    <row r="1269" spans="1:1" x14ac:dyDescent="0.2">
      <c r="A1269" s="52"/>
    </row>
    <row r="1270" spans="1:1" x14ac:dyDescent="0.2">
      <c r="A1270" s="52"/>
    </row>
    <row r="1271" spans="1:1" x14ac:dyDescent="0.2">
      <c r="A1271" s="52"/>
    </row>
    <row r="1272" spans="1:1" x14ac:dyDescent="0.2">
      <c r="A1272" s="52"/>
    </row>
    <row r="1273" spans="1:1" x14ac:dyDescent="0.2">
      <c r="A1273" s="52"/>
    </row>
    <row r="1274" spans="1:1" x14ac:dyDescent="0.2">
      <c r="A1274" s="52"/>
    </row>
    <row r="1275" spans="1:1" x14ac:dyDescent="0.2">
      <c r="A1275" s="52"/>
    </row>
    <row r="1276" spans="1:1" x14ac:dyDescent="0.2">
      <c r="A1276" s="52"/>
    </row>
    <row r="1277" spans="1:1" x14ac:dyDescent="0.2">
      <c r="A1277" s="52"/>
    </row>
    <row r="1278" spans="1:1" x14ac:dyDescent="0.2">
      <c r="A1278" s="52"/>
    </row>
    <row r="1279" spans="1:1" x14ac:dyDescent="0.2">
      <c r="A1279" s="52"/>
    </row>
    <row r="1280" spans="1:1" x14ac:dyDescent="0.2">
      <c r="A1280" s="52"/>
    </row>
    <row r="1281" spans="1:1" x14ac:dyDescent="0.2">
      <c r="A1281" s="52"/>
    </row>
    <row r="1282" spans="1:1" x14ac:dyDescent="0.2">
      <c r="A1282" s="52"/>
    </row>
    <row r="1283" spans="1:1" x14ac:dyDescent="0.2">
      <c r="A1283" s="52"/>
    </row>
    <row r="1284" spans="1:1" x14ac:dyDescent="0.2">
      <c r="A1284" s="52"/>
    </row>
    <row r="1285" spans="1:1" x14ac:dyDescent="0.2">
      <c r="A1285" s="52"/>
    </row>
    <row r="1286" spans="1:1" x14ac:dyDescent="0.2">
      <c r="A1286" s="52"/>
    </row>
    <row r="1287" spans="1:1" x14ac:dyDescent="0.2">
      <c r="A1287" s="52"/>
    </row>
    <row r="1288" spans="1:1" x14ac:dyDescent="0.2">
      <c r="A1288" s="52"/>
    </row>
    <row r="1289" spans="1:1" x14ac:dyDescent="0.2">
      <c r="A1289" s="52"/>
    </row>
    <row r="1290" spans="1:1" x14ac:dyDescent="0.2">
      <c r="A1290" s="52"/>
    </row>
    <row r="1291" spans="1:1" x14ac:dyDescent="0.2">
      <c r="A1291" s="52"/>
    </row>
    <row r="1292" spans="1:1" x14ac:dyDescent="0.2">
      <c r="A1292" s="52"/>
    </row>
    <row r="1293" spans="1:1" x14ac:dyDescent="0.2">
      <c r="A1293" s="52"/>
    </row>
    <row r="1294" spans="1:1" x14ac:dyDescent="0.2">
      <c r="A1294" s="52"/>
    </row>
    <row r="1295" spans="1:1" x14ac:dyDescent="0.2">
      <c r="A1295" s="52"/>
    </row>
    <row r="1296" spans="1:1" x14ac:dyDescent="0.2">
      <c r="A1296" s="52"/>
    </row>
    <row r="1297" spans="1:1" x14ac:dyDescent="0.2">
      <c r="A1297" s="52"/>
    </row>
    <row r="1298" spans="1:1" x14ac:dyDescent="0.2">
      <c r="A1298" s="52"/>
    </row>
    <row r="1299" spans="1:1" x14ac:dyDescent="0.2">
      <c r="A1299" s="52"/>
    </row>
    <row r="1300" spans="1:1" x14ac:dyDescent="0.2">
      <c r="A1300" s="53"/>
    </row>
    <row r="1301" spans="1:1" x14ac:dyDescent="0.2">
      <c r="A1301" s="52"/>
    </row>
    <row r="1302" spans="1:1" x14ac:dyDescent="0.2">
      <c r="A1302" s="52"/>
    </row>
    <row r="1303" spans="1:1" x14ac:dyDescent="0.2">
      <c r="A1303" s="52"/>
    </row>
    <row r="1304" spans="1:1" x14ac:dyDescent="0.2">
      <c r="A1304" s="52"/>
    </row>
    <row r="1305" spans="1:1" x14ac:dyDescent="0.2">
      <c r="A1305" s="52"/>
    </row>
    <row r="1306" spans="1:1" x14ac:dyDescent="0.2">
      <c r="A1306" s="52"/>
    </row>
    <row r="1307" spans="1:1" x14ac:dyDescent="0.2">
      <c r="A1307" s="52"/>
    </row>
    <row r="1308" spans="1:1" x14ac:dyDescent="0.2">
      <c r="A1308" s="52"/>
    </row>
    <row r="1309" spans="1:1" x14ac:dyDescent="0.2">
      <c r="A1309" s="52"/>
    </row>
    <row r="1310" spans="1:1" x14ac:dyDescent="0.2">
      <c r="A1310" s="52"/>
    </row>
    <row r="1311" spans="1:1" x14ac:dyDescent="0.2">
      <c r="A1311" s="52"/>
    </row>
    <row r="1312" spans="1:1" x14ac:dyDescent="0.2">
      <c r="A1312" s="52"/>
    </row>
    <row r="1313" spans="1:1" x14ac:dyDescent="0.2">
      <c r="A1313" s="52"/>
    </row>
    <row r="1314" spans="1:1" x14ac:dyDescent="0.2">
      <c r="A1314" s="52"/>
    </row>
    <row r="1315" spans="1:1" x14ac:dyDescent="0.2">
      <c r="A1315" s="53"/>
    </row>
    <row r="1316" spans="1:1" x14ac:dyDescent="0.2">
      <c r="A1316" s="52"/>
    </row>
    <row r="1317" spans="1:1" x14ac:dyDescent="0.2">
      <c r="A1317" s="52"/>
    </row>
    <row r="1318" spans="1:1" x14ac:dyDescent="0.2">
      <c r="A1318" s="52"/>
    </row>
    <row r="1319" spans="1:1" x14ac:dyDescent="0.2">
      <c r="A1319" s="52"/>
    </row>
    <row r="1320" spans="1:1" x14ac:dyDescent="0.2">
      <c r="A1320" s="52"/>
    </row>
    <row r="1321" spans="1:1" x14ac:dyDescent="0.2">
      <c r="A1321" s="52"/>
    </row>
    <row r="1322" spans="1:1" x14ac:dyDescent="0.2">
      <c r="A1322" s="52"/>
    </row>
    <row r="1323" spans="1:1" x14ac:dyDescent="0.2">
      <c r="A1323" s="52"/>
    </row>
    <row r="1324" spans="1:1" x14ac:dyDescent="0.2">
      <c r="A1324" s="52"/>
    </row>
    <row r="1325" spans="1:1" x14ac:dyDescent="0.2">
      <c r="A1325" s="52"/>
    </row>
    <row r="1326" spans="1:1" x14ac:dyDescent="0.2">
      <c r="A1326" s="52"/>
    </row>
    <row r="1327" spans="1:1" x14ac:dyDescent="0.2">
      <c r="A1327" s="52"/>
    </row>
    <row r="1328" spans="1:1" x14ac:dyDescent="0.2">
      <c r="A1328" s="53"/>
    </row>
    <row r="1329" spans="1:1" x14ac:dyDescent="0.2">
      <c r="A1329" s="52"/>
    </row>
    <row r="1330" spans="1:1" x14ac:dyDescent="0.2">
      <c r="A1330" s="52"/>
    </row>
    <row r="1331" spans="1:1" x14ac:dyDescent="0.2">
      <c r="A1331" s="53"/>
    </row>
    <row r="1332" spans="1:1" x14ac:dyDescent="0.2">
      <c r="A1332" s="52"/>
    </row>
    <row r="1333" spans="1:1" x14ac:dyDescent="0.2">
      <c r="A1333" s="52"/>
    </row>
    <row r="1334" spans="1:1" x14ac:dyDescent="0.2">
      <c r="A1334" s="52"/>
    </row>
    <row r="1335" spans="1:1" x14ac:dyDescent="0.2">
      <c r="A1335" s="52"/>
    </row>
    <row r="1336" spans="1:1" x14ac:dyDescent="0.2">
      <c r="A1336" s="52"/>
    </row>
    <row r="1337" spans="1:1" x14ac:dyDescent="0.2">
      <c r="A1337" s="52"/>
    </row>
    <row r="1338" spans="1:1" x14ac:dyDescent="0.2">
      <c r="A1338" s="52"/>
    </row>
    <row r="1339" spans="1:1" x14ac:dyDescent="0.2">
      <c r="A1339" s="52"/>
    </row>
    <row r="1340" spans="1:1" x14ac:dyDescent="0.2">
      <c r="A1340" s="52"/>
    </row>
    <row r="1341" spans="1:1" x14ac:dyDescent="0.2">
      <c r="A1341" s="52"/>
    </row>
    <row r="1342" spans="1:1" x14ac:dyDescent="0.2">
      <c r="A1342" s="52"/>
    </row>
    <row r="1343" spans="1:1" x14ac:dyDescent="0.2">
      <c r="A1343" s="52"/>
    </row>
    <row r="1344" spans="1:1" x14ac:dyDescent="0.2">
      <c r="A1344" s="52"/>
    </row>
    <row r="1345" spans="1:1" x14ac:dyDescent="0.2">
      <c r="A1345" s="52"/>
    </row>
    <row r="1346" spans="1:1" x14ac:dyDescent="0.2">
      <c r="A1346" s="53"/>
    </row>
    <row r="1347" spans="1:1" x14ac:dyDescent="0.2">
      <c r="A1347" s="52"/>
    </row>
    <row r="1348" spans="1:1" x14ac:dyDescent="0.2">
      <c r="A1348" s="52"/>
    </row>
    <row r="1349" spans="1:1" x14ac:dyDescent="0.2">
      <c r="A1349" s="52"/>
    </row>
    <row r="1350" spans="1:1" x14ac:dyDescent="0.2">
      <c r="A1350" s="52"/>
    </row>
    <row r="1351" spans="1:1" x14ac:dyDescent="0.2">
      <c r="A1351" s="52"/>
    </row>
    <row r="1352" spans="1:1" x14ac:dyDescent="0.2">
      <c r="A1352" s="52"/>
    </row>
    <row r="1353" spans="1:1" x14ac:dyDescent="0.2">
      <c r="A1353" s="52"/>
    </row>
    <row r="1354" spans="1:1" x14ac:dyDescent="0.2">
      <c r="A1354" s="52"/>
    </row>
    <row r="1355" spans="1:1" x14ac:dyDescent="0.2">
      <c r="A1355" s="52"/>
    </row>
    <row r="1356" spans="1:1" x14ac:dyDescent="0.2">
      <c r="A1356" s="52"/>
    </row>
    <row r="1357" spans="1:1" x14ac:dyDescent="0.2">
      <c r="A1357" s="52"/>
    </row>
    <row r="1358" spans="1:1" x14ac:dyDescent="0.2">
      <c r="A1358" s="52"/>
    </row>
    <row r="1359" spans="1:1" x14ac:dyDescent="0.2">
      <c r="A1359" s="52"/>
    </row>
    <row r="1360" spans="1:1" x14ac:dyDescent="0.2">
      <c r="A1360" s="53"/>
    </row>
    <row r="1361" spans="1:1" x14ac:dyDescent="0.2">
      <c r="A1361" s="52"/>
    </row>
    <row r="1362" spans="1:1" x14ac:dyDescent="0.2">
      <c r="A1362" s="52"/>
    </row>
    <row r="1363" spans="1:1" x14ac:dyDescent="0.2">
      <c r="A1363" s="53"/>
    </row>
    <row r="1364" spans="1:1" x14ac:dyDescent="0.2">
      <c r="A1364" s="52"/>
    </row>
    <row r="1365" spans="1:1" x14ac:dyDescent="0.2">
      <c r="A1365" s="52"/>
    </row>
    <row r="1366" spans="1:1" x14ac:dyDescent="0.2">
      <c r="A1366" s="52"/>
    </row>
    <row r="1367" spans="1:1" x14ac:dyDescent="0.2">
      <c r="A1367" s="53"/>
    </row>
    <row r="1368" spans="1:1" x14ac:dyDescent="0.2">
      <c r="A1368" s="53"/>
    </row>
    <row r="1369" spans="1:1" x14ac:dyDescent="0.2">
      <c r="A1369" s="52"/>
    </row>
    <row r="1370" spans="1:1" x14ac:dyDescent="0.2">
      <c r="A1370" s="52"/>
    </row>
    <row r="1371" spans="1:1" x14ac:dyDescent="0.2">
      <c r="A1371" s="52"/>
    </row>
    <row r="1372" spans="1:1" x14ac:dyDescent="0.2">
      <c r="A1372" s="52"/>
    </row>
    <row r="1373" spans="1:1" x14ac:dyDescent="0.2">
      <c r="A1373" s="52"/>
    </row>
    <row r="1374" spans="1:1" x14ac:dyDescent="0.2">
      <c r="A1374" s="52"/>
    </row>
    <row r="1375" spans="1:1" x14ac:dyDescent="0.2">
      <c r="A1375" s="52"/>
    </row>
    <row r="1376" spans="1:1" x14ac:dyDescent="0.2">
      <c r="A1376" s="52"/>
    </row>
    <row r="1377" spans="1:1" x14ac:dyDescent="0.2">
      <c r="A1377" s="52"/>
    </row>
    <row r="1378" spans="1:1" x14ac:dyDescent="0.2">
      <c r="A1378" s="52"/>
    </row>
    <row r="1379" spans="1:1" x14ac:dyDescent="0.2">
      <c r="A1379" s="53"/>
    </row>
    <row r="1380" spans="1:1" x14ac:dyDescent="0.2">
      <c r="A1380" s="52"/>
    </row>
    <row r="1381" spans="1:1" x14ac:dyDescent="0.2">
      <c r="A1381" s="52"/>
    </row>
    <row r="1382" spans="1:1" x14ac:dyDescent="0.2">
      <c r="A1382" s="52"/>
    </row>
    <row r="1383" spans="1:1" x14ac:dyDescent="0.2">
      <c r="A1383" s="52"/>
    </row>
    <row r="1384" spans="1:1" x14ac:dyDescent="0.2">
      <c r="A1384" s="52"/>
    </row>
    <row r="1385" spans="1:1" x14ac:dyDescent="0.2">
      <c r="A1385" s="52"/>
    </row>
    <row r="1386" spans="1:1" x14ac:dyDescent="0.2">
      <c r="A1386" s="52"/>
    </row>
    <row r="1387" spans="1:1" x14ac:dyDescent="0.2">
      <c r="A1387" s="52"/>
    </row>
    <row r="1388" spans="1:1" x14ac:dyDescent="0.2">
      <c r="A1388" s="52"/>
    </row>
    <row r="1389" spans="1:1" x14ac:dyDescent="0.2">
      <c r="A1389" s="52"/>
    </row>
    <row r="1390" spans="1:1" x14ac:dyDescent="0.2">
      <c r="A1390" s="52"/>
    </row>
    <row r="1391" spans="1:1" x14ac:dyDescent="0.2">
      <c r="A1391" s="52"/>
    </row>
    <row r="1392" spans="1:1" x14ac:dyDescent="0.2">
      <c r="A1392" s="52"/>
    </row>
    <row r="1393" spans="1:1" x14ac:dyDescent="0.2">
      <c r="A1393" s="52"/>
    </row>
    <row r="1394" spans="1:1" x14ac:dyDescent="0.2">
      <c r="A1394" s="53"/>
    </row>
    <row r="1395" spans="1:1" x14ac:dyDescent="0.2">
      <c r="A1395" s="52"/>
    </row>
    <row r="1396" spans="1:1" x14ac:dyDescent="0.2">
      <c r="A1396" s="52"/>
    </row>
    <row r="1397" spans="1:1" x14ac:dyDescent="0.2">
      <c r="A1397" s="52"/>
    </row>
    <row r="1398" spans="1:1" x14ac:dyDescent="0.2">
      <c r="A1398" s="52"/>
    </row>
    <row r="1399" spans="1:1" x14ac:dyDescent="0.2">
      <c r="A1399" s="52"/>
    </row>
    <row r="1400" spans="1:1" x14ac:dyDescent="0.2">
      <c r="A1400" s="52"/>
    </row>
    <row r="1401" spans="1:1" x14ac:dyDescent="0.2">
      <c r="A1401" s="52"/>
    </row>
    <row r="1402" spans="1:1" x14ac:dyDescent="0.2">
      <c r="A1402" s="52"/>
    </row>
    <row r="1403" spans="1:1" x14ac:dyDescent="0.2">
      <c r="A1403" s="52"/>
    </row>
    <row r="1404" spans="1:1" x14ac:dyDescent="0.2">
      <c r="A1404" s="52"/>
    </row>
    <row r="1405" spans="1:1" x14ac:dyDescent="0.2">
      <c r="A1405" s="52"/>
    </row>
    <row r="1406" spans="1:1" x14ac:dyDescent="0.2">
      <c r="A1406" s="52"/>
    </row>
    <row r="1407" spans="1:1" x14ac:dyDescent="0.2">
      <c r="A1407" s="52"/>
    </row>
    <row r="1408" spans="1:1" x14ac:dyDescent="0.2">
      <c r="A1408" s="52"/>
    </row>
    <row r="1409" spans="1:1" x14ac:dyDescent="0.2">
      <c r="A1409" s="52"/>
    </row>
    <row r="1410" spans="1:1" x14ac:dyDescent="0.2">
      <c r="A1410" s="52"/>
    </row>
    <row r="1411" spans="1:1" x14ac:dyDescent="0.2">
      <c r="A1411" s="52"/>
    </row>
    <row r="1412" spans="1:1" x14ac:dyDescent="0.2">
      <c r="A1412" s="52"/>
    </row>
    <row r="1413" spans="1:1" x14ac:dyDescent="0.2">
      <c r="A1413" s="52"/>
    </row>
    <row r="1414" spans="1:1" x14ac:dyDescent="0.2">
      <c r="A1414" s="52"/>
    </row>
    <row r="1415" spans="1:1" x14ac:dyDescent="0.2">
      <c r="A1415" s="52"/>
    </row>
    <row r="1416" spans="1:1" x14ac:dyDescent="0.2">
      <c r="A1416" s="52"/>
    </row>
    <row r="1417" spans="1:1" x14ac:dyDescent="0.2">
      <c r="A1417" s="52"/>
    </row>
    <row r="1418" spans="1:1" x14ac:dyDescent="0.2">
      <c r="A1418" s="52"/>
    </row>
    <row r="1419" spans="1:1" x14ac:dyDescent="0.2">
      <c r="A1419" s="52"/>
    </row>
    <row r="1420" spans="1:1" x14ac:dyDescent="0.2">
      <c r="A1420" s="52"/>
    </row>
    <row r="1421" spans="1:1" x14ac:dyDescent="0.2">
      <c r="A1421" s="52"/>
    </row>
    <row r="1422" spans="1:1" x14ac:dyDescent="0.2">
      <c r="A1422" s="52"/>
    </row>
    <row r="1423" spans="1:1" x14ac:dyDescent="0.2">
      <c r="A1423" s="52"/>
    </row>
    <row r="1424" spans="1:1" x14ac:dyDescent="0.2">
      <c r="A1424" s="53"/>
    </row>
    <row r="1425" spans="1:1" x14ac:dyDescent="0.2">
      <c r="A1425" s="52"/>
    </row>
    <row r="1426" spans="1:1" x14ac:dyDescent="0.2">
      <c r="A1426" s="52"/>
    </row>
    <row r="1427" spans="1:1" x14ac:dyDescent="0.2">
      <c r="A1427" s="52"/>
    </row>
    <row r="1428" spans="1:1" x14ac:dyDescent="0.2">
      <c r="A1428" s="52"/>
    </row>
    <row r="1429" spans="1:1" x14ac:dyDescent="0.2">
      <c r="A1429" s="52"/>
    </row>
    <row r="1430" spans="1:1" x14ac:dyDescent="0.2">
      <c r="A1430" s="52"/>
    </row>
    <row r="1431" spans="1:1" x14ac:dyDescent="0.2">
      <c r="A1431" s="52"/>
    </row>
    <row r="1432" spans="1:1" x14ac:dyDescent="0.2">
      <c r="A1432" s="52"/>
    </row>
    <row r="1433" spans="1:1" x14ac:dyDescent="0.2">
      <c r="A1433" s="52"/>
    </row>
    <row r="1434" spans="1:1" x14ac:dyDescent="0.2">
      <c r="A1434" s="52"/>
    </row>
    <row r="1435" spans="1:1" x14ac:dyDescent="0.2">
      <c r="A1435" s="52"/>
    </row>
    <row r="1436" spans="1:1" x14ac:dyDescent="0.2">
      <c r="A1436" s="52"/>
    </row>
    <row r="1437" spans="1:1" x14ac:dyDescent="0.2">
      <c r="A1437" s="52"/>
    </row>
    <row r="1438" spans="1:1" x14ac:dyDescent="0.2">
      <c r="A1438" s="52"/>
    </row>
    <row r="1439" spans="1:1" x14ac:dyDescent="0.2">
      <c r="A1439" s="52"/>
    </row>
    <row r="1440" spans="1:1" x14ac:dyDescent="0.2">
      <c r="A1440" s="52"/>
    </row>
    <row r="1441" spans="1:1" x14ac:dyDescent="0.2">
      <c r="A1441" s="53"/>
    </row>
    <row r="1442" spans="1:1" x14ac:dyDescent="0.2">
      <c r="A1442" s="52"/>
    </row>
    <row r="1443" spans="1:1" x14ac:dyDescent="0.2">
      <c r="A1443" s="53"/>
    </row>
    <row r="1444" spans="1:1" x14ac:dyDescent="0.2">
      <c r="A1444" s="52"/>
    </row>
    <row r="1445" spans="1:1" x14ac:dyDescent="0.2">
      <c r="A1445" s="52"/>
    </row>
    <row r="1446" spans="1:1" x14ac:dyDescent="0.2">
      <c r="A1446" s="52"/>
    </row>
    <row r="1447" spans="1:1" x14ac:dyDescent="0.2">
      <c r="A1447" s="52"/>
    </row>
    <row r="1448" spans="1:1" x14ac:dyDescent="0.2">
      <c r="A1448" s="53"/>
    </row>
    <row r="1449" spans="1:1" x14ac:dyDescent="0.2">
      <c r="A1449" s="52"/>
    </row>
    <row r="1450" spans="1:1" x14ac:dyDescent="0.2">
      <c r="A1450" s="52"/>
    </row>
    <row r="1451" spans="1:1" x14ac:dyDescent="0.2">
      <c r="A1451" s="52"/>
    </row>
    <row r="1452" spans="1:1" x14ac:dyDescent="0.2">
      <c r="A1452" s="52"/>
    </row>
    <row r="1453" spans="1:1" x14ac:dyDescent="0.2">
      <c r="A1453" s="52"/>
    </row>
    <row r="1454" spans="1:1" x14ac:dyDescent="0.2">
      <c r="A1454" s="52"/>
    </row>
    <row r="1455" spans="1:1" x14ac:dyDescent="0.2">
      <c r="A1455" s="52"/>
    </row>
    <row r="1456" spans="1:1" x14ac:dyDescent="0.2">
      <c r="A1456" s="53"/>
    </row>
    <row r="1457" spans="1:1" x14ac:dyDescent="0.2">
      <c r="A1457" s="52"/>
    </row>
    <row r="1458" spans="1:1" x14ac:dyDescent="0.2">
      <c r="A1458" s="52"/>
    </row>
    <row r="1459" spans="1:1" x14ac:dyDescent="0.2">
      <c r="A1459" s="52"/>
    </row>
    <row r="1460" spans="1:1" x14ac:dyDescent="0.2">
      <c r="A1460" s="53"/>
    </row>
    <row r="1461" spans="1:1" x14ac:dyDescent="0.2">
      <c r="A1461" s="52"/>
    </row>
    <row r="1462" spans="1:1" x14ac:dyDescent="0.2">
      <c r="A1462" s="52"/>
    </row>
    <row r="1463" spans="1:1" x14ac:dyDescent="0.2">
      <c r="A1463" s="52"/>
    </row>
    <row r="1464" spans="1:1" x14ac:dyDescent="0.2">
      <c r="A1464" s="52"/>
    </row>
    <row r="1465" spans="1:1" x14ac:dyDescent="0.2">
      <c r="A1465" s="52"/>
    </row>
    <row r="1466" spans="1:1" x14ac:dyDescent="0.2">
      <c r="A1466" s="52"/>
    </row>
    <row r="1467" spans="1:1" x14ac:dyDescent="0.2">
      <c r="A1467" s="52"/>
    </row>
    <row r="1468" spans="1:1" x14ac:dyDescent="0.2">
      <c r="A1468" s="52"/>
    </row>
    <row r="1469" spans="1:1" x14ac:dyDescent="0.2">
      <c r="A1469" s="52"/>
    </row>
    <row r="1470" spans="1:1" x14ac:dyDescent="0.2">
      <c r="A1470" s="52"/>
    </row>
    <row r="1471" spans="1:1" x14ac:dyDescent="0.2">
      <c r="A1471" s="52"/>
    </row>
    <row r="1472" spans="1:1" x14ac:dyDescent="0.2">
      <c r="A1472" s="52"/>
    </row>
    <row r="1473" spans="1:1" x14ac:dyDescent="0.2">
      <c r="A1473" s="52"/>
    </row>
    <row r="1474" spans="1:1" x14ac:dyDescent="0.2">
      <c r="A1474" s="52"/>
    </row>
    <row r="1475" spans="1:1" x14ac:dyDescent="0.2">
      <c r="A1475" s="52"/>
    </row>
    <row r="1476" spans="1:1" x14ac:dyDescent="0.2">
      <c r="A1476" s="52"/>
    </row>
    <row r="1477" spans="1:1" x14ac:dyDescent="0.2">
      <c r="A1477" s="52"/>
    </row>
    <row r="1478" spans="1:1" x14ac:dyDescent="0.2">
      <c r="A1478" s="52"/>
    </row>
    <row r="1479" spans="1:1" x14ac:dyDescent="0.2">
      <c r="A1479" s="52"/>
    </row>
    <row r="1480" spans="1:1" x14ac:dyDescent="0.2">
      <c r="A1480" s="53"/>
    </row>
    <row r="1481" spans="1:1" x14ac:dyDescent="0.2">
      <c r="A1481" s="52"/>
    </row>
    <row r="1482" spans="1:1" x14ac:dyDescent="0.2">
      <c r="A1482" s="52"/>
    </row>
    <row r="1483" spans="1:1" x14ac:dyDescent="0.2">
      <c r="A1483" s="52"/>
    </row>
    <row r="1484" spans="1:1" x14ac:dyDescent="0.2">
      <c r="A1484" s="52"/>
    </row>
    <row r="1485" spans="1:1" x14ac:dyDescent="0.2">
      <c r="A1485" s="52"/>
    </row>
    <row r="1486" spans="1:1" x14ac:dyDescent="0.2">
      <c r="A1486" s="52"/>
    </row>
    <row r="1487" spans="1:1" x14ac:dyDescent="0.2">
      <c r="A1487" s="52"/>
    </row>
    <row r="1488" spans="1:1" x14ac:dyDescent="0.2">
      <c r="A1488" s="52"/>
    </row>
    <row r="1489" spans="1:1" x14ac:dyDescent="0.2">
      <c r="A1489" s="52"/>
    </row>
    <row r="1490" spans="1:1" x14ac:dyDescent="0.2">
      <c r="A1490" s="52"/>
    </row>
    <row r="1491" spans="1:1" x14ac:dyDescent="0.2">
      <c r="A1491" s="52"/>
    </row>
    <row r="1492" spans="1:1" x14ac:dyDescent="0.2">
      <c r="A1492" s="53"/>
    </row>
    <row r="1493" spans="1:1" x14ac:dyDescent="0.2">
      <c r="A1493" s="52"/>
    </row>
    <row r="1494" spans="1:1" x14ac:dyDescent="0.2">
      <c r="A1494" s="52"/>
    </row>
    <row r="1495" spans="1:1" x14ac:dyDescent="0.2">
      <c r="A1495" s="52"/>
    </row>
    <row r="1496" spans="1:1" x14ac:dyDescent="0.2">
      <c r="A1496" s="52"/>
    </row>
    <row r="1497" spans="1:1" x14ac:dyDescent="0.2">
      <c r="A1497" s="53"/>
    </row>
    <row r="1498" spans="1:1" x14ac:dyDescent="0.2">
      <c r="A1498" s="52"/>
    </row>
    <row r="1499" spans="1:1" x14ac:dyDescent="0.2">
      <c r="A1499" s="52"/>
    </row>
    <row r="1500" spans="1:1" x14ac:dyDescent="0.2">
      <c r="A1500" s="52"/>
    </row>
    <row r="1501" spans="1:1" x14ac:dyDescent="0.2">
      <c r="A1501" s="52"/>
    </row>
    <row r="1502" spans="1:1" x14ac:dyDescent="0.2">
      <c r="A1502" s="53"/>
    </row>
    <row r="1503" spans="1:1" x14ac:dyDescent="0.2">
      <c r="A1503" s="52"/>
    </row>
    <row r="1504" spans="1:1" x14ac:dyDescent="0.2">
      <c r="A1504" s="52"/>
    </row>
    <row r="1505" spans="1:1" x14ac:dyDescent="0.2">
      <c r="A1505" s="52"/>
    </row>
    <row r="1506" spans="1:1" x14ac:dyDescent="0.2">
      <c r="A1506" s="52"/>
    </row>
    <row r="1507" spans="1:1" x14ac:dyDescent="0.2">
      <c r="A1507" s="52"/>
    </row>
    <row r="1508" spans="1:1" x14ac:dyDescent="0.2">
      <c r="A1508" s="52"/>
    </row>
    <row r="1509" spans="1:1" x14ac:dyDescent="0.2">
      <c r="A1509" s="52"/>
    </row>
    <row r="1510" spans="1:1" x14ac:dyDescent="0.2">
      <c r="A1510" s="52"/>
    </row>
    <row r="1511" spans="1:1" x14ac:dyDescent="0.2">
      <c r="A1511" s="52"/>
    </row>
    <row r="1512" spans="1:1" x14ac:dyDescent="0.2">
      <c r="A1512" s="52"/>
    </row>
    <row r="1513" spans="1:1" x14ac:dyDescent="0.2">
      <c r="A1513" s="52"/>
    </row>
    <row r="1514" spans="1:1" x14ac:dyDescent="0.2">
      <c r="A1514" s="52"/>
    </row>
    <row r="1515" spans="1:1" x14ac:dyDescent="0.2">
      <c r="A1515" s="53"/>
    </row>
    <row r="1516" spans="1:1" x14ac:dyDescent="0.2">
      <c r="A1516" s="52"/>
    </row>
    <row r="1517" spans="1:1" x14ac:dyDescent="0.2">
      <c r="A1517" s="52"/>
    </row>
    <row r="1518" spans="1:1" x14ac:dyDescent="0.2">
      <c r="A1518" s="52"/>
    </row>
    <row r="1519" spans="1:1" x14ac:dyDescent="0.2">
      <c r="A1519" s="52"/>
    </row>
    <row r="1520" spans="1:1" x14ac:dyDescent="0.2">
      <c r="A1520" s="52"/>
    </row>
    <row r="1521" spans="1:1" x14ac:dyDescent="0.2">
      <c r="A1521" s="53"/>
    </row>
    <row r="1522" spans="1:1" x14ac:dyDescent="0.2">
      <c r="A1522" s="52"/>
    </row>
    <row r="1523" spans="1:1" x14ac:dyDescent="0.2">
      <c r="A1523" s="53"/>
    </row>
    <row r="1524" spans="1:1" x14ac:dyDescent="0.2">
      <c r="A1524" s="52"/>
    </row>
    <row r="1525" spans="1:1" x14ac:dyDescent="0.2">
      <c r="A1525" s="52"/>
    </row>
    <row r="1526" spans="1:1" x14ac:dyDescent="0.2">
      <c r="A1526" s="52"/>
    </row>
    <row r="1527" spans="1:1" x14ac:dyDescent="0.2">
      <c r="A1527" s="52"/>
    </row>
    <row r="1528" spans="1:1" x14ac:dyDescent="0.2">
      <c r="A1528" s="52"/>
    </row>
    <row r="1529" spans="1:1" x14ac:dyDescent="0.2">
      <c r="A1529" s="52"/>
    </row>
    <row r="1530" spans="1:1" x14ac:dyDescent="0.2">
      <c r="A1530" s="52"/>
    </row>
    <row r="1531" spans="1:1" x14ac:dyDescent="0.2">
      <c r="A1531" s="52"/>
    </row>
    <row r="1532" spans="1:1" x14ac:dyDescent="0.2">
      <c r="A1532" s="52"/>
    </row>
    <row r="1533" spans="1:1" x14ac:dyDescent="0.2">
      <c r="A1533" s="52"/>
    </row>
    <row r="1534" spans="1:1" x14ac:dyDescent="0.2">
      <c r="A1534" s="53"/>
    </row>
    <row r="1535" spans="1:1" x14ac:dyDescent="0.2">
      <c r="A1535" s="52"/>
    </row>
    <row r="1536" spans="1:1" x14ac:dyDescent="0.2">
      <c r="A1536" s="52"/>
    </row>
    <row r="1537" spans="1:1" x14ac:dyDescent="0.2">
      <c r="A1537" s="52"/>
    </row>
    <row r="1538" spans="1:1" x14ac:dyDescent="0.2">
      <c r="A1538" s="52"/>
    </row>
    <row r="1539" spans="1:1" x14ac:dyDescent="0.2">
      <c r="A1539" s="52"/>
    </row>
    <row r="1540" spans="1:1" x14ac:dyDescent="0.2">
      <c r="A1540" s="52"/>
    </row>
    <row r="1541" spans="1:1" x14ac:dyDescent="0.2">
      <c r="A1541" s="53"/>
    </row>
    <row r="1542" spans="1:1" x14ac:dyDescent="0.2">
      <c r="A1542" s="52"/>
    </row>
    <row r="1543" spans="1:1" x14ac:dyDescent="0.2">
      <c r="A1543" s="52"/>
    </row>
    <row r="1544" spans="1:1" x14ac:dyDescent="0.2">
      <c r="A1544" s="52"/>
    </row>
    <row r="1545" spans="1:1" x14ac:dyDescent="0.2">
      <c r="A1545" s="52"/>
    </row>
    <row r="1546" spans="1:1" x14ac:dyDescent="0.2">
      <c r="A1546" s="53"/>
    </row>
    <row r="1547" spans="1:1" x14ac:dyDescent="0.2">
      <c r="A1547" s="52"/>
    </row>
    <row r="1548" spans="1:1" x14ac:dyDescent="0.2">
      <c r="A1548" s="52"/>
    </row>
    <row r="1549" spans="1:1" x14ac:dyDescent="0.2">
      <c r="A1549" s="52"/>
    </row>
    <row r="1550" spans="1:1" x14ac:dyDescent="0.2">
      <c r="A1550" s="52"/>
    </row>
    <row r="1551" spans="1:1" x14ac:dyDescent="0.2">
      <c r="A1551" s="52"/>
    </row>
    <row r="1552" spans="1:1" x14ac:dyDescent="0.2">
      <c r="A1552" s="52"/>
    </row>
    <row r="1553" spans="1:1" x14ac:dyDescent="0.2">
      <c r="A1553" s="52"/>
    </row>
    <row r="1554" spans="1:1" x14ac:dyDescent="0.2">
      <c r="A1554" s="52"/>
    </row>
    <row r="1555" spans="1:1" x14ac:dyDescent="0.2">
      <c r="A1555" s="52"/>
    </row>
    <row r="1556" spans="1:1" x14ac:dyDescent="0.2">
      <c r="A1556" s="52"/>
    </row>
    <row r="1557" spans="1:1" x14ac:dyDescent="0.2">
      <c r="A1557" s="52"/>
    </row>
    <row r="1558" spans="1:1" x14ac:dyDescent="0.2">
      <c r="A1558" s="52"/>
    </row>
    <row r="1559" spans="1:1" x14ac:dyDescent="0.2">
      <c r="A1559" s="52"/>
    </row>
    <row r="1560" spans="1:1" x14ac:dyDescent="0.2">
      <c r="A1560" s="52"/>
    </row>
    <row r="1561" spans="1:1" x14ac:dyDescent="0.2">
      <c r="A1561" s="52"/>
    </row>
    <row r="1562" spans="1:1" x14ac:dyDescent="0.2">
      <c r="A1562" s="52"/>
    </row>
    <row r="1563" spans="1:1" x14ac:dyDescent="0.2">
      <c r="A1563" s="52"/>
    </row>
    <row r="1564" spans="1:1" x14ac:dyDescent="0.2">
      <c r="A1564" s="52"/>
    </row>
    <row r="1565" spans="1:1" x14ac:dyDescent="0.2">
      <c r="A1565" s="52"/>
    </row>
    <row r="1566" spans="1:1" x14ac:dyDescent="0.2">
      <c r="A1566" s="52"/>
    </row>
    <row r="1567" spans="1:1" x14ac:dyDescent="0.2">
      <c r="A1567" s="52"/>
    </row>
    <row r="1568" spans="1:1" x14ac:dyDescent="0.2">
      <c r="A1568" s="52"/>
    </row>
    <row r="1569" spans="1:1" x14ac:dyDescent="0.2">
      <c r="A1569" s="52"/>
    </row>
    <row r="1570" spans="1:1" x14ac:dyDescent="0.2">
      <c r="A1570" s="52"/>
    </row>
    <row r="1571" spans="1:1" x14ac:dyDescent="0.2">
      <c r="A1571" s="52"/>
    </row>
    <row r="1572" spans="1:1" x14ac:dyDescent="0.2">
      <c r="A1572" s="52"/>
    </row>
    <row r="1573" spans="1:1" x14ac:dyDescent="0.2">
      <c r="A1573" s="52"/>
    </row>
    <row r="1574" spans="1:1" x14ac:dyDescent="0.2">
      <c r="A1574" s="52"/>
    </row>
    <row r="1575" spans="1:1" x14ac:dyDescent="0.2">
      <c r="A1575" s="52"/>
    </row>
    <row r="1576" spans="1:1" x14ac:dyDescent="0.2">
      <c r="A1576" s="52"/>
    </row>
    <row r="1577" spans="1:1" x14ac:dyDescent="0.2">
      <c r="A1577" s="53"/>
    </row>
    <row r="1578" spans="1:1" x14ac:dyDescent="0.2">
      <c r="A1578" s="52"/>
    </row>
    <row r="1579" spans="1:1" x14ac:dyDescent="0.2">
      <c r="A1579" s="52"/>
    </row>
    <row r="1580" spans="1:1" x14ac:dyDescent="0.2">
      <c r="A1580" s="53"/>
    </row>
    <row r="1581" spans="1:1" x14ac:dyDescent="0.2">
      <c r="A1581" s="53"/>
    </row>
    <row r="1582" spans="1:1" x14ac:dyDescent="0.2">
      <c r="A1582" s="52"/>
    </row>
    <row r="1583" spans="1:1" x14ac:dyDescent="0.2">
      <c r="A1583" s="52"/>
    </row>
    <row r="1584" spans="1:1" x14ac:dyDescent="0.2">
      <c r="A1584" s="52"/>
    </row>
    <row r="1585" spans="1:1" x14ac:dyDescent="0.2">
      <c r="A1585" s="52"/>
    </row>
    <row r="1586" spans="1:1" x14ac:dyDescent="0.2">
      <c r="A1586" s="52"/>
    </row>
    <row r="1587" spans="1:1" x14ac:dyDescent="0.2">
      <c r="A1587" s="52"/>
    </row>
    <row r="1588" spans="1:1" x14ac:dyDescent="0.2">
      <c r="A1588" s="52"/>
    </row>
    <row r="1589" spans="1:1" x14ac:dyDescent="0.2">
      <c r="A1589" s="52"/>
    </row>
    <row r="1590" spans="1:1" x14ac:dyDescent="0.2">
      <c r="A1590" s="52"/>
    </row>
    <row r="1591" spans="1:1" x14ac:dyDescent="0.2">
      <c r="A1591" s="52"/>
    </row>
    <row r="1592" spans="1:1" x14ac:dyDescent="0.2">
      <c r="A1592" s="52"/>
    </row>
    <row r="1593" spans="1:1" x14ac:dyDescent="0.2">
      <c r="A1593" s="52"/>
    </row>
    <row r="1594" spans="1:1" x14ac:dyDescent="0.2">
      <c r="A1594" s="52"/>
    </row>
    <row r="1595" spans="1:1" x14ac:dyDescent="0.2">
      <c r="A1595" s="52"/>
    </row>
    <row r="1596" spans="1:1" x14ac:dyDescent="0.2">
      <c r="A1596" s="53"/>
    </row>
    <row r="1597" spans="1:1" x14ac:dyDescent="0.2">
      <c r="A1597" s="52"/>
    </row>
    <row r="1598" spans="1:1" x14ac:dyDescent="0.2">
      <c r="A1598" s="52"/>
    </row>
    <row r="1599" spans="1:1" x14ac:dyDescent="0.2">
      <c r="A1599" s="52"/>
    </row>
    <row r="1600" spans="1:1" x14ac:dyDescent="0.2">
      <c r="A1600" s="52"/>
    </row>
    <row r="1601" spans="1:1" x14ac:dyDescent="0.2">
      <c r="A1601" s="52"/>
    </row>
    <row r="1602" spans="1:1" x14ac:dyDescent="0.2">
      <c r="A1602" s="52"/>
    </row>
    <row r="1603" spans="1:1" x14ac:dyDescent="0.2">
      <c r="A1603" s="52"/>
    </row>
    <row r="1604" spans="1:1" x14ac:dyDescent="0.2">
      <c r="A1604" s="52"/>
    </row>
    <row r="1605" spans="1:1" x14ac:dyDescent="0.2">
      <c r="A1605" s="52"/>
    </row>
    <row r="1606" spans="1:1" x14ac:dyDescent="0.2">
      <c r="A1606" s="52"/>
    </row>
    <row r="1607" spans="1:1" x14ac:dyDescent="0.2">
      <c r="A1607" s="52"/>
    </row>
    <row r="1608" spans="1:1" x14ac:dyDescent="0.2">
      <c r="A1608" s="52"/>
    </row>
    <row r="1609" spans="1:1" x14ac:dyDescent="0.2">
      <c r="A1609" s="52"/>
    </row>
    <row r="1610" spans="1:1" x14ac:dyDescent="0.2">
      <c r="A1610" s="52"/>
    </row>
    <row r="1611" spans="1:1" x14ac:dyDescent="0.2">
      <c r="A1611" s="52"/>
    </row>
    <row r="1612" spans="1:1" x14ac:dyDescent="0.2">
      <c r="A1612" s="52"/>
    </row>
    <row r="1613" spans="1:1" x14ac:dyDescent="0.2">
      <c r="A1613" s="52"/>
    </row>
    <row r="1614" spans="1:1" x14ac:dyDescent="0.2">
      <c r="A1614" s="52"/>
    </row>
    <row r="1615" spans="1:1" x14ac:dyDescent="0.2">
      <c r="A1615" s="52"/>
    </row>
    <row r="1616" spans="1:1" x14ac:dyDescent="0.2">
      <c r="A1616" s="52"/>
    </row>
    <row r="1617" spans="1:1" x14ac:dyDescent="0.2">
      <c r="A1617" s="52"/>
    </row>
    <row r="1618" spans="1:1" x14ac:dyDescent="0.2">
      <c r="A1618" s="52"/>
    </row>
    <row r="1619" spans="1:1" x14ac:dyDescent="0.2">
      <c r="A1619" s="52"/>
    </row>
    <row r="1620" spans="1:1" x14ac:dyDescent="0.2">
      <c r="A1620" s="52"/>
    </row>
    <row r="1621" spans="1:1" x14ac:dyDescent="0.2">
      <c r="A1621" s="52"/>
    </row>
    <row r="1622" spans="1:1" x14ac:dyDescent="0.2">
      <c r="A1622" s="52"/>
    </row>
    <row r="1623" spans="1:1" x14ac:dyDescent="0.2">
      <c r="A1623" s="52"/>
    </row>
    <row r="1624" spans="1:1" x14ac:dyDescent="0.2">
      <c r="A1624" s="52"/>
    </row>
    <row r="1625" spans="1:1" x14ac:dyDescent="0.2">
      <c r="A1625" s="52"/>
    </row>
    <row r="1626" spans="1:1" x14ac:dyDescent="0.2">
      <c r="A1626" s="52"/>
    </row>
    <row r="1627" spans="1:1" x14ac:dyDescent="0.2">
      <c r="A1627" s="52"/>
    </row>
    <row r="1628" spans="1:1" x14ac:dyDescent="0.2">
      <c r="A1628" s="52"/>
    </row>
    <row r="1629" spans="1:1" x14ac:dyDescent="0.2">
      <c r="A1629" s="52"/>
    </row>
    <row r="1630" spans="1:1" x14ac:dyDescent="0.2">
      <c r="A1630" s="52"/>
    </row>
    <row r="1631" spans="1:1" x14ac:dyDescent="0.2">
      <c r="A1631" s="52"/>
    </row>
    <row r="1632" spans="1:1" x14ac:dyDescent="0.2">
      <c r="A1632" s="52"/>
    </row>
    <row r="1633" spans="1:1" x14ac:dyDescent="0.2">
      <c r="A1633" s="52"/>
    </row>
    <row r="1634" spans="1:1" x14ac:dyDescent="0.2">
      <c r="A1634" s="52"/>
    </row>
    <row r="1635" spans="1:1" x14ac:dyDescent="0.2">
      <c r="A1635" s="52"/>
    </row>
    <row r="1636" spans="1:1" x14ac:dyDescent="0.2">
      <c r="A1636" s="52"/>
    </row>
    <row r="1637" spans="1:1" x14ac:dyDescent="0.2">
      <c r="A1637" s="52"/>
    </row>
    <row r="1638" spans="1:1" x14ac:dyDescent="0.2">
      <c r="A1638" s="52"/>
    </row>
    <row r="1639" spans="1:1" x14ac:dyDescent="0.2">
      <c r="A1639" s="52"/>
    </row>
    <row r="1640" spans="1:1" x14ac:dyDescent="0.2">
      <c r="A1640" s="52"/>
    </row>
    <row r="1641" spans="1:1" x14ac:dyDescent="0.2">
      <c r="A1641" s="52"/>
    </row>
    <row r="1642" spans="1:1" x14ac:dyDescent="0.2">
      <c r="A1642" s="52"/>
    </row>
    <row r="1643" spans="1:1" x14ac:dyDescent="0.2">
      <c r="A1643" s="52"/>
    </row>
    <row r="1644" spans="1:1" x14ac:dyDescent="0.2">
      <c r="A1644" s="52"/>
    </row>
    <row r="1645" spans="1:1" x14ac:dyDescent="0.2">
      <c r="A1645" s="52"/>
    </row>
    <row r="1646" spans="1:1" x14ac:dyDescent="0.2">
      <c r="A1646" s="52"/>
    </row>
    <row r="1647" spans="1:1" x14ac:dyDescent="0.2">
      <c r="A1647" s="52"/>
    </row>
    <row r="1648" spans="1:1" x14ac:dyDescent="0.2">
      <c r="A1648" s="52"/>
    </row>
    <row r="1649" spans="1:1" x14ac:dyDescent="0.2">
      <c r="A1649" s="52"/>
    </row>
    <row r="1650" spans="1:1" x14ac:dyDescent="0.2">
      <c r="A1650" s="52"/>
    </row>
    <row r="1651" spans="1:1" x14ac:dyDescent="0.2">
      <c r="A1651" s="52"/>
    </row>
    <row r="1652" spans="1:1" x14ac:dyDescent="0.2">
      <c r="A1652" s="52"/>
    </row>
    <row r="1653" spans="1:1" x14ac:dyDescent="0.2">
      <c r="A1653" s="52"/>
    </row>
    <row r="1654" spans="1:1" x14ac:dyDescent="0.2">
      <c r="A1654" s="52"/>
    </row>
    <row r="1655" spans="1:1" x14ac:dyDescent="0.2">
      <c r="A1655" s="52"/>
    </row>
    <row r="1656" spans="1:1" x14ac:dyDescent="0.2">
      <c r="A1656" s="52"/>
    </row>
    <row r="1657" spans="1:1" x14ac:dyDescent="0.2">
      <c r="A1657" s="52"/>
    </row>
    <row r="1658" spans="1:1" x14ac:dyDescent="0.2">
      <c r="A1658" s="52"/>
    </row>
    <row r="1659" spans="1:1" x14ac:dyDescent="0.2">
      <c r="A1659" s="52"/>
    </row>
    <row r="1660" spans="1:1" x14ac:dyDescent="0.2">
      <c r="A1660" s="52"/>
    </row>
    <row r="1661" spans="1:1" x14ac:dyDescent="0.2">
      <c r="A1661" s="52"/>
    </row>
    <row r="1662" spans="1:1" x14ac:dyDescent="0.2">
      <c r="A1662" s="52"/>
    </row>
    <row r="1663" spans="1:1" x14ac:dyDescent="0.2">
      <c r="A1663" s="52"/>
    </row>
    <row r="1664" spans="1:1" x14ac:dyDescent="0.2">
      <c r="A1664" s="52"/>
    </row>
    <row r="1665" spans="1:1" x14ac:dyDescent="0.2">
      <c r="A1665" s="52"/>
    </row>
    <row r="1666" spans="1:1" x14ac:dyDescent="0.2">
      <c r="A1666" s="52"/>
    </row>
    <row r="1667" spans="1:1" x14ac:dyDescent="0.2">
      <c r="A1667" s="52"/>
    </row>
    <row r="1668" spans="1:1" x14ac:dyDescent="0.2">
      <c r="A1668" s="52"/>
    </row>
    <row r="1669" spans="1:1" x14ac:dyDescent="0.2">
      <c r="A1669" s="52"/>
    </row>
    <row r="1670" spans="1:1" x14ac:dyDescent="0.2">
      <c r="A1670" s="52"/>
    </row>
    <row r="1671" spans="1:1" x14ac:dyDescent="0.2">
      <c r="A1671" s="52"/>
    </row>
    <row r="1672" spans="1:1" x14ac:dyDescent="0.2">
      <c r="A1672" s="52"/>
    </row>
    <row r="1673" spans="1:1" x14ac:dyDescent="0.2">
      <c r="A1673" s="52"/>
    </row>
    <row r="1674" spans="1:1" x14ac:dyDescent="0.2">
      <c r="A1674" s="52"/>
    </row>
    <row r="1675" spans="1:1" x14ac:dyDescent="0.2">
      <c r="A1675" s="52"/>
    </row>
    <row r="1676" spans="1:1" x14ac:dyDescent="0.2">
      <c r="A1676" s="52"/>
    </row>
    <row r="1677" spans="1:1" x14ac:dyDescent="0.2">
      <c r="A1677" s="52"/>
    </row>
    <row r="1678" spans="1:1" x14ac:dyDescent="0.2">
      <c r="A1678" s="52"/>
    </row>
    <row r="1679" spans="1:1" x14ac:dyDescent="0.2">
      <c r="A1679" s="52"/>
    </row>
    <row r="1680" spans="1:1" x14ac:dyDescent="0.2">
      <c r="A1680" s="52"/>
    </row>
    <row r="1681" spans="1:1" x14ac:dyDescent="0.2">
      <c r="A1681" s="53"/>
    </row>
    <row r="1682" spans="1:1" x14ac:dyDescent="0.2">
      <c r="A1682" s="52"/>
    </row>
    <row r="1683" spans="1:1" x14ac:dyDescent="0.2">
      <c r="A1683" s="52"/>
    </row>
    <row r="1684" spans="1:1" x14ac:dyDescent="0.2">
      <c r="A1684" s="52"/>
    </row>
    <row r="1685" spans="1:1" x14ac:dyDescent="0.2">
      <c r="A1685" s="52"/>
    </row>
    <row r="1686" spans="1:1" x14ac:dyDescent="0.2">
      <c r="A1686" s="52"/>
    </row>
    <row r="1687" spans="1:1" x14ac:dyDescent="0.2">
      <c r="A1687" s="52"/>
    </row>
    <row r="1688" spans="1:1" x14ac:dyDescent="0.2">
      <c r="A1688" s="53"/>
    </row>
    <row r="1689" spans="1:1" x14ac:dyDescent="0.2">
      <c r="A1689" s="52"/>
    </row>
    <row r="1690" spans="1:1" x14ac:dyDescent="0.2">
      <c r="A1690" s="52"/>
    </row>
    <row r="1691" spans="1:1" x14ac:dyDescent="0.2">
      <c r="A1691" s="52"/>
    </row>
    <row r="1692" spans="1:1" x14ac:dyDescent="0.2">
      <c r="A1692" s="52"/>
    </row>
    <row r="1693" spans="1:1" x14ac:dyDescent="0.2">
      <c r="A1693" s="52"/>
    </row>
    <row r="1694" spans="1:1" x14ac:dyDescent="0.2">
      <c r="A1694" s="52"/>
    </row>
    <row r="1695" spans="1:1" x14ac:dyDescent="0.2">
      <c r="A1695" s="52"/>
    </row>
    <row r="1696" spans="1:1" x14ac:dyDescent="0.2">
      <c r="A1696" s="52"/>
    </row>
    <row r="1697" spans="1:1" x14ac:dyDescent="0.2">
      <c r="A1697" s="52"/>
    </row>
    <row r="1698" spans="1:1" x14ac:dyDescent="0.2">
      <c r="A1698" s="52"/>
    </row>
    <row r="1699" spans="1:1" x14ac:dyDescent="0.2">
      <c r="A1699" s="52"/>
    </row>
    <row r="1700" spans="1:1" x14ac:dyDescent="0.2">
      <c r="A1700" s="52"/>
    </row>
    <row r="1701" spans="1:1" x14ac:dyDescent="0.2">
      <c r="A1701" s="52"/>
    </row>
    <row r="1702" spans="1:1" x14ac:dyDescent="0.2">
      <c r="A1702" s="52"/>
    </row>
    <row r="1703" spans="1:1" x14ac:dyDescent="0.2">
      <c r="A1703" s="53"/>
    </row>
    <row r="1704" spans="1:1" x14ac:dyDescent="0.2">
      <c r="A1704" s="52"/>
    </row>
    <row r="1705" spans="1:1" x14ac:dyDescent="0.2">
      <c r="A1705" s="52"/>
    </row>
    <row r="1706" spans="1:1" x14ac:dyDescent="0.2">
      <c r="A1706" s="52"/>
    </row>
    <row r="1707" spans="1:1" x14ac:dyDescent="0.2">
      <c r="A1707" s="52"/>
    </row>
    <row r="1708" spans="1:1" x14ac:dyDescent="0.2">
      <c r="A1708" s="52"/>
    </row>
    <row r="1709" spans="1:1" x14ac:dyDescent="0.2">
      <c r="A1709" s="52"/>
    </row>
    <row r="1710" spans="1:1" x14ac:dyDescent="0.2">
      <c r="A1710" s="52"/>
    </row>
    <row r="1711" spans="1:1" x14ac:dyDescent="0.2">
      <c r="A1711" s="52"/>
    </row>
    <row r="1712" spans="1:1" x14ac:dyDescent="0.2">
      <c r="A1712" s="52"/>
    </row>
    <row r="1713" spans="1:1" x14ac:dyDescent="0.2">
      <c r="A1713" s="52"/>
    </row>
    <row r="1714" spans="1:1" x14ac:dyDescent="0.2">
      <c r="A1714" s="52"/>
    </row>
    <row r="1715" spans="1:1" x14ac:dyDescent="0.2">
      <c r="A1715" s="52"/>
    </row>
    <row r="1716" spans="1:1" x14ac:dyDescent="0.2">
      <c r="A1716" s="52"/>
    </row>
    <row r="1717" spans="1:1" x14ac:dyDescent="0.2">
      <c r="A1717" s="52"/>
    </row>
    <row r="1718" spans="1:1" x14ac:dyDescent="0.2">
      <c r="A1718" s="52"/>
    </row>
    <row r="1719" spans="1:1" x14ac:dyDescent="0.2">
      <c r="A1719" s="52"/>
    </row>
    <row r="1720" spans="1:1" x14ac:dyDescent="0.2">
      <c r="A1720" s="52"/>
    </row>
    <row r="1721" spans="1:1" x14ac:dyDescent="0.2">
      <c r="A1721" s="52"/>
    </row>
    <row r="1722" spans="1:1" x14ac:dyDescent="0.2">
      <c r="A1722" s="52"/>
    </row>
    <row r="1723" spans="1:1" x14ac:dyDescent="0.2">
      <c r="A1723" s="52"/>
    </row>
    <row r="1724" spans="1:1" x14ac:dyDescent="0.2">
      <c r="A1724" s="52"/>
    </row>
    <row r="1725" spans="1:1" x14ac:dyDescent="0.2">
      <c r="A1725" s="52"/>
    </row>
    <row r="1726" spans="1:1" x14ac:dyDescent="0.2">
      <c r="A1726" s="52"/>
    </row>
    <row r="1727" spans="1:1" x14ac:dyDescent="0.2">
      <c r="A1727" s="53"/>
    </row>
    <row r="1728" spans="1:1" x14ac:dyDescent="0.2">
      <c r="A1728" s="52"/>
    </row>
    <row r="1729" spans="1:1" x14ac:dyDescent="0.2">
      <c r="A1729" s="52"/>
    </row>
    <row r="1730" spans="1:1" x14ac:dyDescent="0.2">
      <c r="A1730" s="52"/>
    </row>
    <row r="1731" spans="1:1" x14ac:dyDescent="0.2">
      <c r="A1731" s="52"/>
    </row>
    <row r="1732" spans="1:1" x14ac:dyDescent="0.2">
      <c r="A1732" s="52"/>
    </row>
    <row r="1733" spans="1:1" x14ac:dyDescent="0.2">
      <c r="A1733" s="52"/>
    </row>
    <row r="1734" spans="1:1" x14ac:dyDescent="0.2">
      <c r="A1734" s="52"/>
    </row>
    <row r="1735" spans="1:1" x14ac:dyDescent="0.2">
      <c r="A1735" s="52"/>
    </row>
    <row r="1736" spans="1:1" x14ac:dyDescent="0.2">
      <c r="A1736" s="52"/>
    </row>
    <row r="1737" spans="1:1" x14ac:dyDescent="0.2">
      <c r="A1737" s="52"/>
    </row>
    <row r="1738" spans="1:1" x14ac:dyDescent="0.2">
      <c r="A1738" s="52"/>
    </row>
    <row r="1739" spans="1:1" x14ac:dyDescent="0.2">
      <c r="A1739" s="52"/>
    </row>
    <row r="1740" spans="1:1" x14ac:dyDescent="0.2">
      <c r="A1740" s="52"/>
    </row>
    <row r="1741" spans="1:1" x14ac:dyDescent="0.2">
      <c r="A1741" s="52"/>
    </row>
    <row r="1742" spans="1:1" x14ac:dyDescent="0.2">
      <c r="A1742" s="52"/>
    </row>
    <row r="1743" spans="1:1" x14ac:dyDescent="0.2">
      <c r="A1743" s="53"/>
    </row>
    <row r="1744" spans="1:1" x14ac:dyDescent="0.2">
      <c r="A1744" s="52"/>
    </row>
    <row r="1745" spans="1:1" x14ac:dyDescent="0.2">
      <c r="A1745" s="52"/>
    </row>
    <row r="1746" spans="1:1" x14ac:dyDescent="0.2">
      <c r="A1746" s="52"/>
    </row>
    <row r="1747" spans="1:1" x14ac:dyDescent="0.2">
      <c r="A1747" s="52"/>
    </row>
    <row r="1748" spans="1:1" x14ac:dyDescent="0.2">
      <c r="A1748" s="52"/>
    </row>
    <row r="1749" spans="1:1" x14ac:dyDescent="0.2">
      <c r="A1749" s="52"/>
    </row>
    <row r="1750" spans="1:1" x14ac:dyDescent="0.2">
      <c r="A1750" s="52"/>
    </row>
    <row r="1751" spans="1:1" x14ac:dyDescent="0.2">
      <c r="A1751" s="52"/>
    </row>
    <row r="1752" spans="1:1" x14ac:dyDescent="0.2">
      <c r="A1752" s="52"/>
    </row>
    <row r="1753" spans="1:1" x14ac:dyDescent="0.2">
      <c r="A1753" s="52"/>
    </row>
    <row r="1754" spans="1:1" x14ac:dyDescent="0.2">
      <c r="A1754" s="52"/>
    </row>
    <row r="1755" spans="1:1" x14ac:dyDescent="0.2">
      <c r="A1755" s="52"/>
    </row>
    <row r="1756" spans="1:1" x14ac:dyDescent="0.2">
      <c r="A1756" s="52"/>
    </row>
    <row r="1757" spans="1:1" x14ac:dyDescent="0.2">
      <c r="A1757" s="52"/>
    </row>
    <row r="1758" spans="1:1" x14ac:dyDescent="0.2">
      <c r="A1758" s="52"/>
    </row>
    <row r="1759" spans="1:1" x14ac:dyDescent="0.2">
      <c r="A1759" s="52"/>
    </row>
    <row r="1760" spans="1:1" x14ac:dyDescent="0.2">
      <c r="A1760" s="52"/>
    </row>
    <row r="1761" spans="1:1" x14ac:dyDescent="0.2">
      <c r="A1761" s="52"/>
    </row>
    <row r="1762" spans="1:1" x14ac:dyDescent="0.2">
      <c r="A1762" s="52"/>
    </row>
    <row r="1763" spans="1:1" x14ac:dyDescent="0.2">
      <c r="A1763" s="52"/>
    </row>
    <row r="1764" spans="1:1" x14ac:dyDescent="0.2">
      <c r="A1764" s="52"/>
    </row>
    <row r="1765" spans="1:1" x14ac:dyDescent="0.2">
      <c r="A1765" s="52"/>
    </row>
    <row r="1766" spans="1:1" x14ac:dyDescent="0.2">
      <c r="A1766" s="52"/>
    </row>
    <row r="1767" spans="1:1" x14ac:dyDescent="0.2">
      <c r="A1767" s="52"/>
    </row>
    <row r="1768" spans="1:1" x14ac:dyDescent="0.2">
      <c r="A1768" s="52"/>
    </row>
    <row r="1769" spans="1:1" x14ac:dyDescent="0.2">
      <c r="A1769" s="52"/>
    </row>
    <row r="1770" spans="1:1" x14ac:dyDescent="0.2">
      <c r="A1770" s="52"/>
    </row>
    <row r="1771" spans="1:1" x14ac:dyDescent="0.2">
      <c r="A1771" s="52"/>
    </row>
    <row r="1772" spans="1:1" x14ac:dyDescent="0.2">
      <c r="A1772" s="52"/>
    </row>
    <row r="1773" spans="1:1" x14ac:dyDescent="0.2">
      <c r="A1773" s="52"/>
    </row>
    <row r="1774" spans="1:1" x14ac:dyDescent="0.2">
      <c r="A1774" s="52"/>
    </row>
    <row r="1775" spans="1:1" x14ac:dyDescent="0.2">
      <c r="A1775" s="52"/>
    </row>
    <row r="1776" spans="1:1" x14ac:dyDescent="0.2">
      <c r="A1776" s="52"/>
    </row>
    <row r="1777" spans="1:1" x14ac:dyDescent="0.2">
      <c r="A1777" s="52"/>
    </row>
    <row r="1778" spans="1:1" x14ac:dyDescent="0.2">
      <c r="A1778" s="52"/>
    </row>
    <row r="1779" spans="1:1" x14ac:dyDescent="0.2">
      <c r="A1779" s="52"/>
    </row>
    <row r="1780" spans="1:1" x14ac:dyDescent="0.2">
      <c r="A1780" s="52"/>
    </row>
    <row r="1781" spans="1:1" x14ac:dyDescent="0.2">
      <c r="A1781" s="52"/>
    </row>
    <row r="1782" spans="1:1" x14ac:dyDescent="0.2">
      <c r="A1782" s="52"/>
    </row>
    <row r="1783" spans="1:1" x14ac:dyDescent="0.2">
      <c r="A1783" s="52"/>
    </row>
    <row r="1784" spans="1:1" x14ac:dyDescent="0.2">
      <c r="A1784" s="52"/>
    </row>
    <row r="1785" spans="1:1" x14ac:dyDescent="0.2">
      <c r="A1785" s="52"/>
    </row>
    <row r="1786" spans="1:1" x14ac:dyDescent="0.2">
      <c r="A1786" s="52"/>
    </row>
    <row r="1787" spans="1:1" x14ac:dyDescent="0.2">
      <c r="A1787" s="53"/>
    </row>
    <row r="1788" spans="1:1" x14ac:dyDescent="0.2">
      <c r="A1788" s="52"/>
    </row>
    <row r="1789" spans="1:1" x14ac:dyDescent="0.2">
      <c r="A1789" s="52"/>
    </row>
    <row r="1790" spans="1:1" x14ac:dyDescent="0.2">
      <c r="A1790" s="52"/>
    </row>
    <row r="1791" spans="1:1" x14ac:dyDescent="0.2">
      <c r="A1791" s="53"/>
    </row>
    <row r="1792" spans="1:1" x14ac:dyDescent="0.2">
      <c r="A1792" s="52"/>
    </row>
    <row r="1793" spans="1:1" x14ac:dyDescent="0.2">
      <c r="A1793" s="52"/>
    </row>
    <row r="1794" spans="1:1" x14ac:dyDescent="0.2">
      <c r="A1794" s="52"/>
    </row>
    <row r="1795" spans="1:1" x14ac:dyDescent="0.2">
      <c r="A1795" s="52"/>
    </row>
    <row r="1796" spans="1:1" x14ac:dyDescent="0.2">
      <c r="A1796" s="52"/>
    </row>
    <row r="1797" spans="1:1" x14ac:dyDescent="0.2">
      <c r="A1797" s="52"/>
    </row>
    <row r="1798" spans="1:1" x14ac:dyDescent="0.2">
      <c r="A1798" s="52"/>
    </row>
    <row r="1799" spans="1:1" x14ac:dyDescent="0.2">
      <c r="A1799" s="52"/>
    </row>
    <row r="1800" spans="1:1" x14ac:dyDescent="0.2">
      <c r="A1800" s="52"/>
    </row>
    <row r="1801" spans="1:1" x14ac:dyDescent="0.2">
      <c r="A1801" s="52"/>
    </row>
    <row r="1802" spans="1:1" x14ac:dyDescent="0.2">
      <c r="A1802" s="52"/>
    </row>
    <row r="1803" spans="1:1" x14ac:dyDescent="0.2">
      <c r="A1803" s="52"/>
    </row>
    <row r="1804" spans="1:1" x14ac:dyDescent="0.2">
      <c r="A1804" s="52"/>
    </row>
    <row r="1805" spans="1:1" x14ac:dyDescent="0.2">
      <c r="A1805" s="52"/>
    </row>
    <row r="1806" spans="1:1" x14ac:dyDescent="0.2">
      <c r="A1806" s="52"/>
    </row>
    <row r="1807" spans="1:1" x14ac:dyDescent="0.2">
      <c r="A1807" s="52"/>
    </row>
    <row r="1808" spans="1:1" x14ac:dyDescent="0.2">
      <c r="A1808" s="53"/>
    </row>
    <row r="1809" spans="1:1" x14ac:dyDescent="0.2">
      <c r="A1809" s="52"/>
    </row>
    <row r="1810" spans="1:1" x14ac:dyDescent="0.2">
      <c r="A1810" s="52"/>
    </row>
    <row r="1811" spans="1:1" x14ac:dyDescent="0.2">
      <c r="A1811" s="52"/>
    </row>
    <row r="1812" spans="1:1" x14ac:dyDescent="0.2">
      <c r="A1812" s="52"/>
    </row>
    <row r="1813" spans="1:1" x14ac:dyDescent="0.2">
      <c r="A1813" s="52"/>
    </row>
    <row r="1814" spans="1:1" x14ac:dyDescent="0.2">
      <c r="A1814" s="53"/>
    </row>
    <row r="1815" spans="1:1" x14ac:dyDescent="0.2">
      <c r="A1815" s="52"/>
    </row>
    <row r="1816" spans="1:1" x14ac:dyDescent="0.2">
      <c r="A1816" s="52"/>
    </row>
    <row r="1817" spans="1:1" x14ac:dyDescent="0.2">
      <c r="A1817" s="52"/>
    </row>
    <row r="1818" spans="1:1" x14ac:dyDescent="0.2">
      <c r="A1818" s="52"/>
    </row>
    <row r="1819" spans="1:1" x14ac:dyDescent="0.2">
      <c r="A1819" s="53"/>
    </row>
    <row r="1820" spans="1:1" x14ac:dyDescent="0.2">
      <c r="A1820" s="53"/>
    </row>
    <row r="1821" spans="1:1" x14ac:dyDescent="0.2">
      <c r="A1821" s="52"/>
    </row>
    <row r="1822" spans="1:1" x14ac:dyDescent="0.2">
      <c r="A1822" s="52"/>
    </row>
    <row r="1823" spans="1:1" x14ac:dyDescent="0.2">
      <c r="A1823" s="53"/>
    </row>
    <row r="1824" spans="1:1" x14ac:dyDescent="0.2">
      <c r="A1824" s="52"/>
    </row>
    <row r="1825" spans="1:1" x14ac:dyDescent="0.2">
      <c r="A1825" s="52"/>
    </row>
    <row r="1826" spans="1:1" x14ac:dyDescent="0.2">
      <c r="A1826" s="52"/>
    </row>
    <row r="1827" spans="1:1" x14ac:dyDescent="0.2">
      <c r="A1827" s="52"/>
    </row>
    <row r="1828" spans="1:1" x14ac:dyDescent="0.2">
      <c r="A1828" s="52"/>
    </row>
    <row r="1829" spans="1:1" x14ac:dyDescent="0.2">
      <c r="A1829" s="52"/>
    </row>
    <row r="1830" spans="1:1" x14ac:dyDescent="0.2">
      <c r="A1830" s="52"/>
    </row>
    <row r="1831" spans="1:1" x14ac:dyDescent="0.2">
      <c r="A1831" s="52"/>
    </row>
    <row r="1832" spans="1:1" x14ac:dyDescent="0.2">
      <c r="A1832" s="52"/>
    </row>
    <row r="1833" spans="1:1" x14ac:dyDescent="0.2">
      <c r="A1833" s="52"/>
    </row>
    <row r="1834" spans="1:1" x14ac:dyDescent="0.2">
      <c r="A1834" s="52"/>
    </row>
    <row r="1835" spans="1:1" x14ac:dyDescent="0.2">
      <c r="A1835" s="52"/>
    </row>
    <row r="1836" spans="1:1" x14ac:dyDescent="0.2">
      <c r="A1836" s="52"/>
    </row>
    <row r="1837" spans="1:1" x14ac:dyDescent="0.2">
      <c r="A1837" s="52"/>
    </row>
    <row r="1838" spans="1:1" x14ac:dyDescent="0.2">
      <c r="A1838" s="53"/>
    </row>
    <row r="1839" spans="1:1" x14ac:dyDescent="0.2">
      <c r="A1839" s="52"/>
    </row>
    <row r="1840" spans="1:1" x14ac:dyDescent="0.2">
      <c r="A1840" s="52"/>
    </row>
    <row r="1841" spans="1:1" x14ac:dyDescent="0.2">
      <c r="A1841" s="52"/>
    </row>
    <row r="1842" spans="1:1" x14ac:dyDescent="0.2">
      <c r="A1842" s="52"/>
    </row>
    <row r="1843" spans="1:1" x14ac:dyDescent="0.2">
      <c r="A1843" s="52"/>
    </row>
    <row r="1844" spans="1:1" x14ac:dyDescent="0.2">
      <c r="A1844" s="52"/>
    </row>
    <row r="1845" spans="1:1" x14ac:dyDescent="0.2">
      <c r="A1845" s="52"/>
    </row>
    <row r="1846" spans="1:1" x14ac:dyDescent="0.2">
      <c r="A1846" s="52"/>
    </row>
    <row r="1847" spans="1:1" x14ac:dyDescent="0.2">
      <c r="A1847" s="53"/>
    </row>
    <row r="1848" spans="1:1" x14ac:dyDescent="0.2">
      <c r="A1848" s="52"/>
    </row>
    <row r="1849" spans="1:1" x14ac:dyDescent="0.2">
      <c r="A1849" s="52"/>
    </row>
    <row r="1850" spans="1:1" x14ac:dyDescent="0.2">
      <c r="A1850" s="52"/>
    </row>
    <row r="1851" spans="1:1" x14ac:dyDescent="0.2">
      <c r="A1851" s="53"/>
    </row>
    <row r="1852" spans="1:1" x14ac:dyDescent="0.2">
      <c r="A1852" s="52"/>
    </row>
    <row r="1853" spans="1:1" x14ac:dyDescent="0.2">
      <c r="A1853" s="52"/>
    </row>
    <row r="1854" spans="1:1" x14ac:dyDescent="0.2">
      <c r="A1854" s="52"/>
    </row>
    <row r="1855" spans="1:1" x14ac:dyDescent="0.2">
      <c r="A1855" s="52"/>
    </row>
    <row r="1856" spans="1:1" x14ac:dyDescent="0.2">
      <c r="A1856" s="52"/>
    </row>
    <row r="1857" spans="1:1" x14ac:dyDescent="0.2">
      <c r="A1857" s="52"/>
    </row>
    <row r="1858" spans="1:1" x14ac:dyDescent="0.2">
      <c r="A1858" s="52"/>
    </row>
    <row r="1859" spans="1:1" x14ac:dyDescent="0.2">
      <c r="A1859" s="52"/>
    </row>
    <row r="1860" spans="1:1" x14ac:dyDescent="0.2">
      <c r="A1860" s="52"/>
    </row>
    <row r="1861" spans="1:1" x14ac:dyDescent="0.2">
      <c r="A1861" s="52"/>
    </row>
    <row r="1862" spans="1:1" x14ac:dyDescent="0.2">
      <c r="A1862" s="52"/>
    </row>
    <row r="1863" spans="1:1" x14ac:dyDescent="0.2">
      <c r="A1863" s="52"/>
    </row>
    <row r="1864" spans="1:1" x14ac:dyDescent="0.2">
      <c r="A1864" s="52"/>
    </row>
    <row r="1865" spans="1:1" x14ac:dyDescent="0.2">
      <c r="A1865" s="52"/>
    </row>
    <row r="1866" spans="1:1" x14ac:dyDescent="0.2">
      <c r="A1866" s="52"/>
    </row>
    <row r="1867" spans="1:1" x14ac:dyDescent="0.2">
      <c r="A1867" s="52"/>
    </row>
    <row r="1868" spans="1:1" x14ac:dyDescent="0.2">
      <c r="A1868" s="52"/>
    </row>
    <row r="1869" spans="1:1" x14ac:dyDescent="0.2">
      <c r="A1869" s="52"/>
    </row>
    <row r="1870" spans="1:1" x14ac:dyDescent="0.2">
      <c r="A1870" s="52"/>
    </row>
    <row r="1871" spans="1:1" x14ac:dyDescent="0.2">
      <c r="A1871" s="52"/>
    </row>
    <row r="1872" spans="1:1" x14ac:dyDescent="0.2">
      <c r="A1872" s="53"/>
    </row>
    <row r="1873" spans="1:1" x14ac:dyDescent="0.2">
      <c r="A1873" s="52"/>
    </row>
    <row r="1874" spans="1:1" x14ac:dyDescent="0.2">
      <c r="A1874" s="52"/>
    </row>
    <row r="1875" spans="1:1" x14ac:dyDescent="0.2">
      <c r="A1875" s="52"/>
    </row>
    <row r="1876" spans="1:1" x14ac:dyDescent="0.2">
      <c r="A1876" s="52"/>
    </row>
    <row r="1877" spans="1:1" x14ac:dyDescent="0.2">
      <c r="A1877" s="53"/>
    </row>
    <row r="1878" spans="1:1" x14ac:dyDescent="0.2">
      <c r="A1878" s="52"/>
    </row>
    <row r="1879" spans="1:1" x14ac:dyDescent="0.2">
      <c r="A1879" s="52"/>
    </row>
    <row r="1880" spans="1:1" x14ac:dyDescent="0.2">
      <c r="A1880" s="52"/>
    </row>
    <row r="1881" spans="1:1" x14ac:dyDescent="0.2">
      <c r="A1881" s="52"/>
    </row>
    <row r="1882" spans="1:1" x14ac:dyDescent="0.2">
      <c r="A1882" s="53"/>
    </row>
    <row r="1883" spans="1:1" x14ac:dyDescent="0.2">
      <c r="A1883" s="52"/>
    </row>
    <row r="1884" spans="1:1" x14ac:dyDescent="0.2">
      <c r="A1884" s="53"/>
    </row>
    <row r="1885" spans="1:1" x14ac:dyDescent="0.2">
      <c r="A1885" s="53"/>
    </row>
    <row r="1886" spans="1:1" x14ac:dyDescent="0.2">
      <c r="A1886" s="52"/>
    </row>
    <row r="1887" spans="1:1" x14ac:dyDescent="0.2">
      <c r="A1887" s="52"/>
    </row>
    <row r="1888" spans="1:1" x14ac:dyDescent="0.2">
      <c r="A1888" s="52"/>
    </row>
    <row r="1889" spans="1:1" x14ac:dyDescent="0.2">
      <c r="A1889" s="52"/>
    </row>
    <row r="1890" spans="1:1" x14ac:dyDescent="0.2">
      <c r="A1890" s="52"/>
    </row>
    <row r="1891" spans="1:1" x14ac:dyDescent="0.2">
      <c r="A1891" s="52"/>
    </row>
    <row r="1892" spans="1:1" x14ac:dyDescent="0.2">
      <c r="A1892" s="53"/>
    </row>
    <row r="1893" spans="1:1" x14ac:dyDescent="0.2">
      <c r="A1893" s="53"/>
    </row>
    <row r="1894" spans="1:1" x14ac:dyDescent="0.2">
      <c r="A1894" s="53"/>
    </row>
    <row r="1895" spans="1:1" x14ac:dyDescent="0.2">
      <c r="A1895" s="52"/>
    </row>
    <row r="1896" spans="1:1" x14ac:dyDescent="0.2">
      <c r="A1896" s="52"/>
    </row>
    <row r="1897" spans="1:1" x14ac:dyDescent="0.2">
      <c r="A1897" s="52"/>
    </row>
    <row r="1898" spans="1:1" x14ac:dyDescent="0.2">
      <c r="A1898" s="52"/>
    </row>
    <row r="1899" spans="1:1" x14ac:dyDescent="0.2">
      <c r="A1899" s="52"/>
    </row>
    <row r="1900" spans="1:1" x14ac:dyDescent="0.2">
      <c r="A1900" s="52"/>
    </row>
    <row r="1901" spans="1:1" x14ac:dyDescent="0.2">
      <c r="A1901" s="52"/>
    </row>
    <row r="1902" spans="1:1" x14ac:dyDescent="0.2">
      <c r="A1902" s="52"/>
    </row>
    <row r="1903" spans="1:1" x14ac:dyDescent="0.2">
      <c r="A1903" s="53"/>
    </row>
    <row r="1904" spans="1:1" x14ac:dyDescent="0.2">
      <c r="A1904" s="52"/>
    </row>
    <row r="1905" spans="1:1" x14ac:dyDescent="0.2">
      <c r="A1905" s="52"/>
    </row>
    <row r="1906" spans="1:1" x14ac:dyDescent="0.2">
      <c r="A1906" s="52"/>
    </row>
    <row r="1907" spans="1:1" x14ac:dyDescent="0.2">
      <c r="A1907" s="52"/>
    </row>
    <row r="1908" spans="1:1" x14ac:dyDescent="0.2">
      <c r="A1908" s="52"/>
    </row>
    <row r="1909" spans="1:1" x14ac:dyDescent="0.2">
      <c r="A1909" s="53"/>
    </row>
    <row r="1910" spans="1:1" x14ac:dyDescent="0.2">
      <c r="A1910" s="52"/>
    </row>
    <row r="1911" spans="1:1" x14ac:dyDescent="0.2">
      <c r="A1911" s="52"/>
    </row>
    <row r="1912" spans="1:1" x14ac:dyDescent="0.2">
      <c r="A1912" s="52"/>
    </row>
    <row r="1913" spans="1:1" x14ac:dyDescent="0.2">
      <c r="A1913" s="52"/>
    </row>
    <row r="1914" spans="1:1" x14ac:dyDescent="0.2">
      <c r="A1914" s="52"/>
    </row>
    <row r="1915" spans="1:1" x14ac:dyDescent="0.2">
      <c r="A1915" s="52"/>
    </row>
    <row r="1916" spans="1:1" x14ac:dyDescent="0.2">
      <c r="A1916" s="52"/>
    </row>
    <row r="1917" spans="1:1" x14ac:dyDescent="0.2">
      <c r="A1917" s="52"/>
    </row>
    <row r="1918" spans="1:1" x14ac:dyDescent="0.2">
      <c r="A1918" s="52"/>
    </row>
    <row r="1919" spans="1:1" x14ac:dyDescent="0.2">
      <c r="A1919" s="52"/>
    </row>
    <row r="1920" spans="1:1" x14ac:dyDescent="0.2">
      <c r="A1920" s="52"/>
    </row>
    <row r="1921" spans="1:1" x14ac:dyDescent="0.2">
      <c r="A1921" s="52"/>
    </row>
    <row r="1922" spans="1:1" x14ac:dyDescent="0.2">
      <c r="A1922" s="52"/>
    </row>
    <row r="1923" spans="1:1" x14ac:dyDescent="0.2">
      <c r="A1923" s="52"/>
    </row>
    <row r="1924" spans="1:1" x14ac:dyDescent="0.2">
      <c r="A1924" s="52"/>
    </row>
    <row r="1925" spans="1:1" x14ac:dyDescent="0.2">
      <c r="A1925" s="52"/>
    </row>
    <row r="1926" spans="1:1" x14ac:dyDescent="0.2">
      <c r="A1926" s="52"/>
    </row>
    <row r="1927" spans="1:1" x14ac:dyDescent="0.2">
      <c r="A1927" s="52"/>
    </row>
    <row r="1928" spans="1:1" x14ac:dyDescent="0.2">
      <c r="A1928" s="52"/>
    </row>
    <row r="1929" spans="1:1" x14ac:dyDescent="0.2">
      <c r="A1929" s="52"/>
    </row>
    <row r="1930" spans="1:1" x14ac:dyDescent="0.2">
      <c r="A1930" s="52"/>
    </row>
    <row r="1931" spans="1:1" x14ac:dyDescent="0.2">
      <c r="A1931" s="52"/>
    </row>
    <row r="1932" spans="1:1" x14ac:dyDescent="0.2">
      <c r="A1932" s="52"/>
    </row>
    <row r="1933" spans="1:1" x14ac:dyDescent="0.2">
      <c r="A1933" s="52"/>
    </row>
    <row r="1934" spans="1:1" x14ac:dyDescent="0.2">
      <c r="A1934" s="52"/>
    </row>
    <row r="1935" spans="1:1" x14ac:dyDescent="0.2">
      <c r="A1935" s="52"/>
    </row>
    <row r="1936" spans="1:1" x14ac:dyDescent="0.2">
      <c r="A1936" s="53"/>
    </row>
    <row r="1937" spans="1:1" x14ac:dyDescent="0.2">
      <c r="A1937" s="52"/>
    </row>
    <row r="1938" spans="1:1" x14ac:dyDescent="0.2">
      <c r="A1938" s="52"/>
    </row>
    <row r="1939" spans="1:1" x14ac:dyDescent="0.2">
      <c r="A1939" s="52"/>
    </row>
    <row r="1940" spans="1:1" x14ac:dyDescent="0.2">
      <c r="A1940" s="52"/>
    </row>
    <row r="1941" spans="1:1" x14ac:dyDescent="0.2">
      <c r="A1941" s="52"/>
    </row>
    <row r="1942" spans="1:1" x14ac:dyDescent="0.2">
      <c r="A1942" s="52"/>
    </row>
    <row r="1943" spans="1:1" x14ac:dyDescent="0.2">
      <c r="A1943" s="52"/>
    </row>
    <row r="1944" spans="1:1" x14ac:dyDescent="0.2">
      <c r="A1944" s="52"/>
    </row>
    <row r="1945" spans="1:1" x14ac:dyDescent="0.2">
      <c r="A1945" s="52"/>
    </row>
    <row r="1946" spans="1:1" x14ac:dyDescent="0.2">
      <c r="A1946" s="52"/>
    </row>
    <row r="1947" spans="1:1" x14ac:dyDescent="0.2">
      <c r="A1947" s="52"/>
    </row>
    <row r="1948" spans="1:1" x14ac:dyDescent="0.2">
      <c r="A1948" s="52"/>
    </row>
    <row r="1949" spans="1:1" x14ac:dyDescent="0.2">
      <c r="A1949" s="52"/>
    </row>
    <row r="1950" spans="1:1" x14ac:dyDescent="0.2">
      <c r="A1950" s="52"/>
    </row>
    <row r="1951" spans="1:1" x14ac:dyDescent="0.2">
      <c r="A1951" s="52"/>
    </row>
    <row r="1952" spans="1:1" x14ac:dyDescent="0.2">
      <c r="A1952" s="52"/>
    </row>
    <row r="1953" spans="1:1" x14ac:dyDescent="0.2">
      <c r="A1953" s="52"/>
    </row>
    <row r="1954" spans="1:1" x14ac:dyDescent="0.2">
      <c r="A1954" s="53"/>
    </row>
    <row r="1955" spans="1:1" x14ac:dyDescent="0.2">
      <c r="A1955" s="52"/>
    </row>
    <row r="1956" spans="1:1" x14ac:dyDescent="0.2">
      <c r="A1956" s="52"/>
    </row>
    <row r="1957" spans="1:1" x14ac:dyDescent="0.2">
      <c r="A1957" s="52"/>
    </row>
    <row r="1958" spans="1:1" x14ac:dyDescent="0.2">
      <c r="A1958" s="52"/>
    </row>
    <row r="1959" spans="1:1" x14ac:dyDescent="0.2">
      <c r="A1959" s="52"/>
    </row>
    <row r="1960" spans="1:1" x14ac:dyDescent="0.2">
      <c r="A1960" s="52"/>
    </row>
    <row r="1961" spans="1:1" x14ac:dyDescent="0.2">
      <c r="A1961" s="52"/>
    </row>
    <row r="1962" spans="1:1" x14ac:dyDescent="0.2">
      <c r="A1962" s="52"/>
    </row>
    <row r="1963" spans="1:1" x14ac:dyDescent="0.2">
      <c r="A1963" s="53"/>
    </row>
    <row r="1964" spans="1:1" x14ac:dyDescent="0.2">
      <c r="A1964" s="52"/>
    </row>
    <row r="1965" spans="1:1" x14ac:dyDescent="0.2">
      <c r="A1965" s="52"/>
    </row>
    <row r="1966" spans="1:1" x14ac:dyDescent="0.2">
      <c r="A1966" s="52"/>
    </row>
    <row r="1967" spans="1:1" x14ac:dyDescent="0.2">
      <c r="A1967" s="52"/>
    </row>
    <row r="1968" spans="1:1" x14ac:dyDescent="0.2">
      <c r="A1968" s="52"/>
    </row>
    <row r="1969" spans="1:1" x14ac:dyDescent="0.2">
      <c r="A1969" s="52"/>
    </row>
    <row r="1970" spans="1:1" x14ac:dyDescent="0.2">
      <c r="A1970" s="52"/>
    </row>
    <row r="1971" spans="1:1" x14ac:dyDescent="0.2">
      <c r="A1971" s="52"/>
    </row>
    <row r="1972" spans="1:1" x14ac:dyDescent="0.2">
      <c r="A1972" s="53"/>
    </row>
    <row r="1973" spans="1:1" x14ac:dyDescent="0.2">
      <c r="A1973" s="53"/>
    </row>
    <row r="1974" spans="1:1" x14ac:dyDescent="0.2">
      <c r="A1974" s="52"/>
    </row>
    <row r="1975" spans="1:1" x14ac:dyDescent="0.2">
      <c r="A1975" s="52"/>
    </row>
    <row r="1976" spans="1:1" x14ac:dyDescent="0.2">
      <c r="A1976" s="52"/>
    </row>
    <row r="1977" spans="1:1" x14ac:dyDescent="0.2">
      <c r="A1977" s="52"/>
    </row>
    <row r="1978" spans="1:1" x14ac:dyDescent="0.2">
      <c r="A1978" s="52"/>
    </row>
    <row r="1979" spans="1:1" x14ac:dyDescent="0.2">
      <c r="A1979" s="52"/>
    </row>
    <row r="1980" spans="1:1" x14ac:dyDescent="0.2">
      <c r="A1980" s="52"/>
    </row>
    <row r="1981" spans="1:1" x14ac:dyDescent="0.2">
      <c r="A1981" s="52"/>
    </row>
    <row r="1982" spans="1:1" x14ac:dyDescent="0.2">
      <c r="A1982" s="52"/>
    </row>
    <row r="1983" spans="1:1" x14ac:dyDescent="0.2">
      <c r="A1983" s="52"/>
    </row>
    <row r="1984" spans="1:1" x14ac:dyDescent="0.2">
      <c r="A1984" s="52"/>
    </row>
    <row r="1985" spans="1:1" x14ac:dyDescent="0.2">
      <c r="A1985" s="52"/>
    </row>
    <row r="1986" spans="1:1" x14ac:dyDescent="0.2">
      <c r="A1986" s="52"/>
    </row>
    <row r="1987" spans="1:1" x14ac:dyDescent="0.2">
      <c r="A1987" s="52"/>
    </row>
    <row r="1988" spans="1:1" x14ac:dyDescent="0.2">
      <c r="A1988" s="52"/>
    </row>
    <row r="1989" spans="1:1" x14ac:dyDescent="0.2">
      <c r="A1989" s="52"/>
    </row>
    <row r="1990" spans="1:1" x14ac:dyDescent="0.2">
      <c r="A1990" s="52"/>
    </row>
    <row r="1991" spans="1:1" x14ac:dyDescent="0.2">
      <c r="A1991" s="52"/>
    </row>
    <row r="1992" spans="1:1" x14ac:dyDescent="0.2">
      <c r="A1992" s="52"/>
    </row>
    <row r="1993" spans="1:1" x14ac:dyDescent="0.2">
      <c r="A1993" s="52"/>
    </row>
    <row r="1994" spans="1:1" x14ac:dyDescent="0.2">
      <c r="A1994" s="52"/>
    </row>
    <row r="1995" spans="1:1" x14ac:dyDescent="0.2">
      <c r="A1995" s="52"/>
    </row>
    <row r="1996" spans="1:1" x14ac:dyDescent="0.2">
      <c r="A1996" s="52"/>
    </row>
    <row r="1997" spans="1:1" x14ac:dyDescent="0.2">
      <c r="A1997" s="52"/>
    </row>
    <row r="1998" spans="1:1" x14ac:dyDescent="0.2">
      <c r="A1998" s="52"/>
    </row>
    <row r="1999" spans="1:1" x14ac:dyDescent="0.2">
      <c r="A1999" s="52"/>
    </row>
    <row r="2000" spans="1:1" x14ac:dyDescent="0.2">
      <c r="A2000" s="53"/>
    </row>
    <row r="2001" spans="1:1" x14ac:dyDescent="0.2">
      <c r="A2001" s="52"/>
    </row>
    <row r="2002" spans="1:1" x14ac:dyDescent="0.2">
      <c r="A2002" s="52"/>
    </row>
    <row r="2003" spans="1:1" x14ac:dyDescent="0.2">
      <c r="A2003" s="52"/>
    </row>
    <row r="2004" spans="1:1" x14ac:dyDescent="0.2">
      <c r="A2004" s="52"/>
    </row>
    <row r="2005" spans="1:1" x14ac:dyDescent="0.2">
      <c r="A2005" s="52"/>
    </row>
    <row r="2006" spans="1:1" x14ac:dyDescent="0.2">
      <c r="A2006" s="52"/>
    </row>
    <row r="2007" spans="1:1" x14ac:dyDescent="0.2">
      <c r="A2007" s="52"/>
    </row>
    <row r="2008" spans="1:1" x14ac:dyDescent="0.2">
      <c r="A2008" s="52"/>
    </row>
    <row r="2009" spans="1:1" x14ac:dyDescent="0.2">
      <c r="A2009" s="52"/>
    </row>
    <row r="2010" spans="1:1" x14ac:dyDescent="0.2">
      <c r="A2010" s="52"/>
    </row>
    <row r="2011" spans="1:1" x14ac:dyDescent="0.2">
      <c r="A2011" s="52"/>
    </row>
    <row r="2012" spans="1:1" x14ac:dyDescent="0.2">
      <c r="A2012" s="52"/>
    </row>
    <row r="2013" spans="1:1" x14ac:dyDescent="0.2">
      <c r="A2013" s="52"/>
    </row>
    <row r="2014" spans="1:1" x14ac:dyDescent="0.2">
      <c r="A2014" s="52"/>
    </row>
    <row r="2015" spans="1:1" x14ac:dyDescent="0.2">
      <c r="A2015" s="52"/>
    </row>
    <row r="2016" spans="1:1" x14ac:dyDescent="0.2">
      <c r="A2016" s="52"/>
    </row>
    <row r="2017" spans="1:1" x14ac:dyDescent="0.2">
      <c r="A2017" s="52"/>
    </row>
    <row r="2018" spans="1:1" x14ac:dyDescent="0.2">
      <c r="A2018" s="52"/>
    </row>
    <row r="2019" spans="1:1" x14ac:dyDescent="0.2">
      <c r="A2019" s="53"/>
    </row>
    <row r="2020" spans="1:1" x14ac:dyDescent="0.2">
      <c r="A2020" s="52"/>
    </row>
    <row r="2021" spans="1:1" x14ac:dyDescent="0.2">
      <c r="A2021" s="52"/>
    </row>
    <row r="2022" spans="1:1" x14ac:dyDescent="0.2">
      <c r="A2022" s="52"/>
    </row>
    <row r="2023" spans="1:1" x14ac:dyDescent="0.2">
      <c r="A2023" s="52"/>
    </row>
    <row r="2024" spans="1:1" x14ac:dyDescent="0.2">
      <c r="A2024" s="53"/>
    </row>
    <row r="2025" spans="1:1" x14ac:dyDescent="0.2">
      <c r="A2025" s="53"/>
    </row>
    <row r="2026" spans="1:1" x14ac:dyDescent="0.2">
      <c r="A2026" s="52"/>
    </row>
    <row r="2027" spans="1:1" x14ac:dyDescent="0.2">
      <c r="A2027" s="52"/>
    </row>
    <row r="2028" spans="1:1" x14ac:dyDescent="0.2">
      <c r="A2028" s="52"/>
    </row>
    <row r="2029" spans="1:1" x14ac:dyDescent="0.2">
      <c r="A2029" s="52"/>
    </row>
    <row r="2030" spans="1:1" x14ac:dyDescent="0.2">
      <c r="A2030" s="52"/>
    </row>
    <row r="2031" spans="1:1" x14ac:dyDescent="0.2">
      <c r="A2031" s="52"/>
    </row>
    <row r="2032" spans="1:1" x14ac:dyDescent="0.2">
      <c r="A2032" s="52"/>
    </row>
    <row r="2033" spans="1:1" x14ac:dyDescent="0.2">
      <c r="A2033" s="52"/>
    </row>
    <row r="2034" spans="1:1" x14ac:dyDescent="0.2">
      <c r="A2034" s="52"/>
    </row>
    <row r="2035" spans="1:1" x14ac:dyDescent="0.2">
      <c r="A2035" s="52"/>
    </row>
    <row r="2036" spans="1:1" x14ac:dyDescent="0.2">
      <c r="A2036" s="52"/>
    </row>
    <row r="2037" spans="1:1" x14ac:dyDescent="0.2">
      <c r="A2037" s="52"/>
    </row>
    <row r="2038" spans="1:1" x14ac:dyDescent="0.2">
      <c r="A2038" s="52"/>
    </row>
    <row r="2039" spans="1:1" x14ac:dyDescent="0.2">
      <c r="A2039" s="52"/>
    </row>
    <row r="2040" spans="1:1" x14ac:dyDescent="0.2">
      <c r="A2040" s="52"/>
    </row>
    <row r="2041" spans="1:1" x14ac:dyDescent="0.2">
      <c r="A2041" s="52"/>
    </row>
    <row r="2042" spans="1:1" x14ac:dyDescent="0.2">
      <c r="A2042" s="52"/>
    </row>
    <row r="2043" spans="1:1" x14ac:dyDescent="0.2">
      <c r="A2043" s="52"/>
    </row>
    <row r="2044" spans="1:1" x14ac:dyDescent="0.2">
      <c r="A2044" s="52"/>
    </row>
    <row r="2045" spans="1:1" x14ac:dyDescent="0.2">
      <c r="A2045" s="52"/>
    </row>
    <row r="2046" spans="1:1" x14ac:dyDescent="0.2">
      <c r="A2046" s="52"/>
    </row>
    <row r="2047" spans="1:1" x14ac:dyDescent="0.2">
      <c r="A2047" s="52"/>
    </row>
    <row r="2048" spans="1:1" x14ac:dyDescent="0.2">
      <c r="A2048" s="52"/>
    </row>
    <row r="2049" spans="1:1" x14ac:dyDescent="0.2">
      <c r="A2049" s="52"/>
    </row>
    <row r="2050" spans="1:1" x14ac:dyDescent="0.2">
      <c r="A2050" s="52"/>
    </row>
    <row r="2051" spans="1:1" x14ac:dyDescent="0.2">
      <c r="A2051" s="52"/>
    </row>
    <row r="2052" spans="1:1" x14ac:dyDescent="0.2">
      <c r="A2052" s="52"/>
    </row>
    <row r="2053" spans="1:1" x14ac:dyDescent="0.2">
      <c r="A2053" s="52"/>
    </row>
    <row r="2054" spans="1:1" x14ac:dyDescent="0.2">
      <c r="A2054" s="52"/>
    </row>
    <row r="2055" spans="1:1" x14ac:dyDescent="0.2">
      <c r="A2055" s="52"/>
    </row>
    <row r="2056" spans="1:1" x14ac:dyDescent="0.2">
      <c r="A2056" s="52"/>
    </row>
    <row r="2057" spans="1:1" x14ac:dyDescent="0.2">
      <c r="A2057" s="52"/>
    </row>
    <row r="2058" spans="1:1" x14ac:dyDescent="0.2">
      <c r="A2058" s="52"/>
    </row>
    <row r="2059" spans="1:1" x14ac:dyDescent="0.2">
      <c r="A2059" s="52"/>
    </row>
    <row r="2060" spans="1:1" x14ac:dyDescent="0.2">
      <c r="A2060" s="52"/>
    </row>
    <row r="2061" spans="1:1" x14ac:dyDescent="0.2">
      <c r="A2061" s="53"/>
    </row>
    <row r="2062" spans="1:1" x14ac:dyDescent="0.2">
      <c r="A2062" s="52"/>
    </row>
    <row r="2063" spans="1:1" x14ac:dyDescent="0.2">
      <c r="A2063" s="52"/>
    </row>
    <row r="2064" spans="1:1" x14ac:dyDescent="0.2">
      <c r="A2064" s="52"/>
    </row>
    <row r="2065" spans="1:1" x14ac:dyDescent="0.2">
      <c r="A2065" s="52"/>
    </row>
    <row r="2066" spans="1:1" x14ac:dyDescent="0.2">
      <c r="A2066" s="52"/>
    </row>
    <row r="2067" spans="1:1" x14ac:dyDescent="0.2">
      <c r="A2067" s="52"/>
    </row>
    <row r="2068" spans="1:1" x14ac:dyDescent="0.2">
      <c r="A2068" s="52"/>
    </row>
    <row r="2069" spans="1:1" x14ac:dyDescent="0.2">
      <c r="A2069" s="52"/>
    </row>
    <row r="2070" spans="1:1" x14ac:dyDescent="0.2">
      <c r="A2070" s="52"/>
    </row>
    <row r="2071" spans="1:1" x14ac:dyDescent="0.2">
      <c r="A2071" s="52"/>
    </row>
    <row r="2072" spans="1:1" x14ac:dyDescent="0.2">
      <c r="A2072" s="52"/>
    </row>
    <row r="2073" spans="1:1" x14ac:dyDescent="0.2">
      <c r="A2073" s="52"/>
    </row>
    <row r="2074" spans="1:1" x14ac:dyDescent="0.2">
      <c r="A2074" s="52"/>
    </row>
    <row r="2075" spans="1:1" x14ac:dyDescent="0.2">
      <c r="A2075" s="52"/>
    </row>
    <row r="2076" spans="1:1" x14ac:dyDescent="0.2">
      <c r="A2076" s="52"/>
    </row>
    <row r="2077" spans="1:1" x14ac:dyDescent="0.2">
      <c r="A2077" s="52"/>
    </row>
    <row r="2078" spans="1:1" x14ac:dyDescent="0.2">
      <c r="A2078" s="52"/>
    </row>
    <row r="2079" spans="1:1" x14ac:dyDescent="0.2">
      <c r="A2079" s="52"/>
    </row>
    <row r="2080" spans="1:1" x14ac:dyDescent="0.2">
      <c r="A2080" s="52"/>
    </row>
    <row r="2081" spans="1:1" x14ac:dyDescent="0.2">
      <c r="A2081" s="52"/>
    </row>
    <row r="2082" spans="1:1" x14ac:dyDescent="0.2">
      <c r="A2082" s="52"/>
    </row>
    <row r="2083" spans="1:1" x14ac:dyDescent="0.2">
      <c r="A2083" s="52"/>
    </row>
    <row r="2084" spans="1:1" x14ac:dyDescent="0.2">
      <c r="A2084" s="52"/>
    </row>
    <row r="2085" spans="1:1" x14ac:dyDescent="0.2">
      <c r="A2085" s="52"/>
    </row>
    <row r="2086" spans="1:1" x14ac:dyDescent="0.2">
      <c r="A2086" s="52"/>
    </row>
    <row r="2087" spans="1:1" x14ac:dyDescent="0.2">
      <c r="A2087" s="52"/>
    </row>
    <row r="2088" spans="1:1" x14ac:dyDescent="0.2">
      <c r="A2088" s="52"/>
    </row>
    <row r="2089" spans="1:1" x14ac:dyDescent="0.2">
      <c r="A2089" s="52"/>
    </row>
    <row r="2090" spans="1:1" x14ac:dyDescent="0.2">
      <c r="A2090" s="52"/>
    </row>
    <row r="2091" spans="1:1" x14ac:dyDescent="0.2">
      <c r="A2091" s="52"/>
    </row>
    <row r="2092" spans="1:1" x14ac:dyDescent="0.2">
      <c r="A2092" s="52"/>
    </row>
    <row r="2093" spans="1:1" x14ac:dyDescent="0.2">
      <c r="A2093" s="52"/>
    </row>
    <row r="2094" spans="1:1" x14ac:dyDescent="0.2">
      <c r="A2094" s="52"/>
    </row>
    <row r="2095" spans="1:1" x14ac:dyDescent="0.2">
      <c r="A2095" s="52"/>
    </row>
    <row r="2096" spans="1:1" x14ac:dyDescent="0.2">
      <c r="A2096" s="52"/>
    </row>
    <row r="2097" spans="1:1" x14ac:dyDescent="0.2">
      <c r="A2097" s="52"/>
    </row>
    <row r="2098" spans="1:1" x14ac:dyDescent="0.2">
      <c r="A2098" s="52"/>
    </row>
    <row r="2099" spans="1:1" x14ac:dyDescent="0.2">
      <c r="A2099" s="52"/>
    </row>
    <row r="2100" spans="1:1" x14ac:dyDescent="0.2">
      <c r="A2100" s="52"/>
    </row>
    <row r="2101" spans="1:1" x14ac:dyDescent="0.2">
      <c r="A2101" s="52"/>
    </row>
    <row r="2102" spans="1:1" x14ac:dyDescent="0.2">
      <c r="A2102" s="52"/>
    </row>
    <row r="2103" spans="1:1" x14ac:dyDescent="0.2">
      <c r="A2103" s="52"/>
    </row>
    <row r="2104" spans="1:1" x14ac:dyDescent="0.2">
      <c r="A2104" s="52"/>
    </row>
    <row r="2105" spans="1:1" x14ac:dyDescent="0.2">
      <c r="A2105" s="52"/>
    </row>
    <row r="2106" spans="1:1" x14ac:dyDescent="0.2">
      <c r="A2106" s="52"/>
    </row>
    <row r="2107" spans="1:1" x14ac:dyDescent="0.2">
      <c r="A2107" s="52"/>
    </row>
    <row r="2108" spans="1:1" x14ac:dyDescent="0.2">
      <c r="A2108" s="52"/>
    </row>
    <row r="2109" spans="1:1" x14ac:dyDescent="0.2">
      <c r="A2109" s="52"/>
    </row>
    <row r="2110" spans="1:1" x14ac:dyDescent="0.2">
      <c r="A2110" s="52"/>
    </row>
    <row r="2111" spans="1:1" x14ac:dyDescent="0.2">
      <c r="A2111" s="52"/>
    </row>
    <row r="2112" spans="1:1" x14ac:dyDescent="0.2">
      <c r="A2112" s="52"/>
    </row>
    <row r="2113" spans="1:1" x14ac:dyDescent="0.2">
      <c r="A2113" s="52"/>
    </row>
    <row r="2114" spans="1:1" x14ac:dyDescent="0.2">
      <c r="A2114" s="52"/>
    </row>
    <row r="2115" spans="1:1" x14ac:dyDescent="0.2">
      <c r="A2115" s="52"/>
    </row>
    <row r="2116" spans="1:1" x14ac:dyDescent="0.2">
      <c r="A2116" s="52"/>
    </row>
    <row r="2117" spans="1:1" x14ac:dyDescent="0.2">
      <c r="A2117" s="52"/>
    </row>
    <row r="2118" spans="1:1" x14ac:dyDescent="0.2">
      <c r="A2118" s="52"/>
    </row>
    <row r="2119" spans="1:1" x14ac:dyDescent="0.2">
      <c r="A2119" s="52"/>
    </row>
    <row r="2120" spans="1:1" x14ac:dyDescent="0.2">
      <c r="A2120" s="52"/>
    </row>
    <row r="2121" spans="1:1" x14ac:dyDescent="0.2">
      <c r="A2121" s="52"/>
    </row>
    <row r="2122" spans="1:1" x14ac:dyDescent="0.2">
      <c r="A2122" s="52"/>
    </row>
    <row r="2123" spans="1:1" x14ac:dyDescent="0.2">
      <c r="A2123" s="52"/>
    </row>
    <row r="2124" spans="1:1" x14ac:dyDescent="0.2">
      <c r="A2124" s="52"/>
    </row>
    <row r="2125" spans="1:1" x14ac:dyDescent="0.2">
      <c r="A2125" s="52"/>
    </row>
    <row r="2126" spans="1:1" x14ac:dyDescent="0.2">
      <c r="A2126" s="52"/>
    </row>
    <row r="2127" spans="1:1" x14ac:dyDescent="0.2">
      <c r="A2127" s="52"/>
    </row>
    <row r="2128" spans="1:1" x14ac:dyDescent="0.2">
      <c r="A2128" s="52"/>
    </row>
    <row r="2129" spans="1:1" x14ac:dyDescent="0.2">
      <c r="A2129" s="52"/>
    </row>
    <row r="2130" spans="1:1" x14ac:dyDescent="0.2">
      <c r="A2130" s="52"/>
    </row>
    <row r="2131" spans="1:1" x14ac:dyDescent="0.2">
      <c r="A2131" s="52"/>
    </row>
    <row r="2132" spans="1:1" x14ac:dyDescent="0.2">
      <c r="A2132" s="52"/>
    </row>
    <row r="2133" spans="1:1" x14ac:dyDescent="0.2">
      <c r="A2133" s="52"/>
    </row>
    <row r="2134" spans="1:1" x14ac:dyDescent="0.2">
      <c r="A2134" s="52"/>
    </row>
    <row r="2135" spans="1:1" x14ac:dyDescent="0.2">
      <c r="A2135" s="52"/>
    </row>
    <row r="2136" spans="1:1" x14ac:dyDescent="0.2">
      <c r="A2136" s="52"/>
    </row>
    <row r="2137" spans="1:1" x14ac:dyDescent="0.2">
      <c r="A2137" s="52"/>
    </row>
    <row r="2138" spans="1:1" x14ac:dyDescent="0.2">
      <c r="A2138" s="52"/>
    </row>
    <row r="2139" spans="1:1" x14ac:dyDescent="0.2">
      <c r="A2139" s="52"/>
    </row>
    <row r="2140" spans="1:1" x14ac:dyDescent="0.2">
      <c r="A2140" s="52"/>
    </row>
    <row r="2141" spans="1:1" x14ac:dyDescent="0.2">
      <c r="A2141" s="52"/>
    </row>
    <row r="2142" spans="1:1" x14ac:dyDescent="0.2">
      <c r="A2142" s="52"/>
    </row>
    <row r="2143" spans="1:1" x14ac:dyDescent="0.2">
      <c r="A2143" s="52"/>
    </row>
    <row r="2144" spans="1:1" x14ac:dyDescent="0.2">
      <c r="A2144" s="52"/>
    </row>
    <row r="2145" spans="1:1" x14ac:dyDescent="0.2">
      <c r="A2145" s="52"/>
    </row>
    <row r="2146" spans="1:1" x14ac:dyDescent="0.2">
      <c r="A2146" s="52"/>
    </row>
    <row r="2147" spans="1:1" x14ac:dyDescent="0.2">
      <c r="A2147" s="52"/>
    </row>
    <row r="2148" spans="1:1" x14ac:dyDescent="0.2">
      <c r="A2148" s="52"/>
    </row>
    <row r="2149" spans="1:1" x14ac:dyDescent="0.2">
      <c r="A2149" s="52"/>
    </row>
    <row r="2150" spans="1:1" x14ac:dyDescent="0.2">
      <c r="A2150" s="52"/>
    </row>
    <row r="2151" spans="1:1" x14ac:dyDescent="0.2">
      <c r="A2151" s="53"/>
    </row>
    <row r="2152" spans="1:1" x14ac:dyDescent="0.2">
      <c r="A2152" s="52"/>
    </row>
    <row r="2153" spans="1:1" x14ac:dyDescent="0.2">
      <c r="A2153" s="52"/>
    </row>
    <row r="2154" spans="1:1" x14ac:dyDescent="0.2">
      <c r="A2154" s="52"/>
    </row>
    <row r="2155" spans="1:1" x14ac:dyDescent="0.2">
      <c r="A2155" s="52"/>
    </row>
    <row r="2156" spans="1:1" x14ac:dyDescent="0.2">
      <c r="A2156" s="52"/>
    </row>
    <row r="2157" spans="1:1" x14ac:dyDescent="0.2">
      <c r="A2157" s="52"/>
    </row>
    <row r="2158" spans="1:1" x14ac:dyDescent="0.2">
      <c r="A2158" s="52"/>
    </row>
    <row r="2159" spans="1:1" x14ac:dyDescent="0.2">
      <c r="A2159" s="52"/>
    </row>
    <row r="2160" spans="1:1" x14ac:dyDescent="0.2">
      <c r="A2160" s="52"/>
    </row>
    <row r="2161" spans="1:1" x14ac:dyDescent="0.2">
      <c r="A2161" s="53"/>
    </row>
    <row r="2162" spans="1:1" x14ac:dyDescent="0.2">
      <c r="A2162" s="52"/>
    </row>
    <row r="2163" spans="1:1" x14ac:dyDescent="0.2">
      <c r="A2163" s="52"/>
    </row>
    <row r="2164" spans="1:1" x14ac:dyDescent="0.2">
      <c r="A2164" s="52"/>
    </row>
    <row r="2165" spans="1:1" x14ac:dyDescent="0.2">
      <c r="A2165" s="52"/>
    </row>
    <row r="2166" spans="1:1" x14ac:dyDescent="0.2">
      <c r="A2166" s="52"/>
    </row>
    <row r="2167" spans="1:1" x14ac:dyDescent="0.2">
      <c r="A2167" s="52"/>
    </row>
    <row r="2168" spans="1:1" x14ac:dyDescent="0.2">
      <c r="A2168" s="52"/>
    </row>
    <row r="2169" spans="1:1" x14ac:dyDescent="0.2">
      <c r="A2169" s="52"/>
    </row>
    <row r="2170" spans="1:1" x14ac:dyDescent="0.2">
      <c r="A2170" s="52"/>
    </row>
    <row r="2171" spans="1:1" x14ac:dyDescent="0.2">
      <c r="A2171" s="52"/>
    </row>
    <row r="2172" spans="1:1" x14ac:dyDescent="0.2">
      <c r="A2172" s="52"/>
    </row>
    <row r="2173" spans="1:1" x14ac:dyDescent="0.2">
      <c r="A2173" s="52"/>
    </row>
    <row r="2174" spans="1:1" x14ac:dyDescent="0.2">
      <c r="A2174" s="52"/>
    </row>
    <row r="2175" spans="1:1" x14ac:dyDescent="0.2">
      <c r="A2175" s="52"/>
    </row>
    <row r="2176" spans="1:1" x14ac:dyDescent="0.2">
      <c r="A2176" s="52"/>
    </row>
    <row r="2177" spans="1:1" x14ac:dyDescent="0.2">
      <c r="A2177" s="52"/>
    </row>
    <row r="2178" spans="1:1" x14ac:dyDescent="0.2">
      <c r="A2178" s="52"/>
    </row>
    <row r="2179" spans="1:1" x14ac:dyDescent="0.2">
      <c r="A2179" s="52"/>
    </row>
    <row r="2180" spans="1:1" x14ac:dyDescent="0.2">
      <c r="A2180" s="52"/>
    </row>
    <row r="2181" spans="1:1" x14ac:dyDescent="0.2">
      <c r="A2181" s="52"/>
    </row>
    <row r="2182" spans="1:1" x14ac:dyDescent="0.2">
      <c r="A2182" s="52"/>
    </row>
    <row r="2183" spans="1:1" x14ac:dyDescent="0.2">
      <c r="A2183" s="52"/>
    </row>
    <row r="2184" spans="1:1" x14ac:dyDescent="0.2">
      <c r="A2184" s="52"/>
    </row>
    <row r="2185" spans="1:1" x14ac:dyDescent="0.2">
      <c r="A2185" s="52"/>
    </row>
    <row r="2186" spans="1:1" x14ac:dyDescent="0.2">
      <c r="A2186" s="52"/>
    </row>
    <row r="2187" spans="1:1" x14ac:dyDescent="0.2">
      <c r="A2187" s="52"/>
    </row>
    <row r="2188" spans="1:1" x14ac:dyDescent="0.2">
      <c r="A2188" s="52"/>
    </row>
    <row r="2189" spans="1:1" x14ac:dyDescent="0.2">
      <c r="A2189" s="52"/>
    </row>
    <row r="2190" spans="1:1" x14ac:dyDescent="0.2">
      <c r="A2190" s="52"/>
    </row>
    <row r="2191" spans="1:1" x14ac:dyDescent="0.2">
      <c r="A2191" s="52"/>
    </row>
    <row r="2192" spans="1:1" x14ac:dyDescent="0.2">
      <c r="A2192" s="52"/>
    </row>
    <row r="2193" spans="1:1" x14ac:dyDescent="0.2">
      <c r="A2193" s="52"/>
    </row>
    <row r="2194" spans="1:1" x14ac:dyDescent="0.2">
      <c r="A2194" s="52"/>
    </row>
    <row r="2195" spans="1:1" x14ac:dyDescent="0.2">
      <c r="A2195" s="52"/>
    </row>
    <row r="2196" spans="1:1" x14ac:dyDescent="0.2">
      <c r="A2196" s="52"/>
    </row>
    <row r="2197" spans="1:1" x14ac:dyDescent="0.2">
      <c r="A2197" s="52"/>
    </row>
    <row r="2198" spans="1:1" x14ac:dyDescent="0.2">
      <c r="A2198" s="52"/>
    </row>
    <row r="2199" spans="1:1" x14ac:dyDescent="0.2">
      <c r="A2199" s="52"/>
    </row>
    <row r="2200" spans="1:1" x14ac:dyDescent="0.2">
      <c r="A2200" s="52"/>
    </row>
    <row r="2201" spans="1:1" x14ac:dyDescent="0.2">
      <c r="A2201" s="53"/>
    </row>
    <row r="2202" spans="1:1" x14ac:dyDescent="0.2">
      <c r="A2202" s="52"/>
    </row>
    <row r="2203" spans="1:1" x14ac:dyDescent="0.2">
      <c r="A2203" s="52"/>
    </row>
    <row r="2204" spans="1:1" x14ac:dyDescent="0.2">
      <c r="A2204" s="52"/>
    </row>
    <row r="2205" spans="1:1" x14ac:dyDescent="0.2">
      <c r="A2205" s="52"/>
    </row>
    <row r="2206" spans="1:1" x14ac:dyDescent="0.2">
      <c r="A2206" s="52"/>
    </row>
    <row r="2207" spans="1:1" x14ac:dyDescent="0.2">
      <c r="A2207" s="52"/>
    </row>
    <row r="2208" spans="1:1" x14ac:dyDescent="0.2">
      <c r="A2208" s="53"/>
    </row>
    <row r="2209" spans="1:1" x14ac:dyDescent="0.2">
      <c r="A2209" s="52"/>
    </row>
    <row r="2210" spans="1:1" x14ac:dyDescent="0.2">
      <c r="A2210" s="52"/>
    </row>
    <row r="2211" spans="1:1" x14ac:dyDescent="0.2">
      <c r="A2211" s="52"/>
    </row>
    <row r="2212" spans="1:1" x14ac:dyDescent="0.2">
      <c r="A2212" s="52"/>
    </row>
    <row r="2213" spans="1:1" x14ac:dyDescent="0.2">
      <c r="A2213" s="52"/>
    </row>
    <row r="2214" spans="1:1" x14ac:dyDescent="0.2">
      <c r="A2214" s="52"/>
    </row>
    <row r="2215" spans="1:1" x14ac:dyDescent="0.2">
      <c r="A2215" s="52"/>
    </row>
    <row r="2216" spans="1:1" x14ac:dyDescent="0.2">
      <c r="A2216" s="52"/>
    </row>
    <row r="2217" spans="1:1" x14ac:dyDescent="0.2">
      <c r="A2217" s="52"/>
    </row>
    <row r="2218" spans="1:1" x14ac:dyDescent="0.2">
      <c r="A2218" s="52"/>
    </row>
    <row r="2219" spans="1:1" x14ac:dyDescent="0.2">
      <c r="A2219" s="53"/>
    </row>
    <row r="2220" spans="1:1" x14ac:dyDescent="0.2">
      <c r="A2220" s="52"/>
    </row>
    <row r="2221" spans="1:1" x14ac:dyDescent="0.2">
      <c r="A2221" s="52"/>
    </row>
    <row r="2222" spans="1:1" x14ac:dyDescent="0.2">
      <c r="A2222" s="52"/>
    </row>
    <row r="2223" spans="1:1" x14ac:dyDescent="0.2">
      <c r="A2223" s="53"/>
    </row>
    <row r="2224" spans="1:1" x14ac:dyDescent="0.2">
      <c r="A2224" s="52"/>
    </row>
    <row r="2225" spans="1:1" x14ac:dyDescent="0.2">
      <c r="A2225" s="52"/>
    </row>
    <row r="2226" spans="1:1" x14ac:dyDescent="0.2">
      <c r="A2226" s="53"/>
    </row>
    <row r="2227" spans="1:1" x14ac:dyDescent="0.2">
      <c r="A2227" s="53"/>
    </row>
    <row r="2228" spans="1:1" x14ac:dyDescent="0.2">
      <c r="A2228" s="53"/>
    </row>
    <row r="2229" spans="1:1" x14ac:dyDescent="0.2">
      <c r="A2229" s="52"/>
    </row>
    <row r="2230" spans="1:1" x14ac:dyDescent="0.2">
      <c r="A2230" s="52"/>
    </row>
    <row r="2231" spans="1:1" x14ac:dyDescent="0.2">
      <c r="A2231" s="52"/>
    </row>
    <row r="2232" spans="1:1" x14ac:dyDescent="0.2">
      <c r="A2232" s="52"/>
    </row>
    <row r="2233" spans="1:1" x14ac:dyDescent="0.2">
      <c r="A2233" s="52"/>
    </row>
    <row r="2234" spans="1:1" x14ac:dyDescent="0.2">
      <c r="A2234" s="52"/>
    </row>
    <row r="2235" spans="1:1" x14ac:dyDescent="0.2">
      <c r="A2235" s="52"/>
    </row>
    <row r="2236" spans="1:1" x14ac:dyDescent="0.2">
      <c r="A2236" s="52"/>
    </row>
    <row r="2237" spans="1:1" x14ac:dyDescent="0.2">
      <c r="A2237" s="52"/>
    </row>
    <row r="2238" spans="1:1" x14ac:dyDescent="0.2">
      <c r="A2238" s="52"/>
    </row>
    <row r="2239" spans="1:1" x14ac:dyDescent="0.2">
      <c r="A2239" s="52"/>
    </row>
    <row r="2240" spans="1:1" x14ac:dyDescent="0.2">
      <c r="A2240" s="52"/>
    </row>
    <row r="2241" spans="1:1" x14ac:dyDescent="0.2">
      <c r="A2241" s="52"/>
    </row>
    <row r="2242" spans="1:1" x14ac:dyDescent="0.2">
      <c r="A2242" s="52"/>
    </row>
    <row r="2243" spans="1:1" x14ac:dyDescent="0.2">
      <c r="A2243" s="52"/>
    </row>
    <row r="2244" spans="1:1" x14ac:dyDescent="0.2">
      <c r="A2244" s="52"/>
    </row>
    <row r="2245" spans="1:1" x14ac:dyDescent="0.2">
      <c r="A2245" s="52"/>
    </row>
    <row r="2246" spans="1:1" x14ac:dyDescent="0.2">
      <c r="A2246" s="52"/>
    </row>
    <row r="2247" spans="1:1" x14ac:dyDescent="0.2">
      <c r="A2247" s="52"/>
    </row>
    <row r="2248" spans="1:1" x14ac:dyDescent="0.2">
      <c r="A2248" s="52"/>
    </row>
    <row r="2249" spans="1:1" x14ac:dyDescent="0.2">
      <c r="A2249" s="52"/>
    </row>
    <row r="2250" spans="1:1" x14ac:dyDescent="0.2">
      <c r="A2250" s="52"/>
    </row>
    <row r="2251" spans="1:1" x14ac:dyDescent="0.2">
      <c r="A2251" s="52"/>
    </row>
    <row r="2252" spans="1:1" x14ac:dyDescent="0.2">
      <c r="A2252" s="52"/>
    </row>
    <row r="2253" spans="1:1" x14ac:dyDescent="0.2">
      <c r="A2253" s="52"/>
    </row>
    <row r="2254" spans="1:1" x14ac:dyDescent="0.2">
      <c r="A2254" s="52"/>
    </row>
    <row r="2255" spans="1:1" x14ac:dyDescent="0.2">
      <c r="A2255" s="52"/>
    </row>
    <row r="2256" spans="1:1" x14ac:dyDescent="0.2">
      <c r="A2256" s="52"/>
    </row>
    <row r="2257" spans="1:1" x14ac:dyDescent="0.2">
      <c r="A2257" s="52"/>
    </row>
    <row r="2258" spans="1:1" x14ac:dyDescent="0.2">
      <c r="A2258" s="52"/>
    </row>
    <row r="2259" spans="1:1" x14ac:dyDescent="0.2">
      <c r="A2259" s="52"/>
    </row>
    <row r="2260" spans="1:1" x14ac:dyDescent="0.2">
      <c r="A2260" s="52"/>
    </row>
    <row r="2261" spans="1:1" x14ac:dyDescent="0.2">
      <c r="A2261" s="52"/>
    </row>
    <row r="2262" spans="1:1" x14ac:dyDescent="0.2">
      <c r="A2262" s="52"/>
    </row>
    <row r="2263" spans="1:1" x14ac:dyDescent="0.2">
      <c r="A2263" s="52"/>
    </row>
    <row r="2264" spans="1:1" x14ac:dyDescent="0.2">
      <c r="A2264" s="52"/>
    </row>
    <row r="2265" spans="1:1" x14ac:dyDescent="0.2">
      <c r="A2265" s="52"/>
    </row>
    <row r="2266" spans="1:1" x14ac:dyDescent="0.2">
      <c r="A2266" s="52"/>
    </row>
    <row r="2267" spans="1:1" x14ac:dyDescent="0.2">
      <c r="A2267" s="52"/>
    </row>
    <row r="2268" spans="1:1" x14ac:dyDescent="0.2">
      <c r="A2268" s="52"/>
    </row>
    <row r="2269" spans="1:1" x14ac:dyDescent="0.2">
      <c r="A2269" s="52"/>
    </row>
    <row r="2270" spans="1:1" x14ac:dyDescent="0.2">
      <c r="A2270" s="52"/>
    </row>
    <row r="2271" spans="1:1" x14ac:dyDescent="0.2">
      <c r="A2271" s="52"/>
    </row>
    <row r="2272" spans="1:1" x14ac:dyDescent="0.2">
      <c r="A2272" s="52"/>
    </row>
    <row r="2273" spans="1:1" x14ac:dyDescent="0.2">
      <c r="A2273" s="52"/>
    </row>
    <row r="2274" spans="1:1" x14ac:dyDescent="0.2">
      <c r="A2274" s="52"/>
    </row>
    <row r="2275" spans="1:1" x14ac:dyDescent="0.2">
      <c r="A2275" s="52"/>
    </row>
    <row r="2276" spans="1:1" x14ac:dyDescent="0.2">
      <c r="A2276" s="52"/>
    </row>
    <row r="2277" spans="1:1" x14ac:dyDescent="0.2">
      <c r="A2277" s="52"/>
    </row>
    <row r="2278" spans="1:1" x14ac:dyDescent="0.2">
      <c r="A2278" s="52"/>
    </row>
    <row r="2279" spans="1:1" x14ac:dyDescent="0.2">
      <c r="A2279" s="52"/>
    </row>
    <row r="2280" spans="1:1" x14ac:dyDescent="0.2">
      <c r="A2280" s="52"/>
    </row>
    <row r="2281" spans="1:1" x14ac:dyDescent="0.2">
      <c r="A2281" s="52"/>
    </row>
    <row r="2282" spans="1:1" x14ac:dyDescent="0.2">
      <c r="A2282" s="52"/>
    </row>
    <row r="2283" spans="1:1" x14ac:dyDescent="0.2">
      <c r="A2283" s="52"/>
    </row>
    <row r="2284" spans="1:1" x14ac:dyDescent="0.2">
      <c r="A2284" s="52"/>
    </row>
    <row r="2285" spans="1:1" x14ac:dyDescent="0.2">
      <c r="A2285" s="52"/>
    </row>
    <row r="2286" spans="1:1" x14ac:dyDescent="0.2">
      <c r="A2286" s="52"/>
    </row>
    <row r="2287" spans="1:1" x14ac:dyDescent="0.2">
      <c r="A2287" s="52"/>
    </row>
    <row r="2288" spans="1:1" x14ac:dyDescent="0.2">
      <c r="A2288" s="52"/>
    </row>
    <row r="2289" spans="1:1" x14ac:dyDescent="0.2">
      <c r="A2289" s="52"/>
    </row>
    <row r="2290" spans="1:1" x14ac:dyDescent="0.2">
      <c r="A2290" s="52"/>
    </row>
    <row r="2291" spans="1:1" x14ac:dyDescent="0.2">
      <c r="A2291" s="52"/>
    </row>
    <row r="2292" spans="1:1" x14ac:dyDescent="0.2">
      <c r="A2292" s="52"/>
    </row>
    <row r="2293" spans="1:1" x14ac:dyDescent="0.2">
      <c r="A2293" s="52"/>
    </row>
    <row r="2294" spans="1:1" x14ac:dyDescent="0.2">
      <c r="A2294" s="52"/>
    </row>
    <row r="2295" spans="1:1" x14ac:dyDescent="0.2">
      <c r="A2295" s="52"/>
    </row>
    <row r="2296" spans="1:1" x14ac:dyDescent="0.2">
      <c r="A2296" s="52"/>
    </row>
    <row r="2297" spans="1:1" x14ac:dyDescent="0.2">
      <c r="A2297" s="52"/>
    </row>
    <row r="2298" spans="1:1" x14ac:dyDescent="0.2">
      <c r="A2298" s="52"/>
    </row>
    <row r="2299" spans="1:1" x14ac:dyDescent="0.2">
      <c r="A2299" s="52"/>
    </row>
    <row r="2300" spans="1:1" x14ac:dyDescent="0.2">
      <c r="A2300" s="52"/>
    </row>
    <row r="2301" spans="1:1" x14ac:dyDescent="0.2">
      <c r="A2301" s="52"/>
    </row>
    <row r="2302" spans="1:1" x14ac:dyDescent="0.2">
      <c r="A2302" s="52"/>
    </row>
    <row r="2303" spans="1:1" x14ac:dyDescent="0.2">
      <c r="A2303" s="52"/>
    </row>
    <row r="2304" spans="1:1" x14ac:dyDescent="0.2">
      <c r="A2304" s="52"/>
    </row>
    <row r="2305" spans="1:1" x14ac:dyDescent="0.2">
      <c r="A2305" s="52"/>
    </row>
    <row r="2306" spans="1:1" x14ac:dyDescent="0.2">
      <c r="A2306" s="52"/>
    </row>
    <row r="2307" spans="1:1" x14ac:dyDescent="0.2">
      <c r="A2307" s="52"/>
    </row>
    <row r="2308" spans="1:1" x14ac:dyDescent="0.2">
      <c r="A2308" s="52"/>
    </row>
    <row r="2309" spans="1:1" x14ac:dyDescent="0.2">
      <c r="A2309" s="52"/>
    </row>
    <row r="2310" spans="1:1" x14ac:dyDescent="0.2">
      <c r="A2310" s="52"/>
    </row>
    <row r="2311" spans="1:1" x14ac:dyDescent="0.2">
      <c r="A2311" s="52"/>
    </row>
    <row r="2312" spans="1:1" x14ac:dyDescent="0.2">
      <c r="A2312" s="52"/>
    </row>
    <row r="2313" spans="1:1" x14ac:dyDescent="0.2">
      <c r="A2313" s="52"/>
    </row>
    <row r="2314" spans="1:1" x14ac:dyDescent="0.2">
      <c r="A2314" s="52"/>
    </row>
    <row r="2315" spans="1:1" x14ac:dyDescent="0.2">
      <c r="A2315" s="52"/>
    </row>
    <row r="2316" spans="1:1" x14ac:dyDescent="0.2">
      <c r="A2316" s="52"/>
    </row>
    <row r="2317" spans="1:1" x14ac:dyDescent="0.2">
      <c r="A2317" s="52"/>
    </row>
    <row r="2318" spans="1:1" x14ac:dyDescent="0.2">
      <c r="A2318" s="52"/>
    </row>
    <row r="2319" spans="1:1" x14ac:dyDescent="0.2">
      <c r="A2319" s="52"/>
    </row>
    <row r="2320" spans="1:1" x14ac:dyDescent="0.2">
      <c r="A2320" s="52"/>
    </row>
    <row r="2321" spans="1:1" x14ac:dyDescent="0.2">
      <c r="A2321" s="52"/>
    </row>
    <row r="2322" spans="1:1" x14ac:dyDescent="0.2">
      <c r="A2322" s="52"/>
    </row>
    <row r="2323" spans="1:1" x14ac:dyDescent="0.2">
      <c r="A2323" s="52"/>
    </row>
    <row r="2324" spans="1:1" x14ac:dyDescent="0.2">
      <c r="A2324" s="52"/>
    </row>
    <row r="2325" spans="1:1" x14ac:dyDescent="0.2">
      <c r="A2325" s="52"/>
    </row>
    <row r="2326" spans="1:1" x14ac:dyDescent="0.2">
      <c r="A2326" s="52"/>
    </row>
    <row r="2327" spans="1:1" x14ac:dyDescent="0.2">
      <c r="A2327" s="52"/>
    </row>
    <row r="2328" spans="1:1" x14ac:dyDescent="0.2">
      <c r="A2328" s="53"/>
    </row>
    <row r="2329" spans="1:1" x14ac:dyDescent="0.2">
      <c r="A2329" s="53"/>
    </row>
    <row r="2330" spans="1:1" x14ac:dyDescent="0.2">
      <c r="A2330" s="53"/>
    </row>
    <row r="2331" spans="1:1" x14ac:dyDescent="0.2">
      <c r="A2331" s="53"/>
    </row>
    <row r="2332" spans="1:1" x14ac:dyDescent="0.2">
      <c r="A2332" s="52"/>
    </row>
    <row r="2333" spans="1:1" x14ac:dyDescent="0.2">
      <c r="A2333" s="52"/>
    </row>
    <row r="2334" spans="1:1" x14ac:dyDescent="0.2">
      <c r="A2334" s="52"/>
    </row>
    <row r="2335" spans="1:1" x14ac:dyDescent="0.2">
      <c r="A2335" s="52"/>
    </row>
    <row r="2336" spans="1:1" x14ac:dyDescent="0.2">
      <c r="A2336" s="52"/>
    </row>
    <row r="2337" spans="1:1" x14ac:dyDescent="0.2">
      <c r="A2337" s="52"/>
    </row>
    <row r="2338" spans="1:1" x14ac:dyDescent="0.2">
      <c r="A2338" s="52"/>
    </row>
    <row r="2339" spans="1:1" x14ac:dyDescent="0.2">
      <c r="A2339" s="53"/>
    </row>
    <row r="2340" spans="1:1" x14ac:dyDescent="0.2">
      <c r="A2340" s="52"/>
    </row>
    <row r="2341" spans="1:1" x14ac:dyDescent="0.2">
      <c r="A2341" s="52"/>
    </row>
    <row r="2342" spans="1:1" x14ac:dyDescent="0.2">
      <c r="A2342" s="52"/>
    </row>
    <row r="2343" spans="1:1" x14ac:dyDescent="0.2">
      <c r="A2343" s="52"/>
    </row>
    <row r="2344" spans="1:1" x14ac:dyDescent="0.2">
      <c r="A2344" s="53"/>
    </row>
    <row r="2345" spans="1:1" x14ac:dyDescent="0.2">
      <c r="A2345" s="52"/>
    </row>
    <row r="2346" spans="1:1" x14ac:dyDescent="0.2">
      <c r="A2346" s="52"/>
    </row>
    <row r="2347" spans="1:1" x14ac:dyDescent="0.2">
      <c r="A2347" s="52"/>
    </row>
    <row r="2348" spans="1:1" x14ac:dyDescent="0.2">
      <c r="A2348" s="52"/>
    </row>
    <row r="2349" spans="1:1" x14ac:dyDescent="0.2">
      <c r="A2349" s="52"/>
    </row>
    <row r="2350" spans="1:1" x14ac:dyDescent="0.2">
      <c r="A2350" s="53"/>
    </row>
    <row r="2351" spans="1:1" x14ac:dyDescent="0.2">
      <c r="A2351" s="53"/>
    </row>
    <row r="2352" spans="1:1" x14ac:dyDescent="0.2">
      <c r="A2352" s="53"/>
    </row>
    <row r="2353" spans="1:1" x14ac:dyDescent="0.2">
      <c r="A2353" s="52"/>
    </row>
    <row r="2354" spans="1:1" x14ac:dyDescent="0.2">
      <c r="A2354" s="52"/>
    </row>
    <row r="2355" spans="1:1" x14ac:dyDescent="0.2">
      <c r="A2355" s="53"/>
    </row>
    <row r="2356" spans="1:1" x14ac:dyDescent="0.2">
      <c r="A2356" s="52"/>
    </row>
    <row r="2357" spans="1:1" x14ac:dyDescent="0.2">
      <c r="A2357" s="52"/>
    </row>
    <row r="2358" spans="1:1" x14ac:dyDescent="0.2">
      <c r="A2358" s="52"/>
    </row>
    <row r="2359" spans="1:1" x14ac:dyDescent="0.2">
      <c r="A2359" s="52"/>
    </row>
    <row r="2360" spans="1:1" x14ac:dyDescent="0.2">
      <c r="A2360" s="52"/>
    </row>
    <row r="2361" spans="1:1" x14ac:dyDescent="0.2">
      <c r="A2361" s="52"/>
    </row>
    <row r="2362" spans="1:1" x14ac:dyDescent="0.2">
      <c r="A2362" s="52"/>
    </row>
    <row r="2363" spans="1:1" x14ac:dyDescent="0.2">
      <c r="A2363" s="52"/>
    </row>
    <row r="2364" spans="1:1" x14ac:dyDescent="0.2">
      <c r="A2364" s="52"/>
    </row>
    <row r="2365" spans="1:1" x14ac:dyDescent="0.2">
      <c r="A2365" s="53"/>
    </row>
    <row r="2366" spans="1:1" x14ac:dyDescent="0.2">
      <c r="A2366" s="52"/>
    </row>
    <row r="2367" spans="1:1" x14ac:dyDescent="0.2">
      <c r="A2367" s="52"/>
    </row>
    <row r="2368" spans="1:1" x14ac:dyDescent="0.2">
      <c r="A2368" s="52"/>
    </row>
    <row r="2369" spans="1:1" x14ac:dyDescent="0.2">
      <c r="A2369" s="53"/>
    </row>
    <row r="2370" spans="1:1" x14ac:dyDescent="0.2">
      <c r="A2370" s="52"/>
    </row>
    <row r="2371" spans="1:1" x14ac:dyDescent="0.2">
      <c r="A2371" s="52"/>
    </row>
    <row r="2372" spans="1:1" x14ac:dyDescent="0.2">
      <c r="A2372" s="53"/>
    </row>
    <row r="2373" spans="1:1" x14ac:dyDescent="0.2">
      <c r="A2373" s="52"/>
    </row>
    <row r="2374" spans="1:1" x14ac:dyDescent="0.2">
      <c r="A2374" s="53"/>
    </row>
    <row r="2375" spans="1:1" x14ac:dyDescent="0.2">
      <c r="A2375" s="52"/>
    </row>
    <row r="2376" spans="1:1" x14ac:dyDescent="0.2">
      <c r="A2376" s="52"/>
    </row>
    <row r="2377" spans="1:1" x14ac:dyDescent="0.2">
      <c r="A2377" s="52"/>
    </row>
    <row r="2378" spans="1:1" x14ac:dyDescent="0.2">
      <c r="A2378" s="52"/>
    </row>
    <row r="2379" spans="1:1" x14ac:dyDescent="0.2">
      <c r="A2379" s="53"/>
    </row>
    <row r="2380" spans="1:1" x14ac:dyDescent="0.2">
      <c r="A2380" s="52"/>
    </row>
    <row r="2381" spans="1:1" x14ac:dyDescent="0.2">
      <c r="A2381" s="52"/>
    </row>
    <row r="2382" spans="1:1" x14ac:dyDescent="0.2">
      <c r="A2382" s="53"/>
    </row>
    <row r="2383" spans="1:1" x14ac:dyDescent="0.2">
      <c r="A2383" s="52"/>
    </row>
    <row r="2384" spans="1:1" x14ac:dyDescent="0.2">
      <c r="A2384" s="52"/>
    </row>
    <row r="2385" spans="1:1" x14ac:dyDescent="0.2">
      <c r="A2385" s="52"/>
    </row>
    <row r="2386" spans="1:1" x14ac:dyDescent="0.2">
      <c r="A2386" s="52"/>
    </row>
    <row r="2387" spans="1:1" x14ac:dyDescent="0.2">
      <c r="A2387" s="52"/>
    </row>
    <row r="2388" spans="1:1" x14ac:dyDescent="0.2">
      <c r="A2388" s="52"/>
    </row>
    <row r="2389" spans="1:1" x14ac:dyDescent="0.2">
      <c r="A2389" s="52"/>
    </row>
    <row r="2390" spans="1:1" x14ac:dyDescent="0.2">
      <c r="A2390" s="52"/>
    </row>
    <row r="2391" spans="1:1" x14ac:dyDescent="0.2">
      <c r="A2391" s="52"/>
    </row>
    <row r="2392" spans="1:1" x14ac:dyDescent="0.2">
      <c r="A2392" s="52"/>
    </row>
    <row r="2393" spans="1:1" x14ac:dyDescent="0.2">
      <c r="A2393" s="52"/>
    </row>
    <row r="2394" spans="1:1" x14ac:dyDescent="0.2">
      <c r="A2394" s="52"/>
    </row>
    <row r="2395" spans="1:1" x14ac:dyDescent="0.2">
      <c r="A2395" s="52"/>
    </row>
    <row r="2396" spans="1:1" x14ac:dyDescent="0.2">
      <c r="A2396" s="52"/>
    </row>
    <row r="2397" spans="1:1" x14ac:dyDescent="0.2">
      <c r="A2397" s="52"/>
    </row>
    <row r="2398" spans="1:1" x14ac:dyDescent="0.2">
      <c r="A2398" s="52"/>
    </row>
    <row r="2399" spans="1:1" x14ac:dyDescent="0.2">
      <c r="A2399" s="52"/>
    </row>
    <row r="2400" spans="1:1" x14ac:dyDescent="0.2">
      <c r="A2400" s="52"/>
    </row>
    <row r="2401" spans="1:1" x14ac:dyDescent="0.2">
      <c r="A2401" s="52"/>
    </row>
    <row r="2402" spans="1:1" x14ac:dyDescent="0.2">
      <c r="A2402" s="52"/>
    </row>
    <row r="2403" spans="1:1" x14ac:dyDescent="0.2">
      <c r="A2403" s="52"/>
    </row>
    <row r="2404" spans="1:1" x14ac:dyDescent="0.2">
      <c r="A2404" s="52"/>
    </row>
    <row r="2405" spans="1:1" x14ac:dyDescent="0.2">
      <c r="A2405" s="52"/>
    </row>
    <row r="2406" spans="1:1" x14ac:dyDescent="0.2">
      <c r="A2406" s="52"/>
    </row>
    <row r="2407" spans="1:1" x14ac:dyDescent="0.2">
      <c r="A2407" s="52"/>
    </row>
    <row r="2408" spans="1:1" x14ac:dyDescent="0.2">
      <c r="A2408" s="52"/>
    </row>
    <row r="2409" spans="1:1" x14ac:dyDescent="0.2">
      <c r="A2409" s="52"/>
    </row>
    <row r="2410" spans="1:1" x14ac:dyDescent="0.2">
      <c r="A2410" s="52"/>
    </row>
    <row r="2411" spans="1:1" x14ac:dyDescent="0.2">
      <c r="A2411" s="52"/>
    </row>
    <row r="2412" spans="1:1" x14ac:dyDescent="0.2">
      <c r="A2412" s="52"/>
    </row>
    <row r="2413" spans="1:1" x14ac:dyDescent="0.2">
      <c r="A2413" s="52"/>
    </row>
    <row r="2414" spans="1:1" x14ac:dyDescent="0.2">
      <c r="A2414" s="52"/>
    </row>
    <row r="2415" spans="1:1" x14ac:dyDescent="0.2">
      <c r="A2415" s="52"/>
    </row>
    <row r="2416" spans="1:1" x14ac:dyDescent="0.2">
      <c r="A2416" s="52"/>
    </row>
    <row r="2417" spans="1:1" x14ac:dyDescent="0.2">
      <c r="A2417" s="52"/>
    </row>
    <row r="2418" spans="1:1" x14ac:dyDescent="0.2">
      <c r="A2418" s="52"/>
    </row>
    <row r="2419" spans="1:1" x14ac:dyDescent="0.2">
      <c r="A2419" s="53"/>
    </row>
    <row r="2420" spans="1:1" x14ac:dyDescent="0.2">
      <c r="A2420" s="52"/>
    </row>
    <row r="2421" spans="1:1" x14ac:dyDescent="0.2">
      <c r="A2421" s="52"/>
    </row>
    <row r="2422" spans="1:1" x14ac:dyDescent="0.2">
      <c r="A2422" s="52"/>
    </row>
    <row r="2423" spans="1:1" x14ac:dyDescent="0.2">
      <c r="A2423" s="52"/>
    </row>
    <row r="2424" spans="1:1" x14ac:dyDescent="0.2">
      <c r="A2424" s="52"/>
    </row>
    <row r="2425" spans="1:1" x14ac:dyDescent="0.2">
      <c r="A2425" s="52"/>
    </row>
    <row r="2426" spans="1:1" x14ac:dyDescent="0.2">
      <c r="A2426" s="52"/>
    </row>
    <row r="2427" spans="1:1" x14ac:dyDescent="0.2">
      <c r="A2427" s="52"/>
    </row>
    <row r="2428" spans="1:1" x14ac:dyDescent="0.2">
      <c r="A2428" s="52"/>
    </row>
    <row r="2429" spans="1:1" x14ac:dyDescent="0.2">
      <c r="A2429" s="52"/>
    </row>
    <row r="2430" spans="1:1" x14ac:dyDescent="0.2">
      <c r="A2430" s="52"/>
    </row>
    <row r="2431" spans="1:1" x14ac:dyDescent="0.2">
      <c r="A2431" s="52"/>
    </row>
    <row r="2432" spans="1:1" x14ac:dyDescent="0.2">
      <c r="A2432" s="52"/>
    </row>
    <row r="2433" spans="1:1" x14ac:dyDescent="0.2">
      <c r="A2433" s="52"/>
    </row>
    <row r="2434" spans="1:1" x14ac:dyDescent="0.2">
      <c r="A2434" s="52"/>
    </row>
    <row r="2435" spans="1:1" x14ac:dyDescent="0.2">
      <c r="A2435" s="53"/>
    </row>
    <row r="2436" spans="1:1" x14ac:dyDescent="0.2">
      <c r="A2436" s="52"/>
    </row>
    <row r="2437" spans="1:1" x14ac:dyDescent="0.2">
      <c r="A2437" s="52"/>
    </row>
    <row r="2438" spans="1:1" x14ac:dyDescent="0.2">
      <c r="A2438" s="52"/>
    </row>
    <row r="2439" spans="1:1" x14ac:dyDescent="0.2">
      <c r="A2439" s="52"/>
    </row>
    <row r="2440" spans="1:1" x14ac:dyDescent="0.2">
      <c r="A2440" s="52"/>
    </row>
    <row r="2441" spans="1:1" x14ac:dyDescent="0.2">
      <c r="A2441" s="52"/>
    </row>
    <row r="2442" spans="1:1" x14ac:dyDescent="0.2">
      <c r="A2442" s="52"/>
    </row>
    <row r="2443" spans="1:1" x14ac:dyDescent="0.2">
      <c r="A2443" s="52"/>
    </row>
    <row r="2444" spans="1:1" x14ac:dyDescent="0.2">
      <c r="A2444" s="52"/>
    </row>
    <row r="2445" spans="1:1" x14ac:dyDescent="0.2">
      <c r="A2445" s="52"/>
    </row>
    <row r="2446" spans="1:1" x14ac:dyDescent="0.2">
      <c r="A2446" s="52"/>
    </row>
    <row r="2447" spans="1:1" x14ac:dyDescent="0.2">
      <c r="A2447" s="52"/>
    </row>
    <row r="2448" spans="1:1" x14ac:dyDescent="0.2">
      <c r="A2448" s="52"/>
    </row>
    <row r="2449" spans="1:1" x14ac:dyDescent="0.2">
      <c r="A2449" s="52"/>
    </row>
    <row r="2450" spans="1:1" x14ac:dyDescent="0.2">
      <c r="A2450" s="52"/>
    </row>
    <row r="2451" spans="1:1" x14ac:dyDescent="0.2">
      <c r="A2451" s="52"/>
    </row>
    <row r="2452" spans="1:1" x14ac:dyDescent="0.2">
      <c r="A2452" s="52"/>
    </row>
    <row r="2453" spans="1:1" x14ac:dyDescent="0.2">
      <c r="A2453" s="52"/>
    </row>
    <row r="2454" spans="1:1" x14ac:dyDescent="0.2">
      <c r="A2454" s="53"/>
    </row>
    <row r="2455" spans="1:1" x14ac:dyDescent="0.2">
      <c r="A2455" s="52"/>
    </row>
    <row r="2456" spans="1:1" x14ac:dyDescent="0.2">
      <c r="A2456" s="52"/>
    </row>
    <row r="2457" spans="1:1" x14ac:dyDescent="0.2">
      <c r="A2457" s="52"/>
    </row>
    <row r="2458" spans="1:1" x14ac:dyDescent="0.2">
      <c r="A2458" s="52"/>
    </row>
    <row r="2459" spans="1:1" x14ac:dyDescent="0.2">
      <c r="A2459" s="52"/>
    </row>
    <row r="2460" spans="1:1" x14ac:dyDescent="0.2">
      <c r="A2460" s="52"/>
    </row>
    <row r="2461" spans="1:1" x14ac:dyDescent="0.2">
      <c r="A2461" s="52"/>
    </row>
    <row r="2462" spans="1:1" x14ac:dyDescent="0.2">
      <c r="A2462" s="52"/>
    </row>
    <row r="2463" spans="1:1" x14ac:dyDescent="0.2">
      <c r="A2463" s="52"/>
    </row>
    <row r="2464" spans="1:1" x14ac:dyDescent="0.2">
      <c r="A2464" s="52"/>
    </row>
    <row r="2465" spans="1:1" x14ac:dyDescent="0.2">
      <c r="A2465" s="52"/>
    </row>
    <row r="2466" spans="1:1" x14ac:dyDescent="0.2">
      <c r="A2466" s="52"/>
    </row>
    <row r="2467" spans="1:1" x14ac:dyDescent="0.2">
      <c r="A2467" s="52"/>
    </row>
    <row r="2468" spans="1:1" x14ac:dyDescent="0.2">
      <c r="A2468" s="52"/>
    </row>
    <row r="2469" spans="1:1" x14ac:dyDescent="0.2">
      <c r="A2469" s="52"/>
    </row>
    <row r="2470" spans="1:1" x14ac:dyDescent="0.2">
      <c r="A2470" s="52"/>
    </row>
    <row r="2471" spans="1:1" x14ac:dyDescent="0.2">
      <c r="A2471" s="52"/>
    </row>
    <row r="2472" spans="1:1" x14ac:dyDescent="0.2">
      <c r="A2472" s="52"/>
    </row>
    <row r="2473" spans="1:1" x14ac:dyDescent="0.2">
      <c r="A2473" s="52"/>
    </row>
    <row r="2474" spans="1:1" x14ac:dyDescent="0.2">
      <c r="A2474" s="52"/>
    </row>
    <row r="2475" spans="1:1" x14ac:dyDescent="0.2">
      <c r="A2475" s="52"/>
    </row>
    <row r="2476" spans="1:1" x14ac:dyDescent="0.2">
      <c r="A2476" s="52"/>
    </row>
    <row r="2477" spans="1:1" x14ac:dyDescent="0.2">
      <c r="A2477" s="52"/>
    </row>
    <row r="2478" spans="1:1" x14ac:dyDescent="0.2">
      <c r="A2478" s="52"/>
    </row>
    <row r="2479" spans="1:1" x14ac:dyDescent="0.2">
      <c r="A2479" s="52"/>
    </row>
    <row r="2480" spans="1:1" x14ac:dyDescent="0.2">
      <c r="A2480" s="52"/>
    </row>
    <row r="2481" spans="1:1" x14ac:dyDescent="0.2">
      <c r="A2481" s="52"/>
    </row>
    <row r="2482" spans="1:1" x14ac:dyDescent="0.2">
      <c r="A2482" s="53"/>
    </row>
    <row r="2483" spans="1:1" x14ac:dyDescent="0.2">
      <c r="A2483" s="53"/>
    </row>
    <row r="2484" spans="1:1" x14ac:dyDescent="0.2">
      <c r="A2484" s="52"/>
    </row>
    <row r="2485" spans="1:1" x14ac:dyDescent="0.2">
      <c r="A2485" s="52"/>
    </row>
    <row r="2486" spans="1:1" x14ac:dyDescent="0.2">
      <c r="A2486" s="53"/>
    </row>
    <row r="2487" spans="1:1" x14ac:dyDescent="0.2">
      <c r="A2487" s="52"/>
    </row>
    <row r="2488" spans="1:1" x14ac:dyDescent="0.2">
      <c r="A2488" s="52"/>
    </row>
    <row r="2489" spans="1:1" x14ac:dyDescent="0.2">
      <c r="A2489" s="52"/>
    </row>
    <row r="2490" spans="1:1" x14ac:dyDescent="0.2">
      <c r="A2490" s="52"/>
    </row>
    <row r="2491" spans="1:1" x14ac:dyDescent="0.2">
      <c r="A2491" s="52"/>
    </row>
    <row r="2492" spans="1:1" x14ac:dyDescent="0.2">
      <c r="A2492" s="52"/>
    </row>
    <row r="2493" spans="1:1" x14ac:dyDescent="0.2">
      <c r="A2493" s="52"/>
    </row>
    <row r="2494" spans="1:1" x14ac:dyDescent="0.2">
      <c r="A2494" s="52"/>
    </row>
    <row r="2495" spans="1:1" x14ac:dyDescent="0.2">
      <c r="A2495" s="52"/>
    </row>
    <row r="2496" spans="1:1" x14ac:dyDescent="0.2">
      <c r="A2496" s="53"/>
    </row>
    <row r="2497" spans="1:1" x14ac:dyDescent="0.2">
      <c r="A2497" s="52"/>
    </row>
    <row r="2498" spans="1:1" x14ac:dyDescent="0.2">
      <c r="A2498" s="52"/>
    </row>
    <row r="2499" spans="1:1" x14ac:dyDescent="0.2">
      <c r="A2499" s="52"/>
    </row>
    <row r="2500" spans="1:1" x14ac:dyDescent="0.2">
      <c r="A2500" s="52"/>
    </row>
    <row r="2501" spans="1:1" x14ac:dyDescent="0.2">
      <c r="A2501" s="52"/>
    </row>
    <row r="2502" spans="1:1" x14ac:dyDescent="0.2">
      <c r="A2502" s="52"/>
    </row>
    <row r="2503" spans="1:1" x14ac:dyDescent="0.2">
      <c r="A2503" s="52"/>
    </row>
    <row r="2504" spans="1:1" x14ac:dyDescent="0.2">
      <c r="A2504" s="52"/>
    </row>
    <row r="2505" spans="1:1" x14ac:dyDescent="0.2">
      <c r="A2505" s="52"/>
    </row>
    <row r="2506" spans="1:1" x14ac:dyDescent="0.2">
      <c r="A2506" s="52"/>
    </row>
    <row r="2507" spans="1:1" x14ac:dyDescent="0.2">
      <c r="A2507" s="52"/>
    </row>
    <row r="2508" spans="1:1" x14ac:dyDescent="0.2">
      <c r="A2508" s="52"/>
    </row>
    <row r="2509" spans="1:1" x14ac:dyDescent="0.2">
      <c r="A2509" s="52"/>
    </row>
    <row r="2510" spans="1:1" x14ac:dyDescent="0.2">
      <c r="A2510" s="52"/>
    </row>
    <row r="2511" spans="1:1" x14ac:dyDescent="0.2">
      <c r="A2511" s="52"/>
    </row>
    <row r="2512" spans="1:1" x14ac:dyDescent="0.2">
      <c r="A2512" s="52"/>
    </row>
    <row r="2513" spans="1:1" x14ac:dyDescent="0.2">
      <c r="A2513" s="52"/>
    </row>
    <row r="2514" spans="1:1" x14ac:dyDescent="0.2">
      <c r="A2514" s="52"/>
    </row>
    <row r="2515" spans="1:1" x14ac:dyDescent="0.2">
      <c r="A2515" s="52"/>
    </row>
    <row r="2516" spans="1:1" x14ac:dyDescent="0.2">
      <c r="A2516" s="52"/>
    </row>
    <row r="2517" spans="1:1" x14ac:dyDescent="0.2">
      <c r="A2517" s="52"/>
    </row>
    <row r="2518" spans="1:1" x14ac:dyDescent="0.2">
      <c r="A2518" s="52"/>
    </row>
    <row r="2519" spans="1:1" x14ac:dyDescent="0.2">
      <c r="A2519" s="53"/>
    </row>
    <row r="2520" spans="1:1" x14ac:dyDescent="0.2">
      <c r="A2520" s="52"/>
    </row>
    <row r="2521" spans="1:1" x14ac:dyDescent="0.2">
      <c r="A2521" s="52"/>
    </row>
    <row r="2522" spans="1:1" x14ac:dyDescent="0.2">
      <c r="A2522" s="52"/>
    </row>
    <row r="2523" spans="1:1" x14ac:dyDescent="0.2">
      <c r="A2523" s="52"/>
    </row>
    <row r="2524" spans="1:1" x14ac:dyDescent="0.2">
      <c r="A2524" s="52"/>
    </row>
    <row r="2525" spans="1:1" x14ac:dyDescent="0.2">
      <c r="A2525" s="52"/>
    </row>
    <row r="2526" spans="1:1" x14ac:dyDescent="0.2">
      <c r="A2526" s="52"/>
    </row>
    <row r="2527" spans="1:1" x14ac:dyDescent="0.2">
      <c r="A2527" s="52"/>
    </row>
    <row r="2528" spans="1:1" x14ac:dyDescent="0.2">
      <c r="A2528" s="52"/>
    </row>
    <row r="2529" spans="1:1" x14ac:dyDescent="0.2">
      <c r="A2529" s="52"/>
    </row>
    <row r="2530" spans="1:1" x14ac:dyDescent="0.2">
      <c r="A2530" s="52"/>
    </row>
    <row r="2531" spans="1:1" x14ac:dyDescent="0.2">
      <c r="A2531" s="52"/>
    </row>
    <row r="2532" spans="1:1" x14ac:dyDescent="0.2">
      <c r="A2532" s="52"/>
    </row>
    <row r="2533" spans="1:1" x14ac:dyDescent="0.2">
      <c r="A2533" s="52"/>
    </row>
    <row r="2534" spans="1:1" x14ac:dyDescent="0.2">
      <c r="A2534" s="52"/>
    </row>
    <row r="2535" spans="1:1" x14ac:dyDescent="0.2">
      <c r="A2535" s="52"/>
    </row>
    <row r="2536" spans="1:1" x14ac:dyDescent="0.2">
      <c r="A2536" s="52"/>
    </row>
    <row r="2537" spans="1:1" x14ac:dyDescent="0.2">
      <c r="A2537" s="52"/>
    </row>
    <row r="2538" spans="1:1" x14ac:dyDescent="0.2">
      <c r="A2538" s="52"/>
    </row>
    <row r="2539" spans="1:1" x14ac:dyDescent="0.2">
      <c r="A2539" s="52"/>
    </row>
    <row r="2540" spans="1:1" x14ac:dyDescent="0.2">
      <c r="A2540" s="52"/>
    </row>
    <row r="2541" spans="1:1" x14ac:dyDescent="0.2">
      <c r="A2541" s="52"/>
    </row>
    <row r="2542" spans="1:1" x14ac:dyDescent="0.2">
      <c r="A2542" s="52"/>
    </row>
    <row r="2543" spans="1:1" x14ac:dyDescent="0.2">
      <c r="A2543" s="52"/>
    </row>
    <row r="2544" spans="1:1" x14ac:dyDescent="0.2">
      <c r="A2544" s="52"/>
    </row>
    <row r="2545" spans="1:1" x14ac:dyDescent="0.2">
      <c r="A2545" s="52"/>
    </row>
    <row r="2546" spans="1:1" x14ac:dyDescent="0.2">
      <c r="A2546" s="52"/>
    </row>
    <row r="2547" spans="1:1" x14ac:dyDescent="0.2">
      <c r="A2547" s="52"/>
    </row>
    <row r="2548" spans="1:1" x14ac:dyDescent="0.2">
      <c r="A2548" s="52"/>
    </row>
    <row r="2549" spans="1:1" x14ac:dyDescent="0.2">
      <c r="A2549" s="52"/>
    </row>
    <row r="2550" spans="1:1" x14ac:dyDescent="0.2">
      <c r="A2550" s="52"/>
    </row>
    <row r="2551" spans="1:1" x14ac:dyDescent="0.2">
      <c r="A2551" s="52"/>
    </row>
    <row r="2552" spans="1:1" x14ac:dyDescent="0.2">
      <c r="A2552" s="52"/>
    </row>
    <row r="2553" spans="1:1" x14ac:dyDescent="0.2">
      <c r="A2553" s="52"/>
    </row>
    <row r="2554" spans="1:1" x14ac:dyDescent="0.2">
      <c r="A2554" s="52"/>
    </row>
    <row r="2555" spans="1:1" x14ac:dyDescent="0.2">
      <c r="A2555" s="53"/>
    </row>
    <row r="2556" spans="1:1" x14ac:dyDescent="0.2">
      <c r="A2556" s="52"/>
    </row>
    <row r="2557" spans="1:1" x14ac:dyDescent="0.2">
      <c r="A2557" s="52"/>
    </row>
    <row r="2558" spans="1:1" x14ac:dyDescent="0.2">
      <c r="A2558" s="52"/>
    </row>
    <row r="2559" spans="1:1" x14ac:dyDescent="0.2">
      <c r="A2559" s="52"/>
    </row>
    <row r="2560" spans="1:1" x14ac:dyDescent="0.2">
      <c r="A2560" s="52"/>
    </row>
    <row r="2561" spans="1:1" x14ac:dyDescent="0.2">
      <c r="A2561" s="52"/>
    </row>
    <row r="2562" spans="1:1" x14ac:dyDescent="0.2">
      <c r="A2562" s="52"/>
    </row>
    <row r="2563" spans="1:1" x14ac:dyDescent="0.2">
      <c r="A2563" s="52"/>
    </row>
    <row r="2564" spans="1:1" x14ac:dyDescent="0.2">
      <c r="A2564" s="52"/>
    </row>
    <row r="2565" spans="1:1" x14ac:dyDescent="0.2">
      <c r="A2565" s="52"/>
    </row>
    <row r="2566" spans="1:1" x14ac:dyDescent="0.2">
      <c r="A2566" s="52"/>
    </row>
    <row r="2567" spans="1:1" x14ac:dyDescent="0.2">
      <c r="A2567" s="52"/>
    </row>
    <row r="2568" spans="1:1" x14ac:dyDescent="0.2">
      <c r="A2568" s="52"/>
    </row>
    <row r="2569" spans="1:1" x14ac:dyDescent="0.2">
      <c r="A2569" s="52"/>
    </row>
    <row r="2570" spans="1:1" x14ac:dyDescent="0.2">
      <c r="A2570" s="52"/>
    </row>
    <row r="2571" spans="1:1" x14ac:dyDescent="0.2">
      <c r="A2571" s="52"/>
    </row>
    <row r="2572" spans="1:1" x14ac:dyDescent="0.2">
      <c r="A2572" s="52"/>
    </row>
    <row r="2573" spans="1:1" x14ac:dyDescent="0.2">
      <c r="A2573" s="52"/>
    </row>
    <row r="2574" spans="1:1" x14ac:dyDescent="0.2">
      <c r="A2574" s="52"/>
    </row>
    <row r="2575" spans="1:1" x14ac:dyDescent="0.2">
      <c r="A2575" s="52"/>
    </row>
    <row r="2576" spans="1:1" x14ac:dyDescent="0.2">
      <c r="A2576" s="52"/>
    </row>
    <row r="2577" spans="1:1" x14ac:dyDescent="0.2">
      <c r="A2577" s="52"/>
    </row>
    <row r="2578" spans="1:1" x14ac:dyDescent="0.2">
      <c r="A2578" s="52"/>
    </row>
    <row r="2579" spans="1:1" x14ac:dyDescent="0.2">
      <c r="A2579" s="52"/>
    </row>
    <row r="2580" spans="1:1" x14ac:dyDescent="0.2">
      <c r="A2580" s="52"/>
    </row>
    <row r="2581" spans="1:1" x14ac:dyDescent="0.2">
      <c r="A2581" s="52"/>
    </row>
    <row r="2582" spans="1:1" x14ac:dyDescent="0.2">
      <c r="A2582" s="52"/>
    </row>
    <row r="2583" spans="1:1" x14ac:dyDescent="0.2">
      <c r="A2583" s="52"/>
    </row>
    <row r="2584" spans="1:1" x14ac:dyDescent="0.2">
      <c r="A2584" s="52"/>
    </row>
    <row r="2585" spans="1:1" x14ac:dyDescent="0.2">
      <c r="A2585" s="52"/>
    </row>
    <row r="2586" spans="1:1" x14ac:dyDescent="0.2">
      <c r="A2586" s="52"/>
    </row>
    <row r="2587" spans="1:1" x14ac:dyDescent="0.2">
      <c r="A2587" s="52"/>
    </row>
    <row r="2588" spans="1:1" x14ac:dyDescent="0.2">
      <c r="A2588" s="52"/>
    </row>
    <row r="2589" spans="1:1" x14ac:dyDescent="0.2">
      <c r="A2589" s="52"/>
    </row>
    <row r="2590" spans="1:1" x14ac:dyDescent="0.2">
      <c r="A2590" s="52"/>
    </row>
    <row r="2591" spans="1:1" x14ac:dyDescent="0.2">
      <c r="A2591" s="52"/>
    </row>
    <row r="2592" spans="1:1" x14ac:dyDescent="0.2">
      <c r="A2592" s="52"/>
    </row>
    <row r="2593" spans="1:1" x14ac:dyDescent="0.2">
      <c r="A2593" s="52"/>
    </row>
    <row r="2594" spans="1:1" x14ac:dyDescent="0.2">
      <c r="A2594" s="52"/>
    </row>
    <row r="2595" spans="1:1" x14ac:dyDescent="0.2">
      <c r="A2595" s="53"/>
    </row>
    <row r="2596" spans="1:1" x14ac:dyDescent="0.2">
      <c r="A2596" s="52"/>
    </row>
    <row r="2597" spans="1:1" x14ac:dyDescent="0.2">
      <c r="A2597" s="52"/>
    </row>
    <row r="2598" spans="1:1" x14ac:dyDescent="0.2">
      <c r="A2598" s="52"/>
    </row>
    <row r="2599" spans="1:1" x14ac:dyDescent="0.2">
      <c r="A2599" s="52"/>
    </row>
    <row r="2600" spans="1:1" x14ac:dyDescent="0.2">
      <c r="A2600" s="52"/>
    </row>
    <row r="2601" spans="1:1" x14ac:dyDescent="0.2">
      <c r="A2601" s="52"/>
    </row>
    <row r="2602" spans="1:1" x14ac:dyDescent="0.2">
      <c r="A2602" s="52"/>
    </row>
    <row r="2603" spans="1:1" x14ac:dyDescent="0.2">
      <c r="A2603" s="52"/>
    </row>
    <row r="2604" spans="1:1" x14ac:dyDescent="0.2">
      <c r="A2604" s="52"/>
    </row>
    <row r="2605" spans="1:1" x14ac:dyDescent="0.2">
      <c r="A2605" s="52"/>
    </row>
    <row r="2606" spans="1:1" x14ac:dyDescent="0.2">
      <c r="A2606" s="52"/>
    </row>
    <row r="2607" spans="1:1" x14ac:dyDescent="0.2">
      <c r="A2607" s="52"/>
    </row>
    <row r="2608" spans="1:1" x14ac:dyDescent="0.2">
      <c r="A2608" s="52"/>
    </row>
    <row r="2609" spans="1:1" x14ac:dyDescent="0.2">
      <c r="A2609" s="52"/>
    </row>
    <row r="2610" spans="1:1" x14ac:dyDescent="0.2">
      <c r="A2610" s="52"/>
    </row>
    <row r="2611" spans="1:1" x14ac:dyDescent="0.2">
      <c r="A2611" s="52"/>
    </row>
    <row r="2612" spans="1:1" x14ac:dyDescent="0.2">
      <c r="A2612" s="52"/>
    </row>
    <row r="2613" spans="1:1" x14ac:dyDescent="0.2">
      <c r="A2613" s="52"/>
    </row>
    <row r="2614" spans="1:1" x14ac:dyDescent="0.2">
      <c r="A2614" s="53"/>
    </row>
    <row r="2615" spans="1:1" x14ac:dyDescent="0.2">
      <c r="A2615" s="52"/>
    </row>
    <row r="2616" spans="1:1" x14ac:dyDescent="0.2">
      <c r="A2616" s="52"/>
    </row>
    <row r="2617" spans="1:1" x14ac:dyDescent="0.2">
      <c r="A2617" s="52"/>
    </row>
    <row r="2618" spans="1:1" x14ac:dyDescent="0.2">
      <c r="A2618" s="52"/>
    </row>
    <row r="2619" spans="1:1" x14ac:dyDescent="0.2">
      <c r="A2619" s="52"/>
    </row>
    <row r="2620" spans="1:1" x14ac:dyDescent="0.2">
      <c r="A2620" s="53"/>
    </row>
    <row r="2621" spans="1:1" x14ac:dyDescent="0.2">
      <c r="A2621" s="52"/>
    </row>
    <row r="2622" spans="1:1" x14ac:dyDescent="0.2">
      <c r="A2622" s="52"/>
    </row>
    <row r="2623" spans="1:1" x14ac:dyDescent="0.2">
      <c r="A2623" s="52"/>
    </row>
    <row r="2624" spans="1:1" x14ac:dyDescent="0.2">
      <c r="A2624" s="52"/>
    </row>
    <row r="2625" spans="1:1" x14ac:dyDescent="0.2">
      <c r="A2625" s="52"/>
    </row>
    <row r="2626" spans="1:1" x14ac:dyDescent="0.2">
      <c r="A2626" s="52"/>
    </row>
    <row r="2627" spans="1:1" x14ac:dyDescent="0.2">
      <c r="A2627" s="52"/>
    </row>
    <row r="2628" spans="1:1" x14ac:dyDescent="0.2">
      <c r="A2628" s="52"/>
    </row>
    <row r="2629" spans="1:1" x14ac:dyDescent="0.2">
      <c r="A2629" s="52"/>
    </row>
    <row r="2630" spans="1:1" x14ac:dyDescent="0.2">
      <c r="A2630" s="52"/>
    </row>
    <row r="2631" spans="1:1" x14ac:dyDescent="0.2">
      <c r="A2631" s="52"/>
    </row>
    <row r="2632" spans="1:1" x14ac:dyDescent="0.2">
      <c r="A2632" s="52"/>
    </row>
    <row r="2633" spans="1:1" x14ac:dyDescent="0.2">
      <c r="A2633" s="52"/>
    </row>
    <row r="2634" spans="1:1" x14ac:dyDescent="0.2">
      <c r="A2634" s="52"/>
    </row>
    <row r="2635" spans="1:1" x14ac:dyDescent="0.2">
      <c r="A2635" s="52"/>
    </row>
    <row r="2636" spans="1:1" x14ac:dyDescent="0.2">
      <c r="A2636" s="52"/>
    </row>
    <row r="2637" spans="1:1" x14ac:dyDescent="0.2">
      <c r="A2637" s="52"/>
    </row>
    <row r="2638" spans="1:1" x14ac:dyDescent="0.2">
      <c r="A2638" s="52"/>
    </row>
    <row r="2639" spans="1:1" x14ac:dyDescent="0.2">
      <c r="A2639" s="52"/>
    </row>
    <row r="2640" spans="1:1" x14ac:dyDescent="0.2">
      <c r="A2640" s="52"/>
    </row>
    <row r="2641" spans="1:1" x14ac:dyDescent="0.2">
      <c r="A2641" s="52"/>
    </row>
    <row r="2642" spans="1:1" x14ac:dyDescent="0.2">
      <c r="A2642" s="52"/>
    </row>
    <row r="2643" spans="1:1" x14ac:dyDescent="0.2">
      <c r="A2643" s="52"/>
    </row>
    <row r="2644" spans="1:1" x14ac:dyDescent="0.2">
      <c r="A2644" s="52"/>
    </row>
    <row r="2645" spans="1:1" x14ac:dyDescent="0.2">
      <c r="A2645" s="53"/>
    </row>
    <row r="2646" spans="1:1" x14ac:dyDescent="0.2">
      <c r="A2646" s="53"/>
    </row>
    <row r="2647" spans="1:1" x14ac:dyDescent="0.2">
      <c r="A2647" s="52"/>
    </row>
    <row r="2648" spans="1:1" x14ac:dyDescent="0.2">
      <c r="A2648" s="52"/>
    </row>
    <row r="2649" spans="1:1" x14ac:dyDescent="0.2">
      <c r="A2649" s="52"/>
    </row>
    <row r="2650" spans="1:1" x14ac:dyDescent="0.2">
      <c r="A2650" s="52"/>
    </row>
    <row r="2651" spans="1:1" x14ac:dyDescent="0.2">
      <c r="A2651" s="53"/>
    </row>
    <row r="2652" spans="1:1" x14ac:dyDescent="0.2">
      <c r="A2652" s="52"/>
    </row>
    <row r="2653" spans="1:1" x14ac:dyDescent="0.2">
      <c r="A2653" s="52"/>
    </row>
    <row r="2654" spans="1:1" x14ac:dyDescent="0.2">
      <c r="A2654" s="52"/>
    </row>
    <row r="2655" spans="1:1" x14ac:dyDescent="0.2">
      <c r="A2655" s="52"/>
    </row>
    <row r="2656" spans="1:1" x14ac:dyDescent="0.2">
      <c r="A2656" s="52"/>
    </row>
    <row r="2657" spans="1:1" x14ac:dyDescent="0.2">
      <c r="A2657" s="52"/>
    </row>
    <row r="2658" spans="1:1" x14ac:dyDescent="0.2">
      <c r="A2658" s="52"/>
    </row>
    <row r="2659" spans="1:1" x14ac:dyDescent="0.2">
      <c r="A2659" s="52"/>
    </row>
    <row r="2660" spans="1:1" x14ac:dyDescent="0.2">
      <c r="A2660" s="52"/>
    </row>
    <row r="2661" spans="1:1" x14ac:dyDescent="0.2">
      <c r="A2661" s="52"/>
    </row>
    <row r="2662" spans="1:1" x14ac:dyDescent="0.2">
      <c r="A2662" s="52"/>
    </row>
    <row r="2663" spans="1:1" x14ac:dyDescent="0.2">
      <c r="A2663" s="52"/>
    </row>
    <row r="2664" spans="1:1" x14ac:dyDescent="0.2">
      <c r="A2664" s="52"/>
    </row>
    <row r="2665" spans="1:1" x14ac:dyDescent="0.2">
      <c r="A2665" s="52"/>
    </row>
    <row r="2666" spans="1:1" x14ac:dyDescent="0.2">
      <c r="A2666" s="52"/>
    </row>
    <row r="2667" spans="1:1" x14ac:dyDescent="0.2">
      <c r="A2667" s="52"/>
    </row>
    <row r="2668" spans="1:1" x14ac:dyDescent="0.2">
      <c r="A2668" s="52"/>
    </row>
    <row r="2669" spans="1:1" x14ac:dyDescent="0.2">
      <c r="A2669" s="52"/>
    </row>
    <row r="2670" spans="1:1" x14ac:dyDescent="0.2">
      <c r="A2670" s="52"/>
    </row>
    <row r="2671" spans="1:1" x14ac:dyDescent="0.2">
      <c r="A2671" s="52"/>
    </row>
    <row r="2672" spans="1:1" x14ac:dyDescent="0.2">
      <c r="A2672" s="52"/>
    </row>
    <row r="2673" spans="1:1" x14ac:dyDescent="0.2">
      <c r="A2673" s="52"/>
    </row>
    <row r="2674" spans="1:1" x14ac:dyDescent="0.2">
      <c r="A2674" s="52"/>
    </row>
    <row r="2675" spans="1:1" x14ac:dyDescent="0.2">
      <c r="A2675" s="52"/>
    </row>
    <row r="2676" spans="1:1" x14ac:dyDescent="0.2">
      <c r="A2676" s="52"/>
    </row>
    <row r="2677" spans="1:1" x14ac:dyDescent="0.2">
      <c r="A2677" s="52"/>
    </row>
    <row r="2678" spans="1:1" x14ac:dyDescent="0.2">
      <c r="A2678" s="52"/>
    </row>
    <row r="2679" spans="1:1" x14ac:dyDescent="0.2">
      <c r="A2679" s="52"/>
    </row>
    <row r="2680" spans="1:1" x14ac:dyDescent="0.2">
      <c r="A2680" s="52"/>
    </row>
    <row r="2681" spans="1:1" x14ac:dyDescent="0.2">
      <c r="A2681" s="52"/>
    </row>
    <row r="2682" spans="1:1" x14ac:dyDescent="0.2">
      <c r="A2682" s="52"/>
    </row>
    <row r="2683" spans="1:1" x14ac:dyDescent="0.2">
      <c r="A2683" s="52"/>
    </row>
    <row r="2684" spans="1:1" x14ac:dyDescent="0.2">
      <c r="A2684" s="53"/>
    </row>
    <row r="2685" spans="1:1" x14ac:dyDescent="0.2">
      <c r="A2685" s="52"/>
    </row>
    <row r="2686" spans="1:1" x14ac:dyDescent="0.2">
      <c r="A2686" s="52"/>
    </row>
    <row r="2687" spans="1:1" x14ac:dyDescent="0.2">
      <c r="A2687" s="52"/>
    </row>
    <row r="2688" spans="1:1" x14ac:dyDescent="0.2">
      <c r="A2688" s="52"/>
    </row>
    <row r="2689" spans="1:1" x14ac:dyDescent="0.2">
      <c r="A2689" s="52"/>
    </row>
    <row r="2690" spans="1:1" x14ac:dyDescent="0.2">
      <c r="A2690" s="52"/>
    </row>
    <row r="2691" spans="1:1" x14ac:dyDescent="0.2">
      <c r="A2691" s="52"/>
    </row>
    <row r="2692" spans="1:1" x14ac:dyDescent="0.2">
      <c r="A2692" s="52"/>
    </row>
    <row r="2693" spans="1:1" x14ac:dyDescent="0.2">
      <c r="A2693" s="52"/>
    </row>
    <row r="2694" spans="1:1" x14ac:dyDescent="0.2">
      <c r="A2694" s="52"/>
    </row>
    <row r="2695" spans="1:1" x14ac:dyDescent="0.2">
      <c r="A2695" s="52"/>
    </row>
    <row r="2696" spans="1:1" x14ac:dyDescent="0.2">
      <c r="A2696" s="52"/>
    </row>
    <row r="2697" spans="1:1" x14ac:dyDescent="0.2">
      <c r="A2697" s="52"/>
    </row>
    <row r="2698" spans="1:1" x14ac:dyDescent="0.2">
      <c r="A2698" s="52"/>
    </row>
    <row r="2699" spans="1:1" x14ac:dyDescent="0.2">
      <c r="A2699" s="52"/>
    </row>
    <row r="2700" spans="1:1" x14ac:dyDescent="0.2">
      <c r="A2700" s="52"/>
    </row>
    <row r="2701" spans="1:1" x14ac:dyDescent="0.2">
      <c r="A2701" s="52"/>
    </row>
    <row r="2702" spans="1:1" x14ac:dyDescent="0.2">
      <c r="A2702" s="53"/>
    </row>
    <row r="2703" spans="1:1" x14ac:dyDescent="0.2">
      <c r="A2703" s="52"/>
    </row>
    <row r="2704" spans="1:1" x14ac:dyDescent="0.2">
      <c r="A2704" s="52"/>
    </row>
    <row r="2705" spans="1:1" x14ac:dyDescent="0.2">
      <c r="A2705" s="52"/>
    </row>
    <row r="2706" spans="1:1" x14ac:dyDescent="0.2">
      <c r="A2706" s="52"/>
    </row>
    <row r="2707" spans="1:1" x14ac:dyDescent="0.2">
      <c r="A2707" s="52"/>
    </row>
    <row r="2708" spans="1:1" x14ac:dyDescent="0.2">
      <c r="A2708" s="52"/>
    </row>
    <row r="2709" spans="1:1" x14ac:dyDescent="0.2">
      <c r="A2709" s="52"/>
    </row>
    <row r="2710" spans="1:1" x14ac:dyDescent="0.2">
      <c r="A2710" s="52"/>
    </row>
    <row r="2711" spans="1:1" x14ac:dyDescent="0.2">
      <c r="A2711" s="52"/>
    </row>
    <row r="2712" spans="1:1" x14ac:dyDescent="0.2">
      <c r="A2712" s="52"/>
    </row>
    <row r="2713" spans="1:1" x14ac:dyDescent="0.2">
      <c r="A2713" s="52"/>
    </row>
    <row r="2714" spans="1:1" x14ac:dyDescent="0.2">
      <c r="A2714" s="52"/>
    </row>
    <row r="2715" spans="1:1" x14ac:dyDescent="0.2">
      <c r="A2715" s="53"/>
    </row>
    <row r="2716" spans="1:1" x14ac:dyDescent="0.2">
      <c r="A2716" s="52"/>
    </row>
    <row r="2717" spans="1:1" x14ac:dyDescent="0.2">
      <c r="A2717" s="52"/>
    </row>
    <row r="2718" spans="1:1" x14ac:dyDescent="0.2">
      <c r="A2718" s="52"/>
    </row>
    <row r="2719" spans="1:1" x14ac:dyDescent="0.2">
      <c r="A2719" s="52"/>
    </row>
    <row r="2720" spans="1:1" x14ac:dyDescent="0.2">
      <c r="A2720" s="52"/>
    </row>
    <row r="2721" spans="1:1" x14ac:dyDescent="0.2">
      <c r="A2721" s="52"/>
    </row>
    <row r="2722" spans="1:1" x14ac:dyDescent="0.2">
      <c r="A2722" s="52"/>
    </row>
    <row r="2723" spans="1:1" x14ac:dyDescent="0.2">
      <c r="A2723" s="52"/>
    </row>
    <row r="2724" spans="1:1" x14ac:dyDescent="0.2">
      <c r="A2724" s="52"/>
    </row>
    <row r="2725" spans="1:1" x14ac:dyDescent="0.2">
      <c r="A2725" s="52"/>
    </row>
    <row r="2726" spans="1:1" x14ac:dyDescent="0.2">
      <c r="A2726" s="52"/>
    </row>
    <row r="2727" spans="1:1" x14ac:dyDescent="0.2">
      <c r="A2727" s="52"/>
    </row>
    <row r="2728" spans="1:1" x14ac:dyDescent="0.2">
      <c r="A2728" s="52"/>
    </row>
    <row r="2729" spans="1:1" x14ac:dyDescent="0.2">
      <c r="A2729" s="52"/>
    </row>
    <row r="2730" spans="1:1" x14ac:dyDescent="0.2">
      <c r="A2730" s="52"/>
    </row>
    <row r="2731" spans="1:1" x14ac:dyDescent="0.2">
      <c r="A2731" s="52"/>
    </row>
    <row r="2732" spans="1:1" x14ac:dyDescent="0.2">
      <c r="A2732" s="52"/>
    </row>
    <row r="2733" spans="1:1" x14ac:dyDescent="0.2">
      <c r="A2733" s="52"/>
    </row>
    <row r="2734" spans="1:1" x14ac:dyDescent="0.2">
      <c r="A2734" s="52"/>
    </row>
    <row r="2735" spans="1:1" x14ac:dyDescent="0.2">
      <c r="A2735" s="52"/>
    </row>
    <row r="2736" spans="1:1" x14ac:dyDescent="0.2">
      <c r="A2736" s="52"/>
    </row>
    <row r="2737" spans="1:1" x14ac:dyDescent="0.2">
      <c r="A2737" s="52"/>
    </row>
    <row r="2738" spans="1:1" x14ac:dyDescent="0.2">
      <c r="A2738" s="52"/>
    </row>
    <row r="2739" spans="1:1" x14ac:dyDescent="0.2">
      <c r="A2739" s="52"/>
    </row>
    <row r="2740" spans="1:1" x14ac:dyDescent="0.2">
      <c r="A2740" s="52"/>
    </row>
    <row r="2741" spans="1:1" x14ac:dyDescent="0.2">
      <c r="A2741" s="52"/>
    </row>
    <row r="2742" spans="1:1" x14ac:dyDescent="0.2">
      <c r="A2742" s="52"/>
    </row>
    <row r="2743" spans="1:1" x14ac:dyDescent="0.2">
      <c r="A2743" s="52"/>
    </row>
    <row r="2744" spans="1:1" x14ac:dyDescent="0.2">
      <c r="A2744" s="52"/>
    </row>
    <row r="2745" spans="1:1" x14ac:dyDescent="0.2">
      <c r="A2745" s="52"/>
    </row>
    <row r="2746" spans="1:1" x14ac:dyDescent="0.2">
      <c r="A2746" s="52"/>
    </row>
    <row r="2747" spans="1:1" x14ac:dyDescent="0.2">
      <c r="A2747" s="52"/>
    </row>
    <row r="2748" spans="1:1" x14ac:dyDescent="0.2">
      <c r="A2748" s="52"/>
    </row>
    <row r="2749" spans="1:1" x14ac:dyDescent="0.2">
      <c r="A2749" s="52"/>
    </row>
    <row r="2750" spans="1:1" x14ac:dyDescent="0.2">
      <c r="A2750" s="52"/>
    </row>
    <row r="2751" spans="1:1" x14ac:dyDescent="0.2">
      <c r="A2751" s="52"/>
    </row>
    <row r="2752" spans="1:1" x14ac:dyDescent="0.2">
      <c r="A2752" s="53"/>
    </row>
    <row r="2753" spans="1:1" x14ac:dyDescent="0.2">
      <c r="A2753" s="52"/>
    </row>
    <row r="2754" spans="1:1" x14ac:dyDescent="0.2">
      <c r="A2754" s="52"/>
    </row>
    <row r="2755" spans="1:1" x14ac:dyDescent="0.2">
      <c r="A2755" s="52"/>
    </row>
    <row r="2756" spans="1:1" x14ac:dyDescent="0.2">
      <c r="A2756" s="52"/>
    </row>
    <row r="2757" spans="1:1" x14ac:dyDescent="0.2">
      <c r="A2757" s="52"/>
    </row>
    <row r="2758" spans="1:1" x14ac:dyDescent="0.2">
      <c r="A2758" s="52"/>
    </row>
    <row r="2759" spans="1:1" x14ac:dyDescent="0.2">
      <c r="A2759" s="52"/>
    </row>
    <row r="2760" spans="1:1" x14ac:dyDescent="0.2">
      <c r="A2760" s="52"/>
    </row>
    <row r="2761" spans="1:1" x14ac:dyDescent="0.2">
      <c r="A2761" s="52"/>
    </row>
    <row r="2762" spans="1:1" x14ac:dyDescent="0.2">
      <c r="A2762" s="52"/>
    </row>
    <row r="2763" spans="1:1" x14ac:dyDescent="0.2">
      <c r="A2763" s="52"/>
    </row>
    <row r="2764" spans="1:1" x14ac:dyDescent="0.2">
      <c r="A2764" s="52"/>
    </row>
    <row r="2765" spans="1:1" x14ac:dyDescent="0.2">
      <c r="A2765" s="52"/>
    </row>
    <row r="2766" spans="1:1" x14ac:dyDescent="0.2">
      <c r="A2766" s="52"/>
    </row>
    <row r="2767" spans="1:1" x14ac:dyDescent="0.2">
      <c r="A2767" s="53"/>
    </row>
    <row r="2768" spans="1:1" x14ac:dyDescent="0.2">
      <c r="A2768" s="53"/>
    </row>
    <row r="2769" spans="1:1" x14ac:dyDescent="0.2">
      <c r="A2769" s="52"/>
    </row>
    <row r="2770" spans="1:1" x14ac:dyDescent="0.2">
      <c r="A2770" s="52"/>
    </row>
    <row r="2771" spans="1:1" x14ac:dyDescent="0.2">
      <c r="A2771" s="52"/>
    </row>
    <row r="2772" spans="1:1" x14ac:dyDescent="0.2">
      <c r="A2772" s="52"/>
    </row>
    <row r="2773" spans="1:1" x14ac:dyDescent="0.2">
      <c r="A2773" s="52"/>
    </row>
    <row r="2774" spans="1:1" x14ac:dyDescent="0.2">
      <c r="A2774" s="52"/>
    </row>
    <row r="2775" spans="1:1" x14ac:dyDescent="0.2">
      <c r="A2775" s="53"/>
    </row>
    <row r="2776" spans="1:1" x14ac:dyDescent="0.2">
      <c r="A2776" s="52"/>
    </row>
    <row r="2777" spans="1:1" x14ac:dyDescent="0.2">
      <c r="A2777" s="52"/>
    </row>
    <row r="2778" spans="1:1" x14ac:dyDescent="0.2">
      <c r="A2778" s="52"/>
    </row>
    <row r="2779" spans="1:1" x14ac:dyDescent="0.2">
      <c r="A2779" s="52"/>
    </row>
    <row r="2780" spans="1:1" x14ac:dyDescent="0.2">
      <c r="A2780" s="52"/>
    </row>
    <row r="2781" spans="1:1" x14ac:dyDescent="0.2">
      <c r="A2781" s="52"/>
    </row>
    <row r="2782" spans="1:1" x14ac:dyDescent="0.2">
      <c r="A2782" s="52"/>
    </row>
    <row r="2783" spans="1:1" x14ac:dyDescent="0.2">
      <c r="A2783" s="52"/>
    </row>
    <row r="2784" spans="1:1" x14ac:dyDescent="0.2">
      <c r="A2784" s="52"/>
    </row>
    <row r="2785" spans="1:1" x14ac:dyDescent="0.2">
      <c r="A2785" s="52"/>
    </row>
    <row r="2786" spans="1:1" x14ac:dyDescent="0.2">
      <c r="A2786" s="52"/>
    </row>
    <row r="2787" spans="1:1" x14ac:dyDescent="0.2">
      <c r="A2787" s="52"/>
    </row>
    <row r="2788" spans="1:1" x14ac:dyDescent="0.2">
      <c r="A2788" s="52"/>
    </row>
    <row r="2789" spans="1:1" x14ac:dyDescent="0.2">
      <c r="A2789" s="52"/>
    </row>
    <row r="2790" spans="1:1" x14ac:dyDescent="0.2">
      <c r="A2790" s="53"/>
    </row>
    <row r="2791" spans="1:1" x14ac:dyDescent="0.2">
      <c r="A2791" s="52"/>
    </row>
    <row r="2792" spans="1:1" x14ac:dyDescent="0.2">
      <c r="A2792" s="52"/>
    </row>
    <row r="2793" spans="1:1" x14ac:dyDescent="0.2">
      <c r="A2793" s="52"/>
    </row>
    <row r="2794" spans="1:1" x14ac:dyDescent="0.2">
      <c r="A2794" s="52"/>
    </row>
    <row r="2795" spans="1:1" x14ac:dyDescent="0.2">
      <c r="A2795" s="52"/>
    </row>
    <row r="2796" spans="1:1" x14ac:dyDescent="0.2">
      <c r="A2796" s="52"/>
    </row>
    <row r="2797" spans="1:1" x14ac:dyDescent="0.2">
      <c r="A2797" s="52"/>
    </row>
    <row r="2798" spans="1:1" x14ac:dyDescent="0.2">
      <c r="A2798" s="52"/>
    </row>
    <row r="2799" spans="1:1" x14ac:dyDescent="0.2">
      <c r="A2799" s="52"/>
    </row>
    <row r="2800" spans="1:1" x14ac:dyDescent="0.2">
      <c r="A2800" s="52"/>
    </row>
    <row r="2801" spans="1:1" x14ac:dyDescent="0.2">
      <c r="A2801" s="52"/>
    </row>
    <row r="2802" spans="1:1" x14ac:dyDescent="0.2">
      <c r="A2802" s="52"/>
    </row>
    <row r="2803" spans="1:1" x14ac:dyDescent="0.2">
      <c r="A2803" s="52"/>
    </row>
    <row r="2804" spans="1:1" x14ac:dyDescent="0.2">
      <c r="A2804" s="52"/>
    </row>
    <row r="2805" spans="1:1" x14ac:dyDescent="0.2">
      <c r="A2805" s="52"/>
    </row>
    <row r="2806" spans="1:1" x14ac:dyDescent="0.2">
      <c r="A2806" s="52"/>
    </row>
    <row r="2807" spans="1:1" x14ac:dyDescent="0.2">
      <c r="A2807" s="52"/>
    </row>
    <row r="2808" spans="1:1" x14ac:dyDescent="0.2">
      <c r="A2808" s="52"/>
    </row>
    <row r="2809" spans="1:1" x14ac:dyDescent="0.2">
      <c r="A2809" s="52"/>
    </row>
    <row r="2810" spans="1:1" x14ac:dyDescent="0.2">
      <c r="A2810" s="52"/>
    </row>
    <row r="2811" spans="1:1" x14ac:dyDescent="0.2">
      <c r="A2811" s="52"/>
    </row>
    <row r="2812" spans="1:1" x14ac:dyDescent="0.2">
      <c r="A2812" s="52"/>
    </row>
    <row r="2813" spans="1:1" x14ac:dyDescent="0.2">
      <c r="A2813" s="52"/>
    </row>
    <row r="2814" spans="1:1" x14ac:dyDescent="0.2">
      <c r="A2814" s="52"/>
    </row>
    <row r="2815" spans="1:1" x14ac:dyDescent="0.2">
      <c r="A2815" s="52"/>
    </row>
    <row r="2816" spans="1:1" x14ac:dyDescent="0.2">
      <c r="A2816" s="52"/>
    </row>
    <row r="2817" spans="1:1" x14ac:dyDescent="0.2">
      <c r="A2817" s="52"/>
    </row>
    <row r="2818" spans="1:1" x14ac:dyDescent="0.2">
      <c r="A2818" s="52"/>
    </row>
    <row r="2819" spans="1:1" x14ac:dyDescent="0.2">
      <c r="A2819" s="52"/>
    </row>
    <row r="2820" spans="1:1" x14ac:dyDescent="0.2">
      <c r="A2820" s="52"/>
    </row>
    <row r="2821" spans="1:1" x14ac:dyDescent="0.2">
      <c r="A2821" s="52"/>
    </row>
    <row r="2822" spans="1:1" x14ac:dyDescent="0.2">
      <c r="A2822" s="52"/>
    </row>
    <row r="2823" spans="1:1" x14ac:dyDescent="0.2">
      <c r="A2823" s="52"/>
    </row>
    <row r="2824" spans="1:1" x14ac:dyDescent="0.2">
      <c r="A2824" s="52"/>
    </row>
    <row r="2825" spans="1:1" x14ac:dyDescent="0.2">
      <c r="A2825" s="52"/>
    </row>
    <row r="2826" spans="1:1" x14ac:dyDescent="0.2">
      <c r="A2826" s="52"/>
    </row>
    <row r="2827" spans="1:1" x14ac:dyDescent="0.2">
      <c r="A2827" s="52"/>
    </row>
    <row r="2828" spans="1:1" x14ac:dyDescent="0.2">
      <c r="A2828" s="52"/>
    </row>
    <row r="2829" spans="1:1" x14ac:dyDescent="0.2">
      <c r="A2829" s="52"/>
    </row>
    <row r="2830" spans="1:1" x14ac:dyDescent="0.2">
      <c r="A2830" s="52"/>
    </row>
    <row r="2831" spans="1:1" x14ac:dyDescent="0.2">
      <c r="A2831" s="52"/>
    </row>
    <row r="2832" spans="1:1" x14ac:dyDescent="0.2">
      <c r="A2832" s="52"/>
    </row>
    <row r="2833" spans="1:1" x14ac:dyDescent="0.2">
      <c r="A2833" s="52"/>
    </row>
    <row r="2834" spans="1:1" x14ac:dyDescent="0.2">
      <c r="A2834" s="52"/>
    </row>
    <row r="2835" spans="1:1" x14ac:dyDescent="0.2">
      <c r="A2835" s="52"/>
    </row>
    <row r="2836" spans="1:1" x14ac:dyDescent="0.2">
      <c r="A2836" s="52"/>
    </row>
    <row r="2837" spans="1:1" x14ac:dyDescent="0.2">
      <c r="A2837" s="52"/>
    </row>
    <row r="2838" spans="1:1" x14ac:dyDescent="0.2">
      <c r="A2838" s="52"/>
    </row>
    <row r="2839" spans="1:1" x14ac:dyDescent="0.2">
      <c r="A2839" s="52"/>
    </row>
    <row r="2840" spans="1:1" x14ac:dyDescent="0.2">
      <c r="A2840" s="52"/>
    </row>
    <row r="2841" spans="1:1" x14ac:dyDescent="0.2">
      <c r="A2841" s="52"/>
    </row>
    <row r="2842" spans="1:1" x14ac:dyDescent="0.2">
      <c r="A2842" s="52"/>
    </row>
    <row r="2843" spans="1:1" x14ac:dyDescent="0.2">
      <c r="A2843" s="52"/>
    </row>
    <row r="2844" spans="1:1" x14ac:dyDescent="0.2">
      <c r="A2844" s="52"/>
    </row>
    <row r="2845" spans="1:1" x14ac:dyDescent="0.2">
      <c r="A2845" s="53"/>
    </row>
    <row r="2846" spans="1:1" x14ac:dyDescent="0.2">
      <c r="A2846" s="52"/>
    </row>
    <row r="2847" spans="1:1" x14ac:dyDescent="0.2">
      <c r="A2847" s="52"/>
    </row>
    <row r="2848" spans="1:1" x14ac:dyDescent="0.2">
      <c r="A2848" s="52"/>
    </row>
    <row r="2849" spans="1:1" x14ac:dyDescent="0.2">
      <c r="A2849" s="52"/>
    </row>
    <row r="2850" spans="1:1" x14ac:dyDescent="0.2">
      <c r="A2850" s="52"/>
    </row>
    <row r="2851" spans="1:1" x14ac:dyDescent="0.2">
      <c r="A2851" s="52"/>
    </row>
    <row r="2852" spans="1:1" x14ac:dyDescent="0.2">
      <c r="A2852" s="52"/>
    </row>
    <row r="2853" spans="1:1" x14ac:dyDescent="0.2">
      <c r="A2853" s="52"/>
    </row>
    <row r="2854" spans="1:1" x14ac:dyDescent="0.2">
      <c r="A2854" s="53"/>
    </row>
    <row r="2855" spans="1:1" x14ac:dyDescent="0.2">
      <c r="A2855" s="52"/>
    </row>
    <row r="2856" spans="1:1" x14ac:dyDescent="0.2">
      <c r="A2856" s="52"/>
    </row>
    <row r="2857" spans="1:1" x14ac:dyDescent="0.2">
      <c r="A2857" s="52"/>
    </row>
    <row r="2858" spans="1:1" x14ac:dyDescent="0.2">
      <c r="A2858" s="52"/>
    </row>
    <row r="2859" spans="1:1" x14ac:dyDescent="0.2">
      <c r="A2859" s="52"/>
    </row>
    <row r="2860" spans="1:1" x14ac:dyDescent="0.2">
      <c r="A2860" s="52"/>
    </row>
    <row r="2861" spans="1:1" x14ac:dyDescent="0.2">
      <c r="A2861" s="52"/>
    </row>
    <row r="2862" spans="1:1" x14ac:dyDescent="0.2">
      <c r="A2862" s="53"/>
    </row>
    <row r="2863" spans="1:1" x14ac:dyDescent="0.2">
      <c r="A2863" s="52"/>
    </row>
    <row r="2864" spans="1:1" x14ac:dyDescent="0.2">
      <c r="A2864" s="52"/>
    </row>
    <row r="2865" spans="1:1" x14ac:dyDescent="0.2">
      <c r="A2865" s="52"/>
    </row>
    <row r="2866" spans="1:1" x14ac:dyDescent="0.2">
      <c r="A2866" s="52"/>
    </row>
    <row r="2867" spans="1:1" x14ac:dyDescent="0.2">
      <c r="A2867" s="53"/>
    </row>
    <row r="2868" spans="1:1" x14ac:dyDescent="0.2">
      <c r="A2868" s="52"/>
    </row>
    <row r="2869" spans="1:1" x14ac:dyDescent="0.2">
      <c r="A2869" s="52"/>
    </row>
    <row r="2870" spans="1:1" x14ac:dyDescent="0.2">
      <c r="A2870" s="52"/>
    </row>
    <row r="2871" spans="1:1" x14ac:dyDescent="0.2">
      <c r="A2871" s="52"/>
    </row>
    <row r="2872" spans="1:1" x14ac:dyDescent="0.2">
      <c r="A2872" s="53"/>
    </row>
    <row r="2873" spans="1:1" x14ac:dyDescent="0.2">
      <c r="A2873" s="52"/>
    </row>
    <row r="2874" spans="1:1" x14ac:dyDescent="0.2">
      <c r="A2874" s="52"/>
    </row>
    <row r="2875" spans="1:1" x14ac:dyDescent="0.2">
      <c r="A2875" s="52"/>
    </row>
    <row r="2876" spans="1:1" x14ac:dyDescent="0.2">
      <c r="A2876" s="52"/>
    </row>
    <row r="2877" spans="1:1" x14ac:dyDescent="0.2">
      <c r="A2877" s="52"/>
    </row>
    <row r="2878" spans="1:1" x14ac:dyDescent="0.2">
      <c r="A2878" s="52"/>
    </row>
    <row r="2879" spans="1:1" x14ac:dyDescent="0.2">
      <c r="A2879" s="52"/>
    </row>
    <row r="2880" spans="1:1" x14ac:dyDescent="0.2">
      <c r="A2880" s="52"/>
    </row>
    <row r="2881" spans="1:1" x14ac:dyDescent="0.2">
      <c r="A2881" s="52"/>
    </row>
    <row r="2882" spans="1:1" x14ac:dyDescent="0.2">
      <c r="A2882" s="53"/>
    </row>
    <row r="2883" spans="1:1" x14ac:dyDescent="0.2">
      <c r="A2883" s="52"/>
    </row>
    <row r="2884" spans="1:1" x14ac:dyDescent="0.2">
      <c r="A2884" s="52"/>
    </row>
    <row r="2885" spans="1:1" x14ac:dyDescent="0.2">
      <c r="A2885" s="52"/>
    </row>
    <row r="2886" spans="1:1" x14ac:dyDescent="0.2">
      <c r="A2886" s="53"/>
    </row>
    <row r="2887" spans="1:1" x14ac:dyDescent="0.2">
      <c r="A2887" s="52"/>
    </row>
    <row r="2888" spans="1:1" x14ac:dyDescent="0.2">
      <c r="A2888" s="52"/>
    </row>
    <row r="2889" spans="1:1" x14ac:dyDescent="0.2">
      <c r="A2889" s="52"/>
    </row>
    <row r="2890" spans="1:1" x14ac:dyDescent="0.2">
      <c r="A2890" s="52"/>
    </row>
    <row r="2891" spans="1:1" x14ac:dyDescent="0.2">
      <c r="A2891" s="52"/>
    </row>
    <row r="2892" spans="1:1" x14ac:dyDescent="0.2">
      <c r="A2892" s="52"/>
    </row>
    <row r="2893" spans="1:1" x14ac:dyDescent="0.2">
      <c r="A2893" s="52"/>
    </row>
    <row r="2894" spans="1:1" x14ac:dyDescent="0.2">
      <c r="A2894" s="52"/>
    </row>
    <row r="2895" spans="1:1" x14ac:dyDescent="0.2">
      <c r="A2895" s="52"/>
    </row>
    <row r="2896" spans="1:1" x14ac:dyDescent="0.2">
      <c r="A2896" s="52"/>
    </row>
    <row r="2897" spans="1:1" x14ac:dyDescent="0.2">
      <c r="A2897" s="52"/>
    </row>
    <row r="2898" spans="1:1" x14ac:dyDescent="0.2">
      <c r="A2898" s="52"/>
    </row>
    <row r="2899" spans="1:1" x14ac:dyDescent="0.2">
      <c r="A2899" s="52"/>
    </row>
    <row r="2900" spans="1:1" x14ac:dyDescent="0.2">
      <c r="A2900" s="52"/>
    </row>
    <row r="2901" spans="1:1" x14ac:dyDescent="0.2">
      <c r="A2901" s="52"/>
    </row>
    <row r="2902" spans="1:1" x14ac:dyDescent="0.2">
      <c r="A2902" s="52"/>
    </row>
    <row r="2903" spans="1:1" x14ac:dyDescent="0.2">
      <c r="A2903" s="52"/>
    </row>
    <row r="2904" spans="1:1" x14ac:dyDescent="0.2">
      <c r="A2904" s="52"/>
    </row>
    <row r="2905" spans="1:1" x14ac:dyDescent="0.2">
      <c r="A2905" s="52"/>
    </row>
    <row r="2906" spans="1:1" x14ac:dyDescent="0.2">
      <c r="A2906" s="52"/>
    </row>
    <row r="2907" spans="1:1" x14ac:dyDescent="0.2">
      <c r="A2907" s="52"/>
    </row>
    <row r="2908" spans="1:1" x14ac:dyDescent="0.2">
      <c r="A2908" s="52"/>
    </row>
    <row r="2909" spans="1:1" x14ac:dyDescent="0.2">
      <c r="A2909" s="52"/>
    </row>
    <row r="2910" spans="1:1" x14ac:dyDescent="0.2">
      <c r="A2910" s="52"/>
    </row>
    <row r="2911" spans="1:1" x14ac:dyDescent="0.2">
      <c r="A2911" s="53"/>
    </row>
    <row r="2912" spans="1:1" x14ac:dyDescent="0.2">
      <c r="A2912" s="52"/>
    </row>
    <row r="2913" spans="1:1" x14ac:dyDescent="0.2">
      <c r="A2913" s="52"/>
    </row>
    <row r="2914" spans="1:1" x14ac:dyDescent="0.2">
      <c r="A2914" s="52"/>
    </row>
    <row r="2915" spans="1:1" x14ac:dyDescent="0.2">
      <c r="A2915" s="52"/>
    </row>
    <row r="2916" spans="1:1" x14ac:dyDescent="0.2">
      <c r="A2916" s="52"/>
    </row>
    <row r="2917" spans="1:1" x14ac:dyDescent="0.2">
      <c r="A2917" s="52"/>
    </row>
    <row r="2918" spans="1:1" x14ac:dyDescent="0.2">
      <c r="A2918" s="52"/>
    </row>
    <row r="2919" spans="1:1" x14ac:dyDescent="0.2">
      <c r="A2919" s="52"/>
    </row>
    <row r="2920" spans="1:1" x14ac:dyDescent="0.2">
      <c r="A2920" s="52"/>
    </row>
    <row r="2921" spans="1:1" x14ac:dyDescent="0.2">
      <c r="A2921" s="52"/>
    </row>
    <row r="2922" spans="1:1" x14ac:dyDescent="0.2">
      <c r="A2922" s="52"/>
    </row>
    <row r="2923" spans="1:1" x14ac:dyDescent="0.2">
      <c r="A2923" s="52"/>
    </row>
    <row r="2924" spans="1:1" x14ac:dyDescent="0.2">
      <c r="A2924" s="52"/>
    </row>
    <row r="2925" spans="1:1" x14ac:dyDescent="0.2">
      <c r="A2925" s="52"/>
    </row>
    <row r="2926" spans="1:1" x14ac:dyDescent="0.2">
      <c r="A2926" s="52"/>
    </row>
    <row r="2927" spans="1:1" x14ac:dyDescent="0.2">
      <c r="A2927" s="52"/>
    </row>
    <row r="2928" spans="1:1" x14ac:dyDescent="0.2">
      <c r="A2928" s="52"/>
    </row>
    <row r="2929" spans="1:1" x14ac:dyDescent="0.2">
      <c r="A2929" s="52"/>
    </row>
    <row r="2930" spans="1:1" x14ac:dyDescent="0.2">
      <c r="A2930" s="52"/>
    </row>
    <row r="2931" spans="1:1" x14ac:dyDescent="0.2">
      <c r="A2931" s="53"/>
    </row>
    <row r="2932" spans="1:1" x14ac:dyDescent="0.2">
      <c r="A2932" s="52"/>
    </row>
    <row r="2933" spans="1:1" x14ac:dyDescent="0.2">
      <c r="A2933" s="52"/>
    </row>
    <row r="2934" spans="1:1" x14ac:dyDescent="0.2">
      <c r="A2934" s="52"/>
    </row>
    <row r="2935" spans="1:1" x14ac:dyDescent="0.2">
      <c r="A2935" s="52"/>
    </row>
    <row r="2936" spans="1:1" x14ac:dyDescent="0.2">
      <c r="A2936" s="52"/>
    </row>
    <row r="2937" spans="1:1" x14ac:dyDescent="0.2">
      <c r="A2937" s="52"/>
    </row>
    <row r="2938" spans="1:1" x14ac:dyDescent="0.2">
      <c r="A2938" s="52"/>
    </row>
    <row r="2939" spans="1:1" x14ac:dyDescent="0.2">
      <c r="A2939" s="52"/>
    </row>
    <row r="2940" spans="1:1" x14ac:dyDescent="0.2">
      <c r="A2940" s="52"/>
    </row>
    <row r="2941" spans="1:1" x14ac:dyDescent="0.2">
      <c r="A2941" s="52"/>
    </row>
    <row r="2942" spans="1:1" x14ac:dyDescent="0.2">
      <c r="A2942" s="52"/>
    </row>
    <row r="2943" spans="1:1" x14ac:dyDescent="0.2">
      <c r="A2943" s="52"/>
    </row>
    <row r="2944" spans="1:1" x14ac:dyDescent="0.2">
      <c r="A2944" s="52"/>
    </row>
    <row r="2945" spans="1:1" x14ac:dyDescent="0.2">
      <c r="A2945" s="52"/>
    </row>
    <row r="2946" spans="1:1" x14ac:dyDescent="0.2">
      <c r="A2946" s="52"/>
    </row>
    <row r="2947" spans="1:1" x14ac:dyDescent="0.2">
      <c r="A2947" s="52"/>
    </row>
    <row r="2948" spans="1:1" x14ac:dyDescent="0.2">
      <c r="A2948" s="52"/>
    </row>
    <row r="2949" spans="1:1" x14ac:dyDescent="0.2">
      <c r="A2949" s="52"/>
    </row>
    <row r="2950" spans="1:1" x14ac:dyDescent="0.2">
      <c r="A2950" s="52"/>
    </row>
    <row r="2951" spans="1:1" x14ac:dyDescent="0.2">
      <c r="A2951" s="52"/>
    </row>
    <row r="2952" spans="1:1" x14ac:dyDescent="0.2">
      <c r="A2952" s="52"/>
    </row>
    <row r="2953" spans="1:1" x14ac:dyDescent="0.2">
      <c r="A2953" s="52"/>
    </row>
    <row r="2954" spans="1:1" x14ac:dyDescent="0.2">
      <c r="A2954" s="52"/>
    </row>
    <row r="2955" spans="1:1" x14ac:dyDescent="0.2">
      <c r="A2955" s="52"/>
    </row>
    <row r="2956" spans="1:1" x14ac:dyDescent="0.2">
      <c r="A2956" s="52"/>
    </row>
    <row r="2957" spans="1:1" x14ac:dyDescent="0.2">
      <c r="A2957" s="52"/>
    </row>
    <row r="2958" spans="1:1" x14ac:dyDescent="0.2">
      <c r="A2958" s="53"/>
    </row>
    <row r="2959" spans="1:1" x14ac:dyDescent="0.2">
      <c r="A2959" s="52"/>
    </row>
    <row r="2960" spans="1:1" x14ac:dyDescent="0.2">
      <c r="A2960" s="52"/>
    </row>
    <row r="2961" spans="1:1" x14ac:dyDescent="0.2">
      <c r="A2961" s="52"/>
    </row>
    <row r="2962" spans="1:1" x14ac:dyDescent="0.2">
      <c r="A2962" s="52"/>
    </row>
    <row r="2963" spans="1:1" x14ac:dyDescent="0.2">
      <c r="A2963" s="52"/>
    </row>
    <row r="2964" spans="1:1" x14ac:dyDescent="0.2">
      <c r="A2964" s="52"/>
    </row>
    <row r="2965" spans="1:1" x14ac:dyDescent="0.2">
      <c r="A2965" s="52"/>
    </row>
    <row r="2966" spans="1:1" x14ac:dyDescent="0.2">
      <c r="A2966" s="52"/>
    </row>
    <row r="2967" spans="1:1" x14ac:dyDescent="0.2">
      <c r="A2967" s="52"/>
    </row>
    <row r="2968" spans="1:1" x14ac:dyDescent="0.2">
      <c r="A2968" s="52"/>
    </row>
    <row r="2969" spans="1:1" x14ac:dyDescent="0.2">
      <c r="A2969" s="52"/>
    </row>
    <row r="2970" spans="1:1" x14ac:dyDescent="0.2">
      <c r="A2970" s="52"/>
    </row>
    <row r="2971" spans="1:1" x14ac:dyDescent="0.2">
      <c r="A2971" s="52"/>
    </row>
    <row r="2972" spans="1:1" x14ac:dyDescent="0.2">
      <c r="A2972" s="52"/>
    </row>
    <row r="2973" spans="1:1" x14ac:dyDescent="0.2">
      <c r="A2973" s="52"/>
    </row>
    <row r="2974" spans="1:1" x14ac:dyDescent="0.2">
      <c r="A2974" s="52"/>
    </row>
    <row r="2975" spans="1:1" x14ac:dyDescent="0.2">
      <c r="A2975" s="52"/>
    </row>
    <row r="2976" spans="1:1" x14ac:dyDescent="0.2">
      <c r="A2976" s="52"/>
    </row>
    <row r="2977" spans="1:1" x14ac:dyDescent="0.2">
      <c r="A2977" s="52"/>
    </row>
    <row r="2978" spans="1:1" x14ac:dyDescent="0.2">
      <c r="A2978" s="52"/>
    </row>
    <row r="2979" spans="1:1" x14ac:dyDescent="0.2">
      <c r="A2979" s="52"/>
    </row>
    <row r="2980" spans="1:1" x14ac:dyDescent="0.2">
      <c r="A2980" s="52"/>
    </row>
    <row r="2981" spans="1:1" x14ac:dyDescent="0.2">
      <c r="A2981" s="52"/>
    </row>
    <row r="2982" spans="1:1" x14ac:dyDescent="0.2">
      <c r="A2982" s="52"/>
    </row>
    <row r="2983" spans="1:1" x14ac:dyDescent="0.2">
      <c r="A2983" s="52"/>
    </row>
    <row r="2984" spans="1:1" x14ac:dyDescent="0.2">
      <c r="A2984" s="52"/>
    </row>
    <row r="2985" spans="1:1" x14ac:dyDescent="0.2">
      <c r="A2985" s="52"/>
    </row>
    <row r="2986" spans="1:1" x14ac:dyDescent="0.2">
      <c r="A2986" s="52"/>
    </row>
    <row r="2987" spans="1:1" x14ac:dyDescent="0.2">
      <c r="A2987" s="52"/>
    </row>
    <row r="2988" spans="1:1" x14ac:dyDescent="0.2">
      <c r="A2988" s="52"/>
    </row>
    <row r="2989" spans="1:1" x14ac:dyDescent="0.2">
      <c r="A2989" s="52"/>
    </row>
    <row r="2990" spans="1:1" x14ac:dyDescent="0.2">
      <c r="A2990" s="52"/>
    </row>
    <row r="2991" spans="1:1" x14ac:dyDescent="0.2">
      <c r="A2991" s="52"/>
    </row>
    <row r="2992" spans="1:1" x14ac:dyDescent="0.2">
      <c r="A2992" s="52"/>
    </row>
    <row r="2993" spans="1:1" x14ac:dyDescent="0.2">
      <c r="A2993" s="52"/>
    </row>
    <row r="2994" spans="1:1" x14ac:dyDescent="0.2">
      <c r="A2994" s="52"/>
    </row>
    <row r="2995" spans="1:1" x14ac:dyDescent="0.2">
      <c r="A2995" s="52"/>
    </row>
    <row r="2996" spans="1:1" x14ac:dyDescent="0.2">
      <c r="A2996" s="52"/>
    </row>
    <row r="2997" spans="1:1" x14ac:dyDescent="0.2">
      <c r="A2997" s="52"/>
    </row>
    <row r="2998" spans="1:1" x14ac:dyDescent="0.2">
      <c r="A2998" s="52"/>
    </row>
    <row r="2999" spans="1:1" x14ac:dyDescent="0.2">
      <c r="A2999" s="52"/>
    </row>
    <row r="3000" spans="1:1" x14ac:dyDescent="0.2">
      <c r="A3000" s="52"/>
    </row>
    <row r="3001" spans="1:1" x14ac:dyDescent="0.2">
      <c r="A3001" s="52"/>
    </row>
    <row r="3002" spans="1:1" x14ac:dyDescent="0.2">
      <c r="A3002" s="53"/>
    </row>
    <row r="3003" spans="1:1" x14ac:dyDescent="0.2">
      <c r="A3003" s="53"/>
    </row>
    <row r="3004" spans="1:1" x14ac:dyDescent="0.2">
      <c r="A3004" s="53"/>
    </row>
    <row r="3005" spans="1:1" x14ac:dyDescent="0.2">
      <c r="A3005" s="52"/>
    </row>
    <row r="3006" spans="1:1" x14ac:dyDescent="0.2">
      <c r="A3006" s="53"/>
    </row>
    <row r="3007" spans="1:1" x14ac:dyDescent="0.2">
      <c r="A3007" s="53"/>
    </row>
    <row r="3008" spans="1:1" x14ac:dyDescent="0.2">
      <c r="A3008" s="52"/>
    </row>
    <row r="3009" spans="1:1" x14ac:dyDescent="0.2">
      <c r="A3009" s="52"/>
    </row>
    <row r="3010" spans="1:1" x14ac:dyDescent="0.2">
      <c r="A3010" s="52"/>
    </row>
    <row r="3011" spans="1:1" x14ac:dyDescent="0.2">
      <c r="A3011" s="52"/>
    </row>
    <row r="3012" spans="1:1" x14ac:dyDescent="0.2">
      <c r="A3012" s="52"/>
    </row>
    <row r="3013" spans="1:1" x14ac:dyDescent="0.2">
      <c r="A3013" s="52"/>
    </row>
    <row r="3014" spans="1:1" x14ac:dyDescent="0.2">
      <c r="A3014" s="52"/>
    </row>
    <row r="3015" spans="1:1" x14ac:dyDescent="0.2">
      <c r="A3015" s="52"/>
    </row>
    <row r="3016" spans="1:1" x14ac:dyDescent="0.2">
      <c r="A3016" s="52"/>
    </row>
    <row r="3017" spans="1:1" x14ac:dyDescent="0.2">
      <c r="A3017" s="52"/>
    </row>
    <row r="3018" spans="1:1" x14ac:dyDescent="0.2">
      <c r="A3018" s="52"/>
    </row>
    <row r="3019" spans="1:1" x14ac:dyDescent="0.2">
      <c r="A3019" s="52"/>
    </row>
    <row r="3020" spans="1:1" x14ac:dyDescent="0.2">
      <c r="A3020" s="52"/>
    </row>
    <row r="3021" spans="1:1" x14ac:dyDescent="0.2">
      <c r="A3021" s="52"/>
    </row>
    <row r="3022" spans="1:1" x14ac:dyDescent="0.2">
      <c r="A3022" s="52"/>
    </row>
    <row r="3023" spans="1:1" x14ac:dyDescent="0.2">
      <c r="A3023" s="52"/>
    </row>
    <row r="3024" spans="1:1" x14ac:dyDescent="0.2">
      <c r="A3024" s="52"/>
    </row>
    <row r="3025" spans="1:1" x14ac:dyDescent="0.2">
      <c r="A3025" s="52"/>
    </row>
    <row r="3026" spans="1:1" x14ac:dyDescent="0.2">
      <c r="A3026" s="52"/>
    </row>
    <row r="3027" spans="1:1" x14ac:dyDescent="0.2">
      <c r="A3027" s="52"/>
    </row>
    <row r="3028" spans="1:1" x14ac:dyDescent="0.2">
      <c r="A3028" s="52"/>
    </row>
    <row r="3029" spans="1:1" x14ac:dyDescent="0.2">
      <c r="A3029" s="52"/>
    </row>
    <row r="3030" spans="1:1" x14ac:dyDescent="0.2">
      <c r="A3030" s="52"/>
    </row>
    <row r="3031" spans="1:1" x14ac:dyDescent="0.2">
      <c r="A3031" s="52"/>
    </row>
    <row r="3032" spans="1:1" x14ac:dyDescent="0.2">
      <c r="A3032" s="53"/>
    </row>
    <row r="3033" spans="1:1" x14ac:dyDescent="0.2">
      <c r="A3033" s="52"/>
    </row>
    <row r="3034" spans="1:1" x14ac:dyDescent="0.2">
      <c r="A3034" s="52"/>
    </row>
    <row r="3035" spans="1:1" x14ac:dyDescent="0.2">
      <c r="A3035" s="52"/>
    </row>
    <row r="3036" spans="1:1" x14ac:dyDescent="0.2">
      <c r="A3036" s="52"/>
    </row>
    <row r="3037" spans="1:1" x14ac:dyDescent="0.2">
      <c r="A3037" s="52"/>
    </row>
    <row r="3038" spans="1:1" x14ac:dyDescent="0.2">
      <c r="A3038" s="52"/>
    </row>
    <row r="3039" spans="1:1" x14ac:dyDescent="0.2">
      <c r="A3039" s="52"/>
    </row>
    <row r="3040" spans="1:1" x14ac:dyDescent="0.2">
      <c r="A3040" s="52"/>
    </row>
    <row r="3041" spans="1:1" x14ac:dyDescent="0.2">
      <c r="A3041" s="52"/>
    </row>
    <row r="3042" spans="1:1" x14ac:dyDescent="0.2">
      <c r="A3042" s="52"/>
    </row>
    <row r="3043" spans="1:1" x14ac:dyDescent="0.2">
      <c r="A3043" s="52"/>
    </row>
    <row r="3044" spans="1:1" x14ac:dyDescent="0.2">
      <c r="A3044" s="52"/>
    </row>
    <row r="3045" spans="1:1" x14ac:dyDescent="0.2">
      <c r="A3045" s="52"/>
    </row>
    <row r="3046" spans="1:1" x14ac:dyDescent="0.2">
      <c r="A3046" s="52"/>
    </row>
    <row r="3047" spans="1:1" x14ac:dyDescent="0.2">
      <c r="A3047" s="52"/>
    </row>
    <row r="3048" spans="1:1" x14ac:dyDescent="0.2">
      <c r="A3048" s="52"/>
    </row>
    <row r="3049" spans="1:1" x14ac:dyDescent="0.2">
      <c r="A3049" s="52"/>
    </row>
    <row r="3050" spans="1:1" x14ac:dyDescent="0.2">
      <c r="A3050" s="52"/>
    </row>
    <row r="3051" spans="1:1" x14ac:dyDescent="0.2">
      <c r="A3051" s="52"/>
    </row>
    <row r="3052" spans="1:1" x14ac:dyDescent="0.2">
      <c r="A3052" s="52"/>
    </row>
    <row r="3053" spans="1:1" x14ac:dyDescent="0.2">
      <c r="A3053" s="52"/>
    </row>
    <row r="3054" spans="1:1" x14ac:dyDescent="0.2">
      <c r="A3054" s="52"/>
    </row>
    <row r="3055" spans="1:1" x14ac:dyDescent="0.2">
      <c r="A3055" s="52"/>
    </row>
    <row r="3056" spans="1:1" x14ac:dyDescent="0.2">
      <c r="A3056" s="52"/>
    </row>
    <row r="3057" spans="1:1" x14ac:dyDescent="0.2">
      <c r="A3057" s="52"/>
    </row>
    <row r="3058" spans="1:1" x14ac:dyDescent="0.2">
      <c r="A3058" s="52"/>
    </row>
    <row r="3059" spans="1:1" x14ac:dyDescent="0.2">
      <c r="A3059" s="52"/>
    </row>
    <row r="3060" spans="1:1" x14ac:dyDescent="0.2">
      <c r="A3060" s="52"/>
    </row>
    <row r="3061" spans="1:1" x14ac:dyDescent="0.2">
      <c r="A3061" s="53"/>
    </row>
    <row r="3062" spans="1:1" x14ac:dyDescent="0.2">
      <c r="A3062" s="52"/>
    </row>
    <row r="3063" spans="1:1" x14ac:dyDescent="0.2">
      <c r="A3063" s="52"/>
    </row>
    <row r="3064" spans="1:1" x14ac:dyDescent="0.2">
      <c r="A3064" s="52"/>
    </row>
    <row r="3065" spans="1:1" x14ac:dyDescent="0.2">
      <c r="A3065" s="52"/>
    </row>
    <row r="3066" spans="1:1" x14ac:dyDescent="0.2">
      <c r="A3066" s="52"/>
    </row>
    <row r="3067" spans="1:1" x14ac:dyDescent="0.2">
      <c r="A3067" s="52"/>
    </row>
    <row r="3068" spans="1:1" x14ac:dyDescent="0.2">
      <c r="A3068" s="52"/>
    </row>
    <row r="3069" spans="1:1" x14ac:dyDescent="0.2">
      <c r="A3069" s="52"/>
    </row>
    <row r="3070" spans="1:1" x14ac:dyDescent="0.2">
      <c r="A3070" s="52"/>
    </row>
    <row r="3071" spans="1:1" x14ac:dyDescent="0.2">
      <c r="A3071" s="52"/>
    </row>
    <row r="3072" spans="1:1" x14ac:dyDescent="0.2">
      <c r="A3072" s="52"/>
    </row>
    <row r="3073" spans="1:1" x14ac:dyDescent="0.2">
      <c r="A3073" s="52"/>
    </row>
    <row r="3074" spans="1:1" x14ac:dyDescent="0.2">
      <c r="A3074" s="52"/>
    </row>
    <row r="3075" spans="1:1" x14ac:dyDescent="0.2">
      <c r="A3075" s="52"/>
    </row>
    <row r="3076" spans="1:1" x14ac:dyDescent="0.2">
      <c r="A3076" s="52"/>
    </row>
    <row r="3077" spans="1:1" x14ac:dyDescent="0.2">
      <c r="A3077" s="52"/>
    </row>
    <row r="3078" spans="1:1" x14ac:dyDescent="0.2">
      <c r="A3078" s="52"/>
    </row>
    <row r="3079" spans="1:1" x14ac:dyDescent="0.2">
      <c r="A3079" s="52"/>
    </row>
    <row r="3080" spans="1:1" x14ac:dyDescent="0.2">
      <c r="A3080" s="52"/>
    </row>
    <row r="3081" spans="1:1" x14ac:dyDescent="0.2">
      <c r="A3081" s="52"/>
    </row>
    <row r="3082" spans="1:1" x14ac:dyDescent="0.2">
      <c r="A3082" s="52"/>
    </row>
    <row r="3083" spans="1:1" x14ac:dyDescent="0.2">
      <c r="A3083" s="52"/>
    </row>
    <row r="3084" spans="1:1" x14ac:dyDescent="0.2">
      <c r="A3084" s="53"/>
    </row>
    <row r="3085" spans="1:1" x14ac:dyDescent="0.2">
      <c r="A3085" s="52"/>
    </row>
    <row r="3086" spans="1:1" x14ac:dyDescent="0.2">
      <c r="A3086" s="52"/>
    </row>
    <row r="3087" spans="1:1" x14ac:dyDescent="0.2">
      <c r="A3087" s="53"/>
    </row>
    <row r="3088" spans="1:1" x14ac:dyDescent="0.2">
      <c r="A3088" s="52"/>
    </row>
    <row r="3089" spans="1:1" x14ac:dyDescent="0.2">
      <c r="A3089" s="52"/>
    </row>
    <row r="3090" spans="1:1" x14ac:dyDescent="0.2">
      <c r="A3090" s="52"/>
    </row>
    <row r="3091" spans="1:1" x14ac:dyDescent="0.2">
      <c r="A3091" s="52"/>
    </row>
    <row r="3092" spans="1:1" x14ac:dyDescent="0.2">
      <c r="A3092" s="52"/>
    </row>
    <row r="3093" spans="1:1" x14ac:dyDescent="0.2">
      <c r="A3093" s="52"/>
    </row>
    <row r="3094" spans="1:1" x14ac:dyDescent="0.2">
      <c r="A3094" s="52"/>
    </row>
    <row r="3095" spans="1:1" x14ac:dyDescent="0.2">
      <c r="A3095" s="52"/>
    </row>
    <row r="3096" spans="1:1" x14ac:dyDescent="0.2">
      <c r="A3096" s="52"/>
    </row>
    <row r="3097" spans="1:1" x14ac:dyDescent="0.2">
      <c r="A3097" s="52"/>
    </row>
    <row r="3098" spans="1:1" x14ac:dyDescent="0.2">
      <c r="A3098" s="52"/>
    </row>
    <row r="3099" spans="1:1" x14ac:dyDescent="0.2">
      <c r="A3099" s="52"/>
    </row>
    <row r="3100" spans="1:1" x14ac:dyDescent="0.2">
      <c r="A3100" s="52"/>
    </row>
    <row r="3101" spans="1:1" x14ac:dyDescent="0.2">
      <c r="A3101" s="52"/>
    </row>
    <row r="3102" spans="1:1" x14ac:dyDescent="0.2">
      <c r="A3102" s="52"/>
    </row>
    <row r="3103" spans="1:1" x14ac:dyDescent="0.2">
      <c r="A3103" s="52"/>
    </row>
    <row r="3104" spans="1:1" x14ac:dyDescent="0.2">
      <c r="A3104" s="52"/>
    </row>
    <row r="3105" spans="1:1" x14ac:dyDescent="0.2">
      <c r="A3105" s="52"/>
    </row>
    <row r="3106" spans="1:1" x14ac:dyDescent="0.2">
      <c r="A3106" s="52"/>
    </row>
    <row r="3107" spans="1:1" x14ac:dyDescent="0.2">
      <c r="A3107" s="52"/>
    </row>
    <row r="3108" spans="1:1" x14ac:dyDescent="0.2">
      <c r="A3108" s="52"/>
    </row>
    <row r="3109" spans="1:1" x14ac:dyDescent="0.2">
      <c r="A3109" s="52"/>
    </row>
    <row r="3110" spans="1:1" x14ac:dyDescent="0.2">
      <c r="A3110" s="52"/>
    </row>
    <row r="3111" spans="1:1" x14ac:dyDescent="0.2">
      <c r="A3111" s="52"/>
    </row>
    <row r="3112" spans="1:1" x14ac:dyDescent="0.2">
      <c r="A3112" s="52"/>
    </row>
    <row r="3113" spans="1:1" x14ac:dyDescent="0.2">
      <c r="A3113" s="52"/>
    </row>
    <row r="3114" spans="1:1" x14ac:dyDescent="0.2">
      <c r="A3114" s="52"/>
    </row>
    <row r="3115" spans="1:1" x14ac:dyDescent="0.2">
      <c r="A3115" s="52"/>
    </row>
    <row r="3116" spans="1:1" x14ac:dyDescent="0.2">
      <c r="A3116" s="52"/>
    </row>
    <row r="3117" spans="1:1" x14ac:dyDescent="0.2">
      <c r="A3117" s="52"/>
    </row>
    <row r="3118" spans="1:1" x14ac:dyDescent="0.2">
      <c r="A3118" s="52"/>
    </row>
    <row r="3119" spans="1:1" x14ac:dyDescent="0.2">
      <c r="A3119" s="52"/>
    </row>
    <row r="3120" spans="1:1" x14ac:dyDescent="0.2">
      <c r="A3120" s="52"/>
    </row>
    <row r="3121" spans="1:1" x14ac:dyDescent="0.2">
      <c r="A3121" s="52"/>
    </row>
    <row r="3122" spans="1:1" x14ac:dyDescent="0.2">
      <c r="A3122" s="52"/>
    </row>
    <row r="3123" spans="1:1" x14ac:dyDescent="0.2">
      <c r="A3123" s="52"/>
    </row>
    <row r="3124" spans="1:1" x14ac:dyDescent="0.2">
      <c r="A3124" s="53"/>
    </row>
    <row r="3125" spans="1:1" x14ac:dyDescent="0.2">
      <c r="A3125" s="52"/>
    </row>
    <row r="3126" spans="1:1" x14ac:dyDescent="0.2">
      <c r="A3126" s="52"/>
    </row>
    <row r="3127" spans="1:1" x14ac:dyDescent="0.2">
      <c r="A3127" s="52"/>
    </row>
    <row r="3128" spans="1:1" x14ac:dyDescent="0.2">
      <c r="A3128" s="53"/>
    </row>
    <row r="3129" spans="1:1" x14ac:dyDescent="0.2">
      <c r="A3129" s="52"/>
    </row>
    <row r="3130" spans="1:1" x14ac:dyDescent="0.2">
      <c r="A3130" s="52"/>
    </row>
    <row r="3131" spans="1:1" x14ac:dyDescent="0.2">
      <c r="A3131" s="52"/>
    </row>
    <row r="3132" spans="1:1" x14ac:dyDescent="0.2">
      <c r="A3132" s="52"/>
    </row>
    <row r="3133" spans="1:1" x14ac:dyDescent="0.2">
      <c r="A3133" s="52"/>
    </row>
    <row r="3134" spans="1:1" x14ac:dyDescent="0.2">
      <c r="A3134" s="52"/>
    </row>
    <row r="3135" spans="1:1" x14ac:dyDescent="0.2">
      <c r="A3135" s="52"/>
    </row>
    <row r="3136" spans="1:1" x14ac:dyDescent="0.2">
      <c r="A3136" s="52"/>
    </row>
    <row r="3137" spans="1:1" x14ac:dyDescent="0.2">
      <c r="A3137" s="52"/>
    </row>
    <row r="3138" spans="1:1" x14ac:dyDescent="0.2">
      <c r="A3138" s="52"/>
    </row>
    <row r="3139" spans="1:1" x14ac:dyDescent="0.2">
      <c r="A3139" s="52"/>
    </row>
    <row r="3140" spans="1:1" x14ac:dyDescent="0.2">
      <c r="A3140" s="52"/>
    </row>
    <row r="3141" spans="1:1" x14ac:dyDescent="0.2">
      <c r="A3141" s="53"/>
    </row>
    <row r="3142" spans="1:1" x14ac:dyDescent="0.2">
      <c r="A3142" s="52"/>
    </row>
    <row r="3143" spans="1:1" x14ac:dyDescent="0.2">
      <c r="A3143" s="52"/>
    </row>
    <row r="3144" spans="1:1" x14ac:dyDescent="0.2">
      <c r="A3144" s="52"/>
    </row>
    <row r="3145" spans="1:1" x14ac:dyDescent="0.2">
      <c r="A3145" s="52"/>
    </row>
    <row r="3146" spans="1:1" x14ac:dyDescent="0.2">
      <c r="A3146" s="52"/>
    </row>
    <row r="3147" spans="1:1" x14ac:dyDescent="0.2">
      <c r="A3147" s="52"/>
    </row>
    <row r="3148" spans="1:1" x14ac:dyDescent="0.2">
      <c r="A3148" s="53"/>
    </row>
    <row r="3149" spans="1:1" x14ac:dyDescent="0.2">
      <c r="A3149" s="52"/>
    </row>
    <row r="3150" spans="1:1" x14ac:dyDescent="0.2">
      <c r="A3150" s="52"/>
    </row>
    <row r="3151" spans="1:1" x14ac:dyDescent="0.2">
      <c r="A3151" s="53"/>
    </row>
    <row r="3152" spans="1:1" x14ac:dyDescent="0.2">
      <c r="A3152" s="52"/>
    </row>
    <row r="3153" spans="1:1" x14ac:dyDescent="0.2">
      <c r="A3153" s="52"/>
    </row>
    <row r="3154" spans="1:1" x14ac:dyDescent="0.2">
      <c r="A3154" s="52"/>
    </row>
    <row r="3155" spans="1:1" x14ac:dyDescent="0.2">
      <c r="A3155" s="52"/>
    </row>
    <row r="3156" spans="1:1" x14ac:dyDescent="0.2">
      <c r="A3156" s="52"/>
    </row>
    <row r="3157" spans="1:1" x14ac:dyDescent="0.2">
      <c r="A3157" s="52"/>
    </row>
    <row r="3158" spans="1:1" x14ac:dyDescent="0.2">
      <c r="A3158" s="52"/>
    </row>
    <row r="3159" spans="1:1" x14ac:dyDescent="0.2">
      <c r="A3159" s="52"/>
    </row>
    <row r="3160" spans="1:1" x14ac:dyDescent="0.2">
      <c r="A3160" s="53"/>
    </row>
    <row r="3161" spans="1:1" x14ac:dyDescent="0.2">
      <c r="A3161" s="52"/>
    </row>
    <row r="3162" spans="1:1" x14ac:dyDescent="0.2">
      <c r="A3162" s="52"/>
    </row>
    <row r="3163" spans="1:1" x14ac:dyDescent="0.2">
      <c r="A3163" s="52"/>
    </row>
    <row r="3164" spans="1:1" x14ac:dyDescent="0.2">
      <c r="A3164" s="53"/>
    </row>
    <row r="3165" spans="1:1" x14ac:dyDescent="0.2">
      <c r="A3165" s="52"/>
    </row>
    <row r="3166" spans="1:1" x14ac:dyDescent="0.2">
      <c r="A3166" s="52"/>
    </row>
    <row r="3167" spans="1:1" x14ac:dyDescent="0.2">
      <c r="A3167" s="53"/>
    </row>
    <row r="3168" spans="1:1" x14ac:dyDescent="0.2">
      <c r="A3168" s="52"/>
    </row>
    <row r="3169" spans="1:1" x14ac:dyDescent="0.2">
      <c r="A3169" s="52"/>
    </row>
    <row r="3170" spans="1:1" x14ac:dyDescent="0.2">
      <c r="A3170" s="53"/>
    </row>
    <row r="3171" spans="1:1" x14ac:dyDescent="0.2">
      <c r="A3171" s="52"/>
    </row>
    <row r="3172" spans="1:1" x14ac:dyDescent="0.2">
      <c r="A3172" s="52"/>
    </row>
    <row r="3173" spans="1:1" x14ac:dyDescent="0.2">
      <c r="A3173" s="52"/>
    </row>
    <row r="3174" spans="1:1" x14ac:dyDescent="0.2">
      <c r="A3174" s="52"/>
    </row>
    <row r="3175" spans="1:1" x14ac:dyDescent="0.2">
      <c r="A3175" s="52"/>
    </row>
    <row r="3176" spans="1:1" x14ac:dyDescent="0.2">
      <c r="A3176" s="52"/>
    </row>
    <row r="3177" spans="1:1" x14ac:dyDescent="0.2">
      <c r="A3177" s="52"/>
    </row>
    <row r="3178" spans="1:1" x14ac:dyDescent="0.2">
      <c r="A3178" s="52"/>
    </row>
    <row r="3179" spans="1:1" x14ac:dyDescent="0.2">
      <c r="A3179" s="52"/>
    </row>
    <row r="3180" spans="1:1" x14ac:dyDescent="0.2">
      <c r="A3180" s="52"/>
    </row>
    <row r="3181" spans="1:1" x14ac:dyDescent="0.2">
      <c r="A3181" s="52"/>
    </row>
    <row r="3182" spans="1:1" x14ac:dyDescent="0.2">
      <c r="A3182" s="52"/>
    </row>
    <row r="3183" spans="1:1" x14ac:dyDescent="0.2">
      <c r="A3183" s="53"/>
    </row>
    <row r="3184" spans="1:1" x14ac:dyDescent="0.2">
      <c r="A3184" s="52"/>
    </row>
    <row r="3185" spans="1:1" x14ac:dyDescent="0.2">
      <c r="A3185" s="52"/>
    </row>
    <row r="3186" spans="1:1" x14ac:dyDescent="0.2">
      <c r="A3186" s="52"/>
    </row>
    <row r="3187" spans="1:1" x14ac:dyDescent="0.2">
      <c r="A3187" s="52"/>
    </row>
    <row r="3188" spans="1:1" x14ac:dyDescent="0.2">
      <c r="A3188" s="52"/>
    </row>
    <row r="3189" spans="1:1" x14ac:dyDescent="0.2">
      <c r="A3189" s="52"/>
    </row>
    <row r="3190" spans="1:1" x14ac:dyDescent="0.2">
      <c r="A3190" s="52"/>
    </row>
    <row r="3191" spans="1:1" x14ac:dyDescent="0.2">
      <c r="A3191" s="53"/>
    </row>
    <row r="3192" spans="1:1" x14ac:dyDescent="0.2">
      <c r="A3192" s="52"/>
    </row>
    <row r="3193" spans="1:1" x14ac:dyDescent="0.2">
      <c r="A3193" s="52"/>
    </row>
    <row r="3194" spans="1:1" x14ac:dyDescent="0.2">
      <c r="A3194" s="52"/>
    </row>
    <row r="3195" spans="1:1" x14ac:dyDescent="0.2">
      <c r="A3195" s="52"/>
    </row>
    <row r="3196" spans="1:1" x14ac:dyDescent="0.2">
      <c r="A3196" s="52"/>
    </row>
    <row r="3197" spans="1:1" x14ac:dyDescent="0.2">
      <c r="A3197" s="52"/>
    </row>
    <row r="3198" spans="1:1" x14ac:dyDescent="0.2">
      <c r="A3198" s="52"/>
    </row>
    <row r="3199" spans="1:1" x14ac:dyDescent="0.2">
      <c r="A3199" s="52"/>
    </row>
    <row r="3200" spans="1:1" x14ac:dyDescent="0.2">
      <c r="A3200" s="52"/>
    </row>
    <row r="3201" spans="1:1" x14ac:dyDescent="0.2">
      <c r="A3201" s="52"/>
    </row>
    <row r="3202" spans="1:1" x14ac:dyDescent="0.2">
      <c r="A3202" s="52"/>
    </row>
    <row r="3203" spans="1:1" x14ac:dyDescent="0.2">
      <c r="A3203" s="52"/>
    </row>
    <row r="3204" spans="1:1" x14ac:dyDescent="0.2">
      <c r="A3204" s="52"/>
    </row>
    <row r="3205" spans="1:1" x14ac:dyDescent="0.2">
      <c r="A3205" s="52"/>
    </row>
    <row r="3206" spans="1:1" x14ac:dyDescent="0.2">
      <c r="A3206" s="52"/>
    </row>
    <row r="3207" spans="1:1" x14ac:dyDescent="0.2">
      <c r="A3207" s="52"/>
    </row>
    <row r="3208" spans="1:1" x14ac:dyDescent="0.2">
      <c r="A3208" s="52"/>
    </row>
    <row r="3209" spans="1:1" x14ac:dyDescent="0.2">
      <c r="A3209" s="52"/>
    </row>
    <row r="3210" spans="1:1" x14ac:dyDescent="0.2">
      <c r="A3210" s="52"/>
    </row>
    <row r="3211" spans="1:1" x14ac:dyDescent="0.2">
      <c r="A3211" s="52"/>
    </row>
    <row r="3212" spans="1:1" x14ac:dyDescent="0.2">
      <c r="A3212" s="52"/>
    </row>
    <row r="3213" spans="1:1" x14ac:dyDescent="0.2">
      <c r="A3213" s="52"/>
    </row>
    <row r="3214" spans="1:1" x14ac:dyDescent="0.2">
      <c r="A3214" s="52"/>
    </row>
    <row r="3215" spans="1:1" x14ac:dyDescent="0.2">
      <c r="A3215" s="52"/>
    </row>
    <row r="3216" spans="1:1" x14ac:dyDescent="0.2">
      <c r="A3216" s="52"/>
    </row>
    <row r="3217" spans="1:1" x14ac:dyDescent="0.2">
      <c r="A3217" s="52"/>
    </row>
    <row r="3218" spans="1:1" x14ac:dyDescent="0.2">
      <c r="A3218" s="52"/>
    </row>
    <row r="3219" spans="1:1" x14ac:dyDescent="0.2">
      <c r="A3219" s="52"/>
    </row>
    <row r="3220" spans="1:1" x14ac:dyDescent="0.2">
      <c r="A3220" s="52"/>
    </row>
    <row r="3221" spans="1:1" x14ac:dyDescent="0.2">
      <c r="A3221" s="52"/>
    </row>
    <row r="3222" spans="1:1" x14ac:dyDescent="0.2">
      <c r="A3222" s="52"/>
    </row>
    <row r="3223" spans="1:1" x14ac:dyDescent="0.2">
      <c r="A3223" s="52"/>
    </row>
    <row r="3224" spans="1:1" x14ac:dyDescent="0.2">
      <c r="A3224" s="52"/>
    </row>
    <row r="3225" spans="1:1" x14ac:dyDescent="0.2">
      <c r="A3225" s="52"/>
    </row>
    <row r="3226" spans="1:1" x14ac:dyDescent="0.2">
      <c r="A3226" s="52"/>
    </row>
    <row r="3227" spans="1:1" x14ac:dyDescent="0.2">
      <c r="A3227" s="52"/>
    </row>
    <row r="3228" spans="1:1" x14ac:dyDescent="0.2">
      <c r="A3228" s="52"/>
    </row>
    <row r="3229" spans="1:1" x14ac:dyDescent="0.2">
      <c r="A3229" s="52"/>
    </row>
    <row r="3230" spans="1:1" x14ac:dyDescent="0.2">
      <c r="A3230" s="53"/>
    </row>
    <row r="3231" spans="1:1" x14ac:dyDescent="0.2">
      <c r="A3231" s="52"/>
    </row>
    <row r="3232" spans="1:1" x14ac:dyDescent="0.2">
      <c r="A3232" s="52"/>
    </row>
    <row r="3233" spans="1:1" x14ac:dyDescent="0.2">
      <c r="A3233" s="52"/>
    </row>
    <row r="3234" spans="1:1" x14ac:dyDescent="0.2">
      <c r="A3234" s="52"/>
    </row>
    <row r="3235" spans="1:1" x14ac:dyDescent="0.2">
      <c r="A3235" s="52"/>
    </row>
    <row r="3236" spans="1:1" x14ac:dyDescent="0.2">
      <c r="A3236" s="52"/>
    </row>
    <row r="3237" spans="1:1" x14ac:dyDescent="0.2">
      <c r="A3237" s="52"/>
    </row>
    <row r="3238" spans="1:1" x14ac:dyDescent="0.2">
      <c r="A3238" s="52"/>
    </row>
    <row r="3239" spans="1:1" x14ac:dyDescent="0.2">
      <c r="A3239" s="52"/>
    </row>
    <row r="3240" spans="1:1" x14ac:dyDescent="0.2">
      <c r="A3240" s="52"/>
    </row>
    <row r="3241" spans="1:1" x14ac:dyDescent="0.2">
      <c r="A3241" s="52"/>
    </row>
    <row r="3242" spans="1:1" x14ac:dyDescent="0.2">
      <c r="A3242" s="53"/>
    </row>
    <row r="3243" spans="1:1" x14ac:dyDescent="0.2">
      <c r="A3243" s="52"/>
    </row>
    <row r="3244" spans="1:1" x14ac:dyDescent="0.2">
      <c r="A3244" s="52"/>
    </row>
    <row r="3245" spans="1:1" x14ac:dyDescent="0.2">
      <c r="A3245" s="52"/>
    </row>
    <row r="3246" spans="1:1" x14ac:dyDescent="0.2">
      <c r="A3246" s="52"/>
    </row>
    <row r="3247" spans="1:1" x14ac:dyDescent="0.2">
      <c r="A3247" s="52"/>
    </row>
    <row r="3248" spans="1:1" x14ac:dyDescent="0.2">
      <c r="A3248" s="52"/>
    </row>
    <row r="3249" spans="1:1" x14ac:dyDescent="0.2">
      <c r="A3249" s="52"/>
    </row>
    <row r="3250" spans="1:1" x14ac:dyDescent="0.2">
      <c r="A3250" s="52"/>
    </row>
    <row r="3251" spans="1:1" x14ac:dyDescent="0.2">
      <c r="A3251" s="52"/>
    </row>
    <row r="3252" spans="1:1" x14ac:dyDescent="0.2">
      <c r="A3252" s="52"/>
    </row>
    <row r="3253" spans="1:1" x14ac:dyDescent="0.2">
      <c r="A3253" s="52"/>
    </row>
    <row r="3254" spans="1:1" x14ac:dyDescent="0.2">
      <c r="A3254" s="52"/>
    </row>
    <row r="3255" spans="1:1" x14ac:dyDescent="0.2">
      <c r="A3255" s="52"/>
    </row>
    <row r="3256" spans="1:1" x14ac:dyDescent="0.2">
      <c r="A3256" s="52"/>
    </row>
    <row r="3257" spans="1:1" x14ac:dyDescent="0.2">
      <c r="A3257" s="52"/>
    </row>
    <row r="3258" spans="1:1" x14ac:dyDescent="0.2">
      <c r="A3258" s="52"/>
    </row>
    <row r="3259" spans="1:1" x14ac:dyDescent="0.2">
      <c r="A3259" s="52"/>
    </row>
    <row r="3260" spans="1:1" x14ac:dyDescent="0.2">
      <c r="A3260" s="53"/>
    </row>
    <row r="3261" spans="1:1" x14ac:dyDescent="0.2">
      <c r="A3261" s="52"/>
    </row>
    <row r="3262" spans="1:1" x14ac:dyDescent="0.2">
      <c r="A3262" s="52"/>
    </row>
    <row r="3263" spans="1:1" x14ac:dyDescent="0.2">
      <c r="A3263" s="53"/>
    </row>
    <row r="3264" spans="1:1" x14ac:dyDescent="0.2">
      <c r="A3264" s="52"/>
    </row>
    <row r="3265" spans="1:1" x14ac:dyDescent="0.2">
      <c r="A3265" s="52"/>
    </row>
    <row r="3266" spans="1:1" x14ac:dyDescent="0.2">
      <c r="A3266" s="53"/>
    </row>
    <row r="3267" spans="1:1" x14ac:dyDescent="0.2">
      <c r="A3267" s="52"/>
    </row>
    <row r="3268" spans="1:1" x14ac:dyDescent="0.2">
      <c r="A3268" s="52"/>
    </row>
    <row r="3269" spans="1:1" x14ac:dyDescent="0.2">
      <c r="A3269" s="52"/>
    </row>
    <row r="3270" spans="1:1" x14ac:dyDescent="0.2">
      <c r="A3270" s="52"/>
    </row>
    <row r="3271" spans="1:1" x14ac:dyDescent="0.2">
      <c r="A3271" s="53"/>
    </row>
    <row r="3272" spans="1:1" x14ac:dyDescent="0.2">
      <c r="A3272" s="52"/>
    </row>
    <row r="3273" spans="1:1" x14ac:dyDescent="0.2">
      <c r="A3273" s="52"/>
    </row>
    <row r="3274" spans="1:1" x14ac:dyDescent="0.2">
      <c r="A3274" s="52"/>
    </row>
    <row r="3275" spans="1:1" x14ac:dyDescent="0.2">
      <c r="A3275" s="52"/>
    </row>
    <row r="3276" spans="1:1" x14ac:dyDescent="0.2">
      <c r="A3276" s="52"/>
    </row>
    <row r="3277" spans="1:1" x14ac:dyDescent="0.2">
      <c r="A3277" s="53"/>
    </row>
    <row r="3278" spans="1:1" x14ac:dyDescent="0.2">
      <c r="A3278" s="52"/>
    </row>
    <row r="3279" spans="1:1" x14ac:dyDescent="0.2">
      <c r="A3279" s="52"/>
    </row>
    <row r="3280" spans="1:1" x14ac:dyDescent="0.2">
      <c r="A3280" s="52"/>
    </row>
    <row r="3281" spans="1:1" x14ac:dyDescent="0.2">
      <c r="A3281" s="52"/>
    </row>
    <row r="3282" spans="1:1" x14ac:dyDescent="0.2">
      <c r="A3282" s="52"/>
    </row>
    <row r="3283" spans="1:1" x14ac:dyDescent="0.2">
      <c r="A3283" s="52"/>
    </row>
    <row r="3284" spans="1:1" x14ac:dyDescent="0.2">
      <c r="A3284" s="52"/>
    </row>
    <row r="3285" spans="1:1" x14ac:dyDescent="0.2">
      <c r="A3285" s="52"/>
    </row>
    <row r="3286" spans="1:1" x14ac:dyDescent="0.2">
      <c r="A3286" s="52"/>
    </row>
    <row r="3287" spans="1:1" x14ac:dyDescent="0.2">
      <c r="A3287" s="52"/>
    </row>
    <row r="3288" spans="1:1" x14ac:dyDescent="0.2">
      <c r="A3288" s="52"/>
    </row>
    <row r="3289" spans="1:1" x14ac:dyDescent="0.2">
      <c r="A3289" s="52"/>
    </row>
    <row r="3290" spans="1:1" x14ac:dyDescent="0.2">
      <c r="A3290" s="52"/>
    </row>
    <row r="3291" spans="1:1" x14ac:dyDescent="0.2">
      <c r="A3291" s="52"/>
    </row>
    <row r="3292" spans="1:1" x14ac:dyDescent="0.2">
      <c r="A3292" s="52"/>
    </row>
    <row r="3293" spans="1:1" x14ac:dyDescent="0.2">
      <c r="A3293" s="52"/>
    </row>
    <row r="3294" spans="1:1" x14ac:dyDescent="0.2">
      <c r="A3294" s="52"/>
    </row>
    <row r="3295" spans="1:1" x14ac:dyDescent="0.2">
      <c r="A3295" s="52"/>
    </row>
    <row r="3296" spans="1:1" x14ac:dyDescent="0.2">
      <c r="A3296" s="52"/>
    </row>
    <row r="3297" spans="1:1" x14ac:dyDescent="0.2">
      <c r="A3297" s="52"/>
    </row>
    <row r="3298" spans="1:1" x14ac:dyDescent="0.2">
      <c r="A3298" s="52"/>
    </row>
    <row r="3299" spans="1:1" x14ac:dyDescent="0.2">
      <c r="A3299" s="52"/>
    </row>
    <row r="3300" spans="1:1" x14ac:dyDescent="0.2">
      <c r="A3300" s="52"/>
    </row>
    <row r="3301" spans="1:1" x14ac:dyDescent="0.2">
      <c r="A3301" s="52"/>
    </row>
    <row r="3302" spans="1:1" x14ac:dyDescent="0.2">
      <c r="A3302" s="52"/>
    </row>
    <row r="3303" spans="1:1" x14ac:dyDescent="0.2">
      <c r="A3303" s="52"/>
    </row>
    <row r="3304" spans="1:1" x14ac:dyDescent="0.2">
      <c r="A3304" s="52"/>
    </row>
    <row r="3305" spans="1:1" x14ac:dyDescent="0.2">
      <c r="A3305" s="52"/>
    </row>
    <row r="3306" spans="1:1" x14ac:dyDescent="0.2">
      <c r="A3306" s="52"/>
    </row>
    <row r="3307" spans="1:1" x14ac:dyDescent="0.2">
      <c r="A3307" s="52"/>
    </row>
    <row r="3308" spans="1:1" x14ac:dyDescent="0.2">
      <c r="A3308" s="52"/>
    </row>
    <row r="3309" spans="1:1" x14ac:dyDescent="0.2">
      <c r="A3309" s="52"/>
    </row>
    <row r="3310" spans="1:1" x14ac:dyDescent="0.2">
      <c r="A3310" s="52"/>
    </row>
    <row r="3311" spans="1:1" x14ac:dyDescent="0.2">
      <c r="A3311" s="52"/>
    </row>
    <row r="3312" spans="1:1" x14ac:dyDescent="0.2">
      <c r="A3312" s="52"/>
    </row>
    <row r="3313" spans="1:1" x14ac:dyDescent="0.2">
      <c r="A3313" s="52"/>
    </row>
    <row r="3314" spans="1:1" x14ac:dyDescent="0.2">
      <c r="A3314" s="52"/>
    </row>
    <row r="3315" spans="1:1" x14ac:dyDescent="0.2">
      <c r="A3315" s="52"/>
    </row>
    <row r="3316" spans="1:1" x14ac:dyDescent="0.2">
      <c r="A3316" s="52"/>
    </row>
    <row r="3317" spans="1:1" x14ac:dyDescent="0.2">
      <c r="A3317" s="53"/>
    </row>
    <row r="3318" spans="1:1" x14ac:dyDescent="0.2">
      <c r="A3318" s="52"/>
    </row>
    <row r="3319" spans="1:1" x14ac:dyDescent="0.2">
      <c r="A3319" s="52"/>
    </row>
    <row r="3320" spans="1:1" x14ac:dyDescent="0.2">
      <c r="A3320" s="52"/>
    </row>
    <row r="3321" spans="1:1" x14ac:dyDescent="0.2">
      <c r="A3321" s="52"/>
    </row>
    <row r="3322" spans="1:1" x14ac:dyDescent="0.2">
      <c r="A3322" s="52"/>
    </row>
    <row r="3323" spans="1:1" x14ac:dyDescent="0.2">
      <c r="A3323" s="53"/>
    </row>
    <row r="3324" spans="1:1" x14ac:dyDescent="0.2">
      <c r="A3324" s="53"/>
    </row>
    <row r="3325" spans="1:1" x14ac:dyDescent="0.2">
      <c r="A3325" s="52"/>
    </row>
    <row r="3326" spans="1:1" x14ac:dyDescent="0.2">
      <c r="A3326" s="52"/>
    </row>
    <row r="3327" spans="1:1" x14ac:dyDescent="0.2">
      <c r="A3327" s="52"/>
    </row>
    <row r="3328" spans="1:1" x14ac:dyDescent="0.2">
      <c r="A3328" s="52"/>
    </row>
    <row r="3329" spans="1:1" x14ac:dyDescent="0.2">
      <c r="A3329" s="52"/>
    </row>
    <row r="3330" spans="1:1" x14ac:dyDescent="0.2">
      <c r="A3330" s="52"/>
    </row>
    <row r="3331" spans="1:1" x14ac:dyDescent="0.2">
      <c r="A3331" s="52"/>
    </row>
    <row r="3332" spans="1:1" x14ac:dyDescent="0.2">
      <c r="A3332" s="52"/>
    </row>
    <row r="3333" spans="1:1" x14ac:dyDescent="0.2">
      <c r="A3333" s="52"/>
    </row>
    <row r="3334" spans="1:1" x14ac:dyDescent="0.2">
      <c r="A3334" s="52"/>
    </row>
    <row r="3335" spans="1:1" x14ac:dyDescent="0.2">
      <c r="A3335" s="52"/>
    </row>
    <row r="3336" spans="1:1" x14ac:dyDescent="0.2">
      <c r="A3336" s="52"/>
    </row>
    <row r="3337" spans="1:1" x14ac:dyDescent="0.2">
      <c r="A3337" s="52"/>
    </row>
    <row r="3338" spans="1:1" x14ac:dyDescent="0.2">
      <c r="A3338" s="52"/>
    </row>
    <row r="3339" spans="1:1" x14ac:dyDescent="0.2">
      <c r="A3339" s="52"/>
    </row>
    <row r="3340" spans="1:1" x14ac:dyDescent="0.2">
      <c r="A3340" s="52"/>
    </row>
    <row r="3341" spans="1:1" x14ac:dyDescent="0.2">
      <c r="A3341" s="52"/>
    </row>
    <row r="3342" spans="1:1" x14ac:dyDescent="0.2">
      <c r="A3342" s="52"/>
    </row>
    <row r="3343" spans="1:1" x14ac:dyDescent="0.2">
      <c r="A3343" s="52"/>
    </row>
    <row r="3344" spans="1:1" x14ac:dyDescent="0.2">
      <c r="A3344" s="52"/>
    </row>
    <row r="3345" spans="1:1" x14ac:dyDescent="0.2">
      <c r="A3345" s="52"/>
    </row>
    <row r="3346" spans="1:1" x14ac:dyDescent="0.2">
      <c r="A3346" s="52"/>
    </row>
    <row r="3347" spans="1:1" x14ac:dyDescent="0.2">
      <c r="A3347" s="52"/>
    </row>
    <row r="3348" spans="1:1" x14ac:dyDescent="0.2">
      <c r="A3348" s="52"/>
    </row>
    <row r="3349" spans="1:1" x14ac:dyDescent="0.2">
      <c r="A3349" s="52"/>
    </row>
    <row r="3350" spans="1:1" x14ac:dyDescent="0.2">
      <c r="A3350" s="53"/>
    </row>
    <row r="3351" spans="1:1" x14ac:dyDescent="0.2">
      <c r="A3351" s="52"/>
    </row>
    <row r="3352" spans="1:1" x14ac:dyDescent="0.2">
      <c r="A3352" s="53"/>
    </row>
    <row r="3353" spans="1:1" x14ac:dyDescent="0.2">
      <c r="A3353" s="52"/>
    </row>
    <row r="3354" spans="1:1" x14ac:dyDescent="0.2">
      <c r="A3354" s="52"/>
    </row>
    <row r="3355" spans="1:1" x14ac:dyDescent="0.2">
      <c r="A3355" s="52"/>
    </row>
    <row r="3356" spans="1:1" x14ac:dyDescent="0.2">
      <c r="A3356" s="52"/>
    </row>
    <row r="3357" spans="1:1" x14ac:dyDescent="0.2">
      <c r="A3357" s="52"/>
    </row>
    <row r="3358" spans="1:1" x14ac:dyDescent="0.2">
      <c r="A3358" s="52"/>
    </row>
    <row r="3359" spans="1:1" x14ac:dyDescent="0.2">
      <c r="A3359" s="52"/>
    </row>
    <row r="3360" spans="1:1" x14ac:dyDescent="0.2">
      <c r="A3360" s="52"/>
    </row>
    <row r="3361" spans="1:1" x14ac:dyDescent="0.2">
      <c r="A3361" s="52"/>
    </row>
    <row r="3362" spans="1:1" x14ac:dyDescent="0.2">
      <c r="A3362" s="52"/>
    </row>
    <row r="3363" spans="1:1" x14ac:dyDescent="0.2">
      <c r="A3363" s="52"/>
    </row>
    <row r="3364" spans="1:1" x14ac:dyDescent="0.2">
      <c r="A3364" s="52"/>
    </row>
    <row r="3365" spans="1:1" x14ac:dyDescent="0.2">
      <c r="A3365" s="52"/>
    </row>
    <row r="3366" spans="1:1" x14ac:dyDescent="0.2">
      <c r="A3366" s="52"/>
    </row>
    <row r="3367" spans="1:1" x14ac:dyDescent="0.2">
      <c r="A3367" s="52"/>
    </row>
    <row r="3368" spans="1:1" x14ac:dyDescent="0.2">
      <c r="A3368" s="52"/>
    </row>
    <row r="3369" spans="1:1" x14ac:dyDescent="0.2">
      <c r="A3369" s="52"/>
    </row>
    <row r="3370" spans="1:1" x14ac:dyDescent="0.2">
      <c r="A3370" s="52"/>
    </row>
    <row r="3371" spans="1:1" x14ac:dyDescent="0.2">
      <c r="A3371" s="52"/>
    </row>
    <row r="3372" spans="1:1" x14ac:dyDescent="0.2">
      <c r="A3372" s="52"/>
    </row>
    <row r="3373" spans="1:1" x14ac:dyDescent="0.2">
      <c r="A3373" s="52"/>
    </row>
    <row r="3374" spans="1:1" x14ac:dyDescent="0.2">
      <c r="A3374" s="52"/>
    </row>
    <row r="3375" spans="1:1" x14ac:dyDescent="0.2">
      <c r="A3375" s="52"/>
    </row>
    <row r="3376" spans="1:1" x14ac:dyDescent="0.2">
      <c r="A3376" s="52"/>
    </row>
    <row r="3377" spans="1:1" x14ac:dyDescent="0.2">
      <c r="A3377" s="52"/>
    </row>
    <row r="3378" spans="1:1" x14ac:dyDescent="0.2">
      <c r="A3378" s="52"/>
    </row>
    <row r="3379" spans="1:1" x14ac:dyDescent="0.2">
      <c r="A3379" s="52"/>
    </row>
    <row r="3380" spans="1:1" x14ac:dyDescent="0.2">
      <c r="A3380" s="52"/>
    </row>
    <row r="3381" spans="1:1" x14ac:dyDescent="0.2">
      <c r="A3381" s="52"/>
    </row>
    <row r="3382" spans="1:1" x14ac:dyDescent="0.2">
      <c r="A3382" s="52"/>
    </row>
    <row r="3383" spans="1:1" x14ac:dyDescent="0.2">
      <c r="A3383" s="52"/>
    </row>
    <row r="3384" spans="1:1" x14ac:dyDescent="0.2">
      <c r="A3384" s="52"/>
    </row>
    <row r="3385" spans="1:1" x14ac:dyDescent="0.2">
      <c r="A3385" s="52"/>
    </row>
    <row r="3386" spans="1:1" x14ac:dyDescent="0.2">
      <c r="A3386" s="52"/>
    </row>
    <row r="3387" spans="1:1" x14ac:dyDescent="0.2">
      <c r="A3387" s="52"/>
    </row>
    <row r="3388" spans="1:1" x14ac:dyDescent="0.2">
      <c r="A3388" s="52"/>
    </row>
    <row r="3389" spans="1:1" x14ac:dyDescent="0.2">
      <c r="A3389" s="52"/>
    </row>
    <row r="3390" spans="1:1" x14ac:dyDescent="0.2">
      <c r="A3390" s="52"/>
    </row>
    <row r="3391" spans="1:1" x14ac:dyDescent="0.2">
      <c r="A3391" s="52"/>
    </row>
    <row r="3392" spans="1:1" x14ac:dyDescent="0.2">
      <c r="A3392" s="52"/>
    </row>
    <row r="3393" spans="1:1" x14ac:dyDescent="0.2">
      <c r="A3393" s="53"/>
    </row>
    <row r="3394" spans="1:1" x14ac:dyDescent="0.2">
      <c r="A3394" s="52"/>
    </row>
    <row r="3395" spans="1:1" x14ac:dyDescent="0.2">
      <c r="A3395" s="52"/>
    </row>
    <row r="3396" spans="1:1" x14ac:dyDescent="0.2">
      <c r="A3396" s="52"/>
    </row>
    <row r="3397" spans="1:1" x14ac:dyDescent="0.2">
      <c r="A3397" s="52"/>
    </row>
    <row r="3398" spans="1:1" x14ac:dyDescent="0.2">
      <c r="A3398" s="52"/>
    </row>
    <row r="3399" spans="1:1" x14ac:dyDescent="0.2">
      <c r="A3399" s="52"/>
    </row>
    <row r="3400" spans="1:1" x14ac:dyDescent="0.2">
      <c r="A3400" s="52"/>
    </row>
    <row r="3401" spans="1:1" x14ac:dyDescent="0.2">
      <c r="A3401" s="52"/>
    </row>
    <row r="3402" spans="1:1" x14ac:dyDescent="0.2">
      <c r="A3402" s="52"/>
    </row>
    <row r="3403" spans="1:1" x14ac:dyDescent="0.2">
      <c r="A3403" s="52"/>
    </row>
    <row r="3404" spans="1:1" x14ac:dyDescent="0.2">
      <c r="A3404" s="52"/>
    </row>
    <row r="3405" spans="1:1" x14ac:dyDescent="0.2">
      <c r="A3405" s="52"/>
    </row>
    <row r="3406" spans="1:1" x14ac:dyDescent="0.2">
      <c r="A3406" s="53"/>
    </row>
    <row r="3407" spans="1:1" x14ac:dyDescent="0.2">
      <c r="A3407" s="52"/>
    </row>
    <row r="3408" spans="1:1" x14ac:dyDescent="0.2">
      <c r="A3408" s="52"/>
    </row>
    <row r="3409" spans="1:1" x14ac:dyDescent="0.2">
      <c r="A3409" s="52"/>
    </row>
    <row r="3410" spans="1:1" x14ac:dyDescent="0.2">
      <c r="A3410" s="52"/>
    </row>
    <row r="3411" spans="1:1" x14ac:dyDescent="0.2">
      <c r="A3411" s="52"/>
    </row>
    <row r="3412" spans="1:1" x14ac:dyDescent="0.2">
      <c r="A3412" s="53"/>
    </row>
    <row r="3413" spans="1:1" x14ac:dyDescent="0.2">
      <c r="A3413" s="52"/>
    </row>
    <row r="3414" spans="1:1" x14ac:dyDescent="0.2">
      <c r="A3414" s="52"/>
    </row>
    <row r="3415" spans="1:1" x14ac:dyDescent="0.2">
      <c r="A3415" s="52"/>
    </row>
    <row r="3416" spans="1:1" x14ac:dyDescent="0.2">
      <c r="A3416" s="52"/>
    </row>
    <row r="3417" spans="1:1" x14ac:dyDescent="0.2">
      <c r="A3417" s="52"/>
    </row>
    <row r="3418" spans="1:1" x14ac:dyDescent="0.2">
      <c r="A3418" s="52"/>
    </row>
    <row r="3419" spans="1:1" x14ac:dyDescent="0.2">
      <c r="A3419" s="52"/>
    </row>
    <row r="3420" spans="1:1" x14ac:dyDescent="0.2">
      <c r="A3420" s="52"/>
    </row>
    <row r="3421" spans="1:1" x14ac:dyDescent="0.2">
      <c r="A3421" s="52"/>
    </row>
    <row r="3422" spans="1:1" x14ac:dyDescent="0.2">
      <c r="A3422" s="52"/>
    </row>
    <row r="3423" spans="1:1" x14ac:dyDescent="0.2">
      <c r="A3423" s="52"/>
    </row>
    <row r="3424" spans="1:1" x14ac:dyDescent="0.2">
      <c r="A3424" s="52"/>
    </row>
    <row r="3425" spans="1:1" x14ac:dyDescent="0.2">
      <c r="A3425" s="52"/>
    </row>
    <row r="3426" spans="1:1" x14ac:dyDescent="0.2">
      <c r="A3426" s="52"/>
    </row>
    <row r="3427" spans="1:1" x14ac:dyDescent="0.2">
      <c r="A3427" s="52"/>
    </row>
    <row r="3428" spans="1:1" x14ac:dyDescent="0.2">
      <c r="A3428" s="52"/>
    </row>
    <row r="3429" spans="1:1" x14ac:dyDescent="0.2">
      <c r="A3429" s="53"/>
    </row>
    <row r="3430" spans="1:1" x14ac:dyDescent="0.2">
      <c r="A3430" s="52"/>
    </row>
    <row r="3431" spans="1:1" x14ac:dyDescent="0.2">
      <c r="A3431" s="52"/>
    </row>
    <row r="3432" spans="1:1" x14ac:dyDescent="0.2">
      <c r="A3432" s="52"/>
    </row>
    <row r="3433" spans="1:1" x14ac:dyDescent="0.2">
      <c r="A3433" s="52"/>
    </row>
    <row r="3434" spans="1:1" x14ac:dyDescent="0.2">
      <c r="A3434" s="52"/>
    </row>
    <row r="3435" spans="1:1" x14ac:dyDescent="0.2">
      <c r="A3435" s="52"/>
    </row>
    <row r="3436" spans="1:1" x14ac:dyDescent="0.2">
      <c r="A3436" s="52"/>
    </row>
    <row r="3437" spans="1:1" x14ac:dyDescent="0.2">
      <c r="A3437" s="52"/>
    </row>
    <row r="3438" spans="1:1" x14ac:dyDescent="0.2">
      <c r="A3438" s="52"/>
    </row>
    <row r="3439" spans="1:1" x14ac:dyDescent="0.2">
      <c r="A3439" s="53"/>
    </row>
    <row r="3440" spans="1:1" x14ac:dyDescent="0.2">
      <c r="A3440" s="52"/>
    </row>
    <row r="3441" spans="1:1" x14ac:dyDescent="0.2">
      <c r="A3441" s="52"/>
    </row>
    <row r="3442" spans="1:1" x14ac:dyDescent="0.2">
      <c r="A3442" s="52"/>
    </row>
    <row r="3443" spans="1:1" x14ac:dyDescent="0.2">
      <c r="A3443" s="53"/>
    </row>
    <row r="3444" spans="1:1" x14ac:dyDescent="0.2">
      <c r="A3444" s="53"/>
    </row>
    <row r="3445" spans="1:1" x14ac:dyDescent="0.2">
      <c r="A3445" s="52"/>
    </row>
    <row r="3446" spans="1:1" x14ac:dyDescent="0.2">
      <c r="A3446" s="52"/>
    </row>
    <row r="3447" spans="1:1" x14ac:dyDescent="0.2">
      <c r="A3447" s="52"/>
    </row>
    <row r="3448" spans="1:1" x14ac:dyDescent="0.2">
      <c r="A3448" s="53"/>
    </row>
    <row r="3449" spans="1:1" x14ac:dyDescent="0.2">
      <c r="A3449" s="52"/>
    </row>
    <row r="3450" spans="1:1" x14ac:dyDescent="0.2">
      <c r="A3450" s="52"/>
    </row>
    <row r="3451" spans="1:1" x14ac:dyDescent="0.2">
      <c r="A3451" s="52"/>
    </row>
    <row r="3452" spans="1:1" x14ac:dyDescent="0.2">
      <c r="A3452" s="52"/>
    </row>
    <row r="3453" spans="1:1" x14ac:dyDescent="0.2">
      <c r="A3453" s="52"/>
    </row>
    <row r="3454" spans="1:1" x14ac:dyDescent="0.2">
      <c r="A3454" s="52"/>
    </row>
    <row r="3455" spans="1:1" x14ac:dyDescent="0.2">
      <c r="A3455" s="52"/>
    </row>
    <row r="3456" spans="1:1" x14ac:dyDescent="0.2">
      <c r="A3456" s="53"/>
    </row>
    <row r="3457" spans="1:1" x14ac:dyDescent="0.2">
      <c r="A3457" s="52"/>
    </row>
    <row r="3458" spans="1:1" x14ac:dyDescent="0.2">
      <c r="A3458" s="52"/>
    </row>
    <row r="3459" spans="1:1" x14ac:dyDescent="0.2">
      <c r="A3459" s="52"/>
    </row>
    <row r="3460" spans="1:1" x14ac:dyDescent="0.2">
      <c r="A3460" s="52"/>
    </row>
    <row r="3461" spans="1:1" x14ac:dyDescent="0.2">
      <c r="A3461" s="52"/>
    </row>
    <row r="3462" spans="1:1" x14ac:dyDescent="0.2">
      <c r="A3462" s="52"/>
    </row>
    <row r="3463" spans="1:1" x14ac:dyDescent="0.2">
      <c r="A3463" s="52"/>
    </row>
    <row r="3464" spans="1:1" x14ac:dyDescent="0.2">
      <c r="A3464" s="52"/>
    </row>
    <row r="3465" spans="1:1" x14ac:dyDescent="0.2">
      <c r="A3465" s="52"/>
    </row>
    <row r="3466" spans="1:1" x14ac:dyDescent="0.2">
      <c r="A3466" s="52"/>
    </row>
    <row r="3467" spans="1:1" x14ac:dyDescent="0.2">
      <c r="A3467" s="52"/>
    </row>
    <row r="3468" spans="1:1" x14ac:dyDescent="0.2">
      <c r="A3468" s="52"/>
    </row>
    <row r="3469" spans="1:1" x14ac:dyDescent="0.2">
      <c r="A3469" s="52"/>
    </row>
    <row r="3470" spans="1:1" x14ac:dyDescent="0.2">
      <c r="A3470" s="52"/>
    </row>
    <row r="3471" spans="1:1" x14ac:dyDescent="0.2">
      <c r="A3471" s="52"/>
    </row>
    <row r="3472" spans="1:1" x14ac:dyDescent="0.2">
      <c r="A3472" s="52"/>
    </row>
    <row r="3473" spans="1:1" x14ac:dyDescent="0.2">
      <c r="A3473" s="52"/>
    </row>
    <row r="3474" spans="1:1" x14ac:dyDescent="0.2">
      <c r="A3474" s="52"/>
    </row>
    <row r="3475" spans="1:1" x14ac:dyDescent="0.2">
      <c r="A3475" s="52"/>
    </row>
    <row r="3476" spans="1:1" x14ac:dyDescent="0.2">
      <c r="A3476" s="52"/>
    </row>
    <row r="3477" spans="1:1" x14ac:dyDescent="0.2">
      <c r="A3477" s="52"/>
    </row>
    <row r="3478" spans="1:1" x14ac:dyDescent="0.2">
      <c r="A3478" s="52"/>
    </row>
    <row r="3479" spans="1:1" x14ac:dyDescent="0.2">
      <c r="A3479" s="52"/>
    </row>
    <row r="3480" spans="1:1" x14ac:dyDescent="0.2">
      <c r="A3480" s="52"/>
    </row>
    <row r="3481" spans="1:1" x14ac:dyDescent="0.2">
      <c r="A3481" s="52"/>
    </row>
    <row r="3482" spans="1:1" x14ac:dyDescent="0.2">
      <c r="A3482" s="52"/>
    </row>
    <row r="3483" spans="1:1" x14ac:dyDescent="0.2">
      <c r="A3483" s="52"/>
    </row>
    <row r="3484" spans="1:1" x14ac:dyDescent="0.2">
      <c r="A3484" s="52"/>
    </row>
    <row r="3485" spans="1:1" x14ac:dyDescent="0.2">
      <c r="A3485" s="52"/>
    </row>
    <row r="3486" spans="1:1" x14ac:dyDescent="0.2">
      <c r="A3486" s="52"/>
    </row>
    <row r="3487" spans="1:1" x14ac:dyDescent="0.2">
      <c r="A3487" s="52"/>
    </row>
    <row r="3488" spans="1:1" x14ac:dyDescent="0.2">
      <c r="A3488" s="52"/>
    </row>
    <row r="3489" spans="1:1" x14ac:dyDescent="0.2">
      <c r="A3489" s="52"/>
    </row>
    <row r="3490" spans="1:1" x14ac:dyDescent="0.2">
      <c r="A3490" s="52"/>
    </row>
    <row r="3491" spans="1:1" x14ac:dyDescent="0.2">
      <c r="A3491" s="52"/>
    </row>
    <row r="3492" spans="1:1" x14ac:dyDescent="0.2">
      <c r="A3492" s="52"/>
    </row>
    <row r="3493" spans="1:1" x14ac:dyDescent="0.2">
      <c r="A3493" s="52"/>
    </row>
    <row r="3494" spans="1:1" x14ac:dyDescent="0.2">
      <c r="A3494" s="52"/>
    </row>
    <row r="3495" spans="1:1" x14ac:dyDescent="0.2">
      <c r="A3495" s="52"/>
    </row>
    <row r="3496" spans="1:1" x14ac:dyDescent="0.2">
      <c r="A3496" s="52"/>
    </row>
    <row r="3497" spans="1:1" x14ac:dyDescent="0.2">
      <c r="A3497" s="52"/>
    </row>
    <row r="3498" spans="1:1" x14ac:dyDescent="0.2">
      <c r="A3498" s="52"/>
    </row>
    <row r="3499" spans="1:1" x14ac:dyDescent="0.2">
      <c r="A3499" s="52"/>
    </row>
    <row r="3500" spans="1:1" x14ac:dyDescent="0.2">
      <c r="A3500" s="52"/>
    </row>
    <row r="3501" spans="1:1" x14ac:dyDescent="0.2">
      <c r="A3501" s="52"/>
    </row>
    <row r="3502" spans="1:1" x14ac:dyDescent="0.2">
      <c r="A3502" s="52"/>
    </row>
    <row r="3503" spans="1:1" x14ac:dyDescent="0.2">
      <c r="A3503" s="52"/>
    </row>
    <row r="3504" spans="1:1" x14ac:dyDescent="0.2">
      <c r="A3504" s="52"/>
    </row>
    <row r="3505" spans="1:1" x14ac:dyDescent="0.2">
      <c r="A3505" s="52"/>
    </row>
    <row r="3506" spans="1:1" x14ac:dyDescent="0.2">
      <c r="A3506" s="52"/>
    </row>
    <row r="3507" spans="1:1" x14ac:dyDescent="0.2">
      <c r="A3507" s="52"/>
    </row>
    <row r="3508" spans="1:1" x14ac:dyDescent="0.2">
      <c r="A3508" s="52"/>
    </row>
    <row r="3509" spans="1:1" x14ac:dyDescent="0.2">
      <c r="A3509" s="52"/>
    </row>
    <row r="3510" spans="1:1" x14ac:dyDescent="0.2">
      <c r="A3510" s="52"/>
    </row>
    <row r="3511" spans="1:1" x14ac:dyDescent="0.2">
      <c r="A3511" s="52"/>
    </row>
    <row r="3512" spans="1:1" x14ac:dyDescent="0.2">
      <c r="A3512" s="52"/>
    </row>
    <row r="3513" spans="1:1" x14ac:dyDescent="0.2">
      <c r="A3513" s="52"/>
    </row>
    <row r="3514" spans="1:1" x14ac:dyDescent="0.2">
      <c r="A3514" s="52"/>
    </row>
    <row r="3515" spans="1:1" x14ac:dyDescent="0.2">
      <c r="A3515" s="52"/>
    </row>
    <row r="3516" spans="1:1" x14ac:dyDescent="0.2">
      <c r="A3516" s="52"/>
    </row>
    <row r="3517" spans="1:1" x14ac:dyDescent="0.2">
      <c r="A3517" s="52"/>
    </row>
    <row r="3518" spans="1:1" x14ac:dyDescent="0.2">
      <c r="A3518" s="52"/>
    </row>
    <row r="3519" spans="1:1" x14ac:dyDescent="0.2">
      <c r="A3519" s="52"/>
    </row>
    <row r="3520" spans="1:1" x14ac:dyDescent="0.2">
      <c r="A3520" s="52"/>
    </row>
    <row r="3521" spans="1:1" x14ac:dyDescent="0.2">
      <c r="A3521" s="52"/>
    </row>
    <row r="3522" spans="1:1" x14ac:dyDescent="0.2">
      <c r="A3522" s="52"/>
    </row>
    <row r="3523" spans="1:1" x14ac:dyDescent="0.2">
      <c r="A3523" s="52"/>
    </row>
    <row r="3524" spans="1:1" x14ac:dyDescent="0.2">
      <c r="A3524" s="52"/>
    </row>
    <row r="3525" spans="1:1" x14ac:dyDescent="0.2">
      <c r="A3525" s="52"/>
    </row>
    <row r="3526" spans="1:1" x14ac:dyDescent="0.2">
      <c r="A3526" s="52"/>
    </row>
    <row r="3527" spans="1:1" x14ac:dyDescent="0.2">
      <c r="A3527" s="52"/>
    </row>
    <row r="3528" spans="1:1" x14ac:dyDescent="0.2">
      <c r="A3528" s="52"/>
    </row>
    <row r="3529" spans="1:1" x14ac:dyDescent="0.2">
      <c r="A3529" s="52"/>
    </row>
    <row r="3530" spans="1:1" x14ac:dyDescent="0.2">
      <c r="A3530" s="52"/>
    </row>
    <row r="3531" spans="1:1" x14ac:dyDescent="0.2">
      <c r="A3531" s="52"/>
    </row>
    <row r="3532" spans="1:1" x14ac:dyDescent="0.2">
      <c r="A3532" s="53"/>
    </row>
    <row r="3533" spans="1:1" x14ac:dyDescent="0.2">
      <c r="A3533" s="52"/>
    </row>
    <row r="3534" spans="1:1" x14ac:dyDescent="0.2">
      <c r="A3534" s="52"/>
    </row>
    <row r="3535" spans="1:1" x14ac:dyDescent="0.2">
      <c r="A3535" s="52"/>
    </row>
    <row r="3536" spans="1:1" x14ac:dyDescent="0.2">
      <c r="A3536" s="52"/>
    </row>
    <row r="3537" spans="1:1" x14ac:dyDescent="0.2">
      <c r="A3537" s="52"/>
    </row>
    <row r="3538" spans="1:1" x14ac:dyDescent="0.2">
      <c r="A3538" s="52"/>
    </row>
    <row r="3539" spans="1:1" x14ac:dyDescent="0.2">
      <c r="A3539" s="52"/>
    </row>
    <row r="3540" spans="1:1" x14ac:dyDescent="0.2">
      <c r="A3540" s="52"/>
    </row>
    <row r="3541" spans="1:1" x14ac:dyDescent="0.2">
      <c r="A3541" s="52"/>
    </row>
    <row r="3542" spans="1:1" x14ac:dyDescent="0.2">
      <c r="A3542" s="52"/>
    </row>
    <row r="3543" spans="1:1" x14ac:dyDescent="0.2">
      <c r="A3543" s="52"/>
    </row>
    <row r="3544" spans="1:1" x14ac:dyDescent="0.2">
      <c r="A3544" s="52"/>
    </row>
    <row r="3545" spans="1:1" x14ac:dyDescent="0.2">
      <c r="A3545" s="52"/>
    </row>
    <row r="3546" spans="1:1" x14ac:dyDescent="0.2">
      <c r="A3546" s="52"/>
    </row>
    <row r="3547" spans="1:1" x14ac:dyDescent="0.2">
      <c r="A3547" s="52"/>
    </row>
    <row r="3548" spans="1:1" x14ac:dyDescent="0.2">
      <c r="A3548" s="52"/>
    </row>
    <row r="3549" spans="1:1" x14ac:dyDescent="0.2">
      <c r="A3549" s="52"/>
    </row>
    <row r="3550" spans="1:1" x14ac:dyDescent="0.2">
      <c r="A3550" s="52"/>
    </row>
    <row r="3551" spans="1:1" x14ac:dyDescent="0.2">
      <c r="A3551" s="52"/>
    </row>
    <row r="3552" spans="1:1" x14ac:dyDescent="0.2">
      <c r="A3552" s="52"/>
    </row>
    <row r="3553" spans="1:1" x14ac:dyDescent="0.2">
      <c r="A3553" s="52"/>
    </row>
    <row r="3554" spans="1:1" x14ac:dyDescent="0.2">
      <c r="A3554" s="52"/>
    </row>
    <row r="3555" spans="1:1" x14ac:dyDescent="0.2">
      <c r="A3555" s="52"/>
    </row>
    <row r="3556" spans="1:1" x14ac:dyDescent="0.2">
      <c r="A3556" s="52"/>
    </row>
    <row r="3557" spans="1:1" x14ac:dyDescent="0.2">
      <c r="A3557" s="52"/>
    </row>
    <row r="3558" spans="1:1" x14ac:dyDescent="0.2">
      <c r="A3558" s="52"/>
    </row>
    <row r="3559" spans="1:1" x14ac:dyDescent="0.2">
      <c r="A3559" s="52"/>
    </row>
    <row r="3560" spans="1:1" x14ac:dyDescent="0.2">
      <c r="A3560" s="52"/>
    </row>
    <row r="3561" spans="1:1" x14ac:dyDescent="0.2">
      <c r="A3561" s="52"/>
    </row>
    <row r="3562" spans="1:1" x14ac:dyDescent="0.2">
      <c r="A3562" s="52"/>
    </row>
    <row r="3563" spans="1:1" x14ac:dyDescent="0.2">
      <c r="A3563" s="52"/>
    </row>
    <row r="3564" spans="1:1" x14ac:dyDescent="0.2">
      <c r="A3564" s="52"/>
    </row>
    <row r="3565" spans="1:1" x14ac:dyDescent="0.2">
      <c r="A3565" s="52"/>
    </row>
    <row r="3566" spans="1:1" x14ac:dyDescent="0.2">
      <c r="A3566" s="52"/>
    </row>
    <row r="3567" spans="1:1" x14ac:dyDescent="0.2">
      <c r="A3567" s="52"/>
    </row>
    <row r="3568" spans="1:1" x14ac:dyDescent="0.2">
      <c r="A3568" s="53"/>
    </row>
    <row r="3569" spans="1:1" x14ac:dyDescent="0.2">
      <c r="A3569" s="52"/>
    </row>
    <row r="3570" spans="1:1" x14ac:dyDescent="0.2">
      <c r="A3570" s="52"/>
    </row>
    <row r="3571" spans="1:1" x14ac:dyDescent="0.2">
      <c r="A3571" s="52"/>
    </row>
    <row r="3572" spans="1:1" x14ac:dyDescent="0.2">
      <c r="A3572" s="52"/>
    </row>
    <row r="3573" spans="1:1" x14ac:dyDescent="0.2">
      <c r="A3573" s="52"/>
    </row>
    <row r="3574" spans="1:1" x14ac:dyDescent="0.2">
      <c r="A3574" s="53"/>
    </row>
    <row r="3575" spans="1:1" x14ac:dyDescent="0.2">
      <c r="A3575" s="53"/>
    </row>
    <row r="3576" spans="1:1" x14ac:dyDescent="0.2">
      <c r="A3576" s="52"/>
    </row>
    <row r="3577" spans="1:1" x14ac:dyDescent="0.2">
      <c r="A3577" s="52"/>
    </row>
    <row r="3578" spans="1:1" x14ac:dyDescent="0.2">
      <c r="A3578" s="52"/>
    </row>
    <row r="3579" spans="1:1" x14ac:dyDescent="0.2">
      <c r="A3579" s="53"/>
    </row>
    <row r="3580" spans="1:1" x14ac:dyDescent="0.2">
      <c r="A3580" s="52"/>
    </row>
    <row r="3581" spans="1:1" x14ac:dyDescent="0.2">
      <c r="A3581" s="52"/>
    </row>
    <row r="3582" spans="1:1" x14ac:dyDescent="0.2">
      <c r="A3582" s="52"/>
    </row>
    <row r="3583" spans="1:1" x14ac:dyDescent="0.2">
      <c r="A3583" s="52"/>
    </row>
    <row r="3584" spans="1:1" x14ac:dyDescent="0.2">
      <c r="A3584" s="52"/>
    </row>
    <row r="3585" spans="1:1" x14ac:dyDescent="0.2">
      <c r="A3585" s="52"/>
    </row>
    <row r="3586" spans="1:1" x14ac:dyDescent="0.2">
      <c r="A3586" s="52"/>
    </row>
    <row r="3587" spans="1:1" x14ac:dyDescent="0.2">
      <c r="A3587" s="52"/>
    </row>
    <row r="3588" spans="1:1" x14ac:dyDescent="0.2">
      <c r="A3588" s="53"/>
    </row>
    <row r="3589" spans="1:1" x14ac:dyDescent="0.2">
      <c r="A3589" s="52"/>
    </row>
    <row r="3590" spans="1:1" x14ac:dyDescent="0.2">
      <c r="A3590" s="52"/>
    </row>
    <row r="3591" spans="1:1" x14ac:dyDescent="0.2">
      <c r="A3591" s="52"/>
    </row>
    <row r="3592" spans="1:1" x14ac:dyDescent="0.2">
      <c r="A3592" s="52"/>
    </row>
    <row r="3593" spans="1:1" x14ac:dyDescent="0.2">
      <c r="A3593" s="53"/>
    </row>
    <row r="3594" spans="1:1" x14ac:dyDescent="0.2">
      <c r="A3594" s="53"/>
    </row>
    <row r="3595" spans="1:1" x14ac:dyDescent="0.2">
      <c r="A3595" s="52"/>
    </row>
    <row r="3596" spans="1:1" x14ac:dyDescent="0.2">
      <c r="A3596" s="52"/>
    </row>
    <row r="3597" spans="1:1" x14ac:dyDescent="0.2">
      <c r="A3597" s="52"/>
    </row>
    <row r="3598" spans="1:1" x14ac:dyDescent="0.2">
      <c r="A3598" s="52"/>
    </row>
    <row r="3599" spans="1:1" x14ac:dyDescent="0.2">
      <c r="A3599" s="52"/>
    </row>
    <row r="3600" spans="1:1" x14ac:dyDescent="0.2">
      <c r="A3600" s="52"/>
    </row>
    <row r="3601" spans="1:1" x14ac:dyDescent="0.2">
      <c r="A3601" s="52"/>
    </row>
    <row r="3602" spans="1:1" x14ac:dyDescent="0.2">
      <c r="A3602" s="52"/>
    </row>
    <row r="3603" spans="1:1" x14ac:dyDescent="0.2">
      <c r="A3603" s="52"/>
    </row>
    <row r="3604" spans="1:1" x14ac:dyDescent="0.2">
      <c r="A3604" s="52"/>
    </row>
    <row r="3605" spans="1:1" x14ac:dyDescent="0.2">
      <c r="A3605" s="52"/>
    </row>
    <row r="3606" spans="1:1" x14ac:dyDescent="0.2">
      <c r="A3606" s="52"/>
    </row>
    <row r="3607" spans="1:1" x14ac:dyDescent="0.2">
      <c r="A3607" s="52"/>
    </row>
    <row r="3608" spans="1:1" x14ac:dyDescent="0.2">
      <c r="A3608" s="53"/>
    </row>
    <row r="3609" spans="1:1" x14ac:dyDescent="0.2">
      <c r="A3609" s="52"/>
    </row>
    <row r="3610" spans="1:1" x14ac:dyDescent="0.2">
      <c r="A3610" s="52"/>
    </row>
    <row r="3611" spans="1:1" x14ac:dyDescent="0.2">
      <c r="A3611" s="52"/>
    </row>
    <row r="3612" spans="1:1" x14ac:dyDescent="0.2">
      <c r="A3612" s="52"/>
    </row>
    <row r="3613" spans="1:1" x14ac:dyDescent="0.2">
      <c r="A3613" s="52"/>
    </row>
    <row r="3614" spans="1:1" x14ac:dyDescent="0.2">
      <c r="A3614" s="52"/>
    </row>
    <row r="3615" spans="1:1" x14ac:dyDescent="0.2">
      <c r="A3615" s="52"/>
    </row>
    <row r="3616" spans="1:1" x14ac:dyDescent="0.2">
      <c r="A3616" s="52"/>
    </row>
    <row r="3617" spans="1:1" x14ac:dyDescent="0.2">
      <c r="A3617" s="52"/>
    </row>
    <row r="3618" spans="1:1" x14ac:dyDescent="0.2">
      <c r="A3618" s="52"/>
    </row>
    <row r="3619" spans="1:1" x14ac:dyDescent="0.2">
      <c r="A3619" s="52"/>
    </row>
    <row r="3620" spans="1:1" x14ac:dyDescent="0.2">
      <c r="A3620" s="52"/>
    </row>
    <row r="3621" spans="1:1" x14ac:dyDescent="0.2">
      <c r="A3621" s="52"/>
    </row>
    <row r="3622" spans="1:1" x14ac:dyDescent="0.2">
      <c r="A3622" s="52"/>
    </row>
    <row r="3623" spans="1:1" x14ac:dyDescent="0.2">
      <c r="A3623" s="52"/>
    </row>
    <row r="3624" spans="1:1" x14ac:dyDescent="0.2">
      <c r="A3624" s="52"/>
    </row>
    <row r="3625" spans="1:1" x14ac:dyDescent="0.2">
      <c r="A3625" s="52"/>
    </row>
    <row r="3626" spans="1:1" x14ac:dyDescent="0.2">
      <c r="A3626" s="52"/>
    </row>
    <row r="3627" spans="1:1" x14ac:dyDescent="0.2">
      <c r="A3627" s="52"/>
    </row>
    <row r="3628" spans="1:1" x14ac:dyDescent="0.2">
      <c r="A3628" s="53"/>
    </row>
    <row r="3629" spans="1:1" x14ac:dyDescent="0.2">
      <c r="A3629" s="52"/>
    </row>
    <row r="3630" spans="1:1" x14ac:dyDescent="0.2">
      <c r="A3630" s="52"/>
    </row>
    <row r="3631" spans="1:1" x14ac:dyDescent="0.2">
      <c r="A3631" s="52"/>
    </row>
    <row r="3632" spans="1:1" x14ac:dyDescent="0.2">
      <c r="A3632" s="52"/>
    </row>
    <row r="3633" spans="1:1" x14ac:dyDescent="0.2">
      <c r="A3633" s="52"/>
    </row>
    <row r="3634" spans="1:1" x14ac:dyDescent="0.2">
      <c r="A3634" s="52"/>
    </row>
    <row r="3635" spans="1:1" x14ac:dyDescent="0.2">
      <c r="A3635" s="52"/>
    </row>
    <row r="3636" spans="1:1" x14ac:dyDescent="0.2">
      <c r="A3636" s="52"/>
    </row>
    <row r="3637" spans="1:1" x14ac:dyDescent="0.2">
      <c r="A3637" s="52"/>
    </row>
    <row r="3638" spans="1:1" x14ac:dyDescent="0.2">
      <c r="A3638" s="52"/>
    </row>
    <row r="3639" spans="1:1" x14ac:dyDescent="0.2">
      <c r="A3639" s="52"/>
    </row>
    <row r="3640" spans="1:1" x14ac:dyDescent="0.2">
      <c r="A3640" s="52"/>
    </row>
    <row r="3641" spans="1:1" x14ac:dyDescent="0.2">
      <c r="A3641" s="52"/>
    </row>
    <row r="3642" spans="1:1" x14ac:dyDescent="0.2">
      <c r="A3642" s="52"/>
    </row>
    <row r="3643" spans="1:1" x14ac:dyDescent="0.2">
      <c r="A3643" s="52"/>
    </row>
    <row r="3644" spans="1:1" x14ac:dyDescent="0.2">
      <c r="A3644" s="52"/>
    </row>
    <row r="3645" spans="1:1" x14ac:dyDescent="0.2">
      <c r="A3645" s="52"/>
    </row>
    <row r="3646" spans="1:1" x14ac:dyDescent="0.2">
      <c r="A3646" s="52"/>
    </row>
    <row r="3647" spans="1:1" x14ac:dyDescent="0.2">
      <c r="A3647" s="52"/>
    </row>
    <row r="3648" spans="1:1" x14ac:dyDescent="0.2">
      <c r="A3648" s="52"/>
    </row>
    <row r="3649" spans="1:1" x14ac:dyDescent="0.2">
      <c r="A3649" s="52"/>
    </row>
    <row r="3650" spans="1:1" x14ac:dyDescent="0.2">
      <c r="A3650" s="52"/>
    </row>
    <row r="3651" spans="1:1" x14ac:dyDescent="0.2">
      <c r="A3651" s="53"/>
    </row>
    <row r="3652" spans="1:1" x14ac:dyDescent="0.2">
      <c r="A3652" s="52"/>
    </row>
    <row r="3653" spans="1:1" x14ac:dyDescent="0.2">
      <c r="A3653" s="52"/>
    </row>
    <row r="3654" spans="1:1" x14ac:dyDescent="0.2">
      <c r="A3654" s="52"/>
    </row>
    <row r="3655" spans="1:1" x14ac:dyDescent="0.2">
      <c r="A3655" s="52"/>
    </row>
    <row r="3656" spans="1:1" x14ac:dyDescent="0.2">
      <c r="A3656" s="52"/>
    </row>
    <row r="3657" spans="1:1" x14ac:dyDescent="0.2">
      <c r="A3657" s="52"/>
    </row>
    <row r="3658" spans="1:1" x14ac:dyDescent="0.2">
      <c r="A3658" s="52"/>
    </row>
    <row r="3659" spans="1:1" x14ac:dyDescent="0.2">
      <c r="A3659" s="52"/>
    </row>
    <row r="3660" spans="1:1" x14ac:dyDescent="0.2">
      <c r="A3660" s="52"/>
    </row>
    <row r="3661" spans="1:1" x14ac:dyDescent="0.2">
      <c r="A3661" s="52"/>
    </row>
    <row r="3662" spans="1:1" x14ac:dyDescent="0.2">
      <c r="A3662" s="52"/>
    </row>
    <row r="3663" spans="1:1" x14ac:dyDescent="0.2">
      <c r="A3663" s="52"/>
    </row>
    <row r="3664" spans="1:1" x14ac:dyDescent="0.2">
      <c r="A3664" s="52"/>
    </row>
    <row r="3665" spans="1:1" x14ac:dyDescent="0.2">
      <c r="A3665" s="52"/>
    </row>
    <row r="3666" spans="1:1" x14ac:dyDescent="0.2">
      <c r="A3666" s="52"/>
    </row>
    <row r="3667" spans="1:1" x14ac:dyDescent="0.2">
      <c r="A3667" s="52"/>
    </row>
    <row r="3668" spans="1:1" x14ac:dyDescent="0.2">
      <c r="A3668" s="52"/>
    </row>
    <row r="3669" spans="1:1" x14ac:dyDescent="0.2">
      <c r="A3669" s="52"/>
    </row>
    <row r="3670" spans="1:1" x14ac:dyDescent="0.2">
      <c r="A3670" s="53"/>
    </row>
    <row r="3671" spans="1:1" x14ac:dyDescent="0.2">
      <c r="A3671" s="52"/>
    </row>
    <row r="3672" spans="1:1" x14ac:dyDescent="0.2">
      <c r="A3672" s="52"/>
    </row>
    <row r="3673" spans="1:1" x14ac:dyDescent="0.2">
      <c r="A3673" s="52"/>
    </row>
    <row r="3674" spans="1:1" x14ac:dyDescent="0.2">
      <c r="A3674" s="52"/>
    </row>
    <row r="3675" spans="1:1" x14ac:dyDescent="0.2">
      <c r="A3675" s="52"/>
    </row>
    <row r="3676" spans="1:1" x14ac:dyDescent="0.2">
      <c r="A3676" s="52"/>
    </row>
    <row r="3677" spans="1:1" x14ac:dyDescent="0.2">
      <c r="A3677" s="52"/>
    </row>
    <row r="3678" spans="1:1" x14ac:dyDescent="0.2">
      <c r="A3678" s="52"/>
    </row>
    <row r="3679" spans="1:1" x14ac:dyDescent="0.2">
      <c r="A3679" s="52"/>
    </row>
    <row r="3680" spans="1:1" x14ac:dyDescent="0.2">
      <c r="A3680" s="52"/>
    </row>
    <row r="3681" spans="1:1" x14ac:dyDescent="0.2">
      <c r="A3681" s="52"/>
    </row>
    <row r="3682" spans="1:1" x14ac:dyDescent="0.2">
      <c r="A3682" s="52"/>
    </row>
    <row r="3683" spans="1:1" x14ac:dyDescent="0.2">
      <c r="A3683" s="52"/>
    </row>
    <row r="3684" spans="1:1" x14ac:dyDescent="0.2">
      <c r="A3684" s="52"/>
    </row>
    <row r="3685" spans="1:1" x14ac:dyDescent="0.2">
      <c r="A3685" s="52"/>
    </row>
    <row r="3686" spans="1:1" x14ac:dyDescent="0.2">
      <c r="A3686" s="52"/>
    </row>
    <row r="3687" spans="1:1" x14ac:dyDescent="0.2">
      <c r="A3687" s="52"/>
    </row>
    <row r="3688" spans="1:1" x14ac:dyDescent="0.2">
      <c r="A3688" s="53"/>
    </row>
    <row r="3689" spans="1:1" x14ac:dyDescent="0.2">
      <c r="A3689" s="52"/>
    </row>
    <row r="3690" spans="1:1" x14ac:dyDescent="0.2">
      <c r="A3690" s="52"/>
    </row>
    <row r="3691" spans="1:1" x14ac:dyDescent="0.2">
      <c r="A3691" s="52"/>
    </row>
    <row r="3692" spans="1:1" x14ac:dyDescent="0.2">
      <c r="A3692" s="53"/>
    </row>
    <row r="3693" spans="1:1" x14ac:dyDescent="0.2">
      <c r="A3693" s="52"/>
    </row>
    <row r="3694" spans="1:1" x14ac:dyDescent="0.2">
      <c r="A3694" s="52"/>
    </row>
    <row r="3695" spans="1:1" x14ac:dyDescent="0.2">
      <c r="A3695" s="52"/>
    </row>
    <row r="3696" spans="1:1" x14ac:dyDescent="0.2">
      <c r="A3696" s="52"/>
    </row>
    <row r="3697" spans="1:1" x14ac:dyDescent="0.2">
      <c r="A3697" s="52"/>
    </row>
    <row r="3698" spans="1:1" x14ac:dyDescent="0.2">
      <c r="A3698" s="52"/>
    </row>
    <row r="3699" spans="1:1" x14ac:dyDescent="0.2">
      <c r="A3699" s="52"/>
    </row>
    <row r="3700" spans="1:1" x14ac:dyDescent="0.2">
      <c r="A3700" s="52"/>
    </row>
    <row r="3701" spans="1:1" x14ac:dyDescent="0.2">
      <c r="A3701" s="52"/>
    </row>
    <row r="3702" spans="1:1" x14ac:dyDescent="0.2">
      <c r="A3702" s="52"/>
    </row>
    <row r="3703" spans="1:1" x14ac:dyDescent="0.2">
      <c r="A3703" s="52"/>
    </row>
    <row r="3704" spans="1:1" x14ac:dyDescent="0.2">
      <c r="A3704" s="52"/>
    </row>
    <row r="3705" spans="1:1" x14ac:dyDescent="0.2">
      <c r="A3705" s="52"/>
    </row>
    <row r="3706" spans="1:1" x14ac:dyDescent="0.2">
      <c r="A3706" s="52"/>
    </row>
    <row r="3707" spans="1:1" x14ac:dyDescent="0.2">
      <c r="A3707" s="52"/>
    </row>
    <row r="3708" spans="1:1" x14ac:dyDescent="0.2">
      <c r="A3708" s="52"/>
    </row>
    <row r="3709" spans="1:1" x14ac:dyDescent="0.2">
      <c r="A3709" s="52"/>
    </row>
    <row r="3710" spans="1:1" x14ac:dyDescent="0.2">
      <c r="A3710" s="53"/>
    </row>
    <row r="3711" spans="1:1" x14ac:dyDescent="0.2">
      <c r="A3711" s="52"/>
    </row>
    <row r="3712" spans="1:1" x14ac:dyDescent="0.2">
      <c r="A3712" s="52"/>
    </row>
    <row r="3713" spans="1:1" x14ac:dyDescent="0.2">
      <c r="A3713" s="52"/>
    </row>
    <row r="3714" spans="1:1" x14ac:dyDescent="0.2">
      <c r="A3714" s="52"/>
    </row>
    <row r="3715" spans="1:1" x14ac:dyDescent="0.2">
      <c r="A3715" s="52"/>
    </row>
    <row r="3716" spans="1:1" x14ac:dyDescent="0.2">
      <c r="A3716" s="52"/>
    </row>
    <row r="3717" spans="1:1" x14ac:dyDescent="0.2">
      <c r="A3717" s="52"/>
    </row>
    <row r="3718" spans="1:1" x14ac:dyDescent="0.2">
      <c r="A3718" s="52"/>
    </row>
    <row r="3719" spans="1:1" x14ac:dyDescent="0.2">
      <c r="A3719" s="52"/>
    </row>
    <row r="3720" spans="1:1" x14ac:dyDescent="0.2">
      <c r="A3720" s="52"/>
    </row>
    <row r="3721" spans="1:1" x14ac:dyDescent="0.2">
      <c r="A3721" s="52"/>
    </row>
    <row r="3722" spans="1:1" x14ac:dyDescent="0.2">
      <c r="A3722" s="52"/>
    </row>
    <row r="3723" spans="1:1" x14ac:dyDescent="0.2">
      <c r="A3723" s="52"/>
    </row>
    <row r="3724" spans="1:1" x14ac:dyDescent="0.2">
      <c r="A3724" s="52"/>
    </row>
    <row r="3725" spans="1:1" x14ac:dyDescent="0.2">
      <c r="A3725" s="52"/>
    </row>
    <row r="3726" spans="1:1" x14ac:dyDescent="0.2">
      <c r="A3726" s="52"/>
    </row>
    <row r="3727" spans="1:1" x14ac:dyDescent="0.2">
      <c r="A3727" s="53"/>
    </row>
    <row r="3728" spans="1:1" x14ac:dyDescent="0.2">
      <c r="A3728" s="52"/>
    </row>
    <row r="3729" spans="1:1" x14ac:dyDescent="0.2">
      <c r="A3729" s="52"/>
    </row>
    <row r="3730" spans="1:1" x14ac:dyDescent="0.2">
      <c r="A3730" s="52"/>
    </row>
    <row r="3731" spans="1:1" x14ac:dyDescent="0.2">
      <c r="A3731" s="52"/>
    </row>
    <row r="3732" spans="1:1" x14ac:dyDescent="0.2">
      <c r="A3732" s="52"/>
    </row>
    <row r="3733" spans="1:1" x14ac:dyDescent="0.2">
      <c r="A3733" s="52"/>
    </row>
    <row r="3734" spans="1:1" x14ac:dyDescent="0.2">
      <c r="A3734" s="52"/>
    </row>
    <row r="3735" spans="1:1" x14ac:dyDescent="0.2">
      <c r="A3735" s="52"/>
    </row>
    <row r="3736" spans="1:1" x14ac:dyDescent="0.2">
      <c r="A3736" s="52"/>
    </row>
    <row r="3737" spans="1:1" x14ac:dyDescent="0.2">
      <c r="A3737" s="52"/>
    </row>
    <row r="3738" spans="1:1" x14ac:dyDescent="0.2">
      <c r="A3738" s="52"/>
    </row>
    <row r="3739" spans="1:1" x14ac:dyDescent="0.2">
      <c r="A3739" s="52"/>
    </row>
    <row r="3740" spans="1:1" x14ac:dyDescent="0.2">
      <c r="A3740" s="52"/>
    </row>
    <row r="3741" spans="1:1" x14ac:dyDescent="0.2">
      <c r="A3741" s="52"/>
    </row>
    <row r="3742" spans="1:1" x14ac:dyDescent="0.2">
      <c r="A3742" s="52"/>
    </row>
    <row r="3743" spans="1:1" x14ac:dyDescent="0.2">
      <c r="A3743" s="52"/>
    </row>
    <row r="3744" spans="1:1" x14ac:dyDescent="0.2">
      <c r="A3744" s="53"/>
    </row>
    <row r="3745" spans="1:1" x14ac:dyDescent="0.2">
      <c r="A3745" s="52"/>
    </row>
    <row r="3746" spans="1:1" x14ac:dyDescent="0.2">
      <c r="A3746" s="52"/>
    </row>
    <row r="3747" spans="1:1" x14ac:dyDescent="0.2">
      <c r="A3747" s="52"/>
    </row>
    <row r="3748" spans="1:1" x14ac:dyDescent="0.2">
      <c r="A3748" s="53"/>
    </row>
    <row r="3749" spans="1:1" x14ac:dyDescent="0.2">
      <c r="A3749" s="52"/>
    </row>
    <row r="3750" spans="1:1" x14ac:dyDescent="0.2">
      <c r="A3750" s="52"/>
    </row>
    <row r="3751" spans="1:1" x14ac:dyDescent="0.2">
      <c r="A3751" s="52"/>
    </row>
    <row r="3752" spans="1:1" x14ac:dyDescent="0.2">
      <c r="A3752" s="52"/>
    </row>
    <row r="3753" spans="1:1" x14ac:dyDescent="0.2">
      <c r="A3753" s="52"/>
    </row>
    <row r="3754" spans="1:1" x14ac:dyDescent="0.2">
      <c r="A3754" s="52"/>
    </row>
    <row r="3755" spans="1:1" x14ac:dyDescent="0.2">
      <c r="A3755" s="52"/>
    </row>
    <row r="3756" spans="1:1" x14ac:dyDescent="0.2">
      <c r="A3756" s="52"/>
    </row>
    <row r="3757" spans="1:1" x14ac:dyDescent="0.2">
      <c r="A3757" s="52"/>
    </row>
    <row r="3758" spans="1:1" x14ac:dyDescent="0.2">
      <c r="A3758" s="52"/>
    </row>
    <row r="3759" spans="1:1" x14ac:dyDescent="0.2">
      <c r="A3759" s="52"/>
    </row>
    <row r="3760" spans="1:1" x14ac:dyDescent="0.2">
      <c r="A3760" s="52"/>
    </row>
    <row r="3761" spans="1:1" x14ac:dyDescent="0.2">
      <c r="A3761" s="52"/>
    </row>
    <row r="3762" spans="1:1" x14ac:dyDescent="0.2">
      <c r="A3762" s="52"/>
    </row>
    <row r="3763" spans="1:1" x14ac:dyDescent="0.2">
      <c r="A3763" s="52"/>
    </row>
    <row r="3764" spans="1:1" x14ac:dyDescent="0.2">
      <c r="A3764" s="52"/>
    </row>
    <row r="3765" spans="1:1" x14ac:dyDescent="0.2">
      <c r="A3765" s="52"/>
    </row>
    <row r="3766" spans="1:1" x14ac:dyDescent="0.2">
      <c r="A3766" s="53"/>
    </row>
    <row r="3767" spans="1:1" x14ac:dyDescent="0.2">
      <c r="A3767" s="52"/>
    </row>
    <row r="3768" spans="1:1" x14ac:dyDescent="0.2">
      <c r="A3768" s="52"/>
    </row>
    <row r="3769" spans="1:1" x14ac:dyDescent="0.2">
      <c r="A3769" s="52"/>
    </row>
    <row r="3770" spans="1:1" x14ac:dyDescent="0.2">
      <c r="A3770" s="52"/>
    </row>
    <row r="3771" spans="1:1" x14ac:dyDescent="0.2">
      <c r="A3771" s="52"/>
    </row>
    <row r="3772" spans="1:1" x14ac:dyDescent="0.2">
      <c r="A3772" s="52"/>
    </row>
    <row r="3773" spans="1:1" x14ac:dyDescent="0.2">
      <c r="A3773" s="52"/>
    </row>
    <row r="3774" spans="1:1" x14ac:dyDescent="0.2">
      <c r="A3774" s="52"/>
    </row>
    <row r="3775" spans="1:1" x14ac:dyDescent="0.2">
      <c r="A3775" s="52"/>
    </row>
    <row r="3776" spans="1:1" x14ac:dyDescent="0.2">
      <c r="A3776" s="52"/>
    </row>
    <row r="3777" spans="1:1" x14ac:dyDescent="0.2">
      <c r="A3777" s="52"/>
    </row>
    <row r="3778" spans="1:1" x14ac:dyDescent="0.2">
      <c r="A3778" s="52"/>
    </row>
    <row r="3779" spans="1:1" x14ac:dyDescent="0.2">
      <c r="A3779" s="52"/>
    </row>
    <row r="3780" spans="1:1" x14ac:dyDescent="0.2">
      <c r="A3780" s="52"/>
    </row>
    <row r="3781" spans="1:1" x14ac:dyDescent="0.2">
      <c r="A3781" s="52"/>
    </row>
    <row r="3782" spans="1:1" x14ac:dyDescent="0.2">
      <c r="A3782" s="53"/>
    </row>
    <row r="3783" spans="1:1" x14ac:dyDescent="0.2">
      <c r="A3783" s="53"/>
    </row>
    <row r="3784" spans="1:1" x14ac:dyDescent="0.2">
      <c r="A3784" s="52"/>
    </row>
    <row r="3785" spans="1:1" x14ac:dyDescent="0.2">
      <c r="A3785" s="53"/>
    </row>
    <row r="3786" spans="1:1" x14ac:dyDescent="0.2">
      <c r="A3786" s="52"/>
    </row>
    <row r="3787" spans="1:1" x14ac:dyDescent="0.2">
      <c r="A3787" s="53"/>
    </row>
    <row r="3788" spans="1:1" x14ac:dyDescent="0.2">
      <c r="A3788" s="52"/>
    </row>
    <row r="3789" spans="1:1" x14ac:dyDescent="0.2">
      <c r="A3789" s="52"/>
    </row>
    <row r="3790" spans="1:1" x14ac:dyDescent="0.2">
      <c r="A3790" s="52"/>
    </row>
    <row r="3791" spans="1:1" x14ac:dyDescent="0.2">
      <c r="A3791" s="52"/>
    </row>
    <row r="3792" spans="1:1" x14ac:dyDescent="0.2">
      <c r="A3792" s="52"/>
    </row>
    <row r="3793" spans="1:1" x14ac:dyDescent="0.2">
      <c r="A3793" s="52"/>
    </row>
    <row r="3794" spans="1:1" x14ac:dyDescent="0.2">
      <c r="A3794" s="52"/>
    </row>
    <row r="3795" spans="1:1" x14ac:dyDescent="0.2">
      <c r="A3795" s="52"/>
    </row>
    <row r="3796" spans="1:1" x14ac:dyDescent="0.2">
      <c r="A3796" s="53"/>
    </row>
    <row r="3797" spans="1:1" x14ac:dyDescent="0.2">
      <c r="A3797" s="52"/>
    </row>
    <row r="3798" spans="1:1" x14ac:dyDescent="0.2">
      <c r="A3798" s="52"/>
    </row>
    <row r="3799" spans="1:1" x14ac:dyDescent="0.2">
      <c r="A3799" s="52"/>
    </row>
    <row r="3800" spans="1:1" x14ac:dyDescent="0.2">
      <c r="A3800" s="52"/>
    </row>
    <row r="3801" spans="1:1" x14ac:dyDescent="0.2">
      <c r="A3801" s="52"/>
    </row>
    <row r="3802" spans="1:1" x14ac:dyDescent="0.2">
      <c r="A3802" s="52"/>
    </row>
    <row r="3803" spans="1:1" x14ac:dyDescent="0.2">
      <c r="A3803" s="52"/>
    </row>
    <row r="3804" spans="1:1" x14ac:dyDescent="0.2">
      <c r="A3804" s="52"/>
    </row>
    <row r="3805" spans="1:1" x14ac:dyDescent="0.2">
      <c r="A3805" s="52"/>
    </row>
    <row r="3806" spans="1:1" x14ac:dyDescent="0.2">
      <c r="A3806" s="52"/>
    </row>
    <row r="3807" spans="1:1" x14ac:dyDescent="0.2">
      <c r="A3807" s="52"/>
    </row>
    <row r="3808" spans="1:1" x14ac:dyDescent="0.2">
      <c r="A3808" s="52"/>
    </row>
    <row r="3809" spans="1:1" x14ac:dyDescent="0.2">
      <c r="A3809" s="52"/>
    </row>
    <row r="3810" spans="1:1" x14ac:dyDescent="0.2">
      <c r="A3810" s="52"/>
    </row>
    <row r="3811" spans="1:1" x14ac:dyDescent="0.2">
      <c r="A3811" s="52"/>
    </row>
    <row r="3812" spans="1:1" x14ac:dyDescent="0.2">
      <c r="A3812" s="52"/>
    </row>
    <row r="3813" spans="1:1" x14ac:dyDescent="0.2">
      <c r="A3813" s="52"/>
    </row>
    <row r="3814" spans="1:1" x14ac:dyDescent="0.2">
      <c r="A3814" s="52"/>
    </row>
    <row r="3815" spans="1:1" x14ac:dyDescent="0.2">
      <c r="A3815" s="52"/>
    </row>
    <row r="3816" spans="1:1" x14ac:dyDescent="0.2">
      <c r="A3816" s="52"/>
    </row>
    <row r="3817" spans="1:1" x14ac:dyDescent="0.2">
      <c r="A3817" s="52"/>
    </row>
    <row r="3818" spans="1:1" x14ac:dyDescent="0.2">
      <c r="A3818" s="52"/>
    </row>
    <row r="3819" spans="1:1" x14ac:dyDescent="0.2">
      <c r="A3819" s="52"/>
    </row>
    <row r="3820" spans="1:1" x14ac:dyDescent="0.2">
      <c r="A3820" s="52"/>
    </row>
    <row r="3821" spans="1:1" x14ac:dyDescent="0.2">
      <c r="A3821" s="53"/>
    </row>
    <row r="3822" spans="1:1" x14ac:dyDescent="0.2">
      <c r="A3822" s="52"/>
    </row>
    <row r="3823" spans="1:1" x14ac:dyDescent="0.2">
      <c r="A3823" s="52"/>
    </row>
    <row r="3824" spans="1:1" x14ac:dyDescent="0.2">
      <c r="A3824" s="52"/>
    </row>
    <row r="3825" spans="1:1" x14ac:dyDescent="0.2">
      <c r="A3825" s="53"/>
    </row>
    <row r="3826" spans="1:1" x14ac:dyDescent="0.2">
      <c r="A3826" s="53"/>
    </row>
    <row r="3827" spans="1:1" x14ac:dyDescent="0.2">
      <c r="A3827" s="52"/>
    </row>
    <row r="3828" spans="1:1" x14ac:dyDescent="0.2">
      <c r="A3828" s="52"/>
    </row>
    <row r="3829" spans="1:1" x14ac:dyDescent="0.2">
      <c r="A3829" s="52"/>
    </row>
    <row r="3830" spans="1:1" x14ac:dyDescent="0.2">
      <c r="A3830" s="52"/>
    </row>
    <row r="3831" spans="1:1" x14ac:dyDescent="0.2">
      <c r="A3831" s="53"/>
    </row>
    <row r="3832" spans="1:1" x14ac:dyDescent="0.2">
      <c r="A3832" s="52"/>
    </row>
    <row r="3833" spans="1:1" x14ac:dyDescent="0.2">
      <c r="A3833" s="52"/>
    </row>
    <row r="3834" spans="1:1" x14ac:dyDescent="0.2">
      <c r="A3834" s="52"/>
    </row>
    <row r="3835" spans="1:1" x14ac:dyDescent="0.2">
      <c r="A3835" s="52"/>
    </row>
    <row r="3836" spans="1:1" x14ac:dyDescent="0.2">
      <c r="A3836" s="52"/>
    </row>
    <row r="3837" spans="1:1" x14ac:dyDescent="0.2">
      <c r="A3837" s="52"/>
    </row>
    <row r="3838" spans="1:1" x14ac:dyDescent="0.2">
      <c r="A3838" s="52"/>
    </row>
    <row r="3839" spans="1:1" x14ac:dyDescent="0.2">
      <c r="A3839" s="52"/>
    </row>
    <row r="3840" spans="1:1" x14ac:dyDescent="0.2">
      <c r="A3840" s="52"/>
    </row>
    <row r="3841" spans="1:1" x14ac:dyDescent="0.2">
      <c r="A3841" s="52"/>
    </row>
    <row r="3842" spans="1:1" x14ac:dyDescent="0.2">
      <c r="A3842" s="52"/>
    </row>
    <row r="3843" spans="1:1" x14ac:dyDescent="0.2">
      <c r="A3843" s="52"/>
    </row>
    <row r="3844" spans="1:1" x14ac:dyDescent="0.2">
      <c r="A3844" s="53"/>
    </row>
    <row r="3845" spans="1:1" x14ac:dyDescent="0.2">
      <c r="A3845" s="52"/>
    </row>
    <row r="3846" spans="1:1" x14ac:dyDescent="0.2">
      <c r="A3846" s="52"/>
    </row>
    <row r="3847" spans="1:1" x14ac:dyDescent="0.2">
      <c r="A3847" s="52"/>
    </row>
    <row r="3848" spans="1:1" x14ac:dyDescent="0.2">
      <c r="A3848" s="52"/>
    </row>
    <row r="3849" spans="1:1" x14ac:dyDescent="0.2">
      <c r="A3849" s="52"/>
    </row>
    <row r="3850" spans="1:1" x14ac:dyDescent="0.2">
      <c r="A3850" s="52"/>
    </row>
    <row r="3851" spans="1:1" x14ac:dyDescent="0.2">
      <c r="A3851" s="52"/>
    </row>
    <row r="3852" spans="1:1" x14ac:dyDescent="0.2">
      <c r="A3852" s="52"/>
    </row>
    <row r="3853" spans="1:1" x14ac:dyDescent="0.2">
      <c r="A3853" s="53"/>
    </row>
    <row r="3854" spans="1:1" x14ac:dyDescent="0.2">
      <c r="A3854" s="52"/>
    </row>
    <row r="3855" spans="1:1" x14ac:dyDescent="0.2">
      <c r="A3855" s="53"/>
    </row>
    <row r="3856" spans="1:1" x14ac:dyDescent="0.2">
      <c r="A3856" s="52"/>
    </row>
    <row r="3857" spans="1:1" x14ac:dyDescent="0.2">
      <c r="A3857" s="52"/>
    </row>
    <row r="3858" spans="1:1" x14ac:dyDescent="0.2">
      <c r="A3858" s="52"/>
    </row>
    <row r="3859" spans="1:1" x14ac:dyDescent="0.2">
      <c r="A3859" s="52"/>
    </row>
    <row r="3860" spans="1:1" x14ac:dyDescent="0.2">
      <c r="A3860" s="52"/>
    </row>
    <row r="3861" spans="1:1" x14ac:dyDescent="0.2">
      <c r="A3861" s="52"/>
    </row>
    <row r="3862" spans="1:1" x14ac:dyDescent="0.2">
      <c r="A3862" s="52"/>
    </row>
    <row r="3863" spans="1:1" x14ac:dyDescent="0.2">
      <c r="A3863" s="52"/>
    </row>
    <row r="3864" spans="1:1" x14ac:dyDescent="0.2">
      <c r="A3864" s="52"/>
    </row>
    <row r="3865" spans="1:1" x14ac:dyDescent="0.2">
      <c r="A3865" s="52"/>
    </row>
    <row r="3866" spans="1:1" x14ac:dyDescent="0.2">
      <c r="A3866" s="52"/>
    </row>
    <row r="3867" spans="1:1" x14ac:dyDescent="0.2">
      <c r="A3867" s="52"/>
    </row>
    <row r="3868" spans="1:1" x14ac:dyDescent="0.2">
      <c r="A3868" s="52"/>
    </row>
    <row r="3869" spans="1:1" x14ac:dyDescent="0.2">
      <c r="A3869" s="52"/>
    </row>
    <row r="3870" spans="1:1" x14ac:dyDescent="0.2">
      <c r="A3870" s="52"/>
    </row>
    <row r="3871" spans="1:1" x14ac:dyDescent="0.2">
      <c r="A3871" s="52"/>
    </row>
    <row r="3872" spans="1:1" x14ac:dyDescent="0.2">
      <c r="A3872" s="52"/>
    </row>
    <row r="3873" spans="1:1" x14ac:dyDescent="0.2">
      <c r="A3873" s="52"/>
    </row>
    <row r="3874" spans="1:1" x14ac:dyDescent="0.2">
      <c r="A3874" s="52"/>
    </row>
    <row r="3875" spans="1:1" x14ac:dyDescent="0.2">
      <c r="A3875" s="52"/>
    </row>
    <row r="3876" spans="1:1" x14ac:dyDescent="0.2">
      <c r="A3876" s="52"/>
    </row>
    <row r="3877" spans="1:1" x14ac:dyDescent="0.2">
      <c r="A3877" s="52"/>
    </row>
    <row r="3878" spans="1:1" x14ac:dyDescent="0.2">
      <c r="A3878" s="52"/>
    </row>
    <row r="3879" spans="1:1" x14ac:dyDescent="0.2">
      <c r="A3879" s="52"/>
    </row>
    <row r="3880" spans="1:1" x14ac:dyDescent="0.2">
      <c r="A3880" s="52"/>
    </row>
    <row r="3881" spans="1:1" x14ac:dyDescent="0.2">
      <c r="A3881" s="52"/>
    </row>
    <row r="3882" spans="1:1" x14ac:dyDescent="0.2">
      <c r="A3882" s="52"/>
    </row>
    <row r="3883" spans="1:1" x14ac:dyDescent="0.2">
      <c r="A3883" s="52"/>
    </row>
    <row r="3884" spans="1:1" x14ac:dyDescent="0.2">
      <c r="A3884" s="52"/>
    </row>
    <row r="3885" spans="1:1" x14ac:dyDescent="0.2">
      <c r="A3885" s="52"/>
    </row>
    <row r="3886" spans="1:1" x14ac:dyDescent="0.2">
      <c r="A3886" s="52"/>
    </row>
    <row r="3887" spans="1:1" x14ac:dyDescent="0.2">
      <c r="A3887" s="52"/>
    </row>
    <row r="3888" spans="1:1" x14ac:dyDescent="0.2">
      <c r="A3888" s="52"/>
    </row>
    <row r="3889" spans="1:1" x14ac:dyDescent="0.2">
      <c r="A3889" s="52"/>
    </row>
    <row r="3890" spans="1:1" x14ac:dyDescent="0.2">
      <c r="A3890" s="52"/>
    </row>
    <row r="3891" spans="1:1" x14ac:dyDescent="0.2">
      <c r="A3891" s="52"/>
    </row>
    <row r="3892" spans="1:1" x14ac:dyDescent="0.2">
      <c r="A3892" s="52"/>
    </row>
    <row r="3893" spans="1:1" x14ac:dyDescent="0.2">
      <c r="A3893" s="52"/>
    </row>
    <row r="3894" spans="1:1" x14ac:dyDescent="0.2">
      <c r="A3894" s="52"/>
    </row>
    <row r="3895" spans="1:1" x14ac:dyDescent="0.2">
      <c r="A3895" s="52"/>
    </row>
    <row r="3896" spans="1:1" x14ac:dyDescent="0.2">
      <c r="A3896" s="52"/>
    </row>
    <row r="3897" spans="1:1" x14ac:dyDescent="0.2">
      <c r="A3897" s="52"/>
    </row>
    <row r="3898" spans="1:1" x14ac:dyDescent="0.2">
      <c r="A3898" s="52"/>
    </row>
    <row r="3899" spans="1:1" x14ac:dyDescent="0.2">
      <c r="A3899" s="52"/>
    </row>
    <row r="3900" spans="1:1" x14ac:dyDescent="0.2">
      <c r="A3900" s="52"/>
    </row>
    <row r="3901" spans="1:1" x14ac:dyDescent="0.2">
      <c r="A3901" s="53"/>
    </row>
    <row r="3902" spans="1:1" x14ac:dyDescent="0.2">
      <c r="A3902" s="52"/>
    </row>
    <row r="3903" spans="1:1" x14ac:dyDescent="0.2">
      <c r="A3903" s="52"/>
    </row>
    <row r="3904" spans="1:1" x14ac:dyDescent="0.2">
      <c r="A3904" s="52"/>
    </row>
    <row r="3905" spans="1:1" x14ac:dyDescent="0.2">
      <c r="A3905" s="52"/>
    </row>
    <row r="3906" spans="1:1" x14ac:dyDescent="0.2">
      <c r="A3906" s="52"/>
    </row>
    <row r="3907" spans="1:1" x14ac:dyDescent="0.2">
      <c r="A3907" s="53"/>
    </row>
    <row r="3908" spans="1:1" x14ac:dyDescent="0.2">
      <c r="A3908" s="52"/>
    </row>
    <row r="3909" spans="1:1" x14ac:dyDescent="0.2">
      <c r="A3909" s="52"/>
    </row>
    <row r="3910" spans="1:1" x14ac:dyDescent="0.2">
      <c r="A3910" s="52"/>
    </row>
    <row r="3911" spans="1:1" x14ac:dyDescent="0.2">
      <c r="A3911" s="52"/>
    </row>
    <row r="3912" spans="1:1" x14ac:dyDescent="0.2">
      <c r="A3912" s="52"/>
    </row>
    <row r="3913" spans="1:1" x14ac:dyDescent="0.2">
      <c r="A3913" s="52"/>
    </row>
    <row r="3914" spans="1:1" x14ac:dyDescent="0.2">
      <c r="A3914" s="52"/>
    </row>
    <row r="3915" spans="1:1" x14ac:dyDescent="0.2">
      <c r="A3915" s="52"/>
    </row>
    <row r="3916" spans="1:1" x14ac:dyDescent="0.2">
      <c r="A3916" s="53"/>
    </row>
    <row r="3917" spans="1:1" x14ac:dyDescent="0.2">
      <c r="A3917" s="52"/>
    </row>
    <row r="3918" spans="1:1" x14ac:dyDescent="0.2">
      <c r="A3918" s="52"/>
    </row>
    <row r="3919" spans="1:1" x14ac:dyDescent="0.2">
      <c r="A3919" s="52"/>
    </row>
    <row r="3920" spans="1:1" x14ac:dyDescent="0.2">
      <c r="A3920" s="52"/>
    </row>
    <row r="3921" spans="1:1" x14ac:dyDescent="0.2">
      <c r="A3921" s="52"/>
    </row>
    <row r="3922" spans="1:1" x14ac:dyDescent="0.2">
      <c r="A3922" s="52"/>
    </row>
    <row r="3923" spans="1:1" x14ac:dyDescent="0.2">
      <c r="A3923" s="52"/>
    </row>
    <row r="3924" spans="1:1" x14ac:dyDescent="0.2">
      <c r="A3924" s="52"/>
    </row>
    <row r="3925" spans="1:1" x14ac:dyDescent="0.2">
      <c r="A3925" s="52"/>
    </row>
    <row r="3926" spans="1:1" x14ac:dyDescent="0.2">
      <c r="A3926" s="52"/>
    </row>
    <row r="3927" spans="1:1" x14ac:dyDescent="0.2">
      <c r="A3927" s="52"/>
    </row>
    <row r="3928" spans="1:1" x14ac:dyDescent="0.2">
      <c r="A3928" s="52"/>
    </row>
    <row r="3929" spans="1:1" x14ac:dyDescent="0.2">
      <c r="A3929" s="52"/>
    </row>
    <row r="3930" spans="1:1" x14ac:dyDescent="0.2">
      <c r="A3930" s="52"/>
    </row>
    <row r="3931" spans="1:1" x14ac:dyDescent="0.2">
      <c r="A3931" s="52"/>
    </row>
    <row r="3932" spans="1:1" x14ac:dyDescent="0.2">
      <c r="A3932" s="52"/>
    </row>
    <row r="3933" spans="1:1" x14ac:dyDescent="0.2">
      <c r="A3933" s="52"/>
    </row>
    <row r="3934" spans="1:1" x14ac:dyDescent="0.2">
      <c r="A3934" s="52"/>
    </row>
    <row r="3935" spans="1:1" x14ac:dyDescent="0.2">
      <c r="A3935" s="52"/>
    </row>
    <row r="3936" spans="1:1" x14ac:dyDescent="0.2">
      <c r="A3936" s="52"/>
    </row>
    <row r="3937" spans="1:1" x14ac:dyDescent="0.2">
      <c r="A3937" s="52"/>
    </row>
    <row r="3938" spans="1:1" x14ac:dyDescent="0.2">
      <c r="A3938" s="52"/>
    </row>
    <row r="3939" spans="1:1" x14ac:dyDescent="0.2">
      <c r="A3939" s="52"/>
    </row>
    <row r="3940" spans="1:1" x14ac:dyDescent="0.2">
      <c r="A3940" s="52"/>
    </row>
    <row r="3941" spans="1:1" x14ac:dyDescent="0.2">
      <c r="A3941" s="52"/>
    </row>
    <row r="3942" spans="1:1" x14ac:dyDescent="0.2">
      <c r="A3942" s="52"/>
    </row>
    <row r="3943" spans="1:1" x14ac:dyDescent="0.2">
      <c r="A3943" s="52"/>
    </row>
    <row r="3944" spans="1:1" x14ac:dyDescent="0.2">
      <c r="A3944" s="52"/>
    </row>
    <row r="3945" spans="1:1" x14ac:dyDescent="0.2">
      <c r="A3945" s="52"/>
    </row>
    <row r="3946" spans="1:1" x14ac:dyDescent="0.2">
      <c r="A3946" s="52"/>
    </row>
    <row r="3947" spans="1:1" x14ac:dyDescent="0.2">
      <c r="A3947" s="53"/>
    </row>
    <row r="3948" spans="1:1" x14ac:dyDescent="0.2">
      <c r="A3948" s="52"/>
    </row>
    <row r="3949" spans="1:1" x14ac:dyDescent="0.2">
      <c r="A3949" s="52"/>
    </row>
    <row r="3950" spans="1:1" x14ac:dyDescent="0.2">
      <c r="A3950" s="52"/>
    </row>
    <row r="3951" spans="1:1" x14ac:dyDescent="0.2">
      <c r="A3951" s="52"/>
    </row>
    <row r="3952" spans="1:1" x14ac:dyDescent="0.2">
      <c r="A3952" s="52"/>
    </row>
    <row r="3953" spans="1:1" x14ac:dyDescent="0.2">
      <c r="A3953" s="53"/>
    </row>
    <row r="3954" spans="1:1" x14ac:dyDescent="0.2">
      <c r="A3954" s="52"/>
    </row>
    <row r="3955" spans="1:1" x14ac:dyDescent="0.2">
      <c r="A3955" s="52"/>
    </row>
    <row r="3956" spans="1:1" x14ac:dyDescent="0.2">
      <c r="A3956" s="53"/>
    </row>
    <row r="3957" spans="1:1" x14ac:dyDescent="0.2">
      <c r="A3957" s="52"/>
    </row>
    <row r="3958" spans="1:1" x14ac:dyDescent="0.2">
      <c r="A3958" s="52"/>
    </row>
    <row r="3959" spans="1:1" x14ac:dyDescent="0.2">
      <c r="A3959" s="52"/>
    </row>
    <row r="3960" spans="1:1" x14ac:dyDescent="0.2">
      <c r="A3960" s="52"/>
    </row>
    <row r="3961" spans="1:1" x14ac:dyDescent="0.2">
      <c r="A3961" s="52"/>
    </row>
    <row r="3962" spans="1:1" x14ac:dyDescent="0.2">
      <c r="A3962" s="52"/>
    </row>
    <row r="3963" spans="1:1" x14ac:dyDescent="0.2">
      <c r="A3963" s="52"/>
    </row>
    <row r="3964" spans="1:1" x14ac:dyDescent="0.2">
      <c r="A3964" s="52"/>
    </row>
    <row r="3965" spans="1:1" x14ac:dyDescent="0.2">
      <c r="A3965" s="52"/>
    </row>
    <row r="3966" spans="1:1" x14ac:dyDescent="0.2">
      <c r="A3966" s="52"/>
    </row>
    <row r="3967" spans="1:1" x14ac:dyDescent="0.2">
      <c r="A3967" s="53"/>
    </row>
    <row r="3968" spans="1:1" x14ac:dyDescent="0.2">
      <c r="A3968" s="52"/>
    </row>
    <row r="3969" spans="1:1" x14ac:dyDescent="0.2">
      <c r="A3969" s="52"/>
    </row>
    <row r="3970" spans="1:1" x14ac:dyDescent="0.2">
      <c r="A3970" s="52"/>
    </row>
    <row r="3971" spans="1:1" x14ac:dyDescent="0.2">
      <c r="A3971" s="52"/>
    </row>
    <row r="3972" spans="1:1" x14ac:dyDescent="0.2">
      <c r="A3972" s="52"/>
    </row>
    <row r="3973" spans="1:1" x14ac:dyDescent="0.2">
      <c r="A3973" s="52"/>
    </row>
    <row r="3974" spans="1:1" x14ac:dyDescent="0.2">
      <c r="A3974" s="52"/>
    </row>
    <row r="3975" spans="1:1" x14ac:dyDescent="0.2">
      <c r="A3975" s="52"/>
    </row>
    <row r="3976" spans="1:1" x14ac:dyDescent="0.2">
      <c r="A3976" s="52"/>
    </row>
    <row r="3977" spans="1:1" x14ac:dyDescent="0.2">
      <c r="A3977" s="52"/>
    </row>
    <row r="3978" spans="1:1" x14ac:dyDescent="0.2">
      <c r="A3978" s="52"/>
    </row>
    <row r="3979" spans="1:1" x14ac:dyDescent="0.2">
      <c r="A3979" s="52"/>
    </row>
    <row r="3980" spans="1:1" x14ac:dyDescent="0.2">
      <c r="A3980" s="52"/>
    </row>
    <row r="3981" spans="1:1" x14ac:dyDescent="0.2">
      <c r="A3981" s="52"/>
    </row>
    <row r="3982" spans="1:1" x14ac:dyDescent="0.2">
      <c r="A3982" s="52"/>
    </row>
    <row r="3983" spans="1:1" x14ac:dyDescent="0.2">
      <c r="A3983" s="53"/>
    </row>
    <row r="3984" spans="1:1" x14ac:dyDescent="0.2">
      <c r="A3984" s="52"/>
    </row>
    <row r="3985" spans="1:1" x14ac:dyDescent="0.2">
      <c r="A3985" s="52"/>
    </row>
    <row r="3986" spans="1:1" x14ac:dyDescent="0.2">
      <c r="A3986" s="52"/>
    </row>
    <row r="3987" spans="1:1" x14ac:dyDescent="0.2">
      <c r="A3987" s="52"/>
    </row>
    <row r="3988" spans="1:1" x14ac:dyDescent="0.2">
      <c r="A3988" s="52"/>
    </row>
    <row r="3989" spans="1:1" x14ac:dyDescent="0.2">
      <c r="A3989" s="53"/>
    </row>
    <row r="3990" spans="1:1" x14ac:dyDescent="0.2">
      <c r="A3990" s="52"/>
    </row>
    <row r="3991" spans="1:1" x14ac:dyDescent="0.2">
      <c r="A3991" s="52"/>
    </row>
    <row r="3992" spans="1:1" x14ac:dyDescent="0.2">
      <c r="A3992" s="52"/>
    </row>
    <row r="3993" spans="1:1" x14ac:dyDescent="0.2">
      <c r="A3993" s="52"/>
    </row>
    <row r="3994" spans="1:1" x14ac:dyDescent="0.2">
      <c r="A3994" s="52"/>
    </row>
    <row r="3995" spans="1:1" x14ac:dyDescent="0.2">
      <c r="A3995" s="52"/>
    </row>
    <row r="3996" spans="1:1" x14ac:dyDescent="0.2">
      <c r="A3996" s="52"/>
    </row>
    <row r="3997" spans="1:1" x14ac:dyDescent="0.2">
      <c r="A3997" s="52"/>
    </row>
    <row r="3998" spans="1:1" x14ac:dyDescent="0.2">
      <c r="A3998" s="52"/>
    </row>
    <row r="3999" spans="1:1" x14ac:dyDescent="0.2">
      <c r="A3999" s="52"/>
    </row>
    <row r="4000" spans="1:1" x14ac:dyDescent="0.2">
      <c r="A4000" s="52"/>
    </row>
    <row r="4001" spans="1:1" x14ac:dyDescent="0.2">
      <c r="A4001" s="52"/>
    </row>
    <row r="4002" spans="1:1" x14ac:dyDescent="0.2">
      <c r="A4002" s="52"/>
    </row>
    <row r="4003" spans="1:1" x14ac:dyDescent="0.2">
      <c r="A4003" s="52"/>
    </row>
    <row r="4004" spans="1:1" x14ac:dyDescent="0.2">
      <c r="A4004" s="52"/>
    </row>
    <row r="4005" spans="1:1" x14ac:dyDescent="0.2">
      <c r="A4005" s="52"/>
    </row>
    <row r="4006" spans="1:1" x14ac:dyDescent="0.2">
      <c r="A4006" s="52"/>
    </row>
    <row r="4007" spans="1:1" x14ac:dyDescent="0.2">
      <c r="A4007" s="52"/>
    </row>
    <row r="4008" spans="1:1" x14ac:dyDescent="0.2">
      <c r="A4008" s="52"/>
    </row>
    <row r="4009" spans="1:1" x14ac:dyDescent="0.2">
      <c r="A4009" s="52"/>
    </row>
    <row r="4010" spans="1:1" x14ac:dyDescent="0.2">
      <c r="A4010" s="52"/>
    </row>
    <row r="4011" spans="1:1" x14ac:dyDescent="0.2">
      <c r="A4011" s="52"/>
    </row>
    <row r="4012" spans="1:1" x14ac:dyDescent="0.2">
      <c r="A4012" s="52"/>
    </row>
    <row r="4013" spans="1:1" x14ac:dyDescent="0.2">
      <c r="A4013" s="52"/>
    </row>
    <row r="4014" spans="1:1" x14ac:dyDescent="0.2">
      <c r="A4014" s="52"/>
    </row>
    <row r="4015" spans="1:1" x14ac:dyDescent="0.2">
      <c r="A4015" s="52"/>
    </row>
    <row r="4016" spans="1:1" x14ac:dyDescent="0.2">
      <c r="A4016" s="52"/>
    </row>
    <row r="4017" spans="1:1" x14ac:dyDescent="0.2">
      <c r="A4017" s="52"/>
    </row>
    <row r="4018" spans="1:1" x14ac:dyDescent="0.2">
      <c r="A4018" s="52"/>
    </row>
    <row r="4019" spans="1:1" x14ac:dyDescent="0.2">
      <c r="A4019" s="52"/>
    </row>
    <row r="4020" spans="1:1" x14ac:dyDescent="0.2">
      <c r="A4020" s="52"/>
    </row>
    <row r="4021" spans="1:1" x14ac:dyDescent="0.2">
      <c r="A4021" s="52"/>
    </row>
    <row r="4022" spans="1:1" x14ac:dyDescent="0.2">
      <c r="A4022" s="52"/>
    </row>
    <row r="4023" spans="1:1" x14ac:dyDescent="0.2">
      <c r="A4023" s="52"/>
    </row>
    <row r="4024" spans="1:1" x14ac:dyDescent="0.2">
      <c r="A4024" s="52"/>
    </row>
    <row r="4025" spans="1:1" x14ac:dyDescent="0.2">
      <c r="A4025" s="52"/>
    </row>
    <row r="4026" spans="1:1" x14ac:dyDescent="0.2">
      <c r="A4026" s="52"/>
    </row>
    <row r="4027" spans="1:1" x14ac:dyDescent="0.2">
      <c r="A4027" s="52"/>
    </row>
    <row r="4028" spans="1:1" x14ac:dyDescent="0.2">
      <c r="A4028" s="52"/>
    </row>
    <row r="4029" spans="1:1" x14ac:dyDescent="0.2">
      <c r="A4029" s="52"/>
    </row>
    <row r="4030" spans="1:1" x14ac:dyDescent="0.2">
      <c r="A4030" s="52"/>
    </row>
    <row r="4031" spans="1:1" x14ac:dyDescent="0.2">
      <c r="A4031" s="52"/>
    </row>
    <row r="4032" spans="1:1" x14ac:dyDescent="0.2">
      <c r="A4032" s="52"/>
    </row>
    <row r="4033" spans="1:1" x14ac:dyDescent="0.2">
      <c r="A4033" s="52"/>
    </row>
    <row r="4034" spans="1:1" x14ac:dyDescent="0.2">
      <c r="A4034" s="52"/>
    </row>
    <row r="4035" spans="1:1" x14ac:dyDescent="0.2">
      <c r="A4035" s="52"/>
    </row>
    <row r="4036" spans="1:1" x14ac:dyDescent="0.2">
      <c r="A4036" s="52"/>
    </row>
    <row r="4037" spans="1:1" x14ac:dyDescent="0.2">
      <c r="A4037" s="52"/>
    </row>
    <row r="4038" spans="1:1" x14ac:dyDescent="0.2">
      <c r="A4038" s="52"/>
    </row>
    <row r="4039" spans="1:1" x14ac:dyDescent="0.2">
      <c r="A4039" s="52"/>
    </row>
    <row r="4040" spans="1:1" x14ac:dyDescent="0.2">
      <c r="A4040" s="52"/>
    </row>
    <row r="4041" spans="1:1" x14ac:dyDescent="0.2">
      <c r="A4041" s="52"/>
    </row>
    <row r="4042" spans="1:1" x14ac:dyDescent="0.2">
      <c r="A4042" s="53"/>
    </row>
    <row r="4043" spans="1:1" x14ac:dyDescent="0.2">
      <c r="A4043" s="52"/>
    </row>
    <row r="4044" spans="1:1" x14ac:dyDescent="0.2">
      <c r="A4044" s="52"/>
    </row>
    <row r="4045" spans="1:1" x14ac:dyDescent="0.2">
      <c r="A4045" s="52"/>
    </row>
    <row r="4046" spans="1:1" x14ac:dyDescent="0.2">
      <c r="A4046" s="52"/>
    </row>
    <row r="4047" spans="1:1" x14ac:dyDescent="0.2">
      <c r="A4047" s="52"/>
    </row>
    <row r="4048" spans="1:1" x14ac:dyDescent="0.2">
      <c r="A4048" s="52"/>
    </row>
    <row r="4049" spans="1:1" x14ac:dyDescent="0.2">
      <c r="A4049" s="52"/>
    </row>
    <row r="4050" spans="1:1" x14ac:dyDescent="0.2">
      <c r="A4050" s="52"/>
    </row>
    <row r="4051" spans="1:1" x14ac:dyDescent="0.2">
      <c r="A4051" s="52"/>
    </row>
    <row r="4052" spans="1:1" x14ac:dyDescent="0.2">
      <c r="A4052" s="52"/>
    </row>
    <row r="4053" spans="1:1" x14ac:dyDescent="0.2">
      <c r="A4053" s="52"/>
    </row>
    <row r="4054" spans="1:1" x14ac:dyDescent="0.2">
      <c r="A4054" s="52"/>
    </row>
    <row r="4055" spans="1:1" x14ac:dyDescent="0.2">
      <c r="A4055" s="52"/>
    </row>
    <row r="4056" spans="1:1" x14ac:dyDescent="0.2">
      <c r="A4056" s="52"/>
    </row>
    <row r="4057" spans="1:1" x14ac:dyDescent="0.2">
      <c r="A4057" s="52"/>
    </row>
    <row r="4058" spans="1:1" x14ac:dyDescent="0.2">
      <c r="A4058" s="52"/>
    </row>
    <row r="4059" spans="1:1" x14ac:dyDescent="0.2">
      <c r="A4059" s="52"/>
    </row>
    <row r="4060" spans="1:1" x14ac:dyDescent="0.2">
      <c r="A4060" s="52"/>
    </row>
    <row r="4061" spans="1:1" x14ac:dyDescent="0.2">
      <c r="A4061" s="52"/>
    </row>
    <row r="4062" spans="1:1" x14ac:dyDescent="0.2">
      <c r="A4062" s="52"/>
    </row>
    <row r="4063" spans="1:1" x14ac:dyDescent="0.2">
      <c r="A4063" s="52"/>
    </row>
    <row r="4064" spans="1:1" x14ac:dyDescent="0.2">
      <c r="A4064" s="52"/>
    </row>
    <row r="4065" spans="1:1" x14ac:dyDescent="0.2">
      <c r="A4065" s="52"/>
    </row>
    <row r="4066" spans="1:1" x14ac:dyDescent="0.2">
      <c r="A4066" s="52"/>
    </row>
    <row r="4067" spans="1:1" x14ac:dyDescent="0.2">
      <c r="A4067" s="52"/>
    </row>
    <row r="4068" spans="1:1" x14ac:dyDescent="0.2">
      <c r="A4068" s="52"/>
    </row>
    <row r="4069" spans="1:1" x14ac:dyDescent="0.2">
      <c r="A4069" s="52"/>
    </row>
    <row r="4070" spans="1:1" x14ac:dyDescent="0.2">
      <c r="A4070" s="52"/>
    </row>
    <row r="4071" spans="1:1" x14ac:dyDescent="0.2">
      <c r="A4071" s="52"/>
    </row>
    <row r="4072" spans="1:1" x14ac:dyDescent="0.2">
      <c r="A4072" s="53"/>
    </row>
    <row r="4073" spans="1:1" x14ac:dyDescent="0.2">
      <c r="A4073" s="52"/>
    </row>
    <row r="4074" spans="1:1" x14ac:dyDescent="0.2">
      <c r="A4074" s="52"/>
    </row>
    <row r="4075" spans="1:1" x14ac:dyDescent="0.2">
      <c r="A4075" s="52"/>
    </row>
    <row r="4076" spans="1:1" x14ac:dyDescent="0.2">
      <c r="A4076" s="52"/>
    </row>
    <row r="4077" spans="1:1" x14ac:dyDescent="0.2">
      <c r="A4077" s="52"/>
    </row>
    <row r="4078" spans="1:1" x14ac:dyDescent="0.2">
      <c r="A4078" s="52"/>
    </row>
    <row r="4079" spans="1:1" x14ac:dyDescent="0.2">
      <c r="A4079" s="52"/>
    </row>
    <row r="4080" spans="1:1" x14ac:dyDescent="0.2">
      <c r="A4080" s="52"/>
    </row>
    <row r="4081" spans="1:1" x14ac:dyDescent="0.2">
      <c r="A4081" s="52"/>
    </row>
    <row r="4082" spans="1:1" x14ac:dyDescent="0.2">
      <c r="A4082" s="52"/>
    </row>
    <row r="4083" spans="1:1" x14ac:dyDescent="0.2">
      <c r="A4083" s="52"/>
    </row>
    <row r="4084" spans="1:1" x14ac:dyDescent="0.2">
      <c r="A4084" s="53"/>
    </row>
    <row r="4085" spans="1:1" x14ac:dyDescent="0.2">
      <c r="A4085" s="52"/>
    </row>
    <row r="4086" spans="1:1" x14ac:dyDescent="0.2">
      <c r="A4086" s="52"/>
    </row>
    <row r="4087" spans="1:1" x14ac:dyDescent="0.2">
      <c r="A4087" s="52"/>
    </row>
    <row r="4088" spans="1:1" x14ac:dyDescent="0.2">
      <c r="A4088" s="52"/>
    </row>
    <row r="4089" spans="1:1" x14ac:dyDescent="0.2">
      <c r="A4089" s="52"/>
    </row>
    <row r="4090" spans="1:1" x14ac:dyDescent="0.2">
      <c r="A4090" s="52"/>
    </row>
    <row r="4091" spans="1:1" x14ac:dyDescent="0.2">
      <c r="A4091" s="52"/>
    </row>
    <row r="4092" spans="1:1" x14ac:dyDescent="0.2">
      <c r="A4092" s="52"/>
    </row>
    <row r="4093" spans="1:1" x14ac:dyDescent="0.2">
      <c r="A4093" s="52"/>
    </row>
    <row r="4094" spans="1:1" x14ac:dyDescent="0.2">
      <c r="A4094" s="52"/>
    </row>
    <row r="4095" spans="1:1" x14ac:dyDescent="0.2">
      <c r="A4095" s="52"/>
    </row>
    <row r="4096" spans="1:1" x14ac:dyDescent="0.2">
      <c r="A4096" s="52"/>
    </row>
    <row r="4097" spans="1:1" x14ac:dyDescent="0.2">
      <c r="A4097" s="52"/>
    </row>
    <row r="4098" spans="1:1" x14ac:dyDescent="0.2">
      <c r="A4098" s="52"/>
    </row>
    <row r="4099" spans="1:1" x14ac:dyDescent="0.2">
      <c r="A4099" s="52"/>
    </row>
    <row r="4100" spans="1:1" x14ac:dyDescent="0.2">
      <c r="A4100" s="52"/>
    </row>
    <row r="4101" spans="1:1" x14ac:dyDescent="0.2">
      <c r="A4101" s="52"/>
    </row>
    <row r="4102" spans="1:1" x14ac:dyDescent="0.2">
      <c r="A4102" s="52"/>
    </row>
    <row r="4103" spans="1:1" x14ac:dyDescent="0.2">
      <c r="A4103" s="52"/>
    </row>
    <row r="4104" spans="1:1" x14ac:dyDescent="0.2">
      <c r="A4104" s="52"/>
    </row>
    <row r="4105" spans="1:1" x14ac:dyDescent="0.2">
      <c r="A4105" s="52"/>
    </row>
    <row r="4106" spans="1:1" x14ac:dyDescent="0.2">
      <c r="A4106" s="52"/>
    </row>
    <row r="4107" spans="1:1" x14ac:dyDescent="0.2">
      <c r="A4107" s="52"/>
    </row>
    <row r="4108" spans="1:1" x14ac:dyDescent="0.2">
      <c r="A4108" s="52"/>
    </row>
    <row r="4109" spans="1:1" x14ac:dyDescent="0.2">
      <c r="A4109" s="52"/>
    </row>
    <row r="4110" spans="1:1" x14ac:dyDescent="0.2">
      <c r="A4110" s="52"/>
    </row>
    <row r="4111" spans="1:1" x14ac:dyDescent="0.2">
      <c r="A4111" s="52"/>
    </row>
    <row r="4112" spans="1:1" x14ac:dyDescent="0.2">
      <c r="A4112" s="52"/>
    </row>
    <row r="4113" spans="1:1" x14ac:dyDescent="0.2">
      <c r="A4113" s="52"/>
    </row>
    <row r="4114" spans="1:1" x14ac:dyDescent="0.2">
      <c r="A4114" s="53"/>
    </row>
    <row r="4115" spans="1:1" x14ac:dyDescent="0.2">
      <c r="A4115" s="52"/>
    </row>
    <row r="4116" spans="1:1" x14ac:dyDescent="0.2">
      <c r="A4116" s="52"/>
    </row>
    <row r="4117" spans="1:1" x14ac:dyDescent="0.2">
      <c r="A4117" s="52"/>
    </row>
    <row r="4118" spans="1:1" x14ac:dyDescent="0.2">
      <c r="A4118" s="52"/>
    </row>
    <row r="4119" spans="1:1" x14ac:dyDescent="0.2">
      <c r="A4119" s="52"/>
    </row>
    <row r="4120" spans="1:1" x14ac:dyDescent="0.2">
      <c r="A4120" s="52"/>
    </row>
    <row r="4121" spans="1:1" x14ac:dyDescent="0.2">
      <c r="A4121" s="52"/>
    </row>
    <row r="4122" spans="1:1" x14ac:dyDescent="0.2">
      <c r="A4122" s="52"/>
    </row>
    <row r="4123" spans="1:1" x14ac:dyDescent="0.2">
      <c r="A4123" s="52"/>
    </row>
    <row r="4124" spans="1:1" x14ac:dyDescent="0.2">
      <c r="A4124" s="52"/>
    </row>
    <row r="4125" spans="1:1" x14ac:dyDescent="0.2">
      <c r="A4125" s="52"/>
    </row>
    <row r="4126" spans="1:1" x14ac:dyDescent="0.2">
      <c r="A4126" s="52"/>
    </row>
    <row r="4127" spans="1:1" x14ac:dyDescent="0.2">
      <c r="A4127" s="52"/>
    </row>
    <row r="4128" spans="1:1" x14ac:dyDescent="0.2">
      <c r="A4128" s="52"/>
    </row>
    <row r="4129" spans="1:1" x14ac:dyDescent="0.2">
      <c r="A4129" s="52"/>
    </row>
    <row r="4130" spans="1:1" x14ac:dyDescent="0.2">
      <c r="A4130" s="52"/>
    </row>
    <row r="4131" spans="1:1" x14ac:dyDescent="0.2">
      <c r="A4131" s="52"/>
    </row>
    <row r="4132" spans="1:1" x14ac:dyDescent="0.2">
      <c r="A4132" s="52"/>
    </row>
    <row r="4133" spans="1:1" x14ac:dyDescent="0.2">
      <c r="A4133" s="52"/>
    </row>
    <row r="4134" spans="1:1" x14ac:dyDescent="0.2">
      <c r="A4134" s="52"/>
    </row>
    <row r="4135" spans="1:1" x14ac:dyDescent="0.2">
      <c r="A4135" s="52"/>
    </row>
    <row r="4136" spans="1:1" x14ac:dyDescent="0.2">
      <c r="A4136" s="52"/>
    </row>
    <row r="4137" spans="1:1" x14ac:dyDescent="0.2">
      <c r="A4137" s="52"/>
    </row>
    <row r="4138" spans="1:1" x14ac:dyDescent="0.2">
      <c r="A4138" s="52"/>
    </row>
    <row r="4139" spans="1:1" x14ac:dyDescent="0.2">
      <c r="A4139" s="52"/>
    </row>
    <row r="4140" spans="1:1" x14ac:dyDescent="0.2">
      <c r="A4140" s="52"/>
    </row>
    <row r="4141" spans="1:1" x14ac:dyDescent="0.2">
      <c r="A4141" s="52"/>
    </row>
    <row r="4142" spans="1:1" x14ac:dyDescent="0.2">
      <c r="A4142" s="52"/>
    </row>
    <row r="4143" spans="1:1" x14ac:dyDescent="0.2">
      <c r="A4143" s="52"/>
    </row>
    <row r="4144" spans="1:1" x14ac:dyDescent="0.2">
      <c r="A4144" s="52"/>
    </row>
    <row r="4145" spans="1:1" x14ac:dyDescent="0.2">
      <c r="A4145" s="52"/>
    </row>
    <row r="4146" spans="1:1" x14ac:dyDescent="0.2">
      <c r="A4146" s="53"/>
    </row>
    <row r="4147" spans="1:1" x14ac:dyDescent="0.2">
      <c r="A4147" s="52"/>
    </row>
    <row r="4148" spans="1:1" x14ac:dyDescent="0.2">
      <c r="A4148" s="52"/>
    </row>
    <row r="4149" spans="1:1" x14ac:dyDescent="0.2">
      <c r="A4149" s="52"/>
    </row>
    <row r="4150" spans="1:1" x14ac:dyDescent="0.2">
      <c r="A4150" s="52"/>
    </row>
    <row r="4151" spans="1:1" x14ac:dyDescent="0.2">
      <c r="A4151" s="52"/>
    </row>
    <row r="4152" spans="1:1" x14ac:dyDescent="0.2">
      <c r="A4152" s="53"/>
    </row>
    <row r="4153" spans="1:1" x14ac:dyDescent="0.2">
      <c r="A4153" s="52"/>
    </row>
    <row r="4154" spans="1:1" x14ac:dyDescent="0.2">
      <c r="A4154" s="52"/>
    </row>
    <row r="4155" spans="1:1" x14ac:dyDescent="0.2">
      <c r="A4155" s="52"/>
    </row>
    <row r="4156" spans="1:1" x14ac:dyDescent="0.2">
      <c r="A4156" s="52"/>
    </row>
    <row r="4157" spans="1:1" x14ac:dyDescent="0.2">
      <c r="A4157" s="52"/>
    </row>
    <row r="4158" spans="1:1" x14ac:dyDescent="0.2">
      <c r="A4158" s="52"/>
    </row>
    <row r="4159" spans="1:1" x14ac:dyDescent="0.2">
      <c r="A4159" s="52"/>
    </row>
    <row r="4160" spans="1:1" x14ac:dyDescent="0.2">
      <c r="A4160" s="52"/>
    </row>
    <row r="4161" spans="1:1" x14ac:dyDescent="0.2">
      <c r="A4161" s="52"/>
    </row>
    <row r="4162" spans="1:1" x14ac:dyDescent="0.2">
      <c r="A4162" s="52"/>
    </row>
    <row r="4163" spans="1:1" x14ac:dyDescent="0.2">
      <c r="A4163" s="52"/>
    </row>
    <row r="4164" spans="1:1" x14ac:dyDescent="0.2">
      <c r="A4164" s="52"/>
    </row>
    <row r="4165" spans="1:1" x14ac:dyDescent="0.2">
      <c r="A4165" s="52"/>
    </row>
    <row r="4166" spans="1:1" x14ac:dyDescent="0.2">
      <c r="A4166" s="53"/>
    </row>
    <row r="4167" spans="1:1" x14ac:dyDescent="0.2">
      <c r="A4167" s="52"/>
    </row>
    <row r="4168" spans="1:1" x14ac:dyDescent="0.2">
      <c r="A4168" s="52"/>
    </row>
    <row r="4169" spans="1:1" x14ac:dyDescent="0.2">
      <c r="A4169" s="52"/>
    </row>
    <row r="4170" spans="1:1" x14ac:dyDescent="0.2">
      <c r="A4170" s="52"/>
    </row>
    <row r="4171" spans="1:1" x14ac:dyDescent="0.2">
      <c r="A4171" s="52"/>
    </row>
    <row r="4172" spans="1:1" x14ac:dyDescent="0.2">
      <c r="A4172" s="52"/>
    </row>
    <row r="4173" spans="1:1" x14ac:dyDescent="0.2">
      <c r="A4173" s="52"/>
    </row>
    <row r="4174" spans="1:1" x14ac:dyDescent="0.2">
      <c r="A4174" s="52"/>
    </row>
    <row r="4175" spans="1:1" x14ac:dyDescent="0.2">
      <c r="A4175" s="52"/>
    </row>
    <row r="4176" spans="1:1" x14ac:dyDescent="0.2">
      <c r="A4176" s="52"/>
    </row>
    <row r="4177" spans="1:1" x14ac:dyDescent="0.2">
      <c r="A4177" s="52"/>
    </row>
    <row r="4178" spans="1:1" x14ac:dyDescent="0.2">
      <c r="A4178" s="52"/>
    </row>
    <row r="4179" spans="1:1" x14ac:dyDescent="0.2">
      <c r="A4179" s="52"/>
    </row>
    <row r="4180" spans="1:1" x14ac:dyDescent="0.2">
      <c r="A4180" s="52"/>
    </row>
    <row r="4181" spans="1:1" x14ac:dyDescent="0.2">
      <c r="A4181" s="52"/>
    </row>
    <row r="4182" spans="1:1" x14ac:dyDescent="0.2">
      <c r="A4182" s="52"/>
    </row>
    <row r="4183" spans="1:1" x14ac:dyDescent="0.2">
      <c r="A4183" s="52"/>
    </row>
    <row r="4184" spans="1:1" x14ac:dyDescent="0.2">
      <c r="A4184" s="52"/>
    </row>
    <row r="4185" spans="1:1" x14ac:dyDescent="0.2">
      <c r="A4185" s="52"/>
    </row>
    <row r="4186" spans="1:1" x14ac:dyDescent="0.2">
      <c r="A4186" s="52"/>
    </row>
    <row r="4187" spans="1:1" x14ac:dyDescent="0.2">
      <c r="A4187" s="52"/>
    </row>
    <row r="4188" spans="1:1" x14ac:dyDescent="0.2">
      <c r="A4188" s="52"/>
    </row>
    <row r="4189" spans="1:1" x14ac:dyDescent="0.2">
      <c r="A4189" s="52"/>
    </row>
    <row r="4190" spans="1:1" x14ac:dyDescent="0.2">
      <c r="A4190" s="53"/>
    </row>
    <row r="4191" spans="1:1" x14ac:dyDescent="0.2">
      <c r="A4191" s="53"/>
    </row>
    <row r="4192" spans="1:1" x14ac:dyDescent="0.2">
      <c r="A4192" s="52"/>
    </row>
    <row r="4193" spans="1:1" x14ac:dyDescent="0.2">
      <c r="A4193" s="53"/>
    </row>
    <row r="4194" spans="1:1" x14ac:dyDescent="0.2">
      <c r="A4194" s="52"/>
    </row>
    <row r="4195" spans="1:1" x14ac:dyDescent="0.2">
      <c r="A4195" s="52"/>
    </row>
    <row r="4196" spans="1:1" x14ac:dyDescent="0.2">
      <c r="A4196" s="52"/>
    </row>
    <row r="4197" spans="1:1" x14ac:dyDescent="0.2">
      <c r="A4197" s="52"/>
    </row>
    <row r="4198" spans="1:1" x14ac:dyDescent="0.2">
      <c r="A4198" s="52"/>
    </row>
    <row r="4199" spans="1:1" x14ac:dyDescent="0.2">
      <c r="A4199" s="52"/>
    </row>
    <row r="4200" spans="1:1" x14ac:dyDescent="0.2">
      <c r="A4200" s="52"/>
    </row>
    <row r="4201" spans="1:1" x14ac:dyDescent="0.2">
      <c r="A4201" s="52"/>
    </row>
    <row r="4202" spans="1:1" x14ac:dyDescent="0.2">
      <c r="A4202" s="52"/>
    </row>
    <row r="4203" spans="1:1" x14ac:dyDescent="0.2">
      <c r="A4203" s="52"/>
    </row>
    <row r="4204" spans="1:1" x14ac:dyDescent="0.2">
      <c r="A4204" s="52"/>
    </row>
    <row r="4205" spans="1:1" x14ac:dyDescent="0.2">
      <c r="A4205" s="52"/>
    </row>
    <row r="4206" spans="1:1" x14ac:dyDescent="0.2">
      <c r="A4206" s="52"/>
    </row>
    <row r="4207" spans="1:1" x14ac:dyDescent="0.2">
      <c r="A4207" s="52"/>
    </row>
    <row r="4208" spans="1:1" x14ac:dyDescent="0.2">
      <c r="A4208" s="53"/>
    </row>
    <row r="4209" spans="1:1" x14ac:dyDescent="0.2">
      <c r="A4209" s="52"/>
    </row>
    <row r="4210" spans="1:1" x14ac:dyDescent="0.2">
      <c r="A4210" s="52"/>
    </row>
    <row r="4211" spans="1:1" x14ac:dyDescent="0.2">
      <c r="A4211" s="52"/>
    </row>
    <row r="4212" spans="1:1" x14ac:dyDescent="0.2">
      <c r="A4212" s="52"/>
    </row>
    <row r="4213" spans="1:1" x14ac:dyDescent="0.2">
      <c r="A4213" s="52"/>
    </row>
    <row r="4214" spans="1:1" x14ac:dyDescent="0.2">
      <c r="A4214" s="52"/>
    </row>
    <row r="4215" spans="1:1" x14ac:dyDescent="0.2">
      <c r="A4215" s="52"/>
    </row>
    <row r="4216" spans="1:1" x14ac:dyDescent="0.2">
      <c r="A4216" s="52"/>
    </row>
    <row r="4217" spans="1:1" x14ac:dyDescent="0.2">
      <c r="A4217" s="53"/>
    </row>
    <row r="4218" spans="1:1" x14ac:dyDescent="0.2">
      <c r="A4218" s="52"/>
    </row>
    <row r="4219" spans="1:1" x14ac:dyDescent="0.2">
      <c r="A4219" s="52"/>
    </row>
    <row r="4220" spans="1:1" x14ac:dyDescent="0.2">
      <c r="A4220" s="52"/>
    </row>
    <row r="4221" spans="1:1" x14ac:dyDescent="0.2">
      <c r="A4221" s="52"/>
    </row>
    <row r="4222" spans="1:1" x14ac:dyDescent="0.2">
      <c r="A4222" s="52"/>
    </row>
    <row r="4223" spans="1:1" x14ac:dyDescent="0.2">
      <c r="A4223" s="52"/>
    </row>
    <row r="4224" spans="1:1" x14ac:dyDescent="0.2">
      <c r="A4224" s="52"/>
    </row>
    <row r="4225" spans="1:1" x14ac:dyDescent="0.2">
      <c r="A4225" s="53"/>
    </row>
    <row r="4226" spans="1:1" x14ac:dyDescent="0.2">
      <c r="A4226" s="52"/>
    </row>
    <row r="4227" spans="1:1" x14ac:dyDescent="0.2">
      <c r="A4227" s="53"/>
    </row>
    <row r="4228" spans="1:1" x14ac:dyDescent="0.2">
      <c r="A4228" s="52"/>
    </row>
    <row r="4229" spans="1:1" x14ac:dyDescent="0.2">
      <c r="A4229" s="53"/>
    </row>
    <row r="4230" spans="1:1" x14ac:dyDescent="0.2">
      <c r="A4230" s="52"/>
    </row>
    <row r="4231" spans="1:1" x14ac:dyDescent="0.2">
      <c r="A4231" s="52"/>
    </row>
    <row r="4232" spans="1:1" x14ac:dyDescent="0.2">
      <c r="A4232" s="52"/>
    </row>
    <row r="4233" spans="1:1" x14ac:dyDescent="0.2">
      <c r="A4233" s="52"/>
    </row>
    <row r="4234" spans="1:1" x14ac:dyDescent="0.2">
      <c r="A4234" s="52"/>
    </row>
    <row r="4235" spans="1:1" x14ac:dyDescent="0.2">
      <c r="A4235" s="52"/>
    </row>
    <row r="4236" spans="1:1" x14ac:dyDescent="0.2">
      <c r="A4236" s="52"/>
    </row>
    <row r="4237" spans="1:1" x14ac:dyDescent="0.2">
      <c r="A4237" s="52"/>
    </row>
    <row r="4238" spans="1:1" x14ac:dyDescent="0.2">
      <c r="A4238" s="52"/>
    </row>
    <row r="4239" spans="1:1" x14ac:dyDescent="0.2">
      <c r="A4239" s="52"/>
    </row>
    <row r="4240" spans="1:1" x14ac:dyDescent="0.2">
      <c r="A4240" s="52"/>
    </row>
    <row r="4241" spans="1:1" x14ac:dyDescent="0.2">
      <c r="A4241" s="52"/>
    </row>
    <row r="4242" spans="1:1" x14ac:dyDescent="0.2">
      <c r="A4242" s="52"/>
    </row>
    <row r="4243" spans="1:1" x14ac:dyDescent="0.2">
      <c r="A4243" s="52"/>
    </row>
    <row r="4244" spans="1:1" x14ac:dyDescent="0.2">
      <c r="A4244" s="53"/>
    </row>
    <row r="4245" spans="1:1" x14ac:dyDescent="0.2">
      <c r="A4245" s="52"/>
    </row>
    <row r="4246" spans="1:1" x14ac:dyDescent="0.2">
      <c r="A4246" s="52"/>
    </row>
    <row r="4247" spans="1:1" x14ac:dyDescent="0.2">
      <c r="A4247" s="52"/>
    </row>
    <row r="4248" spans="1:1" x14ac:dyDescent="0.2">
      <c r="A4248" s="53"/>
    </row>
    <row r="4249" spans="1:1" x14ac:dyDescent="0.2">
      <c r="A4249" s="52"/>
    </row>
    <row r="4250" spans="1:1" x14ac:dyDescent="0.2">
      <c r="A4250" s="52"/>
    </row>
    <row r="4251" spans="1:1" x14ac:dyDescent="0.2">
      <c r="A4251" s="52"/>
    </row>
    <row r="4252" spans="1:1" x14ac:dyDescent="0.2">
      <c r="A4252" s="52"/>
    </row>
    <row r="4253" spans="1:1" x14ac:dyDescent="0.2">
      <c r="A4253" s="52"/>
    </row>
    <row r="4254" spans="1:1" x14ac:dyDescent="0.2">
      <c r="A4254" s="52"/>
    </row>
    <row r="4255" spans="1:1" x14ac:dyDescent="0.2">
      <c r="A4255" s="52"/>
    </row>
    <row r="4256" spans="1:1" x14ac:dyDescent="0.2">
      <c r="A4256" s="52"/>
    </row>
    <row r="4257" spans="1:1" x14ac:dyDescent="0.2">
      <c r="A4257" s="52"/>
    </row>
    <row r="4258" spans="1:1" x14ac:dyDescent="0.2">
      <c r="A4258" s="53"/>
    </row>
    <row r="4259" spans="1:1" x14ac:dyDescent="0.2">
      <c r="A4259" s="52"/>
    </row>
    <row r="4260" spans="1:1" x14ac:dyDescent="0.2">
      <c r="A4260" s="52"/>
    </row>
    <row r="4261" spans="1:1" x14ac:dyDescent="0.2">
      <c r="A4261" s="52"/>
    </row>
    <row r="4262" spans="1:1" x14ac:dyDescent="0.2">
      <c r="A4262" s="53"/>
    </row>
    <row r="4263" spans="1:1" x14ac:dyDescent="0.2">
      <c r="A4263" s="52"/>
    </row>
    <row r="4264" spans="1:1" x14ac:dyDescent="0.2">
      <c r="A4264" s="52"/>
    </row>
    <row r="4265" spans="1:1" x14ac:dyDescent="0.2">
      <c r="A4265" s="52"/>
    </row>
    <row r="4266" spans="1:1" x14ac:dyDescent="0.2">
      <c r="A4266" s="52"/>
    </row>
    <row r="4267" spans="1:1" x14ac:dyDescent="0.2">
      <c r="A4267" s="52"/>
    </row>
    <row r="4268" spans="1:1" x14ac:dyDescent="0.2">
      <c r="A4268" s="52"/>
    </row>
    <row r="4269" spans="1:1" x14ac:dyDescent="0.2">
      <c r="A4269" s="52"/>
    </row>
    <row r="4270" spans="1:1" x14ac:dyDescent="0.2">
      <c r="A4270" s="52"/>
    </row>
    <row r="4271" spans="1:1" x14ac:dyDescent="0.2">
      <c r="A4271" s="52"/>
    </row>
    <row r="4272" spans="1:1" x14ac:dyDescent="0.2">
      <c r="A4272" s="52"/>
    </row>
    <row r="4273" spans="1:1" x14ac:dyDescent="0.2">
      <c r="A4273" s="52"/>
    </row>
    <row r="4274" spans="1:1" x14ac:dyDescent="0.2">
      <c r="A4274" s="52"/>
    </row>
    <row r="4275" spans="1:1" x14ac:dyDescent="0.2">
      <c r="A4275" s="52"/>
    </row>
    <row r="4276" spans="1:1" x14ac:dyDescent="0.2">
      <c r="A4276" s="52"/>
    </row>
    <row r="4277" spans="1:1" x14ac:dyDescent="0.2">
      <c r="A4277" s="52"/>
    </row>
    <row r="4278" spans="1:1" x14ac:dyDescent="0.2">
      <c r="A4278" s="52"/>
    </row>
    <row r="4279" spans="1:1" x14ac:dyDescent="0.2">
      <c r="A4279" s="52"/>
    </row>
    <row r="4280" spans="1:1" x14ac:dyDescent="0.2">
      <c r="A4280" s="52"/>
    </row>
    <row r="4281" spans="1:1" x14ac:dyDescent="0.2">
      <c r="A4281" s="52"/>
    </row>
    <row r="4282" spans="1:1" x14ac:dyDescent="0.2">
      <c r="A4282" s="52"/>
    </row>
    <row r="4283" spans="1:1" x14ac:dyDescent="0.2">
      <c r="A4283" s="52"/>
    </row>
    <row r="4284" spans="1:1" x14ac:dyDescent="0.2">
      <c r="A4284" s="52"/>
    </row>
    <row r="4285" spans="1:1" x14ac:dyDescent="0.2">
      <c r="A4285" s="52"/>
    </row>
    <row r="4286" spans="1:1" x14ac:dyDescent="0.2">
      <c r="A4286" s="53"/>
    </row>
    <row r="4287" spans="1:1" x14ac:dyDescent="0.2">
      <c r="A4287" s="52"/>
    </row>
    <row r="4288" spans="1:1" x14ac:dyDescent="0.2">
      <c r="A4288" s="52"/>
    </row>
    <row r="4289" spans="1:1" x14ac:dyDescent="0.2">
      <c r="A4289" s="52"/>
    </row>
    <row r="4290" spans="1:1" x14ac:dyDescent="0.2">
      <c r="A4290" s="52"/>
    </row>
    <row r="4291" spans="1:1" x14ac:dyDescent="0.2">
      <c r="A4291" s="52"/>
    </row>
    <row r="4292" spans="1:1" x14ac:dyDescent="0.2">
      <c r="A4292" s="52"/>
    </row>
    <row r="4293" spans="1:1" x14ac:dyDescent="0.2">
      <c r="A4293" s="52"/>
    </row>
    <row r="4294" spans="1:1" x14ac:dyDescent="0.2">
      <c r="A4294" s="52"/>
    </row>
    <row r="4295" spans="1:1" x14ac:dyDescent="0.2">
      <c r="A4295" s="52"/>
    </row>
    <row r="4296" spans="1:1" x14ac:dyDescent="0.2">
      <c r="A4296" s="52"/>
    </row>
    <row r="4297" spans="1:1" x14ac:dyDescent="0.2">
      <c r="A4297" s="52"/>
    </row>
    <row r="4298" spans="1:1" x14ac:dyDescent="0.2">
      <c r="A4298" s="52"/>
    </row>
    <row r="4299" spans="1:1" x14ac:dyDescent="0.2">
      <c r="A4299" s="52"/>
    </row>
    <row r="4300" spans="1:1" x14ac:dyDescent="0.2">
      <c r="A4300" s="52"/>
    </row>
    <row r="4301" spans="1:1" x14ac:dyDescent="0.2">
      <c r="A4301" s="52"/>
    </row>
    <row r="4302" spans="1:1" x14ac:dyDescent="0.2">
      <c r="A4302" s="52"/>
    </row>
    <row r="4303" spans="1:1" x14ac:dyDescent="0.2">
      <c r="A4303" s="52"/>
    </row>
    <row r="4304" spans="1:1" x14ac:dyDescent="0.2">
      <c r="A4304" s="52"/>
    </row>
    <row r="4305" spans="1:1" x14ac:dyDescent="0.2">
      <c r="A4305" s="52"/>
    </row>
    <row r="4306" spans="1:1" x14ac:dyDescent="0.2">
      <c r="A4306" s="53"/>
    </row>
    <row r="4307" spans="1:1" x14ac:dyDescent="0.2">
      <c r="A4307" s="52"/>
    </row>
    <row r="4308" spans="1:1" x14ac:dyDescent="0.2">
      <c r="A4308" s="52"/>
    </row>
    <row r="4309" spans="1:1" x14ac:dyDescent="0.2">
      <c r="A4309" s="52"/>
    </row>
    <row r="4310" spans="1:1" x14ac:dyDescent="0.2">
      <c r="A4310" s="52"/>
    </row>
    <row r="4311" spans="1:1" x14ac:dyDescent="0.2">
      <c r="A4311" s="52"/>
    </row>
    <row r="4312" spans="1:1" x14ac:dyDescent="0.2">
      <c r="A4312" s="52"/>
    </row>
    <row r="4313" spans="1:1" x14ac:dyDescent="0.2">
      <c r="A4313" s="52"/>
    </row>
    <row r="4314" spans="1:1" x14ac:dyDescent="0.2">
      <c r="A4314" s="52"/>
    </row>
    <row r="4315" spans="1:1" x14ac:dyDescent="0.2">
      <c r="A4315" s="52"/>
    </row>
    <row r="4316" spans="1:1" x14ac:dyDescent="0.2">
      <c r="A4316" s="52"/>
    </row>
    <row r="4317" spans="1:1" x14ac:dyDescent="0.2">
      <c r="A4317" s="52"/>
    </row>
    <row r="4318" spans="1:1" x14ac:dyDescent="0.2">
      <c r="A4318" s="52"/>
    </row>
    <row r="4319" spans="1:1" x14ac:dyDescent="0.2">
      <c r="A4319" s="52"/>
    </row>
    <row r="4320" spans="1:1" x14ac:dyDescent="0.2">
      <c r="A4320" s="52"/>
    </row>
    <row r="4321" spans="1:1" x14ac:dyDescent="0.2">
      <c r="A4321" s="52"/>
    </row>
    <row r="4322" spans="1:1" x14ac:dyDescent="0.2">
      <c r="A4322" s="52"/>
    </row>
    <row r="4323" spans="1:1" x14ac:dyDescent="0.2">
      <c r="A4323" s="52"/>
    </row>
    <row r="4324" spans="1:1" x14ac:dyDescent="0.2">
      <c r="A4324" s="52"/>
    </row>
    <row r="4325" spans="1:1" x14ac:dyDescent="0.2">
      <c r="A4325" s="52"/>
    </row>
    <row r="4326" spans="1:1" x14ac:dyDescent="0.2">
      <c r="A4326" s="52"/>
    </row>
    <row r="4327" spans="1:1" x14ac:dyDescent="0.2">
      <c r="A4327" s="52"/>
    </row>
    <row r="4328" spans="1:1" x14ac:dyDescent="0.2">
      <c r="A4328" s="52"/>
    </row>
    <row r="4329" spans="1:1" x14ac:dyDescent="0.2">
      <c r="A4329" s="52"/>
    </row>
    <row r="4330" spans="1:1" x14ac:dyDescent="0.2">
      <c r="A4330" s="52"/>
    </row>
    <row r="4331" spans="1:1" x14ac:dyDescent="0.2">
      <c r="A4331" s="52"/>
    </row>
    <row r="4332" spans="1:1" x14ac:dyDescent="0.2">
      <c r="A4332" s="52"/>
    </row>
    <row r="4333" spans="1:1" x14ac:dyDescent="0.2">
      <c r="A4333" s="52"/>
    </row>
    <row r="4334" spans="1:1" x14ac:dyDescent="0.2">
      <c r="A4334" s="53"/>
    </row>
    <row r="4335" spans="1:1" x14ac:dyDescent="0.2">
      <c r="A4335" s="52"/>
    </row>
    <row r="4336" spans="1:1" x14ac:dyDescent="0.2">
      <c r="A4336" s="52"/>
    </row>
    <row r="4337" spans="1:1" x14ac:dyDescent="0.2">
      <c r="A4337" s="52"/>
    </row>
    <row r="4338" spans="1:1" x14ac:dyDescent="0.2">
      <c r="A4338" s="52"/>
    </row>
    <row r="4339" spans="1:1" x14ac:dyDescent="0.2">
      <c r="A4339" s="52"/>
    </row>
    <row r="4340" spans="1:1" x14ac:dyDescent="0.2">
      <c r="A4340" s="52"/>
    </row>
    <row r="4341" spans="1:1" x14ac:dyDescent="0.2">
      <c r="A4341" s="52"/>
    </row>
    <row r="4342" spans="1:1" x14ac:dyDescent="0.2">
      <c r="A4342" s="53"/>
    </row>
    <row r="4343" spans="1:1" x14ac:dyDescent="0.2">
      <c r="A4343" s="52"/>
    </row>
    <row r="4344" spans="1:1" x14ac:dyDescent="0.2">
      <c r="A4344" s="52"/>
    </row>
    <row r="4345" spans="1:1" x14ac:dyDescent="0.2">
      <c r="A4345" s="52"/>
    </row>
    <row r="4346" spans="1:1" x14ac:dyDescent="0.2">
      <c r="A4346" s="52"/>
    </row>
    <row r="4347" spans="1:1" x14ac:dyDescent="0.2">
      <c r="A4347" s="53"/>
    </row>
    <row r="4348" spans="1:1" x14ac:dyDescent="0.2">
      <c r="A4348" s="52"/>
    </row>
    <row r="4349" spans="1:1" x14ac:dyDescent="0.2">
      <c r="A4349" s="52"/>
    </row>
    <row r="4350" spans="1:1" x14ac:dyDescent="0.2">
      <c r="A4350" s="52"/>
    </row>
    <row r="4351" spans="1:1" x14ac:dyDescent="0.2">
      <c r="A4351" s="52"/>
    </row>
    <row r="4352" spans="1:1" x14ac:dyDescent="0.2">
      <c r="A4352" s="52"/>
    </row>
    <row r="4353" spans="1:1" x14ac:dyDescent="0.2">
      <c r="A4353" s="52"/>
    </row>
    <row r="4354" spans="1:1" x14ac:dyDescent="0.2">
      <c r="A4354" s="52"/>
    </row>
    <row r="4355" spans="1:1" x14ac:dyDescent="0.2">
      <c r="A4355" s="52"/>
    </row>
    <row r="4356" spans="1:1" x14ac:dyDescent="0.2">
      <c r="A4356" s="52"/>
    </row>
    <row r="4357" spans="1:1" x14ac:dyDescent="0.2">
      <c r="A4357" s="52"/>
    </row>
    <row r="4358" spans="1:1" x14ac:dyDescent="0.2">
      <c r="A4358" s="52"/>
    </row>
    <row r="4359" spans="1:1" x14ac:dyDescent="0.2">
      <c r="A4359" s="52"/>
    </row>
    <row r="4360" spans="1:1" x14ac:dyDescent="0.2">
      <c r="A4360" s="52"/>
    </row>
    <row r="4361" spans="1:1" x14ac:dyDescent="0.2">
      <c r="A4361" s="52"/>
    </row>
    <row r="4362" spans="1:1" x14ac:dyDescent="0.2">
      <c r="A4362" s="52"/>
    </row>
    <row r="4363" spans="1:1" x14ac:dyDescent="0.2">
      <c r="A4363" s="52"/>
    </row>
    <row r="4364" spans="1:1" x14ac:dyDescent="0.2">
      <c r="A4364" s="52"/>
    </row>
    <row r="4365" spans="1:1" x14ac:dyDescent="0.2">
      <c r="A4365" s="52"/>
    </row>
    <row r="4366" spans="1:1" x14ac:dyDescent="0.2">
      <c r="A4366" s="52"/>
    </row>
    <row r="4367" spans="1:1" x14ac:dyDescent="0.2">
      <c r="A4367" s="53"/>
    </row>
    <row r="4368" spans="1:1" x14ac:dyDescent="0.2">
      <c r="A4368" s="52"/>
    </row>
    <row r="4369" spans="1:1" x14ac:dyDescent="0.2">
      <c r="A4369" s="52"/>
    </row>
    <row r="4370" spans="1:1" x14ac:dyDescent="0.2">
      <c r="A4370" s="52"/>
    </row>
    <row r="4371" spans="1:1" x14ac:dyDescent="0.2">
      <c r="A4371" s="52"/>
    </row>
    <row r="4372" spans="1:1" x14ac:dyDescent="0.2">
      <c r="A4372" s="52"/>
    </row>
    <row r="4373" spans="1:1" x14ac:dyDescent="0.2">
      <c r="A4373" s="52"/>
    </row>
    <row r="4374" spans="1:1" x14ac:dyDescent="0.2">
      <c r="A4374" s="52"/>
    </row>
    <row r="4375" spans="1:1" x14ac:dyDescent="0.2">
      <c r="A4375" s="52"/>
    </row>
    <row r="4376" spans="1:1" x14ac:dyDescent="0.2">
      <c r="A4376" s="52"/>
    </row>
    <row r="4377" spans="1:1" x14ac:dyDescent="0.2">
      <c r="A4377" s="53"/>
    </row>
    <row r="4378" spans="1:1" x14ac:dyDescent="0.2">
      <c r="A4378" s="52"/>
    </row>
    <row r="4379" spans="1:1" x14ac:dyDescent="0.2">
      <c r="A4379" s="52"/>
    </row>
    <row r="4380" spans="1:1" x14ac:dyDescent="0.2">
      <c r="A4380" s="52"/>
    </row>
    <row r="4381" spans="1:1" x14ac:dyDescent="0.2">
      <c r="A4381" s="52"/>
    </row>
    <row r="4382" spans="1:1" x14ac:dyDescent="0.2">
      <c r="A4382" s="52"/>
    </row>
    <row r="4383" spans="1:1" x14ac:dyDescent="0.2">
      <c r="A4383" s="52"/>
    </row>
    <row r="4384" spans="1:1" x14ac:dyDescent="0.2">
      <c r="A4384" s="52"/>
    </row>
    <row r="4385" spans="1:1" x14ac:dyDescent="0.2">
      <c r="A4385" s="52"/>
    </row>
    <row r="4386" spans="1:1" x14ac:dyDescent="0.2">
      <c r="A4386" s="52"/>
    </row>
    <row r="4387" spans="1:1" x14ac:dyDescent="0.2">
      <c r="A4387" s="52"/>
    </row>
    <row r="4388" spans="1:1" x14ac:dyDescent="0.2">
      <c r="A4388" s="52"/>
    </row>
    <row r="4389" spans="1:1" x14ac:dyDescent="0.2">
      <c r="A4389" s="52"/>
    </row>
    <row r="4390" spans="1:1" x14ac:dyDescent="0.2">
      <c r="A4390" s="52"/>
    </row>
    <row r="4391" spans="1:1" x14ac:dyDescent="0.2">
      <c r="A4391" s="52"/>
    </row>
    <row r="4392" spans="1:1" x14ac:dyDescent="0.2">
      <c r="A4392" s="52"/>
    </row>
    <row r="4393" spans="1:1" x14ac:dyDescent="0.2">
      <c r="A4393" s="52"/>
    </row>
    <row r="4394" spans="1:1" x14ac:dyDescent="0.2">
      <c r="A4394" s="52"/>
    </row>
    <row r="4395" spans="1:1" x14ac:dyDescent="0.2">
      <c r="A4395" s="52"/>
    </row>
    <row r="4396" spans="1:1" x14ac:dyDescent="0.2">
      <c r="A4396" s="52"/>
    </row>
    <row r="4397" spans="1:1" x14ac:dyDescent="0.2">
      <c r="A4397" s="52"/>
    </row>
    <row r="4398" spans="1:1" x14ac:dyDescent="0.2">
      <c r="A4398" s="52"/>
    </row>
    <row r="4399" spans="1:1" x14ac:dyDescent="0.2">
      <c r="A4399" s="52"/>
    </row>
    <row r="4400" spans="1:1" x14ac:dyDescent="0.2">
      <c r="A4400" s="52"/>
    </row>
    <row r="4401" spans="1:1" x14ac:dyDescent="0.2">
      <c r="A4401" s="52"/>
    </row>
    <row r="4402" spans="1:1" x14ac:dyDescent="0.2">
      <c r="A4402" s="52"/>
    </row>
    <row r="4403" spans="1:1" x14ac:dyDescent="0.2">
      <c r="A4403" s="52"/>
    </row>
    <row r="4404" spans="1:1" x14ac:dyDescent="0.2">
      <c r="A4404" s="52"/>
    </row>
    <row r="4405" spans="1:1" x14ac:dyDescent="0.2">
      <c r="A4405" s="52"/>
    </row>
    <row r="4406" spans="1:1" x14ac:dyDescent="0.2">
      <c r="A4406" s="52"/>
    </row>
    <row r="4407" spans="1:1" x14ac:dyDescent="0.2">
      <c r="A4407" s="52"/>
    </row>
    <row r="4408" spans="1:1" x14ac:dyDescent="0.2">
      <c r="A4408" s="52"/>
    </row>
    <row r="4409" spans="1:1" x14ac:dyDescent="0.2">
      <c r="A4409" s="52"/>
    </row>
    <row r="4410" spans="1:1" x14ac:dyDescent="0.2">
      <c r="A4410" s="52"/>
    </row>
    <row r="4411" spans="1:1" x14ac:dyDescent="0.2">
      <c r="A4411" s="52"/>
    </row>
    <row r="4412" spans="1:1" x14ac:dyDescent="0.2">
      <c r="A4412" s="52"/>
    </row>
    <row r="4413" spans="1:1" x14ac:dyDescent="0.2">
      <c r="A4413" s="52"/>
    </row>
    <row r="4414" spans="1:1" x14ac:dyDescent="0.2">
      <c r="A4414" s="52"/>
    </row>
    <row r="4415" spans="1:1" x14ac:dyDescent="0.2">
      <c r="A4415" s="53"/>
    </row>
    <row r="4416" spans="1:1" x14ac:dyDescent="0.2">
      <c r="A4416" s="52"/>
    </row>
    <row r="4417" spans="1:1" x14ac:dyDescent="0.2">
      <c r="A4417" s="53"/>
    </row>
    <row r="4418" spans="1:1" x14ac:dyDescent="0.2">
      <c r="A4418" s="53"/>
    </row>
    <row r="4419" spans="1:1" x14ac:dyDescent="0.2">
      <c r="A4419" s="53"/>
    </row>
    <row r="4420" spans="1:1" x14ac:dyDescent="0.2">
      <c r="A4420" s="53"/>
    </row>
    <row r="4421" spans="1:1" x14ac:dyDescent="0.2">
      <c r="A4421" s="53"/>
    </row>
    <row r="4422" spans="1:1" x14ac:dyDescent="0.2">
      <c r="A4422" s="52"/>
    </row>
    <row r="4423" spans="1:1" x14ac:dyDescent="0.2">
      <c r="A4423" s="53"/>
    </row>
    <row r="4424" spans="1:1" x14ac:dyDescent="0.2">
      <c r="A4424" s="52"/>
    </row>
    <row r="4425" spans="1:1" x14ac:dyDescent="0.2">
      <c r="A4425" s="52"/>
    </row>
    <row r="4426" spans="1:1" x14ac:dyDescent="0.2">
      <c r="A4426" s="53"/>
    </row>
    <row r="4427" spans="1:1" x14ac:dyDescent="0.2">
      <c r="A4427" s="52"/>
    </row>
    <row r="4428" spans="1:1" x14ac:dyDescent="0.2">
      <c r="A4428" s="52"/>
    </row>
    <row r="4429" spans="1:1" x14ac:dyDescent="0.2">
      <c r="A4429" s="52"/>
    </row>
    <row r="4430" spans="1:1" x14ac:dyDescent="0.2">
      <c r="A4430" s="53"/>
    </row>
    <row r="4431" spans="1:1" x14ac:dyDescent="0.2">
      <c r="A4431" s="52"/>
    </row>
    <row r="4432" spans="1:1" x14ac:dyDescent="0.2">
      <c r="A4432" s="53"/>
    </row>
    <row r="4433" spans="1:1" x14ac:dyDescent="0.2">
      <c r="A4433" s="52"/>
    </row>
    <row r="4434" spans="1:1" x14ac:dyDescent="0.2">
      <c r="A4434" s="52"/>
    </row>
    <row r="4435" spans="1:1" x14ac:dyDescent="0.2">
      <c r="A4435" s="52"/>
    </row>
    <row r="4436" spans="1:1" x14ac:dyDescent="0.2">
      <c r="A4436" s="52"/>
    </row>
    <row r="4437" spans="1:1" x14ac:dyDescent="0.2">
      <c r="A4437" s="52"/>
    </row>
    <row r="4438" spans="1:1" x14ac:dyDescent="0.2">
      <c r="A4438" s="53"/>
    </row>
    <row r="4439" spans="1:1" x14ac:dyDescent="0.2">
      <c r="A4439" s="53"/>
    </row>
    <row r="4440" spans="1:1" x14ac:dyDescent="0.2">
      <c r="A4440" s="52"/>
    </row>
    <row r="4441" spans="1:1" x14ac:dyDescent="0.2">
      <c r="A4441" s="52"/>
    </row>
    <row r="4442" spans="1:1" x14ac:dyDescent="0.2">
      <c r="A4442" s="53"/>
    </row>
    <row r="4443" spans="1:1" x14ac:dyDescent="0.2">
      <c r="A4443" s="52"/>
    </row>
    <row r="4444" spans="1:1" x14ac:dyDescent="0.2">
      <c r="A4444" s="53"/>
    </row>
    <row r="4445" spans="1:1" x14ac:dyDescent="0.2">
      <c r="A4445" s="52"/>
    </row>
    <row r="4446" spans="1:1" x14ac:dyDescent="0.2">
      <c r="A4446" s="52"/>
    </row>
    <row r="4447" spans="1:1" x14ac:dyDescent="0.2">
      <c r="A4447" s="53"/>
    </row>
    <row r="4448" spans="1:1" x14ac:dyDescent="0.2">
      <c r="A4448" s="53"/>
    </row>
    <row r="4449" spans="1:1" x14ac:dyDescent="0.2">
      <c r="A4449" s="53"/>
    </row>
    <row r="4450" spans="1:1" x14ac:dyDescent="0.2">
      <c r="A4450" s="53"/>
    </row>
    <row r="4451" spans="1:1" x14ac:dyDescent="0.2">
      <c r="A4451" s="52"/>
    </row>
    <row r="4452" spans="1:1" x14ac:dyDescent="0.2">
      <c r="A4452" s="52"/>
    </row>
    <row r="4453" spans="1:1" x14ac:dyDescent="0.2">
      <c r="A4453" s="52"/>
    </row>
    <row r="4454" spans="1:1" x14ac:dyDescent="0.2">
      <c r="A4454" s="52"/>
    </row>
    <row r="4455" spans="1:1" x14ac:dyDescent="0.2">
      <c r="A4455" s="52"/>
    </row>
    <row r="4456" spans="1:1" x14ac:dyDescent="0.2">
      <c r="A4456" s="52"/>
    </row>
    <row r="4457" spans="1:1" x14ac:dyDescent="0.2">
      <c r="A4457" s="52"/>
    </row>
    <row r="4458" spans="1:1" x14ac:dyDescent="0.2">
      <c r="A4458" s="52"/>
    </row>
    <row r="4459" spans="1:1" x14ac:dyDescent="0.2">
      <c r="A4459" s="52"/>
    </row>
    <row r="4460" spans="1:1" x14ac:dyDescent="0.2">
      <c r="A4460" s="52"/>
    </row>
    <row r="4461" spans="1:1" x14ac:dyDescent="0.2">
      <c r="A4461" s="52"/>
    </row>
    <row r="4462" spans="1:1" x14ac:dyDescent="0.2">
      <c r="A4462" s="52"/>
    </row>
    <row r="4463" spans="1:1" x14ac:dyDescent="0.2">
      <c r="A4463" s="52"/>
    </row>
    <row r="4464" spans="1:1" x14ac:dyDescent="0.2">
      <c r="A4464" s="52"/>
    </row>
    <row r="4465" spans="1:1" x14ac:dyDescent="0.2">
      <c r="A4465" s="52"/>
    </row>
    <row r="4466" spans="1:1" x14ac:dyDescent="0.2">
      <c r="A4466" s="52"/>
    </row>
    <row r="4467" spans="1:1" x14ac:dyDescent="0.2">
      <c r="A4467" s="52"/>
    </row>
    <row r="4468" spans="1:1" x14ac:dyDescent="0.2">
      <c r="A4468" s="52"/>
    </row>
    <row r="4469" spans="1:1" x14ac:dyDescent="0.2">
      <c r="A4469" s="52"/>
    </row>
    <row r="4470" spans="1:1" x14ac:dyDescent="0.2">
      <c r="A4470" s="53"/>
    </row>
    <row r="4471" spans="1:1" x14ac:dyDescent="0.2">
      <c r="A4471" s="52"/>
    </row>
    <row r="4472" spans="1:1" x14ac:dyDescent="0.2">
      <c r="A4472" s="52"/>
    </row>
    <row r="4473" spans="1:1" x14ac:dyDescent="0.2">
      <c r="A4473" s="52"/>
    </row>
    <row r="4474" spans="1:1" x14ac:dyDescent="0.2">
      <c r="A4474" s="52"/>
    </row>
    <row r="4475" spans="1:1" x14ac:dyDescent="0.2">
      <c r="A4475" s="52"/>
    </row>
    <row r="4476" spans="1:1" x14ac:dyDescent="0.2">
      <c r="A4476" s="52"/>
    </row>
    <row r="4477" spans="1:1" x14ac:dyDescent="0.2">
      <c r="A4477" s="52"/>
    </row>
    <row r="4478" spans="1:1" x14ac:dyDescent="0.2">
      <c r="A4478" s="52"/>
    </row>
    <row r="4479" spans="1:1" x14ac:dyDescent="0.2">
      <c r="A4479" s="52"/>
    </row>
    <row r="4480" spans="1:1" x14ac:dyDescent="0.2">
      <c r="A4480" s="52"/>
    </row>
    <row r="4481" spans="1:1" x14ac:dyDescent="0.2">
      <c r="A4481" s="52"/>
    </row>
    <row r="4482" spans="1:1" x14ac:dyDescent="0.2">
      <c r="A4482" s="52"/>
    </row>
    <row r="4483" spans="1:1" x14ac:dyDescent="0.2">
      <c r="A4483" s="52"/>
    </row>
    <row r="4484" spans="1:1" x14ac:dyDescent="0.2">
      <c r="A4484" s="52"/>
    </row>
    <row r="4485" spans="1:1" x14ac:dyDescent="0.2">
      <c r="A4485" s="52"/>
    </row>
    <row r="4486" spans="1:1" x14ac:dyDescent="0.2">
      <c r="A4486" s="52"/>
    </row>
    <row r="4487" spans="1:1" x14ac:dyDescent="0.2">
      <c r="A4487" s="52"/>
    </row>
    <row r="4488" spans="1:1" x14ac:dyDescent="0.2">
      <c r="A4488" s="52"/>
    </row>
    <row r="4489" spans="1:1" x14ac:dyDescent="0.2">
      <c r="A4489" s="52"/>
    </row>
    <row r="4490" spans="1:1" x14ac:dyDescent="0.2">
      <c r="A4490" s="52"/>
    </row>
    <row r="4491" spans="1:1" x14ac:dyDescent="0.2">
      <c r="A4491" s="53"/>
    </row>
    <row r="4492" spans="1:1" x14ac:dyDescent="0.2">
      <c r="A4492" s="52"/>
    </row>
    <row r="4493" spans="1:1" x14ac:dyDescent="0.2">
      <c r="A4493" s="52"/>
    </row>
    <row r="4494" spans="1:1" x14ac:dyDescent="0.2">
      <c r="A4494" s="52"/>
    </row>
    <row r="4495" spans="1:1" x14ac:dyDescent="0.2">
      <c r="A4495" s="52"/>
    </row>
    <row r="4496" spans="1:1" x14ac:dyDescent="0.2">
      <c r="A4496" s="52"/>
    </row>
    <row r="4497" spans="1:1" x14ac:dyDescent="0.2">
      <c r="A4497" s="52"/>
    </row>
    <row r="4498" spans="1:1" x14ac:dyDescent="0.2">
      <c r="A4498" s="52"/>
    </row>
    <row r="4499" spans="1:1" x14ac:dyDescent="0.2">
      <c r="A4499" s="52"/>
    </row>
    <row r="4500" spans="1:1" x14ac:dyDescent="0.2">
      <c r="A4500" s="52"/>
    </row>
    <row r="4501" spans="1:1" x14ac:dyDescent="0.2">
      <c r="A4501" s="52"/>
    </row>
    <row r="4502" spans="1:1" x14ac:dyDescent="0.2">
      <c r="A4502" s="52"/>
    </row>
    <row r="4503" spans="1:1" x14ac:dyDescent="0.2">
      <c r="A4503" s="52"/>
    </row>
    <row r="4504" spans="1:1" x14ac:dyDescent="0.2">
      <c r="A4504" s="52"/>
    </row>
    <row r="4505" spans="1:1" x14ac:dyDescent="0.2">
      <c r="A4505" s="52"/>
    </row>
    <row r="4506" spans="1:1" x14ac:dyDescent="0.2">
      <c r="A4506" s="52"/>
    </row>
    <row r="4507" spans="1:1" x14ac:dyDescent="0.2">
      <c r="A4507" s="52"/>
    </row>
    <row r="4508" spans="1:1" x14ac:dyDescent="0.2">
      <c r="A4508" s="52"/>
    </row>
    <row r="4509" spans="1:1" x14ac:dyDescent="0.2">
      <c r="A4509" s="52"/>
    </row>
    <row r="4510" spans="1:1" x14ac:dyDescent="0.2">
      <c r="A4510" s="52"/>
    </row>
    <row r="4511" spans="1:1" x14ac:dyDescent="0.2">
      <c r="A4511" s="52"/>
    </row>
    <row r="4512" spans="1:1" x14ac:dyDescent="0.2">
      <c r="A4512" s="52"/>
    </row>
    <row r="4513" spans="1:1" x14ac:dyDescent="0.2">
      <c r="A4513" s="52"/>
    </row>
    <row r="4514" spans="1:1" x14ac:dyDescent="0.2">
      <c r="A4514" s="52"/>
    </row>
    <row r="4515" spans="1:1" x14ac:dyDescent="0.2">
      <c r="A4515" s="52"/>
    </row>
    <row r="4516" spans="1:1" x14ac:dyDescent="0.2">
      <c r="A4516" s="52"/>
    </row>
    <row r="4517" spans="1:1" x14ac:dyDescent="0.2">
      <c r="A4517" s="52"/>
    </row>
    <row r="4518" spans="1:1" x14ac:dyDescent="0.2">
      <c r="A4518" s="52"/>
    </row>
    <row r="4519" spans="1:1" x14ac:dyDescent="0.2">
      <c r="A4519" s="52"/>
    </row>
    <row r="4520" spans="1:1" x14ac:dyDescent="0.2">
      <c r="A4520" s="52"/>
    </row>
    <row r="4521" spans="1:1" x14ac:dyDescent="0.2">
      <c r="A4521" s="52"/>
    </row>
    <row r="4522" spans="1:1" x14ac:dyDescent="0.2">
      <c r="A4522" s="52"/>
    </row>
    <row r="4523" spans="1:1" x14ac:dyDescent="0.2">
      <c r="A4523" s="52"/>
    </row>
    <row r="4524" spans="1:1" x14ac:dyDescent="0.2">
      <c r="A4524" s="52"/>
    </row>
    <row r="4525" spans="1:1" x14ac:dyDescent="0.2">
      <c r="A4525" s="52"/>
    </row>
    <row r="4526" spans="1:1" x14ac:dyDescent="0.2">
      <c r="A4526" s="52"/>
    </row>
    <row r="4527" spans="1:1" x14ac:dyDescent="0.2">
      <c r="A4527" s="52"/>
    </row>
    <row r="4528" spans="1:1" x14ac:dyDescent="0.2">
      <c r="A4528" s="52"/>
    </row>
    <row r="4529" spans="1:1" x14ac:dyDescent="0.2">
      <c r="A4529" s="52"/>
    </row>
    <row r="4530" spans="1:1" x14ac:dyDescent="0.2">
      <c r="A4530" s="52"/>
    </row>
    <row r="4531" spans="1:1" x14ac:dyDescent="0.2">
      <c r="A4531" s="52"/>
    </row>
    <row r="4532" spans="1:1" x14ac:dyDescent="0.2">
      <c r="A4532" s="52"/>
    </row>
    <row r="4533" spans="1:1" x14ac:dyDescent="0.2">
      <c r="A4533" s="53"/>
    </row>
    <row r="4534" spans="1:1" x14ac:dyDescent="0.2">
      <c r="A4534" s="52"/>
    </row>
    <row r="4535" spans="1:1" x14ac:dyDescent="0.2">
      <c r="A4535" s="52"/>
    </row>
    <row r="4536" spans="1:1" x14ac:dyDescent="0.2">
      <c r="A4536" s="52"/>
    </row>
    <row r="4537" spans="1:1" x14ac:dyDescent="0.2">
      <c r="A4537" s="52"/>
    </row>
    <row r="4538" spans="1:1" x14ac:dyDescent="0.2">
      <c r="A4538" s="52"/>
    </row>
    <row r="4539" spans="1:1" x14ac:dyDescent="0.2">
      <c r="A4539" s="52"/>
    </row>
    <row r="4540" spans="1:1" x14ac:dyDescent="0.2">
      <c r="A4540" s="52"/>
    </row>
    <row r="4541" spans="1:1" x14ac:dyDescent="0.2">
      <c r="A4541" s="52"/>
    </row>
    <row r="4542" spans="1:1" x14ac:dyDescent="0.2">
      <c r="A4542" s="52"/>
    </row>
    <row r="4543" spans="1:1" x14ac:dyDescent="0.2">
      <c r="A4543" s="52"/>
    </row>
    <row r="4544" spans="1:1" x14ac:dyDescent="0.2">
      <c r="A4544" s="53"/>
    </row>
    <row r="4545" spans="1:1" x14ac:dyDescent="0.2">
      <c r="A4545" s="53"/>
    </row>
    <row r="4546" spans="1:1" x14ac:dyDescent="0.2">
      <c r="A4546" s="52"/>
    </row>
    <row r="4547" spans="1:1" x14ac:dyDescent="0.2">
      <c r="A4547" s="52"/>
    </row>
    <row r="4548" spans="1:1" x14ac:dyDescent="0.2">
      <c r="A4548" s="52"/>
    </row>
    <row r="4549" spans="1:1" x14ac:dyDescent="0.2">
      <c r="A4549" s="52"/>
    </row>
    <row r="4550" spans="1:1" x14ac:dyDescent="0.2">
      <c r="A4550" s="52"/>
    </row>
    <row r="4551" spans="1:1" x14ac:dyDescent="0.2">
      <c r="A4551" s="52"/>
    </row>
    <row r="4552" spans="1:1" x14ac:dyDescent="0.2">
      <c r="A4552" s="53"/>
    </row>
    <row r="4553" spans="1:1" x14ac:dyDescent="0.2">
      <c r="A4553" s="52"/>
    </row>
    <row r="4554" spans="1:1" x14ac:dyDescent="0.2">
      <c r="A4554" s="52"/>
    </row>
    <row r="4555" spans="1:1" x14ac:dyDescent="0.2">
      <c r="A4555" s="52"/>
    </row>
    <row r="4556" spans="1:1" x14ac:dyDescent="0.2">
      <c r="A4556" s="52"/>
    </row>
    <row r="4557" spans="1:1" x14ac:dyDescent="0.2">
      <c r="A4557" s="52"/>
    </row>
    <row r="4558" spans="1:1" x14ac:dyDescent="0.2">
      <c r="A4558" s="52"/>
    </row>
    <row r="4559" spans="1:1" x14ac:dyDescent="0.2">
      <c r="A4559" s="52"/>
    </row>
    <row r="4560" spans="1:1" x14ac:dyDescent="0.2">
      <c r="A4560" s="52"/>
    </row>
    <row r="4561" spans="1:1" x14ac:dyDescent="0.2">
      <c r="A4561" s="52"/>
    </row>
    <row r="4562" spans="1:1" x14ac:dyDescent="0.2">
      <c r="A4562" s="52"/>
    </row>
    <row r="4563" spans="1:1" x14ac:dyDescent="0.2">
      <c r="A4563" s="52"/>
    </row>
    <row r="4564" spans="1:1" x14ac:dyDescent="0.2">
      <c r="A4564" s="52"/>
    </row>
    <row r="4565" spans="1:1" x14ac:dyDescent="0.2">
      <c r="A4565" s="52"/>
    </row>
    <row r="4566" spans="1:1" x14ac:dyDescent="0.2">
      <c r="A4566" s="52"/>
    </row>
    <row r="4567" spans="1:1" x14ac:dyDescent="0.2">
      <c r="A4567" s="53"/>
    </row>
    <row r="4568" spans="1:1" x14ac:dyDescent="0.2">
      <c r="A4568" s="52"/>
    </row>
    <row r="4569" spans="1:1" x14ac:dyDescent="0.2">
      <c r="A4569" s="52"/>
    </row>
    <row r="4570" spans="1:1" x14ac:dyDescent="0.2">
      <c r="A4570" s="52"/>
    </row>
    <row r="4571" spans="1:1" x14ac:dyDescent="0.2">
      <c r="A4571" s="52"/>
    </row>
    <row r="4572" spans="1:1" x14ac:dyDescent="0.2">
      <c r="A4572" s="52"/>
    </row>
    <row r="4573" spans="1:1" x14ac:dyDescent="0.2">
      <c r="A4573" s="52"/>
    </row>
    <row r="4574" spans="1:1" x14ac:dyDescent="0.2">
      <c r="A4574" s="53"/>
    </row>
    <row r="4575" spans="1:1" x14ac:dyDescent="0.2">
      <c r="A4575" s="52"/>
    </row>
    <row r="4576" spans="1:1" x14ac:dyDescent="0.2">
      <c r="A4576" s="52"/>
    </row>
    <row r="4577" spans="1:1" x14ac:dyDescent="0.2">
      <c r="A4577" s="52"/>
    </row>
    <row r="4578" spans="1:1" x14ac:dyDescent="0.2">
      <c r="A4578" s="52"/>
    </row>
    <row r="4579" spans="1:1" x14ac:dyDescent="0.2">
      <c r="A4579" s="52"/>
    </row>
    <row r="4580" spans="1:1" x14ac:dyDescent="0.2">
      <c r="A4580" s="52"/>
    </row>
    <row r="4581" spans="1:1" x14ac:dyDescent="0.2">
      <c r="A4581" s="52"/>
    </row>
    <row r="4582" spans="1:1" x14ac:dyDescent="0.2">
      <c r="A4582" s="52"/>
    </row>
    <row r="4583" spans="1:1" x14ac:dyDescent="0.2">
      <c r="A4583" s="52"/>
    </row>
    <row r="4584" spans="1:1" x14ac:dyDescent="0.2">
      <c r="A4584" s="52"/>
    </row>
    <row r="4585" spans="1:1" x14ac:dyDescent="0.2">
      <c r="A4585" s="52"/>
    </row>
    <row r="4586" spans="1:1" x14ac:dyDescent="0.2">
      <c r="A4586" s="52"/>
    </row>
    <row r="4587" spans="1:1" x14ac:dyDescent="0.2">
      <c r="A4587" s="52"/>
    </row>
    <row r="4588" spans="1:1" x14ac:dyDescent="0.2">
      <c r="A4588" s="52"/>
    </row>
    <row r="4589" spans="1:1" x14ac:dyDescent="0.2">
      <c r="A4589" s="52"/>
    </row>
    <row r="4590" spans="1:1" x14ac:dyDescent="0.2">
      <c r="A4590" s="52"/>
    </row>
    <row r="4591" spans="1:1" x14ac:dyDescent="0.2">
      <c r="A4591" s="52"/>
    </row>
    <row r="4592" spans="1:1" x14ac:dyDescent="0.2">
      <c r="A4592" s="52"/>
    </row>
    <row r="4593" spans="1:1" x14ac:dyDescent="0.2">
      <c r="A4593" s="52"/>
    </row>
    <row r="4594" spans="1:1" x14ac:dyDescent="0.2">
      <c r="A4594" s="52"/>
    </row>
    <row r="4595" spans="1:1" x14ac:dyDescent="0.2">
      <c r="A4595" s="52"/>
    </row>
    <row r="4596" spans="1:1" x14ac:dyDescent="0.2">
      <c r="A4596" s="52"/>
    </row>
    <row r="4597" spans="1:1" x14ac:dyDescent="0.2">
      <c r="A4597" s="52"/>
    </row>
    <row r="4598" spans="1:1" x14ac:dyDescent="0.2">
      <c r="A4598" s="52"/>
    </row>
    <row r="4599" spans="1:1" x14ac:dyDescent="0.2">
      <c r="A4599" s="52"/>
    </row>
    <row r="4600" spans="1:1" x14ac:dyDescent="0.2">
      <c r="A4600" s="52"/>
    </row>
    <row r="4601" spans="1:1" x14ac:dyDescent="0.2">
      <c r="A4601" s="52"/>
    </row>
    <row r="4602" spans="1:1" x14ac:dyDescent="0.2">
      <c r="A4602" s="52"/>
    </row>
    <row r="4603" spans="1:1" x14ac:dyDescent="0.2">
      <c r="A4603" s="52"/>
    </row>
    <row r="4604" spans="1:1" x14ac:dyDescent="0.2">
      <c r="A4604" s="52"/>
    </row>
    <row r="4605" spans="1:1" x14ac:dyDescent="0.2">
      <c r="A4605" s="52"/>
    </row>
    <row r="4606" spans="1:1" x14ac:dyDescent="0.2">
      <c r="A4606" s="52"/>
    </row>
    <row r="4607" spans="1:1" x14ac:dyDescent="0.2">
      <c r="A4607" s="52"/>
    </row>
    <row r="4608" spans="1:1" x14ac:dyDescent="0.2">
      <c r="A4608" s="52"/>
    </row>
    <row r="4609" spans="1:1" x14ac:dyDescent="0.2">
      <c r="A4609" s="52"/>
    </row>
    <row r="4610" spans="1:1" x14ac:dyDescent="0.2">
      <c r="A4610" s="52"/>
    </row>
    <row r="4611" spans="1:1" x14ac:dyDescent="0.2">
      <c r="A4611" s="52"/>
    </row>
    <row r="4612" spans="1:1" x14ac:dyDescent="0.2">
      <c r="A4612" s="52"/>
    </row>
    <row r="4613" spans="1:1" x14ac:dyDescent="0.2">
      <c r="A4613" s="52"/>
    </row>
    <row r="4614" spans="1:1" x14ac:dyDescent="0.2">
      <c r="A4614" s="52"/>
    </row>
    <row r="4615" spans="1:1" x14ac:dyDescent="0.2">
      <c r="A4615" s="52"/>
    </row>
    <row r="4616" spans="1:1" x14ac:dyDescent="0.2">
      <c r="A4616" s="52"/>
    </row>
    <row r="4617" spans="1:1" x14ac:dyDescent="0.2">
      <c r="A4617" s="52"/>
    </row>
    <row r="4618" spans="1:1" x14ac:dyDescent="0.2">
      <c r="A4618" s="52"/>
    </row>
    <row r="4619" spans="1:1" x14ac:dyDescent="0.2">
      <c r="A4619" s="52"/>
    </row>
    <row r="4620" spans="1:1" x14ac:dyDescent="0.2">
      <c r="A4620" s="52"/>
    </row>
    <row r="4621" spans="1:1" x14ac:dyDescent="0.2">
      <c r="A4621" s="52"/>
    </row>
    <row r="4622" spans="1:1" x14ac:dyDescent="0.2">
      <c r="A4622" s="52"/>
    </row>
    <row r="4623" spans="1:1" x14ac:dyDescent="0.2">
      <c r="A4623" s="52"/>
    </row>
    <row r="4624" spans="1:1" x14ac:dyDescent="0.2">
      <c r="A4624" s="52"/>
    </row>
    <row r="4625" spans="1:1" x14ac:dyDescent="0.2">
      <c r="A4625" s="52"/>
    </row>
    <row r="4626" spans="1:1" x14ac:dyDescent="0.2">
      <c r="A4626" s="52"/>
    </row>
    <row r="4627" spans="1:1" x14ac:dyDescent="0.2">
      <c r="A4627" s="52"/>
    </row>
    <row r="4628" spans="1:1" x14ac:dyDescent="0.2">
      <c r="A4628" s="52"/>
    </row>
    <row r="4629" spans="1:1" x14ac:dyDescent="0.2">
      <c r="A4629" s="53"/>
    </row>
    <row r="4630" spans="1:1" x14ac:dyDescent="0.2">
      <c r="A4630" s="52"/>
    </row>
    <row r="4631" spans="1:1" x14ac:dyDescent="0.2">
      <c r="A4631" s="52"/>
    </row>
    <row r="4632" spans="1:1" x14ac:dyDescent="0.2">
      <c r="A4632" s="52"/>
    </row>
    <row r="4633" spans="1:1" x14ac:dyDescent="0.2">
      <c r="A4633" s="52"/>
    </row>
    <row r="4634" spans="1:1" x14ac:dyDescent="0.2">
      <c r="A4634" s="52"/>
    </row>
    <row r="4635" spans="1:1" x14ac:dyDescent="0.2">
      <c r="A4635" s="52"/>
    </row>
    <row r="4636" spans="1:1" x14ac:dyDescent="0.2">
      <c r="A4636" s="53"/>
    </row>
    <row r="4637" spans="1:1" x14ac:dyDescent="0.2">
      <c r="A4637" s="52"/>
    </row>
    <row r="4638" spans="1:1" x14ac:dyDescent="0.2">
      <c r="A4638" s="52"/>
    </row>
    <row r="4639" spans="1:1" x14ac:dyDescent="0.2">
      <c r="A4639" s="52"/>
    </row>
    <row r="4640" spans="1:1" x14ac:dyDescent="0.2">
      <c r="A4640" s="52"/>
    </row>
    <row r="4641" spans="1:1" x14ac:dyDescent="0.2">
      <c r="A4641" s="52"/>
    </row>
    <row r="4642" spans="1:1" x14ac:dyDescent="0.2">
      <c r="A4642" s="52"/>
    </row>
    <row r="4643" spans="1:1" x14ac:dyDescent="0.2">
      <c r="A4643" s="52"/>
    </row>
    <row r="4644" spans="1:1" x14ac:dyDescent="0.2">
      <c r="A4644" s="52"/>
    </row>
    <row r="4645" spans="1:1" x14ac:dyDescent="0.2">
      <c r="A4645" s="52"/>
    </row>
    <row r="4646" spans="1:1" x14ac:dyDescent="0.2">
      <c r="A4646" s="52"/>
    </row>
    <row r="4647" spans="1:1" x14ac:dyDescent="0.2">
      <c r="A4647" s="52"/>
    </row>
    <row r="4648" spans="1:1" x14ac:dyDescent="0.2">
      <c r="A4648" s="52"/>
    </row>
    <row r="4649" spans="1:1" x14ac:dyDescent="0.2">
      <c r="A4649" s="52"/>
    </row>
    <row r="4650" spans="1:1" x14ac:dyDescent="0.2">
      <c r="A4650" s="52"/>
    </row>
    <row r="4651" spans="1:1" x14ac:dyDescent="0.2">
      <c r="A4651" s="52"/>
    </row>
    <row r="4652" spans="1:1" x14ac:dyDescent="0.2">
      <c r="A4652" s="52"/>
    </row>
    <row r="4653" spans="1:1" x14ac:dyDescent="0.2">
      <c r="A4653" s="53"/>
    </row>
    <row r="4654" spans="1:1" x14ac:dyDescent="0.2">
      <c r="A4654" s="52"/>
    </row>
    <row r="4655" spans="1:1" x14ac:dyDescent="0.2">
      <c r="A4655" s="52"/>
    </row>
    <row r="4656" spans="1:1" x14ac:dyDescent="0.2">
      <c r="A4656" s="52"/>
    </row>
    <row r="4657" spans="1:1" x14ac:dyDescent="0.2">
      <c r="A4657" s="52"/>
    </row>
    <row r="4658" spans="1:1" x14ac:dyDescent="0.2">
      <c r="A4658" s="52"/>
    </row>
    <row r="4659" spans="1:1" x14ac:dyDescent="0.2">
      <c r="A4659" s="52"/>
    </row>
    <row r="4660" spans="1:1" x14ac:dyDescent="0.2">
      <c r="A4660" s="52"/>
    </row>
    <row r="4661" spans="1:1" x14ac:dyDescent="0.2">
      <c r="A4661" s="52"/>
    </row>
    <row r="4662" spans="1:1" x14ac:dyDescent="0.2">
      <c r="A4662" s="53"/>
    </row>
    <row r="4663" spans="1:1" x14ac:dyDescent="0.2">
      <c r="A4663" s="52"/>
    </row>
    <row r="4664" spans="1:1" x14ac:dyDescent="0.2">
      <c r="A4664" s="52"/>
    </row>
    <row r="4665" spans="1:1" x14ac:dyDescent="0.2">
      <c r="A4665" s="53"/>
    </row>
    <row r="4666" spans="1:1" x14ac:dyDescent="0.2">
      <c r="A4666" s="52"/>
    </row>
    <row r="4667" spans="1:1" x14ac:dyDescent="0.2">
      <c r="A4667" s="52"/>
    </row>
    <row r="4668" spans="1:1" x14ac:dyDescent="0.2">
      <c r="A4668" s="53"/>
    </row>
    <row r="4669" spans="1:1" x14ac:dyDescent="0.2">
      <c r="A4669" s="52"/>
    </row>
    <row r="4670" spans="1:1" x14ac:dyDescent="0.2">
      <c r="A4670" s="52"/>
    </row>
    <row r="4671" spans="1:1" x14ac:dyDescent="0.2">
      <c r="A4671" s="52"/>
    </row>
    <row r="4672" spans="1:1" x14ac:dyDescent="0.2">
      <c r="A4672" s="52"/>
    </row>
    <row r="4673" spans="1:1" x14ac:dyDescent="0.2">
      <c r="A4673" s="52"/>
    </row>
    <row r="4674" spans="1:1" x14ac:dyDescent="0.2">
      <c r="A4674" s="52"/>
    </row>
    <row r="4675" spans="1:1" x14ac:dyDescent="0.2">
      <c r="A4675" s="52"/>
    </row>
    <row r="4676" spans="1:1" x14ac:dyDescent="0.2">
      <c r="A4676" s="52"/>
    </row>
    <row r="4677" spans="1:1" x14ac:dyDescent="0.2">
      <c r="A4677" s="52"/>
    </row>
    <row r="4678" spans="1:1" x14ac:dyDescent="0.2">
      <c r="A4678" s="52"/>
    </row>
    <row r="4679" spans="1:1" x14ac:dyDescent="0.2">
      <c r="A4679" s="52"/>
    </row>
    <row r="4680" spans="1:1" x14ac:dyDescent="0.2">
      <c r="A4680" s="52"/>
    </row>
    <row r="4681" spans="1:1" x14ac:dyDescent="0.2">
      <c r="A4681" s="53"/>
    </row>
    <row r="4682" spans="1:1" x14ac:dyDescent="0.2">
      <c r="A4682" s="52"/>
    </row>
    <row r="4683" spans="1:1" x14ac:dyDescent="0.2">
      <c r="A4683" s="52"/>
    </row>
    <row r="4684" spans="1:1" x14ac:dyDescent="0.2">
      <c r="A4684" s="52"/>
    </row>
    <row r="4685" spans="1:1" x14ac:dyDescent="0.2">
      <c r="A4685" s="52"/>
    </row>
    <row r="4686" spans="1:1" x14ac:dyDescent="0.2">
      <c r="A4686" s="52"/>
    </row>
    <row r="4687" spans="1:1" x14ac:dyDescent="0.2">
      <c r="A4687" s="52"/>
    </row>
    <row r="4688" spans="1:1" x14ac:dyDescent="0.2">
      <c r="A4688" s="52"/>
    </row>
    <row r="4689" spans="1:1" x14ac:dyDescent="0.2">
      <c r="A4689" s="52"/>
    </row>
    <row r="4690" spans="1:1" x14ac:dyDescent="0.2">
      <c r="A4690" s="52"/>
    </row>
    <row r="4691" spans="1:1" x14ac:dyDescent="0.2">
      <c r="A4691" s="52"/>
    </row>
    <row r="4692" spans="1:1" x14ac:dyDescent="0.2">
      <c r="A4692" s="52"/>
    </row>
    <row r="4693" spans="1:1" x14ac:dyDescent="0.2">
      <c r="A4693" s="52"/>
    </row>
    <row r="4694" spans="1:1" x14ac:dyDescent="0.2">
      <c r="A4694" s="52"/>
    </row>
    <row r="4695" spans="1:1" x14ac:dyDescent="0.2">
      <c r="A4695" s="52"/>
    </row>
    <row r="4696" spans="1:1" x14ac:dyDescent="0.2">
      <c r="A4696" s="52"/>
    </row>
    <row r="4697" spans="1:1" x14ac:dyDescent="0.2">
      <c r="A4697" s="52"/>
    </row>
    <row r="4698" spans="1:1" x14ac:dyDescent="0.2">
      <c r="A4698" s="52"/>
    </row>
    <row r="4699" spans="1:1" x14ac:dyDescent="0.2">
      <c r="A4699" s="53"/>
    </row>
    <row r="4700" spans="1:1" x14ac:dyDescent="0.2">
      <c r="A4700" s="52"/>
    </row>
    <row r="4701" spans="1:1" x14ac:dyDescent="0.2">
      <c r="A4701" s="52"/>
    </row>
    <row r="4702" spans="1:1" x14ac:dyDescent="0.2">
      <c r="A4702" s="53"/>
    </row>
    <row r="4703" spans="1:1" x14ac:dyDescent="0.2">
      <c r="A4703" s="52"/>
    </row>
    <row r="4704" spans="1:1" x14ac:dyDescent="0.2">
      <c r="A4704" s="52"/>
    </row>
    <row r="4705" spans="1:1" x14ac:dyDescent="0.2">
      <c r="A4705" s="52"/>
    </row>
    <row r="4706" spans="1:1" x14ac:dyDescent="0.2">
      <c r="A4706" s="52"/>
    </row>
    <row r="4707" spans="1:1" x14ac:dyDescent="0.2">
      <c r="A4707" s="52"/>
    </row>
    <row r="4708" spans="1:1" x14ac:dyDescent="0.2">
      <c r="A4708" s="52"/>
    </row>
    <row r="4709" spans="1:1" x14ac:dyDescent="0.2">
      <c r="A4709" s="52"/>
    </row>
    <row r="4710" spans="1:1" x14ac:dyDescent="0.2">
      <c r="A4710" s="53"/>
    </row>
    <row r="4711" spans="1:1" x14ac:dyDescent="0.2">
      <c r="A4711" s="52"/>
    </row>
    <row r="4712" spans="1:1" x14ac:dyDescent="0.2">
      <c r="A4712" s="52"/>
    </row>
    <row r="4713" spans="1:1" x14ac:dyDescent="0.2">
      <c r="A4713" s="52"/>
    </row>
    <row r="4714" spans="1:1" x14ac:dyDescent="0.2">
      <c r="A4714" s="52"/>
    </row>
    <row r="4715" spans="1:1" x14ac:dyDescent="0.2">
      <c r="A4715" s="52"/>
    </row>
    <row r="4716" spans="1:1" x14ac:dyDescent="0.2">
      <c r="A4716" s="52"/>
    </row>
    <row r="4717" spans="1:1" x14ac:dyDescent="0.2">
      <c r="A4717" s="52"/>
    </row>
    <row r="4718" spans="1:1" x14ac:dyDescent="0.2">
      <c r="A4718" s="52"/>
    </row>
    <row r="4719" spans="1:1" x14ac:dyDescent="0.2">
      <c r="A4719" s="52"/>
    </row>
    <row r="4720" spans="1:1" x14ac:dyDescent="0.2">
      <c r="A4720" s="52"/>
    </row>
    <row r="4721" spans="1:1" x14ac:dyDescent="0.2">
      <c r="A4721" s="52"/>
    </row>
    <row r="4722" spans="1:1" x14ac:dyDescent="0.2">
      <c r="A4722" s="52"/>
    </row>
    <row r="4723" spans="1:1" x14ac:dyDescent="0.2">
      <c r="A4723" s="52"/>
    </row>
    <row r="4724" spans="1:1" x14ac:dyDescent="0.2">
      <c r="A4724" s="52"/>
    </row>
    <row r="4725" spans="1:1" x14ac:dyDescent="0.2">
      <c r="A4725" s="52"/>
    </row>
    <row r="4726" spans="1:1" x14ac:dyDescent="0.2">
      <c r="A4726" s="52"/>
    </row>
    <row r="4727" spans="1:1" x14ac:dyDescent="0.2">
      <c r="A4727" s="52"/>
    </row>
    <row r="4728" spans="1:1" x14ac:dyDescent="0.2">
      <c r="A4728" s="52"/>
    </row>
    <row r="4729" spans="1:1" x14ac:dyDescent="0.2">
      <c r="A4729" s="52"/>
    </row>
    <row r="4730" spans="1:1" x14ac:dyDescent="0.2">
      <c r="A4730" s="52"/>
    </row>
    <row r="4731" spans="1:1" x14ac:dyDescent="0.2">
      <c r="A4731" s="52"/>
    </row>
    <row r="4732" spans="1:1" x14ac:dyDescent="0.2">
      <c r="A4732" s="52"/>
    </row>
    <row r="4733" spans="1:1" x14ac:dyDescent="0.2">
      <c r="A4733" s="52"/>
    </row>
    <row r="4734" spans="1:1" x14ac:dyDescent="0.2">
      <c r="A4734" s="52"/>
    </row>
    <row r="4735" spans="1:1" x14ac:dyDescent="0.2">
      <c r="A4735" s="52"/>
    </row>
    <row r="4736" spans="1:1" x14ac:dyDescent="0.2">
      <c r="A4736" s="52"/>
    </row>
    <row r="4737" spans="1:1" x14ac:dyDescent="0.2">
      <c r="A4737" s="52"/>
    </row>
    <row r="4738" spans="1:1" x14ac:dyDescent="0.2">
      <c r="A4738" s="52"/>
    </row>
    <row r="4739" spans="1:1" x14ac:dyDescent="0.2">
      <c r="A4739" s="52"/>
    </row>
    <row r="4740" spans="1:1" x14ac:dyDescent="0.2">
      <c r="A4740" s="53"/>
    </row>
    <row r="4741" spans="1:1" x14ac:dyDescent="0.2">
      <c r="A4741" s="52"/>
    </row>
    <row r="4742" spans="1:1" x14ac:dyDescent="0.2">
      <c r="A4742" s="52"/>
    </row>
    <row r="4743" spans="1:1" x14ac:dyDescent="0.2">
      <c r="A4743" s="52"/>
    </row>
    <row r="4744" spans="1:1" x14ac:dyDescent="0.2">
      <c r="A4744" s="52"/>
    </row>
    <row r="4745" spans="1:1" x14ac:dyDescent="0.2">
      <c r="A4745" s="52"/>
    </row>
    <row r="4746" spans="1:1" x14ac:dyDescent="0.2">
      <c r="A4746" s="52"/>
    </row>
    <row r="4747" spans="1:1" x14ac:dyDescent="0.2">
      <c r="A4747" s="52"/>
    </row>
    <row r="4748" spans="1:1" x14ac:dyDescent="0.2">
      <c r="A4748" s="52"/>
    </row>
    <row r="4749" spans="1:1" x14ac:dyDescent="0.2">
      <c r="A4749" s="52"/>
    </row>
    <row r="4750" spans="1:1" x14ac:dyDescent="0.2">
      <c r="A4750" s="52"/>
    </row>
    <row r="4751" spans="1:1" x14ac:dyDescent="0.2">
      <c r="A4751" s="52"/>
    </row>
    <row r="4752" spans="1:1" x14ac:dyDescent="0.2">
      <c r="A4752" s="52"/>
    </row>
    <row r="4753" spans="1:1" x14ac:dyDescent="0.2">
      <c r="A4753" s="52"/>
    </row>
    <row r="4754" spans="1:1" x14ac:dyDescent="0.2">
      <c r="A4754" s="52"/>
    </row>
    <row r="4755" spans="1:1" x14ac:dyDescent="0.2">
      <c r="A4755" s="53"/>
    </row>
    <row r="4756" spans="1:1" x14ac:dyDescent="0.2">
      <c r="A4756" s="52"/>
    </row>
    <row r="4757" spans="1:1" x14ac:dyDescent="0.2">
      <c r="A4757" s="52"/>
    </row>
    <row r="4758" spans="1:1" x14ac:dyDescent="0.2">
      <c r="A4758" s="52"/>
    </row>
    <row r="4759" spans="1:1" x14ac:dyDescent="0.2">
      <c r="A4759" s="52"/>
    </row>
    <row r="4760" spans="1:1" x14ac:dyDescent="0.2">
      <c r="A4760" s="52"/>
    </row>
    <row r="4761" spans="1:1" x14ac:dyDescent="0.2">
      <c r="A4761" s="52"/>
    </row>
    <row r="4762" spans="1:1" x14ac:dyDescent="0.2">
      <c r="A4762" s="52"/>
    </row>
    <row r="4763" spans="1:1" x14ac:dyDescent="0.2">
      <c r="A4763" s="52"/>
    </row>
    <row r="4764" spans="1:1" x14ac:dyDescent="0.2">
      <c r="A4764" s="52"/>
    </row>
    <row r="4765" spans="1:1" x14ac:dyDescent="0.2">
      <c r="A4765" s="52"/>
    </row>
    <row r="4766" spans="1:1" x14ac:dyDescent="0.2">
      <c r="A4766" s="52"/>
    </row>
    <row r="4767" spans="1:1" x14ac:dyDescent="0.2">
      <c r="A4767" s="52"/>
    </row>
    <row r="4768" spans="1:1" x14ac:dyDescent="0.2">
      <c r="A4768" s="52"/>
    </row>
    <row r="4769" spans="1:1" x14ac:dyDescent="0.2">
      <c r="A4769" s="52"/>
    </row>
    <row r="4770" spans="1:1" x14ac:dyDescent="0.2">
      <c r="A4770" s="52"/>
    </row>
    <row r="4771" spans="1:1" x14ac:dyDescent="0.2">
      <c r="A4771" s="52"/>
    </row>
    <row r="4772" spans="1:1" x14ac:dyDescent="0.2">
      <c r="A4772" s="52"/>
    </row>
    <row r="4773" spans="1:1" x14ac:dyDescent="0.2">
      <c r="A4773" s="53"/>
    </row>
    <row r="4774" spans="1:1" x14ac:dyDescent="0.2">
      <c r="A4774" s="52"/>
    </row>
    <row r="4775" spans="1:1" x14ac:dyDescent="0.2">
      <c r="A4775" s="52"/>
    </row>
    <row r="4776" spans="1:1" x14ac:dyDescent="0.2">
      <c r="A4776" s="53"/>
    </row>
    <row r="4777" spans="1:1" x14ac:dyDescent="0.2">
      <c r="A4777" s="52"/>
    </row>
    <row r="4778" spans="1:1" x14ac:dyDescent="0.2">
      <c r="A4778" s="52"/>
    </row>
    <row r="4779" spans="1:1" x14ac:dyDescent="0.2">
      <c r="A4779" s="52"/>
    </row>
    <row r="4780" spans="1:1" x14ac:dyDescent="0.2">
      <c r="A4780" s="53"/>
    </row>
    <row r="4781" spans="1:1" x14ac:dyDescent="0.2">
      <c r="A4781" s="52"/>
    </row>
    <row r="4782" spans="1:1" x14ac:dyDescent="0.2">
      <c r="A4782" s="52"/>
    </row>
    <row r="4783" spans="1:1" x14ac:dyDescent="0.2">
      <c r="A4783" s="52"/>
    </row>
    <row r="4784" spans="1:1" x14ac:dyDescent="0.2">
      <c r="A4784" s="52"/>
    </row>
    <row r="4785" spans="1:1" x14ac:dyDescent="0.2">
      <c r="A4785" s="52"/>
    </row>
    <row r="4786" spans="1:1" x14ac:dyDescent="0.2">
      <c r="A4786" s="52"/>
    </row>
    <row r="4787" spans="1:1" x14ac:dyDescent="0.2">
      <c r="A4787" s="52"/>
    </row>
    <row r="4788" spans="1:1" x14ac:dyDescent="0.2">
      <c r="A4788" s="52"/>
    </row>
    <row r="4789" spans="1:1" x14ac:dyDescent="0.2">
      <c r="A4789" s="52"/>
    </row>
    <row r="4790" spans="1:1" x14ac:dyDescent="0.2">
      <c r="A4790" s="52"/>
    </row>
    <row r="4791" spans="1:1" x14ac:dyDescent="0.2">
      <c r="A4791" s="52"/>
    </row>
    <row r="4792" spans="1:1" x14ac:dyDescent="0.2">
      <c r="A4792" s="53"/>
    </row>
    <row r="4793" spans="1:1" x14ac:dyDescent="0.2">
      <c r="A4793" s="52"/>
    </row>
    <row r="4794" spans="1:1" x14ac:dyDescent="0.2">
      <c r="A4794" s="52"/>
    </row>
    <row r="4795" spans="1:1" x14ac:dyDescent="0.2">
      <c r="A4795" s="52"/>
    </row>
    <row r="4796" spans="1:1" x14ac:dyDescent="0.2">
      <c r="A4796" s="52"/>
    </row>
    <row r="4797" spans="1:1" x14ac:dyDescent="0.2">
      <c r="A4797" s="52"/>
    </row>
    <row r="4798" spans="1:1" x14ac:dyDescent="0.2">
      <c r="A4798" s="52"/>
    </row>
    <row r="4799" spans="1:1" x14ac:dyDescent="0.2">
      <c r="A4799" s="52"/>
    </row>
    <row r="4800" spans="1:1" x14ac:dyDescent="0.2">
      <c r="A4800" s="52"/>
    </row>
    <row r="4801" spans="1:1" x14ac:dyDescent="0.2">
      <c r="A4801" s="52"/>
    </row>
    <row r="4802" spans="1:1" x14ac:dyDescent="0.2">
      <c r="A4802" s="52"/>
    </row>
    <row r="4803" spans="1:1" x14ac:dyDescent="0.2">
      <c r="A4803" s="52"/>
    </row>
    <row r="4804" spans="1:1" x14ac:dyDescent="0.2">
      <c r="A4804" s="52"/>
    </row>
    <row r="4805" spans="1:1" x14ac:dyDescent="0.2">
      <c r="A4805" s="52"/>
    </row>
    <row r="4806" spans="1:1" x14ac:dyDescent="0.2">
      <c r="A4806" s="52"/>
    </row>
    <row r="4807" spans="1:1" x14ac:dyDescent="0.2">
      <c r="A4807" s="52"/>
    </row>
    <row r="4808" spans="1:1" x14ac:dyDescent="0.2">
      <c r="A4808" s="53"/>
    </row>
    <row r="4809" spans="1:1" x14ac:dyDescent="0.2">
      <c r="A4809" s="52"/>
    </row>
    <row r="4810" spans="1:1" x14ac:dyDescent="0.2">
      <c r="A4810" s="52"/>
    </row>
    <row r="4811" spans="1:1" x14ac:dyDescent="0.2">
      <c r="A4811" s="52"/>
    </row>
    <row r="4812" spans="1:1" x14ac:dyDescent="0.2">
      <c r="A4812" s="52"/>
    </row>
    <row r="4813" spans="1:1" x14ac:dyDescent="0.2">
      <c r="A4813" s="52"/>
    </row>
    <row r="4814" spans="1:1" x14ac:dyDescent="0.2">
      <c r="A4814" s="52"/>
    </row>
    <row r="4815" spans="1:1" x14ac:dyDescent="0.2">
      <c r="A4815" s="52"/>
    </row>
    <row r="4816" spans="1:1" x14ac:dyDescent="0.2">
      <c r="A4816" s="52"/>
    </row>
    <row r="4817" spans="1:1" x14ac:dyDescent="0.2">
      <c r="A4817" s="52"/>
    </row>
    <row r="4818" spans="1:1" x14ac:dyDescent="0.2">
      <c r="A4818" s="52"/>
    </row>
    <row r="4819" spans="1:1" x14ac:dyDescent="0.2">
      <c r="A4819" s="52"/>
    </row>
    <row r="4820" spans="1:1" x14ac:dyDescent="0.2">
      <c r="A4820" s="52"/>
    </row>
    <row r="4821" spans="1:1" x14ac:dyDescent="0.2">
      <c r="A4821" s="52"/>
    </row>
    <row r="4822" spans="1:1" x14ac:dyDescent="0.2">
      <c r="A4822" s="52"/>
    </row>
    <row r="4823" spans="1:1" x14ac:dyDescent="0.2">
      <c r="A4823" s="52"/>
    </row>
    <row r="4824" spans="1:1" x14ac:dyDescent="0.2">
      <c r="A4824" s="52"/>
    </row>
    <row r="4825" spans="1:1" x14ac:dyDescent="0.2">
      <c r="A4825" s="52"/>
    </row>
    <row r="4826" spans="1:1" x14ac:dyDescent="0.2">
      <c r="A4826" s="52"/>
    </row>
    <row r="4827" spans="1:1" x14ac:dyDescent="0.2">
      <c r="A4827" s="52"/>
    </row>
    <row r="4828" spans="1:1" x14ac:dyDescent="0.2">
      <c r="A4828" s="52"/>
    </row>
    <row r="4829" spans="1:1" x14ac:dyDescent="0.2">
      <c r="A4829" s="52"/>
    </row>
    <row r="4830" spans="1:1" x14ac:dyDescent="0.2">
      <c r="A4830" s="52"/>
    </row>
    <row r="4831" spans="1:1" x14ac:dyDescent="0.2">
      <c r="A4831" s="52"/>
    </row>
    <row r="4832" spans="1:1" x14ac:dyDescent="0.2">
      <c r="A4832" s="52"/>
    </row>
    <row r="4833" spans="1:1" x14ac:dyDescent="0.2">
      <c r="A4833" s="52"/>
    </row>
    <row r="4834" spans="1:1" x14ac:dyDescent="0.2">
      <c r="A4834" s="52"/>
    </row>
    <row r="4835" spans="1:1" x14ac:dyDescent="0.2">
      <c r="A4835" s="52"/>
    </row>
    <row r="4836" spans="1:1" x14ac:dyDescent="0.2">
      <c r="A4836" s="52"/>
    </row>
    <row r="4837" spans="1:1" x14ac:dyDescent="0.2">
      <c r="A4837" s="52"/>
    </row>
    <row r="4838" spans="1:1" x14ac:dyDescent="0.2">
      <c r="A4838" s="52"/>
    </row>
    <row r="4839" spans="1:1" x14ac:dyDescent="0.2">
      <c r="A4839" s="53"/>
    </row>
    <row r="4840" spans="1:1" x14ac:dyDescent="0.2">
      <c r="A4840" s="52"/>
    </row>
    <row r="4841" spans="1:1" x14ac:dyDescent="0.2">
      <c r="A4841" s="52"/>
    </row>
    <row r="4842" spans="1:1" x14ac:dyDescent="0.2">
      <c r="A4842" s="52"/>
    </row>
    <row r="4843" spans="1:1" x14ac:dyDescent="0.2">
      <c r="A4843" s="53"/>
    </row>
    <row r="4844" spans="1:1" x14ac:dyDescent="0.2">
      <c r="A4844" s="53"/>
    </row>
    <row r="4845" spans="1:1" x14ac:dyDescent="0.2">
      <c r="A4845" s="52"/>
    </row>
    <row r="4846" spans="1:1" x14ac:dyDescent="0.2">
      <c r="A4846" s="52"/>
    </row>
    <row r="4847" spans="1:1" x14ac:dyDescent="0.2">
      <c r="A4847" s="52"/>
    </row>
    <row r="4848" spans="1:1" x14ac:dyDescent="0.2">
      <c r="A4848" s="52"/>
    </row>
    <row r="4849" spans="1:1" x14ac:dyDescent="0.2">
      <c r="A4849" s="52"/>
    </row>
    <row r="4850" spans="1:1" x14ac:dyDescent="0.2">
      <c r="A4850" s="52"/>
    </row>
    <row r="4851" spans="1:1" x14ac:dyDescent="0.2">
      <c r="A4851" s="52"/>
    </row>
    <row r="4852" spans="1:1" x14ac:dyDescent="0.2">
      <c r="A4852" s="52"/>
    </row>
    <row r="4853" spans="1:1" x14ac:dyDescent="0.2">
      <c r="A4853" s="53"/>
    </row>
    <row r="4854" spans="1:1" x14ac:dyDescent="0.2">
      <c r="A4854" s="52"/>
    </row>
    <row r="4855" spans="1:1" x14ac:dyDescent="0.2">
      <c r="A4855" s="52"/>
    </row>
    <row r="4856" spans="1:1" x14ac:dyDescent="0.2">
      <c r="A4856" s="52"/>
    </row>
    <row r="4857" spans="1:1" x14ac:dyDescent="0.2">
      <c r="A4857" s="52"/>
    </row>
    <row r="4858" spans="1:1" x14ac:dyDescent="0.2">
      <c r="A4858" s="52"/>
    </row>
    <row r="4859" spans="1:1" x14ac:dyDescent="0.2">
      <c r="A4859" s="52"/>
    </row>
    <row r="4860" spans="1:1" x14ac:dyDescent="0.2">
      <c r="A4860" s="52"/>
    </row>
    <row r="4861" spans="1:1" x14ac:dyDescent="0.2">
      <c r="A4861" s="52"/>
    </row>
    <row r="4862" spans="1:1" x14ac:dyDescent="0.2">
      <c r="A4862" s="52"/>
    </row>
    <row r="4863" spans="1:1" x14ac:dyDescent="0.2">
      <c r="A4863" s="52"/>
    </row>
    <row r="4864" spans="1:1" x14ac:dyDescent="0.2">
      <c r="A4864" s="53"/>
    </row>
    <row r="4865" spans="1:1" x14ac:dyDescent="0.2">
      <c r="A4865" s="52"/>
    </row>
    <row r="4866" spans="1:1" x14ac:dyDescent="0.2">
      <c r="A4866" s="52"/>
    </row>
    <row r="4867" spans="1:1" x14ac:dyDescent="0.2">
      <c r="A4867" s="52"/>
    </row>
    <row r="4868" spans="1:1" x14ac:dyDescent="0.2">
      <c r="A4868" s="53"/>
    </row>
    <row r="4869" spans="1:1" x14ac:dyDescent="0.2">
      <c r="A4869" s="52"/>
    </row>
    <row r="4870" spans="1:1" x14ac:dyDescent="0.2">
      <c r="A4870" s="52"/>
    </row>
    <row r="4871" spans="1:1" x14ac:dyDescent="0.2">
      <c r="A4871" s="52"/>
    </row>
    <row r="4872" spans="1:1" x14ac:dyDescent="0.2">
      <c r="A4872" s="52"/>
    </row>
    <row r="4873" spans="1:1" x14ac:dyDescent="0.2">
      <c r="A4873" s="52"/>
    </row>
    <row r="4874" spans="1:1" x14ac:dyDescent="0.2">
      <c r="A4874" s="52"/>
    </row>
    <row r="4875" spans="1:1" x14ac:dyDescent="0.2">
      <c r="A4875" s="53"/>
    </row>
    <row r="4876" spans="1:1" x14ac:dyDescent="0.2">
      <c r="A4876" s="52"/>
    </row>
    <row r="4877" spans="1:1" x14ac:dyDescent="0.2">
      <c r="A4877" s="53"/>
    </row>
    <row r="4878" spans="1:1" x14ac:dyDescent="0.2">
      <c r="A4878" s="52"/>
    </row>
    <row r="4879" spans="1:1" x14ac:dyDescent="0.2">
      <c r="A4879" s="52"/>
    </row>
    <row r="4880" spans="1:1" x14ac:dyDescent="0.2">
      <c r="A4880" s="52"/>
    </row>
    <row r="4881" spans="1:1" x14ac:dyDescent="0.2">
      <c r="A4881" s="52"/>
    </row>
    <row r="4882" spans="1:1" x14ac:dyDescent="0.2">
      <c r="A4882" s="52"/>
    </row>
    <row r="4883" spans="1:1" x14ac:dyDescent="0.2">
      <c r="A4883" s="52"/>
    </row>
    <row r="4884" spans="1:1" x14ac:dyDescent="0.2">
      <c r="A4884" s="52"/>
    </row>
    <row r="4885" spans="1:1" x14ac:dyDescent="0.2">
      <c r="A4885" s="53"/>
    </row>
    <row r="4886" spans="1:1" x14ac:dyDescent="0.2">
      <c r="A4886" s="53"/>
    </row>
    <row r="4887" spans="1:1" x14ac:dyDescent="0.2">
      <c r="A4887" s="53"/>
    </row>
    <row r="4888" spans="1:1" x14ac:dyDescent="0.2">
      <c r="A4888" s="52"/>
    </row>
    <row r="4889" spans="1:1" x14ac:dyDescent="0.2">
      <c r="A4889" s="52"/>
    </row>
    <row r="4890" spans="1:1" x14ac:dyDescent="0.2">
      <c r="A4890" s="53"/>
    </row>
    <row r="4891" spans="1:1" x14ac:dyDescent="0.2">
      <c r="A4891" s="52"/>
    </row>
    <row r="4892" spans="1:1" x14ac:dyDescent="0.2">
      <c r="A4892" s="52"/>
    </row>
    <row r="4893" spans="1:1" x14ac:dyDescent="0.2">
      <c r="A4893" s="52"/>
    </row>
    <row r="4894" spans="1:1" x14ac:dyDescent="0.2">
      <c r="A4894" s="52"/>
    </row>
    <row r="4895" spans="1:1" x14ac:dyDescent="0.2">
      <c r="A4895" s="53"/>
    </row>
    <row r="4896" spans="1:1" x14ac:dyDescent="0.2">
      <c r="A4896" s="52"/>
    </row>
    <row r="4897" spans="1:1" x14ac:dyDescent="0.2">
      <c r="A4897" s="52"/>
    </row>
    <row r="4898" spans="1:1" x14ac:dyDescent="0.2">
      <c r="A4898" s="52"/>
    </row>
    <row r="4899" spans="1:1" x14ac:dyDescent="0.2">
      <c r="A4899" s="52"/>
    </row>
    <row r="4900" spans="1:1" x14ac:dyDescent="0.2">
      <c r="A4900" s="52"/>
    </row>
    <row r="4901" spans="1:1" x14ac:dyDescent="0.2">
      <c r="A4901" s="52"/>
    </row>
    <row r="4902" spans="1:1" x14ac:dyDescent="0.2">
      <c r="A4902" s="52"/>
    </row>
    <row r="4903" spans="1:1" x14ac:dyDescent="0.2">
      <c r="A4903" s="52"/>
    </row>
    <row r="4904" spans="1:1" x14ac:dyDescent="0.2">
      <c r="A4904" s="52"/>
    </row>
    <row r="4905" spans="1:1" x14ac:dyDescent="0.2">
      <c r="A4905" s="52"/>
    </row>
    <row r="4906" spans="1:1" x14ac:dyDescent="0.2">
      <c r="A4906" s="52"/>
    </row>
    <row r="4907" spans="1:1" x14ac:dyDescent="0.2">
      <c r="A4907" s="52"/>
    </row>
    <row r="4908" spans="1:1" x14ac:dyDescent="0.2">
      <c r="A4908" s="52"/>
    </row>
    <row r="4909" spans="1:1" x14ac:dyDescent="0.2">
      <c r="A4909" s="52"/>
    </row>
    <row r="4910" spans="1:1" x14ac:dyDescent="0.2">
      <c r="A4910" s="52"/>
    </row>
    <row r="4911" spans="1:1" x14ac:dyDescent="0.2">
      <c r="A4911" s="52"/>
    </row>
    <row r="4912" spans="1:1" x14ac:dyDescent="0.2">
      <c r="A4912" s="52"/>
    </row>
    <row r="4913" spans="1:1" x14ac:dyDescent="0.2">
      <c r="A4913" s="52"/>
    </row>
    <row r="4914" spans="1:1" x14ac:dyDescent="0.2">
      <c r="A4914" s="52"/>
    </row>
    <row r="4915" spans="1:1" x14ac:dyDescent="0.2">
      <c r="A4915" s="52"/>
    </row>
    <row r="4916" spans="1:1" x14ac:dyDescent="0.2">
      <c r="A4916" s="52"/>
    </row>
    <row r="4917" spans="1:1" x14ac:dyDescent="0.2">
      <c r="A4917" s="52"/>
    </row>
    <row r="4918" spans="1:1" x14ac:dyDescent="0.2">
      <c r="A4918" s="52"/>
    </row>
    <row r="4919" spans="1:1" x14ac:dyDescent="0.2">
      <c r="A4919" s="52"/>
    </row>
    <row r="4920" spans="1:1" x14ac:dyDescent="0.2">
      <c r="A4920" s="52"/>
    </row>
    <row r="4921" spans="1:1" x14ac:dyDescent="0.2">
      <c r="A4921" s="52"/>
    </row>
    <row r="4922" spans="1:1" x14ac:dyDescent="0.2">
      <c r="A4922" s="52"/>
    </row>
    <row r="4923" spans="1:1" x14ac:dyDescent="0.2">
      <c r="A4923" s="52"/>
    </row>
    <row r="4924" spans="1:1" x14ac:dyDescent="0.2">
      <c r="A4924" s="52"/>
    </row>
    <row r="4925" spans="1:1" x14ac:dyDescent="0.2">
      <c r="A4925" s="52"/>
    </row>
    <row r="4926" spans="1:1" x14ac:dyDescent="0.2">
      <c r="A4926" s="52"/>
    </row>
    <row r="4927" spans="1:1" x14ac:dyDescent="0.2">
      <c r="A4927" s="52"/>
    </row>
    <row r="4928" spans="1:1" x14ac:dyDescent="0.2">
      <c r="A4928" s="52"/>
    </row>
    <row r="4929" spans="1:1" x14ac:dyDescent="0.2">
      <c r="A4929" s="52"/>
    </row>
    <row r="4930" spans="1:1" x14ac:dyDescent="0.2">
      <c r="A4930" s="52"/>
    </row>
    <row r="4931" spans="1:1" x14ac:dyDescent="0.2">
      <c r="A4931" s="52"/>
    </row>
    <row r="4932" spans="1:1" x14ac:dyDescent="0.2">
      <c r="A4932" s="52"/>
    </row>
    <row r="4933" spans="1:1" x14ac:dyDescent="0.2">
      <c r="A4933" s="52"/>
    </row>
    <row r="4934" spans="1:1" x14ac:dyDescent="0.2">
      <c r="A4934" s="52"/>
    </row>
    <row r="4935" spans="1:1" x14ac:dyDescent="0.2">
      <c r="A4935" s="53"/>
    </row>
    <row r="4936" spans="1:1" x14ac:dyDescent="0.2">
      <c r="A4936" s="52"/>
    </row>
    <row r="4937" spans="1:1" x14ac:dyDescent="0.2">
      <c r="A4937" s="52"/>
    </row>
    <row r="4938" spans="1:1" x14ac:dyDescent="0.2">
      <c r="A4938" s="52"/>
    </row>
    <row r="4939" spans="1:1" x14ac:dyDescent="0.2">
      <c r="A4939" s="52"/>
    </row>
    <row r="4940" spans="1:1" x14ac:dyDescent="0.2">
      <c r="A4940" s="52"/>
    </row>
    <row r="4941" spans="1:1" x14ac:dyDescent="0.2">
      <c r="A4941" s="52"/>
    </row>
    <row r="4942" spans="1:1" x14ac:dyDescent="0.2">
      <c r="A4942" s="52"/>
    </row>
    <row r="4943" spans="1:1" x14ac:dyDescent="0.2">
      <c r="A4943" s="52"/>
    </row>
    <row r="4944" spans="1:1" x14ac:dyDescent="0.2">
      <c r="A4944" s="52"/>
    </row>
    <row r="4945" spans="1:1" x14ac:dyDescent="0.2">
      <c r="A4945" s="52"/>
    </row>
    <row r="4946" spans="1:1" x14ac:dyDescent="0.2">
      <c r="A4946" s="52"/>
    </row>
    <row r="4947" spans="1:1" x14ac:dyDescent="0.2">
      <c r="A4947" s="52"/>
    </row>
    <row r="4948" spans="1:1" x14ac:dyDescent="0.2">
      <c r="A4948" s="52"/>
    </row>
    <row r="4949" spans="1:1" x14ac:dyDescent="0.2">
      <c r="A4949" s="52"/>
    </row>
    <row r="4950" spans="1:1" x14ac:dyDescent="0.2">
      <c r="A4950" s="52"/>
    </row>
    <row r="4951" spans="1:1" x14ac:dyDescent="0.2">
      <c r="A4951" s="52"/>
    </row>
    <row r="4952" spans="1:1" x14ac:dyDescent="0.2">
      <c r="A4952" s="52"/>
    </row>
    <row r="4953" spans="1:1" x14ac:dyDescent="0.2">
      <c r="A4953" s="52"/>
    </row>
    <row r="4954" spans="1:1" x14ac:dyDescent="0.2">
      <c r="A4954" s="52"/>
    </row>
    <row r="4955" spans="1:1" x14ac:dyDescent="0.2">
      <c r="A4955" s="52"/>
    </row>
    <row r="4956" spans="1:1" x14ac:dyDescent="0.2">
      <c r="A4956" s="52"/>
    </row>
    <row r="4957" spans="1:1" x14ac:dyDescent="0.2">
      <c r="A4957" s="53"/>
    </row>
    <row r="4958" spans="1:1" x14ac:dyDescent="0.2">
      <c r="A4958" s="52"/>
    </row>
    <row r="4959" spans="1:1" x14ac:dyDescent="0.2">
      <c r="A4959" s="52"/>
    </row>
    <row r="4960" spans="1:1" x14ac:dyDescent="0.2">
      <c r="A4960" s="52"/>
    </row>
    <row r="4961" spans="1:1" x14ac:dyDescent="0.2">
      <c r="A4961" s="52"/>
    </row>
    <row r="4962" spans="1:1" x14ac:dyDescent="0.2">
      <c r="A4962" s="52"/>
    </row>
    <row r="4963" spans="1:1" x14ac:dyDescent="0.2">
      <c r="A4963" s="52"/>
    </row>
    <row r="4964" spans="1:1" x14ac:dyDescent="0.2">
      <c r="A4964" s="52"/>
    </row>
    <row r="4965" spans="1:1" x14ac:dyDescent="0.2">
      <c r="A4965" s="52"/>
    </row>
    <row r="4966" spans="1:1" x14ac:dyDescent="0.2">
      <c r="A4966" s="52"/>
    </row>
    <row r="4967" spans="1:1" x14ac:dyDescent="0.2">
      <c r="A4967" s="52"/>
    </row>
    <row r="4968" spans="1:1" x14ac:dyDescent="0.2">
      <c r="A4968" s="52"/>
    </row>
    <row r="4969" spans="1:1" x14ac:dyDescent="0.2">
      <c r="A4969" s="52"/>
    </row>
    <row r="4970" spans="1:1" x14ac:dyDescent="0.2">
      <c r="A4970" s="52"/>
    </row>
    <row r="4971" spans="1:1" x14ac:dyDescent="0.2">
      <c r="A4971" s="52"/>
    </row>
    <row r="4972" spans="1:1" x14ac:dyDescent="0.2">
      <c r="A4972" s="52"/>
    </row>
    <row r="4973" spans="1:1" x14ac:dyDescent="0.2">
      <c r="A4973" s="53"/>
    </row>
    <row r="4974" spans="1:1" x14ac:dyDescent="0.2">
      <c r="A4974" s="52"/>
    </row>
    <row r="4975" spans="1:1" x14ac:dyDescent="0.2">
      <c r="A4975" s="52"/>
    </row>
    <row r="4976" spans="1:1" x14ac:dyDescent="0.2">
      <c r="A4976" s="52"/>
    </row>
    <row r="4977" spans="1:1" x14ac:dyDescent="0.2">
      <c r="A4977" s="52"/>
    </row>
    <row r="4978" spans="1:1" x14ac:dyDescent="0.2">
      <c r="A4978" s="53"/>
    </row>
    <row r="4979" spans="1:1" x14ac:dyDescent="0.2">
      <c r="A4979" s="52"/>
    </row>
    <row r="4980" spans="1:1" x14ac:dyDescent="0.2">
      <c r="A4980" s="53"/>
    </row>
    <row r="4981" spans="1:1" x14ac:dyDescent="0.2">
      <c r="A4981" s="52"/>
    </row>
    <row r="4982" spans="1:1" x14ac:dyDescent="0.2">
      <c r="A4982" s="52"/>
    </row>
    <row r="4983" spans="1:1" x14ac:dyDescent="0.2">
      <c r="A4983" s="53"/>
    </row>
    <row r="4984" spans="1:1" x14ac:dyDescent="0.2">
      <c r="A4984" s="52"/>
    </row>
    <row r="4985" spans="1:1" x14ac:dyDescent="0.2">
      <c r="A4985" s="53"/>
    </row>
    <row r="4986" spans="1:1" x14ac:dyDescent="0.2">
      <c r="A4986" s="52"/>
    </row>
    <row r="4987" spans="1:1" x14ac:dyDescent="0.2">
      <c r="A4987" s="52"/>
    </row>
    <row r="4988" spans="1:1" x14ac:dyDescent="0.2">
      <c r="A4988" s="52"/>
    </row>
    <row r="4989" spans="1:1" x14ac:dyDescent="0.2">
      <c r="A4989" s="52"/>
    </row>
    <row r="4990" spans="1:1" x14ac:dyDescent="0.2">
      <c r="A4990" s="53"/>
    </row>
    <row r="4991" spans="1:1" x14ac:dyDescent="0.2">
      <c r="A4991" s="52"/>
    </row>
    <row r="4992" spans="1:1" x14ac:dyDescent="0.2">
      <c r="A4992" s="52"/>
    </row>
    <row r="4993" spans="1:1" x14ac:dyDescent="0.2">
      <c r="A4993" s="52"/>
    </row>
    <row r="4994" spans="1:1" x14ac:dyDescent="0.2">
      <c r="A4994" s="53"/>
    </row>
    <row r="4995" spans="1:1" x14ac:dyDescent="0.2">
      <c r="A4995" s="52"/>
    </row>
    <row r="4996" spans="1:1" x14ac:dyDescent="0.2">
      <c r="A4996" s="52"/>
    </row>
    <row r="4997" spans="1:1" x14ac:dyDescent="0.2">
      <c r="A4997" s="52"/>
    </row>
    <row r="4998" spans="1:1" x14ac:dyDescent="0.2">
      <c r="A4998" s="52"/>
    </row>
    <row r="4999" spans="1:1" x14ac:dyDescent="0.2">
      <c r="A4999" s="52"/>
    </row>
    <row r="5000" spans="1:1" x14ac:dyDescent="0.2">
      <c r="A5000" s="52"/>
    </row>
    <row r="5001" spans="1:1" x14ac:dyDescent="0.2">
      <c r="A5001" s="52"/>
    </row>
    <row r="5002" spans="1:1" x14ac:dyDescent="0.2">
      <c r="A5002" s="52"/>
    </row>
    <row r="5003" spans="1:1" x14ac:dyDescent="0.2">
      <c r="A5003" s="52"/>
    </row>
    <row r="5004" spans="1:1" x14ac:dyDescent="0.2">
      <c r="A5004" s="52"/>
    </row>
    <row r="5005" spans="1:1" x14ac:dyDescent="0.2">
      <c r="A5005" s="52"/>
    </row>
    <row r="5006" spans="1:1" x14ac:dyDescent="0.2">
      <c r="A5006" s="53"/>
    </row>
    <row r="5007" spans="1:1" x14ac:dyDescent="0.2">
      <c r="A5007" s="52"/>
    </row>
    <row r="5008" spans="1:1" x14ac:dyDescent="0.2">
      <c r="A5008" s="52"/>
    </row>
    <row r="5009" spans="1:1" x14ac:dyDescent="0.2">
      <c r="A5009" s="52"/>
    </row>
    <row r="5010" spans="1:1" x14ac:dyDescent="0.2">
      <c r="A5010" s="52"/>
    </row>
    <row r="5011" spans="1:1" x14ac:dyDescent="0.2">
      <c r="A5011" s="52"/>
    </row>
    <row r="5012" spans="1:1" x14ac:dyDescent="0.2">
      <c r="A5012" s="52"/>
    </row>
    <row r="5013" spans="1:1" x14ac:dyDescent="0.2">
      <c r="A5013" s="52"/>
    </row>
    <row r="5014" spans="1:1" x14ac:dyDescent="0.2">
      <c r="A5014" s="53"/>
    </row>
    <row r="5015" spans="1:1" x14ac:dyDescent="0.2">
      <c r="A5015" s="52"/>
    </row>
    <row r="5016" spans="1:1" x14ac:dyDescent="0.2">
      <c r="A5016" s="52"/>
    </row>
    <row r="5017" spans="1:1" x14ac:dyDescent="0.2">
      <c r="A5017" s="52"/>
    </row>
    <row r="5018" spans="1:1" x14ac:dyDescent="0.2">
      <c r="A5018" s="52"/>
    </row>
    <row r="5019" spans="1:1" x14ac:dyDescent="0.2">
      <c r="A5019" s="52"/>
    </row>
    <row r="5020" spans="1:1" x14ac:dyDescent="0.2">
      <c r="A5020" s="52"/>
    </row>
    <row r="5021" spans="1:1" x14ac:dyDescent="0.2">
      <c r="A5021" s="52"/>
    </row>
    <row r="5022" spans="1:1" x14ac:dyDescent="0.2">
      <c r="A5022" s="52"/>
    </row>
    <row r="5023" spans="1:1" x14ac:dyDescent="0.2">
      <c r="A5023" s="52"/>
    </row>
    <row r="5024" spans="1:1" x14ac:dyDescent="0.2">
      <c r="A5024" s="52"/>
    </row>
    <row r="5025" spans="1:1" x14ac:dyDescent="0.2">
      <c r="A5025" s="52"/>
    </row>
    <row r="5026" spans="1:1" x14ac:dyDescent="0.2">
      <c r="A5026" s="52"/>
    </row>
    <row r="5027" spans="1:1" x14ac:dyDescent="0.2">
      <c r="A5027" s="52"/>
    </row>
    <row r="5028" spans="1:1" x14ac:dyDescent="0.2">
      <c r="A5028" s="52"/>
    </row>
    <row r="5029" spans="1:1" x14ac:dyDescent="0.2">
      <c r="A5029" s="52"/>
    </row>
    <row r="5030" spans="1:1" x14ac:dyDescent="0.2">
      <c r="A5030" s="52"/>
    </row>
    <row r="5031" spans="1:1" x14ac:dyDescent="0.2">
      <c r="A5031" s="52"/>
    </row>
    <row r="5032" spans="1:1" x14ac:dyDescent="0.2">
      <c r="A5032" s="52"/>
    </row>
    <row r="5033" spans="1:1" x14ac:dyDescent="0.2">
      <c r="A5033" s="52"/>
    </row>
    <row r="5034" spans="1:1" x14ac:dyDescent="0.2">
      <c r="A5034" s="52"/>
    </row>
    <row r="5035" spans="1:1" x14ac:dyDescent="0.2">
      <c r="A5035" s="52"/>
    </row>
    <row r="5036" spans="1:1" x14ac:dyDescent="0.2">
      <c r="A5036" s="52"/>
    </row>
    <row r="5037" spans="1:1" x14ac:dyDescent="0.2">
      <c r="A5037" s="52"/>
    </row>
    <row r="5038" spans="1:1" x14ac:dyDescent="0.2">
      <c r="A5038" s="52"/>
    </row>
    <row r="5039" spans="1:1" x14ac:dyDescent="0.2">
      <c r="A5039" s="52"/>
    </row>
    <row r="5040" spans="1:1" x14ac:dyDescent="0.2">
      <c r="A5040" s="52"/>
    </row>
    <row r="5041" spans="1:1" x14ac:dyDescent="0.2">
      <c r="A5041" s="52"/>
    </row>
    <row r="5042" spans="1:1" x14ac:dyDescent="0.2">
      <c r="A5042" s="52"/>
    </row>
    <row r="5043" spans="1:1" x14ac:dyDescent="0.2">
      <c r="A5043" s="53"/>
    </row>
    <row r="5044" spans="1:1" x14ac:dyDescent="0.2">
      <c r="A5044" s="52"/>
    </row>
    <row r="5045" spans="1:1" x14ac:dyDescent="0.2">
      <c r="A5045" s="52"/>
    </row>
    <row r="5046" spans="1:1" x14ac:dyDescent="0.2">
      <c r="A5046" s="52"/>
    </row>
    <row r="5047" spans="1:1" x14ac:dyDescent="0.2">
      <c r="A5047" s="52"/>
    </row>
    <row r="5048" spans="1:1" x14ac:dyDescent="0.2">
      <c r="A5048" s="52"/>
    </row>
    <row r="5049" spans="1:1" x14ac:dyDescent="0.2">
      <c r="A5049" s="52"/>
    </row>
    <row r="5050" spans="1:1" x14ac:dyDescent="0.2">
      <c r="A5050" s="52"/>
    </row>
    <row r="5051" spans="1:1" x14ac:dyDescent="0.2">
      <c r="A5051" s="52"/>
    </row>
    <row r="5052" spans="1:1" x14ac:dyDescent="0.2">
      <c r="A5052" s="52"/>
    </row>
    <row r="5053" spans="1:1" x14ac:dyDescent="0.2">
      <c r="A5053" s="52"/>
    </row>
    <row r="5054" spans="1:1" x14ac:dyDescent="0.2">
      <c r="A5054" s="52"/>
    </row>
    <row r="5055" spans="1:1" x14ac:dyDescent="0.2">
      <c r="A5055" s="52"/>
    </row>
    <row r="5056" spans="1:1" x14ac:dyDescent="0.2">
      <c r="A5056" s="52"/>
    </row>
    <row r="5057" spans="1:1" x14ac:dyDescent="0.2">
      <c r="A5057" s="52"/>
    </row>
    <row r="5058" spans="1:1" x14ac:dyDescent="0.2">
      <c r="A5058" s="52"/>
    </row>
    <row r="5059" spans="1:1" x14ac:dyDescent="0.2">
      <c r="A5059" s="52"/>
    </row>
    <row r="5060" spans="1:1" x14ac:dyDescent="0.2">
      <c r="A5060" s="52"/>
    </row>
    <row r="5061" spans="1:1" x14ac:dyDescent="0.2">
      <c r="A5061" s="52"/>
    </row>
    <row r="5062" spans="1:1" x14ac:dyDescent="0.2">
      <c r="A5062" s="52"/>
    </row>
    <row r="5063" spans="1:1" x14ac:dyDescent="0.2">
      <c r="A5063" s="52"/>
    </row>
    <row r="5064" spans="1:1" x14ac:dyDescent="0.2">
      <c r="A5064" s="52"/>
    </row>
    <row r="5065" spans="1:1" x14ac:dyDescent="0.2">
      <c r="A5065" s="52"/>
    </row>
    <row r="5066" spans="1:1" x14ac:dyDescent="0.2">
      <c r="A5066" s="52"/>
    </row>
    <row r="5067" spans="1:1" x14ac:dyDescent="0.2">
      <c r="A5067" s="52"/>
    </row>
    <row r="5068" spans="1:1" x14ac:dyDescent="0.2">
      <c r="A5068" s="52"/>
    </row>
    <row r="5069" spans="1:1" x14ac:dyDescent="0.2">
      <c r="A5069" s="52"/>
    </row>
    <row r="5070" spans="1:1" x14ac:dyDescent="0.2">
      <c r="A5070" s="52"/>
    </row>
    <row r="5071" spans="1:1" x14ac:dyDescent="0.2">
      <c r="A5071" s="52"/>
    </row>
    <row r="5072" spans="1:1" x14ac:dyDescent="0.2">
      <c r="A5072" s="52"/>
    </row>
    <row r="5073" spans="1:1" x14ac:dyDescent="0.2">
      <c r="A5073" s="52"/>
    </row>
    <row r="5074" spans="1:1" x14ac:dyDescent="0.2">
      <c r="A5074" s="52"/>
    </row>
    <row r="5075" spans="1:1" x14ac:dyDescent="0.2">
      <c r="A5075" s="52"/>
    </row>
    <row r="5076" spans="1:1" x14ac:dyDescent="0.2">
      <c r="A5076" s="52"/>
    </row>
    <row r="5077" spans="1:1" x14ac:dyDescent="0.2">
      <c r="A5077" s="52"/>
    </row>
    <row r="5078" spans="1:1" x14ac:dyDescent="0.2">
      <c r="A5078" s="52"/>
    </row>
    <row r="5079" spans="1:1" x14ac:dyDescent="0.2">
      <c r="A5079" s="52"/>
    </row>
    <row r="5080" spans="1:1" x14ac:dyDescent="0.2">
      <c r="A5080" s="52"/>
    </row>
    <row r="5081" spans="1:1" x14ac:dyDescent="0.2">
      <c r="A5081" s="52"/>
    </row>
    <row r="5082" spans="1:1" x14ac:dyDescent="0.2">
      <c r="A5082" s="52"/>
    </row>
    <row r="5083" spans="1:1" x14ac:dyDescent="0.2">
      <c r="A5083" s="52"/>
    </row>
    <row r="5084" spans="1:1" x14ac:dyDescent="0.2">
      <c r="A5084" s="52"/>
    </row>
    <row r="5085" spans="1:1" x14ac:dyDescent="0.2">
      <c r="A5085" s="52"/>
    </row>
    <row r="5086" spans="1:1" x14ac:dyDescent="0.2">
      <c r="A5086" s="52"/>
    </row>
    <row r="5087" spans="1:1" x14ac:dyDescent="0.2">
      <c r="A5087" s="52"/>
    </row>
    <row r="5088" spans="1:1" x14ac:dyDescent="0.2">
      <c r="A5088" s="52"/>
    </row>
    <row r="5089" spans="1:1" x14ac:dyDescent="0.2">
      <c r="A5089" s="52"/>
    </row>
    <row r="5090" spans="1:1" x14ac:dyDescent="0.2">
      <c r="A5090" s="52"/>
    </row>
    <row r="5091" spans="1:1" x14ac:dyDescent="0.2">
      <c r="A5091" s="52"/>
    </row>
    <row r="5092" spans="1:1" x14ac:dyDescent="0.2">
      <c r="A5092" s="52"/>
    </row>
    <row r="5093" spans="1:1" x14ac:dyDescent="0.2">
      <c r="A5093" s="52"/>
    </row>
    <row r="5094" spans="1:1" x14ac:dyDescent="0.2">
      <c r="A5094" s="52"/>
    </row>
    <row r="5095" spans="1:1" x14ac:dyDescent="0.2">
      <c r="A5095" s="52"/>
    </row>
    <row r="5096" spans="1:1" x14ac:dyDescent="0.2">
      <c r="A5096" s="52"/>
    </row>
    <row r="5097" spans="1:1" x14ac:dyDescent="0.2">
      <c r="A5097" s="52"/>
    </row>
    <row r="5098" spans="1:1" x14ac:dyDescent="0.2">
      <c r="A5098" s="52"/>
    </row>
    <row r="5099" spans="1:1" x14ac:dyDescent="0.2">
      <c r="A5099" s="52"/>
    </row>
    <row r="5100" spans="1:1" x14ac:dyDescent="0.2">
      <c r="A5100" s="52"/>
    </row>
    <row r="5101" spans="1:1" x14ac:dyDescent="0.2">
      <c r="A5101" s="53"/>
    </row>
    <row r="5102" spans="1:1" x14ac:dyDescent="0.2">
      <c r="A5102" s="52"/>
    </row>
    <row r="5103" spans="1:1" x14ac:dyDescent="0.2">
      <c r="A5103" s="52"/>
    </row>
    <row r="5104" spans="1:1" x14ac:dyDescent="0.2">
      <c r="A5104" s="52"/>
    </row>
    <row r="5105" spans="1:1" x14ac:dyDescent="0.2">
      <c r="A5105" s="52"/>
    </row>
    <row r="5106" spans="1:1" x14ac:dyDescent="0.2">
      <c r="A5106" s="52"/>
    </row>
    <row r="5107" spans="1:1" x14ac:dyDescent="0.2">
      <c r="A5107" s="52"/>
    </row>
    <row r="5108" spans="1:1" x14ac:dyDescent="0.2">
      <c r="A5108" s="52"/>
    </row>
    <row r="5109" spans="1:1" x14ac:dyDescent="0.2">
      <c r="A5109" s="52"/>
    </row>
    <row r="5110" spans="1:1" x14ac:dyDescent="0.2">
      <c r="A5110" s="52"/>
    </row>
    <row r="5111" spans="1:1" x14ac:dyDescent="0.2">
      <c r="A5111" s="52"/>
    </row>
    <row r="5112" spans="1:1" x14ac:dyDescent="0.2">
      <c r="A5112" s="52"/>
    </row>
    <row r="5113" spans="1:1" x14ac:dyDescent="0.2">
      <c r="A5113" s="52"/>
    </row>
    <row r="5114" spans="1:1" x14ac:dyDescent="0.2">
      <c r="A5114" s="52"/>
    </row>
    <row r="5115" spans="1:1" x14ac:dyDescent="0.2">
      <c r="A5115" s="52"/>
    </row>
    <row r="5116" spans="1:1" x14ac:dyDescent="0.2">
      <c r="A5116" s="52"/>
    </row>
    <row r="5117" spans="1:1" x14ac:dyDescent="0.2">
      <c r="A5117" s="52"/>
    </row>
    <row r="5118" spans="1:1" x14ac:dyDescent="0.2">
      <c r="A5118" s="53"/>
    </row>
    <row r="5119" spans="1:1" x14ac:dyDescent="0.2">
      <c r="A5119" s="52"/>
    </row>
    <row r="5120" spans="1:1" x14ac:dyDescent="0.2">
      <c r="A5120" s="52"/>
    </row>
    <row r="5121" spans="1:1" x14ac:dyDescent="0.2">
      <c r="A5121" s="52"/>
    </row>
    <row r="5122" spans="1:1" x14ac:dyDescent="0.2">
      <c r="A5122" s="52"/>
    </row>
    <row r="5123" spans="1:1" x14ac:dyDescent="0.2">
      <c r="A5123" s="52"/>
    </row>
    <row r="5124" spans="1:1" x14ac:dyDescent="0.2">
      <c r="A5124" s="52"/>
    </row>
    <row r="5125" spans="1:1" x14ac:dyDescent="0.2">
      <c r="A5125" s="52"/>
    </row>
    <row r="5126" spans="1:1" x14ac:dyDescent="0.2">
      <c r="A5126" s="52"/>
    </row>
    <row r="5127" spans="1:1" x14ac:dyDescent="0.2">
      <c r="A5127" s="52"/>
    </row>
    <row r="5128" spans="1:1" x14ac:dyDescent="0.2">
      <c r="A5128" s="52"/>
    </row>
    <row r="5129" spans="1:1" x14ac:dyDescent="0.2">
      <c r="A5129" s="52"/>
    </row>
    <row r="5130" spans="1:1" x14ac:dyDescent="0.2">
      <c r="A5130" s="52"/>
    </row>
    <row r="5131" spans="1:1" x14ac:dyDescent="0.2">
      <c r="A5131" s="52"/>
    </row>
    <row r="5132" spans="1:1" x14ac:dyDescent="0.2">
      <c r="A5132" s="52"/>
    </row>
    <row r="5133" spans="1:1" x14ac:dyDescent="0.2">
      <c r="A5133" s="52"/>
    </row>
    <row r="5134" spans="1:1" x14ac:dyDescent="0.2">
      <c r="A5134" s="52"/>
    </row>
    <row r="5135" spans="1:1" x14ac:dyDescent="0.2">
      <c r="A5135" s="52"/>
    </row>
    <row r="5136" spans="1:1" x14ac:dyDescent="0.2">
      <c r="A5136" s="52"/>
    </row>
    <row r="5137" spans="1:1" x14ac:dyDescent="0.2">
      <c r="A5137" s="52"/>
    </row>
    <row r="5138" spans="1:1" x14ac:dyDescent="0.2">
      <c r="A5138" s="52"/>
    </row>
    <row r="5139" spans="1:1" x14ac:dyDescent="0.2">
      <c r="A5139" s="52"/>
    </row>
    <row r="5140" spans="1:1" x14ac:dyDescent="0.2">
      <c r="A5140" s="52"/>
    </row>
    <row r="5141" spans="1:1" x14ac:dyDescent="0.2">
      <c r="A5141" s="52"/>
    </row>
    <row r="5142" spans="1:1" x14ac:dyDescent="0.2">
      <c r="A5142" s="52"/>
    </row>
    <row r="5143" spans="1:1" x14ac:dyDescent="0.2">
      <c r="A5143" s="52"/>
    </row>
    <row r="5144" spans="1:1" x14ac:dyDescent="0.2">
      <c r="A5144" s="52"/>
    </row>
    <row r="5145" spans="1:1" x14ac:dyDescent="0.2">
      <c r="A5145" s="52"/>
    </row>
    <row r="5146" spans="1:1" x14ac:dyDescent="0.2">
      <c r="A5146" s="52"/>
    </row>
    <row r="5147" spans="1:1" x14ac:dyDescent="0.2">
      <c r="A5147" s="52"/>
    </row>
    <row r="5148" spans="1:1" x14ac:dyDescent="0.2">
      <c r="A5148" s="52"/>
    </row>
    <row r="5149" spans="1:1" x14ac:dyDescent="0.2">
      <c r="A5149" s="52"/>
    </row>
    <row r="5150" spans="1:1" x14ac:dyDescent="0.2">
      <c r="A5150" s="52"/>
    </row>
    <row r="5151" spans="1:1" x14ac:dyDescent="0.2">
      <c r="A5151" s="52"/>
    </row>
    <row r="5152" spans="1:1" x14ac:dyDescent="0.2">
      <c r="A5152" s="52"/>
    </row>
    <row r="5153" spans="1:1" x14ac:dyDescent="0.2">
      <c r="A5153" s="52"/>
    </row>
    <row r="5154" spans="1:1" x14ac:dyDescent="0.2">
      <c r="A5154" s="53"/>
    </row>
    <row r="5155" spans="1:1" x14ac:dyDescent="0.2">
      <c r="A5155" s="52"/>
    </row>
    <row r="5156" spans="1:1" x14ac:dyDescent="0.2">
      <c r="A5156" s="52"/>
    </row>
    <row r="5157" spans="1:1" x14ac:dyDescent="0.2">
      <c r="A5157" s="52"/>
    </row>
    <row r="5158" spans="1:1" x14ac:dyDescent="0.2">
      <c r="A5158" s="52"/>
    </row>
    <row r="5159" spans="1:1" x14ac:dyDescent="0.2">
      <c r="A5159" s="53"/>
    </row>
    <row r="5160" spans="1:1" x14ac:dyDescent="0.2">
      <c r="A5160" s="52"/>
    </row>
    <row r="5161" spans="1:1" x14ac:dyDescent="0.2">
      <c r="A5161" s="52"/>
    </row>
    <row r="5162" spans="1:1" x14ac:dyDescent="0.2">
      <c r="A5162" s="52"/>
    </row>
    <row r="5163" spans="1:1" x14ac:dyDescent="0.2">
      <c r="A5163" s="53"/>
    </row>
    <row r="5164" spans="1:1" x14ac:dyDescent="0.2">
      <c r="A5164" s="52"/>
    </row>
    <row r="5165" spans="1:1" x14ac:dyDescent="0.2">
      <c r="A5165" s="52"/>
    </row>
    <row r="5166" spans="1:1" x14ac:dyDescent="0.2">
      <c r="A5166" s="53"/>
    </row>
    <row r="5167" spans="1:1" x14ac:dyDescent="0.2">
      <c r="A5167" s="52"/>
    </row>
    <row r="5168" spans="1:1" x14ac:dyDescent="0.2">
      <c r="A5168" s="52"/>
    </row>
    <row r="5169" spans="1:1" x14ac:dyDescent="0.2">
      <c r="A5169" s="53"/>
    </row>
    <row r="5170" spans="1:1" x14ac:dyDescent="0.2">
      <c r="A5170" s="52"/>
    </row>
    <row r="5171" spans="1:1" x14ac:dyDescent="0.2">
      <c r="A5171" s="53"/>
    </row>
    <row r="5172" spans="1:1" x14ac:dyDescent="0.2">
      <c r="A5172" s="52"/>
    </row>
    <row r="5173" spans="1:1" x14ac:dyDescent="0.2">
      <c r="A5173" s="52"/>
    </row>
    <row r="5174" spans="1:1" x14ac:dyDescent="0.2">
      <c r="A5174" s="52"/>
    </row>
    <row r="5175" spans="1:1" x14ac:dyDescent="0.2">
      <c r="A5175" s="52"/>
    </row>
    <row r="5176" spans="1:1" x14ac:dyDescent="0.2">
      <c r="A5176" s="52"/>
    </row>
    <row r="5177" spans="1:1" x14ac:dyDescent="0.2">
      <c r="A5177" s="52"/>
    </row>
    <row r="5178" spans="1:1" x14ac:dyDescent="0.2">
      <c r="A5178" s="52"/>
    </row>
    <row r="5179" spans="1:1" x14ac:dyDescent="0.2">
      <c r="A5179" s="52"/>
    </row>
    <row r="5180" spans="1:1" x14ac:dyDescent="0.2">
      <c r="A5180" s="52"/>
    </row>
    <row r="5181" spans="1:1" x14ac:dyDescent="0.2">
      <c r="A5181" s="53"/>
    </row>
    <row r="5182" spans="1:1" x14ac:dyDescent="0.2">
      <c r="A5182" s="53"/>
    </row>
    <row r="5183" spans="1:1" x14ac:dyDescent="0.2">
      <c r="A5183" s="52"/>
    </row>
    <row r="5184" spans="1:1" x14ac:dyDescent="0.2">
      <c r="A5184" s="52"/>
    </row>
    <row r="5185" spans="1:1" x14ac:dyDescent="0.2">
      <c r="A5185" s="52"/>
    </row>
    <row r="5186" spans="1:1" x14ac:dyDescent="0.2">
      <c r="A5186" s="53"/>
    </row>
    <row r="5187" spans="1:1" x14ac:dyDescent="0.2">
      <c r="A5187" s="53"/>
    </row>
    <row r="5188" spans="1:1" x14ac:dyDescent="0.2">
      <c r="A5188" s="52"/>
    </row>
    <row r="5189" spans="1:1" x14ac:dyDescent="0.2">
      <c r="A5189" s="52"/>
    </row>
    <row r="5190" spans="1:1" x14ac:dyDescent="0.2">
      <c r="A5190" s="52"/>
    </row>
    <row r="5191" spans="1:1" x14ac:dyDescent="0.2">
      <c r="A5191" s="52"/>
    </row>
    <row r="5192" spans="1:1" x14ac:dyDescent="0.2">
      <c r="A5192" s="52"/>
    </row>
    <row r="5193" spans="1:1" x14ac:dyDescent="0.2">
      <c r="A5193" s="52"/>
    </row>
    <row r="5194" spans="1:1" x14ac:dyDescent="0.2">
      <c r="A5194" s="52"/>
    </row>
    <row r="5195" spans="1:1" x14ac:dyDescent="0.2">
      <c r="A5195" s="52"/>
    </row>
    <row r="5196" spans="1:1" x14ac:dyDescent="0.2">
      <c r="A5196" s="52"/>
    </row>
    <row r="5197" spans="1:1" x14ac:dyDescent="0.2">
      <c r="A5197" s="52"/>
    </row>
    <row r="5198" spans="1:1" x14ac:dyDescent="0.2">
      <c r="A5198" s="52"/>
    </row>
    <row r="5199" spans="1:1" x14ac:dyDescent="0.2">
      <c r="A5199" s="52"/>
    </row>
    <row r="5200" spans="1:1" x14ac:dyDescent="0.2">
      <c r="A5200" s="52"/>
    </row>
    <row r="5201" spans="1:1" x14ac:dyDescent="0.2">
      <c r="A5201" s="52"/>
    </row>
    <row r="5202" spans="1:1" x14ac:dyDescent="0.2">
      <c r="A5202" s="52"/>
    </row>
    <row r="5203" spans="1:1" x14ac:dyDescent="0.2">
      <c r="A5203" s="52"/>
    </row>
    <row r="5204" spans="1:1" x14ac:dyDescent="0.2">
      <c r="A5204" s="52"/>
    </row>
    <row r="5205" spans="1:1" x14ac:dyDescent="0.2">
      <c r="A5205" s="52"/>
    </row>
    <row r="5206" spans="1:1" x14ac:dyDescent="0.2">
      <c r="A5206" s="52"/>
    </row>
    <row r="5207" spans="1:1" x14ac:dyDescent="0.2">
      <c r="A5207" s="52"/>
    </row>
    <row r="5208" spans="1:1" x14ac:dyDescent="0.2">
      <c r="A5208" s="52"/>
    </row>
    <row r="5209" spans="1:1" x14ac:dyDescent="0.2">
      <c r="A5209" s="52"/>
    </row>
    <row r="5210" spans="1:1" x14ac:dyDescent="0.2">
      <c r="A5210" s="52"/>
    </row>
    <row r="5211" spans="1:1" x14ac:dyDescent="0.2">
      <c r="A5211" s="52"/>
    </row>
    <row r="5212" spans="1:1" x14ac:dyDescent="0.2">
      <c r="A5212" s="52"/>
    </row>
    <row r="5213" spans="1:1" x14ac:dyDescent="0.2">
      <c r="A5213" s="52"/>
    </row>
    <row r="5214" spans="1:1" x14ac:dyDescent="0.2">
      <c r="A5214" s="52"/>
    </row>
    <row r="5215" spans="1:1" x14ac:dyDescent="0.2">
      <c r="A5215" s="52"/>
    </row>
    <row r="5216" spans="1:1" x14ac:dyDescent="0.2">
      <c r="A5216" s="52"/>
    </row>
    <row r="5217" spans="1:1" x14ac:dyDescent="0.2">
      <c r="A5217" s="52"/>
    </row>
    <row r="5218" spans="1:1" x14ac:dyDescent="0.2">
      <c r="A5218" s="53"/>
    </row>
    <row r="5219" spans="1:1" x14ac:dyDescent="0.2">
      <c r="A5219" s="52"/>
    </row>
    <row r="5220" spans="1:1" x14ac:dyDescent="0.2">
      <c r="A5220" s="52"/>
    </row>
    <row r="5221" spans="1:1" x14ac:dyDescent="0.2">
      <c r="A5221" s="52"/>
    </row>
    <row r="5222" spans="1:1" x14ac:dyDescent="0.2">
      <c r="A5222" s="52"/>
    </row>
    <row r="5223" spans="1:1" x14ac:dyDescent="0.2">
      <c r="A5223" s="52"/>
    </row>
    <row r="5224" spans="1:1" x14ac:dyDescent="0.2">
      <c r="A5224" s="52"/>
    </row>
    <row r="5225" spans="1:1" x14ac:dyDescent="0.2">
      <c r="A5225" s="52"/>
    </row>
    <row r="5226" spans="1:1" x14ac:dyDescent="0.2">
      <c r="A5226" s="52"/>
    </row>
    <row r="5227" spans="1:1" x14ac:dyDescent="0.2">
      <c r="A5227" s="52"/>
    </row>
    <row r="5228" spans="1:1" x14ac:dyDescent="0.2">
      <c r="A5228" s="52"/>
    </row>
    <row r="5229" spans="1:1" x14ac:dyDescent="0.2">
      <c r="A5229" s="52"/>
    </row>
    <row r="5230" spans="1:1" x14ac:dyDescent="0.2">
      <c r="A5230" s="52"/>
    </row>
    <row r="5231" spans="1:1" x14ac:dyDescent="0.2">
      <c r="A5231" s="52"/>
    </row>
    <row r="5232" spans="1:1" x14ac:dyDescent="0.2">
      <c r="A5232" s="52"/>
    </row>
    <row r="5233" spans="1:1" x14ac:dyDescent="0.2">
      <c r="A5233" s="52"/>
    </row>
    <row r="5234" spans="1:1" x14ac:dyDescent="0.2">
      <c r="A5234" s="52"/>
    </row>
    <row r="5235" spans="1:1" x14ac:dyDescent="0.2">
      <c r="A5235" s="52"/>
    </row>
    <row r="5236" spans="1:1" x14ac:dyDescent="0.2">
      <c r="A5236" s="52"/>
    </row>
    <row r="5237" spans="1:1" x14ac:dyDescent="0.2">
      <c r="A5237" s="52"/>
    </row>
    <row r="5238" spans="1:1" x14ac:dyDescent="0.2">
      <c r="A5238" s="52"/>
    </row>
    <row r="5239" spans="1:1" x14ac:dyDescent="0.2">
      <c r="A5239" s="52"/>
    </row>
    <row r="5240" spans="1:1" x14ac:dyDescent="0.2">
      <c r="A5240" s="52"/>
    </row>
    <row r="5241" spans="1:1" x14ac:dyDescent="0.2">
      <c r="A5241" s="52"/>
    </row>
    <row r="5242" spans="1:1" x14ac:dyDescent="0.2">
      <c r="A5242" s="52"/>
    </row>
    <row r="5243" spans="1:1" x14ac:dyDescent="0.2">
      <c r="A5243" s="52"/>
    </row>
    <row r="5244" spans="1:1" x14ac:dyDescent="0.2">
      <c r="A5244" s="52"/>
    </row>
    <row r="5245" spans="1:1" x14ac:dyDescent="0.2">
      <c r="A5245" s="53"/>
    </row>
    <row r="5246" spans="1:1" x14ac:dyDescent="0.2">
      <c r="A5246" s="52"/>
    </row>
    <row r="5247" spans="1:1" x14ac:dyDescent="0.2">
      <c r="A5247" s="52"/>
    </row>
    <row r="5248" spans="1:1" x14ac:dyDescent="0.2">
      <c r="A5248" s="52"/>
    </row>
    <row r="5249" spans="1:1" x14ac:dyDescent="0.2">
      <c r="A5249" s="53"/>
    </row>
    <row r="5250" spans="1:1" x14ac:dyDescent="0.2">
      <c r="A5250" s="52"/>
    </row>
    <row r="5251" spans="1:1" x14ac:dyDescent="0.2">
      <c r="A5251" s="52"/>
    </row>
    <row r="5252" spans="1:1" x14ac:dyDescent="0.2">
      <c r="A5252" s="52"/>
    </row>
    <row r="5253" spans="1:1" x14ac:dyDescent="0.2">
      <c r="A5253" s="52"/>
    </row>
    <row r="5254" spans="1:1" x14ac:dyDescent="0.2">
      <c r="A5254" s="52"/>
    </row>
    <row r="5255" spans="1:1" x14ac:dyDescent="0.2">
      <c r="A5255" s="52"/>
    </row>
    <row r="5256" spans="1:1" x14ac:dyDescent="0.2">
      <c r="A5256" s="53"/>
    </row>
    <row r="5257" spans="1:1" x14ac:dyDescent="0.2">
      <c r="A5257" s="53"/>
    </row>
    <row r="5258" spans="1:1" x14ac:dyDescent="0.2">
      <c r="A5258" s="52"/>
    </row>
    <row r="5259" spans="1:1" x14ac:dyDescent="0.2">
      <c r="A5259" s="52"/>
    </row>
    <row r="5260" spans="1:1" x14ac:dyDescent="0.2">
      <c r="A5260" s="52"/>
    </row>
    <row r="5261" spans="1:1" x14ac:dyDescent="0.2">
      <c r="A5261" s="52"/>
    </row>
    <row r="5262" spans="1:1" x14ac:dyDescent="0.2">
      <c r="A5262" s="52"/>
    </row>
    <row r="5263" spans="1:1" x14ac:dyDescent="0.2">
      <c r="A5263" s="53"/>
    </row>
    <row r="5264" spans="1:1" x14ac:dyDescent="0.2">
      <c r="A5264" s="52"/>
    </row>
    <row r="5265" spans="1:1" x14ac:dyDescent="0.2">
      <c r="A5265" s="52"/>
    </row>
    <row r="5266" spans="1:1" x14ac:dyDescent="0.2">
      <c r="A5266" s="52"/>
    </row>
    <row r="5267" spans="1:1" x14ac:dyDescent="0.2">
      <c r="A5267" s="52"/>
    </row>
    <row r="5268" spans="1:1" x14ac:dyDescent="0.2">
      <c r="A5268" s="52"/>
    </row>
    <row r="5269" spans="1:1" x14ac:dyDescent="0.2">
      <c r="A5269" s="52"/>
    </row>
    <row r="5270" spans="1:1" x14ac:dyDescent="0.2">
      <c r="A5270" s="52"/>
    </row>
    <row r="5271" spans="1:1" x14ac:dyDescent="0.2">
      <c r="A5271" s="52"/>
    </row>
    <row r="5272" spans="1:1" x14ac:dyDescent="0.2">
      <c r="A5272" s="52"/>
    </row>
    <row r="5273" spans="1:1" x14ac:dyDescent="0.2">
      <c r="A5273" s="52"/>
    </row>
    <row r="5274" spans="1:1" x14ac:dyDescent="0.2">
      <c r="A5274" s="52"/>
    </row>
    <row r="5275" spans="1:1" x14ac:dyDescent="0.2">
      <c r="A5275" s="52"/>
    </row>
    <row r="5276" spans="1:1" x14ac:dyDescent="0.2">
      <c r="A5276" s="52"/>
    </row>
    <row r="5277" spans="1:1" x14ac:dyDescent="0.2">
      <c r="A5277" s="53"/>
    </row>
    <row r="5278" spans="1:1" x14ac:dyDescent="0.2">
      <c r="A5278" s="53"/>
    </row>
    <row r="5279" spans="1:1" x14ac:dyDescent="0.2">
      <c r="A5279" s="52"/>
    </row>
    <row r="5280" spans="1:1" x14ac:dyDescent="0.2">
      <c r="A5280" s="52"/>
    </row>
    <row r="5281" spans="1:1" x14ac:dyDescent="0.2">
      <c r="A5281" s="52"/>
    </row>
    <row r="5282" spans="1:1" x14ac:dyDescent="0.2">
      <c r="A5282" s="52"/>
    </row>
    <row r="5283" spans="1:1" x14ac:dyDescent="0.2">
      <c r="A5283" s="52"/>
    </row>
    <row r="5284" spans="1:1" x14ac:dyDescent="0.2">
      <c r="A5284" s="52"/>
    </row>
    <row r="5285" spans="1:1" x14ac:dyDescent="0.2">
      <c r="A5285" s="52"/>
    </row>
    <row r="5286" spans="1:1" x14ac:dyDescent="0.2">
      <c r="A5286" s="52"/>
    </row>
    <row r="5287" spans="1:1" x14ac:dyDescent="0.2">
      <c r="A5287" s="52"/>
    </row>
    <row r="5288" spans="1:1" x14ac:dyDescent="0.2">
      <c r="A5288" s="52"/>
    </row>
    <row r="5289" spans="1:1" x14ac:dyDescent="0.2">
      <c r="A5289" s="52"/>
    </row>
    <row r="5290" spans="1:1" x14ac:dyDescent="0.2">
      <c r="A5290" s="52"/>
    </row>
    <row r="5291" spans="1:1" x14ac:dyDescent="0.2">
      <c r="A5291" s="52"/>
    </row>
    <row r="5292" spans="1:1" x14ac:dyDescent="0.2">
      <c r="A5292" s="52"/>
    </row>
    <row r="5293" spans="1:1" x14ac:dyDescent="0.2">
      <c r="A5293" s="52"/>
    </row>
    <row r="5294" spans="1:1" x14ac:dyDescent="0.2">
      <c r="A5294" s="52"/>
    </row>
    <row r="5295" spans="1:1" x14ac:dyDescent="0.2">
      <c r="A5295" s="52"/>
    </row>
    <row r="5296" spans="1:1" x14ac:dyDescent="0.2">
      <c r="A5296" s="52"/>
    </row>
    <row r="5297" spans="1:1" x14ac:dyDescent="0.2">
      <c r="A5297" s="52"/>
    </row>
    <row r="5298" spans="1:1" x14ac:dyDescent="0.2">
      <c r="A5298" s="52"/>
    </row>
    <row r="5299" spans="1:1" x14ac:dyDescent="0.2">
      <c r="A5299" s="52"/>
    </row>
    <row r="5300" spans="1:1" x14ac:dyDescent="0.2">
      <c r="A5300" s="52"/>
    </row>
    <row r="5301" spans="1:1" x14ac:dyDescent="0.2">
      <c r="A5301" s="52"/>
    </row>
    <row r="5302" spans="1:1" x14ac:dyDescent="0.2">
      <c r="A5302" s="52"/>
    </row>
    <row r="5303" spans="1:1" x14ac:dyDescent="0.2">
      <c r="A5303" s="52"/>
    </row>
    <row r="5304" spans="1:1" x14ac:dyDescent="0.2">
      <c r="A5304" s="52"/>
    </row>
    <row r="5305" spans="1:1" x14ac:dyDescent="0.2">
      <c r="A5305" s="52"/>
    </row>
    <row r="5306" spans="1:1" x14ac:dyDescent="0.2">
      <c r="A5306" s="52"/>
    </row>
    <row r="5307" spans="1:1" x14ac:dyDescent="0.2">
      <c r="A5307" s="52"/>
    </row>
    <row r="5308" spans="1:1" x14ac:dyDescent="0.2">
      <c r="A5308" s="52"/>
    </row>
    <row r="5309" spans="1:1" x14ac:dyDescent="0.2">
      <c r="A5309" s="52"/>
    </row>
    <row r="5310" spans="1:1" x14ac:dyDescent="0.2">
      <c r="A5310" s="52"/>
    </row>
    <row r="5311" spans="1:1" x14ac:dyDescent="0.2">
      <c r="A5311" s="52"/>
    </row>
    <row r="5312" spans="1:1" x14ac:dyDescent="0.2">
      <c r="A5312" s="52"/>
    </row>
    <row r="5313" spans="1:1" x14ac:dyDescent="0.2">
      <c r="A5313" s="53"/>
    </row>
    <row r="5314" spans="1:1" x14ac:dyDescent="0.2">
      <c r="A5314" s="53"/>
    </row>
    <row r="5315" spans="1:1" x14ac:dyDescent="0.2">
      <c r="A5315" s="52"/>
    </row>
    <row r="5316" spans="1:1" x14ac:dyDescent="0.2">
      <c r="A5316" s="52"/>
    </row>
    <row r="5317" spans="1:1" x14ac:dyDescent="0.2">
      <c r="A5317" s="52"/>
    </row>
    <row r="5318" spans="1:1" x14ac:dyDescent="0.2">
      <c r="A5318" s="52"/>
    </row>
    <row r="5319" spans="1:1" x14ac:dyDescent="0.2">
      <c r="A5319" s="52"/>
    </row>
    <row r="5320" spans="1:1" x14ac:dyDescent="0.2">
      <c r="A5320" s="52"/>
    </row>
    <row r="5321" spans="1:1" x14ac:dyDescent="0.2">
      <c r="A5321" s="52"/>
    </row>
    <row r="5322" spans="1:1" x14ac:dyDescent="0.2">
      <c r="A5322" s="52"/>
    </row>
    <row r="5323" spans="1:1" x14ac:dyDescent="0.2">
      <c r="A5323" s="52"/>
    </row>
    <row r="5324" spans="1:1" x14ac:dyDescent="0.2">
      <c r="A5324" s="52"/>
    </row>
    <row r="5325" spans="1:1" x14ac:dyDescent="0.2">
      <c r="A5325" s="52"/>
    </row>
    <row r="5326" spans="1:1" x14ac:dyDescent="0.2">
      <c r="A5326" s="52"/>
    </row>
    <row r="5327" spans="1:1" x14ac:dyDescent="0.2">
      <c r="A5327" s="52"/>
    </row>
    <row r="5328" spans="1:1" x14ac:dyDescent="0.2">
      <c r="A5328" s="52"/>
    </row>
    <row r="5329" spans="1:1" x14ac:dyDescent="0.2">
      <c r="A5329" s="53"/>
    </row>
    <row r="5330" spans="1:1" x14ac:dyDescent="0.2">
      <c r="A5330" s="53"/>
    </row>
    <row r="5331" spans="1:1" x14ac:dyDescent="0.2">
      <c r="A5331" s="53"/>
    </row>
    <row r="5332" spans="1:1" x14ac:dyDescent="0.2">
      <c r="A5332" s="53"/>
    </row>
    <row r="5333" spans="1:1" x14ac:dyDescent="0.2">
      <c r="A5333" s="53"/>
    </row>
    <row r="5334" spans="1:1" x14ac:dyDescent="0.2">
      <c r="A5334" s="53"/>
    </row>
    <row r="5335" spans="1:1" x14ac:dyDescent="0.2">
      <c r="A5335" s="53"/>
    </row>
    <row r="5336" spans="1:1" x14ac:dyDescent="0.2">
      <c r="A5336" s="53"/>
    </row>
    <row r="5337" spans="1:1" x14ac:dyDescent="0.2">
      <c r="A5337" s="53"/>
    </row>
    <row r="5338" spans="1:1" x14ac:dyDescent="0.2">
      <c r="A5338" s="52"/>
    </row>
    <row r="5339" spans="1:1" x14ac:dyDescent="0.2">
      <c r="A5339" s="52"/>
    </row>
    <row r="5340" spans="1:1" x14ac:dyDescent="0.2">
      <c r="A5340" s="52"/>
    </row>
    <row r="5341" spans="1:1" x14ac:dyDescent="0.2">
      <c r="A5341" s="52"/>
    </row>
    <row r="5342" spans="1:1" x14ac:dyDescent="0.2">
      <c r="A5342" s="52"/>
    </row>
    <row r="5343" spans="1:1" x14ac:dyDescent="0.2">
      <c r="A5343" s="52"/>
    </row>
    <row r="5344" spans="1:1" x14ac:dyDescent="0.2">
      <c r="A5344" s="52"/>
    </row>
    <row r="5345" spans="1:1" x14ac:dyDescent="0.2">
      <c r="A5345" s="52"/>
    </row>
    <row r="5346" spans="1:1" x14ac:dyDescent="0.2">
      <c r="A5346" s="52"/>
    </row>
    <row r="5347" spans="1:1" x14ac:dyDescent="0.2">
      <c r="A5347" s="52"/>
    </row>
    <row r="5348" spans="1:1" x14ac:dyDescent="0.2">
      <c r="A5348" s="52"/>
    </row>
    <row r="5349" spans="1:1" x14ac:dyDescent="0.2">
      <c r="A5349" s="52"/>
    </row>
    <row r="5350" spans="1:1" x14ac:dyDescent="0.2">
      <c r="A5350" s="52"/>
    </row>
    <row r="5351" spans="1:1" x14ac:dyDescent="0.2">
      <c r="A5351" s="52"/>
    </row>
    <row r="5352" spans="1:1" x14ac:dyDescent="0.2">
      <c r="A5352" s="52"/>
    </row>
    <row r="5353" spans="1:1" x14ac:dyDescent="0.2">
      <c r="A5353" s="52"/>
    </row>
    <row r="5354" spans="1:1" x14ac:dyDescent="0.2">
      <c r="A5354" s="52"/>
    </row>
    <row r="5355" spans="1:1" x14ac:dyDescent="0.2">
      <c r="A5355" s="52"/>
    </row>
    <row r="5356" spans="1:1" x14ac:dyDescent="0.2">
      <c r="A5356" s="52"/>
    </row>
    <row r="5357" spans="1:1" x14ac:dyDescent="0.2">
      <c r="A5357" s="52"/>
    </row>
    <row r="5358" spans="1:1" x14ac:dyDescent="0.2">
      <c r="A5358" s="52"/>
    </row>
    <row r="5359" spans="1:1" x14ac:dyDescent="0.2">
      <c r="A5359" s="52"/>
    </row>
    <row r="5360" spans="1:1" x14ac:dyDescent="0.2">
      <c r="A5360" s="52"/>
    </row>
    <row r="5361" spans="1:1" x14ac:dyDescent="0.2">
      <c r="A5361" s="52"/>
    </row>
    <row r="5362" spans="1:1" x14ac:dyDescent="0.2">
      <c r="A5362" s="52"/>
    </row>
    <row r="5363" spans="1:1" x14ac:dyDescent="0.2">
      <c r="A5363" s="52"/>
    </row>
    <row r="5364" spans="1:1" x14ac:dyDescent="0.2">
      <c r="A5364" s="53"/>
    </row>
    <row r="5365" spans="1:1" x14ac:dyDescent="0.2">
      <c r="A5365" s="52"/>
    </row>
    <row r="5366" spans="1:1" x14ac:dyDescent="0.2">
      <c r="A5366" s="52"/>
    </row>
    <row r="5367" spans="1:1" x14ac:dyDescent="0.2">
      <c r="A5367" s="52"/>
    </row>
    <row r="5368" spans="1:1" x14ac:dyDescent="0.2">
      <c r="A5368" s="53"/>
    </row>
    <row r="5369" spans="1:1" x14ac:dyDescent="0.2">
      <c r="A5369" s="52"/>
    </row>
    <row r="5370" spans="1:1" x14ac:dyDescent="0.2">
      <c r="A5370" s="52"/>
    </row>
    <row r="5371" spans="1:1" x14ac:dyDescent="0.2">
      <c r="A5371" s="52"/>
    </row>
    <row r="5372" spans="1:1" x14ac:dyDescent="0.2">
      <c r="A5372" s="52"/>
    </row>
    <row r="5373" spans="1:1" x14ac:dyDescent="0.2">
      <c r="A5373" s="53"/>
    </row>
    <row r="5374" spans="1:1" x14ac:dyDescent="0.2">
      <c r="A5374" s="52"/>
    </row>
    <row r="5375" spans="1:1" x14ac:dyDescent="0.2">
      <c r="A5375" s="52"/>
    </row>
    <row r="5376" spans="1:1" x14ac:dyDescent="0.2">
      <c r="A5376" s="52"/>
    </row>
    <row r="5377" spans="1:1" x14ac:dyDescent="0.2">
      <c r="A5377" s="53"/>
    </row>
    <row r="5378" spans="1:1" x14ac:dyDescent="0.2">
      <c r="A5378" s="52"/>
    </row>
    <row r="5379" spans="1:1" x14ac:dyDescent="0.2">
      <c r="A5379" s="52"/>
    </row>
    <row r="5380" spans="1:1" x14ac:dyDescent="0.2">
      <c r="A5380" s="53"/>
    </row>
    <row r="5381" spans="1:1" x14ac:dyDescent="0.2">
      <c r="A5381" s="53"/>
    </row>
    <row r="5382" spans="1:1" x14ac:dyDescent="0.2">
      <c r="A5382" s="52"/>
    </row>
    <row r="5383" spans="1:1" x14ac:dyDescent="0.2">
      <c r="A5383" s="52"/>
    </row>
    <row r="5384" spans="1:1" x14ac:dyDescent="0.2">
      <c r="A5384" s="52"/>
    </row>
    <row r="5385" spans="1:1" x14ac:dyDescent="0.2">
      <c r="A5385" s="52"/>
    </row>
    <row r="5386" spans="1:1" x14ac:dyDescent="0.2">
      <c r="A5386" s="52"/>
    </row>
    <row r="5387" spans="1:1" x14ac:dyDescent="0.2">
      <c r="A5387" s="52"/>
    </row>
    <row r="5388" spans="1:1" x14ac:dyDescent="0.2">
      <c r="A5388" s="53"/>
    </row>
    <row r="5389" spans="1:1" x14ac:dyDescent="0.2">
      <c r="A5389" s="52"/>
    </row>
    <row r="5390" spans="1:1" x14ac:dyDescent="0.2">
      <c r="A5390" s="52"/>
    </row>
    <row r="5391" spans="1:1" x14ac:dyDescent="0.2">
      <c r="A5391" s="52"/>
    </row>
    <row r="5392" spans="1:1" x14ac:dyDescent="0.2">
      <c r="A5392" s="52"/>
    </row>
    <row r="5393" spans="1:1" x14ac:dyDescent="0.2">
      <c r="A5393" s="52"/>
    </row>
    <row r="5394" spans="1:1" x14ac:dyDescent="0.2">
      <c r="A5394" s="52"/>
    </row>
    <row r="5395" spans="1:1" x14ac:dyDescent="0.2">
      <c r="A5395" s="53"/>
    </row>
    <row r="5396" spans="1:1" x14ac:dyDescent="0.2">
      <c r="A5396" s="52"/>
    </row>
    <row r="5397" spans="1:1" x14ac:dyDescent="0.2">
      <c r="A5397" s="52"/>
    </row>
    <row r="5398" spans="1:1" x14ac:dyDescent="0.2">
      <c r="A5398" s="52"/>
    </row>
    <row r="5399" spans="1:1" x14ac:dyDescent="0.2">
      <c r="A5399" s="52"/>
    </row>
    <row r="5400" spans="1:1" x14ac:dyDescent="0.2">
      <c r="A5400" s="52"/>
    </row>
    <row r="5401" spans="1:1" x14ac:dyDescent="0.2">
      <c r="A5401" s="52"/>
    </row>
    <row r="5402" spans="1:1" x14ac:dyDescent="0.2">
      <c r="A5402" s="52"/>
    </row>
    <row r="5403" spans="1:1" x14ac:dyDescent="0.2">
      <c r="A5403" s="52"/>
    </row>
    <row r="5404" spans="1:1" x14ac:dyDescent="0.2">
      <c r="A5404" s="52"/>
    </row>
    <row r="5405" spans="1:1" x14ac:dyDescent="0.2">
      <c r="A5405" s="52"/>
    </row>
    <row r="5406" spans="1:1" x14ac:dyDescent="0.2">
      <c r="A5406" s="52"/>
    </row>
    <row r="5407" spans="1:1" x14ac:dyDescent="0.2">
      <c r="A5407" s="52"/>
    </row>
    <row r="5408" spans="1:1" x14ac:dyDescent="0.2">
      <c r="A5408" s="52"/>
    </row>
    <row r="5409" spans="1:1" x14ac:dyDescent="0.2">
      <c r="A5409" s="52"/>
    </row>
    <row r="5410" spans="1:1" x14ac:dyDescent="0.2">
      <c r="A5410" s="52"/>
    </row>
    <row r="5411" spans="1:1" x14ac:dyDescent="0.2">
      <c r="A5411" s="52"/>
    </row>
    <row r="5412" spans="1:1" x14ac:dyDescent="0.2">
      <c r="A5412" s="53"/>
    </row>
    <row r="5413" spans="1:1" x14ac:dyDescent="0.2">
      <c r="A5413" s="52"/>
    </row>
    <row r="5414" spans="1:1" x14ac:dyDescent="0.2">
      <c r="A5414" s="52"/>
    </row>
    <row r="5415" spans="1:1" x14ac:dyDescent="0.2">
      <c r="A5415" s="52"/>
    </row>
    <row r="5416" spans="1:1" x14ac:dyDescent="0.2">
      <c r="A5416" s="52"/>
    </row>
    <row r="5417" spans="1:1" x14ac:dyDescent="0.2">
      <c r="A5417" s="52"/>
    </row>
    <row r="5418" spans="1:1" x14ac:dyDescent="0.2">
      <c r="A5418" s="52"/>
    </row>
    <row r="5419" spans="1:1" x14ac:dyDescent="0.2">
      <c r="A5419" s="52"/>
    </row>
    <row r="5420" spans="1:1" x14ac:dyDescent="0.2">
      <c r="A5420" s="52"/>
    </row>
    <row r="5421" spans="1:1" x14ac:dyDescent="0.2">
      <c r="A5421" s="52"/>
    </row>
    <row r="5422" spans="1:1" x14ac:dyDescent="0.2">
      <c r="A5422" s="52"/>
    </row>
    <row r="5423" spans="1:1" x14ac:dyDescent="0.2">
      <c r="A5423" s="52"/>
    </row>
    <row r="5424" spans="1:1" x14ac:dyDescent="0.2">
      <c r="A5424" s="52"/>
    </row>
    <row r="5425" spans="1:1" x14ac:dyDescent="0.2">
      <c r="A5425" s="52"/>
    </row>
    <row r="5426" spans="1:1" x14ac:dyDescent="0.2">
      <c r="A5426" s="52"/>
    </row>
    <row r="5427" spans="1:1" x14ac:dyDescent="0.2">
      <c r="A5427" s="52"/>
    </row>
    <row r="5428" spans="1:1" x14ac:dyDescent="0.2">
      <c r="A5428" s="52"/>
    </row>
    <row r="5429" spans="1:1" x14ac:dyDescent="0.2">
      <c r="A5429" s="52"/>
    </row>
    <row r="5430" spans="1:1" x14ac:dyDescent="0.2">
      <c r="A5430" s="52"/>
    </row>
    <row r="5431" spans="1:1" x14ac:dyDescent="0.2">
      <c r="A5431" s="52"/>
    </row>
    <row r="5432" spans="1:1" x14ac:dyDescent="0.2">
      <c r="A5432" s="52"/>
    </row>
    <row r="5433" spans="1:1" x14ac:dyDescent="0.2">
      <c r="A5433" s="52"/>
    </row>
    <row r="5434" spans="1:1" x14ac:dyDescent="0.2">
      <c r="A5434" s="52"/>
    </row>
    <row r="5435" spans="1:1" x14ac:dyDescent="0.2">
      <c r="A5435" s="52"/>
    </row>
    <row r="5436" spans="1:1" x14ac:dyDescent="0.2">
      <c r="A5436" s="52"/>
    </row>
    <row r="5437" spans="1:1" x14ac:dyDescent="0.2">
      <c r="A5437" s="52"/>
    </row>
    <row r="5438" spans="1:1" x14ac:dyDescent="0.2">
      <c r="A5438" s="52"/>
    </row>
    <row r="5439" spans="1:1" x14ac:dyDescent="0.2">
      <c r="A5439" s="52"/>
    </row>
    <row r="5440" spans="1:1" x14ac:dyDescent="0.2">
      <c r="A5440" s="52"/>
    </row>
    <row r="5441" spans="1:1" x14ac:dyDescent="0.2">
      <c r="A5441" s="52"/>
    </row>
    <row r="5442" spans="1:1" x14ac:dyDescent="0.2">
      <c r="A5442" s="52"/>
    </row>
    <row r="5443" spans="1:1" x14ac:dyDescent="0.2">
      <c r="A5443" s="52"/>
    </row>
    <row r="5444" spans="1:1" x14ac:dyDescent="0.2">
      <c r="A5444" s="52"/>
    </row>
    <row r="5445" spans="1:1" x14ac:dyDescent="0.2">
      <c r="A5445" s="52"/>
    </row>
    <row r="5446" spans="1:1" x14ac:dyDescent="0.2">
      <c r="A5446" s="52"/>
    </row>
    <row r="5447" spans="1:1" x14ac:dyDescent="0.2">
      <c r="A5447" s="53"/>
    </row>
    <row r="5448" spans="1:1" x14ac:dyDescent="0.2">
      <c r="A5448" s="53"/>
    </row>
    <row r="5449" spans="1:1" x14ac:dyDescent="0.2">
      <c r="A5449" s="53"/>
    </row>
    <row r="5450" spans="1:1" x14ac:dyDescent="0.2">
      <c r="A5450" s="52"/>
    </row>
    <row r="5451" spans="1:1" x14ac:dyDescent="0.2">
      <c r="A5451" s="52"/>
    </row>
    <row r="5452" spans="1:1" x14ac:dyDescent="0.2">
      <c r="A5452" s="52"/>
    </row>
    <row r="5453" spans="1:1" x14ac:dyDescent="0.2">
      <c r="A5453" s="52"/>
    </row>
    <row r="5454" spans="1:1" x14ac:dyDescent="0.2">
      <c r="A5454" s="52"/>
    </row>
    <row r="5455" spans="1:1" x14ac:dyDescent="0.2">
      <c r="A5455" s="52"/>
    </row>
    <row r="5456" spans="1:1" x14ac:dyDescent="0.2">
      <c r="A5456" s="52"/>
    </row>
    <row r="5457" spans="1:1" x14ac:dyDescent="0.2">
      <c r="A5457" s="52"/>
    </row>
    <row r="5458" spans="1:1" x14ac:dyDescent="0.2">
      <c r="A5458" s="52"/>
    </row>
    <row r="5459" spans="1:1" x14ac:dyDescent="0.2">
      <c r="A5459" s="52"/>
    </row>
    <row r="5460" spans="1:1" x14ac:dyDescent="0.2">
      <c r="A5460" s="52"/>
    </row>
    <row r="5461" spans="1:1" x14ac:dyDescent="0.2">
      <c r="A5461" s="52"/>
    </row>
    <row r="5462" spans="1:1" x14ac:dyDescent="0.2">
      <c r="A5462" s="52"/>
    </row>
    <row r="5463" spans="1:1" x14ac:dyDescent="0.2">
      <c r="A5463" s="52"/>
    </row>
    <row r="5464" spans="1:1" x14ac:dyDescent="0.2">
      <c r="A5464" s="52"/>
    </row>
    <row r="5465" spans="1:1" x14ac:dyDescent="0.2">
      <c r="A5465" s="52"/>
    </row>
    <row r="5466" spans="1:1" x14ac:dyDescent="0.2">
      <c r="A5466" s="52"/>
    </row>
    <row r="5467" spans="1:1" x14ac:dyDescent="0.2">
      <c r="A5467" s="52"/>
    </row>
    <row r="5468" spans="1:1" x14ac:dyDescent="0.2">
      <c r="A5468" s="52"/>
    </row>
    <row r="5469" spans="1:1" x14ac:dyDescent="0.2">
      <c r="A5469" s="52"/>
    </row>
    <row r="5470" spans="1:1" x14ac:dyDescent="0.2">
      <c r="A5470" s="52"/>
    </row>
    <row r="5471" spans="1:1" x14ac:dyDescent="0.2">
      <c r="A5471" s="52"/>
    </row>
    <row r="5472" spans="1:1" x14ac:dyDescent="0.2">
      <c r="A5472" s="52"/>
    </row>
    <row r="5473" spans="1:1" x14ac:dyDescent="0.2">
      <c r="A5473" s="52"/>
    </row>
    <row r="5474" spans="1:1" x14ac:dyDescent="0.2">
      <c r="A5474" s="52"/>
    </row>
    <row r="5475" spans="1:1" x14ac:dyDescent="0.2">
      <c r="A5475" s="52"/>
    </row>
    <row r="5476" spans="1:1" x14ac:dyDescent="0.2">
      <c r="A5476" s="52"/>
    </row>
    <row r="5477" spans="1:1" x14ac:dyDescent="0.2">
      <c r="A5477" s="52"/>
    </row>
    <row r="5478" spans="1:1" x14ac:dyDescent="0.2">
      <c r="A5478" s="52"/>
    </row>
    <row r="5479" spans="1:1" x14ac:dyDescent="0.2">
      <c r="A5479" s="52"/>
    </row>
    <row r="5480" spans="1:1" x14ac:dyDescent="0.2">
      <c r="A5480" s="52"/>
    </row>
    <row r="5481" spans="1:1" x14ac:dyDescent="0.2">
      <c r="A5481" s="52"/>
    </row>
    <row r="5482" spans="1:1" x14ac:dyDescent="0.2">
      <c r="A5482" s="52"/>
    </row>
    <row r="5483" spans="1:1" x14ac:dyDescent="0.2">
      <c r="A5483" s="53"/>
    </row>
    <row r="5484" spans="1:1" x14ac:dyDescent="0.2">
      <c r="A5484" s="52"/>
    </row>
    <row r="5485" spans="1:1" x14ac:dyDescent="0.2">
      <c r="A5485" s="52"/>
    </row>
    <row r="5486" spans="1:1" x14ac:dyDescent="0.2">
      <c r="A5486" s="52"/>
    </row>
    <row r="5487" spans="1:1" x14ac:dyDescent="0.2">
      <c r="A5487" s="52"/>
    </row>
    <row r="5488" spans="1:1" x14ac:dyDescent="0.2">
      <c r="A5488" s="52"/>
    </row>
    <row r="5489" spans="1:1" x14ac:dyDescent="0.2">
      <c r="A5489" s="52"/>
    </row>
    <row r="5490" spans="1:1" x14ac:dyDescent="0.2">
      <c r="A5490" s="52"/>
    </row>
    <row r="5491" spans="1:1" x14ac:dyDescent="0.2">
      <c r="A5491" s="52"/>
    </row>
    <row r="5492" spans="1:1" x14ac:dyDescent="0.2">
      <c r="A5492" s="52"/>
    </row>
    <row r="5493" spans="1:1" x14ac:dyDescent="0.2">
      <c r="A5493" s="53"/>
    </row>
    <row r="5494" spans="1:1" x14ac:dyDescent="0.2">
      <c r="A5494" s="52"/>
    </row>
    <row r="5495" spans="1:1" x14ac:dyDescent="0.2">
      <c r="A5495" s="52"/>
    </row>
    <row r="5496" spans="1:1" x14ac:dyDescent="0.2">
      <c r="A5496" s="52"/>
    </row>
    <row r="5497" spans="1:1" x14ac:dyDescent="0.2">
      <c r="A5497" s="52"/>
    </row>
    <row r="5498" spans="1:1" x14ac:dyDescent="0.2">
      <c r="A5498" s="53"/>
    </row>
    <row r="5499" spans="1:1" x14ac:dyDescent="0.2">
      <c r="A5499" s="52"/>
    </row>
    <row r="5500" spans="1:1" x14ac:dyDescent="0.2">
      <c r="A5500" s="52"/>
    </row>
    <row r="5501" spans="1:1" x14ac:dyDescent="0.2">
      <c r="A5501" s="52"/>
    </row>
    <row r="5502" spans="1:1" x14ac:dyDescent="0.2">
      <c r="A5502" s="52"/>
    </row>
    <row r="5503" spans="1:1" x14ac:dyDescent="0.2">
      <c r="A5503" s="52"/>
    </row>
    <row r="5504" spans="1:1" x14ac:dyDescent="0.2">
      <c r="A5504" s="52"/>
    </row>
    <row r="5505" spans="1:1" x14ac:dyDescent="0.2">
      <c r="A5505" s="52"/>
    </row>
    <row r="5506" spans="1:1" x14ac:dyDescent="0.2">
      <c r="A5506" s="52"/>
    </row>
    <row r="5507" spans="1:1" x14ac:dyDescent="0.2">
      <c r="A5507" s="52"/>
    </row>
    <row r="5508" spans="1:1" x14ac:dyDescent="0.2">
      <c r="A5508" s="52"/>
    </row>
    <row r="5509" spans="1:1" x14ac:dyDescent="0.2">
      <c r="A5509" s="52"/>
    </row>
    <row r="5510" spans="1:1" x14ac:dyDescent="0.2">
      <c r="A5510" s="52"/>
    </row>
    <row r="5511" spans="1:1" x14ac:dyDescent="0.2">
      <c r="A5511" s="52"/>
    </row>
    <row r="5512" spans="1:1" x14ac:dyDescent="0.2">
      <c r="A5512" s="52"/>
    </row>
    <row r="5513" spans="1:1" x14ac:dyDescent="0.2">
      <c r="A5513" s="52"/>
    </row>
    <row r="5514" spans="1:1" x14ac:dyDescent="0.2">
      <c r="A5514" s="52"/>
    </row>
    <row r="5515" spans="1:1" x14ac:dyDescent="0.2">
      <c r="A5515" s="52"/>
    </row>
    <row r="5516" spans="1:1" x14ac:dyDescent="0.2">
      <c r="A5516" s="52"/>
    </row>
    <row r="5517" spans="1:1" x14ac:dyDescent="0.2">
      <c r="A5517" s="52"/>
    </row>
    <row r="5518" spans="1:1" x14ac:dyDescent="0.2">
      <c r="A5518" s="52"/>
    </row>
    <row r="5519" spans="1:1" x14ac:dyDescent="0.2">
      <c r="A5519" s="52"/>
    </row>
    <row r="5520" spans="1:1" x14ac:dyDescent="0.2">
      <c r="A5520" s="52"/>
    </row>
    <row r="5521" spans="1:1" x14ac:dyDescent="0.2">
      <c r="A5521" s="52"/>
    </row>
    <row r="5522" spans="1:1" x14ac:dyDescent="0.2">
      <c r="A5522" s="52"/>
    </row>
    <row r="5523" spans="1:1" x14ac:dyDescent="0.2">
      <c r="A5523" s="52"/>
    </row>
    <row r="5524" spans="1:1" x14ac:dyDescent="0.2">
      <c r="A5524" s="52"/>
    </row>
    <row r="5525" spans="1:1" x14ac:dyDescent="0.2">
      <c r="A5525" s="52"/>
    </row>
    <row r="5526" spans="1:1" x14ac:dyDescent="0.2">
      <c r="A5526" s="52"/>
    </row>
    <row r="5527" spans="1:1" x14ac:dyDescent="0.2">
      <c r="A5527" s="52"/>
    </row>
    <row r="5528" spans="1:1" x14ac:dyDescent="0.2">
      <c r="A5528" s="52"/>
    </row>
    <row r="5529" spans="1:1" x14ac:dyDescent="0.2">
      <c r="A5529" s="52"/>
    </row>
    <row r="5530" spans="1:1" x14ac:dyDescent="0.2">
      <c r="A5530" s="52"/>
    </row>
    <row r="5531" spans="1:1" x14ac:dyDescent="0.2">
      <c r="A5531" s="52"/>
    </row>
    <row r="5532" spans="1:1" x14ac:dyDescent="0.2">
      <c r="A5532" s="52"/>
    </row>
    <row r="5533" spans="1:1" x14ac:dyDescent="0.2">
      <c r="A5533" s="52"/>
    </row>
    <row r="5534" spans="1:1" x14ac:dyDescent="0.2">
      <c r="A5534" s="52"/>
    </row>
    <row r="5535" spans="1:1" x14ac:dyDescent="0.2">
      <c r="A5535" s="52"/>
    </row>
    <row r="5536" spans="1:1" x14ac:dyDescent="0.2">
      <c r="A5536" s="52"/>
    </row>
    <row r="5537" spans="1:1" x14ac:dyDescent="0.2">
      <c r="A5537" s="52"/>
    </row>
    <row r="5538" spans="1:1" x14ac:dyDescent="0.2">
      <c r="A5538" s="52"/>
    </row>
    <row r="5539" spans="1:1" x14ac:dyDescent="0.2">
      <c r="A5539" s="52"/>
    </row>
    <row r="5540" spans="1:1" x14ac:dyDescent="0.2">
      <c r="A5540" s="52"/>
    </row>
    <row r="5541" spans="1:1" x14ac:dyDescent="0.2">
      <c r="A5541" s="53"/>
    </row>
    <row r="5542" spans="1:1" x14ac:dyDescent="0.2">
      <c r="A5542" s="52"/>
    </row>
    <row r="5543" spans="1:1" x14ac:dyDescent="0.2">
      <c r="A5543" s="52"/>
    </row>
    <row r="5544" spans="1:1" x14ac:dyDescent="0.2">
      <c r="A5544" s="52"/>
    </row>
    <row r="5545" spans="1:1" x14ac:dyDescent="0.2">
      <c r="A5545" s="52"/>
    </row>
    <row r="5546" spans="1:1" x14ac:dyDescent="0.2">
      <c r="A5546" s="52"/>
    </row>
    <row r="5547" spans="1:1" x14ac:dyDescent="0.2">
      <c r="A5547" s="52"/>
    </row>
    <row r="5548" spans="1:1" x14ac:dyDescent="0.2">
      <c r="A5548" s="53"/>
    </row>
    <row r="5549" spans="1:1" x14ac:dyDescent="0.2">
      <c r="A5549" s="52"/>
    </row>
    <row r="5550" spans="1:1" x14ac:dyDescent="0.2">
      <c r="A5550" s="52"/>
    </row>
    <row r="5551" spans="1:1" x14ac:dyDescent="0.2">
      <c r="A5551" s="52"/>
    </row>
    <row r="5552" spans="1:1" x14ac:dyDescent="0.2">
      <c r="A5552" s="52"/>
    </row>
    <row r="5553" spans="1:1" x14ac:dyDescent="0.2">
      <c r="A5553" s="52"/>
    </row>
    <row r="5554" spans="1:1" x14ac:dyDescent="0.2">
      <c r="A5554" s="52"/>
    </row>
    <row r="5555" spans="1:1" x14ac:dyDescent="0.2">
      <c r="A5555" s="52"/>
    </row>
    <row r="5556" spans="1:1" x14ac:dyDescent="0.2">
      <c r="A5556" s="52"/>
    </row>
    <row r="5557" spans="1:1" x14ac:dyDescent="0.2">
      <c r="A5557" s="52"/>
    </row>
    <row r="5558" spans="1:1" x14ac:dyDescent="0.2">
      <c r="A5558" s="52"/>
    </row>
    <row r="5559" spans="1:1" x14ac:dyDescent="0.2">
      <c r="A5559" s="52"/>
    </row>
    <row r="5560" spans="1:1" x14ac:dyDescent="0.2">
      <c r="A5560" s="52"/>
    </row>
    <row r="5561" spans="1:1" x14ac:dyDescent="0.2">
      <c r="A5561" s="52"/>
    </row>
    <row r="5562" spans="1:1" x14ac:dyDescent="0.2">
      <c r="A5562" s="52"/>
    </row>
    <row r="5563" spans="1:1" x14ac:dyDescent="0.2">
      <c r="A5563" s="53"/>
    </row>
    <row r="5564" spans="1:1" x14ac:dyDescent="0.2">
      <c r="A5564" s="52"/>
    </row>
    <row r="5565" spans="1:1" x14ac:dyDescent="0.2">
      <c r="A5565" s="52"/>
    </row>
    <row r="5566" spans="1:1" x14ac:dyDescent="0.2">
      <c r="A5566" s="52"/>
    </row>
    <row r="5567" spans="1:1" x14ac:dyDescent="0.2">
      <c r="A5567" s="52"/>
    </row>
    <row r="5568" spans="1:1" x14ac:dyDescent="0.2">
      <c r="A5568" s="52"/>
    </row>
    <row r="5569" spans="1:1" x14ac:dyDescent="0.2">
      <c r="A5569" s="52"/>
    </row>
    <row r="5570" spans="1:1" x14ac:dyDescent="0.2">
      <c r="A5570" s="52"/>
    </row>
    <row r="5571" spans="1:1" x14ac:dyDescent="0.2">
      <c r="A5571" s="52"/>
    </row>
    <row r="5572" spans="1:1" x14ac:dyDescent="0.2">
      <c r="A5572" s="52"/>
    </row>
    <row r="5573" spans="1:1" x14ac:dyDescent="0.2">
      <c r="A5573" s="52"/>
    </row>
    <row r="5574" spans="1:1" x14ac:dyDescent="0.2">
      <c r="A5574" s="52"/>
    </row>
    <row r="5575" spans="1:1" x14ac:dyDescent="0.2">
      <c r="A5575" s="52"/>
    </row>
    <row r="5576" spans="1:1" x14ac:dyDescent="0.2">
      <c r="A5576" s="52"/>
    </row>
    <row r="5577" spans="1:1" x14ac:dyDescent="0.2">
      <c r="A5577" s="52"/>
    </row>
    <row r="5578" spans="1:1" x14ac:dyDescent="0.2">
      <c r="A5578" s="52"/>
    </row>
    <row r="5579" spans="1:1" x14ac:dyDescent="0.2">
      <c r="A5579" s="52"/>
    </row>
    <row r="5580" spans="1:1" x14ac:dyDescent="0.2">
      <c r="A5580" s="52"/>
    </row>
    <row r="5581" spans="1:1" x14ac:dyDescent="0.2">
      <c r="A5581" s="52"/>
    </row>
    <row r="5582" spans="1:1" x14ac:dyDescent="0.2">
      <c r="A5582" s="52"/>
    </row>
    <row r="5583" spans="1:1" x14ac:dyDescent="0.2">
      <c r="A5583" s="53"/>
    </row>
    <row r="5584" spans="1:1" x14ac:dyDescent="0.2">
      <c r="A5584" s="52"/>
    </row>
    <row r="5585" spans="1:1" x14ac:dyDescent="0.2">
      <c r="A5585" s="52"/>
    </row>
    <row r="5586" spans="1:1" x14ac:dyDescent="0.2">
      <c r="A5586" s="53"/>
    </row>
    <row r="5587" spans="1:1" x14ac:dyDescent="0.2">
      <c r="A5587" s="52"/>
    </row>
    <row r="5588" spans="1:1" x14ac:dyDescent="0.2">
      <c r="A5588" s="52"/>
    </row>
    <row r="5589" spans="1:1" x14ac:dyDescent="0.2">
      <c r="A5589" s="52"/>
    </row>
    <row r="5590" spans="1:1" x14ac:dyDescent="0.2">
      <c r="A5590" s="52"/>
    </row>
    <row r="5591" spans="1:1" x14ac:dyDescent="0.2">
      <c r="A5591" s="52"/>
    </row>
    <row r="5592" spans="1:1" x14ac:dyDescent="0.2">
      <c r="A5592" s="52"/>
    </row>
    <row r="5593" spans="1:1" x14ac:dyDescent="0.2">
      <c r="A5593" s="52"/>
    </row>
    <row r="5594" spans="1:1" x14ac:dyDescent="0.2">
      <c r="A5594" s="52"/>
    </row>
    <row r="5595" spans="1:1" x14ac:dyDescent="0.2">
      <c r="A5595" s="52"/>
    </row>
    <row r="5596" spans="1:1" x14ac:dyDescent="0.2">
      <c r="A5596" s="52"/>
    </row>
    <row r="5597" spans="1:1" x14ac:dyDescent="0.2">
      <c r="A5597" s="52"/>
    </row>
    <row r="5598" spans="1:1" x14ac:dyDescent="0.2">
      <c r="A5598" s="52"/>
    </row>
    <row r="5599" spans="1:1" x14ac:dyDescent="0.2">
      <c r="A5599" s="52"/>
    </row>
    <row r="5600" spans="1:1" x14ac:dyDescent="0.2">
      <c r="A5600" s="52"/>
    </row>
    <row r="5601" spans="1:1" x14ac:dyDescent="0.2">
      <c r="A5601" s="52"/>
    </row>
    <row r="5602" spans="1:1" x14ac:dyDescent="0.2">
      <c r="A5602" s="52"/>
    </row>
    <row r="5603" spans="1:1" x14ac:dyDescent="0.2">
      <c r="A5603" s="52"/>
    </row>
    <row r="5604" spans="1:1" x14ac:dyDescent="0.2">
      <c r="A5604" s="52"/>
    </row>
    <row r="5605" spans="1:1" x14ac:dyDescent="0.2">
      <c r="A5605" s="52"/>
    </row>
    <row r="5606" spans="1:1" x14ac:dyDescent="0.2">
      <c r="A5606" s="52"/>
    </row>
    <row r="5607" spans="1:1" x14ac:dyDescent="0.2">
      <c r="A5607" s="52"/>
    </row>
    <row r="5608" spans="1:1" x14ac:dyDescent="0.2">
      <c r="A5608" s="52"/>
    </row>
    <row r="5609" spans="1:1" x14ac:dyDescent="0.2">
      <c r="A5609" s="52"/>
    </row>
    <row r="5610" spans="1:1" x14ac:dyDescent="0.2">
      <c r="A5610" s="52"/>
    </row>
    <row r="5611" spans="1:1" x14ac:dyDescent="0.2">
      <c r="A5611" s="52"/>
    </row>
    <row r="5612" spans="1:1" x14ac:dyDescent="0.2">
      <c r="A5612" s="52"/>
    </row>
    <row r="5613" spans="1:1" x14ac:dyDescent="0.2">
      <c r="A5613" s="52"/>
    </row>
    <row r="5614" spans="1:1" x14ac:dyDescent="0.2">
      <c r="A5614" s="52"/>
    </row>
    <row r="5615" spans="1:1" x14ac:dyDescent="0.2">
      <c r="A5615" s="53"/>
    </row>
    <row r="5616" spans="1:1" x14ac:dyDescent="0.2">
      <c r="A5616" s="52"/>
    </row>
    <row r="5617" spans="1:1" x14ac:dyDescent="0.2">
      <c r="A5617" s="52"/>
    </row>
    <row r="5618" spans="1:1" x14ac:dyDescent="0.2">
      <c r="A5618" s="52"/>
    </row>
    <row r="5619" spans="1:1" x14ac:dyDescent="0.2">
      <c r="A5619" s="52"/>
    </row>
    <row r="5620" spans="1:1" x14ac:dyDescent="0.2">
      <c r="A5620" s="52"/>
    </row>
    <row r="5621" spans="1:1" x14ac:dyDescent="0.2">
      <c r="A5621" s="52"/>
    </row>
    <row r="5622" spans="1:1" x14ac:dyDescent="0.2">
      <c r="A5622" s="52"/>
    </row>
    <row r="5623" spans="1:1" x14ac:dyDescent="0.2">
      <c r="A5623" s="52"/>
    </row>
    <row r="5624" spans="1:1" x14ac:dyDescent="0.2">
      <c r="A5624" s="53"/>
    </row>
    <row r="5625" spans="1:1" x14ac:dyDescent="0.2">
      <c r="A5625" s="52"/>
    </row>
    <row r="5626" spans="1:1" x14ac:dyDescent="0.2">
      <c r="A5626" s="52"/>
    </row>
    <row r="5627" spans="1:1" x14ac:dyDescent="0.2">
      <c r="A5627" s="52"/>
    </row>
    <row r="5628" spans="1:1" x14ac:dyDescent="0.2">
      <c r="A5628" s="52"/>
    </row>
    <row r="5629" spans="1:1" x14ac:dyDescent="0.2">
      <c r="A5629" s="52"/>
    </row>
    <row r="5630" spans="1:1" x14ac:dyDescent="0.2">
      <c r="A5630" s="52"/>
    </row>
    <row r="5631" spans="1:1" x14ac:dyDescent="0.2">
      <c r="A5631" s="52"/>
    </row>
    <row r="5632" spans="1:1" x14ac:dyDescent="0.2">
      <c r="A5632" s="52"/>
    </row>
    <row r="5633" spans="1:1" x14ac:dyDescent="0.2">
      <c r="A5633" s="52"/>
    </row>
    <row r="5634" spans="1:1" x14ac:dyDescent="0.2">
      <c r="A5634" s="52"/>
    </row>
    <row r="5635" spans="1:1" x14ac:dyDescent="0.2">
      <c r="A5635" s="52"/>
    </row>
    <row r="5636" spans="1:1" x14ac:dyDescent="0.2">
      <c r="A5636" s="52"/>
    </row>
    <row r="5637" spans="1:1" x14ac:dyDescent="0.2">
      <c r="A5637" s="52"/>
    </row>
    <row r="5638" spans="1:1" x14ac:dyDescent="0.2">
      <c r="A5638" s="53"/>
    </row>
    <row r="5639" spans="1:1" x14ac:dyDescent="0.2">
      <c r="A5639" s="52"/>
    </row>
    <row r="5640" spans="1:1" x14ac:dyDescent="0.2">
      <c r="A5640" s="53"/>
    </row>
    <row r="5641" spans="1:1" x14ac:dyDescent="0.2">
      <c r="A5641" s="52"/>
    </row>
    <row r="5642" spans="1:1" x14ac:dyDescent="0.2">
      <c r="A5642" s="52"/>
    </row>
    <row r="5643" spans="1:1" x14ac:dyDescent="0.2">
      <c r="A5643" s="52"/>
    </row>
    <row r="5644" spans="1:1" x14ac:dyDescent="0.2">
      <c r="A5644" s="52"/>
    </row>
    <row r="5645" spans="1:1" x14ac:dyDescent="0.2">
      <c r="A5645" s="52"/>
    </row>
    <row r="5646" spans="1:1" x14ac:dyDescent="0.2">
      <c r="A5646" s="52"/>
    </row>
    <row r="5647" spans="1:1" x14ac:dyDescent="0.2">
      <c r="A5647" s="52"/>
    </row>
    <row r="5648" spans="1:1" x14ac:dyDescent="0.2">
      <c r="A5648" s="52"/>
    </row>
    <row r="5649" spans="1:1" x14ac:dyDescent="0.2">
      <c r="A5649" s="52"/>
    </row>
    <row r="5650" spans="1:1" x14ac:dyDescent="0.2">
      <c r="A5650" s="52"/>
    </row>
    <row r="5651" spans="1:1" x14ac:dyDescent="0.2">
      <c r="A5651" s="52"/>
    </row>
    <row r="5652" spans="1:1" x14ac:dyDescent="0.2">
      <c r="A5652" s="52"/>
    </row>
    <row r="5653" spans="1:1" x14ac:dyDescent="0.2">
      <c r="A5653" s="52"/>
    </row>
    <row r="5654" spans="1:1" x14ac:dyDescent="0.2">
      <c r="A5654" s="52"/>
    </row>
    <row r="5655" spans="1:1" x14ac:dyDescent="0.2">
      <c r="A5655" s="52"/>
    </row>
    <row r="5656" spans="1:1" x14ac:dyDescent="0.2">
      <c r="A5656" s="52"/>
    </row>
    <row r="5657" spans="1:1" x14ac:dyDescent="0.2">
      <c r="A5657" s="52"/>
    </row>
    <row r="5658" spans="1:1" x14ac:dyDescent="0.2">
      <c r="A5658" s="53"/>
    </row>
    <row r="5659" spans="1:1" x14ac:dyDescent="0.2">
      <c r="A5659" s="52"/>
    </row>
    <row r="5660" spans="1:1" x14ac:dyDescent="0.2">
      <c r="A5660" s="52"/>
    </row>
    <row r="5661" spans="1:1" x14ac:dyDescent="0.2">
      <c r="A5661" s="52"/>
    </row>
    <row r="5662" spans="1:1" x14ac:dyDescent="0.2">
      <c r="A5662" s="52"/>
    </row>
    <row r="5663" spans="1:1" x14ac:dyDescent="0.2">
      <c r="A5663" s="52"/>
    </row>
    <row r="5664" spans="1:1" x14ac:dyDescent="0.2">
      <c r="A5664" s="52"/>
    </row>
    <row r="5665" spans="1:1" x14ac:dyDescent="0.2">
      <c r="A5665" s="52"/>
    </row>
    <row r="5666" spans="1:1" x14ac:dyDescent="0.2">
      <c r="A5666" s="52"/>
    </row>
    <row r="5667" spans="1:1" x14ac:dyDescent="0.2">
      <c r="A5667" s="52"/>
    </row>
    <row r="5668" spans="1:1" x14ac:dyDescent="0.2">
      <c r="A5668" s="52"/>
    </row>
    <row r="5669" spans="1:1" x14ac:dyDescent="0.2">
      <c r="A5669" s="52"/>
    </row>
    <row r="5670" spans="1:1" x14ac:dyDescent="0.2">
      <c r="A5670" s="52"/>
    </row>
    <row r="5671" spans="1:1" x14ac:dyDescent="0.2">
      <c r="A5671" s="52"/>
    </row>
    <row r="5672" spans="1:1" x14ac:dyDescent="0.2">
      <c r="A5672" s="53"/>
    </row>
    <row r="5673" spans="1:1" x14ac:dyDescent="0.2">
      <c r="A5673" s="52"/>
    </row>
    <row r="5674" spans="1:1" x14ac:dyDescent="0.2">
      <c r="A5674" s="52"/>
    </row>
    <row r="5675" spans="1:1" x14ac:dyDescent="0.2">
      <c r="A5675" s="52"/>
    </row>
    <row r="5676" spans="1:1" x14ac:dyDescent="0.2">
      <c r="A5676" s="52"/>
    </row>
    <row r="5677" spans="1:1" x14ac:dyDescent="0.2">
      <c r="A5677" s="52"/>
    </row>
    <row r="5678" spans="1:1" x14ac:dyDescent="0.2">
      <c r="A5678" s="52"/>
    </row>
    <row r="5679" spans="1:1" x14ac:dyDescent="0.2">
      <c r="A5679" s="52"/>
    </row>
    <row r="5680" spans="1:1" x14ac:dyDescent="0.2">
      <c r="A5680" s="52"/>
    </row>
    <row r="5681" spans="1:1" x14ac:dyDescent="0.2">
      <c r="A5681" s="52"/>
    </row>
    <row r="5682" spans="1:1" x14ac:dyDescent="0.2">
      <c r="A5682" s="52"/>
    </row>
    <row r="5683" spans="1:1" x14ac:dyDescent="0.2">
      <c r="A5683" s="52"/>
    </row>
    <row r="5684" spans="1:1" x14ac:dyDescent="0.2">
      <c r="A5684" s="52"/>
    </row>
    <row r="5685" spans="1:1" x14ac:dyDescent="0.2">
      <c r="A5685" s="52"/>
    </row>
    <row r="5686" spans="1:1" x14ac:dyDescent="0.2">
      <c r="A5686" s="52"/>
    </row>
    <row r="5687" spans="1:1" x14ac:dyDescent="0.2">
      <c r="A5687" s="52"/>
    </row>
    <row r="5688" spans="1:1" x14ac:dyDescent="0.2">
      <c r="A5688" s="52"/>
    </row>
    <row r="5689" spans="1:1" x14ac:dyDescent="0.2">
      <c r="A5689" s="52"/>
    </row>
    <row r="5690" spans="1:1" x14ac:dyDescent="0.2">
      <c r="A5690" s="52"/>
    </row>
    <row r="5691" spans="1:1" x14ac:dyDescent="0.2">
      <c r="A5691" s="52"/>
    </row>
    <row r="5692" spans="1:1" x14ac:dyDescent="0.2">
      <c r="A5692" s="52"/>
    </row>
    <row r="5693" spans="1:1" x14ac:dyDescent="0.2">
      <c r="A5693" s="53"/>
    </row>
    <row r="5694" spans="1:1" x14ac:dyDescent="0.2">
      <c r="A5694" s="52"/>
    </row>
    <row r="5695" spans="1:1" x14ac:dyDescent="0.2">
      <c r="A5695" s="52"/>
    </row>
    <row r="5696" spans="1:1" x14ac:dyDescent="0.2">
      <c r="A5696" s="52"/>
    </row>
    <row r="5697" spans="1:1" x14ac:dyDescent="0.2">
      <c r="A5697" s="52"/>
    </row>
    <row r="5698" spans="1:1" x14ac:dyDescent="0.2">
      <c r="A5698" s="52"/>
    </row>
    <row r="5699" spans="1:1" x14ac:dyDescent="0.2">
      <c r="A5699" s="52"/>
    </row>
    <row r="5700" spans="1:1" x14ac:dyDescent="0.2">
      <c r="A5700" s="53"/>
    </row>
    <row r="5701" spans="1:1" x14ac:dyDescent="0.2">
      <c r="A5701" s="53"/>
    </row>
    <row r="5702" spans="1:1" x14ac:dyDescent="0.2">
      <c r="A5702" s="53"/>
    </row>
    <row r="5703" spans="1:1" x14ac:dyDescent="0.2">
      <c r="A5703" s="52"/>
    </row>
    <row r="5704" spans="1:1" x14ac:dyDescent="0.2">
      <c r="A5704" s="52"/>
    </row>
    <row r="5705" spans="1:1" x14ac:dyDescent="0.2">
      <c r="A5705" s="52"/>
    </row>
    <row r="5706" spans="1:1" x14ac:dyDescent="0.2">
      <c r="A5706" s="52"/>
    </row>
    <row r="5707" spans="1:1" x14ac:dyDescent="0.2">
      <c r="A5707" s="52"/>
    </row>
    <row r="5708" spans="1:1" x14ac:dyDescent="0.2">
      <c r="A5708" s="53"/>
    </row>
    <row r="5709" spans="1:1" x14ac:dyDescent="0.2">
      <c r="A5709" s="52"/>
    </row>
    <row r="5710" spans="1:1" x14ac:dyDescent="0.2">
      <c r="A5710" s="53"/>
    </row>
    <row r="5711" spans="1:1" x14ac:dyDescent="0.2">
      <c r="A5711" s="52"/>
    </row>
    <row r="5712" spans="1:1" x14ac:dyDescent="0.2">
      <c r="A5712" s="52"/>
    </row>
    <row r="5713" spans="1:1" x14ac:dyDescent="0.2">
      <c r="A5713" s="52"/>
    </row>
    <row r="5714" spans="1:1" x14ac:dyDescent="0.2">
      <c r="A5714" s="53"/>
    </row>
    <row r="5715" spans="1:1" x14ac:dyDescent="0.2">
      <c r="A5715" s="52"/>
    </row>
    <row r="5716" spans="1:1" x14ac:dyDescent="0.2">
      <c r="A5716" s="52"/>
    </row>
    <row r="5717" spans="1:1" x14ac:dyDescent="0.2">
      <c r="A5717" s="52"/>
    </row>
    <row r="5718" spans="1:1" x14ac:dyDescent="0.2">
      <c r="A5718" s="52"/>
    </row>
    <row r="5719" spans="1:1" x14ac:dyDescent="0.2">
      <c r="A5719" s="52"/>
    </row>
    <row r="5720" spans="1:1" x14ac:dyDescent="0.2">
      <c r="A5720" s="52"/>
    </row>
    <row r="5721" spans="1:1" x14ac:dyDescent="0.2">
      <c r="A5721" s="52"/>
    </row>
    <row r="5722" spans="1:1" x14ac:dyDescent="0.2">
      <c r="A5722" s="52"/>
    </row>
    <row r="5723" spans="1:1" x14ac:dyDescent="0.2">
      <c r="A5723" s="52"/>
    </row>
    <row r="5724" spans="1:1" x14ac:dyDescent="0.2">
      <c r="A5724" s="52"/>
    </row>
    <row r="5725" spans="1:1" x14ac:dyDescent="0.2">
      <c r="A5725" s="52"/>
    </row>
    <row r="5726" spans="1:1" x14ac:dyDescent="0.2">
      <c r="A5726" s="52"/>
    </row>
    <row r="5727" spans="1:1" x14ac:dyDescent="0.2">
      <c r="A5727" s="52"/>
    </row>
    <row r="5728" spans="1:1" x14ac:dyDescent="0.2">
      <c r="A5728" s="52"/>
    </row>
    <row r="5729" spans="1:1" x14ac:dyDescent="0.2">
      <c r="A5729" s="52"/>
    </row>
    <row r="5730" spans="1:1" x14ac:dyDescent="0.2">
      <c r="A5730" s="52"/>
    </row>
    <row r="5731" spans="1:1" x14ac:dyDescent="0.2">
      <c r="A5731" s="52"/>
    </row>
    <row r="5732" spans="1:1" x14ac:dyDescent="0.2">
      <c r="A5732" s="52"/>
    </row>
    <row r="5733" spans="1:1" x14ac:dyDescent="0.2">
      <c r="A5733" s="52"/>
    </row>
    <row r="5734" spans="1:1" x14ac:dyDescent="0.2">
      <c r="A5734" s="52"/>
    </row>
    <row r="5735" spans="1:1" x14ac:dyDescent="0.2">
      <c r="A5735" s="52"/>
    </row>
    <row r="5736" spans="1:1" x14ac:dyDescent="0.2">
      <c r="A5736" s="52"/>
    </row>
    <row r="5737" spans="1:1" x14ac:dyDescent="0.2">
      <c r="A5737" s="52"/>
    </row>
    <row r="5738" spans="1:1" x14ac:dyDescent="0.2">
      <c r="A5738" s="52"/>
    </row>
    <row r="5739" spans="1:1" x14ac:dyDescent="0.2">
      <c r="A5739" s="53"/>
    </row>
    <row r="5740" spans="1:1" x14ac:dyDescent="0.2">
      <c r="A5740" s="52"/>
    </row>
    <row r="5741" spans="1:1" x14ac:dyDescent="0.2">
      <c r="A5741" s="52"/>
    </row>
    <row r="5742" spans="1:1" x14ac:dyDescent="0.2">
      <c r="A5742" s="52"/>
    </row>
    <row r="5743" spans="1:1" x14ac:dyDescent="0.2">
      <c r="A5743" s="52"/>
    </row>
    <row r="5744" spans="1:1" x14ac:dyDescent="0.2">
      <c r="A5744" s="52"/>
    </row>
    <row r="5745" spans="1:1" x14ac:dyDescent="0.2">
      <c r="A5745" s="52"/>
    </row>
    <row r="5746" spans="1:1" x14ac:dyDescent="0.2">
      <c r="A5746" s="52"/>
    </row>
    <row r="5747" spans="1:1" x14ac:dyDescent="0.2">
      <c r="A5747" s="52"/>
    </row>
    <row r="5748" spans="1:1" x14ac:dyDescent="0.2">
      <c r="A5748" s="53"/>
    </row>
    <row r="5749" spans="1:1" x14ac:dyDescent="0.2">
      <c r="A5749" s="52"/>
    </row>
    <row r="5750" spans="1:1" x14ac:dyDescent="0.2">
      <c r="A5750" s="52"/>
    </row>
    <row r="5751" spans="1:1" x14ac:dyDescent="0.2">
      <c r="A5751" s="52"/>
    </row>
    <row r="5752" spans="1:1" x14ac:dyDescent="0.2">
      <c r="A5752" s="52"/>
    </row>
    <row r="5753" spans="1:1" x14ac:dyDescent="0.2">
      <c r="A5753" s="52"/>
    </row>
    <row r="5754" spans="1:1" x14ac:dyDescent="0.2">
      <c r="A5754" s="52"/>
    </row>
    <row r="5755" spans="1:1" x14ac:dyDescent="0.2">
      <c r="A5755" s="52"/>
    </row>
    <row r="5756" spans="1:1" x14ac:dyDescent="0.2">
      <c r="A5756" s="52"/>
    </row>
    <row r="5757" spans="1:1" x14ac:dyDescent="0.2">
      <c r="A5757" s="52"/>
    </row>
    <row r="5758" spans="1:1" x14ac:dyDescent="0.2">
      <c r="A5758" s="52"/>
    </row>
    <row r="5759" spans="1:1" x14ac:dyDescent="0.2">
      <c r="A5759" s="52"/>
    </row>
    <row r="5760" spans="1:1" x14ac:dyDescent="0.2">
      <c r="A5760" s="52"/>
    </row>
    <row r="5761" spans="1:1" x14ac:dyDescent="0.2">
      <c r="A5761" s="52"/>
    </row>
    <row r="5762" spans="1:1" x14ac:dyDescent="0.2">
      <c r="A5762" s="52"/>
    </row>
    <row r="5763" spans="1:1" x14ac:dyDescent="0.2">
      <c r="A5763" s="52"/>
    </row>
    <row r="5764" spans="1:1" x14ac:dyDescent="0.2">
      <c r="A5764" s="52"/>
    </row>
    <row r="5765" spans="1:1" x14ac:dyDescent="0.2">
      <c r="A5765" s="52"/>
    </row>
    <row r="5766" spans="1:1" x14ac:dyDescent="0.2">
      <c r="A5766" s="52"/>
    </row>
    <row r="5767" spans="1:1" x14ac:dyDescent="0.2">
      <c r="A5767" s="52"/>
    </row>
    <row r="5768" spans="1:1" x14ac:dyDescent="0.2">
      <c r="A5768" s="52"/>
    </row>
    <row r="5769" spans="1:1" x14ac:dyDescent="0.2">
      <c r="A5769" s="52"/>
    </row>
    <row r="5770" spans="1:1" x14ac:dyDescent="0.2">
      <c r="A5770" s="52"/>
    </row>
    <row r="5771" spans="1:1" x14ac:dyDescent="0.2">
      <c r="A5771" s="52"/>
    </row>
    <row r="5772" spans="1:1" x14ac:dyDescent="0.2">
      <c r="A5772" s="52"/>
    </row>
    <row r="5773" spans="1:1" x14ac:dyDescent="0.2">
      <c r="A5773" s="52"/>
    </row>
    <row r="5774" spans="1:1" x14ac:dyDescent="0.2">
      <c r="A5774" s="53"/>
    </row>
    <row r="5775" spans="1:1" x14ac:dyDescent="0.2">
      <c r="A5775" s="52"/>
    </row>
    <row r="5776" spans="1:1" x14ac:dyDescent="0.2">
      <c r="A5776" s="53"/>
    </row>
    <row r="5777" spans="1:1" x14ac:dyDescent="0.2">
      <c r="A5777" s="52"/>
    </row>
    <row r="5778" spans="1:1" x14ac:dyDescent="0.2">
      <c r="A5778" s="52"/>
    </row>
    <row r="5779" spans="1:1" x14ac:dyDescent="0.2">
      <c r="A5779" s="52"/>
    </row>
    <row r="5780" spans="1:1" x14ac:dyDescent="0.2">
      <c r="A5780" s="52"/>
    </row>
    <row r="5781" spans="1:1" x14ac:dyDescent="0.2">
      <c r="A5781" s="52"/>
    </row>
    <row r="5782" spans="1:1" x14ac:dyDescent="0.2">
      <c r="A5782" s="52"/>
    </row>
    <row r="5783" spans="1:1" x14ac:dyDescent="0.2">
      <c r="A5783" s="52"/>
    </row>
    <row r="5784" spans="1:1" x14ac:dyDescent="0.2">
      <c r="A5784" s="52"/>
    </row>
    <row r="5785" spans="1:1" x14ac:dyDescent="0.2">
      <c r="A5785" s="52"/>
    </row>
    <row r="5786" spans="1:1" x14ac:dyDescent="0.2">
      <c r="A5786" s="52"/>
    </row>
    <row r="5787" spans="1:1" x14ac:dyDescent="0.2">
      <c r="A5787" s="52"/>
    </row>
    <row r="5788" spans="1:1" x14ac:dyDescent="0.2">
      <c r="A5788" s="52"/>
    </row>
    <row r="5789" spans="1:1" x14ac:dyDescent="0.2">
      <c r="A5789" s="52"/>
    </row>
    <row r="5790" spans="1:1" x14ac:dyDescent="0.2">
      <c r="A5790" s="52"/>
    </row>
    <row r="5791" spans="1:1" x14ac:dyDescent="0.2">
      <c r="A5791" s="52"/>
    </row>
    <row r="5792" spans="1:1" x14ac:dyDescent="0.2">
      <c r="A5792" s="52"/>
    </row>
    <row r="5793" spans="1:1" x14ac:dyDescent="0.2">
      <c r="A5793" s="52"/>
    </row>
    <row r="5794" spans="1:1" x14ac:dyDescent="0.2">
      <c r="A5794" s="52"/>
    </row>
    <row r="5795" spans="1:1" x14ac:dyDescent="0.2">
      <c r="A5795" s="52"/>
    </row>
    <row r="5796" spans="1:1" x14ac:dyDescent="0.2">
      <c r="A5796" s="52"/>
    </row>
    <row r="5797" spans="1:1" x14ac:dyDescent="0.2">
      <c r="A5797" s="53"/>
    </row>
    <row r="5798" spans="1:1" x14ac:dyDescent="0.2">
      <c r="A5798" s="52"/>
    </row>
    <row r="5799" spans="1:1" x14ac:dyDescent="0.2">
      <c r="A5799" s="52"/>
    </row>
    <row r="5800" spans="1:1" x14ac:dyDescent="0.2">
      <c r="A5800" s="52"/>
    </row>
    <row r="5801" spans="1:1" x14ac:dyDescent="0.2">
      <c r="A5801" s="52"/>
    </row>
    <row r="5802" spans="1:1" x14ac:dyDescent="0.2">
      <c r="A5802" s="52"/>
    </row>
    <row r="5803" spans="1:1" x14ac:dyDescent="0.2">
      <c r="A5803" s="52"/>
    </row>
    <row r="5804" spans="1:1" x14ac:dyDescent="0.2">
      <c r="A5804" s="52"/>
    </row>
    <row r="5805" spans="1:1" x14ac:dyDescent="0.2">
      <c r="A5805" s="52"/>
    </row>
    <row r="5806" spans="1:1" x14ac:dyDescent="0.2">
      <c r="A5806" s="52"/>
    </row>
    <row r="5807" spans="1:1" x14ac:dyDescent="0.2">
      <c r="A5807" s="52"/>
    </row>
    <row r="5808" spans="1:1" x14ac:dyDescent="0.2">
      <c r="A5808" s="52"/>
    </row>
    <row r="5809" spans="1:1" x14ac:dyDescent="0.2">
      <c r="A5809" s="52"/>
    </row>
    <row r="5810" spans="1:1" x14ac:dyDescent="0.2">
      <c r="A5810" s="52"/>
    </row>
    <row r="5811" spans="1:1" x14ac:dyDescent="0.2">
      <c r="A5811" s="52"/>
    </row>
    <row r="5812" spans="1:1" x14ac:dyDescent="0.2">
      <c r="A5812" s="52"/>
    </row>
    <row r="5813" spans="1:1" x14ac:dyDescent="0.2">
      <c r="A5813" s="52"/>
    </row>
    <row r="5814" spans="1:1" x14ac:dyDescent="0.2">
      <c r="A5814" s="52"/>
    </row>
    <row r="5815" spans="1:1" x14ac:dyDescent="0.2">
      <c r="A5815" s="52"/>
    </row>
    <row r="5816" spans="1:1" x14ac:dyDescent="0.2">
      <c r="A5816" s="52"/>
    </row>
    <row r="5817" spans="1:1" x14ac:dyDescent="0.2">
      <c r="A5817" s="52"/>
    </row>
    <row r="5818" spans="1:1" x14ac:dyDescent="0.2">
      <c r="A5818" s="52"/>
    </row>
    <row r="5819" spans="1:1" x14ac:dyDescent="0.2">
      <c r="A5819" s="52"/>
    </row>
    <row r="5820" spans="1:1" x14ac:dyDescent="0.2">
      <c r="A5820" s="52"/>
    </row>
    <row r="5821" spans="1:1" x14ac:dyDescent="0.2">
      <c r="A5821" s="52"/>
    </row>
    <row r="5822" spans="1:1" x14ac:dyDescent="0.2">
      <c r="A5822" s="52"/>
    </row>
    <row r="5823" spans="1:1" x14ac:dyDescent="0.2">
      <c r="A5823" s="52"/>
    </row>
    <row r="5824" spans="1:1" x14ac:dyDescent="0.2">
      <c r="A5824" s="52"/>
    </row>
    <row r="5825" spans="1:1" x14ac:dyDescent="0.2">
      <c r="A5825" s="52"/>
    </row>
    <row r="5826" spans="1:1" x14ac:dyDescent="0.2">
      <c r="A5826" s="52"/>
    </row>
    <row r="5827" spans="1:1" x14ac:dyDescent="0.2">
      <c r="A5827" s="52"/>
    </row>
    <row r="5828" spans="1:1" x14ac:dyDescent="0.2">
      <c r="A5828" s="52"/>
    </row>
    <row r="5829" spans="1:1" x14ac:dyDescent="0.2">
      <c r="A5829" s="52"/>
    </row>
    <row r="5830" spans="1:1" x14ac:dyDescent="0.2">
      <c r="A5830" s="52"/>
    </row>
    <row r="5831" spans="1:1" x14ac:dyDescent="0.2">
      <c r="A5831" s="53"/>
    </row>
    <row r="5832" spans="1:1" x14ac:dyDescent="0.2">
      <c r="A5832" s="52"/>
    </row>
    <row r="5833" spans="1:1" x14ac:dyDescent="0.2">
      <c r="A5833" s="52"/>
    </row>
    <row r="5834" spans="1:1" x14ac:dyDescent="0.2">
      <c r="A5834" s="53"/>
    </row>
    <row r="5835" spans="1:1" x14ac:dyDescent="0.2">
      <c r="A5835" s="52"/>
    </row>
    <row r="5836" spans="1:1" x14ac:dyDescent="0.2">
      <c r="A5836" s="52"/>
    </row>
    <row r="5837" spans="1:1" x14ac:dyDescent="0.2">
      <c r="A5837" s="52"/>
    </row>
    <row r="5838" spans="1:1" x14ac:dyDescent="0.2">
      <c r="A5838" s="52"/>
    </row>
    <row r="5839" spans="1:1" x14ac:dyDescent="0.2">
      <c r="A5839" s="52"/>
    </row>
    <row r="5840" spans="1:1" x14ac:dyDescent="0.2">
      <c r="A5840" s="52"/>
    </row>
    <row r="5841" spans="1:1" x14ac:dyDescent="0.2">
      <c r="A5841" s="52"/>
    </row>
    <row r="5842" spans="1:1" x14ac:dyDescent="0.2">
      <c r="A5842" s="53"/>
    </row>
    <row r="5843" spans="1:1" x14ac:dyDescent="0.2">
      <c r="A5843" s="53"/>
    </row>
    <row r="5844" spans="1:1" x14ac:dyDescent="0.2">
      <c r="A5844" s="52"/>
    </row>
    <row r="5845" spans="1:1" x14ac:dyDescent="0.2">
      <c r="A5845" s="52"/>
    </row>
    <row r="5846" spans="1:1" x14ac:dyDescent="0.2">
      <c r="A5846" s="52"/>
    </row>
    <row r="5847" spans="1:1" x14ac:dyDescent="0.2">
      <c r="A5847" s="52"/>
    </row>
    <row r="5848" spans="1:1" x14ac:dyDescent="0.2">
      <c r="A5848" s="52"/>
    </row>
    <row r="5849" spans="1:1" x14ac:dyDescent="0.2">
      <c r="A5849" s="52"/>
    </row>
    <row r="5850" spans="1:1" x14ac:dyDescent="0.2">
      <c r="A5850" s="52"/>
    </row>
    <row r="5851" spans="1:1" x14ac:dyDescent="0.2">
      <c r="A5851" s="52"/>
    </row>
    <row r="5852" spans="1:1" x14ac:dyDescent="0.2">
      <c r="A5852" s="52"/>
    </row>
    <row r="5853" spans="1:1" x14ac:dyDescent="0.2">
      <c r="A5853" s="52"/>
    </row>
    <row r="5854" spans="1:1" x14ac:dyDescent="0.2">
      <c r="A5854" s="52"/>
    </row>
    <row r="5855" spans="1:1" x14ac:dyDescent="0.2">
      <c r="A5855" s="52"/>
    </row>
    <row r="5856" spans="1:1" x14ac:dyDescent="0.2">
      <c r="A5856" s="52"/>
    </row>
    <row r="5857" spans="1:1" x14ac:dyDescent="0.2">
      <c r="A5857" s="52"/>
    </row>
    <row r="5858" spans="1:1" x14ac:dyDescent="0.2">
      <c r="A5858" s="52"/>
    </row>
    <row r="5859" spans="1:1" x14ac:dyDescent="0.2">
      <c r="A5859" s="52"/>
    </row>
    <row r="5860" spans="1:1" x14ac:dyDescent="0.2">
      <c r="A5860" s="53"/>
    </row>
    <row r="5861" spans="1:1" x14ac:dyDescent="0.2">
      <c r="A5861" s="53"/>
    </row>
    <row r="5862" spans="1:1" x14ac:dyDescent="0.2">
      <c r="A5862" s="52"/>
    </row>
    <row r="5863" spans="1:1" x14ac:dyDescent="0.2">
      <c r="A5863" s="52"/>
    </row>
    <row r="5864" spans="1:1" x14ac:dyDescent="0.2">
      <c r="A5864" s="53"/>
    </row>
    <row r="5865" spans="1:1" x14ac:dyDescent="0.2">
      <c r="A5865" s="52"/>
    </row>
    <row r="5866" spans="1:1" x14ac:dyDescent="0.2">
      <c r="A5866" s="52"/>
    </row>
    <row r="5867" spans="1:1" x14ac:dyDescent="0.2">
      <c r="A5867" s="52"/>
    </row>
    <row r="5868" spans="1:1" x14ac:dyDescent="0.2">
      <c r="A5868" s="52"/>
    </row>
    <row r="5869" spans="1:1" x14ac:dyDescent="0.2">
      <c r="A5869" s="52"/>
    </row>
    <row r="5870" spans="1:1" x14ac:dyDescent="0.2">
      <c r="A5870" s="52"/>
    </row>
    <row r="5871" spans="1:1" x14ac:dyDescent="0.2">
      <c r="A5871" s="52"/>
    </row>
    <row r="5872" spans="1:1" x14ac:dyDescent="0.2">
      <c r="A5872" s="52"/>
    </row>
    <row r="5873" spans="1:1" x14ac:dyDescent="0.2">
      <c r="A5873" s="52"/>
    </row>
    <row r="5874" spans="1:1" x14ac:dyDescent="0.2">
      <c r="A5874" s="52"/>
    </row>
    <row r="5875" spans="1:1" x14ac:dyDescent="0.2">
      <c r="A5875" s="52"/>
    </row>
    <row r="5876" spans="1:1" x14ac:dyDescent="0.2">
      <c r="A5876" s="52"/>
    </row>
    <row r="5877" spans="1:1" x14ac:dyDescent="0.2">
      <c r="A5877" s="52"/>
    </row>
    <row r="5878" spans="1:1" x14ac:dyDescent="0.2">
      <c r="A5878" s="52"/>
    </row>
    <row r="5879" spans="1:1" x14ac:dyDescent="0.2">
      <c r="A5879" s="52"/>
    </row>
    <row r="5880" spans="1:1" x14ac:dyDescent="0.2">
      <c r="A5880" s="52"/>
    </row>
    <row r="5881" spans="1:1" x14ac:dyDescent="0.2">
      <c r="A5881" s="52"/>
    </row>
    <row r="5882" spans="1:1" x14ac:dyDescent="0.2">
      <c r="A5882" s="52"/>
    </row>
    <row r="5883" spans="1:1" x14ac:dyDescent="0.2">
      <c r="A5883" s="52"/>
    </row>
    <row r="5884" spans="1:1" x14ac:dyDescent="0.2">
      <c r="A5884" s="52"/>
    </row>
    <row r="5885" spans="1:1" x14ac:dyDescent="0.2">
      <c r="A5885" s="52"/>
    </row>
    <row r="5886" spans="1:1" x14ac:dyDescent="0.2">
      <c r="A5886" s="52"/>
    </row>
    <row r="5887" spans="1:1" x14ac:dyDescent="0.2">
      <c r="A5887" s="52"/>
    </row>
    <row r="5888" spans="1:1" x14ac:dyDescent="0.2">
      <c r="A5888" s="52"/>
    </row>
    <row r="5889" spans="1:1" x14ac:dyDescent="0.2">
      <c r="A5889" s="53"/>
    </row>
    <row r="5890" spans="1:1" x14ac:dyDescent="0.2">
      <c r="A5890" s="52"/>
    </row>
    <row r="5891" spans="1:1" x14ac:dyDescent="0.2">
      <c r="A5891" s="53"/>
    </row>
    <row r="5892" spans="1:1" x14ac:dyDescent="0.2">
      <c r="A5892" s="52"/>
    </row>
    <row r="5893" spans="1:1" x14ac:dyDescent="0.2">
      <c r="A5893" s="52"/>
    </row>
    <row r="5894" spans="1:1" x14ac:dyDescent="0.2">
      <c r="A5894" s="52"/>
    </row>
    <row r="5895" spans="1:1" x14ac:dyDescent="0.2">
      <c r="A5895" s="53"/>
    </row>
    <row r="5896" spans="1:1" x14ac:dyDescent="0.2">
      <c r="A5896" s="52"/>
    </row>
    <row r="5897" spans="1:1" x14ac:dyDescent="0.2">
      <c r="A5897" s="52"/>
    </row>
    <row r="5898" spans="1:1" x14ac:dyDescent="0.2">
      <c r="A5898" s="52"/>
    </row>
    <row r="5899" spans="1:1" x14ac:dyDescent="0.2">
      <c r="A5899" s="52"/>
    </row>
    <row r="5900" spans="1:1" x14ac:dyDescent="0.2">
      <c r="A5900" s="52"/>
    </row>
    <row r="5901" spans="1:1" x14ac:dyDescent="0.2">
      <c r="A5901" s="52"/>
    </row>
    <row r="5902" spans="1:1" x14ac:dyDescent="0.2">
      <c r="A5902" s="52"/>
    </row>
    <row r="5903" spans="1:1" x14ac:dyDescent="0.2">
      <c r="A5903" s="52"/>
    </row>
    <row r="5904" spans="1:1" x14ac:dyDescent="0.2">
      <c r="A5904" s="52"/>
    </row>
    <row r="5905" spans="1:1" x14ac:dyDescent="0.2">
      <c r="A5905" s="52"/>
    </row>
    <row r="5906" spans="1:1" x14ac:dyDescent="0.2">
      <c r="A5906" s="52"/>
    </row>
    <row r="5907" spans="1:1" x14ac:dyDescent="0.2">
      <c r="A5907" s="52"/>
    </row>
    <row r="5908" spans="1:1" x14ac:dyDescent="0.2">
      <c r="A5908" s="52"/>
    </row>
    <row r="5909" spans="1:1" x14ac:dyDescent="0.2">
      <c r="A5909" s="52"/>
    </row>
    <row r="5910" spans="1:1" x14ac:dyDescent="0.2">
      <c r="A5910" s="52"/>
    </row>
    <row r="5911" spans="1:1" x14ac:dyDescent="0.2">
      <c r="A5911" s="52"/>
    </row>
    <row r="5912" spans="1:1" x14ac:dyDescent="0.2">
      <c r="A5912" s="52"/>
    </row>
    <row r="5913" spans="1:1" x14ac:dyDescent="0.2">
      <c r="A5913" s="52"/>
    </row>
    <row r="5914" spans="1:1" x14ac:dyDescent="0.2">
      <c r="A5914" s="52"/>
    </row>
    <row r="5915" spans="1:1" x14ac:dyDescent="0.2">
      <c r="A5915" s="52"/>
    </row>
    <row r="5916" spans="1:1" x14ac:dyDescent="0.2">
      <c r="A5916" s="52"/>
    </row>
    <row r="5917" spans="1:1" x14ac:dyDescent="0.2">
      <c r="A5917" s="52"/>
    </row>
    <row r="5918" spans="1:1" x14ac:dyDescent="0.2">
      <c r="A5918" s="52"/>
    </row>
    <row r="5919" spans="1:1" x14ac:dyDescent="0.2">
      <c r="A5919" s="52"/>
    </row>
    <row r="5920" spans="1:1" x14ac:dyDescent="0.2">
      <c r="A5920" s="52"/>
    </row>
    <row r="5921" spans="1:1" x14ac:dyDescent="0.2">
      <c r="A5921" s="52"/>
    </row>
    <row r="5922" spans="1:1" x14ac:dyDescent="0.2">
      <c r="A5922" s="52"/>
    </row>
    <row r="5923" spans="1:1" x14ac:dyDescent="0.2">
      <c r="A5923" s="52"/>
    </row>
    <row r="5924" spans="1:1" x14ac:dyDescent="0.2">
      <c r="A5924" s="52"/>
    </row>
    <row r="5925" spans="1:1" x14ac:dyDescent="0.2">
      <c r="A5925" s="52"/>
    </row>
    <row r="5926" spans="1:1" x14ac:dyDescent="0.2">
      <c r="A5926" s="52"/>
    </row>
    <row r="5927" spans="1:1" x14ac:dyDescent="0.2">
      <c r="A5927" s="52"/>
    </row>
    <row r="5928" spans="1:1" x14ac:dyDescent="0.2">
      <c r="A5928" s="52"/>
    </row>
    <row r="5929" spans="1:1" x14ac:dyDescent="0.2">
      <c r="A5929" s="52"/>
    </row>
    <row r="5930" spans="1:1" x14ac:dyDescent="0.2">
      <c r="A5930" s="52"/>
    </row>
    <row r="5931" spans="1:1" x14ac:dyDescent="0.2">
      <c r="A5931" s="52"/>
    </row>
    <row r="5932" spans="1:1" x14ac:dyDescent="0.2">
      <c r="A5932" s="53"/>
    </row>
    <row r="5933" spans="1:1" x14ac:dyDescent="0.2">
      <c r="A5933" s="52"/>
    </row>
    <row r="5934" spans="1:1" x14ac:dyDescent="0.2">
      <c r="A5934" s="52"/>
    </row>
    <row r="5935" spans="1:1" x14ac:dyDescent="0.2">
      <c r="A5935" s="52"/>
    </row>
    <row r="5936" spans="1:1" x14ac:dyDescent="0.2">
      <c r="A5936" s="52"/>
    </row>
    <row r="5937" spans="1:1" x14ac:dyDescent="0.2">
      <c r="A5937" s="52"/>
    </row>
    <row r="5938" spans="1:1" x14ac:dyDescent="0.2">
      <c r="A5938" s="52"/>
    </row>
    <row r="5939" spans="1:1" x14ac:dyDescent="0.2">
      <c r="A5939" s="52"/>
    </row>
    <row r="5940" spans="1:1" x14ac:dyDescent="0.2">
      <c r="A5940" s="52"/>
    </row>
    <row r="5941" spans="1:1" x14ac:dyDescent="0.2">
      <c r="A5941" s="52"/>
    </row>
    <row r="5942" spans="1:1" x14ac:dyDescent="0.2">
      <c r="A5942" s="52"/>
    </row>
    <row r="5943" spans="1:1" x14ac:dyDescent="0.2">
      <c r="A5943" s="52"/>
    </row>
    <row r="5944" spans="1:1" x14ac:dyDescent="0.2">
      <c r="A5944" s="52"/>
    </row>
    <row r="5945" spans="1:1" x14ac:dyDescent="0.2">
      <c r="A5945" s="52"/>
    </row>
    <row r="5946" spans="1:1" x14ac:dyDescent="0.2">
      <c r="A5946" s="52"/>
    </row>
    <row r="5947" spans="1:1" x14ac:dyDescent="0.2">
      <c r="A5947" s="52"/>
    </row>
    <row r="5948" spans="1:1" x14ac:dyDescent="0.2">
      <c r="A5948" s="52"/>
    </row>
    <row r="5949" spans="1:1" x14ac:dyDescent="0.2">
      <c r="A5949" s="52"/>
    </row>
    <row r="5950" spans="1:1" x14ac:dyDescent="0.2">
      <c r="A5950" s="52"/>
    </row>
    <row r="5951" spans="1:1" x14ac:dyDescent="0.2">
      <c r="A5951" s="52"/>
    </row>
    <row r="5952" spans="1:1" x14ac:dyDescent="0.2">
      <c r="A5952" s="52"/>
    </row>
    <row r="5953" spans="1:1" x14ac:dyDescent="0.2">
      <c r="A5953" s="52"/>
    </row>
    <row r="5954" spans="1:1" x14ac:dyDescent="0.2">
      <c r="A5954" s="52"/>
    </row>
    <row r="5955" spans="1:1" x14ac:dyDescent="0.2">
      <c r="A5955" s="52"/>
    </row>
    <row r="5956" spans="1:1" x14ac:dyDescent="0.2">
      <c r="A5956" s="52"/>
    </row>
    <row r="5957" spans="1:1" x14ac:dyDescent="0.2">
      <c r="A5957" s="52"/>
    </row>
    <row r="5958" spans="1:1" x14ac:dyDescent="0.2">
      <c r="A5958" s="52"/>
    </row>
    <row r="5959" spans="1:1" x14ac:dyDescent="0.2">
      <c r="A5959" s="52"/>
    </row>
    <row r="5960" spans="1:1" x14ac:dyDescent="0.2">
      <c r="A5960" s="52"/>
    </row>
    <row r="5961" spans="1:1" x14ac:dyDescent="0.2">
      <c r="A5961" s="52"/>
    </row>
    <row r="5962" spans="1:1" x14ac:dyDescent="0.2">
      <c r="A5962" s="52"/>
    </row>
    <row r="5963" spans="1:1" x14ac:dyDescent="0.2">
      <c r="A5963" s="52"/>
    </row>
    <row r="5964" spans="1:1" x14ac:dyDescent="0.2">
      <c r="A5964" s="52"/>
    </row>
    <row r="5965" spans="1:1" x14ac:dyDescent="0.2">
      <c r="A5965" s="52"/>
    </row>
    <row r="5966" spans="1:1" x14ac:dyDescent="0.2">
      <c r="A5966" s="52"/>
    </row>
    <row r="5967" spans="1:1" x14ac:dyDescent="0.2">
      <c r="A5967" s="52"/>
    </row>
    <row r="5968" spans="1:1" x14ac:dyDescent="0.2">
      <c r="A5968" s="52"/>
    </row>
    <row r="5969" spans="1:1" x14ac:dyDescent="0.2">
      <c r="A5969" s="52"/>
    </row>
    <row r="5970" spans="1:1" x14ac:dyDescent="0.2">
      <c r="A5970" s="52"/>
    </row>
    <row r="5971" spans="1:1" x14ac:dyDescent="0.2">
      <c r="A5971" s="52"/>
    </row>
    <row r="5972" spans="1:1" x14ac:dyDescent="0.2">
      <c r="A5972" s="52"/>
    </row>
    <row r="5973" spans="1:1" x14ac:dyDescent="0.2">
      <c r="A5973" s="52"/>
    </row>
    <row r="5974" spans="1:1" x14ac:dyDescent="0.2">
      <c r="A5974" s="52"/>
    </row>
    <row r="5975" spans="1:1" x14ac:dyDescent="0.2">
      <c r="A5975" s="52"/>
    </row>
    <row r="5976" spans="1:1" x14ac:dyDescent="0.2">
      <c r="A5976" s="52"/>
    </row>
    <row r="5977" spans="1:1" x14ac:dyDescent="0.2">
      <c r="A5977" s="52"/>
    </row>
    <row r="5978" spans="1:1" x14ac:dyDescent="0.2">
      <c r="A5978" s="52"/>
    </row>
    <row r="5979" spans="1:1" x14ac:dyDescent="0.2">
      <c r="A5979" s="52"/>
    </row>
    <row r="5980" spans="1:1" x14ac:dyDescent="0.2">
      <c r="A5980" s="52"/>
    </row>
    <row r="5981" spans="1:1" x14ac:dyDescent="0.2">
      <c r="A5981" s="52"/>
    </row>
    <row r="5982" spans="1:1" x14ac:dyDescent="0.2">
      <c r="A5982" s="52"/>
    </row>
    <row r="5983" spans="1:1" x14ac:dyDescent="0.2">
      <c r="A5983" s="52"/>
    </row>
    <row r="5984" spans="1:1" x14ac:dyDescent="0.2">
      <c r="A5984" s="52"/>
    </row>
    <row r="5985" spans="1:1" x14ac:dyDescent="0.2">
      <c r="A5985" s="52"/>
    </row>
    <row r="5986" spans="1:1" x14ac:dyDescent="0.2">
      <c r="A5986" s="53"/>
    </row>
    <row r="5987" spans="1:1" x14ac:dyDescent="0.2">
      <c r="A5987" s="52"/>
    </row>
    <row r="5988" spans="1:1" x14ac:dyDescent="0.2">
      <c r="A5988" s="52"/>
    </row>
    <row r="5989" spans="1:1" x14ac:dyDescent="0.2">
      <c r="A5989" s="52"/>
    </row>
    <row r="5990" spans="1:1" x14ac:dyDescent="0.2">
      <c r="A5990" s="52"/>
    </row>
    <row r="5991" spans="1:1" x14ac:dyDescent="0.2">
      <c r="A5991" s="52"/>
    </row>
    <row r="5992" spans="1:1" x14ac:dyDescent="0.2">
      <c r="A5992" s="52"/>
    </row>
    <row r="5993" spans="1:1" x14ac:dyDescent="0.2">
      <c r="A5993" s="53"/>
    </row>
    <row r="5994" spans="1:1" x14ac:dyDescent="0.2">
      <c r="A5994" s="52"/>
    </row>
    <row r="5995" spans="1:1" x14ac:dyDescent="0.2">
      <c r="A5995" s="52"/>
    </row>
    <row r="5996" spans="1:1" x14ac:dyDescent="0.2">
      <c r="A5996" s="52"/>
    </row>
    <row r="5997" spans="1:1" x14ac:dyDescent="0.2">
      <c r="A5997" s="52"/>
    </row>
    <row r="5998" spans="1:1" x14ac:dyDescent="0.2">
      <c r="A5998" s="52"/>
    </row>
    <row r="5999" spans="1:1" x14ac:dyDescent="0.2">
      <c r="A5999" s="52"/>
    </row>
    <row r="6000" spans="1:1" x14ac:dyDescent="0.2">
      <c r="A6000" s="52"/>
    </row>
    <row r="6001" spans="1:1" x14ac:dyDescent="0.2">
      <c r="A6001" s="52"/>
    </row>
    <row r="6002" spans="1:1" x14ac:dyDescent="0.2">
      <c r="A6002" s="52"/>
    </row>
    <row r="6003" spans="1:1" x14ac:dyDescent="0.2">
      <c r="A6003" s="52"/>
    </row>
    <row r="6004" spans="1:1" x14ac:dyDescent="0.2">
      <c r="A6004" s="52"/>
    </row>
    <row r="6005" spans="1:1" x14ac:dyDescent="0.2">
      <c r="A6005" s="53"/>
    </row>
    <row r="6006" spans="1:1" x14ac:dyDescent="0.2">
      <c r="A6006" s="52"/>
    </row>
    <row r="6007" spans="1:1" x14ac:dyDescent="0.2">
      <c r="A6007" s="52"/>
    </row>
    <row r="6008" spans="1:1" x14ac:dyDescent="0.2">
      <c r="A6008" s="52"/>
    </row>
    <row r="6009" spans="1:1" x14ac:dyDescent="0.2">
      <c r="A6009" s="52"/>
    </row>
    <row r="6010" spans="1:1" x14ac:dyDescent="0.2">
      <c r="A6010" s="52"/>
    </row>
    <row r="6011" spans="1:1" x14ac:dyDescent="0.2">
      <c r="A6011" s="52"/>
    </row>
    <row r="6012" spans="1:1" x14ac:dyDescent="0.2">
      <c r="A6012" s="52"/>
    </row>
    <row r="6013" spans="1:1" x14ac:dyDescent="0.2">
      <c r="A6013" s="52"/>
    </row>
    <row r="6014" spans="1:1" x14ac:dyDescent="0.2">
      <c r="A6014" s="52"/>
    </row>
    <row r="6015" spans="1:1" x14ac:dyDescent="0.2">
      <c r="A6015" s="52"/>
    </row>
    <row r="6016" spans="1:1" x14ac:dyDescent="0.2">
      <c r="A6016" s="52"/>
    </row>
    <row r="6017" spans="1:1" x14ac:dyDescent="0.2">
      <c r="A6017" s="52"/>
    </row>
    <row r="6018" spans="1:1" x14ac:dyDescent="0.2">
      <c r="A6018" s="52"/>
    </row>
    <row r="6019" spans="1:1" x14ac:dyDescent="0.2">
      <c r="A6019" s="52"/>
    </row>
    <row r="6020" spans="1:1" x14ac:dyDescent="0.2">
      <c r="A6020" s="52"/>
    </row>
    <row r="6021" spans="1:1" x14ac:dyDescent="0.2">
      <c r="A6021" s="52"/>
    </row>
    <row r="6022" spans="1:1" x14ac:dyDescent="0.2">
      <c r="A6022" s="52"/>
    </row>
    <row r="6023" spans="1:1" x14ac:dyDescent="0.2">
      <c r="A6023" s="52"/>
    </row>
    <row r="6024" spans="1:1" x14ac:dyDescent="0.2">
      <c r="A6024" s="52"/>
    </row>
    <row r="6025" spans="1:1" x14ac:dyDescent="0.2">
      <c r="A6025" s="52"/>
    </row>
    <row r="6026" spans="1:1" x14ac:dyDescent="0.2">
      <c r="A6026" s="52"/>
    </row>
    <row r="6027" spans="1:1" x14ac:dyDescent="0.2">
      <c r="A6027" s="52"/>
    </row>
    <row r="6028" spans="1:1" x14ac:dyDescent="0.2">
      <c r="A6028" s="52"/>
    </row>
    <row r="6029" spans="1:1" x14ac:dyDescent="0.2">
      <c r="A6029" s="52"/>
    </row>
    <row r="6030" spans="1:1" x14ac:dyDescent="0.2">
      <c r="A6030" s="53"/>
    </row>
    <row r="6031" spans="1:1" x14ac:dyDescent="0.2">
      <c r="A6031" s="52"/>
    </row>
    <row r="6032" spans="1:1" x14ac:dyDescent="0.2">
      <c r="A6032" s="53"/>
    </row>
    <row r="6033" spans="1:1" x14ac:dyDescent="0.2">
      <c r="A6033" s="52"/>
    </row>
    <row r="6034" spans="1:1" x14ac:dyDescent="0.2">
      <c r="A6034" s="52"/>
    </row>
    <row r="6035" spans="1:1" x14ac:dyDescent="0.2">
      <c r="A6035" s="52"/>
    </row>
    <row r="6036" spans="1:1" x14ac:dyDescent="0.2">
      <c r="A6036" s="52"/>
    </row>
    <row r="6037" spans="1:1" x14ac:dyDescent="0.2">
      <c r="A6037" s="52"/>
    </row>
    <row r="6038" spans="1:1" x14ac:dyDescent="0.2">
      <c r="A6038" s="52"/>
    </row>
    <row r="6039" spans="1:1" x14ac:dyDescent="0.2">
      <c r="A6039" s="52"/>
    </row>
    <row r="6040" spans="1:1" x14ac:dyDescent="0.2">
      <c r="A6040" s="52"/>
    </row>
    <row r="6041" spans="1:1" x14ac:dyDescent="0.2">
      <c r="A6041" s="52"/>
    </row>
    <row r="6042" spans="1:1" x14ac:dyDescent="0.2">
      <c r="A6042" s="52"/>
    </row>
    <row r="6043" spans="1:1" x14ac:dyDescent="0.2">
      <c r="A6043" s="52"/>
    </row>
    <row r="6044" spans="1:1" x14ac:dyDescent="0.2">
      <c r="A6044" s="52"/>
    </row>
    <row r="6045" spans="1:1" x14ac:dyDescent="0.2">
      <c r="A6045" s="52"/>
    </row>
    <row r="6046" spans="1:1" x14ac:dyDescent="0.2">
      <c r="A6046" s="52"/>
    </row>
    <row r="6047" spans="1:1" x14ac:dyDescent="0.2">
      <c r="A6047" s="52"/>
    </row>
    <row r="6048" spans="1:1" x14ac:dyDescent="0.2">
      <c r="A6048" s="52"/>
    </row>
    <row r="6049" spans="1:1" x14ac:dyDescent="0.2">
      <c r="A6049" s="53"/>
    </row>
    <row r="6050" spans="1:1" x14ac:dyDescent="0.2">
      <c r="A6050" s="52"/>
    </row>
    <row r="6051" spans="1:1" x14ac:dyDescent="0.2">
      <c r="A6051" s="52"/>
    </row>
    <row r="6052" spans="1:1" x14ac:dyDescent="0.2">
      <c r="A6052" s="52"/>
    </row>
    <row r="6053" spans="1:1" x14ac:dyDescent="0.2">
      <c r="A6053" s="52"/>
    </row>
    <row r="6054" spans="1:1" x14ac:dyDescent="0.2">
      <c r="A6054" s="52"/>
    </row>
    <row r="6055" spans="1:1" x14ac:dyDescent="0.2">
      <c r="A6055" s="52"/>
    </row>
    <row r="6056" spans="1:1" x14ac:dyDescent="0.2">
      <c r="A6056" s="52"/>
    </row>
    <row r="6057" spans="1:1" x14ac:dyDescent="0.2">
      <c r="A6057" s="52"/>
    </row>
    <row r="6058" spans="1:1" x14ac:dyDescent="0.2">
      <c r="A6058" s="52"/>
    </row>
    <row r="6059" spans="1:1" x14ac:dyDescent="0.2">
      <c r="A6059" s="52"/>
    </row>
    <row r="6060" spans="1:1" x14ac:dyDescent="0.2">
      <c r="A6060" s="52"/>
    </row>
    <row r="6061" spans="1:1" x14ac:dyDescent="0.2">
      <c r="A6061" s="52"/>
    </row>
    <row r="6062" spans="1:1" x14ac:dyDescent="0.2">
      <c r="A6062" s="52"/>
    </row>
    <row r="6063" spans="1:1" x14ac:dyDescent="0.2">
      <c r="A6063" s="52"/>
    </row>
    <row r="6064" spans="1:1" x14ac:dyDescent="0.2">
      <c r="A6064" s="52"/>
    </row>
    <row r="6065" spans="1:1" x14ac:dyDescent="0.2">
      <c r="A6065" s="52"/>
    </row>
    <row r="6066" spans="1:1" x14ac:dyDescent="0.2">
      <c r="A6066" s="52"/>
    </row>
    <row r="6067" spans="1:1" x14ac:dyDescent="0.2">
      <c r="A6067" s="52"/>
    </row>
    <row r="6068" spans="1:1" x14ac:dyDescent="0.2">
      <c r="A6068" s="52"/>
    </row>
    <row r="6069" spans="1:1" x14ac:dyDescent="0.2">
      <c r="A6069" s="52"/>
    </row>
    <row r="6070" spans="1:1" x14ac:dyDescent="0.2">
      <c r="A6070" s="52"/>
    </row>
    <row r="6071" spans="1:1" x14ac:dyDescent="0.2">
      <c r="A6071" s="52"/>
    </row>
    <row r="6072" spans="1:1" x14ac:dyDescent="0.2">
      <c r="A6072" s="52"/>
    </row>
    <row r="6073" spans="1:1" x14ac:dyDescent="0.2">
      <c r="A6073" s="52"/>
    </row>
    <row r="6074" spans="1:1" x14ac:dyDescent="0.2">
      <c r="A6074" s="52"/>
    </row>
    <row r="6075" spans="1:1" x14ac:dyDescent="0.2">
      <c r="A6075" s="52"/>
    </row>
    <row r="6076" spans="1:1" x14ac:dyDescent="0.2">
      <c r="A6076" s="52"/>
    </row>
    <row r="6077" spans="1:1" x14ac:dyDescent="0.2">
      <c r="A6077" s="52"/>
    </row>
    <row r="6078" spans="1:1" x14ac:dyDescent="0.2">
      <c r="A6078" s="52"/>
    </row>
    <row r="6079" spans="1:1" x14ac:dyDescent="0.2">
      <c r="A6079" s="52"/>
    </row>
    <row r="6080" spans="1:1" x14ac:dyDescent="0.2">
      <c r="A6080" s="52"/>
    </row>
    <row r="6081" spans="1:1" x14ac:dyDescent="0.2">
      <c r="A6081" s="52"/>
    </row>
    <row r="6082" spans="1:1" x14ac:dyDescent="0.2">
      <c r="A6082" s="52"/>
    </row>
    <row r="6083" spans="1:1" x14ac:dyDescent="0.2">
      <c r="A6083" s="52"/>
    </row>
    <row r="6084" spans="1:1" x14ac:dyDescent="0.2">
      <c r="A6084" s="52"/>
    </row>
    <row r="6085" spans="1:1" x14ac:dyDescent="0.2">
      <c r="A6085" s="52"/>
    </row>
    <row r="6086" spans="1:1" x14ac:dyDescent="0.2">
      <c r="A6086" s="52"/>
    </row>
    <row r="6087" spans="1:1" x14ac:dyDescent="0.2">
      <c r="A6087" s="52"/>
    </row>
    <row r="6088" spans="1:1" x14ac:dyDescent="0.2">
      <c r="A6088" s="52"/>
    </row>
    <row r="6089" spans="1:1" x14ac:dyDescent="0.2">
      <c r="A6089" s="52"/>
    </row>
    <row r="6090" spans="1:1" x14ac:dyDescent="0.2">
      <c r="A6090" s="52"/>
    </row>
    <row r="6091" spans="1:1" x14ac:dyDescent="0.2">
      <c r="A6091" s="52"/>
    </row>
    <row r="6092" spans="1:1" x14ac:dyDescent="0.2">
      <c r="A6092" s="52"/>
    </row>
    <row r="6093" spans="1:1" x14ac:dyDescent="0.2">
      <c r="A6093" s="52"/>
    </row>
    <row r="6094" spans="1:1" x14ac:dyDescent="0.2">
      <c r="A6094" s="53"/>
    </row>
    <row r="6095" spans="1:1" x14ac:dyDescent="0.2">
      <c r="A6095" s="52"/>
    </row>
    <row r="6096" spans="1:1" x14ac:dyDescent="0.2">
      <c r="A6096" s="53"/>
    </row>
    <row r="6097" spans="1:1" x14ac:dyDescent="0.2">
      <c r="A6097" s="52"/>
    </row>
    <row r="6098" spans="1:1" x14ac:dyDescent="0.2">
      <c r="A6098" s="53"/>
    </row>
    <row r="6099" spans="1:1" x14ac:dyDescent="0.2">
      <c r="A6099" s="52"/>
    </row>
    <row r="6100" spans="1:1" x14ac:dyDescent="0.2">
      <c r="A6100" s="52"/>
    </row>
    <row r="6101" spans="1:1" x14ac:dyDescent="0.2">
      <c r="A6101" s="52"/>
    </row>
    <row r="6102" spans="1:1" x14ac:dyDescent="0.2">
      <c r="A6102" s="52"/>
    </row>
    <row r="6103" spans="1:1" x14ac:dyDescent="0.2">
      <c r="A6103" s="52"/>
    </row>
    <row r="6104" spans="1:1" x14ac:dyDescent="0.2">
      <c r="A6104" s="52"/>
    </row>
    <row r="6105" spans="1:1" x14ac:dyDescent="0.2">
      <c r="A6105" s="53"/>
    </row>
    <row r="6106" spans="1:1" x14ac:dyDescent="0.2">
      <c r="A6106" s="52"/>
    </row>
    <row r="6107" spans="1:1" x14ac:dyDescent="0.2">
      <c r="A6107" s="52"/>
    </row>
    <row r="6108" spans="1:1" x14ac:dyDescent="0.2">
      <c r="A6108" s="52"/>
    </row>
    <row r="6109" spans="1:1" x14ac:dyDescent="0.2">
      <c r="A6109" s="52"/>
    </row>
    <row r="6110" spans="1:1" x14ac:dyDescent="0.2">
      <c r="A6110" s="52"/>
    </row>
    <row r="6111" spans="1:1" x14ac:dyDescent="0.2">
      <c r="A6111" s="52"/>
    </row>
    <row r="6112" spans="1:1" x14ac:dyDescent="0.2">
      <c r="A6112" s="52"/>
    </row>
    <row r="6113" spans="1:1" x14ac:dyDescent="0.2">
      <c r="A6113" s="52"/>
    </row>
    <row r="6114" spans="1:1" x14ac:dyDescent="0.2">
      <c r="A6114" s="52"/>
    </row>
    <row r="6115" spans="1:1" x14ac:dyDescent="0.2">
      <c r="A6115" s="52"/>
    </row>
    <row r="6116" spans="1:1" x14ac:dyDescent="0.2">
      <c r="A6116" s="52"/>
    </row>
    <row r="6117" spans="1:1" x14ac:dyDescent="0.2">
      <c r="A6117" s="52"/>
    </row>
    <row r="6118" spans="1:1" x14ac:dyDescent="0.2">
      <c r="A6118" s="52"/>
    </row>
    <row r="6119" spans="1:1" x14ac:dyDescent="0.2">
      <c r="A6119" s="52"/>
    </row>
    <row r="6120" spans="1:1" x14ac:dyDescent="0.2">
      <c r="A6120" s="52"/>
    </row>
    <row r="6121" spans="1:1" x14ac:dyDescent="0.2">
      <c r="A6121" s="52"/>
    </row>
    <row r="6122" spans="1:1" x14ac:dyDescent="0.2">
      <c r="A6122" s="52"/>
    </row>
    <row r="6123" spans="1:1" x14ac:dyDescent="0.2">
      <c r="A6123" s="52"/>
    </row>
    <row r="6124" spans="1:1" x14ac:dyDescent="0.2">
      <c r="A6124" s="52"/>
    </row>
    <row r="6125" spans="1:1" x14ac:dyDescent="0.2">
      <c r="A6125" s="52"/>
    </row>
    <row r="6126" spans="1:1" x14ac:dyDescent="0.2">
      <c r="A6126" s="52"/>
    </row>
    <row r="6127" spans="1:1" x14ac:dyDescent="0.2">
      <c r="A6127" s="52"/>
    </row>
    <row r="6128" spans="1:1" x14ac:dyDescent="0.2">
      <c r="A6128" s="52"/>
    </row>
    <row r="6129" spans="1:1" x14ac:dyDescent="0.2">
      <c r="A6129" s="52"/>
    </row>
    <row r="6130" spans="1:1" x14ac:dyDescent="0.2">
      <c r="A6130" s="52"/>
    </row>
    <row r="6131" spans="1:1" x14ac:dyDescent="0.2">
      <c r="A6131" s="53"/>
    </row>
    <row r="6132" spans="1:1" x14ac:dyDescent="0.2">
      <c r="A6132" s="52"/>
    </row>
    <row r="6133" spans="1:1" x14ac:dyDescent="0.2">
      <c r="A6133" s="52"/>
    </row>
    <row r="6134" spans="1:1" x14ac:dyDescent="0.2">
      <c r="A6134" s="52"/>
    </row>
    <row r="6135" spans="1:1" x14ac:dyDescent="0.2">
      <c r="A6135" s="52"/>
    </row>
    <row r="6136" spans="1:1" x14ac:dyDescent="0.2">
      <c r="A6136" s="52"/>
    </row>
    <row r="6137" spans="1:1" x14ac:dyDescent="0.2">
      <c r="A6137" s="52"/>
    </row>
    <row r="6138" spans="1:1" x14ac:dyDescent="0.2">
      <c r="A6138" s="52"/>
    </row>
    <row r="6139" spans="1:1" x14ac:dyDescent="0.2">
      <c r="A6139" s="53"/>
    </row>
    <row r="6140" spans="1:1" x14ac:dyDescent="0.2">
      <c r="A6140" s="52"/>
    </row>
    <row r="6141" spans="1:1" x14ac:dyDescent="0.2">
      <c r="A6141" s="52"/>
    </row>
    <row r="6142" spans="1:1" x14ac:dyDescent="0.2">
      <c r="A6142" s="52"/>
    </row>
    <row r="6143" spans="1:1" x14ac:dyDescent="0.2">
      <c r="A6143" s="52"/>
    </row>
    <row r="6144" spans="1:1" x14ac:dyDescent="0.2">
      <c r="A6144" s="53"/>
    </row>
    <row r="6145" spans="1:1" x14ac:dyDescent="0.2">
      <c r="A6145" s="52"/>
    </row>
    <row r="6146" spans="1:1" x14ac:dyDescent="0.2">
      <c r="A6146" s="52"/>
    </row>
    <row r="6147" spans="1:1" x14ac:dyDescent="0.2">
      <c r="A6147" s="52"/>
    </row>
    <row r="6148" spans="1:1" x14ac:dyDescent="0.2">
      <c r="A6148" s="52"/>
    </row>
    <row r="6149" spans="1:1" x14ac:dyDescent="0.2">
      <c r="A6149" s="52"/>
    </row>
    <row r="6150" spans="1:1" x14ac:dyDescent="0.2">
      <c r="A6150" s="52"/>
    </row>
    <row r="6151" spans="1:1" x14ac:dyDescent="0.2">
      <c r="A6151" s="52"/>
    </row>
    <row r="6152" spans="1:1" x14ac:dyDescent="0.2">
      <c r="A6152" s="52"/>
    </row>
    <row r="6153" spans="1:1" x14ac:dyDescent="0.2">
      <c r="A6153" s="52"/>
    </row>
    <row r="6154" spans="1:1" x14ac:dyDescent="0.2">
      <c r="A6154" s="52"/>
    </row>
    <row r="6155" spans="1:1" x14ac:dyDescent="0.2">
      <c r="A6155" s="52"/>
    </row>
    <row r="6156" spans="1:1" x14ac:dyDescent="0.2">
      <c r="A6156" s="52"/>
    </row>
    <row r="6157" spans="1:1" x14ac:dyDescent="0.2">
      <c r="A6157" s="52"/>
    </row>
    <row r="6158" spans="1:1" x14ac:dyDescent="0.2">
      <c r="A6158" s="52"/>
    </row>
    <row r="6159" spans="1:1" x14ac:dyDescent="0.2">
      <c r="A6159" s="52"/>
    </row>
    <row r="6160" spans="1:1" x14ac:dyDescent="0.2">
      <c r="A6160" s="52"/>
    </row>
    <row r="6161" spans="1:1" x14ac:dyDescent="0.2">
      <c r="A6161" s="52"/>
    </row>
    <row r="6162" spans="1:1" x14ac:dyDescent="0.2">
      <c r="A6162" s="52"/>
    </row>
    <row r="6163" spans="1:1" x14ac:dyDescent="0.2">
      <c r="A6163" s="52"/>
    </row>
    <row r="6164" spans="1:1" x14ac:dyDescent="0.2">
      <c r="A6164" s="52"/>
    </row>
    <row r="6165" spans="1:1" x14ac:dyDescent="0.2">
      <c r="A6165" s="52"/>
    </row>
    <row r="6166" spans="1:1" x14ac:dyDescent="0.2">
      <c r="A6166" s="52"/>
    </row>
    <row r="6167" spans="1:1" x14ac:dyDescent="0.2">
      <c r="A6167" s="52"/>
    </row>
    <row r="6168" spans="1:1" x14ac:dyDescent="0.2">
      <c r="A6168" s="52"/>
    </row>
    <row r="6169" spans="1:1" x14ac:dyDescent="0.2">
      <c r="A6169" s="52"/>
    </row>
    <row r="6170" spans="1:1" x14ac:dyDescent="0.2">
      <c r="A6170" s="52"/>
    </row>
    <row r="6171" spans="1:1" x14ac:dyDescent="0.2">
      <c r="A6171" s="52"/>
    </row>
    <row r="6172" spans="1:1" x14ac:dyDescent="0.2">
      <c r="A6172" s="52"/>
    </row>
    <row r="6173" spans="1:1" x14ac:dyDescent="0.2">
      <c r="A6173" s="52"/>
    </row>
    <row r="6174" spans="1:1" x14ac:dyDescent="0.2">
      <c r="A6174" s="52"/>
    </row>
    <row r="6175" spans="1:1" x14ac:dyDescent="0.2">
      <c r="A6175" s="52"/>
    </row>
    <row r="6176" spans="1:1" x14ac:dyDescent="0.2">
      <c r="A6176" s="52"/>
    </row>
    <row r="6177" spans="1:1" x14ac:dyDescent="0.2">
      <c r="A6177" s="52"/>
    </row>
    <row r="6178" spans="1:1" x14ac:dyDescent="0.2">
      <c r="A6178" s="53"/>
    </row>
    <row r="6179" spans="1:1" x14ac:dyDescent="0.2">
      <c r="A6179" s="52"/>
    </row>
    <row r="6180" spans="1:1" x14ac:dyDescent="0.2">
      <c r="A6180" s="52"/>
    </row>
    <row r="6181" spans="1:1" x14ac:dyDescent="0.2">
      <c r="A6181" s="52"/>
    </row>
    <row r="6182" spans="1:1" x14ac:dyDescent="0.2">
      <c r="A6182" s="52"/>
    </row>
    <row r="6183" spans="1:1" x14ac:dyDescent="0.2">
      <c r="A6183" s="52"/>
    </row>
    <row r="6184" spans="1:1" x14ac:dyDescent="0.2">
      <c r="A6184" s="52"/>
    </row>
    <row r="6185" spans="1:1" x14ac:dyDescent="0.2">
      <c r="A6185" s="52"/>
    </row>
    <row r="6186" spans="1:1" x14ac:dyDescent="0.2">
      <c r="A6186" s="52"/>
    </row>
    <row r="6187" spans="1:1" x14ac:dyDescent="0.2">
      <c r="A6187" s="52"/>
    </row>
    <row r="6188" spans="1:1" x14ac:dyDescent="0.2">
      <c r="A6188" s="52"/>
    </row>
    <row r="6189" spans="1:1" x14ac:dyDescent="0.2">
      <c r="A6189" s="52"/>
    </row>
    <row r="6190" spans="1:1" x14ac:dyDescent="0.2">
      <c r="A6190" s="52"/>
    </row>
    <row r="6191" spans="1:1" x14ac:dyDescent="0.2">
      <c r="A6191" s="53"/>
    </row>
    <row r="6192" spans="1:1" x14ac:dyDescent="0.2">
      <c r="A6192" s="52"/>
    </row>
    <row r="6193" spans="1:1" x14ac:dyDescent="0.2">
      <c r="A6193" s="52"/>
    </row>
    <row r="6194" spans="1:1" x14ac:dyDescent="0.2">
      <c r="A6194" s="53"/>
    </row>
    <row r="6195" spans="1:1" x14ac:dyDescent="0.2">
      <c r="A6195" s="53"/>
    </row>
    <row r="6196" spans="1:1" x14ac:dyDescent="0.2">
      <c r="A6196" s="52"/>
    </row>
    <row r="6197" spans="1:1" x14ac:dyDescent="0.2">
      <c r="A6197" s="52"/>
    </row>
    <row r="6198" spans="1:1" x14ac:dyDescent="0.2">
      <c r="A6198" s="53"/>
    </row>
    <row r="6199" spans="1:1" x14ac:dyDescent="0.2">
      <c r="A6199" s="52"/>
    </row>
    <row r="6200" spans="1:1" x14ac:dyDescent="0.2">
      <c r="A6200" s="52"/>
    </row>
    <row r="6201" spans="1:1" x14ac:dyDescent="0.2">
      <c r="A6201" s="52"/>
    </row>
    <row r="6202" spans="1:1" x14ac:dyDescent="0.2">
      <c r="A6202" s="52"/>
    </row>
    <row r="6203" spans="1:1" x14ac:dyDescent="0.2">
      <c r="A6203" s="52"/>
    </row>
    <row r="6204" spans="1:1" x14ac:dyDescent="0.2">
      <c r="A6204" s="52"/>
    </row>
    <row r="6205" spans="1:1" x14ac:dyDescent="0.2">
      <c r="A6205" s="52"/>
    </row>
    <row r="6206" spans="1:1" x14ac:dyDescent="0.2">
      <c r="A6206" s="52"/>
    </row>
    <row r="6207" spans="1:1" x14ac:dyDescent="0.2">
      <c r="A6207" s="52"/>
    </row>
    <row r="6208" spans="1:1" x14ac:dyDescent="0.2">
      <c r="A6208" s="52"/>
    </row>
    <row r="6209" spans="1:1" x14ac:dyDescent="0.2">
      <c r="A6209" s="52"/>
    </row>
    <row r="6210" spans="1:1" x14ac:dyDescent="0.2">
      <c r="A6210" s="52"/>
    </row>
    <row r="6211" spans="1:1" x14ac:dyDescent="0.2">
      <c r="A6211" s="52"/>
    </row>
    <row r="6212" spans="1:1" x14ac:dyDescent="0.2">
      <c r="A6212" s="52"/>
    </row>
    <row r="6213" spans="1:1" x14ac:dyDescent="0.2">
      <c r="A6213" s="52"/>
    </row>
    <row r="6214" spans="1:1" x14ac:dyDescent="0.2">
      <c r="A6214" s="52"/>
    </row>
    <row r="6215" spans="1:1" x14ac:dyDescent="0.2">
      <c r="A6215" s="52"/>
    </row>
    <row r="6216" spans="1:1" x14ac:dyDescent="0.2">
      <c r="A6216" s="52"/>
    </row>
    <row r="6217" spans="1:1" x14ac:dyDescent="0.2">
      <c r="A6217" s="52"/>
    </row>
    <row r="6218" spans="1:1" x14ac:dyDescent="0.2">
      <c r="A6218" s="52"/>
    </row>
    <row r="6219" spans="1:1" x14ac:dyDescent="0.2">
      <c r="A6219" s="52"/>
    </row>
    <row r="6220" spans="1:1" x14ac:dyDescent="0.2">
      <c r="A6220" s="52"/>
    </row>
    <row r="6221" spans="1:1" x14ac:dyDescent="0.2">
      <c r="A6221" s="52"/>
    </row>
    <row r="6222" spans="1:1" x14ac:dyDescent="0.2">
      <c r="A6222" s="52"/>
    </row>
    <row r="6223" spans="1:1" x14ac:dyDescent="0.2">
      <c r="A6223" s="52"/>
    </row>
    <row r="6224" spans="1:1" x14ac:dyDescent="0.2">
      <c r="A6224" s="52"/>
    </row>
    <row r="6225" spans="1:1" x14ac:dyDescent="0.2">
      <c r="A6225" s="52"/>
    </row>
    <row r="6226" spans="1:1" x14ac:dyDescent="0.2">
      <c r="A6226" s="52"/>
    </row>
    <row r="6227" spans="1:1" x14ac:dyDescent="0.2">
      <c r="A6227" s="52"/>
    </row>
    <row r="6228" spans="1:1" x14ac:dyDescent="0.2">
      <c r="A6228" s="53"/>
    </row>
    <row r="6229" spans="1:1" x14ac:dyDescent="0.2">
      <c r="A6229" s="53"/>
    </row>
    <row r="6230" spans="1:1" x14ac:dyDescent="0.2">
      <c r="A6230" s="52"/>
    </row>
    <row r="6231" spans="1:1" x14ac:dyDescent="0.2">
      <c r="A6231" s="52"/>
    </row>
    <row r="6232" spans="1:1" x14ac:dyDescent="0.2">
      <c r="A6232" s="52"/>
    </row>
    <row r="6233" spans="1:1" x14ac:dyDescent="0.2">
      <c r="A6233" s="52"/>
    </row>
    <row r="6234" spans="1:1" x14ac:dyDescent="0.2">
      <c r="A6234" s="52"/>
    </row>
    <row r="6235" spans="1:1" x14ac:dyDescent="0.2">
      <c r="A6235" s="52"/>
    </row>
    <row r="6236" spans="1:1" x14ac:dyDescent="0.2">
      <c r="A6236" s="52"/>
    </row>
    <row r="6237" spans="1:1" x14ac:dyDescent="0.2">
      <c r="A6237" s="52"/>
    </row>
    <row r="6238" spans="1:1" x14ac:dyDescent="0.2">
      <c r="A6238" s="52"/>
    </row>
    <row r="6239" spans="1:1" x14ac:dyDescent="0.2">
      <c r="A6239" s="52"/>
    </row>
    <row r="6240" spans="1:1" x14ac:dyDescent="0.2">
      <c r="A6240" s="52"/>
    </row>
    <row r="6241" spans="1:1" x14ac:dyDescent="0.2">
      <c r="A6241" s="52"/>
    </row>
    <row r="6242" spans="1:1" x14ac:dyDescent="0.2">
      <c r="A6242" s="52"/>
    </row>
    <row r="6243" spans="1:1" x14ac:dyDescent="0.2">
      <c r="A6243" s="52"/>
    </row>
    <row r="6244" spans="1:1" x14ac:dyDescent="0.2">
      <c r="A6244" s="52"/>
    </row>
    <row r="6245" spans="1:1" x14ac:dyDescent="0.2">
      <c r="A6245" s="52"/>
    </row>
    <row r="6246" spans="1:1" x14ac:dyDescent="0.2">
      <c r="A6246" s="52"/>
    </row>
    <row r="6247" spans="1:1" x14ac:dyDescent="0.2">
      <c r="A6247" s="52"/>
    </row>
    <row r="6248" spans="1:1" x14ac:dyDescent="0.2">
      <c r="A6248" s="53"/>
    </row>
    <row r="6249" spans="1:1" x14ac:dyDescent="0.2">
      <c r="A6249" s="53"/>
    </row>
    <row r="6250" spans="1:1" x14ac:dyDescent="0.2">
      <c r="A6250" s="53"/>
    </row>
    <row r="6251" spans="1:1" x14ac:dyDescent="0.2">
      <c r="A6251" s="53"/>
    </row>
    <row r="6252" spans="1:1" x14ac:dyDescent="0.2">
      <c r="A6252" s="52"/>
    </row>
    <row r="6253" spans="1:1" x14ac:dyDescent="0.2">
      <c r="A6253" s="52"/>
    </row>
    <row r="6254" spans="1:1" x14ac:dyDescent="0.2">
      <c r="A6254" s="52"/>
    </row>
    <row r="6255" spans="1:1" x14ac:dyDescent="0.2">
      <c r="A6255" s="52"/>
    </row>
    <row r="6256" spans="1:1" x14ac:dyDescent="0.2">
      <c r="A6256" s="52"/>
    </row>
    <row r="6257" spans="1:1" x14ac:dyDescent="0.2">
      <c r="A6257" s="52"/>
    </row>
    <row r="6258" spans="1:1" x14ac:dyDescent="0.2">
      <c r="A6258" s="52"/>
    </row>
    <row r="6259" spans="1:1" x14ac:dyDescent="0.2">
      <c r="A6259" s="52"/>
    </row>
    <row r="6260" spans="1:1" x14ac:dyDescent="0.2">
      <c r="A6260" s="52"/>
    </row>
    <row r="6261" spans="1:1" x14ac:dyDescent="0.2">
      <c r="A6261" s="52"/>
    </row>
    <row r="6262" spans="1:1" x14ac:dyDescent="0.2">
      <c r="A6262" s="52"/>
    </row>
    <row r="6263" spans="1:1" x14ac:dyDescent="0.2">
      <c r="A6263" s="52"/>
    </row>
    <row r="6264" spans="1:1" x14ac:dyDescent="0.2">
      <c r="A6264" s="52"/>
    </row>
    <row r="6265" spans="1:1" x14ac:dyDescent="0.2">
      <c r="A6265" s="52"/>
    </row>
    <row r="6266" spans="1:1" x14ac:dyDescent="0.2">
      <c r="A6266" s="52"/>
    </row>
    <row r="6267" spans="1:1" x14ac:dyDescent="0.2">
      <c r="A6267" s="52"/>
    </row>
    <row r="6268" spans="1:1" x14ac:dyDescent="0.2">
      <c r="A6268" s="52"/>
    </row>
    <row r="6269" spans="1:1" x14ac:dyDescent="0.2">
      <c r="A6269" s="52"/>
    </row>
    <row r="6270" spans="1:1" x14ac:dyDescent="0.2">
      <c r="A6270" s="52"/>
    </row>
    <row r="6271" spans="1:1" x14ac:dyDescent="0.2">
      <c r="A6271" s="53"/>
    </row>
    <row r="6272" spans="1:1" x14ac:dyDescent="0.2">
      <c r="A6272" s="52"/>
    </row>
    <row r="6273" spans="1:1" x14ac:dyDescent="0.2">
      <c r="A6273" s="52"/>
    </row>
    <row r="6274" spans="1:1" x14ac:dyDescent="0.2">
      <c r="A6274" s="52"/>
    </row>
    <row r="6275" spans="1:1" x14ac:dyDescent="0.2">
      <c r="A6275" s="52"/>
    </row>
    <row r="6276" spans="1:1" x14ac:dyDescent="0.2">
      <c r="A6276" s="52"/>
    </row>
    <row r="6277" spans="1:1" x14ac:dyDescent="0.2">
      <c r="A6277" s="52"/>
    </row>
    <row r="6278" spans="1:1" x14ac:dyDescent="0.2">
      <c r="A6278" s="52"/>
    </row>
    <row r="6279" spans="1:1" x14ac:dyDescent="0.2">
      <c r="A6279" s="52"/>
    </row>
    <row r="6280" spans="1:1" x14ac:dyDescent="0.2">
      <c r="A6280" s="52"/>
    </row>
    <row r="6281" spans="1:1" x14ac:dyDescent="0.2">
      <c r="A6281" s="52"/>
    </row>
    <row r="6282" spans="1:1" x14ac:dyDescent="0.2">
      <c r="A6282" s="53"/>
    </row>
    <row r="6283" spans="1:1" x14ac:dyDescent="0.2">
      <c r="A6283" s="52"/>
    </row>
    <row r="6284" spans="1:1" x14ac:dyDescent="0.2">
      <c r="A6284" s="52"/>
    </row>
    <row r="6285" spans="1:1" x14ac:dyDescent="0.2">
      <c r="A6285" s="52"/>
    </row>
    <row r="6286" spans="1:1" x14ac:dyDescent="0.2">
      <c r="A6286" s="52"/>
    </row>
    <row r="6287" spans="1:1" x14ac:dyDescent="0.2">
      <c r="A6287" s="52"/>
    </row>
    <row r="6288" spans="1:1" x14ac:dyDescent="0.2">
      <c r="A6288" s="52"/>
    </row>
    <row r="6289" spans="1:1" x14ac:dyDescent="0.2">
      <c r="A6289" s="52"/>
    </row>
    <row r="6290" spans="1:1" x14ac:dyDescent="0.2">
      <c r="A6290" s="52"/>
    </row>
    <row r="6291" spans="1:1" x14ac:dyDescent="0.2">
      <c r="A6291" s="52"/>
    </row>
    <row r="6292" spans="1:1" x14ac:dyDescent="0.2">
      <c r="A6292" s="52"/>
    </row>
    <row r="6293" spans="1:1" x14ac:dyDescent="0.2">
      <c r="A6293" s="52"/>
    </row>
    <row r="6294" spans="1:1" x14ac:dyDescent="0.2">
      <c r="A6294" s="52"/>
    </row>
    <row r="6295" spans="1:1" x14ac:dyDescent="0.2">
      <c r="A6295" s="52"/>
    </row>
    <row r="6296" spans="1:1" x14ac:dyDescent="0.2">
      <c r="A6296" s="52"/>
    </row>
    <row r="6297" spans="1:1" x14ac:dyDescent="0.2">
      <c r="A6297" s="52"/>
    </row>
    <row r="6298" spans="1:1" x14ac:dyDescent="0.2">
      <c r="A6298" s="53"/>
    </row>
    <row r="6299" spans="1:1" x14ac:dyDescent="0.2">
      <c r="A6299" s="52"/>
    </row>
    <row r="6300" spans="1:1" x14ac:dyDescent="0.2">
      <c r="A6300" s="52"/>
    </row>
    <row r="6301" spans="1:1" x14ac:dyDescent="0.2">
      <c r="A6301" s="52"/>
    </row>
    <row r="6302" spans="1:1" x14ac:dyDescent="0.2">
      <c r="A6302" s="52"/>
    </row>
    <row r="6303" spans="1:1" x14ac:dyDescent="0.2">
      <c r="A6303" s="52"/>
    </row>
    <row r="6304" spans="1:1" x14ac:dyDescent="0.2">
      <c r="A6304" s="53"/>
    </row>
    <row r="6305" spans="1:1" x14ac:dyDescent="0.2">
      <c r="A6305" s="52"/>
    </row>
    <row r="6306" spans="1:1" x14ac:dyDescent="0.2">
      <c r="A6306" s="52"/>
    </row>
    <row r="6307" spans="1:1" x14ac:dyDescent="0.2">
      <c r="A6307" s="52"/>
    </row>
    <row r="6308" spans="1:1" x14ac:dyDescent="0.2">
      <c r="A6308" s="52"/>
    </row>
    <row r="6309" spans="1:1" x14ac:dyDescent="0.2">
      <c r="A6309" s="52"/>
    </row>
    <row r="6310" spans="1:1" x14ac:dyDescent="0.2">
      <c r="A6310" s="52"/>
    </row>
    <row r="6311" spans="1:1" x14ac:dyDescent="0.2">
      <c r="A6311" s="52"/>
    </row>
    <row r="6312" spans="1:1" x14ac:dyDescent="0.2">
      <c r="A6312" s="52"/>
    </row>
    <row r="6313" spans="1:1" x14ac:dyDescent="0.2">
      <c r="A6313" s="52"/>
    </row>
    <row r="6314" spans="1:1" x14ac:dyDescent="0.2">
      <c r="A6314" s="52"/>
    </row>
    <row r="6315" spans="1:1" x14ac:dyDescent="0.2">
      <c r="A6315" s="52"/>
    </row>
    <row r="6316" spans="1:1" x14ac:dyDescent="0.2">
      <c r="A6316" s="52"/>
    </row>
    <row r="6317" spans="1:1" x14ac:dyDescent="0.2">
      <c r="A6317" s="52"/>
    </row>
    <row r="6318" spans="1:1" x14ac:dyDescent="0.2">
      <c r="A6318" s="52"/>
    </row>
    <row r="6319" spans="1:1" x14ac:dyDescent="0.2">
      <c r="A6319" s="52"/>
    </row>
    <row r="6320" spans="1:1" x14ac:dyDescent="0.2">
      <c r="A6320" s="52"/>
    </row>
    <row r="6321" spans="1:1" x14ac:dyDescent="0.2">
      <c r="A6321" s="52"/>
    </row>
    <row r="6322" spans="1:1" x14ac:dyDescent="0.2">
      <c r="A6322" s="52"/>
    </row>
    <row r="6323" spans="1:1" x14ac:dyDescent="0.2">
      <c r="A6323" s="52"/>
    </row>
    <row r="6324" spans="1:1" x14ac:dyDescent="0.2">
      <c r="A6324" s="52"/>
    </row>
    <row r="6325" spans="1:1" x14ac:dyDescent="0.2">
      <c r="A6325" s="52"/>
    </row>
    <row r="6326" spans="1:1" x14ac:dyDescent="0.2">
      <c r="A6326" s="52"/>
    </row>
    <row r="6327" spans="1:1" x14ac:dyDescent="0.2">
      <c r="A6327" s="52"/>
    </row>
    <row r="6328" spans="1:1" x14ac:dyDescent="0.2">
      <c r="A6328" s="52"/>
    </row>
    <row r="6329" spans="1:1" x14ac:dyDescent="0.2">
      <c r="A6329" s="52"/>
    </row>
    <row r="6330" spans="1:1" x14ac:dyDescent="0.2">
      <c r="A6330" s="52"/>
    </row>
    <row r="6331" spans="1:1" x14ac:dyDescent="0.2">
      <c r="A6331" s="52"/>
    </row>
    <row r="6332" spans="1:1" x14ac:dyDescent="0.2">
      <c r="A6332" s="52"/>
    </row>
    <row r="6333" spans="1:1" x14ac:dyDescent="0.2">
      <c r="A6333" s="52"/>
    </row>
    <row r="6334" spans="1:1" x14ac:dyDescent="0.2">
      <c r="A6334" s="53"/>
    </row>
    <row r="6335" spans="1:1" x14ac:dyDescent="0.2">
      <c r="A6335" s="52"/>
    </row>
    <row r="6336" spans="1:1" x14ac:dyDescent="0.2">
      <c r="A6336" s="53"/>
    </row>
    <row r="6337" spans="1:1" x14ac:dyDescent="0.2">
      <c r="A6337" s="52"/>
    </row>
    <row r="6338" spans="1:1" x14ac:dyDescent="0.2">
      <c r="A6338" s="52"/>
    </row>
    <row r="6339" spans="1:1" x14ac:dyDescent="0.2">
      <c r="A6339" s="53"/>
    </row>
    <row r="6340" spans="1:1" x14ac:dyDescent="0.2">
      <c r="A6340" s="53"/>
    </row>
    <row r="6341" spans="1:1" x14ac:dyDescent="0.2">
      <c r="A6341" s="52"/>
    </row>
    <row r="6342" spans="1:1" x14ac:dyDescent="0.2">
      <c r="A6342" s="52"/>
    </row>
    <row r="6343" spans="1:1" x14ac:dyDescent="0.2">
      <c r="A6343" s="52"/>
    </row>
    <row r="6344" spans="1:1" x14ac:dyDescent="0.2">
      <c r="A6344" s="53"/>
    </row>
    <row r="6345" spans="1:1" x14ac:dyDescent="0.2">
      <c r="A6345" s="52"/>
    </row>
    <row r="6346" spans="1:1" x14ac:dyDescent="0.2">
      <c r="A6346" s="52"/>
    </row>
    <row r="6347" spans="1:1" x14ac:dyDescent="0.2">
      <c r="A6347" s="52"/>
    </row>
    <row r="6348" spans="1:1" x14ac:dyDescent="0.2">
      <c r="A6348" s="52"/>
    </row>
    <row r="6349" spans="1:1" x14ac:dyDescent="0.2">
      <c r="A6349" s="52"/>
    </row>
    <row r="6350" spans="1:1" x14ac:dyDescent="0.2">
      <c r="A6350" s="52"/>
    </row>
    <row r="6351" spans="1:1" x14ac:dyDescent="0.2">
      <c r="A6351" s="52"/>
    </row>
    <row r="6352" spans="1:1" x14ac:dyDescent="0.2">
      <c r="A6352" s="52"/>
    </row>
    <row r="6353" spans="1:1" x14ac:dyDescent="0.2">
      <c r="A6353" s="52"/>
    </row>
    <row r="6354" spans="1:1" x14ac:dyDescent="0.2">
      <c r="A6354" s="52"/>
    </row>
    <row r="6355" spans="1:1" x14ac:dyDescent="0.2">
      <c r="A6355" s="52"/>
    </row>
    <row r="6356" spans="1:1" x14ac:dyDescent="0.2">
      <c r="A6356" s="52"/>
    </row>
    <row r="6357" spans="1:1" x14ac:dyDescent="0.2">
      <c r="A6357" s="52"/>
    </row>
    <row r="6358" spans="1:1" x14ac:dyDescent="0.2">
      <c r="A6358" s="52"/>
    </row>
    <row r="6359" spans="1:1" x14ac:dyDescent="0.2">
      <c r="A6359" s="52"/>
    </row>
    <row r="6360" spans="1:1" x14ac:dyDescent="0.2">
      <c r="A6360" s="53"/>
    </row>
    <row r="6361" spans="1:1" x14ac:dyDescent="0.2">
      <c r="A6361" s="52"/>
    </row>
    <row r="6362" spans="1:1" x14ac:dyDescent="0.2">
      <c r="A6362" s="52"/>
    </row>
    <row r="6363" spans="1:1" x14ac:dyDescent="0.2">
      <c r="A6363" s="53"/>
    </row>
    <row r="6364" spans="1:1" x14ac:dyDescent="0.2">
      <c r="A6364" s="52"/>
    </row>
    <row r="6365" spans="1:1" x14ac:dyDescent="0.2">
      <c r="A6365" s="52"/>
    </row>
    <row r="6366" spans="1:1" x14ac:dyDescent="0.2">
      <c r="A6366" s="52"/>
    </row>
    <row r="6367" spans="1:1" x14ac:dyDescent="0.2">
      <c r="A6367" s="52"/>
    </row>
    <row r="6368" spans="1:1" x14ac:dyDescent="0.2">
      <c r="A6368" s="53"/>
    </row>
    <row r="6369" spans="1:1" x14ac:dyDescent="0.2">
      <c r="A6369" s="52"/>
    </row>
    <row r="6370" spans="1:1" x14ac:dyDescent="0.2">
      <c r="A6370" s="52"/>
    </row>
    <row r="6371" spans="1:1" x14ac:dyDescent="0.2">
      <c r="A6371" s="52"/>
    </row>
    <row r="6372" spans="1:1" x14ac:dyDescent="0.2">
      <c r="A6372" s="52"/>
    </row>
    <row r="6373" spans="1:1" x14ac:dyDescent="0.2">
      <c r="A6373" s="52"/>
    </row>
    <row r="6374" spans="1:1" x14ac:dyDescent="0.2">
      <c r="A6374" s="52"/>
    </row>
    <row r="6375" spans="1:1" x14ac:dyDescent="0.2">
      <c r="A6375" s="52"/>
    </row>
    <row r="6376" spans="1:1" x14ac:dyDescent="0.2">
      <c r="A6376" s="52"/>
    </row>
    <row r="6377" spans="1:1" x14ac:dyDescent="0.2">
      <c r="A6377" s="52"/>
    </row>
    <row r="6378" spans="1:1" x14ac:dyDescent="0.2">
      <c r="A6378" s="52"/>
    </row>
    <row r="6379" spans="1:1" x14ac:dyDescent="0.2">
      <c r="A6379" s="52"/>
    </row>
    <row r="6380" spans="1:1" x14ac:dyDescent="0.2">
      <c r="A6380" s="52"/>
    </row>
    <row r="6381" spans="1:1" x14ac:dyDescent="0.2">
      <c r="A6381" s="52"/>
    </row>
    <row r="6382" spans="1:1" x14ac:dyDescent="0.2">
      <c r="A6382" s="52"/>
    </row>
    <row r="6383" spans="1:1" x14ac:dyDescent="0.2">
      <c r="A6383" s="52"/>
    </row>
    <row r="6384" spans="1:1" x14ac:dyDescent="0.2">
      <c r="A6384" s="52"/>
    </row>
    <row r="6385" spans="1:1" x14ac:dyDescent="0.2">
      <c r="A6385" s="52"/>
    </row>
    <row r="6386" spans="1:1" x14ac:dyDescent="0.2">
      <c r="A6386" s="52"/>
    </row>
    <row r="6387" spans="1:1" x14ac:dyDescent="0.2">
      <c r="A6387" s="52"/>
    </row>
    <row r="6388" spans="1:1" x14ac:dyDescent="0.2">
      <c r="A6388" s="52"/>
    </row>
    <row r="6389" spans="1:1" x14ac:dyDescent="0.2">
      <c r="A6389" s="52"/>
    </row>
    <row r="6390" spans="1:1" x14ac:dyDescent="0.2">
      <c r="A6390" s="52"/>
    </row>
    <row r="6391" spans="1:1" x14ac:dyDescent="0.2">
      <c r="A6391" s="52"/>
    </row>
    <row r="6392" spans="1:1" x14ac:dyDescent="0.2">
      <c r="A6392" s="52"/>
    </row>
    <row r="6393" spans="1:1" x14ac:dyDescent="0.2">
      <c r="A6393" s="52"/>
    </row>
    <row r="6394" spans="1:1" x14ac:dyDescent="0.2">
      <c r="A6394" s="52"/>
    </row>
    <row r="6395" spans="1:1" x14ac:dyDescent="0.2">
      <c r="A6395" s="52"/>
    </row>
    <row r="6396" spans="1:1" x14ac:dyDescent="0.2">
      <c r="A6396" s="52"/>
    </row>
    <row r="6397" spans="1:1" x14ac:dyDescent="0.2">
      <c r="A6397" s="52"/>
    </row>
    <row r="6398" spans="1:1" x14ac:dyDescent="0.2">
      <c r="A6398" s="52"/>
    </row>
    <row r="6399" spans="1:1" x14ac:dyDescent="0.2">
      <c r="A6399" s="52"/>
    </row>
    <row r="6400" spans="1:1" x14ac:dyDescent="0.2">
      <c r="A6400" s="52"/>
    </row>
    <row r="6401" spans="1:1" x14ac:dyDescent="0.2">
      <c r="A6401" s="52"/>
    </row>
    <row r="6402" spans="1:1" x14ac:dyDescent="0.2">
      <c r="A6402" s="52"/>
    </row>
    <row r="6403" spans="1:1" x14ac:dyDescent="0.2">
      <c r="A6403" s="52"/>
    </row>
    <row r="6404" spans="1:1" x14ac:dyDescent="0.2">
      <c r="A6404" s="52"/>
    </row>
    <row r="6405" spans="1:1" x14ac:dyDescent="0.2">
      <c r="A6405" s="52"/>
    </row>
    <row r="6406" spans="1:1" x14ac:dyDescent="0.2">
      <c r="A6406" s="52"/>
    </row>
    <row r="6407" spans="1:1" x14ac:dyDescent="0.2">
      <c r="A6407" s="52"/>
    </row>
    <row r="6408" spans="1:1" x14ac:dyDescent="0.2">
      <c r="A6408" s="52"/>
    </row>
    <row r="6409" spans="1:1" x14ac:dyDescent="0.2">
      <c r="A6409" s="52"/>
    </row>
    <row r="6410" spans="1:1" x14ac:dyDescent="0.2">
      <c r="A6410" s="52"/>
    </row>
    <row r="6411" spans="1:1" x14ac:dyDescent="0.2">
      <c r="A6411" s="52"/>
    </row>
    <row r="6412" spans="1:1" x14ac:dyDescent="0.2">
      <c r="A6412" s="52"/>
    </row>
    <row r="6413" spans="1:1" x14ac:dyDescent="0.2">
      <c r="A6413" s="52"/>
    </row>
    <row r="6414" spans="1:1" x14ac:dyDescent="0.2">
      <c r="A6414" s="52"/>
    </row>
    <row r="6415" spans="1:1" x14ac:dyDescent="0.2">
      <c r="A6415" s="52"/>
    </row>
    <row r="6416" spans="1:1" x14ac:dyDescent="0.2">
      <c r="A6416" s="52"/>
    </row>
    <row r="6417" spans="1:1" x14ac:dyDescent="0.2">
      <c r="A6417" s="52"/>
    </row>
    <row r="6418" spans="1:1" x14ac:dyDescent="0.2">
      <c r="A6418" s="52"/>
    </row>
    <row r="6419" spans="1:1" x14ac:dyDescent="0.2">
      <c r="A6419" s="52"/>
    </row>
    <row r="6420" spans="1:1" x14ac:dyDescent="0.2">
      <c r="A6420" s="52"/>
    </row>
    <row r="6421" spans="1:1" x14ac:dyDescent="0.2">
      <c r="A6421" s="52"/>
    </row>
    <row r="6422" spans="1:1" x14ac:dyDescent="0.2">
      <c r="A6422" s="52"/>
    </row>
    <row r="6423" spans="1:1" x14ac:dyDescent="0.2">
      <c r="A6423" s="52"/>
    </row>
    <row r="6424" spans="1:1" x14ac:dyDescent="0.2">
      <c r="A6424" s="53"/>
    </row>
    <row r="6425" spans="1:1" x14ac:dyDescent="0.2">
      <c r="A6425" s="52"/>
    </row>
    <row r="6426" spans="1:1" x14ac:dyDescent="0.2">
      <c r="A6426" s="52"/>
    </row>
    <row r="6427" spans="1:1" x14ac:dyDescent="0.2">
      <c r="A6427" s="52"/>
    </row>
    <row r="6428" spans="1:1" x14ac:dyDescent="0.2">
      <c r="A6428" s="52"/>
    </row>
    <row r="6429" spans="1:1" x14ac:dyDescent="0.2">
      <c r="A6429" s="52"/>
    </row>
    <row r="6430" spans="1:1" x14ac:dyDescent="0.2">
      <c r="A6430" s="52"/>
    </row>
    <row r="6431" spans="1:1" x14ac:dyDescent="0.2">
      <c r="A6431" s="52"/>
    </row>
    <row r="6432" spans="1:1" x14ac:dyDescent="0.2">
      <c r="A6432" s="52"/>
    </row>
    <row r="6433" spans="1:1" x14ac:dyDescent="0.2">
      <c r="A6433" s="52"/>
    </row>
    <row r="6434" spans="1:1" x14ac:dyDescent="0.2">
      <c r="A6434" s="52"/>
    </row>
    <row r="6435" spans="1:1" x14ac:dyDescent="0.2">
      <c r="A6435" s="52"/>
    </row>
    <row r="6436" spans="1:1" x14ac:dyDescent="0.2">
      <c r="A6436" s="52"/>
    </row>
    <row r="6437" spans="1:1" x14ac:dyDescent="0.2">
      <c r="A6437" s="52"/>
    </row>
    <row r="6438" spans="1:1" x14ac:dyDescent="0.2">
      <c r="A6438" s="52"/>
    </row>
    <row r="6439" spans="1:1" x14ac:dyDescent="0.2">
      <c r="A6439" s="52"/>
    </row>
    <row r="6440" spans="1:1" x14ac:dyDescent="0.2">
      <c r="A6440" s="52"/>
    </row>
    <row r="6441" spans="1:1" x14ac:dyDescent="0.2">
      <c r="A6441" s="52"/>
    </row>
    <row r="6442" spans="1:1" x14ac:dyDescent="0.2">
      <c r="A6442" s="52"/>
    </row>
    <row r="6443" spans="1:1" x14ac:dyDescent="0.2">
      <c r="A6443" s="52"/>
    </row>
    <row r="6444" spans="1:1" x14ac:dyDescent="0.2">
      <c r="A6444" s="52"/>
    </row>
    <row r="6445" spans="1:1" x14ac:dyDescent="0.2">
      <c r="A6445" s="52"/>
    </row>
    <row r="6446" spans="1:1" x14ac:dyDescent="0.2">
      <c r="A6446" s="52"/>
    </row>
    <row r="6447" spans="1:1" x14ac:dyDescent="0.2">
      <c r="A6447" s="52"/>
    </row>
    <row r="6448" spans="1:1" x14ac:dyDescent="0.2">
      <c r="A6448" s="53"/>
    </row>
    <row r="6449" spans="1:1" x14ac:dyDescent="0.2">
      <c r="A6449" s="52"/>
    </row>
    <row r="6450" spans="1:1" x14ac:dyDescent="0.2">
      <c r="A6450" s="52"/>
    </row>
    <row r="6451" spans="1:1" x14ac:dyDescent="0.2">
      <c r="A6451" s="52"/>
    </row>
    <row r="6452" spans="1:1" x14ac:dyDescent="0.2">
      <c r="A6452" s="52"/>
    </row>
    <row r="6453" spans="1:1" x14ac:dyDescent="0.2">
      <c r="A6453" s="52"/>
    </row>
    <row r="6454" spans="1:1" x14ac:dyDescent="0.2">
      <c r="A6454" s="52"/>
    </row>
    <row r="6455" spans="1:1" x14ac:dyDescent="0.2">
      <c r="A6455" s="52"/>
    </row>
    <row r="6456" spans="1:1" x14ac:dyDescent="0.2">
      <c r="A6456" s="52"/>
    </row>
    <row r="6457" spans="1:1" x14ac:dyDescent="0.2">
      <c r="A6457" s="52"/>
    </row>
    <row r="6458" spans="1:1" x14ac:dyDescent="0.2">
      <c r="A6458" s="52"/>
    </row>
    <row r="6459" spans="1:1" x14ac:dyDescent="0.2">
      <c r="A6459" s="52"/>
    </row>
    <row r="6460" spans="1:1" x14ac:dyDescent="0.2">
      <c r="A6460" s="52"/>
    </row>
    <row r="6461" spans="1:1" x14ac:dyDescent="0.2">
      <c r="A6461" s="52"/>
    </row>
    <row r="6462" spans="1:1" x14ac:dyDescent="0.2">
      <c r="A6462" s="52"/>
    </row>
    <row r="6463" spans="1:1" x14ac:dyDescent="0.2">
      <c r="A6463" s="52"/>
    </row>
    <row r="6464" spans="1:1" x14ac:dyDescent="0.2">
      <c r="A6464" s="53"/>
    </row>
    <row r="6465" spans="1:1" x14ac:dyDescent="0.2">
      <c r="A6465" s="52"/>
    </row>
    <row r="6466" spans="1:1" x14ac:dyDescent="0.2">
      <c r="A6466" s="52"/>
    </row>
    <row r="6467" spans="1:1" x14ac:dyDescent="0.2">
      <c r="A6467" s="52"/>
    </row>
    <row r="6468" spans="1:1" x14ac:dyDescent="0.2">
      <c r="A6468" s="52"/>
    </row>
    <row r="6469" spans="1:1" x14ac:dyDescent="0.2">
      <c r="A6469" s="52"/>
    </row>
    <row r="6470" spans="1:1" x14ac:dyDescent="0.2">
      <c r="A6470" s="52"/>
    </row>
    <row r="6471" spans="1:1" x14ac:dyDescent="0.2">
      <c r="A6471" s="52"/>
    </row>
    <row r="6472" spans="1:1" x14ac:dyDescent="0.2">
      <c r="A6472" s="53"/>
    </row>
    <row r="6473" spans="1:1" x14ac:dyDescent="0.2">
      <c r="A6473" s="52"/>
    </row>
    <row r="6474" spans="1:1" x14ac:dyDescent="0.2">
      <c r="A6474" s="52"/>
    </row>
    <row r="6475" spans="1:1" x14ac:dyDescent="0.2">
      <c r="A6475" s="52"/>
    </row>
    <row r="6476" spans="1:1" x14ac:dyDescent="0.2">
      <c r="A6476" s="52"/>
    </row>
    <row r="6477" spans="1:1" x14ac:dyDescent="0.2">
      <c r="A6477" s="52"/>
    </row>
    <row r="6478" spans="1:1" x14ac:dyDescent="0.2">
      <c r="A6478" s="52"/>
    </row>
    <row r="6479" spans="1:1" x14ac:dyDescent="0.2">
      <c r="A6479" s="52"/>
    </row>
    <row r="6480" spans="1:1" x14ac:dyDescent="0.2">
      <c r="A6480" s="52"/>
    </row>
    <row r="6481" spans="1:1" x14ac:dyDescent="0.2">
      <c r="A6481" s="52"/>
    </row>
    <row r="6482" spans="1:1" x14ac:dyDescent="0.2">
      <c r="A6482" s="52"/>
    </row>
    <row r="6483" spans="1:1" x14ac:dyDescent="0.2">
      <c r="A6483" s="52"/>
    </row>
    <row r="6484" spans="1:1" x14ac:dyDescent="0.2">
      <c r="A6484" s="52"/>
    </row>
    <row r="6485" spans="1:1" x14ac:dyDescent="0.2">
      <c r="A6485" s="52"/>
    </row>
    <row r="6486" spans="1:1" x14ac:dyDescent="0.2">
      <c r="A6486" s="53"/>
    </row>
    <row r="6487" spans="1:1" x14ac:dyDescent="0.2">
      <c r="A6487" s="52"/>
    </row>
    <row r="6488" spans="1:1" x14ac:dyDescent="0.2">
      <c r="A6488" s="52"/>
    </row>
    <row r="6489" spans="1:1" x14ac:dyDescent="0.2">
      <c r="A6489" s="52"/>
    </row>
    <row r="6490" spans="1:1" x14ac:dyDescent="0.2">
      <c r="A6490" s="52"/>
    </row>
    <row r="6491" spans="1:1" x14ac:dyDescent="0.2">
      <c r="A6491" s="52"/>
    </row>
    <row r="6492" spans="1:1" x14ac:dyDescent="0.2">
      <c r="A6492" s="52"/>
    </row>
    <row r="6493" spans="1:1" x14ac:dyDescent="0.2">
      <c r="A6493" s="52"/>
    </row>
    <row r="6494" spans="1:1" x14ac:dyDescent="0.2">
      <c r="A6494" s="52"/>
    </row>
    <row r="6495" spans="1:1" x14ac:dyDescent="0.2">
      <c r="A6495" s="52"/>
    </row>
    <row r="6496" spans="1:1" x14ac:dyDescent="0.2">
      <c r="A6496" s="52"/>
    </row>
    <row r="6497" spans="1:1" x14ac:dyDescent="0.2">
      <c r="A6497" s="52"/>
    </row>
    <row r="6498" spans="1:1" x14ac:dyDescent="0.2">
      <c r="A6498" s="52"/>
    </row>
    <row r="6499" spans="1:1" x14ac:dyDescent="0.2">
      <c r="A6499" s="52"/>
    </row>
    <row r="6500" spans="1:1" x14ac:dyDescent="0.2">
      <c r="A6500" s="52"/>
    </row>
    <row r="6501" spans="1:1" x14ac:dyDescent="0.2">
      <c r="A6501" s="52"/>
    </row>
    <row r="6502" spans="1:1" x14ac:dyDescent="0.2">
      <c r="A6502" s="52"/>
    </row>
    <row r="6503" spans="1:1" x14ac:dyDescent="0.2">
      <c r="A6503" s="52"/>
    </row>
    <row r="6504" spans="1:1" x14ac:dyDescent="0.2">
      <c r="A6504" s="52"/>
    </row>
    <row r="6505" spans="1:1" x14ac:dyDescent="0.2">
      <c r="A6505" s="52"/>
    </row>
    <row r="6506" spans="1:1" x14ac:dyDescent="0.2">
      <c r="A6506" s="52"/>
    </row>
    <row r="6507" spans="1:1" x14ac:dyDescent="0.2">
      <c r="A6507" s="52"/>
    </row>
    <row r="6508" spans="1:1" x14ac:dyDescent="0.2">
      <c r="A6508" s="52"/>
    </row>
    <row r="6509" spans="1:1" x14ac:dyDescent="0.2">
      <c r="A6509" s="52"/>
    </row>
    <row r="6510" spans="1:1" x14ac:dyDescent="0.2">
      <c r="A6510" s="53"/>
    </row>
    <row r="6511" spans="1:1" x14ac:dyDescent="0.2">
      <c r="A6511" s="52"/>
    </row>
    <row r="6512" spans="1:1" x14ac:dyDescent="0.2">
      <c r="A6512" s="52"/>
    </row>
    <row r="6513" spans="1:1" x14ac:dyDescent="0.2">
      <c r="A6513" s="52"/>
    </row>
    <row r="6514" spans="1:1" x14ac:dyDescent="0.2">
      <c r="A6514" s="52"/>
    </row>
    <row r="6515" spans="1:1" x14ac:dyDescent="0.2">
      <c r="A6515" s="52"/>
    </row>
    <row r="6516" spans="1:1" x14ac:dyDescent="0.2">
      <c r="A6516" s="52"/>
    </row>
    <row r="6517" spans="1:1" x14ac:dyDescent="0.2">
      <c r="A6517" s="52"/>
    </row>
    <row r="6518" spans="1:1" x14ac:dyDescent="0.2">
      <c r="A6518" s="52"/>
    </row>
    <row r="6519" spans="1:1" x14ac:dyDescent="0.2">
      <c r="A6519" s="52"/>
    </row>
    <row r="6520" spans="1:1" x14ac:dyDescent="0.2">
      <c r="A6520" s="52"/>
    </row>
    <row r="6521" spans="1:1" x14ac:dyDescent="0.2">
      <c r="A6521" s="52"/>
    </row>
    <row r="6522" spans="1:1" x14ac:dyDescent="0.2">
      <c r="A6522" s="52"/>
    </row>
    <row r="6523" spans="1:1" x14ac:dyDescent="0.2">
      <c r="A6523" s="52"/>
    </row>
    <row r="6524" spans="1:1" x14ac:dyDescent="0.2">
      <c r="A6524" s="52"/>
    </row>
    <row r="6525" spans="1:1" x14ac:dyDescent="0.2">
      <c r="A6525" s="52"/>
    </row>
    <row r="6526" spans="1:1" x14ac:dyDescent="0.2">
      <c r="A6526" s="52"/>
    </row>
    <row r="6527" spans="1:1" x14ac:dyDescent="0.2">
      <c r="A6527" s="52"/>
    </row>
    <row r="6528" spans="1:1" x14ac:dyDescent="0.2">
      <c r="A6528" s="52"/>
    </row>
    <row r="6529" spans="1:1" x14ac:dyDescent="0.2">
      <c r="A6529" s="52"/>
    </row>
    <row r="6530" spans="1:1" x14ac:dyDescent="0.2">
      <c r="A6530" s="52"/>
    </row>
    <row r="6531" spans="1:1" x14ac:dyDescent="0.2">
      <c r="A6531" s="52"/>
    </row>
    <row r="6532" spans="1:1" x14ac:dyDescent="0.2">
      <c r="A6532" s="52"/>
    </row>
    <row r="6533" spans="1:1" x14ac:dyDescent="0.2">
      <c r="A6533" s="52"/>
    </row>
    <row r="6534" spans="1:1" x14ac:dyDescent="0.2">
      <c r="A6534" s="52"/>
    </row>
    <row r="6535" spans="1:1" x14ac:dyDescent="0.2">
      <c r="A6535" s="52"/>
    </row>
    <row r="6536" spans="1:1" x14ac:dyDescent="0.2">
      <c r="A6536" s="52"/>
    </row>
    <row r="6537" spans="1:1" x14ac:dyDescent="0.2">
      <c r="A6537" s="52"/>
    </row>
    <row r="6538" spans="1:1" x14ac:dyDescent="0.2">
      <c r="A6538" s="52"/>
    </row>
    <row r="6539" spans="1:1" x14ac:dyDescent="0.2">
      <c r="A6539" s="52"/>
    </row>
    <row r="6540" spans="1:1" x14ac:dyDescent="0.2">
      <c r="A6540" s="52"/>
    </row>
    <row r="6541" spans="1:1" x14ac:dyDescent="0.2">
      <c r="A6541" s="52"/>
    </row>
    <row r="6542" spans="1:1" x14ac:dyDescent="0.2">
      <c r="A6542" s="52"/>
    </row>
    <row r="6543" spans="1:1" x14ac:dyDescent="0.2">
      <c r="A6543" s="52"/>
    </row>
    <row r="6544" spans="1:1" x14ac:dyDescent="0.2">
      <c r="A6544" s="52"/>
    </row>
    <row r="6545" spans="1:1" x14ac:dyDescent="0.2">
      <c r="A6545" s="52"/>
    </row>
    <row r="6546" spans="1:1" x14ac:dyDescent="0.2">
      <c r="A6546" s="52"/>
    </row>
    <row r="6547" spans="1:1" x14ac:dyDescent="0.2">
      <c r="A6547" s="52"/>
    </row>
    <row r="6548" spans="1:1" x14ac:dyDescent="0.2">
      <c r="A6548" s="52"/>
    </row>
    <row r="6549" spans="1:1" x14ac:dyDescent="0.2">
      <c r="A6549" s="52"/>
    </row>
    <row r="6550" spans="1:1" x14ac:dyDescent="0.2">
      <c r="A6550" s="52"/>
    </row>
    <row r="6551" spans="1:1" x14ac:dyDescent="0.2">
      <c r="A6551" s="52"/>
    </row>
    <row r="6552" spans="1:1" x14ac:dyDescent="0.2">
      <c r="A6552" s="52"/>
    </row>
    <row r="6553" spans="1:1" x14ac:dyDescent="0.2">
      <c r="A6553" s="52"/>
    </row>
    <row r="6554" spans="1:1" x14ac:dyDescent="0.2">
      <c r="A6554" s="53"/>
    </row>
    <row r="6555" spans="1:1" x14ac:dyDescent="0.2">
      <c r="A6555" s="52"/>
    </row>
    <row r="6556" spans="1:1" x14ac:dyDescent="0.2">
      <c r="A6556" s="52"/>
    </row>
    <row r="6557" spans="1:1" x14ac:dyDescent="0.2">
      <c r="A6557" s="52"/>
    </row>
    <row r="6558" spans="1:1" x14ac:dyDescent="0.2">
      <c r="A6558" s="52"/>
    </row>
    <row r="6559" spans="1:1" x14ac:dyDescent="0.2">
      <c r="A6559" s="52"/>
    </row>
    <row r="6560" spans="1:1" x14ac:dyDescent="0.2">
      <c r="A6560" s="52"/>
    </row>
    <row r="6561" spans="1:1" x14ac:dyDescent="0.2">
      <c r="A6561" s="52"/>
    </row>
    <row r="6562" spans="1:1" x14ac:dyDescent="0.2">
      <c r="A6562" s="52"/>
    </row>
    <row r="6563" spans="1:1" x14ac:dyDescent="0.2">
      <c r="A6563" s="52"/>
    </row>
    <row r="6564" spans="1:1" x14ac:dyDescent="0.2">
      <c r="A6564" s="52"/>
    </row>
    <row r="6565" spans="1:1" x14ac:dyDescent="0.2">
      <c r="A6565" s="52"/>
    </row>
    <row r="6566" spans="1:1" x14ac:dyDescent="0.2">
      <c r="A6566" s="52"/>
    </row>
    <row r="6567" spans="1:1" x14ac:dyDescent="0.2">
      <c r="A6567" s="52"/>
    </row>
    <row r="6568" spans="1:1" x14ac:dyDescent="0.2">
      <c r="A6568" s="52"/>
    </row>
    <row r="6569" spans="1:1" x14ac:dyDescent="0.2">
      <c r="A6569" s="52"/>
    </row>
    <row r="6570" spans="1:1" x14ac:dyDescent="0.2">
      <c r="A6570" s="53"/>
    </row>
    <row r="6571" spans="1:1" x14ac:dyDescent="0.2">
      <c r="A6571" s="52"/>
    </row>
    <row r="6572" spans="1:1" x14ac:dyDescent="0.2">
      <c r="A6572" s="52"/>
    </row>
    <row r="6573" spans="1:1" x14ac:dyDescent="0.2">
      <c r="A6573" s="52"/>
    </row>
    <row r="6574" spans="1:1" x14ac:dyDescent="0.2">
      <c r="A6574" s="52"/>
    </row>
    <row r="6575" spans="1:1" x14ac:dyDescent="0.2">
      <c r="A6575" s="52"/>
    </row>
    <row r="6576" spans="1:1" x14ac:dyDescent="0.2">
      <c r="A6576" s="52"/>
    </row>
    <row r="6577" spans="1:1" x14ac:dyDescent="0.2">
      <c r="A6577" s="52"/>
    </row>
    <row r="6578" spans="1:1" x14ac:dyDescent="0.2">
      <c r="A6578" s="52"/>
    </row>
    <row r="6579" spans="1:1" x14ac:dyDescent="0.2">
      <c r="A6579" s="52"/>
    </row>
    <row r="6580" spans="1:1" x14ac:dyDescent="0.2">
      <c r="A6580" s="52"/>
    </row>
    <row r="6581" spans="1:1" x14ac:dyDescent="0.2">
      <c r="A6581" s="53"/>
    </row>
    <row r="6582" spans="1:1" x14ac:dyDescent="0.2">
      <c r="A6582" s="52"/>
    </row>
    <row r="6583" spans="1:1" x14ac:dyDescent="0.2">
      <c r="A6583" s="52"/>
    </row>
    <row r="6584" spans="1:1" x14ac:dyDescent="0.2">
      <c r="A6584" s="52"/>
    </row>
    <row r="6585" spans="1:1" x14ac:dyDescent="0.2">
      <c r="A6585" s="52"/>
    </row>
    <row r="6586" spans="1:1" x14ac:dyDescent="0.2">
      <c r="A6586" s="52"/>
    </row>
    <row r="6587" spans="1:1" x14ac:dyDescent="0.2">
      <c r="A6587" s="52"/>
    </row>
    <row r="6588" spans="1:1" x14ac:dyDescent="0.2">
      <c r="A6588" s="52"/>
    </row>
    <row r="6589" spans="1:1" x14ac:dyDescent="0.2">
      <c r="A6589" s="52"/>
    </row>
    <row r="6590" spans="1:1" x14ac:dyDescent="0.2">
      <c r="A6590" s="52"/>
    </row>
    <row r="6591" spans="1:1" x14ac:dyDescent="0.2">
      <c r="A6591" s="52"/>
    </row>
    <row r="6592" spans="1:1" x14ac:dyDescent="0.2">
      <c r="A6592" s="52"/>
    </row>
    <row r="6593" spans="1:1" x14ac:dyDescent="0.2">
      <c r="A6593" s="52"/>
    </row>
    <row r="6594" spans="1:1" x14ac:dyDescent="0.2">
      <c r="A6594" s="53"/>
    </row>
    <row r="6595" spans="1:1" x14ac:dyDescent="0.2">
      <c r="A6595" s="52"/>
    </row>
    <row r="6596" spans="1:1" x14ac:dyDescent="0.2">
      <c r="A6596" s="52"/>
    </row>
    <row r="6597" spans="1:1" x14ac:dyDescent="0.2">
      <c r="A6597" s="52"/>
    </row>
    <row r="6598" spans="1:1" x14ac:dyDescent="0.2">
      <c r="A6598" s="52"/>
    </row>
    <row r="6599" spans="1:1" x14ac:dyDescent="0.2">
      <c r="A6599" s="53"/>
    </row>
    <row r="6600" spans="1:1" x14ac:dyDescent="0.2">
      <c r="A6600" s="53"/>
    </row>
    <row r="6601" spans="1:1" x14ac:dyDescent="0.2">
      <c r="A6601" s="52"/>
    </row>
    <row r="6602" spans="1:1" x14ac:dyDescent="0.2">
      <c r="A6602" s="52"/>
    </row>
    <row r="6603" spans="1:1" x14ac:dyDescent="0.2">
      <c r="A6603" s="52"/>
    </row>
    <row r="6604" spans="1:1" x14ac:dyDescent="0.2">
      <c r="A6604" s="52"/>
    </row>
    <row r="6605" spans="1:1" x14ac:dyDescent="0.2">
      <c r="A6605" s="52"/>
    </row>
    <row r="6606" spans="1:1" x14ac:dyDescent="0.2">
      <c r="A6606" s="52"/>
    </row>
    <row r="6607" spans="1:1" x14ac:dyDescent="0.2">
      <c r="A6607" s="52"/>
    </row>
    <row r="6608" spans="1:1" x14ac:dyDescent="0.2">
      <c r="A6608" s="52"/>
    </row>
    <row r="6609" spans="1:1" x14ac:dyDescent="0.2">
      <c r="A6609" s="52"/>
    </row>
    <row r="6610" spans="1:1" x14ac:dyDescent="0.2">
      <c r="A6610" s="52"/>
    </row>
    <row r="6611" spans="1:1" x14ac:dyDescent="0.2">
      <c r="A6611" s="52"/>
    </row>
    <row r="6612" spans="1:1" x14ac:dyDescent="0.2">
      <c r="A6612" s="52"/>
    </row>
    <row r="6613" spans="1:1" x14ac:dyDescent="0.2">
      <c r="A6613" s="52"/>
    </row>
    <row r="6614" spans="1:1" x14ac:dyDescent="0.2">
      <c r="A6614" s="53"/>
    </row>
    <row r="6615" spans="1:1" x14ac:dyDescent="0.2">
      <c r="A6615" s="53"/>
    </row>
    <row r="6616" spans="1:1" x14ac:dyDescent="0.2">
      <c r="A6616" s="52"/>
    </row>
    <row r="6617" spans="1:1" x14ac:dyDescent="0.2">
      <c r="A6617" s="52"/>
    </row>
    <row r="6618" spans="1:1" x14ac:dyDescent="0.2">
      <c r="A6618" s="52"/>
    </row>
    <row r="6619" spans="1:1" x14ac:dyDescent="0.2">
      <c r="A6619" s="52"/>
    </row>
    <row r="6620" spans="1:1" x14ac:dyDescent="0.2">
      <c r="A6620" s="53"/>
    </row>
    <row r="6621" spans="1:1" x14ac:dyDescent="0.2">
      <c r="A6621" s="52"/>
    </row>
    <row r="6622" spans="1:1" x14ac:dyDescent="0.2">
      <c r="A6622" s="52"/>
    </row>
    <row r="6623" spans="1:1" x14ac:dyDescent="0.2">
      <c r="A6623" s="52"/>
    </row>
    <row r="6624" spans="1:1" x14ac:dyDescent="0.2">
      <c r="A6624" s="52"/>
    </row>
    <row r="6625" spans="1:1" x14ac:dyDescent="0.2">
      <c r="A6625" s="52"/>
    </row>
    <row r="6626" spans="1:1" x14ac:dyDescent="0.2">
      <c r="A6626" s="52"/>
    </row>
    <row r="6627" spans="1:1" x14ac:dyDescent="0.2">
      <c r="A6627" s="52"/>
    </row>
    <row r="6628" spans="1:1" x14ac:dyDescent="0.2">
      <c r="A6628" s="52"/>
    </row>
    <row r="6629" spans="1:1" x14ac:dyDescent="0.2">
      <c r="A6629" s="52"/>
    </row>
    <row r="6630" spans="1:1" x14ac:dyDescent="0.2">
      <c r="A6630" s="52"/>
    </row>
    <row r="6631" spans="1:1" x14ac:dyDescent="0.2">
      <c r="A6631" s="52"/>
    </row>
    <row r="6632" spans="1:1" x14ac:dyDescent="0.2">
      <c r="A6632" s="52"/>
    </row>
    <row r="6633" spans="1:1" x14ac:dyDescent="0.2">
      <c r="A6633" s="52"/>
    </row>
    <row r="6634" spans="1:1" x14ac:dyDescent="0.2">
      <c r="A6634" s="52"/>
    </row>
    <row r="6635" spans="1:1" x14ac:dyDescent="0.2">
      <c r="A6635" s="53"/>
    </row>
    <row r="6636" spans="1:1" x14ac:dyDescent="0.2">
      <c r="A6636" s="52"/>
    </row>
    <row r="6637" spans="1:1" x14ac:dyDescent="0.2">
      <c r="A6637" s="53"/>
    </row>
    <row r="6638" spans="1:1" x14ac:dyDescent="0.2">
      <c r="A6638" s="52"/>
    </row>
    <row r="6639" spans="1:1" x14ac:dyDescent="0.2">
      <c r="A6639" s="52"/>
    </row>
    <row r="6640" spans="1:1" x14ac:dyDescent="0.2">
      <c r="A6640" s="52"/>
    </row>
    <row r="6641" spans="1:1" x14ac:dyDescent="0.2">
      <c r="A6641" s="52"/>
    </row>
    <row r="6642" spans="1:1" x14ac:dyDescent="0.2">
      <c r="A6642" s="52"/>
    </row>
    <row r="6643" spans="1:1" x14ac:dyDescent="0.2">
      <c r="A6643" s="52"/>
    </row>
    <row r="6644" spans="1:1" x14ac:dyDescent="0.2">
      <c r="A6644" s="52"/>
    </row>
    <row r="6645" spans="1:1" x14ac:dyDescent="0.2">
      <c r="A6645" s="52"/>
    </row>
    <row r="6646" spans="1:1" x14ac:dyDescent="0.2">
      <c r="A6646" s="52"/>
    </row>
    <row r="6647" spans="1:1" x14ac:dyDescent="0.2">
      <c r="A6647" s="52"/>
    </row>
    <row r="6648" spans="1:1" x14ac:dyDescent="0.2">
      <c r="A6648" s="52"/>
    </row>
    <row r="6649" spans="1:1" x14ac:dyDescent="0.2">
      <c r="A6649" s="52"/>
    </row>
    <row r="6650" spans="1:1" x14ac:dyDescent="0.2">
      <c r="A6650" s="53"/>
    </row>
    <row r="6651" spans="1:1" x14ac:dyDescent="0.2">
      <c r="A6651" s="52"/>
    </row>
    <row r="6652" spans="1:1" x14ac:dyDescent="0.2">
      <c r="A6652" s="52"/>
    </row>
    <row r="6653" spans="1:1" x14ac:dyDescent="0.2">
      <c r="A6653" s="52"/>
    </row>
    <row r="6654" spans="1:1" x14ac:dyDescent="0.2">
      <c r="A6654" s="53"/>
    </row>
    <row r="6655" spans="1:1" x14ac:dyDescent="0.2">
      <c r="A6655" s="52"/>
    </row>
    <row r="6656" spans="1:1" x14ac:dyDescent="0.2">
      <c r="A6656" s="52"/>
    </row>
    <row r="6657" spans="1:1" x14ac:dyDescent="0.2">
      <c r="A6657" s="52"/>
    </row>
    <row r="6658" spans="1:1" x14ac:dyDescent="0.2">
      <c r="A6658" s="53"/>
    </row>
    <row r="6659" spans="1:1" x14ac:dyDescent="0.2">
      <c r="A6659" s="52"/>
    </row>
    <row r="6660" spans="1:1" x14ac:dyDescent="0.2">
      <c r="A6660" s="52"/>
    </row>
    <row r="6661" spans="1:1" x14ac:dyDescent="0.2">
      <c r="A6661" s="52"/>
    </row>
    <row r="6662" spans="1:1" x14ac:dyDescent="0.2">
      <c r="A6662" s="52"/>
    </row>
    <row r="6663" spans="1:1" x14ac:dyDescent="0.2">
      <c r="A6663" s="52"/>
    </row>
    <row r="6664" spans="1:1" x14ac:dyDescent="0.2">
      <c r="A6664" s="52"/>
    </row>
    <row r="6665" spans="1:1" x14ac:dyDescent="0.2">
      <c r="A6665" s="52"/>
    </row>
    <row r="6666" spans="1:1" x14ac:dyDescent="0.2">
      <c r="A6666" s="52"/>
    </row>
    <row r="6667" spans="1:1" x14ac:dyDescent="0.2">
      <c r="A6667" s="52"/>
    </row>
    <row r="6668" spans="1:1" x14ac:dyDescent="0.2">
      <c r="A6668" s="52"/>
    </row>
    <row r="6669" spans="1:1" x14ac:dyDescent="0.2">
      <c r="A6669" s="52"/>
    </row>
    <row r="6670" spans="1:1" x14ac:dyDescent="0.2">
      <c r="A6670" s="52"/>
    </row>
    <row r="6671" spans="1:1" x14ac:dyDescent="0.2">
      <c r="A6671" s="52"/>
    </row>
    <row r="6672" spans="1:1" x14ac:dyDescent="0.2">
      <c r="A6672" s="52"/>
    </row>
    <row r="6673" spans="1:1" x14ac:dyDescent="0.2">
      <c r="A6673" s="52"/>
    </row>
    <row r="6674" spans="1:1" x14ac:dyDescent="0.2">
      <c r="A6674" s="52"/>
    </row>
    <row r="6675" spans="1:1" x14ac:dyDescent="0.2">
      <c r="A6675" s="52"/>
    </row>
    <row r="6676" spans="1:1" x14ac:dyDescent="0.2">
      <c r="A6676" s="52"/>
    </row>
    <row r="6677" spans="1:1" x14ac:dyDescent="0.2">
      <c r="A6677" s="52"/>
    </row>
    <row r="6678" spans="1:1" x14ac:dyDescent="0.2">
      <c r="A6678" s="52"/>
    </row>
    <row r="6679" spans="1:1" x14ac:dyDescent="0.2">
      <c r="A6679" s="52"/>
    </row>
    <row r="6680" spans="1:1" x14ac:dyDescent="0.2">
      <c r="A6680" s="52"/>
    </row>
    <row r="6681" spans="1:1" x14ac:dyDescent="0.2">
      <c r="A6681" s="52"/>
    </row>
    <row r="6682" spans="1:1" x14ac:dyDescent="0.2">
      <c r="A6682" s="52"/>
    </row>
    <row r="6683" spans="1:1" x14ac:dyDescent="0.2">
      <c r="A6683" s="52"/>
    </row>
    <row r="6684" spans="1:1" x14ac:dyDescent="0.2">
      <c r="A6684" s="52"/>
    </row>
    <row r="6685" spans="1:1" x14ac:dyDescent="0.2">
      <c r="A6685" s="52"/>
    </row>
    <row r="6686" spans="1:1" x14ac:dyDescent="0.2">
      <c r="A6686" s="52"/>
    </row>
    <row r="6687" spans="1:1" x14ac:dyDescent="0.2">
      <c r="A6687" s="52"/>
    </row>
    <row r="6688" spans="1:1" x14ac:dyDescent="0.2">
      <c r="A6688" s="52"/>
    </row>
    <row r="6689" spans="1:1" x14ac:dyDescent="0.2">
      <c r="A6689" s="52"/>
    </row>
    <row r="6690" spans="1:1" x14ac:dyDescent="0.2">
      <c r="A6690" s="52"/>
    </row>
    <row r="6691" spans="1:1" x14ac:dyDescent="0.2">
      <c r="A6691" s="52"/>
    </row>
    <row r="6692" spans="1:1" x14ac:dyDescent="0.2">
      <c r="A6692" s="53"/>
    </row>
    <row r="6693" spans="1:1" x14ac:dyDescent="0.2">
      <c r="A6693" s="52"/>
    </row>
    <row r="6694" spans="1:1" x14ac:dyDescent="0.2">
      <c r="A6694" s="52"/>
    </row>
    <row r="6695" spans="1:1" x14ac:dyDescent="0.2">
      <c r="A6695" s="52"/>
    </row>
    <row r="6696" spans="1:1" x14ac:dyDescent="0.2">
      <c r="A6696" s="52"/>
    </row>
    <row r="6697" spans="1:1" x14ac:dyDescent="0.2">
      <c r="A6697" s="52"/>
    </row>
    <row r="6698" spans="1:1" x14ac:dyDescent="0.2">
      <c r="A6698" s="52"/>
    </row>
    <row r="6699" spans="1:1" x14ac:dyDescent="0.2">
      <c r="A6699" s="52"/>
    </row>
    <row r="6700" spans="1:1" x14ac:dyDescent="0.2">
      <c r="A6700" s="53"/>
    </row>
    <row r="6701" spans="1:1" x14ac:dyDescent="0.2">
      <c r="A6701" s="52"/>
    </row>
    <row r="6702" spans="1:1" x14ac:dyDescent="0.2">
      <c r="A6702" s="52"/>
    </row>
    <row r="6703" spans="1:1" x14ac:dyDescent="0.2">
      <c r="A6703" s="52"/>
    </row>
    <row r="6704" spans="1:1" x14ac:dyDescent="0.2">
      <c r="A6704" s="53"/>
    </row>
    <row r="6705" spans="1:1" x14ac:dyDescent="0.2">
      <c r="A6705" s="53"/>
    </row>
    <row r="6706" spans="1:1" x14ac:dyDescent="0.2">
      <c r="A6706" s="52"/>
    </row>
    <row r="6707" spans="1:1" x14ac:dyDescent="0.2">
      <c r="A6707" s="53"/>
    </row>
    <row r="6708" spans="1:1" x14ac:dyDescent="0.2">
      <c r="A6708" s="52"/>
    </row>
    <row r="6709" spans="1:1" x14ac:dyDescent="0.2">
      <c r="A6709" s="52"/>
    </row>
    <row r="6710" spans="1:1" x14ac:dyDescent="0.2">
      <c r="A6710" s="52"/>
    </row>
    <row r="6711" spans="1:1" x14ac:dyDescent="0.2">
      <c r="A6711" s="52"/>
    </row>
    <row r="6712" spans="1:1" x14ac:dyDescent="0.2">
      <c r="A6712" s="52"/>
    </row>
    <row r="6713" spans="1:1" x14ac:dyDescent="0.2">
      <c r="A6713" s="52"/>
    </row>
    <row r="6714" spans="1:1" x14ac:dyDescent="0.2">
      <c r="A6714" s="52"/>
    </row>
    <row r="6715" spans="1:1" x14ac:dyDescent="0.2">
      <c r="A6715" s="52"/>
    </row>
    <row r="6716" spans="1:1" x14ac:dyDescent="0.2">
      <c r="A6716" s="52"/>
    </row>
    <row r="6717" spans="1:1" x14ac:dyDescent="0.2">
      <c r="A6717" s="52"/>
    </row>
    <row r="6718" spans="1:1" x14ac:dyDescent="0.2">
      <c r="A6718" s="52"/>
    </row>
    <row r="6719" spans="1:1" x14ac:dyDescent="0.2">
      <c r="A6719" s="52"/>
    </row>
    <row r="6720" spans="1:1" x14ac:dyDescent="0.2">
      <c r="A6720" s="52"/>
    </row>
    <row r="6721" spans="1:1" x14ac:dyDescent="0.2">
      <c r="A6721" s="52"/>
    </row>
    <row r="6722" spans="1:1" x14ac:dyDescent="0.2">
      <c r="A6722" s="52"/>
    </row>
    <row r="6723" spans="1:1" x14ac:dyDescent="0.2">
      <c r="A6723" s="52"/>
    </row>
    <row r="6724" spans="1:1" x14ac:dyDescent="0.2">
      <c r="A6724" s="52"/>
    </row>
    <row r="6725" spans="1:1" x14ac:dyDescent="0.2">
      <c r="A6725" s="52"/>
    </row>
    <row r="6726" spans="1:1" x14ac:dyDescent="0.2">
      <c r="A6726" s="52"/>
    </row>
    <row r="6727" spans="1:1" x14ac:dyDescent="0.2">
      <c r="A6727" s="52"/>
    </row>
    <row r="6728" spans="1:1" x14ac:dyDescent="0.2">
      <c r="A6728" s="52"/>
    </row>
    <row r="6729" spans="1:1" x14ac:dyDescent="0.2">
      <c r="A6729" s="52"/>
    </row>
    <row r="6730" spans="1:1" x14ac:dyDescent="0.2">
      <c r="A6730" s="52"/>
    </row>
    <row r="6731" spans="1:1" x14ac:dyDescent="0.2">
      <c r="A6731" s="52"/>
    </row>
    <row r="6732" spans="1:1" x14ac:dyDescent="0.2">
      <c r="A6732" s="52"/>
    </row>
    <row r="6733" spans="1:1" x14ac:dyDescent="0.2">
      <c r="A6733" s="52"/>
    </row>
    <row r="6734" spans="1:1" x14ac:dyDescent="0.2">
      <c r="A6734" s="52"/>
    </row>
    <row r="6735" spans="1:1" x14ac:dyDescent="0.2">
      <c r="A6735" s="52"/>
    </row>
    <row r="6736" spans="1:1" x14ac:dyDescent="0.2">
      <c r="A6736" s="52"/>
    </row>
    <row r="6737" spans="1:1" x14ac:dyDescent="0.2">
      <c r="A6737" s="52"/>
    </row>
    <row r="6738" spans="1:1" x14ac:dyDescent="0.2">
      <c r="A6738" s="52"/>
    </row>
    <row r="6739" spans="1:1" x14ac:dyDescent="0.2">
      <c r="A6739" s="52"/>
    </row>
    <row r="6740" spans="1:1" x14ac:dyDescent="0.2">
      <c r="A6740" s="52"/>
    </row>
    <row r="6741" spans="1:1" x14ac:dyDescent="0.2">
      <c r="A6741" s="52"/>
    </row>
    <row r="6742" spans="1:1" x14ac:dyDescent="0.2">
      <c r="A6742" s="52"/>
    </row>
    <row r="6743" spans="1:1" x14ac:dyDescent="0.2">
      <c r="A6743" s="52"/>
    </row>
    <row r="6744" spans="1:1" x14ac:dyDescent="0.2">
      <c r="A6744" s="52"/>
    </row>
    <row r="6745" spans="1:1" x14ac:dyDescent="0.2">
      <c r="A6745" s="52"/>
    </row>
    <row r="6746" spans="1:1" x14ac:dyDescent="0.2">
      <c r="A6746" s="52"/>
    </row>
    <row r="6747" spans="1:1" x14ac:dyDescent="0.2">
      <c r="A6747" s="52"/>
    </row>
    <row r="6748" spans="1:1" x14ac:dyDescent="0.2">
      <c r="A6748" s="52"/>
    </row>
    <row r="6749" spans="1:1" x14ac:dyDescent="0.2">
      <c r="A6749" s="52"/>
    </row>
    <row r="6750" spans="1:1" x14ac:dyDescent="0.2">
      <c r="A6750" s="52"/>
    </row>
    <row r="6751" spans="1:1" x14ac:dyDescent="0.2">
      <c r="A6751" s="52"/>
    </row>
    <row r="6752" spans="1:1" x14ac:dyDescent="0.2">
      <c r="A6752" s="52"/>
    </row>
    <row r="6753" spans="1:1" x14ac:dyDescent="0.2">
      <c r="A6753" s="52"/>
    </row>
    <row r="6754" spans="1:1" x14ac:dyDescent="0.2">
      <c r="A6754" s="52"/>
    </row>
    <row r="6755" spans="1:1" x14ac:dyDescent="0.2">
      <c r="A6755" s="52"/>
    </row>
    <row r="6756" spans="1:1" x14ac:dyDescent="0.2">
      <c r="A6756" s="52"/>
    </row>
    <row r="6757" spans="1:1" x14ac:dyDescent="0.2">
      <c r="A6757" s="52"/>
    </row>
    <row r="6758" spans="1:1" x14ac:dyDescent="0.2">
      <c r="A6758" s="52"/>
    </row>
    <row r="6759" spans="1:1" x14ac:dyDescent="0.2">
      <c r="A6759" s="52"/>
    </row>
    <row r="6760" spans="1:1" x14ac:dyDescent="0.2">
      <c r="A6760" s="53"/>
    </row>
    <row r="6761" spans="1:1" x14ac:dyDescent="0.2">
      <c r="A6761" s="52"/>
    </row>
    <row r="6762" spans="1:1" x14ac:dyDescent="0.2">
      <c r="A6762" s="52"/>
    </row>
    <row r="6763" spans="1:1" x14ac:dyDescent="0.2">
      <c r="A6763" s="52"/>
    </row>
    <row r="6764" spans="1:1" x14ac:dyDescent="0.2">
      <c r="A6764" s="53"/>
    </row>
    <row r="6765" spans="1:1" x14ac:dyDescent="0.2">
      <c r="A6765" s="52"/>
    </row>
    <row r="6766" spans="1:1" x14ac:dyDescent="0.2">
      <c r="A6766" s="53"/>
    </row>
    <row r="6767" spans="1:1" x14ac:dyDescent="0.2">
      <c r="A6767" s="53"/>
    </row>
    <row r="6768" spans="1:1" x14ac:dyDescent="0.2">
      <c r="A6768" s="52"/>
    </row>
    <row r="6769" spans="1:1" x14ac:dyDescent="0.2">
      <c r="A6769" s="52"/>
    </row>
    <row r="6770" spans="1:1" x14ac:dyDescent="0.2">
      <c r="A6770" s="52"/>
    </row>
    <row r="6771" spans="1:1" x14ac:dyDescent="0.2">
      <c r="A6771" s="52"/>
    </row>
    <row r="6772" spans="1:1" x14ac:dyDescent="0.2">
      <c r="A6772" s="52"/>
    </row>
    <row r="6773" spans="1:1" x14ac:dyDescent="0.2">
      <c r="A6773" s="52"/>
    </row>
    <row r="6774" spans="1:1" x14ac:dyDescent="0.2">
      <c r="A6774" s="52"/>
    </row>
    <row r="6775" spans="1:1" x14ac:dyDescent="0.2">
      <c r="A6775" s="52"/>
    </row>
    <row r="6776" spans="1:1" x14ac:dyDescent="0.2">
      <c r="A6776" s="52"/>
    </row>
    <row r="6777" spans="1:1" x14ac:dyDescent="0.2">
      <c r="A6777" s="52"/>
    </row>
    <row r="6778" spans="1:1" x14ac:dyDescent="0.2">
      <c r="A6778" s="52"/>
    </row>
    <row r="6779" spans="1:1" x14ac:dyDescent="0.2">
      <c r="A6779" s="52"/>
    </row>
    <row r="6780" spans="1:1" x14ac:dyDescent="0.2">
      <c r="A6780" s="52"/>
    </row>
    <row r="6781" spans="1:1" x14ac:dyDescent="0.2">
      <c r="A6781" s="52"/>
    </row>
    <row r="6782" spans="1:1" x14ac:dyDescent="0.2">
      <c r="A6782" s="52"/>
    </row>
    <row r="6783" spans="1:1" x14ac:dyDescent="0.2">
      <c r="A6783" s="52"/>
    </row>
    <row r="6784" spans="1:1" x14ac:dyDescent="0.2">
      <c r="A6784" s="52"/>
    </row>
    <row r="6785" spans="1:1" x14ac:dyDescent="0.2">
      <c r="A6785" s="52"/>
    </row>
    <row r="6786" spans="1:1" x14ac:dyDescent="0.2">
      <c r="A6786" s="52"/>
    </row>
    <row r="6787" spans="1:1" x14ac:dyDescent="0.2">
      <c r="A6787" s="52"/>
    </row>
    <row r="6788" spans="1:1" x14ac:dyDescent="0.2">
      <c r="A6788" s="52"/>
    </row>
    <row r="6789" spans="1:1" x14ac:dyDescent="0.2">
      <c r="A6789" s="52"/>
    </row>
    <row r="6790" spans="1:1" x14ac:dyDescent="0.2">
      <c r="A6790" s="52"/>
    </row>
    <row r="6791" spans="1:1" x14ac:dyDescent="0.2">
      <c r="A6791" s="52"/>
    </row>
    <row r="6792" spans="1:1" x14ac:dyDescent="0.2">
      <c r="A6792" s="52"/>
    </row>
    <row r="6793" spans="1:1" x14ac:dyDescent="0.2">
      <c r="A6793" s="52"/>
    </row>
    <row r="6794" spans="1:1" x14ac:dyDescent="0.2">
      <c r="A6794" s="52"/>
    </row>
    <row r="6795" spans="1:1" x14ac:dyDescent="0.2">
      <c r="A6795" s="52"/>
    </row>
    <row r="6796" spans="1:1" x14ac:dyDescent="0.2">
      <c r="A6796" s="52"/>
    </row>
    <row r="6797" spans="1:1" x14ac:dyDescent="0.2">
      <c r="A6797" s="52"/>
    </row>
    <row r="6798" spans="1:1" x14ac:dyDescent="0.2">
      <c r="A6798" s="52"/>
    </row>
    <row r="6799" spans="1:1" x14ac:dyDescent="0.2">
      <c r="A6799" s="52"/>
    </row>
    <row r="6800" spans="1:1" x14ac:dyDescent="0.2">
      <c r="A6800" s="52"/>
    </row>
    <row r="6801" spans="1:1" x14ac:dyDescent="0.2">
      <c r="A6801" s="52"/>
    </row>
    <row r="6802" spans="1:1" x14ac:dyDescent="0.2">
      <c r="A6802" s="52"/>
    </row>
    <row r="6803" spans="1:1" x14ac:dyDescent="0.2">
      <c r="A6803" s="52"/>
    </row>
    <row r="6804" spans="1:1" x14ac:dyDescent="0.2">
      <c r="A6804" s="52"/>
    </row>
    <row r="6805" spans="1:1" x14ac:dyDescent="0.2">
      <c r="A6805" s="52"/>
    </row>
    <row r="6806" spans="1:1" x14ac:dyDescent="0.2">
      <c r="A6806" s="52"/>
    </row>
    <row r="6807" spans="1:1" x14ac:dyDescent="0.2">
      <c r="A6807" s="52"/>
    </row>
    <row r="6808" spans="1:1" x14ac:dyDescent="0.2">
      <c r="A6808" s="53"/>
    </row>
    <row r="6809" spans="1:1" x14ac:dyDescent="0.2">
      <c r="A6809" s="52"/>
    </row>
    <row r="6810" spans="1:1" x14ac:dyDescent="0.2">
      <c r="A6810" s="53"/>
    </row>
    <row r="6811" spans="1:1" x14ac:dyDescent="0.2">
      <c r="A6811" s="53"/>
    </row>
    <row r="6812" spans="1:1" x14ac:dyDescent="0.2">
      <c r="A6812" s="52"/>
    </row>
    <row r="6813" spans="1:1" x14ac:dyDescent="0.2">
      <c r="A6813" s="52"/>
    </row>
    <row r="6814" spans="1:1" x14ac:dyDescent="0.2">
      <c r="A6814" s="52"/>
    </row>
    <row r="6815" spans="1:1" x14ac:dyDescent="0.2">
      <c r="A6815" s="52"/>
    </row>
    <row r="6816" spans="1:1" x14ac:dyDescent="0.2">
      <c r="A6816" s="52"/>
    </row>
    <row r="6817" spans="1:1" x14ac:dyDescent="0.2">
      <c r="A6817" s="53"/>
    </row>
    <row r="6818" spans="1:1" x14ac:dyDescent="0.2">
      <c r="A6818" s="52"/>
    </row>
    <row r="6819" spans="1:1" x14ac:dyDescent="0.2">
      <c r="A6819" s="52"/>
    </row>
    <row r="6820" spans="1:1" x14ac:dyDescent="0.2">
      <c r="A6820" s="52"/>
    </row>
    <row r="6821" spans="1:1" x14ac:dyDescent="0.2">
      <c r="A6821" s="52"/>
    </row>
    <row r="6822" spans="1:1" x14ac:dyDescent="0.2">
      <c r="A6822" s="52"/>
    </row>
    <row r="6823" spans="1:1" x14ac:dyDescent="0.2">
      <c r="A6823" s="52"/>
    </row>
    <row r="6824" spans="1:1" x14ac:dyDescent="0.2">
      <c r="A6824" s="52"/>
    </row>
    <row r="6825" spans="1:1" x14ac:dyDescent="0.2">
      <c r="A6825" s="52"/>
    </row>
    <row r="6826" spans="1:1" x14ac:dyDescent="0.2">
      <c r="A6826" s="52"/>
    </row>
    <row r="6827" spans="1:1" x14ac:dyDescent="0.2">
      <c r="A6827" s="52"/>
    </row>
    <row r="6828" spans="1:1" x14ac:dyDescent="0.2">
      <c r="A6828" s="53"/>
    </row>
    <row r="6829" spans="1:1" x14ac:dyDescent="0.2">
      <c r="A6829" s="53"/>
    </row>
    <row r="6830" spans="1:1" x14ac:dyDescent="0.2">
      <c r="A6830" s="52"/>
    </row>
    <row r="6831" spans="1:1" x14ac:dyDescent="0.2">
      <c r="A6831" s="52"/>
    </row>
    <row r="6832" spans="1:1" x14ac:dyDescent="0.2">
      <c r="A6832" s="52"/>
    </row>
    <row r="6833" spans="1:1" x14ac:dyDescent="0.2">
      <c r="A6833" s="52"/>
    </row>
    <row r="6834" spans="1:1" x14ac:dyDescent="0.2">
      <c r="A6834" s="53"/>
    </row>
    <row r="6835" spans="1:1" x14ac:dyDescent="0.2">
      <c r="A6835" s="52"/>
    </row>
    <row r="6836" spans="1:1" x14ac:dyDescent="0.2">
      <c r="A6836" s="52"/>
    </row>
    <row r="6837" spans="1:1" x14ac:dyDescent="0.2">
      <c r="A6837" s="52"/>
    </row>
    <row r="6838" spans="1:1" x14ac:dyDescent="0.2">
      <c r="A6838" s="52"/>
    </row>
    <row r="6839" spans="1:1" x14ac:dyDescent="0.2">
      <c r="A6839" s="53"/>
    </row>
    <row r="6840" spans="1:1" x14ac:dyDescent="0.2">
      <c r="A6840" s="52"/>
    </row>
    <row r="6841" spans="1:1" x14ac:dyDescent="0.2">
      <c r="A6841" s="52"/>
    </row>
    <row r="6842" spans="1:1" x14ac:dyDescent="0.2">
      <c r="A6842" s="52"/>
    </row>
    <row r="6843" spans="1:1" x14ac:dyDescent="0.2">
      <c r="A6843" s="52"/>
    </row>
    <row r="6844" spans="1:1" x14ac:dyDescent="0.2">
      <c r="A6844" s="52"/>
    </row>
    <row r="6845" spans="1:1" x14ac:dyDescent="0.2">
      <c r="A6845" s="52"/>
    </row>
    <row r="6846" spans="1:1" x14ac:dyDescent="0.2">
      <c r="A6846" s="53"/>
    </row>
    <row r="6847" spans="1:1" x14ac:dyDescent="0.2">
      <c r="A6847" s="52"/>
    </row>
    <row r="6848" spans="1:1" x14ac:dyDescent="0.2">
      <c r="A6848" s="52"/>
    </row>
    <row r="6849" spans="1:1" x14ac:dyDescent="0.2">
      <c r="A6849" s="52"/>
    </row>
    <row r="6850" spans="1:1" x14ac:dyDescent="0.2">
      <c r="A6850" s="52"/>
    </row>
    <row r="6851" spans="1:1" x14ac:dyDescent="0.2">
      <c r="A6851" s="52"/>
    </row>
    <row r="6852" spans="1:1" x14ac:dyDescent="0.2">
      <c r="A6852" s="52"/>
    </row>
    <row r="6853" spans="1:1" x14ac:dyDescent="0.2">
      <c r="A6853" s="52"/>
    </row>
    <row r="6854" spans="1:1" x14ac:dyDescent="0.2">
      <c r="A6854" s="52"/>
    </row>
    <row r="6855" spans="1:1" x14ac:dyDescent="0.2">
      <c r="A6855" s="52"/>
    </row>
    <row r="6856" spans="1:1" x14ac:dyDescent="0.2">
      <c r="A6856" s="52"/>
    </row>
    <row r="6857" spans="1:1" x14ac:dyDescent="0.2">
      <c r="A6857" s="52"/>
    </row>
    <row r="6858" spans="1:1" x14ac:dyDescent="0.2">
      <c r="A6858" s="52"/>
    </row>
    <row r="6859" spans="1:1" x14ac:dyDescent="0.2">
      <c r="A6859" s="52"/>
    </row>
    <row r="6860" spans="1:1" x14ac:dyDescent="0.2">
      <c r="A6860" s="52"/>
    </row>
    <row r="6861" spans="1:1" x14ac:dyDescent="0.2">
      <c r="A6861" s="52"/>
    </row>
    <row r="6862" spans="1:1" x14ac:dyDescent="0.2">
      <c r="A6862" s="52"/>
    </row>
    <row r="6863" spans="1:1" x14ac:dyDescent="0.2">
      <c r="A6863" s="52"/>
    </row>
    <row r="6864" spans="1:1" x14ac:dyDescent="0.2">
      <c r="A6864" s="52"/>
    </row>
    <row r="6865" spans="1:1" x14ac:dyDescent="0.2">
      <c r="A6865" s="52"/>
    </row>
    <row r="6866" spans="1:1" x14ac:dyDescent="0.2">
      <c r="A6866" s="52"/>
    </row>
    <row r="6867" spans="1:1" x14ac:dyDescent="0.2">
      <c r="A6867" s="52"/>
    </row>
    <row r="6868" spans="1:1" x14ac:dyDescent="0.2">
      <c r="A6868" s="52"/>
    </row>
    <row r="6869" spans="1:1" x14ac:dyDescent="0.2">
      <c r="A6869" s="52"/>
    </row>
    <row r="6870" spans="1:1" x14ac:dyDescent="0.2">
      <c r="A6870" s="52"/>
    </row>
    <row r="6871" spans="1:1" x14ac:dyDescent="0.2">
      <c r="A6871" s="52"/>
    </row>
    <row r="6872" spans="1:1" x14ac:dyDescent="0.2">
      <c r="A6872" s="52"/>
    </row>
    <row r="6873" spans="1:1" x14ac:dyDescent="0.2">
      <c r="A6873" s="52"/>
    </row>
    <row r="6874" spans="1:1" x14ac:dyDescent="0.2">
      <c r="A6874" s="52"/>
    </row>
    <row r="6875" spans="1:1" x14ac:dyDescent="0.2">
      <c r="A6875" s="52"/>
    </row>
    <row r="6876" spans="1:1" x14ac:dyDescent="0.2">
      <c r="A6876" s="52"/>
    </row>
    <row r="6877" spans="1:1" x14ac:dyDescent="0.2">
      <c r="A6877" s="52"/>
    </row>
    <row r="6878" spans="1:1" x14ac:dyDescent="0.2">
      <c r="A6878" s="53"/>
    </row>
    <row r="6879" spans="1:1" x14ac:dyDescent="0.2">
      <c r="A6879" s="52"/>
    </row>
    <row r="6880" spans="1:1" x14ac:dyDescent="0.2">
      <c r="A6880" s="52"/>
    </row>
    <row r="6881" spans="1:1" x14ac:dyDescent="0.2">
      <c r="A6881" s="52"/>
    </row>
    <row r="6882" spans="1:1" x14ac:dyDescent="0.2">
      <c r="A6882" s="52"/>
    </row>
    <row r="6883" spans="1:1" x14ac:dyDescent="0.2">
      <c r="A6883" s="52"/>
    </row>
    <row r="6884" spans="1:1" x14ac:dyDescent="0.2">
      <c r="A6884" s="52"/>
    </row>
    <row r="6885" spans="1:1" x14ac:dyDescent="0.2">
      <c r="A6885" s="52"/>
    </row>
    <row r="6886" spans="1:1" x14ac:dyDescent="0.2">
      <c r="A6886" s="52"/>
    </row>
    <row r="6887" spans="1:1" x14ac:dyDescent="0.2">
      <c r="A6887" s="52"/>
    </row>
    <row r="6888" spans="1:1" x14ac:dyDescent="0.2">
      <c r="A6888" s="52"/>
    </row>
    <row r="6889" spans="1:1" x14ac:dyDescent="0.2">
      <c r="A6889" s="52"/>
    </row>
    <row r="6890" spans="1:1" x14ac:dyDescent="0.2">
      <c r="A6890" s="52"/>
    </row>
    <row r="6891" spans="1:1" x14ac:dyDescent="0.2">
      <c r="A6891" s="52"/>
    </row>
    <row r="6892" spans="1:1" x14ac:dyDescent="0.2">
      <c r="A6892" s="53"/>
    </row>
    <row r="6893" spans="1:1" x14ac:dyDescent="0.2">
      <c r="A6893" s="52"/>
    </row>
    <row r="6894" spans="1:1" x14ac:dyDescent="0.2">
      <c r="A6894" s="52"/>
    </row>
    <row r="6895" spans="1:1" x14ac:dyDescent="0.2">
      <c r="A6895" s="52"/>
    </row>
    <row r="6896" spans="1:1" x14ac:dyDescent="0.2">
      <c r="A6896" s="52"/>
    </row>
    <row r="6897" spans="1:1" x14ac:dyDescent="0.2">
      <c r="A6897" s="52"/>
    </row>
    <row r="6898" spans="1:1" x14ac:dyDescent="0.2">
      <c r="A6898" s="52"/>
    </row>
    <row r="6899" spans="1:1" x14ac:dyDescent="0.2">
      <c r="A6899" s="52"/>
    </row>
    <row r="6900" spans="1:1" x14ac:dyDescent="0.2">
      <c r="A6900" s="52"/>
    </row>
    <row r="6901" spans="1:1" x14ac:dyDescent="0.2">
      <c r="A6901" s="52"/>
    </row>
    <row r="6902" spans="1:1" x14ac:dyDescent="0.2">
      <c r="A6902" s="52"/>
    </row>
    <row r="6903" spans="1:1" x14ac:dyDescent="0.2">
      <c r="A6903" s="52"/>
    </row>
    <row r="6904" spans="1:1" x14ac:dyDescent="0.2">
      <c r="A6904" s="52"/>
    </row>
    <row r="6905" spans="1:1" x14ac:dyDescent="0.2">
      <c r="A6905" s="52"/>
    </row>
    <row r="6906" spans="1:1" x14ac:dyDescent="0.2">
      <c r="A6906" s="52"/>
    </row>
    <row r="6907" spans="1:1" x14ac:dyDescent="0.2">
      <c r="A6907" s="52"/>
    </row>
    <row r="6908" spans="1:1" x14ac:dyDescent="0.2">
      <c r="A6908" s="52"/>
    </row>
    <row r="6909" spans="1:1" x14ac:dyDescent="0.2">
      <c r="A6909" s="52"/>
    </row>
    <row r="6910" spans="1:1" x14ac:dyDescent="0.2">
      <c r="A6910" s="52"/>
    </row>
    <row r="6911" spans="1:1" x14ac:dyDescent="0.2">
      <c r="A6911" s="52"/>
    </row>
    <row r="6912" spans="1:1" x14ac:dyDescent="0.2">
      <c r="A6912" s="52"/>
    </row>
    <row r="6913" spans="1:1" x14ac:dyDescent="0.2">
      <c r="A6913" s="52"/>
    </row>
    <row r="6914" spans="1:1" x14ac:dyDescent="0.2">
      <c r="A6914" s="53"/>
    </row>
    <row r="6915" spans="1:1" x14ac:dyDescent="0.2">
      <c r="A6915" s="52"/>
    </row>
    <row r="6916" spans="1:1" x14ac:dyDescent="0.2">
      <c r="A6916" s="52"/>
    </row>
    <row r="6917" spans="1:1" x14ac:dyDescent="0.2">
      <c r="A6917" s="52"/>
    </row>
    <row r="6918" spans="1:1" x14ac:dyDescent="0.2">
      <c r="A6918" s="52"/>
    </row>
    <row r="6919" spans="1:1" x14ac:dyDescent="0.2">
      <c r="A6919" s="52"/>
    </row>
    <row r="6920" spans="1:1" x14ac:dyDescent="0.2">
      <c r="A6920" s="52"/>
    </row>
    <row r="6921" spans="1:1" x14ac:dyDescent="0.2">
      <c r="A6921" s="52"/>
    </row>
    <row r="6922" spans="1:1" x14ac:dyDescent="0.2">
      <c r="A6922" s="52"/>
    </row>
    <row r="6923" spans="1:1" x14ac:dyDescent="0.2">
      <c r="A6923" s="52"/>
    </row>
    <row r="6924" spans="1:1" x14ac:dyDescent="0.2">
      <c r="A6924" s="52"/>
    </row>
    <row r="6925" spans="1:1" x14ac:dyDescent="0.2">
      <c r="A6925" s="52"/>
    </row>
    <row r="6926" spans="1:1" x14ac:dyDescent="0.2">
      <c r="A6926" s="52"/>
    </row>
    <row r="6927" spans="1:1" x14ac:dyDescent="0.2">
      <c r="A6927" s="52"/>
    </row>
    <row r="6928" spans="1:1" x14ac:dyDescent="0.2">
      <c r="A6928" s="52"/>
    </row>
    <row r="6929" spans="1:1" x14ac:dyDescent="0.2">
      <c r="A6929" s="52"/>
    </row>
    <row r="6930" spans="1:1" x14ac:dyDescent="0.2">
      <c r="A6930" s="52"/>
    </row>
    <row r="6931" spans="1:1" x14ac:dyDescent="0.2">
      <c r="A6931" s="52"/>
    </row>
    <row r="6932" spans="1:1" x14ac:dyDescent="0.2">
      <c r="A6932" s="52"/>
    </row>
    <row r="6933" spans="1:1" x14ac:dyDescent="0.2">
      <c r="A6933" s="52"/>
    </row>
    <row r="6934" spans="1:1" x14ac:dyDescent="0.2">
      <c r="A6934" s="52"/>
    </row>
    <row r="6935" spans="1:1" x14ac:dyDescent="0.2">
      <c r="A6935" s="52"/>
    </row>
    <row r="6936" spans="1:1" x14ac:dyDescent="0.2">
      <c r="A6936" s="53"/>
    </row>
    <row r="6937" spans="1:1" x14ac:dyDescent="0.2">
      <c r="A6937" s="52"/>
    </row>
    <row r="6938" spans="1:1" x14ac:dyDescent="0.2">
      <c r="A6938" s="52"/>
    </row>
    <row r="6939" spans="1:1" x14ac:dyDescent="0.2">
      <c r="A6939" s="52"/>
    </row>
    <row r="6940" spans="1:1" x14ac:dyDescent="0.2">
      <c r="A6940" s="52"/>
    </row>
    <row r="6941" spans="1:1" x14ac:dyDescent="0.2">
      <c r="A6941" s="52"/>
    </row>
    <row r="6942" spans="1:1" x14ac:dyDescent="0.2">
      <c r="A6942" s="52"/>
    </row>
    <row r="6943" spans="1:1" x14ac:dyDescent="0.2">
      <c r="A6943" s="53"/>
    </row>
    <row r="6944" spans="1:1" x14ac:dyDescent="0.2">
      <c r="A6944" s="52"/>
    </row>
    <row r="6945" spans="1:1" x14ac:dyDescent="0.2">
      <c r="A6945" s="52"/>
    </row>
    <row r="6946" spans="1:1" x14ac:dyDescent="0.2">
      <c r="A6946" s="52"/>
    </row>
    <row r="6947" spans="1:1" x14ac:dyDescent="0.2">
      <c r="A6947" s="52"/>
    </row>
    <row r="6948" spans="1:1" x14ac:dyDescent="0.2">
      <c r="A6948" s="53"/>
    </row>
    <row r="6949" spans="1:1" x14ac:dyDescent="0.2">
      <c r="A6949" s="52"/>
    </row>
    <row r="6950" spans="1:1" x14ac:dyDescent="0.2">
      <c r="A6950" s="52"/>
    </row>
    <row r="6951" spans="1:1" x14ac:dyDescent="0.2">
      <c r="A6951" s="52"/>
    </row>
    <row r="6952" spans="1:1" x14ac:dyDescent="0.2">
      <c r="A6952" s="52"/>
    </row>
    <row r="6953" spans="1:1" x14ac:dyDescent="0.2">
      <c r="A6953" s="52"/>
    </row>
    <row r="6954" spans="1:1" x14ac:dyDescent="0.2">
      <c r="A6954" s="52"/>
    </row>
    <row r="6955" spans="1:1" x14ac:dyDescent="0.2">
      <c r="A6955" s="52"/>
    </row>
    <row r="6956" spans="1:1" x14ac:dyDescent="0.2">
      <c r="A6956" s="52"/>
    </row>
    <row r="6957" spans="1:1" x14ac:dyDescent="0.2">
      <c r="A6957" s="52"/>
    </row>
    <row r="6958" spans="1:1" x14ac:dyDescent="0.2">
      <c r="A6958" s="52"/>
    </row>
    <row r="6959" spans="1:1" x14ac:dyDescent="0.2">
      <c r="A6959" s="52"/>
    </row>
    <row r="6960" spans="1:1" x14ac:dyDescent="0.2">
      <c r="A6960" s="52"/>
    </row>
    <row r="6961" spans="1:1" x14ac:dyDescent="0.2">
      <c r="A6961" s="52"/>
    </row>
    <row r="6962" spans="1:1" x14ac:dyDescent="0.2">
      <c r="A6962" s="52"/>
    </row>
    <row r="6963" spans="1:1" x14ac:dyDescent="0.2">
      <c r="A6963" s="52"/>
    </row>
    <row r="6964" spans="1:1" x14ac:dyDescent="0.2">
      <c r="A6964" s="52"/>
    </row>
    <row r="6965" spans="1:1" x14ac:dyDescent="0.2">
      <c r="A6965" s="52"/>
    </row>
    <row r="6966" spans="1:1" x14ac:dyDescent="0.2">
      <c r="A6966" s="52"/>
    </row>
    <row r="6967" spans="1:1" x14ac:dyDescent="0.2">
      <c r="A6967" s="52"/>
    </row>
    <row r="6968" spans="1:1" x14ac:dyDescent="0.2">
      <c r="A6968" s="52"/>
    </row>
    <row r="6969" spans="1:1" x14ac:dyDescent="0.2">
      <c r="A6969" s="52"/>
    </row>
    <row r="6970" spans="1:1" x14ac:dyDescent="0.2">
      <c r="A6970" s="52"/>
    </row>
    <row r="6971" spans="1:1" x14ac:dyDescent="0.2">
      <c r="A6971" s="52"/>
    </row>
    <row r="6972" spans="1:1" x14ac:dyDescent="0.2">
      <c r="A6972" s="52"/>
    </row>
    <row r="6973" spans="1:1" x14ac:dyDescent="0.2">
      <c r="A6973" s="52"/>
    </row>
    <row r="6974" spans="1:1" x14ac:dyDescent="0.2">
      <c r="A6974" s="52"/>
    </row>
    <row r="6975" spans="1:1" x14ac:dyDescent="0.2">
      <c r="A6975" s="52"/>
    </row>
    <row r="6976" spans="1:1" x14ac:dyDescent="0.2">
      <c r="A6976" s="52"/>
    </row>
    <row r="6977" spans="1:1" x14ac:dyDescent="0.2">
      <c r="A6977" s="52"/>
    </row>
    <row r="6978" spans="1:1" x14ac:dyDescent="0.2">
      <c r="A6978" s="52"/>
    </row>
    <row r="6979" spans="1:1" x14ac:dyDescent="0.2">
      <c r="A6979" s="52"/>
    </row>
    <row r="6980" spans="1:1" x14ac:dyDescent="0.2">
      <c r="A6980" s="52"/>
    </row>
    <row r="6981" spans="1:1" x14ac:dyDescent="0.2">
      <c r="A6981" s="52"/>
    </row>
    <row r="6982" spans="1:1" x14ac:dyDescent="0.2">
      <c r="A6982" s="52"/>
    </row>
    <row r="6983" spans="1:1" x14ac:dyDescent="0.2">
      <c r="A6983" s="52"/>
    </row>
    <row r="6984" spans="1:1" x14ac:dyDescent="0.2">
      <c r="A6984" s="52"/>
    </row>
    <row r="6985" spans="1:1" x14ac:dyDescent="0.2">
      <c r="A6985" s="52"/>
    </row>
    <row r="6986" spans="1:1" x14ac:dyDescent="0.2">
      <c r="A6986" s="52"/>
    </row>
    <row r="6987" spans="1:1" x14ac:dyDescent="0.2">
      <c r="A6987" s="52"/>
    </row>
    <row r="6988" spans="1:1" x14ac:dyDescent="0.2">
      <c r="A6988" s="53"/>
    </row>
    <row r="6989" spans="1:1" x14ac:dyDescent="0.2">
      <c r="A6989" s="53"/>
    </row>
    <row r="6990" spans="1:1" x14ac:dyDescent="0.2">
      <c r="A6990" s="52"/>
    </row>
    <row r="6991" spans="1:1" x14ac:dyDescent="0.2">
      <c r="A6991" s="52"/>
    </row>
    <row r="6992" spans="1:1" x14ac:dyDescent="0.2">
      <c r="A6992" s="52"/>
    </row>
    <row r="6993" spans="1:1" x14ac:dyDescent="0.2">
      <c r="A6993" s="52"/>
    </row>
    <row r="6994" spans="1:1" x14ac:dyDescent="0.2">
      <c r="A6994" s="52"/>
    </row>
    <row r="6995" spans="1:1" x14ac:dyDescent="0.2">
      <c r="A6995" s="52"/>
    </row>
    <row r="6996" spans="1:1" x14ac:dyDescent="0.2">
      <c r="A6996" s="52"/>
    </row>
    <row r="6997" spans="1:1" x14ac:dyDescent="0.2">
      <c r="A6997" s="52"/>
    </row>
    <row r="6998" spans="1:1" x14ac:dyDescent="0.2">
      <c r="A6998" s="52"/>
    </row>
    <row r="6999" spans="1:1" x14ac:dyDescent="0.2">
      <c r="A6999" s="52"/>
    </row>
    <row r="7000" spans="1:1" x14ac:dyDescent="0.2">
      <c r="A7000" s="52"/>
    </row>
    <row r="7001" spans="1:1" x14ac:dyDescent="0.2">
      <c r="A7001" s="53"/>
    </row>
    <row r="7002" spans="1:1" x14ac:dyDescent="0.2">
      <c r="A7002" s="53"/>
    </row>
    <row r="7003" spans="1:1" x14ac:dyDescent="0.2">
      <c r="A7003" s="52"/>
    </row>
    <row r="7004" spans="1:1" x14ac:dyDescent="0.2">
      <c r="A7004" s="52"/>
    </row>
    <row r="7005" spans="1:1" x14ac:dyDescent="0.2">
      <c r="A7005" s="52"/>
    </row>
    <row r="7006" spans="1:1" x14ac:dyDescent="0.2">
      <c r="A7006" s="52"/>
    </row>
    <row r="7007" spans="1:1" x14ac:dyDescent="0.2">
      <c r="A7007" s="52"/>
    </row>
    <row r="7008" spans="1:1" x14ac:dyDescent="0.2">
      <c r="A7008" s="52"/>
    </row>
    <row r="7009" spans="1:1" x14ac:dyDescent="0.2">
      <c r="A7009" s="52"/>
    </row>
    <row r="7010" spans="1:1" x14ac:dyDescent="0.2">
      <c r="A7010" s="52"/>
    </row>
    <row r="7011" spans="1:1" x14ac:dyDescent="0.2">
      <c r="A7011" s="52"/>
    </row>
    <row r="7012" spans="1:1" x14ac:dyDescent="0.2">
      <c r="A7012" s="52"/>
    </row>
    <row r="7013" spans="1:1" x14ac:dyDescent="0.2">
      <c r="A7013" s="52"/>
    </row>
    <row r="7014" spans="1:1" x14ac:dyDescent="0.2">
      <c r="A7014" s="52"/>
    </row>
    <row r="7015" spans="1:1" x14ac:dyDescent="0.2">
      <c r="A7015" s="52"/>
    </row>
    <row r="7016" spans="1:1" x14ac:dyDescent="0.2">
      <c r="A7016" s="52"/>
    </row>
    <row r="7017" spans="1:1" x14ac:dyDescent="0.2">
      <c r="A7017" s="52"/>
    </row>
    <row r="7018" spans="1:1" x14ac:dyDescent="0.2">
      <c r="A7018" s="52"/>
    </row>
    <row r="7019" spans="1:1" x14ac:dyDescent="0.2">
      <c r="A7019" s="52"/>
    </row>
    <row r="7020" spans="1:1" x14ac:dyDescent="0.2">
      <c r="A7020" s="52"/>
    </row>
    <row r="7021" spans="1:1" x14ac:dyDescent="0.2">
      <c r="A7021" s="52"/>
    </row>
    <row r="7022" spans="1:1" x14ac:dyDescent="0.2">
      <c r="A7022" s="52"/>
    </row>
    <row r="7023" spans="1:1" x14ac:dyDescent="0.2">
      <c r="A7023" s="52"/>
    </row>
    <row r="7024" spans="1:1" x14ac:dyDescent="0.2">
      <c r="A7024" s="52"/>
    </row>
    <row r="7025" spans="1:1" x14ac:dyDescent="0.2">
      <c r="A7025" s="52"/>
    </row>
    <row r="7026" spans="1:1" x14ac:dyDescent="0.2">
      <c r="A7026" s="52"/>
    </row>
    <row r="7027" spans="1:1" x14ac:dyDescent="0.2">
      <c r="A7027" s="52"/>
    </row>
    <row r="7028" spans="1:1" x14ac:dyDescent="0.2">
      <c r="A7028" s="52"/>
    </row>
    <row r="7029" spans="1:1" x14ac:dyDescent="0.2">
      <c r="A7029" s="53"/>
    </row>
    <row r="7030" spans="1:1" x14ac:dyDescent="0.2">
      <c r="A7030" s="52"/>
    </row>
    <row r="7031" spans="1:1" x14ac:dyDescent="0.2">
      <c r="A7031" s="52"/>
    </row>
    <row r="7032" spans="1:1" x14ac:dyDescent="0.2">
      <c r="A7032" s="52"/>
    </row>
    <row r="7033" spans="1:1" x14ac:dyDescent="0.2">
      <c r="A7033" s="53"/>
    </row>
    <row r="7034" spans="1:1" x14ac:dyDescent="0.2">
      <c r="A7034" s="52"/>
    </row>
    <row r="7035" spans="1:1" x14ac:dyDescent="0.2">
      <c r="A7035" s="52"/>
    </row>
    <row r="7036" spans="1:1" x14ac:dyDescent="0.2">
      <c r="A7036" s="52"/>
    </row>
    <row r="7037" spans="1:1" x14ac:dyDescent="0.2">
      <c r="A7037" s="52"/>
    </row>
    <row r="7038" spans="1:1" x14ac:dyDescent="0.2">
      <c r="A7038" s="52"/>
    </row>
    <row r="7039" spans="1:1" x14ac:dyDescent="0.2">
      <c r="A7039" s="52"/>
    </row>
    <row r="7040" spans="1:1" x14ac:dyDescent="0.2">
      <c r="A7040" s="52"/>
    </row>
    <row r="7041" spans="1:1" x14ac:dyDescent="0.2">
      <c r="A7041" s="52"/>
    </row>
    <row r="7042" spans="1:1" x14ac:dyDescent="0.2">
      <c r="A7042" s="52"/>
    </row>
    <row r="7043" spans="1:1" x14ac:dyDescent="0.2">
      <c r="A7043" s="52"/>
    </row>
    <row r="7044" spans="1:1" x14ac:dyDescent="0.2">
      <c r="A7044" s="52"/>
    </row>
    <row r="7045" spans="1:1" x14ac:dyDescent="0.2">
      <c r="A7045" s="52"/>
    </row>
    <row r="7046" spans="1:1" x14ac:dyDescent="0.2">
      <c r="A7046" s="52"/>
    </row>
    <row r="7047" spans="1:1" x14ac:dyDescent="0.2">
      <c r="A7047" s="52"/>
    </row>
    <row r="7048" spans="1:1" x14ac:dyDescent="0.2">
      <c r="A7048" s="52"/>
    </row>
    <row r="7049" spans="1:1" x14ac:dyDescent="0.2">
      <c r="A7049" s="52"/>
    </row>
    <row r="7050" spans="1:1" x14ac:dyDescent="0.2">
      <c r="A7050" s="52"/>
    </row>
    <row r="7051" spans="1:1" x14ac:dyDescent="0.2">
      <c r="A7051" s="52"/>
    </row>
    <row r="7052" spans="1:1" x14ac:dyDescent="0.2">
      <c r="A7052" s="52"/>
    </row>
    <row r="7053" spans="1:1" x14ac:dyDescent="0.2">
      <c r="A7053" s="52"/>
    </row>
    <row r="7054" spans="1:1" x14ac:dyDescent="0.2">
      <c r="A7054" s="52"/>
    </row>
    <row r="7055" spans="1:1" x14ac:dyDescent="0.2">
      <c r="A7055" s="52"/>
    </row>
    <row r="7056" spans="1:1" x14ac:dyDescent="0.2">
      <c r="A7056" s="52"/>
    </row>
    <row r="7057" spans="1:1" x14ac:dyDescent="0.2">
      <c r="A7057" s="52"/>
    </row>
    <row r="7058" spans="1:1" x14ac:dyDescent="0.2">
      <c r="A7058" s="52"/>
    </row>
    <row r="7059" spans="1:1" x14ac:dyDescent="0.2">
      <c r="A7059" s="52"/>
    </row>
    <row r="7060" spans="1:1" x14ac:dyDescent="0.2">
      <c r="A7060" s="52"/>
    </row>
    <row r="7061" spans="1:1" x14ac:dyDescent="0.2">
      <c r="A7061" s="52"/>
    </row>
    <row r="7062" spans="1:1" x14ac:dyDescent="0.2">
      <c r="A7062" s="52"/>
    </row>
    <row r="7063" spans="1:1" x14ac:dyDescent="0.2">
      <c r="A7063" s="52"/>
    </row>
    <row r="7064" spans="1:1" x14ac:dyDescent="0.2">
      <c r="A7064" s="52"/>
    </row>
    <row r="7065" spans="1:1" x14ac:dyDescent="0.2">
      <c r="A7065" s="52"/>
    </row>
    <row r="7066" spans="1:1" x14ac:dyDescent="0.2">
      <c r="A7066" s="52"/>
    </row>
    <row r="7067" spans="1:1" x14ac:dyDescent="0.2">
      <c r="A7067" s="52"/>
    </row>
    <row r="7068" spans="1:1" x14ac:dyDescent="0.2">
      <c r="A7068" s="53"/>
    </row>
    <row r="7069" spans="1:1" x14ac:dyDescent="0.2">
      <c r="A7069" s="52"/>
    </row>
    <row r="7070" spans="1:1" x14ac:dyDescent="0.2">
      <c r="A7070" s="52"/>
    </row>
    <row r="7071" spans="1:1" x14ac:dyDescent="0.2">
      <c r="A7071" s="52"/>
    </row>
    <row r="7072" spans="1:1" x14ac:dyDescent="0.2">
      <c r="A7072" s="52"/>
    </row>
    <row r="7073" spans="1:1" x14ac:dyDescent="0.2">
      <c r="A7073" s="52"/>
    </row>
    <row r="7074" spans="1:1" x14ac:dyDescent="0.2">
      <c r="A7074" s="52"/>
    </row>
    <row r="7075" spans="1:1" x14ac:dyDescent="0.2">
      <c r="A7075" s="53"/>
    </row>
    <row r="7076" spans="1:1" x14ac:dyDescent="0.2">
      <c r="A7076" s="53"/>
    </row>
    <row r="7077" spans="1:1" x14ac:dyDescent="0.2">
      <c r="A7077" s="53"/>
    </row>
    <row r="7078" spans="1:1" x14ac:dyDescent="0.2">
      <c r="A7078" s="53"/>
    </row>
    <row r="7079" spans="1:1" x14ac:dyDescent="0.2">
      <c r="A7079" s="53"/>
    </row>
    <row r="7080" spans="1:1" x14ac:dyDescent="0.2">
      <c r="A7080" s="53"/>
    </row>
    <row r="7081" spans="1:1" x14ac:dyDescent="0.2">
      <c r="A7081" s="52"/>
    </row>
    <row r="7082" spans="1:1" x14ac:dyDescent="0.2">
      <c r="A7082" s="52"/>
    </row>
    <row r="7083" spans="1:1" x14ac:dyDescent="0.2">
      <c r="A7083" s="52"/>
    </row>
    <row r="7084" spans="1:1" x14ac:dyDescent="0.2">
      <c r="A7084" s="52"/>
    </row>
    <row r="7085" spans="1:1" x14ac:dyDescent="0.2">
      <c r="A7085" s="52"/>
    </row>
    <row r="7086" spans="1:1" x14ac:dyDescent="0.2">
      <c r="A7086" s="52"/>
    </row>
    <row r="7087" spans="1:1" x14ac:dyDescent="0.2">
      <c r="A7087" s="52"/>
    </row>
    <row r="7088" spans="1:1" x14ac:dyDescent="0.2">
      <c r="A7088" s="52"/>
    </row>
    <row r="7089" spans="1:1" x14ac:dyDescent="0.2">
      <c r="A7089" s="52"/>
    </row>
    <row r="7090" spans="1:1" x14ac:dyDescent="0.2">
      <c r="A7090" s="52"/>
    </row>
    <row r="7091" spans="1:1" x14ac:dyDescent="0.2">
      <c r="A7091" s="52"/>
    </row>
    <row r="7092" spans="1:1" x14ac:dyDescent="0.2">
      <c r="A7092" s="52"/>
    </row>
    <row r="7093" spans="1:1" x14ac:dyDescent="0.2">
      <c r="A7093" s="52"/>
    </row>
    <row r="7094" spans="1:1" x14ac:dyDescent="0.2">
      <c r="A7094" s="52"/>
    </row>
    <row r="7095" spans="1:1" x14ac:dyDescent="0.2">
      <c r="A7095" s="52"/>
    </row>
    <row r="7096" spans="1:1" x14ac:dyDescent="0.2">
      <c r="A7096" s="52"/>
    </row>
    <row r="7097" spans="1:1" x14ac:dyDescent="0.2">
      <c r="A7097" s="52"/>
    </row>
    <row r="7098" spans="1:1" x14ac:dyDescent="0.2">
      <c r="A7098" s="52"/>
    </row>
    <row r="7099" spans="1:1" x14ac:dyDescent="0.2">
      <c r="A7099" s="52"/>
    </row>
    <row r="7100" spans="1:1" x14ac:dyDescent="0.2">
      <c r="A7100" s="52"/>
    </row>
    <row r="7101" spans="1:1" x14ac:dyDescent="0.2">
      <c r="A7101" s="52"/>
    </row>
    <row r="7102" spans="1:1" x14ac:dyDescent="0.2">
      <c r="A7102" s="52"/>
    </row>
    <row r="7103" spans="1:1" x14ac:dyDescent="0.2">
      <c r="A7103" s="52"/>
    </row>
    <row r="7104" spans="1:1" x14ac:dyDescent="0.2">
      <c r="A7104" s="52"/>
    </row>
    <row r="7105" spans="1:1" x14ac:dyDescent="0.2">
      <c r="A7105" s="52"/>
    </row>
    <row r="7106" spans="1:1" x14ac:dyDescent="0.2">
      <c r="A7106" s="52"/>
    </row>
    <row r="7107" spans="1:1" x14ac:dyDescent="0.2">
      <c r="A7107" s="52"/>
    </row>
    <row r="7108" spans="1:1" x14ac:dyDescent="0.2">
      <c r="A7108" s="52"/>
    </row>
    <row r="7109" spans="1:1" x14ac:dyDescent="0.2">
      <c r="A7109" s="52"/>
    </row>
    <row r="7110" spans="1:1" x14ac:dyDescent="0.2">
      <c r="A7110" s="52"/>
    </row>
    <row r="7111" spans="1:1" x14ac:dyDescent="0.2">
      <c r="A7111" s="52"/>
    </row>
    <row r="7112" spans="1:1" x14ac:dyDescent="0.2">
      <c r="A7112" s="52"/>
    </row>
    <row r="7113" spans="1:1" x14ac:dyDescent="0.2">
      <c r="A7113" s="52"/>
    </row>
    <row r="7114" spans="1:1" x14ac:dyDescent="0.2">
      <c r="A7114" s="52"/>
    </row>
    <row r="7115" spans="1:1" x14ac:dyDescent="0.2">
      <c r="A7115" s="52"/>
    </row>
    <row r="7116" spans="1:1" x14ac:dyDescent="0.2">
      <c r="A7116" s="52"/>
    </row>
    <row r="7117" spans="1:1" x14ac:dyDescent="0.2">
      <c r="A7117" s="52"/>
    </row>
    <row r="7118" spans="1:1" x14ac:dyDescent="0.2">
      <c r="A7118" s="52"/>
    </row>
    <row r="7119" spans="1:1" x14ac:dyDescent="0.2">
      <c r="A7119" s="52"/>
    </row>
    <row r="7120" spans="1:1" x14ac:dyDescent="0.2">
      <c r="A7120" s="52"/>
    </row>
    <row r="7121" spans="1:1" x14ac:dyDescent="0.2">
      <c r="A7121" s="52"/>
    </row>
    <row r="7122" spans="1:1" x14ac:dyDescent="0.2">
      <c r="A7122" s="52"/>
    </row>
    <row r="7123" spans="1:1" x14ac:dyDescent="0.2">
      <c r="A7123" s="52"/>
    </row>
    <row r="7124" spans="1:1" x14ac:dyDescent="0.2">
      <c r="A7124" s="52"/>
    </row>
    <row r="7125" spans="1:1" x14ac:dyDescent="0.2">
      <c r="A7125" s="52"/>
    </row>
    <row r="7126" spans="1:1" x14ac:dyDescent="0.2">
      <c r="A7126" s="52"/>
    </row>
    <row r="7127" spans="1:1" x14ac:dyDescent="0.2">
      <c r="A7127" s="52"/>
    </row>
    <row r="7128" spans="1:1" x14ac:dyDescent="0.2">
      <c r="A7128" s="52"/>
    </row>
    <row r="7129" spans="1:1" x14ac:dyDescent="0.2">
      <c r="A7129" s="52"/>
    </row>
    <row r="7130" spans="1:1" x14ac:dyDescent="0.2">
      <c r="A7130" s="52"/>
    </row>
    <row r="7131" spans="1:1" x14ac:dyDescent="0.2">
      <c r="A7131" s="52"/>
    </row>
    <row r="7132" spans="1:1" x14ac:dyDescent="0.2">
      <c r="A7132" s="52"/>
    </row>
    <row r="7133" spans="1:1" x14ac:dyDescent="0.2">
      <c r="A7133" s="52"/>
    </row>
    <row r="7134" spans="1:1" x14ac:dyDescent="0.2">
      <c r="A7134" s="52"/>
    </row>
    <row r="7135" spans="1:1" x14ac:dyDescent="0.2">
      <c r="A7135" s="52"/>
    </row>
    <row r="7136" spans="1:1" x14ac:dyDescent="0.2">
      <c r="A7136" s="52"/>
    </row>
    <row r="7137" spans="1:1" x14ac:dyDescent="0.2">
      <c r="A7137" s="52"/>
    </row>
    <row r="7138" spans="1:1" x14ac:dyDescent="0.2">
      <c r="A7138" s="52"/>
    </row>
    <row r="7139" spans="1:1" x14ac:dyDescent="0.2">
      <c r="A7139" s="52"/>
    </row>
    <row r="7140" spans="1:1" x14ac:dyDescent="0.2">
      <c r="A7140" s="52"/>
    </row>
    <row r="7141" spans="1:1" x14ac:dyDescent="0.2">
      <c r="A7141" s="52"/>
    </row>
    <row r="7142" spans="1:1" x14ac:dyDescent="0.2">
      <c r="A7142" s="52"/>
    </row>
    <row r="7143" spans="1:1" x14ac:dyDescent="0.2">
      <c r="A7143" s="52"/>
    </row>
    <row r="7144" spans="1:1" x14ac:dyDescent="0.2">
      <c r="A7144" s="52"/>
    </row>
    <row r="7145" spans="1:1" x14ac:dyDescent="0.2">
      <c r="A7145" s="52"/>
    </row>
    <row r="7146" spans="1:1" x14ac:dyDescent="0.2">
      <c r="A7146" s="52"/>
    </row>
    <row r="7147" spans="1:1" x14ac:dyDescent="0.2">
      <c r="A7147" s="52"/>
    </row>
    <row r="7148" spans="1:1" x14ac:dyDescent="0.2">
      <c r="A7148" s="52"/>
    </row>
    <row r="7149" spans="1:1" x14ac:dyDescent="0.2">
      <c r="A7149" s="52"/>
    </row>
    <row r="7150" spans="1:1" x14ac:dyDescent="0.2">
      <c r="A7150" s="52"/>
    </row>
    <row r="7151" spans="1:1" x14ac:dyDescent="0.2">
      <c r="A7151" s="52"/>
    </row>
    <row r="7152" spans="1:1" x14ac:dyDescent="0.2">
      <c r="A7152" s="52"/>
    </row>
    <row r="7153" spans="1:1" x14ac:dyDescent="0.2">
      <c r="A7153" s="52"/>
    </row>
    <row r="7154" spans="1:1" x14ac:dyDescent="0.2">
      <c r="A7154" s="52"/>
    </row>
    <row r="7155" spans="1:1" x14ac:dyDescent="0.2">
      <c r="A7155" s="53"/>
    </row>
    <row r="7156" spans="1:1" x14ac:dyDescent="0.2">
      <c r="A7156" s="52"/>
    </row>
    <row r="7157" spans="1:1" x14ac:dyDescent="0.2">
      <c r="A7157" s="52"/>
    </row>
    <row r="7158" spans="1:1" x14ac:dyDescent="0.2">
      <c r="A7158" s="52"/>
    </row>
    <row r="7159" spans="1:1" x14ac:dyDescent="0.2">
      <c r="A7159" s="52"/>
    </row>
    <row r="7160" spans="1:1" x14ac:dyDescent="0.2">
      <c r="A7160" s="52"/>
    </row>
    <row r="7161" spans="1:1" x14ac:dyDescent="0.2">
      <c r="A7161" s="53"/>
    </row>
    <row r="7162" spans="1:1" x14ac:dyDescent="0.2">
      <c r="A7162" s="52"/>
    </row>
    <row r="7163" spans="1:1" x14ac:dyDescent="0.2">
      <c r="A7163" s="52"/>
    </row>
    <row r="7164" spans="1:1" x14ac:dyDescent="0.2">
      <c r="A7164" s="52"/>
    </row>
    <row r="7165" spans="1:1" x14ac:dyDescent="0.2">
      <c r="A7165" s="52"/>
    </row>
    <row r="7166" spans="1:1" x14ac:dyDescent="0.2">
      <c r="A7166" s="52"/>
    </row>
    <row r="7167" spans="1:1" x14ac:dyDescent="0.2">
      <c r="A7167" s="52"/>
    </row>
    <row r="7168" spans="1:1" x14ac:dyDescent="0.2">
      <c r="A7168" s="52"/>
    </row>
    <row r="7169" spans="1:1" x14ac:dyDescent="0.2">
      <c r="A7169" s="52"/>
    </row>
    <row r="7170" spans="1:1" x14ac:dyDescent="0.2">
      <c r="A7170" s="52"/>
    </row>
    <row r="7171" spans="1:1" x14ac:dyDescent="0.2">
      <c r="A7171" s="52"/>
    </row>
    <row r="7172" spans="1:1" x14ac:dyDescent="0.2">
      <c r="A7172" s="52"/>
    </row>
    <row r="7173" spans="1:1" x14ac:dyDescent="0.2">
      <c r="A7173" s="52"/>
    </row>
    <row r="7174" spans="1:1" x14ac:dyDescent="0.2">
      <c r="A7174" s="52"/>
    </row>
    <row r="7175" spans="1:1" x14ac:dyDescent="0.2">
      <c r="A7175" s="52"/>
    </row>
    <row r="7176" spans="1:1" x14ac:dyDescent="0.2">
      <c r="A7176" s="52"/>
    </row>
    <row r="7177" spans="1:1" x14ac:dyDescent="0.2">
      <c r="A7177" s="52"/>
    </row>
    <row r="7178" spans="1:1" x14ac:dyDescent="0.2">
      <c r="A7178" s="52"/>
    </row>
    <row r="7179" spans="1:1" x14ac:dyDescent="0.2">
      <c r="A7179" s="52"/>
    </row>
    <row r="7180" spans="1:1" x14ac:dyDescent="0.2">
      <c r="A7180" s="52"/>
    </row>
    <row r="7181" spans="1:1" x14ac:dyDescent="0.2">
      <c r="A7181" s="52"/>
    </row>
    <row r="7182" spans="1:1" x14ac:dyDescent="0.2">
      <c r="A7182" s="52"/>
    </row>
    <row r="7183" spans="1:1" x14ac:dyDescent="0.2">
      <c r="A7183" s="52"/>
    </row>
    <row r="7184" spans="1:1" x14ac:dyDescent="0.2">
      <c r="A7184" s="52"/>
    </row>
    <row r="7185" spans="1:1" x14ac:dyDescent="0.2">
      <c r="A7185" s="52"/>
    </row>
    <row r="7186" spans="1:1" x14ac:dyDescent="0.2">
      <c r="A7186" s="52"/>
    </row>
    <row r="7187" spans="1:1" x14ac:dyDescent="0.2">
      <c r="A7187" s="52"/>
    </row>
    <row r="7188" spans="1:1" x14ac:dyDescent="0.2">
      <c r="A7188" s="52"/>
    </row>
    <row r="7189" spans="1:1" x14ac:dyDescent="0.2">
      <c r="A7189" s="52"/>
    </row>
    <row r="7190" spans="1:1" x14ac:dyDescent="0.2">
      <c r="A7190" s="53"/>
    </row>
    <row r="7191" spans="1:1" x14ac:dyDescent="0.2">
      <c r="A7191" s="52"/>
    </row>
    <row r="7192" spans="1:1" x14ac:dyDescent="0.2">
      <c r="A7192" s="52"/>
    </row>
    <row r="7193" spans="1:1" x14ac:dyDescent="0.2">
      <c r="A7193" s="52"/>
    </row>
    <row r="7194" spans="1:1" x14ac:dyDescent="0.2">
      <c r="A7194" s="52"/>
    </row>
    <row r="7195" spans="1:1" x14ac:dyDescent="0.2">
      <c r="A7195" s="52"/>
    </row>
    <row r="7196" spans="1:1" x14ac:dyDescent="0.2">
      <c r="A7196" s="52"/>
    </row>
    <row r="7197" spans="1:1" x14ac:dyDescent="0.2">
      <c r="A7197" s="52"/>
    </row>
    <row r="7198" spans="1:1" x14ac:dyDescent="0.2">
      <c r="A7198" s="52"/>
    </row>
    <row r="7199" spans="1:1" x14ac:dyDescent="0.2">
      <c r="A7199" s="52"/>
    </row>
    <row r="7200" spans="1:1" x14ac:dyDescent="0.2">
      <c r="A7200" s="52"/>
    </row>
    <row r="7201" spans="1:1" x14ac:dyDescent="0.2">
      <c r="A7201" s="52"/>
    </row>
    <row r="7202" spans="1:1" x14ac:dyDescent="0.2">
      <c r="A7202" s="52"/>
    </row>
    <row r="7203" spans="1:1" x14ac:dyDescent="0.2">
      <c r="A7203" s="52"/>
    </row>
    <row r="7204" spans="1:1" x14ac:dyDescent="0.2">
      <c r="A7204" s="52"/>
    </row>
    <row r="7205" spans="1:1" x14ac:dyDescent="0.2">
      <c r="A7205" s="52"/>
    </row>
    <row r="7206" spans="1:1" x14ac:dyDescent="0.2">
      <c r="A7206" s="52"/>
    </row>
    <row r="7207" spans="1:1" x14ac:dyDescent="0.2">
      <c r="A7207" s="52"/>
    </row>
    <row r="7208" spans="1:1" x14ac:dyDescent="0.2">
      <c r="A7208" s="52"/>
    </row>
    <row r="7209" spans="1:1" x14ac:dyDescent="0.2">
      <c r="A7209" s="52"/>
    </row>
    <row r="7210" spans="1:1" x14ac:dyDescent="0.2">
      <c r="A7210" s="52"/>
    </row>
    <row r="7211" spans="1:1" x14ac:dyDescent="0.2">
      <c r="A7211" s="52"/>
    </row>
    <row r="7212" spans="1:1" x14ac:dyDescent="0.2">
      <c r="A7212" s="52"/>
    </row>
    <row r="7213" spans="1:1" x14ac:dyDescent="0.2">
      <c r="A7213" s="52"/>
    </row>
    <row r="7214" spans="1:1" x14ac:dyDescent="0.2">
      <c r="A7214" s="52"/>
    </row>
    <row r="7215" spans="1:1" x14ac:dyDescent="0.2">
      <c r="A7215" s="52"/>
    </row>
    <row r="7216" spans="1:1" x14ac:dyDescent="0.2">
      <c r="A7216" s="52"/>
    </row>
    <row r="7217" spans="1:1" x14ac:dyDescent="0.2">
      <c r="A7217" s="53"/>
    </row>
    <row r="7218" spans="1:1" x14ac:dyDescent="0.2">
      <c r="A7218" s="52"/>
    </row>
    <row r="7219" spans="1:1" x14ac:dyDescent="0.2">
      <c r="A7219" s="52"/>
    </row>
    <row r="7220" spans="1:1" x14ac:dyDescent="0.2">
      <c r="A7220" s="52"/>
    </row>
    <row r="7221" spans="1:1" x14ac:dyDescent="0.2">
      <c r="A7221" s="52"/>
    </row>
    <row r="7222" spans="1:1" x14ac:dyDescent="0.2">
      <c r="A7222" s="52"/>
    </row>
    <row r="7223" spans="1:1" x14ac:dyDescent="0.2">
      <c r="A7223" s="52"/>
    </row>
    <row r="7224" spans="1:1" x14ac:dyDescent="0.2">
      <c r="A7224" s="53"/>
    </row>
    <row r="7225" spans="1:1" x14ac:dyDescent="0.2">
      <c r="A7225" s="52"/>
    </row>
    <row r="7226" spans="1:1" x14ac:dyDescent="0.2">
      <c r="A7226" s="52"/>
    </row>
    <row r="7227" spans="1:1" x14ac:dyDescent="0.2">
      <c r="A7227" s="52"/>
    </row>
    <row r="7228" spans="1:1" x14ac:dyDescent="0.2">
      <c r="A7228" s="52"/>
    </row>
    <row r="7229" spans="1:1" x14ac:dyDescent="0.2">
      <c r="A7229" s="52"/>
    </row>
    <row r="7230" spans="1:1" x14ac:dyDescent="0.2">
      <c r="A7230" s="52"/>
    </row>
    <row r="7231" spans="1:1" x14ac:dyDescent="0.2">
      <c r="A7231" s="52"/>
    </row>
    <row r="7232" spans="1:1" x14ac:dyDescent="0.2">
      <c r="A7232" s="52"/>
    </row>
    <row r="7233" spans="1:1" x14ac:dyDescent="0.2">
      <c r="A7233" s="52"/>
    </row>
    <row r="7234" spans="1:1" x14ac:dyDescent="0.2">
      <c r="A7234" s="52"/>
    </row>
    <row r="7235" spans="1:1" x14ac:dyDescent="0.2">
      <c r="A7235" s="52"/>
    </row>
    <row r="7236" spans="1:1" x14ac:dyDescent="0.2">
      <c r="A7236" s="53"/>
    </row>
    <row r="7237" spans="1:1" x14ac:dyDescent="0.2">
      <c r="A7237" s="52"/>
    </row>
    <row r="7238" spans="1:1" x14ac:dyDescent="0.2">
      <c r="A7238" s="52"/>
    </row>
    <row r="7239" spans="1:1" x14ac:dyDescent="0.2">
      <c r="A7239" s="52"/>
    </row>
    <row r="7240" spans="1:1" x14ac:dyDescent="0.2">
      <c r="A7240" s="53"/>
    </row>
    <row r="7241" spans="1:1" x14ac:dyDescent="0.2">
      <c r="A7241" s="53"/>
    </row>
    <row r="7242" spans="1:1" x14ac:dyDescent="0.2">
      <c r="A7242" s="52"/>
    </row>
    <row r="7243" spans="1:1" x14ac:dyDescent="0.2">
      <c r="A7243" s="52"/>
    </row>
    <row r="7244" spans="1:1" x14ac:dyDescent="0.2">
      <c r="A7244" s="52"/>
    </row>
    <row r="7245" spans="1:1" x14ac:dyDescent="0.2">
      <c r="A7245" s="52"/>
    </row>
    <row r="7246" spans="1:1" x14ac:dyDescent="0.2">
      <c r="A7246" s="52"/>
    </row>
    <row r="7247" spans="1:1" x14ac:dyDescent="0.2">
      <c r="A7247" s="53"/>
    </row>
    <row r="7248" spans="1:1" x14ac:dyDescent="0.2">
      <c r="A7248" s="53"/>
    </row>
    <row r="7249" spans="1:1" x14ac:dyDescent="0.2">
      <c r="A7249" s="53"/>
    </row>
    <row r="7250" spans="1:1" x14ac:dyDescent="0.2">
      <c r="A7250" s="52"/>
    </row>
    <row r="7251" spans="1:1" x14ac:dyDescent="0.2">
      <c r="A7251" s="52"/>
    </row>
    <row r="7252" spans="1:1" x14ac:dyDescent="0.2">
      <c r="A7252" s="52"/>
    </row>
    <row r="7253" spans="1:1" x14ac:dyDescent="0.2">
      <c r="A7253" s="52"/>
    </row>
    <row r="7254" spans="1:1" x14ac:dyDescent="0.2">
      <c r="A7254" s="52"/>
    </row>
    <row r="7255" spans="1:1" x14ac:dyDescent="0.2">
      <c r="A7255" s="52"/>
    </row>
    <row r="7256" spans="1:1" x14ac:dyDescent="0.2">
      <c r="A7256" s="52"/>
    </row>
    <row r="7257" spans="1:1" x14ac:dyDescent="0.2">
      <c r="A7257" s="52"/>
    </row>
    <row r="7258" spans="1:1" x14ac:dyDescent="0.2">
      <c r="A7258" s="52"/>
    </row>
    <row r="7259" spans="1:1" x14ac:dyDescent="0.2">
      <c r="A7259" s="52"/>
    </row>
    <row r="7260" spans="1:1" x14ac:dyDescent="0.2">
      <c r="A7260" s="52"/>
    </row>
    <row r="7261" spans="1:1" x14ac:dyDescent="0.2">
      <c r="A7261" s="53"/>
    </row>
    <row r="7262" spans="1:1" x14ac:dyDescent="0.2">
      <c r="A7262" s="52"/>
    </row>
    <row r="7263" spans="1:1" x14ac:dyDescent="0.2">
      <c r="A7263" s="52"/>
    </row>
    <row r="7264" spans="1:1" x14ac:dyDescent="0.2">
      <c r="A7264" s="53"/>
    </row>
    <row r="7265" spans="1:1" x14ac:dyDescent="0.2">
      <c r="A7265" s="53"/>
    </row>
    <row r="7266" spans="1:1" x14ac:dyDescent="0.2">
      <c r="A7266" s="52"/>
    </row>
    <row r="7267" spans="1:1" x14ac:dyDescent="0.2">
      <c r="A7267" s="52"/>
    </row>
    <row r="7268" spans="1:1" x14ac:dyDescent="0.2">
      <c r="A7268" s="52"/>
    </row>
    <row r="7269" spans="1:1" x14ac:dyDescent="0.2">
      <c r="A7269" s="52"/>
    </row>
    <row r="7270" spans="1:1" x14ac:dyDescent="0.2">
      <c r="A7270" s="52"/>
    </row>
    <row r="7271" spans="1:1" x14ac:dyDescent="0.2">
      <c r="A7271" s="52"/>
    </row>
    <row r="7272" spans="1:1" x14ac:dyDescent="0.2">
      <c r="A7272" s="52"/>
    </row>
    <row r="7273" spans="1:1" x14ac:dyDescent="0.2">
      <c r="A7273" s="52"/>
    </row>
    <row r="7274" spans="1:1" x14ac:dyDescent="0.2">
      <c r="A7274" s="52"/>
    </row>
    <row r="7275" spans="1:1" x14ac:dyDescent="0.2">
      <c r="A7275" s="52"/>
    </row>
    <row r="7276" spans="1:1" x14ac:dyDescent="0.2">
      <c r="A7276" s="52"/>
    </row>
    <row r="7277" spans="1:1" x14ac:dyDescent="0.2">
      <c r="A7277" s="52"/>
    </row>
    <row r="7278" spans="1:1" x14ac:dyDescent="0.2">
      <c r="A7278" s="53"/>
    </row>
    <row r="7279" spans="1:1" x14ac:dyDescent="0.2">
      <c r="A7279" s="53"/>
    </row>
    <row r="7280" spans="1:1" x14ac:dyDescent="0.2">
      <c r="A7280" s="52"/>
    </row>
    <row r="7281" spans="1:1" x14ac:dyDescent="0.2">
      <c r="A7281" s="52"/>
    </row>
    <row r="7282" spans="1:1" x14ac:dyDescent="0.2">
      <c r="A7282" s="52"/>
    </row>
    <row r="7283" spans="1:1" x14ac:dyDescent="0.2">
      <c r="A7283" s="52"/>
    </row>
    <row r="7284" spans="1:1" x14ac:dyDescent="0.2">
      <c r="A7284" s="52"/>
    </row>
    <row r="7285" spans="1:1" x14ac:dyDescent="0.2">
      <c r="A7285" s="53"/>
    </row>
    <row r="7286" spans="1:1" x14ac:dyDescent="0.2">
      <c r="A7286" s="52"/>
    </row>
    <row r="7287" spans="1:1" x14ac:dyDescent="0.2">
      <c r="A7287" s="52"/>
    </row>
    <row r="7288" spans="1:1" x14ac:dyDescent="0.2">
      <c r="A7288" s="52"/>
    </row>
    <row r="7289" spans="1:1" x14ac:dyDescent="0.2">
      <c r="A7289" s="52"/>
    </row>
    <row r="7290" spans="1:1" x14ac:dyDescent="0.2">
      <c r="A7290" s="52"/>
    </row>
    <row r="7291" spans="1:1" x14ac:dyDescent="0.2">
      <c r="A7291" s="52"/>
    </row>
    <row r="7292" spans="1:1" x14ac:dyDescent="0.2">
      <c r="A7292" s="52"/>
    </row>
    <row r="7293" spans="1:1" x14ac:dyDescent="0.2">
      <c r="A7293" s="52"/>
    </row>
    <row r="7294" spans="1:1" x14ac:dyDescent="0.2">
      <c r="A7294" s="52"/>
    </row>
    <row r="7295" spans="1:1" x14ac:dyDescent="0.2">
      <c r="A7295" s="52"/>
    </row>
    <row r="7296" spans="1:1" x14ac:dyDescent="0.2">
      <c r="A7296" s="52"/>
    </row>
    <row r="7297" spans="1:1" x14ac:dyDescent="0.2">
      <c r="A7297" s="52"/>
    </row>
    <row r="7298" spans="1:1" x14ac:dyDescent="0.2">
      <c r="A7298" s="52"/>
    </row>
    <row r="7299" spans="1:1" x14ac:dyDescent="0.2">
      <c r="A7299" s="52"/>
    </row>
    <row r="7300" spans="1:1" x14ac:dyDescent="0.2">
      <c r="A7300" s="52"/>
    </row>
    <row r="7301" spans="1:1" x14ac:dyDescent="0.2">
      <c r="A7301" s="52"/>
    </row>
    <row r="7302" spans="1:1" x14ac:dyDescent="0.2">
      <c r="A7302" s="52"/>
    </row>
    <row r="7303" spans="1:1" x14ac:dyDescent="0.2">
      <c r="A7303" s="52"/>
    </row>
    <row r="7304" spans="1:1" x14ac:dyDescent="0.2">
      <c r="A7304" s="52"/>
    </row>
    <row r="7305" spans="1:1" x14ac:dyDescent="0.2">
      <c r="A7305" s="52"/>
    </row>
    <row r="7306" spans="1:1" x14ac:dyDescent="0.2">
      <c r="A7306" s="52"/>
    </row>
    <row r="7307" spans="1:1" x14ac:dyDescent="0.2">
      <c r="A7307" s="52"/>
    </row>
    <row r="7308" spans="1:1" x14ac:dyDescent="0.2">
      <c r="A7308" s="52"/>
    </row>
    <row r="7309" spans="1:1" x14ac:dyDescent="0.2">
      <c r="A7309" s="52"/>
    </row>
    <row r="7310" spans="1:1" x14ac:dyDescent="0.2">
      <c r="A7310" s="52"/>
    </row>
    <row r="7311" spans="1:1" x14ac:dyDescent="0.2">
      <c r="A7311" s="52"/>
    </row>
    <row r="7312" spans="1:1" x14ac:dyDescent="0.2">
      <c r="A7312" s="52"/>
    </row>
    <row r="7313" spans="1:1" x14ac:dyDescent="0.2">
      <c r="A7313" s="52"/>
    </row>
    <row r="7314" spans="1:1" x14ac:dyDescent="0.2">
      <c r="A7314" s="52"/>
    </row>
    <row r="7315" spans="1:1" x14ac:dyDescent="0.2">
      <c r="A7315" s="52"/>
    </row>
    <row r="7316" spans="1:1" x14ac:dyDescent="0.2">
      <c r="A7316" s="52"/>
    </row>
    <row r="7317" spans="1:1" x14ac:dyDescent="0.2">
      <c r="A7317" s="52"/>
    </row>
    <row r="7318" spans="1:1" x14ac:dyDescent="0.2">
      <c r="A7318" s="52"/>
    </row>
    <row r="7319" spans="1:1" x14ac:dyDescent="0.2">
      <c r="A7319" s="52"/>
    </row>
    <row r="7320" spans="1:1" x14ac:dyDescent="0.2">
      <c r="A7320" s="52"/>
    </row>
    <row r="7321" spans="1:1" x14ac:dyDescent="0.2">
      <c r="A7321" s="52"/>
    </row>
    <row r="7322" spans="1:1" x14ac:dyDescent="0.2">
      <c r="A7322" s="52"/>
    </row>
    <row r="7323" spans="1:1" x14ac:dyDescent="0.2">
      <c r="A7323" s="52"/>
    </row>
    <row r="7324" spans="1:1" x14ac:dyDescent="0.2">
      <c r="A7324" s="52"/>
    </row>
    <row r="7325" spans="1:1" x14ac:dyDescent="0.2">
      <c r="A7325" s="52"/>
    </row>
    <row r="7326" spans="1:1" x14ac:dyDescent="0.2">
      <c r="A7326" s="52"/>
    </row>
    <row r="7327" spans="1:1" x14ac:dyDescent="0.2">
      <c r="A7327" s="52"/>
    </row>
    <row r="7328" spans="1:1" x14ac:dyDescent="0.2">
      <c r="A7328" s="52"/>
    </row>
    <row r="7329" spans="1:1" x14ac:dyDescent="0.2">
      <c r="A7329" s="52"/>
    </row>
    <row r="7330" spans="1:1" x14ac:dyDescent="0.2">
      <c r="A7330" s="52"/>
    </row>
    <row r="7331" spans="1:1" x14ac:dyDescent="0.2">
      <c r="A7331" s="52"/>
    </row>
    <row r="7332" spans="1:1" x14ac:dyDescent="0.2">
      <c r="A7332" s="52"/>
    </row>
    <row r="7333" spans="1:1" x14ac:dyDescent="0.2">
      <c r="A7333" s="52"/>
    </row>
    <row r="7334" spans="1:1" x14ac:dyDescent="0.2">
      <c r="A7334" s="52"/>
    </row>
    <row r="7335" spans="1:1" x14ac:dyDescent="0.2">
      <c r="A7335" s="52"/>
    </row>
    <row r="7336" spans="1:1" x14ac:dyDescent="0.2">
      <c r="A7336" s="52"/>
    </row>
    <row r="7337" spans="1:1" x14ac:dyDescent="0.2">
      <c r="A7337" s="52"/>
    </row>
    <row r="7338" spans="1:1" x14ac:dyDescent="0.2">
      <c r="A7338" s="52"/>
    </row>
    <row r="7339" spans="1:1" x14ac:dyDescent="0.2">
      <c r="A7339" s="52"/>
    </row>
    <row r="7340" spans="1:1" x14ac:dyDescent="0.2">
      <c r="A7340" s="52"/>
    </row>
    <row r="7341" spans="1:1" x14ac:dyDescent="0.2">
      <c r="A7341" s="52"/>
    </row>
    <row r="7342" spans="1:1" x14ac:dyDescent="0.2">
      <c r="A7342" s="52"/>
    </row>
    <row r="7343" spans="1:1" x14ac:dyDescent="0.2">
      <c r="A7343" s="52"/>
    </row>
    <row r="7344" spans="1:1" x14ac:dyDescent="0.2">
      <c r="A7344" s="52"/>
    </row>
    <row r="7345" spans="1:1" x14ac:dyDescent="0.2">
      <c r="A7345" s="52"/>
    </row>
    <row r="7346" spans="1:1" x14ac:dyDescent="0.2">
      <c r="A7346" s="52"/>
    </row>
    <row r="7347" spans="1:1" x14ac:dyDescent="0.2">
      <c r="A7347" s="52"/>
    </row>
    <row r="7348" spans="1:1" x14ac:dyDescent="0.2">
      <c r="A7348" s="52"/>
    </row>
    <row r="7349" spans="1:1" x14ac:dyDescent="0.2">
      <c r="A7349" s="53"/>
    </row>
    <row r="7350" spans="1:1" x14ac:dyDescent="0.2">
      <c r="A7350" s="53"/>
    </row>
    <row r="7351" spans="1:1" x14ac:dyDescent="0.2">
      <c r="A7351" s="52"/>
    </row>
    <row r="7352" spans="1:1" x14ac:dyDescent="0.2">
      <c r="A7352" s="53"/>
    </row>
    <row r="7353" spans="1:1" x14ac:dyDescent="0.2">
      <c r="A7353" s="52"/>
    </row>
    <row r="7354" spans="1:1" x14ac:dyDescent="0.2">
      <c r="A7354" s="52"/>
    </row>
    <row r="7355" spans="1:1" x14ac:dyDescent="0.2">
      <c r="A7355" s="52"/>
    </row>
    <row r="7356" spans="1:1" x14ac:dyDescent="0.2">
      <c r="A7356" s="52"/>
    </row>
    <row r="7357" spans="1:1" x14ac:dyDescent="0.2">
      <c r="A7357" s="53"/>
    </row>
    <row r="7358" spans="1:1" x14ac:dyDescent="0.2">
      <c r="A7358" s="52"/>
    </row>
    <row r="7359" spans="1:1" x14ac:dyDescent="0.2">
      <c r="A7359" s="52"/>
    </row>
    <row r="7360" spans="1:1" x14ac:dyDescent="0.2">
      <c r="A7360" s="53"/>
    </row>
    <row r="7361" spans="1:1" x14ac:dyDescent="0.2">
      <c r="A7361" s="52"/>
    </row>
    <row r="7362" spans="1:1" x14ac:dyDescent="0.2">
      <c r="A7362" s="52"/>
    </row>
    <row r="7363" spans="1:1" x14ac:dyDescent="0.2">
      <c r="A7363" s="53"/>
    </row>
    <row r="7364" spans="1:1" x14ac:dyDescent="0.2">
      <c r="A7364" s="52"/>
    </row>
    <row r="7365" spans="1:1" x14ac:dyDescent="0.2">
      <c r="A7365" s="52"/>
    </row>
    <row r="7366" spans="1:1" x14ac:dyDescent="0.2">
      <c r="A7366" s="53"/>
    </row>
    <row r="7367" spans="1:1" x14ac:dyDescent="0.2">
      <c r="A7367" s="52"/>
    </row>
    <row r="7368" spans="1:1" x14ac:dyDescent="0.2">
      <c r="A7368" s="53"/>
    </row>
    <row r="7369" spans="1:1" x14ac:dyDescent="0.2">
      <c r="A7369" s="53"/>
    </row>
    <row r="7370" spans="1:1" x14ac:dyDescent="0.2">
      <c r="A7370" s="52"/>
    </row>
    <row r="7371" spans="1:1" x14ac:dyDescent="0.2">
      <c r="A7371" s="52"/>
    </row>
    <row r="7372" spans="1:1" x14ac:dyDescent="0.2">
      <c r="A7372" s="52"/>
    </row>
    <row r="7373" spans="1:1" x14ac:dyDescent="0.2">
      <c r="A7373" s="52"/>
    </row>
    <row r="7374" spans="1:1" x14ac:dyDescent="0.2">
      <c r="A7374" s="52"/>
    </row>
    <row r="7375" spans="1:1" x14ac:dyDescent="0.2">
      <c r="A7375" s="52"/>
    </row>
    <row r="7376" spans="1:1" x14ac:dyDescent="0.2">
      <c r="A7376" s="52"/>
    </row>
    <row r="7377" spans="1:1" x14ac:dyDescent="0.2">
      <c r="A7377" s="52"/>
    </row>
    <row r="7378" spans="1:1" x14ac:dyDescent="0.2">
      <c r="A7378" s="52"/>
    </row>
    <row r="7379" spans="1:1" x14ac:dyDescent="0.2">
      <c r="A7379" s="52"/>
    </row>
    <row r="7380" spans="1:1" x14ac:dyDescent="0.2">
      <c r="A7380" s="52"/>
    </row>
    <row r="7381" spans="1:1" x14ac:dyDescent="0.2">
      <c r="A7381" s="52"/>
    </row>
    <row r="7382" spans="1:1" x14ac:dyDescent="0.2">
      <c r="A7382" s="52"/>
    </row>
    <row r="7383" spans="1:1" x14ac:dyDescent="0.2">
      <c r="A7383" s="52"/>
    </row>
    <row r="7384" spans="1:1" x14ac:dyDescent="0.2">
      <c r="A7384" s="52"/>
    </row>
    <row r="7385" spans="1:1" x14ac:dyDescent="0.2">
      <c r="A7385" s="52"/>
    </row>
    <row r="7386" spans="1:1" x14ac:dyDescent="0.2">
      <c r="A7386" s="52"/>
    </row>
    <row r="7387" spans="1:1" x14ac:dyDescent="0.2">
      <c r="A7387" s="52"/>
    </row>
    <row r="7388" spans="1:1" x14ac:dyDescent="0.2">
      <c r="A7388" s="52"/>
    </row>
    <row r="7389" spans="1:1" x14ac:dyDescent="0.2">
      <c r="A7389" s="53"/>
    </row>
    <row r="7390" spans="1:1" x14ac:dyDescent="0.2">
      <c r="A7390" s="53"/>
    </row>
    <row r="7391" spans="1:1" x14ac:dyDescent="0.2">
      <c r="A7391" s="53"/>
    </row>
    <row r="7392" spans="1:1" x14ac:dyDescent="0.2">
      <c r="A7392" s="52"/>
    </row>
    <row r="7393" spans="1:1" x14ac:dyDescent="0.2">
      <c r="A7393" s="52"/>
    </row>
    <row r="7394" spans="1:1" x14ac:dyDescent="0.2">
      <c r="A7394" s="52"/>
    </row>
    <row r="7395" spans="1:1" x14ac:dyDescent="0.2">
      <c r="A7395" s="52"/>
    </row>
    <row r="7396" spans="1:1" x14ac:dyDescent="0.2">
      <c r="A7396" s="52"/>
    </row>
    <row r="7397" spans="1:1" x14ac:dyDescent="0.2">
      <c r="A7397" s="52"/>
    </row>
    <row r="7398" spans="1:1" x14ac:dyDescent="0.2">
      <c r="A7398" s="52"/>
    </row>
    <row r="7399" spans="1:1" x14ac:dyDescent="0.2">
      <c r="A7399" s="52"/>
    </row>
    <row r="7400" spans="1:1" x14ac:dyDescent="0.2">
      <c r="A7400" s="52"/>
    </row>
    <row r="7401" spans="1:1" x14ac:dyDescent="0.2">
      <c r="A7401" s="52"/>
    </row>
    <row r="7402" spans="1:1" x14ac:dyDescent="0.2">
      <c r="A7402" s="52"/>
    </row>
    <row r="7403" spans="1:1" x14ac:dyDescent="0.2">
      <c r="A7403" s="52"/>
    </row>
    <row r="7404" spans="1:1" x14ac:dyDescent="0.2">
      <c r="A7404" s="53"/>
    </row>
    <row r="7405" spans="1:1" x14ac:dyDescent="0.2">
      <c r="A7405" s="52"/>
    </row>
    <row r="7406" spans="1:1" x14ac:dyDescent="0.2">
      <c r="A7406" s="52"/>
    </row>
    <row r="7407" spans="1:1" x14ac:dyDescent="0.2">
      <c r="A7407" s="52"/>
    </row>
    <row r="7408" spans="1:1" x14ac:dyDescent="0.2">
      <c r="A7408" s="52"/>
    </row>
    <row r="7409" spans="1:1" x14ac:dyDescent="0.2">
      <c r="A7409" s="52"/>
    </row>
    <row r="7410" spans="1:1" x14ac:dyDescent="0.2">
      <c r="A7410" s="52"/>
    </row>
    <row r="7411" spans="1:1" x14ac:dyDescent="0.2">
      <c r="A7411" s="52"/>
    </row>
    <row r="7412" spans="1:1" x14ac:dyDescent="0.2">
      <c r="A7412" s="52"/>
    </row>
    <row r="7413" spans="1:1" x14ac:dyDescent="0.2">
      <c r="A7413" s="52"/>
    </row>
    <row r="7414" spans="1:1" x14ac:dyDescent="0.2">
      <c r="A7414" s="52"/>
    </row>
    <row r="7415" spans="1:1" x14ac:dyDescent="0.2">
      <c r="A7415" s="53"/>
    </row>
    <row r="7416" spans="1:1" x14ac:dyDescent="0.2">
      <c r="A7416" s="52"/>
    </row>
    <row r="7417" spans="1:1" x14ac:dyDescent="0.2">
      <c r="A7417" s="52"/>
    </row>
    <row r="7418" spans="1:1" x14ac:dyDescent="0.2">
      <c r="A7418" s="52"/>
    </row>
    <row r="7419" spans="1:1" x14ac:dyDescent="0.2">
      <c r="A7419" s="52"/>
    </row>
    <row r="7420" spans="1:1" x14ac:dyDescent="0.2">
      <c r="A7420" s="52"/>
    </row>
    <row r="7421" spans="1:1" x14ac:dyDescent="0.2">
      <c r="A7421" s="52"/>
    </row>
    <row r="7422" spans="1:1" x14ac:dyDescent="0.2">
      <c r="A7422" s="52"/>
    </row>
    <row r="7423" spans="1:1" x14ac:dyDescent="0.2">
      <c r="A7423" s="52"/>
    </row>
    <row r="7424" spans="1:1" x14ac:dyDescent="0.2">
      <c r="A7424" s="52"/>
    </row>
    <row r="7425" spans="1:1" x14ac:dyDescent="0.2">
      <c r="A7425" s="52"/>
    </row>
    <row r="7426" spans="1:1" x14ac:dyDescent="0.2">
      <c r="A7426" s="52"/>
    </row>
    <row r="7427" spans="1:1" x14ac:dyDescent="0.2">
      <c r="A7427" s="52"/>
    </row>
    <row r="7428" spans="1:1" x14ac:dyDescent="0.2">
      <c r="A7428" s="52"/>
    </row>
    <row r="7429" spans="1:1" x14ac:dyDescent="0.2">
      <c r="A7429" s="52"/>
    </row>
    <row r="7430" spans="1:1" x14ac:dyDescent="0.2">
      <c r="A7430" s="52"/>
    </row>
    <row r="7431" spans="1:1" x14ac:dyDescent="0.2">
      <c r="A7431" s="52"/>
    </row>
    <row r="7432" spans="1:1" x14ac:dyDescent="0.2">
      <c r="A7432" s="52"/>
    </row>
    <row r="7433" spans="1:1" x14ac:dyDescent="0.2">
      <c r="A7433" s="52"/>
    </row>
    <row r="7434" spans="1:1" x14ac:dyDescent="0.2">
      <c r="A7434" s="52"/>
    </row>
    <row r="7435" spans="1:1" x14ac:dyDescent="0.2">
      <c r="A7435" s="52"/>
    </row>
    <row r="7436" spans="1:1" x14ac:dyDescent="0.2">
      <c r="A7436" s="52"/>
    </row>
    <row r="7437" spans="1:1" x14ac:dyDescent="0.2">
      <c r="A7437" s="52"/>
    </row>
    <row r="7438" spans="1:1" x14ac:dyDescent="0.2">
      <c r="A7438" s="52"/>
    </row>
    <row r="7439" spans="1:1" x14ac:dyDescent="0.2">
      <c r="A7439" s="52"/>
    </row>
    <row r="7440" spans="1:1" x14ac:dyDescent="0.2">
      <c r="A7440" s="52"/>
    </row>
    <row r="7441" spans="1:1" x14ac:dyDescent="0.2">
      <c r="A7441" s="52"/>
    </row>
    <row r="7442" spans="1:1" x14ac:dyDescent="0.2">
      <c r="A7442" s="52"/>
    </row>
    <row r="7443" spans="1:1" x14ac:dyDescent="0.2">
      <c r="A7443" s="52"/>
    </row>
    <row r="7444" spans="1:1" x14ac:dyDescent="0.2">
      <c r="A7444" s="52"/>
    </row>
    <row r="7445" spans="1:1" x14ac:dyDescent="0.2">
      <c r="A7445" s="52"/>
    </row>
    <row r="7446" spans="1:1" x14ac:dyDescent="0.2">
      <c r="A7446" s="52"/>
    </row>
    <row r="7447" spans="1:1" x14ac:dyDescent="0.2">
      <c r="A7447" s="52"/>
    </row>
    <row r="7448" spans="1:1" x14ac:dyDescent="0.2">
      <c r="A7448" s="53"/>
    </row>
    <row r="7449" spans="1:1" x14ac:dyDescent="0.2">
      <c r="A7449" s="52"/>
    </row>
    <row r="7450" spans="1:1" x14ac:dyDescent="0.2">
      <c r="A7450" s="52"/>
    </row>
    <row r="7451" spans="1:1" x14ac:dyDescent="0.2">
      <c r="A7451" s="52"/>
    </row>
    <row r="7452" spans="1:1" x14ac:dyDescent="0.2">
      <c r="A7452" s="52"/>
    </row>
    <row r="7453" spans="1:1" x14ac:dyDescent="0.2">
      <c r="A7453" s="52"/>
    </row>
    <row r="7454" spans="1:1" x14ac:dyDescent="0.2">
      <c r="A7454" s="52"/>
    </row>
    <row r="7455" spans="1:1" x14ac:dyDescent="0.2">
      <c r="A7455" s="52"/>
    </row>
    <row r="7456" spans="1:1" x14ac:dyDescent="0.2">
      <c r="A7456" s="52"/>
    </row>
    <row r="7457" spans="1:1" x14ac:dyDescent="0.2">
      <c r="A7457" s="52"/>
    </row>
    <row r="7458" spans="1:1" x14ac:dyDescent="0.2">
      <c r="A7458" s="52"/>
    </row>
    <row r="7459" spans="1:1" x14ac:dyDescent="0.2">
      <c r="A7459" s="52"/>
    </row>
    <row r="7460" spans="1:1" x14ac:dyDescent="0.2">
      <c r="A7460" s="52"/>
    </row>
    <row r="7461" spans="1:1" x14ac:dyDescent="0.2">
      <c r="A7461" s="52"/>
    </row>
    <row r="7462" spans="1:1" x14ac:dyDescent="0.2">
      <c r="A7462" s="52"/>
    </row>
    <row r="7463" spans="1:1" x14ac:dyDescent="0.2">
      <c r="A7463" s="52"/>
    </row>
    <row r="7464" spans="1:1" x14ac:dyDescent="0.2">
      <c r="A7464" s="52"/>
    </row>
    <row r="7465" spans="1:1" x14ac:dyDescent="0.2">
      <c r="A7465" s="52"/>
    </row>
    <row r="7466" spans="1:1" x14ac:dyDescent="0.2">
      <c r="A7466" s="52"/>
    </row>
    <row r="7467" spans="1:1" x14ac:dyDescent="0.2">
      <c r="A7467" s="52"/>
    </row>
    <row r="7468" spans="1:1" x14ac:dyDescent="0.2">
      <c r="A7468" s="52"/>
    </row>
    <row r="7469" spans="1:1" x14ac:dyDescent="0.2">
      <c r="A7469" s="53"/>
    </row>
    <row r="7470" spans="1:1" x14ac:dyDescent="0.2">
      <c r="A7470" s="53"/>
    </row>
    <row r="7471" spans="1:1" x14ac:dyDescent="0.2">
      <c r="A7471" s="52"/>
    </row>
    <row r="7472" spans="1:1" x14ac:dyDescent="0.2">
      <c r="A7472" s="52"/>
    </row>
    <row r="7473" spans="1:1" x14ac:dyDescent="0.2">
      <c r="A7473" s="52"/>
    </row>
    <row r="7474" spans="1:1" x14ac:dyDescent="0.2">
      <c r="A7474" s="52"/>
    </row>
    <row r="7475" spans="1:1" x14ac:dyDescent="0.2">
      <c r="A7475" s="52"/>
    </row>
    <row r="7476" spans="1:1" x14ac:dyDescent="0.2">
      <c r="A7476" s="52"/>
    </row>
    <row r="7477" spans="1:1" x14ac:dyDescent="0.2">
      <c r="A7477" s="52"/>
    </row>
    <row r="7478" spans="1:1" x14ac:dyDescent="0.2">
      <c r="A7478" s="52"/>
    </row>
    <row r="7479" spans="1:1" x14ac:dyDescent="0.2">
      <c r="A7479" s="52"/>
    </row>
    <row r="7480" spans="1:1" x14ac:dyDescent="0.2">
      <c r="A7480" s="53"/>
    </row>
    <row r="7481" spans="1:1" x14ac:dyDescent="0.2">
      <c r="A7481" s="52"/>
    </row>
    <row r="7482" spans="1:1" x14ac:dyDescent="0.2">
      <c r="A7482" s="52"/>
    </row>
    <row r="7483" spans="1:1" x14ac:dyDescent="0.2">
      <c r="A7483" s="52"/>
    </row>
    <row r="7484" spans="1:1" x14ac:dyDescent="0.2">
      <c r="A7484" s="52"/>
    </row>
    <row r="7485" spans="1:1" x14ac:dyDescent="0.2">
      <c r="A7485" s="52"/>
    </row>
    <row r="7486" spans="1:1" x14ac:dyDescent="0.2">
      <c r="A7486" s="52"/>
    </row>
    <row r="7487" spans="1:1" x14ac:dyDescent="0.2">
      <c r="A7487" s="52"/>
    </row>
    <row r="7488" spans="1:1" x14ac:dyDescent="0.2">
      <c r="A7488" s="52"/>
    </row>
    <row r="7489" spans="1:1" x14ac:dyDescent="0.2">
      <c r="A7489" s="52"/>
    </row>
    <row r="7490" spans="1:1" x14ac:dyDescent="0.2">
      <c r="A7490" s="52"/>
    </row>
    <row r="7491" spans="1:1" x14ac:dyDescent="0.2">
      <c r="A7491" s="52"/>
    </row>
    <row r="7492" spans="1:1" x14ac:dyDescent="0.2">
      <c r="A7492" s="52"/>
    </row>
    <row r="7493" spans="1:1" x14ac:dyDescent="0.2">
      <c r="A7493" s="52"/>
    </row>
    <row r="7494" spans="1:1" x14ac:dyDescent="0.2">
      <c r="A7494" s="52"/>
    </row>
    <row r="7495" spans="1:1" x14ac:dyDescent="0.2">
      <c r="A7495" s="53"/>
    </row>
    <row r="7496" spans="1:1" x14ac:dyDescent="0.2">
      <c r="A7496" s="52"/>
    </row>
    <row r="7497" spans="1:1" x14ac:dyDescent="0.2">
      <c r="A7497" s="52"/>
    </row>
    <row r="7498" spans="1:1" x14ac:dyDescent="0.2">
      <c r="A7498" s="53"/>
    </row>
    <row r="7499" spans="1:1" x14ac:dyDescent="0.2">
      <c r="A7499" s="52"/>
    </row>
    <row r="7500" spans="1:1" x14ac:dyDescent="0.2">
      <c r="A7500" s="52"/>
    </row>
    <row r="7501" spans="1:1" x14ac:dyDescent="0.2">
      <c r="A7501" s="52"/>
    </row>
    <row r="7502" spans="1:1" x14ac:dyDescent="0.2">
      <c r="A7502" s="52"/>
    </row>
    <row r="7503" spans="1:1" x14ac:dyDescent="0.2">
      <c r="A7503" s="52"/>
    </row>
    <row r="7504" spans="1:1" x14ac:dyDescent="0.2">
      <c r="A7504" s="52"/>
    </row>
    <row r="7505" spans="1:1" x14ac:dyDescent="0.2">
      <c r="A7505" s="52"/>
    </row>
    <row r="7506" spans="1:1" x14ac:dyDescent="0.2">
      <c r="A7506" s="52"/>
    </row>
    <row r="7507" spans="1:1" x14ac:dyDescent="0.2">
      <c r="A7507" s="53"/>
    </row>
    <row r="7508" spans="1:1" x14ac:dyDescent="0.2">
      <c r="A7508" s="52"/>
    </row>
    <row r="7509" spans="1:1" x14ac:dyDescent="0.2">
      <c r="A7509" s="52"/>
    </row>
    <row r="7510" spans="1:1" x14ac:dyDescent="0.2">
      <c r="A7510" s="52"/>
    </row>
    <row r="7511" spans="1:1" x14ac:dyDescent="0.2">
      <c r="A7511" s="53"/>
    </row>
    <row r="7512" spans="1:1" x14ac:dyDescent="0.2">
      <c r="A7512" s="53"/>
    </row>
    <row r="7513" spans="1:1" x14ac:dyDescent="0.2">
      <c r="A7513" s="52"/>
    </row>
    <row r="7514" spans="1:1" x14ac:dyDescent="0.2">
      <c r="A7514" s="52"/>
    </row>
    <row r="7515" spans="1:1" x14ac:dyDescent="0.2">
      <c r="A7515" s="52"/>
    </row>
    <row r="7516" spans="1:1" x14ac:dyDescent="0.2">
      <c r="A7516" s="52"/>
    </row>
    <row r="7517" spans="1:1" x14ac:dyDescent="0.2">
      <c r="A7517" s="52"/>
    </row>
    <row r="7518" spans="1:1" x14ac:dyDescent="0.2">
      <c r="A7518" s="52"/>
    </row>
    <row r="7519" spans="1:1" x14ac:dyDescent="0.2">
      <c r="A7519" s="52"/>
    </row>
    <row r="7520" spans="1:1" x14ac:dyDescent="0.2">
      <c r="A7520" s="52"/>
    </row>
    <row r="7521" spans="1:1" x14ac:dyDescent="0.2">
      <c r="A7521" s="52"/>
    </row>
    <row r="7522" spans="1:1" x14ac:dyDescent="0.2">
      <c r="A7522" s="52"/>
    </row>
    <row r="7523" spans="1:1" x14ac:dyDescent="0.2">
      <c r="A7523" s="52"/>
    </row>
    <row r="7524" spans="1:1" x14ac:dyDescent="0.2">
      <c r="A7524" s="52"/>
    </row>
    <row r="7525" spans="1:1" x14ac:dyDescent="0.2">
      <c r="A7525" s="53"/>
    </row>
    <row r="7526" spans="1:1" x14ac:dyDescent="0.2">
      <c r="A7526" s="53"/>
    </row>
    <row r="7527" spans="1:1" x14ac:dyDescent="0.2">
      <c r="A7527" s="52"/>
    </row>
    <row r="7528" spans="1:1" x14ac:dyDescent="0.2">
      <c r="A7528" s="52"/>
    </row>
    <row r="7529" spans="1:1" x14ac:dyDescent="0.2">
      <c r="A7529" s="52"/>
    </row>
    <row r="7530" spans="1:1" x14ac:dyDescent="0.2">
      <c r="A7530" s="52"/>
    </row>
    <row r="7531" spans="1:1" x14ac:dyDescent="0.2">
      <c r="A7531" s="52"/>
    </row>
    <row r="7532" spans="1:1" x14ac:dyDescent="0.2">
      <c r="A7532" s="52"/>
    </row>
    <row r="7533" spans="1:1" x14ac:dyDescent="0.2">
      <c r="A7533" s="52"/>
    </row>
    <row r="7534" spans="1:1" x14ac:dyDescent="0.2">
      <c r="A7534" s="52"/>
    </row>
    <row r="7535" spans="1:1" x14ac:dyDescent="0.2">
      <c r="A7535" s="52"/>
    </row>
    <row r="7536" spans="1:1" x14ac:dyDescent="0.2">
      <c r="A7536" s="52"/>
    </row>
    <row r="7537" spans="1:1" x14ac:dyDescent="0.2">
      <c r="A7537" s="52"/>
    </row>
    <row r="7538" spans="1:1" x14ac:dyDescent="0.2">
      <c r="A7538" s="52"/>
    </row>
    <row r="7539" spans="1:1" x14ac:dyDescent="0.2">
      <c r="A7539" s="52"/>
    </row>
    <row r="7540" spans="1:1" x14ac:dyDescent="0.2">
      <c r="A7540" s="52"/>
    </row>
    <row r="7541" spans="1:1" x14ac:dyDescent="0.2">
      <c r="A7541" s="52"/>
    </row>
    <row r="7542" spans="1:1" x14ac:dyDescent="0.2">
      <c r="A7542" s="52"/>
    </row>
    <row r="7543" spans="1:1" x14ac:dyDescent="0.2">
      <c r="A7543" s="52"/>
    </row>
    <row r="7544" spans="1:1" x14ac:dyDescent="0.2">
      <c r="A7544" s="52"/>
    </row>
    <row r="7545" spans="1:1" x14ac:dyDescent="0.2">
      <c r="A7545" s="52"/>
    </row>
    <row r="7546" spans="1:1" x14ac:dyDescent="0.2">
      <c r="A7546" s="52"/>
    </row>
    <row r="7547" spans="1:1" x14ac:dyDescent="0.2">
      <c r="A7547" s="52"/>
    </row>
    <row r="7548" spans="1:1" x14ac:dyDescent="0.2">
      <c r="A7548" s="52"/>
    </row>
    <row r="7549" spans="1:1" x14ac:dyDescent="0.2">
      <c r="A7549" s="52"/>
    </row>
    <row r="7550" spans="1:1" x14ac:dyDescent="0.2">
      <c r="A7550" s="52"/>
    </row>
    <row r="7551" spans="1:1" x14ac:dyDescent="0.2">
      <c r="A7551" s="52"/>
    </row>
    <row r="7552" spans="1:1" x14ac:dyDescent="0.2">
      <c r="A7552" s="52"/>
    </row>
    <row r="7553" spans="1:1" x14ac:dyDescent="0.2">
      <c r="A7553" s="52"/>
    </row>
    <row r="7554" spans="1:1" x14ac:dyDescent="0.2">
      <c r="A7554" s="52"/>
    </row>
    <row r="7555" spans="1:1" x14ac:dyDescent="0.2">
      <c r="A7555" s="52"/>
    </row>
    <row r="7556" spans="1:1" x14ac:dyDescent="0.2">
      <c r="A7556" s="53"/>
    </row>
    <row r="7557" spans="1:1" x14ac:dyDescent="0.2">
      <c r="A7557" s="53"/>
    </row>
    <row r="7558" spans="1:1" x14ac:dyDescent="0.2">
      <c r="A7558" s="52"/>
    </row>
    <row r="7559" spans="1:1" x14ac:dyDescent="0.2">
      <c r="A7559" s="52"/>
    </row>
    <row r="7560" spans="1:1" x14ac:dyDescent="0.2">
      <c r="A7560" s="52"/>
    </row>
    <row r="7561" spans="1:1" x14ac:dyDescent="0.2">
      <c r="A7561" s="52"/>
    </row>
    <row r="7562" spans="1:1" x14ac:dyDescent="0.2">
      <c r="A7562" s="52"/>
    </row>
    <row r="7563" spans="1:1" x14ac:dyDescent="0.2">
      <c r="A7563" s="52"/>
    </row>
    <row r="7564" spans="1:1" x14ac:dyDescent="0.2">
      <c r="A7564" s="52"/>
    </row>
    <row r="7565" spans="1:1" x14ac:dyDescent="0.2">
      <c r="A7565" s="52"/>
    </row>
    <row r="7566" spans="1:1" x14ac:dyDescent="0.2">
      <c r="A7566" s="52"/>
    </row>
    <row r="7567" spans="1:1" x14ac:dyDescent="0.2">
      <c r="A7567" s="52"/>
    </row>
    <row r="7568" spans="1:1" x14ac:dyDescent="0.2">
      <c r="A7568" s="52"/>
    </row>
    <row r="7569" spans="1:1" x14ac:dyDescent="0.2">
      <c r="A7569" s="52"/>
    </row>
    <row r="7570" spans="1:1" x14ac:dyDescent="0.2">
      <c r="A7570" s="52"/>
    </row>
    <row r="7571" spans="1:1" x14ac:dyDescent="0.2">
      <c r="A7571" s="52"/>
    </row>
    <row r="7572" spans="1:1" x14ac:dyDescent="0.2">
      <c r="A7572" s="52"/>
    </row>
    <row r="7573" spans="1:1" x14ac:dyDescent="0.2">
      <c r="A7573" s="52"/>
    </row>
    <row r="7574" spans="1:1" x14ac:dyDescent="0.2">
      <c r="A7574" s="52"/>
    </row>
    <row r="7575" spans="1:1" x14ac:dyDescent="0.2">
      <c r="A7575" s="52"/>
    </row>
    <row r="7576" spans="1:1" x14ac:dyDescent="0.2">
      <c r="A7576" s="52"/>
    </row>
    <row r="7577" spans="1:1" x14ac:dyDescent="0.2">
      <c r="A7577" s="52"/>
    </row>
    <row r="7578" spans="1:1" x14ac:dyDescent="0.2">
      <c r="A7578" s="52"/>
    </row>
    <row r="7579" spans="1:1" x14ac:dyDescent="0.2">
      <c r="A7579" s="52"/>
    </row>
    <row r="7580" spans="1:1" x14ac:dyDescent="0.2">
      <c r="A7580" s="52"/>
    </row>
    <row r="7581" spans="1:1" x14ac:dyDescent="0.2">
      <c r="A7581" s="52"/>
    </row>
    <row r="7582" spans="1:1" x14ac:dyDescent="0.2">
      <c r="A7582" s="52"/>
    </row>
    <row r="7583" spans="1:1" x14ac:dyDescent="0.2">
      <c r="A7583" s="52"/>
    </row>
    <row r="7584" spans="1:1" x14ac:dyDescent="0.2">
      <c r="A7584" s="52"/>
    </row>
    <row r="7585" spans="1:1" x14ac:dyDescent="0.2">
      <c r="A7585" s="52"/>
    </row>
    <row r="7586" spans="1:1" x14ac:dyDescent="0.2">
      <c r="A7586" s="52"/>
    </row>
    <row r="7587" spans="1:1" x14ac:dyDescent="0.2">
      <c r="A7587" s="52"/>
    </row>
    <row r="7588" spans="1:1" x14ac:dyDescent="0.2">
      <c r="A7588" s="52"/>
    </row>
    <row r="7589" spans="1:1" x14ac:dyDescent="0.2">
      <c r="A7589" s="52"/>
    </row>
    <row r="7590" spans="1:1" x14ac:dyDescent="0.2">
      <c r="A7590" s="52"/>
    </row>
    <row r="7591" spans="1:1" x14ac:dyDescent="0.2">
      <c r="A7591" s="52"/>
    </row>
    <row r="7592" spans="1:1" x14ac:dyDescent="0.2">
      <c r="A7592" s="52"/>
    </row>
    <row r="7593" spans="1:1" x14ac:dyDescent="0.2">
      <c r="A7593" s="52"/>
    </row>
    <row r="7594" spans="1:1" x14ac:dyDescent="0.2">
      <c r="A7594" s="52"/>
    </row>
    <row r="7595" spans="1:1" x14ac:dyDescent="0.2">
      <c r="A7595" s="52"/>
    </row>
    <row r="7596" spans="1:1" x14ac:dyDescent="0.2">
      <c r="A7596" s="52"/>
    </row>
    <row r="7597" spans="1:1" x14ac:dyDescent="0.2">
      <c r="A7597" s="52"/>
    </row>
    <row r="7598" spans="1:1" x14ac:dyDescent="0.2">
      <c r="A7598" s="52"/>
    </row>
    <row r="7599" spans="1:1" x14ac:dyDescent="0.2">
      <c r="A7599" s="52"/>
    </row>
    <row r="7600" spans="1:1" x14ac:dyDescent="0.2">
      <c r="A7600" s="52"/>
    </row>
    <row r="7601" spans="1:1" x14ac:dyDescent="0.2">
      <c r="A7601" s="52"/>
    </row>
    <row r="7602" spans="1:1" x14ac:dyDescent="0.2">
      <c r="A7602" s="52"/>
    </row>
    <row r="7603" spans="1:1" x14ac:dyDescent="0.2">
      <c r="A7603" s="52"/>
    </row>
    <row r="7604" spans="1:1" x14ac:dyDescent="0.2">
      <c r="A7604" s="52"/>
    </row>
    <row r="7605" spans="1:1" x14ac:dyDescent="0.2">
      <c r="A7605" s="52"/>
    </row>
    <row r="7606" spans="1:1" x14ac:dyDescent="0.2">
      <c r="A7606" s="52"/>
    </row>
    <row r="7607" spans="1:1" x14ac:dyDescent="0.2">
      <c r="A7607" s="53"/>
    </row>
    <row r="7608" spans="1:1" x14ac:dyDescent="0.2">
      <c r="A7608" s="52"/>
    </row>
    <row r="7609" spans="1:1" x14ac:dyDescent="0.2">
      <c r="A7609" s="52"/>
    </row>
    <row r="7610" spans="1:1" x14ac:dyDescent="0.2">
      <c r="A7610" s="52"/>
    </row>
    <row r="7611" spans="1:1" x14ac:dyDescent="0.2">
      <c r="A7611" s="52"/>
    </row>
    <row r="7612" spans="1:1" x14ac:dyDescent="0.2">
      <c r="A7612" s="52"/>
    </row>
    <row r="7613" spans="1:1" x14ac:dyDescent="0.2">
      <c r="A7613" s="52"/>
    </row>
    <row r="7614" spans="1:1" x14ac:dyDescent="0.2">
      <c r="A7614" s="52"/>
    </row>
    <row r="7615" spans="1:1" x14ac:dyDescent="0.2">
      <c r="A7615" s="52"/>
    </row>
    <row r="7616" spans="1:1" x14ac:dyDescent="0.2">
      <c r="A7616" s="52"/>
    </row>
    <row r="7617" spans="1:1" x14ac:dyDescent="0.2">
      <c r="A7617" s="52"/>
    </row>
    <row r="7618" spans="1:1" x14ac:dyDescent="0.2">
      <c r="A7618" s="52"/>
    </row>
    <row r="7619" spans="1:1" x14ac:dyDescent="0.2">
      <c r="A7619" s="52"/>
    </row>
    <row r="7620" spans="1:1" x14ac:dyDescent="0.2">
      <c r="A7620" s="52"/>
    </row>
    <row r="7621" spans="1:1" x14ac:dyDescent="0.2">
      <c r="A7621" s="52"/>
    </row>
    <row r="7622" spans="1:1" x14ac:dyDescent="0.2">
      <c r="A7622" s="53"/>
    </row>
    <row r="7623" spans="1:1" x14ac:dyDescent="0.2">
      <c r="A7623" s="52"/>
    </row>
    <row r="7624" spans="1:1" x14ac:dyDescent="0.2">
      <c r="A7624" s="52"/>
    </row>
    <row r="7625" spans="1:1" x14ac:dyDescent="0.2">
      <c r="A7625" s="52"/>
    </row>
    <row r="7626" spans="1:1" x14ac:dyDescent="0.2">
      <c r="A7626" s="52"/>
    </row>
    <row r="7627" spans="1:1" x14ac:dyDescent="0.2">
      <c r="A7627" s="52"/>
    </row>
    <row r="7628" spans="1:1" x14ac:dyDescent="0.2">
      <c r="A7628" s="52"/>
    </row>
    <row r="7629" spans="1:1" x14ac:dyDescent="0.2">
      <c r="A7629" s="52"/>
    </row>
    <row r="7630" spans="1:1" x14ac:dyDescent="0.2">
      <c r="A7630" s="52"/>
    </row>
    <row r="7631" spans="1:1" x14ac:dyDescent="0.2">
      <c r="A7631" s="52"/>
    </row>
    <row r="7632" spans="1:1" x14ac:dyDescent="0.2">
      <c r="A7632" s="52"/>
    </row>
    <row r="7633" spans="1:1" x14ac:dyDescent="0.2">
      <c r="A7633" s="52"/>
    </row>
    <row r="7634" spans="1:1" x14ac:dyDescent="0.2">
      <c r="A7634" s="52"/>
    </row>
    <row r="7635" spans="1:1" x14ac:dyDescent="0.2">
      <c r="A7635" s="52"/>
    </row>
    <row r="7636" spans="1:1" x14ac:dyDescent="0.2">
      <c r="A7636" s="52"/>
    </row>
    <row r="7637" spans="1:1" x14ac:dyDescent="0.2">
      <c r="A7637" s="52"/>
    </row>
    <row r="7638" spans="1:1" x14ac:dyDescent="0.2">
      <c r="A7638" s="52"/>
    </row>
    <row r="7639" spans="1:1" x14ac:dyDescent="0.2">
      <c r="A7639" s="52"/>
    </row>
    <row r="7640" spans="1:1" x14ac:dyDescent="0.2">
      <c r="A7640" s="52"/>
    </row>
    <row r="7641" spans="1:1" x14ac:dyDescent="0.2">
      <c r="A7641" s="52"/>
    </row>
    <row r="7642" spans="1:1" x14ac:dyDescent="0.2">
      <c r="A7642" s="52"/>
    </row>
    <row r="7643" spans="1:1" x14ac:dyDescent="0.2">
      <c r="A7643" s="52"/>
    </row>
    <row r="7644" spans="1:1" x14ac:dyDescent="0.2">
      <c r="A7644" s="52"/>
    </row>
    <row r="7645" spans="1:1" x14ac:dyDescent="0.2">
      <c r="A7645" s="52"/>
    </row>
    <row r="7646" spans="1:1" x14ac:dyDescent="0.2">
      <c r="A7646" s="52"/>
    </row>
    <row r="7647" spans="1:1" x14ac:dyDescent="0.2">
      <c r="A7647" s="52"/>
    </row>
    <row r="7648" spans="1:1" x14ac:dyDescent="0.2">
      <c r="A7648" s="52"/>
    </row>
    <row r="7649" spans="1:1" x14ac:dyDescent="0.2">
      <c r="A7649" s="52"/>
    </row>
    <row r="7650" spans="1:1" x14ac:dyDescent="0.2">
      <c r="A7650" s="52"/>
    </row>
    <row r="7651" spans="1:1" x14ac:dyDescent="0.2">
      <c r="A7651" s="53"/>
    </row>
    <row r="7652" spans="1:1" x14ac:dyDescent="0.2">
      <c r="A7652" s="52"/>
    </row>
    <row r="7653" spans="1:1" x14ac:dyDescent="0.2">
      <c r="A7653" s="53"/>
    </row>
    <row r="7654" spans="1:1" x14ac:dyDescent="0.2">
      <c r="A7654" s="52"/>
    </row>
    <row r="7655" spans="1:1" x14ac:dyDescent="0.2">
      <c r="A7655" s="52"/>
    </row>
    <row r="7656" spans="1:1" x14ac:dyDescent="0.2">
      <c r="A7656" s="52"/>
    </row>
    <row r="7657" spans="1:1" x14ac:dyDescent="0.2">
      <c r="A7657" s="52"/>
    </row>
    <row r="7658" spans="1:1" x14ac:dyDescent="0.2">
      <c r="A7658" s="52"/>
    </row>
    <row r="7659" spans="1:1" x14ac:dyDescent="0.2">
      <c r="A7659" s="52"/>
    </row>
    <row r="7660" spans="1:1" x14ac:dyDescent="0.2">
      <c r="A7660" s="52"/>
    </row>
    <row r="7661" spans="1:1" x14ac:dyDescent="0.2">
      <c r="A7661" s="52"/>
    </row>
    <row r="7662" spans="1:1" x14ac:dyDescent="0.2">
      <c r="A7662" s="52"/>
    </row>
    <row r="7663" spans="1:1" x14ac:dyDescent="0.2">
      <c r="A7663" s="52"/>
    </row>
    <row r="7664" spans="1:1" x14ac:dyDescent="0.2">
      <c r="A7664" s="52"/>
    </row>
    <row r="7665" spans="1:1" x14ac:dyDescent="0.2">
      <c r="A7665" s="52"/>
    </row>
    <row r="7666" spans="1:1" x14ac:dyDescent="0.2">
      <c r="A7666" s="52"/>
    </row>
    <row r="7667" spans="1:1" x14ac:dyDescent="0.2">
      <c r="A7667" s="52"/>
    </row>
    <row r="7668" spans="1:1" x14ac:dyDescent="0.2">
      <c r="A7668" s="52"/>
    </row>
    <row r="7669" spans="1:1" x14ac:dyDescent="0.2">
      <c r="A7669" s="52"/>
    </row>
    <row r="7670" spans="1:1" x14ac:dyDescent="0.2">
      <c r="A7670" s="52"/>
    </row>
    <row r="7671" spans="1:1" x14ac:dyDescent="0.2">
      <c r="A7671" s="53"/>
    </row>
    <row r="7672" spans="1:1" x14ac:dyDescent="0.2">
      <c r="A7672" s="52"/>
    </row>
    <row r="7673" spans="1:1" x14ac:dyDescent="0.2">
      <c r="A7673" s="52"/>
    </row>
    <row r="7674" spans="1:1" x14ac:dyDescent="0.2">
      <c r="A7674" s="52"/>
    </row>
    <row r="7675" spans="1:1" x14ac:dyDescent="0.2">
      <c r="A7675" s="52"/>
    </row>
    <row r="7676" spans="1:1" x14ac:dyDescent="0.2">
      <c r="A7676" s="52"/>
    </row>
    <row r="7677" spans="1:1" x14ac:dyDescent="0.2">
      <c r="A7677" s="52"/>
    </row>
    <row r="7678" spans="1:1" x14ac:dyDescent="0.2">
      <c r="A7678" s="52"/>
    </row>
    <row r="7679" spans="1:1" x14ac:dyDescent="0.2">
      <c r="A7679" s="53"/>
    </row>
    <row r="7680" spans="1:1" x14ac:dyDescent="0.2">
      <c r="A7680" s="52"/>
    </row>
    <row r="7681" spans="1:1" x14ac:dyDescent="0.2">
      <c r="A7681" s="52"/>
    </row>
    <row r="7682" spans="1:1" x14ac:dyDescent="0.2">
      <c r="A7682" s="52"/>
    </row>
    <row r="7683" spans="1:1" x14ac:dyDescent="0.2">
      <c r="A7683" s="52"/>
    </row>
    <row r="7684" spans="1:1" x14ac:dyDescent="0.2">
      <c r="A7684" s="53"/>
    </row>
    <row r="7685" spans="1:1" x14ac:dyDescent="0.2">
      <c r="A7685" s="52"/>
    </row>
    <row r="7686" spans="1:1" x14ac:dyDescent="0.2">
      <c r="A7686" s="52"/>
    </row>
    <row r="7687" spans="1:1" x14ac:dyDescent="0.2">
      <c r="A7687" s="52"/>
    </row>
    <row r="7688" spans="1:1" x14ac:dyDescent="0.2">
      <c r="A7688" s="52"/>
    </row>
    <row r="7689" spans="1:1" x14ac:dyDescent="0.2">
      <c r="A7689" s="52"/>
    </row>
    <row r="7690" spans="1:1" x14ac:dyDescent="0.2">
      <c r="A7690" s="52"/>
    </row>
    <row r="7691" spans="1:1" x14ac:dyDescent="0.2">
      <c r="A7691" s="52"/>
    </row>
    <row r="7692" spans="1:1" x14ac:dyDescent="0.2">
      <c r="A7692" s="52"/>
    </row>
    <row r="7693" spans="1:1" x14ac:dyDescent="0.2">
      <c r="A7693" s="52"/>
    </row>
    <row r="7694" spans="1:1" x14ac:dyDescent="0.2">
      <c r="A7694" s="52"/>
    </row>
    <row r="7695" spans="1:1" x14ac:dyDescent="0.2">
      <c r="A7695" s="52"/>
    </row>
    <row r="7696" spans="1:1" x14ac:dyDescent="0.2">
      <c r="A7696" s="52"/>
    </row>
    <row r="7697" spans="1:1" x14ac:dyDescent="0.2">
      <c r="A7697" s="52"/>
    </row>
    <row r="7698" spans="1:1" x14ac:dyDescent="0.2">
      <c r="A7698" s="52"/>
    </row>
    <row r="7699" spans="1:1" x14ac:dyDescent="0.2">
      <c r="A7699" s="52"/>
    </row>
    <row r="7700" spans="1:1" x14ac:dyDescent="0.2">
      <c r="A7700" s="53"/>
    </row>
    <row r="7701" spans="1:1" x14ac:dyDescent="0.2">
      <c r="A7701" s="52"/>
    </row>
    <row r="7702" spans="1:1" x14ac:dyDescent="0.2">
      <c r="A7702" s="52"/>
    </row>
    <row r="7703" spans="1:1" x14ac:dyDescent="0.2">
      <c r="A7703" s="52"/>
    </row>
    <row r="7704" spans="1:1" x14ac:dyDescent="0.2">
      <c r="A7704" s="52"/>
    </row>
    <row r="7705" spans="1:1" x14ac:dyDescent="0.2">
      <c r="A7705" s="52"/>
    </row>
    <row r="7706" spans="1:1" x14ac:dyDescent="0.2">
      <c r="A7706" s="52"/>
    </row>
    <row r="7707" spans="1:1" x14ac:dyDescent="0.2">
      <c r="A7707" s="52"/>
    </row>
    <row r="7708" spans="1:1" x14ac:dyDescent="0.2">
      <c r="A7708" s="52"/>
    </row>
    <row r="7709" spans="1:1" x14ac:dyDescent="0.2">
      <c r="A7709" s="52"/>
    </row>
    <row r="7710" spans="1:1" x14ac:dyDescent="0.2">
      <c r="A7710" s="52"/>
    </row>
    <row r="7711" spans="1:1" x14ac:dyDescent="0.2">
      <c r="A7711" s="52"/>
    </row>
    <row r="7712" spans="1:1" x14ac:dyDescent="0.2">
      <c r="A7712" s="52"/>
    </row>
    <row r="7713" spans="1:1" x14ac:dyDescent="0.2">
      <c r="A7713" s="52"/>
    </row>
    <row r="7714" spans="1:1" x14ac:dyDescent="0.2">
      <c r="A7714" s="53"/>
    </row>
    <row r="7715" spans="1:1" x14ac:dyDescent="0.2">
      <c r="A7715" s="53"/>
    </row>
    <row r="7716" spans="1:1" x14ac:dyDescent="0.2">
      <c r="A7716" s="52"/>
    </row>
    <row r="7717" spans="1:1" x14ac:dyDescent="0.2">
      <c r="A7717" s="52"/>
    </row>
    <row r="7718" spans="1:1" x14ac:dyDescent="0.2">
      <c r="A7718" s="52"/>
    </row>
    <row r="7719" spans="1:1" x14ac:dyDescent="0.2">
      <c r="A7719" s="52"/>
    </row>
    <row r="7720" spans="1:1" x14ac:dyDescent="0.2">
      <c r="A7720" s="52"/>
    </row>
    <row r="7721" spans="1:1" x14ac:dyDescent="0.2">
      <c r="A7721" s="52"/>
    </row>
    <row r="7722" spans="1:1" x14ac:dyDescent="0.2">
      <c r="A7722" s="52"/>
    </row>
    <row r="7723" spans="1:1" x14ac:dyDescent="0.2">
      <c r="A7723" s="52"/>
    </row>
    <row r="7724" spans="1:1" x14ac:dyDescent="0.2">
      <c r="A7724" s="52"/>
    </row>
    <row r="7725" spans="1:1" x14ac:dyDescent="0.2">
      <c r="A7725" s="52"/>
    </row>
    <row r="7726" spans="1:1" x14ac:dyDescent="0.2">
      <c r="A7726" s="52"/>
    </row>
    <row r="7727" spans="1:1" x14ac:dyDescent="0.2">
      <c r="A7727" s="52"/>
    </row>
    <row r="7728" spans="1:1" x14ac:dyDescent="0.2">
      <c r="A7728" s="53"/>
    </row>
    <row r="7729" spans="1:1" x14ac:dyDescent="0.2">
      <c r="A7729" s="52"/>
    </row>
    <row r="7730" spans="1:1" x14ac:dyDescent="0.2">
      <c r="A7730" s="52"/>
    </row>
    <row r="7731" spans="1:1" x14ac:dyDescent="0.2">
      <c r="A7731" s="52"/>
    </row>
    <row r="7732" spans="1:1" x14ac:dyDescent="0.2">
      <c r="A7732" s="52"/>
    </row>
    <row r="7733" spans="1:1" x14ac:dyDescent="0.2">
      <c r="A7733" s="52"/>
    </row>
    <row r="7734" spans="1:1" x14ac:dyDescent="0.2">
      <c r="A7734" s="52"/>
    </row>
    <row r="7735" spans="1:1" x14ac:dyDescent="0.2">
      <c r="A7735" s="52"/>
    </row>
    <row r="7736" spans="1:1" x14ac:dyDescent="0.2">
      <c r="A7736" s="52"/>
    </row>
    <row r="7737" spans="1:1" x14ac:dyDescent="0.2">
      <c r="A7737" s="52"/>
    </row>
    <row r="7738" spans="1:1" x14ac:dyDescent="0.2">
      <c r="A7738" s="53"/>
    </row>
    <row r="7739" spans="1:1" x14ac:dyDescent="0.2">
      <c r="A7739" s="53"/>
    </row>
    <row r="7740" spans="1:1" x14ac:dyDescent="0.2">
      <c r="A7740" s="52"/>
    </row>
    <row r="7741" spans="1:1" x14ac:dyDescent="0.2">
      <c r="A7741" s="52"/>
    </row>
    <row r="7742" spans="1:1" x14ac:dyDescent="0.2">
      <c r="A7742" s="52"/>
    </row>
    <row r="7743" spans="1:1" x14ac:dyDescent="0.2">
      <c r="A7743" s="52"/>
    </row>
    <row r="7744" spans="1:1" x14ac:dyDescent="0.2">
      <c r="A7744" s="52"/>
    </row>
    <row r="7745" spans="1:1" x14ac:dyDescent="0.2">
      <c r="A7745" s="53"/>
    </row>
    <row r="7746" spans="1:1" x14ac:dyDescent="0.2">
      <c r="A7746" s="52"/>
    </row>
    <row r="7747" spans="1:1" x14ac:dyDescent="0.2">
      <c r="A7747" s="52"/>
    </row>
    <row r="7748" spans="1:1" x14ac:dyDescent="0.2">
      <c r="A7748" s="52"/>
    </row>
    <row r="7749" spans="1:1" x14ac:dyDescent="0.2">
      <c r="A7749" s="52"/>
    </row>
    <row r="7750" spans="1:1" x14ac:dyDescent="0.2">
      <c r="A7750" s="53"/>
    </row>
    <row r="7751" spans="1:1" x14ac:dyDescent="0.2">
      <c r="A7751" s="52"/>
    </row>
    <row r="7752" spans="1:1" x14ac:dyDescent="0.2">
      <c r="A7752" s="52"/>
    </row>
    <row r="7753" spans="1:1" x14ac:dyDescent="0.2">
      <c r="A7753" s="52"/>
    </row>
    <row r="7754" spans="1:1" x14ac:dyDescent="0.2">
      <c r="A7754" s="52"/>
    </row>
    <row r="7755" spans="1:1" x14ac:dyDescent="0.2">
      <c r="A7755" s="52"/>
    </row>
    <row r="7756" spans="1:1" x14ac:dyDescent="0.2">
      <c r="A7756" s="52"/>
    </row>
    <row r="7757" spans="1:1" x14ac:dyDescent="0.2">
      <c r="A7757" s="52"/>
    </row>
    <row r="7758" spans="1:1" x14ac:dyDescent="0.2">
      <c r="A7758" s="52"/>
    </row>
    <row r="7759" spans="1:1" x14ac:dyDescent="0.2">
      <c r="A7759" s="52"/>
    </row>
    <row r="7760" spans="1:1" x14ac:dyDescent="0.2">
      <c r="A7760" s="52"/>
    </row>
    <row r="7761" spans="1:1" x14ac:dyDescent="0.2">
      <c r="A7761" s="52"/>
    </row>
    <row r="7762" spans="1:1" x14ac:dyDescent="0.2">
      <c r="A7762" s="52"/>
    </row>
    <row r="7763" spans="1:1" x14ac:dyDescent="0.2">
      <c r="A7763" s="52"/>
    </row>
    <row r="7764" spans="1:1" x14ac:dyDescent="0.2">
      <c r="A7764" s="52"/>
    </row>
    <row r="7765" spans="1:1" x14ac:dyDescent="0.2">
      <c r="A7765" s="53"/>
    </row>
    <row r="7766" spans="1:1" x14ac:dyDescent="0.2">
      <c r="A7766" s="52"/>
    </row>
    <row r="7767" spans="1:1" x14ac:dyDescent="0.2">
      <c r="A7767" s="52"/>
    </row>
    <row r="7768" spans="1:1" x14ac:dyDescent="0.2">
      <c r="A7768" s="52"/>
    </row>
    <row r="7769" spans="1:1" x14ac:dyDescent="0.2">
      <c r="A7769" s="53"/>
    </row>
    <row r="7770" spans="1:1" x14ac:dyDescent="0.2">
      <c r="A7770" s="52"/>
    </row>
    <row r="7771" spans="1:1" x14ac:dyDescent="0.2">
      <c r="A7771" s="52"/>
    </row>
    <row r="7772" spans="1:1" x14ac:dyDescent="0.2">
      <c r="A7772" s="52"/>
    </row>
    <row r="7773" spans="1:1" x14ac:dyDescent="0.2">
      <c r="A7773" s="52"/>
    </row>
    <row r="7774" spans="1:1" x14ac:dyDescent="0.2">
      <c r="A7774" s="52"/>
    </row>
    <row r="7775" spans="1:1" x14ac:dyDescent="0.2">
      <c r="A7775" s="52"/>
    </row>
    <row r="7776" spans="1:1" x14ac:dyDescent="0.2">
      <c r="A7776" s="52"/>
    </row>
    <row r="7777" spans="1:1" x14ac:dyDescent="0.2">
      <c r="A7777" s="52"/>
    </row>
    <row r="7778" spans="1:1" x14ac:dyDescent="0.2">
      <c r="A7778" s="52"/>
    </row>
    <row r="7779" spans="1:1" x14ac:dyDescent="0.2">
      <c r="A7779" s="52"/>
    </row>
    <row r="7780" spans="1:1" x14ac:dyDescent="0.2">
      <c r="A7780" s="52"/>
    </row>
    <row r="7781" spans="1:1" x14ac:dyDescent="0.2">
      <c r="A7781" s="52"/>
    </row>
    <row r="7782" spans="1:1" x14ac:dyDescent="0.2">
      <c r="A7782" s="52"/>
    </row>
    <row r="7783" spans="1:1" x14ac:dyDescent="0.2">
      <c r="A7783" s="52"/>
    </row>
    <row r="7784" spans="1:1" x14ac:dyDescent="0.2">
      <c r="A7784" s="52"/>
    </row>
    <row r="7785" spans="1:1" x14ac:dyDescent="0.2">
      <c r="A7785" s="52"/>
    </row>
    <row r="7786" spans="1:1" x14ac:dyDescent="0.2">
      <c r="A7786" s="52"/>
    </row>
    <row r="7787" spans="1:1" x14ac:dyDescent="0.2">
      <c r="A7787" s="52"/>
    </row>
    <row r="7788" spans="1:1" x14ac:dyDescent="0.2">
      <c r="A7788" s="52"/>
    </row>
    <row r="7789" spans="1:1" x14ac:dyDescent="0.2">
      <c r="A7789" s="52"/>
    </row>
    <row r="7790" spans="1:1" x14ac:dyDescent="0.2">
      <c r="A7790" s="52"/>
    </row>
    <row r="7791" spans="1:1" x14ac:dyDescent="0.2">
      <c r="A7791" s="52"/>
    </row>
    <row r="7792" spans="1:1" x14ac:dyDescent="0.2">
      <c r="A7792" s="52"/>
    </row>
    <row r="7793" spans="1:1" x14ac:dyDescent="0.2">
      <c r="A7793" s="52"/>
    </row>
    <row r="7794" spans="1:1" x14ac:dyDescent="0.2">
      <c r="A7794" s="52"/>
    </row>
    <row r="7795" spans="1:1" x14ac:dyDescent="0.2">
      <c r="A7795" s="52"/>
    </row>
    <row r="7796" spans="1:1" x14ac:dyDescent="0.2">
      <c r="A7796" s="52"/>
    </row>
    <row r="7797" spans="1:1" x14ac:dyDescent="0.2">
      <c r="A7797" s="52"/>
    </row>
    <row r="7798" spans="1:1" x14ac:dyDescent="0.2">
      <c r="A7798" s="52"/>
    </row>
    <row r="7799" spans="1:1" x14ac:dyDescent="0.2">
      <c r="A7799" s="52"/>
    </row>
    <row r="7800" spans="1:1" x14ac:dyDescent="0.2">
      <c r="A7800" s="52"/>
    </row>
    <row r="7801" spans="1:1" x14ac:dyDescent="0.2">
      <c r="A7801" s="53"/>
    </row>
    <row r="7802" spans="1:1" x14ac:dyDescent="0.2">
      <c r="A7802" s="52"/>
    </row>
    <row r="7803" spans="1:1" x14ac:dyDescent="0.2">
      <c r="A7803" s="52"/>
    </row>
    <row r="7804" spans="1:1" x14ac:dyDescent="0.2">
      <c r="A7804" s="52"/>
    </row>
    <row r="7805" spans="1:1" x14ac:dyDescent="0.2">
      <c r="A7805" s="52"/>
    </row>
    <row r="7806" spans="1:1" x14ac:dyDescent="0.2">
      <c r="A7806" s="52"/>
    </row>
    <row r="7807" spans="1:1" x14ac:dyDescent="0.2">
      <c r="A7807" s="52"/>
    </row>
    <row r="7808" spans="1:1" x14ac:dyDescent="0.2">
      <c r="A7808" s="52"/>
    </row>
    <row r="7809" spans="1:1" x14ac:dyDescent="0.2">
      <c r="A7809" s="52"/>
    </row>
    <row r="7810" spans="1:1" x14ac:dyDescent="0.2">
      <c r="A7810" s="52"/>
    </row>
    <row r="7811" spans="1:1" x14ac:dyDescent="0.2">
      <c r="A7811" s="53"/>
    </row>
    <row r="7812" spans="1:1" x14ac:dyDescent="0.2">
      <c r="A7812" s="52"/>
    </row>
    <row r="7813" spans="1:1" x14ac:dyDescent="0.2">
      <c r="A7813" s="52"/>
    </row>
    <row r="7814" spans="1:1" x14ac:dyDescent="0.2">
      <c r="A7814" s="52"/>
    </row>
    <row r="7815" spans="1:1" x14ac:dyDescent="0.2">
      <c r="A7815" s="52"/>
    </row>
    <row r="7816" spans="1:1" x14ac:dyDescent="0.2">
      <c r="A7816" s="52"/>
    </row>
    <row r="7817" spans="1:1" x14ac:dyDescent="0.2">
      <c r="A7817" s="52"/>
    </row>
    <row r="7818" spans="1:1" x14ac:dyDescent="0.2">
      <c r="A7818" s="53"/>
    </row>
    <row r="7819" spans="1:1" x14ac:dyDescent="0.2">
      <c r="A7819" s="52"/>
    </row>
    <row r="7820" spans="1:1" x14ac:dyDescent="0.2">
      <c r="A7820" s="52"/>
    </row>
    <row r="7821" spans="1:1" x14ac:dyDescent="0.2">
      <c r="A7821" s="52"/>
    </row>
    <row r="7822" spans="1:1" x14ac:dyDescent="0.2">
      <c r="A7822" s="52"/>
    </row>
    <row r="7823" spans="1:1" x14ac:dyDescent="0.2">
      <c r="A7823" s="52"/>
    </row>
    <row r="7824" spans="1:1" x14ac:dyDescent="0.2">
      <c r="A7824" s="52"/>
    </row>
    <row r="7825" spans="1:1" x14ac:dyDescent="0.2">
      <c r="A7825" s="52"/>
    </row>
    <row r="7826" spans="1:1" x14ac:dyDescent="0.2">
      <c r="A7826" s="52"/>
    </row>
    <row r="7827" spans="1:1" x14ac:dyDescent="0.2">
      <c r="A7827" s="52"/>
    </row>
    <row r="7828" spans="1:1" x14ac:dyDescent="0.2">
      <c r="A7828" s="52"/>
    </row>
    <row r="7829" spans="1:1" x14ac:dyDescent="0.2">
      <c r="A7829" s="52"/>
    </row>
    <row r="7830" spans="1:1" x14ac:dyDescent="0.2">
      <c r="A7830" s="52"/>
    </row>
    <row r="7831" spans="1:1" x14ac:dyDescent="0.2">
      <c r="A7831" s="52"/>
    </row>
    <row r="7832" spans="1:1" x14ac:dyDescent="0.2">
      <c r="A7832" s="52"/>
    </row>
    <row r="7833" spans="1:1" x14ac:dyDescent="0.2">
      <c r="A7833" s="52"/>
    </row>
    <row r="7834" spans="1:1" x14ac:dyDescent="0.2">
      <c r="A7834" s="52"/>
    </row>
    <row r="7835" spans="1:1" x14ac:dyDescent="0.2">
      <c r="A7835" s="52"/>
    </row>
    <row r="7836" spans="1:1" x14ac:dyDescent="0.2">
      <c r="A7836" s="52"/>
    </row>
    <row r="7837" spans="1:1" x14ac:dyDescent="0.2">
      <c r="A7837" s="52"/>
    </row>
    <row r="7838" spans="1:1" x14ac:dyDescent="0.2">
      <c r="A7838" s="52"/>
    </row>
    <row r="7839" spans="1:1" x14ac:dyDescent="0.2">
      <c r="A7839" s="52"/>
    </row>
    <row r="7840" spans="1:1" x14ac:dyDescent="0.2">
      <c r="A7840" s="52"/>
    </row>
    <row r="7841" spans="1:1" x14ac:dyDescent="0.2">
      <c r="A7841" s="52"/>
    </row>
    <row r="7842" spans="1:1" x14ac:dyDescent="0.2">
      <c r="A7842" s="52"/>
    </row>
    <row r="7843" spans="1:1" x14ac:dyDescent="0.2">
      <c r="A7843" s="52"/>
    </row>
    <row r="7844" spans="1:1" x14ac:dyDescent="0.2">
      <c r="A7844" s="52"/>
    </row>
    <row r="7845" spans="1:1" x14ac:dyDescent="0.2">
      <c r="A7845" s="52"/>
    </row>
    <row r="7846" spans="1:1" x14ac:dyDescent="0.2">
      <c r="A7846" s="52"/>
    </row>
    <row r="7847" spans="1:1" x14ac:dyDescent="0.2">
      <c r="A7847" s="53"/>
    </row>
    <row r="7848" spans="1:1" x14ac:dyDescent="0.2">
      <c r="A7848" s="52"/>
    </row>
    <row r="7849" spans="1:1" x14ac:dyDescent="0.2">
      <c r="A7849" s="52"/>
    </row>
    <row r="7850" spans="1:1" x14ac:dyDescent="0.2">
      <c r="A7850" s="52"/>
    </row>
    <row r="7851" spans="1:1" x14ac:dyDescent="0.2">
      <c r="A7851" s="52"/>
    </row>
    <row r="7852" spans="1:1" x14ac:dyDescent="0.2">
      <c r="A7852" s="52"/>
    </row>
    <row r="7853" spans="1:1" x14ac:dyDescent="0.2">
      <c r="A7853" s="52"/>
    </row>
    <row r="7854" spans="1:1" x14ac:dyDescent="0.2">
      <c r="A7854" s="52"/>
    </row>
    <row r="7855" spans="1:1" x14ac:dyDescent="0.2">
      <c r="A7855" s="52"/>
    </row>
    <row r="7856" spans="1:1" x14ac:dyDescent="0.2">
      <c r="A7856" s="52"/>
    </row>
    <row r="7857" spans="1:1" x14ac:dyDescent="0.2">
      <c r="A7857" s="52"/>
    </row>
    <row r="7858" spans="1:1" x14ac:dyDescent="0.2">
      <c r="A7858" s="52"/>
    </row>
    <row r="7859" spans="1:1" x14ac:dyDescent="0.2">
      <c r="A7859" s="52"/>
    </row>
    <row r="7860" spans="1:1" x14ac:dyDescent="0.2">
      <c r="A7860" s="52"/>
    </row>
    <row r="7861" spans="1:1" x14ac:dyDescent="0.2">
      <c r="A7861" s="52"/>
    </row>
    <row r="7862" spans="1:1" x14ac:dyDescent="0.2">
      <c r="A7862" s="53"/>
    </row>
    <row r="7863" spans="1:1" x14ac:dyDescent="0.2">
      <c r="A7863" s="52"/>
    </row>
    <row r="7864" spans="1:1" x14ac:dyDescent="0.2">
      <c r="A7864" s="52"/>
    </row>
    <row r="7865" spans="1:1" x14ac:dyDescent="0.2">
      <c r="A7865" s="52"/>
    </row>
    <row r="7866" spans="1:1" x14ac:dyDescent="0.2">
      <c r="A7866" s="52"/>
    </row>
    <row r="7867" spans="1:1" x14ac:dyDescent="0.2">
      <c r="A7867" s="52"/>
    </row>
    <row r="7868" spans="1:1" x14ac:dyDescent="0.2">
      <c r="A7868" s="52"/>
    </row>
    <row r="7869" spans="1:1" x14ac:dyDescent="0.2">
      <c r="A7869" s="52"/>
    </row>
    <row r="7870" spans="1:1" x14ac:dyDescent="0.2">
      <c r="A7870" s="52"/>
    </row>
    <row r="7871" spans="1:1" x14ac:dyDescent="0.2">
      <c r="A7871" s="53"/>
    </row>
    <row r="7872" spans="1:1" x14ac:dyDescent="0.2">
      <c r="A7872" s="52"/>
    </row>
    <row r="7873" spans="1:1" x14ac:dyDescent="0.2">
      <c r="A7873" s="52"/>
    </row>
    <row r="7874" spans="1:1" x14ac:dyDescent="0.2">
      <c r="A7874" s="52"/>
    </row>
    <row r="7875" spans="1:1" x14ac:dyDescent="0.2">
      <c r="A7875" s="52"/>
    </row>
    <row r="7876" spans="1:1" x14ac:dyDescent="0.2">
      <c r="A7876" s="52"/>
    </row>
    <row r="7877" spans="1:1" x14ac:dyDescent="0.2">
      <c r="A7877" s="52"/>
    </row>
    <row r="7878" spans="1:1" x14ac:dyDescent="0.2">
      <c r="A7878" s="52"/>
    </row>
    <row r="7879" spans="1:1" x14ac:dyDescent="0.2">
      <c r="A7879" s="52"/>
    </row>
    <row r="7880" spans="1:1" x14ac:dyDescent="0.2">
      <c r="A7880" s="52"/>
    </row>
    <row r="7881" spans="1:1" x14ac:dyDescent="0.2">
      <c r="A7881" s="52"/>
    </row>
    <row r="7882" spans="1:1" x14ac:dyDescent="0.2">
      <c r="A7882" s="52"/>
    </row>
    <row r="7883" spans="1:1" x14ac:dyDescent="0.2">
      <c r="A7883" s="52"/>
    </row>
    <row r="7884" spans="1:1" x14ac:dyDescent="0.2">
      <c r="A7884" s="52"/>
    </row>
    <row r="7885" spans="1:1" x14ac:dyDescent="0.2">
      <c r="A7885" s="52"/>
    </row>
    <row r="7886" spans="1:1" x14ac:dyDescent="0.2">
      <c r="A7886" s="52"/>
    </row>
    <row r="7887" spans="1:1" x14ac:dyDescent="0.2">
      <c r="A7887" s="52"/>
    </row>
    <row r="7888" spans="1:1" x14ac:dyDescent="0.2">
      <c r="A7888" s="52"/>
    </row>
    <row r="7889" spans="1:1" x14ac:dyDescent="0.2">
      <c r="A7889" s="52"/>
    </row>
    <row r="7890" spans="1:1" x14ac:dyDescent="0.2">
      <c r="A7890" s="52"/>
    </row>
    <row r="7891" spans="1:1" x14ac:dyDescent="0.2">
      <c r="A7891" s="52"/>
    </row>
    <row r="7892" spans="1:1" x14ac:dyDescent="0.2">
      <c r="A7892" s="52"/>
    </row>
    <row r="7893" spans="1:1" x14ac:dyDescent="0.2">
      <c r="A7893" s="52"/>
    </row>
    <row r="7894" spans="1:1" x14ac:dyDescent="0.2">
      <c r="A7894" s="53"/>
    </row>
    <row r="7895" spans="1:1" x14ac:dyDescent="0.2">
      <c r="A7895" s="52"/>
    </row>
    <row r="7896" spans="1:1" x14ac:dyDescent="0.2">
      <c r="A7896" s="52"/>
    </row>
    <row r="7897" spans="1:1" x14ac:dyDescent="0.2">
      <c r="A7897" s="52"/>
    </row>
    <row r="7898" spans="1:1" x14ac:dyDescent="0.2">
      <c r="A7898" s="52"/>
    </row>
    <row r="7899" spans="1:1" x14ac:dyDescent="0.2">
      <c r="A7899" s="52"/>
    </row>
    <row r="7900" spans="1:1" x14ac:dyDescent="0.2">
      <c r="A7900" s="52"/>
    </row>
    <row r="7901" spans="1:1" x14ac:dyDescent="0.2">
      <c r="A7901" s="52"/>
    </row>
    <row r="7902" spans="1:1" x14ac:dyDescent="0.2">
      <c r="A7902" s="52"/>
    </row>
    <row r="7903" spans="1:1" x14ac:dyDescent="0.2">
      <c r="A7903" s="52"/>
    </row>
    <row r="7904" spans="1:1" x14ac:dyDescent="0.2">
      <c r="A7904" s="52"/>
    </row>
    <row r="7905" spans="1:1" x14ac:dyDescent="0.2">
      <c r="A7905" s="52"/>
    </row>
    <row r="7906" spans="1:1" x14ac:dyDescent="0.2">
      <c r="A7906" s="52"/>
    </row>
    <row r="7907" spans="1:1" x14ac:dyDescent="0.2">
      <c r="A7907" s="52"/>
    </row>
    <row r="7908" spans="1:1" x14ac:dyDescent="0.2">
      <c r="A7908" s="52"/>
    </row>
    <row r="7909" spans="1:1" x14ac:dyDescent="0.2">
      <c r="A7909" s="52"/>
    </row>
    <row r="7910" spans="1:1" x14ac:dyDescent="0.2">
      <c r="A7910" s="52"/>
    </row>
    <row r="7911" spans="1:1" x14ac:dyDescent="0.2">
      <c r="A7911" s="52"/>
    </row>
    <row r="7912" spans="1:1" x14ac:dyDescent="0.2">
      <c r="A7912" s="52"/>
    </row>
    <row r="7913" spans="1:1" x14ac:dyDescent="0.2">
      <c r="A7913" s="53"/>
    </row>
    <row r="7914" spans="1:1" x14ac:dyDescent="0.2">
      <c r="A7914" s="53"/>
    </row>
    <row r="7915" spans="1:1" x14ac:dyDescent="0.2">
      <c r="A7915" s="52"/>
    </row>
    <row r="7916" spans="1:1" x14ac:dyDescent="0.2">
      <c r="A7916" s="52"/>
    </row>
    <row r="7917" spans="1:1" x14ac:dyDescent="0.2">
      <c r="A7917" s="52"/>
    </row>
    <row r="7918" spans="1:1" x14ac:dyDescent="0.2">
      <c r="A7918" s="53"/>
    </row>
    <row r="7919" spans="1:1" x14ac:dyDescent="0.2">
      <c r="A7919" s="52"/>
    </row>
    <row r="7920" spans="1:1" x14ac:dyDescent="0.2">
      <c r="A7920" s="53"/>
    </row>
    <row r="7921" spans="1:1" x14ac:dyDescent="0.2">
      <c r="A7921" s="53"/>
    </row>
    <row r="7922" spans="1:1" x14ac:dyDescent="0.2">
      <c r="A7922" s="52"/>
    </row>
    <row r="7923" spans="1:1" x14ac:dyDescent="0.2">
      <c r="A7923" s="53"/>
    </row>
    <row r="7924" spans="1:1" x14ac:dyDescent="0.2">
      <c r="A7924" s="52"/>
    </row>
    <row r="7925" spans="1:1" x14ac:dyDescent="0.2">
      <c r="A7925" s="52"/>
    </row>
    <row r="7926" spans="1:1" x14ac:dyDescent="0.2">
      <c r="A7926" s="52"/>
    </row>
    <row r="7927" spans="1:1" x14ac:dyDescent="0.2">
      <c r="A7927" s="52"/>
    </row>
    <row r="7928" spans="1:1" x14ac:dyDescent="0.2">
      <c r="A7928" s="52"/>
    </row>
    <row r="7929" spans="1:1" x14ac:dyDescent="0.2">
      <c r="A7929" s="52"/>
    </row>
    <row r="7930" spans="1:1" x14ac:dyDescent="0.2">
      <c r="A7930" s="52"/>
    </row>
    <row r="7931" spans="1:1" x14ac:dyDescent="0.2">
      <c r="A7931" s="53"/>
    </row>
    <row r="7932" spans="1:1" x14ac:dyDescent="0.2">
      <c r="A7932" s="52"/>
    </row>
    <row r="7933" spans="1:1" x14ac:dyDescent="0.2">
      <c r="A7933" s="52"/>
    </row>
    <row r="7934" spans="1:1" x14ac:dyDescent="0.2">
      <c r="A7934" s="52"/>
    </row>
    <row r="7935" spans="1:1" x14ac:dyDescent="0.2">
      <c r="A7935" s="52"/>
    </row>
    <row r="7936" spans="1:1" x14ac:dyDescent="0.2">
      <c r="A7936" s="52"/>
    </row>
    <row r="7937" spans="1:1" x14ac:dyDescent="0.2">
      <c r="A7937" s="52"/>
    </row>
    <row r="7938" spans="1:1" x14ac:dyDescent="0.2">
      <c r="A7938" s="52"/>
    </row>
    <row r="7939" spans="1:1" x14ac:dyDescent="0.2">
      <c r="A7939" s="52"/>
    </row>
    <row r="7940" spans="1:1" x14ac:dyDescent="0.2">
      <c r="A7940" s="52"/>
    </row>
    <row r="7941" spans="1:1" x14ac:dyDescent="0.2">
      <c r="A7941" s="52"/>
    </row>
    <row r="7942" spans="1:1" x14ac:dyDescent="0.2">
      <c r="A7942" s="52"/>
    </row>
    <row r="7943" spans="1:1" x14ac:dyDescent="0.2">
      <c r="A7943" s="52"/>
    </row>
    <row r="7944" spans="1:1" x14ac:dyDescent="0.2">
      <c r="A7944" s="52"/>
    </row>
    <row r="7945" spans="1:1" x14ac:dyDescent="0.2">
      <c r="A7945" s="52"/>
    </row>
    <row r="7946" spans="1:1" x14ac:dyDescent="0.2">
      <c r="A7946" s="52"/>
    </row>
    <row r="7947" spans="1:1" x14ac:dyDescent="0.2">
      <c r="A7947" s="52"/>
    </row>
    <row r="7948" spans="1:1" x14ac:dyDescent="0.2">
      <c r="A7948" s="52"/>
    </row>
    <row r="7949" spans="1:1" x14ac:dyDescent="0.2">
      <c r="A7949" s="52"/>
    </row>
    <row r="7950" spans="1:1" x14ac:dyDescent="0.2">
      <c r="A7950" s="52"/>
    </row>
    <row r="7951" spans="1:1" x14ac:dyDescent="0.2">
      <c r="A7951" s="52"/>
    </row>
    <row r="7952" spans="1:1" x14ac:dyDescent="0.2">
      <c r="A7952" s="52"/>
    </row>
    <row r="7953" spans="1:1" x14ac:dyDescent="0.2">
      <c r="A7953" s="52"/>
    </row>
    <row r="7954" spans="1:1" x14ac:dyDescent="0.2">
      <c r="A7954" s="52"/>
    </row>
    <row r="7955" spans="1:1" x14ac:dyDescent="0.2">
      <c r="A7955" s="52"/>
    </row>
    <row r="7956" spans="1:1" x14ac:dyDescent="0.2">
      <c r="A7956" s="53"/>
    </row>
    <row r="7957" spans="1:1" x14ac:dyDescent="0.2">
      <c r="A7957" s="52"/>
    </row>
    <row r="7958" spans="1:1" x14ac:dyDescent="0.2">
      <c r="A7958" s="52"/>
    </row>
    <row r="7959" spans="1:1" x14ac:dyDescent="0.2">
      <c r="A7959" s="52"/>
    </row>
    <row r="7960" spans="1:1" x14ac:dyDescent="0.2">
      <c r="A7960" s="52"/>
    </row>
    <row r="7961" spans="1:1" x14ac:dyDescent="0.2">
      <c r="A7961" s="52"/>
    </row>
    <row r="7962" spans="1:1" x14ac:dyDescent="0.2">
      <c r="A7962" s="52"/>
    </row>
    <row r="7963" spans="1:1" x14ac:dyDescent="0.2">
      <c r="A7963" s="52"/>
    </row>
    <row r="7964" spans="1:1" x14ac:dyDescent="0.2">
      <c r="A7964" s="52"/>
    </row>
    <row r="7965" spans="1:1" x14ac:dyDescent="0.2">
      <c r="A7965" s="53"/>
    </row>
    <row r="7966" spans="1:1" x14ac:dyDescent="0.2">
      <c r="A7966" s="52"/>
    </row>
    <row r="7967" spans="1:1" x14ac:dyDescent="0.2">
      <c r="A7967" s="52"/>
    </row>
    <row r="7968" spans="1:1" x14ac:dyDescent="0.2">
      <c r="A7968" s="52"/>
    </row>
    <row r="7969" spans="1:1" x14ac:dyDescent="0.2">
      <c r="A7969" s="52"/>
    </row>
    <row r="7970" spans="1:1" x14ac:dyDescent="0.2">
      <c r="A7970" s="52"/>
    </row>
    <row r="7971" spans="1:1" x14ac:dyDescent="0.2">
      <c r="A7971" s="52"/>
    </row>
    <row r="7972" spans="1:1" x14ac:dyDescent="0.2">
      <c r="A7972" s="52"/>
    </row>
    <row r="7973" spans="1:1" x14ac:dyDescent="0.2">
      <c r="A7973" s="52"/>
    </row>
    <row r="7974" spans="1:1" x14ac:dyDescent="0.2">
      <c r="A7974" s="52"/>
    </row>
    <row r="7975" spans="1:1" x14ac:dyDescent="0.2">
      <c r="A7975" s="52"/>
    </row>
    <row r="7976" spans="1:1" x14ac:dyDescent="0.2">
      <c r="A7976" s="52"/>
    </row>
    <row r="7977" spans="1:1" x14ac:dyDescent="0.2">
      <c r="A7977" s="52"/>
    </row>
    <row r="7978" spans="1:1" x14ac:dyDescent="0.2">
      <c r="A7978" s="52"/>
    </row>
    <row r="7979" spans="1:1" x14ac:dyDescent="0.2">
      <c r="A7979" s="52"/>
    </row>
    <row r="7980" spans="1:1" x14ac:dyDescent="0.2">
      <c r="A7980" s="52"/>
    </row>
    <row r="7981" spans="1:1" x14ac:dyDescent="0.2">
      <c r="A7981" s="53"/>
    </row>
    <row r="7982" spans="1:1" x14ac:dyDescent="0.2">
      <c r="A7982" s="52"/>
    </row>
    <row r="7983" spans="1:1" x14ac:dyDescent="0.2">
      <c r="A7983" s="52"/>
    </row>
    <row r="7984" spans="1:1" x14ac:dyDescent="0.2">
      <c r="A7984" s="52"/>
    </row>
    <row r="7985" spans="1:1" x14ac:dyDescent="0.2">
      <c r="A7985" s="52"/>
    </row>
    <row r="7986" spans="1:1" x14ac:dyDescent="0.2">
      <c r="A7986" s="52"/>
    </row>
    <row r="7987" spans="1:1" x14ac:dyDescent="0.2">
      <c r="A7987" s="52"/>
    </row>
    <row r="7988" spans="1:1" x14ac:dyDescent="0.2">
      <c r="A7988" s="52"/>
    </row>
    <row r="7989" spans="1:1" x14ac:dyDescent="0.2">
      <c r="A7989" s="52"/>
    </row>
    <row r="7990" spans="1:1" x14ac:dyDescent="0.2">
      <c r="A7990" s="52"/>
    </row>
    <row r="7991" spans="1:1" x14ac:dyDescent="0.2">
      <c r="A7991" s="52"/>
    </row>
    <row r="7992" spans="1:1" x14ac:dyDescent="0.2">
      <c r="A7992" s="52"/>
    </row>
    <row r="7993" spans="1:1" x14ac:dyDescent="0.2">
      <c r="A7993" s="52"/>
    </row>
    <row r="7994" spans="1:1" x14ac:dyDescent="0.2">
      <c r="A7994" s="52"/>
    </row>
    <row r="7995" spans="1:1" x14ac:dyDescent="0.2">
      <c r="A7995" s="52"/>
    </row>
    <row r="7996" spans="1:1" x14ac:dyDescent="0.2">
      <c r="A7996" s="52"/>
    </row>
    <row r="7997" spans="1:1" x14ac:dyDescent="0.2">
      <c r="A7997" s="52"/>
    </row>
    <row r="7998" spans="1:1" x14ac:dyDescent="0.2">
      <c r="A7998" s="52"/>
    </row>
    <row r="7999" spans="1:1" x14ac:dyDescent="0.2">
      <c r="A7999" s="52"/>
    </row>
    <row r="8000" spans="1:1" x14ac:dyDescent="0.2">
      <c r="A8000" s="52"/>
    </row>
    <row r="8001" spans="1:1" x14ac:dyDescent="0.2">
      <c r="A8001" s="52"/>
    </row>
    <row r="8002" spans="1:1" x14ac:dyDescent="0.2">
      <c r="A8002" s="52"/>
    </row>
    <row r="8003" spans="1:1" x14ac:dyDescent="0.2">
      <c r="A8003" s="52"/>
    </row>
    <row r="8004" spans="1:1" x14ac:dyDescent="0.2">
      <c r="A8004" s="52"/>
    </row>
    <row r="8005" spans="1:1" x14ac:dyDescent="0.2">
      <c r="A8005" s="52"/>
    </row>
    <row r="8006" spans="1:1" x14ac:dyDescent="0.2">
      <c r="A8006" s="52"/>
    </row>
    <row r="8007" spans="1:1" x14ac:dyDescent="0.2">
      <c r="A8007" s="52"/>
    </row>
    <row r="8008" spans="1:1" x14ac:dyDescent="0.2">
      <c r="A8008" s="52"/>
    </row>
    <row r="8009" spans="1:1" x14ac:dyDescent="0.2">
      <c r="A8009" s="52"/>
    </row>
    <row r="8010" spans="1:1" x14ac:dyDescent="0.2">
      <c r="A8010" s="52"/>
    </row>
    <row r="8011" spans="1:1" x14ac:dyDescent="0.2">
      <c r="A8011" s="52"/>
    </row>
    <row r="8012" spans="1:1" x14ac:dyDescent="0.2">
      <c r="A8012" s="52"/>
    </row>
    <row r="8013" spans="1:1" x14ac:dyDescent="0.2">
      <c r="A8013" s="52"/>
    </row>
    <row r="8014" spans="1:1" x14ac:dyDescent="0.2">
      <c r="A8014" s="52"/>
    </row>
    <row r="8015" spans="1:1" x14ac:dyDescent="0.2">
      <c r="A8015" s="52"/>
    </row>
    <row r="8016" spans="1:1" x14ac:dyDescent="0.2">
      <c r="A8016" s="52"/>
    </row>
    <row r="8017" spans="1:1" x14ac:dyDescent="0.2">
      <c r="A8017" s="52"/>
    </row>
    <row r="8018" spans="1:1" x14ac:dyDescent="0.2">
      <c r="A8018" s="52"/>
    </row>
    <row r="8019" spans="1:1" x14ac:dyDescent="0.2">
      <c r="A8019" s="52"/>
    </row>
    <row r="8020" spans="1:1" x14ac:dyDescent="0.2">
      <c r="A8020" s="52"/>
    </row>
    <row r="8021" spans="1:1" x14ac:dyDescent="0.2">
      <c r="A8021" s="52"/>
    </row>
    <row r="8022" spans="1:1" x14ac:dyDescent="0.2">
      <c r="A8022" s="52"/>
    </row>
    <row r="8023" spans="1:1" x14ac:dyDescent="0.2">
      <c r="A8023" s="52"/>
    </row>
    <row r="8024" spans="1:1" x14ac:dyDescent="0.2">
      <c r="A8024" s="52"/>
    </row>
    <row r="8025" spans="1:1" x14ac:dyDescent="0.2">
      <c r="A8025" s="52"/>
    </row>
    <row r="8026" spans="1:1" x14ac:dyDescent="0.2">
      <c r="A8026" s="52"/>
    </row>
    <row r="8027" spans="1:1" x14ac:dyDescent="0.2">
      <c r="A8027" s="52"/>
    </row>
    <row r="8028" spans="1:1" x14ac:dyDescent="0.2">
      <c r="A8028" s="52"/>
    </row>
    <row r="8029" spans="1:1" x14ac:dyDescent="0.2">
      <c r="A8029" s="52"/>
    </row>
    <row r="8030" spans="1:1" x14ac:dyDescent="0.2">
      <c r="A8030" s="52"/>
    </row>
    <row r="8031" spans="1:1" x14ac:dyDescent="0.2">
      <c r="A8031" s="52"/>
    </row>
    <row r="8032" spans="1:1" x14ac:dyDescent="0.2">
      <c r="A8032" s="52"/>
    </row>
    <row r="8033" spans="1:1" x14ac:dyDescent="0.2">
      <c r="A8033" s="52"/>
    </row>
    <row r="8034" spans="1:1" x14ac:dyDescent="0.2">
      <c r="A8034" s="52"/>
    </row>
    <row r="8035" spans="1:1" x14ac:dyDescent="0.2">
      <c r="A8035" s="52"/>
    </row>
    <row r="8036" spans="1:1" x14ac:dyDescent="0.2">
      <c r="A8036" s="53"/>
    </row>
    <row r="8037" spans="1:1" x14ac:dyDescent="0.2">
      <c r="A8037" s="52"/>
    </row>
    <row r="8038" spans="1:1" x14ac:dyDescent="0.2">
      <c r="A8038" s="52"/>
    </row>
    <row r="8039" spans="1:1" x14ac:dyDescent="0.2">
      <c r="A8039" s="52"/>
    </row>
    <row r="8040" spans="1:1" x14ac:dyDescent="0.2">
      <c r="A8040" s="52"/>
    </row>
    <row r="8041" spans="1:1" x14ac:dyDescent="0.2">
      <c r="A8041" s="52"/>
    </row>
    <row r="8042" spans="1:1" x14ac:dyDescent="0.2">
      <c r="A8042" s="52"/>
    </row>
    <row r="8043" spans="1:1" x14ac:dyDescent="0.2">
      <c r="A8043" s="52"/>
    </row>
    <row r="8044" spans="1:1" x14ac:dyDescent="0.2">
      <c r="A8044" s="52"/>
    </row>
    <row r="8045" spans="1:1" x14ac:dyDescent="0.2">
      <c r="A8045" s="52"/>
    </row>
    <row r="8046" spans="1:1" x14ac:dyDescent="0.2">
      <c r="A8046" s="52"/>
    </row>
    <row r="8047" spans="1:1" x14ac:dyDescent="0.2">
      <c r="A8047" s="52"/>
    </row>
    <row r="8048" spans="1:1" x14ac:dyDescent="0.2">
      <c r="A8048" s="52"/>
    </row>
    <row r="8049" spans="1:1" x14ac:dyDescent="0.2">
      <c r="A8049" s="52"/>
    </row>
    <row r="8050" spans="1:1" x14ac:dyDescent="0.2">
      <c r="A8050" s="52"/>
    </row>
    <row r="8051" spans="1:1" x14ac:dyDescent="0.2">
      <c r="A8051" s="52"/>
    </row>
    <row r="8052" spans="1:1" x14ac:dyDescent="0.2">
      <c r="A8052" s="52"/>
    </row>
    <row r="8053" spans="1:1" x14ac:dyDescent="0.2">
      <c r="A8053" s="52"/>
    </row>
    <row r="8054" spans="1:1" x14ac:dyDescent="0.2">
      <c r="A8054" s="52"/>
    </row>
    <row r="8055" spans="1:1" x14ac:dyDescent="0.2">
      <c r="A8055" s="52"/>
    </row>
    <row r="8056" spans="1:1" x14ac:dyDescent="0.2">
      <c r="A8056" s="52"/>
    </row>
    <row r="8057" spans="1:1" x14ac:dyDescent="0.2">
      <c r="A8057" s="52"/>
    </row>
    <row r="8058" spans="1:1" x14ac:dyDescent="0.2">
      <c r="A8058" s="52"/>
    </row>
    <row r="8059" spans="1:1" x14ac:dyDescent="0.2">
      <c r="A8059" s="52"/>
    </row>
    <row r="8060" spans="1:1" x14ac:dyDescent="0.2">
      <c r="A8060" s="52"/>
    </row>
    <row r="8061" spans="1:1" x14ac:dyDescent="0.2">
      <c r="A8061" s="52"/>
    </row>
    <row r="8062" spans="1:1" x14ac:dyDescent="0.2">
      <c r="A8062" s="52"/>
    </row>
    <row r="8063" spans="1:1" x14ac:dyDescent="0.2">
      <c r="A8063" s="52"/>
    </row>
    <row r="8064" spans="1:1" x14ac:dyDescent="0.2">
      <c r="A8064" s="52"/>
    </row>
    <row r="8065" spans="1:1" x14ac:dyDescent="0.2">
      <c r="A8065" s="52"/>
    </row>
    <row r="8066" spans="1:1" x14ac:dyDescent="0.2">
      <c r="A8066" s="52"/>
    </row>
    <row r="8067" spans="1:1" x14ac:dyDescent="0.2">
      <c r="A8067" s="52"/>
    </row>
    <row r="8068" spans="1:1" x14ac:dyDescent="0.2">
      <c r="A8068" s="52"/>
    </row>
    <row r="8069" spans="1:1" x14ac:dyDescent="0.2">
      <c r="A8069" s="52"/>
    </row>
    <row r="8070" spans="1:1" x14ac:dyDescent="0.2">
      <c r="A8070" s="53"/>
    </row>
    <row r="8071" spans="1:1" x14ac:dyDescent="0.2">
      <c r="A8071" s="52"/>
    </row>
    <row r="8072" spans="1:1" x14ac:dyDescent="0.2">
      <c r="A8072" s="53"/>
    </row>
    <row r="8073" spans="1:1" x14ac:dyDescent="0.2">
      <c r="A8073" s="52"/>
    </row>
    <row r="8074" spans="1:1" x14ac:dyDescent="0.2">
      <c r="A8074" s="52"/>
    </row>
    <row r="8075" spans="1:1" x14ac:dyDescent="0.2">
      <c r="A8075" s="52"/>
    </row>
    <row r="8076" spans="1:1" x14ac:dyDescent="0.2">
      <c r="A8076" s="52"/>
    </row>
    <row r="8077" spans="1:1" x14ac:dyDescent="0.2">
      <c r="A8077" s="52"/>
    </row>
    <row r="8078" spans="1:1" x14ac:dyDescent="0.2">
      <c r="A8078" s="52"/>
    </row>
    <row r="8079" spans="1:1" x14ac:dyDescent="0.2">
      <c r="A8079" s="52"/>
    </row>
    <row r="8080" spans="1:1" x14ac:dyDescent="0.2">
      <c r="A8080" s="52"/>
    </row>
    <row r="8081" spans="1:1" x14ac:dyDescent="0.2">
      <c r="A8081" s="52"/>
    </row>
    <row r="8082" spans="1:1" x14ac:dyDescent="0.2">
      <c r="A8082" s="52"/>
    </row>
    <row r="8083" spans="1:1" x14ac:dyDescent="0.2">
      <c r="A8083" s="52"/>
    </row>
    <row r="8084" spans="1:1" x14ac:dyDescent="0.2">
      <c r="A8084" s="52"/>
    </row>
    <row r="8085" spans="1:1" x14ac:dyDescent="0.2">
      <c r="A8085" s="52"/>
    </row>
    <row r="8086" spans="1:1" x14ac:dyDescent="0.2">
      <c r="A8086" s="52"/>
    </row>
    <row r="8087" spans="1:1" x14ac:dyDescent="0.2">
      <c r="A8087" s="52"/>
    </row>
    <row r="8088" spans="1:1" x14ac:dyDescent="0.2">
      <c r="A8088" s="52"/>
    </row>
    <row r="8089" spans="1:1" x14ac:dyDescent="0.2">
      <c r="A8089" s="52"/>
    </row>
    <row r="8090" spans="1:1" x14ac:dyDescent="0.2">
      <c r="A8090" s="53"/>
    </row>
    <row r="8091" spans="1:1" x14ac:dyDescent="0.2">
      <c r="A8091" s="52"/>
    </row>
    <row r="8092" spans="1:1" x14ac:dyDescent="0.2">
      <c r="A8092" s="52"/>
    </row>
    <row r="8093" spans="1:1" x14ac:dyDescent="0.2">
      <c r="A8093" s="52"/>
    </row>
    <row r="8094" spans="1:1" x14ac:dyDescent="0.2">
      <c r="A8094" s="52"/>
    </row>
    <row r="8095" spans="1:1" x14ac:dyDescent="0.2">
      <c r="A8095" s="52"/>
    </row>
    <row r="8096" spans="1:1" x14ac:dyDescent="0.2">
      <c r="A8096" s="52"/>
    </row>
    <row r="8097" spans="1:1" x14ac:dyDescent="0.2">
      <c r="A8097" s="52"/>
    </row>
    <row r="8098" spans="1:1" x14ac:dyDescent="0.2">
      <c r="A8098" s="52"/>
    </row>
    <row r="8099" spans="1:1" x14ac:dyDescent="0.2">
      <c r="A8099" s="52"/>
    </row>
    <row r="8100" spans="1:1" x14ac:dyDescent="0.2">
      <c r="A8100" s="52"/>
    </row>
    <row r="8101" spans="1:1" x14ac:dyDescent="0.2">
      <c r="A8101" s="52"/>
    </row>
    <row r="8102" spans="1:1" x14ac:dyDescent="0.2">
      <c r="A8102" s="52"/>
    </row>
    <row r="8103" spans="1:1" x14ac:dyDescent="0.2">
      <c r="A8103" s="52"/>
    </row>
    <row r="8104" spans="1:1" x14ac:dyDescent="0.2">
      <c r="A8104" s="52"/>
    </row>
    <row r="8105" spans="1:1" x14ac:dyDescent="0.2">
      <c r="A8105" s="52"/>
    </row>
    <row r="8106" spans="1:1" x14ac:dyDescent="0.2">
      <c r="A8106" s="52"/>
    </row>
    <row r="8107" spans="1:1" x14ac:dyDescent="0.2">
      <c r="A8107" s="52"/>
    </row>
    <row r="8108" spans="1:1" x14ac:dyDescent="0.2">
      <c r="A8108" s="52"/>
    </row>
    <row r="8109" spans="1:1" x14ac:dyDescent="0.2">
      <c r="A8109" s="52"/>
    </row>
    <row r="8110" spans="1:1" x14ac:dyDescent="0.2">
      <c r="A8110" s="52"/>
    </row>
    <row r="8111" spans="1:1" x14ac:dyDescent="0.2">
      <c r="A8111" s="52"/>
    </row>
    <row r="8112" spans="1:1" x14ac:dyDescent="0.2">
      <c r="A8112" s="52"/>
    </row>
    <row r="8113" spans="1:1" x14ac:dyDescent="0.2">
      <c r="A8113" s="52"/>
    </row>
    <row r="8114" spans="1:1" x14ac:dyDescent="0.2">
      <c r="A8114" s="52"/>
    </row>
    <row r="8115" spans="1:1" x14ac:dyDescent="0.2">
      <c r="A8115" s="52"/>
    </row>
    <row r="8116" spans="1:1" x14ac:dyDescent="0.2">
      <c r="A8116" s="52"/>
    </row>
    <row r="8117" spans="1:1" x14ac:dyDescent="0.2">
      <c r="A8117" s="52"/>
    </row>
    <row r="8118" spans="1:1" x14ac:dyDescent="0.2">
      <c r="A8118" s="52"/>
    </row>
    <row r="8119" spans="1:1" x14ac:dyDescent="0.2">
      <c r="A8119" s="52"/>
    </row>
    <row r="8120" spans="1:1" x14ac:dyDescent="0.2">
      <c r="A8120" s="52"/>
    </row>
    <row r="8121" spans="1:1" x14ac:dyDescent="0.2">
      <c r="A8121" s="52"/>
    </row>
    <row r="8122" spans="1:1" x14ac:dyDescent="0.2">
      <c r="A8122" s="52"/>
    </row>
    <row r="8123" spans="1:1" x14ac:dyDescent="0.2">
      <c r="A8123" s="52"/>
    </row>
    <row r="8124" spans="1:1" x14ac:dyDescent="0.2">
      <c r="A8124" s="52"/>
    </row>
    <row r="8125" spans="1:1" x14ac:dyDescent="0.2">
      <c r="A8125" s="52"/>
    </row>
    <row r="8126" spans="1:1" x14ac:dyDescent="0.2">
      <c r="A8126" s="52"/>
    </row>
    <row r="8127" spans="1:1" x14ac:dyDescent="0.2">
      <c r="A8127" s="52"/>
    </row>
    <row r="8128" spans="1:1" x14ac:dyDescent="0.2">
      <c r="A8128" s="52"/>
    </row>
    <row r="8129" spans="1:1" x14ac:dyDescent="0.2">
      <c r="A8129" s="52"/>
    </row>
    <row r="8130" spans="1:1" x14ac:dyDescent="0.2">
      <c r="A8130" s="52"/>
    </row>
    <row r="8131" spans="1:1" x14ac:dyDescent="0.2">
      <c r="A8131" s="52"/>
    </row>
    <row r="8132" spans="1:1" x14ac:dyDescent="0.2">
      <c r="A8132" s="52"/>
    </row>
    <row r="8133" spans="1:1" x14ac:dyDescent="0.2">
      <c r="A8133" s="52"/>
    </row>
    <row r="8134" spans="1:1" x14ac:dyDescent="0.2">
      <c r="A8134" s="52"/>
    </row>
    <row r="8135" spans="1:1" x14ac:dyDescent="0.2">
      <c r="A8135" s="52"/>
    </row>
    <row r="8136" spans="1:1" x14ac:dyDescent="0.2">
      <c r="A8136" s="52"/>
    </row>
    <row r="8137" spans="1:1" x14ac:dyDescent="0.2">
      <c r="A8137" s="52"/>
    </row>
    <row r="8138" spans="1:1" x14ac:dyDescent="0.2">
      <c r="A8138" s="52"/>
    </row>
    <row r="8139" spans="1:1" x14ac:dyDescent="0.2">
      <c r="A8139" s="52"/>
    </row>
    <row r="8140" spans="1:1" x14ac:dyDescent="0.2">
      <c r="A8140" s="52"/>
    </row>
    <row r="8141" spans="1:1" x14ac:dyDescent="0.2">
      <c r="A8141" s="52"/>
    </row>
    <row r="8142" spans="1:1" x14ac:dyDescent="0.2">
      <c r="A8142" s="52"/>
    </row>
    <row r="8143" spans="1:1" x14ac:dyDescent="0.2">
      <c r="A8143" s="52"/>
    </row>
    <row r="8144" spans="1:1" x14ac:dyDescent="0.2">
      <c r="A8144" s="52"/>
    </row>
    <row r="8145" spans="1:1" x14ac:dyDescent="0.2">
      <c r="A8145" s="52"/>
    </row>
    <row r="8146" spans="1:1" x14ac:dyDescent="0.2">
      <c r="A8146" s="52"/>
    </row>
    <row r="8147" spans="1:1" x14ac:dyDescent="0.2">
      <c r="A8147" s="52"/>
    </row>
    <row r="8148" spans="1:1" x14ac:dyDescent="0.2">
      <c r="A8148" s="52"/>
    </row>
    <row r="8149" spans="1:1" x14ac:dyDescent="0.2">
      <c r="A8149" s="52"/>
    </row>
    <row r="8150" spans="1:1" x14ac:dyDescent="0.2">
      <c r="A8150" s="52"/>
    </row>
    <row r="8151" spans="1:1" x14ac:dyDescent="0.2">
      <c r="A8151" s="52"/>
    </row>
    <row r="8152" spans="1:1" x14ac:dyDescent="0.2">
      <c r="A8152" s="52"/>
    </row>
    <row r="8153" spans="1:1" x14ac:dyDescent="0.2">
      <c r="A8153" s="52"/>
    </row>
    <row r="8154" spans="1:1" x14ac:dyDescent="0.2">
      <c r="A8154" s="52"/>
    </row>
    <row r="8155" spans="1:1" x14ac:dyDescent="0.2">
      <c r="A8155" s="52"/>
    </row>
    <row r="8156" spans="1:1" x14ac:dyDescent="0.2">
      <c r="A8156" s="52"/>
    </row>
    <row r="8157" spans="1:1" x14ac:dyDescent="0.2">
      <c r="A8157" s="52"/>
    </row>
    <row r="8158" spans="1:1" x14ac:dyDescent="0.2">
      <c r="A8158" s="52"/>
    </row>
    <row r="8159" spans="1:1" x14ac:dyDescent="0.2">
      <c r="A8159" s="52"/>
    </row>
    <row r="8160" spans="1:1" x14ac:dyDescent="0.2">
      <c r="A8160" s="52"/>
    </row>
    <row r="8161" spans="1:1" x14ac:dyDescent="0.2">
      <c r="A8161" s="52"/>
    </row>
    <row r="8162" spans="1:1" x14ac:dyDescent="0.2">
      <c r="A8162" s="52"/>
    </row>
    <row r="8163" spans="1:1" x14ac:dyDescent="0.2">
      <c r="A8163" s="52"/>
    </row>
    <row r="8164" spans="1:1" x14ac:dyDescent="0.2">
      <c r="A8164" s="52"/>
    </row>
    <row r="8165" spans="1:1" x14ac:dyDescent="0.2">
      <c r="A8165" s="52"/>
    </row>
    <row r="8166" spans="1:1" x14ac:dyDescent="0.2">
      <c r="A8166" s="52"/>
    </row>
    <row r="8167" spans="1:1" x14ac:dyDescent="0.2">
      <c r="A8167" s="52"/>
    </row>
    <row r="8168" spans="1:1" x14ac:dyDescent="0.2">
      <c r="A8168" s="52"/>
    </row>
    <row r="8169" spans="1:1" x14ac:dyDescent="0.2">
      <c r="A8169" s="52"/>
    </row>
    <row r="8170" spans="1:1" x14ac:dyDescent="0.2">
      <c r="A8170" s="52"/>
    </row>
    <row r="8171" spans="1:1" x14ac:dyDescent="0.2">
      <c r="A8171" s="52"/>
    </row>
    <row r="8172" spans="1:1" x14ac:dyDescent="0.2">
      <c r="A8172" s="52"/>
    </row>
    <row r="8173" spans="1:1" x14ac:dyDescent="0.2">
      <c r="A8173" s="52"/>
    </row>
    <row r="8174" spans="1:1" x14ac:dyDescent="0.2">
      <c r="A8174" s="52"/>
    </row>
    <row r="8175" spans="1:1" x14ac:dyDescent="0.2">
      <c r="A8175" s="52"/>
    </row>
    <row r="8176" spans="1:1" x14ac:dyDescent="0.2">
      <c r="A8176" s="52"/>
    </row>
    <row r="8177" spans="1:1" x14ac:dyDescent="0.2">
      <c r="A8177" s="52"/>
    </row>
    <row r="8178" spans="1:1" x14ac:dyDescent="0.2">
      <c r="A8178" s="52"/>
    </row>
    <row r="8179" spans="1:1" x14ac:dyDescent="0.2">
      <c r="A8179" s="52"/>
    </row>
    <row r="8180" spans="1:1" x14ac:dyDescent="0.2">
      <c r="A8180" s="52"/>
    </row>
    <row r="8181" spans="1:1" x14ac:dyDescent="0.2">
      <c r="A8181" s="52"/>
    </row>
    <row r="8182" spans="1:1" x14ac:dyDescent="0.2">
      <c r="A8182" s="52"/>
    </row>
    <row r="8183" spans="1:1" x14ac:dyDescent="0.2">
      <c r="A8183" s="52"/>
    </row>
    <row r="8184" spans="1:1" x14ac:dyDescent="0.2">
      <c r="A8184" s="52"/>
    </row>
    <row r="8185" spans="1:1" x14ac:dyDescent="0.2">
      <c r="A8185" s="52"/>
    </row>
    <row r="8186" spans="1:1" x14ac:dyDescent="0.2">
      <c r="A8186" s="52"/>
    </row>
    <row r="8187" spans="1:1" x14ac:dyDescent="0.2">
      <c r="A8187" s="52"/>
    </row>
    <row r="8188" spans="1:1" x14ac:dyDescent="0.2">
      <c r="A8188" s="52"/>
    </row>
    <row r="8189" spans="1:1" x14ac:dyDescent="0.2">
      <c r="A8189" s="52"/>
    </row>
    <row r="8190" spans="1:1" x14ac:dyDescent="0.2">
      <c r="A8190" s="52"/>
    </row>
    <row r="8191" spans="1:1" x14ac:dyDescent="0.2">
      <c r="A8191" s="52"/>
    </row>
    <row r="8192" spans="1:1" x14ac:dyDescent="0.2">
      <c r="A8192" s="52"/>
    </row>
    <row r="8193" spans="1:1" x14ac:dyDescent="0.2">
      <c r="A8193" s="52"/>
    </row>
    <row r="8194" spans="1:1" x14ac:dyDescent="0.2">
      <c r="A8194" s="52"/>
    </row>
    <row r="8195" spans="1:1" x14ac:dyDescent="0.2">
      <c r="A8195" s="52"/>
    </row>
    <row r="8196" spans="1:1" x14ac:dyDescent="0.2">
      <c r="A8196" s="52"/>
    </row>
    <row r="8197" spans="1:1" x14ac:dyDescent="0.2">
      <c r="A8197" s="52"/>
    </row>
    <row r="8198" spans="1:1" x14ac:dyDescent="0.2">
      <c r="A8198" s="52"/>
    </row>
    <row r="8199" spans="1:1" x14ac:dyDescent="0.2">
      <c r="A8199" s="52"/>
    </row>
    <row r="8200" spans="1:1" x14ac:dyDescent="0.2">
      <c r="A8200" s="52"/>
    </row>
    <row r="8201" spans="1:1" x14ac:dyDescent="0.2">
      <c r="A8201" s="52"/>
    </row>
    <row r="8202" spans="1:1" x14ac:dyDescent="0.2">
      <c r="A8202" s="52"/>
    </row>
    <row r="8203" spans="1:1" x14ac:dyDescent="0.2">
      <c r="A8203" s="52"/>
    </row>
    <row r="8204" spans="1:1" x14ac:dyDescent="0.2">
      <c r="A8204" s="52"/>
    </row>
    <row r="8205" spans="1:1" x14ac:dyDescent="0.2">
      <c r="A8205" s="52"/>
    </row>
    <row r="8206" spans="1:1" x14ac:dyDescent="0.2">
      <c r="A8206" s="52"/>
    </row>
    <row r="8207" spans="1:1" x14ac:dyDescent="0.2">
      <c r="A8207" s="52"/>
    </row>
    <row r="8208" spans="1:1" x14ac:dyDescent="0.2">
      <c r="A8208" s="52"/>
    </row>
    <row r="8209" spans="1:1" x14ac:dyDescent="0.2">
      <c r="A8209" s="52"/>
    </row>
    <row r="8210" spans="1:1" x14ac:dyDescent="0.2">
      <c r="A8210" s="52"/>
    </row>
    <row r="8211" spans="1:1" x14ac:dyDescent="0.2">
      <c r="A8211" s="52"/>
    </row>
    <row r="8212" spans="1:1" x14ac:dyDescent="0.2">
      <c r="A8212" s="52"/>
    </row>
    <row r="8213" spans="1:1" x14ac:dyDescent="0.2">
      <c r="A8213" s="52"/>
    </row>
    <row r="8214" spans="1:1" x14ac:dyDescent="0.2">
      <c r="A8214" s="52"/>
    </row>
    <row r="8215" spans="1:1" x14ac:dyDescent="0.2">
      <c r="A8215" s="52"/>
    </row>
    <row r="8216" spans="1:1" x14ac:dyDescent="0.2">
      <c r="A8216" s="52"/>
    </row>
    <row r="8217" spans="1:1" x14ac:dyDescent="0.2">
      <c r="A8217" s="52"/>
    </row>
    <row r="8218" spans="1:1" x14ac:dyDescent="0.2">
      <c r="A8218" s="52"/>
    </row>
    <row r="8219" spans="1:1" x14ac:dyDescent="0.2">
      <c r="A8219" s="52"/>
    </row>
    <row r="8220" spans="1:1" x14ac:dyDescent="0.2">
      <c r="A8220" s="52"/>
    </row>
    <row r="8221" spans="1:1" x14ac:dyDescent="0.2">
      <c r="A8221" s="52"/>
    </row>
    <row r="8222" spans="1:1" x14ac:dyDescent="0.2">
      <c r="A8222" s="52"/>
    </row>
    <row r="8223" spans="1:1" x14ac:dyDescent="0.2">
      <c r="A8223" s="52"/>
    </row>
    <row r="8224" spans="1:1" x14ac:dyDescent="0.2">
      <c r="A8224" s="52"/>
    </row>
    <row r="8225" spans="1:1" x14ac:dyDescent="0.2">
      <c r="A8225" s="52"/>
    </row>
    <row r="8226" spans="1:1" x14ac:dyDescent="0.2">
      <c r="A8226" s="52"/>
    </row>
    <row r="8227" spans="1:1" x14ac:dyDescent="0.2">
      <c r="A8227" s="52"/>
    </row>
    <row r="8228" spans="1:1" x14ac:dyDescent="0.2">
      <c r="A8228" s="52"/>
    </row>
    <row r="8229" spans="1:1" x14ac:dyDescent="0.2">
      <c r="A8229" s="52"/>
    </row>
    <row r="8230" spans="1:1" x14ac:dyDescent="0.2">
      <c r="A8230" s="52"/>
    </row>
    <row r="8231" spans="1:1" x14ac:dyDescent="0.2">
      <c r="A8231" s="52"/>
    </row>
    <row r="8232" spans="1:1" x14ac:dyDescent="0.2">
      <c r="A8232" s="52"/>
    </row>
    <row r="8233" spans="1:1" x14ac:dyDescent="0.2">
      <c r="A8233" s="52"/>
    </row>
    <row r="8234" spans="1:1" x14ac:dyDescent="0.2">
      <c r="A8234" s="52"/>
    </row>
    <row r="8235" spans="1:1" x14ac:dyDescent="0.2">
      <c r="A8235" s="52"/>
    </row>
    <row r="8236" spans="1:1" x14ac:dyDescent="0.2">
      <c r="A8236" s="52"/>
    </row>
    <row r="8237" spans="1:1" x14ac:dyDescent="0.2">
      <c r="A8237" s="54"/>
    </row>
    <row r="8238" spans="1:1" x14ac:dyDescent="0.2">
      <c r="A8238" s="54"/>
    </row>
    <row r="8239" spans="1:1" x14ac:dyDescent="0.2">
      <c r="A8239" s="54"/>
    </row>
    <row r="8240" spans="1:1" x14ac:dyDescent="0.2">
      <c r="A8240" s="54"/>
    </row>
    <row r="8241" spans="1:1" x14ac:dyDescent="0.2">
      <c r="A8241" s="54"/>
    </row>
    <row r="8242" spans="1:1" x14ac:dyDescent="0.2">
      <c r="A8242" s="54"/>
    </row>
    <row r="8243" spans="1:1" x14ac:dyDescent="0.2">
      <c r="A8243" s="54"/>
    </row>
    <row r="8244" spans="1:1" x14ac:dyDescent="0.2">
      <c r="A8244" s="54"/>
    </row>
    <row r="8245" spans="1:1" x14ac:dyDescent="0.2">
      <c r="A8245" s="54"/>
    </row>
    <row r="8246" spans="1:1" x14ac:dyDescent="0.2">
      <c r="A8246" s="54"/>
    </row>
    <row r="8247" spans="1:1" x14ac:dyDescent="0.2">
      <c r="A8247" s="54"/>
    </row>
    <row r="8248" spans="1:1" x14ac:dyDescent="0.2">
      <c r="A8248" s="54"/>
    </row>
    <row r="8249" spans="1:1" x14ac:dyDescent="0.2">
      <c r="A8249" s="54"/>
    </row>
    <row r="8250" spans="1:1" x14ac:dyDescent="0.2">
      <c r="A8250" s="54"/>
    </row>
    <row r="8251" spans="1:1" x14ac:dyDescent="0.2">
      <c r="A8251" s="54"/>
    </row>
    <row r="8252" spans="1:1" x14ac:dyDescent="0.2">
      <c r="A8252" s="54"/>
    </row>
    <row r="8253" spans="1:1" x14ac:dyDescent="0.2">
      <c r="A8253" s="54"/>
    </row>
    <row r="8254" spans="1:1" x14ac:dyDescent="0.2">
      <c r="A8254" s="54"/>
    </row>
    <row r="8255" spans="1:1" x14ac:dyDescent="0.2">
      <c r="A8255" s="54"/>
    </row>
    <row r="8256" spans="1:1" x14ac:dyDescent="0.2">
      <c r="A8256" s="54"/>
    </row>
    <row r="8257" spans="1:1" x14ac:dyDescent="0.2">
      <c r="A8257" s="54"/>
    </row>
    <row r="8258" spans="1:1" x14ac:dyDescent="0.2">
      <c r="A8258" s="54"/>
    </row>
    <row r="8259" spans="1:1" x14ac:dyDescent="0.2">
      <c r="A8259" s="54"/>
    </row>
    <row r="8260" spans="1:1" x14ac:dyDescent="0.2">
      <c r="A8260" s="54"/>
    </row>
    <row r="8261" spans="1:1" x14ac:dyDescent="0.2">
      <c r="A8261" s="54"/>
    </row>
    <row r="8262" spans="1:1" x14ac:dyDescent="0.2">
      <c r="A8262" s="54"/>
    </row>
    <row r="8263" spans="1:1" x14ac:dyDescent="0.2">
      <c r="A8263" s="54"/>
    </row>
    <row r="8264" spans="1:1" x14ac:dyDescent="0.2">
      <c r="A8264" s="54"/>
    </row>
    <row r="8265" spans="1:1" x14ac:dyDescent="0.2">
      <c r="A8265" s="54"/>
    </row>
    <row r="8266" spans="1:1" x14ac:dyDescent="0.2">
      <c r="A8266" s="54"/>
    </row>
    <row r="8267" spans="1:1" x14ac:dyDescent="0.2">
      <c r="A8267" s="54"/>
    </row>
    <row r="8268" spans="1:1" x14ac:dyDescent="0.2">
      <c r="A8268" s="54"/>
    </row>
    <row r="8269" spans="1:1" x14ac:dyDescent="0.2">
      <c r="A8269" s="54"/>
    </row>
    <row r="8270" spans="1:1" x14ac:dyDescent="0.2">
      <c r="A8270" s="54"/>
    </row>
    <row r="8271" spans="1:1" x14ac:dyDescent="0.2">
      <c r="A8271" s="54"/>
    </row>
    <row r="8272" spans="1:1" x14ac:dyDescent="0.2">
      <c r="A8272" s="54"/>
    </row>
    <row r="8273" spans="1:1" x14ac:dyDescent="0.2">
      <c r="A8273" s="54"/>
    </row>
    <row r="8274" spans="1:1" x14ac:dyDescent="0.2">
      <c r="A8274" s="54"/>
    </row>
    <row r="8275" spans="1:1" x14ac:dyDescent="0.2">
      <c r="A8275" s="54"/>
    </row>
    <row r="8276" spans="1:1" x14ac:dyDescent="0.2">
      <c r="A8276" s="54"/>
    </row>
    <row r="8277" spans="1:1" x14ac:dyDescent="0.2">
      <c r="A8277" s="54"/>
    </row>
    <row r="8278" spans="1:1" x14ac:dyDescent="0.2">
      <c r="A8278" s="54"/>
    </row>
    <row r="8279" spans="1:1" x14ac:dyDescent="0.2">
      <c r="A8279" s="54"/>
    </row>
    <row r="8280" spans="1:1" x14ac:dyDescent="0.2">
      <c r="A8280" s="54"/>
    </row>
    <row r="8281" spans="1:1" x14ac:dyDescent="0.2">
      <c r="A8281" s="55"/>
    </row>
    <row r="8282" spans="1:1" x14ac:dyDescent="0.2">
      <c r="A8282" s="54"/>
    </row>
    <row r="8283" spans="1:1" x14ac:dyDescent="0.2">
      <c r="A8283" s="54"/>
    </row>
    <row r="8284" spans="1:1" x14ac:dyDescent="0.2">
      <c r="A8284" s="54"/>
    </row>
    <row r="8285" spans="1:1" x14ac:dyDescent="0.2">
      <c r="A8285" s="54"/>
    </row>
    <row r="8286" spans="1:1" x14ac:dyDescent="0.2">
      <c r="A8286" s="54"/>
    </row>
    <row r="8287" spans="1:1" x14ac:dyDescent="0.2">
      <c r="A8287" s="54"/>
    </row>
    <row r="8288" spans="1:1" x14ac:dyDescent="0.2">
      <c r="A8288" s="54"/>
    </row>
    <row r="8289" spans="1:1" x14ac:dyDescent="0.2">
      <c r="A8289" s="54"/>
    </row>
    <row r="8290" spans="1:1" x14ac:dyDescent="0.2">
      <c r="A8290" s="54"/>
    </row>
    <row r="8291" spans="1:1" x14ac:dyDescent="0.2">
      <c r="A8291" s="54"/>
    </row>
    <row r="8292" spans="1:1" x14ac:dyDescent="0.2">
      <c r="A8292" s="54"/>
    </row>
    <row r="8293" spans="1:1" x14ac:dyDescent="0.2">
      <c r="A8293" s="54"/>
    </row>
    <row r="8294" spans="1:1" x14ac:dyDescent="0.2">
      <c r="A8294" s="54"/>
    </row>
    <row r="8295" spans="1:1" x14ac:dyDescent="0.2">
      <c r="A8295" s="54"/>
    </row>
    <row r="8296" spans="1:1" x14ac:dyDescent="0.2">
      <c r="A8296" s="54"/>
    </row>
    <row r="8297" spans="1:1" x14ac:dyDescent="0.2">
      <c r="A8297" s="54"/>
    </row>
    <row r="8298" spans="1:1" x14ac:dyDescent="0.2">
      <c r="A8298" s="54"/>
    </row>
    <row r="8299" spans="1:1" x14ac:dyDescent="0.2">
      <c r="A8299" s="54"/>
    </row>
    <row r="8300" spans="1:1" x14ac:dyDescent="0.2">
      <c r="A8300" s="54"/>
    </row>
    <row r="8301" spans="1:1" x14ac:dyDescent="0.2">
      <c r="A8301" s="54"/>
    </row>
    <row r="8302" spans="1:1" x14ac:dyDescent="0.2">
      <c r="A8302" s="54"/>
    </row>
    <row r="8303" spans="1:1" x14ac:dyDescent="0.2">
      <c r="A8303" s="54"/>
    </row>
    <row r="8304" spans="1:1" x14ac:dyDescent="0.2">
      <c r="A8304" s="54"/>
    </row>
    <row r="8305" spans="1:1" x14ac:dyDescent="0.2">
      <c r="A8305" s="54"/>
    </row>
    <row r="8306" spans="1:1" x14ac:dyDescent="0.2">
      <c r="A8306" s="54"/>
    </row>
    <row r="8307" spans="1:1" x14ac:dyDescent="0.2">
      <c r="A8307" s="54"/>
    </row>
    <row r="8308" spans="1:1" x14ac:dyDescent="0.2">
      <c r="A8308" s="54"/>
    </row>
    <row r="8309" spans="1:1" x14ac:dyDescent="0.2">
      <c r="A8309" s="54"/>
    </row>
    <row r="8310" spans="1:1" x14ac:dyDescent="0.2">
      <c r="A8310" s="54"/>
    </row>
    <row r="8311" spans="1:1" x14ac:dyDescent="0.2">
      <c r="A8311" s="54"/>
    </row>
    <row r="8312" spans="1:1" x14ac:dyDescent="0.2">
      <c r="A8312" s="54"/>
    </row>
    <row r="8313" spans="1:1" x14ac:dyDescent="0.2">
      <c r="A8313" s="54"/>
    </row>
    <row r="8314" spans="1:1" x14ac:dyDescent="0.2">
      <c r="A8314" s="54"/>
    </row>
    <row r="8315" spans="1:1" x14ac:dyDescent="0.2">
      <c r="A8315" s="54"/>
    </row>
    <row r="8316" spans="1:1" x14ac:dyDescent="0.2">
      <c r="A8316" s="54"/>
    </row>
    <row r="8317" spans="1:1" x14ac:dyDescent="0.2">
      <c r="A8317" s="54"/>
    </row>
    <row r="8318" spans="1:1" x14ac:dyDescent="0.2">
      <c r="A8318" s="54"/>
    </row>
    <row r="8319" spans="1:1" x14ac:dyDescent="0.2">
      <c r="A8319" s="54"/>
    </row>
    <row r="8320" spans="1:1" x14ac:dyDescent="0.2">
      <c r="A8320" s="54"/>
    </row>
    <row r="8321" spans="1:1" x14ac:dyDescent="0.2">
      <c r="A8321" s="54"/>
    </row>
    <row r="8322" spans="1:1" x14ac:dyDescent="0.2">
      <c r="A8322" s="54"/>
    </row>
    <row r="8323" spans="1:1" x14ac:dyDescent="0.2">
      <c r="A8323" s="54"/>
    </row>
    <row r="8324" spans="1:1" x14ac:dyDescent="0.2">
      <c r="A8324" s="54"/>
    </row>
    <row r="8325" spans="1:1" x14ac:dyDescent="0.2">
      <c r="A8325" s="54"/>
    </row>
    <row r="8326" spans="1:1" x14ac:dyDescent="0.2">
      <c r="A8326" s="54"/>
    </row>
    <row r="8327" spans="1:1" x14ac:dyDescent="0.2">
      <c r="A8327" s="54"/>
    </row>
    <row r="8328" spans="1:1" x14ac:dyDescent="0.2">
      <c r="A8328" s="54"/>
    </row>
    <row r="8329" spans="1:1" x14ac:dyDescent="0.2">
      <c r="A8329" s="54"/>
    </row>
    <row r="8330" spans="1:1" x14ac:dyDescent="0.2">
      <c r="A8330" s="54"/>
    </row>
    <row r="8331" spans="1:1" x14ac:dyDescent="0.2">
      <c r="A8331" s="55"/>
    </row>
    <row r="8332" spans="1:1" x14ac:dyDescent="0.2">
      <c r="A8332" s="54"/>
    </row>
    <row r="8333" spans="1:1" x14ac:dyDescent="0.2">
      <c r="A8333" s="54"/>
    </row>
    <row r="8334" spans="1:1" x14ac:dyDescent="0.2">
      <c r="A8334" s="54"/>
    </row>
    <row r="8335" spans="1:1" x14ac:dyDescent="0.2">
      <c r="A8335" s="54"/>
    </row>
    <row r="8336" spans="1:1" x14ac:dyDescent="0.2">
      <c r="A8336" s="54"/>
    </row>
    <row r="8337" spans="1:1" x14ac:dyDescent="0.2">
      <c r="A8337" s="54"/>
    </row>
    <row r="8338" spans="1:1" x14ac:dyDescent="0.2">
      <c r="A8338" s="54"/>
    </row>
    <row r="8339" spans="1:1" x14ac:dyDescent="0.2">
      <c r="A8339" s="54"/>
    </row>
    <row r="8340" spans="1:1" x14ac:dyDescent="0.2">
      <c r="A8340" s="54"/>
    </row>
    <row r="8341" spans="1:1" x14ac:dyDescent="0.2">
      <c r="A8341" s="54"/>
    </row>
    <row r="8342" spans="1:1" x14ac:dyDescent="0.2">
      <c r="A8342" s="54"/>
    </row>
    <row r="8343" spans="1:1" x14ac:dyDescent="0.2">
      <c r="A8343" s="54"/>
    </row>
    <row r="8344" spans="1:1" x14ac:dyDescent="0.2">
      <c r="A8344" s="54"/>
    </row>
    <row r="8345" spans="1:1" x14ac:dyDescent="0.2">
      <c r="A8345" s="54"/>
    </row>
    <row r="8346" spans="1:1" x14ac:dyDescent="0.2">
      <c r="A8346" s="54"/>
    </row>
    <row r="8347" spans="1:1" x14ac:dyDescent="0.2">
      <c r="A8347" s="54"/>
    </row>
    <row r="8348" spans="1:1" x14ac:dyDescent="0.2">
      <c r="A8348" s="54"/>
    </row>
    <row r="8349" spans="1:1" x14ac:dyDescent="0.2">
      <c r="A8349" s="54"/>
    </row>
    <row r="8350" spans="1:1" x14ac:dyDescent="0.2">
      <c r="A8350" s="55"/>
    </row>
    <row r="8351" spans="1:1" x14ac:dyDescent="0.2">
      <c r="A8351" s="54"/>
    </row>
    <row r="8352" spans="1:1" x14ac:dyDescent="0.2">
      <c r="A8352" s="54"/>
    </row>
    <row r="8353" spans="1:1" x14ac:dyDescent="0.2">
      <c r="A8353" s="54"/>
    </row>
    <row r="8354" spans="1:1" x14ac:dyDescent="0.2">
      <c r="A8354" s="54"/>
    </row>
    <row r="8355" spans="1:1" x14ac:dyDescent="0.2">
      <c r="A8355" s="54"/>
    </row>
    <row r="8356" spans="1:1" x14ac:dyDescent="0.2">
      <c r="A8356" s="55"/>
    </row>
    <row r="8357" spans="1:1" x14ac:dyDescent="0.2">
      <c r="A8357" s="54"/>
    </row>
    <row r="8358" spans="1:1" x14ac:dyDescent="0.2">
      <c r="A8358" s="54"/>
    </row>
    <row r="8359" spans="1:1" x14ac:dyDescent="0.2">
      <c r="A8359" s="54"/>
    </row>
    <row r="8360" spans="1:1" x14ac:dyDescent="0.2">
      <c r="A8360" s="54"/>
    </row>
    <row r="8361" spans="1:1" x14ac:dyDescent="0.2">
      <c r="A8361" s="54"/>
    </row>
    <row r="8362" spans="1:1" x14ac:dyDescent="0.2">
      <c r="A8362" s="54"/>
    </row>
    <row r="8363" spans="1:1" x14ac:dyDescent="0.2">
      <c r="A8363" s="54"/>
    </row>
    <row r="8364" spans="1:1" x14ac:dyDescent="0.2">
      <c r="A8364" s="54"/>
    </row>
    <row r="8365" spans="1:1" x14ac:dyDescent="0.2">
      <c r="A8365" s="54"/>
    </row>
    <row r="8366" spans="1:1" x14ac:dyDescent="0.2">
      <c r="A8366" s="54"/>
    </row>
    <row r="8367" spans="1:1" x14ac:dyDescent="0.2">
      <c r="A8367" s="54"/>
    </row>
    <row r="8368" spans="1:1" x14ac:dyDescent="0.2">
      <c r="A8368" s="54"/>
    </row>
    <row r="8369" spans="1:1" x14ac:dyDescent="0.2">
      <c r="A8369" s="54"/>
    </row>
    <row r="8370" spans="1:1" x14ac:dyDescent="0.2">
      <c r="A8370" s="54"/>
    </row>
    <row r="8371" spans="1:1" x14ac:dyDescent="0.2">
      <c r="A8371" s="54"/>
    </row>
    <row r="8372" spans="1:1" x14ac:dyDescent="0.2">
      <c r="A8372" s="54"/>
    </row>
    <row r="8373" spans="1:1" x14ac:dyDescent="0.2">
      <c r="A8373" s="54"/>
    </row>
    <row r="8374" spans="1:1" x14ac:dyDescent="0.2">
      <c r="A8374" s="54"/>
    </row>
    <row r="8375" spans="1:1" x14ac:dyDescent="0.2">
      <c r="A8375" s="54"/>
    </row>
    <row r="8376" spans="1:1" x14ac:dyDescent="0.2">
      <c r="A8376" s="54"/>
    </row>
    <row r="8377" spans="1:1" x14ac:dyDescent="0.2">
      <c r="A8377" s="54"/>
    </row>
    <row r="8378" spans="1:1" x14ac:dyDescent="0.2">
      <c r="A8378" s="54"/>
    </row>
    <row r="8379" spans="1:1" x14ac:dyDescent="0.2">
      <c r="A8379" s="54"/>
    </row>
    <row r="8380" spans="1:1" x14ac:dyDescent="0.2">
      <c r="A8380" s="54"/>
    </row>
    <row r="8381" spans="1:1" x14ac:dyDescent="0.2">
      <c r="A8381" s="54"/>
    </row>
    <row r="8382" spans="1:1" x14ac:dyDescent="0.2">
      <c r="A8382" s="54"/>
    </row>
    <row r="8383" spans="1:1" x14ac:dyDescent="0.2">
      <c r="A8383" s="54"/>
    </row>
    <row r="8384" spans="1:1" x14ac:dyDescent="0.2">
      <c r="A8384" s="54"/>
    </row>
    <row r="8385" spans="1:1" x14ac:dyDescent="0.2">
      <c r="A8385" s="54"/>
    </row>
    <row r="8386" spans="1:1" x14ac:dyDescent="0.2">
      <c r="A8386" s="54"/>
    </row>
    <row r="8387" spans="1:1" x14ac:dyDescent="0.2">
      <c r="A8387" s="54"/>
    </row>
    <row r="8388" spans="1:1" x14ac:dyDescent="0.2">
      <c r="A8388" s="55"/>
    </row>
    <row r="8389" spans="1:1" x14ac:dyDescent="0.2">
      <c r="A8389" s="54"/>
    </row>
    <row r="8390" spans="1:1" x14ac:dyDescent="0.2">
      <c r="A8390" s="55"/>
    </row>
    <row r="8391" spans="1:1" x14ac:dyDescent="0.2">
      <c r="A8391" s="54"/>
    </row>
    <row r="8392" spans="1:1" x14ac:dyDescent="0.2">
      <c r="A8392" s="54"/>
    </row>
    <row r="8393" spans="1:1" x14ac:dyDescent="0.2">
      <c r="A8393" s="54"/>
    </row>
    <row r="8394" spans="1:1" x14ac:dyDescent="0.2">
      <c r="A8394" s="54"/>
    </row>
    <row r="8395" spans="1:1" x14ac:dyDescent="0.2">
      <c r="A8395" s="54"/>
    </row>
    <row r="8396" spans="1:1" x14ac:dyDescent="0.2">
      <c r="A8396" s="54"/>
    </row>
    <row r="8397" spans="1:1" x14ac:dyDescent="0.2">
      <c r="A8397" s="54"/>
    </row>
    <row r="8398" spans="1:1" x14ac:dyDescent="0.2">
      <c r="A8398" s="54"/>
    </row>
    <row r="8399" spans="1:1" x14ac:dyDescent="0.2">
      <c r="A8399" s="54"/>
    </row>
    <row r="8400" spans="1:1" x14ac:dyDescent="0.2">
      <c r="A8400" s="54"/>
    </row>
    <row r="8401" spans="1:1" x14ac:dyDescent="0.2">
      <c r="A8401" s="55"/>
    </row>
    <row r="8402" spans="1:1" x14ac:dyDescent="0.2">
      <c r="A8402" s="54"/>
    </row>
    <row r="8403" spans="1:1" x14ac:dyDescent="0.2">
      <c r="A8403" s="54"/>
    </row>
    <row r="8404" spans="1:1" x14ac:dyDescent="0.2">
      <c r="A8404" s="54"/>
    </row>
    <row r="8405" spans="1:1" x14ac:dyDescent="0.2">
      <c r="A8405" s="54"/>
    </row>
    <row r="8406" spans="1:1" x14ac:dyDescent="0.2">
      <c r="A8406" s="54"/>
    </row>
    <row r="8407" spans="1:1" x14ac:dyDescent="0.2">
      <c r="A8407" s="54"/>
    </row>
    <row r="8408" spans="1:1" x14ac:dyDescent="0.2">
      <c r="A8408" s="54"/>
    </row>
    <row r="8409" spans="1:1" x14ac:dyDescent="0.2">
      <c r="A8409" s="54"/>
    </row>
    <row r="8410" spans="1:1" x14ac:dyDescent="0.2">
      <c r="A8410" s="54"/>
    </row>
    <row r="8411" spans="1:1" x14ac:dyDescent="0.2">
      <c r="A8411" s="54"/>
    </row>
    <row r="8412" spans="1:1" x14ac:dyDescent="0.2">
      <c r="A8412" s="54"/>
    </row>
    <row r="8413" spans="1:1" x14ac:dyDescent="0.2">
      <c r="A8413" s="54"/>
    </row>
    <row r="8414" spans="1:1" x14ac:dyDescent="0.2">
      <c r="A8414" s="55"/>
    </row>
    <row r="8415" spans="1:1" x14ac:dyDescent="0.2">
      <c r="A8415" s="55"/>
    </row>
    <row r="8416" spans="1:1" x14ac:dyDescent="0.2">
      <c r="A8416" s="55"/>
    </row>
    <row r="8417" spans="1:1" x14ac:dyDescent="0.2">
      <c r="A8417" s="54"/>
    </row>
    <row r="8418" spans="1:1" x14ac:dyDescent="0.2">
      <c r="A8418" s="54"/>
    </row>
    <row r="8419" spans="1:1" x14ac:dyDescent="0.2">
      <c r="A8419" s="54"/>
    </row>
    <row r="8420" spans="1:1" x14ac:dyDescent="0.2">
      <c r="A8420" s="54"/>
    </row>
    <row r="8421" spans="1:1" x14ac:dyDescent="0.2">
      <c r="A8421" s="54"/>
    </row>
    <row r="8422" spans="1:1" x14ac:dyDescent="0.2">
      <c r="A8422" s="54"/>
    </row>
    <row r="8423" spans="1:1" x14ac:dyDescent="0.2">
      <c r="A8423" s="54"/>
    </row>
    <row r="8424" spans="1:1" x14ac:dyDescent="0.2">
      <c r="A8424" s="54"/>
    </row>
    <row r="8425" spans="1:1" x14ac:dyDescent="0.2">
      <c r="A8425" s="54"/>
    </row>
    <row r="8426" spans="1:1" x14ac:dyDescent="0.2">
      <c r="A8426" s="54"/>
    </row>
    <row r="8427" spans="1:1" x14ac:dyDescent="0.2">
      <c r="A8427" s="54"/>
    </row>
    <row r="8428" spans="1:1" x14ac:dyDescent="0.2">
      <c r="A8428" s="54"/>
    </row>
    <row r="8429" spans="1:1" x14ac:dyDescent="0.2">
      <c r="A8429" s="54"/>
    </row>
    <row r="8430" spans="1:1" x14ac:dyDescent="0.2">
      <c r="A8430" s="54"/>
    </row>
    <row r="8431" spans="1:1" x14ac:dyDescent="0.2">
      <c r="A8431" s="54"/>
    </row>
    <row r="8432" spans="1:1" x14ac:dyDescent="0.2">
      <c r="A8432" s="54"/>
    </row>
    <row r="8433" spans="1:1" x14ac:dyDescent="0.2">
      <c r="A8433" s="54"/>
    </row>
    <row r="8434" spans="1:1" x14ac:dyDescent="0.2">
      <c r="A8434" s="55"/>
    </row>
    <row r="8435" spans="1:1" x14ac:dyDescent="0.2">
      <c r="A8435" s="55"/>
    </row>
    <row r="8436" spans="1:1" x14ac:dyDescent="0.2">
      <c r="A8436" s="55"/>
    </row>
    <row r="8437" spans="1:1" x14ac:dyDescent="0.2">
      <c r="A8437" s="54"/>
    </row>
    <row r="8438" spans="1:1" x14ac:dyDescent="0.2">
      <c r="A8438" s="54"/>
    </row>
    <row r="8439" spans="1:1" x14ac:dyDescent="0.2">
      <c r="A8439" s="54"/>
    </row>
    <row r="8440" spans="1:1" x14ac:dyDescent="0.2">
      <c r="A8440" s="54"/>
    </row>
    <row r="8441" spans="1:1" x14ac:dyDescent="0.2">
      <c r="A8441" s="54"/>
    </row>
    <row r="8442" spans="1:1" x14ac:dyDescent="0.2">
      <c r="A8442" s="54"/>
    </row>
    <row r="8443" spans="1:1" x14ac:dyDescent="0.2">
      <c r="A8443" s="54"/>
    </row>
    <row r="8444" spans="1:1" x14ac:dyDescent="0.2">
      <c r="A8444" s="54"/>
    </row>
    <row r="8445" spans="1:1" x14ac:dyDescent="0.2">
      <c r="A8445" s="54"/>
    </row>
    <row r="8446" spans="1:1" x14ac:dyDescent="0.2">
      <c r="A8446" s="54"/>
    </row>
    <row r="8447" spans="1:1" x14ac:dyDescent="0.2">
      <c r="A8447" s="55"/>
    </row>
    <row r="8448" spans="1:1" x14ac:dyDescent="0.2">
      <c r="A8448" s="55"/>
    </row>
    <row r="8449" spans="1:1" x14ac:dyDescent="0.2">
      <c r="A8449" s="54"/>
    </row>
    <row r="8450" spans="1:1" x14ac:dyDescent="0.2">
      <c r="A8450" s="54"/>
    </row>
    <row r="8451" spans="1:1" x14ac:dyDescent="0.2">
      <c r="A8451" s="54"/>
    </row>
    <row r="8452" spans="1:1" x14ac:dyDescent="0.2">
      <c r="A8452" s="54"/>
    </row>
    <row r="8453" spans="1:1" x14ac:dyDescent="0.2">
      <c r="A8453" s="54"/>
    </row>
    <row r="8454" spans="1:1" x14ac:dyDescent="0.2">
      <c r="A8454" s="54"/>
    </row>
    <row r="8455" spans="1:1" x14ac:dyDescent="0.2">
      <c r="A8455" s="55"/>
    </row>
    <row r="8456" spans="1:1" x14ac:dyDescent="0.2">
      <c r="A8456" s="54"/>
    </row>
    <row r="8457" spans="1:1" x14ac:dyDescent="0.2">
      <c r="A8457" s="54"/>
    </row>
    <row r="8458" spans="1:1" x14ac:dyDescent="0.2">
      <c r="A8458" s="54"/>
    </row>
    <row r="8459" spans="1:1" x14ac:dyDescent="0.2">
      <c r="A8459" s="54"/>
    </row>
    <row r="8460" spans="1:1" x14ac:dyDescent="0.2">
      <c r="A8460" s="54"/>
    </row>
    <row r="8461" spans="1:1" x14ac:dyDescent="0.2">
      <c r="A8461" s="54"/>
    </row>
    <row r="8462" spans="1:1" x14ac:dyDescent="0.2">
      <c r="A8462" s="54"/>
    </row>
    <row r="8463" spans="1:1" x14ac:dyDescent="0.2">
      <c r="A8463" s="54"/>
    </row>
    <row r="8464" spans="1:1" x14ac:dyDescent="0.2">
      <c r="A8464" s="54"/>
    </row>
    <row r="8465" spans="1:1" x14ac:dyDescent="0.2">
      <c r="A8465" s="54"/>
    </row>
    <row r="8466" spans="1:1" x14ac:dyDescent="0.2">
      <c r="A8466" s="54"/>
    </row>
    <row r="8467" spans="1:1" x14ac:dyDescent="0.2">
      <c r="A8467" s="54"/>
    </row>
    <row r="8468" spans="1:1" x14ac:dyDescent="0.2">
      <c r="A8468" s="54"/>
    </row>
    <row r="8469" spans="1:1" x14ac:dyDescent="0.2">
      <c r="A8469" s="54"/>
    </row>
    <row r="8470" spans="1:1" x14ac:dyDescent="0.2">
      <c r="A8470" s="54"/>
    </row>
    <row r="8471" spans="1:1" x14ac:dyDescent="0.2">
      <c r="A8471" s="54"/>
    </row>
    <row r="8472" spans="1:1" x14ac:dyDescent="0.2">
      <c r="A8472" s="54"/>
    </row>
    <row r="8473" spans="1:1" x14ac:dyDescent="0.2">
      <c r="A8473" s="54"/>
    </row>
    <row r="8474" spans="1:1" x14ac:dyDescent="0.2">
      <c r="A8474" s="54"/>
    </row>
    <row r="8475" spans="1:1" x14ac:dyDescent="0.2">
      <c r="A8475" s="54"/>
    </row>
    <row r="8476" spans="1:1" x14ac:dyDescent="0.2">
      <c r="A8476" s="54"/>
    </row>
    <row r="8477" spans="1:1" x14ac:dyDescent="0.2">
      <c r="A8477" s="55"/>
    </row>
    <row r="8478" spans="1:1" x14ac:dyDescent="0.2">
      <c r="A8478" s="54"/>
    </row>
    <row r="8479" spans="1:1" x14ac:dyDescent="0.2">
      <c r="A8479" s="54"/>
    </row>
    <row r="8480" spans="1:1" x14ac:dyDescent="0.2">
      <c r="A8480" s="54"/>
    </row>
    <row r="8481" spans="1:1" x14ac:dyDescent="0.2">
      <c r="A8481" s="54"/>
    </row>
    <row r="8482" spans="1:1" x14ac:dyDescent="0.2">
      <c r="A8482" s="54"/>
    </row>
    <row r="8483" spans="1:1" x14ac:dyDescent="0.2">
      <c r="A8483" s="54"/>
    </row>
    <row r="8484" spans="1:1" x14ac:dyDescent="0.2">
      <c r="A8484" s="54"/>
    </row>
    <row r="8485" spans="1:1" x14ac:dyDescent="0.2">
      <c r="A8485" s="54"/>
    </row>
    <row r="8486" spans="1:1" x14ac:dyDescent="0.2">
      <c r="A8486" s="54"/>
    </row>
    <row r="8487" spans="1:1" x14ac:dyDescent="0.2">
      <c r="A8487" s="55"/>
    </row>
    <row r="8488" spans="1:1" x14ac:dyDescent="0.2">
      <c r="A8488" s="54"/>
    </row>
    <row r="8489" spans="1:1" x14ac:dyDescent="0.2">
      <c r="A8489" s="54"/>
    </row>
    <row r="8490" spans="1:1" x14ac:dyDescent="0.2">
      <c r="A8490" s="54"/>
    </row>
    <row r="8491" spans="1:1" x14ac:dyDescent="0.2">
      <c r="A8491" s="55"/>
    </row>
    <row r="8492" spans="1:1" x14ac:dyDescent="0.2">
      <c r="A8492" s="55"/>
    </row>
    <row r="8493" spans="1:1" x14ac:dyDescent="0.2">
      <c r="A8493" s="54"/>
    </row>
    <row r="8494" spans="1:1" x14ac:dyDescent="0.2">
      <c r="A8494" s="54"/>
    </row>
    <row r="8495" spans="1:1" x14ac:dyDescent="0.2">
      <c r="A8495" s="54"/>
    </row>
    <row r="8496" spans="1:1" x14ac:dyDescent="0.2">
      <c r="A8496" s="54"/>
    </row>
    <row r="8497" spans="1:1" x14ac:dyDescent="0.2">
      <c r="A8497" s="54"/>
    </row>
    <row r="8498" spans="1:1" x14ac:dyDescent="0.2">
      <c r="A8498" s="54"/>
    </row>
    <row r="8499" spans="1:1" x14ac:dyDescent="0.2">
      <c r="A8499" s="54"/>
    </row>
    <row r="8500" spans="1:1" x14ac:dyDescent="0.2">
      <c r="A8500" s="54"/>
    </row>
    <row r="8501" spans="1:1" x14ac:dyDescent="0.2">
      <c r="A8501" s="54"/>
    </row>
    <row r="8502" spans="1:1" x14ac:dyDescent="0.2">
      <c r="A8502" s="54"/>
    </row>
    <row r="8503" spans="1:1" x14ac:dyDescent="0.2">
      <c r="A8503" s="54"/>
    </row>
    <row r="8504" spans="1:1" x14ac:dyDescent="0.2">
      <c r="A8504" s="54"/>
    </row>
    <row r="8505" spans="1:1" x14ac:dyDescent="0.2">
      <c r="A8505" s="54"/>
    </row>
    <row r="8506" spans="1:1" x14ac:dyDescent="0.2">
      <c r="A8506" s="54"/>
    </row>
    <row r="8507" spans="1:1" x14ac:dyDescent="0.2">
      <c r="A8507" s="54"/>
    </row>
    <row r="8508" spans="1:1" x14ac:dyDescent="0.2">
      <c r="A8508" s="54"/>
    </row>
    <row r="8509" spans="1:1" x14ac:dyDescent="0.2">
      <c r="A8509" s="54"/>
    </row>
    <row r="8510" spans="1:1" x14ac:dyDescent="0.2">
      <c r="A8510" s="54"/>
    </row>
    <row r="8511" spans="1:1" x14ac:dyDescent="0.2">
      <c r="A8511" s="54"/>
    </row>
    <row r="8512" spans="1:1" x14ac:dyDescent="0.2">
      <c r="A8512" s="54"/>
    </row>
    <row r="8513" spans="1:1" x14ac:dyDescent="0.2">
      <c r="A8513" s="54"/>
    </row>
    <row r="8514" spans="1:1" x14ac:dyDescent="0.2">
      <c r="A8514" s="54"/>
    </row>
    <row r="8515" spans="1:1" x14ac:dyDescent="0.2">
      <c r="A8515" s="54"/>
    </row>
    <row r="8516" spans="1:1" x14ac:dyDescent="0.2">
      <c r="A8516" s="54"/>
    </row>
    <row r="8517" spans="1:1" x14ac:dyDescent="0.2">
      <c r="A8517" s="54"/>
    </row>
    <row r="8518" spans="1:1" x14ac:dyDescent="0.2">
      <c r="A8518" s="54"/>
    </row>
    <row r="8519" spans="1:1" x14ac:dyDescent="0.2">
      <c r="A8519" s="54"/>
    </row>
    <row r="8520" spans="1:1" x14ac:dyDescent="0.2">
      <c r="A8520" s="54"/>
    </row>
    <row r="8521" spans="1:1" x14ac:dyDescent="0.2">
      <c r="A8521" s="54"/>
    </row>
    <row r="8522" spans="1:1" x14ac:dyDescent="0.2">
      <c r="A8522" s="54"/>
    </row>
    <row r="8523" spans="1:1" x14ac:dyDescent="0.2">
      <c r="A8523" s="54"/>
    </row>
    <row r="8524" spans="1:1" x14ac:dyDescent="0.2">
      <c r="A8524" s="54"/>
    </row>
    <row r="8525" spans="1:1" x14ac:dyDescent="0.2">
      <c r="A8525" s="54"/>
    </row>
    <row r="8526" spans="1:1" x14ac:dyDescent="0.2">
      <c r="A8526" s="54"/>
    </row>
    <row r="8527" spans="1:1" x14ac:dyDescent="0.2">
      <c r="A8527" s="54"/>
    </row>
    <row r="8528" spans="1:1" x14ac:dyDescent="0.2">
      <c r="A8528" s="54"/>
    </row>
    <row r="8529" spans="1:1" x14ac:dyDescent="0.2">
      <c r="A8529" s="54"/>
    </row>
    <row r="8530" spans="1:1" x14ac:dyDescent="0.2">
      <c r="A8530" s="54"/>
    </row>
    <row r="8531" spans="1:1" x14ac:dyDescent="0.2">
      <c r="A8531" s="54"/>
    </row>
    <row r="8532" spans="1:1" x14ac:dyDescent="0.2">
      <c r="A8532" s="54"/>
    </row>
    <row r="8533" spans="1:1" x14ac:dyDescent="0.2">
      <c r="A8533" s="54"/>
    </row>
    <row r="8534" spans="1:1" x14ac:dyDescent="0.2">
      <c r="A8534" s="54"/>
    </row>
    <row r="8535" spans="1:1" x14ac:dyDescent="0.2">
      <c r="A8535" s="54"/>
    </row>
    <row r="8536" spans="1:1" x14ac:dyDescent="0.2">
      <c r="A8536" s="54"/>
    </row>
    <row r="8537" spans="1:1" x14ac:dyDescent="0.2">
      <c r="A8537" s="54"/>
    </row>
    <row r="8538" spans="1:1" x14ac:dyDescent="0.2">
      <c r="A8538" s="54"/>
    </row>
    <row r="8539" spans="1:1" x14ac:dyDescent="0.2">
      <c r="A8539" s="54"/>
    </row>
    <row r="8540" spans="1:1" x14ac:dyDescent="0.2">
      <c r="A8540" s="54"/>
    </row>
    <row r="8541" spans="1:1" x14ac:dyDescent="0.2">
      <c r="A8541" s="54"/>
    </row>
    <row r="8542" spans="1:1" x14ac:dyDescent="0.2">
      <c r="A8542" s="55"/>
    </row>
    <row r="8543" spans="1:1" x14ac:dyDescent="0.2">
      <c r="A8543" s="54"/>
    </row>
    <row r="8544" spans="1:1" x14ac:dyDescent="0.2">
      <c r="A8544" s="55"/>
    </row>
    <row r="8545" spans="1:1" x14ac:dyDescent="0.2">
      <c r="A8545" s="54"/>
    </row>
    <row r="8546" spans="1:1" x14ac:dyDescent="0.2">
      <c r="A8546" s="54"/>
    </row>
    <row r="8547" spans="1:1" x14ac:dyDescent="0.2">
      <c r="A8547" s="54"/>
    </row>
    <row r="8548" spans="1:1" x14ac:dyDescent="0.2">
      <c r="A8548" s="54"/>
    </row>
    <row r="8549" spans="1:1" x14ac:dyDescent="0.2">
      <c r="A8549" s="54"/>
    </row>
    <row r="8550" spans="1:1" x14ac:dyDescent="0.2">
      <c r="A8550" s="54"/>
    </row>
    <row r="8551" spans="1:1" x14ac:dyDescent="0.2">
      <c r="A8551" s="54"/>
    </row>
    <row r="8552" spans="1:1" x14ac:dyDescent="0.2">
      <c r="A8552" s="55"/>
    </row>
    <row r="8553" spans="1:1" x14ac:dyDescent="0.2">
      <c r="A8553" s="54"/>
    </row>
    <row r="8554" spans="1:1" x14ac:dyDescent="0.2">
      <c r="A8554" s="54"/>
    </row>
    <row r="8555" spans="1:1" x14ac:dyDescent="0.2">
      <c r="A8555" s="54"/>
    </row>
    <row r="8556" spans="1:1" x14ac:dyDescent="0.2">
      <c r="A8556" s="54"/>
    </row>
    <row r="8557" spans="1:1" x14ac:dyDescent="0.2">
      <c r="A8557" s="54"/>
    </row>
    <row r="8558" spans="1:1" x14ac:dyDescent="0.2">
      <c r="A8558" s="54"/>
    </row>
    <row r="8559" spans="1:1" x14ac:dyDescent="0.2">
      <c r="A8559" s="54"/>
    </row>
    <row r="8560" spans="1:1" x14ac:dyDescent="0.2">
      <c r="A8560" s="54"/>
    </row>
    <row r="8561" spans="1:1" x14ac:dyDescent="0.2">
      <c r="A8561" s="54"/>
    </row>
    <row r="8562" spans="1:1" x14ac:dyDescent="0.2">
      <c r="A8562" s="54"/>
    </row>
    <row r="8563" spans="1:1" x14ac:dyDescent="0.2">
      <c r="A8563" s="54"/>
    </row>
    <row r="8564" spans="1:1" x14ac:dyDescent="0.2">
      <c r="A8564" s="54"/>
    </row>
    <row r="8565" spans="1:1" x14ac:dyDescent="0.2">
      <c r="A8565" s="54"/>
    </row>
    <row r="8566" spans="1:1" x14ac:dyDescent="0.2">
      <c r="A8566" s="54"/>
    </row>
    <row r="8567" spans="1:1" x14ac:dyDescent="0.2">
      <c r="A8567" s="55"/>
    </row>
    <row r="8568" spans="1:1" x14ac:dyDescent="0.2">
      <c r="A8568" s="54"/>
    </row>
    <row r="8569" spans="1:1" x14ac:dyDescent="0.2">
      <c r="A8569" s="54"/>
    </row>
    <row r="8570" spans="1:1" x14ac:dyDescent="0.2">
      <c r="A8570" s="54"/>
    </row>
    <row r="8571" spans="1:1" x14ac:dyDescent="0.2">
      <c r="A8571" s="54"/>
    </row>
    <row r="8572" spans="1:1" x14ac:dyDescent="0.2">
      <c r="A8572" s="54"/>
    </row>
    <row r="8573" spans="1:1" x14ac:dyDescent="0.2">
      <c r="A8573" s="54"/>
    </row>
    <row r="8574" spans="1:1" x14ac:dyDescent="0.2">
      <c r="A8574" s="54"/>
    </row>
    <row r="8575" spans="1:1" x14ac:dyDescent="0.2">
      <c r="A8575" s="54"/>
    </row>
    <row r="8576" spans="1:1" x14ac:dyDescent="0.2">
      <c r="A8576" s="54"/>
    </row>
    <row r="8577" spans="1:1" x14ac:dyDescent="0.2">
      <c r="A8577" s="54"/>
    </row>
    <row r="8578" spans="1:1" x14ac:dyDescent="0.2">
      <c r="A8578" s="54"/>
    </row>
    <row r="8579" spans="1:1" x14ac:dyDescent="0.2">
      <c r="A8579" s="54"/>
    </row>
    <row r="8580" spans="1:1" x14ac:dyDescent="0.2">
      <c r="A8580" s="54"/>
    </row>
    <row r="8581" spans="1:1" x14ac:dyDescent="0.2">
      <c r="A8581" s="54"/>
    </row>
    <row r="8582" spans="1:1" x14ac:dyDescent="0.2">
      <c r="A8582" s="54"/>
    </row>
    <row r="8583" spans="1:1" x14ac:dyDescent="0.2">
      <c r="A8583" s="54"/>
    </row>
    <row r="8584" spans="1:1" x14ac:dyDescent="0.2">
      <c r="A8584" s="54"/>
    </row>
    <row r="8585" spans="1:1" x14ac:dyDescent="0.2">
      <c r="A8585" s="54"/>
    </row>
    <row r="8586" spans="1:1" x14ac:dyDescent="0.2">
      <c r="A8586" s="54"/>
    </row>
    <row r="8587" spans="1:1" x14ac:dyDescent="0.2">
      <c r="A8587" s="54"/>
    </row>
    <row r="8588" spans="1:1" x14ac:dyDescent="0.2">
      <c r="A8588" s="54"/>
    </row>
    <row r="8589" spans="1:1" x14ac:dyDescent="0.2">
      <c r="A8589" s="54"/>
    </row>
    <row r="8590" spans="1:1" x14ac:dyDescent="0.2">
      <c r="A8590" s="54"/>
    </row>
    <row r="8591" spans="1:1" x14ac:dyDescent="0.2">
      <c r="A8591" s="54"/>
    </row>
    <row r="8592" spans="1:1" x14ac:dyDescent="0.2">
      <c r="A8592" s="54"/>
    </row>
    <row r="8593" spans="1:1" x14ac:dyDescent="0.2">
      <c r="A8593" s="54"/>
    </row>
    <row r="8594" spans="1:1" x14ac:dyDescent="0.2">
      <c r="A8594" s="54"/>
    </row>
    <row r="8595" spans="1:1" x14ac:dyDescent="0.2">
      <c r="A8595" s="54"/>
    </row>
    <row r="8596" spans="1:1" x14ac:dyDescent="0.2">
      <c r="A8596" s="54"/>
    </row>
    <row r="8597" spans="1:1" x14ac:dyDescent="0.2">
      <c r="A8597" s="54"/>
    </row>
    <row r="8598" spans="1:1" x14ac:dyDescent="0.2">
      <c r="A8598" s="54"/>
    </row>
    <row r="8599" spans="1:1" x14ac:dyDescent="0.2">
      <c r="A8599" s="54"/>
    </row>
    <row r="8600" spans="1:1" x14ac:dyDescent="0.2">
      <c r="A8600" s="54"/>
    </row>
    <row r="8601" spans="1:1" x14ac:dyDescent="0.2">
      <c r="A8601" s="54"/>
    </row>
    <row r="8602" spans="1:1" x14ac:dyDescent="0.2">
      <c r="A8602" s="54"/>
    </row>
    <row r="8603" spans="1:1" x14ac:dyDescent="0.2">
      <c r="A8603" s="54"/>
    </row>
    <row r="8604" spans="1:1" x14ac:dyDescent="0.2">
      <c r="A8604" s="54"/>
    </row>
    <row r="8605" spans="1:1" x14ac:dyDescent="0.2">
      <c r="A8605" s="54"/>
    </row>
    <row r="8606" spans="1:1" x14ac:dyDescent="0.2">
      <c r="A8606" s="54"/>
    </row>
    <row r="8607" spans="1:1" x14ac:dyDescent="0.2">
      <c r="A8607" s="54"/>
    </row>
    <row r="8608" spans="1:1" x14ac:dyDescent="0.2">
      <c r="A8608" s="54"/>
    </row>
    <row r="8609" spans="1:1" x14ac:dyDescent="0.2">
      <c r="A8609" s="54"/>
    </row>
    <row r="8610" spans="1:1" x14ac:dyDescent="0.2">
      <c r="A8610" s="54"/>
    </row>
    <row r="8611" spans="1:1" x14ac:dyDescent="0.2">
      <c r="A8611" s="54"/>
    </row>
    <row r="8612" spans="1:1" x14ac:dyDescent="0.2">
      <c r="A8612" s="54"/>
    </row>
    <row r="8613" spans="1:1" x14ac:dyDescent="0.2">
      <c r="A8613" s="55"/>
    </row>
    <row r="8614" spans="1:1" x14ac:dyDescent="0.2">
      <c r="A8614" s="54"/>
    </row>
    <row r="8615" spans="1:1" x14ac:dyDescent="0.2">
      <c r="A8615" s="54"/>
    </row>
    <row r="8616" spans="1:1" x14ac:dyDescent="0.2">
      <c r="A8616" s="54"/>
    </row>
    <row r="8617" spans="1:1" x14ac:dyDescent="0.2">
      <c r="A8617" s="55"/>
    </row>
    <row r="8618" spans="1:1" x14ac:dyDescent="0.2">
      <c r="A8618" s="54"/>
    </row>
    <row r="8619" spans="1:1" x14ac:dyDescent="0.2">
      <c r="A8619" s="54"/>
    </row>
    <row r="8620" spans="1:1" x14ac:dyDescent="0.2">
      <c r="A8620" s="54"/>
    </row>
    <row r="8621" spans="1:1" x14ac:dyDescent="0.2">
      <c r="A8621" s="54"/>
    </row>
    <row r="8622" spans="1:1" x14ac:dyDescent="0.2">
      <c r="A8622" s="54"/>
    </row>
    <row r="8623" spans="1:1" x14ac:dyDescent="0.2">
      <c r="A8623" s="54"/>
    </row>
    <row r="8624" spans="1:1" x14ac:dyDescent="0.2">
      <c r="A8624" s="54"/>
    </row>
    <row r="8625" spans="1:1" x14ac:dyDescent="0.2">
      <c r="A8625" s="54"/>
    </row>
    <row r="8626" spans="1:1" x14ac:dyDescent="0.2">
      <c r="A8626" s="54"/>
    </row>
    <row r="8627" spans="1:1" x14ac:dyDescent="0.2">
      <c r="A8627" s="54"/>
    </row>
    <row r="8628" spans="1:1" x14ac:dyDescent="0.2">
      <c r="A8628" s="54"/>
    </row>
    <row r="8629" spans="1:1" x14ac:dyDescent="0.2">
      <c r="A8629" s="54"/>
    </row>
    <row r="8630" spans="1:1" x14ac:dyDescent="0.2">
      <c r="A8630" s="54"/>
    </row>
    <row r="8631" spans="1:1" x14ac:dyDescent="0.2">
      <c r="A8631" s="54"/>
    </row>
    <row r="8632" spans="1:1" x14ac:dyDescent="0.2">
      <c r="A8632" s="54"/>
    </row>
    <row r="8633" spans="1:1" x14ac:dyDescent="0.2">
      <c r="A8633" s="54"/>
    </row>
    <row r="8634" spans="1:1" x14ac:dyDescent="0.2">
      <c r="A8634" s="54"/>
    </row>
    <row r="8635" spans="1:1" x14ac:dyDescent="0.2">
      <c r="A8635" s="54"/>
    </row>
    <row r="8636" spans="1:1" x14ac:dyDescent="0.2">
      <c r="A8636" s="54"/>
    </row>
    <row r="8637" spans="1:1" x14ac:dyDescent="0.2">
      <c r="A8637" s="54"/>
    </row>
    <row r="8638" spans="1:1" x14ac:dyDescent="0.2">
      <c r="A8638" s="54"/>
    </row>
    <row r="8639" spans="1:1" x14ac:dyDescent="0.2">
      <c r="A8639" s="54"/>
    </row>
    <row r="8640" spans="1:1" x14ac:dyDescent="0.2">
      <c r="A8640" s="54"/>
    </row>
    <row r="8641" spans="1:1" x14ac:dyDescent="0.2">
      <c r="A8641" s="54"/>
    </row>
    <row r="8642" spans="1:1" x14ac:dyDescent="0.2">
      <c r="A8642" s="54"/>
    </row>
    <row r="8643" spans="1:1" x14ac:dyDescent="0.2">
      <c r="A8643" s="54"/>
    </row>
    <row r="8644" spans="1:1" x14ac:dyDescent="0.2">
      <c r="A8644" s="54"/>
    </row>
    <row r="8645" spans="1:1" x14ac:dyDescent="0.2">
      <c r="A8645" s="54"/>
    </row>
    <row r="8646" spans="1:1" x14ac:dyDescent="0.2">
      <c r="A8646" s="54"/>
    </row>
    <row r="8647" spans="1:1" x14ac:dyDescent="0.2">
      <c r="A8647" s="54"/>
    </row>
    <row r="8648" spans="1:1" x14ac:dyDescent="0.2">
      <c r="A8648" s="54"/>
    </row>
    <row r="8649" spans="1:1" x14ac:dyDescent="0.2">
      <c r="A8649" s="54"/>
    </row>
    <row r="8650" spans="1:1" x14ac:dyDescent="0.2">
      <c r="A8650" s="54"/>
    </row>
    <row r="8651" spans="1:1" x14ac:dyDescent="0.2">
      <c r="A8651" s="54"/>
    </row>
    <row r="8652" spans="1:1" x14ac:dyDescent="0.2">
      <c r="A8652" s="54"/>
    </row>
    <row r="8653" spans="1:1" x14ac:dyDescent="0.2">
      <c r="A8653" s="54"/>
    </row>
    <row r="8654" spans="1:1" x14ac:dyDescent="0.2">
      <c r="A8654" s="54"/>
    </row>
    <row r="8655" spans="1:1" x14ac:dyDescent="0.2">
      <c r="A8655" s="54"/>
    </row>
    <row r="8656" spans="1:1" x14ac:dyDescent="0.2">
      <c r="A8656" s="54"/>
    </row>
    <row r="8657" spans="1:1" x14ac:dyDescent="0.2">
      <c r="A8657" s="54"/>
    </row>
    <row r="8658" spans="1:1" x14ac:dyDescent="0.2">
      <c r="A8658" s="54"/>
    </row>
    <row r="8659" spans="1:1" x14ac:dyDescent="0.2">
      <c r="A8659" s="54"/>
    </row>
    <row r="8660" spans="1:1" x14ac:dyDescent="0.2">
      <c r="A8660" s="54"/>
    </row>
    <row r="8661" spans="1:1" x14ac:dyDescent="0.2">
      <c r="A8661" s="54"/>
    </row>
    <row r="8662" spans="1:1" x14ac:dyDescent="0.2">
      <c r="A8662" s="54"/>
    </row>
    <row r="8663" spans="1:1" x14ac:dyDescent="0.2">
      <c r="A8663" s="54"/>
    </row>
    <row r="8664" spans="1:1" x14ac:dyDescent="0.2">
      <c r="A8664" s="54"/>
    </row>
    <row r="8665" spans="1:1" x14ac:dyDescent="0.2">
      <c r="A8665" s="54"/>
    </row>
    <row r="8666" spans="1:1" x14ac:dyDescent="0.2">
      <c r="A8666" s="54"/>
    </row>
    <row r="8667" spans="1:1" x14ac:dyDescent="0.2">
      <c r="A8667" s="54"/>
    </row>
    <row r="8668" spans="1:1" x14ac:dyDescent="0.2">
      <c r="A8668" s="54"/>
    </row>
    <row r="8669" spans="1:1" x14ac:dyDescent="0.2">
      <c r="A8669" s="54"/>
    </row>
    <row r="8670" spans="1:1" x14ac:dyDescent="0.2">
      <c r="A8670" s="54"/>
    </row>
    <row r="8671" spans="1:1" x14ac:dyDescent="0.2">
      <c r="A8671" s="55"/>
    </row>
    <row r="8672" spans="1:1" x14ac:dyDescent="0.2">
      <c r="A8672" s="54"/>
    </row>
    <row r="8673" spans="1:1" x14ac:dyDescent="0.2">
      <c r="A8673" s="54"/>
    </row>
    <row r="8674" spans="1:1" x14ac:dyDescent="0.2">
      <c r="A8674" s="55"/>
    </row>
    <row r="8675" spans="1:1" x14ac:dyDescent="0.2">
      <c r="A8675" s="54"/>
    </row>
    <row r="8676" spans="1:1" x14ac:dyDescent="0.2">
      <c r="A8676" s="54"/>
    </row>
    <row r="8677" spans="1:1" x14ac:dyDescent="0.2">
      <c r="A8677" s="54"/>
    </row>
    <row r="8678" spans="1:1" x14ac:dyDescent="0.2">
      <c r="A8678" s="54"/>
    </row>
    <row r="8679" spans="1:1" x14ac:dyDescent="0.2">
      <c r="A8679" s="54"/>
    </row>
    <row r="8680" spans="1:1" x14ac:dyDescent="0.2">
      <c r="A8680" s="54"/>
    </row>
    <row r="8681" spans="1:1" x14ac:dyDescent="0.2">
      <c r="A8681" s="54"/>
    </row>
    <row r="8682" spans="1:1" x14ac:dyDescent="0.2">
      <c r="A8682" s="54"/>
    </row>
    <row r="8683" spans="1:1" x14ac:dyDescent="0.2">
      <c r="A8683" s="55"/>
    </row>
    <row r="8684" spans="1:1" x14ac:dyDescent="0.2">
      <c r="A8684" s="55"/>
    </row>
    <row r="8685" spans="1:1" x14ac:dyDescent="0.2">
      <c r="A8685" s="54"/>
    </row>
    <row r="8686" spans="1:1" x14ac:dyDescent="0.2">
      <c r="A8686" s="55"/>
    </row>
    <row r="8687" spans="1:1" x14ac:dyDescent="0.2">
      <c r="A8687" s="54"/>
    </row>
    <row r="8688" spans="1:1" x14ac:dyDescent="0.2">
      <c r="A8688" s="54"/>
    </row>
    <row r="8689" spans="1:1" x14ac:dyDescent="0.2">
      <c r="A8689" s="54"/>
    </row>
    <row r="8690" spans="1:1" x14ac:dyDescent="0.2">
      <c r="A8690" s="54"/>
    </row>
    <row r="8691" spans="1:1" x14ac:dyDescent="0.2">
      <c r="A8691" s="54"/>
    </row>
    <row r="8692" spans="1:1" x14ac:dyDescent="0.2">
      <c r="A8692" s="54"/>
    </row>
    <row r="8693" spans="1:1" x14ac:dyDescent="0.2">
      <c r="A8693" s="54"/>
    </row>
    <row r="8694" spans="1:1" x14ac:dyDescent="0.2">
      <c r="A8694" s="54"/>
    </row>
    <row r="8695" spans="1:1" x14ac:dyDescent="0.2">
      <c r="A8695" s="54"/>
    </row>
    <row r="8696" spans="1:1" x14ac:dyDescent="0.2">
      <c r="A8696" s="54"/>
    </row>
    <row r="8697" spans="1:1" x14ac:dyDescent="0.2">
      <c r="A8697" s="54"/>
    </row>
    <row r="8698" spans="1:1" x14ac:dyDescent="0.2">
      <c r="A8698" s="54"/>
    </row>
    <row r="8699" spans="1:1" x14ac:dyDescent="0.2">
      <c r="A8699" s="54"/>
    </row>
    <row r="8700" spans="1:1" x14ac:dyDescent="0.2">
      <c r="A8700" s="54"/>
    </row>
    <row r="8701" spans="1:1" x14ac:dyDescent="0.2">
      <c r="A8701" s="54"/>
    </row>
    <row r="8702" spans="1:1" x14ac:dyDescent="0.2">
      <c r="A8702" s="54"/>
    </row>
    <row r="8703" spans="1:1" x14ac:dyDescent="0.2">
      <c r="A8703" s="54"/>
    </row>
    <row r="8704" spans="1:1" x14ac:dyDescent="0.2">
      <c r="A8704" s="54"/>
    </row>
    <row r="8705" spans="1:1" x14ac:dyDescent="0.2">
      <c r="A8705" s="54"/>
    </row>
    <row r="8706" spans="1:1" x14ac:dyDescent="0.2">
      <c r="A8706" s="54"/>
    </row>
    <row r="8707" spans="1:1" x14ac:dyDescent="0.2">
      <c r="A8707" s="54"/>
    </row>
    <row r="8708" spans="1:1" x14ac:dyDescent="0.2">
      <c r="A8708" s="54"/>
    </row>
    <row r="8709" spans="1:1" x14ac:dyDescent="0.2">
      <c r="A8709" s="54"/>
    </row>
    <row r="8710" spans="1:1" x14ac:dyDescent="0.2">
      <c r="A8710" s="54"/>
    </row>
    <row r="8711" spans="1:1" x14ac:dyDescent="0.2">
      <c r="A8711" s="54"/>
    </row>
    <row r="8712" spans="1:1" x14ac:dyDescent="0.2">
      <c r="A8712" s="54"/>
    </row>
    <row r="8713" spans="1:1" x14ac:dyDescent="0.2">
      <c r="A8713" s="54"/>
    </row>
    <row r="8714" spans="1:1" x14ac:dyDescent="0.2">
      <c r="A8714" s="54"/>
    </row>
    <row r="8715" spans="1:1" x14ac:dyDescent="0.2">
      <c r="A8715" s="54"/>
    </row>
    <row r="8716" spans="1:1" x14ac:dyDescent="0.2">
      <c r="A8716" s="54"/>
    </row>
    <row r="8717" spans="1:1" x14ac:dyDescent="0.2">
      <c r="A8717" s="54"/>
    </row>
    <row r="8718" spans="1:1" x14ac:dyDescent="0.2">
      <c r="A8718" s="55"/>
    </row>
    <row r="8719" spans="1:1" x14ac:dyDescent="0.2">
      <c r="A8719" s="54"/>
    </row>
    <row r="8720" spans="1:1" x14ac:dyDescent="0.2">
      <c r="A8720" s="54"/>
    </row>
    <row r="8721" spans="1:1" x14ac:dyDescent="0.2">
      <c r="A8721" s="54"/>
    </row>
    <row r="8722" spans="1:1" x14ac:dyDescent="0.2">
      <c r="A8722" s="54"/>
    </row>
    <row r="8723" spans="1:1" x14ac:dyDescent="0.2">
      <c r="A8723" s="54"/>
    </row>
    <row r="8724" spans="1:1" x14ac:dyDescent="0.2">
      <c r="A8724" s="54"/>
    </row>
    <row r="8725" spans="1:1" x14ac:dyDescent="0.2">
      <c r="A8725" s="54"/>
    </row>
    <row r="8726" spans="1:1" x14ac:dyDescent="0.2">
      <c r="A8726" s="54"/>
    </row>
    <row r="8727" spans="1:1" x14ac:dyDescent="0.2">
      <c r="A8727" s="54"/>
    </row>
    <row r="8728" spans="1:1" x14ac:dyDescent="0.2">
      <c r="A8728" s="54"/>
    </row>
    <row r="8729" spans="1:1" x14ac:dyDescent="0.2">
      <c r="A8729" s="54"/>
    </row>
    <row r="8730" spans="1:1" x14ac:dyDescent="0.2">
      <c r="A8730" s="54"/>
    </row>
    <row r="8731" spans="1:1" x14ac:dyDescent="0.2">
      <c r="A8731" s="54"/>
    </row>
    <row r="8732" spans="1:1" x14ac:dyDescent="0.2">
      <c r="A8732" s="54"/>
    </row>
    <row r="8733" spans="1:1" x14ac:dyDescent="0.2">
      <c r="A8733" s="54"/>
    </row>
    <row r="8734" spans="1:1" x14ac:dyDescent="0.2">
      <c r="A8734" s="54"/>
    </row>
    <row r="8735" spans="1:1" x14ac:dyDescent="0.2">
      <c r="A8735" s="54"/>
    </row>
    <row r="8736" spans="1:1" x14ac:dyDescent="0.2">
      <c r="A8736" s="54"/>
    </row>
    <row r="8737" spans="1:1" x14ac:dyDescent="0.2">
      <c r="A8737" s="54"/>
    </row>
    <row r="8738" spans="1:1" x14ac:dyDescent="0.2">
      <c r="A8738" s="54"/>
    </row>
    <row r="8739" spans="1:1" x14ac:dyDescent="0.2">
      <c r="A8739" s="54"/>
    </row>
    <row r="8740" spans="1:1" x14ac:dyDescent="0.2">
      <c r="A8740" s="54"/>
    </row>
    <row r="8741" spans="1:1" x14ac:dyDescent="0.2">
      <c r="A8741" s="54"/>
    </row>
    <row r="8742" spans="1:1" x14ac:dyDescent="0.2">
      <c r="A8742" s="54"/>
    </row>
    <row r="8743" spans="1:1" x14ac:dyDescent="0.2">
      <c r="A8743" s="54"/>
    </row>
    <row r="8744" spans="1:1" x14ac:dyDescent="0.2">
      <c r="A8744" s="54"/>
    </row>
    <row r="8745" spans="1:1" x14ac:dyDescent="0.2">
      <c r="A8745" s="54"/>
    </row>
    <row r="8746" spans="1:1" x14ac:dyDescent="0.2">
      <c r="A8746" s="54"/>
    </row>
    <row r="8747" spans="1:1" x14ac:dyDescent="0.2">
      <c r="A8747" s="55"/>
    </row>
    <row r="8748" spans="1:1" x14ac:dyDescent="0.2">
      <c r="A8748" s="54"/>
    </row>
    <row r="8749" spans="1:1" x14ac:dyDescent="0.2">
      <c r="A8749" s="55"/>
    </row>
    <row r="8750" spans="1:1" x14ac:dyDescent="0.2">
      <c r="A8750" s="55"/>
    </row>
    <row r="8751" spans="1:1" x14ac:dyDescent="0.2">
      <c r="A8751" s="54"/>
    </row>
    <row r="8752" spans="1:1" x14ac:dyDescent="0.2">
      <c r="A8752" s="54"/>
    </row>
    <row r="8753" spans="1:1" x14ac:dyDescent="0.2">
      <c r="A8753" s="54"/>
    </row>
    <row r="8754" spans="1:1" x14ac:dyDescent="0.2">
      <c r="A8754" s="54"/>
    </row>
    <row r="8755" spans="1:1" x14ac:dyDescent="0.2">
      <c r="A8755" s="54"/>
    </row>
    <row r="8756" spans="1:1" x14ac:dyDescent="0.2">
      <c r="A8756" s="54"/>
    </row>
    <row r="8757" spans="1:1" x14ac:dyDescent="0.2">
      <c r="A8757" s="54"/>
    </row>
    <row r="8758" spans="1:1" x14ac:dyDescent="0.2">
      <c r="A8758" s="54"/>
    </row>
    <row r="8759" spans="1:1" x14ac:dyDescent="0.2">
      <c r="A8759" s="55"/>
    </row>
    <row r="8760" spans="1:1" x14ac:dyDescent="0.2">
      <c r="A8760" s="55"/>
    </row>
    <row r="8761" spans="1:1" x14ac:dyDescent="0.2">
      <c r="A8761" s="54"/>
    </row>
    <row r="8762" spans="1:1" x14ac:dyDescent="0.2">
      <c r="A8762" s="54"/>
    </row>
    <row r="8763" spans="1:1" x14ac:dyDescent="0.2">
      <c r="A8763" s="55"/>
    </row>
    <row r="8764" spans="1:1" x14ac:dyDescent="0.2">
      <c r="A8764" s="54"/>
    </row>
    <row r="8765" spans="1:1" x14ac:dyDescent="0.2">
      <c r="A8765" s="54"/>
    </row>
    <row r="8766" spans="1:1" x14ac:dyDescent="0.2">
      <c r="A8766" s="54"/>
    </row>
    <row r="8767" spans="1:1" x14ac:dyDescent="0.2">
      <c r="A8767" s="54"/>
    </row>
    <row r="8768" spans="1:1" x14ac:dyDescent="0.2">
      <c r="A8768" s="55"/>
    </row>
    <row r="8769" spans="1:1" x14ac:dyDescent="0.2">
      <c r="A8769" s="54"/>
    </row>
    <row r="8770" spans="1:1" x14ac:dyDescent="0.2">
      <c r="A8770" s="54"/>
    </row>
    <row r="8771" spans="1:1" x14ac:dyDescent="0.2">
      <c r="A8771" s="55"/>
    </row>
    <row r="8772" spans="1:1" x14ac:dyDescent="0.2">
      <c r="A8772" s="54"/>
    </row>
    <row r="8773" spans="1:1" x14ac:dyDescent="0.2">
      <c r="A8773" s="54"/>
    </row>
    <row r="8774" spans="1:1" x14ac:dyDescent="0.2">
      <c r="A8774" s="54"/>
    </row>
    <row r="8775" spans="1:1" x14ac:dyDescent="0.2">
      <c r="A8775" s="54"/>
    </row>
    <row r="8776" spans="1:1" x14ac:dyDescent="0.2">
      <c r="A8776" s="54"/>
    </row>
    <row r="8777" spans="1:1" x14ac:dyDescent="0.2">
      <c r="A8777" s="55"/>
    </row>
    <row r="8778" spans="1:1" x14ac:dyDescent="0.2">
      <c r="A8778" s="54"/>
    </row>
    <row r="8779" spans="1:1" x14ac:dyDescent="0.2">
      <c r="A8779" s="54"/>
    </row>
    <row r="8780" spans="1:1" x14ac:dyDescent="0.2">
      <c r="A8780" s="54"/>
    </row>
    <row r="8781" spans="1:1" x14ac:dyDescent="0.2">
      <c r="A8781" s="54"/>
    </row>
    <row r="8782" spans="1:1" x14ac:dyDescent="0.2">
      <c r="A8782" s="54"/>
    </row>
    <row r="8783" spans="1:1" x14ac:dyDescent="0.2">
      <c r="A8783" s="54"/>
    </row>
    <row r="8784" spans="1:1" x14ac:dyDescent="0.2">
      <c r="A8784" s="55"/>
    </row>
    <row r="8785" spans="1:1" x14ac:dyDescent="0.2">
      <c r="A8785" s="54"/>
    </row>
    <row r="8786" spans="1:1" x14ac:dyDescent="0.2">
      <c r="A8786" s="54"/>
    </row>
    <row r="8787" spans="1:1" x14ac:dyDescent="0.2">
      <c r="A8787" s="54"/>
    </row>
    <row r="8788" spans="1:1" x14ac:dyDescent="0.2">
      <c r="A8788" s="54"/>
    </row>
    <row r="8789" spans="1:1" x14ac:dyDescent="0.2">
      <c r="A8789" s="54"/>
    </row>
    <row r="8790" spans="1:1" x14ac:dyDescent="0.2">
      <c r="A8790" s="54"/>
    </row>
    <row r="8791" spans="1:1" x14ac:dyDescent="0.2">
      <c r="A8791" s="54"/>
    </row>
    <row r="8792" spans="1:1" x14ac:dyDescent="0.2">
      <c r="A8792" s="54"/>
    </row>
    <row r="8793" spans="1:1" x14ac:dyDescent="0.2">
      <c r="A8793" s="55"/>
    </row>
    <row r="8794" spans="1:1" x14ac:dyDescent="0.2">
      <c r="A8794" s="55"/>
    </row>
    <row r="8795" spans="1:1" x14ac:dyDescent="0.2">
      <c r="A8795" s="54"/>
    </row>
    <row r="8796" spans="1:1" x14ac:dyDescent="0.2">
      <c r="A8796" s="54"/>
    </row>
    <row r="8797" spans="1:1" x14ac:dyDescent="0.2">
      <c r="A8797" s="55"/>
    </row>
    <row r="8798" spans="1:1" x14ac:dyDescent="0.2">
      <c r="A8798" s="54"/>
    </row>
    <row r="8799" spans="1:1" x14ac:dyDescent="0.2">
      <c r="A8799" s="54"/>
    </row>
    <row r="8800" spans="1:1" x14ac:dyDescent="0.2">
      <c r="A8800" s="54"/>
    </row>
    <row r="8801" spans="1:1" x14ac:dyDescent="0.2">
      <c r="A8801" s="54"/>
    </row>
    <row r="8802" spans="1:1" x14ac:dyDescent="0.2">
      <c r="A8802" s="54"/>
    </row>
    <row r="8803" spans="1:1" x14ac:dyDescent="0.2">
      <c r="A8803" s="54"/>
    </row>
    <row r="8804" spans="1:1" x14ac:dyDescent="0.2">
      <c r="A8804" s="54"/>
    </row>
    <row r="8805" spans="1:1" x14ac:dyDescent="0.2">
      <c r="A8805" s="54"/>
    </row>
    <row r="8806" spans="1:1" x14ac:dyDescent="0.2">
      <c r="A8806" s="54"/>
    </row>
    <row r="8807" spans="1:1" x14ac:dyDescent="0.2">
      <c r="A8807" s="54"/>
    </row>
    <row r="8808" spans="1:1" x14ac:dyDescent="0.2">
      <c r="A8808" s="55"/>
    </row>
    <row r="8809" spans="1:1" x14ac:dyDescent="0.2">
      <c r="A8809" s="54"/>
    </row>
    <row r="8810" spans="1:1" x14ac:dyDescent="0.2">
      <c r="A8810" s="54"/>
    </row>
    <row r="8811" spans="1:1" x14ac:dyDescent="0.2">
      <c r="A8811" s="54"/>
    </row>
    <row r="8812" spans="1:1" x14ac:dyDescent="0.2">
      <c r="A8812" s="54"/>
    </row>
    <row r="8813" spans="1:1" x14ac:dyDescent="0.2">
      <c r="A8813" s="54"/>
    </row>
    <row r="8814" spans="1:1" x14ac:dyDescent="0.2">
      <c r="A8814" s="54"/>
    </row>
    <row r="8815" spans="1:1" x14ac:dyDescent="0.2">
      <c r="A8815" s="54"/>
    </row>
    <row r="8816" spans="1:1" x14ac:dyDescent="0.2">
      <c r="A8816" s="55"/>
    </row>
    <row r="8817" spans="1:1" x14ac:dyDescent="0.2">
      <c r="A8817" s="54"/>
    </row>
    <row r="8818" spans="1:1" x14ac:dyDescent="0.2">
      <c r="A8818" s="54"/>
    </row>
    <row r="8819" spans="1:1" x14ac:dyDescent="0.2">
      <c r="A8819" s="54"/>
    </row>
    <row r="8820" spans="1:1" x14ac:dyDescent="0.2">
      <c r="A8820" s="54"/>
    </row>
    <row r="8821" spans="1:1" x14ac:dyDescent="0.2">
      <c r="A8821" s="54"/>
    </row>
    <row r="8822" spans="1:1" x14ac:dyDescent="0.2">
      <c r="A8822" s="55"/>
    </row>
    <row r="8823" spans="1:1" x14ac:dyDescent="0.2">
      <c r="A8823" s="54"/>
    </row>
    <row r="8824" spans="1:1" x14ac:dyDescent="0.2">
      <c r="A8824" s="54"/>
    </row>
    <row r="8825" spans="1:1" x14ac:dyDescent="0.2">
      <c r="A8825" s="54"/>
    </row>
    <row r="8826" spans="1:1" x14ac:dyDescent="0.2">
      <c r="A8826" s="54"/>
    </row>
    <row r="8827" spans="1:1" x14ac:dyDescent="0.2">
      <c r="A8827" s="55"/>
    </row>
    <row r="8828" spans="1:1" x14ac:dyDescent="0.2">
      <c r="A8828" s="54"/>
    </row>
    <row r="8829" spans="1:1" x14ac:dyDescent="0.2">
      <c r="A8829" s="54"/>
    </row>
    <row r="8830" spans="1:1" x14ac:dyDescent="0.2">
      <c r="A8830" s="55"/>
    </row>
    <row r="8831" spans="1:1" x14ac:dyDescent="0.2">
      <c r="A8831" s="54"/>
    </row>
    <row r="8832" spans="1:1" x14ac:dyDescent="0.2">
      <c r="A8832" s="54"/>
    </row>
    <row r="8833" spans="1:1" x14ac:dyDescent="0.2">
      <c r="A8833" s="54"/>
    </row>
    <row r="8834" spans="1:1" x14ac:dyDescent="0.2">
      <c r="A8834" s="54"/>
    </row>
    <row r="8835" spans="1:1" x14ac:dyDescent="0.2">
      <c r="A8835" s="54"/>
    </row>
    <row r="8836" spans="1:1" x14ac:dyDescent="0.2">
      <c r="A8836" s="54"/>
    </row>
    <row r="8837" spans="1:1" x14ac:dyDescent="0.2">
      <c r="A8837" s="54"/>
    </row>
    <row r="8838" spans="1:1" x14ac:dyDescent="0.2">
      <c r="A8838" s="54"/>
    </row>
    <row r="8839" spans="1:1" x14ac:dyDescent="0.2">
      <c r="A8839" s="54"/>
    </row>
    <row r="8840" spans="1:1" x14ac:dyDescent="0.2">
      <c r="A8840" s="54"/>
    </row>
    <row r="8841" spans="1:1" x14ac:dyDescent="0.2">
      <c r="A8841" s="54"/>
    </row>
    <row r="8842" spans="1:1" x14ac:dyDescent="0.2">
      <c r="A8842" s="54"/>
    </row>
    <row r="8843" spans="1:1" x14ac:dyDescent="0.2">
      <c r="A8843" s="54"/>
    </row>
    <row r="8844" spans="1:1" x14ac:dyDescent="0.2">
      <c r="A8844" s="54"/>
    </row>
    <row r="8845" spans="1:1" x14ac:dyDescent="0.2">
      <c r="A8845" s="54"/>
    </row>
    <row r="8846" spans="1:1" x14ac:dyDescent="0.2">
      <c r="A8846" s="54"/>
    </row>
    <row r="8847" spans="1:1" x14ac:dyDescent="0.2">
      <c r="A8847" s="54"/>
    </row>
    <row r="8848" spans="1:1" x14ac:dyDescent="0.2">
      <c r="A8848" s="54"/>
    </row>
    <row r="8849" spans="1:1" x14ac:dyDescent="0.2">
      <c r="A8849" s="54"/>
    </row>
    <row r="8850" spans="1:1" x14ac:dyDescent="0.2">
      <c r="A8850" s="54"/>
    </row>
    <row r="8851" spans="1:1" x14ac:dyDescent="0.2">
      <c r="A8851" s="54"/>
    </row>
    <row r="8852" spans="1:1" x14ac:dyDescent="0.2">
      <c r="A8852" s="54"/>
    </row>
    <row r="8853" spans="1:1" x14ac:dyDescent="0.2">
      <c r="A8853" s="54"/>
    </row>
    <row r="8854" spans="1:1" x14ac:dyDescent="0.2">
      <c r="A8854" s="54"/>
    </row>
    <row r="8855" spans="1:1" x14ac:dyDescent="0.2">
      <c r="A8855" s="54"/>
    </row>
    <row r="8856" spans="1:1" x14ac:dyDescent="0.2">
      <c r="A8856" s="54"/>
    </row>
    <row r="8857" spans="1:1" x14ac:dyDescent="0.2">
      <c r="A8857" s="54"/>
    </row>
    <row r="8858" spans="1:1" x14ac:dyDescent="0.2">
      <c r="A8858" s="54"/>
    </row>
    <row r="8859" spans="1:1" x14ac:dyDescent="0.2">
      <c r="A8859" s="54"/>
    </row>
    <row r="8860" spans="1:1" x14ac:dyDescent="0.2">
      <c r="A8860" s="54"/>
    </row>
    <row r="8861" spans="1:1" x14ac:dyDescent="0.2">
      <c r="A8861" s="54"/>
    </row>
    <row r="8862" spans="1:1" x14ac:dyDescent="0.2">
      <c r="A8862" s="54"/>
    </row>
    <row r="8863" spans="1:1" x14ac:dyDescent="0.2">
      <c r="A8863" s="54"/>
    </row>
    <row r="8864" spans="1:1" x14ac:dyDescent="0.2">
      <c r="A8864" s="54"/>
    </row>
    <row r="8865" spans="1:1" x14ac:dyDescent="0.2">
      <c r="A8865" s="54"/>
    </row>
    <row r="8866" spans="1:1" x14ac:dyDescent="0.2">
      <c r="A8866" s="54"/>
    </row>
    <row r="8867" spans="1:1" x14ac:dyDescent="0.2">
      <c r="A8867" s="54"/>
    </row>
    <row r="8868" spans="1:1" x14ac:dyDescent="0.2">
      <c r="A8868" s="54"/>
    </row>
    <row r="8869" spans="1:1" x14ac:dyDescent="0.2">
      <c r="A8869" s="54"/>
    </row>
    <row r="8870" spans="1:1" x14ac:dyDescent="0.2">
      <c r="A8870" s="54"/>
    </row>
    <row r="8871" spans="1:1" x14ac:dyDescent="0.2">
      <c r="A8871" s="54"/>
    </row>
    <row r="8872" spans="1:1" x14ac:dyDescent="0.2">
      <c r="A8872" s="54"/>
    </row>
    <row r="8873" spans="1:1" x14ac:dyDescent="0.2">
      <c r="A8873" s="54"/>
    </row>
    <row r="8874" spans="1:1" x14ac:dyDescent="0.2">
      <c r="A8874" s="54"/>
    </row>
    <row r="8875" spans="1:1" x14ac:dyDescent="0.2">
      <c r="A8875" s="54"/>
    </row>
    <row r="8876" spans="1:1" x14ac:dyDescent="0.2">
      <c r="A8876" s="54"/>
    </row>
    <row r="8877" spans="1:1" x14ac:dyDescent="0.2">
      <c r="A8877" s="54"/>
    </row>
    <row r="8878" spans="1:1" x14ac:dyDescent="0.2">
      <c r="A8878" s="54"/>
    </row>
    <row r="8879" spans="1:1" x14ac:dyDescent="0.2">
      <c r="A8879" s="54"/>
    </row>
    <row r="8880" spans="1:1" x14ac:dyDescent="0.2">
      <c r="A8880" s="54"/>
    </row>
    <row r="8881" spans="1:1" x14ac:dyDescent="0.2">
      <c r="A8881" s="54"/>
    </row>
    <row r="8882" spans="1:1" x14ac:dyDescent="0.2">
      <c r="A8882" s="54"/>
    </row>
    <row r="8883" spans="1:1" x14ac:dyDescent="0.2">
      <c r="A8883" s="54"/>
    </row>
    <row r="8884" spans="1:1" x14ac:dyDescent="0.2">
      <c r="A8884" s="54"/>
    </row>
    <row r="8885" spans="1:1" x14ac:dyDescent="0.2">
      <c r="A8885" s="54"/>
    </row>
    <row r="8886" spans="1:1" x14ac:dyDescent="0.2">
      <c r="A8886" s="54"/>
    </row>
    <row r="8887" spans="1:1" x14ac:dyDescent="0.2">
      <c r="A8887" s="54"/>
    </row>
    <row r="8888" spans="1:1" x14ac:dyDescent="0.2">
      <c r="A8888" s="54"/>
    </row>
    <row r="8889" spans="1:1" x14ac:dyDescent="0.2">
      <c r="A8889" s="54"/>
    </row>
    <row r="8890" spans="1:1" x14ac:dyDescent="0.2">
      <c r="A8890" s="54"/>
    </row>
    <row r="8891" spans="1:1" x14ac:dyDescent="0.2">
      <c r="A8891" s="54"/>
    </row>
    <row r="8892" spans="1:1" x14ac:dyDescent="0.2">
      <c r="A8892" s="54"/>
    </row>
    <row r="8893" spans="1:1" x14ac:dyDescent="0.2">
      <c r="A8893" s="54"/>
    </row>
    <row r="8894" spans="1:1" x14ac:dyDescent="0.2">
      <c r="A8894" s="54"/>
    </row>
    <row r="8895" spans="1:1" x14ac:dyDescent="0.2">
      <c r="A8895" s="54"/>
    </row>
    <row r="8896" spans="1:1" x14ac:dyDescent="0.2">
      <c r="A8896" s="55"/>
    </row>
    <row r="8897" spans="1:1" x14ac:dyDescent="0.2">
      <c r="A8897" s="55"/>
    </row>
    <row r="8898" spans="1:1" x14ac:dyDescent="0.2">
      <c r="A8898" s="54"/>
    </row>
    <row r="8899" spans="1:1" x14ac:dyDescent="0.2">
      <c r="A8899" s="54"/>
    </row>
    <row r="8900" spans="1:1" x14ac:dyDescent="0.2">
      <c r="A8900" s="54"/>
    </row>
    <row r="8901" spans="1:1" x14ac:dyDescent="0.2">
      <c r="A8901" s="54"/>
    </row>
    <row r="8902" spans="1:1" x14ac:dyDescent="0.2">
      <c r="A8902" s="54"/>
    </row>
    <row r="8903" spans="1:1" x14ac:dyDescent="0.2">
      <c r="A8903" s="54"/>
    </row>
    <row r="8904" spans="1:1" x14ac:dyDescent="0.2">
      <c r="A8904" s="54"/>
    </row>
    <row r="8905" spans="1:1" x14ac:dyDescent="0.2">
      <c r="A8905" s="54"/>
    </row>
    <row r="8906" spans="1:1" x14ac:dyDescent="0.2">
      <c r="A8906" s="54"/>
    </row>
    <row r="8907" spans="1:1" x14ac:dyDescent="0.2">
      <c r="A8907" s="54"/>
    </row>
    <row r="8908" spans="1:1" x14ac:dyDescent="0.2">
      <c r="A8908" s="54"/>
    </row>
    <row r="8909" spans="1:1" x14ac:dyDescent="0.2">
      <c r="A8909" s="54"/>
    </row>
    <row r="8910" spans="1:1" x14ac:dyDescent="0.2">
      <c r="A8910" s="54"/>
    </row>
    <row r="8911" spans="1:1" x14ac:dyDescent="0.2">
      <c r="A8911" s="54"/>
    </row>
    <row r="8912" spans="1:1" x14ac:dyDescent="0.2">
      <c r="A8912" s="54"/>
    </row>
    <row r="8913" spans="1:1" x14ac:dyDescent="0.2">
      <c r="A8913" s="54"/>
    </row>
    <row r="8914" spans="1:1" x14ac:dyDescent="0.2">
      <c r="A8914" s="54"/>
    </row>
    <row r="8915" spans="1:1" x14ac:dyDescent="0.2">
      <c r="A8915" s="54"/>
    </row>
    <row r="8916" spans="1:1" x14ac:dyDescent="0.2">
      <c r="A8916" s="54"/>
    </row>
    <row r="8917" spans="1:1" x14ac:dyDescent="0.2">
      <c r="A8917" s="54"/>
    </row>
    <row r="8918" spans="1:1" x14ac:dyDescent="0.2">
      <c r="A8918" s="54"/>
    </row>
    <row r="8919" spans="1:1" x14ac:dyDescent="0.2">
      <c r="A8919" s="54"/>
    </row>
    <row r="8920" spans="1:1" x14ac:dyDescent="0.2">
      <c r="A8920" s="54"/>
    </row>
    <row r="8921" spans="1:1" x14ac:dyDescent="0.2">
      <c r="A8921" s="54"/>
    </row>
    <row r="8922" spans="1:1" x14ac:dyDescent="0.2">
      <c r="A8922" s="54"/>
    </row>
    <row r="8923" spans="1:1" x14ac:dyDescent="0.2">
      <c r="A8923" s="54"/>
    </row>
    <row r="8924" spans="1:1" x14ac:dyDescent="0.2">
      <c r="A8924" s="54"/>
    </row>
    <row r="8925" spans="1:1" x14ac:dyDescent="0.2">
      <c r="A8925" s="54"/>
    </row>
    <row r="8926" spans="1:1" x14ac:dyDescent="0.2">
      <c r="A8926" s="54"/>
    </row>
    <row r="8927" spans="1:1" x14ac:dyDescent="0.2">
      <c r="A8927" s="54"/>
    </row>
    <row r="8928" spans="1:1" x14ac:dyDescent="0.2">
      <c r="A8928" s="54"/>
    </row>
    <row r="8929" spans="1:1" x14ac:dyDescent="0.2">
      <c r="A8929" s="54"/>
    </row>
    <row r="8930" spans="1:1" x14ac:dyDescent="0.2">
      <c r="A8930" s="54"/>
    </row>
    <row r="8931" spans="1:1" x14ac:dyDescent="0.2">
      <c r="A8931" s="54"/>
    </row>
    <row r="8932" spans="1:1" x14ac:dyDescent="0.2">
      <c r="A8932" s="54"/>
    </row>
    <row r="8933" spans="1:1" x14ac:dyDescent="0.2">
      <c r="A8933" s="54"/>
    </row>
    <row r="8934" spans="1:1" x14ac:dyDescent="0.2">
      <c r="A8934" s="54"/>
    </row>
    <row r="8935" spans="1:1" x14ac:dyDescent="0.2">
      <c r="A8935" s="54"/>
    </row>
    <row r="8936" spans="1:1" x14ac:dyDescent="0.2">
      <c r="A8936" s="54"/>
    </row>
    <row r="8937" spans="1:1" x14ac:dyDescent="0.2">
      <c r="A8937" s="54"/>
    </row>
    <row r="8938" spans="1:1" x14ac:dyDescent="0.2">
      <c r="A8938" s="54"/>
    </row>
    <row r="8939" spans="1:1" x14ac:dyDescent="0.2">
      <c r="A8939" s="54"/>
    </row>
    <row r="8940" spans="1:1" x14ac:dyDescent="0.2">
      <c r="A8940" s="54"/>
    </row>
    <row r="8941" spans="1:1" x14ac:dyDescent="0.2">
      <c r="A8941" s="54"/>
    </row>
    <row r="8942" spans="1:1" x14ac:dyDescent="0.2">
      <c r="A8942" s="54"/>
    </row>
    <row r="8943" spans="1:1" x14ac:dyDescent="0.2">
      <c r="A8943" s="54"/>
    </row>
    <row r="8944" spans="1:1" x14ac:dyDescent="0.2">
      <c r="A8944" s="54"/>
    </row>
    <row r="8945" spans="1:1" x14ac:dyDescent="0.2">
      <c r="A8945" s="54"/>
    </row>
    <row r="8946" spans="1:1" x14ac:dyDescent="0.2">
      <c r="A8946" s="54"/>
    </row>
    <row r="8947" spans="1:1" x14ac:dyDescent="0.2">
      <c r="A8947" s="54"/>
    </row>
    <row r="8948" spans="1:1" x14ac:dyDescent="0.2">
      <c r="A8948" s="54"/>
    </row>
    <row r="8949" spans="1:1" x14ac:dyDescent="0.2">
      <c r="A8949" s="54"/>
    </row>
    <row r="8950" spans="1:1" x14ac:dyDescent="0.2">
      <c r="A8950" s="54"/>
    </row>
    <row r="8951" spans="1:1" x14ac:dyDescent="0.2">
      <c r="A8951" s="54"/>
    </row>
    <row r="8952" spans="1:1" x14ac:dyDescent="0.2">
      <c r="A8952" s="54"/>
    </row>
    <row r="8953" spans="1:1" x14ac:dyDescent="0.2">
      <c r="A8953" s="55"/>
    </row>
    <row r="8954" spans="1:1" x14ac:dyDescent="0.2">
      <c r="A8954" s="54"/>
    </row>
    <row r="8955" spans="1:1" x14ac:dyDescent="0.2">
      <c r="A8955" s="54"/>
    </row>
    <row r="8956" spans="1:1" x14ac:dyDescent="0.2">
      <c r="A8956" s="54"/>
    </row>
    <row r="8957" spans="1:1" x14ac:dyDescent="0.2">
      <c r="A8957" s="54"/>
    </row>
    <row r="8958" spans="1:1" x14ac:dyDescent="0.2">
      <c r="A8958" s="54"/>
    </row>
    <row r="8959" spans="1:1" x14ac:dyDescent="0.2">
      <c r="A8959" s="55"/>
    </row>
    <row r="8960" spans="1:1" x14ac:dyDescent="0.2">
      <c r="A8960" s="54"/>
    </row>
    <row r="8961" spans="1:1" x14ac:dyDescent="0.2">
      <c r="A8961" s="54"/>
    </row>
    <row r="8962" spans="1:1" x14ac:dyDescent="0.2">
      <c r="A8962" s="54"/>
    </row>
    <row r="8963" spans="1:1" x14ac:dyDescent="0.2">
      <c r="A8963" s="54"/>
    </row>
    <row r="8964" spans="1:1" x14ac:dyDescent="0.2">
      <c r="A8964" s="54"/>
    </row>
    <row r="8965" spans="1:1" x14ac:dyDescent="0.2">
      <c r="A8965" s="54"/>
    </row>
    <row r="8966" spans="1:1" x14ac:dyDescent="0.2">
      <c r="A8966" s="54"/>
    </row>
    <row r="8967" spans="1:1" x14ac:dyDescent="0.2">
      <c r="A8967" s="54"/>
    </row>
    <row r="8968" spans="1:1" x14ac:dyDescent="0.2">
      <c r="A8968" s="54"/>
    </row>
    <row r="8969" spans="1:1" x14ac:dyDescent="0.2">
      <c r="A8969" s="54"/>
    </row>
    <row r="8970" spans="1:1" x14ac:dyDescent="0.2">
      <c r="A8970" s="54"/>
    </row>
    <row r="8971" spans="1:1" x14ac:dyDescent="0.2">
      <c r="A8971" s="54"/>
    </row>
    <row r="8972" spans="1:1" x14ac:dyDescent="0.2">
      <c r="A8972" s="54"/>
    </row>
    <row r="8973" spans="1:1" x14ac:dyDescent="0.2">
      <c r="A8973" s="54"/>
    </row>
    <row r="8974" spans="1:1" x14ac:dyDescent="0.2">
      <c r="A8974" s="54"/>
    </row>
    <row r="8975" spans="1:1" x14ac:dyDescent="0.2">
      <c r="A8975" s="55"/>
    </row>
    <row r="8976" spans="1:1" x14ac:dyDescent="0.2">
      <c r="A8976" s="54"/>
    </row>
    <row r="8977" spans="1:1" x14ac:dyDescent="0.2">
      <c r="A8977" s="54"/>
    </row>
    <row r="8978" spans="1:1" x14ac:dyDescent="0.2">
      <c r="A8978" s="55"/>
    </row>
    <row r="8979" spans="1:1" x14ac:dyDescent="0.2">
      <c r="A8979" s="54"/>
    </row>
    <row r="8980" spans="1:1" x14ac:dyDescent="0.2">
      <c r="A8980" s="54"/>
    </row>
    <row r="8981" spans="1:1" x14ac:dyDescent="0.2">
      <c r="A8981" s="54"/>
    </row>
    <row r="8982" spans="1:1" x14ac:dyDescent="0.2">
      <c r="A8982" s="54"/>
    </row>
    <row r="8983" spans="1:1" x14ac:dyDescent="0.2">
      <c r="A8983" s="54"/>
    </row>
    <row r="8984" spans="1:1" x14ac:dyDescent="0.2">
      <c r="A8984" s="54"/>
    </row>
    <row r="8985" spans="1:1" x14ac:dyDescent="0.2">
      <c r="A8985" s="54"/>
    </row>
    <row r="8986" spans="1:1" x14ac:dyDescent="0.2">
      <c r="A8986" s="54"/>
    </row>
    <row r="8987" spans="1:1" x14ac:dyDescent="0.2">
      <c r="A8987" s="54"/>
    </row>
    <row r="8988" spans="1:1" x14ac:dyDescent="0.2">
      <c r="A8988" s="54"/>
    </row>
    <row r="8989" spans="1:1" x14ac:dyDescent="0.2">
      <c r="A8989" s="54"/>
    </row>
    <row r="8990" spans="1:1" x14ac:dyDescent="0.2">
      <c r="A8990" s="54"/>
    </row>
    <row r="8991" spans="1:1" x14ac:dyDescent="0.2">
      <c r="A8991" s="54"/>
    </row>
    <row r="8992" spans="1:1" x14ac:dyDescent="0.2">
      <c r="A8992" s="54"/>
    </row>
    <row r="8993" spans="1:1" x14ac:dyDescent="0.2">
      <c r="A8993" s="54"/>
    </row>
    <row r="8994" spans="1:1" x14ac:dyDescent="0.2">
      <c r="A8994" s="54"/>
    </row>
    <row r="8995" spans="1:1" x14ac:dyDescent="0.2">
      <c r="A8995" s="54"/>
    </row>
    <row r="8996" spans="1:1" x14ac:dyDescent="0.2">
      <c r="A8996" s="54"/>
    </row>
    <row r="8997" spans="1:1" x14ac:dyDescent="0.2">
      <c r="A8997" s="54"/>
    </row>
    <row r="8998" spans="1:1" x14ac:dyDescent="0.2">
      <c r="A8998" s="54"/>
    </row>
    <row r="8999" spans="1:1" x14ac:dyDescent="0.2">
      <c r="A8999" s="55"/>
    </row>
    <row r="9000" spans="1:1" x14ac:dyDescent="0.2">
      <c r="A9000" s="54"/>
    </row>
    <row r="9001" spans="1:1" x14ac:dyDescent="0.2">
      <c r="A9001" s="54"/>
    </row>
    <row r="9002" spans="1:1" x14ac:dyDescent="0.2">
      <c r="A9002" s="54"/>
    </row>
    <row r="9003" spans="1:1" x14ac:dyDescent="0.2">
      <c r="A9003" s="54"/>
    </row>
    <row r="9004" spans="1:1" x14ac:dyDescent="0.2">
      <c r="A9004" s="54"/>
    </row>
    <row r="9005" spans="1:1" x14ac:dyDescent="0.2">
      <c r="A9005" s="54"/>
    </row>
    <row r="9006" spans="1:1" x14ac:dyDescent="0.2">
      <c r="A9006" s="54"/>
    </row>
    <row r="9007" spans="1:1" x14ac:dyDescent="0.2">
      <c r="A9007" s="54"/>
    </row>
    <row r="9008" spans="1:1" x14ac:dyDescent="0.2">
      <c r="A9008" s="54"/>
    </row>
    <row r="9009" spans="1:1" x14ac:dyDescent="0.2">
      <c r="A9009" s="54"/>
    </row>
    <row r="9010" spans="1:1" x14ac:dyDescent="0.2">
      <c r="A9010" s="54"/>
    </row>
    <row r="9011" spans="1:1" x14ac:dyDescent="0.2">
      <c r="A9011" s="54"/>
    </row>
    <row r="9012" spans="1:1" x14ac:dyDescent="0.2">
      <c r="A9012" s="54"/>
    </row>
    <row r="9013" spans="1:1" x14ac:dyDescent="0.2">
      <c r="A9013" s="55"/>
    </row>
    <row r="9014" spans="1:1" x14ac:dyDescent="0.2">
      <c r="A9014" s="54"/>
    </row>
    <row r="9015" spans="1:1" x14ac:dyDescent="0.2">
      <c r="A9015" s="54"/>
    </row>
    <row r="9016" spans="1:1" x14ac:dyDescent="0.2">
      <c r="A9016" s="54"/>
    </row>
    <row r="9017" spans="1:1" x14ac:dyDescent="0.2">
      <c r="A9017" s="54"/>
    </row>
    <row r="9018" spans="1:1" x14ac:dyDescent="0.2">
      <c r="A9018" s="54"/>
    </row>
    <row r="9019" spans="1:1" x14ac:dyDescent="0.2">
      <c r="A9019" s="54"/>
    </row>
    <row r="9020" spans="1:1" x14ac:dyDescent="0.2">
      <c r="A9020" s="54"/>
    </row>
    <row r="9021" spans="1:1" x14ac:dyDescent="0.2">
      <c r="A9021" s="54"/>
    </row>
    <row r="9022" spans="1:1" x14ac:dyDescent="0.2">
      <c r="A9022" s="54"/>
    </row>
    <row r="9023" spans="1:1" x14ac:dyDescent="0.2">
      <c r="A9023" s="54"/>
    </row>
    <row r="9024" spans="1:1" x14ac:dyDescent="0.2">
      <c r="A9024" s="54"/>
    </row>
    <row r="9025" spans="1:1" x14ac:dyDescent="0.2">
      <c r="A9025" s="55"/>
    </row>
    <row r="9026" spans="1:1" x14ac:dyDescent="0.2">
      <c r="A9026" s="54"/>
    </row>
    <row r="9027" spans="1:1" x14ac:dyDescent="0.2">
      <c r="A9027" s="54"/>
    </row>
    <row r="9028" spans="1:1" x14ac:dyDescent="0.2">
      <c r="A9028" s="54"/>
    </row>
    <row r="9029" spans="1:1" x14ac:dyDescent="0.2">
      <c r="A9029" s="54"/>
    </row>
    <row r="9030" spans="1:1" x14ac:dyDescent="0.2">
      <c r="A9030" s="54"/>
    </row>
    <row r="9031" spans="1:1" x14ac:dyDescent="0.2">
      <c r="A9031" s="54"/>
    </row>
    <row r="9032" spans="1:1" x14ac:dyDescent="0.2">
      <c r="A9032" s="54"/>
    </row>
    <row r="9033" spans="1:1" x14ac:dyDescent="0.2">
      <c r="A9033" s="54"/>
    </row>
    <row r="9034" spans="1:1" x14ac:dyDescent="0.2">
      <c r="A9034" s="54"/>
    </row>
    <row r="9035" spans="1:1" x14ac:dyDescent="0.2">
      <c r="A9035" s="54"/>
    </row>
    <row r="9036" spans="1:1" x14ac:dyDescent="0.2">
      <c r="A9036" s="54"/>
    </row>
    <row r="9037" spans="1:1" x14ac:dyDescent="0.2">
      <c r="A9037" s="54"/>
    </row>
    <row r="9038" spans="1:1" x14ac:dyDescent="0.2">
      <c r="A9038" s="55"/>
    </row>
    <row r="9039" spans="1:1" x14ac:dyDescent="0.2">
      <c r="A9039" s="54"/>
    </row>
    <row r="9040" spans="1:1" x14ac:dyDescent="0.2">
      <c r="A9040" s="54"/>
    </row>
    <row r="9041" spans="1:1" x14ac:dyDescent="0.2">
      <c r="A9041" s="54"/>
    </row>
    <row r="9042" spans="1:1" x14ac:dyDescent="0.2">
      <c r="A9042" s="54"/>
    </row>
    <row r="9043" spans="1:1" x14ac:dyDescent="0.2">
      <c r="A9043" s="54"/>
    </row>
    <row r="9044" spans="1:1" x14ac:dyDescent="0.2">
      <c r="A9044" s="54"/>
    </row>
    <row r="9045" spans="1:1" x14ac:dyDescent="0.2">
      <c r="A9045" s="54"/>
    </row>
    <row r="9046" spans="1:1" x14ac:dyDescent="0.2">
      <c r="A9046" s="54"/>
    </row>
    <row r="9047" spans="1:1" x14ac:dyDescent="0.2">
      <c r="A9047" s="54"/>
    </row>
    <row r="9048" spans="1:1" x14ac:dyDescent="0.2">
      <c r="A9048" s="54"/>
    </row>
    <row r="9049" spans="1:1" x14ac:dyDescent="0.2">
      <c r="A9049" s="54"/>
    </row>
    <row r="9050" spans="1:1" x14ac:dyDescent="0.2">
      <c r="A9050" s="54"/>
    </row>
    <row r="9051" spans="1:1" x14ac:dyDescent="0.2">
      <c r="A9051" s="54"/>
    </row>
    <row r="9052" spans="1:1" x14ac:dyDescent="0.2">
      <c r="A9052" s="54"/>
    </row>
    <row r="9053" spans="1:1" x14ac:dyDescent="0.2">
      <c r="A9053" s="54"/>
    </row>
    <row r="9054" spans="1:1" x14ac:dyDescent="0.2">
      <c r="A9054" s="55"/>
    </row>
    <row r="9055" spans="1:1" x14ac:dyDescent="0.2">
      <c r="A9055" s="54"/>
    </row>
    <row r="9056" spans="1:1" x14ac:dyDescent="0.2">
      <c r="A9056" s="54"/>
    </row>
    <row r="9057" spans="1:1" x14ac:dyDescent="0.2">
      <c r="A9057" s="54"/>
    </row>
    <row r="9058" spans="1:1" x14ac:dyDescent="0.2">
      <c r="A9058" s="54"/>
    </row>
    <row r="9059" spans="1:1" x14ac:dyDescent="0.2">
      <c r="A9059" s="55"/>
    </row>
    <row r="9060" spans="1:1" x14ac:dyDescent="0.2">
      <c r="A9060" s="54"/>
    </row>
    <row r="9061" spans="1:1" x14ac:dyDescent="0.2">
      <c r="A9061" s="54"/>
    </row>
    <row r="9062" spans="1:1" x14ac:dyDescent="0.2">
      <c r="A9062" s="54"/>
    </row>
    <row r="9063" spans="1:1" x14ac:dyDescent="0.2">
      <c r="A9063" s="54"/>
    </row>
    <row r="9064" spans="1:1" x14ac:dyDescent="0.2">
      <c r="A9064" s="54"/>
    </row>
    <row r="9065" spans="1:1" x14ac:dyDescent="0.2">
      <c r="A9065" s="54"/>
    </row>
    <row r="9066" spans="1:1" x14ac:dyDescent="0.2">
      <c r="A9066" s="54"/>
    </row>
    <row r="9067" spans="1:1" x14ac:dyDescent="0.2">
      <c r="A9067" s="54"/>
    </row>
    <row r="9068" spans="1:1" x14ac:dyDescent="0.2">
      <c r="A9068" s="54"/>
    </row>
    <row r="9069" spans="1:1" x14ac:dyDescent="0.2">
      <c r="A9069" s="54"/>
    </row>
    <row r="9070" spans="1:1" x14ac:dyDescent="0.2">
      <c r="A9070" s="54"/>
    </row>
    <row r="9071" spans="1:1" x14ac:dyDescent="0.2">
      <c r="A9071" s="55"/>
    </row>
    <row r="9072" spans="1:1" x14ac:dyDescent="0.2">
      <c r="A9072" s="54"/>
    </row>
    <row r="9073" spans="1:1" x14ac:dyDescent="0.2">
      <c r="A9073" s="54"/>
    </row>
    <row r="9074" spans="1:1" x14ac:dyDescent="0.2">
      <c r="A9074" s="54"/>
    </row>
    <row r="9075" spans="1:1" x14ac:dyDescent="0.2">
      <c r="A9075" s="54"/>
    </row>
    <row r="9076" spans="1:1" x14ac:dyDescent="0.2">
      <c r="A9076" s="54"/>
    </row>
    <row r="9077" spans="1:1" x14ac:dyDescent="0.2">
      <c r="A9077" s="54"/>
    </row>
    <row r="9078" spans="1:1" x14ac:dyDescent="0.2">
      <c r="A9078" s="54"/>
    </row>
    <row r="9079" spans="1:1" x14ac:dyDescent="0.2">
      <c r="A9079" s="54"/>
    </row>
    <row r="9080" spans="1:1" x14ac:dyDescent="0.2">
      <c r="A9080" s="55"/>
    </row>
    <row r="9081" spans="1:1" x14ac:dyDescent="0.2">
      <c r="A9081" s="54"/>
    </row>
    <row r="9082" spans="1:1" x14ac:dyDescent="0.2">
      <c r="A9082" s="54"/>
    </row>
    <row r="9083" spans="1:1" x14ac:dyDescent="0.2">
      <c r="A9083" s="54"/>
    </row>
    <row r="9084" spans="1:1" x14ac:dyDescent="0.2">
      <c r="A9084" s="54"/>
    </row>
    <row r="9085" spans="1:1" x14ac:dyDescent="0.2">
      <c r="A9085" s="55"/>
    </row>
    <row r="9086" spans="1:1" x14ac:dyDescent="0.2">
      <c r="A9086" s="54"/>
    </row>
    <row r="9087" spans="1:1" x14ac:dyDescent="0.2">
      <c r="A9087" s="54"/>
    </row>
    <row r="9088" spans="1:1" x14ac:dyDescent="0.2">
      <c r="A9088" s="54"/>
    </row>
    <row r="9089" spans="1:1" x14ac:dyDescent="0.2">
      <c r="A9089" s="54"/>
    </row>
    <row r="9090" spans="1:1" x14ac:dyDescent="0.2">
      <c r="A9090" s="54"/>
    </row>
    <row r="9091" spans="1:1" x14ac:dyDescent="0.2">
      <c r="A9091" s="54"/>
    </row>
    <row r="9092" spans="1:1" x14ac:dyDescent="0.2">
      <c r="A9092" s="55"/>
    </row>
    <row r="9093" spans="1:1" x14ac:dyDescent="0.2">
      <c r="A9093" s="54"/>
    </row>
    <row r="9094" spans="1:1" x14ac:dyDescent="0.2">
      <c r="A9094" s="54"/>
    </row>
    <row r="9095" spans="1:1" x14ac:dyDescent="0.2">
      <c r="A9095" s="54"/>
    </row>
    <row r="9096" spans="1:1" x14ac:dyDescent="0.2">
      <c r="A9096" s="54"/>
    </row>
    <row r="9097" spans="1:1" x14ac:dyDescent="0.2">
      <c r="A9097" s="54"/>
    </row>
    <row r="9098" spans="1:1" x14ac:dyDescent="0.2">
      <c r="A9098" s="54"/>
    </row>
    <row r="9099" spans="1:1" x14ac:dyDescent="0.2">
      <c r="A9099" s="54"/>
    </row>
    <row r="9100" spans="1:1" x14ac:dyDescent="0.2">
      <c r="A9100" s="54"/>
    </row>
    <row r="9101" spans="1:1" x14ac:dyDescent="0.2">
      <c r="A9101" s="54"/>
    </row>
    <row r="9102" spans="1:1" x14ac:dyDescent="0.2">
      <c r="A9102" s="54"/>
    </row>
    <row r="9103" spans="1:1" x14ac:dyDescent="0.2">
      <c r="A9103" s="54"/>
    </row>
    <row r="9104" spans="1:1" x14ac:dyDescent="0.2">
      <c r="A9104" s="54"/>
    </row>
    <row r="9105" spans="1:1" x14ac:dyDescent="0.2">
      <c r="A9105" s="55"/>
    </row>
    <row r="9106" spans="1:1" x14ac:dyDescent="0.2">
      <c r="A9106" s="54"/>
    </row>
    <row r="9107" spans="1:1" x14ac:dyDescent="0.2">
      <c r="A9107" s="55"/>
    </row>
    <row r="9108" spans="1:1" x14ac:dyDescent="0.2">
      <c r="A9108" s="54"/>
    </row>
    <row r="9109" spans="1:1" x14ac:dyDescent="0.2">
      <c r="A9109" s="54"/>
    </row>
    <row r="9110" spans="1:1" x14ac:dyDescent="0.2">
      <c r="A9110" s="54"/>
    </row>
    <row r="9111" spans="1:1" x14ac:dyDescent="0.2">
      <c r="A9111" s="54"/>
    </row>
    <row r="9112" spans="1:1" x14ac:dyDescent="0.2">
      <c r="A9112" s="54"/>
    </row>
    <row r="9113" spans="1:1" x14ac:dyDescent="0.2">
      <c r="A9113" s="54"/>
    </row>
    <row r="9114" spans="1:1" x14ac:dyDescent="0.2">
      <c r="A9114" s="54"/>
    </row>
    <row r="9115" spans="1:1" x14ac:dyDescent="0.2">
      <c r="A9115" s="54"/>
    </row>
    <row r="9116" spans="1:1" x14ac:dyDescent="0.2">
      <c r="A9116" s="54"/>
    </row>
    <row r="9117" spans="1:1" x14ac:dyDescent="0.2">
      <c r="A9117" s="54"/>
    </row>
    <row r="9118" spans="1:1" x14ac:dyDescent="0.2">
      <c r="A9118" s="55"/>
    </row>
    <row r="9119" spans="1:1" x14ac:dyDescent="0.2">
      <c r="A9119" s="54"/>
    </row>
    <row r="9120" spans="1:1" x14ac:dyDescent="0.2">
      <c r="A9120" s="54"/>
    </row>
    <row r="9121" spans="1:1" x14ac:dyDescent="0.2">
      <c r="A9121" s="54"/>
    </row>
    <row r="9122" spans="1:1" x14ac:dyDescent="0.2">
      <c r="A9122" s="54"/>
    </row>
    <row r="9123" spans="1:1" x14ac:dyDescent="0.2">
      <c r="A9123" s="54"/>
    </row>
    <row r="9124" spans="1:1" x14ac:dyDescent="0.2">
      <c r="A9124" s="54"/>
    </row>
    <row r="9125" spans="1:1" x14ac:dyDescent="0.2">
      <c r="A9125" s="54"/>
    </row>
    <row r="9126" spans="1:1" x14ac:dyDescent="0.2">
      <c r="A9126" s="54"/>
    </row>
    <row r="9127" spans="1:1" x14ac:dyDescent="0.2">
      <c r="A9127" s="54"/>
    </row>
    <row r="9128" spans="1:1" x14ac:dyDescent="0.2">
      <c r="A9128" s="54"/>
    </row>
    <row r="9129" spans="1:1" x14ac:dyDescent="0.2">
      <c r="A9129" s="54"/>
    </row>
    <row r="9130" spans="1:1" x14ac:dyDescent="0.2">
      <c r="A9130" s="54"/>
    </row>
    <row r="9131" spans="1:1" x14ac:dyDescent="0.2">
      <c r="A9131" s="54"/>
    </row>
    <row r="9132" spans="1:1" x14ac:dyDescent="0.2">
      <c r="A9132" s="54"/>
    </row>
    <row r="9133" spans="1:1" x14ac:dyDescent="0.2">
      <c r="A9133" s="54"/>
    </row>
    <row r="9134" spans="1:1" x14ac:dyDescent="0.2">
      <c r="A9134" s="54"/>
    </row>
    <row r="9135" spans="1:1" x14ac:dyDescent="0.2">
      <c r="A9135" s="54"/>
    </row>
    <row r="9136" spans="1:1" x14ac:dyDescent="0.2">
      <c r="A9136" s="54"/>
    </row>
    <row r="9137" spans="1:1" x14ac:dyDescent="0.2">
      <c r="A9137" s="52"/>
    </row>
    <row r="9138" spans="1:1" x14ac:dyDescent="0.2">
      <c r="A9138" s="52"/>
    </row>
    <row r="9139" spans="1:1" x14ac:dyDescent="0.2">
      <c r="A9139" s="52"/>
    </row>
    <row r="9140" spans="1:1" x14ac:dyDescent="0.2">
      <c r="A9140" s="52"/>
    </row>
    <row r="9141" spans="1:1" x14ac:dyDescent="0.2">
      <c r="A9141" s="52"/>
    </row>
    <row r="9142" spans="1:1" x14ac:dyDescent="0.2">
      <c r="A9142" s="52"/>
    </row>
    <row r="9143" spans="1:1" x14ac:dyDescent="0.2">
      <c r="A9143" s="52"/>
    </row>
    <row r="9144" spans="1:1" x14ac:dyDescent="0.2">
      <c r="A9144" s="52"/>
    </row>
    <row r="9145" spans="1:1" x14ac:dyDescent="0.2">
      <c r="A9145" s="52"/>
    </row>
    <row r="9146" spans="1:1" x14ac:dyDescent="0.2">
      <c r="A9146" s="52"/>
    </row>
    <row r="9147" spans="1:1" x14ac:dyDescent="0.2">
      <c r="A9147" s="52"/>
    </row>
    <row r="9148" spans="1:1" x14ac:dyDescent="0.2">
      <c r="A9148" s="52"/>
    </row>
    <row r="9149" spans="1:1" x14ac:dyDescent="0.2">
      <c r="A9149" s="52"/>
    </row>
    <row r="9150" spans="1:1" x14ac:dyDescent="0.2">
      <c r="A9150" s="52"/>
    </row>
    <row r="9151" spans="1:1" x14ac:dyDescent="0.2">
      <c r="A9151" s="52"/>
    </row>
    <row r="9152" spans="1:1" x14ac:dyDescent="0.2">
      <c r="A9152" s="52"/>
    </row>
    <row r="9153" spans="1:1" x14ac:dyDescent="0.2">
      <c r="A9153" s="52"/>
    </row>
    <row r="9154" spans="1:1" x14ac:dyDescent="0.2">
      <c r="A9154" s="52"/>
    </row>
    <row r="9155" spans="1:1" x14ac:dyDescent="0.2">
      <c r="A9155" s="52"/>
    </row>
    <row r="9156" spans="1:1" x14ac:dyDescent="0.2">
      <c r="A9156" s="52"/>
    </row>
    <row r="9157" spans="1:1" x14ac:dyDescent="0.2">
      <c r="A9157" s="52"/>
    </row>
    <row r="9158" spans="1:1" x14ac:dyDescent="0.2">
      <c r="A9158" s="52"/>
    </row>
    <row r="9159" spans="1:1" x14ac:dyDescent="0.2">
      <c r="A9159" s="52"/>
    </row>
    <row r="9160" spans="1:1" x14ac:dyDescent="0.2">
      <c r="A9160" s="52"/>
    </row>
    <row r="9161" spans="1:1" x14ac:dyDescent="0.2">
      <c r="A9161" s="52"/>
    </row>
    <row r="9162" spans="1:1" x14ac:dyDescent="0.2">
      <c r="A9162" s="53"/>
    </row>
    <row r="9163" spans="1:1" x14ac:dyDescent="0.2">
      <c r="A9163" s="52"/>
    </row>
    <row r="9164" spans="1:1" x14ac:dyDescent="0.2">
      <c r="A9164" s="52"/>
    </row>
    <row r="9165" spans="1:1" x14ac:dyDescent="0.2">
      <c r="A9165" s="52"/>
    </row>
    <row r="9166" spans="1:1" x14ac:dyDescent="0.2">
      <c r="A9166" s="52"/>
    </row>
    <row r="9167" spans="1:1" x14ac:dyDescent="0.2">
      <c r="A9167" s="52"/>
    </row>
    <row r="9168" spans="1:1" x14ac:dyDescent="0.2">
      <c r="A9168" s="52"/>
    </row>
    <row r="9169" spans="1:1" x14ac:dyDescent="0.2">
      <c r="A9169" s="52"/>
    </row>
    <row r="9170" spans="1:1" x14ac:dyDescent="0.2">
      <c r="A9170" s="52"/>
    </row>
    <row r="9171" spans="1:1" x14ac:dyDescent="0.2">
      <c r="A9171" s="52"/>
    </row>
    <row r="9172" spans="1:1" x14ac:dyDescent="0.2">
      <c r="A9172" s="52"/>
    </row>
    <row r="9173" spans="1:1" x14ac:dyDescent="0.2">
      <c r="A9173" s="52"/>
    </row>
    <row r="9174" spans="1:1" x14ac:dyDescent="0.2">
      <c r="A9174" s="52"/>
    </row>
    <row r="9175" spans="1:1" x14ac:dyDescent="0.2">
      <c r="A9175" s="52"/>
    </row>
    <row r="9176" spans="1:1" x14ac:dyDescent="0.2">
      <c r="A9176" s="52"/>
    </row>
    <row r="9177" spans="1:1" x14ac:dyDescent="0.2">
      <c r="A9177" s="52"/>
    </row>
    <row r="9178" spans="1:1" x14ac:dyDescent="0.2">
      <c r="A9178" s="52"/>
    </row>
    <row r="9179" spans="1:1" x14ac:dyDescent="0.2">
      <c r="A9179" s="52"/>
    </row>
    <row r="9180" spans="1:1" x14ac:dyDescent="0.2">
      <c r="A9180" s="52"/>
    </row>
    <row r="9181" spans="1:1" x14ac:dyDescent="0.2">
      <c r="A9181" s="52"/>
    </row>
    <row r="9182" spans="1:1" x14ac:dyDescent="0.2">
      <c r="A9182" s="52"/>
    </row>
    <row r="9183" spans="1:1" x14ac:dyDescent="0.2">
      <c r="A9183" s="53"/>
    </row>
    <row r="9184" spans="1:1" x14ac:dyDescent="0.2">
      <c r="A9184" s="52"/>
    </row>
    <row r="9185" spans="1:1" x14ac:dyDescent="0.2">
      <c r="A9185" s="52"/>
    </row>
    <row r="9186" spans="1:1" x14ac:dyDescent="0.2">
      <c r="A9186" s="52"/>
    </row>
    <row r="9187" spans="1:1" x14ac:dyDescent="0.2">
      <c r="A9187" s="52"/>
    </row>
    <row r="9188" spans="1:1" x14ac:dyDescent="0.2">
      <c r="A9188" s="52"/>
    </row>
    <row r="9189" spans="1:1" x14ac:dyDescent="0.2">
      <c r="A9189" s="52"/>
    </row>
    <row r="9190" spans="1:1" x14ac:dyDescent="0.2">
      <c r="A9190" s="52"/>
    </row>
    <row r="9191" spans="1:1" x14ac:dyDescent="0.2">
      <c r="A9191" s="52"/>
    </row>
    <row r="9192" spans="1:1" x14ac:dyDescent="0.2">
      <c r="A9192" s="52"/>
    </row>
    <row r="9193" spans="1:1" x14ac:dyDescent="0.2">
      <c r="A9193" s="52"/>
    </row>
    <row r="9194" spans="1:1" x14ac:dyDescent="0.2">
      <c r="A9194" s="52"/>
    </row>
    <row r="9195" spans="1:1" x14ac:dyDescent="0.2">
      <c r="A9195" s="52"/>
    </row>
    <row r="9196" spans="1:1" x14ac:dyDescent="0.2">
      <c r="A9196" s="52"/>
    </row>
    <row r="9197" spans="1:1" x14ac:dyDescent="0.2">
      <c r="A9197" s="52"/>
    </row>
    <row r="9198" spans="1:1" x14ac:dyDescent="0.2">
      <c r="A9198" s="52"/>
    </row>
    <row r="9199" spans="1:1" x14ac:dyDescent="0.2">
      <c r="A9199" s="52"/>
    </row>
    <row r="9200" spans="1:1" x14ac:dyDescent="0.2">
      <c r="A9200" s="52"/>
    </row>
    <row r="9201" spans="1:1" x14ac:dyDescent="0.2">
      <c r="A9201" s="52"/>
    </row>
    <row r="9202" spans="1:1" x14ac:dyDescent="0.2">
      <c r="A9202" s="52"/>
    </row>
    <row r="9203" spans="1:1" x14ac:dyDescent="0.2">
      <c r="A9203" s="52"/>
    </row>
    <row r="9204" spans="1:1" x14ac:dyDescent="0.2">
      <c r="A9204" s="52"/>
    </row>
    <row r="9205" spans="1:1" x14ac:dyDescent="0.2">
      <c r="A9205" s="52"/>
    </row>
    <row r="9206" spans="1:1" x14ac:dyDescent="0.2">
      <c r="A9206" s="52"/>
    </row>
    <row r="9207" spans="1:1" x14ac:dyDescent="0.2">
      <c r="A9207" s="52"/>
    </row>
    <row r="9208" spans="1:1" x14ac:dyDescent="0.2">
      <c r="A9208" s="52"/>
    </row>
    <row r="9209" spans="1:1" x14ac:dyDescent="0.2">
      <c r="A9209" s="52"/>
    </row>
    <row r="9210" spans="1:1" x14ac:dyDescent="0.2">
      <c r="A9210" s="52"/>
    </row>
    <row r="9211" spans="1:1" x14ac:dyDescent="0.2">
      <c r="A9211" s="52"/>
    </row>
    <row r="9212" spans="1:1" x14ac:dyDescent="0.2">
      <c r="A9212" s="53"/>
    </row>
    <row r="9213" spans="1:1" x14ac:dyDescent="0.2">
      <c r="A9213" s="52"/>
    </row>
    <row r="9214" spans="1:1" x14ac:dyDescent="0.2">
      <c r="A9214" s="52"/>
    </row>
    <row r="9215" spans="1:1" x14ac:dyDescent="0.2">
      <c r="A9215" s="52"/>
    </row>
    <row r="9216" spans="1:1" x14ac:dyDescent="0.2">
      <c r="A9216" s="53"/>
    </row>
    <row r="9217" spans="1:1" x14ac:dyDescent="0.2">
      <c r="A9217" s="52"/>
    </row>
    <row r="9218" spans="1:1" x14ac:dyDescent="0.2">
      <c r="A9218" s="52"/>
    </row>
    <row r="9219" spans="1:1" x14ac:dyDescent="0.2">
      <c r="A9219" s="52"/>
    </row>
    <row r="9220" spans="1:1" x14ac:dyDescent="0.2">
      <c r="A9220" s="52"/>
    </row>
    <row r="9221" spans="1:1" x14ac:dyDescent="0.2">
      <c r="A9221" s="52"/>
    </row>
    <row r="9222" spans="1:1" x14ac:dyDescent="0.2">
      <c r="A9222" s="52"/>
    </row>
    <row r="9223" spans="1:1" x14ac:dyDescent="0.2">
      <c r="A9223" s="52"/>
    </row>
    <row r="9224" spans="1:1" x14ac:dyDescent="0.2">
      <c r="A9224" s="52"/>
    </row>
    <row r="9225" spans="1:1" x14ac:dyDescent="0.2">
      <c r="A9225" s="52"/>
    </row>
    <row r="9226" spans="1:1" x14ac:dyDescent="0.2">
      <c r="A9226" s="52"/>
    </row>
    <row r="9227" spans="1:1" x14ac:dyDescent="0.2">
      <c r="A9227" s="52"/>
    </row>
    <row r="9228" spans="1:1" x14ac:dyDescent="0.2">
      <c r="A9228" s="52"/>
    </row>
    <row r="9229" spans="1:1" x14ac:dyDescent="0.2">
      <c r="A9229" s="52"/>
    </row>
    <row r="9230" spans="1:1" x14ac:dyDescent="0.2">
      <c r="A9230" s="52"/>
    </row>
    <row r="9231" spans="1:1" x14ac:dyDescent="0.2">
      <c r="A9231" s="53"/>
    </row>
    <row r="9232" spans="1:1" x14ac:dyDescent="0.2">
      <c r="A9232" s="52"/>
    </row>
    <row r="9233" spans="1:1" x14ac:dyDescent="0.2">
      <c r="A9233" s="52"/>
    </row>
    <row r="9234" spans="1:1" x14ac:dyDescent="0.2">
      <c r="A9234" s="52"/>
    </row>
    <row r="9235" spans="1:1" x14ac:dyDescent="0.2">
      <c r="A9235" s="52"/>
    </row>
    <row r="9236" spans="1:1" x14ac:dyDescent="0.2">
      <c r="A9236" s="52"/>
    </row>
    <row r="9237" spans="1:1" x14ac:dyDescent="0.2">
      <c r="A9237" s="52"/>
    </row>
    <row r="9238" spans="1:1" x14ac:dyDescent="0.2">
      <c r="A9238" s="52"/>
    </row>
    <row r="9239" spans="1:1" x14ac:dyDescent="0.2">
      <c r="A9239" s="52"/>
    </row>
    <row r="9240" spans="1:1" x14ac:dyDescent="0.2">
      <c r="A9240" s="52"/>
    </row>
    <row r="9241" spans="1:1" x14ac:dyDescent="0.2">
      <c r="A9241" s="52"/>
    </row>
    <row r="9242" spans="1:1" x14ac:dyDescent="0.2">
      <c r="A9242" s="52"/>
    </row>
    <row r="9243" spans="1:1" x14ac:dyDescent="0.2">
      <c r="A9243" s="52"/>
    </row>
    <row r="9244" spans="1:1" x14ac:dyDescent="0.2">
      <c r="A9244" s="52"/>
    </row>
    <row r="9245" spans="1:1" x14ac:dyDescent="0.2">
      <c r="A9245" s="52"/>
    </row>
    <row r="9246" spans="1:1" x14ac:dyDescent="0.2">
      <c r="A9246" s="52"/>
    </row>
    <row r="9247" spans="1:1" x14ac:dyDescent="0.2">
      <c r="A9247" s="52"/>
    </row>
    <row r="9248" spans="1:1" x14ac:dyDescent="0.2">
      <c r="A9248" s="52"/>
    </row>
    <row r="9249" spans="1:1" x14ac:dyDescent="0.2">
      <c r="A9249" s="52"/>
    </row>
    <row r="9250" spans="1:1" x14ac:dyDescent="0.2">
      <c r="A9250" s="52"/>
    </row>
    <row r="9251" spans="1:1" x14ac:dyDescent="0.2">
      <c r="A9251" s="52"/>
    </row>
    <row r="9252" spans="1:1" x14ac:dyDescent="0.2">
      <c r="A9252" s="52"/>
    </row>
    <row r="9253" spans="1:1" x14ac:dyDescent="0.2">
      <c r="A9253" s="52"/>
    </row>
    <row r="9254" spans="1:1" x14ac:dyDescent="0.2">
      <c r="A9254" s="52"/>
    </row>
    <row r="9255" spans="1:1" x14ac:dyDescent="0.2">
      <c r="A9255" s="52"/>
    </row>
    <row r="9256" spans="1:1" x14ac:dyDescent="0.2">
      <c r="A9256" s="52"/>
    </row>
    <row r="9257" spans="1:1" x14ac:dyDescent="0.2">
      <c r="A9257" s="53"/>
    </row>
    <row r="9258" spans="1:1" x14ac:dyDescent="0.2">
      <c r="A9258" s="52"/>
    </row>
    <row r="9259" spans="1:1" x14ac:dyDescent="0.2">
      <c r="A9259" s="52"/>
    </row>
    <row r="9260" spans="1:1" x14ac:dyDescent="0.2">
      <c r="A9260" s="52"/>
    </row>
    <row r="9261" spans="1:1" x14ac:dyDescent="0.2">
      <c r="A9261" s="52"/>
    </row>
    <row r="9262" spans="1:1" x14ac:dyDescent="0.2">
      <c r="A9262" s="52"/>
    </row>
    <row r="9263" spans="1:1" x14ac:dyDescent="0.2">
      <c r="A9263" s="52"/>
    </row>
    <row r="9264" spans="1:1" x14ac:dyDescent="0.2">
      <c r="A9264" s="52"/>
    </row>
    <row r="9265" spans="1:1" x14ac:dyDescent="0.2">
      <c r="A9265" s="52"/>
    </row>
    <row r="9266" spans="1:1" x14ac:dyDescent="0.2">
      <c r="A9266" s="52"/>
    </row>
    <row r="9267" spans="1:1" x14ac:dyDescent="0.2">
      <c r="A9267" s="52"/>
    </row>
    <row r="9268" spans="1:1" x14ac:dyDescent="0.2">
      <c r="A9268" s="52"/>
    </row>
    <row r="9269" spans="1:1" x14ac:dyDescent="0.2">
      <c r="A9269" s="52"/>
    </row>
    <row r="9270" spans="1:1" x14ac:dyDescent="0.2">
      <c r="A9270" s="52"/>
    </row>
    <row r="9271" spans="1:1" x14ac:dyDescent="0.2">
      <c r="A9271" s="52"/>
    </row>
    <row r="9272" spans="1:1" x14ac:dyDescent="0.2">
      <c r="A9272" s="52"/>
    </row>
    <row r="9273" spans="1:1" x14ac:dyDescent="0.2">
      <c r="A9273" s="52"/>
    </row>
    <row r="9274" spans="1:1" x14ac:dyDescent="0.2">
      <c r="A9274" s="52"/>
    </row>
    <row r="9275" spans="1:1" x14ac:dyDescent="0.2">
      <c r="A9275" s="52"/>
    </row>
    <row r="9276" spans="1:1" x14ac:dyDescent="0.2">
      <c r="A9276" s="52"/>
    </row>
    <row r="9277" spans="1:1" x14ac:dyDescent="0.2">
      <c r="A9277" s="52"/>
    </row>
    <row r="9278" spans="1:1" x14ac:dyDescent="0.2">
      <c r="A9278" s="52"/>
    </row>
    <row r="9279" spans="1:1" x14ac:dyDescent="0.2">
      <c r="A9279" s="52"/>
    </row>
    <row r="9280" spans="1:1" x14ac:dyDescent="0.2">
      <c r="A9280" s="52"/>
    </row>
    <row r="9281" spans="1:1" x14ac:dyDescent="0.2">
      <c r="A9281" s="52"/>
    </row>
    <row r="9282" spans="1:1" x14ac:dyDescent="0.2">
      <c r="A9282" s="52"/>
    </row>
    <row r="9283" spans="1:1" x14ac:dyDescent="0.2">
      <c r="A9283" s="52"/>
    </row>
    <row r="9284" spans="1:1" x14ac:dyDescent="0.2">
      <c r="A9284" s="52"/>
    </row>
    <row r="9285" spans="1:1" x14ac:dyDescent="0.2">
      <c r="A9285" s="52"/>
    </row>
    <row r="9286" spans="1:1" x14ac:dyDescent="0.2">
      <c r="A9286" s="52"/>
    </row>
    <row r="9287" spans="1:1" x14ac:dyDescent="0.2">
      <c r="A9287" s="52"/>
    </row>
    <row r="9288" spans="1:1" x14ac:dyDescent="0.2">
      <c r="A9288" s="52"/>
    </row>
    <row r="9289" spans="1:1" x14ac:dyDescent="0.2">
      <c r="A9289" s="52"/>
    </row>
    <row r="9290" spans="1:1" x14ac:dyDescent="0.2">
      <c r="A9290" s="52"/>
    </row>
    <row r="9291" spans="1:1" x14ac:dyDescent="0.2">
      <c r="A9291" s="52"/>
    </row>
    <row r="9292" spans="1:1" x14ac:dyDescent="0.2">
      <c r="A9292" s="52"/>
    </row>
    <row r="9293" spans="1:1" x14ac:dyDescent="0.2">
      <c r="A9293" s="52"/>
    </row>
    <row r="9294" spans="1:1" x14ac:dyDescent="0.2">
      <c r="A9294" s="52"/>
    </row>
    <row r="9295" spans="1:1" x14ac:dyDescent="0.2">
      <c r="A9295" s="52"/>
    </row>
    <row r="9296" spans="1:1" x14ac:dyDescent="0.2">
      <c r="A9296" s="52"/>
    </row>
    <row r="9297" spans="1:1" x14ac:dyDescent="0.2">
      <c r="A9297" s="52"/>
    </row>
    <row r="9298" spans="1:1" x14ac:dyDescent="0.2">
      <c r="A9298" s="52"/>
    </row>
    <row r="9299" spans="1:1" x14ac:dyDescent="0.2">
      <c r="A9299" s="52"/>
    </row>
    <row r="9300" spans="1:1" x14ac:dyDescent="0.2">
      <c r="A9300" s="52"/>
    </row>
    <row r="9301" spans="1:1" x14ac:dyDescent="0.2">
      <c r="A9301" s="52"/>
    </row>
    <row r="9302" spans="1:1" x14ac:dyDescent="0.2">
      <c r="A9302" s="52"/>
    </row>
    <row r="9303" spans="1:1" x14ac:dyDescent="0.2">
      <c r="A9303" s="52"/>
    </row>
    <row r="9304" spans="1:1" x14ac:dyDescent="0.2">
      <c r="A9304" s="52"/>
    </row>
    <row r="9305" spans="1:1" x14ac:dyDescent="0.2">
      <c r="A9305" s="52"/>
    </row>
    <row r="9306" spans="1:1" x14ac:dyDescent="0.2">
      <c r="A9306" s="52"/>
    </row>
    <row r="9307" spans="1:1" x14ac:dyDescent="0.2">
      <c r="A9307" s="52"/>
    </row>
    <row r="9308" spans="1:1" x14ac:dyDescent="0.2">
      <c r="A9308" s="52"/>
    </row>
    <row r="9309" spans="1:1" x14ac:dyDescent="0.2">
      <c r="A9309" s="52"/>
    </row>
    <row r="9310" spans="1:1" x14ac:dyDescent="0.2">
      <c r="A9310" s="52"/>
    </row>
    <row r="9311" spans="1:1" x14ac:dyDescent="0.2">
      <c r="A9311" s="52"/>
    </row>
    <row r="9312" spans="1:1" x14ac:dyDescent="0.2">
      <c r="A9312" s="52"/>
    </row>
    <row r="9313" spans="1:1" x14ac:dyDescent="0.2">
      <c r="A9313" s="52"/>
    </row>
    <row r="9314" spans="1:1" x14ac:dyDescent="0.2">
      <c r="A9314" s="52"/>
    </row>
    <row r="9315" spans="1:1" x14ac:dyDescent="0.2">
      <c r="A9315" s="52"/>
    </row>
    <row r="9316" spans="1:1" x14ac:dyDescent="0.2">
      <c r="A9316" s="52"/>
    </row>
    <row r="9317" spans="1:1" x14ac:dyDescent="0.2">
      <c r="A9317" s="52"/>
    </row>
    <row r="9318" spans="1:1" x14ac:dyDescent="0.2">
      <c r="A9318" s="52"/>
    </row>
    <row r="9319" spans="1:1" x14ac:dyDescent="0.2">
      <c r="A9319" s="52"/>
    </row>
    <row r="9320" spans="1:1" x14ac:dyDescent="0.2">
      <c r="A9320" s="52"/>
    </row>
    <row r="9321" spans="1:1" x14ac:dyDescent="0.2">
      <c r="A9321" s="52"/>
    </row>
    <row r="9322" spans="1:1" x14ac:dyDescent="0.2">
      <c r="A9322" s="53"/>
    </row>
    <row r="9323" spans="1:1" x14ac:dyDescent="0.2">
      <c r="A9323" s="52"/>
    </row>
    <row r="9324" spans="1:1" x14ac:dyDescent="0.2">
      <c r="A9324" s="52"/>
    </row>
    <row r="9325" spans="1:1" x14ac:dyDescent="0.2">
      <c r="A9325" s="52"/>
    </row>
    <row r="9326" spans="1:1" x14ac:dyDescent="0.2">
      <c r="A9326" s="52"/>
    </row>
    <row r="9327" spans="1:1" x14ac:dyDescent="0.2">
      <c r="A9327" s="52"/>
    </row>
    <row r="9328" spans="1:1" x14ac:dyDescent="0.2">
      <c r="A9328" s="52"/>
    </row>
    <row r="9329" spans="1:1" x14ac:dyDescent="0.2">
      <c r="A9329" s="52"/>
    </row>
    <row r="9330" spans="1:1" x14ac:dyDescent="0.2">
      <c r="A9330" s="52"/>
    </row>
    <row r="9331" spans="1:1" x14ac:dyDescent="0.2">
      <c r="A9331" s="52"/>
    </row>
    <row r="9332" spans="1:1" x14ac:dyDescent="0.2">
      <c r="A9332" s="52"/>
    </row>
    <row r="9333" spans="1:1" x14ac:dyDescent="0.2">
      <c r="A9333" s="52"/>
    </row>
    <row r="9334" spans="1:1" x14ac:dyDescent="0.2">
      <c r="A9334" s="52"/>
    </row>
    <row r="9335" spans="1:1" x14ac:dyDescent="0.2">
      <c r="A9335" s="52"/>
    </row>
    <row r="9336" spans="1:1" x14ac:dyDescent="0.2">
      <c r="A9336" s="52"/>
    </row>
    <row r="9337" spans="1:1" x14ac:dyDescent="0.2">
      <c r="A9337" s="52"/>
    </row>
    <row r="9338" spans="1:1" x14ac:dyDescent="0.2">
      <c r="A9338" s="52"/>
    </row>
    <row r="9339" spans="1:1" x14ac:dyDescent="0.2">
      <c r="A9339" s="52"/>
    </row>
    <row r="9340" spans="1:1" x14ac:dyDescent="0.2">
      <c r="A9340" s="52"/>
    </row>
    <row r="9341" spans="1:1" x14ac:dyDescent="0.2">
      <c r="A9341" s="52"/>
    </row>
    <row r="9342" spans="1:1" x14ac:dyDescent="0.2">
      <c r="A9342" s="52"/>
    </row>
    <row r="9343" spans="1:1" x14ac:dyDescent="0.2">
      <c r="A9343" s="52"/>
    </row>
    <row r="9344" spans="1:1" x14ac:dyDescent="0.2">
      <c r="A9344" s="52"/>
    </row>
    <row r="9345" spans="1:1" x14ac:dyDescent="0.2">
      <c r="A9345" s="52"/>
    </row>
    <row r="9346" spans="1:1" x14ac:dyDescent="0.2">
      <c r="A9346" s="52"/>
    </row>
    <row r="9347" spans="1:1" x14ac:dyDescent="0.2">
      <c r="A9347" s="53"/>
    </row>
    <row r="9348" spans="1:1" x14ac:dyDescent="0.2">
      <c r="A9348" s="52"/>
    </row>
    <row r="9349" spans="1:1" x14ac:dyDescent="0.2">
      <c r="A9349" s="52"/>
    </row>
    <row r="9350" spans="1:1" x14ac:dyDescent="0.2">
      <c r="A9350" s="52"/>
    </row>
    <row r="9351" spans="1:1" x14ac:dyDescent="0.2">
      <c r="A9351" s="52"/>
    </row>
    <row r="9352" spans="1:1" x14ac:dyDescent="0.2">
      <c r="A9352" s="53"/>
    </row>
    <row r="9353" spans="1:1" x14ac:dyDescent="0.2">
      <c r="A9353" s="52"/>
    </row>
    <row r="9354" spans="1:1" x14ac:dyDescent="0.2">
      <c r="A9354" s="52"/>
    </row>
    <row r="9355" spans="1:1" x14ac:dyDescent="0.2">
      <c r="A9355" s="52"/>
    </row>
    <row r="9356" spans="1:1" x14ac:dyDescent="0.2">
      <c r="A9356" s="52"/>
    </row>
    <row r="9357" spans="1:1" x14ac:dyDescent="0.2">
      <c r="A9357" s="52"/>
    </row>
    <row r="9358" spans="1:1" x14ac:dyDescent="0.2">
      <c r="A9358" s="52"/>
    </row>
    <row r="9359" spans="1:1" x14ac:dyDescent="0.2">
      <c r="A9359" s="52"/>
    </row>
    <row r="9360" spans="1:1" x14ac:dyDescent="0.2">
      <c r="A9360" s="52"/>
    </row>
    <row r="9361" spans="1:1" x14ac:dyDescent="0.2">
      <c r="A9361" s="52"/>
    </row>
    <row r="9362" spans="1:1" x14ac:dyDescent="0.2">
      <c r="A9362" s="52"/>
    </row>
    <row r="9363" spans="1:1" x14ac:dyDescent="0.2">
      <c r="A9363" s="52"/>
    </row>
    <row r="9364" spans="1:1" x14ac:dyDescent="0.2">
      <c r="A9364" s="52"/>
    </row>
    <row r="9365" spans="1:1" x14ac:dyDescent="0.2">
      <c r="A9365" s="52"/>
    </row>
    <row r="9366" spans="1:1" x14ac:dyDescent="0.2">
      <c r="A9366" s="52"/>
    </row>
    <row r="9367" spans="1:1" x14ac:dyDescent="0.2">
      <c r="A9367" s="53"/>
    </row>
    <row r="9368" spans="1:1" x14ac:dyDescent="0.2">
      <c r="A9368" s="52"/>
    </row>
    <row r="9369" spans="1:1" x14ac:dyDescent="0.2">
      <c r="A9369" s="52"/>
    </row>
    <row r="9370" spans="1:1" x14ac:dyDescent="0.2">
      <c r="A9370" s="52"/>
    </row>
    <row r="9371" spans="1:1" x14ac:dyDescent="0.2">
      <c r="A9371" s="52"/>
    </row>
    <row r="9372" spans="1:1" x14ac:dyDescent="0.2">
      <c r="A9372" s="52"/>
    </row>
    <row r="9373" spans="1:1" x14ac:dyDescent="0.2">
      <c r="A9373" s="52"/>
    </row>
    <row r="9374" spans="1:1" x14ac:dyDescent="0.2">
      <c r="A9374" s="52"/>
    </row>
    <row r="9375" spans="1:1" x14ac:dyDescent="0.2">
      <c r="A9375" s="53"/>
    </row>
    <row r="9376" spans="1:1" x14ac:dyDescent="0.2">
      <c r="A9376" s="52"/>
    </row>
    <row r="9377" spans="1:1" x14ac:dyDescent="0.2">
      <c r="A9377" s="52"/>
    </row>
    <row r="9378" spans="1:1" x14ac:dyDescent="0.2">
      <c r="A9378" s="52"/>
    </row>
    <row r="9379" spans="1:1" x14ac:dyDescent="0.2">
      <c r="A9379" s="52"/>
    </row>
    <row r="9380" spans="1:1" x14ac:dyDescent="0.2">
      <c r="A9380" s="52"/>
    </row>
    <row r="9381" spans="1:1" x14ac:dyDescent="0.2">
      <c r="A9381" s="52"/>
    </row>
    <row r="9382" spans="1:1" x14ac:dyDescent="0.2">
      <c r="A9382" s="52"/>
    </row>
    <row r="9383" spans="1:1" x14ac:dyDescent="0.2">
      <c r="A9383" s="52"/>
    </row>
    <row r="9384" spans="1:1" x14ac:dyDescent="0.2">
      <c r="A9384" s="52"/>
    </row>
    <row r="9385" spans="1:1" x14ac:dyDescent="0.2">
      <c r="A9385" s="52"/>
    </row>
    <row r="9386" spans="1:1" x14ac:dyDescent="0.2">
      <c r="A9386" s="52"/>
    </row>
    <row r="9387" spans="1:1" x14ac:dyDescent="0.2">
      <c r="A9387" s="52"/>
    </row>
    <row r="9388" spans="1:1" x14ac:dyDescent="0.2">
      <c r="A9388" s="52"/>
    </row>
    <row r="9389" spans="1:1" x14ac:dyDescent="0.2">
      <c r="A9389" s="52"/>
    </row>
    <row r="9390" spans="1:1" x14ac:dyDescent="0.2">
      <c r="A9390" s="52"/>
    </row>
    <row r="9391" spans="1:1" x14ac:dyDescent="0.2">
      <c r="A9391" s="52"/>
    </row>
    <row r="9392" spans="1:1" x14ac:dyDescent="0.2">
      <c r="A9392" s="52"/>
    </row>
    <row r="9393" spans="1:1" x14ac:dyDescent="0.2">
      <c r="A9393" s="52"/>
    </row>
    <row r="9394" spans="1:1" x14ac:dyDescent="0.2">
      <c r="A9394" s="52"/>
    </row>
    <row r="9395" spans="1:1" x14ac:dyDescent="0.2">
      <c r="A9395" s="52"/>
    </row>
    <row r="9396" spans="1:1" x14ac:dyDescent="0.2">
      <c r="A9396" s="52"/>
    </row>
    <row r="9397" spans="1:1" x14ac:dyDescent="0.2">
      <c r="A9397" s="52"/>
    </row>
    <row r="9398" spans="1:1" x14ac:dyDescent="0.2">
      <c r="A9398" s="52"/>
    </row>
    <row r="9399" spans="1:1" x14ac:dyDescent="0.2">
      <c r="A9399" s="52"/>
    </row>
    <row r="9400" spans="1:1" x14ac:dyDescent="0.2">
      <c r="A9400" s="52"/>
    </row>
    <row r="9401" spans="1:1" x14ac:dyDescent="0.2">
      <c r="A9401" s="52"/>
    </row>
    <row r="9402" spans="1:1" x14ac:dyDescent="0.2">
      <c r="A9402" s="53"/>
    </row>
    <row r="9403" spans="1:1" x14ac:dyDescent="0.2">
      <c r="A9403" s="52"/>
    </row>
    <row r="9404" spans="1:1" x14ac:dyDescent="0.2">
      <c r="A9404" s="52"/>
    </row>
    <row r="9405" spans="1:1" x14ac:dyDescent="0.2">
      <c r="A9405" s="52"/>
    </row>
    <row r="9406" spans="1:1" x14ac:dyDescent="0.2">
      <c r="A9406" s="52"/>
    </row>
    <row r="9407" spans="1:1" x14ac:dyDescent="0.2">
      <c r="A9407" s="53"/>
    </row>
    <row r="9408" spans="1:1" x14ac:dyDescent="0.2">
      <c r="A9408" s="52"/>
    </row>
    <row r="9409" spans="1:1" x14ac:dyDescent="0.2">
      <c r="A9409" s="52"/>
    </row>
    <row r="9410" spans="1:1" x14ac:dyDescent="0.2">
      <c r="A9410" s="52"/>
    </row>
    <row r="9411" spans="1:1" x14ac:dyDescent="0.2">
      <c r="A9411" s="52"/>
    </row>
    <row r="9412" spans="1:1" x14ac:dyDescent="0.2">
      <c r="A9412" s="53"/>
    </row>
    <row r="9413" spans="1:1" x14ac:dyDescent="0.2">
      <c r="A9413" s="52"/>
    </row>
    <row r="9414" spans="1:1" x14ac:dyDescent="0.2">
      <c r="A9414" s="52"/>
    </row>
    <row r="9415" spans="1:1" x14ac:dyDescent="0.2">
      <c r="A9415" s="52"/>
    </row>
    <row r="9416" spans="1:1" x14ac:dyDescent="0.2">
      <c r="A9416" s="52"/>
    </row>
    <row r="9417" spans="1:1" x14ac:dyDescent="0.2">
      <c r="A9417" s="52"/>
    </row>
    <row r="9418" spans="1:1" x14ac:dyDescent="0.2">
      <c r="A9418" s="52"/>
    </row>
    <row r="9419" spans="1:1" x14ac:dyDescent="0.2">
      <c r="A9419" s="53"/>
    </row>
    <row r="9420" spans="1:1" x14ac:dyDescent="0.2">
      <c r="A9420" s="52"/>
    </row>
    <row r="9421" spans="1:1" x14ac:dyDescent="0.2">
      <c r="A9421" s="52"/>
    </row>
    <row r="9422" spans="1:1" x14ac:dyDescent="0.2">
      <c r="A9422" s="52"/>
    </row>
    <row r="9423" spans="1:1" x14ac:dyDescent="0.2">
      <c r="A9423" s="52"/>
    </row>
    <row r="9424" spans="1:1" x14ac:dyDescent="0.2">
      <c r="A9424" s="52"/>
    </row>
    <row r="9425" spans="1:1" x14ac:dyDescent="0.2">
      <c r="A9425" s="52"/>
    </row>
    <row r="9426" spans="1:1" x14ac:dyDescent="0.2">
      <c r="A9426" s="52"/>
    </row>
    <row r="9427" spans="1:1" x14ac:dyDescent="0.2">
      <c r="A9427" s="53"/>
    </row>
    <row r="9428" spans="1:1" x14ac:dyDescent="0.2">
      <c r="A9428" s="52"/>
    </row>
    <row r="9429" spans="1:1" x14ac:dyDescent="0.2">
      <c r="A9429" s="52"/>
    </row>
    <row r="9430" spans="1:1" x14ac:dyDescent="0.2">
      <c r="A9430" s="52"/>
    </row>
    <row r="9431" spans="1:1" x14ac:dyDescent="0.2">
      <c r="A9431" s="52"/>
    </row>
    <row r="9432" spans="1:1" x14ac:dyDescent="0.2">
      <c r="A9432" s="52"/>
    </row>
    <row r="9433" spans="1:1" x14ac:dyDescent="0.2">
      <c r="A9433" s="52"/>
    </row>
    <row r="9434" spans="1:1" x14ac:dyDescent="0.2">
      <c r="A9434" s="52"/>
    </row>
    <row r="9435" spans="1:1" x14ac:dyDescent="0.2">
      <c r="A9435" s="52"/>
    </row>
    <row r="9436" spans="1:1" x14ac:dyDescent="0.2">
      <c r="A9436" s="52"/>
    </row>
    <row r="9437" spans="1:1" x14ac:dyDescent="0.2">
      <c r="A9437" s="52"/>
    </row>
    <row r="9438" spans="1:1" x14ac:dyDescent="0.2">
      <c r="A9438" s="52"/>
    </row>
    <row r="9439" spans="1:1" x14ac:dyDescent="0.2">
      <c r="A9439" s="52"/>
    </row>
    <row r="9440" spans="1:1" x14ac:dyDescent="0.2">
      <c r="A9440" s="52"/>
    </row>
    <row r="9441" spans="1:1" x14ac:dyDescent="0.2">
      <c r="A9441" s="52"/>
    </row>
    <row r="9442" spans="1:1" x14ac:dyDescent="0.2">
      <c r="A9442" s="52"/>
    </row>
    <row r="9443" spans="1:1" x14ac:dyDescent="0.2">
      <c r="A9443" s="52"/>
    </row>
    <row r="9444" spans="1:1" x14ac:dyDescent="0.2">
      <c r="A9444" s="52"/>
    </row>
    <row r="9445" spans="1:1" x14ac:dyDescent="0.2">
      <c r="A9445" s="52"/>
    </row>
    <row r="9446" spans="1:1" x14ac:dyDescent="0.2">
      <c r="A9446" s="52"/>
    </row>
    <row r="9447" spans="1:1" x14ac:dyDescent="0.2">
      <c r="A9447" s="52"/>
    </row>
    <row r="9448" spans="1:1" x14ac:dyDescent="0.2">
      <c r="A9448" s="52"/>
    </row>
    <row r="9449" spans="1:1" x14ac:dyDescent="0.2">
      <c r="A9449" s="52"/>
    </row>
    <row r="9450" spans="1:1" x14ac:dyDescent="0.2">
      <c r="A9450" s="52"/>
    </row>
    <row r="9451" spans="1:1" x14ac:dyDescent="0.2">
      <c r="A9451" s="52"/>
    </row>
    <row r="9452" spans="1:1" x14ac:dyDescent="0.2">
      <c r="A9452" s="52"/>
    </row>
    <row r="9453" spans="1:1" x14ac:dyDescent="0.2">
      <c r="A9453" s="52"/>
    </row>
    <row r="9454" spans="1:1" x14ac:dyDescent="0.2">
      <c r="A9454" s="53"/>
    </row>
    <row r="9455" spans="1:1" x14ac:dyDescent="0.2">
      <c r="A9455" s="52"/>
    </row>
    <row r="9456" spans="1:1" x14ac:dyDescent="0.2">
      <c r="A9456" s="52"/>
    </row>
    <row r="9457" spans="1:1" x14ac:dyDescent="0.2">
      <c r="A9457" s="52"/>
    </row>
    <row r="9458" spans="1:1" x14ac:dyDescent="0.2">
      <c r="A9458" s="52"/>
    </row>
    <row r="9459" spans="1:1" x14ac:dyDescent="0.2">
      <c r="A9459" s="52"/>
    </row>
    <row r="9460" spans="1:1" x14ac:dyDescent="0.2">
      <c r="A9460" s="52"/>
    </row>
    <row r="9461" spans="1:1" x14ac:dyDescent="0.2">
      <c r="A9461" s="52"/>
    </row>
    <row r="9462" spans="1:1" x14ac:dyDescent="0.2">
      <c r="A9462" s="52"/>
    </row>
    <row r="9463" spans="1:1" x14ac:dyDescent="0.2">
      <c r="A9463" s="52"/>
    </row>
    <row r="9464" spans="1:1" x14ac:dyDescent="0.2">
      <c r="A9464" s="52"/>
    </row>
    <row r="9465" spans="1:1" x14ac:dyDescent="0.2">
      <c r="A9465" s="52"/>
    </row>
    <row r="9466" spans="1:1" x14ac:dyDescent="0.2">
      <c r="A9466" s="52"/>
    </row>
    <row r="9467" spans="1:1" x14ac:dyDescent="0.2">
      <c r="A9467" s="53"/>
    </row>
    <row r="9468" spans="1:1" x14ac:dyDescent="0.2">
      <c r="A9468" s="52"/>
    </row>
    <row r="9469" spans="1:1" x14ac:dyDescent="0.2">
      <c r="A9469" s="52"/>
    </row>
    <row r="9470" spans="1:1" x14ac:dyDescent="0.2">
      <c r="A9470" s="52"/>
    </row>
    <row r="9471" spans="1:1" x14ac:dyDescent="0.2">
      <c r="A9471" s="52"/>
    </row>
    <row r="9472" spans="1:1" x14ac:dyDescent="0.2">
      <c r="A9472" s="52"/>
    </row>
    <row r="9473" spans="1:1" x14ac:dyDescent="0.2">
      <c r="A9473" s="52"/>
    </row>
    <row r="9474" spans="1:1" x14ac:dyDescent="0.2">
      <c r="A9474" s="52"/>
    </row>
    <row r="9475" spans="1:1" x14ac:dyDescent="0.2">
      <c r="A9475" s="52"/>
    </row>
    <row r="9476" spans="1:1" x14ac:dyDescent="0.2">
      <c r="A9476" s="52"/>
    </row>
    <row r="9477" spans="1:1" x14ac:dyDescent="0.2">
      <c r="A9477" s="52"/>
    </row>
    <row r="9478" spans="1:1" x14ac:dyDescent="0.2">
      <c r="A9478" s="52"/>
    </row>
    <row r="9479" spans="1:1" x14ac:dyDescent="0.2">
      <c r="A9479" s="52"/>
    </row>
    <row r="9480" spans="1:1" x14ac:dyDescent="0.2">
      <c r="A9480" s="52"/>
    </row>
    <row r="9481" spans="1:1" x14ac:dyDescent="0.2">
      <c r="A9481" s="52"/>
    </row>
    <row r="9482" spans="1:1" x14ac:dyDescent="0.2">
      <c r="A9482" s="52"/>
    </row>
    <row r="9483" spans="1:1" x14ac:dyDescent="0.2">
      <c r="A9483" s="52"/>
    </row>
    <row r="9484" spans="1:1" x14ac:dyDescent="0.2">
      <c r="A9484" s="52"/>
    </row>
    <row r="9485" spans="1:1" x14ac:dyDescent="0.2">
      <c r="A9485" s="52"/>
    </row>
    <row r="9486" spans="1:1" x14ac:dyDescent="0.2">
      <c r="A9486" s="53"/>
    </row>
    <row r="9487" spans="1:1" x14ac:dyDescent="0.2">
      <c r="A9487" s="52"/>
    </row>
    <row r="9488" spans="1:1" x14ac:dyDescent="0.2">
      <c r="A9488" s="52"/>
    </row>
    <row r="9489" spans="1:1" x14ac:dyDescent="0.2">
      <c r="A9489" s="52"/>
    </row>
    <row r="9490" spans="1:1" x14ac:dyDescent="0.2">
      <c r="A9490" s="52"/>
    </row>
    <row r="9491" spans="1:1" x14ac:dyDescent="0.2">
      <c r="A9491" s="52"/>
    </row>
    <row r="9492" spans="1:1" x14ac:dyDescent="0.2">
      <c r="A9492" s="52"/>
    </row>
    <row r="9493" spans="1:1" x14ac:dyDescent="0.2">
      <c r="A9493" s="52"/>
    </row>
    <row r="9494" spans="1:1" x14ac:dyDescent="0.2">
      <c r="A9494" s="52"/>
    </row>
    <row r="9495" spans="1:1" x14ac:dyDescent="0.2">
      <c r="A9495" s="53"/>
    </row>
    <row r="9496" spans="1:1" x14ac:dyDescent="0.2">
      <c r="A9496" s="52"/>
    </row>
    <row r="9497" spans="1:1" x14ac:dyDescent="0.2">
      <c r="A9497" s="52"/>
    </row>
    <row r="9498" spans="1:1" x14ac:dyDescent="0.2">
      <c r="A9498" s="53"/>
    </row>
    <row r="9499" spans="1:1" x14ac:dyDescent="0.2">
      <c r="A9499" s="52"/>
    </row>
    <row r="9500" spans="1:1" x14ac:dyDescent="0.2">
      <c r="A9500" s="52"/>
    </row>
    <row r="9501" spans="1:1" x14ac:dyDescent="0.2">
      <c r="A9501" s="52"/>
    </row>
    <row r="9502" spans="1:1" x14ac:dyDescent="0.2">
      <c r="A9502" s="52"/>
    </row>
    <row r="9503" spans="1:1" x14ac:dyDescent="0.2">
      <c r="A9503" s="52"/>
    </row>
    <row r="9504" spans="1:1" x14ac:dyDescent="0.2">
      <c r="A9504" s="52"/>
    </row>
    <row r="9505" spans="1:1" x14ac:dyDescent="0.2">
      <c r="A9505" s="52"/>
    </row>
    <row r="9506" spans="1:1" x14ac:dyDescent="0.2">
      <c r="A9506" s="52"/>
    </row>
    <row r="9507" spans="1:1" x14ac:dyDescent="0.2">
      <c r="A9507" s="52"/>
    </row>
    <row r="9508" spans="1:1" x14ac:dyDescent="0.2">
      <c r="A9508" s="52"/>
    </row>
    <row r="9509" spans="1:1" x14ac:dyDescent="0.2">
      <c r="A9509" s="52"/>
    </row>
    <row r="9510" spans="1:1" x14ac:dyDescent="0.2">
      <c r="A9510" s="52"/>
    </row>
    <row r="9511" spans="1:1" x14ac:dyDescent="0.2">
      <c r="A9511" s="52"/>
    </row>
    <row r="9512" spans="1:1" x14ac:dyDescent="0.2">
      <c r="A9512" s="52"/>
    </row>
    <row r="9513" spans="1:1" x14ac:dyDescent="0.2">
      <c r="A9513" s="52"/>
    </row>
    <row r="9514" spans="1:1" x14ac:dyDescent="0.2">
      <c r="A9514" s="52"/>
    </row>
    <row r="9515" spans="1:1" x14ac:dyDescent="0.2">
      <c r="A9515" s="52"/>
    </row>
    <row r="9516" spans="1:1" x14ac:dyDescent="0.2">
      <c r="A9516" s="52"/>
    </row>
    <row r="9517" spans="1:1" x14ac:dyDescent="0.2">
      <c r="A9517" s="52"/>
    </row>
    <row r="9518" spans="1:1" x14ac:dyDescent="0.2">
      <c r="A9518" s="52"/>
    </row>
    <row r="9519" spans="1:1" x14ac:dyDescent="0.2">
      <c r="A9519" s="52"/>
    </row>
    <row r="9520" spans="1:1" x14ac:dyDescent="0.2">
      <c r="A9520" s="52"/>
    </row>
    <row r="9521" spans="1:1" x14ac:dyDescent="0.2">
      <c r="A9521" s="53"/>
    </row>
    <row r="9522" spans="1:1" x14ac:dyDescent="0.2">
      <c r="A9522" s="52"/>
    </row>
    <row r="9523" spans="1:1" x14ac:dyDescent="0.2">
      <c r="A9523" s="52"/>
    </row>
    <row r="9524" spans="1:1" x14ac:dyDescent="0.2">
      <c r="A9524" s="52"/>
    </row>
    <row r="9525" spans="1:1" x14ac:dyDescent="0.2">
      <c r="A9525" s="52"/>
    </row>
    <row r="9526" spans="1:1" x14ac:dyDescent="0.2">
      <c r="A9526" s="52"/>
    </row>
    <row r="9527" spans="1:1" x14ac:dyDescent="0.2">
      <c r="A9527" s="52"/>
    </row>
    <row r="9528" spans="1:1" x14ac:dyDescent="0.2">
      <c r="A9528" s="53"/>
    </row>
    <row r="9529" spans="1:1" x14ac:dyDescent="0.2">
      <c r="A9529" s="52"/>
    </row>
    <row r="9530" spans="1:1" x14ac:dyDescent="0.2">
      <c r="A9530" s="52"/>
    </row>
    <row r="9531" spans="1:1" x14ac:dyDescent="0.2">
      <c r="A9531" s="52"/>
    </row>
    <row r="9532" spans="1:1" x14ac:dyDescent="0.2">
      <c r="A9532" s="52"/>
    </row>
    <row r="9533" spans="1:1" x14ac:dyDescent="0.2">
      <c r="A9533" s="52"/>
    </row>
    <row r="9534" spans="1:1" x14ac:dyDescent="0.2">
      <c r="A9534" s="52"/>
    </row>
    <row r="9535" spans="1:1" x14ac:dyDescent="0.2">
      <c r="A9535" s="52"/>
    </row>
    <row r="9536" spans="1:1" x14ac:dyDescent="0.2">
      <c r="A9536" s="52"/>
    </row>
    <row r="9537" spans="1:1" x14ac:dyDescent="0.2">
      <c r="A9537" s="52"/>
    </row>
    <row r="9538" spans="1:1" x14ac:dyDescent="0.2">
      <c r="A9538" s="52"/>
    </row>
    <row r="9539" spans="1:1" x14ac:dyDescent="0.2">
      <c r="A9539" s="52"/>
    </row>
    <row r="9540" spans="1:1" x14ac:dyDescent="0.2">
      <c r="A9540" s="52"/>
    </row>
    <row r="9541" spans="1:1" x14ac:dyDescent="0.2">
      <c r="A9541" s="52"/>
    </row>
    <row r="9542" spans="1:1" x14ac:dyDescent="0.2">
      <c r="A9542" s="52"/>
    </row>
    <row r="9543" spans="1:1" x14ac:dyDescent="0.2">
      <c r="A9543" s="52"/>
    </row>
    <row r="9544" spans="1:1" x14ac:dyDescent="0.2">
      <c r="A9544" s="52"/>
    </row>
    <row r="9545" spans="1:1" x14ac:dyDescent="0.2">
      <c r="A9545" s="52"/>
    </row>
    <row r="9546" spans="1:1" x14ac:dyDescent="0.2">
      <c r="A9546" s="52"/>
    </row>
    <row r="9547" spans="1:1" x14ac:dyDescent="0.2">
      <c r="A9547" s="52"/>
    </row>
    <row r="9548" spans="1:1" x14ac:dyDescent="0.2">
      <c r="A9548" s="52"/>
    </row>
    <row r="9549" spans="1:1" x14ac:dyDescent="0.2">
      <c r="A9549" s="52"/>
    </row>
    <row r="9550" spans="1:1" x14ac:dyDescent="0.2">
      <c r="A9550" s="52"/>
    </row>
    <row r="9551" spans="1:1" x14ac:dyDescent="0.2">
      <c r="A9551" s="52"/>
    </row>
    <row r="9552" spans="1:1" x14ac:dyDescent="0.2">
      <c r="A9552" s="52"/>
    </row>
    <row r="9553" spans="1:1" x14ac:dyDescent="0.2">
      <c r="A9553" s="52"/>
    </row>
    <row r="9554" spans="1:1" x14ac:dyDescent="0.2">
      <c r="A9554" s="53"/>
    </row>
    <row r="9555" spans="1:1" x14ac:dyDescent="0.2">
      <c r="A9555" s="52"/>
    </row>
    <row r="9556" spans="1:1" x14ac:dyDescent="0.2">
      <c r="A9556" s="53"/>
    </row>
    <row r="9557" spans="1:1" x14ac:dyDescent="0.2">
      <c r="A9557" s="52"/>
    </row>
    <row r="9558" spans="1:1" x14ac:dyDescent="0.2">
      <c r="A9558" s="53"/>
    </row>
    <row r="9559" spans="1:1" x14ac:dyDescent="0.2">
      <c r="A9559" s="52"/>
    </row>
    <row r="9560" spans="1:1" x14ac:dyDescent="0.2">
      <c r="A9560" s="52"/>
    </row>
    <row r="9561" spans="1:1" x14ac:dyDescent="0.2">
      <c r="A9561" s="52"/>
    </row>
    <row r="9562" spans="1:1" x14ac:dyDescent="0.2">
      <c r="A9562" s="52"/>
    </row>
    <row r="9563" spans="1:1" x14ac:dyDescent="0.2">
      <c r="A9563" s="53"/>
    </row>
    <row r="9564" spans="1:1" x14ac:dyDescent="0.2">
      <c r="A9564" s="53"/>
    </row>
    <row r="9565" spans="1:1" x14ac:dyDescent="0.2">
      <c r="A9565" s="52"/>
    </row>
    <row r="9566" spans="1:1" x14ac:dyDescent="0.2">
      <c r="A9566" s="53"/>
    </row>
    <row r="9567" spans="1:1" x14ac:dyDescent="0.2">
      <c r="A9567" s="52"/>
    </row>
    <row r="9568" spans="1:1" x14ac:dyDescent="0.2">
      <c r="A9568" s="53"/>
    </row>
    <row r="9569" spans="1:1" x14ac:dyDescent="0.2">
      <c r="A9569" s="52"/>
    </row>
    <row r="9570" spans="1:1" x14ac:dyDescent="0.2">
      <c r="A9570" s="52"/>
    </row>
    <row r="9571" spans="1:1" x14ac:dyDescent="0.2">
      <c r="A9571" s="52"/>
    </row>
    <row r="9572" spans="1:1" x14ac:dyDescent="0.2">
      <c r="A9572" s="52"/>
    </row>
    <row r="9573" spans="1:1" x14ac:dyDescent="0.2">
      <c r="A9573" s="52"/>
    </row>
    <row r="9574" spans="1:1" x14ac:dyDescent="0.2">
      <c r="A9574" s="52"/>
    </row>
    <row r="9575" spans="1:1" x14ac:dyDescent="0.2">
      <c r="A9575" s="52"/>
    </row>
    <row r="9576" spans="1:1" x14ac:dyDescent="0.2">
      <c r="A9576" s="52"/>
    </row>
    <row r="9577" spans="1:1" x14ac:dyDescent="0.2">
      <c r="A9577" s="52"/>
    </row>
    <row r="9578" spans="1:1" x14ac:dyDescent="0.2">
      <c r="A9578" s="52"/>
    </row>
    <row r="9579" spans="1:1" x14ac:dyDescent="0.2">
      <c r="A9579" s="52"/>
    </row>
    <row r="9580" spans="1:1" x14ac:dyDescent="0.2">
      <c r="A9580" s="52"/>
    </row>
    <row r="9581" spans="1:1" x14ac:dyDescent="0.2">
      <c r="A9581" s="52"/>
    </row>
    <row r="9582" spans="1:1" x14ac:dyDescent="0.2">
      <c r="A9582" s="52"/>
    </row>
    <row r="9583" spans="1:1" x14ac:dyDescent="0.2">
      <c r="A9583" s="52"/>
    </row>
    <row r="9584" spans="1:1" x14ac:dyDescent="0.2">
      <c r="A9584" s="52"/>
    </row>
    <row r="9585" spans="1:1" x14ac:dyDescent="0.2">
      <c r="A9585" s="52"/>
    </row>
    <row r="9586" spans="1:1" x14ac:dyDescent="0.2">
      <c r="A9586" s="52"/>
    </row>
    <row r="9587" spans="1:1" x14ac:dyDescent="0.2">
      <c r="A9587" s="52"/>
    </row>
    <row r="9588" spans="1:1" x14ac:dyDescent="0.2">
      <c r="A9588" s="52"/>
    </row>
    <row r="9589" spans="1:1" x14ac:dyDescent="0.2">
      <c r="A9589" s="52"/>
    </row>
    <row r="9590" spans="1:1" x14ac:dyDescent="0.2">
      <c r="A9590" s="52"/>
    </row>
    <row r="9591" spans="1:1" x14ac:dyDescent="0.2">
      <c r="A9591" s="52"/>
    </row>
    <row r="9592" spans="1:1" x14ac:dyDescent="0.2">
      <c r="A9592" s="52"/>
    </row>
    <row r="9593" spans="1:1" x14ac:dyDescent="0.2">
      <c r="A9593" s="52"/>
    </row>
    <row r="9594" spans="1:1" x14ac:dyDescent="0.2">
      <c r="A9594" s="52"/>
    </row>
    <row r="9595" spans="1:1" x14ac:dyDescent="0.2">
      <c r="A9595" s="52"/>
    </row>
    <row r="9596" spans="1:1" x14ac:dyDescent="0.2">
      <c r="A9596" s="53"/>
    </row>
    <row r="9597" spans="1:1" x14ac:dyDescent="0.2">
      <c r="A9597" s="52"/>
    </row>
    <row r="9598" spans="1:1" x14ac:dyDescent="0.2">
      <c r="A9598" s="52"/>
    </row>
    <row r="9599" spans="1:1" x14ac:dyDescent="0.2">
      <c r="A9599" s="52"/>
    </row>
    <row r="9600" spans="1:1" x14ac:dyDescent="0.2">
      <c r="A9600" s="52"/>
    </row>
    <row r="9601" spans="1:1" x14ac:dyDescent="0.2">
      <c r="A9601" s="52"/>
    </row>
    <row r="9602" spans="1:1" x14ac:dyDescent="0.2">
      <c r="A9602" s="52"/>
    </row>
    <row r="9603" spans="1:1" x14ac:dyDescent="0.2">
      <c r="A9603" s="52"/>
    </row>
    <row r="9604" spans="1:1" x14ac:dyDescent="0.2">
      <c r="A9604" s="52"/>
    </row>
    <row r="9605" spans="1:1" x14ac:dyDescent="0.2">
      <c r="A9605" s="52"/>
    </row>
    <row r="9606" spans="1:1" x14ac:dyDescent="0.2">
      <c r="A9606" s="52"/>
    </row>
    <row r="9607" spans="1:1" x14ac:dyDescent="0.2">
      <c r="A9607" s="52"/>
    </row>
    <row r="9608" spans="1:1" x14ac:dyDescent="0.2">
      <c r="A9608" s="52"/>
    </row>
    <row r="9609" spans="1:1" x14ac:dyDescent="0.2">
      <c r="A9609" s="52"/>
    </row>
    <row r="9610" spans="1:1" x14ac:dyDescent="0.2">
      <c r="A9610" s="52"/>
    </row>
    <row r="9611" spans="1:1" x14ac:dyDescent="0.2">
      <c r="A9611" s="52"/>
    </row>
    <row r="9612" spans="1:1" x14ac:dyDescent="0.2">
      <c r="A9612" s="52"/>
    </row>
    <row r="9613" spans="1:1" x14ac:dyDescent="0.2">
      <c r="A9613" s="52"/>
    </row>
    <row r="9614" spans="1:1" x14ac:dyDescent="0.2">
      <c r="A9614" s="52"/>
    </row>
    <row r="9615" spans="1:1" x14ac:dyDescent="0.2">
      <c r="A9615" s="52"/>
    </row>
    <row r="9616" spans="1:1" x14ac:dyDescent="0.2">
      <c r="A9616" s="52"/>
    </row>
    <row r="9617" spans="1:1" x14ac:dyDescent="0.2">
      <c r="A9617" s="52"/>
    </row>
    <row r="9618" spans="1:1" x14ac:dyDescent="0.2">
      <c r="A9618" s="52"/>
    </row>
    <row r="9619" spans="1:1" x14ac:dyDescent="0.2">
      <c r="A9619" s="53"/>
    </row>
    <row r="9620" spans="1:1" x14ac:dyDescent="0.2">
      <c r="A9620" s="53"/>
    </row>
    <row r="9621" spans="1:1" x14ac:dyDescent="0.2">
      <c r="A9621" s="52"/>
    </row>
    <row r="9622" spans="1:1" x14ac:dyDescent="0.2">
      <c r="A9622" s="52"/>
    </row>
    <row r="9623" spans="1:1" x14ac:dyDescent="0.2">
      <c r="A9623" s="53"/>
    </row>
    <row r="9624" spans="1:1" x14ac:dyDescent="0.2">
      <c r="A9624" s="52"/>
    </row>
    <row r="9625" spans="1:1" x14ac:dyDescent="0.2">
      <c r="A9625" s="52"/>
    </row>
    <row r="9626" spans="1:1" x14ac:dyDescent="0.2">
      <c r="A9626" s="52"/>
    </row>
    <row r="9627" spans="1:1" x14ac:dyDescent="0.2">
      <c r="A9627" s="52"/>
    </row>
    <row r="9628" spans="1:1" x14ac:dyDescent="0.2">
      <c r="A9628" s="52"/>
    </row>
    <row r="9629" spans="1:1" x14ac:dyDescent="0.2">
      <c r="A9629" s="52"/>
    </row>
    <row r="9630" spans="1:1" x14ac:dyDescent="0.2">
      <c r="A9630" s="52"/>
    </row>
    <row r="9631" spans="1:1" x14ac:dyDescent="0.2">
      <c r="A9631" s="52"/>
    </row>
    <row r="9632" spans="1:1" x14ac:dyDescent="0.2">
      <c r="A9632" s="52"/>
    </row>
    <row r="9633" spans="1:1" x14ac:dyDescent="0.2">
      <c r="A9633" s="52"/>
    </row>
    <row r="9634" spans="1:1" x14ac:dyDescent="0.2">
      <c r="A9634" s="52"/>
    </row>
    <row r="9635" spans="1:1" x14ac:dyDescent="0.2">
      <c r="A9635" s="52"/>
    </row>
    <row r="9636" spans="1:1" x14ac:dyDescent="0.2">
      <c r="A9636" s="52"/>
    </row>
    <row r="9637" spans="1:1" x14ac:dyDescent="0.2">
      <c r="A9637" s="52"/>
    </row>
    <row r="9638" spans="1:1" x14ac:dyDescent="0.2">
      <c r="A9638" s="52"/>
    </row>
    <row r="9639" spans="1:1" x14ac:dyDescent="0.2">
      <c r="A9639" s="52"/>
    </row>
    <row r="9640" spans="1:1" x14ac:dyDescent="0.2">
      <c r="A9640" s="52"/>
    </row>
    <row r="9641" spans="1:1" x14ac:dyDescent="0.2">
      <c r="A9641" s="52"/>
    </row>
    <row r="9642" spans="1:1" x14ac:dyDescent="0.2">
      <c r="A9642" s="52"/>
    </row>
    <row r="9643" spans="1:1" x14ac:dyDescent="0.2">
      <c r="A9643" s="52"/>
    </row>
    <row r="9644" spans="1:1" x14ac:dyDescent="0.2">
      <c r="A9644" s="52"/>
    </row>
    <row r="9645" spans="1:1" x14ac:dyDescent="0.2">
      <c r="A9645" s="52"/>
    </row>
    <row r="9646" spans="1:1" x14ac:dyDescent="0.2">
      <c r="A9646" s="52"/>
    </row>
    <row r="9647" spans="1:1" x14ac:dyDescent="0.2">
      <c r="A9647" s="52"/>
    </row>
    <row r="9648" spans="1:1" x14ac:dyDescent="0.2">
      <c r="A9648" s="52"/>
    </row>
    <row r="9649" spans="1:1" x14ac:dyDescent="0.2">
      <c r="A9649" s="52"/>
    </row>
    <row r="9650" spans="1:1" x14ac:dyDescent="0.2">
      <c r="A9650" s="52"/>
    </row>
    <row r="9651" spans="1:1" x14ac:dyDescent="0.2">
      <c r="A9651" s="53"/>
    </row>
    <row r="9652" spans="1:1" x14ac:dyDescent="0.2">
      <c r="A9652" s="52"/>
    </row>
    <row r="9653" spans="1:1" x14ac:dyDescent="0.2">
      <c r="A9653" s="52"/>
    </row>
    <row r="9654" spans="1:1" x14ac:dyDescent="0.2">
      <c r="A9654" s="52"/>
    </row>
    <row r="9655" spans="1:1" x14ac:dyDescent="0.2">
      <c r="A9655" s="52"/>
    </row>
    <row r="9656" spans="1:1" x14ac:dyDescent="0.2">
      <c r="A9656" s="52"/>
    </row>
    <row r="9657" spans="1:1" x14ac:dyDescent="0.2">
      <c r="A9657" s="52"/>
    </row>
    <row r="9658" spans="1:1" x14ac:dyDescent="0.2">
      <c r="A9658" s="53"/>
    </row>
    <row r="9659" spans="1:1" x14ac:dyDescent="0.2">
      <c r="A9659" s="52"/>
    </row>
    <row r="9660" spans="1:1" x14ac:dyDescent="0.2">
      <c r="A9660" s="52"/>
    </row>
    <row r="9661" spans="1:1" x14ac:dyDescent="0.2">
      <c r="A9661" s="52"/>
    </row>
    <row r="9662" spans="1:1" x14ac:dyDescent="0.2">
      <c r="A9662" s="52"/>
    </row>
    <row r="9663" spans="1:1" x14ac:dyDescent="0.2">
      <c r="A9663" s="52"/>
    </row>
    <row r="9664" spans="1:1" x14ac:dyDescent="0.2">
      <c r="A9664" s="52"/>
    </row>
    <row r="9665" spans="1:1" x14ac:dyDescent="0.2">
      <c r="A9665" s="52"/>
    </row>
    <row r="9666" spans="1:1" x14ac:dyDescent="0.2">
      <c r="A9666" s="52"/>
    </row>
    <row r="9667" spans="1:1" x14ac:dyDescent="0.2">
      <c r="A9667" s="52"/>
    </row>
    <row r="9668" spans="1:1" x14ac:dyDescent="0.2">
      <c r="A9668" s="52"/>
    </row>
    <row r="9669" spans="1:1" x14ac:dyDescent="0.2">
      <c r="A9669" s="52"/>
    </row>
    <row r="9670" spans="1:1" x14ac:dyDescent="0.2">
      <c r="A9670" s="52"/>
    </row>
    <row r="9671" spans="1:1" x14ac:dyDescent="0.2">
      <c r="A9671" s="52"/>
    </row>
    <row r="9672" spans="1:1" x14ac:dyDescent="0.2">
      <c r="A9672" s="52"/>
    </row>
    <row r="9673" spans="1:1" x14ac:dyDescent="0.2">
      <c r="A9673" s="52"/>
    </row>
    <row r="9674" spans="1:1" x14ac:dyDescent="0.2">
      <c r="A9674" s="52"/>
    </row>
    <row r="9675" spans="1:1" x14ac:dyDescent="0.2">
      <c r="A9675" s="52"/>
    </row>
    <row r="9676" spans="1:1" x14ac:dyDescent="0.2">
      <c r="A9676" s="52"/>
    </row>
    <row r="9677" spans="1:1" x14ac:dyDescent="0.2">
      <c r="A9677" s="52"/>
    </row>
    <row r="9678" spans="1:1" x14ac:dyDescent="0.2">
      <c r="A9678" s="52"/>
    </row>
    <row r="9679" spans="1:1" x14ac:dyDescent="0.2">
      <c r="A9679" s="52"/>
    </row>
    <row r="9680" spans="1:1" x14ac:dyDescent="0.2">
      <c r="A9680" s="52"/>
    </row>
    <row r="9681" spans="1:1" x14ac:dyDescent="0.2">
      <c r="A9681" s="52"/>
    </row>
    <row r="9682" spans="1:1" x14ac:dyDescent="0.2">
      <c r="A9682" s="52"/>
    </row>
    <row r="9683" spans="1:1" x14ac:dyDescent="0.2">
      <c r="A9683" s="52"/>
    </row>
    <row r="9684" spans="1:1" x14ac:dyDescent="0.2">
      <c r="A9684" s="52"/>
    </row>
    <row r="9685" spans="1:1" x14ac:dyDescent="0.2">
      <c r="A9685" s="52"/>
    </row>
    <row r="9686" spans="1:1" x14ac:dyDescent="0.2">
      <c r="A9686" s="52"/>
    </row>
    <row r="9687" spans="1:1" x14ac:dyDescent="0.2">
      <c r="A9687" s="52"/>
    </row>
    <row r="9688" spans="1:1" x14ac:dyDescent="0.2">
      <c r="A9688" s="52"/>
    </row>
    <row r="9689" spans="1:1" x14ac:dyDescent="0.2">
      <c r="A9689" s="52"/>
    </row>
    <row r="9690" spans="1:1" x14ac:dyDescent="0.2">
      <c r="A9690" s="52"/>
    </row>
    <row r="9691" spans="1:1" x14ac:dyDescent="0.2">
      <c r="A9691" s="52"/>
    </row>
    <row r="9692" spans="1:1" x14ac:dyDescent="0.2">
      <c r="A9692" s="52"/>
    </row>
    <row r="9693" spans="1:1" x14ac:dyDescent="0.2">
      <c r="A9693" s="52"/>
    </row>
    <row r="9694" spans="1:1" x14ac:dyDescent="0.2">
      <c r="A9694" s="53"/>
    </row>
    <row r="9695" spans="1:1" x14ac:dyDescent="0.2">
      <c r="A9695" s="52"/>
    </row>
    <row r="9696" spans="1:1" x14ac:dyDescent="0.2">
      <c r="A9696" s="53"/>
    </row>
    <row r="9697" spans="1:1" x14ac:dyDescent="0.2">
      <c r="A9697" s="52"/>
    </row>
    <row r="9698" spans="1:1" x14ac:dyDescent="0.2">
      <c r="A9698" s="52"/>
    </row>
    <row r="9699" spans="1:1" x14ac:dyDescent="0.2">
      <c r="A9699" s="52"/>
    </row>
    <row r="9700" spans="1:1" x14ac:dyDescent="0.2">
      <c r="A9700" s="53"/>
    </row>
    <row r="9701" spans="1:1" x14ac:dyDescent="0.2">
      <c r="A9701" s="53"/>
    </row>
    <row r="9702" spans="1:1" x14ac:dyDescent="0.2">
      <c r="A9702" s="52"/>
    </row>
    <row r="9703" spans="1:1" x14ac:dyDescent="0.2">
      <c r="A9703" s="52"/>
    </row>
    <row r="9704" spans="1:1" x14ac:dyDescent="0.2">
      <c r="A9704" s="52"/>
    </row>
    <row r="9705" spans="1:1" x14ac:dyDescent="0.2">
      <c r="A9705" s="52"/>
    </row>
    <row r="9706" spans="1:1" x14ac:dyDescent="0.2">
      <c r="A9706" s="52"/>
    </row>
    <row r="9707" spans="1:1" x14ac:dyDescent="0.2">
      <c r="A9707" s="52"/>
    </row>
    <row r="9708" spans="1:1" x14ac:dyDescent="0.2">
      <c r="A9708" s="52"/>
    </row>
    <row r="9709" spans="1:1" x14ac:dyDescent="0.2">
      <c r="A9709" s="52"/>
    </row>
    <row r="9710" spans="1:1" x14ac:dyDescent="0.2">
      <c r="A9710" s="52"/>
    </row>
    <row r="9711" spans="1:1" x14ac:dyDescent="0.2">
      <c r="A9711" s="52"/>
    </row>
    <row r="9712" spans="1:1" x14ac:dyDescent="0.2">
      <c r="A9712" s="52"/>
    </row>
    <row r="9713" spans="1:1" x14ac:dyDescent="0.2">
      <c r="A9713" s="52"/>
    </row>
    <row r="9714" spans="1:1" x14ac:dyDescent="0.2">
      <c r="A9714" s="52"/>
    </row>
    <row r="9715" spans="1:1" x14ac:dyDescent="0.2">
      <c r="A9715" s="52"/>
    </row>
    <row r="9716" spans="1:1" x14ac:dyDescent="0.2">
      <c r="A9716" s="52"/>
    </row>
    <row r="9717" spans="1:1" x14ac:dyDescent="0.2">
      <c r="A9717" s="52"/>
    </row>
    <row r="9718" spans="1:1" x14ac:dyDescent="0.2">
      <c r="A9718" s="52"/>
    </row>
    <row r="9719" spans="1:1" x14ac:dyDescent="0.2">
      <c r="A9719" s="52"/>
    </row>
    <row r="9720" spans="1:1" x14ac:dyDescent="0.2">
      <c r="A9720" s="52"/>
    </row>
    <row r="9721" spans="1:1" x14ac:dyDescent="0.2">
      <c r="A9721" s="52"/>
    </row>
    <row r="9722" spans="1:1" x14ac:dyDescent="0.2">
      <c r="A9722" s="53"/>
    </row>
    <row r="9723" spans="1:1" x14ac:dyDescent="0.2">
      <c r="A9723" s="52"/>
    </row>
    <row r="9724" spans="1:1" x14ac:dyDescent="0.2">
      <c r="A9724" s="53"/>
    </row>
    <row r="9725" spans="1:1" x14ac:dyDescent="0.2">
      <c r="A9725" s="53"/>
    </row>
    <row r="9726" spans="1:1" x14ac:dyDescent="0.2">
      <c r="A9726" s="52"/>
    </row>
    <row r="9727" spans="1:1" x14ac:dyDescent="0.2">
      <c r="A9727" s="52"/>
    </row>
    <row r="9728" spans="1:1" x14ac:dyDescent="0.2">
      <c r="A9728" s="52"/>
    </row>
    <row r="9729" spans="1:1" x14ac:dyDescent="0.2">
      <c r="A9729" s="52"/>
    </row>
    <row r="9730" spans="1:1" x14ac:dyDescent="0.2">
      <c r="A9730" s="52"/>
    </row>
    <row r="9731" spans="1:1" x14ac:dyDescent="0.2">
      <c r="A9731" s="52"/>
    </row>
    <row r="9732" spans="1:1" x14ac:dyDescent="0.2">
      <c r="A9732" s="52"/>
    </row>
    <row r="9733" spans="1:1" x14ac:dyDescent="0.2">
      <c r="A9733" s="52"/>
    </row>
    <row r="9734" spans="1:1" x14ac:dyDescent="0.2">
      <c r="A9734" s="52"/>
    </row>
    <row r="9735" spans="1:1" x14ac:dyDescent="0.2">
      <c r="A9735" s="52"/>
    </row>
    <row r="9736" spans="1:1" x14ac:dyDescent="0.2">
      <c r="A9736" s="52"/>
    </row>
    <row r="9737" spans="1:1" x14ac:dyDescent="0.2">
      <c r="A9737" s="52"/>
    </row>
    <row r="9738" spans="1:1" x14ac:dyDescent="0.2">
      <c r="A9738" s="52"/>
    </row>
    <row r="9739" spans="1:1" x14ac:dyDescent="0.2">
      <c r="A9739" s="52"/>
    </row>
    <row r="9740" spans="1:1" x14ac:dyDescent="0.2">
      <c r="A9740" s="53"/>
    </row>
    <row r="9741" spans="1:1" x14ac:dyDescent="0.2">
      <c r="A9741" s="53"/>
    </row>
    <row r="9742" spans="1:1" x14ac:dyDescent="0.2">
      <c r="A9742" s="52"/>
    </row>
    <row r="9743" spans="1:1" x14ac:dyDescent="0.2">
      <c r="A9743" s="52"/>
    </row>
    <row r="9744" spans="1:1" x14ac:dyDescent="0.2">
      <c r="A9744" s="53"/>
    </row>
    <row r="9745" spans="1:1" x14ac:dyDescent="0.2">
      <c r="A9745" s="52"/>
    </row>
    <row r="9746" spans="1:1" x14ac:dyDescent="0.2">
      <c r="A9746" s="52"/>
    </row>
    <row r="9747" spans="1:1" x14ac:dyDescent="0.2">
      <c r="A9747" s="52"/>
    </row>
    <row r="9748" spans="1:1" x14ac:dyDescent="0.2">
      <c r="A9748" s="52"/>
    </row>
    <row r="9749" spans="1:1" x14ac:dyDescent="0.2">
      <c r="A9749" s="52"/>
    </row>
    <row r="9750" spans="1:1" x14ac:dyDescent="0.2">
      <c r="A9750" s="52"/>
    </row>
    <row r="9751" spans="1:1" x14ac:dyDescent="0.2">
      <c r="A9751" s="52"/>
    </row>
    <row r="9752" spans="1:1" x14ac:dyDescent="0.2">
      <c r="A9752" s="52"/>
    </row>
    <row r="9753" spans="1:1" x14ac:dyDescent="0.2">
      <c r="A9753" s="52"/>
    </row>
    <row r="9754" spans="1:1" x14ac:dyDescent="0.2">
      <c r="A9754" s="52"/>
    </row>
    <row r="9755" spans="1:1" x14ac:dyDescent="0.2">
      <c r="A9755" s="52"/>
    </row>
    <row r="9756" spans="1:1" x14ac:dyDescent="0.2">
      <c r="A9756" s="52"/>
    </row>
    <row r="9757" spans="1:1" x14ac:dyDescent="0.2">
      <c r="A9757" s="53"/>
    </row>
    <row r="9758" spans="1:1" x14ac:dyDescent="0.2">
      <c r="A9758" s="52"/>
    </row>
    <row r="9759" spans="1:1" x14ac:dyDescent="0.2">
      <c r="A9759" s="52"/>
    </row>
    <row r="9760" spans="1:1" x14ac:dyDescent="0.2">
      <c r="A9760" s="52"/>
    </row>
    <row r="9761" spans="1:1" x14ac:dyDescent="0.2">
      <c r="A9761" s="52"/>
    </row>
    <row r="9762" spans="1:1" x14ac:dyDescent="0.2">
      <c r="A9762" s="52"/>
    </row>
    <row r="9763" spans="1:1" x14ac:dyDescent="0.2">
      <c r="A9763" s="52"/>
    </row>
    <row r="9764" spans="1:1" x14ac:dyDescent="0.2">
      <c r="A9764" s="52"/>
    </row>
    <row r="9765" spans="1:1" x14ac:dyDescent="0.2">
      <c r="A9765" s="52"/>
    </row>
    <row r="9766" spans="1:1" x14ac:dyDescent="0.2">
      <c r="A9766" s="52"/>
    </row>
    <row r="9767" spans="1:1" x14ac:dyDescent="0.2">
      <c r="A9767" s="52"/>
    </row>
    <row r="9768" spans="1:1" x14ac:dyDescent="0.2">
      <c r="A9768" s="52"/>
    </row>
    <row r="9769" spans="1:1" x14ac:dyDescent="0.2">
      <c r="A9769" s="52"/>
    </row>
    <row r="9770" spans="1:1" x14ac:dyDescent="0.2">
      <c r="A9770" s="52"/>
    </row>
    <row r="9771" spans="1:1" x14ac:dyDescent="0.2">
      <c r="A9771" s="52"/>
    </row>
    <row r="9772" spans="1:1" x14ac:dyDescent="0.2">
      <c r="A9772" s="52"/>
    </row>
    <row r="9773" spans="1:1" x14ac:dyDescent="0.2">
      <c r="A9773" s="52"/>
    </row>
    <row r="9774" spans="1:1" x14ac:dyDescent="0.2">
      <c r="A9774" s="52"/>
    </row>
    <row r="9775" spans="1:1" x14ac:dyDescent="0.2">
      <c r="A9775" s="52"/>
    </row>
    <row r="9776" spans="1:1" x14ac:dyDescent="0.2">
      <c r="A9776" s="52"/>
    </row>
    <row r="9777" spans="1:1" x14ac:dyDescent="0.2">
      <c r="A9777" s="52"/>
    </row>
    <row r="9778" spans="1:1" x14ac:dyDescent="0.2">
      <c r="A9778" s="52"/>
    </row>
    <row r="9779" spans="1:1" x14ac:dyDescent="0.2">
      <c r="A9779" s="52"/>
    </row>
    <row r="9780" spans="1:1" x14ac:dyDescent="0.2">
      <c r="A9780" s="52"/>
    </row>
    <row r="9781" spans="1:1" x14ac:dyDescent="0.2">
      <c r="A9781" s="52"/>
    </row>
    <row r="9782" spans="1:1" x14ac:dyDescent="0.2">
      <c r="A9782" s="52"/>
    </row>
    <row r="9783" spans="1:1" x14ac:dyDescent="0.2">
      <c r="A9783" s="52"/>
    </row>
    <row r="9784" spans="1:1" x14ac:dyDescent="0.2">
      <c r="A9784" s="52"/>
    </row>
    <row r="9785" spans="1:1" x14ac:dyDescent="0.2">
      <c r="A9785" s="52"/>
    </row>
    <row r="9786" spans="1:1" x14ac:dyDescent="0.2">
      <c r="A9786" s="52"/>
    </row>
    <row r="9787" spans="1:1" x14ac:dyDescent="0.2">
      <c r="A9787" s="52"/>
    </row>
    <row r="9788" spans="1:1" x14ac:dyDescent="0.2">
      <c r="A9788" s="52"/>
    </row>
    <row r="9789" spans="1:1" x14ac:dyDescent="0.2">
      <c r="A9789" s="52"/>
    </row>
    <row r="9790" spans="1:1" x14ac:dyDescent="0.2">
      <c r="A9790" s="52"/>
    </row>
    <row r="9791" spans="1:1" x14ac:dyDescent="0.2">
      <c r="A9791" s="52"/>
    </row>
    <row r="9792" spans="1:1" x14ac:dyDescent="0.2">
      <c r="A9792" s="52"/>
    </row>
    <row r="9793" spans="1:1" x14ac:dyDescent="0.2">
      <c r="A9793" s="52"/>
    </row>
    <row r="9794" spans="1:1" x14ac:dyDescent="0.2">
      <c r="A9794" s="52"/>
    </row>
    <row r="9795" spans="1:1" x14ac:dyDescent="0.2">
      <c r="A9795" s="52"/>
    </row>
    <row r="9796" spans="1:1" x14ac:dyDescent="0.2">
      <c r="A9796" s="52"/>
    </row>
    <row r="9797" spans="1:1" x14ac:dyDescent="0.2">
      <c r="A9797" s="52"/>
    </row>
    <row r="9798" spans="1:1" x14ac:dyDescent="0.2">
      <c r="A9798" s="52"/>
    </row>
    <row r="9799" spans="1:1" x14ac:dyDescent="0.2">
      <c r="A9799" s="52"/>
    </row>
    <row r="9800" spans="1:1" x14ac:dyDescent="0.2">
      <c r="A9800" s="52"/>
    </row>
    <row r="9801" spans="1:1" x14ac:dyDescent="0.2">
      <c r="A9801" s="52"/>
    </row>
    <row r="9802" spans="1:1" x14ac:dyDescent="0.2">
      <c r="A9802" s="52"/>
    </row>
    <row r="9803" spans="1:1" x14ac:dyDescent="0.2">
      <c r="A9803" s="52"/>
    </row>
    <row r="9804" spans="1:1" x14ac:dyDescent="0.2">
      <c r="A9804" s="52"/>
    </row>
    <row r="9805" spans="1:1" x14ac:dyDescent="0.2">
      <c r="A9805" s="52"/>
    </row>
    <row r="9806" spans="1:1" x14ac:dyDescent="0.2">
      <c r="A9806" s="53"/>
    </row>
    <row r="9807" spans="1:1" x14ac:dyDescent="0.2">
      <c r="A9807" s="52"/>
    </row>
    <row r="9808" spans="1:1" x14ac:dyDescent="0.2">
      <c r="A9808" s="53"/>
    </row>
    <row r="9809" spans="1:1" x14ac:dyDescent="0.2">
      <c r="A9809" s="53"/>
    </row>
    <row r="9810" spans="1:1" x14ac:dyDescent="0.2">
      <c r="A9810" s="52"/>
    </row>
    <row r="9811" spans="1:1" x14ac:dyDescent="0.2">
      <c r="A9811" s="52"/>
    </row>
    <row r="9812" spans="1:1" x14ac:dyDescent="0.2">
      <c r="A9812" s="52"/>
    </row>
    <row r="9813" spans="1:1" x14ac:dyDescent="0.2">
      <c r="A9813" s="53"/>
    </row>
    <row r="9814" spans="1:1" x14ac:dyDescent="0.2">
      <c r="A9814" s="52"/>
    </row>
    <row r="9815" spans="1:1" x14ac:dyDescent="0.2">
      <c r="A9815" s="52"/>
    </row>
    <row r="9816" spans="1:1" x14ac:dyDescent="0.2">
      <c r="A9816" s="52"/>
    </row>
    <row r="9817" spans="1:1" x14ac:dyDescent="0.2">
      <c r="A9817" s="52"/>
    </row>
    <row r="9818" spans="1:1" x14ac:dyDescent="0.2">
      <c r="A9818" s="53"/>
    </row>
    <row r="9819" spans="1:1" x14ac:dyDescent="0.2">
      <c r="A9819" s="52"/>
    </row>
    <row r="9820" spans="1:1" x14ac:dyDescent="0.2">
      <c r="A9820" s="53"/>
    </row>
    <row r="9821" spans="1:1" x14ac:dyDescent="0.2">
      <c r="A9821" s="53"/>
    </row>
    <row r="9822" spans="1:1" x14ac:dyDescent="0.2">
      <c r="A9822" s="52"/>
    </row>
    <row r="9823" spans="1:1" x14ac:dyDescent="0.2">
      <c r="A9823" s="52"/>
    </row>
    <row r="9824" spans="1:1" x14ac:dyDescent="0.2">
      <c r="A9824" s="52"/>
    </row>
    <row r="9825" spans="1:1" x14ac:dyDescent="0.2">
      <c r="A9825" s="53"/>
    </row>
    <row r="9826" spans="1:1" x14ac:dyDescent="0.2">
      <c r="A9826" s="52"/>
    </row>
    <row r="9827" spans="1:1" x14ac:dyDescent="0.2">
      <c r="A9827" s="52"/>
    </row>
    <row r="9828" spans="1:1" x14ac:dyDescent="0.2">
      <c r="A9828" s="52"/>
    </row>
    <row r="9829" spans="1:1" x14ac:dyDescent="0.2">
      <c r="A9829" s="53"/>
    </row>
    <row r="9830" spans="1:1" x14ac:dyDescent="0.2">
      <c r="A9830" s="52"/>
    </row>
    <row r="9831" spans="1:1" x14ac:dyDescent="0.2">
      <c r="A9831" s="52"/>
    </row>
    <row r="9832" spans="1:1" x14ac:dyDescent="0.2">
      <c r="A9832" s="53"/>
    </row>
    <row r="9833" spans="1:1" x14ac:dyDescent="0.2">
      <c r="A9833" s="52"/>
    </row>
    <row r="9834" spans="1:1" x14ac:dyDescent="0.2">
      <c r="A9834" s="52"/>
    </row>
    <row r="9835" spans="1:1" x14ac:dyDescent="0.2">
      <c r="A9835" s="52"/>
    </row>
    <row r="9836" spans="1:1" x14ac:dyDescent="0.2">
      <c r="A9836" s="52"/>
    </row>
    <row r="9837" spans="1:1" x14ac:dyDescent="0.2">
      <c r="A9837" s="52"/>
    </row>
    <row r="9838" spans="1:1" x14ac:dyDescent="0.2">
      <c r="A9838" s="52"/>
    </row>
    <row r="9839" spans="1:1" x14ac:dyDescent="0.2">
      <c r="A9839" s="52"/>
    </row>
    <row r="9840" spans="1:1" x14ac:dyDescent="0.2">
      <c r="A9840" s="52"/>
    </row>
    <row r="9841" spans="1:1" x14ac:dyDescent="0.2">
      <c r="A9841" s="52"/>
    </row>
    <row r="9842" spans="1:1" x14ac:dyDescent="0.2">
      <c r="A9842" s="52"/>
    </row>
    <row r="9843" spans="1:1" x14ac:dyDescent="0.2">
      <c r="A9843" s="52"/>
    </row>
    <row r="9844" spans="1:1" x14ac:dyDescent="0.2">
      <c r="A9844" s="52"/>
    </row>
    <row r="9845" spans="1:1" x14ac:dyDescent="0.2">
      <c r="A9845" s="52"/>
    </row>
    <row r="9846" spans="1:1" x14ac:dyDescent="0.2">
      <c r="A9846" s="52"/>
    </row>
    <row r="9847" spans="1:1" x14ac:dyDescent="0.2">
      <c r="A9847" s="52"/>
    </row>
    <row r="9848" spans="1:1" x14ac:dyDescent="0.2">
      <c r="A9848" s="52"/>
    </row>
    <row r="9849" spans="1:1" x14ac:dyDescent="0.2">
      <c r="A9849" s="52"/>
    </row>
    <row r="9850" spans="1:1" x14ac:dyDescent="0.2">
      <c r="A9850" s="52"/>
    </row>
    <row r="9851" spans="1:1" x14ac:dyDescent="0.2">
      <c r="A9851" s="52"/>
    </row>
    <row r="9852" spans="1:1" x14ac:dyDescent="0.2">
      <c r="A9852" s="52"/>
    </row>
    <row r="9853" spans="1:1" x14ac:dyDescent="0.2">
      <c r="A9853" s="52"/>
    </row>
    <row r="9854" spans="1:1" x14ac:dyDescent="0.2">
      <c r="A9854" s="52"/>
    </row>
    <row r="9855" spans="1:1" x14ac:dyDescent="0.2">
      <c r="A9855" s="52"/>
    </row>
    <row r="9856" spans="1:1" x14ac:dyDescent="0.2">
      <c r="A9856" s="52"/>
    </row>
    <row r="9857" spans="1:1" x14ac:dyDescent="0.2">
      <c r="A9857" s="52"/>
    </row>
    <row r="9858" spans="1:1" x14ac:dyDescent="0.2">
      <c r="A9858" s="53"/>
    </row>
    <row r="9859" spans="1:1" x14ac:dyDescent="0.2">
      <c r="A9859" s="52"/>
    </row>
    <row r="9860" spans="1:1" x14ac:dyDescent="0.2">
      <c r="A9860" s="52"/>
    </row>
    <row r="9861" spans="1:1" x14ac:dyDescent="0.2">
      <c r="A9861" s="52"/>
    </row>
    <row r="9862" spans="1:1" x14ac:dyDescent="0.2">
      <c r="A9862" s="52"/>
    </row>
    <row r="9863" spans="1:1" x14ac:dyDescent="0.2">
      <c r="A9863" s="52"/>
    </row>
    <row r="9864" spans="1:1" x14ac:dyDescent="0.2">
      <c r="A9864" s="52"/>
    </row>
    <row r="9865" spans="1:1" x14ac:dyDescent="0.2">
      <c r="A9865" s="52"/>
    </row>
    <row r="9866" spans="1:1" x14ac:dyDescent="0.2">
      <c r="A9866" s="52"/>
    </row>
    <row r="9867" spans="1:1" x14ac:dyDescent="0.2">
      <c r="A9867" s="52"/>
    </row>
    <row r="9868" spans="1:1" x14ac:dyDescent="0.2">
      <c r="A9868" s="52"/>
    </row>
    <row r="9869" spans="1:1" x14ac:dyDescent="0.2">
      <c r="A9869" s="53"/>
    </row>
    <row r="9870" spans="1:1" x14ac:dyDescent="0.2">
      <c r="A9870" s="52"/>
    </row>
    <row r="9871" spans="1:1" x14ac:dyDescent="0.2">
      <c r="A9871" s="52"/>
    </row>
    <row r="9872" spans="1:1" x14ac:dyDescent="0.2">
      <c r="A9872" s="52"/>
    </row>
    <row r="9873" spans="1:1" x14ac:dyDescent="0.2">
      <c r="A9873" s="52"/>
    </row>
    <row r="9874" spans="1:1" x14ac:dyDescent="0.2">
      <c r="A9874" s="52"/>
    </row>
    <row r="9875" spans="1:1" x14ac:dyDescent="0.2">
      <c r="A9875" s="52"/>
    </row>
    <row r="9876" spans="1:1" x14ac:dyDescent="0.2">
      <c r="A9876" s="52"/>
    </row>
    <row r="9877" spans="1:1" x14ac:dyDescent="0.2">
      <c r="A9877" s="52"/>
    </row>
    <row r="9878" spans="1:1" x14ac:dyDescent="0.2">
      <c r="A9878" s="52"/>
    </row>
    <row r="9879" spans="1:1" x14ac:dyDescent="0.2">
      <c r="A9879" s="52"/>
    </row>
    <row r="9880" spans="1:1" x14ac:dyDescent="0.2">
      <c r="A9880" s="52"/>
    </row>
    <row r="9881" spans="1:1" x14ac:dyDescent="0.2">
      <c r="A9881" s="52"/>
    </row>
    <row r="9882" spans="1:1" x14ac:dyDescent="0.2">
      <c r="A9882" s="52"/>
    </row>
    <row r="9883" spans="1:1" x14ac:dyDescent="0.2">
      <c r="A9883" s="52"/>
    </row>
    <row r="9884" spans="1:1" x14ac:dyDescent="0.2">
      <c r="A9884" s="52"/>
    </row>
    <row r="9885" spans="1:1" x14ac:dyDescent="0.2">
      <c r="A9885" s="52"/>
    </row>
    <row r="9886" spans="1:1" x14ac:dyDescent="0.2">
      <c r="A9886" s="52"/>
    </row>
    <row r="9887" spans="1:1" x14ac:dyDescent="0.2">
      <c r="A9887" s="52"/>
    </row>
    <row r="9888" spans="1:1" x14ac:dyDescent="0.2">
      <c r="A9888" s="52"/>
    </row>
    <row r="9889" spans="1:1" x14ac:dyDescent="0.2">
      <c r="A9889" s="52"/>
    </row>
    <row r="9890" spans="1:1" x14ac:dyDescent="0.2">
      <c r="A9890" s="52"/>
    </row>
    <row r="9891" spans="1:1" x14ac:dyDescent="0.2">
      <c r="A9891" s="52"/>
    </row>
    <row r="9892" spans="1:1" x14ac:dyDescent="0.2">
      <c r="A9892" s="52"/>
    </row>
    <row r="9893" spans="1:1" x14ac:dyDescent="0.2">
      <c r="A9893" s="52"/>
    </row>
    <row r="9894" spans="1:1" x14ac:dyDescent="0.2">
      <c r="A9894" s="52"/>
    </row>
    <row r="9895" spans="1:1" x14ac:dyDescent="0.2">
      <c r="A9895" s="52"/>
    </row>
    <row r="9896" spans="1:1" x14ac:dyDescent="0.2">
      <c r="A9896" s="52"/>
    </row>
    <row r="9897" spans="1:1" x14ac:dyDescent="0.2">
      <c r="A9897" s="52"/>
    </row>
    <row r="9898" spans="1:1" x14ac:dyDescent="0.2">
      <c r="A9898" s="52"/>
    </row>
    <row r="9899" spans="1:1" x14ac:dyDescent="0.2">
      <c r="A9899" s="52"/>
    </row>
    <row r="9900" spans="1:1" x14ac:dyDescent="0.2">
      <c r="A9900" s="52"/>
    </row>
    <row r="9901" spans="1:1" x14ac:dyDescent="0.2">
      <c r="A9901" s="52"/>
    </row>
    <row r="9902" spans="1:1" x14ac:dyDescent="0.2">
      <c r="A9902" s="52"/>
    </row>
    <row r="9903" spans="1:1" x14ac:dyDescent="0.2">
      <c r="A9903" s="52"/>
    </row>
    <row r="9904" spans="1:1" x14ac:dyDescent="0.2">
      <c r="A9904" s="52"/>
    </row>
    <row r="9905" spans="1:1" x14ac:dyDescent="0.2">
      <c r="A9905" s="52"/>
    </row>
    <row r="9906" spans="1:1" x14ac:dyDescent="0.2">
      <c r="A9906" s="52"/>
    </row>
    <row r="9907" spans="1:1" x14ac:dyDescent="0.2">
      <c r="A9907" s="52"/>
    </row>
    <row r="9908" spans="1:1" x14ac:dyDescent="0.2">
      <c r="A9908" s="52"/>
    </row>
    <row r="9909" spans="1:1" x14ac:dyDescent="0.2">
      <c r="A9909" s="52"/>
    </row>
    <row r="9910" spans="1:1" x14ac:dyDescent="0.2">
      <c r="A9910" s="52"/>
    </row>
    <row r="9911" spans="1:1" x14ac:dyDescent="0.2">
      <c r="A9911" s="52"/>
    </row>
    <row r="9912" spans="1:1" x14ac:dyDescent="0.2">
      <c r="A9912" s="52"/>
    </row>
    <row r="9913" spans="1:1" x14ac:dyDescent="0.2">
      <c r="A9913" s="52"/>
    </row>
    <row r="9914" spans="1:1" x14ac:dyDescent="0.2">
      <c r="A9914" s="52"/>
    </row>
    <row r="9915" spans="1:1" x14ac:dyDescent="0.2">
      <c r="A9915" s="52"/>
    </row>
    <row r="9916" spans="1:1" x14ac:dyDescent="0.2">
      <c r="A9916" s="52"/>
    </row>
    <row r="9917" spans="1:1" x14ac:dyDescent="0.2">
      <c r="A9917" s="52"/>
    </row>
    <row r="9918" spans="1:1" x14ac:dyDescent="0.2">
      <c r="A9918" s="52"/>
    </row>
    <row r="9919" spans="1:1" x14ac:dyDescent="0.2">
      <c r="A9919" s="52"/>
    </row>
    <row r="9920" spans="1:1" x14ac:dyDescent="0.2">
      <c r="A9920" s="52"/>
    </row>
    <row r="9921" spans="1:1" x14ac:dyDescent="0.2">
      <c r="A9921" s="52"/>
    </row>
    <row r="9922" spans="1:1" x14ac:dyDescent="0.2">
      <c r="A9922" s="52"/>
    </row>
    <row r="9923" spans="1:1" x14ac:dyDescent="0.2">
      <c r="A9923" s="52"/>
    </row>
    <row r="9924" spans="1:1" x14ac:dyDescent="0.2">
      <c r="A9924" s="52"/>
    </row>
    <row r="9925" spans="1:1" x14ac:dyDescent="0.2">
      <c r="A9925" s="52"/>
    </row>
    <row r="9926" spans="1:1" x14ac:dyDescent="0.2">
      <c r="A9926" s="52"/>
    </row>
    <row r="9927" spans="1:1" x14ac:dyDescent="0.2">
      <c r="A9927" s="52"/>
    </row>
    <row r="9928" spans="1:1" x14ac:dyDescent="0.2">
      <c r="A9928" s="52"/>
    </row>
    <row r="9929" spans="1:1" x14ac:dyDescent="0.2">
      <c r="A9929" s="52"/>
    </row>
    <row r="9930" spans="1:1" x14ac:dyDescent="0.2">
      <c r="A9930" s="52"/>
    </row>
    <row r="9931" spans="1:1" x14ac:dyDescent="0.2">
      <c r="A9931" s="52"/>
    </row>
    <row r="9932" spans="1:1" x14ac:dyDescent="0.2">
      <c r="A9932" s="52"/>
    </row>
    <row r="9933" spans="1:1" x14ac:dyDescent="0.2">
      <c r="A9933" s="52"/>
    </row>
    <row r="9934" spans="1:1" x14ac:dyDescent="0.2">
      <c r="A9934" s="52"/>
    </row>
    <row r="9935" spans="1:1" x14ac:dyDescent="0.2">
      <c r="A9935" s="52"/>
    </row>
    <row r="9936" spans="1:1" x14ac:dyDescent="0.2">
      <c r="A9936" s="52"/>
    </row>
    <row r="9937" spans="1:1" x14ac:dyDescent="0.2">
      <c r="A9937" s="52"/>
    </row>
    <row r="9938" spans="1:1" x14ac:dyDescent="0.2">
      <c r="A9938" s="53"/>
    </row>
    <row r="9939" spans="1:1" x14ac:dyDescent="0.2">
      <c r="A9939" s="52"/>
    </row>
    <row r="9940" spans="1:1" x14ac:dyDescent="0.2">
      <c r="A9940" s="52"/>
    </row>
    <row r="9941" spans="1:1" x14ac:dyDescent="0.2">
      <c r="A9941" s="52"/>
    </row>
    <row r="9942" spans="1:1" x14ac:dyDescent="0.2">
      <c r="A9942" s="52"/>
    </row>
    <row r="9943" spans="1:1" x14ac:dyDescent="0.2">
      <c r="A9943" s="52"/>
    </row>
    <row r="9944" spans="1:1" x14ac:dyDescent="0.2">
      <c r="A9944" s="52"/>
    </row>
    <row r="9945" spans="1:1" x14ac:dyDescent="0.2">
      <c r="A9945" s="52"/>
    </row>
    <row r="9946" spans="1:1" x14ac:dyDescent="0.2">
      <c r="A9946" s="52"/>
    </row>
    <row r="9947" spans="1:1" x14ac:dyDescent="0.2">
      <c r="A9947" s="52"/>
    </row>
    <row r="9948" spans="1:1" x14ac:dyDescent="0.2">
      <c r="A9948" s="52"/>
    </row>
    <row r="9949" spans="1:1" x14ac:dyDescent="0.2">
      <c r="A9949" s="52"/>
    </row>
    <row r="9950" spans="1:1" x14ac:dyDescent="0.2">
      <c r="A9950" s="52"/>
    </row>
    <row r="9951" spans="1:1" x14ac:dyDescent="0.2">
      <c r="A9951" s="52"/>
    </row>
    <row r="9952" spans="1:1" x14ac:dyDescent="0.2">
      <c r="A9952" s="52"/>
    </row>
    <row r="9953" spans="1:1" x14ac:dyDescent="0.2">
      <c r="A9953" s="52"/>
    </row>
    <row r="9954" spans="1:1" x14ac:dyDescent="0.2">
      <c r="A9954" s="52"/>
    </row>
    <row r="9955" spans="1:1" x14ac:dyDescent="0.2">
      <c r="A9955" s="53"/>
    </row>
    <row r="9956" spans="1:1" x14ac:dyDescent="0.2">
      <c r="A9956" s="52"/>
    </row>
    <row r="9957" spans="1:1" x14ac:dyDescent="0.2">
      <c r="A9957" s="52"/>
    </row>
    <row r="9958" spans="1:1" x14ac:dyDescent="0.2">
      <c r="A9958" s="52"/>
    </row>
    <row r="9959" spans="1:1" x14ac:dyDescent="0.2">
      <c r="A9959" s="52"/>
    </row>
    <row r="9960" spans="1:1" x14ac:dyDescent="0.2">
      <c r="A9960" s="52"/>
    </row>
    <row r="9961" spans="1:1" x14ac:dyDescent="0.2">
      <c r="A9961" s="52"/>
    </row>
    <row r="9962" spans="1:1" x14ac:dyDescent="0.2">
      <c r="A9962" s="52"/>
    </row>
    <row r="9963" spans="1:1" x14ac:dyDescent="0.2">
      <c r="A9963" s="52"/>
    </row>
    <row r="9964" spans="1:1" x14ac:dyDescent="0.2">
      <c r="A9964" s="52"/>
    </row>
    <row r="9965" spans="1:1" x14ac:dyDescent="0.2">
      <c r="A9965" s="52"/>
    </row>
    <row r="9966" spans="1:1" x14ac:dyDescent="0.2">
      <c r="A9966" s="52"/>
    </row>
    <row r="9967" spans="1:1" x14ac:dyDescent="0.2">
      <c r="A9967" s="52"/>
    </row>
    <row r="9968" spans="1:1" x14ac:dyDescent="0.2">
      <c r="A9968" s="53"/>
    </row>
    <row r="9969" spans="1:1" x14ac:dyDescent="0.2">
      <c r="A9969" s="53"/>
    </row>
    <row r="9970" spans="1:1" x14ac:dyDescent="0.2">
      <c r="A9970" s="53"/>
    </row>
    <row r="9971" spans="1:1" x14ac:dyDescent="0.2">
      <c r="A9971" s="52"/>
    </row>
    <row r="9972" spans="1:1" x14ac:dyDescent="0.2">
      <c r="A9972" s="52"/>
    </row>
    <row r="9973" spans="1:1" x14ac:dyDescent="0.2">
      <c r="A9973" s="52"/>
    </row>
    <row r="9974" spans="1:1" x14ac:dyDescent="0.2">
      <c r="A9974" s="52"/>
    </row>
    <row r="9975" spans="1:1" x14ac:dyDescent="0.2">
      <c r="A9975" s="52"/>
    </row>
    <row r="9976" spans="1:1" x14ac:dyDescent="0.2">
      <c r="A9976" s="52"/>
    </row>
    <row r="9977" spans="1:1" x14ac:dyDescent="0.2">
      <c r="A9977" s="52"/>
    </row>
    <row r="9978" spans="1:1" x14ac:dyDescent="0.2">
      <c r="A9978" s="52"/>
    </row>
    <row r="9979" spans="1:1" x14ac:dyDescent="0.2">
      <c r="A9979" s="52"/>
    </row>
    <row r="9980" spans="1:1" x14ac:dyDescent="0.2">
      <c r="A9980" s="52"/>
    </row>
    <row r="9981" spans="1:1" x14ac:dyDescent="0.2">
      <c r="A9981" s="52"/>
    </row>
    <row r="9982" spans="1:1" x14ac:dyDescent="0.2">
      <c r="A9982" s="52"/>
    </row>
    <row r="9983" spans="1:1" x14ac:dyDescent="0.2">
      <c r="A9983" s="52"/>
    </row>
    <row r="9984" spans="1:1" x14ac:dyDescent="0.2">
      <c r="A9984" s="52"/>
    </row>
    <row r="9985" spans="1:1" x14ac:dyDescent="0.2">
      <c r="A9985" s="52"/>
    </row>
    <row r="9986" spans="1:1" x14ac:dyDescent="0.2">
      <c r="A9986" s="52"/>
    </row>
    <row r="9987" spans="1:1" x14ac:dyDescent="0.2">
      <c r="A9987" s="52"/>
    </row>
    <row r="9988" spans="1:1" x14ac:dyDescent="0.2">
      <c r="A9988" s="52"/>
    </row>
    <row r="9989" spans="1:1" x14ac:dyDescent="0.2">
      <c r="A9989" s="52"/>
    </row>
    <row r="9990" spans="1:1" x14ac:dyDescent="0.2">
      <c r="A9990" s="52"/>
    </row>
    <row r="9991" spans="1:1" x14ac:dyDescent="0.2">
      <c r="A9991" s="52"/>
    </row>
    <row r="9992" spans="1:1" x14ac:dyDescent="0.2">
      <c r="A9992" s="52"/>
    </row>
    <row r="9993" spans="1:1" x14ac:dyDescent="0.2">
      <c r="A9993" s="52"/>
    </row>
    <row r="9994" spans="1:1" x14ac:dyDescent="0.2">
      <c r="A9994" s="52"/>
    </row>
    <row r="9995" spans="1:1" x14ac:dyDescent="0.2">
      <c r="A9995" s="52"/>
    </row>
    <row r="9996" spans="1:1" x14ac:dyDescent="0.2">
      <c r="A9996" s="52"/>
    </row>
    <row r="9997" spans="1:1" x14ac:dyDescent="0.2">
      <c r="A9997" s="52"/>
    </row>
    <row r="9998" spans="1:1" x14ac:dyDescent="0.2">
      <c r="A9998" s="52"/>
    </row>
    <row r="9999" spans="1:1" x14ac:dyDescent="0.2">
      <c r="A9999" s="52"/>
    </row>
    <row r="10000" spans="1:1" x14ac:dyDescent="0.2">
      <c r="A10000" s="52"/>
    </row>
    <row r="10001" spans="1:1" x14ac:dyDescent="0.2">
      <c r="A10001" s="52"/>
    </row>
    <row r="10002" spans="1:1" x14ac:dyDescent="0.2">
      <c r="A10002" s="52"/>
    </row>
    <row r="10003" spans="1:1" x14ac:dyDescent="0.2">
      <c r="A10003" s="52"/>
    </row>
    <row r="10004" spans="1:1" x14ac:dyDescent="0.2">
      <c r="A10004" s="52"/>
    </row>
    <row r="10005" spans="1:1" x14ac:dyDescent="0.2">
      <c r="A10005" s="52"/>
    </row>
    <row r="10006" spans="1:1" x14ac:dyDescent="0.2">
      <c r="A10006" s="52"/>
    </row>
    <row r="10007" spans="1:1" x14ac:dyDescent="0.2">
      <c r="A10007" s="52"/>
    </row>
    <row r="10008" spans="1:1" x14ac:dyDescent="0.2">
      <c r="A10008" s="52"/>
    </row>
    <row r="10009" spans="1:1" x14ac:dyDescent="0.2">
      <c r="A10009" s="52"/>
    </row>
    <row r="10010" spans="1:1" x14ac:dyDescent="0.2">
      <c r="A10010" s="52"/>
    </row>
    <row r="10011" spans="1:1" x14ac:dyDescent="0.2">
      <c r="A10011" s="52"/>
    </row>
    <row r="10012" spans="1:1" x14ac:dyDescent="0.2">
      <c r="A10012" s="52"/>
    </row>
    <row r="10013" spans="1:1" x14ac:dyDescent="0.2">
      <c r="A10013" s="52"/>
    </row>
    <row r="10014" spans="1:1" x14ac:dyDescent="0.2">
      <c r="A10014" s="52"/>
    </row>
    <row r="10015" spans="1:1" x14ac:dyDescent="0.2">
      <c r="A10015" s="52"/>
    </row>
    <row r="10016" spans="1:1" x14ac:dyDescent="0.2">
      <c r="A10016" s="52"/>
    </row>
    <row r="10017" spans="1:1" x14ac:dyDescent="0.2">
      <c r="A10017" s="52"/>
    </row>
    <row r="10018" spans="1:1" x14ac:dyDescent="0.2">
      <c r="A10018" s="52"/>
    </row>
    <row r="10019" spans="1:1" x14ac:dyDescent="0.2">
      <c r="A10019" s="53"/>
    </row>
    <row r="10020" spans="1:1" x14ac:dyDescent="0.2">
      <c r="A10020" s="52"/>
    </row>
    <row r="10021" spans="1:1" x14ac:dyDescent="0.2">
      <c r="A10021" s="52"/>
    </row>
    <row r="10022" spans="1:1" x14ac:dyDescent="0.2">
      <c r="A10022" s="52"/>
    </row>
    <row r="10023" spans="1:1" x14ac:dyDescent="0.2">
      <c r="A10023" s="52"/>
    </row>
    <row r="10024" spans="1:1" x14ac:dyDescent="0.2">
      <c r="A10024" s="52"/>
    </row>
    <row r="10025" spans="1:1" x14ac:dyDescent="0.2">
      <c r="A10025" s="52"/>
    </row>
    <row r="10026" spans="1:1" x14ac:dyDescent="0.2">
      <c r="A10026" s="52"/>
    </row>
    <row r="10027" spans="1:1" x14ac:dyDescent="0.2">
      <c r="A10027" s="52"/>
    </row>
    <row r="10028" spans="1:1" x14ac:dyDescent="0.2">
      <c r="A10028" s="52"/>
    </row>
    <row r="10029" spans="1:1" x14ac:dyDescent="0.2">
      <c r="A10029" s="52"/>
    </row>
    <row r="10030" spans="1:1" x14ac:dyDescent="0.2">
      <c r="A10030" s="52"/>
    </row>
    <row r="10031" spans="1:1" x14ac:dyDescent="0.2">
      <c r="A10031" s="52"/>
    </row>
    <row r="10032" spans="1:1" x14ac:dyDescent="0.2">
      <c r="A10032" s="52"/>
    </row>
    <row r="10033" spans="1:1" x14ac:dyDescent="0.2">
      <c r="A10033" s="52"/>
    </row>
    <row r="10034" spans="1:1" x14ac:dyDescent="0.2">
      <c r="A10034" s="52"/>
    </row>
    <row r="10035" spans="1:1" x14ac:dyDescent="0.2">
      <c r="A10035" s="52"/>
    </row>
    <row r="10036" spans="1:1" x14ac:dyDescent="0.2">
      <c r="A10036" s="52"/>
    </row>
    <row r="10037" spans="1:1" x14ac:dyDescent="0.2">
      <c r="A10037" s="52"/>
    </row>
    <row r="10038" spans="1:1" x14ac:dyDescent="0.2">
      <c r="A10038" s="52"/>
    </row>
    <row r="10039" spans="1:1" x14ac:dyDescent="0.2">
      <c r="A10039" s="52"/>
    </row>
    <row r="10040" spans="1:1" x14ac:dyDescent="0.2">
      <c r="A10040" s="52"/>
    </row>
    <row r="10041" spans="1:1" x14ac:dyDescent="0.2">
      <c r="A10041" s="52"/>
    </row>
    <row r="10042" spans="1:1" x14ac:dyDescent="0.2">
      <c r="A10042" s="52"/>
    </row>
    <row r="10043" spans="1:1" x14ac:dyDescent="0.2">
      <c r="A10043" s="52"/>
    </row>
    <row r="10044" spans="1:1" x14ac:dyDescent="0.2">
      <c r="A10044" s="52"/>
    </row>
    <row r="10045" spans="1:1" x14ac:dyDescent="0.2">
      <c r="A10045" s="52"/>
    </row>
    <row r="10046" spans="1:1" x14ac:dyDescent="0.2">
      <c r="A10046" s="52"/>
    </row>
    <row r="10047" spans="1:1" x14ac:dyDescent="0.2">
      <c r="A10047" s="52"/>
    </row>
    <row r="10048" spans="1:1" x14ac:dyDescent="0.2">
      <c r="A10048" s="52"/>
    </row>
    <row r="10049" spans="1:1" x14ac:dyDescent="0.2">
      <c r="A10049" s="52"/>
    </row>
    <row r="10050" spans="1:1" x14ac:dyDescent="0.2">
      <c r="A10050" s="52"/>
    </row>
    <row r="10051" spans="1:1" x14ac:dyDescent="0.2">
      <c r="A10051" s="52"/>
    </row>
    <row r="10052" spans="1:1" x14ac:dyDescent="0.2">
      <c r="A10052" s="52"/>
    </row>
    <row r="10053" spans="1:1" x14ac:dyDescent="0.2">
      <c r="A10053" s="52"/>
    </row>
    <row r="10054" spans="1:1" x14ac:dyDescent="0.2">
      <c r="A10054" s="52"/>
    </row>
    <row r="10055" spans="1:1" x14ac:dyDescent="0.2">
      <c r="A10055" s="52"/>
    </row>
    <row r="10056" spans="1:1" x14ac:dyDescent="0.2">
      <c r="A10056" s="52"/>
    </row>
    <row r="10057" spans="1:1" x14ac:dyDescent="0.2">
      <c r="A10057" s="52"/>
    </row>
    <row r="10058" spans="1:1" x14ac:dyDescent="0.2">
      <c r="A10058" s="52"/>
    </row>
    <row r="10059" spans="1:1" x14ac:dyDescent="0.2">
      <c r="A10059" s="52"/>
    </row>
    <row r="10060" spans="1:1" x14ac:dyDescent="0.2">
      <c r="A10060" s="52"/>
    </row>
    <row r="10061" spans="1:1" x14ac:dyDescent="0.2">
      <c r="A10061" s="52"/>
    </row>
    <row r="10062" spans="1:1" x14ac:dyDescent="0.2">
      <c r="A10062" s="52"/>
    </row>
    <row r="10063" spans="1:1" x14ac:dyDescent="0.2">
      <c r="A10063" s="52"/>
    </row>
    <row r="10064" spans="1:1" x14ac:dyDescent="0.2">
      <c r="A10064" s="52"/>
    </row>
    <row r="10065" spans="1:1" x14ac:dyDescent="0.2">
      <c r="A10065" s="53"/>
    </row>
    <row r="10066" spans="1:1" x14ac:dyDescent="0.2">
      <c r="A10066" s="52"/>
    </row>
    <row r="10067" spans="1:1" x14ac:dyDescent="0.2">
      <c r="A10067" s="52"/>
    </row>
    <row r="10068" spans="1:1" x14ac:dyDescent="0.2">
      <c r="A10068" s="52"/>
    </row>
    <row r="10069" spans="1:1" x14ac:dyDescent="0.2">
      <c r="A10069" s="52"/>
    </row>
    <row r="10070" spans="1:1" x14ac:dyDescent="0.2">
      <c r="A10070" s="52"/>
    </row>
    <row r="10071" spans="1:1" x14ac:dyDescent="0.2">
      <c r="A10071" s="52"/>
    </row>
    <row r="10072" spans="1:1" x14ac:dyDescent="0.2">
      <c r="A10072" s="52"/>
    </row>
    <row r="10073" spans="1:1" x14ac:dyDescent="0.2">
      <c r="A10073" s="52"/>
    </row>
    <row r="10074" spans="1:1" x14ac:dyDescent="0.2">
      <c r="A10074" s="52"/>
    </row>
    <row r="10075" spans="1:1" x14ac:dyDescent="0.2">
      <c r="A10075" s="52"/>
    </row>
    <row r="10076" spans="1:1" x14ac:dyDescent="0.2">
      <c r="A10076" s="52"/>
    </row>
    <row r="10077" spans="1:1" x14ac:dyDescent="0.2">
      <c r="A10077" s="52"/>
    </row>
    <row r="10078" spans="1:1" x14ac:dyDescent="0.2">
      <c r="A10078" s="52"/>
    </row>
    <row r="10079" spans="1:1" x14ac:dyDescent="0.2">
      <c r="A10079" s="52"/>
    </row>
    <row r="10080" spans="1:1" x14ac:dyDescent="0.2">
      <c r="A10080" s="52"/>
    </row>
    <row r="10081" spans="1:1" x14ac:dyDescent="0.2">
      <c r="A10081" s="52"/>
    </row>
    <row r="10082" spans="1:1" x14ac:dyDescent="0.2">
      <c r="A10082" s="52"/>
    </row>
    <row r="10083" spans="1:1" x14ac:dyDescent="0.2">
      <c r="A10083" s="52"/>
    </row>
    <row r="10084" spans="1:1" x14ac:dyDescent="0.2">
      <c r="A10084" s="52"/>
    </row>
    <row r="10085" spans="1:1" x14ac:dyDescent="0.2">
      <c r="A10085" s="52"/>
    </row>
    <row r="10086" spans="1:1" x14ac:dyDescent="0.2">
      <c r="A10086" s="52"/>
    </row>
    <row r="10087" spans="1:1" x14ac:dyDescent="0.2">
      <c r="A10087" s="52"/>
    </row>
    <row r="10088" spans="1:1" x14ac:dyDescent="0.2">
      <c r="A10088" s="52"/>
    </row>
    <row r="10089" spans="1:1" x14ac:dyDescent="0.2">
      <c r="A10089" s="52"/>
    </row>
    <row r="10090" spans="1:1" x14ac:dyDescent="0.2">
      <c r="A10090" s="52"/>
    </row>
    <row r="10091" spans="1:1" x14ac:dyDescent="0.2">
      <c r="A10091" s="53"/>
    </row>
    <row r="10092" spans="1:1" x14ac:dyDescent="0.2">
      <c r="A10092" s="52"/>
    </row>
    <row r="10093" spans="1:1" x14ac:dyDescent="0.2">
      <c r="A10093" s="52"/>
    </row>
    <row r="10094" spans="1:1" x14ac:dyDescent="0.2">
      <c r="A10094" s="52"/>
    </row>
    <row r="10095" spans="1:1" x14ac:dyDescent="0.2">
      <c r="A10095" s="52"/>
    </row>
    <row r="10096" spans="1:1" x14ac:dyDescent="0.2">
      <c r="A10096" s="52"/>
    </row>
    <row r="10097" spans="1:1" x14ac:dyDescent="0.2">
      <c r="A10097" s="52"/>
    </row>
    <row r="10098" spans="1:1" x14ac:dyDescent="0.2">
      <c r="A10098" s="52"/>
    </row>
    <row r="10099" spans="1:1" x14ac:dyDescent="0.2">
      <c r="A10099" s="52"/>
    </row>
    <row r="10100" spans="1:1" x14ac:dyDescent="0.2">
      <c r="A10100" s="52"/>
    </row>
    <row r="10101" spans="1:1" x14ac:dyDescent="0.2">
      <c r="A10101" s="52"/>
    </row>
    <row r="10102" spans="1:1" x14ac:dyDescent="0.2">
      <c r="A10102" s="52"/>
    </row>
    <row r="10103" spans="1:1" x14ac:dyDescent="0.2">
      <c r="A10103" s="52"/>
    </row>
    <row r="10104" spans="1:1" x14ac:dyDescent="0.2">
      <c r="A10104" s="52"/>
    </row>
    <row r="10105" spans="1:1" x14ac:dyDescent="0.2">
      <c r="A10105" s="52"/>
    </row>
    <row r="10106" spans="1:1" x14ac:dyDescent="0.2">
      <c r="A10106" s="52"/>
    </row>
    <row r="10107" spans="1:1" x14ac:dyDescent="0.2">
      <c r="A10107" s="52"/>
    </row>
    <row r="10108" spans="1:1" x14ac:dyDescent="0.2">
      <c r="A10108" s="52"/>
    </row>
    <row r="10109" spans="1:1" x14ac:dyDescent="0.2">
      <c r="A10109" s="52"/>
    </row>
    <row r="10110" spans="1:1" x14ac:dyDescent="0.2">
      <c r="A10110" s="52"/>
    </row>
    <row r="10111" spans="1:1" x14ac:dyDescent="0.2">
      <c r="A10111" s="52"/>
    </row>
    <row r="10112" spans="1:1" x14ac:dyDescent="0.2">
      <c r="A10112" s="52"/>
    </row>
    <row r="10113" spans="1:1" x14ac:dyDescent="0.2">
      <c r="A10113" s="52"/>
    </row>
    <row r="10114" spans="1:1" x14ac:dyDescent="0.2">
      <c r="A10114" s="52"/>
    </row>
    <row r="10115" spans="1:1" x14ac:dyDescent="0.2">
      <c r="A10115" s="52"/>
    </row>
    <row r="10116" spans="1:1" x14ac:dyDescent="0.2">
      <c r="A10116" s="52"/>
    </row>
    <row r="10117" spans="1:1" x14ac:dyDescent="0.2">
      <c r="A10117" s="52"/>
    </row>
    <row r="10118" spans="1:1" x14ac:dyDescent="0.2">
      <c r="A10118" s="52"/>
    </row>
    <row r="10119" spans="1:1" x14ac:dyDescent="0.2">
      <c r="A10119" s="52"/>
    </row>
    <row r="10120" spans="1:1" x14ac:dyDescent="0.2">
      <c r="A10120" s="52"/>
    </row>
    <row r="10121" spans="1:1" x14ac:dyDescent="0.2">
      <c r="A10121" s="52"/>
    </row>
    <row r="10122" spans="1:1" x14ac:dyDescent="0.2">
      <c r="A10122" s="52"/>
    </row>
    <row r="10123" spans="1:1" x14ac:dyDescent="0.2">
      <c r="A10123" s="52"/>
    </row>
    <row r="10124" spans="1:1" x14ac:dyDescent="0.2">
      <c r="A10124" s="52"/>
    </row>
    <row r="10125" spans="1:1" x14ac:dyDescent="0.2">
      <c r="A10125" s="52"/>
    </row>
    <row r="10126" spans="1:1" x14ac:dyDescent="0.2">
      <c r="A10126" s="52"/>
    </row>
    <row r="10127" spans="1:1" x14ac:dyDescent="0.2">
      <c r="A10127" s="52"/>
    </row>
    <row r="10128" spans="1:1" x14ac:dyDescent="0.2">
      <c r="A10128" s="52"/>
    </row>
    <row r="10129" spans="1:1" x14ac:dyDescent="0.2">
      <c r="A10129" s="52"/>
    </row>
    <row r="10130" spans="1:1" x14ac:dyDescent="0.2">
      <c r="A10130" s="52"/>
    </row>
    <row r="10131" spans="1:1" x14ac:dyDescent="0.2">
      <c r="A10131" s="52"/>
    </row>
    <row r="10132" spans="1:1" x14ac:dyDescent="0.2">
      <c r="A10132" s="52"/>
    </row>
    <row r="10133" spans="1:1" x14ac:dyDescent="0.2">
      <c r="A10133" s="52"/>
    </row>
    <row r="10134" spans="1:1" x14ac:dyDescent="0.2">
      <c r="A10134" s="52"/>
    </row>
    <row r="10135" spans="1:1" x14ac:dyDescent="0.2">
      <c r="A10135" s="52"/>
    </row>
    <row r="10136" spans="1:1" x14ac:dyDescent="0.2">
      <c r="A10136" s="52"/>
    </row>
    <row r="10137" spans="1:1" x14ac:dyDescent="0.2">
      <c r="A10137" s="52"/>
    </row>
    <row r="10138" spans="1:1" x14ac:dyDescent="0.2">
      <c r="A10138" s="52"/>
    </row>
    <row r="10139" spans="1:1" x14ac:dyDescent="0.2">
      <c r="A10139" s="52"/>
    </row>
    <row r="10140" spans="1:1" x14ac:dyDescent="0.2">
      <c r="A10140" s="52"/>
    </row>
    <row r="10141" spans="1:1" x14ac:dyDescent="0.2">
      <c r="A10141" s="52"/>
    </row>
    <row r="10142" spans="1:1" x14ac:dyDescent="0.2">
      <c r="A10142" s="52"/>
    </row>
    <row r="10143" spans="1:1" x14ac:dyDescent="0.2">
      <c r="A10143" s="52"/>
    </row>
    <row r="10144" spans="1:1" x14ac:dyDescent="0.2">
      <c r="A10144" s="52"/>
    </row>
    <row r="10145" spans="1:1" x14ac:dyDescent="0.2">
      <c r="A10145" s="52"/>
    </row>
    <row r="10146" spans="1:1" x14ac:dyDescent="0.2">
      <c r="A10146" s="52"/>
    </row>
    <row r="10147" spans="1:1" x14ac:dyDescent="0.2">
      <c r="A10147" s="52"/>
    </row>
    <row r="10148" spans="1:1" x14ac:dyDescent="0.2">
      <c r="A10148" s="52"/>
    </row>
    <row r="10149" spans="1:1" x14ac:dyDescent="0.2">
      <c r="A10149" s="52"/>
    </row>
    <row r="10150" spans="1:1" x14ac:dyDescent="0.2">
      <c r="A10150" s="52"/>
    </row>
    <row r="10151" spans="1:1" x14ac:dyDescent="0.2">
      <c r="A10151" s="52"/>
    </row>
    <row r="10152" spans="1:1" x14ac:dyDescent="0.2">
      <c r="A10152" s="52"/>
    </row>
    <row r="10153" spans="1:1" x14ac:dyDescent="0.2">
      <c r="A10153" s="52"/>
    </row>
    <row r="10154" spans="1:1" x14ac:dyDescent="0.2">
      <c r="A10154" s="52"/>
    </row>
    <row r="10155" spans="1:1" x14ac:dyDescent="0.2">
      <c r="A10155" s="52"/>
    </row>
    <row r="10156" spans="1:1" x14ac:dyDescent="0.2">
      <c r="A10156" s="52"/>
    </row>
    <row r="10157" spans="1:1" x14ac:dyDescent="0.2">
      <c r="A10157" s="52"/>
    </row>
    <row r="10158" spans="1:1" x14ac:dyDescent="0.2">
      <c r="A10158" s="52"/>
    </row>
    <row r="10159" spans="1:1" x14ac:dyDescent="0.2">
      <c r="A10159" s="52"/>
    </row>
    <row r="10160" spans="1:1" x14ac:dyDescent="0.2">
      <c r="A10160" s="52"/>
    </row>
    <row r="10161" spans="1:1" x14ac:dyDescent="0.2">
      <c r="A10161" s="52"/>
    </row>
    <row r="10162" spans="1:1" x14ac:dyDescent="0.2">
      <c r="A10162" s="52"/>
    </row>
    <row r="10163" spans="1:1" x14ac:dyDescent="0.2">
      <c r="A10163" s="52"/>
    </row>
    <row r="10164" spans="1:1" x14ac:dyDescent="0.2">
      <c r="A10164" s="52"/>
    </row>
    <row r="10165" spans="1:1" x14ac:dyDescent="0.2">
      <c r="A10165" s="52"/>
    </row>
    <row r="10166" spans="1:1" x14ac:dyDescent="0.2">
      <c r="A10166" s="52"/>
    </row>
    <row r="10167" spans="1:1" x14ac:dyDescent="0.2">
      <c r="A10167" s="52"/>
    </row>
    <row r="10168" spans="1:1" x14ac:dyDescent="0.2">
      <c r="A10168" s="52"/>
    </row>
    <row r="10169" spans="1:1" x14ac:dyDescent="0.2">
      <c r="A10169" s="52"/>
    </row>
    <row r="10170" spans="1:1" x14ac:dyDescent="0.2">
      <c r="A10170" s="52"/>
    </row>
    <row r="10171" spans="1:1" x14ac:dyDescent="0.2">
      <c r="A10171" s="52"/>
    </row>
    <row r="10172" spans="1:1" x14ac:dyDescent="0.2">
      <c r="A10172" s="52"/>
    </row>
    <row r="10173" spans="1:1" x14ac:dyDescent="0.2">
      <c r="A10173" s="52"/>
    </row>
    <row r="10174" spans="1:1" x14ac:dyDescent="0.2">
      <c r="A10174" s="52"/>
    </row>
    <row r="10175" spans="1:1" x14ac:dyDescent="0.2">
      <c r="A10175" s="52"/>
    </row>
    <row r="10176" spans="1:1" x14ac:dyDescent="0.2">
      <c r="A10176" s="52"/>
    </row>
    <row r="10177" spans="1:1" x14ac:dyDescent="0.2">
      <c r="A10177" s="52"/>
    </row>
    <row r="10178" spans="1:1" x14ac:dyDescent="0.2">
      <c r="A10178" s="52"/>
    </row>
    <row r="10179" spans="1:1" x14ac:dyDescent="0.2">
      <c r="A10179" s="52"/>
    </row>
    <row r="10180" spans="1:1" x14ac:dyDescent="0.2">
      <c r="A10180" s="52"/>
    </row>
    <row r="10181" spans="1:1" x14ac:dyDescent="0.2">
      <c r="A10181" s="52"/>
    </row>
    <row r="10182" spans="1:1" x14ac:dyDescent="0.2">
      <c r="A10182" s="52"/>
    </row>
    <row r="10183" spans="1:1" x14ac:dyDescent="0.2">
      <c r="A10183" s="53"/>
    </row>
    <row r="10184" spans="1:1" x14ac:dyDescent="0.2">
      <c r="A10184" s="52"/>
    </row>
    <row r="10185" spans="1:1" x14ac:dyDescent="0.2">
      <c r="A10185" s="52"/>
    </row>
    <row r="10186" spans="1:1" x14ac:dyDescent="0.2">
      <c r="A10186" s="52"/>
    </row>
    <row r="10187" spans="1:1" x14ac:dyDescent="0.2">
      <c r="A10187" s="52"/>
    </row>
    <row r="10188" spans="1:1" x14ac:dyDescent="0.2">
      <c r="A10188" s="52"/>
    </row>
    <row r="10189" spans="1:1" x14ac:dyDescent="0.2">
      <c r="A10189" s="52"/>
    </row>
    <row r="10190" spans="1:1" x14ac:dyDescent="0.2">
      <c r="A10190" s="52"/>
    </row>
    <row r="10191" spans="1:1" x14ac:dyDescent="0.2">
      <c r="A10191" s="52"/>
    </row>
    <row r="10192" spans="1:1" x14ac:dyDescent="0.2">
      <c r="A10192" s="52"/>
    </row>
    <row r="10193" spans="1:1" x14ac:dyDescent="0.2">
      <c r="A10193" s="52"/>
    </row>
    <row r="10194" spans="1:1" x14ac:dyDescent="0.2">
      <c r="A10194" s="52"/>
    </row>
    <row r="10195" spans="1:1" x14ac:dyDescent="0.2">
      <c r="A10195" s="52"/>
    </row>
    <row r="10196" spans="1:1" x14ac:dyDescent="0.2">
      <c r="A10196" s="52"/>
    </row>
    <row r="10197" spans="1:1" x14ac:dyDescent="0.2">
      <c r="A10197" s="52"/>
    </row>
    <row r="10198" spans="1:1" x14ac:dyDescent="0.2">
      <c r="A10198" s="52"/>
    </row>
    <row r="10199" spans="1:1" x14ac:dyDescent="0.2">
      <c r="A10199" s="52"/>
    </row>
    <row r="10200" spans="1:1" x14ac:dyDescent="0.2">
      <c r="A10200" s="53"/>
    </row>
    <row r="10201" spans="1:1" x14ac:dyDescent="0.2">
      <c r="A10201" s="52"/>
    </row>
    <row r="10202" spans="1:1" x14ac:dyDescent="0.2">
      <c r="A10202" s="52"/>
    </row>
    <row r="10203" spans="1:1" x14ac:dyDescent="0.2">
      <c r="A10203" s="52"/>
    </row>
    <row r="10204" spans="1:1" x14ac:dyDescent="0.2">
      <c r="A10204" s="52"/>
    </row>
    <row r="10205" spans="1:1" x14ac:dyDescent="0.2">
      <c r="A10205" s="52"/>
    </row>
    <row r="10206" spans="1:1" x14ac:dyDescent="0.2">
      <c r="A10206" s="52"/>
    </row>
    <row r="10207" spans="1:1" x14ac:dyDescent="0.2">
      <c r="A10207" s="52"/>
    </row>
    <row r="10208" spans="1:1" x14ac:dyDescent="0.2">
      <c r="A10208" s="52"/>
    </row>
    <row r="10209" spans="1:1" x14ac:dyDescent="0.2">
      <c r="A10209" s="53"/>
    </row>
    <row r="10210" spans="1:1" x14ac:dyDescent="0.2">
      <c r="A10210" s="52"/>
    </row>
    <row r="10211" spans="1:1" x14ac:dyDescent="0.2">
      <c r="A10211" s="52"/>
    </row>
    <row r="10212" spans="1:1" x14ac:dyDescent="0.2">
      <c r="A10212" s="52"/>
    </row>
    <row r="10213" spans="1:1" x14ac:dyDescent="0.2">
      <c r="A10213" s="52"/>
    </row>
    <row r="10214" spans="1:1" x14ac:dyDescent="0.2">
      <c r="A10214" s="52"/>
    </row>
    <row r="10215" spans="1:1" x14ac:dyDescent="0.2">
      <c r="A10215" s="52"/>
    </row>
    <row r="10216" spans="1:1" x14ac:dyDescent="0.2">
      <c r="A10216" s="52"/>
    </row>
    <row r="10217" spans="1:1" x14ac:dyDescent="0.2">
      <c r="A10217" s="52"/>
    </row>
    <row r="10218" spans="1:1" x14ac:dyDescent="0.2">
      <c r="A10218" s="52"/>
    </row>
    <row r="10219" spans="1:1" x14ac:dyDescent="0.2">
      <c r="A10219" s="52"/>
    </row>
    <row r="10220" spans="1:1" x14ac:dyDescent="0.2">
      <c r="A10220" s="52"/>
    </row>
    <row r="10221" spans="1:1" x14ac:dyDescent="0.2">
      <c r="A10221" s="52"/>
    </row>
    <row r="10222" spans="1:1" x14ac:dyDescent="0.2">
      <c r="A10222" s="52"/>
    </row>
    <row r="10223" spans="1:1" x14ac:dyDescent="0.2">
      <c r="A10223" s="52"/>
    </row>
    <row r="10224" spans="1:1" x14ac:dyDescent="0.2">
      <c r="A10224" s="52"/>
    </row>
    <row r="10225" spans="1:1" x14ac:dyDescent="0.2">
      <c r="A10225" s="52"/>
    </row>
    <row r="10226" spans="1:1" x14ac:dyDescent="0.2">
      <c r="A10226" s="52"/>
    </row>
    <row r="10227" spans="1:1" x14ac:dyDescent="0.2">
      <c r="A10227" s="52"/>
    </row>
    <row r="10228" spans="1:1" x14ac:dyDescent="0.2">
      <c r="A10228" s="52"/>
    </row>
    <row r="10229" spans="1:1" x14ac:dyDescent="0.2">
      <c r="A10229" s="53"/>
    </row>
    <row r="10230" spans="1:1" x14ac:dyDescent="0.2">
      <c r="A10230" s="52"/>
    </row>
    <row r="10231" spans="1:1" x14ac:dyDescent="0.2">
      <c r="A10231" s="52"/>
    </row>
    <row r="10232" spans="1:1" x14ac:dyDescent="0.2">
      <c r="A10232" s="52"/>
    </row>
    <row r="10233" spans="1:1" x14ac:dyDescent="0.2">
      <c r="A10233" s="52"/>
    </row>
    <row r="10234" spans="1:1" x14ac:dyDescent="0.2">
      <c r="A10234" s="52"/>
    </row>
    <row r="10235" spans="1:1" x14ac:dyDescent="0.2">
      <c r="A10235" s="52"/>
    </row>
    <row r="10236" spans="1:1" x14ac:dyDescent="0.2">
      <c r="A10236" s="52"/>
    </row>
    <row r="10237" spans="1:1" x14ac:dyDescent="0.2">
      <c r="A10237" s="52"/>
    </row>
    <row r="10238" spans="1:1" x14ac:dyDescent="0.2">
      <c r="A10238" s="52"/>
    </row>
    <row r="10239" spans="1:1" x14ac:dyDescent="0.2">
      <c r="A10239" s="52"/>
    </row>
    <row r="10240" spans="1:1" x14ac:dyDescent="0.2">
      <c r="A10240" s="52"/>
    </row>
    <row r="10241" spans="1:1" x14ac:dyDescent="0.2">
      <c r="A10241" s="53"/>
    </row>
    <row r="10242" spans="1:1" x14ac:dyDescent="0.2">
      <c r="A10242" s="52"/>
    </row>
    <row r="10243" spans="1:1" x14ac:dyDescent="0.2">
      <c r="A10243" s="52"/>
    </row>
    <row r="10244" spans="1:1" x14ac:dyDescent="0.2">
      <c r="A10244" s="52"/>
    </row>
    <row r="10245" spans="1:1" x14ac:dyDescent="0.2">
      <c r="A10245" s="52"/>
    </row>
    <row r="10246" spans="1:1" x14ac:dyDescent="0.2">
      <c r="A10246" s="52"/>
    </row>
    <row r="10247" spans="1:1" x14ac:dyDescent="0.2">
      <c r="A10247" s="52"/>
    </row>
    <row r="10248" spans="1:1" x14ac:dyDescent="0.2">
      <c r="A10248" s="52"/>
    </row>
    <row r="10249" spans="1:1" x14ac:dyDescent="0.2">
      <c r="A10249" s="52"/>
    </row>
    <row r="10250" spans="1:1" x14ac:dyDescent="0.2">
      <c r="A10250" s="52"/>
    </row>
    <row r="10251" spans="1:1" x14ac:dyDescent="0.2">
      <c r="A10251" s="52"/>
    </row>
    <row r="10252" spans="1:1" x14ac:dyDescent="0.2">
      <c r="A10252" s="52"/>
    </row>
    <row r="10253" spans="1:1" x14ac:dyDescent="0.2">
      <c r="A10253" s="52"/>
    </row>
    <row r="10254" spans="1:1" x14ac:dyDescent="0.2">
      <c r="A10254" s="52"/>
    </row>
    <row r="10255" spans="1:1" x14ac:dyDescent="0.2">
      <c r="A10255" s="52"/>
    </row>
    <row r="10256" spans="1:1" x14ac:dyDescent="0.2">
      <c r="A10256" s="52"/>
    </row>
    <row r="10257" spans="1:1" x14ac:dyDescent="0.2">
      <c r="A10257" s="52"/>
    </row>
    <row r="10258" spans="1:1" x14ac:dyDescent="0.2">
      <c r="A10258" s="52"/>
    </row>
    <row r="10259" spans="1:1" x14ac:dyDescent="0.2">
      <c r="A10259" s="52"/>
    </row>
    <row r="10260" spans="1:1" x14ac:dyDescent="0.2">
      <c r="A10260" s="52"/>
    </row>
    <row r="10261" spans="1:1" x14ac:dyDescent="0.2">
      <c r="A10261" s="52"/>
    </row>
    <row r="10262" spans="1:1" x14ac:dyDescent="0.2">
      <c r="A10262" s="52"/>
    </row>
    <row r="10263" spans="1:1" x14ac:dyDescent="0.2">
      <c r="A10263" s="52"/>
    </row>
    <row r="10264" spans="1:1" x14ac:dyDescent="0.2">
      <c r="A10264" s="52"/>
    </row>
    <row r="10265" spans="1:1" x14ac:dyDescent="0.2">
      <c r="A10265" s="52"/>
    </row>
    <row r="10266" spans="1:1" x14ac:dyDescent="0.2">
      <c r="A10266" s="52"/>
    </row>
    <row r="10267" spans="1:1" x14ac:dyDescent="0.2">
      <c r="A10267" s="52"/>
    </row>
    <row r="10268" spans="1:1" x14ac:dyDescent="0.2">
      <c r="A10268" s="52"/>
    </row>
    <row r="10269" spans="1:1" x14ac:dyDescent="0.2">
      <c r="A10269" s="52"/>
    </row>
    <row r="10270" spans="1:1" x14ac:dyDescent="0.2">
      <c r="A10270" s="52"/>
    </row>
    <row r="10271" spans="1:1" x14ac:dyDescent="0.2">
      <c r="A10271" s="52"/>
    </row>
    <row r="10272" spans="1:1" x14ac:dyDescent="0.2">
      <c r="A10272" s="52"/>
    </row>
    <row r="10273" spans="1:1" x14ac:dyDescent="0.2">
      <c r="A10273" s="52"/>
    </row>
    <row r="10274" spans="1:1" x14ac:dyDescent="0.2">
      <c r="A10274" s="52"/>
    </row>
    <row r="10275" spans="1:1" x14ac:dyDescent="0.2">
      <c r="A10275" s="52"/>
    </row>
    <row r="10276" spans="1:1" x14ac:dyDescent="0.2">
      <c r="A10276" s="52"/>
    </row>
    <row r="10277" spans="1:1" x14ac:dyDescent="0.2">
      <c r="A10277" s="52"/>
    </row>
    <row r="10278" spans="1:1" x14ac:dyDescent="0.2">
      <c r="A10278" s="52"/>
    </row>
    <row r="10279" spans="1:1" x14ac:dyDescent="0.2">
      <c r="A10279" s="52"/>
    </row>
    <row r="10280" spans="1:1" x14ac:dyDescent="0.2">
      <c r="A10280" s="52"/>
    </row>
    <row r="10281" spans="1:1" x14ac:dyDescent="0.2">
      <c r="A10281" s="52"/>
    </row>
    <row r="10282" spans="1:1" x14ac:dyDescent="0.2">
      <c r="A10282" s="52"/>
    </row>
    <row r="10283" spans="1:1" x14ac:dyDescent="0.2">
      <c r="A10283" s="52"/>
    </row>
    <row r="10284" spans="1:1" x14ac:dyDescent="0.2">
      <c r="A10284" s="52"/>
    </row>
    <row r="10285" spans="1:1" x14ac:dyDescent="0.2">
      <c r="A10285" s="52"/>
    </row>
    <row r="10286" spans="1:1" x14ac:dyDescent="0.2">
      <c r="A10286" s="52"/>
    </row>
    <row r="10287" spans="1:1" x14ac:dyDescent="0.2">
      <c r="A10287" s="52"/>
    </row>
    <row r="10288" spans="1:1" x14ac:dyDescent="0.2">
      <c r="A10288" s="52"/>
    </row>
    <row r="10289" spans="1:1" x14ac:dyDescent="0.2">
      <c r="A10289" s="52"/>
    </row>
    <row r="10290" spans="1:1" x14ac:dyDescent="0.2">
      <c r="A10290" s="52"/>
    </row>
    <row r="10291" spans="1:1" x14ac:dyDescent="0.2">
      <c r="A10291" s="52"/>
    </row>
    <row r="10292" spans="1:1" x14ac:dyDescent="0.2">
      <c r="A10292" s="52"/>
    </row>
    <row r="10293" spans="1:1" x14ac:dyDescent="0.2">
      <c r="A10293" s="52"/>
    </row>
    <row r="10294" spans="1:1" x14ac:dyDescent="0.2">
      <c r="A10294" s="52"/>
    </row>
    <row r="10295" spans="1:1" x14ac:dyDescent="0.2">
      <c r="A10295" s="52"/>
    </row>
    <row r="10296" spans="1:1" x14ac:dyDescent="0.2">
      <c r="A10296" s="52"/>
    </row>
    <row r="10297" spans="1:1" x14ac:dyDescent="0.2">
      <c r="A10297" s="52"/>
    </row>
    <row r="10298" spans="1:1" x14ac:dyDescent="0.2">
      <c r="A10298" s="52"/>
    </row>
    <row r="10299" spans="1:1" x14ac:dyDescent="0.2">
      <c r="A10299" s="53"/>
    </row>
    <row r="10300" spans="1:1" x14ac:dyDescent="0.2">
      <c r="A10300" s="52"/>
    </row>
    <row r="10301" spans="1:1" x14ac:dyDescent="0.2">
      <c r="A10301" s="52"/>
    </row>
    <row r="10302" spans="1:1" x14ac:dyDescent="0.2">
      <c r="A10302" s="52"/>
    </row>
    <row r="10303" spans="1:1" x14ac:dyDescent="0.2">
      <c r="A10303" s="52"/>
    </row>
    <row r="10304" spans="1:1" x14ac:dyDescent="0.2">
      <c r="A10304" s="52"/>
    </row>
    <row r="10305" spans="1:1" x14ac:dyDescent="0.2">
      <c r="A10305" s="52"/>
    </row>
    <row r="10306" spans="1:1" x14ac:dyDescent="0.2">
      <c r="A10306" s="52"/>
    </row>
    <row r="10307" spans="1:1" x14ac:dyDescent="0.2">
      <c r="A10307" s="52"/>
    </row>
    <row r="10308" spans="1:1" x14ac:dyDescent="0.2">
      <c r="A10308" s="52"/>
    </row>
    <row r="10309" spans="1:1" x14ac:dyDescent="0.2">
      <c r="A10309" s="52"/>
    </row>
    <row r="10310" spans="1:1" x14ac:dyDescent="0.2">
      <c r="A10310" s="52"/>
    </row>
    <row r="10311" spans="1:1" x14ac:dyDescent="0.2">
      <c r="A10311" s="52"/>
    </row>
    <row r="10312" spans="1:1" x14ac:dyDescent="0.2">
      <c r="A10312" s="52"/>
    </row>
    <row r="10313" spans="1:1" x14ac:dyDescent="0.2">
      <c r="A10313" s="52"/>
    </row>
    <row r="10314" spans="1:1" x14ac:dyDescent="0.2">
      <c r="A10314" s="52"/>
    </row>
    <row r="10315" spans="1:1" x14ac:dyDescent="0.2">
      <c r="A10315" s="52"/>
    </row>
    <row r="10316" spans="1:1" x14ac:dyDescent="0.2">
      <c r="A10316" s="53"/>
    </row>
    <row r="10317" spans="1:1" x14ac:dyDescent="0.2">
      <c r="A10317" s="53"/>
    </row>
    <row r="10318" spans="1:1" x14ac:dyDescent="0.2">
      <c r="A10318" s="53"/>
    </row>
    <row r="10319" spans="1:1" x14ac:dyDescent="0.2">
      <c r="A10319" s="52"/>
    </row>
    <row r="10320" spans="1:1" x14ac:dyDescent="0.2">
      <c r="A10320" s="52"/>
    </row>
    <row r="10321" spans="1:1" x14ac:dyDescent="0.2">
      <c r="A10321" s="52"/>
    </row>
    <row r="10322" spans="1:1" x14ac:dyDescent="0.2">
      <c r="A10322" s="52"/>
    </row>
    <row r="10323" spans="1:1" x14ac:dyDescent="0.2">
      <c r="A10323" s="52"/>
    </row>
    <row r="10324" spans="1:1" x14ac:dyDescent="0.2">
      <c r="A10324" s="52"/>
    </row>
    <row r="10325" spans="1:1" x14ac:dyDescent="0.2">
      <c r="A10325" s="52"/>
    </row>
    <row r="10326" spans="1:1" x14ac:dyDescent="0.2">
      <c r="A10326" s="52"/>
    </row>
    <row r="10327" spans="1:1" x14ac:dyDescent="0.2">
      <c r="A10327" s="52"/>
    </row>
    <row r="10328" spans="1:1" x14ac:dyDescent="0.2">
      <c r="A10328" s="52"/>
    </row>
    <row r="10329" spans="1:1" x14ac:dyDescent="0.2">
      <c r="A10329" s="52"/>
    </row>
    <row r="10330" spans="1:1" x14ac:dyDescent="0.2">
      <c r="A10330" s="53"/>
    </row>
    <row r="10331" spans="1:1" x14ac:dyDescent="0.2">
      <c r="A10331" s="52"/>
    </row>
    <row r="10332" spans="1:1" x14ac:dyDescent="0.2">
      <c r="A10332" s="52"/>
    </row>
    <row r="10333" spans="1:1" x14ac:dyDescent="0.2">
      <c r="A10333" s="53"/>
    </row>
    <row r="10334" spans="1:1" x14ac:dyDescent="0.2">
      <c r="A10334" s="52"/>
    </row>
    <row r="10335" spans="1:1" x14ac:dyDescent="0.2">
      <c r="A10335" s="52"/>
    </row>
    <row r="10336" spans="1:1" x14ac:dyDescent="0.2">
      <c r="A10336" s="52"/>
    </row>
    <row r="10337" spans="1:1" x14ac:dyDescent="0.2">
      <c r="A10337" s="52"/>
    </row>
    <row r="10338" spans="1:1" x14ac:dyDescent="0.2">
      <c r="A10338" s="52"/>
    </row>
    <row r="10339" spans="1:1" x14ac:dyDescent="0.2">
      <c r="A10339" s="52"/>
    </row>
    <row r="10340" spans="1:1" x14ac:dyDescent="0.2">
      <c r="A10340" s="52"/>
    </row>
    <row r="10341" spans="1:1" x14ac:dyDescent="0.2">
      <c r="A10341" s="52"/>
    </row>
    <row r="10342" spans="1:1" x14ac:dyDescent="0.2">
      <c r="A10342" s="52"/>
    </row>
    <row r="10343" spans="1:1" x14ac:dyDescent="0.2">
      <c r="A10343" s="52"/>
    </row>
    <row r="10344" spans="1:1" x14ac:dyDescent="0.2">
      <c r="A10344" s="52"/>
    </row>
    <row r="10345" spans="1:1" x14ac:dyDescent="0.2">
      <c r="A10345" s="52"/>
    </row>
    <row r="10346" spans="1:1" x14ac:dyDescent="0.2">
      <c r="A10346" s="52"/>
    </row>
    <row r="10347" spans="1:1" x14ac:dyDescent="0.2">
      <c r="A10347" s="52"/>
    </row>
    <row r="10348" spans="1:1" x14ac:dyDescent="0.2">
      <c r="A10348" s="53"/>
    </row>
    <row r="10349" spans="1:1" x14ac:dyDescent="0.2">
      <c r="A10349" s="52"/>
    </row>
    <row r="10350" spans="1:1" x14ac:dyDescent="0.2">
      <c r="A10350" s="52"/>
    </row>
    <row r="10351" spans="1:1" x14ac:dyDescent="0.2">
      <c r="A10351" s="52"/>
    </row>
    <row r="10352" spans="1:1" x14ac:dyDescent="0.2">
      <c r="A10352" s="52"/>
    </row>
    <row r="10353" spans="1:1" x14ac:dyDescent="0.2">
      <c r="A10353" s="52"/>
    </row>
    <row r="10354" spans="1:1" x14ac:dyDescent="0.2">
      <c r="A10354" s="52"/>
    </row>
    <row r="10355" spans="1:1" x14ac:dyDescent="0.2">
      <c r="A10355" s="53"/>
    </row>
    <row r="10356" spans="1:1" x14ac:dyDescent="0.2">
      <c r="A10356" s="52"/>
    </row>
    <row r="10357" spans="1:1" x14ac:dyDescent="0.2">
      <c r="A10357" s="52"/>
    </row>
    <row r="10358" spans="1:1" x14ac:dyDescent="0.2">
      <c r="A10358" s="52"/>
    </row>
    <row r="10359" spans="1:1" x14ac:dyDescent="0.2">
      <c r="A10359" s="52"/>
    </row>
    <row r="10360" spans="1:1" x14ac:dyDescent="0.2">
      <c r="A10360" s="52"/>
    </row>
    <row r="10361" spans="1:1" x14ac:dyDescent="0.2">
      <c r="A10361" s="52"/>
    </row>
    <row r="10362" spans="1:1" x14ac:dyDescent="0.2">
      <c r="A10362" s="52"/>
    </row>
    <row r="10363" spans="1:1" x14ac:dyDescent="0.2">
      <c r="A10363" s="52"/>
    </row>
    <row r="10364" spans="1:1" x14ac:dyDescent="0.2">
      <c r="A10364" s="52"/>
    </row>
    <row r="10365" spans="1:1" x14ac:dyDescent="0.2">
      <c r="A10365" s="52"/>
    </row>
    <row r="10366" spans="1:1" x14ac:dyDescent="0.2">
      <c r="A10366" s="52"/>
    </row>
    <row r="10367" spans="1:1" x14ac:dyDescent="0.2">
      <c r="A10367" s="52"/>
    </row>
    <row r="10368" spans="1:1" x14ac:dyDescent="0.2">
      <c r="A10368" s="52"/>
    </row>
    <row r="10369" spans="1:1" x14ac:dyDescent="0.2">
      <c r="A10369" s="52"/>
    </row>
    <row r="10370" spans="1:1" x14ac:dyDescent="0.2">
      <c r="A10370" s="52"/>
    </row>
    <row r="10371" spans="1:1" x14ac:dyDescent="0.2">
      <c r="A10371" s="52"/>
    </row>
    <row r="10372" spans="1:1" x14ac:dyDescent="0.2">
      <c r="A10372" s="52"/>
    </row>
    <row r="10373" spans="1:1" x14ac:dyDescent="0.2">
      <c r="A10373" s="52"/>
    </row>
    <row r="10374" spans="1:1" x14ac:dyDescent="0.2">
      <c r="A10374" s="52"/>
    </row>
    <row r="10375" spans="1:1" x14ac:dyDescent="0.2">
      <c r="A10375" s="52"/>
    </row>
    <row r="10376" spans="1:1" x14ac:dyDescent="0.2">
      <c r="A10376" s="52"/>
    </row>
    <row r="10377" spans="1:1" x14ac:dyDescent="0.2">
      <c r="A10377" s="52"/>
    </row>
    <row r="10378" spans="1:1" x14ac:dyDescent="0.2">
      <c r="A10378" s="52"/>
    </row>
    <row r="10379" spans="1:1" x14ac:dyDescent="0.2">
      <c r="A10379" s="52"/>
    </row>
    <row r="10380" spans="1:1" x14ac:dyDescent="0.2">
      <c r="A10380" s="52"/>
    </row>
    <row r="10381" spans="1:1" x14ac:dyDescent="0.2">
      <c r="A10381" s="52"/>
    </row>
    <row r="10382" spans="1:1" x14ac:dyDescent="0.2">
      <c r="A10382" s="52"/>
    </row>
    <row r="10383" spans="1:1" x14ac:dyDescent="0.2">
      <c r="A10383" s="52"/>
    </row>
    <row r="10384" spans="1:1" x14ac:dyDescent="0.2">
      <c r="A10384" s="52"/>
    </row>
    <row r="10385" spans="1:1" x14ac:dyDescent="0.2">
      <c r="A10385" s="52"/>
    </row>
    <row r="10386" spans="1:1" x14ac:dyDescent="0.2">
      <c r="A10386" s="52"/>
    </row>
    <row r="10387" spans="1:1" x14ac:dyDescent="0.2">
      <c r="A10387" s="52"/>
    </row>
    <row r="10388" spans="1:1" x14ac:dyDescent="0.2">
      <c r="A10388" s="53"/>
    </row>
    <row r="10389" spans="1:1" x14ac:dyDescent="0.2">
      <c r="A10389" s="52"/>
    </row>
    <row r="10390" spans="1:1" x14ac:dyDescent="0.2">
      <c r="A10390" s="52"/>
    </row>
    <row r="10391" spans="1:1" x14ac:dyDescent="0.2">
      <c r="A10391" s="52"/>
    </row>
    <row r="10392" spans="1:1" x14ac:dyDescent="0.2">
      <c r="A10392" s="52"/>
    </row>
    <row r="10393" spans="1:1" x14ac:dyDescent="0.2">
      <c r="A10393" s="52"/>
    </row>
    <row r="10394" spans="1:1" x14ac:dyDescent="0.2">
      <c r="A10394" s="52"/>
    </row>
    <row r="10395" spans="1:1" x14ac:dyDescent="0.2">
      <c r="A10395" s="52"/>
    </row>
    <row r="10396" spans="1:1" x14ac:dyDescent="0.2">
      <c r="A10396" s="52"/>
    </row>
    <row r="10397" spans="1:1" x14ac:dyDescent="0.2">
      <c r="A10397" s="52"/>
    </row>
    <row r="10398" spans="1:1" x14ac:dyDescent="0.2">
      <c r="A10398" s="52"/>
    </row>
    <row r="10399" spans="1:1" x14ac:dyDescent="0.2">
      <c r="A10399" s="52"/>
    </row>
    <row r="10400" spans="1:1" x14ac:dyDescent="0.2">
      <c r="A10400" s="52"/>
    </row>
    <row r="10401" spans="1:1" x14ac:dyDescent="0.2">
      <c r="A10401" s="52"/>
    </row>
    <row r="10402" spans="1:1" x14ac:dyDescent="0.2">
      <c r="A10402" s="52"/>
    </row>
    <row r="10403" spans="1:1" x14ac:dyDescent="0.2">
      <c r="A10403" s="53"/>
    </row>
    <row r="10404" spans="1:1" x14ac:dyDescent="0.2">
      <c r="A10404" s="52"/>
    </row>
    <row r="10405" spans="1:1" x14ac:dyDescent="0.2">
      <c r="A10405" s="52"/>
    </row>
    <row r="10406" spans="1:1" x14ac:dyDescent="0.2">
      <c r="A10406" s="52"/>
    </row>
    <row r="10407" spans="1:1" x14ac:dyDescent="0.2">
      <c r="A10407" s="52"/>
    </row>
    <row r="10408" spans="1:1" x14ac:dyDescent="0.2">
      <c r="A10408" s="52"/>
    </row>
    <row r="10409" spans="1:1" x14ac:dyDescent="0.2">
      <c r="A10409" s="52"/>
    </row>
    <row r="10410" spans="1:1" x14ac:dyDescent="0.2">
      <c r="A10410" s="52"/>
    </row>
    <row r="10411" spans="1:1" x14ac:dyDescent="0.2">
      <c r="A10411" s="52"/>
    </row>
    <row r="10412" spans="1:1" x14ac:dyDescent="0.2">
      <c r="A10412" s="52"/>
    </row>
    <row r="10413" spans="1:1" x14ac:dyDescent="0.2">
      <c r="A10413" s="52"/>
    </row>
    <row r="10414" spans="1:1" x14ac:dyDescent="0.2">
      <c r="A10414" s="52"/>
    </row>
    <row r="10415" spans="1:1" x14ac:dyDescent="0.2">
      <c r="A10415" s="52"/>
    </row>
    <row r="10416" spans="1:1" x14ac:dyDescent="0.2">
      <c r="A10416" s="52"/>
    </row>
    <row r="10417" spans="1:1" x14ac:dyDescent="0.2">
      <c r="A10417" s="52"/>
    </row>
    <row r="10418" spans="1:1" x14ac:dyDescent="0.2">
      <c r="A10418" s="52"/>
    </row>
    <row r="10419" spans="1:1" x14ac:dyDescent="0.2">
      <c r="A10419" s="52"/>
    </row>
    <row r="10420" spans="1:1" x14ac:dyDescent="0.2">
      <c r="A10420" s="52"/>
    </row>
    <row r="10421" spans="1:1" x14ac:dyDescent="0.2">
      <c r="A10421" s="52"/>
    </row>
    <row r="10422" spans="1:1" x14ac:dyDescent="0.2">
      <c r="A10422" s="53"/>
    </row>
    <row r="10423" spans="1:1" x14ac:dyDescent="0.2">
      <c r="A10423" s="52"/>
    </row>
    <row r="10424" spans="1:1" x14ac:dyDescent="0.2">
      <c r="A10424" s="52"/>
    </row>
    <row r="10425" spans="1:1" x14ac:dyDescent="0.2">
      <c r="A10425" s="52"/>
    </row>
    <row r="10426" spans="1:1" x14ac:dyDescent="0.2">
      <c r="A10426" s="52"/>
    </row>
    <row r="10427" spans="1:1" x14ac:dyDescent="0.2">
      <c r="A10427" s="52"/>
    </row>
    <row r="10428" spans="1:1" x14ac:dyDescent="0.2">
      <c r="A10428" s="52"/>
    </row>
    <row r="10429" spans="1:1" x14ac:dyDescent="0.2">
      <c r="A10429" s="52"/>
    </row>
    <row r="10430" spans="1:1" x14ac:dyDescent="0.2">
      <c r="A10430" s="52"/>
    </row>
    <row r="10431" spans="1:1" x14ac:dyDescent="0.2">
      <c r="A10431" s="52"/>
    </row>
    <row r="10432" spans="1:1" x14ac:dyDescent="0.2">
      <c r="A10432" s="53"/>
    </row>
    <row r="10433" spans="1:1" x14ac:dyDescent="0.2">
      <c r="A10433" s="52"/>
    </row>
    <row r="10434" spans="1:1" x14ac:dyDescent="0.2">
      <c r="A10434" s="52"/>
    </row>
    <row r="10435" spans="1:1" x14ac:dyDescent="0.2">
      <c r="A10435" s="52"/>
    </row>
    <row r="10436" spans="1:1" x14ac:dyDescent="0.2">
      <c r="A10436" s="52"/>
    </row>
    <row r="10437" spans="1:1" x14ac:dyDescent="0.2">
      <c r="A10437" s="52"/>
    </row>
    <row r="10438" spans="1:1" x14ac:dyDescent="0.2">
      <c r="A10438" s="52"/>
    </row>
    <row r="10439" spans="1:1" x14ac:dyDescent="0.2">
      <c r="A10439" s="52"/>
    </row>
    <row r="10440" spans="1:1" x14ac:dyDescent="0.2">
      <c r="A10440" s="53"/>
    </row>
    <row r="10441" spans="1:1" x14ac:dyDescent="0.2">
      <c r="A10441" s="52"/>
    </row>
    <row r="10442" spans="1:1" x14ac:dyDescent="0.2">
      <c r="A10442" s="52"/>
    </row>
    <row r="10443" spans="1:1" x14ac:dyDescent="0.2">
      <c r="A10443" s="52"/>
    </row>
    <row r="10444" spans="1:1" x14ac:dyDescent="0.2">
      <c r="A10444" s="52"/>
    </row>
    <row r="10445" spans="1:1" x14ac:dyDescent="0.2">
      <c r="A10445" s="52"/>
    </row>
    <row r="10446" spans="1:1" x14ac:dyDescent="0.2">
      <c r="A10446" s="52"/>
    </row>
    <row r="10447" spans="1:1" x14ac:dyDescent="0.2">
      <c r="A10447" s="52"/>
    </row>
    <row r="10448" spans="1:1" x14ac:dyDescent="0.2">
      <c r="A10448" s="52"/>
    </row>
    <row r="10449" spans="1:1" x14ac:dyDescent="0.2">
      <c r="A10449" s="52"/>
    </row>
    <row r="10450" spans="1:1" x14ac:dyDescent="0.2">
      <c r="A10450" s="52"/>
    </row>
    <row r="10451" spans="1:1" x14ac:dyDescent="0.2">
      <c r="A10451" s="52"/>
    </row>
    <row r="10452" spans="1:1" x14ac:dyDescent="0.2">
      <c r="A10452" s="52"/>
    </row>
    <row r="10453" spans="1:1" x14ac:dyDescent="0.2">
      <c r="A10453" s="52"/>
    </row>
    <row r="10454" spans="1:1" x14ac:dyDescent="0.2">
      <c r="A10454" s="52"/>
    </row>
    <row r="10455" spans="1:1" x14ac:dyDescent="0.2">
      <c r="A10455" s="52"/>
    </row>
    <row r="10456" spans="1:1" x14ac:dyDescent="0.2">
      <c r="A10456" s="53"/>
    </row>
    <row r="10457" spans="1:1" x14ac:dyDescent="0.2">
      <c r="A10457" s="52"/>
    </row>
    <row r="10458" spans="1:1" x14ac:dyDescent="0.2">
      <c r="A10458" s="52"/>
    </row>
    <row r="10459" spans="1:1" x14ac:dyDescent="0.2">
      <c r="A10459" s="52"/>
    </row>
    <row r="10460" spans="1:1" x14ac:dyDescent="0.2">
      <c r="A10460" s="52"/>
    </row>
    <row r="10461" spans="1:1" x14ac:dyDescent="0.2">
      <c r="A10461" s="52"/>
    </row>
    <row r="10462" spans="1:1" x14ac:dyDescent="0.2">
      <c r="A10462" s="52"/>
    </row>
    <row r="10463" spans="1:1" x14ac:dyDescent="0.2">
      <c r="A10463" s="52"/>
    </row>
    <row r="10464" spans="1:1" x14ac:dyDescent="0.2">
      <c r="A10464" s="52"/>
    </row>
    <row r="10465" spans="1:1" x14ac:dyDescent="0.2">
      <c r="A10465" s="52"/>
    </row>
    <row r="10466" spans="1:1" x14ac:dyDescent="0.2">
      <c r="A10466" s="52"/>
    </row>
    <row r="10467" spans="1:1" x14ac:dyDescent="0.2">
      <c r="A10467" s="52"/>
    </row>
    <row r="10468" spans="1:1" x14ac:dyDescent="0.2">
      <c r="A10468" s="52"/>
    </row>
    <row r="10469" spans="1:1" x14ac:dyDescent="0.2">
      <c r="A10469" s="52"/>
    </row>
    <row r="10470" spans="1:1" x14ac:dyDescent="0.2">
      <c r="A10470" s="53"/>
    </row>
    <row r="10471" spans="1:1" x14ac:dyDescent="0.2">
      <c r="A10471" s="52"/>
    </row>
    <row r="10472" spans="1:1" x14ac:dyDescent="0.2">
      <c r="A10472" s="52"/>
    </row>
    <row r="10473" spans="1:1" x14ac:dyDescent="0.2">
      <c r="A10473" s="52"/>
    </row>
    <row r="10474" spans="1:1" x14ac:dyDescent="0.2">
      <c r="A10474" s="52"/>
    </row>
    <row r="10475" spans="1:1" x14ac:dyDescent="0.2">
      <c r="A10475" s="52"/>
    </row>
    <row r="10476" spans="1:1" x14ac:dyDescent="0.2">
      <c r="A10476" s="53"/>
    </row>
    <row r="10477" spans="1:1" x14ac:dyDescent="0.2">
      <c r="A10477" s="52"/>
    </row>
    <row r="10478" spans="1:1" x14ac:dyDescent="0.2">
      <c r="A10478" s="52"/>
    </row>
    <row r="10479" spans="1:1" x14ac:dyDescent="0.2">
      <c r="A10479" s="52"/>
    </row>
    <row r="10480" spans="1:1" x14ac:dyDescent="0.2">
      <c r="A10480" s="52"/>
    </row>
    <row r="10481" spans="1:1" x14ac:dyDescent="0.2">
      <c r="A10481" s="52"/>
    </row>
    <row r="10482" spans="1:1" x14ac:dyDescent="0.2">
      <c r="A10482" s="52"/>
    </row>
    <row r="10483" spans="1:1" x14ac:dyDescent="0.2">
      <c r="A10483" s="52"/>
    </row>
    <row r="10484" spans="1:1" x14ac:dyDescent="0.2">
      <c r="A10484" s="52"/>
    </row>
    <row r="10485" spans="1:1" x14ac:dyDescent="0.2">
      <c r="A10485" s="53"/>
    </row>
    <row r="10486" spans="1:1" x14ac:dyDescent="0.2">
      <c r="A10486" s="52"/>
    </row>
    <row r="10487" spans="1:1" x14ac:dyDescent="0.2">
      <c r="A10487" s="52"/>
    </row>
    <row r="10488" spans="1:1" x14ac:dyDescent="0.2">
      <c r="A10488" s="52"/>
    </row>
    <row r="10489" spans="1:1" x14ac:dyDescent="0.2">
      <c r="A10489" s="52"/>
    </row>
    <row r="10490" spans="1:1" x14ac:dyDescent="0.2">
      <c r="A10490" s="52"/>
    </row>
    <row r="10491" spans="1:1" x14ac:dyDescent="0.2">
      <c r="A10491" s="52"/>
    </row>
    <row r="10492" spans="1:1" x14ac:dyDescent="0.2">
      <c r="A10492" s="52"/>
    </row>
    <row r="10493" spans="1:1" x14ac:dyDescent="0.2">
      <c r="A10493" s="52"/>
    </row>
    <row r="10494" spans="1:1" x14ac:dyDescent="0.2">
      <c r="A10494" s="52"/>
    </row>
    <row r="10495" spans="1:1" x14ac:dyDescent="0.2">
      <c r="A10495" s="52"/>
    </row>
    <row r="10496" spans="1:1" x14ac:dyDescent="0.2">
      <c r="A10496" s="52"/>
    </row>
    <row r="10497" spans="1:1" x14ac:dyDescent="0.2">
      <c r="A10497" s="52"/>
    </row>
    <row r="10498" spans="1:1" x14ac:dyDescent="0.2">
      <c r="A10498" s="52"/>
    </row>
    <row r="10499" spans="1:1" x14ac:dyDescent="0.2">
      <c r="A10499" s="52"/>
    </row>
    <row r="10500" spans="1:1" x14ac:dyDescent="0.2">
      <c r="A10500" s="52"/>
    </row>
    <row r="10501" spans="1:1" x14ac:dyDescent="0.2">
      <c r="A10501" s="52"/>
    </row>
    <row r="10502" spans="1:1" x14ac:dyDescent="0.2">
      <c r="A10502" s="53"/>
    </row>
    <row r="10503" spans="1:1" x14ac:dyDescent="0.2">
      <c r="A10503" s="52"/>
    </row>
    <row r="10504" spans="1:1" x14ac:dyDescent="0.2">
      <c r="A10504" s="53"/>
    </row>
    <row r="10505" spans="1:1" x14ac:dyDescent="0.2">
      <c r="A10505" s="52"/>
    </row>
    <row r="10506" spans="1:1" x14ac:dyDescent="0.2">
      <c r="A10506" s="52"/>
    </row>
    <row r="10507" spans="1:1" x14ac:dyDescent="0.2">
      <c r="A10507" s="52"/>
    </row>
    <row r="10508" spans="1:1" x14ac:dyDescent="0.2">
      <c r="A10508" s="52"/>
    </row>
    <row r="10509" spans="1:1" x14ac:dyDescent="0.2">
      <c r="A10509" s="52"/>
    </row>
    <row r="10510" spans="1:1" x14ac:dyDescent="0.2">
      <c r="A10510" s="52"/>
    </row>
    <row r="10511" spans="1:1" x14ac:dyDescent="0.2">
      <c r="A10511" s="52"/>
    </row>
    <row r="10512" spans="1:1" x14ac:dyDescent="0.2">
      <c r="A10512" s="52"/>
    </row>
    <row r="10513" spans="1:1" x14ac:dyDescent="0.2">
      <c r="A10513" s="52"/>
    </row>
    <row r="10514" spans="1:1" x14ac:dyDescent="0.2">
      <c r="A10514" s="52"/>
    </row>
    <row r="10515" spans="1:1" x14ac:dyDescent="0.2">
      <c r="A10515" s="52"/>
    </row>
    <row r="10516" spans="1:1" x14ac:dyDescent="0.2">
      <c r="A10516" s="52"/>
    </row>
    <row r="10517" spans="1:1" x14ac:dyDescent="0.2">
      <c r="A10517" s="52"/>
    </row>
    <row r="10518" spans="1:1" x14ac:dyDescent="0.2">
      <c r="A10518" s="52"/>
    </row>
    <row r="10519" spans="1:1" x14ac:dyDescent="0.2">
      <c r="A10519" s="52"/>
    </row>
    <row r="10520" spans="1:1" x14ac:dyDescent="0.2">
      <c r="A10520" s="52"/>
    </row>
    <row r="10521" spans="1:1" x14ac:dyDescent="0.2">
      <c r="A10521" s="52"/>
    </row>
    <row r="10522" spans="1:1" x14ac:dyDescent="0.2">
      <c r="A10522" s="52"/>
    </row>
    <row r="10523" spans="1:1" x14ac:dyDescent="0.2">
      <c r="A10523" s="52"/>
    </row>
    <row r="10524" spans="1:1" x14ac:dyDescent="0.2">
      <c r="A10524" s="53"/>
    </row>
    <row r="10525" spans="1:1" x14ac:dyDescent="0.2">
      <c r="A10525" s="52"/>
    </row>
    <row r="10526" spans="1:1" x14ac:dyDescent="0.2">
      <c r="A10526" s="52"/>
    </row>
    <row r="10527" spans="1:1" x14ac:dyDescent="0.2">
      <c r="A10527" s="52"/>
    </row>
    <row r="10528" spans="1:1" x14ac:dyDescent="0.2">
      <c r="A10528" s="52"/>
    </row>
    <row r="10529" spans="1:1" x14ac:dyDescent="0.2">
      <c r="A10529" s="52"/>
    </row>
    <row r="10530" spans="1:1" x14ac:dyDescent="0.2">
      <c r="A10530" s="52"/>
    </row>
    <row r="10531" spans="1:1" x14ac:dyDescent="0.2">
      <c r="A10531" s="52"/>
    </row>
    <row r="10532" spans="1:1" x14ac:dyDescent="0.2">
      <c r="A10532" s="52"/>
    </row>
    <row r="10533" spans="1:1" x14ac:dyDescent="0.2">
      <c r="A10533" s="52"/>
    </row>
    <row r="10534" spans="1:1" x14ac:dyDescent="0.2">
      <c r="A10534" s="52"/>
    </row>
    <row r="10535" spans="1:1" x14ac:dyDescent="0.2">
      <c r="A10535" s="52"/>
    </row>
    <row r="10536" spans="1:1" x14ac:dyDescent="0.2">
      <c r="A10536" s="52"/>
    </row>
    <row r="10537" spans="1:1" x14ac:dyDescent="0.2">
      <c r="A10537" s="52"/>
    </row>
    <row r="10538" spans="1:1" x14ac:dyDescent="0.2">
      <c r="A10538" s="52"/>
    </row>
    <row r="10539" spans="1:1" x14ac:dyDescent="0.2">
      <c r="A10539" s="52"/>
    </row>
    <row r="10540" spans="1:1" x14ac:dyDescent="0.2">
      <c r="A10540" s="53"/>
    </row>
    <row r="10541" spans="1:1" x14ac:dyDescent="0.2">
      <c r="A10541" s="52"/>
    </row>
    <row r="10542" spans="1:1" x14ac:dyDescent="0.2">
      <c r="A10542" s="53"/>
    </row>
    <row r="10543" spans="1:1" x14ac:dyDescent="0.2">
      <c r="A10543" s="52"/>
    </row>
    <row r="10544" spans="1:1" x14ac:dyDescent="0.2">
      <c r="A10544" s="52"/>
    </row>
    <row r="10545" spans="1:1" x14ac:dyDescent="0.2">
      <c r="A10545" s="52"/>
    </row>
    <row r="10546" spans="1:1" x14ac:dyDescent="0.2">
      <c r="A10546" s="52"/>
    </row>
    <row r="10547" spans="1:1" x14ac:dyDescent="0.2">
      <c r="A10547" s="52"/>
    </row>
    <row r="10548" spans="1:1" x14ac:dyDescent="0.2">
      <c r="A10548" s="52"/>
    </row>
    <row r="10549" spans="1:1" x14ac:dyDescent="0.2">
      <c r="A10549" s="52"/>
    </row>
    <row r="10550" spans="1:1" x14ac:dyDescent="0.2">
      <c r="A10550" s="52"/>
    </row>
    <row r="10551" spans="1:1" x14ac:dyDescent="0.2">
      <c r="A10551" s="52"/>
    </row>
    <row r="10552" spans="1:1" x14ac:dyDescent="0.2">
      <c r="A10552" s="53"/>
    </row>
    <row r="10553" spans="1:1" x14ac:dyDescent="0.2">
      <c r="A10553" s="52"/>
    </row>
    <row r="10554" spans="1:1" x14ac:dyDescent="0.2">
      <c r="A10554" s="52"/>
    </row>
    <row r="10555" spans="1:1" x14ac:dyDescent="0.2">
      <c r="A10555" s="52"/>
    </row>
    <row r="10556" spans="1:1" x14ac:dyDescent="0.2">
      <c r="A10556" s="52"/>
    </row>
    <row r="10557" spans="1:1" x14ac:dyDescent="0.2">
      <c r="A10557" s="52"/>
    </row>
    <row r="10558" spans="1:1" x14ac:dyDescent="0.2">
      <c r="A10558" s="52"/>
    </row>
    <row r="10559" spans="1:1" x14ac:dyDescent="0.2">
      <c r="A10559" s="52"/>
    </row>
    <row r="10560" spans="1:1" x14ac:dyDescent="0.2">
      <c r="A10560" s="52"/>
    </row>
    <row r="10561" spans="1:1" x14ac:dyDescent="0.2">
      <c r="A10561" s="52"/>
    </row>
    <row r="10562" spans="1:1" x14ac:dyDescent="0.2">
      <c r="A10562" s="52"/>
    </row>
    <row r="10563" spans="1:1" x14ac:dyDescent="0.2">
      <c r="A10563" s="52"/>
    </row>
    <row r="10564" spans="1:1" x14ac:dyDescent="0.2">
      <c r="A10564" s="52"/>
    </row>
    <row r="10565" spans="1:1" x14ac:dyDescent="0.2">
      <c r="A10565" s="52"/>
    </row>
    <row r="10566" spans="1:1" x14ac:dyDescent="0.2">
      <c r="A10566" s="52"/>
    </row>
    <row r="10567" spans="1:1" x14ac:dyDescent="0.2">
      <c r="A10567" s="52"/>
    </row>
    <row r="10568" spans="1:1" x14ac:dyDescent="0.2">
      <c r="A10568" s="52"/>
    </row>
    <row r="10569" spans="1:1" x14ac:dyDescent="0.2">
      <c r="A10569" s="52"/>
    </row>
    <row r="10570" spans="1:1" x14ac:dyDescent="0.2">
      <c r="A10570" s="52"/>
    </row>
    <row r="10571" spans="1:1" x14ac:dyDescent="0.2">
      <c r="A10571" s="52"/>
    </row>
    <row r="10572" spans="1:1" x14ac:dyDescent="0.2">
      <c r="A10572" s="52"/>
    </row>
    <row r="10573" spans="1:1" x14ac:dyDescent="0.2">
      <c r="A10573" s="52"/>
    </row>
    <row r="10574" spans="1:1" x14ac:dyDescent="0.2">
      <c r="A10574" s="52"/>
    </row>
    <row r="10575" spans="1:1" x14ac:dyDescent="0.2">
      <c r="A10575" s="52"/>
    </row>
    <row r="10576" spans="1:1" x14ac:dyDescent="0.2">
      <c r="A10576" s="52"/>
    </row>
    <row r="10577" spans="1:1" x14ac:dyDescent="0.2">
      <c r="A10577" s="52"/>
    </row>
    <row r="10578" spans="1:1" x14ac:dyDescent="0.2">
      <c r="A10578" s="53"/>
    </row>
    <row r="10579" spans="1:1" x14ac:dyDescent="0.2">
      <c r="A10579" s="52"/>
    </row>
    <row r="10580" spans="1:1" x14ac:dyDescent="0.2">
      <c r="A10580" s="53"/>
    </row>
    <row r="10581" spans="1:1" x14ac:dyDescent="0.2">
      <c r="A10581" s="52"/>
    </row>
    <row r="10582" spans="1:1" x14ac:dyDescent="0.2">
      <c r="A10582" s="52"/>
    </row>
    <row r="10583" spans="1:1" x14ac:dyDescent="0.2">
      <c r="A10583" s="52"/>
    </row>
    <row r="10584" spans="1:1" x14ac:dyDescent="0.2">
      <c r="A10584" s="52"/>
    </row>
    <row r="10585" spans="1:1" x14ac:dyDescent="0.2">
      <c r="A10585" s="52"/>
    </row>
    <row r="10586" spans="1:1" x14ac:dyDescent="0.2">
      <c r="A10586" s="52"/>
    </row>
    <row r="10587" spans="1:1" x14ac:dyDescent="0.2">
      <c r="A10587" s="52"/>
    </row>
    <row r="10588" spans="1:1" x14ac:dyDescent="0.2">
      <c r="A10588" s="52"/>
    </row>
    <row r="10589" spans="1:1" x14ac:dyDescent="0.2">
      <c r="A10589" s="52"/>
    </row>
    <row r="10590" spans="1:1" x14ac:dyDescent="0.2">
      <c r="A10590" s="52"/>
    </row>
    <row r="10591" spans="1:1" x14ac:dyDescent="0.2">
      <c r="A10591" s="52"/>
    </row>
    <row r="10592" spans="1:1" x14ac:dyDescent="0.2">
      <c r="A10592" s="52"/>
    </row>
    <row r="10593" spans="1:1" x14ac:dyDescent="0.2">
      <c r="A10593" s="52"/>
    </row>
    <row r="10594" spans="1:1" x14ac:dyDescent="0.2">
      <c r="A10594" s="52"/>
    </row>
    <row r="10595" spans="1:1" x14ac:dyDescent="0.2">
      <c r="A10595" s="52"/>
    </row>
    <row r="10596" spans="1:1" x14ac:dyDescent="0.2">
      <c r="A10596" s="52"/>
    </row>
    <row r="10597" spans="1:1" x14ac:dyDescent="0.2">
      <c r="A10597" s="52"/>
    </row>
    <row r="10598" spans="1:1" x14ac:dyDescent="0.2">
      <c r="A10598" s="52"/>
    </row>
    <row r="10599" spans="1:1" x14ac:dyDescent="0.2">
      <c r="A10599" s="52"/>
    </row>
    <row r="10600" spans="1:1" x14ac:dyDescent="0.2">
      <c r="A10600" s="53"/>
    </row>
    <row r="10601" spans="1:1" x14ac:dyDescent="0.2">
      <c r="A10601" s="52"/>
    </row>
    <row r="10602" spans="1:1" x14ac:dyDescent="0.2">
      <c r="A10602" s="52"/>
    </row>
    <row r="10603" spans="1:1" x14ac:dyDescent="0.2">
      <c r="A10603" s="52"/>
    </row>
    <row r="10604" spans="1:1" x14ac:dyDescent="0.2">
      <c r="A10604" s="52"/>
    </row>
    <row r="10605" spans="1:1" x14ac:dyDescent="0.2">
      <c r="A10605" s="52"/>
    </row>
    <row r="10606" spans="1:1" x14ac:dyDescent="0.2">
      <c r="A10606" s="52"/>
    </row>
    <row r="10607" spans="1:1" x14ac:dyDescent="0.2">
      <c r="A10607" s="52"/>
    </row>
    <row r="10608" spans="1:1" x14ac:dyDescent="0.2">
      <c r="A10608" s="52"/>
    </row>
    <row r="10609" spans="1:1" x14ac:dyDescent="0.2">
      <c r="A10609" s="52"/>
    </row>
    <row r="10610" spans="1:1" x14ac:dyDescent="0.2">
      <c r="A10610" s="52"/>
    </row>
    <row r="10611" spans="1:1" x14ac:dyDescent="0.2">
      <c r="A10611" s="52"/>
    </row>
    <row r="10612" spans="1:1" x14ac:dyDescent="0.2">
      <c r="A10612" s="52"/>
    </row>
    <row r="10613" spans="1:1" x14ac:dyDescent="0.2">
      <c r="A10613" s="52"/>
    </row>
    <row r="10614" spans="1:1" x14ac:dyDescent="0.2">
      <c r="A10614" s="52"/>
    </row>
    <row r="10615" spans="1:1" x14ac:dyDescent="0.2">
      <c r="A10615" s="52"/>
    </row>
    <row r="10616" spans="1:1" x14ac:dyDescent="0.2">
      <c r="A10616" s="52"/>
    </row>
    <row r="10617" spans="1:1" x14ac:dyDescent="0.2">
      <c r="A10617" s="52"/>
    </row>
    <row r="10618" spans="1:1" x14ac:dyDescent="0.2">
      <c r="A10618" s="53"/>
    </row>
    <row r="10619" spans="1:1" x14ac:dyDescent="0.2">
      <c r="A10619" s="52"/>
    </row>
    <row r="10620" spans="1:1" x14ac:dyDescent="0.2">
      <c r="A10620" s="52"/>
    </row>
    <row r="10621" spans="1:1" x14ac:dyDescent="0.2">
      <c r="A10621" s="52"/>
    </row>
    <row r="10622" spans="1:1" x14ac:dyDescent="0.2">
      <c r="A10622" s="52"/>
    </row>
    <row r="10623" spans="1:1" x14ac:dyDescent="0.2">
      <c r="A10623" s="52"/>
    </row>
    <row r="10624" spans="1:1" x14ac:dyDescent="0.2">
      <c r="A10624" s="52"/>
    </row>
    <row r="10625" spans="1:1" x14ac:dyDescent="0.2">
      <c r="A10625" s="52"/>
    </row>
    <row r="10626" spans="1:1" x14ac:dyDescent="0.2">
      <c r="A10626" s="52"/>
    </row>
    <row r="10627" spans="1:1" x14ac:dyDescent="0.2">
      <c r="A10627" s="52"/>
    </row>
    <row r="10628" spans="1:1" x14ac:dyDescent="0.2">
      <c r="A10628" s="52"/>
    </row>
    <row r="10629" spans="1:1" x14ac:dyDescent="0.2">
      <c r="A10629" s="52"/>
    </row>
    <row r="10630" spans="1:1" x14ac:dyDescent="0.2">
      <c r="A10630" s="52"/>
    </row>
    <row r="10631" spans="1:1" x14ac:dyDescent="0.2">
      <c r="A10631" s="52"/>
    </row>
    <row r="10632" spans="1:1" x14ac:dyDescent="0.2">
      <c r="A10632" s="52"/>
    </row>
    <row r="10633" spans="1:1" x14ac:dyDescent="0.2">
      <c r="A10633" s="52"/>
    </row>
    <row r="10634" spans="1:1" x14ac:dyDescent="0.2">
      <c r="A10634" s="52"/>
    </row>
    <row r="10635" spans="1:1" x14ac:dyDescent="0.2">
      <c r="A10635" s="52"/>
    </row>
    <row r="10636" spans="1:1" x14ac:dyDescent="0.2">
      <c r="A10636" s="52"/>
    </row>
    <row r="10637" spans="1:1" x14ac:dyDescent="0.2">
      <c r="A10637" s="53"/>
    </row>
    <row r="10638" spans="1:1" x14ac:dyDescent="0.2">
      <c r="A10638" s="52"/>
    </row>
    <row r="10639" spans="1:1" x14ac:dyDescent="0.2">
      <c r="A10639" s="52"/>
    </row>
    <row r="10640" spans="1:1" x14ac:dyDescent="0.2">
      <c r="A10640" s="52"/>
    </row>
    <row r="10641" spans="1:1" x14ac:dyDescent="0.2">
      <c r="A10641" s="52"/>
    </row>
    <row r="10642" spans="1:1" x14ac:dyDescent="0.2">
      <c r="A10642" s="52"/>
    </row>
    <row r="10643" spans="1:1" x14ac:dyDescent="0.2">
      <c r="A10643" s="52"/>
    </row>
    <row r="10644" spans="1:1" x14ac:dyDescent="0.2">
      <c r="A10644" s="52"/>
    </row>
    <row r="10645" spans="1:1" x14ac:dyDescent="0.2">
      <c r="A10645" s="52"/>
    </row>
    <row r="10646" spans="1:1" x14ac:dyDescent="0.2">
      <c r="A10646" s="52"/>
    </row>
    <row r="10647" spans="1:1" x14ac:dyDescent="0.2">
      <c r="A10647" s="52"/>
    </row>
    <row r="10648" spans="1:1" x14ac:dyDescent="0.2">
      <c r="A10648" s="52"/>
    </row>
    <row r="10649" spans="1:1" x14ac:dyDescent="0.2">
      <c r="A10649" s="52"/>
    </row>
    <row r="10650" spans="1:1" x14ac:dyDescent="0.2">
      <c r="A10650" s="52"/>
    </row>
    <row r="10651" spans="1:1" x14ac:dyDescent="0.2">
      <c r="A10651" s="52"/>
    </row>
    <row r="10652" spans="1:1" x14ac:dyDescent="0.2">
      <c r="A10652" s="53"/>
    </row>
    <row r="10653" spans="1:1" x14ac:dyDescent="0.2">
      <c r="A10653" s="52"/>
    </row>
    <row r="10654" spans="1:1" x14ac:dyDescent="0.2">
      <c r="A10654" s="52"/>
    </row>
    <row r="10655" spans="1:1" x14ac:dyDescent="0.2">
      <c r="A10655" s="52"/>
    </row>
    <row r="10656" spans="1:1" x14ac:dyDescent="0.2">
      <c r="A10656" s="52"/>
    </row>
    <row r="10657" spans="1:1" x14ac:dyDescent="0.2">
      <c r="A10657" s="52"/>
    </row>
    <row r="10658" spans="1:1" x14ac:dyDescent="0.2">
      <c r="A10658" s="53"/>
    </row>
    <row r="10659" spans="1:1" x14ac:dyDescent="0.2">
      <c r="A10659" s="52"/>
    </row>
    <row r="10660" spans="1:1" x14ac:dyDescent="0.2">
      <c r="A10660" s="52"/>
    </row>
    <row r="10661" spans="1:1" x14ac:dyDescent="0.2">
      <c r="A10661" s="52"/>
    </row>
    <row r="10662" spans="1:1" x14ac:dyDescent="0.2">
      <c r="A10662" s="52"/>
    </row>
    <row r="10663" spans="1:1" x14ac:dyDescent="0.2">
      <c r="A10663" s="52"/>
    </row>
    <row r="10664" spans="1:1" x14ac:dyDescent="0.2">
      <c r="A10664" s="52"/>
    </row>
    <row r="10665" spans="1:1" x14ac:dyDescent="0.2">
      <c r="A10665" s="52"/>
    </row>
    <row r="10666" spans="1:1" x14ac:dyDescent="0.2">
      <c r="A10666" s="52"/>
    </row>
    <row r="10667" spans="1:1" x14ac:dyDescent="0.2">
      <c r="A10667" s="52"/>
    </row>
    <row r="10668" spans="1:1" x14ac:dyDescent="0.2">
      <c r="A10668" s="52"/>
    </row>
    <row r="10669" spans="1:1" x14ac:dyDescent="0.2">
      <c r="A10669" s="52"/>
    </row>
    <row r="10670" spans="1:1" x14ac:dyDescent="0.2">
      <c r="A10670" s="52"/>
    </row>
    <row r="10671" spans="1:1" x14ac:dyDescent="0.2">
      <c r="A10671" s="52"/>
    </row>
    <row r="10672" spans="1:1" x14ac:dyDescent="0.2">
      <c r="A10672" s="52"/>
    </row>
    <row r="10673" spans="1:1" x14ac:dyDescent="0.2">
      <c r="A10673" s="52"/>
    </row>
    <row r="10674" spans="1:1" x14ac:dyDescent="0.2">
      <c r="A10674" s="52"/>
    </row>
    <row r="10675" spans="1:1" x14ac:dyDescent="0.2">
      <c r="A10675" s="53"/>
    </row>
    <row r="10676" spans="1:1" x14ac:dyDescent="0.2">
      <c r="A10676" s="52"/>
    </row>
    <row r="10677" spans="1:1" x14ac:dyDescent="0.2">
      <c r="A10677" s="52"/>
    </row>
    <row r="10678" spans="1:1" x14ac:dyDescent="0.2">
      <c r="A10678" s="52"/>
    </row>
    <row r="10679" spans="1:1" x14ac:dyDescent="0.2">
      <c r="A10679" s="52"/>
    </row>
    <row r="10680" spans="1:1" x14ac:dyDescent="0.2">
      <c r="A10680" s="52"/>
    </row>
    <row r="10681" spans="1:1" x14ac:dyDescent="0.2">
      <c r="A10681" s="52"/>
    </row>
    <row r="10682" spans="1:1" x14ac:dyDescent="0.2">
      <c r="A10682" s="52"/>
    </row>
    <row r="10683" spans="1:1" x14ac:dyDescent="0.2">
      <c r="A10683" s="52"/>
    </row>
    <row r="10684" spans="1:1" x14ac:dyDescent="0.2">
      <c r="A10684" s="52"/>
    </row>
    <row r="10685" spans="1:1" x14ac:dyDescent="0.2">
      <c r="A10685" s="52"/>
    </row>
    <row r="10686" spans="1:1" x14ac:dyDescent="0.2">
      <c r="A10686" s="52"/>
    </row>
    <row r="10687" spans="1:1" x14ac:dyDescent="0.2">
      <c r="A10687" s="52"/>
    </row>
    <row r="10688" spans="1:1" x14ac:dyDescent="0.2">
      <c r="A10688" s="52"/>
    </row>
    <row r="10689" spans="1:1" x14ac:dyDescent="0.2">
      <c r="A10689" s="52"/>
    </row>
    <row r="10690" spans="1:1" x14ac:dyDescent="0.2">
      <c r="A10690" s="52"/>
    </row>
    <row r="10691" spans="1:1" x14ac:dyDescent="0.2">
      <c r="A10691" s="52"/>
    </row>
    <row r="10692" spans="1:1" x14ac:dyDescent="0.2">
      <c r="A10692" s="52"/>
    </row>
    <row r="10693" spans="1:1" x14ac:dyDescent="0.2">
      <c r="A10693" s="52"/>
    </row>
    <row r="10694" spans="1:1" x14ac:dyDescent="0.2">
      <c r="A10694" s="52"/>
    </row>
    <row r="10695" spans="1:1" x14ac:dyDescent="0.2">
      <c r="A10695" s="52"/>
    </row>
    <row r="10696" spans="1:1" x14ac:dyDescent="0.2">
      <c r="A10696" s="52"/>
    </row>
    <row r="10697" spans="1:1" x14ac:dyDescent="0.2">
      <c r="A10697" s="52"/>
    </row>
    <row r="10698" spans="1:1" x14ac:dyDescent="0.2">
      <c r="A10698" s="52"/>
    </row>
    <row r="10699" spans="1:1" x14ac:dyDescent="0.2">
      <c r="A10699" s="52"/>
    </row>
    <row r="10700" spans="1:1" x14ac:dyDescent="0.2">
      <c r="A10700" s="52"/>
    </row>
    <row r="10701" spans="1:1" x14ac:dyDescent="0.2">
      <c r="A10701" s="52"/>
    </row>
    <row r="10702" spans="1:1" x14ac:dyDescent="0.2">
      <c r="A10702" s="52"/>
    </row>
    <row r="10703" spans="1:1" x14ac:dyDescent="0.2">
      <c r="A10703" s="52"/>
    </row>
    <row r="10704" spans="1:1" x14ac:dyDescent="0.2">
      <c r="A10704" s="52"/>
    </row>
    <row r="10705" spans="1:1" x14ac:dyDescent="0.2">
      <c r="A10705" s="52"/>
    </row>
    <row r="10706" spans="1:1" x14ac:dyDescent="0.2">
      <c r="A10706" s="52"/>
    </row>
    <row r="10707" spans="1:1" x14ac:dyDescent="0.2">
      <c r="A10707" s="52"/>
    </row>
    <row r="10708" spans="1:1" x14ac:dyDescent="0.2">
      <c r="A10708" s="52"/>
    </row>
    <row r="10709" spans="1:1" x14ac:dyDescent="0.2">
      <c r="A10709" s="52"/>
    </row>
    <row r="10710" spans="1:1" x14ac:dyDescent="0.2">
      <c r="A10710" s="52"/>
    </row>
    <row r="10711" spans="1:1" x14ac:dyDescent="0.2">
      <c r="A10711" s="52"/>
    </row>
    <row r="10712" spans="1:1" x14ac:dyDescent="0.2">
      <c r="A10712" s="52"/>
    </row>
    <row r="10713" spans="1:1" x14ac:dyDescent="0.2">
      <c r="A10713" s="52"/>
    </row>
    <row r="10714" spans="1:1" x14ac:dyDescent="0.2">
      <c r="A10714" s="52"/>
    </row>
    <row r="10715" spans="1:1" x14ac:dyDescent="0.2">
      <c r="A10715" s="52"/>
    </row>
    <row r="10716" spans="1:1" x14ac:dyDescent="0.2">
      <c r="A10716" s="53"/>
    </row>
    <row r="10717" spans="1:1" x14ac:dyDescent="0.2">
      <c r="A10717" s="52"/>
    </row>
    <row r="10718" spans="1:1" x14ac:dyDescent="0.2">
      <c r="A10718" s="52"/>
    </row>
    <row r="10719" spans="1:1" x14ac:dyDescent="0.2">
      <c r="A10719" s="52"/>
    </row>
    <row r="10720" spans="1:1" x14ac:dyDescent="0.2">
      <c r="A10720" s="52"/>
    </row>
    <row r="10721" spans="1:1" x14ac:dyDescent="0.2">
      <c r="A10721" s="52"/>
    </row>
    <row r="10722" spans="1:1" x14ac:dyDescent="0.2">
      <c r="A10722" s="52"/>
    </row>
    <row r="10723" spans="1:1" x14ac:dyDescent="0.2">
      <c r="A10723" s="52"/>
    </row>
    <row r="10724" spans="1:1" x14ac:dyDescent="0.2">
      <c r="A10724" s="52"/>
    </row>
    <row r="10725" spans="1:1" x14ac:dyDescent="0.2">
      <c r="A10725" s="52"/>
    </row>
    <row r="10726" spans="1:1" x14ac:dyDescent="0.2">
      <c r="A10726" s="52"/>
    </row>
    <row r="10727" spans="1:1" x14ac:dyDescent="0.2">
      <c r="A10727" s="52"/>
    </row>
    <row r="10728" spans="1:1" x14ac:dyDescent="0.2">
      <c r="A10728" s="52"/>
    </row>
    <row r="10729" spans="1:1" x14ac:dyDescent="0.2">
      <c r="A10729" s="53"/>
    </row>
    <row r="10730" spans="1:1" x14ac:dyDescent="0.2">
      <c r="A10730" s="52"/>
    </row>
    <row r="10731" spans="1:1" x14ac:dyDescent="0.2">
      <c r="A10731" s="52"/>
    </row>
    <row r="10732" spans="1:1" x14ac:dyDescent="0.2">
      <c r="A10732" s="52"/>
    </row>
    <row r="10733" spans="1:1" x14ac:dyDescent="0.2">
      <c r="A10733" s="52"/>
    </row>
    <row r="10734" spans="1:1" x14ac:dyDescent="0.2">
      <c r="A10734" s="52"/>
    </row>
    <row r="10735" spans="1:1" x14ac:dyDescent="0.2">
      <c r="A10735" s="52"/>
    </row>
    <row r="10736" spans="1:1" x14ac:dyDescent="0.2">
      <c r="A10736" s="53"/>
    </row>
    <row r="10737" spans="1:1" x14ac:dyDescent="0.2">
      <c r="A10737" s="52"/>
    </row>
    <row r="10738" spans="1:1" x14ac:dyDescent="0.2">
      <c r="A10738" s="52"/>
    </row>
    <row r="10739" spans="1:1" x14ac:dyDescent="0.2">
      <c r="A10739" s="52"/>
    </row>
    <row r="10740" spans="1:1" x14ac:dyDescent="0.2">
      <c r="A10740" s="52"/>
    </row>
    <row r="10741" spans="1:1" x14ac:dyDescent="0.2">
      <c r="A10741" s="52"/>
    </row>
    <row r="10742" spans="1:1" x14ac:dyDescent="0.2">
      <c r="A10742" s="52"/>
    </row>
    <row r="10743" spans="1:1" x14ac:dyDescent="0.2">
      <c r="A10743" s="52"/>
    </row>
    <row r="10744" spans="1:1" x14ac:dyDescent="0.2">
      <c r="A10744" s="52"/>
    </row>
    <row r="10745" spans="1:1" x14ac:dyDescent="0.2">
      <c r="A10745" s="52"/>
    </row>
    <row r="10746" spans="1:1" x14ac:dyDescent="0.2">
      <c r="A10746" s="52"/>
    </row>
    <row r="10747" spans="1:1" x14ac:dyDescent="0.2">
      <c r="A10747" s="52"/>
    </row>
    <row r="10748" spans="1:1" x14ac:dyDescent="0.2">
      <c r="A10748" s="52"/>
    </row>
    <row r="10749" spans="1:1" x14ac:dyDescent="0.2">
      <c r="A10749" s="52"/>
    </row>
    <row r="10750" spans="1:1" x14ac:dyDescent="0.2">
      <c r="A10750" s="52"/>
    </row>
    <row r="10751" spans="1:1" x14ac:dyDescent="0.2">
      <c r="A10751" s="52"/>
    </row>
    <row r="10752" spans="1:1" x14ac:dyDescent="0.2">
      <c r="A10752" s="52"/>
    </row>
    <row r="10753" spans="1:1" x14ac:dyDescent="0.2">
      <c r="A10753" s="52"/>
    </row>
    <row r="10754" spans="1:1" x14ac:dyDescent="0.2">
      <c r="A10754" s="53"/>
    </row>
    <row r="10755" spans="1:1" x14ac:dyDescent="0.2">
      <c r="A10755" s="52"/>
    </row>
    <row r="10756" spans="1:1" x14ac:dyDescent="0.2">
      <c r="A10756" s="52"/>
    </row>
    <row r="10757" spans="1:1" x14ac:dyDescent="0.2">
      <c r="A10757" s="52"/>
    </row>
    <row r="10758" spans="1:1" x14ac:dyDescent="0.2">
      <c r="A10758" s="52"/>
    </row>
    <row r="10759" spans="1:1" x14ac:dyDescent="0.2">
      <c r="A10759" s="52"/>
    </row>
    <row r="10760" spans="1:1" x14ac:dyDescent="0.2">
      <c r="A10760" s="52"/>
    </row>
    <row r="10761" spans="1:1" x14ac:dyDescent="0.2">
      <c r="A10761" s="52"/>
    </row>
    <row r="10762" spans="1:1" x14ac:dyDescent="0.2">
      <c r="A10762" s="52"/>
    </row>
    <row r="10763" spans="1:1" x14ac:dyDescent="0.2">
      <c r="A10763" s="52"/>
    </row>
    <row r="10764" spans="1:1" x14ac:dyDescent="0.2">
      <c r="A10764" s="52"/>
    </row>
    <row r="10765" spans="1:1" x14ac:dyDescent="0.2">
      <c r="A10765" s="53"/>
    </row>
    <row r="10766" spans="1:1" x14ac:dyDescent="0.2">
      <c r="A10766" s="52"/>
    </row>
    <row r="10767" spans="1:1" x14ac:dyDescent="0.2">
      <c r="A10767" s="52"/>
    </row>
    <row r="10768" spans="1:1" x14ac:dyDescent="0.2">
      <c r="A10768" s="52"/>
    </row>
    <row r="10769" spans="1:1" x14ac:dyDescent="0.2">
      <c r="A10769" s="52"/>
    </row>
    <row r="10770" spans="1:1" x14ac:dyDescent="0.2">
      <c r="A10770" s="52"/>
    </row>
    <row r="10771" spans="1:1" x14ac:dyDescent="0.2">
      <c r="A10771" s="52"/>
    </row>
    <row r="10772" spans="1:1" x14ac:dyDescent="0.2">
      <c r="A10772" s="52"/>
    </row>
    <row r="10773" spans="1:1" x14ac:dyDescent="0.2">
      <c r="A10773" s="53"/>
    </row>
    <row r="10774" spans="1:1" x14ac:dyDescent="0.2">
      <c r="A10774" s="53"/>
    </row>
    <row r="10775" spans="1:1" x14ac:dyDescent="0.2">
      <c r="A10775" s="52"/>
    </row>
    <row r="10776" spans="1:1" x14ac:dyDescent="0.2">
      <c r="A10776" s="52"/>
    </row>
    <row r="10777" spans="1:1" x14ac:dyDescent="0.2">
      <c r="A10777" s="52"/>
    </row>
    <row r="10778" spans="1:1" x14ac:dyDescent="0.2">
      <c r="A10778" s="52"/>
    </row>
    <row r="10779" spans="1:1" x14ac:dyDescent="0.2">
      <c r="A10779" s="52"/>
    </row>
    <row r="10780" spans="1:1" x14ac:dyDescent="0.2">
      <c r="A10780" s="52"/>
    </row>
    <row r="10781" spans="1:1" x14ac:dyDescent="0.2">
      <c r="A10781" s="52"/>
    </row>
    <row r="10782" spans="1:1" x14ac:dyDescent="0.2">
      <c r="A10782" s="52"/>
    </row>
    <row r="10783" spans="1:1" x14ac:dyDescent="0.2">
      <c r="A10783" s="52"/>
    </row>
    <row r="10784" spans="1:1" x14ac:dyDescent="0.2">
      <c r="A10784" s="52"/>
    </row>
    <row r="10785" spans="1:1" x14ac:dyDescent="0.2">
      <c r="A10785" s="52"/>
    </row>
    <row r="10786" spans="1:1" x14ac:dyDescent="0.2">
      <c r="A10786" s="53"/>
    </row>
    <row r="10787" spans="1:1" x14ac:dyDescent="0.2">
      <c r="A10787" s="52"/>
    </row>
    <row r="10788" spans="1:1" x14ac:dyDescent="0.2">
      <c r="A10788" s="52"/>
    </row>
    <row r="10789" spans="1:1" x14ac:dyDescent="0.2">
      <c r="A10789" s="52"/>
    </row>
    <row r="10790" spans="1:1" x14ac:dyDescent="0.2">
      <c r="A10790" s="52"/>
    </row>
    <row r="10791" spans="1:1" x14ac:dyDescent="0.2">
      <c r="A10791" s="53"/>
    </row>
    <row r="10792" spans="1:1" x14ac:dyDescent="0.2">
      <c r="A10792" s="52"/>
    </row>
    <row r="10793" spans="1:1" x14ac:dyDescent="0.2">
      <c r="A10793" s="53"/>
    </row>
    <row r="10794" spans="1:1" x14ac:dyDescent="0.2">
      <c r="A10794" s="52"/>
    </row>
    <row r="10795" spans="1:1" x14ac:dyDescent="0.2">
      <c r="A10795" s="52"/>
    </row>
    <row r="10796" spans="1:1" x14ac:dyDescent="0.2">
      <c r="A10796" s="52"/>
    </row>
    <row r="10797" spans="1:1" x14ac:dyDescent="0.2">
      <c r="A10797" s="52"/>
    </row>
    <row r="10798" spans="1:1" x14ac:dyDescent="0.2">
      <c r="A10798" s="52"/>
    </row>
    <row r="10799" spans="1:1" x14ac:dyDescent="0.2">
      <c r="A10799" s="52"/>
    </row>
    <row r="10800" spans="1:1" x14ac:dyDescent="0.2">
      <c r="A10800" s="52"/>
    </row>
    <row r="10801" spans="1:1" x14ac:dyDescent="0.2">
      <c r="A10801" s="52"/>
    </row>
    <row r="10802" spans="1:1" x14ac:dyDescent="0.2">
      <c r="A10802" s="52"/>
    </row>
    <row r="10803" spans="1:1" x14ac:dyDescent="0.2">
      <c r="A10803" s="52"/>
    </row>
    <row r="10804" spans="1:1" x14ac:dyDescent="0.2">
      <c r="A10804" s="52"/>
    </row>
    <row r="10805" spans="1:1" x14ac:dyDescent="0.2">
      <c r="A10805" s="53"/>
    </row>
    <row r="10806" spans="1:1" x14ac:dyDescent="0.2">
      <c r="A10806" s="52"/>
    </row>
    <row r="10807" spans="1:1" x14ac:dyDescent="0.2">
      <c r="A10807" s="52"/>
    </row>
    <row r="10808" spans="1:1" x14ac:dyDescent="0.2">
      <c r="A10808" s="52"/>
    </row>
    <row r="10809" spans="1:1" x14ac:dyDescent="0.2">
      <c r="A10809" s="52"/>
    </row>
    <row r="10810" spans="1:1" x14ac:dyDescent="0.2">
      <c r="A10810" s="52"/>
    </row>
    <row r="10811" spans="1:1" x14ac:dyDescent="0.2">
      <c r="A10811" s="52"/>
    </row>
    <row r="10812" spans="1:1" x14ac:dyDescent="0.2">
      <c r="A10812" s="52"/>
    </row>
    <row r="10813" spans="1:1" x14ac:dyDescent="0.2">
      <c r="A10813" s="52"/>
    </row>
    <row r="10814" spans="1:1" x14ac:dyDescent="0.2">
      <c r="A10814" s="52"/>
    </row>
    <row r="10815" spans="1:1" x14ac:dyDescent="0.2">
      <c r="A10815" s="52"/>
    </row>
    <row r="10816" spans="1:1" x14ac:dyDescent="0.2">
      <c r="A10816" s="52"/>
    </row>
    <row r="10817" spans="1:1" x14ac:dyDescent="0.2">
      <c r="A10817" s="53"/>
    </row>
    <row r="10818" spans="1:1" x14ac:dyDescent="0.2">
      <c r="A10818" s="52"/>
    </row>
    <row r="10819" spans="1:1" x14ac:dyDescent="0.2">
      <c r="A10819" s="52"/>
    </row>
    <row r="10820" spans="1:1" x14ac:dyDescent="0.2">
      <c r="A10820" s="53"/>
    </row>
    <row r="10821" spans="1:1" x14ac:dyDescent="0.2">
      <c r="A10821" s="52"/>
    </row>
    <row r="10822" spans="1:1" x14ac:dyDescent="0.2">
      <c r="A10822" s="52"/>
    </row>
    <row r="10823" spans="1:1" x14ac:dyDescent="0.2">
      <c r="A10823" s="52"/>
    </row>
    <row r="10824" spans="1:1" x14ac:dyDescent="0.2">
      <c r="A10824" s="52"/>
    </row>
    <row r="10825" spans="1:1" x14ac:dyDescent="0.2">
      <c r="A10825" s="52"/>
    </row>
    <row r="10826" spans="1:1" x14ac:dyDescent="0.2">
      <c r="A10826" s="52"/>
    </row>
    <row r="10827" spans="1:1" x14ac:dyDescent="0.2">
      <c r="A10827" s="52"/>
    </row>
    <row r="10828" spans="1:1" x14ac:dyDescent="0.2">
      <c r="A10828" s="52"/>
    </row>
    <row r="10829" spans="1:1" x14ac:dyDescent="0.2">
      <c r="A10829" s="52"/>
    </row>
    <row r="10830" spans="1:1" x14ac:dyDescent="0.2">
      <c r="A10830" s="52"/>
    </row>
    <row r="10831" spans="1:1" x14ac:dyDescent="0.2">
      <c r="A10831" s="52"/>
    </row>
    <row r="10832" spans="1:1" x14ac:dyDescent="0.2">
      <c r="A10832" s="52"/>
    </row>
    <row r="10833" spans="1:1" x14ac:dyDescent="0.2">
      <c r="A10833" s="52"/>
    </row>
    <row r="10834" spans="1:1" x14ac:dyDescent="0.2">
      <c r="A10834" s="52"/>
    </row>
    <row r="10835" spans="1:1" x14ac:dyDescent="0.2">
      <c r="A10835" s="52"/>
    </row>
    <row r="10836" spans="1:1" x14ac:dyDescent="0.2">
      <c r="A10836" s="53"/>
    </row>
    <row r="10837" spans="1:1" x14ac:dyDescent="0.2">
      <c r="A10837" s="52"/>
    </row>
    <row r="10838" spans="1:1" x14ac:dyDescent="0.2">
      <c r="A10838" s="52"/>
    </row>
    <row r="10839" spans="1:1" x14ac:dyDescent="0.2">
      <c r="A10839" s="52"/>
    </row>
    <row r="10840" spans="1:1" x14ac:dyDescent="0.2">
      <c r="A10840" s="52"/>
    </row>
    <row r="10841" spans="1:1" x14ac:dyDescent="0.2">
      <c r="A10841" s="52"/>
    </row>
    <row r="10842" spans="1:1" x14ac:dyDescent="0.2">
      <c r="A10842" s="52"/>
    </row>
    <row r="10843" spans="1:1" x14ac:dyDescent="0.2">
      <c r="A10843" s="52"/>
    </row>
    <row r="10844" spans="1:1" x14ac:dyDescent="0.2">
      <c r="A10844" s="52"/>
    </row>
    <row r="10845" spans="1:1" x14ac:dyDescent="0.2">
      <c r="A10845" s="52"/>
    </row>
    <row r="10846" spans="1:1" x14ac:dyDescent="0.2">
      <c r="A10846" s="52"/>
    </row>
    <row r="10847" spans="1:1" x14ac:dyDescent="0.2">
      <c r="A10847" s="52"/>
    </row>
    <row r="10848" spans="1:1" x14ac:dyDescent="0.2">
      <c r="A10848" s="52"/>
    </row>
    <row r="10849" spans="1:1" x14ac:dyDescent="0.2">
      <c r="A10849" s="53"/>
    </row>
    <row r="10850" spans="1:1" x14ac:dyDescent="0.2">
      <c r="A10850" s="52"/>
    </row>
    <row r="10851" spans="1:1" x14ac:dyDescent="0.2">
      <c r="A10851" s="52"/>
    </row>
    <row r="10852" spans="1:1" x14ac:dyDescent="0.2">
      <c r="A10852" s="52"/>
    </row>
    <row r="10853" spans="1:1" x14ac:dyDescent="0.2">
      <c r="A10853" s="52"/>
    </row>
    <row r="10854" spans="1:1" x14ac:dyDescent="0.2">
      <c r="A10854" s="52"/>
    </row>
    <row r="10855" spans="1:1" x14ac:dyDescent="0.2">
      <c r="A10855" s="52"/>
    </row>
    <row r="10856" spans="1:1" x14ac:dyDescent="0.2">
      <c r="A10856" s="52"/>
    </row>
    <row r="10857" spans="1:1" x14ac:dyDescent="0.2">
      <c r="A10857" s="52"/>
    </row>
    <row r="10858" spans="1:1" x14ac:dyDescent="0.2">
      <c r="A10858" s="52"/>
    </row>
    <row r="10859" spans="1:1" x14ac:dyDescent="0.2">
      <c r="A10859" s="52"/>
    </row>
    <row r="10860" spans="1:1" x14ac:dyDescent="0.2">
      <c r="A10860" s="52"/>
    </row>
    <row r="10861" spans="1:1" x14ac:dyDescent="0.2">
      <c r="A10861" s="52"/>
    </row>
    <row r="10862" spans="1:1" x14ac:dyDescent="0.2">
      <c r="A10862" s="52"/>
    </row>
    <row r="10863" spans="1:1" x14ac:dyDescent="0.2">
      <c r="A10863" s="52"/>
    </row>
    <row r="10864" spans="1:1" x14ac:dyDescent="0.2">
      <c r="A10864" s="53"/>
    </row>
    <row r="10865" spans="1:1" x14ac:dyDescent="0.2">
      <c r="A10865" s="52"/>
    </row>
    <row r="10866" spans="1:1" x14ac:dyDescent="0.2">
      <c r="A10866" s="52"/>
    </row>
    <row r="10867" spans="1:1" x14ac:dyDescent="0.2">
      <c r="A10867" s="53"/>
    </row>
    <row r="10868" spans="1:1" x14ac:dyDescent="0.2">
      <c r="A10868" s="52"/>
    </row>
    <row r="10869" spans="1:1" x14ac:dyDescent="0.2">
      <c r="A10869" s="52"/>
    </row>
    <row r="10870" spans="1:1" x14ac:dyDescent="0.2">
      <c r="A10870" s="52"/>
    </row>
    <row r="10871" spans="1:1" x14ac:dyDescent="0.2">
      <c r="A10871" s="52"/>
    </row>
    <row r="10872" spans="1:1" x14ac:dyDescent="0.2">
      <c r="A10872" s="52"/>
    </row>
    <row r="10873" spans="1:1" x14ac:dyDescent="0.2">
      <c r="A10873" s="52"/>
    </row>
    <row r="10874" spans="1:1" x14ac:dyDescent="0.2">
      <c r="A10874" s="52"/>
    </row>
    <row r="10875" spans="1:1" x14ac:dyDescent="0.2">
      <c r="A10875" s="52"/>
    </row>
    <row r="10876" spans="1:1" x14ac:dyDescent="0.2">
      <c r="A10876" s="52"/>
    </row>
    <row r="10877" spans="1:1" x14ac:dyDescent="0.2">
      <c r="A10877" s="52"/>
    </row>
    <row r="10878" spans="1:1" x14ac:dyDescent="0.2">
      <c r="A10878" s="52"/>
    </row>
    <row r="10879" spans="1:1" x14ac:dyDescent="0.2">
      <c r="A10879" s="52"/>
    </row>
    <row r="10880" spans="1:1" x14ac:dyDescent="0.2">
      <c r="A10880" s="52"/>
    </row>
    <row r="10881" spans="1:1" x14ac:dyDescent="0.2">
      <c r="A10881" s="52"/>
    </row>
    <row r="10882" spans="1:1" x14ac:dyDescent="0.2">
      <c r="A10882" s="52"/>
    </row>
    <row r="10883" spans="1:1" x14ac:dyDescent="0.2">
      <c r="A10883" s="52"/>
    </row>
    <row r="10884" spans="1:1" x14ac:dyDescent="0.2">
      <c r="A10884" s="52"/>
    </row>
    <row r="10885" spans="1:1" x14ac:dyDescent="0.2">
      <c r="A10885" s="52"/>
    </row>
    <row r="10886" spans="1:1" x14ac:dyDescent="0.2">
      <c r="A10886" s="52"/>
    </row>
    <row r="10887" spans="1:1" x14ac:dyDescent="0.2">
      <c r="A10887" s="52"/>
    </row>
    <row r="10888" spans="1:1" x14ac:dyDescent="0.2">
      <c r="A10888" s="53"/>
    </row>
    <row r="10889" spans="1:1" x14ac:dyDescent="0.2">
      <c r="A10889" s="52"/>
    </row>
    <row r="10890" spans="1:1" x14ac:dyDescent="0.2">
      <c r="A10890" s="52"/>
    </row>
    <row r="10891" spans="1:1" x14ac:dyDescent="0.2">
      <c r="A10891" s="52"/>
    </row>
    <row r="10892" spans="1:1" x14ac:dyDescent="0.2">
      <c r="A10892" s="53"/>
    </row>
    <row r="10893" spans="1:1" x14ac:dyDescent="0.2">
      <c r="A10893" s="52"/>
    </row>
    <row r="10894" spans="1:1" x14ac:dyDescent="0.2">
      <c r="A10894" s="52"/>
    </row>
    <row r="10895" spans="1:1" x14ac:dyDescent="0.2">
      <c r="A10895" s="52"/>
    </row>
    <row r="10896" spans="1:1" x14ac:dyDescent="0.2">
      <c r="A10896" s="52"/>
    </row>
    <row r="10897" spans="1:1" x14ac:dyDescent="0.2">
      <c r="A10897" s="52"/>
    </row>
    <row r="10898" spans="1:1" x14ac:dyDescent="0.2">
      <c r="A10898" s="52"/>
    </row>
    <row r="10899" spans="1:1" x14ac:dyDescent="0.2">
      <c r="A10899" s="52"/>
    </row>
    <row r="10900" spans="1:1" x14ac:dyDescent="0.2">
      <c r="A10900" s="52"/>
    </row>
    <row r="10901" spans="1:1" x14ac:dyDescent="0.2">
      <c r="A10901" s="52"/>
    </row>
    <row r="10902" spans="1:1" x14ac:dyDescent="0.2">
      <c r="A10902" s="52"/>
    </row>
    <row r="10903" spans="1:1" x14ac:dyDescent="0.2">
      <c r="A10903" s="52"/>
    </row>
    <row r="10904" spans="1:1" x14ac:dyDescent="0.2">
      <c r="A10904" s="52"/>
    </row>
    <row r="10905" spans="1:1" x14ac:dyDescent="0.2">
      <c r="A10905" s="52"/>
    </row>
    <row r="10906" spans="1:1" x14ac:dyDescent="0.2">
      <c r="A10906" s="52"/>
    </row>
    <row r="10907" spans="1:1" x14ac:dyDescent="0.2">
      <c r="A10907" s="52"/>
    </row>
    <row r="10908" spans="1:1" x14ac:dyDescent="0.2">
      <c r="A10908" s="52"/>
    </row>
    <row r="10909" spans="1:1" x14ac:dyDescent="0.2">
      <c r="A10909" s="52"/>
    </row>
    <row r="10910" spans="1:1" x14ac:dyDescent="0.2">
      <c r="A10910" s="52"/>
    </row>
    <row r="10911" spans="1:1" x14ac:dyDescent="0.2">
      <c r="A10911" s="52"/>
    </row>
    <row r="10912" spans="1:1" x14ac:dyDescent="0.2">
      <c r="A10912" s="52"/>
    </row>
    <row r="10913" spans="1:1" x14ac:dyDescent="0.2">
      <c r="A10913" s="52"/>
    </row>
    <row r="10914" spans="1:1" x14ac:dyDescent="0.2">
      <c r="A10914" s="52"/>
    </row>
    <row r="10915" spans="1:1" x14ac:dyDescent="0.2">
      <c r="A10915" s="52"/>
    </row>
    <row r="10916" spans="1:1" x14ac:dyDescent="0.2">
      <c r="A10916" s="52"/>
    </row>
    <row r="10917" spans="1:1" x14ac:dyDescent="0.2">
      <c r="A10917" s="52"/>
    </row>
    <row r="10918" spans="1:1" x14ac:dyDescent="0.2">
      <c r="A10918" s="52"/>
    </row>
    <row r="10919" spans="1:1" x14ac:dyDescent="0.2">
      <c r="A10919" s="52"/>
    </row>
    <row r="10920" spans="1:1" x14ac:dyDescent="0.2">
      <c r="A10920" s="53"/>
    </row>
    <row r="10921" spans="1:1" x14ac:dyDescent="0.2">
      <c r="A10921" s="52"/>
    </row>
    <row r="10922" spans="1:1" x14ac:dyDescent="0.2">
      <c r="A10922" s="52"/>
    </row>
    <row r="10923" spans="1:1" x14ac:dyDescent="0.2">
      <c r="A10923" s="52"/>
    </row>
    <row r="10924" spans="1:1" x14ac:dyDescent="0.2">
      <c r="A10924" s="52"/>
    </row>
    <row r="10925" spans="1:1" x14ac:dyDescent="0.2">
      <c r="A10925" s="52"/>
    </row>
    <row r="10926" spans="1:1" x14ac:dyDescent="0.2">
      <c r="A10926" s="52"/>
    </row>
    <row r="10927" spans="1:1" x14ac:dyDescent="0.2">
      <c r="A10927" s="52"/>
    </row>
    <row r="10928" spans="1:1" x14ac:dyDescent="0.2">
      <c r="A10928" s="52"/>
    </row>
    <row r="10929" spans="1:1" x14ac:dyDescent="0.2">
      <c r="A10929" s="52"/>
    </row>
    <row r="10930" spans="1:1" x14ac:dyDescent="0.2">
      <c r="A10930" s="52"/>
    </row>
    <row r="10931" spans="1:1" x14ac:dyDescent="0.2">
      <c r="A10931" s="52"/>
    </row>
    <row r="10932" spans="1:1" x14ac:dyDescent="0.2">
      <c r="A10932" s="52"/>
    </row>
    <row r="10933" spans="1:1" x14ac:dyDescent="0.2">
      <c r="A10933" s="52"/>
    </row>
    <row r="10934" spans="1:1" x14ac:dyDescent="0.2">
      <c r="A10934" s="52"/>
    </row>
    <row r="10935" spans="1:1" x14ac:dyDescent="0.2">
      <c r="A10935" s="52"/>
    </row>
    <row r="10936" spans="1:1" x14ac:dyDescent="0.2">
      <c r="A10936" s="52"/>
    </row>
    <row r="10937" spans="1:1" x14ac:dyDescent="0.2">
      <c r="A10937" s="52"/>
    </row>
    <row r="10938" spans="1:1" x14ac:dyDescent="0.2">
      <c r="A10938" s="52"/>
    </row>
    <row r="10939" spans="1:1" x14ac:dyDescent="0.2">
      <c r="A10939" s="52"/>
    </row>
    <row r="10940" spans="1:1" x14ac:dyDescent="0.2">
      <c r="A10940" s="52"/>
    </row>
    <row r="10941" spans="1:1" x14ac:dyDescent="0.2">
      <c r="A10941" s="52"/>
    </row>
    <row r="10942" spans="1:1" x14ac:dyDescent="0.2">
      <c r="A10942" s="52"/>
    </row>
    <row r="10943" spans="1:1" x14ac:dyDescent="0.2">
      <c r="A10943" s="52"/>
    </row>
    <row r="10944" spans="1:1" x14ac:dyDescent="0.2">
      <c r="A10944" s="52"/>
    </row>
    <row r="10945" spans="1:1" x14ac:dyDescent="0.2">
      <c r="A10945" s="52"/>
    </row>
    <row r="10946" spans="1:1" x14ac:dyDescent="0.2">
      <c r="A10946" s="52"/>
    </row>
    <row r="10947" spans="1:1" x14ac:dyDescent="0.2">
      <c r="A10947" s="52"/>
    </row>
    <row r="10948" spans="1:1" x14ac:dyDescent="0.2">
      <c r="A10948" s="52"/>
    </row>
    <row r="10949" spans="1:1" x14ac:dyDescent="0.2">
      <c r="A10949" s="52"/>
    </row>
    <row r="10950" spans="1:1" x14ac:dyDescent="0.2">
      <c r="A10950" s="52"/>
    </row>
    <row r="10951" spans="1:1" x14ac:dyDescent="0.2">
      <c r="A10951" s="52"/>
    </row>
    <row r="10952" spans="1:1" x14ac:dyDescent="0.2">
      <c r="A10952" s="52"/>
    </row>
    <row r="10953" spans="1:1" x14ac:dyDescent="0.2">
      <c r="A10953" s="52"/>
    </row>
    <row r="10954" spans="1:1" x14ac:dyDescent="0.2">
      <c r="A10954" s="52"/>
    </row>
    <row r="10955" spans="1:1" x14ac:dyDescent="0.2">
      <c r="A10955" s="52"/>
    </row>
    <row r="10956" spans="1:1" x14ac:dyDescent="0.2">
      <c r="A10956" s="52"/>
    </row>
    <row r="10957" spans="1:1" x14ac:dyDescent="0.2">
      <c r="A10957" s="52"/>
    </row>
    <row r="10958" spans="1:1" x14ac:dyDescent="0.2">
      <c r="A10958" s="52"/>
    </row>
    <row r="10959" spans="1:1" x14ac:dyDescent="0.2">
      <c r="A10959" s="52"/>
    </row>
    <row r="10960" spans="1:1" x14ac:dyDescent="0.2">
      <c r="A10960" s="53"/>
    </row>
    <row r="10961" spans="1:1" x14ac:dyDescent="0.2">
      <c r="A10961" s="52"/>
    </row>
    <row r="10962" spans="1:1" x14ac:dyDescent="0.2">
      <c r="A10962" s="53"/>
    </row>
    <row r="10963" spans="1:1" x14ac:dyDescent="0.2">
      <c r="A10963" s="52"/>
    </row>
    <row r="10964" spans="1:1" x14ac:dyDescent="0.2">
      <c r="A10964" s="53"/>
    </row>
    <row r="10965" spans="1:1" x14ac:dyDescent="0.2">
      <c r="A10965" s="52"/>
    </row>
    <row r="10966" spans="1:1" x14ac:dyDescent="0.2">
      <c r="A10966" s="52"/>
    </row>
    <row r="10967" spans="1:1" x14ac:dyDescent="0.2">
      <c r="A10967" s="52"/>
    </row>
    <row r="10968" spans="1:1" x14ac:dyDescent="0.2">
      <c r="A10968" s="52"/>
    </row>
    <row r="10969" spans="1:1" x14ac:dyDescent="0.2">
      <c r="A10969" s="52"/>
    </row>
    <row r="10970" spans="1:1" x14ac:dyDescent="0.2">
      <c r="A10970" s="52"/>
    </row>
    <row r="10971" spans="1:1" x14ac:dyDescent="0.2">
      <c r="A10971" s="53"/>
    </row>
    <row r="10972" spans="1:1" x14ac:dyDescent="0.2">
      <c r="A10972" s="52"/>
    </row>
    <row r="10973" spans="1:1" x14ac:dyDescent="0.2">
      <c r="A10973" s="52"/>
    </row>
    <row r="10974" spans="1:1" x14ac:dyDescent="0.2">
      <c r="A10974" s="52"/>
    </row>
    <row r="10975" spans="1:1" x14ac:dyDescent="0.2">
      <c r="A10975" s="52"/>
    </row>
    <row r="10976" spans="1:1" x14ac:dyDescent="0.2">
      <c r="A10976" s="52"/>
    </row>
    <row r="10977" spans="1:1" x14ac:dyDescent="0.2">
      <c r="A10977" s="52"/>
    </row>
    <row r="10978" spans="1:1" x14ac:dyDescent="0.2">
      <c r="A10978" s="52"/>
    </row>
    <row r="10979" spans="1:1" x14ac:dyDescent="0.2">
      <c r="A10979" s="52"/>
    </row>
    <row r="10980" spans="1:1" x14ac:dyDescent="0.2">
      <c r="A10980" s="52"/>
    </row>
    <row r="10981" spans="1:1" x14ac:dyDescent="0.2">
      <c r="A10981" s="52"/>
    </row>
    <row r="10982" spans="1:1" x14ac:dyDescent="0.2">
      <c r="A10982" s="52"/>
    </row>
    <row r="10983" spans="1:1" x14ac:dyDescent="0.2">
      <c r="A10983" s="52"/>
    </row>
    <row r="10984" spans="1:1" x14ac:dyDescent="0.2">
      <c r="A10984" s="52"/>
    </row>
    <row r="10985" spans="1:1" x14ac:dyDescent="0.2">
      <c r="A10985" s="52"/>
    </row>
    <row r="10986" spans="1:1" x14ac:dyDescent="0.2">
      <c r="A10986" s="52"/>
    </row>
    <row r="10987" spans="1:1" x14ac:dyDescent="0.2">
      <c r="A10987" s="52"/>
    </row>
    <row r="10988" spans="1:1" x14ac:dyDescent="0.2">
      <c r="A10988" s="52"/>
    </row>
    <row r="10989" spans="1:1" x14ac:dyDescent="0.2">
      <c r="A10989" s="52"/>
    </row>
    <row r="10990" spans="1:1" x14ac:dyDescent="0.2">
      <c r="A10990" s="52"/>
    </row>
    <row r="10991" spans="1:1" x14ac:dyDescent="0.2">
      <c r="A10991" s="52"/>
    </row>
    <row r="10992" spans="1:1" x14ac:dyDescent="0.2">
      <c r="A10992" s="52"/>
    </row>
    <row r="10993" spans="1:1" x14ac:dyDescent="0.2">
      <c r="A10993" s="52"/>
    </row>
    <row r="10994" spans="1:1" x14ac:dyDescent="0.2">
      <c r="A10994" s="52"/>
    </row>
    <row r="10995" spans="1:1" x14ac:dyDescent="0.2">
      <c r="A10995" s="52"/>
    </row>
    <row r="10996" spans="1:1" x14ac:dyDescent="0.2">
      <c r="A10996" s="52"/>
    </row>
    <row r="10997" spans="1:1" x14ac:dyDescent="0.2">
      <c r="A10997" s="52"/>
    </row>
    <row r="10998" spans="1:1" x14ac:dyDescent="0.2">
      <c r="A10998" s="52"/>
    </row>
    <row r="10999" spans="1:1" x14ac:dyDescent="0.2">
      <c r="A10999" s="52"/>
    </row>
    <row r="11000" spans="1:1" x14ac:dyDescent="0.2">
      <c r="A11000" s="52"/>
    </row>
    <row r="11001" spans="1:1" x14ac:dyDescent="0.2">
      <c r="A11001" s="52"/>
    </row>
    <row r="11002" spans="1:1" x14ac:dyDescent="0.2">
      <c r="A11002" s="52"/>
    </row>
    <row r="11003" spans="1:1" x14ac:dyDescent="0.2">
      <c r="A11003" s="52"/>
    </row>
    <row r="11004" spans="1:1" x14ac:dyDescent="0.2">
      <c r="A11004" s="52"/>
    </row>
    <row r="11005" spans="1:1" x14ac:dyDescent="0.2">
      <c r="A11005" s="52"/>
    </row>
    <row r="11006" spans="1:1" x14ac:dyDescent="0.2">
      <c r="A11006" s="53"/>
    </row>
    <row r="11007" spans="1:1" x14ac:dyDescent="0.2">
      <c r="A11007" s="52"/>
    </row>
    <row r="11008" spans="1:1" x14ac:dyDescent="0.2">
      <c r="A11008" s="52"/>
    </row>
    <row r="11009" spans="1:1" x14ac:dyDescent="0.2">
      <c r="A11009" s="53"/>
    </row>
    <row r="11010" spans="1:1" x14ac:dyDescent="0.2">
      <c r="A11010" s="53"/>
    </row>
    <row r="11011" spans="1:1" x14ac:dyDescent="0.2">
      <c r="A11011" s="52"/>
    </row>
    <row r="11012" spans="1:1" x14ac:dyDescent="0.2">
      <c r="A11012" s="52"/>
    </row>
    <row r="11013" spans="1:1" x14ac:dyDescent="0.2">
      <c r="A11013" s="52"/>
    </row>
    <row r="11014" spans="1:1" x14ac:dyDescent="0.2">
      <c r="A11014" s="52"/>
    </row>
    <row r="11015" spans="1:1" x14ac:dyDescent="0.2">
      <c r="A11015" s="52"/>
    </row>
    <row r="11016" spans="1:1" x14ac:dyDescent="0.2">
      <c r="A11016" s="52"/>
    </row>
    <row r="11017" spans="1:1" x14ac:dyDescent="0.2">
      <c r="A11017" s="52"/>
    </row>
    <row r="11018" spans="1:1" x14ac:dyDescent="0.2">
      <c r="A11018" s="52"/>
    </row>
    <row r="11019" spans="1:1" x14ac:dyDescent="0.2">
      <c r="A11019" s="52"/>
    </row>
    <row r="11020" spans="1:1" x14ac:dyDescent="0.2">
      <c r="A11020" s="52"/>
    </row>
    <row r="11021" spans="1:1" x14ac:dyDescent="0.2">
      <c r="A11021" s="52"/>
    </row>
    <row r="11022" spans="1:1" x14ac:dyDescent="0.2">
      <c r="A11022" s="53"/>
    </row>
    <row r="11023" spans="1:1" x14ac:dyDescent="0.2">
      <c r="A11023" s="52"/>
    </row>
    <row r="11024" spans="1:1" x14ac:dyDescent="0.2">
      <c r="A11024" s="52"/>
    </row>
    <row r="11025" spans="1:1" x14ac:dyDescent="0.2">
      <c r="A11025" s="52"/>
    </row>
    <row r="11026" spans="1:1" x14ac:dyDescent="0.2">
      <c r="A11026" s="52"/>
    </row>
    <row r="11027" spans="1:1" x14ac:dyDescent="0.2">
      <c r="A11027" s="52"/>
    </row>
    <row r="11028" spans="1:1" x14ac:dyDescent="0.2">
      <c r="A11028" s="52"/>
    </row>
    <row r="11029" spans="1:1" x14ac:dyDescent="0.2">
      <c r="A11029" s="52"/>
    </row>
    <row r="11030" spans="1:1" x14ac:dyDescent="0.2">
      <c r="A11030" s="52"/>
    </row>
    <row r="11031" spans="1:1" x14ac:dyDescent="0.2">
      <c r="A11031" s="52"/>
    </row>
    <row r="11032" spans="1:1" x14ac:dyDescent="0.2">
      <c r="A11032" s="53"/>
    </row>
    <row r="11033" spans="1:1" x14ac:dyDescent="0.2">
      <c r="A11033" s="52"/>
    </row>
    <row r="11034" spans="1:1" x14ac:dyDescent="0.2">
      <c r="A11034" s="52"/>
    </row>
    <row r="11035" spans="1:1" x14ac:dyDescent="0.2">
      <c r="A11035" s="52"/>
    </row>
    <row r="11036" spans="1:1" x14ac:dyDescent="0.2">
      <c r="A11036" s="52"/>
    </row>
    <row r="11037" spans="1:1" x14ac:dyDescent="0.2">
      <c r="A11037" s="52"/>
    </row>
    <row r="11038" spans="1:1" x14ac:dyDescent="0.2">
      <c r="A11038" s="52"/>
    </row>
    <row r="11039" spans="1:1" x14ac:dyDescent="0.2">
      <c r="A11039" s="52"/>
    </row>
    <row r="11040" spans="1:1" x14ac:dyDescent="0.2">
      <c r="A11040" s="52"/>
    </row>
    <row r="11041" spans="1:1" x14ac:dyDescent="0.2">
      <c r="A11041" s="52"/>
    </row>
    <row r="11042" spans="1:1" x14ac:dyDescent="0.2">
      <c r="A11042" s="52"/>
    </row>
    <row r="11043" spans="1:1" x14ac:dyDescent="0.2">
      <c r="A11043" s="53"/>
    </row>
    <row r="11044" spans="1:1" x14ac:dyDescent="0.2">
      <c r="A11044" s="52"/>
    </row>
    <row r="11045" spans="1:1" x14ac:dyDescent="0.2">
      <c r="A11045" s="52"/>
    </row>
    <row r="11046" spans="1:1" x14ac:dyDescent="0.2">
      <c r="A11046" s="53"/>
    </row>
    <row r="11047" spans="1:1" x14ac:dyDescent="0.2">
      <c r="A11047" s="52"/>
    </row>
    <row r="11048" spans="1:1" x14ac:dyDescent="0.2">
      <c r="A11048" s="52"/>
    </row>
    <row r="11049" spans="1:1" x14ac:dyDescent="0.2">
      <c r="A11049" s="52"/>
    </row>
    <row r="11050" spans="1:1" x14ac:dyDescent="0.2">
      <c r="A11050" s="52"/>
    </row>
    <row r="11051" spans="1:1" x14ac:dyDescent="0.2">
      <c r="A11051" s="52"/>
    </row>
    <row r="11052" spans="1:1" x14ac:dyDescent="0.2">
      <c r="A11052" s="52"/>
    </row>
    <row r="11053" spans="1:1" x14ac:dyDescent="0.2">
      <c r="A11053" s="52"/>
    </row>
    <row r="11054" spans="1:1" x14ac:dyDescent="0.2">
      <c r="A11054" s="52"/>
    </row>
    <row r="11055" spans="1:1" x14ac:dyDescent="0.2">
      <c r="A11055" s="52"/>
    </row>
    <row r="11056" spans="1:1" x14ac:dyDescent="0.2">
      <c r="A11056" s="52"/>
    </row>
    <row r="11057" spans="1:1" x14ac:dyDescent="0.2">
      <c r="A11057" s="52"/>
    </row>
    <row r="11058" spans="1:1" x14ac:dyDescent="0.2">
      <c r="A11058" s="52"/>
    </row>
    <row r="11059" spans="1:1" x14ac:dyDescent="0.2">
      <c r="A11059" s="52"/>
    </row>
    <row r="11060" spans="1:1" x14ac:dyDescent="0.2">
      <c r="A11060" s="52"/>
    </row>
    <row r="11061" spans="1:1" x14ac:dyDescent="0.2">
      <c r="A11061" s="52"/>
    </row>
    <row r="11062" spans="1:1" x14ac:dyDescent="0.2">
      <c r="A11062" s="52"/>
    </row>
    <row r="11063" spans="1:1" x14ac:dyDescent="0.2">
      <c r="A11063" s="53"/>
    </row>
    <row r="11064" spans="1:1" x14ac:dyDescent="0.2">
      <c r="A11064" s="52"/>
    </row>
    <row r="11065" spans="1:1" x14ac:dyDescent="0.2">
      <c r="A11065" s="52"/>
    </row>
    <row r="11066" spans="1:1" x14ac:dyDescent="0.2">
      <c r="A11066" s="52"/>
    </row>
    <row r="11067" spans="1:1" x14ac:dyDescent="0.2">
      <c r="A11067" s="53"/>
    </row>
    <row r="11068" spans="1:1" x14ac:dyDescent="0.2">
      <c r="A11068" s="52"/>
    </row>
    <row r="11069" spans="1:1" x14ac:dyDescent="0.2">
      <c r="A11069" s="52"/>
    </row>
    <row r="11070" spans="1:1" x14ac:dyDescent="0.2">
      <c r="A11070" s="52"/>
    </row>
    <row r="11071" spans="1:1" x14ac:dyDescent="0.2">
      <c r="A11071" s="52"/>
    </row>
    <row r="11072" spans="1:1" x14ac:dyDescent="0.2">
      <c r="A11072" s="52"/>
    </row>
    <row r="11073" spans="1:1" x14ac:dyDescent="0.2">
      <c r="A11073" s="52"/>
    </row>
    <row r="11074" spans="1:1" x14ac:dyDescent="0.2">
      <c r="A11074" s="52"/>
    </row>
    <row r="11075" spans="1:1" x14ac:dyDescent="0.2">
      <c r="A11075" s="52"/>
    </row>
    <row r="11076" spans="1:1" x14ac:dyDescent="0.2">
      <c r="A11076" s="52"/>
    </row>
    <row r="11077" spans="1:1" x14ac:dyDescent="0.2">
      <c r="A11077" s="52"/>
    </row>
    <row r="11078" spans="1:1" x14ac:dyDescent="0.2">
      <c r="A11078" s="52"/>
    </row>
    <row r="11079" spans="1:1" x14ac:dyDescent="0.2">
      <c r="A11079" s="52"/>
    </row>
    <row r="11080" spans="1:1" x14ac:dyDescent="0.2">
      <c r="A11080" s="52"/>
    </row>
    <row r="11081" spans="1:1" x14ac:dyDescent="0.2">
      <c r="A11081" s="52"/>
    </row>
    <row r="11082" spans="1:1" x14ac:dyDescent="0.2">
      <c r="A11082" s="52"/>
    </row>
    <row r="11083" spans="1:1" x14ac:dyDescent="0.2">
      <c r="A11083" s="52"/>
    </row>
    <row r="11084" spans="1:1" x14ac:dyDescent="0.2">
      <c r="A11084" s="52"/>
    </row>
    <row r="11085" spans="1:1" x14ac:dyDescent="0.2">
      <c r="A11085" s="52"/>
    </row>
    <row r="11086" spans="1:1" x14ac:dyDescent="0.2">
      <c r="A11086" s="52"/>
    </row>
    <row r="11087" spans="1:1" x14ac:dyDescent="0.2">
      <c r="A11087" s="52"/>
    </row>
    <row r="11088" spans="1:1" x14ac:dyDescent="0.2">
      <c r="A11088" s="52"/>
    </row>
    <row r="11089" spans="1:1" x14ac:dyDescent="0.2">
      <c r="A11089" s="52"/>
    </row>
    <row r="11090" spans="1:1" x14ac:dyDescent="0.2">
      <c r="A11090" s="52"/>
    </row>
    <row r="11091" spans="1:1" x14ac:dyDescent="0.2">
      <c r="A11091" s="53"/>
    </row>
    <row r="11092" spans="1:1" x14ac:dyDescent="0.2">
      <c r="A11092" s="52"/>
    </row>
    <row r="11093" spans="1:1" x14ac:dyDescent="0.2">
      <c r="A11093" s="53"/>
    </row>
    <row r="11094" spans="1:1" x14ac:dyDescent="0.2">
      <c r="A11094" s="53"/>
    </row>
    <row r="11095" spans="1:1" x14ac:dyDescent="0.2">
      <c r="A11095" s="52"/>
    </row>
    <row r="11096" spans="1:1" x14ac:dyDescent="0.2">
      <c r="A11096" s="52"/>
    </row>
    <row r="11097" spans="1:1" x14ac:dyDescent="0.2">
      <c r="A11097" s="52"/>
    </row>
    <row r="11098" spans="1:1" x14ac:dyDescent="0.2">
      <c r="A11098" s="52"/>
    </row>
    <row r="11099" spans="1:1" x14ac:dyDescent="0.2">
      <c r="A11099" s="52"/>
    </row>
    <row r="11100" spans="1:1" x14ac:dyDescent="0.2">
      <c r="A11100" s="52"/>
    </row>
    <row r="11101" spans="1:1" x14ac:dyDescent="0.2">
      <c r="A11101" s="52"/>
    </row>
    <row r="11102" spans="1:1" x14ac:dyDescent="0.2">
      <c r="A11102" s="52"/>
    </row>
    <row r="11103" spans="1:1" x14ac:dyDescent="0.2">
      <c r="A11103" s="52"/>
    </row>
    <row r="11104" spans="1:1" x14ac:dyDescent="0.2">
      <c r="A11104" s="53"/>
    </row>
    <row r="11105" spans="1:1" x14ac:dyDescent="0.2">
      <c r="A11105" s="52"/>
    </row>
    <row r="11106" spans="1:1" x14ac:dyDescent="0.2">
      <c r="A11106" s="52"/>
    </row>
    <row r="11107" spans="1:1" x14ac:dyDescent="0.2">
      <c r="A11107" s="52"/>
    </row>
    <row r="11108" spans="1:1" x14ac:dyDescent="0.2">
      <c r="A11108" s="52"/>
    </row>
    <row r="11109" spans="1:1" x14ac:dyDescent="0.2">
      <c r="A11109" s="52"/>
    </row>
    <row r="11110" spans="1:1" x14ac:dyDescent="0.2">
      <c r="A11110" s="52"/>
    </row>
    <row r="11111" spans="1:1" x14ac:dyDescent="0.2">
      <c r="A11111" s="53"/>
    </row>
    <row r="11112" spans="1:1" x14ac:dyDescent="0.2">
      <c r="A11112" s="53"/>
    </row>
    <row r="11113" spans="1:1" x14ac:dyDescent="0.2">
      <c r="A11113" s="52"/>
    </row>
    <row r="11114" spans="1:1" x14ac:dyDescent="0.2">
      <c r="A11114" s="52"/>
    </row>
    <row r="11115" spans="1:1" x14ac:dyDescent="0.2">
      <c r="A11115" s="52"/>
    </row>
    <row r="11116" spans="1:1" x14ac:dyDescent="0.2">
      <c r="A11116" s="52"/>
    </row>
    <row r="11117" spans="1:1" x14ac:dyDescent="0.2">
      <c r="A11117" s="52"/>
    </row>
    <row r="11118" spans="1:1" x14ac:dyDescent="0.2">
      <c r="A11118" s="52"/>
    </row>
    <row r="11119" spans="1:1" x14ac:dyDescent="0.2">
      <c r="A11119" s="52"/>
    </row>
    <row r="11120" spans="1:1" x14ac:dyDescent="0.2">
      <c r="A11120" s="52"/>
    </row>
    <row r="11121" spans="1:1" x14ac:dyDescent="0.2">
      <c r="A11121" s="52"/>
    </row>
    <row r="11122" spans="1:1" x14ac:dyDescent="0.2">
      <c r="A11122" s="53"/>
    </row>
    <row r="11123" spans="1:1" x14ac:dyDescent="0.2">
      <c r="A11123" s="52"/>
    </row>
    <row r="11124" spans="1:1" x14ac:dyDescent="0.2">
      <c r="A11124" s="52"/>
    </row>
    <row r="11125" spans="1:1" x14ac:dyDescent="0.2">
      <c r="A11125" s="52"/>
    </row>
    <row r="11126" spans="1:1" x14ac:dyDescent="0.2">
      <c r="A11126" s="52"/>
    </row>
    <row r="11127" spans="1:1" x14ac:dyDescent="0.2">
      <c r="A11127" s="52"/>
    </row>
    <row r="11128" spans="1:1" x14ac:dyDescent="0.2">
      <c r="A11128" s="52"/>
    </row>
    <row r="11129" spans="1:1" x14ac:dyDescent="0.2">
      <c r="A11129" s="52"/>
    </row>
    <row r="11130" spans="1:1" x14ac:dyDescent="0.2">
      <c r="A11130" s="52"/>
    </row>
    <row r="11131" spans="1:1" x14ac:dyDescent="0.2">
      <c r="A11131" s="52"/>
    </row>
    <row r="11132" spans="1:1" x14ac:dyDescent="0.2">
      <c r="A11132" s="52"/>
    </row>
    <row r="11133" spans="1:1" x14ac:dyDescent="0.2">
      <c r="A11133" s="52"/>
    </row>
    <row r="11134" spans="1:1" x14ac:dyDescent="0.2">
      <c r="A11134" s="52"/>
    </row>
    <row r="11135" spans="1:1" x14ac:dyDescent="0.2">
      <c r="A11135" s="52"/>
    </row>
    <row r="11136" spans="1:1" x14ac:dyDescent="0.2">
      <c r="A11136" s="52"/>
    </row>
    <row r="11137" spans="1:1" x14ac:dyDescent="0.2">
      <c r="A11137" s="52"/>
    </row>
    <row r="11138" spans="1:1" x14ac:dyDescent="0.2">
      <c r="A11138" s="52"/>
    </row>
    <row r="11139" spans="1:1" x14ac:dyDescent="0.2">
      <c r="A11139" s="52"/>
    </row>
    <row r="11140" spans="1:1" x14ac:dyDescent="0.2">
      <c r="A11140" s="52"/>
    </row>
    <row r="11141" spans="1:1" x14ac:dyDescent="0.2">
      <c r="A11141" s="52"/>
    </row>
    <row r="11142" spans="1:1" x14ac:dyDescent="0.2">
      <c r="A11142" s="52"/>
    </row>
    <row r="11143" spans="1:1" x14ac:dyDescent="0.2">
      <c r="A11143" s="52"/>
    </row>
    <row r="11144" spans="1:1" x14ac:dyDescent="0.2">
      <c r="A11144" s="52"/>
    </row>
    <row r="11145" spans="1:1" x14ac:dyDescent="0.2">
      <c r="A11145" s="52"/>
    </row>
    <row r="11146" spans="1:1" x14ac:dyDescent="0.2">
      <c r="A11146" s="52"/>
    </row>
    <row r="11147" spans="1:1" x14ac:dyDescent="0.2">
      <c r="A11147" s="52"/>
    </row>
    <row r="11148" spans="1:1" x14ac:dyDescent="0.2">
      <c r="A11148" s="52"/>
    </row>
    <row r="11149" spans="1:1" x14ac:dyDescent="0.2">
      <c r="A11149" s="52"/>
    </row>
    <row r="11150" spans="1:1" x14ac:dyDescent="0.2">
      <c r="A11150" s="52"/>
    </row>
    <row r="11151" spans="1:1" x14ac:dyDescent="0.2">
      <c r="A11151" s="53"/>
    </row>
    <row r="11152" spans="1:1" x14ac:dyDescent="0.2">
      <c r="A11152" s="52"/>
    </row>
    <row r="11153" spans="1:1" x14ac:dyDescent="0.2">
      <c r="A11153" s="53"/>
    </row>
    <row r="11154" spans="1:1" x14ac:dyDescent="0.2">
      <c r="A11154" s="52"/>
    </row>
    <row r="11155" spans="1:1" x14ac:dyDescent="0.2">
      <c r="A11155" s="52"/>
    </row>
    <row r="11156" spans="1:1" x14ac:dyDescent="0.2">
      <c r="A11156" s="52"/>
    </row>
    <row r="11157" spans="1:1" x14ac:dyDescent="0.2">
      <c r="A11157" s="52"/>
    </row>
    <row r="11158" spans="1:1" x14ac:dyDescent="0.2">
      <c r="A11158" s="52"/>
    </row>
    <row r="11159" spans="1:1" x14ac:dyDescent="0.2">
      <c r="A11159" s="52"/>
    </row>
    <row r="11160" spans="1:1" x14ac:dyDescent="0.2">
      <c r="A11160" s="52"/>
    </row>
    <row r="11161" spans="1:1" x14ac:dyDescent="0.2">
      <c r="A11161" s="52"/>
    </row>
    <row r="11162" spans="1:1" x14ac:dyDescent="0.2">
      <c r="A11162" s="52"/>
    </row>
    <row r="11163" spans="1:1" x14ac:dyDescent="0.2">
      <c r="A11163" s="52"/>
    </row>
    <row r="11164" spans="1:1" x14ac:dyDescent="0.2">
      <c r="A11164" s="52"/>
    </row>
    <row r="11165" spans="1:1" x14ac:dyDescent="0.2">
      <c r="A11165" s="52"/>
    </row>
    <row r="11166" spans="1:1" x14ac:dyDescent="0.2">
      <c r="A11166" s="52"/>
    </row>
    <row r="11167" spans="1:1" x14ac:dyDescent="0.2">
      <c r="A11167" s="53"/>
    </row>
    <row r="11168" spans="1:1" x14ac:dyDescent="0.2">
      <c r="A11168" s="52"/>
    </row>
    <row r="11169" spans="1:1" x14ac:dyDescent="0.2">
      <c r="A11169" s="52"/>
    </row>
    <row r="11170" spans="1:1" x14ac:dyDescent="0.2">
      <c r="A11170" s="53"/>
    </row>
    <row r="11171" spans="1:1" x14ac:dyDescent="0.2">
      <c r="A11171" s="52"/>
    </row>
    <row r="11172" spans="1:1" x14ac:dyDescent="0.2">
      <c r="A11172" s="52"/>
    </row>
    <row r="11173" spans="1:1" x14ac:dyDescent="0.2">
      <c r="A11173" s="52"/>
    </row>
    <row r="11174" spans="1:1" x14ac:dyDescent="0.2">
      <c r="A11174" s="52"/>
    </row>
    <row r="11175" spans="1:1" x14ac:dyDescent="0.2">
      <c r="A11175" s="52"/>
    </row>
    <row r="11176" spans="1:1" x14ac:dyDescent="0.2">
      <c r="A11176" s="52"/>
    </row>
    <row r="11177" spans="1:1" x14ac:dyDescent="0.2">
      <c r="A11177" s="52"/>
    </row>
    <row r="11178" spans="1:1" x14ac:dyDescent="0.2">
      <c r="A11178" s="52"/>
    </row>
    <row r="11179" spans="1:1" x14ac:dyDescent="0.2">
      <c r="A11179" s="52"/>
    </row>
    <row r="11180" spans="1:1" x14ac:dyDescent="0.2">
      <c r="A11180" s="52"/>
    </row>
    <row r="11181" spans="1:1" x14ac:dyDescent="0.2">
      <c r="A11181" s="52"/>
    </row>
    <row r="11182" spans="1:1" x14ac:dyDescent="0.2">
      <c r="A11182" s="52"/>
    </row>
    <row r="11183" spans="1:1" x14ac:dyDescent="0.2">
      <c r="A11183" s="52"/>
    </row>
    <row r="11184" spans="1:1" x14ac:dyDescent="0.2">
      <c r="A11184" s="52"/>
    </row>
    <row r="11185" spans="1:1" x14ac:dyDescent="0.2">
      <c r="A11185" s="52"/>
    </row>
    <row r="11186" spans="1:1" x14ac:dyDescent="0.2">
      <c r="A11186" s="53"/>
    </row>
    <row r="11187" spans="1:1" x14ac:dyDescent="0.2">
      <c r="A11187" s="52"/>
    </row>
    <row r="11188" spans="1:1" x14ac:dyDescent="0.2">
      <c r="A11188" s="52"/>
    </row>
    <row r="11189" spans="1:1" x14ac:dyDescent="0.2">
      <c r="A11189" s="52"/>
    </row>
    <row r="11190" spans="1:1" x14ac:dyDescent="0.2">
      <c r="A11190" s="52"/>
    </row>
    <row r="11191" spans="1:1" x14ac:dyDescent="0.2">
      <c r="A11191" s="52"/>
    </row>
    <row r="11192" spans="1:1" x14ac:dyDescent="0.2">
      <c r="A11192" s="52"/>
    </row>
    <row r="11193" spans="1:1" x14ac:dyDescent="0.2">
      <c r="A11193" s="52"/>
    </row>
    <row r="11194" spans="1:1" x14ac:dyDescent="0.2">
      <c r="A11194" s="52"/>
    </row>
    <row r="11195" spans="1:1" x14ac:dyDescent="0.2">
      <c r="A11195" s="52"/>
    </row>
    <row r="11196" spans="1:1" x14ac:dyDescent="0.2">
      <c r="A11196" s="52"/>
    </row>
    <row r="11197" spans="1:1" x14ac:dyDescent="0.2">
      <c r="A11197" s="52"/>
    </row>
    <row r="11198" spans="1:1" x14ac:dyDescent="0.2">
      <c r="A11198" s="52"/>
    </row>
    <row r="11199" spans="1:1" x14ac:dyDescent="0.2">
      <c r="A11199" s="52"/>
    </row>
    <row r="11200" spans="1:1" x14ac:dyDescent="0.2">
      <c r="A11200" s="52"/>
    </row>
    <row r="11201" spans="1:1" x14ac:dyDescent="0.2">
      <c r="A11201" s="52"/>
    </row>
    <row r="11202" spans="1:1" x14ac:dyDescent="0.2">
      <c r="A11202" s="53"/>
    </row>
    <row r="11203" spans="1:1" x14ac:dyDescent="0.2">
      <c r="A11203" s="52"/>
    </row>
    <row r="11204" spans="1:1" x14ac:dyDescent="0.2">
      <c r="A11204" s="52"/>
    </row>
    <row r="11205" spans="1:1" x14ac:dyDescent="0.2">
      <c r="A11205" s="52"/>
    </row>
    <row r="11206" spans="1:1" x14ac:dyDescent="0.2">
      <c r="A11206" s="52"/>
    </row>
    <row r="11207" spans="1:1" x14ac:dyDescent="0.2">
      <c r="A11207" s="52"/>
    </row>
    <row r="11208" spans="1:1" x14ac:dyDescent="0.2">
      <c r="A11208" s="53"/>
    </row>
    <row r="11209" spans="1:1" x14ac:dyDescent="0.2">
      <c r="A11209" s="52"/>
    </row>
    <row r="11210" spans="1:1" x14ac:dyDescent="0.2">
      <c r="A11210" s="52"/>
    </row>
    <row r="11211" spans="1:1" x14ac:dyDescent="0.2">
      <c r="A11211" s="52"/>
    </row>
    <row r="11212" spans="1:1" x14ac:dyDescent="0.2">
      <c r="A11212" s="52"/>
    </row>
    <row r="11213" spans="1:1" x14ac:dyDescent="0.2">
      <c r="A11213" s="52"/>
    </row>
    <row r="11214" spans="1:1" x14ac:dyDescent="0.2">
      <c r="A11214" s="52"/>
    </row>
    <row r="11215" spans="1:1" x14ac:dyDescent="0.2">
      <c r="A11215" s="52"/>
    </row>
    <row r="11216" spans="1:1" x14ac:dyDescent="0.2">
      <c r="A11216" s="52"/>
    </row>
    <row r="11217" spans="1:1" x14ac:dyDescent="0.2">
      <c r="A11217" s="52"/>
    </row>
    <row r="11218" spans="1:1" x14ac:dyDescent="0.2">
      <c r="A11218" s="52"/>
    </row>
    <row r="11219" spans="1:1" x14ac:dyDescent="0.2">
      <c r="A11219" s="52"/>
    </row>
    <row r="11220" spans="1:1" x14ac:dyDescent="0.2">
      <c r="A11220" s="53"/>
    </row>
    <row r="11221" spans="1:1" x14ac:dyDescent="0.2">
      <c r="A11221" s="53"/>
    </row>
    <row r="11222" spans="1:1" x14ac:dyDescent="0.2">
      <c r="A11222" s="52"/>
    </row>
    <row r="11223" spans="1:1" x14ac:dyDescent="0.2">
      <c r="A11223" s="52"/>
    </row>
    <row r="11224" spans="1:1" x14ac:dyDescent="0.2">
      <c r="A11224" s="52"/>
    </row>
    <row r="11225" spans="1:1" x14ac:dyDescent="0.2">
      <c r="A11225" s="52"/>
    </row>
    <row r="11226" spans="1:1" x14ac:dyDescent="0.2">
      <c r="A11226" s="52"/>
    </row>
    <row r="11227" spans="1:1" x14ac:dyDescent="0.2">
      <c r="A11227" s="52"/>
    </row>
    <row r="11228" spans="1:1" x14ac:dyDescent="0.2">
      <c r="A11228" s="52"/>
    </row>
    <row r="11229" spans="1:1" x14ac:dyDescent="0.2">
      <c r="A11229" s="52"/>
    </row>
    <row r="11230" spans="1:1" x14ac:dyDescent="0.2">
      <c r="A11230" s="52"/>
    </row>
    <row r="11231" spans="1:1" x14ac:dyDescent="0.2">
      <c r="A11231" s="52"/>
    </row>
    <row r="11232" spans="1:1" x14ac:dyDescent="0.2">
      <c r="A11232" s="52"/>
    </row>
    <row r="11233" spans="1:1" x14ac:dyDescent="0.2">
      <c r="A11233" s="52"/>
    </row>
    <row r="11234" spans="1:1" x14ac:dyDescent="0.2">
      <c r="A11234" s="52"/>
    </row>
    <row r="11235" spans="1:1" x14ac:dyDescent="0.2">
      <c r="A11235" s="52"/>
    </row>
    <row r="11236" spans="1:1" x14ac:dyDescent="0.2">
      <c r="A11236" s="52"/>
    </row>
    <row r="11237" spans="1:1" x14ac:dyDescent="0.2">
      <c r="A11237" s="52"/>
    </row>
    <row r="11238" spans="1:1" x14ac:dyDescent="0.2">
      <c r="A11238" s="52"/>
    </row>
    <row r="11239" spans="1:1" x14ac:dyDescent="0.2">
      <c r="A11239" s="52"/>
    </row>
    <row r="11240" spans="1:1" x14ac:dyDescent="0.2">
      <c r="A11240" s="52"/>
    </row>
    <row r="11241" spans="1:1" x14ac:dyDescent="0.2">
      <c r="A11241" s="52"/>
    </row>
    <row r="11242" spans="1:1" x14ac:dyDescent="0.2">
      <c r="A11242" s="52"/>
    </row>
    <row r="11243" spans="1:1" x14ac:dyDescent="0.2">
      <c r="A11243" s="52"/>
    </row>
    <row r="11244" spans="1:1" x14ac:dyDescent="0.2">
      <c r="A11244" s="52"/>
    </row>
    <row r="11245" spans="1:1" x14ac:dyDescent="0.2">
      <c r="A11245" s="52"/>
    </row>
    <row r="11246" spans="1:1" x14ac:dyDescent="0.2">
      <c r="A11246" s="52"/>
    </row>
    <row r="11247" spans="1:1" x14ac:dyDescent="0.2">
      <c r="A11247" s="52"/>
    </row>
    <row r="11248" spans="1:1" x14ac:dyDescent="0.2">
      <c r="A11248" s="52"/>
    </row>
    <row r="11249" spans="1:1" x14ac:dyDescent="0.2">
      <c r="A11249" s="52"/>
    </row>
    <row r="11250" spans="1:1" x14ac:dyDescent="0.2">
      <c r="A11250" s="52"/>
    </row>
    <row r="11251" spans="1:1" x14ac:dyDescent="0.2">
      <c r="A11251" s="52"/>
    </row>
    <row r="11252" spans="1:1" x14ac:dyDescent="0.2">
      <c r="A11252" s="52"/>
    </row>
    <row r="11253" spans="1:1" x14ac:dyDescent="0.2">
      <c r="A11253" s="53"/>
    </row>
    <row r="11254" spans="1:1" x14ac:dyDescent="0.2">
      <c r="A11254" s="52"/>
    </row>
    <row r="11255" spans="1:1" x14ac:dyDescent="0.2">
      <c r="A11255" s="52"/>
    </row>
    <row r="11256" spans="1:1" x14ac:dyDescent="0.2">
      <c r="A11256" s="52"/>
    </row>
    <row r="11257" spans="1:1" x14ac:dyDescent="0.2">
      <c r="A11257" s="52"/>
    </row>
    <row r="11258" spans="1:1" x14ac:dyDescent="0.2">
      <c r="A11258" s="52"/>
    </row>
    <row r="11259" spans="1:1" x14ac:dyDescent="0.2">
      <c r="A11259" s="52"/>
    </row>
    <row r="11260" spans="1:1" x14ac:dyDescent="0.2">
      <c r="A11260" s="52"/>
    </row>
    <row r="11261" spans="1:1" x14ac:dyDescent="0.2">
      <c r="A11261" s="53"/>
    </row>
    <row r="11262" spans="1:1" x14ac:dyDescent="0.2">
      <c r="A11262" s="53"/>
    </row>
    <row r="11263" spans="1:1" x14ac:dyDescent="0.2">
      <c r="A11263" s="52"/>
    </row>
    <row r="11264" spans="1:1" x14ac:dyDescent="0.2">
      <c r="A11264" s="52"/>
    </row>
    <row r="11265" spans="1:1" x14ac:dyDescent="0.2">
      <c r="A11265" s="52"/>
    </row>
    <row r="11266" spans="1:1" x14ac:dyDescent="0.2">
      <c r="A11266" s="52"/>
    </row>
    <row r="11267" spans="1:1" x14ac:dyDescent="0.2">
      <c r="A11267" s="52"/>
    </row>
    <row r="11268" spans="1:1" x14ac:dyDescent="0.2">
      <c r="A11268" s="52"/>
    </row>
    <row r="11269" spans="1:1" x14ac:dyDescent="0.2">
      <c r="A11269" s="52"/>
    </row>
    <row r="11270" spans="1:1" x14ac:dyDescent="0.2">
      <c r="A11270" s="52"/>
    </row>
    <row r="11271" spans="1:1" x14ac:dyDescent="0.2">
      <c r="A11271" s="52"/>
    </row>
    <row r="11272" spans="1:1" x14ac:dyDescent="0.2">
      <c r="A11272" s="52"/>
    </row>
    <row r="11273" spans="1:1" x14ac:dyDescent="0.2">
      <c r="A11273" s="52"/>
    </row>
    <row r="11274" spans="1:1" x14ac:dyDescent="0.2">
      <c r="A11274" s="52"/>
    </row>
    <row r="11275" spans="1:1" x14ac:dyDescent="0.2">
      <c r="A11275" s="52"/>
    </row>
    <row r="11276" spans="1:1" x14ac:dyDescent="0.2">
      <c r="A11276" s="52"/>
    </row>
    <row r="11277" spans="1:1" x14ac:dyDescent="0.2">
      <c r="A11277" s="52"/>
    </row>
    <row r="11278" spans="1:1" x14ac:dyDescent="0.2">
      <c r="A11278" s="52"/>
    </row>
    <row r="11279" spans="1:1" x14ac:dyDescent="0.2">
      <c r="A11279" s="52"/>
    </row>
    <row r="11280" spans="1:1" x14ac:dyDescent="0.2">
      <c r="A11280" s="52"/>
    </row>
    <row r="11281" spans="1:1" x14ac:dyDescent="0.2">
      <c r="A11281" s="52"/>
    </row>
    <row r="11282" spans="1:1" x14ac:dyDescent="0.2">
      <c r="A11282" s="52"/>
    </row>
    <row r="11283" spans="1:1" x14ac:dyDescent="0.2">
      <c r="A11283" s="52"/>
    </row>
    <row r="11284" spans="1:1" x14ac:dyDescent="0.2">
      <c r="A11284" s="52"/>
    </row>
    <row r="11285" spans="1:1" x14ac:dyDescent="0.2">
      <c r="A11285" s="52"/>
    </row>
    <row r="11286" spans="1:1" x14ac:dyDescent="0.2">
      <c r="A11286" s="52"/>
    </row>
    <row r="11287" spans="1:1" x14ac:dyDescent="0.2">
      <c r="A11287" s="52"/>
    </row>
    <row r="11288" spans="1:1" x14ac:dyDescent="0.2">
      <c r="A11288" s="52"/>
    </row>
    <row r="11289" spans="1:1" x14ac:dyDescent="0.2">
      <c r="A11289" s="53"/>
    </row>
    <row r="11290" spans="1:1" x14ac:dyDescent="0.2">
      <c r="A11290" s="52"/>
    </row>
    <row r="11291" spans="1:1" x14ac:dyDescent="0.2">
      <c r="A11291" s="52"/>
    </row>
    <row r="11292" spans="1:1" x14ac:dyDescent="0.2">
      <c r="A11292" s="52"/>
    </row>
    <row r="11293" spans="1:1" x14ac:dyDescent="0.2">
      <c r="A11293" s="52"/>
    </row>
    <row r="11294" spans="1:1" x14ac:dyDescent="0.2">
      <c r="A11294" s="52"/>
    </row>
    <row r="11295" spans="1:1" x14ac:dyDescent="0.2">
      <c r="A11295" s="52"/>
    </row>
    <row r="11296" spans="1:1" x14ac:dyDescent="0.2">
      <c r="A11296" s="53"/>
    </row>
    <row r="11297" spans="1:1" x14ac:dyDescent="0.2">
      <c r="A11297" s="53"/>
    </row>
    <row r="11298" spans="1:1" x14ac:dyDescent="0.2">
      <c r="A11298" s="52"/>
    </row>
    <row r="11299" spans="1:1" x14ac:dyDescent="0.2">
      <c r="A11299" s="53"/>
    </row>
    <row r="11300" spans="1:1" x14ac:dyDescent="0.2">
      <c r="A11300" s="52"/>
    </row>
    <row r="11301" spans="1:1" x14ac:dyDescent="0.2">
      <c r="A11301" s="52"/>
    </row>
    <row r="11302" spans="1:1" x14ac:dyDescent="0.2">
      <c r="A11302" s="52"/>
    </row>
    <row r="11303" spans="1:1" x14ac:dyDescent="0.2">
      <c r="A11303" s="52"/>
    </row>
    <row r="11304" spans="1:1" x14ac:dyDescent="0.2">
      <c r="A11304" s="52"/>
    </row>
    <row r="11305" spans="1:1" x14ac:dyDescent="0.2">
      <c r="A11305" s="52"/>
    </row>
    <row r="11306" spans="1:1" x14ac:dyDescent="0.2">
      <c r="A11306" s="52"/>
    </row>
    <row r="11307" spans="1:1" x14ac:dyDescent="0.2">
      <c r="A11307" s="52"/>
    </row>
    <row r="11308" spans="1:1" x14ac:dyDescent="0.2">
      <c r="A11308" s="52"/>
    </row>
    <row r="11309" spans="1:1" x14ac:dyDescent="0.2">
      <c r="A11309" s="52"/>
    </row>
    <row r="11310" spans="1:1" x14ac:dyDescent="0.2">
      <c r="A11310" s="52"/>
    </row>
    <row r="11311" spans="1:1" x14ac:dyDescent="0.2">
      <c r="A11311" s="52"/>
    </row>
    <row r="11312" spans="1:1" x14ac:dyDescent="0.2">
      <c r="A11312" s="52"/>
    </row>
    <row r="11313" spans="1:1" x14ac:dyDescent="0.2">
      <c r="A11313" s="52"/>
    </row>
    <row r="11314" spans="1:1" x14ac:dyDescent="0.2">
      <c r="A11314" s="52"/>
    </row>
    <row r="11315" spans="1:1" x14ac:dyDescent="0.2">
      <c r="A11315" s="52"/>
    </row>
    <row r="11316" spans="1:1" x14ac:dyDescent="0.2">
      <c r="A11316" s="52"/>
    </row>
    <row r="11317" spans="1:1" x14ac:dyDescent="0.2">
      <c r="A11317" s="52"/>
    </row>
    <row r="11318" spans="1:1" x14ac:dyDescent="0.2">
      <c r="A11318" s="53"/>
    </row>
    <row r="11319" spans="1:1" x14ac:dyDescent="0.2">
      <c r="A11319" s="52"/>
    </row>
    <row r="11320" spans="1:1" x14ac:dyDescent="0.2">
      <c r="A11320" s="52"/>
    </row>
    <row r="11321" spans="1:1" x14ac:dyDescent="0.2">
      <c r="A11321" s="52"/>
    </row>
    <row r="11322" spans="1:1" x14ac:dyDescent="0.2">
      <c r="A11322" s="52"/>
    </row>
    <row r="11323" spans="1:1" x14ac:dyDescent="0.2">
      <c r="A11323" s="52"/>
    </row>
    <row r="11324" spans="1:1" x14ac:dyDescent="0.2">
      <c r="A11324" s="52"/>
    </row>
    <row r="11325" spans="1:1" x14ac:dyDescent="0.2">
      <c r="A11325" s="52"/>
    </row>
    <row r="11326" spans="1:1" x14ac:dyDescent="0.2">
      <c r="A11326" s="52"/>
    </row>
    <row r="11327" spans="1:1" x14ac:dyDescent="0.2">
      <c r="A11327" s="52"/>
    </row>
    <row r="11328" spans="1:1" x14ac:dyDescent="0.2">
      <c r="A11328" s="52"/>
    </row>
    <row r="11329" spans="1:1" x14ac:dyDescent="0.2">
      <c r="A11329" s="52"/>
    </row>
    <row r="11330" spans="1:1" x14ac:dyDescent="0.2">
      <c r="A11330" s="52"/>
    </row>
    <row r="11331" spans="1:1" x14ac:dyDescent="0.2">
      <c r="A11331" s="52"/>
    </row>
    <row r="11332" spans="1:1" x14ac:dyDescent="0.2">
      <c r="A11332" s="53"/>
    </row>
    <row r="11333" spans="1:1" x14ac:dyDescent="0.2">
      <c r="A11333" s="53"/>
    </row>
    <row r="11334" spans="1:1" x14ac:dyDescent="0.2">
      <c r="A11334" s="53"/>
    </row>
    <row r="11335" spans="1:1" x14ac:dyDescent="0.2">
      <c r="A11335" s="52"/>
    </row>
    <row r="11336" spans="1:1" x14ac:dyDescent="0.2">
      <c r="A11336" s="52"/>
    </row>
    <row r="11337" spans="1:1" x14ac:dyDescent="0.2">
      <c r="A11337" s="53"/>
    </row>
    <row r="11338" spans="1:1" x14ac:dyDescent="0.2">
      <c r="A11338" s="52"/>
    </row>
    <row r="11339" spans="1:1" x14ac:dyDescent="0.2">
      <c r="A11339" s="52"/>
    </row>
    <row r="11340" spans="1:1" x14ac:dyDescent="0.2">
      <c r="A11340" s="52"/>
    </row>
    <row r="11341" spans="1:1" x14ac:dyDescent="0.2">
      <c r="A11341" s="52"/>
    </row>
    <row r="11342" spans="1:1" x14ac:dyDescent="0.2">
      <c r="A11342" s="52"/>
    </row>
    <row r="11343" spans="1:1" x14ac:dyDescent="0.2">
      <c r="A11343" s="52"/>
    </row>
    <row r="11344" spans="1:1" x14ac:dyDescent="0.2">
      <c r="A11344" s="52"/>
    </row>
    <row r="11345" spans="1:1" x14ac:dyDescent="0.2">
      <c r="A11345" s="52"/>
    </row>
    <row r="11346" spans="1:1" x14ac:dyDescent="0.2">
      <c r="A11346" s="52"/>
    </row>
    <row r="11347" spans="1:1" x14ac:dyDescent="0.2">
      <c r="A11347" s="52"/>
    </row>
    <row r="11348" spans="1:1" x14ac:dyDescent="0.2">
      <c r="A11348" s="52"/>
    </row>
    <row r="11349" spans="1:1" x14ac:dyDescent="0.2">
      <c r="A11349" s="52"/>
    </row>
    <row r="11350" spans="1:1" x14ac:dyDescent="0.2">
      <c r="A11350" s="52"/>
    </row>
    <row r="11351" spans="1:1" x14ac:dyDescent="0.2">
      <c r="A11351" s="52"/>
    </row>
    <row r="11352" spans="1:1" x14ac:dyDescent="0.2">
      <c r="A11352" s="52"/>
    </row>
    <row r="11353" spans="1:1" x14ac:dyDescent="0.2">
      <c r="A11353" s="52"/>
    </row>
    <row r="11354" spans="1:1" x14ac:dyDescent="0.2">
      <c r="A11354" s="52"/>
    </row>
    <row r="11355" spans="1:1" x14ac:dyDescent="0.2">
      <c r="A11355" s="52"/>
    </row>
    <row r="11356" spans="1:1" x14ac:dyDescent="0.2">
      <c r="A11356" s="52"/>
    </row>
    <row r="11357" spans="1:1" x14ac:dyDescent="0.2">
      <c r="A11357" s="52"/>
    </row>
    <row r="11358" spans="1:1" x14ac:dyDescent="0.2">
      <c r="A11358" s="52"/>
    </row>
    <row r="11359" spans="1:1" x14ac:dyDescent="0.2">
      <c r="A11359" s="52"/>
    </row>
    <row r="11360" spans="1:1" x14ac:dyDescent="0.2">
      <c r="A11360" s="52"/>
    </row>
    <row r="11361" spans="1:1" x14ac:dyDescent="0.2">
      <c r="A11361" s="52"/>
    </row>
    <row r="11362" spans="1:1" x14ac:dyDescent="0.2">
      <c r="A11362" s="52"/>
    </row>
    <row r="11363" spans="1:1" x14ac:dyDescent="0.2">
      <c r="A11363" s="53"/>
    </row>
    <row r="11364" spans="1:1" x14ac:dyDescent="0.2">
      <c r="A11364" s="52"/>
    </row>
    <row r="11365" spans="1:1" x14ac:dyDescent="0.2">
      <c r="A11365" s="52"/>
    </row>
    <row r="11366" spans="1:1" x14ac:dyDescent="0.2">
      <c r="A11366" s="52"/>
    </row>
    <row r="11367" spans="1:1" x14ac:dyDescent="0.2">
      <c r="A11367" s="52"/>
    </row>
    <row r="11368" spans="1:1" x14ac:dyDescent="0.2">
      <c r="A11368" s="52"/>
    </row>
    <row r="11369" spans="1:1" x14ac:dyDescent="0.2">
      <c r="A11369" s="53"/>
    </row>
    <row r="11370" spans="1:1" x14ac:dyDescent="0.2">
      <c r="A11370" s="52"/>
    </row>
    <row r="11371" spans="1:1" x14ac:dyDescent="0.2">
      <c r="A11371" s="52"/>
    </row>
    <row r="11372" spans="1:1" x14ac:dyDescent="0.2">
      <c r="A11372" s="52"/>
    </row>
    <row r="11373" spans="1:1" x14ac:dyDescent="0.2">
      <c r="A11373" s="52"/>
    </row>
    <row r="11374" spans="1:1" x14ac:dyDescent="0.2">
      <c r="A11374" s="53"/>
    </row>
    <row r="11375" spans="1:1" x14ac:dyDescent="0.2">
      <c r="A11375" s="52"/>
    </row>
    <row r="11376" spans="1:1" x14ac:dyDescent="0.2">
      <c r="A11376" s="52"/>
    </row>
    <row r="11377" spans="1:1" x14ac:dyDescent="0.2">
      <c r="A11377" s="52"/>
    </row>
    <row r="11378" spans="1:1" x14ac:dyDescent="0.2">
      <c r="A11378" s="52"/>
    </row>
    <row r="11379" spans="1:1" x14ac:dyDescent="0.2">
      <c r="A11379" s="52"/>
    </row>
    <row r="11380" spans="1:1" x14ac:dyDescent="0.2">
      <c r="A11380" s="52"/>
    </row>
    <row r="11381" spans="1:1" x14ac:dyDescent="0.2">
      <c r="A11381" s="53"/>
    </row>
    <row r="11382" spans="1:1" x14ac:dyDescent="0.2">
      <c r="A11382" s="52"/>
    </row>
    <row r="11383" spans="1:1" x14ac:dyDescent="0.2">
      <c r="A11383" s="53"/>
    </row>
    <row r="11384" spans="1:1" x14ac:dyDescent="0.2">
      <c r="A11384" s="52"/>
    </row>
    <row r="11385" spans="1:1" x14ac:dyDescent="0.2">
      <c r="A11385" s="52"/>
    </row>
    <row r="11386" spans="1:1" x14ac:dyDescent="0.2">
      <c r="A11386" s="52"/>
    </row>
    <row r="11387" spans="1:1" x14ac:dyDescent="0.2">
      <c r="A11387" s="52"/>
    </row>
    <row r="11388" spans="1:1" x14ac:dyDescent="0.2">
      <c r="A11388" s="52"/>
    </row>
    <row r="11389" spans="1:1" x14ac:dyDescent="0.2">
      <c r="A11389" s="52"/>
    </row>
    <row r="11390" spans="1:1" x14ac:dyDescent="0.2">
      <c r="A11390" s="52"/>
    </row>
    <row r="11391" spans="1:1" x14ac:dyDescent="0.2">
      <c r="A11391" s="52"/>
    </row>
    <row r="11392" spans="1:1" x14ac:dyDescent="0.2">
      <c r="A11392" s="52"/>
    </row>
    <row r="11393" spans="1:1" x14ac:dyDescent="0.2">
      <c r="A11393" s="52"/>
    </row>
    <row r="11394" spans="1:1" x14ac:dyDescent="0.2">
      <c r="A11394" s="52"/>
    </row>
    <row r="11395" spans="1:1" x14ac:dyDescent="0.2">
      <c r="A11395" s="52"/>
    </row>
    <row r="11396" spans="1:1" x14ac:dyDescent="0.2">
      <c r="A11396" s="52"/>
    </row>
    <row r="11397" spans="1:1" x14ac:dyDescent="0.2">
      <c r="A11397" s="52"/>
    </row>
    <row r="11398" spans="1:1" x14ac:dyDescent="0.2">
      <c r="A11398" s="53"/>
    </row>
    <row r="11399" spans="1:1" x14ac:dyDescent="0.2">
      <c r="A11399" s="52"/>
    </row>
    <row r="11400" spans="1:1" x14ac:dyDescent="0.2">
      <c r="A11400" s="52"/>
    </row>
    <row r="11401" spans="1:1" x14ac:dyDescent="0.2">
      <c r="A11401" s="52"/>
    </row>
    <row r="11402" spans="1:1" x14ac:dyDescent="0.2">
      <c r="A11402" s="52"/>
    </row>
    <row r="11403" spans="1:1" x14ac:dyDescent="0.2">
      <c r="A11403" s="52"/>
    </row>
    <row r="11404" spans="1:1" x14ac:dyDescent="0.2">
      <c r="A11404" s="52"/>
    </row>
    <row r="11405" spans="1:1" x14ac:dyDescent="0.2">
      <c r="A11405" s="52"/>
    </row>
    <row r="11406" spans="1:1" x14ac:dyDescent="0.2">
      <c r="A11406" s="52"/>
    </row>
    <row r="11407" spans="1:1" x14ac:dyDescent="0.2">
      <c r="A11407" s="52"/>
    </row>
    <row r="11408" spans="1:1" x14ac:dyDescent="0.2">
      <c r="A11408" s="52"/>
    </row>
    <row r="11409" spans="1:1" x14ac:dyDescent="0.2">
      <c r="A11409" s="52"/>
    </row>
    <row r="11410" spans="1:1" x14ac:dyDescent="0.2">
      <c r="A11410" s="52"/>
    </row>
    <row r="11411" spans="1:1" x14ac:dyDescent="0.2">
      <c r="A11411" s="52"/>
    </row>
    <row r="11412" spans="1:1" x14ac:dyDescent="0.2">
      <c r="A11412" s="52"/>
    </row>
    <row r="11413" spans="1:1" x14ac:dyDescent="0.2">
      <c r="A11413" s="52"/>
    </row>
    <row r="11414" spans="1:1" x14ac:dyDescent="0.2">
      <c r="A11414" s="52"/>
    </row>
    <row r="11415" spans="1:1" x14ac:dyDescent="0.2">
      <c r="A11415" s="52"/>
    </row>
    <row r="11416" spans="1:1" x14ac:dyDescent="0.2">
      <c r="A11416" s="53"/>
    </row>
    <row r="11417" spans="1:1" x14ac:dyDescent="0.2">
      <c r="A11417" s="52"/>
    </row>
    <row r="11418" spans="1:1" x14ac:dyDescent="0.2">
      <c r="A11418" s="52"/>
    </row>
    <row r="11419" spans="1:1" x14ac:dyDescent="0.2">
      <c r="A11419" s="52"/>
    </row>
    <row r="11420" spans="1:1" x14ac:dyDescent="0.2">
      <c r="A11420" s="53"/>
    </row>
    <row r="11421" spans="1:1" x14ac:dyDescent="0.2">
      <c r="A11421" s="52"/>
    </row>
    <row r="11422" spans="1:1" x14ac:dyDescent="0.2">
      <c r="A11422" s="52"/>
    </row>
    <row r="11423" spans="1:1" x14ac:dyDescent="0.2">
      <c r="A11423" s="52"/>
    </row>
    <row r="11424" spans="1:1" x14ac:dyDescent="0.2">
      <c r="A11424" s="52"/>
    </row>
    <row r="11425" spans="1:1" x14ac:dyDescent="0.2">
      <c r="A11425" s="52"/>
    </row>
    <row r="11426" spans="1:1" x14ac:dyDescent="0.2">
      <c r="A11426" s="52"/>
    </row>
    <row r="11427" spans="1:1" x14ac:dyDescent="0.2">
      <c r="A11427" s="52"/>
    </row>
    <row r="11428" spans="1:1" x14ac:dyDescent="0.2">
      <c r="A11428" s="52"/>
    </row>
    <row r="11429" spans="1:1" x14ac:dyDescent="0.2">
      <c r="A11429" s="52"/>
    </row>
    <row r="11430" spans="1:1" x14ac:dyDescent="0.2">
      <c r="A11430" s="52"/>
    </row>
    <row r="11431" spans="1:1" x14ac:dyDescent="0.2">
      <c r="A11431" s="52"/>
    </row>
    <row r="11432" spans="1:1" x14ac:dyDescent="0.2">
      <c r="A11432" s="52"/>
    </row>
    <row r="11433" spans="1:1" x14ac:dyDescent="0.2">
      <c r="A11433" s="53"/>
    </row>
    <row r="11434" spans="1:1" x14ac:dyDescent="0.2">
      <c r="A11434" s="52"/>
    </row>
    <row r="11435" spans="1:1" x14ac:dyDescent="0.2">
      <c r="A11435" s="52"/>
    </row>
    <row r="11436" spans="1:1" x14ac:dyDescent="0.2">
      <c r="A11436" s="52"/>
    </row>
    <row r="11437" spans="1:1" x14ac:dyDescent="0.2">
      <c r="A11437" s="52"/>
    </row>
    <row r="11438" spans="1:1" x14ac:dyDescent="0.2">
      <c r="A11438" s="52"/>
    </row>
    <row r="11439" spans="1:1" x14ac:dyDescent="0.2">
      <c r="A11439" s="52"/>
    </row>
    <row r="11440" spans="1:1" x14ac:dyDescent="0.2">
      <c r="A11440" s="52"/>
    </row>
    <row r="11441" spans="1:1" x14ac:dyDescent="0.2">
      <c r="A11441" s="52"/>
    </row>
    <row r="11442" spans="1:1" x14ac:dyDescent="0.2">
      <c r="A11442" s="52"/>
    </row>
    <row r="11443" spans="1:1" x14ac:dyDescent="0.2">
      <c r="A11443" s="52"/>
    </row>
    <row r="11444" spans="1:1" x14ac:dyDescent="0.2">
      <c r="A11444" s="52"/>
    </row>
    <row r="11445" spans="1:1" x14ac:dyDescent="0.2">
      <c r="A11445" s="52"/>
    </row>
    <row r="11446" spans="1:1" x14ac:dyDescent="0.2">
      <c r="A11446" s="53"/>
    </row>
    <row r="11447" spans="1:1" x14ac:dyDescent="0.2">
      <c r="A11447" s="52"/>
    </row>
    <row r="11448" spans="1:1" x14ac:dyDescent="0.2">
      <c r="A11448" s="52"/>
    </row>
    <row r="11449" spans="1:1" x14ac:dyDescent="0.2">
      <c r="A11449" s="52"/>
    </row>
    <row r="11450" spans="1:1" x14ac:dyDescent="0.2">
      <c r="A11450" s="52"/>
    </row>
    <row r="11451" spans="1:1" x14ac:dyDescent="0.2">
      <c r="A11451" s="52"/>
    </row>
    <row r="11452" spans="1:1" x14ac:dyDescent="0.2">
      <c r="A11452" s="52"/>
    </row>
    <row r="11453" spans="1:1" x14ac:dyDescent="0.2">
      <c r="A11453" s="52"/>
    </row>
    <row r="11454" spans="1:1" x14ac:dyDescent="0.2">
      <c r="A11454" s="52"/>
    </row>
    <row r="11455" spans="1:1" x14ac:dyDescent="0.2">
      <c r="A11455" s="52"/>
    </row>
    <row r="11456" spans="1:1" x14ac:dyDescent="0.2">
      <c r="A11456" s="52"/>
    </row>
    <row r="11457" spans="1:1" x14ac:dyDescent="0.2">
      <c r="A11457" s="53"/>
    </row>
    <row r="11458" spans="1:1" x14ac:dyDescent="0.2">
      <c r="A11458" s="52"/>
    </row>
    <row r="11459" spans="1:1" x14ac:dyDescent="0.2">
      <c r="A11459" s="52"/>
    </row>
    <row r="11460" spans="1:1" x14ac:dyDescent="0.2">
      <c r="A11460" s="52"/>
    </row>
    <row r="11461" spans="1:1" x14ac:dyDescent="0.2">
      <c r="A11461" s="52"/>
    </row>
    <row r="11462" spans="1:1" x14ac:dyDescent="0.2">
      <c r="A11462" s="52"/>
    </row>
    <row r="11463" spans="1:1" x14ac:dyDescent="0.2">
      <c r="A11463" s="52"/>
    </row>
    <row r="11464" spans="1:1" x14ac:dyDescent="0.2">
      <c r="A11464" s="52"/>
    </row>
    <row r="11465" spans="1:1" x14ac:dyDescent="0.2">
      <c r="A11465" s="52"/>
    </row>
    <row r="11466" spans="1:1" x14ac:dyDescent="0.2">
      <c r="A11466" s="52"/>
    </row>
    <row r="11467" spans="1:1" x14ac:dyDescent="0.2">
      <c r="A11467" s="52"/>
    </row>
    <row r="11468" spans="1:1" x14ac:dyDescent="0.2">
      <c r="A11468" s="52"/>
    </row>
    <row r="11469" spans="1:1" x14ac:dyDescent="0.2">
      <c r="A11469" s="52"/>
    </row>
    <row r="11470" spans="1:1" x14ac:dyDescent="0.2">
      <c r="A11470" s="52"/>
    </row>
    <row r="11471" spans="1:1" x14ac:dyDescent="0.2">
      <c r="A11471" s="52"/>
    </row>
    <row r="11472" spans="1:1" x14ac:dyDescent="0.2">
      <c r="A11472" s="52"/>
    </row>
    <row r="11473" spans="1:1" x14ac:dyDescent="0.2">
      <c r="A11473" s="53"/>
    </row>
    <row r="11474" spans="1:1" x14ac:dyDescent="0.2">
      <c r="A11474" s="52"/>
    </row>
    <row r="11475" spans="1:1" x14ac:dyDescent="0.2">
      <c r="A11475" s="52"/>
    </row>
    <row r="11476" spans="1:1" x14ac:dyDescent="0.2">
      <c r="A11476" s="52"/>
    </row>
    <row r="11477" spans="1:1" x14ac:dyDescent="0.2">
      <c r="A11477" s="52"/>
    </row>
    <row r="11478" spans="1:1" x14ac:dyDescent="0.2">
      <c r="A11478" s="52"/>
    </row>
    <row r="11479" spans="1:1" x14ac:dyDescent="0.2">
      <c r="A11479" s="52"/>
    </row>
    <row r="11480" spans="1:1" x14ac:dyDescent="0.2">
      <c r="A11480" s="52"/>
    </row>
    <row r="11481" spans="1:1" x14ac:dyDescent="0.2">
      <c r="A11481" s="52"/>
    </row>
    <row r="11482" spans="1:1" x14ac:dyDescent="0.2">
      <c r="A11482" s="52"/>
    </row>
    <row r="11483" spans="1:1" x14ac:dyDescent="0.2">
      <c r="A11483" s="52"/>
    </row>
    <row r="11484" spans="1:1" x14ac:dyDescent="0.2">
      <c r="A11484" s="52"/>
    </row>
    <row r="11485" spans="1:1" x14ac:dyDescent="0.2">
      <c r="A11485" s="52"/>
    </row>
    <row r="11486" spans="1:1" x14ac:dyDescent="0.2">
      <c r="A11486" s="52"/>
    </row>
    <row r="11487" spans="1:1" x14ac:dyDescent="0.2">
      <c r="A11487" s="52"/>
    </row>
    <row r="11488" spans="1:1" x14ac:dyDescent="0.2">
      <c r="A11488" s="52"/>
    </row>
    <row r="11489" spans="1:1" x14ac:dyDescent="0.2">
      <c r="A11489" s="52"/>
    </row>
    <row r="11490" spans="1:1" x14ac:dyDescent="0.2">
      <c r="A11490" s="52"/>
    </row>
    <row r="11491" spans="1:1" x14ac:dyDescent="0.2">
      <c r="A11491" s="53"/>
    </row>
    <row r="11492" spans="1:1" x14ac:dyDescent="0.2">
      <c r="A11492" s="52"/>
    </row>
    <row r="11493" spans="1:1" x14ac:dyDescent="0.2">
      <c r="A11493" s="52"/>
    </row>
    <row r="11494" spans="1:1" x14ac:dyDescent="0.2">
      <c r="A11494" s="52"/>
    </row>
    <row r="11495" spans="1:1" x14ac:dyDescent="0.2">
      <c r="A11495" s="52"/>
    </row>
    <row r="11496" spans="1:1" x14ac:dyDescent="0.2">
      <c r="A11496" s="52"/>
    </row>
    <row r="11497" spans="1:1" x14ac:dyDescent="0.2">
      <c r="A11497" s="52"/>
    </row>
    <row r="11498" spans="1:1" x14ac:dyDescent="0.2">
      <c r="A11498" s="52"/>
    </row>
    <row r="11499" spans="1:1" x14ac:dyDescent="0.2">
      <c r="A11499" s="52"/>
    </row>
    <row r="11500" spans="1:1" x14ac:dyDescent="0.2">
      <c r="A11500" s="52"/>
    </row>
    <row r="11501" spans="1:1" x14ac:dyDescent="0.2">
      <c r="A11501" s="52"/>
    </row>
    <row r="11502" spans="1:1" x14ac:dyDescent="0.2">
      <c r="A11502" s="52"/>
    </row>
    <row r="11503" spans="1:1" x14ac:dyDescent="0.2">
      <c r="A11503" s="52"/>
    </row>
    <row r="11504" spans="1:1" x14ac:dyDescent="0.2">
      <c r="A11504" s="52"/>
    </row>
    <row r="11505" spans="1:1" x14ac:dyDescent="0.2">
      <c r="A11505" s="52"/>
    </row>
    <row r="11506" spans="1:1" x14ac:dyDescent="0.2">
      <c r="A11506" s="52"/>
    </row>
    <row r="11507" spans="1:1" x14ac:dyDescent="0.2">
      <c r="A11507" s="52"/>
    </row>
    <row r="11508" spans="1:1" x14ac:dyDescent="0.2">
      <c r="A11508" s="52"/>
    </row>
    <row r="11509" spans="1:1" x14ac:dyDescent="0.2">
      <c r="A11509" s="52"/>
    </row>
    <row r="11510" spans="1:1" x14ac:dyDescent="0.2">
      <c r="A11510" s="52"/>
    </row>
    <row r="11511" spans="1:1" x14ac:dyDescent="0.2">
      <c r="A11511" s="52"/>
    </row>
    <row r="11512" spans="1:1" x14ac:dyDescent="0.2">
      <c r="A11512" s="52"/>
    </row>
    <row r="11513" spans="1:1" x14ac:dyDescent="0.2">
      <c r="A11513" s="52"/>
    </row>
    <row r="11514" spans="1:1" x14ac:dyDescent="0.2">
      <c r="A11514" s="52"/>
    </row>
    <row r="11515" spans="1:1" x14ac:dyDescent="0.2">
      <c r="A11515" s="52"/>
    </row>
    <row r="11516" spans="1:1" x14ac:dyDescent="0.2">
      <c r="A11516" s="52"/>
    </row>
    <row r="11517" spans="1:1" x14ac:dyDescent="0.2">
      <c r="A11517" s="52"/>
    </row>
    <row r="11518" spans="1:1" x14ac:dyDescent="0.2">
      <c r="A11518" s="52"/>
    </row>
    <row r="11519" spans="1:1" x14ac:dyDescent="0.2">
      <c r="A11519" s="52"/>
    </row>
    <row r="11520" spans="1:1" x14ac:dyDescent="0.2">
      <c r="A11520" s="52"/>
    </row>
    <row r="11521" spans="1:1" x14ac:dyDescent="0.2">
      <c r="A11521" s="52"/>
    </row>
    <row r="11522" spans="1:1" x14ac:dyDescent="0.2">
      <c r="A11522" s="52"/>
    </row>
    <row r="11523" spans="1:1" x14ac:dyDescent="0.2">
      <c r="A11523" s="53"/>
    </row>
    <row r="11524" spans="1:1" x14ac:dyDescent="0.2">
      <c r="A11524" s="52"/>
    </row>
    <row r="11525" spans="1:1" x14ac:dyDescent="0.2">
      <c r="A11525" s="52"/>
    </row>
    <row r="11526" spans="1:1" x14ac:dyDescent="0.2">
      <c r="A11526" s="52"/>
    </row>
    <row r="11527" spans="1:1" x14ac:dyDescent="0.2">
      <c r="A11527" s="52"/>
    </row>
    <row r="11528" spans="1:1" x14ac:dyDescent="0.2">
      <c r="A11528" s="52"/>
    </row>
    <row r="11529" spans="1:1" x14ac:dyDescent="0.2">
      <c r="A11529" s="53"/>
    </row>
    <row r="11530" spans="1:1" x14ac:dyDescent="0.2">
      <c r="A11530" s="52"/>
    </row>
    <row r="11531" spans="1:1" x14ac:dyDescent="0.2">
      <c r="A11531" s="53"/>
    </row>
    <row r="11532" spans="1:1" x14ac:dyDescent="0.2">
      <c r="A11532" s="52"/>
    </row>
    <row r="11533" spans="1:1" x14ac:dyDescent="0.2">
      <c r="A11533" s="52"/>
    </row>
    <row r="11534" spans="1:1" x14ac:dyDescent="0.2">
      <c r="A11534" s="52"/>
    </row>
    <row r="11535" spans="1:1" x14ac:dyDescent="0.2">
      <c r="A11535" s="52"/>
    </row>
    <row r="11536" spans="1:1" x14ac:dyDescent="0.2">
      <c r="A11536" s="52"/>
    </row>
    <row r="11537" spans="1:1" x14ac:dyDescent="0.2">
      <c r="A11537" s="52"/>
    </row>
    <row r="11538" spans="1:1" x14ac:dyDescent="0.2">
      <c r="A11538" s="52"/>
    </row>
    <row r="11539" spans="1:1" x14ac:dyDescent="0.2">
      <c r="A11539" s="52"/>
    </row>
    <row r="11540" spans="1:1" x14ac:dyDescent="0.2">
      <c r="A11540" s="52"/>
    </row>
    <row r="11541" spans="1:1" x14ac:dyDescent="0.2">
      <c r="A11541" s="52"/>
    </row>
    <row r="11542" spans="1:1" x14ac:dyDescent="0.2">
      <c r="A11542" s="52"/>
    </row>
    <row r="11543" spans="1:1" x14ac:dyDescent="0.2">
      <c r="A11543" s="52"/>
    </row>
    <row r="11544" spans="1:1" x14ac:dyDescent="0.2">
      <c r="A11544" s="52"/>
    </row>
    <row r="11545" spans="1:1" x14ac:dyDescent="0.2">
      <c r="A11545" s="52"/>
    </row>
    <row r="11546" spans="1:1" x14ac:dyDescent="0.2">
      <c r="A11546" s="53"/>
    </row>
    <row r="11547" spans="1:1" x14ac:dyDescent="0.2">
      <c r="A11547" s="52"/>
    </row>
    <row r="11548" spans="1:1" x14ac:dyDescent="0.2">
      <c r="A11548" s="52"/>
    </row>
    <row r="11549" spans="1:1" x14ac:dyDescent="0.2">
      <c r="A11549" s="52"/>
    </row>
    <row r="11550" spans="1:1" x14ac:dyDescent="0.2">
      <c r="A11550" s="52"/>
    </row>
    <row r="11551" spans="1:1" x14ac:dyDescent="0.2">
      <c r="A11551" s="52"/>
    </row>
    <row r="11552" spans="1:1" x14ac:dyDescent="0.2">
      <c r="A11552" s="52"/>
    </row>
    <row r="11553" spans="1:1" x14ac:dyDescent="0.2">
      <c r="A11553" s="52"/>
    </row>
    <row r="11554" spans="1:1" x14ac:dyDescent="0.2">
      <c r="A11554" s="53"/>
    </row>
    <row r="11555" spans="1:1" x14ac:dyDescent="0.2">
      <c r="A11555" s="52"/>
    </row>
    <row r="11556" spans="1:1" x14ac:dyDescent="0.2">
      <c r="A11556" s="52"/>
    </row>
    <row r="11557" spans="1:1" x14ac:dyDescent="0.2">
      <c r="A11557" s="52"/>
    </row>
    <row r="11558" spans="1:1" x14ac:dyDescent="0.2">
      <c r="A11558" s="52"/>
    </row>
    <row r="11559" spans="1:1" x14ac:dyDescent="0.2">
      <c r="A11559" s="53"/>
    </row>
    <row r="11560" spans="1:1" x14ac:dyDescent="0.2">
      <c r="A11560" s="52"/>
    </row>
    <row r="11561" spans="1:1" x14ac:dyDescent="0.2">
      <c r="A11561" s="52"/>
    </row>
    <row r="11562" spans="1:1" x14ac:dyDescent="0.2">
      <c r="A11562" s="52"/>
    </row>
    <row r="11563" spans="1:1" x14ac:dyDescent="0.2">
      <c r="A11563" s="53"/>
    </row>
    <row r="11564" spans="1:1" x14ac:dyDescent="0.2">
      <c r="A11564" s="52"/>
    </row>
    <row r="11565" spans="1:1" x14ac:dyDescent="0.2">
      <c r="A11565" s="52"/>
    </row>
    <row r="11566" spans="1:1" x14ac:dyDescent="0.2">
      <c r="A11566" s="52"/>
    </row>
    <row r="11567" spans="1:1" x14ac:dyDescent="0.2">
      <c r="A11567" s="52"/>
    </row>
    <row r="11568" spans="1:1" x14ac:dyDescent="0.2">
      <c r="A11568" s="52"/>
    </row>
    <row r="11569" spans="1:1" x14ac:dyDescent="0.2">
      <c r="A11569" s="52"/>
    </row>
    <row r="11570" spans="1:1" x14ac:dyDescent="0.2">
      <c r="A11570" s="52"/>
    </row>
    <row r="11571" spans="1:1" x14ac:dyDescent="0.2">
      <c r="A11571" s="52"/>
    </row>
    <row r="11572" spans="1:1" x14ac:dyDescent="0.2">
      <c r="A11572" s="52"/>
    </row>
    <row r="11573" spans="1:1" x14ac:dyDescent="0.2">
      <c r="A11573" s="52"/>
    </row>
    <row r="11574" spans="1:1" x14ac:dyDescent="0.2">
      <c r="A11574" s="52"/>
    </row>
    <row r="11575" spans="1:1" x14ac:dyDescent="0.2">
      <c r="A11575" s="52"/>
    </row>
    <row r="11576" spans="1:1" x14ac:dyDescent="0.2">
      <c r="A11576" s="52"/>
    </row>
    <row r="11577" spans="1:1" x14ac:dyDescent="0.2">
      <c r="A11577" s="52"/>
    </row>
    <row r="11578" spans="1:1" x14ac:dyDescent="0.2">
      <c r="A11578" s="52"/>
    </row>
    <row r="11579" spans="1:1" x14ac:dyDescent="0.2">
      <c r="A11579" s="52"/>
    </row>
    <row r="11580" spans="1:1" x14ac:dyDescent="0.2">
      <c r="A11580" s="52"/>
    </row>
    <row r="11581" spans="1:1" x14ac:dyDescent="0.2">
      <c r="A11581" s="52"/>
    </row>
    <row r="11582" spans="1:1" x14ac:dyDescent="0.2">
      <c r="A11582" s="52"/>
    </row>
    <row r="11583" spans="1:1" x14ac:dyDescent="0.2">
      <c r="A11583" s="52"/>
    </row>
    <row r="11584" spans="1:1" x14ac:dyDescent="0.2">
      <c r="A11584" s="52"/>
    </row>
    <row r="11585" spans="1:1" x14ac:dyDescent="0.2">
      <c r="A11585" s="52"/>
    </row>
    <row r="11586" spans="1:1" x14ac:dyDescent="0.2">
      <c r="A11586" s="52"/>
    </row>
    <row r="11587" spans="1:1" x14ac:dyDescent="0.2">
      <c r="A11587" s="52"/>
    </row>
    <row r="11588" spans="1:1" x14ac:dyDescent="0.2">
      <c r="A11588" s="52"/>
    </row>
    <row r="11589" spans="1:1" x14ac:dyDescent="0.2">
      <c r="A11589" s="52"/>
    </row>
    <row r="11590" spans="1:1" x14ac:dyDescent="0.2">
      <c r="A11590" s="52"/>
    </row>
    <row r="11591" spans="1:1" x14ac:dyDescent="0.2">
      <c r="A11591" s="52"/>
    </row>
    <row r="11592" spans="1:1" x14ac:dyDescent="0.2">
      <c r="A11592" s="52"/>
    </row>
    <row r="11593" spans="1:1" x14ac:dyDescent="0.2">
      <c r="A11593" s="52"/>
    </row>
    <row r="11594" spans="1:1" x14ac:dyDescent="0.2">
      <c r="A11594" s="52"/>
    </row>
    <row r="11595" spans="1:1" x14ac:dyDescent="0.2">
      <c r="A11595" s="52"/>
    </row>
    <row r="11596" spans="1:1" x14ac:dyDescent="0.2">
      <c r="A11596" s="52"/>
    </row>
    <row r="11597" spans="1:1" x14ac:dyDescent="0.2">
      <c r="A11597" s="52"/>
    </row>
    <row r="11598" spans="1:1" x14ac:dyDescent="0.2">
      <c r="A11598" s="52"/>
    </row>
    <row r="11599" spans="1:1" x14ac:dyDescent="0.2">
      <c r="A11599" s="52"/>
    </row>
    <row r="11600" spans="1:1" x14ac:dyDescent="0.2">
      <c r="A11600" s="52"/>
    </row>
    <row r="11601" spans="1:1" x14ac:dyDescent="0.2">
      <c r="A11601" s="52"/>
    </row>
    <row r="11602" spans="1:1" x14ac:dyDescent="0.2">
      <c r="A11602" s="52"/>
    </row>
    <row r="11603" spans="1:1" x14ac:dyDescent="0.2">
      <c r="A11603" s="52"/>
    </row>
    <row r="11604" spans="1:1" x14ac:dyDescent="0.2">
      <c r="A11604" s="52"/>
    </row>
    <row r="11605" spans="1:1" x14ac:dyDescent="0.2">
      <c r="A11605" s="52"/>
    </row>
    <row r="11606" spans="1:1" x14ac:dyDescent="0.2">
      <c r="A11606" s="52"/>
    </row>
    <row r="11607" spans="1:1" x14ac:dyDescent="0.2">
      <c r="A11607" s="52"/>
    </row>
    <row r="11608" spans="1:1" x14ac:dyDescent="0.2">
      <c r="A11608" s="52"/>
    </row>
    <row r="11609" spans="1:1" x14ac:dyDescent="0.2">
      <c r="A11609" s="52"/>
    </row>
    <row r="11610" spans="1:1" x14ac:dyDescent="0.2">
      <c r="A11610" s="52"/>
    </row>
    <row r="11611" spans="1:1" x14ac:dyDescent="0.2">
      <c r="A11611" s="52"/>
    </row>
    <row r="11612" spans="1:1" x14ac:dyDescent="0.2">
      <c r="A11612" s="52"/>
    </row>
    <row r="11613" spans="1:1" x14ac:dyDescent="0.2">
      <c r="A11613" s="53"/>
    </row>
    <row r="11614" spans="1:1" x14ac:dyDescent="0.2">
      <c r="A11614" s="53"/>
    </row>
    <row r="11615" spans="1:1" x14ac:dyDescent="0.2">
      <c r="A11615" s="53"/>
    </row>
    <row r="11616" spans="1:1" x14ac:dyDescent="0.2">
      <c r="A11616" s="52"/>
    </row>
    <row r="11617" spans="1:1" x14ac:dyDescent="0.2">
      <c r="A11617" s="52"/>
    </row>
    <row r="11618" spans="1:1" x14ac:dyDescent="0.2">
      <c r="A11618" s="52"/>
    </row>
    <row r="11619" spans="1:1" x14ac:dyDescent="0.2">
      <c r="A11619" s="52"/>
    </row>
    <row r="11620" spans="1:1" x14ac:dyDescent="0.2">
      <c r="A11620" s="52"/>
    </row>
    <row r="11621" spans="1:1" x14ac:dyDescent="0.2">
      <c r="A11621" s="52"/>
    </row>
    <row r="11622" spans="1:1" x14ac:dyDescent="0.2">
      <c r="A11622" s="52"/>
    </row>
    <row r="11623" spans="1:1" x14ac:dyDescent="0.2">
      <c r="A11623" s="52"/>
    </row>
    <row r="11624" spans="1:1" x14ac:dyDescent="0.2">
      <c r="A11624" s="52"/>
    </row>
    <row r="11625" spans="1:1" x14ac:dyDescent="0.2">
      <c r="A11625" s="52"/>
    </row>
    <row r="11626" spans="1:1" x14ac:dyDescent="0.2">
      <c r="A11626" s="52"/>
    </row>
    <row r="11627" spans="1:1" x14ac:dyDescent="0.2">
      <c r="A11627" s="52"/>
    </row>
    <row r="11628" spans="1:1" x14ac:dyDescent="0.2">
      <c r="A11628" s="52"/>
    </row>
    <row r="11629" spans="1:1" x14ac:dyDescent="0.2">
      <c r="A11629" s="52"/>
    </row>
    <row r="11630" spans="1:1" x14ac:dyDescent="0.2">
      <c r="A11630" s="52"/>
    </row>
    <row r="11631" spans="1:1" x14ac:dyDescent="0.2">
      <c r="A11631" s="52"/>
    </row>
    <row r="11632" spans="1:1" x14ac:dyDescent="0.2">
      <c r="A11632" s="52"/>
    </row>
    <row r="11633" spans="1:1" x14ac:dyDescent="0.2">
      <c r="A11633" s="52"/>
    </row>
    <row r="11634" spans="1:1" x14ac:dyDescent="0.2">
      <c r="A11634" s="52"/>
    </row>
    <row r="11635" spans="1:1" x14ac:dyDescent="0.2">
      <c r="A11635" s="52"/>
    </row>
    <row r="11636" spans="1:1" x14ac:dyDescent="0.2">
      <c r="A11636" s="52"/>
    </row>
    <row r="11637" spans="1:1" x14ac:dyDescent="0.2">
      <c r="A11637" s="52"/>
    </row>
    <row r="11638" spans="1:1" x14ac:dyDescent="0.2">
      <c r="A11638" s="52"/>
    </row>
    <row r="11639" spans="1:1" x14ac:dyDescent="0.2">
      <c r="A11639" s="52"/>
    </row>
    <row r="11640" spans="1:1" x14ac:dyDescent="0.2">
      <c r="A11640" s="52"/>
    </row>
    <row r="11641" spans="1:1" x14ac:dyDescent="0.2">
      <c r="A11641" s="52"/>
    </row>
    <row r="11642" spans="1:1" x14ac:dyDescent="0.2">
      <c r="A11642" s="52"/>
    </row>
  </sheetData>
  <autoFilter ref="A1:A103" xr:uid="{7E5599F4-BF9F-754E-A2FC-01B9C277C1DD}">
    <sortState xmlns:xlrd2="http://schemas.microsoft.com/office/spreadsheetml/2017/richdata2" ref="A2:Q11642">
      <sortCondition sortBy="cellColor" ref="A1:A11642" dxfId="167"/>
    </sortState>
  </autoFilter>
  <sortState xmlns:xlrd2="http://schemas.microsoft.com/office/spreadsheetml/2017/richdata2" ref="A2:Q273">
    <sortCondition descending="1" ref="E1:E273"/>
  </sortState>
  <conditionalFormatting sqref="A1:A1048576">
    <cfRule type="duplicateValues" dxfId="143" priority="1"/>
  </conditionalFormatting>
  <conditionalFormatting sqref="A81:A3472">
    <cfRule type="duplicateValues" dxfId="142" priority="55"/>
  </conditionalFormatting>
  <conditionalFormatting sqref="A3474:A3477">
    <cfRule type="duplicateValues" dxfId="141" priority="2"/>
  </conditionalFormatting>
  <conditionalFormatting sqref="A11643:A1048576 A1">
    <cfRule type="duplicateValues" dxfId="140" priority="12"/>
  </conditionalFormatting>
  <conditionalFormatting sqref="A11643:A1048576 A1:A19">
    <cfRule type="duplicateValues" dxfId="139" priority="11"/>
  </conditionalFormatting>
  <conditionalFormatting sqref="A11643:A1048576 A1:A42">
    <cfRule type="duplicateValues" dxfId="138" priority="10"/>
  </conditionalFormatting>
  <conditionalFormatting sqref="A11643:A1048576 A1:A80">
    <cfRule type="duplicateValues" dxfId="137" priority="4"/>
    <cfRule type="duplicateValues" dxfId="136" priority="7"/>
  </conditionalFormatting>
  <conditionalFormatting sqref="A11643:A1048576">
    <cfRule type="duplicateValues" dxfId="135" priority="15"/>
    <cfRule type="duplicateValues" dxfId="134" priority="16"/>
    <cfRule type="duplicateValues" dxfId="133" priority="17"/>
    <cfRule type="duplicateValues" dxfId="132" priority="18"/>
  </conditionalFormatting>
  <conditionalFormatting sqref="S228:S262">
    <cfRule type="duplicateValues" dxfId="131" priority="21"/>
    <cfRule type="duplicateValues" dxfId="130" priority="22"/>
  </conditionalFormatting>
  <conditionalFormatting sqref="S263:S289">
    <cfRule type="duplicateValues" dxfId="129" priority="19"/>
    <cfRule type="duplicateValues" dxfId="128" priority="2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04278-C553-DD46-87E2-45F0DB1BE37E}">
  <dimension ref="A1:Y3865"/>
  <sheetViews>
    <sheetView workbookViewId="0">
      <pane ySplit="1" topLeftCell="A2" activePane="bottomLeft" state="frozen"/>
      <selection pane="bottomLeft" activeCell="R4" sqref="R4"/>
    </sheetView>
  </sheetViews>
  <sheetFormatPr baseColWidth="10" defaultRowHeight="16" x14ac:dyDescent="0.2"/>
  <cols>
    <col min="15" max="15" width="12.6640625" customWidth="1"/>
  </cols>
  <sheetData>
    <row r="1" spans="1:2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14864</v>
      </c>
      <c r="N1" s="1" t="s">
        <v>14865</v>
      </c>
      <c r="O1" s="1" t="s">
        <v>14866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 t="s">
        <v>26</v>
      </c>
      <c r="C2" t="s">
        <v>14163</v>
      </c>
      <c r="D2" t="s">
        <v>27</v>
      </c>
      <c r="E2" t="s">
        <v>26</v>
      </c>
      <c r="F2" t="s">
        <v>28</v>
      </c>
      <c r="G2" t="s">
        <v>26</v>
      </c>
      <c r="H2" t="str">
        <f>"Y62E10A.13"</f>
        <v>Y62E10A.13</v>
      </c>
      <c r="I2" t="s">
        <v>27</v>
      </c>
      <c r="J2" t="s">
        <v>29</v>
      </c>
      <c r="K2" t="s">
        <v>29</v>
      </c>
      <c r="L2" t="s">
        <v>29</v>
      </c>
      <c r="M2">
        <v>14.1484987859003</v>
      </c>
      <c r="N2">
        <v>16.062091862567101</v>
      </c>
      <c r="O2">
        <v>15.267704565716199</v>
      </c>
      <c r="P2" t="s">
        <v>29</v>
      </c>
      <c r="Q2" t="s">
        <v>29</v>
      </c>
      <c r="R2" t="s">
        <v>29</v>
      </c>
      <c r="S2">
        <v>13.4076224643969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</row>
    <row r="3" spans="1:25" x14ac:dyDescent="0.2">
      <c r="A3" t="s">
        <v>30</v>
      </c>
      <c r="B3" t="s">
        <v>31</v>
      </c>
      <c r="C3" t="s">
        <v>32</v>
      </c>
      <c r="D3" t="s">
        <v>33</v>
      </c>
      <c r="E3" t="s">
        <v>31</v>
      </c>
      <c r="F3" t="s">
        <v>28</v>
      </c>
      <c r="G3" t="s">
        <v>31</v>
      </c>
      <c r="H3" t="str">
        <f>"pezo-1"</f>
        <v>pezo-1</v>
      </c>
      <c r="I3" t="s">
        <v>33</v>
      </c>
      <c r="J3">
        <v>13.282996593715801</v>
      </c>
      <c r="K3">
        <v>12.865895743721699</v>
      </c>
      <c r="L3">
        <v>12.4526999150845</v>
      </c>
      <c r="M3" t="s">
        <v>29</v>
      </c>
      <c r="N3">
        <v>13.6833771016905</v>
      </c>
      <c r="O3">
        <v>12.753964733747001</v>
      </c>
      <c r="P3">
        <v>0.35147350021138402</v>
      </c>
      <c r="Q3">
        <v>-0.390540515060805</v>
      </c>
      <c r="R3">
        <v>1.0934875154835699</v>
      </c>
      <c r="S3">
        <v>12.930511805078099</v>
      </c>
      <c r="T3">
        <v>0.99983996284293097</v>
      </c>
      <c r="U3">
        <v>-6.5350601427070503</v>
      </c>
      <c r="V3">
        <v>0.33149373893702899</v>
      </c>
      <c r="W3">
        <v>0.50330347689202704</v>
      </c>
      <c r="X3">
        <v>0</v>
      </c>
      <c r="Y3">
        <v>0</v>
      </c>
    </row>
    <row r="4" spans="1:25" x14ac:dyDescent="0.2">
      <c r="A4" t="s">
        <v>34</v>
      </c>
      <c r="B4" t="s">
        <v>35</v>
      </c>
      <c r="C4" t="s">
        <v>36</v>
      </c>
      <c r="D4" t="s">
        <v>37</v>
      </c>
      <c r="E4" t="s">
        <v>35</v>
      </c>
      <c r="F4" t="s">
        <v>28</v>
      </c>
      <c r="G4" t="s">
        <v>35</v>
      </c>
      <c r="H4" t="str">
        <f>"ath-1"</f>
        <v>ath-1</v>
      </c>
      <c r="I4" t="s">
        <v>37</v>
      </c>
      <c r="J4">
        <v>12.7095298953362</v>
      </c>
      <c r="K4">
        <v>12.7652658658606</v>
      </c>
      <c r="L4">
        <v>12.939357715113999</v>
      </c>
      <c r="M4" t="s">
        <v>29</v>
      </c>
      <c r="N4">
        <v>13.0621802683154</v>
      </c>
      <c r="O4" t="s">
        <v>29</v>
      </c>
      <c r="P4">
        <v>0.25746244287840397</v>
      </c>
      <c r="Q4">
        <v>-0.65428030098545198</v>
      </c>
      <c r="R4">
        <v>1.1692051867422599</v>
      </c>
      <c r="S4">
        <v>12.551815261980799</v>
      </c>
      <c r="T4">
        <v>0.60225882961728905</v>
      </c>
      <c r="U4">
        <v>-6.6237795424730397</v>
      </c>
      <c r="V4">
        <v>0.55605985188941398</v>
      </c>
      <c r="W4">
        <v>0.69880954521027905</v>
      </c>
      <c r="X4">
        <v>0</v>
      </c>
      <c r="Y4">
        <v>0</v>
      </c>
    </row>
    <row r="5" spans="1:25" x14ac:dyDescent="0.2">
      <c r="A5" t="s">
        <v>38</v>
      </c>
      <c r="B5" t="s">
        <v>39</v>
      </c>
      <c r="C5" t="s">
        <v>40</v>
      </c>
      <c r="D5" t="s">
        <v>41</v>
      </c>
      <c r="E5" t="s">
        <v>39</v>
      </c>
      <c r="F5" t="s">
        <v>28</v>
      </c>
      <c r="G5" t="s">
        <v>39</v>
      </c>
      <c r="H5" t="str">
        <f>"dip-2"</f>
        <v>dip-2</v>
      </c>
      <c r="I5" t="s">
        <v>41</v>
      </c>
      <c r="J5">
        <v>13.1984248096933</v>
      </c>
      <c r="K5">
        <v>13.4672348236471</v>
      </c>
      <c r="L5">
        <v>12.804513000497799</v>
      </c>
      <c r="M5" t="s">
        <v>29</v>
      </c>
      <c r="N5" t="s">
        <v>29</v>
      </c>
      <c r="O5">
        <v>13.2167533281053</v>
      </c>
      <c r="P5">
        <v>6.0029116825909098E-2</v>
      </c>
      <c r="Q5">
        <v>-0.70154317966498203</v>
      </c>
      <c r="R5">
        <v>0.82160141331680003</v>
      </c>
      <c r="S5">
        <v>13.392078524361899</v>
      </c>
      <c r="T5">
        <v>0.16718616900827701</v>
      </c>
      <c r="U5">
        <v>-6.7980348738552703</v>
      </c>
      <c r="V5">
        <v>0.86933202348555405</v>
      </c>
      <c r="W5">
        <v>0.91891014103727697</v>
      </c>
      <c r="X5">
        <v>0</v>
      </c>
      <c r="Y5">
        <v>0</v>
      </c>
    </row>
    <row r="6" spans="1:25" x14ac:dyDescent="0.2">
      <c r="A6" t="s">
        <v>42</v>
      </c>
      <c r="B6" t="s">
        <v>43</v>
      </c>
      <c r="C6" t="s">
        <v>44</v>
      </c>
      <c r="D6" t="s">
        <v>45</v>
      </c>
      <c r="E6" t="s">
        <v>43</v>
      </c>
      <c r="F6" t="s">
        <v>28</v>
      </c>
      <c r="G6" t="s">
        <v>43</v>
      </c>
      <c r="H6" t="str">
        <f>"kdin-1"</f>
        <v>kdin-1</v>
      </c>
      <c r="I6" t="s">
        <v>45</v>
      </c>
      <c r="J6">
        <v>11.9682145512107</v>
      </c>
      <c r="K6">
        <v>11.9708624839687</v>
      </c>
      <c r="L6">
        <v>12.199884482952401</v>
      </c>
      <c r="M6" t="s">
        <v>29</v>
      </c>
      <c r="N6">
        <v>12.548954812696699</v>
      </c>
      <c r="O6">
        <v>13.1663637889431</v>
      </c>
      <c r="P6">
        <v>0.81133879477597404</v>
      </c>
      <c r="Q6">
        <v>0.11782785635606199</v>
      </c>
      <c r="R6">
        <v>1.5048497331958901</v>
      </c>
      <c r="S6">
        <v>12.4332348517468</v>
      </c>
      <c r="T6">
        <v>2.4694426257738802</v>
      </c>
      <c r="U6">
        <v>-4.3120468471740097</v>
      </c>
      <c r="V6">
        <v>2.4500096400557499E-2</v>
      </c>
      <c r="W6">
        <v>8.3955562898189506E-2</v>
      </c>
      <c r="X6">
        <v>0</v>
      </c>
      <c r="Y6">
        <v>0</v>
      </c>
    </row>
    <row r="7" spans="1:25" x14ac:dyDescent="0.2">
      <c r="A7" t="s">
        <v>46</v>
      </c>
      <c r="B7" t="s">
        <v>47</v>
      </c>
      <c r="C7" t="s">
        <v>48</v>
      </c>
      <c r="D7" t="s">
        <v>49</v>
      </c>
      <c r="E7" t="s">
        <v>47</v>
      </c>
      <c r="F7" t="s">
        <v>28</v>
      </c>
      <c r="G7" t="s">
        <v>47</v>
      </c>
      <c r="H7" t="str">
        <f>"ugt-21"</f>
        <v>ugt-21</v>
      </c>
      <c r="I7" t="s">
        <v>49</v>
      </c>
      <c r="J7">
        <v>12.4211393675922</v>
      </c>
      <c r="K7">
        <v>12.1908356078187</v>
      </c>
      <c r="L7">
        <v>12.4189816583633</v>
      </c>
      <c r="M7" t="s">
        <v>29</v>
      </c>
      <c r="N7">
        <v>11.9571641699621</v>
      </c>
      <c r="O7">
        <v>12.6566465973393</v>
      </c>
      <c r="P7">
        <v>-3.6746827607368401E-2</v>
      </c>
      <c r="Q7">
        <v>-0.52224618777569798</v>
      </c>
      <c r="R7">
        <v>0.44875253256096098</v>
      </c>
      <c r="S7">
        <v>12.2130979798164</v>
      </c>
      <c r="T7">
        <v>-0.15976483793386001</v>
      </c>
      <c r="U7">
        <v>-7.0320679936595898</v>
      </c>
      <c r="V7">
        <v>0.87496080901986095</v>
      </c>
      <c r="W7">
        <v>0.92221369963574096</v>
      </c>
      <c r="X7">
        <v>0</v>
      </c>
      <c r="Y7">
        <v>0</v>
      </c>
    </row>
    <row r="8" spans="1:25" x14ac:dyDescent="0.2">
      <c r="A8" t="s">
        <v>50</v>
      </c>
      <c r="B8" t="s">
        <v>51</v>
      </c>
      <c r="C8" t="s">
        <v>14184</v>
      </c>
      <c r="D8" t="s">
        <v>52</v>
      </c>
      <c r="E8" t="s">
        <v>51</v>
      </c>
      <c r="F8" t="s">
        <v>28</v>
      </c>
      <c r="G8" t="s">
        <v>51</v>
      </c>
      <c r="H8" t="str">
        <f>"F10C1.9"</f>
        <v>F10C1.9</v>
      </c>
      <c r="I8" t="s">
        <v>52</v>
      </c>
      <c r="J8" t="s">
        <v>29</v>
      </c>
      <c r="K8" t="s">
        <v>29</v>
      </c>
      <c r="L8">
        <v>10.503052522668201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>
        <v>11.696607796670699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</row>
    <row r="9" spans="1:25" x14ac:dyDescent="0.2">
      <c r="A9" t="s">
        <v>53</v>
      </c>
      <c r="B9" t="s">
        <v>54</v>
      </c>
      <c r="C9" t="s">
        <v>14185</v>
      </c>
      <c r="D9" t="s">
        <v>55</v>
      </c>
      <c r="E9" t="s">
        <v>54</v>
      </c>
      <c r="F9" t="s">
        <v>28</v>
      </c>
      <c r="G9" t="s">
        <v>54</v>
      </c>
      <c r="H9" t="str">
        <f>"Y105E8A.25"</f>
        <v>Y105E8A.25</v>
      </c>
      <c r="I9" t="s">
        <v>55</v>
      </c>
      <c r="J9">
        <v>11.2682112146897</v>
      </c>
      <c r="K9">
        <v>11.446953549600501</v>
      </c>
      <c r="L9">
        <v>11.340464839810901</v>
      </c>
      <c r="M9" t="s">
        <v>29</v>
      </c>
      <c r="N9" t="s">
        <v>29</v>
      </c>
      <c r="O9">
        <v>11.4352456251364</v>
      </c>
      <c r="P9">
        <v>8.3369090436015397E-2</v>
      </c>
      <c r="Q9">
        <v>-0.62046436610147504</v>
      </c>
      <c r="R9">
        <v>0.787202546973506</v>
      </c>
      <c r="S9">
        <v>11.7704436333134</v>
      </c>
      <c r="T9">
        <v>0.25123762893596502</v>
      </c>
      <c r="U9">
        <v>-6.7796189400720399</v>
      </c>
      <c r="V9">
        <v>0.80484947675307095</v>
      </c>
      <c r="W9">
        <v>0.87912950629773901</v>
      </c>
      <c r="X9">
        <v>0</v>
      </c>
      <c r="Y9">
        <v>0</v>
      </c>
    </row>
    <row r="10" spans="1:25" x14ac:dyDescent="0.2">
      <c r="A10" t="s">
        <v>56</v>
      </c>
      <c r="B10" t="s">
        <v>57</v>
      </c>
      <c r="C10" t="s">
        <v>58</v>
      </c>
      <c r="D10" t="s">
        <v>59</v>
      </c>
      <c r="E10" t="s">
        <v>57</v>
      </c>
      <c r="F10" t="s">
        <v>28</v>
      </c>
      <c r="G10" t="s">
        <v>57</v>
      </c>
      <c r="H10" t="str">
        <f>"pgp-2"</f>
        <v>pgp-2</v>
      </c>
      <c r="I10" t="s">
        <v>59</v>
      </c>
      <c r="J10">
        <v>13.1654671292203</v>
      </c>
      <c r="K10">
        <v>13.4306250780376</v>
      </c>
      <c r="L10">
        <v>12.560630204745699</v>
      </c>
      <c r="M10" t="s">
        <v>29</v>
      </c>
      <c r="N10">
        <v>13.3527430868157</v>
      </c>
      <c r="O10">
        <v>12.7527418414215</v>
      </c>
      <c r="P10">
        <v>5.0166011739705097E-4</v>
      </c>
      <c r="Q10">
        <v>-0.58339121131301896</v>
      </c>
      <c r="R10">
        <v>0.58439453154781296</v>
      </c>
      <c r="S10">
        <v>13.0842276840166</v>
      </c>
      <c r="T10">
        <v>1.81353697890933E-3</v>
      </c>
      <c r="U10">
        <v>-7.04547326850407</v>
      </c>
      <c r="V10">
        <v>0.99857424924395799</v>
      </c>
      <c r="W10">
        <v>0.99951436505146096</v>
      </c>
      <c r="X10">
        <v>0</v>
      </c>
      <c r="Y10">
        <v>0</v>
      </c>
    </row>
    <row r="11" spans="1:25" x14ac:dyDescent="0.2">
      <c r="A11" t="s">
        <v>60</v>
      </c>
      <c r="B11" t="s">
        <v>61</v>
      </c>
      <c r="C11" t="s">
        <v>62</v>
      </c>
      <c r="D11" t="s">
        <v>63</v>
      </c>
      <c r="E11" t="s">
        <v>61</v>
      </c>
      <c r="F11" t="s">
        <v>28</v>
      </c>
      <c r="G11" t="s">
        <v>61</v>
      </c>
      <c r="H11" t="str">
        <f>"B0432.7"</f>
        <v>B0432.7</v>
      </c>
      <c r="I11" t="s">
        <v>63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>
        <v>11.517497028117401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</row>
    <row r="12" spans="1:25" x14ac:dyDescent="0.2">
      <c r="A12" t="s">
        <v>64</v>
      </c>
      <c r="B12" t="s">
        <v>65</v>
      </c>
      <c r="C12" t="s">
        <v>14186</v>
      </c>
      <c r="D12" t="s">
        <v>66</v>
      </c>
      <c r="E12" t="s">
        <v>65</v>
      </c>
      <c r="F12" t="s">
        <v>28</v>
      </c>
      <c r="G12" t="s">
        <v>65</v>
      </c>
      <c r="H12" t="str">
        <f>"F22G12.5"</f>
        <v>F22G12.5</v>
      </c>
      <c r="I12" t="s">
        <v>66</v>
      </c>
      <c r="J12">
        <v>12.704864816668101</v>
      </c>
      <c r="K12">
        <v>12.507767575927</v>
      </c>
      <c r="L12">
        <v>12.482655631378501</v>
      </c>
      <c r="M12" t="s">
        <v>29</v>
      </c>
      <c r="N12">
        <v>13.4713147252574</v>
      </c>
      <c r="O12">
        <v>12.6981965385223</v>
      </c>
      <c r="P12">
        <v>0.51965962389868303</v>
      </c>
      <c r="Q12">
        <v>1.7033010082053698E-2</v>
      </c>
      <c r="R12">
        <v>1.0222862377153099</v>
      </c>
      <c r="S12">
        <v>12.5139599658243</v>
      </c>
      <c r="T12">
        <v>2.1823454993259199</v>
      </c>
      <c r="U12">
        <v>-4.8421999458182698</v>
      </c>
      <c r="V12">
        <v>4.3496742665704899E-2</v>
      </c>
      <c r="W12">
        <v>0.123492197144347</v>
      </c>
      <c r="X12">
        <v>0</v>
      </c>
      <c r="Y12">
        <v>0</v>
      </c>
    </row>
    <row r="13" spans="1:25" x14ac:dyDescent="0.2">
      <c r="A13" t="s">
        <v>67</v>
      </c>
      <c r="B13" t="s">
        <v>68</v>
      </c>
      <c r="C13" t="s">
        <v>14187</v>
      </c>
      <c r="D13" t="s">
        <v>69</v>
      </c>
      <c r="E13" t="s">
        <v>68</v>
      </c>
      <c r="F13" t="s">
        <v>28</v>
      </c>
      <c r="G13" t="s">
        <v>68</v>
      </c>
      <c r="H13" t="str">
        <f>"Y50D4B.1"</f>
        <v>Y50D4B.1</v>
      </c>
      <c r="I13" t="s">
        <v>69</v>
      </c>
      <c r="J13" t="s">
        <v>29</v>
      </c>
      <c r="K13">
        <v>11.912920480102001</v>
      </c>
      <c r="L13">
        <v>11.681123694574101</v>
      </c>
      <c r="M13" t="s">
        <v>29</v>
      </c>
      <c r="N13">
        <v>11.7450108021195</v>
      </c>
      <c r="O13">
        <v>13.722912357719601</v>
      </c>
      <c r="P13">
        <v>0.93693949258152598</v>
      </c>
      <c r="Q13">
        <v>-0.64455049233793105</v>
      </c>
      <c r="R13">
        <v>2.5184294775009799</v>
      </c>
      <c r="S13">
        <v>12.122025394299101</v>
      </c>
      <c r="T13">
        <v>1.2635333374017399</v>
      </c>
      <c r="U13">
        <v>-6.1534310491617497</v>
      </c>
      <c r="V13">
        <v>0.225816549417624</v>
      </c>
      <c r="W13">
        <v>0.39005186296966099</v>
      </c>
      <c r="X13">
        <v>0</v>
      </c>
      <c r="Y13">
        <v>0</v>
      </c>
    </row>
    <row r="14" spans="1:25" x14ac:dyDescent="0.2">
      <c r="A14" t="s">
        <v>70</v>
      </c>
      <c r="B14" t="s">
        <v>71</v>
      </c>
      <c r="C14" t="s">
        <v>72</v>
      </c>
      <c r="D14" t="s">
        <v>73</v>
      </c>
      <c r="E14" t="s">
        <v>71</v>
      </c>
      <c r="F14" t="s">
        <v>28</v>
      </c>
      <c r="G14" t="s">
        <v>71</v>
      </c>
      <c r="H14" t="str">
        <f>"fbxa-72"</f>
        <v>fbxa-72</v>
      </c>
      <c r="I14" t="s">
        <v>73</v>
      </c>
      <c r="J14">
        <v>14.859290241560799</v>
      </c>
      <c r="K14">
        <v>15.0396959144314</v>
      </c>
      <c r="L14">
        <v>14.5074316901436</v>
      </c>
      <c r="M14">
        <v>17.593787572701899</v>
      </c>
      <c r="N14">
        <v>16.5305249502448</v>
      </c>
      <c r="O14">
        <v>14.605044779032101</v>
      </c>
      <c r="P14">
        <v>1.4409798186143501</v>
      </c>
      <c r="Q14">
        <v>0.35634174945403901</v>
      </c>
      <c r="R14">
        <v>2.52561788777466</v>
      </c>
      <c r="S14">
        <v>14.298591870548201</v>
      </c>
      <c r="T14">
        <v>2.7923224506534399</v>
      </c>
      <c r="U14">
        <v>-3.76401973327873</v>
      </c>
      <c r="V14">
        <v>1.20798040744006E-2</v>
      </c>
      <c r="W14">
        <v>5.1742997975666699E-2</v>
      </c>
      <c r="X14">
        <v>1</v>
      </c>
      <c r="Y14">
        <v>1</v>
      </c>
    </row>
    <row r="15" spans="1:25" x14ac:dyDescent="0.2">
      <c r="A15" t="s">
        <v>74</v>
      </c>
      <c r="B15" t="s">
        <v>75</v>
      </c>
      <c r="C15" t="s">
        <v>76</v>
      </c>
      <c r="D15" t="s">
        <v>77</v>
      </c>
      <c r="E15" t="s">
        <v>75</v>
      </c>
      <c r="F15" t="s">
        <v>28</v>
      </c>
      <c r="G15" t="s">
        <v>75</v>
      </c>
      <c r="H15" t="str">
        <f>"itsn-1"</f>
        <v>itsn-1</v>
      </c>
      <c r="I15" t="s">
        <v>77</v>
      </c>
      <c r="J15">
        <v>10.436166300737099</v>
      </c>
      <c r="K15">
        <v>12.007443924763299</v>
      </c>
      <c r="L15">
        <v>10.395857267852501</v>
      </c>
      <c r="M15" t="s">
        <v>29</v>
      </c>
      <c r="N15">
        <v>13.7776909285278</v>
      </c>
      <c r="O15">
        <v>12.5150114868418</v>
      </c>
      <c r="P15">
        <v>2.1998620432338498</v>
      </c>
      <c r="Q15">
        <v>1.1977362593001699</v>
      </c>
      <c r="R15">
        <v>3.2019878271675202</v>
      </c>
      <c r="S15">
        <v>12.8145163722891</v>
      </c>
      <c r="T15">
        <v>4.6336499646471001</v>
      </c>
      <c r="U15">
        <v>0.20857690243150501</v>
      </c>
      <c r="V15">
        <v>2.4108044352889101E-4</v>
      </c>
      <c r="W15">
        <v>3.1838418862921701E-3</v>
      </c>
      <c r="X15">
        <v>1</v>
      </c>
      <c r="Y15">
        <v>1</v>
      </c>
    </row>
    <row r="16" spans="1:25" x14ac:dyDescent="0.2">
      <c r="A16" t="s">
        <v>78</v>
      </c>
      <c r="B16" t="s">
        <v>79</v>
      </c>
      <c r="C16" t="s">
        <v>80</v>
      </c>
      <c r="D16" t="s">
        <v>81</v>
      </c>
      <c r="E16" t="s">
        <v>79</v>
      </c>
      <c r="F16" t="s">
        <v>28</v>
      </c>
      <c r="G16" t="s">
        <v>79</v>
      </c>
      <c r="H16" t="str">
        <f>"imp-3"</f>
        <v>imp-3</v>
      </c>
      <c r="I16" t="s">
        <v>81</v>
      </c>
      <c r="J16">
        <v>13.162868108464201</v>
      </c>
      <c r="K16">
        <v>12.481849879755201</v>
      </c>
      <c r="L16">
        <v>12.4149036675209</v>
      </c>
      <c r="M16" t="s">
        <v>29</v>
      </c>
      <c r="N16">
        <v>10.301387641233299</v>
      </c>
      <c r="O16">
        <v>11.437350907312</v>
      </c>
      <c r="P16">
        <v>-1.81717127764077</v>
      </c>
      <c r="Q16">
        <v>-2.6681123137201199</v>
      </c>
      <c r="R16">
        <v>-0.96623024156141402</v>
      </c>
      <c r="S16">
        <v>12.4496958019367</v>
      </c>
      <c r="T16">
        <v>-4.5076107829322902</v>
      </c>
      <c r="U16">
        <v>-5.9743360536846701E-2</v>
      </c>
      <c r="V16">
        <v>3.1514547168776103E-4</v>
      </c>
      <c r="W16">
        <v>3.8536668259909999E-3</v>
      </c>
      <c r="X16">
        <v>-1</v>
      </c>
      <c r="Y16">
        <v>-1</v>
      </c>
    </row>
    <row r="17" spans="1:25" x14ac:dyDescent="0.2">
      <c r="A17" t="s">
        <v>82</v>
      </c>
      <c r="B17" t="s">
        <v>83</v>
      </c>
      <c r="C17" t="s">
        <v>84</v>
      </c>
      <c r="D17" t="s">
        <v>85</v>
      </c>
      <c r="E17" t="s">
        <v>83</v>
      </c>
      <c r="F17" t="s">
        <v>28</v>
      </c>
      <c r="G17" t="s">
        <v>83</v>
      </c>
      <c r="H17" t="str">
        <f>"picd-1"</f>
        <v>picd-1</v>
      </c>
      <c r="I17" t="s">
        <v>85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>
        <v>8.6521068488013899</v>
      </c>
      <c r="P17" t="s">
        <v>29</v>
      </c>
      <c r="Q17" t="s">
        <v>29</v>
      </c>
      <c r="R17" t="s">
        <v>29</v>
      </c>
      <c r="S17">
        <v>9.2892493477924205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</row>
    <row r="18" spans="1:25" x14ac:dyDescent="0.2">
      <c r="A18" t="s">
        <v>86</v>
      </c>
      <c r="B18" t="s">
        <v>87</v>
      </c>
      <c r="C18" t="s">
        <v>88</v>
      </c>
      <c r="D18" t="s">
        <v>89</v>
      </c>
      <c r="E18" t="s">
        <v>87</v>
      </c>
      <c r="F18" t="s">
        <v>28</v>
      </c>
      <c r="G18" t="s">
        <v>87</v>
      </c>
      <c r="H18" t="str">
        <f>"prdx-2"</f>
        <v>prdx-2</v>
      </c>
      <c r="I18" t="s">
        <v>89</v>
      </c>
      <c r="J18">
        <v>15.0014972762035</v>
      </c>
      <c r="K18">
        <v>14.877990213328401</v>
      </c>
      <c r="L18">
        <v>15.334473720984899</v>
      </c>
      <c r="M18">
        <v>17.576467686931402</v>
      </c>
      <c r="N18">
        <v>17.971505202371802</v>
      </c>
      <c r="O18">
        <v>18.362825243013202</v>
      </c>
      <c r="P18">
        <v>2.8989456405998402</v>
      </c>
      <c r="Q18">
        <v>2.33966299726645</v>
      </c>
      <c r="R18">
        <v>3.4582282839332299</v>
      </c>
      <c r="S18">
        <v>16.246699711095602</v>
      </c>
      <c r="T18">
        <v>10.8943479826005</v>
      </c>
      <c r="U18">
        <v>11.678482866628899</v>
      </c>
      <c r="V18" s="2">
        <v>2.5069153227277001E-9</v>
      </c>
      <c r="W18" s="2">
        <v>3.8883576084623902E-7</v>
      </c>
      <c r="X18">
        <v>1</v>
      </c>
      <c r="Y18">
        <v>1</v>
      </c>
    </row>
    <row r="19" spans="1:25" x14ac:dyDescent="0.2">
      <c r="A19" t="s">
        <v>90</v>
      </c>
      <c r="B19" t="s">
        <v>91</v>
      </c>
      <c r="C19" t="s">
        <v>92</v>
      </c>
      <c r="D19" t="s">
        <v>93</v>
      </c>
      <c r="E19" t="s">
        <v>91</v>
      </c>
      <c r="F19" t="s">
        <v>28</v>
      </c>
      <c r="G19" t="s">
        <v>91</v>
      </c>
      <c r="H19" t="str">
        <f>"etr-1"</f>
        <v>etr-1</v>
      </c>
      <c r="I19" t="s">
        <v>93</v>
      </c>
      <c r="J19">
        <v>12.823249130698599</v>
      </c>
      <c r="K19">
        <v>12.8472568723456</v>
      </c>
      <c r="L19">
        <v>13.3802198277168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>
        <v>13.1539979650974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</row>
    <row r="20" spans="1:25" x14ac:dyDescent="0.2">
      <c r="A20" t="s">
        <v>94</v>
      </c>
      <c r="B20" t="s">
        <v>95</v>
      </c>
      <c r="C20" t="s">
        <v>14188</v>
      </c>
      <c r="D20" t="s">
        <v>96</v>
      </c>
      <c r="E20" t="s">
        <v>95</v>
      </c>
      <c r="F20" t="s">
        <v>28</v>
      </c>
      <c r="G20" t="s">
        <v>95</v>
      </c>
      <c r="H20" t="str">
        <f>"Y66D12A.16"</f>
        <v>Y66D12A.16</v>
      </c>
      <c r="I20" t="s">
        <v>96</v>
      </c>
      <c r="J20">
        <v>12.3172696741407</v>
      </c>
      <c r="K20">
        <v>12.865930687648101</v>
      </c>
      <c r="L20">
        <v>12.5186439321878</v>
      </c>
      <c r="M20" t="s">
        <v>29</v>
      </c>
      <c r="N20">
        <v>12.5620607500829</v>
      </c>
      <c r="O20">
        <v>12.2301702663278</v>
      </c>
      <c r="P20">
        <v>-0.171165923120222</v>
      </c>
      <c r="Q20">
        <v>-0.95055483119616602</v>
      </c>
      <c r="R20">
        <v>0.60822298495572202</v>
      </c>
      <c r="S20">
        <v>13.273188403172901</v>
      </c>
      <c r="T20">
        <v>-0.46356762630968701</v>
      </c>
      <c r="U20">
        <v>-6.9332323620369101</v>
      </c>
      <c r="V20">
        <v>0.64887376761228699</v>
      </c>
      <c r="W20">
        <v>0.76670814276018995</v>
      </c>
      <c r="X20">
        <v>0</v>
      </c>
      <c r="Y20">
        <v>0</v>
      </c>
    </row>
    <row r="21" spans="1:25" x14ac:dyDescent="0.2">
      <c r="A21" t="s">
        <v>97</v>
      </c>
      <c r="B21" t="s">
        <v>98</v>
      </c>
      <c r="C21" t="s">
        <v>99</v>
      </c>
      <c r="D21" t="s">
        <v>100</v>
      </c>
      <c r="E21" t="s">
        <v>98</v>
      </c>
      <c r="F21" t="s">
        <v>28</v>
      </c>
      <c r="G21" t="s">
        <v>98</v>
      </c>
      <c r="H21" t="str">
        <f>"mlk-1"</f>
        <v>mlk-1</v>
      </c>
      <c r="I21" t="s">
        <v>100</v>
      </c>
      <c r="J21">
        <v>11.972993916624301</v>
      </c>
      <c r="K21">
        <v>12.927030802074301</v>
      </c>
      <c r="L21">
        <v>12.1562018748075</v>
      </c>
      <c r="M21" t="s">
        <v>29</v>
      </c>
      <c r="N21" t="s">
        <v>29</v>
      </c>
      <c r="O21">
        <v>12.779023956683501</v>
      </c>
      <c r="P21">
        <v>0.42694842551477102</v>
      </c>
      <c r="Q21">
        <v>-0.54882475261035502</v>
      </c>
      <c r="R21">
        <v>1.4027216036398999</v>
      </c>
      <c r="S21">
        <v>12.5622565902502</v>
      </c>
      <c r="T21">
        <v>0.93318585238738305</v>
      </c>
      <c r="U21">
        <v>-6.3666315798363602</v>
      </c>
      <c r="V21">
        <v>0.36560550091501698</v>
      </c>
      <c r="W21">
        <v>0.53365003031032998</v>
      </c>
      <c r="X21">
        <v>0</v>
      </c>
      <c r="Y21">
        <v>0</v>
      </c>
    </row>
    <row r="22" spans="1:25" x14ac:dyDescent="0.2">
      <c r="A22" t="s">
        <v>101</v>
      </c>
      <c r="B22" t="s">
        <v>102</v>
      </c>
      <c r="C22" t="s">
        <v>103</v>
      </c>
      <c r="D22" t="s">
        <v>104</v>
      </c>
      <c r="E22" t="s">
        <v>102</v>
      </c>
      <c r="F22" t="s">
        <v>28</v>
      </c>
      <c r="G22" t="s">
        <v>102</v>
      </c>
      <c r="H22" t="str">
        <f>"aat-3"</f>
        <v>aat-3</v>
      </c>
      <c r="I22" t="s">
        <v>104</v>
      </c>
      <c r="J22">
        <v>12.022461581947701</v>
      </c>
      <c r="K22">
        <v>12.379284360087601</v>
      </c>
      <c r="L22">
        <v>11.6172189865252</v>
      </c>
      <c r="M22" t="s">
        <v>29</v>
      </c>
      <c r="N22" t="s">
        <v>29</v>
      </c>
      <c r="O22">
        <v>12.340729888227999</v>
      </c>
      <c r="P22">
        <v>0.334408245374469</v>
      </c>
      <c r="Q22">
        <v>-0.87338191264502996</v>
      </c>
      <c r="R22">
        <v>1.54219840339397</v>
      </c>
      <c r="S22">
        <v>11.761077263965801</v>
      </c>
      <c r="T22">
        <v>0.58726622000093298</v>
      </c>
      <c r="U22">
        <v>-6.6335435247105003</v>
      </c>
      <c r="V22">
        <v>0.565274413907912</v>
      </c>
      <c r="W22">
        <v>0.70707287681944697</v>
      </c>
      <c r="X22">
        <v>0</v>
      </c>
      <c r="Y22">
        <v>0</v>
      </c>
    </row>
    <row r="23" spans="1:25" x14ac:dyDescent="0.2">
      <c r="A23" t="s">
        <v>105</v>
      </c>
      <c r="B23" t="s">
        <v>106</v>
      </c>
      <c r="C23" t="s">
        <v>14189</v>
      </c>
      <c r="D23" t="s">
        <v>107</v>
      </c>
      <c r="E23" t="s">
        <v>106</v>
      </c>
      <c r="F23" t="s">
        <v>28</v>
      </c>
      <c r="G23" t="s">
        <v>106</v>
      </c>
      <c r="H23" t="str">
        <f>"T08B1.1"</f>
        <v>T08B1.1</v>
      </c>
      <c r="I23" t="s">
        <v>107</v>
      </c>
      <c r="J23">
        <v>13.7180235315952</v>
      </c>
      <c r="K23">
        <v>13.936038984359501</v>
      </c>
      <c r="L23">
        <v>13.5574042128504</v>
      </c>
      <c r="M23">
        <v>13.502748102230999</v>
      </c>
      <c r="N23">
        <v>13.5183049463988</v>
      </c>
      <c r="O23">
        <v>14.218661157489199</v>
      </c>
      <c r="P23">
        <v>9.4158257712777492E-3</v>
      </c>
      <c r="Q23">
        <v>-0.51585181477280295</v>
      </c>
      <c r="R23">
        <v>0.53468346631535801</v>
      </c>
      <c r="S23">
        <v>13.5848610947815</v>
      </c>
      <c r="T23">
        <v>3.7676476454478199E-2</v>
      </c>
      <c r="U23">
        <v>-7.1555571661619402</v>
      </c>
      <c r="V23">
        <v>0.97036275887322099</v>
      </c>
      <c r="W23">
        <v>0.98273759099431901</v>
      </c>
      <c r="X23">
        <v>0</v>
      </c>
      <c r="Y23">
        <v>0</v>
      </c>
    </row>
    <row r="24" spans="1:25" x14ac:dyDescent="0.2">
      <c r="A24" t="s">
        <v>108</v>
      </c>
      <c r="B24" t="s">
        <v>109</v>
      </c>
      <c r="C24" t="s">
        <v>110</v>
      </c>
      <c r="D24" t="s">
        <v>111</v>
      </c>
      <c r="E24" t="s">
        <v>109</v>
      </c>
      <c r="F24" t="s">
        <v>28</v>
      </c>
      <c r="G24" t="s">
        <v>109</v>
      </c>
      <c r="H24" t="str">
        <f>"rga-4"</f>
        <v>rga-4</v>
      </c>
      <c r="I24" t="s">
        <v>111</v>
      </c>
      <c r="J24">
        <v>12.455328870860599</v>
      </c>
      <c r="K24">
        <v>12.690967906338599</v>
      </c>
      <c r="L24">
        <v>12.8251758247509</v>
      </c>
      <c r="M24" t="s">
        <v>29</v>
      </c>
      <c r="N24">
        <v>14.862975160801</v>
      </c>
      <c r="O24" t="s">
        <v>29</v>
      </c>
      <c r="P24">
        <v>2.2058176268176499</v>
      </c>
      <c r="Q24">
        <v>1.5578356739621699</v>
      </c>
      <c r="R24">
        <v>2.8537995796731299</v>
      </c>
      <c r="S24">
        <v>12.9153451813094</v>
      </c>
      <c r="T24">
        <v>7.2601952150751101</v>
      </c>
      <c r="U24">
        <v>4.8826460333939599</v>
      </c>
      <c r="V24" s="2">
        <v>2.9012411459866502E-6</v>
      </c>
      <c r="W24">
        <v>1.05555032805218E-4</v>
      </c>
      <c r="X24">
        <v>1</v>
      </c>
      <c r="Y24">
        <v>1</v>
      </c>
    </row>
    <row r="25" spans="1:25" x14ac:dyDescent="0.2">
      <c r="A25" t="s">
        <v>112</v>
      </c>
      <c r="B25" t="s">
        <v>113</v>
      </c>
      <c r="C25" t="s">
        <v>114</v>
      </c>
      <c r="D25" t="s">
        <v>115</v>
      </c>
      <c r="E25" t="s">
        <v>113</v>
      </c>
      <c r="F25" t="s">
        <v>28</v>
      </c>
      <c r="G25" t="s">
        <v>113</v>
      </c>
      <c r="H25" t="str">
        <f>"bet-2"</f>
        <v>bet-2</v>
      </c>
      <c r="I25" t="s">
        <v>115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>
        <v>12.330215349106901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</row>
    <row r="26" spans="1:25" x14ac:dyDescent="0.2">
      <c r="A26" t="s">
        <v>116</v>
      </c>
      <c r="B26" t="s">
        <v>117</v>
      </c>
      <c r="C26" t="s">
        <v>118</v>
      </c>
      <c r="D26" t="s">
        <v>119</v>
      </c>
      <c r="E26" t="s">
        <v>117</v>
      </c>
      <c r="F26" t="s">
        <v>28</v>
      </c>
      <c r="G26" t="s">
        <v>117</v>
      </c>
      <c r="H26" t="str">
        <f>"lpd-3"</f>
        <v>lpd-3</v>
      </c>
      <c r="I26" t="s">
        <v>119</v>
      </c>
      <c r="J26">
        <v>12.6945924509671</v>
      </c>
      <c r="K26">
        <v>12.810779044882301</v>
      </c>
      <c r="L26">
        <v>12.331851913634701</v>
      </c>
      <c r="M26" t="s">
        <v>29</v>
      </c>
      <c r="N26" t="s">
        <v>29</v>
      </c>
      <c r="O26">
        <v>12.481008853426699</v>
      </c>
      <c r="P26">
        <v>-0.13139894973466301</v>
      </c>
      <c r="Q26">
        <v>-0.79038028463671905</v>
      </c>
      <c r="R26">
        <v>0.52758238516739298</v>
      </c>
      <c r="S26">
        <v>12.132369944001001</v>
      </c>
      <c r="T26">
        <v>-0.42292982242449301</v>
      </c>
      <c r="U26">
        <v>-6.7192968010436198</v>
      </c>
      <c r="V26">
        <v>0.67801281446989803</v>
      </c>
      <c r="W26">
        <v>0.78834029850941501</v>
      </c>
      <c r="X26">
        <v>0</v>
      </c>
      <c r="Y26">
        <v>0</v>
      </c>
    </row>
    <row r="27" spans="1:25" x14ac:dyDescent="0.2">
      <c r="A27" t="s">
        <v>120</v>
      </c>
      <c r="B27" t="s">
        <v>121</v>
      </c>
      <c r="C27" t="s">
        <v>122</v>
      </c>
      <c r="D27" t="s">
        <v>123</v>
      </c>
      <c r="E27" t="s">
        <v>121</v>
      </c>
      <c r="F27" t="s">
        <v>28</v>
      </c>
      <c r="G27" t="s">
        <v>121</v>
      </c>
      <c r="H27" t="str">
        <f>"pqn-80"</f>
        <v>pqn-80</v>
      </c>
      <c r="I27" t="s">
        <v>123</v>
      </c>
      <c r="J27" t="s">
        <v>29</v>
      </c>
      <c r="K27">
        <v>11.462594663458299</v>
      </c>
      <c r="L27">
        <v>11.7258711929304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>
        <v>12.418747127503099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</row>
    <row r="28" spans="1:25" x14ac:dyDescent="0.2">
      <c r="A28" t="s">
        <v>124</v>
      </c>
      <c r="B28" t="s">
        <v>125</v>
      </c>
      <c r="C28" t="s">
        <v>126</v>
      </c>
      <c r="D28" t="s">
        <v>127</v>
      </c>
      <c r="E28" t="s">
        <v>125</v>
      </c>
      <c r="F28" t="s">
        <v>28</v>
      </c>
      <c r="G28" t="s">
        <v>125</v>
      </c>
      <c r="H28" t="str">
        <f>"arid-1"</f>
        <v>arid-1</v>
      </c>
      <c r="I28" t="s">
        <v>127</v>
      </c>
      <c r="J28">
        <v>13.448596792282</v>
      </c>
      <c r="K28">
        <v>13.9489472159587</v>
      </c>
      <c r="L28">
        <v>13.6829624094047</v>
      </c>
      <c r="M28" t="s">
        <v>29</v>
      </c>
      <c r="N28">
        <v>14.8898783327744</v>
      </c>
      <c r="O28">
        <v>13.0089224559004</v>
      </c>
      <c r="P28">
        <v>0.25589825512224401</v>
      </c>
      <c r="Q28">
        <v>-0.53834761771733897</v>
      </c>
      <c r="R28">
        <v>1.05014412796183</v>
      </c>
      <c r="S28">
        <v>13.795525295074</v>
      </c>
      <c r="T28">
        <v>0.68008370786628802</v>
      </c>
      <c r="U28">
        <v>-6.80564555929978</v>
      </c>
      <c r="V28">
        <v>0.50566445907891699</v>
      </c>
      <c r="W28">
        <v>0.65865740244315196</v>
      </c>
      <c r="X28">
        <v>0</v>
      </c>
      <c r="Y28">
        <v>0</v>
      </c>
    </row>
    <row r="29" spans="1:25" x14ac:dyDescent="0.2">
      <c r="A29" t="s">
        <v>128</v>
      </c>
      <c r="B29" t="s">
        <v>129</v>
      </c>
      <c r="C29" t="s">
        <v>14190</v>
      </c>
      <c r="D29" t="s">
        <v>130</v>
      </c>
      <c r="E29" t="s">
        <v>129</v>
      </c>
      <c r="F29" t="s">
        <v>28</v>
      </c>
      <c r="G29" t="s">
        <v>129</v>
      </c>
      <c r="H29" t="str">
        <f>"F37B4.10"</f>
        <v>F37B4.10</v>
      </c>
      <c r="I29" t="s">
        <v>130</v>
      </c>
      <c r="J29">
        <v>13.099283076177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>
        <v>12.5935878183558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</row>
    <row r="30" spans="1:25" x14ac:dyDescent="0.2">
      <c r="A30" t="s">
        <v>131</v>
      </c>
      <c r="B30" t="s">
        <v>132</v>
      </c>
      <c r="C30" t="s">
        <v>133</v>
      </c>
      <c r="D30" t="s">
        <v>134</v>
      </c>
      <c r="E30" t="s">
        <v>132</v>
      </c>
      <c r="F30" t="s">
        <v>28</v>
      </c>
      <c r="G30" t="s">
        <v>132</v>
      </c>
      <c r="H30" t="str">
        <f>"ubr-4"</f>
        <v>ubr-4</v>
      </c>
      <c r="I30" t="s">
        <v>134</v>
      </c>
      <c r="J30">
        <v>13.90974455169</v>
      </c>
      <c r="K30">
        <v>14.064627753212401</v>
      </c>
      <c r="L30">
        <v>13.7621109500054</v>
      </c>
      <c r="M30">
        <v>17.2612597530728</v>
      </c>
      <c r="N30">
        <v>14.776215408736499</v>
      </c>
      <c r="O30">
        <v>13.927804720884501</v>
      </c>
      <c r="P30">
        <v>1.40959887592862</v>
      </c>
      <c r="Q30">
        <v>0.37393735865012601</v>
      </c>
      <c r="R30">
        <v>2.4452603932071102</v>
      </c>
      <c r="S30">
        <v>14.149404937755</v>
      </c>
      <c r="T30">
        <v>2.8606861852660401</v>
      </c>
      <c r="U30">
        <v>-3.6241814105978798</v>
      </c>
      <c r="V30">
        <v>1.04332117866056E-2</v>
      </c>
      <c r="W30">
        <v>4.6656563179251202E-2</v>
      </c>
      <c r="X30">
        <v>1</v>
      </c>
      <c r="Y30">
        <v>1</v>
      </c>
    </row>
    <row r="31" spans="1:25" x14ac:dyDescent="0.2">
      <c r="A31" t="s">
        <v>135</v>
      </c>
      <c r="B31" t="s">
        <v>136</v>
      </c>
      <c r="C31" t="s">
        <v>137</v>
      </c>
      <c r="D31" t="s">
        <v>138</v>
      </c>
      <c r="E31" t="s">
        <v>136</v>
      </c>
      <c r="F31" t="s">
        <v>28</v>
      </c>
      <c r="G31" t="s">
        <v>136</v>
      </c>
      <c r="H31" t="str">
        <f>"ccar-1"</f>
        <v>ccar-1</v>
      </c>
      <c r="I31" t="s">
        <v>138</v>
      </c>
      <c r="J31">
        <v>16.951760196840102</v>
      </c>
      <c r="K31">
        <v>17.377483820987699</v>
      </c>
      <c r="L31">
        <v>17.217009998279</v>
      </c>
      <c r="M31">
        <v>14.7761825187066</v>
      </c>
      <c r="N31">
        <v>15.4294122240167</v>
      </c>
      <c r="O31">
        <v>15.033714516699099</v>
      </c>
      <c r="P31">
        <v>-2.1023149188948098</v>
      </c>
      <c r="Q31">
        <v>-2.6181670052979702</v>
      </c>
      <c r="R31">
        <v>-1.5864628324916601</v>
      </c>
      <c r="S31">
        <v>16.925888058349301</v>
      </c>
      <c r="T31">
        <v>-8.5657440643952292</v>
      </c>
      <c r="U31">
        <v>8.0080659896536499</v>
      </c>
      <c r="V31" s="2">
        <v>9.5634497107547506E-8</v>
      </c>
      <c r="W31" s="2">
        <v>6.2629969550209497E-6</v>
      </c>
      <c r="X31">
        <v>-1</v>
      </c>
      <c r="Y31">
        <v>-1</v>
      </c>
    </row>
    <row r="32" spans="1:25" x14ac:dyDescent="0.2">
      <c r="A32" t="s">
        <v>139</v>
      </c>
      <c r="B32" t="s">
        <v>140</v>
      </c>
      <c r="C32" t="s">
        <v>14191</v>
      </c>
      <c r="D32" t="s">
        <v>141</v>
      </c>
      <c r="E32" t="s">
        <v>140</v>
      </c>
      <c r="F32" t="s">
        <v>28</v>
      </c>
      <c r="G32" t="s">
        <v>142</v>
      </c>
      <c r="H32" t="str">
        <f>"K08D9.4"</f>
        <v>K08D9.4</v>
      </c>
      <c r="I32" t="s">
        <v>141</v>
      </c>
      <c r="J32" t="s">
        <v>29</v>
      </c>
      <c r="K32">
        <v>11.5013848064975</v>
      </c>
      <c r="L32" t="s">
        <v>29</v>
      </c>
      <c r="M32" t="s">
        <v>29</v>
      </c>
      <c r="N32" t="s">
        <v>29</v>
      </c>
      <c r="O32">
        <v>12.2341122116057</v>
      </c>
      <c r="P32">
        <v>0.73272740510818002</v>
      </c>
      <c r="Q32">
        <v>-1.1858804327778101</v>
      </c>
      <c r="R32">
        <v>2.6513352429941799</v>
      </c>
      <c r="S32">
        <v>12.0073412630014</v>
      </c>
      <c r="T32">
        <v>0.85216385855167698</v>
      </c>
      <c r="U32">
        <v>-6.2341877982602503</v>
      </c>
      <c r="V32">
        <v>0.41427225574918503</v>
      </c>
      <c r="W32">
        <v>0.58163903653780302</v>
      </c>
      <c r="X32">
        <v>0</v>
      </c>
      <c r="Y32">
        <v>0</v>
      </c>
    </row>
    <row r="33" spans="1:25" x14ac:dyDescent="0.2">
      <c r="A33" t="s">
        <v>143</v>
      </c>
      <c r="B33" t="s">
        <v>144</v>
      </c>
      <c r="C33" t="s">
        <v>145</v>
      </c>
      <c r="D33" t="s">
        <v>146</v>
      </c>
      <c r="E33" t="s">
        <v>144</v>
      </c>
      <c r="F33" t="s">
        <v>28</v>
      </c>
      <c r="G33" t="s">
        <v>144</v>
      </c>
      <c r="H33" t="str">
        <f>"sago-1"</f>
        <v>sago-1</v>
      </c>
      <c r="I33" t="s">
        <v>146</v>
      </c>
      <c r="J33">
        <v>13.026458836901</v>
      </c>
      <c r="K33">
        <v>12.9472142918475</v>
      </c>
      <c r="L33">
        <v>12.3381433603773</v>
      </c>
      <c r="M33" t="s">
        <v>29</v>
      </c>
      <c r="N33">
        <v>13.893243476073801</v>
      </c>
      <c r="O33">
        <v>13.5889926378858</v>
      </c>
      <c r="P33">
        <v>0.97051256060453595</v>
      </c>
      <c r="Q33">
        <v>0.442462875335217</v>
      </c>
      <c r="R33">
        <v>1.4985622458738601</v>
      </c>
      <c r="S33">
        <v>13.2022305949837</v>
      </c>
      <c r="T33">
        <v>3.8795056218387698</v>
      </c>
      <c r="U33">
        <v>-1.40488991875267</v>
      </c>
      <c r="V33">
        <v>1.2162357650933599E-3</v>
      </c>
      <c r="W33">
        <v>1.0419322092238699E-2</v>
      </c>
      <c r="X33">
        <v>0</v>
      </c>
      <c r="Y33">
        <v>0</v>
      </c>
    </row>
    <row r="34" spans="1:25" x14ac:dyDescent="0.2">
      <c r="A34" t="s">
        <v>147</v>
      </c>
      <c r="B34" t="s">
        <v>148</v>
      </c>
      <c r="C34" t="s">
        <v>149</v>
      </c>
      <c r="D34" t="s">
        <v>150</v>
      </c>
      <c r="E34" t="s">
        <v>148</v>
      </c>
      <c r="F34" t="s">
        <v>28</v>
      </c>
      <c r="G34" t="s">
        <v>148</v>
      </c>
      <c r="H34" t="str">
        <f>"sago-2"</f>
        <v>sago-2</v>
      </c>
      <c r="I34" t="s">
        <v>150</v>
      </c>
      <c r="J34">
        <v>11.4138783948791</v>
      </c>
      <c r="K34" t="s">
        <v>29</v>
      </c>
      <c r="L34">
        <v>10.8673317241549</v>
      </c>
      <c r="M34" t="s">
        <v>29</v>
      </c>
      <c r="N34">
        <v>10.3095233130732</v>
      </c>
      <c r="O34">
        <v>9.8969744312140104</v>
      </c>
      <c r="P34">
        <v>-1.0373561873734101</v>
      </c>
      <c r="Q34">
        <v>-1.7713984611690301</v>
      </c>
      <c r="R34">
        <v>-0.30331391357779802</v>
      </c>
      <c r="S34">
        <v>11.3169302493356</v>
      </c>
      <c r="T34">
        <v>-3.0140360027587199</v>
      </c>
      <c r="U34">
        <v>-3.2137951984522002</v>
      </c>
      <c r="V34">
        <v>8.7753225127427999E-3</v>
      </c>
      <c r="W34">
        <v>4.1778474063090501E-2</v>
      </c>
      <c r="X34">
        <v>-1</v>
      </c>
      <c r="Y34">
        <v>-1</v>
      </c>
    </row>
    <row r="35" spans="1:25" x14ac:dyDescent="0.2">
      <c r="A35" t="s">
        <v>151</v>
      </c>
      <c r="B35" t="s">
        <v>152</v>
      </c>
      <c r="C35" t="s">
        <v>153</v>
      </c>
      <c r="D35" t="s">
        <v>154</v>
      </c>
      <c r="E35" t="s">
        <v>152</v>
      </c>
      <c r="F35" t="s">
        <v>28</v>
      </c>
      <c r="G35" t="s">
        <v>152</v>
      </c>
      <c r="H35" t="str">
        <f>"coh-1"</f>
        <v>coh-1</v>
      </c>
      <c r="I35" t="s">
        <v>154</v>
      </c>
      <c r="J35">
        <v>13.876177505705201</v>
      </c>
      <c r="K35">
        <v>14.279266139181701</v>
      </c>
      <c r="L35">
        <v>13.710110469629999</v>
      </c>
      <c r="M35" t="s">
        <v>29</v>
      </c>
      <c r="N35" t="s">
        <v>29</v>
      </c>
      <c r="O35">
        <v>14.096914613375301</v>
      </c>
      <c r="P35">
        <v>0.14172990853638001</v>
      </c>
      <c r="Q35">
        <v>-0.70302536895885803</v>
      </c>
      <c r="R35">
        <v>0.98648518603161806</v>
      </c>
      <c r="S35">
        <v>13.7170720994029</v>
      </c>
      <c r="T35">
        <v>0.35586077728308202</v>
      </c>
      <c r="U35">
        <v>-6.7464630144139903</v>
      </c>
      <c r="V35">
        <v>0.72662378557790797</v>
      </c>
      <c r="W35">
        <v>0.82518701198385203</v>
      </c>
      <c r="X35">
        <v>0</v>
      </c>
      <c r="Y35">
        <v>0</v>
      </c>
    </row>
    <row r="36" spans="1:25" x14ac:dyDescent="0.2">
      <c r="A36" t="s">
        <v>155</v>
      </c>
      <c r="B36" t="s">
        <v>156</v>
      </c>
      <c r="C36" t="s">
        <v>157</v>
      </c>
      <c r="D36" t="s">
        <v>158</v>
      </c>
      <c r="E36" t="s">
        <v>156</v>
      </c>
      <c r="F36" t="s">
        <v>28</v>
      </c>
      <c r="G36" t="s">
        <v>156</v>
      </c>
      <c r="H36" t="str">
        <f>"imb-2"</f>
        <v>imb-2</v>
      </c>
      <c r="I36" t="s">
        <v>158</v>
      </c>
      <c r="J36">
        <v>13.2486945533857</v>
      </c>
      <c r="K36">
        <v>13.231685559856601</v>
      </c>
      <c r="L36">
        <v>13.364968064540101</v>
      </c>
      <c r="M36" t="s">
        <v>29</v>
      </c>
      <c r="N36">
        <v>12.369072930401099</v>
      </c>
      <c r="O36">
        <v>12.841810029103</v>
      </c>
      <c r="P36">
        <v>-0.676341246175447</v>
      </c>
      <c r="Q36">
        <v>-1.1378862276577699</v>
      </c>
      <c r="R36">
        <v>-0.21479626469312599</v>
      </c>
      <c r="S36">
        <v>13.491193264995101</v>
      </c>
      <c r="T36">
        <v>-3.0931562113112201</v>
      </c>
      <c r="U36">
        <v>-3.0682184109885</v>
      </c>
      <c r="V36">
        <v>6.6377900652401702E-3</v>
      </c>
      <c r="W36">
        <v>3.4196448044093802E-2</v>
      </c>
      <c r="X36">
        <v>0</v>
      </c>
      <c r="Y36">
        <v>0</v>
      </c>
    </row>
    <row r="37" spans="1:25" x14ac:dyDescent="0.2">
      <c r="A37" t="s">
        <v>159</v>
      </c>
      <c r="B37" t="s">
        <v>160</v>
      </c>
      <c r="C37" t="s">
        <v>161</v>
      </c>
      <c r="D37" t="s">
        <v>162</v>
      </c>
      <c r="E37" t="s">
        <v>160</v>
      </c>
      <c r="F37" t="s">
        <v>28</v>
      </c>
      <c r="G37" t="s">
        <v>160</v>
      </c>
      <c r="H37" t="str">
        <f>"utx-1"</f>
        <v>utx-1</v>
      </c>
      <c r="I37" t="s">
        <v>162</v>
      </c>
      <c r="J37">
        <v>12.029042675617999</v>
      </c>
      <c r="K37">
        <v>11.796116640603101</v>
      </c>
      <c r="L37">
        <v>11.6380062852413</v>
      </c>
      <c r="M37" t="s">
        <v>29</v>
      </c>
      <c r="N37" t="s">
        <v>29</v>
      </c>
      <c r="O37">
        <v>11.5686495382238</v>
      </c>
      <c r="P37">
        <v>-0.252405662263602</v>
      </c>
      <c r="Q37">
        <v>-1.12649604945723</v>
      </c>
      <c r="R37">
        <v>0.62168472493003102</v>
      </c>
      <c r="S37">
        <v>12.2970947046401</v>
      </c>
      <c r="T37">
        <v>-0.61248051790398805</v>
      </c>
      <c r="U37">
        <v>-6.6180131307869097</v>
      </c>
      <c r="V37">
        <v>0.548882713243942</v>
      </c>
      <c r="W37">
        <v>0.69439252331385304</v>
      </c>
      <c r="X37">
        <v>0</v>
      </c>
      <c r="Y37">
        <v>0</v>
      </c>
    </row>
    <row r="38" spans="1:25" x14ac:dyDescent="0.2">
      <c r="A38" t="s">
        <v>163</v>
      </c>
      <c r="B38" t="s">
        <v>164</v>
      </c>
      <c r="C38" t="s">
        <v>165</v>
      </c>
      <c r="D38" t="s">
        <v>166</v>
      </c>
      <c r="E38" t="s">
        <v>164</v>
      </c>
      <c r="F38" t="s">
        <v>28</v>
      </c>
      <c r="G38" t="s">
        <v>164</v>
      </c>
      <c r="H38" t="str">
        <f>"irg-7"</f>
        <v>irg-7</v>
      </c>
      <c r="I38" t="s">
        <v>166</v>
      </c>
      <c r="J38" t="s">
        <v>29</v>
      </c>
      <c r="K38" t="s">
        <v>29</v>
      </c>
      <c r="L38">
        <v>10.973969859717</v>
      </c>
      <c r="M38" t="s">
        <v>29</v>
      </c>
      <c r="N38" t="s">
        <v>29</v>
      </c>
      <c r="O38" t="s">
        <v>29</v>
      </c>
      <c r="P38" t="s">
        <v>29</v>
      </c>
      <c r="Q38" t="s">
        <v>29</v>
      </c>
      <c r="R38" t="s">
        <v>29</v>
      </c>
      <c r="S38">
        <v>11.141884688093</v>
      </c>
      <c r="T38" t="s">
        <v>29</v>
      </c>
      <c r="U38" t="s">
        <v>29</v>
      </c>
      <c r="V38" t="s">
        <v>29</v>
      </c>
      <c r="W38" t="s">
        <v>29</v>
      </c>
      <c r="X38" t="s">
        <v>29</v>
      </c>
      <c r="Y38" t="s">
        <v>29</v>
      </c>
    </row>
    <row r="39" spans="1:25" x14ac:dyDescent="0.2">
      <c r="A39" t="s">
        <v>167</v>
      </c>
      <c r="B39" t="s">
        <v>168</v>
      </c>
      <c r="C39" t="s">
        <v>169</v>
      </c>
      <c r="D39" t="s">
        <v>170</v>
      </c>
      <c r="E39" t="s">
        <v>168</v>
      </c>
      <c r="F39" t="s">
        <v>28</v>
      </c>
      <c r="G39" t="s">
        <v>168</v>
      </c>
      <c r="H39" t="str">
        <f>"brf-1"</f>
        <v>brf-1</v>
      </c>
      <c r="I39" t="s">
        <v>170</v>
      </c>
      <c r="J39" t="s">
        <v>29</v>
      </c>
      <c r="K39" t="s">
        <v>29</v>
      </c>
      <c r="L39" t="s">
        <v>29</v>
      </c>
      <c r="M39" t="s">
        <v>29</v>
      </c>
      <c r="N39" t="s">
        <v>29</v>
      </c>
      <c r="O39" t="s">
        <v>29</v>
      </c>
      <c r="P39" t="s">
        <v>29</v>
      </c>
      <c r="Q39" t="s">
        <v>29</v>
      </c>
      <c r="R39" t="s">
        <v>29</v>
      </c>
      <c r="S39">
        <v>9.7464014845668991</v>
      </c>
      <c r="T39" t="s">
        <v>29</v>
      </c>
      <c r="U39" t="s">
        <v>29</v>
      </c>
      <c r="V39" t="s">
        <v>29</v>
      </c>
      <c r="W39" t="s">
        <v>29</v>
      </c>
      <c r="X39" t="s">
        <v>29</v>
      </c>
      <c r="Y39" t="s">
        <v>29</v>
      </c>
    </row>
    <row r="40" spans="1:25" x14ac:dyDescent="0.2">
      <c r="A40" t="s">
        <v>171</v>
      </c>
      <c r="B40" t="s">
        <v>172</v>
      </c>
      <c r="C40" t="s">
        <v>173</v>
      </c>
      <c r="D40" t="s">
        <v>174</v>
      </c>
      <c r="E40" t="s">
        <v>172</v>
      </c>
      <c r="F40" t="s">
        <v>28</v>
      </c>
      <c r="G40" t="s">
        <v>172</v>
      </c>
      <c r="H40" t="str">
        <f>"trpp-11"</f>
        <v>trpp-11</v>
      </c>
      <c r="I40" t="s">
        <v>174</v>
      </c>
      <c r="J40">
        <v>12.033310599609001</v>
      </c>
      <c r="K40">
        <v>11.657040342852699</v>
      </c>
      <c r="L40">
        <v>11.8283550834579</v>
      </c>
      <c r="M40">
        <v>11.0942101153151</v>
      </c>
      <c r="N40">
        <v>10.928845821605901</v>
      </c>
      <c r="O40">
        <v>12.363798866698399</v>
      </c>
      <c r="P40">
        <v>-0.37728374076672999</v>
      </c>
      <c r="Q40">
        <v>-0.97935254700247099</v>
      </c>
      <c r="R40">
        <v>0.224785065469011</v>
      </c>
      <c r="S40">
        <v>11.688224348361</v>
      </c>
      <c r="T40">
        <v>-1.31708703902643</v>
      </c>
      <c r="U40">
        <v>-6.2876466343071504</v>
      </c>
      <c r="V40">
        <v>0.20442671345975499</v>
      </c>
      <c r="W40">
        <v>0.36423550457430398</v>
      </c>
      <c r="X40">
        <v>0</v>
      </c>
      <c r="Y40">
        <v>0</v>
      </c>
    </row>
    <row r="41" spans="1:25" x14ac:dyDescent="0.2">
      <c r="A41" t="s">
        <v>175</v>
      </c>
      <c r="B41" t="s">
        <v>176</v>
      </c>
      <c r="C41" t="s">
        <v>177</v>
      </c>
      <c r="D41" t="s">
        <v>178</v>
      </c>
      <c r="E41" t="s">
        <v>176</v>
      </c>
      <c r="F41" t="s">
        <v>28</v>
      </c>
      <c r="G41" t="s">
        <v>176</v>
      </c>
      <c r="H41" t="str">
        <f>"tbc-14"</f>
        <v>tbc-14</v>
      </c>
      <c r="I41" t="s">
        <v>178</v>
      </c>
      <c r="J41">
        <v>13.1900786089445</v>
      </c>
      <c r="K41">
        <v>12.825233207658</v>
      </c>
      <c r="L41">
        <v>13.0172558691551</v>
      </c>
      <c r="M41">
        <v>13.230027252319299</v>
      </c>
      <c r="N41">
        <v>13.239172268872</v>
      </c>
      <c r="O41">
        <v>13.625390652720901</v>
      </c>
      <c r="P41">
        <v>0.35400749605152998</v>
      </c>
      <c r="Q41">
        <v>-0.18206905780657201</v>
      </c>
      <c r="R41">
        <v>0.89008404990963197</v>
      </c>
      <c r="S41">
        <v>13.0642465646857</v>
      </c>
      <c r="T41">
        <v>1.3879638607940401</v>
      </c>
      <c r="U41">
        <v>-6.1964227584050802</v>
      </c>
      <c r="V41">
        <v>0.18218789126606899</v>
      </c>
      <c r="W41">
        <v>0.33640834308340001</v>
      </c>
      <c r="X41">
        <v>0</v>
      </c>
      <c r="Y41">
        <v>0</v>
      </c>
    </row>
    <row r="42" spans="1:25" x14ac:dyDescent="0.2">
      <c r="A42" t="s">
        <v>179</v>
      </c>
      <c r="B42" t="s">
        <v>180</v>
      </c>
      <c r="C42" t="s">
        <v>181</v>
      </c>
      <c r="D42" t="s">
        <v>182</v>
      </c>
      <c r="E42" t="s">
        <v>180</v>
      </c>
      <c r="F42" t="s">
        <v>28</v>
      </c>
      <c r="G42" t="s">
        <v>180</v>
      </c>
      <c r="H42" t="str">
        <f>"fipp-1"</f>
        <v>fipp-1</v>
      </c>
      <c r="I42" t="s">
        <v>182</v>
      </c>
      <c r="J42" t="s">
        <v>29</v>
      </c>
      <c r="K42" t="s">
        <v>29</v>
      </c>
      <c r="L42" t="s">
        <v>29</v>
      </c>
      <c r="M42" t="s">
        <v>29</v>
      </c>
      <c r="N42" t="s">
        <v>29</v>
      </c>
      <c r="O42" t="s">
        <v>29</v>
      </c>
      <c r="P42" t="s">
        <v>29</v>
      </c>
      <c r="Q42" t="s">
        <v>29</v>
      </c>
      <c r="R42" t="s">
        <v>29</v>
      </c>
      <c r="S42">
        <v>11.3787189149522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  <c r="Y42" t="s">
        <v>29</v>
      </c>
    </row>
    <row r="43" spans="1:25" x14ac:dyDescent="0.2">
      <c r="A43" t="s">
        <v>183</v>
      </c>
      <c r="B43" t="s">
        <v>184</v>
      </c>
      <c r="C43" t="s">
        <v>185</v>
      </c>
      <c r="D43" t="s">
        <v>186</v>
      </c>
      <c r="E43" t="s">
        <v>184</v>
      </c>
      <c r="F43" t="s">
        <v>28</v>
      </c>
      <c r="G43" t="s">
        <v>184</v>
      </c>
      <c r="H43" t="str">
        <f>"ajm-1"</f>
        <v>ajm-1</v>
      </c>
      <c r="I43" t="s">
        <v>186</v>
      </c>
      <c r="J43">
        <v>13.9619122428366</v>
      </c>
      <c r="K43">
        <v>14.778824155643401</v>
      </c>
      <c r="L43">
        <v>14.872437289692501</v>
      </c>
      <c r="M43">
        <v>15.1171817307873</v>
      </c>
      <c r="N43">
        <v>14.5201944172113</v>
      </c>
      <c r="O43">
        <v>14.3973700108948</v>
      </c>
      <c r="P43">
        <v>0.14052415690696299</v>
      </c>
      <c r="Q43">
        <v>-0.68997598007390804</v>
      </c>
      <c r="R43">
        <v>0.97102429388783496</v>
      </c>
      <c r="S43">
        <v>14.5859202270368</v>
      </c>
      <c r="T43">
        <v>0.35563442464177603</v>
      </c>
      <c r="U43">
        <v>-7.09016328020369</v>
      </c>
      <c r="V43">
        <v>0.72627203687988795</v>
      </c>
      <c r="W43">
        <v>0.82510550990170795</v>
      </c>
      <c r="X43">
        <v>0</v>
      </c>
      <c r="Y43">
        <v>0</v>
      </c>
    </row>
    <row r="44" spans="1:25" x14ac:dyDescent="0.2">
      <c r="A44" t="s">
        <v>187</v>
      </c>
      <c r="B44" t="s">
        <v>188</v>
      </c>
      <c r="C44" t="s">
        <v>14192</v>
      </c>
      <c r="D44" t="s">
        <v>189</v>
      </c>
      <c r="E44" t="s">
        <v>188</v>
      </c>
      <c r="F44" t="s">
        <v>28</v>
      </c>
      <c r="G44" t="s">
        <v>188</v>
      </c>
      <c r="H44" t="str">
        <f>"Y56A3A.31"</f>
        <v>Y56A3A.31</v>
      </c>
      <c r="I44" t="s">
        <v>189</v>
      </c>
      <c r="J44">
        <v>13.4171147768871</v>
      </c>
      <c r="K44">
        <v>13.3401072730198</v>
      </c>
      <c r="L44">
        <v>13.5707338440701</v>
      </c>
      <c r="M44">
        <v>12.3490378663426</v>
      </c>
      <c r="N44">
        <v>15.1396279760976</v>
      </c>
      <c r="O44">
        <v>13.672519055612399</v>
      </c>
      <c r="P44">
        <v>0.27774300135850399</v>
      </c>
      <c r="Q44">
        <v>-0.57738907985450605</v>
      </c>
      <c r="R44">
        <v>1.1328750825715099</v>
      </c>
      <c r="S44">
        <v>13.6003234859001</v>
      </c>
      <c r="T44">
        <v>0.682656826779662</v>
      </c>
      <c r="U44">
        <v>-6.9148866984348798</v>
      </c>
      <c r="V44">
        <v>0.503565904100715</v>
      </c>
      <c r="W44">
        <v>0.65772324174625096</v>
      </c>
      <c r="X44">
        <v>0</v>
      </c>
      <c r="Y44">
        <v>0</v>
      </c>
    </row>
    <row r="45" spans="1:25" x14ac:dyDescent="0.2">
      <c r="A45" t="s">
        <v>190</v>
      </c>
      <c r="B45" t="s">
        <v>191</v>
      </c>
      <c r="C45" t="s">
        <v>192</v>
      </c>
      <c r="D45" t="s">
        <v>193</v>
      </c>
      <c r="E45" t="s">
        <v>191</v>
      </c>
      <c r="F45" t="s">
        <v>28</v>
      </c>
      <c r="G45" t="s">
        <v>191</v>
      </c>
      <c r="H45" t="str">
        <f>"farl-11"</f>
        <v>farl-11</v>
      </c>
      <c r="I45" t="s">
        <v>193</v>
      </c>
      <c r="J45">
        <v>12.3737794419299</v>
      </c>
      <c r="K45">
        <v>12.130765968734099</v>
      </c>
      <c r="L45">
        <v>12.547826193270801</v>
      </c>
      <c r="M45" t="s">
        <v>29</v>
      </c>
      <c r="N45">
        <v>12.7361672914745</v>
      </c>
      <c r="O45">
        <v>12.627958249533901</v>
      </c>
      <c r="P45">
        <v>0.33127223585923599</v>
      </c>
      <c r="Q45">
        <v>-0.105634168835536</v>
      </c>
      <c r="R45">
        <v>0.76817864055400897</v>
      </c>
      <c r="S45">
        <v>12.7204433386574</v>
      </c>
      <c r="T45">
        <v>1.6004666942416701</v>
      </c>
      <c r="U45">
        <v>-5.7925064106814199</v>
      </c>
      <c r="V45">
        <v>0.128026428370735</v>
      </c>
      <c r="W45">
        <v>0.26110303419277298</v>
      </c>
      <c r="X45">
        <v>0</v>
      </c>
      <c r="Y45">
        <v>0</v>
      </c>
    </row>
    <row r="46" spans="1:25" x14ac:dyDescent="0.2">
      <c r="A46" t="s">
        <v>194</v>
      </c>
      <c r="B46" t="s">
        <v>195</v>
      </c>
      <c r="C46" t="s">
        <v>196</v>
      </c>
      <c r="D46" t="s">
        <v>197</v>
      </c>
      <c r="E46" t="s">
        <v>195</v>
      </c>
      <c r="F46" t="s">
        <v>28</v>
      </c>
      <c r="G46" t="s">
        <v>195</v>
      </c>
      <c r="H46" t="str">
        <f>"hgap-2"</f>
        <v>hgap-2</v>
      </c>
      <c r="I46" t="s">
        <v>197</v>
      </c>
      <c r="J46">
        <v>13.266287489802099</v>
      </c>
      <c r="K46">
        <v>13.514548576489901</v>
      </c>
      <c r="L46">
        <v>13.3624727133802</v>
      </c>
      <c r="M46">
        <v>15.3039856335372</v>
      </c>
      <c r="N46">
        <v>12.9324695691858</v>
      </c>
      <c r="O46">
        <v>13.879717087201801</v>
      </c>
      <c r="P46">
        <v>0.65762117008418397</v>
      </c>
      <c r="Q46">
        <v>-0.13000716777005</v>
      </c>
      <c r="R46">
        <v>1.44524950793842</v>
      </c>
      <c r="S46">
        <v>13.439041766514499</v>
      </c>
      <c r="T46">
        <v>1.7548781458451901</v>
      </c>
      <c r="U46">
        <v>-5.6658149096586001</v>
      </c>
      <c r="V46">
        <v>9.6385667248026205E-2</v>
      </c>
      <c r="W46">
        <v>0.21118852147206901</v>
      </c>
      <c r="X46">
        <v>0</v>
      </c>
      <c r="Y46">
        <v>0</v>
      </c>
    </row>
    <row r="47" spans="1:25" x14ac:dyDescent="0.2">
      <c r="A47" t="s">
        <v>198</v>
      </c>
      <c r="B47" t="s">
        <v>199</v>
      </c>
      <c r="C47" t="s">
        <v>200</v>
      </c>
      <c r="D47" t="s">
        <v>201</v>
      </c>
      <c r="E47" t="s">
        <v>199</v>
      </c>
      <c r="F47" t="s">
        <v>28</v>
      </c>
      <c r="G47" t="s">
        <v>199</v>
      </c>
      <c r="H47" t="str">
        <f>"spat-2"</f>
        <v>spat-2</v>
      </c>
      <c r="I47" t="s">
        <v>201</v>
      </c>
      <c r="J47" t="s">
        <v>29</v>
      </c>
      <c r="K47">
        <v>12.364659983617599</v>
      </c>
      <c r="L47" t="s">
        <v>29</v>
      </c>
      <c r="M47" t="s">
        <v>29</v>
      </c>
      <c r="N47" t="s">
        <v>29</v>
      </c>
      <c r="O47" t="s">
        <v>29</v>
      </c>
      <c r="P47" t="s">
        <v>29</v>
      </c>
      <c r="Q47" t="s">
        <v>29</v>
      </c>
      <c r="R47" t="s">
        <v>29</v>
      </c>
      <c r="S47">
        <v>12.717434976884199</v>
      </c>
      <c r="T47" t="s">
        <v>29</v>
      </c>
      <c r="U47" t="s">
        <v>29</v>
      </c>
      <c r="V47" t="s">
        <v>29</v>
      </c>
      <c r="W47" t="s">
        <v>29</v>
      </c>
      <c r="X47" t="s">
        <v>29</v>
      </c>
      <c r="Y47" t="s">
        <v>29</v>
      </c>
    </row>
    <row r="48" spans="1:25" x14ac:dyDescent="0.2">
      <c r="A48" t="s">
        <v>202</v>
      </c>
      <c r="B48" t="s">
        <v>203</v>
      </c>
      <c r="C48" t="s">
        <v>14193</v>
      </c>
      <c r="D48" t="s">
        <v>204</v>
      </c>
      <c r="E48" t="s">
        <v>203</v>
      </c>
      <c r="F48" t="s">
        <v>28</v>
      </c>
      <c r="G48" t="s">
        <v>203</v>
      </c>
      <c r="H48" t="str">
        <f>"Y55F3BR.6"</f>
        <v>Y55F3BR.6</v>
      </c>
      <c r="I48" t="s">
        <v>204</v>
      </c>
      <c r="J48">
        <v>14.228042468245899</v>
      </c>
      <c r="K48" t="s">
        <v>29</v>
      </c>
      <c r="L48" t="s">
        <v>29</v>
      </c>
      <c r="M48" t="s">
        <v>29</v>
      </c>
      <c r="N48" t="s">
        <v>29</v>
      </c>
      <c r="O48">
        <v>14.897837417328599</v>
      </c>
      <c r="P48">
        <v>0.66979494908268</v>
      </c>
      <c r="Q48">
        <v>-1.0382365235042701</v>
      </c>
      <c r="R48">
        <v>2.3778264216696301</v>
      </c>
      <c r="S48">
        <v>14.0705480609725</v>
      </c>
      <c r="T48">
        <v>0.88869002302673705</v>
      </c>
      <c r="U48">
        <v>-6.1998207386727602</v>
      </c>
      <c r="V48">
        <v>0.39756483057011799</v>
      </c>
      <c r="W48">
        <v>0.565728418971578</v>
      </c>
      <c r="X48">
        <v>0</v>
      </c>
      <c r="Y48">
        <v>0</v>
      </c>
    </row>
    <row r="49" spans="1:25" x14ac:dyDescent="0.2">
      <c r="A49" t="s">
        <v>205</v>
      </c>
      <c r="B49" t="s">
        <v>206</v>
      </c>
      <c r="C49" t="s">
        <v>207</v>
      </c>
      <c r="D49" t="s">
        <v>208</v>
      </c>
      <c r="E49" t="s">
        <v>206</v>
      </c>
      <c r="F49" t="s">
        <v>28</v>
      </c>
      <c r="G49" t="s">
        <v>206</v>
      </c>
      <c r="H49" t="str">
        <f>"vab-10"</f>
        <v>vab-10</v>
      </c>
      <c r="I49" t="s">
        <v>208</v>
      </c>
      <c r="J49">
        <v>14.179956953749899</v>
      </c>
      <c r="K49">
        <v>14.4377412108465</v>
      </c>
      <c r="L49">
        <v>14.2445464099474</v>
      </c>
      <c r="M49">
        <v>15.1970793065711</v>
      </c>
      <c r="N49">
        <v>14.9534771482808</v>
      </c>
      <c r="O49">
        <v>14.911322848442101</v>
      </c>
      <c r="P49">
        <v>0.73321157625012201</v>
      </c>
      <c r="Q49">
        <v>0.37901818749104299</v>
      </c>
      <c r="R49">
        <v>1.0874049650091999</v>
      </c>
      <c r="S49">
        <v>14.6073487361127</v>
      </c>
      <c r="T49">
        <v>4.35092278245458</v>
      </c>
      <c r="U49">
        <v>-0.397716419901813</v>
      </c>
      <c r="V49">
        <v>3.8986226631907301E-4</v>
      </c>
      <c r="W49">
        <v>4.5412019717087299E-3</v>
      </c>
      <c r="X49">
        <v>0</v>
      </c>
      <c r="Y49">
        <v>0</v>
      </c>
    </row>
    <row r="50" spans="1:25" x14ac:dyDescent="0.2">
      <c r="A50" t="s">
        <v>209</v>
      </c>
      <c r="B50" t="s">
        <v>210</v>
      </c>
      <c r="C50" t="s">
        <v>14194</v>
      </c>
      <c r="D50" t="s">
        <v>211</v>
      </c>
      <c r="E50" t="s">
        <v>210</v>
      </c>
      <c r="F50" t="s">
        <v>28</v>
      </c>
      <c r="G50" t="s">
        <v>210</v>
      </c>
      <c r="H50" t="str">
        <f>"F43B10.1"</f>
        <v>F43B10.1</v>
      </c>
      <c r="I50" t="s">
        <v>211</v>
      </c>
      <c r="J50">
        <v>12.5862178820097</v>
      </c>
      <c r="K50">
        <v>13.053102137911599</v>
      </c>
      <c r="L50">
        <v>13.219347741859799</v>
      </c>
      <c r="M50" t="s">
        <v>29</v>
      </c>
      <c r="N50" t="s">
        <v>29</v>
      </c>
      <c r="O50">
        <v>12.8057524382625</v>
      </c>
      <c r="P50">
        <v>-0.14713681566450099</v>
      </c>
      <c r="Q50">
        <v>-0.84621371443577398</v>
      </c>
      <c r="R50">
        <v>0.55194008310677201</v>
      </c>
      <c r="S50">
        <v>12.891987440011</v>
      </c>
      <c r="T50">
        <v>-0.44642235242777101</v>
      </c>
      <c r="U50">
        <v>-6.7086989524865199</v>
      </c>
      <c r="V50">
        <v>0.66131410324440398</v>
      </c>
      <c r="W50">
        <v>0.77579104511357899</v>
      </c>
      <c r="X50">
        <v>0</v>
      </c>
      <c r="Y50">
        <v>0</v>
      </c>
    </row>
    <row r="51" spans="1:25" x14ac:dyDescent="0.2">
      <c r="A51" t="s">
        <v>212</v>
      </c>
      <c r="B51" t="s">
        <v>213</v>
      </c>
      <c r="C51" t="s">
        <v>14195</v>
      </c>
      <c r="D51" t="s">
        <v>214</v>
      </c>
      <c r="E51" t="s">
        <v>213</v>
      </c>
      <c r="F51" t="s">
        <v>28</v>
      </c>
      <c r="G51" t="s">
        <v>213</v>
      </c>
      <c r="H51" t="str">
        <f>"H05L14.2"</f>
        <v>H05L14.2</v>
      </c>
      <c r="I51" t="s">
        <v>214</v>
      </c>
      <c r="J51">
        <v>11.6333501971164</v>
      </c>
      <c r="K51">
        <v>11.092310578738299</v>
      </c>
      <c r="L51">
        <v>12.0330338834797</v>
      </c>
      <c r="M51" t="s">
        <v>29</v>
      </c>
      <c r="N51">
        <v>11.8615310979093</v>
      </c>
      <c r="O51">
        <v>12.0923842625358</v>
      </c>
      <c r="P51">
        <v>0.390726127111099</v>
      </c>
      <c r="Q51">
        <v>-0.19936489072437899</v>
      </c>
      <c r="R51">
        <v>0.98081714494657701</v>
      </c>
      <c r="S51">
        <v>12.169680910982899</v>
      </c>
      <c r="T51">
        <v>1.4121962518069</v>
      </c>
      <c r="U51">
        <v>-6.0547494057969597</v>
      </c>
      <c r="V51">
        <v>0.17844311337777799</v>
      </c>
      <c r="W51">
        <v>0.33136222755155098</v>
      </c>
      <c r="X51">
        <v>0</v>
      </c>
      <c r="Y51">
        <v>0</v>
      </c>
    </row>
    <row r="52" spans="1:25" x14ac:dyDescent="0.2">
      <c r="A52" t="s">
        <v>215</v>
      </c>
      <c r="B52" t="s">
        <v>216</v>
      </c>
      <c r="C52" t="s">
        <v>217</v>
      </c>
      <c r="D52" t="s">
        <v>218</v>
      </c>
      <c r="E52" t="s">
        <v>216</v>
      </c>
      <c r="F52" t="s">
        <v>28</v>
      </c>
      <c r="G52" t="s">
        <v>216</v>
      </c>
      <c r="H52" t="str">
        <f>"ubc-15"</f>
        <v>ubc-15</v>
      </c>
      <c r="I52" t="s">
        <v>218</v>
      </c>
      <c r="J52" t="s">
        <v>29</v>
      </c>
      <c r="K52" t="s">
        <v>29</v>
      </c>
      <c r="L52" t="s">
        <v>29</v>
      </c>
      <c r="M52" t="s">
        <v>29</v>
      </c>
      <c r="N52" t="s">
        <v>29</v>
      </c>
      <c r="O52" t="s">
        <v>29</v>
      </c>
      <c r="P52" t="s">
        <v>29</v>
      </c>
      <c r="Q52" t="s">
        <v>29</v>
      </c>
      <c r="R52" t="s">
        <v>29</v>
      </c>
      <c r="S52">
        <v>12.4103078793504</v>
      </c>
      <c r="T52" t="s">
        <v>29</v>
      </c>
      <c r="U52" t="s">
        <v>29</v>
      </c>
      <c r="V52" t="s">
        <v>29</v>
      </c>
      <c r="W52" t="s">
        <v>29</v>
      </c>
      <c r="X52" t="s">
        <v>29</v>
      </c>
      <c r="Y52" t="s">
        <v>29</v>
      </c>
    </row>
    <row r="53" spans="1:25" x14ac:dyDescent="0.2">
      <c r="A53" t="s">
        <v>219</v>
      </c>
      <c r="B53" t="s">
        <v>220</v>
      </c>
      <c r="C53" t="s">
        <v>14196</v>
      </c>
      <c r="D53" t="s">
        <v>221</v>
      </c>
      <c r="E53" t="s">
        <v>220</v>
      </c>
      <c r="F53" t="s">
        <v>28</v>
      </c>
      <c r="G53" t="s">
        <v>220</v>
      </c>
      <c r="H53" t="str">
        <f>"F42G2.2"</f>
        <v>F42G2.2</v>
      </c>
      <c r="I53" t="s">
        <v>221</v>
      </c>
      <c r="J53" t="s">
        <v>29</v>
      </c>
      <c r="K53" t="s">
        <v>29</v>
      </c>
      <c r="L53">
        <v>11.7749973551536</v>
      </c>
      <c r="M53" t="s">
        <v>29</v>
      </c>
      <c r="N53" t="s">
        <v>29</v>
      </c>
      <c r="O53" t="s">
        <v>29</v>
      </c>
      <c r="P53" t="s">
        <v>29</v>
      </c>
      <c r="Q53" t="s">
        <v>29</v>
      </c>
      <c r="R53" t="s">
        <v>29</v>
      </c>
      <c r="S53">
        <v>11.8522968350778</v>
      </c>
      <c r="T53" t="s">
        <v>29</v>
      </c>
      <c r="U53" t="s">
        <v>29</v>
      </c>
      <c r="V53" t="s">
        <v>29</v>
      </c>
      <c r="W53" t="s">
        <v>29</v>
      </c>
      <c r="X53" t="s">
        <v>29</v>
      </c>
      <c r="Y53" t="s">
        <v>29</v>
      </c>
    </row>
    <row r="54" spans="1:25" x14ac:dyDescent="0.2">
      <c r="A54" t="s">
        <v>222</v>
      </c>
      <c r="B54" t="s">
        <v>223</v>
      </c>
      <c r="C54" t="s">
        <v>224</v>
      </c>
      <c r="D54" t="s">
        <v>225</v>
      </c>
      <c r="E54" t="s">
        <v>223</v>
      </c>
      <c r="F54" t="s">
        <v>28</v>
      </c>
      <c r="G54" t="s">
        <v>223</v>
      </c>
      <c r="H54" t="str">
        <f>"aakg-1"</f>
        <v>aakg-1</v>
      </c>
      <c r="I54" t="s">
        <v>225</v>
      </c>
      <c r="J54">
        <v>12.022926156126699</v>
      </c>
      <c r="K54">
        <v>12.415505450300101</v>
      </c>
      <c r="L54">
        <v>11.617307840359301</v>
      </c>
      <c r="M54" t="s">
        <v>29</v>
      </c>
      <c r="N54" t="s">
        <v>29</v>
      </c>
      <c r="O54">
        <v>13.0197962729743</v>
      </c>
      <c r="P54">
        <v>1.00121645737886</v>
      </c>
      <c r="Q54">
        <v>0.342508807787956</v>
      </c>
      <c r="R54">
        <v>1.6599241069697599</v>
      </c>
      <c r="S54">
        <v>12.603750103843501</v>
      </c>
      <c r="T54">
        <v>3.2239240536413698</v>
      </c>
      <c r="U54">
        <v>-2.6276946833640702</v>
      </c>
      <c r="V54">
        <v>5.3406523193749696E-3</v>
      </c>
      <c r="W54">
        <v>2.9418509131211301E-2</v>
      </c>
      <c r="X54">
        <v>1</v>
      </c>
      <c r="Y54">
        <v>1</v>
      </c>
    </row>
    <row r="55" spans="1:25" x14ac:dyDescent="0.2">
      <c r="A55" t="s">
        <v>226</v>
      </c>
      <c r="B55" t="s">
        <v>227</v>
      </c>
      <c r="C55" t="s">
        <v>228</v>
      </c>
      <c r="D55" t="s">
        <v>229</v>
      </c>
      <c r="E55" t="s">
        <v>227</v>
      </c>
      <c r="F55" t="s">
        <v>28</v>
      </c>
      <c r="G55" t="s">
        <v>227</v>
      </c>
      <c r="H55" t="str">
        <f>"argn-1"</f>
        <v>argn-1</v>
      </c>
      <c r="I55" t="s">
        <v>229</v>
      </c>
      <c r="J55">
        <v>13.176354262628999</v>
      </c>
      <c r="K55">
        <v>12.971672319152599</v>
      </c>
      <c r="L55">
        <v>13.6400111841814</v>
      </c>
      <c r="M55" t="s">
        <v>29</v>
      </c>
      <c r="N55">
        <v>13.410280149528001</v>
      </c>
      <c r="O55">
        <v>13.3744951792177</v>
      </c>
      <c r="P55">
        <v>0.129708409051847</v>
      </c>
      <c r="Q55">
        <v>-0.34013856378993401</v>
      </c>
      <c r="R55">
        <v>0.599555381893629</v>
      </c>
      <c r="S55">
        <v>13.3787151124024</v>
      </c>
      <c r="T55">
        <v>0.58272239965082895</v>
      </c>
      <c r="U55">
        <v>-6.86876445546166</v>
      </c>
      <c r="V55">
        <v>0.56777693467788204</v>
      </c>
      <c r="W55">
        <v>0.70929996884091495</v>
      </c>
      <c r="X55">
        <v>0</v>
      </c>
      <c r="Y55">
        <v>0</v>
      </c>
    </row>
    <row r="56" spans="1:25" x14ac:dyDescent="0.2">
      <c r="A56" t="s">
        <v>230</v>
      </c>
      <c r="B56" t="s">
        <v>231</v>
      </c>
      <c r="C56" t="s">
        <v>232</v>
      </c>
      <c r="D56" t="s">
        <v>233</v>
      </c>
      <c r="E56" t="s">
        <v>231</v>
      </c>
      <c r="F56" t="s">
        <v>28</v>
      </c>
      <c r="G56" t="s">
        <v>231</v>
      </c>
      <c r="H56" t="str">
        <f>"unc-108"</f>
        <v>unc-108</v>
      </c>
      <c r="I56" t="s">
        <v>233</v>
      </c>
      <c r="J56">
        <v>15.204015792641</v>
      </c>
      <c r="K56">
        <v>15.258716210621699</v>
      </c>
      <c r="L56">
        <v>14.7111165174394</v>
      </c>
      <c r="M56">
        <v>14.6398411856749</v>
      </c>
      <c r="N56">
        <v>14.512801927080099</v>
      </c>
      <c r="O56">
        <v>14.542475620116999</v>
      </c>
      <c r="P56">
        <v>-0.49290992927668298</v>
      </c>
      <c r="Q56">
        <v>-1.1475629889732599</v>
      </c>
      <c r="R56">
        <v>0.16174313041989699</v>
      </c>
      <c r="S56">
        <v>14.306495191261099</v>
      </c>
      <c r="T56">
        <v>-1.5825187994490699</v>
      </c>
      <c r="U56">
        <v>-5.9267244927156604</v>
      </c>
      <c r="V56">
        <v>0.13104396061409801</v>
      </c>
      <c r="W56">
        <v>0.264692633262335</v>
      </c>
      <c r="X56">
        <v>0</v>
      </c>
      <c r="Y56">
        <v>0</v>
      </c>
    </row>
    <row r="57" spans="1:25" x14ac:dyDescent="0.2">
      <c r="A57" t="s">
        <v>234</v>
      </c>
      <c r="B57" t="s">
        <v>235</v>
      </c>
      <c r="C57" t="s">
        <v>236</v>
      </c>
      <c r="D57" t="s">
        <v>237</v>
      </c>
      <c r="E57" t="s">
        <v>235</v>
      </c>
      <c r="F57" t="s">
        <v>28</v>
      </c>
      <c r="G57" t="s">
        <v>235</v>
      </c>
      <c r="H57" t="str">
        <f>"ampd-1"</f>
        <v>ampd-1</v>
      </c>
      <c r="I57" t="s">
        <v>237</v>
      </c>
      <c r="J57">
        <v>12.726094433296501</v>
      </c>
      <c r="K57">
        <v>11.783712190855301</v>
      </c>
      <c r="L57">
        <v>12.351551426175501</v>
      </c>
      <c r="M57">
        <v>17.014835789690299</v>
      </c>
      <c r="N57">
        <v>17.546786394579499</v>
      </c>
      <c r="O57">
        <v>18.012954551763301</v>
      </c>
      <c r="P57">
        <v>5.23773956190192</v>
      </c>
      <c r="Q57">
        <v>4.4152105376107498</v>
      </c>
      <c r="R57">
        <v>6.0602685861930796</v>
      </c>
      <c r="S57">
        <v>15.958799802712999</v>
      </c>
      <c r="T57">
        <v>13.383976995940399</v>
      </c>
      <c r="U57">
        <v>14.958898982575599</v>
      </c>
      <c r="V57" s="2">
        <v>9.2593058621633799E-11</v>
      </c>
      <c r="W57" s="2">
        <v>2.4806522159814098E-8</v>
      </c>
      <c r="X57">
        <v>1</v>
      </c>
      <c r="Y57">
        <v>1</v>
      </c>
    </row>
    <row r="58" spans="1:25" x14ac:dyDescent="0.2">
      <c r="A58" t="s">
        <v>238</v>
      </c>
      <c r="B58" t="s">
        <v>239</v>
      </c>
      <c r="C58" t="s">
        <v>240</v>
      </c>
      <c r="D58" t="s">
        <v>241</v>
      </c>
      <c r="E58" t="s">
        <v>239</v>
      </c>
      <c r="F58" t="s">
        <v>28</v>
      </c>
      <c r="G58" t="s">
        <v>239</v>
      </c>
      <c r="H58" t="str">
        <f>"unc-68"</f>
        <v>unc-68</v>
      </c>
      <c r="I58" t="s">
        <v>241</v>
      </c>
      <c r="J58">
        <v>11.668501225041901</v>
      </c>
      <c r="K58">
        <v>11.7646107681313</v>
      </c>
      <c r="L58">
        <v>11.0104726657997</v>
      </c>
      <c r="M58" t="s">
        <v>29</v>
      </c>
      <c r="N58">
        <v>9.8538141538994495</v>
      </c>
      <c r="O58">
        <v>11.1107811606881</v>
      </c>
      <c r="P58">
        <v>-0.99889722903051703</v>
      </c>
      <c r="Q58">
        <v>-1.68355608966876</v>
      </c>
      <c r="R58">
        <v>-0.31423836839227498</v>
      </c>
      <c r="S58">
        <v>11.2030041267413</v>
      </c>
      <c r="T58">
        <v>-3.0796161502295298</v>
      </c>
      <c r="U58">
        <v>-3.0961950145975301</v>
      </c>
      <c r="V58">
        <v>6.8326214665885097E-3</v>
      </c>
      <c r="W58">
        <v>3.48369125640767E-2</v>
      </c>
      <c r="X58">
        <v>0</v>
      </c>
      <c r="Y58">
        <v>0</v>
      </c>
    </row>
    <row r="59" spans="1:25" x14ac:dyDescent="0.2">
      <c r="A59" t="s">
        <v>242</v>
      </c>
      <c r="B59" t="s">
        <v>243</v>
      </c>
      <c r="C59" t="s">
        <v>244</v>
      </c>
      <c r="D59" t="s">
        <v>245</v>
      </c>
      <c r="E59" t="s">
        <v>243</v>
      </c>
      <c r="F59" t="s">
        <v>28</v>
      </c>
      <c r="G59" t="s">
        <v>243</v>
      </c>
      <c r="H59" t="str">
        <f>"C25H3.11"</f>
        <v>C25H3.11</v>
      </c>
      <c r="I59" t="s">
        <v>245</v>
      </c>
      <c r="J59">
        <v>10.949068131483701</v>
      </c>
      <c r="K59">
        <v>9.1988829662563703</v>
      </c>
      <c r="L59">
        <v>11.292826433694101</v>
      </c>
      <c r="M59" t="s">
        <v>29</v>
      </c>
      <c r="N59" t="s">
        <v>29</v>
      </c>
      <c r="O59" t="s">
        <v>29</v>
      </c>
      <c r="P59" t="s">
        <v>29</v>
      </c>
      <c r="Q59" t="s">
        <v>29</v>
      </c>
      <c r="R59" t="s">
        <v>29</v>
      </c>
      <c r="S59">
        <v>10.5786249075736</v>
      </c>
      <c r="T59" t="s">
        <v>29</v>
      </c>
      <c r="U59" t="s">
        <v>29</v>
      </c>
      <c r="V59" t="s">
        <v>29</v>
      </c>
      <c r="W59" t="s">
        <v>29</v>
      </c>
      <c r="X59" t="s">
        <v>29</v>
      </c>
      <c r="Y59" t="s">
        <v>29</v>
      </c>
    </row>
    <row r="60" spans="1:25" x14ac:dyDescent="0.2">
      <c r="A60" t="s">
        <v>246</v>
      </c>
      <c r="B60" t="s">
        <v>247</v>
      </c>
      <c r="C60" t="s">
        <v>248</v>
      </c>
      <c r="D60" t="s">
        <v>218</v>
      </c>
      <c r="E60" t="s">
        <v>247</v>
      </c>
      <c r="F60" t="s">
        <v>28</v>
      </c>
      <c r="G60" t="s">
        <v>247</v>
      </c>
      <c r="H60" t="str">
        <f>"ubc-26"</f>
        <v>ubc-26</v>
      </c>
      <c r="I60" t="s">
        <v>218</v>
      </c>
      <c r="J60">
        <v>13.0304877162895</v>
      </c>
      <c r="K60">
        <v>13.2428179381898</v>
      </c>
      <c r="L60">
        <v>13.706172229730999</v>
      </c>
      <c r="M60" t="s">
        <v>29</v>
      </c>
      <c r="N60">
        <v>13.6267440726925</v>
      </c>
      <c r="O60">
        <v>13.547051614312</v>
      </c>
      <c r="P60">
        <v>0.26040521543218798</v>
      </c>
      <c r="Q60">
        <v>-0.19332985026215399</v>
      </c>
      <c r="R60">
        <v>0.71414028112653005</v>
      </c>
      <c r="S60">
        <v>13.3339863567112</v>
      </c>
      <c r="T60">
        <v>1.2114272747910599</v>
      </c>
      <c r="U60">
        <v>-6.30596679283589</v>
      </c>
      <c r="V60">
        <v>0.24240406412919799</v>
      </c>
      <c r="W60">
        <v>0.40841370525924398</v>
      </c>
      <c r="X60">
        <v>0</v>
      </c>
      <c r="Y60">
        <v>0</v>
      </c>
    </row>
    <row r="61" spans="1:25" x14ac:dyDescent="0.2">
      <c r="A61" t="s">
        <v>249</v>
      </c>
      <c r="B61" t="s">
        <v>250</v>
      </c>
      <c r="C61" t="s">
        <v>251</v>
      </c>
      <c r="D61" t="s">
        <v>252</v>
      </c>
      <c r="E61" t="s">
        <v>250</v>
      </c>
      <c r="F61" t="s">
        <v>28</v>
      </c>
      <c r="G61" t="s">
        <v>250</v>
      </c>
      <c r="H61" t="str">
        <f>"rbm-26"</f>
        <v>rbm-26</v>
      </c>
      <c r="I61" t="s">
        <v>252</v>
      </c>
      <c r="J61" t="s">
        <v>29</v>
      </c>
      <c r="K61" t="s">
        <v>29</v>
      </c>
      <c r="L61" t="s">
        <v>29</v>
      </c>
      <c r="M61" t="s">
        <v>29</v>
      </c>
      <c r="N61" t="s">
        <v>29</v>
      </c>
      <c r="O61" t="s">
        <v>29</v>
      </c>
      <c r="P61" t="s">
        <v>29</v>
      </c>
      <c r="Q61" t="s">
        <v>29</v>
      </c>
      <c r="R61" t="s">
        <v>29</v>
      </c>
      <c r="S61">
        <v>12.116946644335</v>
      </c>
      <c r="T61" t="s">
        <v>29</v>
      </c>
      <c r="U61" t="s">
        <v>29</v>
      </c>
      <c r="V61" t="s">
        <v>29</v>
      </c>
      <c r="W61" t="s">
        <v>29</v>
      </c>
      <c r="X61" t="s">
        <v>29</v>
      </c>
      <c r="Y61" t="s">
        <v>29</v>
      </c>
    </row>
    <row r="62" spans="1:25" x14ac:dyDescent="0.2">
      <c r="A62" t="s">
        <v>253</v>
      </c>
      <c r="B62" t="s">
        <v>254</v>
      </c>
      <c r="C62" t="s">
        <v>255</v>
      </c>
      <c r="D62" t="s">
        <v>256</v>
      </c>
      <c r="E62" t="s">
        <v>254</v>
      </c>
      <c r="F62" t="s">
        <v>28</v>
      </c>
      <c r="G62" t="s">
        <v>254</v>
      </c>
      <c r="H62" t="str">
        <f>"popl-7"</f>
        <v>popl-7</v>
      </c>
      <c r="I62" t="s">
        <v>256</v>
      </c>
      <c r="J62">
        <v>12.661963338902</v>
      </c>
      <c r="K62">
        <v>12.6445809519506</v>
      </c>
      <c r="L62">
        <v>13.080964895317001</v>
      </c>
      <c r="M62" t="s">
        <v>29</v>
      </c>
      <c r="N62" t="s">
        <v>29</v>
      </c>
      <c r="O62">
        <v>12.0788501676812</v>
      </c>
      <c r="P62">
        <v>-0.71698622770868103</v>
      </c>
      <c r="Q62">
        <v>-1.5799274575603</v>
      </c>
      <c r="R62">
        <v>0.14595500214294199</v>
      </c>
      <c r="S62">
        <v>12.764272222603999</v>
      </c>
      <c r="T62">
        <v>-1.7622970898121799</v>
      </c>
      <c r="U62">
        <v>-5.3246102201327998</v>
      </c>
      <c r="V62">
        <v>9.7234494973709895E-2</v>
      </c>
      <c r="W62">
        <v>0.21289008669206799</v>
      </c>
      <c r="X62">
        <v>0</v>
      </c>
      <c r="Y62">
        <v>0</v>
      </c>
    </row>
    <row r="63" spans="1:25" x14ac:dyDescent="0.2">
      <c r="A63" t="s">
        <v>257</v>
      </c>
      <c r="B63" t="s">
        <v>258</v>
      </c>
      <c r="C63" t="s">
        <v>14197</v>
      </c>
      <c r="D63" t="s">
        <v>259</v>
      </c>
      <c r="E63" t="s">
        <v>258</v>
      </c>
      <c r="F63" t="s">
        <v>28</v>
      </c>
      <c r="G63" t="s">
        <v>258</v>
      </c>
      <c r="H63" t="str">
        <f>"Y48E1B.17"</f>
        <v>Y48E1B.17</v>
      </c>
      <c r="I63" t="s">
        <v>259</v>
      </c>
      <c r="J63" t="s">
        <v>29</v>
      </c>
      <c r="K63">
        <v>10.004524028772</v>
      </c>
      <c r="L63" t="s">
        <v>29</v>
      </c>
      <c r="M63" t="s">
        <v>29</v>
      </c>
      <c r="N63" t="s">
        <v>29</v>
      </c>
      <c r="O63" t="s">
        <v>29</v>
      </c>
      <c r="P63" t="s">
        <v>29</v>
      </c>
      <c r="Q63" t="s">
        <v>29</v>
      </c>
      <c r="R63" t="s">
        <v>29</v>
      </c>
      <c r="S63">
        <v>10.934123658481299</v>
      </c>
      <c r="T63" t="s">
        <v>29</v>
      </c>
      <c r="U63" t="s">
        <v>29</v>
      </c>
      <c r="V63" t="s">
        <v>29</v>
      </c>
      <c r="W63" t="s">
        <v>29</v>
      </c>
      <c r="X63" t="s">
        <v>29</v>
      </c>
      <c r="Y63" t="s">
        <v>29</v>
      </c>
    </row>
    <row r="64" spans="1:25" x14ac:dyDescent="0.2">
      <c r="A64" t="s">
        <v>260</v>
      </c>
      <c r="B64" t="s">
        <v>261</v>
      </c>
      <c r="C64" t="s">
        <v>14198</v>
      </c>
      <c r="D64" t="s">
        <v>262</v>
      </c>
      <c r="E64" t="s">
        <v>261</v>
      </c>
      <c r="F64" t="s">
        <v>28</v>
      </c>
      <c r="G64" t="s">
        <v>261</v>
      </c>
      <c r="H64" t="str">
        <f>"Y55F3C.17"</f>
        <v>Y55F3C.17</v>
      </c>
      <c r="I64" t="s">
        <v>262</v>
      </c>
      <c r="J64">
        <v>13.3713843315209</v>
      </c>
      <c r="K64">
        <v>13.8938146839377</v>
      </c>
      <c r="L64">
        <v>13.449076791245799</v>
      </c>
      <c r="M64" t="s">
        <v>29</v>
      </c>
      <c r="N64" t="s">
        <v>29</v>
      </c>
      <c r="O64" t="s">
        <v>29</v>
      </c>
      <c r="P64" t="s">
        <v>29</v>
      </c>
      <c r="Q64" t="s">
        <v>29</v>
      </c>
      <c r="R64" t="s">
        <v>29</v>
      </c>
      <c r="S64">
        <v>13.4553214115153</v>
      </c>
      <c r="T64" t="s">
        <v>29</v>
      </c>
      <c r="U64" t="s">
        <v>29</v>
      </c>
      <c r="V64" t="s">
        <v>29</v>
      </c>
      <c r="W64" t="s">
        <v>29</v>
      </c>
      <c r="X64" t="s">
        <v>29</v>
      </c>
      <c r="Y64" t="s">
        <v>29</v>
      </c>
    </row>
    <row r="65" spans="1:25" x14ac:dyDescent="0.2">
      <c r="A65" t="s">
        <v>263</v>
      </c>
      <c r="B65" t="s">
        <v>264</v>
      </c>
      <c r="C65" t="s">
        <v>265</v>
      </c>
      <c r="D65" t="s">
        <v>266</v>
      </c>
      <c r="E65" t="s">
        <v>264</v>
      </c>
      <c r="F65" t="s">
        <v>28</v>
      </c>
      <c r="G65" t="s">
        <v>264</v>
      </c>
      <c r="H65" t="str">
        <f>"abts-3"</f>
        <v>abts-3</v>
      </c>
      <c r="I65" t="s">
        <v>266</v>
      </c>
      <c r="J65">
        <v>11.9899415223493</v>
      </c>
      <c r="K65">
        <v>12.4214031280351</v>
      </c>
      <c r="L65">
        <v>12.2406066694959</v>
      </c>
      <c r="M65" t="s">
        <v>29</v>
      </c>
      <c r="N65">
        <v>12.5694982006438</v>
      </c>
      <c r="O65">
        <v>12.866311928221901</v>
      </c>
      <c r="P65">
        <v>0.50058795780611798</v>
      </c>
      <c r="Q65">
        <v>-0.56073678850474495</v>
      </c>
      <c r="R65">
        <v>1.56191270411698</v>
      </c>
      <c r="S65">
        <v>12.7624767933876</v>
      </c>
      <c r="T65">
        <v>1.00041832265454</v>
      </c>
      <c r="U65">
        <v>-6.5336053855679204</v>
      </c>
      <c r="V65">
        <v>0.33209544751141801</v>
      </c>
      <c r="W65">
        <v>0.50395740670244504</v>
      </c>
      <c r="X65">
        <v>0</v>
      </c>
      <c r="Y65">
        <v>0</v>
      </c>
    </row>
    <row r="66" spans="1:25" x14ac:dyDescent="0.2">
      <c r="A66" t="s">
        <v>267</v>
      </c>
      <c r="B66" t="s">
        <v>268</v>
      </c>
      <c r="C66" t="s">
        <v>269</v>
      </c>
      <c r="D66" t="s">
        <v>270</v>
      </c>
      <c r="E66" t="s">
        <v>268</v>
      </c>
      <c r="F66" t="s">
        <v>28</v>
      </c>
      <c r="G66" t="s">
        <v>268</v>
      </c>
      <c r="H66" t="str">
        <f>"grd-6"</f>
        <v>grd-6</v>
      </c>
      <c r="I66" t="s">
        <v>270</v>
      </c>
      <c r="J66" t="s">
        <v>29</v>
      </c>
      <c r="K66">
        <v>13.106788590240001</v>
      </c>
      <c r="L66">
        <v>12.788298635310101</v>
      </c>
      <c r="M66" t="s">
        <v>29</v>
      </c>
      <c r="N66" t="s">
        <v>29</v>
      </c>
      <c r="O66" t="s">
        <v>29</v>
      </c>
      <c r="P66" t="s">
        <v>29</v>
      </c>
      <c r="Q66" t="s">
        <v>29</v>
      </c>
      <c r="R66" t="s">
        <v>29</v>
      </c>
      <c r="S66">
        <v>13.0365761850497</v>
      </c>
      <c r="T66" t="s">
        <v>29</v>
      </c>
      <c r="U66" t="s">
        <v>29</v>
      </c>
      <c r="V66" t="s">
        <v>29</v>
      </c>
      <c r="W66" t="s">
        <v>29</v>
      </c>
      <c r="X66" t="s">
        <v>29</v>
      </c>
      <c r="Y66" t="s">
        <v>29</v>
      </c>
    </row>
    <row r="67" spans="1:25" x14ac:dyDescent="0.2">
      <c r="A67" t="s">
        <v>271</v>
      </c>
      <c r="B67" t="s">
        <v>272</v>
      </c>
      <c r="C67" t="s">
        <v>273</v>
      </c>
      <c r="D67" t="s">
        <v>274</v>
      </c>
      <c r="E67" t="s">
        <v>272</v>
      </c>
      <c r="F67" t="s">
        <v>28</v>
      </c>
      <c r="G67" t="s">
        <v>272</v>
      </c>
      <c r="H67" t="str">
        <f>"tsr-1"</f>
        <v>tsr-1</v>
      </c>
      <c r="I67" t="s">
        <v>274</v>
      </c>
      <c r="J67">
        <v>12.287667062648</v>
      </c>
      <c r="K67" t="s">
        <v>29</v>
      </c>
      <c r="L67">
        <v>12.2043153021382</v>
      </c>
      <c r="M67" t="s">
        <v>29</v>
      </c>
      <c r="N67" t="s">
        <v>29</v>
      </c>
      <c r="O67">
        <v>12.289693762056</v>
      </c>
      <c r="P67">
        <v>4.3702579662912897E-2</v>
      </c>
      <c r="Q67">
        <v>-0.94697689123248197</v>
      </c>
      <c r="R67">
        <v>1.0343820505583099</v>
      </c>
      <c r="S67">
        <v>12.266053404641401</v>
      </c>
      <c r="T67">
        <v>9.4083944152092105E-2</v>
      </c>
      <c r="U67">
        <v>-6.7498906160254197</v>
      </c>
      <c r="V67">
        <v>0.92629641505698701</v>
      </c>
      <c r="W67">
        <v>0.958332574148544</v>
      </c>
      <c r="X67">
        <v>0</v>
      </c>
      <c r="Y67">
        <v>0</v>
      </c>
    </row>
    <row r="68" spans="1:25" x14ac:dyDescent="0.2">
      <c r="A68" t="s">
        <v>275</v>
      </c>
      <c r="B68" t="s">
        <v>276</v>
      </c>
      <c r="C68" t="s">
        <v>277</v>
      </c>
      <c r="D68" t="s">
        <v>278</v>
      </c>
      <c r="E68" t="s">
        <v>276</v>
      </c>
      <c r="F68" t="s">
        <v>28</v>
      </c>
      <c r="G68" t="s">
        <v>276</v>
      </c>
      <c r="H68" t="str">
        <f>"tag-296"</f>
        <v>tag-296</v>
      </c>
      <c r="I68" t="s">
        <v>278</v>
      </c>
      <c r="J68" t="s">
        <v>29</v>
      </c>
      <c r="K68" t="s">
        <v>29</v>
      </c>
      <c r="L68">
        <v>11.391877686451201</v>
      </c>
      <c r="M68" t="s">
        <v>29</v>
      </c>
      <c r="N68" t="s">
        <v>29</v>
      </c>
      <c r="O68" t="s">
        <v>29</v>
      </c>
      <c r="P68" t="s">
        <v>29</v>
      </c>
      <c r="Q68" t="s">
        <v>29</v>
      </c>
      <c r="R68" t="s">
        <v>29</v>
      </c>
      <c r="S68">
        <v>11.981490566472401</v>
      </c>
      <c r="T68" t="s">
        <v>29</v>
      </c>
      <c r="U68" t="s">
        <v>29</v>
      </c>
      <c r="V68" t="s">
        <v>29</v>
      </c>
      <c r="W68" t="s">
        <v>29</v>
      </c>
      <c r="X68" t="s">
        <v>29</v>
      </c>
      <c r="Y68" t="s">
        <v>29</v>
      </c>
    </row>
    <row r="69" spans="1:25" x14ac:dyDescent="0.2">
      <c r="A69" t="s">
        <v>279</v>
      </c>
      <c r="B69" t="s">
        <v>280</v>
      </c>
      <c r="C69" t="s">
        <v>281</v>
      </c>
      <c r="D69" t="s">
        <v>282</v>
      </c>
      <c r="E69" t="s">
        <v>280</v>
      </c>
      <c r="F69" t="s">
        <v>28</v>
      </c>
      <c r="G69" t="s">
        <v>280</v>
      </c>
      <c r="H69" t="str">
        <f>"golg-4"</f>
        <v>golg-4</v>
      </c>
      <c r="I69" t="s">
        <v>282</v>
      </c>
      <c r="J69" t="s">
        <v>29</v>
      </c>
      <c r="K69" t="s">
        <v>29</v>
      </c>
      <c r="L69">
        <v>11.7186021239142</v>
      </c>
      <c r="M69" t="s">
        <v>29</v>
      </c>
      <c r="N69" t="s">
        <v>29</v>
      </c>
      <c r="O69">
        <v>13.197994109612701</v>
      </c>
      <c r="P69">
        <v>1.47939198569851</v>
      </c>
      <c r="Q69">
        <v>0.13333553553619201</v>
      </c>
      <c r="R69">
        <v>2.8254484358608201</v>
      </c>
      <c r="S69">
        <v>12.1251675915577</v>
      </c>
      <c r="T69">
        <v>2.3589127675622699</v>
      </c>
      <c r="U69">
        <v>-4.1570975607502403</v>
      </c>
      <c r="V69">
        <v>3.3513741653889803E-2</v>
      </c>
      <c r="W69">
        <v>0.104957488473978</v>
      </c>
      <c r="X69">
        <v>1</v>
      </c>
      <c r="Y69">
        <v>0</v>
      </c>
    </row>
    <row r="70" spans="1:25" x14ac:dyDescent="0.2">
      <c r="A70" t="s">
        <v>283</v>
      </c>
      <c r="B70" t="s">
        <v>284</v>
      </c>
      <c r="C70" t="s">
        <v>285</v>
      </c>
      <c r="D70" t="s">
        <v>286</v>
      </c>
      <c r="E70" t="s">
        <v>284</v>
      </c>
      <c r="F70" t="s">
        <v>28</v>
      </c>
      <c r="G70" t="s">
        <v>284</v>
      </c>
      <c r="H70" t="str">
        <f>"arx-3"</f>
        <v>arx-3</v>
      </c>
      <c r="I70" t="s">
        <v>286</v>
      </c>
      <c r="J70">
        <v>15.1930163342673</v>
      </c>
      <c r="K70">
        <v>15.495005531883599</v>
      </c>
      <c r="L70">
        <v>15.222398888755301</v>
      </c>
      <c r="M70" t="s">
        <v>29</v>
      </c>
      <c r="N70">
        <v>13.9661118167308</v>
      </c>
      <c r="O70">
        <v>14.632153686214901</v>
      </c>
      <c r="P70">
        <v>-1.0043408334958801</v>
      </c>
      <c r="Q70">
        <v>-1.4460325014955999</v>
      </c>
      <c r="R70">
        <v>-0.56264916549616895</v>
      </c>
      <c r="S70">
        <v>14.872964295287399</v>
      </c>
      <c r="T70">
        <v>-4.7996760545292396</v>
      </c>
      <c r="U70">
        <v>0.56046486834994402</v>
      </c>
      <c r="V70">
        <v>1.6975564490526101E-4</v>
      </c>
      <c r="W70">
        <v>2.52661558351416E-3</v>
      </c>
      <c r="X70">
        <v>-1</v>
      </c>
      <c r="Y70">
        <v>-1</v>
      </c>
    </row>
    <row r="71" spans="1:25" x14ac:dyDescent="0.2">
      <c r="A71" t="s">
        <v>287</v>
      </c>
      <c r="B71" t="s">
        <v>288</v>
      </c>
      <c r="C71" t="s">
        <v>289</v>
      </c>
      <c r="D71" t="s">
        <v>290</v>
      </c>
      <c r="E71" t="s">
        <v>288</v>
      </c>
      <c r="F71" t="s">
        <v>28</v>
      </c>
      <c r="G71" t="s">
        <v>288</v>
      </c>
      <c r="H71" t="str">
        <f>"tag-241"</f>
        <v>tag-241</v>
      </c>
      <c r="I71" t="s">
        <v>290</v>
      </c>
      <c r="J71" t="s">
        <v>29</v>
      </c>
      <c r="K71" t="s">
        <v>29</v>
      </c>
      <c r="L71">
        <v>11.025936775173401</v>
      </c>
      <c r="M71" t="s">
        <v>29</v>
      </c>
      <c r="N71" t="s">
        <v>29</v>
      </c>
      <c r="O71">
        <v>11.820598868784099</v>
      </c>
      <c r="P71">
        <v>0.79466209361074103</v>
      </c>
      <c r="Q71">
        <v>-0.176957220779595</v>
      </c>
      <c r="R71">
        <v>1.76628140800108</v>
      </c>
      <c r="S71">
        <v>11.593738286432099</v>
      </c>
      <c r="T71">
        <v>1.93994703082852</v>
      </c>
      <c r="U71">
        <v>-4.9314828858103796</v>
      </c>
      <c r="V71">
        <v>9.41736727047644E-2</v>
      </c>
      <c r="W71">
        <v>0.20886059087959999</v>
      </c>
      <c r="X71">
        <v>0</v>
      </c>
      <c r="Y71">
        <v>0</v>
      </c>
    </row>
    <row r="72" spans="1:25" x14ac:dyDescent="0.2">
      <c r="A72" t="s">
        <v>291</v>
      </c>
      <c r="B72" t="s">
        <v>292</v>
      </c>
      <c r="C72" t="s">
        <v>14199</v>
      </c>
      <c r="D72" t="s">
        <v>293</v>
      </c>
      <c r="E72" t="s">
        <v>292</v>
      </c>
      <c r="F72" t="s">
        <v>28</v>
      </c>
      <c r="G72" t="s">
        <v>292</v>
      </c>
      <c r="H72" t="str">
        <f>"M142.5"</f>
        <v>M142.5</v>
      </c>
      <c r="I72" t="s">
        <v>293</v>
      </c>
      <c r="J72">
        <v>13.9597657903136</v>
      </c>
      <c r="K72">
        <v>13.6489172795035</v>
      </c>
      <c r="L72">
        <v>14.0840934187157</v>
      </c>
      <c r="M72">
        <v>14.4354062493993</v>
      </c>
      <c r="N72">
        <v>14.0999401479485</v>
      </c>
      <c r="O72">
        <v>13.9015879840784</v>
      </c>
      <c r="P72">
        <v>0.24805263096448199</v>
      </c>
      <c r="Q72">
        <v>-0.14051281244529601</v>
      </c>
      <c r="R72">
        <v>0.63661807437425999</v>
      </c>
      <c r="S72">
        <v>13.506531091800801</v>
      </c>
      <c r="T72">
        <v>1.34175176838826</v>
      </c>
      <c r="U72">
        <v>-6.25634304211379</v>
      </c>
      <c r="V72">
        <v>0.19645553578956701</v>
      </c>
      <c r="W72">
        <v>0.355404827484257</v>
      </c>
      <c r="X72">
        <v>0</v>
      </c>
      <c r="Y72">
        <v>0</v>
      </c>
    </row>
    <row r="73" spans="1:25" x14ac:dyDescent="0.2">
      <c r="A73" t="s">
        <v>294</v>
      </c>
      <c r="B73" t="s">
        <v>295</v>
      </c>
      <c r="C73" t="s">
        <v>296</v>
      </c>
      <c r="D73" t="s">
        <v>297</v>
      </c>
      <c r="E73" t="s">
        <v>295</v>
      </c>
      <c r="F73" t="s">
        <v>28</v>
      </c>
      <c r="G73" t="s">
        <v>295</v>
      </c>
      <c r="H73" t="str">
        <f>"C34F6.10"</f>
        <v>C34F6.10</v>
      </c>
      <c r="I73" t="s">
        <v>297</v>
      </c>
      <c r="J73">
        <v>12.7581496221649</v>
      </c>
      <c r="K73">
        <v>12.8311332975253</v>
      </c>
      <c r="L73">
        <v>13.041801910472</v>
      </c>
      <c r="M73" t="s">
        <v>29</v>
      </c>
      <c r="N73">
        <v>13.2350520496179</v>
      </c>
      <c r="O73">
        <v>12.722984348708</v>
      </c>
      <c r="P73">
        <v>0.101989922442192</v>
      </c>
      <c r="Q73">
        <v>-0.43709606715006299</v>
      </c>
      <c r="R73">
        <v>0.64107591203444603</v>
      </c>
      <c r="S73">
        <v>13.309277658161101</v>
      </c>
      <c r="T73">
        <v>0.39934589970755702</v>
      </c>
      <c r="U73">
        <v>-6.9620413644523698</v>
      </c>
      <c r="V73">
        <v>0.69464121861565498</v>
      </c>
      <c r="W73">
        <v>0.80172311334952995</v>
      </c>
      <c r="X73">
        <v>0</v>
      </c>
      <c r="Y73">
        <v>0</v>
      </c>
    </row>
    <row r="74" spans="1:25" x14ac:dyDescent="0.2">
      <c r="A74" t="s">
        <v>298</v>
      </c>
      <c r="B74" t="s">
        <v>299</v>
      </c>
      <c r="C74" t="s">
        <v>14200</v>
      </c>
      <c r="D74" t="s">
        <v>300</v>
      </c>
      <c r="E74" t="s">
        <v>299</v>
      </c>
      <c r="F74" t="s">
        <v>28</v>
      </c>
      <c r="G74" t="s">
        <v>299</v>
      </c>
      <c r="H74" t="str">
        <f>"Y37E3.17"</f>
        <v>Y37E3.17</v>
      </c>
      <c r="I74" t="s">
        <v>300</v>
      </c>
      <c r="J74">
        <v>17.864265409814799</v>
      </c>
      <c r="K74">
        <v>17.611998659504099</v>
      </c>
      <c r="L74">
        <v>17.347175468623401</v>
      </c>
      <c r="M74">
        <v>17.1644364648382</v>
      </c>
      <c r="N74">
        <v>16.8616490226628</v>
      </c>
      <c r="O74">
        <v>16.767233080037901</v>
      </c>
      <c r="P74">
        <v>-0.67670699013447999</v>
      </c>
      <c r="Q74">
        <v>-1.1130861157293099</v>
      </c>
      <c r="R74">
        <v>-0.240327864539647</v>
      </c>
      <c r="S74">
        <v>17.065949750418099</v>
      </c>
      <c r="T74">
        <v>-3.2593365591135202</v>
      </c>
      <c r="U74">
        <v>-2.7869183337858598</v>
      </c>
      <c r="V74">
        <v>4.3807613253473597E-3</v>
      </c>
      <c r="W74">
        <v>2.57349774653052E-2</v>
      </c>
      <c r="X74">
        <v>0</v>
      </c>
      <c r="Y74">
        <v>0</v>
      </c>
    </row>
    <row r="75" spans="1:25" x14ac:dyDescent="0.2">
      <c r="A75" t="s">
        <v>301</v>
      </c>
      <c r="B75" t="s">
        <v>302</v>
      </c>
      <c r="C75" t="s">
        <v>303</v>
      </c>
      <c r="D75" t="s">
        <v>304</v>
      </c>
      <c r="E75" t="s">
        <v>302</v>
      </c>
      <c r="F75" t="s">
        <v>28</v>
      </c>
      <c r="G75" t="s">
        <v>302</v>
      </c>
      <c r="H75" t="str">
        <f>"ifg-1"</f>
        <v>ifg-1</v>
      </c>
      <c r="I75" t="s">
        <v>304</v>
      </c>
      <c r="J75">
        <v>14.8652522564962</v>
      </c>
      <c r="K75">
        <v>15.2896552122958</v>
      </c>
      <c r="L75">
        <v>15.579131391897</v>
      </c>
      <c r="M75">
        <v>14.636801174561301</v>
      </c>
      <c r="N75">
        <v>14.701502275883</v>
      </c>
      <c r="O75">
        <v>14.6531618396958</v>
      </c>
      <c r="P75">
        <v>-0.58085785684963798</v>
      </c>
      <c r="Q75">
        <v>-1.1452808063223701</v>
      </c>
      <c r="R75">
        <v>-1.6434907376910401E-2</v>
      </c>
      <c r="S75">
        <v>15.554875030206199</v>
      </c>
      <c r="T75">
        <v>-2.1630059664052999</v>
      </c>
      <c r="U75">
        <v>-4.9767445224178504</v>
      </c>
      <c r="V75">
        <v>4.4326959211305098E-2</v>
      </c>
      <c r="W75">
        <v>0.12512600459359799</v>
      </c>
      <c r="X75">
        <v>0</v>
      </c>
      <c r="Y75">
        <v>0</v>
      </c>
    </row>
    <row r="76" spans="1:25" x14ac:dyDescent="0.2">
      <c r="A76" t="s">
        <v>305</v>
      </c>
      <c r="B76" t="s">
        <v>306</v>
      </c>
      <c r="C76" t="s">
        <v>307</v>
      </c>
      <c r="D76" t="s">
        <v>308</v>
      </c>
      <c r="E76" t="s">
        <v>306</v>
      </c>
      <c r="F76" t="s">
        <v>28</v>
      </c>
      <c r="G76" t="s">
        <v>306</v>
      </c>
      <c r="H76" t="str">
        <f>"dnj-25"</f>
        <v>dnj-25</v>
      </c>
      <c r="I76" t="s">
        <v>308</v>
      </c>
      <c r="J76">
        <v>13.281938950412201</v>
      </c>
      <c r="K76">
        <v>13.3365580381911</v>
      </c>
      <c r="L76">
        <v>13.1928344368733</v>
      </c>
      <c r="M76" t="s">
        <v>29</v>
      </c>
      <c r="N76">
        <v>12.682164060774699</v>
      </c>
      <c r="O76">
        <v>13.1755777306746</v>
      </c>
      <c r="P76">
        <v>-0.34157291276757801</v>
      </c>
      <c r="Q76">
        <v>-0.83499685972739901</v>
      </c>
      <c r="R76">
        <v>0.151851034192242</v>
      </c>
      <c r="S76">
        <v>13.097337301897801</v>
      </c>
      <c r="T76">
        <v>-1.4612119436976601</v>
      </c>
      <c r="U76">
        <v>-5.9890761543698199</v>
      </c>
      <c r="V76">
        <v>0.162306540229811</v>
      </c>
      <c r="W76">
        <v>0.310394142801591</v>
      </c>
      <c r="X76">
        <v>0</v>
      </c>
      <c r="Y76">
        <v>0</v>
      </c>
    </row>
    <row r="77" spans="1:25" x14ac:dyDescent="0.2">
      <c r="A77" t="s">
        <v>309</v>
      </c>
      <c r="B77" t="s">
        <v>310</v>
      </c>
      <c r="C77" t="s">
        <v>311</v>
      </c>
      <c r="D77" t="s">
        <v>312</v>
      </c>
      <c r="E77" t="s">
        <v>310</v>
      </c>
      <c r="F77" t="s">
        <v>28</v>
      </c>
      <c r="G77" t="s">
        <v>310</v>
      </c>
      <c r="H77" t="str">
        <f>"acl-14"</f>
        <v>acl-14</v>
      </c>
      <c r="I77" t="s">
        <v>312</v>
      </c>
      <c r="J77">
        <v>15.7646241402628</v>
      </c>
      <c r="K77">
        <v>16.050063255917198</v>
      </c>
      <c r="L77">
        <v>16.024560857998502</v>
      </c>
      <c r="M77">
        <v>15.100069209582401</v>
      </c>
      <c r="N77">
        <v>15.598708199543699</v>
      </c>
      <c r="O77">
        <v>15.6539486109489</v>
      </c>
      <c r="P77">
        <v>-0.49550741136784499</v>
      </c>
      <c r="Q77">
        <v>-0.89425537953707301</v>
      </c>
      <c r="R77">
        <v>-9.6759443198615999E-2</v>
      </c>
      <c r="S77">
        <v>16.189588530426299</v>
      </c>
      <c r="T77">
        <v>-2.6118256623983802</v>
      </c>
      <c r="U77">
        <v>-4.1266298490731996</v>
      </c>
      <c r="V77">
        <v>1.7711572930118699E-2</v>
      </c>
      <c r="W77">
        <v>6.8140999249425196E-2</v>
      </c>
      <c r="X77">
        <v>0</v>
      </c>
      <c r="Y77">
        <v>0</v>
      </c>
    </row>
    <row r="78" spans="1:25" x14ac:dyDescent="0.2">
      <c r="A78" t="s">
        <v>313</v>
      </c>
      <c r="B78" t="s">
        <v>314</v>
      </c>
      <c r="C78" t="s">
        <v>315</v>
      </c>
      <c r="D78" t="s">
        <v>316</v>
      </c>
      <c r="E78" t="s">
        <v>314</v>
      </c>
      <c r="F78" t="s">
        <v>28</v>
      </c>
      <c r="G78" t="s">
        <v>314</v>
      </c>
      <c r="H78" t="str">
        <f>"cash-1"</f>
        <v>cash-1</v>
      </c>
      <c r="I78" t="s">
        <v>316</v>
      </c>
      <c r="J78">
        <v>12.816555692430599</v>
      </c>
      <c r="K78" t="s">
        <v>29</v>
      </c>
      <c r="L78">
        <v>13.1805658848872</v>
      </c>
      <c r="M78">
        <v>15.451361961402</v>
      </c>
      <c r="N78">
        <v>15.8522590315619</v>
      </c>
      <c r="O78">
        <v>16.5347694908174</v>
      </c>
      <c r="P78">
        <v>2.9475693726015399</v>
      </c>
      <c r="Q78">
        <v>2.3157499010612099</v>
      </c>
      <c r="R78">
        <v>3.57938884414187</v>
      </c>
      <c r="S78">
        <v>14.6469742367543</v>
      </c>
      <c r="T78">
        <v>9.84738782786998</v>
      </c>
      <c r="U78">
        <v>9.6522183404842199</v>
      </c>
      <c r="V78" s="2">
        <v>2.0543287438998601E-8</v>
      </c>
      <c r="W78" s="2">
        <v>2.0180356027576301E-6</v>
      </c>
      <c r="X78">
        <v>1</v>
      </c>
      <c r="Y78">
        <v>1</v>
      </c>
    </row>
    <row r="79" spans="1:25" x14ac:dyDescent="0.2">
      <c r="A79" t="s">
        <v>317</v>
      </c>
      <c r="B79" t="s">
        <v>318</v>
      </c>
      <c r="C79" t="s">
        <v>14201</v>
      </c>
      <c r="D79" t="s">
        <v>319</v>
      </c>
      <c r="E79" t="s">
        <v>318</v>
      </c>
      <c r="F79" t="s">
        <v>28</v>
      </c>
      <c r="G79" t="s">
        <v>318</v>
      </c>
      <c r="H79" t="str">
        <f>"Y59A8B.21"</f>
        <v>Y59A8B.21</v>
      </c>
      <c r="I79" t="s">
        <v>319</v>
      </c>
      <c r="J79" t="s">
        <v>29</v>
      </c>
      <c r="K79" t="s">
        <v>29</v>
      </c>
      <c r="L79" t="s">
        <v>29</v>
      </c>
      <c r="M79" t="s">
        <v>29</v>
      </c>
      <c r="N79" t="s">
        <v>29</v>
      </c>
      <c r="O79" t="s">
        <v>29</v>
      </c>
      <c r="P79" t="s">
        <v>29</v>
      </c>
      <c r="Q79" t="s">
        <v>29</v>
      </c>
      <c r="R79" t="s">
        <v>29</v>
      </c>
      <c r="S79">
        <v>12.5767904366046</v>
      </c>
      <c r="T79" t="s">
        <v>29</v>
      </c>
      <c r="U79" t="s">
        <v>29</v>
      </c>
      <c r="V79" t="s">
        <v>29</v>
      </c>
      <c r="W79" t="s">
        <v>29</v>
      </c>
      <c r="X79" t="s">
        <v>29</v>
      </c>
      <c r="Y79" t="s">
        <v>29</v>
      </c>
    </row>
    <row r="80" spans="1:25" x14ac:dyDescent="0.2">
      <c r="A80" t="s">
        <v>320</v>
      </c>
      <c r="B80" t="s">
        <v>321</v>
      </c>
      <c r="C80" t="s">
        <v>322</v>
      </c>
      <c r="D80" t="s">
        <v>323</v>
      </c>
      <c r="E80" t="s">
        <v>321</v>
      </c>
      <c r="F80" t="s">
        <v>28</v>
      </c>
      <c r="G80" t="s">
        <v>321</v>
      </c>
      <c r="H80" t="str">
        <f>"gck-4"</f>
        <v>gck-4</v>
      </c>
      <c r="I80" t="s">
        <v>323</v>
      </c>
      <c r="J80">
        <v>11.419962283005001</v>
      </c>
      <c r="K80">
        <v>10.897083651458001</v>
      </c>
      <c r="L80" t="s">
        <v>29</v>
      </c>
      <c r="M80" t="s">
        <v>29</v>
      </c>
      <c r="N80" t="s">
        <v>29</v>
      </c>
      <c r="O80">
        <v>11.063217707760501</v>
      </c>
      <c r="P80">
        <v>-9.5305259470949394E-2</v>
      </c>
      <c r="Q80">
        <v>-0.88503497668175901</v>
      </c>
      <c r="R80">
        <v>0.69442445773985995</v>
      </c>
      <c r="S80">
        <v>11.133119609290899</v>
      </c>
      <c r="T80">
        <v>-0.26093097187054498</v>
      </c>
      <c r="U80">
        <v>-6.7184518230831998</v>
      </c>
      <c r="V80">
        <v>0.79826644120464996</v>
      </c>
      <c r="W80">
        <v>0.87355781738956695</v>
      </c>
      <c r="X80">
        <v>0</v>
      </c>
      <c r="Y80">
        <v>0</v>
      </c>
    </row>
    <row r="81" spans="1:25" x14ac:dyDescent="0.2">
      <c r="A81" t="s">
        <v>324</v>
      </c>
      <c r="B81" t="s">
        <v>325</v>
      </c>
      <c r="C81" t="s">
        <v>326</v>
      </c>
      <c r="D81" t="s">
        <v>327</v>
      </c>
      <c r="E81" t="s">
        <v>325</v>
      </c>
      <c r="F81" t="s">
        <v>28</v>
      </c>
      <c r="G81" t="s">
        <v>325</v>
      </c>
      <c r="H81" t="str">
        <f>"rbc-1"</f>
        <v>rbc-1</v>
      </c>
      <c r="I81" t="s">
        <v>327</v>
      </c>
      <c r="J81">
        <v>12.599445732312599</v>
      </c>
      <c r="K81">
        <v>12.870113694479199</v>
      </c>
      <c r="L81">
        <v>12.4699473647189</v>
      </c>
      <c r="M81" t="s">
        <v>29</v>
      </c>
      <c r="N81">
        <v>13.1028436980633</v>
      </c>
      <c r="O81">
        <v>13.5148602885115</v>
      </c>
      <c r="P81">
        <v>0.66234972945050397</v>
      </c>
      <c r="Q81">
        <v>0.199359307847365</v>
      </c>
      <c r="R81">
        <v>1.12534015105364</v>
      </c>
      <c r="S81">
        <v>12.690315133678199</v>
      </c>
      <c r="T81">
        <v>3.0197109236912998</v>
      </c>
      <c r="U81">
        <v>-3.2195611427596802</v>
      </c>
      <c r="V81">
        <v>7.7638174646613798E-3</v>
      </c>
      <c r="W81">
        <v>3.8069833724387797E-2</v>
      </c>
      <c r="X81">
        <v>0</v>
      </c>
      <c r="Y81">
        <v>0</v>
      </c>
    </row>
    <row r="82" spans="1:25" x14ac:dyDescent="0.2">
      <c r="A82" t="s">
        <v>328</v>
      </c>
      <c r="B82" t="s">
        <v>329</v>
      </c>
      <c r="C82" t="s">
        <v>14202</v>
      </c>
      <c r="D82" t="s">
        <v>330</v>
      </c>
      <c r="E82" t="s">
        <v>329</v>
      </c>
      <c r="F82" t="s">
        <v>28</v>
      </c>
      <c r="G82" t="s">
        <v>329</v>
      </c>
      <c r="H82" t="str">
        <f>"F49E2.5"</f>
        <v>F49E2.5</v>
      </c>
      <c r="I82" t="s">
        <v>330</v>
      </c>
      <c r="J82">
        <v>14.592202287136599</v>
      </c>
      <c r="K82">
        <v>15.1846971802848</v>
      </c>
      <c r="L82">
        <v>16.081330277118699</v>
      </c>
      <c r="M82">
        <v>15.0986070828501</v>
      </c>
      <c r="N82">
        <v>14.566487552133101</v>
      </c>
      <c r="O82">
        <v>13.1313675421654</v>
      </c>
      <c r="P82">
        <v>-1.0205891891304399</v>
      </c>
      <c r="Q82">
        <v>-2.2316553178265202</v>
      </c>
      <c r="R82">
        <v>0.190476939565631</v>
      </c>
      <c r="S82">
        <v>14.5637080424301</v>
      </c>
      <c r="T82">
        <v>-1.7712326897194199</v>
      </c>
      <c r="U82">
        <v>-5.6400567414673803</v>
      </c>
      <c r="V82">
        <v>9.3551782738846304E-2</v>
      </c>
      <c r="W82">
        <v>0.20821806411413199</v>
      </c>
      <c r="X82">
        <v>0</v>
      </c>
      <c r="Y82">
        <v>0</v>
      </c>
    </row>
    <row r="83" spans="1:25" x14ac:dyDescent="0.2">
      <c r="A83" t="s">
        <v>331</v>
      </c>
      <c r="B83" t="s">
        <v>332</v>
      </c>
      <c r="C83" t="s">
        <v>333</v>
      </c>
      <c r="D83" t="s">
        <v>334</v>
      </c>
      <c r="E83" t="s">
        <v>332</v>
      </c>
      <c r="F83" t="s">
        <v>28</v>
      </c>
      <c r="G83" t="s">
        <v>332</v>
      </c>
      <c r="H83" t="str">
        <f>"pkn-1"</f>
        <v>pkn-1</v>
      </c>
      <c r="I83" t="s">
        <v>334</v>
      </c>
      <c r="J83">
        <v>13.6514567613322</v>
      </c>
      <c r="K83">
        <v>13.7043564276553</v>
      </c>
      <c r="L83">
        <v>13.55907656568</v>
      </c>
      <c r="M83" t="s">
        <v>29</v>
      </c>
      <c r="N83">
        <v>13.3047489476098</v>
      </c>
      <c r="O83">
        <v>13.5259589187784</v>
      </c>
      <c r="P83">
        <v>-0.22294265169505001</v>
      </c>
      <c r="Q83">
        <v>-0.63679103122504299</v>
      </c>
      <c r="R83">
        <v>0.190905727834943</v>
      </c>
      <c r="S83">
        <v>13.5644220279137</v>
      </c>
      <c r="T83">
        <v>-1.13710852763101</v>
      </c>
      <c r="U83">
        <v>-6.3907341634732298</v>
      </c>
      <c r="V83">
        <v>0.27136383974594702</v>
      </c>
      <c r="W83">
        <v>0.43891835111487698</v>
      </c>
      <c r="X83">
        <v>0</v>
      </c>
      <c r="Y83">
        <v>0</v>
      </c>
    </row>
    <row r="84" spans="1:25" x14ac:dyDescent="0.2">
      <c r="A84" t="s">
        <v>335</v>
      </c>
      <c r="B84" t="s">
        <v>336</v>
      </c>
      <c r="C84" t="s">
        <v>337</v>
      </c>
      <c r="D84" t="s">
        <v>338</v>
      </c>
      <c r="E84" t="s">
        <v>336</v>
      </c>
      <c r="F84" t="s">
        <v>28</v>
      </c>
      <c r="G84" t="s">
        <v>336</v>
      </c>
      <c r="H84" t="str">
        <f>"eps-8"</f>
        <v>eps-8</v>
      </c>
      <c r="I84" t="s">
        <v>338</v>
      </c>
      <c r="J84">
        <v>15.557852146034</v>
      </c>
      <c r="K84">
        <v>16.130876982472</v>
      </c>
      <c r="L84">
        <v>16.0971461853125</v>
      </c>
      <c r="M84">
        <v>15.089596111621599</v>
      </c>
      <c r="N84">
        <v>15.062937533533599</v>
      </c>
      <c r="O84">
        <v>15.333938784015601</v>
      </c>
      <c r="P84">
        <v>-0.76646762821583903</v>
      </c>
      <c r="Q84">
        <v>-1.26548436038603</v>
      </c>
      <c r="R84">
        <v>-0.26745089604564298</v>
      </c>
      <c r="S84">
        <v>15.9353682278948</v>
      </c>
      <c r="T84">
        <v>-3.2282801995395598</v>
      </c>
      <c r="U84">
        <v>-2.8532699918255999</v>
      </c>
      <c r="V84">
        <v>4.69019235160486E-3</v>
      </c>
      <c r="W84">
        <v>2.7155200118230902E-2</v>
      </c>
      <c r="X84">
        <v>0</v>
      </c>
      <c r="Y84">
        <v>0</v>
      </c>
    </row>
    <row r="85" spans="1:25" x14ac:dyDescent="0.2">
      <c r="A85" t="s">
        <v>339</v>
      </c>
      <c r="B85" t="s">
        <v>340</v>
      </c>
      <c r="C85" t="s">
        <v>341</v>
      </c>
      <c r="D85" t="s">
        <v>342</v>
      </c>
      <c r="E85" t="s">
        <v>340</v>
      </c>
      <c r="F85" t="s">
        <v>28</v>
      </c>
      <c r="G85" t="s">
        <v>340</v>
      </c>
      <c r="H85" t="str">
        <f>"tnt-3"</f>
        <v>tnt-3</v>
      </c>
      <c r="I85" t="s">
        <v>342</v>
      </c>
      <c r="J85" t="s">
        <v>29</v>
      </c>
      <c r="K85">
        <v>12.1550918570865</v>
      </c>
      <c r="L85" t="s">
        <v>29</v>
      </c>
      <c r="M85" t="s">
        <v>29</v>
      </c>
      <c r="N85" t="s">
        <v>29</v>
      </c>
      <c r="O85" t="s">
        <v>29</v>
      </c>
      <c r="P85" t="s">
        <v>29</v>
      </c>
      <c r="Q85" t="s">
        <v>29</v>
      </c>
      <c r="R85" t="s">
        <v>29</v>
      </c>
      <c r="S85">
        <v>11.765654767238599</v>
      </c>
      <c r="T85" t="s">
        <v>29</v>
      </c>
      <c r="U85" t="s">
        <v>29</v>
      </c>
      <c r="V85" t="s">
        <v>29</v>
      </c>
      <c r="W85" t="s">
        <v>29</v>
      </c>
      <c r="X85" t="s">
        <v>29</v>
      </c>
      <c r="Y85" t="s">
        <v>29</v>
      </c>
    </row>
    <row r="86" spans="1:25" x14ac:dyDescent="0.2">
      <c r="A86" t="s">
        <v>343</v>
      </c>
      <c r="B86" t="s">
        <v>344</v>
      </c>
      <c r="C86" t="s">
        <v>14203</v>
      </c>
      <c r="D86" t="s">
        <v>345</v>
      </c>
      <c r="E86" t="s">
        <v>344</v>
      </c>
      <c r="F86" t="s">
        <v>28</v>
      </c>
      <c r="G86" t="s">
        <v>344</v>
      </c>
      <c r="H86" t="str">
        <f>"K09F5.6"</f>
        <v>K09F5.6</v>
      </c>
      <c r="I86" t="s">
        <v>345</v>
      </c>
      <c r="J86">
        <v>13.2673003420763</v>
      </c>
      <c r="K86">
        <v>13.9617634650859</v>
      </c>
      <c r="L86">
        <v>13.4754044682143</v>
      </c>
      <c r="M86" t="s">
        <v>29</v>
      </c>
      <c r="N86">
        <v>13.0947960964532</v>
      </c>
      <c r="O86">
        <v>12.9173098980859</v>
      </c>
      <c r="P86">
        <v>-0.56210309452259499</v>
      </c>
      <c r="Q86">
        <v>-1.1304867612512299</v>
      </c>
      <c r="R86">
        <v>6.28057220604172E-3</v>
      </c>
      <c r="S86">
        <v>13.508310468339401</v>
      </c>
      <c r="T86">
        <v>-2.0874899820147599</v>
      </c>
      <c r="U86">
        <v>-5.0095178932692699</v>
      </c>
      <c r="V86">
        <v>5.2305568392056599E-2</v>
      </c>
      <c r="W86">
        <v>0.140258880847489</v>
      </c>
      <c r="X86">
        <v>0</v>
      </c>
      <c r="Y86">
        <v>0</v>
      </c>
    </row>
    <row r="87" spans="1:25" x14ac:dyDescent="0.2">
      <c r="A87" t="s">
        <v>346</v>
      </c>
      <c r="B87" t="s">
        <v>347</v>
      </c>
      <c r="C87" t="s">
        <v>348</v>
      </c>
      <c r="D87" t="s">
        <v>349</v>
      </c>
      <c r="E87" t="s">
        <v>347</v>
      </c>
      <c r="F87" t="s">
        <v>28</v>
      </c>
      <c r="G87" t="s">
        <v>347</v>
      </c>
      <c r="H87" t="str">
        <f>"lfi-1"</f>
        <v>lfi-1</v>
      </c>
      <c r="I87" t="s">
        <v>349</v>
      </c>
      <c r="J87">
        <v>14.631135156295899</v>
      </c>
      <c r="K87">
        <v>15.2369671847826</v>
      </c>
      <c r="L87">
        <v>15.0601041066721</v>
      </c>
      <c r="M87">
        <v>15.8793378514253</v>
      </c>
      <c r="N87">
        <v>16.010783319953799</v>
      </c>
      <c r="O87">
        <v>15.4973509769898</v>
      </c>
      <c r="P87">
        <v>0.81975523353941104</v>
      </c>
      <c r="Q87">
        <v>0.32981805703310901</v>
      </c>
      <c r="R87">
        <v>1.3096924100457099</v>
      </c>
      <c r="S87">
        <v>15.775593825512599</v>
      </c>
      <c r="T87">
        <v>3.5167080544918599</v>
      </c>
      <c r="U87">
        <v>-2.2316249731336701</v>
      </c>
      <c r="V87">
        <v>2.4814961002459098E-3</v>
      </c>
      <c r="W87">
        <v>1.6889073920149399E-2</v>
      </c>
      <c r="X87">
        <v>0</v>
      </c>
      <c r="Y87">
        <v>0</v>
      </c>
    </row>
    <row r="88" spans="1:25" x14ac:dyDescent="0.2">
      <c r="A88" t="s">
        <v>350</v>
      </c>
      <c r="B88" t="s">
        <v>351</v>
      </c>
      <c r="C88" t="s">
        <v>14204</v>
      </c>
      <c r="D88" t="s">
        <v>352</v>
      </c>
      <c r="E88" t="s">
        <v>351</v>
      </c>
      <c r="F88" t="s">
        <v>28</v>
      </c>
      <c r="G88" t="s">
        <v>351</v>
      </c>
      <c r="H88" t="str">
        <f>"H11E01.3"</f>
        <v>H11E01.3</v>
      </c>
      <c r="I88" t="s">
        <v>352</v>
      </c>
      <c r="J88" t="s">
        <v>29</v>
      </c>
      <c r="K88" t="s">
        <v>29</v>
      </c>
      <c r="L88" t="s">
        <v>29</v>
      </c>
      <c r="M88" t="s">
        <v>29</v>
      </c>
      <c r="N88" t="s">
        <v>29</v>
      </c>
      <c r="O88" t="s">
        <v>29</v>
      </c>
      <c r="P88" t="s">
        <v>29</v>
      </c>
      <c r="Q88" t="s">
        <v>29</v>
      </c>
      <c r="R88" t="s">
        <v>29</v>
      </c>
      <c r="S88">
        <v>12.114371619777099</v>
      </c>
      <c r="T88" t="s">
        <v>29</v>
      </c>
      <c r="U88" t="s">
        <v>29</v>
      </c>
      <c r="V88" t="s">
        <v>29</v>
      </c>
      <c r="W88" t="s">
        <v>29</v>
      </c>
      <c r="X88" t="s">
        <v>29</v>
      </c>
      <c r="Y88" t="s">
        <v>29</v>
      </c>
    </row>
    <row r="89" spans="1:25" x14ac:dyDescent="0.2">
      <c r="A89" t="s">
        <v>353</v>
      </c>
      <c r="B89" t="s">
        <v>354</v>
      </c>
      <c r="C89" t="s">
        <v>355</v>
      </c>
      <c r="D89" t="s">
        <v>356</v>
      </c>
      <c r="E89" t="s">
        <v>354</v>
      </c>
      <c r="F89" t="s">
        <v>28</v>
      </c>
      <c r="G89" t="s">
        <v>354</v>
      </c>
      <c r="H89" t="str">
        <f>"bed-2"</f>
        <v>bed-2</v>
      </c>
      <c r="I89" t="s">
        <v>356</v>
      </c>
      <c r="J89">
        <v>11.278714302233199</v>
      </c>
      <c r="K89" t="s">
        <v>29</v>
      </c>
      <c r="L89">
        <v>11.4688148657127</v>
      </c>
      <c r="M89" t="s">
        <v>29</v>
      </c>
      <c r="N89" t="s">
        <v>29</v>
      </c>
      <c r="O89" t="s">
        <v>29</v>
      </c>
      <c r="P89" t="s">
        <v>29</v>
      </c>
      <c r="Q89" t="s">
        <v>29</v>
      </c>
      <c r="R89" t="s">
        <v>29</v>
      </c>
      <c r="S89">
        <v>12.264990616880301</v>
      </c>
      <c r="T89" t="s">
        <v>29</v>
      </c>
      <c r="U89" t="s">
        <v>29</v>
      </c>
      <c r="V89" t="s">
        <v>29</v>
      </c>
      <c r="W89" t="s">
        <v>29</v>
      </c>
      <c r="X89" t="s">
        <v>29</v>
      </c>
      <c r="Y89" t="s">
        <v>29</v>
      </c>
    </row>
    <row r="90" spans="1:25" x14ac:dyDescent="0.2">
      <c r="A90" t="s">
        <v>357</v>
      </c>
      <c r="B90" t="s">
        <v>358</v>
      </c>
      <c r="C90" t="s">
        <v>359</v>
      </c>
      <c r="D90" t="s">
        <v>360</v>
      </c>
      <c r="E90" t="s">
        <v>358</v>
      </c>
      <c r="F90" t="s">
        <v>28</v>
      </c>
      <c r="G90" t="s">
        <v>358</v>
      </c>
      <c r="H90" t="str">
        <f>"znf-598"</f>
        <v>znf-598</v>
      </c>
      <c r="I90" t="s">
        <v>360</v>
      </c>
      <c r="J90">
        <v>12.391716121316501</v>
      </c>
      <c r="K90">
        <v>13.1925579933366</v>
      </c>
      <c r="L90">
        <v>13.1988715403673</v>
      </c>
      <c r="M90" t="s">
        <v>29</v>
      </c>
      <c r="N90" t="s">
        <v>29</v>
      </c>
      <c r="O90">
        <v>12.232740932122301</v>
      </c>
      <c r="P90">
        <v>-0.69497428621785096</v>
      </c>
      <c r="Q90">
        <v>-1.61209182858767</v>
      </c>
      <c r="R90">
        <v>0.222143256151969</v>
      </c>
      <c r="S90">
        <v>13.674357553005301</v>
      </c>
      <c r="T90">
        <v>-1.60728638307658</v>
      </c>
      <c r="U90">
        <v>-5.5567969190030899</v>
      </c>
      <c r="V90">
        <v>0.12767138810505699</v>
      </c>
      <c r="W90">
        <v>0.26092065238946099</v>
      </c>
      <c r="X90">
        <v>0</v>
      </c>
      <c r="Y90">
        <v>0</v>
      </c>
    </row>
    <row r="91" spans="1:25" x14ac:dyDescent="0.2">
      <c r="A91" t="s">
        <v>361</v>
      </c>
      <c r="B91" t="s">
        <v>362</v>
      </c>
      <c r="C91" t="s">
        <v>14205</v>
      </c>
      <c r="D91" t="s">
        <v>363</v>
      </c>
      <c r="E91" t="s">
        <v>362</v>
      </c>
      <c r="F91" t="s">
        <v>28</v>
      </c>
      <c r="G91" t="s">
        <v>362</v>
      </c>
      <c r="H91" t="str">
        <f>"F10G7.10"</f>
        <v>F10G7.10</v>
      </c>
      <c r="I91" t="s">
        <v>363</v>
      </c>
      <c r="J91">
        <v>11.434668440659999</v>
      </c>
      <c r="K91">
        <v>11.1660789972995</v>
      </c>
      <c r="L91">
        <v>11.5369624252472</v>
      </c>
      <c r="M91" t="s">
        <v>29</v>
      </c>
      <c r="N91">
        <v>12.282391859572501</v>
      </c>
      <c r="O91">
        <v>12.7614400647669</v>
      </c>
      <c r="P91">
        <v>1.14267934110081</v>
      </c>
      <c r="Q91">
        <v>0.53415816757885604</v>
      </c>
      <c r="R91">
        <v>1.7512005146227501</v>
      </c>
      <c r="S91">
        <v>11.8190252449008</v>
      </c>
      <c r="T91">
        <v>3.96368099853014</v>
      </c>
      <c r="U91">
        <v>-1.22444515892168</v>
      </c>
      <c r="V91">
        <v>1.0138304056090501E-3</v>
      </c>
      <c r="W91">
        <v>9.2137062619260506E-3</v>
      </c>
      <c r="X91">
        <v>1</v>
      </c>
      <c r="Y91">
        <v>1</v>
      </c>
    </row>
    <row r="92" spans="1:25" x14ac:dyDescent="0.2">
      <c r="A92" t="s">
        <v>364</v>
      </c>
      <c r="B92" t="s">
        <v>365</v>
      </c>
      <c r="C92" t="s">
        <v>14176</v>
      </c>
      <c r="D92" t="s">
        <v>111</v>
      </c>
      <c r="E92" t="s">
        <v>365</v>
      </c>
      <c r="F92" t="s">
        <v>28</v>
      </c>
      <c r="G92" t="s">
        <v>365</v>
      </c>
      <c r="H92" t="str">
        <f>"Y92H12BL.7"</f>
        <v>Y92H12BL.7</v>
      </c>
      <c r="I92" t="s">
        <v>111</v>
      </c>
      <c r="J92">
        <v>12.6321228576392</v>
      </c>
      <c r="K92">
        <v>11.6424485537731</v>
      </c>
      <c r="L92" t="s">
        <v>29</v>
      </c>
      <c r="M92" t="s">
        <v>29</v>
      </c>
      <c r="N92" t="s">
        <v>29</v>
      </c>
      <c r="O92" t="s">
        <v>29</v>
      </c>
      <c r="P92" t="s">
        <v>29</v>
      </c>
      <c r="Q92" t="s">
        <v>29</v>
      </c>
      <c r="R92" t="s">
        <v>29</v>
      </c>
      <c r="S92">
        <v>13.7733412537817</v>
      </c>
      <c r="T92" t="s">
        <v>29</v>
      </c>
      <c r="U92" t="s">
        <v>29</v>
      </c>
      <c r="V92" t="s">
        <v>29</v>
      </c>
      <c r="W92" t="s">
        <v>29</v>
      </c>
      <c r="X92" t="s">
        <v>29</v>
      </c>
      <c r="Y92" t="s">
        <v>29</v>
      </c>
    </row>
    <row r="93" spans="1:25" x14ac:dyDescent="0.2">
      <c r="A93" t="s">
        <v>366</v>
      </c>
      <c r="B93" t="s">
        <v>367</v>
      </c>
      <c r="C93" t="s">
        <v>14206</v>
      </c>
      <c r="D93" t="s">
        <v>368</v>
      </c>
      <c r="E93" t="s">
        <v>367</v>
      </c>
      <c r="F93" t="s">
        <v>28</v>
      </c>
      <c r="G93" t="s">
        <v>367</v>
      </c>
      <c r="H93" t="str">
        <f>"W04B5.8"</f>
        <v>W04B5.8</v>
      </c>
      <c r="I93" t="s">
        <v>368</v>
      </c>
      <c r="J93" t="s">
        <v>29</v>
      </c>
      <c r="K93">
        <v>12.8368133326777</v>
      </c>
      <c r="L93">
        <v>12.980253184725401</v>
      </c>
      <c r="M93" t="s">
        <v>29</v>
      </c>
      <c r="N93" t="s">
        <v>29</v>
      </c>
      <c r="O93" t="s">
        <v>29</v>
      </c>
      <c r="P93" t="s">
        <v>29</v>
      </c>
      <c r="Q93" t="s">
        <v>29</v>
      </c>
      <c r="R93" t="s">
        <v>29</v>
      </c>
      <c r="S93">
        <v>13.320219323007001</v>
      </c>
      <c r="T93" t="s">
        <v>29</v>
      </c>
      <c r="U93" t="s">
        <v>29</v>
      </c>
      <c r="V93" t="s">
        <v>29</v>
      </c>
      <c r="W93" t="s">
        <v>29</v>
      </c>
      <c r="X93" t="s">
        <v>29</v>
      </c>
      <c r="Y93" t="s">
        <v>29</v>
      </c>
    </row>
    <row r="94" spans="1:25" x14ac:dyDescent="0.2">
      <c r="A94" t="s">
        <v>369</v>
      </c>
      <c r="B94" t="s">
        <v>370</v>
      </c>
      <c r="C94" t="s">
        <v>14207</v>
      </c>
      <c r="D94" t="s">
        <v>371</v>
      </c>
      <c r="E94" t="s">
        <v>370</v>
      </c>
      <c r="F94" t="s">
        <v>28</v>
      </c>
      <c r="G94" t="s">
        <v>370</v>
      </c>
      <c r="H94" t="str">
        <f>"Y39E4B.10"</f>
        <v>Y39E4B.10</v>
      </c>
      <c r="I94" t="s">
        <v>371</v>
      </c>
      <c r="J94">
        <v>11.985098178459699</v>
      </c>
      <c r="K94" t="s">
        <v>29</v>
      </c>
      <c r="L94">
        <v>12.227700087741701</v>
      </c>
      <c r="M94" t="s">
        <v>29</v>
      </c>
      <c r="N94" t="s">
        <v>29</v>
      </c>
      <c r="O94" t="s">
        <v>29</v>
      </c>
      <c r="P94" t="s">
        <v>29</v>
      </c>
      <c r="Q94" t="s">
        <v>29</v>
      </c>
      <c r="R94" t="s">
        <v>29</v>
      </c>
      <c r="S94">
        <v>12.191451083306999</v>
      </c>
      <c r="T94" t="s">
        <v>29</v>
      </c>
      <c r="U94" t="s">
        <v>29</v>
      </c>
      <c r="V94" t="s">
        <v>29</v>
      </c>
      <c r="W94" t="s">
        <v>29</v>
      </c>
      <c r="X94" t="s">
        <v>29</v>
      </c>
      <c r="Y94" t="s">
        <v>29</v>
      </c>
    </row>
    <row r="95" spans="1:25" x14ac:dyDescent="0.2">
      <c r="A95" t="s">
        <v>372</v>
      </c>
      <c r="B95" t="s">
        <v>373</v>
      </c>
      <c r="C95" t="s">
        <v>374</v>
      </c>
      <c r="D95" t="s">
        <v>375</v>
      </c>
      <c r="E95" t="s">
        <v>373</v>
      </c>
      <c r="F95" t="s">
        <v>28</v>
      </c>
      <c r="G95" t="s">
        <v>373</v>
      </c>
      <c r="H95" t="str">
        <f>"esyt-2"</f>
        <v>esyt-2</v>
      </c>
      <c r="I95" t="s">
        <v>375</v>
      </c>
      <c r="J95">
        <v>12.7652900125223</v>
      </c>
      <c r="K95">
        <v>12.750382375574301</v>
      </c>
      <c r="L95">
        <v>12.255869170806999</v>
      </c>
      <c r="M95" t="s">
        <v>29</v>
      </c>
      <c r="N95">
        <v>13.2430578833496</v>
      </c>
      <c r="O95">
        <v>12.6918925978487</v>
      </c>
      <c r="P95">
        <v>0.37696138763133302</v>
      </c>
      <c r="Q95">
        <v>-0.106594091150665</v>
      </c>
      <c r="R95">
        <v>0.86051686641333103</v>
      </c>
      <c r="S95">
        <v>12.664391382466199</v>
      </c>
      <c r="T95">
        <v>1.6455101757983599</v>
      </c>
      <c r="U95">
        <v>-5.7260953397362302</v>
      </c>
      <c r="V95">
        <v>0.11833930325205901</v>
      </c>
      <c r="W95">
        <v>0.24456236092834299</v>
      </c>
      <c r="X95">
        <v>0</v>
      </c>
      <c r="Y95">
        <v>0</v>
      </c>
    </row>
    <row r="96" spans="1:25" x14ac:dyDescent="0.2">
      <c r="A96" t="s">
        <v>376</v>
      </c>
      <c r="B96" t="s">
        <v>377</v>
      </c>
      <c r="C96" t="s">
        <v>378</v>
      </c>
      <c r="D96" t="s">
        <v>379</v>
      </c>
      <c r="E96" t="s">
        <v>377</v>
      </c>
      <c r="F96" t="s">
        <v>28</v>
      </c>
      <c r="G96" t="s">
        <v>377</v>
      </c>
      <c r="H96" t="str">
        <f>"aqp-7"</f>
        <v>aqp-7</v>
      </c>
      <c r="I96" t="s">
        <v>379</v>
      </c>
      <c r="J96">
        <v>16.634206706149101</v>
      </c>
      <c r="K96">
        <v>16.729333986490602</v>
      </c>
      <c r="L96">
        <v>16.345736660066699</v>
      </c>
      <c r="M96">
        <v>15.2737269546984</v>
      </c>
      <c r="N96">
        <v>15.724363678724</v>
      </c>
      <c r="O96">
        <v>15.495734866312301</v>
      </c>
      <c r="P96">
        <v>-1.07181728432387</v>
      </c>
      <c r="Q96">
        <v>-1.43113907882949</v>
      </c>
      <c r="R96">
        <v>-0.71249548981824595</v>
      </c>
      <c r="S96">
        <v>16.072786665033899</v>
      </c>
      <c r="T96">
        <v>-6.2694538447342296</v>
      </c>
      <c r="U96">
        <v>3.6992743559705601</v>
      </c>
      <c r="V96" s="2">
        <v>6.6980126259491602E-6</v>
      </c>
      <c r="W96">
        <v>2.1224777643733499E-4</v>
      </c>
      <c r="X96">
        <v>-1</v>
      </c>
      <c r="Y96">
        <v>-1</v>
      </c>
    </row>
    <row r="97" spans="1:25" x14ac:dyDescent="0.2">
      <c r="A97" t="s">
        <v>380</v>
      </c>
      <c r="B97" t="s">
        <v>381</v>
      </c>
      <c r="C97" t="s">
        <v>382</v>
      </c>
      <c r="D97" t="s">
        <v>383</v>
      </c>
      <c r="E97" t="s">
        <v>381</v>
      </c>
      <c r="F97" t="s">
        <v>28</v>
      </c>
      <c r="G97" t="s">
        <v>381</v>
      </c>
      <c r="H97" t="str">
        <f>"rom-5"</f>
        <v>rom-5</v>
      </c>
      <c r="I97" t="s">
        <v>383</v>
      </c>
      <c r="J97">
        <v>13.156427746221601</v>
      </c>
      <c r="K97">
        <v>13.298832924669201</v>
      </c>
      <c r="L97">
        <v>13.275505059713099</v>
      </c>
      <c r="M97" t="s">
        <v>29</v>
      </c>
      <c r="N97">
        <v>13.2648612987006</v>
      </c>
      <c r="O97">
        <v>13.1454356788736</v>
      </c>
      <c r="P97">
        <v>-3.8440088080863098E-2</v>
      </c>
      <c r="Q97">
        <v>-0.70381976963170401</v>
      </c>
      <c r="R97">
        <v>0.62693959346997696</v>
      </c>
      <c r="S97">
        <v>13.188202277763301</v>
      </c>
      <c r="T97">
        <v>-0.121945239906465</v>
      </c>
      <c r="U97">
        <v>-7.03766165516158</v>
      </c>
      <c r="V97">
        <v>0.90438110644688896</v>
      </c>
      <c r="W97">
        <v>0.94310372282341903</v>
      </c>
      <c r="X97">
        <v>0</v>
      </c>
      <c r="Y97">
        <v>0</v>
      </c>
    </row>
    <row r="98" spans="1:25" x14ac:dyDescent="0.2">
      <c r="A98" t="s">
        <v>384</v>
      </c>
      <c r="B98" t="s">
        <v>385</v>
      </c>
      <c r="C98" t="s">
        <v>14208</v>
      </c>
      <c r="D98" t="s">
        <v>386</v>
      </c>
      <c r="E98" t="s">
        <v>385</v>
      </c>
      <c r="F98" t="s">
        <v>28</v>
      </c>
      <c r="G98" t="s">
        <v>385</v>
      </c>
      <c r="H98" t="str">
        <f>"Y52B11A.3"</f>
        <v>Y52B11A.3</v>
      </c>
      <c r="I98" t="s">
        <v>386</v>
      </c>
      <c r="J98">
        <v>12.380919618555801</v>
      </c>
      <c r="K98">
        <v>12.0317704704864</v>
      </c>
      <c r="L98">
        <v>12.0748050218253</v>
      </c>
      <c r="M98" t="s">
        <v>29</v>
      </c>
      <c r="N98" t="s">
        <v>29</v>
      </c>
      <c r="O98">
        <v>12.5890806262732</v>
      </c>
      <c r="P98">
        <v>0.42658225598400701</v>
      </c>
      <c r="Q98">
        <v>-0.96210218406529102</v>
      </c>
      <c r="R98">
        <v>1.8152666960332999</v>
      </c>
      <c r="S98">
        <v>11.6346332625372</v>
      </c>
      <c r="T98">
        <v>0.66418102147908997</v>
      </c>
      <c r="U98">
        <v>-6.5818190999516499</v>
      </c>
      <c r="V98">
        <v>0.51827491200341103</v>
      </c>
      <c r="W98">
        <v>0.67048119652065497</v>
      </c>
      <c r="X98">
        <v>0</v>
      </c>
      <c r="Y98">
        <v>0</v>
      </c>
    </row>
    <row r="99" spans="1:25" x14ac:dyDescent="0.2">
      <c r="A99" t="s">
        <v>387</v>
      </c>
      <c r="B99" t="s">
        <v>388</v>
      </c>
      <c r="C99" t="s">
        <v>389</v>
      </c>
      <c r="D99" t="s">
        <v>390</v>
      </c>
      <c r="E99" t="s">
        <v>388</v>
      </c>
      <c r="F99" t="s">
        <v>28</v>
      </c>
      <c r="G99" t="s">
        <v>388</v>
      </c>
      <c r="H99" t="str">
        <f>"cyh-1"</f>
        <v>cyh-1</v>
      </c>
      <c r="I99" t="s">
        <v>390</v>
      </c>
      <c r="J99" t="s">
        <v>29</v>
      </c>
      <c r="K99" t="s">
        <v>29</v>
      </c>
      <c r="L99" t="s">
        <v>29</v>
      </c>
      <c r="M99" t="s">
        <v>29</v>
      </c>
      <c r="N99" t="s">
        <v>29</v>
      </c>
      <c r="O99" t="s">
        <v>29</v>
      </c>
      <c r="P99" t="s">
        <v>29</v>
      </c>
      <c r="Q99" t="s">
        <v>29</v>
      </c>
      <c r="R99" t="s">
        <v>29</v>
      </c>
      <c r="S99">
        <v>11.297266891761399</v>
      </c>
      <c r="T99" t="s">
        <v>29</v>
      </c>
      <c r="U99" t="s">
        <v>29</v>
      </c>
      <c r="V99" t="s">
        <v>29</v>
      </c>
      <c r="W99" t="s">
        <v>29</v>
      </c>
      <c r="X99" t="s">
        <v>29</v>
      </c>
      <c r="Y99" t="s">
        <v>29</v>
      </c>
    </row>
    <row r="100" spans="1:25" x14ac:dyDescent="0.2">
      <c r="A100" t="s">
        <v>391</v>
      </c>
      <c r="B100" t="s">
        <v>392</v>
      </c>
      <c r="C100" t="s">
        <v>14209</v>
      </c>
      <c r="D100" t="s">
        <v>393</v>
      </c>
      <c r="E100" t="s">
        <v>392</v>
      </c>
      <c r="F100" t="s">
        <v>28</v>
      </c>
      <c r="G100" t="s">
        <v>392</v>
      </c>
      <c r="H100" t="str">
        <f>"Y51H7C.13"</f>
        <v>Y51H7C.13</v>
      </c>
      <c r="I100" t="s">
        <v>393</v>
      </c>
      <c r="J100">
        <v>13.681471182037299</v>
      </c>
      <c r="K100">
        <v>14.0416810718188</v>
      </c>
      <c r="L100">
        <v>15.9067220321029</v>
      </c>
      <c r="M100">
        <v>15.1558716744376</v>
      </c>
      <c r="N100">
        <v>15.517412791679901</v>
      </c>
      <c r="O100">
        <v>14.6397996410997</v>
      </c>
      <c r="P100">
        <v>0.56106994041941904</v>
      </c>
      <c r="Q100">
        <v>-0.50789284258619505</v>
      </c>
      <c r="R100">
        <v>1.63003272342503</v>
      </c>
      <c r="S100">
        <v>14.1676574790348</v>
      </c>
      <c r="T100">
        <v>1.1031813974270901</v>
      </c>
      <c r="U100">
        <v>-6.5385285085598701</v>
      </c>
      <c r="V100">
        <v>0.28456340931705099</v>
      </c>
      <c r="W100">
        <v>0.45244202833223102</v>
      </c>
      <c r="X100">
        <v>0</v>
      </c>
      <c r="Y100">
        <v>0</v>
      </c>
    </row>
    <row r="101" spans="1:25" x14ac:dyDescent="0.2">
      <c r="A101" t="s">
        <v>394</v>
      </c>
      <c r="B101" t="s">
        <v>395</v>
      </c>
      <c r="C101" t="s">
        <v>396</v>
      </c>
      <c r="D101" t="s">
        <v>397</v>
      </c>
      <c r="E101" t="s">
        <v>395</v>
      </c>
      <c r="F101" t="s">
        <v>28</v>
      </c>
      <c r="G101" t="s">
        <v>395</v>
      </c>
      <c r="H101" t="str">
        <f>"frl-1"</f>
        <v>frl-1</v>
      </c>
      <c r="I101" t="s">
        <v>397</v>
      </c>
      <c r="J101">
        <v>12.931208719771501</v>
      </c>
      <c r="K101" t="s">
        <v>29</v>
      </c>
      <c r="L101">
        <v>12.578462880197399</v>
      </c>
      <c r="M101" t="s">
        <v>29</v>
      </c>
      <c r="N101">
        <v>13.7982956891094</v>
      </c>
      <c r="O101" t="s">
        <v>29</v>
      </c>
      <c r="P101">
        <v>1.043459889125</v>
      </c>
      <c r="Q101">
        <v>0.17905072226213001</v>
      </c>
      <c r="R101">
        <v>1.9078690559878699</v>
      </c>
      <c r="S101">
        <v>12.690187198741601</v>
      </c>
      <c r="T101">
        <v>2.6100188261592998</v>
      </c>
      <c r="U101">
        <v>-3.8565033736576702</v>
      </c>
      <c r="V101">
        <v>2.1708656629419499E-2</v>
      </c>
      <c r="W101">
        <v>7.7734399862574993E-2</v>
      </c>
      <c r="X101">
        <v>1</v>
      </c>
      <c r="Y101">
        <v>0</v>
      </c>
    </row>
    <row r="102" spans="1:25" x14ac:dyDescent="0.2">
      <c r="A102" t="s">
        <v>398</v>
      </c>
      <c r="B102" t="s">
        <v>399</v>
      </c>
      <c r="C102" t="s">
        <v>400</v>
      </c>
      <c r="D102" t="s">
        <v>401</v>
      </c>
      <c r="E102" t="s">
        <v>399</v>
      </c>
      <c r="F102" t="s">
        <v>28</v>
      </c>
      <c r="G102" t="s">
        <v>399</v>
      </c>
      <c r="H102" t="str">
        <f>"nos-3"</f>
        <v>nos-3</v>
      </c>
      <c r="I102" t="s">
        <v>401</v>
      </c>
      <c r="J102">
        <v>12.7812160806352</v>
      </c>
      <c r="K102">
        <v>13.209561860090099</v>
      </c>
      <c r="L102">
        <v>13.3844952356633</v>
      </c>
      <c r="M102" t="s">
        <v>29</v>
      </c>
      <c r="N102">
        <v>12.335596606017299</v>
      </c>
      <c r="O102" t="s">
        <v>29</v>
      </c>
      <c r="P102">
        <v>-0.78949445277881503</v>
      </c>
      <c r="Q102">
        <v>-1.5533472808255699</v>
      </c>
      <c r="R102">
        <v>-2.5641624732064099E-2</v>
      </c>
      <c r="S102">
        <v>13.3092072845012</v>
      </c>
      <c r="T102">
        <v>-2.1922441599739502</v>
      </c>
      <c r="U102">
        <v>-4.6113086106016796</v>
      </c>
      <c r="V102">
        <v>4.3599545803174003E-2</v>
      </c>
      <c r="W102">
        <v>0.123646024222426</v>
      </c>
      <c r="X102">
        <v>0</v>
      </c>
      <c r="Y102">
        <v>0</v>
      </c>
    </row>
    <row r="103" spans="1:25" x14ac:dyDescent="0.2">
      <c r="A103" t="s">
        <v>402</v>
      </c>
      <c r="B103" t="s">
        <v>403</v>
      </c>
      <c r="C103" t="s">
        <v>404</v>
      </c>
      <c r="D103" t="s">
        <v>405</v>
      </c>
      <c r="E103" t="s">
        <v>403</v>
      </c>
      <c r="F103" t="s">
        <v>28</v>
      </c>
      <c r="G103" t="s">
        <v>403</v>
      </c>
      <c r="H103" t="str">
        <f>"metl-17"</f>
        <v>metl-17</v>
      </c>
      <c r="I103" t="s">
        <v>405</v>
      </c>
      <c r="J103">
        <v>12.541388780083899</v>
      </c>
      <c r="K103" t="s">
        <v>29</v>
      </c>
      <c r="L103">
        <v>11.994983610275799</v>
      </c>
      <c r="M103" t="s">
        <v>29</v>
      </c>
      <c r="N103" t="s">
        <v>29</v>
      </c>
      <c r="O103" t="s">
        <v>29</v>
      </c>
      <c r="P103" t="s">
        <v>29</v>
      </c>
      <c r="Q103" t="s">
        <v>29</v>
      </c>
      <c r="R103" t="s">
        <v>29</v>
      </c>
      <c r="S103">
        <v>11.8013285377139</v>
      </c>
      <c r="T103" t="s">
        <v>29</v>
      </c>
      <c r="U103" t="s">
        <v>29</v>
      </c>
      <c r="V103" t="s">
        <v>29</v>
      </c>
      <c r="W103" t="s">
        <v>29</v>
      </c>
      <c r="X103" t="s">
        <v>29</v>
      </c>
      <c r="Y103" t="s">
        <v>29</v>
      </c>
    </row>
    <row r="104" spans="1:25" x14ac:dyDescent="0.2">
      <c r="A104" t="s">
        <v>406</v>
      </c>
      <c r="B104" t="s">
        <v>407</v>
      </c>
      <c r="C104" t="s">
        <v>408</v>
      </c>
      <c r="D104" t="s">
        <v>409</v>
      </c>
      <c r="E104" t="s">
        <v>407</v>
      </c>
      <c r="F104" t="s">
        <v>28</v>
      </c>
      <c r="G104" t="s">
        <v>407</v>
      </c>
      <c r="H104" t="str">
        <f>"ppk-3"</f>
        <v>ppk-3</v>
      </c>
      <c r="I104" t="s">
        <v>409</v>
      </c>
      <c r="J104">
        <v>21.417621885181301</v>
      </c>
      <c r="K104">
        <v>21.662727414251499</v>
      </c>
      <c r="L104">
        <v>21.1433322445247</v>
      </c>
      <c r="M104">
        <v>20.416554637546</v>
      </c>
      <c r="N104">
        <v>21.0780721940652</v>
      </c>
      <c r="O104">
        <v>21.7110567536443</v>
      </c>
      <c r="P104">
        <v>-0.33933265290067599</v>
      </c>
      <c r="Q104">
        <v>-1.0570156972834199</v>
      </c>
      <c r="R104">
        <v>0.37835039148206501</v>
      </c>
      <c r="S104">
        <v>20.4191776850104</v>
      </c>
      <c r="T104">
        <v>-0.99376907911141099</v>
      </c>
      <c r="U104">
        <v>-6.6519064214330497</v>
      </c>
      <c r="V104">
        <v>0.33358375099874699</v>
      </c>
      <c r="W104">
        <v>0.504403276097801</v>
      </c>
      <c r="X104">
        <v>0</v>
      </c>
      <c r="Y104">
        <v>0</v>
      </c>
    </row>
    <row r="105" spans="1:25" x14ac:dyDescent="0.2">
      <c r="A105" t="s">
        <v>410</v>
      </c>
      <c r="B105" t="s">
        <v>411</v>
      </c>
      <c r="C105" t="s">
        <v>14210</v>
      </c>
      <c r="D105" t="s">
        <v>412</v>
      </c>
      <c r="E105" t="s">
        <v>411</v>
      </c>
      <c r="F105" t="s">
        <v>28</v>
      </c>
      <c r="G105" t="s">
        <v>411</v>
      </c>
      <c r="H105" t="str">
        <f>"T26A5.2"</f>
        <v>T26A5.2</v>
      </c>
      <c r="I105" t="s">
        <v>412</v>
      </c>
      <c r="J105" t="s">
        <v>29</v>
      </c>
      <c r="K105" t="s">
        <v>29</v>
      </c>
      <c r="L105" t="s">
        <v>29</v>
      </c>
      <c r="M105" t="s">
        <v>29</v>
      </c>
      <c r="N105" t="s">
        <v>29</v>
      </c>
      <c r="O105" t="s">
        <v>29</v>
      </c>
      <c r="P105" t="s">
        <v>29</v>
      </c>
      <c r="Q105" t="s">
        <v>29</v>
      </c>
      <c r="R105" t="s">
        <v>29</v>
      </c>
      <c r="S105">
        <v>12.9942017015369</v>
      </c>
      <c r="T105" t="s">
        <v>29</v>
      </c>
      <c r="U105" t="s">
        <v>29</v>
      </c>
      <c r="V105" t="s">
        <v>29</v>
      </c>
      <c r="W105" t="s">
        <v>29</v>
      </c>
      <c r="X105" t="s">
        <v>29</v>
      </c>
      <c r="Y105" t="s">
        <v>29</v>
      </c>
    </row>
    <row r="106" spans="1:25" x14ac:dyDescent="0.2">
      <c r="A106" t="s">
        <v>413</v>
      </c>
      <c r="B106" t="s">
        <v>414</v>
      </c>
      <c r="C106" t="s">
        <v>415</v>
      </c>
      <c r="D106" t="s">
        <v>416</v>
      </c>
      <c r="E106" t="s">
        <v>414</v>
      </c>
      <c r="F106" t="s">
        <v>28</v>
      </c>
      <c r="G106" t="s">
        <v>414</v>
      </c>
      <c r="H106" t="str">
        <f>"usp-5"</f>
        <v>usp-5</v>
      </c>
      <c r="I106" t="s">
        <v>416</v>
      </c>
      <c r="J106">
        <v>10.599355728830901</v>
      </c>
      <c r="K106" t="s">
        <v>29</v>
      </c>
      <c r="L106">
        <v>11.7055309883216</v>
      </c>
      <c r="M106" t="s">
        <v>29</v>
      </c>
      <c r="N106">
        <v>14.0397174831432</v>
      </c>
      <c r="O106">
        <v>14.0927726263183</v>
      </c>
      <c r="P106">
        <v>2.9138016961544899</v>
      </c>
      <c r="Q106">
        <v>2.0962218365025098</v>
      </c>
      <c r="R106">
        <v>3.7313815558064798</v>
      </c>
      <c r="S106">
        <v>12.780827868188601</v>
      </c>
      <c r="T106">
        <v>7.5592609399991098</v>
      </c>
      <c r="U106">
        <v>5.66060019956989</v>
      </c>
      <c r="V106" s="2">
        <v>1.19597778281317E-6</v>
      </c>
      <c r="W106" s="2">
        <v>5.26051720291108E-5</v>
      </c>
      <c r="X106">
        <v>1</v>
      </c>
      <c r="Y106">
        <v>1</v>
      </c>
    </row>
    <row r="107" spans="1:25" x14ac:dyDescent="0.2">
      <c r="A107" t="s">
        <v>417</v>
      </c>
      <c r="B107" t="s">
        <v>418</v>
      </c>
      <c r="C107" t="s">
        <v>419</v>
      </c>
      <c r="D107" t="s">
        <v>420</v>
      </c>
      <c r="E107" t="s">
        <v>418</v>
      </c>
      <c r="F107" t="s">
        <v>28</v>
      </c>
      <c r="G107" t="s">
        <v>418</v>
      </c>
      <c r="H107" t="str">
        <f>"clh-1"</f>
        <v>clh-1</v>
      </c>
      <c r="I107" t="s">
        <v>420</v>
      </c>
      <c r="J107">
        <v>12.7532538866521</v>
      </c>
      <c r="K107">
        <v>12.226948512995801</v>
      </c>
      <c r="L107">
        <v>12.7468976092416</v>
      </c>
      <c r="M107" t="s">
        <v>29</v>
      </c>
      <c r="N107" t="s">
        <v>29</v>
      </c>
      <c r="O107" t="s">
        <v>29</v>
      </c>
      <c r="P107" t="s">
        <v>29</v>
      </c>
      <c r="Q107" t="s">
        <v>29</v>
      </c>
      <c r="R107" t="s">
        <v>29</v>
      </c>
      <c r="S107">
        <v>12.3726818265174</v>
      </c>
      <c r="T107" t="s">
        <v>29</v>
      </c>
      <c r="U107" t="s">
        <v>29</v>
      </c>
      <c r="V107" t="s">
        <v>29</v>
      </c>
      <c r="W107" t="s">
        <v>29</v>
      </c>
      <c r="X107" t="s">
        <v>29</v>
      </c>
      <c r="Y107" t="s">
        <v>29</v>
      </c>
    </row>
    <row r="108" spans="1:25" x14ac:dyDescent="0.2">
      <c r="A108" t="s">
        <v>421</v>
      </c>
      <c r="B108" t="s">
        <v>422</v>
      </c>
      <c r="C108" t="s">
        <v>14211</v>
      </c>
      <c r="D108" t="s">
        <v>368</v>
      </c>
      <c r="E108" t="s">
        <v>422</v>
      </c>
      <c r="F108" t="s">
        <v>28</v>
      </c>
      <c r="G108" t="s">
        <v>422</v>
      </c>
      <c r="H108" t="str">
        <f>"W05F2.4"</f>
        <v>W05F2.4</v>
      </c>
      <c r="I108" t="s">
        <v>368</v>
      </c>
      <c r="J108" t="s">
        <v>29</v>
      </c>
      <c r="K108" t="s">
        <v>29</v>
      </c>
      <c r="L108">
        <v>11.2118933008125</v>
      </c>
      <c r="M108" t="s">
        <v>29</v>
      </c>
      <c r="N108" t="s">
        <v>29</v>
      </c>
      <c r="O108" t="s">
        <v>29</v>
      </c>
      <c r="P108" t="s">
        <v>29</v>
      </c>
      <c r="Q108" t="s">
        <v>29</v>
      </c>
      <c r="R108" t="s">
        <v>29</v>
      </c>
      <c r="S108">
        <v>11.693350056633999</v>
      </c>
      <c r="T108" t="s">
        <v>29</v>
      </c>
      <c r="U108" t="s">
        <v>29</v>
      </c>
      <c r="V108" t="s">
        <v>29</v>
      </c>
      <c r="W108" t="s">
        <v>29</v>
      </c>
      <c r="X108" t="s">
        <v>29</v>
      </c>
      <c r="Y108" t="s">
        <v>29</v>
      </c>
    </row>
    <row r="109" spans="1:25" x14ac:dyDescent="0.2">
      <c r="A109" t="s">
        <v>423</v>
      </c>
      <c r="B109" t="s">
        <v>424</v>
      </c>
      <c r="C109" t="s">
        <v>425</v>
      </c>
      <c r="D109" t="s">
        <v>426</v>
      </c>
      <c r="E109" t="s">
        <v>424</v>
      </c>
      <c r="F109" t="s">
        <v>28</v>
      </c>
      <c r="G109" t="s">
        <v>424</v>
      </c>
      <c r="H109" t="str">
        <f>"mvk-1"</f>
        <v>mvk-1</v>
      </c>
      <c r="I109" t="s">
        <v>426</v>
      </c>
      <c r="J109">
        <v>14.828496191709</v>
      </c>
      <c r="K109">
        <v>14.7858084973003</v>
      </c>
      <c r="L109">
        <v>14.455038046820301</v>
      </c>
      <c r="M109">
        <v>13.932611091769401</v>
      </c>
      <c r="N109">
        <v>14.0378683935939</v>
      </c>
      <c r="O109">
        <v>14.4814543839857</v>
      </c>
      <c r="P109">
        <v>-0.53913628882686204</v>
      </c>
      <c r="Q109">
        <v>-0.93651771351172197</v>
      </c>
      <c r="R109">
        <v>-0.141754864142002</v>
      </c>
      <c r="S109">
        <v>14.1429183135579</v>
      </c>
      <c r="T109">
        <v>-2.8515665755364799</v>
      </c>
      <c r="U109">
        <v>-3.6429087641097202</v>
      </c>
      <c r="V109">
        <v>1.06396593558167E-2</v>
      </c>
      <c r="W109">
        <v>4.74358186408348E-2</v>
      </c>
      <c r="X109">
        <v>0</v>
      </c>
      <c r="Y109">
        <v>0</v>
      </c>
    </row>
    <row r="110" spans="1:25" x14ac:dyDescent="0.2">
      <c r="A110" t="s">
        <v>427</v>
      </c>
      <c r="B110" t="s">
        <v>428</v>
      </c>
      <c r="C110" t="s">
        <v>14212</v>
      </c>
      <c r="D110" t="s">
        <v>429</v>
      </c>
      <c r="E110" t="s">
        <v>428</v>
      </c>
      <c r="F110" t="s">
        <v>28</v>
      </c>
      <c r="G110" t="s">
        <v>428</v>
      </c>
      <c r="H110" t="str">
        <f>"Y32H12A.7"</f>
        <v>Y32H12A.7</v>
      </c>
      <c r="I110" t="s">
        <v>429</v>
      </c>
      <c r="J110" t="s">
        <v>29</v>
      </c>
      <c r="K110">
        <v>11.407124804301899</v>
      </c>
      <c r="L110">
        <v>12.8389829239474</v>
      </c>
      <c r="M110" t="s">
        <v>29</v>
      </c>
      <c r="N110" t="s">
        <v>29</v>
      </c>
      <c r="O110">
        <v>13.075940629109301</v>
      </c>
      <c r="P110">
        <v>0.95288676498465796</v>
      </c>
      <c r="Q110">
        <v>-0.40902502114862799</v>
      </c>
      <c r="R110">
        <v>2.3147985511179399</v>
      </c>
      <c r="S110">
        <v>12.9070936299238</v>
      </c>
      <c r="T110">
        <v>1.5612023883728601</v>
      </c>
      <c r="U110">
        <v>-5.5728659914795404</v>
      </c>
      <c r="V110">
        <v>0.149860803192743</v>
      </c>
      <c r="W110">
        <v>0.29364347540492802</v>
      </c>
      <c r="X110">
        <v>0</v>
      </c>
      <c r="Y110">
        <v>0</v>
      </c>
    </row>
    <row r="111" spans="1:25" x14ac:dyDescent="0.2">
      <c r="A111" t="s">
        <v>430</v>
      </c>
      <c r="B111" t="s">
        <v>431</v>
      </c>
      <c r="C111" t="s">
        <v>432</v>
      </c>
      <c r="D111" t="s">
        <v>433</v>
      </c>
      <c r="E111" t="s">
        <v>431</v>
      </c>
      <c r="F111" t="s">
        <v>28</v>
      </c>
      <c r="G111" t="s">
        <v>431</v>
      </c>
      <c r="H111" t="str">
        <f>"edc-4"</f>
        <v>edc-4</v>
      </c>
      <c r="I111" t="s">
        <v>433</v>
      </c>
      <c r="J111">
        <v>11.920371341518599</v>
      </c>
      <c r="K111">
        <v>11.454727761420401</v>
      </c>
      <c r="L111">
        <v>11.7757898023814</v>
      </c>
      <c r="M111">
        <v>14.8303826861244</v>
      </c>
      <c r="N111">
        <v>14.931973980028999</v>
      </c>
      <c r="O111">
        <v>15.2727829936858</v>
      </c>
      <c r="P111">
        <v>3.2947502515062901</v>
      </c>
      <c r="Q111">
        <v>2.8017821972474302</v>
      </c>
      <c r="R111">
        <v>3.78771830576515</v>
      </c>
      <c r="S111">
        <v>13.818289367550401</v>
      </c>
      <c r="T111">
        <v>14.0474092881053</v>
      </c>
      <c r="U111">
        <v>15.7396654262601</v>
      </c>
      <c r="V111" s="2">
        <v>4.18448064404783E-11</v>
      </c>
      <c r="W111" s="2">
        <v>1.4285328298076999E-8</v>
      </c>
      <c r="X111">
        <v>1</v>
      </c>
      <c r="Y111">
        <v>1</v>
      </c>
    </row>
    <row r="112" spans="1:25" x14ac:dyDescent="0.2">
      <c r="A112" t="s">
        <v>434</v>
      </c>
      <c r="B112" t="s">
        <v>435</v>
      </c>
      <c r="C112" t="s">
        <v>14213</v>
      </c>
      <c r="D112" t="s">
        <v>436</v>
      </c>
      <c r="E112" t="s">
        <v>435</v>
      </c>
      <c r="F112" t="s">
        <v>28</v>
      </c>
      <c r="G112" t="s">
        <v>435</v>
      </c>
      <c r="H112" t="str">
        <f>"Y39A3CL.4"</f>
        <v>Y39A3CL.4</v>
      </c>
      <c r="I112" t="s">
        <v>436</v>
      </c>
      <c r="J112">
        <v>14.1356381697272</v>
      </c>
      <c r="K112">
        <v>14.264659704578399</v>
      </c>
      <c r="L112">
        <v>13.9579323421415</v>
      </c>
      <c r="M112">
        <v>14.8887707843362</v>
      </c>
      <c r="N112">
        <v>15.2633463736016</v>
      </c>
      <c r="O112">
        <v>15.7003611330783</v>
      </c>
      <c r="P112">
        <v>1.16474935818967</v>
      </c>
      <c r="Q112">
        <v>0.63995271516553098</v>
      </c>
      <c r="R112">
        <v>1.6895460012138099</v>
      </c>
      <c r="S112">
        <v>14.4212616868606</v>
      </c>
      <c r="T112">
        <v>4.6648098413461803</v>
      </c>
      <c r="U112">
        <v>0.29290285019430701</v>
      </c>
      <c r="V112">
        <v>1.95568785713167E-4</v>
      </c>
      <c r="W112">
        <v>2.8043615794078598E-3</v>
      </c>
      <c r="X112">
        <v>1</v>
      </c>
      <c r="Y112">
        <v>1</v>
      </c>
    </row>
    <row r="113" spans="1:25" x14ac:dyDescent="0.2">
      <c r="A113" t="s">
        <v>437</v>
      </c>
      <c r="B113" t="s">
        <v>438</v>
      </c>
      <c r="C113" t="s">
        <v>439</v>
      </c>
      <c r="D113" t="s">
        <v>66</v>
      </c>
      <c r="E113" t="s">
        <v>438</v>
      </c>
      <c r="F113" t="s">
        <v>28</v>
      </c>
      <c r="G113" t="s">
        <v>438</v>
      </c>
      <c r="H113" t="str">
        <f>"pkhm-2"</f>
        <v>pkhm-2</v>
      </c>
      <c r="I113" t="s">
        <v>66</v>
      </c>
      <c r="J113">
        <v>12.5778990188821</v>
      </c>
      <c r="K113">
        <v>11.726790452989601</v>
      </c>
      <c r="L113">
        <v>12.5578729855966</v>
      </c>
      <c r="M113" t="s">
        <v>29</v>
      </c>
      <c r="N113" t="s">
        <v>29</v>
      </c>
      <c r="O113">
        <v>12.505059530654799</v>
      </c>
      <c r="P113">
        <v>0.217538711498721</v>
      </c>
      <c r="Q113">
        <v>-0.70769738663235104</v>
      </c>
      <c r="R113">
        <v>1.1427748096297901</v>
      </c>
      <c r="S113">
        <v>12.3041241001019</v>
      </c>
      <c r="T113">
        <v>0.49869327673536801</v>
      </c>
      <c r="U113">
        <v>-6.6831198907896701</v>
      </c>
      <c r="V113">
        <v>0.62482590124604898</v>
      </c>
      <c r="W113">
        <v>0.74882551076539505</v>
      </c>
      <c r="X113">
        <v>0</v>
      </c>
      <c r="Y113">
        <v>0</v>
      </c>
    </row>
    <row r="114" spans="1:25" x14ac:dyDescent="0.2">
      <c r="A114" t="s">
        <v>440</v>
      </c>
      <c r="B114" t="s">
        <v>441</v>
      </c>
      <c r="C114" t="s">
        <v>442</v>
      </c>
      <c r="D114" t="s">
        <v>252</v>
      </c>
      <c r="E114" t="s">
        <v>441</v>
      </c>
      <c r="F114" t="s">
        <v>28</v>
      </c>
      <c r="G114" t="s">
        <v>441</v>
      </c>
      <c r="H114" t="str">
        <f>"mex-1"</f>
        <v>mex-1</v>
      </c>
      <c r="I114" t="s">
        <v>252</v>
      </c>
      <c r="J114">
        <v>11.720929577572999</v>
      </c>
      <c r="K114" t="s">
        <v>29</v>
      </c>
      <c r="L114">
        <v>12.6519363026981</v>
      </c>
      <c r="M114" t="s">
        <v>29</v>
      </c>
      <c r="N114" t="s">
        <v>29</v>
      </c>
      <c r="O114">
        <v>12.882006079254699</v>
      </c>
      <c r="P114">
        <v>0.69557313911918195</v>
      </c>
      <c r="Q114">
        <v>-0.233362218545312</v>
      </c>
      <c r="R114">
        <v>1.62450849678367</v>
      </c>
      <c r="S114">
        <v>13.886193444622499</v>
      </c>
      <c r="T114">
        <v>1.6330606773007099</v>
      </c>
      <c r="U114">
        <v>-5.4695065014006703</v>
      </c>
      <c r="V114">
        <v>0.12862699870823299</v>
      </c>
      <c r="W114">
        <v>0.261709040254412</v>
      </c>
      <c r="X114">
        <v>0</v>
      </c>
      <c r="Y114">
        <v>0</v>
      </c>
    </row>
    <row r="115" spans="1:25" x14ac:dyDescent="0.2">
      <c r="A115" t="s">
        <v>443</v>
      </c>
      <c r="B115" t="s">
        <v>444</v>
      </c>
      <c r="C115" t="s">
        <v>445</v>
      </c>
      <c r="D115" t="s">
        <v>446</v>
      </c>
      <c r="E115" t="s">
        <v>444</v>
      </c>
      <c r="F115" t="s">
        <v>28</v>
      </c>
      <c r="G115" t="s">
        <v>444</v>
      </c>
      <c r="H115" t="str">
        <f>"ctps-1"</f>
        <v>ctps-1</v>
      </c>
      <c r="I115" t="s">
        <v>446</v>
      </c>
      <c r="J115">
        <v>15.2610876888126</v>
      </c>
      <c r="K115">
        <v>15.140798721927201</v>
      </c>
      <c r="L115">
        <v>15.2749991624353</v>
      </c>
      <c r="M115">
        <v>15.092239474952599</v>
      </c>
      <c r="N115">
        <v>15.223007491167399</v>
      </c>
      <c r="O115">
        <v>15.3586821930118</v>
      </c>
      <c r="P115">
        <v>-9.8547134774662503E-4</v>
      </c>
      <c r="Q115">
        <v>-0.330732199151266</v>
      </c>
      <c r="R115">
        <v>0.32876125645577198</v>
      </c>
      <c r="S115">
        <v>15.0736774918691</v>
      </c>
      <c r="T115">
        <v>-6.2813937838246498E-3</v>
      </c>
      <c r="U115">
        <v>-7.1562813829781797</v>
      </c>
      <c r="V115">
        <v>0.99505770147113004</v>
      </c>
      <c r="W115">
        <v>0.99674882604874904</v>
      </c>
      <c r="X115">
        <v>0</v>
      </c>
      <c r="Y115">
        <v>0</v>
      </c>
    </row>
    <row r="116" spans="1:25" x14ac:dyDescent="0.2">
      <c r="A116" t="s">
        <v>447</v>
      </c>
      <c r="B116" t="s">
        <v>448</v>
      </c>
      <c r="C116" t="s">
        <v>449</v>
      </c>
      <c r="D116" t="s">
        <v>450</v>
      </c>
      <c r="E116" t="s">
        <v>448</v>
      </c>
      <c r="F116" t="s">
        <v>28</v>
      </c>
      <c r="G116" t="s">
        <v>448</v>
      </c>
      <c r="H116" t="str">
        <f>"frm-5.1"</f>
        <v>frm-5.1</v>
      </c>
      <c r="I116" t="s">
        <v>450</v>
      </c>
      <c r="J116">
        <v>10.9647975226712</v>
      </c>
      <c r="K116">
        <v>11.1260795649222</v>
      </c>
      <c r="L116">
        <v>10.9534852560286</v>
      </c>
      <c r="M116" t="s">
        <v>29</v>
      </c>
      <c r="N116" t="s">
        <v>29</v>
      </c>
      <c r="O116">
        <v>12.4347293200768</v>
      </c>
      <c r="P116">
        <v>1.4199418722027699</v>
      </c>
      <c r="Q116">
        <v>0.83389573260232397</v>
      </c>
      <c r="R116">
        <v>2.0059880118032201</v>
      </c>
      <c r="S116">
        <v>11.8706109908562</v>
      </c>
      <c r="T116">
        <v>5.1391144116149698</v>
      </c>
      <c r="U116">
        <v>1.29191851548014</v>
      </c>
      <c r="V116">
        <v>1.0101113854911801E-4</v>
      </c>
      <c r="W116">
        <v>1.76141908464054E-3</v>
      </c>
      <c r="X116">
        <v>1</v>
      </c>
      <c r="Y116">
        <v>1</v>
      </c>
    </row>
    <row r="117" spans="1:25" x14ac:dyDescent="0.2">
      <c r="A117" t="s">
        <v>451</v>
      </c>
      <c r="B117" t="s">
        <v>452</v>
      </c>
      <c r="C117" t="s">
        <v>453</v>
      </c>
      <c r="D117" t="s">
        <v>454</v>
      </c>
      <c r="E117" t="s">
        <v>452</v>
      </c>
      <c r="F117" t="s">
        <v>28</v>
      </c>
      <c r="G117" t="s">
        <v>452</v>
      </c>
      <c r="H117" t="str">
        <f>"azyx-1"</f>
        <v>azyx-1</v>
      </c>
      <c r="I117" t="s">
        <v>454</v>
      </c>
      <c r="J117">
        <v>14.446789829825001</v>
      </c>
      <c r="K117">
        <v>14.594690938462501</v>
      </c>
      <c r="L117">
        <v>15.0425673489544</v>
      </c>
      <c r="M117">
        <v>14.7585748776382</v>
      </c>
      <c r="N117">
        <v>15.2343763758906</v>
      </c>
      <c r="O117">
        <v>14.6153856306526</v>
      </c>
      <c r="P117">
        <v>0.17476292231316401</v>
      </c>
      <c r="Q117">
        <v>-0.238759569875554</v>
      </c>
      <c r="R117">
        <v>0.58828541450188199</v>
      </c>
      <c r="S117">
        <v>14.942897646458899</v>
      </c>
      <c r="T117">
        <v>0.888265255065121</v>
      </c>
      <c r="U117">
        <v>-6.7511538855994102</v>
      </c>
      <c r="V117">
        <v>0.38618216824124801</v>
      </c>
      <c r="W117">
        <v>0.55407928422928898</v>
      </c>
      <c r="X117">
        <v>0</v>
      </c>
      <c r="Y117">
        <v>0</v>
      </c>
    </row>
    <row r="118" spans="1:25" x14ac:dyDescent="0.2">
      <c r="A118" t="s">
        <v>455</v>
      </c>
      <c r="B118" t="s">
        <v>456</v>
      </c>
      <c r="C118" t="s">
        <v>457</v>
      </c>
      <c r="D118" t="s">
        <v>458</v>
      </c>
      <c r="E118" t="s">
        <v>456</v>
      </c>
      <c r="F118" t="s">
        <v>28</v>
      </c>
      <c r="G118" t="s">
        <v>456</v>
      </c>
      <c r="H118" t="str">
        <f>"ttr-42"</f>
        <v>ttr-42</v>
      </c>
      <c r="I118" t="s">
        <v>458</v>
      </c>
      <c r="J118" t="s">
        <v>29</v>
      </c>
      <c r="K118" t="s">
        <v>29</v>
      </c>
      <c r="L118">
        <v>12.221877817763</v>
      </c>
      <c r="M118" t="s">
        <v>29</v>
      </c>
      <c r="N118" t="s">
        <v>29</v>
      </c>
      <c r="O118">
        <v>10.8326073104593</v>
      </c>
      <c r="P118">
        <v>-1.3892705073037099</v>
      </c>
      <c r="Q118">
        <v>-3.6013125331408902</v>
      </c>
      <c r="R118">
        <v>0.82277151853347397</v>
      </c>
      <c r="S118">
        <v>11.462171488339701</v>
      </c>
      <c r="T118">
        <v>-1.42330425491319</v>
      </c>
      <c r="U118">
        <v>-5.6176729482416201</v>
      </c>
      <c r="V118">
        <v>0.188761794850894</v>
      </c>
      <c r="W118">
        <v>0.34573089460881501</v>
      </c>
      <c r="X118">
        <v>0</v>
      </c>
      <c r="Y118">
        <v>0</v>
      </c>
    </row>
    <row r="119" spans="1:25" x14ac:dyDescent="0.2">
      <c r="A119" t="s">
        <v>459</v>
      </c>
      <c r="B119" t="s">
        <v>460</v>
      </c>
      <c r="C119" t="s">
        <v>461</v>
      </c>
      <c r="D119" t="s">
        <v>462</v>
      </c>
      <c r="E119" t="s">
        <v>460</v>
      </c>
      <c r="F119" t="s">
        <v>28</v>
      </c>
      <c r="G119" t="s">
        <v>460</v>
      </c>
      <c r="H119" t="str">
        <f>"C29E4.15"</f>
        <v>C29E4.15</v>
      </c>
      <c r="I119" t="s">
        <v>462</v>
      </c>
      <c r="J119">
        <v>12.6521910036065</v>
      </c>
      <c r="K119">
        <v>11.845547701575599</v>
      </c>
      <c r="L119">
        <v>12.600294699841101</v>
      </c>
      <c r="M119" t="s">
        <v>29</v>
      </c>
      <c r="N119" t="s">
        <v>29</v>
      </c>
      <c r="O119" t="s">
        <v>29</v>
      </c>
      <c r="P119" t="s">
        <v>29</v>
      </c>
      <c r="Q119" t="s">
        <v>29</v>
      </c>
      <c r="R119" t="s">
        <v>29</v>
      </c>
      <c r="S119">
        <v>12.096432443199401</v>
      </c>
      <c r="T119" t="s">
        <v>29</v>
      </c>
      <c r="U119" t="s">
        <v>29</v>
      </c>
      <c r="V119" t="s">
        <v>29</v>
      </c>
      <c r="W119" t="s">
        <v>29</v>
      </c>
      <c r="X119" t="s">
        <v>29</v>
      </c>
      <c r="Y119" t="s">
        <v>29</v>
      </c>
    </row>
    <row r="120" spans="1:25" x14ac:dyDescent="0.2">
      <c r="A120" t="s">
        <v>463</v>
      </c>
      <c r="B120" t="s">
        <v>464</v>
      </c>
      <c r="C120" t="s">
        <v>465</v>
      </c>
      <c r="D120" t="s">
        <v>466</v>
      </c>
      <c r="E120" t="s">
        <v>464</v>
      </c>
      <c r="F120" t="s">
        <v>28</v>
      </c>
      <c r="G120" t="s">
        <v>464</v>
      </c>
      <c r="H120" t="str">
        <f>"cnnm-1"</f>
        <v>cnnm-1</v>
      </c>
      <c r="I120" t="s">
        <v>466</v>
      </c>
      <c r="J120">
        <v>10.374466721912301</v>
      </c>
      <c r="K120">
        <v>10.5409232451601</v>
      </c>
      <c r="L120">
        <v>10.476359967086299</v>
      </c>
      <c r="M120" t="s">
        <v>29</v>
      </c>
      <c r="N120" t="s">
        <v>29</v>
      </c>
      <c r="O120">
        <v>12.0745909472134</v>
      </c>
      <c r="P120">
        <v>1.6106743024938699</v>
      </c>
      <c r="Q120">
        <v>0.25630482048429598</v>
      </c>
      <c r="R120">
        <v>2.9650437845034499</v>
      </c>
      <c r="S120">
        <v>11.065424958854299</v>
      </c>
      <c r="T120">
        <v>2.5363674806872698</v>
      </c>
      <c r="U120">
        <v>-4.0001080938904199</v>
      </c>
      <c r="V120">
        <v>2.28969991434908E-2</v>
      </c>
      <c r="W120">
        <v>8.0330305328413606E-2</v>
      </c>
      <c r="X120">
        <v>1</v>
      </c>
      <c r="Y120">
        <v>0</v>
      </c>
    </row>
    <row r="121" spans="1:25" x14ac:dyDescent="0.2">
      <c r="A121" t="s">
        <v>467</v>
      </c>
      <c r="B121" t="s">
        <v>468</v>
      </c>
      <c r="C121" t="s">
        <v>469</v>
      </c>
      <c r="D121" t="s">
        <v>470</v>
      </c>
      <c r="E121" t="s">
        <v>468</v>
      </c>
      <c r="F121" t="s">
        <v>28</v>
      </c>
      <c r="G121" t="s">
        <v>468</v>
      </c>
      <c r="H121" t="str">
        <f>"oac-59"</f>
        <v>oac-59</v>
      </c>
      <c r="I121" t="s">
        <v>470</v>
      </c>
      <c r="J121">
        <v>11.7390312606493</v>
      </c>
      <c r="K121">
        <v>11.972055981290801</v>
      </c>
      <c r="L121">
        <v>12.1303130080538</v>
      </c>
      <c r="M121" t="s">
        <v>29</v>
      </c>
      <c r="N121" t="s">
        <v>29</v>
      </c>
      <c r="O121">
        <v>11.299519285874901</v>
      </c>
      <c r="P121">
        <v>-0.64761413078969299</v>
      </c>
      <c r="Q121">
        <v>-1.39439429000408</v>
      </c>
      <c r="R121">
        <v>9.9166028424695796E-2</v>
      </c>
      <c r="S121">
        <v>12.2210617308252</v>
      </c>
      <c r="T121">
        <v>-1.83938684137506</v>
      </c>
      <c r="U121">
        <v>-5.2038067590484802</v>
      </c>
      <c r="V121">
        <v>8.4612135042822098E-2</v>
      </c>
      <c r="W121">
        <v>0.194806220289997</v>
      </c>
      <c r="X121">
        <v>0</v>
      </c>
      <c r="Y121">
        <v>0</v>
      </c>
    </row>
    <row r="122" spans="1:25" x14ac:dyDescent="0.2">
      <c r="A122" t="s">
        <v>471</v>
      </c>
      <c r="B122" t="s">
        <v>472</v>
      </c>
      <c r="C122" t="s">
        <v>473</v>
      </c>
      <c r="D122" t="s">
        <v>319</v>
      </c>
      <c r="E122" t="s">
        <v>472</v>
      </c>
      <c r="F122" t="s">
        <v>28</v>
      </c>
      <c r="G122" t="s">
        <v>472</v>
      </c>
      <c r="H122" t="str">
        <f>"C42C1.8"</f>
        <v>C42C1.8</v>
      </c>
      <c r="I122" t="s">
        <v>319</v>
      </c>
      <c r="J122">
        <v>13.442807793329999</v>
      </c>
      <c r="K122">
        <v>12.851552048913099</v>
      </c>
      <c r="L122">
        <v>13.367682829589301</v>
      </c>
      <c r="M122" t="s">
        <v>29</v>
      </c>
      <c r="N122" t="s">
        <v>29</v>
      </c>
      <c r="O122">
        <v>13.6263034849342</v>
      </c>
      <c r="P122">
        <v>0.40562259432337899</v>
      </c>
      <c r="Q122">
        <v>-0.29811732880401998</v>
      </c>
      <c r="R122">
        <v>1.10936251745078</v>
      </c>
      <c r="S122">
        <v>13.711911953873001</v>
      </c>
      <c r="T122">
        <v>1.2225298699857901</v>
      </c>
      <c r="U122">
        <v>-6.0629628070014299</v>
      </c>
      <c r="V122">
        <v>0.23932601853688501</v>
      </c>
      <c r="W122">
        <v>0.404875876365212</v>
      </c>
      <c r="X122">
        <v>0</v>
      </c>
      <c r="Y122">
        <v>0</v>
      </c>
    </row>
    <row r="123" spans="1:25" x14ac:dyDescent="0.2">
      <c r="A123" t="s">
        <v>474</v>
      </c>
      <c r="B123" t="s">
        <v>475</v>
      </c>
      <c r="C123" t="s">
        <v>476</v>
      </c>
      <c r="D123" t="s">
        <v>477</v>
      </c>
      <c r="E123" t="s">
        <v>475</v>
      </c>
      <c r="F123" t="s">
        <v>28</v>
      </c>
      <c r="G123" t="s">
        <v>475</v>
      </c>
      <c r="H123" t="str">
        <f>"hpo-12"</f>
        <v>hpo-12</v>
      </c>
      <c r="I123" t="s">
        <v>477</v>
      </c>
      <c r="J123">
        <v>13.535933422964201</v>
      </c>
      <c r="K123">
        <v>13.6633420036478</v>
      </c>
      <c r="L123">
        <v>13.7305853659495</v>
      </c>
      <c r="M123">
        <v>12.3759926922391</v>
      </c>
      <c r="N123">
        <v>13.592526670956101</v>
      </c>
      <c r="O123">
        <v>13.7727162307005</v>
      </c>
      <c r="P123">
        <v>-0.39620839955527198</v>
      </c>
      <c r="Q123">
        <v>-1.04450067502097</v>
      </c>
      <c r="R123">
        <v>0.25208387591042403</v>
      </c>
      <c r="S123">
        <v>13.4143974901439</v>
      </c>
      <c r="T123">
        <v>-1.2962905683227199</v>
      </c>
      <c r="U123">
        <v>-6.3127028716744302</v>
      </c>
      <c r="V123">
        <v>0.21338107764448799</v>
      </c>
      <c r="W123">
        <v>0.37452890757493001</v>
      </c>
      <c r="X123">
        <v>0</v>
      </c>
      <c r="Y123">
        <v>0</v>
      </c>
    </row>
    <row r="124" spans="1:25" x14ac:dyDescent="0.2">
      <c r="A124" t="s">
        <v>478</v>
      </c>
      <c r="B124" t="s">
        <v>479</v>
      </c>
      <c r="C124" t="s">
        <v>480</v>
      </c>
      <c r="D124" t="s">
        <v>481</v>
      </c>
      <c r="E124" t="s">
        <v>479</v>
      </c>
      <c r="F124" t="s">
        <v>28</v>
      </c>
      <c r="G124" t="s">
        <v>479</v>
      </c>
      <c r="H124" t="str">
        <f>"rpl-34"</f>
        <v>rpl-34</v>
      </c>
      <c r="I124" t="s">
        <v>481</v>
      </c>
      <c r="J124">
        <v>19.636546243082002</v>
      </c>
      <c r="K124">
        <v>19.492956322883501</v>
      </c>
      <c r="L124">
        <v>19.4092060741932</v>
      </c>
      <c r="M124">
        <v>18.2848940137475</v>
      </c>
      <c r="N124">
        <v>18.4860566493162</v>
      </c>
      <c r="O124">
        <v>18.102553350956999</v>
      </c>
      <c r="P124">
        <v>-1.22173487537929</v>
      </c>
      <c r="Q124">
        <v>-1.6845676628127799</v>
      </c>
      <c r="R124">
        <v>-0.75890208794580805</v>
      </c>
      <c r="S124">
        <v>18.9544411213407</v>
      </c>
      <c r="T124">
        <v>-5.5481138873846296</v>
      </c>
      <c r="U124">
        <v>2.20120663522578</v>
      </c>
      <c r="V124" s="2">
        <v>2.94165285144276E-5</v>
      </c>
      <c r="W124">
        <v>6.7201945373657397E-4</v>
      </c>
      <c r="X124">
        <v>-1</v>
      </c>
      <c r="Y124">
        <v>-1</v>
      </c>
    </row>
    <row r="125" spans="1:25" x14ac:dyDescent="0.2">
      <c r="A125" t="s">
        <v>482</v>
      </c>
      <c r="B125" t="s">
        <v>483</v>
      </c>
      <c r="C125" t="s">
        <v>484</v>
      </c>
      <c r="D125" t="s">
        <v>485</v>
      </c>
      <c r="E125" t="s">
        <v>483</v>
      </c>
      <c r="F125" t="s">
        <v>28</v>
      </c>
      <c r="G125" t="s">
        <v>483</v>
      </c>
      <c r="H125" t="str">
        <f>"erl-1"</f>
        <v>erl-1</v>
      </c>
      <c r="I125" t="s">
        <v>485</v>
      </c>
      <c r="J125">
        <v>13.2279729845612</v>
      </c>
      <c r="K125">
        <v>14.1718601124535</v>
      </c>
      <c r="L125">
        <v>14.2594434457862</v>
      </c>
      <c r="M125">
        <v>13.6690280673803</v>
      </c>
      <c r="N125">
        <v>13.7622585123699</v>
      </c>
      <c r="O125">
        <v>13.210466493555201</v>
      </c>
      <c r="P125">
        <v>-0.33917448983183401</v>
      </c>
      <c r="Q125">
        <v>-0.91079567015243201</v>
      </c>
      <c r="R125">
        <v>0.23244669048876501</v>
      </c>
      <c r="S125">
        <v>14.333735966427399</v>
      </c>
      <c r="T125">
        <v>-1.24711752232611</v>
      </c>
      <c r="U125">
        <v>-6.37382968329924</v>
      </c>
      <c r="V125">
        <v>0.228430381499233</v>
      </c>
      <c r="W125">
        <v>0.39321514852700901</v>
      </c>
      <c r="X125">
        <v>0</v>
      </c>
      <c r="Y125">
        <v>0</v>
      </c>
    </row>
    <row r="126" spans="1:25" x14ac:dyDescent="0.2">
      <c r="A126" t="s">
        <v>486</v>
      </c>
      <c r="B126" t="s">
        <v>487</v>
      </c>
      <c r="C126" t="s">
        <v>488</v>
      </c>
      <c r="D126" t="s">
        <v>489</v>
      </c>
      <c r="E126" t="s">
        <v>487</v>
      </c>
      <c r="F126" t="s">
        <v>28</v>
      </c>
      <c r="G126" t="s">
        <v>487</v>
      </c>
      <c r="H126" t="str">
        <f>"tag-335"</f>
        <v>tag-335</v>
      </c>
      <c r="I126" t="s">
        <v>489</v>
      </c>
      <c r="J126">
        <v>14.2636521158108</v>
      </c>
      <c r="K126">
        <v>14.0357732295008</v>
      </c>
      <c r="L126">
        <v>13.8328005513596</v>
      </c>
      <c r="M126">
        <v>12.3700035596114</v>
      </c>
      <c r="N126">
        <v>13.4658492079302</v>
      </c>
      <c r="O126">
        <v>13.717807587306</v>
      </c>
      <c r="P126">
        <v>-0.85952184727456804</v>
      </c>
      <c r="Q126">
        <v>-1.4094334074555199</v>
      </c>
      <c r="R126">
        <v>-0.30961028709361899</v>
      </c>
      <c r="S126">
        <v>13.4883251488066</v>
      </c>
      <c r="T126">
        <v>-3.2851604348264098</v>
      </c>
      <c r="U126">
        <v>-2.73162603235907</v>
      </c>
      <c r="V126">
        <v>4.1388027939943204E-3</v>
      </c>
      <c r="W126">
        <v>2.4740470251320999E-2</v>
      </c>
      <c r="X126">
        <v>0</v>
      </c>
      <c r="Y126">
        <v>0</v>
      </c>
    </row>
    <row r="127" spans="1:25" x14ac:dyDescent="0.2">
      <c r="A127" t="s">
        <v>490</v>
      </c>
      <c r="B127" t="s">
        <v>491</v>
      </c>
      <c r="C127" t="s">
        <v>492</v>
      </c>
      <c r="D127" t="s">
        <v>493</v>
      </c>
      <c r="E127" t="s">
        <v>491</v>
      </c>
      <c r="F127" t="s">
        <v>28</v>
      </c>
      <c r="G127" t="s">
        <v>491</v>
      </c>
      <c r="H127" t="str">
        <f>"lsy-13"</f>
        <v>lsy-13</v>
      </c>
      <c r="I127" t="s">
        <v>493</v>
      </c>
      <c r="J127">
        <v>9.9029345388336605</v>
      </c>
      <c r="K127" t="s">
        <v>29</v>
      </c>
      <c r="L127">
        <v>10.900212602518399</v>
      </c>
      <c r="M127" t="s">
        <v>29</v>
      </c>
      <c r="N127" t="s">
        <v>29</v>
      </c>
      <c r="O127" t="s">
        <v>29</v>
      </c>
      <c r="P127" t="s">
        <v>29</v>
      </c>
      <c r="Q127" t="s">
        <v>29</v>
      </c>
      <c r="R127" t="s">
        <v>29</v>
      </c>
      <c r="S127">
        <v>11.660007800671099</v>
      </c>
      <c r="T127" t="s">
        <v>29</v>
      </c>
      <c r="U127" t="s">
        <v>29</v>
      </c>
      <c r="V127" t="s">
        <v>29</v>
      </c>
      <c r="W127" t="s">
        <v>29</v>
      </c>
      <c r="X127" t="s">
        <v>29</v>
      </c>
      <c r="Y127" t="s">
        <v>29</v>
      </c>
    </row>
    <row r="128" spans="1:25" x14ac:dyDescent="0.2">
      <c r="A128" t="s">
        <v>494</v>
      </c>
      <c r="B128" t="s">
        <v>495</v>
      </c>
      <c r="C128" t="s">
        <v>496</v>
      </c>
      <c r="D128" t="s">
        <v>497</v>
      </c>
      <c r="E128" t="s">
        <v>495</v>
      </c>
      <c r="F128" t="s">
        <v>28</v>
      </c>
      <c r="G128" t="s">
        <v>495</v>
      </c>
      <c r="H128" t="str">
        <f>"met-1"</f>
        <v>met-1</v>
      </c>
      <c r="I128" t="s">
        <v>497</v>
      </c>
      <c r="J128">
        <v>10.315723539793799</v>
      </c>
      <c r="K128">
        <v>11.1726730836307</v>
      </c>
      <c r="L128">
        <v>10.7580330408252</v>
      </c>
      <c r="M128" t="s">
        <v>29</v>
      </c>
      <c r="N128" t="s">
        <v>29</v>
      </c>
      <c r="O128">
        <v>12.0126740348416</v>
      </c>
      <c r="P128">
        <v>1.26386414675833</v>
      </c>
      <c r="Q128">
        <v>0.42827476314806701</v>
      </c>
      <c r="R128">
        <v>2.0994535303686002</v>
      </c>
      <c r="S128">
        <v>11.733570337010301</v>
      </c>
      <c r="T128">
        <v>3.2081673178427299</v>
      </c>
      <c r="U128">
        <v>-2.65969111525727</v>
      </c>
      <c r="V128">
        <v>5.5200577844588096E-3</v>
      </c>
      <c r="W128">
        <v>2.9938280571776402E-2</v>
      </c>
      <c r="X128">
        <v>1</v>
      </c>
      <c r="Y128">
        <v>1</v>
      </c>
    </row>
    <row r="129" spans="1:25" x14ac:dyDescent="0.2">
      <c r="A129" t="s">
        <v>498</v>
      </c>
      <c r="B129" t="s">
        <v>499</v>
      </c>
      <c r="C129" t="s">
        <v>14214</v>
      </c>
      <c r="D129" t="s">
        <v>500</v>
      </c>
      <c r="E129" t="s">
        <v>499</v>
      </c>
      <c r="F129" t="s">
        <v>28</v>
      </c>
      <c r="G129" t="s">
        <v>499</v>
      </c>
      <c r="H129" t="str">
        <f>"Y39B6A.3"</f>
        <v>Y39B6A.3</v>
      </c>
      <c r="I129" t="s">
        <v>500</v>
      </c>
      <c r="J129">
        <v>12.381458148591999</v>
      </c>
      <c r="K129">
        <v>11.3412117982888</v>
      </c>
      <c r="L129">
        <v>11.9586425952563</v>
      </c>
      <c r="M129" t="s">
        <v>29</v>
      </c>
      <c r="N129" t="s">
        <v>29</v>
      </c>
      <c r="O129">
        <v>12.005137894075601</v>
      </c>
      <c r="P129">
        <v>0.11136704669658</v>
      </c>
      <c r="Q129">
        <v>-0.77851713298004099</v>
      </c>
      <c r="R129">
        <v>1.0012512263732001</v>
      </c>
      <c r="S129">
        <v>11.685642218949001</v>
      </c>
      <c r="T129">
        <v>0.27058920169498002</v>
      </c>
      <c r="U129">
        <v>-6.7738314742789001</v>
      </c>
      <c r="V129">
        <v>0.790989589604148</v>
      </c>
      <c r="W129">
        <v>0.86817367618749497</v>
      </c>
      <c r="X129">
        <v>0</v>
      </c>
      <c r="Y129">
        <v>0</v>
      </c>
    </row>
    <row r="130" spans="1:25" x14ac:dyDescent="0.2">
      <c r="A130" t="s">
        <v>501</v>
      </c>
      <c r="B130" t="s">
        <v>502</v>
      </c>
      <c r="C130" t="s">
        <v>503</v>
      </c>
      <c r="D130" t="s">
        <v>130</v>
      </c>
      <c r="E130" t="s">
        <v>502</v>
      </c>
      <c r="F130" t="s">
        <v>28</v>
      </c>
      <c r="G130" t="s">
        <v>502</v>
      </c>
      <c r="H130" t="str">
        <f>"row-1"</f>
        <v>row-1</v>
      </c>
      <c r="I130" t="s">
        <v>130</v>
      </c>
      <c r="J130" t="s">
        <v>29</v>
      </c>
      <c r="K130" t="s">
        <v>29</v>
      </c>
      <c r="L130" t="s">
        <v>29</v>
      </c>
      <c r="M130" t="s">
        <v>29</v>
      </c>
      <c r="N130" t="s">
        <v>29</v>
      </c>
      <c r="O130" t="s">
        <v>29</v>
      </c>
      <c r="P130" t="s">
        <v>29</v>
      </c>
      <c r="Q130" t="s">
        <v>29</v>
      </c>
      <c r="R130" t="s">
        <v>29</v>
      </c>
      <c r="S130">
        <v>11.2330448596966</v>
      </c>
      <c r="T130" t="s">
        <v>29</v>
      </c>
      <c r="U130" t="s">
        <v>29</v>
      </c>
      <c r="V130" t="s">
        <v>29</v>
      </c>
      <c r="W130" t="s">
        <v>29</v>
      </c>
      <c r="X130" t="s">
        <v>29</v>
      </c>
      <c r="Y130" t="s">
        <v>29</v>
      </c>
    </row>
    <row r="131" spans="1:25" x14ac:dyDescent="0.2">
      <c r="A131" t="s">
        <v>504</v>
      </c>
      <c r="B131" t="s">
        <v>505</v>
      </c>
      <c r="C131" t="s">
        <v>506</v>
      </c>
      <c r="D131" t="s">
        <v>507</v>
      </c>
      <c r="E131" t="s">
        <v>505</v>
      </c>
      <c r="F131" t="s">
        <v>28</v>
      </c>
      <c r="G131" t="s">
        <v>505</v>
      </c>
      <c r="H131" t="str">
        <f>"sin-3"</f>
        <v>sin-3</v>
      </c>
      <c r="I131" t="s">
        <v>507</v>
      </c>
      <c r="J131">
        <v>11.6480191132655</v>
      </c>
      <c r="K131" t="s">
        <v>29</v>
      </c>
      <c r="L131">
        <v>10.614621730748601</v>
      </c>
      <c r="M131" t="s">
        <v>29</v>
      </c>
      <c r="N131" t="s">
        <v>29</v>
      </c>
      <c r="O131" t="s">
        <v>29</v>
      </c>
      <c r="P131" t="s">
        <v>29</v>
      </c>
      <c r="Q131" t="s">
        <v>29</v>
      </c>
      <c r="R131" t="s">
        <v>29</v>
      </c>
      <c r="S131">
        <v>12.2638025317678</v>
      </c>
      <c r="T131" t="s">
        <v>29</v>
      </c>
      <c r="U131" t="s">
        <v>29</v>
      </c>
      <c r="V131" t="s">
        <v>29</v>
      </c>
      <c r="W131" t="s">
        <v>29</v>
      </c>
      <c r="X131" t="s">
        <v>29</v>
      </c>
      <c r="Y131" t="s">
        <v>29</v>
      </c>
    </row>
    <row r="132" spans="1:25" x14ac:dyDescent="0.2">
      <c r="A132" t="s">
        <v>508</v>
      </c>
      <c r="B132" t="s">
        <v>509</v>
      </c>
      <c r="C132" t="s">
        <v>510</v>
      </c>
      <c r="D132" t="s">
        <v>511</v>
      </c>
      <c r="E132" t="s">
        <v>509</v>
      </c>
      <c r="F132" t="s">
        <v>28</v>
      </c>
      <c r="G132" t="s">
        <v>509</v>
      </c>
      <c r="H132" t="str">
        <f>"nra-2"</f>
        <v>nra-2</v>
      </c>
      <c r="I132" t="s">
        <v>511</v>
      </c>
      <c r="J132">
        <v>16.962349748523302</v>
      </c>
      <c r="K132">
        <v>16.936019265169101</v>
      </c>
      <c r="L132">
        <v>16.731362662265401</v>
      </c>
      <c r="M132">
        <v>15.781669019412799</v>
      </c>
      <c r="N132">
        <v>16.3312034622938</v>
      </c>
      <c r="O132">
        <v>16.525974417267001</v>
      </c>
      <c r="P132">
        <v>-0.66362825899473099</v>
      </c>
      <c r="Q132">
        <v>-1.0303877485142099</v>
      </c>
      <c r="R132">
        <v>-0.29686876947524998</v>
      </c>
      <c r="S132">
        <v>16.400328946861102</v>
      </c>
      <c r="T132">
        <v>-3.8030849349453102</v>
      </c>
      <c r="U132">
        <v>-1.60544858302696</v>
      </c>
      <c r="V132">
        <v>1.31397835389383E-3</v>
      </c>
      <c r="W132">
        <v>1.0989861900467E-2</v>
      </c>
      <c r="X132">
        <v>0</v>
      </c>
      <c r="Y132">
        <v>0</v>
      </c>
    </row>
    <row r="133" spans="1:25" x14ac:dyDescent="0.2">
      <c r="A133" t="s">
        <v>512</v>
      </c>
      <c r="B133" t="s">
        <v>513</v>
      </c>
      <c r="C133" t="s">
        <v>14215</v>
      </c>
      <c r="D133" t="s">
        <v>514</v>
      </c>
      <c r="E133" t="s">
        <v>513</v>
      </c>
      <c r="F133" t="s">
        <v>28</v>
      </c>
      <c r="G133" t="s">
        <v>513</v>
      </c>
      <c r="H133" t="str">
        <f>"Y60A3A.19"</f>
        <v>Y60A3A.19</v>
      </c>
      <c r="I133" t="s">
        <v>514</v>
      </c>
      <c r="J133">
        <v>13.087548164005</v>
      </c>
      <c r="K133">
        <v>13.121127937564101</v>
      </c>
      <c r="L133">
        <v>12.616455501356</v>
      </c>
      <c r="M133" t="s">
        <v>29</v>
      </c>
      <c r="N133" t="s">
        <v>29</v>
      </c>
      <c r="O133" t="s">
        <v>29</v>
      </c>
      <c r="P133" t="s">
        <v>29</v>
      </c>
      <c r="Q133" t="s">
        <v>29</v>
      </c>
      <c r="R133" t="s">
        <v>29</v>
      </c>
      <c r="S133">
        <v>13.0323769639904</v>
      </c>
      <c r="T133" t="s">
        <v>29</v>
      </c>
      <c r="U133" t="s">
        <v>29</v>
      </c>
      <c r="V133" t="s">
        <v>29</v>
      </c>
      <c r="W133" t="s">
        <v>29</v>
      </c>
      <c r="X133" t="s">
        <v>29</v>
      </c>
      <c r="Y133" t="s">
        <v>29</v>
      </c>
    </row>
    <row r="134" spans="1:25" x14ac:dyDescent="0.2">
      <c r="A134" t="s">
        <v>515</v>
      </c>
      <c r="B134" t="s">
        <v>516</v>
      </c>
      <c r="C134" t="s">
        <v>517</v>
      </c>
      <c r="D134" t="s">
        <v>518</v>
      </c>
      <c r="E134" t="s">
        <v>516</v>
      </c>
      <c r="F134" t="s">
        <v>28</v>
      </c>
      <c r="G134" t="s">
        <v>516</v>
      </c>
      <c r="H134" t="str">
        <f>"rpom-1"</f>
        <v>rpom-1</v>
      </c>
      <c r="I134" t="s">
        <v>518</v>
      </c>
      <c r="J134">
        <v>11.8418801414364</v>
      </c>
      <c r="K134">
        <v>11.8818538680973</v>
      </c>
      <c r="L134">
        <v>11.729792759423299</v>
      </c>
      <c r="M134" t="s">
        <v>29</v>
      </c>
      <c r="N134">
        <v>10.6977718277306</v>
      </c>
      <c r="O134">
        <v>11.5624300055169</v>
      </c>
      <c r="P134">
        <v>-0.68774133969521301</v>
      </c>
      <c r="Q134">
        <v>-1.2442578677910701</v>
      </c>
      <c r="R134">
        <v>-0.13122481159935301</v>
      </c>
      <c r="S134">
        <v>12.0820546370574</v>
      </c>
      <c r="T134">
        <v>-2.6211784759158601</v>
      </c>
      <c r="U134">
        <v>-4.0378792027115704</v>
      </c>
      <c r="V134">
        <v>1.8598845455436899E-2</v>
      </c>
      <c r="W134">
        <v>7.0180278562320605E-2</v>
      </c>
      <c r="X134">
        <v>0</v>
      </c>
      <c r="Y134">
        <v>0</v>
      </c>
    </row>
    <row r="135" spans="1:25" x14ac:dyDescent="0.2">
      <c r="A135" t="s">
        <v>519</v>
      </c>
      <c r="B135" t="s">
        <v>520</v>
      </c>
      <c r="C135" t="s">
        <v>521</v>
      </c>
      <c r="D135" t="s">
        <v>522</v>
      </c>
      <c r="E135" t="s">
        <v>520</v>
      </c>
      <c r="F135" t="s">
        <v>28</v>
      </c>
      <c r="G135" t="s">
        <v>520</v>
      </c>
      <c r="H135" t="str">
        <f>"lotr-1"</f>
        <v>lotr-1</v>
      </c>
      <c r="I135" t="s">
        <v>522</v>
      </c>
      <c r="J135">
        <v>12.831218963143399</v>
      </c>
      <c r="K135">
        <v>13.0959604936183</v>
      </c>
      <c r="L135">
        <v>13.2151885961964</v>
      </c>
      <c r="M135" t="s">
        <v>29</v>
      </c>
      <c r="N135">
        <v>14.118329808705299</v>
      </c>
      <c r="O135">
        <v>12.570502826154801</v>
      </c>
      <c r="P135">
        <v>0.29696029977731397</v>
      </c>
      <c r="Q135">
        <v>-0.50408974521438699</v>
      </c>
      <c r="R135">
        <v>1.0980103447690199</v>
      </c>
      <c r="S135">
        <v>13.763253197964399</v>
      </c>
      <c r="T135">
        <v>0.78250794718538796</v>
      </c>
      <c r="U135">
        <v>-6.7293452979878898</v>
      </c>
      <c r="V135">
        <v>0.44474607567595498</v>
      </c>
      <c r="W135">
        <v>0.60989608423315</v>
      </c>
      <c r="X135">
        <v>0</v>
      </c>
      <c r="Y135">
        <v>0</v>
      </c>
    </row>
    <row r="136" spans="1:25" x14ac:dyDescent="0.2">
      <c r="A136" t="s">
        <v>523</v>
      </c>
      <c r="B136" t="s">
        <v>524</v>
      </c>
      <c r="C136" t="s">
        <v>525</v>
      </c>
      <c r="D136" t="s">
        <v>526</v>
      </c>
      <c r="E136" t="s">
        <v>524</v>
      </c>
      <c r="F136" t="s">
        <v>28</v>
      </c>
      <c r="G136" t="s">
        <v>524</v>
      </c>
      <c r="H136" t="str">
        <f>"cids-2"</f>
        <v>cids-2</v>
      </c>
      <c r="I136" t="s">
        <v>526</v>
      </c>
      <c r="J136">
        <v>12.3583946646957</v>
      </c>
      <c r="K136">
        <v>11.2701599846822</v>
      </c>
      <c r="L136">
        <v>12.5814340346547</v>
      </c>
      <c r="M136" t="s">
        <v>29</v>
      </c>
      <c r="N136" t="s">
        <v>29</v>
      </c>
      <c r="O136" t="s">
        <v>29</v>
      </c>
      <c r="P136" t="s">
        <v>29</v>
      </c>
      <c r="Q136" t="s">
        <v>29</v>
      </c>
      <c r="R136" t="s">
        <v>29</v>
      </c>
      <c r="S136">
        <v>12.7730267916843</v>
      </c>
      <c r="T136" t="s">
        <v>29</v>
      </c>
      <c r="U136" t="s">
        <v>29</v>
      </c>
      <c r="V136" t="s">
        <v>29</v>
      </c>
      <c r="W136" t="s">
        <v>29</v>
      </c>
      <c r="X136" t="s">
        <v>29</v>
      </c>
      <c r="Y136" t="s">
        <v>29</v>
      </c>
    </row>
    <row r="137" spans="1:25" x14ac:dyDescent="0.2">
      <c r="A137" t="s">
        <v>527</v>
      </c>
      <c r="B137" t="s">
        <v>528</v>
      </c>
      <c r="C137" t="s">
        <v>14216</v>
      </c>
      <c r="D137" t="s">
        <v>368</v>
      </c>
      <c r="E137" t="s">
        <v>528</v>
      </c>
      <c r="F137" t="s">
        <v>28</v>
      </c>
      <c r="G137" t="s">
        <v>528</v>
      </c>
      <c r="H137" t="str">
        <f>"R13H4.2"</f>
        <v>R13H4.2</v>
      </c>
      <c r="I137" t="s">
        <v>368</v>
      </c>
      <c r="J137">
        <v>15.469095585387601</v>
      </c>
      <c r="K137">
        <v>15.7878758995046</v>
      </c>
      <c r="L137">
        <v>15.784527923188101</v>
      </c>
      <c r="M137">
        <v>15.505169990652201</v>
      </c>
      <c r="N137">
        <v>15.3138053076772</v>
      </c>
      <c r="O137">
        <v>14.735819946346201</v>
      </c>
      <c r="P137">
        <v>-0.49556805446821001</v>
      </c>
      <c r="Q137">
        <v>-0.91613288223650302</v>
      </c>
      <c r="R137">
        <v>-7.5003226699916895E-2</v>
      </c>
      <c r="S137">
        <v>15.729340747172399</v>
      </c>
      <c r="T137">
        <v>-2.4766399073821601</v>
      </c>
      <c r="U137">
        <v>-4.3911309051077598</v>
      </c>
      <c r="V137">
        <v>2.3481279719619601E-2</v>
      </c>
      <c r="W137">
        <v>8.1795899921653703E-2</v>
      </c>
      <c r="X137">
        <v>0</v>
      </c>
      <c r="Y137">
        <v>0</v>
      </c>
    </row>
    <row r="138" spans="1:25" x14ac:dyDescent="0.2">
      <c r="A138" t="s">
        <v>529</v>
      </c>
      <c r="B138" t="s">
        <v>530</v>
      </c>
      <c r="C138" t="s">
        <v>14217</v>
      </c>
      <c r="D138" t="s">
        <v>531</v>
      </c>
      <c r="E138" t="s">
        <v>530</v>
      </c>
      <c r="F138" t="s">
        <v>28</v>
      </c>
      <c r="G138" t="s">
        <v>530</v>
      </c>
      <c r="H138" t="str">
        <f>"ZK228.4"</f>
        <v>ZK228.4</v>
      </c>
      <c r="I138" t="s">
        <v>531</v>
      </c>
      <c r="J138">
        <v>13.8069418419408</v>
      </c>
      <c r="K138">
        <v>14.115033551488599</v>
      </c>
      <c r="L138">
        <v>13.799736916453099</v>
      </c>
      <c r="M138" t="s">
        <v>29</v>
      </c>
      <c r="N138" t="s">
        <v>29</v>
      </c>
      <c r="O138">
        <v>13.573565250511599</v>
      </c>
      <c r="P138">
        <v>-0.33367218611587302</v>
      </c>
      <c r="Q138">
        <v>-0.89103891462851303</v>
      </c>
      <c r="R138">
        <v>0.223694542396767</v>
      </c>
      <c r="S138">
        <v>13.7876288699482</v>
      </c>
      <c r="T138">
        <v>-1.26978004051493</v>
      </c>
      <c r="U138">
        <v>-6.0066902152482298</v>
      </c>
      <c r="V138">
        <v>0.22243847527935001</v>
      </c>
      <c r="W138">
        <v>0.38605782488118001</v>
      </c>
      <c r="X138">
        <v>0</v>
      </c>
      <c r="Y138">
        <v>0</v>
      </c>
    </row>
    <row r="139" spans="1:25" x14ac:dyDescent="0.2">
      <c r="A139" t="s">
        <v>532</v>
      </c>
      <c r="B139" t="s">
        <v>533</v>
      </c>
      <c r="C139" t="s">
        <v>14218</v>
      </c>
      <c r="D139" t="s">
        <v>534</v>
      </c>
      <c r="E139" t="s">
        <v>533</v>
      </c>
      <c r="F139" t="s">
        <v>28</v>
      </c>
      <c r="G139" t="s">
        <v>533</v>
      </c>
      <c r="H139" t="str">
        <f>"F49D11.10"</f>
        <v>F49D11.10</v>
      </c>
      <c r="I139" t="s">
        <v>534</v>
      </c>
      <c r="J139">
        <v>14.4899863035522</v>
      </c>
      <c r="K139">
        <v>14.514627785272801</v>
      </c>
      <c r="L139">
        <v>14.182783174433601</v>
      </c>
      <c r="M139">
        <v>13.4713105740082</v>
      </c>
      <c r="N139">
        <v>13.8506306120565</v>
      </c>
      <c r="O139">
        <v>13.823538904474001</v>
      </c>
      <c r="P139">
        <v>-0.68063905757327903</v>
      </c>
      <c r="Q139">
        <v>-1.03628930101502</v>
      </c>
      <c r="R139">
        <v>-0.32498881413153802</v>
      </c>
      <c r="S139">
        <v>14.209007910347299</v>
      </c>
      <c r="T139">
        <v>-4.0224093890694403</v>
      </c>
      <c r="U139">
        <v>-1.1225560156796299</v>
      </c>
      <c r="V139">
        <v>8.0711404522581002E-4</v>
      </c>
      <c r="W139">
        <v>7.8915792196706507E-3</v>
      </c>
      <c r="X139">
        <v>0</v>
      </c>
      <c r="Y139">
        <v>0</v>
      </c>
    </row>
    <row r="140" spans="1:25" x14ac:dyDescent="0.2">
      <c r="A140" t="s">
        <v>535</v>
      </c>
      <c r="B140" t="s">
        <v>536</v>
      </c>
      <c r="C140" t="s">
        <v>537</v>
      </c>
      <c r="D140" t="s">
        <v>538</v>
      </c>
      <c r="E140" t="s">
        <v>536</v>
      </c>
      <c r="F140" t="s">
        <v>28</v>
      </c>
      <c r="G140" t="s">
        <v>536</v>
      </c>
      <c r="H140" t="str">
        <f>"mrg-1"</f>
        <v>mrg-1</v>
      </c>
      <c r="I140" t="s">
        <v>538</v>
      </c>
      <c r="J140">
        <v>13.2070818418964</v>
      </c>
      <c r="K140">
        <v>13.2231514230747</v>
      </c>
      <c r="L140">
        <v>13.456888421184599</v>
      </c>
      <c r="M140" t="s">
        <v>29</v>
      </c>
      <c r="N140" t="s">
        <v>29</v>
      </c>
      <c r="O140">
        <v>11.758791370918599</v>
      </c>
      <c r="P140">
        <v>-1.53691585779997</v>
      </c>
      <c r="Q140">
        <v>-2.1485847577300601</v>
      </c>
      <c r="R140">
        <v>-0.92524695786988898</v>
      </c>
      <c r="S140">
        <v>13.008067457342699</v>
      </c>
      <c r="T140">
        <v>-5.3929399554695898</v>
      </c>
      <c r="U140">
        <v>1.4143479335981901</v>
      </c>
      <c r="V140" s="2">
        <v>9.7315946916822594E-5</v>
      </c>
      <c r="W140">
        <v>1.7070839021659299E-3</v>
      </c>
      <c r="X140">
        <v>-1</v>
      </c>
      <c r="Y140">
        <v>-1</v>
      </c>
    </row>
    <row r="141" spans="1:25" x14ac:dyDescent="0.2">
      <c r="A141" t="s">
        <v>539</v>
      </c>
      <c r="B141" t="s">
        <v>540</v>
      </c>
      <c r="C141" t="s">
        <v>541</v>
      </c>
      <c r="D141" t="s">
        <v>542</v>
      </c>
      <c r="E141" t="s">
        <v>540</v>
      </c>
      <c r="F141" t="s">
        <v>28</v>
      </c>
      <c r="G141" t="s">
        <v>540</v>
      </c>
      <c r="H141" t="str">
        <f>"obr-1"</f>
        <v>obr-1</v>
      </c>
      <c r="I141" t="s">
        <v>542</v>
      </c>
      <c r="J141">
        <v>13.0382708233617</v>
      </c>
      <c r="K141">
        <v>12.3298011522082</v>
      </c>
      <c r="L141">
        <v>12.898041574288399</v>
      </c>
      <c r="M141" t="s">
        <v>29</v>
      </c>
      <c r="N141">
        <v>11.7565887530385</v>
      </c>
      <c r="O141">
        <v>12.715958988787699</v>
      </c>
      <c r="P141">
        <v>-0.51909731237300605</v>
      </c>
      <c r="Q141">
        <v>-1.18884959418234</v>
      </c>
      <c r="R141">
        <v>0.150654969436327</v>
      </c>
      <c r="S141">
        <v>12.7019896653236</v>
      </c>
      <c r="T141">
        <v>-1.6360048679108501</v>
      </c>
      <c r="U141">
        <v>-5.74022116299611</v>
      </c>
      <c r="V141">
        <v>0.120329760014981</v>
      </c>
      <c r="W141">
        <v>0.24815381579016699</v>
      </c>
      <c r="X141">
        <v>0</v>
      </c>
      <c r="Y141">
        <v>0</v>
      </c>
    </row>
    <row r="142" spans="1:25" x14ac:dyDescent="0.2">
      <c r="A142" t="s">
        <v>543</v>
      </c>
      <c r="B142" t="s">
        <v>544</v>
      </c>
      <c r="C142" t="s">
        <v>545</v>
      </c>
      <c r="D142" t="s">
        <v>546</v>
      </c>
      <c r="E142" t="s">
        <v>544</v>
      </c>
      <c r="F142" t="s">
        <v>28</v>
      </c>
      <c r="G142" t="s">
        <v>544</v>
      </c>
      <c r="H142" t="str">
        <f>"cisd-1"</f>
        <v>cisd-1</v>
      </c>
      <c r="I142" t="s">
        <v>546</v>
      </c>
      <c r="J142">
        <v>13.7316226306387</v>
      </c>
      <c r="K142">
        <v>13.457753260197199</v>
      </c>
      <c r="L142">
        <v>13.6190011461634</v>
      </c>
      <c r="M142">
        <v>14.393564867544701</v>
      </c>
      <c r="N142">
        <v>14.922670312819401</v>
      </c>
      <c r="O142">
        <v>14.951473411112501</v>
      </c>
      <c r="P142">
        <v>1.1531105181590999</v>
      </c>
      <c r="Q142">
        <v>0.54371911120252403</v>
      </c>
      <c r="R142">
        <v>1.7625019251156799</v>
      </c>
      <c r="S142">
        <v>13.5394104635687</v>
      </c>
      <c r="T142">
        <v>3.9771055844369698</v>
      </c>
      <c r="U142">
        <v>-1.2224402813564501</v>
      </c>
      <c r="V142">
        <v>8.9255248393648205E-4</v>
      </c>
      <c r="W142">
        <v>8.3503243497168693E-3</v>
      </c>
      <c r="X142">
        <v>1</v>
      </c>
      <c r="Y142">
        <v>1</v>
      </c>
    </row>
    <row r="143" spans="1:25" x14ac:dyDescent="0.2">
      <c r="A143" t="s">
        <v>547</v>
      </c>
      <c r="B143" t="s">
        <v>548</v>
      </c>
      <c r="C143" t="s">
        <v>14219</v>
      </c>
      <c r="D143" t="s">
        <v>73</v>
      </c>
      <c r="E143" t="s">
        <v>548</v>
      </c>
      <c r="F143" t="s">
        <v>28</v>
      </c>
      <c r="G143" t="s">
        <v>548</v>
      </c>
      <c r="H143" t="str">
        <f>"F10A3.17"</f>
        <v>F10A3.17</v>
      </c>
      <c r="I143" t="s">
        <v>73</v>
      </c>
      <c r="J143">
        <v>10.472091408429399</v>
      </c>
      <c r="K143" t="s">
        <v>29</v>
      </c>
      <c r="L143" t="s">
        <v>29</v>
      </c>
      <c r="M143" t="s">
        <v>29</v>
      </c>
      <c r="N143" t="s">
        <v>29</v>
      </c>
      <c r="O143" t="s">
        <v>29</v>
      </c>
      <c r="P143" t="s">
        <v>29</v>
      </c>
      <c r="Q143" t="s">
        <v>29</v>
      </c>
      <c r="R143" t="s">
        <v>29</v>
      </c>
      <c r="S143">
        <v>10.4035259665875</v>
      </c>
      <c r="T143" t="s">
        <v>29</v>
      </c>
      <c r="U143" t="s">
        <v>29</v>
      </c>
      <c r="V143" t="s">
        <v>29</v>
      </c>
      <c r="W143" t="s">
        <v>29</v>
      </c>
      <c r="X143" t="s">
        <v>29</v>
      </c>
      <c r="Y143" t="s">
        <v>29</v>
      </c>
    </row>
    <row r="144" spans="1:25" x14ac:dyDescent="0.2">
      <c r="A144" t="s">
        <v>549</v>
      </c>
      <c r="B144" t="s">
        <v>550</v>
      </c>
      <c r="C144" t="s">
        <v>14220</v>
      </c>
      <c r="D144" t="s">
        <v>551</v>
      </c>
      <c r="E144" t="s">
        <v>550</v>
      </c>
      <c r="F144" t="s">
        <v>28</v>
      </c>
      <c r="G144" t="s">
        <v>550</v>
      </c>
      <c r="H144" t="str">
        <f>"Y94H6A.7"</f>
        <v>Y94H6A.7</v>
      </c>
      <c r="I144" t="s">
        <v>551</v>
      </c>
      <c r="J144">
        <v>12.847587839938299</v>
      </c>
      <c r="K144" t="s">
        <v>29</v>
      </c>
      <c r="L144">
        <v>12.906446515391499</v>
      </c>
      <c r="M144" t="s">
        <v>29</v>
      </c>
      <c r="N144">
        <v>11.5066627108163</v>
      </c>
      <c r="O144" t="s">
        <v>29</v>
      </c>
      <c r="P144">
        <v>-1.37035446684863</v>
      </c>
      <c r="Q144">
        <v>-2.4301963990712299</v>
      </c>
      <c r="R144">
        <v>-0.31051253462603401</v>
      </c>
      <c r="S144">
        <v>12.5826100023368</v>
      </c>
      <c r="T144">
        <v>-2.7956259686920699</v>
      </c>
      <c r="U144">
        <v>-3.5186473625669699</v>
      </c>
      <c r="V144">
        <v>1.5254464373338E-2</v>
      </c>
      <c r="W144">
        <v>6.11631381064313E-2</v>
      </c>
      <c r="X144">
        <v>-1</v>
      </c>
      <c r="Y144">
        <v>0</v>
      </c>
    </row>
    <row r="145" spans="1:25" x14ac:dyDescent="0.2">
      <c r="A145" t="s">
        <v>552</v>
      </c>
      <c r="B145" t="s">
        <v>553</v>
      </c>
      <c r="C145" t="s">
        <v>554</v>
      </c>
      <c r="D145" t="s">
        <v>214</v>
      </c>
      <c r="E145" t="s">
        <v>553</v>
      </c>
      <c r="F145" t="s">
        <v>28</v>
      </c>
      <c r="G145" t="s">
        <v>553</v>
      </c>
      <c r="H145" t="str">
        <f>"rcs-1"</f>
        <v>rcs-1</v>
      </c>
      <c r="I145" t="s">
        <v>214</v>
      </c>
      <c r="J145" t="s">
        <v>29</v>
      </c>
      <c r="K145">
        <v>11.959174333254699</v>
      </c>
      <c r="L145" t="s">
        <v>29</v>
      </c>
      <c r="M145" t="s">
        <v>29</v>
      </c>
      <c r="N145" t="s">
        <v>29</v>
      </c>
      <c r="O145" t="s">
        <v>29</v>
      </c>
      <c r="P145" t="s">
        <v>29</v>
      </c>
      <c r="Q145" t="s">
        <v>29</v>
      </c>
      <c r="R145" t="s">
        <v>29</v>
      </c>
      <c r="S145">
        <v>12.1098392532218</v>
      </c>
      <c r="T145" t="s">
        <v>29</v>
      </c>
      <c r="U145" t="s">
        <v>29</v>
      </c>
      <c r="V145" t="s">
        <v>29</v>
      </c>
      <c r="W145" t="s">
        <v>29</v>
      </c>
      <c r="X145" t="s">
        <v>29</v>
      </c>
      <c r="Y145" t="s">
        <v>29</v>
      </c>
    </row>
    <row r="146" spans="1:25" x14ac:dyDescent="0.2">
      <c r="A146" t="s">
        <v>555</v>
      </c>
      <c r="B146" t="s">
        <v>556</v>
      </c>
      <c r="C146" t="s">
        <v>557</v>
      </c>
      <c r="D146" t="s">
        <v>558</v>
      </c>
      <c r="E146" t="s">
        <v>556</v>
      </c>
      <c r="F146" t="s">
        <v>28</v>
      </c>
      <c r="G146" t="s">
        <v>556</v>
      </c>
      <c r="H146" t="str">
        <f>"plin-1"</f>
        <v>plin-1</v>
      </c>
      <c r="I146" t="s">
        <v>558</v>
      </c>
      <c r="J146">
        <v>12.9937018269391</v>
      </c>
      <c r="K146">
        <v>12.7688557330785</v>
      </c>
      <c r="L146">
        <v>12.932871289041699</v>
      </c>
      <c r="M146" t="s">
        <v>29</v>
      </c>
      <c r="N146">
        <v>12.694502446671001</v>
      </c>
      <c r="O146">
        <v>13.3674528464903</v>
      </c>
      <c r="P146">
        <v>0.13250136356085601</v>
      </c>
      <c r="Q146">
        <v>-0.408755386848693</v>
      </c>
      <c r="R146">
        <v>0.67375811397040397</v>
      </c>
      <c r="S146">
        <v>12.8833570295368</v>
      </c>
      <c r="T146">
        <v>0.51673399618709703</v>
      </c>
      <c r="U146">
        <v>-6.9062238587198896</v>
      </c>
      <c r="V146">
        <v>0.61203983013218799</v>
      </c>
      <c r="W146">
        <v>0.74169496954691905</v>
      </c>
      <c r="X146">
        <v>0</v>
      </c>
      <c r="Y146">
        <v>0</v>
      </c>
    </row>
    <row r="147" spans="1:25" x14ac:dyDescent="0.2">
      <c r="A147" t="s">
        <v>559</v>
      </c>
      <c r="B147" t="s">
        <v>560</v>
      </c>
      <c r="C147" t="s">
        <v>14221</v>
      </c>
      <c r="D147" t="s">
        <v>561</v>
      </c>
      <c r="E147" t="s">
        <v>560</v>
      </c>
      <c r="F147" t="s">
        <v>28</v>
      </c>
      <c r="G147" t="s">
        <v>560</v>
      </c>
      <c r="H147" t="str">
        <f>"F23B12.4"</f>
        <v>F23B12.4</v>
      </c>
      <c r="I147" t="s">
        <v>561</v>
      </c>
      <c r="J147" t="s">
        <v>29</v>
      </c>
      <c r="K147">
        <v>11.8818382955477</v>
      </c>
      <c r="L147">
        <v>12.4612606596541</v>
      </c>
      <c r="M147" t="s">
        <v>29</v>
      </c>
      <c r="N147">
        <v>11.6217486233895</v>
      </c>
      <c r="O147" t="s">
        <v>29</v>
      </c>
      <c r="P147">
        <v>-0.54980085421140501</v>
      </c>
      <c r="Q147">
        <v>-1.30243707988832</v>
      </c>
      <c r="R147">
        <v>0.20283537146551101</v>
      </c>
      <c r="S147">
        <v>12.628891281517401</v>
      </c>
      <c r="T147">
        <v>-1.6097112739939601</v>
      </c>
      <c r="U147">
        <v>-5.5043904296153698</v>
      </c>
      <c r="V147">
        <v>0.136027976547654</v>
      </c>
      <c r="W147">
        <v>0.272333184025772</v>
      </c>
      <c r="X147">
        <v>0</v>
      </c>
      <c r="Y147">
        <v>0</v>
      </c>
    </row>
    <row r="148" spans="1:25" x14ac:dyDescent="0.2">
      <c r="A148" t="s">
        <v>562</v>
      </c>
      <c r="B148" t="s">
        <v>563</v>
      </c>
      <c r="C148" t="s">
        <v>14222</v>
      </c>
      <c r="D148" t="s">
        <v>564</v>
      </c>
      <c r="E148" t="s">
        <v>563</v>
      </c>
      <c r="F148" t="s">
        <v>28</v>
      </c>
      <c r="G148" t="s">
        <v>563</v>
      </c>
      <c r="H148" t="str">
        <f>"K09A9.6"</f>
        <v>K09A9.6</v>
      </c>
      <c r="I148" t="s">
        <v>564</v>
      </c>
      <c r="J148">
        <v>13.9323258885304</v>
      </c>
      <c r="K148">
        <v>13.177089425579601</v>
      </c>
      <c r="L148">
        <v>13.272744377156901</v>
      </c>
      <c r="M148" t="s">
        <v>29</v>
      </c>
      <c r="N148">
        <v>13.1408591071455</v>
      </c>
      <c r="O148">
        <v>12.4728932793012</v>
      </c>
      <c r="P148">
        <v>-0.65384370386565704</v>
      </c>
      <c r="Q148">
        <v>-1.6024107292109599</v>
      </c>
      <c r="R148">
        <v>0.29472332147964497</v>
      </c>
      <c r="S148">
        <v>12.488891983018</v>
      </c>
      <c r="T148">
        <v>-1.4620272002876999</v>
      </c>
      <c r="U148">
        <v>-5.9880827629069504</v>
      </c>
      <c r="V148">
        <v>0.163223131074068</v>
      </c>
      <c r="W148">
        <v>0.311742428564665</v>
      </c>
      <c r="X148">
        <v>0</v>
      </c>
      <c r="Y148">
        <v>0</v>
      </c>
    </row>
    <row r="149" spans="1:25" x14ac:dyDescent="0.2">
      <c r="A149" t="s">
        <v>565</v>
      </c>
      <c r="B149" t="s">
        <v>566</v>
      </c>
      <c r="C149" t="s">
        <v>567</v>
      </c>
      <c r="D149" t="s">
        <v>568</v>
      </c>
      <c r="E149" t="s">
        <v>566</v>
      </c>
      <c r="F149" t="s">
        <v>28</v>
      </c>
      <c r="G149" t="s">
        <v>566</v>
      </c>
      <c r="H149" t="str">
        <f>"ekl-4"</f>
        <v>ekl-4</v>
      </c>
      <c r="I149" t="s">
        <v>568</v>
      </c>
      <c r="J149">
        <v>12.1137098885039</v>
      </c>
      <c r="K149">
        <v>12.7595698965418</v>
      </c>
      <c r="L149" t="s">
        <v>29</v>
      </c>
      <c r="M149" t="s">
        <v>29</v>
      </c>
      <c r="N149">
        <v>11.882092349083599</v>
      </c>
      <c r="O149" t="s">
        <v>29</v>
      </c>
      <c r="P149">
        <v>-0.55454754343921697</v>
      </c>
      <c r="Q149">
        <v>-1.3120638486955101</v>
      </c>
      <c r="R149">
        <v>0.20296876181707499</v>
      </c>
      <c r="S149">
        <v>12.196171038674001</v>
      </c>
      <c r="T149">
        <v>-1.61314903913511</v>
      </c>
      <c r="U149">
        <v>-5.4995865966941899</v>
      </c>
      <c r="V149">
        <v>0.13527617875839501</v>
      </c>
      <c r="W149">
        <v>0.27119652979659198</v>
      </c>
      <c r="X149">
        <v>0</v>
      </c>
      <c r="Y149">
        <v>0</v>
      </c>
    </row>
    <row r="150" spans="1:25" x14ac:dyDescent="0.2">
      <c r="A150" t="s">
        <v>569</v>
      </c>
      <c r="B150" t="s">
        <v>570</v>
      </c>
      <c r="C150" t="s">
        <v>14223</v>
      </c>
      <c r="D150" t="s">
        <v>571</v>
      </c>
      <c r="E150" t="s">
        <v>570</v>
      </c>
      <c r="F150" t="s">
        <v>28</v>
      </c>
      <c r="G150" t="s">
        <v>570</v>
      </c>
      <c r="H150" t="str">
        <f>"E01A2.1"</f>
        <v>E01A2.1</v>
      </c>
      <c r="I150" t="s">
        <v>571</v>
      </c>
      <c r="J150">
        <v>14.1622685301804</v>
      </c>
      <c r="K150">
        <v>14.146713489019101</v>
      </c>
      <c r="L150">
        <v>14.403363386478</v>
      </c>
      <c r="M150" t="s">
        <v>29</v>
      </c>
      <c r="N150">
        <v>14.038822129535401</v>
      </c>
      <c r="O150">
        <v>14.018071959558</v>
      </c>
      <c r="P150">
        <v>-0.20900142401247401</v>
      </c>
      <c r="Q150">
        <v>-0.64399059971033201</v>
      </c>
      <c r="R150">
        <v>0.22598775168538501</v>
      </c>
      <c r="S150">
        <v>13.911515870413901</v>
      </c>
      <c r="T150">
        <v>-1.01419346593199</v>
      </c>
      <c r="U150">
        <v>-6.5207312029898397</v>
      </c>
      <c r="V150">
        <v>0.32479537730736402</v>
      </c>
      <c r="W150">
        <v>0.49543062987826098</v>
      </c>
      <c r="X150">
        <v>0</v>
      </c>
      <c r="Y150">
        <v>0</v>
      </c>
    </row>
    <row r="151" spans="1:25" x14ac:dyDescent="0.2">
      <c r="A151" t="s">
        <v>572</v>
      </c>
      <c r="B151" t="s">
        <v>573</v>
      </c>
      <c r="C151" t="s">
        <v>14224</v>
      </c>
      <c r="D151" t="s">
        <v>534</v>
      </c>
      <c r="E151" t="s">
        <v>573</v>
      </c>
      <c r="F151" t="s">
        <v>28</v>
      </c>
      <c r="G151" t="s">
        <v>573</v>
      </c>
      <c r="H151" t="str">
        <f>"T02H6.1"</f>
        <v>T02H6.1</v>
      </c>
      <c r="I151" t="s">
        <v>534</v>
      </c>
      <c r="J151">
        <v>13.592685677136201</v>
      </c>
      <c r="K151">
        <v>13.406103928018201</v>
      </c>
      <c r="L151">
        <v>13.3717040441023</v>
      </c>
      <c r="M151" t="s">
        <v>29</v>
      </c>
      <c r="N151">
        <v>11.8450291898746</v>
      </c>
      <c r="O151">
        <v>12.9412703974303</v>
      </c>
      <c r="P151">
        <v>-1.0636814227664</v>
      </c>
      <c r="Q151">
        <v>-1.60407745632359</v>
      </c>
      <c r="R151">
        <v>-0.52328538920919898</v>
      </c>
      <c r="S151">
        <v>12.931178368995001</v>
      </c>
      <c r="T151">
        <v>-4.1547934166162399</v>
      </c>
      <c r="U151">
        <v>-0.81456883892759901</v>
      </c>
      <c r="V151">
        <v>6.7123411650549497E-4</v>
      </c>
      <c r="W151">
        <v>6.9407962854094504E-3</v>
      </c>
      <c r="X151">
        <v>-1</v>
      </c>
      <c r="Y151">
        <v>-1</v>
      </c>
    </row>
    <row r="152" spans="1:25" x14ac:dyDescent="0.2">
      <c r="A152" t="s">
        <v>574</v>
      </c>
      <c r="B152" t="s">
        <v>575</v>
      </c>
      <c r="C152" t="s">
        <v>576</v>
      </c>
      <c r="D152" t="s">
        <v>577</v>
      </c>
      <c r="E152" t="s">
        <v>575</v>
      </c>
      <c r="F152" t="s">
        <v>28</v>
      </c>
      <c r="G152" t="s">
        <v>575</v>
      </c>
      <c r="H152" t="str">
        <f>"seu-1"</f>
        <v>seu-1</v>
      </c>
      <c r="I152" t="s">
        <v>577</v>
      </c>
      <c r="J152">
        <v>12.069990629684099</v>
      </c>
      <c r="K152">
        <v>12.3992420778953</v>
      </c>
      <c r="L152">
        <v>11.7172524547167</v>
      </c>
      <c r="M152" t="s">
        <v>29</v>
      </c>
      <c r="N152" t="s">
        <v>29</v>
      </c>
      <c r="O152" t="s">
        <v>29</v>
      </c>
      <c r="P152" t="s">
        <v>29</v>
      </c>
      <c r="Q152" t="s">
        <v>29</v>
      </c>
      <c r="R152" t="s">
        <v>29</v>
      </c>
      <c r="S152">
        <v>12.084891277057499</v>
      </c>
      <c r="T152" t="s">
        <v>29</v>
      </c>
      <c r="U152" t="s">
        <v>29</v>
      </c>
      <c r="V152" t="s">
        <v>29</v>
      </c>
      <c r="W152" t="s">
        <v>29</v>
      </c>
      <c r="X152" t="s">
        <v>29</v>
      </c>
      <c r="Y152" t="s">
        <v>29</v>
      </c>
    </row>
    <row r="153" spans="1:25" x14ac:dyDescent="0.2">
      <c r="A153" t="s">
        <v>578</v>
      </c>
      <c r="B153" t="s">
        <v>579</v>
      </c>
      <c r="C153" t="s">
        <v>580</v>
      </c>
      <c r="D153" t="s">
        <v>581</v>
      </c>
      <c r="E153" t="s">
        <v>579</v>
      </c>
      <c r="F153" t="s">
        <v>28</v>
      </c>
      <c r="G153" t="s">
        <v>579</v>
      </c>
      <c r="H153" t="str">
        <f>"syf-3"</f>
        <v>syf-3</v>
      </c>
      <c r="I153" t="s">
        <v>581</v>
      </c>
      <c r="J153">
        <v>14.200869110575001</v>
      </c>
      <c r="K153">
        <v>14.3713454555152</v>
      </c>
      <c r="L153">
        <v>14.0959376805655</v>
      </c>
      <c r="M153">
        <v>13.207484608666601</v>
      </c>
      <c r="N153">
        <v>14.159938391543699</v>
      </c>
      <c r="O153">
        <v>14.1875635785828</v>
      </c>
      <c r="P153">
        <v>-0.37105522262086099</v>
      </c>
      <c r="Q153">
        <v>-1.0327362606327499</v>
      </c>
      <c r="R153">
        <v>0.290625815391028</v>
      </c>
      <c r="S153">
        <v>14.7738064110414</v>
      </c>
      <c r="T153">
        <v>-1.1786432482251801</v>
      </c>
      <c r="U153">
        <v>-6.4543336167145897</v>
      </c>
      <c r="V153">
        <v>0.25397552549970598</v>
      </c>
      <c r="W153">
        <v>0.42190860972245398</v>
      </c>
      <c r="X153">
        <v>0</v>
      </c>
      <c r="Y153">
        <v>0</v>
      </c>
    </row>
    <row r="154" spans="1:25" x14ac:dyDescent="0.2">
      <c r="A154" t="s">
        <v>582</v>
      </c>
      <c r="B154" t="s">
        <v>583</v>
      </c>
      <c r="C154" t="s">
        <v>14225</v>
      </c>
      <c r="D154" t="s">
        <v>130</v>
      </c>
      <c r="E154" t="s">
        <v>583</v>
      </c>
      <c r="F154" t="s">
        <v>28</v>
      </c>
      <c r="G154" t="s">
        <v>583</v>
      </c>
      <c r="H154" t="str">
        <f>"F27D4.6"</f>
        <v>F27D4.6</v>
      </c>
      <c r="I154" t="s">
        <v>130</v>
      </c>
      <c r="J154" t="s">
        <v>29</v>
      </c>
      <c r="K154" t="s">
        <v>29</v>
      </c>
      <c r="L154" t="s">
        <v>29</v>
      </c>
      <c r="M154" t="s">
        <v>29</v>
      </c>
      <c r="N154" t="s">
        <v>29</v>
      </c>
      <c r="O154" t="s">
        <v>29</v>
      </c>
      <c r="P154" t="s">
        <v>29</v>
      </c>
      <c r="Q154" t="s">
        <v>29</v>
      </c>
      <c r="R154" t="s">
        <v>29</v>
      </c>
      <c r="S154">
        <v>10.296015551180201</v>
      </c>
      <c r="T154" t="s">
        <v>29</v>
      </c>
      <c r="U154" t="s">
        <v>29</v>
      </c>
      <c r="V154" t="s">
        <v>29</v>
      </c>
      <c r="W154" t="s">
        <v>29</v>
      </c>
      <c r="X154" t="s">
        <v>29</v>
      </c>
      <c r="Y154" t="s">
        <v>29</v>
      </c>
    </row>
    <row r="155" spans="1:25" x14ac:dyDescent="0.2">
      <c r="A155" t="s">
        <v>584</v>
      </c>
      <c r="B155" t="s">
        <v>585</v>
      </c>
      <c r="C155" t="s">
        <v>586</v>
      </c>
      <c r="D155" t="s">
        <v>587</v>
      </c>
      <c r="E155" t="s">
        <v>585</v>
      </c>
      <c r="F155" t="s">
        <v>28</v>
      </c>
      <c r="G155" t="s">
        <v>585</v>
      </c>
      <c r="H155" t="str">
        <f>"C27H6.9"</f>
        <v>C27H6.9</v>
      </c>
      <c r="I155" t="s">
        <v>587</v>
      </c>
      <c r="J155" t="s">
        <v>29</v>
      </c>
      <c r="K155" t="s">
        <v>29</v>
      </c>
      <c r="L155">
        <v>12.0712631125683</v>
      </c>
      <c r="M155" t="s">
        <v>29</v>
      </c>
      <c r="N155" t="s">
        <v>29</v>
      </c>
      <c r="O155">
        <v>11.781945993741701</v>
      </c>
      <c r="P155">
        <v>-0.28931711882661298</v>
      </c>
      <c r="Q155">
        <v>-1.14901692642897</v>
      </c>
      <c r="R155">
        <v>0.57038268877574705</v>
      </c>
      <c r="S155">
        <v>12.199157961630201</v>
      </c>
      <c r="T155">
        <v>-0.75092090069668005</v>
      </c>
      <c r="U155">
        <v>-6.31649547751885</v>
      </c>
      <c r="V155">
        <v>0.47018117541048798</v>
      </c>
      <c r="W155">
        <v>0.63126374666729301</v>
      </c>
      <c r="X155">
        <v>0</v>
      </c>
      <c r="Y155">
        <v>0</v>
      </c>
    </row>
    <row r="156" spans="1:25" x14ac:dyDescent="0.2">
      <c r="A156" t="s">
        <v>588</v>
      </c>
      <c r="B156" t="s">
        <v>589</v>
      </c>
      <c r="C156" t="s">
        <v>590</v>
      </c>
      <c r="D156" t="s">
        <v>591</v>
      </c>
      <c r="E156" t="s">
        <v>589</v>
      </c>
      <c r="F156" t="s">
        <v>28</v>
      </c>
      <c r="G156" t="s">
        <v>589</v>
      </c>
      <c r="H156" t="str">
        <f>"pptr-2"</f>
        <v>pptr-2</v>
      </c>
      <c r="I156" t="s">
        <v>591</v>
      </c>
      <c r="J156" t="s">
        <v>29</v>
      </c>
      <c r="K156" t="s">
        <v>29</v>
      </c>
      <c r="L156">
        <v>11.1247155659065</v>
      </c>
      <c r="M156" t="s">
        <v>29</v>
      </c>
      <c r="N156">
        <v>13.5781180152701</v>
      </c>
      <c r="O156">
        <v>13.5706353707065</v>
      </c>
      <c r="P156">
        <v>2.4496611270818298</v>
      </c>
      <c r="Q156">
        <v>1.5710120446347</v>
      </c>
      <c r="R156">
        <v>3.3283102095289601</v>
      </c>
      <c r="S156">
        <v>12.4450194991334</v>
      </c>
      <c r="T156">
        <v>5.9460992849329202</v>
      </c>
      <c r="U156">
        <v>2.6623803543745401</v>
      </c>
      <c r="V156" s="2">
        <v>2.76131274294453E-5</v>
      </c>
      <c r="W156">
        <v>6.5100709227660205E-4</v>
      </c>
      <c r="X156">
        <v>1</v>
      </c>
      <c r="Y156">
        <v>1</v>
      </c>
    </row>
    <row r="157" spans="1:25" x14ac:dyDescent="0.2">
      <c r="A157" t="s">
        <v>592</v>
      </c>
      <c r="B157" t="s">
        <v>593</v>
      </c>
      <c r="C157" t="s">
        <v>594</v>
      </c>
      <c r="D157" t="s">
        <v>595</v>
      </c>
      <c r="E157" t="s">
        <v>593</v>
      </c>
      <c r="F157" t="s">
        <v>28</v>
      </c>
      <c r="G157" t="s">
        <v>593</v>
      </c>
      <c r="H157" t="str">
        <f>"maph-1.2"</f>
        <v>maph-1.2</v>
      </c>
      <c r="I157" t="s">
        <v>595</v>
      </c>
      <c r="J157">
        <v>15.3720687322707</v>
      </c>
      <c r="K157">
        <v>15.767534578130901</v>
      </c>
      <c r="L157">
        <v>16.115121458604399</v>
      </c>
      <c r="M157">
        <v>15.401709945338901</v>
      </c>
      <c r="N157">
        <v>16.1860399328054</v>
      </c>
      <c r="O157">
        <v>14.948576831415201</v>
      </c>
      <c r="P157">
        <v>-0.239466019815499</v>
      </c>
      <c r="Q157">
        <v>-1.02433792062587</v>
      </c>
      <c r="R157">
        <v>0.54540588099487197</v>
      </c>
      <c r="S157">
        <v>15.734042371989901</v>
      </c>
      <c r="T157">
        <v>-0.641265134129966</v>
      </c>
      <c r="U157">
        <v>-6.9429529283648499</v>
      </c>
      <c r="V157">
        <v>0.52947868583386004</v>
      </c>
      <c r="W157">
        <v>0.67990138873742301</v>
      </c>
      <c r="X157">
        <v>0</v>
      </c>
      <c r="Y157">
        <v>0</v>
      </c>
    </row>
    <row r="158" spans="1:25" x14ac:dyDescent="0.2">
      <c r="A158" t="s">
        <v>596</v>
      </c>
      <c r="B158" t="s">
        <v>597</v>
      </c>
      <c r="C158" t="s">
        <v>598</v>
      </c>
      <c r="D158" t="s">
        <v>599</v>
      </c>
      <c r="E158" t="s">
        <v>597</v>
      </c>
      <c r="F158" t="s">
        <v>28</v>
      </c>
      <c r="G158" t="s">
        <v>597</v>
      </c>
      <c r="H158" t="str">
        <f>"srp-7"</f>
        <v>srp-7</v>
      </c>
      <c r="I158" t="s">
        <v>599</v>
      </c>
      <c r="J158" t="s">
        <v>29</v>
      </c>
      <c r="K158" t="s">
        <v>29</v>
      </c>
      <c r="L158">
        <v>12.6605251980811</v>
      </c>
      <c r="M158" t="s">
        <v>29</v>
      </c>
      <c r="N158">
        <v>14.254352557953201</v>
      </c>
      <c r="O158">
        <v>14.285089363147501</v>
      </c>
      <c r="P158">
        <v>1.6091957624692099</v>
      </c>
      <c r="Q158">
        <v>0.42447432882006297</v>
      </c>
      <c r="R158">
        <v>2.79391719611835</v>
      </c>
      <c r="S158">
        <v>12.688270438004301</v>
      </c>
      <c r="T158">
        <v>2.96235871896668</v>
      </c>
      <c r="U158">
        <v>-3.2547306480811402</v>
      </c>
      <c r="V158">
        <v>1.19690064428403E-2</v>
      </c>
      <c r="W158">
        <v>5.1343030548836002E-2</v>
      </c>
      <c r="X158">
        <v>1</v>
      </c>
      <c r="Y158">
        <v>1</v>
      </c>
    </row>
    <row r="159" spans="1:25" x14ac:dyDescent="0.2">
      <c r="A159" t="s">
        <v>600</v>
      </c>
      <c r="B159" t="s">
        <v>601</v>
      </c>
      <c r="C159" t="s">
        <v>602</v>
      </c>
      <c r="D159" t="s">
        <v>603</v>
      </c>
      <c r="E159" t="s">
        <v>601</v>
      </c>
      <c r="F159" t="s">
        <v>28</v>
      </c>
      <c r="G159" t="s">
        <v>601</v>
      </c>
      <c r="H159" t="str">
        <f>"ascc-1"</f>
        <v>ascc-1</v>
      </c>
      <c r="I159" t="s">
        <v>603</v>
      </c>
      <c r="J159">
        <v>12.328350857320199</v>
      </c>
      <c r="K159" t="s">
        <v>29</v>
      </c>
      <c r="L159">
        <v>12.325287322029601</v>
      </c>
      <c r="M159" t="s">
        <v>29</v>
      </c>
      <c r="N159" t="s">
        <v>29</v>
      </c>
      <c r="O159">
        <v>12.9032110147384</v>
      </c>
      <c r="P159">
        <v>0.57639192506353099</v>
      </c>
      <c r="Q159">
        <v>-0.19243744162705601</v>
      </c>
      <c r="R159">
        <v>1.34522129175412</v>
      </c>
      <c r="S159">
        <v>12.3256312499635</v>
      </c>
      <c r="T159">
        <v>1.6090880783777</v>
      </c>
      <c r="U159">
        <v>-5.5004416730633201</v>
      </c>
      <c r="V159">
        <v>0.130073926597428</v>
      </c>
      <c r="W159">
        <v>0.26363676869506097</v>
      </c>
      <c r="X159">
        <v>0</v>
      </c>
      <c r="Y159">
        <v>0</v>
      </c>
    </row>
    <row r="160" spans="1:25" x14ac:dyDescent="0.2">
      <c r="A160" t="s">
        <v>604</v>
      </c>
      <c r="B160" t="s">
        <v>605</v>
      </c>
      <c r="C160" t="s">
        <v>606</v>
      </c>
      <c r="D160" t="s">
        <v>204</v>
      </c>
      <c r="E160" t="s">
        <v>605</v>
      </c>
      <c r="F160" t="s">
        <v>28</v>
      </c>
      <c r="G160" t="s">
        <v>605</v>
      </c>
      <c r="H160" t="str">
        <f>"hsp-43"</f>
        <v>hsp-43</v>
      </c>
      <c r="I160" t="s">
        <v>204</v>
      </c>
      <c r="J160">
        <v>11.438198171032001</v>
      </c>
      <c r="K160">
        <v>12.618811558162699</v>
      </c>
      <c r="L160">
        <v>12.9506230678285</v>
      </c>
      <c r="M160">
        <v>13.1077283673129</v>
      </c>
      <c r="N160">
        <v>11.5707244816891</v>
      </c>
      <c r="O160">
        <v>12.4004062543322</v>
      </c>
      <c r="P160">
        <v>2.3742102103709001E-2</v>
      </c>
      <c r="Q160">
        <v>-0.72387493314158202</v>
      </c>
      <c r="R160">
        <v>0.77135913734899997</v>
      </c>
      <c r="S160">
        <v>13.039985713259</v>
      </c>
      <c r="T160">
        <v>6.6747114050621101E-2</v>
      </c>
      <c r="U160">
        <v>-7.1539643354729003</v>
      </c>
      <c r="V160">
        <v>0.94752310895487801</v>
      </c>
      <c r="W160">
        <v>0.97023995903058502</v>
      </c>
      <c r="X160">
        <v>0</v>
      </c>
      <c r="Y160">
        <v>0</v>
      </c>
    </row>
    <row r="161" spans="1:25" x14ac:dyDescent="0.2">
      <c r="A161" t="s">
        <v>607</v>
      </c>
      <c r="B161" t="s">
        <v>608</v>
      </c>
      <c r="C161" t="s">
        <v>14226</v>
      </c>
      <c r="D161" t="s">
        <v>609</v>
      </c>
      <c r="E161" t="s">
        <v>608</v>
      </c>
      <c r="F161" t="s">
        <v>28</v>
      </c>
      <c r="G161" t="s">
        <v>608</v>
      </c>
      <c r="H161" t="str">
        <f>"F41E6.5"</f>
        <v>F41E6.5</v>
      </c>
      <c r="I161" t="s">
        <v>609</v>
      </c>
      <c r="J161">
        <v>14.0175457745526</v>
      </c>
      <c r="K161">
        <v>13.8324611177493</v>
      </c>
      <c r="L161">
        <v>13.077694982252</v>
      </c>
      <c r="M161">
        <v>14.0105574524156</v>
      </c>
      <c r="N161">
        <v>14.395689325083501</v>
      </c>
      <c r="O161">
        <v>14.8444251737969</v>
      </c>
      <c r="P161">
        <v>0.77432335891402804</v>
      </c>
      <c r="Q161">
        <v>0.182069102100472</v>
      </c>
      <c r="R161">
        <v>1.36657761572758</v>
      </c>
      <c r="S161">
        <v>13.441056620345201</v>
      </c>
      <c r="T161">
        <v>2.7479364387001501</v>
      </c>
      <c r="U161">
        <v>-3.85410947287034</v>
      </c>
      <c r="V161">
        <v>1.32796596863898E-2</v>
      </c>
      <c r="W161">
        <v>5.5668786764993899E-2</v>
      </c>
      <c r="X161">
        <v>0</v>
      </c>
      <c r="Y161">
        <v>0</v>
      </c>
    </row>
    <row r="162" spans="1:25" x14ac:dyDescent="0.2">
      <c r="A162" t="s">
        <v>610</v>
      </c>
      <c r="B162" t="s">
        <v>611</v>
      </c>
      <c r="C162" t="s">
        <v>612</v>
      </c>
      <c r="D162" t="s">
        <v>613</v>
      </c>
      <c r="E162" t="s">
        <v>611</v>
      </c>
      <c r="F162" t="s">
        <v>28</v>
      </c>
      <c r="G162" t="s">
        <v>611</v>
      </c>
      <c r="H162" t="str">
        <f>"trpp-1"</f>
        <v>trpp-1</v>
      </c>
      <c r="I162" t="s">
        <v>613</v>
      </c>
      <c r="J162">
        <v>12.5250822255478</v>
      </c>
      <c r="K162">
        <v>12.4569775124834</v>
      </c>
      <c r="L162">
        <v>12.6001029564002</v>
      </c>
      <c r="M162" t="s">
        <v>29</v>
      </c>
      <c r="N162" t="s">
        <v>29</v>
      </c>
      <c r="O162" t="s">
        <v>29</v>
      </c>
      <c r="P162" t="s">
        <v>29</v>
      </c>
      <c r="Q162" t="s">
        <v>29</v>
      </c>
      <c r="R162" t="s">
        <v>29</v>
      </c>
      <c r="S162">
        <v>12.1744969265952</v>
      </c>
      <c r="T162" t="s">
        <v>29</v>
      </c>
      <c r="U162" t="s">
        <v>29</v>
      </c>
      <c r="V162" t="s">
        <v>29</v>
      </c>
      <c r="W162" t="s">
        <v>29</v>
      </c>
      <c r="X162" t="s">
        <v>29</v>
      </c>
      <c r="Y162" t="s">
        <v>29</v>
      </c>
    </row>
    <row r="163" spans="1:25" x14ac:dyDescent="0.2">
      <c r="A163" t="s">
        <v>614</v>
      </c>
      <c r="B163" t="s">
        <v>615</v>
      </c>
      <c r="C163" t="s">
        <v>616</v>
      </c>
      <c r="D163" t="s">
        <v>617</v>
      </c>
      <c r="E163" t="s">
        <v>615</v>
      </c>
      <c r="F163" t="s">
        <v>28</v>
      </c>
      <c r="G163" t="s">
        <v>615</v>
      </c>
      <c r="H163" t="str">
        <f>"C14H10.3"</f>
        <v>C14H10.3</v>
      </c>
      <c r="I163" t="s">
        <v>617</v>
      </c>
      <c r="J163">
        <v>12.132654454309099</v>
      </c>
      <c r="K163">
        <v>11.4513527075482</v>
      </c>
      <c r="L163">
        <v>12.3163287997289</v>
      </c>
      <c r="M163" t="s">
        <v>29</v>
      </c>
      <c r="N163">
        <v>11.4292745446296</v>
      </c>
      <c r="O163">
        <v>12.166581407591501</v>
      </c>
      <c r="P163">
        <v>-0.16885067775152199</v>
      </c>
      <c r="Q163">
        <v>-0.82728933195084697</v>
      </c>
      <c r="R163">
        <v>0.489587976447804</v>
      </c>
      <c r="S163">
        <v>11.7107471075315</v>
      </c>
      <c r="T163">
        <v>-0.54129934648772404</v>
      </c>
      <c r="U163">
        <v>-6.8927860115198101</v>
      </c>
      <c r="V163">
        <v>0.59536764432345102</v>
      </c>
      <c r="W163">
        <v>0.73088459212672896</v>
      </c>
      <c r="X163">
        <v>0</v>
      </c>
      <c r="Y163">
        <v>0</v>
      </c>
    </row>
    <row r="164" spans="1:25" x14ac:dyDescent="0.2">
      <c r="A164" t="s">
        <v>618</v>
      </c>
      <c r="B164" t="s">
        <v>619</v>
      </c>
      <c r="C164" t="s">
        <v>620</v>
      </c>
      <c r="D164" t="s">
        <v>621</v>
      </c>
      <c r="E164" t="s">
        <v>619</v>
      </c>
      <c r="F164" t="s">
        <v>28</v>
      </c>
      <c r="G164" t="s">
        <v>619</v>
      </c>
      <c r="H164" t="str">
        <f>"poml-3"</f>
        <v>poml-3</v>
      </c>
      <c r="I164" t="s">
        <v>621</v>
      </c>
      <c r="J164">
        <v>13.7622286554127</v>
      </c>
      <c r="K164">
        <v>14.137218308839699</v>
      </c>
      <c r="L164">
        <v>13.607769825243899</v>
      </c>
      <c r="M164" t="s">
        <v>29</v>
      </c>
      <c r="N164" t="s">
        <v>29</v>
      </c>
      <c r="O164">
        <v>12.6178217089955</v>
      </c>
      <c r="P164">
        <v>-1.21791722083661</v>
      </c>
      <c r="Q164">
        <v>-2.1953877516051499</v>
      </c>
      <c r="R164">
        <v>-0.24044669006806599</v>
      </c>
      <c r="S164">
        <v>13.4503498248779</v>
      </c>
      <c r="T164">
        <v>-2.64279592273187</v>
      </c>
      <c r="U164">
        <v>-3.7797408932993402</v>
      </c>
      <c r="V164">
        <v>1.7799295669747601E-2</v>
      </c>
      <c r="W164">
        <v>6.8320160314431597E-2</v>
      </c>
      <c r="X164">
        <v>-1</v>
      </c>
      <c r="Y164">
        <v>0</v>
      </c>
    </row>
    <row r="165" spans="1:25" x14ac:dyDescent="0.2">
      <c r="A165" t="s">
        <v>622</v>
      </c>
      <c r="B165" t="s">
        <v>623</v>
      </c>
      <c r="C165" t="s">
        <v>624</v>
      </c>
      <c r="D165" t="s">
        <v>625</v>
      </c>
      <c r="E165" t="s">
        <v>623</v>
      </c>
      <c r="F165" t="s">
        <v>28</v>
      </c>
      <c r="G165" t="s">
        <v>623</v>
      </c>
      <c r="H165" t="str">
        <f>"unc-57"</f>
        <v>unc-57</v>
      </c>
      <c r="I165" t="s">
        <v>625</v>
      </c>
      <c r="J165">
        <v>14.174044119574599</v>
      </c>
      <c r="K165">
        <v>11.180074259500801</v>
      </c>
      <c r="L165">
        <v>11.9036152343092</v>
      </c>
      <c r="M165" t="s">
        <v>29</v>
      </c>
      <c r="N165">
        <v>12.6950341908609</v>
      </c>
      <c r="O165">
        <v>14.3620502678628</v>
      </c>
      <c r="P165">
        <v>1.1092976915669801</v>
      </c>
      <c r="Q165">
        <v>-0.27801244944292403</v>
      </c>
      <c r="R165">
        <v>2.4966078325768901</v>
      </c>
      <c r="S165">
        <v>12.850809555655401</v>
      </c>
      <c r="T165">
        <v>1.68781390883157</v>
      </c>
      <c r="U165">
        <v>-5.6625169031859803</v>
      </c>
      <c r="V165">
        <v>0.109818987974639</v>
      </c>
      <c r="W165">
        <v>0.230946465117361</v>
      </c>
      <c r="X165">
        <v>0</v>
      </c>
      <c r="Y165">
        <v>0</v>
      </c>
    </row>
    <row r="166" spans="1:25" x14ac:dyDescent="0.2">
      <c r="A166" t="s">
        <v>626</v>
      </c>
      <c r="B166" t="s">
        <v>627</v>
      </c>
      <c r="C166" t="s">
        <v>628</v>
      </c>
      <c r="D166" t="s">
        <v>629</v>
      </c>
      <c r="E166" t="s">
        <v>627</v>
      </c>
      <c r="F166" t="s">
        <v>28</v>
      </c>
      <c r="G166" t="s">
        <v>627</v>
      </c>
      <c r="H166" t="str">
        <f>"saps-1"</f>
        <v>saps-1</v>
      </c>
      <c r="I166" t="s">
        <v>629</v>
      </c>
      <c r="J166">
        <v>10.2053593211016</v>
      </c>
      <c r="K166" t="s">
        <v>29</v>
      </c>
      <c r="L166">
        <v>10.379090651613501</v>
      </c>
      <c r="M166">
        <v>12.8752027210306</v>
      </c>
      <c r="N166">
        <v>13.7281203844797</v>
      </c>
      <c r="O166">
        <v>14.505434483100499</v>
      </c>
      <c r="P166">
        <v>3.4106942098460702</v>
      </c>
      <c r="Q166">
        <v>2.7004655670856099</v>
      </c>
      <c r="R166">
        <v>4.1209228526065198</v>
      </c>
      <c r="S166">
        <v>12.8348921521709</v>
      </c>
      <c r="T166">
        <v>10.136653799065799</v>
      </c>
      <c r="U166">
        <v>10.0734869278541</v>
      </c>
      <c r="V166" s="2">
        <v>1.3470644121513099E-8</v>
      </c>
      <c r="W166" s="2">
        <v>1.46547035585966E-6</v>
      </c>
      <c r="X166">
        <v>1</v>
      </c>
      <c r="Y166">
        <v>1</v>
      </c>
    </row>
    <row r="167" spans="1:25" x14ac:dyDescent="0.2">
      <c r="A167" t="s">
        <v>630</v>
      </c>
      <c r="B167" t="s">
        <v>631</v>
      </c>
      <c r="C167" t="s">
        <v>632</v>
      </c>
      <c r="D167" t="s">
        <v>633</v>
      </c>
      <c r="E167" t="s">
        <v>631</v>
      </c>
      <c r="F167" t="s">
        <v>28</v>
      </c>
      <c r="G167" t="s">
        <v>631</v>
      </c>
      <c r="H167" t="str">
        <f>"lin-61"</f>
        <v>lin-61</v>
      </c>
      <c r="I167" t="s">
        <v>633</v>
      </c>
      <c r="J167">
        <v>14.217630626344301</v>
      </c>
      <c r="K167">
        <v>14.3276963588887</v>
      </c>
      <c r="L167">
        <v>14.373458528923299</v>
      </c>
      <c r="M167">
        <v>14.8795928315207</v>
      </c>
      <c r="N167">
        <v>14.1744752906742</v>
      </c>
      <c r="O167">
        <v>14.0620454649221</v>
      </c>
      <c r="P167">
        <v>6.5776024320246804E-2</v>
      </c>
      <c r="Q167">
        <v>-0.37330112024892698</v>
      </c>
      <c r="R167">
        <v>0.50485316888942</v>
      </c>
      <c r="S167">
        <v>14.3957581726242</v>
      </c>
      <c r="T167">
        <v>0.31486131284350199</v>
      </c>
      <c r="U167">
        <v>-7.1044197721488302</v>
      </c>
      <c r="V167">
        <v>0.75650869103912699</v>
      </c>
      <c r="W167">
        <v>0.84608391365931901</v>
      </c>
      <c r="X167">
        <v>0</v>
      </c>
      <c r="Y167">
        <v>0</v>
      </c>
    </row>
    <row r="168" spans="1:25" x14ac:dyDescent="0.2">
      <c r="A168" t="s">
        <v>634</v>
      </c>
      <c r="B168" t="s">
        <v>635</v>
      </c>
      <c r="C168" t="s">
        <v>636</v>
      </c>
      <c r="D168" t="s">
        <v>637</v>
      </c>
      <c r="E168" t="s">
        <v>635</v>
      </c>
      <c r="F168" t="s">
        <v>28</v>
      </c>
      <c r="G168" t="s">
        <v>635</v>
      </c>
      <c r="H168" t="str">
        <f>"tlf-1"</f>
        <v>tlf-1</v>
      </c>
      <c r="I168" t="s">
        <v>637</v>
      </c>
      <c r="J168">
        <v>13.0217825015507</v>
      </c>
      <c r="K168">
        <v>13.591494370282099</v>
      </c>
      <c r="L168">
        <v>13.582128014976799</v>
      </c>
      <c r="M168" t="s">
        <v>29</v>
      </c>
      <c r="N168">
        <v>12.401650319443799</v>
      </c>
      <c r="O168">
        <v>11.881901806884301</v>
      </c>
      <c r="P168">
        <v>-1.2566922324391401</v>
      </c>
      <c r="Q168">
        <v>-1.8218653066670101</v>
      </c>
      <c r="R168">
        <v>-0.69151915821127197</v>
      </c>
      <c r="S168">
        <v>13.3696045299491</v>
      </c>
      <c r="T168">
        <v>-4.69350711668947</v>
      </c>
      <c r="U168">
        <v>0.335663425616685</v>
      </c>
      <c r="V168">
        <v>2.12379944244668E-4</v>
      </c>
      <c r="W168">
        <v>2.9384211065213001E-3</v>
      </c>
      <c r="X168">
        <v>-1</v>
      </c>
      <c r="Y168">
        <v>-1</v>
      </c>
    </row>
    <row r="169" spans="1:25" x14ac:dyDescent="0.2">
      <c r="A169" t="s">
        <v>638</v>
      </c>
      <c r="B169" t="s">
        <v>639</v>
      </c>
      <c r="C169" t="s">
        <v>640</v>
      </c>
      <c r="D169" t="s">
        <v>641</v>
      </c>
      <c r="E169" t="s">
        <v>639</v>
      </c>
      <c r="F169" t="s">
        <v>28</v>
      </c>
      <c r="G169" t="s">
        <v>639</v>
      </c>
      <c r="H169" t="str">
        <f>"smc-3"</f>
        <v>smc-3</v>
      </c>
      <c r="I169" t="s">
        <v>641</v>
      </c>
      <c r="J169">
        <v>13.781427780034599</v>
      </c>
      <c r="K169">
        <v>13.656505429044699</v>
      </c>
      <c r="L169">
        <v>13.540706484128201</v>
      </c>
      <c r="M169" t="s">
        <v>29</v>
      </c>
      <c r="N169">
        <v>12.210123173865201</v>
      </c>
      <c r="O169">
        <v>13.773701486432801</v>
      </c>
      <c r="P169">
        <v>-0.66763423425350499</v>
      </c>
      <c r="Q169">
        <v>-1.2952506024138499</v>
      </c>
      <c r="R169">
        <v>-4.0017866093159001E-2</v>
      </c>
      <c r="S169">
        <v>13.3873976314283</v>
      </c>
      <c r="T169">
        <v>-2.2454032640083099</v>
      </c>
      <c r="U169">
        <v>-4.7286864097534904</v>
      </c>
      <c r="V169">
        <v>3.8419145496442701E-2</v>
      </c>
      <c r="W169">
        <v>0.115231312111425</v>
      </c>
      <c r="X169">
        <v>0</v>
      </c>
      <c r="Y169">
        <v>0</v>
      </c>
    </row>
    <row r="170" spans="1:25" x14ac:dyDescent="0.2">
      <c r="A170" t="s">
        <v>642</v>
      </c>
      <c r="B170" t="s">
        <v>643</v>
      </c>
      <c r="C170" t="s">
        <v>644</v>
      </c>
      <c r="D170" t="s">
        <v>645</v>
      </c>
      <c r="E170" t="s">
        <v>643</v>
      </c>
      <c r="F170" t="s">
        <v>28</v>
      </c>
      <c r="G170" t="s">
        <v>643</v>
      </c>
      <c r="H170" t="str">
        <f>"vha-7"</f>
        <v>vha-7</v>
      </c>
      <c r="I170" t="s">
        <v>645</v>
      </c>
      <c r="J170" t="s">
        <v>29</v>
      </c>
      <c r="K170" t="s">
        <v>29</v>
      </c>
      <c r="L170" t="s">
        <v>29</v>
      </c>
      <c r="M170">
        <v>12.6861351329736</v>
      </c>
      <c r="N170">
        <v>13.0619734034616</v>
      </c>
      <c r="O170">
        <v>13.4600761710948</v>
      </c>
      <c r="P170" t="s">
        <v>29</v>
      </c>
      <c r="Q170" t="s">
        <v>29</v>
      </c>
      <c r="R170" t="s">
        <v>29</v>
      </c>
      <c r="S170">
        <v>12.211671165452801</v>
      </c>
      <c r="T170" t="s">
        <v>29</v>
      </c>
      <c r="U170" t="s">
        <v>29</v>
      </c>
      <c r="V170" t="s">
        <v>29</v>
      </c>
      <c r="W170" t="s">
        <v>29</v>
      </c>
      <c r="X170" t="s">
        <v>29</v>
      </c>
      <c r="Y170" t="s">
        <v>29</v>
      </c>
    </row>
    <row r="171" spans="1:25" x14ac:dyDescent="0.2">
      <c r="A171" t="s">
        <v>646</v>
      </c>
      <c r="B171" t="s">
        <v>647</v>
      </c>
      <c r="C171" t="s">
        <v>648</v>
      </c>
      <c r="D171" t="s">
        <v>649</v>
      </c>
      <c r="E171" t="s">
        <v>647</v>
      </c>
      <c r="F171" t="s">
        <v>28</v>
      </c>
      <c r="G171" t="s">
        <v>647</v>
      </c>
      <c r="H171" t="str">
        <f>"gcn-1"</f>
        <v>gcn-1</v>
      </c>
      <c r="I171" t="s">
        <v>649</v>
      </c>
      <c r="J171">
        <v>15.964548926492199</v>
      </c>
      <c r="K171">
        <v>15.8508543896682</v>
      </c>
      <c r="L171">
        <v>16.051860464837699</v>
      </c>
      <c r="M171">
        <v>16.221188029479499</v>
      </c>
      <c r="N171">
        <v>16.318762707915099</v>
      </c>
      <c r="O171">
        <v>16.295129369466501</v>
      </c>
      <c r="P171">
        <v>0.32260544195434299</v>
      </c>
      <c r="Q171">
        <v>-2.05753716834686E-2</v>
      </c>
      <c r="R171">
        <v>0.66578625559215399</v>
      </c>
      <c r="S171">
        <v>16.352897313762199</v>
      </c>
      <c r="T171">
        <v>1.97579190936531</v>
      </c>
      <c r="U171">
        <v>-5.30429213410277</v>
      </c>
      <c r="V171">
        <v>6.3804783236418694E-2</v>
      </c>
      <c r="W171">
        <v>0.161679016507073</v>
      </c>
      <c r="X171">
        <v>0</v>
      </c>
      <c r="Y171">
        <v>0</v>
      </c>
    </row>
    <row r="172" spans="1:25" x14ac:dyDescent="0.2">
      <c r="A172" t="s">
        <v>650</v>
      </c>
      <c r="B172" t="s">
        <v>651</v>
      </c>
      <c r="C172" t="s">
        <v>652</v>
      </c>
      <c r="D172" t="s">
        <v>93</v>
      </c>
      <c r="E172" t="s">
        <v>651</v>
      </c>
      <c r="F172" t="s">
        <v>28</v>
      </c>
      <c r="G172" t="s">
        <v>651</v>
      </c>
      <c r="H172" t="str">
        <f>"nono-1"</f>
        <v>nono-1</v>
      </c>
      <c r="I172" t="s">
        <v>93</v>
      </c>
      <c r="J172">
        <v>15.251357895192699</v>
      </c>
      <c r="K172">
        <v>15.5516103424454</v>
      </c>
      <c r="L172">
        <v>15.6290413821201</v>
      </c>
      <c r="M172">
        <v>15.8066989046978</v>
      </c>
      <c r="N172">
        <v>15.1703611199476</v>
      </c>
      <c r="O172">
        <v>15.060042034042899</v>
      </c>
      <c r="P172">
        <v>-0.13163585368995401</v>
      </c>
      <c r="Q172">
        <v>-0.55707195481820604</v>
      </c>
      <c r="R172">
        <v>0.29380024743829902</v>
      </c>
      <c r="S172">
        <v>15.5956466359636</v>
      </c>
      <c r="T172">
        <v>-0.65032787187766705</v>
      </c>
      <c r="U172">
        <v>-6.9369507745193602</v>
      </c>
      <c r="V172">
        <v>0.523742685429474</v>
      </c>
      <c r="W172">
        <v>0.67400423317059299</v>
      </c>
      <c r="X172">
        <v>0</v>
      </c>
      <c r="Y172">
        <v>0</v>
      </c>
    </row>
    <row r="173" spans="1:25" x14ac:dyDescent="0.2">
      <c r="A173" t="s">
        <v>653</v>
      </c>
      <c r="B173" t="s">
        <v>654</v>
      </c>
      <c r="C173" t="s">
        <v>655</v>
      </c>
      <c r="D173" t="s">
        <v>656</v>
      </c>
      <c r="E173" t="s">
        <v>654</v>
      </c>
      <c r="F173" t="s">
        <v>28</v>
      </c>
      <c r="G173" t="s">
        <v>654</v>
      </c>
      <c r="H173" t="str">
        <f>"C14F11.4"</f>
        <v>C14F11.4</v>
      </c>
      <c r="I173" t="s">
        <v>656</v>
      </c>
      <c r="J173">
        <v>12.369704354746199</v>
      </c>
      <c r="K173" t="s">
        <v>29</v>
      </c>
      <c r="L173">
        <v>11.3892584058023</v>
      </c>
      <c r="M173" t="s">
        <v>29</v>
      </c>
      <c r="N173" t="s">
        <v>29</v>
      </c>
      <c r="O173">
        <v>11.243595440122499</v>
      </c>
      <c r="P173">
        <v>-0.63588594015174305</v>
      </c>
      <c r="Q173">
        <v>-2.3715402742853899</v>
      </c>
      <c r="R173">
        <v>1.0997683939819001</v>
      </c>
      <c r="S173">
        <v>11.4544052576517</v>
      </c>
      <c r="T173">
        <v>-0.79214234532510397</v>
      </c>
      <c r="U173">
        <v>-6.4289421520704799</v>
      </c>
      <c r="V173">
        <v>0.44260702190513701</v>
      </c>
      <c r="W173">
        <v>0.60758767437078398</v>
      </c>
      <c r="X173">
        <v>0</v>
      </c>
      <c r="Y173">
        <v>0</v>
      </c>
    </row>
    <row r="174" spans="1:25" x14ac:dyDescent="0.2">
      <c r="A174" t="s">
        <v>657</v>
      </c>
      <c r="B174" t="s">
        <v>658</v>
      </c>
      <c r="C174" t="s">
        <v>659</v>
      </c>
      <c r="D174" t="s">
        <v>660</v>
      </c>
      <c r="E174" t="s">
        <v>658</v>
      </c>
      <c r="F174" t="s">
        <v>28</v>
      </c>
      <c r="G174" t="s">
        <v>658</v>
      </c>
      <c r="H174" t="str">
        <f>"abts-1"</f>
        <v>abts-1</v>
      </c>
      <c r="I174" t="s">
        <v>660</v>
      </c>
      <c r="J174">
        <v>13.6304461500602</v>
      </c>
      <c r="K174">
        <v>13.7888631645076</v>
      </c>
      <c r="L174">
        <v>13.7540425608102</v>
      </c>
      <c r="M174">
        <v>12.83574315143</v>
      </c>
      <c r="N174">
        <v>13.1179403960792</v>
      </c>
      <c r="O174">
        <v>13.636545091911801</v>
      </c>
      <c r="P174">
        <v>-0.52770774531898501</v>
      </c>
      <c r="Q174">
        <v>-1.0341106452733499</v>
      </c>
      <c r="R174">
        <v>-2.1304845364620101E-2</v>
      </c>
      <c r="S174">
        <v>13.5527592544301</v>
      </c>
      <c r="T174">
        <v>-2.19023037482141</v>
      </c>
      <c r="U174">
        <v>-4.9276460913176301</v>
      </c>
      <c r="V174">
        <v>4.1997854683535597E-2</v>
      </c>
      <c r="W174">
        <v>0.120883913229484</v>
      </c>
      <c r="X174">
        <v>0</v>
      </c>
      <c r="Y174">
        <v>0</v>
      </c>
    </row>
    <row r="175" spans="1:25" x14ac:dyDescent="0.2">
      <c r="A175" t="s">
        <v>661</v>
      </c>
      <c r="B175" t="s">
        <v>662</v>
      </c>
      <c r="C175" t="s">
        <v>14227</v>
      </c>
      <c r="D175" t="s">
        <v>663</v>
      </c>
      <c r="E175" t="s">
        <v>662</v>
      </c>
      <c r="F175" t="s">
        <v>28</v>
      </c>
      <c r="G175" t="s">
        <v>662</v>
      </c>
      <c r="H175" t="str">
        <f>"ZK858.6"</f>
        <v>ZK858.6</v>
      </c>
      <c r="I175" t="s">
        <v>663</v>
      </c>
      <c r="J175">
        <v>10.9790727809321</v>
      </c>
      <c r="K175" t="s">
        <v>29</v>
      </c>
      <c r="L175" t="s">
        <v>29</v>
      </c>
      <c r="M175" t="s">
        <v>29</v>
      </c>
      <c r="N175" t="s">
        <v>29</v>
      </c>
      <c r="O175" t="s">
        <v>29</v>
      </c>
      <c r="P175" t="s">
        <v>29</v>
      </c>
      <c r="Q175" t="s">
        <v>29</v>
      </c>
      <c r="R175" t="s">
        <v>29</v>
      </c>
      <c r="S175">
        <v>10.5868727440967</v>
      </c>
      <c r="T175" t="s">
        <v>29</v>
      </c>
      <c r="U175" t="s">
        <v>29</v>
      </c>
      <c r="V175" t="s">
        <v>29</v>
      </c>
      <c r="W175" t="s">
        <v>29</v>
      </c>
      <c r="X175" t="s">
        <v>29</v>
      </c>
      <c r="Y175" t="s">
        <v>29</v>
      </c>
    </row>
    <row r="176" spans="1:25" x14ac:dyDescent="0.2">
      <c r="A176" t="s">
        <v>664</v>
      </c>
      <c r="B176" t="s">
        <v>665</v>
      </c>
      <c r="C176" t="s">
        <v>14228</v>
      </c>
      <c r="D176" t="s">
        <v>666</v>
      </c>
      <c r="E176" t="s">
        <v>665</v>
      </c>
      <c r="F176" t="s">
        <v>28</v>
      </c>
      <c r="G176" t="s">
        <v>665</v>
      </c>
      <c r="H176" t="str">
        <f>"Y43F8B.1"</f>
        <v>Y43F8B.1</v>
      </c>
      <c r="I176" t="s">
        <v>666</v>
      </c>
      <c r="J176">
        <v>10.7182511004692</v>
      </c>
      <c r="K176">
        <v>11.082651441038299</v>
      </c>
      <c r="L176">
        <v>11.2344068270087</v>
      </c>
      <c r="M176" t="s">
        <v>29</v>
      </c>
      <c r="N176" t="s">
        <v>29</v>
      </c>
      <c r="O176" t="s">
        <v>29</v>
      </c>
      <c r="P176" t="s">
        <v>29</v>
      </c>
      <c r="Q176" t="s">
        <v>29</v>
      </c>
      <c r="R176" t="s">
        <v>29</v>
      </c>
      <c r="S176">
        <v>11.483228422795699</v>
      </c>
      <c r="T176" t="s">
        <v>29</v>
      </c>
      <c r="U176" t="s">
        <v>29</v>
      </c>
      <c r="V176" t="s">
        <v>29</v>
      </c>
      <c r="W176" t="s">
        <v>29</v>
      </c>
      <c r="X176" t="s">
        <v>29</v>
      </c>
      <c r="Y176" t="s">
        <v>29</v>
      </c>
    </row>
    <row r="177" spans="1:25" x14ac:dyDescent="0.2">
      <c r="A177" t="s">
        <v>667</v>
      </c>
      <c r="B177" t="s">
        <v>668</v>
      </c>
      <c r="C177" t="s">
        <v>669</v>
      </c>
      <c r="D177" t="s">
        <v>670</v>
      </c>
      <c r="E177" t="s">
        <v>668</v>
      </c>
      <c r="F177" t="s">
        <v>28</v>
      </c>
      <c r="G177" t="s">
        <v>668</v>
      </c>
      <c r="H177" t="str">
        <f>"mcd-1"</f>
        <v>mcd-1</v>
      </c>
      <c r="I177" t="s">
        <v>670</v>
      </c>
      <c r="J177" t="s">
        <v>29</v>
      </c>
      <c r="K177">
        <v>10.671466434401401</v>
      </c>
      <c r="L177">
        <v>10.5652218394284</v>
      </c>
      <c r="M177" t="s">
        <v>29</v>
      </c>
      <c r="N177" t="s">
        <v>29</v>
      </c>
      <c r="O177" t="s">
        <v>29</v>
      </c>
      <c r="P177" t="s">
        <v>29</v>
      </c>
      <c r="Q177" t="s">
        <v>29</v>
      </c>
      <c r="R177" t="s">
        <v>29</v>
      </c>
      <c r="S177">
        <v>11.597007307001499</v>
      </c>
      <c r="T177" t="s">
        <v>29</v>
      </c>
      <c r="U177" t="s">
        <v>29</v>
      </c>
      <c r="V177" t="s">
        <v>29</v>
      </c>
      <c r="W177" t="s">
        <v>29</v>
      </c>
      <c r="X177" t="s">
        <v>29</v>
      </c>
      <c r="Y177" t="s">
        <v>29</v>
      </c>
    </row>
    <row r="178" spans="1:25" x14ac:dyDescent="0.2">
      <c r="A178" t="s">
        <v>671</v>
      </c>
      <c r="B178" t="s">
        <v>672</v>
      </c>
      <c r="C178" t="s">
        <v>673</v>
      </c>
      <c r="D178" t="s">
        <v>674</v>
      </c>
      <c r="E178" t="s">
        <v>672</v>
      </c>
      <c r="F178" t="s">
        <v>28</v>
      </c>
      <c r="G178" t="s">
        <v>672</v>
      </c>
      <c r="H178" t="str">
        <f>"ints-6"</f>
        <v>ints-6</v>
      </c>
      <c r="I178" t="s">
        <v>674</v>
      </c>
      <c r="J178">
        <v>11.3497895333924</v>
      </c>
      <c r="K178" t="s">
        <v>29</v>
      </c>
      <c r="L178">
        <v>11.4652781849937</v>
      </c>
      <c r="M178" t="s">
        <v>29</v>
      </c>
      <c r="N178" t="s">
        <v>29</v>
      </c>
      <c r="O178">
        <v>13.3866216189616</v>
      </c>
      <c r="P178">
        <v>1.9790877597685901</v>
      </c>
      <c r="Q178">
        <v>1.0394991996924801</v>
      </c>
      <c r="R178">
        <v>2.9186763198447001</v>
      </c>
      <c r="S178">
        <v>11.502788036708001</v>
      </c>
      <c r="T178">
        <v>4.5542259840109898</v>
      </c>
      <c r="U178">
        <v>-0.24079986730467401</v>
      </c>
      <c r="V178">
        <v>5.5202004978352297E-4</v>
      </c>
      <c r="W178">
        <v>5.9589856656118798E-3</v>
      </c>
      <c r="X178">
        <v>1</v>
      </c>
      <c r="Y178">
        <v>1</v>
      </c>
    </row>
    <row r="179" spans="1:25" x14ac:dyDescent="0.2">
      <c r="A179" t="s">
        <v>675</v>
      </c>
      <c r="B179" t="s">
        <v>676</v>
      </c>
      <c r="C179" t="s">
        <v>677</v>
      </c>
      <c r="D179" t="s">
        <v>678</v>
      </c>
      <c r="E179" t="s">
        <v>676</v>
      </c>
      <c r="F179" t="s">
        <v>28</v>
      </c>
      <c r="G179" t="s">
        <v>676</v>
      </c>
      <c r="H179" t="str">
        <f>"shn-1"</f>
        <v>shn-1</v>
      </c>
      <c r="I179" t="s">
        <v>678</v>
      </c>
      <c r="J179">
        <v>13.178429603658801</v>
      </c>
      <c r="K179" t="s">
        <v>29</v>
      </c>
      <c r="L179">
        <v>11.485126343624</v>
      </c>
      <c r="M179">
        <v>15.915831284362101</v>
      </c>
      <c r="N179">
        <v>13.519718042230499</v>
      </c>
      <c r="O179" t="s">
        <v>29</v>
      </c>
      <c r="P179">
        <v>2.3859966896548999</v>
      </c>
      <c r="Q179">
        <v>0.851120439465471</v>
      </c>
      <c r="R179">
        <v>3.9208729398443301</v>
      </c>
      <c r="S179">
        <v>12.161426060652399</v>
      </c>
      <c r="T179">
        <v>3.3903261793555401</v>
      </c>
      <c r="U179">
        <v>-2.6508182875777702</v>
      </c>
      <c r="V179">
        <v>5.4277503939902097E-3</v>
      </c>
      <c r="W179">
        <v>2.9771205755991501E-2</v>
      </c>
      <c r="X179">
        <v>1</v>
      </c>
      <c r="Y179">
        <v>1</v>
      </c>
    </row>
    <row r="180" spans="1:25" x14ac:dyDescent="0.2">
      <c r="A180" t="s">
        <v>679</v>
      </c>
      <c r="B180" t="s">
        <v>680</v>
      </c>
      <c r="C180" t="s">
        <v>681</v>
      </c>
      <c r="D180" t="s">
        <v>682</v>
      </c>
      <c r="E180" t="s">
        <v>680</v>
      </c>
      <c r="F180" t="s">
        <v>28</v>
      </c>
      <c r="G180" t="s">
        <v>680</v>
      </c>
      <c r="H180" t="str">
        <f>"pyk-1"</f>
        <v>pyk-1</v>
      </c>
      <c r="I180" t="s">
        <v>682</v>
      </c>
      <c r="J180">
        <v>15.5115451111244</v>
      </c>
      <c r="K180">
        <v>14.7824753178155</v>
      </c>
      <c r="L180">
        <v>14.829755570976999</v>
      </c>
      <c r="M180">
        <v>15.793686690786901</v>
      </c>
      <c r="N180">
        <v>14.9617494397062</v>
      </c>
      <c r="O180">
        <v>14.703962290527</v>
      </c>
      <c r="P180">
        <v>0.111874140367691</v>
      </c>
      <c r="Q180">
        <v>-0.78170811534417795</v>
      </c>
      <c r="R180">
        <v>1.0054563960795599</v>
      </c>
      <c r="S180">
        <v>14.9809767420446</v>
      </c>
      <c r="T180">
        <v>0.26314049553554902</v>
      </c>
      <c r="U180">
        <v>-7.1200344208218498</v>
      </c>
      <c r="V180">
        <v>0.79544815850181705</v>
      </c>
      <c r="W180">
        <v>0.872092902940794</v>
      </c>
      <c r="X180">
        <v>0</v>
      </c>
      <c r="Y180">
        <v>0</v>
      </c>
    </row>
    <row r="181" spans="1:25" x14ac:dyDescent="0.2">
      <c r="A181" t="s">
        <v>683</v>
      </c>
      <c r="B181" t="s">
        <v>684</v>
      </c>
      <c r="C181" t="s">
        <v>14229</v>
      </c>
      <c r="D181" t="s">
        <v>685</v>
      </c>
      <c r="E181" t="s">
        <v>684</v>
      </c>
      <c r="F181" t="s">
        <v>28</v>
      </c>
      <c r="G181" t="s">
        <v>684</v>
      </c>
      <c r="H181" t="str">
        <f>"Y53C12A.10"</f>
        <v>Y53C12A.10</v>
      </c>
      <c r="I181" t="s">
        <v>685</v>
      </c>
      <c r="J181">
        <v>13.8661493989676</v>
      </c>
      <c r="K181">
        <v>14.1896947576281</v>
      </c>
      <c r="L181">
        <v>14.114637559579901</v>
      </c>
      <c r="M181" t="s">
        <v>29</v>
      </c>
      <c r="N181" t="s">
        <v>29</v>
      </c>
      <c r="O181" t="s">
        <v>29</v>
      </c>
      <c r="P181" t="s">
        <v>29</v>
      </c>
      <c r="Q181" t="s">
        <v>29</v>
      </c>
      <c r="R181" t="s">
        <v>29</v>
      </c>
      <c r="S181">
        <v>13.268945149158199</v>
      </c>
      <c r="T181" t="s">
        <v>29</v>
      </c>
      <c r="U181" t="s">
        <v>29</v>
      </c>
      <c r="V181" t="s">
        <v>29</v>
      </c>
      <c r="W181" t="s">
        <v>29</v>
      </c>
      <c r="X181" t="s">
        <v>29</v>
      </c>
      <c r="Y181" t="s">
        <v>29</v>
      </c>
    </row>
    <row r="182" spans="1:25" x14ac:dyDescent="0.2">
      <c r="A182" t="s">
        <v>686</v>
      </c>
      <c r="B182" t="s">
        <v>687</v>
      </c>
      <c r="C182" t="s">
        <v>688</v>
      </c>
      <c r="D182" t="s">
        <v>689</v>
      </c>
      <c r="E182" t="s">
        <v>687</v>
      </c>
      <c r="F182" t="s">
        <v>28</v>
      </c>
      <c r="G182" t="s">
        <v>687</v>
      </c>
      <c r="H182" t="str">
        <f>"hrpu-1"</f>
        <v>hrpu-1</v>
      </c>
      <c r="I182" t="s">
        <v>689</v>
      </c>
      <c r="J182" t="s">
        <v>29</v>
      </c>
      <c r="K182">
        <v>10.683481620643599</v>
      </c>
      <c r="L182">
        <v>11.163164087270999</v>
      </c>
      <c r="M182" t="s">
        <v>29</v>
      </c>
      <c r="N182" t="s">
        <v>29</v>
      </c>
      <c r="O182" t="s">
        <v>29</v>
      </c>
      <c r="P182" t="s">
        <v>29</v>
      </c>
      <c r="Q182" t="s">
        <v>29</v>
      </c>
      <c r="R182" t="s">
        <v>29</v>
      </c>
      <c r="S182">
        <v>12.3534092652407</v>
      </c>
      <c r="T182" t="s">
        <v>29</v>
      </c>
      <c r="U182" t="s">
        <v>29</v>
      </c>
      <c r="V182" t="s">
        <v>29</v>
      </c>
      <c r="W182" t="s">
        <v>29</v>
      </c>
      <c r="X182" t="s">
        <v>29</v>
      </c>
      <c r="Y182" t="s">
        <v>29</v>
      </c>
    </row>
    <row r="183" spans="1:25" x14ac:dyDescent="0.2">
      <c r="A183" t="s">
        <v>690</v>
      </c>
      <c r="B183" t="s">
        <v>691</v>
      </c>
      <c r="C183" t="s">
        <v>692</v>
      </c>
      <c r="D183" t="s">
        <v>130</v>
      </c>
      <c r="E183" t="s">
        <v>691</v>
      </c>
      <c r="F183" t="s">
        <v>28</v>
      </c>
      <c r="G183" t="s">
        <v>691</v>
      </c>
      <c r="H183" t="str">
        <f>"ztf-18"</f>
        <v>ztf-18</v>
      </c>
      <c r="I183" t="s">
        <v>130</v>
      </c>
      <c r="J183" t="s">
        <v>29</v>
      </c>
      <c r="K183">
        <v>11.508327310771101</v>
      </c>
      <c r="L183" t="s">
        <v>29</v>
      </c>
      <c r="M183" t="s">
        <v>29</v>
      </c>
      <c r="N183">
        <v>14.840289861724299</v>
      </c>
      <c r="O183">
        <v>13.186914234098399</v>
      </c>
      <c r="P183">
        <v>2.5052747371402599</v>
      </c>
      <c r="Q183">
        <v>1.1416621908276099</v>
      </c>
      <c r="R183">
        <v>3.8688872834529202</v>
      </c>
      <c r="S183">
        <v>12.783393341002601</v>
      </c>
      <c r="T183">
        <v>4.0484806133734299</v>
      </c>
      <c r="U183">
        <v>-1.4124523248319301</v>
      </c>
      <c r="V183">
        <v>1.9578916438261901E-3</v>
      </c>
      <c r="W183">
        <v>1.43076139298721E-2</v>
      </c>
      <c r="X183">
        <v>1</v>
      </c>
      <c r="Y183">
        <v>1</v>
      </c>
    </row>
    <row r="184" spans="1:25" x14ac:dyDescent="0.2">
      <c r="A184" t="s">
        <v>693</v>
      </c>
      <c r="B184" t="s">
        <v>694</v>
      </c>
      <c r="C184" t="s">
        <v>695</v>
      </c>
      <c r="D184" t="s">
        <v>696</v>
      </c>
      <c r="E184" t="s">
        <v>694</v>
      </c>
      <c r="F184" t="s">
        <v>28</v>
      </c>
      <c r="G184" t="s">
        <v>694</v>
      </c>
      <c r="H184" t="str">
        <f>"wars-2"</f>
        <v>wars-2</v>
      </c>
      <c r="I184" t="s">
        <v>696</v>
      </c>
      <c r="J184" t="s">
        <v>29</v>
      </c>
      <c r="K184">
        <v>9.6540454100667894</v>
      </c>
      <c r="L184" t="s">
        <v>29</v>
      </c>
      <c r="M184" t="s">
        <v>29</v>
      </c>
      <c r="N184" t="s">
        <v>29</v>
      </c>
      <c r="O184" t="s">
        <v>29</v>
      </c>
      <c r="P184" t="s">
        <v>29</v>
      </c>
      <c r="Q184" t="s">
        <v>29</v>
      </c>
      <c r="R184" t="s">
        <v>29</v>
      </c>
      <c r="S184">
        <v>10.3816905931993</v>
      </c>
      <c r="T184" t="s">
        <v>29</v>
      </c>
      <c r="U184" t="s">
        <v>29</v>
      </c>
      <c r="V184" t="s">
        <v>29</v>
      </c>
      <c r="W184" t="s">
        <v>29</v>
      </c>
      <c r="X184" t="s">
        <v>29</v>
      </c>
      <c r="Y184" t="s">
        <v>29</v>
      </c>
    </row>
    <row r="185" spans="1:25" x14ac:dyDescent="0.2">
      <c r="A185" t="s">
        <v>697</v>
      </c>
      <c r="B185" t="s">
        <v>698</v>
      </c>
      <c r="C185" t="s">
        <v>699</v>
      </c>
      <c r="D185" t="s">
        <v>700</v>
      </c>
      <c r="E185" t="s">
        <v>698</v>
      </c>
      <c r="F185" t="s">
        <v>28</v>
      </c>
      <c r="G185" t="s">
        <v>701</v>
      </c>
      <c r="H185" t="str">
        <f>"vha-2"</f>
        <v>vha-2</v>
      </c>
      <c r="I185" t="s">
        <v>702</v>
      </c>
      <c r="J185">
        <v>15.292373885452101</v>
      </c>
      <c r="K185">
        <v>15.6223166964692</v>
      </c>
      <c r="L185">
        <v>16.1259357773319</v>
      </c>
      <c r="M185">
        <v>17.344150718035301</v>
      </c>
      <c r="N185">
        <v>16.956299488475501</v>
      </c>
      <c r="O185">
        <v>16.4514251639952</v>
      </c>
      <c r="P185">
        <v>1.2370830037509499</v>
      </c>
      <c r="Q185">
        <v>0.68626172250327799</v>
      </c>
      <c r="R185">
        <v>1.78790428499861</v>
      </c>
      <c r="S185">
        <v>15.7452637148319</v>
      </c>
      <c r="T185">
        <v>4.7204200052244598</v>
      </c>
      <c r="U185">
        <v>0.41480180909095099</v>
      </c>
      <c r="V185">
        <v>1.7319756229687401E-4</v>
      </c>
      <c r="W185">
        <v>2.5521495453489202E-3</v>
      </c>
      <c r="X185">
        <v>1</v>
      </c>
      <c r="Y185">
        <v>1</v>
      </c>
    </row>
    <row r="186" spans="1:25" x14ac:dyDescent="0.2">
      <c r="A186" t="s">
        <v>703</v>
      </c>
      <c r="B186" t="s">
        <v>704</v>
      </c>
      <c r="C186" t="s">
        <v>705</v>
      </c>
      <c r="D186" t="s">
        <v>706</v>
      </c>
      <c r="E186" t="s">
        <v>704</v>
      </c>
      <c r="F186" t="s">
        <v>28</v>
      </c>
      <c r="G186" t="s">
        <v>704</v>
      </c>
      <c r="H186" t="str">
        <f>"mrpl-46"</f>
        <v>mrpl-46</v>
      </c>
      <c r="I186" t="s">
        <v>706</v>
      </c>
      <c r="J186">
        <v>15.068567680621999</v>
      </c>
      <c r="K186">
        <v>15.0048844026221</v>
      </c>
      <c r="L186">
        <v>15.170048140534</v>
      </c>
      <c r="M186" t="s">
        <v>29</v>
      </c>
      <c r="N186">
        <v>15.1443667174578</v>
      </c>
      <c r="O186">
        <v>15.1280051587197</v>
      </c>
      <c r="P186">
        <v>5.5019196829412899E-2</v>
      </c>
      <c r="Q186">
        <v>-0.486293988238365</v>
      </c>
      <c r="R186">
        <v>0.59633238189719096</v>
      </c>
      <c r="S186">
        <v>14.843908713755599</v>
      </c>
      <c r="T186">
        <v>0.214543644519155</v>
      </c>
      <c r="U186">
        <v>-7.0213128459932497</v>
      </c>
      <c r="V186">
        <v>0.832691301987454</v>
      </c>
      <c r="W186">
        <v>0.89474083458090803</v>
      </c>
      <c r="X186">
        <v>0</v>
      </c>
      <c r="Y186">
        <v>0</v>
      </c>
    </row>
    <row r="187" spans="1:25" x14ac:dyDescent="0.2">
      <c r="A187" t="s">
        <v>707</v>
      </c>
      <c r="B187" t="s">
        <v>708</v>
      </c>
      <c r="C187" t="s">
        <v>14230</v>
      </c>
      <c r="D187" t="s">
        <v>368</v>
      </c>
      <c r="E187" t="s">
        <v>708</v>
      </c>
      <c r="F187" t="s">
        <v>28</v>
      </c>
      <c r="G187" t="s">
        <v>708</v>
      </c>
      <c r="H187" t="str">
        <f>"F40G9.5"</f>
        <v>F40G9.5</v>
      </c>
      <c r="I187" t="s">
        <v>368</v>
      </c>
      <c r="J187">
        <v>12.8290064192574</v>
      </c>
      <c r="K187">
        <v>12.693469575200499</v>
      </c>
      <c r="L187">
        <v>12.5909815294156</v>
      </c>
      <c r="M187" t="s">
        <v>29</v>
      </c>
      <c r="N187">
        <v>11.4438877525821</v>
      </c>
      <c r="O187">
        <v>12.554503492204599</v>
      </c>
      <c r="P187">
        <v>-0.70529021889784405</v>
      </c>
      <c r="Q187">
        <v>-1.29510878757249</v>
      </c>
      <c r="R187">
        <v>-0.115471650223193</v>
      </c>
      <c r="S187">
        <v>12.4145795259391</v>
      </c>
      <c r="T187">
        <v>-2.52405859849768</v>
      </c>
      <c r="U187">
        <v>-4.2076155061767899</v>
      </c>
      <c r="V187">
        <v>2.1914078278419302E-2</v>
      </c>
      <c r="W187">
        <v>7.8304078937784904E-2</v>
      </c>
      <c r="X187">
        <v>0</v>
      </c>
      <c r="Y187">
        <v>0</v>
      </c>
    </row>
    <row r="188" spans="1:25" x14ac:dyDescent="0.2">
      <c r="A188" t="s">
        <v>709</v>
      </c>
      <c r="B188" t="s">
        <v>710</v>
      </c>
      <c r="C188" t="s">
        <v>711</v>
      </c>
      <c r="D188" t="s">
        <v>308</v>
      </c>
      <c r="E188" t="s">
        <v>710</v>
      </c>
      <c r="F188" t="s">
        <v>28</v>
      </c>
      <c r="G188" t="s">
        <v>710</v>
      </c>
      <c r="H188" t="str">
        <f>"dnj-16"</f>
        <v>dnj-16</v>
      </c>
      <c r="I188" t="s">
        <v>308</v>
      </c>
      <c r="J188" t="s">
        <v>29</v>
      </c>
      <c r="K188" t="s">
        <v>29</v>
      </c>
      <c r="L188" t="s">
        <v>29</v>
      </c>
      <c r="M188" t="s">
        <v>29</v>
      </c>
      <c r="N188">
        <v>13.6639285486521</v>
      </c>
      <c r="O188">
        <v>14.086778422210401</v>
      </c>
      <c r="P188" t="s">
        <v>29</v>
      </c>
      <c r="Q188" t="s">
        <v>29</v>
      </c>
      <c r="R188" t="s">
        <v>29</v>
      </c>
      <c r="S188">
        <v>12.022282923342299</v>
      </c>
      <c r="T188" t="s">
        <v>29</v>
      </c>
      <c r="U188" t="s">
        <v>29</v>
      </c>
      <c r="V188" t="s">
        <v>29</v>
      </c>
      <c r="W188" t="s">
        <v>29</v>
      </c>
      <c r="X188" t="s">
        <v>29</v>
      </c>
      <c r="Y188" t="s">
        <v>29</v>
      </c>
    </row>
    <row r="189" spans="1:25" x14ac:dyDescent="0.2">
      <c r="A189" t="s">
        <v>712</v>
      </c>
      <c r="B189" t="s">
        <v>713</v>
      </c>
      <c r="C189" t="s">
        <v>714</v>
      </c>
      <c r="D189" t="s">
        <v>93</v>
      </c>
      <c r="E189" t="s">
        <v>713</v>
      </c>
      <c r="F189" t="s">
        <v>28</v>
      </c>
      <c r="G189" t="s">
        <v>713</v>
      </c>
      <c r="H189" t="str">
        <f>"cfim-2"</f>
        <v>cfim-2</v>
      </c>
      <c r="I189" t="s">
        <v>93</v>
      </c>
      <c r="J189">
        <v>11.9931854477384</v>
      </c>
      <c r="K189">
        <v>12.985910388092</v>
      </c>
      <c r="L189">
        <v>12.901469719962201</v>
      </c>
      <c r="M189" t="s">
        <v>29</v>
      </c>
      <c r="N189">
        <v>12.010643445986201</v>
      </c>
      <c r="O189">
        <v>11.367511412093</v>
      </c>
      <c r="P189">
        <v>-0.93777775622458204</v>
      </c>
      <c r="Q189">
        <v>-1.61775206589749</v>
      </c>
      <c r="R189">
        <v>-0.25780344655167498</v>
      </c>
      <c r="S189">
        <v>12.777832198747401</v>
      </c>
      <c r="T189">
        <v>-2.91110208661711</v>
      </c>
      <c r="U189">
        <v>-3.44137594909254</v>
      </c>
      <c r="V189">
        <v>9.7773272589658303E-3</v>
      </c>
      <c r="W189">
        <v>4.5091992851599802E-2</v>
      </c>
      <c r="X189">
        <v>0</v>
      </c>
      <c r="Y189">
        <v>0</v>
      </c>
    </row>
    <row r="190" spans="1:25" x14ac:dyDescent="0.2">
      <c r="A190" t="s">
        <v>715</v>
      </c>
      <c r="B190" t="s">
        <v>716</v>
      </c>
      <c r="C190" t="s">
        <v>717</v>
      </c>
      <c r="D190" t="s">
        <v>718</v>
      </c>
      <c r="E190" t="s">
        <v>716</v>
      </c>
      <c r="F190" t="s">
        <v>28</v>
      </c>
      <c r="G190" t="s">
        <v>716</v>
      </c>
      <c r="H190" t="str">
        <f>"thoc-5"</f>
        <v>thoc-5</v>
      </c>
      <c r="I190" t="s">
        <v>718</v>
      </c>
      <c r="J190">
        <v>13.220205358242101</v>
      </c>
      <c r="K190">
        <v>13.306239019002501</v>
      </c>
      <c r="L190">
        <v>13.450658026659999</v>
      </c>
      <c r="M190">
        <v>13.460038512232099</v>
      </c>
      <c r="N190">
        <v>13.755153060471301</v>
      </c>
      <c r="O190">
        <v>13.719110218226101</v>
      </c>
      <c r="P190">
        <v>0.31906646234168601</v>
      </c>
      <c r="Q190">
        <v>-3.9292832038987799E-2</v>
      </c>
      <c r="R190">
        <v>0.67742575672236005</v>
      </c>
      <c r="S190">
        <v>13.543802373772801</v>
      </c>
      <c r="T190">
        <v>1.87134989638911</v>
      </c>
      <c r="U190">
        <v>-5.47879403668564</v>
      </c>
      <c r="V190">
        <v>7.7738066867862707E-2</v>
      </c>
      <c r="W190">
        <v>0.184067280992394</v>
      </c>
      <c r="X190">
        <v>0</v>
      </c>
      <c r="Y190">
        <v>0</v>
      </c>
    </row>
    <row r="191" spans="1:25" x14ac:dyDescent="0.2">
      <c r="A191" t="s">
        <v>719</v>
      </c>
      <c r="B191" t="s">
        <v>720</v>
      </c>
      <c r="C191" t="s">
        <v>721</v>
      </c>
      <c r="D191" t="s">
        <v>304</v>
      </c>
      <c r="E191" t="s">
        <v>720</v>
      </c>
      <c r="F191" t="s">
        <v>28</v>
      </c>
      <c r="G191" t="s">
        <v>720</v>
      </c>
      <c r="H191" t="str">
        <f>"smg-3"</f>
        <v>smg-3</v>
      </c>
      <c r="I191" t="s">
        <v>304</v>
      </c>
      <c r="J191">
        <v>12.7079632612773</v>
      </c>
      <c r="K191">
        <v>12.254736698743001</v>
      </c>
      <c r="L191">
        <v>12.554194841900101</v>
      </c>
      <c r="M191" t="s">
        <v>29</v>
      </c>
      <c r="N191" t="s">
        <v>29</v>
      </c>
      <c r="O191">
        <v>12.0151426681182</v>
      </c>
      <c r="P191">
        <v>-0.49048893252194498</v>
      </c>
      <c r="Q191">
        <v>-1.04672904248916</v>
      </c>
      <c r="R191">
        <v>6.5751177445272604E-2</v>
      </c>
      <c r="S191">
        <v>12.464438717969699</v>
      </c>
      <c r="T191">
        <v>-1.8703222478387</v>
      </c>
      <c r="U191">
        <v>-5.15439008150459</v>
      </c>
      <c r="V191">
        <v>7.9969450390254798E-2</v>
      </c>
      <c r="W191">
        <v>0.187185021932462</v>
      </c>
      <c r="X191">
        <v>0</v>
      </c>
      <c r="Y191">
        <v>0</v>
      </c>
    </row>
    <row r="192" spans="1:25" x14ac:dyDescent="0.2">
      <c r="A192" t="s">
        <v>722</v>
      </c>
      <c r="B192" t="s">
        <v>723</v>
      </c>
      <c r="C192" t="s">
        <v>724</v>
      </c>
      <c r="D192" t="s">
        <v>725</v>
      </c>
      <c r="E192" t="s">
        <v>723</v>
      </c>
      <c r="F192" t="s">
        <v>28</v>
      </c>
      <c r="G192" t="s">
        <v>723</v>
      </c>
      <c r="H192" t="str">
        <f>"sao-1"</f>
        <v>sao-1</v>
      </c>
      <c r="I192" t="s">
        <v>725</v>
      </c>
      <c r="J192">
        <v>13.551506205368399</v>
      </c>
      <c r="K192">
        <v>13.3271287236505</v>
      </c>
      <c r="L192">
        <v>14.184705689855701</v>
      </c>
      <c r="M192">
        <v>16.528726751668799</v>
      </c>
      <c r="N192">
        <v>15.2143009556614</v>
      </c>
      <c r="O192">
        <v>13.6871813514924</v>
      </c>
      <c r="P192">
        <v>1.4556228133159901</v>
      </c>
      <c r="Q192">
        <v>0.34532186633865802</v>
      </c>
      <c r="R192">
        <v>2.56592376029332</v>
      </c>
      <c r="S192">
        <v>14.139569357686399</v>
      </c>
      <c r="T192">
        <v>2.7555015292913301</v>
      </c>
      <c r="U192">
        <v>-3.8387951741697801</v>
      </c>
      <c r="V192">
        <v>1.3067380199890901E-2</v>
      </c>
      <c r="W192">
        <v>5.50136706415408E-2</v>
      </c>
      <c r="X192">
        <v>1</v>
      </c>
      <c r="Y192">
        <v>0</v>
      </c>
    </row>
    <row r="193" spans="1:25" x14ac:dyDescent="0.2">
      <c r="A193" t="s">
        <v>726</v>
      </c>
      <c r="B193" t="s">
        <v>727</v>
      </c>
      <c r="C193" t="s">
        <v>14231</v>
      </c>
      <c r="D193" t="s">
        <v>514</v>
      </c>
      <c r="E193" t="s">
        <v>727</v>
      </c>
      <c r="F193" t="s">
        <v>28</v>
      </c>
      <c r="G193" t="s">
        <v>727</v>
      </c>
      <c r="H193" t="str">
        <f>"W02D9.2"</f>
        <v>W02D9.2</v>
      </c>
      <c r="I193" t="s">
        <v>514</v>
      </c>
      <c r="J193">
        <v>11.795457107000001</v>
      </c>
      <c r="K193" t="s">
        <v>29</v>
      </c>
      <c r="L193" t="s">
        <v>29</v>
      </c>
      <c r="M193" t="s">
        <v>29</v>
      </c>
      <c r="N193" t="s">
        <v>29</v>
      </c>
      <c r="O193">
        <v>11.090497724429399</v>
      </c>
      <c r="P193">
        <v>-0.70495938257061797</v>
      </c>
      <c r="Q193">
        <v>-1.4871488101091099</v>
      </c>
      <c r="R193">
        <v>7.7230044967879802E-2</v>
      </c>
      <c r="S193">
        <v>11.591384227472201</v>
      </c>
      <c r="T193">
        <v>-2.0110322906585898</v>
      </c>
      <c r="U193">
        <v>-4.78538906779377</v>
      </c>
      <c r="V193">
        <v>7.2351047486551606E-2</v>
      </c>
      <c r="W193">
        <v>0.17508052645126601</v>
      </c>
      <c r="X193">
        <v>0</v>
      </c>
      <c r="Y193">
        <v>0</v>
      </c>
    </row>
    <row r="194" spans="1:25" x14ac:dyDescent="0.2">
      <c r="A194" t="s">
        <v>728</v>
      </c>
      <c r="B194" t="s">
        <v>729</v>
      </c>
      <c r="C194" t="s">
        <v>14232</v>
      </c>
      <c r="D194" t="s">
        <v>730</v>
      </c>
      <c r="E194" t="s">
        <v>729</v>
      </c>
      <c r="F194" t="s">
        <v>28</v>
      </c>
      <c r="G194" t="s">
        <v>729</v>
      </c>
      <c r="H194" t="str">
        <f>"D1086.11"</f>
        <v>D1086.11</v>
      </c>
      <c r="I194" t="s">
        <v>730</v>
      </c>
      <c r="J194" t="s">
        <v>29</v>
      </c>
      <c r="K194" t="s">
        <v>29</v>
      </c>
      <c r="L194">
        <v>11.544403435268199</v>
      </c>
      <c r="M194">
        <v>14.884416188907601</v>
      </c>
      <c r="N194">
        <v>12.6026349447651</v>
      </c>
      <c r="O194">
        <v>13.1478218071477</v>
      </c>
      <c r="P194">
        <v>2.0005542116719899</v>
      </c>
      <c r="Q194">
        <v>0.23403785084530701</v>
      </c>
      <c r="R194">
        <v>3.76707057249866</v>
      </c>
      <c r="S194">
        <v>11.508017701391401</v>
      </c>
      <c r="T194">
        <v>2.4153177129051802</v>
      </c>
      <c r="U194">
        <v>-4.2228886656795002</v>
      </c>
      <c r="V194">
        <v>2.90458355491428E-2</v>
      </c>
      <c r="W194">
        <v>9.4792998187512703E-2</v>
      </c>
      <c r="X194">
        <v>1</v>
      </c>
      <c r="Y194">
        <v>0</v>
      </c>
    </row>
    <row r="195" spans="1:25" x14ac:dyDescent="0.2">
      <c r="A195" t="s">
        <v>731</v>
      </c>
      <c r="B195" t="s">
        <v>732</v>
      </c>
      <c r="C195" t="s">
        <v>733</v>
      </c>
      <c r="D195" t="s">
        <v>734</v>
      </c>
      <c r="E195" t="s">
        <v>732</v>
      </c>
      <c r="F195" t="s">
        <v>28</v>
      </c>
      <c r="G195" t="s">
        <v>732</v>
      </c>
      <c r="H195" t="str">
        <f>"tspo-1"</f>
        <v>tspo-1</v>
      </c>
      <c r="I195" t="s">
        <v>734</v>
      </c>
      <c r="J195">
        <v>14.133937834789901</v>
      </c>
      <c r="K195">
        <v>14.330766256709801</v>
      </c>
      <c r="L195">
        <v>14.618223442207199</v>
      </c>
      <c r="M195" t="s">
        <v>29</v>
      </c>
      <c r="N195">
        <v>11.508236661977</v>
      </c>
      <c r="O195">
        <v>14.372986194663699</v>
      </c>
      <c r="P195">
        <v>-1.42036441624863</v>
      </c>
      <c r="Q195">
        <v>-2.6150865365601801</v>
      </c>
      <c r="R195">
        <v>-0.22564229593708199</v>
      </c>
      <c r="S195">
        <v>14.0089447380224</v>
      </c>
      <c r="T195">
        <v>-2.5094751068886598</v>
      </c>
      <c r="U195">
        <v>-4.2356020680847202</v>
      </c>
      <c r="V195">
        <v>2.25780977180083E-2</v>
      </c>
      <c r="W195">
        <v>7.9781359682218694E-2</v>
      </c>
      <c r="X195">
        <v>-1</v>
      </c>
      <c r="Y195">
        <v>0</v>
      </c>
    </row>
    <row r="196" spans="1:25" x14ac:dyDescent="0.2">
      <c r="A196" t="s">
        <v>735</v>
      </c>
      <c r="B196" t="s">
        <v>736</v>
      </c>
      <c r="C196" t="s">
        <v>14233</v>
      </c>
      <c r="D196" t="s">
        <v>737</v>
      </c>
      <c r="E196" t="s">
        <v>736</v>
      </c>
      <c r="F196" t="s">
        <v>28</v>
      </c>
      <c r="G196" t="s">
        <v>736</v>
      </c>
      <c r="H196" t="str">
        <f>"H06I04.6"</f>
        <v>H06I04.6</v>
      </c>
      <c r="I196" t="s">
        <v>737</v>
      </c>
      <c r="J196">
        <v>12.3189994534217</v>
      </c>
      <c r="K196" t="s">
        <v>29</v>
      </c>
      <c r="L196">
        <v>12.927378813190799</v>
      </c>
      <c r="M196" t="s">
        <v>29</v>
      </c>
      <c r="N196" t="s">
        <v>29</v>
      </c>
      <c r="O196" t="s">
        <v>29</v>
      </c>
      <c r="P196" t="s">
        <v>29</v>
      </c>
      <c r="Q196" t="s">
        <v>29</v>
      </c>
      <c r="R196" t="s">
        <v>29</v>
      </c>
      <c r="S196">
        <v>13.158261907745199</v>
      </c>
      <c r="T196" t="s">
        <v>29</v>
      </c>
      <c r="U196" t="s">
        <v>29</v>
      </c>
      <c r="V196" t="s">
        <v>29</v>
      </c>
      <c r="W196" t="s">
        <v>29</v>
      </c>
      <c r="X196" t="s">
        <v>29</v>
      </c>
      <c r="Y196" t="s">
        <v>29</v>
      </c>
    </row>
    <row r="197" spans="1:25" x14ac:dyDescent="0.2">
      <c r="A197" t="s">
        <v>738</v>
      </c>
      <c r="B197" t="s">
        <v>739</v>
      </c>
      <c r="C197" t="s">
        <v>740</v>
      </c>
      <c r="D197" t="s">
        <v>741</v>
      </c>
      <c r="E197" t="s">
        <v>739</v>
      </c>
      <c r="F197" t="s">
        <v>28</v>
      </c>
      <c r="G197" t="s">
        <v>739</v>
      </c>
      <c r="H197" t="str">
        <f>"pqn-41"</f>
        <v>pqn-41</v>
      </c>
      <c r="I197" t="s">
        <v>741</v>
      </c>
      <c r="J197">
        <v>11.0031757699834</v>
      </c>
      <c r="K197">
        <v>11.397350079688801</v>
      </c>
      <c r="L197" t="s">
        <v>29</v>
      </c>
      <c r="M197" t="s">
        <v>29</v>
      </c>
      <c r="N197" t="s">
        <v>29</v>
      </c>
      <c r="O197" t="s">
        <v>29</v>
      </c>
      <c r="P197" t="s">
        <v>29</v>
      </c>
      <c r="Q197" t="s">
        <v>29</v>
      </c>
      <c r="R197" t="s">
        <v>29</v>
      </c>
      <c r="S197">
        <v>11.277108912738999</v>
      </c>
      <c r="T197" t="s">
        <v>29</v>
      </c>
      <c r="U197" t="s">
        <v>29</v>
      </c>
      <c r="V197" t="s">
        <v>29</v>
      </c>
      <c r="W197" t="s">
        <v>29</v>
      </c>
      <c r="X197" t="s">
        <v>29</v>
      </c>
      <c r="Y197" t="s">
        <v>29</v>
      </c>
    </row>
    <row r="198" spans="1:25" x14ac:dyDescent="0.2">
      <c r="A198" t="s">
        <v>742</v>
      </c>
      <c r="B198" t="s">
        <v>743</v>
      </c>
      <c r="C198" t="s">
        <v>744</v>
      </c>
      <c r="D198" t="s">
        <v>745</v>
      </c>
      <c r="E198" t="s">
        <v>743</v>
      </c>
      <c r="F198" t="s">
        <v>28</v>
      </c>
      <c r="G198" t="s">
        <v>743</v>
      </c>
      <c r="H198" t="str">
        <f>"pola-1"</f>
        <v>pola-1</v>
      </c>
      <c r="I198" t="s">
        <v>745</v>
      </c>
      <c r="J198">
        <v>13.3792555802676</v>
      </c>
      <c r="K198">
        <v>13.350241392625</v>
      </c>
      <c r="L198">
        <v>13.2180346670449</v>
      </c>
      <c r="M198" t="s">
        <v>29</v>
      </c>
      <c r="N198" t="s">
        <v>29</v>
      </c>
      <c r="O198">
        <v>13.061186569778799</v>
      </c>
      <c r="P198">
        <v>-0.25465731020036098</v>
      </c>
      <c r="Q198">
        <v>-0.83936695733765898</v>
      </c>
      <c r="R198">
        <v>0.33005233693693597</v>
      </c>
      <c r="S198">
        <v>13.452940607277499</v>
      </c>
      <c r="T198">
        <v>-0.92377332648157195</v>
      </c>
      <c r="U198">
        <v>-6.3763077156469103</v>
      </c>
      <c r="V198">
        <v>0.36941601026350701</v>
      </c>
      <c r="W198">
        <v>0.53708385902642197</v>
      </c>
      <c r="X198">
        <v>0</v>
      </c>
      <c r="Y198">
        <v>0</v>
      </c>
    </row>
    <row r="199" spans="1:25" x14ac:dyDescent="0.2">
      <c r="A199" t="s">
        <v>746</v>
      </c>
      <c r="B199" t="s">
        <v>747</v>
      </c>
      <c r="C199" t="s">
        <v>14234</v>
      </c>
      <c r="D199" t="s">
        <v>368</v>
      </c>
      <c r="E199" t="s">
        <v>747</v>
      </c>
      <c r="F199" t="s">
        <v>28</v>
      </c>
      <c r="G199" t="s">
        <v>747</v>
      </c>
      <c r="H199" t="str">
        <f>"ZK1058.9"</f>
        <v>ZK1058.9</v>
      </c>
      <c r="I199" t="s">
        <v>368</v>
      </c>
      <c r="J199">
        <v>14.792740023764299</v>
      </c>
      <c r="K199">
        <v>14.999037109270001</v>
      </c>
      <c r="L199">
        <v>15.479583782748101</v>
      </c>
      <c r="M199">
        <v>14.3441873942407</v>
      </c>
      <c r="N199">
        <v>15.116112199922201</v>
      </c>
      <c r="O199">
        <v>14.716415244970101</v>
      </c>
      <c r="P199">
        <v>-0.364882025549779</v>
      </c>
      <c r="Q199">
        <v>-0.87455555150091202</v>
      </c>
      <c r="R199">
        <v>0.14479150040135499</v>
      </c>
      <c r="S199">
        <v>15.343523609172401</v>
      </c>
      <c r="T199">
        <v>-1.50471034820301</v>
      </c>
      <c r="U199">
        <v>-6.0378781730817401</v>
      </c>
      <c r="V199">
        <v>0.14984429505522101</v>
      </c>
      <c r="W199">
        <v>0.29364347540492802</v>
      </c>
      <c r="X199">
        <v>0</v>
      </c>
      <c r="Y199">
        <v>0</v>
      </c>
    </row>
    <row r="200" spans="1:25" x14ac:dyDescent="0.2">
      <c r="A200" t="s">
        <v>748</v>
      </c>
      <c r="B200" t="s">
        <v>749</v>
      </c>
      <c r="C200" t="s">
        <v>14235</v>
      </c>
      <c r="D200" t="s">
        <v>750</v>
      </c>
      <c r="E200" t="s">
        <v>749</v>
      </c>
      <c r="F200" t="s">
        <v>28</v>
      </c>
      <c r="G200" t="s">
        <v>749</v>
      </c>
      <c r="H200" t="str">
        <f>"Y116A8C.10"</f>
        <v>Y116A8C.10</v>
      </c>
      <c r="I200" t="s">
        <v>750</v>
      </c>
      <c r="J200" t="s">
        <v>29</v>
      </c>
      <c r="K200" t="s">
        <v>29</v>
      </c>
      <c r="L200" t="s">
        <v>29</v>
      </c>
      <c r="M200" t="s">
        <v>29</v>
      </c>
      <c r="N200" t="s">
        <v>29</v>
      </c>
      <c r="O200">
        <v>9.8987271068398694</v>
      </c>
      <c r="P200" t="s">
        <v>29</v>
      </c>
      <c r="Q200" t="s">
        <v>29</v>
      </c>
      <c r="R200" t="s">
        <v>29</v>
      </c>
      <c r="S200">
        <v>10.8588080997971</v>
      </c>
      <c r="T200" t="s">
        <v>29</v>
      </c>
      <c r="U200" t="s">
        <v>29</v>
      </c>
      <c r="V200" t="s">
        <v>29</v>
      </c>
      <c r="W200" t="s">
        <v>29</v>
      </c>
      <c r="X200" t="s">
        <v>29</v>
      </c>
      <c r="Y200" t="s">
        <v>29</v>
      </c>
    </row>
    <row r="201" spans="1:25" x14ac:dyDescent="0.2">
      <c r="A201" t="s">
        <v>751</v>
      </c>
      <c r="B201" t="s">
        <v>752</v>
      </c>
      <c r="C201" t="s">
        <v>753</v>
      </c>
      <c r="D201" t="s">
        <v>754</v>
      </c>
      <c r="E201" t="s">
        <v>752</v>
      </c>
      <c r="F201" t="s">
        <v>28</v>
      </c>
      <c r="G201" t="s">
        <v>752</v>
      </c>
      <c r="H201" t="str">
        <f>"laf-1"</f>
        <v>laf-1</v>
      </c>
      <c r="I201" t="s">
        <v>754</v>
      </c>
      <c r="J201">
        <v>18.203558081856801</v>
      </c>
      <c r="K201">
        <v>18.609690555733</v>
      </c>
      <c r="L201">
        <v>18.855208178549699</v>
      </c>
      <c r="M201">
        <v>17.985188733410101</v>
      </c>
      <c r="N201">
        <v>18.467642927979199</v>
      </c>
      <c r="O201">
        <v>17.8569731777235</v>
      </c>
      <c r="P201">
        <v>-0.45288399234224702</v>
      </c>
      <c r="Q201">
        <v>-0.90137538914440296</v>
      </c>
      <c r="R201">
        <v>-4.3925955400914698E-3</v>
      </c>
      <c r="S201">
        <v>18.776394295197299</v>
      </c>
      <c r="T201">
        <v>-2.1223908610414002</v>
      </c>
      <c r="U201">
        <v>-5.0493240176682903</v>
      </c>
      <c r="V201">
        <v>4.8021912298470797E-2</v>
      </c>
      <c r="W201">
        <v>0.132469539567834</v>
      </c>
      <c r="X201">
        <v>0</v>
      </c>
      <c r="Y201">
        <v>0</v>
      </c>
    </row>
    <row r="202" spans="1:25" x14ac:dyDescent="0.2">
      <c r="A202" t="s">
        <v>755</v>
      </c>
      <c r="B202" t="s">
        <v>756</v>
      </c>
      <c r="C202" t="s">
        <v>757</v>
      </c>
      <c r="D202" t="s">
        <v>758</v>
      </c>
      <c r="E202" t="s">
        <v>756</v>
      </c>
      <c r="F202" t="s">
        <v>28</v>
      </c>
      <c r="G202" t="s">
        <v>756</v>
      </c>
      <c r="H202" t="str">
        <f>"fln-2"</f>
        <v>fln-2</v>
      </c>
      <c r="I202" t="s">
        <v>758</v>
      </c>
      <c r="J202">
        <v>14.478208477083299</v>
      </c>
      <c r="K202">
        <v>14.9566417813509</v>
      </c>
      <c r="L202">
        <v>14.925909545466199</v>
      </c>
      <c r="M202">
        <v>16.5461804964878</v>
      </c>
      <c r="N202">
        <v>15.7373640313732</v>
      </c>
      <c r="O202">
        <v>14.881476914669401</v>
      </c>
      <c r="P202">
        <v>0.934753879543337</v>
      </c>
      <c r="Q202">
        <v>0.29616977023751401</v>
      </c>
      <c r="R202">
        <v>1.5733379888491601</v>
      </c>
      <c r="S202">
        <v>15.883805864123</v>
      </c>
      <c r="T202">
        <v>3.0766045799114901</v>
      </c>
      <c r="U202">
        <v>-3.1748373882775902</v>
      </c>
      <c r="V202">
        <v>6.5366197751293596E-3</v>
      </c>
      <c r="W202">
        <v>3.3914469150186997E-2</v>
      </c>
      <c r="X202">
        <v>0</v>
      </c>
      <c r="Y202">
        <v>0</v>
      </c>
    </row>
    <row r="203" spans="1:25" x14ac:dyDescent="0.2">
      <c r="A203" t="s">
        <v>759</v>
      </c>
      <c r="B203" t="s">
        <v>760</v>
      </c>
      <c r="C203" t="s">
        <v>761</v>
      </c>
      <c r="D203" t="s">
        <v>762</v>
      </c>
      <c r="E203" t="s">
        <v>760</v>
      </c>
      <c r="F203" t="s">
        <v>28</v>
      </c>
      <c r="G203" t="s">
        <v>760</v>
      </c>
      <c r="H203" t="str">
        <f>"tdp-1"</f>
        <v>tdp-1</v>
      </c>
      <c r="I203" t="s">
        <v>762</v>
      </c>
      <c r="J203">
        <v>13.483921303622999</v>
      </c>
      <c r="K203">
        <v>13.977061643172901</v>
      </c>
      <c r="L203">
        <v>13.7015580679699</v>
      </c>
      <c r="M203">
        <v>15.034057933518801</v>
      </c>
      <c r="N203">
        <v>13.3707772535092</v>
      </c>
      <c r="O203">
        <v>14.1088522003033</v>
      </c>
      <c r="P203">
        <v>0.45038212418852702</v>
      </c>
      <c r="Q203">
        <v>-0.208996051664635</v>
      </c>
      <c r="R203">
        <v>1.10976030004169</v>
      </c>
      <c r="S203">
        <v>13.7175744939096</v>
      </c>
      <c r="T203">
        <v>1.4356186425056601</v>
      </c>
      <c r="U203">
        <v>-6.13292865738826</v>
      </c>
      <c r="V203">
        <v>0.16836061883171799</v>
      </c>
      <c r="W203">
        <v>0.31862868870320499</v>
      </c>
      <c r="X203">
        <v>0</v>
      </c>
      <c r="Y203">
        <v>0</v>
      </c>
    </row>
    <row r="204" spans="1:25" x14ac:dyDescent="0.2">
      <c r="A204" t="s">
        <v>763</v>
      </c>
      <c r="B204" t="s">
        <v>764</v>
      </c>
      <c r="C204" t="s">
        <v>765</v>
      </c>
      <c r="D204" t="s">
        <v>766</v>
      </c>
      <c r="E204" t="s">
        <v>764</v>
      </c>
      <c r="F204" t="s">
        <v>28</v>
      </c>
      <c r="G204" t="s">
        <v>764</v>
      </c>
      <c r="H204" t="str">
        <f>"gcn-2"</f>
        <v>gcn-2</v>
      </c>
      <c r="I204" t="s">
        <v>766</v>
      </c>
      <c r="J204">
        <v>11.307321971629399</v>
      </c>
      <c r="K204" t="s">
        <v>29</v>
      </c>
      <c r="L204" t="s">
        <v>29</v>
      </c>
      <c r="M204" t="s">
        <v>29</v>
      </c>
      <c r="N204" t="s">
        <v>29</v>
      </c>
      <c r="O204" t="s">
        <v>29</v>
      </c>
      <c r="P204" t="s">
        <v>29</v>
      </c>
      <c r="Q204" t="s">
        <v>29</v>
      </c>
      <c r="R204" t="s">
        <v>29</v>
      </c>
      <c r="S204">
        <v>11.2815628097546</v>
      </c>
      <c r="T204" t="s">
        <v>29</v>
      </c>
      <c r="U204" t="s">
        <v>29</v>
      </c>
      <c r="V204" t="s">
        <v>29</v>
      </c>
      <c r="W204" t="s">
        <v>29</v>
      </c>
      <c r="X204" t="s">
        <v>29</v>
      </c>
      <c r="Y204" t="s">
        <v>29</v>
      </c>
    </row>
    <row r="205" spans="1:25" x14ac:dyDescent="0.2">
      <c r="A205" t="s">
        <v>767</v>
      </c>
      <c r="B205" t="s">
        <v>768</v>
      </c>
      <c r="C205" t="s">
        <v>14236</v>
      </c>
      <c r="D205" t="s">
        <v>107</v>
      </c>
      <c r="E205" t="s">
        <v>768</v>
      </c>
      <c r="F205" t="s">
        <v>28</v>
      </c>
      <c r="G205" t="s">
        <v>768</v>
      </c>
      <c r="H205" t="str">
        <f>"T27D12.1"</f>
        <v>T27D12.1</v>
      </c>
      <c r="I205" t="s">
        <v>107</v>
      </c>
      <c r="J205" t="s">
        <v>29</v>
      </c>
      <c r="K205">
        <v>12.7648425398153</v>
      </c>
      <c r="L205">
        <v>12.310004910864301</v>
      </c>
      <c r="M205" t="s">
        <v>29</v>
      </c>
      <c r="N205" t="s">
        <v>29</v>
      </c>
      <c r="O205">
        <v>12.784560131268201</v>
      </c>
      <c r="P205">
        <v>0.24713640592838701</v>
      </c>
      <c r="Q205">
        <v>-0.46823643572743801</v>
      </c>
      <c r="R205">
        <v>0.96250924758421197</v>
      </c>
      <c r="S205">
        <v>12.224401131443001</v>
      </c>
      <c r="T205">
        <v>0.74694998404014401</v>
      </c>
      <c r="U205">
        <v>-6.4642713419318696</v>
      </c>
      <c r="V205">
        <v>0.46849526334871799</v>
      </c>
      <c r="W205">
        <v>0.63019499744380203</v>
      </c>
      <c r="X205">
        <v>0</v>
      </c>
      <c r="Y205">
        <v>0</v>
      </c>
    </row>
    <row r="206" spans="1:25" x14ac:dyDescent="0.2">
      <c r="A206" t="s">
        <v>769</v>
      </c>
      <c r="B206" t="s">
        <v>770</v>
      </c>
      <c r="C206" t="s">
        <v>771</v>
      </c>
      <c r="D206" t="s">
        <v>772</v>
      </c>
      <c r="E206" t="s">
        <v>770</v>
      </c>
      <c r="F206" t="s">
        <v>28</v>
      </c>
      <c r="G206" t="s">
        <v>770</v>
      </c>
      <c r="H206" t="str">
        <f>"ech-2"</f>
        <v>ech-2</v>
      </c>
      <c r="I206" t="s">
        <v>772</v>
      </c>
      <c r="J206">
        <v>13.388482291831799</v>
      </c>
      <c r="K206">
        <v>13.4020509972037</v>
      </c>
      <c r="L206">
        <v>13.3803472520135</v>
      </c>
      <c r="M206" t="s">
        <v>29</v>
      </c>
      <c r="N206" t="s">
        <v>29</v>
      </c>
      <c r="O206">
        <v>12.5941326150667</v>
      </c>
      <c r="P206">
        <v>-0.79616089861629802</v>
      </c>
      <c r="Q206">
        <v>-1.6521763785921899</v>
      </c>
      <c r="R206">
        <v>5.98545813595956E-2</v>
      </c>
      <c r="S206">
        <v>13.381630813428099</v>
      </c>
      <c r="T206">
        <v>-1.97273502757018</v>
      </c>
      <c r="U206">
        <v>-4.9871390963341096</v>
      </c>
      <c r="V206">
        <v>6.6178781153237706E-2</v>
      </c>
      <c r="W206">
        <v>0.16584087419948301</v>
      </c>
      <c r="X206">
        <v>0</v>
      </c>
      <c r="Y206">
        <v>0</v>
      </c>
    </row>
    <row r="207" spans="1:25" x14ac:dyDescent="0.2">
      <c r="A207" t="s">
        <v>773</v>
      </c>
      <c r="B207" t="s">
        <v>774</v>
      </c>
      <c r="C207" t="s">
        <v>775</v>
      </c>
      <c r="D207" t="s">
        <v>776</v>
      </c>
      <c r="E207" t="s">
        <v>774</v>
      </c>
      <c r="F207" t="s">
        <v>28</v>
      </c>
      <c r="G207" t="s">
        <v>774</v>
      </c>
      <c r="H207" t="str">
        <f>"dsb-2"</f>
        <v>dsb-2</v>
      </c>
      <c r="I207" t="s">
        <v>776</v>
      </c>
      <c r="J207" t="s">
        <v>29</v>
      </c>
      <c r="K207" t="s">
        <v>29</v>
      </c>
      <c r="L207" t="s">
        <v>29</v>
      </c>
      <c r="M207" t="s">
        <v>29</v>
      </c>
      <c r="N207" t="s">
        <v>29</v>
      </c>
      <c r="O207" t="s">
        <v>29</v>
      </c>
      <c r="P207" t="s">
        <v>29</v>
      </c>
      <c r="Q207" t="s">
        <v>29</v>
      </c>
      <c r="R207" t="s">
        <v>29</v>
      </c>
      <c r="S207">
        <v>10.5622636086425</v>
      </c>
      <c r="T207" t="s">
        <v>29</v>
      </c>
      <c r="U207" t="s">
        <v>29</v>
      </c>
      <c r="V207" t="s">
        <v>29</v>
      </c>
      <c r="W207" t="s">
        <v>29</v>
      </c>
      <c r="X207" t="s">
        <v>29</v>
      </c>
      <c r="Y207" t="s">
        <v>29</v>
      </c>
    </row>
    <row r="208" spans="1:25" x14ac:dyDescent="0.2">
      <c r="A208" t="s">
        <v>777</v>
      </c>
      <c r="B208" t="s">
        <v>778</v>
      </c>
      <c r="C208" t="s">
        <v>779</v>
      </c>
      <c r="D208" t="s">
        <v>780</v>
      </c>
      <c r="E208" t="s">
        <v>778</v>
      </c>
      <c r="F208" t="s">
        <v>28</v>
      </c>
      <c r="G208" t="s">
        <v>778</v>
      </c>
      <c r="H208" t="str">
        <f>"bca-2"</f>
        <v>bca-2</v>
      </c>
      <c r="I208" t="s">
        <v>780</v>
      </c>
      <c r="J208" t="s">
        <v>29</v>
      </c>
      <c r="K208" t="s">
        <v>29</v>
      </c>
      <c r="L208">
        <v>13.7045364613502</v>
      </c>
      <c r="M208" t="s">
        <v>29</v>
      </c>
      <c r="N208" t="s">
        <v>29</v>
      </c>
      <c r="O208">
        <v>13.4981046113825</v>
      </c>
      <c r="P208">
        <v>-0.20643184996775699</v>
      </c>
      <c r="Q208">
        <v>-1.0653977956668701</v>
      </c>
      <c r="R208">
        <v>0.65253409573136001</v>
      </c>
      <c r="S208">
        <v>13.3803765062408</v>
      </c>
      <c r="T208">
        <v>-0.52957619102648201</v>
      </c>
      <c r="U208">
        <v>-6.4644691786224797</v>
      </c>
      <c r="V208">
        <v>0.60702809894469401</v>
      </c>
      <c r="W208">
        <v>0.73860933426507502</v>
      </c>
      <c r="X208">
        <v>0</v>
      </c>
      <c r="Y208">
        <v>0</v>
      </c>
    </row>
    <row r="209" spans="1:25" x14ac:dyDescent="0.2">
      <c r="A209" t="s">
        <v>781</v>
      </c>
      <c r="B209" t="s">
        <v>782</v>
      </c>
      <c r="C209" t="s">
        <v>783</v>
      </c>
      <c r="D209" t="s">
        <v>784</v>
      </c>
      <c r="E209" t="s">
        <v>782</v>
      </c>
      <c r="F209" t="s">
        <v>28</v>
      </c>
      <c r="G209" t="s">
        <v>782</v>
      </c>
      <c r="H209" t="str">
        <f>"elli-1"</f>
        <v>elli-1</v>
      </c>
      <c r="I209" t="s">
        <v>784</v>
      </c>
      <c r="J209">
        <v>9.8611278675839902</v>
      </c>
      <c r="K209">
        <v>9.8964021774208604</v>
      </c>
      <c r="L209">
        <v>11.0593323334183</v>
      </c>
      <c r="M209" t="s">
        <v>29</v>
      </c>
      <c r="N209" t="s">
        <v>29</v>
      </c>
      <c r="O209" t="s">
        <v>29</v>
      </c>
      <c r="P209" t="s">
        <v>29</v>
      </c>
      <c r="Q209" t="s">
        <v>29</v>
      </c>
      <c r="R209" t="s">
        <v>29</v>
      </c>
      <c r="S209">
        <v>11.330998448619701</v>
      </c>
      <c r="T209" t="s">
        <v>29</v>
      </c>
      <c r="U209" t="s">
        <v>29</v>
      </c>
      <c r="V209" t="s">
        <v>29</v>
      </c>
      <c r="W209" t="s">
        <v>29</v>
      </c>
      <c r="X209" t="s">
        <v>29</v>
      </c>
      <c r="Y209" t="s">
        <v>29</v>
      </c>
    </row>
    <row r="210" spans="1:25" x14ac:dyDescent="0.2">
      <c r="A210" t="s">
        <v>785</v>
      </c>
      <c r="B210" t="s">
        <v>786</v>
      </c>
      <c r="C210" t="s">
        <v>14237</v>
      </c>
      <c r="D210" t="s">
        <v>323</v>
      </c>
      <c r="E210" t="s">
        <v>786</v>
      </c>
      <c r="F210" t="s">
        <v>28</v>
      </c>
      <c r="G210" t="s">
        <v>786</v>
      </c>
      <c r="H210" t="str">
        <f>"T12G3.2"</f>
        <v>T12G3.2</v>
      </c>
      <c r="I210" t="s">
        <v>323</v>
      </c>
      <c r="J210">
        <v>11.111285807706199</v>
      </c>
      <c r="K210">
        <v>11.745743854775</v>
      </c>
      <c r="L210">
        <v>11.0669722048652</v>
      </c>
      <c r="M210" t="s">
        <v>29</v>
      </c>
      <c r="N210" t="s">
        <v>29</v>
      </c>
      <c r="O210">
        <v>11.609558921558801</v>
      </c>
      <c r="P210">
        <v>0.30155829911002602</v>
      </c>
      <c r="Q210">
        <v>-0.90766466386372802</v>
      </c>
      <c r="R210">
        <v>1.5107812620837799</v>
      </c>
      <c r="S210">
        <v>11.433126786883999</v>
      </c>
      <c r="T210">
        <v>0.52894976572770502</v>
      </c>
      <c r="U210">
        <v>-6.6670614258443601</v>
      </c>
      <c r="V210">
        <v>0.60414903898706895</v>
      </c>
      <c r="W210">
        <v>0.736017866016904</v>
      </c>
      <c r="X210">
        <v>0</v>
      </c>
      <c r="Y210">
        <v>0</v>
      </c>
    </row>
    <row r="211" spans="1:25" x14ac:dyDescent="0.2">
      <c r="A211" t="s">
        <v>787</v>
      </c>
      <c r="B211" t="s">
        <v>788</v>
      </c>
      <c r="C211" t="s">
        <v>789</v>
      </c>
      <c r="D211" t="s">
        <v>790</v>
      </c>
      <c r="E211" t="s">
        <v>788</v>
      </c>
      <c r="F211" t="s">
        <v>28</v>
      </c>
      <c r="G211" t="s">
        <v>788</v>
      </c>
      <c r="H211" t="str">
        <f>"larp-1"</f>
        <v>larp-1</v>
      </c>
      <c r="I211" t="s">
        <v>790</v>
      </c>
      <c r="J211">
        <v>12.6874718631409</v>
      </c>
      <c r="K211">
        <v>12.978714145184201</v>
      </c>
      <c r="L211">
        <v>13.093040787917101</v>
      </c>
      <c r="M211" t="s">
        <v>29</v>
      </c>
      <c r="N211">
        <v>13.832814749191501</v>
      </c>
      <c r="O211">
        <v>13.2661362481151</v>
      </c>
      <c r="P211">
        <v>0.62973323323924602</v>
      </c>
      <c r="Q211">
        <v>0.100654477740413</v>
      </c>
      <c r="R211">
        <v>1.1588119887380799</v>
      </c>
      <c r="S211">
        <v>13.658188576401001</v>
      </c>
      <c r="T211">
        <v>2.5123856430682401</v>
      </c>
      <c r="U211">
        <v>-4.2300224060157499</v>
      </c>
      <c r="V211">
        <v>2.2444070943470701E-2</v>
      </c>
      <c r="W211">
        <v>7.9580993078695997E-2</v>
      </c>
      <c r="X211">
        <v>0</v>
      </c>
      <c r="Y211">
        <v>0</v>
      </c>
    </row>
    <row r="212" spans="1:25" x14ac:dyDescent="0.2">
      <c r="A212" t="s">
        <v>791</v>
      </c>
      <c r="B212" t="s">
        <v>792</v>
      </c>
      <c r="C212" t="s">
        <v>793</v>
      </c>
      <c r="D212" t="s">
        <v>93</v>
      </c>
      <c r="E212" t="s">
        <v>792</v>
      </c>
      <c r="F212" t="s">
        <v>28</v>
      </c>
      <c r="G212" t="s">
        <v>792</v>
      </c>
      <c r="H212" t="str">
        <f>"sup-26"</f>
        <v>sup-26</v>
      </c>
      <c r="I212" t="s">
        <v>93</v>
      </c>
      <c r="J212">
        <v>14.2144888813737</v>
      </c>
      <c r="K212">
        <v>14.315779523582</v>
      </c>
      <c r="L212">
        <v>14.646365234739299</v>
      </c>
      <c r="M212">
        <v>15.529466975545599</v>
      </c>
      <c r="N212">
        <v>15.3429251879547</v>
      </c>
      <c r="O212">
        <v>14.944989770859101</v>
      </c>
      <c r="P212">
        <v>0.88024943155482505</v>
      </c>
      <c r="Q212">
        <v>0.326602471283304</v>
      </c>
      <c r="R212">
        <v>1.4338963918263501</v>
      </c>
      <c r="S212">
        <v>15.1690019862349</v>
      </c>
      <c r="T212">
        <v>3.3416837487737201</v>
      </c>
      <c r="U212">
        <v>-2.61024249180642</v>
      </c>
      <c r="V212">
        <v>3.6541376518535399E-3</v>
      </c>
      <c r="W212">
        <v>2.2575982515749299E-2</v>
      </c>
      <c r="X212">
        <v>0</v>
      </c>
      <c r="Y212">
        <v>0</v>
      </c>
    </row>
    <row r="213" spans="1:25" x14ac:dyDescent="0.2">
      <c r="A213" t="s">
        <v>794</v>
      </c>
      <c r="B213" t="s">
        <v>795</v>
      </c>
      <c r="C213" t="s">
        <v>14238</v>
      </c>
      <c r="D213" t="s">
        <v>796</v>
      </c>
      <c r="E213" t="s">
        <v>795</v>
      </c>
      <c r="F213" t="s">
        <v>28</v>
      </c>
      <c r="G213" t="s">
        <v>795</v>
      </c>
      <c r="H213" t="str">
        <f>"ZK355.2"</f>
        <v>ZK355.2</v>
      </c>
      <c r="I213" t="s">
        <v>796</v>
      </c>
      <c r="J213" t="s">
        <v>29</v>
      </c>
      <c r="K213" t="s">
        <v>29</v>
      </c>
      <c r="L213" t="s">
        <v>29</v>
      </c>
      <c r="M213" t="s">
        <v>29</v>
      </c>
      <c r="N213" t="s">
        <v>29</v>
      </c>
      <c r="O213" t="s">
        <v>29</v>
      </c>
      <c r="P213" t="s">
        <v>29</v>
      </c>
      <c r="Q213" t="s">
        <v>29</v>
      </c>
      <c r="R213" t="s">
        <v>29</v>
      </c>
      <c r="S213">
        <v>13.015933411984699</v>
      </c>
      <c r="T213" t="s">
        <v>29</v>
      </c>
      <c r="U213" t="s">
        <v>29</v>
      </c>
      <c r="V213" t="s">
        <v>29</v>
      </c>
      <c r="W213" t="s">
        <v>29</v>
      </c>
      <c r="X213" t="s">
        <v>29</v>
      </c>
      <c r="Y213" t="s">
        <v>29</v>
      </c>
    </row>
    <row r="214" spans="1:25" x14ac:dyDescent="0.2">
      <c r="A214" t="s">
        <v>797</v>
      </c>
      <c r="B214" t="s">
        <v>798</v>
      </c>
      <c r="C214" t="s">
        <v>799</v>
      </c>
      <c r="D214" t="s">
        <v>800</v>
      </c>
      <c r="E214" t="s">
        <v>798</v>
      </c>
      <c r="F214" t="s">
        <v>28</v>
      </c>
      <c r="G214" t="s">
        <v>798</v>
      </c>
      <c r="H214" t="str">
        <f>"pigw-1"</f>
        <v>pigw-1</v>
      </c>
      <c r="I214" t="s">
        <v>800</v>
      </c>
      <c r="J214">
        <v>12.075195721157</v>
      </c>
      <c r="K214" t="s">
        <v>29</v>
      </c>
      <c r="L214">
        <v>12.6558042737958</v>
      </c>
      <c r="M214" t="s">
        <v>29</v>
      </c>
      <c r="N214" t="s">
        <v>29</v>
      </c>
      <c r="O214">
        <v>12.6359681251657</v>
      </c>
      <c r="P214">
        <v>0.27046812768929102</v>
      </c>
      <c r="Q214">
        <v>-0.89132610593008998</v>
      </c>
      <c r="R214">
        <v>1.43226236130867</v>
      </c>
      <c r="S214">
        <v>12.8814814922472</v>
      </c>
      <c r="T214">
        <v>0.49966481744946001</v>
      </c>
      <c r="U214">
        <v>-6.6237025023659601</v>
      </c>
      <c r="V214">
        <v>0.62512986175269603</v>
      </c>
      <c r="W214">
        <v>0.74887987862397698</v>
      </c>
      <c r="X214">
        <v>0</v>
      </c>
      <c r="Y214">
        <v>0</v>
      </c>
    </row>
    <row r="215" spans="1:25" x14ac:dyDescent="0.2">
      <c r="A215" t="s">
        <v>801</v>
      </c>
      <c r="B215" t="s">
        <v>802</v>
      </c>
      <c r="C215" t="s">
        <v>14239</v>
      </c>
      <c r="D215" t="s">
        <v>93</v>
      </c>
      <c r="E215" t="s">
        <v>802</v>
      </c>
      <c r="F215" t="s">
        <v>28</v>
      </c>
      <c r="G215" t="s">
        <v>802</v>
      </c>
      <c r="H215" t="str">
        <f>"Y59E9AL.36"</f>
        <v>Y59E9AL.36</v>
      </c>
      <c r="I215" t="s">
        <v>93</v>
      </c>
      <c r="J215">
        <v>12.676554939234</v>
      </c>
      <c r="K215">
        <v>13.137658377817599</v>
      </c>
      <c r="L215">
        <v>12.649557109264199</v>
      </c>
      <c r="M215" t="s">
        <v>29</v>
      </c>
      <c r="N215" t="s">
        <v>29</v>
      </c>
      <c r="O215">
        <v>12.649582358573801</v>
      </c>
      <c r="P215">
        <v>-0.171674450198122</v>
      </c>
      <c r="Q215">
        <v>-0.89311188357367899</v>
      </c>
      <c r="R215">
        <v>0.54976298317743499</v>
      </c>
      <c r="S215">
        <v>13.026167628555299</v>
      </c>
      <c r="T215">
        <v>-0.50472698198766297</v>
      </c>
      <c r="U215">
        <v>-6.6799905656695699</v>
      </c>
      <c r="V215">
        <v>0.62067583342932298</v>
      </c>
      <c r="W215">
        <v>0.74688921237901695</v>
      </c>
      <c r="X215">
        <v>0</v>
      </c>
      <c r="Y215">
        <v>0</v>
      </c>
    </row>
    <row r="216" spans="1:25" x14ac:dyDescent="0.2">
      <c r="A216" t="s">
        <v>803</v>
      </c>
      <c r="B216" t="s">
        <v>804</v>
      </c>
      <c r="C216" t="s">
        <v>805</v>
      </c>
      <c r="D216" t="s">
        <v>806</v>
      </c>
      <c r="E216" t="s">
        <v>804</v>
      </c>
      <c r="F216" t="s">
        <v>28</v>
      </c>
      <c r="G216" t="s">
        <v>804</v>
      </c>
      <c r="H216" t="str">
        <f>"snx-6"</f>
        <v>snx-6</v>
      </c>
      <c r="I216" t="s">
        <v>806</v>
      </c>
      <c r="J216" t="s">
        <v>29</v>
      </c>
      <c r="K216" t="s">
        <v>29</v>
      </c>
      <c r="L216">
        <v>9.9205278718667191</v>
      </c>
      <c r="M216" t="s">
        <v>29</v>
      </c>
      <c r="N216" t="s">
        <v>29</v>
      </c>
      <c r="O216">
        <v>11.432966144940799</v>
      </c>
      <c r="P216">
        <v>1.51243827307409</v>
      </c>
      <c r="Q216">
        <v>0.71512721768314902</v>
      </c>
      <c r="R216">
        <v>2.3097493284650299</v>
      </c>
      <c r="S216">
        <v>10.7148466286969</v>
      </c>
      <c r="T216">
        <v>4.1014471272460398</v>
      </c>
      <c r="U216">
        <v>-0.97099253145447095</v>
      </c>
      <c r="V216">
        <v>1.2701757325790199E-3</v>
      </c>
      <c r="W216">
        <v>1.07255240226658E-2</v>
      </c>
      <c r="X216">
        <v>1</v>
      </c>
      <c r="Y216">
        <v>1</v>
      </c>
    </row>
    <row r="217" spans="1:25" x14ac:dyDescent="0.2">
      <c r="A217" t="s">
        <v>807</v>
      </c>
      <c r="B217" t="s">
        <v>808</v>
      </c>
      <c r="C217" t="s">
        <v>809</v>
      </c>
      <c r="D217" t="s">
        <v>810</v>
      </c>
      <c r="E217" t="s">
        <v>808</v>
      </c>
      <c r="F217" t="s">
        <v>28</v>
      </c>
      <c r="G217" t="s">
        <v>808</v>
      </c>
      <c r="H217" t="str">
        <f>"unc-70"</f>
        <v>unc-70</v>
      </c>
      <c r="I217" t="s">
        <v>810</v>
      </c>
      <c r="J217">
        <v>13.0706214659726</v>
      </c>
      <c r="K217">
        <v>13.1030813040925</v>
      </c>
      <c r="L217">
        <v>13.268847731923801</v>
      </c>
      <c r="M217" t="s">
        <v>29</v>
      </c>
      <c r="N217">
        <v>13.309797744660401</v>
      </c>
      <c r="O217">
        <v>13.411183767634601</v>
      </c>
      <c r="P217">
        <v>0.21297392215118499</v>
      </c>
      <c r="Q217">
        <v>-0.228114583479267</v>
      </c>
      <c r="R217">
        <v>0.65406242778163803</v>
      </c>
      <c r="S217">
        <v>13.0516642004199</v>
      </c>
      <c r="T217">
        <v>1.0191795515013999</v>
      </c>
      <c r="U217">
        <v>-6.5157113701183098</v>
      </c>
      <c r="V217">
        <v>0.32249114450260902</v>
      </c>
      <c r="W217">
        <v>0.49339929932559501</v>
      </c>
      <c r="X217">
        <v>0</v>
      </c>
      <c r="Y217">
        <v>0</v>
      </c>
    </row>
    <row r="218" spans="1:25" x14ac:dyDescent="0.2">
      <c r="A218" t="s">
        <v>811</v>
      </c>
      <c r="B218" t="s">
        <v>812</v>
      </c>
      <c r="C218" t="s">
        <v>813</v>
      </c>
      <c r="D218" t="s">
        <v>814</v>
      </c>
      <c r="E218" t="s">
        <v>812</v>
      </c>
      <c r="F218" t="s">
        <v>28</v>
      </c>
      <c r="G218" t="s">
        <v>812</v>
      </c>
      <c r="H218" t="str">
        <f>"emc-5"</f>
        <v>emc-5</v>
      </c>
      <c r="I218" t="s">
        <v>814</v>
      </c>
      <c r="J218">
        <v>12.3990893561718</v>
      </c>
      <c r="K218">
        <v>12.7433069818329</v>
      </c>
      <c r="L218">
        <v>12.2790541193344</v>
      </c>
      <c r="M218" t="s">
        <v>29</v>
      </c>
      <c r="N218" t="s">
        <v>29</v>
      </c>
      <c r="O218" t="s">
        <v>29</v>
      </c>
      <c r="P218" t="s">
        <v>29</v>
      </c>
      <c r="Q218" t="s">
        <v>29</v>
      </c>
      <c r="R218" t="s">
        <v>29</v>
      </c>
      <c r="S218">
        <v>12.9395072389829</v>
      </c>
      <c r="T218" t="s">
        <v>29</v>
      </c>
      <c r="U218" t="s">
        <v>29</v>
      </c>
      <c r="V218" t="s">
        <v>29</v>
      </c>
      <c r="W218" t="s">
        <v>29</v>
      </c>
      <c r="X218" t="s">
        <v>29</v>
      </c>
      <c r="Y218" t="s">
        <v>29</v>
      </c>
    </row>
    <row r="219" spans="1:25" x14ac:dyDescent="0.2">
      <c r="A219" t="s">
        <v>815</v>
      </c>
      <c r="B219" t="s">
        <v>816</v>
      </c>
      <c r="C219" t="s">
        <v>14240</v>
      </c>
      <c r="D219" t="s">
        <v>817</v>
      </c>
      <c r="E219" t="s">
        <v>816</v>
      </c>
      <c r="F219" t="s">
        <v>28</v>
      </c>
      <c r="G219" t="s">
        <v>816</v>
      </c>
      <c r="H219" t="str">
        <f>"Y49E10.21"</f>
        <v>Y49E10.21</v>
      </c>
      <c r="I219" t="s">
        <v>817</v>
      </c>
      <c r="J219">
        <v>10.497818434214601</v>
      </c>
      <c r="K219">
        <v>12.006622550299801</v>
      </c>
      <c r="L219">
        <v>11.352045813218099</v>
      </c>
      <c r="M219" t="s">
        <v>29</v>
      </c>
      <c r="N219" t="s">
        <v>29</v>
      </c>
      <c r="O219">
        <v>12.084121936475601</v>
      </c>
      <c r="P219">
        <v>0.79862633723141296</v>
      </c>
      <c r="Q219">
        <v>-0.134660494837819</v>
      </c>
      <c r="R219">
        <v>1.73191316930065</v>
      </c>
      <c r="S219">
        <v>11.7087651157065</v>
      </c>
      <c r="T219">
        <v>1.81500581095175</v>
      </c>
      <c r="U219">
        <v>-5.2423788347824498</v>
      </c>
      <c r="V219">
        <v>8.8437960490857601E-2</v>
      </c>
      <c r="W219">
        <v>0.199915011823108</v>
      </c>
      <c r="X219">
        <v>0</v>
      </c>
      <c r="Y219">
        <v>0</v>
      </c>
    </row>
    <row r="220" spans="1:25" x14ac:dyDescent="0.2">
      <c r="A220" t="s">
        <v>818</v>
      </c>
      <c r="B220" t="s">
        <v>819</v>
      </c>
      <c r="C220" t="s">
        <v>820</v>
      </c>
      <c r="D220" t="s">
        <v>821</v>
      </c>
      <c r="E220" t="s">
        <v>819</v>
      </c>
      <c r="F220" t="s">
        <v>28</v>
      </c>
      <c r="G220" t="s">
        <v>819</v>
      </c>
      <c r="H220" t="str">
        <f>"iars-2"</f>
        <v>iars-2</v>
      </c>
      <c r="I220" t="s">
        <v>821</v>
      </c>
      <c r="J220">
        <v>14.0383586735135</v>
      </c>
      <c r="K220">
        <v>14.086387012429901</v>
      </c>
      <c r="L220">
        <v>13.973205408380201</v>
      </c>
      <c r="M220" t="s">
        <v>29</v>
      </c>
      <c r="N220">
        <v>13.775176813111999</v>
      </c>
      <c r="O220">
        <v>14.363676666581901</v>
      </c>
      <c r="P220">
        <v>3.6776375072381698E-2</v>
      </c>
      <c r="Q220">
        <v>-0.52409107489935003</v>
      </c>
      <c r="R220">
        <v>0.59764382504411295</v>
      </c>
      <c r="S220">
        <v>14.0342546643663</v>
      </c>
      <c r="T220">
        <v>0.13840720442555099</v>
      </c>
      <c r="U220">
        <v>-7.0354110331277404</v>
      </c>
      <c r="V220">
        <v>0.89155489390855902</v>
      </c>
      <c r="W220">
        <v>0.93468953125169796</v>
      </c>
      <c r="X220">
        <v>0</v>
      </c>
      <c r="Y220">
        <v>0</v>
      </c>
    </row>
    <row r="221" spans="1:25" x14ac:dyDescent="0.2">
      <c r="A221" t="s">
        <v>822</v>
      </c>
      <c r="B221" t="s">
        <v>823</v>
      </c>
      <c r="C221" t="s">
        <v>824</v>
      </c>
      <c r="D221" t="s">
        <v>825</v>
      </c>
      <c r="E221" t="s">
        <v>823</v>
      </c>
      <c r="F221" t="s">
        <v>28</v>
      </c>
      <c r="G221" t="s">
        <v>823</v>
      </c>
      <c r="H221" t="str">
        <f>"ints-2"</f>
        <v>ints-2</v>
      </c>
      <c r="I221" t="s">
        <v>825</v>
      </c>
      <c r="J221">
        <v>12.1416225753633</v>
      </c>
      <c r="K221">
        <v>11.523453812559699</v>
      </c>
      <c r="L221">
        <v>11.8372032534889</v>
      </c>
      <c r="M221">
        <v>14.442329788164001</v>
      </c>
      <c r="N221" t="s">
        <v>29</v>
      </c>
      <c r="O221">
        <v>12.372177686682001</v>
      </c>
      <c r="P221">
        <v>1.57316052361902</v>
      </c>
      <c r="Q221">
        <v>0.68025321522249704</v>
      </c>
      <c r="R221">
        <v>2.4660678320155398</v>
      </c>
      <c r="S221">
        <v>12.074147441668799</v>
      </c>
      <c r="T221">
        <v>3.7189186234226899</v>
      </c>
      <c r="U221">
        <v>-1.7485733876960801</v>
      </c>
      <c r="V221">
        <v>1.7218082252796201E-3</v>
      </c>
      <c r="W221">
        <v>1.3213981353903699E-2</v>
      </c>
      <c r="X221">
        <v>1</v>
      </c>
      <c r="Y221">
        <v>1</v>
      </c>
    </row>
    <row r="222" spans="1:25" x14ac:dyDescent="0.2">
      <c r="A222" t="s">
        <v>826</v>
      </c>
      <c r="B222" t="s">
        <v>827</v>
      </c>
      <c r="C222" t="s">
        <v>14241</v>
      </c>
      <c r="D222" t="s">
        <v>828</v>
      </c>
      <c r="E222" t="s">
        <v>827</v>
      </c>
      <c r="F222" t="s">
        <v>28</v>
      </c>
      <c r="G222" t="s">
        <v>827</v>
      </c>
      <c r="H222" t="str">
        <f>"F53C11.4"</f>
        <v>F53C11.4</v>
      </c>
      <c r="I222" t="s">
        <v>828</v>
      </c>
      <c r="J222" t="s">
        <v>29</v>
      </c>
      <c r="K222" t="s">
        <v>29</v>
      </c>
      <c r="L222" t="s">
        <v>29</v>
      </c>
      <c r="M222" t="s">
        <v>29</v>
      </c>
      <c r="N222" t="s">
        <v>29</v>
      </c>
      <c r="O222">
        <v>10.656681537527801</v>
      </c>
      <c r="P222" t="s">
        <v>29</v>
      </c>
      <c r="Q222" t="s">
        <v>29</v>
      </c>
      <c r="R222" t="s">
        <v>29</v>
      </c>
      <c r="S222">
        <v>10.8709378593169</v>
      </c>
      <c r="T222" t="s">
        <v>29</v>
      </c>
      <c r="U222" t="s">
        <v>29</v>
      </c>
      <c r="V222" t="s">
        <v>29</v>
      </c>
      <c r="W222" t="s">
        <v>29</v>
      </c>
      <c r="X222" t="s">
        <v>29</v>
      </c>
      <c r="Y222" t="s">
        <v>29</v>
      </c>
    </row>
    <row r="223" spans="1:25" x14ac:dyDescent="0.2">
      <c r="A223" t="s">
        <v>829</v>
      </c>
      <c r="B223" t="s">
        <v>830</v>
      </c>
      <c r="C223" t="s">
        <v>831</v>
      </c>
      <c r="D223" t="s">
        <v>832</v>
      </c>
      <c r="E223" t="s">
        <v>830</v>
      </c>
      <c r="F223" t="s">
        <v>28</v>
      </c>
      <c r="G223" t="s">
        <v>830</v>
      </c>
      <c r="H223" t="str">
        <f>"algn-3"</f>
        <v>algn-3</v>
      </c>
      <c r="I223" t="s">
        <v>832</v>
      </c>
      <c r="J223">
        <v>12.219232231587201</v>
      </c>
      <c r="K223">
        <v>12.8886891920032</v>
      </c>
      <c r="L223">
        <v>12.3779437900973</v>
      </c>
      <c r="M223" t="s">
        <v>29</v>
      </c>
      <c r="N223" t="s">
        <v>29</v>
      </c>
      <c r="O223">
        <v>12.384795096011199</v>
      </c>
      <c r="P223">
        <v>-0.11049330855138401</v>
      </c>
      <c r="Q223">
        <v>-0.69557374736962296</v>
      </c>
      <c r="R223">
        <v>0.47458713026685601</v>
      </c>
      <c r="S223">
        <v>12.632616148656901</v>
      </c>
      <c r="T223">
        <v>-0.40056216840804498</v>
      </c>
      <c r="U223">
        <v>-6.72886660389526</v>
      </c>
      <c r="V223">
        <v>0.69407497067775603</v>
      </c>
      <c r="W223">
        <v>0.80150428628030901</v>
      </c>
      <c r="X223">
        <v>0</v>
      </c>
      <c r="Y223">
        <v>0</v>
      </c>
    </row>
    <row r="224" spans="1:25" x14ac:dyDescent="0.2">
      <c r="A224" t="s">
        <v>833</v>
      </c>
      <c r="B224" t="s">
        <v>834</v>
      </c>
      <c r="C224" t="s">
        <v>835</v>
      </c>
      <c r="D224" t="s">
        <v>836</v>
      </c>
      <c r="E224" t="s">
        <v>834</v>
      </c>
      <c r="F224" t="s">
        <v>28</v>
      </c>
      <c r="G224" t="s">
        <v>834</v>
      </c>
      <c r="H224" t="str">
        <f>"rog-1"</f>
        <v>rog-1</v>
      </c>
      <c r="I224" t="s">
        <v>836</v>
      </c>
      <c r="J224" t="s">
        <v>29</v>
      </c>
      <c r="K224" t="s">
        <v>29</v>
      </c>
      <c r="L224" t="s">
        <v>29</v>
      </c>
      <c r="M224" t="s">
        <v>29</v>
      </c>
      <c r="N224" t="s">
        <v>29</v>
      </c>
      <c r="O224" t="s">
        <v>29</v>
      </c>
      <c r="P224" t="s">
        <v>29</v>
      </c>
      <c r="Q224" t="s">
        <v>29</v>
      </c>
      <c r="R224" t="s">
        <v>29</v>
      </c>
      <c r="S224">
        <v>9.9610640282896092</v>
      </c>
      <c r="T224" t="s">
        <v>29</v>
      </c>
      <c r="U224" t="s">
        <v>29</v>
      </c>
      <c r="V224" t="s">
        <v>29</v>
      </c>
      <c r="W224" t="s">
        <v>29</v>
      </c>
      <c r="X224" t="s">
        <v>29</v>
      </c>
      <c r="Y224" t="s">
        <v>29</v>
      </c>
    </row>
    <row r="225" spans="1:25" x14ac:dyDescent="0.2">
      <c r="A225" t="s">
        <v>837</v>
      </c>
      <c r="B225" t="s">
        <v>838</v>
      </c>
      <c r="C225" t="s">
        <v>839</v>
      </c>
      <c r="D225" t="s">
        <v>840</v>
      </c>
      <c r="E225" t="s">
        <v>838</v>
      </c>
      <c r="F225" t="s">
        <v>28</v>
      </c>
      <c r="G225" t="s">
        <v>838</v>
      </c>
      <c r="H225" t="str">
        <f>"znfx-1"</f>
        <v>znfx-1</v>
      </c>
      <c r="I225" t="s">
        <v>840</v>
      </c>
      <c r="J225">
        <v>12.014202056659499</v>
      </c>
      <c r="K225">
        <v>12.2226705934491</v>
      </c>
      <c r="L225">
        <v>12.4856901785815</v>
      </c>
      <c r="M225" t="s">
        <v>29</v>
      </c>
      <c r="N225" t="s">
        <v>29</v>
      </c>
      <c r="O225">
        <v>12.3567243764984</v>
      </c>
      <c r="P225">
        <v>0.115870100268422</v>
      </c>
      <c r="Q225">
        <v>-0.67852689992215698</v>
      </c>
      <c r="R225">
        <v>0.91026710045900106</v>
      </c>
      <c r="S225">
        <v>13.0247156115834</v>
      </c>
      <c r="T225">
        <v>0.31108236579179499</v>
      </c>
      <c r="U225">
        <v>-6.7618450363851901</v>
      </c>
      <c r="V225">
        <v>0.760049130352627</v>
      </c>
      <c r="W225">
        <v>0.84839036102058896</v>
      </c>
      <c r="X225">
        <v>0</v>
      </c>
      <c r="Y225">
        <v>0</v>
      </c>
    </row>
    <row r="226" spans="1:25" x14ac:dyDescent="0.2">
      <c r="A226" t="s">
        <v>841</v>
      </c>
      <c r="B226" t="s">
        <v>842</v>
      </c>
      <c r="C226" t="s">
        <v>843</v>
      </c>
      <c r="D226" t="s">
        <v>844</v>
      </c>
      <c r="E226" t="s">
        <v>842</v>
      </c>
      <c r="F226" t="s">
        <v>28</v>
      </c>
      <c r="G226" t="s">
        <v>842</v>
      </c>
      <c r="H226" t="str">
        <f>"taf-3"</f>
        <v>taf-3</v>
      </c>
      <c r="I226" t="s">
        <v>844</v>
      </c>
      <c r="J226">
        <v>11.7687791997842</v>
      </c>
      <c r="K226">
        <v>11.154428807336799</v>
      </c>
      <c r="L226">
        <v>12.192931411879201</v>
      </c>
      <c r="M226" t="s">
        <v>29</v>
      </c>
      <c r="N226" t="s">
        <v>29</v>
      </c>
      <c r="O226" t="s">
        <v>29</v>
      </c>
      <c r="P226" t="s">
        <v>29</v>
      </c>
      <c r="Q226" t="s">
        <v>29</v>
      </c>
      <c r="R226" t="s">
        <v>29</v>
      </c>
      <c r="S226">
        <v>11.536320215143499</v>
      </c>
      <c r="T226" t="s">
        <v>29</v>
      </c>
      <c r="U226" t="s">
        <v>29</v>
      </c>
      <c r="V226" t="s">
        <v>29</v>
      </c>
      <c r="W226" t="s">
        <v>29</v>
      </c>
      <c r="X226" t="s">
        <v>29</v>
      </c>
      <c r="Y226" t="s">
        <v>29</v>
      </c>
    </row>
    <row r="227" spans="1:25" x14ac:dyDescent="0.2">
      <c r="A227" t="s">
        <v>845</v>
      </c>
      <c r="B227" t="s">
        <v>846</v>
      </c>
      <c r="C227" t="s">
        <v>847</v>
      </c>
      <c r="D227" t="s">
        <v>848</v>
      </c>
      <c r="E227" t="s">
        <v>846</v>
      </c>
      <c r="F227" t="s">
        <v>28</v>
      </c>
      <c r="G227" t="s">
        <v>846</v>
      </c>
      <c r="H227" t="str">
        <f>"ttll-5"</f>
        <v>ttll-5</v>
      </c>
      <c r="I227" t="s">
        <v>848</v>
      </c>
      <c r="J227">
        <v>13.103535762065199</v>
      </c>
      <c r="K227">
        <v>13.0934947178756</v>
      </c>
      <c r="L227">
        <v>12.5409057265725</v>
      </c>
      <c r="M227">
        <v>16.625328788608702</v>
      </c>
      <c r="N227">
        <v>15.522788973356899</v>
      </c>
      <c r="O227">
        <v>14.6084082736008</v>
      </c>
      <c r="P227">
        <v>2.67286327635107</v>
      </c>
      <c r="Q227">
        <v>1.84117309872234</v>
      </c>
      <c r="R227">
        <v>3.5045534539798</v>
      </c>
      <c r="S227">
        <v>12.785663894733201</v>
      </c>
      <c r="T227">
        <v>6.8977438781711804</v>
      </c>
      <c r="U227">
        <v>3.7682646359828502</v>
      </c>
      <c r="V227" s="2">
        <v>7.65121733683686E-6</v>
      </c>
      <c r="W227">
        <v>2.27758964562204E-4</v>
      </c>
      <c r="X227">
        <v>1</v>
      </c>
      <c r="Y227">
        <v>1</v>
      </c>
    </row>
    <row r="228" spans="1:25" x14ac:dyDescent="0.2">
      <c r="A228" t="s">
        <v>849</v>
      </c>
      <c r="B228" t="s">
        <v>850</v>
      </c>
      <c r="C228" t="s">
        <v>851</v>
      </c>
      <c r="D228" t="s">
        <v>852</v>
      </c>
      <c r="E228" t="s">
        <v>850</v>
      </c>
      <c r="F228" t="s">
        <v>28</v>
      </c>
      <c r="G228" t="s">
        <v>850</v>
      </c>
      <c r="H228" t="str">
        <f>"zfr-1"</f>
        <v>zfr-1</v>
      </c>
      <c r="I228" t="s">
        <v>852</v>
      </c>
      <c r="J228">
        <v>14.6032778238748</v>
      </c>
      <c r="K228">
        <v>14.806110374133601</v>
      </c>
      <c r="L228">
        <v>14.8687476527834</v>
      </c>
      <c r="M228">
        <v>13.9994935512432</v>
      </c>
      <c r="N228">
        <v>14.246254588413599</v>
      </c>
      <c r="O228">
        <v>14.0670667989381</v>
      </c>
      <c r="P228">
        <v>-0.65510697073232105</v>
      </c>
      <c r="Q228">
        <v>-1.0256010523265799</v>
      </c>
      <c r="R228">
        <v>-0.28461288913806598</v>
      </c>
      <c r="S228">
        <v>14.7442836535943</v>
      </c>
      <c r="T228">
        <v>-3.7164086220541601</v>
      </c>
      <c r="U228">
        <v>-1.7956405274097</v>
      </c>
      <c r="V228">
        <v>1.5930902034619299E-3</v>
      </c>
      <c r="W228">
        <v>1.2586693913142899E-2</v>
      </c>
      <c r="X228">
        <v>0</v>
      </c>
      <c r="Y228">
        <v>0</v>
      </c>
    </row>
    <row r="229" spans="1:25" x14ac:dyDescent="0.2">
      <c r="A229" t="s">
        <v>853</v>
      </c>
      <c r="B229" t="s">
        <v>854</v>
      </c>
      <c r="C229" t="s">
        <v>855</v>
      </c>
      <c r="D229" t="s">
        <v>856</v>
      </c>
      <c r="E229" t="s">
        <v>854</v>
      </c>
      <c r="F229" t="s">
        <v>28</v>
      </c>
      <c r="G229" t="s">
        <v>854</v>
      </c>
      <c r="H229" t="str">
        <f>"hum-7"</f>
        <v>hum-7</v>
      </c>
      <c r="I229" t="s">
        <v>856</v>
      </c>
      <c r="J229" t="s">
        <v>29</v>
      </c>
      <c r="K229" t="s">
        <v>29</v>
      </c>
      <c r="L229" t="s">
        <v>29</v>
      </c>
      <c r="M229" t="s">
        <v>29</v>
      </c>
      <c r="N229" t="s">
        <v>29</v>
      </c>
      <c r="O229" t="s">
        <v>29</v>
      </c>
      <c r="P229" t="s">
        <v>29</v>
      </c>
      <c r="Q229" t="s">
        <v>29</v>
      </c>
      <c r="R229" t="s">
        <v>29</v>
      </c>
      <c r="S229">
        <v>11.033685438254301</v>
      </c>
      <c r="T229" t="s">
        <v>29</v>
      </c>
      <c r="U229" t="s">
        <v>29</v>
      </c>
      <c r="V229" t="s">
        <v>29</v>
      </c>
      <c r="W229" t="s">
        <v>29</v>
      </c>
      <c r="X229" t="s">
        <v>29</v>
      </c>
      <c r="Y229" t="s">
        <v>29</v>
      </c>
    </row>
    <row r="230" spans="1:25" x14ac:dyDescent="0.2">
      <c r="A230" t="s">
        <v>857</v>
      </c>
      <c r="B230" t="s">
        <v>858</v>
      </c>
      <c r="C230" t="s">
        <v>859</v>
      </c>
      <c r="D230" t="s">
        <v>860</v>
      </c>
      <c r="E230" t="s">
        <v>858</v>
      </c>
      <c r="F230" t="s">
        <v>28</v>
      </c>
      <c r="G230" t="s">
        <v>861</v>
      </c>
      <c r="H230" t="str">
        <f>"kin-9"</f>
        <v>kin-9</v>
      </c>
      <c r="I230" t="s">
        <v>323</v>
      </c>
      <c r="J230" t="s">
        <v>29</v>
      </c>
      <c r="K230" t="s">
        <v>29</v>
      </c>
      <c r="L230" t="s">
        <v>29</v>
      </c>
      <c r="M230" t="s">
        <v>29</v>
      </c>
      <c r="N230" t="s">
        <v>29</v>
      </c>
      <c r="O230">
        <v>11.4726515686559</v>
      </c>
      <c r="P230" t="s">
        <v>29</v>
      </c>
      <c r="Q230" t="s">
        <v>29</v>
      </c>
      <c r="R230" t="s">
        <v>29</v>
      </c>
      <c r="S230">
        <v>12.1438313690693</v>
      </c>
      <c r="T230" t="s">
        <v>29</v>
      </c>
      <c r="U230" t="s">
        <v>29</v>
      </c>
      <c r="V230" t="s">
        <v>29</v>
      </c>
      <c r="W230" t="s">
        <v>29</v>
      </c>
      <c r="X230" t="s">
        <v>29</v>
      </c>
      <c r="Y230" t="s">
        <v>29</v>
      </c>
    </row>
    <row r="231" spans="1:25" x14ac:dyDescent="0.2">
      <c r="A231" t="s">
        <v>862</v>
      </c>
      <c r="B231" t="s">
        <v>863</v>
      </c>
      <c r="C231" t="s">
        <v>864</v>
      </c>
      <c r="D231" t="s">
        <v>865</v>
      </c>
      <c r="E231" t="s">
        <v>863</v>
      </c>
      <c r="F231" t="s">
        <v>28</v>
      </c>
      <c r="G231" t="s">
        <v>863</v>
      </c>
      <c r="H231" t="str">
        <f>"otub-3"</f>
        <v>otub-3</v>
      </c>
      <c r="I231" t="s">
        <v>865</v>
      </c>
      <c r="J231">
        <v>11.4370952069295</v>
      </c>
      <c r="K231">
        <v>11.964136231009601</v>
      </c>
      <c r="L231">
        <v>11.0927154716552</v>
      </c>
      <c r="M231" t="s">
        <v>29</v>
      </c>
      <c r="N231" t="s">
        <v>29</v>
      </c>
      <c r="O231" t="s">
        <v>29</v>
      </c>
      <c r="P231" t="s">
        <v>29</v>
      </c>
      <c r="Q231" t="s">
        <v>29</v>
      </c>
      <c r="R231" t="s">
        <v>29</v>
      </c>
      <c r="S231">
        <v>11.138914649473399</v>
      </c>
      <c r="T231" t="s">
        <v>29</v>
      </c>
      <c r="U231" t="s">
        <v>29</v>
      </c>
      <c r="V231" t="s">
        <v>29</v>
      </c>
      <c r="W231" t="s">
        <v>29</v>
      </c>
      <c r="X231" t="s">
        <v>29</v>
      </c>
      <c r="Y231" t="s">
        <v>29</v>
      </c>
    </row>
    <row r="232" spans="1:25" x14ac:dyDescent="0.2">
      <c r="A232" t="s">
        <v>866</v>
      </c>
      <c r="B232" t="s">
        <v>867</v>
      </c>
      <c r="C232" t="s">
        <v>868</v>
      </c>
      <c r="D232" t="s">
        <v>869</v>
      </c>
      <c r="E232" t="s">
        <v>867</v>
      </c>
      <c r="F232" t="s">
        <v>28</v>
      </c>
      <c r="G232" t="s">
        <v>867</v>
      </c>
      <c r="H232" t="str">
        <f>"pmp-3"</f>
        <v>pmp-3</v>
      </c>
      <c r="I232" t="s">
        <v>869</v>
      </c>
      <c r="J232">
        <v>11.0494051461502</v>
      </c>
      <c r="K232" t="s">
        <v>29</v>
      </c>
      <c r="L232" t="s">
        <v>29</v>
      </c>
      <c r="M232" t="s">
        <v>29</v>
      </c>
      <c r="N232" t="s">
        <v>29</v>
      </c>
      <c r="O232" t="s">
        <v>29</v>
      </c>
      <c r="P232" t="s">
        <v>29</v>
      </c>
      <c r="Q232" t="s">
        <v>29</v>
      </c>
      <c r="R232" t="s">
        <v>29</v>
      </c>
      <c r="S232">
        <v>10.602018757753701</v>
      </c>
      <c r="T232" t="s">
        <v>29</v>
      </c>
      <c r="U232" t="s">
        <v>29</v>
      </c>
      <c r="V232" t="s">
        <v>29</v>
      </c>
      <c r="W232" t="s">
        <v>29</v>
      </c>
      <c r="X232" t="s">
        <v>29</v>
      </c>
      <c r="Y232" t="s">
        <v>29</v>
      </c>
    </row>
    <row r="233" spans="1:25" x14ac:dyDescent="0.2">
      <c r="A233" t="s">
        <v>870</v>
      </c>
      <c r="B233" t="s">
        <v>871</v>
      </c>
      <c r="C233" t="s">
        <v>14183</v>
      </c>
      <c r="D233" t="s">
        <v>368</v>
      </c>
      <c r="E233" t="s">
        <v>871</v>
      </c>
      <c r="F233" t="s">
        <v>28</v>
      </c>
      <c r="G233" t="s">
        <v>871</v>
      </c>
      <c r="H233" t="str">
        <f>"W05B5.1"</f>
        <v>W05B5.1</v>
      </c>
      <c r="I233" t="s">
        <v>368</v>
      </c>
      <c r="J233">
        <v>11.5418454265444</v>
      </c>
      <c r="K233" t="s">
        <v>29</v>
      </c>
      <c r="L233">
        <v>11.029308279841599</v>
      </c>
      <c r="M233" t="s">
        <v>29</v>
      </c>
      <c r="N233" t="s">
        <v>29</v>
      </c>
      <c r="O233" t="s">
        <v>29</v>
      </c>
      <c r="P233" t="s">
        <v>29</v>
      </c>
      <c r="Q233" t="s">
        <v>29</v>
      </c>
      <c r="R233" t="s">
        <v>29</v>
      </c>
      <c r="S233">
        <v>11.5150082097982</v>
      </c>
      <c r="T233" t="s">
        <v>29</v>
      </c>
      <c r="U233" t="s">
        <v>29</v>
      </c>
      <c r="V233" t="s">
        <v>29</v>
      </c>
      <c r="W233" t="s">
        <v>29</v>
      </c>
      <c r="X233" t="s">
        <v>29</v>
      </c>
      <c r="Y233" t="s">
        <v>29</v>
      </c>
    </row>
    <row r="234" spans="1:25" x14ac:dyDescent="0.2">
      <c r="A234" t="s">
        <v>872</v>
      </c>
      <c r="B234" t="s">
        <v>873</v>
      </c>
      <c r="C234" t="s">
        <v>14242</v>
      </c>
      <c r="D234" t="s">
        <v>874</v>
      </c>
      <c r="E234" t="s">
        <v>873</v>
      </c>
      <c r="F234" t="s">
        <v>28</v>
      </c>
      <c r="G234" t="s">
        <v>873</v>
      </c>
      <c r="H234" t="str">
        <f>"T26C11.4"</f>
        <v>T26C11.4</v>
      </c>
      <c r="I234" t="s">
        <v>874</v>
      </c>
      <c r="J234" t="s">
        <v>29</v>
      </c>
      <c r="K234">
        <v>10.755945998737699</v>
      </c>
      <c r="L234">
        <v>11.349839729488</v>
      </c>
      <c r="M234" t="s">
        <v>29</v>
      </c>
      <c r="N234">
        <v>10.405214107324699</v>
      </c>
      <c r="O234" t="s">
        <v>29</v>
      </c>
      <c r="P234">
        <v>-0.64767875678820097</v>
      </c>
      <c r="Q234">
        <v>-1.5475509544766799</v>
      </c>
      <c r="R234">
        <v>0.25219344090027301</v>
      </c>
      <c r="S234">
        <v>11.482159740307599</v>
      </c>
      <c r="T234">
        <v>-1.56972592596421</v>
      </c>
      <c r="U234">
        <v>-5.5584921159335199</v>
      </c>
      <c r="V234">
        <v>0.142684335424556</v>
      </c>
      <c r="W234">
        <v>0.28220854798400502</v>
      </c>
      <c r="X234">
        <v>0</v>
      </c>
      <c r="Y234">
        <v>0</v>
      </c>
    </row>
    <row r="235" spans="1:25" x14ac:dyDescent="0.2">
      <c r="A235" t="s">
        <v>875</v>
      </c>
      <c r="B235" t="s">
        <v>876</v>
      </c>
      <c r="C235" t="s">
        <v>877</v>
      </c>
      <c r="D235" t="s">
        <v>878</v>
      </c>
      <c r="E235" t="s">
        <v>876</v>
      </c>
      <c r="F235" t="s">
        <v>28</v>
      </c>
      <c r="G235" t="s">
        <v>876</v>
      </c>
      <c r="H235" t="str">
        <f>"pqn-87"</f>
        <v>pqn-87</v>
      </c>
      <c r="I235" t="s">
        <v>878</v>
      </c>
      <c r="J235">
        <v>12.6382118322897</v>
      </c>
      <c r="K235">
        <v>10.6013862155075</v>
      </c>
      <c r="L235">
        <v>11.9762274987603</v>
      </c>
      <c r="M235" t="s">
        <v>29</v>
      </c>
      <c r="N235" t="s">
        <v>29</v>
      </c>
      <c r="O235">
        <v>11.4491972836991</v>
      </c>
      <c r="P235">
        <v>-0.28941123182009998</v>
      </c>
      <c r="Q235">
        <v>-1.3844402530140101</v>
      </c>
      <c r="R235">
        <v>0.80561778937381201</v>
      </c>
      <c r="S235">
        <v>12.2018645331885</v>
      </c>
      <c r="T235">
        <v>-0.56058217242188302</v>
      </c>
      <c r="U235">
        <v>-6.6492980801503201</v>
      </c>
      <c r="V235">
        <v>0.58289857919017496</v>
      </c>
      <c r="W235">
        <v>0.721014314552196</v>
      </c>
      <c r="X235">
        <v>0</v>
      </c>
      <c r="Y235">
        <v>0</v>
      </c>
    </row>
    <row r="236" spans="1:25" x14ac:dyDescent="0.2">
      <c r="A236" t="s">
        <v>879</v>
      </c>
      <c r="B236" t="s">
        <v>880</v>
      </c>
      <c r="C236" t="s">
        <v>14243</v>
      </c>
      <c r="D236" t="s">
        <v>881</v>
      </c>
      <c r="E236" t="s">
        <v>880</v>
      </c>
      <c r="F236" t="s">
        <v>28</v>
      </c>
      <c r="G236" t="s">
        <v>880</v>
      </c>
      <c r="H236" t="str">
        <f>"F55A11.6"</f>
        <v>F55A11.6</v>
      </c>
      <c r="I236" t="s">
        <v>881</v>
      </c>
      <c r="J236">
        <v>11.287494539237001</v>
      </c>
      <c r="K236" t="s">
        <v>29</v>
      </c>
      <c r="L236" t="s">
        <v>29</v>
      </c>
      <c r="M236" t="s">
        <v>29</v>
      </c>
      <c r="N236" t="s">
        <v>29</v>
      </c>
      <c r="O236" t="s">
        <v>29</v>
      </c>
      <c r="P236" t="s">
        <v>29</v>
      </c>
      <c r="Q236" t="s">
        <v>29</v>
      </c>
      <c r="R236" t="s">
        <v>29</v>
      </c>
      <c r="S236">
        <v>11.381007339987301</v>
      </c>
      <c r="T236" t="s">
        <v>29</v>
      </c>
      <c r="U236" t="s">
        <v>29</v>
      </c>
      <c r="V236" t="s">
        <v>29</v>
      </c>
      <c r="W236" t="s">
        <v>29</v>
      </c>
      <c r="X236" t="s">
        <v>29</v>
      </c>
      <c r="Y236" t="s">
        <v>29</v>
      </c>
    </row>
    <row r="237" spans="1:25" x14ac:dyDescent="0.2">
      <c r="A237" t="s">
        <v>882</v>
      </c>
      <c r="B237" t="s">
        <v>883</v>
      </c>
      <c r="C237" t="s">
        <v>14244</v>
      </c>
      <c r="D237" t="s">
        <v>561</v>
      </c>
      <c r="E237" t="s">
        <v>883</v>
      </c>
      <c r="F237" t="s">
        <v>28</v>
      </c>
      <c r="G237" t="s">
        <v>883</v>
      </c>
      <c r="H237" t="str">
        <f>"ZC434.9"</f>
        <v>ZC434.9</v>
      </c>
      <c r="I237" t="s">
        <v>561</v>
      </c>
      <c r="J237">
        <v>13.2802871362821</v>
      </c>
      <c r="K237" t="s">
        <v>29</v>
      </c>
      <c r="L237">
        <v>12.759887081627101</v>
      </c>
      <c r="M237" t="s">
        <v>29</v>
      </c>
      <c r="N237" t="s">
        <v>29</v>
      </c>
      <c r="O237">
        <v>13.6654209476023</v>
      </c>
      <c r="P237">
        <v>0.64533383864775695</v>
      </c>
      <c r="Q237">
        <v>-0.293223197903139</v>
      </c>
      <c r="R237">
        <v>1.58389087519865</v>
      </c>
      <c r="S237">
        <v>12.721368470964601</v>
      </c>
      <c r="T237">
        <v>1.5151354569287401</v>
      </c>
      <c r="U237">
        <v>-5.6340311187544101</v>
      </c>
      <c r="V237">
        <v>0.158198618780619</v>
      </c>
      <c r="W237">
        <v>0.305512011498351</v>
      </c>
      <c r="X237">
        <v>0</v>
      </c>
      <c r="Y237">
        <v>0</v>
      </c>
    </row>
    <row r="238" spans="1:25" x14ac:dyDescent="0.2">
      <c r="A238" t="s">
        <v>884</v>
      </c>
      <c r="B238" t="s">
        <v>885</v>
      </c>
      <c r="C238" t="s">
        <v>886</v>
      </c>
      <c r="D238" t="s">
        <v>887</v>
      </c>
      <c r="E238" t="s">
        <v>885</v>
      </c>
      <c r="F238" t="s">
        <v>28</v>
      </c>
      <c r="G238" t="s">
        <v>885</v>
      </c>
      <c r="H238" t="str">
        <f>"B0511.12"</f>
        <v>B0511.12</v>
      </c>
      <c r="I238" t="s">
        <v>887</v>
      </c>
      <c r="J238" t="s">
        <v>29</v>
      </c>
      <c r="K238">
        <v>13.633028672366599</v>
      </c>
      <c r="L238" t="s">
        <v>29</v>
      </c>
      <c r="M238" t="s">
        <v>29</v>
      </c>
      <c r="N238" t="s">
        <v>29</v>
      </c>
      <c r="O238">
        <v>13.910625695308299</v>
      </c>
      <c r="P238">
        <v>0.27759702294162197</v>
      </c>
      <c r="Q238">
        <v>-1.5716431325426901</v>
      </c>
      <c r="R238">
        <v>2.1268371784259301</v>
      </c>
      <c r="S238">
        <v>11.880653929092199</v>
      </c>
      <c r="T238">
        <v>0.32739082278659198</v>
      </c>
      <c r="U238">
        <v>-6.5561117744746999</v>
      </c>
      <c r="V238">
        <v>0.74906216870091102</v>
      </c>
      <c r="W238">
        <v>0.84030689423737503</v>
      </c>
      <c r="X238">
        <v>0</v>
      </c>
      <c r="Y238">
        <v>0</v>
      </c>
    </row>
    <row r="239" spans="1:25" x14ac:dyDescent="0.2">
      <c r="A239" t="s">
        <v>888</v>
      </c>
      <c r="B239" t="s">
        <v>889</v>
      </c>
      <c r="C239" t="s">
        <v>14245</v>
      </c>
      <c r="D239" t="s">
        <v>890</v>
      </c>
      <c r="E239" t="s">
        <v>889</v>
      </c>
      <c r="F239" t="s">
        <v>28</v>
      </c>
      <c r="G239" t="s">
        <v>889</v>
      </c>
      <c r="H239" t="str">
        <f>"F38A1.8"</f>
        <v>F38A1.8</v>
      </c>
      <c r="I239" t="s">
        <v>890</v>
      </c>
      <c r="J239">
        <v>13.686242002215501</v>
      </c>
      <c r="K239">
        <v>13.667998078095399</v>
      </c>
      <c r="L239">
        <v>13.494038374502701</v>
      </c>
      <c r="M239" t="s">
        <v>29</v>
      </c>
      <c r="N239">
        <v>14.5238799342929</v>
      </c>
      <c r="O239">
        <v>14.833932349960399</v>
      </c>
      <c r="P239">
        <v>1.06281332385542</v>
      </c>
      <c r="Q239">
        <v>0.620688775012606</v>
      </c>
      <c r="R239">
        <v>1.5049378726982401</v>
      </c>
      <c r="S239">
        <v>14.040037880015699</v>
      </c>
      <c r="T239">
        <v>5.07413916039493</v>
      </c>
      <c r="U239">
        <v>1.13740883962027</v>
      </c>
      <c r="V239" s="2">
        <v>9.5625552424962295E-5</v>
      </c>
      <c r="W239">
        <v>1.6976415843154499E-3</v>
      </c>
      <c r="X239">
        <v>1</v>
      </c>
      <c r="Y239">
        <v>1</v>
      </c>
    </row>
    <row r="240" spans="1:25" x14ac:dyDescent="0.2">
      <c r="A240" t="s">
        <v>891</v>
      </c>
      <c r="B240" t="s">
        <v>892</v>
      </c>
      <c r="C240" t="s">
        <v>893</v>
      </c>
      <c r="D240" t="s">
        <v>107</v>
      </c>
      <c r="E240" t="s">
        <v>892</v>
      </c>
      <c r="F240" t="s">
        <v>28</v>
      </c>
      <c r="G240" t="s">
        <v>894</v>
      </c>
      <c r="H240" t="str">
        <f>"str-176"</f>
        <v>str-176</v>
      </c>
      <c r="I240" t="s">
        <v>107</v>
      </c>
      <c r="J240">
        <v>14.691667800415299</v>
      </c>
      <c r="K240">
        <v>14.019044334253</v>
      </c>
      <c r="L240">
        <v>14.1799997720278</v>
      </c>
      <c r="M240" t="s">
        <v>29</v>
      </c>
      <c r="N240" t="s">
        <v>29</v>
      </c>
      <c r="O240" t="s">
        <v>29</v>
      </c>
      <c r="P240" t="s">
        <v>29</v>
      </c>
      <c r="Q240" t="s">
        <v>29</v>
      </c>
      <c r="R240" t="s">
        <v>29</v>
      </c>
      <c r="S240">
        <v>14.2148312333278</v>
      </c>
      <c r="T240" t="s">
        <v>29</v>
      </c>
      <c r="U240" t="s">
        <v>29</v>
      </c>
      <c r="V240" t="s">
        <v>29</v>
      </c>
      <c r="W240" t="s">
        <v>29</v>
      </c>
      <c r="X240" t="s">
        <v>29</v>
      </c>
      <c r="Y240" t="s">
        <v>29</v>
      </c>
    </row>
    <row r="241" spans="1:25" x14ac:dyDescent="0.2">
      <c r="A241" t="s">
        <v>895</v>
      </c>
      <c r="B241" t="s">
        <v>896</v>
      </c>
      <c r="C241" t="s">
        <v>14246</v>
      </c>
      <c r="D241" t="s">
        <v>897</v>
      </c>
      <c r="E241" t="s">
        <v>896</v>
      </c>
      <c r="F241" t="s">
        <v>28</v>
      </c>
      <c r="G241" t="s">
        <v>896</v>
      </c>
      <c r="H241" t="str">
        <f>"Y50D4A.1"</f>
        <v>Y50D4A.1</v>
      </c>
      <c r="I241" t="s">
        <v>897</v>
      </c>
      <c r="J241">
        <v>11.959115936977399</v>
      </c>
      <c r="K241">
        <v>13.3807630915841</v>
      </c>
      <c r="L241">
        <v>12.9641653475742</v>
      </c>
      <c r="M241" t="s">
        <v>29</v>
      </c>
      <c r="N241" t="s">
        <v>29</v>
      </c>
      <c r="O241" t="s">
        <v>29</v>
      </c>
      <c r="P241" t="s">
        <v>29</v>
      </c>
      <c r="Q241" t="s">
        <v>29</v>
      </c>
      <c r="R241" t="s">
        <v>29</v>
      </c>
      <c r="S241">
        <v>13.168204247553399</v>
      </c>
      <c r="T241" t="s">
        <v>29</v>
      </c>
      <c r="U241" t="s">
        <v>29</v>
      </c>
      <c r="V241" t="s">
        <v>29</v>
      </c>
      <c r="W241" t="s">
        <v>29</v>
      </c>
      <c r="X241" t="s">
        <v>29</v>
      </c>
      <c r="Y241" t="s">
        <v>29</v>
      </c>
    </row>
    <row r="242" spans="1:25" x14ac:dyDescent="0.2">
      <c r="A242" t="s">
        <v>898</v>
      </c>
      <c r="B242" t="s">
        <v>899</v>
      </c>
      <c r="C242" t="s">
        <v>900</v>
      </c>
      <c r="D242" t="s">
        <v>901</v>
      </c>
      <c r="E242" t="s">
        <v>899</v>
      </c>
      <c r="F242" t="s">
        <v>28</v>
      </c>
      <c r="G242" t="s">
        <v>899</v>
      </c>
      <c r="H242" t="str">
        <f>"nhr-119"</f>
        <v>nhr-119</v>
      </c>
      <c r="I242" t="s">
        <v>901</v>
      </c>
      <c r="J242" t="s">
        <v>29</v>
      </c>
      <c r="K242" t="s">
        <v>29</v>
      </c>
      <c r="L242" t="s">
        <v>29</v>
      </c>
      <c r="M242" t="s">
        <v>29</v>
      </c>
      <c r="N242" t="s">
        <v>29</v>
      </c>
      <c r="O242" t="s">
        <v>29</v>
      </c>
      <c r="P242" t="s">
        <v>29</v>
      </c>
      <c r="Q242" t="s">
        <v>29</v>
      </c>
      <c r="R242" t="s">
        <v>29</v>
      </c>
      <c r="S242">
        <v>11.2970360588912</v>
      </c>
      <c r="T242" t="s">
        <v>29</v>
      </c>
      <c r="U242" t="s">
        <v>29</v>
      </c>
      <c r="V242" t="s">
        <v>29</v>
      </c>
      <c r="W242" t="s">
        <v>29</v>
      </c>
      <c r="X242" t="s">
        <v>29</v>
      </c>
      <c r="Y242" t="s">
        <v>29</v>
      </c>
    </row>
    <row r="243" spans="1:25" x14ac:dyDescent="0.2">
      <c r="A243" t="s">
        <v>902</v>
      </c>
      <c r="B243" t="s">
        <v>903</v>
      </c>
      <c r="C243" t="s">
        <v>904</v>
      </c>
      <c r="D243" t="s">
        <v>905</v>
      </c>
      <c r="E243" t="s">
        <v>903</v>
      </c>
      <c r="F243" t="s">
        <v>28</v>
      </c>
      <c r="G243" t="s">
        <v>903</v>
      </c>
      <c r="H243" t="str">
        <f>"pqn-52"</f>
        <v>pqn-52</v>
      </c>
      <c r="I243" t="s">
        <v>905</v>
      </c>
      <c r="J243">
        <v>16.076508162008601</v>
      </c>
      <c r="K243">
        <v>15.9103727093534</v>
      </c>
      <c r="L243">
        <v>16.7894165353541</v>
      </c>
      <c r="M243">
        <v>18.439699413346698</v>
      </c>
      <c r="N243">
        <v>17.789704673428702</v>
      </c>
      <c r="O243">
        <v>17.098260183962299</v>
      </c>
      <c r="P243">
        <v>1.51712228800717</v>
      </c>
      <c r="Q243">
        <v>0.699242219376213</v>
      </c>
      <c r="R243">
        <v>2.3350023566381202</v>
      </c>
      <c r="S243">
        <v>15.970391558551</v>
      </c>
      <c r="T243">
        <v>3.89873284671474</v>
      </c>
      <c r="U243">
        <v>-1.3950882945443299</v>
      </c>
      <c r="V243">
        <v>1.06233884073344E-3</v>
      </c>
      <c r="W243">
        <v>9.4870077686104292E-3</v>
      </c>
      <c r="X243">
        <v>1</v>
      </c>
      <c r="Y243">
        <v>1</v>
      </c>
    </row>
    <row r="244" spans="1:25" x14ac:dyDescent="0.2">
      <c r="A244" t="s">
        <v>906</v>
      </c>
      <c r="B244" t="s">
        <v>907</v>
      </c>
      <c r="C244" t="s">
        <v>908</v>
      </c>
      <c r="D244" t="s">
        <v>909</v>
      </c>
      <c r="E244" t="s">
        <v>907</v>
      </c>
      <c r="F244" t="s">
        <v>28</v>
      </c>
      <c r="G244" t="s">
        <v>907</v>
      </c>
      <c r="H244" t="str">
        <f>"ttn-1"</f>
        <v>ttn-1</v>
      </c>
      <c r="I244" t="s">
        <v>909</v>
      </c>
      <c r="J244">
        <v>14.3170271097219</v>
      </c>
      <c r="K244">
        <v>14.4381174917685</v>
      </c>
      <c r="L244">
        <v>14.7130061646836</v>
      </c>
      <c r="M244">
        <v>13.033660874289099</v>
      </c>
      <c r="N244">
        <v>13.7443472534846</v>
      </c>
      <c r="O244">
        <v>13.8977333436092</v>
      </c>
      <c r="P244">
        <v>-0.93080309826372198</v>
      </c>
      <c r="Q244">
        <v>-1.4682147049481</v>
      </c>
      <c r="R244">
        <v>-0.393391491579343</v>
      </c>
      <c r="S244">
        <v>14.376157807070999</v>
      </c>
      <c r="T244">
        <v>-3.6403512641023901</v>
      </c>
      <c r="U244">
        <v>-1.9620984699991799</v>
      </c>
      <c r="V244">
        <v>1.8862677890172099E-3</v>
      </c>
      <c r="W244">
        <v>1.4135134615465899E-2</v>
      </c>
      <c r="X244">
        <v>0</v>
      </c>
      <c r="Y244">
        <v>0</v>
      </c>
    </row>
    <row r="245" spans="1:25" x14ac:dyDescent="0.2">
      <c r="A245" t="s">
        <v>910</v>
      </c>
      <c r="B245" t="s">
        <v>911</v>
      </c>
      <c r="C245" t="s">
        <v>14247</v>
      </c>
      <c r="D245" t="s">
        <v>912</v>
      </c>
      <c r="E245" t="s">
        <v>911</v>
      </c>
      <c r="F245" t="s">
        <v>28</v>
      </c>
      <c r="G245" t="s">
        <v>911</v>
      </c>
      <c r="H245" t="str">
        <f>"T10F2.5"</f>
        <v>T10F2.5</v>
      </c>
      <c r="I245" t="s">
        <v>912</v>
      </c>
      <c r="J245">
        <v>14.3955559119595</v>
      </c>
      <c r="K245" t="s">
        <v>29</v>
      </c>
      <c r="L245">
        <v>13.4747996115987</v>
      </c>
      <c r="M245" t="s">
        <v>29</v>
      </c>
      <c r="N245" t="s">
        <v>29</v>
      </c>
      <c r="O245" t="s">
        <v>29</v>
      </c>
      <c r="P245" t="s">
        <v>29</v>
      </c>
      <c r="Q245" t="s">
        <v>29</v>
      </c>
      <c r="R245" t="s">
        <v>29</v>
      </c>
      <c r="S245">
        <v>13.180131236710199</v>
      </c>
      <c r="T245" t="s">
        <v>29</v>
      </c>
      <c r="U245" t="s">
        <v>29</v>
      </c>
      <c r="V245" t="s">
        <v>29</v>
      </c>
      <c r="W245" t="s">
        <v>29</v>
      </c>
      <c r="X245" t="s">
        <v>29</v>
      </c>
      <c r="Y245" t="s">
        <v>29</v>
      </c>
    </row>
    <row r="246" spans="1:25" x14ac:dyDescent="0.2">
      <c r="A246" t="s">
        <v>913</v>
      </c>
      <c r="B246" t="s">
        <v>914</v>
      </c>
      <c r="C246" t="s">
        <v>14171</v>
      </c>
      <c r="D246" t="s">
        <v>915</v>
      </c>
      <c r="E246" t="s">
        <v>914</v>
      </c>
      <c r="F246" t="s">
        <v>28</v>
      </c>
      <c r="G246" t="s">
        <v>914</v>
      </c>
      <c r="H246" t="str">
        <f>"Y92H12BM.1"</f>
        <v>Y92H12BM.1</v>
      </c>
      <c r="I246" t="s">
        <v>915</v>
      </c>
      <c r="J246">
        <v>10.2205996185674</v>
      </c>
      <c r="K246" t="s">
        <v>29</v>
      </c>
      <c r="L246">
        <v>10.361591120431401</v>
      </c>
      <c r="M246" t="s">
        <v>29</v>
      </c>
      <c r="N246">
        <v>15.069301736450599</v>
      </c>
      <c r="O246">
        <v>15.1372625855062</v>
      </c>
      <c r="P246">
        <v>4.8121867914789904</v>
      </c>
      <c r="Q246">
        <v>4.20176183300463</v>
      </c>
      <c r="R246">
        <v>5.4226117499533597</v>
      </c>
      <c r="S246">
        <v>13.1312676075153</v>
      </c>
      <c r="T246">
        <v>16.720902873418002</v>
      </c>
      <c r="U246">
        <v>16.503044593535201</v>
      </c>
      <c r="V246" s="2">
        <v>1.6502338245428501E-11</v>
      </c>
      <c r="W246" s="2">
        <v>8.1053984682129794E-9</v>
      </c>
      <c r="X246">
        <v>1</v>
      </c>
      <c r="Y246">
        <v>1</v>
      </c>
    </row>
    <row r="247" spans="1:25" x14ac:dyDescent="0.2">
      <c r="A247" t="s">
        <v>916</v>
      </c>
      <c r="B247" t="s">
        <v>917</v>
      </c>
      <c r="C247" t="s">
        <v>918</v>
      </c>
      <c r="D247" t="s">
        <v>919</v>
      </c>
      <c r="E247" t="s">
        <v>917</v>
      </c>
      <c r="F247" t="s">
        <v>28</v>
      </c>
      <c r="G247" t="s">
        <v>917</v>
      </c>
      <c r="H247" t="str">
        <f>"mtg-1"</f>
        <v>mtg-1</v>
      </c>
      <c r="I247" t="s">
        <v>919</v>
      </c>
      <c r="J247">
        <v>10.892559198808399</v>
      </c>
      <c r="K247">
        <v>11.00562227132</v>
      </c>
      <c r="L247">
        <v>11.165406456319801</v>
      </c>
      <c r="M247" t="s">
        <v>29</v>
      </c>
      <c r="N247" t="s">
        <v>29</v>
      </c>
      <c r="O247" t="s">
        <v>29</v>
      </c>
      <c r="P247" t="s">
        <v>29</v>
      </c>
      <c r="Q247" t="s">
        <v>29</v>
      </c>
      <c r="R247" t="s">
        <v>29</v>
      </c>
      <c r="S247">
        <v>11.7630028361218</v>
      </c>
      <c r="T247" t="s">
        <v>29</v>
      </c>
      <c r="U247" t="s">
        <v>29</v>
      </c>
      <c r="V247" t="s">
        <v>29</v>
      </c>
      <c r="W247" t="s">
        <v>29</v>
      </c>
      <c r="X247" t="s">
        <v>29</v>
      </c>
      <c r="Y247" t="s">
        <v>29</v>
      </c>
    </row>
    <row r="248" spans="1:25" x14ac:dyDescent="0.2">
      <c r="A248" t="s">
        <v>920</v>
      </c>
      <c r="B248" t="s">
        <v>921</v>
      </c>
      <c r="C248" t="s">
        <v>922</v>
      </c>
      <c r="D248" t="s">
        <v>93</v>
      </c>
      <c r="E248" t="s">
        <v>921</v>
      </c>
      <c r="F248" t="s">
        <v>28</v>
      </c>
      <c r="G248" t="s">
        <v>921</v>
      </c>
      <c r="H248" t="str">
        <f>"hrpu-2"</f>
        <v>hrpu-2</v>
      </c>
      <c r="I248" t="s">
        <v>93</v>
      </c>
      <c r="J248">
        <v>17.362313263654201</v>
      </c>
      <c r="K248">
        <v>17.768661615750599</v>
      </c>
      <c r="L248">
        <v>17.793895299654999</v>
      </c>
      <c r="M248">
        <v>16.3316166819071</v>
      </c>
      <c r="N248">
        <v>16.437396171711899</v>
      </c>
      <c r="O248">
        <v>15.601006764518299</v>
      </c>
      <c r="P248">
        <v>-1.51828352030751</v>
      </c>
      <c r="Q248">
        <v>-1.95824218279009</v>
      </c>
      <c r="R248">
        <v>-1.07832485782492</v>
      </c>
      <c r="S248">
        <v>17.651722802158201</v>
      </c>
      <c r="T248">
        <v>-7.2532645558373297</v>
      </c>
      <c r="U248">
        <v>5.63359535349311</v>
      </c>
      <c r="V248" s="2">
        <v>9.9493304074759805E-7</v>
      </c>
      <c r="W248" s="2">
        <v>4.8066683132510998E-5</v>
      </c>
      <c r="X248">
        <v>-1</v>
      </c>
      <c r="Y248">
        <v>-1</v>
      </c>
    </row>
    <row r="249" spans="1:25" x14ac:dyDescent="0.2">
      <c r="A249" t="s">
        <v>923</v>
      </c>
      <c r="B249" t="s">
        <v>924</v>
      </c>
      <c r="C249" t="s">
        <v>925</v>
      </c>
      <c r="D249" t="s">
        <v>926</v>
      </c>
      <c r="E249" t="s">
        <v>924</v>
      </c>
      <c r="F249" t="s">
        <v>28</v>
      </c>
      <c r="G249" t="s">
        <v>924</v>
      </c>
      <c r="H249" t="str">
        <f>"slc-36.2"</f>
        <v>slc-36.2</v>
      </c>
      <c r="I249" t="s">
        <v>926</v>
      </c>
      <c r="J249">
        <v>15.0153462890482</v>
      </c>
      <c r="K249">
        <v>15.156529550622301</v>
      </c>
      <c r="L249">
        <v>14.9193734868983</v>
      </c>
      <c r="M249">
        <v>14.6831237084352</v>
      </c>
      <c r="N249">
        <v>14.8303336536154</v>
      </c>
      <c r="O249">
        <v>14.809611125782601</v>
      </c>
      <c r="P249">
        <v>-0.25606027957857003</v>
      </c>
      <c r="Q249">
        <v>-0.71813751255830305</v>
      </c>
      <c r="R249">
        <v>0.20601695340116299</v>
      </c>
      <c r="S249">
        <v>14.9781872952759</v>
      </c>
      <c r="T249">
        <v>-1.16471631123536</v>
      </c>
      <c r="U249">
        <v>-6.4702330640489096</v>
      </c>
      <c r="V249">
        <v>0.25942628929470901</v>
      </c>
      <c r="W249">
        <v>0.42628782406159899</v>
      </c>
      <c r="X249">
        <v>0</v>
      </c>
      <c r="Y249">
        <v>0</v>
      </c>
    </row>
    <row r="250" spans="1:25" x14ac:dyDescent="0.2">
      <c r="A250" t="s">
        <v>927</v>
      </c>
      <c r="B250" t="s">
        <v>928</v>
      </c>
      <c r="C250" t="s">
        <v>929</v>
      </c>
      <c r="D250" t="s">
        <v>930</v>
      </c>
      <c r="E250" t="s">
        <v>928</v>
      </c>
      <c r="F250" t="s">
        <v>28</v>
      </c>
      <c r="G250" t="s">
        <v>928</v>
      </c>
      <c r="H250" t="str">
        <f>"abtm-1"</f>
        <v>abtm-1</v>
      </c>
      <c r="I250" t="s">
        <v>930</v>
      </c>
      <c r="J250">
        <v>13.950891351375001</v>
      </c>
      <c r="K250">
        <v>13.9453088298523</v>
      </c>
      <c r="L250">
        <v>13.5627318949975</v>
      </c>
      <c r="M250">
        <v>13.3200084153048</v>
      </c>
      <c r="N250">
        <v>13.364684171124001</v>
      </c>
      <c r="O250">
        <v>14.018169219734</v>
      </c>
      <c r="P250">
        <v>-0.25202342335401101</v>
      </c>
      <c r="Q250">
        <v>-0.67835721190164699</v>
      </c>
      <c r="R250">
        <v>0.174310365193625</v>
      </c>
      <c r="S250">
        <v>13.6740276515748</v>
      </c>
      <c r="T250">
        <v>-1.2424635769690699</v>
      </c>
      <c r="U250">
        <v>-6.37942270393469</v>
      </c>
      <c r="V250">
        <v>0.23010136421941799</v>
      </c>
      <c r="W250">
        <v>0.39470737992718802</v>
      </c>
      <c r="X250">
        <v>0</v>
      </c>
      <c r="Y250">
        <v>0</v>
      </c>
    </row>
    <row r="251" spans="1:25" x14ac:dyDescent="0.2">
      <c r="A251" t="s">
        <v>931</v>
      </c>
      <c r="B251" t="s">
        <v>932</v>
      </c>
      <c r="C251" t="s">
        <v>933</v>
      </c>
      <c r="D251" t="s">
        <v>178</v>
      </c>
      <c r="E251" t="s">
        <v>932</v>
      </c>
      <c r="F251" t="s">
        <v>28</v>
      </c>
      <c r="G251" t="s">
        <v>932</v>
      </c>
      <c r="H251" t="str">
        <f>"tbc-9"</f>
        <v>tbc-9</v>
      </c>
      <c r="I251" t="s">
        <v>178</v>
      </c>
      <c r="J251">
        <v>11.006377981375101</v>
      </c>
      <c r="K251">
        <v>11.898298025546101</v>
      </c>
      <c r="L251">
        <v>11.521636654200901</v>
      </c>
      <c r="M251" t="s">
        <v>29</v>
      </c>
      <c r="N251" t="s">
        <v>29</v>
      </c>
      <c r="O251">
        <v>11.8263450320504</v>
      </c>
      <c r="P251">
        <v>0.35090747834303898</v>
      </c>
      <c r="Q251">
        <v>-0.75798946708309201</v>
      </c>
      <c r="R251">
        <v>1.4598044237691701</v>
      </c>
      <c r="S251">
        <v>11.697421566274301</v>
      </c>
      <c r="T251">
        <v>0.67490561667906201</v>
      </c>
      <c r="U251">
        <v>-6.5761839006795597</v>
      </c>
      <c r="V251">
        <v>0.51007695024436395</v>
      </c>
      <c r="W251">
        <v>0.66337015550315104</v>
      </c>
      <c r="X251">
        <v>0</v>
      </c>
      <c r="Y251">
        <v>0</v>
      </c>
    </row>
    <row r="252" spans="1:25" x14ac:dyDescent="0.2">
      <c r="A252" t="s">
        <v>934</v>
      </c>
      <c r="B252" t="s">
        <v>935</v>
      </c>
      <c r="C252" t="s">
        <v>936</v>
      </c>
      <c r="D252" t="s">
        <v>937</v>
      </c>
      <c r="E252" t="s">
        <v>935</v>
      </c>
      <c r="F252" t="s">
        <v>28</v>
      </c>
      <c r="G252" t="s">
        <v>935</v>
      </c>
      <c r="H252" t="str">
        <f>"cir-1"</f>
        <v>cir-1</v>
      </c>
      <c r="I252" t="s">
        <v>937</v>
      </c>
      <c r="J252">
        <v>12.702419251531699</v>
      </c>
      <c r="K252">
        <v>12.5906853584743</v>
      </c>
      <c r="L252">
        <v>13.176833625487999</v>
      </c>
      <c r="M252" t="s">
        <v>29</v>
      </c>
      <c r="N252" t="s">
        <v>29</v>
      </c>
      <c r="O252" t="s">
        <v>29</v>
      </c>
      <c r="P252" t="s">
        <v>29</v>
      </c>
      <c r="Q252" t="s">
        <v>29</v>
      </c>
      <c r="R252" t="s">
        <v>29</v>
      </c>
      <c r="S252">
        <v>12.9179646629446</v>
      </c>
      <c r="T252" t="s">
        <v>29</v>
      </c>
      <c r="U252" t="s">
        <v>29</v>
      </c>
      <c r="V252" t="s">
        <v>29</v>
      </c>
      <c r="W252" t="s">
        <v>29</v>
      </c>
      <c r="X252" t="s">
        <v>29</v>
      </c>
      <c r="Y252" t="s">
        <v>29</v>
      </c>
    </row>
    <row r="253" spans="1:25" x14ac:dyDescent="0.2">
      <c r="A253" t="s">
        <v>938</v>
      </c>
      <c r="B253" t="s">
        <v>939</v>
      </c>
      <c r="C253" t="s">
        <v>940</v>
      </c>
      <c r="D253" t="s">
        <v>941</v>
      </c>
      <c r="E253" t="s">
        <v>939</v>
      </c>
      <c r="F253" t="s">
        <v>28</v>
      </c>
      <c r="G253" t="s">
        <v>939</v>
      </c>
      <c r="H253" t="str">
        <f>"sax-3"</f>
        <v>sax-3</v>
      </c>
      <c r="I253" t="s">
        <v>941</v>
      </c>
      <c r="J253" t="s">
        <v>29</v>
      </c>
      <c r="K253" t="s">
        <v>29</v>
      </c>
      <c r="L253" t="s">
        <v>29</v>
      </c>
      <c r="M253" t="s">
        <v>29</v>
      </c>
      <c r="N253" t="s">
        <v>29</v>
      </c>
      <c r="O253" t="s">
        <v>29</v>
      </c>
      <c r="P253" t="s">
        <v>29</v>
      </c>
      <c r="Q253" t="s">
        <v>29</v>
      </c>
      <c r="R253" t="s">
        <v>29</v>
      </c>
      <c r="S253">
        <v>10.700055777954001</v>
      </c>
      <c r="T253" t="s">
        <v>29</v>
      </c>
      <c r="U253" t="s">
        <v>29</v>
      </c>
      <c r="V253" t="s">
        <v>29</v>
      </c>
      <c r="W253" t="s">
        <v>29</v>
      </c>
      <c r="X253" t="s">
        <v>29</v>
      </c>
      <c r="Y253" t="s">
        <v>29</v>
      </c>
    </row>
    <row r="254" spans="1:25" x14ac:dyDescent="0.2">
      <c r="A254" t="s">
        <v>942</v>
      </c>
      <c r="B254" t="s">
        <v>943</v>
      </c>
      <c r="C254" t="s">
        <v>944</v>
      </c>
      <c r="D254" t="s">
        <v>945</v>
      </c>
      <c r="E254" t="s">
        <v>943</v>
      </c>
      <c r="F254" t="s">
        <v>28</v>
      </c>
      <c r="G254" t="s">
        <v>943</v>
      </c>
      <c r="H254" t="str">
        <f>"pud-2.1"</f>
        <v>pud-2.1</v>
      </c>
      <c r="I254" t="s">
        <v>945</v>
      </c>
      <c r="J254">
        <v>12.579989328216101</v>
      </c>
      <c r="K254" t="s">
        <v>29</v>
      </c>
      <c r="L254" t="s">
        <v>29</v>
      </c>
      <c r="M254">
        <v>15.5012082771705</v>
      </c>
      <c r="N254">
        <v>16.0561794045956</v>
      </c>
      <c r="O254">
        <v>14.986600004034401</v>
      </c>
      <c r="P254">
        <v>2.93467323371739</v>
      </c>
      <c r="Q254">
        <v>1.1487387375039999</v>
      </c>
      <c r="R254">
        <v>4.72060772993078</v>
      </c>
      <c r="S254">
        <v>12.743811753127099</v>
      </c>
      <c r="T254">
        <v>3.5528876098812399</v>
      </c>
      <c r="U254">
        <v>-2.1508640087228601</v>
      </c>
      <c r="V254">
        <v>3.5784305771723399E-3</v>
      </c>
      <c r="W254">
        <v>2.2313502331048299E-2</v>
      </c>
      <c r="X254">
        <v>1</v>
      </c>
      <c r="Y254">
        <v>1</v>
      </c>
    </row>
    <row r="255" spans="1:25" x14ac:dyDescent="0.2">
      <c r="A255" t="s">
        <v>946</v>
      </c>
      <c r="B255" t="s">
        <v>947</v>
      </c>
      <c r="C255" t="s">
        <v>948</v>
      </c>
      <c r="D255" t="s">
        <v>949</v>
      </c>
      <c r="E255" t="s">
        <v>947</v>
      </c>
      <c r="F255" t="s">
        <v>28</v>
      </c>
      <c r="G255" t="s">
        <v>947</v>
      </c>
      <c r="H255" t="str">
        <f>"lgmn-1"</f>
        <v>lgmn-1</v>
      </c>
      <c r="I255" t="s">
        <v>949</v>
      </c>
      <c r="J255">
        <v>14.397330712238199</v>
      </c>
      <c r="K255">
        <v>13.7209944856377</v>
      </c>
      <c r="L255">
        <v>14.0968536431469</v>
      </c>
      <c r="M255">
        <v>15.8820456853088</v>
      </c>
      <c r="N255">
        <v>14.765243097538301</v>
      </c>
      <c r="O255">
        <v>13.564318533487601</v>
      </c>
      <c r="P255">
        <v>0.66547615843732899</v>
      </c>
      <c r="Q255">
        <v>-0.13093777382344801</v>
      </c>
      <c r="R255">
        <v>1.46189009069811</v>
      </c>
      <c r="S255">
        <v>13.8277194209185</v>
      </c>
      <c r="T255">
        <v>1.7562493042816201</v>
      </c>
      <c r="U255">
        <v>-5.6636618050124801</v>
      </c>
      <c r="V255">
        <v>9.6145244789244105E-2</v>
      </c>
      <c r="W255">
        <v>0.210942658803666</v>
      </c>
      <c r="X255">
        <v>0</v>
      </c>
      <c r="Y255">
        <v>0</v>
      </c>
    </row>
    <row r="256" spans="1:25" x14ac:dyDescent="0.2">
      <c r="A256" t="s">
        <v>950</v>
      </c>
      <c r="B256" t="s">
        <v>951</v>
      </c>
      <c r="C256" t="s">
        <v>952</v>
      </c>
      <c r="D256" t="s">
        <v>953</v>
      </c>
      <c r="E256" t="s">
        <v>951</v>
      </c>
      <c r="F256" t="s">
        <v>28</v>
      </c>
      <c r="G256" t="s">
        <v>951</v>
      </c>
      <c r="H256" t="str">
        <f>"rde-4"</f>
        <v>rde-4</v>
      </c>
      <c r="I256" t="s">
        <v>953</v>
      </c>
      <c r="J256">
        <v>13.9415403978082</v>
      </c>
      <c r="K256">
        <v>13.631220333598799</v>
      </c>
      <c r="L256">
        <v>13.6145439469664</v>
      </c>
      <c r="M256">
        <v>14.1292383701497</v>
      </c>
      <c r="N256">
        <v>15.1613670314636</v>
      </c>
      <c r="O256">
        <v>15.7017845729805</v>
      </c>
      <c r="P256">
        <v>1.26836176540683</v>
      </c>
      <c r="Q256">
        <v>0.67105835510708101</v>
      </c>
      <c r="R256">
        <v>1.8656651757065801</v>
      </c>
      <c r="S256">
        <v>14.3896274708015</v>
      </c>
      <c r="T256">
        <v>4.4631415474112899</v>
      </c>
      <c r="U256">
        <v>-0.150405101311717</v>
      </c>
      <c r="V256">
        <v>3.0441876592110203E-4</v>
      </c>
      <c r="W256">
        <v>3.7536489672363601E-3</v>
      </c>
      <c r="X256">
        <v>1</v>
      </c>
      <c r="Y256">
        <v>1</v>
      </c>
    </row>
    <row r="257" spans="1:25" x14ac:dyDescent="0.2">
      <c r="A257" t="s">
        <v>954</v>
      </c>
      <c r="B257" t="s">
        <v>955</v>
      </c>
      <c r="C257" t="s">
        <v>956</v>
      </c>
      <c r="D257" t="s">
        <v>957</v>
      </c>
      <c r="E257" t="s">
        <v>955</v>
      </c>
      <c r="F257" t="s">
        <v>28</v>
      </c>
      <c r="G257" t="s">
        <v>955</v>
      </c>
      <c r="H257" t="str">
        <f>"egl-8"</f>
        <v>egl-8</v>
      </c>
      <c r="I257" t="s">
        <v>957</v>
      </c>
      <c r="J257">
        <v>13.1672224866586</v>
      </c>
      <c r="K257" t="s">
        <v>29</v>
      </c>
      <c r="L257" t="s">
        <v>29</v>
      </c>
      <c r="M257" t="s">
        <v>29</v>
      </c>
      <c r="N257" t="s">
        <v>29</v>
      </c>
      <c r="O257">
        <v>13.012983513099901</v>
      </c>
      <c r="P257">
        <v>-0.15423897355876201</v>
      </c>
      <c r="Q257">
        <v>-1.56282635705529</v>
      </c>
      <c r="R257">
        <v>1.25434840993777</v>
      </c>
      <c r="S257">
        <v>11.485753495443101</v>
      </c>
      <c r="T257">
        <v>-0.236754137074005</v>
      </c>
      <c r="U257">
        <v>-6.58332212407882</v>
      </c>
      <c r="V257">
        <v>0.81656695254606004</v>
      </c>
      <c r="W257">
        <v>0.88536527194747505</v>
      </c>
      <c r="X257">
        <v>0</v>
      </c>
      <c r="Y257">
        <v>0</v>
      </c>
    </row>
    <row r="258" spans="1:25" x14ac:dyDescent="0.2">
      <c r="A258" t="s">
        <v>958</v>
      </c>
      <c r="B258" t="s">
        <v>959</v>
      </c>
      <c r="C258" t="s">
        <v>960</v>
      </c>
      <c r="D258" t="s">
        <v>961</v>
      </c>
      <c r="E258" t="s">
        <v>959</v>
      </c>
      <c r="F258" t="s">
        <v>28</v>
      </c>
      <c r="G258" t="s">
        <v>959</v>
      </c>
      <c r="H258" t="str">
        <f>"tat-5"</f>
        <v>tat-5</v>
      </c>
      <c r="I258" t="s">
        <v>961</v>
      </c>
      <c r="J258">
        <v>13.082799011155201</v>
      </c>
      <c r="K258">
        <v>13.147862547203299</v>
      </c>
      <c r="L258">
        <v>13.0058582987875</v>
      </c>
      <c r="M258" t="s">
        <v>29</v>
      </c>
      <c r="N258" t="s">
        <v>29</v>
      </c>
      <c r="O258">
        <v>13.0093306888916</v>
      </c>
      <c r="P258">
        <v>-6.9509263490378004E-2</v>
      </c>
      <c r="Q258">
        <v>-0.66476197708872398</v>
      </c>
      <c r="R258">
        <v>0.52574345010796797</v>
      </c>
      <c r="S258">
        <v>13.046465909581199</v>
      </c>
      <c r="T258">
        <v>-0.247679939383045</v>
      </c>
      <c r="U258">
        <v>-6.7805474118355704</v>
      </c>
      <c r="V258">
        <v>0.80755310279444303</v>
      </c>
      <c r="W258">
        <v>0.88130112412142703</v>
      </c>
      <c r="X258">
        <v>0</v>
      </c>
      <c r="Y258">
        <v>0</v>
      </c>
    </row>
    <row r="259" spans="1:25" x14ac:dyDescent="0.2">
      <c r="A259" t="s">
        <v>962</v>
      </c>
      <c r="B259" t="s">
        <v>963</v>
      </c>
      <c r="C259" t="s">
        <v>964</v>
      </c>
      <c r="D259" t="s">
        <v>965</v>
      </c>
      <c r="E259" t="s">
        <v>963</v>
      </c>
      <c r="F259" t="s">
        <v>28</v>
      </c>
      <c r="G259" t="s">
        <v>963</v>
      </c>
      <c r="H259" t="str">
        <f>"cdr-7"</f>
        <v>cdr-7</v>
      </c>
      <c r="I259" t="s">
        <v>965</v>
      </c>
      <c r="J259">
        <v>12.8812266799053</v>
      </c>
      <c r="K259">
        <v>12.9979240849033</v>
      </c>
      <c r="L259">
        <v>12.8937601310476</v>
      </c>
      <c r="M259" t="s">
        <v>29</v>
      </c>
      <c r="N259" t="s">
        <v>29</v>
      </c>
      <c r="O259">
        <v>13.772914490333701</v>
      </c>
      <c r="P259">
        <v>0.84861085838164396</v>
      </c>
      <c r="Q259">
        <v>-0.25748301855324301</v>
      </c>
      <c r="R259">
        <v>1.9547047353165301</v>
      </c>
      <c r="S259">
        <v>12.8984447104651</v>
      </c>
      <c r="T259">
        <v>1.64667726374858</v>
      </c>
      <c r="U259">
        <v>-5.5022571963366502</v>
      </c>
      <c r="V259">
        <v>0.12204508353417499</v>
      </c>
      <c r="W259">
        <v>0.25116400920056797</v>
      </c>
      <c r="X259">
        <v>0</v>
      </c>
      <c r="Y259">
        <v>0</v>
      </c>
    </row>
    <row r="260" spans="1:25" x14ac:dyDescent="0.2">
      <c r="A260" t="s">
        <v>966</v>
      </c>
      <c r="B260" t="s">
        <v>967</v>
      </c>
      <c r="C260" t="s">
        <v>968</v>
      </c>
      <c r="D260" t="s">
        <v>969</v>
      </c>
      <c r="E260" t="s">
        <v>967</v>
      </c>
      <c r="F260" t="s">
        <v>28</v>
      </c>
      <c r="G260" t="s">
        <v>967</v>
      </c>
      <c r="H260" t="str">
        <f>"4D656"</f>
        <v>4D656</v>
      </c>
      <c r="I260" t="s">
        <v>969</v>
      </c>
      <c r="J260">
        <v>15.3072138391459</v>
      </c>
      <c r="K260">
        <v>14.8888759869014</v>
      </c>
      <c r="L260">
        <v>14.605415080087999</v>
      </c>
      <c r="M260">
        <v>14.4119343622064</v>
      </c>
      <c r="N260">
        <v>14.033484321494701</v>
      </c>
      <c r="O260">
        <v>13.688351773727501</v>
      </c>
      <c r="P260">
        <v>-0.88924481623560703</v>
      </c>
      <c r="Q260">
        <v>-1.4437619227185601</v>
      </c>
      <c r="R260">
        <v>-0.33472770975265498</v>
      </c>
      <c r="S260">
        <v>14.4472387559283</v>
      </c>
      <c r="T260">
        <v>-3.3705355098400598</v>
      </c>
      <c r="U260">
        <v>-2.5481032444384901</v>
      </c>
      <c r="V260">
        <v>3.42874805311789E-3</v>
      </c>
      <c r="W260">
        <v>2.1683520413172602E-2</v>
      </c>
      <c r="X260">
        <v>0</v>
      </c>
      <c r="Y260">
        <v>0</v>
      </c>
    </row>
    <row r="261" spans="1:25" x14ac:dyDescent="0.2">
      <c r="A261" t="s">
        <v>970</v>
      </c>
      <c r="B261" t="s">
        <v>971</v>
      </c>
      <c r="C261" t="s">
        <v>972</v>
      </c>
      <c r="D261" t="s">
        <v>412</v>
      </c>
      <c r="E261" t="s">
        <v>971</v>
      </c>
      <c r="F261" t="s">
        <v>28</v>
      </c>
      <c r="G261" t="s">
        <v>971</v>
      </c>
      <c r="H261" t="str">
        <f>"mlt-4"</f>
        <v>mlt-4</v>
      </c>
      <c r="I261" t="s">
        <v>412</v>
      </c>
      <c r="J261" t="s">
        <v>29</v>
      </c>
      <c r="K261">
        <v>13.793987917205101</v>
      </c>
      <c r="L261" t="s">
        <v>29</v>
      </c>
      <c r="M261" t="s">
        <v>29</v>
      </c>
      <c r="N261">
        <v>12.243723943601299</v>
      </c>
      <c r="O261">
        <v>13.4909180946782</v>
      </c>
      <c r="P261">
        <v>-0.92666689806535996</v>
      </c>
      <c r="Q261">
        <v>-1.89902444150876</v>
      </c>
      <c r="R261">
        <v>4.5690645378042502E-2</v>
      </c>
      <c r="S261">
        <v>13.6669146930357</v>
      </c>
      <c r="T261">
        <v>-2.03254077945315</v>
      </c>
      <c r="U261">
        <v>-4.8383563430614798</v>
      </c>
      <c r="V261">
        <v>6.0326017687166403E-2</v>
      </c>
      <c r="W261">
        <v>0.15553873501669199</v>
      </c>
      <c r="X261">
        <v>0</v>
      </c>
      <c r="Y261">
        <v>0</v>
      </c>
    </row>
    <row r="262" spans="1:25" x14ac:dyDescent="0.2">
      <c r="A262" t="s">
        <v>973</v>
      </c>
      <c r="B262" t="s">
        <v>974</v>
      </c>
      <c r="C262" t="s">
        <v>975</v>
      </c>
      <c r="D262" t="s">
        <v>976</v>
      </c>
      <c r="E262" t="s">
        <v>974</v>
      </c>
      <c r="F262" t="s">
        <v>28</v>
      </c>
      <c r="G262" t="s">
        <v>974</v>
      </c>
      <c r="H262" t="str">
        <f>"fbp-1"</f>
        <v>fbp-1</v>
      </c>
      <c r="I262" t="s">
        <v>976</v>
      </c>
      <c r="J262">
        <v>14.9163050370198</v>
      </c>
      <c r="K262">
        <v>13.193836632654801</v>
      </c>
      <c r="L262">
        <v>12.770316590151999</v>
      </c>
      <c r="M262">
        <v>12.9057601627752</v>
      </c>
      <c r="N262">
        <v>11.9456177955835</v>
      </c>
      <c r="O262">
        <v>11.8831956604013</v>
      </c>
      <c r="P262">
        <v>-1.38196154702217</v>
      </c>
      <c r="Q262">
        <v>-2.9666276084778098</v>
      </c>
      <c r="R262">
        <v>0.20270451443346499</v>
      </c>
      <c r="S262">
        <v>13.520150897350399</v>
      </c>
      <c r="T262">
        <v>-1.83295040975025</v>
      </c>
      <c r="U262">
        <v>-5.5413618946344503</v>
      </c>
      <c r="V262">
        <v>8.3501379023570299E-2</v>
      </c>
      <c r="W262">
        <v>0.19254973707547901</v>
      </c>
      <c r="X262">
        <v>0</v>
      </c>
      <c r="Y262">
        <v>0</v>
      </c>
    </row>
    <row r="263" spans="1:25" x14ac:dyDescent="0.2">
      <c r="A263" t="s">
        <v>977</v>
      </c>
      <c r="B263" t="s">
        <v>978</v>
      </c>
      <c r="C263" t="s">
        <v>979</v>
      </c>
      <c r="D263" t="s">
        <v>980</v>
      </c>
      <c r="E263" t="s">
        <v>978</v>
      </c>
      <c r="F263" t="s">
        <v>28</v>
      </c>
      <c r="G263" t="s">
        <v>978</v>
      </c>
      <c r="H263" t="str">
        <f>"pbo-4"</f>
        <v>pbo-4</v>
      </c>
      <c r="I263" t="s">
        <v>980</v>
      </c>
      <c r="J263">
        <v>13.353476951068201</v>
      </c>
      <c r="K263">
        <v>13.046382967313701</v>
      </c>
      <c r="L263">
        <v>13.1717755421896</v>
      </c>
      <c r="M263" t="s">
        <v>29</v>
      </c>
      <c r="N263">
        <v>11.0146639752179</v>
      </c>
      <c r="O263">
        <v>12.254131800569199</v>
      </c>
      <c r="P263">
        <v>-1.5561472656303099</v>
      </c>
      <c r="Q263">
        <v>-2.4210742111463901</v>
      </c>
      <c r="R263">
        <v>-0.69122032011421897</v>
      </c>
      <c r="S263">
        <v>12.213644851611701</v>
      </c>
      <c r="T263">
        <v>-3.7977054688442302</v>
      </c>
      <c r="U263">
        <v>-1.5800762656625</v>
      </c>
      <c r="V263">
        <v>1.45178301284737E-3</v>
      </c>
      <c r="W263">
        <v>1.1884457052392199E-2</v>
      </c>
      <c r="X263">
        <v>-1</v>
      </c>
      <c r="Y263">
        <v>-1</v>
      </c>
    </row>
    <row r="264" spans="1:25" x14ac:dyDescent="0.2">
      <c r="A264" t="s">
        <v>981</v>
      </c>
      <c r="B264" t="s">
        <v>982</v>
      </c>
      <c r="C264" t="s">
        <v>983</v>
      </c>
      <c r="D264" t="s">
        <v>984</v>
      </c>
      <c r="E264" t="s">
        <v>982</v>
      </c>
      <c r="F264" t="s">
        <v>28</v>
      </c>
      <c r="G264" t="s">
        <v>982</v>
      </c>
      <c r="H264" t="str">
        <f>"erm-1"</f>
        <v>erm-1</v>
      </c>
      <c r="I264" t="s">
        <v>984</v>
      </c>
      <c r="J264">
        <v>14.033120887856599</v>
      </c>
      <c r="K264">
        <v>14.037620336681799</v>
      </c>
      <c r="L264">
        <v>13.8524193951518</v>
      </c>
      <c r="M264">
        <v>14.802338303274</v>
      </c>
      <c r="N264">
        <v>14.948985250441099</v>
      </c>
      <c r="O264">
        <v>14.6142949965973</v>
      </c>
      <c r="P264">
        <v>0.81415264354071604</v>
      </c>
      <c r="Q264">
        <v>0.22977481856506099</v>
      </c>
      <c r="R264">
        <v>1.39853046851637</v>
      </c>
      <c r="S264">
        <v>14.163374363051799</v>
      </c>
      <c r="T264">
        <v>2.92822620487201</v>
      </c>
      <c r="U264">
        <v>-3.4848177798784001</v>
      </c>
      <c r="V264">
        <v>9.0201633942020003E-3</v>
      </c>
      <c r="W264">
        <v>4.2558144229318001E-2</v>
      </c>
      <c r="X264">
        <v>0</v>
      </c>
      <c r="Y264">
        <v>0</v>
      </c>
    </row>
    <row r="265" spans="1:25" x14ac:dyDescent="0.2">
      <c r="A265" t="s">
        <v>985</v>
      </c>
      <c r="B265" t="s">
        <v>986</v>
      </c>
      <c r="C265" t="s">
        <v>987</v>
      </c>
      <c r="D265" t="s">
        <v>988</v>
      </c>
      <c r="E265" t="s">
        <v>986</v>
      </c>
      <c r="F265" t="s">
        <v>28</v>
      </c>
      <c r="G265" t="s">
        <v>986</v>
      </c>
      <c r="H265" t="str">
        <f>"atg-7"</f>
        <v>atg-7</v>
      </c>
      <c r="I265" t="s">
        <v>988</v>
      </c>
      <c r="J265">
        <v>13.8006759754781</v>
      </c>
      <c r="K265">
        <v>13.6252261075558</v>
      </c>
      <c r="L265">
        <v>13.3768789074139</v>
      </c>
      <c r="M265">
        <v>13.459329728235501</v>
      </c>
      <c r="N265">
        <v>12.1188001956889</v>
      </c>
      <c r="O265">
        <v>13.4005293405062</v>
      </c>
      <c r="P265">
        <v>-0.60804057533910005</v>
      </c>
      <c r="Q265">
        <v>-1.2921183114866599</v>
      </c>
      <c r="R265">
        <v>7.6037160808455795E-2</v>
      </c>
      <c r="S265">
        <v>12.8759384810872</v>
      </c>
      <c r="T265">
        <v>-1.86818387082724</v>
      </c>
      <c r="U265">
        <v>-5.4839857982071303</v>
      </c>
      <c r="V265">
        <v>7.8199607394273396E-2</v>
      </c>
      <c r="W265">
        <v>0.18458616512708001</v>
      </c>
      <c r="X265">
        <v>0</v>
      </c>
      <c r="Y265">
        <v>0</v>
      </c>
    </row>
    <row r="266" spans="1:25" x14ac:dyDescent="0.2">
      <c r="A266" t="s">
        <v>989</v>
      </c>
      <c r="B266" t="s">
        <v>990</v>
      </c>
      <c r="C266" t="s">
        <v>991</v>
      </c>
      <c r="D266" t="s">
        <v>992</v>
      </c>
      <c r="E266" t="s">
        <v>990</v>
      </c>
      <c r="F266" t="s">
        <v>28</v>
      </c>
      <c r="G266" t="s">
        <v>990</v>
      </c>
      <c r="H266" t="str">
        <f>"ras-1"</f>
        <v>ras-1</v>
      </c>
      <c r="I266" t="s">
        <v>992</v>
      </c>
      <c r="J266">
        <v>11.651274194247</v>
      </c>
      <c r="K266">
        <v>10.6620645698994</v>
      </c>
      <c r="L266">
        <v>11.3822355898085</v>
      </c>
      <c r="M266" t="s">
        <v>29</v>
      </c>
      <c r="N266" t="s">
        <v>29</v>
      </c>
      <c r="O266">
        <v>12.617837883780799</v>
      </c>
      <c r="P266">
        <v>1.3859797657958399</v>
      </c>
      <c r="Q266">
        <v>0.365328578081691</v>
      </c>
      <c r="R266">
        <v>2.4066309535099899</v>
      </c>
      <c r="S266">
        <v>11.0660210036402</v>
      </c>
      <c r="T266">
        <v>2.8961506604945302</v>
      </c>
      <c r="U266">
        <v>-3.3155447049415798</v>
      </c>
      <c r="V266">
        <v>1.1144266129246599E-2</v>
      </c>
      <c r="W266">
        <v>4.9312540965299897E-2</v>
      </c>
      <c r="X266">
        <v>1</v>
      </c>
      <c r="Y266">
        <v>1</v>
      </c>
    </row>
    <row r="267" spans="1:25" x14ac:dyDescent="0.2">
      <c r="A267" t="s">
        <v>993</v>
      </c>
      <c r="B267" t="s">
        <v>994</v>
      </c>
      <c r="C267" t="s">
        <v>995</v>
      </c>
      <c r="D267" t="s">
        <v>996</v>
      </c>
      <c r="E267" t="s">
        <v>994</v>
      </c>
      <c r="F267" t="s">
        <v>28</v>
      </c>
      <c r="G267" t="s">
        <v>994</v>
      </c>
      <c r="H267" t="str">
        <f>"sdc-2"</f>
        <v>sdc-2</v>
      </c>
      <c r="I267" t="s">
        <v>996</v>
      </c>
      <c r="J267">
        <v>12.401295483673</v>
      </c>
      <c r="K267">
        <v>11.903235321874099</v>
      </c>
      <c r="L267">
        <v>11.9629648645854</v>
      </c>
      <c r="M267" t="s">
        <v>29</v>
      </c>
      <c r="N267" t="s">
        <v>29</v>
      </c>
      <c r="O267">
        <v>12.4595225946198</v>
      </c>
      <c r="P267">
        <v>0.37035737124225099</v>
      </c>
      <c r="Q267">
        <v>-0.32629186209509498</v>
      </c>
      <c r="R267">
        <v>1.0670066045796001</v>
      </c>
      <c r="S267">
        <v>12.3700662255828</v>
      </c>
      <c r="T267">
        <v>1.1410343589892999</v>
      </c>
      <c r="U267">
        <v>-6.1539225030166902</v>
      </c>
      <c r="V267">
        <v>0.27314034553833899</v>
      </c>
      <c r="W267">
        <v>0.440582702956478</v>
      </c>
      <c r="X267">
        <v>0</v>
      </c>
      <c r="Y267">
        <v>0</v>
      </c>
    </row>
    <row r="268" spans="1:25" x14ac:dyDescent="0.2">
      <c r="A268" t="s">
        <v>997</v>
      </c>
      <c r="B268" t="s">
        <v>998</v>
      </c>
      <c r="C268" t="s">
        <v>999</v>
      </c>
      <c r="D268" t="s">
        <v>1000</v>
      </c>
      <c r="E268" t="s">
        <v>998</v>
      </c>
      <c r="F268" t="s">
        <v>28</v>
      </c>
      <c r="G268" t="s">
        <v>998</v>
      </c>
      <c r="H268" t="str">
        <f>"snf-3"</f>
        <v>snf-3</v>
      </c>
      <c r="I268" t="s">
        <v>1000</v>
      </c>
      <c r="J268">
        <v>14.1768577516769</v>
      </c>
      <c r="K268">
        <v>14.145559985029699</v>
      </c>
      <c r="L268">
        <v>14.084594271419</v>
      </c>
      <c r="M268">
        <v>14.529343061904999</v>
      </c>
      <c r="N268">
        <v>14.076575708113801</v>
      </c>
      <c r="O268">
        <v>13.7197048154977</v>
      </c>
      <c r="P268">
        <v>-2.71294742030701E-2</v>
      </c>
      <c r="Q268">
        <v>-0.492250926908187</v>
      </c>
      <c r="R268">
        <v>0.43799197850204702</v>
      </c>
      <c r="S268">
        <v>14.140569839959801</v>
      </c>
      <c r="T268">
        <v>-0.122593521142736</v>
      </c>
      <c r="U268">
        <v>-7.1484182131665497</v>
      </c>
      <c r="V268">
        <v>0.90379528584379998</v>
      </c>
      <c r="W268">
        <v>0.942910521389701</v>
      </c>
      <c r="X268">
        <v>0</v>
      </c>
      <c r="Y268">
        <v>0</v>
      </c>
    </row>
    <row r="269" spans="1:25" x14ac:dyDescent="0.2">
      <c r="A269" t="s">
        <v>1001</v>
      </c>
      <c r="B269" t="s">
        <v>1002</v>
      </c>
      <c r="C269" t="s">
        <v>14173</v>
      </c>
      <c r="D269" t="s">
        <v>1003</v>
      </c>
      <c r="E269" t="s">
        <v>1002</v>
      </c>
      <c r="F269" t="s">
        <v>28</v>
      </c>
      <c r="G269" t="s">
        <v>1002</v>
      </c>
      <c r="H269" t="str">
        <f>"ZC247.1"</f>
        <v>ZC247.1</v>
      </c>
      <c r="I269" t="s">
        <v>1003</v>
      </c>
      <c r="J269">
        <v>13.829354127713399</v>
      </c>
      <c r="K269">
        <v>14.1692928373669</v>
      </c>
      <c r="L269">
        <v>14.048621893857399</v>
      </c>
      <c r="M269">
        <v>16.399495315503302</v>
      </c>
      <c r="N269">
        <v>17.0264081574323</v>
      </c>
      <c r="O269">
        <v>17.315059082824298</v>
      </c>
      <c r="P269">
        <v>2.89789789894076</v>
      </c>
      <c r="Q269">
        <v>2.19483484109288</v>
      </c>
      <c r="R269">
        <v>3.60096095678864</v>
      </c>
      <c r="S269">
        <v>16.144526158829901</v>
      </c>
      <c r="T269">
        <v>8.6632593193293097</v>
      </c>
      <c r="U269">
        <v>8.1752391101942603</v>
      </c>
      <c r="V269" s="2">
        <v>8.10755681775315E-8</v>
      </c>
      <c r="W269" s="2">
        <v>5.7095593616893897E-6</v>
      </c>
      <c r="X269">
        <v>1</v>
      </c>
      <c r="Y269">
        <v>1</v>
      </c>
    </row>
    <row r="270" spans="1:25" x14ac:dyDescent="0.2">
      <c r="A270" t="s">
        <v>1004</v>
      </c>
      <c r="B270" t="s">
        <v>1005</v>
      </c>
      <c r="C270" t="s">
        <v>1006</v>
      </c>
      <c r="D270" t="s">
        <v>1007</v>
      </c>
      <c r="E270" t="s">
        <v>1005</v>
      </c>
      <c r="F270" t="s">
        <v>28</v>
      </c>
      <c r="G270" t="s">
        <v>1005</v>
      </c>
      <c r="H270" t="str">
        <f>"ego-1"</f>
        <v>ego-1</v>
      </c>
      <c r="I270" t="s">
        <v>1007</v>
      </c>
      <c r="J270">
        <v>12.1156990249267</v>
      </c>
      <c r="K270">
        <v>12.8950772813802</v>
      </c>
      <c r="L270">
        <v>12.5225331812621</v>
      </c>
      <c r="M270" t="s">
        <v>29</v>
      </c>
      <c r="N270" t="s">
        <v>29</v>
      </c>
      <c r="O270">
        <v>11.980303406773601</v>
      </c>
      <c r="P270">
        <v>-0.53079975574941896</v>
      </c>
      <c r="Q270">
        <v>-1.7207314946871299</v>
      </c>
      <c r="R270">
        <v>0.65913198318829103</v>
      </c>
      <c r="S270">
        <v>12.734529429514399</v>
      </c>
      <c r="T270">
        <v>-0.94614608264634004</v>
      </c>
      <c r="U270">
        <v>-6.3554966195761997</v>
      </c>
      <c r="V270">
        <v>0.35823645292232598</v>
      </c>
      <c r="W270">
        <v>0.52834137350227195</v>
      </c>
      <c r="X270">
        <v>0</v>
      </c>
      <c r="Y270">
        <v>0</v>
      </c>
    </row>
    <row r="271" spans="1:25" x14ac:dyDescent="0.2">
      <c r="A271" t="s">
        <v>1008</v>
      </c>
      <c r="B271" t="s">
        <v>1009</v>
      </c>
      <c r="C271" t="s">
        <v>1010</v>
      </c>
      <c r="D271" t="s">
        <v>1011</v>
      </c>
      <c r="E271" t="s">
        <v>1009</v>
      </c>
      <c r="F271" t="s">
        <v>28</v>
      </c>
      <c r="G271" t="s">
        <v>1009</v>
      </c>
      <c r="H271" t="str">
        <f>"aex-6"</f>
        <v>aex-6</v>
      </c>
      <c r="I271" t="s">
        <v>1011</v>
      </c>
      <c r="J271">
        <v>12.488691836957001</v>
      </c>
      <c r="K271">
        <v>12.8888142651079</v>
      </c>
      <c r="L271">
        <v>12.124058702218999</v>
      </c>
      <c r="M271" t="s">
        <v>29</v>
      </c>
      <c r="N271" t="s">
        <v>29</v>
      </c>
      <c r="O271">
        <v>12.510939811764199</v>
      </c>
      <c r="P271">
        <v>1.04182103361818E-2</v>
      </c>
      <c r="Q271">
        <v>-0.77845531742290797</v>
      </c>
      <c r="R271">
        <v>0.79929173809527199</v>
      </c>
      <c r="S271">
        <v>12.372080978729601</v>
      </c>
      <c r="T271">
        <v>2.80114292282342E-2</v>
      </c>
      <c r="U271">
        <v>-6.8122885537567699</v>
      </c>
      <c r="V271">
        <v>0.978001716111778</v>
      </c>
      <c r="W271">
        <v>0.98704488266486601</v>
      </c>
      <c r="X271">
        <v>0</v>
      </c>
      <c r="Y271">
        <v>0</v>
      </c>
    </row>
    <row r="272" spans="1:25" x14ac:dyDescent="0.2">
      <c r="A272" t="s">
        <v>1012</v>
      </c>
      <c r="B272" t="s">
        <v>1013</v>
      </c>
      <c r="C272" t="s">
        <v>1014</v>
      </c>
      <c r="D272" t="s">
        <v>1015</v>
      </c>
      <c r="E272" t="s">
        <v>1013</v>
      </c>
      <c r="F272" t="s">
        <v>28</v>
      </c>
      <c r="G272" t="s">
        <v>1013</v>
      </c>
      <c r="H272" t="str">
        <f>"mog-3"</f>
        <v>mog-3</v>
      </c>
      <c r="I272" t="s">
        <v>1015</v>
      </c>
      <c r="J272">
        <v>12.7392851872394</v>
      </c>
      <c r="K272">
        <v>13.276121445714599</v>
      </c>
      <c r="L272">
        <v>13.701992012826</v>
      </c>
      <c r="M272" t="s">
        <v>29</v>
      </c>
      <c r="N272" t="s">
        <v>29</v>
      </c>
      <c r="O272" t="s">
        <v>29</v>
      </c>
      <c r="P272" t="s">
        <v>29</v>
      </c>
      <c r="Q272" t="s">
        <v>29</v>
      </c>
      <c r="R272" t="s">
        <v>29</v>
      </c>
      <c r="S272">
        <v>13.358511756209801</v>
      </c>
      <c r="T272" t="s">
        <v>29</v>
      </c>
      <c r="U272" t="s">
        <v>29</v>
      </c>
      <c r="V272" t="s">
        <v>29</v>
      </c>
      <c r="W272" t="s">
        <v>29</v>
      </c>
      <c r="X272" t="s">
        <v>29</v>
      </c>
      <c r="Y272" t="s">
        <v>29</v>
      </c>
    </row>
    <row r="273" spans="1:25" x14ac:dyDescent="0.2">
      <c r="A273" t="s">
        <v>1016</v>
      </c>
      <c r="B273" t="s">
        <v>1017</v>
      </c>
      <c r="C273" t="s">
        <v>1018</v>
      </c>
      <c r="D273" t="s">
        <v>1019</v>
      </c>
      <c r="E273" t="s">
        <v>1017</v>
      </c>
      <c r="F273" t="s">
        <v>28</v>
      </c>
      <c r="G273" t="s">
        <v>1017</v>
      </c>
      <c r="H273" t="str">
        <f>"mig-2"</f>
        <v>mig-2</v>
      </c>
      <c r="I273" t="s">
        <v>1019</v>
      </c>
      <c r="J273">
        <v>10.5100221716925</v>
      </c>
      <c r="K273" t="s">
        <v>29</v>
      </c>
      <c r="L273" t="s">
        <v>29</v>
      </c>
      <c r="M273" t="s">
        <v>29</v>
      </c>
      <c r="N273" t="s">
        <v>29</v>
      </c>
      <c r="O273">
        <v>12.1375644812545</v>
      </c>
      <c r="P273">
        <v>1.6275423095620001</v>
      </c>
      <c r="Q273">
        <v>0.21504072989718301</v>
      </c>
      <c r="R273">
        <v>3.04004388922682</v>
      </c>
      <c r="S273">
        <v>11.597492506214399</v>
      </c>
      <c r="T273">
        <v>2.6112451736850502</v>
      </c>
      <c r="U273">
        <v>-3.8641912064713799</v>
      </c>
      <c r="V273">
        <v>2.84793922281017E-2</v>
      </c>
      <c r="W273">
        <v>9.3150686899240401E-2</v>
      </c>
      <c r="X273">
        <v>1</v>
      </c>
      <c r="Y273">
        <v>0</v>
      </c>
    </row>
    <row r="274" spans="1:25" x14ac:dyDescent="0.2">
      <c r="A274" t="s">
        <v>1020</v>
      </c>
      <c r="B274" t="s">
        <v>1021</v>
      </c>
      <c r="C274" t="s">
        <v>1022</v>
      </c>
      <c r="D274" t="s">
        <v>1023</v>
      </c>
      <c r="E274" t="s">
        <v>1021</v>
      </c>
      <c r="F274" t="s">
        <v>28</v>
      </c>
      <c r="G274" t="s">
        <v>1021</v>
      </c>
      <c r="H274" t="str">
        <f>"pgl-3"</f>
        <v>pgl-3</v>
      </c>
      <c r="I274" t="s">
        <v>1023</v>
      </c>
      <c r="J274">
        <v>12.5856973363002</v>
      </c>
      <c r="K274">
        <v>12.1154599185439</v>
      </c>
      <c r="L274">
        <v>12.6401706208802</v>
      </c>
      <c r="M274">
        <v>17.417239495341398</v>
      </c>
      <c r="N274">
        <v>14.4857066153087</v>
      </c>
      <c r="O274">
        <v>12.169115123136899</v>
      </c>
      <c r="P274">
        <v>2.2435777860209201</v>
      </c>
      <c r="Q274">
        <v>0.61320878018865599</v>
      </c>
      <c r="R274">
        <v>3.8739467918531898</v>
      </c>
      <c r="S274">
        <v>13.433528842336299</v>
      </c>
      <c r="T274">
        <v>2.8923292787627299</v>
      </c>
      <c r="U274">
        <v>-3.5590328549474899</v>
      </c>
      <c r="V274">
        <v>9.7464281434064895E-3</v>
      </c>
      <c r="W274">
        <v>4.5019943163979503E-2</v>
      </c>
      <c r="X274">
        <v>1</v>
      </c>
      <c r="Y274">
        <v>1</v>
      </c>
    </row>
    <row r="275" spans="1:25" x14ac:dyDescent="0.2">
      <c r="A275" t="s">
        <v>1024</v>
      </c>
      <c r="B275" t="s">
        <v>1025</v>
      </c>
      <c r="C275" t="s">
        <v>1026</v>
      </c>
      <c r="D275" t="s">
        <v>1027</v>
      </c>
      <c r="E275" t="s">
        <v>1025</v>
      </c>
      <c r="F275" t="s">
        <v>28</v>
      </c>
      <c r="G275" t="s">
        <v>1025</v>
      </c>
      <c r="H275" t="str">
        <f>"usp-50"</f>
        <v>usp-50</v>
      </c>
      <c r="I275" t="s">
        <v>1027</v>
      </c>
      <c r="J275">
        <v>13.2053315352273</v>
      </c>
      <c r="K275">
        <v>13.5108546111531</v>
      </c>
      <c r="L275">
        <v>13.2401599799792</v>
      </c>
      <c r="M275" t="s">
        <v>29</v>
      </c>
      <c r="N275">
        <v>11.7592971790226</v>
      </c>
      <c r="O275">
        <v>13.3794340015386</v>
      </c>
      <c r="P275">
        <v>-0.74941645183931804</v>
      </c>
      <c r="Q275">
        <v>-1.5052117179295199</v>
      </c>
      <c r="R275">
        <v>6.3788142508854903E-3</v>
      </c>
      <c r="S275">
        <v>12.8444770036816</v>
      </c>
      <c r="T275">
        <v>-2.0929992303036502</v>
      </c>
      <c r="U275">
        <v>-4.9999173655569198</v>
      </c>
      <c r="V275">
        <v>5.1752407073653799E-2</v>
      </c>
      <c r="W275">
        <v>0.13909642809730999</v>
      </c>
      <c r="X275">
        <v>0</v>
      </c>
      <c r="Y275">
        <v>0</v>
      </c>
    </row>
    <row r="276" spans="1:25" x14ac:dyDescent="0.2">
      <c r="A276" t="s">
        <v>1028</v>
      </c>
      <c r="B276" t="s">
        <v>1029</v>
      </c>
      <c r="C276" t="s">
        <v>1030</v>
      </c>
      <c r="D276" t="s">
        <v>1031</v>
      </c>
      <c r="E276" t="s">
        <v>1029</v>
      </c>
      <c r="F276" t="s">
        <v>28</v>
      </c>
      <c r="G276" t="s">
        <v>1029</v>
      </c>
      <c r="H276" t="str">
        <f>"fecl-1"</f>
        <v>fecl-1</v>
      </c>
      <c r="I276" t="s">
        <v>1031</v>
      </c>
      <c r="J276">
        <v>13.4516224916753</v>
      </c>
      <c r="K276">
        <v>13.437085312799899</v>
      </c>
      <c r="L276">
        <v>13.3092271582774</v>
      </c>
      <c r="M276" t="s">
        <v>29</v>
      </c>
      <c r="N276">
        <v>14.0373842370945</v>
      </c>
      <c r="O276">
        <v>13.1386212646317</v>
      </c>
      <c r="P276">
        <v>0.188691096612187</v>
      </c>
      <c r="Q276">
        <v>-0.45484983176629901</v>
      </c>
      <c r="R276">
        <v>0.83223202499067295</v>
      </c>
      <c r="S276">
        <v>13.7816773857099</v>
      </c>
      <c r="T276">
        <v>0.61890679225290701</v>
      </c>
      <c r="U276">
        <v>-6.8463910077824801</v>
      </c>
      <c r="V276">
        <v>0.54423327638978403</v>
      </c>
      <c r="W276">
        <v>0.69042422105927403</v>
      </c>
      <c r="X276">
        <v>0</v>
      </c>
      <c r="Y276">
        <v>0</v>
      </c>
    </row>
    <row r="277" spans="1:25" x14ac:dyDescent="0.2">
      <c r="A277" t="s">
        <v>1032</v>
      </c>
      <c r="B277" t="s">
        <v>1033</v>
      </c>
      <c r="C277" t="s">
        <v>1034</v>
      </c>
      <c r="D277" t="s">
        <v>1035</v>
      </c>
      <c r="E277" t="s">
        <v>1033</v>
      </c>
      <c r="F277" t="s">
        <v>28</v>
      </c>
      <c r="G277" t="s">
        <v>1033</v>
      </c>
      <c r="H277" t="str">
        <f>"klp-18"</f>
        <v>klp-18</v>
      </c>
      <c r="I277" t="s">
        <v>1035</v>
      </c>
      <c r="J277">
        <v>12.6331679170562</v>
      </c>
      <c r="K277">
        <v>12.5392431172982</v>
      </c>
      <c r="L277">
        <v>12.8243261178241</v>
      </c>
      <c r="M277" t="s">
        <v>29</v>
      </c>
      <c r="N277">
        <v>13.7864571451935</v>
      </c>
      <c r="O277">
        <v>12.9518226358226</v>
      </c>
      <c r="P277">
        <v>0.70356083978186101</v>
      </c>
      <c r="Q277">
        <v>2.19771061248057E-2</v>
      </c>
      <c r="R277">
        <v>1.3851445734389201</v>
      </c>
      <c r="S277">
        <v>13.3698662598699</v>
      </c>
      <c r="T277">
        <v>2.1788756955843902</v>
      </c>
      <c r="U277">
        <v>-4.8483944051648198</v>
      </c>
      <c r="V277">
        <v>4.3793340795126999E-2</v>
      </c>
      <c r="W277">
        <v>0.123975960925302</v>
      </c>
      <c r="X277">
        <v>0</v>
      </c>
      <c r="Y277">
        <v>0</v>
      </c>
    </row>
    <row r="278" spans="1:25" x14ac:dyDescent="0.2">
      <c r="A278" t="s">
        <v>1036</v>
      </c>
      <c r="B278" t="s">
        <v>1037</v>
      </c>
      <c r="C278" t="s">
        <v>1038</v>
      </c>
      <c r="D278" t="s">
        <v>1039</v>
      </c>
      <c r="E278" t="s">
        <v>1037</v>
      </c>
      <c r="F278" t="s">
        <v>28</v>
      </c>
      <c r="G278" t="s">
        <v>1037</v>
      </c>
      <c r="H278" t="str">
        <f>"cyl-1"</f>
        <v>cyl-1</v>
      </c>
      <c r="I278" t="s">
        <v>1039</v>
      </c>
      <c r="J278">
        <v>14.0521255648109</v>
      </c>
      <c r="K278">
        <v>13.9091086775842</v>
      </c>
      <c r="L278" t="s">
        <v>29</v>
      </c>
      <c r="M278" t="s">
        <v>29</v>
      </c>
      <c r="N278" t="s">
        <v>29</v>
      </c>
      <c r="O278" t="s">
        <v>29</v>
      </c>
      <c r="P278" t="s">
        <v>29</v>
      </c>
      <c r="Q278" t="s">
        <v>29</v>
      </c>
      <c r="R278" t="s">
        <v>29</v>
      </c>
      <c r="S278">
        <v>13.576649920282</v>
      </c>
      <c r="T278" t="s">
        <v>29</v>
      </c>
      <c r="U278" t="s">
        <v>29</v>
      </c>
      <c r="V278" t="s">
        <v>29</v>
      </c>
      <c r="W278" t="s">
        <v>29</v>
      </c>
      <c r="X278" t="s">
        <v>29</v>
      </c>
      <c r="Y278" t="s">
        <v>29</v>
      </c>
    </row>
    <row r="279" spans="1:25" x14ac:dyDescent="0.2">
      <c r="A279" t="s">
        <v>1040</v>
      </c>
      <c r="B279" t="s">
        <v>1041</v>
      </c>
      <c r="C279" t="s">
        <v>1042</v>
      </c>
      <c r="D279" t="s">
        <v>1043</v>
      </c>
      <c r="E279" t="s">
        <v>1041</v>
      </c>
      <c r="F279" t="s">
        <v>28</v>
      </c>
      <c r="G279" t="s">
        <v>1041</v>
      </c>
      <c r="H279" t="str">
        <f>"crn-3"</f>
        <v>crn-3</v>
      </c>
      <c r="I279" t="s">
        <v>1043</v>
      </c>
      <c r="J279">
        <v>12.629023409688401</v>
      </c>
      <c r="K279">
        <v>12.8640206522273</v>
      </c>
      <c r="L279">
        <v>12.7822252294383</v>
      </c>
      <c r="M279" t="s">
        <v>29</v>
      </c>
      <c r="N279">
        <v>13.0764406767395</v>
      </c>
      <c r="O279">
        <v>12.8229745232301</v>
      </c>
      <c r="P279">
        <v>0.191284502866791</v>
      </c>
      <c r="Q279">
        <v>-0.38138242283340201</v>
      </c>
      <c r="R279">
        <v>0.76395142856698495</v>
      </c>
      <c r="S279">
        <v>12.932195771513401</v>
      </c>
      <c r="T279">
        <v>0.70506263304277905</v>
      </c>
      <c r="U279">
        <v>-6.7879642065311501</v>
      </c>
      <c r="V279">
        <v>0.490378181514251</v>
      </c>
      <c r="W279">
        <v>0.64862859107832005</v>
      </c>
      <c r="X279">
        <v>0</v>
      </c>
      <c r="Y279">
        <v>0</v>
      </c>
    </row>
    <row r="280" spans="1:25" x14ac:dyDescent="0.2">
      <c r="A280" t="s">
        <v>1044</v>
      </c>
      <c r="B280" t="s">
        <v>1045</v>
      </c>
      <c r="C280" t="s">
        <v>1046</v>
      </c>
      <c r="D280" t="s">
        <v>1047</v>
      </c>
      <c r="E280" t="s">
        <v>1045</v>
      </c>
      <c r="F280" t="s">
        <v>28</v>
      </c>
      <c r="G280" t="s">
        <v>1045</v>
      </c>
      <c r="H280" t="str">
        <f>"nmy-2"</f>
        <v>nmy-2</v>
      </c>
      <c r="I280" t="s">
        <v>1047</v>
      </c>
      <c r="J280">
        <v>13.379951518382599</v>
      </c>
      <c r="K280">
        <v>13.7179605550988</v>
      </c>
      <c r="L280">
        <v>14.016053108175999</v>
      </c>
      <c r="M280">
        <v>13.5602605770839</v>
      </c>
      <c r="N280">
        <v>14.354146804068501</v>
      </c>
      <c r="O280">
        <v>14.1413224815834</v>
      </c>
      <c r="P280">
        <v>0.31392156035943197</v>
      </c>
      <c r="Q280">
        <v>-0.99787172911723598</v>
      </c>
      <c r="R280">
        <v>1.6257148498361</v>
      </c>
      <c r="S280">
        <v>14.2986944357603</v>
      </c>
      <c r="T280">
        <v>0.50297714639440505</v>
      </c>
      <c r="U280">
        <v>-7.0244720245121597</v>
      </c>
      <c r="V280">
        <v>0.62111451565130704</v>
      </c>
      <c r="W280">
        <v>0.747031504362066</v>
      </c>
      <c r="X280">
        <v>0</v>
      </c>
      <c r="Y280">
        <v>0</v>
      </c>
    </row>
    <row r="281" spans="1:25" x14ac:dyDescent="0.2">
      <c r="A281" t="s">
        <v>1048</v>
      </c>
      <c r="B281" t="s">
        <v>1049</v>
      </c>
      <c r="C281" t="s">
        <v>1050</v>
      </c>
      <c r="D281" t="s">
        <v>1051</v>
      </c>
      <c r="E281" t="s">
        <v>1049</v>
      </c>
      <c r="F281" t="s">
        <v>28</v>
      </c>
      <c r="G281" t="s">
        <v>1049</v>
      </c>
      <c r="H281" t="str">
        <f>"phf-5"</f>
        <v>phf-5</v>
      </c>
      <c r="I281" t="s">
        <v>1051</v>
      </c>
      <c r="J281" t="s">
        <v>29</v>
      </c>
      <c r="K281" t="s">
        <v>29</v>
      </c>
      <c r="L281" t="s">
        <v>29</v>
      </c>
      <c r="M281" t="s">
        <v>29</v>
      </c>
      <c r="N281" t="s">
        <v>29</v>
      </c>
      <c r="O281" t="s">
        <v>29</v>
      </c>
      <c r="P281" t="s">
        <v>29</v>
      </c>
      <c r="Q281" t="s">
        <v>29</v>
      </c>
      <c r="R281" t="s">
        <v>29</v>
      </c>
      <c r="S281">
        <v>9.9358739531215292</v>
      </c>
      <c r="T281" t="s">
        <v>29</v>
      </c>
      <c r="U281" t="s">
        <v>29</v>
      </c>
      <c r="V281" t="s">
        <v>29</v>
      </c>
      <c r="W281" t="s">
        <v>29</v>
      </c>
      <c r="X281" t="s">
        <v>29</v>
      </c>
      <c r="Y281" t="s">
        <v>29</v>
      </c>
    </row>
    <row r="282" spans="1:25" x14ac:dyDescent="0.2">
      <c r="A282" t="s">
        <v>1052</v>
      </c>
      <c r="B282" t="s">
        <v>1053</v>
      </c>
      <c r="C282" t="s">
        <v>1054</v>
      </c>
      <c r="D282" t="s">
        <v>1055</v>
      </c>
      <c r="E282" t="s">
        <v>1053</v>
      </c>
      <c r="F282" t="s">
        <v>28</v>
      </c>
      <c r="G282" t="s">
        <v>1053</v>
      </c>
      <c r="H282" t="str">
        <f>"xpf-1"</f>
        <v>xpf-1</v>
      </c>
      <c r="I282" t="s">
        <v>1055</v>
      </c>
      <c r="J282">
        <v>11.591112257867699</v>
      </c>
      <c r="K282">
        <v>12.113217186713101</v>
      </c>
      <c r="L282">
        <v>12.6248310468585</v>
      </c>
      <c r="M282" t="s">
        <v>29</v>
      </c>
      <c r="N282" t="s">
        <v>29</v>
      </c>
      <c r="O282">
        <v>11.1043732058963</v>
      </c>
      <c r="P282">
        <v>-1.0053469579168</v>
      </c>
      <c r="Q282">
        <v>-2.2884420097875098</v>
      </c>
      <c r="R282">
        <v>0.27774809395390299</v>
      </c>
      <c r="S282">
        <v>12.488723588194301</v>
      </c>
      <c r="T282">
        <v>-1.6710857806911901</v>
      </c>
      <c r="U282">
        <v>-5.4646901961826</v>
      </c>
      <c r="V282">
        <v>0.11557615768005899</v>
      </c>
      <c r="W282">
        <v>0.240538797092609</v>
      </c>
      <c r="X282">
        <v>0</v>
      </c>
      <c r="Y282">
        <v>0</v>
      </c>
    </row>
    <row r="283" spans="1:25" x14ac:dyDescent="0.2">
      <c r="A283" t="s">
        <v>1056</v>
      </c>
      <c r="B283" t="s">
        <v>1057</v>
      </c>
      <c r="C283" t="s">
        <v>1058</v>
      </c>
      <c r="D283" t="s">
        <v>1059</v>
      </c>
      <c r="E283" t="s">
        <v>1057</v>
      </c>
      <c r="F283" t="s">
        <v>28</v>
      </c>
      <c r="G283" t="s">
        <v>1057</v>
      </c>
      <c r="H283" t="str">
        <f>"let-418"</f>
        <v>let-418</v>
      </c>
      <c r="I283" t="s">
        <v>1059</v>
      </c>
      <c r="J283">
        <v>14.0048712548164</v>
      </c>
      <c r="K283">
        <v>14.150860954862599</v>
      </c>
      <c r="L283">
        <v>13.990400634923899</v>
      </c>
      <c r="M283">
        <v>14.047454163592599</v>
      </c>
      <c r="N283">
        <v>14.2064994571043</v>
      </c>
      <c r="O283">
        <v>14.6878048289429</v>
      </c>
      <c r="P283">
        <v>0.26520853501234498</v>
      </c>
      <c r="Q283">
        <v>-0.15609437031142301</v>
      </c>
      <c r="R283">
        <v>0.686511440336113</v>
      </c>
      <c r="S283">
        <v>14.322985565006</v>
      </c>
      <c r="T283">
        <v>1.32307832762783</v>
      </c>
      <c r="U283">
        <v>-6.2800864862861197</v>
      </c>
      <c r="V283">
        <v>0.202467314176831</v>
      </c>
      <c r="W283">
        <v>0.362497676111252</v>
      </c>
      <c r="X283">
        <v>0</v>
      </c>
      <c r="Y283">
        <v>0</v>
      </c>
    </row>
    <row r="284" spans="1:25" x14ac:dyDescent="0.2">
      <c r="A284" t="s">
        <v>1060</v>
      </c>
      <c r="B284" t="s">
        <v>1061</v>
      </c>
      <c r="C284" t="s">
        <v>1062</v>
      </c>
      <c r="D284" t="s">
        <v>1063</v>
      </c>
      <c r="E284" t="s">
        <v>1061</v>
      </c>
      <c r="F284" t="s">
        <v>28</v>
      </c>
      <c r="G284" t="s">
        <v>1061</v>
      </c>
      <c r="H284" t="str">
        <f>"ark-1"</f>
        <v>ark-1</v>
      </c>
      <c r="I284" t="s">
        <v>1063</v>
      </c>
      <c r="J284">
        <v>12.035233816597</v>
      </c>
      <c r="K284">
        <v>10.850001171099599</v>
      </c>
      <c r="L284">
        <v>12.7327167357912</v>
      </c>
      <c r="M284" t="s">
        <v>29</v>
      </c>
      <c r="N284" t="s">
        <v>29</v>
      </c>
      <c r="O284">
        <v>12.0201556374669</v>
      </c>
      <c r="P284">
        <v>0.147505062970991</v>
      </c>
      <c r="Q284">
        <v>-1.00186590808674</v>
      </c>
      <c r="R284">
        <v>1.29687603402872</v>
      </c>
      <c r="S284">
        <v>12.6177167652405</v>
      </c>
      <c r="T284">
        <v>0.27220508437167001</v>
      </c>
      <c r="U284">
        <v>-6.7738802704420404</v>
      </c>
      <c r="V284">
        <v>0.78896854726568899</v>
      </c>
      <c r="W284">
        <v>0.86661181263771403</v>
      </c>
      <c r="X284">
        <v>0</v>
      </c>
      <c r="Y284">
        <v>0</v>
      </c>
    </row>
    <row r="285" spans="1:25" x14ac:dyDescent="0.2">
      <c r="A285" t="s">
        <v>1064</v>
      </c>
      <c r="B285" t="s">
        <v>1065</v>
      </c>
      <c r="C285" t="s">
        <v>1066</v>
      </c>
      <c r="D285" t="s">
        <v>1067</v>
      </c>
      <c r="E285" t="s">
        <v>1065</v>
      </c>
      <c r="F285" t="s">
        <v>28</v>
      </c>
      <c r="G285" t="s">
        <v>1065</v>
      </c>
      <c r="H285" t="str">
        <f>"evl-14"</f>
        <v>evl-14</v>
      </c>
      <c r="I285" t="s">
        <v>1067</v>
      </c>
      <c r="J285">
        <v>13.9249939332888</v>
      </c>
      <c r="K285">
        <v>14.2463263187695</v>
      </c>
      <c r="L285">
        <v>13.8981525864017</v>
      </c>
      <c r="M285">
        <v>14.7000254781479</v>
      </c>
      <c r="N285">
        <v>13.202313755334499</v>
      </c>
      <c r="O285">
        <v>13.553910890394</v>
      </c>
      <c r="P285">
        <v>-0.20440757152786801</v>
      </c>
      <c r="Q285">
        <v>-0.798436089771691</v>
      </c>
      <c r="R285">
        <v>0.38962094671595399</v>
      </c>
      <c r="S285">
        <v>14.0275962680855</v>
      </c>
      <c r="T285">
        <v>-0.723239598755825</v>
      </c>
      <c r="U285">
        <v>-6.8857545396957001</v>
      </c>
      <c r="V285">
        <v>0.47888029382723002</v>
      </c>
      <c r="W285">
        <v>0.63857928774156003</v>
      </c>
      <c r="X285">
        <v>0</v>
      </c>
      <c r="Y285">
        <v>0</v>
      </c>
    </row>
    <row r="286" spans="1:25" x14ac:dyDescent="0.2">
      <c r="A286" t="s">
        <v>1068</v>
      </c>
      <c r="B286" t="s">
        <v>1069</v>
      </c>
      <c r="C286" t="s">
        <v>1070</v>
      </c>
      <c r="D286" t="s">
        <v>1071</v>
      </c>
      <c r="E286" t="s">
        <v>1069</v>
      </c>
      <c r="F286" t="s">
        <v>28</v>
      </c>
      <c r="G286" t="s">
        <v>1069</v>
      </c>
      <c r="H286" t="str">
        <f>"cept-1"</f>
        <v>cept-1</v>
      </c>
      <c r="I286" t="s">
        <v>1071</v>
      </c>
      <c r="J286">
        <v>13.6927065484238</v>
      </c>
      <c r="K286">
        <v>13.654526259104999</v>
      </c>
      <c r="L286">
        <v>14.0227527398498</v>
      </c>
      <c r="M286" t="s">
        <v>29</v>
      </c>
      <c r="N286">
        <v>13.1034893433403</v>
      </c>
      <c r="O286">
        <v>13.1440645405784</v>
      </c>
      <c r="P286">
        <v>-0.66621824050016298</v>
      </c>
      <c r="Q286">
        <v>-1.1706693028353401</v>
      </c>
      <c r="R286">
        <v>-0.16176717816498101</v>
      </c>
      <c r="S286">
        <v>13.696373885467301</v>
      </c>
      <c r="T286">
        <v>-2.78770934754177</v>
      </c>
      <c r="U286">
        <v>-3.69012359899095</v>
      </c>
      <c r="V286">
        <v>1.2681259137829699E-2</v>
      </c>
      <c r="W286">
        <v>5.3849669566547603E-2</v>
      </c>
      <c r="X286">
        <v>0</v>
      </c>
      <c r="Y286">
        <v>0</v>
      </c>
    </row>
    <row r="287" spans="1:25" x14ac:dyDescent="0.2">
      <c r="A287" t="s">
        <v>1072</v>
      </c>
      <c r="B287" t="s">
        <v>1073</v>
      </c>
      <c r="C287" t="s">
        <v>1074</v>
      </c>
      <c r="D287" t="s">
        <v>1075</v>
      </c>
      <c r="E287" t="s">
        <v>1073</v>
      </c>
      <c r="F287" t="s">
        <v>28</v>
      </c>
      <c r="G287" t="s">
        <v>1073</v>
      </c>
      <c r="H287" t="str">
        <f>"lec-9"</f>
        <v>lec-9</v>
      </c>
      <c r="I287" t="s">
        <v>1075</v>
      </c>
      <c r="J287">
        <v>13.845855712800899</v>
      </c>
      <c r="K287">
        <v>13.803403611434099</v>
      </c>
      <c r="L287">
        <v>13.7499894233951</v>
      </c>
      <c r="M287">
        <v>11.3487188684591</v>
      </c>
      <c r="N287">
        <v>11.880490951544701</v>
      </c>
      <c r="O287">
        <v>13.7205296754433</v>
      </c>
      <c r="P287">
        <v>-1.48316975072768</v>
      </c>
      <c r="Q287">
        <v>-2.3517753952779499</v>
      </c>
      <c r="R287">
        <v>-0.61456410617742196</v>
      </c>
      <c r="S287">
        <v>12.980188608202401</v>
      </c>
      <c r="T287">
        <v>-3.58889477638099</v>
      </c>
      <c r="U287">
        <v>-2.0744438616649998</v>
      </c>
      <c r="V287">
        <v>2.1144689128741799E-3</v>
      </c>
      <c r="W287">
        <v>1.51670231344385E-2</v>
      </c>
      <c r="X287">
        <v>-1</v>
      </c>
      <c r="Y287">
        <v>-1</v>
      </c>
    </row>
    <row r="288" spans="1:25" x14ac:dyDescent="0.2">
      <c r="A288" t="s">
        <v>1076</v>
      </c>
      <c r="B288" t="s">
        <v>1077</v>
      </c>
      <c r="C288" t="s">
        <v>1078</v>
      </c>
      <c r="D288" t="s">
        <v>1079</v>
      </c>
      <c r="E288" t="s">
        <v>1077</v>
      </c>
      <c r="F288" t="s">
        <v>28</v>
      </c>
      <c r="G288" t="s">
        <v>1077</v>
      </c>
      <c r="H288" t="str">
        <f>"smn-1"</f>
        <v>smn-1</v>
      </c>
      <c r="I288" t="s">
        <v>1079</v>
      </c>
      <c r="J288">
        <v>11.9067106717334</v>
      </c>
      <c r="K288">
        <v>11.2181767906856</v>
      </c>
      <c r="L288">
        <v>12.7865733832174</v>
      </c>
      <c r="M288" t="s">
        <v>29</v>
      </c>
      <c r="N288">
        <v>13.232773405667</v>
      </c>
      <c r="O288">
        <v>12.457118694507001</v>
      </c>
      <c r="P288">
        <v>0.87445910154151296</v>
      </c>
      <c r="Q288">
        <v>3.8903866092382097E-2</v>
      </c>
      <c r="R288">
        <v>1.71001433699064</v>
      </c>
      <c r="S288">
        <v>12.841351769370499</v>
      </c>
      <c r="T288">
        <v>2.2198001038392099</v>
      </c>
      <c r="U288">
        <v>-4.7838593002010699</v>
      </c>
      <c r="V288">
        <v>4.1332467237087001E-2</v>
      </c>
      <c r="W288">
        <v>0.120243613966136</v>
      </c>
      <c r="X288">
        <v>0</v>
      </c>
      <c r="Y288">
        <v>0</v>
      </c>
    </row>
    <row r="289" spans="1:25" x14ac:dyDescent="0.2">
      <c r="A289" t="s">
        <v>1080</v>
      </c>
      <c r="B289" t="s">
        <v>1081</v>
      </c>
      <c r="C289" t="s">
        <v>1082</v>
      </c>
      <c r="D289" t="s">
        <v>1083</v>
      </c>
      <c r="E289" t="s">
        <v>1081</v>
      </c>
      <c r="F289" t="s">
        <v>28</v>
      </c>
      <c r="G289" t="s">
        <v>1081</v>
      </c>
      <c r="H289" t="str">
        <f>"hcf-1"</f>
        <v>hcf-1</v>
      </c>
      <c r="I289" t="s">
        <v>1083</v>
      </c>
      <c r="J289">
        <v>14.9291905796025</v>
      </c>
      <c r="K289">
        <v>15.3168712913623</v>
      </c>
      <c r="L289">
        <v>15.1452504885384</v>
      </c>
      <c r="M289">
        <v>14.193201805081401</v>
      </c>
      <c r="N289">
        <v>14.119090445724501</v>
      </c>
      <c r="O289">
        <v>14.1559364185451</v>
      </c>
      <c r="P289">
        <v>-0.97436123005072695</v>
      </c>
      <c r="Q289">
        <v>-1.3368191595655201</v>
      </c>
      <c r="R289">
        <v>-0.611903300535938</v>
      </c>
      <c r="S289">
        <v>14.821298992729499</v>
      </c>
      <c r="T289">
        <v>-5.6500839783428098</v>
      </c>
      <c r="U289">
        <v>2.41671516952142</v>
      </c>
      <c r="V289" s="2">
        <v>2.3769359733108301E-5</v>
      </c>
      <c r="W289">
        <v>5.8864120280226998E-4</v>
      </c>
      <c r="X289">
        <v>0</v>
      </c>
      <c r="Y289">
        <v>0</v>
      </c>
    </row>
    <row r="290" spans="1:25" x14ac:dyDescent="0.2">
      <c r="A290" t="s">
        <v>1084</v>
      </c>
      <c r="B290" t="s">
        <v>1085</v>
      </c>
      <c r="C290" t="s">
        <v>1086</v>
      </c>
      <c r="D290" t="s">
        <v>1087</v>
      </c>
      <c r="E290" t="s">
        <v>1085</v>
      </c>
      <c r="F290" t="s">
        <v>28</v>
      </c>
      <c r="G290" t="s">
        <v>1085</v>
      </c>
      <c r="H290" t="str">
        <f>"ptp-2"</f>
        <v>ptp-2</v>
      </c>
      <c r="I290" t="s">
        <v>1087</v>
      </c>
      <c r="J290">
        <v>14.7469912095331</v>
      </c>
      <c r="K290">
        <v>15.0939498705874</v>
      </c>
      <c r="L290">
        <v>15.015363379500601</v>
      </c>
      <c r="M290">
        <v>14.3245989048349</v>
      </c>
      <c r="N290">
        <v>14.785917217021</v>
      </c>
      <c r="O290">
        <v>14.833523745592</v>
      </c>
      <c r="P290">
        <v>-0.30408819739106702</v>
      </c>
      <c r="Q290">
        <v>-0.65696908559233302</v>
      </c>
      <c r="R290">
        <v>4.8792690810198602E-2</v>
      </c>
      <c r="S290">
        <v>15.038095519713</v>
      </c>
      <c r="T290">
        <v>-1.8111896986313301</v>
      </c>
      <c r="U290">
        <v>-5.5764261340625998</v>
      </c>
      <c r="V290">
        <v>8.6931431196762193E-2</v>
      </c>
      <c r="W290">
        <v>0.19782774342614501</v>
      </c>
      <c r="X290">
        <v>0</v>
      </c>
      <c r="Y290">
        <v>0</v>
      </c>
    </row>
    <row r="291" spans="1:25" x14ac:dyDescent="0.2">
      <c r="A291" t="s">
        <v>1088</v>
      </c>
      <c r="B291" t="s">
        <v>1089</v>
      </c>
      <c r="C291" t="s">
        <v>1090</v>
      </c>
      <c r="D291" t="s">
        <v>1091</v>
      </c>
      <c r="E291" t="s">
        <v>1089</v>
      </c>
      <c r="F291" t="s">
        <v>28</v>
      </c>
      <c r="G291" t="s">
        <v>1089</v>
      </c>
      <c r="H291" t="str">
        <f>"cept-2"</f>
        <v>cept-2</v>
      </c>
      <c r="I291" t="s">
        <v>1091</v>
      </c>
      <c r="J291">
        <v>13.740166683002</v>
      </c>
      <c r="K291">
        <v>14.150501207521</v>
      </c>
      <c r="L291">
        <v>14.175852550568401</v>
      </c>
      <c r="M291">
        <v>13.1445743243741</v>
      </c>
      <c r="N291">
        <v>14.1785057830537</v>
      </c>
      <c r="O291">
        <v>14.041629709759301</v>
      </c>
      <c r="P291">
        <v>-0.23393687463472701</v>
      </c>
      <c r="Q291">
        <v>-0.72432605305770403</v>
      </c>
      <c r="R291">
        <v>0.25645230378825001</v>
      </c>
      <c r="S291">
        <v>14.3721886865531</v>
      </c>
      <c r="T291">
        <v>-1.0026522177195301</v>
      </c>
      <c r="U291">
        <v>-6.64309330961638</v>
      </c>
      <c r="V291">
        <v>0.32939471089202799</v>
      </c>
      <c r="W291">
        <v>0.50149918984683095</v>
      </c>
      <c r="X291">
        <v>0</v>
      </c>
      <c r="Y291">
        <v>0</v>
      </c>
    </row>
    <row r="292" spans="1:25" x14ac:dyDescent="0.2">
      <c r="A292" t="s">
        <v>1092</v>
      </c>
      <c r="B292" t="s">
        <v>1093</v>
      </c>
      <c r="C292" t="s">
        <v>1094</v>
      </c>
      <c r="D292" t="s">
        <v>1095</v>
      </c>
      <c r="E292" t="s">
        <v>1093</v>
      </c>
      <c r="F292" t="s">
        <v>28</v>
      </c>
      <c r="G292" t="s">
        <v>1093</v>
      </c>
      <c r="H292" t="str">
        <f>"gna-2"</f>
        <v>gna-2</v>
      </c>
      <c r="I292" t="s">
        <v>1095</v>
      </c>
      <c r="J292">
        <v>12.631299011449</v>
      </c>
      <c r="K292">
        <v>12.0974036792544</v>
      </c>
      <c r="L292">
        <v>13.273172806553999</v>
      </c>
      <c r="M292" t="s">
        <v>29</v>
      </c>
      <c r="N292">
        <v>12.4038891876408</v>
      </c>
      <c r="O292">
        <v>12.391504970853299</v>
      </c>
      <c r="P292">
        <v>-0.269594753172063</v>
      </c>
      <c r="Q292">
        <v>-1.20098935233716</v>
      </c>
      <c r="R292">
        <v>0.66179984599302999</v>
      </c>
      <c r="S292">
        <v>13.561797581913501</v>
      </c>
      <c r="T292">
        <v>-0.61098104030571398</v>
      </c>
      <c r="U292">
        <v>-6.8514019503230603</v>
      </c>
      <c r="V292">
        <v>0.54934468364382905</v>
      </c>
      <c r="W292">
        <v>0.69451685229445104</v>
      </c>
      <c r="X292">
        <v>0</v>
      </c>
      <c r="Y292">
        <v>0</v>
      </c>
    </row>
    <row r="293" spans="1:25" x14ac:dyDescent="0.2">
      <c r="A293" t="s">
        <v>1096</v>
      </c>
      <c r="B293" t="s">
        <v>1097</v>
      </c>
      <c r="C293" t="s">
        <v>1098</v>
      </c>
      <c r="D293" t="s">
        <v>1099</v>
      </c>
      <c r="E293" t="s">
        <v>1097</v>
      </c>
      <c r="F293" t="s">
        <v>28</v>
      </c>
      <c r="G293" t="s">
        <v>1097</v>
      </c>
      <c r="H293" t="str">
        <f>"sulp-7"</f>
        <v>sulp-7</v>
      </c>
      <c r="I293" t="s">
        <v>1099</v>
      </c>
      <c r="J293">
        <v>12.738999415622301</v>
      </c>
      <c r="K293" t="s">
        <v>29</v>
      </c>
      <c r="L293">
        <v>12.412896623589299</v>
      </c>
      <c r="M293" t="s">
        <v>29</v>
      </c>
      <c r="N293">
        <v>11.696863116276401</v>
      </c>
      <c r="O293" t="s">
        <v>29</v>
      </c>
      <c r="P293">
        <v>-0.879084903329439</v>
      </c>
      <c r="Q293">
        <v>-1.7835738326035</v>
      </c>
      <c r="R293">
        <v>2.5404025944626901E-2</v>
      </c>
      <c r="S293">
        <v>12.270753107646099</v>
      </c>
      <c r="T293">
        <v>-2.1014294330074401</v>
      </c>
      <c r="U293">
        <v>-4.7400979526042901</v>
      </c>
      <c r="V293">
        <v>5.5836724670908097E-2</v>
      </c>
      <c r="W293">
        <v>0.14776248687313601</v>
      </c>
      <c r="X293">
        <v>0</v>
      </c>
      <c r="Y293">
        <v>0</v>
      </c>
    </row>
    <row r="294" spans="1:25" x14ac:dyDescent="0.2">
      <c r="A294" t="s">
        <v>1100</v>
      </c>
      <c r="B294" t="s">
        <v>1101</v>
      </c>
      <c r="C294" t="s">
        <v>1102</v>
      </c>
      <c r="D294" t="s">
        <v>1103</v>
      </c>
      <c r="E294" t="s">
        <v>1101</v>
      </c>
      <c r="F294" t="s">
        <v>28</v>
      </c>
      <c r="G294" t="s">
        <v>1101</v>
      </c>
      <c r="H294" t="str">
        <f>"alh-6"</f>
        <v>alh-6</v>
      </c>
      <c r="I294" t="s">
        <v>1103</v>
      </c>
      <c r="J294">
        <v>11.871356682956</v>
      </c>
      <c r="K294">
        <v>12.4864279776176</v>
      </c>
      <c r="L294">
        <v>12.7841378270485</v>
      </c>
      <c r="M294" t="s">
        <v>29</v>
      </c>
      <c r="N294">
        <v>13.645253661858201</v>
      </c>
      <c r="O294">
        <v>12.963421562242599</v>
      </c>
      <c r="P294">
        <v>0.92369678284297596</v>
      </c>
      <c r="Q294">
        <v>0.25886540289637</v>
      </c>
      <c r="R294">
        <v>1.58852816278958</v>
      </c>
      <c r="S294">
        <v>13.0603524343096</v>
      </c>
      <c r="T294">
        <v>2.9327019926699398</v>
      </c>
      <c r="U294">
        <v>-3.39746371601507</v>
      </c>
      <c r="V294">
        <v>9.3401591978348603E-3</v>
      </c>
      <c r="W294">
        <v>4.3621947949317501E-2</v>
      </c>
      <c r="X294">
        <v>0</v>
      </c>
      <c r="Y294">
        <v>0</v>
      </c>
    </row>
    <row r="295" spans="1:25" x14ac:dyDescent="0.2">
      <c r="A295" t="s">
        <v>1104</v>
      </c>
      <c r="B295" t="s">
        <v>1105</v>
      </c>
      <c r="C295" t="s">
        <v>14248</v>
      </c>
      <c r="D295" t="s">
        <v>107</v>
      </c>
      <c r="E295" t="s">
        <v>1105</v>
      </c>
      <c r="F295" t="s">
        <v>28</v>
      </c>
      <c r="G295" t="s">
        <v>1105</v>
      </c>
      <c r="H295" t="str">
        <f>"F17C11.12"</f>
        <v>F17C11.12</v>
      </c>
      <c r="I295" t="s">
        <v>107</v>
      </c>
      <c r="J295">
        <v>13.1270388075569</v>
      </c>
      <c r="K295">
        <v>13.4668204381453</v>
      </c>
      <c r="L295">
        <v>13.250384159494301</v>
      </c>
      <c r="M295" t="s">
        <v>29</v>
      </c>
      <c r="N295" t="s">
        <v>29</v>
      </c>
      <c r="O295">
        <v>13.3628498174751</v>
      </c>
      <c r="P295">
        <v>8.1435349076274505E-2</v>
      </c>
      <c r="Q295">
        <v>-0.54310314979727203</v>
      </c>
      <c r="R295">
        <v>0.70597384794982099</v>
      </c>
      <c r="S295">
        <v>13.098051807215599</v>
      </c>
      <c r="T295">
        <v>0.276568858424452</v>
      </c>
      <c r="U295">
        <v>-6.7726286632095398</v>
      </c>
      <c r="V295">
        <v>0.78567518364965205</v>
      </c>
      <c r="W295">
        <v>0.86513992126446104</v>
      </c>
      <c r="X295">
        <v>0</v>
      </c>
      <c r="Y295">
        <v>0</v>
      </c>
    </row>
    <row r="296" spans="1:25" x14ac:dyDescent="0.2">
      <c r="A296" t="s">
        <v>1106</v>
      </c>
      <c r="B296" t="s">
        <v>1107</v>
      </c>
      <c r="C296" t="s">
        <v>1108</v>
      </c>
      <c r="D296" t="s">
        <v>1109</v>
      </c>
      <c r="E296" t="s">
        <v>1107</v>
      </c>
      <c r="F296" t="s">
        <v>28</v>
      </c>
      <c r="G296" t="s">
        <v>1107</v>
      </c>
      <c r="H296" t="str">
        <f>"mboa-3"</f>
        <v>mboa-3</v>
      </c>
      <c r="I296" t="s">
        <v>1109</v>
      </c>
      <c r="J296">
        <v>12.456619126785601</v>
      </c>
      <c r="K296">
        <v>13.4499960219214</v>
      </c>
      <c r="L296">
        <v>12.938266254362601</v>
      </c>
      <c r="M296" t="s">
        <v>29</v>
      </c>
      <c r="N296" t="s">
        <v>29</v>
      </c>
      <c r="O296" t="s">
        <v>29</v>
      </c>
      <c r="P296" t="s">
        <v>29</v>
      </c>
      <c r="Q296" t="s">
        <v>29</v>
      </c>
      <c r="R296" t="s">
        <v>29</v>
      </c>
      <c r="S296">
        <v>13.7638091414683</v>
      </c>
      <c r="T296" t="s">
        <v>29</v>
      </c>
      <c r="U296" t="s">
        <v>29</v>
      </c>
      <c r="V296" t="s">
        <v>29</v>
      </c>
      <c r="W296" t="s">
        <v>29</v>
      </c>
      <c r="X296" t="s">
        <v>29</v>
      </c>
      <c r="Y296" t="s">
        <v>29</v>
      </c>
    </row>
    <row r="297" spans="1:25" x14ac:dyDescent="0.2">
      <c r="A297" t="s">
        <v>1110</v>
      </c>
      <c r="B297" t="s">
        <v>1111</v>
      </c>
      <c r="C297" t="s">
        <v>1112</v>
      </c>
      <c r="D297" t="s">
        <v>1113</v>
      </c>
      <c r="E297" t="s">
        <v>1111</v>
      </c>
      <c r="F297" t="s">
        <v>28</v>
      </c>
      <c r="G297" t="s">
        <v>1111</v>
      </c>
      <c r="H297" t="str">
        <f>"ttm-5"</f>
        <v>ttm-5</v>
      </c>
      <c r="I297" t="s">
        <v>1113</v>
      </c>
      <c r="J297">
        <v>11.972407193116</v>
      </c>
      <c r="K297">
        <v>11.8458040285299</v>
      </c>
      <c r="L297">
        <v>12.251774420618901</v>
      </c>
      <c r="M297" t="s">
        <v>29</v>
      </c>
      <c r="N297" t="s">
        <v>29</v>
      </c>
      <c r="O297">
        <v>10.171444316396901</v>
      </c>
      <c r="P297">
        <v>-1.8518842310247099</v>
      </c>
      <c r="Q297">
        <v>-2.42504238903016</v>
      </c>
      <c r="R297">
        <v>-1.27872607301925</v>
      </c>
      <c r="S297">
        <v>12.070816634763901</v>
      </c>
      <c r="T297">
        <v>-6.9347570086189698</v>
      </c>
      <c r="U297">
        <v>4.0247171173691196</v>
      </c>
      <c r="V297" s="2">
        <v>7.2154096832165999E-6</v>
      </c>
      <c r="W297">
        <v>2.2338574349161299E-4</v>
      </c>
      <c r="X297">
        <v>-1</v>
      </c>
      <c r="Y297">
        <v>-1</v>
      </c>
    </row>
    <row r="298" spans="1:25" x14ac:dyDescent="0.2">
      <c r="A298" t="s">
        <v>1114</v>
      </c>
      <c r="B298" t="s">
        <v>1115</v>
      </c>
      <c r="C298" t="s">
        <v>1116</v>
      </c>
      <c r="D298" t="s">
        <v>420</v>
      </c>
      <c r="E298" t="s">
        <v>1115</v>
      </c>
      <c r="F298" t="s">
        <v>28</v>
      </c>
      <c r="G298" t="s">
        <v>1115</v>
      </c>
      <c r="H298" t="str">
        <f>"clh-6"</f>
        <v>clh-6</v>
      </c>
      <c r="I298" t="s">
        <v>420</v>
      </c>
      <c r="J298" t="s">
        <v>29</v>
      </c>
      <c r="K298" t="s">
        <v>29</v>
      </c>
      <c r="L298" t="s">
        <v>29</v>
      </c>
      <c r="M298" t="s">
        <v>29</v>
      </c>
      <c r="N298" t="s">
        <v>29</v>
      </c>
      <c r="O298" t="s">
        <v>29</v>
      </c>
      <c r="P298" t="s">
        <v>29</v>
      </c>
      <c r="Q298" t="s">
        <v>29</v>
      </c>
      <c r="R298" t="s">
        <v>29</v>
      </c>
      <c r="S298">
        <v>11.309412223722401</v>
      </c>
      <c r="T298" t="s">
        <v>29</v>
      </c>
      <c r="U298" t="s">
        <v>29</v>
      </c>
      <c r="V298" t="s">
        <v>29</v>
      </c>
      <c r="W298" t="s">
        <v>29</v>
      </c>
      <c r="X298" t="s">
        <v>29</v>
      </c>
      <c r="Y298" t="s">
        <v>29</v>
      </c>
    </row>
    <row r="299" spans="1:25" x14ac:dyDescent="0.2">
      <c r="A299" t="s">
        <v>1117</v>
      </c>
      <c r="B299" t="s">
        <v>1118</v>
      </c>
      <c r="C299" t="s">
        <v>1119</v>
      </c>
      <c r="D299" t="s">
        <v>1120</v>
      </c>
      <c r="E299" t="s">
        <v>1118</v>
      </c>
      <c r="F299" t="s">
        <v>28</v>
      </c>
      <c r="G299" t="s">
        <v>1118</v>
      </c>
      <c r="H299" t="str">
        <f>"ztf-6"</f>
        <v>ztf-6</v>
      </c>
      <c r="I299" t="s">
        <v>1120</v>
      </c>
      <c r="J299" t="s">
        <v>29</v>
      </c>
      <c r="K299" t="s">
        <v>29</v>
      </c>
      <c r="L299" t="s">
        <v>29</v>
      </c>
      <c r="M299" t="s">
        <v>29</v>
      </c>
      <c r="N299" t="s">
        <v>29</v>
      </c>
      <c r="O299" t="s">
        <v>29</v>
      </c>
      <c r="P299" t="s">
        <v>29</v>
      </c>
      <c r="Q299" t="s">
        <v>29</v>
      </c>
      <c r="R299" t="s">
        <v>29</v>
      </c>
      <c r="S299">
        <v>11.8161814462905</v>
      </c>
      <c r="T299" t="s">
        <v>29</v>
      </c>
      <c r="U299" t="s">
        <v>29</v>
      </c>
      <c r="V299" t="s">
        <v>29</v>
      </c>
      <c r="W299" t="s">
        <v>29</v>
      </c>
      <c r="X299" t="s">
        <v>29</v>
      </c>
      <c r="Y299" t="s">
        <v>29</v>
      </c>
    </row>
    <row r="300" spans="1:25" x14ac:dyDescent="0.2">
      <c r="A300" t="s">
        <v>1121</v>
      </c>
      <c r="B300" t="s">
        <v>1122</v>
      </c>
      <c r="C300" t="s">
        <v>1123</v>
      </c>
      <c r="D300" t="s">
        <v>1124</v>
      </c>
      <c r="E300" t="s">
        <v>1122</v>
      </c>
      <c r="F300" t="s">
        <v>28</v>
      </c>
      <c r="G300" t="s">
        <v>1122</v>
      </c>
      <c r="H300" t="str">
        <f>"oma-1"</f>
        <v>oma-1</v>
      </c>
      <c r="I300" t="s">
        <v>1124</v>
      </c>
      <c r="J300">
        <v>13.6793749054565</v>
      </c>
      <c r="K300">
        <v>12.5413503989656</v>
      </c>
      <c r="L300">
        <v>13.582878738166301</v>
      </c>
      <c r="M300" t="s">
        <v>29</v>
      </c>
      <c r="N300">
        <v>14.4582969716311</v>
      </c>
      <c r="O300">
        <v>13.3651909678689</v>
      </c>
      <c r="P300">
        <v>0.64387595555386001</v>
      </c>
      <c r="Q300">
        <v>-0.49418518768154801</v>
      </c>
      <c r="R300">
        <v>1.78193709878927</v>
      </c>
      <c r="S300">
        <v>14.2195912369951</v>
      </c>
      <c r="T300">
        <v>1.1942262829624599</v>
      </c>
      <c r="U300">
        <v>-6.32598957926783</v>
      </c>
      <c r="V300">
        <v>0.24888734968043799</v>
      </c>
      <c r="W300">
        <v>0.416035745608763</v>
      </c>
      <c r="X300">
        <v>0</v>
      </c>
      <c r="Y300">
        <v>0</v>
      </c>
    </row>
    <row r="301" spans="1:25" x14ac:dyDescent="0.2">
      <c r="A301" t="s">
        <v>1125</v>
      </c>
      <c r="B301" t="s">
        <v>1126</v>
      </c>
      <c r="C301" t="s">
        <v>1127</v>
      </c>
      <c r="D301" t="s">
        <v>1128</v>
      </c>
      <c r="E301" t="s">
        <v>1126</v>
      </c>
      <c r="F301" t="s">
        <v>28</v>
      </c>
      <c r="G301" t="s">
        <v>1126</v>
      </c>
      <c r="H301" t="str">
        <f>"dpy-11"</f>
        <v>dpy-11</v>
      </c>
      <c r="I301" t="s">
        <v>1128</v>
      </c>
      <c r="J301">
        <v>13.102819671752901</v>
      </c>
      <c r="K301">
        <v>13.764396115159199</v>
      </c>
      <c r="L301">
        <v>14.266773538895</v>
      </c>
      <c r="M301">
        <v>15.190285175325601</v>
      </c>
      <c r="N301">
        <v>15.052856303019</v>
      </c>
      <c r="O301">
        <v>14.2760322554811</v>
      </c>
      <c r="P301">
        <v>1.1283948026727899</v>
      </c>
      <c r="Q301">
        <v>0.39424032529648101</v>
      </c>
      <c r="R301">
        <v>1.8625492800491099</v>
      </c>
      <c r="S301">
        <v>14.0320865815471</v>
      </c>
      <c r="T301">
        <v>3.2304731706635201</v>
      </c>
      <c r="U301">
        <v>-2.8485900220031501</v>
      </c>
      <c r="V301">
        <v>4.66765624615691E-3</v>
      </c>
      <c r="W301">
        <v>2.7131327332198099E-2</v>
      </c>
      <c r="X301">
        <v>1</v>
      </c>
      <c r="Y301">
        <v>1</v>
      </c>
    </row>
    <row r="302" spans="1:25" x14ac:dyDescent="0.2">
      <c r="A302" t="s">
        <v>1129</v>
      </c>
      <c r="B302" t="s">
        <v>1130</v>
      </c>
      <c r="C302" t="s">
        <v>14159</v>
      </c>
      <c r="D302" t="s">
        <v>1131</v>
      </c>
      <c r="E302" t="s">
        <v>1130</v>
      </c>
      <c r="F302" t="s">
        <v>28</v>
      </c>
      <c r="G302" t="s">
        <v>1130</v>
      </c>
      <c r="H302" t="str">
        <f>"T04A11.2"</f>
        <v>T04A11.2</v>
      </c>
      <c r="I302" t="s">
        <v>1131</v>
      </c>
      <c r="J302" t="s">
        <v>29</v>
      </c>
      <c r="K302" t="s">
        <v>29</v>
      </c>
      <c r="L302" t="s">
        <v>29</v>
      </c>
      <c r="M302" t="s">
        <v>29</v>
      </c>
      <c r="N302">
        <v>14.329601806485</v>
      </c>
      <c r="O302">
        <v>14.846982872707599</v>
      </c>
      <c r="P302" t="s">
        <v>29</v>
      </c>
      <c r="Q302" t="s">
        <v>29</v>
      </c>
      <c r="R302" t="s">
        <v>29</v>
      </c>
      <c r="S302">
        <v>12.4855194859049</v>
      </c>
      <c r="T302" t="s">
        <v>29</v>
      </c>
      <c r="U302" t="s">
        <v>29</v>
      </c>
      <c r="V302" t="s">
        <v>29</v>
      </c>
      <c r="W302" t="s">
        <v>29</v>
      </c>
      <c r="X302" t="s">
        <v>29</v>
      </c>
      <c r="Y302" t="s">
        <v>29</v>
      </c>
    </row>
    <row r="303" spans="1:25" x14ac:dyDescent="0.2">
      <c r="A303" t="s">
        <v>1132</v>
      </c>
      <c r="B303" t="s">
        <v>1133</v>
      </c>
      <c r="C303" t="s">
        <v>1134</v>
      </c>
      <c r="D303" t="s">
        <v>1135</v>
      </c>
      <c r="E303" t="s">
        <v>1133</v>
      </c>
      <c r="F303" t="s">
        <v>28</v>
      </c>
      <c r="G303" t="s">
        <v>1133</v>
      </c>
      <c r="H303" t="str">
        <f>"bus-8"</f>
        <v>bus-8</v>
      </c>
      <c r="I303" t="s">
        <v>1135</v>
      </c>
      <c r="J303" t="s">
        <v>29</v>
      </c>
      <c r="K303" t="s">
        <v>29</v>
      </c>
      <c r="L303">
        <v>13.009271125738</v>
      </c>
      <c r="M303" t="s">
        <v>29</v>
      </c>
      <c r="N303" t="s">
        <v>29</v>
      </c>
      <c r="O303" t="s">
        <v>29</v>
      </c>
      <c r="P303" t="s">
        <v>29</v>
      </c>
      <c r="Q303" t="s">
        <v>29</v>
      </c>
      <c r="R303" t="s">
        <v>29</v>
      </c>
      <c r="S303">
        <v>12.1781973696104</v>
      </c>
      <c r="T303" t="s">
        <v>29</v>
      </c>
      <c r="U303" t="s">
        <v>29</v>
      </c>
      <c r="V303" t="s">
        <v>29</v>
      </c>
      <c r="W303" t="s">
        <v>29</v>
      </c>
      <c r="X303" t="s">
        <v>29</v>
      </c>
      <c r="Y303" t="s">
        <v>29</v>
      </c>
    </row>
    <row r="304" spans="1:25" x14ac:dyDescent="0.2">
      <c r="A304" t="s">
        <v>1136</v>
      </c>
      <c r="B304" t="s">
        <v>1137</v>
      </c>
      <c r="C304" t="s">
        <v>1138</v>
      </c>
      <c r="D304" t="s">
        <v>1139</v>
      </c>
      <c r="E304" t="s">
        <v>1137</v>
      </c>
      <c r="F304" t="s">
        <v>28</v>
      </c>
      <c r="G304" t="s">
        <v>1137</v>
      </c>
      <c r="H304" t="str">
        <f>"klp-16"</f>
        <v>klp-16</v>
      </c>
      <c r="I304" t="s">
        <v>1139</v>
      </c>
      <c r="J304">
        <v>13.744967417236801</v>
      </c>
      <c r="K304">
        <v>13.8184537135512</v>
      </c>
      <c r="L304">
        <v>14.486390894661801</v>
      </c>
      <c r="M304" t="s">
        <v>29</v>
      </c>
      <c r="N304">
        <v>14.195445640019701</v>
      </c>
      <c r="O304">
        <v>12.839443931140201</v>
      </c>
      <c r="P304">
        <v>-0.499159222903307</v>
      </c>
      <c r="Q304">
        <v>-1.27453136639609</v>
      </c>
      <c r="R304">
        <v>0.27621292058947999</v>
      </c>
      <c r="S304">
        <v>14.383488247488</v>
      </c>
      <c r="T304">
        <v>-1.3588731542908501</v>
      </c>
      <c r="U304">
        <v>-6.12467378276195</v>
      </c>
      <c r="V304">
        <v>0.192052648464732</v>
      </c>
      <c r="W304">
        <v>0.34996983596834702</v>
      </c>
      <c r="X304">
        <v>0</v>
      </c>
      <c r="Y304">
        <v>0</v>
      </c>
    </row>
    <row r="305" spans="1:25" x14ac:dyDescent="0.2">
      <c r="A305" t="s">
        <v>1140</v>
      </c>
      <c r="B305" t="s">
        <v>1141</v>
      </c>
      <c r="C305" t="s">
        <v>1142</v>
      </c>
      <c r="D305" t="s">
        <v>1143</v>
      </c>
      <c r="E305" t="s">
        <v>1141</v>
      </c>
      <c r="F305" t="s">
        <v>28</v>
      </c>
      <c r="G305" t="s">
        <v>1141</v>
      </c>
      <c r="H305" t="str">
        <f>"rme-1"</f>
        <v>rme-1</v>
      </c>
      <c r="I305" t="s">
        <v>1143</v>
      </c>
      <c r="J305">
        <v>15.1960671312125</v>
      </c>
      <c r="K305">
        <v>15.0647679567269</v>
      </c>
      <c r="L305">
        <v>15.1076996063611</v>
      </c>
      <c r="M305">
        <v>15.4555151401029</v>
      </c>
      <c r="N305">
        <v>15.7933853320705</v>
      </c>
      <c r="O305">
        <v>15.835569389738099</v>
      </c>
      <c r="P305">
        <v>0.57197838920370203</v>
      </c>
      <c r="Q305">
        <v>0.146210023024058</v>
      </c>
      <c r="R305">
        <v>0.99774675538334501</v>
      </c>
      <c r="S305">
        <v>15.263480389632999</v>
      </c>
      <c r="T305">
        <v>2.8235711934416399</v>
      </c>
      <c r="U305">
        <v>-3.7002588404163901</v>
      </c>
      <c r="V305">
        <v>1.1298294420596501E-2</v>
      </c>
      <c r="W305">
        <v>4.95232633494989E-2</v>
      </c>
      <c r="X305">
        <v>0</v>
      </c>
      <c r="Y305">
        <v>0</v>
      </c>
    </row>
    <row r="306" spans="1:25" x14ac:dyDescent="0.2">
      <c r="A306" t="s">
        <v>1144</v>
      </c>
      <c r="B306" t="s">
        <v>1145</v>
      </c>
      <c r="C306" t="s">
        <v>1146</v>
      </c>
      <c r="D306" t="s">
        <v>1147</v>
      </c>
      <c r="E306" t="s">
        <v>1145</v>
      </c>
      <c r="F306" t="s">
        <v>28</v>
      </c>
      <c r="G306" t="s">
        <v>1145</v>
      </c>
      <c r="H306" t="str">
        <f>"usp-48"</f>
        <v>usp-48</v>
      </c>
      <c r="I306" t="s">
        <v>1147</v>
      </c>
      <c r="J306">
        <v>11.8425482550174</v>
      </c>
      <c r="K306">
        <v>11.935821028334599</v>
      </c>
      <c r="L306">
        <v>12.0505093450966</v>
      </c>
      <c r="M306" t="s">
        <v>29</v>
      </c>
      <c r="N306">
        <v>11.3879527464031</v>
      </c>
      <c r="O306">
        <v>13.4873800911174</v>
      </c>
      <c r="P306">
        <v>0.49470687594405</v>
      </c>
      <c r="Q306">
        <v>-0.35874682098605398</v>
      </c>
      <c r="R306">
        <v>1.3481605728741499</v>
      </c>
      <c r="S306">
        <v>12.3049034015473</v>
      </c>
      <c r="T306">
        <v>1.2235395040389201</v>
      </c>
      <c r="U306">
        <v>-6.2917235145574901</v>
      </c>
      <c r="V306">
        <v>0.23791706230316201</v>
      </c>
      <c r="W306">
        <v>0.40318664899793999</v>
      </c>
      <c r="X306">
        <v>0</v>
      </c>
      <c r="Y306">
        <v>0</v>
      </c>
    </row>
    <row r="307" spans="1:25" x14ac:dyDescent="0.2">
      <c r="A307" t="s">
        <v>1148</v>
      </c>
      <c r="B307" t="s">
        <v>1149</v>
      </c>
      <c r="C307" t="s">
        <v>1150</v>
      </c>
      <c r="D307" t="s">
        <v>1151</v>
      </c>
      <c r="E307" t="s">
        <v>1149</v>
      </c>
      <c r="F307" t="s">
        <v>28</v>
      </c>
      <c r="G307" t="s">
        <v>1149</v>
      </c>
      <c r="H307" t="str">
        <f>"mrps-27"</f>
        <v>mrps-27</v>
      </c>
      <c r="I307" t="s">
        <v>1151</v>
      </c>
      <c r="J307">
        <v>10.919888378023501</v>
      </c>
      <c r="K307">
        <v>11.471532077507099</v>
      </c>
      <c r="L307">
        <v>11.905663186193699</v>
      </c>
      <c r="M307" t="s">
        <v>29</v>
      </c>
      <c r="N307" t="s">
        <v>29</v>
      </c>
      <c r="O307">
        <v>11.3943661471612</v>
      </c>
      <c r="P307">
        <v>-3.7995066746905302E-2</v>
      </c>
      <c r="Q307">
        <v>-1.0850167729885201</v>
      </c>
      <c r="R307">
        <v>1.0090266394947101</v>
      </c>
      <c r="S307">
        <v>12.121064996795001</v>
      </c>
      <c r="T307">
        <v>-7.6969923742393601E-2</v>
      </c>
      <c r="U307">
        <v>-6.8095899660007797</v>
      </c>
      <c r="V307">
        <v>0.93960800213155005</v>
      </c>
      <c r="W307">
        <v>0.96499999030741501</v>
      </c>
      <c r="X307">
        <v>0</v>
      </c>
      <c r="Y307">
        <v>0</v>
      </c>
    </row>
    <row r="308" spans="1:25" x14ac:dyDescent="0.2">
      <c r="A308" t="s">
        <v>1152</v>
      </c>
      <c r="B308" t="s">
        <v>1153</v>
      </c>
      <c r="C308" t="s">
        <v>1154</v>
      </c>
      <c r="D308" t="s">
        <v>1155</v>
      </c>
      <c r="E308" t="s">
        <v>1153</v>
      </c>
      <c r="F308" t="s">
        <v>28</v>
      </c>
      <c r="G308" t="s">
        <v>1153</v>
      </c>
      <c r="H308" t="str">
        <f>"chs-1"</f>
        <v>chs-1</v>
      </c>
      <c r="I308" t="s">
        <v>1155</v>
      </c>
      <c r="J308" t="s">
        <v>29</v>
      </c>
      <c r="K308" t="s">
        <v>29</v>
      </c>
      <c r="L308" t="s">
        <v>29</v>
      </c>
      <c r="M308" t="s">
        <v>29</v>
      </c>
      <c r="N308" t="s">
        <v>29</v>
      </c>
      <c r="O308" t="s">
        <v>29</v>
      </c>
      <c r="P308" t="s">
        <v>29</v>
      </c>
      <c r="Q308" t="s">
        <v>29</v>
      </c>
      <c r="R308" t="s">
        <v>29</v>
      </c>
      <c r="S308">
        <v>12.202970194474601</v>
      </c>
      <c r="T308" t="s">
        <v>29</v>
      </c>
      <c r="U308" t="s">
        <v>29</v>
      </c>
      <c r="V308" t="s">
        <v>29</v>
      </c>
      <c r="W308" t="s">
        <v>29</v>
      </c>
      <c r="X308" t="s">
        <v>29</v>
      </c>
      <c r="Y308" t="s">
        <v>29</v>
      </c>
    </row>
    <row r="309" spans="1:25" x14ac:dyDescent="0.2">
      <c r="A309" t="s">
        <v>1156</v>
      </c>
      <c r="B309" t="s">
        <v>1157</v>
      </c>
      <c r="C309" t="s">
        <v>1158</v>
      </c>
      <c r="D309" t="s">
        <v>1159</v>
      </c>
      <c r="E309" t="s">
        <v>1157</v>
      </c>
      <c r="F309" t="s">
        <v>28</v>
      </c>
      <c r="G309" t="s">
        <v>1157</v>
      </c>
      <c r="H309" t="str">
        <f>"mel-11"</f>
        <v>mel-11</v>
      </c>
      <c r="I309" t="s">
        <v>1159</v>
      </c>
      <c r="J309" t="s">
        <v>29</v>
      </c>
      <c r="K309" t="s">
        <v>29</v>
      </c>
      <c r="L309">
        <v>11.7055193885022</v>
      </c>
      <c r="M309" t="s">
        <v>29</v>
      </c>
      <c r="N309" t="s">
        <v>29</v>
      </c>
      <c r="O309" t="s">
        <v>29</v>
      </c>
      <c r="P309" t="s">
        <v>29</v>
      </c>
      <c r="Q309" t="s">
        <v>29</v>
      </c>
      <c r="R309" t="s">
        <v>29</v>
      </c>
      <c r="S309">
        <v>12.261414956861</v>
      </c>
      <c r="T309" t="s">
        <v>29</v>
      </c>
      <c r="U309" t="s">
        <v>29</v>
      </c>
      <c r="V309" t="s">
        <v>29</v>
      </c>
      <c r="W309" t="s">
        <v>29</v>
      </c>
      <c r="X309" t="s">
        <v>29</v>
      </c>
      <c r="Y309" t="s">
        <v>29</v>
      </c>
    </row>
    <row r="310" spans="1:25" x14ac:dyDescent="0.2">
      <c r="A310" t="s">
        <v>1160</v>
      </c>
      <c r="B310" t="s">
        <v>1161</v>
      </c>
      <c r="C310" t="s">
        <v>1162</v>
      </c>
      <c r="D310" t="s">
        <v>1163</v>
      </c>
      <c r="E310" t="s">
        <v>1161</v>
      </c>
      <c r="F310" t="s">
        <v>28</v>
      </c>
      <c r="G310" t="s">
        <v>1161</v>
      </c>
      <c r="H310" t="str">
        <f>"lam-3"</f>
        <v>lam-3</v>
      </c>
      <c r="I310" t="s">
        <v>1163</v>
      </c>
      <c r="J310">
        <v>11.053443030278199</v>
      </c>
      <c r="K310">
        <v>11.121600099133801</v>
      </c>
      <c r="L310">
        <v>12.140856389869899</v>
      </c>
      <c r="M310" t="s">
        <v>29</v>
      </c>
      <c r="N310">
        <v>12.791900187080801</v>
      </c>
      <c r="O310">
        <v>11.724021049269</v>
      </c>
      <c r="P310">
        <v>0.81932744508092803</v>
      </c>
      <c r="Q310">
        <v>-0.416811759489982</v>
      </c>
      <c r="R310">
        <v>2.0554666496518399</v>
      </c>
      <c r="S310">
        <v>11.264065512203199</v>
      </c>
      <c r="T310">
        <v>1.39907222674916</v>
      </c>
      <c r="U310">
        <v>-6.07233670758706</v>
      </c>
      <c r="V310">
        <v>0.179882084666837</v>
      </c>
      <c r="W310">
        <v>0.33319453394919402</v>
      </c>
      <c r="X310">
        <v>0</v>
      </c>
      <c r="Y310">
        <v>0</v>
      </c>
    </row>
    <row r="311" spans="1:25" x14ac:dyDescent="0.2">
      <c r="A311" t="s">
        <v>1164</v>
      </c>
      <c r="B311" t="s">
        <v>1165</v>
      </c>
      <c r="C311" t="s">
        <v>1166</v>
      </c>
      <c r="D311" t="s">
        <v>828</v>
      </c>
      <c r="E311" t="s">
        <v>1165</v>
      </c>
      <c r="F311" t="s">
        <v>28</v>
      </c>
      <c r="G311" t="s">
        <v>1165</v>
      </c>
      <c r="H311" t="str">
        <f>"rin-1"</f>
        <v>rin-1</v>
      </c>
      <c r="I311" t="s">
        <v>828</v>
      </c>
      <c r="J311">
        <v>12.6116085520441</v>
      </c>
      <c r="K311">
        <v>12.050059158870001</v>
      </c>
      <c r="L311">
        <v>13.689453810892401</v>
      </c>
      <c r="M311" t="s">
        <v>29</v>
      </c>
      <c r="N311">
        <v>14.753242422412301</v>
      </c>
      <c r="O311">
        <v>13.635080462862801</v>
      </c>
      <c r="P311">
        <v>1.41045426870207</v>
      </c>
      <c r="Q311">
        <v>0.45727176809061698</v>
      </c>
      <c r="R311">
        <v>2.3636367693135201</v>
      </c>
      <c r="S311">
        <v>13.404680107037199</v>
      </c>
      <c r="T311">
        <v>3.1234385211706601</v>
      </c>
      <c r="U311">
        <v>-3.0055306379735001</v>
      </c>
      <c r="V311">
        <v>6.2215237132067797E-3</v>
      </c>
      <c r="W311">
        <v>3.2847868508684E-2</v>
      </c>
      <c r="X311">
        <v>1</v>
      </c>
      <c r="Y311">
        <v>1</v>
      </c>
    </row>
    <row r="312" spans="1:25" x14ac:dyDescent="0.2">
      <c r="A312" t="s">
        <v>1167</v>
      </c>
      <c r="B312" t="s">
        <v>1168</v>
      </c>
      <c r="C312" t="s">
        <v>1169</v>
      </c>
      <c r="D312" t="s">
        <v>1170</v>
      </c>
      <c r="E312" t="s">
        <v>1168</v>
      </c>
      <c r="F312" t="s">
        <v>28</v>
      </c>
      <c r="G312" t="s">
        <v>1168</v>
      </c>
      <c r="H312" t="str">
        <f>"ptr-25"</f>
        <v>ptr-25</v>
      </c>
      <c r="I312" t="s">
        <v>1170</v>
      </c>
      <c r="J312">
        <v>11.5442025712195</v>
      </c>
      <c r="K312">
        <v>12.508087092114501</v>
      </c>
      <c r="L312">
        <v>12.1897002571552</v>
      </c>
      <c r="M312">
        <v>12.9815029366519</v>
      </c>
      <c r="N312" t="s">
        <v>29</v>
      </c>
      <c r="O312">
        <v>11.963998525509499</v>
      </c>
      <c r="P312">
        <v>0.39208742425097598</v>
      </c>
      <c r="Q312">
        <v>-0.359202911308457</v>
      </c>
      <c r="R312">
        <v>1.14337775981041</v>
      </c>
      <c r="S312">
        <v>12.256206532410101</v>
      </c>
      <c r="T312">
        <v>1.10694142580601</v>
      </c>
      <c r="U312">
        <v>-6.4229960530680597</v>
      </c>
      <c r="V312">
        <v>0.28479062183585102</v>
      </c>
      <c r="W312">
        <v>0.45244202833223102</v>
      </c>
      <c r="X312">
        <v>0</v>
      </c>
      <c r="Y312">
        <v>0</v>
      </c>
    </row>
    <row r="313" spans="1:25" x14ac:dyDescent="0.2">
      <c r="A313" t="s">
        <v>1171</v>
      </c>
      <c r="B313" t="s">
        <v>1172</v>
      </c>
      <c r="C313" t="s">
        <v>1173</v>
      </c>
      <c r="D313" t="s">
        <v>1174</v>
      </c>
      <c r="E313" t="s">
        <v>1172</v>
      </c>
      <c r="F313" t="s">
        <v>28</v>
      </c>
      <c r="G313" t="s">
        <v>1172</v>
      </c>
      <c r="H313" t="str">
        <f>"bmk-1"</f>
        <v>bmk-1</v>
      </c>
      <c r="I313" t="s">
        <v>1174</v>
      </c>
      <c r="J313">
        <v>12.217928860204299</v>
      </c>
      <c r="K313" t="s">
        <v>29</v>
      </c>
      <c r="L313">
        <v>12.5362924370308</v>
      </c>
      <c r="M313" t="s">
        <v>29</v>
      </c>
      <c r="N313" t="s">
        <v>29</v>
      </c>
      <c r="O313">
        <v>12.458904226085901</v>
      </c>
      <c r="P313">
        <v>8.1793577468362202E-2</v>
      </c>
      <c r="Q313">
        <v>-0.64786523254844897</v>
      </c>
      <c r="R313">
        <v>0.81145238748517301</v>
      </c>
      <c r="S313">
        <v>12.4086995598868</v>
      </c>
      <c r="T313">
        <v>0.23907875134193801</v>
      </c>
      <c r="U313">
        <v>-6.7245157635917101</v>
      </c>
      <c r="V313">
        <v>0.81430289067245998</v>
      </c>
      <c r="W313">
        <v>0.88388604744447097</v>
      </c>
      <c r="X313">
        <v>0</v>
      </c>
      <c r="Y313">
        <v>0</v>
      </c>
    </row>
    <row r="314" spans="1:25" x14ac:dyDescent="0.2">
      <c r="A314" t="s">
        <v>1175</v>
      </c>
      <c r="B314" t="s">
        <v>1176</v>
      </c>
      <c r="C314" t="s">
        <v>1177</v>
      </c>
      <c r="D314" t="s">
        <v>1178</v>
      </c>
      <c r="E314" t="s">
        <v>1176</v>
      </c>
      <c r="F314" t="s">
        <v>28</v>
      </c>
      <c r="G314" t="s">
        <v>1176</v>
      </c>
      <c r="H314" t="str">
        <f>"dsc-4"</f>
        <v>dsc-4</v>
      </c>
      <c r="I314" t="s">
        <v>1178</v>
      </c>
      <c r="J314">
        <v>16.286210709081701</v>
      </c>
      <c r="K314">
        <v>16.130940200701101</v>
      </c>
      <c r="L314">
        <v>15.790695743520001</v>
      </c>
      <c r="M314">
        <v>15.3203688266985</v>
      </c>
      <c r="N314">
        <v>15.3658255162957</v>
      </c>
      <c r="O314">
        <v>15.701203093642601</v>
      </c>
      <c r="P314">
        <v>-0.60681640555537597</v>
      </c>
      <c r="Q314">
        <v>-1.029007202911</v>
      </c>
      <c r="R314">
        <v>-0.18462560819975599</v>
      </c>
      <c r="S314">
        <v>15.3322625722168</v>
      </c>
      <c r="T314">
        <v>-3.0209327970487601</v>
      </c>
      <c r="U314">
        <v>-3.2917203825922599</v>
      </c>
      <c r="V314">
        <v>7.3786988357574098E-3</v>
      </c>
      <c r="W314">
        <v>3.6764684737698797E-2</v>
      </c>
      <c r="X314">
        <v>0</v>
      </c>
      <c r="Y314">
        <v>0</v>
      </c>
    </row>
    <row r="315" spans="1:25" x14ac:dyDescent="0.2">
      <c r="A315" t="s">
        <v>1179</v>
      </c>
      <c r="B315" t="s">
        <v>1180</v>
      </c>
      <c r="C315" t="s">
        <v>1181</v>
      </c>
      <c r="D315" t="s">
        <v>1182</v>
      </c>
      <c r="E315" t="s">
        <v>1180</v>
      </c>
      <c r="F315" t="s">
        <v>28</v>
      </c>
      <c r="G315" t="s">
        <v>1180</v>
      </c>
      <c r="H315" t="str">
        <f>"hda-3"</f>
        <v>hda-3</v>
      </c>
      <c r="I315" t="s">
        <v>1182</v>
      </c>
      <c r="J315">
        <v>13.750714720425</v>
      </c>
      <c r="K315">
        <v>14.007404804104301</v>
      </c>
      <c r="L315">
        <v>13.3808918575335</v>
      </c>
      <c r="M315">
        <v>13.408114280377999</v>
      </c>
      <c r="N315">
        <v>13.447904424992499</v>
      </c>
      <c r="O315">
        <v>13.807456373551201</v>
      </c>
      <c r="P315">
        <v>-0.158512101047073</v>
      </c>
      <c r="Q315">
        <v>-0.55418951812841999</v>
      </c>
      <c r="R315">
        <v>0.23716531603427399</v>
      </c>
      <c r="S315">
        <v>13.3896746449088</v>
      </c>
      <c r="T315">
        <v>-0.84200306352143595</v>
      </c>
      <c r="U315">
        <v>-6.7914639012753604</v>
      </c>
      <c r="V315">
        <v>0.41089827192857098</v>
      </c>
      <c r="W315">
        <v>0.57883231710014305</v>
      </c>
      <c r="X315">
        <v>0</v>
      </c>
      <c r="Y315">
        <v>0</v>
      </c>
    </row>
    <row r="316" spans="1:25" x14ac:dyDescent="0.2">
      <c r="A316" t="s">
        <v>1183</v>
      </c>
      <c r="B316" t="s">
        <v>1184</v>
      </c>
      <c r="C316" t="s">
        <v>1185</v>
      </c>
      <c r="D316" t="s">
        <v>1186</v>
      </c>
      <c r="E316" t="s">
        <v>1184</v>
      </c>
      <c r="F316" t="s">
        <v>28</v>
      </c>
      <c r="G316" t="s">
        <v>1184</v>
      </c>
      <c r="H316" t="str">
        <f>"mog-7"</f>
        <v>mog-7</v>
      </c>
      <c r="I316" t="s">
        <v>1186</v>
      </c>
      <c r="J316">
        <v>12.633595898995599</v>
      </c>
      <c r="K316">
        <v>12.0520411715158</v>
      </c>
      <c r="L316">
        <v>12.469234078291599</v>
      </c>
      <c r="M316" t="s">
        <v>29</v>
      </c>
      <c r="N316" t="s">
        <v>29</v>
      </c>
      <c r="O316">
        <v>12.8832473935904</v>
      </c>
      <c r="P316">
        <v>0.49829034398940802</v>
      </c>
      <c r="Q316">
        <v>-0.35335996170106598</v>
      </c>
      <c r="R316">
        <v>1.34994064967988</v>
      </c>
      <c r="S316">
        <v>12.7332929545805</v>
      </c>
      <c r="T316">
        <v>1.2478511125915199</v>
      </c>
      <c r="U316">
        <v>-6.03232654104864</v>
      </c>
      <c r="V316">
        <v>0.231347052636276</v>
      </c>
      <c r="W316">
        <v>0.39615326212615098</v>
      </c>
      <c r="X316">
        <v>0</v>
      </c>
      <c r="Y316">
        <v>0</v>
      </c>
    </row>
    <row r="317" spans="1:25" x14ac:dyDescent="0.2">
      <c r="A317" t="s">
        <v>1187</v>
      </c>
      <c r="B317" t="s">
        <v>1188</v>
      </c>
      <c r="C317" t="s">
        <v>1189</v>
      </c>
      <c r="D317" t="s">
        <v>1190</v>
      </c>
      <c r="E317" t="s">
        <v>1188</v>
      </c>
      <c r="F317" t="s">
        <v>28</v>
      </c>
      <c r="G317" t="s">
        <v>1188</v>
      </c>
      <c r="H317" t="str">
        <f>"ppfr-1"</f>
        <v>ppfr-1</v>
      </c>
      <c r="I317" t="s">
        <v>1190</v>
      </c>
      <c r="J317">
        <v>12.0628240692105</v>
      </c>
      <c r="K317">
        <v>11.467592192369301</v>
      </c>
      <c r="L317">
        <v>12.4236180565527</v>
      </c>
      <c r="M317" t="s">
        <v>29</v>
      </c>
      <c r="N317">
        <v>12.0515520280185</v>
      </c>
      <c r="O317">
        <v>12.608212697870799</v>
      </c>
      <c r="P317">
        <v>0.34520425690046602</v>
      </c>
      <c r="Q317">
        <v>-0.212950902034341</v>
      </c>
      <c r="R317">
        <v>0.90335941583527302</v>
      </c>
      <c r="S317">
        <v>12.533112031202799</v>
      </c>
      <c r="T317">
        <v>1.30548297513152</v>
      </c>
      <c r="U317">
        <v>-6.1922852555832897</v>
      </c>
      <c r="V317">
        <v>0.209227315873627</v>
      </c>
      <c r="W317">
        <v>0.37077143708934401</v>
      </c>
      <c r="X317">
        <v>0</v>
      </c>
      <c r="Y317">
        <v>0</v>
      </c>
    </row>
    <row r="318" spans="1:25" x14ac:dyDescent="0.2">
      <c r="A318" t="s">
        <v>1191</v>
      </c>
      <c r="B318" t="s">
        <v>1192</v>
      </c>
      <c r="C318" t="s">
        <v>1193</v>
      </c>
      <c r="D318" t="s">
        <v>1194</v>
      </c>
      <c r="E318" t="s">
        <v>1192</v>
      </c>
      <c r="F318" t="s">
        <v>28</v>
      </c>
      <c r="G318" t="s">
        <v>1192</v>
      </c>
      <c r="H318" t="str">
        <f>"cdk-5"</f>
        <v>cdk-5</v>
      </c>
      <c r="I318" t="s">
        <v>1194</v>
      </c>
      <c r="J318">
        <v>13.4856273585149</v>
      </c>
      <c r="K318">
        <v>13.653203648504499</v>
      </c>
      <c r="L318">
        <v>13.551430449921799</v>
      </c>
      <c r="M318" t="s">
        <v>29</v>
      </c>
      <c r="N318" t="s">
        <v>29</v>
      </c>
      <c r="O318">
        <v>13.295833433249999</v>
      </c>
      <c r="P318">
        <v>-0.267587052397046</v>
      </c>
      <c r="Q318">
        <v>-0.96013317745223203</v>
      </c>
      <c r="R318">
        <v>0.42495907265813998</v>
      </c>
      <c r="S318">
        <v>13.147289434224801</v>
      </c>
      <c r="T318">
        <v>-0.81953201092190697</v>
      </c>
      <c r="U318">
        <v>-6.46732226242582</v>
      </c>
      <c r="V318">
        <v>0.424601520824542</v>
      </c>
      <c r="W318">
        <v>0.58967986893021995</v>
      </c>
      <c r="X318">
        <v>0</v>
      </c>
      <c r="Y318">
        <v>0</v>
      </c>
    </row>
    <row r="319" spans="1:25" x14ac:dyDescent="0.2">
      <c r="A319" t="s">
        <v>1195</v>
      </c>
      <c r="B319" t="s">
        <v>1196</v>
      </c>
      <c r="C319" t="s">
        <v>1197</v>
      </c>
      <c r="D319" t="s">
        <v>1198</v>
      </c>
      <c r="E319" t="s">
        <v>1196</v>
      </c>
      <c r="F319" t="s">
        <v>28</v>
      </c>
      <c r="G319" t="s">
        <v>1196</v>
      </c>
      <c r="H319" t="str">
        <f>"fars-2"</f>
        <v>fars-2</v>
      </c>
      <c r="I319" t="s">
        <v>1198</v>
      </c>
      <c r="J319" t="s">
        <v>29</v>
      </c>
      <c r="K319" t="s">
        <v>29</v>
      </c>
      <c r="L319">
        <v>12.118108049451299</v>
      </c>
      <c r="M319" t="s">
        <v>29</v>
      </c>
      <c r="N319" t="s">
        <v>29</v>
      </c>
      <c r="O319" t="s">
        <v>29</v>
      </c>
      <c r="P319" t="s">
        <v>29</v>
      </c>
      <c r="Q319" t="s">
        <v>29</v>
      </c>
      <c r="R319" t="s">
        <v>29</v>
      </c>
      <c r="S319">
        <v>12.0777731758191</v>
      </c>
      <c r="T319" t="s">
        <v>29</v>
      </c>
      <c r="U319" t="s">
        <v>29</v>
      </c>
      <c r="V319" t="s">
        <v>29</v>
      </c>
      <c r="W319" t="s">
        <v>29</v>
      </c>
      <c r="X319" t="s">
        <v>29</v>
      </c>
      <c r="Y319" t="s">
        <v>29</v>
      </c>
    </row>
    <row r="320" spans="1:25" x14ac:dyDescent="0.2">
      <c r="A320" t="s">
        <v>1199</v>
      </c>
      <c r="B320" t="s">
        <v>1200</v>
      </c>
      <c r="C320" t="s">
        <v>1201</v>
      </c>
      <c r="D320" t="s">
        <v>1202</v>
      </c>
      <c r="E320" t="s">
        <v>1200</v>
      </c>
      <c r="F320" t="s">
        <v>28</v>
      </c>
      <c r="G320" t="s">
        <v>1200</v>
      </c>
      <c r="H320" t="str">
        <f>"mec-8"</f>
        <v>mec-8</v>
      </c>
      <c r="I320" t="s">
        <v>1202</v>
      </c>
      <c r="J320">
        <v>12.9479500766769</v>
      </c>
      <c r="K320">
        <v>13.6892009693637</v>
      </c>
      <c r="L320">
        <v>13.1291818965449</v>
      </c>
      <c r="M320" t="s">
        <v>29</v>
      </c>
      <c r="N320">
        <v>12.426125048603399</v>
      </c>
      <c r="O320">
        <v>13.4001336769752</v>
      </c>
      <c r="P320">
        <v>-0.34231495140586798</v>
      </c>
      <c r="Q320">
        <v>-0.96684801823021305</v>
      </c>
      <c r="R320">
        <v>0.28221811541847802</v>
      </c>
      <c r="S320">
        <v>13.4413261409137</v>
      </c>
      <c r="T320">
        <v>-1.1569655935027201</v>
      </c>
      <c r="U320">
        <v>-6.3685317479922103</v>
      </c>
      <c r="V320">
        <v>0.263383328069345</v>
      </c>
      <c r="W320">
        <v>0.43097760567482601</v>
      </c>
      <c r="X320">
        <v>0</v>
      </c>
      <c r="Y320">
        <v>0</v>
      </c>
    </row>
    <row r="321" spans="1:25" x14ac:dyDescent="0.2">
      <c r="A321" t="s">
        <v>1203</v>
      </c>
      <c r="B321" t="s">
        <v>1204</v>
      </c>
      <c r="C321" t="s">
        <v>1205</v>
      </c>
      <c r="D321" t="s">
        <v>1206</v>
      </c>
      <c r="E321" t="s">
        <v>1204</v>
      </c>
      <c r="F321" t="s">
        <v>28</v>
      </c>
      <c r="G321" t="s">
        <v>1204</v>
      </c>
      <c r="H321" t="str">
        <f>"csk-1"</f>
        <v>csk-1</v>
      </c>
      <c r="I321" t="s">
        <v>1206</v>
      </c>
      <c r="J321">
        <v>13.5974972678216</v>
      </c>
      <c r="K321">
        <v>14.2063492553294</v>
      </c>
      <c r="L321">
        <v>13.948305245929999</v>
      </c>
      <c r="M321" t="s">
        <v>29</v>
      </c>
      <c r="N321">
        <v>12.981716827535401</v>
      </c>
      <c r="O321">
        <v>13.664787889771899</v>
      </c>
      <c r="P321">
        <v>-0.59413156437335402</v>
      </c>
      <c r="Q321">
        <v>-1.08870646272366</v>
      </c>
      <c r="R321">
        <v>-9.9556666023044901E-2</v>
      </c>
      <c r="S321">
        <v>13.699065033994501</v>
      </c>
      <c r="T321">
        <v>-2.5357157516946902</v>
      </c>
      <c r="U321">
        <v>-4.1851926911998296</v>
      </c>
      <c r="V321">
        <v>2.13966545085887E-2</v>
      </c>
      <c r="W321">
        <v>7.6954515794597597E-2</v>
      </c>
      <c r="X321">
        <v>0</v>
      </c>
      <c r="Y321">
        <v>0</v>
      </c>
    </row>
    <row r="322" spans="1:25" x14ac:dyDescent="0.2">
      <c r="A322" t="s">
        <v>1207</v>
      </c>
      <c r="B322" t="s">
        <v>1208</v>
      </c>
      <c r="C322" t="s">
        <v>1209</v>
      </c>
      <c r="D322" t="s">
        <v>1210</v>
      </c>
      <c r="E322" t="s">
        <v>1208</v>
      </c>
      <c r="F322" t="s">
        <v>28</v>
      </c>
      <c r="G322" t="s">
        <v>1208</v>
      </c>
      <c r="H322" t="str">
        <f>"fmo-3"</f>
        <v>fmo-3</v>
      </c>
      <c r="I322" t="s">
        <v>1210</v>
      </c>
      <c r="J322">
        <v>13.8452037670992</v>
      </c>
      <c r="K322">
        <v>12.770636256442501</v>
      </c>
      <c r="L322">
        <v>12.4849951339915</v>
      </c>
      <c r="M322" t="s">
        <v>29</v>
      </c>
      <c r="N322" t="s">
        <v>29</v>
      </c>
      <c r="O322">
        <v>14.257373384824501</v>
      </c>
      <c r="P322">
        <v>1.22376166564679</v>
      </c>
      <c r="Q322">
        <v>0.17242833830437901</v>
      </c>
      <c r="R322">
        <v>2.2750949929891999</v>
      </c>
      <c r="S322">
        <v>13.7666956303669</v>
      </c>
      <c r="T322">
        <v>2.4825500836621401</v>
      </c>
      <c r="U322">
        <v>-4.0997003028162302</v>
      </c>
      <c r="V322">
        <v>2.5459556591134701E-2</v>
      </c>
      <c r="W322">
        <v>8.63609437230244E-2</v>
      </c>
      <c r="X322">
        <v>1</v>
      </c>
      <c r="Y322">
        <v>0</v>
      </c>
    </row>
    <row r="323" spans="1:25" x14ac:dyDescent="0.2">
      <c r="A323" t="s">
        <v>1211</v>
      </c>
      <c r="B323" t="s">
        <v>1212</v>
      </c>
      <c r="C323" t="s">
        <v>1213</v>
      </c>
      <c r="D323" t="s">
        <v>1214</v>
      </c>
      <c r="E323" t="s">
        <v>1212</v>
      </c>
      <c r="F323" t="s">
        <v>28</v>
      </c>
      <c r="G323" t="s">
        <v>1212</v>
      </c>
      <c r="H323" t="str">
        <f>"dnbp-1"</f>
        <v>dnbp-1</v>
      </c>
      <c r="I323" t="s">
        <v>1214</v>
      </c>
      <c r="J323">
        <v>12.9426890590256</v>
      </c>
      <c r="K323">
        <v>12.5556007278111</v>
      </c>
      <c r="L323">
        <v>12.2689083270746</v>
      </c>
      <c r="M323">
        <v>14.4586701990933</v>
      </c>
      <c r="N323">
        <v>15.296975650924701</v>
      </c>
      <c r="O323">
        <v>16.0082208518063</v>
      </c>
      <c r="P323">
        <v>2.66555619597094</v>
      </c>
      <c r="Q323">
        <v>1.84383829179696</v>
      </c>
      <c r="R323">
        <v>3.4872741001449201</v>
      </c>
      <c r="S323">
        <v>14.1075664223287</v>
      </c>
      <c r="T323">
        <v>6.8180095659603603</v>
      </c>
      <c r="U323">
        <v>4.7940209083622598</v>
      </c>
      <c r="V323" s="2">
        <v>2.2759122445930701E-6</v>
      </c>
      <c r="W323" s="2">
        <v>8.8251491905470695E-5</v>
      </c>
      <c r="X323">
        <v>1</v>
      </c>
      <c r="Y323">
        <v>1</v>
      </c>
    </row>
    <row r="324" spans="1:25" x14ac:dyDescent="0.2">
      <c r="A324" t="s">
        <v>1215</v>
      </c>
      <c r="B324" t="s">
        <v>1216</v>
      </c>
      <c r="C324" t="s">
        <v>1217</v>
      </c>
      <c r="D324" t="s">
        <v>1218</v>
      </c>
      <c r="E324" t="s">
        <v>1216</v>
      </c>
      <c r="F324" t="s">
        <v>28</v>
      </c>
      <c r="G324" t="s">
        <v>1216</v>
      </c>
      <c r="H324" t="str">
        <f>"unc-26"</f>
        <v>unc-26</v>
      </c>
      <c r="I324" t="s">
        <v>1218</v>
      </c>
      <c r="J324">
        <v>12.0129295274646</v>
      </c>
      <c r="K324" t="s">
        <v>29</v>
      </c>
      <c r="L324" t="s">
        <v>29</v>
      </c>
      <c r="M324" t="s">
        <v>29</v>
      </c>
      <c r="N324">
        <v>13.0059522657372</v>
      </c>
      <c r="O324" t="s">
        <v>29</v>
      </c>
      <c r="P324">
        <v>0.99302273827262899</v>
      </c>
      <c r="Q324">
        <v>-0.16927041471177201</v>
      </c>
      <c r="R324">
        <v>2.1553158912570298</v>
      </c>
      <c r="S324">
        <v>12.0660410699327</v>
      </c>
      <c r="T324">
        <v>1.8472716199960999</v>
      </c>
      <c r="U324">
        <v>-5.0142074797681104</v>
      </c>
      <c r="V324">
        <v>8.7773144222932697E-2</v>
      </c>
      <c r="W324">
        <v>0.198822026152946</v>
      </c>
      <c r="X324">
        <v>0</v>
      </c>
      <c r="Y324">
        <v>0</v>
      </c>
    </row>
    <row r="325" spans="1:25" x14ac:dyDescent="0.2">
      <c r="A325" t="s">
        <v>1219</v>
      </c>
      <c r="B325" t="s">
        <v>1220</v>
      </c>
      <c r="C325" t="s">
        <v>1221</v>
      </c>
      <c r="D325" t="s">
        <v>1007</v>
      </c>
      <c r="E325" t="s">
        <v>1220</v>
      </c>
      <c r="F325" t="s">
        <v>28</v>
      </c>
      <c r="G325" t="s">
        <v>1220</v>
      </c>
      <c r="H325" t="str">
        <f>"rrf-1"</f>
        <v>rrf-1</v>
      </c>
      <c r="I325" t="s">
        <v>1007</v>
      </c>
      <c r="J325">
        <v>11.583039084650499</v>
      </c>
      <c r="K325">
        <v>11.507984394167901</v>
      </c>
      <c r="L325">
        <v>11.916157721974299</v>
      </c>
      <c r="M325" t="s">
        <v>29</v>
      </c>
      <c r="N325">
        <v>10.8221455553374</v>
      </c>
      <c r="O325">
        <v>11.7336333873961</v>
      </c>
      <c r="P325">
        <v>-0.391170928897489</v>
      </c>
      <c r="Q325">
        <v>-0.96744027488467998</v>
      </c>
      <c r="R325">
        <v>0.18509841708970101</v>
      </c>
      <c r="S325">
        <v>12.184722879051799</v>
      </c>
      <c r="T325">
        <v>-1.43281812323439</v>
      </c>
      <c r="U325">
        <v>-6.0274717894306997</v>
      </c>
      <c r="V325">
        <v>0.17015450133221999</v>
      </c>
      <c r="W325">
        <v>0.32082233872428201</v>
      </c>
      <c r="X325">
        <v>0</v>
      </c>
      <c r="Y325">
        <v>0</v>
      </c>
    </row>
    <row r="326" spans="1:25" x14ac:dyDescent="0.2">
      <c r="A326" t="s">
        <v>1222</v>
      </c>
      <c r="B326" t="s">
        <v>1223</v>
      </c>
      <c r="C326" t="s">
        <v>1224</v>
      </c>
      <c r="D326" t="s">
        <v>1225</v>
      </c>
      <c r="E326" t="s">
        <v>1223</v>
      </c>
      <c r="F326" t="s">
        <v>28</v>
      </c>
      <c r="G326" t="s">
        <v>1223</v>
      </c>
      <c r="H326" t="str">
        <f>"tufm-1"</f>
        <v>tufm-1</v>
      </c>
      <c r="I326" t="s">
        <v>1225</v>
      </c>
      <c r="J326">
        <v>19.644334271224</v>
      </c>
      <c r="K326">
        <v>19.5853219709483</v>
      </c>
      <c r="L326">
        <v>19.468301882493598</v>
      </c>
      <c r="M326">
        <v>18.634771431413299</v>
      </c>
      <c r="N326">
        <v>19.195831045977702</v>
      </c>
      <c r="O326">
        <v>19.306455568066902</v>
      </c>
      <c r="P326">
        <v>-0.52030002640262996</v>
      </c>
      <c r="Q326">
        <v>-0.93429292541290998</v>
      </c>
      <c r="R326">
        <v>-0.10630712739235</v>
      </c>
      <c r="S326">
        <v>19.1133835738841</v>
      </c>
      <c r="T326">
        <v>-2.6415173594185699</v>
      </c>
      <c r="U326">
        <v>-4.0676860893945896</v>
      </c>
      <c r="V326">
        <v>1.6638583071797799E-2</v>
      </c>
      <c r="W326">
        <v>6.5291483771755005E-2</v>
      </c>
      <c r="X326">
        <v>0</v>
      </c>
      <c r="Y326">
        <v>0</v>
      </c>
    </row>
    <row r="327" spans="1:25" x14ac:dyDescent="0.2">
      <c r="A327" t="s">
        <v>1226</v>
      </c>
      <c r="B327" t="s">
        <v>1227</v>
      </c>
      <c r="C327" t="s">
        <v>1228</v>
      </c>
      <c r="D327" t="s">
        <v>1229</v>
      </c>
      <c r="E327" t="s">
        <v>1227</v>
      </c>
      <c r="F327" t="s">
        <v>28</v>
      </c>
      <c r="G327" t="s">
        <v>1227</v>
      </c>
      <c r="H327" t="str">
        <f>"strd-1"</f>
        <v>strd-1</v>
      </c>
      <c r="I327" t="s">
        <v>1229</v>
      </c>
      <c r="J327">
        <v>13.449231583787499</v>
      </c>
      <c r="K327">
        <v>13.941086198284699</v>
      </c>
      <c r="L327">
        <v>13.0693631244828</v>
      </c>
      <c r="M327" t="s">
        <v>29</v>
      </c>
      <c r="N327">
        <v>13.6111413174233</v>
      </c>
      <c r="O327">
        <v>13.568933211408</v>
      </c>
      <c r="P327">
        <v>0.10347696223061199</v>
      </c>
      <c r="Q327">
        <v>-0.44153777052189003</v>
      </c>
      <c r="R327">
        <v>0.64849169498311399</v>
      </c>
      <c r="S327">
        <v>13.305812470727901</v>
      </c>
      <c r="T327">
        <v>0.40076099076305</v>
      </c>
      <c r="U327">
        <v>-6.9614518332583799</v>
      </c>
      <c r="V327">
        <v>0.69361871411407405</v>
      </c>
      <c r="W327">
        <v>0.80150428628030901</v>
      </c>
      <c r="X327">
        <v>0</v>
      </c>
      <c r="Y327">
        <v>0</v>
      </c>
    </row>
    <row r="328" spans="1:25" x14ac:dyDescent="0.2">
      <c r="A328" t="s">
        <v>1230</v>
      </c>
      <c r="B328" t="s">
        <v>1231</v>
      </c>
      <c r="C328" t="s">
        <v>1232</v>
      </c>
      <c r="D328" t="s">
        <v>1233</v>
      </c>
      <c r="E328" t="s">
        <v>1231</v>
      </c>
      <c r="F328" t="s">
        <v>28</v>
      </c>
      <c r="G328" t="s">
        <v>1231</v>
      </c>
      <c r="H328" t="str">
        <f>"sel-5"</f>
        <v>sel-5</v>
      </c>
      <c r="I328" t="s">
        <v>1233</v>
      </c>
      <c r="J328" t="s">
        <v>29</v>
      </c>
      <c r="K328">
        <v>12.8190114276104</v>
      </c>
      <c r="L328">
        <v>12.9811738989326</v>
      </c>
      <c r="M328" t="s">
        <v>29</v>
      </c>
      <c r="N328" t="s">
        <v>29</v>
      </c>
      <c r="O328" t="s">
        <v>29</v>
      </c>
      <c r="P328" t="s">
        <v>29</v>
      </c>
      <c r="Q328" t="s">
        <v>29</v>
      </c>
      <c r="R328" t="s">
        <v>29</v>
      </c>
      <c r="S328">
        <v>12.500723855944299</v>
      </c>
      <c r="T328" t="s">
        <v>29</v>
      </c>
      <c r="U328" t="s">
        <v>29</v>
      </c>
      <c r="V328" t="s">
        <v>29</v>
      </c>
      <c r="W328" t="s">
        <v>29</v>
      </c>
      <c r="X328" t="s">
        <v>29</v>
      </c>
      <c r="Y328" t="s">
        <v>29</v>
      </c>
    </row>
    <row r="329" spans="1:25" x14ac:dyDescent="0.2">
      <c r="A329" t="s">
        <v>1234</v>
      </c>
      <c r="B329" t="s">
        <v>1235</v>
      </c>
      <c r="C329" t="s">
        <v>14249</v>
      </c>
      <c r="D329" t="s">
        <v>1236</v>
      </c>
      <c r="E329" t="s">
        <v>1235</v>
      </c>
      <c r="F329" t="s">
        <v>28</v>
      </c>
      <c r="G329" t="s">
        <v>1235</v>
      </c>
      <c r="H329" t="str">
        <f>"T25C12.3"</f>
        <v>T25C12.3</v>
      </c>
      <c r="I329" t="s">
        <v>1236</v>
      </c>
      <c r="J329" t="s">
        <v>29</v>
      </c>
      <c r="K329" t="s">
        <v>29</v>
      </c>
      <c r="L329">
        <v>10.267936007842399</v>
      </c>
      <c r="M329" t="s">
        <v>29</v>
      </c>
      <c r="N329" t="s">
        <v>29</v>
      </c>
      <c r="O329" t="s">
        <v>29</v>
      </c>
      <c r="P329" t="s">
        <v>29</v>
      </c>
      <c r="Q329" t="s">
        <v>29</v>
      </c>
      <c r="R329" t="s">
        <v>29</v>
      </c>
      <c r="S329">
        <v>9.9123107171547797</v>
      </c>
      <c r="T329" t="s">
        <v>29</v>
      </c>
      <c r="U329" t="s">
        <v>29</v>
      </c>
      <c r="V329" t="s">
        <v>29</v>
      </c>
      <c r="W329" t="s">
        <v>29</v>
      </c>
      <c r="X329" t="s">
        <v>29</v>
      </c>
      <c r="Y329" t="s">
        <v>29</v>
      </c>
    </row>
    <row r="330" spans="1:25" x14ac:dyDescent="0.2">
      <c r="A330" t="s">
        <v>1237</v>
      </c>
      <c r="B330" t="s">
        <v>1238</v>
      </c>
      <c r="C330" t="s">
        <v>1239</v>
      </c>
      <c r="D330" t="s">
        <v>1240</v>
      </c>
      <c r="E330" t="s">
        <v>1238</v>
      </c>
      <c r="F330" t="s">
        <v>28</v>
      </c>
      <c r="G330" t="s">
        <v>1238</v>
      </c>
      <c r="H330" t="str">
        <f>"elb-1"</f>
        <v>elb-1</v>
      </c>
      <c r="I330" t="s">
        <v>1240</v>
      </c>
      <c r="J330">
        <v>14.047917190281501</v>
      </c>
      <c r="K330">
        <v>14.2266775654724</v>
      </c>
      <c r="L330">
        <v>13.734063280390901</v>
      </c>
      <c r="M330" t="s">
        <v>29</v>
      </c>
      <c r="N330">
        <v>13.339131310763999</v>
      </c>
      <c r="O330">
        <v>13.7482932041483</v>
      </c>
      <c r="P330">
        <v>-0.45917375459211002</v>
      </c>
      <c r="Q330">
        <v>-0.93466333439525295</v>
      </c>
      <c r="R330">
        <v>1.6315825211033599E-2</v>
      </c>
      <c r="S330">
        <v>13.2163783692944</v>
      </c>
      <c r="T330">
        <v>-2.0383843012987599</v>
      </c>
      <c r="U330">
        <v>-5.09442783043706</v>
      </c>
      <c r="V330">
        <v>5.7479031998291998E-2</v>
      </c>
      <c r="W330">
        <v>0.150302313486217</v>
      </c>
      <c r="X330">
        <v>0</v>
      </c>
      <c r="Y330">
        <v>0</v>
      </c>
    </row>
    <row r="331" spans="1:25" x14ac:dyDescent="0.2">
      <c r="A331" t="s">
        <v>1241</v>
      </c>
      <c r="B331" t="s">
        <v>1242</v>
      </c>
      <c r="C331" t="s">
        <v>1243</v>
      </c>
      <c r="D331" t="s">
        <v>1244</v>
      </c>
      <c r="E331" t="s">
        <v>1242</v>
      </c>
      <c r="F331" t="s">
        <v>28</v>
      </c>
      <c r="G331" t="s">
        <v>1242</v>
      </c>
      <c r="H331" t="str">
        <f>"glf-1"</f>
        <v>glf-1</v>
      </c>
      <c r="I331" t="s">
        <v>1244</v>
      </c>
      <c r="J331">
        <v>14.166126296233999</v>
      </c>
      <c r="K331">
        <v>14.0788662938958</v>
      </c>
      <c r="L331">
        <v>14.214054475529</v>
      </c>
      <c r="M331">
        <v>13.3779989153365</v>
      </c>
      <c r="N331">
        <v>14.279282079118</v>
      </c>
      <c r="O331">
        <v>13.332943212878099</v>
      </c>
      <c r="P331">
        <v>-0.48960761944209702</v>
      </c>
      <c r="Q331">
        <v>-0.99576172959143805</v>
      </c>
      <c r="R331">
        <v>1.6546490707244201E-2</v>
      </c>
      <c r="S331">
        <v>13.9326786580686</v>
      </c>
      <c r="T331">
        <v>-2.0330961275530099</v>
      </c>
      <c r="U331">
        <v>-5.2059726624483602</v>
      </c>
      <c r="V331">
        <v>5.7149786619599602E-2</v>
      </c>
      <c r="W331">
        <v>0.14984023235583599</v>
      </c>
      <c r="X331">
        <v>0</v>
      </c>
      <c r="Y331">
        <v>0</v>
      </c>
    </row>
    <row r="332" spans="1:25" x14ac:dyDescent="0.2">
      <c r="A332" t="s">
        <v>1245</v>
      </c>
      <c r="B332" t="s">
        <v>1246</v>
      </c>
      <c r="C332" t="s">
        <v>1247</v>
      </c>
      <c r="D332" t="s">
        <v>758</v>
      </c>
      <c r="E332" t="s">
        <v>1246</v>
      </c>
      <c r="F332" t="s">
        <v>28</v>
      </c>
      <c r="G332" t="s">
        <v>1246</v>
      </c>
      <c r="H332" t="str">
        <f>"cpt-2"</f>
        <v>cpt-2</v>
      </c>
      <c r="I332" t="s">
        <v>758</v>
      </c>
      <c r="J332">
        <v>12.778908234847901</v>
      </c>
      <c r="K332">
        <v>12.590631619164901</v>
      </c>
      <c r="L332">
        <v>12.9847425917475</v>
      </c>
      <c r="M332" t="s">
        <v>29</v>
      </c>
      <c r="N332">
        <v>14.8001348052887</v>
      </c>
      <c r="O332">
        <v>12.494821896652899</v>
      </c>
      <c r="P332">
        <v>0.86271753571732601</v>
      </c>
      <c r="Q332">
        <v>-8.4979439781989394E-2</v>
      </c>
      <c r="R332">
        <v>1.8104145112166401</v>
      </c>
      <c r="S332">
        <v>12.875901323464801</v>
      </c>
      <c r="T332">
        <v>1.9215387379244</v>
      </c>
      <c r="U332">
        <v>-5.2914760351087304</v>
      </c>
      <c r="V332">
        <v>7.1697727018181195E-2</v>
      </c>
      <c r="W332">
        <v>0.17419060306890399</v>
      </c>
      <c r="X332">
        <v>0</v>
      </c>
      <c r="Y332">
        <v>0</v>
      </c>
    </row>
    <row r="333" spans="1:25" x14ac:dyDescent="0.2">
      <c r="A333" t="s">
        <v>1248</v>
      </c>
      <c r="B333" t="s">
        <v>1249</v>
      </c>
      <c r="C333" t="s">
        <v>1250</v>
      </c>
      <c r="D333" t="s">
        <v>1251</v>
      </c>
      <c r="E333" t="s">
        <v>1249</v>
      </c>
      <c r="F333" t="s">
        <v>28</v>
      </c>
      <c r="G333" t="s">
        <v>1249</v>
      </c>
      <c r="H333" t="str">
        <f>"skr-1"</f>
        <v>skr-1</v>
      </c>
      <c r="I333" t="s">
        <v>1251</v>
      </c>
      <c r="J333">
        <v>11.358583122997301</v>
      </c>
      <c r="K333">
        <v>11.8348191056741</v>
      </c>
      <c r="L333">
        <v>11.584985058258299</v>
      </c>
      <c r="M333" t="s">
        <v>29</v>
      </c>
      <c r="N333" t="s">
        <v>29</v>
      </c>
      <c r="O333">
        <v>13.933591868713201</v>
      </c>
      <c r="P333">
        <v>2.3407961064033</v>
      </c>
      <c r="Q333">
        <v>1.5891799733188301</v>
      </c>
      <c r="R333">
        <v>3.09241223948777</v>
      </c>
      <c r="S333">
        <v>12.3371249479507</v>
      </c>
      <c r="T333">
        <v>6.6056722653708801</v>
      </c>
      <c r="U333">
        <v>4.0715253559895404</v>
      </c>
      <c r="V333" s="2">
        <v>6.2482966372298004E-6</v>
      </c>
      <c r="W333">
        <v>2.0459700211018E-4</v>
      </c>
      <c r="X333">
        <v>1</v>
      </c>
      <c r="Y333">
        <v>1</v>
      </c>
    </row>
    <row r="334" spans="1:25" x14ac:dyDescent="0.2">
      <c r="A334" t="s">
        <v>1252</v>
      </c>
      <c r="B334" t="s">
        <v>1253</v>
      </c>
      <c r="C334" t="s">
        <v>14250</v>
      </c>
      <c r="D334" t="s">
        <v>1254</v>
      </c>
      <c r="E334" t="s">
        <v>1253</v>
      </c>
      <c r="F334" t="s">
        <v>28</v>
      </c>
      <c r="G334" t="s">
        <v>1253</v>
      </c>
      <c r="H334" t="str">
        <f>"F44E5.4"</f>
        <v>F44E5.4</v>
      </c>
      <c r="I334" t="s">
        <v>1254</v>
      </c>
      <c r="J334">
        <v>17.901323571209701</v>
      </c>
      <c r="K334">
        <v>18.0356353608726</v>
      </c>
      <c r="L334">
        <v>17.8159957662496</v>
      </c>
      <c r="M334">
        <v>17.7731784751319</v>
      </c>
      <c r="N334">
        <v>17.715132391482602</v>
      </c>
      <c r="O334">
        <v>17.581750642316099</v>
      </c>
      <c r="P334">
        <v>-0.22763106313373499</v>
      </c>
      <c r="Q334">
        <v>-0.61632148667874298</v>
      </c>
      <c r="R334">
        <v>0.161059360411272</v>
      </c>
      <c r="S334">
        <v>17.4347214503568</v>
      </c>
      <c r="T334">
        <v>-1.23089270882797</v>
      </c>
      <c r="U334">
        <v>-6.3932521150235999</v>
      </c>
      <c r="V334">
        <v>0.23429671114518799</v>
      </c>
      <c r="W334">
        <v>0.399116998696457</v>
      </c>
      <c r="X334">
        <v>0</v>
      </c>
      <c r="Y334">
        <v>0</v>
      </c>
    </row>
    <row r="335" spans="1:25" x14ac:dyDescent="0.2">
      <c r="A335" t="s">
        <v>1255</v>
      </c>
      <c r="B335" t="s">
        <v>1256</v>
      </c>
      <c r="C335" t="s">
        <v>1257</v>
      </c>
      <c r="D335" t="s">
        <v>1258</v>
      </c>
      <c r="E335" t="s">
        <v>1256</v>
      </c>
      <c r="F335" t="s">
        <v>28</v>
      </c>
      <c r="G335" t="s">
        <v>1256</v>
      </c>
      <c r="H335" t="str">
        <f>"alh-3"</f>
        <v>alh-3</v>
      </c>
      <c r="I335" t="s">
        <v>1258</v>
      </c>
      <c r="J335">
        <v>14.1518035525473</v>
      </c>
      <c r="K335">
        <v>13.679372549079901</v>
      </c>
      <c r="L335">
        <v>13.512808298807499</v>
      </c>
      <c r="M335">
        <v>12.953900808029299</v>
      </c>
      <c r="N335">
        <v>13.1335222770727</v>
      </c>
      <c r="O335">
        <v>13.381916440586901</v>
      </c>
      <c r="P335">
        <v>-0.624881624915265</v>
      </c>
      <c r="Q335">
        <v>-1.17299875323438</v>
      </c>
      <c r="R335">
        <v>-7.6764496596151796E-2</v>
      </c>
      <c r="S335">
        <v>13.6538408608903</v>
      </c>
      <c r="T335">
        <v>-2.3961659560209401</v>
      </c>
      <c r="U335">
        <v>-4.5453483243502104</v>
      </c>
      <c r="V335">
        <v>2.7713248871084499E-2</v>
      </c>
      <c r="W335">
        <v>9.1091792849772896E-2</v>
      </c>
      <c r="X335">
        <v>0</v>
      </c>
      <c r="Y335">
        <v>0</v>
      </c>
    </row>
    <row r="336" spans="1:25" x14ac:dyDescent="0.2">
      <c r="A336" t="s">
        <v>1259</v>
      </c>
      <c r="B336" t="s">
        <v>1260</v>
      </c>
      <c r="C336" t="s">
        <v>1261</v>
      </c>
      <c r="D336" t="s">
        <v>1262</v>
      </c>
      <c r="E336" t="s">
        <v>1260</v>
      </c>
      <c r="F336" t="s">
        <v>28</v>
      </c>
      <c r="G336" t="s">
        <v>1260</v>
      </c>
      <c r="H336" t="str">
        <f>"ncx-3"</f>
        <v>ncx-3</v>
      </c>
      <c r="I336" t="s">
        <v>1262</v>
      </c>
      <c r="J336" t="s">
        <v>29</v>
      </c>
      <c r="K336" t="s">
        <v>29</v>
      </c>
      <c r="L336" t="s">
        <v>29</v>
      </c>
      <c r="M336" t="s">
        <v>29</v>
      </c>
      <c r="N336" t="s">
        <v>29</v>
      </c>
      <c r="O336" t="s">
        <v>29</v>
      </c>
      <c r="P336" t="s">
        <v>29</v>
      </c>
      <c r="Q336" t="s">
        <v>29</v>
      </c>
      <c r="R336" t="s">
        <v>29</v>
      </c>
      <c r="S336">
        <v>11.0643033385366</v>
      </c>
      <c r="T336" t="s">
        <v>29</v>
      </c>
      <c r="U336" t="s">
        <v>29</v>
      </c>
      <c r="V336" t="s">
        <v>29</v>
      </c>
      <c r="W336" t="s">
        <v>29</v>
      </c>
      <c r="X336" t="s">
        <v>29</v>
      </c>
      <c r="Y336" t="s">
        <v>29</v>
      </c>
    </row>
    <row r="337" spans="1:25" x14ac:dyDescent="0.2">
      <c r="A337" t="s">
        <v>1263</v>
      </c>
      <c r="B337" t="s">
        <v>1264</v>
      </c>
      <c r="C337" t="s">
        <v>1265</v>
      </c>
      <c r="D337" t="s">
        <v>1266</v>
      </c>
      <c r="E337" t="s">
        <v>1264</v>
      </c>
      <c r="F337" t="s">
        <v>28</v>
      </c>
      <c r="G337" t="s">
        <v>1264</v>
      </c>
      <c r="H337" t="str">
        <f>"ehbp-1"</f>
        <v>ehbp-1</v>
      </c>
      <c r="I337" t="s">
        <v>1266</v>
      </c>
      <c r="J337">
        <v>14.3128360901303</v>
      </c>
      <c r="K337">
        <v>14.4509278566026</v>
      </c>
      <c r="L337">
        <v>14.278770241382</v>
      </c>
      <c r="M337" t="s">
        <v>29</v>
      </c>
      <c r="N337">
        <v>13.823271923461</v>
      </c>
      <c r="O337">
        <v>14.9827867707998</v>
      </c>
      <c r="P337">
        <v>5.5517951092118899E-2</v>
      </c>
      <c r="Q337">
        <v>-0.49272137761454099</v>
      </c>
      <c r="R337">
        <v>0.60375727979877902</v>
      </c>
      <c r="S337">
        <v>14.186384356094001</v>
      </c>
      <c r="T337">
        <v>0.21375351057320099</v>
      </c>
      <c r="U337">
        <v>-7.0214902484011503</v>
      </c>
      <c r="V337">
        <v>0.83329759803541104</v>
      </c>
      <c r="W337">
        <v>0.89474083458090803</v>
      </c>
      <c r="X337">
        <v>0</v>
      </c>
      <c r="Y337">
        <v>0</v>
      </c>
    </row>
    <row r="338" spans="1:25" x14ac:dyDescent="0.2">
      <c r="A338" t="s">
        <v>1267</v>
      </c>
      <c r="B338" t="s">
        <v>1268</v>
      </c>
      <c r="C338" t="s">
        <v>1269</v>
      </c>
      <c r="D338" t="s">
        <v>965</v>
      </c>
      <c r="E338" t="s">
        <v>1268</v>
      </c>
      <c r="F338" t="s">
        <v>28</v>
      </c>
      <c r="G338" t="s">
        <v>1268</v>
      </c>
      <c r="H338" t="str">
        <f>"cdr-2"</f>
        <v>cdr-2</v>
      </c>
      <c r="I338" t="s">
        <v>965</v>
      </c>
      <c r="J338">
        <v>10.7892361565487</v>
      </c>
      <c r="K338">
        <v>10.389033335669399</v>
      </c>
      <c r="L338">
        <v>10.6162890291201</v>
      </c>
      <c r="M338" t="s">
        <v>29</v>
      </c>
      <c r="N338" t="s">
        <v>29</v>
      </c>
      <c r="O338">
        <v>9.6453319201431906</v>
      </c>
      <c r="P338">
        <v>-0.95285425363621301</v>
      </c>
      <c r="Q338">
        <v>-1.8416599328802301</v>
      </c>
      <c r="R338">
        <v>-6.4048574392197605E-2</v>
      </c>
      <c r="S338">
        <v>11.9332201529272</v>
      </c>
      <c r="T338">
        <v>-2.2864476478634601</v>
      </c>
      <c r="U338">
        <v>-4.4548477771182897</v>
      </c>
      <c r="V338">
        <v>3.7296685372630999E-2</v>
      </c>
      <c r="W338">
        <v>0.113664252112868</v>
      </c>
      <c r="X338">
        <v>0</v>
      </c>
      <c r="Y338">
        <v>0</v>
      </c>
    </row>
    <row r="339" spans="1:25" x14ac:dyDescent="0.2">
      <c r="A339" t="s">
        <v>1270</v>
      </c>
      <c r="B339" t="s">
        <v>1271</v>
      </c>
      <c r="C339" t="s">
        <v>1272</v>
      </c>
      <c r="D339" t="s">
        <v>1273</v>
      </c>
      <c r="E339" t="s">
        <v>1271</v>
      </c>
      <c r="F339" t="s">
        <v>28</v>
      </c>
      <c r="G339" t="s">
        <v>1271</v>
      </c>
      <c r="H339" t="str">
        <f>"dlg-1"</f>
        <v>dlg-1</v>
      </c>
      <c r="I339" t="s">
        <v>1273</v>
      </c>
      <c r="J339">
        <v>10.754325751509199</v>
      </c>
      <c r="K339" t="s">
        <v>29</v>
      </c>
      <c r="L339">
        <v>11.829034914046099</v>
      </c>
      <c r="M339">
        <v>13.008388030201999</v>
      </c>
      <c r="N339">
        <v>12.0787319587441</v>
      </c>
      <c r="O339">
        <v>12.4826204691161</v>
      </c>
      <c r="P339">
        <v>1.23156648657645</v>
      </c>
      <c r="Q339">
        <v>0.45664184476316</v>
      </c>
      <c r="R339">
        <v>2.00649112838975</v>
      </c>
      <c r="S339">
        <v>11.5855001587079</v>
      </c>
      <c r="T339">
        <v>3.3709159261317199</v>
      </c>
      <c r="U339">
        <v>-2.5341721176754102</v>
      </c>
      <c r="V339">
        <v>3.9218650399250104E-3</v>
      </c>
      <c r="W339">
        <v>2.36615612034023E-2</v>
      </c>
      <c r="X339">
        <v>1</v>
      </c>
      <c r="Y339">
        <v>1</v>
      </c>
    </row>
    <row r="340" spans="1:25" x14ac:dyDescent="0.2">
      <c r="A340" t="s">
        <v>1274</v>
      </c>
      <c r="B340" t="s">
        <v>1275</v>
      </c>
      <c r="C340" t="s">
        <v>1276</v>
      </c>
      <c r="D340" t="s">
        <v>1277</v>
      </c>
      <c r="E340" t="s">
        <v>1275</v>
      </c>
      <c r="F340" t="s">
        <v>28</v>
      </c>
      <c r="G340" t="s">
        <v>1275</v>
      </c>
      <c r="H340" t="str">
        <f>"hum-5"</f>
        <v>hum-5</v>
      </c>
      <c r="I340" t="s">
        <v>1277</v>
      </c>
      <c r="J340">
        <v>13.9555327494575</v>
      </c>
      <c r="K340">
        <v>13.961278345318901</v>
      </c>
      <c r="L340">
        <v>13.8302634791348</v>
      </c>
      <c r="M340">
        <v>13.237406479105999</v>
      </c>
      <c r="N340">
        <v>13.4439383932247</v>
      </c>
      <c r="O340">
        <v>13.0550881930674</v>
      </c>
      <c r="P340">
        <v>-0.67021383617103503</v>
      </c>
      <c r="Q340">
        <v>-1.11070188601474</v>
      </c>
      <c r="R340">
        <v>-0.22972578632732901</v>
      </c>
      <c r="S340">
        <v>13.739847918594</v>
      </c>
      <c r="T340">
        <v>-3.1979507544379802</v>
      </c>
      <c r="U340">
        <v>-2.91791051102182</v>
      </c>
      <c r="V340">
        <v>5.0130329656378897E-3</v>
      </c>
      <c r="W340">
        <v>2.84651409436124E-2</v>
      </c>
      <c r="X340">
        <v>0</v>
      </c>
      <c r="Y340">
        <v>0</v>
      </c>
    </row>
    <row r="341" spans="1:25" x14ac:dyDescent="0.2">
      <c r="A341" t="s">
        <v>1278</v>
      </c>
      <c r="B341" t="s">
        <v>1279</v>
      </c>
      <c r="C341" t="s">
        <v>1280</v>
      </c>
      <c r="D341" t="s">
        <v>1281</v>
      </c>
      <c r="E341" t="s">
        <v>1279</v>
      </c>
      <c r="F341" t="s">
        <v>28</v>
      </c>
      <c r="G341" t="s">
        <v>1279</v>
      </c>
      <c r="H341" t="str">
        <f>"mpz-1"</f>
        <v>mpz-1</v>
      </c>
      <c r="I341" t="s">
        <v>1281</v>
      </c>
      <c r="J341">
        <v>10.9126122127937</v>
      </c>
      <c r="K341">
        <v>11.033509032961399</v>
      </c>
      <c r="L341">
        <v>11.2616513230259</v>
      </c>
      <c r="M341" t="s">
        <v>29</v>
      </c>
      <c r="N341" t="s">
        <v>29</v>
      </c>
      <c r="O341" t="s">
        <v>29</v>
      </c>
      <c r="P341" t="s">
        <v>29</v>
      </c>
      <c r="Q341" t="s">
        <v>29</v>
      </c>
      <c r="R341" t="s">
        <v>29</v>
      </c>
      <c r="S341">
        <v>10.9715615343067</v>
      </c>
      <c r="T341" t="s">
        <v>29</v>
      </c>
      <c r="U341" t="s">
        <v>29</v>
      </c>
      <c r="V341" t="s">
        <v>29</v>
      </c>
      <c r="W341" t="s">
        <v>29</v>
      </c>
      <c r="X341" t="s">
        <v>29</v>
      </c>
      <c r="Y341" t="s">
        <v>29</v>
      </c>
    </row>
    <row r="342" spans="1:25" x14ac:dyDescent="0.2">
      <c r="A342" t="s">
        <v>1282</v>
      </c>
      <c r="B342" t="s">
        <v>1283</v>
      </c>
      <c r="C342" t="s">
        <v>1284</v>
      </c>
      <c r="D342" t="s">
        <v>1285</v>
      </c>
      <c r="E342" t="s">
        <v>1283</v>
      </c>
      <c r="F342" t="s">
        <v>28</v>
      </c>
      <c r="G342" t="s">
        <v>1283</v>
      </c>
      <c r="H342" t="str">
        <f>"pdi-3"</f>
        <v>pdi-3</v>
      </c>
      <c r="I342" t="s">
        <v>1285</v>
      </c>
      <c r="J342">
        <v>15.2874705611632</v>
      </c>
      <c r="K342">
        <v>15.3889538538669</v>
      </c>
      <c r="L342">
        <v>15.109437500266999</v>
      </c>
      <c r="M342">
        <v>13.6591913820507</v>
      </c>
      <c r="N342">
        <v>14.371857188105199</v>
      </c>
      <c r="O342">
        <v>14.9391124978879</v>
      </c>
      <c r="P342">
        <v>-0.93856694908439797</v>
      </c>
      <c r="Q342">
        <v>-1.5428991656516</v>
      </c>
      <c r="R342">
        <v>-0.33423473251719499</v>
      </c>
      <c r="S342">
        <v>14.462814491268601</v>
      </c>
      <c r="T342">
        <v>-3.2642395549992602</v>
      </c>
      <c r="U342">
        <v>-2.7764286027416198</v>
      </c>
      <c r="V342">
        <v>4.3337778758598903E-3</v>
      </c>
      <c r="W342">
        <v>2.5543286800318199E-2</v>
      </c>
      <c r="X342">
        <v>0</v>
      </c>
      <c r="Y342">
        <v>0</v>
      </c>
    </row>
    <row r="343" spans="1:25" x14ac:dyDescent="0.2">
      <c r="A343" t="s">
        <v>1286</v>
      </c>
      <c r="B343" t="s">
        <v>1287</v>
      </c>
      <c r="C343" t="s">
        <v>1288</v>
      </c>
      <c r="D343" t="s">
        <v>323</v>
      </c>
      <c r="E343" t="s">
        <v>1287</v>
      </c>
      <c r="F343" t="s">
        <v>28</v>
      </c>
      <c r="G343" t="s">
        <v>1287</v>
      </c>
      <c r="H343" t="str">
        <f>"hpo-11"</f>
        <v>hpo-11</v>
      </c>
      <c r="I343" t="s">
        <v>323</v>
      </c>
      <c r="J343">
        <v>10.7143828950128</v>
      </c>
      <c r="K343" t="s">
        <v>29</v>
      </c>
      <c r="L343" t="s">
        <v>29</v>
      </c>
      <c r="M343" t="s">
        <v>29</v>
      </c>
      <c r="N343" t="s">
        <v>29</v>
      </c>
      <c r="O343" t="s">
        <v>29</v>
      </c>
      <c r="P343" t="s">
        <v>29</v>
      </c>
      <c r="Q343" t="s">
        <v>29</v>
      </c>
      <c r="R343" t="s">
        <v>29</v>
      </c>
      <c r="S343">
        <v>10.974754461169599</v>
      </c>
      <c r="T343" t="s">
        <v>29</v>
      </c>
      <c r="U343" t="s">
        <v>29</v>
      </c>
      <c r="V343" t="s">
        <v>29</v>
      </c>
      <c r="W343" t="s">
        <v>29</v>
      </c>
      <c r="X343" t="s">
        <v>29</v>
      </c>
      <c r="Y343" t="s">
        <v>29</v>
      </c>
    </row>
    <row r="344" spans="1:25" x14ac:dyDescent="0.2">
      <c r="A344" t="s">
        <v>1289</v>
      </c>
      <c r="B344" t="s">
        <v>1290</v>
      </c>
      <c r="C344" t="s">
        <v>1291</v>
      </c>
      <c r="D344" t="s">
        <v>1292</v>
      </c>
      <c r="E344" t="s">
        <v>1290</v>
      </c>
      <c r="F344" t="s">
        <v>28</v>
      </c>
      <c r="G344" t="s">
        <v>1290</v>
      </c>
      <c r="H344" t="str">
        <f>"rpoa-1"</f>
        <v>rpoa-1</v>
      </c>
      <c r="I344" t="s">
        <v>1292</v>
      </c>
      <c r="J344">
        <v>14.225429513119201</v>
      </c>
      <c r="K344">
        <v>14.227056019040299</v>
      </c>
      <c r="L344">
        <v>14.0081088808895</v>
      </c>
      <c r="M344">
        <v>13.693466666533199</v>
      </c>
      <c r="N344">
        <v>13.299226971759699</v>
      </c>
      <c r="O344">
        <v>13.8109862416509</v>
      </c>
      <c r="P344">
        <v>-0.55230484436839999</v>
      </c>
      <c r="Q344">
        <v>-0.91519729764635205</v>
      </c>
      <c r="R344">
        <v>-0.18941239109044899</v>
      </c>
      <c r="S344">
        <v>14.013800468425099</v>
      </c>
      <c r="T344">
        <v>-3.1988467096715199</v>
      </c>
      <c r="U344">
        <v>-2.9160032814472898</v>
      </c>
      <c r="V344">
        <v>5.0031910809894102E-3</v>
      </c>
      <c r="W344">
        <v>2.84641006094127E-2</v>
      </c>
      <c r="X344">
        <v>0</v>
      </c>
      <c r="Y344">
        <v>0</v>
      </c>
    </row>
    <row r="345" spans="1:25" x14ac:dyDescent="0.2">
      <c r="A345" t="s">
        <v>1293</v>
      </c>
      <c r="B345" t="s">
        <v>1294</v>
      </c>
      <c r="C345" t="s">
        <v>1295</v>
      </c>
      <c r="D345" t="s">
        <v>1296</v>
      </c>
      <c r="E345" t="s">
        <v>1294</v>
      </c>
      <c r="F345" t="s">
        <v>28</v>
      </c>
      <c r="G345" t="s">
        <v>1294</v>
      </c>
      <c r="H345" t="str">
        <f>"mel-46"</f>
        <v>mel-46</v>
      </c>
      <c r="I345" t="s">
        <v>1296</v>
      </c>
      <c r="J345">
        <v>12.659010680387601</v>
      </c>
      <c r="K345">
        <v>13.0575985676613</v>
      </c>
      <c r="L345">
        <v>13.0860803563377</v>
      </c>
      <c r="M345">
        <v>13.9248615266687</v>
      </c>
      <c r="N345">
        <v>13.224657268447</v>
      </c>
      <c r="O345">
        <v>12.5481890269291</v>
      </c>
      <c r="P345">
        <v>0.29833940588608099</v>
      </c>
      <c r="Q345">
        <v>-0.27875087681430999</v>
      </c>
      <c r="R345">
        <v>0.87542968858647197</v>
      </c>
      <c r="S345">
        <v>13.536355010202101</v>
      </c>
      <c r="T345">
        <v>1.08657415841886</v>
      </c>
      <c r="U345">
        <v>-6.55640765402081</v>
      </c>
      <c r="V345">
        <v>0.29164508828522201</v>
      </c>
      <c r="W345">
        <v>0.45985985830741</v>
      </c>
      <c r="X345">
        <v>0</v>
      </c>
      <c r="Y345">
        <v>0</v>
      </c>
    </row>
    <row r="346" spans="1:25" x14ac:dyDescent="0.2">
      <c r="A346" t="s">
        <v>1297</v>
      </c>
      <c r="B346" t="s">
        <v>1298</v>
      </c>
      <c r="C346" t="s">
        <v>1299</v>
      </c>
      <c r="D346" t="s">
        <v>1300</v>
      </c>
      <c r="E346" t="s">
        <v>1298</v>
      </c>
      <c r="F346" t="s">
        <v>28</v>
      </c>
      <c r="G346" t="s">
        <v>1298</v>
      </c>
      <c r="H346" t="str">
        <f>"atx-2"</f>
        <v>atx-2</v>
      </c>
      <c r="I346" t="s">
        <v>1300</v>
      </c>
      <c r="J346">
        <v>14.272602288537399</v>
      </c>
      <c r="K346">
        <v>14.807295717801001</v>
      </c>
      <c r="L346">
        <v>15.1880177255108</v>
      </c>
      <c r="M346" t="s">
        <v>29</v>
      </c>
      <c r="N346">
        <v>15.0474571038243</v>
      </c>
      <c r="O346">
        <v>13.8331858734592</v>
      </c>
      <c r="P346">
        <v>-0.315650421974704</v>
      </c>
      <c r="Q346">
        <v>-1.02921034108245</v>
      </c>
      <c r="R346">
        <v>0.39790949713304202</v>
      </c>
      <c r="S346">
        <v>15.292618366764801</v>
      </c>
      <c r="T346">
        <v>-0.93373994858547804</v>
      </c>
      <c r="U346">
        <v>-6.5986919522812899</v>
      </c>
      <c r="V346">
        <v>0.36359198960296302</v>
      </c>
      <c r="W346">
        <v>0.53229289287627102</v>
      </c>
      <c r="X346">
        <v>0</v>
      </c>
      <c r="Y346">
        <v>0</v>
      </c>
    </row>
    <row r="347" spans="1:25" x14ac:dyDescent="0.2">
      <c r="A347" t="s">
        <v>1301</v>
      </c>
      <c r="B347" t="s">
        <v>1302</v>
      </c>
      <c r="C347" t="s">
        <v>1303</v>
      </c>
      <c r="D347" t="s">
        <v>1304</v>
      </c>
      <c r="E347" t="s">
        <v>1302</v>
      </c>
      <c r="F347" t="s">
        <v>28</v>
      </c>
      <c r="G347" t="s">
        <v>1302</v>
      </c>
      <c r="H347" t="str">
        <f>"dli-1"</f>
        <v>dli-1</v>
      </c>
      <c r="I347" t="s">
        <v>1304</v>
      </c>
      <c r="J347">
        <v>15.2438454655392</v>
      </c>
      <c r="K347">
        <v>15.2378670830534</v>
      </c>
      <c r="L347">
        <v>14.968450756229799</v>
      </c>
      <c r="M347">
        <v>13.936471499156299</v>
      </c>
      <c r="N347">
        <v>14.7552924174511</v>
      </c>
      <c r="O347">
        <v>14.9571868999481</v>
      </c>
      <c r="P347">
        <v>-0.60040416275563602</v>
      </c>
      <c r="Q347">
        <v>-1.0649359426096201</v>
      </c>
      <c r="R347">
        <v>-0.13587238290165601</v>
      </c>
      <c r="S347">
        <v>14.5732529961167</v>
      </c>
      <c r="T347">
        <v>-2.71656922998545</v>
      </c>
      <c r="U347">
        <v>-3.9174253929089602</v>
      </c>
      <c r="V347">
        <v>1.41956040641178E-2</v>
      </c>
      <c r="W347">
        <v>5.82652439790462E-2</v>
      </c>
      <c r="X347">
        <v>0</v>
      </c>
      <c r="Y347">
        <v>0</v>
      </c>
    </row>
    <row r="348" spans="1:25" x14ac:dyDescent="0.2">
      <c r="A348" t="s">
        <v>1305</v>
      </c>
      <c r="B348" t="s">
        <v>1306</v>
      </c>
      <c r="C348" t="s">
        <v>1307</v>
      </c>
      <c r="D348" t="s">
        <v>1308</v>
      </c>
      <c r="E348" t="s">
        <v>1306</v>
      </c>
      <c r="F348" t="s">
        <v>28</v>
      </c>
      <c r="G348" t="s">
        <v>1306</v>
      </c>
      <c r="H348" t="str">
        <f>"rme-8"</f>
        <v>rme-8</v>
      </c>
      <c r="I348" t="s">
        <v>1308</v>
      </c>
      <c r="J348">
        <v>14.0718559334157</v>
      </c>
      <c r="K348">
        <v>14.212542836101401</v>
      </c>
      <c r="L348">
        <v>13.9735863020673</v>
      </c>
      <c r="M348">
        <v>13.4262033235806</v>
      </c>
      <c r="N348">
        <v>14.2382721251545</v>
      </c>
      <c r="O348">
        <v>14.356018899717601</v>
      </c>
      <c r="P348">
        <v>-7.9163574377234994E-2</v>
      </c>
      <c r="Q348">
        <v>-0.50336916671933796</v>
      </c>
      <c r="R348">
        <v>0.345042017964868</v>
      </c>
      <c r="S348">
        <v>14.3340316709682</v>
      </c>
      <c r="T348">
        <v>-0.39223064195768997</v>
      </c>
      <c r="U348">
        <v>-7.0759124850683097</v>
      </c>
      <c r="V348">
        <v>0.69952004941628898</v>
      </c>
      <c r="W348">
        <v>0.80589741424151895</v>
      </c>
      <c r="X348">
        <v>0</v>
      </c>
      <c r="Y348">
        <v>0</v>
      </c>
    </row>
    <row r="349" spans="1:25" x14ac:dyDescent="0.2">
      <c r="A349" t="s">
        <v>1309</v>
      </c>
      <c r="B349" t="s">
        <v>1310</v>
      </c>
      <c r="C349" s="3">
        <v>45536</v>
      </c>
      <c r="D349" t="s">
        <v>1311</v>
      </c>
      <c r="E349" t="s">
        <v>1310</v>
      </c>
      <c r="F349" t="s">
        <v>28</v>
      </c>
      <c r="G349" t="s">
        <v>1310</v>
      </c>
      <c r="H349" t="str">
        <f>"sep-1"</f>
        <v>sep-1</v>
      </c>
      <c r="I349" t="s">
        <v>1311</v>
      </c>
      <c r="J349">
        <v>9.8167349871714507</v>
      </c>
      <c r="K349">
        <v>9.0292293646411608</v>
      </c>
      <c r="L349">
        <v>9.7022527838363501</v>
      </c>
      <c r="M349" t="s">
        <v>29</v>
      </c>
      <c r="N349" t="s">
        <v>29</v>
      </c>
      <c r="O349" t="s">
        <v>29</v>
      </c>
      <c r="P349" t="s">
        <v>29</v>
      </c>
      <c r="Q349" t="s">
        <v>29</v>
      </c>
      <c r="R349" t="s">
        <v>29</v>
      </c>
      <c r="S349">
        <v>10.2042100887105</v>
      </c>
      <c r="T349" t="s">
        <v>29</v>
      </c>
      <c r="U349" t="s">
        <v>29</v>
      </c>
      <c r="V349" t="s">
        <v>29</v>
      </c>
      <c r="W349" t="s">
        <v>29</v>
      </c>
      <c r="X349" t="s">
        <v>29</v>
      </c>
      <c r="Y349" t="s">
        <v>29</v>
      </c>
    </row>
    <row r="350" spans="1:25" x14ac:dyDescent="0.2">
      <c r="A350" t="s">
        <v>1312</v>
      </c>
      <c r="B350" t="s">
        <v>1313</v>
      </c>
      <c r="C350" t="s">
        <v>1314</v>
      </c>
      <c r="D350" t="s">
        <v>1315</v>
      </c>
      <c r="E350" t="s">
        <v>1313</v>
      </c>
      <c r="F350" t="s">
        <v>28</v>
      </c>
      <c r="G350" t="s">
        <v>1313</v>
      </c>
      <c r="H350" t="str">
        <f>"cand-1"</f>
        <v>cand-1</v>
      </c>
      <c r="I350" t="s">
        <v>1315</v>
      </c>
      <c r="J350">
        <v>14.517908693180701</v>
      </c>
      <c r="K350">
        <v>14.392438107303001</v>
      </c>
      <c r="L350">
        <v>14.7572176618102</v>
      </c>
      <c r="M350">
        <v>14.0462002499567</v>
      </c>
      <c r="N350">
        <v>14.127812427962301</v>
      </c>
      <c r="O350">
        <v>14.424724200769701</v>
      </c>
      <c r="P350">
        <v>-0.35627586120172899</v>
      </c>
      <c r="Q350">
        <v>-0.79299734690155599</v>
      </c>
      <c r="R350">
        <v>8.0445624498098695E-2</v>
      </c>
      <c r="S350">
        <v>14.9006687287205</v>
      </c>
      <c r="T350">
        <v>-1.7146455352474701</v>
      </c>
      <c r="U350">
        <v>-5.7284601980836802</v>
      </c>
      <c r="V350">
        <v>0.103675953542522</v>
      </c>
      <c r="W350">
        <v>0.22252952300787501</v>
      </c>
      <c r="X350">
        <v>0</v>
      </c>
      <c r="Y350">
        <v>0</v>
      </c>
    </row>
    <row r="351" spans="1:25" x14ac:dyDescent="0.2">
      <c r="A351" t="s">
        <v>1316</v>
      </c>
      <c r="B351" t="s">
        <v>1317</v>
      </c>
      <c r="C351" t="s">
        <v>1318</v>
      </c>
      <c r="D351" t="s">
        <v>1319</v>
      </c>
      <c r="E351" t="s">
        <v>1317</v>
      </c>
      <c r="F351" t="s">
        <v>28</v>
      </c>
      <c r="G351" t="s">
        <v>1317</v>
      </c>
      <c r="H351" t="str">
        <f>"fat-5"</f>
        <v>fat-5</v>
      </c>
      <c r="I351" t="s">
        <v>1319</v>
      </c>
      <c r="J351">
        <v>13.4687060311308</v>
      </c>
      <c r="K351">
        <v>13.672785556954899</v>
      </c>
      <c r="L351">
        <v>13.417166199935799</v>
      </c>
      <c r="M351">
        <v>12.5934995277425</v>
      </c>
      <c r="N351">
        <v>13.578780803312201</v>
      </c>
      <c r="O351">
        <v>13.430060615598199</v>
      </c>
      <c r="P351">
        <v>-0.318772280456184</v>
      </c>
      <c r="Q351">
        <v>-0.77878205814944901</v>
      </c>
      <c r="R351">
        <v>0.14123749723708201</v>
      </c>
      <c r="S351">
        <v>13.8818646497171</v>
      </c>
      <c r="T351">
        <v>-1.45648494403706</v>
      </c>
      <c r="U351">
        <v>-6.1045920716363602</v>
      </c>
      <c r="V351">
        <v>0.16258109900131501</v>
      </c>
      <c r="W351">
        <v>0.31071757377229198</v>
      </c>
      <c r="X351">
        <v>0</v>
      </c>
      <c r="Y351">
        <v>0</v>
      </c>
    </row>
    <row r="352" spans="1:25" x14ac:dyDescent="0.2">
      <c r="A352" t="s">
        <v>1320</v>
      </c>
      <c r="B352" t="s">
        <v>1321</v>
      </c>
      <c r="C352" t="s">
        <v>1322</v>
      </c>
      <c r="D352" t="s">
        <v>1323</v>
      </c>
      <c r="E352" t="s">
        <v>1321</v>
      </c>
      <c r="F352" t="s">
        <v>28</v>
      </c>
      <c r="G352" t="s">
        <v>1321</v>
      </c>
      <c r="H352" t="str">
        <f>"hyl-1"</f>
        <v>hyl-1</v>
      </c>
      <c r="I352" t="s">
        <v>1323</v>
      </c>
      <c r="J352">
        <v>11.3736066673988</v>
      </c>
      <c r="K352">
        <v>11.4039478600994</v>
      </c>
      <c r="L352">
        <v>11.418847043341099</v>
      </c>
      <c r="M352" t="s">
        <v>29</v>
      </c>
      <c r="N352">
        <v>12.086383252517701</v>
      </c>
      <c r="O352">
        <v>11.1508664374426</v>
      </c>
      <c r="P352">
        <v>0.219824321367067</v>
      </c>
      <c r="Q352">
        <v>-0.33408925599661199</v>
      </c>
      <c r="R352">
        <v>0.77373789873074705</v>
      </c>
      <c r="S352">
        <v>11.9472396046569</v>
      </c>
      <c r="T352">
        <v>0.837690795900639</v>
      </c>
      <c r="U352">
        <v>-6.6841203149739599</v>
      </c>
      <c r="V352">
        <v>0.41389822422978301</v>
      </c>
      <c r="W352">
        <v>0.58139088026938601</v>
      </c>
      <c r="X352">
        <v>0</v>
      </c>
      <c r="Y352">
        <v>0</v>
      </c>
    </row>
    <row r="353" spans="1:25" x14ac:dyDescent="0.2">
      <c r="A353" t="s">
        <v>1324</v>
      </c>
      <c r="B353" t="s">
        <v>1325</v>
      </c>
      <c r="C353" t="s">
        <v>14251</v>
      </c>
      <c r="D353" t="s">
        <v>1326</v>
      </c>
      <c r="E353" t="s">
        <v>1325</v>
      </c>
      <c r="F353" t="s">
        <v>28</v>
      </c>
      <c r="G353" t="s">
        <v>1325</v>
      </c>
      <c r="H353" t="str">
        <f>"F22E12.1"</f>
        <v>F22E12.1</v>
      </c>
      <c r="I353" t="s">
        <v>1326</v>
      </c>
      <c r="J353" t="s">
        <v>29</v>
      </c>
      <c r="K353" t="s">
        <v>29</v>
      </c>
      <c r="L353">
        <v>10.3151066904927</v>
      </c>
      <c r="M353" t="s">
        <v>29</v>
      </c>
      <c r="N353" t="s">
        <v>29</v>
      </c>
      <c r="O353" t="s">
        <v>29</v>
      </c>
      <c r="P353" t="s">
        <v>29</v>
      </c>
      <c r="Q353" t="s">
        <v>29</v>
      </c>
      <c r="R353" t="s">
        <v>29</v>
      </c>
      <c r="S353">
        <v>11.318484082181699</v>
      </c>
      <c r="T353" t="s">
        <v>29</v>
      </c>
      <c r="U353" t="s">
        <v>29</v>
      </c>
      <c r="V353" t="s">
        <v>29</v>
      </c>
      <c r="W353" t="s">
        <v>29</v>
      </c>
      <c r="X353" t="s">
        <v>29</v>
      </c>
      <c r="Y353" t="s">
        <v>29</v>
      </c>
    </row>
    <row r="354" spans="1:25" x14ac:dyDescent="0.2">
      <c r="A354" t="s">
        <v>1327</v>
      </c>
      <c r="B354" t="s">
        <v>1328</v>
      </c>
      <c r="C354" t="s">
        <v>1329</v>
      </c>
      <c r="D354" t="s">
        <v>433</v>
      </c>
      <c r="E354" t="s">
        <v>1328</v>
      </c>
      <c r="F354" t="s">
        <v>28</v>
      </c>
      <c r="G354" t="s">
        <v>1328</v>
      </c>
      <c r="H354" t="str">
        <f>"mcrs-1"</f>
        <v>mcrs-1</v>
      </c>
      <c r="I354" t="s">
        <v>433</v>
      </c>
      <c r="J354" t="s">
        <v>29</v>
      </c>
      <c r="K354">
        <v>11.7227562783953</v>
      </c>
      <c r="L354">
        <v>11.701707425820199</v>
      </c>
      <c r="M354" t="s">
        <v>29</v>
      </c>
      <c r="N354" t="s">
        <v>29</v>
      </c>
      <c r="O354" t="s">
        <v>29</v>
      </c>
      <c r="P354" t="s">
        <v>29</v>
      </c>
      <c r="Q354" t="s">
        <v>29</v>
      </c>
      <c r="R354" t="s">
        <v>29</v>
      </c>
      <c r="S354">
        <v>12.3370929463556</v>
      </c>
      <c r="T354" t="s">
        <v>29</v>
      </c>
      <c r="U354" t="s">
        <v>29</v>
      </c>
      <c r="V354" t="s">
        <v>29</v>
      </c>
      <c r="W354" t="s">
        <v>29</v>
      </c>
      <c r="X354" t="s">
        <v>29</v>
      </c>
      <c r="Y354" t="s">
        <v>29</v>
      </c>
    </row>
    <row r="355" spans="1:25" x14ac:dyDescent="0.2">
      <c r="A355" t="s">
        <v>1330</v>
      </c>
      <c r="B355" t="s">
        <v>1331</v>
      </c>
      <c r="C355" t="s">
        <v>14252</v>
      </c>
      <c r="D355" t="s">
        <v>1332</v>
      </c>
      <c r="E355" t="s">
        <v>1331</v>
      </c>
      <c r="F355" t="s">
        <v>28</v>
      </c>
      <c r="G355" t="s">
        <v>1331</v>
      </c>
      <c r="H355" t="str">
        <f>"K12D12.5"</f>
        <v>K12D12.5</v>
      </c>
      <c r="I355" t="s">
        <v>1332</v>
      </c>
      <c r="J355">
        <v>10.947591079334799</v>
      </c>
      <c r="K355">
        <v>10.247978539264899</v>
      </c>
      <c r="L355">
        <v>11.448062766458101</v>
      </c>
      <c r="M355" t="s">
        <v>29</v>
      </c>
      <c r="N355">
        <v>10.4350090948254</v>
      </c>
      <c r="O355">
        <v>11.737744081489</v>
      </c>
      <c r="P355">
        <v>0.20516579313793801</v>
      </c>
      <c r="Q355">
        <v>-0.65753931855329295</v>
      </c>
      <c r="R355">
        <v>1.0678709048291699</v>
      </c>
      <c r="S355">
        <v>11.8997410838177</v>
      </c>
      <c r="T355">
        <v>0.50198714444467096</v>
      </c>
      <c r="U355">
        <v>-6.9140003687635403</v>
      </c>
      <c r="V355">
        <v>0.62215549349822497</v>
      </c>
      <c r="W355">
        <v>0.74714435180899297</v>
      </c>
      <c r="X355">
        <v>0</v>
      </c>
      <c r="Y355">
        <v>0</v>
      </c>
    </row>
    <row r="356" spans="1:25" x14ac:dyDescent="0.2">
      <c r="A356" t="s">
        <v>1333</v>
      </c>
      <c r="B356" t="s">
        <v>1334</v>
      </c>
      <c r="C356" t="s">
        <v>1335</v>
      </c>
      <c r="D356" t="s">
        <v>1336</v>
      </c>
      <c r="E356" t="s">
        <v>1334</v>
      </c>
      <c r="F356" t="s">
        <v>28</v>
      </c>
      <c r="G356" t="s">
        <v>1334</v>
      </c>
      <c r="H356" t="str">
        <f>"mtm-6"</f>
        <v>mtm-6</v>
      </c>
      <c r="I356" t="s">
        <v>1336</v>
      </c>
      <c r="J356">
        <v>13.196225577796501</v>
      </c>
      <c r="K356">
        <v>12.220588167091201</v>
      </c>
      <c r="L356">
        <v>12.523280419469399</v>
      </c>
      <c r="M356" t="s">
        <v>29</v>
      </c>
      <c r="N356" t="s">
        <v>29</v>
      </c>
      <c r="O356">
        <v>12.808644473702801</v>
      </c>
      <c r="P356">
        <v>0.16194641891707201</v>
      </c>
      <c r="Q356">
        <v>-0.66218614934598097</v>
      </c>
      <c r="R356">
        <v>0.98607898718012499</v>
      </c>
      <c r="S356">
        <v>12.788944996041799</v>
      </c>
      <c r="T356">
        <v>0.41679624895367001</v>
      </c>
      <c r="U356">
        <v>-6.7219716106229601</v>
      </c>
      <c r="V356">
        <v>0.68240178633832904</v>
      </c>
      <c r="W356">
        <v>0.792059103717628</v>
      </c>
      <c r="X356">
        <v>0</v>
      </c>
      <c r="Y356">
        <v>0</v>
      </c>
    </row>
    <row r="357" spans="1:25" x14ac:dyDescent="0.2">
      <c r="A357" t="s">
        <v>1337</v>
      </c>
      <c r="B357" t="s">
        <v>1338</v>
      </c>
      <c r="C357" t="s">
        <v>1339</v>
      </c>
      <c r="D357" t="s">
        <v>1340</v>
      </c>
      <c r="E357" t="s">
        <v>1338</v>
      </c>
      <c r="F357" t="s">
        <v>28</v>
      </c>
      <c r="G357" t="s">
        <v>1338</v>
      </c>
      <c r="H357" t="str">
        <f>"dcp-66"</f>
        <v>dcp-66</v>
      </c>
      <c r="I357" t="s">
        <v>1340</v>
      </c>
      <c r="J357" t="s">
        <v>29</v>
      </c>
      <c r="K357" t="s">
        <v>29</v>
      </c>
      <c r="L357" t="s">
        <v>29</v>
      </c>
      <c r="M357" t="s">
        <v>29</v>
      </c>
      <c r="N357" t="s">
        <v>29</v>
      </c>
      <c r="O357" t="s">
        <v>29</v>
      </c>
      <c r="P357" t="s">
        <v>29</v>
      </c>
      <c r="Q357" t="s">
        <v>29</v>
      </c>
      <c r="R357" t="s">
        <v>29</v>
      </c>
      <c r="S357">
        <v>11.0128868755836</v>
      </c>
      <c r="T357" t="s">
        <v>29</v>
      </c>
      <c r="U357" t="s">
        <v>29</v>
      </c>
      <c r="V357" t="s">
        <v>29</v>
      </c>
      <c r="W357" t="s">
        <v>29</v>
      </c>
      <c r="X357" t="s">
        <v>29</v>
      </c>
      <c r="Y357" t="s">
        <v>29</v>
      </c>
    </row>
    <row r="358" spans="1:25" x14ac:dyDescent="0.2">
      <c r="A358" t="s">
        <v>1341</v>
      </c>
      <c r="B358" t="s">
        <v>1342</v>
      </c>
      <c r="C358" t="s">
        <v>1343</v>
      </c>
      <c r="D358" t="s">
        <v>1344</v>
      </c>
      <c r="E358" t="s">
        <v>1342</v>
      </c>
      <c r="F358" t="s">
        <v>28</v>
      </c>
      <c r="G358" t="s">
        <v>1342</v>
      </c>
      <c r="H358" t="str">
        <f>"yars-1"</f>
        <v>yars-1</v>
      </c>
      <c r="I358" t="s">
        <v>1344</v>
      </c>
      <c r="J358">
        <v>12.737881612191501</v>
      </c>
      <c r="K358">
        <v>12.507518729129099</v>
      </c>
      <c r="L358">
        <v>12.820248081201401</v>
      </c>
      <c r="M358" t="s">
        <v>29</v>
      </c>
      <c r="N358">
        <v>10.9439285473507</v>
      </c>
      <c r="O358">
        <v>12.7637739886585</v>
      </c>
      <c r="P358">
        <v>-0.83469820616936896</v>
      </c>
      <c r="Q358">
        <v>-1.58627846232652</v>
      </c>
      <c r="R358">
        <v>-8.3117950012219305E-2</v>
      </c>
      <c r="S358">
        <v>12.744900940487399</v>
      </c>
      <c r="T358">
        <v>-2.3442511113048701</v>
      </c>
      <c r="U358">
        <v>-4.5473135374022604</v>
      </c>
      <c r="V358">
        <v>3.15535002210462E-2</v>
      </c>
      <c r="W358">
        <v>9.9987274356368894E-2</v>
      </c>
      <c r="X358">
        <v>0</v>
      </c>
      <c r="Y358">
        <v>0</v>
      </c>
    </row>
    <row r="359" spans="1:25" x14ac:dyDescent="0.2">
      <c r="A359" t="s">
        <v>1345</v>
      </c>
      <c r="B359" t="s">
        <v>1346</v>
      </c>
      <c r="C359" t="s">
        <v>1347</v>
      </c>
      <c r="D359" t="s">
        <v>107</v>
      </c>
      <c r="E359" t="s">
        <v>1346</v>
      </c>
      <c r="F359" t="s">
        <v>28</v>
      </c>
      <c r="G359" t="s">
        <v>1346</v>
      </c>
      <c r="H359" t="str">
        <f>"C06H5.6"</f>
        <v>C06H5.6</v>
      </c>
      <c r="I359" t="s">
        <v>107</v>
      </c>
      <c r="J359">
        <v>12.920789659665701</v>
      </c>
      <c r="K359">
        <v>13.1900626236137</v>
      </c>
      <c r="L359">
        <v>12.9300542262511</v>
      </c>
      <c r="M359" t="s">
        <v>29</v>
      </c>
      <c r="N359" t="s">
        <v>29</v>
      </c>
      <c r="O359">
        <v>12.9576849175755</v>
      </c>
      <c r="P359">
        <v>-5.5950585601326701E-2</v>
      </c>
      <c r="Q359">
        <v>-0.63242457733563895</v>
      </c>
      <c r="R359">
        <v>0.52052340613298598</v>
      </c>
      <c r="S359">
        <v>12.9142849245618</v>
      </c>
      <c r="T359">
        <v>-0.20586117524890299</v>
      </c>
      <c r="U359">
        <v>-6.7904750391419704</v>
      </c>
      <c r="V359">
        <v>0.83951285937954001</v>
      </c>
      <c r="W359">
        <v>0.89867213824609704</v>
      </c>
      <c r="X359">
        <v>0</v>
      </c>
      <c r="Y359">
        <v>0</v>
      </c>
    </row>
    <row r="360" spans="1:25" x14ac:dyDescent="0.2">
      <c r="A360" t="s">
        <v>1348</v>
      </c>
      <c r="B360" t="s">
        <v>1349</v>
      </c>
      <c r="C360" t="s">
        <v>14253</v>
      </c>
      <c r="D360" t="s">
        <v>1350</v>
      </c>
      <c r="E360" t="s">
        <v>1349</v>
      </c>
      <c r="F360" t="s">
        <v>28</v>
      </c>
      <c r="G360" t="s">
        <v>1349</v>
      </c>
      <c r="H360" t="str">
        <f>"Y45F10B.13"</f>
        <v>Y45F10B.13</v>
      </c>
      <c r="I360" t="s">
        <v>1350</v>
      </c>
      <c r="J360">
        <v>12.5595942152693</v>
      </c>
      <c r="K360">
        <v>13.1699410668555</v>
      </c>
      <c r="L360">
        <v>13.669751500443001</v>
      </c>
      <c r="M360" t="s">
        <v>29</v>
      </c>
      <c r="N360">
        <v>11.741911187235599</v>
      </c>
      <c r="O360">
        <v>11.486657804169599</v>
      </c>
      <c r="P360">
        <v>-1.51881109848669</v>
      </c>
      <c r="Q360">
        <v>-2.2079840499315999</v>
      </c>
      <c r="R360">
        <v>-0.82963814704178396</v>
      </c>
      <c r="S360">
        <v>13.2462280550559</v>
      </c>
      <c r="T360">
        <v>-4.6518483807909501</v>
      </c>
      <c r="U360">
        <v>0.247239941146943</v>
      </c>
      <c r="V360">
        <v>2.31958856502101E-4</v>
      </c>
      <c r="W360">
        <v>3.12884497297175E-3</v>
      </c>
      <c r="X360">
        <v>-1</v>
      </c>
      <c r="Y360">
        <v>-1</v>
      </c>
    </row>
    <row r="361" spans="1:25" x14ac:dyDescent="0.2">
      <c r="A361" t="s">
        <v>1351</v>
      </c>
      <c r="B361" t="s">
        <v>1352</v>
      </c>
      <c r="C361" t="s">
        <v>1353</v>
      </c>
      <c r="D361" t="s">
        <v>1354</v>
      </c>
      <c r="E361" t="s">
        <v>1352</v>
      </c>
      <c r="F361" t="s">
        <v>28</v>
      </c>
      <c r="G361" t="s">
        <v>1352</v>
      </c>
      <c r="H361" t="str">
        <f>"madd-3"</f>
        <v>madd-3</v>
      </c>
      <c r="I361" t="s">
        <v>1354</v>
      </c>
      <c r="J361">
        <v>15.267025474323001</v>
      </c>
      <c r="K361">
        <v>15.557545909299</v>
      </c>
      <c r="L361">
        <v>14.9965568489506</v>
      </c>
      <c r="M361">
        <v>15.225813014290001</v>
      </c>
      <c r="N361">
        <v>14.663301145921601</v>
      </c>
      <c r="O361">
        <v>15.249861082542401</v>
      </c>
      <c r="P361">
        <v>-0.227384329939532</v>
      </c>
      <c r="Q361">
        <v>-0.66081376713669304</v>
      </c>
      <c r="R361">
        <v>0.20604510725762801</v>
      </c>
      <c r="S361">
        <v>14.9422245628287</v>
      </c>
      <c r="T361">
        <v>-1.10264228071788</v>
      </c>
      <c r="U361">
        <v>-6.5391126321293198</v>
      </c>
      <c r="V361">
        <v>0.28479130049415902</v>
      </c>
      <c r="W361">
        <v>0.45244202833223102</v>
      </c>
      <c r="X361">
        <v>0</v>
      </c>
      <c r="Y361">
        <v>0</v>
      </c>
    </row>
    <row r="362" spans="1:25" x14ac:dyDescent="0.2">
      <c r="A362" t="s">
        <v>1355</v>
      </c>
      <c r="B362" t="s">
        <v>1356</v>
      </c>
      <c r="C362" t="s">
        <v>1357</v>
      </c>
      <c r="D362" t="s">
        <v>1358</v>
      </c>
      <c r="E362" t="s">
        <v>1356</v>
      </c>
      <c r="F362" t="s">
        <v>28</v>
      </c>
      <c r="G362" t="s">
        <v>1356</v>
      </c>
      <c r="H362" t="str">
        <f>"ppgn-1"</f>
        <v>ppgn-1</v>
      </c>
      <c r="I362" t="s">
        <v>1358</v>
      </c>
      <c r="J362">
        <v>13.539866053678301</v>
      </c>
      <c r="K362">
        <v>13.3232812301423</v>
      </c>
      <c r="L362">
        <v>13.5029066009924</v>
      </c>
      <c r="M362" t="s">
        <v>29</v>
      </c>
      <c r="N362" t="s">
        <v>29</v>
      </c>
      <c r="O362">
        <v>13.523750616672899</v>
      </c>
      <c r="P362">
        <v>6.8399321735235205E-2</v>
      </c>
      <c r="Q362">
        <v>-0.84670734931157898</v>
      </c>
      <c r="R362">
        <v>0.98350599278204998</v>
      </c>
      <c r="S362">
        <v>13.573412696052101</v>
      </c>
      <c r="T362">
        <v>0.15853662323100301</v>
      </c>
      <c r="U362">
        <v>-6.7995119310129901</v>
      </c>
      <c r="V362">
        <v>0.87603069962737701</v>
      </c>
      <c r="W362">
        <v>0.92301125198494105</v>
      </c>
      <c r="X362">
        <v>0</v>
      </c>
      <c r="Y362">
        <v>0</v>
      </c>
    </row>
    <row r="363" spans="1:25" x14ac:dyDescent="0.2">
      <c r="A363" t="s">
        <v>1359</v>
      </c>
      <c r="B363" t="s">
        <v>1360</v>
      </c>
      <c r="C363" t="s">
        <v>1361</v>
      </c>
      <c r="D363" t="s">
        <v>1362</v>
      </c>
      <c r="E363" t="s">
        <v>1360</v>
      </c>
      <c r="F363" t="s">
        <v>28</v>
      </c>
      <c r="G363" t="s">
        <v>1360</v>
      </c>
      <c r="H363" t="str">
        <f>"unc-25"</f>
        <v>unc-25</v>
      </c>
      <c r="I363" t="s">
        <v>1362</v>
      </c>
      <c r="J363" t="s">
        <v>29</v>
      </c>
      <c r="K363" t="s">
        <v>29</v>
      </c>
      <c r="L363" t="s">
        <v>29</v>
      </c>
      <c r="M363" t="s">
        <v>29</v>
      </c>
      <c r="N363" t="s">
        <v>29</v>
      </c>
      <c r="O363">
        <v>13.999140459055299</v>
      </c>
      <c r="P363" t="s">
        <v>29</v>
      </c>
      <c r="Q363" t="s">
        <v>29</v>
      </c>
      <c r="R363" t="s">
        <v>29</v>
      </c>
      <c r="S363">
        <v>12.5110283951598</v>
      </c>
      <c r="T363" t="s">
        <v>29</v>
      </c>
      <c r="U363" t="s">
        <v>29</v>
      </c>
      <c r="V363" t="s">
        <v>29</v>
      </c>
      <c r="W363" t="s">
        <v>29</v>
      </c>
      <c r="X363" t="s">
        <v>29</v>
      </c>
      <c r="Y363" t="s">
        <v>29</v>
      </c>
    </row>
    <row r="364" spans="1:25" x14ac:dyDescent="0.2">
      <c r="A364" t="s">
        <v>1363</v>
      </c>
      <c r="B364" t="s">
        <v>1364</v>
      </c>
      <c r="C364" t="s">
        <v>1365</v>
      </c>
      <c r="D364" t="s">
        <v>1366</v>
      </c>
      <c r="E364" t="s">
        <v>1364</v>
      </c>
      <c r="F364" t="s">
        <v>28</v>
      </c>
      <c r="G364" t="s">
        <v>1364</v>
      </c>
      <c r="H364" t="str">
        <f>"vha-4"</f>
        <v>vha-4</v>
      </c>
      <c r="I364" t="s">
        <v>1366</v>
      </c>
      <c r="J364">
        <v>14.664499006318</v>
      </c>
      <c r="K364">
        <v>14.5836080785701</v>
      </c>
      <c r="L364">
        <v>15.260969451973899</v>
      </c>
      <c r="M364">
        <v>14.9020243426655</v>
      </c>
      <c r="N364">
        <v>14.833345137652101</v>
      </c>
      <c r="O364">
        <v>14.7829125330165</v>
      </c>
      <c r="P364">
        <v>3.0684921573360699E-3</v>
      </c>
      <c r="Q364">
        <v>-0.48566718765171701</v>
      </c>
      <c r="R364">
        <v>0.49180417196638898</v>
      </c>
      <c r="S364">
        <v>14.708331594762701</v>
      </c>
      <c r="T364">
        <v>1.31960358039906E-2</v>
      </c>
      <c r="U364">
        <v>-7.15621070455094</v>
      </c>
      <c r="V364">
        <v>0.98961739943582605</v>
      </c>
      <c r="W364">
        <v>0.99434111017298998</v>
      </c>
      <c r="X364">
        <v>0</v>
      </c>
      <c r="Y364">
        <v>0</v>
      </c>
    </row>
    <row r="365" spans="1:25" x14ac:dyDescent="0.2">
      <c r="A365" t="s">
        <v>1367</v>
      </c>
      <c r="B365" t="s">
        <v>1368</v>
      </c>
      <c r="C365" t="s">
        <v>1369</v>
      </c>
      <c r="D365" t="s">
        <v>1370</v>
      </c>
      <c r="E365" t="s">
        <v>1368</v>
      </c>
      <c r="F365" t="s">
        <v>28</v>
      </c>
      <c r="G365" t="s">
        <v>1368</v>
      </c>
      <c r="H365" t="str">
        <f>"pxf-1"</f>
        <v>pxf-1</v>
      </c>
      <c r="I365" t="s">
        <v>1370</v>
      </c>
      <c r="J365">
        <v>12.122355848257399</v>
      </c>
      <c r="K365">
        <v>12.6580791645925</v>
      </c>
      <c r="L365" t="s">
        <v>29</v>
      </c>
      <c r="M365" t="s">
        <v>29</v>
      </c>
      <c r="N365" t="s">
        <v>29</v>
      </c>
      <c r="O365">
        <v>13.768790504053401</v>
      </c>
      <c r="P365">
        <v>1.37857299762846</v>
      </c>
      <c r="Q365">
        <v>0.419564657878225</v>
      </c>
      <c r="R365">
        <v>2.33758133737869</v>
      </c>
      <c r="S365">
        <v>12.8490879671174</v>
      </c>
      <c r="T365">
        <v>3.0853133370801902</v>
      </c>
      <c r="U365">
        <v>-2.93597994277355</v>
      </c>
      <c r="V365">
        <v>8.1246068622252698E-3</v>
      </c>
      <c r="W365">
        <v>3.92511744638981E-2</v>
      </c>
      <c r="X365">
        <v>1</v>
      </c>
      <c r="Y365">
        <v>1</v>
      </c>
    </row>
    <row r="366" spans="1:25" x14ac:dyDescent="0.2">
      <c r="A366" t="s">
        <v>1371</v>
      </c>
      <c r="B366" t="s">
        <v>1372</v>
      </c>
      <c r="C366" t="s">
        <v>1373</v>
      </c>
      <c r="D366" t="s">
        <v>1374</v>
      </c>
      <c r="E366" t="s">
        <v>1372</v>
      </c>
      <c r="F366" t="s">
        <v>28</v>
      </c>
      <c r="G366" t="s">
        <v>1372</v>
      </c>
      <c r="H366" t="str">
        <f>"arl-8"</f>
        <v>arl-8</v>
      </c>
      <c r="I366" t="s">
        <v>1374</v>
      </c>
      <c r="J366">
        <v>14.1750955673223</v>
      </c>
      <c r="K366">
        <v>14.021425695934299</v>
      </c>
      <c r="L366">
        <v>13.725781000373701</v>
      </c>
      <c r="M366" t="s">
        <v>29</v>
      </c>
      <c r="N366">
        <v>14.804577556694699</v>
      </c>
      <c r="O366">
        <v>14.331952226659499</v>
      </c>
      <c r="P366">
        <v>0.59416413713365102</v>
      </c>
      <c r="Q366">
        <v>-4.1170963992137398E-2</v>
      </c>
      <c r="R366">
        <v>1.2294992382594401</v>
      </c>
      <c r="S366">
        <v>14.0460806144466</v>
      </c>
      <c r="T366">
        <v>1.9740293161250799</v>
      </c>
      <c r="U366">
        <v>-5.2038491149118</v>
      </c>
      <c r="V366">
        <v>6.4959805258754E-2</v>
      </c>
      <c r="W366">
        <v>0.16362097957055399</v>
      </c>
      <c r="X366">
        <v>0</v>
      </c>
      <c r="Y366">
        <v>0</v>
      </c>
    </row>
    <row r="367" spans="1:25" x14ac:dyDescent="0.2">
      <c r="A367" t="s">
        <v>1375</v>
      </c>
      <c r="B367" t="s">
        <v>1376</v>
      </c>
      <c r="C367" t="s">
        <v>1377</v>
      </c>
      <c r="D367" t="s">
        <v>1378</v>
      </c>
      <c r="E367" t="s">
        <v>1376</v>
      </c>
      <c r="F367" t="s">
        <v>28</v>
      </c>
      <c r="G367" t="s">
        <v>1376</v>
      </c>
      <c r="H367" t="str">
        <f>"ucr-2.1"</f>
        <v>ucr-2.1</v>
      </c>
      <c r="I367" t="s">
        <v>1378</v>
      </c>
      <c r="J367">
        <v>15.8315709115665</v>
      </c>
      <c r="K367">
        <v>15.7627992676569</v>
      </c>
      <c r="L367">
        <v>15.486899568176</v>
      </c>
      <c r="M367" t="s">
        <v>29</v>
      </c>
      <c r="N367">
        <v>14.5903272726962</v>
      </c>
      <c r="O367">
        <v>15.053613221107</v>
      </c>
      <c r="P367">
        <v>-0.87178633556484897</v>
      </c>
      <c r="Q367">
        <v>-1.37450291982651</v>
      </c>
      <c r="R367">
        <v>-0.36906975130318997</v>
      </c>
      <c r="S367">
        <v>15.064694835441401</v>
      </c>
      <c r="T367">
        <v>-3.66047005331838</v>
      </c>
      <c r="U367">
        <v>-1.8733766098884801</v>
      </c>
      <c r="V367">
        <v>1.9541045042489099E-3</v>
      </c>
      <c r="W367">
        <v>1.43076139298721E-2</v>
      </c>
      <c r="X367">
        <v>0</v>
      </c>
      <c r="Y367">
        <v>0</v>
      </c>
    </row>
    <row r="368" spans="1:25" x14ac:dyDescent="0.2">
      <c r="A368" t="s">
        <v>1379</v>
      </c>
      <c r="B368" t="s">
        <v>1380</v>
      </c>
      <c r="C368" t="s">
        <v>1381</v>
      </c>
      <c r="D368" t="s">
        <v>1382</v>
      </c>
      <c r="E368" t="s">
        <v>1380</v>
      </c>
      <c r="F368" t="s">
        <v>28</v>
      </c>
      <c r="G368" t="s">
        <v>1380</v>
      </c>
      <c r="H368" t="str">
        <f>"tba-4"</f>
        <v>tba-4</v>
      </c>
      <c r="I368" t="s">
        <v>1382</v>
      </c>
      <c r="J368">
        <v>16.7839359582734</v>
      </c>
      <c r="K368">
        <v>16.341458863653699</v>
      </c>
      <c r="L368">
        <v>16.4464911975215</v>
      </c>
      <c r="M368">
        <v>16.404115535920599</v>
      </c>
      <c r="N368">
        <v>16.561917944553301</v>
      </c>
      <c r="O368">
        <v>16.298547571335899</v>
      </c>
      <c r="P368">
        <v>-0.102434989212924</v>
      </c>
      <c r="Q368">
        <v>-0.44666725040524702</v>
      </c>
      <c r="R368">
        <v>0.24179727197939899</v>
      </c>
      <c r="S368">
        <v>16.282160822231099</v>
      </c>
      <c r="T368">
        <v>-0.625445208170609</v>
      </c>
      <c r="U368">
        <v>-6.9532374171261102</v>
      </c>
      <c r="V368">
        <v>0.53957399896984004</v>
      </c>
      <c r="W368">
        <v>0.68714523794637605</v>
      </c>
      <c r="X368">
        <v>0</v>
      </c>
      <c r="Y368">
        <v>0</v>
      </c>
    </row>
    <row r="369" spans="1:25" x14ac:dyDescent="0.2">
      <c r="A369" t="s">
        <v>1383</v>
      </c>
      <c r="B369" t="s">
        <v>1384</v>
      </c>
      <c r="C369" t="s">
        <v>1385</v>
      </c>
      <c r="D369" t="s">
        <v>1386</v>
      </c>
      <c r="E369" t="s">
        <v>1384</v>
      </c>
      <c r="F369" t="s">
        <v>28</v>
      </c>
      <c r="G369" t="s">
        <v>1384</v>
      </c>
      <c r="H369" t="str">
        <f>"hpl-2"</f>
        <v>hpl-2</v>
      </c>
      <c r="I369" t="s">
        <v>1386</v>
      </c>
      <c r="J369" t="s">
        <v>29</v>
      </c>
      <c r="K369" t="s">
        <v>29</v>
      </c>
      <c r="L369" t="s">
        <v>29</v>
      </c>
      <c r="M369" t="s">
        <v>29</v>
      </c>
      <c r="N369" t="s">
        <v>29</v>
      </c>
      <c r="O369" t="s">
        <v>29</v>
      </c>
      <c r="P369" t="s">
        <v>29</v>
      </c>
      <c r="Q369" t="s">
        <v>29</v>
      </c>
      <c r="R369" t="s">
        <v>29</v>
      </c>
      <c r="S369">
        <v>11.1663667579577</v>
      </c>
      <c r="T369" t="s">
        <v>29</v>
      </c>
      <c r="U369" t="s">
        <v>29</v>
      </c>
      <c r="V369" t="s">
        <v>29</v>
      </c>
      <c r="W369" t="s">
        <v>29</v>
      </c>
      <c r="X369" t="s">
        <v>29</v>
      </c>
      <c r="Y369" t="s">
        <v>29</v>
      </c>
    </row>
    <row r="370" spans="1:25" x14ac:dyDescent="0.2">
      <c r="A370" t="s">
        <v>1387</v>
      </c>
      <c r="B370" t="s">
        <v>1388</v>
      </c>
      <c r="C370" t="s">
        <v>1389</v>
      </c>
      <c r="D370" t="s">
        <v>1390</v>
      </c>
      <c r="E370" t="s">
        <v>1388</v>
      </c>
      <c r="F370" t="s">
        <v>28</v>
      </c>
      <c r="G370" t="s">
        <v>1388</v>
      </c>
      <c r="H370" t="str">
        <f>"casc-3"</f>
        <v>casc-3</v>
      </c>
      <c r="I370" t="s">
        <v>1390</v>
      </c>
      <c r="J370">
        <v>14.841141108697199</v>
      </c>
      <c r="K370">
        <v>15.1435918346028</v>
      </c>
      <c r="L370">
        <v>15.3740581353696</v>
      </c>
      <c r="M370" t="s">
        <v>29</v>
      </c>
      <c r="N370">
        <v>13.8213256070848</v>
      </c>
      <c r="O370">
        <v>12.813039835840399</v>
      </c>
      <c r="P370">
        <v>-1.8024143047606001</v>
      </c>
      <c r="Q370">
        <v>-2.47334513408186</v>
      </c>
      <c r="R370">
        <v>-1.1314834754393399</v>
      </c>
      <c r="S370">
        <v>14.7122789775445</v>
      </c>
      <c r="T370">
        <v>-5.6705722784914201</v>
      </c>
      <c r="U370">
        <v>2.3652236241448601</v>
      </c>
      <c r="V370" s="2">
        <v>2.8294765890149899E-5</v>
      </c>
      <c r="W370">
        <v>6.5921753272863402E-4</v>
      </c>
      <c r="X370">
        <v>-1</v>
      </c>
      <c r="Y370">
        <v>-1</v>
      </c>
    </row>
    <row r="371" spans="1:25" x14ac:dyDescent="0.2">
      <c r="A371" t="s">
        <v>1391</v>
      </c>
      <c r="B371" t="s">
        <v>1392</v>
      </c>
      <c r="C371" t="s">
        <v>1393</v>
      </c>
      <c r="D371" t="s">
        <v>1394</v>
      </c>
      <c r="E371" t="s">
        <v>1392</v>
      </c>
      <c r="F371" t="s">
        <v>28</v>
      </c>
      <c r="G371" t="s">
        <v>1392</v>
      </c>
      <c r="H371" t="str">
        <f>"tpxl-1"</f>
        <v>tpxl-1</v>
      </c>
      <c r="I371" t="s">
        <v>1394</v>
      </c>
      <c r="J371">
        <v>12.213339452384099</v>
      </c>
      <c r="K371">
        <v>12.3314088027214</v>
      </c>
      <c r="L371">
        <v>12.761935878460299</v>
      </c>
      <c r="M371" t="s">
        <v>29</v>
      </c>
      <c r="N371" t="s">
        <v>29</v>
      </c>
      <c r="O371" t="s">
        <v>29</v>
      </c>
      <c r="P371" t="s">
        <v>29</v>
      </c>
      <c r="Q371" t="s">
        <v>29</v>
      </c>
      <c r="R371" t="s">
        <v>29</v>
      </c>
      <c r="S371">
        <v>13.1655678370981</v>
      </c>
      <c r="T371" t="s">
        <v>29</v>
      </c>
      <c r="U371" t="s">
        <v>29</v>
      </c>
      <c r="V371" t="s">
        <v>29</v>
      </c>
      <c r="W371" t="s">
        <v>29</v>
      </c>
      <c r="X371" t="s">
        <v>29</v>
      </c>
      <c r="Y371" t="s">
        <v>29</v>
      </c>
    </row>
    <row r="372" spans="1:25" x14ac:dyDescent="0.2">
      <c r="A372" t="s">
        <v>1395</v>
      </c>
      <c r="B372" t="s">
        <v>1396</v>
      </c>
      <c r="C372" t="s">
        <v>1397</v>
      </c>
      <c r="D372" t="s">
        <v>1398</v>
      </c>
      <c r="E372" t="s">
        <v>1396</v>
      </c>
      <c r="F372" t="s">
        <v>28</v>
      </c>
      <c r="G372" t="s">
        <v>1396</v>
      </c>
      <c r="H372" t="str">
        <f>"ile-1"</f>
        <v>ile-1</v>
      </c>
      <c r="I372" t="s">
        <v>1398</v>
      </c>
      <c r="J372">
        <v>12.023025862529</v>
      </c>
      <c r="K372">
        <v>11.900736900211401</v>
      </c>
      <c r="L372">
        <v>12.4857594113428</v>
      </c>
      <c r="M372" t="s">
        <v>29</v>
      </c>
      <c r="N372">
        <v>11.9018860472935</v>
      </c>
      <c r="O372">
        <v>11.3830635000883</v>
      </c>
      <c r="P372">
        <v>-0.49403261767019102</v>
      </c>
      <c r="Q372">
        <v>-1.24770169856395</v>
      </c>
      <c r="R372">
        <v>0.25963646322356398</v>
      </c>
      <c r="S372">
        <v>12.077261280396201</v>
      </c>
      <c r="T372">
        <v>-1.3836458275118999</v>
      </c>
      <c r="U372">
        <v>-6.0925645616844104</v>
      </c>
      <c r="V372">
        <v>0.184476687051876</v>
      </c>
      <c r="W372">
        <v>0.33893565881663301</v>
      </c>
      <c r="X372">
        <v>0</v>
      </c>
      <c r="Y372">
        <v>0</v>
      </c>
    </row>
    <row r="373" spans="1:25" x14ac:dyDescent="0.2">
      <c r="A373" t="s">
        <v>1399</v>
      </c>
      <c r="B373" t="s">
        <v>1400</v>
      </c>
      <c r="C373" t="s">
        <v>1401</v>
      </c>
      <c r="D373" t="s">
        <v>1225</v>
      </c>
      <c r="E373" t="s">
        <v>1400</v>
      </c>
      <c r="F373" t="s">
        <v>28</v>
      </c>
      <c r="G373" t="s">
        <v>1400</v>
      </c>
      <c r="H373" t="str">
        <f>"tufm-2"</f>
        <v>tufm-2</v>
      </c>
      <c r="I373" t="s">
        <v>1225</v>
      </c>
      <c r="J373">
        <v>14.6357255236224</v>
      </c>
      <c r="K373">
        <v>14.8003288754538</v>
      </c>
      <c r="L373">
        <v>14.7399041797799</v>
      </c>
      <c r="M373">
        <v>14.6975231959536</v>
      </c>
      <c r="N373">
        <v>13.871572458637599</v>
      </c>
      <c r="O373">
        <v>14.553233529704601</v>
      </c>
      <c r="P373">
        <v>-0.35120979818676201</v>
      </c>
      <c r="Q373">
        <v>-0.76525066780227702</v>
      </c>
      <c r="R373">
        <v>6.2831071428753701E-2</v>
      </c>
      <c r="S373">
        <v>14.6736801447587</v>
      </c>
      <c r="T373">
        <v>-1.7828545946421801</v>
      </c>
      <c r="U373">
        <v>-5.6216508584891596</v>
      </c>
      <c r="V373">
        <v>9.1582290228744298E-2</v>
      </c>
      <c r="W373">
        <v>0.20493015133189799</v>
      </c>
      <c r="X373">
        <v>0</v>
      </c>
      <c r="Y373">
        <v>0</v>
      </c>
    </row>
    <row r="374" spans="1:25" x14ac:dyDescent="0.2">
      <c r="A374" t="s">
        <v>1402</v>
      </c>
      <c r="B374" t="s">
        <v>1403</v>
      </c>
      <c r="C374" t="s">
        <v>1404</v>
      </c>
      <c r="D374" t="s">
        <v>1405</v>
      </c>
      <c r="E374" t="s">
        <v>1403</v>
      </c>
      <c r="F374" t="s">
        <v>28</v>
      </c>
      <c r="G374" t="s">
        <v>1403</v>
      </c>
      <c r="H374" t="str">
        <f>"sek-1"</f>
        <v>sek-1</v>
      </c>
      <c r="I374" t="s">
        <v>1405</v>
      </c>
      <c r="J374">
        <v>13.689178275342501</v>
      </c>
      <c r="K374">
        <v>13.611310699954601</v>
      </c>
      <c r="L374">
        <v>13.1715702642583</v>
      </c>
      <c r="M374" t="s">
        <v>29</v>
      </c>
      <c r="N374">
        <v>12.4226672793246</v>
      </c>
      <c r="O374">
        <v>12.8410103914579</v>
      </c>
      <c r="P374">
        <v>-0.85884757779390097</v>
      </c>
      <c r="Q374">
        <v>-1.7062594400241999</v>
      </c>
      <c r="R374">
        <v>-1.1435715563602501E-2</v>
      </c>
      <c r="S374">
        <v>13.056828997760899</v>
      </c>
      <c r="T374">
        <v>-2.1392993994832601</v>
      </c>
      <c r="U374">
        <v>-4.9186556241228203</v>
      </c>
      <c r="V374">
        <v>4.7310374174282299E-2</v>
      </c>
      <c r="W374">
        <v>0.13118834556698</v>
      </c>
      <c r="X374">
        <v>0</v>
      </c>
      <c r="Y374">
        <v>0</v>
      </c>
    </row>
    <row r="375" spans="1:25" x14ac:dyDescent="0.2">
      <c r="A375" t="s">
        <v>1406</v>
      </c>
      <c r="B375" t="s">
        <v>1407</v>
      </c>
      <c r="C375" t="s">
        <v>1408</v>
      </c>
      <c r="D375" t="s">
        <v>1409</v>
      </c>
      <c r="E375" t="s">
        <v>1407</v>
      </c>
      <c r="F375" t="s">
        <v>28</v>
      </c>
      <c r="G375" t="s">
        <v>1407</v>
      </c>
      <c r="H375" t="str">
        <f>"M03C11.8"</f>
        <v>M03C11.8</v>
      </c>
      <c r="I375" t="s">
        <v>1409</v>
      </c>
      <c r="J375">
        <v>12.7427490688098</v>
      </c>
      <c r="K375">
        <v>11.8808438998143</v>
      </c>
      <c r="L375">
        <v>12.4386699721928</v>
      </c>
      <c r="M375" t="s">
        <v>29</v>
      </c>
      <c r="N375" t="s">
        <v>29</v>
      </c>
      <c r="O375">
        <v>12.108408513996</v>
      </c>
      <c r="P375">
        <v>-0.24567913294296201</v>
      </c>
      <c r="Q375">
        <v>-1.0857995728463301</v>
      </c>
      <c r="R375">
        <v>0.59444130696040698</v>
      </c>
      <c r="S375">
        <v>12.719894150706301</v>
      </c>
      <c r="T375">
        <v>-0.62026353424934</v>
      </c>
      <c r="U375">
        <v>-6.61309354710977</v>
      </c>
      <c r="V375">
        <v>0.54387539468468304</v>
      </c>
      <c r="W375">
        <v>0.69042422105927403</v>
      </c>
      <c r="X375">
        <v>0</v>
      </c>
      <c r="Y375">
        <v>0</v>
      </c>
    </row>
    <row r="376" spans="1:25" x14ac:dyDescent="0.2">
      <c r="A376" t="s">
        <v>1410</v>
      </c>
      <c r="B376" t="s">
        <v>1411</v>
      </c>
      <c r="C376" t="s">
        <v>1412</v>
      </c>
      <c r="D376" t="s">
        <v>1413</v>
      </c>
      <c r="E376" t="s">
        <v>1411</v>
      </c>
      <c r="F376" t="s">
        <v>28</v>
      </c>
      <c r="G376" t="s">
        <v>1411</v>
      </c>
      <c r="H376" t="str">
        <f>"col-117"</f>
        <v>col-117</v>
      </c>
      <c r="I376" t="s">
        <v>1413</v>
      </c>
      <c r="J376">
        <v>11.165066323230899</v>
      </c>
      <c r="K376">
        <v>10.917623638670801</v>
      </c>
      <c r="L376">
        <v>10.682630218995101</v>
      </c>
      <c r="M376" t="s">
        <v>29</v>
      </c>
      <c r="N376" t="s">
        <v>29</v>
      </c>
      <c r="O376">
        <v>10.317069377528499</v>
      </c>
      <c r="P376">
        <v>-0.60470401610373004</v>
      </c>
      <c r="Q376">
        <v>-1.6829875731647601</v>
      </c>
      <c r="R376">
        <v>0.47357954095730098</v>
      </c>
      <c r="S376">
        <v>10.8037178777598</v>
      </c>
      <c r="T376">
        <v>-1.2357697602104101</v>
      </c>
      <c r="U376">
        <v>-6.0424085023402796</v>
      </c>
      <c r="V376">
        <v>0.24252595324183199</v>
      </c>
      <c r="W376">
        <v>0.40841370525924398</v>
      </c>
      <c r="X376">
        <v>0</v>
      </c>
      <c r="Y376">
        <v>0</v>
      </c>
    </row>
    <row r="377" spans="1:25" x14ac:dyDescent="0.2">
      <c r="A377" t="s">
        <v>1414</v>
      </c>
      <c r="B377" t="s">
        <v>1415</v>
      </c>
      <c r="C377" t="s">
        <v>1416</v>
      </c>
      <c r="D377" t="s">
        <v>1210</v>
      </c>
      <c r="E377" t="s">
        <v>1415</v>
      </c>
      <c r="F377" t="s">
        <v>28</v>
      </c>
      <c r="G377" t="s">
        <v>1415</v>
      </c>
      <c r="H377" t="str">
        <f>"fmo-4"</f>
        <v>fmo-4</v>
      </c>
      <c r="I377" t="s">
        <v>1210</v>
      </c>
      <c r="J377">
        <v>13.854025648151399</v>
      </c>
      <c r="K377">
        <v>13.8422529209471</v>
      </c>
      <c r="L377">
        <v>14.2291823154457</v>
      </c>
      <c r="M377">
        <v>13.4400199474763</v>
      </c>
      <c r="N377">
        <v>13.3726337589697</v>
      </c>
      <c r="O377">
        <v>14.0019008275726</v>
      </c>
      <c r="P377">
        <v>-0.37030211684186998</v>
      </c>
      <c r="Q377">
        <v>-0.77287661117057904</v>
      </c>
      <c r="R377">
        <v>3.2272377486838998E-2</v>
      </c>
      <c r="S377">
        <v>14.0205156370581</v>
      </c>
      <c r="T377">
        <v>-1.9333142488347099</v>
      </c>
      <c r="U377">
        <v>-5.3760110030817199</v>
      </c>
      <c r="V377">
        <v>6.9177627103643599E-2</v>
      </c>
      <c r="W377">
        <v>0.16918379010326801</v>
      </c>
      <c r="X377">
        <v>0</v>
      </c>
      <c r="Y377">
        <v>0</v>
      </c>
    </row>
    <row r="378" spans="1:25" x14ac:dyDescent="0.2">
      <c r="A378" t="s">
        <v>1417</v>
      </c>
      <c r="B378" t="s">
        <v>1418</v>
      </c>
      <c r="C378" t="s">
        <v>1419</v>
      </c>
      <c r="D378" t="s">
        <v>531</v>
      </c>
      <c r="E378" t="s">
        <v>1418</v>
      </c>
      <c r="F378" t="s">
        <v>28</v>
      </c>
      <c r="G378" t="s">
        <v>1418</v>
      </c>
      <c r="H378" t="str">
        <f>"anat-1"</f>
        <v>anat-1</v>
      </c>
      <c r="I378" t="s">
        <v>531</v>
      </c>
      <c r="J378">
        <v>11.8299060203883</v>
      </c>
      <c r="K378" t="s">
        <v>29</v>
      </c>
      <c r="L378">
        <v>11.985359745473399</v>
      </c>
      <c r="M378" t="s">
        <v>29</v>
      </c>
      <c r="N378" t="s">
        <v>29</v>
      </c>
      <c r="O378" t="s">
        <v>29</v>
      </c>
      <c r="P378" t="s">
        <v>29</v>
      </c>
      <c r="Q378" t="s">
        <v>29</v>
      </c>
      <c r="R378" t="s">
        <v>29</v>
      </c>
      <c r="S378">
        <v>11.870223537362101</v>
      </c>
      <c r="T378" t="s">
        <v>29</v>
      </c>
      <c r="U378" t="s">
        <v>29</v>
      </c>
      <c r="V378" t="s">
        <v>29</v>
      </c>
      <c r="W378" t="s">
        <v>29</v>
      </c>
      <c r="X378" t="s">
        <v>29</v>
      </c>
      <c r="Y378" t="s">
        <v>29</v>
      </c>
    </row>
    <row r="379" spans="1:25" x14ac:dyDescent="0.2">
      <c r="A379" t="s">
        <v>1420</v>
      </c>
      <c r="B379" t="s">
        <v>1421</v>
      </c>
      <c r="C379" t="s">
        <v>1422</v>
      </c>
      <c r="D379" t="s">
        <v>1423</v>
      </c>
      <c r="E379" t="s">
        <v>1421</v>
      </c>
      <c r="F379" t="s">
        <v>28</v>
      </c>
      <c r="G379" t="s">
        <v>1421</v>
      </c>
      <c r="H379" t="str">
        <f>"ret-1"</f>
        <v>ret-1</v>
      </c>
      <c r="I379" t="s">
        <v>1423</v>
      </c>
      <c r="J379" t="s">
        <v>29</v>
      </c>
      <c r="K379" t="s">
        <v>29</v>
      </c>
      <c r="L379" t="s">
        <v>29</v>
      </c>
      <c r="M379" t="s">
        <v>29</v>
      </c>
      <c r="N379">
        <v>13.224421266879901</v>
      </c>
      <c r="O379">
        <v>13.455477405661499</v>
      </c>
      <c r="P379" t="s">
        <v>29</v>
      </c>
      <c r="Q379" t="s">
        <v>29</v>
      </c>
      <c r="R379" t="s">
        <v>29</v>
      </c>
      <c r="S379">
        <v>12.389539178109599</v>
      </c>
      <c r="T379" t="s">
        <v>29</v>
      </c>
      <c r="U379" t="s">
        <v>29</v>
      </c>
      <c r="V379" t="s">
        <v>29</v>
      </c>
      <c r="W379" t="s">
        <v>29</v>
      </c>
      <c r="X379" t="s">
        <v>29</v>
      </c>
      <c r="Y379" t="s">
        <v>29</v>
      </c>
    </row>
    <row r="380" spans="1:25" x14ac:dyDescent="0.2">
      <c r="A380" t="s">
        <v>1424</v>
      </c>
      <c r="B380" t="s">
        <v>1425</v>
      </c>
      <c r="C380" t="s">
        <v>1426</v>
      </c>
      <c r="D380" t="s">
        <v>1427</v>
      </c>
      <c r="E380" t="s">
        <v>1425</v>
      </c>
      <c r="F380" t="s">
        <v>28</v>
      </c>
      <c r="G380" t="s">
        <v>1425</v>
      </c>
      <c r="H380" t="str">
        <f>"drh-1"</f>
        <v>drh-1</v>
      </c>
      <c r="I380" t="s">
        <v>1427</v>
      </c>
      <c r="J380">
        <v>11.776849267092199</v>
      </c>
      <c r="K380">
        <v>12.036673325118</v>
      </c>
      <c r="L380">
        <v>12.265249490777901</v>
      </c>
      <c r="M380" t="s">
        <v>29</v>
      </c>
      <c r="N380" t="s">
        <v>29</v>
      </c>
      <c r="O380">
        <v>12.0323205302972</v>
      </c>
      <c r="P380">
        <v>6.0631693012336303E-3</v>
      </c>
      <c r="Q380">
        <v>-0.91959687276095903</v>
      </c>
      <c r="R380">
        <v>0.93172321136342595</v>
      </c>
      <c r="S380">
        <v>12.296988620906999</v>
      </c>
      <c r="T380">
        <v>1.38930534968109E-2</v>
      </c>
      <c r="U380">
        <v>-6.8125992390941699</v>
      </c>
      <c r="V380">
        <v>0.98908819100835099</v>
      </c>
      <c r="W380">
        <v>0.99414832841119005</v>
      </c>
      <c r="X380">
        <v>0</v>
      </c>
      <c r="Y380">
        <v>0</v>
      </c>
    </row>
    <row r="381" spans="1:25" x14ac:dyDescent="0.2">
      <c r="A381" t="s">
        <v>1428</v>
      </c>
      <c r="B381" t="s">
        <v>1429</v>
      </c>
      <c r="C381" t="s">
        <v>1430</v>
      </c>
      <c r="D381" t="s">
        <v>1431</v>
      </c>
      <c r="E381" t="s">
        <v>1429</v>
      </c>
      <c r="F381" t="s">
        <v>28</v>
      </c>
      <c r="G381" t="s">
        <v>1429</v>
      </c>
      <c r="H381" t="str">
        <f>"ent-1"</f>
        <v>ent-1</v>
      </c>
      <c r="I381" t="s">
        <v>1431</v>
      </c>
      <c r="J381">
        <v>15.439649010032401</v>
      </c>
      <c r="K381">
        <v>15.844948941655099</v>
      </c>
      <c r="L381">
        <v>15.3125010436222</v>
      </c>
      <c r="M381" t="s">
        <v>29</v>
      </c>
      <c r="N381">
        <v>15.690074086240701</v>
      </c>
      <c r="O381">
        <v>15.3873181056573</v>
      </c>
      <c r="P381">
        <v>6.3297641790906996E-3</v>
      </c>
      <c r="Q381">
        <v>-0.49652239239756302</v>
      </c>
      <c r="R381">
        <v>0.50918192075574498</v>
      </c>
      <c r="S381">
        <v>15.6664030666076</v>
      </c>
      <c r="T381">
        <v>2.6570347014376001E-2</v>
      </c>
      <c r="U381">
        <v>-7.0451039024816602</v>
      </c>
      <c r="V381">
        <v>0.97911374617108005</v>
      </c>
      <c r="W381">
        <v>0.98749083161060003</v>
      </c>
      <c r="X381">
        <v>0</v>
      </c>
      <c r="Y381">
        <v>0</v>
      </c>
    </row>
    <row r="382" spans="1:25" x14ac:dyDescent="0.2">
      <c r="A382" t="s">
        <v>1432</v>
      </c>
      <c r="B382" t="s">
        <v>1433</v>
      </c>
      <c r="C382" t="s">
        <v>14254</v>
      </c>
      <c r="D382" t="s">
        <v>1434</v>
      </c>
      <c r="E382" t="s">
        <v>1433</v>
      </c>
      <c r="F382" t="s">
        <v>28</v>
      </c>
      <c r="G382" t="s">
        <v>1433</v>
      </c>
      <c r="H382" t="str">
        <f>"Y43C5B.3"</f>
        <v>Y43C5B.3</v>
      </c>
      <c r="I382" t="s">
        <v>1434</v>
      </c>
      <c r="J382">
        <v>12.7239143258564</v>
      </c>
      <c r="K382">
        <v>11.9690120691975</v>
      </c>
      <c r="L382">
        <v>12.8123579444068</v>
      </c>
      <c r="M382" t="s">
        <v>29</v>
      </c>
      <c r="N382">
        <v>10.453957107104801</v>
      </c>
      <c r="O382" t="s">
        <v>29</v>
      </c>
      <c r="P382">
        <v>-2.0478043393821102</v>
      </c>
      <c r="Q382">
        <v>-2.6994160744493398</v>
      </c>
      <c r="R382">
        <v>-1.39619260431489</v>
      </c>
      <c r="S382">
        <v>12.363603511145</v>
      </c>
      <c r="T382">
        <v>-6.7025670584910202</v>
      </c>
      <c r="U382">
        <v>3.9576019059929601</v>
      </c>
      <c r="V382" s="2">
        <v>7.3334885297015698E-6</v>
      </c>
      <c r="W382">
        <v>2.2338574349161299E-4</v>
      </c>
      <c r="X382">
        <v>-1</v>
      </c>
      <c r="Y382">
        <v>-1</v>
      </c>
    </row>
    <row r="383" spans="1:25" x14ac:dyDescent="0.2">
      <c r="A383" t="s">
        <v>1435</v>
      </c>
      <c r="B383" t="s">
        <v>1436</v>
      </c>
      <c r="C383" t="s">
        <v>1437</v>
      </c>
      <c r="D383" t="s">
        <v>1438</v>
      </c>
      <c r="E383" t="s">
        <v>1436</v>
      </c>
      <c r="F383" t="s">
        <v>28</v>
      </c>
      <c r="G383" t="s">
        <v>1436</v>
      </c>
      <c r="H383" t="str">
        <f>"trip-4"</f>
        <v>trip-4</v>
      </c>
      <c r="I383" t="s">
        <v>1438</v>
      </c>
      <c r="J383">
        <v>11.8883673614296</v>
      </c>
      <c r="K383">
        <v>11.732611452059899</v>
      </c>
      <c r="L383">
        <v>12.052126725496301</v>
      </c>
      <c r="M383" t="s">
        <v>29</v>
      </c>
      <c r="N383" t="s">
        <v>29</v>
      </c>
      <c r="O383">
        <v>12.598785754082799</v>
      </c>
      <c r="P383">
        <v>0.70775057442085298</v>
      </c>
      <c r="Q383">
        <v>-0.75878147476824898</v>
      </c>
      <c r="R383">
        <v>2.1742826236099502</v>
      </c>
      <c r="S383">
        <v>12.042102944825</v>
      </c>
      <c r="T383">
        <v>1.02927228312455</v>
      </c>
      <c r="U383">
        <v>-6.2733319725372496</v>
      </c>
      <c r="V383">
        <v>0.31977662450250699</v>
      </c>
      <c r="W383">
        <v>0.49104481747892897</v>
      </c>
      <c r="X383">
        <v>0</v>
      </c>
      <c r="Y383">
        <v>0</v>
      </c>
    </row>
    <row r="384" spans="1:25" x14ac:dyDescent="0.2">
      <c r="A384" t="s">
        <v>1439</v>
      </c>
      <c r="B384" t="s">
        <v>1440</v>
      </c>
      <c r="C384" t="s">
        <v>1441</v>
      </c>
      <c r="D384" t="s">
        <v>1442</v>
      </c>
      <c r="E384" t="s">
        <v>1440</v>
      </c>
      <c r="F384" t="s">
        <v>28</v>
      </c>
      <c r="G384" t="s">
        <v>1440</v>
      </c>
      <c r="H384" t="str">
        <f>"air-1"</f>
        <v>air-1</v>
      </c>
      <c r="I384" t="s">
        <v>1442</v>
      </c>
      <c r="J384">
        <v>14.385894521904</v>
      </c>
      <c r="K384">
        <v>14.2076182420272</v>
      </c>
      <c r="L384">
        <v>14.4796169670757</v>
      </c>
      <c r="M384">
        <v>13.5127142147764</v>
      </c>
      <c r="N384">
        <v>13.1208978333375</v>
      </c>
      <c r="O384">
        <v>14.106446501494601</v>
      </c>
      <c r="P384">
        <v>-0.77769039379946603</v>
      </c>
      <c r="Q384">
        <v>-1.3257836324757999</v>
      </c>
      <c r="R384">
        <v>-0.229597155123135</v>
      </c>
      <c r="S384">
        <v>14.198762593371599</v>
      </c>
      <c r="T384">
        <v>-2.9822551897962</v>
      </c>
      <c r="U384">
        <v>-3.3725240203688802</v>
      </c>
      <c r="V384">
        <v>8.0248742624242607E-3</v>
      </c>
      <c r="W384">
        <v>3.896096285233E-2</v>
      </c>
      <c r="X384">
        <v>0</v>
      </c>
      <c r="Y384">
        <v>0</v>
      </c>
    </row>
    <row r="385" spans="1:25" x14ac:dyDescent="0.2">
      <c r="A385" t="s">
        <v>1443</v>
      </c>
      <c r="B385" t="s">
        <v>1444</v>
      </c>
      <c r="C385" t="s">
        <v>14255</v>
      </c>
      <c r="D385" t="s">
        <v>1445</v>
      </c>
      <c r="E385" t="s">
        <v>1444</v>
      </c>
      <c r="F385" t="s">
        <v>28</v>
      </c>
      <c r="G385" t="s">
        <v>1444</v>
      </c>
      <c r="H385" t="str">
        <f>"R05H10.3"</f>
        <v>R05H10.3</v>
      </c>
      <c r="I385" t="s">
        <v>1445</v>
      </c>
      <c r="J385">
        <v>12.024327459460499</v>
      </c>
      <c r="K385">
        <v>11.8919419835266</v>
      </c>
      <c r="L385">
        <v>11.8595293019156</v>
      </c>
      <c r="M385" t="s">
        <v>29</v>
      </c>
      <c r="N385">
        <v>11.4448027223285</v>
      </c>
      <c r="O385">
        <v>12.0251721224422</v>
      </c>
      <c r="P385">
        <v>-0.19027882591555201</v>
      </c>
      <c r="Q385">
        <v>-0.728994888915661</v>
      </c>
      <c r="R385">
        <v>0.34843723708455698</v>
      </c>
      <c r="S385">
        <v>12.278621467170399</v>
      </c>
      <c r="T385">
        <v>-0.74555648301112998</v>
      </c>
      <c r="U385">
        <v>-6.7580267494812496</v>
      </c>
      <c r="V385">
        <v>0.46618221690543898</v>
      </c>
      <c r="W385">
        <v>0.62875926463173004</v>
      </c>
      <c r="X385">
        <v>0</v>
      </c>
      <c r="Y385">
        <v>0</v>
      </c>
    </row>
    <row r="386" spans="1:25" x14ac:dyDescent="0.2">
      <c r="A386" t="s">
        <v>1446</v>
      </c>
      <c r="B386" t="s">
        <v>1447</v>
      </c>
      <c r="C386" t="s">
        <v>14256</v>
      </c>
      <c r="D386" t="s">
        <v>1281</v>
      </c>
      <c r="E386" t="s">
        <v>1447</v>
      </c>
      <c r="F386" t="s">
        <v>28</v>
      </c>
      <c r="G386" t="s">
        <v>1447</v>
      </c>
      <c r="H386" t="str">
        <f>"ZK1321.4"</f>
        <v>ZK1321.4</v>
      </c>
      <c r="I386" t="s">
        <v>1281</v>
      </c>
      <c r="J386">
        <v>13.0220844906886</v>
      </c>
      <c r="K386" t="s">
        <v>29</v>
      </c>
      <c r="L386">
        <v>12.979926796930201</v>
      </c>
      <c r="M386" t="s">
        <v>29</v>
      </c>
      <c r="N386">
        <v>14.0255212383677</v>
      </c>
      <c r="O386">
        <v>13.536307568315699</v>
      </c>
      <c r="P386">
        <v>0.77990875953234695</v>
      </c>
      <c r="Q386">
        <v>-0.18447411788531301</v>
      </c>
      <c r="R386">
        <v>1.7442916369500101</v>
      </c>
      <c r="S386">
        <v>13.574205664277001</v>
      </c>
      <c r="T386">
        <v>1.7153148089667001</v>
      </c>
      <c r="U386">
        <v>-5.5343107431737097</v>
      </c>
      <c r="V386">
        <v>0.10571220127319</v>
      </c>
      <c r="W386">
        <v>0.22572475992969701</v>
      </c>
      <c r="X386">
        <v>0</v>
      </c>
      <c r="Y386">
        <v>0</v>
      </c>
    </row>
    <row r="387" spans="1:25" x14ac:dyDescent="0.2">
      <c r="A387" t="s">
        <v>1448</v>
      </c>
      <c r="B387" t="s">
        <v>1449</v>
      </c>
      <c r="C387" t="s">
        <v>1450</v>
      </c>
      <c r="D387" t="s">
        <v>1451</v>
      </c>
      <c r="E387" t="s">
        <v>1449</v>
      </c>
      <c r="F387" t="s">
        <v>28</v>
      </c>
      <c r="G387" t="s">
        <v>1449</v>
      </c>
      <c r="H387" t="str">
        <f>"nrfl-1"</f>
        <v>nrfl-1</v>
      </c>
      <c r="I387" t="s">
        <v>1451</v>
      </c>
      <c r="J387" t="s">
        <v>29</v>
      </c>
      <c r="K387">
        <v>11.0680092289558</v>
      </c>
      <c r="L387">
        <v>11.726289515645799</v>
      </c>
      <c r="M387" t="s">
        <v>29</v>
      </c>
      <c r="N387">
        <v>12.4183630871575</v>
      </c>
      <c r="O387">
        <v>11.9716682646203</v>
      </c>
      <c r="P387">
        <v>0.79786630358808897</v>
      </c>
      <c r="Q387">
        <v>-0.103344895903214</v>
      </c>
      <c r="R387">
        <v>1.6990775030793901</v>
      </c>
      <c r="S387">
        <v>11.7624026927577</v>
      </c>
      <c r="T387">
        <v>1.8778161658400601</v>
      </c>
      <c r="U387">
        <v>-5.2792064676602104</v>
      </c>
      <c r="V387">
        <v>7.8879469237252794E-2</v>
      </c>
      <c r="W387">
        <v>0.18552098630661101</v>
      </c>
      <c r="X387">
        <v>0</v>
      </c>
      <c r="Y387">
        <v>0</v>
      </c>
    </row>
    <row r="388" spans="1:25" x14ac:dyDescent="0.2">
      <c r="A388" t="s">
        <v>1452</v>
      </c>
      <c r="B388" t="s">
        <v>1453</v>
      </c>
      <c r="C388" t="s">
        <v>14180</v>
      </c>
      <c r="D388" t="s">
        <v>1454</v>
      </c>
      <c r="E388" t="s">
        <v>1453</v>
      </c>
      <c r="F388" t="s">
        <v>28</v>
      </c>
      <c r="G388" t="s">
        <v>1453</v>
      </c>
      <c r="H388" t="str">
        <f>"F36A2.3"</f>
        <v>F36A2.3</v>
      </c>
      <c r="I388" t="s">
        <v>1454</v>
      </c>
      <c r="J388">
        <v>12.8446897951167</v>
      </c>
      <c r="K388">
        <v>11.5880551726987</v>
      </c>
      <c r="L388">
        <v>12.0966588820519</v>
      </c>
      <c r="M388" t="s">
        <v>29</v>
      </c>
      <c r="N388">
        <v>13.8076087955013</v>
      </c>
      <c r="O388">
        <v>14.0418116448747</v>
      </c>
      <c r="P388">
        <v>1.74824227023223</v>
      </c>
      <c r="Q388">
        <v>0.95484094436637601</v>
      </c>
      <c r="R388">
        <v>2.5416435960980799</v>
      </c>
      <c r="S388">
        <v>12.9464485009961</v>
      </c>
      <c r="T388">
        <v>4.6511324595985997</v>
      </c>
      <c r="U388">
        <v>0.24571934917773899</v>
      </c>
      <c r="V388">
        <v>2.3231096117643101E-4</v>
      </c>
      <c r="W388">
        <v>3.12884497297175E-3</v>
      </c>
      <c r="X388">
        <v>1</v>
      </c>
      <c r="Y388">
        <v>1</v>
      </c>
    </row>
    <row r="389" spans="1:25" x14ac:dyDescent="0.2">
      <c r="A389" t="s">
        <v>1455</v>
      </c>
      <c r="B389" t="s">
        <v>1456</v>
      </c>
      <c r="C389" t="s">
        <v>1457</v>
      </c>
      <c r="D389" t="s">
        <v>1458</v>
      </c>
      <c r="E389" t="s">
        <v>1456</v>
      </c>
      <c r="F389" t="s">
        <v>28</v>
      </c>
      <c r="G389" t="s">
        <v>1456</v>
      </c>
      <c r="H389" t="str">
        <f>"pigb-1"</f>
        <v>pigb-1</v>
      </c>
      <c r="I389" t="s">
        <v>1458</v>
      </c>
      <c r="J389" t="s">
        <v>29</v>
      </c>
      <c r="K389">
        <v>10.5868232466143</v>
      </c>
      <c r="L389" t="s">
        <v>29</v>
      </c>
      <c r="M389" t="s">
        <v>29</v>
      </c>
      <c r="N389" t="s">
        <v>29</v>
      </c>
      <c r="O389" t="s">
        <v>29</v>
      </c>
      <c r="P389" t="s">
        <v>29</v>
      </c>
      <c r="Q389" t="s">
        <v>29</v>
      </c>
      <c r="R389" t="s">
        <v>29</v>
      </c>
      <c r="S389">
        <v>12.6583070571115</v>
      </c>
      <c r="T389" t="s">
        <v>29</v>
      </c>
      <c r="U389" t="s">
        <v>29</v>
      </c>
      <c r="V389" t="s">
        <v>29</v>
      </c>
      <c r="W389" t="s">
        <v>29</v>
      </c>
      <c r="X389" t="s">
        <v>29</v>
      </c>
      <c r="Y389" t="s">
        <v>29</v>
      </c>
    </row>
    <row r="390" spans="1:25" x14ac:dyDescent="0.2">
      <c r="A390" t="s">
        <v>1459</v>
      </c>
      <c r="B390" t="s">
        <v>1460</v>
      </c>
      <c r="C390" t="s">
        <v>1461</v>
      </c>
      <c r="D390" t="s">
        <v>1462</v>
      </c>
      <c r="E390" t="s">
        <v>1460</v>
      </c>
      <c r="F390" t="s">
        <v>28</v>
      </c>
      <c r="G390" t="s">
        <v>1460</v>
      </c>
      <c r="H390" t="str">
        <f>"tim-1"</f>
        <v>tim-1</v>
      </c>
      <c r="I390" t="s">
        <v>1462</v>
      </c>
      <c r="J390" t="s">
        <v>29</v>
      </c>
      <c r="K390" t="s">
        <v>29</v>
      </c>
      <c r="L390" t="s">
        <v>29</v>
      </c>
      <c r="M390" t="s">
        <v>29</v>
      </c>
      <c r="N390" t="s">
        <v>29</v>
      </c>
      <c r="O390" t="s">
        <v>29</v>
      </c>
      <c r="P390" t="s">
        <v>29</v>
      </c>
      <c r="Q390" t="s">
        <v>29</v>
      </c>
      <c r="R390" t="s">
        <v>29</v>
      </c>
      <c r="S390">
        <v>10.729330988371</v>
      </c>
      <c r="T390" t="s">
        <v>29</v>
      </c>
      <c r="U390" t="s">
        <v>29</v>
      </c>
      <c r="V390" t="s">
        <v>29</v>
      </c>
      <c r="W390" t="s">
        <v>29</v>
      </c>
      <c r="X390" t="s">
        <v>29</v>
      </c>
      <c r="Y390" t="s">
        <v>29</v>
      </c>
    </row>
    <row r="391" spans="1:25" x14ac:dyDescent="0.2">
      <c r="A391" t="s">
        <v>1463</v>
      </c>
      <c r="B391" t="s">
        <v>1464</v>
      </c>
      <c r="C391" t="s">
        <v>1465</v>
      </c>
      <c r="D391" t="s">
        <v>412</v>
      </c>
      <c r="E391" t="s">
        <v>1464</v>
      </c>
      <c r="F391" t="s">
        <v>28</v>
      </c>
      <c r="G391" t="s">
        <v>1464</v>
      </c>
      <c r="H391" t="str">
        <f>"vab-19"</f>
        <v>vab-19</v>
      </c>
      <c r="I391" t="s">
        <v>412</v>
      </c>
      <c r="J391">
        <v>12.239535952204699</v>
      </c>
      <c r="K391">
        <v>12.772471172460801</v>
      </c>
      <c r="L391">
        <v>12.244312061193099</v>
      </c>
      <c r="M391" t="s">
        <v>29</v>
      </c>
      <c r="N391" t="s">
        <v>29</v>
      </c>
      <c r="O391">
        <v>11.4923537445656</v>
      </c>
      <c r="P391">
        <v>-0.92641931738727101</v>
      </c>
      <c r="Q391">
        <v>-1.8126739493667801</v>
      </c>
      <c r="R391">
        <v>-4.0164685407759401E-2</v>
      </c>
      <c r="S391">
        <v>12.8369998457626</v>
      </c>
      <c r="T391">
        <v>-2.2171680620954</v>
      </c>
      <c r="U391">
        <v>-4.56726984501916</v>
      </c>
      <c r="V391">
        <v>4.1544193982243703E-2</v>
      </c>
      <c r="W391">
        <v>0.120502696521331</v>
      </c>
      <c r="X391">
        <v>0</v>
      </c>
      <c r="Y391">
        <v>0</v>
      </c>
    </row>
    <row r="392" spans="1:25" x14ac:dyDescent="0.2">
      <c r="A392" t="s">
        <v>1466</v>
      </c>
      <c r="B392" t="s">
        <v>1467</v>
      </c>
      <c r="C392" t="s">
        <v>14257</v>
      </c>
      <c r="D392" t="s">
        <v>1468</v>
      </c>
      <c r="E392" t="s">
        <v>1467</v>
      </c>
      <c r="F392" t="s">
        <v>28</v>
      </c>
      <c r="G392" t="s">
        <v>1467</v>
      </c>
      <c r="H392" t="str">
        <f>"Y32F6A.5"</f>
        <v>Y32F6A.5</v>
      </c>
      <c r="I392" t="s">
        <v>1468</v>
      </c>
      <c r="J392" t="s">
        <v>29</v>
      </c>
      <c r="K392">
        <v>12.0357223262935</v>
      </c>
      <c r="L392">
        <v>12.6550830564662</v>
      </c>
      <c r="M392" t="s">
        <v>29</v>
      </c>
      <c r="N392" t="s">
        <v>29</v>
      </c>
      <c r="O392" t="s">
        <v>29</v>
      </c>
      <c r="P392" t="s">
        <v>29</v>
      </c>
      <c r="Q392" t="s">
        <v>29</v>
      </c>
      <c r="R392" t="s">
        <v>29</v>
      </c>
      <c r="S392">
        <v>12.871855525471799</v>
      </c>
      <c r="T392" t="s">
        <v>29</v>
      </c>
      <c r="U392" t="s">
        <v>29</v>
      </c>
      <c r="V392" t="s">
        <v>29</v>
      </c>
      <c r="W392" t="s">
        <v>29</v>
      </c>
      <c r="X392" t="s">
        <v>29</v>
      </c>
      <c r="Y392" t="s">
        <v>29</v>
      </c>
    </row>
    <row r="393" spans="1:25" x14ac:dyDescent="0.2">
      <c r="A393" t="s">
        <v>1469</v>
      </c>
      <c r="B393" t="s">
        <v>1470</v>
      </c>
      <c r="C393" t="s">
        <v>1471</v>
      </c>
      <c r="D393" t="s">
        <v>1472</v>
      </c>
      <c r="E393" t="s">
        <v>1470</v>
      </c>
      <c r="F393" t="s">
        <v>28</v>
      </c>
      <c r="G393" t="s">
        <v>1470</v>
      </c>
      <c r="H393" t="str">
        <f>"daf-22"</f>
        <v>daf-22</v>
      </c>
      <c r="I393" t="s">
        <v>1472</v>
      </c>
      <c r="J393">
        <v>13.5870087495341</v>
      </c>
      <c r="K393">
        <v>13.4481702251207</v>
      </c>
      <c r="L393">
        <v>13.4957307932799</v>
      </c>
      <c r="M393">
        <v>13.909727103579399</v>
      </c>
      <c r="N393">
        <v>14.640175692274701</v>
      </c>
      <c r="O393">
        <v>14.992381880864601</v>
      </c>
      <c r="P393">
        <v>1.0037916362613499</v>
      </c>
      <c r="Q393">
        <v>0.54188675064589498</v>
      </c>
      <c r="R393">
        <v>1.4656965218768001</v>
      </c>
      <c r="S393">
        <v>14.1515981058504</v>
      </c>
      <c r="T393">
        <v>4.5675523124978499</v>
      </c>
      <c r="U393">
        <v>7.9330334270776098E-2</v>
      </c>
      <c r="V393">
        <v>2.4200223363740901E-4</v>
      </c>
      <c r="W393">
        <v>3.1838418862921701E-3</v>
      </c>
      <c r="X393">
        <v>1</v>
      </c>
      <c r="Y393">
        <v>1</v>
      </c>
    </row>
    <row r="394" spans="1:25" x14ac:dyDescent="0.2">
      <c r="A394" t="s">
        <v>1473</v>
      </c>
      <c r="B394" t="s">
        <v>1474</v>
      </c>
      <c r="C394" t="s">
        <v>1475</v>
      </c>
      <c r="D394" t="s">
        <v>1210</v>
      </c>
      <c r="E394" t="s">
        <v>1474</v>
      </c>
      <c r="F394" t="s">
        <v>28</v>
      </c>
      <c r="G394" t="s">
        <v>1474</v>
      </c>
      <c r="H394" t="str">
        <f>"fmo-1"</f>
        <v>fmo-1</v>
      </c>
      <c r="I394" t="s">
        <v>1210</v>
      </c>
      <c r="J394">
        <v>13.0837806828212</v>
      </c>
      <c r="K394">
        <v>13.198611235504501</v>
      </c>
      <c r="L394">
        <v>13.072751042176399</v>
      </c>
      <c r="M394" t="s">
        <v>29</v>
      </c>
      <c r="N394">
        <v>11.9410700748395</v>
      </c>
      <c r="O394">
        <v>13.1287534999834</v>
      </c>
      <c r="P394">
        <v>-0.58346919942262199</v>
      </c>
      <c r="Q394">
        <v>-1.2129119687779999</v>
      </c>
      <c r="R394">
        <v>4.5973569932752603E-2</v>
      </c>
      <c r="S394">
        <v>12.8152911116051</v>
      </c>
      <c r="T394">
        <v>-1.9566434764915499</v>
      </c>
      <c r="U394">
        <v>-5.2330371763827799</v>
      </c>
      <c r="V394">
        <v>6.7125811161706697E-2</v>
      </c>
      <c r="W394">
        <v>0.16721873668093801</v>
      </c>
      <c r="X394">
        <v>0</v>
      </c>
      <c r="Y394">
        <v>0</v>
      </c>
    </row>
    <row r="395" spans="1:25" x14ac:dyDescent="0.2">
      <c r="A395" t="s">
        <v>1476</v>
      </c>
      <c r="B395" t="s">
        <v>1477</v>
      </c>
      <c r="C395" t="s">
        <v>1478</v>
      </c>
      <c r="D395" t="s">
        <v>1479</v>
      </c>
      <c r="E395" t="s">
        <v>1477</v>
      </c>
      <c r="F395" t="s">
        <v>28</v>
      </c>
      <c r="G395" t="s">
        <v>1477</v>
      </c>
      <c r="H395" t="str">
        <f>"aap-1"</f>
        <v>aap-1</v>
      </c>
      <c r="I395" t="s">
        <v>1479</v>
      </c>
      <c r="J395">
        <v>13.4741048843961</v>
      </c>
      <c r="K395">
        <v>13.510555409000901</v>
      </c>
      <c r="L395">
        <v>13.7532231442884</v>
      </c>
      <c r="M395" t="s">
        <v>29</v>
      </c>
      <c r="N395" t="s">
        <v>29</v>
      </c>
      <c r="O395">
        <v>13.768805818869399</v>
      </c>
      <c r="P395">
        <v>0.189511339640967</v>
      </c>
      <c r="Q395">
        <v>-0.47179496717281499</v>
      </c>
      <c r="R395">
        <v>0.850817646454749</v>
      </c>
      <c r="S395">
        <v>13.579673546988699</v>
      </c>
      <c r="T395">
        <v>0.60782990988573204</v>
      </c>
      <c r="U395">
        <v>-6.6209244766170201</v>
      </c>
      <c r="V395">
        <v>0.55188662157884805</v>
      </c>
      <c r="W395">
        <v>0.69593918433584301</v>
      </c>
      <c r="X395">
        <v>0</v>
      </c>
      <c r="Y395">
        <v>0</v>
      </c>
    </row>
    <row r="396" spans="1:25" x14ac:dyDescent="0.2">
      <c r="A396" t="s">
        <v>1480</v>
      </c>
      <c r="B396" t="s">
        <v>1481</v>
      </c>
      <c r="C396" t="s">
        <v>1482</v>
      </c>
      <c r="D396" t="s">
        <v>1483</v>
      </c>
      <c r="E396" t="s">
        <v>1481</v>
      </c>
      <c r="F396" t="s">
        <v>28</v>
      </c>
      <c r="G396" t="s">
        <v>1481</v>
      </c>
      <c r="H396" t="str">
        <f>"hmg-12"</f>
        <v>hmg-12</v>
      </c>
      <c r="I396" t="s">
        <v>1483</v>
      </c>
      <c r="J396">
        <v>13.4982163410856</v>
      </c>
      <c r="K396">
        <v>13.524481087845301</v>
      </c>
      <c r="L396">
        <v>13.899836407435499</v>
      </c>
      <c r="M396" t="s">
        <v>29</v>
      </c>
      <c r="N396" t="s">
        <v>29</v>
      </c>
      <c r="O396">
        <v>10.870123191697999</v>
      </c>
      <c r="P396">
        <v>-2.7707214204240902</v>
      </c>
      <c r="Q396">
        <v>-3.62805404817514</v>
      </c>
      <c r="R396">
        <v>-1.91338879267303</v>
      </c>
      <c r="S396">
        <v>13.1581080340681</v>
      </c>
      <c r="T396">
        <v>-6.8547724083373396</v>
      </c>
      <c r="U396">
        <v>4.5139802954216801</v>
      </c>
      <c r="V396" s="2">
        <v>4.0089983672637599E-6</v>
      </c>
      <c r="W396">
        <v>1.35799059635934E-4</v>
      </c>
      <c r="X396">
        <v>-1</v>
      </c>
      <c r="Y396">
        <v>-1</v>
      </c>
    </row>
    <row r="397" spans="1:25" x14ac:dyDescent="0.2">
      <c r="A397" t="s">
        <v>1484</v>
      </c>
      <c r="B397" t="s">
        <v>1485</v>
      </c>
      <c r="C397" t="s">
        <v>1486</v>
      </c>
      <c r="D397" t="s">
        <v>1487</v>
      </c>
      <c r="E397" t="s">
        <v>1485</v>
      </c>
      <c r="F397" t="s">
        <v>28</v>
      </c>
      <c r="G397" t="s">
        <v>1485</v>
      </c>
      <c r="H397" t="str">
        <f>"sur-6"</f>
        <v>sur-6</v>
      </c>
      <c r="I397" t="s">
        <v>1487</v>
      </c>
      <c r="J397" t="s">
        <v>29</v>
      </c>
      <c r="K397" t="s">
        <v>29</v>
      </c>
      <c r="L397" t="s">
        <v>29</v>
      </c>
      <c r="M397" t="s">
        <v>29</v>
      </c>
      <c r="N397" t="s">
        <v>29</v>
      </c>
      <c r="O397">
        <v>15.479367836142201</v>
      </c>
      <c r="P397" t="s">
        <v>29</v>
      </c>
      <c r="Q397" t="s">
        <v>29</v>
      </c>
      <c r="R397" t="s">
        <v>29</v>
      </c>
      <c r="S397">
        <v>14.8825116147817</v>
      </c>
      <c r="T397" t="s">
        <v>29</v>
      </c>
      <c r="U397" t="s">
        <v>29</v>
      </c>
      <c r="V397" t="s">
        <v>29</v>
      </c>
      <c r="W397" t="s">
        <v>29</v>
      </c>
      <c r="X397" t="s">
        <v>29</v>
      </c>
      <c r="Y397" t="s">
        <v>29</v>
      </c>
    </row>
    <row r="398" spans="1:25" x14ac:dyDescent="0.2">
      <c r="A398" t="s">
        <v>1488</v>
      </c>
      <c r="B398" t="s">
        <v>1489</v>
      </c>
      <c r="C398" t="s">
        <v>1490</v>
      </c>
      <c r="D398" t="s">
        <v>1491</v>
      </c>
      <c r="E398" t="s">
        <v>1489</v>
      </c>
      <c r="F398" t="s">
        <v>28</v>
      </c>
      <c r="G398" t="s">
        <v>1489</v>
      </c>
      <c r="H398" t="str">
        <f>"lin-35"</f>
        <v>lin-35</v>
      </c>
      <c r="I398" t="s">
        <v>1491</v>
      </c>
      <c r="J398">
        <v>14.2346106059177</v>
      </c>
      <c r="K398">
        <v>14.0431964930444</v>
      </c>
      <c r="L398">
        <v>13.7620929247867</v>
      </c>
      <c r="M398">
        <v>13.8959081922486</v>
      </c>
      <c r="N398">
        <v>13.1062385940863</v>
      </c>
      <c r="O398">
        <v>14.188180419533801</v>
      </c>
      <c r="P398">
        <v>-0.28319093929337502</v>
      </c>
      <c r="Q398">
        <v>-0.76535522491156704</v>
      </c>
      <c r="R398">
        <v>0.198973346324817</v>
      </c>
      <c r="S398">
        <v>13.9783432799431</v>
      </c>
      <c r="T398">
        <v>-1.23445944964594</v>
      </c>
      <c r="U398">
        <v>-6.3890007868854699</v>
      </c>
      <c r="V398">
        <v>0.232997259518989</v>
      </c>
      <c r="W398">
        <v>0.39782324669899299</v>
      </c>
      <c r="X398">
        <v>0</v>
      </c>
      <c r="Y398">
        <v>0</v>
      </c>
    </row>
    <row r="399" spans="1:25" x14ac:dyDescent="0.2">
      <c r="A399" t="s">
        <v>1492</v>
      </c>
      <c r="B399" t="s">
        <v>1493</v>
      </c>
      <c r="C399" t="s">
        <v>14258</v>
      </c>
      <c r="D399" t="s">
        <v>1494</v>
      </c>
      <c r="E399" t="s">
        <v>1493</v>
      </c>
      <c r="F399" t="s">
        <v>28</v>
      </c>
      <c r="G399" t="s">
        <v>1493</v>
      </c>
      <c r="H399" t="str">
        <f>"T01D3.6"</f>
        <v>T01D3.6</v>
      </c>
      <c r="I399" t="s">
        <v>1494</v>
      </c>
      <c r="J399">
        <v>11.993197467177801</v>
      </c>
      <c r="K399">
        <v>12.844255493079</v>
      </c>
      <c r="L399">
        <v>13.500465262969</v>
      </c>
      <c r="M399" t="s">
        <v>29</v>
      </c>
      <c r="N399">
        <v>13.857973093795801</v>
      </c>
      <c r="O399">
        <v>13.5684943485654</v>
      </c>
      <c r="P399">
        <v>0.933927646772027</v>
      </c>
      <c r="Q399">
        <v>0.10228869896443001</v>
      </c>
      <c r="R399">
        <v>1.76556659457962</v>
      </c>
      <c r="S399">
        <v>13.4624756435596</v>
      </c>
      <c r="T399">
        <v>2.37043704015435</v>
      </c>
      <c r="U399">
        <v>-4.4985989678115104</v>
      </c>
      <c r="V399">
        <v>2.9936821713159201E-2</v>
      </c>
      <c r="W399">
        <v>9.6630683010602597E-2</v>
      </c>
      <c r="X399">
        <v>0</v>
      </c>
      <c r="Y399">
        <v>0</v>
      </c>
    </row>
    <row r="400" spans="1:25" x14ac:dyDescent="0.2">
      <c r="A400" t="s">
        <v>1495</v>
      </c>
      <c r="B400" t="s">
        <v>1496</v>
      </c>
      <c r="C400" t="s">
        <v>1497</v>
      </c>
      <c r="D400" t="s">
        <v>1498</v>
      </c>
      <c r="E400" t="s">
        <v>1496</v>
      </c>
      <c r="F400" t="s">
        <v>28</v>
      </c>
      <c r="G400" t="s">
        <v>1496</v>
      </c>
      <c r="H400" t="str">
        <f>"ubr-5"</f>
        <v>ubr-5</v>
      </c>
      <c r="I400" t="s">
        <v>1498</v>
      </c>
      <c r="J400">
        <v>12.035750755586999</v>
      </c>
      <c r="K400">
        <v>11.766643347477601</v>
      </c>
      <c r="L400">
        <v>11.8762040043298</v>
      </c>
      <c r="M400" t="s">
        <v>29</v>
      </c>
      <c r="N400">
        <v>10.1587863616554</v>
      </c>
      <c r="O400">
        <v>12.5494536328211</v>
      </c>
      <c r="P400">
        <v>-0.53874603855985903</v>
      </c>
      <c r="Q400">
        <v>-1.52385828602339</v>
      </c>
      <c r="R400">
        <v>0.44636620890367201</v>
      </c>
      <c r="S400">
        <v>12.377505137599201</v>
      </c>
      <c r="T400">
        <v>-1.15437891172789</v>
      </c>
      <c r="U400">
        <v>-6.3714425304195101</v>
      </c>
      <c r="V400">
        <v>0.26441280113780702</v>
      </c>
      <c r="W400">
        <v>0.43122552570731498</v>
      </c>
      <c r="X400">
        <v>0</v>
      </c>
      <c r="Y400">
        <v>0</v>
      </c>
    </row>
    <row r="401" spans="1:25" x14ac:dyDescent="0.2">
      <c r="A401" t="s">
        <v>1499</v>
      </c>
      <c r="B401" t="s">
        <v>1500</v>
      </c>
      <c r="C401" t="s">
        <v>1501</v>
      </c>
      <c r="D401" t="s">
        <v>1502</v>
      </c>
      <c r="E401" t="s">
        <v>1500</v>
      </c>
      <c r="F401" t="s">
        <v>28</v>
      </c>
      <c r="G401" t="s">
        <v>1500</v>
      </c>
      <c r="H401" t="str">
        <f>"pmr-1"</f>
        <v>pmr-1</v>
      </c>
      <c r="I401" t="s">
        <v>1502</v>
      </c>
      <c r="J401">
        <v>12.8785200073946</v>
      </c>
      <c r="K401">
        <v>12.7260438067115</v>
      </c>
      <c r="L401">
        <v>12.7428876000522</v>
      </c>
      <c r="M401" t="s">
        <v>29</v>
      </c>
      <c r="N401" t="s">
        <v>29</v>
      </c>
      <c r="O401">
        <v>12.6913331303306</v>
      </c>
      <c r="P401">
        <v>-9.1150674388881497E-2</v>
      </c>
      <c r="Q401">
        <v>-0.78856647068486696</v>
      </c>
      <c r="R401">
        <v>0.60626512190710402</v>
      </c>
      <c r="S401">
        <v>12.6616158667481</v>
      </c>
      <c r="T401">
        <v>-0.27874668562615401</v>
      </c>
      <c r="U401">
        <v>-6.7718416603457099</v>
      </c>
      <c r="V401">
        <v>0.7842719477133</v>
      </c>
      <c r="W401">
        <v>0.86434159682539002</v>
      </c>
      <c r="X401">
        <v>0</v>
      </c>
      <c r="Y401">
        <v>0</v>
      </c>
    </row>
    <row r="402" spans="1:25" x14ac:dyDescent="0.2">
      <c r="A402" t="s">
        <v>1503</v>
      </c>
      <c r="B402" t="s">
        <v>1504</v>
      </c>
      <c r="C402" t="s">
        <v>1505</v>
      </c>
      <c r="D402" t="s">
        <v>1506</v>
      </c>
      <c r="E402" t="s">
        <v>1504</v>
      </c>
      <c r="F402" t="s">
        <v>28</v>
      </c>
      <c r="G402" t="s">
        <v>1504</v>
      </c>
      <c r="H402" t="str">
        <f>"nhx-4"</f>
        <v>nhx-4</v>
      </c>
      <c r="I402" t="s">
        <v>1506</v>
      </c>
      <c r="J402">
        <v>12.7455585266719</v>
      </c>
      <c r="K402">
        <v>13.0547192830104</v>
      </c>
      <c r="L402">
        <v>12.9481063737272</v>
      </c>
      <c r="M402" t="s">
        <v>29</v>
      </c>
      <c r="N402">
        <v>12.9752101069845</v>
      </c>
      <c r="O402">
        <v>13.3212131698542</v>
      </c>
      <c r="P402">
        <v>0.232083577282863</v>
      </c>
      <c r="Q402">
        <v>-0.27983322951826201</v>
      </c>
      <c r="R402">
        <v>0.74400038408398705</v>
      </c>
      <c r="S402">
        <v>13.0234722253991</v>
      </c>
      <c r="T402">
        <v>0.956962754105535</v>
      </c>
      <c r="U402">
        <v>-6.5767801613465604</v>
      </c>
      <c r="V402">
        <v>0.35208039074490299</v>
      </c>
      <c r="W402">
        <v>0.52192198768874798</v>
      </c>
      <c r="X402">
        <v>0</v>
      </c>
      <c r="Y402">
        <v>0</v>
      </c>
    </row>
    <row r="403" spans="1:25" x14ac:dyDescent="0.2">
      <c r="A403" t="s">
        <v>1507</v>
      </c>
      <c r="B403" t="s">
        <v>1508</v>
      </c>
      <c r="C403" t="s">
        <v>1509</v>
      </c>
      <c r="D403" t="s">
        <v>1510</v>
      </c>
      <c r="E403" t="s">
        <v>1508</v>
      </c>
      <c r="F403" t="s">
        <v>28</v>
      </c>
      <c r="G403" t="s">
        <v>1508</v>
      </c>
      <c r="H403" t="str">
        <f>"cey-4"</f>
        <v>cey-4</v>
      </c>
      <c r="I403" t="s">
        <v>1510</v>
      </c>
      <c r="J403">
        <v>18.349673019891998</v>
      </c>
      <c r="K403">
        <v>18.1781661866024</v>
      </c>
      <c r="L403">
        <v>17.9694937375954</v>
      </c>
      <c r="M403">
        <v>17.783101421544401</v>
      </c>
      <c r="N403">
        <v>18.1836134187681</v>
      </c>
      <c r="O403">
        <v>18.169176021852898</v>
      </c>
      <c r="P403">
        <v>-0.120480693974784</v>
      </c>
      <c r="Q403">
        <v>-0.59752678658785396</v>
      </c>
      <c r="R403">
        <v>0.35656539863828601</v>
      </c>
      <c r="S403">
        <v>17.504428554419999</v>
      </c>
      <c r="T403">
        <v>-0.53082287590163302</v>
      </c>
      <c r="U403">
        <v>-7.0095885727380098</v>
      </c>
      <c r="V403">
        <v>0.60206795725962003</v>
      </c>
      <c r="W403">
        <v>0.73408947871083996</v>
      </c>
      <c r="X403">
        <v>0</v>
      </c>
      <c r="Y403">
        <v>0</v>
      </c>
    </row>
    <row r="404" spans="1:25" x14ac:dyDescent="0.2">
      <c r="A404" t="s">
        <v>1511</v>
      </c>
      <c r="B404" t="s">
        <v>1512</v>
      </c>
      <c r="C404" t="s">
        <v>1513</v>
      </c>
      <c r="D404" t="s">
        <v>1514</v>
      </c>
      <c r="E404" t="s">
        <v>1512</v>
      </c>
      <c r="F404" t="s">
        <v>28</v>
      </c>
      <c r="G404" t="s">
        <v>1512</v>
      </c>
      <c r="H404" t="str">
        <f>"adbp-1"</f>
        <v>adbp-1</v>
      </c>
      <c r="I404" t="s">
        <v>1514</v>
      </c>
      <c r="J404" t="s">
        <v>29</v>
      </c>
      <c r="K404" t="s">
        <v>29</v>
      </c>
      <c r="L404" t="s">
        <v>29</v>
      </c>
      <c r="M404" t="s">
        <v>29</v>
      </c>
      <c r="N404" t="s">
        <v>29</v>
      </c>
      <c r="O404" t="s">
        <v>29</v>
      </c>
      <c r="P404" t="s">
        <v>29</v>
      </c>
      <c r="Q404" t="s">
        <v>29</v>
      </c>
      <c r="R404" t="s">
        <v>29</v>
      </c>
      <c r="S404">
        <v>10.884805813458</v>
      </c>
      <c r="T404" t="s">
        <v>29</v>
      </c>
      <c r="U404" t="s">
        <v>29</v>
      </c>
      <c r="V404" t="s">
        <v>29</v>
      </c>
      <c r="W404" t="s">
        <v>29</v>
      </c>
      <c r="X404" t="s">
        <v>29</v>
      </c>
      <c r="Y404" t="s">
        <v>29</v>
      </c>
    </row>
    <row r="405" spans="1:25" x14ac:dyDescent="0.2">
      <c r="A405" t="s">
        <v>1515</v>
      </c>
      <c r="B405" t="s">
        <v>1516</v>
      </c>
      <c r="C405" t="s">
        <v>14259</v>
      </c>
      <c r="D405" t="s">
        <v>1454</v>
      </c>
      <c r="E405" t="s">
        <v>1516</v>
      </c>
      <c r="F405" t="s">
        <v>28</v>
      </c>
      <c r="G405" t="s">
        <v>1516</v>
      </c>
      <c r="H405" t="str">
        <f>"VF13D12L.3"</f>
        <v>VF13D12L.3</v>
      </c>
      <c r="I405" t="s">
        <v>1454</v>
      </c>
      <c r="J405">
        <v>13.707022649868399</v>
      </c>
      <c r="K405" t="s">
        <v>29</v>
      </c>
      <c r="L405">
        <v>11.018879925232801</v>
      </c>
      <c r="M405" t="s">
        <v>29</v>
      </c>
      <c r="N405" t="s">
        <v>29</v>
      </c>
      <c r="O405">
        <v>14.2743669444107</v>
      </c>
      <c r="P405">
        <v>1.91141565686007</v>
      </c>
      <c r="Q405">
        <v>0.12610670566663301</v>
      </c>
      <c r="R405">
        <v>3.6967246080535099</v>
      </c>
      <c r="S405">
        <v>13.1679832164202</v>
      </c>
      <c r="T405">
        <v>2.2834071808013001</v>
      </c>
      <c r="U405">
        <v>-4.4061477482387401</v>
      </c>
      <c r="V405">
        <v>3.7515692065418903E-2</v>
      </c>
      <c r="W405">
        <v>0.11374356431768499</v>
      </c>
      <c r="X405">
        <v>1</v>
      </c>
      <c r="Y405">
        <v>0</v>
      </c>
    </row>
    <row r="406" spans="1:25" x14ac:dyDescent="0.2">
      <c r="A406" t="s">
        <v>1517</v>
      </c>
      <c r="B406" t="s">
        <v>1518</v>
      </c>
      <c r="C406" t="s">
        <v>1519</v>
      </c>
      <c r="D406" t="s">
        <v>1520</v>
      </c>
      <c r="E406" t="s">
        <v>1518</v>
      </c>
      <c r="F406" t="s">
        <v>28</v>
      </c>
      <c r="G406" t="s">
        <v>1518</v>
      </c>
      <c r="H406" t="str">
        <f>"ints-7"</f>
        <v>ints-7</v>
      </c>
      <c r="I406" t="s">
        <v>1520</v>
      </c>
      <c r="J406">
        <v>13.4402976980135</v>
      </c>
      <c r="K406">
        <v>13.470086855413999</v>
      </c>
      <c r="L406">
        <v>13.367818433837201</v>
      </c>
      <c r="M406">
        <v>14.274336794884601</v>
      </c>
      <c r="N406">
        <v>13.366480678600301</v>
      </c>
      <c r="O406">
        <v>13.106208290806601</v>
      </c>
      <c r="P406">
        <v>0.156274259008928</v>
      </c>
      <c r="Q406">
        <v>-0.48925444409520202</v>
      </c>
      <c r="R406">
        <v>0.80180296211305802</v>
      </c>
      <c r="S406">
        <v>13.208834925681201</v>
      </c>
      <c r="T406">
        <v>0.50882026962499005</v>
      </c>
      <c r="U406">
        <v>-7.0214134273572499</v>
      </c>
      <c r="V406">
        <v>0.6170942444195</v>
      </c>
      <c r="W406">
        <v>0.74477621677511896</v>
      </c>
      <c r="X406">
        <v>0</v>
      </c>
      <c r="Y406">
        <v>0</v>
      </c>
    </row>
    <row r="407" spans="1:25" x14ac:dyDescent="0.2">
      <c r="A407" t="s">
        <v>1521</v>
      </c>
      <c r="B407" t="s">
        <v>1522</v>
      </c>
      <c r="C407" t="s">
        <v>1523</v>
      </c>
      <c r="D407" t="s">
        <v>73</v>
      </c>
      <c r="E407" t="s">
        <v>1522</v>
      </c>
      <c r="F407" t="s">
        <v>28</v>
      </c>
      <c r="G407" t="s">
        <v>1522</v>
      </c>
      <c r="H407" t="str">
        <f>"fbxa-101"</f>
        <v>fbxa-101</v>
      </c>
      <c r="I407" t="s">
        <v>73</v>
      </c>
      <c r="J407">
        <v>13.088669418382599</v>
      </c>
      <c r="K407">
        <v>13.1071617400493</v>
      </c>
      <c r="L407">
        <v>12.966896428369299</v>
      </c>
      <c r="M407" t="s">
        <v>29</v>
      </c>
      <c r="N407" t="s">
        <v>29</v>
      </c>
      <c r="O407">
        <v>10.5656366660678</v>
      </c>
      <c r="P407">
        <v>-2.48860586286593</v>
      </c>
      <c r="Q407">
        <v>-3.54985408287639</v>
      </c>
      <c r="R407">
        <v>-1.42735764285546</v>
      </c>
      <c r="S407">
        <v>12.736448220927899</v>
      </c>
      <c r="T407">
        <v>-5.0012751800885704</v>
      </c>
      <c r="U407">
        <v>0.863290521869442</v>
      </c>
      <c r="V407">
        <v>1.6130804531086301E-4</v>
      </c>
      <c r="W407">
        <v>2.4503856161397501E-3</v>
      </c>
      <c r="X407">
        <v>-1</v>
      </c>
      <c r="Y407">
        <v>-1</v>
      </c>
    </row>
    <row r="408" spans="1:25" x14ac:dyDescent="0.2">
      <c r="A408" t="s">
        <v>1524</v>
      </c>
      <c r="B408" t="s">
        <v>1525</v>
      </c>
      <c r="C408" t="s">
        <v>1526</v>
      </c>
      <c r="D408" t="s">
        <v>1527</v>
      </c>
      <c r="E408" t="s">
        <v>1525</v>
      </c>
      <c r="F408" t="s">
        <v>28</v>
      </c>
      <c r="G408" t="s">
        <v>1525</v>
      </c>
      <c r="H408" t="str">
        <f>"piki-1"</f>
        <v>piki-1</v>
      </c>
      <c r="I408" t="s">
        <v>1527</v>
      </c>
      <c r="J408" t="s">
        <v>29</v>
      </c>
      <c r="K408" t="s">
        <v>29</v>
      </c>
      <c r="L408">
        <v>10.3200184053863</v>
      </c>
      <c r="M408" t="s">
        <v>29</v>
      </c>
      <c r="N408" t="s">
        <v>29</v>
      </c>
      <c r="O408">
        <v>12.2766684073704</v>
      </c>
      <c r="P408">
        <v>1.95665000198411</v>
      </c>
      <c r="Q408">
        <v>0.72972314649664605</v>
      </c>
      <c r="R408">
        <v>3.1835768574715799</v>
      </c>
      <c r="S408">
        <v>11.099427594828001</v>
      </c>
      <c r="T408">
        <v>3.5584540773115898</v>
      </c>
      <c r="U408">
        <v>-2.24578759634199</v>
      </c>
      <c r="V408">
        <v>5.2808630514659298E-3</v>
      </c>
      <c r="W408">
        <v>2.9356637194350901E-2</v>
      </c>
      <c r="X408">
        <v>1</v>
      </c>
      <c r="Y408">
        <v>1</v>
      </c>
    </row>
    <row r="409" spans="1:25" x14ac:dyDescent="0.2">
      <c r="A409" t="s">
        <v>1528</v>
      </c>
      <c r="B409" t="s">
        <v>1529</v>
      </c>
      <c r="C409" t="s">
        <v>1530</v>
      </c>
      <c r="D409" t="s">
        <v>1531</v>
      </c>
      <c r="E409" t="s">
        <v>1529</v>
      </c>
      <c r="F409" t="s">
        <v>28</v>
      </c>
      <c r="G409" t="s">
        <v>1529</v>
      </c>
      <c r="H409" t="str">
        <f>"wars-1"</f>
        <v>wars-1</v>
      </c>
      <c r="I409" t="s">
        <v>1531</v>
      </c>
      <c r="J409">
        <v>14.2552026979531</v>
      </c>
      <c r="K409">
        <v>14.135891331913999</v>
      </c>
      <c r="L409">
        <v>14.3832734856983</v>
      </c>
      <c r="M409">
        <v>14.8036926958116</v>
      </c>
      <c r="N409">
        <v>15.075327425255701</v>
      </c>
      <c r="O409">
        <v>14.8674089616283</v>
      </c>
      <c r="P409">
        <v>0.65735385571008997</v>
      </c>
      <c r="Q409">
        <v>0.20444616572332699</v>
      </c>
      <c r="R409">
        <v>1.1102615456968501</v>
      </c>
      <c r="S409">
        <v>14.4855464457926</v>
      </c>
      <c r="T409">
        <v>3.0505772917692999</v>
      </c>
      <c r="U409">
        <v>-3.2295640534683998</v>
      </c>
      <c r="V409">
        <v>6.9179586350172897E-3</v>
      </c>
      <c r="W409">
        <v>3.5089886570388903E-2</v>
      </c>
      <c r="X409">
        <v>0</v>
      </c>
      <c r="Y409">
        <v>0</v>
      </c>
    </row>
    <row r="410" spans="1:25" x14ac:dyDescent="0.2">
      <c r="A410" t="s">
        <v>1532</v>
      </c>
      <c r="B410" t="s">
        <v>1533</v>
      </c>
      <c r="C410" t="s">
        <v>1534</v>
      </c>
      <c r="D410" t="s">
        <v>1535</v>
      </c>
      <c r="E410" t="s">
        <v>1533</v>
      </c>
      <c r="F410" t="s">
        <v>28</v>
      </c>
      <c r="G410" t="s">
        <v>1533</v>
      </c>
      <c r="H410" t="str">
        <f>"umps-1"</f>
        <v>umps-1</v>
      </c>
      <c r="I410" t="s">
        <v>1535</v>
      </c>
      <c r="J410">
        <v>13.9392052428133</v>
      </c>
      <c r="K410">
        <v>13.373800604247</v>
      </c>
      <c r="L410">
        <v>13.835720836753699</v>
      </c>
      <c r="M410" t="s">
        <v>29</v>
      </c>
      <c r="N410" t="s">
        <v>29</v>
      </c>
      <c r="O410" t="s">
        <v>29</v>
      </c>
      <c r="P410" t="s">
        <v>29</v>
      </c>
      <c r="Q410" t="s">
        <v>29</v>
      </c>
      <c r="R410" t="s">
        <v>29</v>
      </c>
      <c r="S410">
        <v>13.7544083924384</v>
      </c>
      <c r="T410" t="s">
        <v>29</v>
      </c>
      <c r="U410" t="s">
        <v>29</v>
      </c>
      <c r="V410" t="s">
        <v>29</v>
      </c>
      <c r="W410" t="s">
        <v>29</v>
      </c>
      <c r="X410" t="s">
        <v>29</v>
      </c>
      <c r="Y410" t="s">
        <v>29</v>
      </c>
    </row>
    <row r="411" spans="1:25" x14ac:dyDescent="0.2">
      <c r="A411" t="s">
        <v>1536</v>
      </c>
      <c r="B411" t="s">
        <v>1537</v>
      </c>
      <c r="C411" t="s">
        <v>1538</v>
      </c>
      <c r="D411" t="s">
        <v>965</v>
      </c>
      <c r="E411" t="s">
        <v>1537</v>
      </c>
      <c r="F411" t="s">
        <v>28</v>
      </c>
      <c r="G411" t="s">
        <v>1537</v>
      </c>
      <c r="H411" t="str">
        <f>"cdr-4"</f>
        <v>cdr-4</v>
      </c>
      <c r="I411" t="s">
        <v>965</v>
      </c>
      <c r="J411">
        <v>14.4598372230367</v>
      </c>
      <c r="K411">
        <v>14.179986990376699</v>
      </c>
      <c r="L411">
        <v>14.4005301217737</v>
      </c>
      <c r="M411" t="s">
        <v>29</v>
      </c>
      <c r="N411">
        <v>13.684650667513401</v>
      </c>
      <c r="O411">
        <v>14.2149961440597</v>
      </c>
      <c r="P411">
        <v>-0.39696137260914099</v>
      </c>
      <c r="Q411">
        <v>-0.828313347833741</v>
      </c>
      <c r="R411">
        <v>3.43906026154591E-2</v>
      </c>
      <c r="S411">
        <v>14.7341301233512</v>
      </c>
      <c r="T411">
        <v>-1.9425243464781701</v>
      </c>
      <c r="U411">
        <v>-5.2566216897698697</v>
      </c>
      <c r="V411">
        <v>6.8932275163700998E-2</v>
      </c>
      <c r="W411">
        <v>0.168936088934382</v>
      </c>
      <c r="X411">
        <v>0</v>
      </c>
      <c r="Y411">
        <v>0</v>
      </c>
    </row>
    <row r="412" spans="1:25" x14ac:dyDescent="0.2">
      <c r="A412" t="s">
        <v>1539</v>
      </c>
      <c r="B412" t="s">
        <v>1540</v>
      </c>
      <c r="C412" t="s">
        <v>1541</v>
      </c>
      <c r="D412" t="s">
        <v>1542</v>
      </c>
      <c r="E412" t="s">
        <v>1540</v>
      </c>
      <c r="F412" t="s">
        <v>28</v>
      </c>
      <c r="G412" t="s">
        <v>1540</v>
      </c>
      <c r="H412" t="str">
        <f>"daf-18"</f>
        <v>daf-18</v>
      </c>
      <c r="I412" t="s">
        <v>1542</v>
      </c>
      <c r="J412">
        <v>11.209621920793101</v>
      </c>
      <c r="K412" t="s">
        <v>29</v>
      </c>
      <c r="L412">
        <v>11.215239594054299</v>
      </c>
      <c r="M412" t="s">
        <v>29</v>
      </c>
      <c r="N412" t="s">
        <v>29</v>
      </c>
      <c r="O412" t="s">
        <v>29</v>
      </c>
      <c r="P412" t="s">
        <v>29</v>
      </c>
      <c r="Q412" t="s">
        <v>29</v>
      </c>
      <c r="R412" t="s">
        <v>29</v>
      </c>
      <c r="S412">
        <v>12.2786352724418</v>
      </c>
      <c r="T412" t="s">
        <v>29</v>
      </c>
      <c r="U412" t="s">
        <v>29</v>
      </c>
      <c r="V412" t="s">
        <v>29</v>
      </c>
      <c r="W412" t="s">
        <v>29</v>
      </c>
      <c r="X412" t="s">
        <v>29</v>
      </c>
      <c r="Y412" t="s">
        <v>29</v>
      </c>
    </row>
    <row r="413" spans="1:25" x14ac:dyDescent="0.2">
      <c r="A413" t="s">
        <v>1543</v>
      </c>
      <c r="B413" t="s">
        <v>1544</v>
      </c>
      <c r="C413" t="s">
        <v>1545</v>
      </c>
      <c r="D413" t="s">
        <v>1546</v>
      </c>
      <c r="E413" t="s">
        <v>1544</v>
      </c>
      <c r="F413" t="s">
        <v>28</v>
      </c>
      <c r="G413" t="s">
        <v>1544</v>
      </c>
      <c r="H413" t="str">
        <f>"hip-1"</f>
        <v>hip-1</v>
      </c>
      <c r="I413" t="s">
        <v>1546</v>
      </c>
      <c r="J413">
        <v>13.258814409724</v>
      </c>
      <c r="K413">
        <v>12.7055243277456</v>
      </c>
      <c r="L413">
        <v>12.940731087664799</v>
      </c>
      <c r="M413">
        <v>15.370116827186401</v>
      </c>
      <c r="N413">
        <v>15.614869825915999</v>
      </c>
      <c r="O413">
        <v>16.021928043372</v>
      </c>
      <c r="P413">
        <v>2.70061495711334</v>
      </c>
      <c r="Q413">
        <v>1.88567794974278</v>
      </c>
      <c r="R413">
        <v>3.5155519644839099</v>
      </c>
      <c r="S413">
        <v>14.984900625148599</v>
      </c>
      <c r="T413">
        <v>6.9651607117674104</v>
      </c>
      <c r="U413">
        <v>5.0807753970906901</v>
      </c>
      <c r="V413" s="2">
        <v>1.7155848830468001E-6</v>
      </c>
      <c r="W413" s="2">
        <v>6.9257926716971395E-5</v>
      </c>
      <c r="X413">
        <v>1</v>
      </c>
      <c r="Y413">
        <v>1</v>
      </c>
    </row>
    <row r="414" spans="1:25" x14ac:dyDescent="0.2">
      <c r="A414" t="s">
        <v>1547</v>
      </c>
      <c r="B414" t="s">
        <v>1548</v>
      </c>
      <c r="C414" t="s">
        <v>1549</v>
      </c>
      <c r="D414" t="s">
        <v>1170</v>
      </c>
      <c r="E414" t="s">
        <v>1548</v>
      </c>
      <c r="F414" t="s">
        <v>28</v>
      </c>
      <c r="G414" t="s">
        <v>1548</v>
      </c>
      <c r="H414" t="str">
        <f>"ptr-23"</f>
        <v>ptr-23</v>
      </c>
      <c r="I414" t="s">
        <v>1170</v>
      </c>
      <c r="J414">
        <v>13.0945455092884</v>
      </c>
      <c r="K414">
        <v>12.633639179119699</v>
      </c>
      <c r="L414">
        <v>12.848679273831999</v>
      </c>
      <c r="M414" t="s">
        <v>29</v>
      </c>
      <c r="N414" t="s">
        <v>29</v>
      </c>
      <c r="O414">
        <v>13.7816898148081</v>
      </c>
      <c r="P414">
        <v>0.92273516072809703</v>
      </c>
      <c r="Q414">
        <v>-2.9110650112670399E-2</v>
      </c>
      <c r="R414">
        <v>1.8745809715688599</v>
      </c>
      <c r="S414">
        <v>13.240438580529499</v>
      </c>
      <c r="T414">
        <v>2.05617463133723</v>
      </c>
      <c r="U414">
        <v>-4.8469350230344697</v>
      </c>
      <c r="V414">
        <v>5.6571224286438002E-2</v>
      </c>
      <c r="W414">
        <v>0.14872024796800401</v>
      </c>
      <c r="X414">
        <v>0</v>
      </c>
      <c r="Y414">
        <v>0</v>
      </c>
    </row>
    <row r="415" spans="1:25" x14ac:dyDescent="0.2">
      <c r="A415" t="s">
        <v>1550</v>
      </c>
      <c r="B415" t="s">
        <v>1551</v>
      </c>
      <c r="C415" t="s">
        <v>1552</v>
      </c>
      <c r="D415" t="s">
        <v>1553</v>
      </c>
      <c r="E415" t="s">
        <v>1551</v>
      </c>
      <c r="F415" t="s">
        <v>28</v>
      </c>
      <c r="G415" t="s">
        <v>1551</v>
      </c>
      <c r="H415" t="str">
        <f>"cua-1"</f>
        <v>cua-1</v>
      </c>
      <c r="I415" t="s">
        <v>1553</v>
      </c>
      <c r="J415">
        <v>12.903724451107999</v>
      </c>
      <c r="K415">
        <v>12.753879711388</v>
      </c>
      <c r="L415">
        <v>12.6904225668758</v>
      </c>
      <c r="M415" t="s">
        <v>29</v>
      </c>
      <c r="N415" t="s">
        <v>29</v>
      </c>
      <c r="O415">
        <v>13.2241151720727</v>
      </c>
      <c r="P415">
        <v>0.44143959561542301</v>
      </c>
      <c r="Q415">
        <v>-0.109734390698464</v>
      </c>
      <c r="R415">
        <v>0.99261358192930904</v>
      </c>
      <c r="S415">
        <v>12.809013953132199</v>
      </c>
      <c r="T415">
        <v>1.70814281727162</v>
      </c>
      <c r="U415">
        <v>-5.4094118680025502</v>
      </c>
      <c r="V415">
        <v>0.10835937278013499</v>
      </c>
      <c r="W415">
        <v>0.229078243603342</v>
      </c>
      <c r="X415">
        <v>0</v>
      </c>
      <c r="Y415">
        <v>0</v>
      </c>
    </row>
    <row r="416" spans="1:25" x14ac:dyDescent="0.2">
      <c r="A416" t="s">
        <v>1554</v>
      </c>
      <c r="B416" t="s">
        <v>1555</v>
      </c>
      <c r="C416" t="s">
        <v>14179</v>
      </c>
      <c r="D416" t="s">
        <v>1556</v>
      </c>
      <c r="E416" t="s">
        <v>1555</v>
      </c>
      <c r="F416" t="s">
        <v>28</v>
      </c>
      <c r="G416" t="s">
        <v>1555</v>
      </c>
      <c r="H416" t="str">
        <f>"T04F3.1"</f>
        <v>T04F3.1</v>
      </c>
      <c r="I416" t="s">
        <v>1556</v>
      </c>
      <c r="J416">
        <v>13.0608550297052</v>
      </c>
      <c r="K416">
        <v>12.9476766261173</v>
      </c>
      <c r="L416">
        <v>13.1129313821629</v>
      </c>
      <c r="M416" t="s">
        <v>29</v>
      </c>
      <c r="N416">
        <v>15.0433361334917</v>
      </c>
      <c r="O416">
        <v>14.406967972581</v>
      </c>
      <c r="P416">
        <v>1.6846643737078399</v>
      </c>
      <c r="Q416">
        <v>1.0663309897512501</v>
      </c>
      <c r="R416">
        <v>2.3029977576644298</v>
      </c>
      <c r="S416">
        <v>14.3844421234332</v>
      </c>
      <c r="T416">
        <v>5.7509648093364998</v>
      </c>
      <c r="U416">
        <v>2.5276023978825002</v>
      </c>
      <c r="V416" s="2">
        <v>2.4092267919642302E-5</v>
      </c>
      <c r="W416">
        <v>5.9166594632654795E-4</v>
      </c>
      <c r="X416">
        <v>1</v>
      </c>
      <c r="Y416">
        <v>1</v>
      </c>
    </row>
    <row r="417" spans="1:25" x14ac:dyDescent="0.2">
      <c r="A417" t="s">
        <v>1557</v>
      </c>
      <c r="B417" t="s">
        <v>1558</v>
      </c>
      <c r="C417" t="s">
        <v>1559</v>
      </c>
      <c r="D417" t="s">
        <v>1560</v>
      </c>
      <c r="E417" t="s">
        <v>1558</v>
      </c>
      <c r="F417" t="s">
        <v>28</v>
      </c>
      <c r="G417" t="s">
        <v>1558</v>
      </c>
      <c r="H417" t="str">
        <f>"icp-1"</f>
        <v>icp-1</v>
      </c>
      <c r="I417" t="s">
        <v>1560</v>
      </c>
      <c r="J417">
        <v>12.1700197711471</v>
      </c>
      <c r="K417">
        <v>12.251146588160401</v>
      </c>
      <c r="L417">
        <v>12.8572569321272</v>
      </c>
      <c r="M417" t="s">
        <v>29</v>
      </c>
      <c r="N417" t="s">
        <v>29</v>
      </c>
      <c r="O417" t="s">
        <v>29</v>
      </c>
      <c r="P417" t="s">
        <v>29</v>
      </c>
      <c r="Q417" t="s">
        <v>29</v>
      </c>
      <c r="R417" t="s">
        <v>29</v>
      </c>
      <c r="S417">
        <v>12.457935921332099</v>
      </c>
      <c r="T417" t="s">
        <v>29</v>
      </c>
      <c r="U417" t="s">
        <v>29</v>
      </c>
      <c r="V417" t="s">
        <v>29</v>
      </c>
      <c r="W417" t="s">
        <v>29</v>
      </c>
      <c r="X417" t="s">
        <v>29</v>
      </c>
      <c r="Y417" t="s">
        <v>29</v>
      </c>
    </row>
    <row r="418" spans="1:25" x14ac:dyDescent="0.2">
      <c r="A418" t="s">
        <v>1561</v>
      </c>
      <c r="B418" t="s">
        <v>1562</v>
      </c>
      <c r="C418" t="s">
        <v>1563</v>
      </c>
      <c r="D418" t="s">
        <v>1007</v>
      </c>
      <c r="E418" t="s">
        <v>1562</v>
      </c>
      <c r="F418" t="s">
        <v>28</v>
      </c>
      <c r="G418" t="s">
        <v>1562</v>
      </c>
      <c r="H418" t="str">
        <f>"rrf-3"</f>
        <v>rrf-3</v>
      </c>
      <c r="I418" t="s">
        <v>1007</v>
      </c>
      <c r="J418">
        <v>12.2242117347652</v>
      </c>
      <c r="K418" t="s">
        <v>29</v>
      </c>
      <c r="L418">
        <v>12.428869312163</v>
      </c>
      <c r="M418" t="s">
        <v>29</v>
      </c>
      <c r="N418" t="s">
        <v>29</v>
      </c>
      <c r="O418">
        <v>13.1766373121763</v>
      </c>
      <c r="P418">
        <v>0.85009678871223404</v>
      </c>
      <c r="Q418">
        <v>-7.2857677248641103E-2</v>
      </c>
      <c r="R418">
        <v>1.7730512546731101</v>
      </c>
      <c r="S418">
        <v>12.3767414943832</v>
      </c>
      <c r="T418">
        <v>1.9914772266713801</v>
      </c>
      <c r="U418">
        <v>-4.9198828425387804</v>
      </c>
      <c r="V418">
        <v>6.8045313782276406E-2</v>
      </c>
      <c r="W418">
        <v>0.16792273970789801</v>
      </c>
      <c r="X418">
        <v>0</v>
      </c>
      <c r="Y418">
        <v>0</v>
      </c>
    </row>
    <row r="419" spans="1:25" x14ac:dyDescent="0.2">
      <c r="A419" t="s">
        <v>1564</v>
      </c>
      <c r="B419" t="s">
        <v>1565</v>
      </c>
      <c r="C419" t="s">
        <v>1566</v>
      </c>
      <c r="D419" t="s">
        <v>1567</v>
      </c>
      <c r="E419" t="s">
        <v>1565</v>
      </c>
      <c r="F419" t="s">
        <v>28</v>
      </c>
      <c r="G419" t="s">
        <v>1565</v>
      </c>
      <c r="H419" t="str">
        <f>"src-1"</f>
        <v>src-1</v>
      </c>
      <c r="I419" t="s">
        <v>1567</v>
      </c>
      <c r="J419">
        <v>13.4542108398055</v>
      </c>
      <c r="K419">
        <v>13.5438983068283</v>
      </c>
      <c r="L419">
        <v>13.313376625630299</v>
      </c>
      <c r="M419">
        <v>12.156236203400301</v>
      </c>
      <c r="N419">
        <v>12.785693972312099</v>
      </c>
      <c r="O419">
        <v>13.4056241996678</v>
      </c>
      <c r="P419">
        <v>-0.65464379896131697</v>
      </c>
      <c r="Q419">
        <v>-1.17666435236364</v>
      </c>
      <c r="R419">
        <v>-0.13262324555899599</v>
      </c>
      <c r="S419">
        <v>13.1546960820381</v>
      </c>
      <c r="T419">
        <v>-2.6357849194597498</v>
      </c>
      <c r="U419">
        <v>-4.0790888067184703</v>
      </c>
      <c r="V419">
        <v>1.68408007213144E-2</v>
      </c>
      <c r="W419">
        <v>6.5822068601742195E-2</v>
      </c>
      <c r="X419">
        <v>0</v>
      </c>
      <c r="Y419">
        <v>0</v>
      </c>
    </row>
    <row r="420" spans="1:25" x14ac:dyDescent="0.2">
      <c r="A420" t="s">
        <v>1568</v>
      </c>
      <c r="B420" t="s">
        <v>1569</v>
      </c>
      <c r="C420" t="s">
        <v>14260</v>
      </c>
      <c r="D420" t="s">
        <v>1570</v>
      </c>
      <c r="E420" t="s">
        <v>1569</v>
      </c>
      <c r="F420" t="s">
        <v>28</v>
      </c>
      <c r="G420" t="s">
        <v>1569</v>
      </c>
      <c r="H420" t="str">
        <f>"F12F6.1"</f>
        <v>F12F6.1</v>
      </c>
      <c r="I420" t="s">
        <v>1570</v>
      </c>
      <c r="J420">
        <v>12.258291002130299</v>
      </c>
      <c r="K420" t="s">
        <v>29</v>
      </c>
      <c r="L420">
        <v>12.001675968764401</v>
      </c>
      <c r="M420" t="s">
        <v>29</v>
      </c>
      <c r="N420" t="s">
        <v>29</v>
      </c>
      <c r="O420">
        <v>11.3530610305564</v>
      </c>
      <c r="P420">
        <v>-0.77692245489094003</v>
      </c>
      <c r="Q420">
        <v>-1.55027785589759</v>
      </c>
      <c r="R420">
        <v>-3.56705388428569E-3</v>
      </c>
      <c r="S420">
        <v>12.127198751581799</v>
      </c>
      <c r="T420">
        <v>-2.1425953432578502</v>
      </c>
      <c r="U420">
        <v>-4.6519529157461399</v>
      </c>
      <c r="V420">
        <v>4.9079586981297399E-2</v>
      </c>
      <c r="W420">
        <v>0.13463597112290401</v>
      </c>
      <c r="X420">
        <v>0</v>
      </c>
      <c r="Y420">
        <v>0</v>
      </c>
    </row>
    <row r="421" spans="1:25" x14ac:dyDescent="0.2">
      <c r="A421" t="s">
        <v>1571</v>
      </c>
      <c r="B421" t="s">
        <v>1572</v>
      </c>
      <c r="C421" t="s">
        <v>1573</v>
      </c>
      <c r="D421" t="s">
        <v>1574</v>
      </c>
      <c r="E421" t="s">
        <v>1572</v>
      </c>
      <c r="F421" t="s">
        <v>28</v>
      </c>
      <c r="G421" t="s">
        <v>1572</v>
      </c>
      <c r="H421" t="str">
        <f>"cogc-1"</f>
        <v>cogc-1</v>
      </c>
      <c r="I421" t="s">
        <v>1574</v>
      </c>
      <c r="J421">
        <v>13.973510772074601</v>
      </c>
      <c r="K421">
        <v>14.168811817982901</v>
      </c>
      <c r="L421">
        <v>13.704364925570401</v>
      </c>
      <c r="M421" t="s">
        <v>29</v>
      </c>
      <c r="N421">
        <v>13.5333583422019</v>
      </c>
      <c r="O421">
        <v>13.8693259707915</v>
      </c>
      <c r="P421">
        <v>-0.24755368204589701</v>
      </c>
      <c r="Q421">
        <v>-0.74485403513001702</v>
      </c>
      <c r="R421">
        <v>0.24974667103822301</v>
      </c>
      <c r="S421">
        <v>13.636379336106501</v>
      </c>
      <c r="T421">
        <v>-1.0507529932983699</v>
      </c>
      <c r="U421">
        <v>-6.4834211909099997</v>
      </c>
      <c r="V421">
        <v>0.30817019620266101</v>
      </c>
      <c r="W421">
        <v>0.47798819379433799</v>
      </c>
      <c r="X421">
        <v>0</v>
      </c>
      <c r="Y421">
        <v>0</v>
      </c>
    </row>
    <row r="422" spans="1:25" x14ac:dyDescent="0.2">
      <c r="A422" t="s">
        <v>1575</v>
      </c>
      <c r="B422" t="s">
        <v>1576</v>
      </c>
      <c r="C422" t="s">
        <v>1577</v>
      </c>
      <c r="D422" t="s">
        <v>1578</v>
      </c>
      <c r="E422" t="s">
        <v>1576</v>
      </c>
      <c r="F422" t="s">
        <v>28</v>
      </c>
      <c r="G422" t="s">
        <v>1576</v>
      </c>
      <c r="H422" t="str">
        <f>"eor-2"</f>
        <v>eor-2</v>
      </c>
      <c r="I422" t="s">
        <v>1578</v>
      </c>
      <c r="J422" t="s">
        <v>29</v>
      </c>
      <c r="K422" t="s">
        <v>29</v>
      </c>
      <c r="L422" t="s">
        <v>29</v>
      </c>
      <c r="M422" t="s">
        <v>29</v>
      </c>
      <c r="N422" t="s">
        <v>29</v>
      </c>
      <c r="O422" t="s">
        <v>29</v>
      </c>
      <c r="P422" t="s">
        <v>29</v>
      </c>
      <c r="Q422" t="s">
        <v>29</v>
      </c>
      <c r="R422" t="s">
        <v>29</v>
      </c>
      <c r="S422">
        <v>10.373014095438499</v>
      </c>
      <c r="T422" t="s">
        <v>29</v>
      </c>
      <c r="U422" t="s">
        <v>29</v>
      </c>
      <c r="V422" t="s">
        <v>29</v>
      </c>
      <c r="W422" t="s">
        <v>29</v>
      </c>
      <c r="X422" t="s">
        <v>29</v>
      </c>
      <c r="Y422" t="s">
        <v>29</v>
      </c>
    </row>
    <row r="423" spans="1:25" x14ac:dyDescent="0.2">
      <c r="A423" t="s">
        <v>1579</v>
      </c>
      <c r="B423" t="s">
        <v>1580</v>
      </c>
      <c r="C423" t="s">
        <v>1581</v>
      </c>
      <c r="D423" t="s">
        <v>1582</v>
      </c>
      <c r="E423" t="s">
        <v>1580</v>
      </c>
      <c r="F423" t="s">
        <v>28</v>
      </c>
      <c r="G423" t="s">
        <v>1580</v>
      </c>
      <c r="H423" t="str">
        <f>"mrp-5"</f>
        <v>mrp-5</v>
      </c>
      <c r="I423" t="s">
        <v>1582</v>
      </c>
      <c r="J423">
        <v>15.1070554255855</v>
      </c>
      <c r="K423">
        <v>15.0330234746872</v>
      </c>
      <c r="L423">
        <v>15.0382102606749</v>
      </c>
      <c r="M423">
        <v>14.812418279627</v>
      </c>
      <c r="N423">
        <v>14.790045574818199</v>
      </c>
      <c r="O423">
        <v>14.8030265882509</v>
      </c>
      <c r="P423">
        <v>-0.25759957275050599</v>
      </c>
      <c r="Q423">
        <v>-0.64235026678969798</v>
      </c>
      <c r="R423">
        <v>0.127151121288687</v>
      </c>
      <c r="S423">
        <v>14.997866624961</v>
      </c>
      <c r="T423">
        <v>-1.4072078191487001</v>
      </c>
      <c r="U423">
        <v>-6.1709886531634304</v>
      </c>
      <c r="V423">
        <v>0.17649765912673299</v>
      </c>
      <c r="W423">
        <v>0.329618885580786</v>
      </c>
      <c r="X423">
        <v>0</v>
      </c>
      <c r="Y423">
        <v>0</v>
      </c>
    </row>
    <row r="424" spans="1:25" x14ac:dyDescent="0.2">
      <c r="A424" t="s">
        <v>1583</v>
      </c>
      <c r="B424" t="s">
        <v>1584</v>
      </c>
      <c r="C424" t="s">
        <v>1585</v>
      </c>
      <c r="D424" t="s">
        <v>1586</v>
      </c>
      <c r="E424" t="s">
        <v>1584</v>
      </c>
      <c r="F424" t="s">
        <v>28</v>
      </c>
      <c r="G424" t="s">
        <v>1584</v>
      </c>
      <c r="H424" t="str">
        <f>"nud-1"</f>
        <v>nud-1</v>
      </c>
      <c r="I424" t="s">
        <v>1586</v>
      </c>
      <c r="J424">
        <v>13.0852069342123</v>
      </c>
      <c r="K424">
        <v>13.2539630210937</v>
      </c>
      <c r="L424">
        <v>13.115148196417</v>
      </c>
      <c r="M424">
        <v>14.3490296398636</v>
      </c>
      <c r="N424">
        <v>15.129648894435499</v>
      </c>
      <c r="O424">
        <v>15.281366982394299</v>
      </c>
      <c r="P424">
        <v>1.7685757883234701</v>
      </c>
      <c r="Q424">
        <v>1.1630473411390101</v>
      </c>
      <c r="R424">
        <v>2.37410423550793</v>
      </c>
      <c r="S424">
        <v>13.543809123354199</v>
      </c>
      <c r="T424">
        <v>6.1387738959013296</v>
      </c>
      <c r="U424">
        <v>3.4326306725796898</v>
      </c>
      <c r="V424" s="2">
        <v>8.7137852103828706E-6</v>
      </c>
      <c r="W424">
        <v>2.4931577684464401E-4</v>
      </c>
      <c r="X424">
        <v>1</v>
      </c>
      <c r="Y424">
        <v>1</v>
      </c>
    </row>
    <row r="425" spans="1:25" x14ac:dyDescent="0.2">
      <c r="A425" t="s">
        <v>1587</v>
      </c>
      <c r="B425" t="s">
        <v>1588</v>
      </c>
      <c r="C425" t="s">
        <v>14261</v>
      </c>
      <c r="D425" t="s">
        <v>1589</v>
      </c>
      <c r="E425" t="s">
        <v>1588</v>
      </c>
      <c r="F425" t="s">
        <v>28</v>
      </c>
      <c r="G425" t="s">
        <v>1588</v>
      </c>
      <c r="H425" t="str">
        <f>"F21D5.7"</f>
        <v>F21D5.7</v>
      </c>
      <c r="I425" t="s">
        <v>1589</v>
      </c>
      <c r="J425">
        <v>15.517749089219899</v>
      </c>
      <c r="K425">
        <v>15.3013401786177</v>
      </c>
      <c r="L425">
        <v>15.375373518185601</v>
      </c>
      <c r="M425">
        <v>15.737528939555499</v>
      </c>
      <c r="N425">
        <v>15.5701960280644</v>
      </c>
      <c r="O425">
        <v>15.958087625572899</v>
      </c>
      <c r="P425">
        <v>0.35711660238987403</v>
      </c>
      <c r="Q425">
        <v>8.6500228313614001E-3</v>
      </c>
      <c r="R425">
        <v>0.70558318194838698</v>
      </c>
      <c r="S425">
        <v>15.389390086248699</v>
      </c>
      <c r="T425">
        <v>2.1539787860325501</v>
      </c>
      <c r="U425">
        <v>-4.9929459627717403</v>
      </c>
      <c r="V425">
        <v>4.51249883912073E-2</v>
      </c>
      <c r="W425">
        <v>0.12665080075132201</v>
      </c>
      <c r="X425">
        <v>0</v>
      </c>
      <c r="Y425">
        <v>0</v>
      </c>
    </row>
    <row r="426" spans="1:25" x14ac:dyDescent="0.2">
      <c r="A426" t="s">
        <v>1590</v>
      </c>
      <c r="B426" t="s">
        <v>1591</v>
      </c>
      <c r="C426" t="s">
        <v>1592</v>
      </c>
      <c r="D426" t="s">
        <v>1593</v>
      </c>
      <c r="E426" t="s">
        <v>1591</v>
      </c>
      <c r="F426" t="s">
        <v>28</v>
      </c>
      <c r="G426" t="s">
        <v>1591</v>
      </c>
      <c r="H426" t="str">
        <f>"slc-25a10"</f>
        <v>slc-25a10</v>
      </c>
      <c r="I426" t="s">
        <v>1593</v>
      </c>
      <c r="J426">
        <v>18.123491746814899</v>
      </c>
      <c r="K426">
        <v>18.010309773350599</v>
      </c>
      <c r="L426">
        <v>17.912721724314</v>
      </c>
      <c r="M426">
        <v>16.9580305357706</v>
      </c>
      <c r="N426">
        <v>17.450469066225001</v>
      </c>
      <c r="O426">
        <v>17.750592055497901</v>
      </c>
      <c r="P426">
        <v>-0.62914386232864306</v>
      </c>
      <c r="Q426">
        <v>-1.0313758975017999</v>
      </c>
      <c r="R426">
        <v>-0.22691182715548799</v>
      </c>
      <c r="S426">
        <v>17.748965515142501</v>
      </c>
      <c r="T426">
        <v>-3.2875004499120601</v>
      </c>
      <c r="U426">
        <v>-2.72661052654786</v>
      </c>
      <c r="V426">
        <v>4.1175382032519704E-3</v>
      </c>
      <c r="W426">
        <v>2.46633843190723E-2</v>
      </c>
      <c r="X426">
        <v>0</v>
      </c>
      <c r="Y426">
        <v>0</v>
      </c>
    </row>
    <row r="427" spans="1:25" x14ac:dyDescent="0.2">
      <c r="A427" t="s">
        <v>1594</v>
      </c>
      <c r="B427" t="s">
        <v>1595</v>
      </c>
      <c r="C427" t="s">
        <v>14262</v>
      </c>
      <c r="D427" t="s">
        <v>1596</v>
      </c>
      <c r="E427" t="s">
        <v>1595</v>
      </c>
      <c r="F427" t="s">
        <v>28</v>
      </c>
      <c r="G427" t="s">
        <v>1595</v>
      </c>
      <c r="H427" t="str">
        <f>"T19A6.1"</f>
        <v>T19A6.1</v>
      </c>
      <c r="I427" t="s">
        <v>1596</v>
      </c>
      <c r="J427">
        <v>13.114764291204001</v>
      </c>
      <c r="K427">
        <v>13.375378328747299</v>
      </c>
      <c r="L427">
        <v>13.244143333251399</v>
      </c>
      <c r="M427" t="s">
        <v>29</v>
      </c>
      <c r="N427">
        <v>12.932888054273601</v>
      </c>
      <c r="O427" t="s">
        <v>29</v>
      </c>
      <c r="P427">
        <v>-0.31187393012730702</v>
      </c>
      <c r="Q427">
        <v>-1.40028782468461</v>
      </c>
      <c r="R427">
        <v>0.77653996442999196</v>
      </c>
      <c r="S427">
        <v>13.186408043006001</v>
      </c>
      <c r="T427">
        <v>-0.61112014728159003</v>
      </c>
      <c r="U427">
        <v>-6.6182488815624803</v>
      </c>
      <c r="V427">
        <v>0.55033322695891096</v>
      </c>
      <c r="W427">
        <v>0.694872330697476</v>
      </c>
      <c r="X427">
        <v>0</v>
      </c>
      <c r="Y427">
        <v>0</v>
      </c>
    </row>
    <row r="428" spans="1:25" x14ac:dyDescent="0.2">
      <c r="A428" t="s">
        <v>1597</v>
      </c>
      <c r="B428" t="s">
        <v>1598</v>
      </c>
      <c r="C428" t="s">
        <v>1599</v>
      </c>
      <c r="D428" t="s">
        <v>1600</v>
      </c>
      <c r="E428" t="s">
        <v>1598</v>
      </c>
      <c r="F428" t="s">
        <v>28</v>
      </c>
      <c r="G428" t="s">
        <v>1601</v>
      </c>
      <c r="H428" t="str">
        <f>"dpy-14"</f>
        <v>dpy-14</v>
      </c>
      <c r="I428" t="s">
        <v>1413</v>
      </c>
      <c r="J428" t="s">
        <v>29</v>
      </c>
      <c r="K428" t="s">
        <v>29</v>
      </c>
      <c r="L428">
        <v>13.083461691703301</v>
      </c>
      <c r="M428" t="s">
        <v>29</v>
      </c>
      <c r="N428" t="s">
        <v>29</v>
      </c>
      <c r="O428">
        <v>13.965045696504299</v>
      </c>
      <c r="P428">
        <v>0.88158400480091703</v>
      </c>
      <c r="Q428">
        <v>-1.3715469404199201</v>
      </c>
      <c r="R428">
        <v>3.1347149500217601</v>
      </c>
      <c r="S428">
        <v>13.160602521534299</v>
      </c>
      <c r="T428">
        <v>0.86219393360513497</v>
      </c>
      <c r="U428">
        <v>-6.2275312959576103</v>
      </c>
      <c r="V428">
        <v>0.40715805103416097</v>
      </c>
      <c r="W428">
        <v>0.57548910138977105</v>
      </c>
      <c r="X428">
        <v>0</v>
      </c>
      <c r="Y428">
        <v>0</v>
      </c>
    </row>
    <row r="429" spans="1:25" x14ac:dyDescent="0.2">
      <c r="A429" t="s">
        <v>1602</v>
      </c>
      <c r="B429" t="s">
        <v>1603</v>
      </c>
      <c r="C429" t="s">
        <v>1604</v>
      </c>
      <c r="D429" t="s">
        <v>1605</v>
      </c>
      <c r="E429" t="s">
        <v>1603</v>
      </c>
      <c r="F429" t="s">
        <v>28</v>
      </c>
      <c r="G429" t="s">
        <v>1603</v>
      </c>
      <c r="H429" t="str">
        <f>"scm-1"</f>
        <v>scm-1</v>
      </c>
      <c r="I429" t="s">
        <v>1605</v>
      </c>
      <c r="J429">
        <v>11.890140060516201</v>
      </c>
      <c r="K429">
        <v>11.182026696443099</v>
      </c>
      <c r="L429">
        <v>11.689736264157</v>
      </c>
      <c r="M429" t="s">
        <v>29</v>
      </c>
      <c r="N429" t="s">
        <v>29</v>
      </c>
      <c r="O429">
        <v>11.973516265444401</v>
      </c>
      <c r="P429">
        <v>0.38621525840559201</v>
      </c>
      <c r="Q429">
        <v>-0.44780476289138399</v>
      </c>
      <c r="R429">
        <v>1.22023527970257</v>
      </c>
      <c r="S429">
        <v>11.678364330548</v>
      </c>
      <c r="T429">
        <v>0.987630645164845</v>
      </c>
      <c r="U429">
        <v>-6.3147489567692396</v>
      </c>
      <c r="V429">
        <v>0.33910636381762899</v>
      </c>
      <c r="W429">
        <v>0.50996967465361998</v>
      </c>
      <c r="X429">
        <v>0</v>
      </c>
      <c r="Y429">
        <v>0</v>
      </c>
    </row>
    <row r="430" spans="1:25" x14ac:dyDescent="0.2">
      <c r="A430" t="s">
        <v>1606</v>
      </c>
      <c r="B430" t="s">
        <v>1607</v>
      </c>
      <c r="C430" t="s">
        <v>1608</v>
      </c>
      <c r="D430" t="s">
        <v>1609</v>
      </c>
      <c r="E430" t="s">
        <v>1607</v>
      </c>
      <c r="F430" t="s">
        <v>28</v>
      </c>
      <c r="G430" t="s">
        <v>1607</v>
      </c>
      <c r="H430" t="str">
        <f>"elo-1"</f>
        <v>elo-1</v>
      </c>
      <c r="I430" t="s">
        <v>1609</v>
      </c>
      <c r="J430">
        <v>17.196985394378999</v>
      </c>
      <c r="K430">
        <v>16.708204457616901</v>
      </c>
      <c r="L430">
        <v>17.224481561043198</v>
      </c>
      <c r="M430">
        <v>16.247357625808501</v>
      </c>
      <c r="N430">
        <v>16.8512732458831</v>
      </c>
      <c r="O430">
        <v>16.025432689140299</v>
      </c>
      <c r="P430">
        <v>-0.66853595073572003</v>
      </c>
      <c r="Q430">
        <v>-1.22515407553267</v>
      </c>
      <c r="R430">
        <v>-0.11191782593876699</v>
      </c>
      <c r="S430">
        <v>17.063422877613402</v>
      </c>
      <c r="T430">
        <v>-2.524410255387</v>
      </c>
      <c r="U430">
        <v>-4.2984148559605897</v>
      </c>
      <c r="V430">
        <v>2.1264854791479201E-2</v>
      </c>
      <c r="W430">
        <v>7.6704439498762794E-2</v>
      </c>
      <c r="X430">
        <v>0</v>
      </c>
      <c r="Y430">
        <v>0</v>
      </c>
    </row>
    <row r="431" spans="1:25" x14ac:dyDescent="0.2">
      <c r="A431" t="s">
        <v>1610</v>
      </c>
      <c r="B431" t="s">
        <v>1611</v>
      </c>
      <c r="C431" t="s">
        <v>14263</v>
      </c>
      <c r="D431" t="s">
        <v>1612</v>
      </c>
      <c r="E431" t="s">
        <v>1611</v>
      </c>
      <c r="F431" t="s">
        <v>28</v>
      </c>
      <c r="G431" t="s">
        <v>1611</v>
      </c>
      <c r="H431" t="str">
        <f>"T09F3.2"</f>
        <v>T09F3.2</v>
      </c>
      <c r="I431" t="s">
        <v>1612</v>
      </c>
      <c r="J431">
        <v>12.908001760118999</v>
      </c>
      <c r="K431">
        <v>11.7016845713775</v>
      </c>
      <c r="L431">
        <v>12.3052844686397</v>
      </c>
      <c r="M431" t="s">
        <v>29</v>
      </c>
      <c r="N431" t="s">
        <v>29</v>
      </c>
      <c r="O431">
        <v>12.4926739399637</v>
      </c>
      <c r="P431">
        <v>0.187683673251687</v>
      </c>
      <c r="Q431">
        <v>-0.84779980916547704</v>
      </c>
      <c r="R431">
        <v>1.2231671556688499</v>
      </c>
      <c r="S431">
        <v>12.5078821667071</v>
      </c>
      <c r="T431">
        <v>0.384443788944349</v>
      </c>
      <c r="U431">
        <v>-6.73544685885512</v>
      </c>
      <c r="V431">
        <v>0.70574425969806098</v>
      </c>
      <c r="W431">
        <v>0.80958673932665903</v>
      </c>
      <c r="X431">
        <v>0</v>
      </c>
      <c r="Y431">
        <v>0</v>
      </c>
    </row>
    <row r="432" spans="1:25" x14ac:dyDescent="0.2">
      <c r="A432" t="s">
        <v>1613</v>
      </c>
      <c r="B432" t="s">
        <v>1614</v>
      </c>
      <c r="C432" t="s">
        <v>1615</v>
      </c>
      <c r="D432" t="s">
        <v>1616</v>
      </c>
      <c r="E432" t="s">
        <v>1614</v>
      </c>
      <c r="F432" t="s">
        <v>28</v>
      </c>
      <c r="G432" t="s">
        <v>1614</v>
      </c>
      <c r="H432" t="str">
        <f>"smu-1"</f>
        <v>smu-1</v>
      </c>
      <c r="I432" t="s">
        <v>1616</v>
      </c>
      <c r="J432">
        <v>11.8410542203109</v>
      </c>
      <c r="K432">
        <v>11.652585241833799</v>
      </c>
      <c r="L432" t="s">
        <v>29</v>
      </c>
      <c r="M432" t="s">
        <v>29</v>
      </c>
      <c r="N432" t="s">
        <v>29</v>
      </c>
      <c r="O432" t="s">
        <v>29</v>
      </c>
      <c r="P432" t="s">
        <v>29</v>
      </c>
      <c r="Q432" t="s">
        <v>29</v>
      </c>
      <c r="R432" t="s">
        <v>29</v>
      </c>
      <c r="S432">
        <v>12.352002481849199</v>
      </c>
      <c r="T432" t="s">
        <v>29</v>
      </c>
      <c r="U432" t="s">
        <v>29</v>
      </c>
      <c r="V432" t="s">
        <v>29</v>
      </c>
      <c r="W432" t="s">
        <v>29</v>
      </c>
      <c r="X432" t="s">
        <v>29</v>
      </c>
      <c r="Y432" t="s">
        <v>29</v>
      </c>
    </row>
    <row r="433" spans="1:25" x14ac:dyDescent="0.2">
      <c r="A433" t="s">
        <v>1617</v>
      </c>
      <c r="B433" t="s">
        <v>1618</v>
      </c>
      <c r="C433" t="s">
        <v>1619</v>
      </c>
      <c r="D433" t="s">
        <v>984</v>
      </c>
      <c r="E433" t="s">
        <v>1618</v>
      </c>
      <c r="F433" t="s">
        <v>28</v>
      </c>
      <c r="G433" t="s">
        <v>1618</v>
      </c>
      <c r="H433" t="str">
        <f>"frm-1"</f>
        <v>frm-1</v>
      </c>
      <c r="I433" t="s">
        <v>984</v>
      </c>
      <c r="J433">
        <v>14.5666578181405</v>
      </c>
      <c r="K433">
        <v>14.858098006293799</v>
      </c>
      <c r="L433">
        <v>14.5313410123963</v>
      </c>
      <c r="M433">
        <v>15.2310275988313</v>
      </c>
      <c r="N433">
        <v>14.5327696609101</v>
      </c>
      <c r="O433">
        <v>14.181563716934701</v>
      </c>
      <c r="P433">
        <v>-3.5786200514973401E-3</v>
      </c>
      <c r="Q433">
        <v>-0.47266540707239202</v>
      </c>
      <c r="R433">
        <v>0.46550816696939701</v>
      </c>
      <c r="S433">
        <v>14.663447219626001</v>
      </c>
      <c r="T433">
        <v>-1.6034480876510299E-2</v>
      </c>
      <c r="U433">
        <v>-7.1561671634042296</v>
      </c>
      <c r="V433">
        <v>0.98738430373957597</v>
      </c>
      <c r="W433">
        <v>0.99337667396974605</v>
      </c>
      <c r="X433">
        <v>0</v>
      </c>
      <c r="Y433">
        <v>0</v>
      </c>
    </row>
    <row r="434" spans="1:25" x14ac:dyDescent="0.2">
      <c r="A434" t="s">
        <v>1620</v>
      </c>
      <c r="B434" t="s">
        <v>1621</v>
      </c>
      <c r="C434" t="s">
        <v>1622</v>
      </c>
      <c r="D434" t="s">
        <v>150</v>
      </c>
      <c r="E434" t="s">
        <v>1621</v>
      </c>
      <c r="F434" t="s">
        <v>28</v>
      </c>
      <c r="G434" t="s">
        <v>1621</v>
      </c>
      <c r="H434" t="str">
        <f>"rde-1"</f>
        <v>rde-1</v>
      </c>
      <c r="I434" t="s">
        <v>150</v>
      </c>
      <c r="J434" t="s">
        <v>29</v>
      </c>
      <c r="K434" t="s">
        <v>29</v>
      </c>
      <c r="L434">
        <v>10.540774533859301</v>
      </c>
      <c r="M434" t="s">
        <v>29</v>
      </c>
      <c r="N434" t="s">
        <v>29</v>
      </c>
      <c r="O434" t="s">
        <v>29</v>
      </c>
      <c r="P434" t="s">
        <v>29</v>
      </c>
      <c r="Q434" t="s">
        <v>29</v>
      </c>
      <c r="R434" t="s">
        <v>29</v>
      </c>
      <c r="S434">
        <v>11.358485710413699</v>
      </c>
      <c r="T434" t="s">
        <v>29</v>
      </c>
      <c r="U434" t="s">
        <v>29</v>
      </c>
      <c r="V434" t="s">
        <v>29</v>
      </c>
      <c r="W434" t="s">
        <v>29</v>
      </c>
      <c r="X434" t="s">
        <v>29</v>
      </c>
      <c r="Y434" t="s">
        <v>29</v>
      </c>
    </row>
    <row r="435" spans="1:25" x14ac:dyDescent="0.2">
      <c r="A435" t="s">
        <v>1623</v>
      </c>
      <c r="B435" t="s">
        <v>1624</v>
      </c>
      <c r="C435" t="s">
        <v>1625</v>
      </c>
      <c r="D435" t="s">
        <v>1626</v>
      </c>
      <c r="E435" t="s">
        <v>1624</v>
      </c>
      <c r="F435" t="s">
        <v>28</v>
      </c>
      <c r="G435" t="s">
        <v>1624</v>
      </c>
      <c r="H435" t="str">
        <f>"ivd-1"</f>
        <v>ivd-1</v>
      </c>
      <c r="I435" t="s">
        <v>1626</v>
      </c>
      <c r="J435">
        <v>14.777082869807799</v>
      </c>
      <c r="K435">
        <v>14.4814864469041</v>
      </c>
      <c r="L435">
        <v>14.480543406809799</v>
      </c>
      <c r="M435">
        <v>16.586599249462601</v>
      </c>
      <c r="N435">
        <v>14.2337999992936</v>
      </c>
      <c r="O435">
        <v>14.495127948720899</v>
      </c>
      <c r="P435">
        <v>0.52547149131845405</v>
      </c>
      <c r="Q435">
        <v>-0.376595809656043</v>
      </c>
      <c r="R435">
        <v>1.4275387922929501</v>
      </c>
      <c r="S435">
        <v>14.753771215410801</v>
      </c>
      <c r="T435">
        <v>1.22434195469236</v>
      </c>
      <c r="U435">
        <v>-6.4010331714697504</v>
      </c>
      <c r="V435">
        <v>0.236697817163325</v>
      </c>
      <c r="W435">
        <v>0.40220621084819203</v>
      </c>
      <c r="X435">
        <v>0</v>
      </c>
      <c r="Y435">
        <v>0</v>
      </c>
    </row>
    <row r="436" spans="1:25" x14ac:dyDescent="0.2">
      <c r="A436" t="s">
        <v>1627</v>
      </c>
      <c r="B436" t="s">
        <v>1628</v>
      </c>
      <c r="C436" t="s">
        <v>1629</v>
      </c>
      <c r="D436" t="s">
        <v>1630</v>
      </c>
      <c r="E436" t="s">
        <v>1628</v>
      </c>
      <c r="F436" t="s">
        <v>28</v>
      </c>
      <c r="G436" t="s">
        <v>1628</v>
      </c>
      <c r="H436" t="str">
        <f>"npp-10"</f>
        <v>npp-10</v>
      </c>
      <c r="I436" t="s">
        <v>1630</v>
      </c>
      <c r="J436">
        <v>14.6263726404837</v>
      </c>
      <c r="K436">
        <v>14.5838062703705</v>
      </c>
      <c r="L436">
        <v>14.4478429236291</v>
      </c>
      <c r="M436" t="s">
        <v>29</v>
      </c>
      <c r="N436">
        <v>14.384773269483301</v>
      </c>
      <c r="O436">
        <v>13.8812487394994</v>
      </c>
      <c r="P436">
        <v>-0.41966294033642298</v>
      </c>
      <c r="Q436">
        <v>-0.86443139815373204</v>
      </c>
      <c r="R436">
        <v>2.5105517480886401E-2</v>
      </c>
      <c r="S436">
        <v>14.2475810261682</v>
      </c>
      <c r="T436">
        <v>-1.99166665349423</v>
      </c>
      <c r="U436">
        <v>-5.1740750749717002</v>
      </c>
      <c r="V436">
        <v>6.2826877547455806E-2</v>
      </c>
      <c r="W436">
        <v>0.16016505893802099</v>
      </c>
      <c r="X436">
        <v>0</v>
      </c>
      <c r="Y436">
        <v>0</v>
      </c>
    </row>
    <row r="437" spans="1:25" x14ac:dyDescent="0.2">
      <c r="A437" t="s">
        <v>1631</v>
      </c>
      <c r="B437" t="s">
        <v>1632</v>
      </c>
      <c r="C437" t="s">
        <v>1633</v>
      </c>
      <c r="D437" t="s">
        <v>1634</v>
      </c>
      <c r="E437" t="s">
        <v>1632</v>
      </c>
      <c r="F437" t="s">
        <v>28</v>
      </c>
      <c r="G437" t="s">
        <v>1632</v>
      </c>
      <c r="H437" t="str">
        <f>"asp-1"</f>
        <v>asp-1</v>
      </c>
      <c r="I437" t="s">
        <v>1634</v>
      </c>
      <c r="J437">
        <v>15.463372943603501</v>
      </c>
      <c r="K437">
        <v>15.533652655570201</v>
      </c>
      <c r="L437">
        <v>15.446504021939999</v>
      </c>
      <c r="M437">
        <v>14.2591942925217</v>
      </c>
      <c r="N437">
        <v>15.0087390027858</v>
      </c>
      <c r="O437">
        <v>15.0656478698893</v>
      </c>
      <c r="P437">
        <v>-0.70331615197229203</v>
      </c>
      <c r="Q437">
        <v>-1.20883293093788</v>
      </c>
      <c r="R437">
        <v>-0.197799373006703</v>
      </c>
      <c r="S437">
        <v>15.6717246675575</v>
      </c>
      <c r="T437">
        <v>-2.9242030739175799</v>
      </c>
      <c r="U437">
        <v>-3.4931513458335401</v>
      </c>
      <c r="V437">
        <v>9.0988784076035892E-3</v>
      </c>
      <c r="W437">
        <v>4.27661796925164E-2</v>
      </c>
      <c r="X437">
        <v>0</v>
      </c>
      <c r="Y437">
        <v>0</v>
      </c>
    </row>
    <row r="438" spans="1:25" x14ac:dyDescent="0.2">
      <c r="A438" t="s">
        <v>1635</v>
      </c>
      <c r="B438" t="s">
        <v>1636</v>
      </c>
      <c r="C438" t="s">
        <v>1637</v>
      </c>
      <c r="D438" t="s">
        <v>1638</v>
      </c>
      <c r="E438" t="s">
        <v>1636</v>
      </c>
      <c r="F438" t="s">
        <v>28</v>
      </c>
      <c r="G438" t="s">
        <v>1636</v>
      </c>
      <c r="H438" t="str">
        <f>"chp-1"</f>
        <v>chp-1</v>
      </c>
      <c r="I438" t="s">
        <v>1638</v>
      </c>
      <c r="J438" t="s">
        <v>29</v>
      </c>
      <c r="K438" t="s">
        <v>29</v>
      </c>
      <c r="L438">
        <v>11.443078455932101</v>
      </c>
      <c r="M438" t="s">
        <v>29</v>
      </c>
      <c r="N438">
        <v>12.176264066320901</v>
      </c>
      <c r="O438" t="s">
        <v>29</v>
      </c>
      <c r="P438">
        <v>0.73318561038876096</v>
      </c>
      <c r="Q438">
        <v>-0.62249546209011497</v>
      </c>
      <c r="R438">
        <v>2.0888666828676401</v>
      </c>
      <c r="S438">
        <v>12.0750810958857</v>
      </c>
      <c r="T438">
        <v>1.17950941740562</v>
      </c>
      <c r="U438">
        <v>-5.9130735117998601</v>
      </c>
      <c r="V438">
        <v>0.26124858810409102</v>
      </c>
      <c r="W438">
        <v>0.42819776926738401</v>
      </c>
      <c r="X438">
        <v>0</v>
      </c>
      <c r="Y438">
        <v>0</v>
      </c>
    </row>
    <row r="439" spans="1:25" x14ac:dyDescent="0.2">
      <c r="A439" t="s">
        <v>1639</v>
      </c>
      <c r="B439" t="s">
        <v>1640</v>
      </c>
      <c r="C439" t="s">
        <v>1641</v>
      </c>
      <c r="D439" t="s">
        <v>1642</v>
      </c>
      <c r="E439" t="s">
        <v>1640</v>
      </c>
      <c r="F439" t="s">
        <v>28</v>
      </c>
      <c r="G439" t="s">
        <v>1640</v>
      </c>
      <c r="H439" t="str">
        <f>"noca-1"</f>
        <v>noca-1</v>
      </c>
      <c r="I439" t="s">
        <v>1642</v>
      </c>
      <c r="J439">
        <v>11.096417471402701</v>
      </c>
      <c r="K439">
        <v>12.2085218466552</v>
      </c>
      <c r="L439">
        <v>12.1867580615984</v>
      </c>
      <c r="M439" t="s">
        <v>29</v>
      </c>
      <c r="N439">
        <v>11.434703979653801</v>
      </c>
      <c r="O439" t="s">
        <v>29</v>
      </c>
      <c r="P439">
        <v>-0.39586181356497901</v>
      </c>
      <c r="Q439">
        <v>-1.4821510806190199</v>
      </c>
      <c r="R439">
        <v>0.69042745348906198</v>
      </c>
      <c r="S439">
        <v>12.205978920731299</v>
      </c>
      <c r="T439">
        <v>-0.77721241132367902</v>
      </c>
      <c r="U439">
        <v>-6.5005772882205903</v>
      </c>
      <c r="V439">
        <v>0.44920180735015502</v>
      </c>
      <c r="W439">
        <v>0.61457647458723597</v>
      </c>
      <c r="X439">
        <v>0</v>
      </c>
      <c r="Y439">
        <v>0</v>
      </c>
    </row>
    <row r="440" spans="1:25" x14ac:dyDescent="0.2">
      <c r="A440" t="s">
        <v>1643</v>
      </c>
      <c r="B440" t="s">
        <v>1644</v>
      </c>
      <c r="C440" t="s">
        <v>1645</v>
      </c>
      <c r="D440" t="s">
        <v>1646</v>
      </c>
      <c r="E440" t="s">
        <v>1644</v>
      </c>
      <c r="F440" t="s">
        <v>28</v>
      </c>
      <c r="G440" t="s">
        <v>1644</v>
      </c>
      <c r="H440" t="str">
        <f>"vet-6"</f>
        <v>vet-6</v>
      </c>
      <c r="I440" t="s">
        <v>1646</v>
      </c>
      <c r="J440" t="s">
        <v>29</v>
      </c>
      <c r="K440" t="s">
        <v>29</v>
      </c>
      <c r="L440" t="s">
        <v>29</v>
      </c>
      <c r="M440" t="s">
        <v>29</v>
      </c>
      <c r="N440" t="s">
        <v>29</v>
      </c>
      <c r="O440" t="s">
        <v>29</v>
      </c>
      <c r="P440" t="s">
        <v>29</v>
      </c>
      <c r="Q440" t="s">
        <v>29</v>
      </c>
      <c r="R440" t="s">
        <v>29</v>
      </c>
      <c r="S440">
        <v>10.081167346674899</v>
      </c>
      <c r="T440" t="s">
        <v>29</v>
      </c>
      <c r="U440" t="s">
        <v>29</v>
      </c>
      <c r="V440" t="s">
        <v>29</v>
      </c>
      <c r="W440" t="s">
        <v>29</v>
      </c>
      <c r="X440" t="s">
        <v>29</v>
      </c>
      <c r="Y440" t="s">
        <v>29</v>
      </c>
    </row>
    <row r="441" spans="1:25" x14ac:dyDescent="0.2">
      <c r="A441" t="s">
        <v>1647</v>
      </c>
      <c r="B441" t="s">
        <v>1648</v>
      </c>
      <c r="C441" t="s">
        <v>1649</v>
      </c>
      <c r="D441" t="s">
        <v>1502</v>
      </c>
      <c r="E441" t="s">
        <v>1648</v>
      </c>
      <c r="F441" t="s">
        <v>28</v>
      </c>
      <c r="G441" t="s">
        <v>1648</v>
      </c>
      <c r="H441" t="str">
        <f>"sca-1"</f>
        <v>sca-1</v>
      </c>
      <c r="I441" t="s">
        <v>1502</v>
      </c>
      <c r="J441">
        <v>20.373217007339601</v>
      </c>
      <c r="K441">
        <v>20.176343122638201</v>
      </c>
      <c r="L441">
        <v>20.142347498717999</v>
      </c>
      <c r="M441">
        <v>19.5853531575397</v>
      </c>
      <c r="N441">
        <v>19.776333185797601</v>
      </c>
      <c r="O441">
        <v>19.919964329098001</v>
      </c>
      <c r="P441">
        <v>-0.47008565208681202</v>
      </c>
      <c r="Q441">
        <v>-0.81258031801508301</v>
      </c>
      <c r="R441">
        <v>-0.127590986158541</v>
      </c>
      <c r="S441">
        <v>19.980234325131001</v>
      </c>
      <c r="T441">
        <v>-2.8847999173772099</v>
      </c>
      <c r="U441">
        <v>-3.5745581832120799</v>
      </c>
      <c r="V441">
        <v>9.9057760545736701E-3</v>
      </c>
      <c r="W441">
        <v>4.5470906593191002E-2</v>
      </c>
      <c r="X441">
        <v>0</v>
      </c>
      <c r="Y441">
        <v>0</v>
      </c>
    </row>
    <row r="442" spans="1:25" x14ac:dyDescent="0.2">
      <c r="A442" t="s">
        <v>1650</v>
      </c>
      <c r="B442" t="s">
        <v>1651</v>
      </c>
      <c r="C442" t="s">
        <v>1652</v>
      </c>
      <c r="D442" t="s">
        <v>1653</v>
      </c>
      <c r="E442" t="s">
        <v>1651</v>
      </c>
      <c r="F442" t="s">
        <v>28</v>
      </c>
      <c r="G442" t="s">
        <v>1651</v>
      </c>
      <c r="H442" t="str">
        <f>"vha-5"</f>
        <v>vha-5</v>
      </c>
      <c r="I442" t="s">
        <v>1653</v>
      </c>
      <c r="J442">
        <v>12.2431183102492</v>
      </c>
      <c r="K442">
        <v>11.9375194500894</v>
      </c>
      <c r="L442">
        <v>11.9787894106565</v>
      </c>
      <c r="M442" t="s">
        <v>29</v>
      </c>
      <c r="N442">
        <v>11.371379118928299</v>
      </c>
      <c r="O442" t="s">
        <v>29</v>
      </c>
      <c r="P442">
        <v>-0.68176327140342796</v>
      </c>
      <c r="Q442">
        <v>-1.76376214373101</v>
      </c>
      <c r="R442">
        <v>0.400235600924153</v>
      </c>
      <c r="S442">
        <v>11.891307818368199</v>
      </c>
      <c r="T442">
        <v>-1.35237983179215</v>
      </c>
      <c r="U442">
        <v>-5.9033920680213301</v>
      </c>
      <c r="V442">
        <v>0.197854390149758</v>
      </c>
      <c r="W442">
        <v>0.35705871878220302</v>
      </c>
      <c r="X442">
        <v>0</v>
      </c>
      <c r="Y442">
        <v>0</v>
      </c>
    </row>
    <row r="443" spans="1:25" x14ac:dyDescent="0.2">
      <c r="A443" t="s">
        <v>1654</v>
      </c>
      <c r="B443" t="s">
        <v>1655</v>
      </c>
      <c r="C443" t="s">
        <v>1656</v>
      </c>
      <c r="D443" t="s">
        <v>1657</v>
      </c>
      <c r="E443" t="s">
        <v>1655</v>
      </c>
      <c r="F443" t="s">
        <v>28</v>
      </c>
      <c r="G443" t="s">
        <v>1655</v>
      </c>
      <c r="H443" t="str">
        <f>"ldb-1"</f>
        <v>ldb-1</v>
      </c>
      <c r="I443" t="s">
        <v>1657</v>
      </c>
      <c r="J443">
        <v>12.309040047451401</v>
      </c>
      <c r="K443">
        <v>12.9609904025349</v>
      </c>
      <c r="L443">
        <v>12.8625469956392</v>
      </c>
      <c r="M443" t="s">
        <v>29</v>
      </c>
      <c r="N443">
        <v>12.910393040865699</v>
      </c>
      <c r="O443">
        <v>12.7071666951197</v>
      </c>
      <c r="P443">
        <v>9.7920719450920402E-2</v>
      </c>
      <c r="Q443">
        <v>-0.38993327643021097</v>
      </c>
      <c r="R443">
        <v>0.58577471533205205</v>
      </c>
      <c r="S443">
        <v>13.149019481839201</v>
      </c>
      <c r="T443">
        <v>0.42367685763107499</v>
      </c>
      <c r="U443">
        <v>-6.9516205128503801</v>
      </c>
      <c r="V443">
        <v>0.67714625771907799</v>
      </c>
      <c r="W443">
        <v>0.78813192002295496</v>
      </c>
      <c r="X443">
        <v>0</v>
      </c>
      <c r="Y443">
        <v>0</v>
      </c>
    </row>
    <row r="444" spans="1:25" x14ac:dyDescent="0.2">
      <c r="A444" t="s">
        <v>1658</v>
      </c>
      <c r="B444" t="s">
        <v>1659</v>
      </c>
      <c r="C444" t="s">
        <v>1660</v>
      </c>
      <c r="D444" t="s">
        <v>534</v>
      </c>
      <c r="E444" t="s">
        <v>1659</v>
      </c>
      <c r="F444" t="s">
        <v>28</v>
      </c>
      <c r="G444" t="s">
        <v>1659</v>
      </c>
      <c r="H444" t="str">
        <f>"plrg-1"</f>
        <v>plrg-1</v>
      </c>
      <c r="I444" t="s">
        <v>534</v>
      </c>
      <c r="J444" t="s">
        <v>29</v>
      </c>
      <c r="K444">
        <v>11.346661620494</v>
      </c>
      <c r="L444">
        <v>11.906667514282301</v>
      </c>
      <c r="M444" t="s">
        <v>29</v>
      </c>
      <c r="N444" t="s">
        <v>29</v>
      </c>
      <c r="O444" t="s">
        <v>29</v>
      </c>
      <c r="P444" t="s">
        <v>29</v>
      </c>
      <c r="Q444" t="s">
        <v>29</v>
      </c>
      <c r="R444" t="s">
        <v>29</v>
      </c>
      <c r="S444">
        <v>11.964849573745999</v>
      </c>
      <c r="T444" t="s">
        <v>29</v>
      </c>
      <c r="U444" t="s">
        <v>29</v>
      </c>
      <c r="V444" t="s">
        <v>29</v>
      </c>
      <c r="W444" t="s">
        <v>29</v>
      </c>
      <c r="X444" t="s">
        <v>29</v>
      </c>
      <c r="Y444" t="s">
        <v>29</v>
      </c>
    </row>
    <row r="445" spans="1:25" x14ac:dyDescent="0.2">
      <c r="A445" t="s">
        <v>1661</v>
      </c>
      <c r="B445" t="s">
        <v>1662</v>
      </c>
      <c r="C445" t="s">
        <v>1663</v>
      </c>
      <c r="D445" t="s">
        <v>901</v>
      </c>
      <c r="E445" t="s">
        <v>1662</v>
      </c>
      <c r="F445" t="s">
        <v>28</v>
      </c>
      <c r="G445" t="s">
        <v>1662</v>
      </c>
      <c r="H445" t="str">
        <f>"nhr-70"</f>
        <v>nhr-70</v>
      </c>
      <c r="I445" t="s">
        <v>901</v>
      </c>
      <c r="J445">
        <v>11.431458861905901</v>
      </c>
      <c r="K445">
        <v>11.7398203100374</v>
      </c>
      <c r="L445">
        <v>11.561287381933299</v>
      </c>
      <c r="M445" t="s">
        <v>29</v>
      </c>
      <c r="N445" t="s">
        <v>29</v>
      </c>
      <c r="O445" t="s">
        <v>29</v>
      </c>
      <c r="P445" t="s">
        <v>29</v>
      </c>
      <c r="Q445" t="s">
        <v>29</v>
      </c>
      <c r="R445" t="s">
        <v>29</v>
      </c>
      <c r="S445">
        <v>12.0201176903487</v>
      </c>
      <c r="T445" t="s">
        <v>29</v>
      </c>
      <c r="U445" t="s">
        <v>29</v>
      </c>
      <c r="V445" t="s">
        <v>29</v>
      </c>
      <c r="W445" t="s">
        <v>29</v>
      </c>
      <c r="X445" t="s">
        <v>29</v>
      </c>
      <c r="Y445" t="s">
        <v>29</v>
      </c>
    </row>
    <row r="446" spans="1:25" x14ac:dyDescent="0.2">
      <c r="A446" t="s">
        <v>1664</v>
      </c>
      <c r="B446" t="s">
        <v>1665</v>
      </c>
      <c r="C446" t="s">
        <v>1666</v>
      </c>
      <c r="D446" t="s">
        <v>1667</v>
      </c>
      <c r="E446" t="s">
        <v>1665</v>
      </c>
      <c r="F446" t="s">
        <v>28</v>
      </c>
      <c r="G446" t="s">
        <v>1665</v>
      </c>
      <c r="H446" t="str">
        <f>"zyg-9"</f>
        <v>zyg-9</v>
      </c>
      <c r="I446" t="s">
        <v>1667</v>
      </c>
      <c r="J446">
        <v>14.889692370207801</v>
      </c>
      <c r="K446">
        <v>14.793627255219899</v>
      </c>
      <c r="L446">
        <v>14.8574529779044</v>
      </c>
      <c r="M446" t="s">
        <v>29</v>
      </c>
      <c r="N446">
        <v>13.927622274203401</v>
      </c>
      <c r="O446">
        <v>14.413909700305499</v>
      </c>
      <c r="P446">
        <v>-0.67615821385629404</v>
      </c>
      <c r="Q446">
        <v>-1.12269060618132</v>
      </c>
      <c r="R446">
        <v>-0.22962582153127001</v>
      </c>
      <c r="S446">
        <v>14.8009748274952</v>
      </c>
      <c r="T446">
        <v>-3.1962840850502401</v>
      </c>
      <c r="U446">
        <v>-2.8540984767206501</v>
      </c>
      <c r="V446">
        <v>5.3222000104202203E-3</v>
      </c>
      <c r="W446">
        <v>2.9371766724173E-2</v>
      </c>
      <c r="X446">
        <v>0</v>
      </c>
      <c r="Y446">
        <v>0</v>
      </c>
    </row>
    <row r="447" spans="1:25" x14ac:dyDescent="0.2">
      <c r="A447" t="s">
        <v>1668</v>
      </c>
      <c r="B447" t="s">
        <v>1669</v>
      </c>
      <c r="C447" t="s">
        <v>1670</v>
      </c>
      <c r="D447" t="s">
        <v>1671</v>
      </c>
      <c r="E447" t="s">
        <v>1669</v>
      </c>
      <c r="F447" t="s">
        <v>28</v>
      </c>
      <c r="G447" t="s">
        <v>1669</v>
      </c>
      <c r="H447" t="str">
        <f>"tap-1"</f>
        <v>tap-1</v>
      </c>
      <c r="I447" t="s">
        <v>1671</v>
      </c>
      <c r="J447" t="s">
        <v>29</v>
      </c>
      <c r="K447" t="s">
        <v>29</v>
      </c>
      <c r="L447" t="s">
        <v>29</v>
      </c>
      <c r="M447">
        <v>16.9161737474716</v>
      </c>
      <c r="N447">
        <v>17.8237898696113</v>
      </c>
      <c r="O447">
        <v>17.868127131254301</v>
      </c>
      <c r="P447" t="s">
        <v>29</v>
      </c>
      <c r="Q447" t="s">
        <v>29</v>
      </c>
      <c r="R447" t="s">
        <v>29</v>
      </c>
      <c r="S447">
        <v>15.719028572276301</v>
      </c>
      <c r="T447" t="s">
        <v>29</v>
      </c>
      <c r="U447" t="s">
        <v>29</v>
      </c>
      <c r="V447" t="s">
        <v>29</v>
      </c>
      <c r="W447" t="s">
        <v>29</v>
      </c>
      <c r="X447" t="s">
        <v>29</v>
      </c>
      <c r="Y447" t="s">
        <v>29</v>
      </c>
    </row>
    <row r="448" spans="1:25" x14ac:dyDescent="0.2">
      <c r="A448" t="s">
        <v>1672</v>
      </c>
      <c r="B448" t="s">
        <v>1673</v>
      </c>
      <c r="C448" t="s">
        <v>1674</v>
      </c>
      <c r="D448" t="s">
        <v>1675</v>
      </c>
      <c r="E448" t="s">
        <v>1673</v>
      </c>
      <c r="F448" t="s">
        <v>28</v>
      </c>
      <c r="G448" t="s">
        <v>1673</v>
      </c>
      <c r="H448" t="str">
        <f>"ipla-1"</f>
        <v>ipla-1</v>
      </c>
      <c r="I448" t="s">
        <v>1675</v>
      </c>
      <c r="J448">
        <v>14.219416626884</v>
      </c>
      <c r="K448">
        <v>13.752667560429799</v>
      </c>
      <c r="L448">
        <v>13.8241970493644</v>
      </c>
      <c r="M448" t="s">
        <v>29</v>
      </c>
      <c r="N448" t="s">
        <v>29</v>
      </c>
      <c r="O448" t="s">
        <v>29</v>
      </c>
      <c r="P448" t="s">
        <v>29</v>
      </c>
      <c r="Q448" t="s">
        <v>29</v>
      </c>
      <c r="R448" t="s">
        <v>29</v>
      </c>
      <c r="S448">
        <v>13.0562618434897</v>
      </c>
      <c r="T448" t="s">
        <v>29</v>
      </c>
      <c r="U448" t="s">
        <v>29</v>
      </c>
      <c r="V448" t="s">
        <v>29</v>
      </c>
      <c r="W448" t="s">
        <v>29</v>
      </c>
      <c r="X448" t="s">
        <v>29</v>
      </c>
      <c r="Y448" t="s">
        <v>29</v>
      </c>
    </row>
    <row r="449" spans="1:25" x14ac:dyDescent="0.2">
      <c r="A449" t="s">
        <v>1676</v>
      </c>
      <c r="B449" t="s">
        <v>1677</v>
      </c>
      <c r="C449" t="s">
        <v>1678</v>
      </c>
      <c r="D449" t="s">
        <v>1679</v>
      </c>
      <c r="E449" t="s">
        <v>1677</v>
      </c>
      <c r="F449" t="s">
        <v>28</v>
      </c>
      <c r="G449" t="s">
        <v>1677</v>
      </c>
      <c r="H449" t="str">
        <f>"ced-5"</f>
        <v>ced-5</v>
      </c>
      <c r="I449" t="s">
        <v>1679</v>
      </c>
      <c r="J449">
        <v>12.574463768407799</v>
      </c>
      <c r="K449">
        <v>12.3624117595262</v>
      </c>
      <c r="L449">
        <v>12.1226269959802</v>
      </c>
      <c r="M449" t="s">
        <v>29</v>
      </c>
      <c r="N449">
        <v>12.8740152661394</v>
      </c>
      <c r="O449">
        <v>12.480594179390399</v>
      </c>
      <c r="P449">
        <v>0.32413721479352198</v>
      </c>
      <c r="Q449">
        <v>-0.31078706049102001</v>
      </c>
      <c r="R449">
        <v>0.95906149007806396</v>
      </c>
      <c r="S449">
        <v>12.6144361212056</v>
      </c>
      <c r="T449">
        <v>1.0775984977366899</v>
      </c>
      <c r="U449">
        <v>-6.4552880976981903</v>
      </c>
      <c r="V449">
        <v>0.29635931581439701</v>
      </c>
      <c r="W449">
        <v>0.46480622868814597</v>
      </c>
      <c r="X449">
        <v>0</v>
      </c>
      <c r="Y449">
        <v>0</v>
      </c>
    </row>
    <row r="450" spans="1:25" x14ac:dyDescent="0.2">
      <c r="A450" t="s">
        <v>1680</v>
      </c>
      <c r="B450" t="s">
        <v>1681</v>
      </c>
      <c r="C450" t="s">
        <v>1682</v>
      </c>
      <c r="D450" t="s">
        <v>1683</v>
      </c>
      <c r="E450" t="s">
        <v>1681</v>
      </c>
      <c r="F450" t="s">
        <v>28</v>
      </c>
      <c r="G450" t="s">
        <v>1681</v>
      </c>
      <c r="H450" t="str">
        <f>"gck-3"</f>
        <v>gck-3</v>
      </c>
      <c r="I450" t="s">
        <v>1683</v>
      </c>
      <c r="J450">
        <v>14.6187431203739</v>
      </c>
      <c r="K450">
        <v>14.3615911891828</v>
      </c>
      <c r="L450">
        <v>14.308419971859401</v>
      </c>
      <c r="M450">
        <v>13.806250038317099</v>
      </c>
      <c r="N450">
        <v>14.2013448815669</v>
      </c>
      <c r="O450">
        <v>14.434011759011799</v>
      </c>
      <c r="P450">
        <v>-0.282382534173449</v>
      </c>
      <c r="Q450">
        <v>-0.69281682990617899</v>
      </c>
      <c r="R450">
        <v>0.128051761559281</v>
      </c>
      <c r="S450">
        <v>13.8056083612978</v>
      </c>
      <c r="T450">
        <v>-1.44606129300035</v>
      </c>
      <c r="U450">
        <v>-6.1187878090915904</v>
      </c>
      <c r="V450">
        <v>0.16544761959459001</v>
      </c>
      <c r="W450">
        <v>0.314361144387658</v>
      </c>
      <c r="X450">
        <v>0</v>
      </c>
      <c r="Y450">
        <v>0</v>
      </c>
    </row>
    <row r="451" spans="1:25" x14ac:dyDescent="0.2">
      <c r="A451" t="s">
        <v>1684</v>
      </c>
      <c r="B451" t="s">
        <v>1685</v>
      </c>
      <c r="C451" t="s">
        <v>1686</v>
      </c>
      <c r="D451" t="s">
        <v>1687</v>
      </c>
      <c r="E451" t="s">
        <v>1685</v>
      </c>
      <c r="F451" t="s">
        <v>28</v>
      </c>
      <c r="G451" t="s">
        <v>1685</v>
      </c>
      <c r="H451" t="str">
        <f>"rad-54.l"</f>
        <v>rad-54.l</v>
      </c>
      <c r="I451" t="s">
        <v>1687</v>
      </c>
      <c r="J451" t="s">
        <v>29</v>
      </c>
      <c r="K451" t="s">
        <v>29</v>
      </c>
      <c r="L451" t="s">
        <v>29</v>
      </c>
      <c r="M451" t="s">
        <v>29</v>
      </c>
      <c r="N451" t="s">
        <v>29</v>
      </c>
      <c r="O451" t="s">
        <v>29</v>
      </c>
      <c r="P451" t="s">
        <v>29</v>
      </c>
      <c r="Q451" t="s">
        <v>29</v>
      </c>
      <c r="R451" t="s">
        <v>29</v>
      </c>
      <c r="S451">
        <v>13.4240184415982</v>
      </c>
      <c r="T451" t="s">
        <v>29</v>
      </c>
      <c r="U451" t="s">
        <v>29</v>
      </c>
      <c r="V451" t="s">
        <v>29</v>
      </c>
      <c r="W451" t="s">
        <v>29</v>
      </c>
      <c r="X451" t="s">
        <v>29</v>
      </c>
      <c r="Y451" t="s">
        <v>29</v>
      </c>
    </row>
    <row r="452" spans="1:25" x14ac:dyDescent="0.2">
      <c r="A452" t="s">
        <v>1688</v>
      </c>
      <c r="B452" t="s">
        <v>1689</v>
      </c>
      <c r="C452" t="s">
        <v>14264</v>
      </c>
      <c r="D452" t="s">
        <v>1690</v>
      </c>
      <c r="E452" t="s">
        <v>1689</v>
      </c>
      <c r="F452" t="s">
        <v>28</v>
      </c>
      <c r="G452" t="s">
        <v>1689</v>
      </c>
      <c r="H452" t="str">
        <f>"Y39A1A.3"</f>
        <v>Y39A1A.3</v>
      </c>
      <c r="I452" t="s">
        <v>1690</v>
      </c>
      <c r="J452">
        <v>10.761835547939301</v>
      </c>
      <c r="K452">
        <v>11.9478501226502</v>
      </c>
      <c r="L452">
        <v>11.2482936056675</v>
      </c>
      <c r="M452" t="s">
        <v>29</v>
      </c>
      <c r="N452" t="s">
        <v>29</v>
      </c>
      <c r="O452" t="s">
        <v>29</v>
      </c>
      <c r="P452" t="s">
        <v>29</v>
      </c>
      <c r="Q452" t="s">
        <v>29</v>
      </c>
      <c r="R452" t="s">
        <v>29</v>
      </c>
      <c r="S452">
        <v>11.805887698832899</v>
      </c>
      <c r="T452" t="s">
        <v>29</v>
      </c>
      <c r="U452" t="s">
        <v>29</v>
      </c>
      <c r="V452" t="s">
        <v>29</v>
      </c>
      <c r="W452" t="s">
        <v>29</v>
      </c>
      <c r="X452" t="s">
        <v>29</v>
      </c>
      <c r="Y452" t="s">
        <v>29</v>
      </c>
    </row>
    <row r="453" spans="1:25" x14ac:dyDescent="0.2">
      <c r="A453" t="s">
        <v>1691</v>
      </c>
      <c r="B453" t="s">
        <v>1692</v>
      </c>
      <c r="C453" t="s">
        <v>1693</v>
      </c>
      <c r="D453" t="s">
        <v>1694</v>
      </c>
      <c r="E453" t="s">
        <v>1692</v>
      </c>
      <c r="F453" t="s">
        <v>28</v>
      </c>
      <c r="G453" t="s">
        <v>1692</v>
      </c>
      <c r="H453" t="str">
        <f>"fce-2"</f>
        <v>fce-2</v>
      </c>
      <c r="I453" t="s">
        <v>1694</v>
      </c>
      <c r="J453" t="s">
        <v>29</v>
      </c>
      <c r="K453" t="s">
        <v>29</v>
      </c>
      <c r="L453" t="s">
        <v>29</v>
      </c>
      <c r="M453" t="s">
        <v>29</v>
      </c>
      <c r="N453" t="s">
        <v>29</v>
      </c>
      <c r="O453">
        <v>12.6079065247178</v>
      </c>
      <c r="P453" t="s">
        <v>29</v>
      </c>
      <c r="Q453" t="s">
        <v>29</v>
      </c>
      <c r="R453" t="s">
        <v>29</v>
      </c>
      <c r="S453">
        <v>11.969190726375</v>
      </c>
      <c r="T453" t="s">
        <v>29</v>
      </c>
      <c r="U453" t="s">
        <v>29</v>
      </c>
      <c r="V453" t="s">
        <v>29</v>
      </c>
      <c r="W453" t="s">
        <v>29</v>
      </c>
      <c r="X453" t="s">
        <v>29</v>
      </c>
      <c r="Y453" t="s">
        <v>29</v>
      </c>
    </row>
    <row r="454" spans="1:25" x14ac:dyDescent="0.2">
      <c r="A454" t="s">
        <v>1695</v>
      </c>
      <c r="B454" t="s">
        <v>1696</v>
      </c>
      <c r="C454" t="s">
        <v>1697</v>
      </c>
      <c r="D454" t="s">
        <v>1698</v>
      </c>
      <c r="E454" t="s">
        <v>1696</v>
      </c>
      <c r="F454" t="s">
        <v>28</v>
      </c>
      <c r="G454" t="s">
        <v>1696</v>
      </c>
      <c r="H454" t="str">
        <f>"sftb-1"</f>
        <v>sftb-1</v>
      </c>
      <c r="I454" t="s">
        <v>1698</v>
      </c>
      <c r="J454">
        <v>13.6879974991427</v>
      </c>
      <c r="K454">
        <v>13.923082717124499</v>
      </c>
      <c r="L454">
        <v>13.880922579373699</v>
      </c>
      <c r="M454">
        <v>12.7275638276894</v>
      </c>
      <c r="N454">
        <v>14.0328805901301</v>
      </c>
      <c r="O454">
        <v>13.693239905146299</v>
      </c>
      <c r="P454">
        <v>-0.34610615755839502</v>
      </c>
      <c r="Q454">
        <v>-0.94043950693810396</v>
      </c>
      <c r="R454">
        <v>0.248227191821313</v>
      </c>
      <c r="S454">
        <v>14.152902001849901</v>
      </c>
      <c r="T454">
        <v>-1.2239727214570399</v>
      </c>
      <c r="U454">
        <v>-6.4014707073269301</v>
      </c>
      <c r="V454">
        <v>0.23683371567233399</v>
      </c>
      <c r="W454">
        <v>0.40220621084819203</v>
      </c>
      <c r="X454">
        <v>0</v>
      </c>
      <c r="Y454">
        <v>0</v>
      </c>
    </row>
    <row r="455" spans="1:25" x14ac:dyDescent="0.2">
      <c r="A455" t="s">
        <v>1699</v>
      </c>
      <c r="B455" t="s">
        <v>1700</v>
      </c>
      <c r="C455" t="s">
        <v>1701</v>
      </c>
      <c r="D455" t="s">
        <v>1702</v>
      </c>
      <c r="E455" t="s">
        <v>1700</v>
      </c>
      <c r="F455" t="s">
        <v>28</v>
      </c>
      <c r="G455" t="s">
        <v>1700</v>
      </c>
      <c r="H455" t="str">
        <f>"alg-1"</f>
        <v>alg-1</v>
      </c>
      <c r="I455" t="s">
        <v>1702</v>
      </c>
      <c r="J455">
        <v>13.4969972896688</v>
      </c>
      <c r="K455">
        <v>14.1745283280012</v>
      </c>
      <c r="L455">
        <v>14.2835432656014</v>
      </c>
      <c r="M455">
        <v>13.2598576648658</v>
      </c>
      <c r="N455">
        <v>13.924651414479801</v>
      </c>
      <c r="O455">
        <v>14.1902921075043</v>
      </c>
      <c r="P455">
        <v>-0.19342256547384401</v>
      </c>
      <c r="Q455">
        <v>-0.80549751837474104</v>
      </c>
      <c r="R455">
        <v>0.41865238742705402</v>
      </c>
      <c r="S455">
        <v>14.3497200712794</v>
      </c>
      <c r="T455">
        <v>-0.66419414763017004</v>
      </c>
      <c r="U455">
        <v>-6.9276119379127197</v>
      </c>
      <c r="V455">
        <v>0.51503379693476403</v>
      </c>
      <c r="W455">
        <v>0.66804779910508305</v>
      </c>
      <c r="X455">
        <v>0</v>
      </c>
      <c r="Y455">
        <v>0</v>
      </c>
    </row>
    <row r="456" spans="1:25" x14ac:dyDescent="0.2">
      <c r="A456" t="s">
        <v>1703</v>
      </c>
      <c r="B456" t="s">
        <v>1704</v>
      </c>
      <c r="C456" t="s">
        <v>1705</v>
      </c>
      <c r="D456" t="s">
        <v>1706</v>
      </c>
      <c r="E456" t="s">
        <v>1704</v>
      </c>
      <c r="F456" t="s">
        <v>28</v>
      </c>
      <c r="G456" t="s">
        <v>1704</v>
      </c>
      <c r="H456" t="str">
        <f>"ufd-3"</f>
        <v>ufd-3</v>
      </c>
      <c r="I456" t="s">
        <v>1706</v>
      </c>
      <c r="J456">
        <v>12.7102140961687</v>
      </c>
      <c r="K456">
        <v>12.6811677271367</v>
      </c>
      <c r="L456">
        <v>12.6025783971059</v>
      </c>
      <c r="M456">
        <v>14.777473050246799</v>
      </c>
      <c r="N456">
        <v>15.3669139958079</v>
      </c>
      <c r="O456">
        <v>14.6941407792068</v>
      </c>
      <c r="P456">
        <v>2.2815225349501</v>
      </c>
      <c r="Q456">
        <v>1.8061869557487</v>
      </c>
      <c r="R456">
        <v>2.7568581141515001</v>
      </c>
      <c r="S456">
        <v>13.5282176972791</v>
      </c>
      <c r="T456">
        <v>10.0882759476694</v>
      </c>
      <c r="U456">
        <v>10.480869961163799</v>
      </c>
      <c r="V456" s="2">
        <v>8.2603815712854905E-9</v>
      </c>
      <c r="W456" s="2">
        <v>1.1592068805037301E-6</v>
      </c>
      <c r="X456">
        <v>1</v>
      </c>
      <c r="Y456">
        <v>1</v>
      </c>
    </row>
    <row r="457" spans="1:25" x14ac:dyDescent="0.2">
      <c r="A457" t="s">
        <v>1707</v>
      </c>
      <c r="B457" t="s">
        <v>1708</v>
      </c>
      <c r="C457" t="s">
        <v>1709</v>
      </c>
      <c r="D457" t="s">
        <v>1710</v>
      </c>
      <c r="E457" t="s">
        <v>1708</v>
      </c>
      <c r="F457" t="s">
        <v>28</v>
      </c>
      <c r="G457" t="s">
        <v>1708</v>
      </c>
      <c r="H457" t="str">
        <f>"txl-1"</f>
        <v>txl-1</v>
      </c>
      <c r="I457" t="s">
        <v>1710</v>
      </c>
      <c r="J457">
        <v>12.018839695545299</v>
      </c>
      <c r="K457">
        <v>12.742008559831399</v>
      </c>
      <c r="L457">
        <v>11.239904278333601</v>
      </c>
      <c r="M457" t="s">
        <v>29</v>
      </c>
      <c r="N457">
        <v>13.5062970102116</v>
      </c>
      <c r="O457">
        <v>14.4155878578018</v>
      </c>
      <c r="P457">
        <v>1.96069158943657</v>
      </c>
      <c r="Q457">
        <v>1.19723645139034</v>
      </c>
      <c r="R457">
        <v>2.7241467274828</v>
      </c>
      <c r="S457">
        <v>12.9064336683767</v>
      </c>
      <c r="T457">
        <v>5.4209546834545703</v>
      </c>
      <c r="U457">
        <v>1.8561338048860201</v>
      </c>
      <c r="V457" s="2">
        <v>4.6857837281041099E-5</v>
      </c>
      <c r="W457">
        <v>9.7246511596639496E-4</v>
      </c>
      <c r="X457">
        <v>1</v>
      </c>
      <c r="Y457">
        <v>1</v>
      </c>
    </row>
    <row r="458" spans="1:25" x14ac:dyDescent="0.2">
      <c r="A458" t="s">
        <v>1711</v>
      </c>
      <c r="B458" t="s">
        <v>1712</v>
      </c>
      <c r="C458" t="s">
        <v>1713</v>
      </c>
      <c r="D458" t="s">
        <v>1714</v>
      </c>
      <c r="E458" t="s">
        <v>1712</v>
      </c>
      <c r="F458" t="s">
        <v>28</v>
      </c>
      <c r="G458" t="s">
        <v>1712</v>
      </c>
      <c r="H458" t="str">
        <f>"dut-1"</f>
        <v>dut-1</v>
      </c>
      <c r="I458" t="s">
        <v>1714</v>
      </c>
      <c r="J458">
        <v>11.534904113826901</v>
      </c>
      <c r="K458">
        <v>11.583909431677499</v>
      </c>
      <c r="L458">
        <v>11.3837966268537</v>
      </c>
      <c r="M458" t="s">
        <v>29</v>
      </c>
      <c r="N458" t="s">
        <v>29</v>
      </c>
      <c r="O458">
        <v>11.599162102507901</v>
      </c>
      <c r="P458">
        <v>9.8292045055179897E-2</v>
      </c>
      <c r="Q458">
        <v>-0.634630432224362</v>
      </c>
      <c r="R458">
        <v>0.83121452233472104</v>
      </c>
      <c r="S458">
        <v>11.8577213569296</v>
      </c>
      <c r="T458">
        <v>0.287840713811918</v>
      </c>
      <c r="U458">
        <v>-6.7689513290664296</v>
      </c>
      <c r="V458">
        <v>0.77771725554332005</v>
      </c>
      <c r="W458">
        <v>0.85936736111217205</v>
      </c>
      <c r="X458">
        <v>0</v>
      </c>
      <c r="Y458">
        <v>0</v>
      </c>
    </row>
    <row r="459" spans="1:25" x14ac:dyDescent="0.2">
      <c r="A459" t="s">
        <v>1715</v>
      </c>
      <c r="B459" t="s">
        <v>1716</v>
      </c>
      <c r="C459" t="s">
        <v>1717</v>
      </c>
      <c r="D459" t="s">
        <v>965</v>
      </c>
      <c r="E459" t="s">
        <v>1716</v>
      </c>
      <c r="F459" t="s">
        <v>28</v>
      </c>
      <c r="G459" t="s">
        <v>1716</v>
      </c>
      <c r="H459" t="str">
        <f>"cdr-6"</f>
        <v>cdr-6</v>
      </c>
      <c r="I459" t="s">
        <v>965</v>
      </c>
      <c r="J459">
        <v>15.2601846642153</v>
      </c>
      <c r="K459">
        <v>15.225481118135701</v>
      </c>
      <c r="L459">
        <v>15.1439247377629</v>
      </c>
      <c r="M459" t="s">
        <v>29</v>
      </c>
      <c r="N459">
        <v>15.031243332626</v>
      </c>
      <c r="O459">
        <v>14.9502662351633</v>
      </c>
      <c r="P459">
        <v>-0.21910872280999</v>
      </c>
      <c r="Q459">
        <v>-0.61287260634097995</v>
      </c>
      <c r="R459">
        <v>0.17465516072100001</v>
      </c>
      <c r="S459">
        <v>15.374177152416999</v>
      </c>
      <c r="T459">
        <v>-1.1745561977850301</v>
      </c>
      <c r="U459">
        <v>-6.3485902111994497</v>
      </c>
      <c r="V459">
        <v>0.25646236492727498</v>
      </c>
      <c r="W459">
        <v>0.42393290365449798</v>
      </c>
      <c r="X459">
        <v>0</v>
      </c>
      <c r="Y459">
        <v>0</v>
      </c>
    </row>
    <row r="460" spans="1:25" x14ac:dyDescent="0.2">
      <c r="A460" t="s">
        <v>1718</v>
      </c>
      <c r="B460" t="s">
        <v>1719</v>
      </c>
      <c r="C460" t="s">
        <v>1720</v>
      </c>
      <c r="D460" t="s">
        <v>1721</v>
      </c>
      <c r="E460" t="s">
        <v>1719</v>
      </c>
      <c r="F460" t="s">
        <v>28</v>
      </c>
      <c r="G460" t="s">
        <v>1719</v>
      </c>
      <c r="H460" t="str">
        <f>"efa-6"</f>
        <v>efa-6</v>
      </c>
      <c r="I460" t="s">
        <v>1721</v>
      </c>
      <c r="J460">
        <v>10.697092645768199</v>
      </c>
      <c r="K460">
        <v>10.6134227384302</v>
      </c>
      <c r="L460">
        <v>10.5977058621901</v>
      </c>
      <c r="M460" t="s">
        <v>29</v>
      </c>
      <c r="N460" t="s">
        <v>29</v>
      </c>
      <c r="O460" t="s">
        <v>29</v>
      </c>
      <c r="P460" t="s">
        <v>29</v>
      </c>
      <c r="Q460" t="s">
        <v>29</v>
      </c>
      <c r="R460" t="s">
        <v>29</v>
      </c>
      <c r="S460">
        <v>10.288610843425801</v>
      </c>
      <c r="T460" t="s">
        <v>29</v>
      </c>
      <c r="U460" t="s">
        <v>29</v>
      </c>
      <c r="V460" t="s">
        <v>29</v>
      </c>
      <c r="W460" t="s">
        <v>29</v>
      </c>
      <c r="X460" t="s">
        <v>29</v>
      </c>
      <c r="Y460" t="s">
        <v>29</v>
      </c>
    </row>
    <row r="461" spans="1:25" x14ac:dyDescent="0.2">
      <c r="A461" t="s">
        <v>1722</v>
      </c>
      <c r="B461" t="s">
        <v>1723</v>
      </c>
      <c r="C461" t="s">
        <v>1724</v>
      </c>
      <c r="D461" t="s">
        <v>945</v>
      </c>
      <c r="E461" t="s">
        <v>1723</v>
      </c>
      <c r="F461" t="s">
        <v>28</v>
      </c>
      <c r="G461" t="s">
        <v>1723</v>
      </c>
      <c r="H461" t="str">
        <f>"pud-1.2"</f>
        <v>pud-1.2</v>
      </c>
      <c r="I461" t="s">
        <v>945</v>
      </c>
      <c r="J461" t="s">
        <v>29</v>
      </c>
      <c r="K461" t="s">
        <v>29</v>
      </c>
      <c r="L461" t="s">
        <v>29</v>
      </c>
      <c r="M461" t="s">
        <v>29</v>
      </c>
      <c r="N461">
        <v>15.0130266830247</v>
      </c>
      <c r="O461">
        <v>14.3286435202891</v>
      </c>
      <c r="P461" t="s">
        <v>29</v>
      </c>
      <c r="Q461" t="s">
        <v>29</v>
      </c>
      <c r="R461" t="s">
        <v>29</v>
      </c>
      <c r="S461">
        <v>12.577568964952199</v>
      </c>
      <c r="T461" t="s">
        <v>29</v>
      </c>
      <c r="U461" t="s">
        <v>29</v>
      </c>
      <c r="V461" t="s">
        <v>29</v>
      </c>
      <c r="W461" t="s">
        <v>29</v>
      </c>
      <c r="X461" t="s">
        <v>29</v>
      </c>
      <c r="Y461" t="s">
        <v>29</v>
      </c>
    </row>
    <row r="462" spans="1:25" x14ac:dyDescent="0.2">
      <c r="A462" t="s">
        <v>1725</v>
      </c>
      <c r="B462" t="s">
        <v>1726</v>
      </c>
      <c r="C462" t="s">
        <v>1727</v>
      </c>
      <c r="D462" t="s">
        <v>1728</v>
      </c>
      <c r="E462" t="s">
        <v>1726</v>
      </c>
      <c r="F462" t="s">
        <v>28</v>
      </c>
      <c r="G462" t="s">
        <v>1726</v>
      </c>
      <c r="H462" t="str">
        <f>"nbet-1"</f>
        <v>nbet-1</v>
      </c>
      <c r="I462" t="s">
        <v>1728</v>
      </c>
      <c r="J462">
        <v>11.492436891521001</v>
      </c>
      <c r="K462" t="s">
        <v>29</v>
      </c>
      <c r="L462" t="s">
        <v>29</v>
      </c>
      <c r="M462">
        <v>13.895900069881501</v>
      </c>
      <c r="N462">
        <v>13.749488289223001</v>
      </c>
      <c r="O462">
        <v>15.060998673602599</v>
      </c>
      <c r="P462">
        <v>2.74302545271473</v>
      </c>
      <c r="Q462">
        <v>1.6734225184890701</v>
      </c>
      <c r="R462">
        <v>3.8126283869403901</v>
      </c>
      <c r="S462">
        <v>13.263142577137501</v>
      </c>
      <c r="T462">
        <v>5.5930958801815596</v>
      </c>
      <c r="U462">
        <v>1.3015582513898201</v>
      </c>
      <c r="V462">
        <v>1.21304234713957E-4</v>
      </c>
      <c r="W462">
        <v>2.0083347174271399E-3</v>
      </c>
      <c r="X462">
        <v>1</v>
      </c>
      <c r="Y462">
        <v>1</v>
      </c>
    </row>
    <row r="463" spans="1:25" x14ac:dyDescent="0.2">
      <c r="A463" t="s">
        <v>1729</v>
      </c>
      <c r="B463" t="s">
        <v>1730</v>
      </c>
      <c r="C463" t="s">
        <v>1731</v>
      </c>
      <c r="D463" t="s">
        <v>1732</v>
      </c>
      <c r="E463" t="s">
        <v>1730</v>
      </c>
      <c r="F463" t="s">
        <v>28</v>
      </c>
      <c r="G463" t="s">
        <v>1730</v>
      </c>
      <c r="H463" t="str">
        <f>"set-25"</f>
        <v>set-25</v>
      </c>
      <c r="I463" t="s">
        <v>1732</v>
      </c>
      <c r="J463" t="s">
        <v>29</v>
      </c>
      <c r="K463" t="s">
        <v>29</v>
      </c>
      <c r="L463" t="s">
        <v>29</v>
      </c>
      <c r="M463" t="s">
        <v>29</v>
      </c>
      <c r="N463" t="s">
        <v>29</v>
      </c>
      <c r="O463" t="s">
        <v>29</v>
      </c>
      <c r="P463" t="s">
        <v>29</v>
      </c>
      <c r="Q463" t="s">
        <v>29</v>
      </c>
      <c r="R463" t="s">
        <v>29</v>
      </c>
      <c r="S463">
        <v>11.2226139781912</v>
      </c>
      <c r="T463" t="s">
        <v>29</v>
      </c>
      <c r="U463" t="s">
        <v>29</v>
      </c>
      <c r="V463" t="s">
        <v>29</v>
      </c>
      <c r="W463" t="s">
        <v>29</v>
      </c>
      <c r="X463" t="s">
        <v>29</v>
      </c>
      <c r="Y463" t="s">
        <v>29</v>
      </c>
    </row>
    <row r="464" spans="1:25" x14ac:dyDescent="0.2">
      <c r="A464" t="s">
        <v>1733</v>
      </c>
      <c r="B464" t="s">
        <v>1734</v>
      </c>
      <c r="C464" t="s">
        <v>1735</v>
      </c>
      <c r="D464" t="s">
        <v>1736</v>
      </c>
      <c r="E464" t="s">
        <v>1734</v>
      </c>
      <c r="F464" t="s">
        <v>28</v>
      </c>
      <c r="G464" t="s">
        <v>1734</v>
      </c>
      <c r="H464" t="str">
        <f>"trr-1"</f>
        <v>trr-1</v>
      </c>
      <c r="I464" t="s">
        <v>1736</v>
      </c>
      <c r="J464">
        <v>13.4317674719642</v>
      </c>
      <c r="K464">
        <v>13.8588218780839</v>
      </c>
      <c r="L464">
        <v>13.6595522944801</v>
      </c>
      <c r="M464">
        <v>13.690735801269399</v>
      </c>
      <c r="N464">
        <v>13.3781373355501</v>
      </c>
      <c r="O464">
        <v>13.5493959181214</v>
      </c>
      <c r="P464">
        <v>-0.110624196529121</v>
      </c>
      <c r="Q464">
        <v>-0.52689525502745205</v>
      </c>
      <c r="R464">
        <v>0.30564686196920898</v>
      </c>
      <c r="S464">
        <v>13.966418353771701</v>
      </c>
      <c r="T464">
        <v>-0.55855561912131402</v>
      </c>
      <c r="U464">
        <v>-6.9939940856901597</v>
      </c>
      <c r="V464">
        <v>0.58338729572272696</v>
      </c>
      <c r="W464">
        <v>0.72115870826127404</v>
      </c>
      <c r="X464">
        <v>0</v>
      </c>
      <c r="Y464">
        <v>0</v>
      </c>
    </row>
    <row r="465" spans="1:25" x14ac:dyDescent="0.2">
      <c r="A465" t="s">
        <v>1737</v>
      </c>
      <c r="B465" t="s">
        <v>1738</v>
      </c>
      <c r="C465" t="s">
        <v>1739</v>
      </c>
      <c r="D465" t="s">
        <v>1740</v>
      </c>
      <c r="E465" t="s">
        <v>1738</v>
      </c>
      <c r="F465" t="s">
        <v>28</v>
      </c>
      <c r="G465" t="s">
        <v>1738</v>
      </c>
      <c r="H465" t="str">
        <f>"pud-3"</f>
        <v>pud-3</v>
      </c>
      <c r="I465" t="s">
        <v>1740</v>
      </c>
      <c r="J465">
        <v>15.3121547128207</v>
      </c>
      <c r="K465">
        <v>15.094281319254399</v>
      </c>
      <c r="L465">
        <v>14.694136123487</v>
      </c>
      <c r="M465">
        <v>15.276765776906799</v>
      </c>
      <c r="N465">
        <v>15.2721851708469</v>
      </c>
      <c r="O465">
        <v>15.358293377070501</v>
      </c>
      <c r="P465">
        <v>0.26889072308738798</v>
      </c>
      <c r="Q465">
        <v>-0.34121961166201498</v>
      </c>
      <c r="R465">
        <v>0.87900105783679106</v>
      </c>
      <c r="S465">
        <v>14.545197447237401</v>
      </c>
      <c r="T465">
        <v>0.92631767430156797</v>
      </c>
      <c r="U465">
        <v>-6.7165210226715999</v>
      </c>
      <c r="V465">
        <v>0.366605949116736</v>
      </c>
      <c r="W465">
        <v>0.53473449788558403</v>
      </c>
      <c r="X465">
        <v>0</v>
      </c>
      <c r="Y465">
        <v>0</v>
      </c>
    </row>
    <row r="466" spans="1:25" x14ac:dyDescent="0.2">
      <c r="A466" t="s">
        <v>1741</v>
      </c>
      <c r="B466" t="s">
        <v>1742</v>
      </c>
      <c r="C466" t="s">
        <v>1743</v>
      </c>
      <c r="D466" t="s">
        <v>1744</v>
      </c>
      <c r="E466" t="s">
        <v>1742</v>
      </c>
      <c r="F466" t="s">
        <v>28</v>
      </c>
      <c r="G466" t="s">
        <v>1742</v>
      </c>
      <c r="H466" t="str">
        <f>"C27C12.3"</f>
        <v>C27C12.3</v>
      </c>
      <c r="I466" t="s">
        <v>1744</v>
      </c>
      <c r="J466" t="s">
        <v>29</v>
      </c>
      <c r="K466" t="s">
        <v>29</v>
      </c>
      <c r="L466" t="s">
        <v>29</v>
      </c>
      <c r="M466" t="s">
        <v>29</v>
      </c>
      <c r="N466" t="s">
        <v>29</v>
      </c>
      <c r="O466" t="s">
        <v>29</v>
      </c>
      <c r="P466" t="s">
        <v>29</v>
      </c>
      <c r="Q466" t="s">
        <v>29</v>
      </c>
      <c r="R466" t="s">
        <v>29</v>
      </c>
      <c r="S466">
        <v>10.758963090336101</v>
      </c>
      <c r="T466" t="s">
        <v>29</v>
      </c>
      <c r="U466" t="s">
        <v>29</v>
      </c>
      <c r="V466" t="s">
        <v>29</v>
      </c>
      <c r="W466" t="s">
        <v>29</v>
      </c>
      <c r="X466" t="s">
        <v>29</v>
      </c>
      <c r="Y466" t="s">
        <v>29</v>
      </c>
    </row>
    <row r="467" spans="1:25" x14ac:dyDescent="0.2">
      <c r="A467" t="s">
        <v>1745</v>
      </c>
      <c r="B467" t="s">
        <v>1746</v>
      </c>
      <c r="C467" t="s">
        <v>14265</v>
      </c>
      <c r="D467" t="s">
        <v>1747</v>
      </c>
      <c r="E467" t="s">
        <v>1746</v>
      </c>
      <c r="F467" t="s">
        <v>28</v>
      </c>
      <c r="G467" t="s">
        <v>1746</v>
      </c>
      <c r="H467" t="str">
        <f>"F54E12.2"</f>
        <v>F54E12.2</v>
      </c>
      <c r="I467" t="s">
        <v>1747</v>
      </c>
      <c r="J467">
        <v>12.9698958874187</v>
      </c>
      <c r="K467">
        <v>13.164206427601</v>
      </c>
      <c r="L467">
        <v>13.005843664370101</v>
      </c>
      <c r="M467" t="s">
        <v>29</v>
      </c>
      <c r="N467" t="s">
        <v>29</v>
      </c>
      <c r="O467">
        <v>11.9770710903005</v>
      </c>
      <c r="P467">
        <v>-1.0695775694960901</v>
      </c>
      <c r="Q467">
        <v>-1.6960702526543501</v>
      </c>
      <c r="R467">
        <v>-0.443084886337826</v>
      </c>
      <c r="S467">
        <v>13.2183159169292</v>
      </c>
      <c r="T467">
        <v>-3.6211441475544301</v>
      </c>
      <c r="U467">
        <v>-1.81325187006835</v>
      </c>
      <c r="V467">
        <v>2.31566621113096E-3</v>
      </c>
      <c r="W467">
        <v>1.61330220430329E-2</v>
      </c>
      <c r="X467">
        <v>-1</v>
      </c>
      <c r="Y467">
        <v>-1</v>
      </c>
    </row>
    <row r="468" spans="1:25" x14ac:dyDescent="0.2">
      <c r="A468" t="s">
        <v>1748</v>
      </c>
      <c r="B468" t="s">
        <v>1749</v>
      </c>
      <c r="C468" t="s">
        <v>1750</v>
      </c>
      <c r="D468" t="s">
        <v>1751</v>
      </c>
      <c r="E468" t="s">
        <v>1749</v>
      </c>
      <c r="F468" t="s">
        <v>28</v>
      </c>
      <c r="G468" t="s">
        <v>1749</v>
      </c>
      <c r="H468" t="str">
        <f>"sig-7"</f>
        <v>sig-7</v>
      </c>
      <c r="I468" t="s">
        <v>1751</v>
      </c>
      <c r="J468">
        <v>11.0747690281601</v>
      </c>
      <c r="K468">
        <v>12.4213512505482</v>
      </c>
      <c r="L468">
        <v>12.3169343125621</v>
      </c>
      <c r="M468" t="s">
        <v>29</v>
      </c>
      <c r="N468" t="s">
        <v>29</v>
      </c>
      <c r="O468">
        <v>10.7953753900881</v>
      </c>
      <c r="P468">
        <v>-1.1423094736687101</v>
      </c>
      <c r="Q468">
        <v>-2.3314263374658801</v>
      </c>
      <c r="R468">
        <v>4.6807390128455098E-2</v>
      </c>
      <c r="S468">
        <v>12.243726788643301</v>
      </c>
      <c r="T468">
        <v>-2.0375523241193201</v>
      </c>
      <c r="U468">
        <v>-4.8785200996154101</v>
      </c>
      <c r="V468">
        <v>5.8598277554219202E-2</v>
      </c>
      <c r="W468">
        <v>0.15214900788747501</v>
      </c>
      <c r="X468">
        <v>0</v>
      </c>
      <c r="Y468">
        <v>0</v>
      </c>
    </row>
    <row r="469" spans="1:25" x14ac:dyDescent="0.2">
      <c r="A469" t="s">
        <v>1752</v>
      </c>
      <c r="B469" t="s">
        <v>1753</v>
      </c>
      <c r="C469" t="s">
        <v>1754</v>
      </c>
      <c r="D469" t="s">
        <v>1755</v>
      </c>
      <c r="E469" t="s">
        <v>1753</v>
      </c>
      <c r="F469" t="s">
        <v>28</v>
      </c>
      <c r="G469" t="s">
        <v>1753</v>
      </c>
      <c r="H469" t="str">
        <f>"cnk-1"</f>
        <v>cnk-1</v>
      </c>
      <c r="I469" t="s">
        <v>1755</v>
      </c>
      <c r="J469">
        <v>12.5564470590884</v>
      </c>
      <c r="K469">
        <v>13.6029291216265</v>
      </c>
      <c r="L469">
        <v>12.119215711239001</v>
      </c>
      <c r="M469" t="s">
        <v>29</v>
      </c>
      <c r="N469" t="s">
        <v>29</v>
      </c>
      <c r="O469" t="s">
        <v>29</v>
      </c>
      <c r="P469" t="s">
        <v>29</v>
      </c>
      <c r="Q469" t="s">
        <v>29</v>
      </c>
      <c r="R469" t="s">
        <v>29</v>
      </c>
      <c r="S469">
        <v>12.566645940161701</v>
      </c>
      <c r="T469" t="s">
        <v>29</v>
      </c>
      <c r="U469" t="s">
        <v>29</v>
      </c>
      <c r="V469" t="s">
        <v>29</v>
      </c>
      <c r="W469" t="s">
        <v>29</v>
      </c>
      <c r="X469" t="s">
        <v>29</v>
      </c>
      <c r="Y469" t="s">
        <v>29</v>
      </c>
    </row>
    <row r="470" spans="1:25" x14ac:dyDescent="0.2">
      <c r="A470" t="s">
        <v>1756</v>
      </c>
      <c r="B470" t="s">
        <v>1757</v>
      </c>
      <c r="C470" t="s">
        <v>14266</v>
      </c>
      <c r="D470" t="s">
        <v>1758</v>
      </c>
      <c r="E470" t="s">
        <v>1757</v>
      </c>
      <c r="F470" t="s">
        <v>28</v>
      </c>
      <c r="G470" t="s">
        <v>1757</v>
      </c>
      <c r="H470" t="str">
        <f>"F49C12.15"</f>
        <v>F49C12.15</v>
      </c>
      <c r="I470" t="s">
        <v>1758</v>
      </c>
      <c r="J470">
        <v>12.367652087197699</v>
      </c>
      <c r="K470">
        <v>12.1129444121269</v>
      </c>
      <c r="L470">
        <v>12.4273808066961</v>
      </c>
      <c r="M470" t="s">
        <v>29</v>
      </c>
      <c r="N470" t="s">
        <v>29</v>
      </c>
      <c r="O470" t="s">
        <v>29</v>
      </c>
      <c r="P470" t="s">
        <v>29</v>
      </c>
      <c r="Q470" t="s">
        <v>29</v>
      </c>
      <c r="R470" t="s">
        <v>29</v>
      </c>
      <c r="S470">
        <v>11.943161982557699</v>
      </c>
      <c r="T470" t="s">
        <v>29</v>
      </c>
      <c r="U470" t="s">
        <v>29</v>
      </c>
      <c r="V470" t="s">
        <v>29</v>
      </c>
      <c r="W470" t="s">
        <v>29</v>
      </c>
      <c r="X470" t="s">
        <v>29</v>
      </c>
      <c r="Y470" t="s">
        <v>29</v>
      </c>
    </row>
    <row r="471" spans="1:25" x14ac:dyDescent="0.2">
      <c r="A471" t="s">
        <v>1759</v>
      </c>
      <c r="B471" t="s">
        <v>1760</v>
      </c>
      <c r="C471" t="s">
        <v>1761</v>
      </c>
      <c r="D471" t="s">
        <v>115</v>
      </c>
      <c r="E471" t="s">
        <v>1760</v>
      </c>
      <c r="F471" t="s">
        <v>28</v>
      </c>
      <c r="G471" t="s">
        <v>1760</v>
      </c>
      <c r="H471" t="str">
        <f>"pbrm-1"</f>
        <v>pbrm-1</v>
      </c>
      <c r="I471" t="s">
        <v>115</v>
      </c>
      <c r="J471">
        <v>11.1450287874968</v>
      </c>
      <c r="K471">
        <v>11.545214199255</v>
      </c>
      <c r="L471">
        <v>11.9111282436637</v>
      </c>
      <c r="M471" t="s">
        <v>29</v>
      </c>
      <c r="N471" t="s">
        <v>29</v>
      </c>
      <c r="O471">
        <v>11.3857903450051</v>
      </c>
      <c r="P471">
        <v>-0.148000065133434</v>
      </c>
      <c r="Q471">
        <v>-1.2950222063515999</v>
      </c>
      <c r="R471">
        <v>0.99902207608472804</v>
      </c>
      <c r="S471">
        <v>12.0582773753788</v>
      </c>
      <c r="T471">
        <v>-0.27518940619239401</v>
      </c>
      <c r="U471">
        <v>-6.7728752103976699</v>
      </c>
      <c r="V471">
        <v>0.78695138546599996</v>
      </c>
      <c r="W471">
        <v>0.86599915346090495</v>
      </c>
      <c r="X471">
        <v>0</v>
      </c>
      <c r="Y471">
        <v>0</v>
      </c>
    </row>
    <row r="472" spans="1:25" x14ac:dyDescent="0.2">
      <c r="A472" t="s">
        <v>1762</v>
      </c>
      <c r="B472" t="s">
        <v>1763</v>
      </c>
      <c r="C472" t="s">
        <v>14267</v>
      </c>
      <c r="D472" t="s">
        <v>1764</v>
      </c>
      <c r="E472" t="s">
        <v>1763</v>
      </c>
      <c r="F472" t="s">
        <v>28</v>
      </c>
      <c r="G472" t="s">
        <v>1763</v>
      </c>
      <c r="H472" t="str">
        <f>"ZK1010.2"</f>
        <v>ZK1010.2</v>
      </c>
      <c r="I472" t="s">
        <v>1764</v>
      </c>
      <c r="J472">
        <v>13.086881832261501</v>
      </c>
      <c r="K472">
        <v>12.743301568526</v>
      </c>
      <c r="L472">
        <v>12.848235877676499</v>
      </c>
      <c r="M472" t="s">
        <v>29</v>
      </c>
      <c r="N472">
        <v>11.0733756730683</v>
      </c>
      <c r="O472">
        <v>12.315029745123001</v>
      </c>
      <c r="P472">
        <v>-1.19860371705902</v>
      </c>
      <c r="Q472">
        <v>-1.9469672884262399</v>
      </c>
      <c r="R472">
        <v>-0.45024014569180498</v>
      </c>
      <c r="S472">
        <v>12.395033083981801</v>
      </c>
      <c r="T472">
        <v>-3.3807495153803799</v>
      </c>
      <c r="U472">
        <v>-2.4671537769114602</v>
      </c>
      <c r="V472">
        <v>3.5780450183096101E-3</v>
      </c>
      <c r="W472">
        <v>2.2313502331048299E-2</v>
      </c>
      <c r="X472">
        <v>-1</v>
      </c>
      <c r="Y472">
        <v>-1</v>
      </c>
    </row>
    <row r="473" spans="1:25" x14ac:dyDescent="0.2">
      <c r="A473" t="s">
        <v>1765</v>
      </c>
      <c r="B473" t="s">
        <v>1766</v>
      </c>
      <c r="C473" s="2" t="s">
        <v>1767</v>
      </c>
      <c r="D473" t="s">
        <v>1768</v>
      </c>
      <c r="E473" t="s">
        <v>1766</v>
      </c>
      <c r="F473" t="s">
        <v>28</v>
      </c>
      <c r="G473" t="s">
        <v>1766</v>
      </c>
      <c r="H473" t="str">
        <f>"3E324"</f>
        <v>3E324</v>
      </c>
      <c r="I473" t="s">
        <v>1768</v>
      </c>
      <c r="J473">
        <v>13.0491168400308</v>
      </c>
      <c r="K473">
        <v>13.0568108309319</v>
      </c>
      <c r="L473">
        <v>12.8513698381126</v>
      </c>
      <c r="M473" t="s">
        <v>29</v>
      </c>
      <c r="N473">
        <v>12.2722566856561</v>
      </c>
      <c r="O473">
        <v>13.231210986540701</v>
      </c>
      <c r="P473">
        <v>-0.23403200026006801</v>
      </c>
      <c r="Q473">
        <v>-0.77420580768591796</v>
      </c>
      <c r="R473">
        <v>0.30614180716578099</v>
      </c>
      <c r="S473">
        <v>13.179186739009699</v>
      </c>
      <c r="T473">
        <v>-0.91451690078855996</v>
      </c>
      <c r="U473">
        <v>-6.61646258095712</v>
      </c>
      <c r="V473">
        <v>0.373313183171403</v>
      </c>
      <c r="W473">
        <v>0.53982038803048404</v>
      </c>
      <c r="X473">
        <v>0</v>
      </c>
      <c r="Y473">
        <v>0</v>
      </c>
    </row>
    <row r="474" spans="1:25" x14ac:dyDescent="0.2">
      <c r="A474" t="s">
        <v>1769</v>
      </c>
      <c r="B474" t="s">
        <v>1770</v>
      </c>
      <c r="C474" t="s">
        <v>1771</v>
      </c>
      <c r="D474" t="s">
        <v>1772</v>
      </c>
      <c r="E474" t="s">
        <v>1770</v>
      </c>
      <c r="F474" t="s">
        <v>28</v>
      </c>
      <c r="G474" t="s">
        <v>1770</v>
      </c>
      <c r="H474" t="str">
        <f>"spn-4"</f>
        <v>spn-4</v>
      </c>
      <c r="I474" t="s">
        <v>1772</v>
      </c>
      <c r="J474">
        <v>11.4550040987136</v>
      </c>
      <c r="K474">
        <v>12.9145587965505</v>
      </c>
      <c r="L474" t="s">
        <v>29</v>
      </c>
      <c r="M474" t="s">
        <v>29</v>
      </c>
      <c r="N474" t="s">
        <v>29</v>
      </c>
      <c r="O474">
        <v>12.180779161107701</v>
      </c>
      <c r="P474">
        <v>-4.0022865243400903E-3</v>
      </c>
      <c r="Q474">
        <v>-1.1832262728618601</v>
      </c>
      <c r="R474">
        <v>1.1752216998131799</v>
      </c>
      <c r="S474">
        <v>12.6888369047805</v>
      </c>
      <c r="T474">
        <v>-7.4789316711117299E-3</v>
      </c>
      <c r="U474">
        <v>-6.7545192309728801</v>
      </c>
      <c r="V474">
        <v>0.99416791739162502</v>
      </c>
      <c r="W474">
        <v>0.99619614163655901</v>
      </c>
      <c r="X474">
        <v>0</v>
      </c>
      <c r="Y474">
        <v>0</v>
      </c>
    </row>
    <row r="475" spans="1:25" x14ac:dyDescent="0.2">
      <c r="A475" t="s">
        <v>1773</v>
      </c>
      <c r="B475" t="s">
        <v>1774</v>
      </c>
      <c r="C475" t="s">
        <v>1775</v>
      </c>
      <c r="D475" t="s">
        <v>1776</v>
      </c>
      <c r="E475" t="s">
        <v>1774</v>
      </c>
      <c r="F475" t="s">
        <v>28</v>
      </c>
      <c r="G475" t="s">
        <v>1774</v>
      </c>
      <c r="H475" t="str">
        <f>"pos-1"</f>
        <v>pos-1</v>
      </c>
      <c r="I475" t="s">
        <v>1776</v>
      </c>
      <c r="J475" t="s">
        <v>29</v>
      </c>
      <c r="K475" t="s">
        <v>29</v>
      </c>
      <c r="L475" t="s">
        <v>29</v>
      </c>
      <c r="M475" t="s">
        <v>29</v>
      </c>
      <c r="N475">
        <v>12.173689918676899</v>
      </c>
      <c r="O475" t="s">
        <v>29</v>
      </c>
      <c r="P475" t="s">
        <v>29</v>
      </c>
      <c r="Q475" t="s">
        <v>29</v>
      </c>
      <c r="R475" t="s">
        <v>29</v>
      </c>
      <c r="S475">
        <v>11.997104205950601</v>
      </c>
      <c r="T475" t="s">
        <v>29</v>
      </c>
      <c r="U475" t="s">
        <v>29</v>
      </c>
      <c r="V475" t="s">
        <v>29</v>
      </c>
      <c r="W475" t="s">
        <v>29</v>
      </c>
      <c r="X475" t="s">
        <v>29</v>
      </c>
      <c r="Y475" t="s">
        <v>29</v>
      </c>
    </row>
    <row r="476" spans="1:25" x14ac:dyDescent="0.2">
      <c r="A476" t="s">
        <v>1777</v>
      </c>
      <c r="B476" t="s">
        <v>1778</v>
      </c>
      <c r="C476" t="s">
        <v>1779</v>
      </c>
      <c r="D476" t="s">
        <v>211</v>
      </c>
      <c r="E476" t="s">
        <v>1778</v>
      </c>
      <c r="F476" t="s">
        <v>28</v>
      </c>
      <c r="G476" t="s">
        <v>1778</v>
      </c>
      <c r="H476" t="str">
        <f>"pat-10"</f>
        <v>pat-10</v>
      </c>
      <c r="I476" t="s">
        <v>211</v>
      </c>
      <c r="J476" t="s">
        <v>29</v>
      </c>
      <c r="K476" t="s">
        <v>29</v>
      </c>
      <c r="L476" t="s">
        <v>29</v>
      </c>
      <c r="M476" t="s">
        <v>29</v>
      </c>
      <c r="N476" t="s">
        <v>29</v>
      </c>
      <c r="O476" t="s">
        <v>29</v>
      </c>
      <c r="P476" t="s">
        <v>29</v>
      </c>
      <c r="Q476" t="s">
        <v>29</v>
      </c>
      <c r="R476" t="s">
        <v>29</v>
      </c>
      <c r="S476">
        <v>11.7661478047148</v>
      </c>
      <c r="T476" t="s">
        <v>29</v>
      </c>
      <c r="U476" t="s">
        <v>29</v>
      </c>
      <c r="V476" t="s">
        <v>29</v>
      </c>
      <c r="W476" t="s">
        <v>29</v>
      </c>
      <c r="X476" t="s">
        <v>29</v>
      </c>
      <c r="Y476" t="s">
        <v>29</v>
      </c>
    </row>
    <row r="477" spans="1:25" x14ac:dyDescent="0.2">
      <c r="A477" t="s">
        <v>1780</v>
      </c>
      <c r="B477" t="s">
        <v>1781</v>
      </c>
      <c r="C477" t="s">
        <v>1782</v>
      </c>
      <c r="D477" t="s">
        <v>1783</v>
      </c>
      <c r="E477" t="s">
        <v>1781</v>
      </c>
      <c r="F477" t="s">
        <v>28</v>
      </c>
      <c r="G477" t="s">
        <v>1781</v>
      </c>
      <c r="H477" t="str">
        <f>"snf-11"</f>
        <v>snf-11</v>
      </c>
      <c r="I477" t="s">
        <v>1783</v>
      </c>
      <c r="J477">
        <v>13.0613030673316</v>
      </c>
      <c r="K477">
        <v>12.715417183550199</v>
      </c>
      <c r="L477">
        <v>12.7265974826066</v>
      </c>
      <c r="M477" t="s">
        <v>29</v>
      </c>
      <c r="N477">
        <v>12.7505197549656</v>
      </c>
      <c r="O477">
        <v>13.5047061169108</v>
      </c>
      <c r="P477">
        <v>0.29317369144206901</v>
      </c>
      <c r="Q477">
        <v>-0.32987522638327199</v>
      </c>
      <c r="R477">
        <v>0.91622260926741095</v>
      </c>
      <c r="S477">
        <v>13.3830179543918</v>
      </c>
      <c r="T477">
        <v>0.99323693828800697</v>
      </c>
      <c r="U477">
        <v>-6.5415910086285498</v>
      </c>
      <c r="V477">
        <v>0.33460768463796298</v>
      </c>
      <c r="W477">
        <v>0.50542739447876905</v>
      </c>
      <c r="X477">
        <v>0</v>
      </c>
      <c r="Y477">
        <v>0</v>
      </c>
    </row>
    <row r="478" spans="1:25" x14ac:dyDescent="0.2">
      <c r="A478" t="s">
        <v>1784</v>
      </c>
      <c r="B478" t="s">
        <v>1785</v>
      </c>
      <c r="C478" t="s">
        <v>1786</v>
      </c>
      <c r="D478" t="s">
        <v>1787</v>
      </c>
      <c r="E478" t="s">
        <v>1785</v>
      </c>
      <c r="F478" t="s">
        <v>28</v>
      </c>
      <c r="G478" t="s">
        <v>1785</v>
      </c>
      <c r="H478" t="str">
        <f>"fld-1"</f>
        <v>fld-1</v>
      </c>
      <c r="I478" t="s">
        <v>1787</v>
      </c>
      <c r="J478">
        <v>13.9773698579998</v>
      </c>
      <c r="K478">
        <v>14.2589463576598</v>
      </c>
      <c r="L478">
        <v>13.9915494466459</v>
      </c>
      <c r="M478">
        <v>14.8441426517675</v>
      </c>
      <c r="N478">
        <v>14.3231042417264</v>
      </c>
      <c r="O478">
        <v>14.412093038257799</v>
      </c>
      <c r="P478">
        <v>0.45049142314872098</v>
      </c>
      <c r="Q478">
        <v>1.3000023136722501E-2</v>
      </c>
      <c r="R478">
        <v>0.88798282316071897</v>
      </c>
      <c r="S478">
        <v>14.4984717711095</v>
      </c>
      <c r="T478">
        <v>2.1642604330966502</v>
      </c>
      <c r="U478">
        <v>-4.9744899551714896</v>
      </c>
      <c r="V478">
        <v>4.4217088568446E-2</v>
      </c>
      <c r="W478">
        <v>0.124935532129636</v>
      </c>
      <c r="X478">
        <v>0</v>
      </c>
      <c r="Y478">
        <v>0</v>
      </c>
    </row>
    <row r="479" spans="1:25" x14ac:dyDescent="0.2">
      <c r="A479" t="s">
        <v>1788</v>
      </c>
      <c r="B479" t="s">
        <v>1789</v>
      </c>
      <c r="C479" t="s">
        <v>1790</v>
      </c>
      <c r="D479" t="s">
        <v>1791</v>
      </c>
      <c r="E479" t="s">
        <v>1789</v>
      </c>
      <c r="F479" t="s">
        <v>28</v>
      </c>
      <c r="G479" t="s">
        <v>1789</v>
      </c>
      <c r="H479" t="str">
        <f>"ltd-1"</f>
        <v>ltd-1</v>
      </c>
      <c r="I479" t="s">
        <v>1791</v>
      </c>
      <c r="J479">
        <v>12.0246989470941</v>
      </c>
      <c r="K479" t="s">
        <v>29</v>
      </c>
      <c r="L479">
        <v>11.900834844101899</v>
      </c>
      <c r="M479" t="s">
        <v>29</v>
      </c>
      <c r="N479" t="s">
        <v>29</v>
      </c>
      <c r="O479">
        <v>11.8815656397152</v>
      </c>
      <c r="P479">
        <v>-8.1201255882849196E-2</v>
      </c>
      <c r="Q479">
        <v>-0.88556114202102698</v>
      </c>
      <c r="R479">
        <v>0.723158630255329</v>
      </c>
      <c r="S479">
        <v>11.845241771104799</v>
      </c>
      <c r="T479">
        <v>-0.21667271989137499</v>
      </c>
      <c r="U479">
        <v>-6.7297639326743397</v>
      </c>
      <c r="V479">
        <v>0.83161231425146898</v>
      </c>
      <c r="W479">
        <v>0.89443850003616099</v>
      </c>
      <c r="X479">
        <v>0</v>
      </c>
      <c r="Y479">
        <v>0</v>
      </c>
    </row>
    <row r="480" spans="1:25" x14ac:dyDescent="0.2">
      <c r="A480" t="s">
        <v>1792</v>
      </c>
      <c r="B480" t="s">
        <v>1793</v>
      </c>
      <c r="C480" t="s">
        <v>1794</v>
      </c>
      <c r="D480" t="s">
        <v>1795</v>
      </c>
      <c r="E480" t="s">
        <v>1793</v>
      </c>
      <c r="F480" t="s">
        <v>28</v>
      </c>
      <c r="G480" t="s">
        <v>1793</v>
      </c>
      <c r="H480" t="str">
        <f>"swsn-4"</f>
        <v>swsn-4</v>
      </c>
      <c r="I480" t="s">
        <v>1795</v>
      </c>
      <c r="J480">
        <v>12.670855634457</v>
      </c>
      <c r="K480">
        <v>12.6899850900123</v>
      </c>
      <c r="L480">
        <v>12.1435020669725</v>
      </c>
      <c r="M480">
        <v>13.1360345363571</v>
      </c>
      <c r="N480" t="s">
        <v>29</v>
      </c>
      <c r="O480">
        <v>12.1954531257977</v>
      </c>
      <c r="P480">
        <v>0.16429623393010201</v>
      </c>
      <c r="Q480">
        <v>-0.46120376818151099</v>
      </c>
      <c r="R480">
        <v>0.789796236041716</v>
      </c>
      <c r="S480">
        <v>12.7626149686254</v>
      </c>
      <c r="T480">
        <v>0.55443457589915601</v>
      </c>
      <c r="U480">
        <v>-6.8853534937733798</v>
      </c>
      <c r="V480">
        <v>0.58654654521918903</v>
      </c>
      <c r="W480">
        <v>0.72294130855748595</v>
      </c>
      <c r="X480">
        <v>0</v>
      </c>
      <c r="Y480">
        <v>0</v>
      </c>
    </row>
    <row r="481" spans="1:25" x14ac:dyDescent="0.2">
      <c r="A481" t="s">
        <v>1796</v>
      </c>
      <c r="B481" t="s">
        <v>1797</v>
      </c>
      <c r="C481" t="s">
        <v>1798</v>
      </c>
      <c r="D481" t="s">
        <v>1799</v>
      </c>
      <c r="E481" t="s">
        <v>1797</v>
      </c>
      <c r="F481" t="s">
        <v>28</v>
      </c>
      <c r="G481" t="s">
        <v>1797</v>
      </c>
      <c r="H481" t="str">
        <f>"ipla-7"</f>
        <v>ipla-7</v>
      </c>
      <c r="I481" t="s">
        <v>1799</v>
      </c>
      <c r="J481">
        <v>13.092515751843701</v>
      </c>
      <c r="K481">
        <v>12.5549831911372</v>
      </c>
      <c r="L481">
        <v>12.399862471255201</v>
      </c>
      <c r="M481" t="s">
        <v>29</v>
      </c>
      <c r="N481" t="s">
        <v>29</v>
      </c>
      <c r="O481">
        <v>12.1315067001009</v>
      </c>
      <c r="P481">
        <v>-0.55094710464441299</v>
      </c>
      <c r="Q481">
        <v>-1.5571360128304901</v>
      </c>
      <c r="R481">
        <v>0.45524180354166199</v>
      </c>
      <c r="S481">
        <v>12.4714732303541</v>
      </c>
      <c r="T481">
        <v>-1.17522838510651</v>
      </c>
      <c r="U481">
        <v>-6.1157115891437996</v>
      </c>
      <c r="V481">
        <v>0.25964935330524902</v>
      </c>
      <c r="W481">
        <v>0.42628782406159899</v>
      </c>
      <c r="X481">
        <v>0</v>
      </c>
      <c r="Y481">
        <v>0</v>
      </c>
    </row>
    <row r="482" spans="1:25" x14ac:dyDescent="0.2">
      <c r="A482" t="s">
        <v>1800</v>
      </c>
      <c r="B482" t="s">
        <v>1801</v>
      </c>
      <c r="C482" t="s">
        <v>1802</v>
      </c>
      <c r="D482" t="s">
        <v>1803</v>
      </c>
      <c r="E482" t="s">
        <v>1801</v>
      </c>
      <c r="F482" t="s">
        <v>28</v>
      </c>
      <c r="G482" t="s">
        <v>1801</v>
      </c>
      <c r="H482" t="str">
        <f>"popl-5"</f>
        <v>popl-5</v>
      </c>
      <c r="I482" t="s">
        <v>1803</v>
      </c>
      <c r="J482">
        <v>11.890642741389399</v>
      </c>
      <c r="K482">
        <v>11.9224682755821</v>
      </c>
      <c r="L482">
        <v>11.9491761441829</v>
      </c>
      <c r="M482" t="s">
        <v>29</v>
      </c>
      <c r="N482" t="s">
        <v>29</v>
      </c>
      <c r="O482">
        <v>11.286666744107199</v>
      </c>
      <c r="P482">
        <v>-0.63409564294427401</v>
      </c>
      <c r="Q482">
        <v>-1.348991823197</v>
      </c>
      <c r="R482">
        <v>8.0800537308449993E-2</v>
      </c>
      <c r="S482">
        <v>12.4702558520256</v>
      </c>
      <c r="T482">
        <v>-1.9037226858187599</v>
      </c>
      <c r="U482">
        <v>-5.1096115274046703</v>
      </c>
      <c r="V482">
        <v>7.7865801179457406E-2</v>
      </c>
      <c r="W482">
        <v>0.184067280992394</v>
      </c>
      <c r="X482">
        <v>0</v>
      </c>
      <c r="Y482">
        <v>0</v>
      </c>
    </row>
    <row r="483" spans="1:25" x14ac:dyDescent="0.2">
      <c r="A483" t="s">
        <v>1804</v>
      </c>
      <c r="B483" t="s">
        <v>1805</v>
      </c>
      <c r="C483" t="s">
        <v>1806</v>
      </c>
      <c r="D483" t="s">
        <v>1807</v>
      </c>
      <c r="E483" t="s">
        <v>1805</v>
      </c>
      <c r="F483" t="s">
        <v>28</v>
      </c>
      <c r="G483" t="s">
        <v>1805</v>
      </c>
      <c r="H483" t="str">
        <f>"stim-1"</f>
        <v>stim-1</v>
      </c>
      <c r="I483" t="s">
        <v>1807</v>
      </c>
      <c r="J483" t="s">
        <v>29</v>
      </c>
      <c r="K483" t="s">
        <v>29</v>
      </c>
      <c r="L483" t="s">
        <v>29</v>
      </c>
      <c r="M483" t="s">
        <v>29</v>
      </c>
      <c r="N483" t="s">
        <v>29</v>
      </c>
      <c r="O483">
        <v>10.7955076759946</v>
      </c>
      <c r="P483" t="s">
        <v>29</v>
      </c>
      <c r="Q483" t="s">
        <v>29</v>
      </c>
      <c r="R483" t="s">
        <v>29</v>
      </c>
      <c r="S483">
        <v>10.257598824155799</v>
      </c>
      <c r="T483" t="s">
        <v>29</v>
      </c>
      <c r="U483" t="s">
        <v>29</v>
      </c>
      <c r="V483" t="s">
        <v>29</v>
      </c>
      <c r="W483" t="s">
        <v>29</v>
      </c>
      <c r="X483" t="s">
        <v>29</v>
      </c>
      <c r="Y483" t="s">
        <v>29</v>
      </c>
    </row>
    <row r="484" spans="1:25" x14ac:dyDescent="0.2">
      <c r="A484" t="s">
        <v>1808</v>
      </c>
      <c r="B484" t="s">
        <v>1809</v>
      </c>
      <c r="C484" t="s">
        <v>1810</v>
      </c>
      <c r="D484" t="s">
        <v>1811</v>
      </c>
      <c r="E484" t="s">
        <v>1809</v>
      </c>
      <c r="F484" t="s">
        <v>28</v>
      </c>
      <c r="G484" t="s">
        <v>1809</v>
      </c>
      <c r="H484" t="str">
        <f>"ndg-4"</f>
        <v>ndg-4</v>
      </c>
      <c r="I484" t="s">
        <v>1811</v>
      </c>
      <c r="J484">
        <v>12.8195019546454</v>
      </c>
      <c r="K484" t="s">
        <v>29</v>
      </c>
      <c r="L484">
        <v>12.749433869727399</v>
      </c>
      <c r="M484" t="s">
        <v>29</v>
      </c>
      <c r="N484" t="s">
        <v>29</v>
      </c>
      <c r="O484">
        <v>12.9578075515177</v>
      </c>
      <c r="P484">
        <v>0.17333963933133301</v>
      </c>
      <c r="Q484">
        <v>-0.91632408465478998</v>
      </c>
      <c r="R484">
        <v>1.26300336331746</v>
      </c>
      <c r="S484">
        <v>13.396812990750499</v>
      </c>
      <c r="T484">
        <v>0.34142654895556701</v>
      </c>
      <c r="U484">
        <v>-6.69316110714629</v>
      </c>
      <c r="V484">
        <v>0.73789071765708403</v>
      </c>
      <c r="W484">
        <v>0.830810459118972</v>
      </c>
      <c r="X484">
        <v>0</v>
      </c>
      <c r="Y484">
        <v>0</v>
      </c>
    </row>
    <row r="485" spans="1:25" x14ac:dyDescent="0.2">
      <c r="A485" t="s">
        <v>1812</v>
      </c>
      <c r="B485" t="s">
        <v>1813</v>
      </c>
      <c r="C485" t="s">
        <v>1814</v>
      </c>
      <c r="D485" t="s">
        <v>1815</v>
      </c>
      <c r="E485" t="s">
        <v>1813</v>
      </c>
      <c r="F485" t="s">
        <v>28</v>
      </c>
      <c r="G485" t="s">
        <v>1813</v>
      </c>
      <c r="H485" t="str">
        <f>"uig-1"</f>
        <v>uig-1</v>
      </c>
      <c r="I485" t="s">
        <v>1815</v>
      </c>
      <c r="J485" t="s">
        <v>29</v>
      </c>
      <c r="K485">
        <v>11.856553309118</v>
      </c>
      <c r="L485">
        <v>11.7988848146096</v>
      </c>
      <c r="M485" t="s">
        <v>29</v>
      </c>
      <c r="N485" t="s">
        <v>29</v>
      </c>
      <c r="O485">
        <v>11.837192340535299</v>
      </c>
      <c r="P485">
        <v>9.4732786715443495E-3</v>
      </c>
      <c r="Q485">
        <v>-0.98597590599267604</v>
      </c>
      <c r="R485">
        <v>1.0049224633357601</v>
      </c>
      <c r="S485">
        <v>11.753076254060099</v>
      </c>
      <c r="T485">
        <v>2.09705060634548E-2</v>
      </c>
      <c r="U485">
        <v>-6.7543124970233901</v>
      </c>
      <c r="V485">
        <v>0.98364830862223196</v>
      </c>
      <c r="W485">
        <v>0.99104668906315196</v>
      </c>
      <c r="X485">
        <v>0</v>
      </c>
      <c r="Y485">
        <v>0</v>
      </c>
    </row>
    <row r="486" spans="1:25" x14ac:dyDescent="0.2">
      <c r="A486" t="s">
        <v>1816</v>
      </c>
      <c r="B486" t="s">
        <v>1817</v>
      </c>
      <c r="C486" t="s">
        <v>1818</v>
      </c>
      <c r="D486" t="s">
        <v>1819</v>
      </c>
      <c r="E486" t="s">
        <v>1817</v>
      </c>
      <c r="F486" t="s">
        <v>28</v>
      </c>
      <c r="G486" t="s">
        <v>1817</v>
      </c>
      <c r="H486" t="str">
        <f>"taf-5"</f>
        <v>taf-5</v>
      </c>
      <c r="I486" t="s">
        <v>1819</v>
      </c>
      <c r="J486">
        <v>12.5413827077983</v>
      </c>
      <c r="K486">
        <v>12.3699971784798</v>
      </c>
      <c r="L486">
        <v>11.8593375368718</v>
      </c>
      <c r="M486" t="s">
        <v>29</v>
      </c>
      <c r="N486" t="s">
        <v>29</v>
      </c>
      <c r="O486">
        <v>12.985322706731701</v>
      </c>
      <c r="P486">
        <v>0.72841689901501105</v>
      </c>
      <c r="Q486">
        <v>-0.86139301418873304</v>
      </c>
      <c r="R486">
        <v>2.3182268122187599</v>
      </c>
      <c r="S486">
        <v>12.1289324099982</v>
      </c>
      <c r="T486">
        <v>0.99926304044636804</v>
      </c>
      <c r="U486">
        <v>-6.2993977579724696</v>
      </c>
      <c r="V486">
        <v>0.337561642439207</v>
      </c>
      <c r="W486">
        <v>0.50861704480305903</v>
      </c>
      <c r="X486">
        <v>0</v>
      </c>
      <c r="Y486">
        <v>0</v>
      </c>
    </row>
    <row r="487" spans="1:25" x14ac:dyDescent="0.2">
      <c r="A487" t="s">
        <v>1820</v>
      </c>
      <c r="B487" t="s">
        <v>1821</v>
      </c>
      <c r="C487" t="s">
        <v>1822</v>
      </c>
      <c r="D487" t="s">
        <v>1823</v>
      </c>
      <c r="E487" t="s">
        <v>1821</v>
      </c>
      <c r="F487" t="s">
        <v>28</v>
      </c>
      <c r="G487" t="s">
        <v>1821</v>
      </c>
      <c r="H487" t="str">
        <f>"sars-2"</f>
        <v>sars-2</v>
      </c>
      <c r="I487" t="s">
        <v>1823</v>
      </c>
      <c r="J487">
        <v>13.176514002945099</v>
      </c>
      <c r="K487">
        <v>13.533435091770301</v>
      </c>
      <c r="L487">
        <v>13.122901037454699</v>
      </c>
      <c r="M487" t="s">
        <v>29</v>
      </c>
      <c r="N487">
        <v>12.5890195346105</v>
      </c>
      <c r="O487">
        <v>13.203532836932601</v>
      </c>
      <c r="P487">
        <v>-0.38134052495187198</v>
      </c>
      <c r="Q487">
        <v>-0.92073863567952796</v>
      </c>
      <c r="R487">
        <v>0.15805758577578399</v>
      </c>
      <c r="S487">
        <v>12.973276417325801</v>
      </c>
      <c r="T487">
        <v>-1.4922911116264099</v>
      </c>
      <c r="U487">
        <v>-5.9463827759423999</v>
      </c>
      <c r="V487">
        <v>0.15406030564301099</v>
      </c>
      <c r="W487">
        <v>0.29889119205395198</v>
      </c>
      <c r="X487">
        <v>0</v>
      </c>
      <c r="Y487">
        <v>0</v>
      </c>
    </row>
    <row r="488" spans="1:25" x14ac:dyDescent="0.2">
      <c r="A488" t="s">
        <v>1824</v>
      </c>
      <c r="B488" t="s">
        <v>1825</v>
      </c>
      <c r="C488" t="s">
        <v>1826</v>
      </c>
      <c r="D488" t="s">
        <v>1827</v>
      </c>
      <c r="E488" t="s">
        <v>1825</v>
      </c>
      <c r="F488" t="s">
        <v>28</v>
      </c>
      <c r="G488" t="s">
        <v>1825</v>
      </c>
      <c r="H488" t="str">
        <f>"gip-2"</f>
        <v>gip-2</v>
      </c>
      <c r="I488" t="s">
        <v>1827</v>
      </c>
      <c r="J488">
        <v>13.9771139868762</v>
      </c>
      <c r="K488">
        <v>13.885263412204299</v>
      </c>
      <c r="L488">
        <v>13.874626023735701</v>
      </c>
      <c r="M488" t="s">
        <v>29</v>
      </c>
      <c r="N488">
        <v>13.7715450566263</v>
      </c>
      <c r="O488">
        <v>13.786157976740601</v>
      </c>
      <c r="P488">
        <v>-0.133482957588585</v>
      </c>
      <c r="Q488">
        <v>-0.53345594999956603</v>
      </c>
      <c r="R488">
        <v>0.26649003482239503</v>
      </c>
      <c r="S488">
        <v>14.0232005890821</v>
      </c>
      <c r="T488">
        <v>-0.70444187880055098</v>
      </c>
      <c r="U488">
        <v>-6.7884108979436597</v>
      </c>
      <c r="V488">
        <v>0.49075475407914998</v>
      </c>
      <c r="W488">
        <v>0.64867541701772702</v>
      </c>
      <c r="X488">
        <v>0</v>
      </c>
      <c r="Y488">
        <v>0</v>
      </c>
    </row>
    <row r="489" spans="1:25" x14ac:dyDescent="0.2">
      <c r="A489" t="s">
        <v>1828</v>
      </c>
      <c r="B489" t="s">
        <v>1829</v>
      </c>
      <c r="C489" t="s">
        <v>1830</v>
      </c>
      <c r="D489" t="s">
        <v>1831</v>
      </c>
      <c r="E489" t="s">
        <v>1829</v>
      </c>
      <c r="F489" t="s">
        <v>28</v>
      </c>
      <c r="G489" t="s">
        <v>1829</v>
      </c>
      <c r="H489" t="str">
        <f>"rab-8"</f>
        <v>rab-8</v>
      </c>
      <c r="I489" t="s">
        <v>1831</v>
      </c>
      <c r="J489">
        <v>15.527358154041901</v>
      </c>
      <c r="K489">
        <v>15.3616082403947</v>
      </c>
      <c r="L489">
        <v>14.999127392160201</v>
      </c>
      <c r="M489">
        <v>15.443150370297801</v>
      </c>
      <c r="N489">
        <v>14.6564811498074</v>
      </c>
      <c r="O489">
        <v>15.1769596541341</v>
      </c>
      <c r="P489">
        <v>-0.203834204119165</v>
      </c>
      <c r="Q489">
        <v>-0.71259548059126399</v>
      </c>
      <c r="R489">
        <v>0.30492707235293398</v>
      </c>
      <c r="S489">
        <v>14.7437084652891</v>
      </c>
      <c r="T489">
        <v>-0.84208421563133795</v>
      </c>
      <c r="U489">
        <v>-6.7913949290036397</v>
      </c>
      <c r="V489">
        <v>0.41085403912289198</v>
      </c>
      <c r="W489">
        <v>0.57883231710014305</v>
      </c>
      <c r="X489">
        <v>0</v>
      </c>
      <c r="Y489">
        <v>0</v>
      </c>
    </row>
    <row r="490" spans="1:25" x14ac:dyDescent="0.2">
      <c r="A490" t="s">
        <v>1832</v>
      </c>
      <c r="B490" t="s">
        <v>1833</v>
      </c>
      <c r="C490" t="s">
        <v>1834</v>
      </c>
      <c r="D490" t="s">
        <v>1835</v>
      </c>
      <c r="E490" t="s">
        <v>1833</v>
      </c>
      <c r="F490" t="s">
        <v>28</v>
      </c>
      <c r="G490" t="s">
        <v>1833</v>
      </c>
      <c r="H490" t="str">
        <f>"cdc-5l"</f>
        <v>cdc-5l</v>
      </c>
      <c r="I490" t="s">
        <v>1835</v>
      </c>
      <c r="J490">
        <v>12.050871214379001</v>
      </c>
      <c r="K490">
        <v>12.1813091490611</v>
      </c>
      <c r="L490">
        <v>12.676323211787199</v>
      </c>
      <c r="M490" t="s">
        <v>29</v>
      </c>
      <c r="N490">
        <v>12.9470418602801</v>
      </c>
      <c r="O490">
        <v>12.257190116571101</v>
      </c>
      <c r="P490">
        <v>0.29928146334977501</v>
      </c>
      <c r="Q490">
        <v>-0.38978590206462999</v>
      </c>
      <c r="R490">
        <v>0.98834882876417995</v>
      </c>
      <c r="S490">
        <v>12.9304597414885</v>
      </c>
      <c r="T490">
        <v>0.91678637402384999</v>
      </c>
      <c r="U490">
        <v>-6.6143819722624704</v>
      </c>
      <c r="V490">
        <v>0.37215643571998602</v>
      </c>
      <c r="W490">
        <v>0.53894103983626496</v>
      </c>
      <c r="X490">
        <v>0</v>
      </c>
      <c r="Y490">
        <v>0</v>
      </c>
    </row>
    <row r="491" spans="1:25" x14ac:dyDescent="0.2">
      <c r="A491" t="s">
        <v>1836</v>
      </c>
      <c r="B491" t="s">
        <v>1837</v>
      </c>
      <c r="C491" t="s">
        <v>1838</v>
      </c>
      <c r="D491" t="s">
        <v>1839</v>
      </c>
      <c r="E491" t="s">
        <v>1837</v>
      </c>
      <c r="F491" t="s">
        <v>28</v>
      </c>
      <c r="G491" t="s">
        <v>1837</v>
      </c>
      <c r="H491" t="str">
        <f>"dap-3"</f>
        <v>dap-3</v>
      </c>
      <c r="I491" t="s">
        <v>1839</v>
      </c>
      <c r="J491">
        <v>13.2748551349137</v>
      </c>
      <c r="K491">
        <v>13.430288869232999</v>
      </c>
      <c r="L491">
        <v>13.707675020495399</v>
      </c>
      <c r="M491" t="s">
        <v>29</v>
      </c>
      <c r="N491">
        <v>13.123473092964201</v>
      </c>
      <c r="O491">
        <v>12.7791862136225</v>
      </c>
      <c r="P491">
        <v>-0.519610021587395</v>
      </c>
      <c r="Q491">
        <v>-1.0064731578366299</v>
      </c>
      <c r="R491">
        <v>-3.2746885338164097E-2</v>
      </c>
      <c r="S491">
        <v>13.6404110169173</v>
      </c>
      <c r="T491">
        <v>-2.2527896354802501</v>
      </c>
      <c r="U491">
        <v>-4.7152754997719004</v>
      </c>
      <c r="V491">
        <v>3.7861671974427497E-2</v>
      </c>
      <c r="W491">
        <v>0.114439330572962</v>
      </c>
      <c r="X491">
        <v>0</v>
      </c>
      <c r="Y491">
        <v>0</v>
      </c>
    </row>
    <row r="492" spans="1:25" x14ac:dyDescent="0.2">
      <c r="A492" t="s">
        <v>1840</v>
      </c>
      <c r="B492" t="s">
        <v>1841</v>
      </c>
      <c r="C492" t="s">
        <v>1842</v>
      </c>
      <c r="D492" t="s">
        <v>1843</v>
      </c>
      <c r="E492" t="s">
        <v>1841</v>
      </c>
      <c r="F492" t="s">
        <v>28</v>
      </c>
      <c r="G492" t="s">
        <v>1841</v>
      </c>
      <c r="H492" t="str">
        <f>"hmt-1"</f>
        <v>hmt-1</v>
      </c>
      <c r="I492" t="s">
        <v>1843</v>
      </c>
      <c r="J492">
        <v>13.535588924299599</v>
      </c>
      <c r="K492">
        <v>13.6432359626278</v>
      </c>
      <c r="L492">
        <v>13.5209054573036</v>
      </c>
      <c r="M492" t="s">
        <v>29</v>
      </c>
      <c r="N492">
        <v>14.035112930608401</v>
      </c>
      <c r="O492">
        <v>13.8999287414986</v>
      </c>
      <c r="P492">
        <v>0.40094405464316202</v>
      </c>
      <c r="Q492">
        <v>-0.19524215852009899</v>
      </c>
      <c r="R492">
        <v>0.997130267806423</v>
      </c>
      <c r="S492">
        <v>13.7630007113925</v>
      </c>
      <c r="T492">
        <v>1.4195538189199299</v>
      </c>
      <c r="U492">
        <v>-6.0452067834008103</v>
      </c>
      <c r="V492">
        <v>0.173925623947632</v>
      </c>
      <c r="W492">
        <v>0.32611627351675898</v>
      </c>
      <c r="X492">
        <v>0</v>
      </c>
      <c r="Y492">
        <v>0</v>
      </c>
    </row>
    <row r="493" spans="1:25" x14ac:dyDescent="0.2">
      <c r="A493" t="s">
        <v>1844</v>
      </c>
      <c r="B493" t="s">
        <v>1845</v>
      </c>
      <c r="C493" t="s">
        <v>1846</v>
      </c>
      <c r="D493" t="s">
        <v>1847</v>
      </c>
      <c r="E493" t="s">
        <v>1845</v>
      </c>
      <c r="F493" t="s">
        <v>28</v>
      </c>
      <c r="G493" t="s">
        <v>1845</v>
      </c>
      <c r="H493" t="str">
        <f>"sup-17"</f>
        <v>sup-17</v>
      </c>
      <c r="I493" t="s">
        <v>1847</v>
      </c>
      <c r="J493">
        <v>11.9979163930964</v>
      </c>
      <c r="K493">
        <v>11.2565053961887</v>
      </c>
      <c r="L493">
        <v>11.8717135504306</v>
      </c>
      <c r="M493" t="s">
        <v>29</v>
      </c>
      <c r="N493" t="s">
        <v>29</v>
      </c>
      <c r="O493" t="s">
        <v>29</v>
      </c>
      <c r="P493" t="s">
        <v>29</v>
      </c>
      <c r="Q493" t="s">
        <v>29</v>
      </c>
      <c r="R493" t="s">
        <v>29</v>
      </c>
      <c r="S493">
        <v>11.641988316025</v>
      </c>
      <c r="T493" t="s">
        <v>29</v>
      </c>
      <c r="U493" t="s">
        <v>29</v>
      </c>
      <c r="V493" t="s">
        <v>29</v>
      </c>
      <c r="W493" t="s">
        <v>29</v>
      </c>
      <c r="X493" t="s">
        <v>29</v>
      </c>
      <c r="Y493" t="s">
        <v>29</v>
      </c>
    </row>
    <row r="494" spans="1:25" x14ac:dyDescent="0.2">
      <c r="A494" t="s">
        <v>1848</v>
      </c>
      <c r="B494" t="s">
        <v>1849</v>
      </c>
      <c r="C494" t="s">
        <v>14268</v>
      </c>
      <c r="D494" t="s">
        <v>1850</v>
      </c>
      <c r="E494" t="s">
        <v>1849</v>
      </c>
      <c r="F494" t="s">
        <v>28</v>
      </c>
      <c r="G494" t="s">
        <v>1849</v>
      </c>
      <c r="H494" t="str">
        <f>"H03A11.2"</f>
        <v>H03A11.2</v>
      </c>
      <c r="I494" t="s">
        <v>1850</v>
      </c>
      <c r="J494">
        <v>13.239451033533999</v>
      </c>
      <c r="K494">
        <v>14.8061622002113</v>
      </c>
      <c r="L494">
        <v>14.851796171352101</v>
      </c>
      <c r="M494" t="s">
        <v>29</v>
      </c>
      <c r="N494" t="s">
        <v>29</v>
      </c>
      <c r="O494">
        <v>11.0239146113051</v>
      </c>
      <c r="P494">
        <v>-3.2752218570606502</v>
      </c>
      <c r="Q494">
        <v>-4.3831857277057802</v>
      </c>
      <c r="R494">
        <v>-2.1672579864155299</v>
      </c>
      <c r="S494">
        <v>14.199683517117199</v>
      </c>
      <c r="T494">
        <v>-6.2699583307229503</v>
      </c>
      <c r="U494">
        <v>3.4611449713837001</v>
      </c>
      <c r="V494" s="2">
        <v>1.1517049601016099E-5</v>
      </c>
      <c r="W494">
        <v>3.1138298324948901E-4</v>
      </c>
      <c r="X494">
        <v>-1</v>
      </c>
      <c r="Y494">
        <v>-1</v>
      </c>
    </row>
    <row r="495" spans="1:25" x14ac:dyDescent="0.2">
      <c r="A495" t="s">
        <v>1851</v>
      </c>
      <c r="B495" t="s">
        <v>1852</v>
      </c>
      <c r="C495" t="s">
        <v>1853</v>
      </c>
      <c r="D495" t="s">
        <v>1854</v>
      </c>
      <c r="E495" t="s">
        <v>1852</v>
      </c>
      <c r="F495" t="s">
        <v>28</v>
      </c>
      <c r="G495" t="s">
        <v>1852</v>
      </c>
      <c r="H495" t="str">
        <f>"asd-2"</f>
        <v>asd-2</v>
      </c>
      <c r="I495" t="s">
        <v>1854</v>
      </c>
      <c r="J495" t="s">
        <v>29</v>
      </c>
      <c r="K495" t="s">
        <v>29</v>
      </c>
      <c r="L495">
        <v>10.8645502093476</v>
      </c>
      <c r="M495" t="s">
        <v>29</v>
      </c>
      <c r="N495" t="s">
        <v>29</v>
      </c>
      <c r="O495" t="s">
        <v>29</v>
      </c>
      <c r="P495" t="s">
        <v>29</v>
      </c>
      <c r="Q495" t="s">
        <v>29</v>
      </c>
      <c r="R495" t="s">
        <v>29</v>
      </c>
      <c r="S495">
        <v>11.6952951981603</v>
      </c>
      <c r="T495" t="s">
        <v>29</v>
      </c>
      <c r="U495" t="s">
        <v>29</v>
      </c>
      <c r="V495" t="s">
        <v>29</v>
      </c>
      <c r="W495" t="s">
        <v>29</v>
      </c>
      <c r="X495" t="s">
        <v>29</v>
      </c>
      <c r="Y495" t="s">
        <v>29</v>
      </c>
    </row>
    <row r="496" spans="1:25" x14ac:dyDescent="0.2">
      <c r="A496" t="s">
        <v>1855</v>
      </c>
      <c r="B496" t="s">
        <v>1856</v>
      </c>
      <c r="C496" t="s">
        <v>1857</v>
      </c>
      <c r="D496" t="s">
        <v>1858</v>
      </c>
      <c r="E496" t="s">
        <v>1856</v>
      </c>
      <c r="F496" t="s">
        <v>28</v>
      </c>
      <c r="G496" t="s">
        <v>1856</v>
      </c>
      <c r="H496" t="str">
        <f>"eif-2bdelta"</f>
        <v>eif-2bdelta</v>
      </c>
      <c r="I496" t="s">
        <v>1858</v>
      </c>
      <c r="J496">
        <v>15.008952711310799</v>
      </c>
      <c r="K496">
        <v>15.124180410922399</v>
      </c>
      <c r="L496">
        <v>14.9295723701675</v>
      </c>
      <c r="M496" t="s">
        <v>29</v>
      </c>
      <c r="N496" t="s">
        <v>29</v>
      </c>
      <c r="O496">
        <v>14.7222407407342</v>
      </c>
      <c r="P496">
        <v>-0.29866109006600899</v>
      </c>
      <c r="Q496">
        <v>-1.13760703359742</v>
      </c>
      <c r="R496">
        <v>0.540284853465401</v>
      </c>
      <c r="S496">
        <v>14.335052827869401</v>
      </c>
      <c r="T496">
        <v>-0.75508213860107798</v>
      </c>
      <c r="U496">
        <v>-6.5185900064099602</v>
      </c>
      <c r="V496">
        <v>0.46124236359125298</v>
      </c>
      <c r="W496">
        <v>0.62409607231562103</v>
      </c>
      <c r="X496">
        <v>0</v>
      </c>
      <c r="Y496">
        <v>0</v>
      </c>
    </row>
    <row r="497" spans="1:25" x14ac:dyDescent="0.2">
      <c r="A497" t="s">
        <v>1859</v>
      </c>
      <c r="B497" t="s">
        <v>1860</v>
      </c>
      <c r="C497" t="s">
        <v>1861</v>
      </c>
      <c r="D497" t="s">
        <v>1862</v>
      </c>
      <c r="E497" t="s">
        <v>1860</v>
      </c>
      <c r="F497" t="s">
        <v>28</v>
      </c>
      <c r="G497" t="s">
        <v>1860</v>
      </c>
      <c r="H497" t="str">
        <f>"sel-1"</f>
        <v>sel-1</v>
      </c>
      <c r="I497" t="s">
        <v>1862</v>
      </c>
      <c r="J497">
        <v>14.282331414042099</v>
      </c>
      <c r="K497">
        <v>14.048556360606501</v>
      </c>
      <c r="L497">
        <v>14.0600428634395</v>
      </c>
      <c r="M497" t="s">
        <v>29</v>
      </c>
      <c r="N497">
        <v>13.667674678964101</v>
      </c>
      <c r="O497">
        <v>13.5122941635007</v>
      </c>
      <c r="P497">
        <v>-0.54032579146364901</v>
      </c>
      <c r="Q497">
        <v>-0.99398156423154704</v>
      </c>
      <c r="R497">
        <v>-8.6670018695751805E-2</v>
      </c>
      <c r="S497">
        <v>13.650367835935899</v>
      </c>
      <c r="T497">
        <v>-2.5140810225032699</v>
      </c>
      <c r="U497">
        <v>-4.2267709250605803</v>
      </c>
      <c r="V497">
        <v>2.2366348289885402E-2</v>
      </c>
      <c r="W497">
        <v>7.9509805078760196E-2</v>
      </c>
      <c r="X497">
        <v>0</v>
      </c>
      <c r="Y497">
        <v>0</v>
      </c>
    </row>
    <row r="498" spans="1:25" x14ac:dyDescent="0.2">
      <c r="A498" t="s">
        <v>1863</v>
      </c>
      <c r="B498" t="s">
        <v>1864</v>
      </c>
      <c r="C498" t="s">
        <v>1865</v>
      </c>
      <c r="D498" t="s">
        <v>1866</v>
      </c>
      <c r="E498" t="s">
        <v>1864</v>
      </c>
      <c r="F498" t="s">
        <v>28</v>
      </c>
      <c r="G498" t="s">
        <v>1864</v>
      </c>
      <c r="H498" t="str">
        <f>"abcf-2"</f>
        <v>abcf-2</v>
      </c>
      <c r="I498" t="s">
        <v>1866</v>
      </c>
      <c r="J498">
        <v>18.458701775454099</v>
      </c>
      <c r="K498">
        <v>18.409820803709199</v>
      </c>
      <c r="L498">
        <v>18.3824047854831</v>
      </c>
      <c r="M498">
        <v>17.7029861351146</v>
      </c>
      <c r="N498">
        <v>18.134802958899801</v>
      </c>
      <c r="O498">
        <v>18.232256015404399</v>
      </c>
      <c r="P498">
        <v>-0.393627418409149</v>
      </c>
      <c r="Q498">
        <v>-0.72386975099545903</v>
      </c>
      <c r="R498">
        <v>-6.3385085822840304E-2</v>
      </c>
      <c r="S498">
        <v>18.099688575379702</v>
      </c>
      <c r="T498">
        <v>-2.5052156260643699</v>
      </c>
      <c r="U498">
        <v>-4.3357707547006399</v>
      </c>
      <c r="V498">
        <v>2.2130614466338301E-2</v>
      </c>
      <c r="W498">
        <v>7.8769984396670198E-2</v>
      </c>
      <c r="X498">
        <v>0</v>
      </c>
      <c r="Y498">
        <v>0</v>
      </c>
    </row>
    <row r="499" spans="1:25" x14ac:dyDescent="0.2">
      <c r="A499" t="s">
        <v>1867</v>
      </c>
      <c r="B499" t="s">
        <v>1868</v>
      </c>
      <c r="C499" t="s">
        <v>14269</v>
      </c>
      <c r="D499" t="s">
        <v>1869</v>
      </c>
      <c r="E499" t="s">
        <v>1868</v>
      </c>
      <c r="F499" t="s">
        <v>28</v>
      </c>
      <c r="G499" t="s">
        <v>1868</v>
      </c>
      <c r="H499" t="str">
        <f>"W09C5.1"</f>
        <v>W09C5.1</v>
      </c>
      <c r="I499" t="s">
        <v>1869</v>
      </c>
      <c r="J499">
        <v>17.139143756925101</v>
      </c>
      <c r="K499">
        <v>17.337866952962301</v>
      </c>
      <c r="L499">
        <v>17.213416406605202</v>
      </c>
      <c r="M499">
        <v>16.958599678450199</v>
      </c>
      <c r="N499">
        <v>16.998594916069798</v>
      </c>
      <c r="O499">
        <v>16.686833496387099</v>
      </c>
      <c r="P499">
        <v>-0.348799675195199</v>
      </c>
      <c r="Q499">
        <v>-0.78512052475224503</v>
      </c>
      <c r="R499">
        <v>8.7521174361846907E-2</v>
      </c>
      <c r="S499">
        <v>17.489378144654601</v>
      </c>
      <c r="T499">
        <v>-1.68020633870014</v>
      </c>
      <c r="U499">
        <v>-5.7812566657903304</v>
      </c>
      <c r="V499">
        <v>0.110289463656388</v>
      </c>
      <c r="W499">
        <v>0.23149789842975499</v>
      </c>
      <c r="X499">
        <v>0</v>
      </c>
      <c r="Y499">
        <v>0</v>
      </c>
    </row>
    <row r="500" spans="1:25" x14ac:dyDescent="0.2">
      <c r="A500" t="s">
        <v>1870</v>
      </c>
      <c r="B500" t="s">
        <v>1871</v>
      </c>
      <c r="C500" t="s">
        <v>1872</v>
      </c>
      <c r="D500" t="s">
        <v>1873</v>
      </c>
      <c r="E500" t="s">
        <v>1871</v>
      </c>
      <c r="F500" t="s">
        <v>28</v>
      </c>
      <c r="G500" t="s">
        <v>1871</v>
      </c>
      <c r="H500" t="str">
        <f>"agef-1"</f>
        <v>agef-1</v>
      </c>
      <c r="I500" t="s">
        <v>1873</v>
      </c>
      <c r="J500">
        <v>12.6689761131025</v>
      </c>
      <c r="K500">
        <v>12.5944658176704</v>
      </c>
      <c r="L500">
        <v>12.9377873122681</v>
      </c>
      <c r="M500">
        <v>12.9233844274801</v>
      </c>
      <c r="N500">
        <v>13.401802656292601</v>
      </c>
      <c r="O500">
        <v>12.9194070838654</v>
      </c>
      <c r="P500">
        <v>0.34778830819904999</v>
      </c>
      <c r="Q500">
        <v>-0.10239647498141401</v>
      </c>
      <c r="R500">
        <v>0.797973091379514</v>
      </c>
      <c r="S500">
        <v>13.007229961439799</v>
      </c>
      <c r="T500">
        <v>1.6237407122191201</v>
      </c>
      <c r="U500">
        <v>-5.8661269070694804</v>
      </c>
      <c r="V500">
        <v>0.121914514388187</v>
      </c>
      <c r="W500">
        <v>0.25107063165757199</v>
      </c>
      <c r="X500">
        <v>0</v>
      </c>
      <c r="Y500">
        <v>0</v>
      </c>
    </row>
    <row r="501" spans="1:25" x14ac:dyDescent="0.2">
      <c r="A501" t="s">
        <v>1874</v>
      </c>
      <c r="B501" t="s">
        <v>1875</v>
      </c>
      <c r="C501" t="s">
        <v>1876</v>
      </c>
      <c r="D501" t="s">
        <v>1877</v>
      </c>
      <c r="E501" t="s">
        <v>1875</v>
      </c>
      <c r="F501" t="s">
        <v>28</v>
      </c>
      <c r="G501" t="s">
        <v>1875</v>
      </c>
      <c r="H501" t="str">
        <f>"myrf-1"</f>
        <v>myrf-1</v>
      </c>
      <c r="I501" t="s">
        <v>1877</v>
      </c>
      <c r="J501">
        <v>11.2566324553313</v>
      </c>
      <c r="K501" t="s">
        <v>29</v>
      </c>
      <c r="L501" t="s">
        <v>29</v>
      </c>
      <c r="M501" t="s">
        <v>29</v>
      </c>
      <c r="N501" t="s">
        <v>29</v>
      </c>
      <c r="O501">
        <v>11.2955378880918</v>
      </c>
      <c r="P501">
        <v>3.89054327604672E-2</v>
      </c>
      <c r="Q501">
        <v>-1.18794408772309</v>
      </c>
      <c r="R501">
        <v>1.26575495324402</v>
      </c>
      <c r="S501">
        <v>10.739623103875401</v>
      </c>
      <c r="T501">
        <v>7.3296740933375501E-2</v>
      </c>
      <c r="U501">
        <v>-6.6099506664441599</v>
      </c>
      <c r="V501">
        <v>0.94339290365569295</v>
      </c>
      <c r="W501">
        <v>0.96735521470888197</v>
      </c>
      <c r="X501">
        <v>0</v>
      </c>
      <c r="Y501">
        <v>0</v>
      </c>
    </row>
    <row r="502" spans="1:25" x14ac:dyDescent="0.2">
      <c r="A502" t="s">
        <v>1878</v>
      </c>
      <c r="B502" t="s">
        <v>1879</v>
      </c>
      <c r="C502" t="s">
        <v>1880</v>
      </c>
      <c r="D502" t="s">
        <v>1881</v>
      </c>
      <c r="E502" t="s">
        <v>1879</v>
      </c>
      <c r="F502" t="s">
        <v>28</v>
      </c>
      <c r="G502" t="s">
        <v>1879</v>
      </c>
      <c r="H502" t="str">
        <f>"plc-1"</f>
        <v>plc-1</v>
      </c>
      <c r="I502" t="s">
        <v>1881</v>
      </c>
      <c r="J502">
        <v>12.292582742573099</v>
      </c>
      <c r="K502">
        <v>11.854611600002499</v>
      </c>
      <c r="L502" t="s">
        <v>29</v>
      </c>
      <c r="M502" t="s">
        <v>29</v>
      </c>
      <c r="N502" t="s">
        <v>29</v>
      </c>
      <c r="O502">
        <v>11.719095263048199</v>
      </c>
      <c r="P502">
        <v>-0.35450190823965</v>
      </c>
      <c r="Q502">
        <v>-2.1382388345190702</v>
      </c>
      <c r="R502">
        <v>1.4292350180397699</v>
      </c>
      <c r="S502">
        <v>11.515244527103</v>
      </c>
      <c r="T502">
        <v>-0.43794086070969501</v>
      </c>
      <c r="U502">
        <v>-6.6521562191161996</v>
      </c>
      <c r="V502">
        <v>0.66998486949750302</v>
      </c>
      <c r="W502">
        <v>0.78257844249272301</v>
      </c>
      <c r="X502">
        <v>0</v>
      </c>
      <c r="Y502">
        <v>0</v>
      </c>
    </row>
    <row r="503" spans="1:25" x14ac:dyDescent="0.2">
      <c r="A503" t="s">
        <v>1882</v>
      </c>
      <c r="B503" t="s">
        <v>1883</v>
      </c>
      <c r="C503" t="s">
        <v>1884</v>
      </c>
      <c r="D503" t="s">
        <v>1885</v>
      </c>
      <c r="E503" t="s">
        <v>1883</v>
      </c>
      <c r="F503" t="s">
        <v>28</v>
      </c>
      <c r="G503" t="s">
        <v>1883</v>
      </c>
      <c r="H503" t="str">
        <f>"capg-1"</f>
        <v>capg-1</v>
      </c>
      <c r="I503" t="s">
        <v>1885</v>
      </c>
      <c r="J503">
        <v>12.209655726509901</v>
      </c>
      <c r="K503">
        <v>12.6135431815716</v>
      </c>
      <c r="L503">
        <v>12.7159784282135</v>
      </c>
      <c r="M503" t="s">
        <v>29</v>
      </c>
      <c r="N503">
        <v>11.7447357923342</v>
      </c>
      <c r="O503">
        <v>12.949092829004</v>
      </c>
      <c r="P503">
        <v>-0.16614480142921001</v>
      </c>
      <c r="Q503">
        <v>-0.74969398209523497</v>
      </c>
      <c r="R503">
        <v>0.417404379236815</v>
      </c>
      <c r="S503">
        <v>12.9695384767641</v>
      </c>
      <c r="T503">
        <v>-0.60097901358767403</v>
      </c>
      <c r="U503">
        <v>-6.8576373870285199</v>
      </c>
      <c r="V503">
        <v>0.55583178145179601</v>
      </c>
      <c r="W503">
        <v>0.69880954521027905</v>
      </c>
      <c r="X503">
        <v>0</v>
      </c>
      <c r="Y503">
        <v>0</v>
      </c>
    </row>
    <row r="504" spans="1:25" x14ac:dyDescent="0.2">
      <c r="A504" t="s">
        <v>1886</v>
      </c>
      <c r="B504" t="s">
        <v>1887</v>
      </c>
      <c r="C504" t="s">
        <v>1888</v>
      </c>
      <c r="D504" t="s">
        <v>1889</v>
      </c>
      <c r="E504" t="s">
        <v>1887</v>
      </c>
      <c r="F504" t="s">
        <v>28</v>
      </c>
      <c r="G504" t="s">
        <v>1887</v>
      </c>
      <c r="H504" t="str">
        <f>"arf-3"</f>
        <v>arf-3</v>
      </c>
      <c r="I504" t="s">
        <v>1889</v>
      </c>
      <c r="J504">
        <v>18.225184589490699</v>
      </c>
      <c r="K504">
        <v>18.1472297924212</v>
      </c>
      <c r="L504">
        <v>18.043600316090401</v>
      </c>
      <c r="M504">
        <v>17.691828393210201</v>
      </c>
      <c r="N504">
        <v>17.727686919282899</v>
      </c>
      <c r="O504">
        <v>17.942426474733299</v>
      </c>
      <c r="P504">
        <v>-0.351357636925343</v>
      </c>
      <c r="Q504">
        <v>-0.67096209533469398</v>
      </c>
      <c r="R504">
        <v>-3.1753178515991701E-2</v>
      </c>
      <c r="S504">
        <v>17.738259446811799</v>
      </c>
      <c r="T504">
        <v>-2.3106229453276002</v>
      </c>
      <c r="U504">
        <v>-4.7064013669287599</v>
      </c>
      <c r="V504">
        <v>3.2987159921955E-2</v>
      </c>
      <c r="W504">
        <v>0.10363876363539599</v>
      </c>
      <c r="X504">
        <v>0</v>
      </c>
      <c r="Y504">
        <v>0</v>
      </c>
    </row>
    <row r="505" spans="1:25" x14ac:dyDescent="0.2">
      <c r="A505" t="s">
        <v>1890</v>
      </c>
      <c r="B505" t="s">
        <v>1891</v>
      </c>
      <c r="C505" t="s">
        <v>1892</v>
      </c>
      <c r="D505" t="s">
        <v>1893</v>
      </c>
      <c r="E505" t="s">
        <v>1891</v>
      </c>
      <c r="F505" t="s">
        <v>28</v>
      </c>
      <c r="G505" t="s">
        <v>1891</v>
      </c>
      <c r="H505" t="str">
        <f>"gld-4"</f>
        <v>gld-4</v>
      </c>
      <c r="I505" t="s">
        <v>1893</v>
      </c>
      <c r="J505">
        <v>11.253988126139699</v>
      </c>
      <c r="K505">
        <v>11.616233918751099</v>
      </c>
      <c r="L505">
        <v>11.961821930329799</v>
      </c>
      <c r="M505" t="s">
        <v>29</v>
      </c>
      <c r="N505" t="s">
        <v>29</v>
      </c>
      <c r="O505" t="s">
        <v>29</v>
      </c>
      <c r="P505" t="s">
        <v>29</v>
      </c>
      <c r="Q505" t="s">
        <v>29</v>
      </c>
      <c r="R505" t="s">
        <v>29</v>
      </c>
      <c r="S505">
        <v>11.4624949281448</v>
      </c>
      <c r="T505" t="s">
        <v>29</v>
      </c>
      <c r="U505" t="s">
        <v>29</v>
      </c>
      <c r="V505" t="s">
        <v>29</v>
      </c>
      <c r="W505" t="s">
        <v>29</v>
      </c>
      <c r="X505" t="s">
        <v>29</v>
      </c>
      <c r="Y505" t="s">
        <v>29</v>
      </c>
    </row>
    <row r="506" spans="1:25" x14ac:dyDescent="0.2">
      <c r="A506" t="s">
        <v>1894</v>
      </c>
      <c r="B506" t="s">
        <v>1895</v>
      </c>
      <c r="C506" t="s">
        <v>1896</v>
      </c>
      <c r="D506" t="s">
        <v>1897</v>
      </c>
      <c r="E506" t="s">
        <v>1895</v>
      </c>
      <c r="F506" t="s">
        <v>28</v>
      </c>
      <c r="G506" t="s">
        <v>1895</v>
      </c>
      <c r="H506" t="str">
        <f>"alp-1"</f>
        <v>alp-1</v>
      </c>
      <c r="I506" t="s">
        <v>1897</v>
      </c>
      <c r="J506">
        <v>12.7586184087038</v>
      </c>
      <c r="K506">
        <v>13.605087876642701</v>
      </c>
      <c r="L506">
        <v>13.4491450818138</v>
      </c>
      <c r="M506">
        <v>12.707361451627399</v>
      </c>
      <c r="N506">
        <v>13.889771200457201</v>
      </c>
      <c r="O506">
        <v>14.4337132893316</v>
      </c>
      <c r="P506">
        <v>0.40599819141861099</v>
      </c>
      <c r="Q506">
        <v>-0.82674286799249597</v>
      </c>
      <c r="R506">
        <v>1.6387392508297201</v>
      </c>
      <c r="S506">
        <v>13.2844913942328</v>
      </c>
      <c r="T506">
        <v>0.69222096851548098</v>
      </c>
      <c r="U506">
        <v>-6.9081645308916197</v>
      </c>
      <c r="V506">
        <v>0.49768322724214598</v>
      </c>
      <c r="W506">
        <v>0.65418040619206197</v>
      </c>
      <c r="X506">
        <v>0</v>
      </c>
      <c r="Y506">
        <v>0</v>
      </c>
    </row>
    <row r="507" spans="1:25" x14ac:dyDescent="0.2">
      <c r="A507" t="s">
        <v>1898</v>
      </c>
      <c r="B507" t="s">
        <v>1899</v>
      </c>
      <c r="C507" t="s">
        <v>14270</v>
      </c>
      <c r="D507" t="s">
        <v>1900</v>
      </c>
      <c r="E507" t="s">
        <v>1899</v>
      </c>
      <c r="F507" t="s">
        <v>28</v>
      </c>
      <c r="G507" t="s">
        <v>1899</v>
      </c>
      <c r="H507" t="str">
        <f>"F18C12.3"</f>
        <v>F18C12.3</v>
      </c>
      <c r="I507" t="s">
        <v>1900</v>
      </c>
      <c r="J507">
        <v>10.2765750443944</v>
      </c>
      <c r="K507">
        <v>11.6242882127935</v>
      </c>
      <c r="L507" t="s">
        <v>29</v>
      </c>
      <c r="M507" t="s">
        <v>29</v>
      </c>
      <c r="N507" t="s">
        <v>29</v>
      </c>
      <c r="O507" t="s">
        <v>29</v>
      </c>
      <c r="P507" t="s">
        <v>29</v>
      </c>
      <c r="Q507" t="s">
        <v>29</v>
      </c>
      <c r="R507" t="s">
        <v>29</v>
      </c>
      <c r="S507">
        <v>11.903992857476799</v>
      </c>
      <c r="T507" t="s">
        <v>29</v>
      </c>
      <c r="U507" t="s">
        <v>29</v>
      </c>
      <c r="V507" t="s">
        <v>29</v>
      </c>
      <c r="W507" t="s">
        <v>29</v>
      </c>
      <c r="X507" t="s">
        <v>29</v>
      </c>
      <c r="Y507" t="s">
        <v>29</v>
      </c>
    </row>
    <row r="508" spans="1:25" s="28" customFormat="1" x14ac:dyDescent="0.2">
      <c r="A508" s="28" t="s">
        <v>1901</v>
      </c>
      <c r="B508" s="28" t="s">
        <v>1902</v>
      </c>
      <c r="C508" s="28" t="s">
        <v>1903</v>
      </c>
      <c r="D508" s="28" t="s">
        <v>1904</v>
      </c>
      <c r="E508" s="28" t="s">
        <v>1902</v>
      </c>
      <c r="F508" s="28" t="s">
        <v>28</v>
      </c>
      <c r="G508" s="28" t="s">
        <v>1902</v>
      </c>
      <c r="H508" s="28" t="str">
        <f>"nekl-3"</f>
        <v>nekl-3</v>
      </c>
      <c r="I508" s="28" t="s">
        <v>1904</v>
      </c>
      <c r="J508" s="28">
        <v>12.2544733498094</v>
      </c>
      <c r="K508" s="28">
        <v>12.578076886291599</v>
      </c>
      <c r="L508" s="28">
        <v>12.269706398230401</v>
      </c>
      <c r="M508" s="28">
        <v>19.917264719319</v>
      </c>
      <c r="N508" s="28">
        <v>20.6675147884791</v>
      </c>
      <c r="O508" s="28">
        <v>20.688643486697501</v>
      </c>
      <c r="P508" s="28">
        <v>8.0570554533880703</v>
      </c>
      <c r="Q508" s="28">
        <v>7.2624804778169096</v>
      </c>
      <c r="R508" s="28">
        <v>8.8516304289592398</v>
      </c>
      <c r="S508" s="28">
        <v>15.936232495483599</v>
      </c>
      <c r="T508" s="28">
        <v>21.507552877880102</v>
      </c>
      <c r="U508" s="28">
        <v>20.252494793986902</v>
      </c>
      <c r="V508" s="33">
        <v>3.5467276519107998E-13</v>
      </c>
      <c r="W508" s="33">
        <v>3.48406879672705E-10</v>
      </c>
      <c r="X508" s="28">
        <v>1</v>
      </c>
      <c r="Y508" s="28">
        <v>1</v>
      </c>
    </row>
    <row r="509" spans="1:25" x14ac:dyDescent="0.2">
      <c r="A509" t="s">
        <v>1905</v>
      </c>
      <c r="B509" t="s">
        <v>1906</v>
      </c>
      <c r="C509" t="s">
        <v>1907</v>
      </c>
      <c r="D509" t="s">
        <v>1908</v>
      </c>
      <c r="E509" t="s">
        <v>1906</v>
      </c>
      <c r="F509" t="s">
        <v>28</v>
      </c>
      <c r="G509" t="s">
        <v>1906</v>
      </c>
      <c r="H509" t="str">
        <f>"rict-1"</f>
        <v>rict-1</v>
      </c>
      <c r="I509" t="s">
        <v>1908</v>
      </c>
      <c r="J509">
        <v>12.092804639028</v>
      </c>
      <c r="K509">
        <v>11.431969871197699</v>
      </c>
      <c r="L509">
        <v>10.845277078160301</v>
      </c>
      <c r="M509" t="s">
        <v>29</v>
      </c>
      <c r="N509" t="s">
        <v>29</v>
      </c>
      <c r="O509" t="s">
        <v>29</v>
      </c>
      <c r="P509" t="s">
        <v>29</v>
      </c>
      <c r="Q509" t="s">
        <v>29</v>
      </c>
      <c r="R509" t="s">
        <v>29</v>
      </c>
      <c r="S509">
        <v>11.615297941918101</v>
      </c>
      <c r="T509" t="s">
        <v>29</v>
      </c>
      <c r="U509" t="s">
        <v>29</v>
      </c>
      <c r="V509" t="s">
        <v>29</v>
      </c>
      <c r="W509" t="s">
        <v>29</v>
      </c>
      <c r="X509" t="s">
        <v>29</v>
      </c>
      <c r="Y509" t="s">
        <v>29</v>
      </c>
    </row>
    <row r="510" spans="1:25" x14ac:dyDescent="0.2">
      <c r="A510" t="s">
        <v>1909</v>
      </c>
      <c r="B510" t="s">
        <v>1910</v>
      </c>
      <c r="C510" t="s">
        <v>1911</v>
      </c>
      <c r="D510" t="s">
        <v>1912</v>
      </c>
      <c r="E510" t="s">
        <v>1910</v>
      </c>
      <c r="F510" t="s">
        <v>28</v>
      </c>
      <c r="G510" t="s">
        <v>1910</v>
      </c>
      <c r="H510" t="str">
        <f>"mrp-4"</f>
        <v>mrp-4</v>
      </c>
      <c r="I510" t="s">
        <v>1912</v>
      </c>
      <c r="J510">
        <v>14.388225487221201</v>
      </c>
      <c r="K510">
        <v>14.667234580799599</v>
      </c>
      <c r="L510">
        <v>14.421636699655901</v>
      </c>
      <c r="M510">
        <v>14.5218769799384</v>
      </c>
      <c r="N510">
        <v>14.805286576815501</v>
      </c>
      <c r="O510">
        <v>14.704799712209001</v>
      </c>
      <c r="P510">
        <v>0.184955500428755</v>
      </c>
      <c r="Q510">
        <v>-0.19176208154671501</v>
      </c>
      <c r="R510">
        <v>0.56167308240422398</v>
      </c>
      <c r="S510">
        <v>14.635302741999601</v>
      </c>
      <c r="T510">
        <v>1.0319148794700099</v>
      </c>
      <c r="U510">
        <v>-6.6135673549785201</v>
      </c>
      <c r="V510">
        <v>0.31585767943408499</v>
      </c>
      <c r="W510">
        <v>0.48632841237839503</v>
      </c>
      <c r="X510">
        <v>0</v>
      </c>
      <c r="Y510">
        <v>0</v>
      </c>
    </row>
    <row r="511" spans="1:25" x14ac:dyDescent="0.2">
      <c r="A511" t="s">
        <v>1913</v>
      </c>
      <c r="B511" t="s">
        <v>1914</v>
      </c>
      <c r="C511" t="s">
        <v>1915</v>
      </c>
      <c r="D511" t="s">
        <v>561</v>
      </c>
      <c r="E511" t="s">
        <v>1914</v>
      </c>
      <c r="F511" t="s">
        <v>28</v>
      </c>
      <c r="G511" t="s">
        <v>1914</v>
      </c>
      <c r="H511" t="str">
        <f>"tag-297"</f>
        <v>tag-297</v>
      </c>
      <c r="I511" t="s">
        <v>561</v>
      </c>
      <c r="J511">
        <v>12.0354519293943</v>
      </c>
      <c r="K511">
        <v>11.9145449742539</v>
      </c>
      <c r="L511">
        <v>11.930644629389599</v>
      </c>
      <c r="M511" t="s">
        <v>29</v>
      </c>
      <c r="N511">
        <v>11.5424561503612</v>
      </c>
      <c r="O511">
        <v>11.1082651003917</v>
      </c>
      <c r="P511">
        <v>-0.634853218969472</v>
      </c>
      <c r="Q511">
        <v>-1.19907106189747</v>
      </c>
      <c r="R511">
        <v>-7.0635376041476197E-2</v>
      </c>
      <c r="S511">
        <v>11.588570533529399</v>
      </c>
      <c r="T511">
        <v>-2.3750705953333902</v>
      </c>
      <c r="U511">
        <v>-4.4899509700843598</v>
      </c>
      <c r="V511">
        <v>2.9658954289207898E-2</v>
      </c>
      <c r="W511">
        <v>9.6049382736588501E-2</v>
      </c>
      <c r="X511">
        <v>0</v>
      </c>
      <c r="Y511">
        <v>0</v>
      </c>
    </row>
    <row r="512" spans="1:25" x14ac:dyDescent="0.2">
      <c r="A512" t="s">
        <v>1916</v>
      </c>
      <c r="B512" t="s">
        <v>1917</v>
      </c>
      <c r="C512" t="s">
        <v>1918</v>
      </c>
      <c r="D512" t="s">
        <v>1919</v>
      </c>
      <c r="E512" t="s">
        <v>1917</v>
      </c>
      <c r="F512" t="s">
        <v>28</v>
      </c>
      <c r="G512" t="s">
        <v>1917</v>
      </c>
      <c r="H512" t="str">
        <f>"gldr-2"</f>
        <v>gldr-2</v>
      </c>
      <c r="I512" t="s">
        <v>1919</v>
      </c>
      <c r="J512">
        <v>10.7524377002426</v>
      </c>
      <c r="K512">
        <v>12.4083502139686</v>
      </c>
      <c r="L512">
        <v>12.090977375316699</v>
      </c>
      <c r="M512" t="s">
        <v>29</v>
      </c>
      <c r="N512" t="s">
        <v>29</v>
      </c>
      <c r="O512">
        <v>11.8277793037572</v>
      </c>
      <c r="P512">
        <v>7.7190873914535302E-2</v>
      </c>
      <c r="Q512">
        <v>-1.00051279105339</v>
      </c>
      <c r="R512">
        <v>1.1548945388824601</v>
      </c>
      <c r="S512">
        <v>12.9156012620676</v>
      </c>
      <c r="T512">
        <v>0.153729951737402</v>
      </c>
      <c r="U512">
        <v>-6.8001946478884303</v>
      </c>
      <c r="V512">
        <v>0.88003301611954898</v>
      </c>
      <c r="W512">
        <v>0.92656566577503097</v>
      </c>
      <c r="X512">
        <v>0</v>
      </c>
      <c r="Y512">
        <v>0</v>
      </c>
    </row>
    <row r="513" spans="1:25" x14ac:dyDescent="0.2">
      <c r="A513" t="s">
        <v>1920</v>
      </c>
      <c r="B513" t="s">
        <v>1921</v>
      </c>
      <c r="C513" t="s">
        <v>1922</v>
      </c>
      <c r="D513" t="s">
        <v>1923</v>
      </c>
      <c r="E513" t="s">
        <v>1921</v>
      </c>
      <c r="F513" t="s">
        <v>28</v>
      </c>
      <c r="G513" t="s">
        <v>1921</v>
      </c>
      <c r="H513" t="str">
        <f>"mca-1"</f>
        <v>mca-1</v>
      </c>
      <c r="I513" t="s">
        <v>1923</v>
      </c>
      <c r="J513">
        <v>13.869994050471</v>
      </c>
      <c r="K513">
        <v>13.9282777663743</v>
      </c>
      <c r="L513">
        <v>13.6083280829136</v>
      </c>
      <c r="M513">
        <v>13.332061842482901</v>
      </c>
      <c r="N513">
        <v>13.5815906859824</v>
      </c>
      <c r="O513">
        <v>13.886968575393301</v>
      </c>
      <c r="P513">
        <v>-0.201992931966791</v>
      </c>
      <c r="Q513">
        <v>-0.63421839005612102</v>
      </c>
      <c r="R513">
        <v>0.23023252612254</v>
      </c>
      <c r="S513">
        <v>13.8166835188941</v>
      </c>
      <c r="T513">
        <v>-0.98224164416327098</v>
      </c>
      <c r="U513">
        <v>-6.6632382891841102</v>
      </c>
      <c r="V513">
        <v>0.33907518235081402</v>
      </c>
      <c r="W513">
        <v>0.50996967465361998</v>
      </c>
      <c r="X513">
        <v>0</v>
      </c>
      <c r="Y513">
        <v>0</v>
      </c>
    </row>
    <row r="514" spans="1:25" x14ac:dyDescent="0.2">
      <c r="A514" t="s">
        <v>1924</v>
      </c>
      <c r="B514" t="s">
        <v>1925</v>
      </c>
      <c r="C514" t="s">
        <v>1926</v>
      </c>
      <c r="D514" t="s">
        <v>1927</v>
      </c>
      <c r="E514" t="s">
        <v>1925</v>
      </c>
      <c r="F514" t="s">
        <v>28</v>
      </c>
      <c r="G514" t="s">
        <v>1925</v>
      </c>
      <c r="H514" t="str">
        <f>"msi-1"</f>
        <v>msi-1</v>
      </c>
      <c r="I514" t="s">
        <v>1927</v>
      </c>
      <c r="J514">
        <v>13.66436034649</v>
      </c>
      <c r="K514">
        <v>13.409842194079999</v>
      </c>
      <c r="L514">
        <v>13.9709609288441</v>
      </c>
      <c r="M514">
        <v>14.6947002023458</v>
      </c>
      <c r="N514">
        <v>13.7792857419741</v>
      </c>
      <c r="O514">
        <v>14.0275605644224</v>
      </c>
      <c r="P514">
        <v>0.48546101310939899</v>
      </c>
      <c r="Q514">
        <v>2.4012419229533299E-2</v>
      </c>
      <c r="R514">
        <v>0.94690960698926396</v>
      </c>
      <c r="S514">
        <v>13.7645332556119</v>
      </c>
      <c r="T514">
        <v>2.2206547550896301</v>
      </c>
      <c r="U514">
        <v>-4.88041863804232</v>
      </c>
      <c r="V514">
        <v>4.0342854725839802E-2</v>
      </c>
      <c r="W514">
        <v>0.118653086703643</v>
      </c>
      <c r="X514">
        <v>0</v>
      </c>
      <c r="Y514">
        <v>0</v>
      </c>
    </row>
    <row r="515" spans="1:25" x14ac:dyDescent="0.2">
      <c r="A515" t="s">
        <v>1928</v>
      </c>
      <c r="B515" t="s">
        <v>1929</v>
      </c>
      <c r="C515" t="s">
        <v>14271</v>
      </c>
      <c r="D515" t="s">
        <v>1930</v>
      </c>
      <c r="E515" t="s">
        <v>1929</v>
      </c>
      <c r="F515" t="s">
        <v>28</v>
      </c>
      <c r="G515" t="s">
        <v>1931</v>
      </c>
      <c r="H515" t="str">
        <f>"F45D11.15"</f>
        <v>F45D11.15</v>
      </c>
      <c r="I515" t="s">
        <v>689</v>
      </c>
      <c r="J515">
        <v>19.660261542670799</v>
      </c>
      <c r="K515">
        <v>19.923904303998601</v>
      </c>
      <c r="L515">
        <v>18.606609014420201</v>
      </c>
      <c r="M515">
        <v>18.4962477679355</v>
      </c>
      <c r="N515">
        <v>18.042837041534</v>
      </c>
      <c r="O515">
        <v>18.830887733143499</v>
      </c>
      <c r="P515">
        <v>-0.94026743949223501</v>
      </c>
      <c r="Q515">
        <v>-2.1259869291644198</v>
      </c>
      <c r="R515">
        <v>0.245452050179953</v>
      </c>
      <c r="S515">
        <v>17.490977138687398</v>
      </c>
      <c r="T515">
        <v>-1.66671733314147</v>
      </c>
      <c r="U515">
        <v>-5.80172415706972</v>
      </c>
      <c r="V515">
        <v>0.11297673418265999</v>
      </c>
      <c r="W515">
        <v>0.23617511486057299</v>
      </c>
      <c r="X515">
        <v>0</v>
      </c>
      <c r="Y515">
        <v>0</v>
      </c>
    </row>
    <row r="516" spans="1:25" x14ac:dyDescent="0.2">
      <c r="A516" t="s">
        <v>1932</v>
      </c>
      <c r="B516" t="s">
        <v>1933</v>
      </c>
      <c r="C516" t="s">
        <v>14272</v>
      </c>
      <c r="D516" t="s">
        <v>1934</v>
      </c>
      <c r="E516" t="s">
        <v>1933</v>
      </c>
      <c r="F516" t="s">
        <v>28</v>
      </c>
      <c r="G516" t="s">
        <v>1933</v>
      </c>
      <c r="H516" t="str">
        <f>"T12D8.9"</f>
        <v>T12D8.9</v>
      </c>
      <c r="I516" t="s">
        <v>1934</v>
      </c>
      <c r="J516">
        <v>12.266443329639801</v>
      </c>
      <c r="K516">
        <v>11.9069249885014</v>
      </c>
      <c r="L516">
        <v>12.399631137043601</v>
      </c>
      <c r="M516">
        <v>10.1228433544655</v>
      </c>
      <c r="N516">
        <v>11.7174783129036</v>
      </c>
      <c r="O516">
        <v>11.238277617348601</v>
      </c>
      <c r="P516">
        <v>-1.16480005682236</v>
      </c>
      <c r="Q516">
        <v>-1.88817122949132</v>
      </c>
      <c r="R516">
        <v>-0.44142888415339898</v>
      </c>
      <c r="S516">
        <v>11.701755751666701</v>
      </c>
      <c r="T516">
        <v>-3.3844078894019498</v>
      </c>
      <c r="U516">
        <v>-2.5181844925649899</v>
      </c>
      <c r="V516">
        <v>3.3253128137003202E-3</v>
      </c>
      <c r="W516">
        <v>2.1211465069209599E-2</v>
      </c>
      <c r="X516">
        <v>-1</v>
      </c>
      <c r="Y516">
        <v>-1</v>
      </c>
    </row>
    <row r="517" spans="1:25" x14ac:dyDescent="0.2">
      <c r="A517" t="s">
        <v>1935</v>
      </c>
      <c r="B517" t="s">
        <v>1936</v>
      </c>
      <c r="C517" t="s">
        <v>1937</v>
      </c>
      <c r="D517" t="s">
        <v>1938</v>
      </c>
      <c r="E517" t="s">
        <v>1936</v>
      </c>
      <c r="F517" t="s">
        <v>28</v>
      </c>
      <c r="G517" t="s">
        <v>1936</v>
      </c>
      <c r="H517" t="str">
        <f>"ltah-1.1"</f>
        <v>ltah-1.1</v>
      </c>
      <c r="I517" t="s">
        <v>1938</v>
      </c>
      <c r="J517">
        <v>13.833983118888</v>
      </c>
      <c r="K517">
        <v>13.809674538369</v>
      </c>
      <c r="L517">
        <v>14.013512489161201</v>
      </c>
      <c r="M517">
        <v>16.2574040791378</v>
      </c>
      <c r="N517" t="s">
        <v>29</v>
      </c>
      <c r="O517">
        <v>13.5909036238968</v>
      </c>
      <c r="P517">
        <v>1.0384304693778901</v>
      </c>
      <c r="Q517">
        <v>4.2460582170380297E-2</v>
      </c>
      <c r="R517">
        <v>2.0344003565854001</v>
      </c>
      <c r="S517">
        <v>14.1193532531037</v>
      </c>
      <c r="T517">
        <v>2.2008032963923401</v>
      </c>
      <c r="U517">
        <v>-4.8091564771472299</v>
      </c>
      <c r="V517">
        <v>4.1949829827296198E-2</v>
      </c>
      <c r="W517">
        <v>0.120883913229484</v>
      </c>
      <c r="X517">
        <v>1</v>
      </c>
      <c r="Y517">
        <v>0</v>
      </c>
    </row>
    <row r="518" spans="1:25" x14ac:dyDescent="0.2">
      <c r="A518" t="s">
        <v>1939</v>
      </c>
      <c r="B518" t="s">
        <v>1940</v>
      </c>
      <c r="C518" t="s">
        <v>1941</v>
      </c>
      <c r="D518" t="s">
        <v>1942</v>
      </c>
      <c r="E518" t="s">
        <v>1940</v>
      </c>
      <c r="F518" t="s">
        <v>28</v>
      </c>
      <c r="G518" t="s">
        <v>1940</v>
      </c>
      <c r="H518" t="str">
        <f>"hsf-1"</f>
        <v>hsf-1</v>
      </c>
      <c r="I518" t="s">
        <v>1942</v>
      </c>
      <c r="J518" t="s">
        <v>29</v>
      </c>
      <c r="K518" t="s">
        <v>29</v>
      </c>
      <c r="L518" t="s">
        <v>29</v>
      </c>
      <c r="M518" t="s">
        <v>29</v>
      </c>
      <c r="N518" t="s">
        <v>29</v>
      </c>
      <c r="O518" t="s">
        <v>29</v>
      </c>
      <c r="P518" t="s">
        <v>29</v>
      </c>
      <c r="Q518" t="s">
        <v>29</v>
      </c>
      <c r="R518" t="s">
        <v>29</v>
      </c>
      <c r="S518">
        <v>11.3397495128618</v>
      </c>
      <c r="T518" t="s">
        <v>29</v>
      </c>
      <c r="U518" t="s">
        <v>29</v>
      </c>
      <c r="V518" t="s">
        <v>29</v>
      </c>
      <c r="W518" t="s">
        <v>29</v>
      </c>
      <c r="X518" t="s">
        <v>29</v>
      </c>
      <c r="Y518" t="s">
        <v>29</v>
      </c>
    </row>
    <row r="519" spans="1:25" x14ac:dyDescent="0.2">
      <c r="A519" t="s">
        <v>1943</v>
      </c>
      <c r="B519" t="s">
        <v>1944</v>
      </c>
      <c r="C519" t="s">
        <v>1945</v>
      </c>
      <c r="D519" t="s">
        <v>1946</v>
      </c>
      <c r="E519" t="s">
        <v>1944</v>
      </c>
      <c r="F519" t="s">
        <v>28</v>
      </c>
      <c r="G519" t="s">
        <v>1944</v>
      </c>
      <c r="H519" t="str">
        <f>"hhat-1"</f>
        <v>hhat-1</v>
      </c>
      <c r="I519" t="s">
        <v>1946</v>
      </c>
      <c r="J519">
        <v>14.380832629699</v>
      </c>
      <c r="K519">
        <v>15.0155528193264</v>
      </c>
      <c r="L519">
        <v>14.8685446212488</v>
      </c>
      <c r="M519">
        <v>15.608216077094401</v>
      </c>
      <c r="N519">
        <v>14.778642245835499</v>
      </c>
      <c r="O519">
        <v>14.6947184268057</v>
      </c>
      <c r="P519">
        <v>0.27221555982047402</v>
      </c>
      <c r="Q519">
        <v>-0.29974080092121902</v>
      </c>
      <c r="R519">
        <v>0.84417192056216706</v>
      </c>
      <c r="S519">
        <v>15.0654599674814</v>
      </c>
      <c r="T519">
        <v>1.000328321492</v>
      </c>
      <c r="U519">
        <v>-6.6454056555902596</v>
      </c>
      <c r="V519">
        <v>0.33048700739879</v>
      </c>
      <c r="W519">
        <v>0.50203361381661504</v>
      </c>
      <c r="X519">
        <v>0</v>
      </c>
      <c r="Y519">
        <v>0</v>
      </c>
    </row>
    <row r="520" spans="1:25" x14ac:dyDescent="0.2">
      <c r="A520" t="s">
        <v>1947</v>
      </c>
      <c r="B520" t="s">
        <v>1948</v>
      </c>
      <c r="C520" t="s">
        <v>1949</v>
      </c>
      <c r="D520" t="s">
        <v>1950</v>
      </c>
      <c r="E520" t="s">
        <v>1948</v>
      </c>
      <c r="F520" t="s">
        <v>28</v>
      </c>
      <c r="G520" t="s">
        <v>1948</v>
      </c>
      <c r="H520" t="str">
        <f>"pak-2"</f>
        <v>pak-2</v>
      </c>
      <c r="I520" t="s">
        <v>1950</v>
      </c>
      <c r="J520">
        <v>13.1878272472966</v>
      </c>
      <c r="K520">
        <v>13.480087061372201</v>
      </c>
      <c r="L520">
        <v>13.344605520843899</v>
      </c>
      <c r="M520" t="s">
        <v>29</v>
      </c>
      <c r="N520">
        <v>13.2947401530188</v>
      </c>
      <c r="O520">
        <v>12.871533055644299</v>
      </c>
      <c r="P520">
        <v>-0.25437000550607503</v>
      </c>
      <c r="Q520">
        <v>-0.81229783105926401</v>
      </c>
      <c r="R520">
        <v>0.30355782004711301</v>
      </c>
      <c r="S520">
        <v>13.3240097675711</v>
      </c>
      <c r="T520">
        <v>-0.96236072576266196</v>
      </c>
      <c r="U520">
        <v>-6.57161776451533</v>
      </c>
      <c r="V520">
        <v>0.349441016297381</v>
      </c>
      <c r="W520">
        <v>0.51936419181751003</v>
      </c>
      <c r="X520">
        <v>0</v>
      </c>
      <c r="Y520">
        <v>0</v>
      </c>
    </row>
    <row r="521" spans="1:25" x14ac:dyDescent="0.2">
      <c r="A521" t="s">
        <v>1951</v>
      </c>
      <c r="B521" t="s">
        <v>1952</v>
      </c>
      <c r="C521" t="s">
        <v>1953</v>
      </c>
      <c r="D521" t="s">
        <v>1954</v>
      </c>
      <c r="E521" t="s">
        <v>1952</v>
      </c>
      <c r="F521" t="s">
        <v>28</v>
      </c>
      <c r="G521" t="s">
        <v>1955</v>
      </c>
      <c r="H521" t="str">
        <f>"ant-1.4"</f>
        <v>ant-1.4</v>
      </c>
      <c r="I521" t="s">
        <v>1954</v>
      </c>
      <c r="J521">
        <v>20.675902039732399</v>
      </c>
      <c r="K521">
        <v>20.683003599328998</v>
      </c>
      <c r="L521">
        <v>20.481140468722302</v>
      </c>
      <c r="M521">
        <v>19.655791333038898</v>
      </c>
      <c r="N521">
        <v>19.941511400292399</v>
      </c>
      <c r="O521">
        <v>19.990578984023202</v>
      </c>
      <c r="P521">
        <v>-0.75072146347640301</v>
      </c>
      <c r="Q521">
        <v>-1.1172656028015999</v>
      </c>
      <c r="R521">
        <v>-0.38417732415120398</v>
      </c>
      <c r="S521">
        <v>19.997214391371401</v>
      </c>
      <c r="T521">
        <v>-4.3047215644882897</v>
      </c>
      <c r="U521">
        <v>-0.49962052222362102</v>
      </c>
      <c r="V521">
        <v>4.31752080230825E-4</v>
      </c>
      <c r="W521">
        <v>4.8937437709240103E-3</v>
      </c>
      <c r="X521">
        <v>0</v>
      </c>
      <c r="Y521">
        <v>0</v>
      </c>
    </row>
    <row r="522" spans="1:25" x14ac:dyDescent="0.2">
      <c r="A522" t="s">
        <v>1956</v>
      </c>
      <c r="B522" t="s">
        <v>1957</v>
      </c>
      <c r="C522" t="s">
        <v>14273</v>
      </c>
      <c r="D522" t="s">
        <v>323</v>
      </c>
      <c r="E522" t="s">
        <v>1957</v>
      </c>
      <c r="F522" t="s">
        <v>28</v>
      </c>
      <c r="G522" t="s">
        <v>1957</v>
      </c>
      <c r="H522" t="str">
        <f>"ZK524.4"</f>
        <v>ZK524.4</v>
      </c>
      <c r="I522" t="s">
        <v>323</v>
      </c>
      <c r="J522">
        <v>11.8416214453758</v>
      </c>
      <c r="K522">
        <v>11.856877738942201</v>
      </c>
      <c r="L522">
        <v>11.879762117974201</v>
      </c>
      <c r="M522" t="s">
        <v>29</v>
      </c>
      <c r="N522">
        <v>13.4485641666336</v>
      </c>
      <c r="O522">
        <v>13.0941318572296</v>
      </c>
      <c r="P522">
        <v>1.41192757783422</v>
      </c>
      <c r="Q522">
        <v>0.97079407958567399</v>
      </c>
      <c r="R522">
        <v>1.8530610760827599</v>
      </c>
      <c r="S522">
        <v>12.420472404545601</v>
      </c>
      <c r="T522">
        <v>6.75604286191993</v>
      </c>
      <c r="U522">
        <v>4.4867090154463503</v>
      </c>
      <c r="V522" s="2">
        <v>3.47011269530131E-6</v>
      </c>
      <c r="W522">
        <v>1.20310848388858E-4</v>
      </c>
      <c r="X522">
        <v>1</v>
      </c>
      <c r="Y522">
        <v>1</v>
      </c>
    </row>
    <row r="523" spans="1:25" x14ac:dyDescent="0.2">
      <c r="A523" t="s">
        <v>1958</v>
      </c>
      <c r="B523" t="s">
        <v>1959</v>
      </c>
      <c r="C523" t="s">
        <v>1960</v>
      </c>
      <c r="D523" t="s">
        <v>1961</v>
      </c>
      <c r="E523" t="s">
        <v>1959</v>
      </c>
      <c r="F523" t="s">
        <v>28</v>
      </c>
      <c r="G523" t="s">
        <v>1959</v>
      </c>
      <c r="H523" t="str">
        <f>"rsa-2"</f>
        <v>rsa-2</v>
      </c>
      <c r="I523" t="s">
        <v>1961</v>
      </c>
      <c r="J523">
        <v>11.7840483961503</v>
      </c>
      <c r="K523" t="s">
        <v>29</v>
      </c>
      <c r="L523">
        <v>12.262528793306</v>
      </c>
      <c r="M523" t="s">
        <v>29</v>
      </c>
      <c r="N523" t="s">
        <v>29</v>
      </c>
      <c r="O523" t="s">
        <v>29</v>
      </c>
      <c r="P523" t="s">
        <v>29</v>
      </c>
      <c r="Q523" t="s">
        <v>29</v>
      </c>
      <c r="R523" t="s">
        <v>29</v>
      </c>
      <c r="S523">
        <v>12.2512988423923</v>
      </c>
      <c r="T523" t="s">
        <v>29</v>
      </c>
      <c r="U523" t="s">
        <v>29</v>
      </c>
      <c r="V523" t="s">
        <v>29</v>
      </c>
      <c r="W523" t="s">
        <v>29</v>
      </c>
      <c r="X523" t="s">
        <v>29</v>
      </c>
      <c r="Y523" t="s">
        <v>29</v>
      </c>
    </row>
    <row r="524" spans="1:25" x14ac:dyDescent="0.2">
      <c r="A524" t="s">
        <v>1962</v>
      </c>
      <c r="B524" t="s">
        <v>1963</v>
      </c>
      <c r="C524" t="s">
        <v>1964</v>
      </c>
      <c r="D524" t="s">
        <v>1965</v>
      </c>
      <c r="E524" t="s">
        <v>1963</v>
      </c>
      <c r="F524" t="s">
        <v>28</v>
      </c>
      <c r="G524" t="s">
        <v>1963</v>
      </c>
      <c r="H524" t="str">
        <f>"catp-4"</f>
        <v>catp-4</v>
      </c>
      <c r="I524" t="s">
        <v>1965</v>
      </c>
      <c r="J524">
        <v>14.251786216585799</v>
      </c>
      <c r="K524">
        <v>14.0552744036892</v>
      </c>
      <c r="L524">
        <v>13.7213498042242</v>
      </c>
      <c r="M524">
        <v>17.047460108036098</v>
      </c>
      <c r="N524">
        <v>16.1665743344549</v>
      </c>
      <c r="O524">
        <v>14.931281089242701</v>
      </c>
      <c r="P524">
        <v>2.0389683690781699</v>
      </c>
      <c r="Q524">
        <v>1.2783038955388999</v>
      </c>
      <c r="R524">
        <v>2.7996328426174402</v>
      </c>
      <c r="S524">
        <v>14.144740559914201</v>
      </c>
      <c r="T524">
        <v>5.6339095262848904</v>
      </c>
      <c r="U524">
        <v>2.3826085800793302</v>
      </c>
      <c r="V524" s="2">
        <v>2.45847016311832E-5</v>
      </c>
      <c r="W524">
        <v>5.9876955129832305E-4</v>
      </c>
      <c r="X524">
        <v>1</v>
      </c>
      <c r="Y524">
        <v>1</v>
      </c>
    </row>
    <row r="525" spans="1:25" x14ac:dyDescent="0.2">
      <c r="A525" t="s">
        <v>1966</v>
      </c>
      <c r="B525" t="s">
        <v>1967</v>
      </c>
      <c r="C525" t="s">
        <v>1968</v>
      </c>
      <c r="D525" t="s">
        <v>1969</v>
      </c>
      <c r="E525" t="s">
        <v>1967</v>
      </c>
      <c r="F525" t="s">
        <v>28</v>
      </c>
      <c r="G525" t="s">
        <v>1967</v>
      </c>
      <c r="H525" t="str">
        <f>"vps-52"</f>
        <v>vps-52</v>
      </c>
      <c r="I525" t="s">
        <v>1969</v>
      </c>
      <c r="J525">
        <v>12.7630486141855</v>
      </c>
      <c r="K525">
        <v>13.118729066249101</v>
      </c>
      <c r="L525">
        <v>12.750208348561999</v>
      </c>
      <c r="M525" t="s">
        <v>29</v>
      </c>
      <c r="N525" t="s">
        <v>29</v>
      </c>
      <c r="O525">
        <v>14.2134074542442</v>
      </c>
      <c r="P525">
        <v>1.33607877791198</v>
      </c>
      <c r="Q525">
        <v>0.63578496094304504</v>
      </c>
      <c r="R525">
        <v>2.0363725948809099</v>
      </c>
      <c r="S525">
        <v>12.7009266714735</v>
      </c>
      <c r="T525">
        <v>4.0690533099908199</v>
      </c>
      <c r="U525">
        <v>-0.97642134639321299</v>
      </c>
      <c r="V525">
        <v>1.0210571107452399E-3</v>
      </c>
      <c r="W525">
        <v>9.23023099805588E-3</v>
      </c>
      <c r="X525">
        <v>1</v>
      </c>
      <c r="Y525">
        <v>1</v>
      </c>
    </row>
    <row r="526" spans="1:25" x14ac:dyDescent="0.2">
      <c r="A526" t="s">
        <v>1970</v>
      </c>
      <c r="B526" t="s">
        <v>1971</v>
      </c>
      <c r="C526" t="s">
        <v>1972</v>
      </c>
      <c r="D526" t="s">
        <v>810</v>
      </c>
      <c r="E526" t="s">
        <v>1971</v>
      </c>
      <c r="F526" t="s">
        <v>28</v>
      </c>
      <c r="G526" t="s">
        <v>1971</v>
      </c>
      <c r="H526" t="str">
        <f>"sma-1"</f>
        <v>sma-1</v>
      </c>
      <c r="I526" t="s">
        <v>810</v>
      </c>
      <c r="J526">
        <v>12.552601899764401</v>
      </c>
      <c r="K526">
        <v>12.7728096190092</v>
      </c>
      <c r="L526">
        <v>13.0319269199864</v>
      </c>
      <c r="M526">
        <v>15.4889380307735</v>
      </c>
      <c r="N526">
        <v>13.506048730146601</v>
      </c>
      <c r="O526">
        <v>13.786534650003</v>
      </c>
      <c r="P526">
        <v>1.4747276573877199</v>
      </c>
      <c r="Q526">
        <v>0.69580010189541697</v>
      </c>
      <c r="R526">
        <v>2.2536552128800098</v>
      </c>
      <c r="S526">
        <v>13.704217614047501</v>
      </c>
      <c r="T526">
        <v>3.9793053934765101</v>
      </c>
      <c r="U526">
        <v>-1.21759145151738</v>
      </c>
      <c r="V526">
        <v>8.8820149224596104E-4</v>
      </c>
      <c r="W526">
        <v>8.3360821581173507E-3</v>
      </c>
      <c r="X526">
        <v>1</v>
      </c>
      <c r="Y526">
        <v>1</v>
      </c>
    </row>
    <row r="527" spans="1:25" x14ac:dyDescent="0.2">
      <c r="A527" t="s">
        <v>1973</v>
      </c>
      <c r="B527" t="s">
        <v>1974</v>
      </c>
      <c r="C527" t="s">
        <v>1975</v>
      </c>
      <c r="D527" t="s">
        <v>1976</v>
      </c>
      <c r="E527" t="s">
        <v>1974</v>
      </c>
      <c r="F527" t="s">
        <v>28</v>
      </c>
      <c r="G527" t="s">
        <v>1974</v>
      </c>
      <c r="H527" t="str">
        <f>"ntl-3"</f>
        <v>ntl-3</v>
      </c>
      <c r="I527" t="s">
        <v>1976</v>
      </c>
      <c r="J527">
        <v>11.6488954690195</v>
      </c>
      <c r="K527">
        <v>12.784666291009399</v>
      </c>
      <c r="L527">
        <v>12.447509080989301</v>
      </c>
      <c r="M527" t="s">
        <v>29</v>
      </c>
      <c r="N527" t="s">
        <v>29</v>
      </c>
      <c r="O527" t="s">
        <v>29</v>
      </c>
      <c r="P527" t="s">
        <v>29</v>
      </c>
      <c r="Q527" t="s">
        <v>29</v>
      </c>
      <c r="R527" t="s">
        <v>29</v>
      </c>
      <c r="S527">
        <v>12.3195208478653</v>
      </c>
      <c r="T527" t="s">
        <v>29</v>
      </c>
      <c r="U527" t="s">
        <v>29</v>
      </c>
      <c r="V527" t="s">
        <v>29</v>
      </c>
      <c r="W527" t="s">
        <v>29</v>
      </c>
      <c r="X527" t="s">
        <v>29</v>
      </c>
      <c r="Y527" t="s">
        <v>29</v>
      </c>
    </row>
    <row r="528" spans="1:25" x14ac:dyDescent="0.2">
      <c r="A528" t="s">
        <v>1977</v>
      </c>
      <c r="B528" t="s">
        <v>1978</v>
      </c>
      <c r="C528" t="s">
        <v>1979</v>
      </c>
      <c r="D528" t="s">
        <v>1980</v>
      </c>
      <c r="E528" t="s">
        <v>1978</v>
      </c>
      <c r="F528" t="s">
        <v>28</v>
      </c>
      <c r="G528" t="s">
        <v>1978</v>
      </c>
      <c r="H528" t="str">
        <f>"polh-1"</f>
        <v>polh-1</v>
      </c>
      <c r="I528" t="s">
        <v>1980</v>
      </c>
      <c r="J528" t="s">
        <v>29</v>
      </c>
      <c r="K528" t="s">
        <v>29</v>
      </c>
      <c r="L528" t="s">
        <v>29</v>
      </c>
      <c r="M528" t="s">
        <v>29</v>
      </c>
      <c r="N528" t="s">
        <v>29</v>
      </c>
      <c r="O528">
        <v>9.4042255404708506</v>
      </c>
      <c r="P528" t="s">
        <v>29</v>
      </c>
      <c r="Q528" t="s">
        <v>29</v>
      </c>
      <c r="R528" t="s">
        <v>29</v>
      </c>
      <c r="S528">
        <v>9.1376999309035902</v>
      </c>
      <c r="T528" t="s">
        <v>29</v>
      </c>
      <c r="U528" t="s">
        <v>29</v>
      </c>
      <c r="V528" t="s">
        <v>29</v>
      </c>
      <c r="W528" t="s">
        <v>29</v>
      </c>
      <c r="X528" t="s">
        <v>29</v>
      </c>
      <c r="Y528" t="s">
        <v>29</v>
      </c>
    </row>
    <row r="529" spans="1:25" x14ac:dyDescent="0.2">
      <c r="A529" t="s">
        <v>1981</v>
      </c>
      <c r="B529" t="s">
        <v>1982</v>
      </c>
      <c r="C529" t="s">
        <v>1983</v>
      </c>
      <c r="D529" t="s">
        <v>534</v>
      </c>
      <c r="E529" t="s">
        <v>1982</v>
      </c>
      <c r="F529" t="s">
        <v>28</v>
      </c>
      <c r="G529" t="s">
        <v>1982</v>
      </c>
      <c r="H529" t="str">
        <f>"sec-31"</f>
        <v>sec-31</v>
      </c>
      <c r="I529" t="s">
        <v>534</v>
      </c>
      <c r="J529">
        <v>11.4555157557883</v>
      </c>
      <c r="K529">
        <v>11.0635055567114</v>
      </c>
      <c r="L529">
        <v>11.490658090813399</v>
      </c>
      <c r="M529" t="s">
        <v>29</v>
      </c>
      <c r="N529">
        <v>11.397748211095699</v>
      </c>
      <c r="O529">
        <v>12.0173248390933</v>
      </c>
      <c r="P529">
        <v>0.37097672399009901</v>
      </c>
      <c r="Q529">
        <v>-9.8076029667948997E-2</v>
      </c>
      <c r="R529">
        <v>0.84002947764814695</v>
      </c>
      <c r="S529">
        <v>11.7659315515917</v>
      </c>
      <c r="T529">
        <v>1.6694560294562699</v>
      </c>
      <c r="U529">
        <v>-5.6902486992963501</v>
      </c>
      <c r="V529">
        <v>0.11344937564129</v>
      </c>
      <c r="W529">
        <v>0.23694919207291401</v>
      </c>
      <c r="X529">
        <v>0</v>
      </c>
      <c r="Y529">
        <v>0</v>
      </c>
    </row>
    <row r="530" spans="1:25" x14ac:dyDescent="0.2">
      <c r="A530" t="s">
        <v>1984</v>
      </c>
      <c r="B530" t="s">
        <v>1985</v>
      </c>
      <c r="C530" t="s">
        <v>1986</v>
      </c>
      <c r="D530" t="s">
        <v>1987</v>
      </c>
      <c r="E530" t="s">
        <v>1985</v>
      </c>
      <c r="F530" t="s">
        <v>28</v>
      </c>
      <c r="G530" t="s">
        <v>1985</v>
      </c>
      <c r="H530" t="str">
        <f>"ipgm-1"</f>
        <v>ipgm-1</v>
      </c>
      <c r="I530" t="s">
        <v>1987</v>
      </c>
      <c r="J530">
        <v>12.932515737472301</v>
      </c>
      <c r="K530">
        <v>12.6737773245731</v>
      </c>
      <c r="L530">
        <v>12.6343900068044</v>
      </c>
      <c r="M530" t="s">
        <v>29</v>
      </c>
      <c r="N530">
        <v>12.980971051155899</v>
      </c>
      <c r="O530">
        <v>12.656081570269899</v>
      </c>
      <c r="P530">
        <v>7.1631954429596703E-2</v>
      </c>
      <c r="Q530">
        <v>-0.46650496703965499</v>
      </c>
      <c r="R530">
        <v>0.60976887589884898</v>
      </c>
      <c r="S530">
        <v>12.4343710521575</v>
      </c>
      <c r="T530">
        <v>0.280972634748475</v>
      </c>
      <c r="U530">
        <v>-7.0040743217626096</v>
      </c>
      <c r="V530">
        <v>0.78214328194612004</v>
      </c>
      <c r="W530">
        <v>0.86296377832093496</v>
      </c>
      <c r="X530">
        <v>0</v>
      </c>
      <c r="Y530">
        <v>0</v>
      </c>
    </row>
    <row r="531" spans="1:25" x14ac:dyDescent="0.2">
      <c r="A531" t="s">
        <v>1988</v>
      </c>
      <c r="B531" t="s">
        <v>1989</v>
      </c>
      <c r="C531" t="s">
        <v>1990</v>
      </c>
      <c r="D531" t="s">
        <v>1991</v>
      </c>
      <c r="E531" t="s">
        <v>1989</v>
      </c>
      <c r="F531" t="s">
        <v>28</v>
      </c>
      <c r="G531" t="s">
        <v>1989</v>
      </c>
      <c r="H531" t="str">
        <f>"ash-2"</f>
        <v>ash-2</v>
      </c>
      <c r="I531" t="s">
        <v>1991</v>
      </c>
      <c r="J531">
        <v>12.487639197185599</v>
      </c>
      <c r="K531">
        <v>12.864716407979101</v>
      </c>
      <c r="L531">
        <v>12.660531609141801</v>
      </c>
      <c r="M531">
        <v>13.260557644101601</v>
      </c>
      <c r="N531">
        <v>12.8847165858938</v>
      </c>
      <c r="O531">
        <v>13.165660098880901</v>
      </c>
      <c r="P531">
        <v>0.432682371523258</v>
      </c>
      <c r="Q531">
        <v>-7.4205730312909807E-2</v>
      </c>
      <c r="R531">
        <v>0.93957047335942601</v>
      </c>
      <c r="S531">
        <v>12.910225356792701</v>
      </c>
      <c r="T531">
        <v>1.79411227421744</v>
      </c>
      <c r="U531">
        <v>-5.6037419719650403</v>
      </c>
      <c r="V531">
        <v>8.9709090819442505E-2</v>
      </c>
      <c r="W531">
        <v>0.20181121423274601</v>
      </c>
      <c r="X531">
        <v>0</v>
      </c>
      <c r="Y531">
        <v>0</v>
      </c>
    </row>
    <row r="532" spans="1:25" x14ac:dyDescent="0.2">
      <c r="A532" t="s">
        <v>1992</v>
      </c>
      <c r="B532" t="s">
        <v>1993</v>
      </c>
      <c r="C532" t="s">
        <v>1994</v>
      </c>
      <c r="D532" t="s">
        <v>1995</v>
      </c>
      <c r="E532" t="s">
        <v>1993</v>
      </c>
      <c r="F532" t="s">
        <v>28</v>
      </c>
      <c r="G532" t="s">
        <v>1993</v>
      </c>
      <c r="H532" t="str">
        <f>"fat-4"</f>
        <v>fat-4</v>
      </c>
      <c r="I532" t="s">
        <v>1995</v>
      </c>
      <c r="J532">
        <v>12.592029192245001</v>
      </c>
      <c r="K532">
        <v>12.6693132245857</v>
      </c>
      <c r="L532">
        <v>12.5615664944829</v>
      </c>
      <c r="M532" t="s">
        <v>29</v>
      </c>
      <c r="N532" t="s">
        <v>29</v>
      </c>
      <c r="O532">
        <v>10.955997992693201</v>
      </c>
      <c r="P532">
        <v>-1.65163831107801</v>
      </c>
      <c r="Q532">
        <v>-2.5341632791622501</v>
      </c>
      <c r="R532">
        <v>-0.76911334299376399</v>
      </c>
      <c r="S532">
        <v>12.7278365403533</v>
      </c>
      <c r="T532">
        <v>-3.9695152687841202</v>
      </c>
      <c r="U532">
        <v>-1.0927529745684199</v>
      </c>
      <c r="V532">
        <v>1.1131291465524501E-3</v>
      </c>
      <c r="W532">
        <v>9.8215317212277803E-3</v>
      </c>
      <c r="X532">
        <v>-1</v>
      </c>
      <c r="Y532">
        <v>-1</v>
      </c>
    </row>
    <row r="533" spans="1:25" x14ac:dyDescent="0.2">
      <c r="A533" t="s">
        <v>1996</v>
      </c>
      <c r="B533" t="s">
        <v>1997</v>
      </c>
      <c r="C533" t="s">
        <v>1998</v>
      </c>
      <c r="D533" t="s">
        <v>1999</v>
      </c>
      <c r="E533" t="s">
        <v>1997</v>
      </c>
      <c r="F533" t="s">
        <v>28</v>
      </c>
      <c r="G533" t="s">
        <v>1997</v>
      </c>
      <c r="H533" t="str">
        <f>"dhs-12"</f>
        <v>dhs-12</v>
      </c>
      <c r="I533" t="s">
        <v>1999</v>
      </c>
      <c r="J533">
        <v>13.658561360924599</v>
      </c>
      <c r="K533">
        <v>13.4720065577458</v>
      </c>
      <c r="L533">
        <v>13.3374604383167</v>
      </c>
      <c r="M533" t="s">
        <v>29</v>
      </c>
      <c r="N533">
        <v>12.6945001134593</v>
      </c>
      <c r="O533">
        <v>12.8040354812914</v>
      </c>
      <c r="P533">
        <v>-0.74007498828698803</v>
      </c>
      <c r="Q533">
        <v>-1.31586858971193</v>
      </c>
      <c r="R533">
        <v>-0.16428138686205099</v>
      </c>
      <c r="S533">
        <v>12.878314356271201</v>
      </c>
      <c r="T533">
        <v>-2.7130569220281502</v>
      </c>
      <c r="U533">
        <v>-3.8387228818113601</v>
      </c>
      <c r="V533">
        <v>1.4824917437481201E-2</v>
      </c>
      <c r="W533">
        <v>5.9603044595166597E-2</v>
      </c>
      <c r="X533">
        <v>0</v>
      </c>
      <c r="Y533">
        <v>0</v>
      </c>
    </row>
    <row r="534" spans="1:25" x14ac:dyDescent="0.2">
      <c r="A534" t="s">
        <v>2000</v>
      </c>
      <c r="B534" t="s">
        <v>2001</v>
      </c>
      <c r="C534" t="s">
        <v>2002</v>
      </c>
      <c r="D534" t="s">
        <v>2003</v>
      </c>
      <c r="E534" t="s">
        <v>2001</v>
      </c>
      <c r="F534" t="s">
        <v>28</v>
      </c>
      <c r="G534" t="s">
        <v>2001</v>
      </c>
      <c r="H534" t="str">
        <f>"cacn-1"</f>
        <v>cacn-1</v>
      </c>
      <c r="I534" t="s">
        <v>2003</v>
      </c>
      <c r="J534">
        <v>13.751655190869201</v>
      </c>
      <c r="K534">
        <v>13.5138685225781</v>
      </c>
      <c r="L534">
        <v>13.542387044805499</v>
      </c>
      <c r="M534" t="s">
        <v>29</v>
      </c>
      <c r="N534" t="s">
        <v>29</v>
      </c>
      <c r="O534">
        <v>11.0600232614627</v>
      </c>
      <c r="P534">
        <v>-2.5426136579549099</v>
      </c>
      <c r="Q534">
        <v>-3.1240568428181401</v>
      </c>
      <c r="R534">
        <v>-1.9611704730916899</v>
      </c>
      <c r="S534">
        <v>13.1279279874677</v>
      </c>
      <c r="T534">
        <v>-9.2751858579389399</v>
      </c>
      <c r="U534">
        <v>8.3594140386751103</v>
      </c>
      <c r="V534" s="2">
        <v>8.1872201987061901E-8</v>
      </c>
      <c r="W534" s="2">
        <v>5.7095593616893897E-6</v>
      </c>
      <c r="X534">
        <v>-1</v>
      </c>
      <c r="Y534">
        <v>-1</v>
      </c>
    </row>
    <row r="535" spans="1:25" x14ac:dyDescent="0.2">
      <c r="A535" t="s">
        <v>2004</v>
      </c>
      <c r="B535" t="s">
        <v>2005</v>
      </c>
      <c r="C535" t="s">
        <v>2006</v>
      </c>
      <c r="D535" t="s">
        <v>2007</v>
      </c>
      <c r="E535" t="s">
        <v>2005</v>
      </c>
      <c r="F535" t="s">
        <v>28</v>
      </c>
      <c r="G535" t="s">
        <v>2005</v>
      </c>
      <c r="H535" t="str">
        <f>"smc-6"</f>
        <v>smc-6</v>
      </c>
      <c r="I535" t="s">
        <v>2007</v>
      </c>
      <c r="J535">
        <v>11.6859344901151</v>
      </c>
      <c r="K535" t="s">
        <v>29</v>
      </c>
      <c r="L535">
        <v>11.882496989086899</v>
      </c>
      <c r="M535" t="s">
        <v>29</v>
      </c>
      <c r="N535" t="s">
        <v>29</v>
      </c>
      <c r="O535" t="s">
        <v>29</v>
      </c>
      <c r="P535" t="s">
        <v>29</v>
      </c>
      <c r="Q535" t="s">
        <v>29</v>
      </c>
      <c r="R535" t="s">
        <v>29</v>
      </c>
      <c r="S535">
        <v>11.689943907727301</v>
      </c>
      <c r="T535" t="s">
        <v>29</v>
      </c>
      <c r="U535" t="s">
        <v>29</v>
      </c>
      <c r="V535" t="s">
        <v>29</v>
      </c>
      <c r="W535" t="s">
        <v>29</v>
      </c>
      <c r="X535" t="s">
        <v>29</v>
      </c>
      <c r="Y535" t="s">
        <v>29</v>
      </c>
    </row>
    <row r="536" spans="1:25" x14ac:dyDescent="0.2">
      <c r="A536" t="s">
        <v>2008</v>
      </c>
      <c r="B536" t="s">
        <v>2009</v>
      </c>
      <c r="C536" t="s">
        <v>2010</v>
      </c>
      <c r="D536" t="s">
        <v>2011</v>
      </c>
      <c r="E536" t="s">
        <v>2009</v>
      </c>
      <c r="F536" t="s">
        <v>28</v>
      </c>
      <c r="G536" t="s">
        <v>2009</v>
      </c>
      <c r="H536" t="str">
        <f>"him-4"</f>
        <v>him-4</v>
      </c>
      <c r="I536" t="s">
        <v>2011</v>
      </c>
      <c r="J536">
        <v>13.620322485715199</v>
      </c>
      <c r="K536">
        <v>13.4317502471447</v>
      </c>
      <c r="L536">
        <v>13.378999643986999</v>
      </c>
      <c r="M536">
        <v>13.857017895807999</v>
      </c>
      <c r="N536">
        <v>13.3909932444615</v>
      </c>
      <c r="O536">
        <v>13.936394619317401</v>
      </c>
      <c r="P536">
        <v>0.25111112757998899</v>
      </c>
      <c r="Q536">
        <v>-0.17061601230559501</v>
      </c>
      <c r="R536">
        <v>0.67283826746557296</v>
      </c>
      <c r="S536">
        <v>13.337692979706601</v>
      </c>
      <c r="T536">
        <v>1.25148866591327</v>
      </c>
      <c r="U536">
        <v>-6.3685605542914798</v>
      </c>
      <c r="V536">
        <v>0.226869494191727</v>
      </c>
      <c r="W536">
        <v>0.39121380888415402</v>
      </c>
      <c r="X536">
        <v>0</v>
      </c>
      <c r="Y536">
        <v>0</v>
      </c>
    </row>
    <row r="537" spans="1:25" x14ac:dyDescent="0.2">
      <c r="A537" t="s">
        <v>2012</v>
      </c>
      <c r="B537" t="s">
        <v>2013</v>
      </c>
      <c r="C537" t="s">
        <v>2014</v>
      </c>
      <c r="D537" t="s">
        <v>2015</v>
      </c>
      <c r="E537" t="s">
        <v>2013</v>
      </c>
      <c r="F537" t="s">
        <v>28</v>
      </c>
      <c r="G537" t="s">
        <v>2013</v>
      </c>
      <c r="H537" t="str">
        <f>"emb-27"</f>
        <v>emb-27</v>
      </c>
      <c r="I537" t="s">
        <v>2015</v>
      </c>
      <c r="J537">
        <v>12.488221086891899</v>
      </c>
      <c r="K537">
        <v>12.698316290976599</v>
      </c>
      <c r="L537">
        <v>13.417361732020099</v>
      </c>
      <c r="M537">
        <v>12.197282580379399</v>
      </c>
      <c r="N537">
        <v>12.244110555459301</v>
      </c>
      <c r="O537">
        <v>13.553517628454699</v>
      </c>
      <c r="P537">
        <v>-0.202996115198365</v>
      </c>
      <c r="Q537">
        <v>-0.82823091553179196</v>
      </c>
      <c r="R537">
        <v>0.42223868513506202</v>
      </c>
      <c r="S537">
        <v>13.2853291096165</v>
      </c>
      <c r="T537">
        <v>-0.68239698167075802</v>
      </c>
      <c r="U537">
        <v>-6.9150680929648196</v>
      </c>
      <c r="V537">
        <v>0.50372628321048096</v>
      </c>
      <c r="W537">
        <v>0.65772324174625096</v>
      </c>
      <c r="X537">
        <v>0</v>
      </c>
      <c r="Y537">
        <v>0</v>
      </c>
    </row>
    <row r="538" spans="1:25" x14ac:dyDescent="0.2">
      <c r="A538" t="s">
        <v>2016</v>
      </c>
      <c r="B538" t="s">
        <v>2017</v>
      </c>
      <c r="C538" t="s">
        <v>14274</v>
      </c>
      <c r="D538" t="s">
        <v>1131</v>
      </c>
      <c r="E538" t="s">
        <v>2017</v>
      </c>
      <c r="F538" t="s">
        <v>28</v>
      </c>
      <c r="G538" t="s">
        <v>2017</v>
      </c>
      <c r="H538" t="str">
        <f>"T04A11.1"</f>
        <v>T04A11.1</v>
      </c>
      <c r="I538" t="s">
        <v>1131</v>
      </c>
      <c r="J538">
        <v>13.1892788906394</v>
      </c>
      <c r="K538">
        <v>13.0538538302593</v>
      </c>
      <c r="L538">
        <v>12.7526725434996</v>
      </c>
      <c r="M538" t="s">
        <v>29</v>
      </c>
      <c r="N538" t="s">
        <v>29</v>
      </c>
      <c r="O538">
        <v>12.5068438476093</v>
      </c>
      <c r="P538">
        <v>-0.491757907190085</v>
      </c>
      <c r="Q538">
        <v>-1.4703447857896901</v>
      </c>
      <c r="R538">
        <v>0.48682897140952103</v>
      </c>
      <c r="S538">
        <v>12.554153227639601</v>
      </c>
      <c r="T538">
        <v>-1.0658632624353299</v>
      </c>
      <c r="U538">
        <v>-6.23668605598266</v>
      </c>
      <c r="V538">
        <v>0.302408653692334</v>
      </c>
      <c r="W538">
        <v>0.47128413666383401</v>
      </c>
      <c r="X538">
        <v>0</v>
      </c>
      <c r="Y538">
        <v>0</v>
      </c>
    </row>
    <row r="539" spans="1:25" x14ac:dyDescent="0.2">
      <c r="A539" t="s">
        <v>2018</v>
      </c>
      <c r="B539" t="s">
        <v>2019</v>
      </c>
      <c r="C539" t="s">
        <v>2020</v>
      </c>
      <c r="D539" t="s">
        <v>2021</v>
      </c>
      <c r="E539" t="s">
        <v>2019</v>
      </c>
      <c r="F539" t="s">
        <v>28</v>
      </c>
      <c r="G539" t="s">
        <v>2019</v>
      </c>
      <c r="H539" t="str">
        <f>"nrde-2"</f>
        <v>nrde-2</v>
      </c>
      <c r="I539" t="s">
        <v>2021</v>
      </c>
      <c r="J539">
        <v>11.7631538470376</v>
      </c>
      <c r="K539">
        <v>11.708857513804199</v>
      </c>
      <c r="L539">
        <v>11.744188910590299</v>
      </c>
      <c r="M539" t="s">
        <v>29</v>
      </c>
      <c r="N539" t="s">
        <v>29</v>
      </c>
      <c r="O539">
        <v>11.4455764886835</v>
      </c>
      <c r="P539">
        <v>-0.293156935127174</v>
      </c>
      <c r="Q539">
        <v>-1.0178041956784001</v>
      </c>
      <c r="R539">
        <v>0.43149032542405302</v>
      </c>
      <c r="S539">
        <v>12.450720123205601</v>
      </c>
      <c r="T539">
        <v>-0.85807065069194699</v>
      </c>
      <c r="U539">
        <v>-6.4348264851417998</v>
      </c>
      <c r="V539">
        <v>0.40360717842274002</v>
      </c>
      <c r="W539">
        <v>0.57266747944718999</v>
      </c>
      <c r="X539">
        <v>0</v>
      </c>
      <c r="Y539">
        <v>0</v>
      </c>
    </row>
    <row r="540" spans="1:25" x14ac:dyDescent="0.2">
      <c r="A540" t="s">
        <v>2022</v>
      </c>
      <c r="B540" t="s">
        <v>2023</v>
      </c>
      <c r="C540" t="s">
        <v>2024</v>
      </c>
      <c r="D540" t="s">
        <v>2025</v>
      </c>
      <c r="E540" t="s">
        <v>2023</v>
      </c>
      <c r="F540" t="s">
        <v>28</v>
      </c>
      <c r="G540" t="s">
        <v>2023</v>
      </c>
      <c r="H540" t="str">
        <f>"cpt-5"</f>
        <v>cpt-5</v>
      </c>
      <c r="I540" t="s">
        <v>2025</v>
      </c>
      <c r="J540">
        <v>11.850603137558201</v>
      </c>
      <c r="K540">
        <v>12.013847436618001</v>
      </c>
      <c r="L540">
        <v>12.5807042418121</v>
      </c>
      <c r="M540" t="s">
        <v>29</v>
      </c>
      <c r="N540" t="s">
        <v>29</v>
      </c>
      <c r="O540" t="s">
        <v>29</v>
      </c>
      <c r="P540" t="s">
        <v>29</v>
      </c>
      <c r="Q540" t="s">
        <v>29</v>
      </c>
      <c r="R540" t="s">
        <v>29</v>
      </c>
      <c r="S540">
        <v>12.219775809894999</v>
      </c>
      <c r="T540" t="s">
        <v>29</v>
      </c>
      <c r="U540" t="s">
        <v>29</v>
      </c>
      <c r="V540" t="s">
        <v>29</v>
      </c>
      <c r="W540" t="s">
        <v>29</v>
      </c>
      <c r="X540" t="s">
        <v>29</v>
      </c>
      <c r="Y540" t="s">
        <v>29</v>
      </c>
    </row>
    <row r="541" spans="1:25" x14ac:dyDescent="0.2">
      <c r="A541" t="s">
        <v>2026</v>
      </c>
      <c r="B541" t="s">
        <v>2027</v>
      </c>
      <c r="C541" t="s">
        <v>2028</v>
      </c>
      <c r="D541" t="s">
        <v>59</v>
      </c>
      <c r="E541" t="s">
        <v>2027</v>
      </c>
      <c r="F541" t="s">
        <v>28</v>
      </c>
      <c r="G541" t="s">
        <v>2027</v>
      </c>
      <c r="H541" t="str">
        <f>"pgp-9"</f>
        <v>pgp-9</v>
      </c>
      <c r="I541" t="s">
        <v>59</v>
      </c>
      <c r="J541">
        <v>12.3579294485035</v>
      </c>
      <c r="K541">
        <v>11.990475583419901</v>
      </c>
      <c r="L541">
        <v>12.0607910572921</v>
      </c>
      <c r="M541">
        <v>13.177306926613699</v>
      </c>
      <c r="N541">
        <v>12.824012760194201</v>
      </c>
      <c r="O541">
        <v>12.412444698337699</v>
      </c>
      <c r="P541">
        <v>0.66818943197672998</v>
      </c>
      <c r="Q541">
        <v>0.11914019223698</v>
      </c>
      <c r="R541">
        <v>1.21723867171648</v>
      </c>
      <c r="S541">
        <v>12.343773546310601</v>
      </c>
      <c r="T541">
        <v>2.5578838579621199</v>
      </c>
      <c r="U541">
        <v>-4.2329506856991204</v>
      </c>
      <c r="V541">
        <v>1.98311026608478E-2</v>
      </c>
      <c r="W541">
        <v>7.2585950010761999E-2</v>
      </c>
      <c r="X541">
        <v>0</v>
      </c>
      <c r="Y541">
        <v>0</v>
      </c>
    </row>
    <row r="542" spans="1:25" x14ac:dyDescent="0.2">
      <c r="A542" t="s">
        <v>2029</v>
      </c>
      <c r="B542" t="s">
        <v>2030</v>
      </c>
      <c r="C542" t="s">
        <v>2031</v>
      </c>
      <c r="D542" t="s">
        <v>2032</v>
      </c>
      <c r="E542" t="s">
        <v>2030</v>
      </c>
      <c r="F542" t="s">
        <v>28</v>
      </c>
      <c r="G542" t="s">
        <v>2030</v>
      </c>
      <c r="H542" t="str">
        <f>"unc-45"</f>
        <v>unc-45</v>
      </c>
      <c r="I542" t="s">
        <v>2032</v>
      </c>
      <c r="J542">
        <v>14.660532299958099</v>
      </c>
      <c r="K542">
        <v>14.624206604957401</v>
      </c>
      <c r="L542">
        <v>14.5611148353393</v>
      </c>
      <c r="M542">
        <v>14.343820735606901</v>
      </c>
      <c r="N542">
        <v>14.672918618510201</v>
      </c>
      <c r="O542">
        <v>15.1241199431139</v>
      </c>
      <c r="P542">
        <v>9.83351856587458E-2</v>
      </c>
      <c r="Q542">
        <v>-0.30249200745508797</v>
      </c>
      <c r="R542">
        <v>0.49916237877257902</v>
      </c>
      <c r="S542">
        <v>14.6540465220058</v>
      </c>
      <c r="T542">
        <v>0.51563724310790604</v>
      </c>
      <c r="U542">
        <v>-7.01780170760515</v>
      </c>
      <c r="V542">
        <v>0.61241963665307697</v>
      </c>
      <c r="W542">
        <v>0.74180052166733101</v>
      </c>
      <c r="X542">
        <v>0</v>
      </c>
      <c r="Y542">
        <v>0</v>
      </c>
    </row>
    <row r="543" spans="1:25" x14ac:dyDescent="0.2">
      <c r="A543" t="s">
        <v>2033</v>
      </c>
      <c r="B543" t="s">
        <v>2034</v>
      </c>
      <c r="C543" t="s">
        <v>2035</v>
      </c>
      <c r="D543" t="s">
        <v>2036</v>
      </c>
      <c r="E543" t="s">
        <v>2034</v>
      </c>
      <c r="F543" t="s">
        <v>28</v>
      </c>
      <c r="G543" t="s">
        <v>2034</v>
      </c>
      <c r="H543" t="str">
        <f>"hid-1"</f>
        <v>hid-1</v>
      </c>
      <c r="I543" t="s">
        <v>2036</v>
      </c>
      <c r="J543">
        <v>13.646336598876699</v>
      </c>
      <c r="K543">
        <v>14.0525243384278</v>
      </c>
      <c r="L543">
        <v>13.794629545373301</v>
      </c>
      <c r="M543">
        <v>13.5809640841796</v>
      </c>
      <c r="N543">
        <v>13.2095750271617</v>
      </c>
      <c r="O543">
        <v>13.622188237800801</v>
      </c>
      <c r="P543">
        <v>-0.36025437784521902</v>
      </c>
      <c r="Q543">
        <v>-0.77588904048275698</v>
      </c>
      <c r="R543">
        <v>5.5380284792317699E-2</v>
      </c>
      <c r="S543">
        <v>13.9483191700349</v>
      </c>
      <c r="T543">
        <v>-1.8217552134559301</v>
      </c>
      <c r="U543">
        <v>-5.5594371540514604</v>
      </c>
      <c r="V543">
        <v>8.5250902403331705E-2</v>
      </c>
      <c r="W543">
        <v>0.195665427868083</v>
      </c>
      <c r="X543">
        <v>0</v>
      </c>
      <c r="Y543">
        <v>0</v>
      </c>
    </row>
    <row r="544" spans="1:25" x14ac:dyDescent="0.2">
      <c r="A544" t="s">
        <v>2037</v>
      </c>
      <c r="B544" t="s">
        <v>2038</v>
      </c>
      <c r="C544" t="s">
        <v>2039</v>
      </c>
      <c r="D544" t="s">
        <v>2040</v>
      </c>
      <c r="E544" t="s">
        <v>2038</v>
      </c>
      <c r="F544" t="s">
        <v>28</v>
      </c>
      <c r="G544" t="s">
        <v>2038</v>
      </c>
      <c r="H544" t="str">
        <f>"acr-18"</f>
        <v>acr-18</v>
      </c>
      <c r="I544" t="s">
        <v>2040</v>
      </c>
      <c r="J544" t="s">
        <v>29</v>
      </c>
      <c r="K544">
        <v>15.2104210431956</v>
      </c>
      <c r="L544">
        <v>14.296537255423701</v>
      </c>
      <c r="M544" t="s">
        <v>29</v>
      </c>
      <c r="N544" t="s">
        <v>29</v>
      </c>
      <c r="O544" t="s">
        <v>29</v>
      </c>
      <c r="P544" t="s">
        <v>29</v>
      </c>
      <c r="Q544" t="s">
        <v>29</v>
      </c>
      <c r="R544" t="s">
        <v>29</v>
      </c>
      <c r="S544">
        <v>13.2864674301275</v>
      </c>
      <c r="T544" t="s">
        <v>29</v>
      </c>
      <c r="U544" t="s">
        <v>29</v>
      </c>
      <c r="V544" t="s">
        <v>29</v>
      </c>
      <c r="W544" t="s">
        <v>29</v>
      </c>
      <c r="X544" t="s">
        <v>29</v>
      </c>
      <c r="Y544" t="s">
        <v>29</v>
      </c>
    </row>
    <row r="545" spans="1:25" x14ac:dyDescent="0.2">
      <c r="A545" t="s">
        <v>2041</v>
      </c>
      <c r="B545" t="s">
        <v>2042</v>
      </c>
      <c r="C545" t="s">
        <v>14275</v>
      </c>
      <c r="D545" t="s">
        <v>2043</v>
      </c>
      <c r="E545" t="s">
        <v>2042</v>
      </c>
      <c r="F545" t="s">
        <v>28</v>
      </c>
      <c r="G545" t="s">
        <v>2042</v>
      </c>
      <c r="H545" t="str">
        <f>"T24B8.7"</f>
        <v>T24B8.7</v>
      </c>
      <c r="I545" t="s">
        <v>2043</v>
      </c>
      <c r="J545">
        <v>12.5120294215737</v>
      </c>
      <c r="K545">
        <v>12.6181544107453</v>
      </c>
      <c r="L545">
        <v>12.358843898386899</v>
      </c>
      <c r="M545">
        <v>12.9346373235856</v>
      </c>
      <c r="N545">
        <v>12.977816871646001</v>
      </c>
      <c r="O545">
        <v>13.0858612718717</v>
      </c>
      <c r="P545">
        <v>0.50309591213246896</v>
      </c>
      <c r="Q545">
        <v>7.8927244145801101E-2</v>
      </c>
      <c r="R545">
        <v>0.92726458011913704</v>
      </c>
      <c r="S545">
        <v>12.9834960715264</v>
      </c>
      <c r="T545">
        <v>2.4928991887873799</v>
      </c>
      <c r="U545">
        <v>-4.3596689991386803</v>
      </c>
      <c r="V545">
        <v>2.2703534049680799E-2</v>
      </c>
      <c r="W545">
        <v>8.0032673258862902E-2</v>
      </c>
      <c r="X545">
        <v>0</v>
      </c>
      <c r="Y545">
        <v>0</v>
      </c>
    </row>
    <row r="546" spans="1:25" x14ac:dyDescent="0.2">
      <c r="A546" t="s">
        <v>2044</v>
      </c>
      <c r="B546" t="s">
        <v>2045</v>
      </c>
      <c r="C546" t="s">
        <v>2046</v>
      </c>
      <c r="D546" t="s">
        <v>2047</v>
      </c>
      <c r="E546" t="s">
        <v>2045</v>
      </c>
      <c r="F546" t="s">
        <v>28</v>
      </c>
      <c r="G546" t="s">
        <v>2045</v>
      </c>
      <c r="H546" t="str">
        <f>"brc-2"</f>
        <v>brc-2</v>
      </c>
      <c r="I546" t="s">
        <v>2047</v>
      </c>
      <c r="J546">
        <v>13.890232003537299</v>
      </c>
      <c r="K546" t="s">
        <v>29</v>
      </c>
      <c r="L546">
        <v>13.3530568476966</v>
      </c>
      <c r="M546">
        <v>17.316106518047999</v>
      </c>
      <c r="N546">
        <v>16.338375357550799</v>
      </c>
      <c r="O546">
        <v>15.4885583929989</v>
      </c>
      <c r="P546">
        <v>2.7593689972489601</v>
      </c>
      <c r="Q546">
        <v>1.9533364502489201</v>
      </c>
      <c r="R546">
        <v>3.5654015442490099</v>
      </c>
      <c r="S546">
        <v>14.0221368995026</v>
      </c>
      <c r="T546">
        <v>7.2261540366909598</v>
      </c>
      <c r="U546">
        <v>5.3555718340911396</v>
      </c>
      <c r="V546" s="2">
        <v>1.46950060191106E-6</v>
      </c>
      <c r="W546" s="2">
        <v>6.3685562850468894E-5</v>
      </c>
      <c r="X546">
        <v>1</v>
      </c>
      <c r="Y546">
        <v>1</v>
      </c>
    </row>
    <row r="547" spans="1:25" x14ac:dyDescent="0.2">
      <c r="A547" t="s">
        <v>2048</v>
      </c>
      <c r="B547" t="s">
        <v>2049</v>
      </c>
      <c r="C547" t="s">
        <v>2050</v>
      </c>
      <c r="D547" t="s">
        <v>2051</v>
      </c>
      <c r="E547" t="s">
        <v>2049</v>
      </c>
      <c r="F547" t="s">
        <v>28</v>
      </c>
      <c r="G547" t="s">
        <v>2052</v>
      </c>
      <c r="H547" t="str">
        <f>"fbxc-2"</f>
        <v>fbxc-2</v>
      </c>
      <c r="I547" t="s">
        <v>2051</v>
      </c>
      <c r="J547">
        <v>10.1488591162333</v>
      </c>
      <c r="K547" t="s">
        <v>29</v>
      </c>
      <c r="L547" t="s">
        <v>29</v>
      </c>
      <c r="M547" t="s">
        <v>29</v>
      </c>
      <c r="N547" t="s">
        <v>29</v>
      </c>
      <c r="O547" t="s">
        <v>29</v>
      </c>
      <c r="P547" t="s">
        <v>29</v>
      </c>
      <c r="Q547" t="s">
        <v>29</v>
      </c>
      <c r="R547" t="s">
        <v>29</v>
      </c>
      <c r="S547">
        <v>10.9094478530873</v>
      </c>
      <c r="T547" t="s">
        <v>29</v>
      </c>
      <c r="U547" t="s">
        <v>29</v>
      </c>
      <c r="V547" t="s">
        <v>29</v>
      </c>
      <c r="W547" t="s">
        <v>29</v>
      </c>
      <c r="X547" t="s">
        <v>29</v>
      </c>
      <c r="Y547" t="s">
        <v>29</v>
      </c>
    </row>
    <row r="548" spans="1:25" x14ac:dyDescent="0.2">
      <c r="A548" t="s">
        <v>2053</v>
      </c>
      <c r="B548" t="s">
        <v>2054</v>
      </c>
      <c r="C548" t="s">
        <v>2055</v>
      </c>
      <c r="D548" t="s">
        <v>297</v>
      </c>
      <c r="E548" t="s">
        <v>2054</v>
      </c>
      <c r="F548" t="s">
        <v>28</v>
      </c>
      <c r="G548" t="s">
        <v>2054</v>
      </c>
      <c r="H548" t="str">
        <f>"cle-1"</f>
        <v>cle-1</v>
      </c>
      <c r="I548" t="s">
        <v>297</v>
      </c>
      <c r="J548" t="s">
        <v>29</v>
      </c>
      <c r="K548" t="s">
        <v>29</v>
      </c>
      <c r="L548">
        <v>11.1491155303199</v>
      </c>
      <c r="M548" t="s">
        <v>29</v>
      </c>
      <c r="N548" t="s">
        <v>29</v>
      </c>
      <c r="O548" t="s">
        <v>29</v>
      </c>
      <c r="P548" t="s">
        <v>29</v>
      </c>
      <c r="Q548" t="s">
        <v>29</v>
      </c>
      <c r="R548" t="s">
        <v>29</v>
      </c>
      <c r="S548">
        <v>11.5906858259803</v>
      </c>
      <c r="T548" t="s">
        <v>29</v>
      </c>
      <c r="U548" t="s">
        <v>29</v>
      </c>
      <c r="V548" t="s">
        <v>29</v>
      </c>
      <c r="W548" t="s">
        <v>29</v>
      </c>
      <c r="X548" t="s">
        <v>29</v>
      </c>
      <c r="Y548" t="s">
        <v>29</v>
      </c>
    </row>
    <row r="549" spans="1:25" x14ac:dyDescent="0.2">
      <c r="A549" t="s">
        <v>2056</v>
      </c>
      <c r="B549" t="s">
        <v>2057</v>
      </c>
      <c r="C549" t="s">
        <v>2058</v>
      </c>
      <c r="D549" t="s">
        <v>2059</v>
      </c>
      <c r="E549" t="s">
        <v>2057</v>
      </c>
      <c r="F549" t="s">
        <v>28</v>
      </c>
      <c r="G549" t="s">
        <v>2057</v>
      </c>
      <c r="H549" t="str">
        <f>"fat-2"</f>
        <v>fat-2</v>
      </c>
      <c r="I549" t="s">
        <v>2059</v>
      </c>
      <c r="J549">
        <v>14.283532749749</v>
      </c>
      <c r="K549">
        <v>14.2428927134773</v>
      </c>
      <c r="L549">
        <v>14.8540159582802</v>
      </c>
      <c r="M549">
        <v>13.3825140313592</v>
      </c>
      <c r="N549">
        <v>14.5910105190317</v>
      </c>
      <c r="O549">
        <v>14.168543821436</v>
      </c>
      <c r="P549">
        <v>-0.41279101655981698</v>
      </c>
      <c r="Q549">
        <v>-1.08890796408767</v>
      </c>
      <c r="R549">
        <v>0.26332593096803297</v>
      </c>
      <c r="S549">
        <v>15.020534554688901</v>
      </c>
      <c r="T549">
        <v>-1.28321943434038</v>
      </c>
      <c r="U549">
        <v>-6.3298499342988004</v>
      </c>
      <c r="V549">
        <v>0.21578539327780699</v>
      </c>
      <c r="W549">
        <v>0.37762443823616199</v>
      </c>
      <c r="X549">
        <v>0</v>
      </c>
      <c r="Y549">
        <v>0</v>
      </c>
    </row>
    <row r="550" spans="1:25" x14ac:dyDescent="0.2">
      <c r="A550" t="s">
        <v>2060</v>
      </c>
      <c r="B550" t="s">
        <v>2061</v>
      </c>
      <c r="C550" t="s">
        <v>2062</v>
      </c>
      <c r="D550" t="s">
        <v>992</v>
      </c>
      <c r="E550" t="s">
        <v>2061</v>
      </c>
      <c r="F550" t="s">
        <v>28</v>
      </c>
      <c r="G550" t="s">
        <v>2061</v>
      </c>
      <c r="H550" t="str">
        <f>"ras-2"</f>
        <v>ras-2</v>
      </c>
      <c r="I550" t="s">
        <v>992</v>
      </c>
      <c r="J550" t="s">
        <v>29</v>
      </c>
      <c r="K550" t="s">
        <v>29</v>
      </c>
      <c r="L550" t="s">
        <v>29</v>
      </c>
      <c r="M550" t="s">
        <v>29</v>
      </c>
      <c r="N550" t="s">
        <v>29</v>
      </c>
      <c r="O550">
        <v>15.940166382617701</v>
      </c>
      <c r="P550" t="s">
        <v>29</v>
      </c>
      <c r="Q550" t="s">
        <v>29</v>
      </c>
      <c r="R550" t="s">
        <v>29</v>
      </c>
      <c r="S550">
        <v>13.567330253393299</v>
      </c>
      <c r="T550" t="s">
        <v>29</v>
      </c>
      <c r="U550" t="s">
        <v>29</v>
      </c>
      <c r="V550" t="s">
        <v>29</v>
      </c>
      <c r="W550" t="s">
        <v>29</v>
      </c>
      <c r="X550" t="s">
        <v>29</v>
      </c>
      <c r="Y550" t="s">
        <v>29</v>
      </c>
    </row>
    <row r="551" spans="1:25" x14ac:dyDescent="0.2">
      <c r="A551" t="s">
        <v>2063</v>
      </c>
      <c r="B551" t="s">
        <v>2064</v>
      </c>
      <c r="C551" t="s">
        <v>2065</v>
      </c>
      <c r="D551" t="s">
        <v>2066</v>
      </c>
      <c r="E551" t="s">
        <v>2064</v>
      </c>
      <c r="F551" t="s">
        <v>28</v>
      </c>
      <c r="G551" t="s">
        <v>2064</v>
      </c>
      <c r="H551" t="str">
        <f>"ragc-1"</f>
        <v>ragc-1</v>
      </c>
      <c r="I551" t="s">
        <v>2066</v>
      </c>
      <c r="J551">
        <v>14.8296860536247</v>
      </c>
      <c r="K551">
        <v>14.7683733158318</v>
      </c>
      <c r="L551">
        <v>14.679942156169</v>
      </c>
      <c r="M551">
        <v>14.367856889691801</v>
      </c>
      <c r="N551">
        <v>14.5209425370353</v>
      </c>
      <c r="O551">
        <v>14.7951374242377</v>
      </c>
      <c r="P551">
        <v>-0.198021558220219</v>
      </c>
      <c r="Q551">
        <v>-0.51970777379495703</v>
      </c>
      <c r="R551">
        <v>0.12366465735451899</v>
      </c>
      <c r="S551">
        <v>14.4629660263041</v>
      </c>
      <c r="T551">
        <v>-1.2938160526644</v>
      </c>
      <c r="U551">
        <v>-6.3167429445225096</v>
      </c>
      <c r="V551">
        <v>0.21217951572760399</v>
      </c>
      <c r="W551">
        <v>0.37362588230841898</v>
      </c>
      <c r="X551">
        <v>0</v>
      </c>
      <c r="Y551">
        <v>0</v>
      </c>
    </row>
    <row r="552" spans="1:25" x14ac:dyDescent="0.2">
      <c r="A552" t="s">
        <v>2067</v>
      </c>
      <c r="B552" t="s">
        <v>2068</v>
      </c>
      <c r="C552" t="s">
        <v>2069</v>
      </c>
      <c r="D552" t="s">
        <v>2070</v>
      </c>
      <c r="E552" t="s">
        <v>2068</v>
      </c>
      <c r="F552" t="s">
        <v>28</v>
      </c>
      <c r="G552" t="s">
        <v>2068</v>
      </c>
      <c r="H552" t="str">
        <f>"abts-2"</f>
        <v>abts-2</v>
      </c>
      <c r="I552" t="s">
        <v>2070</v>
      </c>
      <c r="J552">
        <v>11.200003621774499</v>
      </c>
      <c r="K552" t="s">
        <v>29</v>
      </c>
      <c r="L552">
        <v>11.039600914899999</v>
      </c>
      <c r="M552" t="s">
        <v>29</v>
      </c>
      <c r="N552" t="s">
        <v>29</v>
      </c>
      <c r="O552">
        <v>11.374233590701801</v>
      </c>
      <c r="P552">
        <v>0.25443132236459398</v>
      </c>
      <c r="Q552">
        <v>-1.1536907022196801</v>
      </c>
      <c r="R552">
        <v>1.66255334694887</v>
      </c>
      <c r="S552">
        <v>11.3771390395873</v>
      </c>
      <c r="T552">
        <v>0.39067671576600399</v>
      </c>
      <c r="U552">
        <v>-6.6738948140743997</v>
      </c>
      <c r="V552">
        <v>0.70241404848084099</v>
      </c>
      <c r="W552">
        <v>0.80712917180875099</v>
      </c>
      <c r="X552">
        <v>0</v>
      </c>
      <c r="Y552">
        <v>0</v>
      </c>
    </row>
    <row r="553" spans="1:25" x14ac:dyDescent="0.2">
      <c r="A553" t="s">
        <v>2071</v>
      </c>
      <c r="B553" t="s">
        <v>2072</v>
      </c>
      <c r="C553" t="s">
        <v>14276</v>
      </c>
      <c r="D553" t="s">
        <v>2073</v>
      </c>
      <c r="E553" t="s">
        <v>2072</v>
      </c>
      <c r="F553" t="s">
        <v>28</v>
      </c>
      <c r="G553" t="s">
        <v>2072</v>
      </c>
      <c r="H553" t="str">
        <f>"DY3.8"</f>
        <v>DY3.8</v>
      </c>
      <c r="I553" t="s">
        <v>2073</v>
      </c>
      <c r="J553">
        <v>12.145562663469599</v>
      </c>
      <c r="K553">
        <v>13.052876481014801</v>
      </c>
      <c r="L553">
        <v>12.942022806186101</v>
      </c>
      <c r="M553" t="s">
        <v>29</v>
      </c>
      <c r="N553">
        <v>11.152160434335199</v>
      </c>
      <c r="O553">
        <v>12.3867677713161</v>
      </c>
      <c r="P553">
        <v>-0.94402321406448797</v>
      </c>
      <c r="Q553">
        <v>-1.8755146998088399</v>
      </c>
      <c r="R553">
        <v>-1.25317283201358E-2</v>
      </c>
      <c r="S553">
        <v>13.513155201725199</v>
      </c>
      <c r="T553">
        <v>-2.1392118591607998</v>
      </c>
      <c r="U553">
        <v>-4.9188102292293499</v>
      </c>
      <c r="V553">
        <v>4.7318432941381397E-2</v>
      </c>
      <c r="W553">
        <v>0.13118834556698</v>
      </c>
      <c r="X553">
        <v>0</v>
      </c>
      <c r="Y553">
        <v>0</v>
      </c>
    </row>
    <row r="554" spans="1:25" x14ac:dyDescent="0.2">
      <c r="A554" t="s">
        <v>2074</v>
      </c>
      <c r="B554" t="s">
        <v>2075</v>
      </c>
      <c r="C554" t="s">
        <v>2076</v>
      </c>
      <c r="D554" t="s">
        <v>2077</v>
      </c>
      <c r="E554" t="s">
        <v>2075</v>
      </c>
      <c r="F554" t="s">
        <v>28</v>
      </c>
      <c r="G554" t="s">
        <v>2075</v>
      </c>
      <c r="H554" t="str">
        <f>"ipla-3"</f>
        <v>ipla-3</v>
      </c>
      <c r="I554" t="s">
        <v>2077</v>
      </c>
      <c r="J554">
        <v>12.5123697691171</v>
      </c>
      <c r="K554">
        <v>12.512461058931001</v>
      </c>
      <c r="L554">
        <v>11.7794449514516</v>
      </c>
      <c r="M554" t="s">
        <v>29</v>
      </c>
      <c r="N554" t="s">
        <v>29</v>
      </c>
      <c r="O554">
        <v>12.3893055430543</v>
      </c>
      <c r="P554">
        <v>0.121213616554373</v>
      </c>
      <c r="Q554">
        <v>-0.54976138899122895</v>
      </c>
      <c r="R554">
        <v>0.79218862209997498</v>
      </c>
      <c r="S554">
        <v>12.2729020093445</v>
      </c>
      <c r="T554">
        <v>0.38528905526159102</v>
      </c>
      <c r="U554">
        <v>-6.7348245501602602</v>
      </c>
      <c r="V554">
        <v>0.70546958158440098</v>
      </c>
      <c r="W554">
        <v>0.80958673932665903</v>
      </c>
      <c r="X554">
        <v>0</v>
      </c>
      <c r="Y554">
        <v>0</v>
      </c>
    </row>
    <row r="555" spans="1:25" x14ac:dyDescent="0.2">
      <c r="A555" t="s">
        <v>2078</v>
      </c>
      <c r="B555" t="s">
        <v>2079</v>
      </c>
      <c r="C555" t="s">
        <v>2080</v>
      </c>
      <c r="D555" t="s">
        <v>2081</v>
      </c>
      <c r="E555" t="s">
        <v>2079</v>
      </c>
      <c r="F555" t="s">
        <v>28</v>
      </c>
      <c r="G555" t="s">
        <v>2079</v>
      </c>
      <c r="H555" t="str">
        <f>"scpr-1"</f>
        <v>scpr-1</v>
      </c>
      <c r="I555" t="s">
        <v>2081</v>
      </c>
      <c r="J555" t="s">
        <v>29</v>
      </c>
      <c r="K555">
        <v>10.7888864490651</v>
      </c>
      <c r="L555">
        <v>10.5970978130151</v>
      </c>
      <c r="M555" t="s">
        <v>29</v>
      </c>
      <c r="N555" t="s">
        <v>29</v>
      </c>
      <c r="O555" t="s">
        <v>29</v>
      </c>
      <c r="P555" t="s">
        <v>29</v>
      </c>
      <c r="Q555" t="s">
        <v>29</v>
      </c>
      <c r="R555" t="s">
        <v>29</v>
      </c>
      <c r="S555">
        <v>11.262973480526901</v>
      </c>
      <c r="T555" t="s">
        <v>29</v>
      </c>
      <c r="U555" t="s">
        <v>29</v>
      </c>
      <c r="V555" t="s">
        <v>29</v>
      </c>
      <c r="W555" t="s">
        <v>29</v>
      </c>
      <c r="X555" t="s">
        <v>29</v>
      </c>
      <c r="Y555" t="s">
        <v>29</v>
      </c>
    </row>
    <row r="556" spans="1:25" x14ac:dyDescent="0.2">
      <c r="A556" t="s">
        <v>2082</v>
      </c>
      <c r="B556" t="s">
        <v>2083</v>
      </c>
      <c r="C556" t="s">
        <v>2084</v>
      </c>
      <c r="D556" t="s">
        <v>2085</v>
      </c>
      <c r="E556" t="s">
        <v>2083</v>
      </c>
      <c r="F556" t="s">
        <v>28</v>
      </c>
      <c r="G556" t="s">
        <v>2083</v>
      </c>
      <c r="H556" t="str">
        <f>"dpy-26"</f>
        <v>dpy-26</v>
      </c>
      <c r="I556" t="s">
        <v>2085</v>
      </c>
      <c r="J556" t="s">
        <v>29</v>
      </c>
      <c r="K556" t="s">
        <v>29</v>
      </c>
      <c r="L556">
        <v>12.050122456826299</v>
      </c>
      <c r="M556" t="s">
        <v>29</v>
      </c>
      <c r="N556" t="s">
        <v>29</v>
      </c>
      <c r="O556">
        <v>12.3197092479785</v>
      </c>
      <c r="P556">
        <v>0.269586791152159</v>
      </c>
      <c r="Q556">
        <v>-0.64682090176027596</v>
      </c>
      <c r="R556">
        <v>1.18599448406459</v>
      </c>
      <c r="S556">
        <v>12.305357984801301</v>
      </c>
      <c r="T556">
        <v>0.64158602506636497</v>
      </c>
      <c r="U556">
        <v>-6.3975197678165197</v>
      </c>
      <c r="V556">
        <v>0.53331031822687702</v>
      </c>
      <c r="W556">
        <v>0.68333282948461205</v>
      </c>
      <c r="X556">
        <v>0</v>
      </c>
      <c r="Y556">
        <v>0</v>
      </c>
    </row>
    <row r="557" spans="1:25" x14ac:dyDescent="0.2">
      <c r="A557" t="s">
        <v>2086</v>
      </c>
      <c r="B557" t="s">
        <v>2087</v>
      </c>
      <c r="C557" t="s">
        <v>14277</v>
      </c>
      <c r="D557" t="s">
        <v>2088</v>
      </c>
      <c r="E557" t="s">
        <v>2087</v>
      </c>
      <c r="F557" t="s">
        <v>28</v>
      </c>
      <c r="G557" t="s">
        <v>2087</v>
      </c>
      <c r="H557" t="str">
        <f>"F40E10.6"</f>
        <v>F40E10.6</v>
      </c>
      <c r="I557" t="s">
        <v>2088</v>
      </c>
      <c r="J557">
        <v>12.8127459114065</v>
      </c>
      <c r="K557">
        <v>13.189152047768401</v>
      </c>
      <c r="L557">
        <v>12.912504078415299</v>
      </c>
      <c r="M557" t="s">
        <v>29</v>
      </c>
      <c r="N557">
        <v>10.2160369556244</v>
      </c>
      <c r="O557">
        <v>12.7019032991854</v>
      </c>
      <c r="P557">
        <v>-1.51249721845847</v>
      </c>
      <c r="Q557">
        <v>-2.4563546513725201</v>
      </c>
      <c r="R557">
        <v>-0.56863978554441297</v>
      </c>
      <c r="S557">
        <v>13.0470014833643</v>
      </c>
      <c r="T557">
        <v>-3.3825030551506199</v>
      </c>
      <c r="U557">
        <v>-2.4634546845364498</v>
      </c>
      <c r="V557">
        <v>3.5645315162277699E-3</v>
      </c>
      <c r="W557">
        <v>2.2313502331048299E-2</v>
      </c>
      <c r="X557">
        <v>-1</v>
      </c>
      <c r="Y557">
        <v>-1</v>
      </c>
    </row>
    <row r="558" spans="1:25" x14ac:dyDescent="0.2">
      <c r="A558" t="s">
        <v>2089</v>
      </c>
      <c r="B558" t="s">
        <v>2090</v>
      </c>
      <c r="C558" t="s">
        <v>2091</v>
      </c>
      <c r="D558" t="s">
        <v>2092</v>
      </c>
      <c r="E558" t="s">
        <v>2090</v>
      </c>
      <c r="F558" t="s">
        <v>28</v>
      </c>
      <c r="G558" t="s">
        <v>2090</v>
      </c>
      <c r="H558" t="str">
        <f>"uso-1"</f>
        <v>uso-1</v>
      </c>
      <c r="I558" t="s">
        <v>2092</v>
      </c>
      <c r="J558">
        <v>14.791677053719299</v>
      </c>
      <c r="K558">
        <v>14.841098782256701</v>
      </c>
      <c r="L558">
        <v>14.7562755652086</v>
      </c>
      <c r="M558">
        <v>13.8974263770068</v>
      </c>
      <c r="N558">
        <v>14.270827261606</v>
      </c>
      <c r="O558">
        <v>14.849161160654001</v>
      </c>
      <c r="P558">
        <v>-0.45721220063925599</v>
      </c>
      <c r="Q558">
        <v>-0.85302723698967597</v>
      </c>
      <c r="R558">
        <v>-6.1397164288837E-2</v>
      </c>
      <c r="S558">
        <v>14.6714263273686</v>
      </c>
      <c r="T558">
        <v>-2.4278286708414498</v>
      </c>
      <c r="U558">
        <v>-4.4849743784543001</v>
      </c>
      <c r="V558">
        <v>2.5969323991181899E-2</v>
      </c>
      <c r="W558">
        <v>8.7564757210541397E-2</v>
      </c>
      <c r="X558">
        <v>0</v>
      </c>
      <c r="Y558">
        <v>0</v>
      </c>
    </row>
    <row r="559" spans="1:25" x14ac:dyDescent="0.2">
      <c r="A559" t="s">
        <v>2093</v>
      </c>
      <c r="B559" t="s">
        <v>2094</v>
      </c>
      <c r="C559" t="s">
        <v>2095</v>
      </c>
      <c r="D559" t="s">
        <v>2096</v>
      </c>
      <c r="E559" t="s">
        <v>2094</v>
      </c>
      <c r="F559" t="s">
        <v>28</v>
      </c>
      <c r="G559" t="s">
        <v>2094</v>
      </c>
      <c r="H559" t="str">
        <f>"fat-7"</f>
        <v>fat-7</v>
      </c>
      <c r="I559" t="s">
        <v>2096</v>
      </c>
      <c r="J559">
        <v>13.4158979073078</v>
      </c>
      <c r="K559">
        <v>13.3182734568881</v>
      </c>
      <c r="L559">
        <v>13.413866744708001</v>
      </c>
      <c r="M559">
        <v>12.8012090911571</v>
      </c>
      <c r="N559">
        <v>13.0855060813241</v>
      </c>
      <c r="O559">
        <v>12.515174707348301</v>
      </c>
      <c r="P559">
        <v>-0.582049409691484</v>
      </c>
      <c r="Q559">
        <v>-1.02175341854956</v>
      </c>
      <c r="R559">
        <v>-0.142345400833404</v>
      </c>
      <c r="S559">
        <v>13.421450019957501</v>
      </c>
      <c r="T559">
        <v>-2.78222302934123</v>
      </c>
      <c r="U559">
        <v>-3.7845682709770099</v>
      </c>
      <c r="V559">
        <v>1.2343308433093799E-2</v>
      </c>
      <c r="W559">
        <v>5.2607316230724198E-2</v>
      </c>
      <c r="X559">
        <v>0</v>
      </c>
      <c r="Y559">
        <v>0</v>
      </c>
    </row>
    <row r="560" spans="1:25" x14ac:dyDescent="0.2">
      <c r="A560" t="s">
        <v>2097</v>
      </c>
      <c r="B560" t="s">
        <v>2098</v>
      </c>
      <c r="C560" t="s">
        <v>2099</v>
      </c>
      <c r="D560" t="s">
        <v>844</v>
      </c>
      <c r="E560" t="s">
        <v>2098</v>
      </c>
      <c r="F560" t="s">
        <v>28</v>
      </c>
      <c r="G560" t="s">
        <v>2098</v>
      </c>
      <c r="H560" t="str">
        <f>"set-16"</f>
        <v>set-16</v>
      </c>
      <c r="I560" t="s">
        <v>844</v>
      </c>
      <c r="J560">
        <v>11.462981667900101</v>
      </c>
      <c r="K560">
        <v>11.278984360069</v>
      </c>
      <c r="L560">
        <v>11.500587095682899</v>
      </c>
      <c r="M560" t="s">
        <v>29</v>
      </c>
      <c r="N560" t="s">
        <v>29</v>
      </c>
      <c r="O560">
        <v>12.920755497695099</v>
      </c>
      <c r="P560">
        <v>1.5065711231444801</v>
      </c>
      <c r="Q560">
        <v>0.33118245098933402</v>
      </c>
      <c r="R560">
        <v>2.6819597952996301</v>
      </c>
      <c r="S560">
        <v>11.999123991177401</v>
      </c>
      <c r="T560">
        <v>2.7336930201590999</v>
      </c>
      <c r="U560">
        <v>-3.62829520884035</v>
      </c>
      <c r="V560">
        <v>1.54578436925409E-2</v>
      </c>
      <c r="W560">
        <v>6.1726646831867397E-2</v>
      </c>
      <c r="X560">
        <v>1</v>
      </c>
      <c r="Y560">
        <v>0</v>
      </c>
    </row>
    <row r="561" spans="1:25" x14ac:dyDescent="0.2">
      <c r="A561" t="s">
        <v>2100</v>
      </c>
      <c r="B561" t="s">
        <v>2101</v>
      </c>
      <c r="C561" t="s">
        <v>14278</v>
      </c>
      <c r="D561" t="s">
        <v>2102</v>
      </c>
      <c r="E561" t="s">
        <v>2101</v>
      </c>
      <c r="F561" t="s">
        <v>28</v>
      </c>
      <c r="G561" t="s">
        <v>2101</v>
      </c>
      <c r="H561" t="str">
        <f>"F46C5.6"</f>
        <v>F46C5.6</v>
      </c>
      <c r="I561" t="s">
        <v>2102</v>
      </c>
      <c r="J561">
        <v>11.841937983907499</v>
      </c>
      <c r="K561">
        <v>12.4505905573633</v>
      </c>
      <c r="L561">
        <v>12.6980440253912</v>
      </c>
      <c r="M561" t="s">
        <v>29</v>
      </c>
      <c r="N561" t="s">
        <v>29</v>
      </c>
      <c r="O561">
        <v>11.946729377899301</v>
      </c>
      <c r="P561">
        <v>-0.38346147765467398</v>
      </c>
      <c r="Q561">
        <v>-1.0525783977369201</v>
      </c>
      <c r="R561">
        <v>0.28565544242757201</v>
      </c>
      <c r="S561">
        <v>12.579486962625699</v>
      </c>
      <c r="T561">
        <v>-1.23001843969612</v>
      </c>
      <c r="U561">
        <v>-6.0525756148228496</v>
      </c>
      <c r="V561">
        <v>0.239109567466958</v>
      </c>
      <c r="W561">
        <v>0.40474204211667197</v>
      </c>
      <c r="X561">
        <v>0</v>
      </c>
      <c r="Y561">
        <v>0</v>
      </c>
    </row>
    <row r="562" spans="1:25" x14ac:dyDescent="0.2">
      <c r="A562" t="s">
        <v>2103</v>
      </c>
      <c r="B562" t="s">
        <v>2104</v>
      </c>
      <c r="C562" t="s">
        <v>2105</v>
      </c>
      <c r="D562" t="s">
        <v>2106</v>
      </c>
      <c r="E562" t="s">
        <v>2104</v>
      </c>
      <c r="F562" t="s">
        <v>28</v>
      </c>
      <c r="G562" t="s">
        <v>2104</v>
      </c>
      <c r="H562" t="str">
        <f>"ida-1"</f>
        <v>ida-1</v>
      </c>
      <c r="I562" t="s">
        <v>2106</v>
      </c>
      <c r="J562">
        <v>13.374536041016199</v>
      </c>
      <c r="K562">
        <v>13.438635664111899</v>
      </c>
      <c r="L562">
        <v>12.7847522485462</v>
      </c>
      <c r="M562" t="s">
        <v>29</v>
      </c>
      <c r="N562" t="s">
        <v>29</v>
      </c>
      <c r="O562">
        <v>13.4386236236806</v>
      </c>
      <c r="P562">
        <v>0.23931563912245399</v>
      </c>
      <c r="Q562">
        <v>-0.48540060255420298</v>
      </c>
      <c r="R562">
        <v>0.96403188079911095</v>
      </c>
      <c r="S562">
        <v>12.6393114462222</v>
      </c>
      <c r="T562">
        <v>0.70041044794089802</v>
      </c>
      <c r="U562">
        <v>-6.5590137311477301</v>
      </c>
      <c r="V562">
        <v>0.49379659262195102</v>
      </c>
      <c r="W562">
        <v>0.65030264391673598</v>
      </c>
      <c r="X562">
        <v>0</v>
      </c>
      <c r="Y562">
        <v>0</v>
      </c>
    </row>
    <row r="563" spans="1:25" x14ac:dyDescent="0.2">
      <c r="A563" t="s">
        <v>2107</v>
      </c>
      <c r="B563" t="s">
        <v>2108</v>
      </c>
      <c r="C563" t="s">
        <v>2109</v>
      </c>
      <c r="D563" t="s">
        <v>2110</v>
      </c>
      <c r="E563" t="s">
        <v>2108</v>
      </c>
      <c r="F563" t="s">
        <v>28</v>
      </c>
      <c r="G563" t="s">
        <v>2108</v>
      </c>
      <c r="H563" t="str">
        <f>"tln-1"</f>
        <v>tln-1</v>
      </c>
      <c r="I563" t="s">
        <v>2110</v>
      </c>
      <c r="J563">
        <v>14.374439283456899</v>
      </c>
      <c r="K563">
        <v>14.3570059692701</v>
      </c>
      <c r="L563">
        <v>14.6551975879393</v>
      </c>
      <c r="M563">
        <v>14.199973617643399</v>
      </c>
      <c r="N563">
        <v>14.0110511047921</v>
      </c>
      <c r="O563">
        <v>14.5028883517667</v>
      </c>
      <c r="P563">
        <v>-0.22424325548801199</v>
      </c>
      <c r="Q563">
        <v>-0.83485985429433296</v>
      </c>
      <c r="R563">
        <v>0.38637334331830803</v>
      </c>
      <c r="S563">
        <v>14.494425986165</v>
      </c>
      <c r="T563">
        <v>-0.77186846327468295</v>
      </c>
      <c r="U563">
        <v>-6.8487627248258498</v>
      </c>
      <c r="V563">
        <v>0.450266010849869</v>
      </c>
      <c r="W563">
        <v>0.61517567639061899</v>
      </c>
      <c r="X563">
        <v>0</v>
      </c>
      <c r="Y563">
        <v>0</v>
      </c>
    </row>
    <row r="564" spans="1:25" x14ac:dyDescent="0.2">
      <c r="A564" t="s">
        <v>2111</v>
      </c>
      <c r="B564" t="s">
        <v>2112</v>
      </c>
      <c r="C564" t="s">
        <v>2113</v>
      </c>
      <c r="D564" t="s">
        <v>2114</v>
      </c>
      <c r="E564" t="s">
        <v>2112</v>
      </c>
      <c r="F564" t="s">
        <v>28</v>
      </c>
      <c r="G564" t="s">
        <v>2112</v>
      </c>
      <c r="H564" t="str">
        <f>"din-1"</f>
        <v>din-1</v>
      </c>
      <c r="I564" t="s">
        <v>2114</v>
      </c>
      <c r="J564" t="s">
        <v>29</v>
      </c>
      <c r="K564">
        <v>11.2995666530626</v>
      </c>
      <c r="L564">
        <v>11.471602050286</v>
      </c>
      <c r="M564" t="s">
        <v>29</v>
      </c>
      <c r="N564" t="s">
        <v>29</v>
      </c>
      <c r="O564" t="s">
        <v>29</v>
      </c>
      <c r="P564" t="s">
        <v>29</v>
      </c>
      <c r="Q564" t="s">
        <v>29</v>
      </c>
      <c r="R564" t="s">
        <v>29</v>
      </c>
      <c r="S564">
        <v>11.421376461922</v>
      </c>
      <c r="T564" t="s">
        <v>29</v>
      </c>
      <c r="U564" t="s">
        <v>29</v>
      </c>
      <c r="V564" t="s">
        <v>29</v>
      </c>
      <c r="W564" t="s">
        <v>29</v>
      </c>
      <c r="X564" t="s">
        <v>29</v>
      </c>
      <c r="Y564" t="s">
        <v>29</v>
      </c>
    </row>
    <row r="565" spans="1:25" x14ac:dyDescent="0.2">
      <c r="A565" t="s">
        <v>2115</v>
      </c>
      <c r="B565" t="s">
        <v>2116</v>
      </c>
      <c r="C565" t="s">
        <v>2117</v>
      </c>
      <c r="D565" t="s">
        <v>2118</v>
      </c>
      <c r="E565" t="s">
        <v>2116</v>
      </c>
      <c r="F565" t="s">
        <v>28</v>
      </c>
      <c r="G565" t="s">
        <v>2116</v>
      </c>
      <c r="H565" t="str">
        <f>"let-92"</f>
        <v>let-92</v>
      </c>
      <c r="I565" t="s">
        <v>2118</v>
      </c>
      <c r="J565">
        <v>16.332489699021</v>
      </c>
      <c r="K565">
        <v>16.064269450478101</v>
      </c>
      <c r="L565">
        <v>16.1206149516014</v>
      </c>
      <c r="M565">
        <v>15.9455077911914</v>
      </c>
      <c r="N565">
        <v>16.037223105454899</v>
      </c>
      <c r="O565">
        <v>15.9317034144558</v>
      </c>
      <c r="P565">
        <v>-0.20097992999948</v>
      </c>
      <c r="Q565">
        <v>-0.68386796506092196</v>
      </c>
      <c r="R565">
        <v>0.28190810506196101</v>
      </c>
      <c r="S565">
        <v>15.956633309807</v>
      </c>
      <c r="T565">
        <v>-0.87477982654245701</v>
      </c>
      <c r="U565">
        <v>-6.7631086743549096</v>
      </c>
      <c r="V565">
        <v>0.39328333323663101</v>
      </c>
      <c r="W565">
        <v>0.56153390651567403</v>
      </c>
      <c r="X565">
        <v>0</v>
      </c>
      <c r="Y565">
        <v>0</v>
      </c>
    </row>
    <row r="566" spans="1:25" x14ac:dyDescent="0.2">
      <c r="A566" t="s">
        <v>2119</v>
      </c>
      <c r="B566" t="s">
        <v>2120</v>
      </c>
      <c r="C566" t="s">
        <v>14279</v>
      </c>
      <c r="D566" t="s">
        <v>2121</v>
      </c>
      <c r="E566" t="s">
        <v>2120</v>
      </c>
      <c r="F566" t="s">
        <v>28</v>
      </c>
      <c r="G566" t="s">
        <v>2120</v>
      </c>
      <c r="H566" t="str">
        <f>"T28D6.6"</f>
        <v>T28D6.6</v>
      </c>
      <c r="I566" t="s">
        <v>2121</v>
      </c>
      <c r="J566">
        <v>15.2510756511914</v>
      </c>
      <c r="K566">
        <v>15.149672309143799</v>
      </c>
      <c r="L566">
        <v>15.1689850754969</v>
      </c>
      <c r="M566">
        <v>14.0811120649035</v>
      </c>
      <c r="N566">
        <v>14.604201039667499</v>
      </c>
      <c r="O566">
        <v>14.928356516998299</v>
      </c>
      <c r="P566">
        <v>-0.65202113808762396</v>
      </c>
      <c r="Q566">
        <v>-1.0613226338856001</v>
      </c>
      <c r="R566">
        <v>-0.24271964228964399</v>
      </c>
      <c r="S566">
        <v>14.872168563805801</v>
      </c>
      <c r="T566">
        <v>-3.3481958738628599</v>
      </c>
      <c r="U566">
        <v>-2.5962273642668401</v>
      </c>
      <c r="V566">
        <v>3.6020224204050899E-3</v>
      </c>
      <c r="W566">
        <v>2.2386732660358899E-2</v>
      </c>
      <c r="X566">
        <v>0</v>
      </c>
      <c r="Y566">
        <v>0</v>
      </c>
    </row>
    <row r="567" spans="1:25" x14ac:dyDescent="0.2">
      <c r="A567" t="s">
        <v>2122</v>
      </c>
      <c r="B567" t="s">
        <v>2123</v>
      </c>
      <c r="C567" t="s">
        <v>2124</v>
      </c>
      <c r="D567" t="s">
        <v>2125</v>
      </c>
      <c r="E567" t="s">
        <v>2123</v>
      </c>
      <c r="F567" t="s">
        <v>28</v>
      </c>
      <c r="G567" t="s">
        <v>2123</v>
      </c>
      <c r="H567" t="str">
        <f>"taf-1"</f>
        <v>taf-1</v>
      </c>
      <c r="I567" t="s">
        <v>2125</v>
      </c>
      <c r="J567">
        <v>10.1422174062927</v>
      </c>
      <c r="K567">
        <v>10.676058354696901</v>
      </c>
      <c r="L567">
        <v>10.4964867624752</v>
      </c>
      <c r="M567" t="s">
        <v>29</v>
      </c>
      <c r="N567" t="s">
        <v>29</v>
      </c>
      <c r="O567">
        <v>11.0537416122051</v>
      </c>
      <c r="P567">
        <v>0.61548743771682801</v>
      </c>
      <c r="Q567">
        <v>-0.199532681382077</v>
      </c>
      <c r="R567">
        <v>1.4305075568157299</v>
      </c>
      <c r="S567">
        <v>11.2096604458147</v>
      </c>
      <c r="T567">
        <v>1.6208497429522399</v>
      </c>
      <c r="U567">
        <v>-5.5396659169892697</v>
      </c>
      <c r="V567">
        <v>0.12751404184856199</v>
      </c>
      <c r="W567">
        <v>0.26077993152513002</v>
      </c>
      <c r="X567">
        <v>0</v>
      </c>
      <c r="Y567">
        <v>0</v>
      </c>
    </row>
    <row r="568" spans="1:25" x14ac:dyDescent="0.2">
      <c r="A568" t="s">
        <v>2126</v>
      </c>
      <c r="B568" t="s">
        <v>2127</v>
      </c>
      <c r="C568" t="s">
        <v>2128</v>
      </c>
      <c r="D568" t="s">
        <v>2129</v>
      </c>
      <c r="E568" t="s">
        <v>2127</v>
      </c>
      <c r="F568" t="s">
        <v>28</v>
      </c>
      <c r="G568" t="s">
        <v>2127</v>
      </c>
      <c r="H568" t="str">
        <f>"pes-5"</f>
        <v>pes-5</v>
      </c>
      <c r="I568" t="s">
        <v>2129</v>
      </c>
      <c r="J568" t="s">
        <v>29</v>
      </c>
      <c r="K568" t="s">
        <v>29</v>
      </c>
      <c r="L568">
        <v>11.5182380027712</v>
      </c>
      <c r="M568" t="s">
        <v>29</v>
      </c>
      <c r="N568" t="s">
        <v>29</v>
      </c>
      <c r="O568" t="s">
        <v>29</v>
      </c>
      <c r="P568" t="s">
        <v>29</v>
      </c>
      <c r="Q568" t="s">
        <v>29</v>
      </c>
      <c r="R568" t="s">
        <v>29</v>
      </c>
      <c r="S568">
        <v>11.8907092824277</v>
      </c>
      <c r="T568" t="s">
        <v>29</v>
      </c>
      <c r="U568" t="s">
        <v>29</v>
      </c>
      <c r="V568" t="s">
        <v>29</v>
      </c>
      <c r="W568" t="s">
        <v>29</v>
      </c>
      <c r="X568" t="s">
        <v>29</v>
      </c>
      <c r="Y568" t="s">
        <v>29</v>
      </c>
    </row>
    <row r="569" spans="1:25" x14ac:dyDescent="0.2">
      <c r="A569" t="s">
        <v>2130</v>
      </c>
      <c r="B569" t="s">
        <v>2131</v>
      </c>
      <c r="C569" t="s">
        <v>2132</v>
      </c>
      <c r="D569" t="s">
        <v>2133</v>
      </c>
      <c r="E569" t="s">
        <v>2131</v>
      </c>
      <c r="F569" t="s">
        <v>28</v>
      </c>
      <c r="G569" t="s">
        <v>2131</v>
      </c>
      <c r="H569" t="str">
        <f>"fat-6"</f>
        <v>fat-6</v>
      </c>
      <c r="I569" t="s">
        <v>2133</v>
      </c>
      <c r="J569">
        <v>13.314817705269199</v>
      </c>
      <c r="K569">
        <v>14.050125849430501</v>
      </c>
      <c r="L569">
        <v>14.1792810062306</v>
      </c>
      <c r="M569">
        <v>12.934938176596299</v>
      </c>
      <c r="N569">
        <v>13.922401677378099</v>
      </c>
      <c r="O569">
        <v>13.580057684467301</v>
      </c>
      <c r="P569">
        <v>-0.36894234082955701</v>
      </c>
      <c r="Q569">
        <v>-0.92836792097068699</v>
      </c>
      <c r="R569">
        <v>0.19048323931157299</v>
      </c>
      <c r="S569">
        <v>14.2872488259967</v>
      </c>
      <c r="T569">
        <v>-1.3861450906097701</v>
      </c>
      <c r="U569">
        <v>-6.1988120164256202</v>
      </c>
      <c r="V569">
        <v>0.18273323891109</v>
      </c>
      <c r="W569">
        <v>0.33673056171489602</v>
      </c>
      <c r="X569">
        <v>0</v>
      </c>
      <c r="Y569">
        <v>0</v>
      </c>
    </row>
    <row r="570" spans="1:25" x14ac:dyDescent="0.2">
      <c r="A570" t="s">
        <v>2134</v>
      </c>
      <c r="B570" t="s">
        <v>2135</v>
      </c>
      <c r="C570" t="s">
        <v>2136</v>
      </c>
      <c r="D570" t="s">
        <v>2137</v>
      </c>
      <c r="E570" t="s">
        <v>2135</v>
      </c>
      <c r="F570" t="s">
        <v>28</v>
      </c>
      <c r="G570" t="s">
        <v>2135</v>
      </c>
      <c r="H570" t="str">
        <f>"vha-6"</f>
        <v>vha-6</v>
      </c>
      <c r="I570" t="s">
        <v>2137</v>
      </c>
      <c r="J570">
        <v>11.5981851214421</v>
      </c>
      <c r="K570">
        <v>12.21490979308</v>
      </c>
      <c r="L570">
        <v>13.0815298845417</v>
      </c>
      <c r="M570">
        <v>13.869093827926299</v>
      </c>
      <c r="N570">
        <v>11.9425735682539</v>
      </c>
      <c r="O570">
        <v>12.7823364057801</v>
      </c>
      <c r="P570">
        <v>0.56645966763215405</v>
      </c>
      <c r="Q570">
        <v>-0.56611585649782703</v>
      </c>
      <c r="R570">
        <v>1.69903519176214</v>
      </c>
      <c r="S570">
        <v>12.286148897876799</v>
      </c>
      <c r="T570">
        <v>1.05122174142005</v>
      </c>
      <c r="U570">
        <v>-6.5936744894011001</v>
      </c>
      <c r="V570">
        <v>0.30714608588725001</v>
      </c>
      <c r="W570">
        <v>0.47715314449642898</v>
      </c>
      <c r="X570">
        <v>0</v>
      </c>
      <c r="Y570">
        <v>0</v>
      </c>
    </row>
    <row r="571" spans="1:25" x14ac:dyDescent="0.2">
      <c r="A571" t="s">
        <v>2138</v>
      </c>
      <c r="B571" t="s">
        <v>2139</v>
      </c>
      <c r="C571" t="s">
        <v>2140</v>
      </c>
      <c r="D571" t="s">
        <v>2141</v>
      </c>
      <c r="E571" t="s">
        <v>2139</v>
      </c>
      <c r="F571" t="s">
        <v>28</v>
      </c>
      <c r="G571" t="s">
        <v>2139</v>
      </c>
      <c r="H571" t="str">
        <f>"cpz-1"</f>
        <v>cpz-1</v>
      </c>
      <c r="I571" t="s">
        <v>2141</v>
      </c>
      <c r="J571">
        <v>12.3503628916037</v>
      </c>
      <c r="K571">
        <v>12.6917314235252</v>
      </c>
      <c r="L571">
        <v>12.381210927647199</v>
      </c>
      <c r="M571" t="s">
        <v>29</v>
      </c>
      <c r="N571" t="s">
        <v>29</v>
      </c>
      <c r="O571">
        <v>11.211536518281999</v>
      </c>
      <c r="P571">
        <v>-1.26289856264335</v>
      </c>
      <c r="Q571">
        <v>-2.01214578027952</v>
      </c>
      <c r="R571">
        <v>-0.51365134500718002</v>
      </c>
      <c r="S571">
        <v>12.336661024887499</v>
      </c>
      <c r="T571">
        <v>-3.5751384094428502</v>
      </c>
      <c r="U571">
        <v>-1.9081537698327999</v>
      </c>
      <c r="V571">
        <v>2.5512928095471599E-3</v>
      </c>
      <c r="W571">
        <v>1.72446328204942E-2</v>
      </c>
      <c r="X571">
        <v>-1</v>
      </c>
      <c r="Y571">
        <v>-1</v>
      </c>
    </row>
    <row r="572" spans="1:25" x14ac:dyDescent="0.2">
      <c r="A572" t="s">
        <v>2142</v>
      </c>
      <c r="B572" t="s">
        <v>2143</v>
      </c>
      <c r="C572" t="s">
        <v>2144</v>
      </c>
      <c r="D572" t="s">
        <v>2145</v>
      </c>
      <c r="E572" t="s">
        <v>2143</v>
      </c>
      <c r="F572" t="s">
        <v>28</v>
      </c>
      <c r="G572" t="s">
        <v>2143</v>
      </c>
      <c r="H572" t="str">
        <f>"max-2"</f>
        <v>max-2</v>
      </c>
      <c r="I572" t="s">
        <v>2145</v>
      </c>
      <c r="J572" t="s">
        <v>29</v>
      </c>
      <c r="K572" t="s">
        <v>29</v>
      </c>
      <c r="L572" t="s">
        <v>29</v>
      </c>
      <c r="M572" t="s">
        <v>29</v>
      </c>
      <c r="N572" t="s">
        <v>29</v>
      </c>
      <c r="O572" t="s">
        <v>29</v>
      </c>
      <c r="P572" t="s">
        <v>29</v>
      </c>
      <c r="Q572" t="s">
        <v>29</v>
      </c>
      <c r="R572" t="s">
        <v>29</v>
      </c>
      <c r="S572">
        <v>10.9772669875652</v>
      </c>
      <c r="T572" t="s">
        <v>29</v>
      </c>
      <c r="U572" t="s">
        <v>29</v>
      </c>
      <c r="V572" t="s">
        <v>29</v>
      </c>
      <c r="W572" t="s">
        <v>29</v>
      </c>
      <c r="X572" t="s">
        <v>29</v>
      </c>
      <c r="Y572" t="s">
        <v>29</v>
      </c>
    </row>
    <row r="573" spans="1:25" x14ac:dyDescent="0.2">
      <c r="A573" t="s">
        <v>2146</v>
      </c>
      <c r="B573" t="s">
        <v>2147</v>
      </c>
      <c r="C573" t="s">
        <v>2148</v>
      </c>
      <c r="D573" t="s">
        <v>2149</v>
      </c>
      <c r="E573" t="s">
        <v>2147</v>
      </c>
      <c r="F573" t="s">
        <v>28</v>
      </c>
      <c r="G573" t="s">
        <v>2147</v>
      </c>
      <c r="H573" t="str">
        <f>"ten-1"</f>
        <v>ten-1</v>
      </c>
      <c r="I573" t="s">
        <v>2149</v>
      </c>
      <c r="J573">
        <v>14.743420094405201</v>
      </c>
      <c r="K573">
        <v>14.6230204886702</v>
      </c>
      <c r="L573">
        <v>13.7484940014633</v>
      </c>
      <c r="M573">
        <v>17.123952642960798</v>
      </c>
      <c r="N573">
        <v>15.7533020550594</v>
      </c>
      <c r="O573">
        <v>15.0122038641919</v>
      </c>
      <c r="P573">
        <v>1.5915079925578</v>
      </c>
      <c r="Q573">
        <v>0.66896660045897405</v>
      </c>
      <c r="R573">
        <v>2.5140493846566399</v>
      </c>
      <c r="S573">
        <v>14.220123634589701</v>
      </c>
      <c r="T573">
        <v>3.6590849548412798</v>
      </c>
      <c r="U573">
        <v>-2.0369100472497501</v>
      </c>
      <c r="V573">
        <v>2.1378292024320199E-3</v>
      </c>
      <c r="W573">
        <v>1.52207787812616E-2</v>
      </c>
      <c r="X573">
        <v>1</v>
      </c>
      <c r="Y573">
        <v>1</v>
      </c>
    </row>
    <row r="574" spans="1:25" x14ac:dyDescent="0.2">
      <c r="A574" t="s">
        <v>2150</v>
      </c>
      <c r="B574" t="s">
        <v>2151</v>
      </c>
      <c r="C574" t="s">
        <v>2152</v>
      </c>
      <c r="D574" t="s">
        <v>2153</v>
      </c>
      <c r="E574" t="s">
        <v>2151</v>
      </c>
      <c r="F574" t="s">
        <v>28</v>
      </c>
      <c r="G574" t="s">
        <v>2151</v>
      </c>
      <c r="H574" t="str">
        <f>"klp-12"</f>
        <v>klp-12</v>
      </c>
      <c r="I574" t="s">
        <v>2153</v>
      </c>
      <c r="J574">
        <v>13.470762268653299</v>
      </c>
      <c r="K574">
        <v>13.3472813623194</v>
      </c>
      <c r="L574">
        <v>13.4817635419613</v>
      </c>
      <c r="M574">
        <v>13.8124739050679</v>
      </c>
      <c r="N574">
        <v>13.6563872816778</v>
      </c>
      <c r="O574">
        <v>13.6645220009231</v>
      </c>
      <c r="P574">
        <v>0.27785867157827898</v>
      </c>
      <c r="Q574">
        <v>-0.132546212859984</v>
      </c>
      <c r="R574">
        <v>0.68826355601654199</v>
      </c>
      <c r="S574">
        <v>13.6196965804076</v>
      </c>
      <c r="T574">
        <v>1.4229968781576701</v>
      </c>
      <c r="U574">
        <v>-6.1499118648513598</v>
      </c>
      <c r="V574">
        <v>0.17193710380059299</v>
      </c>
      <c r="W574">
        <v>0.32295473235539901</v>
      </c>
      <c r="X574">
        <v>0</v>
      </c>
      <c r="Y574">
        <v>0</v>
      </c>
    </row>
    <row r="575" spans="1:25" x14ac:dyDescent="0.2">
      <c r="A575" t="s">
        <v>2154</v>
      </c>
      <c r="B575" t="s">
        <v>2155</v>
      </c>
      <c r="C575" t="s">
        <v>2156</v>
      </c>
      <c r="D575" t="s">
        <v>2157</v>
      </c>
      <c r="E575" t="s">
        <v>2155</v>
      </c>
      <c r="F575" t="s">
        <v>28</v>
      </c>
      <c r="G575" t="s">
        <v>2155</v>
      </c>
      <c r="H575" t="str">
        <f>"gbf-1"</f>
        <v>gbf-1</v>
      </c>
      <c r="I575" t="s">
        <v>2157</v>
      </c>
      <c r="J575">
        <v>13.608977487654199</v>
      </c>
      <c r="K575">
        <v>13.7386337545618</v>
      </c>
      <c r="L575">
        <v>13.666543723321301</v>
      </c>
      <c r="M575" t="s">
        <v>29</v>
      </c>
      <c r="N575">
        <v>13.0122651150243</v>
      </c>
      <c r="O575">
        <v>13.607476870640999</v>
      </c>
      <c r="P575">
        <v>-0.36151399567980202</v>
      </c>
      <c r="Q575">
        <v>-0.79415513949221395</v>
      </c>
      <c r="R575">
        <v>7.1127148132609799E-2</v>
      </c>
      <c r="S575">
        <v>13.6445627733919</v>
      </c>
      <c r="T575">
        <v>-1.76379176385785</v>
      </c>
      <c r="U575">
        <v>-5.5454863109608796</v>
      </c>
      <c r="V575">
        <v>9.5840254591514296E-2</v>
      </c>
      <c r="W575">
        <v>0.21061985852437901</v>
      </c>
      <c r="X575">
        <v>0</v>
      </c>
      <c r="Y575">
        <v>0</v>
      </c>
    </row>
    <row r="576" spans="1:25" x14ac:dyDescent="0.2">
      <c r="A576" t="s">
        <v>2158</v>
      </c>
      <c r="B576" t="s">
        <v>2159</v>
      </c>
      <c r="C576" t="s">
        <v>2160</v>
      </c>
      <c r="D576" t="s">
        <v>2161</v>
      </c>
      <c r="E576" t="s">
        <v>2159</v>
      </c>
      <c r="F576" t="s">
        <v>28</v>
      </c>
      <c r="G576" t="s">
        <v>2159</v>
      </c>
      <c r="H576" t="str">
        <f>"syp-1"</f>
        <v>syp-1</v>
      </c>
      <c r="I576" t="s">
        <v>2161</v>
      </c>
      <c r="J576" t="s">
        <v>29</v>
      </c>
      <c r="K576" t="s">
        <v>29</v>
      </c>
      <c r="L576" t="s">
        <v>29</v>
      </c>
      <c r="M576" t="s">
        <v>29</v>
      </c>
      <c r="N576" t="s">
        <v>29</v>
      </c>
      <c r="O576" t="s">
        <v>29</v>
      </c>
      <c r="P576" t="s">
        <v>29</v>
      </c>
      <c r="Q576" t="s">
        <v>29</v>
      </c>
      <c r="R576" t="s">
        <v>29</v>
      </c>
      <c r="S576">
        <v>11.664202858163399</v>
      </c>
      <c r="T576" t="s">
        <v>29</v>
      </c>
      <c r="U576" t="s">
        <v>29</v>
      </c>
      <c r="V576" t="s">
        <v>29</v>
      </c>
      <c r="W576" t="s">
        <v>29</v>
      </c>
      <c r="X576" t="s">
        <v>29</v>
      </c>
      <c r="Y576" t="s">
        <v>29</v>
      </c>
    </row>
    <row r="577" spans="1:25" x14ac:dyDescent="0.2">
      <c r="A577" t="s">
        <v>2162</v>
      </c>
      <c r="B577" t="s">
        <v>2163</v>
      </c>
      <c r="C577" t="s">
        <v>2164</v>
      </c>
      <c r="D577" t="s">
        <v>420</v>
      </c>
      <c r="E577" t="s">
        <v>2163</v>
      </c>
      <c r="F577" t="s">
        <v>28</v>
      </c>
      <c r="G577" t="s">
        <v>2163</v>
      </c>
      <c r="H577" t="str">
        <f>"clh-5"</f>
        <v>clh-5</v>
      </c>
      <c r="I577" t="s">
        <v>420</v>
      </c>
      <c r="J577">
        <v>10.891111909326799</v>
      </c>
      <c r="K577" t="s">
        <v>29</v>
      </c>
      <c r="L577">
        <v>12.8497652859278</v>
      </c>
      <c r="M577" t="s">
        <v>29</v>
      </c>
      <c r="N577" t="s">
        <v>29</v>
      </c>
      <c r="O577">
        <v>11.4190410410477</v>
      </c>
      <c r="P577">
        <v>-0.451397556579549</v>
      </c>
      <c r="Q577">
        <v>-1.74298275590473</v>
      </c>
      <c r="R577">
        <v>0.84018764274562796</v>
      </c>
      <c r="S577">
        <v>12.697251533811301</v>
      </c>
      <c r="T577">
        <v>-0.75565470135111601</v>
      </c>
      <c r="U577">
        <v>-6.45761362572481</v>
      </c>
      <c r="V577">
        <v>0.46343682140216103</v>
      </c>
      <c r="W577">
        <v>0.62591581698999499</v>
      </c>
      <c r="X577">
        <v>0</v>
      </c>
      <c r="Y577">
        <v>0</v>
      </c>
    </row>
    <row r="578" spans="1:25" x14ac:dyDescent="0.2">
      <c r="A578" t="s">
        <v>2165</v>
      </c>
      <c r="B578" t="s">
        <v>2166</v>
      </c>
      <c r="C578" t="s">
        <v>2167</v>
      </c>
      <c r="D578" t="s">
        <v>2168</v>
      </c>
      <c r="E578" t="s">
        <v>2166</v>
      </c>
      <c r="F578" t="s">
        <v>28</v>
      </c>
      <c r="G578" t="s">
        <v>2166</v>
      </c>
      <c r="H578" t="str">
        <f>"iffb-1"</f>
        <v>iffb-1</v>
      </c>
      <c r="I578" t="s">
        <v>2168</v>
      </c>
      <c r="J578">
        <v>17.498610346568999</v>
      </c>
      <c r="K578">
        <v>17.183322967964202</v>
      </c>
      <c r="L578">
        <v>17.630829089728898</v>
      </c>
      <c r="M578">
        <v>16.575105927714802</v>
      </c>
      <c r="N578">
        <v>17.6263770270218</v>
      </c>
      <c r="O578">
        <v>16.769746740711</v>
      </c>
      <c r="P578">
        <v>-0.447177569604783</v>
      </c>
      <c r="Q578">
        <v>-1.00078220670512</v>
      </c>
      <c r="R578">
        <v>0.106427067495557</v>
      </c>
      <c r="S578">
        <v>17.088848907107199</v>
      </c>
      <c r="T578">
        <v>-1.6977463490203</v>
      </c>
      <c r="U578">
        <v>-5.7544636951826096</v>
      </c>
      <c r="V578">
        <v>0.10687725180085</v>
      </c>
      <c r="W578">
        <v>0.22675828729813099</v>
      </c>
      <c r="X578">
        <v>0</v>
      </c>
      <c r="Y578">
        <v>0</v>
      </c>
    </row>
    <row r="579" spans="1:25" x14ac:dyDescent="0.2">
      <c r="A579" t="s">
        <v>2169</v>
      </c>
      <c r="B579" t="s">
        <v>2170</v>
      </c>
      <c r="C579" t="s">
        <v>2171</v>
      </c>
      <c r="D579" t="s">
        <v>2172</v>
      </c>
      <c r="E579" t="s">
        <v>2170</v>
      </c>
      <c r="F579" t="s">
        <v>28</v>
      </c>
      <c r="G579" t="s">
        <v>2170</v>
      </c>
      <c r="H579" t="str">
        <f>"egl-30"</f>
        <v>egl-30</v>
      </c>
      <c r="I579" t="s">
        <v>2172</v>
      </c>
      <c r="J579">
        <v>14.3803357623806</v>
      </c>
      <c r="K579">
        <v>14.3441197388498</v>
      </c>
      <c r="L579">
        <v>14.1299064493031</v>
      </c>
      <c r="M579">
        <v>13.6642233321458</v>
      </c>
      <c r="N579">
        <v>13.467217795183601</v>
      </c>
      <c r="O579">
        <v>14.164849004758</v>
      </c>
      <c r="P579">
        <v>-0.51935727281533794</v>
      </c>
      <c r="Q579">
        <v>-0.97170457692450396</v>
      </c>
      <c r="R579">
        <v>-6.7009968706171305E-2</v>
      </c>
      <c r="S579">
        <v>13.7733627980029</v>
      </c>
      <c r="T579">
        <v>-2.4131633699834598</v>
      </c>
      <c r="U579">
        <v>-4.5129877204373203</v>
      </c>
      <c r="V579">
        <v>2.6763878418566801E-2</v>
      </c>
      <c r="W579">
        <v>8.9078224763014302E-2</v>
      </c>
      <c r="X579">
        <v>0</v>
      </c>
      <c r="Y579">
        <v>0</v>
      </c>
    </row>
    <row r="580" spans="1:25" x14ac:dyDescent="0.2">
      <c r="A580" t="s">
        <v>2173</v>
      </c>
      <c r="B580" t="s">
        <v>2174</v>
      </c>
      <c r="C580" t="s">
        <v>2175</v>
      </c>
      <c r="D580" t="s">
        <v>2176</v>
      </c>
      <c r="E580" t="s">
        <v>2174</v>
      </c>
      <c r="F580" t="s">
        <v>28</v>
      </c>
      <c r="G580" t="s">
        <v>2174</v>
      </c>
      <c r="H580" t="str">
        <f>"szy-20"</f>
        <v>szy-20</v>
      </c>
      <c r="I580" t="s">
        <v>2176</v>
      </c>
      <c r="J580" t="s">
        <v>29</v>
      </c>
      <c r="K580" t="s">
        <v>29</v>
      </c>
      <c r="L580">
        <v>11.1889345671425</v>
      </c>
      <c r="M580" t="s">
        <v>29</v>
      </c>
      <c r="N580" t="s">
        <v>29</v>
      </c>
      <c r="O580" t="s">
        <v>29</v>
      </c>
      <c r="P580" t="s">
        <v>29</v>
      </c>
      <c r="Q580" t="s">
        <v>29</v>
      </c>
      <c r="R580" t="s">
        <v>29</v>
      </c>
      <c r="S580">
        <v>12.058265739600399</v>
      </c>
      <c r="T580" t="s">
        <v>29</v>
      </c>
      <c r="U580" t="s">
        <v>29</v>
      </c>
      <c r="V580" t="s">
        <v>29</v>
      </c>
      <c r="W580" t="s">
        <v>29</v>
      </c>
      <c r="X580" t="s">
        <v>29</v>
      </c>
      <c r="Y580" t="s">
        <v>29</v>
      </c>
    </row>
    <row r="581" spans="1:25" x14ac:dyDescent="0.2">
      <c r="A581" t="s">
        <v>2177</v>
      </c>
      <c r="B581" t="s">
        <v>2178</v>
      </c>
      <c r="C581" t="s">
        <v>2179</v>
      </c>
      <c r="D581" t="s">
        <v>2180</v>
      </c>
      <c r="E581" t="s">
        <v>2178</v>
      </c>
      <c r="F581" t="s">
        <v>28</v>
      </c>
      <c r="G581" t="s">
        <v>2178</v>
      </c>
      <c r="H581" t="str">
        <f>"hum-2"</f>
        <v>hum-2</v>
      </c>
      <c r="I581" t="s">
        <v>2180</v>
      </c>
      <c r="J581">
        <v>12.7721505319992</v>
      </c>
      <c r="K581">
        <v>11.6137314163062</v>
      </c>
      <c r="L581">
        <v>12.1159005358763</v>
      </c>
      <c r="M581" t="s">
        <v>29</v>
      </c>
      <c r="N581">
        <v>13.462804058481099</v>
      </c>
      <c r="O581">
        <v>13.0339885234796</v>
      </c>
      <c r="P581">
        <v>1.08113546291978</v>
      </c>
      <c r="Q581">
        <v>0.41532604954865798</v>
      </c>
      <c r="R581">
        <v>1.7469448762908999</v>
      </c>
      <c r="S581">
        <v>12.5246801505109</v>
      </c>
      <c r="T581">
        <v>3.4275215595833299</v>
      </c>
      <c r="U581">
        <v>-2.3683715017323901</v>
      </c>
      <c r="V581">
        <v>3.2343916329993401E-3</v>
      </c>
      <c r="W581">
        <v>2.0766344536925999E-2</v>
      </c>
      <c r="X581">
        <v>1</v>
      </c>
      <c r="Y581">
        <v>1</v>
      </c>
    </row>
    <row r="582" spans="1:25" x14ac:dyDescent="0.2">
      <c r="A582" t="s">
        <v>2181</v>
      </c>
      <c r="B582" t="s">
        <v>2182</v>
      </c>
      <c r="C582" t="s">
        <v>14280</v>
      </c>
      <c r="D582" t="s">
        <v>2183</v>
      </c>
      <c r="E582" t="s">
        <v>2182</v>
      </c>
      <c r="F582" t="s">
        <v>28</v>
      </c>
      <c r="G582" t="s">
        <v>2182</v>
      </c>
      <c r="H582" t="str">
        <f>"Y48C3A.14"</f>
        <v>Y48C3A.14</v>
      </c>
      <c r="I582" t="s">
        <v>2183</v>
      </c>
      <c r="J582">
        <v>14.435348783273099</v>
      </c>
      <c r="K582">
        <v>14.5465676421439</v>
      </c>
      <c r="L582">
        <v>14.857931291914801</v>
      </c>
      <c r="M582" t="s">
        <v>29</v>
      </c>
      <c r="N582">
        <v>14.5924003894792</v>
      </c>
      <c r="O582">
        <v>12.902499265889</v>
      </c>
      <c r="P582">
        <v>-0.86583274475984795</v>
      </c>
      <c r="Q582">
        <v>-1.60233901919113</v>
      </c>
      <c r="R582">
        <v>-0.12932647032856701</v>
      </c>
      <c r="S582">
        <v>14.5543313230366</v>
      </c>
      <c r="T582">
        <v>-2.4814616538346499</v>
      </c>
      <c r="U582">
        <v>-4.2891549494825298</v>
      </c>
      <c r="V582">
        <v>2.3907388190826499E-2</v>
      </c>
      <c r="W582">
        <v>8.2790920092086606E-2</v>
      </c>
      <c r="X582">
        <v>0</v>
      </c>
      <c r="Y582">
        <v>0</v>
      </c>
    </row>
    <row r="583" spans="1:25" x14ac:dyDescent="0.2">
      <c r="A583" t="s">
        <v>2184</v>
      </c>
      <c r="B583" t="s">
        <v>2185</v>
      </c>
      <c r="C583" t="s">
        <v>14281</v>
      </c>
      <c r="D583" t="s">
        <v>66</v>
      </c>
      <c r="E583" t="s">
        <v>2185</v>
      </c>
      <c r="F583" t="s">
        <v>28</v>
      </c>
      <c r="G583" t="s">
        <v>2185</v>
      </c>
      <c r="H583" t="str">
        <f>"M03C11.3"</f>
        <v>M03C11.3</v>
      </c>
      <c r="I583" t="s">
        <v>66</v>
      </c>
      <c r="J583">
        <v>12.352400208264401</v>
      </c>
      <c r="K583">
        <v>13.0179778511029</v>
      </c>
      <c r="L583">
        <v>12.7770815913736</v>
      </c>
      <c r="M583" t="s">
        <v>29</v>
      </c>
      <c r="N583" t="s">
        <v>29</v>
      </c>
      <c r="O583" t="s">
        <v>29</v>
      </c>
      <c r="P583" t="s">
        <v>29</v>
      </c>
      <c r="Q583" t="s">
        <v>29</v>
      </c>
      <c r="R583" t="s">
        <v>29</v>
      </c>
      <c r="S583">
        <v>12.9011463035823</v>
      </c>
      <c r="T583" t="s">
        <v>29</v>
      </c>
      <c r="U583" t="s">
        <v>29</v>
      </c>
      <c r="V583" t="s">
        <v>29</v>
      </c>
      <c r="W583" t="s">
        <v>29</v>
      </c>
      <c r="X583" t="s">
        <v>29</v>
      </c>
      <c r="Y583" t="s">
        <v>29</v>
      </c>
    </row>
    <row r="584" spans="1:25" x14ac:dyDescent="0.2">
      <c r="A584" t="s">
        <v>2186</v>
      </c>
      <c r="B584" t="s">
        <v>2187</v>
      </c>
      <c r="C584" t="s">
        <v>2188</v>
      </c>
      <c r="D584" t="s">
        <v>2189</v>
      </c>
      <c r="E584" t="s">
        <v>2187</v>
      </c>
      <c r="F584" t="s">
        <v>28</v>
      </c>
      <c r="G584" t="s">
        <v>2187</v>
      </c>
      <c r="H584" t="str">
        <f>"stl-1"</f>
        <v>stl-1</v>
      </c>
      <c r="I584" t="s">
        <v>2189</v>
      </c>
      <c r="J584">
        <v>15.7242120271346</v>
      </c>
      <c r="K584">
        <v>16.308009175071</v>
      </c>
      <c r="L584">
        <v>16.655620031359799</v>
      </c>
      <c r="M584">
        <v>16.671276863452</v>
      </c>
      <c r="N584">
        <v>16.7275759414844</v>
      </c>
      <c r="O584">
        <v>15.474488120415501</v>
      </c>
      <c r="P584">
        <v>6.1833230595503601E-2</v>
      </c>
      <c r="Q584">
        <v>-0.61995005178386398</v>
      </c>
      <c r="R584">
        <v>0.74361651297487097</v>
      </c>
      <c r="S584">
        <v>16.825299659839899</v>
      </c>
      <c r="T584">
        <v>0.19061984095472101</v>
      </c>
      <c r="U584">
        <v>-7.13725269476289</v>
      </c>
      <c r="V584">
        <v>0.85096928324589904</v>
      </c>
      <c r="W584">
        <v>0.90599945004539895</v>
      </c>
      <c r="X584">
        <v>0</v>
      </c>
      <c r="Y584">
        <v>0</v>
      </c>
    </row>
    <row r="585" spans="1:25" x14ac:dyDescent="0.2">
      <c r="A585" t="s">
        <v>2190</v>
      </c>
      <c r="B585" t="s">
        <v>2191</v>
      </c>
      <c r="C585" t="s">
        <v>2192</v>
      </c>
      <c r="D585" t="s">
        <v>2193</v>
      </c>
      <c r="E585" t="s">
        <v>2191</v>
      </c>
      <c r="F585" t="s">
        <v>28</v>
      </c>
      <c r="G585" t="s">
        <v>2191</v>
      </c>
      <c r="H585" t="str">
        <f>"spat-1"</f>
        <v>spat-1</v>
      </c>
      <c r="I585" t="s">
        <v>2193</v>
      </c>
      <c r="J585" t="s">
        <v>29</v>
      </c>
      <c r="K585" t="s">
        <v>29</v>
      </c>
      <c r="L585" t="s">
        <v>29</v>
      </c>
      <c r="M585" t="s">
        <v>29</v>
      </c>
      <c r="N585" t="s">
        <v>29</v>
      </c>
      <c r="O585" t="s">
        <v>29</v>
      </c>
      <c r="P585" t="s">
        <v>29</v>
      </c>
      <c r="Q585" t="s">
        <v>29</v>
      </c>
      <c r="R585" t="s">
        <v>29</v>
      </c>
      <c r="S585">
        <v>10.0985558044644</v>
      </c>
      <c r="T585" t="s">
        <v>29</v>
      </c>
      <c r="U585" t="s">
        <v>29</v>
      </c>
      <c r="V585" t="s">
        <v>29</v>
      </c>
      <c r="W585" t="s">
        <v>29</v>
      </c>
      <c r="X585" t="s">
        <v>29</v>
      </c>
      <c r="Y585" t="s">
        <v>29</v>
      </c>
    </row>
    <row r="586" spans="1:25" x14ac:dyDescent="0.2">
      <c r="A586" t="s">
        <v>2194</v>
      </c>
      <c r="B586" t="s">
        <v>2195</v>
      </c>
      <c r="C586" t="s">
        <v>2196</v>
      </c>
      <c r="D586" t="s">
        <v>2197</v>
      </c>
      <c r="E586" t="s">
        <v>2195</v>
      </c>
      <c r="F586" t="s">
        <v>28</v>
      </c>
      <c r="G586" t="s">
        <v>2195</v>
      </c>
      <c r="H586" t="str">
        <f>"lea-1"</f>
        <v>lea-1</v>
      </c>
      <c r="I586" t="s">
        <v>2197</v>
      </c>
      <c r="J586">
        <v>12.3888086287417</v>
      </c>
      <c r="K586">
        <v>12.778827821609999</v>
      </c>
      <c r="L586">
        <v>12.302385086334599</v>
      </c>
      <c r="M586">
        <v>13.810844789089201</v>
      </c>
      <c r="N586">
        <v>14.7621951038031</v>
      </c>
      <c r="O586">
        <v>15.0724769577945</v>
      </c>
      <c r="P586">
        <v>2.0584984380001301</v>
      </c>
      <c r="Q586">
        <v>1.1978485615583701</v>
      </c>
      <c r="R586">
        <v>2.9191483144418902</v>
      </c>
      <c r="S586">
        <v>14.059171454592001</v>
      </c>
      <c r="T586">
        <v>5.0270886541012301</v>
      </c>
      <c r="U586">
        <v>1.08345620145606</v>
      </c>
      <c r="V586" s="2">
        <v>8.9066012554765594E-5</v>
      </c>
      <c r="W586">
        <v>1.5907729636296601E-3</v>
      </c>
      <c r="X586">
        <v>1</v>
      </c>
      <c r="Y586">
        <v>1</v>
      </c>
    </row>
    <row r="587" spans="1:25" x14ac:dyDescent="0.2">
      <c r="A587" t="s">
        <v>2198</v>
      </c>
      <c r="B587" t="s">
        <v>2199</v>
      </c>
      <c r="C587" t="s">
        <v>2200</v>
      </c>
      <c r="D587" t="s">
        <v>2201</v>
      </c>
      <c r="E587" t="s">
        <v>2199</v>
      </c>
      <c r="F587" t="s">
        <v>28</v>
      </c>
      <c r="G587" t="s">
        <v>2199</v>
      </c>
      <c r="H587" t="str">
        <f>"wdfy-3"</f>
        <v>wdfy-3</v>
      </c>
      <c r="I587" t="s">
        <v>2201</v>
      </c>
      <c r="J587">
        <v>11.518684150523701</v>
      </c>
      <c r="K587">
        <v>11.9291006115188</v>
      </c>
      <c r="L587">
        <v>11.627342432674601</v>
      </c>
      <c r="M587" t="s">
        <v>29</v>
      </c>
      <c r="N587">
        <v>12.9480089446898</v>
      </c>
      <c r="O587">
        <v>11.927287913472499</v>
      </c>
      <c r="P587">
        <v>0.74593936417547002</v>
      </c>
      <c r="Q587">
        <v>0.175378327932348</v>
      </c>
      <c r="R587">
        <v>1.3165004004185901</v>
      </c>
      <c r="S587">
        <v>11.960982276758299</v>
      </c>
      <c r="T587">
        <v>2.7596336308631599</v>
      </c>
      <c r="U587">
        <v>-3.7461864771259799</v>
      </c>
      <c r="V587">
        <v>1.34499158620194E-2</v>
      </c>
      <c r="W587">
        <v>5.61429207441516E-2</v>
      </c>
      <c r="X587">
        <v>0</v>
      </c>
      <c r="Y587">
        <v>0</v>
      </c>
    </row>
    <row r="588" spans="1:25" x14ac:dyDescent="0.2">
      <c r="A588" t="s">
        <v>2202</v>
      </c>
      <c r="B588" t="s">
        <v>2203</v>
      </c>
      <c r="C588" t="s">
        <v>14282</v>
      </c>
      <c r="D588" t="s">
        <v>2204</v>
      </c>
      <c r="E588" t="s">
        <v>2203</v>
      </c>
      <c r="F588" t="s">
        <v>28</v>
      </c>
      <c r="G588" t="s">
        <v>2203</v>
      </c>
      <c r="H588" t="str">
        <f>"Y38E10A.22"</f>
        <v>Y38E10A.22</v>
      </c>
      <c r="I588" t="s">
        <v>2204</v>
      </c>
      <c r="J588" t="s">
        <v>29</v>
      </c>
      <c r="K588">
        <v>11.112072838470301</v>
      </c>
      <c r="L588" t="s">
        <v>29</v>
      </c>
      <c r="M588" t="s">
        <v>29</v>
      </c>
      <c r="N588">
        <v>12.5349429187093</v>
      </c>
      <c r="O588">
        <v>13.822700915779899</v>
      </c>
      <c r="P588">
        <v>2.0667490787743401</v>
      </c>
      <c r="Q588">
        <v>0.91563951071223304</v>
      </c>
      <c r="R588">
        <v>3.2178586468364601</v>
      </c>
      <c r="S588">
        <v>12.490399687287001</v>
      </c>
      <c r="T588">
        <v>3.8292409511801999</v>
      </c>
      <c r="U588">
        <v>-1.4113670288315801</v>
      </c>
      <c r="V588">
        <v>1.66116151928215E-3</v>
      </c>
      <c r="W588">
        <v>1.2950907400329399E-2</v>
      </c>
      <c r="X588">
        <v>1</v>
      </c>
      <c r="Y588">
        <v>1</v>
      </c>
    </row>
    <row r="589" spans="1:25" x14ac:dyDescent="0.2">
      <c r="A589" t="s">
        <v>2205</v>
      </c>
      <c r="B589" t="s">
        <v>2206</v>
      </c>
      <c r="C589" t="s">
        <v>2207</v>
      </c>
      <c r="D589" t="s">
        <v>825</v>
      </c>
      <c r="E589" t="s">
        <v>2206</v>
      </c>
      <c r="F589" t="s">
        <v>28</v>
      </c>
      <c r="G589" t="s">
        <v>2206</v>
      </c>
      <c r="H589" t="str">
        <f>"ints-8"</f>
        <v>ints-8</v>
      </c>
      <c r="I589" t="s">
        <v>825</v>
      </c>
      <c r="J589">
        <v>12.2926676508496</v>
      </c>
      <c r="K589">
        <v>12.870219043933099</v>
      </c>
      <c r="L589">
        <v>12.839190441544501</v>
      </c>
      <c r="M589" t="s">
        <v>29</v>
      </c>
      <c r="N589">
        <v>13.692357599102101</v>
      </c>
      <c r="O589">
        <v>13.707400010921001</v>
      </c>
      <c r="P589">
        <v>1.03251975956917</v>
      </c>
      <c r="Q589">
        <v>0.58958388882875601</v>
      </c>
      <c r="R589">
        <v>1.47545563030959</v>
      </c>
      <c r="S589">
        <v>13.479824417022099</v>
      </c>
      <c r="T589">
        <v>4.9204806936526504</v>
      </c>
      <c r="U589">
        <v>0.815202030251576</v>
      </c>
      <c r="V589">
        <v>1.31734780847606E-4</v>
      </c>
      <c r="W589">
        <v>2.1023759702520298E-3</v>
      </c>
      <c r="X589">
        <v>1</v>
      </c>
      <c r="Y589">
        <v>1</v>
      </c>
    </row>
    <row r="590" spans="1:25" x14ac:dyDescent="0.2">
      <c r="A590" t="s">
        <v>2208</v>
      </c>
      <c r="B590" t="s">
        <v>2209</v>
      </c>
      <c r="C590" t="s">
        <v>14169</v>
      </c>
      <c r="D590" t="s">
        <v>2210</v>
      </c>
      <c r="E590" t="s">
        <v>2209</v>
      </c>
      <c r="F590" t="s">
        <v>28</v>
      </c>
      <c r="G590" t="s">
        <v>2209</v>
      </c>
      <c r="H590" t="str">
        <f>"CTEL55X.1"</f>
        <v>CTEL55X.1</v>
      </c>
      <c r="I590" t="s">
        <v>2210</v>
      </c>
      <c r="J590" t="s">
        <v>29</v>
      </c>
      <c r="K590" t="s">
        <v>29</v>
      </c>
      <c r="L590" t="s">
        <v>29</v>
      </c>
      <c r="M590" t="s">
        <v>29</v>
      </c>
      <c r="N590">
        <v>12.616073379180101</v>
      </c>
      <c r="O590">
        <v>12.0748517106134</v>
      </c>
      <c r="P590" t="s">
        <v>29</v>
      </c>
      <c r="Q590" t="s">
        <v>29</v>
      </c>
      <c r="R590" t="s">
        <v>29</v>
      </c>
      <c r="S590">
        <v>13.6722542139869</v>
      </c>
      <c r="T590" t="s">
        <v>29</v>
      </c>
      <c r="U590" t="s">
        <v>29</v>
      </c>
      <c r="V590" t="s">
        <v>29</v>
      </c>
      <c r="W590" t="s">
        <v>29</v>
      </c>
      <c r="X590" t="s">
        <v>29</v>
      </c>
      <c r="Y590" t="s">
        <v>29</v>
      </c>
    </row>
    <row r="591" spans="1:25" x14ac:dyDescent="0.2">
      <c r="A591" t="s">
        <v>2211</v>
      </c>
      <c r="B591" t="s">
        <v>2212</v>
      </c>
      <c r="C591" t="s">
        <v>2213</v>
      </c>
      <c r="D591" t="s">
        <v>2214</v>
      </c>
      <c r="E591" t="s">
        <v>2212</v>
      </c>
      <c r="F591" t="s">
        <v>28</v>
      </c>
      <c r="G591" t="s">
        <v>2212</v>
      </c>
      <c r="H591" t="str">
        <f>"ain-2"</f>
        <v>ain-2</v>
      </c>
      <c r="I591" t="s">
        <v>2214</v>
      </c>
      <c r="J591">
        <v>12.4571024987751</v>
      </c>
      <c r="K591">
        <v>12.9359570179257</v>
      </c>
      <c r="L591">
        <v>13.387569947931</v>
      </c>
      <c r="M591" t="s">
        <v>29</v>
      </c>
      <c r="N591">
        <v>13.6414776930435</v>
      </c>
      <c r="O591">
        <v>12.7455007035413</v>
      </c>
      <c r="P591">
        <v>0.26661271008176102</v>
      </c>
      <c r="Q591">
        <v>-0.623567820216266</v>
      </c>
      <c r="R591">
        <v>1.15679324037979</v>
      </c>
      <c r="S591">
        <v>13.74048256267</v>
      </c>
      <c r="T591">
        <v>0.63526113755364699</v>
      </c>
      <c r="U591">
        <v>-6.8352754241982403</v>
      </c>
      <c r="V591">
        <v>0.534297183201625</v>
      </c>
      <c r="W591">
        <v>0.68400251906828302</v>
      </c>
      <c r="X591">
        <v>0</v>
      </c>
      <c r="Y591">
        <v>0</v>
      </c>
    </row>
    <row r="592" spans="1:25" x14ac:dyDescent="0.2">
      <c r="A592" t="s">
        <v>2215</v>
      </c>
      <c r="B592" t="s">
        <v>2216</v>
      </c>
      <c r="C592" t="s">
        <v>14283</v>
      </c>
      <c r="D592" t="s">
        <v>2217</v>
      </c>
      <c r="E592" t="s">
        <v>2216</v>
      </c>
      <c r="F592" t="s">
        <v>28</v>
      </c>
      <c r="G592" t="s">
        <v>2216</v>
      </c>
      <c r="H592" t="str">
        <f>"F56C9.6"</f>
        <v>F56C9.6</v>
      </c>
      <c r="I592" t="s">
        <v>2217</v>
      </c>
      <c r="J592" t="s">
        <v>29</v>
      </c>
      <c r="K592" t="s">
        <v>29</v>
      </c>
      <c r="L592" t="s">
        <v>29</v>
      </c>
      <c r="M592" t="s">
        <v>29</v>
      </c>
      <c r="N592" t="s">
        <v>29</v>
      </c>
      <c r="O592" t="s">
        <v>29</v>
      </c>
      <c r="P592" t="s">
        <v>29</v>
      </c>
      <c r="Q592" t="s">
        <v>29</v>
      </c>
      <c r="R592" t="s">
        <v>29</v>
      </c>
      <c r="S592">
        <v>12.752331645559799</v>
      </c>
      <c r="T592" t="s">
        <v>29</v>
      </c>
      <c r="U592" t="s">
        <v>29</v>
      </c>
      <c r="V592" t="s">
        <v>29</v>
      </c>
      <c r="W592" t="s">
        <v>29</v>
      </c>
      <c r="X592" t="s">
        <v>29</v>
      </c>
      <c r="Y592" t="s">
        <v>29</v>
      </c>
    </row>
    <row r="593" spans="1:25" x14ac:dyDescent="0.2">
      <c r="A593" t="s">
        <v>2218</v>
      </c>
      <c r="B593" t="s">
        <v>2219</v>
      </c>
      <c r="C593" t="s">
        <v>2220</v>
      </c>
      <c r="D593" t="s">
        <v>2221</v>
      </c>
      <c r="E593" t="s">
        <v>2219</v>
      </c>
      <c r="F593" t="s">
        <v>28</v>
      </c>
      <c r="G593" t="s">
        <v>2219</v>
      </c>
      <c r="H593" t="str">
        <f>"unc-82"</f>
        <v>unc-82</v>
      </c>
      <c r="I593" t="s">
        <v>2221</v>
      </c>
      <c r="J593">
        <v>12.8864498342222</v>
      </c>
      <c r="K593">
        <v>13.450451649784499</v>
      </c>
      <c r="L593">
        <v>13.5456643208133</v>
      </c>
      <c r="M593" t="s">
        <v>29</v>
      </c>
      <c r="N593">
        <v>13.2763010541927</v>
      </c>
      <c r="O593">
        <v>12.2827158444103</v>
      </c>
      <c r="P593">
        <v>-0.51468015230517705</v>
      </c>
      <c r="Q593">
        <v>-1.10125952340418</v>
      </c>
      <c r="R593">
        <v>7.1899218793824396E-2</v>
      </c>
      <c r="S593">
        <v>13.3196157906875</v>
      </c>
      <c r="T593">
        <v>-1.85208386543644</v>
      </c>
      <c r="U593">
        <v>-5.4050864957254197</v>
      </c>
      <c r="V593">
        <v>8.1569276842353003E-2</v>
      </c>
      <c r="W593">
        <v>0.189727433981385</v>
      </c>
      <c r="X593">
        <v>0</v>
      </c>
      <c r="Y593">
        <v>0</v>
      </c>
    </row>
    <row r="594" spans="1:25" x14ac:dyDescent="0.2">
      <c r="A594" t="s">
        <v>2222</v>
      </c>
      <c r="B594" t="s">
        <v>2223</v>
      </c>
      <c r="C594" t="s">
        <v>2224</v>
      </c>
      <c r="D594" t="s">
        <v>2225</v>
      </c>
      <c r="E594" t="s">
        <v>2223</v>
      </c>
      <c r="F594" t="s">
        <v>28</v>
      </c>
      <c r="G594" t="s">
        <v>2223</v>
      </c>
      <c r="H594" t="str">
        <f>"ttc-7"</f>
        <v>ttc-7</v>
      </c>
      <c r="I594" t="s">
        <v>2225</v>
      </c>
      <c r="J594">
        <v>12.376626954308801</v>
      </c>
      <c r="K594">
        <v>12.5264200866508</v>
      </c>
      <c r="L594">
        <v>12.307385548031</v>
      </c>
      <c r="M594" t="s">
        <v>29</v>
      </c>
      <c r="N594" t="s">
        <v>29</v>
      </c>
      <c r="O594">
        <v>12.387989065800801</v>
      </c>
      <c r="P594">
        <v>-1.5488463862698899E-2</v>
      </c>
      <c r="Q594">
        <v>-0.61641023952063301</v>
      </c>
      <c r="R594">
        <v>0.58543331179523606</v>
      </c>
      <c r="S594">
        <v>12.5380818771729</v>
      </c>
      <c r="T594">
        <v>-5.5320016088217197E-2</v>
      </c>
      <c r="U594">
        <v>-6.8110799515699503</v>
      </c>
      <c r="V594">
        <v>0.95667108130580403</v>
      </c>
      <c r="W594">
        <v>0.97371790112129797</v>
      </c>
      <c r="X594">
        <v>0</v>
      </c>
      <c r="Y594">
        <v>0</v>
      </c>
    </row>
    <row r="595" spans="1:25" x14ac:dyDescent="0.2">
      <c r="A595" t="s">
        <v>2226</v>
      </c>
      <c r="B595" t="s">
        <v>2227</v>
      </c>
      <c r="C595" t="s">
        <v>2228</v>
      </c>
      <c r="D595" t="s">
        <v>93</v>
      </c>
      <c r="E595" t="s">
        <v>2227</v>
      </c>
      <c r="F595" t="s">
        <v>28</v>
      </c>
      <c r="G595" t="s">
        <v>2227</v>
      </c>
      <c r="H595" t="str">
        <f>"grld-1"</f>
        <v>grld-1</v>
      </c>
      <c r="I595" t="s">
        <v>93</v>
      </c>
      <c r="J595">
        <v>13.5644365053009</v>
      </c>
      <c r="K595">
        <v>13.6919475525984</v>
      </c>
      <c r="L595">
        <v>13.820050056344799</v>
      </c>
      <c r="M595" t="s">
        <v>29</v>
      </c>
      <c r="N595" t="s">
        <v>29</v>
      </c>
      <c r="O595">
        <v>13.9159238733171</v>
      </c>
      <c r="P595">
        <v>0.223779168569056</v>
      </c>
      <c r="Q595">
        <v>-0.37879980039060601</v>
      </c>
      <c r="R595">
        <v>0.82635813752871801</v>
      </c>
      <c r="S595">
        <v>13.4831025639833</v>
      </c>
      <c r="T595">
        <v>0.78768978921598998</v>
      </c>
      <c r="U595">
        <v>-6.4931363684132597</v>
      </c>
      <c r="V595">
        <v>0.44246667227758701</v>
      </c>
      <c r="W595">
        <v>0.60758767437078398</v>
      </c>
      <c r="X595">
        <v>0</v>
      </c>
      <c r="Y595">
        <v>0</v>
      </c>
    </row>
    <row r="596" spans="1:25" x14ac:dyDescent="0.2">
      <c r="A596" t="s">
        <v>2229</v>
      </c>
      <c r="B596" t="s">
        <v>2230</v>
      </c>
      <c r="C596" t="s">
        <v>14284</v>
      </c>
      <c r="D596" t="s">
        <v>130</v>
      </c>
      <c r="E596" t="s">
        <v>2230</v>
      </c>
      <c r="F596" t="s">
        <v>28</v>
      </c>
      <c r="G596" t="s">
        <v>2230</v>
      </c>
      <c r="H596" t="str">
        <f>"F57C9.4"</f>
        <v>F57C9.4</v>
      </c>
      <c r="I596" t="s">
        <v>130</v>
      </c>
      <c r="J596">
        <v>13.689705160148799</v>
      </c>
      <c r="K596">
        <v>13.031408158847199</v>
      </c>
      <c r="L596">
        <v>12.774712279642999</v>
      </c>
      <c r="M596" t="s">
        <v>29</v>
      </c>
      <c r="N596" t="s">
        <v>29</v>
      </c>
      <c r="O596">
        <v>12.9339854002694</v>
      </c>
      <c r="P596">
        <v>-0.23128979927695101</v>
      </c>
      <c r="Q596">
        <v>-1.14547224206877</v>
      </c>
      <c r="R596">
        <v>0.682892643514871</v>
      </c>
      <c r="S596">
        <v>12.8901283419459</v>
      </c>
      <c r="T596">
        <v>-0.53662775705616095</v>
      </c>
      <c r="U596">
        <v>-6.6628411391938203</v>
      </c>
      <c r="V596">
        <v>0.59895601026746803</v>
      </c>
      <c r="W596">
        <v>0.73241633288723196</v>
      </c>
      <c r="X596">
        <v>0</v>
      </c>
      <c r="Y596">
        <v>0</v>
      </c>
    </row>
    <row r="597" spans="1:25" x14ac:dyDescent="0.2">
      <c r="A597" t="s">
        <v>2231</v>
      </c>
      <c r="B597" t="s">
        <v>2232</v>
      </c>
      <c r="C597" t="s">
        <v>14285</v>
      </c>
      <c r="D597" t="s">
        <v>2233</v>
      </c>
      <c r="E597" t="s">
        <v>2232</v>
      </c>
      <c r="F597" t="s">
        <v>28</v>
      </c>
      <c r="G597" t="s">
        <v>2232</v>
      </c>
      <c r="H597" t="str">
        <f>"F26G5.1"</f>
        <v>F26G5.1</v>
      </c>
      <c r="I597" t="s">
        <v>2233</v>
      </c>
      <c r="J597" t="s">
        <v>29</v>
      </c>
      <c r="K597" t="s">
        <v>29</v>
      </c>
      <c r="L597" t="s">
        <v>29</v>
      </c>
      <c r="M597" t="s">
        <v>29</v>
      </c>
      <c r="N597" t="s">
        <v>29</v>
      </c>
      <c r="O597" t="s">
        <v>29</v>
      </c>
      <c r="P597" t="s">
        <v>29</v>
      </c>
      <c r="Q597" t="s">
        <v>29</v>
      </c>
      <c r="R597" t="s">
        <v>29</v>
      </c>
      <c r="S597">
        <v>12.8273394404097</v>
      </c>
      <c r="T597" t="s">
        <v>29</v>
      </c>
      <c r="U597" t="s">
        <v>29</v>
      </c>
      <c r="V597" t="s">
        <v>29</v>
      </c>
      <c r="W597" t="s">
        <v>29</v>
      </c>
      <c r="X597" t="s">
        <v>29</v>
      </c>
      <c r="Y597" t="s">
        <v>29</v>
      </c>
    </row>
    <row r="598" spans="1:25" x14ac:dyDescent="0.2">
      <c r="A598" t="s">
        <v>2234</v>
      </c>
      <c r="B598" t="s">
        <v>2235</v>
      </c>
      <c r="C598" t="s">
        <v>2236</v>
      </c>
      <c r="D598" t="s">
        <v>2237</v>
      </c>
      <c r="E598" t="s">
        <v>2235</v>
      </c>
      <c r="F598" t="s">
        <v>28</v>
      </c>
      <c r="G598" t="s">
        <v>2235</v>
      </c>
      <c r="H598" t="str">
        <f>"nra-4"</f>
        <v>nra-4</v>
      </c>
      <c r="I598" t="s">
        <v>2237</v>
      </c>
      <c r="J598">
        <v>14.526337281289299</v>
      </c>
      <c r="K598">
        <v>14.779175343021199</v>
      </c>
      <c r="L598">
        <v>14.621498306040801</v>
      </c>
      <c r="M598">
        <v>15.025342825551499</v>
      </c>
      <c r="N598">
        <v>14.583496692026999</v>
      </c>
      <c r="O598">
        <v>14.5596876106718</v>
      </c>
      <c r="P598">
        <v>8.0505399299660496E-2</v>
      </c>
      <c r="Q598">
        <v>-0.31162128898611402</v>
      </c>
      <c r="R598">
        <v>0.47263208758543501</v>
      </c>
      <c r="S598">
        <v>14.469436236345</v>
      </c>
      <c r="T598">
        <v>0.43151025367991103</v>
      </c>
      <c r="U598">
        <v>-7.0590929235381497</v>
      </c>
      <c r="V598">
        <v>0.67125119850188397</v>
      </c>
      <c r="W598">
        <v>0.78298683178223505</v>
      </c>
      <c r="X598">
        <v>0</v>
      </c>
      <c r="Y598">
        <v>0</v>
      </c>
    </row>
    <row r="599" spans="1:25" x14ac:dyDescent="0.2">
      <c r="A599" t="s">
        <v>2238</v>
      </c>
      <c r="B599" t="s">
        <v>2239</v>
      </c>
      <c r="C599" t="s">
        <v>2240</v>
      </c>
      <c r="D599" t="s">
        <v>375</v>
      </c>
      <c r="E599" t="s">
        <v>2239</v>
      </c>
      <c r="F599" t="s">
        <v>28</v>
      </c>
      <c r="G599" t="s">
        <v>2239</v>
      </c>
      <c r="H599" t="str">
        <f>"tmem-24"</f>
        <v>tmem-24</v>
      </c>
      <c r="I599" t="s">
        <v>375</v>
      </c>
      <c r="J599">
        <v>12.4069194045583</v>
      </c>
      <c r="K599">
        <v>12.744186073923601</v>
      </c>
      <c r="L599">
        <v>12.9041312974531</v>
      </c>
      <c r="M599" t="s">
        <v>29</v>
      </c>
      <c r="N599" t="s">
        <v>29</v>
      </c>
      <c r="O599">
        <v>12.768927285105001</v>
      </c>
      <c r="P599">
        <v>8.3848359793261606E-2</v>
      </c>
      <c r="Q599">
        <v>-0.81119609037029305</v>
      </c>
      <c r="R599">
        <v>0.97889280995681605</v>
      </c>
      <c r="S599">
        <v>12.888504270933399</v>
      </c>
      <c r="T599">
        <v>0.19870074587009301</v>
      </c>
      <c r="U599">
        <v>-6.79199237939374</v>
      </c>
      <c r="V599">
        <v>0.84501611940097598</v>
      </c>
      <c r="W599">
        <v>0.90230127736583199</v>
      </c>
      <c r="X599">
        <v>0</v>
      </c>
      <c r="Y599">
        <v>0</v>
      </c>
    </row>
    <row r="600" spans="1:25" x14ac:dyDescent="0.2">
      <c r="A600" t="s">
        <v>2241</v>
      </c>
      <c r="B600" t="s">
        <v>2242</v>
      </c>
      <c r="C600" t="s">
        <v>14286</v>
      </c>
      <c r="D600" t="s">
        <v>2243</v>
      </c>
      <c r="E600" t="s">
        <v>2242</v>
      </c>
      <c r="F600" t="s">
        <v>28</v>
      </c>
      <c r="G600" t="s">
        <v>2242</v>
      </c>
      <c r="H600" t="str">
        <f>"F26F12.3"</f>
        <v>F26F12.3</v>
      </c>
      <c r="I600" t="s">
        <v>2243</v>
      </c>
      <c r="J600" t="s">
        <v>29</v>
      </c>
      <c r="K600" t="s">
        <v>29</v>
      </c>
      <c r="L600" t="s">
        <v>29</v>
      </c>
      <c r="M600" t="s">
        <v>29</v>
      </c>
      <c r="N600" t="s">
        <v>29</v>
      </c>
      <c r="O600" t="s">
        <v>29</v>
      </c>
      <c r="P600" t="s">
        <v>29</v>
      </c>
      <c r="Q600" t="s">
        <v>29</v>
      </c>
      <c r="R600" t="s">
        <v>29</v>
      </c>
      <c r="S600">
        <v>11.377056041876999</v>
      </c>
      <c r="T600" t="s">
        <v>29</v>
      </c>
      <c r="U600" t="s">
        <v>29</v>
      </c>
      <c r="V600" t="s">
        <v>29</v>
      </c>
      <c r="W600" t="s">
        <v>29</v>
      </c>
      <c r="X600" t="s">
        <v>29</v>
      </c>
      <c r="Y600" t="s">
        <v>29</v>
      </c>
    </row>
    <row r="601" spans="1:25" x14ac:dyDescent="0.2">
      <c r="A601" t="s">
        <v>2244</v>
      </c>
      <c r="B601" t="s">
        <v>2245</v>
      </c>
      <c r="C601" t="s">
        <v>2246</v>
      </c>
      <c r="D601" t="s">
        <v>107</v>
      </c>
      <c r="E601" t="s">
        <v>2245</v>
      </c>
      <c r="F601" t="s">
        <v>28</v>
      </c>
      <c r="G601" t="s">
        <v>2245</v>
      </c>
      <c r="H601" t="str">
        <f>"vpat-1"</f>
        <v>vpat-1</v>
      </c>
      <c r="I601" t="s">
        <v>107</v>
      </c>
      <c r="J601">
        <v>11.9478726904851</v>
      </c>
      <c r="K601">
        <v>11.7406518160857</v>
      </c>
      <c r="L601">
        <v>12.731378483223301</v>
      </c>
      <c r="M601" t="s">
        <v>29</v>
      </c>
      <c r="N601" t="s">
        <v>29</v>
      </c>
      <c r="O601" t="s">
        <v>29</v>
      </c>
      <c r="P601" t="s">
        <v>29</v>
      </c>
      <c r="Q601" t="s">
        <v>29</v>
      </c>
      <c r="R601" t="s">
        <v>29</v>
      </c>
      <c r="S601">
        <v>12.6414551121775</v>
      </c>
      <c r="T601" t="s">
        <v>29</v>
      </c>
      <c r="U601" t="s">
        <v>29</v>
      </c>
      <c r="V601" t="s">
        <v>29</v>
      </c>
      <c r="W601" t="s">
        <v>29</v>
      </c>
      <c r="X601" t="s">
        <v>29</v>
      </c>
      <c r="Y601" t="s">
        <v>29</v>
      </c>
    </row>
    <row r="602" spans="1:25" x14ac:dyDescent="0.2">
      <c r="A602" t="s">
        <v>2247</v>
      </c>
      <c r="B602" t="s">
        <v>2248</v>
      </c>
      <c r="C602" t="s">
        <v>2249</v>
      </c>
      <c r="D602" t="s">
        <v>2250</v>
      </c>
      <c r="E602" t="s">
        <v>2248</v>
      </c>
      <c r="F602" t="s">
        <v>28</v>
      </c>
      <c r="G602" t="s">
        <v>2248</v>
      </c>
      <c r="H602" t="str">
        <f>"spat-3"</f>
        <v>spat-3</v>
      </c>
      <c r="I602" t="s">
        <v>2250</v>
      </c>
      <c r="J602">
        <v>11.399466061455</v>
      </c>
      <c r="K602" t="s">
        <v>29</v>
      </c>
      <c r="L602">
        <v>11.8189073564492</v>
      </c>
      <c r="M602" t="s">
        <v>29</v>
      </c>
      <c r="N602" t="s">
        <v>29</v>
      </c>
      <c r="O602" t="s">
        <v>29</v>
      </c>
      <c r="P602" t="s">
        <v>29</v>
      </c>
      <c r="Q602" t="s">
        <v>29</v>
      </c>
      <c r="R602" t="s">
        <v>29</v>
      </c>
      <c r="S602">
        <v>11.734969144600299</v>
      </c>
      <c r="T602" t="s">
        <v>29</v>
      </c>
      <c r="U602" t="s">
        <v>29</v>
      </c>
      <c r="V602" t="s">
        <v>29</v>
      </c>
      <c r="W602" t="s">
        <v>29</v>
      </c>
      <c r="X602" t="s">
        <v>29</v>
      </c>
      <c r="Y602" t="s">
        <v>29</v>
      </c>
    </row>
    <row r="603" spans="1:25" x14ac:dyDescent="0.2">
      <c r="A603" t="s">
        <v>2251</v>
      </c>
      <c r="B603" t="s">
        <v>2252</v>
      </c>
      <c r="C603" t="s">
        <v>2253</v>
      </c>
      <c r="D603" t="s">
        <v>55</v>
      </c>
      <c r="E603" t="s">
        <v>2252</v>
      </c>
      <c r="F603" t="s">
        <v>28</v>
      </c>
      <c r="G603" t="s">
        <v>2252</v>
      </c>
      <c r="H603" t="str">
        <f>"cgef-1"</f>
        <v>cgef-1</v>
      </c>
      <c r="I603" t="s">
        <v>55</v>
      </c>
      <c r="J603">
        <v>11.5312410300383</v>
      </c>
      <c r="K603">
        <v>11.8874988930594</v>
      </c>
      <c r="L603" t="s">
        <v>29</v>
      </c>
      <c r="M603" t="s">
        <v>29</v>
      </c>
      <c r="N603" t="s">
        <v>29</v>
      </c>
      <c r="O603" t="s">
        <v>29</v>
      </c>
      <c r="P603" t="s">
        <v>29</v>
      </c>
      <c r="Q603" t="s">
        <v>29</v>
      </c>
      <c r="R603" t="s">
        <v>29</v>
      </c>
      <c r="S603">
        <v>11.1729782720461</v>
      </c>
      <c r="T603" t="s">
        <v>29</v>
      </c>
      <c r="U603" t="s">
        <v>29</v>
      </c>
      <c r="V603" t="s">
        <v>29</v>
      </c>
      <c r="W603" t="s">
        <v>29</v>
      </c>
      <c r="X603" t="s">
        <v>29</v>
      </c>
      <c r="Y603" t="s">
        <v>29</v>
      </c>
    </row>
    <row r="604" spans="1:25" x14ac:dyDescent="0.2">
      <c r="A604" t="s">
        <v>2254</v>
      </c>
      <c r="B604" t="s">
        <v>2255</v>
      </c>
      <c r="C604" t="s">
        <v>2256</v>
      </c>
      <c r="D604" t="s">
        <v>2257</v>
      </c>
      <c r="E604" t="s">
        <v>2255</v>
      </c>
      <c r="F604" t="s">
        <v>28</v>
      </c>
      <c r="G604" t="s">
        <v>2255</v>
      </c>
      <c r="H604" t="str">
        <f>"mtch-1"</f>
        <v>mtch-1</v>
      </c>
      <c r="I604" t="s">
        <v>2257</v>
      </c>
      <c r="J604">
        <v>11.090524320393801</v>
      </c>
      <c r="K604" t="s">
        <v>29</v>
      </c>
      <c r="L604">
        <v>11.9792469673203</v>
      </c>
      <c r="M604">
        <v>13.725379062992999</v>
      </c>
      <c r="N604" t="s">
        <v>29</v>
      </c>
      <c r="O604">
        <v>12.074011237011099</v>
      </c>
      <c r="P604">
        <v>1.3648095061449601</v>
      </c>
      <c r="Q604">
        <v>-1.52527161005924E-2</v>
      </c>
      <c r="R604">
        <v>2.74487172839051</v>
      </c>
      <c r="S604">
        <v>11.8295703342439</v>
      </c>
      <c r="T604">
        <v>2.1382605108347201</v>
      </c>
      <c r="U604">
        <v>-4.8685397795248999</v>
      </c>
      <c r="V604">
        <v>5.2225181051068797E-2</v>
      </c>
      <c r="W604">
        <v>0.14017086389571901</v>
      </c>
      <c r="X604">
        <v>1</v>
      </c>
      <c r="Y604">
        <v>0</v>
      </c>
    </row>
    <row r="605" spans="1:25" x14ac:dyDescent="0.2">
      <c r="A605" t="s">
        <v>2258</v>
      </c>
      <c r="B605" t="s">
        <v>2259</v>
      </c>
      <c r="C605" t="s">
        <v>2260</v>
      </c>
      <c r="D605" t="s">
        <v>412</v>
      </c>
      <c r="E605" t="s">
        <v>2259</v>
      </c>
      <c r="F605" t="s">
        <v>28</v>
      </c>
      <c r="G605" t="s">
        <v>2259</v>
      </c>
      <c r="H605" t="str">
        <f>"nrde-4"</f>
        <v>nrde-4</v>
      </c>
      <c r="I605" t="s">
        <v>412</v>
      </c>
      <c r="J605">
        <v>13.1067373128906</v>
      </c>
      <c r="K605">
        <v>13.1705867717047</v>
      </c>
      <c r="L605">
        <v>13.081096144529701</v>
      </c>
      <c r="M605" t="s">
        <v>29</v>
      </c>
      <c r="N605" t="s">
        <v>29</v>
      </c>
      <c r="O605">
        <v>12.432184781618901</v>
      </c>
      <c r="P605">
        <v>-0.68728862808942803</v>
      </c>
      <c r="Q605">
        <v>-1.30310514444931</v>
      </c>
      <c r="R605">
        <v>-7.1472111729548898E-2</v>
      </c>
      <c r="S605">
        <v>13.044849445287401</v>
      </c>
      <c r="T605">
        <v>-2.3954092280561299</v>
      </c>
      <c r="U605">
        <v>-4.2745977942271702</v>
      </c>
      <c r="V605">
        <v>3.1260761066494003E-2</v>
      </c>
      <c r="W605">
        <v>9.9273128085083803E-2</v>
      </c>
      <c r="X605">
        <v>0</v>
      </c>
      <c r="Y605">
        <v>0</v>
      </c>
    </row>
    <row r="606" spans="1:25" x14ac:dyDescent="0.2">
      <c r="A606" t="s">
        <v>2261</v>
      </c>
      <c r="B606" t="s">
        <v>2262</v>
      </c>
      <c r="C606" t="s">
        <v>2263</v>
      </c>
      <c r="D606" t="s">
        <v>2264</v>
      </c>
      <c r="E606" t="s">
        <v>2262</v>
      </c>
      <c r="F606" t="s">
        <v>28</v>
      </c>
      <c r="G606" t="s">
        <v>2262</v>
      </c>
      <c r="H606" t="str">
        <f>"C09E8.1"</f>
        <v>C09E8.1</v>
      </c>
      <c r="I606" t="s">
        <v>2264</v>
      </c>
      <c r="J606">
        <v>10.539918489162901</v>
      </c>
      <c r="K606">
        <v>10.006446761058999</v>
      </c>
      <c r="L606">
        <v>11.112854420738699</v>
      </c>
      <c r="M606" t="s">
        <v>29</v>
      </c>
      <c r="N606" t="s">
        <v>29</v>
      </c>
      <c r="O606">
        <v>10.7753865139588</v>
      </c>
      <c r="P606">
        <v>0.22231329030525199</v>
      </c>
      <c r="Q606">
        <v>-0.65195264566521305</v>
      </c>
      <c r="R606">
        <v>1.0965792262757199</v>
      </c>
      <c r="S606">
        <v>11.606492957750699</v>
      </c>
      <c r="T606">
        <v>0.54577515532723797</v>
      </c>
      <c r="U606">
        <v>-6.6566261225908301</v>
      </c>
      <c r="V606">
        <v>0.59387491800555903</v>
      </c>
      <c r="W606">
        <v>0.730141586717723</v>
      </c>
      <c r="X606">
        <v>0</v>
      </c>
      <c r="Y606">
        <v>0</v>
      </c>
    </row>
    <row r="607" spans="1:25" x14ac:dyDescent="0.2">
      <c r="A607" t="s">
        <v>2265</v>
      </c>
      <c r="B607" t="s">
        <v>2266</v>
      </c>
      <c r="C607" t="s">
        <v>2267</v>
      </c>
      <c r="D607" t="s">
        <v>2268</v>
      </c>
      <c r="E607" t="s">
        <v>2266</v>
      </c>
      <c r="F607" t="s">
        <v>28</v>
      </c>
      <c r="G607" t="s">
        <v>2266</v>
      </c>
      <c r="H607" t="str">
        <f>"vps-45"</f>
        <v>vps-45</v>
      </c>
      <c r="I607" t="s">
        <v>2268</v>
      </c>
      <c r="J607">
        <v>12.655692304053201</v>
      </c>
      <c r="K607">
        <v>12.2836201670794</v>
      </c>
      <c r="L607">
        <v>12.6412542336087</v>
      </c>
      <c r="M607" t="s">
        <v>29</v>
      </c>
      <c r="N607">
        <v>12.777443193426301</v>
      </c>
      <c r="O607">
        <v>13.658473739772599</v>
      </c>
      <c r="P607">
        <v>0.69110289835235905</v>
      </c>
      <c r="Q607">
        <v>1.37190965442979E-2</v>
      </c>
      <c r="R607">
        <v>1.36848670016042</v>
      </c>
      <c r="S607">
        <v>12.705694617544999</v>
      </c>
      <c r="T607">
        <v>2.1535646820021399</v>
      </c>
      <c r="U607">
        <v>-4.8934137105123297</v>
      </c>
      <c r="V607">
        <v>4.6013825904961198E-2</v>
      </c>
      <c r="W607">
        <v>0.12826317632419201</v>
      </c>
      <c r="X607">
        <v>0</v>
      </c>
      <c r="Y607">
        <v>0</v>
      </c>
    </row>
    <row r="608" spans="1:25" x14ac:dyDescent="0.2">
      <c r="A608" t="s">
        <v>2269</v>
      </c>
      <c r="B608" t="s">
        <v>2270</v>
      </c>
      <c r="C608" t="s">
        <v>2271</v>
      </c>
      <c r="D608" t="s">
        <v>2272</v>
      </c>
      <c r="E608" t="s">
        <v>2270</v>
      </c>
      <c r="F608" t="s">
        <v>28</v>
      </c>
      <c r="G608" t="s">
        <v>2270</v>
      </c>
      <c r="H608" t="str">
        <f>"acdh-13"</f>
        <v>acdh-13</v>
      </c>
      <c r="I608" t="s">
        <v>2272</v>
      </c>
      <c r="J608">
        <v>15.643580036166</v>
      </c>
      <c r="K608">
        <v>15.777101313323399</v>
      </c>
      <c r="L608">
        <v>15.6939068677829</v>
      </c>
      <c r="M608">
        <v>14.1570184929289</v>
      </c>
      <c r="N608">
        <v>15.3586180017421</v>
      </c>
      <c r="O608">
        <v>15.674174553163899</v>
      </c>
      <c r="P608">
        <v>-0.64159238981245503</v>
      </c>
      <c r="Q608">
        <v>-1.2945240531042801</v>
      </c>
      <c r="R608">
        <v>1.13392734793719E-2</v>
      </c>
      <c r="S608">
        <v>15.9337496489015</v>
      </c>
      <c r="T608">
        <v>-2.0653040054315199</v>
      </c>
      <c r="U608">
        <v>-5.1499444289679204</v>
      </c>
      <c r="V608">
        <v>5.3690429078053603E-2</v>
      </c>
      <c r="W608">
        <v>0.14280297336915501</v>
      </c>
      <c r="X608">
        <v>0</v>
      </c>
      <c r="Y608">
        <v>0</v>
      </c>
    </row>
    <row r="609" spans="1:25" x14ac:dyDescent="0.2">
      <c r="A609" t="s">
        <v>2273</v>
      </c>
      <c r="B609" t="s">
        <v>2274</v>
      </c>
      <c r="C609" t="s">
        <v>2275</v>
      </c>
      <c r="D609" t="s">
        <v>2276</v>
      </c>
      <c r="E609" t="s">
        <v>2274</v>
      </c>
      <c r="F609" t="s">
        <v>28</v>
      </c>
      <c r="G609" t="s">
        <v>2274</v>
      </c>
      <c r="H609" t="str">
        <f>"smk-1"</f>
        <v>smk-1</v>
      </c>
      <c r="I609" t="s">
        <v>2276</v>
      </c>
      <c r="J609">
        <v>9.7086412145530101</v>
      </c>
      <c r="K609" t="s">
        <v>29</v>
      </c>
      <c r="L609" t="s">
        <v>29</v>
      </c>
      <c r="M609" t="s">
        <v>29</v>
      </c>
      <c r="N609" t="s">
        <v>29</v>
      </c>
      <c r="O609">
        <v>11.4949315028153</v>
      </c>
      <c r="P609">
        <v>1.78629028826225</v>
      </c>
      <c r="Q609">
        <v>-0.359506170916434</v>
      </c>
      <c r="R609">
        <v>3.9320867474409402</v>
      </c>
      <c r="S609">
        <v>11.367245694130499</v>
      </c>
      <c r="T609">
        <v>1.7999098646134299</v>
      </c>
      <c r="U609">
        <v>-5.0865542582729999</v>
      </c>
      <c r="V609">
        <v>9.5302693863010907E-2</v>
      </c>
      <c r="W609">
        <v>0.21037980435527601</v>
      </c>
      <c r="X609">
        <v>0</v>
      </c>
      <c r="Y609">
        <v>0</v>
      </c>
    </row>
    <row r="610" spans="1:25" x14ac:dyDescent="0.2">
      <c r="A610" t="s">
        <v>2277</v>
      </c>
      <c r="B610" t="s">
        <v>2278</v>
      </c>
      <c r="C610" t="s">
        <v>2279</v>
      </c>
      <c r="D610" t="s">
        <v>2280</v>
      </c>
      <c r="E610" t="s">
        <v>2278</v>
      </c>
      <c r="F610" t="s">
        <v>28</v>
      </c>
      <c r="G610" t="s">
        <v>2278</v>
      </c>
      <c r="H610" t="str">
        <f>"lntl-1"</f>
        <v>lntl-1</v>
      </c>
      <c r="I610" t="s">
        <v>2280</v>
      </c>
      <c r="J610">
        <v>12.238291826774301</v>
      </c>
      <c r="K610">
        <v>12.660270900519899</v>
      </c>
      <c r="L610">
        <v>12.7706417398157</v>
      </c>
      <c r="M610" t="s">
        <v>29</v>
      </c>
      <c r="N610" t="s">
        <v>29</v>
      </c>
      <c r="O610">
        <v>12.240067518995501</v>
      </c>
      <c r="P610">
        <v>-0.31633397004114799</v>
      </c>
      <c r="Q610">
        <v>-1.3990318665733701</v>
      </c>
      <c r="R610">
        <v>0.76636392649107299</v>
      </c>
      <c r="S610">
        <v>12.9449009419881</v>
      </c>
      <c r="T610">
        <v>-0.61970937841430196</v>
      </c>
      <c r="U610">
        <v>-6.6134457811455496</v>
      </c>
      <c r="V610">
        <v>0.54423109366172795</v>
      </c>
      <c r="W610">
        <v>0.69042422105927403</v>
      </c>
      <c r="X610">
        <v>0</v>
      </c>
      <c r="Y610">
        <v>0</v>
      </c>
    </row>
    <row r="611" spans="1:25" x14ac:dyDescent="0.2">
      <c r="A611" t="s">
        <v>2281</v>
      </c>
      <c r="B611" t="s">
        <v>2282</v>
      </c>
      <c r="C611" t="s">
        <v>2283</v>
      </c>
      <c r="D611" t="s">
        <v>1262</v>
      </c>
      <c r="E611" t="s">
        <v>2282</v>
      </c>
      <c r="F611" t="s">
        <v>28</v>
      </c>
      <c r="G611" t="s">
        <v>2282</v>
      </c>
      <c r="H611" t="str">
        <f>"ncx-2"</f>
        <v>ncx-2</v>
      </c>
      <c r="I611" t="s">
        <v>1262</v>
      </c>
      <c r="J611">
        <v>16.138224426978301</v>
      </c>
      <c r="K611">
        <v>15.8996258677358</v>
      </c>
      <c r="L611">
        <v>15.6848823441664</v>
      </c>
      <c r="M611">
        <v>15.1057453478575</v>
      </c>
      <c r="N611">
        <v>15.1122156114206</v>
      </c>
      <c r="O611">
        <v>15.477654659509099</v>
      </c>
      <c r="P611">
        <v>-0.67570567336447596</v>
      </c>
      <c r="Q611">
        <v>-1.1206279975659701</v>
      </c>
      <c r="R611">
        <v>-0.23078334916297899</v>
      </c>
      <c r="S611">
        <v>15.557222083928201</v>
      </c>
      <c r="T611">
        <v>-3.1920220393368699</v>
      </c>
      <c r="U611">
        <v>-2.9305274423976302</v>
      </c>
      <c r="V611">
        <v>5.0786383113749396E-3</v>
      </c>
      <c r="W611">
        <v>2.8690833456212299E-2</v>
      </c>
      <c r="X611">
        <v>0</v>
      </c>
      <c r="Y611">
        <v>0</v>
      </c>
    </row>
    <row r="612" spans="1:25" x14ac:dyDescent="0.2">
      <c r="A612" t="s">
        <v>2284</v>
      </c>
      <c r="B612" t="s">
        <v>2285</v>
      </c>
      <c r="C612" t="s">
        <v>2286</v>
      </c>
      <c r="D612" t="s">
        <v>2287</v>
      </c>
      <c r="E612" t="s">
        <v>2285</v>
      </c>
      <c r="F612" t="s">
        <v>28</v>
      </c>
      <c r="G612" t="s">
        <v>2285</v>
      </c>
      <c r="H612" t="str">
        <f>"pnk-1"</f>
        <v>pnk-1</v>
      </c>
      <c r="I612" t="s">
        <v>2287</v>
      </c>
      <c r="J612">
        <v>14.307133387941301</v>
      </c>
      <c r="K612">
        <v>14.218428492879999</v>
      </c>
      <c r="L612">
        <v>13.787329641236999</v>
      </c>
      <c r="M612" t="s">
        <v>29</v>
      </c>
      <c r="N612">
        <v>12.4718272123828</v>
      </c>
      <c r="O612">
        <v>13.7307865430157</v>
      </c>
      <c r="P612">
        <v>-1.00299029632017</v>
      </c>
      <c r="Q612">
        <v>-1.60772040062514</v>
      </c>
      <c r="R612">
        <v>-0.39826019201520901</v>
      </c>
      <c r="S612">
        <v>13.325191188448599</v>
      </c>
      <c r="T612">
        <v>-3.5009439322174001</v>
      </c>
      <c r="U612">
        <v>-2.2128505245037098</v>
      </c>
      <c r="V612">
        <v>2.7598041150566498E-3</v>
      </c>
      <c r="W612">
        <v>1.83178890249368E-2</v>
      </c>
      <c r="X612">
        <v>-1</v>
      </c>
      <c r="Y612">
        <v>-1</v>
      </c>
    </row>
    <row r="613" spans="1:25" x14ac:dyDescent="0.2">
      <c r="A613" t="s">
        <v>2288</v>
      </c>
      <c r="B613" t="s">
        <v>2289</v>
      </c>
      <c r="C613" t="s">
        <v>2290</v>
      </c>
      <c r="D613" t="s">
        <v>49</v>
      </c>
      <c r="E613" t="s">
        <v>2289</v>
      </c>
      <c r="F613" t="s">
        <v>28</v>
      </c>
      <c r="G613" t="s">
        <v>2289</v>
      </c>
      <c r="H613" t="str">
        <f>"ugt-26"</f>
        <v>ugt-26</v>
      </c>
      <c r="I613" t="s">
        <v>49</v>
      </c>
      <c r="J613">
        <v>12.818777989554899</v>
      </c>
      <c r="K613">
        <v>12.9809719306713</v>
      </c>
      <c r="L613">
        <v>12.880031957538099</v>
      </c>
      <c r="M613" t="s">
        <v>29</v>
      </c>
      <c r="N613" t="s">
        <v>29</v>
      </c>
      <c r="O613">
        <v>13.3488839894538</v>
      </c>
      <c r="P613">
        <v>0.45562336353239602</v>
      </c>
      <c r="Q613">
        <v>-0.38382731853493102</v>
      </c>
      <c r="R613">
        <v>1.2950740455997201</v>
      </c>
      <c r="S613">
        <v>12.7474851369494</v>
      </c>
      <c r="T613">
        <v>1.1575837066610799</v>
      </c>
      <c r="U613">
        <v>-6.1365429099810704</v>
      </c>
      <c r="V613">
        <v>0.26526009099636599</v>
      </c>
      <c r="W613">
        <v>0.43189032495375201</v>
      </c>
      <c r="X613">
        <v>0</v>
      </c>
      <c r="Y613">
        <v>0</v>
      </c>
    </row>
    <row r="614" spans="1:25" x14ac:dyDescent="0.2">
      <c r="A614" t="s">
        <v>2291</v>
      </c>
      <c r="B614" t="s">
        <v>2292</v>
      </c>
      <c r="C614" t="s">
        <v>2293</v>
      </c>
      <c r="D614" t="s">
        <v>2294</v>
      </c>
      <c r="E614" t="s">
        <v>2292</v>
      </c>
      <c r="F614" t="s">
        <v>28</v>
      </c>
      <c r="G614" t="s">
        <v>2292</v>
      </c>
      <c r="H614" t="str">
        <f>"gyg-1"</f>
        <v>gyg-1</v>
      </c>
      <c r="I614" t="s">
        <v>2294</v>
      </c>
      <c r="J614">
        <v>13.060149478402</v>
      </c>
      <c r="K614">
        <v>13.4321277205252</v>
      </c>
      <c r="L614">
        <v>13.5752175033612</v>
      </c>
      <c r="M614" t="s">
        <v>29</v>
      </c>
      <c r="N614" t="s">
        <v>29</v>
      </c>
      <c r="O614">
        <v>13.478303643016</v>
      </c>
      <c r="P614">
        <v>0.122472075586517</v>
      </c>
      <c r="Q614">
        <v>-0.74070559122728996</v>
      </c>
      <c r="R614">
        <v>0.98564974240032299</v>
      </c>
      <c r="S614">
        <v>13.257854512828301</v>
      </c>
      <c r="T614">
        <v>0.30094450139414403</v>
      </c>
      <c r="U614">
        <v>-6.7652749973438704</v>
      </c>
      <c r="V614">
        <v>0.76735772934256397</v>
      </c>
      <c r="W614">
        <v>0.85143193839327402</v>
      </c>
      <c r="X614">
        <v>0</v>
      </c>
      <c r="Y614">
        <v>0</v>
      </c>
    </row>
    <row r="615" spans="1:25" x14ac:dyDescent="0.2">
      <c r="A615" t="s">
        <v>2295</v>
      </c>
      <c r="B615" t="s">
        <v>2296</v>
      </c>
      <c r="C615" t="s">
        <v>2297</v>
      </c>
      <c r="D615" t="s">
        <v>2298</v>
      </c>
      <c r="E615" t="s">
        <v>2296</v>
      </c>
      <c r="F615" t="s">
        <v>28</v>
      </c>
      <c r="G615" t="s">
        <v>2296</v>
      </c>
      <c r="H615" t="str">
        <f>"vig-1"</f>
        <v>vig-1</v>
      </c>
      <c r="I615" t="s">
        <v>2298</v>
      </c>
      <c r="J615">
        <v>17.061575975628902</v>
      </c>
      <c r="K615">
        <v>17.140281734348601</v>
      </c>
      <c r="L615">
        <v>17.6345106345697</v>
      </c>
      <c r="M615">
        <v>15.8656980041377</v>
      </c>
      <c r="N615">
        <v>15.755757150626801</v>
      </c>
      <c r="O615">
        <v>14.935568351272501</v>
      </c>
      <c r="P615">
        <v>-1.75978161283678</v>
      </c>
      <c r="Q615">
        <v>-2.2979094854961302</v>
      </c>
      <c r="R615">
        <v>-1.2216537401774401</v>
      </c>
      <c r="S615">
        <v>16.879603506161502</v>
      </c>
      <c r="T615">
        <v>-6.8733079381039204</v>
      </c>
      <c r="U615">
        <v>4.9021285736817299</v>
      </c>
      <c r="V615" s="2">
        <v>2.0458771048568701E-6</v>
      </c>
      <c r="W615" s="2">
        <v>8.0389331040175895E-5</v>
      </c>
      <c r="X615">
        <v>-1</v>
      </c>
      <c r="Y615">
        <v>-1</v>
      </c>
    </row>
    <row r="616" spans="1:25" x14ac:dyDescent="0.2">
      <c r="A616" t="s">
        <v>2299</v>
      </c>
      <c r="B616" t="s">
        <v>2300</v>
      </c>
      <c r="C616" t="s">
        <v>2301</v>
      </c>
      <c r="D616" t="s">
        <v>2302</v>
      </c>
      <c r="E616" t="s">
        <v>2300</v>
      </c>
      <c r="F616" t="s">
        <v>28</v>
      </c>
      <c r="G616" t="s">
        <v>2300</v>
      </c>
      <c r="H616" t="str">
        <f>"srr-4"</f>
        <v>srr-4</v>
      </c>
      <c r="I616" t="s">
        <v>2302</v>
      </c>
      <c r="J616">
        <v>14.074095859119801</v>
      </c>
      <c r="K616">
        <v>14.5830046016517</v>
      </c>
      <c r="L616">
        <v>14.6265958708876</v>
      </c>
      <c r="M616">
        <v>14.493053456058201</v>
      </c>
      <c r="N616">
        <v>13.712879666940999</v>
      </c>
      <c r="O616">
        <v>13.918466606276301</v>
      </c>
      <c r="P616">
        <v>-0.38643220079452201</v>
      </c>
      <c r="Q616">
        <v>-0.99030897699867904</v>
      </c>
      <c r="R616">
        <v>0.21744457540963599</v>
      </c>
      <c r="S616">
        <v>14.4875962930162</v>
      </c>
      <c r="T616">
        <v>-1.3449851632246901</v>
      </c>
      <c r="U616">
        <v>-6.2522041459996096</v>
      </c>
      <c r="V616">
        <v>0.19542912030093401</v>
      </c>
      <c r="W616">
        <v>0.35398255533303802</v>
      </c>
      <c r="X616">
        <v>0</v>
      </c>
      <c r="Y616">
        <v>0</v>
      </c>
    </row>
    <row r="617" spans="1:25" x14ac:dyDescent="0.2">
      <c r="A617" t="s">
        <v>2303</v>
      </c>
      <c r="B617" t="s">
        <v>2304</v>
      </c>
      <c r="C617" t="s">
        <v>2305</v>
      </c>
      <c r="D617" t="s">
        <v>2306</v>
      </c>
      <c r="E617" t="s">
        <v>2304</v>
      </c>
      <c r="F617" t="s">
        <v>28</v>
      </c>
      <c r="G617" t="s">
        <v>2304</v>
      </c>
      <c r="H617" t="str">
        <f>"acdh-2"</f>
        <v>acdh-2</v>
      </c>
      <c r="I617" t="s">
        <v>2306</v>
      </c>
      <c r="J617">
        <v>12.970053684633299</v>
      </c>
      <c r="K617">
        <v>12.4990330095214</v>
      </c>
      <c r="L617">
        <v>13.313699398316199</v>
      </c>
      <c r="M617" t="s">
        <v>29</v>
      </c>
      <c r="N617">
        <v>13.8357812215735</v>
      </c>
      <c r="O617">
        <v>13.4310500454348</v>
      </c>
      <c r="P617">
        <v>0.70582026934718201</v>
      </c>
      <c r="Q617">
        <v>7.8345295465910694E-2</v>
      </c>
      <c r="R617">
        <v>1.3332952432284499</v>
      </c>
      <c r="S617">
        <v>12.9539731439748</v>
      </c>
      <c r="T617">
        <v>2.3990501284799901</v>
      </c>
      <c r="U617">
        <v>-4.4717562937091104</v>
      </c>
      <c r="V617">
        <v>2.9982975132021101E-2</v>
      </c>
      <c r="W617">
        <v>9.6673772116046205E-2</v>
      </c>
      <c r="X617">
        <v>0</v>
      </c>
      <c r="Y617">
        <v>0</v>
      </c>
    </row>
    <row r="618" spans="1:25" x14ac:dyDescent="0.2">
      <c r="A618" t="s">
        <v>2307</v>
      </c>
      <c r="B618" t="s">
        <v>2308</v>
      </c>
      <c r="C618" t="s">
        <v>2309</v>
      </c>
      <c r="D618" t="s">
        <v>2310</v>
      </c>
      <c r="E618" t="s">
        <v>2308</v>
      </c>
      <c r="F618" t="s">
        <v>28</v>
      </c>
      <c r="G618" t="s">
        <v>2311</v>
      </c>
      <c r="H618" t="str">
        <f>"npl-4.1"</f>
        <v>npl-4.1</v>
      </c>
      <c r="I618" t="s">
        <v>2312</v>
      </c>
      <c r="J618" t="s">
        <v>29</v>
      </c>
      <c r="K618">
        <v>13.3691043152439</v>
      </c>
      <c r="L618" t="s">
        <v>29</v>
      </c>
      <c r="M618" t="s">
        <v>29</v>
      </c>
      <c r="N618" t="s">
        <v>29</v>
      </c>
      <c r="O618">
        <v>11.4471645494644</v>
      </c>
      <c r="P618">
        <v>-1.9219397657794901</v>
      </c>
      <c r="Q618">
        <v>-3.4345017214273801</v>
      </c>
      <c r="R618">
        <v>-0.40937781013161001</v>
      </c>
      <c r="S618">
        <v>11.3440176152208</v>
      </c>
      <c r="T618">
        <v>-2.8795916467996499</v>
      </c>
      <c r="U618">
        <v>-3.4350197446162598</v>
      </c>
      <c r="V618">
        <v>1.8406108373809699E-2</v>
      </c>
      <c r="W618">
        <v>6.9720824392824204E-2</v>
      </c>
      <c r="X618">
        <v>-1</v>
      </c>
      <c r="Y618">
        <v>0</v>
      </c>
    </row>
    <row r="619" spans="1:25" x14ac:dyDescent="0.2">
      <c r="A619" t="s">
        <v>2313</v>
      </c>
      <c r="B619" t="s">
        <v>2314</v>
      </c>
      <c r="C619" t="s">
        <v>2315</v>
      </c>
      <c r="D619" t="s">
        <v>2316</v>
      </c>
      <c r="E619" t="s">
        <v>2314</v>
      </c>
      <c r="F619" t="s">
        <v>28</v>
      </c>
      <c r="G619" t="s">
        <v>2314</v>
      </c>
      <c r="H619" t="str">
        <f>"ndub-5"</f>
        <v>ndub-5</v>
      </c>
      <c r="I619" t="s">
        <v>2316</v>
      </c>
      <c r="J619">
        <v>12.6929496369874</v>
      </c>
      <c r="K619">
        <v>13.447327813480101</v>
      </c>
      <c r="L619">
        <v>13.0519332073064</v>
      </c>
      <c r="M619" t="s">
        <v>29</v>
      </c>
      <c r="N619">
        <v>13.3439014270151</v>
      </c>
      <c r="O619">
        <v>12.353725220500699</v>
      </c>
      <c r="P619">
        <v>-0.215256895500062</v>
      </c>
      <c r="Q619">
        <v>-1.0019088010437101</v>
      </c>
      <c r="R619">
        <v>0.57139501004358595</v>
      </c>
      <c r="S619">
        <v>12.8220540316544</v>
      </c>
      <c r="T619">
        <v>-0.57759641179120602</v>
      </c>
      <c r="U619">
        <v>-6.8718294026051403</v>
      </c>
      <c r="V619">
        <v>0.57115479152883497</v>
      </c>
      <c r="W619">
        <v>0.71144786302532004</v>
      </c>
      <c r="X619">
        <v>0</v>
      </c>
      <c r="Y619">
        <v>0</v>
      </c>
    </row>
    <row r="620" spans="1:25" x14ac:dyDescent="0.2">
      <c r="A620" t="s">
        <v>2317</v>
      </c>
      <c r="B620" t="s">
        <v>2318</v>
      </c>
      <c r="C620" t="s">
        <v>2319</v>
      </c>
      <c r="D620" t="s">
        <v>2320</v>
      </c>
      <c r="E620" t="s">
        <v>2318</v>
      </c>
      <c r="F620" t="s">
        <v>28</v>
      </c>
      <c r="G620" t="s">
        <v>2318</v>
      </c>
      <c r="H620" t="str">
        <f>"C18B2.5"</f>
        <v>C18B2.5</v>
      </c>
      <c r="I620" t="s">
        <v>2320</v>
      </c>
      <c r="J620">
        <v>12.6999984593633</v>
      </c>
      <c r="K620">
        <v>12.5652425917134</v>
      </c>
      <c r="L620">
        <v>12.4774946288408</v>
      </c>
      <c r="M620">
        <v>10.114199242455101</v>
      </c>
      <c r="N620" t="s">
        <v>29</v>
      </c>
      <c r="O620">
        <v>11.941508455068099</v>
      </c>
      <c r="P620">
        <v>-1.55305804454416</v>
      </c>
      <c r="Q620">
        <v>-2.3965059279701402</v>
      </c>
      <c r="R620">
        <v>-0.70961016111817299</v>
      </c>
      <c r="S620">
        <v>12.007654613025499</v>
      </c>
      <c r="T620">
        <v>-3.8866859277605199</v>
      </c>
      <c r="U620">
        <v>-1.3895032135155301</v>
      </c>
      <c r="V620">
        <v>1.19748895848513E-3</v>
      </c>
      <c r="W620">
        <v>1.03794116489873E-2</v>
      </c>
      <c r="X620">
        <v>-1</v>
      </c>
      <c r="Y620">
        <v>-1</v>
      </c>
    </row>
    <row r="621" spans="1:25" x14ac:dyDescent="0.2">
      <c r="A621" t="s">
        <v>2321</v>
      </c>
      <c r="B621" t="s">
        <v>2322</v>
      </c>
      <c r="C621" t="s">
        <v>14287</v>
      </c>
      <c r="D621" t="s">
        <v>2323</v>
      </c>
      <c r="E621" t="s">
        <v>2322</v>
      </c>
      <c r="F621" t="s">
        <v>28</v>
      </c>
      <c r="G621" t="s">
        <v>2322</v>
      </c>
      <c r="H621" t="str">
        <f>"F25E5.8"</f>
        <v>F25E5.8</v>
      </c>
      <c r="I621" t="s">
        <v>2323</v>
      </c>
      <c r="J621" t="s">
        <v>29</v>
      </c>
      <c r="K621" t="s">
        <v>29</v>
      </c>
      <c r="L621" t="s">
        <v>29</v>
      </c>
      <c r="M621" t="s">
        <v>29</v>
      </c>
      <c r="N621" t="s">
        <v>29</v>
      </c>
      <c r="O621">
        <v>12.834319070730601</v>
      </c>
      <c r="P621" t="s">
        <v>29</v>
      </c>
      <c r="Q621" t="s">
        <v>29</v>
      </c>
      <c r="R621" t="s">
        <v>29</v>
      </c>
      <c r="S621">
        <v>11.3506322019935</v>
      </c>
      <c r="T621" t="s">
        <v>29</v>
      </c>
      <c r="U621" t="s">
        <v>29</v>
      </c>
      <c r="V621" t="s">
        <v>29</v>
      </c>
      <c r="W621" t="s">
        <v>29</v>
      </c>
      <c r="X621" t="s">
        <v>29</v>
      </c>
      <c r="Y621" t="s">
        <v>29</v>
      </c>
    </row>
    <row r="622" spans="1:25" x14ac:dyDescent="0.2">
      <c r="A622" t="s">
        <v>2324</v>
      </c>
      <c r="B622" t="s">
        <v>2325</v>
      </c>
      <c r="C622" t="s">
        <v>2326</v>
      </c>
      <c r="D622" t="s">
        <v>2327</v>
      </c>
      <c r="E622" t="s">
        <v>2325</v>
      </c>
      <c r="F622" t="s">
        <v>28</v>
      </c>
      <c r="G622" t="s">
        <v>2325</v>
      </c>
      <c r="H622" t="str">
        <f>"coel-1"</f>
        <v>coel-1</v>
      </c>
      <c r="I622" t="s">
        <v>2327</v>
      </c>
      <c r="J622">
        <v>12.7008024378291</v>
      </c>
      <c r="K622">
        <v>12.8139823967044</v>
      </c>
      <c r="L622">
        <v>12.4957051834004</v>
      </c>
      <c r="M622" t="s">
        <v>29</v>
      </c>
      <c r="N622">
        <v>14.183933321138101</v>
      </c>
      <c r="O622">
        <v>14.454332118493801</v>
      </c>
      <c r="P622">
        <v>1.6489693805046599</v>
      </c>
      <c r="Q622">
        <v>1.0998800944968901</v>
      </c>
      <c r="R622">
        <v>2.1980586665124302</v>
      </c>
      <c r="S622">
        <v>13.645953801030799</v>
      </c>
      <c r="T622">
        <v>6.3389836966441102</v>
      </c>
      <c r="U622">
        <v>3.69022161019394</v>
      </c>
      <c r="V622" s="2">
        <v>7.6270072520325401E-6</v>
      </c>
      <c r="W622">
        <v>2.27758964562204E-4</v>
      </c>
      <c r="X622">
        <v>1</v>
      </c>
      <c r="Y622">
        <v>1</v>
      </c>
    </row>
    <row r="623" spans="1:25" x14ac:dyDescent="0.2">
      <c r="A623" t="s">
        <v>2328</v>
      </c>
      <c r="B623" t="s">
        <v>2329</v>
      </c>
      <c r="C623" t="s">
        <v>2330</v>
      </c>
      <c r="D623" t="s">
        <v>2110</v>
      </c>
      <c r="E623" t="s">
        <v>2329</v>
      </c>
      <c r="F623" t="s">
        <v>28</v>
      </c>
      <c r="G623" t="s">
        <v>2329</v>
      </c>
      <c r="H623" t="str">
        <f>"frm-4"</f>
        <v>frm-4</v>
      </c>
      <c r="I623" t="s">
        <v>2110</v>
      </c>
      <c r="J623">
        <v>14.40201398858</v>
      </c>
      <c r="K623">
        <v>14.549888840563099</v>
      </c>
      <c r="L623">
        <v>13.893359466934999</v>
      </c>
      <c r="M623">
        <v>15.8075282611135</v>
      </c>
      <c r="N623">
        <v>15.7286319693567</v>
      </c>
      <c r="O623">
        <v>16.397583160524199</v>
      </c>
      <c r="P623">
        <v>1.69616036497213</v>
      </c>
      <c r="Q623">
        <v>1.1146022926403101</v>
      </c>
      <c r="R623">
        <v>2.2777184373039598</v>
      </c>
      <c r="S623">
        <v>14.6578710628756</v>
      </c>
      <c r="T623">
        <v>6.13008272636017</v>
      </c>
      <c r="U623">
        <v>3.41481943077968</v>
      </c>
      <c r="V623" s="2">
        <v>8.86830778453288E-6</v>
      </c>
      <c r="W623">
        <v>2.51297144625177E-4</v>
      </c>
      <c r="X623">
        <v>1</v>
      </c>
      <c r="Y623">
        <v>1</v>
      </c>
    </row>
    <row r="624" spans="1:25" x14ac:dyDescent="0.2">
      <c r="A624" t="s">
        <v>2331</v>
      </c>
      <c r="B624" t="s">
        <v>2332</v>
      </c>
      <c r="C624" t="s">
        <v>2333</v>
      </c>
      <c r="D624" t="s">
        <v>2334</v>
      </c>
      <c r="E624" t="s">
        <v>2332</v>
      </c>
      <c r="F624" t="s">
        <v>28</v>
      </c>
      <c r="G624" t="s">
        <v>2332</v>
      </c>
      <c r="H624" t="str">
        <f>"clec-266"</f>
        <v>clec-266</v>
      </c>
      <c r="I624" t="s">
        <v>2334</v>
      </c>
      <c r="J624">
        <v>13.110552609749201</v>
      </c>
      <c r="K624">
        <v>13.2048790030688</v>
      </c>
      <c r="L624">
        <v>13.0762438086433</v>
      </c>
      <c r="M624" t="s">
        <v>29</v>
      </c>
      <c r="N624">
        <v>12.6424105926479</v>
      </c>
      <c r="O624">
        <v>13.3372344955462</v>
      </c>
      <c r="P624">
        <v>-0.14073592972340199</v>
      </c>
      <c r="Q624">
        <v>-0.78293838407168104</v>
      </c>
      <c r="R624">
        <v>0.50146652462487795</v>
      </c>
      <c r="S624">
        <v>13.2091057161027</v>
      </c>
      <c r="T624">
        <v>-0.46257593850467699</v>
      </c>
      <c r="U624">
        <v>-6.9337090502575496</v>
      </c>
      <c r="V624">
        <v>0.64957020587878</v>
      </c>
      <c r="W624">
        <v>0.76670814276018995</v>
      </c>
      <c r="X624">
        <v>0</v>
      </c>
      <c r="Y624">
        <v>0</v>
      </c>
    </row>
    <row r="625" spans="1:25" x14ac:dyDescent="0.2">
      <c r="A625" t="s">
        <v>2335</v>
      </c>
      <c r="B625" t="s">
        <v>2336</v>
      </c>
      <c r="C625" t="s">
        <v>2337</v>
      </c>
      <c r="D625" t="s">
        <v>2338</v>
      </c>
      <c r="E625" t="s">
        <v>2336</v>
      </c>
      <c r="F625" t="s">
        <v>28</v>
      </c>
      <c r="G625" t="s">
        <v>2336</v>
      </c>
      <c r="H625" t="str">
        <f>"hpo-10"</f>
        <v>hpo-10</v>
      </c>
      <c r="I625" t="s">
        <v>2338</v>
      </c>
      <c r="J625">
        <v>12.952414592453399</v>
      </c>
      <c r="K625">
        <v>13.132901333393599</v>
      </c>
      <c r="L625">
        <v>13.3609969155571</v>
      </c>
      <c r="M625">
        <v>12.616195511158899</v>
      </c>
      <c r="N625">
        <v>13.3640871196075</v>
      </c>
      <c r="O625">
        <v>13.033523784813999</v>
      </c>
      <c r="P625">
        <v>-0.144168808607885</v>
      </c>
      <c r="Q625">
        <v>-0.62493097941346099</v>
      </c>
      <c r="R625">
        <v>0.33659336219768998</v>
      </c>
      <c r="S625">
        <v>13.318735575961799</v>
      </c>
      <c r="T625">
        <v>-0.63028001281526802</v>
      </c>
      <c r="U625">
        <v>-6.9501203850347499</v>
      </c>
      <c r="V625">
        <v>0.53647764679816201</v>
      </c>
      <c r="W625">
        <v>0.68480983489328395</v>
      </c>
      <c r="X625">
        <v>0</v>
      </c>
      <c r="Y625">
        <v>0</v>
      </c>
    </row>
    <row r="626" spans="1:25" x14ac:dyDescent="0.2">
      <c r="A626" t="s">
        <v>2339</v>
      </c>
      <c r="B626" t="s">
        <v>2340</v>
      </c>
      <c r="C626" t="s">
        <v>14288</v>
      </c>
      <c r="D626" t="s">
        <v>2341</v>
      </c>
      <c r="E626" t="s">
        <v>2340</v>
      </c>
      <c r="F626" t="s">
        <v>28</v>
      </c>
      <c r="G626" t="s">
        <v>2340</v>
      </c>
      <c r="H626" t="str">
        <f>"Y110A7A.15"</f>
        <v>Y110A7A.15</v>
      </c>
      <c r="I626" t="s">
        <v>2341</v>
      </c>
      <c r="J626">
        <v>13.496841647163899</v>
      </c>
      <c r="K626">
        <v>12.9803934625712</v>
      </c>
      <c r="L626">
        <v>13.678939549862299</v>
      </c>
      <c r="M626" t="s">
        <v>29</v>
      </c>
      <c r="N626">
        <v>13.594252076185599</v>
      </c>
      <c r="O626">
        <v>13.208564403480199</v>
      </c>
      <c r="P626">
        <v>1.6016686633708602E-2</v>
      </c>
      <c r="Q626">
        <v>-0.46862689162943799</v>
      </c>
      <c r="R626">
        <v>0.500660264896855</v>
      </c>
      <c r="S626">
        <v>14.020101769002901</v>
      </c>
      <c r="T626">
        <v>6.9758997268476494E-2</v>
      </c>
      <c r="U626">
        <v>-7.0429173711211703</v>
      </c>
      <c r="V626">
        <v>0.94520451785235604</v>
      </c>
      <c r="W626">
        <v>0.96820219468574698</v>
      </c>
      <c r="X626">
        <v>0</v>
      </c>
      <c r="Y626">
        <v>0</v>
      </c>
    </row>
    <row r="627" spans="1:25" x14ac:dyDescent="0.2">
      <c r="A627" t="s">
        <v>2342</v>
      </c>
      <c r="B627" t="s">
        <v>2343</v>
      </c>
      <c r="C627" t="s">
        <v>2344</v>
      </c>
      <c r="D627" t="s">
        <v>2345</v>
      </c>
      <c r="E627" t="s">
        <v>2343</v>
      </c>
      <c r="F627" t="s">
        <v>28</v>
      </c>
      <c r="G627" t="s">
        <v>2343</v>
      </c>
      <c r="H627" t="str">
        <f>"mrpl-14"</f>
        <v>mrpl-14</v>
      </c>
      <c r="I627" t="s">
        <v>2345</v>
      </c>
      <c r="J627">
        <v>12.663672413904999</v>
      </c>
      <c r="K627">
        <v>13.541136499829999</v>
      </c>
      <c r="L627" t="s">
        <v>29</v>
      </c>
      <c r="M627" t="s">
        <v>29</v>
      </c>
      <c r="N627" t="s">
        <v>29</v>
      </c>
      <c r="O627" t="s">
        <v>29</v>
      </c>
      <c r="P627" t="s">
        <v>29</v>
      </c>
      <c r="Q627" t="s">
        <v>29</v>
      </c>
      <c r="R627" t="s">
        <v>29</v>
      </c>
      <c r="S627">
        <v>12.384155898546799</v>
      </c>
      <c r="T627" t="s">
        <v>29</v>
      </c>
      <c r="U627" t="s">
        <v>29</v>
      </c>
      <c r="V627" t="s">
        <v>29</v>
      </c>
      <c r="W627" t="s">
        <v>29</v>
      </c>
      <c r="X627" t="s">
        <v>29</v>
      </c>
      <c r="Y627" t="s">
        <v>29</v>
      </c>
    </row>
    <row r="628" spans="1:25" x14ac:dyDescent="0.2">
      <c r="A628" t="s">
        <v>2346</v>
      </c>
      <c r="B628" t="s">
        <v>2347</v>
      </c>
      <c r="C628" t="s">
        <v>2348</v>
      </c>
      <c r="D628" t="s">
        <v>561</v>
      </c>
      <c r="E628" t="s">
        <v>2347</v>
      </c>
      <c r="F628" t="s">
        <v>28</v>
      </c>
      <c r="G628" t="s">
        <v>2347</v>
      </c>
      <c r="H628" t="str">
        <f>"skpo-3"</f>
        <v>skpo-3</v>
      </c>
      <c r="I628" t="s">
        <v>561</v>
      </c>
      <c r="J628">
        <v>15.1045297617614</v>
      </c>
      <c r="K628">
        <v>15.2516126426104</v>
      </c>
      <c r="L628">
        <v>15.671579448299299</v>
      </c>
      <c r="M628">
        <v>14.9365902918204</v>
      </c>
      <c r="N628">
        <v>14.9203543049201</v>
      </c>
      <c r="O628">
        <v>14.5205846814446</v>
      </c>
      <c r="P628">
        <v>-0.55006419149533803</v>
      </c>
      <c r="Q628">
        <v>-0.90880392196033699</v>
      </c>
      <c r="R628">
        <v>-0.19132446103033801</v>
      </c>
      <c r="S628">
        <v>15.451466664158801</v>
      </c>
      <c r="T628">
        <v>-3.2227484595070002</v>
      </c>
      <c r="U628">
        <v>-2.86507151749128</v>
      </c>
      <c r="V628">
        <v>4.7475145593699197E-3</v>
      </c>
      <c r="W628">
        <v>2.74331870714964E-2</v>
      </c>
      <c r="X628">
        <v>0</v>
      </c>
      <c r="Y628">
        <v>0</v>
      </c>
    </row>
    <row r="629" spans="1:25" x14ac:dyDescent="0.2">
      <c r="A629" t="s">
        <v>2349</v>
      </c>
      <c r="B629" t="s">
        <v>2350</v>
      </c>
      <c r="C629" t="s">
        <v>2351</v>
      </c>
      <c r="D629" t="s">
        <v>130</v>
      </c>
      <c r="E629" t="s">
        <v>2350</v>
      </c>
      <c r="F629" t="s">
        <v>28</v>
      </c>
      <c r="G629" t="s">
        <v>2350</v>
      </c>
      <c r="H629" t="str">
        <f>"pqn-21"</f>
        <v>pqn-21</v>
      </c>
      <c r="I629" t="s">
        <v>130</v>
      </c>
      <c r="J629" t="s">
        <v>29</v>
      </c>
      <c r="K629">
        <v>10.161008457720801</v>
      </c>
      <c r="L629" t="s">
        <v>29</v>
      </c>
      <c r="M629" t="s">
        <v>29</v>
      </c>
      <c r="N629" t="s">
        <v>29</v>
      </c>
      <c r="O629" t="s">
        <v>29</v>
      </c>
      <c r="P629" t="s">
        <v>29</v>
      </c>
      <c r="Q629" t="s">
        <v>29</v>
      </c>
      <c r="R629" t="s">
        <v>29</v>
      </c>
      <c r="S629">
        <v>10.6706910384236</v>
      </c>
      <c r="T629" t="s">
        <v>29</v>
      </c>
      <c r="U629" t="s">
        <v>29</v>
      </c>
      <c r="V629" t="s">
        <v>29</v>
      </c>
      <c r="W629" t="s">
        <v>29</v>
      </c>
      <c r="X629" t="s">
        <v>29</v>
      </c>
      <c r="Y629" t="s">
        <v>29</v>
      </c>
    </row>
    <row r="630" spans="1:25" x14ac:dyDescent="0.2">
      <c r="A630" t="s">
        <v>2352</v>
      </c>
      <c r="B630" t="s">
        <v>2353</v>
      </c>
      <c r="C630" t="s">
        <v>2354</v>
      </c>
      <c r="D630" t="s">
        <v>2355</v>
      </c>
      <c r="E630" t="s">
        <v>2353</v>
      </c>
      <c r="F630" t="s">
        <v>28</v>
      </c>
      <c r="G630" t="s">
        <v>2353</v>
      </c>
      <c r="H630" t="str">
        <f>"C37C3.1"</f>
        <v>C37C3.1</v>
      </c>
      <c r="I630" t="s">
        <v>2355</v>
      </c>
      <c r="J630">
        <v>12.160847780781101</v>
      </c>
      <c r="K630" t="s">
        <v>29</v>
      </c>
      <c r="L630">
        <v>12.4904324122421</v>
      </c>
      <c r="M630" t="s">
        <v>29</v>
      </c>
      <c r="N630" t="s">
        <v>29</v>
      </c>
      <c r="O630" t="s">
        <v>29</v>
      </c>
      <c r="P630" t="s">
        <v>29</v>
      </c>
      <c r="Q630" t="s">
        <v>29</v>
      </c>
      <c r="R630" t="s">
        <v>29</v>
      </c>
      <c r="S630">
        <v>12.8701609701421</v>
      </c>
      <c r="T630" t="s">
        <v>29</v>
      </c>
      <c r="U630" t="s">
        <v>29</v>
      </c>
      <c r="V630" t="s">
        <v>29</v>
      </c>
      <c r="W630" t="s">
        <v>29</v>
      </c>
      <c r="X630" t="s">
        <v>29</v>
      </c>
      <c r="Y630" t="s">
        <v>29</v>
      </c>
    </row>
    <row r="631" spans="1:25" x14ac:dyDescent="0.2">
      <c r="A631" t="s">
        <v>2356</v>
      </c>
      <c r="B631" t="s">
        <v>2357</v>
      </c>
      <c r="C631" t="s">
        <v>2358</v>
      </c>
      <c r="D631" t="s">
        <v>2359</v>
      </c>
      <c r="E631" t="s">
        <v>2357</v>
      </c>
      <c r="F631" t="s">
        <v>28</v>
      </c>
      <c r="G631" t="s">
        <v>2357</v>
      </c>
      <c r="H631" t="str">
        <f>"nhr-88"</f>
        <v>nhr-88</v>
      </c>
      <c r="I631" t="s">
        <v>2359</v>
      </c>
      <c r="J631">
        <v>10.377973012733699</v>
      </c>
      <c r="K631">
        <v>10.1794519847922</v>
      </c>
      <c r="L631" t="s">
        <v>29</v>
      </c>
      <c r="M631" t="s">
        <v>29</v>
      </c>
      <c r="N631" t="s">
        <v>29</v>
      </c>
      <c r="O631" t="s">
        <v>29</v>
      </c>
      <c r="P631" t="s">
        <v>29</v>
      </c>
      <c r="Q631" t="s">
        <v>29</v>
      </c>
      <c r="R631" t="s">
        <v>29</v>
      </c>
      <c r="S631">
        <v>11.6974311126563</v>
      </c>
      <c r="T631" t="s">
        <v>29</v>
      </c>
      <c r="U631" t="s">
        <v>29</v>
      </c>
      <c r="V631" t="s">
        <v>29</v>
      </c>
      <c r="W631" t="s">
        <v>29</v>
      </c>
      <c r="X631" t="s">
        <v>29</v>
      </c>
      <c r="Y631" t="s">
        <v>29</v>
      </c>
    </row>
    <row r="632" spans="1:25" x14ac:dyDescent="0.2">
      <c r="A632" t="s">
        <v>2360</v>
      </c>
      <c r="B632" t="s">
        <v>2361</v>
      </c>
      <c r="C632" t="s">
        <v>14289</v>
      </c>
      <c r="D632" t="s">
        <v>2362</v>
      </c>
      <c r="E632" t="s">
        <v>2361</v>
      </c>
      <c r="F632" t="s">
        <v>28</v>
      </c>
      <c r="G632" t="s">
        <v>2361</v>
      </c>
      <c r="H632" t="str">
        <f>"F38A5.2"</f>
        <v>F38A5.2</v>
      </c>
      <c r="I632" t="s">
        <v>2362</v>
      </c>
      <c r="J632">
        <v>13.6998140169152</v>
      </c>
      <c r="K632">
        <v>13.6951252486238</v>
      </c>
      <c r="L632">
        <v>13.6375887771138</v>
      </c>
      <c r="M632">
        <v>14.942875325533601</v>
      </c>
      <c r="N632">
        <v>13.7996705177913</v>
      </c>
      <c r="O632">
        <v>13.983037399815601</v>
      </c>
      <c r="P632">
        <v>0.56435173349592405</v>
      </c>
      <c r="Q632">
        <v>3.1024842983824501E-2</v>
      </c>
      <c r="R632">
        <v>1.0976786240080201</v>
      </c>
      <c r="S632">
        <v>13.760071023336801</v>
      </c>
      <c r="T632">
        <v>2.2240722686566299</v>
      </c>
      <c r="U632">
        <v>-4.8661238518050602</v>
      </c>
      <c r="V632">
        <v>3.92593510995679E-2</v>
      </c>
      <c r="W632">
        <v>0.116748040050884</v>
      </c>
      <c r="X632">
        <v>0</v>
      </c>
      <c r="Y632">
        <v>0</v>
      </c>
    </row>
    <row r="633" spans="1:25" x14ac:dyDescent="0.2">
      <c r="A633" t="s">
        <v>2363</v>
      </c>
      <c r="B633" t="s">
        <v>2364</v>
      </c>
      <c r="C633" t="s">
        <v>2365</v>
      </c>
      <c r="D633" t="s">
        <v>2366</v>
      </c>
      <c r="E633" t="s">
        <v>2364</v>
      </c>
      <c r="F633" t="s">
        <v>28</v>
      </c>
      <c r="G633" t="s">
        <v>2364</v>
      </c>
      <c r="H633" t="str">
        <f>"pqn-22"</f>
        <v>pqn-22</v>
      </c>
      <c r="I633" t="s">
        <v>2366</v>
      </c>
      <c r="J633">
        <v>13.8463715427072</v>
      </c>
      <c r="K633">
        <v>13.8707202066033</v>
      </c>
      <c r="L633">
        <v>15.162493003378</v>
      </c>
      <c r="M633">
        <v>14.507544793624501</v>
      </c>
      <c r="N633">
        <v>14.9684378411173</v>
      </c>
      <c r="O633">
        <v>14.645973204725699</v>
      </c>
      <c r="P633">
        <v>0.41412369559298801</v>
      </c>
      <c r="Q633">
        <v>-0.87204306023196998</v>
      </c>
      <c r="R633">
        <v>1.70029045141794</v>
      </c>
      <c r="S633">
        <v>14.739304274841301</v>
      </c>
      <c r="T633">
        <v>0.67674540261847005</v>
      </c>
      <c r="U633">
        <v>-6.91899716750848</v>
      </c>
      <c r="V633">
        <v>0.50722172872674298</v>
      </c>
      <c r="W633">
        <v>0.65994809472746696</v>
      </c>
      <c r="X633">
        <v>0</v>
      </c>
      <c r="Y633">
        <v>0</v>
      </c>
    </row>
    <row r="634" spans="1:25" x14ac:dyDescent="0.2">
      <c r="A634" t="s">
        <v>2367</v>
      </c>
      <c r="B634" t="s">
        <v>2368</v>
      </c>
      <c r="C634" t="s">
        <v>14290</v>
      </c>
      <c r="D634" t="s">
        <v>2369</v>
      </c>
      <c r="E634" t="s">
        <v>2368</v>
      </c>
      <c r="F634" t="s">
        <v>28</v>
      </c>
      <c r="G634" t="s">
        <v>2368</v>
      </c>
      <c r="H634" t="str">
        <f>"R148.5"</f>
        <v>R148.5</v>
      </c>
      <c r="I634" t="s">
        <v>2369</v>
      </c>
      <c r="J634">
        <v>17.003464928130398</v>
      </c>
      <c r="K634">
        <v>17.148023185239602</v>
      </c>
      <c r="L634">
        <v>17.136040885563201</v>
      </c>
      <c r="M634">
        <v>18.770722446500301</v>
      </c>
      <c r="N634">
        <v>17.824295589680901</v>
      </c>
      <c r="O634">
        <v>16.201423464486901</v>
      </c>
      <c r="P634">
        <v>0.50297083391165698</v>
      </c>
      <c r="Q634">
        <v>-0.36661557677498302</v>
      </c>
      <c r="R634">
        <v>1.3725572445983001</v>
      </c>
      <c r="S634">
        <v>17.071155998297801</v>
      </c>
      <c r="T634">
        <v>1.2156892348541599</v>
      </c>
      <c r="U634">
        <v>-6.4112571867006798</v>
      </c>
      <c r="V634">
        <v>0.239898256540682</v>
      </c>
      <c r="W634">
        <v>0.405146224656383</v>
      </c>
      <c r="X634">
        <v>0</v>
      </c>
      <c r="Y634">
        <v>0</v>
      </c>
    </row>
    <row r="635" spans="1:25" x14ac:dyDescent="0.2">
      <c r="A635" t="s">
        <v>2370</v>
      </c>
      <c r="B635" t="s">
        <v>2371</v>
      </c>
      <c r="C635" t="s">
        <v>14291</v>
      </c>
      <c r="D635" t="s">
        <v>2372</v>
      </c>
      <c r="E635" t="s">
        <v>2371</v>
      </c>
      <c r="F635" t="s">
        <v>28</v>
      </c>
      <c r="G635" t="s">
        <v>2371</v>
      </c>
      <c r="H635" t="str">
        <f>"M01B12.4"</f>
        <v>M01B12.4</v>
      </c>
      <c r="I635" t="s">
        <v>2372</v>
      </c>
      <c r="J635">
        <v>12.0793676140041</v>
      </c>
      <c r="K635">
        <v>11.397912145151899</v>
      </c>
      <c r="L635">
        <v>12.9046583509969</v>
      </c>
      <c r="M635" t="s">
        <v>29</v>
      </c>
      <c r="N635" t="s">
        <v>29</v>
      </c>
      <c r="O635" t="s">
        <v>29</v>
      </c>
      <c r="P635" t="s">
        <v>29</v>
      </c>
      <c r="Q635" t="s">
        <v>29</v>
      </c>
      <c r="R635" t="s">
        <v>29</v>
      </c>
      <c r="S635">
        <v>12.645193911865499</v>
      </c>
      <c r="T635" t="s">
        <v>29</v>
      </c>
      <c r="U635" t="s">
        <v>29</v>
      </c>
      <c r="V635" t="s">
        <v>29</v>
      </c>
      <c r="W635" t="s">
        <v>29</v>
      </c>
      <c r="X635" t="s">
        <v>29</v>
      </c>
      <c r="Y635" t="s">
        <v>29</v>
      </c>
    </row>
    <row r="636" spans="1:25" x14ac:dyDescent="0.2">
      <c r="A636" t="s">
        <v>2373</v>
      </c>
      <c r="B636" t="s">
        <v>2374</v>
      </c>
      <c r="C636" t="s">
        <v>14292</v>
      </c>
      <c r="D636" t="s">
        <v>297</v>
      </c>
      <c r="E636" t="s">
        <v>2374</v>
      </c>
      <c r="F636" t="s">
        <v>28</v>
      </c>
      <c r="G636" t="s">
        <v>2374</v>
      </c>
      <c r="H636" t="str">
        <f>"R07E4.1"</f>
        <v>R07E4.1</v>
      </c>
      <c r="I636" t="s">
        <v>297</v>
      </c>
      <c r="J636">
        <v>11.9125864395116</v>
      </c>
      <c r="K636">
        <v>11.5822206911353</v>
      </c>
      <c r="L636">
        <v>11.613815743872101</v>
      </c>
      <c r="M636" t="s">
        <v>29</v>
      </c>
      <c r="N636">
        <v>12.811897371390399</v>
      </c>
      <c r="O636" t="s">
        <v>29</v>
      </c>
      <c r="P636">
        <v>1.1090230798840801</v>
      </c>
      <c r="Q636">
        <v>0.30946495385543799</v>
      </c>
      <c r="R636">
        <v>1.9085812059127101</v>
      </c>
      <c r="S636">
        <v>12.1789813760281</v>
      </c>
      <c r="T636">
        <v>2.95823144223582</v>
      </c>
      <c r="U636">
        <v>-3.1947248006046101</v>
      </c>
      <c r="V636">
        <v>9.8277554015368702E-3</v>
      </c>
      <c r="W636">
        <v>4.5183143788345002E-2</v>
      </c>
      <c r="X636">
        <v>1</v>
      </c>
      <c r="Y636">
        <v>1</v>
      </c>
    </row>
    <row r="637" spans="1:25" x14ac:dyDescent="0.2">
      <c r="A637" t="s">
        <v>2375</v>
      </c>
      <c r="B637" t="s">
        <v>2376</v>
      </c>
      <c r="C637" t="s">
        <v>2377</v>
      </c>
      <c r="D637" t="s">
        <v>2378</v>
      </c>
      <c r="E637" t="s">
        <v>2376</v>
      </c>
      <c r="F637" t="s">
        <v>28</v>
      </c>
      <c r="G637" t="s">
        <v>2376</v>
      </c>
      <c r="H637" t="str">
        <f>"kcc-2"</f>
        <v>kcc-2</v>
      </c>
      <c r="I637" t="s">
        <v>2378</v>
      </c>
      <c r="J637">
        <v>13.750620947115999</v>
      </c>
      <c r="K637">
        <v>12.690656023196899</v>
      </c>
      <c r="L637">
        <v>12.3835710551138</v>
      </c>
      <c r="M637" t="s">
        <v>29</v>
      </c>
      <c r="N637" t="s">
        <v>29</v>
      </c>
      <c r="O637">
        <v>13.195607215201401</v>
      </c>
      <c r="P637">
        <v>0.25399120672582098</v>
      </c>
      <c r="Q637">
        <v>-0.59322657342290597</v>
      </c>
      <c r="R637">
        <v>1.10120898687455</v>
      </c>
      <c r="S637">
        <v>12.612520940143201</v>
      </c>
      <c r="T637">
        <v>0.63587704848545201</v>
      </c>
      <c r="U637">
        <v>-6.6030461817126396</v>
      </c>
      <c r="V637">
        <v>0.53390583607419695</v>
      </c>
      <c r="W637">
        <v>0.68379856536751704</v>
      </c>
      <c r="X637">
        <v>0</v>
      </c>
      <c r="Y637">
        <v>0</v>
      </c>
    </row>
    <row r="638" spans="1:25" x14ac:dyDescent="0.2">
      <c r="A638" t="s">
        <v>2379</v>
      </c>
      <c r="B638" t="s">
        <v>2380</v>
      </c>
      <c r="C638" t="s">
        <v>2381</v>
      </c>
      <c r="D638" t="s">
        <v>2382</v>
      </c>
      <c r="E638" t="s">
        <v>2380</v>
      </c>
      <c r="F638" t="s">
        <v>28</v>
      </c>
      <c r="G638" t="s">
        <v>2380</v>
      </c>
      <c r="H638" t="str">
        <f>"plpp-1.1"</f>
        <v>plpp-1.1</v>
      </c>
      <c r="I638" t="s">
        <v>2382</v>
      </c>
      <c r="J638" t="s">
        <v>29</v>
      </c>
      <c r="K638" t="s">
        <v>29</v>
      </c>
      <c r="L638" t="s">
        <v>29</v>
      </c>
      <c r="M638" t="s">
        <v>29</v>
      </c>
      <c r="N638" t="s">
        <v>29</v>
      </c>
      <c r="O638" t="s">
        <v>29</v>
      </c>
      <c r="P638" t="s">
        <v>29</v>
      </c>
      <c r="Q638" t="s">
        <v>29</v>
      </c>
      <c r="R638" t="s">
        <v>29</v>
      </c>
      <c r="S638">
        <v>11.681794544416499</v>
      </c>
      <c r="T638" t="s">
        <v>29</v>
      </c>
      <c r="U638" t="s">
        <v>29</v>
      </c>
      <c r="V638" t="s">
        <v>29</v>
      </c>
      <c r="W638" t="s">
        <v>29</v>
      </c>
      <c r="X638" t="s">
        <v>29</v>
      </c>
      <c r="Y638" t="s">
        <v>29</v>
      </c>
    </row>
    <row r="639" spans="1:25" x14ac:dyDescent="0.2">
      <c r="A639" t="s">
        <v>2383</v>
      </c>
      <c r="B639" t="s">
        <v>2384</v>
      </c>
      <c r="C639" t="s">
        <v>2385</v>
      </c>
      <c r="D639" t="s">
        <v>150</v>
      </c>
      <c r="E639" t="s">
        <v>2384</v>
      </c>
      <c r="F639" t="s">
        <v>28</v>
      </c>
      <c r="G639" t="s">
        <v>2384</v>
      </c>
      <c r="H639" t="str">
        <f>"csr-1"</f>
        <v>csr-1</v>
      </c>
      <c r="I639" t="s">
        <v>150</v>
      </c>
      <c r="J639">
        <v>17.6784076849037</v>
      </c>
      <c r="K639">
        <v>17.464885720919</v>
      </c>
      <c r="L639">
        <v>17.8221530689191</v>
      </c>
      <c r="M639">
        <v>16.9760406509223</v>
      </c>
      <c r="N639">
        <v>17.399783099994799</v>
      </c>
      <c r="O639">
        <v>17.399966354198501</v>
      </c>
      <c r="P639">
        <v>-0.39655212320869998</v>
      </c>
      <c r="Q639">
        <v>-0.84203171540222099</v>
      </c>
      <c r="R639">
        <v>4.89274689848209E-2</v>
      </c>
      <c r="S639">
        <v>17.647364259189398</v>
      </c>
      <c r="T639">
        <v>-1.8709620531815201</v>
      </c>
      <c r="U639">
        <v>-5.4794303526726997</v>
      </c>
      <c r="V639">
        <v>7.7794476675670299E-2</v>
      </c>
      <c r="W639">
        <v>0.184067280992394</v>
      </c>
      <c r="X639">
        <v>0</v>
      </c>
      <c r="Y639">
        <v>0</v>
      </c>
    </row>
    <row r="640" spans="1:25" x14ac:dyDescent="0.2">
      <c r="A640" t="s">
        <v>2386</v>
      </c>
      <c r="B640" t="s">
        <v>2387</v>
      </c>
      <c r="C640" t="s">
        <v>14293</v>
      </c>
      <c r="D640" t="s">
        <v>2388</v>
      </c>
      <c r="E640" t="s">
        <v>2387</v>
      </c>
      <c r="F640" t="s">
        <v>28</v>
      </c>
      <c r="G640" t="s">
        <v>2387</v>
      </c>
      <c r="H640" t="str">
        <f>"F19F10.11"</f>
        <v>F19F10.11</v>
      </c>
      <c r="I640" t="s">
        <v>2388</v>
      </c>
      <c r="J640" t="s">
        <v>29</v>
      </c>
      <c r="K640" t="s">
        <v>29</v>
      </c>
      <c r="L640" t="s">
        <v>29</v>
      </c>
      <c r="M640" t="s">
        <v>29</v>
      </c>
      <c r="N640" t="s">
        <v>29</v>
      </c>
      <c r="O640" t="s">
        <v>29</v>
      </c>
      <c r="P640" t="s">
        <v>29</v>
      </c>
      <c r="Q640" t="s">
        <v>29</v>
      </c>
      <c r="R640" t="s">
        <v>29</v>
      </c>
      <c r="S640">
        <v>10.7326641226355</v>
      </c>
      <c r="T640" t="s">
        <v>29</v>
      </c>
      <c r="U640" t="s">
        <v>29</v>
      </c>
      <c r="V640" t="s">
        <v>29</v>
      </c>
      <c r="W640" t="s">
        <v>29</v>
      </c>
      <c r="X640" t="s">
        <v>29</v>
      </c>
      <c r="Y640" t="s">
        <v>29</v>
      </c>
    </row>
    <row r="641" spans="1:25" x14ac:dyDescent="0.2">
      <c r="A641" t="s">
        <v>2389</v>
      </c>
      <c r="B641" t="s">
        <v>2390</v>
      </c>
      <c r="C641" t="s">
        <v>2391</v>
      </c>
      <c r="D641" t="s">
        <v>2392</v>
      </c>
      <c r="E641" t="s">
        <v>2390</v>
      </c>
      <c r="F641" t="s">
        <v>28</v>
      </c>
      <c r="G641" t="s">
        <v>2390</v>
      </c>
      <c r="H641" t="str">
        <f>"madf-6"</f>
        <v>madf-6</v>
      </c>
      <c r="I641" t="s">
        <v>2392</v>
      </c>
      <c r="J641" t="s">
        <v>29</v>
      </c>
      <c r="K641" t="s">
        <v>29</v>
      </c>
      <c r="L641" t="s">
        <v>29</v>
      </c>
      <c r="M641" t="s">
        <v>29</v>
      </c>
      <c r="N641" t="s">
        <v>29</v>
      </c>
      <c r="O641" t="s">
        <v>29</v>
      </c>
      <c r="P641" t="s">
        <v>29</v>
      </c>
      <c r="Q641" t="s">
        <v>29</v>
      </c>
      <c r="R641" t="s">
        <v>29</v>
      </c>
      <c r="S641">
        <v>12.2000577624886</v>
      </c>
      <c r="T641" t="s">
        <v>29</v>
      </c>
      <c r="U641" t="s">
        <v>29</v>
      </c>
      <c r="V641" t="s">
        <v>29</v>
      </c>
      <c r="W641" t="s">
        <v>29</v>
      </c>
      <c r="X641" t="s">
        <v>29</v>
      </c>
      <c r="Y641" t="s">
        <v>29</v>
      </c>
    </row>
    <row r="642" spans="1:25" x14ac:dyDescent="0.2">
      <c r="A642" t="s">
        <v>2393</v>
      </c>
      <c r="B642" t="s">
        <v>2394</v>
      </c>
      <c r="C642" t="s">
        <v>2395</v>
      </c>
      <c r="D642" t="s">
        <v>2306</v>
      </c>
      <c r="E642" t="s">
        <v>2394</v>
      </c>
      <c r="F642" t="s">
        <v>28</v>
      </c>
      <c r="G642" t="s">
        <v>2394</v>
      </c>
      <c r="H642" t="str">
        <f>"acdh-1"</f>
        <v>acdh-1</v>
      </c>
      <c r="I642" t="s">
        <v>2306</v>
      </c>
      <c r="J642">
        <v>16.179015709146299</v>
      </c>
      <c r="K642">
        <v>15.5957201924254</v>
      </c>
      <c r="L642">
        <v>16.0729971298423</v>
      </c>
      <c r="M642">
        <v>15.470933699212599</v>
      </c>
      <c r="N642">
        <v>15.4086375040027</v>
      </c>
      <c r="O642">
        <v>15.4273838380591</v>
      </c>
      <c r="P642">
        <v>-0.51359266337990095</v>
      </c>
      <c r="Q642">
        <v>-0.89867857531536399</v>
      </c>
      <c r="R642">
        <v>-0.12850675144443899</v>
      </c>
      <c r="S642">
        <v>15.5845283237785</v>
      </c>
      <c r="T642">
        <v>-2.8031974783289799</v>
      </c>
      <c r="U642">
        <v>-3.7418608813237002</v>
      </c>
      <c r="V642">
        <v>1.1802108182926201E-2</v>
      </c>
      <c r="W642">
        <v>5.09982592596534E-2</v>
      </c>
      <c r="X642">
        <v>0</v>
      </c>
      <c r="Y642">
        <v>0</v>
      </c>
    </row>
    <row r="643" spans="1:25" x14ac:dyDescent="0.2">
      <c r="A643" t="s">
        <v>2396</v>
      </c>
      <c r="B643" t="s">
        <v>2397</v>
      </c>
      <c r="C643" t="s">
        <v>14294</v>
      </c>
      <c r="D643" t="s">
        <v>2398</v>
      </c>
      <c r="E643" t="s">
        <v>2397</v>
      </c>
      <c r="F643" t="s">
        <v>28</v>
      </c>
      <c r="G643" t="s">
        <v>2397</v>
      </c>
      <c r="H643" t="str">
        <f>"Y37E11AL.3"</f>
        <v>Y37E11AL.3</v>
      </c>
      <c r="I643" t="s">
        <v>2398</v>
      </c>
      <c r="J643" t="s">
        <v>29</v>
      </c>
      <c r="K643" t="s">
        <v>29</v>
      </c>
      <c r="L643" t="s">
        <v>29</v>
      </c>
      <c r="M643" t="s">
        <v>29</v>
      </c>
      <c r="N643" t="s">
        <v>29</v>
      </c>
      <c r="O643" t="s">
        <v>29</v>
      </c>
      <c r="P643" t="s">
        <v>29</v>
      </c>
      <c r="Q643" t="s">
        <v>29</v>
      </c>
      <c r="R643" t="s">
        <v>29</v>
      </c>
      <c r="S643">
        <v>12.8756393172266</v>
      </c>
      <c r="T643" t="s">
        <v>29</v>
      </c>
      <c r="U643" t="s">
        <v>29</v>
      </c>
      <c r="V643" t="s">
        <v>29</v>
      </c>
      <c r="W643" t="s">
        <v>29</v>
      </c>
      <c r="X643" t="s">
        <v>29</v>
      </c>
      <c r="Y643" t="s">
        <v>29</v>
      </c>
    </row>
    <row r="644" spans="1:25" x14ac:dyDescent="0.2">
      <c r="A644" t="s">
        <v>2399</v>
      </c>
      <c r="B644" t="s">
        <v>2400</v>
      </c>
      <c r="C644" t="s">
        <v>2401</v>
      </c>
      <c r="D644" t="s">
        <v>2402</v>
      </c>
      <c r="E644" t="s">
        <v>2400</v>
      </c>
      <c r="F644" t="s">
        <v>28</v>
      </c>
      <c r="G644" t="s">
        <v>2400</v>
      </c>
      <c r="H644" t="str">
        <f>"aka-1"</f>
        <v>aka-1</v>
      </c>
      <c r="I644" t="s">
        <v>2402</v>
      </c>
      <c r="J644" t="s">
        <v>29</v>
      </c>
      <c r="K644" t="s">
        <v>29</v>
      </c>
      <c r="L644" t="s">
        <v>29</v>
      </c>
      <c r="M644" t="s">
        <v>29</v>
      </c>
      <c r="N644" t="s">
        <v>29</v>
      </c>
      <c r="O644" t="s">
        <v>29</v>
      </c>
      <c r="P644" t="s">
        <v>29</v>
      </c>
      <c r="Q644" t="s">
        <v>29</v>
      </c>
      <c r="R644" t="s">
        <v>29</v>
      </c>
      <c r="S644">
        <v>11.6258380126246</v>
      </c>
      <c r="T644" t="s">
        <v>29</v>
      </c>
      <c r="U644" t="s">
        <v>29</v>
      </c>
      <c r="V644" t="s">
        <v>29</v>
      </c>
      <c r="W644" t="s">
        <v>29</v>
      </c>
      <c r="X644" t="s">
        <v>29</v>
      </c>
      <c r="Y644" t="s">
        <v>29</v>
      </c>
    </row>
    <row r="645" spans="1:25" x14ac:dyDescent="0.2">
      <c r="A645" t="s">
        <v>2403</v>
      </c>
      <c r="B645" t="s">
        <v>2404</v>
      </c>
      <c r="C645" t="s">
        <v>2405</v>
      </c>
      <c r="D645" t="s">
        <v>2406</v>
      </c>
      <c r="E645" t="s">
        <v>2404</v>
      </c>
      <c r="F645" t="s">
        <v>28</v>
      </c>
      <c r="G645" t="s">
        <v>2404</v>
      </c>
      <c r="H645" t="str">
        <f>"glrx-3"</f>
        <v>glrx-3</v>
      </c>
      <c r="I645" t="s">
        <v>2406</v>
      </c>
      <c r="J645">
        <v>12.0296120961442</v>
      </c>
      <c r="K645">
        <v>12.1830109353611</v>
      </c>
      <c r="L645">
        <v>12.694364522816199</v>
      </c>
      <c r="M645">
        <v>13.1583744838931</v>
      </c>
      <c r="N645">
        <v>11.9346510566712</v>
      </c>
      <c r="O645">
        <v>13.567539459990501</v>
      </c>
      <c r="P645">
        <v>0.58452581541112802</v>
      </c>
      <c r="Q645">
        <v>-0.29233003076626801</v>
      </c>
      <c r="R645">
        <v>1.46138166158852</v>
      </c>
      <c r="S645">
        <v>12.9772138926796</v>
      </c>
      <c r="T645">
        <v>1.4010963694023799</v>
      </c>
      <c r="U645">
        <v>-6.1790963694551602</v>
      </c>
      <c r="V645">
        <v>0.17828897655571699</v>
      </c>
      <c r="W645">
        <v>0.33128475025832099</v>
      </c>
      <c r="X645">
        <v>0</v>
      </c>
      <c r="Y645">
        <v>0</v>
      </c>
    </row>
    <row r="646" spans="1:25" x14ac:dyDescent="0.2">
      <c r="A646" t="s">
        <v>2407</v>
      </c>
      <c r="B646" t="s">
        <v>2408</v>
      </c>
      <c r="C646" t="s">
        <v>2409</v>
      </c>
      <c r="D646" t="s">
        <v>2410</v>
      </c>
      <c r="E646" t="s">
        <v>2408</v>
      </c>
      <c r="F646" t="s">
        <v>28</v>
      </c>
      <c r="G646" t="s">
        <v>2408</v>
      </c>
      <c r="H646" t="str">
        <f>"praf-3"</f>
        <v>praf-3</v>
      </c>
      <c r="I646" t="s">
        <v>2410</v>
      </c>
      <c r="J646">
        <v>12.746779587862701</v>
      </c>
      <c r="K646">
        <v>13.360903555293101</v>
      </c>
      <c r="L646">
        <v>13.446971683676599</v>
      </c>
      <c r="M646">
        <v>15.077803878582399</v>
      </c>
      <c r="N646">
        <v>13.8481602634509</v>
      </c>
      <c r="O646">
        <v>13.7102235800853</v>
      </c>
      <c r="P646">
        <v>1.02717763176203</v>
      </c>
      <c r="Q646">
        <v>0.28084226257452199</v>
      </c>
      <c r="R646">
        <v>1.7735130009495499</v>
      </c>
      <c r="S646">
        <v>13.764000304546199</v>
      </c>
      <c r="T646">
        <v>2.9353043336740599</v>
      </c>
      <c r="U646">
        <v>-3.5560779225224399</v>
      </c>
      <c r="V646">
        <v>1.0295185044710701E-2</v>
      </c>
      <c r="W646">
        <v>4.6247671852228202E-2</v>
      </c>
      <c r="X646">
        <v>1</v>
      </c>
      <c r="Y646">
        <v>1</v>
      </c>
    </row>
    <row r="647" spans="1:25" x14ac:dyDescent="0.2">
      <c r="A647" t="s">
        <v>2411</v>
      </c>
      <c r="B647" t="s">
        <v>2412</v>
      </c>
      <c r="C647" t="s">
        <v>2413</v>
      </c>
      <c r="D647" t="s">
        <v>2414</v>
      </c>
      <c r="E647" t="s">
        <v>2412</v>
      </c>
      <c r="F647" t="s">
        <v>28</v>
      </c>
      <c r="G647" t="s">
        <v>2412</v>
      </c>
      <c r="H647" t="str">
        <f>"F36D4.5"</f>
        <v>F36D4.5</v>
      </c>
      <c r="I647" t="s">
        <v>2414</v>
      </c>
      <c r="J647">
        <v>13.207752590998901</v>
      </c>
      <c r="K647">
        <v>12.205401016481</v>
      </c>
      <c r="L647">
        <v>12.1332466650207</v>
      </c>
      <c r="M647" t="s">
        <v>29</v>
      </c>
      <c r="N647" t="s">
        <v>29</v>
      </c>
      <c r="O647">
        <v>12.181959063300701</v>
      </c>
      <c r="P647">
        <v>-0.33350769419946702</v>
      </c>
      <c r="Q647">
        <v>-1.25176341362224</v>
      </c>
      <c r="R647">
        <v>0.58474802522330604</v>
      </c>
      <c r="S647">
        <v>12.3247540369277</v>
      </c>
      <c r="T647">
        <v>-0.77035648967555503</v>
      </c>
      <c r="U647">
        <v>-6.5067909846190499</v>
      </c>
      <c r="V647">
        <v>0.45238706490174802</v>
      </c>
      <c r="W647">
        <v>0.61750100984967704</v>
      </c>
      <c r="X647">
        <v>0</v>
      </c>
      <c r="Y647">
        <v>0</v>
      </c>
    </row>
    <row r="648" spans="1:25" x14ac:dyDescent="0.2">
      <c r="A648" t="s">
        <v>2415</v>
      </c>
      <c r="B648" t="s">
        <v>2416</v>
      </c>
      <c r="C648" t="s">
        <v>14295</v>
      </c>
      <c r="D648" t="s">
        <v>2417</v>
      </c>
      <c r="E648" t="s">
        <v>2416</v>
      </c>
      <c r="F648" t="s">
        <v>28</v>
      </c>
      <c r="G648" t="s">
        <v>2416</v>
      </c>
      <c r="H648" t="str">
        <f>"E02H9.3"</f>
        <v>E02H9.3</v>
      </c>
      <c r="I648" t="s">
        <v>2417</v>
      </c>
      <c r="J648">
        <v>13.722243961849999</v>
      </c>
      <c r="K648">
        <v>13.7176065428455</v>
      </c>
      <c r="L648">
        <v>13.7682481237151</v>
      </c>
      <c r="M648" t="s">
        <v>29</v>
      </c>
      <c r="N648" t="s">
        <v>29</v>
      </c>
      <c r="O648">
        <v>12.731494012562001</v>
      </c>
      <c r="P648">
        <v>-1.00453886357483</v>
      </c>
      <c r="Q648">
        <v>-1.68923178736946</v>
      </c>
      <c r="R648">
        <v>-0.31984593978019399</v>
      </c>
      <c r="S648">
        <v>13.365810743139299</v>
      </c>
      <c r="T648">
        <v>-3.1118627476840501</v>
      </c>
      <c r="U648">
        <v>-2.8545405546697298</v>
      </c>
      <c r="V648">
        <v>6.7531134721022E-3</v>
      </c>
      <c r="W648">
        <v>3.4491205203267199E-2</v>
      </c>
      <c r="X648">
        <v>-1</v>
      </c>
      <c r="Y648">
        <v>-1</v>
      </c>
    </row>
    <row r="649" spans="1:25" x14ac:dyDescent="0.2">
      <c r="A649" t="s">
        <v>2418</v>
      </c>
      <c r="B649" t="s">
        <v>2419</v>
      </c>
      <c r="C649" t="s">
        <v>14296</v>
      </c>
      <c r="D649" t="s">
        <v>2420</v>
      </c>
      <c r="E649" t="s">
        <v>2419</v>
      </c>
      <c r="F649" t="s">
        <v>28</v>
      </c>
      <c r="G649" t="s">
        <v>2419</v>
      </c>
      <c r="H649" t="str">
        <f>"Y54F10AL.1"</f>
        <v>Y54F10AL.1</v>
      </c>
      <c r="I649" t="s">
        <v>2420</v>
      </c>
      <c r="J649">
        <v>14.1593526426749</v>
      </c>
      <c r="K649">
        <v>14.386212004603999</v>
      </c>
      <c r="L649">
        <v>14.1694870420196</v>
      </c>
      <c r="M649" t="s">
        <v>29</v>
      </c>
      <c r="N649">
        <v>13.1531200216325</v>
      </c>
      <c r="O649">
        <v>13.121521096215499</v>
      </c>
      <c r="P649">
        <v>-1.1010300041755201</v>
      </c>
      <c r="Q649">
        <v>-1.54204297573676</v>
      </c>
      <c r="R649">
        <v>-0.66001703261428302</v>
      </c>
      <c r="S649">
        <v>13.7642456015422</v>
      </c>
      <c r="T649">
        <v>-5.2698445386834001</v>
      </c>
      <c r="U649">
        <v>1.5445222548525499</v>
      </c>
      <c r="V649" s="2">
        <v>6.3828294860154304E-5</v>
      </c>
      <c r="W649">
        <v>1.2294247382540801E-3</v>
      </c>
      <c r="X649">
        <v>-1</v>
      </c>
      <c r="Y649">
        <v>-1</v>
      </c>
    </row>
    <row r="650" spans="1:25" x14ac:dyDescent="0.2">
      <c r="A650" t="s">
        <v>2421</v>
      </c>
      <c r="B650" t="s">
        <v>2422</v>
      </c>
      <c r="C650" t="s">
        <v>2423</v>
      </c>
      <c r="D650" t="s">
        <v>1344</v>
      </c>
      <c r="E650" t="s">
        <v>2422</v>
      </c>
      <c r="F650" t="s">
        <v>28</v>
      </c>
      <c r="G650" t="s">
        <v>2422</v>
      </c>
      <c r="H650" t="str">
        <f>"yars-2"</f>
        <v>yars-2</v>
      </c>
      <c r="I650" t="s">
        <v>1344</v>
      </c>
      <c r="J650">
        <v>13.807304388417201</v>
      </c>
      <c r="K650">
        <v>13.896796742341101</v>
      </c>
      <c r="L650">
        <v>13.806754828145399</v>
      </c>
      <c r="M650" t="s">
        <v>29</v>
      </c>
      <c r="N650">
        <v>12.0747944947435</v>
      </c>
      <c r="O650">
        <v>13.614301160720499</v>
      </c>
      <c r="P650">
        <v>-0.99240415856924702</v>
      </c>
      <c r="Q650">
        <v>-1.7640019495017201</v>
      </c>
      <c r="R650">
        <v>-0.220806367636776</v>
      </c>
      <c r="S650">
        <v>13.476486558278401</v>
      </c>
      <c r="T650">
        <v>-2.7148610891775999</v>
      </c>
      <c r="U650">
        <v>-3.8351496541450398</v>
      </c>
      <c r="V650">
        <v>1.47692298935111E-2</v>
      </c>
      <c r="W650">
        <v>5.95416149058514E-2</v>
      </c>
      <c r="X650">
        <v>0</v>
      </c>
      <c r="Y650">
        <v>0</v>
      </c>
    </row>
    <row r="651" spans="1:25" x14ac:dyDescent="0.2">
      <c r="A651" t="s">
        <v>2424</v>
      </c>
      <c r="B651" t="s">
        <v>2425</v>
      </c>
      <c r="C651" t="s">
        <v>14297</v>
      </c>
      <c r="D651" t="s">
        <v>66</v>
      </c>
      <c r="E651" t="s">
        <v>2425</v>
      </c>
      <c r="F651" t="s">
        <v>28</v>
      </c>
      <c r="G651" t="s">
        <v>2425</v>
      </c>
      <c r="H651" t="str">
        <f>"F11D5.1"</f>
        <v>F11D5.1</v>
      </c>
      <c r="I651" t="s">
        <v>66</v>
      </c>
      <c r="J651">
        <v>12.3578200382712</v>
      </c>
      <c r="K651">
        <v>13.3354726010643</v>
      </c>
      <c r="L651">
        <v>12.4156167177243</v>
      </c>
      <c r="M651" t="s">
        <v>29</v>
      </c>
      <c r="N651" t="s">
        <v>29</v>
      </c>
      <c r="O651" t="s">
        <v>29</v>
      </c>
      <c r="P651" t="s">
        <v>29</v>
      </c>
      <c r="Q651" t="s">
        <v>29</v>
      </c>
      <c r="R651" t="s">
        <v>29</v>
      </c>
      <c r="S651">
        <v>11.973523081458</v>
      </c>
      <c r="T651" t="s">
        <v>29</v>
      </c>
      <c r="U651" t="s">
        <v>29</v>
      </c>
      <c r="V651" t="s">
        <v>29</v>
      </c>
      <c r="W651" t="s">
        <v>29</v>
      </c>
      <c r="X651" t="s">
        <v>29</v>
      </c>
      <c r="Y651" t="s">
        <v>29</v>
      </c>
    </row>
    <row r="652" spans="1:25" x14ac:dyDescent="0.2">
      <c r="A652" t="s">
        <v>2426</v>
      </c>
      <c r="B652" t="s">
        <v>2427</v>
      </c>
      <c r="C652" t="s">
        <v>2428</v>
      </c>
      <c r="D652" t="s">
        <v>107</v>
      </c>
      <c r="E652" t="s">
        <v>2427</v>
      </c>
      <c r="F652" t="s">
        <v>28</v>
      </c>
      <c r="G652" t="s">
        <v>2427</v>
      </c>
      <c r="H652" t="str">
        <f>"slc-17.6"</f>
        <v>slc-17.6</v>
      </c>
      <c r="I652" t="s">
        <v>107</v>
      </c>
      <c r="J652">
        <v>12.859501878098101</v>
      </c>
      <c r="K652">
        <v>13.152811979058599</v>
      </c>
      <c r="L652">
        <v>13.2815187333126</v>
      </c>
      <c r="M652" t="s">
        <v>29</v>
      </c>
      <c r="N652">
        <v>12.268898188020501</v>
      </c>
      <c r="O652" t="s">
        <v>29</v>
      </c>
      <c r="P652">
        <v>-0.82904600880259205</v>
      </c>
      <c r="Q652">
        <v>-1.8546414925757</v>
      </c>
      <c r="R652">
        <v>0.196549474970519</v>
      </c>
      <c r="S652">
        <v>13.2234073420848</v>
      </c>
      <c r="T652">
        <v>-1.7145575338324199</v>
      </c>
      <c r="U652">
        <v>-5.3976856636627604</v>
      </c>
      <c r="V652">
        <v>0.10585395935624101</v>
      </c>
      <c r="W652">
        <v>0.22572475992969701</v>
      </c>
      <c r="X652">
        <v>0</v>
      </c>
      <c r="Y652">
        <v>0</v>
      </c>
    </row>
    <row r="653" spans="1:25" x14ac:dyDescent="0.2">
      <c r="A653" t="s">
        <v>2429</v>
      </c>
      <c r="B653" t="s">
        <v>2430</v>
      </c>
      <c r="C653" t="s">
        <v>2431</v>
      </c>
      <c r="D653" t="s">
        <v>2432</v>
      </c>
      <c r="E653" t="s">
        <v>2430</v>
      </c>
      <c r="F653" t="s">
        <v>28</v>
      </c>
      <c r="G653" t="s">
        <v>2430</v>
      </c>
      <c r="H653" t="str">
        <f>"exp-2"</f>
        <v>exp-2</v>
      </c>
      <c r="I653" t="s">
        <v>2432</v>
      </c>
      <c r="J653">
        <v>12.269775079350101</v>
      </c>
      <c r="K653" t="s">
        <v>29</v>
      </c>
      <c r="L653" t="s">
        <v>29</v>
      </c>
      <c r="M653" t="s">
        <v>29</v>
      </c>
      <c r="N653" t="s">
        <v>29</v>
      </c>
      <c r="O653">
        <v>12.7932186594287</v>
      </c>
      <c r="P653">
        <v>0.52344358007863301</v>
      </c>
      <c r="Q653">
        <v>-1.7469521030199799</v>
      </c>
      <c r="R653">
        <v>2.7938392631772402</v>
      </c>
      <c r="S653">
        <v>12.0310167491714</v>
      </c>
      <c r="T653">
        <v>0.50803779054284204</v>
      </c>
      <c r="U653">
        <v>-6.4761592898683498</v>
      </c>
      <c r="V653">
        <v>0.62155454655439002</v>
      </c>
      <c r="W653">
        <v>0.747031504362066</v>
      </c>
      <c r="X653">
        <v>0</v>
      </c>
      <c r="Y653">
        <v>0</v>
      </c>
    </row>
    <row r="654" spans="1:25" x14ac:dyDescent="0.2">
      <c r="A654" t="s">
        <v>2433</v>
      </c>
      <c r="B654" t="s">
        <v>2434</v>
      </c>
      <c r="C654" t="s">
        <v>2435</v>
      </c>
      <c r="D654" t="s">
        <v>2436</v>
      </c>
      <c r="E654" t="s">
        <v>2434</v>
      </c>
      <c r="F654" t="s">
        <v>28</v>
      </c>
      <c r="G654" t="s">
        <v>2434</v>
      </c>
      <c r="H654" t="str">
        <f>"sec-16a.2"</f>
        <v>sec-16a.2</v>
      </c>
      <c r="I654" t="s">
        <v>2436</v>
      </c>
      <c r="J654" t="s">
        <v>29</v>
      </c>
      <c r="K654">
        <v>11.8342395200886</v>
      </c>
      <c r="L654">
        <v>12.030851137415601</v>
      </c>
      <c r="M654" t="s">
        <v>29</v>
      </c>
      <c r="N654" t="s">
        <v>29</v>
      </c>
      <c r="O654">
        <v>12.049701072083399</v>
      </c>
      <c r="P654">
        <v>0.117155743331278</v>
      </c>
      <c r="Q654">
        <v>-0.56014392143715996</v>
      </c>
      <c r="R654">
        <v>0.79445540809971504</v>
      </c>
      <c r="S654">
        <v>12.526990266239</v>
      </c>
      <c r="T654">
        <v>0.36891331398379901</v>
      </c>
      <c r="U654">
        <v>-6.6832289022868796</v>
      </c>
      <c r="V654">
        <v>0.717383556013657</v>
      </c>
      <c r="W654">
        <v>0.81738206503564903</v>
      </c>
      <c r="X654">
        <v>0</v>
      </c>
      <c r="Y654">
        <v>0</v>
      </c>
    </row>
    <row r="655" spans="1:25" x14ac:dyDescent="0.2">
      <c r="A655" t="s">
        <v>2437</v>
      </c>
      <c r="B655" t="s">
        <v>2438</v>
      </c>
      <c r="C655" t="s">
        <v>14298</v>
      </c>
      <c r="D655" t="s">
        <v>2439</v>
      </c>
      <c r="E655" t="s">
        <v>2438</v>
      </c>
      <c r="F655" t="s">
        <v>28</v>
      </c>
      <c r="G655" t="s">
        <v>2438</v>
      </c>
      <c r="H655" t="str">
        <f>"T23E7.2"</f>
        <v>T23E7.2</v>
      </c>
      <c r="I655" t="s">
        <v>2439</v>
      </c>
      <c r="J655">
        <v>18.487258856953499</v>
      </c>
      <c r="K655">
        <v>18.763600742295601</v>
      </c>
      <c r="L655">
        <v>18.769348271049299</v>
      </c>
      <c r="M655">
        <v>18.7096756441526</v>
      </c>
      <c r="N655">
        <v>18.4798955342381</v>
      </c>
      <c r="O655">
        <v>18.002652980803202</v>
      </c>
      <c r="P655">
        <v>-0.27599457036819802</v>
      </c>
      <c r="Q655">
        <v>-0.76641654335941201</v>
      </c>
      <c r="R655">
        <v>0.21442740262301599</v>
      </c>
      <c r="S655">
        <v>18.7828205607128</v>
      </c>
      <c r="T655">
        <v>-1.18283217964654</v>
      </c>
      <c r="U655">
        <v>-6.4495197730848197</v>
      </c>
      <c r="V655">
        <v>0.25235308591001099</v>
      </c>
      <c r="W655">
        <v>0.42039827257026802</v>
      </c>
      <c r="X655">
        <v>0</v>
      </c>
      <c r="Y655">
        <v>0</v>
      </c>
    </row>
    <row r="656" spans="1:25" x14ac:dyDescent="0.2">
      <c r="A656" t="s">
        <v>2440</v>
      </c>
      <c r="B656" t="s">
        <v>2441</v>
      </c>
      <c r="C656" t="s">
        <v>14299</v>
      </c>
      <c r="D656" t="s">
        <v>111</v>
      </c>
      <c r="E656" t="s">
        <v>2441</v>
      </c>
      <c r="F656" t="s">
        <v>28</v>
      </c>
      <c r="G656" t="s">
        <v>2441</v>
      </c>
      <c r="H656" t="str">
        <f>"F23H11.4"</f>
        <v>F23H11.4</v>
      </c>
      <c r="I656" t="s">
        <v>111</v>
      </c>
      <c r="J656">
        <v>12.261421163581799</v>
      </c>
      <c r="K656">
        <v>11.186360961142199</v>
      </c>
      <c r="L656">
        <v>11.9306254902615</v>
      </c>
      <c r="M656" t="s">
        <v>29</v>
      </c>
      <c r="N656" t="s">
        <v>29</v>
      </c>
      <c r="O656">
        <v>11.4629304699634</v>
      </c>
      <c r="P656">
        <v>-0.32987206836505401</v>
      </c>
      <c r="Q656">
        <v>-1.3473375695926599</v>
      </c>
      <c r="R656">
        <v>0.68759343286255403</v>
      </c>
      <c r="S656">
        <v>11.835231483724799</v>
      </c>
      <c r="T656">
        <v>-0.69146062870996905</v>
      </c>
      <c r="U656">
        <v>-6.5646242410816003</v>
      </c>
      <c r="V656">
        <v>0.49991240595456099</v>
      </c>
      <c r="W656">
        <v>0.65501627722920397</v>
      </c>
      <c r="X656">
        <v>0</v>
      </c>
      <c r="Y656">
        <v>0</v>
      </c>
    </row>
    <row r="657" spans="1:25" x14ac:dyDescent="0.2">
      <c r="A657" t="s">
        <v>2442</v>
      </c>
      <c r="B657" t="s">
        <v>2443</v>
      </c>
      <c r="C657" t="s">
        <v>14300</v>
      </c>
      <c r="D657" t="s">
        <v>2444</v>
      </c>
      <c r="E657" t="s">
        <v>2443</v>
      </c>
      <c r="F657" t="s">
        <v>28</v>
      </c>
      <c r="G657" t="s">
        <v>2443</v>
      </c>
      <c r="H657" t="str">
        <f>"T04C9.1"</f>
        <v>T04C9.1</v>
      </c>
      <c r="I657" t="s">
        <v>2444</v>
      </c>
      <c r="J657">
        <v>12.2899824829195</v>
      </c>
      <c r="K657">
        <v>12.767446440412501</v>
      </c>
      <c r="L657">
        <v>12.7799527872175</v>
      </c>
      <c r="M657" t="s">
        <v>29</v>
      </c>
      <c r="N657">
        <v>12.5969952051065</v>
      </c>
      <c r="O657">
        <v>12.6147511272725</v>
      </c>
      <c r="P657">
        <v>-6.5874039936275599E-3</v>
      </c>
      <c r="Q657">
        <v>-0.44470442825033202</v>
      </c>
      <c r="R657">
        <v>0.43152962026307701</v>
      </c>
      <c r="S657">
        <v>12.8149869499881</v>
      </c>
      <c r="T657">
        <v>-3.17376073374716E-2</v>
      </c>
      <c r="U657">
        <v>-7.04494553515618</v>
      </c>
      <c r="V657">
        <v>0.97505322487077595</v>
      </c>
      <c r="W657">
        <v>0.98541901704189905</v>
      </c>
      <c r="X657">
        <v>0</v>
      </c>
      <c r="Y657">
        <v>0</v>
      </c>
    </row>
    <row r="658" spans="1:25" x14ac:dyDescent="0.2">
      <c r="A658" t="s">
        <v>2445</v>
      </c>
      <c r="B658" t="s">
        <v>2446</v>
      </c>
      <c r="C658" t="s">
        <v>2447</v>
      </c>
      <c r="D658" t="s">
        <v>984</v>
      </c>
      <c r="E658" t="s">
        <v>2446</v>
      </c>
      <c r="F658" t="s">
        <v>28</v>
      </c>
      <c r="G658" t="s">
        <v>2446</v>
      </c>
      <c r="H658" t="str">
        <f>"frm-2"</f>
        <v>frm-2</v>
      </c>
      <c r="I658" t="s">
        <v>984</v>
      </c>
      <c r="J658">
        <v>12.5999199576442</v>
      </c>
      <c r="K658">
        <v>13.1403345896187</v>
      </c>
      <c r="L658">
        <v>13.034278340326001</v>
      </c>
      <c r="M658" t="s">
        <v>29</v>
      </c>
      <c r="N658">
        <v>12.7786589023949</v>
      </c>
      <c r="O658">
        <v>12.4675058299598</v>
      </c>
      <c r="P658">
        <v>-0.301761929685608</v>
      </c>
      <c r="Q658">
        <v>-0.95429132796862903</v>
      </c>
      <c r="R658">
        <v>0.35076746859741398</v>
      </c>
      <c r="S658">
        <v>12.979955167461</v>
      </c>
      <c r="T658">
        <v>-0.97614510044967795</v>
      </c>
      <c r="U658">
        <v>-6.5583171536446496</v>
      </c>
      <c r="V658">
        <v>0.34276335245728201</v>
      </c>
      <c r="W658">
        <v>0.51327418683516701</v>
      </c>
      <c r="X658">
        <v>0</v>
      </c>
      <c r="Y658">
        <v>0</v>
      </c>
    </row>
    <row r="659" spans="1:25" x14ac:dyDescent="0.2">
      <c r="A659" t="s">
        <v>2448</v>
      </c>
      <c r="B659" t="s">
        <v>2449</v>
      </c>
      <c r="C659" t="s">
        <v>14301</v>
      </c>
      <c r="D659" t="s">
        <v>2450</v>
      </c>
      <c r="E659" t="s">
        <v>2449</v>
      </c>
      <c r="F659" t="s">
        <v>28</v>
      </c>
      <c r="G659" t="s">
        <v>2449</v>
      </c>
      <c r="H659" t="str">
        <f>"F49E8.7"</f>
        <v>F49E8.7</v>
      </c>
      <c r="I659" t="s">
        <v>2450</v>
      </c>
      <c r="J659">
        <v>13.1949312801851</v>
      </c>
      <c r="K659">
        <v>13.044493234703801</v>
      </c>
      <c r="L659">
        <v>13.1109099514942</v>
      </c>
      <c r="M659" t="s">
        <v>29</v>
      </c>
      <c r="N659">
        <v>14.026459792823101</v>
      </c>
      <c r="O659">
        <v>13.517833193434599</v>
      </c>
      <c r="P659">
        <v>0.65536833766778102</v>
      </c>
      <c r="Q659">
        <v>5.6069830687922997E-2</v>
      </c>
      <c r="R659">
        <v>1.2546668446476399</v>
      </c>
      <c r="S659">
        <v>13.0583332423375</v>
      </c>
      <c r="T659">
        <v>2.3083001149723099</v>
      </c>
      <c r="U659">
        <v>-4.6137474078689404</v>
      </c>
      <c r="V659">
        <v>3.3906196917347101E-2</v>
      </c>
      <c r="W659">
        <v>0.105961359825474</v>
      </c>
      <c r="X659">
        <v>0</v>
      </c>
      <c r="Y659">
        <v>0</v>
      </c>
    </row>
    <row r="660" spans="1:25" x14ac:dyDescent="0.2">
      <c r="A660" t="s">
        <v>2451</v>
      </c>
      <c r="B660" t="s">
        <v>2452</v>
      </c>
      <c r="C660" t="s">
        <v>2453</v>
      </c>
      <c r="D660" t="s">
        <v>2454</v>
      </c>
      <c r="E660" t="s">
        <v>2452</v>
      </c>
      <c r="F660" t="s">
        <v>28</v>
      </c>
      <c r="G660" t="s">
        <v>2452</v>
      </c>
      <c r="H660" t="str">
        <f>"lmd-3"</f>
        <v>lmd-3</v>
      </c>
      <c r="I660" t="s">
        <v>2454</v>
      </c>
      <c r="J660">
        <v>11.5491850995025</v>
      </c>
      <c r="K660">
        <v>11.157897653846801</v>
      </c>
      <c r="L660" t="s">
        <v>29</v>
      </c>
      <c r="M660" t="s">
        <v>29</v>
      </c>
      <c r="N660" t="s">
        <v>29</v>
      </c>
      <c r="O660">
        <v>12.948001190346201</v>
      </c>
      <c r="P660">
        <v>1.59445981367153</v>
      </c>
      <c r="Q660">
        <v>0.81360846373923101</v>
      </c>
      <c r="R660">
        <v>2.3753111636038202</v>
      </c>
      <c r="S660">
        <v>11.5392390156319</v>
      </c>
      <c r="T660">
        <v>4.3549865521317601</v>
      </c>
      <c r="U660">
        <v>-0.361385812325281</v>
      </c>
      <c r="V660">
        <v>5.7456921682309998E-4</v>
      </c>
      <c r="W660">
        <v>6.1572926617370002E-3</v>
      </c>
      <c r="X660">
        <v>1</v>
      </c>
      <c r="Y660">
        <v>1</v>
      </c>
    </row>
    <row r="661" spans="1:25" x14ac:dyDescent="0.2">
      <c r="A661" t="s">
        <v>2455</v>
      </c>
      <c r="B661" t="s">
        <v>2456</v>
      </c>
      <c r="C661" t="s">
        <v>14302</v>
      </c>
      <c r="D661" t="s">
        <v>2457</v>
      </c>
      <c r="E661" t="s">
        <v>2456</v>
      </c>
      <c r="F661" t="s">
        <v>28</v>
      </c>
      <c r="G661" t="s">
        <v>2456</v>
      </c>
      <c r="H661" t="str">
        <f>"T22F3.2"</f>
        <v>T22F3.2</v>
      </c>
      <c r="I661" t="s">
        <v>2457</v>
      </c>
      <c r="J661">
        <v>13.2952231891311</v>
      </c>
      <c r="K661">
        <v>13.3861291791435</v>
      </c>
      <c r="L661">
        <v>13.2557624762683</v>
      </c>
      <c r="M661">
        <v>11.911102354108101</v>
      </c>
      <c r="N661">
        <v>13.2886712548797</v>
      </c>
      <c r="O661">
        <v>12.6677232418728</v>
      </c>
      <c r="P661">
        <v>-0.68987266456074503</v>
      </c>
      <c r="Q661">
        <v>-1.2788647350048099</v>
      </c>
      <c r="R661">
        <v>-0.100880594116682</v>
      </c>
      <c r="S661">
        <v>13.3765983619419</v>
      </c>
      <c r="T661">
        <v>-2.4617956618849801</v>
      </c>
      <c r="U661">
        <v>-4.41976732416295</v>
      </c>
      <c r="V661">
        <v>2.42131700180198E-2</v>
      </c>
      <c r="W661">
        <v>8.3316329415592E-2</v>
      </c>
      <c r="X661">
        <v>0</v>
      </c>
      <c r="Y661">
        <v>0</v>
      </c>
    </row>
    <row r="662" spans="1:25" x14ac:dyDescent="0.2">
      <c r="A662" t="s">
        <v>2458</v>
      </c>
      <c r="B662" t="s">
        <v>2459</v>
      </c>
      <c r="C662" t="s">
        <v>2460</v>
      </c>
      <c r="D662" t="s">
        <v>2461</v>
      </c>
      <c r="E662" t="s">
        <v>2459</v>
      </c>
      <c r="F662" t="s">
        <v>28</v>
      </c>
      <c r="G662" t="s">
        <v>2459</v>
      </c>
      <c r="H662" t="str">
        <f>"tag-153"</f>
        <v>tag-153</v>
      </c>
      <c r="I662" t="s">
        <v>2461</v>
      </c>
      <c r="J662">
        <v>12.236531524980601</v>
      </c>
      <c r="K662">
        <v>11.7398447286068</v>
      </c>
      <c r="L662">
        <v>11.7652289216866</v>
      </c>
      <c r="M662" t="s">
        <v>29</v>
      </c>
      <c r="N662" t="s">
        <v>29</v>
      </c>
      <c r="O662" t="s">
        <v>29</v>
      </c>
      <c r="P662" t="s">
        <v>29</v>
      </c>
      <c r="Q662" t="s">
        <v>29</v>
      </c>
      <c r="R662" t="s">
        <v>29</v>
      </c>
      <c r="S662">
        <v>11.9927563920099</v>
      </c>
      <c r="T662" t="s">
        <v>29</v>
      </c>
      <c r="U662" t="s">
        <v>29</v>
      </c>
      <c r="V662" t="s">
        <v>29</v>
      </c>
      <c r="W662" t="s">
        <v>29</v>
      </c>
      <c r="X662" t="s">
        <v>29</v>
      </c>
      <c r="Y662" t="s">
        <v>29</v>
      </c>
    </row>
    <row r="663" spans="1:25" x14ac:dyDescent="0.2">
      <c r="A663" t="s">
        <v>2462</v>
      </c>
      <c r="B663" t="s">
        <v>2463</v>
      </c>
      <c r="C663" t="s">
        <v>2464</v>
      </c>
      <c r="D663" t="s">
        <v>2388</v>
      </c>
      <c r="E663" t="s">
        <v>2463</v>
      </c>
      <c r="F663" t="s">
        <v>28</v>
      </c>
      <c r="G663" t="s">
        <v>2463</v>
      </c>
      <c r="H663" t="str">
        <f>"gon-14"</f>
        <v>gon-14</v>
      </c>
      <c r="I663" t="s">
        <v>2388</v>
      </c>
      <c r="J663" t="s">
        <v>29</v>
      </c>
      <c r="K663" t="s">
        <v>29</v>
      </c>
      <c r="L663" t="s">
        <v>29</v>
      </c>
      <c r="M663" t="s">
        <v>29</v>
      </c>
      <c r="N663" t="s">
        <v>29</v>
      </c>
      <c r="O663" t="s">
        <v>29</v>
      </c>
      <c r="P663" t="s">
        <v>29</v>
      </c>
      <c r="Q663" t="s">
        <v>29</v>
      </c>
      <c r="R663" t="s">
        <v>29</v>
      </c>
      <c r="S663">
        <v>11.6431309786861</v>
      </c>
      <c r="T663" t="s">
        <v>29</v>
      </c>
      <c r="U663" t="s">
        <v>29</v>
      </c>
      <c r="V663" t="s">
        <v>29</v>
      </c>
      <c r="W663" t="s">
        <v>29</v>
      </c>
      <c r="X663" t="s">
        <v>29</v>
      </c>
      <c r="Y663" t="s">
        <v>29</v>
      </c>
    </row>
    <row r="664" spans="1:25" x14ac:dyDescent="0.2">
      <c r="A664" t="s">
        <v>2465</v>
      </c>
      <c r="B664" t="s">
        <v>2466</v>
      </c>
      <c r="C664" t="s">
        <v>2467</v>
      </c>
      <c r="D664" t="s">
        <v>1866</v>
      </c>
      <c r="E664" t="s">
        <v>2466</v>
      </c>
      <c r="F664" t="s">
        <v>28</v>
      </c>
      <c r="G664" t="s">
        <v>2466</v>
      </c>
      <c r="H664" t="str">
        <f>"pmp-5"</f>
        <v>pmp-5</v>
      </c>
      <c r="I664" t="s">
        <v>1866</v>
      </c>
      <c r="J664">
        <v>17.288264955517501</v>
      </c>
      <c r="K664">
        <v>17.086346484657</v>
      </c>
      <c r="L664">
        <v>17.048472275201799</v>
      </c>
      <c r="M664">
        <v>17.2269922565889</v>
      </c>
      <c r="N664">
        <v>16.654610804269701</v>
      </c>
      <c r="O664">
        <v>16.7740650763612</v>
      </c>
      <c r="P664">
        <v>-0.25580519271886398</v>
      </c>
      <c r="Q664">
        <v>-0.71138584822957396</v>
      </c>
      <c r="R664">
        <v>0.19977546279184699</v>
      </c>
      <c r="S664">
        <v>16.784625033620699</v>
      </c>
      <c r="T664">
        <v>-1.1801483246653</v>
      </c>
      <c r="U664">
        <v>-6.45260569018666</v>
      </c>
      <c r="V664">
        <v>0.25339168066853301</v>
      </c>
      <c r="W664">
        <v>0.42165176901759899</v>
      </c>
      <c r="X664">
        <v>0</v>
      </c>
      <c r="Y664">
        <v>0</v>
      </c>
    </row>
    <row r="665" spans="1:25" x14ac:dyDescent="0.2">
      <c r="A665" t="s">
        <v>2468</v>
      </c>
      <c r="B665" t="s">
        <v>2469</v>
      </c>
      <c r="C665" t="s">
        <v>2470</v>
      </c>
      <c r="D665" t="s">
        <v>2471</v>
      </c>
      <c r="E665" t="s">
        <v>2469</v>
      </c>
      <c r="F665" t="s">
        <v>28</v>
      </c>
      <c r="G665" t="s">
        <v>2469</v>
      </c>
      <c r="H665" t="str">
        <f>"tns-1"</f>
        <v>tns-1</v>
      </c>
      <c r="I665" t="s">
        <v>2471</v>
      </c>
      <c r="J665">
        <v>15.9169626048028</v>
      </c>
      <c r="K665">
        <v>16.502316771995901</v>
      </c>
      <c r="L665">
        <v>16.419002041451598</v>
      </c>
      <c r="M665">
        <v>15.439885304541001</v>
      </c>
      <c r="N665">
        <v>15.890640476872701</v>
      </c>
      <c r="O665">
        <v>15.6712552908117</v>
      </c>
      <c r="P665">
        <v>-0.61216678200831998</v>
      </c>
      <c r="Q665">
        <v>-1.0443139469302001</v>
      </c>
      <c r="R665">
        <v>-0.18001961708643799</v>
      </c>
      <c r="S665">
        <v>16.238116121404701</v>
      </c>
      <c r="T665">
        <v>-2.9773548947082502</v>
      </c>
      <c r="U665">
        <v>-3.3827371875404899</v>
      </c>
      <c r="V665">
        <v>8.1105631549939494E-3</v>
      </c>
      <c r="W665">
        <v>3.9247667681062699E-2</v>
      </c>
      <c r="X665">
        <v>0</v>
      </c>
      <c r="Y665">
        <v>0</v>
      </c>
    </row>
    <row r="666" spans="1:25" x14ac:dyDescent="0.2">
      <c r="A666" t="s">
        <v>2472</v>
      </c>
      <c r="B666" t="s">
        <v>2473</v>
      </c>
      <c r="C666" t="s">
        <v>14303</v>
      </c>
      <c r="D666" t="s">
        <v>2474</v>
      </c>
      <c r="E666" t="s">
        <v>2473</v>
      </c>
      <c r="F666" t="s">
        <v>28</v>
      </c>
      <c r="G666" t="s">
        <v>2473</v>
      </c>
      <c r="H666" t="str">
        <f>"F46H5.7"</f>
        <v>F46H5.7</v>
      </c>
      <c r="I666" t="s">
        <v>2474</v>
      </c>
      <c r="J666">
        <v>14.265900068559899</v>
      </c>
      <c r="K666">
        <v>14.348863737617</v>
      </c>
      <c r="L666">
        <v>13.5252274866652</v>
      </c>
      <c r="M666">
        <v>13.2273997178012</v>
      </c>
      <c r="N666">
        <v>15.693490896211999</v>
      </c>
      <c r="O666">
        <v>15.302202092733999</v>
      </c>
      <c r="P666">
        <v>0.69436713796836502</v>
      </c>
      <c r="Q666">
        <v>-0.19058205764675601</v>
      </c>
      <c r="R666">
        <v>1.5793163335834901</v>
      </c>
      <c r="S666">
        <v>14.5724435608572</v>
      </c>
      <c r="T666">
        <v>1.6491620533963001</v>
      </c>
      <c r="U666">
        <v>-5.8281810458125296</v>
      </c>
      <c r="V666">
        <v>0.11655776079173701</v>
      </c>
      <c r="W666">
        <v>0.24172816400650901</v>
      </c>
      <c r="X666">
        <v>0</v>
      </c>
      <c r="Y666">
        <v>0</v>
      </c>
    </row>
    <row r="667" spans="1:25" x14ac:dyDescent="0.2">
      <c r="A667" t="s">
        <v>2475</v>
      </c>
      <c r="B667" t="s">
        <v>2476</v>
      </c>
      <c r="C667" t="s">
        <v>14304</v>
      </c>
      <c r="D667" t="s">
        <v>2477</v>
      </c>
      <c r="E667" t="s">
        <v>2476</v>
      </c>
      <c r="F667" t="s">
        <v>28</v>
      </c>
      <c r="G667" t="s">
        <v>2476</v>
      </c>
      <c r="H667" t="str">
        <f>"F53A10.2"</f>
        <v>F53A10.2</v>
      </c>
      <c r="I667" t="s">
        <v>2477</v>
      </c>
      <c r="J667">
        <v>11.404036460330101</v>
      </c>
      <c r="K667">
        <v>11.1478869317875</v>
      </c>
      <c r="L667" t="s">
        <v>29</v>
      </c>
      <c r="M667" t="s">
        <v>29</v>
      </c>
      <c r="N667" t="s">
        <v>29</v>
      </c>
      <c r="O667">
        <v>11.577195949993801</v>
      </c>
      <c r="P667">
        <v>0.30123425393498598</v>
      </c>
      <c r="Q667">
        <v>-0.59262073349768396</v>
      </c>
      <c r="R667">
        <v>1.1950892413676599</v>
      </c>
      <c r="S667">
        <v>10.926695908469901</v>
      </c>
      <c r="T667">
        <v>0.74261715993213195</v>
      </c>
      <c r="U667">
        <v>-6.4648790873200097</v>
      </c>
      <c r="V667">
        <v>0.47342114187662399</v>
      </c>
      <c r="W667">
        <v>0.63388101095429805</v>
      </c>
      <c r="X667">
        <v>0</v>
      </c>
      <c r="Y667">
        <v>0</v>
      </c>
    </row>
    <row r="668" spans="1:25" x14ac:dyDescent="0.2">
      <c r="A668" t="s">
        <v>2478</v>
      </c>
      <c r="B668" t="s">
        <v>2479</v>
      </c>
      <c r="C668" t="s">
        <v>2480</v>
      </c>
      <c r="D668" t="s">
        <v>2481</v>
      </c>
      <c r="E668" t="s">
        <v>2479</v>
      </c>
      <c r="F668" t="s">
        <v>28</v>
      </c>
      <c r="G668" t="s">
        <v>2479</v>
      </c>
      <c r="H668" t="str">
        <f>"ubxn-3"</f>
        <v>ubxn-3</v>
      </c>
      <c r="I668" t="s">
        <v>2481</v>
      </c>
      <c r="J668">
        <v>13.035609724678499</v>
      </c>
      <c r="K668">
        <v>12.9134151178612</v>
      </c>
      <c r="L668">
        <v>12.7140132909324</v>
      </c>
      <c r="M668" t="s">
        <v>29</v>
      </c>
      <c r="N668" t="s">
        <v>29</v>
      </c>
      <c r="O668">
        <v>13.2795093654694</v>
      </c>
      <c r="P668">
        <v>0.39182998764537802</v>
      </c>
      <c r="Q668">
        <v>-0.196144036607383</v>
      </c>
      <c r="R668">
        <v>0.97980401189813904</v>
      </c>
      <c r="S668">
        <v>13.0491559672314</v>
      </c>
      <c r="T668">
        <v>1.421284881082</v>
      </c>
      <c r="U668">
        <v>-5.8147172349537097</v>
      </c>
      <c r="V668">
        <v>0.17583199693495399</v>
      </c>
      <c r="W668">
        <v>0.32858395368884502</v>
      </c>
      <c r="X668">
        <v>0</v>
      </c>
      <c r="Y668">
        <v>0</v>
      </c>
    </row>
    <row r="669" spans="1:25" x14ac:dyDescent="0.2">
      <c r="A669" t="s">
        <v>2482</v>
      </c>
      <c r="B669" t="s">
        <v>2483</v>
      </c>
      <c r="C669" t="s">
        <v>14305</v>
      </c>
      <c r="D669" t="s">
        <v>130</v>
      </c>
      <c r="E669" t="s">
        <v>2483</v>
      </c>
      <c r="F669" t="s">
        <v>28</v>
      </c>
      <c r="G669" t="s">
        <v>2483</v>
      </c>
      <c r="H669" t="str">
        <f>"Y14H12B.1"</f>
        <v>Y14H12B.1</v>
      </c>
      <c r="I669" t="s">
        <v>130</v>
      </c>
      <c r="J669" t="s">
        <v>29</v>
      </c>
      <c r="K669" t="s">
        <v>29</v>
      </c>
      <c r="L669" t="s">
        <v>29</v>
      </c>
      <c r="M669" t="s">
        <v>29</v>
      </c>
      <c r="N669" t="s">
        <v>29</v>
      </c>
      <c r="O669" t="s">
        <v>29</v>
      </c>
      <c r="P669" t="s">
        <v>29</v>
      </c>
      <c r="Q669" t="s">
        <v>29</v>
      </c>
      <c r="R669" t="s">
        <v>29</v>
      </c>
      <c r="S669">
        <v>13.4925330212748</v>
      </c>
      <c r="T669" t="s">
        <v>29</v>
      </c>
      <c r="U669" t="s">
        <v>29</v>
      </c>
      <c r="V669" t="s">
        <v>29</v>
      </c>
      <c r="W669" t="s">
        <v>29</v>
      </c>
      <c r="X669" t="s">
        <v>29</v>
      </c>
      <c r="Y669" t="s">
        <v>29</v>
      </c>
    </row>
    <row r="670" spans="1:25" x14ac:dyDescent="0.2">
      <c r="A670" t="s">
        <v>2484</v>
      </c>
      <c r="B670" t="s">
        <v>2485</v>
      </c>
      <c r="C670" t="s">
        <v>2486</v>
      </c>
      <c r="D670" t="s">
        <v>603</v>
      </c>
      <c r="E670" t="s">
        <v>2485</v>
      </c>
      <c r="F670" t="s">
        <v>28</v>
      </c>
      <c r="G670" t="s">
        <v>2485</v>
      </c>
      <c r="H670" t="str">
        <f>"mex-3"</f>
        <v>mex-3</v>
      </c>
      <c r="I670" t="s">
        <v>603</v>
      </c>
      <c r="J670">
        <v>12.3147512625427</v>
      </c>
      <c r="K670">
        <v>12.1765696108229</v>
      </c>
      <c r="L670">
        <v>13.0974362860547</v>
      </c>
      <c r="M670" t="s">
        <v>29</v>
      </c>
      <c r="N670">
        <v>13.3888512164812</v>
      </c>
      <c r="O670">
        <v>12.0524384249579</v>
      </c>
      <c r="P670">
        <v>0.191059100912819</v>
      </c>
      <c r="Q670">
        <v>-0.72005196717496001</v>
      </c>
      <c r="R670">
        <v>1.1021701690006001</v>
      </c>
      <c r="S670">
        <v>13.3805662383613</v>
      </c>
      <c r="T670">
        <v>0.44263568182236801</v>
      </c>
      <c r="U670">
        <v>-6.9430826123923302</v>
      </c>
      <c r="V670">
        <v>0.66364395663242703</v>
      </c>
      <c r="W670">
        <v>0.77671117561388503</v>
      </c>
      <c r="X670">
        <v>0</v>
      </c>
      <c r="Y670">
        <v>0</v>
      </c>
    </row>
    <row r="671" spans="1:25" x14ac:dyDescent="0.2">
      <c r="A671" t="s">
        <v>2487</v>
      </c>
      <c r="B671" t="s">
        <v>2488</v>
      </c>
      <c r="C671" t="s">
        <v>14306</v>
      </c>
      <c r="D671" t="s">
        <v>2489</v>
      </c>
      <c r="E671" t="s">
        <v>2488</v>
      </c>
      <c r="F671" t="s">
        <v>28</v>
      </c>
      <c r="G671" t="s">
        <v>2488</v>
      </c>
      <c r="H671" t="str">
        <f>"F56B3.4"</f>
        <v>F56B3.4</v>
      </c>
      <c r="I671" t="s">
        <v>2489</v>
      </c>
      <c r="J671">
        <v>13.461511313122701</v>
      </c>
      <c r="K671">
        <v>12.9543738790875</v>
      </c>
      <c r="L671">
        <v>12.9353630124854</v>
      </c>
      <c r="M671" t="s">
        <v>29</v>
      </c>
      <c r="N671" t="s">
        <v>29</v>
      </c>
      <c r="O671">
        <v>13.209667461602001</v>
      </c>
      <c r="P671">
        <v>9.2584726703441006E-2</v>
      </c>
      <c r="Q671">
        <v>-0.70322726301613803</v>
      </c>
      <c r="R671">
        <v>0.88839671642301998</v>
      </c>
      <c r="S671">
        <v>13.273845265492501</v>
      </c>
      <c r="T671">
        <v>0.24676206776502099</v>
      </c>
      <c r="U671">
        <v>-6.7807848222949696</v>
      </c>
      <c r="V671">
        <v>0.80825103986480795</v>
      </c>
      <c r="W671">
        <v>0.88130112412142703</v>
      </c>
      <c r="X671">
        <v>0</v>
      </c>
      <c r="Y671">
        <v>0</v>
      </c>
    </row>
    <row r="672" spans="1:25" x14ac:dyDescent="0.2">
      <c r="A672" t="s">
        <v>2490</v>
      </c>
      <c r="B672" t="s">
        <v>2491</v>
      </c>
      <c r="C672" t="s">
        <v>2492</v>
      </c>
      <c r="D672" t="s">
        <v>2493</v>
      </c>
      <c r="E672" t="s">
        <v>2491</v>
      </c>
      <c r="F672" t="s">
        <v>28</v>
      </c>
      <c r="G672" t="s">
        <v>2491</v>
      </c>
      <c r="H672" t="str">
        <f>"gck-1"</f>
        <v>gck-1</v>
      </c>
      <c r="I672" t="s">
        <v>2493</v>
      </c>
      <c r="J672">
        <v>12.9082222933068</v>
      </c>
      <c r="K672">
        <v>13.295168140867499</v>
      </c>
      <c r="L672">
        <v>13.333898301237699</v>
      </c>
      <c r="M672" t="s">
        <v>29</v>
      </c>
      <c r="N672">
        <v>12.9312939086781</v>
      </c>
      <c r="O672">
        <v>13.0551460824774</v>
      </c>
      <c r="P672">
        <v>-0.18587624955956999</v>
      </c>
      <c r="Q672">
        <v>-0.80958608603864601</v>
      </c>
      <c r="R672">
        <v>0.43783358691950602</v>
      </c>
      <c r="S672">
        <v>13.3213978744846</v>
      </c>
      <c r="T672">
        <v>-0.62905891410846204</v>
      </c>
      <c r="U672">
        <v>-6.83988238569016</v>
      </c>
      <c r="V672">
        <v>0.53772392132532398</v>
      </c>
      <c r="W672">
        <v>0.68530397669959797</v>
      </c>
      <c r="X672">
        <v>0</v>
      </c>
      <c r="Y672">
        <v>0</v>
      </c>
    </row>
    <row r="673" spans="1:25" x14ac:dyDescent="0.2">
      <c r="A673" t="s">
        <v>2494</v>
      </c>
      <c r="B673" t="s">
        <v>2495</v>
      </c>
      <c r="C673" t="s">
        <v>14307</v>
      </c>
      <c r="D673" t="s">
        <v>2496</v>
      </c>
      <c r="E673" t="s">
        <v>2495</v>
      </c>
      <c r="F673" t="s">
        <v>28</v>
      </c>
      <c r="G673" t="s">
        <v>2495</v>
      </c>
      <c r="H673" t="str">
        <f>"H14E04.2"</f>
        <v>H14E04.2</v>
      </c>
      <c r="I673" t="s">
        <v>2496</v>
      </c>
      <c r="J673">
        <v>12.2916587230833</v>
      </c>
      <c r="K673">
        <v>11.954915796608301</v>
      </c>
      <c r="L673">
        <v>12.4181164474405</v>
      </c>
      <c r="M673" t="s">
        <v>29</v>
      </c>
      <c r="N673" t="s">
        <v>29</v>
      </c>
      <c r="O673">
        <v>12.6777519845998</v>
      </c>
      <c r="P673">
        <v>0.456188328889089</v>
      </c>
      <c r="Q673">
        <v>-0.22044475749591499</v>
      </c>
      <c r="R673">
        <v>1.1328214152740901</v>
      </c>
      <c r="S673">
        <v>12.3823395606167</v>
      </c>
      <c r="T673">
        <v>1.4300145936491</v>
      </c>
      <c r="U673">
        <v>-5.8032139550371902</v>
      </c>
      <c r="V673">
        <v>0.17207528567484401</v>
      </c>
      <c r="W673">
        <v>0.32299736744189</v>
      </c>
      <c r="X673">
        <v>0</v>
      </c>
      <c r="Y673">
        <v>0</v>
      </c>
    </row>
    <row r="674" spans="1:25" x14ac:dyDescent="0.2">
      <c r="A674" t="s">
        <v>2497</v>
      </c>
      <c r="B674" t="s">
        <v>2498</v>
      </c>
      <c r="C674" t="s">
        <v>14308</v>
      </c>
      <c r="D674" t="s">
        <v>93</v>
      </c>
      <c r="E674" t="s">
        <v>2498</v>
      </c>
      <c r="F674" t="s">
        <v>28</v>
      </c>
      <c r="G674" t="s">
        <v>2498</v>
      </c>
      <c r="H674" t="str">
        <f>"H05C05.1"</f>
        <v>H05C05.1</v>
      </c>
      <c r="I674" t="s">
        <v>93</v>
      </c>
      <c r="J674">
        <v>16.487008051711999</v>
      </c>
      <c r="K674">
        <v>16.621358623173101</v>
      </c>
      <c r="L674">
        <v>16.7704967480053</v>
      </c>
      <c r="M674">
        <v>15.9808627017877</v>
      </c>
      <c r="N674">
        <v>16.307623735570399</v>
      </c>
      <c r="O674">
        <v>15.225676204058299</v>
      </c>
      <c r="P674">
        <v>-0.78823359382465896</v>
      </c>
      <c r="Q674">
        <v>-1.2717490241237499</v>
      </c>
      <c r="R674">
        <v>-0.30471816352556402</v>
      </c>
      <c r="S674">
        <v>16.710897569667701</v>
      </c>
      <c r="T674">
        <v>-3.4263925346673698</v>
      </c>
      <c r="U674">
        <v>-2.42747959247286</v>
      </c>
      <c r="V674">
        <v>3.0306675209507299E-3</v>
      </c>
      <c r="W674">
        <v>1.9672636969695598E-2</v>
      </c>
      <c r="X674">
        <v>0</v>
      </c>
      <c r="Y674">
        <v>0</v>
      </c>
    </row>
    <row r="675" spans="1:25" x14ac:dyDescent="0.2">
      <c r="A675" t="s">
        <v>2499</v>
      </c>
      <c r="B675" t="s">
        <v>2500</v>
      </c>
      <c r="C675" t="s">
        <v>2501</v>
      </c>
      <c r="D675" t="s">
        <v>2502</v>
      </c>
      <c r="E675" t="s">
        <v>2500</v>
      </c>
      <c r="F675" t="s">
        <v>28</v>
      </c>
      <c r="G675" t="s">
        <v>2500</v>
      </c>
      <c r="H675" t="str">
        <f>"emc-1"</f>
        <v>emc-1</v>
      </c>
      <c r="I675" t="s">
        <v>2502</v>
      </c>
      <c r="J675">
        <v>14.497776864263299</v>
      </c>
      <c r="K675">
        <v>14.377996137183001</v>
      </c>
      <c r="L675">
        <v>14.1454522113947</v>
      </c>
      <c r="M675">
        <v>12.711447326097099</v>
      </c>
      <c r="N675">
        <v>12.783181221786201</v>
      </c>
      <c r="O675">
        <v>13.540224016715699</v>
      </c>
      <c r="P675">
        <v>-1.3287908827473001</v>
      </c>
      <c r="Q675">
        <v>-1.9180688901707501</v>
      </c>
      <c r="R675">
        <v>-0.73951287532385501</v>
      </c>
      <c r="S675">
        <v>13.633342330467601</v>
      </c>
      <c r="T675">
        <v>-4.73946062758435</v>
      </c>
      <c r="U675">
        <v>0.45649924420802401</v>
      </c>
      <c r="V675">
        <v>1.6615100666433899E-4</v>
      </c>
      <c r="W675">
        <v>2.4855178509634898E-3</v>
      </c>
      <c r="X675">
        <v>-1</v>
      </c>
      <c r="Y675">
        <v>-1</v>
      </c>
    </row>
    <row r="676" spans="1:25" x14ac:dyDescent="0.2">
      <c r="A676" t="s">
        <v>2503</v>
      </c>
      <c r="B676" t="s">
        <v>2504</v>
      </c>
      <c r="C676" t="s">
        <v>2505</v>
      </c>
      <c r="D676" t="s">
        <v>534</v>
      </c>
      <c r="E676" t="s">
        <v>2504</v>
      </c>
      <c r="F676" t="s">
        <v>28</v>
      </c>
      <c r="G676" t="s">
        <v>2504</v>
      </c>
      <c r="H676" t="str">
        <f>"wdr-62"</f>
        <v>wdr-62</v>
      </c>
      <c r="I676" t="s">
        <v>534</v>
      </c>
      <c r="J676" t="s">
        <v>29</v>
      </c>
      <c r="K676">
        <v>10.499841664551401</v>
      </c>
      <c r="L676">
        <v>10.244368524957</v>
      </c>
      <c r="M676" t="s">
        <v>29</v>
      </c>
      <c r="N676" t="s">
        <v>29</v>
      </c>
      <c r="O676" t="s">
        <v>29</v>
      </c>
      <c r="P676" t="s">
        <v>29</v>
      </c>
      <c r="Q676" t="s">
        <v>29</v>
      </c>
      <c r="R676" t="s">
        <v>29</v>
      </c>
      <c r="S676">
        <v>10.2300857561074</v>
      </c>
      <c r="T676" t="s">
        <v>29</v>
      </c>
      <c r="U676" t="s">
        <v>29</v>
      </c>
      <c r="V676" t="s">
        <v>29</v>
      </c>
      <c r="W676" t="s">
        <v>29</v>
      </c>
      <c r="X676" t="s">
        <v>29</v>
      </c>
      <c r="Y676" t="s">
        <v>29</v>
      </c>
    </row>
    <row r="677" spans="1:25" x14ac:dyDescent="0.2">
      <c r="A677" t="s">
        <v>2506</v>
      </c>
      <c r="B677" t="s">
        <v>2507</v>
      </c>
      <c r="C677" t="s">
        <v>2508</v>
      </c>
      <c r="D677" t="s">
        <v>93</v>
      </c>
      <c r="E677" t="s">
        <v>2507</v>
      </c>
      <c r="F677" t="s">
        <v>28</v>
      </c>
      <c r="G677" t="s">
        <v>2507</v>
      </c>
      <c r="H677" t="str">
        <f>"hrpa-2"</f>
        <v>hrpa-2</v>
      </c>
      <c r="I677" t="s">
        <v>93</v>
      </c>
      <c r="J677" t="s">
        <v>29</v>
      </c>
      <c r="K677" t="s">
        <v>29</v>
      </c>
      <c r="L677" t="s">
        <v>29</v>
      </c>
      <c r="M677" t="s">
        <v>29</v>
      </c>
      <c r="N677" t="s">
        <v>29</v>
      </c>
      <c r="O677" t="s">
        <v>29</v>
      </c>
      <c r="P677" t="s">
        <v>29</v>
      </c>
      <c r="Q677" t="s">
        <v>29</v>
      </c>
      <c r="R677" t="s">
        <v>29</v>
      </c>
      <c r="S677">
        <v>10.654036370191101</v>
      </c>
      <c r="T677" t="s">
        <v>29</v>
      </c>
      <c r="U677" t="s">
        <v>29</v>
      </c>
      <c r="V677" t="s">
        <v>29</v>
      </c>
      <c r="W677" t="s">
        <v>29</v>
      </c>
      <c r="X677" t="s">
        <v>29</v>
      </c>
      <c r="Y677" t="s">
        <v>29</v>
      </c>
    </row>
    <row r="678" spans="1:25" x14ac:dyDescent="0.2">
      <c r="A678" t="s">
        <v>2509</v>
      </c>
      <c r="B678" t="s">
        <v>2510</v>
      </c>
      <c r="C678" t="s">
        <v>2511</v>
      </c>
      <c r="D678" t="s">
        <v>319</v>
      </c>
      <c r="E678" t="s">
        <v>2510</v>
      </c>
      <c r="F678" t="s">
        <v>28</v>
      </c>
      <c r="G678" t="s">
        <v>2510</v>
      </c>
      <c r="H678" t="str">
        <f>"mct-4"</f>
        <v>mct-4</v>
      </c>
      <c r="I678" t="s">
        <v>319</v>
      </c>
      <c r="J678">
        <v>14.650778926955301</v>
      </c>
      <c r="K678">
        <v>14.8443101766828</v>
      </c>
      <c r="L678">
        <v>14.8732296307792</v>
      </c>
      <c r="M678" t="s">
        <v>29</v>
      </c>
      <c r="N678">
        <v>14.3865813753093</v>
      </c>
      <c r="O678">
        <v>14.238672451485799</v>
      </c>
      <c r="P678">
        <v>-0.47681266474154999</v>
      </c>
      <c r="Q678">
        <v>-0.91442978145995402</v>
      </c>
      <c r="R678">
        <v>-3.9195548023145399E-2</v>
      </c>
      <c r="S678">
        <v>14.9749129847074</v>
      </c>
      <c r="T678">
        <v>-2.2998710950371999</v>
      </c>
      <c r="U678">
        <v>-4.62924705685856</v>
      </c>
      <c r="V678">
        <v>3.4480980605685697E-2</v>
      </c>
      <c r="W678">
        <v>0.107076343356118</v>
      </c>
      <c r="X678">
        <v>0</v>
      </c>
      <c r="Y678">
        <v>0</v>
      </c>
    </row>
    <row r="679" spans="1:25" x14ac:dyDescent="0.2">
      <c r="A679" t="s">
        <v>2512</v>
      </c>
      <c r="B679" t="s">
        <v>2513</v>
      </c>
      <c r="C679" t="s">
        <v>2514</v>
      </c>
      <c r="D679" t="s">
        <v>2515</v>
      </c>
      <c r="E679" t="s">
        <v>2513</v>
      </c>
      <c r="F679" t="s">
        <v>28</v>
      </c>
      <c r="G679" t="s">
        <v>2513</v>
      </c>
      <c r="H679" t="str">
        <f>"gei-4"</f>
        <v>gei-4</v>
      </c>
      <c r="I679" t="s">
        <v>2515</v>
      </c>
      <c r="J679">
        <v>12.631410749339601</v>
      </c>
      <c r="K679">
        <v>13.509243204571399</v>
      </c>
      <c r="L679">
        <v>13.468303006065399</v>
      </c>
      <c r="M679">
        <v>13.472368085178299</v>
      </c>
      <c r="N679">
        <v>13.918120351592099</v>
      </c>
      <c r="O679">
        <v>13.980035472548099</v>
      </c>
      <c r="P679">
        <v>0.58718898311402301</v>
      </c>
      <c r="Q679">
        <v>8.76048631070932E-2</v>
      </c>
      <c r="R679">
        <v>1.08677310312095</v>
      </c>
      <c r="S679">
        <v>13.6610830868287</v>
      </c>
      <c r="T679">
        <v>2.47036875978905</v>
      </c>
      <c r="U679">
        <v>-4.40323897771707</v>
      </c>
      <c r="V679">
        <v>2.3787900818456699E-2</v>
      </c>
      <c r="W679">
        <v>8.2571194007057702E-2</v>
      </c>
      <c r="X679">
        <v>0</v>
      </c>
      <c r="Y679">
        <v>0</v>
      </c>
    </row>
    <row r="680" spans="1:25" x14ac:dyDescent="0.2">
      <c r="A680" t="s">
        <v>2516</v>
      </c>
      <c r="B680" t="s">
        <v>2517</v>
      </c>
      <c r="C680" t="s">
        <v>14161</v>
      </c>
      <c r="D680" t="s">
        <v>2518</v>
      </c>
      <c r="E680" t="s">
        <v>2517</v>
      </c>
      <c r="F680" t="s">
        <v>28</v>
      </c>
      <c r="G680" t="s">
        <v>2517</v>
      </c>
      <c r="H680" t="str">
        <f>"M01H9.3"</f>
        <v>M01H9.3</v>
      </c>
      <c r="I680" t="s">
        <v>2518</v>
      </c>
      <c r="J680" t="s">
        <v>29</v>
      </c>
      <c r="K680" t="s">
        <v>29</v>
      </c>
      <c r="L680" t="s">
        <v>29</v>
      </c>
      <c r="M680">
        <v>16.939065543609601</v>
      </c>
      <c r="N680">
        <v>17.400783030521101</v>
      </c>
      <c r="O680">
        <v>16.470549623908902</v>
      </c>
      <c r="P680" t="s">
        <v>29</v>
      </c>
      <c r="Q680" t="s">
        <v>29</v>
      </c>
      <c r="R680" t="s">
        <v>29</v>
      </c>
      <c r="S680">
        <v>15.559359198075001</v>
      </c>
      <c r="T680" t="s">
        <v>29</v>
      </c>
      <c r="U680" t="s">
        <v>29</v>
      </c>
      <c r="V680" t="s">
        <v>29</v>
      </c>
      <c r="W680" t="s">
        <v>29</v>
      </c>
      <c r="X680" t="s">
        <v>29</v>
      </c>
      <c r="Y680" t="s">
        <v>29</v>
      </c>
    </row>
    <row r="681" spans="1:25" x14ac:dyDescent="0.2">
      <c r="A681" t="s">
        <v>2519</v>
      </c>
      <c r="B681" t="s">
        <v>2520</v>
      </c>
      <c r="C681" t="s">
        <v>14309</v>
      </c>
      <c r="D681" t="s">
        <v>666</v>
      </c>
      <c r="E681" t="s">
        <v>2520</v>
      </c>
      <c r="F681" t="s">
        <v>28</v>
      </c>
      <c r="G681" t="s">
        <v>2520</v>
      </c>
      <c r="H681" t="str">
        <f>"ZK180.5"</f>
        <v>ZK180.5</v>
      </c>
      <c r="I681" t="s">
        <v>666</v>
      </c>
      <c r="J681" t="s">
        <v>29</v>
      </c>
      <c r="K681" t="s">
        <v>29</v>
      </c>
      <c r="L681">
        <v>11.636905023415901</v>
      </c>
      <c r="M681" t="s">
        <v>29</v>
      </c>
      <c r="N681" t="s">
        <v>29</v>
      </c>
      <c r="O681">
        <v>11.7850049446174</v>
      </c>
      <c r="P681">
        <v>0.14809992120149901</v>
      </c>
      <c r="Q681">
        <v>-1.5996114412209701</v>
      </c>
      <c r="R681">
        <v>1.89581128362397</v>
      </c>
      <c r="S681">
        <v>10.7250128272807</v>
      </c>
      <c r="T681">
        <v>0.20824769407277999</v>
      </c>
      <c r="U681">
        <v>-6.5881018567696996</v>
      </c>
      <c r="V681">
        <v>0.84204369832815396</v>
      </c>
      <c r="W681">
        <v>0.90072696151472498</v>
      </c>
      <c r="X681">
        <v>0</v>
      </c>
      <c r="Y681">
        <v>0</v>
      </c>
    </row>
    <row r="682" spans="1:25" x14ac:dyDescent="0.2">
      <c r="A682" t="s">
        <v>2521</v>
      </c>
      <c r="B682" t="s">
        <v>2522</v>
      </c>
      <c r="C682" t="s">
        <v>2523</v>
      </c>
      <c r="D682" t="s">
        <v>2524</v>
      </c>
      <c r="E682" t="s">
        <v>2522</v>
      </c>
      <c r="F682" t="s">
        <v>28</v>
      </c>
      <c r="G682" t="s">
        <v>2522</v>
      </c>
      <c r="H682" t="str">
        <f>"wapl-1"</f>
        <v>wapl-1</v>
      </c>
      <c r="I682" t="s">
        <v>2524</v>
      </c>
      <c r="J682">
        <v>14.2126431041711</v>
      </c>
      <c r="K682">
        <v>13.8629424779619</v>
      </c>
      <c r="L682">
        <v>13.9009953092394</v>
      </c>
      <c r="M682">
        <v>13.554495929613701</v>
      </c>
      <c r="N682">
        <v>14.210593329456399</v>
      </c>
      <c r="O682">
        <v>14.3007772464802</v>
      </c>
      <c r="P682">
        <v>2.9761871392608399E-2</v>
      </c>
      <c r="Q682">
        <v>-0.39619926713168502</v>
      </c>
      <c r="R682">
        <v>0.45572300991690201</v>
      </c>
      <c r="S682">
        <v>13.871516222289801</v>
      </c>
      <c r="T682">
        <v>0.14685298197321101</v>
      </c>
      <c r="U682">
        <v>-7.1449913610778797</v>
      </c>
      <c r="V682">
        <v>0.88488985047228397</v>
      </c>
      <c r="W682">
        <v>0.930681794911427</v>
      </c>
      <c r="X682">
        <v>0</v>
      </c>
      <c r="Y682">
        <v>0</v>
      </c>
    </row>
    <row r="683" spans="1:25" x14ac:dyDescent="0.2">
      <c r="A683" t="s">
        <v>2525</v>
      </c>
      <c r="B683" t="s">
        <v>2526</v>
      </c>
      <c r="C683" t="s">
        <v>14310</v>
      </c>
      <c r="D683" t="s">
        <v>2527</v>
      </c>
      <c r="E683" t="s">
        <v>2526</v>
      </c>
      <c r="F683" t="s">
        <v>28</v>
      </c>
      <c r="G683" t="s">
        <v>2526</v>
      </c>
      <c r="H683" t="str">
        <f>"Y67D8A.2"</f>
        <v>Y67D8A.2</v>
      </c>
      <c r="I683" t="s">
        <v>2527</v>
      </c>
      <c r="J683">
        <v>12.573559682252</v>
      </c>
      <c r="K683">
        <v>12.066183878227299</v>
      </c>
      <c r="L683">
        <v>12.6050993426731</v>
      </c>
      <c r="M683" t="s">
        <v>29</v>
      </c>
      <c r="N683" t="s">
        <v>29</v>
      </c>
      <c r="O683">
        <v>12.558194036545499</v>
      </c>
      <c r="P683">
        <v>0.14324640216134399</v>
      </c>
      <c r="Q683">
        <v>-0.49870177597265303</v>
      </c>
      <c r="R683">
        <v>0.78519458029534095</v>
      </c>
      <c r="S683">
        <v>12.532777561550899</v>
      </c>
      <c r="T683">
        <v>0.47329648812866798</v>
      </c>
      <c r="U683">
        <v>-6.6958914193454797</v>
      </c>
      <c r="V683">
        <v>0.642436333419241</v>
      </c>
      <c r="W683">
        <v>0.76279608162228196</v>
      </c>
      <c r="X683">
        <v>0</v>
      </c>
      <c r="Y683">
        <v>0</v>
      </c>
    </row>
    <row r="684" spans="1:25" x14ac:dyDescent="0.2">
      <c r="A684" t="s">
        <v>2528</v>
      </c>
      <c r="B684" t="s">
        <v>2529</v>
      </c>
      <c r="C684" t="s">
        <v>2530</v>
      </c>
      <c r="D684" t="s">
        <v>2531</v>
      </c>
      <c r="E684" t="s">
        <v>2529</v>
      </c>
      <c r="F684" t="s">
        <v>28</v>
      </c>
      <c r="G684" t="s">
        <v>2529</v>
      </c>
      <c r="H684" t="str">
        <f>"fnip-2"</f>
        <v>fnip-2</v>
      </c>
      <c r="I684" t="s">
        <v>2531</v>
      </c>
      <c r="J684">
        <v>12.7568947828264</v>
      </c>
      <c r="K684">
        <v>12.9334017189777</v>
      </c>
      <c r="L684">
        <v>12.744961570494301</v>
      </c>
      <c r="M684" t="s">
        <v>29</v>
      </c>
      <c r="N684" t="s">
        <v>29</v>
      </c>
      <c r="O684">
        <v>12.189594183114901</v>
      </c>
      <c r="P684">
        <v>-0.62215850765127501</v>
      </c>
      <c r="Q684">
        <v>-1.3303902563987</v>
      </c>
      <c r="R684">
        <v>8.6073241096147196E-2</v>
      </c>
      <c r="S684">
        <v>13.348089840836799</v>
      </c>
      <c r="T684">
        <v>-1.8632673870819301</v>
      </c>
      <c r="U684">
        <v>-5.1657058881037603</v>
      </c>
      <c r="V684">
        <v>8.1007805903193994E-2</v>
      </c>
      <c r="W684">
        <v>0.18901821377411901</v>
      </c>
      <c r="X684">
        <v>0</v>
      </c>
      <c r="Y684">
        <v>0</v>
      </c>
    </row>
    <row r="685" spans="1:25" x14ac:dyDescent="0.2">
      <c r="A685" t="s">
        <v>2532</v>
      </c>
      <c r="B685" t="s">
        <v>2533</v>
      </c>
      <c r="C685" t="s">
        <v>14311</v>
      </c>
      <c r="D685" t="s">
        <v>2534</v>
      </c>
      <c r="E685" t="s">
        <v>2533</v>
      </c>
      <c r="F685" t="s">
        <v>28</v>
      </c>
      <c r="G685" t="s">
        <v>2533</v>
      </c>
      <c r="H685" t="str">
        <f>"ZC328.3"</f>
        <v>ZC328.3</v>
      </c>
      <c r="I685" t="s">
        <v>2534</v>
      </c>
      <c r="J685" t="s">
        <v>29</v>
      </c>
      <c r="K685" t="s">
        <v>29</v>
      </c>
      <c r="L685" t="s">
        <v>29</v>
      </c>
      <c r="M685" t="s">
        <v>29</v>
      </c>
      <c r="N685" t="s">
        <v>29</v>
      </c>
      <c r="O685" t="s">
        <v>29</v>
      </c>
      <c r="P685" t="s">
        <v>29</v>
      </c>
      <c r="Q685" t="s">
        <v>29</v>
      </c>
      <c r="R685" t="s">
        <v>29</v>
      </c>
      <c r="S685">
        <v>10.7264338736446</v>
      </c>
      <c r="T685" t="s">
        <v>29</v>
      </c>
      <c r="U685" t="s">
        <v>29</v>
      </c>
      <c r="V685" t="s">
        <v>29</v>
      </c>
      <c r="W685" t="s">
        <v>29</v>
      </c>
      <c r="X685" t="s">
        <v>29</v>
      </c>
      <c r="Y685" t="s">
        <v>29</v>
      </c>
    </row>
    <row r="686" spans="1:25" x14ac:dyDescent="0.2">
      <c r="A686" t="s">
        <v>2535</v>
      </c>
      <c r="B686" t="s">
        <v>2536</v>
      </c>
      <c r="C686" t="s">
        <v>2537</v>
      </c>
      <c r="D686" t="s">
        <v>2538</v>
      </c>
      <c r="E686" t="s">
        <v>2536</v>
      </c>
      <c r="F686" t="s">
        <v>28</v>
      </c>
      <c r="G686" t="s">
        <v>2536</v>
      </c>
      <c r="H686" t="str">
        <f>"pod-2"</f>
        <v>pod-2</v>
      </c>
      <c r="I686" t="s">
        <v>2538</v>
      </c>
      <c r="J686">
        <v>17.605670530669901</v>
      </c>
      <c r="K686">
        <v>17.9152786740677</v>
      </c>
      <c r="L686">
        <v>17.631092150898599</v>
      </c>
      <c r="M686">
        <v>18.451444561303099</v>
      </c>
      <c r="N686">
        <v>18.532526016549699</v>
      </c>
      <c r="O686">
        <v>18.1591169532165</v>
      </c>
      <c r="P686">
        <v>0.66368205847772499</v>
      </c>
      <c r="Q686">
        <v>0.13592319702119801</v>
      </c>
      <c r="R686">
        <v>1.1914409199342499</v>
      </c>
      <c r="S686">
        <v>17.632666923833199</v>
      </c>
      <c r="T686">
        <v>2.64312106770956</v>
      </c>
      <c r="U686">
        <v>-4.0644941362502198</v>
      </c>
      <c r="V686">
        <v>1.65824257036046E-2</v>
      </c>
      <c r="W686">
        <v>6.51762611599907E-2</v>
      </c>
      <c r="X686">
        <v>0</v>
      </c>
      <c r="Y686">
        <v>0</v>
      </c>
    </row>
    <row r="687" spans="1:25" x14ac:dyDescent="0.2">
      <c r="A687" t="s">
        <v>2539</v>
      </c>
      <c r="B687" t="s">
        <v>2540</v>
      </c>
      <c r="C687" t="s">
        <v>2541</v>
      </c>
      <c r="D687" t="s">
        <v>2542</v>
      </c>
      <c r="E687" t="s">
        <v>2540</v>
      </c>
      <c r="F687" t="s">
        <v>28</v>
      </c>
      <c r="G687" t="s">
        <v>2540</v>
      </c>
      <c r="H687" t="str">
        <f>"ral-1"</f>
        <v>ral-1</v>
      </c>
      <c r="I687" t="s">
        <v>2542</v>
      </c>
      <c r="J687">
        <v>14.9192226781323</v>
      </c>
      <c r="K687">
        <v>14.7242491036715</v>
      </c>
      <c r="L687">
        <v>14.6440181158789</v>
      </c>
      <c r="M687">
        <v>13.7314531676453</v>
      </c>
      <c r="N687">
        <v>14.381252358991301</v>
      </c>
      <c r="O687">
        <v>14.5157784198169</v>
      </c>
      <c r="P687">
        <v>-0.55300198374305198</v>
      </c>
      <c r="Q687">
        <v>-0.98250256440494499</v>
      </c>
      <c r="R687">
        <v>-0.12350140308115901</v>
      </c>
      <c r="S687">
        <v>14.403182828393099</v>
      </c>
      <c r="T687">
        <v>-2.70617231687174</v>
      </c>
      <c r="U687">
        <v>-3.93834623842513</v>
      </c>
      <c r="V687">
        <v>1.45123195598744E-2</v>
      </c>
      <c r="W687">
        <v>5.91532582890038E-2</v>
      </c>
      <c r="X687">
        <v>0</v>
      </c>
      <c r="Y687">
        <v>0</v>
      </c>
    </row>
    <row r="688" spans="1:25" x14ac:dyDescent="0.2">
      <c r="A688" t="s">
        <v>2543</v>
      </c>
      <c r="B688" t="s">
        <v>2544</v>
      </c>
      <c r="C688" t="s">
        <v>14312</v>
      </c>
      <c r="D688" t="s">
        <v>2545</v>
      </c>
      <c r="E688" t="s">
        <v>2544</v>
      </c>
      <c r="F688" t="s">
        <v>28</v>
      </c>
      <c r="G688" t="s">
        <v>2544</v>
      </c>
      <c r="H688" t="str">
        <f>"Y119D3B.12"</f>
        <v>Y119D3B.12</v>
      </c>
      <c r="I688" t="s">
        <v>2545</v>
      </c>
      <c r="J688">
        <v>11.6837141319615</v>
      </c>
      <c r="K688">
        <v>11.717599145776299</v>
      </c>
      <c r="L688">
        <v>12.515699366843901</v>
      </c>
      <c r="M688" t="s">
        <v>29</v>
      </c>
      <c r="N688" t="s">
        <v>29</v>
      </c>
      <c r="O688">
        <v>13.246373699127201</v>
      </c>
      <c r="P688">
        <v>1.27403615093332</v>
      </c>
      <c r="Q688">
        <v>0.219236892547861</v>
      </c>
      <c r="R688">
        <v>2.32883540931878</v>
      </c>
      <c r="S688">
        <v>13.0234935374803</v>
      </c>
      <c r="T688">
        <v>2.5618958216191401</v>
      </c>
      <c r="U688">
        <v>-3.9340136888610702</v>
      </c>
      <c r="V688">
        <v>2.0971757933673799E-2</v>
      </c>
      <c r="W688">
        <v>7.5951387775339094E-2</v>
      </c>
      <c r="X688">
        <v>1</v>
      </c>
      <c r="Y688">
        <v>0</v>
      </c>
    </row>
    <row r="689" spans="1:25" x14ac:dyDescent="0.2">
      <c r="A689" t="s">
        <v>2546</v>
      </c>
      <c r="B689" t="s">
        <v>2547</v>
      </c>
      <c r="C689" t="s">
        <v>14313</v>
      </c>
      <c r="D689" t="s">
        <v>2548</v>
      </c>
      <c r="E689" t="s">
        <v>2547</v>
      </c>
      <c r="F689" t="s">
        <v>28</v>
      </c>
      <c r="G689" t="s">
        <v>2547</v>
      </c>
      <c r="H689" t="str">
        <f>"F19B6.1"</f>
        <v>F19B6.1</v>
      </c>
      <c r="I689" t="s">
        <v>2548</v>
      </c>
      <c r="J689">
        <v>13.4578143767407</v>
      </c>
      <c r="K689">
        <v>13.003588703238799</v>
      </c>
      <c r="L689">
        <v>13.3693075401758</v>
      </c>
      <c r="M689" t="s">
        <v>29</v>
      </c>
      <c r="N689" t="s">
        <v>29</v>
      </c>
      <c r="O689">
        <v>13.9437430160897</v>
      </c>
      <c r="P689">
        <v>0.666839476037971</v>
      </c>
      <c r="Q689">
        <v>-5.4322810565257298E-2</v>
      </c>
      <c r="R689">
        <v>1.3880017626412</v>
      </c>
      <c r="S689">
        <v>13.6219074238369</v>
      </c>
      <c r="T689">
        <v>1.9612719824957501</v>
      </c>
      <c r="U689">
        <v>-5.0061304613290103</v>
      </c>
      <c r="V689">
        <v>6.7608154746573002E-2</v>
      </c>
      <c r="W689">
        <v>0.16771685021492699</v>
      </c>
      <c r="X689">
        <v>0</v>
      </c>
      <c r="Y689">
        <v>0</v>
      </c>
    </row>
    <row r="690" spans="1:25" x14ac:dyDescent="0.2">
      <c r="A690" t="s">
        <v>2549</v>
      </c>
      <c r="B690" t="s">
        <v>2550</v>
      </c>
      <c r="C690" t="s">
        <v>14314</v>
      </c>
      <c r="D690" t="s">
        <v>2551</v>
      </c>
      <c r="E690" t="s">
        <v>2550</v>
      </c>
      <c r="F690" t="s">
        <v>28</v>
      </c>
      <c r="G690" t="s">
        <v>2550</v>
      </c>
      <c r="H690" t="str">
        <f>"F46B6.5"</f>
        <v>F46B6.5</v>
      </c>
      <c r="I690" t="s">
        <v>2551</v>
      </c>
      <c r="J690">
        <v>10.7305527141125</v>
      </c>
      <c r="K690">
        <v>11.572016215433999</v>
      </c>
      <c r="L690">
        <v>11.453337467638899</v>
      </c>
      <c r="M690" t="s">
        <v>29</v>
      </c>
      <c r="N690" t="s">
        <v>29</v>
      </c>
      <c r="O690">
        <v>12.101447805785</v>
      </c>
      <c r="P690">
        <v>0.84947900672315901</v>
      </c>
      <c r="Q690">
        <v>3.72207197571649E-2</v>
      </c>
      <c r="R690">
        <v>1.6617372936891499</v>
      </c>
      <c r="S690">
        <v>11.7803846393436</v>
      </c>
      <c r="T690">
        <v>2.2304891013710999</v>
      </c>
      <c r="U690">
        <v>-4.5537158417125898</v>
      </c>
      <c r="V690">
        <v>4.1525631848097398E-2</v>
      </c>
      <c r="W690">
        <v>0.120502696521331</v>
      </c>
      <c r="X690">
        <v>0</v>
      </c>
      <c r="Y690">
        <v>0</v>
      </c>
    </row>
    <row r="691" spans="1:25" x14ac:dyDescent="0.2">
      <c r="A691" t="s">
        <v>2552</v>
      </c>
      <c r="B691" t="s">
        <v>2553</v>
      </c>
      <c r="C691" t="s">
        <v>2554</v>
      </c>
      <c r="D691" t="s">
        <v>2477</v>
      </c>
      <c r="E691" t="s">
        <v>2553</v>
      </c>
      <c r="F691" t="s">
        <v>28</v>
      </c>
      <c r="G691" t="s">
        <v>2553</v>
      </c>
      <c r="H691" t="str">
        <f>"sipa-1"</f>
        <v>sipa-1</v>
      </c>
      <c r="I691" t="s">
        <v>2477</v>
      </c>
      <c r="J691" t="s">
        <v>29</v>
      </c>
      <c r="K691" t="s">
        <v>29</v>
      </c>
      <c r="L691" t="s">
        <v>29</v>
      </c>
      <c r="M691" t="s">
        <v>29</v>
      </c>
      <c r="N691" t="s">
        <v>29</v>
      </c>
      <c r="O691">
        <v>13.1234458748919</v>
      </c>
      <c r="P691" t="s">
        <v>29</v>
      </c>
      <c r="Q691" t="s">
        <v>29</v>
      </c>
      <c r="R691" t="s">
        <v>29</v>
      </c>
      <c r="S691">
        <v>11.830758406543399</v>
      </c>
      <c r="T691" t="s">
        <v>29</v>
      </c>
      <c r="U691" t="s">
        <v>29</v>
      </c>
      <c r="V691" t="s">
        <v>29</v>
      </c>
      <c r="W691" t="s">
        <v>29</v>
      </c>
      <c r="X691" t="s">
        <v>29</v>
      </c>
      <c r="Y691" t="s">
        <v>29</v>
      </c>
    </row>
    <row r="692" spans="1:25" x14ac:dyDescent="0.2">
      <c r="A692" t="s">
        <v>2555</v>
      </c>
      <c r="B692" t="s">
        <v>2556</v>
      </c>
      <c r="C692" t="s">
        <v>2557</v>
      </c>
      <c r="D692" t="s">
        <v>93</v>
      </c>
      <c r="E692" t="s">
        <v>2556</v>
      </c>
      <c r="F692" t="s">
        <v>28</v>
      </c>
      <c r="G692" t="s">
        <v>2556</v>
      </c>
      <c r="H692" t="str">
        <f>"rbm-25"</f>
        <v>rbm-25</v>
      </c>
      <c r="I692" t="s">
        <v>93</v>
      </c>
      <c r="J692">
        <v>11.7038115024974</v>
      </c>
      <c r="K692">
        <v>12.745187327638099</v>
      </c>
      <c r="L692">
        <v>12.7990038322394</v>
      </c>
      <c r="M692" t="s">
        <v>29</v>
      </c>
      <c r="N692" t="s">
        <v>29</v>
      </c>
      <c r="O692" t="s">
        <v>29</v>
      </c>
      <c r="P692" t="s">
        <v>29</v>
      </c>
      <c r="Q692" t="s">
        <v>29</v>
      </c>
      <c r="R692" t="s">
        <v>29</v>
      </c>
      <c r="S692">
        <v>12.273229962035</v>
      </c>
      <c r="T692" t="s">
        <v>29</v>
      </c>
      <c r="U692" t="s">
        <v>29</v>
      </c>
      <c r="V692" t="s">
        <v>29</v>
      </c>
      <c r="W692" t="s">
        <v>29</v>
      </c>
      <c r="X692" t="s">
        <v>29</v>
      </c>
      <c r="Y692" t="s">
        <v>29</v>
      </c>
    </row>
    <row r="693" spans="1:25" x14ac:dyDescent="0.2">
      <c r="A693" t="s">
        <v>2558</v>
      </c>
      <c r="B693" t="s">
        <v>2559</v>
      </c>
      <c r="C693" t="s">
        <v>2560</v>
      </c>
      <c r="D693" t="s">
        <v>2561</v>
      </c>
      <c r="E693" t="s">
        <v>2559</v>
      </c>
      <c r="F693" t="s">
        <v>28</v>
      </c>
      <c r="G693" t="s">
        <v>2559</v>
      </c>
      <c r="H693" t="str">
        <f>"C50B6.3"</f>
        <v>C50B6.3</v>
      </c>
      <c r="I693" t="s">
        <v>2561</v>
      </c>
      <c r="J693">
        <v>12.2394522405166</v>
      </c>
      <c r="K693">
        <v>12.422421879404601</v>
      </c>
      <c r="L693">
        <v>12.5516178459199</v>
      </c>
      <c r="M693" t="s">
        <v>29</v>
      </c>
      <c r="N693" t="s">
        <v>29</v>
      </c>
      <c r="O693">
        <v>12.5449077638169</v>
      </c>
      <c r="P693">
        <v>0.14041044186985199</v>
      </c>
      <c r="Q693">
        <v>-0.67177740533646602</v>
      </c>
      <c r="R693">
        <v>0.95259828907616995</v>
      </c>
      <c r="S693">
        <v>12.747430116306299</v>
      </c>
      <c r="T693">
        <v>0.36870966766343499</v>
      </c>
      <c r="U693">
        <v>-6.7413524729266898</v>
      </c>
      <c r="V693">
        <v>0.71753220300211196</v>
      </c>
      <c r="W693">
        <v>0.81738206503564903</v>
      </c>
      <c r="X693">
        <v>0</v>
      </c>
      <c r="Y693">
        <v>0</v>
      </c>
    </row>
    <row r="694" spans="1:25" x14ac:dyDescent="0.2">
      <c r="A694" t="s">
        <v>2562</v>
      </c>
      <c r="B694" t="s">
        <v>2563</v>
      </c>
      <c r="C694" t="s">
        <v>2564</v>
      </c>
      <c r="D694" t="s">
        <v>1382</v>
      </c>
      <c r="E694" t="s">
        <v>2563</v>
      </c>
      <c r="F694" t="s">
        <v>28</v>
      </c>
      <c r="G694" t="s">
        <v>2563</v>
      </c>
      <c r="H694" t="str">
        <f>"tba-1"</f>
        <v>tba-1</v>
      </c>
      <c r="I694" t="s">
        <v>1382</v>
      </c>
      <c r="J694">
        <v>21.050561193917101</v>
      </c>
      <c r="K694">
        <v>21.011768206041101</v>
      </c>
      <c r="L694">
        <v>20.994787730256999</v>
      </c>
      <c r="M694">
        <v>20.802462407121698</v>
      </c>
      <c r="N694">
        <v>20.9399062446088</v>
      </c>
      <c r="O694">
        <v>21.0417514976828</v>
      </c>
      <c r="P694">
        <v>-9.0998993600596406E-2</v>
      </c>
      <c r="Q694">
        <v>-0.42890952944652799</v>
      </c>
      <c r="R694">
        <v>0.24691154224533499</v>
      </c>
      <c r="S694">
        <v>20.886386311451002</v>
      </c>
      <c r="T694">
        <v>-0.56601425556390506</v>
      </c>
      <c r="U694">
        <v>-6.98966912692081</v>
      </c>
      <c r="V694">
        <v>0.57841362574208499</v>
      </c>
      <c r="W694">
        <v>0.71771998107870505</v>
      </c>
      <c r="X694">
        <v>0</v>
      </c>
      <c r="Y694">
        <v>0</v>
      </c>
    </row>
    <row r="695" spans="1:25" x14ac:dyDescent="0.2">
      <c r="A695" t="s">
        <v>2565</v>
      </c>
      <c r="B695" t="s">
        <v>2566</v>
      </c>
      <c r="C695" t="s">
        <v>2567</v>
      </c>
      <c r="D695" t="s">
        <v>2568</v>
      </c>
      <c r="E695" t="s">
        <v>2566</v>
      </c>
      <c r="F695" t="s">
        <v>28</v>
      </c>
      <c r="G695" t="s">
        <v>2566</v>
      </c>
      <c r="H695" t="str">
        <f>"swsn-1"</f>
        <v>swsn-1</v>
      </c>
      <c r="I695" t="s">
        <v>2568</v>
      </c>
      <c r="J695">
        <v>11.3530984974793</v>
      </c>
      <c r="K695">
        <v>13.353726927402001</v>
      </c>
      <c r="L695">
        <v>11.4911909716506</v>
      </c>
      <c r="M695" t="s">
        <v>29</v>
      </c>
      <c r="N695" t="s">
        <v>29</v>
      </c>
      <c r="O695">
        <v>11.9889291800327</v>
      </c>
      <c r="P695">
        <v>-7.7076285477991405E-2</v>
      </c>
      <c r="Q695">
        <v>-1.4376860065827599</v>
      </c>
      <c r="R695">
        <v>1.28353343562678</v>
      </c>
      <c r="S695">
        <v>12.0613447963933</v>
      </c>
      <c r="T695">
        <v>-0.120817212913953</v>
      </c>
      <c r="U695">
        <v>-6.8050083455573303</v>
      </c>
      <c r="V695">
        <v>0.90545052908809998</v>
      </c>
      <c r="W695">
        <v>0.94364713369717501</v>
      </c>
      <c r="X695">
        <v>0</v>
      </c>
      <c r="Y695">
        <v>0</v>
      </c>
    </row>
    <row r="696" spans="1:25" x14ac:dyDescent="0.2">
      <c r="A696" t="s">
        <v>2569</v>
      </c>
      <c r="B696" t="s">
        <v>2570</v>
      </c>
      <c r="C696" t="s">
        <v>2571</v>
      </c>
      <c r="D696" t="s">
        <v>2572</v>
      </c>
      <c r="E696" t="s">
        <v>2570</v>
      </c>
      <c r="F696" t="s">
        <v>28</v>
      </c>
      <c r="G696" t="s">
        <v>2570</v>
      </c>
      <c r="H696" t="str">
        <f>"ego-2"</f>
        <v>ego-2</v>
      </c>
      <c r="I696" t="s">
        <v>2572</v>
      </c>
      <c r="J696">
        <v>13.047137474352301</v>
      </c>
      <c r="K696">
        <v>13.098456389251099</v>
      </c>
      <c r="L696">
        <v>12.971641130125899</v>
      </c>
      <c r="M696">
        <v>12.203955987044001</v>
      </c>
      <c r="N696">
        <v>13.1616726617937</v>
      </c>
      <c r="O696">
        <v>13.049280877989901</v>
      </c>
      <c r="P696">
        <v>-0.23410848896727099</v>
      </c>
      <c r="Q696">
        <v>-0.73573045488803501</v>
      </c>
      <c r="R696">
        <v>0.26751347695349298</v>
      </c>
      <c r="S696">
        <v>13.1712000658842</v>
      </c>
      <c r="T696">
        <v>-0.98091896021167202</v>
      </c>
      <c r="U696">
        <v>-6.6645309521296996</v>
      </c>
      <c r="V696">
        <v>0.33970928723738097</v>
      </c>
      <c r="W696">
        <v>0.51025650840395498</v>
      </c>
      <c r="X696">
        <v>0</v>
      </c>
      <c r="Y696">
        <v>0</v>
      </c>
    </row>
    <row r="697" spans="1:25" x14ac:dyDescent="0.2">
      <c r="A697" t="s">
        <v>2573</v>
      </c>
      <c r="B697" t="s">
        <v>2574</v>
      </c>
      <c r="C697" t="s">
        <v>2575</v>
      </c>
      <c r="D697" t="s">
        <v>2576</v>
      </c>
      <c r="E697" t="s">
        <v>2574</v>
      </c>
      <c r="F697" t="s">
        <v>28</v>
      </c>
      <c r="G697" t="s">
        <v>2574</v>
      </c>
      <c r="H697" t="str">
        <f>"noah-1"</f>
        <v>noah-1</v>
      </c>
      <c r="I697" t="s">
        <v>2576</v>
      </c>
      <c r="J697">
        <v>12.4449117085094</v>
      </c>
      <c r="K697">
        <v>13.559291511065201</v>
      </c>
      <c r="L697">
        <v>13.2870573661453</v>
      </c>
      <c r="M697" t="s">
        <v>29</v>
      </c>
      <c r="N697" t="s">
        <v>29</v>
      </c>
      <c r="O697">
        <v>13.8454636464744</v>
      </c>
      <c r="P697">
        <v>0.74837678456782797</v>
      </c>
      <c r="Q697">
        <v>-0.211864114121423</v>
      </c>
      <c r="R697">
        <v>1.7086176832570801</v>
      </c>
      <c r="S697">
        <v>12.730639589577899</v>
      </c>
      <c r="T697">
        <v>1.65306388199395</v>
      </c>
      <c r="U697">
        <v>-5.4897784427883902</v>
      </c>
      <c r="V697">
        <v>0.11792936126906001</v>
      </c>
      <c r="W697">
        <v>0.24405746324432501</v>
      </c>
      <c r="X697">
        <v>0</v>
      </c>
      <c r="Y697">
        <v>0</v>
      </c>
    </row>
    <row r="698" spans="1:25" x14ac:dyDescent="0.2">
      <c r="A698" t="s">
        <v>2577</v>
      </c>
      <c r="B698" t="s">
        <v>2578</v>
      </c>
      <c r="C698" t="s">
        <v>2579</v>
      </c>
      <c r="D698" t="s">
        <v>2580</v>
      </c>
      <c r="E698" t="s">
        <v>2578</v>
      </c>
      <c r="F698" t="s">
        <v>28</v>
      </c>
      <c r="G698" t="s">
        <v>2578</v>
      </c>
      <c r="H698" t="str">
        <f>"slo-2"</f>
        <v>slo-2</v>
      </c>
      <c r="I698" t="s">
        <v>2580</v>
      </c>
      <c r="J698" t="s">
        <v>29</v>
      </c>
      <c r="K698">
        <v>13.030493854466901</v>
      </c>
      <c r="L698">
        <v>11.5649541317903</v>
      </c>
      <c r="M698" t="s">
        <v>29</v>
      </c>
      <c r="N698" t="s">
        <v>29</v>
      </c>
      <c r="O698">
        <v>12.3501769502546</v>
      </c>
      <c r="P698">
        <v>5.2452957126044801E-2</v>
      </c>
      <c r="Q698">
        <v>-1.2890051863148999</v>
      </c>
      <c r="R698">
        <v>1.39391110056699</v>
      </c>
      <c r="S698">
        <v>12.414044142919799</v>
      </c>
      <c r="T698">
        <v>9.0377133504261201E-2</v>
      </c>
      <c r="U698">
        <v>-6.7500117033294504</v>
      </c>
      <c r="V698">
        <v>0.930238286135046</v>
      </c>
      <c r="W698">
        <v>0.95954225734686105</v>
      </c>
      <c r="X698">
        <v>0</v>
      </c>
      <c r="Y698">
        <v>0</v>
      </c>
    </row>
    <row r="699" spans="1:25" x14ac:dyDescent="0.2">
      <c r="A699" t="s">
        <v>2581</v>
      </c>
      <c r="B699" t="s">
        <v>2582</v>
      </c>
      <c r="C699" t="s">
        <v>2583</v>
      </c>
      <c r="D699" t="s">
        <v>2584</v>
      </c>
      <c r="E699" t="s">
        <v>2582</v>
      </c>
      <c r="F699" t="s">
        <v>28</v>
      </c>
      <c r="G699" t="s">
        <v>2582</v>
      </c>
      <c r="H699" t="str">
        <f>"idh-1"</f>
        <v>idh-1</v>
      </c>
      <c r="I699" t="s">
        <v>2584</v>
      </c>
      <c r="J699">
        <v>15.516734771637299</v>
      </c>
      <c r="K699">
        <v>14.9817552741568</v>
      </c>
      <c r="L699">
        <v>15.378714415092499</v>
      </c>
      <c r="M699">
        <v>16.367387145450699</v>
      </c>
      <c r="N699">
        <v>15.5863220280497</v>
      </c>
      <c r="O699">
        <v>15.738375192660399</v>
      </c>
      <c r="P699">
        <v>0.60495996842470001</v>
      </c>
      <c r="Q699">
        <v>9.0337683976969105E-2</v>
      </c>
      <c r="R699">
        <v>1.11958225287243</v>
      </c>
      <c r="S699">
        <v>15.212935898146201</v>
      </c>
      <c r="T699">
        <v>2.4707600022326499</v>
      </c>
      <c r="U699">
        <v>-4.4024840199914497</v>
      </c>
      <c r="V699">
        <v>2.37686618012279E-2</v>
      </c>
      <c r="W699">
        <v>8.2571194007057702E-2</v>
      </c>
      <c r="X699">
        <v>0</v>
      </c>
      <c r="Y699">
        <v>0</v>
      </c>
    </row>
    <row r="700" spans="1:25" x14ac:dyDescent="0.2">
      <c r="A700" t="s">
        <v>2585</v>
      </c>
      <c r="B700" t="s">
        <v>2586</v>
      </c>
      <c r="C700" t="s">
        <v>2587</v>
      </c>
      <c r="D700" t="s">
        <v>2588</v>
      </c>
      <c r="E700" t="s">
        <v>2586</v>
      </c>
      <c r="F700" t="s">
        <v>28</v>
      </c>
      <c r="G700" t="s">
        <v>2586</v>
      </c>
      <c r="H700" t="str">
        <f>"dur-1"</f>
        <v>dur-1</v>
      </c>
      <c r="I700" t="s">
        <v>2588</v>
      </c>
      <c r="J700">
        <v>13.778830978299601</v>
      </c>
      <c r="K700">
        <v>13.954425189521199</v>
      </c>
      <c r="L700">
        <v>14.151184830176501</v>
      </c>
      <c r="M700">
        <v>14.862279088271199</v>
      </c>
      <c r="N700">
        <v>13.6343521511492</v>
      </c>
      <c r="O700">
        <v>14.263723545783501</v>
      </c>
      <c r="P700">
        <v>0.29197126240216797</v>
      </c>
      <c r="Q700">
        <v>-0.32120837726866702</v>
      </c>
      <c r="R700">
        <v>0.90515090207300197</v>
      </c>
      <c r="S700">
        <v>13.9121363650176</v>
      </c>
      <c r="T700">
        <v>1.00079446526705</v>
      </c>
      <c r="U700">
        <v>-6.6449422129229596</v>
      </c>
      <c r="V700">
        <v>0.330267702936615</v>
      </c>
      <c r="W700">
        <v>0.50195921637658802</v>
      </c>
      <c r="X700">
        <v>0</v>
      </c>
      <c r="Y700">
        <v>0</v>
      </c>
    </row>
    <row r="701" spans="1:25" x14ac:dyDescent="0.2">
      <c r="A701" t="s">
        <v>2589</v>
      </c>
      <c r="B701" t="s">
        <v>2590</v>
      </c>
      <c r="C701" t="s">
        <v>2591</v>
      </c>
      <c r="D701" t="s">
        <v>2592</v>
      </c>
      <c r="E701" t="s">
        <v>2590</v>
      </c>
      <c r="F701" t="s">
        <v>28</v>
      </c>
      <c r="G701" t="s">
        <v>2590</v>
      </c>
      <c r="H701" t="str">
        <f>"B0001.7"</f>
        <v>B0001.7</v>
      </c>
      <c r="I701" t="s">
        <v>2592</v>
      </c>
      <c r="J701">
        <v>13.500331396279799</v>
      </c>
      <c r="K701">
        <v>14.3053328188163</v>
      </c>
      <c r="L701">
        <v>12.9979306477696</v>
      </c>
      <c r="M701" t="s">
        <v>29</v>
      </c>
      <c r="N701" t="s">
        <v>29</v>
      </c>
      <c r="O701" t="s">
        <v>29</v>
      </c>
      <c r="P701" t="s">
        <v>29</v>
      </c>
      <c r="Q701" t="s">
        <v>29</v>
      </c>
      <c r="R701" t="s">
        <v>29</v>
      </c>
      <c r="S701">
        <v>13.3270903169585</v>
      </c>
      <c r="T701" t="s">
        <v>29</v>
      </c>
      <c r="U701" t="s">
        <v>29</v>
      </c>
      <c r="V701" t="s">
        <v>29</v>
      </c>
      <c r="W701" t="s">
        <v>29</v>
      </c>
      <c r="X701" t="s">
        <v>29</v>
      </c>
      <c r="Y701" t="s">
        <v>29</v>
      </c>
    </row>
    <row r="702" spans="1:25" x14ac:dyDescent="0.2">
      <c r="A702" t="s">
        <v>2593</v>
      </c>
      <c r="B702" t="s">
        <v>2594</v>
      </c>
      <c r="C702" t="s">
        <v>2595</v>
      </c>
      <c r="D702" t="s">
        <v>319</v>
      </c>
      <c r="E702" t="s">
        <v>2594</v>
      </c>
      <c r="F702" t="s">
        <v>28</v>
      </c>
      <c r="G702" t="s">
        <v>2594</v>
      </c>
      <c r="H702" t="str">
        <f>"C27A7.6"</f>
        <v>C27A7.6</v>
      </c>
      <c r="I702" t="s">
        <v>319</v>
      </c>
      <c r="J702">
        <v>13.076085525341</v>
      </c>
      <c r="K702">
        <v>12.1556764508769</v>
      </c>
      <c r="L702">
        <v>13.2476728116013</v>
      </c>
      <c r="M702" t="s">
        <v>29</v>
      </c>
      <c r="N702" t="s">
        <v>29</v>
      </c>
      <c r="O702">
        <v>13.0118537297688</v>
      </c>
      <c r="P702">
        <v>0.18537546716238201</v>
      </c>
      <c r="Q702">
        <v>-0.64119913411141405</v>
      </c>
      <c r="R702">
        <v>1.01195006843618</v>
      </c>
      <c r="S702">
        <v>13.214894259636401</v>
      </c>
      <c r="T702">
        <v>0.47568530143070298</v>
      </c>
      <c r="U702">
        <v>-6.6947177442266401</v>
      </c>
      <c r="V702">
        <v>0.64077025284411804</v>
      </c>
      <c r="W702">
        <v>0.76112452040774503</v>
      </c>
      <c r="X702">
        <v>0</v>
      </c>
      <c r="Y702">
        <v>0</v>
      </c>
    </row>
    <row r="703" spans="1:25" x14ac:dyDescent="0.2">
      <c r="A703" t="s">
        <v>2596</v>
      </c>
      <c r="B703" t="s">
        <v>2597</v>
      </c>
      <c r="C703" t="s">
        <v>2598</v>
      </c>
      <c r="D703" t="s">
        <v>2221</v>
      </c>
      <c r="E703" t="s">
        <v>2597</v>
      </c>
      <c r="F703" t="s">
        <v>28</v>
      </c>
      <c r="G703" t="s">
        <v>2597</v>
      </c>
      <c r="H703" t="str">
        <f>"kin-4"</f>
        <v>kin-4</v>
      </c>
      <c r="I703" t="s">
        <v>2221</v>
      </c>
      <c r="J703">
        <v>11.4970768380013</v>
      </c>
      <c r="K703">
        <v>11.8756629795264</v>
      </c>
      <c r="L703">
        <v>11.8940197098417</v>
      </c>
      <c r="M703" t="s">
        <v>29</v>
      </c>
      <c r="N703">
        <v>11.8801741512347</v>
      </c>
      <c r="O703">
        <v>11.6268255197947</v>
      </c>
      <c r="P703">
        <v>-2.0866736084457198E-3</v>
      </c>
      <c r="Q703">
        <v>-0.50299722453714102</v>
      </c>
      <c r="R703">
        <v>0.49882387732024902</v>
      </c>
      <c r="S703">
        <v>11.9850707306564</v>
      </c>
      <c r="T703">
        <v>-8.8357592397801006E-3</v>
      </c>
      <c r="U703">
        <v>-7.0454338150498002</v>
      </c>
      <c r="V703">
        <v>0.99306012314761904</v>
      </c>
      <c r="W703">
        <v>0.99569392736753903</v>
      </c>
      <c r="X703">
        <v>0</v>
      </c>
      <c r="Y703">
        <v>0</v>
      </c>
    </row>
    <row r="704" spans="1:25" x14ac:dyDescent="0.2">
      <c r="A704" t="s">
        <v>2599</v>
      </c>
      <c r="B704" t="s">
        <v>2600</v>
      </c>
      <c r="C704" t="s">
        <v>2601</v>
      </c>
      <c r="D704" t="s">
        <v>2602</v>
      </c>
      <c r="E704" t="s">
        <v>2600</v>
      </c>
      <c r="F704" t="s">
        <v>28</v>
      </c>
      <c r="G704" t="s">
        <v>2600</v>
      </c>
      <c r="H704" t="str">
        <f>"mpst-3"</f>
        <v>mpst-3</v>
      </c>
      <c r="I704" t="s">
        <v>2602</v>
      </c>
      <c r="J704" t="s">
        <v>29</v>
      </c>
      <c r="K704" t="s">
        <v>29</v>
      </c>
      <c r="L704" t="s">
        <v>29</v>
      </c>
      <c r="M704" t="s">
        <v>29</v>
      </c>
      <c r="N704">
        <v>11.7584012595667</v>
      </c>
      <c r="O704">
        <v>12.1776629172839</v>
      </c>
      <c r="P704" t="s">
        <v>29</v>
      </c>
      <c r="Q704" t="s">
        <v>29</v>
      </c>
      <c r="R704" t="s">
        <v>29</v>
      </c>
      <c r="S704">
        <v>11.724677416994799</v>
      </c>
      <c r="T704" t="s">
        <v>29</v>
      </c>
      <c r="U704" t="s">
        <v>29</v>
      </c>
      <c r="V704" t="s">
        <v>29</v>
      </c>
      <c r="W704" t="s">
        <v>29</v>
      </c>
      <c r="X704" t="s">
        <v>29</v>
      </c>
      <c r="Y704" t="s">
        <v>29</v>
      </c>
    </row>
    <row r="705" spans="1:25" x14ac:dyDescent="0.2">
      <c r="A705" t="s">
        <v>2603</v>
      </c>
      <c r="B705" t="s">
        <v>2604</v>
      </c>
      <c r="C705" t="s">
        <v>14315</v>
      </c>
      <c r="D705" t="s">
        <v>2605</v>
      </c>
      <c r="E705" t="s">
        <v>2604</v>
      </c>
      <c r="F705" t="s">
        <v>28</v>
      </c>
      <c r="G705" t="s">
        <v>2604</v>
      </c>
      <c r="H705" t="str">
        <f>"F28C6.8"</f>
        <v>F28C6.8</v>
      </c>
      <c r="I705" t="s">
        <v>2605</v>
      </c>
      <c r="J705">
        <v>12.874911851800899</v>
      </c>
      <c r="K705">
        <v>13.684134399404</v>
      </c>
      <c r="L705">
        <v>13.950612662569201</v>
      </c>
      <c r="M705" t="s">
        <v>29</v>
      </c>
      <c r="N705">
        <v>13.521812521067</v>
      </c>
      <c r="O705">
        <v>14.4783757876497</v>
      </c>
      <c r="P705">
        <v>0.49687451643367098</v>
      </c>
      <c r="Q705">
        <v>-0.20411991679730301</v>
      </c>
      <c r="R705">
        <v>1.19786894966464</v>
      </c>
      <c r="S705">
        <v>13.678167087539499</v>
      </c>
      <c r="T705">
        <v>1.4961742201252299</v>
      </c>
      <c r="U705">
        <v>-5.9410001356892597</v>
      </c>
      <c r="V705">
        <v>0.15305481058127601</v>
      </c>
      <c r="W705">
        <v>0.297880324377295</v>
      </c>
      <c r="X705">
        <v>0</v>
      </c>
      <c r="Y705">
        <v>0</v>
      </c>
    </row>
    <row r="706" spans="1:25" x14ac:dyDescent="0.2">
      <c r="A706" t="s">
        <v>2606</v>
      </c>
      <c r="B706" t="s">
        <v>2607</v>
      </c>
      <c r="C706" t="s">
        <v>14316</v>
      </c>
      <c r="D706" t="s">
        <v>2608</v>
      </c>
      <c r="E706" t="s">
        <v>2607</v>
      </c>
      <c r="F706" t="s">
        <v>28</v>
      </c>
      <c r="G706" t="s">
        <v>2607</v>
      </c>
      <c r="H706" t="str">
        <f>"F01G4.4"</f>
        <v>F01G4.4</v>
      </c>
      <c r="I706" t="s">
        <v>2608</v>
      </c>
      <c r="J706">
        <v>12.7986456836265</v>
      </c>
      <c r="K706">
        <v>12.835961708212601</v>
      </c>
      <c r="L706">
        <v>13.370904040890499</v>
      </c>
      <c r="M706" t="s">
        <v>29</v>
      </c>
      <c r="N706" t="s">
        <v>29</v>
      </c>
      <c r="O706">
        <v>12.768216809120901</v>
      </c>
      <c r="P706">
        <v>-0.23362033512233499</v>
      </c>
      <c r="Q706">
        <v>-1.6571447259733301</v>
      </c>
      <c r="R706">
        <v>1.18990405572866</v>
      </c>
      <c r="S706">
        <v>12.793496443155499</v>
      </c>
      <c r="T706">
        <v>-0.34809297570668202</v>
      </c>
      <c r="U706">
        <v>-6.7493121883498199</v>
      </c>
      <c r="V706">
        <v>0.73233761867902203</v>
      </c>
      <c r="W706">
        <v>0.82837993596097803</v>
      </c>
      <c r="X706">
        <v>0</v>
      </c>
      <c r="Y706">
        <v>0</v>
      </c>
    </row>
    <row r="707" spans="1:25" x14ac:dyDescent="0.2">
      <c r="A707" t="s">
        <v>2609</v>
      </c>
      <c r="B707" t="s">
        <v>2610</v>
      </c>
      <c r="C707" t="s">
        <v>14317</v>
      </c>
      <c r="D707" t="s">
        <v>2611</v>
      </c>
      <c r="E707" t="s">
        <v>2610</v>
      </c>
      <c r="F707" t="s">
        <v>28</v>
      </c>
      <c r="G707" t="s">
        <v>2612</v>
      </c>
      <c r="H707" t="str">
        <f>"Y52E8A.6"</f>
        <v>Y52E8A.6</v>
      </c>
      <c r="I707" t="s">
        <v>2611</v>
      </c>
      <c r="J707" t="s">
        <v>29</v>
      </c>
      <c r="K707" t="s">
        <v>29</v>
      </c>
      <c r="L707" t="s">
        <v>29</v>
      </c>
      <c r="M707" t="s">
        <v>29</v>
      </c>
      <c r="N707" t="s">
        <v>29</v>
      </c>
      <c r="O707" t="s">
        <v>29</v>
      </c>
      <c r="P707" t="s">
        <v>29</v>
      </c>
      <c r="Q707" t="s">
        <v>29</v>
      </c>
      <c r="R707" t="s">
        <v>29</v>
      </c>
      <c r="S707">
        <v>10.3821469070938</v>
      </c>
      <c r="T707" t="s">
        <v>29</v>
      </c>
      <c r="U707" t="s">
        <v>29</v>
      </c>
      <c r="V707" t="s">
        <v>29</v>
      </c>
      <c r="W707" t="s">
        <v>29</v>
      </c>
      <c r="X707" t="s">
        <v>29</v>
      </c>
      <c r="Y707" t="s">
        <v>29</v>
      </c>
    </row>
    <row r="708" spans="1:25" x14ac:dyDescent="0.2">
      <c r="A708" t="s">
        <v>2613</v>
      </c>
      <c r="B708" t="s">
        <v>2614</v>
      </c>
      <c r="C708" t="s">
        <v>2615</v>
      </c>
      <c r="D708" t="s">
        <v>2616</v>
      </c>
      <c r="E708" t="s">
        <v>2614</v>
      </c>
      <c r="F708" t="s">
        <v>28</v>
      </c>
      <c r="G708" t="s">
        <v>2614</v>
      </c>
      <c r="H708" t="str">
        <f>"let-526"</f>
        <v>let-526</v>
      </c>
      <c r="I708" t="s">
        <v>2616</v>
      </c>
      <c r="J708">
        <v>12.5020260868897</v>
      </c>
      <c r="K708">
        <v>12.886985895358899</v>
      </c>
      <c r="L708">
        <v>12.443137043417201</v>
      </c>
      <c r="M708" t="s">
        <v>29</v>
      </c>
      <c r="N708">
        <v>11.6356353385254</v>
      </c>
      <c r="O708">
        <v>12.367947324193301</v>
      </c>
      <c r="P708">
        <v>-0.608925010529212</v>
      </c>
      <c r="Q708">
        <v>-1.2685396356521299</v>
      </c>
      <c r="R708">
        <v>5.0689614593702997E-2</v>
      </c>
      <c r="S708">
        <v>12.676002339565001</v>
      </c>
      <c r="T708">
        <v>-1.9486038177912399</v>
      </c>
      <c r="U708">
        <v>-5.2464797567218397</v>
      </c>
      <c r="V708">
        <v>6.8149167523123694E-2</v>
      </c>
      <c r="W708">
        <v>0.16792273970789801</v>
      </c>
      <c r="X708">
        <v>0</v>
      </c>
      <c r="Y708">
        <v>0</v>
      </c>
    </row>
    <row r="709" spans="1:25" x14ac:dyDescent="0.2">
      <c r="A709" t="s">
        <v>2617</v>
      </c>
      <c r="B709" t="s">
        <v>2618</v>
      </c>
      <c r="C709" t="s">
        <v>2619</v>
      </c>
      <c r="D709" t="s">
        <v>2620</v>
      </c>
      <c r="E709" t="s">
        <v>2618</v>
      </c>
      <c r="F709" t="s">
        <v>28</v>
      </c>
      <c r="G709" t="s">
        <v>2618</v>
      </c>
      <c r="H709" t="str">
        <f>"his-40"</f>
        <v>his-40</v>
      </c>
      <c r="I709" t="s">
        <v>2620</v>
      </c>
      <c r="J709">
        <v>18.653634011100099</v>
      </c>
      <c r="K709">
        <v>18.762123523707402</v>
      </c>
      <c r="L709">
        <v>18.556785879429899</v>
      </c>
      <c r="M709">
        <v>19.3213840900261</v>
      </c>
      <c r="N709">
        <v>18.7940833792299</v>
      </c>
      <c r="O709">
        <v>18.463347794748099</v>
      </c>
      <c r="P709">
        <v>0.202090616588883</v>
      </c>
      <c r="Q709">
        <v>-0.28153498510730302</v>
      </c>
      <c r="R709">
        <v>0.68571621828506901</v>
      </c>
      <c r="S709">
        <v>18.643505867200499</v>
      </c>
      <c r="T709">
        <v>0.87827269107331396</v>
      </c>
      <c r="U709">
        <v>-6.7600283463644297</v>
      </c>
      <c r="V709">
        <v>0.39143586244803902</v>
      </c>
      <c r="W709">
        <v>0.559438160346445</v>
      </c>
      <c r="X709">
        <v>0</v>
      </c>
      <c r="Y709">
        <v>0</v>
      </c>
    </row>
    <row r="710" spans="1:25" x14ac:dyDescent="0.2">
      <c r="A710" t="s">
        <v>2621</v>
      </c>
      <c r="B710" t="s">
        <v>2622</v>
      </c>
      <c r="C710" t="s">
        <v>2623</v>
      </c>
      <c r="D710" t="s">
        <v>2624</v>
      </c>
      <c r="E710" t="s">
        <v>2622</v>
      </c>
      <c r="F710" t="s">
        <v>28</v>
      </c>
      <c r="G710" t="s">
        <v>2622</v>
      </c>
      <c r="H710" t="str">
        <f>"lsy-12"</f>
        <v>lsy-12</v>
      </c>
      <c r="I710" t="s">
        <v>2624</v>
      </c>
      <c r="J710" t="s">
        <v>29</v>
      </c>
      <c r="K710" t="s">
        <v>29</v>
      </c>
      <c r="L710" t="s">
        <v>29</v>
      </c>
      <c r="M710" t="s">
        <v>29</v>
      </c>
      <c r="N710" t="s">
        <v>29</v>
      </c>
      <c r="O710" t="s">
        <v>29</v>
      </c>
      <c r="P710" t="s">
        <v>29</v>
      </c>
      <c r="Q710" t="s">
        <v>29</v>
      </c>
      <c r="R710" t="s">
        <v>29</v>
      </c>
      <c r="S710">
        <v>12.9447097352604</v>
      </c>
      <c r="T710" t="s">
        <v>29</v>
      </c>
      <c r="U710" t="s">
        <v>29</v>
      </c>
      <c r="V710" t="s">
        <v>29</v>
      </c>
      <c r="W710" t="s">
        <v>29</v>
      </c>
      <c r="X710" t="s">
        <v>29</v>
      </c>
      <c r="Y710" t="s">
        <v>29</v>
      </c>
    </row>
    <row r="711" spans="1:25" x14ac:dyDescent="0.2">
      <c r="A711" t="s">
        <v>2625</v>
      </c>
      <c r="B711" t="s">
        <v>2626</v>
      </c>
      <c r="C711" t="s">
        <v>2627</v>
      </c>
      <c r="D711" t="s">
        <v>2628</v>
      </c>
      <c r="E711" t="s">
        <v>2626</v>
      </c>
      <c r="F711" t="s">
        <v>28</v>
      </c>
      <c r="G711" t="s">
        <v>2626</v>
      </c>
      <c r="H711" t="str">
        <f>"hpo-27"</f>
        <v>hpo-27</v>
      </c>
      <c r="I711" t="s">
        <v>2628</v>
      </c>
      <c r="J711">
        <v>13.294148457858601</v>
      </c>
      <c r="K711">
        <v>13.3013605941776</v>
      </c>
      <c r="L711">
        <v>13.305942826178899</v>
      </c>
      <c r="M711">
        <v>13.158310287156</v>
      </c>
      <c r="N711">
        <v>13.5227891969054</v>
      </c>
      <c r="O711">
        <v>13.5833592428642</v>
      </c>
      <c r="P711">
        <v>0.12100228290352499</v>
      </c>
      <c r="Q711">
        <v>-0.28246548696929902</v>
      </c>
      <c r="R711">
        <v>0.52447005277634995</v>
      </c>
      <c r="S711">
        <v>13.407579412574499</v>
      </c>
      <c r="T711">
        <v>0.63034342829921297</v>
      </c>
      <c r="U711">
        <v>-6.9500793480974501</v>
      </c>
      <c r="V711">
        <v>0.53643709820908902</v>
      </c>
      <c r="W711">
        <v>0.68480983489328395</v>
      </c>
      <c r="X711">
        <v>0</v>
      </c>
      <c r="Y711">
        <v>0</v>
      </c>
    </row>
    <row r="712" spans="1:25" x14ac:dyDescent="0.2">
      <c r="A712" t="s">
        <v>2629</v>
      </c>
      <c r="B712" t="s">
        <v>2630</v>
      </c>
      <c r="C712" t="s">
        <v>2631</v>
      </c>
      <c r="D712" t="s">
        <v>2632</v>
      </c>
      <c r="E712" t="s">
        <v>2630</v>
      </c>
      <c r="F712" t="s">
        <v>28</v>
      </c>
      <c r="G712" t="s">
        <v>2630</v>
      </c>
      <c r="H712" t="str">
        <f>"atg-4.1"</f>
        <v>atg-4.1</v>
      </c>
      <c r="I712" t="s">
        <v>2632</v>
      </c>
      <c r="J712">
        <v>9.3671069316537494</v>
      </c>
      <c r="K712" t="s">
        <v>29</v>
      </c>
      <c r="L712">
        <v>9.6309634378707596</v>
      </c>
      <c r="M712" t="s">
        <v>29</v>
      </c>
      <c r="N712" t="s">
        <v>29</v>
      </c>
      <c r="O712">
        <v>10.2415485617773</v>
      </c>
      <c r="P712">
        <v>0.74251337701503095</v>
      </c>
      <c r="Q712">
        <v>-0.53511042705831102</v>
      </c>
      <c r="R712">
        <v>2.0201371810883701</v>
      </c>
      <c r="S712">
        <v>10.3912491992619</v>
      </c>
      <c r="T712">
        <v>1.3170600986013501</v>
      </c>
      <c r="U712">
        <v>-5.8859444150362696</v>
      </c>
      <c r="V712">
        <v>0.22073597231080999</v>
      </c>
      <c r="W712">
        <v>0.38468888846833599</v>
      </c>
      <c r="X712">
        <v>0</v>
      </c>
      <c r="Y712">
        <v>0</v>
      </c>
    </row>
    <row r="713" spans="1:25" x14ac:dyDescent="0.2">
      <c r="A713" t="s">
        <v>2633</v>
      </c>
      <c r="B713" t="s">
        <v>2634</v>
      </c>
      <c r="C713" t="s">
        <v>2635</v>
      </c>
      <c r="D713" t="s">
        <v>2636</v>
      </c>
      <c r="E713" t="s">
        <v>2634</v>
      </c>
      <c r="F713" t="s">
        <v>28</v>
      </c>
      <c r="G713" t="s">
        <v>2634</v>
      </c>
      <c r="H713" t="str">
        <f>"B0001.8"</f>
        <v>B0001.8</v>
      </c>
      <c r="I713" t="s">
        <v>2636</v>
      </c>
      <c r="J713">
        <v>12.407906206403799</v>
      </c>
      <c r="K713">
        <v>12.0935570456856</v>
      </c>
      <c r="L713">
        <v>12.2078049694912</v>
      </c>
      <c r="M713" t="s">
        <v>29</v>
      </c>
      <c r="N713" t="s">
        <v>29</v>
      </c>
      <c r="O713" t="s">
        <v>29</v>
      </c>
      <c r="P713" t="s">
        <v>29</v>
      </c>
      <c r="Q713" t="s">
        <v>29</v>
      </c>
      <c r="R713" t="s">
        <v>29</v>
      </c>
      <c r="S713">
        <v>12.402156132627001</v>
      </c>
      <c r="T713" t="s">
        <v>29</v>
      </c>
      <c r="U713" t="s">
        <v>29</v>
      </c>
      <c r="V713" t="s">
        <v>29</v>
      </c>
      <c r="W713" t="s">
        <v>29</v>
      </c>
      <c r="X713" t="s">
        <v>29</v>
      </c>
      <c r="Y713" t="s">
        <v>29</v>
      </c>
    </row>
    <row r="714" spans="1:25" x14ac:dyDescent="0.2">
      <c r="A714" t="s">
        <v>2637</v>
      </c>
      <c r="B714" t="s">
        <v>2638</v>
      </c>
      <c r="C714" t="s">
        <v>14318</v>
      </c>
      <c r="D714" t="s">
        <v>828</v>
      </c>
      <c r="E714" t="s">
        <v>2638</v>
      </c>
      <c r="F714" t="s">
        <v>28</v>
      </c>
      <c r="G714" t="s">
        <v>2638</v>
      </c>
      <c r="H714" t="str">
        <f>"F13B12.6"</f>
        <v>F13B12.6</v>
      </c>
      <c r="I714" t="s">
        <v>828</v>
      </c>
      <c r="J714" t="s">
        <v>29</v>
      </c>
      <c r="K714" t="s">
        <v>29</v>
      </c>
      <c r="L714" t="s">
        <v>29</v>
      </c>
      <c r="M714" t="s">
        <v>29</v>
      </c>
      <c r="N714" t="s">
        <v>29</v>
      </c>
      <c r="O714" t="s">
        <v>29</v>
      </c>
      <c r="P714" t="s">
        <v>29</v>
      </c>
      <c r="Q714" t="s">
        <v>29</v>
      </c>
      <c r="R714" t="s">
        <v>29</v>
      </c>
      <c r="S714">
        <v>10.7060056512658</v>
      </c>
      <c r="T714" t="s">
        <v>29</v>
      </c>
      <c r="U714" t="s">
        <v>29</v>
      </c>
      <c r="V714" t="s">
        <v>29</v>
      </c>
      <c r="W714" t="s">
        <v>29</v>
      </c>
      <c r="X714" t="s">
        <v>29</v>
      </c>
      <c r="Y714" t="s">
        <v>29</v>
      </c>
    </row>
    <row r="715" spans="1:25" x14ac:dyDescent="0.2">
      <c r="A715" t="s">
        <v>2639</v>
      </c>
      <c r="B715" t="s">
        <v>2640</v>
      </c>
      <c r="C715" t="s">
        <v>14319</v>
      </c>
      <c r="D715" t="s">
        <v>2641</v>
      </c>
      <c r="E715" t="s">
        <v>2640</v>
      </c>
      <c r="F715" t="s">
        <v>28</v>
      </c>
      <c r="G715" t="s">
        <v>2640</v>
      </c>
      <c r="H715" t="str">
        <f>"F13E9.11"</f>
        <v>F13E9.11</v>
      </c>
      <c r="I715" t="s">
        <v>2641</v>
      </c>
      <c r="J715">
        <v>12.930736713844899</v>
      </c>
      <c r="K715">
        <v>13.1572590388056</v>
      </c>
      <c r="L715">
        <v>12.7490148692231</v>
      </c>
      <c r="M715" t="s">
        <v>29</v>
      </c>
      <c r="N715">
        <v>12.517287502708999</v>
      </c>
      <c r="O715">
        <v>13.1243034442259</v>
      </c>
      <c r="P715">
        <v>-0.12487473382372</v>
      </c>
      <c r="Q715">
        <v>-0.67394264153566596</v>
      </c>
      <c r="R715">
        <v>0.42419317388822603</v>
      </c>
      <c r="S715">
        <v>13.1111822182701</v>
      </c>
      <c r="T715">
        <v>-0.48006332428029702</v>
      </c>
      <c r="U715">
        <v>-6.9251573477545803</v>
      </c>
      <c r="V715">
        <v>0.63733874498835397</v>
      </c>
      <c r="W715">
        <v>0.75857725423290701</v>
      </c>
      <c r="X715">
        <v>0</v>
      </c>
      <c r="Y715">
        <v>0</v>
      </c>
    </row>
    <row r="716" spans="1:25" x14ac:dyDescent="0.2">
      <c r="A716" t="s">
        <v>2642</v>
      </c>
      <c r="B716" t="s">
        <v>2643</v>
      </c>
      <c r="C716" t="s">
        <v>2644</v>
      </c>
      <c r="D716" t="s">
        <v>2645</v>
      </c>
      <c r="E716" t="s">
        <v>2643</v>
      </c>
      <c r="F716" t="s">
        <v>28</v>
      </c>
      <c r="G716" t="s">
        <v>2643</v>
      </c>
      <c r="H716" t="str">
        <f>"pod-1"</f>
        <v>pod-1</v>
      </c>
      <c r="I716" t="s">
        <v>2645</v>
      </c>
      <c r="J716">
        <v>14.446631996445999</v>
      </c>
      <c r="K716">
        <v>14.1355997830532</v>
      </c>
      <c r="L716">
        <v>14.1917198648534</v>
      </c>
      <c r="M716">
        <v>12.7962555279589</v>
      </c>
      <c r="N716">
        <v>13.5098861641877</v>
      </c>
      <c r="O716">
        <v>13.897928040994801</v>
      </c>
      <c r="P716">
        <v>-0.85662730373706897</v>
      </c>
      <c r="Q716">
        <v>-1.3301522784686799</v>
      </c>
      <c r="R716">
        <v>-0.38310232900545799</v>
      </c>
      <c r="S716">
        <v>13.9855421705431</v>
      </c>
      <c r="T716">
        <v>-3.8022575975169501</v>
      </c>
      <c r="U716">
        <v>-1.60726614499923</v>
      </c>
      <c r="V716">
        <v>1.3163967597098201E-3</v>
      </c>
      <c r="W716">
        <v>1.0989861900467E-2</v>
      </c>
      <c r="X716">
        <v>0</v>
      </c>
      <c r="Y716">
        <v>0</v>
      </c>
    </row>
    <row r="717" spans="1:25" x14ac:dyDescent="0.2">
      <c r="A717" t="s">
        <v>2646</v>
      </c>
      <c r="B717" t="s">
        <v>2647</v>
      </c>
      <c r="C717" t="s">
        <v>14320</v>
      </c>
      <c r="D717" t="s">
        <v>2648</v>
      </c>
      <c r="E717" t="s">
        <v>2647</v>
      </c>
      <c r="F717" t="s">
        <v>28</v>
      </c>
      <c r="G717" t="s">
        <v>2647</v>
      </c>
      <c r="H717" t="str">
        <f>"W07E11.1"</f>
        <v>W07E11.1</v>
      </c>
      <c r="I717" t="s">
        <v>2648</v>
      </c>
      <c r="J717">
        <v>14.0249808061071</v>
      </c>
      <c r="K717">
        <v>13.7473651449453</v>
      </c>
      <c r="L717">
        <v>13.3542312515386</v>
      </c>
      <c r="M717">
        <v>15.5511202128523</v>
      </c>
      <c r="N717">
        <v>14.9956702094305</v>
      </c>
      <c r="O717">
        <v>15.254493579174101</v>
      </c>
      <c r="P717">
        <v>1.5582355996219299</v>
      </c>
      <c r="Q717">
        <v>1.10241034255366</v>
      </c>
      <c r="R717">
        <v>2.0140608566902101</v>
      </c>
      <c r="S717">
        <v>14.3749106043913</v>
      </c>
      <c r="T717">
        <v>7.1850078944574003</v>
      </c>
      <c r="U717">
        <v>5.5036563544640504</v>
      </c>
      <c r="V717" s="2">
        <v>1.13086527083072E-6</v>
      </c>
      <c r="W717" s="2">
        <v>5.1271691586740699E-5</v>
      </c>
      <c r="X717">
        <v>1</v>
      </c>
      <c r="Y717">
        <v>1</v>
      </c>
    </row>
    <row r="718" spans="1:25" x14ac:dyDescent="0.2">
      <c r="A718" t="s">
        <v>2649</v>
      </c>
      <c r="B718" t="s">
        <v>2650</v>
      </c>
      <c r="C718" t="s">
        <v>2651</v>
      </c>
      <c r="D718" t="s">
        <v>2652</v>
      </c>
      <c r="E718" t="s">
        <v>2650</v>
      </c>
      <c r="F718" t="s">
        <v>28</v>
      </c>
      <c r="G718" t="s">
        <v>2650</v>
      </c>
      <c r="H718" t="str">
        <f>"gtf-2h4"</f>
        <v>gtf-2h4</v>
      </c>
      <c r="I718" t="s">
        <v>2652</v>
      </c>
      <c r="J718">
        <v>14.032733230985899</v>
      </c>
      <c r="K718">
        <v>13.841842888509699</v>
      </c>
      <c r="L718">
        <v>13.744496094635601</v>
      </c>
      <c r="M718" t="s">
        <v>29</v>
      </c>
      <c r="N718">
        <v>13.792429861498301</v>
      </c>
      <c r="O718">
        <v>14.1857180466586</v>
      </c>
      <c r="P718">
        <v>0.116049882701368</v>
      </c>
      <c r="Q718">
        <v>-0.27191288195977598</v>
      </c>
      <c r="R718">
        <v>0.50401264736251306</v>
      </c>
      <c r="S718">
        <v>13.8187494745941</v>
      </c>
      <c r="T718">
        <v>0.63140013945796702</v>
      </c>
      <c r="U718">
        <v>-6.83836706751734</v>
      </c>
      <c r="V718">
        <v>0.53622884147712602</v>
      </c>
      <c r="W718">
        <v>0.68480983489328395</v>
      </c>
      <c r="X718">
        <v>0</v>
      </c>
      <c r="Y718">
        <v>0</v>
      </c>
    </row>
    <row r="719" spans="1:25" x14ac:dyDescent="0.2">
      <c r="A719" t="s">
        <v>2653</v>
      </c>
      <c r="B719" t="s">
        <v>2654</v>
      </c>
      <c r="C719" t="s">
        <v>14321</v>
      </c>
      <c r="D719" t="s">
        <v>2655</v>
      </c>
      <c r="E719" t="s">
        <v>2654</v>
      </c>
      <c r="F719" t="s">
        <v>28</v>
      </c>
      <c r="G719" t="s">
        <v>2654</v>
      </c>
      <c r="H719" t="str">
        <f>"Y69H2.7"</f>
        <v>Y69H2.7</v>
      </c>
      <c r="I719" t="s">
        <v>2655</v>
      </c>
      <c r="J719">
        <v>12.8828881316619</v>
      </c>
      <c r="K719">
        <v>13.0757551368888</v>
      </c>
      <c r="L719">
        <v>12.801992489416699</v>
      </c>
      <c r="M719" t="s">
        <v>29</v>
      </c>
      <c r="N719" t="s">
        <v>29</v>
      </c>
      <c r="O719">
        <v>12.144042656274401</v>
      </c>
      <c r="P719">
        <v>-0.77616926304807499</v>
      </c>
      <c r="Q719">
        <v>-1.8799788058388101</v>
      </c>
      <c r="R719">
        <v>0.32764027974266002</v>
      </c>
      <c r="S719">
        <v>12.516324740601499</v>
      </c>
      <c r="T719">
        <v>-1.49969830906672</v>
      </c>
      <c r="U719">
        <v>-5.7092694552963401</v>
      </c>
      <c r="V719">
        <v>0.154588071743506</v>
      </c>
      <c r="W719">
        <v>0.29971779436060098</v>
      </c>
      <c r="X719">
        <v>0</v>
      </c>
      <c r="Y719">
        <v>0</v>
      </c>
    </row>
    <row r="720" spans="1:25" x14ac:dyDescent="0.2">
      <c r="A720" t="s">
        <v>2656</v>
      </c>
      <c r="B720" t="s">
        <v>2657</v>
      </c>
      <c r="C720" t="s">
        <v>2658</v>
      </c>
      <c r="D720" t="s">
        <v>806</v>
      </c>
      <c r="E720" t="s">
        <v>2657</v>
      </c>
      <c r="F720" t="s">
        <v>28</v>
      </c>
      <c r="G720" t="s">
        <v>2657</v>
      </c>
      <c r="H720" t="str">
        <f>"nish-1"</f>
        <v>nish-1</v>
      </c>
      <c r="I720" t="s">
        <v>806</v>
      </c>
      <c r="J720">
        <v>12.9232670898755</v>
      </c>
      <c r="K720">
        <v>12.518161763569699</v>
      </c>
      <c r="L720">
        <v>13.0441860352727</v>
      </c>
      <c r="M720" t="s">
        <v>29</v>
      </c>
      <c r="N720" t="s">
        <v>29</v>
      </c>
      <c r="O720">
        <v>13.2978045183246</v>
      </c>
      <c r="P720">
        <v>0.469266222085295</v>
      </c>
      <c r="Q720">
        <v>-0.196913501633521</v>
      </c>
      <c r="R720">
        <v>1.13544594580411</v>
      </c>
      <c r="S720">
        <v>12.786721991313099</v>
      </c>
      <c r="T720">
        <v>1.50234435835775</v>
      </c>
      <c r="U720">
        <v>-5.7056380575209502</v>
      </c>
      <c r="V720">
        <v>0.15391032240284</v>
      </c>
      <c r="W720">
        <v>0.29879691707586897</v>
      </c>
      <c r="X720">
        <v>0</v>
      </c>
      <c r="Y720">
        <v>0</v>
      </c>
    </row>
    <row r="721" spans="1:25" x14ac:dyDescent="0.2">
      <c r="A721" t="s">
        <v>2659</v>
      </c>
      <c r="B721" t="s">
        <v>2660</v>
      </c>
      <c r="C721" t="s">
        <v>2661</v>
      </c>
      <c r="D721" t="s">
        <v>2217</v>
      </c>
      <c r="E721" t="s">
        <v>2660</v>
      </c>
      <c r="F721" t="s">
        <v>28</v>
      </c>
      <c r="G721" t="s">
        <v>2660</v>
      </c>
      <c r="H721" t="str">
        <f>"hpo-34"</f>
        <v>hpo-34</v>
      </c>
      <c r="I721" t="s">
        <v>2217</v>
      </c>
      <c r="J721">
        <v>12.5400651581371</v>
      </c>
      <c r="K721">
        <v>12.8416822172055</v>
      </c>
      <c r="L721">
        <v>13.2930437164722</v>
      </c>
      <c r="M721" t="s">
        <v>29</v>
      </c>
      <c r="N721">
        <v>12.752884982554299</v>
      </c>
      <c r="O721">
        <v>12.5939048240778</v>
      </c>
      <c r="P721">
        <v>-0.218202127288874</v>
      </c>
      <c r="Q721">
        <v>-0.95647808395591205</v>
      </c>
      <c r="R721">
        <v>0.52007382937816404</v>
      </c>
      <c r="S721">
        <v>12.8547073052803</v>
      </c>
      <c r="T721">
        <v>-0.62386449264632104</v>
      </c>
      <c r="U721">
        <v>-6.8432252079680698</v>
      </c>
      <c r="V721">
        <v>0.54104915608455095</v>
      </c>
      <c r="W721">
        <v>0.68816221967249502</v>
      </c>
      <c r="X721">
        <v>0</v>
      </c>
      <c r="Y721">
        <v>0</v>
      </c>
    </row>
    <row r="722" spans="1:25" x14ac:dyDescent="0.2">
      <c r="A722" t="s">
        <v>2662</v>
      </c>
      <c r="B722" t="s">
        <v>2663</v>
      </c>
      <c r="C722" t="s">
        <v>2664</v>
      </c>
      <c r="D722" t="s">
        <v>603</v>
      </c>
      <c r="E722" t="s">
        <v>2663</v>
      </c>
      <c r="F722" t="s">
        <v>28</v>
      </c>
      <c r="G722" t="s">
        <v>2663</v>
      </c>
      <c r="H722" t="str">
        <f>"imph-1"</f>
        <v>imph-1</v>
      </c>
      <c r="I722" t="s">
        <v>603</v>
      </c>
      <c r="J722">
        <v>16.4145688023983</v>
      </c>
      <c r="K722">
        <v>16.760446132183102</v>
      </c>
      <c r="L722">
        <v>17.0024955969606</v>
      </c>
      <c r="M722">
        <v>16.613888824202299</v>
      </c>
      <c r="N722">
        <v>16.8182193755156</v>
      </c>
      <c r="O722">
        <v>16.138784030670799</v>
      </c>
      <c r="P722">
        <v>-0.20220610038445799</v>
      </c>
      <c r="Q722">
        <v>-0.60726645044903704</v>
      </c>
      <c r="R722">
        <v>0.20285424968012</v>
      </c>
      <c r="S722">
        <v>17.0733479032376</v>
      </c>
      <c r="T722">
        <v>-1.04922114217412</v>
      </c>
      <c r="U722">
        <v>-6.5957509526467897</v>
      </c>
      <c r="V722">
        <v>0.308040695752411</v>
      </c>
      <c r="W722">
        <v>0.47798819379433799</v>
      </c>
      <c r="X722">
        <v>0</v>
      </c>
      <c r="Y722">
        <v>0</v>
      </c>
    </row>
    <row r="723" spans="1:25" x14ac:dyDescent="0.2">
      <c r="A723" t="s">
        <v>2665</v>
      </c>
      <c r="B723" t="s">
        <v>2666</v>
      </c>
      <c r="C723" t="s">
        <v>14322</v>
      </c>
      <c r="D723" t="s">
        <v>107</v>
      </c>
      <c r="E723" t="s">
        <v>2666</v>
      </c>
      <c r="F723" t="s">
        <v>28</v>
      </c>
      <c r="G723" t="s">
        <v>2666</v>
      </c>
      <c r="H723" t="str">
        <f>"F14D7.6"</f>
        <v>F14D7.6</v>
      </c>
      <c r="I723" t="s">
        <v>107</v>
      </c>
      <c r="J723" t="s">
        <v>29</v>
      </c>
      <c r="K723" t="s">
        <v>29</v>
      </c>
      <c r="L723" t="s">
        <v>29</v>
      </c>
      <c r="M723" t="s">
        <v>29</v>
      </c>
      <c r="N723" t="s">
        <v>29</v>
      </c>
      <c r="O723" t="s">
        <v>29</v>
      </c>
      <c r="P723" t="s">
        <v>29</v>
      </c>
      <c r="Q723" t="s">
        <v>29</v>
      </c>
      <c r="R723" t="s">
        <v>29</v>
      </c>
      <c r="S723">
        <v>10.930826364159699</v>
      </c>
      <c r="T723" t="s">
        <v>29</v>
      </c>
      <c r="U723" t="s">
        <v>29</v>
      </c>
      <c r="V723" t="s">
        <v>29</v>
      </c>
      <c r="W723" t="s">
        <v>29</v>
      </c>
      <c r="X723" t="s">
        <v>29</v>
      </c>
      <c r="Y723" t="s">
        <v>29</v>
      </c>
    </row>
    <row r="724" spans="1:25" x14ac:dyDescent="0.2">
      <c r="A724" t="s">
        <v>2667</v>
      </c>
      <c r="B724" t="s">
        <v>2668</v>
      </c>
      <c r="C724" t="s">
        <v>14323</v>
      </c>
      <c r="D724" t="s">
        <v>2669</v>
      </c>
      <c r="E724" t="s">
        <v>2668</v>
      </c>
      <c r="F724" t="s">
        <v>28</v>
      </c>
      <c r="G724" t="s">
        <v>2668</v>
      </c>
      <c r="H724" t="str">
        <f>"F55F10.1"</f>
        <v>F55F10.1</v>
      </c>
      <c r="I724" t="s">
        <v>2669</v>
      </c>
      <c r="J724">
        <v>13.0906394124821</v>
      </c>
      <c r="K724">
        <v>12.9211203702466</v>
      </c>
      <c r="L724">
        <v>13.0508222922993</v>
      </c>
      <c r="M724" t="s">
        <v>29</v>
      </c>
      <c r="N724">
        <v>12.6539359648255</v>
      </c>
      <c r="O724">
        <v>12.9067574574796</v>
      </c>
      <c r="P724">
        <v>-0.24051398052345099</v>
      </c>
      <c r="Q724">
        <v>-0.68487041362489698</v>
      </c>
      <c r="R724">
        <v>0.20384245257799499</v>
      </c>
      <c r="S724">
        <v>13.075631744466</v>
      </c>
      <c r="T724">
        <v>-1.1425069935066201</v>
      </c>
      <c r="U724">
        <v>-6.3847305979178701</v>
      </c>
      <c r="V724">
        <v>0.26917651894953598</v>
      </c>
      <c r="W724">
        <v>0.43664162427251602</v>
      </c>
      <c r="X724">
        <v>0</v>
      </c>
      <c r="Y724">
        <v>0</v>
      </c>
    </row>
    <row r="725" spans="1:25" x14ac:dyDescent="0.2">
      <c r="A725" t="s">
        <v>2670</v>
      </c>
      <c r="B725" t="s">
        <v>2671</v>
      </c>
      <c r="C725" t="s">
        <v>2672</v>
      </c>
      <c r="D725" t="s">
        <v>252</v>
      </c>
      <c r="E725" t="s">
        <v>2671</v>
      </c>
      <c r="F725" t="s">
        <v>28</v>
      </c>
      <c r="G725" t="s">
        <v>2671</v>
      </c>
      <c r="H725" t="str">
        <f>"unk-1"</f>
        <v>unk-1</v>
      </c>
      <c r="I725" t="s">
        <v>252</v>
      </c>
      <c r="J725" t="s">
        <v>29</v>
      </c>
      <c r="K725">
        <v>9.5526295442138593</v>
      </c>
      <c r="L725">
        <v>10.804787310241499</v>
      </c>
      <c r="M725" t="s">
        <v>29</v>
      </c>
      <c r="N725">
        <v>13.763028806839699</v>
      </c>
      <c r="O725">
        <v>13.472096194812201</v>
      </c>
      <c r="P725">
        <v>3.43885407359824</v>
      </c>
      <c r="Q725">
        <v>2.5200532621798701</v>
      </c>
      <c r="R725">
        <v>4.3576548850166201</v>
      </c>
      <c r="S725">
        <v>12.147512689443399</v>
      </c>
      <c r="T725">
        <v>7.9385632043943097</v>
      </c>
      <c r="U725">
        <v>6.2875699971394399</v>
      </c>
      <c r="V725" s="2">
        <v>6.4073485530954796E-7</v>
      </c>
      <c r="W725" s="2">
        <v>3.3718671760664901E-5</v>
      </c>
      <c r="X725">
        <v>1</v>
      </c>
      <c r="Y725">
        <v>1</v>
      </c>
    </row>
    <row r="726" spans="1:25" x14ac:dyDescent="0.2">
      <c r="A726" t="s">
        <v>2673</v>
      </c>
      <c r="B726" t="s">
        <v>2674</v>
      </c>
      <c r="C726" t="s">
        <v>14324</v>
      </c>
      <c r="D726" t="s">
        <v>2675</v>
      </c>
      <c r="E726" t="s">
        <v>2674</v>
      </c>
      <c r="F726" t="s">
        <v>28</v>
      </c>
      <c r="G726" t="s">
        <v>2674</v>
      </c>
      <c r="H726" t="str">
        <f>"M04C3.1"</f>
        <v>M04C3.1</v>
      </c>
      <c r="I726" t="s">
        <v>2675</v>
      </c>
      <c r="J726">
        <v>12.653483524706401</v>
      </c>
      <c r="K726">
        <v>12.692915338473499</v>
      </c>
      <c r="L726">
        <v>12.3709192222566</v>
      </c>
      <c r="M726" t="s">
        <v>29</v>
      </c>
      <c r="N726" t="s">
        <v>29</v>
      </c>
      <c r="O726" t="s">
        <v>29</v>
      </c>
      <c r="P726" t="s">
        <v>29</v>
      </c>
      <c r="Q726" t="s">
        <v>29</v>
      </c>
      <c r="R726" t="s">
        <v>29</v>
      </c>
      <c r="S726">
        <v>12.6500099091389</v>
      </c>
      <c r="T726" t="s">
        <v>29</v>
      </c>
      <c r="U726" t="s">
        <v>29</v>
      </c>
      <c r="V726" t="s">
        <v>29</v>
      </c>
      <c r="W726" t="s">
        <v>29</v>
      </c>
      <c r="X726" t="s">
        <v>29</v>
      </c>
      <c r="Y726" t="s">
        <v>29</v>
      </c>
    </row>
    <row r="727" spans="1:25" x14ac:dyDescent="0.2">
      <c r="A727" t="s">
        <v>2676</v>
      </c>
      <c r="B727" t="s">
        <v>2677</v>
      </c>
      <c r="C727" t="s">
        <v>2678</v>
      </c>
      <c r="D727" t="s">
        <v>2679</v>
      </c>
      <c r="E727" t="s">
        <v>2677</v>
      </c>
      <c r="F727" t="s">
        <v>28</v>
      </c>
      <c r="G727" t="s">
        <v>2677</v>
      </c>
      <c r="H727" t="str">
        <f>"rsp-7"</f>
        <v>rsp-7</v>
      </c>
      <c r="I727" t="s">
        <v>2679</v>
      </c>
      <c r="J727">
        <v>13.6779311885282</v>
      </c>
      <c r="K727">
        <v>12.561133643612401</v>
      </c>
      <c r="L727">
        <v>12.983153266851801</v>
      </c>
      <c r="M727">
        <v>15.9840454557591</v>
      </c>
      <c r="N727">
        <v>15.0938620435874</v>
      </c>
      <c r="O727">
        <v>14.658325721084401</v>
      </c>
      <c r="P727">
        <v>2.1713383738128398</v>
      </c>
      <c r="Q727">
        <v>1.0124677635198001</v>
      </c>
      <c r="R727">
        <v>3.33020898410587</v>
      </c>
      <c r="S727">
        <v>13.7250813503098</v>
      </c>
      <c r="T727">
        <v>4.0214664648042504</v>
      </c>
      <c r="U727">
        <v>-1.4590285635251401</v>
      </c>
      <c r="V727">
        <v>1.2797985060067601E-3</v>
      </c>
      <c r="W727">
        <v>1.07759034205769E-2</v>
      </c>
      <c r="X727">
        <v>1</v>
      </c>
      <c r="Y727">
        <v>1</v>
      </c>
    </row>
    <row r="728" spans="1:25" x14ac:dyDescent="0.2">
      <c r="A728" t="s">
        <v>2680</v>
      </c>
      <c r="B728" t="s">
        <v>2681</v>
      </c>
      <c r="C728" t="s">
        <v>14325</v>
      </c>
      <c r="D728" t="s">
        <v>2682</v>
      </c>
      <c r="E728" t="s">
        <v>2681</v>
      </c>
      <c r="F728" t="s">
        <v>28</v>
      </c>
      <c r="G728" t="s">
        <v>2681</v>
      </c>
      <c r="H728" t="str">
        <f>"T20D3.5"</f>
        <v>T20D3.5</v>
      </c>
      <c r="I728" t="s">
        <v>2682</v>
      </c>
      <c r="J728" t="s">
        <v>29</v>
      </c>
      <c r="K728" t="s">
        <v>29</v>
      </c>
      <c r="L728" t="s">
        <v>29</v>
      </c>
      <c r="M728" t="s">
        <v>29</v>
      </c>
      <c r="N728" t="s">
        <v>29</v>
      </c>
      <c r="O728" t="s">
        <v>29</v>
      </c>
      <c r="P728" t="s">
        <v>29</v>
      </c>
      <c r="Q728" t="s">
        <v>29</v>
      </c>
      <c r="R728" t="s">
        <v>29</v>
      </c>
      <c r="S728">
        <v>12.100926551240599</v>
      </c>
      <c r="T728" t="s">
        <v>29</v>
      </c>
      <c r="U728" t="s">
        <v>29</v>
      </c>
      <c r="V728" t="s">
        <v>29</v>
      </c>
      <c r="W728" t="s">
        <v>29</v>
      </c>
      <c r="X728" t="s">
        <v>29</v>
      </c>
      <c r="Y728" t="s">
        <v>29</v>
      </c>
    </row>
    <row r="729" spans="1:25" x14ac:dyDescent="0.2">
      <c r="A729" t="s">
        <v>2683</v>
      </c>
      <c r="B729" t="s">
        <v>2684</v>
      </c>
      <c r="C729" t="s">
        <v>14326</v>
      </c>
      <c r="D729" t="s">
        <v>2685</v>
      </c>
      <c r="E729" t="s">
        <v>2684</v>
      </c>
      <c r="F729" t="s">
        <v>28</v>
      </c>
      <c r="G729" t="s">
        <v>2684</v>
      </c>
      <c r="H729" t="str">
        <f>"T20D3.6"</f>
        <v>T20D3.6</v>
      </c>
      <c r="I729" t="s">
        <v>2685</v>
      </c>
      <c r="J729">
        <v>14.288878426221901</v>
      </c>
      <c r="K729">
        <v>14.2388367022217</v>
      </c>
      <c r="L729">
        <v>14.2785018016828</v>
      </c>
      <c r="M729" t="s">
        <v>29</v>
      </c>
      <c r="N729">
        <v>13.847416747682299</v>
      </c>
      <c r="O729">
        <v>14.223204358422</v>
      </c>
      <c r="P729">
        <v>-0.233428423656695</v>
      </c>
      <c r="Q729">
        <v>-0.888628491755868</v>
      </c>
      <c r="R729">
        <v>0.421771644442477</v>
      </c>
      <c r="S729">
        <v>13.8048275524028</v>
      </c>
      <c r="T729">
        <v>-0.75202073711751805</v>
      </c>
      <c r="U729">
        <v>-6.7531027142936404</v>
      </c>
      <c r="V729">
        <v>0.46238756602487902</v>
      </c>
      <c r="W729">
        <v>0.62507163168592605</v>
      </c>
      <c r="X729">
        <v>0</v>
      </c>
      <c r="Y729">
        <v>0</v>
      </c>
    </row>
    <row r="730" spans="1:25" x14ac:dyDescent="0.2">
      <c r="A730" t="s">
        <v>2686</v>
      </c>
      <c r="B730" t="s">
        <v>2687</v>
      </c>
      <c r="C730" t="s">
        <v>2688</v>
      </c>
      <c r="D730" t="s">
        <v>2689</v>
      </c>
      <c r="E730" t="s">
        <v>2687</v>
      </c>
      <c r="F730" t="s">
        <v>28</v>
      </c>
      <c r="G730" t="s">
        <v>2687</v>
      </c>
      <c r="H730" t="str">
        <f>"vps-26"</f>
        <v>vps-26</v>
      </c>
      <c r="I730" t="s">
        <v>2689</v>
      </c>
      <c r="J730">
        <v>15.072415738954099</v>
      </c>
      <c r="K730">
        <v>14.8434645105329</v>
      </c>
      <c r="L730">
        <v>14.852709074530299</v>
      </c>
      <c r="M730" t="s">
        <v>29</v>
      </c>
      <c r="N730">
        <v>14.0114935048375</v>
      </c>
      <c r="O730">
        <v>14.627160183960701</v>
      </c>
      <c r="P730">
        <v>-0.60353626360672796</v>
      </c>
      <c r="Q730">
        <v>-1.15650100488858</v>
      </c>
      <c r="R730">
        <v>-5.0571522324876501E-2</v>
      </c>
      <c r="S730">
        <v>14.133606342422</v>
      </c>
      <c r="T730">
        <v>-2.30385924815082</v>
      </c>
      <c r="U730">
        <v>-4.6219171222874502</v>
      </c>
      <c r="V730">
        <v>3.4207902793938899E-2</v>
      </c>
      <c r="W730">
        <v>0.106495432131354</v>
      </c>
      <c r="X730">
        <v>0</v>
      </c>
      <c r="Y730">
        <v>0</v>
      </c>
    </row>
    <row r="731" spans="1:25" x14ac:dyDescent="0.2">
      <c r="A731" t="s">
        <v>2690</v>
      </c>
      <c r="B731" t="s">
        <v>2691</v>
      </c>
      <c r="C731" t="s">
        <v>14327</v>
      </c>
      <c r="D731" t="s">
        <v>2692</v>
      </c>
      <c r="E731" t="s">
        <v>2691</v>
      </c>
      <c r="F731" t="s">
        <v>28</v>
      </c>
      <c r="G731" t="s">
        <v>2691</v>
      </c>
      <c r="H731" t="str">
        <f>"F18A11.2"</f>
        <v>F18A11.2</v>
      </c>
      <c r="I731" t="s">
        <v>2692</v>
      </c>
      <c r="J731">
        <v>10.6232888121383</v>
      </c>
      <c r="K731">
        <v>10.8307149459156</v>
      </c>
      <c r="L731" t="s">
        <v>29</v>
      </c>
      <c r="M731" t="s">
        <v>29</v>
      </c>
      <c r="N731" t="s">
        <v>29</v>
      </c>
      <c r="O731">
        <v>9.5460875454621004</v>
      </c>
      <c r="P731">
        <v>-1.18091433356483</v>
      </c>
      <c r="Q731">
        <v>-2.2835121955153799</v>
      </c>
      <c r="R731">
        <v>-7.8316471614282804E-2</v>
      </c>
      <c r="S731">
        <v>11.0068018831366</v>
      </c>
      <c r="T731">
        <v>-2.28424589860257</v>
      </c>
      <c r="U731">
        <v>-4.4046608973199</v>
      </c>
      <c r="V731">
        <v>3.7455158589980199E-2</v>
      </c>
      <c r="W731">
        <v>0.11374356431768499</v>
      </c>
      <c r="X731">
        <v>-1</v>
      </c>
      <c r="Y731">
        <v>0</v>
      </c>
    </row>
    <row r="732" spans="1:25" x14ac:dyDescent="0.2">
      <c r="A732" t="s">
        <v>2693</v>
      </c>
      <c r="B732" t="s">
        <v>2694</v>
      </c>
      <c r="C732" t="s">
        <v>2695</v>
      </c>
      <c r="D732" t="s">
        <v>2696</v>
      </c>
      <c r="E732" t="s">
        <v>2694</v>
      </c>
      <c r="F732" t="s">
        <v>28</v>
      </c>
      <c r="G732" t="s">
        <v>2694</v>
      </c>
      <c r="H732" t="str">
        <f>"drsh-1"</f>
        <v>drsh-1</v>
      </c>
      <c r="I732" t="s">
        <v>2696</v>
      </c>
      <c r="J732" t="s">
        <v>29</v>
      </c>
      <c r="K732" t="s">
        <v>29</v>
      </c>
      <c r="L732" t="s">
        <v>29</v>
      </c>
      <c r="M732" t="s">
        <v>29</v>
      </c>
      <c r="N732" t="s">
        <v>29</v>
      </c>
      <c r="O732" t="s">
        <v>29</v>
      </c>
      <c r="P732" t="s">
        <v>29</v>
      </c>
      <c r="Q732" t="s">
        <v>29</v>
      </c>
      <c r="R732" t="s">
        <v>29</v>
      </c>
      <c r="S732">
        <v>12.4932048105989</v>
      </c>
      <c r="T732" t="s">
        <v>29</v>
      </c>
      <c r="U732" t="s">
        <v>29</v>
      </c>
      <c r="V732" t="s">
        <v>29</v>
      </c>
      <c r="W732" t="s">
        <v>29</v>
      </c>
      <c r="X732" t="s">
        <v>29</v>
      </c>
      <c r="Y732" t="s">
        <v>29</v>
      </c>
    </row>
    <row r="733" spans="1:25" x14ac:dyDescent="0.2">
      <c r="A733" t="s">
        <v>2697</v>
      </c>
      <c r="B733" t="s">
        <v>2698</v>
      </c>
      <c r="C733" t="s">
        <v>2699</v>
      </c>
      <c r="D733" t="s">
        <v>2700</v>
      </c>
      <c r="E733" t="s">
        <v>2698</v>
      </c>
      <c r="F733" t="s">
        <v>28</v>
      </c>
      <c r="G733" t="s">
        <v>2698</v>
      </c>
      <c r="H733" t="str">
        <f>"csn-2"</f>
        <v>csn-2</v>
      </c>
      <c r="I733" t="s">
        <v>2700</v>
      </c>
      <c r="J733">
        <v>13.126845561351001</v>
      </c>
      <c r="K733">
        <v>13.258624780110701</v>
      </c>
      <c r="L733">
        <v>13.250548143567</v>
      </c>
      <c r="M733" t="s">
        <v>29</v>
      </c>
      <c r="N733">
        <v>12.580529250265799</v>
      </c>
      <c r="O733" t="s">
        <v>29</v>
      </c>
      <c r="P733">
        <v>-0.63147691141045403</v>
      </c>
      <c r="Q733">
        <v>-1.2459936015311901</v>
      </c>
      <c r="R733">
        <v>-1.6960221289721598E-2</v>
      </c>
      <c r="S733">
        <v>12.910268272393299</v>
      </c>
      <c r="T733">
        <v>-2.1795825550654002</v>
      </c>
      <c r="U733">
        <v>-4.6335800516893402</v>
      </c>
      <c r="V733">
        <v>4.4679360136252101E-2</v>
      </c>
      <c r="W733">
        <v>0.12587961216207899</v>
      </c>
      <c r="X733">
        <v>0</v>
      </c>
      <c r="Y733">
        <v>0</v>
      </c>
    </row>
    <row r="734" spans="1:25" x14ac:dyDescent="0.2">
      <c r="A734" t="s">
        <v>2701</v>
      </c>
      <c r="B734" t="s">
        <v>2702</v>
      </c>
      <c r="C734" t="s">
        <v>2703</v>
      </c>
      <c r="D734" t="s">
        <v>2704</v>
      </c>
      <c r="E734" t="s">
        <v>2702</v>
      </c>
      <c r="F734" t="s">
        <v>28</v>
      </c>
      <c r="G734" t="s">
        <v>2702</v>
      </c>
      <c r="H734" t="str">
        <f>"air-2"</f>
        <v>air-2</v>
      </c>
      <c r="I734" t="s">
        <v>2704</v>
      </c>
      <c r="J734">
        <v>11.364093199456301</v>
      </c>
      <c r="K734" t="s">
        <v>29</v>
      </c>
      <c r="L734">
        <v>10.746033464113401</v>
      </c>
      <c r="M734" t="s">
        <v>29</v>
      </c>
      <c r="N734" t="s">
        <v>29</v>
      </c>
      <c r="O734" t="s">
        <v>29</v>
      </c>
      <c r="P734" t="s">
        <v>29</v>
      </c>
      <c r="Q734" t="s">
        <v>29</v>
      </c>
      <c r="R734" t="s">
        <v>29</v>
      </c>
      <c r="S734">
        <v>11.3905432016624</v>
      </c>
      <c r="T734" t="s">
        <v>29</v>
      </c>
      <c r="U734" t="s">
        <v>29</v>
      </c>
      <c r="V734" t="s">
        <v>29</v>
      </c>
      <c r="W734" t="s">
        <v>29</v>
      </c>
      <c r="X734" t="s">
        <v>29</v>
      </c>
      <c r="Y734" t="s">
        <v>29</v>
      </c>
    </row>
    <row r="735" spans="1:25" x14ac:dyDescent="0.2">
      <c r="A735" t="s">
        <v>2705</v>
      </c>
      <c r="B735" t="s">
        <v>2706</v>
      </c>
      <c r="C735" t="s">
        <v>2707</v>
      </c>
      <c r="D735" t="s">
        <v>2708</v>
      </c>
      <c r="E735" t="s">
        <v>2706</v>
      </c>
      <c r="F735" t="s">
        <v>28</v>
      </c>
      <c r="G735" t="s">
        <v>2706</v>
      </c>
      <c r="H735" t="str">
        <f>"B0261.6"</f>
        <v>B0261.6</v>
      </c>
      <c r="I735" t="s">
        <v>2708</v>
      </c>
      <c r="J735">
        <v>14.0431305243852</v>
      </c>
      <c r="K735">
        <v>10.9711115760407</v>
      </c>
      <c r="L735">
        <v>13.899173746685801</v>
      </c>
      <c r="M735" t="s">
        <v>29</v>
      </c>
      <c r="N735" t="s">
        <v>29</v>
      </c>
      <c r="O735" t="s">
        <v>29</v>
      </c>
      <c r="P735" t="s">
        <v>29</v>
      </c>
      <c r="Q735" t="s">
        <v>29</v>
      </c>
      <c r="R735" t="s">
        <v>29</v>
      </c>
      <c r="S735">
        <v>13.779625030625199</v>
      </c>
      <c r="T735" t="s">
        <v>29</v>
      </c>
      <c r="U735" t="s">
        <v>29</v>
      </c>
      <c r="V735" t="s">
        <v>29</v>
      </c>
      <c r="W735" t="s">
        <v>29</v>
      </c>
      <c r="X735" t="s">
        <v>29</v>
      </c>
      <c r="Y735" t="s">
        <v>29</v>
      </c>
    </row>
    <row r="736" spans="1:25" x14ac:dyDescent="0.2">
      <c r="A736" t="s">
        <v>2709</v>
      </c>
      <c r="B736" t="s">
        <v>2710</v>
      </c>
      <c r="C736" t="s">
        <v>2711</v>
      </c>
      <c r="D736" t="s">
        <v>2712</v>
      </c>
      <c r="E736" t="s">
        <v>2710</v>
      </c>
      <c r="F736" t="s">
        <v>28</v>
      </c>
      <c r="G736" t="s">
        <v>2710</v>
      </c>
      <c r="H736" t="str">
        <f>"vep-1"</f>
        <v>vep-1</v>
      </c>
      <c r="I736" t="s">
        <v>2712</v>
      </c>
      <c r="J736">
        <v>10.457885250100199</v>
      </c>
      <c r="K736" t="s">
        <v>29</v>
      </c>
      <c r="L736">
        <v>10.7600486671975</v>
      </c>
      <c r="M736" t="s">
        <v>29</v>
      </c>
      <c r="N736" t="s">
        <v>29</v>
      </c>
      <c r="O736">
        <v>11.331673884047399</v>
      </c>
      <c r="P736">
        <v>0.72270692539859704</v>
      </c>
      <c r="Q736">
        <v>-0.42174927128068301</v>
      </c>
      <c r="R736">
        <v>1.8671631220778799</v>
      </c>
      <c r="S736">
        <v>10.908061770112401</v>
      </c>
      <c r="T736">
        <v>1.34680477429978</v>
      </c>
      <c r="U736">
        <v>-5.8541393986869599</v>
      </c>
      <c r="V736">
        <v>0.19817883508407</v>
      </c>
      <c r="W736">
        <v>0.35742535311674001</v>
      </c>
      <c r="X736">
        <v>0</v>
      </c>
      <c r="Y736">
        <v>0</v>
      </c>
    </row>
    <row r="737" spans="1:25" x14ac:dyDescent="0.2">
      <c r="A737" t="s">
        <v>2713</v>
      </c>
      <c r="B737" t="s">
        <v>2714</v>
      </c>
      <c r="C737" t="s">
        <v>2715</v>
      </c>
      <c r="D737" t="s">
        <v>2716</v>
      </c>
      <c r="E737" t="s">
        <v>2714</v>
      </c>
      <c r="F737" t="s">
        <v>28</v>
      </c>
      <c r="G737" t="s">
        <v>2714</v>
      </c>
      <c r="H737" t="str">
        <f>"B0261.7"</f>
        <v>B0261.7</v>
      </c>
      <c r="I737" t="s">
        <v>2716</v>
      </c>
      <c r="J737" t="s">
        <v>29</v>
      </c>
      <c r="K737" t="s">
        <v>29</v>
      </c>
      <c r="L737" t="s">
        <v>29</v>
      </c>
      <c r="M737" t="s">
        <v>29</v>
      </c>
      <c r="N737" t="s">
        <v>29</v>
      </c>
      <c r="O737" t="s">
        <v>29</v>
      </c>
      <c r="P737" t="s">
        <v>29</v>
      </c>
      <c r="Q737" t="s">
        <v>29</v>
      </c>
      <c r="R737" t="s">
        <v>29</v>
      </c>
      <c r="S737">
        <v>11.7454211665193</v>
      </c>
      <c r="T737" t="s">
        <v>29</v>
      </c>
      <c r="U737" t="s">
        <v>29</v>
      </c>
      <c r="V737" t="s">
        <v>29</v>
      </c>
      <c r="W737" t="s">
        <v>29</v>
      </c>
      <c r="X737" t="s">
        <v>29</v>
      </c>
      <c r="Y737" t="s">
        <v>29</v>
      </c>
    </row>
    <row r="738" spans="1:25" x14ac:dyDescent="0.2">
      <c r="A738" t="s">
        <v>2717</v>
      </c>
      <c r="B738" t="s">
        <v>2718</v>
      </c>
      <c r="C738" t="s">
        <v>2719</v>
      </c>
      <c r="D738" t="s">
        <v>2720</v>
      </c>
      <c r="E738" t="s">
        <v>2718</v>
      </c>
      <c r="F738" t="s">
        <v>28</v>
      </c>
      <c r="G738" t="s">
        <v>2718</v>
      </c>
      <c r="H738" t="str">
        <f>"C04E6.11"</f>
        <v>C04E6.11</v>
      </c>
      <c r="I738" t="s">
        <v>2720</v>
      </c>
      <c r="J738">
        <v>12.573188124519801</v>
      </c>
      <c r="K738">
        <v>12.578844895904799</v>
      </c>
      <c r="L738">
        <v>13.2764990414903</v>
      </c>
      <c r="M738" t="s">
        <v>29</v>
      </c>
      <c r="N738">
        <v>12.7260344977028</v>
      </c>
      <c r="O738">
        <v>12.457593005439801</v>
      </c>
      <c r="P738">
        <v>-0.21769693573367199</v>
      </c>
      <c r="Q738">
        <v>-0.74488534034390597</v>
      </c>
      <c r="R738">
        <v>0.30949146887656198</v>
      </c>
      <c r="S738">
        <v>12.848582981506601</v>
      </c>
      <c r="T738">
        <v>-0.87586262888696997</v>
      </c>
      <c r="U738">
        <v>-6.6503421138803702</v>
      </c>
      <c r="V738">
        <v>0.39414848273598402</v>
      </c>
      <c r="W738">
        <v>0.562224384619044</v>
      </c>
      <c r="X738">
        <v>0</v>
      </c>
      <c r="Y738">
        <v>0</v>
      </c>
    </row>
    <row r="739" spans="1:25" x14ac:dyDescent="0.2">
      <c r="A739" t="s">
        <v>2721</v>
      </c>
      <c r="B739" t="s">
        <v>2722</v>
      </c>
      <c r="C739" t="s">
        <v>2723</v>
      </c>
      <c r="D739" t="s">
        <v>2724</v>
      </c>
      <c r="E739" t="s">
        <v>2722</v>
      </c>
      <c r="F739" t="s">
        <v>28</v>
      </c>
      <c r="G739" t="s">
        <v>2722</v>
      </c>
      <c r="H739" t="str">
        <f>"simr-1"</f>
        <v>simr-1</v>
      </c>
      <c r="I739" t="s">
        <v>2724</v>
      </c>
      <c r="J739">
        <v>11.8979437525922</v>
      </c>
      <c r="K739">
        <v>12.235962018034</v>
      </c>
      <c r="L739">
        <v>12.877760510751701</v>
      </c>
      <c r="M739" t="s">
        <v>29</v>
      </c>
      <c r="N739" t="s">
        <v>29</v>
      </c>
      <c r="O739" t="s">
        <v>29</v>
      </c>
      <c r="P739" t="s">
        <v>29</v>
      </c>
      <c r="Q739" t="s">
        <v>29</v>
      </c>
      <c r="R739" t="s">
        <v>29</v>
      </c>
      <c r="S739">
        <v>13.1968254168229</v>
      </c>
      <c r="T739" t="s">
        <v>29</v>
      </c>
      <c r="U739" t="s">
        <v>29</v>
      </c>
      <c r="V739" t="s">
        <v>29</v>
      </c>
      <c r="W739" t="s">
        <v>29</v>
      </c>
      <c r="X739" t="s">
        <v>29</v>
      </c>
      <c r="Y739" t="s">
        <v>29</v>
      </c>
    </row>
    <row r="740" spans="1:25" x14ac:dyDescent="0.2">
      <c r="A740" t="s">
        <v>2725</v>
      </c>
      <c r="B740" t="s">
        <v>2726</v>
      </c>
      <c r="C740" t="s">
        <v>2727</v>
      </c>
      <c r="D740" t="s">
        <v>2728</v>
      </c>
      <c r="E740" t="s">
        <v>2726</v>
      </c>
      <c r="F740" t="s">
        <v>28</v>
      </c>
      <c r="G740" t="s">
        <v>2726</v>
      </c>
      <c r="H740" t="str">
        <f>"unc-94"</f>
        <v>unc-94</v>
      </c>
      <c r="I740" t="s">
        <v>2728</v>
      </c>
      <c r="J740" t="s">
        <v>29</v>
      </c>
      <c r="K740" t="s">
        <v>29</v>
      </c>
      <c r="L740" t="s">
        <v>29</v>
      </c>
      <c r="M740" t="s">
        <v>29</v>
      </c>
      <c r="N740" t="s">
        <v>29</v>
      </c>
      <c r="O740">
        <v>12.2901598060081</v>
      </c>
      <c r="P740" t="s">
        <v>29</v>
      </c>
      <c r="Q740" t="s">
        <v>29</v>
      </c>
      <c r="R740" t="s">
        <v>29</v>
      </c>
      <c r="S740">
        <v>12.2289203838088</v>
      </c>
      <c r="T740" t="s">
        <v>29</v>
      </c>
      <c r="U740" t="s">
        <v>29</v>
      </c>
      <c r="V740" t="s">
        <v>29</v>
      </c>
      <c r="W740" t="s">
        <v>29</v>
      </c>
      <c r="X740" t="s">
        <v>29</v>
      </c>
      <c r="Y740" t="s">
        <v>29</v>
      </c>
    </row>
    <row r="741" spans="1:25" x14ac:dyDescent="0.2">
      <c r="A741" t="s">
        <v>2729</v>
      </c>
      <c r="B741" t="s">
        <v>2730</v>
      </c>
      <c r="C741" t="s">
        <v>2731</v>
      </c>
      <c r="D741" t="s">
        <v>2732</v>
      </c>
      <c r="E741" t="s">
        <v>2730</v>
      </c>
      <c r="F741" t="s">
        <v>28</v>
      </c>
      <c r="G741" t="s">
        <v>2730</v>
      </c>
      <c r="H741" t="str">
        <f>"ints-1"</f>
        <v>ints-1</v>
      </c>
      <c r="I741" t="s">
        <v>2732</v>
      </c>
      <c r="J741">
        <v>12.5966727908627</v>
      </c>
      <c r="K741">
        <v>12.2902454106683</v>
      </c>
      <c r="L741">
        <v>12.224605221423399</v>
      </c>
      <c r="M741" t="s">
        <v>29</v>
      </c>
      <c r="N741" t="s">
        <v>29</v>
      </c>
      <c r="O741">
        <v>11.551326986916701</v>
      </c>
      <c r="P741">
        <v>-0.81918082073476695</v>
      </c>
      <c r="Q741">
        <v>-1.6507394472179999</v>
      </c>
      <c r="R741">
        <v>1.23778057484681E-2</v>
      </c>
      <c r="S741">
        <v>12.5739010384032</v>
      </c>
      <c r="T741">
        <v>-2.0894714061080699</v>
      </c>
      <c r="U741">
        <v>-4.7900523337875196</v>
      </c>
      <c r="V741">
        <v>5.3105563821442103E-2</v>
      </c>
      <c r="W741">
        <v>0.141887666891922</v>
      </c>
      <c r="X741">
        <v>0</v>
      </c>
      <c r="Y741">
        <v>0</v>
      </c>
    </row>
    <row r="742" spans="1:25" x14ac:dyDescent="0.2">
      <c r="A742" t="s">
        <v>2733</v>
      </c>
      <c r="B742" t="s">
        <v>2734</v>
      </c>
      <c r="C742" t="s">
        <v>2735</v>
      </c>
      <c r="D742" t="s">
        <v>2736</v>
      </c>
      <c r="E742" t="s">
        <v>2734</v>
      </c>
      <c r="F742" t="s">
        <v>28</v>
      </c>
      <c r="G742" t="s">
        <v>2734</v>
      </c>
      <c r="H742" t="str">
        <f>"soap-1"</f>
        <v>soap-1</v>
      </c>
      <c r="I742" t="s">
        <v>2736</v>
      </c>
      <c r="J742">
        <v>12.980884931736099</v>
      </c>
      <c r="K742">
        <v>13.234545905712499</v>
      </c>
      <c r="L742">
        <v>12.8977792623476</v>
      </c>
      <c r="M742">
        <v>12.806716416113799</v>
      </c>
      <c r="N742">
        <v>12.8196463066606</v>
      </c>
      <c r="O742">
        <v>13.369664636148499</v>
      </c>
      <c r="P742">
        <v>-3.9060913624403802E-2</v>
      </c>
      <c r="Q742">
        <v>-0.45838047562677198</v>
      </c>
      <c r="R742">
        <v>0.38025864837796503</v>
      </c>
      <c r="S742">
        <v>12.942855430629701</v>
      </c>
      <c r="T742">
        <v>-0.195789675580225</v>
      </c>
      <c r="U742">
        <v>-7.1362065252215103</v>
      </c>
      <c r="V742">
        <v>0.84698084932533102</v>
      </c>
      <c r="W742">
        <v>0.90354463752088299</v>
      </c>
      <c r="X742">
        <v>0</v>
      </c>
      <c r="Y742">
        <v>0</v>
      </c>
    </row>
    <row r="743" spans="1:25" x14ac:dyDescent="0.2">
      <c r="A743" t="s">
        <v>2737</v>
      </c>
      <c r="B743" t="s">
        <v>2738</v>
      </c>
      <c r="C743" t="s">
        <v>2739</v>
      </c>
      <c r="D743" t="s">
        <v>561</v>
      </c>
      <c r="E743" t="s">
        <v>2738</v>
      </c>
      <c r="F743" t="s">
        <v>28</v>
      </c>
      <c r="G743" t="s">
        <v>2738</v>
      </c>
      <c r="H743" t="str">
        <f>"tyr-4"</f>
        <v>tyr-4</v>
      </c>
      <c r="I743" t="s">
        <v>561</v>
      </c>
      <c r="J743">
        <v>14.186076533824499</v>
      </c>
      <c r="K743">
        <v>14.494356757701899</v>
      </c>
      <c r="L743">
        <v>14.7377631662676</v>
      </c>
      <c r="M743">
        <v>14.5896306738549</v>
      </c>
      <c r="N743">
        <v>14.264203259816201</v>
      </c>
      <c r="O743">
        <v>13.7363165176758</v>
      </c>
      <c r="P743">
        <v>-0.276015335482375</v>
      </c>
      <c r="Q743">
        <v>-0.72152031180104004</v>
      </c>
      <c r="R743">
        <v>0.16948964083628901</v>
      </c>
      <c r="S743">
        <v>14.921090071002199</v>
      </c>
      <c r="T743">
        <v>-1.3021864318634999</v>
      </c>
      <c r="U743">
        <v>-6.3063265420085601</v>
      </c>
      <c r="V743">
        <v>0.20936473295438901</v>
      </c>
      <c r="W743">
        <v>0.37079198799073498</v>
      </c>
      <c r="X743">
        <v>0</v>
      </c>
      <c r="Y743">
        <v>0</v>
      </c>
    </row>
    <row r="744" spans="1:25" x14ac:dyDescent="0.2">
      <c r="A744" t="s">
        <v>2740</v>
      </c>
      <c r="B744" t="s">
        <v>2741</v>
      </c>
      <c r="C744" t="s">
        <v>2742</v>
      </c>
      <c r="D744" t="s">
        <v>666</v>
      </c>
      <c r="E744" t="s">
        <v>2741</v>
      </c>
      <c r="F744" t="s">
        <v>28</v>
      </c>
      <c r="G744" t="s">
        <v>2741</v>
      </c>
      <c r="H744" t="str">
        <f>"pqn-20"</f>
        <v>pqn-20</v>
      </c>
      <c r="I744" t="s">
        <v>666</v>
      </c>
      <c r="J744">
        <v>13.017040475193401</v>
      </c>
      <c r="K744" t="s">
        <v>29</v>
      </c>
      <c r="L744">
        <v>12.830110354631101</v>
      </c>
      <c r="M744" t="s">
        <v>29</v>
      </c>
      <c r="N744" t="s">
        <v>29</v>
      </c>
      <c r="O744">
        <v>12.0822556074547</v>
      </c>
      <c r="P744">
        <v>-0.84131980745754797</v>
      </c>
      <c r="Q744">
        <v>-1.53773229199373</v>
      </c>
      <c r="R744">
        <v>-0.14490732292136699</v>
      </c>
      <c r="S744">
        <v>12.130933199985099</v>
      </c>
      <c r="T744">
        <v>-2.6347510010650401</v>
      </c>
      <c r="U744">
        <v>-3.8405376940519398</v>
      </c>
      <c r="V744">
        <v>2.1920890778307601E-2</v>
      </c>
      <c r="W744">
        <v>7.8304078937784904E-2</v>
      </c>
      <c r="X744">
        <v>0</v>
      </c>
      <c r="Y744">
        <v>0</v>
      </c>
    </row>
    <row r="745" spans="1:25" x14ac:dyDescent="0.2">
      <c r="A745" t="s">
        <v>2743</v>
      </c>
      <c r="B745" t="s">
        <v>2744</v>
      </c>
      <c r="C745" t="s">
        <v>2745</v>
      </c>
      <c r="D745" t="s">
        <v>2746</v>
      </c>
      <c r="E745" t="s">
        <v>2744</v>
      </c>
      <c r="F745" t="s">
        <v>28</v>
      </c>
      <c r="G745" t="s">
        <v>2744</v>
      </c>
      <c r="H745" t="str">
        <f>"smg-1"</f>
        <v>smg-1</v>
      </c>
      <c r="I745" t="s">
        <v>2746</v>
      </c>
      <c r="J745">
        <v>11.6665401430706</v>
      </c>
      <c r="K745">
        <v>11.697569855405501</v>
      </c>
      <c r="L745">
        <v>11.213289625666601</v>
      </c>
      <c r="M745" t="s">
        <v>29</v>
      </c>
      <c r="N745" t="s">
        <v>29</v>
      </c>
      <c r="O745">
        <v>11.7252326204966</v>
      </c>
      <c r="P745">
        <v>0.19943274578234399</v>
      </c>
      <c r="Q745">
        <v>-0.52961286073948499</v>
      </c>
      <c r="R745">
        <v>0.92847835230417297</v>
      </c>
      <c r="S745">
        <v>11.9425971610457</v>
      </c>
      <c r="T745">
        <v>0.58342277335011905</v>
      </c>
      <c r="U745">
        <v>-6.6352800513906303</v>
      </c>
      <c r="V745">
        <v>0.56833836978982899</v>
      </c>
      <c r="W745">
        <v>0.70943284617565205</v>
      </c>
      <c r="X745">
        <v>0</v>
      </c>
      <c r="Y745">
        <v>0</v>
      </c>
    </row>
    <row r="746" spans="1:25" x14ac:dyDescent="0.2">
      <c r="A746" t="s">
        <v>2747</v>
      </c>
      <c r="B746" t="s">
        <v>2748</v>
      </c>
      <c r="C746" t="s">
        <v>2749</v>
      </c>
      <c r="D746" t="s">
        <v>2750</v>
      </c>
      <c r="E746" t="s">
        <v>2748</v>
      </c>
      <c r="F746" t="s">
        <v>28</v>
      </c>
      <c r="G746" t="s">
        <v>2748</v>
      </c>
      <c r="H746" t="str">
        <f>"C48B6.2"</f>
        <v>C48B6.2</v>
      </c>
      <c r="I746" t="s">
        <v>2750</v>
      </c>
      <c r="J746" t="s">
        <v>29</v>
      </c>
      <c r="K746" t="s">
        <v>29</v>
      </c>
      <c r="L746" t="s">
        <v>29</v>
      </c>
      <c r="M746" t="s">
        <v>29</v>
      </c>
      <c r="N746">
        <v>13.813211251153</v>
      </c>
      <c r="O746">
        <v>13.689028859358499</v>
      </c>
      <c r="P746" t="s">
        <v>29</v>
      </c>
      <c r="Q746" t="s">
        <v>29</v>
      </c>
      <c r="R746" t="s">
        <v>29</v>
      </c>
      <c r="S746">
        <v>13.6390028351142</v>
      </c>
      <c r="T746" t="s">
        <v>29</v>
      </c>
      <c r="U746" t="s">
        <v>29</v>
      </c>
      <c r="V746" t="s">
        <v>29</v>
      </c>
      <c r="W746" t="s">
        <v>29</v>
      </c>
      <c r="X746" t="s">
        <v>29</v>
      </c>
      <c r="Y746" t="s">
        <v>29</v>
      </c>
    </row>
    <row r="747" spans="1:25" x14ac:dyDescent="0.2">
      <c r="A747" t="s">
        <v>2751</v>
      </c>
      <c r="B747" t="s">
        <v>2752</v>
      </c>
      <c r="C747" t="s">
        <v>2753</v>
      </c>
      <c r="D747" t="s">
        <v>2754</v>
      </c>
      <c r="E747" t="s">
        <v>2752</v>
      </c>
      <c r="F747" t="s">
        <v>28</v>
      </c>
      <c r="G747" t="s">
        <v>2752</v>
      </c>
      <c r="H747" t="str">
        <f>"ets-6"</f>
        <v>ets-6</v>
      </c>
      <c r="I747" t="s">
        <v>2754</v>
      </c>
      <c r="J747" t="s">
        <v>29</v>
      </c>
      <c r="K747" t="s">
        <v>29</v>
      </c>
      <c r="L747" t="s">
        <v>29</v>
      </c>
      <c r="M747" t="s">
        <v>29</v>
      </c>
      <c r="N747" t="s">
        <v>29</v>
      </c>
      <c r="O747" t="s">
        <v>29</v>
      </c>
      <c r="P747" t="s">
        <v>29</v>
      </c>
      <c r="Q747" t="s">
        <v>29</v>
      </c>
      <c r="R747" t="s">
        <v>29</v>
      </c>
      <c r="S747">
        <v>10.9794789446559</v>
      </c>
      <c r="T747" t="s">
        <v>29</v>
      </c>
      <c r="U747" t="s">
        <v>29</v>
      </c>
      <c r="V747" t="s">
        <v>29</v>
      </c>
      <c r="W747" t="s">
        <v>29</v>
      </c>
      <c r="X747" t="s">
        <v>29</v>
      </c>
      <c r="Y747" t="s">
        <v>29</v>
      </c>
    </row>
    <row r="748" spans="1:25" x14ac:dyDescent="0.2">
      <c r="A748" t="s">
        <v>2755</v>
      </c>
      <c r="B748" t="s">
        <v>2756</v>
      </c>
      <c r="C748" t="s">
        <v>2757</v>
      </c>
      <c r="D748" t="s">
        <v>107</v>
      </c>
      <c r="E748" t="s">
        <v>2756</v>
      </c>
      <c r="F748" t="s">
        <v>28</v>
      </c>
      <c r="G748" t="s">
        <v>2756</v>
      </c>
      <c r="H748" t="str">
        <f>"slc-17.5"</f>
        <v>slc-17.5</v>
      </c>
      <c r="I748" t="s">
        <v>107</v>
      </c>
      <c r="J748">
        <v>9.4365898963526806</v>
      </c>
      <c r="K748">
        <v>8.9451371155314501</v>
      </c>
      <c r="L748" t="s">
        <v>29</v>
      </c>
      <c r="M748" t="s">
        <v>29</v>
      </c>
      <c r="N748" t="s">
        <v>29</v>
      </c>
      <c r="O748" t="s">
        <v>29</v>
      </c>
      <c r="P748" t="s">
        <v>29</v>
      </c>
      <c r="Q748" t="s">
        <v>29</v>
      </c>
      <c r="R748" t="s">
        <v>29</v>
      </c>
      <c r="S748">
        <v>9.6290056441617899</v>
      </c>
      <c r="T748" t="s">
        <v>29</v>
      </c>
      <c r="U748" t="s">
        <v>29</v>
      </c>
      <c r="V748" t="s">
        <v>29</v>
      </c>
      <c r="W748" t="s">
        <v>29</v>
      </c>
      <c r="X748" t="s">
        <v>29</v>
      </c>
      <c r="Y748" t="s">
        <v>29</v>
      </c>
    </row>
    <row r="749" spans="1:25" x14ac:dyDescent="0.2">
      <c r="A749" t="s">
        <v>2758</v>
      </c>
      <c r="B749" t="s">
        <v>2759</v>
      </c>
      <c r="C749" t="s">
        <v>2760</v>
      </c>
      <c r="D749" t="s">
        <v>2761</v>
      </c>
      <c r="E749" t="s">
        <v>2759</v>
      </c>
      <c r="F749" t="s">
        <v>28</v>
      </c>
      <c r="G749" t="s">
        <v>2759</v>
      </c>
      <c r="H749" t="str">
        <f>"aars-2"</f>
        <v>aars-2</v>
      </c>
      <c r="I749" t="s">
        <v>2761</v>
      </c>
      <c r="J749">
        <v>15.8772746545602</v>
      </c>
      <c r="K749">
        <v>15.6124799841207</v>
      </c>
      <c r="L749">
        <v>15.6834310176157</v>
      </c>
      <c r="M749">
        <v>15.472559981616399</v>
      </c>
      <c r="N749">
        <v>15.7289546170409</v>
      </c>
      <c r="O749">
        <v>15.732445213101499</v>
      </c>
      <c r="P749">
        <v>-7.9741948179272298E-2</v>
      </c>
      <c r="Q749">
        <v>-0.41804051122153801</v>
      </c>
      <c r="R749">
        <v>0.25855661486299403</v>
      </c>
      <c r="S749">
        <v>15.400712498251099</v>
      </c>
      <c r="T749">
        <v>-0.49542646444169702</v>
      </c>
      <c r="U749">
        <v>-7.0283735810966901</v>
      </c>
      <c r="V749">
        <v>0.62632787911341603</v>
      </c>
      <c r="W749">
        <v>0.74896483297869498</v>
      </c>
      <c r="X749">
        <v>0</v>
      </c>
      <c r="Y749">
        <v>0</v>
      </c>
    </row>
    <row r="750" spans="1:25" x14ac:dyDescent="0.2">
      <c r="A750" t="s">
        <v>2762</v>
      </c>
      <c r="B750" t="s">
        <v>2763</v>
      </c>
      <c r="C750" t="s">
        <v>2764</v>
      </c>
      <c r="D750" t="s">
        <v>758</v>
      </c>
      <c r="E750" t="s">
        <v>2763</v>
      </c>
      <c r="F750" t="s">
        <v>28</v>
      </c>
      <c r="G750" t="s">
        <v>2763</v>
      </c>
      <c r="H750" t="str">
        <f>"cpn-3"</f>
        <v>cpn-3</v>
      </c>
      <c r="I750" t="s">
        <v>758</v>
      </c>
      <c r="J750">
        <v>16.360880091292199</v>
      </c>
      <c r="K750">
        <v>15.851147172607799</v>
      </c>
      <c r="L750">
        <v>16.0238679548264</v>
      </c>
      <c r="M750">
        <v>16.143543709805201</v>
      </c>
      <c r="N750">
        <v>16.747169419967999</v>
      </c>
      <c r="O750">
        <v>15.9220042665295</v>
      </c>
      <c r="P750">
        <v>0.19227405919207999</v>
      </c>
      <c r="Q750">
        <v>-0.28596988160119502</v>
      </c>
      <c r="R750">
        <v>0.670517999985355</v>
      </c>
      <c r="S750">
        <v>15.8152796639434</v>
      </c>
      <c r="T750">
        <v>0.84501366436316805</v>
      </c>
      <c r="U750">
        <v>-6.7889010426499103</v>
      </c>
      <c r="V750">
        <v>0.409259368512366</v>
      </c>
      <c r="W750">
        <v>0.57735153614453905</v>
      </c>
      <c r="X750">
        <v>0</v>
      </c>
      <c r="Y750">
        <v>0</v>
      </c>
    </row>
    <row r="751" spans="1:25" x14ac:dyDescent="0.2">
      <c r="A751" t="s">
        <v>2765</v>
      </c>
      <c r="B751" t="s">
        <v>2766</v>
      </c>
      <c r="C751" t="s">
        <v>2767</v>
      </c>
      <c r="D751" t="s">
        <v>2768</v>
      </c>
      <c r="E751" t="s">
        <v>2766</v>
      </c>
      <c r="F751" t="s">
        <v>28</v>
      </c>
      <c r="G751" t="s">
        <v>2766</v>
      </c>
      <c r="H751" t="str">
        <f>"mpc-2"</f>
        <v>mpc-2</v>
      </c>
      <c r="I751" t="s">
        <v>2768</v>
      </c>
      <c r="J751">
        <v>17.159720305449</v>
      </c>
      <c r="K751">
        <v>17.1183120707664</v>
      </c>
      <c r="L751">
        <v>17.014805435601598</v>
      </c>
      <c r="M751">
        <v>15.7423333985691</v>
      </c>
      <c r="N751">
        <v>15.9348835292215</v>
      </c>
      <c r="O751">
        <v>16.015465263553001</v>
      </c>
      <c r="P751">
        <v>-1.2000518734911501</v>
      </c>
      <c r="Q751">
        <v>-1.559209025653</v>
      </c>
      <c r="R751">
        <v>-0.84089472132929699</v>
      </c>
      <c r="S751">
        <v>16.5510521772594</v>
      </c>
      <c r="T751">
        <v>-7.0227630129183396</v>
      </c>
      <c r="U751">
        <v>5.1922173546844403</v>
      </c>
      <c r="V751" s="2">
        <v>1.5371363765145099E-6</v>
      </c>
      <c r="W751" s="2">
        <v>6.4713441451260897E-5</v>
      </c>
      <c r="X751">
        <v>-1</v>
      </c>
      <c r="Y751">
        <v>-1</v>
      </c>
    </row>
    <row r="752" spans="1:25" x14ac:dyDescent="0.2">
      <c r="A752" t="s">
        <v>2769</v>
      </c>
      <c r="B752" t="s">
        <v>2770</v>
      </c>
      <c r="C752" t="s">
        <v>2771</v>
      </c>
      <c r="D752" t="s">
        <v>2772</v>
      </c>
      <c r="E752" t="s">
        <v>2770</v>
      </c>
      <c r="F752" t="s">
        <v>28</v>
      </c>
      <c r="G752" t="s">
        <v>2770</v>
      </c>
      <c r="H752" t="str">
        <f>"dmd-7"</f>
        <v>dmd-7</v>
      </c>
      <c r="I752" t="s">
        <v>2772</v>
      </c>
      <c r="J752" t="s">
        <v>29</v>
      </c>
      <c r="K752" t="s">
        <v>29</v>
      </c>
      <c r="L752" t="s">
        <v>29</v>
      </c>
      <c r="M752" t="s">
        <v>29</v>
      </c>
      <c r="N752" t="s">
        <v>29</v>
      </c>
      <c r="O752" t="s">
        <v>29</v>
      </c>
      <c r="P752" t="s">
        <v>29</v>
      </c>
      <c r="Q752" t="s">
        <v>29</v>
      </c>
      <c r="R752" t="s">
        <v>29</v>
      </c>
      <c r="S752">
        <v>11.362207760157901</v>
      </c>
      <c r="T752" t="s">
        <v>29</v>
      </c>
      <c r="U752" t="s">
        <v>29</v>
      </c>
      <c r="V752" t="s">
        <v>29</v>
      </c>
      <c r="W752" t="s">
        <v>29</v>
      </c>
      <c r="X752" t="s">
        <v>29</v>
      </c>
      <c r="Y752" t="s">
        <v>29</v>
      </c>
    </row>
    <row r="753" spans="1:25" x14ac:dyDescent="0.2">
      <c r="A753" t="s">
        <v>2773</v>
      </c>
      <c r="B753" t="s">
        <v>2774</v>
      </c>
      <c r="C753" t="s">
        <v>2775</v>
      </c>
      <c r="D753" t="s">
        <v>2776</v>
      </c>
      <c r="E753" t="s">
        <v>2774</v>
      </c>
      <c r="F753" t="s">
        <v>28</v>
      </c>
      <c r="G753" t="s">
        <v>2774</v>
      </c>
      <c r="H753" t="str">
        <f>"mrck-1"</f>
        <v>mrck-1</v>
      </c>
      <c r="I753" t="s">
        <v>2776</v>
      </c>
      <c r="J753">
        <v>14.3230278118304</v>
      </c>
      <c r="K753">
        <v>14.177249944872999</v>
      </c>
      <c r="L753">
        <v>14.181263156177801</v>
      </c>
      <c r="M753">
        <v>14.351544448279199</v>
      </c>
      <c r="N753">
        <v>14.5353706431394</v>
      </c>
      <c r="O753">
        <v>14.262819150312</v>
      </c>
      <c r="P753">
        <v>0.15606444294979299</v>
      </c>
      <c r="Q753">
        <v>-0.18534828573054099</v>
      </c>
      <c r="R753">
        <v>0.497477171630127</v>
      </c>
      <c r="S753">
        <v>14.5843118359342</v>
      </c>
      <c r="T753">
        <v>0.96076410945809398</v>
      </c>
      <c r="U753">
        <v>-6.6840345739935199</v>
      </c>
      <c r="V753">
        <v>0.34947376734785301</v>
      </c>
      <c r="W753">
        <v>0.51936419181751003</v>
      </c>
      <c r="X753">
        <v>0</v>
      </c>
      <c r="Y753">
        <v>0</v>
      </c>
    </row>
    <row r="754" spans="1:25" x14ac:dyDescent="0.2">
      <c r="A754" t="s">
        <v>2777</v>
      </c>
      <c r="B754" t="s">
        <v>2778</v>
      </c>
      <c r="C754" t="s">
        <v>2779</v>
      </c>
      <c r="D754" t="s">
        <v>111</v>
      </c>
      <c r="E754" t="s">
        <v>2778</v>
      </c>
      <c r="F754" t="s">
        <v>28</v>
      </c>
      <c r="G754" t="s">
        <v>2778</v>
      </c>
      <c r="H754" t="str">
        <f>"rga-3"</f>
        <v>rga-3</v>
      </c>
      <c r="I754" t="s">
        <v>111</v>
      </c>
      <c r="J754">
        <v>14.022629192778901</v>
      </c>
      <c r="K754">
        <v>14.2307682859427</v>
      </c>
      <c r="L754">
        <v>12.4044700261525</v>
      </c>
      <c r="M754">
        <v>14.8462905403057</v>
      </c>
      <c r="N754" t="s">
        <v>29</v>
      </c>
      <c r="O754">
        <v>15.602676550496399</v>
      </c>
      <c r="P754">
        <v>1.6718610437763299</v>
      </c>
      <c r="Q754">
        <v>0.554386310201334</v>
      </c>
      <c r="R754">
        <v>2.7893357773513299</v>
      </c>
      <c r="S754">
        <v>13.648630096881099</v>
      </c>
      <c r="T754">
        <v>3.17330631340826</v>
      </c>
      <c r="U754">
        <v>-2.9396763433192601</v>
      </c>
      <c r="V754">
        <v>5.93839276802336E-3</v>
      </c>
      <c r="W754">
        <v>3.1646371586554901E-2</v>
      </c>
      <c r="X754">
        <v>1</v>
      </c>
      <c r="Y754">
        <v>1</v>
      </c>
    </row>
    <row r="755" spans="1:25" x14ac:dyDescent="0.2">
      <c r="A755" t="s">
        <v>2780</v>
      </c>
      <c r="B755" t="s">
        <v>2781</v>
      </c>
      <c r="C755" t="s">
        <v>2782</v>
      </c>
      <c r="D755" t="s">
        <v>2783</v>
      </c>
      <c r="E755" t="s">
        <v>2781</v>
      </c>
      <c r="F755" t="s">
        <v>28</v>
      </c>
      <c r="G755" t="s">
        <v>2781</v>
      </c>
      <c r="H755" t="str">
        <f>"acds-10"</f>
        <v>acds-10</v>
      </c>
      <c r="I755" t="s">
        <v>2783</v>
      </c>
      <c r="J755">
        <v>13.128631362502301</v>
      </c>
      <c r="K755">
        <v>13.243941440969801</v>
      </c>
      <c r="L755">
        <v>13.049111708518801</v>
      </c>
      <c r="M755">
        <v>13.1473160308998</v>
      </c>
      <c r="N755">
        <v>13.616010889966001</v>
      </c>
      <c r="O755">
        <v>13.2974625109781</v>
      </c>
      <c r="P755">
        <v>0.213034973284289</v>
      </c>
      <c r="Q755">
        <v>-0.19162557142647799</v>
      </c>
      <c r="R755">
        <v>0.61769551799505595</v>
      </c>
      <c r="S755">
        <v>12.9123743123937</v>
      </c>
      <c r="T755">
        <v>1.10650290234433</v>
      </c>
      <c r="U755">
        <v>-6.5349242265121301</v>
      </c>
      <c r="V755">
        <v>0.28316232310758999</v>
      </c>
      <c r="W755">
        <v>0.45170338991870301</v>
      </c>
      <c r="X755">
        <v>0</v>
      </c>
      <c r="Y755">
        <v>0</v>
      </c>
    </row>
    <row r="756" spans="1:25" x14ac:dyDescent="0.2">
      <c r="A756" t="s">
        <v>2784</v>
      </c>
      <c r="B756" t="s">
        <v>2785</v>
      </c>
      <c r="C756" t="s">
        <v>2786</v>
      </c>
      <c r="D756" t="s">
        <v>2787</v>
      </c>
      <c r="E756" t="s">
        <v>2785</v>
      </c>
      <c r="F756" t="s">
        <v>28</v>
      </c>
      <c r="G756" t="s">
        <v>2785</v>
      </c>
      <c r="H756" t="str">
        <f>"rips-1"</f>
        <v>rips-1</v>
      </c>
      <c r="I756" t="s">
        <v>2787</v>
      </c>
      <c r="J756">
        <v>11.853230808148</v>
      </c>
      <c r="K756">
        <v>12.7259190141496</v>
      </c>
      <c r="L756">
        <v>12.670510538238499</v>
      </c>
      <c r="M756" t="s">
        <v>29</v>
      </c>
      <c r="N756" t="s">
        <v>29</v>
      </c>
      <c r="O756">
        <v>14.450720477642101</v>
      </c>
      <c r="P756">
        <v>2.0341670241300802</v>
      </c>
      <c r="Q756">
        <v>0.95791731742042496</v>
      </c>
      <c r="R756">
        <v>3.1104167308397401</v>
      </c>
      <c r="S756">
        <v>13.615839549805401</v>
      </c>
      <c r="T756">
        <v>4.0310220094707896</v>
      </c>
      <c r="U756">
        <v>-1.05272328264466</v>
      </c>
      <c r="V756">
        <v>1.10272457469249E-3</v>
      </c>
      <c r="W756">
        <v>9.7883413301770392E-3</v>
      </c>
      <c r="X756">
        <v>1</v>
      </c>
      <c r="Y756">
        <v>1</v>
      </c>
    </row>
    <row r="757" spans="1:25" x14ac:dyDescent="0.2">
      <c r="A757" t="s">
        <v>2788</v>
      </c>
      <c r="B757" t="s">
        <v>2789</v>
      </c>
      <c r="C757" t="s">
        <v>2790</v>
      </c>
      <c r="D757" t="s">
        <v>2791</v>
      </c>
      <c r="E757" t="s">
        <v>2789</v>
      </c>
      <c r="F757" t="s">
        <v>28</v>
      </c>
      <c r="G757" t="s">
        <v>2789</v>
      </c>
      <c r="H757" t="str">
        <f>"let-355"</f>
        <v>let-355</v>
      </c>
      <c r="I757" t="s">
        <v>2791</v>
      </c>
      <c r="J757">
        <v>13.0493564019748</v>
      </c>
      <c r="K757">
        <v>13.0748539397846</v>
      </c>
      <c r="L757">
        <v>13.043100528184899</v>
      </c>
      <c r="M757" t="s">
        <v>29</v>
      </c>
      <c r="N757">
        <v>13.016230410106701</v>
      </c>
      <c r="O757">
        <v>13.073829984804</v>
      </c>
      <c r="P757">
        <v>-1.07400925260794E-2</v>
      </c>
      <c r="Q757">
        <v>-0.44661718736898198</v>
      </c>
      <c r="R757">
        <v>0.425137002316823</v>
      </c>
      <c r="S757">
        <v>13.2937703891024</v>
      </c>
      <c r="T757">
        <v>-5.2010854426592402E-2</v>
      </c>
      <c r="U757">
        <v>-7.0440531513</v>
      </c>
      <c r="V757">
        <v>0.95913005135740004</v>
      </c>
      <c r="W757">
        <v>0.97534722613880598</v>
      </c>
      <c r="X757">
        <v>0</v>
      </c>
      <c r="Y757">
        <v>0</v>
      </c>
    </row>
    <row r="758" spans="1:25" x14ac:dyDescent="0.2">
      <c r="A758" t="s">
        <v>2792</v>
      </c>
      <c r="B758" t="s">
        <v>2793</v>
      </c>
      <c r="C758" t="s">
        <v>2794</v>
      </c>
      <c r="D758" t="s">
        <v>2795</v>
      </c>
      <c r="E758" t="s">
        <v>2793</v>
      </c>
      <c r="F758" t="s">
        <v>28</v>
      </c>
      <c r="G758" t="s">
        <v>2793</v>
      </c>
      <c r="H758" t="str">
        <f>"ugt-12"</f>
        <v>ugt-12</v>
      </c>
      <c r="I758" t="s">
        <v>2795</v>
      </c>
      <c r="J758" t="s">
        <v>29</v>
      </c>
      <c r="K758" t="s">
        <v>29</v>
      </c>
      <c r="L758">
        <v>12.106651978556799</v>
      </c>
      <c r="M758" t="s">
        <v>29</v>
      </c>
      <c r="N758">
        <v>12.016070942378899</v>
      </c>
      <c r="O758">
        <v>11.7883892902742</v>
      </c>
      <c r="P758">
        <v>-0.20442186223018199</v>
      </c>
      <c r="Q758">
        <v>-1.3486807559754299</v>
      </c>
      <c r="R758">
        <v>0.93983703151506104</v>
      </c>
      <c r="S758">
        <v>12.445063735567601</v>
      </c>
      <c r="T758">
        <v>-0.39366856481453699</v>
      </c>
      <c r="U758">
        <v>-6.6716721110830601</v>
      </c>
      <c r="V758">
        <v>0.70142058043907396</v>
      </c>
      <c r="W758">
        <v>0.80662027118657198</v>
      </c>
      <c r="X758">
        <v>0</v>
      </c>
      <c r="Y758">
        <v>0</v>
      </c>
    </row>
    <row r="759" spans="1:25" x14ac:dyDescent="0.2">
      <c r="A759" t="s">
        <v>2796</v>
      </c>
      <c r="B759" t="s">
        <v>2797</v>
      </c>
      <c r="C759" t="s">
        <v>2798</v>
      </c>
      <c r="D759" t="s">
        <v>2799</v>
      </c>
      <c r="E759" t="s">
        <v>2797</v>
      </c>
      <c r="F759" t="s">
        <v>28</v>
      </c>
      <c r="G759" t="s">
        <v>2797</v>
      </c>
      <c r="H759" t="str">
        <f>"unc-132"</f>
        <v>unc-132</v>
      </c>
      <c r="I759" t="s">
        <v>2799</v>
      </c>
      <c r="J759">
        <v>15.1980323115632</v>
      </c>
      <c r="K759">
        <v>15.080761078291101</v>
      </c>
      <c r="L759">
        <v>15.0828805568608</v>
      </c>
      <c r="M759">
        <v>14.3224363499916</v>
      </c>
      <c r="N759">
        <v>14.8977169659755</v>
      </c>
      <c r="O759">
        <v>14.9906555948607</v>
      </c>
      <c r="P759">
        <v>-0.38362167862913499</v>
      </c>
      <c r="Q759">
        <v>-0.78170524515594697</v>
      </c>
      <c r="R759">
        <v>1.4461887897676801E-2</v>
      </c>
      <c r="S759">
        <v>14.8916389997226</v>
      </c>
      <c r="T759">
        <v>-2.0254494317613498</v>
      </c>
      <c r="U759">
        <v>-5.2191944610797396</v>
      </c>
      <c r="V759">
        <v>5.8000107178728499E-2</v>
      </c>
      <c r="W759">
        <v>0.151128484399393</v>
      </c>
      <c r="X759">
        <v>0</v>
      </c>
      <c r="Y759">
        <v>0</v>
      </c>
    </row>
    <row r="760" spans="1:25" x14ac:dyDescent="0.2">
      <c r="A760" t="s">
        <v>2800</v>
      </c>
      <c r="B760" t="s">
        <v>2801</v>
      </c>
      <c r="C760" t="s">
        <v>2802</v>
      </c>
      <c r="D760" t="s">
        <v>2803</v>
      </c>
      <c r="E760" t="s">
        <v>2801</v>
      </c>
      <c r="F760" t="s">
        <v>28</v>
      </c>
      <c r="G760" t="s">
        <v>2801</v>
      </c>
      <c r="H760" t="str">
        <f>"inx-12"</f>
        <v>inx-12</v>
      </c>
      <c r="I760" t="s">
        <v>2803</v>
      </c>
      <c r="J760">
        <v>12.963163882755699</v>
      </c>
      <c r="K760">
        <v>12.538082881378701</v>
      </c>
      <c r="L760">
        <v>12.879152531426501</v>
      </c>
      <c r="M760">
        <v>15.671911239382901</v>
      </c>
      <c r="N760">
        <v>15.6890963852371</v>
      </c>
      <c r="O760">
        <v>15.981212773807799</v>
      </c>
      <c r="P760">
        <v>2.9872737009556798</v>
      </c>
      <c r="Q760">
        <v>2.3432615597706499</v>
      </c>
      <c r="R760">
        <v>3.6312858421406999</v>
      </c>
      <c r="S760">
        <v>14.1351854322552</v>
      </c>
      <c r="T760">
        <v>9.7493008810390798</v>
      </c>
      <c r="U760">
        <v>9.9549855957170603</v>
      </c>
      <c r="V760" s="2">
        <v>1.39237088442723E-8</v>
      </c>
      <c r="W760" s="2">
        <v>1.46547035585966E-6</v>
      </c>
      <c r="X760">
        <v>1</v>
      </c>
      <c r="Y760">
        <v>1</v>
      </c>
    </row>
    <row r="761" spans="1:25" x14ac:dyDescent="0.2">
      <c r="A761" t="s">
        <v>2804</v>
      </c>
      <c r="B761" t="s">
        <v>2805</v>
      </c>
      <c r="C761" t="s">
        <v>2806</v>
      </c>
      <c r="D761" t="s">
        <v>2807</v>
      </c>
      <c r="E761" t="s">
        <v>2805</v>
      </c>
      <c r="F761" t="s">
        <v>28</v>
      </c>
      <c r="G761" t="s">
        <v>2805</v>
      </c>
      <c r="H761" t="str">
        <f>"jmjc-1"</f>
        <v>jmjc-1</v>
      </c>
      <c r="I761" t="s">
        <v>2807</v>
      </c>
      <c r="J761">
        <v>13.5543386235145</v>
      </c>
      <c r="K761">
        <v>13.661322698211</v>
      </c>
      <c r="L761">
        <v>13.413513001058501</v>
      </c>
      <c r="M761">
        <v>12.8329837189843</v>
      </c>
      <c r="N761">
        <v>13.338855014356</v>
      </c>
      <c r="O761">
        <v>13.234772486557899</v>
      </c>
      <c r="P761">
        <v>-0.40752103429526998</v>
      </c>
      <c r="Q761">
        <v>-0.84843286232237802</v>
      </c>
      <c r="R761">
        <v>3.3390793731838703E-2</v>
      </c>
      <c r="S761">
        <v>14.243063656154501</v>
      </c>
      <c r="T761">
        <v>-1.9426331413235001</v>
      </c>
      <c r="U761">
        <v>-5.3603634621912901</v>
      </c>
      <c r="V761">
        <v>6.79655021705977E-2</v>
      </c>
      <c r="W761">
        <v>0.16792273970789801</v>
      </c>
      <c r="X761">
        <v>0</v>
      </c>
      <c r="Y761">
        <v>0</v>
      </c>
    </row>
    <row r="762" spans="1:25" x14ac:dyDescent="0.2">
      <c r="A762" t="s">
        <v>2808</v>
      </c>
      <c r="B762" t="s">
        <v>2809</v>
      </c>
      <c r="C762" t="s">
        <v>2810</v>
      </c>
      <c r="D762" t="s">
        <v>2811</v>
      </c>
      <c r="E762" t="s">
        <v>2809</v>
      </c>
      <c r="F762" t="s">
        <v>28</v>
      </c>
      <c r="G762" t="s">
        <v>2809</v>
      </c>
      <c r="H762" t="str">
        <f>"hmg-3"</f>
        <v>hmg-3</v>
      </c>
      <c r="I762" t="s">
        <v>2811</v>
      </c>
      <c r="J762">
        <v>14.022700169359</v>
      </c>
      <c r="K762">
        <v>13.868136653566999</v>
      </c>
      <c r="L762">
        <v>13.8443119716007</v>
      </c>
      <c r="M762" t="s">
        <v>29</v>
      </c>
      <c r="N762">
        <v>12.2013330058146</v>
      </c>
      <c r="O762">
        <v>13.9817556527346</v>
      </c>
      <c r="P762">
        <v>-0.82017193556764501</v>
      </c>
      <c r="Q762">
        <v>-1.74891154617058</v>
      </c>
      <c r="R762">
        <v>0.10856767503529199</v>
      </c>
      <c r="S762">
        <v>13.917048943615301</v>
      </c>
      <c r="T762">
        <v>-1.8640645583350199</v>
      </c>
      <c r="U762">
        <v>-5.3856837660584196</v>
      </c>
      <c r="V762">
        <v>7.9784927035026404E-2</v>
      </c>
      <c r="W762">
        <v>0.18705344468752799</v>
      </c>
      <c r="X762">
        <v>0</v>
      </c>
      <c r="Y762">
        <v>0</v>
      </c>
    </row>
    <row r="763" spans="1:25" x14ac:dyDescent="0.2">
      <c r="A763" t="s">
        <v>2812</v>
      </c>
      <c r="B763" t="s">
        <v>2813</v>
      </c>
      <c r="C763" t="s">
        <v>2814</v>
      </c>
      <c r="D763" t="s">
        <v>2815</v>
      </c>
      <c r="E763" t="s">
        <v>2813</v>
      </c>
      <c r="F763" t="s">
        <v>28</v>
      </c>
      <c r="G763" t="s">
        <v>2813</v>
      </c>
      <c r="H763" t="str">
        <f>"C32F10.8"</f>
        <v>C32F10.8</v>
      </c>
      <c r="I763" t="s">
        <v>2815</v>
      </c>
      <c r="J763">
        <v>12.189778376939</v>
      </c>
      <c r="K763">
        <v>12.759504325487599</v>
      </c>
      <c r="L763">
        <v>12.674595348241899</v>
      </c>
      <c r="M763" t="s">
        <v>29</v>
      </c>
      <c r="N763">
        <v>13.525164226352899</v>
      </c>
      <c r="O763">
        <v>12.4053552283064</v>
      </c>
      <c r="P763">
        <v>0.42396704377348698</v>
      </c>
      <c r="Q763">
        <v>-0.428954425679068</v>
      </c>
      <c r="R763">
        <v>1.2768885132260399</v>
      </c>
      <c r="S763">
        <v>12.3097577449764</v>
      </c>
      <c r="T763">
        <v>1.0492357160553201</v>
      </c>
      <c r="U763">
        <v>-6.4849927006563899</v>
      </c>
      <c r="V763">
        <v>0.30884774478814903</v>
      </c>
      <c r="W763">
        <v>0.47853538585208999</v>
      </c>
      <c r="X763">
        <v>0</v>
      </c>
      <c r="Y763">
        <v>0</v>
      </c>
    </row>
    <row r="764" spans="1:25" x14ac:dyDescent="0.2">
      <c r="A764" t="s">
        <v>2816</v>
      </c>
      <c r="B764" t="s">
        <v>2817</v>
      </c>
      <c r="C764" t="s">
        <v>2818</v>
      </c>
      <c r="D764" t="s">
        <v>542</v>
      </c>
      <c r="E764" t="s">
        <v>2817</v>
      </c>
      <c r="F764" t="s">
        <v>28</v>
      </c>
      <c r="G764" t="s">
        <v>2817</v>
      </c>
      <c r="H764" t="str">
        <f>"obr-4"</f>
        <v>obr-4</v>
      </c>
      <c r="I764" t="s">
        <v>542</v>
      </c>
      <c r="J764">
        <v>14.238656589754999</v>
      </c>
      <c r="K764">
        <v>14.1059048252129</v>
      </c>
      <c r="L764">
        <v>13.7250251732953</v>
      </c>
      <c r="M764" t="s">
        <v>29</v>
      </c>
      <c r="N764" t="s">
        <v>29</v>
      </c>
      <c r="O764" t="s">
        <v>29</v>
      </c>
      <c r="P764" t="s">
        <v>29</v>
      </c>
      <c r="Q764" t="s">
        <v>29</v>
      </c>
      <c r="R764" t="s">
        <v>29</v>
      </c>
      <c r="S764">
        <v>13.379853067616001</v>
      </c>
      <c r="T764" t="s">
        <v>29</v>
      </c>
      <c r="U764" t="s">
        <v>29</v>
      </c>
      <c r="V764" t="s">
        <v>29</v>
      </c>
      <c r="W764" t="s">
        <v>29</v>
      </c>
      <c r="X764" t="s">
        <v>29</v>
      </c>
      <c r="Y764" t="s">
        <v>29</v>
      </c>
    </row>
    <row r="765" spans="1:25" x14ac:dyDescent="0.2">
      <c r="A765" t="s">
        <v>2819</v>
      </c>
      <c r="B765" t="s">
        <v>2820</v>
      </c>
      <c r="C765" t="s">
        <v>2821</v>
      </c>
      <c r="D765" t="s">
        <v>2822</v>
      </c>
      <c r="E765" t="s">
        <v>2820</v>
      </c>
      <c r="F765" t="s">
        <v>28</v>
      </c>
      <c r="G765" t="s">
        <v>2820</v>
      </c>
      <c r="H765" t="str">
        <f>"rps-17"</f>
        <v>rps-17</v>
      </c>
      <c r="I765" t="s">
        <v>2822</v>
      </c>
      <c r="J765">
        <v>15.7378222115674</v>
      </c>
      <c r="K765">
        <v>15.635589838003099</v>
      </c>
      <c r="L765">
        <v>15.7926943601286</v>
      </c>
      <c r="M765">
        <v>15.021090220784799</v>
      </c>
      <c r="N765">
        <v>15.8968688061065</v>
      </c>
      <c r="O765">
        <v>15.3181189078754</v>
      </c>
      <c r="P765">
        <v>-0.31000949164413399</v>
      </c>
      <c r="Q765">
        <v>-0.96442463497560305</v>
      </c>
      <c r="R765">
        <v>0.344405651687335</v>
      </c>
      <c r="S765">
        <v>15.359353034728599</v>
      </c>
      <c r="T765">
        <v>-0.995667115448441</v>
      </c>
      <c r="U765">
        <v>-6.6500292383220598</v>
      </c>
      <c r="V765">
        <v>0.33268556876552702</v>
      </c>
      <c r="W765">
        <v>0.50409680240986798</v>
      </c>
      <c r="X765">
        <v>0</v>
      </c>
      <c r="Y765">
        <v>0</v>
      </c>
    </row>
    <row r="766" spans="1:25" x14ac:dyDescent="0.2">
      <c r="A766" t="s">
        <v>2823</v>
      </c>
      <c r="B766" t="s">
        <v>2824</v>
      </c>
      <c r="C766" t="s">
        <v>2825</v>
      </c>
      <c r="D766" t="s">
        <v>2826</v>
      </c>
      <c r="E766" t="s">
        <v>2824</v>
      </c>
      <c r="F766" t="s">
        <v>28</v>
      </c>
      <c r="G766" t="s">
        <v>2824</v>
      </c>
      <c r="H766" t="str">
        <f>"C09D4.1"</f>
        <v>C09D4.1</v>
      </c>
      <c r="I766" t="s">
        <v>2826</v>
      </c>
      <c r="J766">
        <v>14.410621220697999</v>
      </c>
      <c r="K766">
        <v>14.4536431852666</v>
      </c>
      <c r="L766">
        <v>14.4448301240077</v>
      </c>
      <c r="M766" t="s">
        <v>29</v>
      </c>
      <c r="N766">
        <v>14.7703262027138</v>
      </c>
      <c r="O766">
        <v>14.5043370879</v>
      </c>
      <c r="P766">
        <v>0.200966801982782</v>
      </c>
      <c r="Q766">
        <v>-0.20533923788470199</v>
      </c>
      <c r="R766">
        <v>0.60727284185026498</v>
      </c>
      <c r="S766">
        <v>14.486215930305599</v>
      </c>
      <c r="T766">
        <v>1.0440494199277901</v>
      </c>
      <c r="U766">
        <v>-6.49034933119224</v>
      </c>
      <c r="V766">
        <v>0.31117182175701602</v>
      </c>
      <c r="W766">
        <v>0.48062020897165902</v>
      </c>
      <c r="X766">
        <v>0</v>
      </c>
      <c r="Y766">
        <v>0</v>
      </c>
    </row>
    <row r="767" spans="1:25" x14ac:dyDescent="0.2">
      <c r="A767" t="s">
        <v>2827</v>
      </c>
      <c r="B767" t="s">
        <v>2828</v>
      </c>
      <c r="C767" t="s">
        <v>2829</v>
      </c>
      <c r="D767" t="s">
        <v>2830</v>
      </c>
      <c r="E767" t="s">
        <v>2828</v>
      </c>
      <c r="F767" t="s">
        <v>28</v>
      </c>
      <c r="G767" t="s">
        <v>2828</v>
      </c>
      <c r="H767" t="str">
        <f>"let-765"</f>
        <v>let-765</v>
      </c>
      <c r="I767" t="s">
        <v>2830</v>
      </c>
      <c r="J767" t="s">
        <v>29</v>
      </c>
      <c r="K767">
        <v>11.3215677305034</v>
      </c>
      <c r="L767">
        <v>11.440791001879401</v>
      </c>
      <c r="M767" t="s">
        <v>29</v>
      </c>
      <c r="N767" t="s">
        <v>29</v>
      </c>
      <c r="O767" t="s">
        <v>29</v>
      </c>
      <c r="P767" t="s">
        <v>29</v>
      </c>
      <c r="Q767" t="s">
        <v>29</v>
      </c>
      <c r="R767" t="s">
        <v>29</v>
      </c>
      <c r="S767">
        <v>11.508483930059301</v>
      </c>
      <c r="T767" t="s">
        <v>29</v>
      </c>
      <c r="U767" t="s">
        <v>29</v>
      </c>
      <c r="V767" t="s">
        <v>29</v>
      </c>
      <c r="W767" t="s">
        <v>29</v>
      </c>
      <c r="X767" t="s">
        <v>29</v>
      </c>
      <c r="Y767" t="s">
        <v>29</v>
      </c>
    </row>
    <row r="768" spans="1:25" x14ac:dyDescent="0.2">
      <c r="A768" t="s">
        <v>2831</v>
      </c>
      <c r="B768" t="s">
        <v>2832</v>
      </c>
      <c r="C768" t="s">
        <v>2833</v>
      </c>
      <c r="D768" t="s">
        <v>2834</v>
      </c>
      <c r="E768" t="s">
        <v>2832</v>
      </c>
      <c r="F768" t="s">
        <v>28</v>
      </c>
      <c r="G768" t="s">
        <v>2832</v>
      </c>
      <c r="H768" t="str">
        <f>"apm-1"</f>
        <v>apm-1</v>
      </c>
      <c r="I768" t="s">
        <v>2834</v>
      </c>
      <c r="J768">
        <v>15.8891240471135</v>
      </c>
      <c r="K768">
        <v>15.942802937042099</v>
      </c>
      <c r="L768">
        <v>15.5470160673067</v>
      </c>
      <c r="M768">
        <v>14.2276069771069</v>
      </c>
      <c r="N768">
        <v>15.1904344860408</v>
      </c>
      <c r="O768">
        <v>15.513620155279799</v>
      </c>
      <c r="P768">
        <v>-0.81576047767829996</v>
      </c>
      <c r="Q768">
        <v>-1.3086022664019701</v>
      </c>
      <c r="R768">
        <v>-0.32291868895463199</v>
      </c>
      <c r="S768">
        <v>15.326584855999799</v>
      </c>
      <c r="T768">
        <v>-3.4789456868661199</v>
      </c>
      <c r="U768">
        <v>-2.3136304465708699</v>
      </c>
      <c r="V768">
        <v>2.6979780365100599E-3</v>
      </c>
      <c r="W768">
        <v>1.8029345291599001E-2</v>
      </c>
      <c r="X768">
        <v>0</v>
      </c>
      <c r="Y768">
        <v>0</v>
      </c>
    </row>
    <row r="769" spans="1:25" x14ac:dyDescent="0.2">
      <c r="A769" t="s">
        <v>2835</v>
      </c>
      <c r="B769" t="s">
        <v>2836</v>
      </c>
      <c r="C769" t="s">
        <v>14328</v>
      </c>
      <c r="D769" t="s">
        <v>2837</v>
      </c>
      <c r="E769" t="s">
        <v>2836</v>
      </c>
      <c r="F769" t="s">
        <v>28</v>
      </c>
      <c r="G769" t="s">
        <v>2836</v>
      </c>
      <c r="H769" t="str">
        <f>"F55A12.5"</f>
        <v>F55A12.5</v>
      </c>
      <c r="I769" t="s">
        <v>2837</v>
      </c>
      <c r="J769">
        <v>12.3963813559511</v>
      </c>
      <c r="K769">
        <v>12.75503789103</v>
      </c>
      <c r="L769">
        <v>12.653563417292901</v>
      </c>
      <c r="M769" t="s">
        <v>29</v>
      </c>
      <c r="N769" t="s">
        <v>29</v>
      </c>
      <c r="O769">
        <v>14.235018376197001</v>
      </c>
      <c r="P769">
        <v>1.6333574881056201</v>
      </c>
      <c r="Q769">
        <v>0.51125291152682195</v>
      </c>
      <c r="R769">
        <v>2.7554620646844099</v>
      </c>
      <c r="S769">
        <v>12.8407261431047</v>
      </c>
      <c r="T769">
        <v>3.08743230492039</v>
      </c>
      <c r="U769">
        <v>-2.9037596942292301</v>
      </c>
      <c r="V769">
        <v>7.1067712457639504E-3</v>
      </c>
      <c r="W769">
        <v>3.5923936297197902E-2</v>
      </c>
      <c r="X769">
        <v>1</v>
      </c>
      <c r="Y769">
        <v>1</v>
      </c>
    </row>
    <row r="770" spans="1:25" x14ac:dyDescent="0.2">
      <c r="A770" t="s">
        <v>2838</v>
      </c>
      <c r="B770" t="s">
        <v>2839</v>
      </c>
      <c r="C770" t="s">
        <v>2840</v>
      </c>
      <c r="D770" t="s">
        <v>2841</v>
      </c>
      <c r="E770" t="s">
        <v>2839</v>
      </c>
      <c r="F770" t="s">
        <v>28</v>
      </c>
      <c r="G770" t="s">
        <v>2839</v>
      </c>
      <c r="H770" t="str">
        <f>"nath-10"</f>
        <v>nath-10</v>
      </c>
      <c r="I770" t="s">
        <v>2841</v>
      </c>
      <c r="J770">
        <v>15.2213666973519</v>
      </c>
      <c r="K770">
        <v>15.204297529293401</v>
      </c>
      <c r="L770">
        <v>15.090363670512099</v>
      </c>
      <c r="M770">
        <v>14.819409377983</v>
      </c>
      <c r="N770">
        <v>14.9682417482757</v>
      </c>
      <c r="O770">
        <v>15.083616611440901</v>
      </c>
      <c r="P770">
        <v>-0.214920053152579</v>
      </c>
      <c r="Q770">
        <v>-0.63273323003501802</v>
      </c>
      <c r="R770">
        <v>0.20289312372986101</v>
      </c>
      <c r="S770">
        <v>15.4992386179349</v>
      </c>
      <c r="T770">
        <v>-1.0811534037578701</v>
      </c>
      <c r="U770">
        <v>-6.5621921970053902</v>
      </c>
      <c r="V770">
        <v>0.29398423235007198</v>
      </c>
      <c r="W770">
        <v>0.46181851425141901</v>
      </c>
      <c r="X770">
        <v>0</v>
      </c>
      <c r="Y770">
        <v>0</v>
      </c>
    </row>
    <row r="771" spans="1:25" x14ac:dyDescent="0.2">
      <c r="A771" t="s">
        <v>2842</v>
      </c>
      <c r="B771" t="s">
        <v>2843</v>
      </c>
      <c r="C771" t="s">
        <v>2844</v>
      </c>
      <c r="D771" t="s">
        <v>2845</v>
      </c>
      <c r="E771" t="s">
        <v>2843</v>
      </c>
      <c r="F771" t="s">
        <v>28</v>
      </c>
      <c r="G771" t="s">
        <v>2843</v>
      </c>
      <c r="H771" t="str">
        <f>"ppk-1"</f>
        <v>ppk-1</v>
      </c>
      <c r="I771" t="s">
        <v>2845</v>
      </c>
      <c r="J771">
        <v>13.599313704664</v>
      </c>
      <c r="K771">
        <v>13.565786698464001</v>
      </c>
      <c r="L771">
        <v>13.144253345146099</v>
      </c>
      <c r="M771" t="s">
        <v>29</v>
      </c>
      <c r="N771">
        <v>13.395775062278201</v>
      </c>
      <c r="O771">
        <v>13.709820120429701</v>
      </c>
      <c r="P771">
        <v>0.11634634192922801</v>
      </c>
      <c r="Q771">
        <v>-0.366955537352806</v>
      </c>
      <c r="R771">
        <v>0.59964822121126204</v>
      </c>
      <c r="S771">
        <v>13.4163244430876</v>
      </c>
      <c r="T771">
        <v>0.50814102861122501</v>
      </c>
      <c r="U771">
        <v>-6.9107817597965697</v>
      </c>
      <c r="V771">
        <v>0.617924579986734</v>
      </c>
      <c r="W771">
        <v>0.74506601053135502</v>
      </c>
      <c r="X771">
        <v>0</v>
      </c>
      <c r="Y771">
        <v>0</v>
      </c>
    </row>
    <row r="772" spans="1:25" x14ac:dyDescent="0.2">
      <c r="A772" t="s">
        <v>2846</v>
      </c>
      <c r="B772" t="s">
        <v>2847</v>
      </c>
      <c r="C772" t="s">
        <v>2848</v>
      </c>
      <c r="D772" t="s">
        <v>2849</v>
      </c>
      <c r="E772" t="s">
        <v>2847</v>
      </c>
      <c r="F772" t="s">
        <v>28</v>
      </c>
      <c r="G772" t="s">
        <v>2847</v>
      </c>
      <c r="H772" t="str">
        <f>"unc-89"</f>
        <v>unc-89</v>
      </c>
      <c r="I772" t="s">
        <v>2849</v>
      </c>
      <c r="J772">
        <v>13.2872413330706</v>
      </c>
      <c r="K772">
        <v>13.4722503556021</v>
      </c>
      <c r="L772">
        <v>14.1121007384031</v>
      </c>
      <c r="M772">
        <v>13.891888471661099</v>
      </c>
      <c r="N772">
        <v>14.4552700954822</v>
      </c>
      <c r="O772">
        <v>14.0872898247449</v>
      </c>
      <c r="P772">
        <v>0.52095198827076294</v>
      </c>
      <c r="Q772">
        <v>-0.25451791689821801</v>
      </c>
      <c r="R772">
        <v>1.29642189343974</v>
      </c>
      <c r="S772">
        <v>14.0829974933238</v>
      </c>
      <c r="T772">
        <v>1.41196933513308</v>
      </c>
      <c r="U772">
        <v>-6.1646522710970704</v>
      </c>
      <c r="V772">
        <v>0.17511213118045699</v>
      </c>
      <c r="W772">
        <v>0.32745806833173302</v>
      </c>
      <c r="X772">
        <v>0</v>
      </c>
      <c r="Y772">
        <v>0</v>
      </c>
    </row>
    <row r="773" spans="1:25" x14ac:dyDescent="0.2">
      <c r="A773" t="s">
        <v>2850</v>
      </c>
      <c r="B773" t="s">
        <v>2851</v>
      </c>
      <c r="C773" t="s">
        <v>2852</v>
      </c>
      <c r="D773" t="s">
        <v>2853</v>
      </c>
      <c r="E773" t="s">
        <v>2851</v>
      </c>
      <c r="F773" t="s">
        <v>28</v>
      </c>
      <c r="G773" t="s">
        <v>2851</v>
      </c>
      <c r="H773" t="str">
        <f>"egg-4"</f>
        <v>egg-4</v>
      </c>
      <c r="I773" t="s">
        <v>2853</v>
      </c>
      <c r="J773" t="s">
        <v>29</v>
      </c>
      <c r="K773" t="s">
        <v>29</v>
      </c>
      <c r="L773">
        <v>12.6291877234893</v>
      </c>
      <c r="M773" t="s">
        <v>29</v>
      </c>
      <c r="N773" t="s">
        <v>29</v>
      </c>
      <c r="O773">
        <v>14.771102107049</v>
      </c>
      <c r="P773">
        <v>2.1419143835597199</v>
      </c>
      <c r="Q773">
        <v>0.32412528587190598</v>
      </c>
      <c r="R773">
        <v>3.95970348124753</v>
      </c>
      <c r="S773">
        <v>13.405941292444201</v>
      </c>
      <c r="T773">
        <v>2.5964879186895198</v>
      </c>
      <c r="U773">
        <v>-3.8128194585426902</v>
      </c>
      <c r="V773">
        <v>2.5021067626091398E-2</v>
      </c>
      <c r="W773">
        <v>8.5343849877420497E-2</v>
      </c>
      <c r="X773">
        <v>1</v>
      </c>
      <c r="Y773">
        <v>0</v>
      </c>
    </row>
    <row r="774" spans="1:25" s="28" customFormat="1" x14ac:dyDescent="0.2">
      <c r="A774" s="28" t="s">
        <v>2854</v>
      </c>
      <c r="B774" s="28" t="s">
        <v>2855</v>
      </c>
      <c r="C774" s="28" t="s">
        <v>2856</v>
      </c>
      <c r="D774" s="28" t="s">
        <v>2857</v>
      </c>
      <c r="E774" s="28" t="s">
        <v>2855</v>
      </c>
      <c r="F774" s="28" t="s">
        <v>28</v>
      </c>
      <c r="G774" s="28" t="s">
        <v>2855</v>
      </c>
      <c r="H774" s="28" t="str">
        <f>"nekl-2"</f>
        <v>nekl-2</v>
      </c>
      <c r="I774" s="28" t="s">
        <v>2857</v>
      </c>
      <c r="J774" s="28" t="s">
        <v>29</v>
      </c>
      <c r="K774" s="28" t="s">
        <v>29</v>
      </c>
      <c r="L774" s="28">
        <v>12.9853021787654</v>
      </c>
      <c r="M774" s="28" t="s">
        <v>29</v>
      </c>
      <c r="N774" s="28" t="s">
        <v>29</v>
      </c>
      <c r="O774" s="28" t="s">
        <v>29</v>
      </c>
      <c r="P774" s="28" t="s">
        <v>29</v>
      </c>
      <c r="Q774" s="28" t="s">
        <v>29</v>
      </c>
      <c r="R774" s="28" t="s">
        <v>29</v>
      </c>
      <c r="S774" s="28">
        <v>14.267101596420799</v>
      </c>
      <c r="T774" s="28" t="s">
        <v>29</v>
      </c>
      <c r="U774" s="28" t="s">
        <v>29</v>
      </c>
      <c r="V774" s="28" t="s">
        <v>29</v>
      </c>
      <c r="W774" s="28" t="s">
        <v>29</v>
      </c>
      <c r="X774" s="28" t="s">
        <v>29</v>
      </c>
      <c r="Y774" s="28" t="s">
        <v>29</v>
      </c>
    </row>
    <row r="775" spans="1:25" x14ac:dyDescent="0.2">
      <c r="A775" t="s">
        <v>2858</v>
      </c>
      <c r="B775" t="s">
        <v>2859</v>
      </c>
      <c r="C775" t="s">
        <v>2860</v>
      </c>
      <c r="D775" t="s">
        <v>1350</v>
      </c>
      <c r="E775" t="s">
        <v>2859</v>
      </c>
      <c r="F775" t="s">
        <v>28</v>
      </c>
      <c r="G775" t="s">
        <v>2859</v>
      </c>
      <c r="H775" t="str">
        <f>"ule-1"</f>
        <v>ule-1</v>
      </c>
      <c r="I775" t="s">
        <v>1350</v>
      </c>
      <c r="J775">
        <v>12.8785969156704</v>
      </c>
      <c r="K775">
        <v>12.907476840826</v>
      </c>
      <c r="L775">
        <v>13.3038042059126</v>
      </c>
      <c r="M775">
        <v>15.3435643080453</v>
      </c>
      <c r="N775">
        <v>15.004404453403399</v>
      </c>
      <c r="O775">
        <v>13.3069822224156</v>
      </c>
      <c r="P775">
        <v>1.52169100715178</v>
      </c>
      <c r="Q775">
        <v>0.37462867388376803</v>
      </c>
      <c r="R775">
        <v>2.6687533404197801</v>
      </c>
      <c r="S775">
        <v>13.3248873101843</v>
      </c>
      <c r="T775">
        <v>2.8002026893360701</v>
      </c>
      <c r="U775">
        <v>-3.7698127250679598</v>
      </c>
      <c r="V775">
        <v>1.2352990441690199E-2</v>
      </c>
      <c r="W775">
        <v>5.2607316230724198E-2</v>
      </c>
      <c r="X775">
        <v>1</v>
      </c>
      <c r="Y775">
        <v>1</v>
      </c>
    </row>
    <row r="776" spans="1:25" x14ac:dyDescent="0.2">
      <c r="A776" t="s">
        <v>2861</v>
      </c>
      <c r="B776" t="s">
        <v>2862</v>
      </c>
      <c r="C776" t="s">
        <v>2863</v>
      </c>
      <c r="D776" t="s">
        <v>2864</v>
      </c>
      <c r="E776" t="s">
        <v>2862</v>
      </c>
      <c r="F776" t="s">
        <v>28</v>
      </c>
      <c r="G776" t="s">
        <v>2862</v>
      </c>
      <c r="H776" t="str">
        <f>"him-1"</f>
        <v>him-1</v>
      </c>
      <c r="I776" t="s">
        <v>2864</v>
      </c>
      <c r="J776">
        <v>13.214627541828101</v>
      </c>
      <c r="K776">
        <v>13.197107605238401</v>
      </c>
      <c r="L776">
        <v>13.0098908113987</v>
      </c>
      <c r="M776">
        <v>12.950012041945399</v>
      </c>
      <c r="N776">
        <v>12.717856939116899</v>
      </c>
      <c r="O776">
        <v>12.876188655259</v>
      </c>
      <c r="P776">
        <v>-0.292522774047972</v>
      </c>
      <c r="Q776">
        <v>-0.62587730115329898</v>
      </c>
      <c r="R776">
        <v>4.0831753057354397E-2</v>
      </c>
      <c r="S776">
        <v>12.865124587853799</v>
      </c>
      <c r="T776">
        <v>-1.8443606124593801</v>
      </c>
      <c r="U776">
        <v>-5.5228619042760796</v>
      </c>
      <c r="V776">
        <v>8.1750794933397E-2</v>
      </c>
      <c r="W776">
        <v>0.18984995482168701</v>
      </c>
      <c r="X776">
        <v>0</v>
      </c>
      <c r="Y776">
        <v>0</v>
      </c>
    </row>
    <row r="777" spans="1:25" x14ac:dyDescent="0.2">
      <c r="A777" t="s">
        <v>2865</v>
      </c>
      <c r="B777" t="s">
        <v>2866</v>
      </c>
      <c r="C777" t="s">
        <v>2867</v>
      </c>
      <c r="D777" t="s">
        <v>2868</v>
      </c>
      <c r="E777" t="s">
        <v>2866</v>
      </c>
      <c r="F777" t="s">
        <v>28</v>
      </c>
      <c r="G777" t="s">
        <v>2866</v>
      </c>
      <c r="H777" t="str">
        <f>"rpl-7"</f>
        <v>rpl-7</v>
      </c>
      <c r="I777" t="s">
        <v>2868</v>
      </c>
      <c r="J777">
        <v>19.888514752029302</v>
      </c>
      <c r="K777">
        <v>19.990936192844799</v>
      </c>
      <c r="L777">
        <v>20.257399683146598</v>
      </c>
      <c r="M777">
        <v>19.501901056455601</v>
      </c>
      <c r="N777">
        <v>19.4986249164381</v>
      </c>
      <c r="O777">
        <v>19.235089517203701</v>
      </c>
      <c r="P777">
        <v>-0.63374504597442904</v>
      </c>
      <c r="Q777">
        <v>-0.97916262854266101</v>
      </c>
      <c r="R777">
        <v>-0.28832746340619703</v>
      </c>
      <c r="S777">
        <v>20.008276860913501</v>
      </c>
      <c r="T777">
        <v>-3.8562275247979101</v>
      </c>
      <c r="U777">
        <v>-1.4886248490215901</v>
      </c>
      <c r="V777">
        <v>1.1675909732405899E-3</v>
      </c>
      <c r="W777">
        <v>1.0180149698639099E-2</v>
      </c>
      <c r="X777">
        <v>0</v>
      </c>
      <c r="Y777">
        <v>0</v>
      </c>
    </row>
    <row r="778" spans="1:25" x14ac:dyDescent="0.2">
      <c r="A778" t="s">
        <v>2869</v>
      </c>
      <c r="B778" t="s">
        <v>2870</v>
      </c>
      <c r="C778" t="s">
        <v>2871</v>
      </c>
      <c r="D778" t="s">
        <v>2872</v>
      </c>
      <c r="E778" t="s">
        <v>2870</v>
      </c>
      <c r="F778" t="s">
        <v>28</v>
      </c>
      <c r="G778" t="s">
        <v>2870</v>
      </c>
      <c r="H778" t="str">
        <f>"rab-11.1"</f>
        <v>rab-11.1</v>
      </c>
      <c r="I778" t="s">
        <v>2872</v>
      </c>
      <c r="J778">
        <v>14.2795067019792</v>
      </c>
      <c r="K778">
        <v>15.2561182279705</v>
      </c>
      <c r="L778">
        <v>14.5251413467119</v>
      </c>
      <c r="M778">
        <v>17.175682487348499</v>
      </c>
      <c r="N778">
        <v>15.6620755568195</v>
      </c>
      <c r="O778">
        <v>15.309817821922501</v>
      </c>
      <c r="P778">
        <v>1.3622698631429599</v>
      </c>
      <c r="Q778">
        <v>0.596173179927452</v>
      </c>
      <c r="R778">
        <v>2.12836654635846</v>
      </c>
      <c r="S778">
        <v>14.7979470868987</v>
      </c>
      <c r="T778">
        <v>3.7374215043102299</v>
      </c>
      <c r="U778">
        <v>-1.74957679295986</v>
      </c>
      <c r="V778">
        <v>1.5204209961493401E-3</v>
      </c>
      <c r="W778">
        <v>1.22774027804532E-2</v>
      </c>
      <c r="X778">
        <v>1</v>
      </c>
      <c r="Y778">
        <v>1</v>
      </c>
    </row>
    <row r="779" spans="1:25" x14ac:dyDescent="0.2">
      <c r="A779" t="s">
        <v>2873</v>
      </c>
      <c r="B779" t="s">
        <v>2874</v>
      </c>
      <c r="C779" t="s">
        <v>2875</v>
      </c>
      <c r="D779" t="s">
        <v>2876</v>
      </c>
      <c r="E779" t="s">
        <v>2874</v>
      </c>
      <c r="F779" t="s">
        <v>28</v>
      </c>
      <c r="G779" t="s">
        <v>2874</v>
      </c>
      <c r="H779" t="str">
        <f>"ssb-1"</f>
        <v>ssb-1</v>
      </c>
      <c r="I779" t="s">
        <v>2876</v>
      </c>
      <c r="J779">
        <v>11.186446839435501</v>
      </c>
      <c r="K779">
        <v>10.934295125567401</v>
      </c>
      <c r="L779">
        <v>11.6580580451893</v>
      </c>
      <c r="M779">
        <v>13.180148050546199</v>
      </c>
      <c r="N779">
        <v>13.439001758437</v>
      </c>
      <c r="O779">
        <v>12.4294531043604</v>
      </c>
      <c r="P779">
        <v>1.7566009677171699</v>
      </c>
      <c r="Q779">
        <v>0.79227892007886103</v>
      </c>
      <c r="R779">
        <v>2.7209230153554702</v>
      </c>
      <c r="S779">
        <v>12.605723615142599</v>
      </c>
      <c r="T779">
        <v>3.8286312033102301</v>
      </c>
      <c r="U779">
        <v>-1.5493081574680601</v>
      </c>
      <c r="V779">
        <v>1.241449419041E-3</v>
      </c>
      <c r="W779">
        <v>1.0573848086456099E-2</v>
      </c>
      <c r="X779">
        <v>1</v>
      </c>
      <c r="Y779">
        <v>1</v>
      </c>
    </row>
    <row r="780" spans="1:25" x14ac:dyDescent="0.2">
      <c r="A780" t="s">
        <v>2877</v>
      </c>
      <c r="B780" t="s">
        <v>2878</v>
      </c>
      <c r="C780" t="s">
        <v>14329</v>
      </c>
      <c r="D780" t="s">
        <v>2879</v>
      </c>
      <c r="E780" t="s">
        <v>2878</v>
      </c>
      <c r="F780" t="s">
        <v>28</v>
      </c>
      <c r="G780" t="s">
        <v>2878</v>
      </c>
      <c r="H780" t="str">
        <f>"W02D3.4"</f>
        <v>W02D3.4</v>
      </c>
      <c r="I780" t="s">
        <v>2879</v>
      </c>
      <c r="J780" t="s">
        <v>29</v>
      </c>
      <c r="K780">
        <v>11.227582656757001</v>
      </c>
      <c r="L780" t="s">
        <v>29</v>
      </c>
      <c r="M780" t="s">
        <v>29</v>
      </c>
      <c r="N780" t="s">
        <v>29</v>
      </c>
      <c r="O780" t="s">
        <v>29</v>
      </c>
      <c r="P780" t="s">
        <v>29</v>
      </c>
      <c r="Q780" t="s">
        <v>29</v>
      </c>
      <c r="R780" t="s">
        <v>29</v>
      </c>
      <c r="S780">
        <v>11.352040247932401</v>
      </c>
      <c r="T780" t="s">
        <v>29</v>
      </c>
      <c r="U780" t="s">
        <v>29</v>
      </c>
      <c r="V780" t="s">
        <v>29</v>
      </c>
      <c r="W780" t="s">
        <v>29</v>
      </c>
      <c r="X780" t="s">
        <v>29</v>
      </c>
      <c r="Y780" t="s">
        <v>29</v>
      </c>
    </row>
    <row r="781" spans="1:25" x14ac:dyDescent="0.2">
      <c r="A781" t="s">
        <v>2880</v>
      </c>
      <c r="B781" t="s">
        <v>2881</v>
      </c>
      <c r="C781" t="s">
        <v>2882</v>
      </c>
      <c r="D781" t="s">
        <v>2883</v>
      </c>
      <c r="E781" t="s">
        <v>2881</v>
      </c>
      <c r="F781" t="s">
        <v>28</v>
      </c>
      <c r="G781" t="s">
        <v>2881</v>
      </c>
      <c r="H781" t="str">
        <f>"lbp-6"</f>
        <v>lbp-6</v>
      </c>
      <c r="I781" t="s">
        <v>2883</v>
      </c>
      <c r="J781" t="s">
        <v>29</v>
      </c>
      <c r="K781">
        <v>11.3544621980804</v>
      </c>
      <c r="L781" t="s">
        <v>29</v>
      </c>
      <c r="M781" t="s">
        <v>29</v>
      </c>
      <c r="N781">
        <v>13.356939360857099</v>
      </c>
      <c r="O781">
        <v>13.7247172984122</v>
      </c>
      <c r="P781">
        <v>2.1863661315542902</v>
      </c>
      <c r="Q781">
        <v>7.0770528855239198E-2</v>
      </c>
      <c r="R781">
        <v>4.30196173425335</v>
      </c>
      <c r="S781">
        <v>12.5950963270515</v>
      </c>
      <c r="T781">
        <v>2.3420412540051299</v>
      </c>
      <c r="U781">
        <v>-4.4184237232774297</v>
      </c>
      <c r="V781">
        <v>4.4191374924687603E-2</v>
      </c>
      <c r="W781">
        <v>0.124935532129636</v>
      </c>
      <c r="X781">
        <v>1</v>
      </c>
      <c r="Y781">
        <v>0</v>
      </c>
    </row>
    <row r="782" spans="1:25" x14ac:dyDescent="0.2">
      <c r="A782" t="s">
        <v>2884</v>
      </c>
      <c r="B782" t="s">
        <v>2885</v>
      </c>
      <c r="C782" t="s">
        <v>2886</v>
      </c>
      <c r="D782" t="s">
        <v>2887</v>
      </c>
      <c r="E782" t="s">
        <v>2885</v>
      </c>
      <c r="F782" t="s">
        <v>28</v>
      </c>
      <c r="G782" t="s">
        <v>2885</v>
      </c>
      <c r="H782" t="str">
        <f>"dhod-1"</f>
        <v>dhod-1</v>
      </c>
      <c r="I782" t="s">
        <v>2887</v>
      </c>
      <c r="J782">
        <v>13.880951775440099</v>
      </c>
      <c r="K782">
        <v>13.5667042122199</v>
      </c>
      <c r="L782">
        <v>13.826117622095801</v>
      </c>
      <c r="M782">
        <v>13.621792681802001</v>
      </c>
      <c r="N782">
        <v>13.2985759358117</v>
      </c>
      <c r="O782">
        <v>13.645204420293799</v>
      </c>
      <c r="P782">
        <v>-0.236066857282765</v>
      </c>
      <c r="Q782">
        <v>-0.59057641579796005</v>
      </c>
      <c r="R782">
        <v>0.11844270123243</v>
      </c>
      <c r="S782">
        <v>13.591977472007001</v>
      </c>
      <c r="T782">
        <v>-1.3995859759059699</v>
      </c>
      <c r="U782">
        <v>-6.1810957687037398</v>
      </c>
      <c r="V782">
        <v>0.17873394135755</v>
      </c>
      <c r="W782">
        <v>0.33148453441202103</v>
      </c>
      <c r="X782">
        <v>0</v>
      </c>
      <c r="Y782">
        <v>0</v>
      </c>
    </row>
    <row r="783" spans="1:25" x14ac:dyDescent="0.2">
      <c r="A783" t="s">
        <v>2888</v>
      </c>
      <c r="B783" t="s">
        <v>2889</v>
      </c>
      <c r="C783" t="s">
        <v>2890</v>
      </c>
      <c r="D783" t="s">
        <v>2891</v>
      </c>
      <c r="E783" t="s">
        <v>2889</v>
      </c>
      <c r="F783" t="s">
        <v>28</v>
      </c>
      <c r="G783" t="s">
        <v>2889</v>
      </c>
      <c r="H783" t="str">
        <f>"C53H9.2"</f>
        <v>C53H9.2</v>
      </c>
      <c r="I783" t="s">
        <v>2891</v>
      </c>
      <c r="J783">
        <v>14.3488319743959</v>
      </c>
      <c r="K783">
        <v>14.2985847995821</v>
      </c>
      <c r="L783">
        <v>14.408637857356</v>
      </c>
      <c r="M783" t="s">
        <v>29</v>
      </c>
      <c r="N783">
        <v>14.4345934216587</v>
      </c>
      <c r="O783">
        <v>14.087357369053899</v>
      </c>
      <c r="P783">
        <v>-9.1042815088355794E-2</v>
      </c>
      <c r="Q783">
        <v>-0.50082104636781</v>
      </c>
      <c r="R783">
        <v>0.31873541619109902</v>
      </c>
      <c r="S783">
        <v>14.391442319574701</v>
      </c>
      <c r="T783">
        <v>-0.46897188501588</v>
      </c>
      <c r="U783">
        <v>-6.9306171414378097</v>
      </c>
      <c r="V783">
        <v>0.64508438507993904</v>
      </c>
      <c r="W783">
        <v>0.76463883086185302</v>
      </c>
      <c r="X783">
        <v>0</v>
      </c>
      <c r="Y783">
        <v>0</v>
      </c>
    </row>
    <row r="784" spans="1:25" x14ac:dyDescent="0.2">
      <c r="A784" t="s">
        <v>2892</v>
      </c>
      <c r="B784" t="s">
        <v>2893</v>
      </c>
      <c r="C784" t="s">
        <v>2894</v>
      </c>
      <c r="D784" t="s">
        <v>2895</v>
      </c>
      <c r="E784" t="s">
        <v>2893</v>
      </c>
      <c r="F784" t="s">
        <v>28</v>
      </c>
      <c r="G784" t="s">
        <v>2893</v>
      </c>
      <c r="H784" t="str">
        <f>"hil-5"</f>
        <v>hil-5</v>
      </c>
      <c r="I784" t="s">
        <v>2895</v>
      </c>
      <c r="J784">
        <v>13.696129895246999</v>
      </c>
      <c r="K784">
        <v>13.774018797230999</v>
      </c>
      <c r="L784">
        <v>14.3570513338771</v>
      </c>
      <c r="M784" t="s">
        <v>29</v>
      </c>
      <c r="N784" t="s">
        <v>29</v>
      </c>
      <c r="O784" t="s">
        <v>29</v>
      </c>
      <c r="P784" t="s">
        <v>29</v>
      </c>
      <c r="Q784" t="s">
        <v>29</v>
      </c>
      <c r="R784" t="s">
        <v>29</v>
      </c>
      <c r="S784">
        <v>13.1109084522346</v>
      </c>
      <c r="T784" t="s">
        <v>29</v>
      </c>
      <c r="U784" t="s">
        <v>29</v>
      </c>
      <c r="V784" t="s">
        <v>29</v>
      </c>
      <c r="W784" t="s">
        <v>29</v>
      </c>
      <c r="X784" t="s">
        <v>29</v>
      </c>
      <c r="Y784" t="s">
        <v>29</v>
      </c>
    </row>
    <row r="785" spans="1:25" x14ac:dyDescent="0.2">
      <c r="A785" t="s">
        <v>2896</v>
      </c>
      <c r="B785" t="s">
        <v>2897</v>
      </c>
      <c r="C785" t="s">
        <v>2898</v>
      </c>
      <c r="D785" t="s">
        <v>2899</v>
      </c>
      <c r="E785" t="s">
        <v>2897</v>
      </c>
      <c r="F785" t="s">
        <v>28</v>
      </c>
      <c r="G785" t="s">
        <v>2897</v>
      </c>
      <c r="H785" t="str">
        <f>"cpb-3"</f>
        <v>cpb-3</v>
      </c>
      <c r="I785" t="s">
        <v>2899</v>
      </c>
      <c r="J785" t="s">
        <v>29</v>
      </c>
      <c r="K785">
        <v>10.812964554117301</v>
      </c>
      <c r="L785">
        <v>11.398846918213501</v>
      </c>
      <c r="M785" t="s">
        <v>29</v>
      </c>
      <c r="N785">
        <v>12.4123993859832</v>
      </c>
      <c r="O785">
        <v>10.3819402463026</v>
      </c>
      <c r="P785">
        <v>0.29126407997751103</v>
      </c>
      <c r="Q785">
        <v>-0.74161504857123395</v>
      </c>
      <c r="R785">
        <v>1.3241432085262601</v>
      </c>
      <c r="S785">
        <v>12.3131775327018</v>
      </c>
      <c r="T785">
        <v>0.60524236531305597</v>
      </c>
      <c r="U785">
        <v>-6.7630109408671899</v>
      </c>
      <c r="V785">
        <v>0.55477490248719397</v>
      </c>
      <c r="W785">
        <v>0.69838600496785996</v>
      </c>
      <c r="X785">
        <v>0</v>
      </c>
      <c r="Y785">
        <v>0</v>
      </c>
    </row>
    <row r="786" spans="1:25" x14ac:dyDescent="0.2">
      <c r="A786" t="s">
        <v>2900</v>
      </c>
      <c r="B786" t="s">
        <v>2901</v>
      </c>
      <c r="C786" t="s">
        <v>2902</v>
      </c>
      <c r="D786" t="s">
        <v>2903</v>
      </c>
      <c r="E786" t="s">
        <v>2901</v>
      </c>
      <c r="F786" t="s">
        <v>28</v>
      </c>
      <c r="G786" t="s">
        <v>2901</v>
      </c>
      <c r="H786" t="str">
        <f>"pept-3"</f>
        <v>pept-3</v>
      </c>
      <c r="I786" t="s">
        <v>2903</v>
      </c>
      <c r="J786">
        <v>15.0008234800225</v>
      </c>
      <c r="K786">
        <v>15.629359456125201</v>
      </c>
      <c r="L786">
        <v>15.3258034922736</v>
      </c>
      <c r="M786">
        <v>18.6544645699237</v>
      </c>
      <c r="N786" t="s">
        <v>29</v>
      </c>
      <c r="O786">
        <v>16.084870606453102</v>
      </c>
      <c r="P786">
        <v>2.05100544538133</v>
      </c>
      <c r="Q786">
        <v>0.82419875981728397</v>
      </c>
      <c r="R786">
        <v>3.2778121309453701</v>
      </c>
      <c r="S786">
        <v>15.209930179669501</v>
      </c>
      <c r="T786">
        <v>3.52891089474089</v>
      </c>
      <c r="U786">
        <v>-2.15348006041854</v>
      </c>
      <c r="V786">
        <v>2.5978214499871801E-3</v>
      </c>
      <c r="W786">
        <v>1.7478949345005101E-2</v>
      </c>
      <c r="X786">
        <v>1</v>
      </c>
      <c r="Y786">
        <v>1</v>
      </c>
    </row>
    <row r="787" spans="1:25" x14ac:dyDescent="0.2">
      <c r="A787" t="s">
        <v>2904</v>
      </c>
      <c r="B787" t="s">
        <v>2905</v>
      </c>
      <c r="C787" t="s">
        <v>14330</v>
      </c>
      <c r="D787" t="s">
        <v>2906</v>
      </c>
      <c r="E787" t="s">
        <v>2905</v>
      </c>
      <c r="F787" t="s">
        <v>28</v>
      </c>
      <c r="G787" t="s">
        <v>2905</v>
      </c>
      <c r="H787" t="str">
        <f>"T05E7.3"</f>
        <v>T05E7.3</v>
      </c>
      <c r="I787" t="s">
        <v>2906</v>
      </c>
      <c r="J787" t="s">
        <v>29</v>
      </c>
      <c r="K787">
        <v>11.424248056981799</v>
      </c>
      <c r="L787">
        <v>10.362531813065299</v>
      </c>
      <c r="M787" t="s">
        <v>29</v>
      </c>
      <c r="N787" t="s">
        <v>29</v>
      </c>
      <c r="O787" t="s">
        <v>29</v>
      </c>
      <c r="P787" t="s">
        <v>29</v>
      </c>
      <c r="Q787" t="s">
        <v>29</v>
      </c>
      <c r="R787" t="s">
        <v>29</v>
      </c>
      <c r="S787">
        <v>10.5979721557805</v>
      </c>
      <c r="T787" t="s">
        <v>29</v>
      </c>
      <c r="U787" t="s">
        <v>29</v>
      </c>
      <c r="V787" t="s">
        <v>29</v>
      </c>
      <c r="W787" t="s">
        <v>29</v>
      </c>
      <c r="X787" t="s">
        <v>29</v>
      </c>
      <c r="Y787" t="s">
        <v>29</v>
      </c>
    </row>
    <row r="788" spans="1:25" x14ac:dyDescent="0.2">
      <c r="A788" t="s">
        <v>2907</v>
      </c>
      <c r="B788" t="s">
        <v>2908</v>
      </c>
      <c r="C788" t="s">
        <v>2909</v>
      </c>
      <c r="D788" t="s">
        <v>526</v>
      </c>
      <c r="E788" t="s">
        <v>2908</v>
      </c>
      <c r="F788" t="s">
        <v>28</v>
      </c>
      <c r="G788" t="s">
        <v>2908</v>
      </c>
      <c r="H788" t="str">
        <f>"nrd-1"</f>
        <v>nrd-1</v>
      </c>
      <c r="I788" t="s">
        <v>526</v>
      </c>
      <c r="J788">
        <v>13.5997967915632</v>
      </c>
      <c r="K788">
        <v>14.221851249317201</v>
      </c>
      <c r="L788">
        <v>14.0857127561768</v>
      </c>
      <c r="M788">
        <v>13.913250024020201</v>
      </c>
      <c r="N788">
        <v>13.8593934116686</v>
      </c>
      <c r="O788">
        <v>13.897674160644</v>
      </c>
      <c r="P788">
        <v>-7.9014400241447902E-2</v>
      </c>
      <c r="Q788">
        <v>-0.49650290683898302</v>
      </c>
      <c r="R788">
        <v>0.33847410635608699</v>
      </c>
      <c r="S788">
        <v>14.4075999199452</v>
      </c>
      <c r="T788">
        <v>-0.39779034433486299</v>
      </c>
      <c r="U788">
        <v>-7.0736274903508596</v>
      </c>
      <c r="V788">
        <v>0.69549003572221602</v>
      </c>
      <c r="W788">
        <v>0.80219535627137795</v>
      </c>
      <c r="X788">
        <v>0</v>
      </c>
      <c r="Y788">
        <v>0</v>
      </c>
    </row>
    <row r="789" spans="1:25" x14ac:dyDescent="0.2">
      <c r="A789" t="s">
        <v>2910</v>
      </c>
      <c r="B789" t="s">
        <v>2911</v>
      </c>
      <c r="C789" t="s">
        <v>2912</v>
      </c>
      <c r="D789" t="s">
        <v>2913</v>
      </c>
      <c r="E789" t="s">
        <v>2911</v>
      </c>
      <c r="F789" t="s">
        <v>28</v>
      </c>
      <c r="G789" t="s">
        <v>2911</v>
      </c>
      <c r="H789" t="str">
        <f>"rpl-24.1"</f>
        <v>rpl-24.1</v>
      </c>
      <c r="I789" t="s">
        <v>2913</v>
      </c>
      <c r="J789">
        <v>20.592596874186398</v>
      </c>
      <c r="K789">
        <v>20.482154512530801</v>
      </c>
      <c r="L789">
        <v>20.581272087041</v>
      </c>
      <c r="M789">
        <v>19.9428125267879</v>
      </c>
      <c r="N789">
        <v>20.051944241061701</v>
      </c>
      <c r="O789">
        <v>19.8236986553107</v>
      </c>
      <c r="P789">
        <v>-0.61252268353262795</v>
      </c>
      <c r="Q789">
        <v>-0.98314938679146702</v>
      </c>
      <c r="R789">
        <v>-0.241895980273789</v>
      </c>
      <c r="S789">
        <v>20.5003978839996</v>
      </c>
      <c r="T789">
        <v>-3.4735854193906701</v>
      </c>
      <c r="U789">
        <v>-2.32525781954384</v>
      </c>
      <c r="V789">
        <v>2.7301856543541099E-3</v>
      </c>
      <c r="W789">
        <v>1.8162205696120901E-2</v>
      </c>
      <c r="X789">
        <v>0</v>
      </c>
      <c r="Y789">
        <v>0</v>
      </c>
    </row>
    <row r="790" spans="1:25" x14ac:dyDescent="0.2">
      <c r="A790" t="s">
        <v>2914</v>
      </c>
      <c r="B790" t="s">
        <v>2915</v>
      </c>
      <c r="C790" t="s">
        <v>2916</v>
      </c>
      <c r="D790" t="s">
        <v>2917</v>
      </c>
      <c r="E790" t="s">
        <v>2915</v>
      </c>
      <c r="F790" t="s">
        <v>28</v>
      </c>
      <c r="G790" t="s">
        <v>2915</v>
      </c>
      <c r="H790" t="str">
        <f>"rps-10"</f>
        <v>rps-10</v>
      </c>
      <c r="I790" t="s">
        <v>2917</v>
      </c>
      <c r="J790">
        <v>13.0862297101315</v>
      </c>
      <c r="K790">
        <v>13.528531669393701</v>
      </c>
      <c r="L790">
        <v>13.9851240303175</v>
      </c>
      <c r="M790">
        <v>14.817157453141499</v>
      </c>
      <c r="N790">
        <v>14.8099180241386</v>
      </c>
      <c r="O790">
        <v>13.907166478416199</v>
      </c>
      <c r="P790">
        <v>0.978118848617896</v>
      </c>
      <c r="Q790">
        <v>0.13511365923408999</v>
      </c>
      <c r="R790">
        <v>1.8211240380017</v>
      </c>
      <c r="S790">
        <v>13.7792168001583</v>
      </c>
      <c r="T790">
        <v>2.4386748141474799</v>
      </c>
      <c r="U790">
        <v>-4.46420168428509</v>
      </c>
      <c r="V790">
        <v>2.5395971249377002E-2</v>
      </c>
      <c r="W790">
        <v>8.6322868825737101E-2</v>
      </c>
      <c r="X790">
        <v>0</v>
      </c>
      <c r="Y790">
        <v>0</v>
      </c>
    </row>
    <row r="791" spans="1:25" x14ac:dyDescent="0.2">
      <c r="A791" t="s">
        <v>2918</v>
      </c>
      <c r="B791" t="s">
        <v>2919</v>
      </c>
      <c r="C791" t="s">
        <v>2920</v>
      </c>
      <c r="D791" t="s">
        <v>2921</v>
      </c>
      <c r="E791" t="s">
        <v>2919</v>
      </c>
      <c r="F791" t="s">
        <v>28</v>
      </c>
      <c r="G791" t="s">
        <v>2919</v>
      </c>
      <c r="H791" t="str">
        <f>"tmem-39"</f>
        <v>tmem-39</v>
      </c>
      <c r="I791" t="s">
        <v>2921</v>
      </c>
      <c r="J791">
        <v>12.999498266012999</v>
      </c>
      <c r="K791">
        <v>13.487709462550001</v>
      </c>
      <c r="L791">
        <v>13.8321609146215</v>
      </c>
      <c r="M791">
        <v>12.031130766618499</v>
      </c>
      <c r="N791">
        <v>13.2178581058256</v>
      </c>
      <c r="O791">
        <v>13.1791822523988</v>
      </c>
      <c r="P791">
        <v>-0.63039917278054403</v>
      </c>
      <c r="Q791">
        <v>-1.2890203389219299</v>
      </c>
      <c r="R791">
        <v>2.82219933608392E-2</v>
      </c>
      <c r="S791">
        <v>13.8586943591124</v>
      </c>
      <c r="T791">
        <v>-2.01174283952707</v>
      </c>
      <c r="U791">
        <v>-5.2428163413265096</v>
      </c>
      <c r="V791">
        <v>5.9552878111677601E-2</v>
      </c>
      <c r="W791">
        <v>0.154112552943203</v>
      </c>
      <c r="X791">
        <v>0</v>
      </c>
      <c r="Y791">
        <v>0</v>
      </c>
    </row>
    <row r="792" spans="1:25" x14ac:dyDescent="0.2">
      <c r="A792" t="s">
        <v>2922</v>
      </c>
      <c r="B792" t="s">
        <v>2923</v>
      </c>
      <c r="C792" t="s">
        <v>2924</v>
      </c>
      <c r="D792" t="s">
        <v>2925</v>
      </c>
      <c r="E792" t="s">
        <v>2923</v>
      </c>
      <c r="F792" t="s">
        <v>28</v>
      </c>
      <c r="G792" t="s">
        <v>2923</v>
      </c>
      <c r="H792" t="str">
        <f>"ucp-4"</f>
        <v>ucp-4</v>
      </c>
      <c r="I792" t="s">
        <v>2925</v>
      </c>
      <c r="J792">
        <v>13.9652222754713</v>
      </c>
      <c r="K792">
        <v>13.8107235056245</v>
      </c>
      <c r="L792">
        <v>13.5270097393797</v>
      </c>
      <c r="M792" t="s">
        <v>29</v>
      </c>
      <c r="N792">
        <v>12.8582839889825</v>
      </c>
      <c r="O792">
        <v>13.9185411043944</v>
      </c>
      <c r="P792">
        <v>-0.379239293470084</v>
      </c>
      <c r="Q792">
        <v>-0.885598858008529</v>
      </c>
      <c r="R792">
        <v>0.12712027106836199</v>
      </c>
      <c r="S792">
        <v>13.603276108210199</v>
      </c>
      <c r="T792">
        <v>-1.5808997262367801</v>
      </c>
      <c r="U792">
        <v>-5.8209341694446097</v>
      </c>
      <c r="V792">
        <v>0.13243961868384099</v>
      </c>
      <c r="W792">
        <v>0.26678028452582297</v>
      </c>
      <c r="X792">
        <v>0</v>
      </c>
      <c r="Y792">
        <v>0</v>
      </c>
    </row>
    <row r="793" spans="1:25" x14ac:dyDescent="0.2">
      <c r="A793" t="s">
        <v>2926</v>
      </c>
      <c r="B793" t="s">
        <v>2927</v>
      </c>
      <c r="C793" t="s">
        <v>2928</v>
      </c>
      <c r="D793" t="s">
        <v>2929</v>
      </c>
      <c r="E793" t="s">
        <v>2927</v>
      </c>
      <c r="F793" t="s">
        <v>28</v>
      </c>
      <c r="G793" t="s">
        <v>2927</v>
      </c>
      <c r="H793" t="str">
        <f>"coq-6"</f>
        <v>coq-6</v>
      </c>
      <c r="I793" t="s">
        <v>2929</v>
      </c>
      <c r="J793">
        <v>14.523229291792701</v>
      </c>
      <c r="K793">
        <v>14.626901636724099</v>
      </c>
      <c r="L793">
        <v>14.2360871599424</v>
      </c>
      <c r="M793" t="s">
        <v>29</v>
      </c>
      <c r="N793" t="s">
        <v>29</v>
      </c>
      <c r="O793">
        <v>12.849223344272399</v>
      </c>
      <c r="P793">
        <v>-1.6128493518806699</v>
      </c>
      <c r="Q793">
        <v>-2.3046407370166402</v>
      </c>
      <c r="R793">
        <v>-0.92105796674469997</v>
      </c>
      <c r="S793">
        <v>13.930716075554701</v>
      </c>
      <c r="T793">
        <v>-4.9450215025306798</v>
      </c>
      <c r="U793">
        <v>0.90386548542629896</v>
      </c>
      <c r="V793">
        <v>1.4903291415177699E-4</v>
      </c>
      <c r="W793">
        <v>2.31157893686994E-3</v>
      </c>
      <c r="X793">
        <v>-1</v>
      </c>
      <c r="Y793">
        <v>-1</v>
      </c>
    </row>
    <row r="794" spans="1:25" x14ac:dyDescent="0.2">
      <c r="A794" t="s">
        <v>2930</v>
      </c>
      <c r="B794" t="s">
        <v>2931</v>
      </c>
      <c r="C794" t="s">
        <v>14331</v>
      </c>
      <c r="D794" t="s">
        <v>2787</v>
      </c>
      <c r="E794" t="s">
        <v>2931</v>
      </c>
      <c r="F794" t="s">
        <v>28</v>
      </c>
      <c r="G794" t="s">
        <v>2931</v>
      </c>
      <c r="H794" t="str">
        <f>"R08F11.4"</f>
        <v>R08F11.4</v>
      </c>
      <c r="I794" t="s">
        <v>2787</v>
      </c>
      <c r="J794" t="s">
        <v>29</v>
      </c>
      <c r="K794" t="s">
        <v>29</v>
      </c>
      <c r="L794">
        <v>11.2451847966784</v>
      </c>
      <c r="M794" t="s">
        <v>29</v>
      </c>
      <c r="N794" t="s">
        <v>29</v>
      </c>
      <c r="O794">
        <v>12.540117099702099</v>
      </c>
      <c r="P794">
        <v>1.2949323030236599</v>
      </c>
      <c r="Q794">
        <v>0.35609073858539197</v>
      </c>
      <c r="R794">
        <v>2.2337738674619398</v>
      </c>
      <c r="S794">
        <v>11.7618643825533</v>
      </c>
      <c r="T794">
        <v>2.98223594705405</v>
      </c>
      <c r="U794">
        <v>-3.0527672772458798</v>
      </c>
      <c r="V794">
        <v>1.0675821197704201E-2</v>
      </c>
      <c r="W794">
        <v>4.7525143609719697E-2</v>
      </c>
      <c r="X794">
        <v>1</v>
      </c>
      <c r="Y794">
        <v>1</v>
      </c>
    </row>
    <row r="795" spans="1:25" x14ac:dyDescent="0.2">
      <c r="A795" t="s">
        <v>2932</v>
      </c>
      <c r="B795" t="s">
        <v>2933</v>
      </c>
      <c r="C795" t="s">
        <v>14332</v>
      </c>
      <c r="D795" t="s">
        <v>2934</v>
      </c>
      <c r="E795" t="s">
        <v>2933</v>
      </c>
      <c r="F795" t="s">
        <v>28</v>
      </c>
      <c r="G795" t="s">
        <v>2933</v>
      </c>
      <c r="H795" t="str">
        <f>"F59E12.9"</f>
        <v>F59E12.9</v>
      </c>
      <c r="I795" t="s">
        <v>2934</v>
      </c>
      <c r="J795">
        <v>11.888994507927</v>
      </c>
      <c r="K795">
        <v>12.2610273571914</v>
      </c>
      <c r="L795">
        <v>12.3878537255829</v>
      </c>
      <c r="M795" t="s">
        <v>29</v>
      </c>
      <c r="N795" t="s">
        <v>29</v>
      </c>
      <c r="O795" t="s">
        <v>29</v>
      </c>
      <c r="P795" t="s">
        <v>29</v>
      </c>
      <c r="Q795" t="s">
        <v>29</v>
      </c>
      <c r="R795" t="s">
        <v>29</v>
      </c>
      <c r="S795">
        <v>12.5146839793886</v>
      </c>
      <c r="T795" t="s">
        <v>29</v>
      </c>
      <c r="U795" t="s">
        <v>29</v>
      </c>
      <c r="V795" t="s">
        <v>29</v>
      </c>
      <c r="W795" t="s">
        <v>29</v>
      </c>
      <c r="X795" t="s">
        <v>29</v>
      </c>
      <c r="Y795" t="s">
        <v>29</v>
      </c>
    </row>
    <row r="796" spans="1:25" x14ac:dyDescent="0.2">
      <c r="A796" t="s">
        <v>2935</v>
      </c>
      <c r="B796" t="s">
        <v>2936</v>
      </c>
      <c r="C796" t="s">
        <v>14333</v>
      </c>
      <c r="D796" t="s">
        <v>115</v>
      </c>
      <c r="E796" t="s">
        <v>2936</v>
      </c>
      <c r="F796" t="s">
        <v>28</v>
      </c>
      <c r="G796" t="s">
        <v>2936</v>
      </c>
      <c r="H796" t="str">
        <f>"F59E12.1"</f>
        <v>F59E12.1</v>
      </c>
      <c r="I796" t="s">
        <v>115</v>
      </c>
      <c r="J796" t="s">
        <v>29</v>
      </c>
      <c r="K796" t="s">
        <v>29</v>
      </c>
      <c r="L796" t="s">
        <v>29</v>
      </c>
      <c r="M796" t="s">
        <v>29</v>
      </c>
      <c r="N796" t="s">
        <v>29</v>
      </c>
      <c r="O796" t="s">
        <v>29</v>
      </c>
      <c r="P796" t="s">
        <v>29</v>
      </c>
      <c r="Q796" t="s">
        <v>29</v>
      </c>
      <c r="R796" t="s">
        <v>29</v>
      </c>
      <c r="S796">
        <v>12.921184114813499</v>
      </c>
      <c r="T796" t="s">
        <v>29</v>
      </c>
      <c r="U796" t="s">
        <v>29</v>
      </c>
      <c r="V796" t="s">
        <v>29</v>
      </c>
      <c r="W796" t="s">
        <v>29</v>
      </c>
      <c r="X796" t="s">
        <v>29</v>
      </c>
      <c r="Y796" t="s">
        <v>29</v>
      </c>
    </row>
    <row r="797" spans="1:25" x14ac:dyDescent="0.2">
      <c r="A797" t="s">
        <v>2937</v>
      </c>
      <c r="B797" t="s">
        <v>2938</v>
      </c>
      <c r="C797" t="s">
        <v>2939</v>
      </c>
      <c r="D797" t="s">
        <v>2940</v>
      </c>
      <c r="E797" t="s">
        <v>2938</v>
      </c>
      <c r="F797" t="s">
        <v>28</v>
      </c>
      <c r="G797" t="s">
        <v>2938</v>
      </c>
      <c r="H797" t="str">
        <f>"crls-1"</f>
        <v>crls-1</v>
      </c>
      <c r="I797" t="s">
        <v>2940</v>
      </c>
      <c r="J797">
        <v>13.648682147212201</v>
      </c>
      <c r="K797">
        <v>13.810557892144001</v>
      </c>
      <c r="L797">
        <v>13.8368152253581</v>
      </c>
      <c r="M797" t="s">
        <v>29</v>
      </c>
      <c r="N797" t="s">
        <v>29</v>
      </c>
      <c r="O797">
        <v>12.8157222559697</v>
      </c>
      <c r="P797">
        <v>-0.94962949893512405</v>
      </c>
      <c r="Q797">
        <v>-1.71332937860076</v>
      </c>
      <c r="R797">
        <v>-0.18592961926949</v>
      </c>
      <c r="S797">
        <v>13.144602160707</v>
      </c>
      <c r="T797">
        <v>-2.6374303807969999</v>
      </c>
      <c r="U797">
        <v>-3.7900302851756602</v>
      </c>
      <c r="V797">
        <v>1.7994615646020701E-2</v>
      </c>
      <c r="W797">
        <v>6.8691881229045307E-2</v>
      </c>
      <c r="X797">
        <v>0</v>
      </c>
      <c r="Y797">
        <v>0</v>
      </c>
    </row>
    <row r="798" spans="1:25" x14ac:dyDescent="0.2">
      <c r="A798" t="s">
        <v>2941</v>
      </c>
      <c r="B798" t="s">
        <v>2942</v>
      </c>
      <c r="C798" t="s">
        <v>2943</v>
      </c>
      <c r="D798" t="s">
        <v>2944</v>
      </c>
      <c r="E798" t="s">
        <v>2942</v>
      </c>
      <c r="F798" t="s">
        <v>28</v>
      </c>
      <c r="G798" t="s">
        <v>2942</v>
      </c>
      <c r="H798" t="str">
        <f>"bra-2"</f>
        <v>bra-2</v>
      </c>
      <c r="I798" t="s">
        <v>2944</v>
      </c>
      <c r="J798">
        <v>14.643382052504901</v>
      </c>
      <c r="K798">
        <v>13.2447587185928</v>
      </c>
      <c r="L798">
        <v>11.797853263579499</v>
      </c>
      <c r="M798" t="s">
        <v>29</v>
      </c>
      <c r="N798">
        <v>13.773839777041299</v>
      </c>
      <c r="O798">
        <v>12.363993969039299</v>
      </c>
      <c r="P798">
        <v>-0.15974780518544701</v>
      </c>
      <c r="Q798">
        <v>-1.52494807774635</v>
      </c>
      <c r="R798">
        <v>1.2054524673754501</v>
      </c>
      <c r="S798">
        <v>13.7435410994566</v>
      </c>
      <c r="T798">
        <v>-0.24699521898577501</v>
      </c>
      <c r="U798">
        <v>-7.0134648289614603</v>
      </c>
      <c r="V798">
        <v>0.80788825239804296</v>
      </c>
      <c r="W798">
        <v>0.88130112412142703</v>
      </c>
      <c r="X798">
        <v>0</v>
      </c>
      <c r="Y798">
        <v>0</v>
      </c>
    </row>
    <row r="799" spans="1:25" x14ac:dyDescent="0.2">
      <c r="A799" t="s">
        <v>2945</v>
      </c>
      <c r="B799" t="s">
        <v>2946</v>
      </c>
      <c r="C799" t="s">
        <v>2947</v>
      </c>
      <c r="D799" t="s">
        <v>2948</v>
      </c>
      <c r="E799" t="s">
        <v>2946</v>
      </c>
      <c r="F799" t="s">
        <v>28</v>
      </c>
      <c r="G799" t="s">
        <v>2946</v>
      </c>
      <c r="H799" t="str">
        <f>"mboa-6"</f>
        <v>mboa-6</v>
      </c>
      <c r="I799" t="s">
        <v>2948</v>
      </c>
      <c r="J799">
        <v>16.212913014968301</v>
      </c>
      <c r="K799">
        <v>16.848426947689699</v>
      </c>
      <c r="L799">
        <v>17.054429771954201</v>
      </c>
      <c r="M799">
        <v>16.3243166341326</v>
      </c>
      <c r="N799">
        <v>16.753859476824701</v>
      </c>
      <c r="O799">
        <v>16.635134993795798</v>
      </c>
      <c r="P799">
        <v>-0.134152876619726</v>
      </c>
      <c r="Q799">
        <v>-0.63022768824556197</v>
      </c>
      <c r="R799">
        <v>0.36192193500610897</v>
      </c>
      <c r="S799">
        <v>17.159774798505101</v>
      </c>
      <c r="T799">
        <v>-0.56838855785850095</v>
      </c>
      <c r="U799">
        <v>-6.9882807529064896</v>
      </c>
      <c r="V799">
        <v>0.57683491264664499</v>
      </c>
      <c r="W799">
        <v>0.71666631010525395</v>
      </c>
      <c r="X799">
        <v>0</v>
      </c>
      <c r="Y799">
        <v>0</v>
      </c>
    </row>
    <row r="800" spans="1:25" x14ac:dyDescent="0.2">
      <c r="A800" t="s">
        <v>2949</v>
      </c>
      <c r="B800" t="s">
        <v>2950</v>
      </c>
      <c r="C800" t="s">
        <v>2951</v>
      </c>
      <c r="D800" t="s">
        <v>107</v>
      </c>
      <c r="E800" t="s">
        <v>2950</v>
      </c>
      <c r="F800" t="s">
        <v>28</v>
      </c>
      <c r="G800" t="s">
        <v>2950</v>
      </c>
      <c r="H800" t="str">
        <f>"spin-1"</f>
        <v>spin-1</v>
      </c>
      <c r="I800" t="s">
        <v>107</v>
      </c>
      <c r="J800">
        <v>10.0779879208084</v>
      </c>
      <c r="K800" t="s">
        <v>29</v>
      </c>
      <c r="L800" t="s">
        <v>29</v>
      </c>
      <c r="M800" t="s">
        <v>29</v>
      </c>
      <c r="N800" t="s">
        <v>29</v>
      </c>
      <c r="O800" t="s">
        <v>29</v>
      </c>
      <c r="P800" t="s">
        <v>29</v>
      </c>
      <c r="Q800" t="s">
        <v>29</v>
      </c>
      <c r="R800" t="s">
        <v>29</v>
      </c>
      <c r="S800">
        <v>11.932104228700499</v>
      </c>
      <c r="T800" t="s">
        <v>29</v>
      </c>
      <c r="U800" t="s">
        <v>29</v>
      </c>
      <c r="V800" t="s">
        <v>29</v>
      </c>
      <c r="W800" t="s">
        <v>29</v>
      </c>
      <c r="X800" t="s">
        <v>29</v>
      </c>
      <c r="Y800" t="s">
        <v>29</v>
      </c>
    </row>
    <row r="801" spans="1:25" x14ac:dyDescent="0.2">
      <c r="A801" t="s">
        <v>2952</v>
      </c>
      <c r="B801" t="s">
        <v>2953</v>
      </c>
      <c r="C801" t="s">
        <v>2954</v>
      </c>
      <c r="D801" t="s">
        <v>2955</v>
      </c>
      <c r="E801" t="s">
        <v>2953</v>
      </c>
      <c r="F801" t="s">
        <v>28</v>
      </c>
      <c r="G801" t="s">
        <v>2953</v>
      </c>
      <c r="H801" t="str">
        <f>"ari-1.3"</f>
        <v>ari-1.3</v>
      </c>
      <c r="I801" t="s">
        <v>2955</v>
      </c>
      <c r="J801">
        <v>12.687303346371801</v>
      </c>
      <c r="K801" t="s">
        <v>29</v>
      </c>
      <c r="L801">
        <v>10.8211277086916</v>
      </c>
      <c r="M801" t="s">
        <v>29</v>
      </c>
      <c r="N801" t="s">
        <v>29</v>
      </c>
      <c r="O801">
        <v>12.928652955248999</v>
      </c>
      <c r="P801">
        <v>1.17443742771727</v>
      </c>
      <c r="Q801">
        <v>-5.4524279632969699E-2</v>
      </c>
      <c r="R801">
        <v>2.4033991350675099</v>
      </c>
      <c r="S801">
        <v>12.505705221677401</v>
      </c>
      <c r="T801">
        <v>2.0381358958491802</v>
      </c>
      <c r="U801">
        <v>-4.8290094474998</v>
      </c>
      <c r="V801">
        <v>5.9701582044773598E-2</v>
      </c>
      <c r="W801">
        <v>0.15427434190286399</v>
      </c>
      <c r="X801">
        <v>0</v>
      </c>
      <c r="Y801">
        <v>0</v>
      </c>
    </row>
    <row r="802" spans="1:25" x14ac:dyDescent="0.2">
      <c r="A802" t="s">
        <v>2956</v>
      </c>
      <c r="B802" t="s">
        <v>2957</v>
      </c>
      <c r="C802" t="s">
        <v>2958</v>
      </c>
      <c r="D802" t="s">
        <v>2955</v>
      </c>
      <c r="E802" t="s">
        <v>2957</v>
      </c>
      <c r="F802" t="s">
        <v>28</v>
      </c>
      <c r="G802" t="s">
        <v>2957</v>
      </c>
      <c r="H802" t="str">
        <f>"ari-1.2"</f>
        <v>ari-1.2</v>
      </c>
      <c r="I802" t="s">
        <v>2955</v>
      </c>
      <c r="J802" t="s">
        <v>29</v>
      </c>
      <c r="K802" t="s">
        <v>29</v>
      </c>
      <c r="L802" t="s">
        <v>29</v>
      </c>
      <c r="M802" t="s">
        <v>29</v>
      </c>
      <c r="N802" t="s">
        <v>29</v>
      </c>
      <c r="O802" t="s">
        <v>29</v>
      </c>
      <c r="P802" t="s">
        <v>29</v>
      </c>
      <c r="Q802" t="s">
        <v>29</v>
      </c>
      <c r="R802" t="s">
        <v>29</v>
      </c>
      <c r="S802">
        <v>12.3742606567856</v>
      </c>
      <c r="T802" t="s">
        <v>29</v>
      </c>
      <c r="U802" t="s">
        <v>29</v>
      </c>
      <c r="V802" t="s">
        <v>29</v>
      </c>
      <c r="W802" t="s">
        <v>29</v>
      </c>
      <c r="X802" t="s">
        <v>29</v>
      </c>
      <c r="Y802" t="s">
        <v>29</v>
      </c>
    </row>
    <row r="803" spans="1:25" x14ac:dyDescent="0.2">
      <c r="A803" t="s">
        <v>2959</v>
      </c>
      <c r="B803" t="s">
        <v>2960</v>
      </c>
      <c r="C803" t="s">
        <v>2961</v>
      </c>
      <c r="D803" t="s">
        <v>2962</v>
      </c>
      <c r="E803" t="s">
        <v>2960</v>
      </c>
      <c r="F803" t="s">
        <v>28</v>
      </c>
      <c r="G803" t="s">
        <v>2960</v>
      </c>
      <c r="H803" t="str">
        <f>"ari-1.1"</f>
        <v>ari-1.1</v>
      </c>
      <c r="I803" t="s">
        <v>2962</v>
      </c>
      <c r="J803">
        <v>13.448072167937401</v>
      </c>
      <c r="K803">
        <v>12.8453171730708</v>
      </c>
      <c r="L803">
        <v>13.0685545211348</v>
      </c>
      <c r="M803" t="s">
        <v>29</v>
      </c>
      <c r="N803">
        <v>12.6564794533025</v>
      </c>
      <c r="O803">
        <v>13.317745679133999</v>
      </c>
      <c r="P803">
        <v>-0.13353538782944499</v>
      </c>
      <c r="Q803">
        <v>-0.78186509549872196</v>
      </c>
      <c r="R803">
        <v>0.51479431983983204</v>
      </c>
      <c r="S803">
        <v>13.2313934189529</v>
      </c>
      <c r="T803">
        <v>-0.43476088386452</v>
      </c>
      <c r="U803">
        <v>-6.9466733078105598</v>
      </c>
      <c r="V803">
        <v>0.669238198799742</v>
      </c>
      <c r="W803">
        <v>0.78232644659374895</v>
      </c>
      <c r="X803">
        <v>0</v>
      </c>
      <c r="Y803">
        <v>0</v>
      </c>
    </row>
    <row r="804" spans="1:25" x14ac:dyDescent="0.2">
      <c r="A804" t="s">
        <v>2963</v>
      </c>
      <c r="B804" t="s">
        <v>2964</v>
      </c>
      <c r="C804" t="s">
        <v>2965</v>
      </c>
      <c r="D804" t="s">
        <v>2966</v>
      </c>
      <c r="E804" t="s">
        <v>2964</v>
      </c>
      <c r="F804" t="s">
        <v>28</v>
      </c>
      <c r="G804" t="s">
        <v>2964</v>
      </c>
      <c r="H804" t="str">
        <f>"pigo-1"</f>
        <v>pigo-1</v>
      </c>
      <c r="I804" t="s">
        <v>2966</v>
      </c>
      <c r="J804" t="s">
        <v>29</v>
      </c>
      <c r="K804">
        <v>11.013556907406</v>
      </c>
      <c r="L804">
        <v>12.0289023299338</v>
      </c>
      <c r="M804" t="s">
        <v>29</v>
      </c>
      <c r="N804" t="s">
        <v>29</v>
      </c>
      <c r="O804" t="s">
        <v>29</v>
      </c>
      <c r="P804" t="s">
        <v>29</v>
      </c>
      <c r="Q804" t="s">
        <v>29</v>
      </c>
      <c r="R804" t="s">
        <v>29</v>
      </c>
      <c r="S804">
        <v>12.1607213678836</v>
      </c>
      <c r="T804" t="s">
        <v>29</v>
      </c>
      <c r="U804" t="s">
        <v>29</v>
      </c>
      <c r="V804" t="s">
        <v>29</v>
      </c>
      <c r="W804" t="s">
        <v>29</v>
      </c>
      <c r="X804" t="s">
        <v>29</v>
      </c>
      <c r="Y804" t="s">
        <v>29</v>
      </c>
    </row>
    <row r="805" spans="1:25" x14ac:dyDescent="0.2">
      <c r="A805" t="s">
        <v>2967</v>
      </c>
      <c r="B805" t="s">
        <v>2968</v>
      </c>
      <c r="C805" t="s">
        <v>2969</v>
      </c>
      <c r="D805" t="s">
        <v>2970</v>
      </c>
      <c r="E805" t="s">
        <v>2968</v>
      </c>
      <c r="F805" t="s">
        <v>28</v>
      </c>
      <c r="G805" t="s">
        <v>2968</v>
      </c>
      <c r="H805" t="str">
        <f>"tag-96"</f>
        <v>tag-96</v>
      </c>
      <c r="I805" t="s">
        <v>2970</v>
      </c>
      <c r="J805">
        <v>12.962881593875601</v>
      </c>
      <c r="K805">
        <v>12.8758256042375</v>
      </c>
      <c r="L805">
        <v>12.9518827390584</v>
      </c>
      <c r="M805">
        <v>11.9426909926032</v>
      </c>
      <c r="N805">
        <v>12.175314822483401</v>
      </c>
      <c r="O805">
        <v>12.5424679920449</v>
      </c>
      <c r="P805">
        <v>-0.71003871001333296</v>
      </c>
      <c r="Q805">
        <v>-1.19265038071075</v>
      </c>
      <c r="R805">
        <v>-0.22742703931591099</v>
      </c>
      <c r="S805">
        <v>12.637578472385</v>
      </c>
      <c r="T805">
        <v>-3.0922651039870201</v>
      </c>
      <c r="U805">
        <v>-3.1418408520172898</v>
      </c>
      <c r="V805">
        <v>6.3171238028424696E-3</v>
      </c>
      <c r="W805">
        <v>3.3157540567137399E-2</v>
      </c>
      <c r="X805">
        <v>0</v>
      </c>
      <c r="Y805">
        <v>0</v>
      </c>
    </row>
    <row r="806" spans="1:25" x14ac:dyDescent="0.2">
      <c r="A806" t="s">
        <v>2971</v>
      </c>
      <c r="B806" t="s">
        <v>2972</v>
      </c>
      <c r="C806" t="s">
        <v>2973</v>
      </c>
      <c r="D806" t="s">
        <v>2974</v>
      </c>
      <c r="E806" t="s">
        <v>2972</v>
      </c>
      <c r="F806" t="s">
        <v>28</v>
      </c>
      <c r="G806" t="s">
        <v>2972</v>
      </c>
      <c r="H806" t="str">
        <f>"eif-3.H"</f>
        <v>eif-3.H</v>
      </c>
      <c r="I806" t="s">
        <v>2974</v>
      </c>
      <c r="J806" t="s">
        <v>29</v>
      </c>
      <c r="K806" t="s">
        <v>29</v>
      </c>
      <c r="L806">
        <v>13.085527174688499</v>
      </c>
      <c r="M806" t="s">
        <v>29</v>
      </c>
      <c r="N806" t="s">
        <v>29</v>
      </c>
      <c r="O806">
        <v>14.356079564628899</v>
      </c>
      <c r="P806">
        <v>1.27055238994048</v>
      </c>
      <c r="Q806">
        <v>0.358530436468187</v>
      </c>
      <c r="R806">
        <v>2.18257434341277</v>
      </c>
      <c r="S806">
        <v>13.375744087612601</v>
      </c>
      <c r="T806">
        <v>2.9900550058795501</v>
      </c>
      <c r="U806">
        <v>-2.9973391708505601</v>
      </c>
      <c r="V806">
        <v>9.8089414210834405E-3</v>
      </c>
      <c r="W806">
        <v>4.5167109949895201E-2</v>
      </c>
      <c r="X806">
        <v>1</v>
      </c>
      <c r="Y806">
        <v>1</v>
      </c>
    </row>
    <row r="807" spans="1:25" x14ac:dyDescent="0.2">
      <c r="A807" t="s">
        <v>2975</v>
      </c>
      <c r="B807" t="s">
        <v>2976</v>
      </c>
      <c r="C807" t="s">
        <v>2977</v>
      </c>
      <c r="D807" t="s">
        <v>2978</v>
      </c>
      <c r="E807" t="s">
        <v>2976</v>
      </c>
      <c r="F807" t="s">
        <v>28</v>
      </c>
      <c r="G807" t="s">
        <v>2976</v>
      </c>
      <c r="H807" t="str">
        <f>"cmt-1"</f>
        <v>cmt-1</v>
      </c>
      <c r="I807" t="s">
        <v>2978</v>
      </c>
      <c r="J807" t="s">
        <v>29</v>
      </c>
      <c r="K807" t="s">
        <v>29</v>
      </c>
      <c r="L807" t="s">
        <v>29</v>
      </c>
      <c r="M807">
        <v>13.1728635289414</v>
      </c>
      <c r="N807" t="s">
        <v>29</v>
      </c>
      <c r="O807" t="s">
        <v>29</v>
      </c>
      <c r="P807" t="s">
        <v>29</v>
      </c>
      <c r="Q807" t="s">
        <v>29</v>
      </c>
      <c r="R807" t="s">
        <v>29</v>
      </c>
      <c r="S807">
        <v>12.3169284068025</v>
      </c>
      <c r="T807" t="s">
        <v>29</v>
      </c>
      <c r="U807" t="s">
        <v>29</v>
      </c>
      <c r="V807" t="s">
        <v>29</v>
      </c>
      <c r="W807" t="s">
        <v>29</v>
      </c>
      <c r="X807" t="s">
        <v>29</v>
      </c>
      <c r="Y807" t="s">
        <v>29</v>
      </c>
    </row>
    <row r="808" spans="1:25" x14ac:dyDescent="0.2">
      <c r="A808" t="s">
        <v>2979</v>
      </c>
      <c r="B808" t="s">
        <v>2980</v>
      </c>
      <c r="C808" t="s">
        <v>2981</v>
      </c>
      <c r="D808" t="s">
        <v>2982</v>
      </c>
      <c r="E808" t="s">
        <v>2980</v>
      </c>
      <c r="F808" t="s">
        <v>28</v>
      </c>
      <c r="G808" t="s">
        <v>2980</v>
      </c>
      <c r="H808" t="str">
        <f>"eri-7"</f>
        <v>eri-7</v>
      </c>
      <c r="I808" t="s">
        <v>2982</v>
      </c>
      <c r="J808" t="s">
        <v>29</v>
      </c>
      <c r="K808" t="s">
        <v>29</v>
      </c>
      <c r="L808" t="s">
        <v>29</v>
      </c>
      <c r="M808" t="s">
        <v>29</v>
      </c>
      <c r="N808" t="s">
        <v>29</v>
      </c>
      <c r="O808" t="s">
        <v>29</v>
      </c>
      <c r="P808" t="s">
        <v>29</v>
      </c>
      <c r="Q808" t="s">
        <v>29</v>
      </c>
      <c r="R808" t="s">
        <v>29</v>
      </c>
      <c r="S808">
        <v>11.3114505445694</v>
      </c>
      <c r="T808" t="s">
        <v>29</v>
      </c>
      <c r="U808" t="s">
        <v>29</v>
      </c>
      <c r="V808" t="s">
        <v>29</v>
      </c>
      <c r="W808" t="s">
        <v>29</v>
      </c>
      <c r="X808" t="s">
        <v>29</v>
      </c>
      <c r="Y808" t="s">
        <v>29</v>
      </c>
    </row>
    <row r="809" spans="1:25" x14ac:dyDescent="0.2">
      <c r="A809" t="s">
        <v>2983</v>
      </c>
      <c r="B809" t="s">
        <v>2984</v>
      </c>
      <c r="C809" t="s">
        <v>2985</v>
      </c>
      <c r="D809" t="s">
        <v>2986</v>
      </c>
      <c r="E809" t="s">
        <v>2984</v>
      </c>
      <c r="F809" t="s">
        <v>28</v>
      </c>
      <c r="G809" t="s">
        <v>2984</v>
      </c>
      <c r="H809" t="str">
        <f>"efk-1"</f>
        <v>efk-1</v>
      </c>
      <c r="I809" t="s">
        <v>2986</v>
      </c>
      <c r="J809">
        <v>13.346379964293501</v>
      </c>
      <c r="K809">
        <v>13.580914837422499</v>
      </c>
      <c r="L809">
        <v>12.884244750239199</v>
      </c>
      <c r="M809">
        <v>15.003805434207299</v>
      </c>
      <c r="N809">
        <v>15.210243354025801</v>
      </c>
      <c r="O809">
        <v>15.2881624851995</v>
      </c>
      <c r="P809">
        <v>1.8968905738258</v>
      </c>
      <c r="Q809">
        <v>1.4548469315021599</v>
      </c>
      <c r="R809">
        <v>2.3389342161494402</v>
      </c>
      <c r="S809">
        <v>13.9750496576734</v>
      </c>
      <c r="T809">
        <v>9.01923375462483</v>
      </c>
      <c r="U809">
        <v>8.7749975356201908</v>
      </c>
      <c r="V809" s="2">
        <v>4.4811081970812101E-8</v>
      </c>
      <c r="W809" s="2">
        <v>3.6682849602217602E-6</v>
      </c>
      <c r="X809">
        <v>1</v>
      </c>
      <c r="Y809">
        <v>1</v>
      </c>
    </row>
    <row r="810" spans="1:25" x14ac:dyDescent="0.2">
      <c r="A810" t="s">
        <v>2987</v>
      </c>
      <c r="B810" t="s">
        <v>2988</v>
      </c>
      <c r="C810" t="s">
        <v>2989</v>
      </c>
      <c r="D810" t="s">
        <v>2990</v>
      </c>
      <c r="E810" t="s">
        <v>2988</v>
      </c>
      <c r="F810" t="s">
        <v>28</v>
      </c>
      <c r="G810" t="s">
        <v>2988</v>
      </c>
      <c r="H810" t="str">
        <f>"mdt-1.2"</f>
        <v>mdt-1.2</v>
      </c>
      <c r="I810" t="s">
        <v>2990</v>
      </c>
      <c r="J810">
        <v>12.0663799438568</v>
      </c>
      <c r="K810">
        <v>11.961810180289399</v>
      </c>
      <c r="L810">
        <v>11.9021786710698</v>
      </c>
      <c r="M810" t="s">
        <v>29</v>
      </c>
      <c r="N810" t="s">
        <v>29</v>
      </c>
      <c r="O810">
        <v>12.6546772816118</v>
      </c>
      <c r="P810">
        <v>0.67788768320647297</v>
      </c>
      <c r="Q810">
        <v>-0.109936518028285</v>
      </c>
      <c r="R810">
        <v>1.46571188444123</v>
      </c>
      <c r="S810">
        <v>12.0893161603643</v>
      </c>
      <c r="T810">
        <v>1.8250633971799799</v>
      </c>
      <c r="U810">
        <v>-5.2265076278007401</v>
      </c>
      <c r="V810">
        <v>8.68415864245414E-2</v>
      </c>
      <c r="W810">
        <v>0.19777600865001799</v>
      </c>
      <c r="X810">
        <v>0</v>
      </c>
      <c r="Y810">
        <v>0</v>
      </c>
    </row>
    <row r="811" spans="1:25" x14ac:dyDescent="0.2">
      <c r="A811" t="s">
        <v>2991</v>
      </c>
      <c r="B811" t="s">
        <v>2992</v>
      </c>
      <c r="C811" t="s">
        <v>2993</v>
      </c>
      <c r="D811" t="s">
        <v>2994</v>
      </c>
      <c r="E811" t="s">
        <v>2992</v>
      </c>
      <c r="F811" t="s">
        <v>28</v>
      </c>
      <c r="G811" t="s">
        <v>2992</v>
      </c>
      <c r="H811" t="str">
        <f>"rpl-4"</f>
        <v>rpl-4</v>
      </c>
      <c r="I811" t="s">
        <v>2994</v>
      </c>
      <c r="J811">
        <v>19.114268670157301</v>
      </c>
      <c r="K811">
        <v>19.442535593155199</v>
      </c>
      <c r="L811">
        <v>19.703344495415799</v>
      </c>
      <c r="M811">
        <v>19.6117222816682</v>
      </c>
      <c r="N811">
        <v>19.4434713565736</v>
      </c>
      <c r="O811">
        <v>19.146967026510001</v>
      </c>
      <c r="P811">
        <v>-1.93293646588302E-2</v>
      </c>
      <c r="Q811">
        <v>-0.47426416916703901</v>
      </c>
      <c r="R811">
        <v>0.43560543984937899</v>
      </c>
      <c r="S811">
        <v>19.856028599626399</v>
      </c>
      <c r="T811">
        <v>-8.9301947264982806E-2</v>
      </c>
      <c r="U811">
        <v>-7.1521178868956499</v>
      </c>
      <c r="V811">
        <v>0.92983382099213197</v>
      </c>
      <c r="W811">
        <v>0.95951134265920401</v>
      </c>
      <c r="X811">
        <v>0</v>
      </c>
      <c r="Y811">
        <v>0</v>
      </c>
    </row>
    <row r="812" spans="1:25" x14ac:dyDescent="0.2">
      <c r="A812" t="s">
        <v>2995</v>
      </c>
      <c r="B812" t="s">
        <v>2996</v>
      </c>
      <c r="C812" t="s">
        <v>14334</v>
      </c>
      <c r="D812" t="s">
        <v>214</v>
      </c>
      <c r="E812" t="s">
        <v>2996</v>
      </c>
      <c r="F812" t="s">
        <v>28</v>
      </c>
      <c r="G812" t="s">
        <v>2996</v>
      </c>
      <c r="H812" t="str">
        <f>"F19B10.10"</f>
        <v>F19B10.10</v>
      </c>
      <c r="I812" t="s">
        <v>214</v>
      </c>
      <c r="J812">
        <v>11.856922685170799</v>
      </c>
      <c r="K812">
        <v>11.7084042113261</v>
      </c>
      <c r="L812">
        <v>12.177738824276901</v>
      </c>
      <c r="M812" t="s">
        <v>29</v>
      </c>
      <c r="N812" t="s">
        <v>29</v>
      </c>
      <c r="O812">
        <v>12.370603553090699</v>
      </c>
      <c r="P812">
        <v>0.456248312832779</v>
      </c>
      <c r="Q812">
        <v>-0.19173368141508701</v>
      </c>
      <c r="R812">
        <v>1.1042303070806401</v>
      </c>
      <c r="S812">
        <v>12.732195077585001</v>
      </c>
      <c r="T812">
        <v>1.5112288162868299</v>
      </c>
      <c r="U812">
        <v>-5.6938839427570196</v>
      </c>
      <c r="V812">
        <v>0.15313494788992299</v>
      </c>
      <c r="W812">
        <v>0.297880324377295</v>
      </c>
      <c r="X812">
        <v>0</v>
      </c>
      <c r="Y812">
        <v>0</v>
      </c>
    </row>
    <row r="813" spans="1:25" x14ac:dyDescent="0.2">
      <c r="A813" t="s">
        <v>2997</v>
      </c>
      <c r="B813" t="s">
        <v>2998</v>
      </c>
      <c r="C813" t="s">
        <v>2999</v>
      </c>
      <c r="D813" t="s">
        <v>368</v>
      </c>
      <c r="E813" t="s">
        <v>2998</v>
      </c>
      <c r="F813" t="s">
        <v>28</v>
      </c>
      <c r="G813" t="s">
        <v>2998</v>
      </c>
      <c r="H813" t="str">
        <f>"C48E7.1"</f>
        <v>C48E7.1</v>
      </c>
      <c r="I813" t="s">
        <v>368</v>
      </c>
      <c r="J813" t="s">
        <v>29</v>
      </c>
      <c r="K813">
        <v>12.4202952511066</v>
      </c>
      <c r="L813">
        <v>12.2080882058111</v>
      </c>
      <c r="M813">
        <v>14.367288657180399</v>
      </c>
      <c r="N813">
        <v>13.635391554366301</v>
      </c>
      <c r="O813">
        <v>13.404570654173099</v>
      </c>
      <c r="P813">
        <v>1.4882252267811</v>
      </c>
      <c r="Q813">
        <v>0.28260017268278398</v>
      </c>
      <c r="R813">
        <v>2.6938502808794098</v>
      </c>
      <c r="S813">
        <v>12.701349503651601</v>
      </c>
      <c r="T813">
        <v>2.6182187416619298</v>
      </c>
      <c r="U813">
        <v>-4.04357422071251</v>
      </c>
      <c r="V813">
        <v>1.8710957843772798E-2</v>
      </c>
      <c r="W813">
        <v>7.0422979266409405E-2</v>
      </c>
      <c r="X813">
        <v>1</v>
      </c>
      <c r="Y813">
        <v>0</v>
      </c>
    </row>
    <row r="814" spans="1:25" x14ac:dyDescent="0.2">
      <c r="A814" t="s">
        <v>3000</v>
      </c>
      <c r="B814" t="s">
        <v>3001</v>
      </c>
      <c r="C814" t="s">
        <v>3002</v>
      </c>
      <c r="D814" t="s">
        <v>3003</v>
      </c>
      <c r="E814" t="s">
        <v>3001</v>
      </c>
      <c r="F814" t="s">
        <v>28</v>
      </c>
      <c r="G814" t="s">
        <v>3001</v>
      </c>
      <c r="H814" t="str">
        <f>"haf-2"</f>
        <v>haf-2</v>
      </c>
      <c r="I814" t="s">
        <v>3003</v>
      </c>
      <c r="J814">
        <v>13.279663578016301</v>
      </c>
      <c r="K814">
        <v>13.2116869879539</v>
      </c>
      <c r="L814">
        <v>13.360946547758999</v>
      </c>
      <c r="M814">
        <v>12.663155449892701</v>
      </c>
      <c r="N814">
        <v>12.8230309439371</v>
      </c>
      <c r="O814">
        <v>12.6964506816014</v>
      </c>
      <c r="P814">
        <v>-0.55655334609938301</v>
      </c>
      <c r="Q814">
        <v>-0.94262903115002294</v>
      </c>
      <c r="R814">
        <v>-0.17047766104874301</v>
      </c>
      <c r="S814">
        <v>13.4802452822418</v>
      </c>
      <c r="T814">
        <v>-3.0298899917975</v>
      </c>
      <c r="U814">
        <v>-3.2729597567634898</v>
      </c>
      <c r="V814">
        <v>7.2364260293533199E-3</v>
      </c>
      <c r="W814">
        <v>3.6330063898644301E-2</v>
      </c>
      <c r="X814">
        <v>0</v>
      </c>
      <c r="Y814">
        <v>0</v>
      </c>
    </row>
    <row r="815" spans="1:25" x14ac:dyDescent="0.2">
      <c r="A815" t="s">
        <v>3004</v>
      </c>
      <c r="B815" t="s">
        <v>3005</v>
      </c>
      <c r="C815" t="s">
        <v>3006</v>
      </c>
      <c r="D815" t="s">
        <v>3007</v>
      </c>
      <c r="E815" t="s">
        <v>3005</v>
      </c>
      <c r="F815" t="s">
        <v>28</v>
      </c>
      <c r="G815" t="s">
        <v>3005</v>
      </c>
      <c r="H815" t="str">
        <f>"msra-1"</f>
        <v>msra-1</v>
      </c>
      <c r="I815" t="s">
        <v>3007</v>
      </c>
      <c r="J815">
        <v>11.5280575012674</v>
      </c>
      <c r="K815">
        <v>11.3267767577965</v>
      </c>
      <c r="L815">
        <v>11.4406908320202</v>
      </c>
      <c r="M815" t="s">
        <v>29</v>
      </c>
      <c r="N815" t="s">
        <v>29</v>
      </c>
      <c r="O815">
        <v>11.64863517709</v>
      </c>
      <c r="P815">
        <v>0.216793480061963</v>
      </c>
      <c r="Q815">
        <v>-0.80499761686620497</v>
      </c>
      <c r="R815">
        <v>1.23858457699013</v>
      </c>
      <c r="S815">
        <v>10.787523520455</v>
      </c>
      <c r="T815">
        <v>0.45874500348102099</v>
      </c>
      <c r="U815">
        <v>-6.7015762164438204</v>
      </c>
      <c r="V815">
        <v>0.654053632988566</v>
      </c>
      <c r="W815">
        <v>0.77065497088326196</v>
      </c>
      <c r="X815">
        <v>0</v>
      </c>
      <c r="Y815">
        <v>0</v>
      </c>
    </row>
    <row r="816" spans="1:25" x14ac:dyDescent="0.2">
      <c r="A816" t="s">
        <v>3008</v>
      </c>
      <c r="B816" t="s">
        <v>3009</v>
      </c>
      <c r="C816" t="s">
        <v>3010</v>
      </c>
      <c r="D816" t="s">
        <v>3011</v>
      </c>
      <c r="E816" t="s">
        <v>3009</v>
      </c>
      <c r="F816" t="s">
        <v>28</v>
      </c>
      <c r="G816" t="s">
        <v>3009</v>
      </c>
      <c r="H816" t="str">
        <f>"rpb-4"</f>
        <v>rpb-4</v>
      </c>
      <c r="I816" t="s">
        <v>3011</v>
      </c>
      <c r="J816">
        <v>12.470346315236799</v>
      </c>
      <c r="K816">
        <v>12.1917849021852</v>
      </c>
      <c r="L816">
        <v>11.687034534126999</v>
      </c>
      <c r="M816" t="s">
        <v>29</v>
      </c>
      <c r="N816">
        <v>12.084866719394601</v>
      </c>
      <c r="O816">
        <v>12.7041970940205</v>
      </c>
      <c r="P816">
        <v>0.278143322857897</v>
      </c>
      <c r="Q816">
        <v>-0.41308435508860297</v>
      </c>
      <c r="R816">
        <v>0.96937100080439698</v>
      </c>
      <c r="S816">
        <v>12.0989541679886</v>
      </c>
      <c r="T816">
        <v>0.84937120198946403</v>
      </c>
      <c r="U816">
        <v>-6.6741837597154801</v>
      </c>
      <c r="V816">
        <v>0.40754970992647799</v>
      </c>
      <c r="W816">
        <v>0.57549065412234401</v>
      </c>
      <c r="X816">
        <v>0</v>
      </c>
      <c r="Y816">
        <v>0</v>
      </c>
    </row>
    <row r="817" spans="1:25" x14ac:dyDescent="0.2">
      <c r="A817" t="s">
        <v>3012</v>
      </c>
      <c r="B817" t="s">
        <v>3013</v>
      </c>
      <c r="C817" t="s">
        <v>3014</v>
      </c>
      <c r="D817" t="s">
        <v>3015</v>
      </c>
      <c r="E817" t="s">
        <v>3013</v>
      </c>
      <c r="F817" t="s">
        <v>28</v>
      </c>
      <c r="G817" t="s">
        <v>3013</v>
      </c>
      <c r="H817" t="str">
        <f>"cas-2"</f>
        <v>cas-2</v>
      </c>
      <c r="I817" t="s">
        <v>3015</v>
      </c>
      <c r="J817" t="s">
        <v>29</v>
      </c>
      <c r="K817" t="s">
        <v>29</v>
      </c>
      <c r="L817" t="s">
        <v>29</v>
      </c>
      <c r="M817" t="s">
        <v>29</v>
      </c>
      <c r="N817" t="s">
        <v>29</v>
      </c>
      <c r="O817" t="s">
        <v>29</v>
      </c>
      <c r="P817" t="s">
        <v>29</v>
      </c>
      <c r="Q817" t="s">
        <v>29</v>
      </c>
      <c r="R817" t="s">
        <v>29</v>
      </c>
      <c r="S817">
        <v>11.9887593694055</v>
      </c>
      <c r="T817" t="s">
        <v>29</v>
      </c>
      <c r="U817" t="s">
        <v>29</v>
      </c>
      <c r="V817" t="s">
        <v>29</v>
      </c>
      <c r="W817" t="s">
        <v>29</v>
      </c>
      <c r="X817" t="s">
        <v>29</v>
      </c>
      <c r="Y817" t="s">
        <v>29</v>
      </c>
    </row>
    <row r="818" spans="1:25" x14ac:dyDescent="0.2">
      <c r="A818" t="s">
        <v>3016</v>
      </c>
      <c r="B818" t="s">
        <v>3017</v>
      </c>
      <c r="C818" t="s">
        <v>3018</v>
      </c>
      <c r="D818" t="s">
        <v>3019</v>
      </c>
      <c r="E818" t="s">
        <v>3017</v>
      </c>
      <c r="F818" t="s">
        <v>28</v>
      </c>
      <c r="G818" t="s">
        <v>3017</v>
      </c>
      <c r="H818" t="str">
        <f>"swsn-2.2"</f>
        <v>swsn-2.2</v>
      </c>
      <c r="I818" t="s">
        <v>3019</v>
      </c>
      <c r="J818">
        <v>13.7959419229181</v>
      </c>
      <c r="K818">
        <v>13.945254317491701</v>
      </c>
      <c r="L818">
        <v>13.8208891861954</v>
      </c>
      <c r="M818">
        <v>14.057166110974499</v>
      </c>
      <c r="N818">
        <v>13.901819012836899</v>
      </c>
      <c r="O818">
        <v>13.427069668578699</v>
      </c>
      <c r="P818">
        <v>-5.8676878071704401E-2</v>
      </c>
      <c r="Q818">
        <v>-0.47973645686961602</v>
      </c>
      <c r="R818">
        <v>0.36238270072620699</v>
      </c>
      <c r="S818">
        <v>14.0390447485122</v>
      </c>
      <c r="T818">
        <v>-0.29289769936739701</v>
      </c>
      <c r="U818">
        <v>-7.1113887931033997</v>
      </c>
      <c r="V818">
        <v>0.77296958854709696</v>
      </c>
      <c r="W818">
        <v>0.85636893889033605</v>
      </c>
      <c r="X818">
        <v>0</v>
      </c>
      <c r="Y818">
        <v>0</v>
      </c>
    </row>
    <row r="819" spans="1:25" x14ac:dyDescent="0.2">
      <c r="A819" t="s">
        <v>3020</v>
      </c>
      <c r="B819" t="s">
        <v>3021</v>
      </c>
      <c r="C819" t="s">
        <v>3022</v>
      </c>
      <c r="D819" t="s">
        <v>3023</v>
      </c>
      <c r="E819" t="s">
        <v>3021</v>
      </c>
      <c r="F819" t="s">
        <v>28</v>
      </c>
      <c r="G819" t="s">
        <v>3021</v>
      </c>
      <c r="H819" t="str">
        <f>"cdc-37"</f>
        <v>cdc-37</v>
      </c>
      <c r="I819" t="s">
        <v>3023</v>
      </c>
      <c r="J819">
        <v>13.0022575256903</v>
      </c>
      <c r="K819">
        <v>13.196152140209</v>
      </c>
      <c r="L819" t="s">
        <v>29</v>
      </c>
      <c r="M819" t="s">
        <v>29</v>
      </c>
      <c r="N819">
        <v>11.815321273934501</v>
      </c>
      <c r="O819">
        <v>12.341974573125601</v>
      </c>
      <c r="P819">
        <v>-1.0205569094195901</v>
      </c>
      <c r="Q819">
        <v>-1.8883110984906799</v>
      </c>
      <c r="R819">
        <v>-0.15280272034850201</v>
      </c>
      <c r="S819">
        <v>13.3111878233538</v>
      </c>
      <c r="T819">
        <v>-2.4945375071340501</v>
      </c>
      <c r="U819">
        <v>-4.1936548805165703</v>
      </c>
      <c r="V819">
        <v>2.4018121896878901E-2</v>
      </c>
      <c r="W819">
        <v>8.3076766701997803E-2</v>
      </c>
      <c r="X819">
        <v>-1</v>
      </c>
      <c r="Y819">
        <v>0</v>
      </c>
    </row>
    <row r="820" spans="1:25" x14ac:dyDescent="0.2">
      <c r="A820" t="s">
        <v>3024</v>
      </c>
      <c r="B820" t="s">
        <v>3025</v>
      </c>
      <c r="C820" t="s">
        <v>3026</v>
      </c>
      <c r="D820" t="s">
        <v>368</v>
      </c>
      <c r="E820" t="s">
        <v>3025</v>
      </c>
      <c r="F820" t="s">
        <v>28</v>
      </c>
      <c r="G820" t="s">
        <v>3025</v>
      </c>
      <c r="H820" t="str">
        <f>"C46G7.2"</f>
        <v>C46G7.2</v>
      </c>
      <c r="I820" t="s">
        <v>368</v>
      </c>
      <c r="J820">
        <v>14.510376799634299</v>
      </c>
      <c r="K820">
        <v>14.839976337602</v>
      </c>
      <c r="L820">
        <v>15.003343121460301</v>
      </c>
      <c r="M820">
        <v>14.8449196215265</v>
      </c>
      <c r="N820">
        <v>15.0060513723918</v>
      </c>
      <c r="O820">
        <v>14.503626312726199</v>
      </c>
      <c r="P820">
        <v>3.0034931596567598E-4</v>
      </c>
      <c r="Q820">
        <v>-0.42643271922298898</v>
      </c>
      <c r="R820">
        <v>0.42703341785491999</v>
      </c>
      <c r="S820">
        <v>14.874545012611801</v>
      </c>
      <c r="T820">
        <v>1.47932249631112E-3</v>
      </c>
      <c r="U820">
        <v>-7.15630094068994</v>
      </c>
      <c r="V820">
        <v>0.99883603837005497</v>
      </c>
      <c r="W820">
        <v>0.99951436505146096</v>
      </c>
      <c r="X820">
        <v>0</v>
      </c>
      <c r="Y820">
        <v>0</v>
      </c>
    </row>
    <row r="821" spans="1:25" x14ac:dyDescent="0.2">
      <c r="A821" t="s">
        <v>3027</v>
      </c>
      <c r="B821" t="s">
        <v>3028</v>
      </c>
      <c r="C821" t="s">
        <v>14335</v>
      </c>
      <c r="D821" t="s">
        <v>368</v>
      </c>
      <c r="E821" t="s">
        <v>3028</v>
      </c>
      <c r="F821" t="s">
        <v>28</v>
      </c>
      <c r="G821" t="s">
        <v>3028</v>
      </c>
      <c r="H821" t="str">
        <f>"T09B4.5"</f>
        <v>T09B4.5</v>
      </c>
      <c r="I821" t="s">
        <v>368</v>
      </c>
      <c r="J821">
        <v>17.6468116663359</v>
      </c>
      <c r="K821">
        <v>18.3036414950245</v>
      </c>
      <c r="L821">
        <v>17.918542908708201</v>
      </c>
      <c r="M821">
        <v>17.935335414080399</v>
      </c>
      <c r="N821">
        <v>17.378185529414999</v>
      </c>
      <c r="O821">
        <v>17.0373020560829</v>
      </c>
      <c r="P821">
        <v>-0.50605769016345903</v>
      </c>
      <c r="Q821">
        <v>-1.09259612741139</v>
      </c>
      <c r="R821">
        <v>8.04807470844702E-2</v>
      </c>
      <c r="S821">
        <v>18.059948749090701</v>
      </c>
      <c r="T821">
        <v>-1.8134102421677101</v>
      </c>
      <c r="U821">
        <v>-5.5728612107922801</v>
      </c>
      <c r="V821">
        <v>8.6575846665624304E-2</v>
      </c>
      <c r="W821">
        <v>0.19765809393804301</v>
      </c>
      <c r="X821">
        <v>0</v>
      </c>
      <c r="Y821">
        <v>0</v>
      </c>
    </row>
    <row r="822" spans="1:25" x14ac:dyDescent="0.2">
      <c r="A822" t="s">
        <v>3029</v>
      </c>
      <c r="B822" t="s">
        <v>3030</v>
      </c>
      <c r="C822" t="s">
        <v>14336</v>
      </c>
      <c r="D822" t="s">
        <v>3031</v>
      </c>
      <c r="E822" t="s">
        <v>3030</v>
      </c>
      <c r="F822" t="s">
        <v>28</v>
      </c>
      <c r="G822" t="s">
        <v>3030</v>
      </c>
      <c r="H822" t="str">
        <f>"T09B4.8"</f>
        <v>T09B4.8</v>
      </c>
      <c r="I822" t="s">
        <v>3031</v>
      </c>
      <c r="J822">
        <v>13.116044604572</v>
      </c>
      <c r="K822">
        <v>13.005141387389299</v>
      </c>
      <c r="L822">
        <v>12.6108243188048</v>
      </c>
      <c r="M822" t="s">
        <v>29</v>
      </c>
      <c r="N822">
        <v>13.7503032165721</v>
      </c>
      <c r="O822">
        <v>13.7569045676697</v>
      </c>
      <c r="P822">
        <v>0.84293378853218404</v>
      </c>
      <c r="Q822">
        <v>0.27035385838685999</v>
      </c>
      <c r="R822">
        <v>1.41551371867751</v>
      </c>
      <c r="S822">
        <v>12.9372151829382</v>
      </c>
      <c r="T822">
        <v>3.1074729334599498</v>
      </c>
      <c r="U822">
        <v>-3.0386012880441902</v>
      </c>
      <c r="V822">
        <v>6.4376976571584197E-3</v>
      </c>
      <c r="W822">
        <v>3.3582410732508297E-2</v>
      </c>
      <c r="X822">
        <v>0</v>
      </c>
      <c r="Y822">
        <v>0</v>
      </c>
    </row>
    <row r="823" spans="1:25" x14ac:dyDescent="0.2">
      <c r="A823" t="s">
        <v>3032</v>
      </c>
      <c r="B823" t="s">
        <v>3033</v>
      </c>
      <c r="C823" t="s">
        <v>3034</v>
      </c>
      <c r="D823" t="s">
        <v>3035</v>
      </c>
      <c r="E823" t="s">
        <v>3033</v>
      </c>
      <c r="F823" t="s">
        <v>28</v>
      </c>
      <c r="G823" t="s">
        <v>3033</v>
      </c>
      <c r="H823" t="str">
        <f>"tin-44"</f>
        <v>tin-44</v>
      </c>
      <c r="I823" t="s">
        <v>3035</v>
      </c>
      <c r="J823">
        <v>13.4010565178564</v>
      </c>
      <c r="K823">
        <v>13.5346852597722</v>
      </c>
      <c r="L823">
        <v>13.322064484574801</v>
      </c>
      <c r="M823">
        <v>11.4976810236587</v>
      </c>
      <c r="N823">
        <v>12.0869729088277</v>
      </c>
      <c r="O823">
        <v>13.027006984549701</v>
      </c>
      <c r="P823">
        <v>-1.2153817817224399</v>
      </c>
      <c r="Q823">
        <v>-1.78115241156435</v>
      </c>
      <c r="R823">
        <v>-0.64961115188054197</v>
      </c>
      <c r="S823">
        <v>12.986583394106001</v>
      </c>
      <c r="T823">
        <v>-4.5150736250821497</v>
      </c>
      <c r="U823">
        <v>-3.6086566965471099E-2</v>
      </c>
      <c r="V823">
        <v>2.7156016316853398E-4</v>
      </c>
      <c r="W823">
        <v>3.4795121776420401E-3</v>
      </c>
      <c r="X823">
        <v>-1</v>
      </c>
      <c r="Y823">
        <v>-1</v>
      </c>
    </row>
    <row r="824" spans="1:25" x14ac:dyDescent="0.2">
      <c r="A824" t="s">
        <v>3036</v>
      </c>
      <c r="B824" t="s">
        <v>3037</v>
      </c>
      <c r="C824" t="s">
        <v>3038</v>
      </c>
      <c r="D824" t="s">
        <v>225</v>
      </c>
      <c r="E824" t="s">
        <v>3037</v>
      </c>
      <c r="F824" t="s">
        <v>28</v>
      </c>
      <c r="G824" t="s">
        <v>3037</v>
      </c>
      <c r="H824" t="str">
        <f>"aakg-2"</f>
        <v>aakg-2</v>
      </c>
      <c r="I824" t="s">
        <v>225</v>
      </c>
      <c r="J824">
        <v>12.941320178794999</v>
      </c>
      <c r="K824">
        <v>12.0119687468896</v>
      </c>
      <c r="L824">
        <v>13.085668195678</v>
      </c>
      <c r="M824" t="s">
        <v>29</v>
      </c>
      <c r="N824">
        <v>16.0372218788815</v>
      </c>
      <c r="O824">
        <v>14.270813091867501</v>
      </c>
      <c r="P824">
        <v>2.4743651115869598</v>
      </c>
      <c r="Q824">
        <v>1.4731803941544399</v>
      </c>
      <c r="R824">
        <v>3.47554982901947</v>
      </c>
      <c r="S824">
        <v>13.095538211627201</v>
      </c>
      <c r="T824">
        <v>5.2167447175472903</v>
      </c>
      <c r="U824">
        <v>1.4344442244639499</v>
      </c>
      <c r="V824" s="2">
        <v>7.1196676125410394E-5</v>
      </c>
      <c r="W824">
        <v>1.3305484764572001E-3</v>
      </c>
      <c r="X824">
        <v>1</v>
      </c>
      <c r="Y824">
        <v>1</v>
      </c>
    </row>
    <row r="825" spans="1:25" x14ac:dyDescent="0.2">
      <c r="A825" t="s">
        <v>3039</v>
      </c>
      <c r="B825" t="s">
        <v>3040</v>
      </c>
      <c r="C825" t="s">
        <v>14337</v>
      </c>
      <c r="D825" t="s">
        <v>130</v>
      </c>
      <c r="E825" t="s">
        <v>3040</v>
      </c>
      <c r="F825" t="s">
        <v>28</v>
      </c>
      <c r="G825" t="s">
        <v>3040</v>
      </c>
      <c r="H825" t="str">
        <f>"T20F7.1"</f>
        <v>T20F7.1</v>
      </c>
      <c r="I825" t="s">
        <v>130</v>
      </c>
      <c r="J825">
        <v>10.8965751651701</v>
      </c>
      <c r="K825">
        <v>10.7912070718292</v>
      </c>
      <c r="L825">
        <v>9.9277746912911002</v>
      </c>
      <c r="M825" t="s">
        <v>29</v>
      </c>
      <c r="N825" t="s">
        <v>29</v>
      </c>
      <c r="O825" t="s">
        <v>29</v>
      </c>
      <c r="P825" t="s">
        <v>29</v>
      </c>
      <c r="Q825" t="s">
        <v>29</v>
      </c>
      <c r="R825" t="s">
        <v>29</v>
      </c>
      <c r="S825">
        <v>10.836253789107399</v>
      </c>
      <c r="T825" t="s">
        <v>29</v>
      </c>
      <c r="U825" t="s">
        <v>29</v>
      </c>
      <c r="V825" t="s">
        <v>29</v>
      </c>
      <c r="W825" t="s">
        <v>29</v>
      </c>
      <c r="X825" t="s">
        <v>29</v>
      </c>
      <c r="Y825" t="s">
        <v>29</v>
      </c>
    </row>
    <row r="826" spans="1:25" x14ac:dyDescent="0.2">
      <c r="A826" t="s">
        <v>3041</v>
      </c>
      <c r="B826" t="s">
        <v>3042</v>
      </c>
      <c r="C826" t="s">
        <v>3043</v>
      </c>
      <c r="D826" t="s">
        <v>3044</v>
      </c>
      <c r="E826" t="s">
        <v>3042</v>
      </c>
      <c r="F826" t="s">
        <v>28</v>
      </c>
      <c r="G826" t="s">
        <v>3042</v>
      </c>
      <c r="H826" t="str">
        <f>"oxa-1"</f>
        <v>oxa-1</v>
      </c>
      <c r="I826" t="s">
        <v>3044</v>
      </c>
      <c r="J826">
        <v>14.748423163193101</v>
      </c>
      <c r="K826">
        <v>15.0175101620347</v>
      </c>
      <c r="L826">
        <v>14.770967897514099</v>
      </c>
      <c r="M826" t="s">
        <v>29</v>
      </c>
      <c r="N826">
        <v>14.0839282152933</v>
      </c>
      <c r="O826">
        <v>14.159153758352099</v>
      </c>
      <c r="P826">
        <v>-0.72409275409120299</v>
      </c>
      <c r="Q826">
        <v>-1.1588797265414901</v>
      </c>
      <c r="R826">
        <v>-0.28930578164091802</v>
      </c>
      <c r="S826">
        <v>14.526892066534201</v>
      </c>
      <c r="T826">
        <v>-3.5153428816779102</v>
      </c>
      <c r="U826">
        <v>-2.1822918207990698</v>
      </c>
      <c r="V826">
        <v>2.6751902155294801E-3</v>
      </c>
      <c r="W826">
        <v>1.7917694466285002E-2</v>
      </c>
      <c r="X826">
        <v>0</v>
      </c>
      <c r="Y826">
        <v>0</v>
      </c>
    </row>
    <row r="827" spans="1:25" x14ac:dyDescent="0.2">
      <c r="A827" t="s">
        <v>3045</v>
      </c>
      <c r="B827" t="s">
        <v>3046</v>
      </c>
      <c r="C827" t="s">
        <v>3047</v>
      </c>
      <c r="D827" t="s">
        <v>3048</v>
      </c>
      <c r="E827" t="s">
        <v>3046</v>
      </c>
      <c r="F827" t="s">
        <v>28</v>
      </c>
      <c r="G827" t="s">
        <v>3046</v>
      </c>
      <c r="H827" t="str">
        <f>"tads-1"</f>
        <v>tads-1</v>
      </c>
      <c r="I827" t="s">
        <v>3048</v>
      </c>
      <c r="J827">
        <v>11.728057932614901</v>
      </c>
      <c r="K827">
        <v>11.8800292336671</v>
      </c>
      <c r="L827">
        <v>12.0318324849452</v>
      </c>
      <c r="M827" t="s">
        <v>29</v>
      </c>
      <c r="N827">
        <v>12.6125640148506</v>
      </c>
      <c r="O827">
        <v>12.1746152090997</v>
      </c>
      <c r="P827">
        <v>0.51361639489938904</v>
      </c>
      <c r="Q827">
        <v>1.7251174663347399E-2</v>
      </c>
      <c r="R827">
        <v>1.0099816151354299</v>
      </c>
      <c r="S827">
        <v>12.555705496133299</v>
      </c>
      <c r="T827">
        <v>2.1841755839100201</v>
      </c>
      <c r="U827">
        <v>-4.8389305837349399</v>
      </c>
      <c r="V827">
        <v>4.3341053205263498E-2</v>
      </c>
      <c r="W827">
        <v>0.12340684424725799</v>
      </c>
      <c r="X827">
        <v>0</v>
      </c>
      <c r="Y827">
        <v>0</v>
      </c>
    </row>
    <row r="828" spans="1:25" x14ac:dyDescent="0.2">
      <c r="A828" t="s">
        <v>3049</v>
      </c>
      <c r="B828" t="s">
        <v>3050</v>
      </c>
      <c r="C828" t="s">
        <v>3051</v>
      </c>
      <c r="D828" t="s">
        <v>3052</v>
      </c>
      <c r="E828" t="s">
        <v>3050</v>
      </c>
      <c r="F828" t="s">
        <v>28</v>
      </c>
      <c r="G828" t="s">
        <v>3050</v>
      </c>
      <c r="H828" t="str">
        <f>"rsa-1"</f>
        <v>rsa-1</v>
      </c>
      <c r="I828" t="s">
        <v>3052</v>
      </c>
      <c r="J828" t="s">
        <v>29</v>
      </c>
      <c r="K828" t="s">
        <v>29</v>
      </c>
      <c r="L828">
        <v>13.1047219632311</v>
      </c>
      <c r="M828">
        <v>13.998555560864199</v>
      </c>
      <c r="N828" t="s">
        <v>29</v>
      </c>
      <c r="O828" t="s">
        <v>29</v>
      </c>
      <c r="P828">
        <v>0.89383359763306702</v>
      </c>
      <c r="Q828">
        <v>-0.20653903042322699</v>
      </c>
      <c r="R828">
        <v>1.99420622568936</v>
      </c>
      <c r="S828">
        <v>12.9884871261016</v>
      </c>
      <c r="T828">
        <v>1.9962364429544599</v>
      </c>
      <c r="U828">
        <v>-4.8735654884305903</v>
      </c>
      <c r="V828">
        <v>9.3758184960791704E-2</v>
      </c>
      <c r="W828">
        <v>0.20821806411413199</v>
      </c>
      <c r="X828">
        <v>0</v>
      </c>
      <c r="Y828">
        <v>0</v>
      </c>
    </row>
    <row r="829" spans="1:25" x14ac:dyDescent="0.2">
      <c r="A829" t="s">
        <v>3053</v>
      </c>
      <c r="B829" t="s">
        <v>3054</v>
      </c>
      <c r="C829" t="s">
        <v>3055</v>
      </c>
      <c r="D829" t="s">
        <v>3056</v>
      </c>
      <c r="E829" t="s">
        <v>3054</v>
      </c>
      <c r="F829" t="s">
        <v>28</v>
      </c>
      <c r="G829" t="s">
        <v>3054</v>
      </c>
      <c r="H829" t="str">
        <f>"lid-1"</f>
        <v>lid-1</v>
      </c>
      <c r="I829" t="s">
        <v>3056</v>
      </c>
      <c r="J829">
        <v>12.4875240517308</v>
      </c>
      <c r="K829">
        <v>12.7983962089176</v>
      </c>
      <c r="L829">
        <v>12.841620084167401</v>
      </c>
      <c r="M829" t="s">
        <v>29</v>
      </c>
      <c r="N829">
        <v>12.5214110540285</v>
      </c>
      <c r="O829">
        <v>13.086934432064</v>
      </c>
      <c r="P829">
        <v>9.4992628107643598E-2</v>
      </c>
      <c r="Q829">
        <v>-0.36921103004674799</v>
      </c>
      <c r="R829">
        <v>0.55919628626203499</v>
      </c>
      <c r="S829">
        <v>13.120420021875599</v>
      </c>
      <c r="T829">
        <v>0.43194789089531799</v>
      </c>
      <c r="U829">
        <v>-6.9479406816786504</v>
      </c>
      <c r="V829">
        <v>0.67124143053852803</v>
      </c>
      <c r="W829">
        <v>0.78298683178223505</v>
      </c>
      <c r="X829">
        <v>0</v>
      </c>
      <c r="Y829">
        <v>0</v>
      </c>
    </row>
    <row r="830" spans="1:25" x14ac:dyDescent="0.2">
      <c r="A830" t="s">
        <v>3057</v>
      </c>
      <c r="B830" t="s">
        <v>3058</v>
      </c>
      <c r="C830" t="s">
        <v>3059</v>
      </c>
      <c r="D830" t="s">
        <v>3060</v>
      </c>
      <c r="E830" t="s">
        <v>3058</v>
      </c>
      <c r="F830" t="s">
        <v>28</v>
      </c>
      <c r="G830" t="s">
        <v>3058</v>
      </c>
      <c r="H830" t="str">
        <f>"aha-1"</f>
        <v>aha-1</v>
      </c>
      <c r="I830" t="s">
        <v>3060</v>
      </c>
      <c r="J830" t="s">
        <v>29</v>
      </c>
      <c r="K830" t="s">
        <v>29</v>
      </c>
      <c r="L830" t="s">
        <v>29</v>
      </c>
      <c r="M830" t="s">
        <v>29</v>
      </c>
      <c r="N830" t="s">
        <v>29</v>
      </c>
      <c r="O830">
        <v>9.9963881641035304</v>
      </c>
      <c r="P830" t="s">
        <v>29</v>
      </c>
      <c r="Q830" t="s">
        <v>29</v>
      </c>
      <c r="R830" t="s">
        <v>29</v>
      </c>
      <c r="S830">
        <v>10.905820654419401</v>
      </c>
      <c r="T830" t="s">
        <v>29</v>
      </c>
      <c r="U830" t="s">
        <v>29</v>
      </c>
      <c r="V830" t="s">
        <v>29</v>
      </c>
      <c r="W830" t="s">
        <v>29</v>
      </c>
      <c r="X830" t="s">
        <v>29</v>
      </c>
      <c r="Y830" t="s">
        <v>29</v>
      </c>
    </row>
    <row r="831" spans="1:25" x14ac:dyDescent="0.2">
      <c r="A831" t="s">
        <v>3061</v>
      </c>
      <c r="B831" t="s">
        <v>3062</v>
      </c>
      <c r="C831" t="s">
        <v>3063</v>
      </c>
      <c r="D831" t="s">
        <v>3064</v>
      </c>
      <c r="E831" t="s">
        <v>3062</v>
      </c>
      <c r="F831" t="s">
        <v>28</v>
      </c>
      <c r="G831" t="s">
        <v>3062</v>
      </c>
      <c r="H831" t="str">
        <f>"mrpl-34"</f>
        <v>mrpl-34</v>
      </c>
      <c r="I831" t="s">
        <v>3064</v>
      </c>
      <c r="J831">
        <v>13.1769691896677</v>
      </c>
      <c r="K831">
        <v>12.908172881280599</v>
      </c>
      <c r="L831">
        <v>13.5184180081867</v>
      </c>
      <c r="M831" t="s">
        <v>29</v>
      </c>
      <c r="N831">
        <v>12.739050536678899</v>
      </c>
      <c r="O831">
        <v>12.3974436069799</v>
      </c>
      <c r="P831">
        <v>-0.632939621215588</v>
      </c>
      <c r="Q831">
        <v>-1.3457646724983201</v>
      </c>
      <c r="R831">
        <v>7.9885430067141799E-2</v>
      </c>
      <c r="S831">
        <v>13.097236496810201</v>
      </c>
      <c r="T831">
        <v>-1.8742578649958299</v>
      </c>
      <c r="U831">
        <v>-5.3691111583891402</v>
      </c>
      <c r="V831">
        <v>7.8294097865235807E-2</v>
      </c>
      <c r="W831">
        <v>0.18458616512708001</v>
      </c>
      <c r="X831">
        <v>0</v>
      </c>
      <c r="Y831">
        <v>0</v>
      </c>
    </row>
    <row r="832" spans="1:25" x14ac:dyDescent="0.2">
      <c r="A832" t="s">
        <v>3065</v>
      </c>
      <c r="B832" t="s">
        <v>3066</v>
      </c>
      <c r="C832" t="s">
        <v>3067</v>
      </c>
      <c r="D832" t="s">
        <v>3068</v>
      </c>
      <c r="E832" t="s">
        <v>3066</v>
      </c>
      <c r="F832" t="s">
        <v>28</v>
      </c>
      <c r="G832" t="s">
        <v>3066</v>
      </c>
      <c r="H832" t="str">
        <f>"gln-6"</f>
        <v>gln-6</v>
      </c>
      <c r="I832" t="s">
        <v>3068</v>
      </c>
      <c r="J832" t="s">
        <v>29</v>
      </c>
      <c r="K832">
        <v>10.0328212278854</v>
      </c>
      <c r="L832">
        <v>11.591516976964201</v>
      </c>
      <c r="M832" t="s">
        <v>29</v>
      </c>
      <c r="N832" t="s">
        <v>29</v>
      </c>
      <c r="O832">
        <v>12.6361221101611</v>
      </c>
      <c r="P832">
        <v>1.82395300773626</v>
      </c>
      <c r="Q832">
        <v>0.34150894498520501</v>
      </c>
      <c r="R832">
        <v>3.3063970704873098</v>
      </c>
      <c r="S832">
        <v>12.125469212738301</v>
      </c>
      <c r="T832">
        <v>2.7112091607677802</v>
      </c>
      <c r="U832">
        <v>-3.7410693991188602</v>
      </c>
      <c r="V832">
        <v>2.0403265797390099E-2</v>
      </c>
      <c r="W832">
        <v>7.43243810938303E-2</v>
      </c>
      <c r="X832">
        <v>1</v>
      </c>
      <c r="Y832">
        <v>0</v>
      </c>
    </row>
    <row r="833" spans="1:25" x14ac:dyDescent="0.2">
      <c r="A833" t="s">
        <v>3069</v>
      </c>
      <c r="B833" t="s">
        <v>3070</v>
      </c>
      <c r="C833" t="s">
        <v>3071</v>
      </c>
      <c r="D833" t="s">
        <v>666</v>
      </c>
      <c r="E833" t="s">
        <v>3070</v>
      </c>
      <c r="F833" t="s">
        <v>28</v>
      </c>
      <c r="G833" t="s">
        <v>3070</v>
      </c>
      <c r="H833" t="str">
        <f>"pqn-27"</f>
        <v>pqn-27</v>
      </c>
      <c r="I833" t="s">
        <v>666</v>
      </c>
      <c r="J833">
        <v>15.9857345240192</v>
      </c>
      <c r="K833">
        <v>16.183347350070299</v>
      </c>
      <c r="L833">
        <v>16.3652939973786</v>
      </c>
      <c r="M833">
        <v>15.9342526928613</v>
      </c>
      <c r="N833">
        <v>16.279237181432801</v>
      </c>
      <c r="O833">
        <v>16.075701984120101</v>
      </c>
      <c r="P833">
        <v>-8.1728004351258904E-2</v>
      </c>
      <c r="Q833">
        <v>-0.42691932495795598</v>
      </c>
      <c r="R833">
        <v>0.26346331625543801</v>
      </c>
      <c r="S833">
        <v>16.402974246184002</v>
      </c>
      <c r="T833">
        <v>-0.49762654632093101</v>
      </c>
      <c r="U833">
        <v>-7.0272426885917501</v>
      </c>
      <c r="V833">
        <v>0.624806722941742</v>
      </c>
      <c r="W833">
        <v>0.74882551076539505</v>
      </c>
      <c r="X833">
        <v>0</v>
      </c>
      <c r="Y833">
        <v>0</v>
      </c>
    </row>
    <row r="834" spans="1:25" x14ac:dyDescent="0.2">
      <c r="A834" t="s">
        <v>3072</v>
      </c>
      <c r="B834" t="s">
        <v>3073</v>
      </c>
      <c r="C834" t="s">
        <v>3074</v>
      </c>
      <c r="D834" t="s">
        <v>3075</v>
      </c>
      <c r="E834" t="s">
        <v>3073</v>
      </c>
      <c r="F834" t="s">
        <v>28</v>
      </c>
      <c r="G834" t="s">
        <v>3073</v>
      </c>
      <c r="H834" t="str">
        <f>"nhr-62"</f>
        <v>nhr-62</v>
      </c>
      <c r="I834" t="s">
        <v>3075</v>
      </c>
      <c r="J834" t="s">
        <v>29</v>
      </c>
      <c r="K834">
        <v>9.7997878576294699</v>
      </c>
      <c r="L834">
        <v>9.5066673254369896</v>
      </c>
      <c r="M834" t="s">
        <v>29</v>
      </c>
      <c r="N834" t="s">
        <v>29</v>
      </c>
      <c r="O834" t="s">
        <v>29</v>
      </c>
      <c r="P834" t="s">
        <v>29</v>
      </c>
      <c r="Q834" t="s">
        <v>29</v>
      </c>
      <c r="R834" t="s">
        <v>29</v>
      </c>
      <c r="S834">
        <v>10.4076367598517</v>
      </c>
      <c r="T834" t="s">
        <v>29</v>
      </c>
      <c r="U834" t="s">
        <v>29</v>
      </c>
      <c r="V834" t="s">
        <v>29</v>
      </c>
      <c r="W834" t="s">
        <v>29</v>
      </c>
      <c r="X834" t="s">
        <v>29</v>
      </c>
      <c r="Y834" t="s">
        <v>29</v>
      </c>
    </row>
    <row r="835" spans="1:25" x14ac:dyDescent="0.2">
      <c r="A835" t="s">
        <v>3076</v>
      </c>
      <c r="B835" t="s">
        <v>3077</v>
      </c>
      <c r="C835" t="s">
        <v>3078</v>
      </c>
      <c r="D835" t="s">
        <v>3079</v>
      </c>
      <c r="E835" t="s">
        <v>3077</v>
      </c>
      <c r="F835" t="s">
        <v>28</v>
      </c>
      <c r="G835" t="s">
        <v>3077</v>
      </c>
      <c r="H835" t="str">
        <f>"pck-2"</f>
        <v>pck-2</v>
      </c>
      <c r="I835" t="s">
        <v>3079</v>
      </c>
      <c r="J835">
        <v>14.2351025874752</v>
      </c>
      <c r="K835">
        <v>14.0989692015164</v>
      </c>
      <c r="L835">
        <v>14.274739648371099</v>
      </c>
      <c r="M835">
        <v>17.699680458703099</v>
      </c>
      <c r="N835">
        <v>18.305666084782001</v>
      </c>
      <c r="O835">
        <v>18.486842061984099</v>
      </c>
      <c r="P835">
        <v>3.9611257227021599</v>
      </c>
      <c r="Q835">
        <v>3.46502831231293</v>
      </c>
      <c r="R835">
        <v>4.4572231330913903</v>
      </c>
      <c r="S835">
        <v>16.332070917660499</v>
      </c>
      <c r="T835">
        <v>16.7820178954581</v>
      </c>
      <c r="U835">
        <v>18.6166476782711</v>
      </c>
      <c r="V835" s="2">
        <v>2.1494860382955701E-12</v>
      </c>
      <c r="W835" s="2">
        <v>1.58363383871426E-9</v>
      </c>
      <c r="X835">
        <v>1</v>
      </c>
      <c r="Y835">
        <v>1</v>
      </c>
    </row>
    <row r="836" spans="1:25" x14ac:dyDescent="0.2">
      <c r="A836" t="s">
        <v>3080</v>
      </c>
      <c r="B836" t="s">
        <v>3081</v>
      </c>
      <c r="C836" t="s">
        <v>3082</v>
      </c>
      <c r="D836" t="s">
        <v>252</v>
      </c>
      <c r="E836" t="s">
        <v>3081</v>
      </c>
      <c r="F836" t="s">
        <v>28</v>
      </c>
      <c r="G836" t="s">
        <v>3081</v>
      </c>
      <c r="H836" t="str">
        <f>"gla-3"</f>
        <v>gla-3</v>
      </c>
      <c r="I836" t="s">
        <v>252</v>
      </c>
      <c r="J836">
        <v>11.9980357578339</v>
      </c>
      <c r="K836">
        <v>11.9073863225002</v>
      </c>
      <c r="L836">
        <v>12.810468936672599</v>
      </c>
      <c r="M836" t="s">
        <v>29</v>
      </c>
      <c r="N836" t="s">
        <v>29</v>
      </c>
      <c r="O836">
        <v>12.5540860091175</v>
      </c>
      <c r="P836">
        <v>0.31545567011529502</v>
      </c>
      <c r="Q836">
        <v>-0.78686532829286204</v>
      </c>
      <c r="R836">
        <v>1.4177766685234501</v>
      </c>
      <c r="S836">
        <v>12.948670631105299</v>
      </c>
      <c r="T836">
        <v>0.61875326261002395</v>
      </c>
      <c r="U836">
        <v>-6.6118751506370703</v>
      </c>
      <c r="V836">
        <v>0.54685433607868394</v>
      </c>
      <c r="W836">
        <v>0.69266668040349899</v>
      </c>
      <c r="X836">
        <v>0</v>
      </c>
      <c r="Y836">
        <v>0</v>
      </c>
    </row>
    <row r="837" spans="1:25" x14ac:dyDescent="0.2">
      <c r="A837" t="s">
        <v>3083</v>
      </c>
      <c r="B837" t="s">
        <v>3084</v>
      </c>
      <c r="C837" t="s">
        <v>3085</v>
      </c>
      <c r="D837" t="s">
        <v>3086</v>
      </c>
      <c r="E837" t="s">
        <v>3084</v>
      </c>
      <c r="F837" t="s">
        <v>28</v>
      </c>
      <c r="G837" t="s">
        <v>3084</v>
      </c>
      <c r="H837" t="str">
        <f>"prmt-9"</f>
        <v>prmt-9</v>
      </c>
      <c r="I837" t="s">
        <v>3086</v>
      </c>
      <c r="J837">
        <v>14.0649114316096</v>
      </c>
      <c r="K837">
        <v>14.2715188954379</v>
      </c>
      <c r="L837">
        <v>14.049618483853999</v>
      </c>
      <c r="M837">
        <v>13.2102879304308</v>
      </c>
      <c r="N837">
        <v>13.718547340755</v>
      </c>
      <c r="O837">
        <v>13.95341147755</v>
      </c>
      <c r="P837">
        <v>-0.50126735405526501</v>
      </c>
      <c r="Q837">
        <v>-0.87990132004638699</v>
      </c>
      <c r="R837">
        <v>-0.12263338806414401</v>
      </c>
      <c r="S837">
        <v>13.723620548021801</v>
      </c>
      <c r="T837">
        <v>-2.7825460725607898</v>
      </c>
      <c r="U837">
        <v>-3.78391144865985</v>
      </c>
      <c r="V837">
        <v>1.23347950986788E-2</v>
      </c>
      <c r="W837">
        <v>5.2607316230724198E-2</v>
      </c>
      <c r="X837">
        <v>0</v>
      </c>
      <c r="Y837">
        <v>0</v>
      </c>
    </row>
    <row r="838" spans="1:25" x14ac:dyDescent="0.2">
      <c r="A838" t="s">
        <v>3087</v>
      </c>
      <c r="B838" t="s">
        <v>3088</v>
      </c>
      <c r="C838" t="s">
        <v>3089</v>
      </c>
      <c r="D838" t="s">
        <v>3090</v>
      </c>
      <c r="E838" t="s">
        <v>3088</v>
      </c>
      <c r="F838" t="s">
        <v>28</v>
      </c>
      <c r="G838" t="s">
        <v>3088</v>
      </c>
      <c r="H838" t="str">
        <f>"T23D8.3"</f>
        <v>T23D8.3</v>
      </c>
      <c r="I838" t="s">
        <v>3090</v>
      </c>
      <c r="J838">
        <v>12.7101433454475</v>
      </c>
      <c r="K838">
        <v>12.721232247115401</v>
      </c>
      <c r="L838">
        <v>13.5790630988785</v>
      </c>
      <c r="M838" t="s">
        <v>29</v>
      </c>
      <c r="N838">
        <v>13.831086575882599</v>
      </c>
      <c r="O838">
        <v>12.7377879292681</v>
      </c>
      <c r="P838">
        <v>0.28095768876153898</v>
      </c>
      <c r="Q838">
        <v>-0.51686488591341695</v>
      </c>
      <c r="R838">
        <v>1.07878026343649</v>
      </c>
      <c r="S838">
        <v>14.479879435420701</v>
      </c>
      <c r="T838">
        <v>0.74333505479362005</v>
      </c>
      <c r="U838">
        <v>-6.7597097012951801</v>
      </c>
      <c r="V838">
        <v>0.46749058461716297</v>
      </c>
      <c r="W838">
        <v>0.63019499744380203</v>
      </c>
      <c r="X838">
        <v>0</v>
      </c>
      <c r="Y838">
        <v>0</v>
      </c>
    </row>
    <row r="839" spans="1:25" x14ac:dyDescent="0.2">
      <c r="A839" t="s">
        <v>3091</v>
      </c>
      <c r="B839" t="s">
        <v>3092</v>
      </c>
      <c r="C839" t="s">
        <v>3093</v>
      </c>
      <c r="D839" t="s">
        <v>3094</v>
      </c>
      <c r="E839" t="s">
        <v>3092</v>
      </c>
      <c r="F839" t="s">
        <v>28</v>
      </c>
      <c r="G839" t="s">
        <v>3092</v>
      </c>
      <c r="H839" t="str">
        <f>"eif-3.C"</f>
        <v>eif-3.C</v>
      </c>
      <c r="I839" t="s">
        <v>3094</v>
      </c>
      <c r="J839">
        <v>17.925303967904402</v>
      </c>
      <c r="K839">
        <v>17.921334259427699</v>
      </c>
      <c r="L839">
        <v>17.958916750744098</v>
      </c>
      <c r="M839">
        <v>17.262246631327901</v>
      </c>
      <c r="N839">
        <v>17.630379153339799</v>
      </c>
      <c r="O839">
        <v>17.6848906441341</v>
      </c>
      <c r="P839">
        <v>-0.40934618309146498</v>
      </c>
      <c r="Q839">
        <v>-0.76588899648151698</v>
      </c>
      <c r="R839">
        <v>-5.2803369701413E-2</v>
      </c>
      <c r="S839">
        <v>17.922905118283801</v>
      </c>
      <c r="T839">
        <v>-2.4130791728135099</v>
      </c>
      <c r="U839">
        <v>-4.5131483051688903</v>
      </c>
      <c r="V839">
        <v>2.6768505202315201E-2</v>
      </c>
      <c r="W839">
        <v>8.9078224763014302E-2</v>
      </c>
      <c r="X839">
        <v>0</v>
      </c>
      <c r="Y839">
        <v>0</v>
      </c>
    </row>
    <row r="840" spans="1:25" x14ac:dyDescent="0.2">
      <c r="A840" t="s">
        <v>3095</v>
      </c>
      <c r="B840" t="s">
        <v>3096</v>
      </c>
      <c r="C840" t="s">
        <v>3097</v>
      </c>
      <c r="D840" t="s">
        <v>3098</v>
      </c>
      <c r="E840" t="s">
        <v>3096</v>
      </c>
      <c r="F840" t="s">
        <v>28</v>
      </c>
      <c r="G840" t="s">
        <v>3096</v>
      </c>
      <c r="H840" t="str">
        <f>"algn-10"</f>
        <v>algn-10</v>
      </c>
      <c r="I840" t="s">
        <v>3098</v>
      </c>
      <c r="J840">
        <v>14.604209708349901</v>
      </c>
      <c r="K840">
        <v>14.1098483046844</v>
      </c>
      <c r="L840">
        <v>14.4731050785233</v>
      </c>
      <c r="M840" t="s">
        <v>29</v>
      </c>
      <c r="N840">
        <v>15.2150032540242</v>
      </c>
      <c r="O840" t="s">
        <v>29</v>
      </c>
      <c r="P840">
        <v>0.81928222350498303</v>
      </c>
      <c r="Q840">
        <v>0.27565109876515298</v>
      </c>
      <c r="R840">
        <v>1.3629133482448099</v>
      </c>
      <c r="S840">
        <v>14.7994062136826</v>
      </c>
      <c r="T840">
        <v>3.2141846597713299</v>
      </c>
      <c r="U840">
        <v>-2.6906364472820701</v>
      </c>
      <c r="V840">
        <v>5.83666021509637E-3</v>
      </c>
      <c r="W840">
        <v>3.1273886643434598E-2</v>
      </c>
      <c r="X840">
        <v>0</v>
      </c>
      <c r="Y840">
        <v>0</v>
      </c>
    </row>
    <row r="841" spans="1:25" x14ac:dyDescent="0.2">
      <c r="A841" t="s">
        <v>3099</v>
      </c>
      <c r="B841" t="s">
        <v>3100</v>
      </c>
      <c r="C841" t="s">
        <v>3101</v>
      </c>
      <c r="D841" t="s">
        <v>3102</v>
      </c>
      <c r="E841" t="s">
        <v>3100</v>
      </c>
      <c r="F841" t="s">
        <v>28</v>
      </c>
      <c r="G841" t="s">
        <v>3100</v>
      </c>
      <c r="H841" t="str">
        <f>"pri-2"</f>
        <v>pri-2</v>
      </c>
      <c r="I841" t="s">
        <v>3102</v>
      </c>
      <c r="J841">
        <v>12.1947802752074</v>
      </c>
      <c r="K841">
        <v>11.979834603017199</v>
      </c>
      <c r="L841">
        <v>12.664624593348201</v>
      </c>
      <c r="M841" t="s">
        <v>29</v>
      </c>
      <c r="N841" t="s">
        <v>29</v>
      </c>
      <c r="O841">
        <v>12.557479581236</v>
      </c>
      <c r="P841">
        <v>0.27773309071171698</v>
      </c>
      <c r="Q841">
        <v>-0.62391977895164896</v>
      </c>
      <c r="R841">
        <v>1.17938596037508</v>
      </c>
      <c r="S841">
        <v>12.334816168871701</v>
      </c>
      <c r="T841">
        <v>0.66111977960203305</v>
      </c>
      <c r="U841">
        <v>-6.5848183893244601</v>
      </c>
      <c r="V841">
        <v>0.51934780642052902</v>
      </c>
      <c r="W841">
        <v>0.67069149234062098</v>
      </c>
      <c r="X841">
        <v>0</v>
      </c>
      <c r="Y841">
        <v>0</v>
      </c>
    </row>
    <row r="842" spans="1:25" x14ac:dyDescent="0.2">
      <c r="A842" t="s">
        <v>3103</v>
      </c>
      <c r="B842" t="s">
        <v>3104</v>
      </c>
      <c r="C842" t="s">
        <v>3105</v>
      </c>
      <c r="D842" t="s">
        <v>3106</v>
      </c>
      <c r="E842" t="s">
        <v>3104</v>
      </c>
      <c r="F842" t="s">
        <v>28</v>
      </c>
      <c r="G842" t="s">
        <v>3104</v>
      </c>
      <c r="H842" t="str">
        <f>"nstp-5"</f>
        <v>nstp-5</v>
      </c>
      <c r="I842" t="s">
        <v>3106</v>
      </c>
      <c r="J842">
        <v>12.994245438876399</v>
      </c>
      <c r="K842">
        <v>13.0470098920255</v>
      </c>
      <c r="L842">
        <v>12.7790436339107</v>
      </c>
      <c r="M842" t="s">
        <v>29</v>
      </c>
      <c r="N842">
        <v>12.6262302508382</v>
      </c>
      <c r="O842">
        <v>12.307206115420099</v>
      </c>
      <c r="P842">
        <v>-0.473381471808413</v>
      </c>
      <c r="Q842">
        <v>-1.22931637856653</v>
      </c>
      <c r="R842">
        <v>0.28255343494970397</v>
      </c>
      <c r="S842">
        <v>12.8920015404347</v>
      </c>
      <c r="T842">
        <v>-1.32183384790731</v>
      </c>
      <c r="U842">
        <v>-6.17181213497883</v>
      </c>
      <c r="V842">
        <v>0.20384288416869401</v>
      </c>
      <c r="W842">
        <v>0.36383408317349097</v>
      </c>
      <c r="X842">
        <v>0</v>
      </c>
      <c r="Y842">
        <v>0</v>
      </c>
    </row>
    <row r="843" spans="1:25" x14ac:dyDescent="0.2">
      <c r="A843" t="s">
        <v>3107</v>
      </c>
      <c r="B843" t="s">
        <v>3108</v>
      </c>
      <c r="C843" t="s">
        <v>3109</v>
      </c>
      <c r="D843" t="s">
        <v>3110</v>
      </c>
      <c r="E843" t="s">
        <v>3108</v>
      </c>
      <c r="F843" t="s">
        <v>28</v>
      </c>
      <c r="G843" t="s">
        <v>3108</v>
      </c>
      <c r="H843" t="str">
        <f>"mua-6"</f>
        <v>mua-6</v>
      </c>
      <c r="I843" t="s">
        <v>3110</v>
      </c>
      <c r="J843">
        <v>11.471459656273099</v>
      </c>
      <c r="K843">
        <v>12.201083918468999</v>
      </c>
      <c r="L843">
        <v>11.753658568921299</v>
      </c>
      <c r="M843">
        <v>13.7962485717312</v>
      </c>
      <c r="N843">
        <v>14.287592085575101</v>
      </c>
      <c r="O843">
        <v>14.461098483216199</v>
      </c>
      <c r="P843">
        <v>2.3729123322863601</v>
      </c>
      <c r="Q843">
        <v>1.82123357851942</v>
      </c>
      <c r="R843">
        <v>2.9245910860533</v>
      </c>
      <c r="S843">
        <v>13.1055737966638</v>
      </c>
      <c r="T843">
        <v>9.04040626993263</v>
      </c>
      <c r="U843">
        <v>8.8101562917836596</v>
      </c>
      <c r="V843" s="2">
        <v>4.32793293878836E-8</v>
      </c>
      <c r="W843" s="2">
        <v>3.6441195344597999E-6</v>
      </c>
      <c r="X843">
        <v>1</v>
      </c>
      <c r="Y843">
        <v>1</v>
      </c>
    </row>
    <row r="844" spans="1:25" x14ac:dyDescent="0.2">
      <c r="A844" t="s">
        <v>3111</v>
      </c>
      <c r="B844" t="s">
        <v>3112</v>
      </c>
      <c r="C844" t="s">
        <v>3113</v>
      </c>
      <c r="D844" t="s">
        <v>3114</v>
      </c>
      <c r="E844" t="s">
        <v>3112</v>
      </c>
      <c r="F844" t="s">
        <v>28</v>
      </c>
      <c r="G844" t="s">
        <v>3112</v>
      </c>
      <c r="H844" t="str">
        <f>"ZK1073.1"</f>
        <v>ZK1073.1</v>
      </c>
      <c r="I844" t="s">
        <v>3114</v>
      </c>
      <c r="J844">
        <v>14.8759340011226</v>
      </c>
      <c r="K844">
        <v>15.0768679633739</v>
      </c>
      <c r="L844">
        <v>14.375428848405299</v>
      </c>
      <c r="M844">
        <v>13.9343091360161</v>
      </c>
      <c r="N844">
        <v>14.7202155148067</v>
      </c>
      <c r="O844">
        <v>14.8753450532915</v>
      </c>
      <c r="P844">
        <v>-0.266120369595784</v>
      </c>
      <c r="Q844">
        <v>-0.76507260792416498</v>
      </c>
      <c r="R844">
        <v>0.23283186873259601</v>
      </c>
      <c r="S844">
        <v>14.363727359512099</v>
      </c>
      <c r="T844">
        <v>-1.1210155989446799</v>
      </c>
      <c r="U844">
        <v>-6.5190654404700501</v>
      </c>
      <c r="V844">
        <v>0.27710005413743399</v>
      </c>
      <c r="W844">
        <v>0.44531618647706001</v>
      </c>
      <c r="X844">
        <v>0</v>
      </c>
      <c r="Y844">
        <v>0</v>
      </c>
    </row>
    <row r="845" spans="1:25" x14ac:dyDescent="0.2">
      <c r="A845" t="s">
        <v>3115</v>
      </c>
      <c r="B845" t="s">
        <v>3116</v>
      </c>
      <c r="C845" t="s">
        <v>3117</v>
      </c>
      <c r="D845" t="s">
        <v>3118</v>
      </c>
      <c r="E845" t="s">
        <v>3116</v>
      </c>
      <c r="F845" t="s">
        <v>28</v>
      </c>
      <c r="G845" t="s">
        <v>3116</v>
      </c>
      <c r="H845" t="str">
        <f>"cyp-35a2"</f>
        <v>cyp-35a2</v>
      </c>
      <c r="I845" t="s">
        <v>3118</v>
      </c>
      <c r="J845" t="s">
        <v>29</v>
      </c>
      <c r="K845" t="s">
        <v>29</v>
      </c>
      <c r="L845" t="s">
        <v>29</v>
      </c>
      <c r="M845" t="s">
        <v>29</v>
      </c>
      <c r="N845" t="s">
        <v>29</v>
      </c>
      <c r="O845" t="s">
        <v>29</v>
      </c>
      <c r="P845" t="s">
        <v>29</v>
      </c>
      <c r="Q845" t="s">
        <v>29</v>
      </c>
      <c r="R845" t="s">
        <v>29</v>
      </c>
      <c r="S845">
        <v>12.5479852196796</v>
      </c>
      <c r="T845" t="s">
        <v>29</v>
      </c>
      <c r="U845" t="s">
        <v>29</v>
      </c>
      <c r="V845" t="s">
        <v>29</v>
      </c>
      <c r="W845" t="s">
        <v>29</v>
      </c>
      <c r="X845" t="s">
        <v>29</v>
      </c>
      <c r="Y845" t="s">
        <v>29</v>
      </c>
    </row>
    <row r="846" spans="1:25" x14ac:dyDescent="0.2">
      <c r="A846" t="s">
        <v>3119</v>
      </c>
      <c r="B846" t="s">
        <v>3120</v>
      </c>
      <c r="C846" t="s">
        <v>3121</v>
      </c>
      <c r="D846" t="s">
        <v>3122</v>
      </c>
      <c r="E846" t="s">
        <v>3120</v>
      </c>
      <c r="F846" t="s">
        <v>28</v>
      </c>
      <c r="G846" t="s">
        <v>3120</v>
      </c>
      <c r="H846" t="str">
        <f>"rpl-19"</f>
        <v>rpl-19</v>
      </c>
      <c r="I846" t="s">
        <v>3122</v>
      </c>
      <c r="J846">
        <v>18.029889227300199</v>
      </c>
      <c r="K846">
        <v>18.7106922865195</v>
      </c>
      <c r="L846">
        <v>18.9289104984307</v>
      </c>
      <c r="M846">
        <v>19.103094802735701</v>
      </c>
      <c r="N846">
        <v>19.262869240780802</v>
      </c>
      <c r="O846">
        <v>19.071788441976299</v>
      </c>
      <c r="P846">
        <v>0.58942015774748702</v>
      </c>
      <c r="Q846">
        <v>7.9526351989706298E-2</v>
      </c>
      <c r="R846">
        <v>1.09931396350527</v>
      </c>
      <c r="S846">
        <v>19.1146246420126</v>
      </c>
      <c r="T846">
        <v>2.42961668480726</v>
      </c>
      <c r="U846">
        <v>-4.4815531305173897</v>
      </c>
      <c r="V846">
        <v>2.58739772199762E-2</v>
      </c>
      <c r="W846">
        <v>8.7443361086318505E-2</v>
      </c>
      <c r="X846">
        <v>0</v>
      </c>
      <c r="Y846">
        <v>0</v>
      </c>
    </row>
    <row r="847" spans="1:25" x14ac:dyDescent="0.2">
      <c r="A847" t="s">
        <v>3123</v>
      </c>
      <c r="B847" t="s">
        <v>3124</v>
      </c>
      <c r="C847" t="s">
        <v>3125</v>
      </c>
      <c r="D847" t="s">
        <v>3126</v>
      </c>
      <c r="E847" t="s">
        <v>3124</v>
      </c>
      <c r="F847" t="s">
        <v>28</v>
      </c>
      <c r="G847" t="s">
        <v>3124</v>
      </c>
      <c r="H847" t="str">
        <f>"mdh-2"</f>
        <v>mdh-2</v>
      </c>
      <c r="I847" t="s">
        <v>3126</v>
      </c>
      <c r="J847">
        <v>15.4861465653885</v>
      </c>
      <c r="K847">
        <v>15.391268128369299</v>
      </c>
      <c r="L847">
        <v>15.5254668818265</v>
      </c>
      <c r="M847">
        <v>15.1193776886438</v>
      </c>
      <c r="N847">
        <v>15.673240047237</v>
      </c>
      <c r="O847">
        <v>15.252890000380701</v>
      </c>
      <c r="P847">
        <v>-0.11912461310757499</v>
      </c>
      <c r="Q847">
        <v>-0.699030963946766</v>
      </c>
      <c r="R847">
        <v>0.46078173773161601</v>
      </c>
      <c r="S847">
        <v>14.9923133291285</v>
      </c>
      <c r="T847">
        <v>-0.43175378283634103</v>
      </c>
      <c r="U847">
        <v>-7.0589837398613202</v>
      </c>
      <c r="V847">
        <v>0.67107744596326502</v>
      </c>
      <c r="W847">
        <v>0.78298683178223505</v>
      </c>
      <c r="X847">
        <v>0</v>
      </c>
      <c r="Y847">
        <v>0</v>
      </c>
    </row>
    <row r="848" spans="1:25" x14ac:dyDescent="0.2">
      <c r="A848" t="s">
        <v>3127</v>
      </c>
      <c r="B848" t="s">
        <v>3128</v>
      </c>
      <c r="C848" t="s">
        <v>3129</v>
      </c>
      <c r="D848" t="s">
        <v>3118</v>
      </c>
      <c r="E848" t="s">
        <v>3128</v>
      </c>
      <c r="F848" t="s">
        <v>28</v>
      </c>
      <c r="G848" t="s">
        <v>3128</v>
      </c>
      <c r="H848" t="str">
        <f>"cyp-33c8"</f>
        <v>cyp-33c8</v>
      </c>
      <c r="I848" t="s">
        <v>3118</v>
      </c>
      <c r="J848" t="s">
        <v>29</v>
      </c>
      <c r="K848">
        <v>10.5064849745398</v>
      </c>
      <c r="L848">
        <v>10.1655209569631</v>
      </c>
      <c r="M848" t="s">
        <v>29</v>
      </c>
      <c r="N848" t="s">
        <v>29</v>
      </c>
      <c r="O848">
        <v>10.9402931880461</v>
      </c>
      <c r="P848">
        <v>0.60429022229461904</v>
      </c>
      <c r="Q848">
        <v>-0.73667940871420901</v>
      </c>
      <c r="R848">
        <v>1.94525985330345</v>
      </c>
      <c r="S848">
        <v>11.2351315719617</v>
      </c>
      <c r="T848">
        <v>0.96720496564387504</v>
      </c>
      <c r="U848">
        <v>-6.2759746755062897</v>
      </c>
      <c r="V848">
        <v>0.34997573609566701</v>
      </c>
      <c r="W848">
        <v>0.51984803138807001</v>
      </c>
      <c r="X848">
        <v>0</v>
      </c>
      <c r="Y848">
        <v>0</v>
      </c>
    </row>
    <row r="849" spans="1:25" x14ac:dyDescent="0.2">
      <c r="A849" t="s">
        <v>3130</v>
      </c>
      <c r="B849" t="s">
        <v>3131</v>
      </c>
      <c r="C849" t="s">
        <v>3132</v>
      </c>
      <c r="D849" t="s">
        <v>3133</v>
      </c>
      <c r="E849" t="s">
        <v>3131</v>
      </c>
      <c r="F849" t="s">
        <v>28</v>
      </c>
      <c r="G849" t="s">
        <v>3131</v>
      </c>
      <c r="H849" t="str">
        <f>"sucl-2"</f>
        <v>sucl-2</v>
      </c>
      <c r="I849" t="s">
        <v>3133</v>
      </c>
      <c r="J849">
        <v>13.533809067640201</v>
      </c>
      <c r="K849">
        <v>13.862155442328</v>
      </c>
      <c r="L849">
        <v>13.923511130826601</v>
      </c>
      <c r="M849" t="s">
        <v>29</v>
      </c>
      <c r="N849">
        <v>12.628202911770099</v>
      </c>
      <c r="O849">
        <v>13.511163571767201</v>
      </c>
      <c r="P849">
        <v>-0.70347530516294299</v>
      </c>
      <c r="Q849">
        <v>-1.2491226563143101</v>
      </c>
      <c r="R849">
        <v>-0.15782795401158101</v>
      </c>
      <c r="S849">
        <v>13.952032656461901</v>
      </c>
      <c r="T849">
        <v>-2.7213651471908298</v>
      </c>
      <c r="U849">
        <v>-3.82226050055844</v>
      </c>
      <c r="V849">
        <v>1.4570137040638099E-2</v>
      </c>
      <c r="W849">
        <v>5.9306897594973103E-2</v>
      </c>
      <c r="X849">
        <v>0</v>
      </c>
      <c r="Y849">
        <v>0</v>
      </c>
    </row>
    <row r="850" spans="1:25" x14ac:dyDescent="0.2">
      <c r="A850" t="s">
        <v>3134</v>
      </c>
      <c r="B850" t="s">
        <v>3135</v>
      </c>
      <c r="C850" t="s">
        <v>3136</v>
      </c>
      <c r="D850" t="s">
        <v>3137</v>
      </c>
      <c r="E850" t="s">
        <v>3135</v>
      </c>
      <c r="F850" t="s">
        <v>28</v>
      </c>
      <c r="G850" t="s">
        <v>3135</v>
      </c>
      <c r="H850" t="str">
        <f>"lys-7"</f>
        <v>lys-7</v>
      </c>
      <c r="I850" t="s">
        <v>3137</v>
      </c>
      <c r="J850" t="s">
        <v>29</v>
      </c>
      <c r="K850" t="s">
        <v>29</v>
      </c>
      <c r="L850">
        <v>12.0151273027165</v>
      </c>
      <c r="M850" t="s">
        <v>29</v>
      </c>
      <c r="N850" t="s">
        <v>29</v>
      </c>
      <c r="O850">
        <v>11.333209841208699</v>
      </c>
      <c r="P850">
        <v>-0.68191746150780697</v>
      </c>
      <c r="Q850">
        <v>-2.0524938507194701</v>
      </c>
      <c r="R850">
        <v>0.68865892770385995</v>
      </c>
      <c r="S850">
        <v>12.106319905346499</v>
      </c>
      <c r="T850">
        <v>-1.0757610351781199</v>
      </c>
      <c r="U850">
        <v>-6.02684031684187</v>
      </c>
      <c r="V850">
        <v>0.30175021233683302</v>
      </c>
      <c r="W850">
        <v>0.47050681256965499</v>
      </c>
      <c r="X850">
        <v>0</v>
      </c>
      <c r="Y850">
        <v>0</v>
      </c>
    </row>
    <row r="851" spans="1:25" x14ac:dyDescent="0.2">
      <c r="A851" t="s">
        <v>3138</v>
      </c>
      <c r="B851" t="s">
        <v>3139</v>
      </c>
      <c r="C851" t="s">
        <v>3140</v>
      </c>
      <c r="D851" t="s">
        <v>3141</v>
      </c>
      <c r="E851" t="s">
        <v>3139</v>
      </c>
      <c r="F851" t="s">
        <v>28</v>
      </c>
      <c r="G851" t="s">
        <v>3139</v>
      </c>
      <c r="H851" t="str">
        <f>"F17A9.2"</f>
        <v>F17A9.2</v>
      </c>
      <c r="I851" t="s">
        <v>3141</v>
      </c>
      <c r="J851">
        <v>11.115885565640699</v>
      </c>
      <c r="K851" t="s">
        <v>29</v>
      </c>
      <c r="L851" t="s">
        <v>29</v>
      </c>
      <c r="M851" t="s">
        <v>29</v>
      </c>
      <c r="N851" t="s">
        <v>29</v>
      </c>
      <c r="O851" t="s">
        <v>29</v>
      </c>
      <c r="P851" t="s">
        <v>29</v>
      </c>
      <c r="Q851" t="s">
        <v>29</v>
      </c>
      <c r="R851" t="s">
        <v>29</v>
      </c>
      <c r="S851">
        <v>11.9543237514729</v>
      </c>
      <c r="T851" t="s">
        <v>29</v>
      </c>
      <c r="U851" t="s">
        <v>29</v>
      </c>
      <c r="V851" t="s">
        <v>29</v>
      </c>
      <c r="W851" t="s">
        <v>29</v>
      </c>
      <c r="X851" t="s">
        <v>29</v>
      </c>
      <c r="Y851" t="s">
        <v>29</v>
      </c>
    </row>
    <row r="852" spans="1:25" x14ac:dyDescent="0.2">
      <c r="A852" t="s">
        <v>3142</v>
      </c>
      <c r="B852" t="s">
        <v>3143</v>
      </c>
      <c r="C852" t="s">
        <v>14338</v>
      </c>
      <c r="D852" t="s">
        <v>3144</v>
      </c>
      <c r="E852" t="s">
        <v>3143</v>
      </c>
      <c r="F852" t="s">
        <v>28</v>
      </c>
      <c r="G852" t="s">
        <v>3143</v>
      </c>
      <c r="H852" t="str">
        <f>"F44E7.4"</f>
        <v>F44E7.4</v>
      </c>
      <c r="I852" t="s">
        <v>3144</v>
      </c>
      <c r="J852">
        <v>11.981019843792399</v>
      </c>
      <c r="K852">
        <v>11.401981465212501</v>
      </c>
      <c r="L852">
        <v>11.9302351206988</v>
      </c>
      <c r="M852" t="s">
        <v>29</v>
      </c>
      <c r="N852" t="s">
        <v>29</v>
      </c>
      <c r="O852">
        <v>12.202392164024401</v>
      </c>
      <c r="P852">
        <v>0.431313354123189</v>
      </c>
      <c r="Q852">
        <v>-0.32718901146770302</v>
      </c>
      <c r="R852">
        <v>1.18981571971408</v>
      </c>
      <c r="S852">
        <v>12.0430251154663</v>
      </c>
      <c r="T852">
        <v>1.2127675583697599</v>
      </c>
      <c r="U852">
        <v>-6.0735929609675496</v>
      </c>
      <c r="V852">
        <v>0.24410320037484901</v>
      </c>
      <c r="W852">
        <v>0.410600531680753</v>
      </c>
      <c r="X852">
        <v>0</v>
      </c>
      <c r="Y852">
        <v>0</v>
      </c>
    </row>
    <row r="853" spans="1:25" x14ac:dyDescent="0.2">
      <c r="A853" t="s">
        <v>3145</v>
      </c>
      <c r="B853" t="s">
        <v>3146</v>
      </c>
      <c r="C853" t="s">
        <v>14339</v>
      </c>
      <c r="D853" t="s">
        <v>3147</v>
      </c>
      <c r="E853" t="s">
        <v>3146</v>
      </c>
      <c r="F853" t="s">
        <v>28</v>
      </c>
      <c r="G853" t="s">
        <v>3146</v>
      </c>
      <c r="H853" t="str">
        <f>"F44E7.9"</f>
        <v>F44E7.9</v>
      </c>
      <c r="I853" t="s">
        <v>3147</v>
      </c>
      <c r="J853">
        <v>15.1664070847243</v>
      </c>
      <c r="K853">
        <v>15.0082436361402</v>
      </c>
      <c r="L853">
        <v>15.072026602755599</v>
      </c>
      <c r="M853" t="s">
        <v>29</v>
      </c>
      <c r="N853">
        <v>14.5930409354314</v>
      </c>
      <c r="O853">
        <v>14.539657978867501</v>
      </c>
      <c r="P853">
        <v>-0.515876317390632</v>
      </c>
      <c r="Q853">
        <v>-1.03426859619443</v>
      </c>
      <c r="R853">
        <v>2.5159614131637898E-3</v>
      </c>
      <c r="S853">
        <v>14.7132219525976</v>
      </c>
      <c r="T853">
        <v>-2.1005696184479499</v>
      </c>
      <c r="U853">
        <v>-4.9867009599678402</v>
      </c>
      <c r="V853">
        <v>5.1000994973271797E-2</v>
      </c>
      <c r="W853">
        <v>0.137889846042415</v>
      </c>
      <c r="X853">
        <v>0</v>
      </c>
      <c r="Y853">
        <v>0</v>
      </c>
    </row>
    <row r="854" spans="1:25" x14ac:dyDescent="0.2">
      <c r="A854" t="s">
        <v>3148</v>
      </c>
      <c r="B854" t="s">
        <v>3149</v>
      </c>
      <c r="C854" t="s">
        <v>3150</v>
      </c>
      <c r="D854" t="s">
        <v>3151</v>
      </c>
      <c r="E854" t="s">
        <v>3149</v>
      </c>
      <c r="F854" t="s">
        <v>28</v>
      </c>
      <c r="G854" t="s">
        <v>3149</v>
      </c>
      <c r="H854" t="str">
        <f>"sti-1"</f>
        <v>sti-1</v>
      </c>
      <c r="I854" t="s">
        <v>3151</v>
      </c>
      <c r="J854">
        <v>12.906328630416199</v>
      </c>
      <c r="K854">
        <v>13.1691466537061</v>
      </c>
      <c r="L854">
        <v>13.4082213568679</v>
      </c>
      <c r="M854">
        <v>14.941687034767099</v>
      </c>
      <c r="N854">
        <v>14.4970523887835</v>
      </c>
      <c r="O854">
        <v>14.642279781331601</v>
      </c>
      <c r="P854">
        <v>1.53244085463068</v>
      </c>
      <c r="Q854">
        <v>1.04199671219673</v>
      </c>
      <c r="R854">
        <v>2.0228849970646299</v>
      </c>
      <c r="S854">
        <v>13.3837073068854</v>
      </c>
      <c r="T854">
        <v>6.5672973868650804</v>
      </c>
      <c r="U854">
        <v>4.2986713774219503</v>
      </c>
      <c r="V854" s="2">
        <v>3.7087119429400402E-6</v>
      </c>
      <c r="W854">
        <v>1.2708807088191099E-4</v>
      </c>
      <c r="X854">
        <v>1</v>
      </c>
      <c r="Y854">
        <v>1</v>
      </c>
    </row>
    <row r="855" spans="1:25" x14ac:dyDescent="0.2">
      <c r="A855" t="s">
        <v>3152</v>
      </c>
      <c r="B855" t="s">
        <v>3153</v>
      </c>
      <c r="C855" t="s">
        <v>14340</v>
      </c>
      <c r="D855" t="s">
        <v>3154</v>
      </c>
      <c r="E855" t="s">
        <v>3153</v>
      </c>
      <c r="F855" t="s">
        <v>28</v>
      </c>
      <c r="G855" t="s">
        <v>3153</v>
      </c>
      <c r="H855" t="str">
        <f>"F39G3.3"</f>
        <v>F39G3.3</v>
      </c>
      <c r="I855" t="s">
        <v>3154</v>
      </c>
      <c r="J855">
        <v>12.976793775875599</v>
      </c>
      <c r="K855">
        <v>13.030910672723801</v>
      </c>
      <c r="L855">
        <v>13.3027740983347</v>
      </c>
      <c r="M855" t="s">
        <v>29</v>
      </c>
      <c r="N855">
        <v>12.196362220755001</v>
      </c>
      <c r="O855" t="s">
        <v>29</v>
      </c>
      <c r="P855">
        <v>-0.90713062822304202</v>
      </c>
      <c r="Q855">
        <v>-1.78496651125959</v>
      </c>
      <c r="R855">
        <v>-2.9294745186491899E-2</v>
      </c>
      <c r="S855">
        <v>13.1140106662153</v>
      </c>
      <c r="T855">
        <v>-2.1918257815776001</v>
      </c>
      <c r="U855">
        <v>-4.6120456193616803</v>
      </c>
      <c r="V855">
        <v>4.3634837187418798E-2</v>
      </c>
      <c r="W855">
        <v>0.123646024222426</v>
      </c>
      <c r="X855">
        <v>0</v>
      </c>
      <c r="Y855">
        <v>0</v>
      </c>
    </row>
    <row r="856" spans="1:25" x14ac:dyDescent="0.2">
      <c r="A856" t="s">
        <v>3155</v>
      </c>
      <c r="B856" t="s">
        <v>3156</v>
      </c>
      <c r="C856" t="s">
        <v>3157</v>
      </c>
      <c r="D856" t="s">
        <v>3158</v>
      </c>
      <c r="E856" t="s">
        <v>3156</v>
      </c>
      <c r="F856" t="s">
        <v>28</v>
      </c>
      <c r="G856" t="s">
        <v>3156</v>
      </c>
      <c r="H856" t="str">
        <f>"F32D1.5"</f>
        <v>F32D1.5</v>
      </c>
      <c r="I856" t="s">
        <v>3158</v>
      </c>
      <c r="J856">
        <v>12.325932039319699</v>
      </c>
      <c r="K856">
        <v>13.2917424505649</v>
      </c>
      <c r="L856">
        <v>13.398270901177501</v>
      </c>
      <c r="M856" t="s">
        <v>29</v>
      </c>
      <c r="N856" t="s">
        <v>29</v>
      </c>
      <c r="O856">
        <v>12.678233619029699</v>
      </c>
      <c r="P856">
        <v>-0.32708151132436197</v>
      </c>
      <c r="Q856">
        <v>-1.7146304154154901</v>
      </c>
      <c r="R856">
        <v>1.06046739276677</v>
      </c>
      <c r="S856">
        <v>13.406790174719999</v>
      </c>
      <c r="T856">
        <v>-0.499985289605967</v>
      </c>
      <c r="U856">
        <v>-6.6824528672835504</v>
      </c>
      <c r="V856">
        <v>0.62393613138181303</v>
      </c>
      <c r="W856">
        <v>0.74867254852695597</v>
      </c>
      <c r="X856">
        <v>0</v>
      </c>
      <c r="Y856">
        <v>0</v>
      </c>
    </row>
    <row r="857" spans="1:25" x14ac:dyDescent="0.2">
      <c r="A857" t="s">
        <v>3159</v>
      </c>
      <c r="B857" t="s">
        <v>3160</v>
      </c>
      <c r="C857" t="s">
        <v>3161</v>
      </c>
      <c r="D857" t="s">
        <v>3162</v>
      </c>
      <c r="E857" t="s">
        <v>3160</v>
      </c>
      <c r="F857" t="s">
        <v>28</v>
      </c>
      <c r="G857" t="s">
        <v>3160</v>
      </c>
      <c r="H857" t="str">
        <f>"mcm-7"</f>
        <v>mcm-7</v>
      </c>
      <c r="I857" t="s">
        <v>3162</v>
      </c>
      <c r="J857">
        <v>14.164878147699101</v>
      </c>
      <c r="K857">
        <v>14.0579893744682</v>
      </c>
      <c r="L857">
        <v>14.5156347259149</v>
      </c>
      <c r="M857" t="s">
        <v>29</v>
      </c>
      <c r="N857">
        <v>14.1561342619567</v>
      </c>
      <c r="O857">
        <v>14.2672468937971</v>
      </c>
      <c r="P857">
        <v>-3.4476838150514097E-2</v>
      </c>
      <c r="Q857">
        <v>-0.62099885766428597</v>
      </c>
      <c r="R857">
        <v>0.55204518136325798</v>
      </c>
      <c r="S857">
        <v>14.5518459963201</v>
      </c>
      <c r="T857">
        <v>-0.12407752501566301</v>
      </c>
      <c r="U857">
        <v>-7.0373861508059603</v>
      </c>
      <c r="V857">
        <v>0.90271813849336802</v>
      </c>
      <c r="W857">
        <v>0.94236994478921499</v>
      </c>
      <c r="X857">
        <v>0</v>
      </c>
      <c r="Y857">
        <v>0</v>
      </c>
    </row>
    <row r="858" spans="1:25" x14ac:dyDescent="0.2">
      <c r="A858" t="s">
        <v>3163</v>
      </c>
      <c r="B858" t="s">
        <v>3164</v>
      </c>
      <c r="C858" t="s">
        <v>3165</v>
      </c>
      <c r="D858" t="s">
        <v>3166</v>
      </c>
      <c r="E858" t="s">
        <v>3164</v>
      </c>
      <c r="F858" t="s">
        <v>28</v>
      </c>
      <c r="G858" t="s">
        <v>3164</v>
      </c>
      <c r="H858" t="str">
        <f>"hpo-18"</f>
        <v>hpo-18</v>
      </c>
      <c r="I858" t="s">
        <v>3166</v>
      </c>
      <c r="J858">
        <v>15.186680571338901</v>
      </c>
      <c r="K858">
        <v>16.6049546689156</v>
      </c>
      <c r="L858">
        <v>16.232607612531599</v>
      </c>
      <c r="M858" t="s">
        <v>29</v>
      </c>
      <c r="N858">
        <v>15.780037532022201</v>
      </c>
      <c r="O858">
        <v>15.423899483665799</v>
      </c>
      <c r="P858">
        <v>-0.40611244308470001</v>
      </c>
      <c r="Q858">
        <v>-1.20703945379308</v>
      </c>
      <c r="R858">
        <v>0.394814567623682</v>
      </c>
      <c r="S858">
        <v>16.129516649030201</v>
      </c>
      <c r="T858">
        <v>-1.0702946861411899</v>
      </c>
      <c r="U858">
        <v>-6.4630035525126299</v>
      </c>
      <c r="V858">
        <v>0.29953953279765899</v>
      </c>
      <c r="W858">
        <v>0.46833685542075698</v>
      </c>
      <c r="X858">
        <v>0</v>
      </c>
      <c r="Y858">
        <v>0</v>
      </c>
    </row>
    <row r="859" spans="1:25" x14ac:dyDescent="0.2">
      <c r="A859" t="s">
        <v>3167</v>
      </c>
      <c r="B859" t="s">
        <v>3168</v>
      </c>
      <c r="C859" t="s">
        <v>3169</v>
      </c>
      <c r="D859" t="s">
        <v>3170</v>
      </c>
      <c r="E859" t="s">
        <v>3168</v>
      </c>
      <c r="F859" t="s">
        <v>28</v>
      </c>
      <c r="G859" t="s">
        <v>3168</v>
      </c>
      <c r="H859" t="str">
        <f>"cmd-1"</f>
        <v>cmd-1</v>
      </c>
      <c r="I859" t="s">
        <v>3170</v>
      </c>
      <c r="J859">
        <v>15.063672209860799</v>
      </c>
      <c r="K859">
        <v>15.3720956241729</v>
      </c>
      <c r="L859">
        <v>14.792391204759101</v>
      </c>
      <c r="M859">
        <v>17.1222509956994</v>
      </c>
      <c r="N859">
        <v>16.3041563885734</v>
      </c>
      <c r="O859">
        <v>15.6115814475646</v>
      </c>
      <c r="P859">
        <v>1.2699432643481701</v>
      </c>
      <c r="Q859">
        <v>0.64502369263529402</v>
      </c>
      <c r="R859">
        <v>1.89486283606105</v>
      </c>
      <c r="S859">
        <v>14.9309424975488</v>
      </c>
      <c r="T859">
        <v>4.2712275160338402</v>
      </c>
      <c r="U859">
        <v>-0.573517929982862</v>
      </c>
      <c r="V859">
        <v>4.6493950359333098E-4</v>
      </c>
      <c r="W859">
        <v>5.1900633223088896E-3</v>
      </c>
      <c r="X859">
        <v>1</v>
      </c>
      <c r="Y859">
        <v>1</v>
      </c>
    </row>
    <row r="860" spans="1:25" x14ac:dyDescent="0.2">
      <c r="A860" t="s">
        <v>3171</v>
      </c>
      <c r="B860" t="s">
        <v>3172</v>
      </c>
      <c r="C860" t="s">
        <v>3173</v>
      </c>
      <c r="D860" t="s">
        <v>3174</v>
      </c>
      <c r="E860" t="s">
        <v>3172</v>
      </c>
      <c r="F860" t="s">
        <v>28</v>
      </c>
      <c r="G860" t="s">
        <v>3172</v>
      </c>
      <c r="H860" t="str">
        <f>"gei-6"</f>
        <v>gei-6</v>
      </c>
      <c r="I860" t="s">
        <v>3174</v>
      </c>
      <c r="J860" t="s">
        <v>29</v>
      </c>
      <c r="K860">
        <v>11.5403386009254</v>
      </c>
      <c r="L860" t="s">
        <v>29</v>
      </c>
      <c r="M860" t="s">
        <v>29</v>
      </c>
      <c r="N860" t="s">
        <v>29</v>
      </c>
      <c r="O860" t="s">
        <v>29</v>
      </c>
      <c r="P860" t="s">
        <v>29</v>
      </c>
      <c r="Q860" t="s">
        <v>29</v>
      </c>
      <c r="R860" t="s">
        <v>29</v>
      </c>
      <c r="S860">
        <v>11.211707427976799</v>
      </c>
      <c r="T860" t="s">
        <v>29</v>
      </c>
      <c r="U860" t="s">
        <v>29</v>
      </c>
      <c r="V860" t="s">
        <v>29</v>
      </c>
      <c r="W860" t="s">
        <v>29</v>
      </c>
      <c r="X860" t="s">
        <v>29</v>
      </c>
      <c r="Y860" t="s">
        <v>29</v>
      </c>
    </row>
    <row r="861" spans="1:25" x14ac:dyDescent="0.2">
      <c r="A861" t="s">
        <v>3175</v>
      </c>
      <c r="B861" t="s">
        <v>3176</v>
      </c>
      <c r="C861" t="s">
        <v>3177</v>
      </c>
      <c r="D861" t="s">
        <v>3178</v>
      </c>
      <c r="E861" t="s">
        <v>3176</v>
      </c>
      <c r="F861" t="s">
        <v>28</v>
      </c>
      <c r="G861" t="s">
        <v>3176</v>
      </c>
      <c r="H861" t="str">
        <f>"krr-1"</f>
        <v>krr-1</v>
      </c>
      <c r="I861" t="s">
        <v>3178</v>
      </c>
      <c r="J861">
        <v>10.7517984559871</v>
      </c>
      <c r="K861">
        <v>12.330257317287799</v>
      </c>
      <c r="L861">
        <v>11.7913170410588</v>
      </c>
      <c r="M861" t="s">
        <v>29</v>
      </c>
      <c r="N861" t="s">
        <v>29</v>
      </c>
      <c r="O861">
        <v>12.6619395409158</v>
      </c>
      <c r="P861">
        <v>1.0374819361379</v>
      </c>
      <c r="Q861">
        <v>7.8153923401624997E-2</v>
      </c>
      <c r="R861">
        <v>1.99680994887417</v>
      </c>
      <c r="S861">
        <v>12.3846652381686</v>
      </c>
      <c r="T861">
        <v>2.33830232807914</v>
      </c>
      <c r="U861">
        <v>-4.3917307164396897</v>
      </c>
      <c r="V861">
        <v>3.6147932569960503E-2</v>
      </c>
      <c r="W861">
        <v>0.111112746321752</v>
      </c>
      <c r="X861">
        <v>1</v>
      </c>
      <c r="Y861">
        <v>0</v>
      </c>
    </row>
    <row r="862" spans="1:25" x14ac:dyDescent="0.2">
      <c r="A862" t="s">
        <v>3179</v>
      </c>
      <c r="B862" t="s">
        <v>3180</v>
      </c>
      <c r="C862" t="s">
        <v>3181</v>
      </c>
      <c r="D862" t="s">
        <v>3182</v>
      </c>
      <c r="E862" t="s">
        <v>3180</v>
      </c>
      <c r="F862" t="s">
        <v>28</v>
      </c>
      <c r="G862" t="s">
        <v>3180</v>
      </c>
      <c r="H862" t="str">
        <f>"C05C8.5"</f>
        <v>C05C8.5</v>
      </c>
      <c r="I862" t="s">
        <v>3182</v>
      </c>
      <c r="J862" t="s">
        <v>29</v>
      </c>
      <c r="K862" t="s">
        <v>29</v>
      </c>
      <c r="L862" t="s">
        <v>29</v>
      </c>
      <c r="M862" t="s">
        <v>29</v>
      </c>
      <c r="N862" t="s">
        <v>29</v>
      </c>
      <c r="O862" t="s">
        <v>29</v>
      </c>
      <c r="P862" t="s">
        <v>29</v>
      </c>
      <c r="Q862" t="s">
        <v>29</v>
      </c>
      <c r="R862" t="s">
        <v>29</v>
      </c>
      <c r="S862">
        <v>11.416969636134301</v>
      </c>
      <c r="T862" t="s">
        <v>29</v>
      </c>
      <c r="U862" t="s">
        <v>29</v>
      </c>
      <c r="V862" t="s">
        <v>29</v>
      </c>
      <c r="W862" t="s">
        <v>29</v>
      </c>
      <c r="X862" t="s">
        <v>29</v>
      </c>
      <c r="Y862" t="s">
        <v>29</v>
      </c>
    </row>
    <row r="863" spans="1:25" x14ac:dyDescent="0.2">
      <c r="A863" t="s">
        <v>3183</v>
      </c>
      <c r="B863" t="s">
        <v>3184</v>
      </c>
      <c r="C863" t="s">
        <v>3185</v>
      </c>
      <c r="D863" t="s">
        <v>3186</v>
      </c>
      <c r="E863" t="s">
        <v>3184</v>
      </c>
      <c r="F863" t="s">
        <v>28</v>
      </c>
      <c r="G863" t="s">
        <v>3184</v>
      </c>
      <c r="H863" t="str">
        <f>"hpo-9"</f>
        <v>hpo-9</v>
      </c>
      <c r="I863" t="s">
        <v>3186</v>
      </c>
      <c r="J863" t="s">
        <v>29</v>
      </c>
      <c r="K863">
        <v>11.658395087559899</v>
      </c>
      <c r="L863">
        <v>10.685252078487901</v>
      </c>
      <c r="M863" t="s">
        <v>29</v>
      </c>
      <c r="N863" t="s">
        <v>29</v>
      </c>
      <c r="O863">
        <v>12.017297326844201</v>
      </c>
      <c r="P863">
        <v>0.84547374382028195</v>
      </c>
      <c r="Q863">
        <v>9.4175716696423203E-2</v>
      </c>
      <c r="R863">
        <v>1.59677177094414</v>
      </c>
      <c r="S863">
        <v>12.8335662726123</v>
      </c>
      <c r="T863">
        <v>2.43318494781124</v>
      </c>
      <c r="U863">
        <v>-4.1718787406222297</v>
      </c>
      <c r="V863">
        <v>3.0285967681073001E-2</v>
      </c>
      <c r="W863">
        <v>9.7217942392531495E-2</v>
      </c>
      <c r="X863">
        <v>0</v>
      </c>
      <c r="Y863">
        <v>0</v>
      </c>
    </row>
    <row r="864" spans="1:25" x14ac:dyDescent="0.2">
      <c r="A864" t="s">
        <v>3187</v>
      </c>
      <c r="B864" t="s">
        <v>3188</v>
      </c>
      <c r="C864" t="s">
        <v>3189</v>
      </c>
      <c r="D864" t="s">
        <v>3190</v>
      </c>
      <c r="E864" t="s">
        <v>3188</v>
      </c>
      <c r="F864" t="s">
        <v>28</v>
      </c>
      <c r="G864" t="s">
        <v>3188</v>
      </c>
      <c r="H864" t="str">
        <f>"C05C8.7"</f>
        <v>C05C8.7</v>
      </c>
      <c r="I864" t="s">
        <v>3190</v>
      </c>
      <c r="J864">
        <v>12.4041123835161</v>
      </c>
      <c r="K864">
        <v>12.782009873755401</v>
      </c>
      <c r="L864">
        <v>12.6895545720184</v>
      </c>
      <c r="M864">
        <v>16.302419515345999</v>
      </c>
      <c r="N864">
        <v>16.768706953071401</v>
      </c>
      <c r="O864">
        <v>17.174308745472601</v>
      </c>
      <c r="P864">
        <v>4.1232527948666799</v>
      </c>
      <c r="Q864">
        <v>3.5122546194270399</v>
      </c>
      <c r="R864">
        <v>4.73425097030632</v>
      </c>
      <c r="S864">
        <v>14.7702437528052</v>
      </c>
      <c r="T864">
        <v>14.1837987914446</v>
      </c>
      <c r="U864">
        <v>15.895825767750001</v>
      </c>
      <c r="V864" s="2">
        <v>3.56802641342994E-11</v>
      </c>
      <c r="W864" s="2">
        <v>1.4285328298076999E-8</v>
      </c>
      <c r="X864">
        <v>1</v>
      </c>
      <c r="Y864">
        <v>1</v>
      </c>
    </row>
    <row r="865" spans="1:25" x14ac:dyDescent="0.2">
      <c r="A865" t="s">
        <v>3191</v>
      </c>
      <c r="B865" t="s">
        <v>3192</v>
      </c>
      <c r="C865" t="s">
        <v>3193</v>
      </c>
      <c r="D865" t="s">
        <v>3194</v>
      </c>
      <c r="E865" t="s">
        <v>3192</v>
      </c>
      <c r="F865" t="s">
        <v>28</v>
      </c>
      <c r="G865" t="s">
        <v>3192</v>
      </c>
      <c r="H865" t="str">
        <f>"str-140"</f>
        <v>str-140</v>
      </c>
      <c r="I865" t="s">
        <v>3194</v>
      </c>
      <c r="J865">
        <v>13.7506475937035</v>
      </c>
      <c r="K865">
        <v>13.589397308917199</v>
      </c>
      <c r="L865">
        <v>14.000707915358101</v>
      </c>
      <c r="M865" t="s">
        <v>29</v>
      </c>
      <c r="N865" t="s">
        <v>29</v>
      </c>
      <c r="O865">
        <v>14.8057878384312</v>
      </c>
      <c r="P865">
        <v>1.0255368991049201</v>
      </c>
      <c r="Q865">
        <v>-0.14595489949014101</v>
      </c>
      <c r="R865">
        <v>2.1970286976999698</v>
      </c>
      <c r="S865">
        <v>13.308032474072</v>
      </c>
      <c r="T865">
        <v>1.8789011459367699</v>
      </c>
      <c r="U865">
        <v>-5.1490376450607096</v>
      </c>
      <c r="V865">
        <v>8.1398169931602302E-2</v>
      </c>
      <c r="W865">
        <v>0.189562570085343</v>
      </c>
      <c r="X865">
        <v>0</v>
      </c>
      <c r="Y865">
        <v>0</v>
      </c>
    </row>
    <row r="866" spans="1:25" x14ac:dyDescent="0.2">
      <c r="A866" t="s">
        <v>3195</v>
      </c>
      <c r="B866" t="s">
        <v>3196</v>
      </c>
      <c r="C866" t="s">
        <v>3197</v>
      </c>
      <c r="D866" t="s">
        <v>3198</v>
      </c>
      <c r="E866" t="s">
        <v>3196</v>
      </c>
      <c r="F866" t="s">
        <v>28</v>
      </c>
      <c r="G866" t="s">
        <v>3196</v>
      </c>
      <c r="H866" t="str">
        <f>"catp-3"</f>
        <v>catp-3</v>
      </c>
      <c r="I866" t="s">
        <v>3198</v>
      </c>
      <c r="J866">
        <v>12.045424992089799</v>
      </c>
      <c r="K866">
        <v>12.2189427033888</v>
      </c>
      <c r="L866">
        <v>12.216744855545601</v>
      </c>
      <c r="M866" t="s">
        <v>29</v>
      </c>
      <c r="N866" t="s">
        <v>29</v>
      </c>
      <c r="O866" t="s">
        <v>29</v>
      </c>
      <c r="P866" t="s">
        <v>29</v>
      </c>
      <c r="Q866" t="s">
        <v>29</v>
      </c>
      <c r="R866" t="s">
        <v>29</v>
      </c>
      <c r="S866">
        <v>12.4359611725924</v>
      </c>
      <c r="T866" t="s">
        <v>29</v>
      </c>
      <c r="U866" t="s">
        <v>29</v>
      </c>
      <c r="V866" t="s">
        <v>29</v>
      </c>
      <c r="W866" t="s">
        <v>29</v>
      </c>
      <c r="X866" t="s">
        <v>29</v>
      </c>
      <c r="Y866" t="s">
        <v>29</v>
      </c>
    </row>
    <row r="867" spans="1:25" x14ac:dyDescent="0.2">
      <c r="A867" t="s">
        <v>3199</v>
      </c>
      <c r="B867" t="s">
        <v>3200</v>
      </c>
      <c r="C867" t="s">
        <v>3201</v>
      </c>
      <c r="D867" t="s">
        <v>3202</v>
      </c>
      <c r="E867" t="s">
        <v>3200</v>
      </c>
      <c r="F867" t="s">
        <v>28</v>
      </c>
      <c r="G867" t="s">
        <v>3200</v>
      </c>
      <c r="H867" t="str">
        <f>"rpt-2"</f>
        <v>rpt-2</v>
      </c>
      <c r="I867" t="s">
        <v>3202</v>
      </c>
      <c r="J867">
        <v>16.1517787589218</v>
      </c>
      <c r="K867">
        <v>16.0431835576499</v>
      </c>
      <c r="L867">
        <v>16.071916623698002</v>
      </c>
      <c r="M867">
        <v>15.8828791535568</v>
      </c>
      <c r="N867">
        <v>16.185032889385301</v>
      </c>
      <c r="O867">
        <v>16.082323711717699</v>
      </c>
      <c r="P867">
        <v>-3.8881061869975801E-2</v>
      </c>
      <c r="Q867">
        <v>-0.41182704725275399</v>
      </c>
      <c r="R867">
        <v>0.33406492351280298</v>
      </c>
      <c r="S867">
        <v>16.027717480292001</v>
      </c>
      <c r="T867">
        <v>-0.219121349511123</v>
      </c>
      <c r="U867">
        <v>-7.1311385293260097</v>
      </c>
      <c r="V867">
        <v>0.82903532793731105</v>
      </c>
      <c r="W867">
        <v>0.89264417662815398</v>
      </c>
      <c r="X867">
        <v>0</v>
      </c>
      <c r="Y867">
        <v>0</v>
      </c>
    </row>
    <row r="868" spans="1:25" x14ac:dyDescent="0.2">
      <c r="A868" t="s">
        <v>3203</v>
      </c>
      <c r="B868" t="s">
        <v>3204</v>
      </c>
      <c r="C868" t="s">
        <v>3205</v>
      </c>
      <c r="D868" t="s">
        <v>3206</v>
      </c>
      <c r="E868" t="s">
        <v>3204</v>
      </c>
      <c r="F868" t="s">
        <v>28</v>
      </c>
      <c r="G868" t="s">
        <v>3204</v>
      </c>
      <c r="H868" t="str">
        <f>"aps-1"</f>
        <v>aps-1</v>
      </c>
      <c r="I868" t="s">
        <v>3206</v>
      </c>
      <c r="J868">
        <v>14.099697824358399</v>
      </c>
      <c r="K868">
        <v>14.123352293485199</v>
      </c>
      <c r="L868">
        <v>14.0750502932756</v>
      </c>
      <c r="M868">
        <v>13.4730808167806</v>
      </c>
      <c r="N868">
        <v>13.585305447670301</v>
      </c>
      <c r="O868">
        <v>13.9635367137877</v>
      </c>
      <c r="P868">
        <v>-0.42539247762688198</v>
      </c>
      <c r="Q868">
        <v>-0.81999739800273996</v>
      </c>
      <c r="R868">
        <v>-3.0787557251025399E-2</v>
      </c>
      <c r="S868">
        <v>13.7706077410836</v>
      </c>
      <c r="T868">
        <v>-2.2657908715638002</v>
      </c>
      <c r="U868">
        <v>-4.7895544594205299</v>
      </c>
      <c r="V868">
        <v>3.6110007531280401E-2</v>
      </c>
      <c r="W868">
        <v>0.111112746321752</v>
      </c>
      <c r="X868">
        <v>0</v>
      </c>
      <c r="Y868">
        <v>0</v>
      </c>
    </row>
    <row r="869" spans="1:25" x14ac:dyDescent="0.2">
      <c r="A869" t="s">
        <v>3207</v>
      </c>
      <c r="B869" t="s">
        <v>3208</v>
      </c>
      <c r="C869" t="s">
        <v>3209</v>
      </c>
      <c r="D869" t="s">
        <v>3210</v>
      </c>
      <c r="E869" t="s">
        <v>3208</v>
      </c>
      <c r="F869" t="s">
        <v>28</v>
      </c>
      <c r="G869" t="s">
        <v>3208</v>
      </c>
      <c r="H869" t="str">
        <f>"tag-196"</f>
        <v>tag-196</v>
      </c>
      <c r="I869" t="s">
        <v>3210</v>
      </c>
      <c r="J869">
        <v>13.810556822784999</v>
      </c>
      <c r="K869">
        <v>13.7154906074684</v>
      </c>
      <c r="L869">
        <v>13.4122315709474</v>
      </c>
      <c r="M869" t="s">
        <v>29</v>
      </c>
      <c r="N869">
        <v>13.3691199293987</v>
      </c>
      <c r="O869">
        <v>13.8843518242029</v>
      </c>
      <c r="P869">
        <v>-1.9357123599489202E-2</v>
      </c>
      <c r="Q869">
        <v>-0.47415436489202001</v>
      </c>
      <c r="R869">
        <v>0.43544011769304197</v>
      </c>
      <c r="S869">
        <v>13.1856937029481</v>
      </c>
      <c r="T869">
        <v>-8.9840676727681396E-2</v>
      </c>
      <c r="U869">
        <v>-7.0412332855250703</v>
      </c>
      <c r="V869">
        <v>0.92947028973111501</v>
      </c>
      <c r="W869">
        <v>0.95951134265920401</v>
      </c>
      <c r="X869">
        <v>0</v>
      </c>
      <c r="Y869">
        <v>0</v>
      </c>
    </row>
    <row r="870" spans="1:25" x14ac:dyDescent="0.2">
      <c r="A870" t="s">
        <v>3211</v>
      </c>
      <c r="B870" t="s">
        <v>3212</v>
      </c>
      <c r="C870" t="s">
        <v>3213</v>
      </c>
      <c r="D870" t="s">
        <v>3214</v>
      </c>
      <c r="E870" t="s">
        <v>3212</v>
      </c>
      <c r="F870" t="s">
        <v>28</v>
      </c>
      <c r="G870" t="s">
        <v>3212</v>
      </c>
      <c r="H870" t="str">
        <f>"atg-18"</f>
        <v>atg-18</v>
      </c>
      <c r="I870" t="s">
        <v>3214</v>
      </c>
      <c r="J870">
        <v>13.6565819254351</v>
      </c>
      <c r="K870">
        <v>13.7354899367258</v>
      </c>
      <c r="L870">
        <v>13.1886579069175</v>
      </c>
      <c r="M870">
        <v>12.7334325585892</v>
      </c>
      <c r="N870">
        <v>13.608916453186801</v>
      </c>
      <c r="O870">
        <v>14.1956435682605</v>
      </c>
      <c r="P870">
        <v>-1.42457296806242E-2</v>
      </c>
      <c r="Q870">
        <v>-0.63300421668718698</v>
      </c>
      <c r="R870">
        <v>0.60451275732593901</v>
      </c>
      <c r="S870">
        <v>13.002495378233499</v>
      </c>
      <c r="T870">
        <v>-4.8390046946777801E-2</v>
      </c>
      <c r="U870">
        <v>-7.1550733161867797</v>
      </c>
      <c r="V870">
        <v>0.96194137553152803</v>
      </c>
      <c r="W870">
        <v>0.97785240724383404</v>
      </c>
      <c r="X870">
        <v>0</v>
      </c>
      <c r="Y870">
        <v>0</v>
      </c>
    </row>
    <row r="871" spans="1:25" x14ac:dyDescent="0.2">
      <c r="A871" t="s">
        <v>3215</v>
      </c>
      <c r="B871" t="s">
        <v>3216</v>
      </c>
      <c r="C871" t="s">
        <v>3217</v>
      </c>
      <c r="D871" t="s">
        <v>531</v>
      </c>
      <c r="E871" t="s">
        <v>3216</v>
      </c>
      <c r="F871" t="s">
        <v>28</v>
      </c>
      <c r="G871" t="s">
        <v>3216</v>
      </c>
      <c r="H871" t="str">
        <f>"natc-2"</f>
        <v>natc-2</v>
      </c>
      <c r="I871" t="s">
        <v>531</v>
      </c>
      <c r="J871">
        <v>14.655333863121699</v>
      </c>
      <c r="K871">
        <v>14.615515590358401</v>
      </c>
      <c r="L871">
        <v>14.397876908951099</v>
      </c>
      <c r="M871">
        <v>12.962812962444501</v>
      </c>
      <c r="N871">
        <v>14.425123111586901</v>
      </c>
      <c r="O871">
        <v>14.7098510260384</v>
      </c>
      <c r="P871">
        <v>-0.52364642078710799</v>
      </c>
      <c r="Q871">
        <v>-1.1767351773911801</v>
      </c>
      <c r="R871">
        <v>0.12944233581696801</v>
      </c>
      <c r="S871">
        <v>14.1351858118223</v>
      </c>
      <c r="T871">
        <v>-1.6852271429057899</v>
      </c>
      <c r="U871">
        <v>-5.7736077825539303</v>
      </c>
      <c r="V871">
        <v>0.10930330546035399</v>
      </c>
      <c r="W871">
        <v>0.230301116127302</v>
      </c>
      <c r="X871">
        <v>0</v>
      </c>
      <c r="Y871">
        <v>0</v>
      </c>
    </row>
    <row r="872" spans="1:25" x14ac:dyDescent="0.2">
      <c r="A872" t="s">
        <v>3218</v>
      </c>
      <c r="B872" t="s">
        <v>3219</v>
      </c>
      <c r="C872" t="s">
        <v>3220</v>
      </c>
      <c r="D872" t="s">
        <v>3221</v>
      </c>
      <c r="E872" t="s">
        <v>3219</v>
      </c>
      <c r="F872" t="s">
        <v>28</v>
      </c>
      <c r="G872" t="s">
        <v>3219</v>
      </c>
      <c r="H872" t="str">
        <f>"urb-1"</f>
        <v>urb-1</v>
      </c>
      <c r="I872" t="s">
        <v>3221</v>
      </c>
      <c r="J872">
        <v>11.6348765401622</v>
      </c>
      <c r="K872">
        <v>11.842324182318499</v>
      </c>
      <c r="L872">
        <v>11.830348212522599</v>
      </c>
      <c r="M872" t="s">
        <v>29</v>
      </c>
      <c r="N872">
        <v>13.181454638505601</v>
      </c>
      <c r="O872">
        <v>12.520595571349</v>
      </c>
      <c r="P872">
        <v>1.0818421265928599</v>
      </c>
      <c r="Q872">
        <v>0.37527648274569497</v>
      </c>
      <c r="R872">
        <v>1.7884077704400201</v>
      </c>
      <c r="S872">
        <v>11.7263900478602</v>
      </c>
      <c r="T872">
        <v>3.2475878065437498</v>
      </c>
      <c r="U872">
        <v>-2.78778757721452</v>
      </c>
      <c r="V872">
        <v>5.0819867879683799E-3</v>
      </c>
      <c r="W872">
        <v>2.8690833456212299E-2</v>
      </c>
      <c r="X872">
        <v>1</v>
      </c>
      <c r="Y872">
        <v>1</v>
      </c>
    </row>
    <row r="873" spans="1:25" x14ac:dyDescent="0.2">
      <c r="A873" t="s">
        <v>3222</v>
      </c>
      <c r="B873" t="s">
        <v>3223</v>
      </c>
      <c r="C873" t="s">
        <v>3224</v>
      </c>
      <c r="D873" t="s">
        <v>3225</v>
      </c>
      <c r="E873" t="s">
        <v>3223</v>
      </c>
      <c r="F873" t="s">
        <v>28</v>
      </c>
      <c r="G873" t="s">
        <v>3223</v>
      </c>
      <c r="H873" t="str">
        <f>"erfa-1"</f>
        <v>erfa-1</v>
      </c>
      <c r="I873" t="s">
        <v>3225</v>
      </c>
      <c r="J873">
        <v>15.999157487589899</v>
      </c>
      <c r="K873">
        <v>15.8604005577258</v>
      </c>
      <c r="L873">
        <v>15.806969937713401</v>
      </c>
      <c r="M873">
        <v>15.3689019698895</v>
      </c>
      <c r="N873">
        <v>15.711195141328</v>
      </c>
      <c r="O873">
        <v>15.997040532055101</v>
      </c>
      <c r="P873">
        <v>-0.19646344658548101</v>
      </c>
      <c r="Q873">
        <v>-0.56971931178865398</v>
      </c>
      <c r="R873">
        <v>0.17679241861769199</v>
      </c>
      <c r="S873">
        <v>15.6253353845846</v>
      </c>
      <c r="T873">
        <v>-1.1062865465924601</v>
      </c>
      <c r="U873">
        <v>-6.5351592892265398</v>
      </c>
      <c r="V873">
        <v>0.28325343215804599</v>
      </c>
      <c r="W873">
        <v>0.45170338991870301</v>
      </c>
      <c r="X873">
        <v>0</v>
      </c>
      <c r="Y873">
        <v>0</v>
      </c>
    </row>
    <row r="874" spans="1:25" x14ac:dyDescent="0.2">
      <c r="A874" t="s">
        <v>3226</v>
      </c>
      <c r="B874" t="s">
        <v>3227</v>
      </c>
      <c r="C874" t="s">
        <v>3228</v>
      </c>
      <c r="D874" t="s">
        <v>3229</v>
      </c>
      <c r="E874" t="s">
        <v>3227</v>
      </c>
      <c r="F874" t="s">
        <v>28</v>
      </c>
      <c r="G874" t="s">
        <v>3227</v>
      </c>
      <c r="H874" t="str">
        <f>"hpo-19"</f>
        <v>hpo-19</v>
      </c>
      <c r="I874" t="s">
        <v>3229</v>
      </c>
      <c r="J874">
        <v>14.9871768817325</v>
      </c>
      <c r="K874">
        <v>14.505105752628699</v>
      </c>
      <c r="L874">
        <v>14.4331896468425</v>
      </c>
      <c r="M874">
        <v>14.9187465925478</v>
      </c>
      <c r="N874">
        <v>14.5918045168739</v>
      </c>
      <c r="O874">
        <v>14.7181543389742</v>
      </c>
      <c r="P874">
        <v>0.101077722397415</v>
      </c>
      <c r="Q874">
        <v>-0.37898938094559098</v>
      </c>
      <c r="R874">
        <v>0.58114482574042103</v>
      </c>
      <c r="S874">
        <v>14.219201671620899</v>
      </c>
      <c r="T874">
        <v>0.44253335834848401</v>
      </c>
      <c r="U874">
        <v>-7.0540904327496596</v>
      </c>
      <c r="V874">
        <v>0.66340570856939596</v>
      </c>
      <c r="W874">
        <v>0.77671117561388503</v>
      </c>
      <c r="X874">
        <v>0</v>
      </c>
      <c r="Y874">
        <v>0</v>
      </c>
    </row>
    <row r="875" spans="1:25" x14ac:dyDescent="0.2">
      <c r="A875" t="s">
        <v>3230</v>
      </c>
      <c r="B875" t="s">
        <v>3231</v>
      </c>
      <c r="C875" t="s">
        <v>14341</v>
      </c>
      <c r="D875" t="s">
        <v>3232</v>
      </c>
      <c r="E875" t="s">
        <v>3231</v>
      </c>
      <c r="F875" t="s">
        <v>28</v>
      </c>
      <c r="G875" t="s">
        <v>3231</v>
      </c>
      <c r="H875" t="str">
        <f>"T05H4.3"</f>
        <v>T05H4.3</v>
      </c>
      <c r="I875" t="s">
        <v>3232</v>
      </c>
      <c r="J875">
        <v>13.410784896879001</v>
      </c>
      <c r="K875">
        <v>13.249925038952</v>
      </c>
      <c r="L875">
        <v>13.6266616119667</v>
      </c>
      <c r="M875">
        <v>14.317022277070301</v>
      </c>
      <c r="N875">
        <v>13.7744096680391</v>
      </c>
      <c r="O875">
        <v>13.3125912238604</v>
      </c>
      <c r="P875">
        <v>0.37221720705741201</v>
      </c>
      <c r="Q875">
        <v>-0.30148075492658899</v>
      </c>
      <c r="R875">
        <v>1.0459151690414099</v>
      </c>
      <c r="S875">
        <v>12.7966787552173</v>
      </c>
      <c r="T875">
        <v>1.1612446486332799</v>
      </c>
      <c r="U875">
        <v>-6.47417118737589</v>
      </c>
      <c r="V875">
        <v>0.26079863922542801</v>
      </c>
      <c r="W875">
        <v>0.42793629721455301</v>
      </c>
      <c r="X875">
        <v>0</v>
      </c>
      <c r="Y875">
        <v>0</v>
      </c>
    </row>
    <row r="876" spans="1:25" x14ac:dyDescent="0.2">
      <c r="A876" t="s">
        <v>3233</v>
      </c>
      <c r="B876" t="s">
        <v>3234</v>
      </c>
      <c r="C876" t="s">
        <v>3235</v>
      </c>
      <c r="D876" t="s">
        <v>312</v>
      </c>
      <c r="E876" t="s">
        <v>3234</v>
      </c>
      <c r="F876" t="s">
        <v>28</v>
      </c>
      <c r="G876" t="s">
        <v>3234</v>
      </c>
      <c r="H876" t="str">
        <f>"acl-8"</f>
        <v>acl-8</v>
      </c>
      <c r="I876" t="s">
        <v>312</v>
      </c>
      <c r="J876">
        <v>12.1402638566459</v>
      </c>
      <c r="K876">
        <v>12.3891095651664</v>
      </c>
      <c r="L876">
        <v>12.251247213958999</v>
      </c>
      <c r="M876" t="s">
        <v>29</v>
      </c>
      <c r="N876" t="s">
        <v>29</v>
      </c>
      <c r="O876">
        <v>11.5375335802806</v>
      </c>
      <c r="P876">
        <v>-0.72267329830979898</v>
      </c>
      <c r="Q876">
        <v>-1.7459754381477</v>
      </c>
      <c r="R876">
        <v>0.30062884152809999</v>
      </c>
      <c r="S876">
        <v>12.0248872649113</v>
      </c>
      <c r="T876">
        <v>-1.52695194897171</v>
      </c>
      <c r="U876">
        <v>-5.67287853164654</v>
      </c>
      <c r="V876">
        <v>0.15092218866742599</v>
      </c>
      <c r="W876">
        <v>0.29474333333525798</v>
      </c>
      <c r="X876">
        <v>0</v>
      </c>
      <c r="Y876">
        <v>0</v>
      </c>
    </row>
    <row r="877" spans="1:25" x14ac:dyDescent="0.2">
      <c r="A877" t="s">
        <v>3236</v>
      </c>
      <c r="B877" t="s">
        <v>3237</v>
      </c>
      <c r="C877" t="s">
        <v>3238</v>
      </c>
      <c r="D877" t="s">
        <v>107</v>
      </c>
      <c r="E877" t="s">
        <v>3237</v>
      </c>
      <c r="F877" t="s">
        <v>28</v>
      </c>
      <c r="G877" t="s">
        <v>3237</v>
      </c>
      <c r="H877" t="str">
        <f>"C35A11.4"</f>
        <v>C35A11.4</v>
      </c>
      <c r="I877" t="s">
        <v>107</v>
      </c>
      <c r="J877">
        <v>12.5852481518628</v>
      </c>
      <c r="K877">
        <v>12.097393797220199</v>
      </c>
      <c r="L877">
        <v>12.6931097131211</v>
      </c>
      <c r="M877" t="s">
        <v>29</v>
      </c>
      <c r="N877" t="s">
        <v>29</v>
      </c>
      <c r="O877">
        <v>12.530411331578399</v>
      </c>
      <c r="P877">
        <v>7.1827444177017696E-2</v>
      </c>
      <c r="Q877">
        <v>-0.60873187697419096</v>
      </c>
      <c r="R877">
        <v>0.75238676532822701</v>
      </c>
      <c r="S877">
        <v>12.228780654771899</v>
      </c>
      <c r="T877">
        <v>0.22509509554367199</v>
      </c>
      <c r="U877">
        <v>-6.78603219412431</v>
      </c>
      <c r="V877">
        <v>0.82496429076484601</v>
      </c>
      <c r="W877">
        <v>0.88956083603512703</v>
      </c>
      <c r="X877">
        <v>0</v>
      </c>
      <c r="Y877">
        <v>0</v>
      </c>
    </row>
    <row r="878" spans="1:25" x14ac:dyDescent="0.2">
      <c r="A878" t="s">
        <v>3239</v>
      </c>
      <c r="B878" t="s">
        <v>3240</v>
      </c>
      <c r="C878" t="s">
        <v>3241</v>
      </c>
      <c r="D878" t="s">
        <v>3242</v>
      </c>
      <c r="E878" t="s">
        <v>3240</v>
      </c>
      <c r="F878" t="s">
        <v>28</v>
      </c>
      <c r="G878" t="s">
        <v>3240</v>
      </c>
      <c r="H878" t="str">
        <f>"mtq-2"</f>
        <v>mtq-2</v>
      </c>
      <c r="I878" t="s">
        <v>3242</v>
      </c>
      <c r="J878" t="s">
        <v>29</v>
      </c>
      <c r="K878">
        <v>10.3471823748256</v>
      </c>
      <c r="L878" t="s">
        <v>29</v>
      </c>
      <c r="M878" t="s">
        <v>29</v>
      </c>
      <c r="N878" t="s">
        <v>29</v>
      </c>
      <c r="O878" t="s">
        <v>29</v>
      </c>
      <c r="P878" t="s">
        <v>29</v>
      </c>
      <c r="Q878" t="s">
        <v>29</v>
      </c>
      <c r="R878" t="s">
        <v>29</v>
      </c>
      <c r="S878">
        <v>10.874038997740101</v>
      </c>
      <c r="T878" t="s">
        <v>29</v>
      </c>
      <c r="U878" t="s">
        <v>29</v>
      </c>
      <c r="V878" t="s">
        <v>29</v>
      </c>
      <c r="W878" t="s">
        <v>29</v>
      </c>
      <c r="X878" t="s">
        <v>29</v>
      </c>
      <c r="Y878" t="s">
        <v>29</v>
      </c>
    </row>
    <row r="879" spans="1:25" x14ac:dyDescent="0.2">
      <c r="A879" t="s">
        <v>3243</v>
      </c>
      <c r="B879" t="s">
        <v>3244</v>
      </c>
      <c r="C879" t="s">
        <v>3245</v>
      </c>
      <c r="D879" t="s">
        <v>3246</v>
      </c>
      <c r="E879" t="s">
        <v>3244</v>
      </c>
      <c r="F879" t="s">
        <v>28</v>
      </c>
      <c r="G879" t="s">
        <v>3244</v>
      </c>
      <c r="H879" t="str">
        <f>"dhs-13"</f>
        <v>dhs-13</v>
      </c>
      <c r="I879" t="s">
        <v>3246</v>
      </c>
      <c r="J879">
        <v>12.666048926147401</v>
      </c>
      <c r="K879">
        <v>13.172111693152701</v>
      </c>
      <c r="L879">
        <v>12.960297347778701</v>
      </c>
      <c r="M879" t="s">
        <v>29</v>
      </c>
      <c r="N879" t="s">
        <v>29</v>
      </c>
      <c r="O879">
        <v>13.576277273289101</v>
      </c>
      <c r="P879">
        <v>0.64345795092949498</v>
      </c>
      <c r="Q879">
        <v>-0.91034121087179598</v>
      </c>
      <c r="R879">
        <v>2.1972571127307901</v>
      </c>
      <c r="S879">
        <v>13.372734560846</v>
      </c>
      <c r="T879">
        <v>0.88882688304910096</v>
      </c>
      <c r="U879">
        <v>-6.4058831718947502</v>
      </c>
      <c r="V879">
        <v>0.38922434556201302</v>
      </c>
      <c r="W879">
        <v>0.55708797783936503</v>
      </c>
      <c r="X879">
        <v>0</v>
      </c>
      <c r="Y879">
        <v>0</v>
      </c>
    </row>
    <row r="880" spans="1:25" x14ac:dyDescent="0.2">
      <c r="A880" t="s">
        <v>3247</v>
      </c>
      <c r="B880" t="s">
        <v>3248</v>
      </c>
      <c r="C880" t="s">
        <v>3249</v>
      </c>
      <c r="D880" t="s">
        <v>3250</v>
      </c>
      <c r="E880" t="s">
        <v>3248</v>
      </c>
      <c r="F880" t="s">
        <v>28</v>
      </c>
      <c r="G880" t="s">
        <v>3248</v>
      </c>
      <c r="H880" t="str">
        <f>"apd-3"</f>
        <v>apd-3</v>
      </c>
      <c r="I880" t="s">
        <v>3250</v>
      </c>
      <c r="J880">
        <v>14.804446953769499</v>
      </c>
      <c r="K880">
        <v>14.781307622892299</v>
      </c>
      <c r="L880">
        <v>14.566734486242799</v>
      </c>
      <c r="M880" t="s">
        <v>29</v>
      </c>
      <c r="N880">
        <v>14.072945085229501</v>
      </c>
      <c r="O880">
        <v>14.2968692643176</v>
      </c>
      <c r="P880">
        <v>-0.53258917952803797</v>
      </c>
      <c r="Q880">
        <v>-0.88963237014293095</v>
      </c>
      <c r="R880">
        <v>-0.17554598891314599</v>
      </c>
      <c r="S880">
        <v>14.326259455278301</v>
      </c>
      <c r="T880">
        <v>-3.1486297682045299</v>
      </c>
      <c r="U880">
        <v>-2.9532614001695499</v>
      </c>
      <c r="V880">
        <v>5.8948229653282896E-3</v>
      </c>
      <c r="W880">
        <v>3.1471092896417502E-2</v>
      </c>
      <c r="X880">
        <v>0</v>
      </c>
      <c r="Y880">
        <v>0</v>
      </c>
    </row>
    <row r="881" spans="1:25" x14ac:dyDescent="0.2">
      <c r="A881" t="s">
        <v>3251</v>
      </c>
      <c r="B881" t="s">
        <v>3252</v>
      </c>
      <c r="C881" t="s">
        <v>3253</v>
      </c>
      <c r="D881" t="s">
        <v>3254</v>
      </c>
      <c r="E881" t="s">
        <v>3252</v>
      </c>
      <c r="F881" t="s">
        <v>28</v>
      </c>
      <c r="G881" t="s">
        <v>3252</v>
      </c>
      <c r="H881" t="str">
        <f>"nstp-4"</f>
        <v>nstp-4</v>
      </c>
      <c r="I881" t="s">
        <v>3254</v>
      </c>
      <c r="J881">
        <v>16.305165545984199</v>
      </c>
      <c r="K881">
        <v>16.385502400099099</v>
      </c>
      <c r="L881">
        <v>16.471443702461102</v>
      </c>
      <c r="M881">
        <v>14.5156512683033</v>
      </c>
      <c r="N881">
        <v>16.212418989622499</v>
      </c>
      <c r="O881">
        <v>15.799751247623799</v>
      </c>
      <c r="P881">
        <v>-0.87809671433163305</v>
      </c>
      <c r="Q881">
        <v>-1.49109453181412</v>
      </c>
      <c r="R881">
        <v>-0.26509889684915</v>
      </c>
      <c r="S881">
        <v>16.312265545065699</v>
      </c>
      <c r="T881">
        <v>-3.0107586100257802</v>
      </c>
      <c r="U881">
        <v>-3.3130084802283899</v>
      </c>
      <c r="V881">
        <v>7.54360119897625E-3</v>
      </c>
      <c r="W881">
        <v>3.7300323378159403E-2</v>
      </c>
      <c r="X881">
        <v>0</v>
      </c>
      <c r="Y881">
        <v>0</v>
      </c>
    </row>
    <row r="882" spans="1:25" x14ac:dyDescent="0.2">
      <c r="A882" t="s">
        <v>3255</v>
      </c>
      <c r="B882" t="s">
        <v>3256</v>
      </c>
      <c r="C882" t="s">
        <v>3257</v>
      </c>
      <c r="D882" t="s">
        <v>3258</v>
      </c>
      <c r="E882" t="s">
        <v>3256</v>
      </c>
      <c r="F882" t="s">
        <v>28</v>
      </c>
      <c r="G882" t="s">
        <v>3256</v>
      </c>
      <c r="H882" t="str">
        <f>"K07E8.7"</f>
        <v>K07E8.7</v>
      </c>
      <c r="I882" t="s">
        <v>3258</v>
      </c>
      <c r="J882" t="s">
        <v>29</v>
      </c>
      <c r="K882" t="s">
        <v>29</v>
      </c>
      <c r="L882" t="s">
        <v>29</v>
      </c>
      <c r="M882" t="s">
        <v>29</v>
      </c>
      <c r="N882" t="s">
        <v>29</v>
      </c>
      <c r="O882" t="s">
        <v>29</v>
      </c>
      <c r="P882" t="s">
        <v>29</v>
      </c>
      <c r="Q882" t="s">
        <v>29</v>
      </c>
      <c r="R882" t="s">
        <v>29</v>
      </c>
      <c r="S882">
        <v>12.423583807310999</v>
      </c>
      <c r="T882" t="s">
        <v>29</v>
      </c>
      <c r="U882" t="s">
        <v>29</v>
      </c>
      <c r="V882" t="s">
        <v>29</v>
      </c>
      <c r="W882" t="s">
        <v>29</v>
      </c>
      <c r="X882" t="s">
        <v>29</v>
      </c>
      <c r="Y882" t="s">
        <v>29</v>
      </c>
    </row>
    <row r="883" spans="1:25" x14ac:dyDescent="0.2">
      <c r="A883" t="s">
        <v>3259</v>
      </c>
      <c r="B883" t="s">
        <v>3260</v>
      </c>
      <c r="C883" t="s">
        <v>3261</v>
      </c>
      <c r="D883" t="s">
        <v>1702</v>
      </c>
      <c r="E883" t="s">
        <v>3260</v>
      </c>
      <c r="F883" t="s">
        <v>28</v>
      </c>
      <c r="G883" t="s">
        <v>3260</v>
      </c>
      <c r="H883" t="str">
        <f>"alg-2"</f>
        <v>alg-2</v>
      </c>
      <c r="I883" t="s">
        <v>1702</v>
      </c>
      <c r="J883">
        <v>15.9593574015827</v>
      </c>
      <c r="K883">
        <v>16.3572868065488</v>
      </c>
      <c r="L883">
        <v>16.326762690959001</v>
      </c>
      <c r="M883">
        <v>16.242180596244602</v>
      </c>
      <c r="N883">
        <v>16.627093529113399</v>
      </c>
      <c r="O883">
        <v>16.330388173030801</v>
      </c>
      <c r="P883">
        <v>0.18541846643274301</v>
      </c>
      <c r="Q883">
        <v>-0.30185009618002001</v>
      </c>
      <c r="R883">
        <v>0.67268702904550703</v>
      </c>
      <c r="S883">
        <v>16.507291802606801</v>
      </c>
      <c r="T883">
        <v>0.79979209119833805</v>
      </c>
      <c r="U883">
        <v>-6.8265044757770497</v>
      </c>
      <c r="V883">
        <v>0.43432031456547598</v>
      </c>
      <c r="W883">
        <v>0.59978536411642802</v>
      </c>
      <c r="X883">
        <v>0</v>
      </c>
      <c r="Y883">
        <v>0</v>
      </c>
    </row>
    <row r="884" spans="1:25" x14ac:dyDescent="0.2">
      <c r="A884" t="s">
        <v>3262</v>
      </c>
      <c r="B884" t="s">
        <v>3263</v>
      </c>
      <c r="C884" t="s">
        <v>14342</v>
      </c>
      <c r="D884" t="s">
        <v>3264</v>
      </c>
      <c r="E884" t="s">
        <v>3263</v>
      </c>
      <c r="F884" t="s">
        <v>28</v>
      </c>
      <c r="G884" t="s">
        <v>3263</v>
      </c>
      <c r="H884" t="str">
        <f>"T07D3.9"</f>
        <v>T07D3.9</v>
      </c>
      <c r="I884" t="s">
        <v>3264</v>
      </c>
      <c r="J884">
        <v>15.7374834040036</v>
      </c>
      <c r="K884">
        <v>15.5792232721403</v>
      </c>
      <c r="L884">
        <v>15.645189565291499</v>
      </c>
      <c r="M884">
        <v>14.8447960208167</v>
      </c>
      <c r="N884">
        <v>14.9360189720727</v>
      </c>
      <c r="O884">
        <v>15.5108875755309</v>
      </c>
      <c r="P884">
        <v>-0.556731224338334</v>
      </c>
      <c r="Q884">
        <v>-1.0803624238754199</v>
      </c>
      <c r="R884">
        <v>-3.3100024801249302E-2</v>
      </c>
      <c r="S884">
        <v>15.224058973511299</v>
      </c>
      <c r="T884">
        <v>-2.2346657737301299</v>
      </c>
      <c r="U884">
        <v>-4.8467560613809999</v>
      </c>
      <c r="V884">
        <v>3.8436504854269103E-2</v>
      </c>
      <c r="W884">
        <v>0.115231312111425</v>
      </c>
      <c r="X884">
        <v>0</v>
      </c>
      <c r="Y884">
        <v>0</v>
      </c>
    </row>
    <row r="885" spans="1:25" x14ac:dyDescent="0.2">
      <c r="A885" t="s">
        <v>3265</v>
      </c>
      <c r="B885" t="s">
        <v>3266</v>
      </c>
      <c r="C885" t="s">
        <v>3267</v>
      </c>
      <c r="D885" t="s">
        <v>3268</v>
      </c>
      <c r="E885" t="s">
        <v>3266</v>
      </c>
      <c r="F885" t="s">
        <v>28</v>
      </c>
      <c r="G885" t="s">
        <v>3266</v>
      </c>
      <c r="H885" t="str">
        <f>"pat-6"</f>
        <v>pat-6</v>
      </c>
      <c r="I885" t="s">
        <v>3268</v>
      </c>
      <c r="J885" t="s">
        <v>29</v>
      </c>
      <c r="K885" t="s">
        <v>29</v>
      </c>
      <c r="L885">
        <v>13.1723134147524</v>
      </c>
      <c r="M885" t="s">
        <v>29</v>
      </c>
      <c r="N885" t="s">
        <v>29</v>
      </c>
      <c r="O885">
        <v>13.509496590601501</v>
      </c>
      <c r="P885">
        <v>0.33718317584909002</v>
      </c>
      <c r="Q885">
        <v>-0.72552397824904402</v>
      </c>
      <c r="R885">
        <v>1.3998903299472201</v>
      </c>
      <c r="S885">
        <v>12.849343026135401</v>
      </c>
      <c r="T885">
        <v>0.686024359581212</v>
      </c>
      <c r="U885">
        <v>-6.3683572655470799</v>
      </c>
      <c r="V885">
        <v>0.50484595722459502</v>
      </c>
      <c r="W885">
        <v>0.65801903402958095</v>
      </c>
      <c r="X885">
        <v>0</v>
      </c>
      <c r="Y885">
        <v>0</v>
      </c>
    </row>
    <row r="886" spans="1:25" x14ac:dyDescent="0.2">
      <c r="A886" t="s">
        <v>3269</v>
      </c>
      <c r="B886" t="s">
        <v>3270</v>
      </c>
      <c r="C886" t="s">
        <v>3271</v>
      </c>
      <c r="D886" t="s">
        <v>915</v>
      </c>
      <c r="E886" t="s">
        <v>3270</v>
      </c>
      <c r="F886" t="s">
        <v>28</v>
      </c>
      <c r="G886" t="s">
        <v>3270</v>
      </c>
      <c r="H886" t="str">
        <f>"pqbp-1.1"</f>
        <v>pqbp-1.1</v>
      </c>
      <c r="I886" t="s">
        <v>915</v>
      </c>
      <c r="J886">
        <v>10.701830984787099</v>
      </c>
      <c r="K886">
        <v>10.466735318173299</v>
      </c>
      <c r="L886">
        <v>11.182171280730101</v>
      </c>
      <c r="M886" t="s">
        <v>29</v>
      </c>
      <c r="N886" t="s">
        <v>29</v>
      </c>
      <c r="O886">
        <v>10.1928066761641</v>
      </c>
      <c r="P886">
        <v>-0.59077251839934397</v>
      </c>
      <c r="Q886">
        <v>-1.24031881283083</v>
      </c>
      <c r="R886">
        <v>5.8773776032138E-2</v>
      </c>
      <c r="S886">
        <v>11.9576414999426</v>
      </c>
      <c r="T886">
        <v>-1.96651570657699</v>
      </c>
      <c r="U886">
        <v>-5.0151225703156204</v>
      </c>
      <c r="V886">
        <v>7.1139804354524994E-2</v>
      </c>
      <c r="W886">
        <v>0.173120564354075</v>
      </c>
      <c r="X886">
        <v>0</v>
      </c>
      <c r="Y886">
        <v>0</v>
      </c>
    </row>
    <row r="887" spans="1:25" x14ac:dyDescent="0.2">
      <c r="A887" t="s">
        <v>3272</v>
      </c>
      <c r="B887" t="s">
        <v>3273</v>
      </c>
      <c r="C887" t="s">
        <v>3274</v>
      </c>
      <c r="D887" t="s">
        <v>3275</v>
      </c>
      <c r="E887" t="s">
        <v>3273</v>
      </c>
      <c r="F887" t="s">
        <v>28</v>
      </c>
      <c r="G887" t="s">
        <v>3273</v>
      </c>
      <c r="H887" t="str">
        <f>"daf-16"</f>
        <v>daf-16</v>
      </c>
      <c r="I887" t="s">
        <v>3275</v>
      </c>
      <c r="J887" t="s">
        <v>29</v>
      </c>
      <c r="K887" t="s">
        <v>29</v>
      </c>
      <c r="L887">
        <v>12.3587376103845</v>
      </c>
      <c r="M887" t="s">
        <v>29</v>
      </c>
      <c r="N887" t="s">
        <v>29</v>
      </c>
      <c r="O887">
        <v>14.4457034767069</v>
      </c>
      <c r="P887">
        <v>2.08696586632241</v>
      </c>
      <c r="Q887">
        <v>0.107704789256717</v>
      </c>
      <c r="R887">
        <v>4.0662269433881004</v>
      </c>
      <c r="S887">
        <v>14.131925508877099</v>
      </c>
      <c r="T887">
        <v>2.3234854386964701</v>
      </c>
      <c r="U887">
        <v>-4.2711081146249104</v>
      </c>
      <c r="V887">
        <v>4.0539320331535802E-2</v>
      </c>
      <c r="W887">
        <v>0.11873416348898901</v>
      </c>
      <c r="X887">
        <v>1</v>
      </c>
      <c r="Y887">
        <v>0</v>
      </c>
    </row>
    <row r="888" spans="1:25" x14ac:dyDescent="0.2">
      <c r="A888" t="s">
        <v>3276</v>
      </c>
      <c r="B888" t="s">
        <v>3277</v>
      </c>
      <c r="C888" t="s">
        <v>14343</v>
      </c>
      <c r="D888" t="s">
        <v>3278</v>
      </c>
      <c r="E888" t="s">
        <v>3277</v>
      </c>
      <c r="F888" t="s">
        <v>28</v>
      </c>
      <c r="G888" t="s">
        <v>3277</v>
      </c>
      <c r="H888" t="str">
        <f>"F10D2.10"</f>
        <v>F10D2.10</v>
      </c>
      <c r="I888" t="s">
        <v>3278</v>
      </c>
      <c r="J888">
        <v>12.396125451677699</v>
      </c>
      <c r="K888">
        <v>13.060572892747601</v>
      </c>
      <c r="L888">
        <v>12.917421468555499</v>
      </c>
      <c r="M888" t="s">
        <v>29</v>
      </c>
      <c r="N888">
        <v>13.058776642740201</v>
      </c>
      <c r="O888">
        <v>12.794391127552201</v>
      </c>
      <c r="P888">
        <v>0.135210614152559</v>
      </c>
      <c r="Q888">
        <v>-0.701001562525711</v>
      </c>
      <c r="R888">
        <v>0.97142279083082905</v>
      </c>
      <c r="S888">
        <v>13.3054709814954</v>
      </c>
      <c r="T888">
        <v>0.34130630510037502</v>
      </c>
      <c r="U888">
        <v>-6.9844533137312403</v>
      </c>
      <c r="V888">
        <v>0.73708097150555096</v>
      </c>
      <c r="W888">
        <v>0.830810459118972</v>
      </c>
      <c r="X888">
        <v>0</v>
      </c>
      <c r="Y888">
        <v>0</v>
      </c>
    </row>
    <row r="889" spans="1:25" x14ac:dyDescent="0.2">
      <c r="A889" t="s">
        <v>3279</v>
      </c>
      <c r="B889" t="s">
        <v>3280</v>
      </c>
      <c r="C889" t="s">
        <v>3281</v>
      </c>
      <c r="D889" t="s">
        <v>3282</v>
      </c>
      <c r="E889" t="s">
        <v>3280</v>
      </c>
      <c r="F889" t="s">
        <v>28</v>
      </c>
      <c r="G889" t="s">
        <v>3280</v>
      </c>
      <c r="H889" t="str">
        <f>"asns-1"</f>
        <v>asns-1</v>
      </c>
      <c r="I889" t="s">
        <v>3282</v>
      </c>
      <c r="J889" t="s">
        <v>29</v>
      </c>
      <c r="K889" t="s">
        <v>29</v>
      </c>
      <c r="L889" t="s">
        <v>29</v>
      </c>
      <c r="M889" t="s">
        <v>29</v>
      </c>
      <c r="N889" t="s">
        <v>29</v>
      </c>
      <c r="O889" t="s">
        <v>29</v>
      </c>
      <c r="P889" t="s">
        <v>29</v>
      </c>
      <c r="Q889" t="s">
        <v>29</v>
      </c>
      <c r="R889" t="s">
        <v>29</v>
      </c>
      <c r="S889">
        <v>11.5845288361649</v>
      </c>
      <c r="T889" t="s">
        <v>29</v>
      </c>
      <c r="U889" t="s">
        <v>29</v>
      </c>
      <c r="V889" t="s">
        <v>29</v>
      </c>
      <c r="W889" t="s">
        <v>29</v>
      </c>
      <c r="X889" t="s">
        <v>29</v>
      </c>
      <c r="Y889" t="s">
        <v>29</v>
      </c>
    </row>
    <row r="890" spans="1:25" x14ac:dyDescent="0.2">
      <c r="A890" t="s">
        <v>3283</v>
      </c>
      <c r="B890" t="s">
        <v>3284</v>
      </c>
      <c r="C890" t="s">
        <v>3285</v>
      </c>
      <c r="D890" t="s">
        <v>3286</v>
      </c>
      <c r="E890" t="s">
        <v>3284</v>
      </c>
      <c r="F890" t="s">
        <v>28</v>
      </c>
      <c r="G890" t="s">
        <v>3284</v>
      </c>
      <c r="H890" t="str">
        <f>"F25G6.8"</f>
        <v>F25G6.8</v>
      </c>
      <c r="I890" t="s">
        <v>3286</v>
      </c>
      <c r="J890">
        <v>14.891172579747399</v>
      </c>
      <c r="K890">
        <v>14.974454442905101</v>
      </c>
      <c r="L890">
        <v>14.7282934597718</v>
      </c>
      <c r="M890">
        <v>13.8237721596432</v>
      </c>
      <c r="N890">
        <v>14.206884722726899</v>
      </c>
      <c r="O890">
        <v>14.7142541847898</v>
      </c>
      <c r="P890">
        <v>-0.61633647175477602</v>
      </c>
      <c r="Q890">
        <v>-1.2078091004537099</v>
      </c>
      <c r="R890">
        <v>-2.4863843055844801E-2</v>
      </c>
      <c r="S890">
        <v>14.2297170332667</v>
      </c>
      <c r="T890">
        <v>-2.19015942662327</v>
      </c>
      <c r="U890">
        <v>-4.9277745042922003</v>
      </c>
      <c r="V890">
        <v>4.2003775753984403E-2</v>
      </c>
      <c r="W890">
        <v>0.120883913229484</v>
      </c>
      <c r="X890">
        <v>0</v>
      </c>
      <c r="Y890">
        <v>0</v>
      </c>
    </row>
    <row r="891" spans="1:25" x14ac:dyDescent="0.2">
      <c r="A891" t="s">
        <v>3287</v>
      </c>
      <c r="B891" t="s">
        <v>3288</v>
      </c>
      <c r="C891" t="s">
        <v>14344</v>
      </c>
      <c r="D891" t="s">
        <v>3286</v>
      </c>
      <c r="E891" t="s">
        <v>3288</v>
      </c>
      <c r="F891" t="s">
        <v>28</v>
      </c>
      <c r="G891" t="s">
        <v>3288</v>
      </c>
      <c r="H891" t="str">
        <f>"F25G6.9"</f>
        <v>F25G6.9</v>
      </c>
      <c r="I891" t="s">
        <v>3286</v>
      </c>
      <c r="J891">
        <v>14.4631984946241</v>
      </c>
      <c r="K891">
        <v>14.3796091407422</v>
      </c>
      <c r="L891">
        <v>14.3635171366757</v>
      </c>
      <c r="M891">
        <v>14.359189234444999</v>
      </c>
      <c r="N891">
        <v>14.1220015798042</v>
      </c>
      <c r="O891">
        <v>14.5407187804099</v>
      </c>
      <c r="P891">
        <v>-6.14717257943092E-2</v>
      </c>
      <c r="Q891">
        <v>-0.43688921734038499</v>
      </c>
      <c r="R891">
        <v>0.31394576575176603</v>
      </c>
      <c r="S891">
        <v>14.333903966064801</v>
      </c>
      <c r="T891">
        <v>-0.34415447069473298</v>
      </c>
      <c r="U891">
        <v>-7.09435040389861</v>
      </c>
      <c r="V891">
        <v>0.73474118015883805</v>
      </c>
      <c r="W891">
        <v>0.829610060508849</v>
      </c>
      <c r="X891">
        <v>0</v>
      </c>
      <c r="Y891">
        <v>0</v>
      </c>
    </row>
    <row r="892" spans="1:25" x14ac:dyDescent="0.2">
      <c r="A892" t="s">
        <v>3289</v>
      </c>
      <c r="B892" t="s">
        <v>3290</v>
      </c>
      <c r="C892" t="s">
        <v>3291</v>
      </c>
      <c r="D892" t="s">
        <v>3292</v>
      </c>
      <c r="E892" t="s">
        <v>3290</v>
      </c>
      <c r="F892" t="s">
        <v>28</v>
      </c>
      <c r="G892" t="s">
        <v>3290</v>
      </c>
      <c r="H892" t="str">
        <f>"symk-1"</f>
        <v>symk-1</v>
      </c>
      <c r="I892" t="s">
        <v>3292</v>
      </c>
      <c r="J892">
        <v>12.5188134912261</v>
      </c>
      <c r="K892">
        <v>11.5361289286289</v>
      </c>
      <c r="L892">
        <v>12.218278634214499</v>
      </c>
      <c r="M892" t="s">
        <v>29</v>
      </c>
      <c r="N892">
        <v>11.538394132123001</v>
      </c>
      <c r="O892">
        <v>11.757881408913599</v>
      </c>
      <c r="P892">
        <v>-0.44293591417151401</v>
      </c>
      <c r="Q892">
        <v>-1.10829864374808</v>
      </c>
      <c r="R892">
        <v>0.22242681540505199</v>
      </c>
      <c r="S892">
        <v>12.4201992362268</v>
      </c>
      <c r="T892">
        <v>-1.4051815479421399</v>
      </c>
      <c r="U892">
        <v>-6.0642768309003596</v>
      </c>
      <c r="V892">
        <v>0.17808829899561399</v>
      </c>
      <c r="W892">
        <v>0.33112803594844997</v>
      </c>
      <c r="X892">
        <v>0</v>
      </c>
      <c r="Y892">
        <v>0</v>
      </c>
    </row>
    <row r="893" spans="1:25" x14ac:dyDescent="0.2">
      <c r="A893" t="s">
        <v>3293</v>
      </c>
      <c r="B893" t="s">
        <v>3294</v>
      </c>
      <c r="C893" t="s">
        <v>3295</v>
      </c>
      <c r="D893" t="s">
        <v>3296</v>
      </c>
      <c r="E893" t="s">
        <v>3294</v>
      </c>
      <c r="F893" t="s">
        <v>28</v>
      </c>
      <c r="G893" t="s">
        <v>3294</v>
      </c>
      <c r="H893" t="str">
        <f>"sftb-2"</f>
        <v>sftb-2</v>
      </c>
      <c r="I893" t="s">
        <v>3296</v>
      </c>
      <c r="J893">
        <v>11.895747293608</v>
      </c>
      <c r="K893" t="s">
        <v>29</v>
      </c>
      <c r="L893">
        <v>12.4324382001455</v>
      </c>
      <c r="M893" t="s">
        <v>29</v>
      </c>
      <c r="N893">
        <v>14.186215509022301</v>
      </c>
      <c r="O893">
        <v>12.8415340909806</v>
      </c>
      <c r="P893">
        <v>1.34978205312474</v>
      </c>
      <c r="Q893">
        <v>0.44779010348541298</v>
      </c>
      <c r="R893">
        <v>2.2517740027640598</v>
      </c>
      <c r="S893">
        <v>12.5587850483686</v>
      </c>
      <c r="T893">
        <v>3.21183244396599</v>
      </c>
      <c r="U893">
        <v>-2.86879921472261</v>
      </c>
      <c r="V893">
        <v>6.3232228702854503E-3</v>
      </c>
      <c r="W893">
        <v>3.3157540567137399E-2</v>
      </c>
      <c r="X893">
        <v>1</v>
      </c>
      <c r="Y893">
        <v>1</v>
      </c>
    </row>
    <row r="894" spans="1:25" x14ac:dyDescent="0.2">
      <c r="A894" t="s">
        <v>3297</v>
      </c>
      <c r="B894" t="s">
        <v>3298</v>
      </c>
      <c r="C894" t="s">
        <v>3299</v>
      </c>
      <c r="D894" t="s">
        <v>3300</v>
      </c>
      <c r="E894" t="s">
        <v>3298</v>
      </c>
      <c r="F894" t="s">
        <v>28</v>
      </c>
      <c r="G894" t="s">
        <v>3298</v>
      </c>
      <c r="H894" t="str">
        <f>"natc-1"</f>
        <v>natc-1</v>
      </c>
      <c r="I894" t="s">
        <v>3300</v>
      </c>
      <c r="J894">
        <v>12.171743768465101</v>
      </c>
      <c r="K894">
        <v>11.878978978488099</v>
      </c>
      <c r="L894">
        <v>12.415713199401001</v>
      </c>
      <c r="M894">
        <v>16.023242154385301</v>
      </c>
      <c r="N894">
        <v>15.7701545254564</v>
      </c>
      <c r="O894">
        <v>15.8809710068527</v>
      </c>
      <c r="P894">
        <v>3.73597724678014</v>
      </c>
      <c r="Q894">
        <v>2.8598892499611499</v>
      </c>
      <c r="R894">
        <v>4.6120652435991198</v>
      </c>
      <c r="S894">
        <v>14.216612206504299</v>
      </c>
      <c r="T894">
        <v>8.9629093818706806</v>
      </c>
      <c r="U894">
        <v>8.6811875455226204</v>
      </c>
      <c r="V894" s="2">
        <v>4.9168009050804103E-8</v>
      </c>
      <c r="W894" s="2">
        <v>3.9161654776410802E-6</v>
      </c>
      <c r="X894">
        <v>1</v>
      </c>
      <c r="Y894">
        <v>1</v>
      </c>
    </row>
    <row r="895" spans="1:25" x14ac:dyDescent="0.2">
      <c r="A895" t="s">
        <v>3301</v>
      </c>
      <c r="B895" t="s">
        <v>3302</v>
      </c>
      <c r="C895" t="s">
        <v>3303</v>
      </c>
      <c r="D895" t="s">
        <v>3304</v>
      </c>
      <c r="E895" t="s">
        <v>3302</v>
      </c>
      <c r="F895" t="s">
        <v>28</v>
      </c>
      <c r="G895" t="s">
        <v>3302</v>
      </c>
      <c r="H895" t="str">
        <f>"mrps-2"</f>
        <v>mrps-2</v>
      </c>
      <c r="I895" t="s">
        <v>3304</v>
      </c>
      <c r="J895">
        <v>13.9133608155838</v>
      </c>
      <c r="K895">
        <v>13.919798278212699</v>
      </c>
      <c r="L895">
        <v>13.7416953066947</v>
      </c>
      <c r="M895" t="s">
        <v>29</v>
      </c>
      <c r="N895">
        <v>13.881226946870299</v>
      </c>
      <c r="O895">
        <v>11.748365590108</v>
      </c>
      <c r="P895">
        <v>-1.0434885316745699</v>
      </c>
      <c r="Q895">
        <v>-1.99286698833487</v>
      </c>
      <c r="R895">
        <v>-9.4110075014283506E-2</v>
      </c>
      <c r="S895">
        <v>13.260181271195901</v>
      </c>
      <c r="T895">
        <v>-2.32005521643128</v>
      </c>
      <c r="U895">
        <v>-4.5920828680490597</v>
      </c>
      <c r="V895">
        <v>3.3119496723929297E-2</v>
      </c>
      <c r="W895">
        <v>0.10394372401003101</v>
      </c>
      <c r="X895">
        <v>-1</v>
      </c>
      <c r="Y895">
        <v>0</v>
      </c>
    </row>
    <row r="896" spans="1:25" x14ac:dyDescent="0.2">
      <c r="A896" t="s">
        <v>3305</v>
      </c>
      <c r="B896" t="s">
        <v>3306</v>
      </c>
      <c r="C896" t="s">
        <v>3307</v>
      </c>
      <c r="D896" t="s">
        <v>3308</v>
      </c>
      <c r="E896" t="s">
        <v>3306</v>
      </c>
      <c r="F896" t="s">
        <v>28</v>
      </c>
      <c r="G896" t="s">
        <v>3306</v>
      </c>
      <c r="H896" t="str">
        <f>"mrpl-4"</f>
        <v>mrpl-4</v>
      </c>
      <c r="I896" t="s">
        <v>3308</v>
      </c>
      <c r="J896">
        <v>13.884212091958799</v>
      </c>
      <c r="K896">
        <v>14.369450416202699</v>
      </c>
      <c r="L896">
        <v>14.158112841317701</v>
      </c>
      <c r="M896" t="s">
        <v>29</v>
      </c>
      <c r="N896">
        <v>10.6485438146044</v>
      </c>
      <c r="O896">
        <v>13.5199030975859</v>
      </c>
      <c r="P896">
        <v>-2.0530349937313002</v>
      </c>
      <c r="Q896">
        <v>-3.0935749406452899</v>
      </c>
      <c r="R896">
        <v>-1.0124950468173</v>
      </c>
      <c r="S896">
        <v>14.0218213588383</v>
      </c>
      <c r="T896">
        <v>-4.1647372509017497</v>
      </c>
      <c r="U896">
        <v>-0.79324796418638799</v>
      </c>
      <c r="V896">
        <v>6.5701413802493798E-4</v>
      </c>
      <c r="W896">
        <v>6.8799090564753704E-3</v>
      </c>
      <c r="X896">
        <v>-1</v>
      </c>
      <c r="Y896">
        <v>-1</v>
      </c>
    </row>
    <row r="897" spans="1:25" x14ac:dyDescent="0.2">
      <c r="A897" t="s">
        <v>3309</v>
      </c>
      <c r="B897" t="s">
        <v>3310</v>
      </c>
      <c r="C897" t="s">
        <v>3311</v>
      </c>
      <c r="D897" t="s">
        <v>3312</v>
      </c>
      <c r="E897" t="s">
        <v>3310</v>
      </c>
      <c r="F897" t="s">
        <v>28</v>
      </c>
      <c r="G897" t="s">
        <v>3313</v>
      </c>
      <c r="H897" t="str">
        <f>"col-142"</f>
        <v>col-142</v>
      </c>
      <c r="I897" t="s">
        <v>3312</v>
      </c>
      <c r="J897">
        <v>12.7143818652285</v>
      </c>
      <c r="K897" t="s">
        <v>29</v>
      </c>
      <c r="L897">
        <v>13.6065787890244</v>
      </c>
      <c r="M897" t="s">
        <v>29</v>
      </c>
      <c r="N897" t="s">
        <v>29</v>
      </c>
      <c r="O897">
        <v>11.735633870224</v>
      </c>
      <c r="P897">
        <v>-1.4248464569024399</v>
      </c>
      <c r="Q897">
        <v>-2.5748856820728601</v>
      </c>
      <c r="R897">
        <v>-0.27480723173202098</v>
      </c>
      <c r="S897">
        <v>13.8810268505958</v>
      </c>
      <c r="T897">
        <v>-2.7020938307664299</v>
      </c>
      <c r="U897">
        <v>-3.7212547945092802</v>
      </c>
      <c r="V897">
        <v>1.9363856650458401E-2</v>
      </c>
      <c r="W897">
        <v>7.1780233394843795E-2</v>
      </c>
      <c r="X897">
        <v>-1</v>
      </c>
      <c r="Y897">
        <v>0</v>
      </c>
    </row>
    <row r="898" spans="1:25" x14ac:dyDescent="0.2">
      <c r="A898" t="s">
        <v>3314</v>
      </c>
      <c r="B898" t="s">
        <v>3315</v>
      </c>
      <c r="C898" t="s">
        <v>3316</v>
      </c>
      <c r="D898" t="s">
        <v>3317</v>
      </c>
      <c r="E898" t="s">
        <v>3315</v>
      </c>
      <c r="F898" t="s">
        <v>28</v>
      </c>
      <c r="G898" t="s">
        <v>3315</v>
      </c>
      <c r="H898" t="str">
        <f>"hpo-8"</f>
        <v>hpo-8</v>
      </c>
      <c r="I898" t="s">
        <v>3317</v>
      </c>
      <c r="J898">
        <v>16.3952023806998</v>
      </c>
      <c r="K898">
        <v>16.6109537673441</v>
      </c>
      <c r="L898">
        <v>17.387090863166598</v>
      </c>
      <c r="M898">
        <v>14.7929179725697</v>
      </c>
      <c r="N898">
        <v>16.4702481340132</v>
      </c>
      <c r="O898">
        <v>15.8241129389167</v>
      </c>
      <c r="P898">
        <v>-1.1019893219036201</v>
      </c>
      <c r="Q898">
        <v>-1.7734324443971901</v>
      </c>
      <c r="R898">
        <v>-0.43054619941004801</v>
      </c>
      <c r="S898">
        <v>16.980789765872998</v>
      </c>
      <c r="T898">
        <v>-3.44953590466696</v>
      </c>
      <c r="U898">
        <v>-2.3773838491434098</v>
      </c>
      <c r="V898">
        <v>2.8794345766654998E-3</v>
      </c>
      <c r="W898">
        <v>1.9014871258724201E-2</v>
      </c>
      <c r="X898">
        <v>-1</v>
      </c>
      <c r="Y898">
        <v>-1</v>
      </c>
    </row>
    <row r="899" spans="1:25" x14ac:dyDescent="0.2">
      <c r="A899" t="s">
        <v>3318</v>
      </c>
      <c r="B899" t="s">
        <v>3319</v>
      </c>
      <c r="C899" t="s">
        <v>14345</v>
      </c>
      <c r="D899" t="s">
        <v>3320</v>
      </c>
      <c r="E899" t="s">
        <v>3319</v>
      </c>
      <c r="F899" t="s">
        <v>28</v>
      </c>
      <c r="G899" t="s">
        <v>3319</v>
      </c>
      <c r="H899" t="str">
        <f>"F23F1.5"</f>
        <v>F23F1.5</v>
      </c>
      <c r="I899" t="s">
        <v>3320</v>
      </c>
      <c r="J899">
        <v>12.782495314955</v>
      </c>
      <c r="K899">
        <v>13.247449634403001</v>
      </c>
      <c r="L899" t="s">
        <v>29</v>
      </c>
      <c r="M899" t="s">
        <v>29</v>
      </c>
      <c r="N899" t="s">
        <v>29</v>
      </c>
      <c r="O899" t="s">
        <v>29</v>
      </c>
      <c r="P899" t="s">
        <v>29</v>
      </c>
      <c r="Q899" t="s">
        <v>29</v>
      </c>
      <c r="R899" t="s">
        <v>29</v>
      </c>
      <c r="S899">
        <v>12.5168368534548</v>
      </c>
      <c r="T899" t="s">
        <v>29</v>
      </c>
      <c r="U899" t="s">
        <v>29</v>
      </c>
      <c r="V899" t="s">
        <v>29</v>
      </c>
      <c r="W899" t="s">
        <v>29</v>
      </c>
      <c r="X899" t="s">
        <v>29</v>
      </c>
      <c r="Y899" t="s">
        <v>29</v>
      </c>
    </row>
    <row r="900" spans="1:25" x14ac:dyDescent="0.2">
      <c r="A900" t="s">
        <v>3321</v>
      </c>
      <c r="B900" t="s">
        <v>3322</v>
      </c>
      <c r="C900" t="s">
        <v>3323</v>
      </c>
      <c r="D900" t="s">
        <v>3324</v>
      </c>
      <c r="E900" t="s">
        <v>3322</v>
      </c>
      <c r="F900" t="s">
        <v>28</v>
      </c>
      <c r="G900" t="s">
        <v>3322</v>
      </c>
      <c r="H900" t="str">
        <f>"rpt-4"</f>
        <v>rpt-4</v>
      </c>
      <c r="I900" t="s">
        <v>3324</v>
      </c>
      <c r="J900">
        <v>15.3106977399458</v>
      </c>
      <c r="K900">
        <v>15.226282450868201</v>
      </c>
      <c r="L900">
        <v>15.294524283193599</v>
      </c>
      <c r="M900">
        <v>15.140386156630299</v>
      </c>
      <c r="N900">
        <v>14.8703913354751</v>
      </c>
      <c r="O900">
        <v>15.239738772151201</v>
      </c>
      <c r="P900">
        <v>-0.19366273658367</v>
      </c>
      <c r="Q900">
        <v>-0.554955740228814</v>
      </c>
      <c r="R900">
        <v>0.16763026706147299</v>
      </c>
      <c r="S900">
        <v>15.163354513156399</v>
      </c>
      <c r="T900">
        <v>-1.1266240709558599</v>
      </c>
      <c r="U900">
        <v>-6.5128887076256898</v>
      </c>
      <c r="V900">
        <v>0.27478315832129102</v>
      </c>
      <c r="W900">
        <v>0.44250599320920397</v>
      </c>
      <c r="X900">
        <v>0</v>
      </c>
      <c r="Y900">
        <v>0</v>
      </c>
    </row>
    <row r="901" spans="1:25" x14ac:dyDescent="0.2">
      <c r="A901" t="s">
        <v>3325</v>
      </c>
      <c r="B901" t="s">
        <v>3326</v>
      </c>
      <c r="C901" t="s">
        <v>3327</v>
      </c>
      <c r="D901" t="s">
        <v>3328</v>
      </c>
      <c r="E901" t="s">
        <v>3326</v>
      </c>
      <c r="F901" t="s">
        <v>28</v>
      </c>
      <c r="G901" t="s">
        <v>3326</v>
      </c>
      <c r="H901" t="str">
        <f>"gld-2"</f>
        <v>gld-2</v>
      </c>
      <c r="I901" t="s">
        <v>3328</v>
      </c>
      <c r="J901">
        <v>14.6241995885687</v>
      </c>
      <c r="K901">
        <v>14.513371305676801</v>
      </c>
      <c r="L901">
        <v>15.3573294181686</v>
      </c>
      <c r="M901">
        <v>14.5339010900268</v>
      </c>
      <c r="N901">
        <v>15.263452543769301</v>
      </c>
      <c r="O901">
        <v>13.856380760677</v>
      </c>
      <c r="P901">
        <v>-0.28038863931365698</v>
      </c>
      <c r="Q901">
        <v>-0.891072101371709</v>
      </c>
      <c r="R901">
        <v>0.33029482274439598</v>
      </c>
      <c r="S901">
        <v>15.2377035536554</v>
      </c>
      <c r="T901">
        <v>-0.96502100665447399</v>
      </c>
      <c r="U901">
        <v>-6.6799455734114099</v>
      </c>
      <c r="V901">
        <v>0.34739545058924898</v>
      </c>
      <c r="W901">
        <v>0.51758058285465902</v>
      </c>
      <c r="X901">
        <v>0</v>
      </c>
      <c r="Y901">
        <v>0</v>
      </c>
    </row>
    <row r="902" spans="1:25" x14ac:dyDescent="0.2">
      <c r="A902" t="s">
        <v>3329</v>
      </c>
      <c r="B902" t="s">
        <v>3330</v>
      </c>
      <c r="C902" t="s">
        <v>3331</v>
      </c>
      <c r="D902" t="s">
        <v>2791</v>
      </c>
      <c r="E902" t="s">
        <v>3330</v>
      </c>
      <c r="F902" t="s">
        <v>28</v>
      </c>
      <c r="G902" t="s">
        <v>3330</v>
      </c>
      <c r="H902" t="str">
        <f>"C24H12.4"</f>
        <v>C24H12.4</v>
      </c>
      <c r="I902" t="s">
        <v>2791</v>
      </c>
      <c r="J902">
        <v>15.8855725652828</v>
      </c>
      <c r="K902">
        <v>15.9809155732787</v>
      </c>
      <c r="L902">
        <v>16.130757071422298</v>
      </c>
      <c r="M902">
        <v>15.4452219264529</v>
      </c>
      <c r="N902">
        <v>15.905271686863699</v>
      </c>
      <c r="O902">
        <v>15.444536568677</v>
      </c>
      <c r="P902">
        <v>-0.40073834266337699</v>
      </c>
      <c r="Q902">
        <v>-0.81365010306311603</v>
      </c>
      <c r="R902">
        <v>1.21734177363615E-2</v>
      </c>
      <c r="S902">
        <v>16.292277822433402</v>
      </c>
      <c r="T902">
        <v>-2.0398402566601099</v>
      </c>
      <c r="U902">
        <v>-5.1942857755158602</v>
      </c>
      <c r="V902">
        <v>5.6409184414740299E-2</v>
      </c>
      <c r="W902">
        <v>0.148426666491285</v>
      </c>
      <c r="X902">
        <v>0</v>
      </c>
      <c r="Y902">
        <v>0</v>
      </c>
    </row>
    <row r="903" spans="1:25" x14ac:dyDescent="0.2">
      <c r="A903" t="s">
        <v>3332</v>
      </c>
      <c r="B903" t="s">
        <v>3333</v>
      </c>
      <c r="C903" t="s">
        <v>3334</v>
      </c>
      <c r="D903" t="s">
        <v>3335</v>
      </c>
      <c r="E903" t="s">
        <v>3333</v>
      </c>
      <c r="F903" t="s">
        <v>28</v>
      </c>
      <c r="G903" t="s">
        <v>3333</v>
      </c>
      <c r="H903" t="str">
        <f>"best-3"</f>
        <v>best-3</v>
      </c>
      <c r="I903" t="s">
        <v>3335</v>
      </c>
      <c r="J903" t="s">
        <v>29</v>
      </c>
      <c r="K903" t="s">
        <v>29</v>
      </c>
      <c r="L903" t="s">
        <v>29</v>
      </c>
      <c r="M903" t="s">
        <v>29</v>
      </c>
      <c r="N903" t="s">
        <v>29</v>
      </c>
      <c r="O903">
        <v>12.4197823704648</v>
      </c>
      <c r="P903" t="s">
        <v>29</v>
      </c>
      <c r="Q903" t="s">
        <v>29</v>
      </c>
      <c r="R903" t="s">
        <v>29</v>
      </c>
      <c r="S903">
        <v>11.5006968717408</v>
      </c>
      <c r="T903" t="s">
        <v>29</v>
      </c>
      <c r="U903" t="s">
        <v>29</v>
      </c>
      <c r="V903" t="s">
        <v>29</v>
      </c>
      <c r="W903" t="s">
        <v>29</v>
      </c>
      <c r="X903" t="s">
        <v>29</v>
      </c>
      <c r="Y903" t="s">
        <v>29</v>
      </c>
    </row>
    <row r="904" spans="1:25" x14ac:dyDescent="0.2">
      <c r="A904" t="s">
        <v>3336</v>
      </c>
      <c r="B904" t="s">
        <v>3337</v>
      </c>
      <c r="C904" t="s">
        <v>3338</v>
      </c>
      <c r="D904" t="s">
        <v>3339</v>
      </c>
      <c r="E904" t="s">
        <v>3337</v>
      </c>
      <c r="F904" t="s">
        <v>28</v>
      </c>
      <c r="G904" t="s">
        <v>3337</v>
      </c>
      <c r="H904" t="str">
        <f>"fum-1"</f>
        <v>fum-1</v>
      </c>
      <c r="I904" t="s">
        <v>3339</v>
      </c>
      <c r="J904">
        <v>15.6620191093335</v>
      </c>
      <c r="K904">
        <v>15.7649200229574</v>
      </c>
      <c r="L904">
        <v>15.591915803227099</v>
      </c>
      <c r="M904">
        <v>14.289683996374199</v>
      </c>
      <c r="N904">
        <v>15.0003977722354</v>
      </c>
      <c r="O904">
        <v>14.8374861710451</v>
      </c>
      <c r="P904">
        <v>-0.96376233195444505</v>
      </c>
      <c r="Q904">
        <v>-1.4666572653612799</v>
      </c>
      <c r="R904">
        <v>-0.460867398547607</v>
      </c>
      <c r="S904">
        <v>14.8833211778687</v>
      </c>
      <c r="T904">
        <v>-4.0279604825294504</v>
      </c>
      <c r="U904">
        <v>-1.11031381906517</v>
      </c>
      <c r="V904">
        <v>7.9722650438715504E-4</v>
      </c>
      <c r="W904">
        <v>7.8314216947631601E-3</v>
      </c>
      <c r="X904">
        <v>0</v>
      </c>
      <c r="Y904">
        <v>0</v>
      </c>
    </row>
    <row r="905" spans="1:25" x14ac:dyDescent="0.2">
      <c r="A905" t="s">
        <v>3340</v>
      </c>
      <c r="B905" t="s">
        <v>3341</v>
      </c>
      <c r="C905" t="s">
        <v>3342</v>
      </c>
      <c r="D905" t="s">
        <v>3343</v>
      </c>
      <c r="E905" t="s">
        <v>3341</v>
      </c>
      <c r="F905" t="s">
        <v>28</v>
      </c>
      <c r="G905" t="s">
        <v>3341</v>
      </c>
      <c r="H905" t="str">
        <f>"rps-22"</f>
        <v>rps-22</v>
      </c>
      <c r="I905" t="s">
        <v>3343</v>
      </c>
      <c r="J905">
        <v>19.6725693913668</v>
      </c>
      <c r="K905">
        <v>19.732270558482</v>
      </c>
      <c r="L905">
        <v>19.8714267292501</v>
      </c>
      <c r="M905">
        <v>18.222199718562699</v>
      </c>
      <c r="N905">
        <v>18.714175434265599</v>
      </c>
      <c r="O905">
        <v>19.1108409816784</v>
      </c>
      <c r="P905">
        <v>-1.0763501815307399</v>
      </c>
      <c r="Q905">
        <v>-1.62936949433093</v>
      </c>
      <c r="R905">
        <v>-0.52333086873055601</v>
      </c>
      <c r="S905">
        <v>19.439289916259298</v>
      </c>
      <c r="T905">
        <v>-4.09077697963908</v>
      </c>
      <c r="U905">
        <v>-0.97174130368505995</v>
      </c>
      <c r="V905">
        <v>6.9347047848239798E-4</v>
      </c>
      <c r="W905">
        <v>7.1207578400265797E-3</v>
      </c>
      <c r="X905">
        <v>-1</v>
      </c>
      <c r="Y905">
        <v>-1</v>
      </c>
    </row>
    <row r="906" spans="1:25" x14ac:dyDescent="0.2">
      <c r="A906" t="s">
        <v>3344</v>
      </c>
      <c r="B906" t="s">
        <v>3345</v>
      </c>
      <c r="C906" t="s">
        <v>3346</v>
      </c>
      <c r="D906" t="s">
        <v>3347</v>
      </c>
      <c r="E906" t="s">
        <v>3345</v>
      </c>
      <c r="F906" t="s">
        <v>28</v>
      </c>
      <c r="G906" t="s">
        <v>3345</v>
      </c>
      <c r="H906" t="str">
        <f>"K10B4.3"</f>
        <v>K10B4.3</v>
      </c>
      <c r="I906" t="s">
        <v>3347</v>
      </c>
      <c r="J906" t="s">
        <v>29</v>
      </c>
      <c r="K906" t="s">
        <v>29</v>
      </c>
      <c r="L906" t="s">
        <v>29</v>
      </c>
      <c r="M906" t="s">
        <v>29</v>
      </c>
      <c r="N906" t="s">
        <v>29</v>
      </c>
      <c r="O906" t="s">
        <v>29</v>
      </c>
      <c r="P906" t="s">
        <v>29</v>
      </c>
      <c r="Q906" t="s">
        <v>29</v>
      </c>
      <c r="R906" t="s">
        <v>29</v>
      </c>
      <c r="S906">
        <v>12.193491952744401</v>
      </c>
      <c r="T906" t="s">
        <v>29</v>
      </c>
      <c r="U906" t="s">
        <v>29</v>
      </c>
      <c r="V906" t="s">
        <v>29</v>
      </c>
      <c r="W906" t="s">
        <v>29</v>
      </c>
      <c r="X906" t="s">
        <v>29</v>
      </c>
      <c r="Y906" t="s">
        <v>29</v>
      </c>
    </row>
    <row r="907" spans="1:25" x14ac:dyDescent="0.2">
      <c r="A907" t="s">
        <v>3348</v>
      </c>
      <c r="B907" t="s">
        <v>3349</v>
      </c>
      <c r="C907" t="s">
        <v>14346</v>
      </c>
      <c r="D907" t="s">
        <v>3350</v>
      </c>
      <c r="E907" t="s">
        <v>3349</v>
      </c>
      <c r="F907" t="s">
        <v>28</v>
      </c>
      <c r="G907" t="s">
        <v>3349</v>
      </c>
      <c r="H907" t="str">
        <f>"K10B4.1"</f>
        <v>K10B4.1</v>
      </c>
      <c r="I907" t="s">
        <v>3350</v>
      </c>
      <c r="J907">
        <v>12.4079972630356</v>
      </c>
      <c r="K907" t="s">
        <v>29</v>
      </c>
      <c r="L907">
        <v>11.816918673002199</v>
      </c>
      <c r="M907" t="s">
        <v>29</v>
      </c>
      <c r="N907" t="s">
        <v>29</v>
      </c>
      <c r="O907">
        <v>12.0109044471799</v>
      </c>
      <c r="P907">
        <v>-0.101553520838998</v>
      </c>
      <c r="Q907">
        <v>-1.4535405336176399</v>
      </c>
      <c r="R907">
        <v>1.25043349193964</v>
      </c>
      <c r="S907">
        <v>11.887856767416601</v>
      </c>
      <c r="T907">
        <v>-0.16121830764122599</v>
      </c>
      <c r="U907">
        <v>-6.7408169168855503</v>
      </c>
      <c r="V907">
        <v>0.87424204854598697</v>
      </c>
      <c r="W907">
        <v>0.92178580216995498</v>
      </c>
      <c r="X907">
        <v>0</v>
      </c>
      <c r="Y907">
        <v>0</v>
      </c>
    </row>
    <row r="908" spans="1:25" x14ac:dyDescent="0.2">
      <c r="A908" t="s">
        <v>3351</v>
      </c>
      <c r="B908" t="s">
        <v>3352</v>
      </c>
      <c r="C908" t="s">
        <v>3353</v>
      </c>
      <c r="D908" t="s">
        <v>3354</v>
      </c>
      <c r="E908" t="s">
        <v>3352</v>
      </c>
      <c r="F908" t="s">
        <v>28</v>
      </c>
      <c r="G908" t="s">
        <v>3352</v>
      </c>
      <c r="H908" t="str">
        <f>"tomm-22"</f>
        <v>tomm-22</v>
      </c>
      <c r="I908" t="s">
        <v>3354</v>
      </c>
      <c r="J908">
        <v>14.9153380345308</v>
      </c>
      <c r="K908">
        <v>15.213542550529001</v>
      </c>
      <c r="L908">
        <v>14.9989813709586</v>
      </c>
      <c r="M908" t="s">
        <v>29</v>
      </c>
      <c r="N908" t="s">
        <v>29</v>
      </c>
      <c r="O908">
        <v>15.297119002653099</v>
      </c>
      <c r="P908">
        <v>0.25449835064694798</v>
      </c>
      <c r="Q908">
        <v>-0.31890212434505899</v>
      </c>
      <c r="R908">
        <v>0.827898825638955</v>
      </c>
      <c r="S908">
        <v>14.5748270318718</v>
      </c>
      <c r="T908">
        <v>0.94140489799439997</v>
      </c>
      <c r="U908">
        <v>-6.3599440274579404</v>
      </c>
      <c r="V908">
        <v>0.360585925696085</v>
      </c>
      <c r="W908">
        <v>0.52981020951199198</v>
      </c>
      <c r="X908">
        <v>0</v>
      </c>
      <c r="Y908">
        <v>0</v>
      </c>
    </row>
    <row r="909" spans="1:25" x14ac:dyDescent="0.2">
      <c r="A909" t="s">
        <v>3355</v>
      </c>
      <c r="B909" t="s">
        <v>3356</v>
      </c>
      <c r="C909" t="s">
        <v>3357</v>
      </c>
      <c r="D909" t="s">
        <v>3358</v>
      </c>
      <c r="E909" t="s">
        <v>3356</v>
      </c>
      <c r="F909" t="s">
        <v>28</v>
      </c>
      <c r="G909" t="s">
        <v>3356</v>
      </c>
      <c r="H909" t="str">
        <f>"C10E2.2"</f>
        <v>C10E2.2</v>
      </c>
      <c r="I909" t="s">
        <v>3358</v>
      </c>
      <c r="J909" t="s">
        <v>29</v>
      </c>
      <c r="K909" t="s">
        <v>29</v>
      </c>
      <c r="L909" t="s">
        <v>29</v>
      </c>
      <c r="M909" t="s">
        <v>29</v>
      </c>
      <c r="N909" t="s">
        <v>29</v>
      </c>
      <c r="O909">
        <v>16.063083260250998</v>
      </c>
      <c r="P909" t="s">
        <v>29</v>
      </c>
      <c r="Q909" t="s">
        <v>29</v>
      </c>
      <c r="R909" t="s">
        <v>29</v>
      </c>
      <c r="S909">
        <v>15.1398042754565</v>
      </c>
      <c r="T909" t="s">
        <v>29</v>
      </c>
      <c r="U909" t="s">
        <v>29</v>
      </c>
      <c r="V909" t="s">
        <v>29</v>
      </c>
      <c r="W909" t="s">
        <v>29</v>
      </c>
      <c r="X909" t="s">
        <v>29</v>
      </c>
      <c r="Y909" t="s">
        <v>29</v>
      </c>
    </row>
    <row r="910" spans="1:25" x14ac:dyDescent="0.2">
      <c r="A910" t="s">
        <v>3359</v>
      </c>
      <c r="B910" t="s">
        <v>3360</v>
      </c>
      <c r="C910" t="s">
        <v>3361</v>
      </c>
      <c r="D910" t="s">
        <v>107</v>
      </c>
      <c r="E910" t="s">
        <v>3360</v>
      </c>
      <c r="F910" t="s">
        <v>28</v>
      </c>
      <c r="G910" t="s">
        <v>3360</v>
      </c>
      <c r="H910" t="str">
        <f>"mct-6"</f>
        <v>mct-6</v>
      </c>
      <c r="I910" t="s">
        <v>107</v>
      </c>
      <c r="J910">
        <v>17.254341550967499</v>
      </c>
      <c r="K910">
        <v>17.474127154324801</v>
      </c>
      <c r="L910">
        <v>17.528706772735301</v>
      </c>
      <c r="M910">
        <v>16.907993541454001</v>
      </c>
      <c r="N910">
        <v>16.932088683059899</v>
      </c>
      <c r="O910">
        <v>15.973659693987999</v>
      </c>
      <c r="P910">
        <v>-0.81447785317523402</v>
      </c>
      <c r="Q910">
        <v>-1.2904824920367699</v>
      </c>
      <c r="R910">
        <v>-0.33847321431369898</v>
      </c>
      <c r="S910">
        <v>17.372231246919601</v>
      </c>
      <c r="T910">
        <v>-3.59633887626658</v>
      </c>
      <c r="U910">
        <v>-2.0582058601016602</v>
      </c>
      <c r="V910">
        <v>2.0798320265037599E-3</v>
      </c>
      <c r="W910">
        <v>1.49859779513608E-2</v>
      </c>
      <c r="X910">
        <v>0</v>
      </c>
      <c r="Y910">
        <v>0</v>
      </c>
    </row>
    <row r="911" spans="1:25" x14ac:dyDescent="0.2">
      <c r="A911" t="s">
        <v>3362</v>
      </c>
      <c r="B911" t="s">
        <v>3363</v>
      </c>
      <c r="C911" t="s">
        <v>3364</v>
      </c>
      <c r="D911" t="s">
        <v>599</v>
      </c>
      <c r="E911" t="s">
        <v>3363</v>
      </c>
      <c r="F911" t="s">
        <v>28</v>
      </c>
      <c r="G911" t="s">
        <v>3363</v>
      </c>
      <c r="H911" t="str">
        <f>"srp-2"</f>
        <v>srp-2</v>
      </c>
      <c r="I911" t="s">
        <v>599</v>
      </c>
      <c r="J911" t="s">
        <v>29</v>
      </c>
      <c r="K911" t="s">
        <v>29</v>
      </c>
      <c r="L911" t="s">
        <v>29</v>
      </c>
      <c r="M911">
        <v>13.5461395567501</v>
      </c>
      <c r="N911">
        <v>13.909913440962001</v>
      </c>
      <c r="O911">
        <v>12.8441820020969</v>
      </c>
      <c r="P911" t="s">
        <v>29</v>
      </c>
      <c r="Q911" t="s">
        <v>29</v>
      </c>
      <c r="R911" t="s">
        <v>29</v>
      </c>
      <c r="S911">
        <v>12.7246519165575</v>
      </c>
      <c r="T911" t="s">
        <v>29</v>
      </c>
      <c r="U911" t="s">
        <v>29</v>
      </c>
      <c r="V911" t="s">
        <v>29</v>
      </c>
      <c r="W911" t="s">
        <v>29</v>
      </c>
      <c r="X911" t="s">
        <v>29</v>
      </c>
      <c r="Y911" t="s">
        <v>29</v>
      </c>
    </row>
    <row r="912" spans="1:25" x14ac:dyDescent="0.2">
      <c r="A912" t="s">
        <v>3365</v>
      </c>
      <c r="B912" t="s">
        <v>3366</v>
      </c>
      <c r="C912" t="s">
        <v>3367</v>
      </c>
      <c r="D912" t="s">
        <v>3368</v>
      </c>
      <c r="E912" t="s">
        <v>3366</v>
      </c>
      <c r="F912" t="s">
        <v>28</v>
      </c>
      <c r="G912" t="s">
        <v>3366</v>
      </c>
      <c r="H912" t="str">
        <f>"F52H2.6"</f>
        <v>F52H2.6</v>
      </c>
      <c r="I912" t="s">
        <v>3368</v>
      </c>
      <c r="J912">
        <v>13.4317721060496</v>
      </c>
      <c r="K912">
        <v>13.818368354032801</v>
      </c>
      <c r="L912">
        <v>13.6411701832403</v>
      </c>
      <c r="M912">
        <v>13.195829885260601</v>
      </c>
      <c r="N912">
        <v>13.2471205151578</v>
      </c>
      <c r="O912">
        <v>13.6181882060337</v>
      </c>
      <c r="P912">
        <v>-0.27672401229028398</v>
      </c>
      <c r="Q912">
        <v>-0.76449918914945003</v>
      </c>
      <c r="R912">
        <v>0.21105116456888201</v>
      </c>
      <c r="S912">
        <v>13.485959054550399</v>
      </c>
      <c r="T912">
        <v>-1.1923936761394001</v>
      </c>
      <c r="U912">
        <v>-6.4384772861503698</v>
      </c>
      <c r="V912">
        <v>0.24867916530394299</v>
      </c>
      <c r="W912">
        <v>0.41592366637384698</v>
      </c>
      <c r="X912">
        <v>0</v>
      </c>
      <c r="Y912">
        <v>0</v>
      </c>
    </row>
    <row r="913" spans="1:25" x14ac:dyDescent="0.2">
      <c r="A913" t="s">
        <v>3369</v>
      </c>
      <c r="B913" t="s">
        <v>3370</v>
      </c>
      <c r="C913" t="s">
        <v>3371</v>
      </c>
      <c r="D913" t="s">
        <v>375</v>
      </c>
      <c r="E913" t="s">
        <v>3370</v>
      </c>
      <c r="F913" t="s">
        <v>28</v>
      </c>
      <c r="G913" t="s">
        <v>3370</v>
      </c>
      <c r="H913" t="str">
        <f>"ccd-5"</f>
        <v>ccd-5</v>
      </c>
      <c r="I913" t="s">
        <v>375</v>
      </c>
      <c r="J913">
        <v>9.3355976935722005</v>
      </c>
      <c r="K913" t="s">
        <v>29</v>
      </c>
      <c r="L913" t="s">
        <v>29</v>
      </c>
      <c r="M913" t="s">
        <v>29</v>
      </c>
      <c r="N913" t="s">
        <v>29</v>
      </c>
      <c r="O913" t="s">
        <v>29</v>
      </c>
      <c r="P913" t="s">
        <v>29</v>
      </c>
      <c r="Q913" t="s">
        <v>29</v>
      </c>
      <c r="R913" t="s">
        <v>29</v>
      </c>
      <c r="S913">
        <v>9.8670460533954891</v>
      </c>
      <c r="T913" t="s">
        <v>29</v>
      </c>
      <c r="U913" t="s">
        <v>29</v>
      </c>
      <c r="V913" t="s">
        <v>29</v>
      </c>
      <c r="W913" t="s">
        <v>29</v>
      </c>
      <c r="X913" t="s">
        <v>29</v>
      </c>
      <c r="Y913" t="s">
        <v>29</v>
      </c>
    </row>
    <row r="914" spans="1:25" x14ac:dyDescent="0.2">
      <c r="A914" t="s">
        <v>3372</v>
      </c>
      <c r="B914" t="s">
        <v>3373</v>
      </c>
      <c r="C914" t="s">
        <v>3374</v>
      </c>
      <c r="D914" t="s">
        <v>3375</v>
      </c>
      <c r="E914" t="s">
        <v>3373</v>
      </c>
      <c r="F914" t="s">
        <v>28</v>
      </c>
      <c r="G914" t="s">
        <v>3373</v>
      </c>
      <c r="H914" t="str">
        <f>"cpsf-2"</f>
        <v>cpsf-2</v>
      </c>
      <c r="I914" t="s">
        <v>3375</v>
      </c>
      <c r="J914">
        <v>12.561288661552901</v>
      </c>
      <c r="K914">
        <v>13.066589383389299</v>
      </c>
      <c r="L914">
        <v>12.883418428404701</v>
      </c>
      <c r="M914" t="s">
        <v>29</v>
      </c>
      <c r="N914">
        <v>13.224898346958501</v>
      </c>
      <c r="O914">
        <v>12.004786674159799</v>
      </c>
      <c r="P914">
        <v>-0.22225631388984901</v>
      </c>
      <c r="Q914">
        <v>-0.87423124156228904</v>
      </c>
      <c r="R914">
        <v>0.42971861378259102</v>
      </c>
      <c r="S914">
        <v>13.033097993464001</v>
      </c>
      <c r="T914">
        <v>-0.71957029326168798</v>
      </c>
      <c r="U914">
        <v>-6.7774191020869896</v>
      </c>
      <c r="V914">
        <v>0.481625714381758</v>
      </c>
      <c r="W914">
        <v>0.64017804336195505</v>
      </c>
      <c r="X914">
        <v>0</v>
      </c>
      <c r="Y914">
        <v>0</v>
      </c>
    </row>
    <row r="915" spans="1:25" x14ac:dyDescent="0.2">
      <c r="A915" t="s">
        <v>3376</v>
      </c>
      <c r="B915" t="s">
        <v>3377</v>
      </c>
      <c r="C915" t="s">
        <v>3378</v>
      </c>
      <c r="D915" t="s">
        <v>3379</v>
      </c>
      <c r="E915" t="s">
        <v>3377</v>
      </c>
      <c r="F915" t="s">
        <v>28</v>
      </c>
      <c r="G915" t="s">
        <v>3377</v>
      </c>
      <c r="H915" t="str">
        <f>"mes-2"</f>
        <v>mes-2</v>
      </c>
      <c r="I915" t="s">
        <v>3379</v>
      </c>
      <c r="J915">
        <v>12.6141820198863</v>
      </c>
      <c r="K915">
        <v>12.2745225729547</v>
      </c>
      <c r="L915">
        <v>12.2856939963582</v>
      </c>
      <c r="M915" t="s">
        <v>29</v>
      </c>
      <c r="N915">
        <v>11.0561883230188</v>
      </c>
      <c r="O915">
        <v>12.7186804063293</v>
      </c>
      <c r="P915">
        <v>-0.50403183172564803</v>
      </c>
      <c r="Q915">
        <v>-1.4096407890190601</v>
      </c>
      <c r="R915">
        <v>0.40157712556776498</v>
      </c>
      <c r="S915">
        <v>12.682765116725299</v>
      </c>
      <c r="T915">
        <v>-1.17480900983235</v>
      </c>
      <c r="U915">
        <v>-6.3483017496977299</v>
      </c>
      <c r="V915">
        <v>0.25636390978185702</v>
      </c>
      <c r="W915">
        <v>0.42393290365449798</v>
      </c>
      <c r="X915">
        <v>0</v>
      </c>
      <c r="Y915">
        <v>0</v>
      </c>
    </row>
    <row r="916" spans="1:25" x14ac:dyDescent="0.2">
      <c r="A916" t="s">
        <v>3380</v>
      </c>
      <c r="B916" t="s">
        <v>3381</v>
      </c>
      <c r="C916" t="s">
        <v>3382</v>
      </c>
      <c r="D916" t="s">
        <v>3383</v>
      </c>
      <c r="E916" t="s">
        <v>3381</v>
      </c>
      <c r="F916" t="s">
        <v>28</v>
      </c>
      <c r="G916" t="s">
        <v>3381</v>
      </c>
      <c r="H916" t="str">
        <f>"sel-9"</f>
        <v>sel-9</v>
      </c>
      <c r="I916" t="s">
        <v>3383</v>
      </c>
      <c r="J916">
        <v>12.9024188668217</v>
      </c>
      <c r="K916" t="s">
        <v>29</v>
      </c>
      <c r="L916">
        <v>12.598233766716699</v>
      </c>
      <c r="M916" t="s">
        <v>29</v>
      </c>
      <c r="N916" t="s">
        <v>29</v>
      </c>
      <c r="O916" t="s">
        <v>29</v>
      </c>
      <c r="P916" t="s">
        <v>29</v>
      </c>
      <c r="Q916" t="s">
        <v>29</v>
      </c>
      <c r="R916" t="s">
        <v>29</v>
      </c>
      <c r="S916">
        <v>12.4969351363955</v>
      </c>
      <c r="T916" t="s">
        <v>29</v>
      </c>
      <c r="U916" t="s">
        <v>29</v>
      </c>
      <c r="V916" t="s">
        <v>29</v>
      </c>
      <c r="W916" t="s">
        <v>29</v>
      </c>
      <c r="X916" t="s">
        <v>29</v>
      </c>
      <c r="Y916" t="s">
        <v>29</v>
      </c>
    </row>
    <row r="917" spans="1:25" x14ac:dyDescent="0.2">
      <c r="A917" t="s">
        <v>3384</v>
      </c>
      <c r="B917" t="s">
        <v>3385</v>
      </c>
      <c r="C917" t="s">
        <v>3386</v>
      </c>
      <c r="D917" t="s">
        <v>214</v>
      </c>
      <c r="E917" t="s">
        <v>3385</v>
      </c>
      <c r="F917" t="s">
        <v>28</v>
      </c>
      <c r="G917" t="s">
        <v>3385</v>
      </c>
      <c r="H917" t="str">
        <f>"BE10.1"</f>
        <v>BE10.1</v>
      </c>
      <c r="I917" t="s">
        <v>214</v>
      </c>
      <c r="J917">
        <v>11.649008876448599</v>
      </c>
      <c r="K917" t="s">
        <v>29</v>
      </c>
      <c r="L917" t="s">
        <v>29</v>
      </c>
      <c r="M917" t="s">
        <v>29</v>
      </c>
      <c r="N917" t="s">
        <v>29</v>
      </c>
      <c r="O917" t="s">
        <v>29</v>
      </c>
      <c r="P917" t="s">
        <v>29</v>
      </c>
      <c r="Q917" t="s">
        <v>29</v>
      </c>
      <c r="R917" t="s">
        <v>29</v>
      </c>
      <c r="S917">
        <v>12.4036166376036</v>
      </c>
      <c r="T917" t="s">
        <v>29</v>
      </c>
      <c r="U917" t="s">
        <v>29</v>
      </c>
      <c r="V917" t="s">
        <v>29</v>
      </c>
      <c r="W917" t="s">
        <v>29</v>
      </c>
      <c r="X917" t="s">
        <v>29</v>
      </c>
      <c r="Y917" t="s">
        <v>29</v>
      </c>
    </row>
    <row r="918" spans="1:25" x14ac:dyDescent="0.2">
      <c r="A918" t="s">
        <v>3387</v>
      </c>
      <c r="B918" t="s">
        <v>3388</v>
      </c>
      <c r="C918" t="s">
        <v>3389</v>
      </c>
      <c r="D918" t="s">
        <v>3390</v>
      </c>
      <c r="E918" t="s">
        <v>3388</v>
      </c>
      <c r="F918" t="s">
        <v>28</v>
      </c>
      <c r="G918" t="s">
        <v>3388</v>
      </c>
      <c r="H918" t="str">
        <f>"rpl-38"</f>
        <v>rpl-38</v>
      </c>
      <c r="I918" t="s">
        <v>3390</v>
      </c>
      <c r="J918">
        <v>15.3152417455972</v>
      </c>
      <c r="K918">
        <v>15.372770553226699</v>
      </c>
      <c r="L918">
        <v>15.0905689373164</v>
      </c>
      <c r="M918" t="s">
        <v>29</v>
      </c>
      <c r="N918">
        <v>14.992273263749</v>
      </c>
      <c r="O918" t="s">
        <v>29</v>
      </c>
      <c r="P918">
        <v>-0.26725381496446599</v>
      </c>
      <c r="Q918">
        <v>-1.31580962109713</v>
      </c>
      <c r="R918">
        <v>0.78130199116819798</v>
      </c>
      <c r="S918">
        <v>14.838494064745801</v>
      </c>
      <c r="T918">
        <v>-0.54060728498305999</v>
      </c>
      <c r="U918">
        <v>-6.6606306826958201</v>
      </c>
      <c r="V918">
        <v>0.596273203573502</v>
      </c>
      <c r="W918">
        <v>0.73125972989226395</v>
      </c>
      <c r="X918">
        <v>0</v>
      </c>
      <c r="Y918">
        <v>0</v>
      </c>
    </row>
    <row r="919" spans="1:25" x14ac:dyDescent="0.2">
      <c r="A919" t="s">
        <v>3391</v>
      </c>
      <c r="B919" t="s">
        <v>3392</v>
      </c>
      <c r="C919" t="s">
        <v>3393</v>
      </c>
      <c r="D919" t="s">
        <v>3358</v>
      </c>
      <c r="E919" t="s">
        <v>3392</v>
      </c>
      <c r="F919" t="s">
        <v>28</v>
      </c>
      <c r="G919" t="s">
        <v>3392</v>
      </c>
      <c r="H919" t="str">
        <f>"fbxa-156"</f>
        <v>fbxa-156</v>
      </c>
      <c r="I919" t="s">
        <v>3358</v>
      </c>
      <c r="J919">
        <v>12.4052733147751</v>
      </c>
      <c r="K919">
        <v>12.196030336227899</v>
      </c>
      <c r="L919">
        <v>11.3137116063397</v>
      </c>
      <c r="M919" t="s">
        <v>29</v>
      </c>
      <c r="N919" t="s">
        <v>29</v>
      </c>
      <c r="O919">
        <v>11.064031767554701</v>
      </c>
      <c r="P919">
        <v>-0.90763998489282505</v>
      </c>
      <c r="Q919">
        <v>-1.7789347048539701</v>
      </c>
      <c r="R919">
        <v>-3.6345264931679E-2</v>
      </c>
      <c r="S919">
        <v>11.2148390610531</v>
      </c>
      <c r="T919">
        <v>-2.2217241895084601</v>
      </c>
      <c r="U919">
        <v>-4.5690936263464899</v>
      </c>
      <c r="V919">
        <v>4.2227247695794598E-2</v>
      </c>
      <c r="W919">
        <v>0.12114809197434</v>
      </c>
      <c r="X919">
        <v>0</v>
      </c>
      <c r="Y919">
        <v>0</v>
      </c>
    </row>
    <row r="920" spans="1:25" x14ac:dyDescent="0.2">
      <c r="A920" t="s">
        <v>3394</v>
      </c>
      <c r="B920" t="s">
        <v>3395</v>
      </c>
      <c r="C920" t="s">
        <v>3396</v>
      </c>
      <c r="D920" t="s">
        <v>3397</v>
      </c>
      <c r="E920" t="s">
        <v>3395</v>
      </c>
      <c r="F920" t="s">
        <v>28</v>
      </c>
      <c r="G920" t="s">
        <v>3395</v>
      </c>
      <c r="H920" t="str">
        <f>"pro-2"</f>
        <v>pro-2</v>
      </c>
      <c r="I920" t="s">
        <v>3397</v>
      </c>
      <c r="J920">
        <v>13.0117565373108</v>
      </c>
      <c r="K920">
        <v>13.0866861863348</v>
      </c>
      <c r="L920">
        <v>13.058124847988401</v>
      </c>
      <c r="M920">
        <v>12.6572832767345</v>
      </c>
      <c r="N920">
        <v>13.2203647904521</v>
      </c>
      <c r="O920">
        <v>13.0884442859661</v>
      </c>
      <c r="P920">
        <v>-6.3491739493741803E-2</v>
      </c>
      <c r="Q920">
        <v>-0.537117327857634</v>
      </c>
      <c r="R920">
        <v>0.41013384887014998</v>
      </c>
      <c r="S920">
        <v>13.0979041357415</v>
      </c>
      <c r="T920">
        <v>-0.28175691340800801</v>
      </c>
      <c r="U920">
        <v>-7.1147330467505903</v>
      </c>
      <c r="V920">
        <v>0.78136234052087605</v>
      </c>
      <c r="W920">
        <v>0.86242502528652498</v>
      </c>
      <c r="X920">
        <v>0</v>
      </c>
      <c r="Y920">
        <v>0</v>
      </c>
    </row>
    <row r="921" spans="1:25" x14ac:dyDescent="0.2">
      <c r="A921" t="s">
        <v>3398</v>
      </c>
      <c r="B921" t="s">
        <v>3399</v>
      </c>
      <c r="C921" t="s">
        <v>3400</v>
      </c>
      <c r="D921" t="s">
        <v>3401</v>
      </c>
      <c r="E921" t="s">
        <v>3399</v>
      </c>
      <c r="F921" t="s">
        <v>28</v>
      </c>
      <c r="G921" t="s">
        <v>3399</v>
      </c>
      <c r="H921" t="str">
        <f>"mau-2"</f>
        <v>mau-2</v>
      </c>
      <c r="I921" t="s">
        <v>3401</v>
      </c>
      <c r="J921">
        <v>11.223008173712101</v>
      </c>
      <c r="K921" t="s">
        <v>29</v>
      </c>
      <c r="L921">
        <v>11.6141561868771</v>
      </c>
      <c r="M921" t="s">
        <v>29</v>
      </c>
      <c r="N921" t="s">
        <v>29</v>
      </c>
      <c r="O921">
        <v>11.461213716060101</v>
      </c>
      <c r="P921">
        <v>4.2631535765480101E-2</v>
      </c>
      <c r="Q921">
        <v>-1.1918460583478001</v>
      </c>
      <c r="R921">
        <v>1.27710912987876</v>
      </c>
      <c r="S921">
        <v>11.557028474163101</v>
      </c>
      <c r="T921">
        <v>7.7057454159672301E-2</v>
      </c>
      <c r="U921">
        <v>-6.7513248986240804</v>
      </c>
      <c r="V921">
        <v>0.94011366548102804</v>
      </c>
      <c r="W921">
        <v>0.96499999030741501</v>
      </c>
      <c r="X921">
        <v>0</v>
      </c>
      <c r="Y921">
        <v>0</v>
      </c>
    </row>
    <row r="922" spans="1:25" x14ac:dyDescent="0.2">
      <c r="A922" t="s">
        <v>3402</v>
      </c>
      <c r="B922" t="s">
        <v>3403</v>
      </c>
      <c r="C922" t="s">
        <v>3404</v>
      </c>
      <c r="D922" t="s">
        <v>3405</v>
      </c>
      <c r="E922" t="s">
        <v>3403</v>
      </c>
      <c r="F922" t="s">
        <v>28</v>
      </c>
      <c r="G922" t="s">
        <v>3403</v>
      </c>
      <c r="H922" t="str">
        <f>"spr-4"</f>
        <v>spr-4</v>
      </c>
      <c r="I922" t="s">
        <v>3405</v>
      </c>
      <c r="J922" t="s">
        <v>29</v>
      </c>
      <c r="K922" t="s">
        <v>29</v>
      </c>
      <c r="L922" t="s">
        <v>29</v>
      </c>
      <c r="M922" t="s">
        <v>29</v>
      </c>
      <c r="N922" t="s">
        <v>29</v>
      </c>
      <c r="O922" t="s">
        <v>29</v>
      </c>
      <c r="P922" t="s">
        <v>29</v>
      </c>
      <c r="Q922" t="s">
        <v>29</v>
      </c>
      <c r="R922" t="s">
        <v>29</v>
      </c>
      <c r="S922">
        <v>11.212905107110201</v>
      </c>
      <c r="T922" t="s">
        <v>29</v>
      </c>
      <c r="U922" t="s">
        <v>29</v>
      </c>
      <c r="V922" t="s">
        <v>29</v>
      </c>
      <c r="W922" t="s">
        <v>29</v>
      </c>
      <c r="X922" t="s">
        <v>29</v>
      </c>
      <c r="Y922" t="s">
        <v>29</v>
      </c>
    </row>
    <row r="923" spans="1:25" x14ac:dyDescent="0.2">
      <c r="A923" t="s">
        <v>3406</v>
      </c>
      <c r="B923" t="s">
        <v>3407</v>
      </c>
      <c r="C923" t="s">
        <v>3408</v>
      </c>
      <c r="D923" t="s">
        <v>3409</v>
      </c>
      <c r="E923" t="s">
        <v>3407</v>
      </c>
      <c r="F923" t="s">
        <v>28</v>
      </c>
      <c r="G923" t="s">
        <v>3407</v>
      </c>
      <c r="H923" t="str">
        <f>"lin-10"</f>
        <v>lin-10</v>
      </c>
      <c r="I923" t="s">
        <v>3409</v>
      </c>
      <c r="J923">
        <v>12.782114446374001</v>
      </c>
      <c r="K923">
        <v>12.7042992747591</v>
      </c>
      <c r="L923">
        <v>11.513155972431001</v>
      </c>
      <c r="M923" t="s">
        <v>29</v>
      </c>
      <c r="N923" t="s">
        <v>29</v>
      </c>
      <c r="O923" t="s">
        <v>29</v>
      </c>
      <c r="P923" t="s">
        <v>29</v>
      </c>
      <c r="Q923" t="s">
        <v>29</v>
      </c>
      <c r="R923" t="s">
        <v>29</v>
      </c>
      <c r="S923">
        <v>11.9005596584652</v>
      </c>
      <c r="T923" t="s">
        <v>29</v>
      </c>
      <c r="U923" t="s">
        <v>29</v>
      </c>
      <c r="V923" t="s">
        <v>29</v>
      </c>
      <c r="W923" t="s">
        <v>29</v>
      </c>
      <c r="X923" t="s">
        <v>29</v>
      </c>
      <c r="Y923" t="s">
        <v>29</v>
      </c>
    </row>
    <row r="924" spans="1:25" x14ac:dyDescent="0.2">
      <c r="A924" t="s">
        <v>3410</v>
      </c>
      <c r="B924" t="s">
        <v>3411</v>
      </c>
      <c r="C924" t="s">
        <v>3412</v>
      </c>
      <c r="D924" t="s">
        <v>3413</v>
      </c>
      <c r="E924" t="s">
        <v>3411</v>
      </c>
      <c r="F924" t="s">
        <v>28</v>
      </c>
      <c r="G924" t="s">
        <v>3411</v>
      </c>
      <c r="H924" t="str">
        <f>"pas-1"</f>
        <v>pas-1</v>
      </c>
      <c r="I924" t="s">
        <v>3413</v>
      </c>
      <c r="J924" t="s">
        <v>29</v>
      </c>
      <c r="K924">
        <v>11.985320603706599</v>
      </c>
      <c r="L924">
        <v>11.6023865336201</v>
      </c>
      <c r="M924" t="s">
        <v>29</v>
      </c>
      <c r="N924" t="s">
        <v>29</v>
      </c>
      <c r="O924" t="s">
        <v>29</v>
      </c>
      <c r="P924" t="s">
        <v>29</v>
      </c>
      <c r="Q924" t="s">
        <v>29</v>
      </c>
      <c r="R924" t="s">
        <v>29</v>
      </c>
      <c r="S924">
        <v>12.651646319388</v>
      </c>
      <c r="T924" t="s">
        <v>29</v>
      </c>
      <c r="U924" t="s">
        <v>29</v>
      </c>
      <c r="V924" t="s">
        <v>29</v>
      </c>
      <c r="W924" t="s">
        <v>29</v>
      </c>
      <c r="X924" t="s">
        <v>29</v>
      </c>
      <c r="Y924" t="s">
        <v>29</v>
      </c>
    </row>
    <row r="925" spans="1:25" x14ac:dyDescent="0.2">
      <c r="A925" t="s">
        <v>3414</v>
      </c>
      <c r="B925" t="s">
        <v>3415</v>
      </c>
      <c r="C925" t="s">
        <v>3416</v>
      </c>
      <c r="D925" t="s">
        <v>3417</v>
      </c>
      <c r="E925" t="s">
        <v>3415</v>
      </c>
      <c r="F925" t="s">
        <v>28</v>
      </c>
      <c r="G925" t="s">
        <v>3415</v>
      </c>
      <c r="H925" t="str">
        <f>"eat-16"</f>
        <v>eat-16</v>
      </c>
      <c r="I925" t="s">
        <v>3417</v>
      </c>
      <c r="J925">
        <v>14.016473109987199</v>
      </c>
      <c r="K925">
        <v>14.013117328891999</v>
      </c>
      <c r="L925">
        <v>13.4147323534148</v>
      </c>
      <c r="M925" t="s">
        <v>29</v>
      </c>
      <c r="N925" t="s">
        <v>29</v>
      </c>
      <c r="O925">
        <v>13.136256774994401</v>
      </c>
      <c r="P925">
        <v>-0.67851748910363496</v>
      </c>
      <c r="Q925">
        <v>-1.47239108087588</v>
      </c>
      <c r="R925">
        <v>0.11535610266861</v>
      </c>
      <c r="S925">
        <v>13.250669960964499</v>
      </c>
      <c r="T925">
        <v>-1.8228515285189399</v>
      </c>
      <c r="U925">
        <v>-5.233276562725</v>
      </c>
      <c r="V925">
        <v>8.8459170484334396E-2</v>
      </c>
      <c r="W925">
        <v>0.199915011823108</v>
      </c>
      <c r="X925">
        <v>0</v>
      </c>
      <c r="Y925">
        <v>0</v>
      </c>
    </row>
    <row r="926" spans="1:25" x14ac:dyDescent="0.2">
      <c r="A926" t="s">
        <v>3418</v>
      </c>
      <c r="B926" t="s">
        <v>3419</v>
      </c>
      <c r="C926" t="s">
        <v>3420</v>
      </c>
      <c r="D926" t="s">
        <v>111</v>
      </c>
      <c r="E926" t="s">
        <v>3419</v>
      </c>
      <c r="F926" t="s">
        <v>28</v>
      </c>
      <c r="G926" t="s">
        <v>3419</v>
      </c>
      <c r="H926" t="str">
        <f>"ocrl-1"</f>
        <v>ocrl-1</v>
      </c>
      <c r="I926" t="s">
        <v>111</v>
      </c>
      <c r="J926">
        <v>11.1820653582246</v>
      </c>
      <c r="K926" t="s">
        <v>29</v>
      </c>
      <c r="L926">
        <v>12.071970744323499</v>
      </c>
      <c r="M926" t="s">
        <v>29</v>
      </c>
      <c r="N926" t="s">
        <v>29</v>
      </c>
      <c r="O926">
        <v>11.7480023124092</v>
      </c>
      <c r="P926">
        <v>0.12098426113514001</v>
      </c>
      <c r="Q926">
        <v>-1.04091374450174</v>
      </c>
      <c r="R926">
        <v>1.2828822667720201</v>
      </c>
      <c r="S926">
        <v>11.402543659282999</v>
      </c>
      <c r="T926">
        <v>0.22348725592563101</v>
      </c>
      <c r="U926">
        <v>-6.7281832473719403</v>
      </c>
      <c r="V926">
        <v>0.82640859936928701</v>
      </c>
      <c r="W926">
        <v>0.890466596834109</v>
      </c>
      <c r="X926">
        <v>0</v>
      </c>
      <c r="Y926">
        <v>0</v>
      </c>
    </row>
    <row r="927" spans="1:25" x14ac:dyDescent="0.2">
      <c r="A927" t="s">
        <v>3421</v>
      </c>
      <c r="B927" t="s">
        <v>3422</v>
      </c>
      <c r="C927" t="s">
        <v>3423</v>
      </c>
      <c r="D927" t="s">
        <v>2542</v>
      </c>
      <c r="E927" t="s">
        <v>3422</v>
      </c>
      <c r="F927" t="s">
        <v>28</v>
      </c>
      <c r="G927" t="s">
        <v>3422</v>
      </c>
      <c r="H927" t="str">
        <f>"rap-2"</f>
        <v>rap-2</v>
      </c>
      <c r="I927" t="s">
        <v>2542</v>
      </c>
      <c r="J927">
        <v>13.7146240900649</v>
      </c>
      <c r="K927">
        <v>13.803049184303999</v>
      </c>
      <c r="L927">
        <v>12.9049005632098</v>
      </c>
      <c r="M927" t="s">
        <v>29</v>
      </c>
      <c r="N927" t="s">
        <v>29</v>
      </c>
      <c r="O927">
        <v>12.8997068325234</v>
      </c>
      <c r="P927">
        <v>-0.57448444666947796</v>
      </c>
      <c r="Q927">
        <v>-1.7274469466589599</v>
      </c>
      <c r="R927">
        <v>0.57847805332000002</v>
      </c>
      <c r="S927">
        <v>12.8182768256699</v>
      </c>
      <c r="T927">
        <v>-1.0568482265565899</v>
      </c>
      <c r="U927">
        <v>-6.2460626642143504</v>
      </c>
      <c r="V927">
        <v>0.30637948193827003</v>
      </c>
      <c r="W927">
        <v>0.47621325594519098</v>
      </c>
      <c r="X927">
        <v>0</v>
      </c>
      <c r="Y927">
        <v>0</v>
      </c>
    </row>
    <row r="928" spans="1:25" x14ac:dyDescent="0.2">
      <c r="A928" t="s">
        <v>3424</v>
      </c>
      <c r="B928" t="s">
        <v>3425</v>
      </c>
      <c r="C928" t="s">
        <v>3426</v>
      </c>
      <c r="D928" t="s">
        <v>3427</v>
      </c>
      <c r="E928" t="s">
        <v>3425</v>
      </c>
      <c r="F928" t="s">
        <v>28</v>
      </c>
      <c r="G928" t="s">
        <v>3425</v>
      </c>
      <c r="H928" t="str">
        <f>"C25D7.10"</f>
        <v>C25D7.10</v>
      </c>
      <c r="I928" t="s">
        <v>3427</v>
      </c>
      <c r="J928">
        <v>14.0966888376011</v>
      </c>
      <c r="K928">
        <v>13.993154252472699</v>
      </c>
      <c r="L928">
        <v>14.210128684617599</v>
      </c>
      <c r="M928" t="s">
        <v>29</v>
      </c>
      <c r="N928" t="s">
        <v>29</v>
      </c>
      <c r="O928" t="s">
        <v>29</v>
      </c>
      <c r="P928" t="s">
        <v>29</v>
      </c>
      <c r="Q928" t="s">
        <v>29</v>
      </c>
      <c r="R928" t="s">
        <v>29</v>
      </c>
      <c r="S928">
        <v>14.529528244229301</v>
      </c>
      <c r="T928" t="s">
        <v>29</v>
      </c>
      <c r="U928" t="s">
        <v>29</v>
      </c>
      <c r="V928" t="s">
        <v>29</v>
      </c>
      <c r="W928" t="s">
        <v>29</v>
      </c>
      <c r="X928" t="s">
        <v>29</v>
      </c>
      <c r="Y928" t="s">
        <v>29</v>
      </c>
    </row>
    <row r="929" spans="1:25" x14ac:dyDescent="0.2">
      <c r="A929" t="s">
        <v>3428</v>
      </c>
      <c r="B929" t="s">
        <v>3429</v>
      </c>
      <c r="C929" t="s">
        <v>3430</v>
      </c>
      <c r="D929" t="s">
        <v>3431</v>
      </c>
      <c r="E929" t="s">
        <v>3429</v>
      </c>
      <c r="F929" t="s">
        <v>28</v>
      </c>
      <c r="G929" t="s">
        <v>3429</v>
      </c>
      <c r="H929" t="str">
        <f>"C27H6.8"</f>
        <v>C27H6.8</v>
      </c>
      <c r="I929" t="s">
        <v>3431</v>
      </c>
      <c r="J929" t="s">
        <v>29</v>
      </c>
      <c r="K929" t="s">
        <v>29</v>
      </c>
      <c r="L929" t="s">
        <v>29</v>
      </c>
      <c r="M929" t="s">
        <v>29</v>
      </c>
      <c r="N929" t="s">
        <v>29</v>
      </c>
      <c r="O929" t="s">
        <v>29</v>
      </c>
      <c r="P929" t="s">
        <v>29</v>
      </c>
      <c r="Q929" t="s">
        <v>29</v>
      </c>
      <c r="R929" t="s">
        <v>29</v>
      </c>
      <c r="S929">
        <v>12.116750619163399</v>
      </c>
      <c r="T929" t="s">
        <v>29</v>
      </c>
      <c r="U929" t="s">
        <v>29</v>
      </c>
      <c r="V929" t="s">
        <v>29</v>
      </c>
      <c r="W929" t="s">
        <v>29</v>
      </c>
      <c r="X929" t="s">
        <v>29</v>
      </c>
      <c r="Y929" t="s">
        <v>29</v>
      </c>
    </row>
    <row r="930" spans="1:25" x14ac:dyDescent="0.2">
      <c r="A930" t="s">
        <v>3432</v>
      </c>
      <c r="B930" t="s">
        <v>3433</v>
      </c>
      <c r="C930" t="s">
        <v>3434</v>
      </c>
      <c r="D930" t="s">
        <v>3435</v>
      </c>
      <c r="E930" t="s">
        <v>3433</v>
      </c>
      <c r="F930" t="s">
        <v>28</v>
      </c>
      <c r="G930" t="s">
        <v>3433</v>
      </c>
      <c r="H930" t="str">
        <f>"ruvb-1"</f>
        <v>ruvb-1</v>
      </c>
      <c r="I930" t="s">
        <v>3435</v>
      </c>
      <c r="J930">
        <v>12.848224461684</v>
      </c>
      <c r="K930">
        <v>12.8529067949921</v>
      </c>
      <c r="L930">
        <v>12.9140423568033</v>
      </c>
      <c r="M930">
        <v>13.312023264939899</v>
      </c>
      <c r="N930">
        <v>12.9834507357047</v>
      </c>
      <c r="O930">
        <v>13.2526366718856</v>
      </c>
      <c r="P930">
        <v>0.31097901968362701</v>
      </c>
      <c r="Q930">
        <v>-0.26687245769045898</v>
      </c>
      <c r="R930">
        <v>0.888830497057713</v>
      </c>
      <c r="S930">
        <v>13.4371153319693</v>
      </c>
      <c r="T930">
        <v>1.13111659824938</v>
      </c>
      <c r="U930">
        <v>-6.5079217216718597</v>
      </c>
      <c r="V930">
        <v>0.272937647034524</v>
      </c>
      <c r="W930">
        <v>0.44049684874629902</v>
      </c>
      <c r="X930">
        <v>0</v>
      </c>
      <c r="Y930">
        <v>0</v>
      </c>
    </row>
    <row r="931" spans="1:25" x14ac:dyDescent="0.2">
      <c r="A931" t="s">
        <v>3436</v>
      </c>
      <c r="B931" t="s">
        <v>3437</v>
      </c>
      <c r="C931" t="s">
        <v>3438</v>
      </c>
      <c r="D931" t="s">
        <v>3439</v>
      </c>
      <c r="E931" t="s">
        <v>3437</v>
      </c>
      <c r="F931" t="s">
        <v>28</v>
      </c>
      <c r="G931" t="s">
        <v>3437</v>
      </c>
      <c r="H931" t="str">
        <f>"tofu-1"</f>
        <v>tofu-1</v>
      </c>
      <c r="I931" t="s">
        <v>3439</v>
      </c>
      <c r="J931" t="s">
        <v>29</v>
      </c>
      <c r="K931" t="s">
        <v>29</v>
      </c>
      <c r="L931" t="s">
        <v>29</v>
      </c>
      <c r="M931" t="s">
        <v>29</v>
      </c>
      <c r="N931" t="s">
        <v>29</v>
      </c>
      <c r="O931" t="s">
        <v>29</v>
      </c>
      <c r="P931" t="s">
        <v>29</v>
      </c>
      <c r="Q931" t="s">
        <v>29</v>
      </c>
      <c r="R931" t="s">
        <v>29</v>
      </c>
      <c r="S931">
        <v>11.751646781920099</v>
      </c>
      <c r="T931" t="s">
        <v>29</v>
      </c>
      <c r="U931" t="s">
        <v>29</v>
      </c>
      <c r="V931" t="s">
        <v>29</v>
      </c>
      <c r="W931" t="s">
        <v>29</v>
      </c>
      <c r="X931" t="s">
        <v>29</v>
      </c>
      <c r="Y931" t="s">
        <v>29</v>
      </c>
    </row>
    <row r="932" spans="1:25" x14ac:dyDescent="0.2">
      <c r="A932" t="s">
        <v>3440</v>
      </c>
      <c r="B932" t="s">
        <v>3441</v>
      </c>
      <c r="C932" t="s">
        <v>3442</v>
      </c>
      <c r="D932" t="s">
        <v>3443</v>
      </c>
      <c r="E932" t="s">
        <v>3441</v>
      </c>
      <c r="F932" t="s">
        <v>28</v>
      </c>
      <c r="G932" t="s">
        <v>3441</v>
      </c>
      <c r="H932" t="str">
        <f>"C28D4.5"</f>
        <v>C28D4.5</v>
      </c>
      <c r="I932" t="s">
        <v>3443</v>
      </c>
      <c r="J932">
        <v>12.8471914261486</v>
      </c>
      <c r="K932" t="s">
        <v>29</v>
      </c>
      <c r="L932">
        <v>13.225908679684901</v>
      </c>
      <c r="M932" t="s">
        <v>29</v>
      </c>
      <c r="N932" t="s">
        <v>29</v>
      </c>
      <c r="O932">
        <v>12.9124053934876</v>
      </c>
      <c r="P932">
        <v>-0.124144659429128</v>
      </c>
      <c r="Q932">
        <v>-1.30539494299143</v>
      </c>
      <c r="R932">
        <v>1.05710562413318</v>
      </c>
      <c r="S932">
        <v>12.647126222754499</v>
      </c>
      <c r="T932">
        <v>-0.22556826984752601</v>
      </c>
      <c r="U932">
        <v>-6.7276908547654797</v>
      </c>
      <c r="V932">
        <v>0.82482117052154502</v>
      </c>
      <c r="W932">
        <v>0.88956083603512703</v>
      </c>
      <c r="X932">
        <v>0</v>
      </c>
      <c r="Y932">
        <v>0</v>
      </c>
    </row>
    <row r="933" spans="1:25" x14ac:dyDescent="0.2">
      <c r="A933" t="s">
        <v>3444</v>
      </c>
      <c r="B933" t="s">
        <v>3445</v>
      </c>
      <c r="C933" t="s">
        <v>3446</v>
      </c>
      <c r="D933" t="s">
        <v>3447</v>
      </c>
      <c r="E933" t="s">
        <v>3445</v>
      </c>
      <c r="F933" t="s">
        <v>28</v>
      </c>
      <c r="G933" t="s">
        <v>3445</v>
      </c>
      <c r="H933" t="str">
        <f>"cka-1"</f>
        <v>cka-1</v>
      </c>
      <c r="I933" t="s">
        <v>3447</v>
      </c>
      <c r="J933">
        <v>13.7216429563242</v>
      </c>
      <c r="K933">
        <v>13.5566923624342</v>
      </c>
      <c r="L933">
        <v>13.974643554917201</v>
      </c>
      <c r="M933" t="s">
        <v>29</v>
      </c>
      <c r="N933">
        <v>13.811079267919199</v>
      </c>
      <c r="O933">
        <v>13.679537807214899</v>
      </c>
      <c r="P933">
        <v>-5.6844203248722601E-3</v>
      </c>
      <c r="Q933">
        <v>-0.53524754929850804</v>
      </c>
      <c r="R933">
        <v>0.52387870864876296</v>
      </c>
      <c r="S933">
        <v>13.575035776360201</v>
      </c>
      <c r="T933">
        <v>-2.2657837470984599E-2</v>
      </c>
      <c r="U933">
        <v>-7.04520514269693</v>
      </c>
      <c r="V933">
        <v>0.98218866191514198</v>
      </c>
      <c r="W933">
        <v>0.99025315999450003</v>
      </c>
      <c r="X933">
        <v>0</v>
      </c>
      <c r="Y933">
        <v>0</v>
      </c>
    </row>
    <row r="934" spans="1:25" x14ac:dyDescent="0.2">
      <c r="A934" t="s">
        <v>3448</v>
      </c>
      <c r="B934" t="s">
        <v>3449</v>
      </c>
      <c r="C934" t="s">
        <v>3450</v>
      </c>
      <c r="D934" t="s">
        <v>3451</v>
      </c>
      <c r="E934" t="s">
        <v>3449</v>
      </c>
      <c r="F934" t="s">
        <v>28</v>
      </c>
      <c r="G934" t="s">
        <v>3449</v>
      </c>
      <c r="H934" t="str">
        <f>"ech-1.1"</f>
        <v>ech-1.1</v>
      </c>
      <c r="I934" t="s">
        <v>3451</v>
      </c>
      <c r="J934">
        <v>13.273828498303301</v>
      </c>
      <c r="K934">
        <v>13.1973258456997</v>
      </c>
      <c r="L934">
        <v>12.880880123295199</v>
      </c>
      <c r="M934" t="s">
        <v>29</v>
      </c>
      <c r="N934">
        <v>13.204011108441099</v>
      </c>
      <c r="O934">
        <v>13.5868992568275</v>
      </c>
      <c r="P934">
        <v>0.27811036020156599</v>
      </c>
      <c r="Q934">
        <v>-0.31164435482080299</v>
      </c>
      <c r="R934">
        <v>0.86786507522393597</v>
      </c>
      <c r="S934">
        <v>13.2627606801368</v>
      </c>
      <c r="T934">
        <v>0.99539569700518804</v>
      </c>
      <c r="U934">
        <v>-6.5394600699523302</v>
      </c>
      <c r="V934">
        <v>0.33358737194252203</v>
      </c>
      <c r="W934">
        <v>0.504403276097801</v>
      </c>
      <c r="X934">
        <v>0</v>
      </c>
      <c r="Y934">
        <v>0</v>
      </c>
    </row>
    <row r="935" spans="1:25" x14ac:dyDescent="0.2">
      <c r="A935" t="s">
        <v>3452</v>
      </c>
      <c r="B935" t="s">
        <v>3453</v>
      </c>
      <c r="C935" t="s">
        <v>3454</v>
      </c>
      <c r="D935" t="s">
        <v>3455</v>
      </c>
      <c r="E935" t="s">
        <v>3453</v>
      </c>
      <c r="F935" t="s">
        <v>28</v>
      </c>
      <c r="G935" t="s">
        <v>3453</v>
      </c>
      <c r="H935" t="str">
        <f>"C29F7.2"</f>
        <v>C29F7.2</v>
      </c>
      <c r="I935" t="s">
        <v>3455</v>
      </c>
      <c r="J935">
        <v>13.335705015118201</v>
      </c>
      <c r="K935">
        <v>13.729750690992001</v>
      </c>
      <c r="L935">
        <v>13.341549064692</v>
      </c>
      <c r="M935" t="s">
        <v>29</v>
      </c>
      <c r="N935">
        <v>12.963040574642299</v>
      </c>
      <c r="O935">
        <v>13.553532805931599</v>
      </c>
      <c r="P935">
        <v>-0.21071489998043999</v>
      </c>
      <c r="Q935">
        <v>-0.83431389782573295</v>
      </c>
      <c r="R935">
        <v>0.41288409786485297</v>
      </c>
      <c r="S935">
        <v>13.612411307212801</v>
      </c>
      <c r="T935">
        <v>-0.71324683127370203</v>
      </c>
      <c r="U935">
        <v>-6.7820402539465103</v>
      </c>
      <c r="V935">
        <v>0.485429220306206</v>
      </c>
      <c r="W935">
        <v>0.64294827516511799</v>
      </c>
      <c r="X935">
        <v>0</v>
      </c>
      <c r="Y935">
        <v>0</v>
      </c>
    </row>
    <row r="936" spans="1:25" x14ac:dyDescent="0.2">
      <c r="A936" t="s">
        <v>3456</v>
      </c>
      <c r="B936" t="s">
        <v>3457</v>
      </c>
      <c r="C936" t="s">
        <v>3458</v>
      </c>
      <c r="D936" t="s">
        <v>3459</v>
      </c>
      <c r="E936" t="s">
        <v>3457</v>
      </c>
      <c r="F936" t="s">
        <v>28</v>
      </c>
      <c r="G936" t="s">
        <v>3457</v>
      </c>
      <c r="H936" t="str">
        <f>"C29F7.3"</f>
        <v>C29F7.3</v>
      </c>
      <c r="I936" t="s">
        <v>3459</v>
      </c>
      <c r="J936">
        <v>13.3997683500922</v>
      </c>
      <c r="K936">
        <v>12.284811224796099</v>
      </c>
      <c r="L936">
        <v>13.2622093948406</v>
      </c>
      <c r="M936">
        <v>14.336652591980901</v>
      </c>
      <c r="N936">
        <v>14.2149324673191</v>
      </c>
      <c r="O936">
        <v>14.225295650845601</v>
      </c>
      <c r="P936">
        <v>1.27669724680552</v>
      </c>
      <c r="Q936">
        <v>0.66227460227945101</v>
      </c>
      <c r="R936">
        <v>1.8911198913315901</v>
      </c>
      <c r="S936">
        <v>13.0375264848395</v>
      </c>
      <c r="T936">
        <v>4.3673019720711901</v>
      </c>
      <c r="U936">
        <v>-0.36159949487896098</v>
      </c>
      <c r="V936">
        <v>3.7601894401559501E-4</v>
      </c>
      <c r="W936">
        <v>4.41485190443808E-3</v>
      </c>
      <c r="X936">
        <v>1</v>
      </c>
      <c r="Y936">
        <v>1</v>
      </c>
    </row>
    <row r="937" spans="1:25" x14ac:dyDescent="0.2">
      <c r="A937" t="s">
        <v>3460</v>
      </c>
      <c r="B937" t="s">
        <v>3461</v>
      </c>
      <c r="C937" t="s">
        <v>3462</v>
      </c>
      <c r="D937" t="s">
        <v>3463</v>
      </c>
      <c r="E937" t="s">
        <v>3461</v>
      </c>
      <c r="F937" t="s">
        <v>28</v>
      </c>
      <c r="G937" t="s">
        <v>3461</v>
      </c>
      <c r="H937" t="str">
        <f>"phdh-1"</f>
        <v>phdh-1</v>
      </c>
      <c r="I937" t="s">
        <v>3463</v>
      </c>
      <c r="J937" t="s">
        <v>29</v>
      </c>
      <c r="K937">
        <v>10.4433294662648</v>
      </c>
      <c r="L937">
        <v>10.9825491723435</v>
      </c>
      <c r="M937">
        <v>13.091873489342801</v>
      </c>
      <c r="N937">
        <v>13.8128021833438</v>
      </c>
      <c r="O937">
        <v>13.9319610429023</v>
      </c>
      <c r="P937">
        <v>2.89927291922554</v>
      </c>
      <c r="Q937">
        <v>2.0972529652957599</v>
      </c>
      <c r="R937">
        <v>3.7012928731553099</v>
      </c>
      <c r="S937">
        <v>12.162815160756599</v>
      </c>
      <c r="T937">
        <v>7.6305165506940202</v>
      </c>
      <c r="U937">
        <v>6.0782461347374701</v>
      </c>
      <c r="V937" s="2">
        <v>7.1870027670223398E-7</v>
      </c>
      <c r="W937" s="2">
        <v>3.6517408886922099E-5</v>
      </c>
      <c r="X937">
        <v>1</v>
      </c>
      <c r="Y937">
        <v>1</v>
      </c>
    </row>
    <row r="938" spans="1:25" x14ac:dyDescent="0.2">
      <c r="A938" t="s">
        <v>3464</v>
      </c>
      <c r="B938" t="s">
        <v>3465</v>
      </c>
      <c r="C938" t="s">
        <v>3466</v>
      </c>
      <c r="D938" t="s">
        <v>3312</v>
      </c>
      <c r="E938" t="s">
        <v>3465</v>
      </c>
      <c r="F938" t="s">
        <v>28</v>
      </c>
      <c r="G938" t="s">
        <v>3465</v>
      </c>
      <c r="H938" t="str">
        <f>"col-178"</f>
        <v>col-178</v>
      </c>
      <c r="I938" t="s">
        <v>3312</v>
      </c>
      <c r="J938">
        <v>11.719277484038299</v>
      </c>
      <c r="K938" t="s">
        <v>29</v>
      </c>
      <c r="L938">
        <v>13.137309893572199</v>
      </c>
      <c r="M938" t="s">
        <v>29</v>
      </c>
      <c r="N938" t="s">
        <v>29</v>
      </c>
      <c r="O938" t="s">
        <v>29</v>
      </c>
      <c r="P938" t="s">
        <v>29</v>
      </c>
      <c r="Q938" t="s">
        <v>29</v>
      </c>
      <c r="R938" t="s">
        <v>29</v>
      </c>
      <c r="S938">
        <v>13.315973958958599</v>
      </c>
      <c r="T938" t="s">
        <v>29</v>
      </c>
      <c r="U938" t="s">
        <v>29</v>
      </c>
      <c r="V938" t="s">
        <v>29</v>
      </c>
      <c r="W938" t="s">
        <v>29</v>
      </c>
      <c r="X938" t="s">
        <v>29</v>
      </c>
      <c r="Y938" t="s">
        <v>29</v>
      </c>
    </row>
    <row r="939" spans="1:25" x14ac:dyDescent="0.2">
      <c r="A939" t="s">
        <v>3467</v>
      </c>
      <c r="B939" t="s">
        <v>3468</v>
      </c>
      <c r="C939" t="s">
        <v>3469</v>
      </c>
      <c r="D939" t="s">
        <v>3312</v>
      </c>
      <c r="E939" t="s">
        <v>3468</v>
      </c>
      <c r="F939" t="s">
        <v>28</v>
      </c>
      <c r="G939" t="s">
        <v>3468</v>
      </c>
      <c r="H939" t="str">
        <f>"col-179"</f>
        <v>col-179</v>
      </c>
      <c r="I939" t="s">
        <v>3312</v>
      </c>
      <c r="J939" t="s">
        <v>29</v>
      </c>
      <c r="K939" t="s">
        <v>29</v>
      </c>
      <c r="L939" t="s">
        <v>29</v>
      </c>
      <c r="M939" t="s">
        <v>29</v>
      </c>
      <c r="N939" t="s">
        <v>29</v>
      </c>
      <c r="O939" t="s">
        <v>29</v>
      </c>
      <c r="P939" t="s">
        <v>29</v>
      </c>
      <c r="Q939" t="s">
        <v>29</v>
      </c>
      <c r="R939" t="s">
        <v>29</v>
      </c>
      <c r="S939">
        <v>12.5379874049599</v>
      </c>
      <c r="T939" t="s">
        <v>29</v>
      </c>
      <c r="U939" t="s">
        <v>29</v>
      </c>
      <c r="V939" t="s">
        <v>29</v>
      </c>
      <c r="W939" t="s">
        <v>29</v>
      </c>
      <c r="X939" t="s">
        <v>29</v>
      </c>
      <c r="Y939" t="s">
        <v>29</v>
      </c>
    </row>
    <row r="940" spans="1:25" x14ac:dyDescent="0.2">
      <c r="A940" t="s">
        <v>3470</v>
      </c>
      <c r="B940" t="s">
        <v>3471</v>
      </c>
      <c r="C940" t="s">
        <v>3472</v>
      </c>
      <c r="D940" t="s">
        <v>2584</v>
      </c>
      <c r="E940" t="s">
        <v>3471</v>
      </c>
      <c r="F940" t="s">
        <v>28</v>
      </c>
      <c r="G940" t="s">
        <v>3471</v>
      </c>
      <c r="H940" t="str">
        <f>"idh-2"</f>
        <v>idh-2</v>
      </c>
      <c r="I940" t="s">
        <v>2584</v>
      </c>
      <c r="J940">
        <v>13.776009229466499</v>
      </c>
      <c r="K940">
        <v>13.633836770546401</v>
      </c>
      <c r="L940">
        <v>13.658006531440501</v>
      </c>
      <c r="M940">
        <v>15.112249158411601</v>
      </c>
      <c r="N940">
        <v>14.4191653832663</v>
      </c>
      <c r="O940">
        <v>13.942526702412399</v>
      </c>
      <c r="P940">
        <v>0.80202957087896798</v>
      </c>
      <c r="Q940">
        <v>0.30675485814228798</v>
      </c>
      <c r="R940">
        <v>1.2973042836156501</v>
      </c>
      <c r="S940">
        <v>13.664612807032499</v>
      </c>
      <c r="T940">
        <v>3.4035860849306898</v>
      </c>
      <c r="U940">
        <v>-2.4767799287423902</v>
      </c>
      <c r="V940">
        <v>3.1873693333069101E-3</v>
      </c>
      <c r="W940">
        <v>2.0509121015841601E-2</v>
      </c>
      <c r="X940">
        <v>0</v>
      </c>
      <c r="Y940">
        <v>0</v>
      </c>
    </row>
    <row r="941" spans="1:25" x14ac:dyDescent="0.2">
      <c r="A941" t="s">
        <v>3473</v>
      </c>
      <c r="B941" t="s">
        <v>3474</v>
      </c>
      <c r="C941" t="s">
        <v>3475</v>
      </c>
      <c r="D941" t="s">
        <v>758</v>
      </c>
      <c r="E941" t="s">
        <v>3474</v>
      </c>
      <c r="F941" t="s">
        <v>28</v>
      </c>
      <c r="G941" t="s">
        <v>3474</v>
      </c>
      <c r="H941" t="str">
        <f>"aspm-1"</f>
        <v>aspm-1</v>
      </c>
      <c r="I941" t="s">
        <v>758</v>
      </c>
      <c r="J941" t="s">
        <v>29</v>
      </c>
      <c r="K941">
        <v>9.1689539721658093</v>
      </c>
      <c r="L941">
        <v>10.692651826268699</v>
      </c>
      <c r="M941" t="s">
        <v>29</v>
      </c>
      <c r="N941" t="s">
        <v>29</v>
      </c>
      <c r="O941" t="s">
        <v>29</v>
      </c>
      <c r="P941" t="s">
        <v>29</v>
      </c>
      <c r="Q941" t="s">
        <v>29</v>
      </c>
      <c r="R941" t="s">
        <v>29</v>
      </c>
      <c r="S941">
        <v>10.706143560161101</v>
      </c>
      <c r="T941" t="s">
        <v>29</v>
      </c>
      <c r="U941" t="s">
        <v>29</v>
      </c>
      <c r="V941" t="s">
        <v>29</v>
      </c>
      <c r="W941" t="s">
        <v>29</v>
      </c>
      <c r="X941" t="s">
        <v>29</v>
      </c>
      <c r="Y941" t="s">
        <v>29</v>
      </c>
    </row>
    <row r="942" spans="1:25" x14ac:dyDescent="0.2">
      <c r="A942" t="s">
        <v>3476</v>
      </c>
      <c r="B942" t="s">
        <v>3477</v>
      </c>
      <c r="C942" t="s">
        <v>3478</v>
      </c>
      <c r="D942" t="s">
        <v>3479</v>
      </c>
      <c r="E942" t="s">
        <v>3477</v>
      </c>
      <c r="F942" t="s">
        <v>28</v>
      </c>
      <c r="G942" t="s">
        <v>3477</v>
      </c>
      <c r="H942" t="str">
        <f>"sams-1"</f>
        <v>sams-1</v>
      </c>
      <c r="I942" t="s">
        <v>3479</v>
      </c>
      <c r="J942">
        <v>16.218700290177399</v>
      </c>
      <c r="K942">
        <v>15.445848239534801</v>
      </c>
      <c r="L942">
        <v>15.5712068193703</v>
      </c>
      <c r="M942">
        <v>16.273587168470499</v>
      </c>
      <c r="N942">
        <v>16.237262330055099</v>
      </c>
      <c r="O942">
        <v>16.1142691871407</v>
      </c>
      <c r="P942">
        <v>0.46312111219465601</v>
      </c>
      <c r="Q942">
        <v>2.3275939136804501E-2</v>
      </c>
      <c r="R942">
        <v>0.90296628525250799</v>
      </c>
      <c r="S942">
        <v>15.8239188902597</v>
      </c>
      <c r="T942">
        <v>2.2130298016590602</v>
      </c>
      <c r="U942">
        <v>-4.8862571895744402</v>
      </c>
      <c r="V942">
        <v>4.0134312880143602E-2</v>
      </c>
      <c r="W942">
        <v>0.11837106275581601</v>
      </c>
      <c r="X942">
        <v>0</v>
      </c>
      <c r="Y942">
        <v>0</v>
      </c>
    </row>
    <row r="943" spans="1:25" x14ac:dyDescent="0.2">
      <c r="A943" t="s">
        <v>3480</v>
      </c>
      <c r="B943" t="s">
        <v>3481</v>
      </c>
      <c r="C943" t="s">
        <v>3482</v>
      </c>
      <c r="D943" t="s">
        <v>3483</v>
      </c>
      <c r="E943" t="s">
        <v>3481</v>
      </c>
      <c r="F943" t="s">
        <v>28</v>
      </c>
      <c r="G943" t="s">
        <v>3481</v>
      </c>
      <c r="H943" t="str">
        <f>"nasp-2"</f>
        <v>nasp-2</v>
      </c>
      <c r="I943" t="s">
        <v>3483</v>
      </c>
      <c r="J943">
        <v>13.5846604216126</v>
      </c>
      <c r="K943">
        <v>10.6658240558319</v>
      </c>
      <c r="L943">
        <v>11.5608608415586</v>
      </c>
      <c r="M943" t="s">
        <v>29</v>
      </c>
      <c r="N943" t="s">
        <v>29</v>
      </c>
      <c r="O943">
        <v>12.972316032271101</v>
      </c>
      <c r="P943">
        <v>1.03520092593677</v>
      </c>
      <c r="Q943">
        <v>-1.19602535141568</v>
      </c>
      <c r="R943">
        <v>3.2664272032892199</v>
      </c>
      <c r="S943">
        <v>12.3909971257286</v>
      </c>
      <c r="T943">
        <v>0.99580184952662198</v>
      </c>
      <c r="U943">
        <v>-6.3056130517504103</v>
      </c>
      <c r="V943">
        <v>0.33637252412587898</v>
      </c>
      <c r="W943">
        <v>0.50733546030982002</v>
      </c>
      <c r="X943">
        <v>0</v>
      </c>
      <c r="Y943">
        <v>0</v>
      </c>
    </row>
    <row r="944" spans="1:25" x14ac:dyDescent="0.2">
      <c r="A944" t="s">
        <v>3484</v>
      </c>
      <c r="B944" t="s">
        <v>3485</v>
      </c>
      <c r="C944" t="s">
        <v>3486</v>
      </c>
      <c r="D944" t="s">
        <v>3487</v>
      </c>
      <c r="E944" t="s">
        <v>3485</v>
      </c>
      <c r="F944" t="s">
        <v>28</v>
      </c>
      <c r="G944" t="s">
        <v>3485</v>
      </c>
      <c r="H944" t="str">
        <f>"ril-1"</f>
        <v>ril-1</v>
      </c>
      <c r="I944" t="s">
        <v>3487</v>
      </c>
      <c r="J944">
        <v>16.787453630533701</v>
      </c>
      <c r="K944">
        <v>16.634518450426999</v>
      </c>
      <c r="L944">
        <v>16.471543465049098</v>
      </c>
      <c r="M944">
        <v>16.903198331435899</v>
      </c>
      <c r="N944">
        <v>17.111656596844</v>
      </c>
      <c r="O944">
        <v>16.651863932768698</v>
      </c>
      <c r="P944">
        <v>0.25773443834626197</v>
      </c>
      <c r="Q944">
        <v>-0.167017152520478</v>
      </c>
      <c r="R944">
        <v>0.68248602921300106</v>
      </c>
      <c r="S944">
        <v>16.712274405455101</v>
      </c>
      <c r="T944">
        <v>1.27535165957395</v>
      </c>
      <c r="U944">
        <v>-6.33952369095379</v>
      </c>
      <c r="V944">
        <v>0.21849353814957301</v>
      </c>
      <c r="W944">
        <v>0.38168373261813299</v>
      </c>
      <c r="X944">
        <v>0</v>
      </c>
      <c r="Y944">
        <v>0</v>
      </c>
    </row>
    <row r="945" spans="1:25" x14ac:dyDescent="0.2">
      <c r="A945" t="s">
        <v>3488</v>
      </c>
      <c r="B945" t="s">
        <v>3489</v>
      </c>
      <c r="C945" t="s">
        <v>3490</v>
      </c>
      <c r="D945" t="s">
        <v>3491</v>
      </c>
      <c r="E945" t="s">
        <v>3489</v>
      </c>
      <c r="F945" t="s">
        <v>28</v>
      </c>
      <c r="G945" t="s">
        <v>3489</v>
      </c>
      <c r="H945" t="str">
        <f>"hda-1"</f>
        <v>hda-1</v>
      </c>
      <c r="I945" t="s">
        <v>3491</v>
      </c>
      <c r="J945">
        <v>15.3505831403437</v>
      </c>
      <c r="K945">
        <v>15.4359542627643</v>
      </c>
      <c r="L945">
        <v>15.1884762150694</v>
      </c>
      <c r="M945">
        <v>14.9294510353271</v>
      </c>
      <c r="N945">
        <v>14.7743637161338</v>
      </c>
      <c r="O945">
        <v>15.1532696068601</v>
      </c>
      <c r="P945">
        <v>-0.37264308661879803</v>
      </c>
      <c r="Q945">
        <v>-0.75577650090482495</v>
      </c>
      <c r="R945">
        <v>1.0490327667229699E-2</v>
      </c>
      <c r="S945">
        <v>15.194515883795701</v>
      </c>
      <c r="T945">
        <v>-2.0442572741674701</v>
      </c>
      <c r="U945">
        <v>-5.1866185337142001</v>
      </c>
      <c r="V945">
        <v>5.5928840208577399E-2</v>
      </c>
      <c r="W945">
        <v>0.147822683492984</v>
      </c>
      <c r="X945">
        <v>0</v>
      </c>
      <c r="Y945">
        <v>0</v>
      </c>
    </row>
    <row r="946" spans="1:25" x14ac:dyDescent="0.2">
      <c r="A946" t="s">
        <v>3492</v>
      </c>
      <c r="B946" t="s">
        <v>3493</v>
      </c>
      <c r="C946" t="s">
        <v>3494</v>
      </c>
      <c r="D946" t="s">
        <v>3495</v>
      </c>
      <c r="E946" t="s">
        <v>3493</v>
      </c>
      <c r="F946" t="s">
        <v>28</v>
      </c>
      <c r="G946" t="s">
        <v>3496</v>
      </c>
      <c r="H946" t="str">
        <f>"C55A6.6"</f>
        <v>C55A6.6</v>
      </c>
      <c r="I946" t="s">
        <v>3246</v>
      </c>
      <c r="J946">
        <v>11.4709676975931</v>
      </c>
      <c r="K946" t="s">
        <v>29</v>
      </c>
      <c r="L946">
        <v>11.3709963420335</v>
      </c>
      <c r="M946" t="s">
        <v>29</v>
      </c>
      <c r="N946">
        <v>12.154097493611999</v>
      </c>
      <c r="O946">
        <v>11.173025183960901</v>
      </c>
      <c r="P946">
        <v>0.24257931897318799</v>
      </c>
      <c r="Q946">
        <v>-0.64063368212309801</v>
      </c>
      <c r="R946">
        <v>1.1257923200694699</v>
      </c>
      <c r="S946">
        <v>11.647777523256</v>
      </c>
      <c r="T946">
        <v>0.58255622712767097</v>
      </c>
      <c r="U946">
        <v>-6.77820298539541</v>
      </c>
      <c r="V946">
        <v>0.56836476071283104</v>
      </c>
      <c r="W946">
        <v>0.70943284617565205</v>
      </c>
      <c r="X946">
        <v>0</v>
      </c>
      <c r="Y946">
        <v>0</v>
      </c>
    </row>
    <row r="947" spans="1:25" x14ac:dyDescent="0.2">
      <c r="A947" t="s">
        <v>3497</v>
      </c>
      <c r="B947" t="s">
        <v>3498</v>
      </c>
      <c r="C947" t="s">
        <v>3499</v>
      </c>
      <c r="D947" t="s">
        <v>3500</v>
      </c>
      <c r="E947" t="s">
        <v>3498</v>
      </c>
      <c r="F947" t="s">
        <v>28</v>
      </c>
      <c r="G947" t="s">
        <v>3498</v>
      </c>
      <c r="H947" t="str">
        <f>"pyc-1"</f>
        <v>pyc-1</v>
      </c>
      <c r="I947" t="s">
        <v>3500</v>
      </c>
      <c r="J947">
        <v>25.590285484566301</v>
      </c>
      <c r="K947">
        <v>25.815979005986001</v>
      </c>
      <c r="L947">
        <v>25.388870392444201</v>
      </c>
      <c r="M947">
        <v>22.991767233392601</v>
      </c>
      <c r="N947">
        <v>24.124692521230301</v>
      </c>
      <c r="O947">
        <v>24.878467592044199</v>
      </c>
      <c r="P947">
        <v>-1.60006917877646</v>
      </c>
      <c r="Q947">
        <v>-2.4254305746139599</v>
      </c>
      <c r="R947">
        <v>-0.77470778293895504</v>
      </c>
      <c r="S947">
        <v>24.4476655927511</v>
      </c>
      <c r="T947">
        <v>-4.0746200779576096</v>
      </c>
      <c r="U947">
        <v>-1.00738919405852</v>
      </c>
      <c r="V947">
        <v>7.1878419480896896E-4</v>
      </c>
      <c r="W947">
        <v>7.2543048702124399E-3</v>
      </c>
      <c r="X947">
        <v>-1</v>
      </c>
      <c r="Y947">
        <v>-1</v>
      </c>
    </row>
    <row r="948" spans="1:25" x14ac:dyDescent="0.2">
      <c r="A948" t="s">
        <v>3501</v>
      </c>
      <c r="B948" t="s">
        <v>3502</v>
      </c>
      <c r="C948" t="s">
        <v>14347</v>
      </c>
      <c r="D948" t="s">
        <v>429</v>
      </c>
      <c r="E948" t="s">
        <v>3502</v>
      </c>
      <c r="F948" t="s">
        <v>28</v>
      </c>
      <c r="G948" t="s">
        <v>3502</v>
      </c>
      <c r="H948" t="str">
        <f>"D2023.6"</f>
        <v>D2023.6</v>
      </c>
      <c r="I948" t="s">
        <v>429</v>
      </c>
      <c r="J948">
        <v>11.7936797289055</v>
      </c>
      <c r="K948">
        <v>11.7145190963912</v>
      </c>
      <c r="L948">
        <v>12.0333293320175</v>
      </c>
      <c r="M948" t="s">
        <v>29</v>
      </c>
      <c r="N948">
        <v>11.369476831865001</v>
      </c>
      <c r="O948">
        <v>11.280877527354299</v>
      </c>
      <c r="P948">
        <v>-0.52199887282838597</v>
      </c>
      <c r="Q948">
        <v>-0.93522725824306896</v>
      </c>
      <c r="R948">
        <v>-0.108770487413702</v>
      </c>
      <c r="S948">
        <v>11.838699373483699</v>
      </c>
      <c r="T948">
        <v>-2.6664253650558298</v>
      </c>
      <c r="U948">
        <v>-3.93075492475747</v>
      </c>
      <c r="V948">
        <v>1.63361232681133E-2</v>
      </c>
      <c r="W948">
        <v>6.4568064608359593E-2</v>
      </c>
      <c r="X948">
        <v>0</v>
      </c>
      <c r="Y948">
        <v>0</v>
      </c>
    </row>
    <row r="949" spans="1:25" x14ac:dyDescent="0.2">
      <c r="A949" t="s">
        <v>3503</v>
      </c>
      <c r="B949" t="s">
        <v>3504</v>
      </c>
      <c r="C949" t="s">
        <v>3505</v>
      </c>
      <c r="D949" t="s">
        <v>3506</v>
      </c>
      <c r="E949" t="s">
        <v>3504</v>
      </c>
      <c r="F949" t="s">
        <v>28</v>
      </c>
      <c r="G949" t="s">
        <v>3504</v>
      </c>
      <c r="H949" t="str">
        <f>"etc-1"</f>
        <v>etc-1</v>
      </c>
      <c r="I949" t="s">
        <v>3506</v>
      </c>
      <c r="J949">
        <v>12.779309793636701</v>
      </c>
      <c r="K949">
        <v>12.018269361007601</v>
      </c>
      <c r="L949">
        <v>12.7113102660753</v>
      </c>
      <c r="M949" t="s">
        <v>29</v>
      </c>
      <c r="N949">
        <v>12.659652421339599</v>
      </c>
      <c r="O949">
        <v>12.0959101022483</v>
      </c>
      <c r="P949">
        <v>-0.125181878445948</v>
      </c>
      <c r="Q949">
        <v>-0.62005254278708399</v>
      </c>
      <c r="R949">
        <v>0.369688785895187</v>
      </c>
      <c r="S949">
        <v>12.8670502672226</v>
      </c>
      <c r="T949">
        <v>-0.53394898770705701</v>
      </c>
      <c r="U949">
        <v>-6.8968700918039998</v>
      </c>
      <c r="V949">
        <v>0.60033252070696497</v>
      </c>
      <c r="W949">
        <v>0.73337536468715003</v>
      </c>
      <c r="X949">
        <v>0</v>
      </c>
      <c r="Y949">
        <v>0</v>
      </c>
    </row>
    <row r="950" spans="1:25" x14ac:dyDescent="0.2">
      <c r="A950" t="s">
        <v>3507</v>
      </c>
      <c r="B950" t="s">
        <v>3508</v>
      </c>
      <c r="C950" t="s">
        <v>3509</v>
      </c>
      <c r="D950" t="s">
        <v>3510</v>
      </c>
      <c r="E950" t="s">
        <v>3508</v>
      </c>
      <c r="F950" t="s">
        <v>28</v>
      </c>
      <c r="G950" t="s">
        <v>3508</v>
      </c>
      <c r="H950" t="str">
        <f>"tkt-1"</f>
        <v>tkt-1</v>
      </c>
      <c r="I950" t="s">
        <v>3510</v>
      </c>
      <c r="J950">
        <v>14.661790124063</v>
      </c>
      <c r="K950">
        <v>14.4322514143419</v>
      </c>
      <c r="L950">
        <v>14.772847428277499</v>
      </c>
      <c r="M950">
        <v>15.353154247867399</v>
      </c>
      <c r="N950">
        <v>14.965487737847299</v>
      </c>
      <c r="O950">
        <v>14.3535247072601</v>
      </c>
      <c r="P950">
        <v>0.26842590876419298</v>
      </c>
      <c r="Q950">
        <v>-0.22797803640679201</v>
      </c>
      <c r="R950">
        <v>0.76482985393517799</v>
      </c>
      <c r="S950">
        <v>14.8122072710566</v>
      </c>
      <c r="T950">
        <v>1.13653213791823</v>
      </c>
      <c r="U950">
        <v>-6.5019115050707796</v>
      </c>
      <c r="V950">
        <v>0.27072521863229099</v>
      </c>
      <c r="W950">
        <v>0.43836660401613398</v>
      </c>
      <c r="X950">
        <v>0</v>
      </c>
      <c r="Y950">
        <v>0</v>
      </c>
    </row>
    <row r="951" spans="1:25" x14ac:dyDescent="0.2">
      <c r="A951" t="s">
        <v>3511</v>
      </c>
      <c r="B951" t="s">
        <v>3512</v>
      </c>
      <c r="C951" t="s">
        <v>3513</v>
      </c>
      <c r="D951" t="s">
        <v>3514</v>
      </c>
      <c r="E951" t="s">
        <v>3512</v>
      </c>
      <c r="F951" t="s">
        <v>28</v>
      </c>
      <c r="G951" t="s">
        <v>3512</v>
      </c>
      <c r="H951" t="str">
        <f>"ech-8"</f>
        <v>ech-8</v>
      </c>
      <c r="I951" t="s">
        <v>3514</v>
      </c>
      <c r="J951">
        <v>13.692185027788399</v>
      </c>
      <c r="K951">
        <v>14.770185724588901</v>
      </c>
      <c r="L951">
        <v>14.029581832906899</v>
      </c>
      <c r="M951" t="s">
        <v>29</v>
      </c>
      <c r="N951" t="s">
        <v>29</v>
      </c>
      <c r="O951">
        <v>13.560072752834399</v>
      </c>
      <c r="P951">
        <v>-0.603911442260326</v>
      </c>
      <c r="Q951">
        <v>-1.6799974910247299</v>
      </c>
      <c r="R951">
        <v>0.47217460650408</v>
      </c>
      <c r="S951">
        <v>12.968937832177399</v>
      </c>
      <c r="T951">
        <v>-1.2045314675750201</v>
      </c>
      <c r="U951">
        <v>-6.0822342760633097</v>
      </c>
      <c r="V951">
        <v>0.248500785228181</v>
      </c>
      <c r="W951">
        <v>0.41592366637384698</v>
      </c>
      <c r="X951">
        <v>0</v>
      </c>
      <c r="Y951">
        <v>0</v>
      </c>
    </row>
    <row r="952" spans="1:25" x14ac:dyDescent="0.2">
      <c r="A952" t="s">
        <v>3515</v>
      </c>
      <c r="B952" t="s">
        <v>3516</v>
      </c>
      <c r="C952" t="s">
        <v>3517</v>
      </c>
      <c r="D952" t="s">
        <v>758</v>
      </c>
      <c r="E952" t="s">
        <v>3516</v>
      </c>
      <c r="F952" t="s">
        <v>28</v>
      </c>
      <c r="G952" t="s">
        <v>3516</v>
      </c>
      <c r="H952" t="str">
        <f>"pes-7"</f>
        <v>pes-7</v>
      </c>
      <c r="I952" t="s">
        <v>758</v>
      </c>
      <c r="J952">
        <v>11.863976846072401</v>
      </c>
      <c r="K952">
        <v>11.456434208626501</v>
      </c>
      <c r="L952">
        <v>12.296316837863101</v>
      </c>
      <c r="M952">
        <v>12.7295535824602</v>
      </c>
      <c r="N952">
        <v>12.948938544412099</v>
      </c>
      <c r="O952">
        <v>14.1757191171257</v>
      </c>
      <c r="P952">
        <v>1.4124944504786501</v>
      </c>
      <c r="Q952">
        <v>0.66986456066344702</v>
      </c>
      <c r="R952">
        <v>2.1551243402938498</v>
      </c>
      <c r="S952">
        <v>12.7578449313483</v>
      </c>
      <c r="T952">
        <v>3.9976690544863498</v>
      </c>
      <c r="U952">
        <v>-1.1771090401653199</v>
      </c>
      <c r="V952">
        <v>8.5270072140537095E-4</v>
      </c>
      <c r="W952">
        <v>8.1587955389013905E-3</v>
      </c>
      <c r="X952">
        <v>1</v>
      </c>
      <c r="Y952">
        <v>1</v>
      </c>
    </row>
    <row r="953" spans="1:25" x14ac:dyDescent="0.2">
      <c r="A953" t="s">
        <v>3518</v>
      </c>
      <c r="B953" t="s">
        <v>3519</v>
      </c>
      <c r="C953" t="s">
        <v>3520</v>
      </c>
      <c r="D953" t="s">
        <v>3312</v>
      </c>
      <c r="E953" t="s">
        <v>3519</v>
      </c>
      <c r="F953" t="s">
        <v>28</v>
      </c>
      <c r="G953" t="s">
        <v>3519</v>
      </c>
      <c r="H953" t="str">
        <f>"col-98"</f>
        <v>col-98</v>
      </c>
      <c r="I953" t="s">
        <v>3312</v>
      </c>
      <c r="J953">
        <v>13.4646637792903</v>
      </c>
      <c r="K953">
        <v>14.0538278841361</v>
      </c>
      <c r="L953">
        <v>13.8319462161337</v>
      </c>
      <c r="M953">
        <v>12.780896181291</v>
      </c>
      <c r="N953">
        <v>13.1694780352385</v>
      </c>
      <c r="O953">
        <v>13.859297007907401</v>
      </c>
      <c r="P953">
        <v>-0.51358888504105205</v>
      </c>
      <c r="Q953">
        <v>-1.1644893611328</v>
      </c>
      <c r="R953">
        <v>0.13731159105069601</v>
      </c>
      <c r="S953">
        <v>14.0603108151131</v>
      </c>
      <c r="T953">
        <v>-1.6584162335013799</v>
      </c>
      <c r="U953">
        <v>-5.8142599765488203</v>
      </c>
      <c r="V953">
        <v>0.114658152671928</v>
      </c>
      <c r="W953">
        <v>0.23896575383604801</v>
      </c>
      <c r="X953">
        <v>0</v>
      </c>
      <c r="Y953">
        <v>0</v>
      </c>
    </row>
    <row r="954" spans="1:25" x14ac:dyDescent="0.2">
      <c r="A954" t="s">
        <v>3521</v>
      </c>
      <c r="B954" t="s">
        <v>3522</v>
      </c>
      <c r="C954" t="s">
        <v>3523</v>
      </c>
      <c r="D954" t="s">
        <v>3524</v>
      </c>
      <c r="E954" t="s">
        <v>3522</v>
      </c>
      <c r="F954" t="s">
        <v>28</v>
      </c>
      <c r="G954" t="s">
        <v>3522</v>
      </c>
      <c r="H954" t="str">
        <f>"clsp-1"</f>
        <v>clsp-1</v>
      </c>
      <c r="I954" t="s">
        <v>3524</v>
      </c>
      <c r="J954" t="s">
        <v>29</v>
      </c>
      <c r="K954" t="s">
        <v>29</v>
      </c>
      <c r="L954" t="s">
        <v>29</v>
      </c>
      <c r="M954" t="s">
        <v>29</v>
      </c>
      <c r="N954" t="s">
        <v>29</v>
      </c>
      <c r="O954" t="s">
        <v>29</v>
      </c>
      <c r="P954" t="s">
        <v>29</v>
      </c>
      <c r="Q954" t="s">
        <v>29</v>
      </c>
      <c r="R954" t="s">
        <v>29</v>
      </c>
      <c r="S954">
        <v>12.509061097976</v>
      </c>
      <c r="T954" t="s">
        <v>29</v>
      </c>
      <c r="U954" t="s">
        <v>29</v>
      </c>
      <c r="V954" t="s">
        <v>29</v>
      </c>
      <c r="W954" t="s">
        <v>29</v>
      </c>
      <c r="X954" t="s">
        <v>29</v>
      </c>
      <c r="Y954" t="s">
        <v>29</v>
      </c>
    </row>
    <row r="955" spans="1:25" x14ac:dyDescent="0.2">
      <c r="A955" t="s">
        <v>3525</v>
      </c>
      <c r="B955" t="s">
        <v>3526</v>
      </c>
      <c r="C955" t="s">
        <v>3527</v>
      </c>
      <c r="D955" t="s">
        <v>3528</v>
      </c>
      <c r="E955" t="s">
        <v>3526</v>
      </c>
      <c r="F955" t="s">
        <v>28</v>
      </c>
      <c r="G955" t="s">
        <v>3526</v>
      </c>
      <c r="H955" t="str">
        <f>"ccnk-1"</f>
        <v>ccnk-1</v>
      </c>
      <c r="I955" t="s">
        <v>3528</v>
      </c>
      <c r="J955">
        <v>11.313731308336401</v>
      </c>
      <c r="K955">
        <v>12.129782205449599</v>
      </c>
      <c r="L955">
        <v>11.839033525064201</v>
      </c>
      <c r="M955" t="s">
        <v>29</v>
      </c>
      <c r="N955" t="s">
        <v>29</v>
      </c>
      <c r="O955">
        <v>11.6570230792092</v>
      </c>
      <c r="P955">
        <v>-0.10382593374084199</v>
      </c>
      <c r="Q955">
        <v>-1.1473085611885301</v>
      </c>
      <c r="R955">
        <v>0.93965669370684302</v>
      </c>
      <c r="S955">
        <v>12.5259175547101</v>
      </c>
      <c r="T955">
        <v>-0.21104261149712</v>
      </c>
      <c r="U955">
        <v>-6.7893437459140502</v>
      </c>
      <c r="V955">
        <v>0.83553592784998598</v>
      </c>
      <c r="W955">
        <v>0.89601468257445105</v>
      </c>
      <c r="X955">
        <v>0</v>
      </c>
      <c r="Y955">
        <v>0</v>
      </c>
    </row>
    <row r="956" spans="1:25" x14ac:dyDescent="0.2">
      <c r="A956" t="s">
        <v>3529</v>
      </c>
      <c r="B956" t="s">
        <v>3530</v>
      </c>
      <c r="C956" t="s">
        <v>3531</v>
      </c>
      <c r="D956" t="s">
        <v>3532</v>
      </c>
      <c r="E956" t="s">
        <v>3530</v>
      </c>
      <c r="F956" t="s">
        <v>28</v>
      </c>
      <c r="G956" t="s">
        <v>3530</v>
      </c>
      <c r="H956" t="str">
        <f>"xdh-1"</f>
        <v>xdh-1</v>
      </c>
      <c r="I956" t="s">
        <v>3532</v>
      </c>
      <c r="J956" t="s">
        <v>29</v>
      </c>
      <c r="K956" t="s">
        <v>29</v>
      </c>
      <c r="L956" t="s">
        <v>29</v>
      </c>
      <c r="M956" t="s">
        <v>29</v>
      </c>
      <c r="N956" t="s">
        <v>29</v>
      </c>
      <c r="O956" t="s">
        <v>29</v>
      </c>
      <c r="P956" t="s">
        <v>29</v>
      </c>
      <c r="Q956" t="s">
        <v>29</v>
      </c>
      <c r="R956" t="s">
        <v>29</v>
      </c>
      <c r="S956">
        <v>12.0901976974782</v>
      </c>
      <c r="T956" t="s">
        <v>29</v>
      </c>
      <c r="U956" t="s">
        <v>29</v>
      </c>
      <c r="V956" t="s">
        <v>29</v>
      </c>
      <c r="W956" t="s">
        <v>29</v>
      </c>
      <c r="X956" t="s">
        <v>29</v>
      </c>
      <c r="Y956" t="s">
        <v>29</v>
      </c>
    </row>
    <row r="957" spans="1:25" x14ac:dyDescent="0.2">
      <c r="A957" t="s">
        <v>3533</v>
      </c>
      <c r="B957" t="s">
        <v>3534</v>
      </c>
      <c r="C957" t="s">
        <v>3535</v>
      </c>
      <c r="D957" t="s">
        <v>3536</v>
      </c>
      <c r="E957" t="s">
        <v>3534</v>
      </c>
      <c r="F957" t="s">
        <v>28</v>
      </c>
      <c r="G957" t="s">
        <v>3534</v>
      </c>
      <c r="H957" t="str">
        <f>"haf-3"</f>
        <v>haf-3</v>
      </c>
      <c r="I957" t="s">
        <v>3536</v>
      </c>
      <c r="J957">
        <v>13.156855382777101</v>
      </c>
      <c r="K957">
        <v>13.034797924123399</v>
      </c>
      <c r="L957">
        <v>12.2873620376361</v>
      </c>
      <c r="M957" t="s">
        <v>29</v>
      </c>
      <c r="N957">
        <v>12.116012862506</v>
      </c>
      <c r="O957">
        <v>13.3675459611042</v>
      </c>
      <c r="P957">
        <v>-8.4559036373791599E-2</v>
      </c>
      <c r="Q957">
        <v>-0.81122742346864896</v>
      </c>
      <c r="R957">
        <v>0.64210935072106601</v>
      </c>
      <c r="S957">
        <v>12.698935255225001</v>
      </c>
      <c r="T957">
        <v>-0.24562568065609</v>
      </c>
      <c r="U957">
        <v>-7.0138181897075196</v>
      </c>
      <c r="V957">
        <v>0.80893096055258296</v>
      </c>
      <c r="W957">
        <v>0.88130112412142703</v>
      </c>
      <c r="X957">
        <v>0</v>
      </c>
      <c r="Y957">
        <v>0</v>
      </c>
    </row>
    <row r="958" spans="1:25" x14ac:dyDescent="0.2">
      <c r="A958" t="s">
        <v>3537</v>
      </c>
      <c r="B958" t="s">
        <v>3538</v>
      </c>
      <c r="C958" t="s">
        <v>3539</v>
      </c>
      <c r="D958" t="s">
        <v>3540</v>
      </c>
      <c r="E958" t="s">
        <v>3538</v>
      </c>
      <c r="F958" t="s">
        <v>28</v>
      </c>
      <c r="G958" t="s">
        <v>3538</v>
      </c>
      <c r="H958" t="str">
        <f>"copz-1"</f>
        <v>copz-1</v>
      </c>
      <c r="I958" t="s">
        <v>3540</v>
      </c>
      <c r="J958">
        <v>14.403088752210801</v>
      </c>
      <c r="K958">
        <v>14.4403774779888</v>
      </c>
      <c r="L958">
        <v>14.6020221230508</v>
      </c>
      <c r="M958">
        <v>16.610434017865199</v>
      </c>
      <c r="N958">
        <v>17.115061639391602</v>
      </c>
      <c r="O958">
        <v>16.860385920115299</v>
      </c>
      <c r="P958">
        <v>2.3801310747072502</v>
      </c>
      <c r="Q958">
        <v>1.9215148992484901</v>
      </c>
      <c r="R958">
        <v>2.8387472501660098</v>
      </c>
      <c r="S958">
        <v>15.528447608098</v>
      </c>
      <c r="T958">
        <v>10.907972122173099</v>
      </c>
      <c r="U958">
        <v>11.698107690166299</v>
      </c>
      <c r="V958" s="2">
        <v>2.4582994838326299E-9</v>
      </c>
      <c r="W958" s="2">
        <v>3.8883576084623902E-7</v>
      </c>
      <c r="X958">
        <v>1</v>
      </c>
      <c r="Y958">
        <v>1</v>
      </c>
    </row>
    <row r="959" spans="1:25" x14ac:dyDescent="0.2">
      <c r="A959" t="s">
        <v>3541</v>
      </c>
      <c r="B959" t="s">
        <v>3542</v>
      </c>
      <c r="C959" t="s">
        <v>3543</v>
      </c>
      <c r="D959" t="s">
        <v>984</v>
      </c>
      <c r="E959" t="s">
        <v>3542</v>
      </c>
      <c r="F959" t="s">
        <v>28</v>
      </c>
      <c r="G959" t="s">
        <v>3542</v>
      </c>
      <c r="H959" t="str">
        <f>"frm-3"</f>
        <v>frm-3</v>
      </c>
      <c r="I959" t="s">
        <v>984</v>
      </c>
      <c r="J959" t="s">
        <v>29</v>
      </c>
      <c r="K959" t="s">
        <v>29</v>
      </c>
      <c r="L959">
        <v>10.2393609627928</v>
      </c>
      <c r="M959" t="s">
        <v>29</v>
      </c>
      <c r="N959" t="s">
        <v>29</v>
      </c>
      <c r="O959" t="s">
        <v>29</v>
      </c>
      <c r="P959" t="s">
        <v>29</v>
      </c>
      <c r="Q959" t="s">
        <v>29</v>
      </c>
      <c r="R959" t="s">
        <v>29</v>
      </c>
      <c r="S959">
        <v>10.821330098092901</v>
      </c>
      <c r="T959" t="s">
        <v>29</v>
      </c>
      <c r="U959" t="s">
        <v>29</v>
      </c>
      <c r="V959" t="s">
        <v>29</v>
      </c>
      <c r="W959" t="s">
        <v>29</v>
      </c>
      <c r="X959" t="s">
        <v>29</v>
      </c>
      <c r="Y959" t="s">
        <v>29</v>
      </c>
    </row>
    <row r="960" spans="1:25" x14ac:dyDescent="0.2">
      <c r="A960" t="s">
        <v>3544</v>
      </c>
      <c r="B960" t="s">
        <v>3545</v>
      </c>
      <c r="C960" t="s">
        <v>3546</v>
      </c>
      <c r="D960" t="s">
        <v>3547</v>
      </c>
      <c r="E960" t="s">
        <v>3545</v>
      </c>
      <c r="F960" t="s">
        <v>28</v>
      </c>
      <c r="G960" t="s">
        <v>3545</v>
      </c>
      <c r="H960" t="str">
        <f>"ctg-1"</f>
        <v>ctg-1</v>
      </c>
      <c r="I960" t="s">
        <v>3547</v>
      </c>
      <c r="J960">
        <v>12.7314172577506</v>
      </c>
      <c r="K960">
        <v>13.0369186546832</v>
      </c>
      <c r="L960">
        <v>13.1530718195263</v>
      </c>
      <c r="M960">
        <v>13.1893572165355</v>
      </c>
      <c r="N960">
        <v>14.4811548659449</v>
      </c>
      <c r="O960">
        <v>14.6820055353593</v>
      </c>
      <c r="P960">
        <v>1.14370329529319</v>
      </c>
      <c r="Q960">
        <v>0.50845658710553299</v>
      </c>
      <c r="R960">
        <v>1.7789500034808501</v>
      </c>
      <c r="S960">
        <v>13.3948490614272</v>
      </c>
      <c r="T960">
        <v>3.78410747269373</v>
      </c>
      <c r="U960">
        <v>-1.647130025489</v>
      </c>
      <c r="V960">
        <v>1.37058501289621E-3</v>
      </c>
      <c r="W960">
        <v>1.12824414329752E-2</v>
      </c>
      <c r="X960">
        <v>1</v>
      </c>
      <c r="Y960">
        <v>1</v>
      </c>
    </row>
    <row r="961" spans="1:25" x14ac:dyDescent="0.2">
      <c r="A961" t="s">
        <v>3548</v>
      </c>
      <c r="B961" t="s">
        <v>3549</v>
      </c>
      <c r="C961" t="s">
        <v>3550</v>
      </c>
      <c r="D961" t="s">
        <v>3551</v>
      </c>
      <c r="E961" t="s">
        <v>3549</v>
      </c>
      <c r="F961" t="s">
        <v>28</v>
      </c>
      <c r="G961" t="s">
        <v>3549</v>
      </c>
      <c r="H961" t="str">
        <f>"chd-1"</f>
        <v>chd-1</v>
      </c>
      <c r="I961" t="s">
        <v>3551</v>
      </c>
      <c r="J961">
        <v>12.0487443302132</v>
      </c>
      <c r="K961">
        <v>11.9384716112442</v>
      </c>
      <c r="L961">
        <v>11.287508950324</v>
      </c>
      <c r="M961" t="s">
        <v>29</v>
      </c>
      <c r="N961">
        <v>18.8940652496368</v>
      </c>
      <c r="O961">
        <v>11.407458591863699</v>
      </c>
      <c r="P961">
        <v>3.3925202901564799</v>
      </c>
      <c r="Q961">
        <v>0.65748974432068596</v>
      </c>
      <c r="R961">
        <v>6.1275508359922704</v>
      </c>
      <c r="S961">
        <v>12.2331515241871</v>
      </c>
      <c r="T961">
        <v>2.6182450183101502</v>
      </c>
      <c r="U961">
        <v>-4.0251670076478598</v>
      </c>
      <c r="V961">
        <v>1.8051824247734601E-2</v>
      </c>
      <c r="W961">
        <v>6.8749510100842598E-2</v>
      </c>
      <c r="X961">
        <v>1</v>
      </c>
      <c r="Y961">
        <v>0</v>
      </c>
    </row>
    <row r="962" spans="1:25" x14ac:dyDescent="0.2">
      <c r="A962" t="s">
        <v>3552</v>
      </c>
      <c r="B962" t="s">
        <v>3553</v>
      </c>
      <c r="C962" t="s">
        <v>3554</v>
      </c>
      <c r="D962" t="s">
        <v>3555</v>
      </c>
      <c r="E962" t="s">
        <v>3553</v>
      </c>
      <c r="F962" t="s">
        <v>28</v>
      </c>
      <c r="G962" t="s">
        <v>3553</v>
      </c>
      <c r="H962" t="str">
        <f>"ran-1"</f>
        <v>ran-1</v>
      </c>
      <c r="I962" t="s">
        <v>3555</v>
      </c>
      <c r="J962">
        <v>18.506401485870601</v>
      </c>
      <c r="K962">
        <v>18.500658526970099</v>
      </c>
      <c r="L962">
        <v>18.161214037289898</v>
      </c>
      <c r="M962">
        <v>17.860795300464702</v>
      </c>
      <c r="N962">
        <v>17.934959803939002</v>
      </c>
      <c r="O962">
        <v>18.1741661918572</v>
      </c>
      <c r="P962">
        <v>-0.39945091795655302</v>
      </c>
      <c r="Q962">
        <v>-0.81491330436015597</v>
      </c>
      <c r="R962">
        <v>1.6011468447049499E-2</v>
      </c>
      <c r="S962">
        <v>17.751479861178201</v>
      </c>
      <c r="T962">
        <v>-2.02080415105294</v>
      </c>
      <c r="U962">
        <v>-5.2272113662117201</v>
      </c>
      <c r="V962">
        <v>5.8522219595207398E-2</v>
      </c>
      <c r="W962">
        <v>0.152085521293718</v>
      </c>
      <c r="X962">
        <v>0</v>
      </c>
      <c r="Y962">
        <v>0</v>
      </c>
    </row>
    <row r="963" spans="1:25" x14ac:dyDescent="0.2">
      <c r="A963" t="s">
        <v>3556</v>
      </c>
      <c r="B963" t="s">
        <v>3557</v>
      </c>
      <c r="C963" t="s">
        <v>3558</v>
      </c>
      <c r="D963" t="s">
        <v>3559</v>
      </c>
      <c r="E963" t="s">
        <v>3557</v>
      </c>
      <c r="F963" t="s">
        <v>28</v>
      </c>
      <c r="G963" t="s">
        <v>3557</v>
      </c>
      <c r="H963" t="str">
        <f>"K01G5.5"</f>
        <v>K01G5.5</v>
      </c>
      <c r="I963" t="s">
        <v>3559</v>
      </c>
      <c r="J963">
        <v>14.681177970378601</v>
      </c>
      <c r="K963">
        <v>14.4683319072114</v>
      </c>
      <c r="L963">
        <v>14.507943328642501</v>
      </c>
      <c r="M963">
        <v>15.799786737047899</v>
      </c>
      <c r="N963">
        <v>15.33109489398</v>
      </c>
      <c r="O963">
        <v>14.0203581167936</v>
      </c>
      <c r="P963">
        <v>0.49792884719630898</v>
      </c>
      <c r="Q963">
        <v>-0.23361630405604</v>
      </c>
      <c r="R963">
        <v>1.22947399844866</v>
      </c>
      <c r="S963">
        <v>14.0618606528495</v>
      </c>
      <c r="T963">
        <v>1.43060146228171</v>
      </c>
      <c r="U963">
        <v>-6.1396937725364404</v>
      </c>
      <c r="V963">
        <v>0.169774960306731</v>
      </c>
      <c r="W963">
        <v>0.32031165686551699</v>
      </c>
      <c r="X963">
        <v>0</v>
      </c>
      <c r="Y963">
        <v>0</v>
      </c>
    </row>
    <row r="964" spans="1:25" x14ac:dyDescent="0.2">
      <c r="A964" t="s">
        <v>3560</v>
      </c>
      <c r="B964" t="s">
        <v>3561</v>
      </c>
      <c r="C964" t="s">
        <v>3562</v>
      </c>
      <c r="D964" t="s">
        <v>3563</v>
      </c>
      <c r="E964" t="s">
        <v>3561</v>
      </c>
      <c r="F964" t="s">
        <v>28</v>
      </c>
      <c r="G964" t="s">
        <v>3561</v>
      </c>
      <c r="H964" t="str">
        <f>"tbb-1"</f>
        <v>tbb-1</v>
      </c>
      <c r="I964" t="s">
        <v>3563</v>
      </c>
      <c r="J964">
        <v>17.9041099331147</v>
      </c>
      <c r="K964">
        <v>17.776959564878499</v>
      </c>
      <c r="L964">
        <v>17.805903461784599</v>
      </c>
      <c r="M964">
        <v>17.5859452410313</v>
      </c>
      <c r="N964">
        <v>17.600496535037799</v>
      </c>
      <c r="O964">
        <v>17.536589101240398</v>
      </c>
      <c r="P964">
        <v>-0.25464736082274397</v>
      </c>
      <c r="Q964">
        <v>-0.56969286163722699</v>
      </c>
      <c r="R964">
        <v>6.0398139991738098E-2</v>
      </c>
      <c r="S964">
        <v>17.619724481950701</v>
      </c>
      <c r="T964">
        <v>-1.6988632073194601</v>
      </c>
      <c r="U964">
        <v>-5.7527508543705599</v>
      </c>
      <c r="V964">
        <v>0.106663085678563</v>
      </c>
      <c r="W964">
        <v>0.22646694055816</v>
      </c>
      <c r="X964">
        <v>0</v>
      </c>
      <c r="Y964">
        <v>0</v>
      </c>
    </row>
    <row r="965" spans="1:25" x14ac:dyDescent="0.2">
      <c r="A965" t="s">
        <v>3564</v>
      </c>
      <c r="B965" t="s">
        <v>3565</v>
      </c>
      <c r="C965" t="s">
        <v>14348</v>
      </c>
      <c r="D965" t="s">
        <v>3566</v>
      </c>
      <c r="E965" t="s">
        <v>3565</v>
      </c>
      <c r="F965" t="s">
        <v>28</v>
      </c>
      <c r="G965" t="s">
        <v>3565</v>
      </c>
      <c r="H965" t="str">
        <f>"K10C3.5"</f>
        <v>K10C3.5</v>
      </c>
      <c r="I965" t="s">
        <v>3566</v>
      </c>
      <c r="J965" t="s">
        <v>29</v>
      </c>
      <c r="K965">
        <v>10.8759738095183</v>
      </c>
      <c r="L965">
        <v>10.507263419895001</v>
      </c>
      <c r="M965" t="s">
        <v>29</v>
      </c>
      <c r="N965">
        <v>10.8786859122508</v>
      </c>
      <c r="O965">
        <v>11.619728108309101</v>
      </c>
      <c r="P965">
        <v>0.55758839557329598</v>
      </c>
      <c r="Q965">
        <v>-0.67590351144734795</v>
      </c>
      <c r="R965">
        <v>1.7910803025939399</v>
      </c>
      <c r="S965">
        <v>11.134161574112801</v>
      </c>
      <c r="T965">
        <v>0.95879763059802903</v>
      </c>
      <c r="U965">
        <v>-6.4844547741120904</v>
      </c>
      <c r="V965">
        <v>0.35201882302207699</v>
      </c>
      <c r="W965">
        <v>0.52192198768874798</v>
      </c>
      <c r="X965">
        <v>0</v>
      </c>
      <c r="Y965">
        <v>0</v>
      </c>
    </row>
    <row r="966" spans="1:25" x14ac:dyDescent="0.2">
      <c r="A966" t="s">
        <v>3567</v>
      </c>
      <c r="B966" t="s">
        <v>3568</v>
      </c>
      <c r="C966" t="s">
        <v>3569</v>
      </c>
      <c r="D966" t="s">
        <v>3570</v>
      </c>
      <c r="E966" t="s">
        <v>3568</v>
      </c>
      <c r="F966" t="s">
        <v>28</v>
      </c>
      <c r="G966" t="s">
        <v>3568</v>
      </c>
      <c r="H966" t="str">
        <f>"dld-1"</f>
        <v>dld-1</v>
      </c>
      <c r="I966" t="s">
        <v>3570</v>
      </c>
      <c r="J966">
        <v>14.7502208800001</v>
      </c>
      <c r="K966">
        <v>14.439454121178001</v>
      </c>
      <c r="L966">
        <v>14.5947405274802</v>
      </c>
      <c r="M966">
        <v>14.4254751270045</v>
      </c>
      <c r="N966">
        <v>13.5357775479038</v>
      </c>
      <c r="O966">
        <v>13.931120655670799</v>
      </c>
      <c r="P966">
        <v>-0.63068073269307101</v>
      </c>
      <c r="Q966">
        <v>-1.0461350455148699</v>
      </c>
      <c r="R966">
        <v>-0.21522641987127</v>
      </c>
      <c r="S966">
        <v>14.6362196166806</v>
      </c>
      <c r="T966">
        <v>-3.1906473424243602</v>
      </c>
      <c r="U966">
        <v>-2.9334520488278799</v>
      </c>
      <c r="V966">
        <v>5.09396997174133E-3</v>
      </c>
      <c r="W966">
        <v>2.8703498100806302E-2</v>
      </c>
      <c r="X966">
        <v>0</v>
      </c>
      <c r="Y966">
        <v>0</v>
      </c>
    </row>
    <row r="967" spans="1:25" x14ac:dyDescent="0.2">
      <c r="A967" t="s">
        <v>3571</v>
      </c>
      <c r="B967" t="s">
        <v>3572</v>
      </c>
      <c r="C967" t="s">
        <v>3573</v>
      </c>
      <c r="D967" t="s">
        <v>3574</v>
      </c>
      <c r="E967" t="s">
        <v>3572</v>
      </c>
      <c r="F967" t="s">
        <v>28</v>
      </c>
      <c r="G967" t="s">
        <v>3572</v>
      </c>
      <c r="H967" t="str">
        <f>"top-1"</f>
        <v>top-1</v>
      </c>
      <c r="I967" t="s">
        <v>3574</v>
      </c>
      <c r="J967">
        <v>18.4690567877817</v>
      </c>
      <c r="K967">
        <v>17.800364298924201</v>
      </c>
      <c r="L967">
        <v>18.605810834912301</v>
      </c>
      <c r="M967">
        <v>18.809343755470699</v>
      </c>
      <c r="N967">
        <v>18.429766346967899</v>
      </c>
      <c r="O967">
        <v>17.350605819594499</v>
      </c>
      <c r="P967">
        <v>-9.5171999861715803E-2</v>
      </c>
      <c r="Q967">
        <v>-0.74009965148571799</v>
      </c>
      <c r="R967">
        <v>0.54975565176228602</v>
      </c>
      <c r="S967">
        <v>18.080203816251402</v>
      </c>
      <c r="T967">
        <v>-0.31016351551847099</v>
      </c>
      <c r="U967">
        <v>-7.1059522763134</v>
      </c>
      <c r="V967">
        <v>0.76001975051052395</v>
      </c>
      <c r="W967">
        <v>0.84839036102058896</v>
      </c>
      <c r="X967">
        <v>0</v>
      </c>
      <c r="Y967">
        <v>0</v>
      </c>
    </row>
    <row r="968" spans="1:25" x14ac:dyDescent="0.2">
      <c r="A968" t="s">
        <v>3575</v>
      </c>
      <c r="B968" t="s">
        <v>3576</v>
      </c>
      <c r="C968" t="s">
        <v>3577</v>
      </c>
      <c r="D968" t="s">
        <v>323</v>
      </c>
      <c r="E968" t="s">
        <v>3576</v>
      </c>
      <c r="F968" t="s">
        <v>28</v>
      </c>
      <c r="G968" t="s">
        <v>3576</v>
      </c>
      <c r="H968" t="str">
        <f>"flor-1"</f>
        <v>flor-1</v>
      </c>
      <c r="I968" t="s">
        <v>323</v>
      </c>
      <c r="J968">
        <v>12.6938185838924</v>
      </c>
      <c r="K968">
        <v>13.0475693247812</v>
      </c>
      <c r="L968">
        <v>12.3123496955462</v>
      </c>
      <c r="M968">
        <v>15.4008269638255</v>
      </c>
      <c r="N968">
        <v>14.9606137924367</v>
      </c>
      <c r="O968">
        <v>14.9860532337651</v>
      </c>
      <c r="P968">
        <v>2.4312521286024702</v>
      </c>
      <c r="Q968">
        <v>1.7841608408356</v>
      </c>
      <c r="R968">
        <v>3.0783434163693402</v>
      </c>
      <c r="S968">
        <v>13.8553296281041</v>
      </c>
      <c r="T968">
        <v>7.8969058350865504</v>
      </c>
      <c r="U968">
        <v>6.82732695567777</v>
      </c>
      <c r="V968" s="2">
        <v>3.06694500512735E-7</v>
      </c>
      <c r="W968" s="2">
        <v>1.7381321019442899E-5</v>
      </c>
      <c r="X968">
        <v>1</v>
      </c>
      <c r="Y968">
        <v>1</v>
      </c>
    </row>
    <row r="969" spans="1:25" x14ac:dyDescent="0.2">
      <c r="A969" t="s">
        <v>3578</v>
      </c>
      <c r="B969" t="s">
        <v>3579</v>
      </c>
      <c r="C969" t="s">
        <v>3580</v>
      </c>
      <c r="D969" t="s">
        <v>270</v>
      </c>
      <c r="E969" t="s">
        <v>3579</v>
      </c>
      <c r="F969" t="s">
        <v>28</v>
      </c>
      <c r="G969" t="s">
        <v>3579</v>
      </c>
      <c r="H969" t="str">
        <f>"grl-7"</f>
        <v>grl-7</v>
      </c>
      <c r="I969" t="s">
        <v>270</v>
      </c>
      <c r="J969">
        <v>12.5857154329021</v>
      </c>
      <c r="K969">
        <v>12.9465137206346</v>
      </c>
      <c r="L969">
        <v>14.2442532740935</v>
      </c>
      <c r="M969">
        <v>14.9046612399256</v>
      </c>
      <c r="N969">
        <v>13.2674525727526</v>
      </c>
      <c r="O969">
        <v>13.9214568915549</v>
      </c>
      <c r="P969">
        <v>0.77236275886764705</v>
      </c>
      <c r="Q969">
        <v>-0.150528110731838</v>
      </c>
      <c r="R969">
        <v>1.69525362846713</v>
      </c>
      <c r="S969">
        <v>12.924605699367699</v>
      </c>
      <c r="T969">
        <v>1.7589904796885301</v>
      </c>
      <c r="U969">
        <v>-5.6593538407768103</v>
      </c>
      <c r="V969">
        <v>9.5666160712559997E-2</v>
      </c>
      <c r="W969">
        <v>0.21046649491832001</v>
      </c>
      <c r="X969">
        <v>0</v>
      </c>
      <c r="Y969">
        <v>0</v>
      </c>
    </row>
    <row r="970" spans="1:25" x14ac:dyDescent="0.2">
      <c r="A970" t="s">
        <v>3581</v>
      </c>
      <c r="B970" t="s">
        <v>3582</v>
      </c>
      <c r="C970" t="s">
        <v>3583</v>
      </c>
      <c r="D970" t="s">
        <v>3246</v>
      </c>
      <c r="E970" t="s">
        <v>3582</v>
      </c>
      <c r="F970" t="s">
        <v>28</v>
      </c>
      <c r="G970" t="s">
        <v>3582</v>
      </c>
      <c r="H970" t="str">
        <f>"dhs-4"</f>
        <v>dhs-4</v>
      </c>
      <c r="I970" t="s">
        <v>3246</v>
      </c>
      <c r="J970">
        <v>14.082415732077299</v>
      </c>
      <c r="K970">
        <v>14.1333919522313</v>
      </c>
      <c r="L970">
        <v>13.6551107122494</v>
      </c>
      <c r="M970">
        <v>11.975192273181801</v>
      </c>
      <c r="N970" t="s">
        <v>29</v>
      </c>
      <c r="O970">
        <v>13.0005324158805</v>
      </c>
      <c r="P970">
        <v>-1.4691104543215301</v>
      </c>
      <c r="Q970">
        <v>-2.05749701829347</v>
      </c>
      <c r="R970">
        <v>-0.88072389034958898</v>
      </c>
      <c r="S970">
        <v>13.063396117038501</v>
      </c>
      <c r="T970">
        <v>-5.2703774036280002</v>
      </c>
      <c r="U970">
        <v>1.54562541465575</v>
      </c>
      <c r="V970" s="2">
        <v>6.3758462003403696E-5</v>
      </c>
      <c r="W970">
        <v>1.2294247382540801E-3</v>
      </c>
      <c r="X970">
        <v>-1</v>
      </c>
      <c r="Y970">
        <v>-1</v>
      </c>
    </row>
    <row r="971" spans="1:25" x14ac:dyDescent="0.2">
      <c r="A971" t="s">
        <v>3584</v>
      </c>
      <c r="B971" t="s">
        <v>3585</v>
      </c>
      <c r="C971" t="s">
        <v>3586</v>
      </c>
      <c r="D971" t="s">
        <v>3587</v>
      </c>
      <c r="E971" t="s">
        <v>3585</v>
      </c>
      <c r="F971" t="s">
        <v>28</v>
      </c>
      <c r="G971" t="s">
        <v>3585</v>
      </c>
      <c r="H971" t="str">
        <f>"nyn-1"</f>
        <v>nyn-1</v>
      </c>
      <c r="I971" t="s">
        <v>3587</v>
      </c>
      <c r="J971">
        <v>12.306209410152301</v>
      </c>
      <c r="K971">
        <v>13.0300464694496</v>
      </c>
      <c r="L971">
        <v>11.302339970861199</v>
      </c>
      <c r="M971" t="s">
        <v>29</v>
      </c>
      <c r="N971">
        <v>13.362965676713101</v>
      </c>
      <c r="O971">
        <v>13.4018574313674</v>
      </c>
      <c r="P971">
        <v>1.1695462705524999</v>
      </c>
      <c r="Q971">
        <v>0.152772493797831</v>
      </c>
      <c r="R971">
        <v>2.18632004730717</v>
      </c>
      <c r="S971">
        <v>12.4602915447285</v>
      </c>
      <c r="T971">
        <v>2.4687946310087101</v>
      </c>
      <c r="U971">
        <v>-4.3610844250926499</v>
      </c>
      <c r="V971">
        <v>2.7159562616624399E-2</v>
      </c>
      <c r="W971">
        <v>9.0032880799991097E-2</v>
      </c>
      <c r="X971">
        <v>1</v>
      </c>
      <c r="Y971">
        <v>0</v>
      </c>
    </row>
    <row r="972" spans="1:25" x14ac:dyDescent="0.2">
      <c r="A972" t="s">
        <v>3588</v>
      </c>
      <c r="B972" t="s">
        <v>3589</v>
      </c>
      <c r="C972" t="s">
        <v>3590</v>
      </c>
      <c r="D972" t="s">
        <v>3591</v>
      </c>
      <c r="E972" t="s">
        <v>3589</v>
      </c>
      <c r="F972" t="s">
        <v>28</v>
      </c>
      <c r="G972" t="s">
        <v>3589</v>
      </c>
      <c r="H972" t="str">
        <f>"pssy-2"</f>
        <v>pssy-2</v>
      </c>
      <c r="I972" t="s">
        <v>3591</v>
      </c>
      <c r="J972">
        <v>11.710093885020299</v>
      </c>
      <c r="K972">
        <v>12.015145534578</v>
      </c>
      <c r="L972">
        <v>12.290558408036</v>
      </c>
      <c r="M972" t="s">
        <v>29</v>
      </c>
      <c r="N972">
        <v>12.8201154610119</v>
      </c>
      <c r="O972">
        <v>12.3246854247959</v>
      </c>
      <c r="P972">
        <v>0.56713450035919</v>
      </c>
      <c r="Q972">
        <v>-0.18213322269344301</v>
      </c>
      <c r="R972">
        <v>1.31640222341182</v>
      </c>
      <c r="S972">
        <v>12.4285314434748</v>
      </c>
      <c r="T972">
        <v>1.5977140565894701</v>
      </c>
      <c r="U972">
        <v>-5.7965211276451001</v>
      </c>
      <c r="V972">
        <v>0.12863963582212301</v>
      </c>
      <c r="W972">
        <v>0.261709040254412</v>
      </c>
      <c r="X972">
        <v>0</v>
      </c>
      <c r="Y972">
        <v>0</v>
      </c>
    </row>
    <row r="973" spans="1:25" x14ac:dyDescent="0.2">
      <c r="A973" t="s">
        <v>3592</v>
      </c>
      <c r="B973" t="s">
        <v>3593</v>
      </c>
      <c r="C973" t="s">
        <v>3594</v>
      </c>
      <c r="D973" t="s">
        <v>1382</v>
      </c>
      <c r="E973" t="s">
        <v>3593</v>
      </c>
      <c r="F973" t="s">
        <v>28</v>
      </c>
      <c r="G973" t="s">
        <v>3593</v>
      </c>
      <c r="H973" t="str">
        <f>"tba-7"</f>
        <v>tba-7</v>
      </c>
      <c r="I973" t="s">
        <v>1382</v>
      </c>
      <c r="J973">
        <v>14.344260446240501</v>
      </c>
      <c r="K973">
        <v>14.4911686201928</v>
      </c>
      <c r="L973">
        <v>14.797092768686801</v>
      </c>
      <c r="M973">
        <v>12.5341261624789</v>
      </c>
      <c r="N973">
        <v>14.0771650112084</v>
      </c>
      <c r="O973">
        <v>13.9425048460617</v>
      </c>
      <c r="P973">
        <v>-1.0262419384570001</v>
      </c>
      <c r="Q973">
        <v>-1.6289584579260501</v>
      </c>
      <c r="R973">
        <v>-0.42352541898794199</v>
      </c>
      <c r="S973">
        <v>14.399808891235001</v>
      </c>
      <c r="T973">
        <v>-3.5787320012100001</v>
      </c>
      <c r="U973">
        <v>-2.0966037672559898</v>
      </c>
      <c r="V973">
        <v>2.1626822645990302E-3</v>
      </c>
      <c r="W973">
        <v>1.5283991927514E-2</v>
      </c>
      <c r="X973">
        <v>-1</v>
      </c>
      <c r="Y973">
        <v>-1</v>
      </c>
    </row>
    <row r="974" spans="1:25" x14ac:dyDescent="0.2">
      <c r="A974" t="s">
        <v>3595</v>
      </c>
      <c r="B974" t="s">
        <v>3596</v>
      </c>
      <c r="C974" t="s">
        <v>3597</v>
      </c>
      <c r="D974" t="s">
        <v>3598</v>
      </c>
      <c r="E974" t="s">
        <v>3596</v>
      </c>
      <c r="F974" t="s">
        <v>28</v>
      </c>
      <c r="G974" t="s">
        <v>3596</v>
      </c>
      <c r="H974" t="str">
        <f>"ogt-1"</f>
        <v>ogt-1</v>
      </c>
      <c r="I974" t="s">
        <v>3598</v>
      </c>
      <c r="J974">
        <v>12.760561120691801</v>
      </c>
      <c r="K974">
        <v>13.132536045812</v>
      </c>
      <c r="L974">
        <v>12.8764102026842</v>
      </c>
      <c r="M974" t="s">
        <v>29</v>
      </c>
      <c r="N974">
        <v>13.249082683488</v>
      </c>
      <c r="O974">
        <v>12.862447597231601</v>
      </c>
      <c r="P974">
        <v>0.13259601729710199</v>
      </c>
      <c r="Q974">
        <v>-0.43758081705725399</v>
      </c>
      <c r="R974">
        <v>0.70277285165145797</v>
      </c>
      <c r="S974">
        <v>13.3771299668207</v>
      </c>
      <c r="T974">
        <v>0.49087501138593498</v>
      </c>
      <c r="U974">
        <v>-6.9197157988907403</v>
      </c>
      <c r="V974">
        <v>0.62982982540213595</v>
      </c>
      <c r="W974">
        <v>0.75237474481560396</v>
      </c>
      <c r="X974">
        <v>0</v>
      </c>
      <c r="Y974">
        <v>0</v>
      </c>
    </row>
    <row r="975" spans="1:25" x14ac:dyDescent="0.2">
      <c r="A975" t="s">
        <v>3599</v>
      </c>
      <c r="B975" t="s">
        <v>3600</v>
      </c>
      <c r="C975" t="s">
        <v>3601</v>
      </c>
      <c r="D975" t="s">
        <v>825</v>
      </c>
      <c r="E975" t="s">
        <v>3600</v>
      </c>
      <c r="F975" t="s">
        <v>28</v>
      </c>
      <c r="G975" t="s">
        <v>3600</v>
      </c>
      <c r="H975" t="str">
        <f>"ints-4"</f>
        <v>ints-4</v>
      </c>
      <c r="I975" t="s">
        <v>825</v>
      </c>
      <c r="J975">
        <v>12.401312620342299</v>
      </c>
      <c r="K975">
        <v>12.3548293545253</v>
      </c>
      <c r="L975">
        <v>12.3694205357881</v>
      </c>
      <c r="M975" t="s">
        <v>29</v>
      </c>
      <c r="N975" t="s">
        <v>29</v>
      </c>
      <c r="O975">
        <v>12.9567243750844</v>
      </c>
      <c r="P975">
        <v>0.58153687153252198</v>
      </c>
      <c r="Q975">
        <v>2.3796506201514599E-2</v>
      </c>
      <c r="R975">
        <v>1.13927723686353</v>
      </c>
      <c r="S975">
        <v>12.5015110402343</v>
      </c>
      <c r="T975">
        <v>2.21153954136174</v>
      </c>
      <c r="U975">
        <v>-4.5772378195499002</v>
      </c>
      <c r="V975">
        <v>4.2000342877387603E-2</v>
      </c>
      <c r="W975">
        <v>0.120883913229484</v>
      </c>
      <c r="X975">
        <v>0</v>
      </c>
      <c r="Y975">
        <v>0</v>
      </c>
    </row>
    <row r="976" spans="1:25" x14ac:dyDescent="0.2">
      <c r="A976" t="s">
        <v>3602</v>
      </c>
      <c r="B976" t="s">
        <v>3603</v>
      </c>
      <c r="C976" t="s">
        <v>3604</v>
      </c>
      <c r="D976" t="s">
        <v>3605</v>
      </c>
      <c r="E976" t="s">
        <v>3603</v>
      </c>
      <c r="F976" t="s">
        <v>28</v>
      </c>
      <c r="G976" t="s">
        <v>3603</v>
      </c>
      <c r="H976" t="str">
        <f>"pptr-1"</f>
        <v>pptr-1</v>
      </c>
      <c r="I976" t="s">
        <v>3605</v>
      </c>
      <c r="J976">
        <v>13.5720502556343</v>
      </c>
      <c r="K976">
        <v>13.392120687250699</v>
      </c>
      <c r="L976">
        <v>13.5187069816456</v>
      </c>
      <c r="M976">
        <v>12.728398231161901</v>
      </c>
      <c r="N976">
        <v>13.9548257587858</v>
      </c>
      <c r="O976">
        <v>13.848626199832999</v>
      </c>
      <c r="P976">
        <v>1.6324088416737902E-2</v>
      </c>
      <c r="Q976">
        <v>-0.50838996628976796</v>
      </c>
      <c r="R976">
        <v>0.54103814312324405</v>
      </c>
      <c r="S976">
        <v>13.7753601648115</v>
      </c>
      <c r="T976">
        <v>6.5388105462351395E-2</v>
      </c>
      <c r="U976">
        <v>-7.1540585509755896</v>
      </c>
      <c r="V976">
        <v>0.94858994445614297</v>
      </c>
      <c r="W976">
        <v>0.97032091853948399</v>
      </c>
      <c r="X976">
        <v>0</v>
      </c>
      <c r="Y976">
        <v>0</v>
      </c>
    </row>
    <row r="977" spans="1:25" x14ac:dyDescent="0.2">
      <c r="A977" t="s">
        <v>3606</v>
      </c>
      <c r="B977" t="s">
        <v>3607</v>
      </c>
      <c r="C977" t="s">
        <v>3608</v>
      </c>
      <c r="D977" t="s">
        <v>3609</v>
      </c>
      <c r="E977" t="s">
        <v>3607</v>
      </c>
      <c r="F977" t="s">
        <v>28</v>
      </c>
      <c r="G977" t="s">
        <v>3607</v>
      </c>
      <c r="H977" t="str">
        <f>"smap-1"</f>
        <v>smap-1</v>
      </c>
      <c r="I977" t="s">
        <v>3609</v>
      </c>
      <c r="J977">
        <v>12.915602510982101</v>
      </c>
      <c r="K977">
        <v>13.157025960157499</v>
      </c>
      <c r="L977">
        <v>12.995654712442301</v>
      </c>
      <c r="M977" t="s">
        <v>29</v>
      </c>
      <c r="N977" t="s">
        <v>29</v>
      </c>
      <c r="O977">
        <v>13.3425997210205</v>
      </c>
      <c r="P977">
        <v>0.31983865982656201</v>
      </c>
      <c r="Q977">
        <v>-0.29142977310578499</v>
      </c>
      <c r="R977">
        <v>0.93110709275890902</v>
      </c>
      <c r="S977">
        <v>13.4452951192368</v>
      </c>
      <c r="T977">
        <v>1.1098097049175899</v>
      </c>
      <c r="U977">
        <v>-6.1899958489078504</v>
      </c>
      <c r="V977">
        <v>0.28358943230552502</v>
      </c>
      <c r="W977">
        <v>0.45199462250101702</v>
      </c>
      <c r="X977">
        <v>0</v>
      </c>
      <c r="Y977">
        <v>0</v>
      </c>
    </row>
    <row r="978" spans="1:25" x14ac:dyDescent="0.2">
      <c r="A978" t="s">
        <v>3610</v>
      </c>
      <c r="B978" t="s">
        <v>3611</v>
      </c>
      <c r="C978" t="s">
        <v>3612</v>
      </c>
      <c r="D978" t="s">
        <v>3613</v>
      </c>
      <c r="E978" t="s">
        <v>3611</v>
      </c>
      <c r="F978" t="s">
        <v>28</v>
      </c>
      <c r="G978" t="s">
        <v>3611</v>
      </c>
      <c r="H978" t="str">
        <f>"maea-1"</f>
        <v>maea-1</v>
      </c>
      <c r="I978" t="s">
        <v>3613</v>
      </c>
      <c r="J978" t="s">
        <v>29</v>
      </c>
      <c r="K978" t="s">
        <v>29</v>
      </c>
      <c r="L978" t="s">
        <v>29</v>
      </c>
      <c r="M978" t="s">
        <v>29</v>
      </c>
      <c r="N978" t="s">
        <v>29</v>
      </c>
      <c r="O978" t="s">
        <v>29</v>
      </c>
      <c r="P978" t="s">
        <v>29</v>
      </c>
      <c r="Q978" t="s">
        <v>29</v>
      </c>
      <c r="R978" t="s">
        <v>29</v>
      </c>
      <c r="S978">
        <v>12.814880682904301</v>
      </c>
      <c r="T978" t="s">
        <v>29</v>
      </c>
      <c r="U978" t="s">
        <v>29</v>
      </c>
      <c r="V978" t="s">
        <v>29</v>
      </c>
      <c r="W978" t="s">
        <v>29</v>
      </c>
      <c r="X978" t="s">
        <v>29</v>
      </c>
      <c r="Y978" t="s">
        <v>29</v>
      </c>
    </row>
    <row r="979" spans="1:25" x14ac:dyDescent="0.2">
      <c r="A979" t="s">
        <v>3614</v>
      </c>
      <c r="B979" t="s">
        <v>3615</v>
      </c>
      <c r="C979" t="s">
        <v>3616</v>
      </c>
      <c r="D979" t="s">
        <v>3617</v>
      </c>
      <c r="E979" t="s">
        <v>3615</v>
      </c>
      <c r="F979" t="s">
        <v>28</v>
      </c>
      <c r="G979" t="s">
        <v>3615</v>
      </c>
      <c r="H979" t="str">
        <f>"mat-2"</f>
        <v>mat-2</v>
      </c>
      <c r="I979" t="s">
        <v>3617</v>
      </c>
      <c r="J979">
        <v>12.3919426658245</v>
      </c>
      <c r="K979">
        <v>11.994402671488601</v>
      </c>
      <c r="L979">
        <v>12.463959610281</v>
      </c>
      <c r="M979" t="s">
        <v>29</v>
      </c>
      <c r="N979" t="s">
        <v>29</v>
      </c>
      <c r="O979">
        <v>12.273032269577699</v>
      </c>
      <c r="P979">
        <v>-1.04027129536135E-2</v>
      </c>
      <c r="Q979">
        <v>-0.64182591201991601</v>
      </c>
      <c r="R979">
        <v>0.62102048611268901</v>
      </c>
      <c r="S979">
        <v>12.754085949239499</v>
      </c>
      <c r="T979">
        <v>-3.4944240893222699E-2</v>
      </c>
      <c r="U979">
        <v>-6.8120593585237499</v>
      </c>
      <c r="V979">
        <v>0.97255927566497902</v>
      </c>
      <c r="W979">
        <v>0.983910808576963</v>
      </c>
      <c r="X979">
        <v>0</v>
      </c>
      <c r="Y979">
        <v>0</v>
      </c>
    </row>
    <row r="980" spans="1:25" x14ac:dyDescent="0.2">
      <c r="A980" t="s">
        <v>3618</v>
      </c>
      <c r="B980" t="s">
        <v>3619</v>
      </c>
      <c r="C980" t="s">
        <v>3620</v>
      </c>
      <c r="D980" t="s">
        <v>2320</v>
      </c>
      <c r="E980" t="s">
        <v>3619</v>
      </c>
      <c r="F980" t="s">
        <v>28</v>
      </c>
      <c r="G980" t="s">
        <v>3619</v>
      </c>
      <c r="H980" t="str">
        <f>"noa-1"</f>
        <v>noa-1</v>
      </c>
      <c r="I980" t="s">
        <v>2320</v>
      </c>
      <c r="J980">
        <v>13.242378514499199</v>
      </c>
      <c r="K980">
        <v>13.6977133122819</v>
      </c>
      <c r="L980">
        <v>13.9477197369247</v>
      </c>
      <c r="M980" t="s">
        <v>29</v>
      </c>
      <c r="N980">
        <v>12.4246568881403</v>
      </c>
      <c r="O980">
        <v>13.2915693908019</v>
      </c>
      <c r="P980">
        <v>-0.77115738176416204</v>
      </c>
      <c r="Q980">
        <v>-1.44166168956125</v>
      </c>
      <c r="R980">
        <v>-0.100653073967079</v>
      </c>
      <c r="S980">
        <v>14.1197974195243</v>
      </c>
      <c r="T980">
        <v>-2.4276801140695299</v>
      </c>
      <c r="U980">
        <v>-4.3911840558775701</v>
      </c>
      <c r="V980">
        <v>2.66691307708041E-2</v>
      </c>
      <c r="W980">
        <v>8.9007846411732303E-2</v>
      </c>
      <c r="X980">
        <v>0</v>
      </c>
      <c r="Y980">
        <v>0</v>
      </c>
    </row>
    <row r="981" spans="1:25" x14ac:dyDescent="0.2">
      <c r="A981" t="s">
        <v>3621</v>
      </c>
      <c r="B981" t="s">
        <v>3622</v>
      </c>
      <c r="C981" t="s">
        <v>3623</v>
      </c>
      <c r="D981" t="s">
        <v>3624</v>
      </c>
      <c r="E981" t="s">
        <v>3622</v>
      </c>
      <c r="F981" t="s">
        <v>28</v>
      </c>
      <c r="G981" t="s">
        <v>3622</v>
      </c>
      <c r="H981" t="str">
        <f>"mrpl-37"</f>
        <v>mrpl-37</v>
      </c>
      <c r="I981" t="s">
        <v>3624</v>
      </c>
      <c r="J981">
        <v>13.487358920883601</v>
      </c>
      <c r="K981">
        <v>13.8001549739919</v>
      </c>
      <c r="L981">
        <v>13.820558814355699</v>
      </c>
      <c r="M981">
        <v>12.5617291121291</v>
      </c>
      <c r="N981">
        <v>12.9562173107348</v>
      </c>
      <c r="O981">
        <v>13.1478139082895</v>
      </c>
      <c r="P981">
        <v>-0.81410412602596305</v>
      </c>
      <c r="Q981">
        <v>-1.21323314985577</v>
      </c>
      <c r="R981">
        <v>-0.41497510219615802</v>
      </c>
      <c r="S981">
        <v>13.781365256428</v>
      </c>
      <c r="T981">
        <v>-4.2870560247522604</v>
      </c>
      <c r="U981">
        <v>-0.53859388748135695</v>
      </c>
      <c r="V981">
        <v>4.4894637001677799E-4</v>
      </c>
      <c r="W981">
        <v>5.03058917277355E-3</v>
      </c>
      <c r="X981">
        <v>0</v>
      </c>
      <c r="Y981">
        <v>0</v>
      </c>
    </row>
    <row r="982" spans="1:25" x14ac:dyDescent="0.2">
      <c r="A982" t="s">
        <v>3625</v>
      </c>
      <c r="B982" t="s">
        <v>3626</v>
      </c>
      <c r="C982" t="s">
        <v>3627</v>
      </c>
      <c r="D982" t="s">
        <v>3628</v>
      </c>
      <c r="E982" t="s">
        <v>3626</v>
      </c>
      <c r="F982" t="s">
        <v>28</v>
      </c>
      <c r="G982" t="s">
        <v>3626</v>
      </c>
      <c r="H982" t="str">
        <f>"mop-25.2"</f>
        <v>mop-25.2</v>
      </c>
      <c r="I982" t="s">
        <v>3628</v>
      </c>
      <c r="J982">
        <v>12.187485946685101</v>
      </c>
      <c r="K982">
        <v>12.676608048327999</v>
      </c>
      <c r="L982">
        <v>12.4508481096008</v>
      </c>
      <c r="M982" t="s">
        <v>29</v>
      </c>
      <c r="N982">
        <v>12.7912266189115</v>
      </c>
      <c r="O982">
        <v>12.943742581500301</v>
      </c>
      <c r="P982">
        <v>0.429170565334552</v>
      </c>
      <c r="Q982">
        <v>-0.195833263649905</v>
      </c>
      <c r="R982">
        <v>1.0541743943190101</v>
      </c>
      <c r="S982">
        <v>12.5347602462257</v>
      </c>
      <c r="T982">
        <v>1.46449824670034</v>
      </c>
      <c r="U982">
        <v>-5.9848600256358004</v>
      </c>
      <c r="V982">
        <v>0.163844053194631</v>
      </c>
      <c r="W982">
        <v>0.31211921445674001</v>
      </c>
      <c r="X982">
        <v>0</v>
      </c>
      <c r="Y982">
        <v>0</v>
      </c>
    </row>
    <row r="983" spans="1:25" x14ac:dyDescent="0.2">
      <c r="A983" t="s">
        <v>3629</v>
      </c>
      <c r="B983" t="s">
        <v>3630</v>
      </c>
      <c r="C983" t="s">
        <v>14349</v>
      </c>
      <c r="D983" t="s">
        <v>514</v>
      </c>
      <c r="E983" t="s">
        <v>3630</v>
      </c>
      <c r="F983" t="s">
        <v>28</v>
      </c>
      <c r="G983" t="s">
        <v>3630</v>
      </c>
      <c r="H983" t="str">
        <f>"Y53C12A.3"</f>
        <v>Y53C12A.3</v>
      </c>
      <c r="I983" t="s">
        <v>514</v>
      </c>
      <c r="J983">
        <v>12.699492178057</v>
      </c>
      <c r="K983" t="s">
        <v>29</v>
      </c>
      <c r="L983" t="s">
        <v>29</v>
      </c>
      <c r="M983" t="s">
        <v>29</v>
      </c>
      <c r="N983" t="s">
        <v>29</v>
      </c>
      <c r="O983">
        <v>13.558173952563701</v>
      </c>
      <c r="P983">
        <v>0.85868177450663197</v>
      </c>
      <c r="Q983">
        <v>4.1597037297023499E-2</v>
      </c>
      <c r="R983">
        <v>1.6757665117162399</v>
      </c>
      <c r="S983">
        <v>13.1639482958978</v>
      </c>
      <c r="T983">
        <v>2.3449416333378701</v>
      </c>
      <c r="U983">
        <v>-4.2587410870632496</v>
      </c>
      <c r="V983">
        <v>4.1246328348634398E-2</v>
      </c>
      <c r="W983">
        <v>0.120169406313531</v>
      </c>
      <c r="X983">
        <v>0</v>
      </c>
      <c r="Y983">
        <v>0</v>
      </c>
    </row>
    <row r="984" spans="1:25" x14ac:dyDescent="0.2">
      <c r="A984" t="s">
        <v>3631</v>
      </c>
      <c r="B984" t="s">
        <v>3632</v>
      </c>
      <c r="C984" t="s">
        <v>14350</v>
      </c>
      <c r="D984" t="s">
        <v>3633</v>
      </c>
      <c r="E984" t="s">
        <v>3632</v>
      </c>
      <c r="F984" t="s">
        <v>28</v>
      </c>
      <c r="G984" t="s">
        <v>3632</v>
      </c>
      <c r="H984" t="str">
        <f>"Y53C12B.1"</f>
        <v>Y53C12B.1</v>
      </c>
      <c r="I984" t="s">
        <v>3633</v>
      </c>
      <c r="J984">
        <v>12.6079351183319</v>
      </c>
      <c r="K984">
        <v>12.3449350445813</v>
      </c>
      <c r="L984">
        <v>12.4334933530369</v>
      </c>
      <c r="M984">
        <v>13.581688496201799</v>
      </c>
      <c r="N984">
        <v>11.691973852906401</v>
      </c>
      <c r="O984">
        <v>12.3643049902005</v>
      </c>
      <c r="P984">
        <v>8.3867941119493097E-2</v>
      </c>
      <c r="Q984">
        <v>-0.57053016678425295</v>
      </c>
      <c r="R984">
        <v>0.738266049023239</v>
      </c>
      <c r="S984">
        <v>12.315143756550199</v>
      </c>
      <c r="T984">
        <v>0.26936828410645403</v>
      </c>
      <c r="U984">
        <v>-7.1183009313038204</v>
      </c>
      <c r="V984">
        <v>0.79072766764147795</v>
      </c>
      <c r="W984">
        <v>0.86817367618749497</v>
      </c>
      <c r="X984">
        <v>0</v>
      </c>
      <c r="Y984">
        <v>0</v>
      </c>
    </row>
    <row r="985" spans="1:25" x14ac:dyDescent="0.2">
      <c r="A985" t="s">
        <v>3634</v>
      </c>
      <c r="B985" t="s">
        <v>3635</v>
      </c>
      <c r="C985" t="s">
        <v>3636</v>
      </c>
      <c r="D985" t="s">
        <v>3637</v>
      </c>
      <c r="E985" t="s">
        <v>3635</v>
      </c>
      <c r="F985" t="s">
        <v>28</v>
      </c>
      <c r="G985" t="s">
        <v>3635</v>
      </c>
      <c r="H985" t="str">
        <f>"pno-1"</f>
        <v>pno-1</v>
      </c>
      <c r="I985" t="s">
        <v>3637</v>
      </c>
      <c r="J985">
        <v>13.9586941933443</v>
      </c>
      <c r="K985">
        <v>14.0006348222237</v>
      </c>
      <c r="L985">
        <v>13.8594888097533</v>
      </c>
      <c r="M985">
        <v>15.820671631132299</v>
      </c>
      <c r="N985">
        <v>13.6881158753603</v>
      </c>
      <c r="O985">
        <v>13.1119555221143</v>
      </c>
      <c r="P985">
        <v>0.26730840109522103</v>
      </c>
      <c r="Q985">
        <v>-0.64536911928437601</v>
      </c>
      <c r="R985">
        <v>1.1799859214748201</v>
      </c>
      <c r="S985">
        <v>14.1350213706533</v>
      </c>
      <c r="T985">
        <v>0.61558462964791005</v>
      </c>
      <c r="U985">
        <v>-6.9595233698583501</v>
      </c>
      <c r="V985">
        <v>0.54591899497843299</v>
      </c>
      <c r="W985">
        <v>0.69196700137696399</v>
      </c>
      <c r="X985">
        <v>0</v>
      </c>
      <c r="Y985">
        <v>0</v>
      </c>
    </row>
    <row r="986" spans="1:25" x14ac:dyDescent="0.2">
      <c r="A986" t="s">
        <v>3638</v>
      </c>
      <c r="B986" t="s">
        <v>3639</v>
      </c>
      <c r="C986" t="s">
        <v>3640</v>
      </c>
      <c r="D986" t="s">
        <v>3641</v>
      </c>
      <c r="E986" t="s">
        <v>3639</v>
      </c>
      <c r="F986" t="s">
        <v>28</v>
      </c>
      <c r="G986" t="s">
        <v>3639</v>
      </c>
      <c r="H986" t="str">
        <f>"Y57G11C.3"</f>
        <v>Y57G11C.3</v>
      </c>
      <c r="I986" t="s">
        <v>3641</v>
      </c>
      <c r="J986">
        <v>13.0030756290667</v>
      </c>
      <c r="K986">
        <v>12.6805822018966</v>
      </c>
      <c r="L986">
        <v>12.878183072931501</v>
      </c>
      <c r="M986">
        <v>12.8406012280787</v>
      </c>
      <c r="N986">
        <v>13.0468942369701</v>
      </c>
      <c r="O986">
        <v>12.899314308553301</v>
      </c>
      <c r="P986">
        <v>7.4989623235739003E-2</v>
      </c>
      <c r="Q986">
        <v>-0.52075794494109995</v>
      </c>
      <c r="R986">
        <v>0.67073719141257804</v>
      </c>
      <c r="S986">
        <v>12.444427149207501</v>
      </c>
      <c r="T986">
        <v>0.26456440106884299</v>
      </c>
      <c r="U986">
        <v>-7.11964162751761</v>
      </c>
      <c r="V986">
        <v>0.79436815311931597</v>
      </c>
      <c r="W986">
        <v>0.87123295394217504</v>
      </c>
      <c r="X986">
        <v>0</v>
      </c>
      <c r="Y986">
        <v>0</v>
      </c>
    </row>
    <row r="987" spans="1:25" x14ac:dyDescent="0.2">
      <c r="A987" t="s">
        <v>3642</v>
      </c>
      <c r="B987" t="s">
        <v>3643</v>
      </c>
      <c r="C987" t="s">
        <v>3644</v>
      </c>
      <c r="D987" t="s">
        <v>3645</v>
      </c>
      <c r="E987" t="s">
        <v>3643</v>
      </c>
      <c r="F987" t="s">
        <v>28</v>
      </c>
      <c r="G987" t="s">
        <v>3643</v>
      </c>
      <c r="H987" t="str">
        <f>"coq-3"</f>
        <v>coq-3</v>
      </c>
      <c r="I987" t="s">
        <v>3645</v>
      </c>
      <c r="J987">
        <v>14.2583601036337</v>
      </c>
      <c r="K987">
        <v>14.3322143851146</v>
      </c>
      <c r="L987">
        <v>13.899620593990401</v>
      </c>
      <c r="M987" t="s">
        <v>29</v>
      </c>
      <c r="N987" t="s">
        <v>29</v>
      </c>
      <c r="O987">
        <v>13.7665212750954</v>
      </c>
      <c r="P987">
        <v>-0.39687708581746001</v>
      </c>
      <c r="Q987">
        <v>-1.0449234388320101</v>
      </c>
      <c r="R987">
        <v>0.25116926719709498</v>
      </c>
      <c r="S987">
        <v>14.1555461711643</v>
      </c>
      <c r="T987">
        <v>-1.2989710856140699</v>
      </c>
      <c r="U987">
        <v>-5.9710583253851102</v>
      </c>
      <c r="V987">
        <v>0.21248173550327501</v>
      </c>
      <c r="W987">
        <v>0.37362588230841898</v>
      </c>
      <c r="X987">
        <v>0</v>
      </c>
      <c r="Y987">
        <v>0</v>
      </c>
    </row>
    <row r="988" spans="1:25" x14ac:dyDescent="0.2">
      <c r="A988" t="s">
        <v>3646</v>
      </c>
      <c r="B988" t="s">
        <v>3647</v>
      </c>
      <c r="C988" t="s">
        <v>3648</v>
      </c>
      <c r="D988" t="s">
        <v>3649</v>
      </c>
      <c r="E988" t="s">
        <v>3647</v>
      </c>
      <c r="F988" t="s">
        <v>28</v>
      </c>
      <c r="G988" t="s">
        <v>3647</v>
      </c>
      <c r="H988" t="str">
        <f>"nuo-3"</f>
        <v>nuo-3</v>
      </c>
      <c r="I988" t="s">
        <v>3649</v>
      </c>
      <c r="J988" t="s">
        <v>29</v>
      </c>
      <c r="K988" t="s">
        <v>29</v>
      </c>
      <c r="L988" t="s">
        <v>29</v>
      </c>
      <c r="M988" t="s">
        <v>29</v>
      </c>
      <c r="N988" t="s">
        <v>29</v>
      </c>
      <c r="O988" t="s">
        <v>29</v>
      </c>
      <c r="P988" t="s">
        <v>29</v>
      </c>
      <c r="Q988" t="s">
        <v>29</v>
      </c>
      <c r="R988" t="s">
        <v>29</v>
      </c>
      <c r="S988">
        <v>12.5913006097025</v>
      </c>
      <c r="T988" t="s">
        <v>29</v>
      </c>
      <c r="U988" t="s">
        <v>29</v>
      </c>
      <c r="V988" t="s">
        <v>29</v>
      </c>
      <c r="W988" t="s">
        <v>29</v>
      </c>
      <c r="X988" t="s">
        <v>29</v>
      </c>
      <c r="Y988" t="s">
        <v>29</v>
      </c>
    </row>
    <row r="989" spans="1:25" x14ac:dyDescent="0.2">
      <c r="A989" t="s">
        <v>3650</v>
      </c>
      <c r="B989" t="s">
        <v>3651</v>
      </c>
      <c r="C989" t="s">
        <v>14351</v>
      </c>
      <c r="D989" t="s">
        <v>368</v>
      </c>
      <c r="E989" t="s">
        <v>3651</v>
      </c>
      <c r="F989" t="s">
        <v>28</v>
      </c>
      <c r="G989" t="s">
        <v>3651</v>
      </c>
      <c r="H989" t="str">
        <f>"Y57G11C.14"</f>
        <v>Y57G11C.14</v>
      </c>
      <c r="I989" t="s">
        <v>368</v>
      </c>
      <c r="J989">
        <v>13.042471600552</v>
      </c>
      <c r="K989">
        <v>11.0639039163677</v>
      </c>
      <c r="L989">
        <v>12.7036826366142</v>
      </c>
      <c r="M989" t="s">
        <v>29</v>
      </c>
      <c r="N989">
        <v>12.058905275713601</v>
      </c>
      <c r="O989">
        <v>11.534051832396001</v>
      </c>
      <c r="P989">
        <v>-0.47354083045647</v>
      </c>
      <c r="Q989">
        <v>-2.5157020349491002</v>
      </c>
      <c r="R989">
        <v>1.5686203740361599</v>
      </c>
      <c r="S989">
        <v>11.793826678434099</v>
      </c>
      <c r="T989">
        <v>-0.49183217889798497</v>
      </c>
      <c r="U989">
        <v>-6.9188413170985896</v>
      </c>
      <c r="V989">
        <v>0.62956095963622305</v>
      </c>
      <c r="W989">
        <v>0.75235853529925001</v>
      </c>
      <c r="X989">
        <v>0</v>
      </c>
      <c r="Y989">
        <v>0</v>
      </c>
    </row>
    <row r="990" spans="1:25" x14ac:dyDescent="0.2">
      <c r="A990" t="s">
        <v>3652</v>
      </c>
      <c r="B990" t="s">
        <v>3653</v>
      </c>
      <c r="C990" t="s">
        <v>3654</v>
      </c>
      <c r="D990" t="s">
        <v>3655</v>
      </c>
      <c r="E990" t="s">
        <v>3653</v>
      </c>
      <c r="F990" t="s">
        <v>28</v>
      </c>
      <c r="G990" t="s">
        <v>3653</v>
      </c>
      <c r="H990" t="str">
        <f>"sec-61.a"</f>
        <v>sec-61.a</v>
      </c>
      <c r="I990" t="s">
        <v>3655</v>
      </c>
      <c r="J990">
        <v>20.885489182744301</v>
      </c>
      <c r="K990">
        <v>20.9002119845224</v>
      </c>
      <c r="L990">
        <v>21.196130349632199</v>
      </c>
      <c r="M990">
        <v>20.685691055381699</v>
      </c>
      <c r="N990">
        <v>21.015342961715302</v>
      </c>
      <c r="O990">
        <v>20.5939831324288</v>
      </c>
      <c r="P990">
        <v>-0.22893812245769499</v>
      </c>
      <c r="Q990">
        <v>-0.61670672628838397</v>
      </c>
      <c r="R990">
        <v>0.15883048137299399</v>
      </c>
      <c r="S990">
        <v>21.255926690944701</v>
      </c>
      <c r="T990">
        <v>-1.24090343567155</v>
      </c>
      <c r="U990">
        <v>-6.3812937199437698</v>
      </c>
      <c r="V990">
        <v>0.230663634191862</v>
      </c>
      <c r="W990">
        <v>0.39521263369966098</v>
      </c>
      <c r="X990">
        <v>0</v>
      </c>
      <c r="Y990">
        <v>0</v>
      </c>
    </row>
    <row r="991" spans="1:25" x14ac:dyDescent="0.2">
      <c r="A991" t="s">
        <v>3656</v>
      </c>
      <c r="B991" t="s">
        <v>3657</v>
      </c>
      <c r="C991" t="s">
        <v>3658</v>
      </c>
      <c r="D991" t="s">
        <v>3659</v>
      </c>
      <c r="E991" t="s">
        <v>3657</v>
      </c>
      <c r="F991" t="s">
        <v>28</v>
      </c>
      <c r="G991" t="s">
        <v>3657</v>
      </c>
      <c r="H991" t="str">
        <f>"rps-18"</f>
        <v>rps-18</v>
      </c>
      <c r="I991" t="s">
        <v>3659</v>
      </c>
      <c r="J991">
        <v>18.1776578363231</v>
      </c>
      <c r="K991">
        <v>18.3060934734943</v>
      </c>
      <c r="L991">
        <v>18.589369497518302</v>
      </c>
      <c r="M991">
        <v>18.420439825169701</v>
      </c>
      <c r="N991">
        <v>18.3589107669941</v>
      </c>
      <c r="O991">
        <v>17.764271270384199</v>
      </c>
      <c r="P991">
        <v>-0.17649964826255299</v>
      </c>
      <c r="Q991">
        <v>-0.70534274811477704</v>
      </c>
      <c r="R991">
        <v>0.35234345158967201</v>
      </c>
      <c r="S991">
        <v>18.4057054700714</v>
      </c>
      <c r="T991">
        <v>-0.70147066712733597</v>
      </c>
      <c r="U991">
        <v>-6.9015791049375501</v>
      </c>
      <c r="V991">
        <v>0.49203192128941797</v>
      </c>
      <c r="W991">
        <v>0.64959935661513601</v>
      </c>
      <c r="X991">
        <v>0</v>
      </c>
      <c r="Y991">
        <v>0</v>
      </c>
    </row>
    <row r="992" spans="1:25" x14ac:dyDescent="0.2">
      <c r="A992" t="s">
        <v>3660</v>
      </c>
      <c r="B992" t="s">
        <v>3661</v>
      </c>
      <c r="C992" t="s">
        <v>14352</v>
      </c>
      <c r="D992" t="s">
        <v>3662</v>
      </c>
      <c r="E992" t="s">
        <v>3661</v>
      </c>
      <c r="F992" t="s">
        <v>28</v>
      </c>
      <c r="G992" t="s">
        <v>3661</v>
      </c>
      <c r="H992" t="str">
        <f>"Y57G11C.31"</f>
        <v>Y57G11C.31</v>
      </c>
      <c r="I992" t="s">
        <v>3662</v>
      </c>
      <c r="J992">
        <v>12.981612202057001</v>
      </c>
      <c r="K992" t="s">
        <v>29</v>
      </c>
      <c r="L992">
        <v>11.8368781098343</v>
      </c>
      <c r="M992" t="s">
        <v>29</v>
      </c>
      <c r="N992" t="s">
        <v>29</v>
      </c>
      <c r="O992" t="s">
        <v>29</v>
      </c>
      <c r="P992" t="s">
        <v>29</v>
      </c>
      <c r="Q992" t="s">
        <v>29</v>
      </c>
      <c r="R992" t="s">
        <v>29</v>
      </c>
      <c r="S992">
        <v>12.560832260897101</v>
      </c>
      <c r="T992" t="s">
        <v>29</v>
      </c>
      <c r="U992" t="s">
        <v>29</v>
      </c>
      <c r="V992" t="s">
        <v>29</v>
      </c>
      <c r="W992" t="s">
        <v>29</v>
      </c>
      <c r="X992" t="s">
        <v>29</v>
      </c>
      <c r="Y992" t="s">
        <v>29</v>
      </c>
    </row>
    <row r="993" spans="1:25" x14ac:dyDescent="0.2">
      <c r="A993" t="s">
        <v>3663</v>
      </c>
      <c r="B993" t="s">
        <v>3664</v>
      </c>
      <c r="C993" t="s">
        <v>14353</v>
      </c>
      <c r="D993" t="s">
        <v>3665</v>
      </c>
      <c r="E993" t="s">
        <v>3664</v>
      </c>
      <c r="F993" t="s">
        <v>28</v>
      </c>
      <c r="G993" t="s">
        <v>3664</v>
      </c>
      <c r="H993" t="str">
        <f>"ZK909.3"</f>
        <v>ZK909.3</v>
      </c>
      <c r="I993" t="s">
        <v>3665</v>
      </c>
      <c r="J993" t="s">
        <v>29</v>
      </c>
      <c r="K993" t="s">
        <v>29</v>
      </c>
      <c r="L993" t="s">
        <v>29</v>
      </c>
      <c r="M993" t="s">
        <v>29</v>
      </c>
      <c r="N993">
        <v>11.7777735449873</v>
      </c>
      <c r="O993" t="s">
        <v>29</v>
      </c>
      <c r="P993" t="s">
        <v>29</v>
      </c>
      <c r="Q993" t="s">
        <v>29</v>
      </c>
      <c r="R993" t="s">
        <v>29</v>
      </c>
      <c r="S993">
        <v>11.559762825224601</v>
      </c>
      <c r="T993" t="s">
        <v>29</v>
      </c>
      <c r="U993" t="s">
        <v>29</v>
      </c>
      <c r="V993" t="s">
        <v>29</v>
      </c>
      <c r="W993" t="s">
        <v>29</v>
      </c>
      <c r="X993" t="s">
        <v>29</v>
      </c>
      <c r="Y993" t="s">
        <v>29</v>
      </c>
    </row>
    <row r="994" spans="1:25" x14ac:dyDescent="0.2">
      <c r="A994" t="s">
        <v>3666</v>
      </c>
      <c r="B994" t="s">
        <v>3667</v>
      </c>
      <c r="C994" t="s">
        <v>3668</v>
      </c>
      <c r="D994" t="s">
        <v>3669</v>
      </c>
      <c r="E994" t="s">
        <v>3667</v>
      </c>
      <c r="F994" t="s">
        <v>28</v>
      </c>
      <c r="G994" t="s">
        <v>3667</v>
      </c>
      <c r="H994" t="str">
        <f>"rps-19"</f>
        <v>rps-19</v>
      </c>
      <c r="I994" t="s">
        <v>3669</v>
      </c>
      <c r="J994">
        <v>15.253929050420499</v>
      </c>
      <c r="K994">
        <v>15.783641196865601</v>
      </c>
      <c r="L994">
        <v>15.788760150698501</v>
      </c>
      <c r="M994">
        <v>17.453470740954302</v>
      </c>
      <c r="N994">
        <v>17.5274185779992</v>
      </c>
      <c r="O994">
        <v>16.3482124764665</v>
      </c>
      <c r="P994">
        <v>1.5009237991451601</v>
      </c>
      <c r="Q994">
        <v>0.55946287331945999</v>
      </c>
      <c r="R994">
        <v>2.4423847249708701</v>
      </c>
      <c r="S994">
        <v>15.851878552477601</v>
      </c>
      <c r="T994">
        <v>3.3508027041691202</v>
      </c>
      <c r="U994">
        <v>-2.59061534983717</v>
      </c>
      <c r="V994">
        <v>3.5813663395269299E-3</v>
      </c>
      <c r="W994">
        <v>2.2313502331048299E-2</v>
      </c>
      <c r="X994">
        <v>1</v>
      </c>
      <c r="Y994">
        <v>1</v>
      </c>
    </row>
    <row r="995" spans="1:25" x14ac:dyDescent="0.2">
      <c r="A995" t="s">
        <v>3670</v>
      </c>
      <c r="B995" t="s">
        <v>3671</v>
      </c>
      <c r="C995" t="s">
        <v>3672</v>
      </c>
      <c r="D995" t="s">
        <v>3673</v>
      </c>
      <c r="E995" t="s">
        <v>3671</v>
      </c>
      <c r="F995" t="s">
        <v>28</v>
      </c>
      <c r="G995" t="s">
        <v>3671</v>
      </c>
      <c r="H995" t="str">
        <f>"acs-2"</f>
        <v>acs-2</v>
      </c>
      <c r="I995" t="s">
        <v>3673</v>
      </c>
      <c r="J995">
        <v>16.051577380977101</v>
      </c>
      <c r="K995">
        <v>16.276167920083701</v>
      </c>
      <c r="L995">
        <v>14.700946339679399</v>
      </c>
      <c r="M995">
        <v>15.723319871860999</v>
      </c>
      <c r="N995">
        <v>15.538859137091</v>
      </c>
      <c r="O995">
        <v>16.043073515221799</v>
      </c>
      <c r="P995">
        <v>9.2186961144555796E-2</v>
      </c>
      <c r="Q995">
        <v>-0.79388744226784602</v>
      </c>
      <c r="R995">
        <v>0.978261364556957</v>
      </c>
      <c r="S995">
        <v>14.4948429634506</v>
      </c>
      <c r="T995">
        <v>0.218671317332087</v>
      </c>
      <c r="U995">
        <v>-7.1312416467249999</v>
      </c>
      <c r="V995">
        <v>0.82938058935099501</v>
      </c>
      <c r="W995">
        <v>0.89268977239495295</v>
      </c>
      <c r="X995">
        <v>0</v>
      </c>
      <c r="Y995">
        <v>0</v>
      </c>
    </row>
    <row r="996" spans="1:25" x14ac:dyDescent="0.2">
      <c r="A996" t="s">
        <v>3674</v>
      </c>
      <c r="B996" t="s">
        <v>3675</v>
      </c>
      <c r="C996" t="s">
        <v>14354</v>
      </c>
      <c r="D996" t="s">
        <v>3676</v>
      </c>
      <c r="E996" t="s">
        <v>3675</v>
      </c>
      <c r="F996" t="s">
        <v>28</v>
      </c>
      <c r="G996" t="s">
        <v>3675</v>
      </c>
      <c r="H996" t="str">
        <f>"T04D3.1"</f>
        <v>T04D3.1</v>
      </c>
      <c r="I996" t="s">
        <v>3676</v>
      </c>
      <c r="J996" t="s">
        <v>29</v>
      </c>
      <c r="K996">
        <v>11.0050463309381</v>
      </c>
      <c r="L996">
        <v>11.4826183233259</v>
      </c>
      <c r="M996" t="s">
        <v>29</v>
      </c>
      <c r="N996" t="s">
        <v>29</v>
      </c>
      <c r="O996" t="s">
        <v>29</v>
      </c>
      <c r="P996" t="s">
        <v>29</v>
      </c>
      <c r="Q996" t="s">
        <v>29</v>
      </c>
      <c r="R996" t="s">
        <v>29</v>
      </c>
      <c r="S996">
        <v>12.106070478336299</v>
      </c>
      <c r="T996" t="s">
        <v>29</v>
      </c>
      <c r="U996" t="s">
        <v>29</v>
      </c>
      <c r="V996" t="s">
        <v>29</v>
      </c>
      <c r="W996" t="s">
        <v>29</v>
      </c>
      <c r="X996" t="s">
        <v>29</v>
      </c>
      <c r="Y996" t="s">
        <v>29</v>
      </c>
    </row>
    <row r="997" spans="1:25" x14ac:dyDescent="0.2">
      <c r="A997" t="s">
        <v>3677</v>
      </c>
      <c r="B997" t="s">
        <v>3678</v>
      </c>
      <c r="C997" t="s">
        <v>3679</v>
      </c>
      <c r="D997" t="s">
        <v>3680</v>
      </c>
      <c r="E997" t="s">
        <v>3678</v>
      </c>
      <c r="F997" t="s">
        <v>28</v>
      </c>
      <c r="G997" t="s">
        <v>3678</v>
      </c>
      <c r="H997" t="str">
        <f>"cec-2"</f>
        <v>cec-2</v>
      </c>
      <c r="I997" t="s">
        <v>3680</v>
      </c>
      <c r="J997" t="s">
        <v>29</v>
      </c>
      <c r="K997" t="s">
        <v>29</v>
      </c>
      <c r="L997">
        <v>9.7229609416377407</v>
      </c>
      <c r="M997" t="s">
        <v>29</v>
      </c>
      <c r="N997" t="s">
        <v>29</v>
      </c>
      <c r="O997" t="s">
        <v>29</v>
      </c>
      <c r="P997" t="s">
        <v>29</v>
      </c>
      <c r="Q997" t="s">
        <v>29</v>
      </c>
      <c r="R997" t="s">
        <v>29</v>
      </c>
      <c r="S997">
        <v>10.7803240891259</v>
      </c>
      <c r="T997" t="s">
        <v>29</v>
      </c>
      <c r="U997" t="s">
        <v>29</v>
      </c>
      <c r="V997" t="s">
        <v>29</v>
      </c>
      <c r="W997" t="s">
        <v>29</v>
      </c>
      <c r="X997" t="s">
        <v>29</v>
      </c>
      <c r="Y997" t="s">
        <v>29</v>
      </c>
    </row>
    <row r="998" spans="1:25" x14ac:dyDescent="0.2">
      <c r="A998" t="s">
        <v>3681</v>
      </c>
      <c r="B998" t="s">
        <v>3682</v>
      </c>
      <c r="C998" t="s">
        <v>3683</v>
      </c>
      <c r="D998" t="s">
        <v>3684</v>
      </c>
      <c r="E998" t="s">
        <v>3682</v>
      </c>
      <c r="F998" t="s">
        <v>28</v>
      </c>
      <c r="G998" t="s">
        <v>3682</v>
      </c>
      <c r="H998" t="str">
        <f>"perm-4"</f>
        <v>perm-4</v>
      </c>
      <c r="I998" t="s">
        <v>3684</v>
      </c>
      <c r="J998">
        <v>13.6117150530633</v>
      </c>
      <c r="K998">
        <v>14.311393143573699</v>
      </c>
      <c r="L998">
        <v>15.1034931551065</v>
      </c>
      <c r="M998">
        <v>17.3651800285249</v>
      </c>
      <c r="N998">
        <v>16.596627361123598</v>
      </c>
      <c r="O998">
        <v>15.8512145784068</v>
      </c>
      <c r="P998">
        <v>2.2621402054372601</v>
      </c>
      <c r="Q998">
        <v>1.4668516991112399</v>
      </c>
      <c r="R998">
        <v>3.0574287117632699</v>
      </c>
      <c r="S998">
        <v>14.879529585207299</v>
      </c>
      <c r="T998">
        <v>5.9784324395102901</v>
      </c>
      <c r="U998">
        <v>3.1025051775455301</v>
      </c>
      <c r="V998" s="2">
        <v>1.20707310566151E-5</v>
      </c>
      <c r="W998">
        <v>3.2338585839858901E-4</v>
      </c>
      <c r="X998">
        <v>1</v>
      </c>
      <c r="Y998">
        <v>1</v>
      </c>
    </row>
    <row r="999" spans="1:25" x14ac:dyDescent="0.2">
      <c r="A999" t="s">
        <v>3685</v>
      </c>
      <c r="B999" t="s">
        <v>3686</v>
      </c>
      <c r="C999" t="s">
        <v>3687</v>
      </c>
      <c r="D999" t="s">
        <v>3688</v>
      </c>
      <c r="E999" t="s">
        <v>3686</v>
      </c>
      <c r="F999" t="s">
        <v>28</v>
      </c>
      <c r="G999" t="s">
        <v>3686</v>
      </c>
      <c r="H999" t="str">
        <f>"perm-2"</f>
        <v>perm-2</v>
      </c>
      <c r="I999" t="s">
        <v>3688</v>
      </c>
      <c r="J999">
        <v>13.881478376873099</v>
      </c>
      <c r="K999">
        <v>13.7152284462325</v>
      </c>
      <c r="L999">
        <v>14.735495320022901</v>
      </c>
      <c r="M999">
        <v>16.525091883516598</v>
      </c>
      <c r="N999">
        <v>15.567094986957001</v>
      </c>
      <c r="O999">
        <v>14.1900765031377</v>
      </c>
      <c r="P999">
        <v>1.31668707682759</v>
      </c>
      <c r="Q999">
        <v>0.426837887997217</v>
      </c>
      <c r="R999">
        <v>2.2065362656579599</v>
      </c>
      <c r="S999">
        <v>14.0314017347169</v>
      </c>
      <c r="T999">
        <v>3.1099877422088298</v>
      </c>
      <c r="U999">
        <v>-3.1044395782610699</v>
      </c>
      <c r="V999">
        <v>6.0773910174880697E-3</v>
      </c>
      <c r="W999">
        <v>3.2270398790157397E-2</v>
      </c>
      <c r="X999">
        <v>1</v>
      </c>
      <c r="Y999">
        <v>1</v>
      </c>
    </row>
    <row r="1000" spans="1:25" x14ac:dyDescent="0.2">
      <c r="A1000" t="s">
        <v>3689</v>
      </c>
      <c r="B1000" t="s">
        <v>3690</v>
      </c>
      <c r="C1000" t="s">
        <v>3691</v>
      </c>
      <c r="D1000" t="s">
        <v>3692</v>
      </c>
      <c r="E1000" t="s">
        <v>3690</v>
      </c>
      <c r="F1000" t="s">
        <v>28</v>
      </c>
      <c r="G1000" t="s">
        <v>3690</v>
      </c>
      <c r="H1000" t="str">
        <f>"C49A9.6"</f>
        <v>C49A9.6</v>
      </c>
      <c r="I1000" t="s">
        <v>3692</v>
      </c>
      <c r="J1000">
        <v>13.864168518281</v>
      </c>
      <c r="K1000">
        <v>13.8755510933689</v>
      </c>
      <c r="L1000">
        <v>13.4432804932867</v>
      </c>
      <c r="M1000">
        <v>13.7725630711313</v>
      </c>
      <c r="N1000">
        <v>13.4005428311826</v>
      </c>
      <c r="O1000">
        <v>13.510702309114199</v>
      </c>
      <c r="P1000">
        <v>-0.166397297836157</v>
      </c>
      <c r="Q1000">
        <v>-0.54179044470557203</v>
      </c>
      <c r="R1000">
        <v>0.20899584903325699</v>
      </c>
      <c r="S1000">
        <v>13.277194365001099</v>
      </c>
      <c r="T1000">
        <v>-0.93164925845066004</v>
      </c>
      <c r="U1000">
        <v>-6.7115630698576503</v>
      </c>
      <c r="V1000">
        <v>0.363917616539155</v>
      </c>
      <c r="W1000">
        <v>0.532505072463202</v>
      </c>
      <c r="X1000">
        <v>0</v>
      </c>
      <c r="Y1000">
        <v>0</v>
      </c>
    </row>
    <row r="1001" spans="1:25" x14ac:dyDescent="0.2">
      <c r="A1001" t="s">
        <v>3693</v>
      </c>
      <c r="B1001" t="s">
        <v>3694</v>
      </c>
      <c r="C1001" t="s">
        <v>3695</v>
      </c>
      <c r="D1001" t="s">
        <v>368</v>
      </c>
      <c r="E1001" t="s">
        <v>3694</v>
      </c>
      <c r="F1001" t="s">
        <v>28</v>
      </c>
      <c r="G1001" t="s">
        <v>3694</v>
      </c>
      <c r="H1001" t="str">
        <f>"C49A9.5"</f>
        <v>C49A9.5</v>
      </c>
      <c r="I1001" t="s">
        <v>368</v>
      </c>
      <c r="J1001">
        <v>12.975359981151099</v>
      </c>
      <c r="K1001">
        <v>13.254479992091801</v>
      </c>
      <c r="L1001">
        <v>12.757199283552</v>
      </c>
      <c r="M1001" t="s">
        <v>29</v>
      </c>
      <c r="N1001">
        <v>11.623361153484201</v>
      </c>
      <c r="O1001">
        <v>12.4121515377491</v>
      </c>
      <c r="P1001">
        <v>-0.97792340664833199</v>
      </c>
      <c r="Q1001">
        <v>-1.5026915900119899</v>
      </c>
      <c r="R1001">
        <v>-0.453155223284675</v>
      </c>
      <c r="S1001">
        <v>12.8379335697177</v>
      </c>
      <c r="T1001">
        <v>-3.9335743044891198</v>
      </c>
      <c r="U1001">
        <v>-1.2889986145755199</v>
      </c>
      <c r="V1001">
        <v>1.08200790097294E-3</v>
      </c>
      <c r="W1001">
        <v>9.6334661153089605E-3</v>
      </c>
      <c r="X1001">
        <v>0</v>
      </c>
      <c r="Y1001">
        <v>0</v>
      </c>
    </row>
    <row r="1002" spans="1:25" x14ac:dyDescent="0.2">
      <c r="A1002" t="s">
        <v>3696</v>
      </c>
      <c r="B1002" t="s">
        <v>3697</v>
      </c>
      <c r="C1002" t="s">
        <v>3698</v>
      </c>
      <c r="D1002" t="s">
        <v>3699</v>
      </c>
      <c r="E1002" t="s">
        <v>3697</v>
      </c>
      <c r="F1002" t="s">
        <v>28</v>
      </c>
      <c r="G1002" t="s">
        <v>3697</v>
      </c>
      <c r="H1002" t="str">
        <f>"C49A9.2"</f>
        <v>C49A9.2</v>
      </c>
      <c r="I1002" t="s">
        <v>3699</v>
      </c>
      <c r="J1002">
        <v>12.5577642361238</v>
      </c>
      <c r="K1002">
        <v>12.063087751324799</v>
      </c>
      <c r="L1002">
        <v>11.961072368788701</v>
      </c>
      <c r="M1002" t="s">
        <v>29</v>
      </c>
      <c r="N1002" t="s">
        <v>29</v>
      </c>
      <c r="O1002">
        <v>12.1450549960133</v>
      </c>
      <c r="P1002">
        <v>-4.8919789399180402E-2</v>
      </c>
      <c r="Q1002">
        <v>-0.82176975802778396</v>
      </c>
      <c r="R1002">
        <v>0.72393017922942304</v>
      </c>
      <c r="S1002">
        <v>12.001684679010401</v>
      </c>
      <c r="T1002">
        <v>-0.13425761096404201</v>
      </c>
      <c r="U1002">
        <v>-6.8032400210952799</v>
      </c>
      <c r="V1002">
        <v>0.89488413487010299</v>
      </c>
      <c r="W1002">
        <v>0.93751281388631102</v>
      </c>
      <c r="X1002">
        <v>0</v>
      </c>
      <c r="Y1002">
        <v>0</v>
      </c>
    </row>
    <row r="1003" spans="1:25" x14ac:dyDescent="0.2">
      <c r="A1003" t="s">
        <v>3700</v>
      </c>
      <c r="B1003" t="s">
        <v>3701</v>
      </c>
      <c r="C1003" t="s">
        <v>3702</v>
      </c>
      <c r="D1003" t="s">
        <v>3703</v>
      </c>
      <c r="E1003" t="s">
        <v>3701</v>
      </c>
      <c r="F1003" t="s">
        <v>28</v>
      </c>
      <c r="G1003" t="s">
        <v>3701</v>
      </c>
      <c r="H1003" t="str">
        <f>"pas-6"</f>
        <v>pas-6</v>
      </c>
      <c r="I1003" t="s">
        <v>3703</v>
      </c>
      <c r="J1003">
        <v>11.4256807032754</v>
      </c>
      <c r="K1003">
        <v>12.476300891739999</v>
      </c>
      <c r="L1003">
        <v>12.276486390550501</v>
      </c>
      <c r="M1003" t="s">
        <v>29</v>
      </c>
      <c r="N1003" t="s">
        <v>29</v>
      </c>
      <c r="O1003">
        <v>11.930345652823201</v>
      </c>
      <c r="P1003">
        <v>-0.12914367569881999</v>
      </c>
      <c r="Q1003">
        <v>-1.0818419322382</v>
      </c>
      <c r="R1003">
        <v>0.82355458084056099</v>
      </c>
      <c r="S1003">
        <v>12.7324226403015</v>
      </c>
      <c r="T1003">
        <v>-0.29870704533651299</v>
      </c>
      <c r="U1003">
        <v>-6.7647685458781401</v>
      </c>
      <c r="V1003">
        <v>0.77078374595911203</v>
      </c>
      <c r="W1003">
        <v>0.85426840892873401</v>
      </c>
      <c r="X1003">
        <v>0</v>
      </c>
      <c r="Y1003">
        <v>0</v>
      </c>
    </row>
    <row r="1004" spans="1:25" x14ac:dyDescent="0.2">
      <c r="A1004" t="s">
        <v>3704</v>
      </c>
      <c r="B1004" t="s">
        <v>3705</v>
      </c>
      <c r="C1004" t="s">
        <v>3706</v>
      </c>
      <c r="D1004" t="s">
        <v>3707</v>
      </c>
      <c r="E1004" t="s">
        <v>3705</v>
      </c>
      <c r="F1004" t="s">
        <v>28</v>
      </c>
      <c r="G1004" t="s">
        <v>3708</v>
      </c>
      <c r="H1004" t="str">
        <f>"snpc-3.1"</f>
        <v>snpc-3.1</v>
      </c>
      <c r="I1004" t="s">
        <v>3707</v>
      </c>
      <c r="J1004" t="s">
        <v>29</v>
      </c>
      <c r="K1004" t="s">
        <v>29</v>
      </c>
      <c r="L1004" t="s">
        <v>29</v>
      </c>
      <c r="M1004" t="s">
        <v>29</v>
      </c>
      <c r="N1004" t="s">
        <v>29</v>
      </c>
      <c r="O1004" t="s">
        <v>29</v>
      </c>
      <c r="P1004" t="s">
        <v>29</v>
      </c>
      <c r="Q1004" t="s">
        <v>29</v>
      </c>
      <c r="R1004" t="s">
        <v>29</v>
      </c>
      <c r="S1004">
        <v>12.676356083353101</v>
      </c>
      <c r="T1004" t="s">
        <v>29</v>
      </c>
      <c r="U1004" t="s">
        <v>29</v>
      </c>
      <c r="V1004" t="s">
        <v>29</v>
      </c>
      <c r="W1004" t="s">
        <v>29</v>
      </c>
      <c r="X1004" t="s">
        <v>29</v>
      </c>
      <c r="Y1004" t="s">
        <v>29</v>
      </c>
    </row>
    <row r="1005" spans="1:25" x14ac:dyDescent="0.2">
      <c r="A1005" t="s">
        <v>3709</v>
      </c>
      <c r="B1005" t="s">
        <v>3710</v>
      </c>
      <c r="C1005" t="s">
        <v>3711</v>
      </c>
      <c r="D1005" t="s">
        <v>3712</v>
      </c>
      <c r="E1005" t="s">
        <v>3710</v>
      </c>
      <c r="F1005" t="s">
        <v>28</v>
      </c>
      <c r="G1005" t="s">
        <v>3710</v>
      </c>
      <c r="H1005" t="str">
        <f>"puf-7"</f>
        <v>puf-7</v>
      </c>
      <c r="I1005" t="s">
        <v>3712</v>
      </c>
      <c r="J1005" t="s">
        <v>29</v>
      </c>
      <c r="K1005" t="s">
        <v>29</v>
      </c>
      <c r="L1005">
        <v>11.220354998547</v>
      </c>
      <c r="M1005" t="s">
        <v>29</v>
      </c>
      <c r="N1005" t="s">
        <v>29</v>
      </c>
      <c r="O1005" t="s">
        <v>29</v>
      </c>
      <c r="P1005" t="s">
        <v>29</v>
      </c>
      <c r="Q1005" t="s">
        <v>29</v>
      </c>
      <c r="R1005" t="s">
        <v>29</v>
      </c>
      <c r="S1005">
        <v>12.50167632184</v>
      </c>
      <c r="T1005" t="s">
        <v>29</v>
      </c>
      <c r="U1005" t="s">
        <v>29</v>
      </c>
      <c r="V1005" t="s">
        <v>29</v>
      </c>
      <c r="W1005" t="s">
        <v>29</v>
      </c>
      <c r="X1005" t="s">
        <v>29</v>
      </c>
      <c r="Y1005" t="s">
        <v>29</v>
      </c>
    </row>
    <row r="1006" spans="1:25" x14ac:dyDescent="0.2">
      <c r="A1006" t="s">
        <v>3713</v>
      </c>
      <c r="B1006" t="s">
        <v>3714</v>
      </c>
      <c r="C1006" t="s">
        <v>3715</v>
      </c>
      <c r="D1006" t="s">
        <v>3716</v>
      </c>
      <c r="E1006" t="s">
        <v>3714</v>
      </c>
      <c r="F1006" t="s">
        <v>28</v>
      </c>
      <c r="G1006" t="s">
        <v>3714</v>
      </c>
      <c r="H1006" t="str">
        <f>"rfc-2"</f>
        <v>rfc-2</v>
      </c>
      <c r="I1006" t="s">
        <v>3716</v>
      </c>
      <c r="J1006" t="s">
        <v>29</v>
      </c>
      <c r="K1006" t="s">
        <v>29</v>
      </c>
      <c r="L1006">
        <v>12.7344118419898</v>
      </c>
      <c r="M1006" t="s">
        <v>29</v>
      </c>
      <c r="N1006" t="s">
        <v>29</v>
      </c>
      <c r="O1006" t="s">
        <v>29</v>
      </c>
      <c r="P1006" t="s">
        <v>29</v>
      </c>
      <c r="Q1006" t="s">
        <v>29</v>
      </c>
      <c r="R1006" t="s">
        <v>29</v>
      </c>
      <c r="S1006">
        <v>13.261462338427</v>
      </c>
      <c r="T1006" t="s">
        <v>29</v>
      </c>
      <c r="U1006" t="s">
        <v>29</v>
      </c>
      <c r="V1006" t="s">
        <v>29</v>
      </c>
      <c r="W1006" t="s">
        <v>29</v>
      </c>
      <c r="X1006" t="s">
        <v>29</v>
      </c>
      <c r="Y1006" t="s">
        <v>29</v>
      </c>
    </row>
    <row r="1007" spans="1:25" x14ac:dyDescent="0.2">
      <c r="A1007" t="s">
        <v>3717</v>
      </c>
      <c r="B1007" t="s">
        <v>3718</v>
      </c>
      <c r="C1007" t="s">
        <v>3719</v>
      </c>
      <c r="D1007" t="s">
        <v>3720</v>
      </c>
      <c r="E1007" t="s">
        <v>3718</v>
      </c>
      <c r="F1007" t="s">
        <v>28</v>
      </c>
      <c r="G1007" t="s">
        <v>3718</v>
      </c>
      <c r="H1007" t="str">
        <f>"ltah-1.2"</f>
        <v>ltah-1.2</v>
      </c>
      <c r="I1007" t="s">
        <v>3720</v>
      </c>
      <c r="J1007">
        <v>15.3030810913358</v>
      </c>
      <c r="K1007">
        <v>15.138794789355799</v>
      </c>
      <c r="L1007">
        <v>15.4912902823341</v>
      </c>
      <c r="M1007">
        <v>13.9068003848251</v>
      </c>
      <c r="N1007">
        <v>14.673121758482999</v>
      </c>
      <c r="O1007">
        <v>14.9174296069504</v>
      </c>
      <c r="P1007">
        <v>-0.81193813758905398</v>
      </c>
      <c r="Q1007">
        <v>-1.2737038042147899</v>
      </c>
      <c r="R1007">
        <v>-0.350172470963317</v>
      </c>
      <c r="S1007">
        <v>14.936525919868499</v>
      </c>
      <c r="T1007">
        <v>-3.6956753680693701</v>
      </c>
      <c r="U1007">
        <v>-1.84106074878821</v>
      </c>
      <c r="V1007">
        <v>1.6681846463429801E-3</v>
      </c>
      <c r="W1007">
        <v>1.29713460495323E-2</v>
      </c>
      <c r="X1007">
        <v>0</v>
      </c>
      <c r="Y1007">
        <v>0</v>
      </c>
    </row>
    <row r="1008" spans="1:25" x14ac:dyDescent="0.2">
      <c r="A1008" t="s">
        <v>3721</v>
      </c>
      <c r="B1008" t="s">
        <v>3722</v>
      </c>
      <c r="C1008" t="s">
        <v>3723</v>
      </c>
      <c r="D1008" t="s">
        <v>3724</v>
      </c>
      <c r="E1008" t="s">
        <v>3722</v>
      </c>
      <c r="F1008" t="s">
        <v>28</v>
      </c>
      <c r="G1008" t="s">
        <v>3722</v>
      </c>
      <c r="H1008" t="str">
        <f>"F33D4.4"</f>
        <v>F33D4.4</v>
      </c>
      <c r="I1008" t="s">
        <v>3724</v>
      </c>
      <c r="J1008">
        <v>14.319651575617399</v>
      </c>
      <c r="K1008">
        <v>14.5069658090801</v>
      </c>
      <c r="L1008">
        <v>14.666027669688599</v>
      </c>
      <c r="M1008">
        <v>13.609683823528901</v>
      </c>
      <c r="N1008">
        <v>13.8764341742224</v>
      </c>
      <c r="O1008">
        <v>14.2263843632325</v>
      </c>
      <c r="P1008">
        <v>-0.59338089780076997</v>
      </c>
      <c r="Q1008">
        <v>-1.0260935502459401</v>
      </c>
      <c r="R1008">
        <v>-0.160668245355605</v>
      </c>
      <c r="S1008">
        <v>14.3980578427536</v>
      </c>
      <c r="T1008">
        <v>-2.88221570577713</v>
      </c>
      <c r="U1008">
        <v>-3.5798834022860202</v>
      </c>
      <c r="V1008">
        <v>9.9610447683477106E-3</v>
      </c>
      <c r="W1008">
        <v>4.5582607037764997E-2</v>
      </c>
      <c r="X1008">
        <v>0</v>
      </c>
      <c r="Y1008">
        <v>0</v>
      </c>
    </row>
    <row r="1009" spans="1:25" x14ac:dyDescent="0.2">
      <c r="A1009" t="s">
        <v>3725</v>
      </c>
      <c r="B1009" t="s">
        <v>3726</v>
      </c>
      <c r="C1009" t="s">
        <v>3727</v>
      </c>
      <c r="D1009" t="s">
        <v>3728</v>
      </c>
      <c r="E1009" t="s">
        <v>3726</v>
      </c>
      <c r="F1009" t="s">
        <v>28</v>
      </c>
      <c r="G1009" t="s">
        <v>3726</v>
      </c>
      <c r="H1009" t="str">
        <f>"rme-2"</f>
        <v>rme-2</v>
      </c>
      <c r="I1009" t="s">
        <v>3728</v>
      </c>
      <c r="J1009">
        <v>14.2977279426891</v>
      </c>
      <c r="K1009">
        <v>14.130529565600799</v>
      </c>
      <c r="L1009">
        <v>14.457611527754199</v>
      </c>
      <c r="M1009">
        <v>14.0107557994529</v>
      </c>
      <c r="N1009">
        <v>13.8801454186163</v>
      </c>
      <c r="O1009">
        <v>14.4867888433342</v>
      </c>
      <c r="P1009">
        <v>-0.16939299154690299</v>
      </c>
      <c r="Q1009">
        <v>-0.68109965005923301</v>
      </c>
      <c r="R1009">
        <v>0.34231366696542598</v>
      </c>
      <c r="S1009">
        <v>13.982330845425899</v>
      </c>
      <c r="T1009">
        <v>-0.69875412201179998</v>
      </c>
      <c r="U1009">
        <v>-6.90293113292973</v>
      </c>
      <c r="V1009">
        <v>0.49421304085397699</v>
      </c>
      <c r="W1009">
        <v>0.65048942894000406</v>
      </c>
      <c r="X1009">
        <v>0</v>
      </c>
      <c r="Y1009">
        <v>0</v>
      </c>
    </row>
    <row r="1010" spans="1:25" x14ac:dyDescent="0.2">
      <c r="A1010" t="s">
        <v>3729</v>
      </c>
      <c r="B1010" t="s">
        <v>3730</v>
      </c>
      <c r="C1010" t="s">
        <v>3731</v>
      </c>
      <c r="D1010" t="s">
        <v>3732</v>
      </c>
      <c r="E1010" t="s">
        <v>3730</v>
      </c>
      <c r="F1010" t="s">
        <v>28</v>
      </c>
      <c r="G1010" t="s">
        <v>3730</v>
      </c>
      <c r="H1010" t="str">
        <f>"rad-50"</f>
        <v>rad-50</v>
      </c>
      <c r="I1010" t="s">
        <v>3732</v>
      </c>
      <c r="J1010">
        <v>12.437662769031</v>
      </c>
      <c r="K1010">
        <v>12.4202135180716</v>
      </c>
      <c r="L1010">
        <v>12.497227062537601</v>
      </c>
      <c r="M1010" t="s">
        <v>29</v>
      </c>
      <c r="N1010" t="s">
        <v>29</v>
      </c>
      <c r="O1010">
        <v>12.7683005116034</v>
      </c>
      <c r="P1010">
        <v>0.31659939505661999</v>
      </c>
      <c r="Q1010">
        <v>-0.56684593506301995</v>
      </c>
      <c r="R1010">
        <v>1.20004472517626</v>
      </c>
      <c r="S1010">
        <v>12.7040892728152</v>
      </c>
      <c r="T1010">
        <v>0.76011609945819003</v>
      </c>
      <c r="U1010">
        <v>-6.5147256528456801</v>
      </c>
      <c r="V1010">
        <v>0.45831224482201299</v>
      </c>
      <c r="W1010">
        <v>0.62213090073259902</v>
      </c>
      <c r="X1010">
        <v>0</v>
      </c>
      <c r="Y1010">
        <v>0</v>
      </c>
    </row>
    <row r="1011" spans="1:25" x14ac:dyDescent="0.2">
      <c r="A1011" t="s">
        <v>3733</v>
      </c>
      <c r="B1011" t="s">
        <v>3734</v>
      </c>
      <c r="C1011" t="s">
        <v>3735</v>
      </c>
      <c r="D1011" t="s">
        <v>3736</v>
      </c>
      <c r="E1011" t="s">
        <v>3734</v>
      </c>
      <c r="F1011" t="s">
        <v>28</v>
      </c>
      <c r="G1011" t="s">
        <v>3734</v>
      </c>
      <c r="H1011" t="str">
        <f>"hmp-2"</f>
        <v>hmp-2</v>
      </c>
      <c r="I1011" t="s">
        <v>3736</v>
      </c>
      <c r="J1011" t="s">
        <v>29</v>
      </c>
      <c r="K1011" t="s">
        <v>29</v>
      </c>
      <c r="L1011" t="s">
        <v>29</v>
      </c>
      <c r="M1011" t="s">
        <v>29</v>
      </c>
      <c r="N1011" t="s">
        <v>29</v>
      </c>
      <c r="O1011" t="s">
        <v>29</v>
      </c>
      <c r="P1011" t="s">
        <v>29</v>
      </c>
      <c r="Q1011" t="s">
        <v>29</v>
      </c>
      <c r="R1011" t="s">
        <v>29</v>
      </c>
      <c r="S1011">
        <v>11.5538058262246</v>
      </c>
      <c r="T1011" t="s">
        <v>29</v>
      </c>
      <c r="U1011" t="s">
        <v>29</v>
      </c>
      <c r="V1011" t="s">
        <v>29</v>
      </c>
      <c r="W1011" t="s">
        <v>29</v>
      </c>
      <c r="X1011" t="s">
        <v>29</v>
      </c>
      <c r="Y1011" t="s">
        <v>29</v>
      </c>
    </row>
    <row r="1012" spans="1:25" x14ac:dyDescent="0.2">
      <c r="A1012" t="s">
        <v>3737</v>
      </c>
      <c r="B1012" t="s">
        <v>3738</v>
      </c>
      <c r="C1012" t="s">
        <v>3739</v>
      </c>
      <c r="D1012" t="s">
        <v>3740</v>
      </c>
      <c r="E1012" t="s">
        <v>3738</v>
      </c>
      <c r="F1012" t="s">
        <v>28</v>
      </c>
      <c r="G1012" t="s">
        <v>3738</v>
      </c>
      <c r="H1012" t="str">
        <f>"F37C4.5"</f>
        <v>F37C4.5</v>
      </c>
      <c r="I1012" t="s">
        <v>3740</v>
      </c>
      <c r="J1012">
        <v>13.4530105446402</v>
      </c>
      <c r="K1012">
        <v>13.054514966615701</v>
      </c>
      <c r="L1012">
        <v>13.085415430436401</v>
      </c>
      <c r="M1012">
        <v>14.012625020066899</v>
      </c>
      <c r="N1012">
        <v>13.039177650946099</v>
      </c>
      <c r="O1012">
        <v>12.3553320469073</v>
      </c>
      <c r="P1012">
        <v>-6.1935407923995101E-2</v>
      </c>
      <c r="Q1012">
        <v>-0.887282217316129</v>
      </c>
      <c r="R1012">
        <v>0.76341140146813902</v>
      </c>
      <c r="S1012">
        <v>13.180799675925901</v>
      </c>
      <c r="T1012">
        <v>-0.157723003514329</v>
      </c>
      <c r="U1012">
        <v>-7.1432561686009501</v>
      </c>
      <c r="V1012">
        <v>0.87644114431301801</v>
      </c>
      <c r="W1012">
        <v>0.92311367129752198</v>
      </c>
      <c r="X1012">
        <v>0</v>
      </c>
      <c r="Y1012">
        <v>0</v>
      </c>
    </row>
    <row r="1013" spans="1:25" x14ac:dyDescent="0.2">
      <c r="A1013" t="s">
        <v>3741</v>
      </c>
      <c r="B1013" t="s">
        <v>3742</v>
      </c>
      <c r="C1013" t="s">
        <v>3743</v>
      </c>
      <c r="D1013" t="s">
        <v>3744</v>
      </c>
      <c r="E1013" t="s">
        <v>3742</v>
      </c>
      <c r="F1013" t="s">
        <v>28</v>
      </c>
      <c r="G1013" t="s">
        <v>3742</v>
      </c>
      <c r="H1013" t="str">
        <f>"eri-1"</f>
        <v>eri-1</v>
      </c>
      <c r="I1013" t="s">
        <v>3744</v>
      </c>
      <c r="J1013">
        <v>12.9134865779079</v>
      </c>
      <c r="K1013">
        <v>12.9624561555996</v>
      </c>
      <c r="L1013">
        <v>12.3790224025858</v>
      </c>
      <c r="M1013" t="s">
        <v>29</v>
      </c>
      <c r="N1013">
        <v>14.0380091751842</v>
      </c>
      <c r="O1013">
        <v>13.1268360856299</v>
      </c>
      <c r="P1013">
        <v>0.83076758504263104</v>
      </c>
      <c r="Q1013">
        <v>-6.7548656066001994E-2</v>
      </c>
      <c r="R1013">
        <v>1.72908382615126</v>
      </c>
      <c r="S1013">
        <v>12.4083104257698</v>
      </c>
      <c r="T1013">
        <v>1.95209210240132</v>
      </c>
      <c r="U1013">
        <v>-5.2406514993982602</v>
      </c>
      <c r="V1013">
        <v>6.7703443460840507E-2</v>
      </c>
      <c r="W1013">
        <v>0.16780660040294099</v>
      </c>
      <c r="X1013">
        <v>0</v>
      </c>
      <c r="Y1013">
        <v>0</v>
      </c>
    </row>
    <row r="1014" spans="1:25" x14ac:dyDescent="0.2">
      <c r="A1014" t="s">
        <v>3745</v>
      </c>
      <c r="B1014" t="s">
        <v>3746</v>
      </c>
      <c r="C1014" t="s">
        <v>3747</v>
      </c>
      <c r="D1014" t="s">
        <v>3748</v>
      </c>
      <c r="E1014" t="s">
        <v>3746</v>
      </c>
      <c r="F1014" t="s">
        <v>28</v>
      </c>
      <c r="G1014" t="s">
        <v>3746</v>
      </c>
      <c r="H1014" t="str">
        <f>"kgb-1"</f>
        <v>kgb-1</v>
      </c>
      <c r="I1014" t="s">
        <v>3748</v>
      </c>
      <c r="J1014">
        <v>15.7179757542399</v>
      </c>
      <c r="K1014">
        <v>15.624989142547699</v>
      </c>
      <c r="L1014">
        <v>15.497613605313299</v>
      </c>
      <c r="M1014">
        <v>14.987535426672199</v>
      </c>
      <c r="N1014">
        <v>15.0783454117575</v>
      </c>
      <c r="O1014">
        <v>15.3191403123401</v>
      </c>
      <c r="P1014">
        <v>-0.485185783776998</v>
      </c>
      <c r="Q1014">
        <v>-0.81645983883222495</v>
      </c>
      <c r="R1014">
        <v>-0.153911728721772</v>
      </c>
      <c r="S1014">
        <v>15.1647366382693</v>
      </c>
      <c r="T1014">
        <v>-3.0783156949442998</v>
      </c>
      <c r="U1014">
        <v>-3.1712345369789299</v>
      </c>
      <c r="V1014">
        <v>6.5122798522105497E-3</v>
      </c>
      <c r="W1014">
        <v>3.3847775528156099E-2</v>
      </c>
      <c r="X1014">
        <v>0</v>
      </c>
      <c r="Y1014">
        <v>0</v>
      </c>
    </row>
    <row r="1015" spans="1:25" x14ac:dyDescent="0.2">
      <c r="A1015" t="s">
        <v>3749</v>
      </c>
      <c r="B1015" t="s">
        <v>3750</v>
      </c>
      <c r="C1015" t="s">
        <v>3751</v>
      </c>
      <c r="D1015" t="s">
        <v>3752</v>
      </c>
      <c r="E1015" t="s">
        <v>3750</v>
      </c>
      <c r="F1015" t="s">
        <v>28</v>
      </c>
      <c r="G1015" t="s">
        <v>3750</v>
      </c>
      <c r="H1015" t="str">
        <f>"T07A9.8"</f>
        <v>T07A9.8</v>
      </c>
      <c r="I1015" t="s">
        <v>3752</v>
      </c>
      <c r="J1015">
        <v>12.5242620545413</v>
      </c>
      <c r="K1015">
        <v>11.206414429090399</v>
      </c>
      <c r="L1015">
        <v>12.621371297685</v>
      </c>
      <c r="M1015" t="s">
        <v>29</v>
      </c>
      <c r="N1015">
        <v>12.452455680826899</v>
      </c>
      <c r="O1015" t="s">
        <v>29</v>
      </c>
      <c r="P1015">
        <v>0.33510642038796401</v>
      </c>
      <c r="Q1015">
        <v>-0.75865756755180402</v>
      </c>
      <c r="R1015">
        <v>1.4288704083277299</v>
      </c>
      <c r="S1015">
        <v>12.1129769702732</v>
      </c>
      <c r="T1015">
        <v>0.67512909080184902</v>
      </c>
      <c r="U1015">
        <v>-6.5718957351323803</v>
      </c>
      <c r="V1015">
        <v>0.51366650650369094</v>
      </c>
      <c r="W1015">
        <v>0.66715522021435802</v>
      </c>
      <c r="X1015">
        <v>0</v>
      </c>
      <c r="Y1015">
        <v>0</v>
      </c>
    </row>
    <row r="1016" spans="1:25" x14ac:dyDescent="0.2">
      <c r="A1016" t="s">
        <v>3753</v>
      </c>
      <c r="B1016" t="s">
        <v>3754</v>
      </c>
      <c r="C1016" t="s">
        <v>3755</v>
      </c>
      <c r="D1016" t="s">
        <v>3756</v>
      </c>
      <c r="E1016" t="s">
        <v>3754</v>
      </c>
      <c r="F1016" t="s">
        <v>28</v>
      </c>
      <c r="G1016" t="s">
        <v>3754</v>
      </c>
      <c r="H1016" t="str">
        <f>"nog-1"</f>
        <v>nog-1</v>
      </c>
      <c r="I1016" t="s">
        <v>3756</v>
      </c>
      <c r="J1016">
        <v>17.008611399806998</v>
      </c>
      <c r="K1016">
        <v>16.988339557515499</v>
      </c>
      <c r="L1016">
        <v>17.1012997203254</v>
      </c>
      <c r="M1016">
        <v>16.121620211090001</v>
      </c>
      <c r="N1016">
        <v>16.3541972279946</v>
      </c>
      <c r="O1016">
        <v>16.411504070012999</v>
      </c>
      <c r="P1016">
        <v>-0.73697638951675903</v>
      </c>
      <c r="Q1016">
        <v>-1.06881158739708</v>
      </c>
      <c r="R1016">
        <v>-0.40514119163643603</v>
      </c>
      <c r="S1016">
        <v>17.187004493344901</v>
      </c>
      <c r="T1016">
        <v>-4.6679225093383199</v>
      </c>
      <c r="U1016">
        <v>0.29973034188483699</v>
      </c>
      <c r="V1016">
        <v>1.94242245423864E-4</v>
      </c>
      <c r="W1016">
        <v>2.8043615794078598E-3</v>
      </c>
      <c r="X1016">
        <v>0</v>
      </c>
      <c r="Y1016">
        <v>0</v>
      </c>
    </row>
    <row r="1017" spans="1:25" x14ac:dyDescent="0.2">
      <c r="A1017" t="s">
        <v>3757</v>
      </c>
      <c r="B1017" t="s">
        <v>3758</v>
      </c>
      <c r="C1017" t="s">
        <v>3759</v>
      </c>
      <c r="D1017" t="s">
        <v>3760</v>
      </c>
      <c r="E1017" t="s">
        <v>3758</v>
      </c>
      <c r="F1017" t="s">
        <v>28</v>
      </c>
      <c r="G1017" t="s">
        <v>3758</v>
      </c>
      <c r="H1017" t="str">
        <f>"uncp-18"</f>
        <v>uncp-18</v>
      </c>
      <c r="I1017" t="s">
        <v>3760</v>
      </c>
      <c r="J1017">
        <v>12.498489480841901</v>
      </c>
      <c r="K1017">
        <v>12.618056337634201</v>
      </c>
      <c r="L1017">
        <v>12.804058236549</v>
      </c>
      <c r="M1017" t="s">
        <v>29</v>
      </c>
      <c r="N1017">
        <v>12.293902414297399</v>
      </c>
      <c r="O1017">
        <v>13.5353677974839</v>
      </c>
      <c r="P1017">
        <v>0.27443375421560401</v>
      </c>
      <c r="Q1017">
        <v>-0.32178445231222302</v>
      </c>
      <c r="R1017">
        <v>0.87065196074342999</v>
      </c>
      <c r="S1017">
        <v>12.754918700132301</v>
      </c>
      <c r="T1017">
        <v>0.97158836655577896</v>
      </c>
      <c r="U1017">
        <v>-6.5627326709663798</v>
      </c>
      <c r="V1017">
        <v>0.34496089918296602</v>
      </c>
      <c r="W1017">
        <v>0.51551712469178601</v>
      </c>
      <c r="X1017">
        <v>0</v>
      </c>
      <c r="Y1017">
        <v>0</v>
      </c>
    </row>
    <row r="1018" spans="1:25" x14ac:dyDescent="0.2">
      <c r="A1018" t="s">
        <v>3761</v>
      </c>
      <c r="B1018" t="s">
        <v>3762</v>
      </c>
      <c r="C1018" t="s">
        <v>3763</v>
      </c>
      <c r="D1018" t="s">
        <v>1027</v>
      </c>
      <c r="E1018" t="s">
        <v>3762</v>
      </c>
      <c r="F1018" t="s">
        <v>28</v>
      </c>
      <c r="G1018" t="s">
        <v>3762</v>
      </c>
      <c r="H1018" t="str">
        <f>"otub-4"</f>
        <v>otub-4</v>
      </c>
      <c r="I1018" t="s">
        <v>1027</v>
      </c>
      <c r="J1018" t="s">
        <v>29</v>
      </c>
      <c r="K1018" t="s">
        <v>29</v>
      </c>
      <c r="L1018" t="s">
        <v>29</v>
      </c>
      <c r="M1018" t="s">
        <v>29</v>
      </c>
      <c r="N1018" t="s">
        <v>29</v>
      </c>
      <c r="O1018" t="s">
        <v>29</v>
      </c>
      <c r="P1018" t="s">
        <v>29</v>
      </c>
      <c r="Q1018" t="s">
        <v>29</v>
      </c>
      <c r="R1018" t="s">
        <v>29</v>
      </c>
      <c r="S1018">
        <v>11.697316816903699</v>
      </c>
      <c r="T1018" t="s">
        <v>29</v>
      </c>
      <c r="U1018" t="s">
        <v>29</v>
      </c>
      <c r="V1018" t="s">
        <v>29</v>
      </c>
      <c r="W1018" t="s">
        <v>29</v>
      </c>
      <c r="X1018" t="s">
        <v>29</v>
      </c>
      <c r="Y1018" t="s">
        <v>29</v>
      </c>
    </row>
    <row r="1019" spans="1:25" x14ac:dyDescent="0.2">
      <c r="A1019" t="s">
        <v>3764</v>
      </c>
      <c r="B1019" t="s">
        <v>3765</v>
      </c>
      <c r="C1019" t="s">
        <v>3766</v>
      </c>
      <c r="D1019" t="s">
        <v>3767</v>
      </c>
      <c r="E1019" t="s">
        <v>3765</v>
      </c>
      <c r="F1019" t="s">
        <v>28</v>
      </c>
      <c r="G1019" t="s">
        <v>3765</v>
      </c>
      <c r="H1019" t="str">
        <f>"mai-2"</f>
        <v>mai-2</v>
      </c>
      <c r="I1019" t="s">
        <v>3767</v>
      </c>
      <c r="J1019">
        <v>13.499281728334401</v>
      </c>
      <c r="K1019">
        <v>13.6376845996529</v>
      </c>
      <c r="L1019">
        <v>13.5241742944226</v>
      </c>
      <c r="M1019" t="s">
        <v>29</v>
      </c>
      <c r="N1019" t="s">
        <v>29</v>
      </c>
      <c r="O1019">
        <v>13.4798518827325</v>
      </c>
      <c r="P1019">
        <v>-7.3861658070816502E-2</v>
      </c>
      <c r="Q1019">
        <v>-1.41853877851848</v>
      </c>
      <c r="R1019">
        <v>1.2708154623768499</v>
      </c>
      <c r="S1019">
        <v>13.369938038155301</v>
      </c>
      <c r="T1019">
        <v>-0.121039948565367</v>
      </c>
      <c r="U1019">
        <v>-6.8048030841602296</v>
      </c>
      <c r="V1019">
        <v>0.90586282362718296</v>
      </c>
      <c r="W1019">
        <v>0.94364713369717501</v>
      </c>
      <c r="X1019">
        <v>0</v>
      </c>
      <c r="Y1019">
        <v>0</v>
      </c>
    </row>
    <row r="1020" spans="1:25" x14ac:dyDescent="0.2">
      <c r="A1020" t="s">
        <v>3768</v>
      </c>
      <c r="B1020" t="s">
        <v>3769</v>
      </c>
      <c r="C1020" t="s">
        <v>14355</v>
      </c>
      <c r="D1020" t="s">
        <v>3770</v>
      </c>
      <c r="E1020" t="s">
        <v>3769</v>
      </c>
      <c r="F1020" t="s">
        <v>28</v>
      </c>
      <c r="G1020" t="s">
        <v>3771</v>
      </c>
      <c r="H1020" t="str">
        <f>"C02B10.6"</f>
        <v>C02B10.6</v>
      </c>
      <c r="I1020" t="s">
        <v>3770</v>
      </c>
      <c r="J1020">
        <v>11.4357660103262</v>
      </c>
      <c r="K1020" t="s">
        <v>29</v>
      </c>
      <c r="L1020">
        <v>11.0429678068865</v>
      </c>
      <c r="M1020" t="s">
        <v>29</v>
      </c>
      <c r="N1020" t="s">
        <v>29</v>
      </c>
      <c r="O1020" t="s">
        <v>29</v>
      </c>
      <c r="P1020" t="s">
        <v>29</v>
      </c>
      <c r="Q1020" t="s">
        <v>29</v>
      </c>
      <c r="R1020" t="s">
        <v>29</v>
      </c>
      <c r="S1020">
        <v>10.989314056234299</v>
      </c>
      <c r="T1020" t="s">
        <v>29</v>
      </c>
      <c r="U1020" t="s">
        <v>29</v>
      </c>
      <c r="V1020" t="s">
        <v>29</v>
      </c>
      <c r="W1020" t="s">
        <v>29</v>
      </c>
      <c r="X1020" t="s">
        <v>29</v>
      </c>
      <c r="Y1020" t="s">
        <v>29</v>
      </c>
    </row>
    <row r="1021" spans="1:25" x14ac:dyDescent="0.2">
      <c r="A1021" t="s">
        <v>3772</v>
      </c>
      <c r="B1021" t="s">
        <v>3773</v>
      </c>
      <c r="C1021" t="s">
        <v>3774</v>
      </c>
      <c r="D1021" t="s">
        <v>3775</v>
      </c>
      <c r="E1021" t="s">
        <v>3773</v>
      </c>
      <c r="F1021" t="s">
        <v>28</v>
      </c>
      <c r="G1021" t="s">
        <v>3773</v>
      </c>
      <c r="H1021" t="str">
        <f>"pdhb-1"</f>
        <v>pdhb-1</v>
      </c>
      <c r="I1021" t="s">
        <v>3775</v>
      </c>
      <c r="J1021">
        <v>17.2267606051809</v>
      </c>
      <c r="K1021">
        <v>16.7443996130187</v>
      </c>
      <c r="L1021">
        <v>16.932159245256301</v>
      </c>
      <c r="M1021">
        <v>17.322628911555402</v>
      </c>
      <c r="N1021">
        <v>16.486476013310899</v>
      </c>
      <c r="O1021">
        <v>16.690114481874399</v>
      </c>
      <c r="P1021">
        <v>-0.13470001890508601</v>
      </c>
      <c r="Q1021">
        <v>-0.53969017792212604</v>
      </c>
      <c r="R1021">
        <v>0.27029014011195501</v>
      </c>
      <c r="S1021">
        <v>16.799018796150399</v>
      </c>
      <c r="T1021">
        <v>-0.699062007068456</v>
      </c>
      <c r="U1021">
        <v>-6.9033019460173302</v>
      </c>
      <c r="V1021">
        <v>0.49349993731702702</v>
      </c>
      <c r="W1021">
        <v>0.65030264391673598</v>
      </c>
      <c r="X1021">
        <v>0</v>
      </c>
      <c r="Y1021">
        <v>0</v>
      </c>
    </row>
    <row r="1022" spans="1:25" x14ac:dyDescent="0.2">
      <c r="A1022" t="s">
        <v>3776</v>
      </c>
      <c r="B1022" t="s">
        <v>3777</v>
      </c>
      <c r="C1022" t="s">
        <v>3778</v>
      </c>
      <c r="D1022" t="s">
        <v>3779</v>
      </c>
      <c r="E1022" t="s">
        <v>3777</v>
      </c>
      <c r="F1022" t="s">
        <v>28</v>
      </c>
      <c r="G1022" t="s">
        <v>3777</v>
      </c>
      <c r="H1022" t="str">
        <f>"timm-17B.1"</f>
        <v>timm-17B.1</v>
      </c>
      <c r="I1022" t="s">
        <v>3779</v>
      </c>
      <c r="J1022" t="s">
        <v>29</v>
      </c>
      <c r="K1022" t="s">
        <v>29</v>
      </c>
      <c r="L1022" t="s">
        <v>29</v>
      </c>
      <c r="M1022" t="s">
        <v>29</v>
      </c>
      <c r="N1022" t="s">
        <v>29</v>
      </c>
      <c r="O1022" t="s">
        <v>29</v>
      </c>
      <c r="P1022" t="s">
        <v>29</v>
      </c>
      <c r="Q1022" t="s">
        <v>29</v>
      </c>
      <c r="R1022" t="s">
        <v>29</v>
      </c>
      <c r="S1022">
        <v>11.0481937513463</v>
      </c>
      <c r="T1022" t="s">
        <v>29</v>
      </c>
      <c r="U1022" t="s">
        <v>29</v>
      </c>
      <c r="V1022" t="s">
        <v>29</v>
      </c>
      <c r="W1022" t="s">
        <v>29</v>
      </c>
      <c r="X1022" t="s">
        <v>29</v>
      </c>
      <c r="Y1022" t="s">
        <v>29</v>
      </c>
    </row>
    <row r="1023" spans="1:25" x14ac:dyDescent="0.2">
      <c r="A1023" t="s">
        <v>3780</v>
      </c>
      <c r="B1023" t="s">
        <v>3781</v>
      </c>
      <c r="C1023" t="s">
        <v>3782</v>
      </c>
      <c r="D1023" t="s">
        <v>3783</v>
      </c>
      <c r="E1023" t="s">
        <v>3781</v>
      </c>
      <c r="F1023" t="s">
        <v>28</v>
      </c>
      <c r="G1023" t="s">
        <v>3781</v>
      </c>
      <c r="H1023" t="str">
        <f>"rpl-20"</f>
        <v>rpl-20</v>
      </c>
      <c r="I1023" t="s">
        <v>3783</v>
      </c>
      <c r="J1023">
        <v>19.037997013121</v>
      </c>
      <c r="K1023">
        <v>19.104695640155999</v>
      </c>
      <c r="L1023">
        <v>19.2521448097548</v>
      </c>
      <c r="M1023">
        <v>18.155373856049</v>
      </c>
      <c r="N1023">
        <v>18.058909978782498</v>
      </c>
      <c r="O1023">
        <v>18.062666216167901</v>
      </c>
      <c r="P1023">
        <v>-1.03929580401082</v>
      </c>
      <c r="Q1023">
        <v>-1.4163383408702299</v>
      </c>
      <c r="R1023">
        <v>-0.66225326715140698</v>
      </c>
      <c r="S1023">
        <v>18.846977136099099</v>
      </c>
      <c r="T1023">
        <v>-5.7935043610685097</v>
      </c>
      <c r="U1023">
        <v>2.71783187686815</v>
      </c>
      <c r="V1023" s="2">
        <v>1.7650243198419399E-5</v>
      </c>
      <c r="W1023">
        <v>4.5519084739580301E-4</v>
      </c>
      <c r="X1023">
        <v>-1</v>
      </c>
      <c r="Y1023">
        <v>-1</v>
      </c>
    </row>
    <row r="1024" spans="1:25" x14ac:dyDescent="0.2">
      <c r="A1024" t="s">
        <v>3784</v>
      </c>
      <c r="B1024" t="s">
        <v>3785</v>
      </c>
      <c r="C1024" t="s">
        <v>3786</v>
      </c>
      <c r="D1024" t="s">
        <v>3787</v>
      </c>
      <c r="E1024" t="s">
        <v>3785</v>
      </c>
      <c r="F1024" t="s">
        <v>28</v>
      </c>
      <c r="G1024" t="s">
        <v>3785</v>
      </c>
      <c r="H1024" t="str">
        <f>"elks-1"</f>
        <v>elks-1</v>
      </c>
      <c r="I1024" t="s">
        <v>3787</v>
      </c>
      <c r="J1024">
        <v>14.489309468111101</v>
      </c>
      <c r="K1024">
        <v>13.706102280461</v>
      </c>
      <c r="L1024">
        <v>12.18180380503</v>
      </c>
      <c r="M1024">
        <v>16.561015222524901</v>
      </c>
      <c r="N1024">
        <v>16.2042312682456</v>
      </c>
      <c r="O1024">
        <v>12.9388592917115</v>
      </c>
      <c r="P1024">
        <v>1.7756300762932899</v>
      </c>
      <c r="Q1024">
        <v>0.17384934694766099</v>
      </c>
      <c r="R1024">
        <v>3.3774108056389198</v>
      </c>
      <c r="S1024">
        <v>13.207182786229501</v>
      </c>
      <c r="T1024">
        <v>2.32992499991171</v>
      </c>
      <c r="U1024">
        <v>-4.6703306018994102</v>
      </c>
      <c r="V1024">
        <v>3.1721417047825197E-2</v>
      </c>
      <c r="W1024">
        <v>0.10041140283559701</v>
      </c>
      <c r="X1024">
        <v>1</v>
      </c>
      <c r="Y1024">
        <v>0</v>
      </c>
    </row>
    <row r="1025" spans="1:25" x14ac:dyDescent="0.2">
      <c r="A1025" t="s">
        <v>3788</v>
      </c>
      <c r="B1025" t="s">
        <v>3789</v>
      </c>
      <c r="C1025" t="s">
        <v>3790</v>
      </c>
      <c r="D1025" t="s">
        <v>561</v>
      </c>
      <c r="E1025" t="s">
        <v>3789</v>
      </c>
      <c r="F1025" t="s">
        <v>28</v>
      </c>
      <c r="G1025" t="s">
        <v>3789</v>
      </c>
      <c r="H1025" t="str">
        <f>"lgc-22"</f>
        <v>lgc-22</v>
      </c>
      <c r="I1025" t="s">
        <v>561</v>
      </c>
      <c r="J1025">
        <v>12.930316244160601</v>
      </c>
      <c r="K1025">
        <v>13.141523883374999</v>
      </c>
      <c r="L1025">
        <v>12.6622751077904</v>
      </c>
      <c r="M1025" t="s">
        <v>29</v>
      </c>
      <c r="N1025" t="s">
        <v>29</v>
      </c>
      <c r="O1025">
        <v>12.9693747420169</v>
      </c>
      <c r="P1025">
        <v>5.8002996908211202E-2</v>
      </c>
      <c r="Q1025">
        <v>-0.60303086241630699</v>
      </c>
      <c r="R1025">
        <v>0.71903685623272995</v>
      </c>
      <c r="S1025">
        <v>13.0038902128526</v>
      </c>
      <c r="T1025">
        <v>0.18714073626963501</v>
      </c>
      <c r="U1025">
        <v>-6.7942575861646404</v>
      </c>
      <c r="V1025">
        <v>0.85407554069373803</v>
      </c>
      <c r="W1025">
        <v>0.90777950544347796</v>
      </c>
      <c r="X1025">
        <v>0</v>
      </c>
      <c r="Y1025">
        <v>0</v>
      </c>
    </row>
    <row r="1026" spans="1:25" x14ac:dyDescent="0.2">
      <c r="A1026" t="s">
        <v>3791</v>
      </c>
      <c r="B1026" t="s">
        <v>3792</v>
      </c>
      <c r="C1026" t="s">
        <v>3793</v>
      </c>
      <c r="D1026" t="s">
        <v>3794</v>
      </c>
      <c r="E1026" t="s">
        <v>3792</v>
      </c>
      <c r="F1026" t="s">
        <v>28</v>
      </c>
      <c r="G1026" t="s">
        <v>3792</v>
      </c>
      <c r="H1026" t="str">
        <f>"set-9"</f>
        <v>set-9</v>
      </c>
      <c r="I1026" t="s">
        <v>3794</v>
      </c>
      <c r="J1026">
        <v>12.471112187057599</v>
      </c>
      <c r="K1026">
        <v>11.9973061549522</v>
      </c>
      <c r="L1026">
        <v>12.724647686349799</v>
      </c>
      <c r="M1026" t="s">
        <v>29</v>
      </c>
      <c r="N1026" t="s">
        <v>29</v>
      </c>
      <c r="O1026" t="s">
        <v>29</v>
      </c>
      <c r="P1026" t="s">
        <v>29</v>
      </c>
      <c r="Q1026" t="s">
        <v>29</v>
      </c>
      <c r="R1026" t="s">
        <v>29</v>
      </c>
      <c r="S1026">
        <v>12.4050794263902</v>
      </c>
      <c r="T1026" t="s">
        <v>29</v>
      </c>
      <c r="U1026" t="s">
        <v>29</v>
      </c>
      <c r="V1026" t="s">
        <v>29</v>
      </c>
      <c r="W1026" t="s">
        <v>29</v>
      </c>
      <c r="X1026" t="s">
        <v>29</v>
      </c>
      <c r="Y1026" t="s">
        <v>29</v>
      </c>
    </row>
    <row r="1027" spans="1:25" x14ac:dyDescent="0.2">
      <c r="A1027" t="s">
        <v>3795</v>
      </c>
      <c r="B1027" t="s">
        <v>3796</v>
      </c>
      <c r="C1027" t="s">
        <v>3797</v>
      </c>
      <c r="D1027" t="s">
        <v>3798</v>
      </c>
      <c r="E1027" t="s">
        <v>3796</v>
      </c>
      <c r="F1027" t="s">
        <v>28</v>
      </c>
      <c r="G1027" t="s">
        <v>3796</v>
      </c>
      <c r="H1027" t="str">
        <f>"gtf-2h1"</f>
        <v>gtf-2h1</v>
      </c>
      <c r="I1027" t="s">
        <v>3798</v>
      </c>
      <c r="J1027" t="s">
        <v>29</v>
      </c>
      <c r="K1027">
        <v>11.3451562960771</v>
      </c>
      <c r="L1027">
        <v>10.5061151522602</v>
      </c>
      <c r="M1027" t="s">
        <v>29</v>
      </c>
      <c r="N1027" t="s">
        <v>29</v>
      </c>
      <c r="O1027" t="s">
        <v>29</v>
      </c>
      <c r="P1027" t="s">
        <v>29</v>
      </c>
      <c r="Q1027" t="s">
        <v>29</v>
      </c>
      <c r="R1027" t="s">
        <v>29</v>
      </c>
      <c r="S1027">
        <v>10.896836982815101</v>
      </c>
      <c r="T1027" t="s">
        <v>29</v>
      </c>
      <c r="U1027" t="s">
        <v>29</v>
      </c>
      <c r="V1027" t="s">
        <v>29</v>
      </c>
      <c r="W1027" t="s">
        <v>29</v>
      </c>
      <c r="X1027" t="s">
        <v>29</v>
      </c>
      <c r="Y1027" t="s">
        <v>29</v>
      </c>
    </row>
    <row r="1028" spans="1:25" x14ac:dyDescent="0.2">
      <c r="A1028" t="s">
        <v>3799</v>
      </c>
      <c r="B1028" t="s">
        <v>3800</v>
      </c>
      <c r="C1028" t="s">
        <v>3801</v>
      </c>
      <c r="D1028" t="s">
        <v>3802</v>
      </c>
      <c r="E1028" t="s">
        <v>3800</v>
      </c>
      <c r="F1028" t="s">
        <v>28</v>
      </c>
      <c r="G1028" t="s">
        <v>3800</v>
      </c>
      <c r="H1028" t="str">
        <f>"ints-13"</f>
        <v>ints-13</v>
      </c>
      <c r="I1028" t="s">
        <v>3802</v>
      </c>
      <c r="J1028">
        <v>11.2860287880132</v>
      </c>
      <c r="K1028">
        <v>11.719430264999801</v>
      </c>
      <c r="L1028">
        <v>11.7104781885118</v>
      </c>
      <c r="M1028">
        <v>12.226563971614601</v>
      </c>
      <c r="N1028">
        <v>10.5705860093813</v>
      </c>
      <c r="O1028">
        <v>10.7762230747202</v>
      </c>
      <c r="P1028">
        <v>-0.38085472860290398</v>
      </c>
      <c r="Q1028">
        <v>-1.0767269529241801</v>
      </c>
      <c r="R1028">
        <v>0.31501749571837101</v>
      </c>
      <c r="S1028">
        <v>11.616568542343799</v>
      </c>
      <c r="T1028">
        <v>-1.1552603370613499</v>
      </c>
      <c r="U1028">
        <v>-6.4802332887861702</v>
      </c>
      <c r="V1028">
        <v>0.26406166349163102</v>
      </c>
      <c r="W1028">
        <v>0.431211714978533</v>
      </c>
      <c r="X1028">
        <v>0</v>
      </c>
      <c r="Y1028">
        <v>0</v>
      </c>
    </row>
    <row r="1029" spans="1:25" x14ac:dyDescent="0.2">
      <c r="A1029" t="s">
        <v>3803</v>
      </c>
      <c r="B1029" t="s">
        <v>3804</v>
      </c>
      <c r="C1029" t="s">
        <v>3805</v>
      </c>
      <c r="D1029" t="s">
        <v>3806</v>
      </c>
      <c r="E1029" t="s">
        <v>3804</v>
      </c>
      <c r="F1029" t="s">
        <v>28</v>
      </c>
      <c r="G1029" t="s">
        <v>3804</v>
      </c>
      <c r="H1029" t="str">
        <f>"cogc-8"</f>
        <v>cogc-8</v>
      </c>
      <c r="I1029" t="s">
        <v>3806</v>
      </c>
      <c r="J1029">
        <v>11.5378934767988</v>
      </c>
      <c r="K1029">
        <v>12.455456303284601</v>
      </c>
      <c r="L1029">
        <v>11.5320095853906</v>
      </c>
      <c r="M1029">
        <v>15.551780495257301</v>
      </c>
      <c r="N1029">
        <v>15.799663346123401</v>
      </c>
      <c r="O1029">
        <v>16.159528257077501</v>
      </c>
      <c r="P1029">
        <v>3.9952042443280602</v>
      </c>
      <c r="Q1029">
        <v>3.10761902620319</v>
      </c>
      <c r="R1029">
        <v>4.8827894624529398</v>
      </c>
      <c r="S1029">
        <v>14.228035965221601</v>
      </c>
      <c r="T1029">
        <v>9.4606600807878092</v>
      </c>
      <c r="U1029">
        <v>9.4963360380991393</v>
      </c>
      <c r="V1029" s="2">
        <v>2.1940329801019499E-8</v>
      </c>
      <c r="W1029" s="2">
        <v>2.0205672476126399E-6</v>
      </c>
      <c r="X1029">
        <v>1</v>
      </c>
      <c r="Y1029">
        <v>1</v>
      </c>
    </row>
    <row r="1030" spans="1:25" x14ac:dyDescent="0.2">
      <c r="A1030" t="s">
        <v>3807</v>
      </c>
      <c r="B1030" t="s">
        <v>3808</v>
      </c>
      <c r="C1030" t="s">
        <v>14356</v>
      </c>
      <c r="D1030" t="s">
        <v>130</v>
      </c>
      <c r="E1030" t="s">
        <v>3808</v>
      </c>
      <c r="F1030" t="s">
        <v>28</v>
      </c>
      <c r="G1030" t="s">
        <v>3808</v>
      </c>
      <c r="H1030" t="str">
        <f>"R02D3.7"</f>
        <v>R02D3.7</v>
      </c>
      <c r="I1030" t="s">
        <v>130</v>
      </c>
      <c r="J1030" t="s">
        <v>29</v>
      </c>
      <c r="K1030" t="s">
        <v>29</v>
      </c>
      <c r="L1030" t="s">
        <v>29</v>
      </c>
      <c r="M1030" t="s">
        <v>29</v>
      </c>
      <c r="N1030" t="s">
        <v>29</v>
      </c>
      <c r="O1030" t="s">
        <v>29</v>
      </c>
      <c r="P1030" t="s">
        <v>29</v>
      </c>
      <c r="Q1030" t="s">
        <v>29</v>
      </c>
      <c r="R1030" t="s">
        <v>29</v>
      </c>
      <c r="S1030">
        <v>12.1187143136556</v>
      </c>
      <c r="T1030" t="s">
        <v>29</v>
      </c>
      <c r="U1030" t="s">
        <v>29</v>
      </c>
      <c r="V1030" t="s">
        <v>29</v>
      </c>
      <c r="W1030" t="s">
        <v>29</v>
      </c>
      <c r="X1030" t="s">
        <v>29</v>
      </c>
      <c r="Y1030" t="s">
        <v>29</v>
      </c>
    </row>
    <row r="1031" spans="1:25" x14ac:dyDescent="0.2">
      <c r="A1031" t="s">
        <v>3809</v>
      </c>
      <c r="B1031" t="s">
        <v>3810</v>
      </c>
      <c r="C1031" t="s">
        <v>3811</v>
      </c>
      <c r="D1031" t="s">
        <v>3812</v>
      </c>
      <c r="E1031" t="s">
        <v>3810</v>
      </c>
      <c r="F1031" t="s">
        <v>28</v>
      </c>
      <c r="G1031" t="s">
        <v>3810</v>
      </c>
      <c r="H1031" t="str">
        <f>"ndub-11"</f>
        <v>ndub-11</v>
      </c>
      <c r="I1031" t="s">
        <v>3812</v>
      </c>
      <c r="J1031" t="s">
        <v>29</v>
      </c>
      <c r="K1031" t="s">
        <v>29</v>
      </c>
      <c r="L1031">
        <v>12.536884981087701</v>
      </c>
      <c r="M1031" t="s">
        <v>29</v>
      </c>
      <c r="N1031" t="s">
        <v>29</v>
      </c>
      <c r="O1031" t="s">
        <v>29</v>
      </c>
      <c r="P1031" t="s">
        <v>29</v>
      </c>
      <c r="Q1031" t="s">
        <v>29</v>
      </c>
      <c r="R1031" t="s">
        <v>29</v>
      </c>
      <c r="S1031">
        <v>11.8695201377593</v>
      </c>
      <c r="T1031" t="s">
        <v>29</v>
      </c>
      <c r="U1031" t="s">
        <v>29</v>
      </c>
      <c r="V1031" t="s">
        <v>29</v>
      </c>
      <c r="W1031" t="s">
        <v>29</v>
      </c>
      <c r="X1031" t="s">
        <v>29</v>
      </c>
      <c r="Y1031" t="s">
        <v>29</v>
      </c>
    </row>
    <row r="1032" spans="1:25" x14ac:dyDescent="0.2">
      <c r="A1032" t="s">
        <v>3813</v>
      </c>
      <c r="B1032" t="s">
        <v>3814</v>
      </c>
      <c r="C1032" t="s">
        <v>3815</v>
      </c>
      <c r="D1032" t="s">
        <v>3816</v>
      </c>
      <c r="E1032" t="s">
        <v>3814</v>
      </c>
      <c r="F1032" t="s">
        <v>28</v>
      </c>
      <c r="G1032" t="s">
        <v>3814</v>
      </c>
      <c r="H1032" t="str">
        <f>"moc-3"</f>
        <v>moc-3</v>
      </c>
      <c r="I1032" t="s">
        <v>3816</v>
      </c>
      <c r="J1032" t="s">
        <v>29</v>
      </c>
      <c r="K1032" t="s">
        <v>29</v>
      </c>
      <c r="L1032" t="s">
        <v>29</v>
      </c>
      <c r="M1032" t="s">
        <v>29</v>
      </c>
      <c r="N1032" t="s">
        <v>29</v>
      </c>
      <c r="O1032" t="s">
        <v>29</v>
      </c>
      <c r="P1032" t="s">
        <v>29</v>
      </c>
      <c r="Q1032" t="s">
        <v>29</v>
      </c>
      <c r="R1032" t="s">
        <v>29</v>
      </c>
      <c r="S1032">
        <v>12.354848009810899</v>
      </c>
      <c r="T1032" t="s">
        <v>29</v>
      </c>
      <c r="U1032" t="s">
        <v>29</v>
      </c>
      <c r="V1032" t="s">
        <v>29</v>
      </c>
      <c r="W1032" t="s">
        <v>29</v>
      </c>
      <c r="X1032" t="s">
        <v>29</v>
      </c>
      <c r="Y1032" t="s">
        <v>29</v>
      </c>
    </row>
    <row r="1033" spans="1:25" x14ac:dyDescent="0.2">
      <c r="A1033" t="s">
        <v>3817</v>
      </c>
      <c r="B1033" t="s">
        <v>3818</v>
      </c>
      <c r="C1033" t="s">
        <v>3819</v>
      </c>
      <c r="D1033" t="s">
        <v>3820</v>
      </c>
      <c r="E1033" t="s">
        <v>3818</v>
      </c>
      <c r="F1033" t="s">
        <v>28</v>
      </c>
      <c r="G1033" t="s">
        <v>3818</v>
      </c>
      <c r="H1033" t="str">
        <f>"isp-1"</f>
        <v>isp-1</v>
      </c>
      <c r="I1033" t="s">
        <v>3820</v>
      </c>
      <c r="J1033">
        <v>12.8574796039482</v>
      </c>
      <c r="K1033">
        <v>13.7140990753101</v>
      </c>
      <c r="L1033">
        <v>13.269586151714901</v>
      </c>
      <c r="M1033" t="s">
        <v>29</v>
      </c>
      <c r="N1033">
        <v>15.522763275983699</v>
      </c>
      <c r="O1033">
        <v>13.9602168485468</v>
      </c>
      <c r="P1033">
        <v>1.4611017852742101</v>
      </c>
      <c r="Q1033">
        <v>0.36701779155648601</v>
      </c>
      <c r="R1033">
        <v>2.5551857789919401</v>
      </c>
      <c r="S1033">
        <v>13.2507651345909</v>
      </c>
      <c r="T1033">
        <v>2.8189009769656899</v>
      </c>
      <c r="U1033">
        <v>-3.6275981611483199</v>
      </c>
      <c r="V1033">
        <v>1.18769513835961E-2</v>
      </c>
      <c r="W1033">
        <v>5.1143688618324697E-2</v>
      </c>
      <c r="X1033">
        <v>1</v>
      </c>
      <c r="Y1033">
        <v>1</v>
      </c>
    </row>
    <row r="1034" spans="1:25" x14ac:dyDescent="0.2">
      <c r="A1034" t="s">
        <v>3821</v>
      </c>
      <c r="B1034" t="s">
        <v>3822</v>
      </c>
      <c r="C1034" t="s">
        <v>3823</v>
      </c>
      <c r="D1034" t="s">
        <v>3824</v>
      </c>
      <c r="E1034" t="s">
        <v>3822</v>
      </c>
      <c r="F1034" t="s">
        <v>28</v>
      </c>
      <c r="G1034" t="s">
        <v>3822</v>
      </c>
      <c r="H1034" t="str">
        <f>"pmk-3"</f>
        <v>pmk-3</v>
      </c>
      <c r="I1034" t="s">
        <v>3824</v>
      </c>
      <c r="J1034">
        <v>12.263427046489401</v>
      </c>
      <c r="K1034">
        <v>12.3285046598952</v>
      </c>
      <c r="L1034">
        <v>12.7281703103063</v>
      </c>
      <c r="M1034" t="s">
        <v>29</v>
      </c>
      <c r="N1034">
        <v>13.662478447461799</v>
      </c>
      <c r="O1034">
        <v>13.248684556492</v>
      </c>
      <c r="P1034">
        <v>1.01554749641325</v>
      </c>
      <c r="Q1034">
        <v>0.43059742140671498</v>
      </c>
      <c r="R1034">
        <v>1.60049757141978</v>
      </c>
      <c r="S1034">
        <v>12.861038372152199</v>
      </c>
      <c r="T1034">
        <v>3.6824000574873001</v>
      </c>
      <c r="U1034">
        <v>-1.88799043228698</v>
      </c>
      <c r="V1034">
        <v>2.03540473662686E-3</v>
      </c>
      <c r="W1034">
        <v>1.47379306113989E-2</v>
      </c>
      <c r="X1034">
        <v>1</v>
      </c>
      <c r="Y1034">
        <v>1</v>
      </c>
    </row>
    <row r="1035" spans="1:25" x14ac:dyDescent="0.2">
      <c r="A1035" t="s">
        <v>3825</v>
      </c>
      <c r="B1035" t="s">
        <v>3826</v>
      </c>
      <c r="C1035" t="s">
        <v>3827</v>
      </c>
      <c r="D1035" t="s">
        <v>3828</v>
      </c>
      <c r="E1035" t="s">
        <v>3826</v>
      </c>
      <c r="F1035" t="s">
        <v>28</v>
      </c>
      <c r="G1035" t="s">
        <v>3826</v>
      </c>
      <c r="H1035" t="str">
        <f>"gex-2"</f>
        <v>gex-2</v>
      </c>
      <c r="I1035" t="s">
        <v>3828</v>
      </c>
      <c r="J1035">
        <v>13.303024858903999</v>
      </c>
      <c r="K1035">
        <v>13.427118399077701</v>
      </c>
      <c r="L1035">
        <v>13.3619028410845</v>
      </c>
      <c r="M1035" t="s">
        <v>29</v>
      </c>
      <c r="N1035" t="s">
        <v>29</v>
      </c>
      <c r="O1035">
        <v>12.9451555542307</v>
      </c>
      <c r="P1035">
        <v>-0.418859812124731</v>
      </c>
      <c r="Q1035">
        <v>-1.04391454743442</v>
      </c>
      <c r="R1035">
        <v>0.206194923184955</v>
      </c>
      <c r="S1035">
        <v>13.538644112088299</v>
      </c>
      <c r="T1035">
        <v>-1.42134718507411</v>
      </c>
      <c r="U1035">
        <v>-5.8147037397994401</v>
      </c>
      <c r="V1035">
        <v>0.17453866642431101</v>
      </c>
      <c r="W1035">
        <v>0.326996471679876</v>
      </c>
      <c r="X1035">
        <v>0</v>
      </c>
      <c r="Y1035">
        <v>0</v>
      </c>
    </row>
    <row r="1036" spans="1:25" x14ac:dyDescent="0.2">
      <c r="A1036" t="s">
        <v>3829</v>
      </c>
      <c r="B1036" t="s">
        <v>3830</v>
      </c>
      <c r="C1036" t="s">
        <v>3831</v>
      </c>
      <c r="D1036" t="s">
        <v>3832</v>
      </c>
      <c r="E1036" t="s">
        <v>3830</v>
      </c>
      <c r="F1036" t="s">
        <v>28</v>
      </c>
      <c r="G1036" t="s">
        <v>3830</v>
      </c>
      <c r="H1036" t="str">
        <f>"knl-2"</f>
        <v>knl-2</v>
      </c>
      <c r="I1036" t="s">
        <v>3832</v>
      </c>
      <c r="J1036">
        <v>13.099377341055501</v>
      </c>
      <c r="K1036">
        <v>13.4243573268256</v>
      </c>
      <c r="L1036">
        <v>13.7519297633705</v>
      </c>
      <c r="M1036" t="s">
        <v>29</v>
      </c>
      <c r="N1036" t="s">
        <v>29</v>
      </c>
      <c r="O1036" t="s">
        <v>29</v>
      </c>
      <c r="P1036" t="s">
        <v>29</v>
      </c>
      <c r="Q1036" t="s">
        <v>29</v>
      </c>
      <c r="R1036" t="s">
        <v>29</v>
      </c>
      <c r="S1036">
        <v>13.3721231283624</v>
      </c>
      <c r="T1036" t="s">
        <v>29</v>
      </c>
      <c r="U1036" t="s">
        <v>29</v>
      </c>
      <c r="V1036" t="s">
        <v>29</v>
      </c>
      <c r="W1036" t="s">
        <v>29</v>
      </c>
      <c r="X1036" t="s">
        <v>29</v>
      </c>
      <c r="Y1036" t="s">
        <v>29</v>
      </c>
    </row>
    <row r="1037" spans="1:25" x14ac:dyDescent="0.2">
      <c r="A1037" t="s">
        <v>3833</v>
      </c>
      <c r="B1037" t="s">
        <v>3834</v>
      </c>
      <c r="C1037" t="s">
        <v>3835</v>
      </c>
      <c r="D1037" t="s">
        <v>2306</v>
      </c>
      <c r="E1037" t="s">
        <v>3834</v>
      </c>
      <c r="F1037" t="s">
        <v>28</v>
      </c>
      <c r="G1037" t="s">
        <v>3834</v>
      </c>
      <c r="H1037" t="str">
        <f>"acdh-3"</f>
        <v>acdh-3</v>
      </c>
      <c r="I1037" t="s">
        <v>2306</v>
      </c>
      <c r="J1037">
        <v>18.436262598205101</v>
      </c>
      <c r="K1037">
        <v>18.0796970035687</v>
      </c>
      <c r="L1037">
        <v>17.983193066823699</v>
      </c>
      <c r="M1037">
        <v>17.621269613505</v>
      </c>
      <c r="N1037">
        <v>17.5375472184705</v>
      </c>
      <c r="O1037">
        <v>17.263891272545798</v>
      </c>
      <c r="P1037">
        <v>-0.69214818802538103</v>
      </c>
      <c r="Q1037">
        <v>-1.0824023125737401</v>
      </c>
      <c r="R1037">
        <v>-0.30189406347702002</v>
      </c>
      <c r="S1037">
        <v>17.470276449990699</v>
      </c>
      <c r="T1037">
        <v>-3.7277269861004001</v>
      </c>
      <c r="U1037">
        <v>-1.7708325565590699</v>
      </c>
      <c r="V1037">
        <v>1.5535276211236901E-3</v>
      </c>
      <c r="W1037">
        <v>1.24071704592182E-2</v>
      </c>
      <c r="X1037">
        <v>0</v>
      </c>
      <c r="Y1037">
        <v>0</v>
      </c>
    </row>
    <row r="1038" spans="1:25" x14ac:dyDescent="0.2">
      <c r="A1038" t="s">
        <v>3836</v>
      </c>
      <c r="B1038" t="s">
        <v>3837</v>
      </c>
      <c r="C1038" t="s">
        <v>3838</v>
      </c>
      <c r="D1038" t="s">
        <v>3839</v>
      </c>
      <c r="E1038" t="s">
        <v>3837</v>
      </c>
      <c r="F1038" t="s">
        <v>28</v>
      </c>
      <c r="G1038" t="s">
        <v>3837</v>
      </c>
      <c r="H1038" t="str">
        <f>"cdc-25.1"</f>
        <v>cdc-25.1</v>
      </c>
      <c r="I1038" t="s">
        <v>3839</v>
      </c>
      <c r="J1038" t="s">
        <v>29</v>
      </c>
      <c r="K1038" t="s">
        <v>29</v>
      </c>
      <c r="L1038" t="s">
        <v>29</v>
      </c>
      <c r="M1038" t="s">
        <v>29</v>
      </c>
      <c r="N1038" t="s">
        <v>29</v>
      </c>
      <c r="O1038" t="s">
        <v>29</v>
      </c>
      <c r="P1038" t="s">
        <v>29</v>
      </c>
      <c r="Q1038" t="s">
        <v>29</v>
      </c>
      <c r="R1038" t="s">
        <v>29</v>
      </c>
      <c r="S1038">
        <v>12.339653169018</v>
      </c>
      <c r="T1038" t="s">
        <v>29</v>
      </c>
      <c r="U1038" t="s">
        <v>29</v>
      </c>
      <c r="V1038" t="s">
        <v>29</v>
      </c>
      <c r="W1038" t="s">
        <v>29</v>
      </c>
      <c r="X1038" t="s">
        <v>29</v>
      </c>
      <c r="Y1038" t="s">
        <v>29</v>
      </c>
    </row>
    <row r="1039" spans="1:25" x14ac:dyDescent="0.2">
      <c r="A1039" t="s">
        <v>3840</v>
      </c>
      <c r="B1039" t="s">
        <v>3841</v>
      </c>
      <c r="C1039" t="s">
        <v>3842</v>
      </c>
      <c r="D1039" t="s">
        <v>3843</v>
      </c>
      <c r="E1039" t="s">
        <v>3841</v>
      </c>
      <c r="F1039" t="s">
        <v>28</v>
      </c>
      <c r="G1039" t="s">
        <v>3841</v>
      </c>
      <c r="H1039" t="str">
        <f>"lam-1"</f>
        <v>lam-1</v>
      </c>
      <c r="I1039" t="s">
        <v>3843</v>
      </c>
      <c r="J1039">
        <v>13.5894287579011</v>
      </c>
      <c r="K1039">
        <v>13.6688674226884</v>
      </c>
      <c r="L1039">
        <v>14.2842547871984</v>
      </c>
      <c r="M1039">
        <v>15.060234148737299</v>
      </c>
      <c r="N1039">
        <v>14.9449986197936</v>
      </c>
      <c r="O1039">
        <v>14.559474180763001</v>
      </c>
      <c r="P1039">
        <v>1.0073853271686799</v>
      </c>
      <c r="Q1039">
        <v>0.52480452227357099</v>
      </c>
      <c r="R1039">
        <v>1.48996613206379</v>
      </c>
      <c r="S1039">
        <v>13.725060099841301</v>
      </c>
      <c r="T1039">
        <v>4.3875097104824103</v>
      </c>
      <c r="U1039">
        <v>-0.31704878763741701</v>
      </c>
      <c r="V1039">
        <v>3.59622704482562E-4</v>
      </c>
      <c r="W1039">
        <v>4.2734197988310903E-3</v>
      </c>
      <c r="X1039">
        <v>1</v>
      </c>
      <c r="Y1039">
        <v>1</v>
      </c>
    </row>
    <row r="1040" spans="1:25" x14ac:dyDescent="0.2">
      <c r="A1040" t="s">
        <v>3844</v>
      </c>
      <c r="B1040" t="s">
        <v>3845</v>
      </c>
      <c r="C1040" t="s">
        <v>3846</v>
      </c>
      <c r="D1040" t="s">
        <v>3847</v>
      </c>
      <c r="E1040" t="s">
        <v>3845</v>
      </c>
      <c r="F1040" t="s">
        <v>28</v>
      </c>
      <c r="G1040" t="s">
        <v>3845</v>
      </c>
      <c r="H1040" t="str">
        <f>"W03F8.3"</f>
        <v>W03F8.3</v>
      </c>
      <c r="I1040" t="s">
        <v>3847</v>
      </c>
      <c r="J1040" t="s">
        <v>29</v>
      </c>
      <c r="K1040">
        <v>12.0450084351736</v>
      </c>
      <c r="L1040" t="s">
        <v>29</v>
      </c>
      <c r="M1040" t="s">
        <v>29</v>
      </c>
      <c r="N1040" t="s">
        <v>29</v>
      </c>
      <c r="O1040" t="s">
        <v>29</v>
      </c>
      <c r="P1040" t="s">
        <v>29</v>
      </c>
      <c r="Q1040" t="s">
        <v>29</v>
      </c>
      <c r="R1040" t="s">
        <v>29</v>
      </c>
      <c r="S1040">
        <v>12.9385701361988</v>
      </c>
      <c r="T1040" t="s">
        <v>29</v>
      </c>
      <c r="U1040" t="s">
        <v>29</v>
      </c>
      <c r="V1040" t="s">
        <v>29</v>
      </c>
      <c r="W1040" t="s">
        <v>29</v>
      </c>
      <c r="X1040" t="s">
        <v>29</v>
      </c>
      <c r="Y1040" t="s">
        <v>29</v>
      </c>
    </row>
    <row r="1041" spans="1:25" x14ac:dyDescent="0.2">
      <c r="A1041" t="s">
        <v>3848</v>
      </c>
      <c r="B1041" t="s">
        <v>3849</v>
      </c>
      <c r="C1041" t="s">
        <v>3850</v>
      </c>
      <c r="D1041" t="s">
        <v>3851</v>
      </c>
      <c r="E1041" t="s">
        <v>3849</v>
      </c>
      <c r="F1041" t="s">
        <v>28</v>
      </c>
      <c r="G1041" t="s">
        <v>3849</v>
      </c>
      <c r="H1041" t="str">
        <f>"swt-7"</f>
        <v>swt-7</v>
      </c>
      <c r="I1041" t="s">
        <v>3851</v>
      </c>
      <c r="J1041">
        <v>10.358988406614399</v>
      </c>
      <c r="K1041">
        <v>11.3471930255619</v>
      </c>
      <c r="L1041">
        <v>11.500284678541799</v>
      </c>
      <c r="M1041" t="s">
        <v>29</v>
      </c>
      <c r="N1041" t="s">
        <v>29</v>
      </c>
      <c r="O1041" t="s">
        <v>29</v>
      </c>
      <c r="P1041" t="s">
        <v>29</v>
      </c>
      <c r="Q1041" t="s">
        <v>29</v>
      </c>
      <c r="R1041" t="s">
        <v>29</v>
      </c>
      <c r="S1041">
        <v>12.1840920667976</v>
      </c>
      <c r="T1041" t="s">
        <v>29</v>
      </c>
      <c r="U1041" t="s">
        <v>29</v>
      </c>
      <c r="V1041" t="s">
        <v>29</v>
      </c>
      <c r="W1041" t="s">
        <v>29</v>
      </c>
      <c r="X1041" t="s">
        <v>29</v>
      </c>
      <c r="Y1041" t="s">
        <v>29</v>
      </c>
    </row>
    <row r="1042" spans="1:25" x14ac:dyDescent="0.2">
      <c r="A1042" t="s">
        <v>3852</v>
      </c>
      <c r="B1042" t="s">
        <v>3853</v>
      </c>
      <c r="C1042" t="s">
        <v>3854</v>
      </c>
      <c r="D1042" t="s">
        <v>3855</v>
      </c>
      <c r="E1042" t="s">
        <v>3853</v>
      </c>
      <c r="F1042" t="s">
        <v>28</v>
      </c>
      <c r="G1042" t="s">
        <v>3856</v>
      </c>
      <c r="H1042" t="str">
        <f>"nlp-31"</f>
        <v>nlp-31</v>
      </c>
      <c r="I1042" t="s">
        <v>3857</v>
      </c>
      <c r="J1042">
        <v>13.9627472370468</v>
      </c>
      <c r="K1042">
        <v>14.0036285014524</v>
      </c>
      <c r="L1042">
        <v>13.195249832379099</v>
      </c>
      <c r="M1042">
        <v>15.231942612089901</v>
      </c>
      <c r="N1042">
        <v>14.4295625068938</v>
      </c>
      <c r="O1042">
        <v>12.740676019699499</v>
      </c>
      <c r="P1042">
        <v>0.41351852260161698</v>
      </c>
      <c r="Q1042">
        <v>-1.1454483137462701</v>
      </c>
      <c r="R1042">
        <v>1.9724853589494999</v>
      </c>
      <c r="S1042">
        <v>13.5873105970655</v>
      </c>
      <c r="T1042">
        <v>0.56571760848265296</v>
      </c>
      <c r="U1042">
        <v>-6.9883674789068104</v>
      </c>
      <c r="V1042">
        <v>0.58000883713179696</v>
      </c>
      <c r="W1042">
        <v>0.71858977650303701</v>
      </c>
      <c r="X1042">
        <v>0</v>
      </c>
      <c r="Y1042">
        <v>0</v>
      </c>
    </row>
    <row r="1043" spans="1:25" x14ac:dyDescent="0.2">
      <c r="A1043" t="s">
        <v>3858</v>
      </c>
      <c r="B1043" t="s">
        <v>3859</v>
      </c>
      <c r="C1043" t="s">
        <v>3860</v>
      </c>
      <c r="D1043" t="s">
        <v>534</v>
      </c>
      <c r="E1043" t="s">
        <v>3859</v>
      </c>
      <c r="F1043" t="s">
        <v>28</v>
      </c>
      <c r="G1043" t="s">
        <v>3859</v>
      </c>
      <c r="H1043" t="str">
        <f>"prp-17"</f>
        <v>prp-17</v>
      </c>
      <c r="I1043" t="s">
        <v>534</v>
      </c>
      <c r="J1043">
        <v>11.686683135576001</v>
      </c>
      <c r="K1043">
        <v>11.5161438412838</v>
      </c>
      <c r="L1043">
        <v>11.918726163385401</v>
      </c>
      <c r="M1043" t="s">
        <v>29</v>
      </c>
      <c r="N1043">
        <v>9.90731251152026</v>
      </c>
      <c r="O1043">
        <v>11.7518903610852</v>
      </c>
      <c r="P1043">
        <v>-0.87758294377903001</v>
      </c>
      <c r="Q1043">
        <v>-1.82476238843877</v>
      </c>
      <c r="R1043">
        <v>6.9596500880705695E-2</v>
      </c>
      <c r="S1043">
        <v>11.702545755108</v>
      </c>
      <c r="T1043">
        <v>-1.9651940437312101</v>
      </c>
      <c r="U1043">
        <v>-5.2233804429005701</v>
      </c>
      <c r="V1043">
        <v>6.7115993891713993E-2</v>
      </c>
      <c r="W1043">
        <v>0.16721873668093801</v>
      </c>
      <c r="X1043">
        <v>0</v>
      </c>
      <c r="Y1043">
        <v>0</v>
      </c>
    </row>
    <row r="1044" spans="1:25" x14ac:dyDescent="0.2">
      <c r="A1044" t="s">
        <v>3861</v>
      </c>
      <c r="B1044" t="s">
        <v>3862</v>
      </c>
      <c r="C1044" t="s">
        <v>3863</v>
      </c>
      <c r="D1044" t="s">
        <v>3864</v>
      </c>
      <c r="E1044" t="s">
        <v>3862</v>
      </c>
      <c r="F1044" t="s">
        <v>28</v>
      </c>
      <c r="G1044" t="s">
        <v>3862</v>
      </c>
      <c r="H1044" t="str">
        <f>"ept-1"</f>
        <v>ept-1</v>
      </c>
      <c r="I1044" t="s">
        <v>3864</v>
      </c>
      <c r="J1044">
        <v>13.766019010481701</v>
      </c>
      <c r="K1044">
        <v>13.699983614760001</v>
      </c>
      <c r="L1044">
        <v>14.072723577762</v>
      </c>
      <c r="M1044" t="s">
        <v>29</v>
      </c>
      <c r="N1044" t="s">
        <v>29</v>
      </c>
      <c r="O1044">
        <v>13.027499272487301</v>
      </c>
      <c r="P1044">
        <v>-0.81874279518061999</v>
      </c>
      <c r="Q1044">
        <v>-1.7495119107280299</v>
      </c>
      <c r="R1044">
        <v>0.112026320366794</v>
      </c>
      <c r="S1044">
        <v>13.7037407070969</v>
      </c>
      <c r="T1044">
        <v>-1.8657569018725599</v>
      </c>
      <c r="U1044">
        <v>-5.1617158755594801</v>
      </c>
      <c r="V1044">
        <v>8.0640029877317193E-2</v>
      </c>
      <c r="W1044">
        <v>0.18830916644092999</v>
      </c>
      <c r="X1044">
        <v>0</v>
      </c>
      <c r="Y1044">
        <v>0</v>
      </c>
    </row>
    <row r="1045" spans="1:25" x14ac:dyDescent="0.2">
      <c r="A1045" t="s">
        <v>3865</v>
      </c>
      <c r="B1045" t="s">
        <v>3866</v>
      </c>
      <c r="C1045" t="s">
        <v>14357</v>
      </c>
      <c r="D1045" t="s">
        <v>3867</v>
      </c>
      <c r="E1045" t="s">
        <v>3866</v>
      </c>
      <c r="F1045" t="s">
        <v>28</v>
      </c>
      <c r="G1045" t="s">
        <v>3866</v>
      </c>
      <c r="H1045" t="str">
        <f>"F57B10.8"</f>
        <v>F57B10.8</v>
      </c>
      <c r="I1045" t="s">
        <v>3867</v>
      </c>
      <c r="J1045" t="s">
        <v>29</v>
      </c>
      <c r="K1045" t="s">
        <v>29</v>
      </c>
      <c r="L1045" t="s">
        <v>29</v>
      </c>
      <c r="M1045" t="s">
        <v>29</v>
      </c>
      <c r="N1045" t="s">
        <v>29</v>
      </c>
      <c r="O1045" t="s">
        <v>29</v>
      </c>
      <c r="P1045" t="s">
        <v>29</v>
      </c>
      <c r="Q1045" t="s">
        <v>29</v>
      </c>
      <c r="R1045" t="s">
        <v>29</v>
      </c>
      <c r="S1045">
        <v>12.428494191383299</v>
      </c>
      <c r="T1045" t="s">
        <v>29</v>
      </c>
      <c r="U1045" t="s">
        <v>29</v>
      </c>
      <c r="V1045" t="s">
        <v>29</v>
      </c>
      <c r="W1045" t="s">
        <v>29</v>
      </c>
      <c r="X1045" t="s">
        <v>29</v>
      </c>
      <c r="Y1045" t="s">
        <v>29</v>
      </c>
    </row>
    <row r="1046" spans="1:25" x14ac:dyDescent="0.2">
      <c r="A1046" t="s">
        <v>3868</v>
      </c>
      <c r="B1046" t="s">
        <v>3869</v>
      </c>
      <c r="C1046" t="s">
        <v>3870</v>
      </c>
      <c r="D1046" t="s">
        <v>3871</v>
      </c>
      <c r="E1046" t="s">
        <v>3869</v>
      </c>
      <c r="F1046" t="s">
        <v>28</v>
      </c>
      <c r="G1046" t="s">
        <v>3869</v>
      </c>
      <c r="H1046" t="str">
        <f>"spg-20"</f>
        <v>spg-20</v>
      </c>
      <c r="I1046" t="s">
        <v>3871</v>
      </c>
      <c r="J1046" t="s">
        <v>29</v>
      </c>
      <c r="K1046">
        <v>11.364687436960599</v>
      </c>
      <c r="L1046" t="s">
        <v>29</v>
      </c>
      <c r="M1046" t="s">
        <v>29</v>
      </c>
      <c r="N1046" t="s">
        <v>29</v>
      </c>
      <c r="O1046" t="s">
        <v>29</v>
      </c>
      <c r="P1046" t="s">
        <v>29</v>
      </c>
      <c r="Q1046" t="s">
        <v>29</v>
      </c>
      <c r="R1046" t="s">
        <v>29</v>
      </c>
      <c r="S1046">
        <v>10.642805195134599</v>
      </c>
      <c r="T1046" t="s">
        <v>29</v>
      </c>
      <c r="U1046" t="s">
        <v>29</v>
      </c>
      <c r="V1046" t="s">
        <v>29</v>
      </c>
      <c r="W1046" t="s">
        <v>29</v>
      </c>
      <c r="X1046" t="s">
        <v>29</v>
      </c>
      <c r="Y1046" t="s">
        <v>29</v>
      </c>
    </row>
    <row r="1047" spans="1:25" x14ac:dyDescent="0.2">
      <c r="A1047" t="s">
        <v>3872</v>
      </c>
      <c r="B1047" t="s">
        <v>3873</v>
      </c>
      <c r="C1047" t="s">
        <v>3874</v>
      </c>
      <c r="D1047" t="s">
        <v>3875</v>
      </c>
      <c r="E1047" t="s">
        <v>3873</v>
      </c>
      <c r="F1047" t="s">
        <v>28</v>
      </c>
      <c r="G1047" t="s">
        <v>3873</v>
      </c>
      <c r="H1047" t="str">
        <f>"xpg-1"</f>
        <v>xpg-1</v>
      </c>
      <c r="I1047" t="s">
        <v>3875</v>
      </c>
      <c r="J1047">
        <v>11.849878591063201</v>
      </c>
      <c r="K1047" t="s">
        <v>29</v>
      </c>
      <c r="L1047">
        <v>12.6031880330903</v>
      </c>
      <c r="M1047" t="s">
        <v>29</v>
      </c>
      <c r="N1047" t="s">
        <v>29</v>
      </c>
      <c r="O1047" t="s">
        <v>29</v>
      </c>
      <c r="P1047" t="s">
        <v>29</v>
      </c>
      <c r="Q1047" t="s">
        <v>29</v>
      </c>
      <c r="R1047" t="s">
        <v>29</v>
      </c>
      <c r="S1047">
        <v>11.998313770206799</v>
      </c>
      <c r="T1047" t="s">
        <v>29</v>
      </c>
      <c r="U1047" t="s">
        <v>29</v>
      </c>
      <c r="V1047" t="s">
        <v>29</v>
      </c>
      <c r="W1047" t="s">
        <v>29</v>
      </c>
      <c r="X1047" t="s">
        <v>29</v>
      </c>
      <c r="Y1047" t="s">
        <v>29</v>
      </c>
    </row>
    <row r="1048" spans="1:25" x14ac:dyDescent="0.2">
      <c r="A1048" t="s">
        <v>3876</v>
      </c>
      <c r="B1048" t="s">
        <v>3877</v>
      </c>
      <c r="C1048" t="s">
        <v>3878</v>
      </c>
      <c r="D1048" t="s">
        <v>3879</v>
      </c>
      <c r="E1048" t="s">
        <v>3877</v>
      </c>
      <c r="F1048" t="s">
        <v>28</v>
      </c>
      <c r="G1048" t="s">
        <v>3877</v>
      </c>
      <c r="H1048" t="str">
        <f>"larp-5"</f>
        <v>larp-5</v>
      </c>
      <c r="I1048" t="s">
        <v>3879</v>
      </c>
      <c r="J1048" t="s">
        <v>29</v>
      </c>
      <c r="K1048" t="s">
        <v>29</v>
      </c>
      <c r="L1048">
        <v>10.429978060529301</v>
      </c>
      <c r="M1048" t="s">
        <v>29</v>
      </c>
      <c r="N1048" t="s">
        <v>29</v>
      </c>
      <c r="O1048" t="s">
        <v>29</v>
      </c>
      <c r="P1048" t="s">
        <v>29</v>
      </c>
      <c r="Q1048" t="s">
        <v>29</v>
      </c>
      <c r="R1048" t="s">
        <v>29</v>
      </c>
      <c r="S1048">
        <v>11.0622366208791</v>
      </c>
      <c r="T1048" t="s">
        <v>29</v>
      </c>
      <c r="U1048" t="s">
        <v>29</v>
      </c>
      <c r="V1048" t="s">
        <v>29</v>
      </c>
      <c r="W1048" t="s">
        <v>29</v>
      </c>
      <c r="X1048" t="s">
        <v>29</v>
      </c>
      <c r="Y1048" t="s">
        <v>29</v>
      </c>
    </row>
    <row r="1049" spans="1:25" x14ac:dyDescent="0.2">
      <c r="A1049" t="s">
        <v>3880</v>
      </c>
      <c r="B1049" t="s">
        <v>3881</v>
      </c>
      <c r="C1049" t="s">
        <v>3882</v>
      </c>
      <c r="D1049" t="s">
        <v>3883</v>
      </c>
      <c r="E1049" t="s">
        <v>3881</v>
      </c>
      <c r="F1049" t="s">
        <v>28</v>
      </c>
      <c r="G1049" t="s">
        <v>3881</v>
      </c>
      <c r="H1049" t="str">
        <f>"vpr-1"</f>
        <v>vpr-1</v>
      </c>
      <c r="I1049" t="s">
        <v>3883</v>
      </c>
      <c r="J1049">
        <v>15.854405931187699</v>
      </c>
      <c r="K1049">
        <v>15.5729363353328</v>
      </c>
      <c r="L1049">
        <v>15.707028949988601</v>
      </c>
      <c r="M1049">
        <v>14.4753594049131</v>
      </c>
      <c r="N1049">
        <v>14.665936611758299</v>
      </c>
      <c r="O1049">
        <v>15.3663907968683</v>
      </c>
      <c r="P1049">
        <v>-0.875561467656508</v>
      </c>
      <c r="Q1049">
        <v>-1.3236435502134101</v>
      </c>
      <c r="R1049">
        <v>-0.42747938509960698</v>
      </c>
      <c r="S1049">
        <v>15.187795929496801</v>
      </c>
      <c r="T1049">
        <v>-4.1069704263575399</v>
      </c>
      <c r="U1049">
        <v>-0.93600961343784805</v>
      </c>
      <c r="V1049">
        <v>6.6899915608157495E-4</v>
      </c>
      <c r="W1049">
        <v>6.9407962854094504E-3</v>
      </c>
      <c r="X1049">
        <v>0</v>
      </c>
      <c r="Y1049">
        <v>0</v>
      </c>
    </row>
    <row r="1050" spans="1:25" x14ac:dyDescent="0.2">
      <c r="A1050" t="s">
        <v>3884</v>
      </c>
      <c r="B1050" t="s">
        <v>3885</v>
      </c>
      <c r="C1050" t="s">
        <v>3886</v>
      </c>
      <c r="D1050" t="s">
        <v>3887</v>
      </c>
      <c r="E1050" t="s">
        <v>3885</v>
      </c>
      <c r="F1050" t="s">
        <v>28</v>
      </c>
      <c r="G1050" t="s">
        <v>3885</v>
      </c>
      <c r="H1050" t="str">
        <f>"cpn-2"</f>
        <v>cpn-2</v>
      </c>
      <c r="I1050" t="s">
        <v>3887</v>
      </c>
      <c r="J1050" t="s">
        <v>29</v>
      </c>
      <c r="K1050" t="s">
        <v>29</v>
      </c>
      <c r="L1050">
        <v>11.2948914793593</v>
      </c>
      <c r="M1050" t="s">
        <v>29</v>
      </c>
      <c r="N1050" t="s">
        <v>29</v>
      </c>
      <c r="O1050">
        <v>13.7766085488744</v>
      </c>
      <c r="P1050">
        <v>2.4817170695151098</v>
      </c>
      <c r="Q1050">
        <v>1.6157444945133099</v>
      </c>
      <c r="R1050">
        <v>3.3476896445169202</v>
      </c>
      <c r="S1050">
        <v>12.5131362097548</v>
      </c>
      <c r="T1050">
        <v>6.2501888823248297</v>
      </c>
      <c r="U1050">
        <v>2.4038962689621299</v>
      </c>
      <c r="V1050" s="2">
        <v>4.4231756075550499E-5</v>
      </c>
      <c r="W1050">
        <v>9.37196134997303E-4</v>
      </c>
      <c r="X1050">
        <v>1</v>
      </c>
      <c r="Y1050">
        <v>1</v>
      </c>
    </row>
    <row r="1051" spans="1:25" x14ac:dyDescent="0.2">
      <c r="A1051" t="s">
        <v>3888</v>
      </c>
      <c r="B1051" t="s">
        <v>3889</v>
      </c>
      <c r="C1051" t="s">
        <v>3890</v>
      </c>
      <c r="D1051" t="s">
        <v>3891</v>
      </c>
      <c r="E1051" t="s">
        <v>3889</v>
      </c>
      <c r="F1051" t="s">
        <v>28</v>
      </c>
      <c r="G1051" t="s">
        <v>3889</v>
      </c>
      <c r="H1051" t="str">
        <f>"fgt-1"</f>
        <v>fgt-1</v>
      </c>
      <c r="I1051" t="s">
        <v>3891</v>
      </c>
      <c r="J1051">
        <v>16.5887407322125</v>
      </c>
      <c r="K1051">
        <v>16.934614761198599</v>
      </c>
      <c r="L1051">
        <v>16.900390876600898</v>
      </c>
      <c r="M1051">
        <v>16.013645444294401</v>
      </c>
      <c r="N1051">
        <v>16.658935699162502</v>
      </c>
      <c r="O1051">
        <v>16.747620563558002</v>
      </c>
      <c r="P1051">
        <v>-0.33451488766570497</v>
      </c>
      <c r="Q1051">
        <v>-0.79242098918438897</v>
      </c>
      <c r="R1051">
        <v>0.12339121385298001</v>
      </c>
      <c r="S1051">
        <v>17.1031071514772</v>
      </c>
      <c r="T1051">
        <v>-1.53543534485887</v>
      </c>
      <c r="U1051">
        <v>-5.9944975753370997</v>
      </c>
      <c r="V1051">
        <v>0.14216848829537099</v>
      </c>
      <c r="W1051">
        <v>0.28156621976240498</v>
      </c>
      <c r="X1051">
        <v>0</v>
      </c>
      <c r="Y1051">
        <v>0</v>
      </c>
    </row>
    <row r="1052" spans="1:25" x14ac:dyDescent="0.2">
      <c r="A1052" t="s">
        <v>3892</v>
      </c>
      <c r="B1052" t="s">
        <v>3893</v>
      </c>
      <c r="C1052" t="s">
        <v>14358</v>
      </c>
      <c r="D1052" t="s">
        <v>3894</v>
      </c>
      <c r="E1052" t="s">
        <v>3893</v>
      </c>
      <c r="F1052" t="s">
        <v>28</v>
      </c>
      <c r="G1052" t="s">
        <v>3893</v>
      </c>
      <c r="H1052" t="str">
        <f>"T04B8.5"</f>
        <v>T04B8.5</v>
      </c>
      <c r="I1052" t="s">
        <v>3894</v>
      </c>
      <c r="J1052">
        <v>18.648688642001499</v>
      </c>
      <c r="K1052">
        <v>18.824124948883199</v>
      </c>
      <c r="L1052">
        <v>18.511102326069501</v>
      </c>
      <c r="M1052">
        <v>22.287716383094001</v>
      </c>
      <c r="N1052">
        <v>21.1966268816245</v>
      </c>
      <c r="O1052">
        <v>19.759569635583599</v>
      </c>
      <c r="P1052">
        <v>2.4199989944492799</v>
      </c>
      <c r="Q1052">
        <v>1.4750240490023101</v>
      </c>
      <c r="R1052">
        <v>3.3649739398962599</v>
      </c>
      <c r="S1052">
        <v>18.632323266561201</v>
      </c>
      <c r="T1052">
        <v>5.3825417192816198</v>
      </c>
      <c r="U1052">
        <v>1.8488882059354199</v>
      </c>
      <c r="V1052" s="2">
        <v>4.1691880632339198E-5</v>
      </c>
      <c r="W1052">
        <v>8.9033313205437404E-4</v>
      </c>
      <c r="X1052">
        <v>1</v>
      </c>
      <c r="Y1052">
        <v>1</v>
      </c>
    </row>
    <row r="1053" spans="1:25" x14ac:dyDescent="0.2">
      <c r="A1053" t="s">
        <v>3895</v>
      </c>
      <c r="B1053" t="s">
        <v>3896</v>
      </c>
      <c r="C1053" t="s">
        <v>3897</v>
      </c>
      <c r="D1053" t="s">
        <v>3898</v>
      </c>
      <c r="E1053" t="s">
        <v>3896</v>
      </c>
      <c r="F1053" t="s">
        <v>28</v>
      </c>
      <c r="G1053" t="s">
        <v>3896</v>
      </c>
      <c r="H1053" t="str">
        <f>"inx-13"</f>
        <v>inx-13</v>
      </c>
      <c r="I1053" t="s">
        <v>3898</v>
      </c>
      <c r="J1053">
        <v>12.615799660939301</v>
      </c>
      <c r="K1053">
        <v>12.2391948410593</v>
      </c>
      <c r="L1053">
        <v>12.6436121200434</v>
      </c>
      <c r="M1053" t="s">
        <v>29</v>
      </c>
      <c r="N1053">
        <v>13.6911527966707</v>
      </c>
      <c r="O1053">
        <v>14.412264262055199</v>
      </c>
      <c r="P1053">
        <v>1.5521729886823199</v>
      </c>
      <c r="Q1053">
        <v>1.0762651573795401</v>
      </c>
      <c r="R1053">
        <v>2.0280808199850999</v>
      </c>
      <c r="S1053">
        <v>13.1606990015138</v>
      </c>
      <c r="T1053">
        <v>6.8844188208364301</v>
      </c>
      <c r="U1053">
        <v>4.7270357303210204</v>
      </c>
      <c r="V1053" s="2">
        <v>2.7361680029339401E-6</v>
      </c>
      <c r="W1053">
        <v>1.0206945702084E-4</v>
      </c>
      <c r="X1053">
        <v>1</v>
      </c>
      <c r="Y1053">
        <v>1</v>
      </c>
    </row>
    <row r="1054" spans="1:25" x14ac:dyDescent="0.2">
      <c r="A1054" t="s">
        <v>3899</v>
      </c>
      <c r="B1054" t="s">
        <v>3900</v>
      </c>
      <c r="C1054" t="s">
        <v>14359</v>
      </c>
      <c r="D1054" t="s">
        <v>3901</v>
      </c>
      <c r="E1054" t="s">
        <v>3900</v>
      </c>
      <c r="F1054" t="s">
        <v>28</v>
      </c>
      <c r="G1054" t="s">
        <v>3900</v>
      </c>
      <c r="H1054" t="str">
        <f>"ZK484.3"</f>
        <v>ZK484.3</v>
      </c>
      <c r="I1054" t="s">
        <v>3901</v>
      </c>
      <c r="J1054">
        <v>12.6265595156018</v>
      </c>
      <c r="K1054">
        <v>12.6645656436829</v>
      </c>
      <c r="L1054">
        <v>12.3390216864829</v>
      </c>
      <c r="M1054" t="s">
        <v>29</v>
      </c>
      <c r="N1054" t="s">
        <v>29</v>
      </c>
      <c r="O1054" t="s">
        <v>29</v>
      </c>
      <c r="P1054" t="s">
        <v>29</v>
      </c>
      <c r="Q1054" t="s">
        <v>29</v>
      </c>
      <c r="R1054" t="s">
        <v>29</v>
      </c>
      <c r="S1054">
        <v>11.5983672225715</v>
      </c>
      <c r="T1054" t="s">
        <v>29</v>
      </c>
      <c r="U1054" t="s">
        <v>29</v>
      </c>
      <c r="V1054" t="s">
        <v>29</v>
      </c>
      <c r="W1054" t="s">
        <v>29</v>
      </c>
      <c r="X1054" t="s">
        <v>29</v>
      </c>
      <c r="Y1054" t="s">
        <v>29</v>
      </c>
    </row>
    <row r="1055" spans="1:25" x14ac:dyDescent="0.2">
      <c r="A1055" t="s">
        <v>3902</v>
      </c>
      <c r="B1055" t="s">
        <v>3903</v>
      </c>
      <c r="C1055" t="s">
        <v>3904</v>
      </c>
      <c r="D1055" t="s">
        <v>3003</v>
      </c>
      <c r="E1055" t="s">
        <v>3903</v>
      </c>
      <c r="F1055" t="s">
        <v>28</v>
      </c>
      <c r="G1055" t="s">
        <v>3903</v>
      </c>
      <c r="H1055" t="str">
        <f>"haf-9"</f>
        <v>haf-9</v>
      </c>
      <c r="I1055" t="s">
        <v>3003</v>
      </c>
      <c r="J1055">
        <v>15.2482317504817</v>
      </c>
      <c r="K1055">
        <v>15.2339090615444</v>
      </c>
      <c r="L1055">
        <v>15.2629731813322</v>
      </c>
      <c r="M1055">
        <v>14.540713133421299</v>
      </c>
      <c r="N1055">
        <v>14.5841925550027</v>
      </c>
      <c r="O1055">
        <v>14.908636539609001</v>
      </c>
      <c r="P1055">
        <v>-0.57052392177511302</v>
      </c>
      <c r="Q1055">
        <v>-0.93781144289179597</v>
      </c>
      <c r="R1055">
        <v>-0.20323640065842999</v>
      </c>
      <c r="S1055">
        <v>15.244501473907301</v>
      </c>
      <c r="T1055">
        <v>-3.2648271920982199</v>
      </c>
      <c r="U1055">
        <v>-2.7751711193500701</v>
      </c>
      <c r="V1055">
        <v>4.3281801044506001E-3</v>
      </c>
      <c r="W1055">
        <v>2.5543286800318199E-2</v>
      </c>
      <c r="X1055">
        <v>0</v>
      </c>
      <c r="Y1055">
        <v>0</v>
      </c>
    </row>
    <row r="1056" spans="1:25" x14ac:dyDescent="0.2">
      <c r="A1056" t="s">
        <v>3905</v>
      </c>
      <c r="B1056" t="s">
        <v>3906</v>
      </c>
      <c r="C1056" t="s">
        <v>3907</v>
      </c>
      <c r="D1056" t="s">
        <v>3079</v>
      </c>
      <c r="E1056" t="s">
        <v>3906</v>
      </c>
      <c r="F1056" t="s">
        <v>28</v>
      </c>
      <c r="G1056" t="s">
        <v>3906</v>
      </c>
      <c r="H1056" t="str">
        <f>"pck-1"</f>
        <v>pck-1</v>
      </c>
      <c r="I1056" t="s">
        <v>3079</v>
      </c>
      <c r="J1056">
        <v>13.0937306161621</v>
      </c>
      <c r="K1056">
        <v>13.016597323665099</v>
      </c>
      <c r="L1056">
        <v>13.092986790629499</v>
      </c>
      <c r="M1056">
        <v>15.064676218033</v>
      </c>
      <c r="N1056">
        <v>14.6828664335293</v>
      </c>
      <c r="O1056">
        <v>15.102350113607599</v>
      </c>
      <c r="P1056">
        <v>1.8821926782377401</v>
      </c>
      <c r="Q1056">
        <v>1.4865633494802699</v>
      </c>
      <c r="R1056">
        <v>2.2778220069952102</v>
      </c>
      <c r="S1056">
        <v>13.8696272488181</v>
      </c>
      <c r="T1056">
        <v>9.9992658160229198</v>
      </c>
      <c r="U1056">
        <v>10.344091664686401</v>
      </c>
      <c r="V1056" s="2">
        <v>9.4626271840628703E-9</v>
      </c>
      <c r="W1056" s="2">
        <v>1.1772471986998199E-6</v>
      </c>
      <c r="X1056">
        <v>1</v>
      </c>
      <c r="Y1056">
        <v>1</v>
      </c>
    </row>
    <row r="1057" spans="1:25" x14ac:dyDescent="0.2">
      <c r="A1057" t="s">
        <v>3908</v>
      </c>
      <c r="B1057" t="s">
        <v>3909</v>
      </c>
      <c r="C1057" t="s">
        <v>3910</v>
      </c>
      <c r="D1057" t="s">
        <v>3911</v>
      </c>
      <c r="E1057" t="s">
        <v>3909</v>
      </c>
      <c r="F1057" t="s">
        <v>28</v>
      </c>
      <c r="G1057" t="s">
        <v>3909</v>
      </c>
      <c r="H1057" t="str">
        <f>"lonp-1"</f>
        <v>lonp-1</v>
      </c>
      <c r="I1057" t="s">
        <v>3911</v>
      </c>
      <c r="J1057">
        <v>12.0335520633258</v>
      </c>
      <c r="K1057">
        <v>12.213312986426599</v>
      </c>
      <c r="L1057">
        <v>12.192692917159899</v>
      </c>
      <c r="M1057" t="s">
        <v>29</v>
      </c>
      <c r="N1057">
        <v>12.7940526959017</v>
      </c>
      <c r="O1057">
        <v>11.890788464409001</v>
      </c>
      <c r="P1057">
        <v>0.19590125785124901</v>
      </c>
      <c r="Q1057">
        <v>-0.40826449812382798</v>
      </c>
      <c r="R1057">
        <v>0.80006701382632595</v>
      </c>
      <c r="S1057">
        <v>12.344906352540701</v>
      </c>
      <c r="T1057">
        <v>0.68443330082086196</v>
      </c>
      <c r="U1057">
        <v>-6.8026100285122002</v>
      </c>
      <c r="V1057">
        <v>0.50298310261461099</v>
      </c>
      <c r="W1057">
        <v>0.65733534519080195</v>
      </c>
      <c r="X1057">
        <v>0</v>
      </c>
      <c r="Y1057">
        <v>0</v>
      </c>
    </row>
    <row r="1058" spans="1:25" x14ac:dyDescent="0.2">
      <c r="A1058" t="s">
        <v>3912</v>
      </c>
      <c r="B1058" t="s">
        <v>3913</v>
      </c>
      <c r="C1058" t="s">
        <v>3914</v>
      </c>
      <c r="D1058" t="s">
        <v>3915</v>
      </c>
      <c r="E1058" t="s">
        <v>3913</v>
      </c>
      <c r="F1058" t="s">
        <v>28</v>
      </c>
      <c r="G1058" t="s">
        <v>3913</v>
      </c>
      <c r="H1058" t="str">
        <f>"spcs-1"</f>
        <v>spcs-1</v>
      </c>
      <c r="I1058" t="s">
        <v>3915</v>
      </c>
      <c r="J1058">
        <v>12.519941500386199</v>
      </c>
      <c r="K1058">
        <v>13.1187484242091</v>
      </c>
      <c r="L1058">
        <v>13.808736831933301</v>
      </c>
      <c r="M1058" t="s">
        <v>29</v>
      </c>
      <c r="N1058">
        <v>13.043677282725</v>
      </c>
      <c r="O1058">
        <v>13.286731437593399</v>
      </c>
      <c r="P1058">
        <v>1.6062107983009E-2</v>
      </c>
      <c r="Q1058">
        <v>-0.87390702742493198</v>
      </c>
      <c r="R1058">
        <v>0.90603124339094998</v>
      </c>
      <c r="S1058">
        <v>13.523688627131801</v>
      </c>
      <c r="T1058">
        <v>3.8095844826257601E-2</v>
      </c>
      <c r="U1058">
        <v>-7.04471215278783</v>
      </c>
      <c r="V1058">
        <v>0.97005779325423303</v>
      </c>
      <c r="W1058">
        <v>0.98273759099431901</v>
      </c>
      <c r="X1058">
        <v>0</v>
      </c>
      <c r="Y1058">
        <v>0</v>
      </c>
    </row>
    <row r="1059" spans="1:25" x14ac:dyDescent="0.2">
      <c r="A1059" t="s">
        <v>3916</v>
      </c>
      <c r="B1059" t="s">
        <v>3917</v>
      </c>
      <c r="C1059" t="s">
        <v>3918</v>
      </c>
      <c r="D1059" t="s">
        <v>3919</v>
      </c>
      <c r="E1059" t="s">
        <v>3917</v>
      </c>
      <c r="F1059" t="s">
        <v>28</v>
      </c>
      <c r="G1059" t="s">
        <v>3917</v>
      </c>
      <c r="H1059" t="str">
        <f>"sdha-2"</f>
        <v>sdha-2</v>
      </c>
      <c r="I1059" t="s">
        <v>3919</v>
      </c>
      <c r="J1059">
        <v>14.0910258930188</v>
      </c>
      <c r="K1059">
        <v>14.3983571170545</v>
      </c>
      <c r="L1059">
        <v>14.388469926469799</v>
      </c>
      <c r="M1059" t="s">
        <v>29</v>
      </c>
      <c r="N1059">
        <v>14.5037275565666</v>
      </c>
      <c r="O1059">
        <v>13.9190103961727</v>
      </c>
      <c r="P1059">
        <v>-8.1248669144704494E-2</v>
      </c>
      <c r="Q1059">
        <v>-0.63038138821669198</v>
      </c>
      <c r="R1059">
        <v>0.467884049927282</v>
      </c>
      <c r="S1059">
        <v>14.6993182712955</v>
      </c>
      <c r="T1059">
        <v>-0.312312198825068</v>
      </c>
      <c r="U1059">
        <v>-6.9943518524372603</v>
      </c>
      <c r="V1059">
        <v>0.75862492997687903</v>
      </c>
      <c r="W1059">
        <v>0.84748584861329102</v>
      </c>
      <c r="X1059">
        <v>0</v>
      </c>
      <c r="Y1059">
        <v>0</v>
      </c>
    </row>
    <row r="1060" spans="1:25" x14ac:dyDescent="0.2">
      <c r="A1060" t="s">
        <v>3920</v>
      </c>
      <c r="B1060" t="s">
        <v>3921</v>
      </c>
      <c r="C1060" t="s">
        <v>3922</v>
      </c>
      <c r="D1060" t="s">
        <v>3923</v>
      </c>
      <c r="E1060" t="s">
        <v>3921</v>
      </c>
      <c r="F1060" t="s">
        <v>28</v>
      </c>
      <c r="G1060" t="s">
        <v>3921</v>
      </c>
      <c r="H1060" t="str">
        <f>"riok-1"</f>
        <v>riok-1</v>
      </c>
      <c r="I1060" t="s">
        <v>3923</v>
      </c>
      <c r="J1060">
        <v>13.0166388843587</v>
      </c>
      <c r="K1060">
        <v>12.9556322279136</v>
      </c>
      <c r="L1060">
        <v>13.1416679906682</v>
      </c>
      <c r="M1060" t="s">
        <v>29</v>
      </c>
      <c r="N1060" t="s">
        <v>29</v>
      </c>
      <c r="O1060">
        <v>12.867931715738001</v>
      </c>
      <c r="P1060">
        <v>-0.17004798524221201</v>
      </c>
      <c r="Q1060">
        <v>-0.69271178839702297</v>
      </c>
      <c r="R1060">
        <v>0.35261581791259999</v>
      </c>
      <c r="S1060">
        <v>12.806937522468701</v>
      </c>
      <c r="T1060">
        <v>-0.69007865802710999</v>
      </c>
      <c r="U1060">
        <v>-6.5663329552971801</v>
      </c>
      <c r="V1060">
        <v>0.50009725950651795</v>
      </c>
      <c r="W1060">
        <v>0.65501627722920397</v>
      </c>
      <c r="X1060">
        <v>0</v>
      </c>
      <c r="Y1060">
        <v>0</v>
      </c>
    </row>
    <row r="1061" spans="1:25" x14ac:dyDescent="0.2">
      <c r="A1061" t="s">
        <v>3924</v>
      </c>
      <c r="B1061" t="s">
        <v>3925</v>
      </c>
      <c r="C1061" t="s">
        <v>3926</v>
      </c>
      <c r="D1061" t="s">
        <v>3927</v>
      </c>
      <c r="E1061" t="s">
        <v>3925</v>
      </c>
      <c r="F1061" t="s">
        <v>28</v>
      </c>
      <c r="G1061" t="s">
        <v>3925</v>
      </c>
      <c r="H1061" t="str">
        <f>"nhr-64"</f>
        <v>nhr-64</v>
      </c>
      <c r="I1061" t="s">
        <v>3927</v>
      </c>
      <c r="J1061">
        <v>10.5987796284172</v>
      </c>
      <c r="K1061" t="s">
        <v>29</v>
      </c>
      <c r="L1061">
        <v>10.998058085352801</v>
      </c>
      <c r="M1061" t="s">
        <v>29</v>
      </c>
      <c r="N1061" t="s">
        <v>29</v>
      </c>
      <c r="O1061" t="s">
        <v>29</v>
      </c>
      <c r="P1061" t="s">
        <v>29</v>
      </c>
      <c r="Q1061" t="s">
        <v>29</v>
      </c>
      <c r="R1061" t="s">
        <v>29</v>
      </c>
      <c r="S1061">
        <v>11.1862332167614</v>
      </c>
      <c r="T1061" t="s">
        <v>29</v>
      </c>
      <c r="U1061" t="s">
        <v>29</v>
      </c>
      <c r="V1061" t="s">
        <v>29</v>
      </c>
      <c r="W1061" t="s">
        <v>29</v>
      </c>
      <c r="X1061" t="s">
        <v>29</v>
      </c>
      <c r="Y1061" t="s">
        <v>29</v>
      </c>
    </row>
    <row r="1062" spans="1:25" x14ac:dyDescent="0.2">
      <c r="A1062" t="s">
        <v>3928</v>
      </c>
      <c r="B1062" t="s">
        <v>3929</v>
      </c>
      <c r="C1062" t="s">
        <v>3930</v>
      </c>
      <c r="D1062" t="s">
        <v>3931</v>
      </c>
      <c r="E1062" t="s">
        <v>3929</v>
      </c>
      <c r="F1062" t="s">
        <v>28</v>
      </c>
      <c r="G1062" t="s">
        <v>3929</v>
      </c>
      <c r="H1062" t="str">
        <f>"teg-4"</f>
        <v>teg-4</v>
      </c>
      <c r="I1062" t="s">
        <v>3931</v>
      </c>
      <c r="J1062">
        <v>12.262026411874301</v>
      </c>
      <c r="K1062">
        <v>12.6534248439328</v>
      </c>
      <c r="L1062">
        <v>11.566603277590501</v>
      </c>
      <c r="M1062">
        <v>14.453094729723899</v>
      </c>
      <c r="N1062">
        <v>14.687816950109699</v>
      </c>
      <c r="O1062">
        <v>15.1529280489687</v>
      </c>
      <c r="P1062">
        <v>2.6039283984682702</v>
      </c>
      <c r="Q1062">
        <v>2.0556984667468301</v>
      </c>
      <c r="R1062">
        <v>3.1521583301897098</v>
      </c>
      <c r="S1062">
        <v>13.4667281124319</v>
      </c>
      <c r="T1062">
        <v>9.9829479823087297</v>
      </c>
      <c r="U1062">
        <v>10.3189161063824</v>
      </c>
      <c r="V1062" s="2">
        <v>9.7022120102481105E-9</v>
      </c>
      <c r="W1062" s="2">
        <v>1.1772471986998199E-6</v>
      </c>
      <c r="X1062">
        <v>1</v>
      </c>
      <c r="Y1062">
        <v>1</v>
      </c>
    </row>
    <row r="1063" spans="1:25" x14ac:dyDescent="0.2">
      <c r="A1063" t="s">
        <v>3932</v>
      </c>
      <c r="B1063" t="s">
        <v>3933</v>
      </c>
      <c r="C1063" t="s">
        <v>3934</v>
      </c>
      <c r="D1063" t="s">
        <v>3935</v>
      </c>
      <c r="E1063" t="s">
        <v>3933</v>
      </c>
      <c r="F1063" t="s">
        <v>28</v>
      </c>
      <c r="G1063" t="s">
        <v>3933</v>
      </c>
      <c r="H1063" t="str">
        <f>"col-49"</f>
        <v>col-49</v>
      </c>
      <c r="I1063" t="s">
        <v>3935</v>
      </c>
      <c r="J1063">
        <v>13.238356308576501</v>
      </c>
      <c r="K1063">
        <v>12.3516882862915</v>
      </c>
      <c r="L1063">
        <v>13.0130367223679</v>
      </c>
      <c r="M1063">
        <v>14.7526740092885</v>
      </c>
      <c r="N1063" t="s">
        <v>29</v>
      </c>
      <c r="O1063">
        <v>11.5767999178582</v>
      </c>
      <c r="P1063">
        <v>0.29704319116140498</v>
      </c>
      <c r="Q1063">
        <v>-1.00531280632591</v>
      </c>
      <c r="R1063">
        <v>1.59939918864872</v>
      </c>
      <c r="S1063">
        <v>12.6113391177617</v>
      </c>
      <c r="T1063">
        <v>0.48377053957085497</v>
      </c>
      <c r="U1063">
        <v>-6.9229284436810001</v>
      </c>
      <c r="V1063">
        <v>0.63514595054047795</v>
      </c>
      <c r="W1063">
        <v>0.75719058100436398</v>
      </c>
      <c r="X1063">
        <v>0</v>
      </c>
      <c r="Y1063">
        <v>0</v>
      </c>
    </row>
    <row r="1064" spans="1:25" x14ac:dyDescent="0.2">
      <c r="A1064" t="s">
        <v>3936</v>
      </c>
      <c r="B1064" t="s">
        <v>3937</v>
      </c>
      <c r="C1064" t="s">
        <v>3938</v>
      </c>
      <c r="D1064" t="s">
        <v>3939</v>
      </c>
      <c r="E1064" t="s">
        <v>3937</v>
      </c>
      <c r="F1064" t="s">
        <v>28</v>
      </c>
      <c r="G1064" t="s">
        <v>3937</v>
      </c>
      <c r="H1064" t="str">
        <f>"lpd-6"</f>
        <v>lpd-6</v>
      </c>
      <c r="I1064" t="s">
        <v>3939</v>
      </c>
      <c r="J1064">
        <v>14.1218893165375</v>
      </c>
      <c r="K1064">
        <v>14.2324238941345</v>
      </c>
      <c r="L1064">
        <v>14.498729745839601</v>
      </c>
      <c r="M1064">
        <v>14.3760898876626</v>
      </c>
      <c r="N1064">
        <v>14.2830610344825</v>
      </c>
      <c r="O1064">
        <v>13.4325189484549</v>
      </c>
      <c r="P1064">
        <v>-0.25379102863723402</v>
      </c>
      <c r="Q1064">
        <v>-0.72633865511060103</v>
      </c>
      <c r="R1064">
        <v>0.21875659783613199</v>
      </c>
      <c r="S1064">
        <v>14.3772124747869</v>
      </c>
      <c r="T1064">
        <v>-1.12881609478072</v>
      </c>
      <c r="U1064">
        <v>-6.51046732179302</v>
      </c>
      <c r="V1064">
        <v>0.27388153164405399</v>
      </c>
      <c r="W1064">
        <v>0.44153658301697402</v>
      </c>
      <c r="X1064">
        <v>0</v>
      </c>
      <c r="Y1064">
        <v>0</v>
      </c>
    </row>
    <row r="1065" spans="1:25" x14ac:dyDescent="0.2">
      <c r="A1065" t="s">
        <v>3940</v>
      </c>
      <c r="B1065" t="s">
        <v>3941</v>
      </c>
      <c r="C1065" t="s">
        <v>3942</v>
      </c>
      <c r="D1065" t="s">
        <v>3943</v>
      </c>
      <c r="E1065" t="s">
        <v>3941</v>
      </c>
      <c r="F1065" t="s">
        <v>28</v>
      </c>
      <c r="G1065" t="s">
        <v>3941</v>
      </c>
      <c r="H1065" t="str">
        <f>"dscc-1"</f>
        <v>dscc-1</v>
      </c>
      <c r="I1065" t="s">
        <v>3943</v>
      </c>
      <c r="J1065" t="s">
        <v>29</v>
      </c>
      <c r="K1065" t="s">
        <v>29</v>
      </c>
      <c r="L1065">
        <v>12.007556797348</v>
      </c>
      <c r="M1065" t="s">
        <v>29</v>
      </c>
      <c r="N1065" t="s">
        <v>29</v>
      </c>
      <c r="O1065" t="s">
        <v>29</v>
      </c>
      <c r="P1065" t="s">
        <v>29</v>
      </c>
      <c r="Q1065" t="s">
        <v>29</v>
      </c>
      <c r="R1065" t="s">
        <v>29</v>
      </c>
      <c r="S1065">
        <v>12.4704116682011</v>
      </c>
      <c r="T1065" t="s">
        <v>29</v>
      </c>
      <c r="U1065" t="s">
        <v>29</v>
      </c>
      <c r="V1065" t="s">
        <v>29</v>
      </c>
      <c r="W1065" t="s">
        <v>29</v>
      </c>
      <c r="X1065" t="s">
        <v>29</v>
      </c>
      <c r="Y1065" t="s">
        <v>29</v>
      </c>
    </row>
    <row r="1066" spans="1:25" x14ac:dyDescent="0.2">
      <c r="A1066" t="s">
        <v>3944</v>
      </c>
      <c r="B1066" t="s">
        <v>3945</v>
      </c>
      <c r="C1066" t="s">
        <v>14360</v>
      </c>
      <c r="D1066" t="s">
        <v>3946</v>
      </c>
      <c r="E1066" t="s">
        <v>3945</v>
      </c>
      <c r="F1066" t="s">
        <v>28</v>
      </c>
      <c r="G1066" t="s">
        <v>3947</v>
      </c>
      <c r="H1066" t="str">
        <f>"W03D8.9"</f>
        <v>W03D8.9</v>
      </c>
      <c r="I1066" t="s">
        <v>3948</v>
      </c>
      <c r="J1066">
        <v>12.561750039821501</v>
      </c>
      <c r="K1066">
        <v>12.3645380851544</v>
      </c>
      <c r="L1066">
        <v>13.714163079850399</v>
      </c>
      <c r="M1066" t="s">
        <v>29</v>
      </c>
      <c r="N1066">
        <v>12.711324428294001</v>
      </c>
      <c r="O1066">
        <v>12.8621779419564</v>
      </c>
      <c r="P1066">
        <v>-9.3399216483570399E-2</v>
      </c>
      <c r="Q1066">
        <v>-1.2769125024771799</v>
      </c>
      <c r="R1066">
        <v>1.09011406951004</v>
      </c>
      <c r="S1066">
        <v>12.542190605301199</v>
      </c>
      <c r="T1066">
        <v>-0.16738619038102601</v>
      </c>
      <c r="U1066">
        <v>-7.0307084934495103</v>
      </c>
      <c r="V1066">
        <v>0.86917723563160498</v>
      </c>
      <c r="W1066">
        <v>0.91891014103727697</v>
      </c>
      <c r="X1066">
        <v>0</v>
      </c>
      <c r="Y1066">
        <v>0</v>
      </c>
    </row>
    <row r="1067" spans="1:25" x14ac:dyDescent="0.2">
      <c r="A1067" t="s">
        <v>3949</v>
      </c>
      <c r="B1067" t="s">
        <v>3950</v>
      </c>
      <c r="C1067" t="s">
        <v>14361</v>
      </c>
      <c r="D1067" t="s">
        <v>3951</v>
      </c>
      <c r="E1067" t="s">
        <v>3950</v>
      </c>
      <c r="F1067" t="s">
        <v>28</v>
      </c>
      <c r="G1067" t="s">
        <v>3950</v>
      </c>
      <c r="H1067" t="str">
        <f>"W10C8.5"</f>
        <v>W10C8.5</v>
      </c>
      <c r="I1067" t="s">
        <v>3951</v>
      </c>
      <c r="J1067">
        <v>16.575198648878899</v>
      </c>
      <c r="K1067">
        <v>16.461266541627001</v>
      </c>
      <c r="L1067">
        <v>16.185291876094698</v>
      </c>
      <c r="M1067">
        <v>16.568658684268001</v>
      </c>
      <c r="N1067">
        <v>16.380450759824399</v>
      </c>
      <c r="O1067">
        <v>15.9092746463085</v>
      </c>
      <c r="P1067">
        <v>-0.121124325399904</v>
      </c>
      <c r="Q1067">
        <v>-0.590871136833099</v>
      </c>
      <c r="R1067">
        <v>0.34862248603328999</v>
      </c>
      <c r="S1067">
        <v>15.6996558348731</v>
      </c>
      <c r="T1067">
        <v>-0.541951026930382</v>
      </c>
      <c r="U1067">
        <v>-7.00342333129512</v>
      </c>
      <c r="V1067">
        <v>0.59453691231876504</v>
      </c>
      <c r="W1067">
        <v>0.73063728427652097</v>
      </c>
      <c r="X1067">
        <v>0</v>
      </c>
      <c r="Y1067">
        <v>0</v>
      </c>
    </row>
    <row r="1068" spans="1:25" x14ac:dyDescent="0.2">
      <c r="A1068" t="s">
        <v>3952</v>
      </c>
      <c r="B1068" t="s">
        <v>3953</v>
      </c>
      <c r="C1068" t="s">
        <v>3954</v>
      </c>
      <c r="D1068" t="s">
        <v>3955</v>
      </c>
      <c r="E1068" t="s">
        <v>3953</v>
      </c>
      <c r="F1068" t="s">
        <v>28</v>
      </c>
      <c r="G1068" t="s">
        <v>3953</v>
      </c>
      <c r="H1068" t="str">
        <f>"nol-58"</f>
        <v>nol-58</v>
      </c>
      <c r="I1068" t="s">
        <v>3955</v>
      </c>
      <c r="J1068">
        <v>18.306698769513499</v>
      </c>
      <c r="K1068">
        <v>18.153522444323901</v>
      </c>
      <c r="L1068">
        <v>18.229327181943098</v>
      </c>
      <c r="M1068">
        <v>18.1833392670591</v>
      </c>
      <c r="N1068">
        <v>18.123292280542199</v>
      </c>
      <c r="O1068">
        <v>17.4917957652594</v>
      </c>
      <c r="P1068">
        <v>-0.297040360973295</v>
      </c>
      <c r="Q1068">
        <v>-0.65624319961025701</v>
      </c>
      <c r="R1068">
        <v>6.21624776636674E-2</v>
      </c>
      <c r="S1068">
        <v>17.825398944872401</v>
      </c>
      <c r="T1068">
        <v>-1.7380738163226499</v>
      </c>
      <c r="U1068">
        <v>-5.6921059349002601</v>
      </c>
      <c r="V1068">
        <v>9.9374816511578506E-2</v>
      </c>
      <c r="W1068">
        <v>0.21629068261419601</v>
      </c>
      <c r="X1068">
        <v>0</v>
      </c>
      <c r="Y1068">
        <v>0</v>
      </c>
    </row>
    <row r="1069" spans="1:25" x14ac:dyDescent="0.2">
      <c r="A1069" t="s">
        <v>3956</v>
      </c>
      <c r="B1069" t="s">
        <v>3957</v>
      </c>
      <c r="C1069" t="s">
        <v>3958</v>
      </c>
      <c r="D1069" t="s">
        <v>3959</v>
      </c>
      <c r="E1069" t="s">
        <v>3957</v>
      </c>
      <c r="F1069" t="s">
        <v>28</v>
      </c>
      <c r="G1069" t="s">
        <v>3957</v>
      </c>
      <c r="H1069" t="str">
        <f>"C11D2.4"</f>
        <v>C11D2.4</v>
      </c>
      <c r="I1069" t="s">
        <v>3959</v>
      </c>
      <c r="J1069">
        <v>13.654740523931499</v>
      </c>
      <c r="K1069">
        <v>13.782748797852699</v>
      </c>
      <c r="L1069">
        <v>13.9479831053069</v>
      </c>
      <c r="M1069" t="s">
        <v>29</v>
      </c>
      <c r="N1069" t="s">
        <v>29</v>
      </c>
      <c r="O1069">
        <v>13.024228413453599</v>
      </c>
      <c r="P1069">
        <v>-0.77092906224340196</v>
      </c>
      <c r="Q1069">
        <v>-2.2770669520031599</v>
      </c>
      <c r="R1069">
        <v>0.73520882751635597</v>
      </c>
      <c r="S1069">
        <v>13.8977203330499</v>
      </c>
      <c r="T1069">
        <v>-1.0856734404605199</v>
      </c>
      <c r="U1069">
        <v>-6.2158398264074899</v>
      </c>
      <c r="V1069">
        <v>0.293815138045877</v>
      </c>
      <c r="W1069">
        <v>0.46179904630463903</v>
      </c>
      <c r="X1069">
        <v>0</v>
      </c>
      <c r="Y1069">
        <v>0</v>
      </c>
    </row>
    <row r="1070" spans="1:25" x14ac:dyDescent="0.2">
      <c r="A1070" t="s">
        <v>3960</v>
      </c>
      <c r="B1070" t="s">
        <v>3961</v>
      </c>
      <c r="C1070" t="s">
        <v>14362</v>
      </c>
      <c r="D1070" t="s">
        <v>3962</v>
      </c>
      <c r="E1070" t="s">
        <v>3961</v>
      </c>
      <c r="F1070" t="s">
        <v>28</v>
      </c>
      <c r="G1070" t="s">
        <v>3961</v>
      </c>
      <c r="H1070" t="str">
        <f>"F53H1.3"</f>
        <v>F53H1.3</v>
      </c>
      <c r="I1070" t="s">
        <v>3962</v>
      </c>
      <c r="J1070">
        <v>12.2838137685393</v>
      </c>
      <c r="K1070">
        <v>12.076076272480201</v>
      </c>
      <c r="L1070">
        <v>12.2276767213604</v>
      </c>
      <c r="M1070" t="s">
        <v>29</v>
      </c>
      <c r="N1070" t="s">
        <v>29</v>
      </c>
      <c r="O1070">
        <v>12.754403008512901</v>
      </c>
      <c r="P1070">
        <v>0.55854742105288802</v>
      </c>
      <c r="Q1070">
        <v>-0.124630273130598</v>
      </c>
      <c r="R1070">
        <v>1.24172511523637</v>
      </c>
      <c r="S1070">
        <v>11.7872237843458</v>
      </c>
      <c r="T1070">
        <v>1.7547621798903701</v>
      </c>
      <c r="U1070">
        <v>-5.3415090030320496</v>
      </c>
      <c r="V1070">
        <v>0.10131400677341799</v>
      </c>
      <c r="W1070">
        <v>0.21888013957106001</v>
      </c>
      <c r="X1070">
        <v>0</v>
      </c>
      <c r="Y1070">
        <v>0</v>
      </c>
    </row>
    <row r="1071" spans="1:25" x14ac:dyDescent="0.2">
      <c r="A1071" t="s">
        <v>3963</v>
      </c>
      <c r="B1071" t="s">
        <v>3964</v>
      </c>
      <c r="C1071" t="s">
        <v>14363</v>
      </c>
      <c r="D1071" t="s">
        <v>844</v>
      </c>
      <c r="E1071" t="s">
        <v>3964</v>
      </c>
      <c r="F1071" t="s">
        <v>28</v>
      </c>
      <c r="G1071" t="s">
        <v>3964</v>
      </c>
      <c r="H1071" t="str">
        <f>"F53H1.4"</f>
        <v>F53H1.4</v>
      </c>
      <c r="I1071" t="s">
        <v>844</v>
      </c>
      <c r="J1071">
        <v>11.8709065215441</v>
      </c>
      <c r="K1071">
        <v>12.5301332934441</v>
      </c>
      <c r="L1071">
        <v>13.093082590880901</v>
      </c>
      <c r="M1071" t="s">
        <v>29</v>
      </c>
      <c r="N1071">
        <v>12.863144833120799</v>
      </c>
      <c r="O1071">
        <v>12.77780728283</v>
      </c>
      <c r="P1071">
        <v>0.32243525601901102</v>
      </c>
      <c r="Q1071">
        <v>-0.40262001022298</v>
      </c>
      <c r="R1071">
        <v>1.047490522261</v>
      </c>
      <c r="S1071">
        <v>13.4302899325043</v>
      </c>
      <c r="T1071">
        <v>0.93868834296164105</v>
      </c>
      <c r="U1071">
        <v>-6.5940635018125802</v>
      </c>
      <c r="V1071">
        <v>0.361117744950396</v>
      </c>
      <c r="W1071">
        <v>0.52981020951199198</v>
      </c>
      <c r="X1071">
        <v>0</v>
      </c>
      <c r="Y1071">
        <v>0</v>
      </c>
    </row>
    <row r="1072" spans="1:25" x14ac:dyDescent="0.2">
      <c r="A1072" t="s">
        <v>3965</v>
      </c>
      <c r="B1072" t="s">
        <v>3966</v>
      </c>
      <c r="C1072" t="s">
        <v>3967</v>
      </c>
      <c r="D1072" t="s">
        <v>3968</v>
      </c>
      <c r="E1072" t="s">
        <v>3966</v>
      </c>
      <c r="F1072" t="s">
        <v>28</v>
      </c>
      <c r="G1072" t="s">
        <v>3966</v>
      </c>
      <c r="H1072" t="str">
        <f>"C17H12.2"</f>
        <v>C17H12.2</v>
      </c>
      <c r="I1072" t="s">
        <v>3968</v>
      </c>
      <c r="J1072" t="s">
        <v>29</v>
      </c>
      <c r="K1072">
        <v>11.583907332481299</v>
      </c>
      <c r="L1072" t="s">
        <v>29</v>
      </c>
      <c r="M1072" t="s">
        <v>29</v>
      </c>
      <c r="N1072" t="s">
        <v>29</v>
      </c>
      <c r="O1072" t="s">
        <v>29</v>
      </c>
      <c r="P1072" t="s">
        <v>29</v>
      </c>
      <c r="Q1072" t="s">
        <v>29</v>
      </c>
      <c r="R1072" t="s">
        <v>29</v>
      </c>
      <c r="S1072">
        <v>11.3024972094187</v>
      </c>
      <c r="T1072" t="s">
        <v>29</v>
      </c>
      <c r="U1072" t="s">
        <v>29</v>
      </c>
      <c r="V1072" t="s">
        <v>29</v>
      </c>
      <c r="W1072" t="s">
        <v>29</v>
      </c>
      <c r="X1072" t="s">
        <v>29</v>
      </c>
      <c r="Y1072" t="s">
        <v>29</v>
      </c>
    </row>
    <row r="1073" spans="1:25" x14ac:dyDescent="0.2">
      <c r="A1073" t="s">
        <v>3969</v>
      </c>
      <c r="B1073" t="s">
        <v>3970</v>
      </c>
      <c r="C1073" t="s">
        <v>3971</v>
      </c>
      <c r="D1073" t="s">
        <v>534</v>
      </c>
      <c r="E1073" t="s">
        <v>3970</v>
      </c>
      <c r="F1073" t="s">
        <v>28</v>
      </c>
      <c r="G1073" t="s">
        <v>3970</v>
      </c>
      <c r="H1073" t="str">
        <f>"dyci-1"</f>
        <v>dyci-1</v>
      </c>
      <c r="I1073" t="s">
        <v>534</v>
      </c>
      <c r="J1073">
        <v>14.5050678874944</v>
      </c>
      <c r="K1073">
        <v>14.696144351787099</v>
      </c>
      <c r="L1073">
        <v>14.5065342512294</v>
      </c>
      <c r="M1073">
        <v>13.4640961065351</v>
      </c>
      <c r="N1073">
        <v>14.181217802972601</v>
      </c>
      <c r="O1073">
        <v>14.3129867461576</v>
      </c>
      <c r="P1073">
        <v>-0.58314861161521703</v>
      </c>
      <c r="Q1073">
        <v>-1.0015761419986799</v>
      </c>
      <c r="R1073">
        <v>-0.16472108123175599</v>
      </c>
      <c r="S1073">
        <v>14.2619045656579</v>
      </c>
      <c r="T1073">
        <v>-2.92921674395014</v>
      </c>
      <c r="U1073">
        <v>-3.4827653549722202</v>
      </c>
      <c r="V1073">
        <v>9.00088422176595E-3</v>
      </c>
      <c r="W1073">
        <v>4.2558144229318001E-2</v>
      </c>
      <c r="X1073">
        <v>0</v>
      </c>
      <c r="Y1073">
        <v>0</v>
      </c>
    </row>
    <row r="1074" spans="1:25" x14ac:dyDescent="0.2">
      <c r="A1074" t="s">
        <v>3972</v>
      </c>
      <c r="B1074" t="s">
        <v>3973</v>
      </c>
      <c r="C1074" t="s">
        <v>3974</v>
      </c>
      <c r="D1074" t="s">
        <v>3975</v>
      </c>
      <c r="E1074" t="s">
        <v>3973</v>
      </c>
      <c r="F1074" t="s">
        <v>28</v>
      </c>
      <c r="G1074" t="s">
        <v>3973</v>
      </c>
      <c r="H1074" t="str">
        <f>"mec-17"</f>
        <v>mec-17</v>
      </c>
      <c r="I1074" t="s">
        <v>3975</v>
      </c>
      <c r="J1074">
        <v>14.1508030377239</v>
      </c>
      <c r="K1074">
        <v>14.4609733233979</v>
      </c>
      <c r="L1074">
        <v>14.0180745477263</v>
      </c>
      <c r="M1074" t="s">
        <v>29</v>
      </c>
      <c r="N1074">
        <v>12.6362684748429</v>
      </c>
      <c r="O1074">
        <v>13.322873770233</v>
      </c>
      <c r="P1074">
        <v>-1.2303791804114099</v>
      </c>
      <c r="Q1074">
        <v>-1.8053896197766699</v>
      </c>
      <c r="R1074">
        <v>-0.65536874104616105</v>
      </c>
      <c r="S1074">
        <v>13.7148639990546</v>
      </c>
      <c r="T1074">
        <v>-4.5166169231308899</v>
      </c>
      <c r="U1074">
        <v>-4.0540959513279497E-2</v>
      </c>
      <c r="V1074">
        <v>3.0915668207493098E-4</v>
      </c>
      <c r="W1074">
        <v>3.7961864253117602E-3</v>
      </c>
      <c r="X1074">
        <v>-1</v>
      </c>
      <c r="Y1074">
        <v>-1</v>
      </c>
    </row>
    <row r="1075" spans="1:25" x14ac:dyDescent="0.2">
      <c r="A1075" t="s">
        <v>3976</v>
      </c>
      <c r="B1075" t="s">
        <v>3977</v>
      </c>
      <c r="C1075" t="s">
        <v>3978</v>
      </c>
      <c r="D1075" t="s">
        <v>3312</v>
      </c>
      <c r="E1075" t="s">
        <v>3977</v>
      </c>
      <c r="F1075" t="s">
        <v>28</v>
      </c>
      <c r="G1075" t="s">
        <v>3977</v>
      </c>
      <c r="H1075" t="str">
        <f>"col-101"</f>
        <v>col-101</v>
      </c>
      <c r="I1075" t="s">
        <v>3312</v>
      </c>
      <c r="J1075" t="s">
        <v>29</v>
      </c>
      <c r="K1075" t="s">
        <v>29</v>
      </c>
      <c r="L1075" t="s">
        <v>29</v>
      </c>
      <c r="M1075" t="s">
        <v>29</v>
      </c>
      <c r="N1075" t="s">
        <v>29</v>
      </c>
      <c r="O1075" t="s">
        <v>29</v>
      </c>
      <c r="P1075" t="s">
        <v>29</v>
      </c>
      <c r="Q1075" t="s">
        <v>29</v>
      </c>
      <c r="R1075" t="s">
        <v>29</v>
      </c>
      <c r="S1075">
        <v>14.6795186502583</v>
      </c>
      <c r="T1075" t="s">
        <v>29</v>
      </c>
      <c r="U1075" t="s">
        <v>29</v>
      </c>
      <c r="V1075" t="s">
        <v>29</v>
      </c>
      <c r="W1075" t="s">
        <v>29</v>
      </c>
      <c r="X1075" t="s">
        <v>29</v>
      </c>
      <c r="Y1075" t="s">
        <v>29</v>
      </c>
    </row>
    <row r="1076" spans="1:25" x14ac:dyDescent="0.2">
      <c r="A1076" t="s">
        <v>3979</v>
      </c>
      <c r="B1076" t="s">
        <v>3980</v>
      </c>
      <c r="C1076" t="s">
        <v>3981</v>
      </c>
      <c r="D1076" t="s">
        <v>3982</v>
      </c>
      <c r="E1076" t="s">
        <v>3980</v>
      </c>
      <c r="F1076" t="s">
        <v>28</v>
      </c>
      <c r="G1076" t="s">
        <v>3980</v>
      </c>
      <c r="H1076" t="str">
        <f>"ech-5"</f>
        <v>ech-5</v>
      </c>
      <c r="I1076" t="s">
        <v>3982</v>
      </c>
      <c r="J1076">
        <v>16.716214909684201</v>
      </c>
      <c r="K1076">
        <v>16.499218857913199</v>
      </c>
      <c r="L1076">
        <v>16.6352208652218</v>
      </c>
      <c r="M1076">
        <v>16.424258666728502</v>
      </c>
      <c r="N1076">
        <v>16.1381580503602</v>
      </c>
      <c r="O1076">
        <v>16.4058132760556</v>
      </c>
      <c r="P1076">
        <v>-0.29414154655826902</v>
      </c>
      <c r="Q1076">
        <v>-0.62727863652494298</v>
      </c>
      <c r="R1076">
        <v>3.8995543408405803E-2</v>
      </c>
      <c r="S1076">
        <v>16.085628579597898</v>
      </c>
      <c r="T1076">
        <v>-1.8557774660247</v>
      </c>
      <c r="U1076">
        <v>-5.5042732690543197</v>
      </c>
      <c r="V1076">
        <v>8.00316008262308E-2</v>
      </c>
      <c r="W1076">
        <v>0.187185021932462</v>
      </c>
      <c r="X1076">
        <v>0</v>
      </c>
      <c r="Y1076">
        <v>0</v>
      </c>
    </row>
    <row r="1077" spans="1:25" x14ac:dyDescent="0.2">
      <c r="A1077" t="s">
        <v>3983</v>
      </c>
      <c r="B1077" t="s">
        <v>3984</v>
      </c>
      <c r="C1077" t="s">
        <v>3985</v>
      </c>
      <c r="D1077" t="s">
        <v>3986</v>
      </c>
      <c r="E1077" t="s">
        <v>3984</v>
      </c>
      <c r="F1077" t="s">
        <v>28</v>
      </c>
      <c r="G1077" t="s">
        <v>3984</v>
      </c>
      <c r="H1077" t="str">
        <f>"mrpl-2"</f>
        <v>mrpl-2</v>
      </c>
      <c r="I1077" t="s">
        <v>3986</v>
      </c>
      <c r="J1077">
        <v>13.515590774668199</v>
      </c>
      <c r="K1077">
        <v>13.543750762809101</v>
      </c>
      <c r="L1077">
        <v>13.1024717532141</v>
      </c>
      <c r="M1077" t="s">
        <v>29</v>
      </c>
      <c r="N1077">
        <v>12.5060609302241</v>
      </c>
      <c r="O1077">
        <v>12.6772117819788</v>
      </c>
      <c r="P1077">
        <v>-0.79563474079567698</v>
      </c>
      <c r="Q1077">
        <v>-1.32118747794021</v>
      </c>
      <c r="R1077">
        <v>-0.27008200365113899</v>
      </c>
      <c r="S1077">
        <v>13.0098520768498</v>
      </c>
      <c r="T1077">
        <v>-3.2110492415122001</v>
      </c>
      <c r="U1077">
        <v>-2.8625900621935298</v>
      </c>
      <c r="V1077">
        <v>5.4868054455618296E-3</v>
      </c>
      <c r="W1077">
        <v>2.9938280571776402E-2</v>
      </c>
      <c r="X1077">
        <v>0</v>
      </c>
      <c r="Y1077">
        <v>0</v>
      </c>
    </row>
    <row r="1078" spans="1:25" x14ac:dyDescent="0.2">
      <c r="A1078" t="s">
        <v>3987</v>
      </c>
      <c r="B1078" t="s">
        <v>3988</v>
      </c>
      <c r="C1078" t="s">
        <v>3989</v>
      </c>
      <c r="D1078" t="s">
        <v>3312</v>
      </c>
      <c r="E1078" t="s">
        <v>3988</v>
      </c>
      <c r="F1078" t="s">
        <v>28</v>
      </c>
      <c r="G1078" t="s">
        <v>3988</v>
      </c>
      <c r="H1078" t="str">
        <f>"col-103"</f>
        <v>col-103</v>
      </c>
      <c r="I1078" t="s">
        <v>3312</v>
      </c>
      <c r="J1078">
        <v>12.3933753640479</v>
      </c>
      <c r="K1078">
        <v>12.9070492292879</v>
      </c>
      <c r="L1078">
        <v>12.853941489136499</v>
      </c>
      <c r="M1078" t="s">
        <v>29</v>
      </c>
      <c r="N1078">
        <v>14.6018092531822</v>
      </c>
      <c r="O1078">
        <v>12.7319815088524</v>
      </c>
      <c r="P1078">
        <v>0.94877335352651404</v>
      </c>
      <c r="Q1078">
        <v>4.9853454703644197E-2</v>
      </c>
      <c r="R1078">
        <v>1.8476932523493801</v>
      </c>
      <c r="S1078">
        <v>13.0275741971678</v>
      </c>
      <c r="T1078">
        <v>2.2386748203184998</v>
      </c>
      <c r="U1078">
        <v>-4.75012023591625</v>
      </c>
      <c r="V1078">
        <v>3.9843237096662001E-2</v>
      </c>
      <c r="W1078">
        <v>0.11777133372503799</v>
      </c>
      <c r="X1078">
        <v>0</v>
      </c>
      <c r="Y1078">
        <v>0</v>
      </c>
    </row>
    <row r="1079" spans="1:25" x14ac:dyDescent="0.2">
      <c r="A1079" t="s">
        <v>3990</v>
      </c>
      <c r="B1079" t="s">
        <v>3991</v>
      </c>
      <c r="C1079" t="s">
        <v>3992</v>
      </c>
      <c r="D1079" t="s">
        <v>3993</v>
      </c>
      <c r="E1079" t="s">
        <v>3991</v>
      </c>
      <c r="F1079" t="s">
        <v>28</v>
      </c>
      <c r="G1079" t="s">
        <v>3991</v>
      </c>
      <c r="H1079" t="str">
        <f>"xnd-1"</f>
        <v>xnd-1</v>
      </c>
      <c r="I1079" t="s">
        <v>3993</v>
      </c>
      <c r="J1079" t="s">
        <v>29</v>
      </c>
      <c r="K1079" t="s">
        <v>29</v>
      </c>
      <c r="L1079" t="s">
        <v>29</v>
      </c>
      <c r="M1079" t="s">
        <v>29</v>
      </c>
      <c r="N1079" t="s">
        <v>29</v>
      </c>
      <c r="O1079" t="s">
        <v>29</v>
      </c>
      <c r="P1079" t="s">
        <v>29</v>
      </c>
      <c r="Q1079" t="s">
        <v>29</v>
      </c>
      <c r="R1079" t="s">
        <v>29</v>
      </c>
      <c r="S1079">
        <v>12.0483269058664</v>
      </c>
      <c r="T1079" t="s">
        <v>29</v>
      </c>
      <c r="U1079" t="s">
        <v>29</v>
      </c>
      <c r="V1079" t="s">
        <v>29</v>
      </c>
      <c r="W1079" t="s">
        <v>29</v>
      </c>
      <c r="X1079" t="s">
        <v>29</v>
      </c>
      <c r="Y1079" t="s">
        <v>29</v>
      </c>
    </row>
    <row r="1080" spans="1:25" x14ac:dyDescent="0.2">
      <c r="A1080" t="s">
        <v>3994</v>
      </c>
      <c r="B1080" t="s">
        <v>3995</v>
      </c>
      <c r="C1080" t="s">
        <v>3996</v>
      </c>
      <c r="D1080" t="s">
        <v>3997</v>
      </c>
      <c r="E1080" t="s">
        <v>3995</v>
      </c>
      <c r="F1080" t="s">
        <v>28</v>
      </c>
      <c r="G1080" t="s">
        <v>3995</v>
      </c>
      <c r="H1080" t="str">
        <f>"dlst-1"</f>
        <v>dlst-1</v>
      </c>
      <c r="I1080" t="s">
        <v>3997</v>
      </c>
      <c r="J1080">
        <v>12.495904846944301</v>
      </c>
      <c r="K1080">
        <v>12.767345290861901</v>
      </c>
      <c r="L1080">
        <v>13.178993848621801</v>
      </c>
      <c r="M1080">
        <v>15.202589305265199</v>
      </c>
      <c r="N1080">
        <v>13.3379257329117</v>
      </c>
      <c r="O1080">
        <v>12.8013715774751</v>
      </c>
      <c r="P1080">
        <v>0.96654754307469704</v>
      </c>
      <c r="Q1080">
        <v>-0.17005664080071101</v>
      </c>
      <c r="R1080">
        <v>2.1031517269501001</v>
      </c>
      <c r="S1080">
        <v>13.5114346820372</v>
      </c>
      <c r="T1080">
        <v>1.7873371569011101</v>
      </c>
      <c r="U1080">
        <v>-5.6145293145148703</v>
      </c>
      <c r="V1080">
        <v>9.0832373391790899E-2</v>
      </c>
      <c r="W1080">
        <v>0.20387129046885599</v>
      </c>
      <c r="X1080">
        <v>0</v>
      </c>
      <c r="Y1080">
        <v>0</v>
      </c>
    </row>
    <row r="1081" spans="1:25" x14ac:dyDescent="0.2">
      <c r="A1081" t="s">
        <v>3998</v>
      </c>
      <c r="B1081" t="s">
        <v>3999</v>
      </c>
      <c r="C1081" t="s">
        <v>4000</v>
      </c>
      <c r="D1081" t="s">
        <v>3358</v>
      </c>
      <c r="E1081" t="s">
        <v>3999</v>
      </c>
      <c r="F1081" t="s">
        <v>28</v>
      </c>
      <c r="G1081" t="s">
        <v>4001</v>
      </c>
      <c r="H1081" t="str">
        <f>"fbxa-65"</f>
        <v>fbxa-65</v>
      </c>
      <c r="I1081" t="s">
        <v>3358</v>
      </c>
      <c r="J1081">
        <v>10.1144022944369</v>
      </c>
      <c r="K1081" t="s">
        <v>29</v>
      </c>
      <c r="L1081">
        <v>10.4834519311446</v>
      </c>
      <c r="M1081" t="s">
        <v>29</v>
      </c>
      <c r="N1081" t="s">
        <v>29</v>
      </c>
      <c r="O1081">
        <v>10.848424719775799</v>
      </c>
      <c r="P1081">
        <v>0.54949760698511696</v>
      </c>
      <c r="Q1081">
        <v>-0.47974540154717599</v>
      </c>
      <c r="R1081">
        <v>1.57874061551741</v>
      </c>
      <c r="S1081">
        <v>10.6865092164374</v>
      </c>
      <c r="T1081">
        <v>1.2339955440025601</v>
      </c>
      <c r="U1081">
        <v>-5.98156878168707</v>
      </c>
      <c r="V1081">
        <v>0.25267294181195799</v>
      </c>
      <c r="W1081">
        <v>0.42069331046318698</v>
      </c>
      <c r="X1081">
        <v>0</v>
      </c>
      <c r="Y1081">
        <v>0</v>
      </c>
    </row>
    <row r="1082" spans="1:25" x14ac:dyDescent="0.2">
      <c r="A1082" t="s">
        <v>4002</v>
      </c>
      <c r="B1082" t="s">
        <v>4003</v>
      </c>
      <c r="C1082" t="s">
        <v>4004</v>
      </c>
      <c r="D1082" t="s">
        <v>4005</v>
      </c>
      <c r="E1082" t="s">
        <v>4003</v>
      </c>
      <c r="F1082" t="s">
        <v>28</v>
      </c>
      <c r="G1082" t="s">
        <v>4003</v>
      </c>
      <c r="H1082" t="str">
        <f>"folt-2"</f>
        <v>folt-2</v>
      </c>
      <c r="I1082" t="s">
        <v>4005</v>
      </c>
      <c r="J1082">
        <v>16.220465635318799</v>
      </c>
      <c r="K1082">
        <v>16.3248212137783</v>
      </c>
      <c r="L1082">
        <v>16.613702310123799</v>
      </c>
      <c r="M1082">
        <v>15.322530870475701</v>
      </c>
      <c r="N1082">
        <v>15.4513379688482</v>
      </c>
      <c r="O1082">
        <v>15.0189409975548</v>
      </c>
      <c r="P1082">
        <v>-1.1220597741140701</v>
      </c>
      <c r="Q1082">
        <v>-1.54287198945447</v>
      </c>
      <c r="R1082">
        <v>-0.70124755877365696</v>
      </c>
      <c r="S1082">
        <v>16.3054106489069</v>
      </c>
      <c r="T1082">
        <v>-5.60428442612863</v>
      </c>
      <c r="U1082">
        <v>2.32006294738337</v>
      </c>
      <c r="V1082" s="2">
        <v>2.6153457782192699E-5</v>
      </c>
      <c r="W1082">
        <v>6.2156645229130504E-4</v>
      </c>
      <c r="X1082">
        <v>-1</v>
      </c>
      <c r="Y1082">
        <v>-1</v>
      </c>
    </row>
    <row r="1083" spans="1:25" x14ac:dyDescent="0.2">
      <c r="A1083" t="s">
        <v>4006</v>
      </c>
      <c r="B1083" t="s">
        <v>4007</v>
      </c>
      <c r="C1083" t="s">
        <v>4008</v>
      </c>
      <c r="D1083" t="s">
        <v>4009</v>
      </c>
      <c r="E1083" t="s">
        <v>4007</v>
      </c>
      <c r="F1083" t="s">
        <v>28</v>
      </c>
      <c r="G1083" t="s">
        <v>4007</v>
      </c>
      <c r="H1083" t="str">
        <f>"ifc-1"</f>
        <v>ifc-1</v>
      </c>
      <c r="I1083" t="s">
        <v>4009</v>
      </c>
      <c r="J1083">
        <v>13.498727623788399</v>
      </c>
      <c r="K1083">
        <v>14.516349700174199</v>
      </c>
      <c r="L1083">
        <v>15.8925230747424</v>
      </c>
      <c r="M1083">
        <v>16.735285021765801</v>
      </c>
      <c r="N1083">
        <v>15.323518717294</v>
      </c>
      <c r="O1083">
        <v>15.218409458892401</v>
      </c>
      <c r="P1083">
        <v>1.12320426641574</v>
      </c>
      <c r="Q1083">
        <v>-0.13897246471104199</v>
      </c>
      <c r="R1083">
        <v>2.3853809975425202</v>
      </c>
      <c r="S1083">
        <v>14.5374783938927</v>
      </c>
      <c r="T1083">
        <v>1.87038533249047</v>
      </c>
      <c r="U1083">
        <v>-5.4803763874830098</v>
      </c>
      <c r="V1083">
        <v>7.7878424615577396E-2</v>
      </c>
      <c r="W1083">
        <v>0.184067280992394</v>
      </c>
      <c r="X1083">
        <v>0</v>
      </c>
      <c r="Y1083">
        <v>0</v>
      </c>
    </row>
    <row r="1084" spans="1:25" x14ac:dyDescent="0.2">
      <c r="A1084" t="s">
        <v>4010</v>
      </c>
      <c r="B1084" t="s">
        <v>4011</v>
      </c>
      <c r="C1084" t="s">
        <v>4012</v>
      </c>
      <c r="D1084" t="s">
        <v>93</v>
      </c>
      <c r="E1084" t="s">
        <v>4011</v>
      </c>
      <c r="F1084" t="s">
        <v>28</v>
      </c>
      <c r="G1084" t="s">
        <v>4011</v>
      </c>
      <c r="H1084" t="str">
        <f>"nucl-1"</f>
        <v>nucl-1</v>
      </c>
      <c r="I1084" t="s">
        <v>93</v>
      </c>
      <c r="J1084">
        <v>17.154323629845099</v>
      </c>
      <c r="K1084">
        <v>17.146894827783299</v>
      </c>
      <c r="L1084">
        <v>17.714488665728201</v>
      </c>
      <c r="M1084">
        <v>16.739790199205999</v>
      </c>
      <c r="N1084">
        <v>17.529357596569898</v>
      </c>
      <c r="O1084">
        <v>17.842901244465999</v>
      </c>
      <c r="P1084">
        <v>3.2113972295096702E-2</v>
      </c>
      <c r="Q1084">
        <v>-0.51892832363605301</v>
      </c>
      <c r="R1084">
        <v>0.583156268226247</v>
      </c>
      <c r="S1084">
        <v>18.271048802754599</v>
      </c>
      <c r="T1084">
        <v>0.12249027412855799</v>
      </c>
      <c r="U1084">
        <v>-7.1484314814207401</v>
      </c>
      <c r="V1084">
        <v>0.90387588154934095</v>
      </c>
      <c r="W1084">
        <v>0.942910521389701</v>
      </c>
      <c r="X1084">
        <v>0</v>
      </c>
      <c r="Y1084">
        <v>0</v>
      </c>
    </row>
    <row r="1085" spans="1:25" x14ac:dyDescent="0.2">
      <c r="A1085" t="s">
        <v>4013</v>
      </c>
      <c r="B1085" t="s">
        <v>4014</v>
      </c>
      <c r="C1085" t="s">
        <v>4015</v>
      </c>
      <c r="D1085" t="s">
        <v>4016</v>
      </c>
      <c r="E1085" t="s">
        <v>4014</v>
      </c>
      <c r="F1085" t="s">
        <v>28</v>
      </c>
      <c r="G1085" t="s">
        <v>4014</v>
      </c>
      <c r="H1085" t="str">
        <f>"ads-1"</f>
        <v>ads-1</v>
      </c>
      <c r="I1085" t="s">
        <v>4016</v>
      </c>
      <c r="J1085">
        <v>15.1451266388709</v>
      </c>
      <c r="K1085">
        <v>14.8922236346092</v>
      </c>
      <c r="L1085">
        <v>14.895672508689501</v>
      </c>
      <c r="M1085">
        <v>15.0021711236289</v>
      </c>
      <c r="N1085">
        <v>14.838010742015401</v>
      </c>
      <c r="O1085">
        <v>14.915218599436001</v>
      </c>
      <c r="P1085">
        <v>-5.9207439029751903E-2</v>
      </c>
      <c r="Q1085">
        <v>-0.42456564677040298</v>
      </c>
      <c r="R1085">
        <v>0.30615076871089902</v>
      </c>
      <c r="S1085">
        <v>14.6020752737892</v>
      </c>
      <c r="T1085">
        <v>-0.340604139174779</v>
      </c>
      <c r="U1085">
        <v>-7.0956178861807997</v>
      </c>
      <c r="V1085">
        <v>0.73736754522987202</v>
      </c>
      <c r="W1085">
        <v>0.830810459118972</v>
      </c>
      <c r="X1085">
        <v>0</v>
      </c>
      <c r="Y1085">
        <v>0</v>
      </c>
    </row>
    <row r="1086" spans="1:25" x14ac:dyDescent="0.2">
      <c r="A1086" t="s">
        <v>4017</v>
      </c>
      <c r="B1086" t="s">
        <v>4018</v>
      </c>
      <c r="C1086" t="s">
        <v>4019</v>
      </c>
      <c r="D1086" t="s">
        <v>4020</v>
      </c>
      <c r="E1086" t="s">
        <v>4018</v>
      </c>
      <c r="F1086" t="s">
        <v>28</v>
      </c>
      <c r="G1086" t="s">
        <v>4018</v>
      </c>
      <c r="H1086" t="str">
        <f>"rpl-29"</f>
        <v>rpl-29</v>
      </c>
      <c r="I1086" t="s">
        <v>4020</v>
      </c>
      <c r="J1086">
        <v>15.744600489625199</v>
      </c>
      <c r="K1086">
        <v>15.579150823068399</v>
      </c>
      <c r="L1086">
        <v>14.9768678191631</v>
      </c>
      <c r="M1086">
        <v>16.928198640923199</v>
      </c>
      <c r="N1086">
        <v>17.5971621797</v>
      </c>
      <c r="O1086">
        <v>15.5801059058573</v>
      </c>
      <c r="P1086">
        <v>1.26828253154126</v>
      </c>
      <c r="Q1086">
        <v>3.2219816791397397E-2</v>
      </c>
      <c r="R1086">
        <v>2.5043452462911202</v>
      </c>
      <c r="S1086">
        <v>14.965521700280901</v>
      </c>
      <c r="T1086">
        <v>2.1565921380360402</v>
      </c>
      <c r="U1086">
        <v>-4.9882597454988602</v>
      </c>
      <c r="V1086">
        <v>4.4892619374216597E-2</v>
      </c>
      <c r="W1086">
        <v>0.12623907375554999</v>
      </c>
      <c r="X1086">
        <v>1</v>
      </c>
      <c r="Y1086">
        <v>0</v>
      </c>
    </row>
    <row r="1087" spans="1:25" x14ac:dyDescent="0.2">
      <c r="A1087" t="s">
        <v>4021</v>
      </c>
      <c r="B1087" t="s">
        <v>4022</v>
      </c>
      <c r="C1087" t="s">
        <v>4023</v>
      </c>
      <c r="D1087" t="s">
        <v>4024</v>
      </c>
      <c r="E1087" t="s">
        <v>4022</v>
      </c>
      <c r="F1087" t="s">
        <v>28</v>
      </c>
      <c r="G1087" t="s">
        <v>4022</v>
      </c>
      <c r="H1087" t="str">
        <f>"prdh-1"</f>
        <v>prdh-1</v>
      </c>
      <c r="I1087" t="s">
        <v>4024</v>
      </c>
      <c r="J1087">
        <v>12.8767349591421</v>
      </c>
      <c r="K1087">
        <v>13.009586285210601</v>
      </c>
      <c r="L1087">
        <v>12.8519553534188</v>
      </c>
      <c r="M1087" t="s">
        <v>29</v>
      </c>
      <c r="N1087">
        <v>12.63806181428</v>
      </c>
      <c r="O1087">
        <v>12.731158188173</v>
      </c>
      <c r="P1087">
        <v>-0.228148864697273</v>
      </c>
      <c r="Q1087">
        <v>-0.80819471045247404</v>
      </c>
      <c r="R1087">
        <v>0.35189698105792799</v>
      </c>
      <c r="S1087">
        <v>12.5868027530615</v>
      </c>
      <c r="T1087">
        <v>-0.83024449449948201</v>
      </c>
      <c r="U1087">
        <v>-6.6903888508105904</v>
      </c>
      <c r="V1087">
        <v>0.41797857331407701</v>
      </c>
      <c r="W1087">
        <v>0.584614549386134</v>
      </c>
      <c r="X1087">
        <v>0</v>
      </c>
      <c r="Y1087">
        <v>0</v>
      </c>
    </row>
    <row r="1088" spans="1:25" x14ac:dyDescent="0.2">
      <c r="A1088" t="s">
        <v>4025</v>
      </c>
      <c r="B1088" t="s">
        <v>4026</v>
      </c>
      <c r="C1088" t="s">
        <v>4027</v>
      </c>
      <c r="D1088" t="s">
        <v>4028</v>
      </c>
      <c r="E1088" t="s">
        <v>4026</v>
      </c>
      <c r="F1088" t="s">
        <v>28</v>
      </c>
      <c r="G1088" t="s">
        <v>4026</v>
      </c>
      <c r="H1088" t="str">
        <f>"mog-4"</f>
        <v>mog-4</v>
      </c>
      <c r="I1088" t="s">
        <v>4028</v>
      </c>
      <c r="J1088">
        <v>13.3330787319897</v>
      </c>
      <c r="K1088">
        <v>13.0650063110684</v>
      </c>
      <c r="L1088">
        <v>13.371328057368601</v>
      </c>
      <c r="M1088">
        <v>14.388425210495001</v>
      </c>
      <c r="N1088">
        <v>14.320902422854999</v>
      </c>
      <c r="O1088">
        <v>14.653137152516001</v>
      </c>
      <c r="P1088">
        <v>1.19768389514638</v>
      </c>
      <c r="Q1088">
        <v>0.72358715602214796</v>
      </c>
      <c r="R1088">
        <v>1.6717806342706001</v>
      </c>
      <c r="S1088">
        <v>14.343157151786199</v>
      </c>
      <c r="T1088">
        <v>5.3096727450492098</v>
      </c>
      <c r="U1088">
        <v>1.69293811406795</v>
      </c>
      <c r="V1088" s="2">
        <v>4.8656997886320203E-5</v>
      </c>
      <c r="W1088">
        <v>9.8891153635162596E-4</v>
      </c>
      <c r="X1088">
        <v>1</v>
      </c>
      <c r="Y1088">
        <v>1</v>
      </c>
    </row>
    <row r="1089" spans="1:25" x14ac:dyDescent="0.2">
      <c r="A1089" t="s">
        <v>4029</v>
      </c>
      <c r="B1089" t="s">
        <v>4030</v>
      </c>
      <c r="C1089" t="s">
        <v>4031</v>
      </c>
      <c r="D1089" t="s">
        <v>4032</v>
      </c>
      <c r="E1089" t="s">
        <v>4030</v>
      </c>
      <c r="F1089" t="s">
        <v>28</v>
      </c>
      <c r="G1089" t="s">
        <v>4030</v>
      </c>
      <c r="H1089" t="str">
        <f>"dlat-2"</f>
        <v>dlat-2</v>
      </c>
      <c r="I1089" t="s">
        <v>4032</v>
      </c>
      <c r="J1089">
        <v>14.3538741288796</v>
      </c>
      <c r="K1089">
        <v>14.359976437674399</v>
      </c>
      <c r="L1089">
        <v>14.327158608490199</v>
      </c>
      <c r="M1089">
        <v>13.036353706770999</v>
      </c>
      <c r="N1089">
        <v>13.222681348484899</v>
      </c>
      <c r="O1089">
        <v>13.806255445707</v>
      </c>
      <c r="P1089">
        <v>-0.99190622469370704</v>
      </c>
      <c r="Q1089">
        <v>-1.4218526346756999</v>
      </c>
      <c r="R1089">
        <v>-0.56195981471171796</v>
      </c>
      <c r="S1089">
        <v>13.9991569573913</v>
      </c>
      <c r="T1089">
        <v>-4.8489622363984903</v>
      </c>
      <c r="U1089">
        <v>0.69586510964377402</v>
      </c>
      <c r="V1089">
        <v>1.3092543106643301E-4</v>
      </c>
      <c r="W1089">
        <v>2.1023759702520298E-3</v>
      </c>
      <c r="X1089">
        <v>0</v>
      </c>
      <c r="Y1089">
        <v>0</v>
      </c>
    </row>
    <row r="1090" spans="1:25" x14ac:dyDescent="0.2">
      <c r="A1090" t="s">
        <v>4033</v>
      </c>
      <c r="B1090" t="s">
        <v>4034</v>
      </c>
      <c r="C1090" t="s">
        <v>4035</v>
      </c>
      <c r="D1090" t="s">
        <v>4036</v>
      </c>
      <c r="E1090" t="s">
        <v>4034</v>
      </c>
      <c r="F1090" t="s">
        <v>28</v>
      </c>
      <c r="G1090" t="s">
        <v>4034</v>
      </c>
      <c r="H1090" t="str">
        <f>"lipt-1"</f>
        <v>lipt-1</v>
      </c>
      <c r="I1090" t="s">
        <v>4036</v>
      </c>
      <c r="J1090">
        <v>13.9085222621804</v>
      </c>
      <c r="K1090">
        <v>14.4627369720759</v>
      </c>
      <c r="L1090">
        <v>14.0358218289036</v>
      </c>
      <c r="M1090" t="s">
        <v>29</v>
      </c>
      <c r="N1090">
        <v>13.966414163869301</v>
      </c>
      <c r="O1090">
        <v>14.5014128700199</v>
      </c>
      <c r="P1090">
        <v>9.8219829224616403E-2</v>
      </c>
      <c r="Q1090">
        <v>-0.69208721073867396</v>
      </c>
      <c r="R1090">
        <v>0.88852686918790702</v>
      </c>
      <c r="S1090">
        <v>13.8383582345734</v>
      </c>
      <c r="T1090">
        <v>0.26233324852293299</v>
      </c>
      <c r="U1090">
        <v>-7.0093742072307599</v>
      </c>
      <c r="V1090">
        <v>0.79623639834255699</v>
      </c>
      <c r="W1090">
        <v>0.87230805424368596</v>
      </c>
      <c r="X1090">
        <v>0</v>
      </c>
      <c r="Y1090">
        <v>0</v>
      </c>
    </row>
    <row r="1091" spans="1:25" x14ac:dyDescent="0.2">
      <c r="A1091" t="s">
        <v>4037</v>
      </c>
      <c r="B1091" t="s">
        <v>4038</v>
      </c>
      <c r="C1091" t="s">
        <v>14364</v>
      </c>
      <c r="D1091" t="s">
        <v>4039</v>
      </c>
      <c r="E1091" t="s">
        <v>4038</v>
      </c>
      <c r="F1091" t="s">
        <v>28</v>
      </c>
      <c r="G1091" t="s">
        <v>4038</v>
      </c>
      <c r="H1091" t="str">
        <f>"F17B5.1"</f>
        <v>F17B5.1</v>
      </c>
      <c r="I1091" t="s">
        <v>4039</v>
      </c>
      <c r="J1091">
        <v>12.9340879445773</v>
      </c>
      <c r="K1091">
        <v>12.9672409777063</v>
      </c>
      <c r="L1091">
        <v>11.9848585536143</v>
      </c>
      <c r="M1091" t="s">
        <v>29</v>
      </c>
      <c r="N1091" t="s">
        <v>29</v>
      </c>
      <c r="O1091">
        <v>13.941440769957101</v>
      </c>
      <c r="P1091">
        <v>1.3127116113245201</v>
      </c>
      <c r="Q1091">
        <v>-0.143062892264849</v>
      </c>
      <c r="R1091">
        <v>2.7684861149138902</v>
      </c>
      <c r="S1091">
        <v>12.6721518697909</v>
      </c>
      <c r="T1091">
        <v>2.0120654712821402</v>
      </c>
      <c r="U1091">
        <v>-4.97068546187539</v>
      </c>
      <c r="V1091">
        <v>7.2226855790596206E-2</v>
      </c>
      <c r="W1091">
        <v>0.17508052645126601</v>
      </c>
      <c r="X1091">
        <v>0</v>
      </c>
      <c r="Y1091">
        <v>0</v>
      </c>
    </row>
    <row r="1092" spans="1:25" x14ac:dyDescent="0.2">
      <c r="A1092" t="s">
        <v>4040</v>
      </c>
      <c r="B1092" t="s">
        <v>4041</v>
      </c>
      <c r="C1092" t="s">
        <v>4042</v>
      </c>
      <c r="D1092" t="s">
        <v>4043</v>
      </c>
      <c r="E1092" t="s">
        <v>4041</v>
      </c>
      <c r="F1092" t="s">
        <v>28</v>
      </c>
      <c r="G1092" t="s">
        <v>4041</v>
      </c>
      <c r="H1092" t="str">
        <f>"tps-2"</f>
        <v>tps-2</v>
      </c>
      <c r="I1092" t="s">
        <v>4043</v>
      </c>
      <c r="J1092">
        <v>13.4863717773073</v>
      </c>
      <c r="K1092">
        <v>13.076609583388599</v>
      </c>
      <c r="L1092">
        <v>13.1796923286816</v>
      </c>
      <c r="M1092">
        <v>12.8862727893366</v>
      </c>
      <c r="N1092">
        <v>13.183419264421399</v>
      </c>
      <c r="O1092">
        <v>13.680443333922</v>
      </c>
      <c r="P1092">
        <v>2.4872327674607701E-3</v>
      </c>
      <c r="Q1092">
        <v>-0.43159240532450499</v>
      </c>
      <c r="R1092">
        <v>0.43656687085942603</v>
      </c>
      <c r="S1092">
        <v>13.218785296545001</v>
      </c>
      <c r="T1092">
        <v>1.20431342986756E-2</v>
      </c>
      <c r="U1092">
        <v>-7.15622597498988</v>
      </c>
      <c r="V1092">
        <v>0.99052445028983604</v>
      </c>
      <c r="W1092">
        <v>0.99491327709752797</v>
      </c>
      <c r="X1092">
        <v>0</v>
      </c>
      <c r="Y1092">
        <v>0</v>
      </c>
    </row>
    <row r="1093" spans="1:25" x14ac:dyDescent="0.2">
      <c r="A1093" t="s">
        <v>4044</v>
      </c>
      <c r="B1093" t="s">
        <v>4045</v>
      </c>
      <c r="C1093" t="s">
        <v>14365</v>
      </c>
      <c r="D1093" t="s">
        <v>3883</v>
      </c>
      <c r="E1093" t="s">
        <v>4045</v>
      </c>
      <c r="F1093" t="s">
        <v>28</v>
      </c>
      <c r="G1093" t="s">
        <v>4045</v>
      </c>
      <c r="H1093" t="str">
        <f>"F21H7.5"</f>
        <v>F21H7.5</v>
      </c>
      <c r="I1093" t="s">
        <v>3883</v>
      </c>
      <c r="J1093">
        <v>17.994898665741701</v>
      </c>
      <c r="K1093">
        <v>17.575656827510201</v>
      </c>
      <c r="L1093">
        <v>18.715448218550701</v>
      </c>
      <c r="M1093">
        <v>19.013857988341201</v>
      </c>
      <c r="N1093">
        <v>19.4614553299389</v>
      </c>
      <c r="O1093">
        <v>16.702298756051299</v>
      </c>
      <c r="P1093">
        <v>0.297202787509597</v>
      </c>
      <c r="Q1093">
        <v>-0.72149498208288598</v>
      </c>
      <c r="R1093">
        <v>1.3159005571020801</v>
      </c>
      <c r="S1093">
        <v>17.176825151608899</v>
      </c>
      <c r="T1093">
        <v>0.61319702094984796</v>
      </c>
      <c r="U1093">
        <v>-6.9610310377879001</v>
      </c>
      <c r="V1093">
        <v>0.54746137318124399</v>
      </c>
      <c r="W1093">
        <v>0.69302777782007097</v>
      </c>
      <c r="X1093">
        <v>0</v>
      </c>
      <c r="Y1093">
        <v>0</v>
      </c>
    </row>
    <row r="1094" spans="1:25" x14ac:dyDescent="0.2">
      <c r="A1094" t="s">
        <v>4046</v>
      </c>
      <c r="B1094" t="s">
        <v>4047</v>
      </c>
      <c r="C1094" t="s">
        <v>4048</v>
      </c>
      <c r="D1094" t="s">
        <v>4049</v>
      </c>
      <c r="E1094" t="s">
        <v>4047</v>
      </c>
      <c r="F1094" t="s">
        <v>28</v>
      </c>
      <c r="G1094" t="s">
        <v>4047</v>
      </c>
      <c r="H1094" t="str">
        <f>"cth-1"</f>
        <v>cth-1</v>
      </c>
      <c r="I1094" t="s">
        <v>4049</v>
      </c>
      <c r="J1094">
        <v>14.8725910969043</v>
      </c>
      <c r="K1094">
        <v>14.930651081473201</v>
      </c>
      <c r="L1094">
        <v>14.897516536906901</v>
      </c>
      <c r="M1094" t="s">
        <v>29</v>
      </c>
      <c r="N1094">
        <v>13.6987977657129</v>
      </c>
      <c r="O1094">
        <v>12.8152070957187</v>
      </c>
      <c r="P1094">
        <v>-1.6432504743790399</v>
      </c>
      <c r="Q1094">
        <v>-2.14261571162888</v>
      </c>
      <c r="R1094">
        <v>-1.1438852371292101</v>
      </c>
      <c r="S1094">
        <v>14.799609618399099</v>
      </c>
      <c r="T1094">
        <v>-6.9460111053825999</v>
      </c>
      <c r="U1094">
        <v>4.8415244124853301</v>
      </c>
      <c r="V1094" s="2">
        <v>2.4432921512740401E-6</v>
      </c>
      <c r="W1094" s="2">
        <v>9.2312589356469206E-5</v>
      </c>
      <c r="X1094">
        <v>-1</v>
      </c>
      <c r="Y1094">
        <v>-1</v>
      </c>
    </row>
    <row r="1095" spans="1:25" x14ac:dyDescent="0.2">
      <c r="A1095" t="s">
        <v>4050</v>
      </c>
      <c r="B1095" t="s">
        <v>4051</v>
      </c>
      <c r="C1095" t="s">
        <v>14366</v>
      </c>
      <c r="D1095" t="s">
        <v>4052</v>
      </c>
      <c r="E1095" t="s">
        <v>4051</v>
      </c>
      <c r="F1095" t="s">
        <v>28</v>
      </c>
      <c r="G1095" t="s">
        <v>4051</v>
      </c>
      <c r="H1095" t="str">
        <f>"F22B8.7"</f>
        <v>F22B8.7</v>
      </c>
      <c r="I1095" t="s">
        <v>4052</v>
      </c>
      <c r="J1095">
        <v>14.542268924056399</v>
      </c>
      <c r="K1095">
        <v>14.6083720648157</v>
      </c>
      <c r="L1095">
        <v>14.5348443248482</v>
      </c>
      <c r="M1095">
        <v>14.592725019939101</v>
      </c>
      <c r="N1095">
        <v>14.329678424073901</v>
      </c>
      <c r="O1095">
        <v>14.6687665198106</v>
      </c>
      <c r="P1095">
        <v>-3.1438449965584397E-2</v>
      </c>
      <c r="Q1095">
        <v>-0.42145950609657501</v>
      </c>
      <c r="R1095">
        <v>0.35858260616540599</v>
      </c>
      <c r="S1095">
        <v>14.6113205123391</v>
      </c>
      <c r="T1095">
        <v>-0.16942035393931901</v>
      </c>
      <c r="U1095">
        <v>-7.1412509570581202</v>
      </c>
      <c r="V1095">
        <v>0.86736647242784104</v>
      </c>
      <c r="W1095">
        <v>0.917490665558093</v>
      </c>
      <c r="X1095">
        <v>0</v>
      </c>
      <c r="Y1095">
        <v>0</v>
      </c>
    </row>
    <row r="1096" spans="1:25" x14ac:dyDescent="0.2">
      <c r="A1096" t="s">
        <v>4053</v>
      </c>
      <c r="B1096" t="s">
        <v>4054</v>
      </c>
      <c r="C1096" t="s">
        <v>14367</v>
      </c>
      <c r="D1096" t="s">
        <v>412</v>
      </c>
      <c r="E1096" t="s">
        <v>4054</v>
      </c>
      <c r="F1096" t="s">
        <v>28</v>
      </c>
      <c r="G1096" t="s">
        <v>4054</v>
      </c>
      <c r="H1096" t="str">
        <f>"F22G12.4"</f>
        <v>F22G12.4</v>
      </c>
      <c r="I1096" t="s">
        <v>412</v>
      </c>
      <c r="J1096">
        <v>12.661285847249101</v>
      </c>
      <c r="K1096">
        <v>12.615152617969899</v>
      </c>
      <c r="L1096">
        <v>12.8221521346602</v>
      </c>
      <c r="M1096" t="s">
        <v>29</v>
      </c>
      <c r="N1096" t="s">
        <v>29</v>
      </c>
      <c r="O1096">
        <v>12.5159893090549</v>
      </c>
      <c r="P1096">
        <v>-0.18354089090482101</v>
      </c>
      <c r="Q1096">
        <v>-1.0173938035172201</v>
      </c>
      <c r="R1096">
        <v>0.65031202170757896</v>
      </c>
      <c r="S1096">
        <v>12.5667822395177</v>
      </c>
      <c r="T1096">
        <v>-0.47242761770912001</v>
      </c>
      <c r="U1096">
        <v>-6.6954438510302703</v>
      </c>
      <c r="V1096">
        <v>0.643955795511717</v>
      </c>
      <c r="W1096">
        <v>0.76429227924809895</v>
      </c>
      <c r="X1096">
        <v>0</v>
      </c>
      <c r="Y1096">
        <v>0</v>
      </c>
    </row>
    <row r="1097" spans="1:25" x14ac:dyDescent="0.2">
      <c r="A1097" t="s">
        <v>4055</v>
      </c>
      <c r="B1097" t="s">
        <v>4056</v>
      </c>
      <c r="C1097" t="s">
        <v>4057</v>
      </c>
      <c r="D1097" t="s">
        <v>4058</v>
      </c>
      <c r="E1097" t="s">
        <v>4056</v>
      </c>
      <c r="F1097" t="s">
        <v>28</v>
      </c>
      <c r="G1097" t="s">
        <v>4056</v>
      </c>
      <c r="H1097" t="str">
        <f>"exl-1"</f>
        <v>exl-1</v>
      </c>
      <c r="I1097" t="s">
        <v>4058</v>
      </c>
      <c r="J1097" t="s">
        <v>29</v>
      </c>
      <c r="K1097">
        <v>10.212146093974599</v>
      </c>
      <c r="L1097" t="s">
        <v>29</v>
      </c>
      <c r="M1097" t="s">
        <v>29</v>
      </c>
      <c r="N1097" t="s">
        <v>29</v>
      </c>
      <c r="O1097" t="s">
        <v>29</v>
      </c>
      <c r="P1097" t="s">
        <v>29</v>
      </c>
      <c r="Q1097" t="s">
        <v>29</v>
      </c>
      <c r="R1097" t="s">
        <v>29</v>
      </c>
      <c r="S1097">
        <v>11.475562836526199</v>
      </c>
      <c r="T1097" t="s">
        <v>29</v>
      </c>
      <c r="U1097" t="s">
        <v>29</v>
      </c>
      <c r="V1097" t="s">
        <v>29</v>
      </c>
      <c r="W1097" t="s">
        <v>29</v>
      </c>
      <c r="X1097" t="s">
        <v>29</v>
      </c>
      <c r="Y1097" t="s">
        <v>29</v>
      </c>
    </row>
    <row r="1098" spans="1:25" x14ac:dyDescent="0.2">
      <c r="A1098" t="s">
        <v>4059</v>
      </c>
      <c r="B1098" t="s">
        <v>4060</v>
      </c>
      <c r="C1098" t="s">
        <v>4061</v>
      </c>
      <c r="D1098" t="s">
        <v>4062</v>
      </c>
      <c r="E1098" t="s">
        <v>4060</v>
      </c>
      <c r="F1098" t="s">
        <v>28</v>
      </c>
      <c r="G1098" t="s">
        <v>4060</v>
      </c>
      <c r="H1098" t="str">
        <f>"fkb-6"</f>
        <v>fkb-6</v>
      </c>
      <c r="I1098" t="s">
        <v>4062</v>
      </c>
      <c r="J1098">
        <v>14.9038452614476</v>
      </c>
      <c r="K1098">
        <v>14.740748436036201</v>
      </c>
      <c r="L1098">
        <v>14.7215673740747</v>
      </c>
      <c r="M1098">
        <v>16.054331133674399</v>
      </c>
      <c r="N1098">
        <v>16.767020766804499</v>
      </c>
      <c r="O1098">
        <v>17.2177590698399</v>
      </c>
      <c r="P1098">
        <v>1.8909832995867299</v>
      </c>
      <c r="Q1098">
        <v>1.2585959528797099</v>
      </c>
      <c r="R1098">
        <v>2.52337064629375</v>
      </c>
      <c r="S1098">
        <v>15.8433931051868</v>
      </c>
      <c r="T1098">
        <v>6.2848806501076098</v>
      </c>
      <c r="U1098">
        <v>3.7306063734992301</v>
      </c>
      <c r="V1098" s="2">
        <v>6.4941502062964899E-6</v>
      </c>
      <c r="W1098">
        <v>2.1031055668083301E-4</v>
      </c>
      <c r="X1098">
        <v>1</v>
      </c>
      <c r="Y1098">
        <v>1</v>
      </c>
    </row>
    <row r="1099" spans="1:25" x14ac:dyDescent="0.2">
      <c r="A1099" t="s">
        <v>4063</v>
      </c>
      <c r="B1099" t="s">
        <v>4064</v>
      </c>
      <c r="C1099" t="s">
        <v>4065</v>
      </c>
      <c r="D1099" t="s">
        <v>4066</v>
      </c>
      <c r="E1099" t="s">
        <v>4064</v>
      </c>
      <c r="F1099" t="s">
        <v>28</v>
      </c>
      <c r="G1099" t="s">
        <v>4064</v>
      </c>
      <c r="H1099" t="str">
        <f>"mccc-1"</f>
        <v>mccc-1</v>
      </c>
      <c r="I1099" t="s">
        <v>4066</v>
      </c>
      <c r="J1099">
        <v>23.101691257400098</v>
      </c>
      <c r="K1099">
        <v>23.391634759558102</v>
      </c>
      <c r="L1099">
        <v>23.004067924646499</v>
      </c>
      <c r="M1099">
        <v>22.325189828629298</v>
      </c>
      <c r="N1099">
        <v>23.3149375111702</v>
      </c>
      <c r="O1099">
        <v>23.6414629988131</v>
      </c>
      <c r="P1099">
        <v>-7.19345343306763E-2</v>
      </c>
      <c r="Q1099">
        <v>-1.16498523535877</v>
      </c>
      <c r="R1099">
        <v>1.02111616669742</v>
      </c>
      <c r="S1099">
        <v>22.804287733600798</v>
      </c>
      <c r="T1099">
        <v>-0.138321484922796</v>
      </c>
      <c r="U1099">
        <v>-7.1462667055489701</v>
      </c>
      <c r="V1099">
        <v>0.89153096470452198</v>
      </c>
      <c r="W1099">
        <v>0.93468953125169796</v>
      </c>
      <c r="X1099">
        <v>0</v>
      </c>
      <c r="Y1099">
        <v>0</v>
      </c>
    </row>
    <row r="1100" spans="1:25" x14ac:dyDescent="0.2">
      <c r="A1100" t="s">
        <v>4067</v>
      </c>
      <c r="B1100" t="s">
        <v>4068</v>
      </c>
      <c r="C1100" t="s">
        <v>4069</v>
      </c>
      <c r="D1100" t="s">
        <v>4070</v>
      </c>
      <c r="E1100" t="s">
        <v>4068</v>
      </c>
      <c r="F1100" t="s">
        <v>28</v>
      </c>
      <c r="G1100" t="s">
        <v>4068</v>
      </c>
      <c r="H1100" t="str">
        <f>"prp-18"</f>
        <v>prp-18</v>
      </c>
      <c r="I1100" t="s">
        <v>4070</v>
      </c>
      <c r="J1100">
        <v>11.0382609653243</v>
      </c>
      <c r="K1100" t="s">
        <v>29</v>
      </c>
      <c r="L1100">
        <v>9.80438413310236</v>
      </c>
      <c r="M1100" t="s">
        <v>29</v>
      </c>
      <c r="N1100" t="s">
        <v>29</v>
      </c>
      <c r="O1100">
        <v>11.751403120030901</v>
      </c>
      <c r="P1100">
        <v>1.3300805708175401</v>
      </c>
      <c r="Q1100">
        <v>8.8588511691713806E-2</v>
      </c>
      <c r="R1100">
        <v>2.5715726299433799</v>
      </c>
      <c r="S1100">
        <v>11.186274707016899</v>
      </c>
      <c r="T1100">
        <v>2.36081359160299</v>
      </c>
      <c r="U1100">
        <v>-4.3377601859269301</v>
      </c>
      <c r="V1100">
        <v>3.7964401047629298E-2</v>
      </c>
      <c r="W1100">
        <v>0.114604007718673</v>
      </c>
      <c r="X1100">
        <v>1</v>
      </c>
      <c r="Y1100">
        <v>0</v>
      </c>
    </row>
    <row r="1101" spans="1:25" x14ac:dyDescent="0.2">
      <c r="A1101" t="s">
        <v>4071</v>
      </c>
      <c r="B1101" t="s">
        <v>4072</v>
      </c>
      <c r="C1101" t="s">
        <v>14368</v>
      </c>
      <c r="D1101" t="s">
        <v>828</v>
      </c>
      <c r="E1101" t="s">
        <v>4072</v>
      </c>
      <c r="F1101" t="s">
        <v>28</v>
      </c>
      <c r="G1101" t="s">
        <v>4072</v>
      </c>
      <c r="H1101" t="str">
        <f>"F32B6.4"</f>
        <v>F32B6.4</v>
      </c>
      <c r="I1101" t="s">
        <v>828</v>
      </c>
      <c r="J1101">
        <v>11.7594155397297</v>
      </c>
      <c r="K1101" t="s">
        <v>29</v>
      </c>
      <c r="L1101">
        <v>11.978805264765599</v>
      </c>
      <c r="M1101" t="s">
        <v>29</v>
      </c>
      <c r="N1101" t="s">
        <v>29</v>
      </c>
      <c r="O1101" t="s">
        <v>29</v>
      </c>
      <c r="P1101" t="s">
        <v>29</v>
      </c>
      <c r="Q1101" t="s">
        <v>29</v>
      </c>
      <c r="R1101" t="s">
        <v>29</v>
      </c>
      <c r="S1101">
        <v>12.245336126360799</v>
      </c>
      <c r="T1101" t="s">
        <v>29</v>
      </c>
      <c r="U1101" t="s">
        <v>29</v>
      </c>
      <c r="V1101" t="s">
        <v>29</v>
      </c>
      <c r="W1101" t="s">
        <v>29</v>
      </c>
      <c r="X1101" t="s">
        <v>29</v>
      </c>
      <c r="Y1101" t="s">
        <v>29</v>
      </c>
    </row>
    <row r="1102" spans="1:25" x14ac:dyDescent="0.2">
      <c r="A1102" t="s">
        <v>4073</v>
      </c>
      <c r="B1102" t="s">
        <v>4074</v>
      </c>
      <c r="C1102" t="s">
        <v>14369</v>
      </c>
      <c r="D1102" t="s">
        <v>3883</v>
      </c>
      <c r="E1102" t="s">
        <v>4074</v>
      </c>
      <c r="F1102" t="s">
        <v>28</v>
      </c>
      <c r="G1102" t="s">
        <v>4074</v>
      </c>
      <c r="H1102" t="str">
        <f>"F36D3.4"</f>
        <v>F36D3.4</v>
      </c>
      <c r="I1102" t="s">
        <v>3883</v>
      </c>
      <c r="J1102">
        <v>15.3855706393242</v>
      </c>
      <c r="K1102">
        <v>14.5278647296476</v>
      </c>
      <c r="L1102">
        <v>16.0286838185147</v>
      </c>
      <c r="M1102">
        <v>16.256451839672199</v>
      </c>
      <c r="N1102">
        <v>16.947431784484898</v>
      </c>
      <c r="O1102">
        <v>14.315915902798499</v>
      </c>
      <c r="P1102">
        <v>0.52589344648973202</v>
      </c>
      <c r="Q1102">
        <v>-0.46374455821668698</v>
      </c>
      <c r="R1102">
        <v>1.51553145119615</v>
      </c>
      <c r="S1102">
        <v>14.530989687838501</v>
      </c>
      <c r="T1102">
        <v>1.1168990125276499</v>
      </c>
      <c r="U1102">
        <v>-6.52358209904693</v>
      </c>
      <c r="V1102">
        <v>0.27880981494533302</v>
      </c>
      <c r="W1102">
        <v>0.446307726585495</v>
      </c>
      <c r="X1102">
        <v>0</v>
      </c>
      <c r="Y1102">
        <v>0</v>
      </c>
    </row>
    <row r="1103" spans="1:25" x14ac:dyDescent="0.2">
      <c r="A1103" t="s">
        <v>4075</v>
      </c>
      <c r="B1103" t="s">
        <v>4076</v>
      </c>
      <c r="C1103" t="s">
        <v>4077</v>
      </c>
      <c r="D1103" t="s">
        <v>130</v>
      </c>
      <c r="E1103" t="s">
        <v>4076</v>
      </c>
      <c r="F1103" t="s">
        <v>28</v>
      </c>
      <c r="G1103" t="s">
        <v>4076</v>
      </c>
      <c r="H1103" t="str">
        <f>"hinf-1"</f>
        <v>hinf-1</v>
      </c>
      <c r="I1103" t="s">
        <v>130</v>
      </c>
      <c r="J1103" t="s">
        <v>29</v>
      </c>
      <c r="K1103" t="s">
        <v>29</v>
      </c>
      <c r="L1103" t="s">
        <v>29</v>
      </c>
      <c r="M1103" t="s">
        <v>29</v>
      </c>
      <c r="N1103" t="s">
        <v>29</v>
      </c>
      <c r="O1103" t="s">
        <v>29</v>
      </c>
      <c r="P1103" t="s">
        <v>29</v>
      </c>
      <c r="Q1103" t="s">
        <v>29</v>
      </c>
      <c r="R1103" t="s">
        <v>29</v>
      </c>
      <c r="S1103">
        <v>11.8944408599616</v>
      </c>
      <c r="T1103" t="s">
        <v>29</v>
      </c>
      <c r="U1103" t="s">
        <v>29</v>
      </c>
      <c r="V1103" t="s">
        <v>29</v>
      </c>
      <c r="W1103" t="s">
        <v>29</v>
      </c>
      <c r="X1103" t="s">
        <v>29</v>
      </c>
      <c r="Y1103" t="s">
        <v>29</v>
      </c>
    </row>
    <row r="1104" spans="1:25" x14ac:dyDescent="0.2">
      <c r="A1104" t="s">
        <v>4078</v>
      </c>
      <c r="B1104" t="s">
        <v>4079</v>
      </c>
      <c r="C1104" t="s">
        <v>4080</v>
      </c>
      <c r="D1104" t="s">
        <v>4081</v>
      </c>
      <c r="E1104" t="s">
        <v>4079</v>
      </c>
      <c r="F1104" t="s">
        <v>28</v>
      </c>
      <c r="G1104" t="s">
        <v>4079</v>
      </c>
      <c r="H1104" t="str">
        <f>"uev-1"</f>
        <v>uev-1</v>
      </c>
      <c r="I1104" t="s">
        <v>4081</v>
      </c>
      <c r="J1104">
        <v>14.2425042456579</v>
      </c>
      <c r="K1104">
        <v>14.1574953550824</v>
      </c>
      <c r="L1104">
        <v>13.7978402375805</v>
      </c>
      <c r="M1104" t="s">
        <v>29</v>
      </c>
      <c r="N1104">
        <v>13.936930652302699</v>
      </c>
      <c r="O1104">
        <v>13.3103904525366</v>
      </c>
      <c r="P1104">
        <v>-0.442286060353972</v>
      </c>
      <c r="Q1104">
        <v>-1.02058303937021</v>
      </c>
      <c r="R1104">
        <v>0.13601091866227</v>
      </c>
      <c r="S1104">
        <v>13.1010407080203</v>
      </c>
      <c r="T1104">
        <v>-1.6143672602138399</v>
      </c>
      <c r="U1104">
        <v>-5.7721551056491602</v>
      </c>
      <c r="V1104">
        <v>0.12496752339995899</v>
      </c>
      <c r="W1104">
        <v>0.25646190213069597</v>
      </c>
      <c r="X1104">
        <v>0</v>
      </c>
      <c r="Y1104">
        <v>0</v>
      </c>
    </row>
    <row r="1105" spans="1:25" x14ac:dyDescent="0.2">
      <c r="A1105" t="s">
        <v>4082</v>
      </c>
      <c r="B1105" t="s">
        <v>4083</v>
      </c>
      <c r="C1105" t="s">
        <v>14370</v>
      </c>
      <c r="D1105" t="s">
        <v>4084</v>
      </c>
      <c r="E1105" t="s">
        <v>4083</v>
      </c>
      <c r="F1105" t="s">
        <v>28</v>
      </c>
      <c r="G1105" t="s">
        <v>4083</v>
      </c>
      <c r="H1105" t="str">
        <f>"F39B2.3"</f>
        <v>F39B2.3</v>
      </c>
      <c r="I1105" t="s">
        <v>4084</v>
      </c>
      <c r="J1105">
        <v>12.851231441777999</v>
      </c>
      <c r="K1105">
        <v>13.165333789237399</v>
      </c>
      <c r="L1105">
        <v>12.756150080519101</v>
      </c>
      <c r="M1105" t="s">
        <v>29</v>
      </c>
      <c r="N1105">
        <v>12.558678275588401</v>
      </c>
      <c r="O1105">
        <v>13.1679160252132</v>
      </c>
      <c r="P1105">
        <v>-6.09412867773838E-2</v>
      </c>
      <c r="Q1105">
        <v>-0.61108273470274299</v>
      </c>
      <c r="R1105">
        <v>0.48920016114797499</v>
      </c>
      <c r="S1105">
        <v>12.3689593832189</v>
      </c>
      <c r="T1105">
        <v>-0.23382302090675899</v>
      </c>
      <c r="U1105">
        <v>-7.01678257766679</v>
      </c>
      <c r="V1105">
        <v>0.81793214578981199</v>
      </c>
      <c r="W1105">
        <v>0.88568106322982898</v>
      </c>
      <c r="X1105">
        <v>0</v>
      </c>
      <c r="Y1105">
        <v>0</v>
      </c>
    </row>
    <row r="1106" spans="1:25" x14ac:dyDescent="0.2">
      <c r="A1106" t="s">
        <v>4085</v>
      </c>
      <c r="B1106" t="s">
        <v>4086</v>
      </c>
      <c r="C1106" t="s">
        <v>4087</v>
      </c>
      <c r="D1106" t="s">
        <v>4088</v>
      </c>
      <c r="E1106" t="s">
        <v>4086</v>
      </c>
      <c r="F1106" t="s">
        <v>28</v>
      </c>
      <c r="G1106" t="s">
        <v>4086</v>
      </c>
      <c r="H1106" t="str">
        <f>"rps-26"</f>
        <v>rps-26</v>
      </c>
      <c r="I1106" t="s">
        <v>4088</v>
      </c>
      <c r="J1106">
        <v>18.0774857335037</v>
      </c>
      <c r="K1106">
        <v>18.2413482266311</v>
      </c>
      <c r="L1106">
        <v>18.430977585748401</v>
      </c>
      <c r="M1106">
        <v>18.291098557397198</v>
      </c>
      <c r="N1106">
        <v>18.1127216984592</v>
      </c>
      <c r="O1106">
        <v>18.237577012652899</v>
      </c>
      <c r="P1106">
        <v>-3.6138092457978402E-2</v>
      </c>
      <c r="Q1106">
        <v>-0.439253874368772</v>
      </c>
      <c r="R1106">
        <v>0.366977689452815</v>
      </c>
      <c r="S1106">
        <v>18.477650057680499</v>
      </c>
      <c r="T1106">
        <v>-0.18842040666710599</v>
      </c>
      <c r="U1106">
        <v>-7.13768931957964</v>
      </c>
      <c r="V1106">
        <v>0.85266736976189506</v>
      </c>
      <c r="W1106">
        <v>0.90745515726219195</v>
      </c>
      <c r="X1106">
        <v>0</v>
      </c>
      <c r="Y1106">
        <v>0</v>
      </c>
    </row>
    <row r="1107" spans="1:25" x14ac:dyDescent="0.2">
      <c r="A1107" t="s">
        <v>4089</v>
      </c>
      <c r="B1107" t="s">
        <v>4090</v>
      </c>
      <c r="C1107" t="s">
        <v>4091</v>
      </c>
      <c r="D1107" t="s">
        <v>4092</v>
      </c>
      <c r="E1107" t="s">
        <v>4090</v>
      </c>
      <c r="F1107" t="s">
        <v>28</v>
      </c>
      <c r="G1107" t="s">
        <v>4090</v>
      </c>
      <c r="H1107" t="str">
        <f>"mtx-1"</f>
        <v>mtx-1</v>
      </c>
      <c r="I1107" t="s">
        <v>4092</v>
      </c>
      <c r="J1107">
        <v>14.144952311743801</v>
      </c>
      <c r="K1107">
        <v>14.3929666253806</v>
      </c>
      <c r="L1107">
        <v>13.5751159292368</v>
      </c>
      <c r="M1107" t="s">
        <v>29</v>
      </c>
      <c r="N1107">
        <v>13.9243934622881</v>
      </c>
      <c r="O1107">
        <v>14.2896959371883</v>
      </c>
      <c r="P1107">
        <v>6.9366410951117202E-2</v>
      </c>
      <c r="Q1107">
        <v>-0.538610319065008</v>
      </c>
      <c r="R1107">
        <v>0.67734314096724202</v>
      </c>
      <c r="S1107">
        <v>13.872483260552</v>
      </c>
      <c r="T1107">
        <v>0.241998011337893</v>
      </c>
      <c r="U1107">
        <v>-7.0146400942870297</v>
      </c>
      <c r="V1107">
        <v>0.81187623980426504</v>
      </c>
      <c r="W1107">
        <v>0.88259415472178804</v>
      </c>
      <c r="X1107">
        <v>0</v>
      </c>
      <c r="Y1107">
        <v>0</v>
      </c>
    </row>
    <row r="1108" spans="1:25" x14ac:dyDescent="0.2">
      <c r="A1108" t="s">
        <v>4093</v>
      </c>
      <c r="B1108" t="s">
        <v>4094</v>
      </c>
      <c r="C1108" t="s">
        <v>4095</v>
      </c>
      <c r="D1108" t="s">
        <v>4096</v>
      </c>
      <c r="E1108" t="s">
        <v>4094</v>
      </c>
      <c r="F1108" t="s">
        <v>28</v>
      </c>
      <c r="G1108" t="s">
        <v>4094</v>
      </c>
      <c r="H1108" t="str">
        <f>"ife-1"</f>
        <v>ife-1</v>
      </c>
      <c r="I1108" t="s">
        <v>4096</v>
      </c>
      <c r="J1108">
        <v>14.746466981267</v>
      </c>
      <c r="K1108">
        <v>14.558611470290799</v>
      </c>
      <c r="L1108">
        <v>14.919403402574501</v>
      </c>
      <c r="M1108">
        <v>14.950454229679</v>
      </c>
      <c r="N1108">
        <v>14.503873574241601</v>
      </c>
      <c r="O1108">
        <v>14.4523826624129</v>
      </c>
      <c r="P1108">
        <v>-0.10592379593291799</v>
      </c>
      <c r="Q1108">
        <v>-0.47657362557851002</v>
      </c>
      <c r="R1108">
        <v>0.264726033712674</v>
      </c>
      <c r="S1108">
        <v>14.7633357088874</v>
      </c>
      <c r="T1108">
        <v>-0.600651055040061</v>
      </c>
      <c r="U1108">
        <v>-6.9688608888077397</v>
      </c>
      <c r="V1108">
        <v>0.55560425986653605</v>
      </c>
      <c r="W1108">
        <v>0.69880954521027905</v>
      </c>
      <c r="X1108">
        <v>0</v>
      </c>
      <c r="Y1108">
        <v>0</v>
      </c>
    </row>
    <row r="1109" spans="1:25" x14ac:dyDescent="0.2">
      <c r="A1109" t="s">
        <v>4097</v>
      </c>
      <c r="B1109" t="s">
        <v>4098</v>
      </c>
      <c r="C1109" t="s">
        <v>4099</v>
      </c>
      <c r="D1109" t="s">
        <v>4100</v>
      </c>
      <c r="E1109" t="s">
        <v>4098</v>
      </c>
      <c r="F1109" t="s">
        <v>28</v>
      </c>
      <c r="G1109" t="s">
        <v>4098</v>
      </c>
      <c r="H1109" t="str">
        <f>"acaa-2"</f>
        <v>acaa-2</v>
      </c>
      <c r="I1109" t="s">
        <v>4100</v>
      </c>
      <c r="J1109">
        <v>14.5977271114881</v>
      </c>
      <c r="K1109">
        <v>14.527530704494501</v>
      </c>
      <c r="L1109">
        <v>14.602170998986301</v>
      </c>
      <c r="M1109">
        <v>14.5651724833948</v>
      </c>
      <c r="N1109">
        <v>14.943060958294501</v>
      </c>
      <c r="O1109">
        <v>15.1162837798515</v>
      </c>
      <c r="P1109">
        <v>0.29902946885728798</v>
      </c>
      <c r="Q1109">
        <v>-0.14098966948772301</v>
      </c>
      <c r="R1109">
        <v>0.73904860720229903</v>
      </c>
      <c r="S1109">
        <v>14.507702412013501</v>
      </c>
      <c r="T1109">
        <v>1.42835097748756</v>
      </c>
      <c r="U1109">
        <v>-6.1427221993585999</v>
      </c>
      <c r="V1109">
        <v>0.170412504503694</v>
      </c>
      <c r="W1109">
        <v>0.32110335727134598</v>
      </c>
      <c r="X1109">
        <v>0</v>
      </c>
      <c r="Y1109">
        <v>0</v>
      </c>
    </row>
    <row r="1110" spans="1:25" x14ac:dyDescent="0.2">
      <c r="A1110" t="s">
        <v>4101</v>
      </c>
      <c r="B1110" t="s">
        <v>4102</v>
      </c>
      <c r="C1110" t="s">
        <v>4103</v>
      </c>
      <c r="D1110" t="s">
        <v>4104</v>
      </c>
      <c r="E1110" t="s">
        <v>4102</v>
      </c>
      <c r="F1110" t="s">
        <v>28</v>
      </c>
      <c r="G1110" t="s">
        <v>4102</v>
      </c>
      <c r="H1110" t="str">
        <f>"nep-17"</f>
        <v>nep-17</v>
      </c>
      <c r="I1110" t="s">
        <v>4104</v>
      </c>
      <c r="J1110">
        <v>12.659692379269201</v>
      </c>
      <c r="K1110">
        <v>11.480729453955201</v>
      </c>
      <c r="L1110">
        <v>12.886621218256799</v>
      </c>
      <c r="M1110" t="s">
        <v>29</v>
      </c>
      <c r="N1110">
        <v>13.2755116078088</v>
      </c>
      <c r="O1110">
        <v>12.3571172178683</v>
      </c>
      <c r="P1110">
        <v>0.47396672901148501</v>
      </c>
      <c r="Q1110">
        <v>-0.55947118243254101</v>
      </c>
      <c r="R1110">
        <v>1.5074046404555099</v>
      </c>
      <c r="S1110">
        <v>12.6499378252566</v>
      </c>
      <c r="T1110">
        <v>0.96808497609848898</v>
      </c>
      <c r="U1110">
        <v>-6.5661149371309504</v>
      </c>
      <c r="V1110">
        <v>0.34665710771111102</v>
      </c>
      <c r="W1110">
        <v>0.51739939963742898</v>
      </c>
      <c r="X1110">
        <v>0</v>
      </c>
      <c r="Y1110">
        <v>0</v>
      </c>
    </row>
    <row r="1111" spans="1:25" x14ac:dyDescent="0.2">
      <c r="A1111" t="s">
        <v>4105</v>
      </c>
      <c r="B1111" t="s">
        <v>4106</v>
      </c>
      <c r="C1111" t="s">
        <v>4107</v>
      </c>
      <c r="D1111" t="s">
        <v>2432</v>
      </c>
      <c r="E1111" t="s">
        <v>4106</v>
      </c>
      <c r="F1111" t="s">
        <v>28</v>
      </c>
      <c r="G1111" t="s">
        <v>4106</v>
      </c>
      <c r="H1111" t="str">
        <f>"btb-20"</f>
        <v>btb-20</v>
      </c>
      <c r="I1111" t="s">
        <v>2432</v>
      </c>
      <c r="J1111" t="s">
        <v>29</v>
      </c>
      <c r="K1111">
        <v>9.9753709885587192</v>
      </c>
      <c r="L1111" t="s">
        <v>29</v>
      </c>
      <c r="M1111" t="s">
        <v>29</v>
      </c>
      <c r="N1111" t="s">
        <v>29</v>
      </c>
      <c r="O1111" t="s">
        <v>29</v>
      </c>
      <c r="P1111" t="s">
        <v>29</v>
      </c>
      <c r="Q1111" t="s">
        <v>29</v>
      </c>
      <c r="R1111" t="s">
        <v>29</v>
      </c>
      <c r="S1111">
        <v>11.5113996240514</v>
      </c>
      <c r="T1111" t="s">
        <v>29</v>
      </c>
      <c r="U1111" t="s">
        <v>29</v>
      </c>
      <c r="V1111" t="s">
        <v>29</v>
      </c>
      <c r="W1111" t="s">
        <v>29</v>
      </c>
      <c r="X1111" t="s">
        <v>29</v>
      </c>
      <c r="Y1111" t="s">
        <v>29</v>
      </c>
    </row>
    <row r="1112" spans="1:25" x14ac:dyDescent="0.2">
      <c r="A1112" t="s">
        <v>4108</v>
      </c>
      <c r="B1112" t="s">
        <v>4109</v>
      </c>
      <c r="C1112" t="s">
        <v>4110</v>
      </c>
      <c r="D1112" t="s">
        <v>4111</v>
      </c>
      <c r="E1112" t="s">
        <v>4109</v>
      </c>
      <c r="F1112" t="s">
        <v>28</v>
      </c>
      <c r="G1112" t="s">
        <v>4109</v>
      </c>
      <c r="H1112" t="str">
        <f>"cbd-1"</f>
        <v>cbd-1</v>
      </c>
      <c r="I1112" t="s">
        <v>4111</v>
      </c>
      <c r="J1112">
        <v>14.609844624770099</v>
      </c>
      <c r="K1112">
        <v>14.8300850567372</v>
      </c>
      <c r="L1112">
        <v>16.245253847933402</v>
      </c>
      <c r="M1112">
        <v>18.579894890039601</v>
      </c>
      <c r="N1112">
        <v>16.8738824985702</v>
      </c>
      <c r="O1112">
        <v>16.890448289783698</v>
      </c>
      <c r="P1112">
        <v>2.21968071631759</v>
      </c>
      <c r="Q1112">
        <v>1.1231200445810801</v>
      </c>
      <c r="R1112">
        <v>3.31624138805409</v>
      </c>
      <c r="S1112">
        <v>15.5495741182561</v>
      </c>
      <c r="T1112">
        <v>4.2545179119959702</v>
      </c>
      <c r="U1112">
        <v>-0.61038906256648096</v>
      </c>
      <c r="V1112">
        <v>4.8244769395319401E-4</v>
      </c>
      <c r="W1112">
        <v>5.3450126093235496E-3</v>
      </c>
      <c r="X1112">
        <v>1</v>
      </c>
      <c r="Y1112">
        <v>1</v>
      </c>
    </row>
    <row r="1113" spans="1:25" x14ac:dyDescent="0.2">
      <c r="A1113" t="s">
        <v>4112</v>
      </c>
      <c r="B1113" t="s">
        <v>4113</v>
      </c>
      <c r="C1113" t="s">
        <v>4114</v>
      </c>
      <c r="D1113" t="s">
        <v>4115</v>
      </c>
      <c r="E1113" t="s">
        <v>4113</v>
      </c>
      <c r="F1113" t="s">
        <v>28</v>
      </c>
      <c r="G1113" t="s">
        <v>4113</v>
      </c>
      <c r="H1113" t="str">
        <f>"erfa-3"</f>
        <v>erfa-3</v>
      </c>
      <c r="I1113" t="s">
        <v>4115</v>
      </c>
      <c r="J1113">
        <v>14.868496968503599</v>
      </c>
      <c r="K1113">
        <v>14.5904233236647</v>
      </c>
      <c r="L1113">
        <v>14.616835287969201</v>
      </c>
      <c r="M1113">
        <v>17.845330434927</v>
      </c>
      <c r="N1113">
        <v>18.319307456019899</v>
      </c>
      <c r="O1113">
        <v>18.969020371788702</v>
      </c>
      <c r="P1113">
        <v>3.68596756086606</v>
      </c>
      <c r="Q1113">
        <v>2.9155274388778398</v>
      </c>
      <c r="R1113">
        <v>4.4564076828542696</v>
      </c>
      <c r="S1113">
        <v>17.053658311015599</v>
      </c>
      <c r="T1113">
        <v>10.0555338107244</v>
      </c>
      <c r="U1113">
        <v>10.4306640260658</v>
      </c>
      <c r="V1113" s="2">
        <v>8.6828813523355495E-9</v>
      </c>
      <c r="W1113" s="2">
        <v>1.1631114247878599E-6</v>
      </c>
      <c r="X1113">
        <v>1</v>
      </c>
      <c r="Y1113">
        <v>1</v>
      </c>
    </row>
    <row r="1114" spans="1:25" x14ac:dyDescent="0.2">
      <c r="A1114" t="s">
        <v>4116</v>
      </c>
      <c r="B1114" t="s">
        <v>4117</v>
      </c>
      <c r="C1114" t="s">
        <v>4118</v>
      </c>
      <c r="D1114" t="s">
        <v>4119</v>
      </c>
      <c r="E1114" t="s">
        <v>4117</v>
      </c>
      <c r="F1114" t="s">
        <v>28</v>
      </c>
      <c r="G1114" t="s">
        <v>4117</v>
      </c>
      <c r="H1114" t="str">
        <f>"scb-1"</f>
        <v>scb-1</v>
      </c>
      <c r="I1114" t="s">
        <v>4119</v>
      </c>
      <c r="J1114" t="s">
        <v>29</v>
      </c>
      <c r="K1114" t="s">
        <v>29</v>
      </c>
      <c r="L1114" t="s">
        <v>29</v>
      </c>
      <c r="M1114" t="s">
        <v>29</v>
      </c>
      <c r="N1114" t="s">
        <v>29</v>
      </c>
      <c r="O1114">
        <v>13.5149971376711</v>
      </c>
      <c r="P1114" t="s">
        <v>29</v>
      </c>
      <c r="Q1114" t="s">
        <v>29</v>
      </c>
      <c r="R1114" t="s">
        <v>29</v>
      </c>
      <c r="S1114">
        <v>13.4432145295285</v>
      </c>
      <c r="T1114" t="s">
        <v>29</v>
      </c>
      <c r="U1114" t="s">
        <v>29</v>
      </c>
      <c r="V1114" t="s">
        <v>29</v>
      </c>
      <c r="W1114" t="s">
        <v>29</v>
      </c>
      <c r="X1114" t="s">
        <v>29</v>
      </c>
      <c r="Y1114" t="s">
        <v>29</v>
      </c>
    </row>
    <row r="1115" spans="1:25" x14ac:dyDescent="0.2">
      <c r="A1115" t="s">
        <v>4120</v>
      </c>
      <c r="B1115" t="s">
        <v>4121</v>
      </c>
      <c r="C1115" t="s">
        <v>14371</v>
      </c>
      <c r="D1115" t="s">
        <v>4122</v>
      </c>
      <c r="E1115" t="s">
        <v>4121</v>
      </c>
      <c r="F1115" t="s">
        <v>28</v>
      </c>
      <c r="G1115" t="s">
        <v>4121</v>
      </c>
      <c r="H1115" t="str">
        <f>"H40L08.1"</f>
        <v>H40L08.1</v>
      </c>
      <c r="I1115" t="s">
        <v>4122</v>
      </c>
      <c r="J1115">
        <v>11.609634885754501</v>
      </c>
      <c r="K1115">
        <v>11.6300914110906</v>
      </c>
      <c r="L1115">
        <v>11.3289978984697</v>
      </c>
      <c r="M1115" t="s">
        <v>29</v>
      </c>
      <c r="N1115" t="s">
        <v>29</v>
      </c>
      <c r="O1115">
        <v>11.9394814219811</v>
      </c>
      <c r="P1115">
        <v>0.41657335687616898</v>
      </c>
      <c r="Q1115">
        <v>-0.74255446197307295</v>
      </c>
      <c r="R1115">
        <v>1.57570117572541</v>
      </c>
      <c r="S1115">
        <v>11.7095942684845</v>
      </c>
      <c r="T1115">
        <v>0.77135101232636005</v>
      </c>
      <c r="U1115">
        <v>-6.5042173589214203</v>
      </c>
      <c r="V1115">
        <v>0.45341727582640201</v>
      </c>
      <c r="W1115">
        <v>0.617871895705151</v>
      </c>
      <c r="X1115">
        <v>0</v>
      </c>
      <c r="Y1115">
        <v>0</v>
      </c>
    </row>
    <row r="1116" spans="1:25" x14ac:dyDescent="0.2">
      <c r="A1116" t="s">
        <v>4123</v>
      </c>
      <c r="B1116" t="s">
        <v>4124</v>
      </c>
      <c r="C1116" t="s">
        <v>4125</v>
      </c>
      <c r="D1116" t="s">
        <v>4126</v>
      </c>
      <c r="E1116" t="s">
        <v>4124</v>
      </c>
      <c r="F1116" t="s">
        <v>28</v>
      </c>
      <c r="G1116" t="s">
        <v>4124</v>
      </c>
      <c r="H1116" t="str">
        <f>"nhr-49"</f>
        <v>nhr-49</v>
      </c>
      <c r="I1116" t="s">
        <v>4126</v>
      </c>
      <c r="J1116" t="s">
        <v>29</v>
      </c>
      <c r="K1116" t="s">
        <v>29</v>
      </c>
      <c r="L1116" t="s">
        <v>29</v>
      </c>
      <c r="M1116" t="s">
        <v>29</v>
      </c>
      <c r="N1116" t="s">
        <v>29</v>
      </c>
      <c r="O1116">
        <v>14.0413184965171</v>
      </c>
      <c r="P1116" t="s">
        <v>29</v>
      </c>
      <c r="Q1116" t="s">
        <v>29</v>
      </c>
      <c r="R1116" t="s">
        <v>29</v>
      </c>
      <c r="S1116">
        <v>13.018538476167601</v>
      </c>
      <c r="T1116" t="s">
        <v>29</v>
      </c>
      <c r="U1116" t="s">
        <v>29</v>
      </c>
      <c r="V1116" t="s">
        <v>29</v>
      </c>
      <c r="W1116" t="s">
        <v>29</v>
      </c>
      <c r="X1116" t="s">
        <v>29</v>
      </c>
      <c r="Y1116" t="s">
        <v>29</v>
      </c>
    </row>
    <row r="1117" spans="1:25" x14ac:dyDescent="0.2">
      <c r="A1117" t="s">
        <v>4127</v>
      </c>
      <c r="B1117" t="s">
        <v>4128</v>
      </c>
      <c r="C1117" t="s">
        <v>14372</v>
      </c>
      <c r="D1117" t="s">
        <v>73</v>
      </c>
      <c r="E1117" t="s">
        <v>4128</v>
      </c>
      <c r="F1117" t="s">
        <v>28</v>
      </c>
      <c r="G1117" t="s">
        <v>4128</v>
      </c>
      <c r="H1117" t="str">
        <f>"K10G4.5"</f>
        <v>K10G4.5</v>
      </c>
      <c r="I1117" t="s">
        <v>73</v>
      </c>
      <c r="J1117" t="s">
        <v>29</v>
      </c>
      <c r="K1117" t="s">
        <v>29</v>
      </c>
      <c r="L1117" t="s">
        <v>29</v>
      </c>
      <c r="M1117" t="s">
        <v>29</v>
      </c>
      <c r="N1117" t="s">
        <v>29</v>
      </c>
      <c r="O1117" t="s">
        <v>29</v>
      </c>
      <c r="P1117" t="s">
        <v>29</v>
      </c>
      <c r="Q1117" t="s">
        <v>29</v>
      </c>
      <c r="R1117" t="s">
        <v>29</v>
      </c>
      <c r="S1117">
        <v>10.938664202203899</v>
      </c>
      <c r="T1117" t="s">
        <v>29</v>
      </c>
      <c r="U1117" t="s">
        <v>29</v>
      </c>
      <c r="V1117" t="s">
        <v>29</v>
      </c>
      <c r="W1117" t="s">
        <v>29</v>
      </c>
      <c r="X1117" t="s">
        <v>29</v>
      </c>
      <c r="Y1117" t="s">
        <v>29</v>
      </c>
    </row>
    <row r="1118" spans="1:25" x14ac:dyDescent="0.2">
      <c r="A1118" t="s">
        <v>4129</v>
      </c>
      <c r="B1118" t="s">
        <v>4130</v>
      </c>
      <c r="C1118" t="s">
        <v>4131</v>
      </c>
      <c r="D1118" t="s">
        <v>107</v>
      </c>
      <c r="E1118" t="s">
        <v>4130</v>
      </c>
      <c r="F1118" t="s">
        <v>28</v>
      </c>
      <c r="G1118" t="s">
        <v>4130</v>
      </c>
      <c r="H1118" t="str">
        <f>"vnut-1"</f>
        <v>vnut-1</v>
      </c>
      <c r="I1118" t="s">
        <v>107</v>
      </c>
      <c r="J1118">
        <v>11.146722143823901</v>
      </c>
      <c r="K1118">
        <v>12.369980817152999</v>
      </c>
      <c r="L1118">
        <v>12.74133387617</v>
      </c>
      <c r="M1118" t="s">
        <v>29</v>
      </c>
      <c r="N1118" t="s">
        <v>29</v>
      </c>
      <c r="O1118">
        <v>12.382080529600501</v>
      </c>
      <c r="P1118">
        <v>0.29606825055152097</v>
      </c>
      <c r="Q1118">
        <v>-0.87410297807413295</v>
      </c>
      <c r="R1118">
        <v>1.46623947917717</v>
      </c>
      <c r="S1118">
        <v>12.7662945756694</v>
      </c>
      <c r="T1118">
        <v>0.53665101057831299</v>
      </c>
      <c r="U1118">
        <v>-6.6628282685848603</v>
      </c>
      <c r="V1118">
        <v>0.59894031643800105</v>
      </c>
      <c r="W1118">
        <v>0.73241633288723196</v>
      </c>
      <c r="X1118">
        <v>0</v>
      </c>
      <c r="Y1118">
        <v>0</v>
      </c>
    </row>
    <row r="1119" spans="1:25" x14ac:dyDescent="0.2">
      <c r="A1119" t="s">
        <v>4132</v>
      </c>
      <c r="B1119" t="s">
        <v>4133</v>
      </c>
      <c r="C1119" t="s">
        <v>4134</v>
      </c>
      <c r="D1119" t="s">
        <v>4135</v>
      </c>
      <c r="E1119" t="s">
        <v>4133</v>
      </c>
      <c r="F1119" t="s">
        <v>28</v>
      </c>
      <c r="G1119" t="s">
        <v>4133</v>
      </c>
      <c r="H1119" t="str">
        <f>"asah-1"</f>
        <v>asah-1</v>
      </c>
      <c r="I1119" t="s">
        <v>4135</v>
      </c>
      <c r="J1119">
        <v>13.3661786225863</v>
      </c>
      <c r="K1119">
        <v>13.624150255473699</v>
      </c>
      <c r="L1119">
        <v>13.111853659123801</v>
      </c>
      <c r="M1119" t="s">
        <v>29</v>
      </c>
      <c r="N1119" t="s">
        <v>29</v>
      </c>
      <c r="O1119">
        <v>11.2423161444956</v>
      </c>
      <c r="P1119">
        <v>-2.1250780345656302</v>
      </c>
      <c r="Q1119">
        <v>-3.2541759132808501</v>
      </c>
      <c r="R1119">
        <v>-0.995980155850408</v>
      </c>
      <c r="S1119">
        <v>12.9299941361532</v>
      </c>
      <c r="T1119">
        <v>-3.99202103154466</v>
      </c>
      <c r="U1119">
        <v>-1.0461824744484001</v>
      </c>
      <c r="V1119">
        <v>1.0618317607924499E-3</v>
      </c>
      <c r="W1119">
        <v>9.4870077686104292E-3</v>
      </c>
      <c r="X1119">
        <v>-1</v>
      </c>
      <c r="Y1119">
        <v>-1</v>
      </c>
    </row>
    <row r="1120" spans="1:25" x14ac:dyDescent="0.2">
      <c r="A1120" t="s">
        <v>4136</v>
      </c>
      <c r="B1120" t="s">
        <v>4137</v>
      </c>
      <c r="C1120" t="s">
        <v>14373</v>
      </c>
      <c r="D1120" t="s">
        <v>4138</v>
      </c>
      <c r="E1120" t="s">
        <v>4137</v>
      </c>
      <c r="F1120" t="s">
        <v>28</v>
      </c>
      <c r="G1120" t="s">
        <v>4137</v>
      </c>
      <c r="H1120" t="str">
        <f>"M01E5.2"</f>
        <v>M01E5.2</v>
      </c>
      <c r="I1120" t="s">
        <v>4138</v>
      </c>
      <c r="J1120">
        <v>12.273326293393501</v>
      </c>
      <c r="K1120">
        <v>12.3364901853577</v>
      </c>
      <c r="L1120">
        <v>12.554785943822001</v>
      </c>
      <c r="M1120" t="s">
        <v>29</v>
      </c>
      <c r="N1120" t="s">
        <v>29</v>
      </c>
      <c r="O1120">
        <v>12.184722700403199</v>
      </c>
      <c r="P1120">
        <v>-0.203478107121182</v>
      </c>
      <c r="Q1120">
        <v>-0.981537395639553</v>
      </c>
      <c r="R1120">
        <v>0.57458118139718894</v>
      </c>
      <c r="S1120">
        <v>12.4885220009484</v>
      </c>
      <c r="T1120">
        <v>-0.55469535228594902</v>
      </c>
      <c r="U1120">
        <v>-6.6526790213815197</v>
      </c>
      <c r="V1120">
        <v>0.58682425856549403</v>
      </c>
      <c r="W1120">
        <v>0.722981224913257</v>
      </c>
      <c r="X1120">
        <v>0</v>
      </c>
      <c r="Y1120">
        <v>0</v>
      </c>
    </row>
    <row r="1121" spans="1:25" x14ac:dyDescent="0.2">
      <c r="A1121" t="s">
        <v>4139</v>
      </c>
      <c r="B1121" t="s">
        <v>4140</v>
      </c>
      <c r="C1121" t="s">
        <v>4141</v>
      </c>
      <c r="D1121" t="s">
        <v>93</v>
      </c>
      <c r="E1121" t="s">
        <v>4140</v>
      </c>
      <c r="F1121" t="s">
        <v>28</v>
      </c>
      <c r="G1121" t="s">
        <v>4140</v>
      </c>
      <c r="H1121" t="str">
        <f>"rbm-3.2"</f>
        <v>rbm-3.2</v>
      </c>
      <c r="I1121" t="s">
        <v>93</v>
      </c>
      <c r="J1121">
        <v>14.951538448601699</v>
      </c>
      <c r="K1121">
        <v>15.3360107469169</v>
      </c>
      <c r="L1121">
        <v>15.154250335821001</v>
      </c>
      <c r="M1121" t="s">
        <v>29</v>
      </c>
      <c r="N1121">
        <v>15.4907865160129</v>
      </c>
      <c r="O1121">
        <v>15.2672485289318</v>
      </c>
      <c r="P1121">
        <v>0.231751012025811</v>
      </c>
      <c r="Q1121">
        <v>-0.41846604930206299</v>
      </c>
      <c r="R1121">
        <v>0.88196807335368399</v>
      </c>
      <c r="S1121">
        <v>14.8325843533084</v>
      </c>
      <c r="T1121">
        <v>0.75598435545804299</v>
      </c>
      <c r="U1121">
        <v>-6.74933399872838</v>
      </c>
      <c r="V1121">
        <v>0.46071636703907398</v>
      </c>
      <c r="W1121">
        <v>0.62409607231562103</v>
      </c>
      <c r="X1121">
        <v>0</v>
      </c>
      <c r="Y1121">
        <v>0</v>
      </c>
    </row>
    <row r="1122" spans="1:25" x14ac:dyDescent="0.2">
      <c r="A1122" t="s">
        <v>4142</v>
      </c>
      <c r="B1122" t="s">
        <v>4143</v>
      </c>
      <c r="C1122" t="s">
        <v>4144</v>
      </c>
      <c r="D1122" t="s">
        <v>4145</v>
      </c>
      <c r="E1122" t="s">
        <v>4143</v>
      </c>
      <c r="F1122" t="s">
        <v>28</v>
      </c>
      <c r="G1122" t="s">
        <v>4143</v>
      </c>
      <c r="H1122" t="str">
        <f>"apb-3"</f>
        <v>apb-3</v>
      </c>
      <c r="I1122" t="s">
        <v>4145</v>
      </c>
      <c r="J1122">
        <v>13.5039439050909</v>
      </c>
      <c r="K1122">
        <v>13.8044846748378</v>
      </c>
      <c r="L1122">
        <v>13.677154084701</v>
      </c>
      <c r="M1122" t="s">
        <v>29</v>
      </c>
      <c r="N1122">
        <v>13.258408932592401</v>
      </c>
      <c r="O1122">
        <v>13.2505778462293</v>
      </c>
      <c r="P1122">
        <v>-0.40736749879905998</v>
      </c>
      <c r="Q1122">
        <v>-0.82613688683923703</v>
      </c>
      <c r="R1122">
        <v>1.14018892411173E-2</v>
      </c>
      <c r="S1122">
        <v>13.302678571486901</v>
      </c>
      <c r="T1122">
        <v>-2.0533428124551198</v>
      </c>
      <c r="U1122">
        <v>-5.06869009409598</v>
      </c>
      <c r="V1122">
        <v>5.5855924796971199E-2</v>
      </c>
      <c r="W1122">
        <v>0.14776248687313601</v>
      </c>
      <c r="X1122">
        <v>0</v>
      </c>
      <c r="Y1122">
        <v>0</v>
      </c>
    </row>
    <row r="1123" spans="1:25" x14ac:dyDescent="0.2">
      <c r="A1123" t="s">
        <v>4146</v>
      </c>
      <c r="B1123" t="s">
        <v>4147</v>
      </c>
      <c r="C1123" t="s">
        <v>14374</v>
      </c>
      <c r="D1123" t="s">
        <v>214</v>
      </c>
      <c r="E1123" t="s">
        <v>4147</v>
      </c>
      <c r="F1123" t="s">
        <v>28</v>
      </c>
      <c r="G1123" t="s">
        <v>4147</v>
      </c>
      <c r="H1123" t="str">
        <f>"R74.8"</f>
        <v>R74.8</v>
      </c>
      <c r="I1123" t="s">
        <v>214</v>
      </c>
      <c r="J1123">
        <v>13.177367717669799</v>
      </c>
      <c r="K1123">
        <v>13.047327697881499</v>
      </c>
      <c r="L1123">
        <v>13.065496669168899</v>
      </c>
      <c r="M1123" t="s">
        <v>29</v>
      </c>
      <c r="N1123">
        <v>13.054797893148899</v>
      </c>
      <c r="O1123">
        <v>12.514533632259401</v>
      </c>
      <c r="P1123">
        <v>-0.31206493220261899</v>
      </c>
      <c r="Q1123">
        <v>-0.87679218547443705</v>
      </c>
      <c r="R1123">
        <v>0.2526623210692</v>
      </c>
      <c r="S1123">
        <v>13.1862207786581</v>
      </c>
      <c r="T1123">
        <v>-1.16642342924689</v>
      </c>
      <c r="U1123">
        <v>-6.35784168377893</v>
      </c>
      <c r="V1123">
        <v>0.25964488381179102</v>
      </c>
      <c r="W1123">
        <v>0.42628782406159899</v>
      </c>
      <c r="X1123">
        <v>0</v>
      </c>
      <c r="Y1123">
        <v>0</v>
      </c>
    </row>
    <row r="1124" spans="1:25" x14ac:dyDescent="0.2">
      <c r="A1124" t="s">
        <v>4148</v>
      </c>
      <c r="B1124" t="s">
        <v>4149</v>
      </c>
      <c r="C1124" t="s">
        <v>4150</v>
      </c>
      <c r="D1124" t="s">
        <v>1866</v>
      </c>
      <c r="E1124" t="s">
        <v>4149</v>
      </c>
      <c r="F1124" t="s">
        <v>28</v>
      </c>
      <c r="G1124" t="s">
        <v>4149</v>
      </c>
      <c r="H1124" t="str">
        <f>"pmp-4"</f>
        <v>pmp-4</v>
      </c>
      <c r="I1124" t="s">
        <v>1866</v>
      </c>
      <c r="J1124">
        <v>13.5066065890912</v>
      </c>
      <c r="K1124">
        <v>13.1262833670731</v>
      </c>
      <c r="L1124">
        <v>13.8982345088163</v>
      </c>
      <c r="M1124" t="s">
        <v>29</v>
      </c>
      <c r="N1124">
        <v>13.9327008610463</v>
      </c>
      <c r="O1124">
        <v>13.9787680088765</v>
      </c>
      <c r="P1124">
        <v>0.445359613301132</v>
      </c>
      <c r="Q1124">
        <v>-0.113732502063118</v>
      </c>
      <c r="R1124">
        <v>1.00445172866538</v>
      </c>
      <c r="S1124">
        <v>14.0251184258255</v>
      </c>
      <c r="T1124">
        <v>1.6814249084647199</v>
      </c>
      <c r="U1124">
        <v>-5.6721927330824702</v>
      </c>
      <c r="V1124">
        <v>0.111070943592217</v>
      </c>
      <c r="W1124">
        <v>0.232641130608573</v>
      </c>
      <c r="X1124">
        <v>0</v>
      </c>
      <c r="Y1124">
        <v>0</v>
      </c>
    </row>
    <row r="1125" spans="1:25" x14ac:dyDescent="0.2">
      <c r="A1125" t="s">
        <v>4151</v>
      </c>
      <c r="B1125" t="s">
        <v>4152</v>
      </c>
      <c r="C1125" t="s">
        <v>4153</v>
      </c>
      <c r="D1125" t="s">
        <v>4154</v>
      </c>
      <c r="E1125" t="s">
        <v>4152</v>
      </c>
      <c r="F1125" t="s">
        <v>28</v>
      </c>
      <c r="G1125" t="s">
        <v>4152</v>
      </c>
      <c r="H1125" t="str">
        <f>"T02E1.7"</f>
        <v>T02E1.7</v>
      </c>
      <c r="I1125" t="s">
        <v>4154</v>
      </c>
      <c r="J1125" t="s">
        <v>29</v>
      </c>
      <c r="K1125" t="s">
        <v>29</v>
      </c>
      <c r="L1125">
        <v>11.0517646313233</v>
      </c>
      <c r="M1125" t="s">
        <v>29</v>
      </c>
      <c r="N1125" t="s">
        <v>29</v>
      </c>
      <c r="O1125" t="s">
        <v>29</v>
      </c>
      <c r="P1125" t="s">
        <v>29</v>
      </c>
      <c r="Q1125" t="s">
        <v>29</v>
      </c>
      <c r="R1125" t="s">
        <v>29</v>
      </c>
      <c r="S1125">
        <v>12.217448240991301</v>
      </c>
      <c r="T1125" t="s">
        <v>29</v>
      </c>
      <c r="U1125" t="s">
        <v>29</v>
      </c>
      <c r="V1125" t="s">
        <v>29</v>
      </c>
      <c r="W1125" t="s">
        <v>29</v>
      </c>
      <c r="X1125" t="s">
        <v>29</v>
      </c>
      <c r="Y1125" t="s">
        <v>29</v>
      </c>
    </row>
    <row r="1126" spans="1:25" x14ac:dyDescent="0.2">
      <c r="A1126" t="s">
        <v>4155</v>
      </c>
      <c r="B1126" t="s">
        <v>4156</v>
      </c>
      <c r="C1126" t="s">
        <v>4157</v>
      </c>
      <c r="D1126" t="s">
        <v>4158</v>
      </c>
      <c r="E1126" t="s">
        <v>4156</v>
      </c>
      <c r="F1126" t="s">
        <v>28</v>
      </c>
      <c r="G1126" t="s">
        <v>4156</v>
      </c>
      <c r="H1126" t="str">
        <f>"cpl-1"</f>
        <v>cpl-1</v>
      </c>
      <c r="I1126" t="s">
        <v>4158</v>
      </c>
      <c r="J1126">
        <v>16.90336280164</v>
      </c>
      <c r="K1126">
        <v>16.304312108451501</v>
      </c>
      <c r="L1126">
        <v>16.589677499457601</v>
      </c>
      <c r="M1126">
        <v>16.318728497418601</v>
      </c>
      <c r="N1126">
        <v>16.4103566331503</v>
      </c>
      <c r="O1126">
        <v>16.2637567519944</v>
      </c>
      <c r="P1126">
        <v>-0.26817017566194701</v>
      </c>
      <c r="Q1126">
        <v>-0.66924274316399002</v>
      </c>
      <c r="R1126">
        <v>0.132902391840097</v>
      </c>
      <c r="S1126">
        <v>16.357189821424601</v>
      </c>
      <c r="T1126">
        <v>-1.4053355465308599</v>
      </c>
      <c r="U1126">
        <v>-6.1734754915490297</v>
      </c>
      <c r="V1126">
        <v>0.17704488507476901</v>
      </c>
      <c r="W1126">
        <v>0.33039227526259701</v>
      </c>
      <c r="X1126">
        <v>0</v>
      </c>
      <c r="Y1126">
        <v>0</v>
      </c>
    </row>
    <row r="1127" spans="1:25" x14ac:dyDescent="0.2">
      <c r="A1127" t="s">
        <v>4159</v>
      </c>
      <c r="B1127" t="s">
        <v>4160</v>
      </c>
      <c r="C1127" t="s">
        <v>14375</v>
      </c>
      <c r="D1127" t="s">
        <v>4161</v>
      </c>
      <c r="E1127" t="s">
        <v>4160</v>
      </c>
      <c r="F1127" t="s">
        <v>28</v>
      </c>
      <c r="G1127" t="s">
        <v>4160</v>
      </c>
      <c r="H1127" t="str">
        <f>"T06E6.1"</f>
        <v>T06E6.1</v>
      </c>
      <c r="I1127" t="s">
        <v>4161</v>
      </c>
      <c r="J1127">
        <v>13.3082802139973</v>
      </c>
      <c r="K1127">
        <v>12.9001293211182</v>
      </c>
      <c r="L1127">
        <v>13.1559118552115</v>
      </c>
      <c r="M1127" t="s">
        <v>29</v>
      </c>
      <c r="N1127">
        <v>13.2559093936114</v>
      </c>
      <c r="O1127">
        <v>12.6914687070893</v>
      </c>
      <c r="P1127">
        <v>-0.147751413092019</v>
      </c>
      <c r="Q1127">
        <v>-0.665423259108883</v>
      </c>
      <c r="R1127">
        <v>0.369920432924845</v>
      </c>
      <c r="S1127">
        <v>12.968794900192099</v>
      </c>
      <c r="T1127">
        <v>-0.60872158625870598</v>
      </c>
      <c r="U1127">
        <v>-6.8516558297786103</v>
      </c>
      <c r="V1127">
        <v>0.55188012995038505</v>
      </c>
      <c r="W1127">
        <v>0.69593918433584301</v>
      </c>
      <c r="X1127">
        <v>0</v>
      </c>
      <c r="Y1127">
        <v>0</v>
      </c>
    </row>
    <row r="1128" spans="1:25" x14ac:dyDescent="0.2">
      <c r="A1128" t="s">
        <v>4162</v>
      </c>
      <c r="B1128" t="s">
        <v>4163</v>
      </c>
      <c r="C1128" t="s">
        <v>4164</v>
      </c>
      <c r="D1128" t="s">
        <v>4165</v>
      </c>
      <c r="E1128" t="s">
        <v>4163</v>
      </c>
      <c r="F1128" t="s">
        <v>28</v>
      </c>
      <c r="G1128" t="s">
        <v>4163</v>
      </c>
      <c r="H1128" t="str">
        <f>"drr-2"</f>
        <v>drr-2</v>
      </c>
      <c r="I1128" t="s">
        <v>4165</v>
      </c>
      <c r="J1128" t="s">
        <v>29</v>
      </c>
      <c r="K1128" t="s">
        <v>29</v>
      </c>
      <c r="L1128">
        <v>12.2688574429512</v>
      </c>
      <c r="M1128" t="s">
        <v>29</v>
      </c>
      <c r="N1128">
        <v>13.7578182805458</v>
      </c>
      <c r="O1128">
        <v>12.3433563955982</v>
      </c>
      <c r="P1128">
        <v>0.78172989512076196</v>
      </c>
      <c r="Q1128">
        <v>-0.65962871065913298</v>
      </c>
      <c r="R1128">
        <v>2.2230885009006598</v>
      </c>
      <c r="S1128">
        <v>12.157511974637</v>
      </c>
      <c r="T1128">
        <v>1.2101844427586701</v>
      </c>
      <c r="U1128">
        <v>-6.0133621091292504</v>
      </c>
      <c r="V1128">
        <v>0.25432343767116999</v>
      </c>
      <c r="W1128">
        <v>0.42203609398910802</v>
      </c>
      <c r="X1128">
        <v>0</v>
      </c>
      <c r="Y1128">
        <v>0</v>
      </c>
    </row>
    <row r="1129" spans="1:25" x14ac:dyDescent="0.2">
      <c r="A1129" t="s">
        <v>4166</v>
      </c>
      <c r="B1129" t="s">
        <v>4167</v>
      </c>
      <c r="C1129" t="s">
        <v>4168</v>
      </c>
      <c r="D1129" t="s">
        <v>4169</v>
      </c>
      <c r="E1129" t="s">
        <v>4167</v>
      </c>
      <c r="F1129" t="s">
        <v>28</v>
      </c>
      <c r="G1129" t="s">
        <v>4167</v>
      </c>
      <c r="H1129" t="str">
        <f>"wts-1"</f>
        <v>wts-1</v>
      </c>
      <c r="I1129" t="s">
        <v>4169</v>
      </c>
      <c r="J1129">
        <v>12.1521653701868</v>
      </c>
      <c r="K1129">
        <v>11.660365775107</v>
      </c>
      <c r="L1129">
        <v>11.9555807796651</v>
      </c>
      <c r="M1129" t="s">
        <v>29</v>
      </c>
      <c r="N1129" t="s">
        <v>29</v>
      </c>
      <c r="O1129">
        <v>12.062368302033899</v>
      </c>
      <c r="P1129">
        <v>0.13966432704760701</v>
      </c>
      <c r="Q1129">
        <v>-0.52187333321349305</v>
      </c>
      <c r="R1129">
        <v>0.80120198730870695</v>
      </c>
      <c r="S1129">
        <v>12.0513969481134</v>
      </c>
      <c r="T1129">
        <v>0.44779624763385301</v>
      </c>
      <c r="U1129">
        <v>-6.7080618728843699</v>
      </c>
      <c r="V1129">
        <v>0.66034311262880097</v>
      </c>
      <c r="W1129">
        <v>0.77579104511357899</v>
      </c>
      <c r="X1129">
        <v>0</v>
      </c>
      <c r="Y1129">
        <v>0</v>
      </c>
    </row>
    <row r="1130" spans="1:25" x14ac:dyDescent="0.2">
      <c r="A1130" t="s">
        <v>4170</v>
      </c>
      <c r="B1130" t="s">
        <v>4171</v>
      </c>
      <c r="C1130" t="s">
        <v>4172</v>
      </c>
      <c r="D1130" t="s">
        <v>4173</v>
      </c>
      <c r="E1130" t="s">
        <v>4171</v>
      </c>
      <c r="F1130" t="s">
        <v>28</v>
      </c>
      <c r="G1130" t="s">
        <v>4171</v>
      </c>
      <c r="H1130" t="str">
        <f>"act-5"</f>
        <v>act-5</v>
      </c>
      <c r="I1130" t="s">
        <v>4173</v>
      </c>
      <c r="J1130">
        <v>16.3720152545236</v>
      </c>
      <c r="K1130">
        <v>16.0732471508788</v>
      </c>
      <c r="L1130">
        <v>16.373080073117201</v>
      </c>
      <c r="M1130">
        <v>16.602122613997</v>
      </c>
      <c r="N1130">
        <v>16.730929446624302</v>
      </c>
      <c r="O1130">
        <v>16.227676304023799</v>
      </c>
      <c r="P1130">
        <v>0.247461962041825</v>
      </c>
      <c r="Q1130">
        <v>-0.130425327618411</v>
      </c>
      <c r="R1130">
        <v>0.62534925170206201</v>
      </c>
      <c r="S1130">
        <v>15.9614468628982</v>
      </c>
      <c r="T1130">
        <v>1.37638103715647</v>
      </c>
      <c r="U1130">
        <v>-6.2115955699269403</v>
      </c>
      <c r="V1130">
        <v>0.18568341423739401</v>
      </c>
      <c r="W1130">
        <v>0.340940200472025</v>
      </c>
      <c r="X1130">
        <v>0</v>
      </c>
      <c r="Y1130">
        <v>0</v>
      </c>
    </row>
    <row r="1131" spans="1:25" x14ac:dyDescent="0.2">
      <c r="A1131" t="s">
        <v>4174</v>
      </c>
      <c r="B1131" t="s">
        <v>4175</v>
      </c>
      <c r="C1131" t="s">
        <v>4176</v>
      </c>
      <c r="D1131" t="s">
        <v>4177</v>
      </c>
      <c r="E1131" t="s">
        <v>4175</v>
      </c>
      <c r="F1131" t="s">
        <v>28</v>
      </c>
      <c r="G1131" t="s">
        <v>4175</v>
      </c>
      <c r="H1131" t="str">
        <f>"dkf-2"</f>
        <v>dkf-2</v>
      </c>
      <c r="I1131" t="s">
        <v>4177</v>
      </c>
      <c r="J1131">
        <v>12.954445315510799</v>
      </c>
      <c r="K1131">
        <v>13.219407047821599</v>
      </c>
      <c r="L1131">
        <v>12.4475587448793</v>
      </c>
      <c r="M1131" t="s">
        <v>29</v>
      </c>
      <c r="N1131">
        <v>12.377016529249101</v>
      </c>
      <c r="O1131">
        <v>12.673768239094599</v>
      </c>
      <c r="P1131">
        <v>-0.348411318565374</v>
      </c>
      <c r="Q1131">
        <v>-1.02336670117921</v>
      </c>
      <c r="R1131">
        <v>0.32654406404846498</v>
      </c>
      <c r="S1131">
        <v>12.903831939214999</v>
      </c>
      <c r="T1131">
        <v>-1.0896002725685701</v>
      </c>
      <c r="U1131">
        <v>-6.4425108245754998</v>
      </c>
      <c r="V1131">
        <v>0.29118715772624898</v>
      </c>
      <c r="W1131">
        <v>0.45938359412165702</v>
      </c>
      <c r="X1131">
        <v>0</v>
      </c>
      <c r="Y1131">
        <v>0</v>
      </c>
    </row>
    <row r="1132" spans="1:25" x14ac:dyDescent="0.2">
      <c r="A1132" t="s">
        <v>4178</v>
      </c>
      <c r="B1132" t="s">
        <v>4179</v>
      </c>
      <c r="C1132" t="s">
        <v>4180</v>
      </c>
      <c r="D1132" t="s">
        <v>4181</v>
      </c>
      <c r="E1132" t="s">
        <v>4179</v>
      </c>
      <c r="F1132" t="s">
        <v>28</v>
      </c>
      <c r="G1132" t="s">
        <v>4179</v>
      </c>
      <c r="H1132" t="str">
        <f>"gyg-2"</f>
        <v>gyg-2</v>
      </c>
      <c r="I1132" t="s">
        <v>4181</v>
      </c>
      <c r="J1132" t="s">
        <v>29</v>
      </c>
      <c r="K1132">
        <v>13.6381060041316</v>
      </c>
      <c r="L1132" t="s">
        <v>29</v>
      </c>
      <c r="M1132" t="s">
        <v>29</v>
      </c>
      <c r="N1132" t="s">
        <v>29</v>
      </c>
      <c r="O1132">
        <v>13.119388990492601</v>
      </c>
      <c r="P1132">
        <v>-0.51871701363894795</v>
      </c>
      <c r="Q1132">
        <v>-3.42326825210852</v>
      </c>
      <c r="R1132">
        <v>2.3858342248306199</v>
      </c>
      <c r="S1132">
        <v>13.0211736640588</v>
      </c>
      <c r="T1132">
        <v>-0.39849083842427002</v>
      </c>
      <c r="U1132">
        <v>-6.52774017114234</v>
      </c>
      <c r="V1132">
        <v>0.69873131898348195</v>
      </c>
      <c r="W1132">
        <v>0.80530355770212003</v>
      </c>
      <c r="X1132">
        <v>0</v>
      </c>
      <c r="Y1132">
        <v>0</v>
      </c>
    </row>
    <row r="1133" spans="1:25" x14ac:dyDescent="0.2">
      <c r="A1133" t="s">
        <v>4182</v>
      </c>
      <c r="B1133" t="s">
        <v>4183</v>
      </c>
      <c r="C1133" t="s">
        <v>4184</v>
      </c>
      <c r="D1133" t="s">
        <v>1954</v>
      </c>
      <c r="E1133" t="s">
        <v>4183</v>
      </c>
      <c r="F1133" t="s">
        <v>28</v>
      </c>
      <c r="G1133" t="s">
        <v>4183</v>
      </c>
      <c r="H1133" t="str">
        <f>"ant-1.1"</f>
        <v>ant-1.1</v>
      </c>
      <c r="I1133" t="s">
        <v>1954</v>
      </c>
      <c r="J1133">
        <v>23.3386143466963</v>
      </c>
      <c r="K1133">
        <v>23.167505987874801</v>
      </c>
      <c r="L1133">
        <v>22.933831390975101</v>
      </c>
      <c r="M1133">
        <v>22.454899471279901</v>
      </c>
      <c r="N1133">
        <v>22.735592739321099</v>
      </c>
      <c r="O1133">
        <v>22.7576298614383</v>
      </c>
      <c r="P1133">
        <v>-0.49727655116889802</v>
      </c>
      <c r="Q1133">
        <v>-0.86671602347089105</v>
      </c>
      <c r="R1133">
        <v>-0.12783707886690601</v>
      </c>
      <c r="S1133">
        <v>22.583050037329301</v>
      </c>
      <c r="T1133">
        <v>-2.8290928342087698</v>
      </c>
      <c r="U1133">
        <v>-3.68896425896703</v>
      </c>
      <c r="V1133">
        <v>1.1165356552471001E-2</v>
      </c>
      <c r="W1133">
        <v>4.9331792743826298E-2</v>
      </c>
      <c r="X1133">
        <v>0</v>
      </c>
      <c r="Y1133">
        <v>0</v>
      </c>
    </row>
    <row r="1134" spans="1:25" x14ac:dyDescent="0.2">
      <c r="A1134" t="s">
        <v>4185</v>
      </c>
      <c r="B1134" t="s">
        <v>4186</v>
      </c>
      <c r="C1134" t="s">
        <v>4187</v>
      </c>
      <c r="D1134" t="s">
        <v>4188</v>
      </c>
      <c r="E1134" t="s">
        <v>4186</v>
      </c>
      <c r="F1134" t="s">
        <v>28</v>
      </c>
      <c r="G1134" t="s">
        <v>4186</v>
      </c>
      <c r="H1134" t="str">
        <f>"pars-2"</f>
        <v>pars-2</v>
      </c>
      <c r="I1134" t="s">
        <v>4188</v>
      </c>
      <c r="J1134">
        <v>11.915653866068499</v>
      </c>
      <c r="K1134">
        <v>11.8225274758003</v>
      </c>
      <c r="L1134">
        <v>12.1766440558733</v>
      </c>
      <c r="M1134" t="s">
        <v>29</v>
      </c>
      <c r="N1134" t="s">
        <v>29</v>
      </c>
      <c r="O1134">
        <v>12.728640179059701</v>
      </c>
      <c r="P1134">
        <v>0.75703171314570405</v>
      </c>
      <c r="Q1134">
        <v>-1.67014394080293E-2</v>
      </c>
      <c r="R1134">
        <v>1.5307648656994399</v>
      </c>
      <c r="S1134">
        <v>11.8557974748771</v>
      </c>
      <c r="T1134">
        <v>2.0867214160492602</v>
      </c>
      <c r="U1134">
        <v>-4.8020186126167399</v>
      </c>
      <c r="V1134">
        <v>5.4522871225983802E-2</v>
      </c>
      <c r="W1134">
        <v>0.144625473900067</v>
      </c>
      <c r="X1134">
        <v>0</v>
      </c>
      <c r="Y1134">
        <v>0</v>
      </c>
    </row>
    <row r="1135" spans="1:25" x14ac:dyDescent="0.2">
      <c r="A1135" t="s">
        <v>4189</v>
      </c>
      <c r="B1135" t="s">
        <v>4190</v>
      </c>
      <c r="C1135" t="s">
        <v>4191</v>
      </c>
      <c r="D1135" t="s">
        <v>4192</v>
      </c>
      <c r="E1135" t="s">
        <v>4190</v>
      </c>
      <c r="F1135" t="s">
        <v>28</v>
      </c>
      <c r="G1135" t="s">
        <v>4190</v>
      </c>
      <c r="H1135" t="str">
        <f>"W09H1.5"</f>
        <v>W09H1.5</v>
      </c>
      <c r="I1135" t="s">
        <v>4192</v>
      </c>
      <c r="J1135">
        <v>13.716885810015601</v>
      </c>
      <c r="K1135">
        <v>13.530277777597901</v>
      </c>
      <c r="L1135">
        <v>13.377267623989701</v>
      </c>
      <c r="M1135" t="s">
        <v>29</v>
      </c>
      <c r="N1135" t="s">
        <v>29</v>
      </c>
      <c r="O1135" t="s">
        <v>29</v>
      </c>
      <c r="P1135" t="s">
        <v>29</v>
      </c>
      <c r="Q1135" t="s">
        <v>29</v>
      </c>
      <c r="R1135" t="s">
        <v>29</v>
      </c>
      <c r="S1135">
        <v>13.003619519041299</v>
      </c>
      <c r="T1135" t="s">
        <v>29</v>
      </c>
      <c r="U1135" t="s">
        <v>29</v>
      </c>
      <c r="V1135" t="s">
        <v>29</v>
      </c>
      <c r="W1135" t="s">
        <v>29</v>
      </c>
      <c r="X1135" t="s">
        <v>29</v>
      </c>
      <c r="Y1135" t="s">
        <v>29</v>
      </c>
    </row>
    <row r="1136" spans="1:25" x14ac:dyDescent="0.2">
      <c r="A1136" t="s">
        <v>4193</v>
      </c>
      <c r="B1136" t="s">
        <v>4194</v>
      </c>
      <c r="C1136" t="s">
        <v>4195</v>
      </c>
      <c r="D1136" t="s">
        <v>4196</v>
      </c>
      <c r="E1136" t="s">
        <v>4194</v>
      </c>
      <c r="F1136" t="s">
        <v>28</v>
      </c>
      <c r="G1136" t="s">
        <v>4194</v>
      </c>
      <c r="H1136" t="str">
        <f>"bckd-1A"</f>
        <v>bckd-1A</v>
      </c>
      <c r="I1136" t="s">
        <v>4196</v>
      </c>
      <c r="J1136">
        <v>16.097754311237601</v>
      </c>
      <c r="K1136">
        <v>15.8341586925175</v>
      </c>
      <c r="L1136">
        <v>15.9908164593355</v>
      </c>
      <c r="M1136">
        <v>15.642782931047099</v>
      </c>
      <c r="N1136">
        <v>15.843669388569101</v>
      </c>
      <c r="O1136">
        <v>15.5783356102129</v>
      </c>
      <c r="P1136">
        <v>-0.28598051108715999</v>
      </c>
      <c r="Q1136">
        <v>-0.63629820434297002</v>
      </c>
      <c r="R1136">
        <v>6.4337182168648893E-2</v>
      </c>
      <c r="S1136">
        <v>15.5899054921772</v>
      </c>
      <c r="T1136">
        <v>-1.7158008499855799</v>
      </c>
      <c r="U1136">
        <v>-5.7266757227478502</v>
      </c>
      <c r="V1136">
        <v>0.10346014659604701</v>
      </c>
      <c r="W1136">
        <v>0.222228172025182</v>
      </c>
      <c r="X1136">
        <v>0</v>
      </c>
      <c r="Y1136">
        <v>0</v>
      </c>
    </row>
    <row r="1137" spans="1:25" x14ac:dyDescent="0.2">
      <c r="A1137" t="s">
        <v>4197</v>
      </c>
      <c r="B1137" t="s">
        <v>4198</v>
      </c>
      <c r="C1137" t="s">
        <v>4199</v>
      </c>
      <c r="D1137" t="s">
        <v>4200</v>
      </c>
      <c r="E1137" t="s">
        <v>4198</v>
      </c>
      <c r="F1137" t="s">
        <v>28</v>
      </c>
      <c r="G1137" t="s">
        <v>4198</v>
      </c>
      <c r="H1137" t="str">
        <f>"npp-18"</f>
        <v>npp-18</v>
      </c>
      <c r="I1137" t="s">
        <v>4200</v>
      </c>
      <c r="J1137">
        <v>15.8984867376663</v>
      </c>
      <c r="K1137">
        <v>15.8780076136101</v>
      </c>
      <c r="L1137">
        <v>15.6817813535509</v>
      </c>
      <c r="M1137">
        <v>15.931454914128</v>
      </c>
      <c r="N1137">
        <v>15.661890876051899</v>
      </c>
      <c r="O1137">
        <v>15.986733322746</v>
      </c>
      <c r="P1137">
        <v>4.0601136032813998E-2</v>
      </c>
      <c r="Q1137">
        <v>-0.30662774469656001</v>
      </c>
      <c r="R1137">
        <v>0.38783001676218798</v>
      </c>
      <c r="S1137">
        <v>15.4653613309123</v>
      </c>
      <c r="T1137">
        <v>0.24576207104881601</v>
      </c>
      <c r="U1137">
        <v>-7.12465880086204</v>
      </c>
      <c r="V1137">
        <v>0.808663028507976</v>
      </c>
      <c r="W1137">
        <v>0.88130112412142703</v>
      </c>
      <c r="X1137">
        <v>0</v>
      </c>
      <c r="Y1137">
        <v>0</v>
      </c>
    </row>
    <row r="1138" spans="1:25" x14ac:dyDescent="0.2">
      <c r="A1138" t="s">
        <v>4201</v>
      </c>
      <c r="B1138" t="s">
        <v>4202</v>
      </c>
      <c r="C1138" t="s">
        <v>14376</v>
      </c>
      <c r="D1138" t="s">
        <v>4203</v>
      </c>
      <c r="E1138" t="s">
        <v>4202</v>
      </c>
      <c r="F1138" t="s">
        <v>28</v>
      </c>
      <c r="G1138" t="s">
        <v>4202</v>
      </c>
      <c r="H1138" t="str">
        <f>"Y43F4B.5"</f>
        <v>Y43F4B.5</v>
      </c>
      <c r="I1138" t="s">
        <v>4203</v>
      </c>
      <c r="J1138">
        <v>15.4678342114952</v>
      </c>
      <c r="K1138">
        <v>15.495954263581099</v>
      </c>
      <c r="L1138">
        <v>15.0802832307301</v>
      </c>
      <c r="M1138">
        <v>14.807260404582401</v>
      </c>
      <c r="N1138">
        <v>14.3136834257815</v>
      </c>
      <c r="O1138">
        <v>14.623323711641699</v>
      </c>
      <c r="P1138">
        <v>-0.766601387933598</v>
      </c>
      <c r="Q1138">
        <v>-1.3260295976252701</v>
      </c>
      <c r="R1138">
        <v>-0.207173178241922</v>
      </c>
      <c r="S1138">
        <v>14.7150539010252</v>
      </c>
      <c r="T1138">
        <v>-2.8801675437413801</v>
      </c>
      <c r="U1138">
        <v>-3.5841027757200501</v>
      </c>
      <c r="V1138">
        <v>1.0005060321509E-2</v>
      </c>
      <c r="W1138">
        <v>4.5713043050367497E-2</v>
      </c>
      <c r="X1138">
        <v>0</v>
      </c>
      <c r="Y1138">
        <v>0</v>
      </c>
    </row>
    <row r="1139" spans="1:25" x14ac:dyDescent="0.2">
      <c r="A1139" t="s">
        <v>4204</v>
      </c>
      <c r="B1139" t="s">
        <v>4205</v>
      </c>
      <c r="C1139" t="s">
        <v>4206</v>
      </c>
      <c r="D1139" t="s">
        <v>4207</v>
      </c>
      <c r="E1139" t="s">
        <v>4205</v>
      </c>
      <c r="F1139" t="s">
        <v>28</v>
      </c>
      <c r="G1139" t="s">
        <v>4205</v>
      </c>
      <c r="H1139" t="str">
        <f>"klp-19"</f>
        <v>klp-19</v>
      </c>
      <c r="I1139" t="s">
        <v>4207</v>
      </c>
      <c r="J1139">
        <v>10.674535168274</v>
      </c>
      <c r="K1139">
        <v>10.9350947340565</v>
      </c>
      <c r="L1139">
        <v>10.9639122019771</v>
      </c>
      <c r="M1139" t="s">
        <v>29</v>
      </c>
      <c r="N1139" t="s">
        <v>29</v>
      </c>
      <c r="O1139">
        <v>12.7473003700555</v>
      </c>
      <c r="P1139">
        <v>1.8894530019529701</v>
      </c>
      <c r="Q1139">
        <v>0.93563691819098804</v>
      </c>
      <c r="R1139">
        <v>2.8432690857149598</v>
      </c>
      <c r="S1139">
        <v>11.500977510033801</v>
      </c>
      <c r="T1139">
        <v>4.2831047587339404</v>
      </c>
      <c r="U1139">
        <v>-0.78131020301854204</v>
      </c>
      <c r="V1139">
        <v>9.0673646181995901E-4</v>
      </c>
      <c r="W1139">
        <v>8.4530794343195999E-3</v>
      </c>
      <c r="X1139">
        <v>1</v>
      </c>
      <c r="Y1139">
        <v>1</v>
      </c>
    </row>
    <row r="1140" spans="1:25" x14ac:dyDescent="0.2">
      <c r="A1140" t="s">
        <v>4208</v>
      </c>
      <c r="B1140" t="s">
        <v>4209</v>
      </c>
      <c r="C1140" t="s">
        <v>4210</v>
      </c>
      <c r="D1140" t="s">
        <v>926</v>
      </c>
      <c r="E1140" t="s">
        <v>4209</v>
      </c>
      <c r="F1140" t="s">
        <v>28</v>
      </c>
      <c r="G1140" t="s">
        <v>4209</v>
      </c>
      <c r="H1140" t="str">
        <f>"slc-36.1"</f>
        <v>slc-36.1</v>
      </c>
      <c r="I1140" t="s">
        <v>926</v>
      </c>
      <c r="J1140">
        <v>13.266720952563601</v>
      </c>
      <c r="K1140">
        <v>13.5447418410445</v>
      </c>
      <c r="L1140">
        <v>12.560866996121799</v>
      </c>
      <c r="M1140" t="s">
        <v>29</v>
      </c>
      <c r="N1140" t="s">
        <v>29</v>
      </c>
      <c r="O1140">
        <v>12.3765151840703</v>
      </c>
      <c r="P1140">
        <v>-0.74759474583971997</v>
      </c>
      <c r="Q1140">
        <v>-1.8292029961462299</v>
      </c>
      <c r="R1140">
        <v>0.33401350446678801</v>
      </c>
      <c r="S1140">
        <v>12.496321812242099</v>
      </c>
      <c r="T1140">
        <v>-1.5074442572696001</v>
      </c>
      <c r="U1140">
        <v>-5.70010230251716</v>
      </c>
      <c r="V1140">
        <v>0.157787318758627</v>
      </c>
      <c r="W1140">
        <v>0.30491752680765599</v>
      </c>
      <c r="X1140">
        <v>0</v>
      </c>
      <c r="Y1140">
        <v>0</v>
      </c>
    </row>
    <row r="1141" spans="1:25" x14ac:dyDescent="0.2">
      <c r="A1141" t="s">
        <v>4211</v>
      </c>
      <c r="B1141" t="s">
        <v>4212</v>
      </c>
      <c r="C1141" t="s">
        <v>4213</v>
      </c>
      <c r="D1141" t="s">
        <v>4214</v>
      </c>
      <c r="E1141" t="s">
        <v>4212</v>
      </c>
      <c r="F1141" t="s">
        <v>28</v>
      </c>
      <c r="G1141" t="s">
        <v>4215</v>
      </c>
      <c r="H1141" t="str">
        <f>"Y45F10C.2"</f>
        <v>Y45F10C.2</v>
      </c>
      <c r="I1141" t="s">
        <v>4216</v>
      </c>
      <c r="J1141">
        <v>12.865464084893601</v>
      </c>
      <c r="K1141">
        <v>12.0154542496304</v>
      </c>
      <c r="L1141">
        <v>12.834292891697</v>
      </c>
      <c r="M1141">
        <v>14.8896745386782</v>
      </c>
      <c r="N1141">
        <v>14.8303417939056</v>
      </c>
      <c r="O1141">
        <v>13.2935947273428</v>
      </c>
      <c r="P1141">
        <v>1.7661332779018599</v>
      </c>
      <c r="Q1141">
        <v>1.0628297559904401</v>
      </c>
      <c r="R1141">
        <v>2.46943679981328</v>
      </c>
      <c r="S1141">
        <v>12.793378484527</v>
      </c>
      <c r="T1141">
        <v>5.2780462879032699</v>
      </c>
      <c r="U1141">
        <v>1.62509030472558</v>
      </c>
      <c r="V1141" s="2">
        <v>5.20410293478804E-5</v>
      </c>
      <c r="W1141">
        <v>1.03624941546083E-3</v>
      </c>
      <c r="X1141">
        <v>1</v>
      </c>
      <c r="Y1141">
        <v>1</v>
      </c>
    </row>
    <row r="1142" spans="1:25" x14ac:dyDescent="0.2">
      <c r="A1142" t="s">
        <v>4217</v>
      </c>
      <c r="B1142" t="s">
        <v>4218</v>
      </c>
      <c r="C1142" t="s">
        <v>4219</v>
      </c>
      <c r="D1142" t="s">
        <v>4220</v>
      </c>
      <c r="E1142" t="s">
        <v>4218</v>
      </c>
      <c r="F1142" t="s">
        <v>28</v>
      </c>
      <c r="G1142" t="s">
        <v>4218</v>
      </c>
      <c r="H1142" t="str">
        <f>"rpl-18"</f>
        <v>rpl-18</v>
      </c>
      <c r="I1142" t="s">
        <v>4220</v>
      </c>
      <c r="J1142">
        <v>17.743375633545899</v>
      </c>
      <c r="K1142">
        <v>18.0363449072285</v>
      </c>
      <c r="L1142">
        <v>18.209126674995002</v>
      </c>
      <c r="M1142">
        <v>17.696329518019802</v>
      </c>
      <c r="N1142">
        <v>17.828456304772001</v>
      </c>
      <c r="O1142">
        <v>17.291311499293101</v>
      </c>
      <c r="P1142">
        <v>-0.39091663122815801</v>
      </c>
      <c r="Q1142">
        <v>-0.78863724000392899</v>
      </c>
      <c r="R1142">
        <v>6.8039775476119203E-3</v>
      </c>
      <c r="S1142">
        <v>18.2113483465805</v>
      </c>
      <c r="T1142">
        <v>-2.0658489567598401</v>
      </c>
      <c r="U1142">
        <v>-5.1489917841438704</v>
      </c>
      <c r="V1142">
        <v>5.3633563604866298E-2</v>
      </c>
      <c r="W1142">
        <v>0.14278058892822099</v>
      </c>
      <c r="X1142">
        <v>0</v>
      </c>
      <c r="Y1142">
        <v>0</v>
      </c>
    </row>
    <row r="1143" spans="1:25" x14ac:dyDescent="0.2">
      <c r="A1143" t="s">
        <v>4221</v>
      </c>
      <c r="B1143" t="s">
        <v>4222</v>
      </c>
      <c r="C1143" t="s">
        <v>4223</v>
      </c>
      <c r="D1143" t="s">
        <v>130</v>
      </c>
      <c r="E1143" t="s">
        <v>4222</v>
      </c>
      <c r="F1143" t="s">
        <v>28</v>
      </c>
      <c r="G1143" t="s">
        <v>4222</v>
      </c>
      <c r="H1143" t="str">
        <f>"lin-38"</f>
        <v>lin-38</v>
      </c>
      <c r="I1143" t="s">
        <v>130</v>
      </c>
      <c r="J1143" t="s">
        <v>29</v>
      </c>
      <c r="K1143">
        <v>11.5580525489741</v>
      </c>
      <c r="L1143">
        <v>11.4902426100781</v>
      </c>
      <c r="M1143" t="s">
        <v>29</v>
      </c>
      <c r="N1143">
        <v>12.1036750574003</v>
      </c>
      <c r="O1143">
        <v>12.0693800111424</v>
      </c>
      <c r="P1143">
        <v>0.56237995474525504</v>
      </c>
      <c r="Q1143">
        <v>-8.23102567515719E-2</v>
      </c>
      <c r="R1143">
        <v>1.20707016624208</v>
      </c>
      <c r="S1143">
        <v>12.322360286791501</v>
      </c>
      <c r="T1143">
        <v>1.8502409388413099</v>
      </c>
      <c r="U1143">
        <v>-5.3235541347025599</v>
      </c>
      <c r="V1143">
        <v>8.2956629127945394E-2</v>
      </c>
      <c r="W1143">
        <v>0.19204492226241601</v>
      </c>
      <c r="X1143">
        <v>0</v>
      </c>
      <c r="Y1143">
        <v>0</v>
      </c>
    </row>
    <row r="1144" spans="1:25" x14ac:dyDescent="0.2">
      <c r="A1144" t="s">
        <v>4224</v>
      </c>
      <c r="B1144" t="s">
        <v>4225</v>
      </c>
      <c r="C1144" t="s">
        <v>14377</v>
      </c>
      <c r="D1144" t="s">
        <v>3662</v>
      </c>
      <c r="E1144" t="s">
        <v>4225</v>
      </c>
      <c r="F1144" t="s">
        <v>28</v>
      </c>
      <c r="G1144" t="s">
        <v>4225</v>
      </c>
      <c r="H1144" t="str">
        <f>"Y48E1B.8"</f>
        <v>Y48E1B.8</v>
      </c>
      <c r="I1144" t="s">
        <v>3662</v>
      </c>
      <c r="J1144" t="s">
        <v>29</v>
      </c>
      <c r="K1144" t="s">
        <v>29</v>
      </c>
      <c r="L1144" t="s">
        <v>29</v>
      </c>
      <c r="M1144" t="s">
        <v>29</v>
      </c>
      <c r="N1144" t="s">
        <v>29</v>
      </c>
      <c r="O1144" t="s">
        <v>29</v>
      </c>
      <c r="P1144" t="s">
        <v>29</v>
      </c>
      <c r="Q1144" t="s">
        <v>29</v>
      </c>
      <c r="R1144" t="s">
        <v>29</v>
      </c>
      <c r="S1144">
        <v>11.9264087493908</v>
      </c>
      <c r="T1144" t="s">
        <v>29</v>
      </c>
      <c r="U1144" t="s">
        <v>29</v>
      </c>
      <c r="V1144" t="s">
        <v>29</v>
      </c>
      <c r="W1144" t="s">
        <v>29</v>
      </c>
      <c r="X1144" t="s">
        <v>29</v>
      </c>
      <c r="Y1144" t="s">
        <v>29</v>
      </c>
    </row>
    <row r="1145" spans="1:25" x14ac:dyDescent="0.2">
      <c r="A1145" t="s">
        <v>4226</v>
      </c>
      <c r="B1145" t="s">
        <v>4227</v>
      </c>
      <c r="C1145" t="s">
        <v>4228</v>
      </c>
      <c r="D1145" t="s">
        <v>4229</v>
      </c>
      <c r="E1145" t="s">
        <v>4227</v>
      </c>
      <c r="F1145" t="s">
        <v>28</v>
      </c>
      <c r="G1145" t="s">
        <v>4227</v>
      </c>
      <c r="H1145" t="str">
        <f>"rle-1"</f>
        <v>rle-1</v>
      </c>
      <c r="I1145" t="s">
        <v>4229</v>
      </c>
      <c r="J1145" t="s">
        <v>29</v>
      </c>
      <c r="K1145" t="s">
        <v>29</v>
      </c>
      <c r="L1145">
        <v>9.6831430153441698</v>
      </c>
      <c r="M1145" t="s">
        <v>29</v>
      </c>
      <c r="N1145" t="s">
        <v>29</v>
      </c>
      <c r="O1145">
        <v>11.9473764896816</v>
      </c>
      <c r="P1145">
        <v>2.2642334743374501</v>
      </c>
      <c r="Q1145">
        <v>0.73222044449897306</v>
      </c>
      <c r="R1145">
        <v>3.7962465041759201</v>
      </c>
      <c r="S1145">
        <v>11.7217393872762</v>
      </c>
      <c r="T1145">
        <v>3.2233225034260902</v>
      </c>
      <c r="U1145">
        <v>-2.6640400113573302</v>
      </c>
      <c r="V1145">
        <v>7.3853727060460396E-3</v>
      </c>
      <c r="W1145">
        <v>3.6764684737698797E-2</v>
      </c>
      <c r="X1145">
        <v>1</v>
      </c>
      <c r="Y1145">
        <v>1</v>
      </c>
    </row>
    <row r="1146" spans="1:25" x14ac:dyDescent="0.2">
      <c r="A1146" t="s">
        <v>4230</v>
      </c>
      <c r="B1146" t="s">
        <v>4231</v>
      </c>
      <c r="C1146" t="s">
        <v>14378</v>
      </c>
      <c r="D1146" t="s">
        <v>2636</v>
      </c>
      <c r="E1146" t="s">
        <v>4231</v>
      </c>
      <c r="F1146" t="s">
        <v>28</v>
      </c>
      <c r="G1146" t="s">
        <v>4231</v>
      </c>
      <c r="H1146" t="str">
        <f>"ZK1053.4"</f>
        <v>ZK1053.4</v>
      </c>
      <c r="I1146" t="s">
        <v>2636</v>
      </c>
      <c r="J1146" t="s">
        <v>29</v>
      </c>
      <c r="K1146" t="s">
        <v>29</v>
      </c>
      <c r="L1146" t="s">
        <v>29</v>
      </c>
      <c r="M1146" t="s">
        <v>29</v>
      </c>
      <c r="N1146" t="s">
        <v>29</v>
      </c>
      <c r="O1146" t="s">
        <v>29</v>
      </c>
      <c r="P1146" t="s">
        <v>29</v>
      </c>
      <c r="Q1146" t="s">
        <v>29</v>
      </c>
      <c r="R1146" t="s">
        <v>29</v>
      </c>
      <c r="S1146">
        <v>10.7282120678393</v>
      </c>
      <c r="T1146" t="s">
        <v>29</v>
      </c>
      <c r="U1146" t="s">
        <v>29</v>
      </c>
      <c r="V1146" t="s">
        <v>29</v>
      </c>
      <c r="W1146" t="s">
        <v>29</v>
      </c>
      <c r="X1146" t="s">
        <v>29</v>
      </c>
      <c r="Y1146" t="s">
        <v>29</v>
      </c>
    </row>
    <row r="1147" spans="1:25" x14ac:dyDescent="0.2">
      <c r="A1147" t="s">
        <v>4232</v>
      </c>
      <c r="B1147" t="s">
        <v>4233</v>
      </c>
      <c r="C1147" t="s">
        <v>4234</v>
      </c>
      <c r="D1147" t="s">
        <v>4235</v>
      </c>
      <c r="E1147" t="s">
        <v>4233</v>
      </c>
      <c r="F1147" t="s">
        <v>28</v>
      </c>
      <c r="G1147" t="s">
        <v>4233</v>
      </c>
      <c r="H1147" t="str">
        <f>"aqp-11"</f>
        <v>aqp-11</v>
      </c>
      <c r="I1147" t="s">
        <v>4235</v>
      </c>
      <c r="J1147" t="s">
        <v>29</v>
      </c>
      <c r="K1147">
        <v>11.1491439075836</v>
      </c>
      <c r="L1147">
        <v>12.2672298867289</v>
      </c>
      <c r="M1147" t="s">
        <v>29</v>
      </c>
      <c r="N1147" t="s">
        <v>29</v>
      </c>
      <c r="O1147">
        <v>12.1946482355499</v>
      </c>
      <c r="P1147">
        <v>0.48646133839362399</v>
      </c>
      <c r="Q1147">
        <v>-1.1465661895178001</v>
      </c>
      <c r="R1147">
        <v>2.11948886630505</v>
      </c>
      <c r="S1147">
        <v>12.6780263008835</v>
      </c>
      <c r="T1147">
        <v>0.639361847939655</v>
      </c>
      <c r="U1147">
        <v>-6.5415257461424003</v>
      </c>
      <c r="V1147">
        <v>0.53298715161627697</v>
      </c>
      <c r="W1147">
        <v>0.68321580505139901</v>
      </c>
      <c r="X1147">
        <v>0</v>
      </c>
      <c r="Y1147">
        <v>0</v>
      </c>
    </row>
    <row r="1148" spans="1:25" x14ac:dyDescent="0.2">
      <c r="A1148" t="s">
        <v>4236</v>
      </c>
      <c r="B1148" t="s">
        <v>4237</v>
      </c>
      <c r="C1148" t="s">
        <v>14379</v>
      </c>
      <c r="D1148" t="s">
        <v>4238</v>
      </c>
      <c r="E1148" t="s">
        <v>4237</v>
      </c>
      <c r="F1148" t="s">
        <v>28</v>
      </c>
      <c r="G1148" t="s">
        <v>4237</v>
      </c>
      <c r="H1148" t="str">
        <f>"F37C4.6"</f>
        <v>F37C4.6</v>
      </c>
      <c r="I1148" t="s">
        <v>4238</v>
      </c>
      <c r="J1148">
        <v>14.1257109358287</v>
      </c>
      <c r="K1148">
        <v>14.0810320266097</v>
      </c>
      <c r="L1148">
        <v>13.941996778191101</v>
      </c>
      <c r="M1148">
        <v>12.930004900850699</v>
      </c>
      <c r="N1148">
        <v>13.433329096956401</v>
      </c>
      <c r="O1148">
        <v>13.425007982387299</v>
      </c>
      <c r="P1148">
        <v>-0.78679925347836699</v>
      </c>
      <c r="Q1148">
        <v>-1.1272927234389101</v>
      </c>
      <c r="R1148">
        <v>-0.44630578351782701</v>
      </c>
      <c r="S1148">
        <v>13.430891224501099</v>
      </c>
      <c r="T1148">
        <v>-4.85677142828228</v>
      </c>
      <c r="U1148">
        <v>0.71290573511328104</v>
      </c>
      <c r="V1148">
        <v>1.28724697510791E-4</v>
      </c>
      <c r="W1148">
        <v>2.08434990969396E-3</v>
      </c>
      <c r="X1148">
        <v>0</v>
      </c>
      <c r="Y1148">
        <v>0</v>
      </c>
    </row>
    <row r="1149" spans="1:25" x14ac:dyDescent="0.2">
      <c r="A1149" t="s">
        <v>4239</v>
      </c>
      <c r="B1149" t="s">
        <v>4240</v>
      </c>
      <c r="C1149" t="s">
        <v>4241</v>
      </c>
      <c r="D1149" t="s">
        <v>4242</v>
      </c>
      <c r="E1149" t="s">
        <v>4240</v>
      </c>
      <c r="F1149" t="s">
        <v>28</v>
      </c>
      <c r="G1149" t="s">
        <v>4240</v>
      </c>
      <c r="H1149" t="str">
        <f>"ogdh-1"</f>
        <v>ogdh-1</v>
      </c>
      <c r="I1149" t="s">
        <v>4242</v>
      </c>
      <c r="J1149">
        <v>14.0231718786138</v>
      </c>
      <c r="K1149">
        <v>14.165785791752</v>
      </c>
      <c r="L1149">
        <v>14.269131708681</v>
      </c>
      <c r="M1149">
        <v>14.0039154198824</v>
      </c>
      <c r="N1149">
        <v>12.8336089694275</v>
      </c>
      <c r="O1149">
        <v>14.1471333886949</v>
      </c>
      <c r="P1149">
        <v>-0.49114386701399598</v>
      </c>
      <c r="Q1149">
        <v>-1.06055340380167</v>
      </c>
      <c r="R1149">
        <v>7.82656697736758E-2</v>
      </c>
      <c r="S1149">
        <v>14.1907918159416</v>
      </c>
      <c r="T1149">
        <v>-1.81291107385983</v>
      </c>
      <c r="U1149">
        <v>-5.5736628513663504</v>
      </c>
      <c r="V1149">
        <v>8.6655669279929404E-2</v>
      </c>
      <c r="W1149">
        <v>0.19765809393804301</v>
      </c>
      <c r="X1149">
        <v>0</v>
      </c>
      <c r="Y1149">
        <v>0</v>
      </c>
    </row>
    <row r="1150" spans="1:25" x14ac:dyDescent="0.2">
      <c r="A1150" t="s">
        <v>4243</v>
      </c>
      <c r="B1150" t="s">
        <v>4244</v>
      </c>
      <c r="C1150" t="s">
        <v>14380</v>
      </c>
      <c r="D1150" t="s">
        <v>4245</v>
      </c>
      <c r="E1150" t="s">
        <v>4244</v>
      </c>
      <c r="F1150" t="s">
        <v>28</v>
      </c>
      <c r="G1150" t="s">
        <v>4244</v>
      </c>
      <c r="H1150" t="str">
        <f>"F39C12.1"</f>
        <v>F39C12.1</v>
      </c>
      <c r="I1150" t="s">
        <v>4245</v>
      </c>
      <c r="J1150">
        <v>11.1514643283219</v>
      </c>
      <c r="K1150">
        <v>11.0848676342862</v>
      </c>
      <c r="L1150">
        <v>11.5396183445191</v>
      </c>
      <c r="M1150" t="s">
        <v>29</v>
      </c>
      <c r="N1150" t="s">
        <v>29</v>
      </c>
      <c r="O1150">
        <v>11.9363861369166</v>
      </c>
      <c r="P1150">
        <v>0.67773603454091502</v>
      </c>
      <c r="Q1150">
        <v>-0.110551389497363</v>
      </c>
      <c r="R1150">
        <v>1.46602345857919</v>
      </c>
      <c r="S1150">
        <v>11.5914975067878</v>
      </c>
      <c r="T1150">
        <v>1.8235828910467899</v>
      </c>
      <c r="U1150">
        <v>-5.2288474921250199</v>
      </c>
      <c r="V1150">
        <v>8.7074966393675499E-2</v>
      </c>
      <c r="W1150">
        <v>0.19784882495155101</v>
      </c>
      <c r="X1150">
        <v>0</v>
      </c>
      <c r="Y1150">
        <v>0</v>
      </c>
    </row>
    <row r="1151" spans="1:25" x14ac:dyDescent="0.2">
      <c r="A1151" t="s">
        <v>4246</v>
      </c>
      <c r="B1151" t="s">
        <v>4247</v>
      </c>
      <c r="C1151" t="s">
        <v>4248</v>
      </c>
      <c r="D1151" t="s">
        <v>2051</v>
      </c>
      <c r="E1151" t="s">
        <v>4247</v>
      </c>
      <c r="F1151" t="s">
        <v>28</v>
      </c>
      <c r="G1151" t="s">
        <v>4247</v>
      </c>
      <c r="H1151" t="str">
        <f>"fbxc-52"</f>
        <v>fbxc-52</v>
      </c>
      <c r="I1151" t="s">
        <v>2051</v>
      </c>
      <c r="J1151">
        <v>14.074333356521301</v>
      </c>
      <c r="K1151">
        <v>14.573607459881099</v>
      </c>
      <c r="L1151">
        <v>14.180757071037799</v>
      </c>
      <c r="M1151" t="s">
        <v>29</v>
      </c>
      <c r="N1151">
        <v>13.5939439903592</v>
      </c>
      <c r="O1151">
        <v>14.8155743564906</v>
      </c>
      <c r="P1151">
        <v>-7.1473455721807994E-2</v>
      </c>
      <c r="Q1151">
        <v>-0.75108442737759795</v>
      </c>
      <c r="R1151">
        <v>0.60813751593398202</v>
      </c>
      <c r="S1151">
        <v>14.0716128431614</v>
      </c>
      <c r="T1151">
        <v>-0.22199051169723999</v>
      </c>
      <c r="U1151">
        <v>-7.0196088871826099</v>
      </c>
      <c r="V1151">
        <v>0.82698245822094996</v>
      </c>
      <c r="W1151">
        <v>0.89075924867585499</v>
      </c>
      <c r="X1151">
        <v>0</v>
      </c>
      <c r="Y1151">
        <v>0</v>
      </c>
    </row>
    <row r="1152" spans="1:25" x14ac:dyDescent="0.2">
      <c r="A1152" t="s">
        <v>4249</v>
      </c>
      <c r="B1152" t="s">
        <v>4250</v>
      </c>
      <c r="C1152" t="s">
        <v>14381</v>
      </c>
      <c r="D1152" t="s">
        <v>4251</v>
      </c>
      <c r="E1152" t="s">
        <v>4250</v>
      </c>
      <c r="F1152" t="s">
        <v>28</v>
      </c>
      <c r="G1152" t="s">
        <v>4252</v>
      </c>
      <c r="H1152" t="str">
        <f>"H17B01.2"</f>
        <v>H17B01.2</v>
      </c>
      <c r="I1152" t="s">
        <v>4253</v>
      </c>
      <c r="J1152">
        <v>13.895089070014301</v>
      </c>
      <c r="K1152">
        <v>12.9637501978982</v>
      </c>
      <c r="L1152">
        <v>14.8115300937716</v>
      </c>
      <c r="M1152" t="s">
        <v>29</v>
      </c>
      <c r="N1152">
        <v>13.2863047511609</v>
      </c>
      <c r="O1152">
        <v>11.374321604246299</v>
      </c>
      <c r="P1152">
        <v>-1.5598099428577401</v>
      </c>
      <c r="Q1152">
        <v>-2.78075863525356</v>
      </c>
      <c r="R1152">
        <v>-0.33886125046191501</v>
      </c>
      <c r="S1152">
        <v>13.6801391111794</v>
      </c>
      <c r="T1152">
        <v>-2.7419918720326399</v>
      </c>
      <c r="U1152">
        <v>-3.8544052683516798</v>
      </c>
      <c r="V1152">
        <v>1.5980418791707699E-2</v>
      </c>
      <c r="W1152">
        <v>6.3383976015023796E-2</v>
      </c>
      <c r="X1152">
        <v>-1</v>
      </c>
      <c r="Y1152">
        <v>0</v>
      </c>
    </row>
    <row r="1153" spans="1:25" x14ac:dyDescent="0.2">
      <c r="A1153" t="s">
        <v>4254</v>
      </c>
      <c r="B1153" t="s">
        <v>4255</v>
      </c>
      <c r="C1153" t="s">
        <v>4256</v>
      </c>
      <c r="D1153" t="s">
        <v>4257</v>
      </c>
      <c r="E1153" t="s">
        <v>4255</v>
      </c>
      <c r="F1153" t="s">
        <v>28</v>
      </c>
      <c r="G1153" t="s">
        <v>4255</v>
      </c>
      <c r="H1153" t="str">
        <f>"bli-3"</f>
        <v>bli-3</v>
      </c>
      <c r="I1153" t="s">
        <v>4257</v>
      </c>
      <c r="J1153">
        <v>11.7494846215225</v>
      </c>
      <c r="K1153">
        <v>12.5894951031374</v>
      </c>
      <c r="L1153">
        <v>12.365204399669601</v>
      </c>
      <c r="M1153" t="s">
        <v>29</v>
      </c>
      <c r="N1153" t="s">
        <v>29</v>
      </c>
      <c r="O1153" t="s">
        <v>29</v>
      </c>
      <c r="P1153" t="s">
        <v>29</v>
      </c>
      <c r="Q1153" t="s">
        <v>29</v>
      </c>
      <c r="R1153" t="s">
        <v>29</v>
      </c>
      <c r="S1153">
        <v>12.706873174164899</v>
      </c>
      <c r="T1153" t="s">
        <v>29</v>
      </c>
      <c r="U1153" t="s">
        <v>29</v>
      </c>
      <c r="V1153" t="s">
        <v>29</v>
      </c>
      <c r="W1153" t="s">
        <v>29</v>
      </c>
      <c r="X1153" t="s">
        <v>29</v>
      </c>
      <c r="Y1153" t="s">
        <v>29</v>
      </c>
    </row>
    <row r="1154" spans="1:25" x14ac:dyDescent="0.2">
      <c r="A1154" t="s">
        <v>4258</v>
      </c>
      <c r="B1154" t="s">
        <v>4259</v>
      </c>
      <c r="C1154" t="s">
        <v>4260</v>
      </c>
      <c r="D1154" t="s">
        <v>4261</v>
      </c>
      <c r="E1154" t="s">
        <v>4259</v>
      </c>
      <c r="F1154" t="s">
        <v>28</v>
      </c>
      <c r="G1154" t="s">
        <v>4259</v>
      </c>
      <c r="H1154" t="str">
        <f>"daf-31"</f>
        <v>daf-31</v>
      </c>
      <c r="I1154" t="s">
        <v>4261</v>
      </c>
      <c r="J1154">
        <v>14.8608991621677</v>
      </c>
      <c r="K1154">
        <v>14.79248672166</v>
      </c>
      <c r="L1154">
        <v>14.9122472522536</v>
      </c>
      <c r="M1154">
        <v>14.447580679537801</v>
      </c>
      <c r="N1154">
        <v>14.5071588345885</v>
      </c>
      <c r="O1154">
        <v>14.244836752223399</v>
      </c>
      <c r="P1154">
        <v>-0.45535228991056398</v>
      </c>
      <c r="Q1154">
        <v>-0.86223115153310803</v>
      </c>
      <c r="R1154">
        <v>-4.8473428288020599E-2</v>
      </c>
      <c r="S1154">
        <v>14.216176646586201</v>
      </c>
      <c r="T1154">
        <v>-2.3522036000720301</v>
      </c>
      <c r="U1154">
        <v>-4.6284998988231196</v>
      </c>
      <c r="V1154">
        <v>3.0316691231332401E-2</v>
      </c>
      <c r="W1154">
        <v>9.7217942392531495E-2</v>
      </c>
      <c r="X1154">
        <v>0</v>
      </c>
      <c r="Y1154">
        <v>0</v>
      </c>
    </row>
    <row r="1155" spans="1:25" x14ac:dyDescent="0.2">
      <c r="A1155" t="s">
        <v>4262</v>
      </c>
      <c r="B1155" t="s">
        <v>4263</v>
      </c>
      <c r="C1155" t="s">
        <v>4264</v>
      </c>
      <c r="D1155" t="s">
        <v>4265</v>
      </c>
      <c r="E1155" t="s">
        <v>4263</v>
      </c>
      <c r="F1155" t="s">
        <v>28</v>
      </c>
      <c r="G1155" t="s">
        <v>4266</v>
      </c>
      <c r="H1155" t="str">
        <f>"ctl-1"</f>
        <v>ctl-1</v>
      </c>
      <c r="I1155" t="s">
        <v>4267</v>
      </c>
      <c r="J1155">
        <v>14.155745962697001</v>
      </c>
      <c r="K1155">
        <v>13.549868630932799</v>
      </c>
      <c r="L1155">
        <v>13.1138851624294</v>
      </c>
      <c r="M1155">
        <v>16.845873894012399</v>
      </c>
      <c r="N1155">
        <v>15.8086093626139</v>
      </c>
      <c r="O1155">
        <v>13.3960045679201</v>
      </c>
      <c r="P1155">
        <v>1.7436626894957099</v>
      </c>
      <c r="Q1155">
        <v>0.59205425130576805</v>
      </c>
      <c r="R1155">
        <v>2.89527112768566</v>
      </c>
      <c r="S1155">
        <v>13.402512117924401</v>
      </c>
      <c r="T1155">
        <v>3.1823661727865602</v>
      </c>
      <c r="U1155">
        <v>-2.9510627015562201</v>
      </c>
      <c r="V1155">
        <v>5.1872913242279901E-3</v>
      </c>
      <c r="W1155">
        <v>2.91179952999998E-2</v>
      </c>
      <c r="X1155">
        <v>1</v>
      </c>
      <c r="Y1155">
        <v>1</v>
      </c>
    </row>
    <row r="1156" spans="1:25" x14ac:dyDescent="0.2">
      <c r="A1156" t="s">
        <v>4268</v>
      </c>
      <c r="B1156" t="s">
        <v>4269</v>
      </c>
      <c r="C1156" t="s">
        <v>14382</v>
      </c>
      <c r="D1156" t="s">
        <v>4270</v>
      </c>
      <c r="E1156" t="s">
        <v>4269</v>
      </c>
      <c r="F1156" t="s">
        <v>28</v>
      </c>
      <c r="G1156" t="s">
        <v>4269</v>
      </c>
      <c r="H1156" t="str">
        <f>"F17E9.4"</f>
        <v>F17E9.4</v>
      </c>
      <c r="I1156" t="s">
        <v>4270</v>
      </c>
      <c r="J1156">
        <v>10.1360397546255</v>
      </c>
      <c r="K1156">
        <v>9.9763956059832992</v>
      </c>
      <c r="L1156" t="s">
        <v>29</v>
      </c>
      <c r="M1156" t="s">
        <v>29</v>
      </c>
      <c r="N1156" t="s">
        <v>29</v>
      </c>
      <c r="O1156" t="s">
        <v>29</v>
      </c>
      <c r="P1156" t="s">
        <v>29</v>
      </c>
      <c r="Q1156" t="s">
        <v>29</v>
      </c>
      <c r="R1156" t="s">
        <v>29</v>
      </c>
      <c r="S1156">
        <v>10.2082269373422</v>
      </c>
      <c r="T1156" t="s">
        <v>29</v>
      </c>
      <c r="U1156" t="s">
        <v>29</v>
      </c>
      <c r="V1156" t="s">
        <v>29</v>
      </c>
      <c r="W1156" t="s">
        <v>29</v>
      </c>
      <c r="X1156" t="s">
        <v>29</v>
      </c>
      <c r="Y1156" t="s">
        <v>29</v>
      </c>
    </row>
    <row r="1157" spans="1:25" x14ac:dyDescent="0.2">
      <c r="A1157" t="s">
        <v>4271</v>
      </c>
      <c r="B1157" t="s">
        <v>4272</v>
      </c>
      <c r="C1157" t="s">
        <v>4273</v>
      </c>
      <c r="D1157" t="s">
        <v>2692</v>
      </c>
      <c r="E1157" t="s">
        <v>4272</v>
      </c>
      <c r="F1157" t="s">
        <v>28</v>
      </c>
      <c r="G1157" t="s">
        <v>4272</v>
      </c>
      <c r="H1157" t="str">
        <f>"unc-73"</f>
        <v>unc-73</v>
      </c>
      <c r="I1157" t="s">
        <v>2692</v>
      </c>
      <c r="J1157">
        <v>12.6362405937281</v>
      </c>
      <c r="K1157">
        <v>12.6930863027348</v>
      </c>
      <c r="L1157">
        <v>12.2028420261154</v>
      </c>
      <c r="M1157" t="s">
        <v>29</v>
      </c>
      <c r="N1157">
        <v>12.330462286868499</v>
      </c>
      <c r="O1157">
        <v>12.577365972389201</v>
      </c>
      <c r="P1157">
        <v>-5.6808844563930101E-2</v>
      </c>
      <c r="Q1157">
        <v>-0.51340656029165199</v>
      </c>
      <c r="R1157">
        <v>0.39978887116379203</v>
      </c>
      <c r="S1157">
        <v>12.472127240518301</v>
      </c>
      <c r="T1157">
        <v>-0.26262268365272501</v>
      </c>
      <c r="U1157">
        <v>-7.0092946658427202</v>
      </c>
      <c r="V1157">
        <v>0.79601698899048801</v>
      </c>
      <c r="W1157">
        <v>0.87230805424368596</v>
      </c>
      <c r="X1157">
        <v>0</v>
      </c>
      <c r="Y1157">
        <v>0</v>
      </c>
    </row>
    <row r="1158" spans="1:25" x14ac:dyDescent="0.2">
      <c r="A1158" t="s">
        <v>4274</v>
      </c>
      <c r="B1158" t="s">
        <v>4275</v>
      </c>
      <c r="C1158" t="s">
        <v>4276</v>
      </c>
      <c r="D1158" t="s">
        <v>4277</v>
      </c>
      <c r="E1158" t="s">
        <v>4275</v>
      </c>
      <c r="F1158" t="s">
        <v>28</v>
      </c>
      <c r="G1158" t="s">
        <v>4275</v>
      </c>
      <c r="H1158" t="str">
        <f>"top-3"</f>
        <v>top-3</v>
      </c>
      <c r="I1158" t="s">
        <v>4277</v>
      </c>
      <c r="J1158">
        <v>12.243983117256599</v>
      </c>
      <c r="K1158">
        <v>11.7490999846713</v>
      </c>
      <c r="L1158">
        <v>11.8980104757149</v>
      </c>
      <c r="M1158" t="s">
        <v>29</v>
      </c>
      <c r="N1158" t="s">
        <v>29</v>
      </c>
      <c r="O1158">
        <v>11.951305164983401</v>
      </c>
      <c r="P1158">
        <v>-1.2392694230918299E-2</v>
      </c>
      <c r="Q1158">
        <v>-0.61313492599626995</v>
      </c>
      <c r="R1158">
        <v>0.58834953753443298</v>
      </c>
      <c r="S1158">
        <v>12.2786471567467</v>
      </c>
      <c r="T1158">
        <v>-4.3754940794254397E-2</v>
      </c>
      <c r="U1158">
        <v>-6.8116952537811297</v>
      </c>
      <c r="V1158">
        <v>0.96564470130436597</v>
      </c>
      <c r="W1158">
        <v>0.97960582951599495</v>
      </c>
      <c r="X1158">
        <v>0</v>
      </c>
      <c r="Y1158">
        <v>0</v>
      </c>
    </row>
    <row r="1159" spans="1:25" x14ac:dyDescent="0.2">
      <c r="A1159" t="s">
        <v>4278</v>
      </c>
      <c r="B1159" t="s">
        <v>4279</v>
      </c>
      <c r="C1159" t="s">
        <v>4280</v>
      </c>
      <c r="D1159" t="s">
        <v>4281</v>
      </c>
      <c r="E1159" t="s">
        <v>4279</v>
      </c>
      <c r="F1159" t="s">
        <v>28</v>
      </c>
      <c r="G1159" t="s">
        <v>4279</v>
      </c>
      <c r="H1159" t="str">
        <f>"pqn-59"</f>
        <v>pqn-59</v>
      </c>
      <c r="I1159" t="s">
        <v>4281</v>
      </c>
      <c r="J1159">
        <v>14.3915627438619</v>
      </c>
      <c r="K1159">
        <v>13.9588074309838</v>
      </c>
      <c r="L1159">
        <v>14.408586708136101</v>
      </c>
      <c r="M1159">
        <v>17.543340539081399</v>
      </c>
      <c r="N1159">
        <v>14.318102550903999</v>
      </c>
      <c r="O1159">
        <v>14.009406984186599</v>
      </c>
      <c r="P1159">
        <v>1.0372977303967601</v>
      </c>
      <c r="Q1159">
        <v>-0.17458731263330199</v>
      </c>
      <c r="R1159">
        <v>2.2491827734268202</v>
      </c>
      <c r="S1159">
        <v>15.148513996785301</v>
      </c>
      <c r="T1159">
        <v>1.79901388513491</v>
      </c>
      <c r="U1159">
        <v>-5.59591999812206</v>
      </c>
      <c r="V1159">
        <v>8.8904009082845001E-2</v>
      </c>
      <c r="W1159">
        <v>0.20030589814001801</v>
      </c>
      <c r="X1159">
        <v>0</v>
      </c>
      <c r="Y1159">
        <v>0</v>
      </c>
    </row>
    <row r="1160" spans="1:25" x14ac:dyDescent="0.2">
      <c r="A1160" t="s">
        <v>4282</v>
      </c>
      <c r="B1160" t="s">
        <v>4283</v>
      </c>
      <c r="C1160" t="s">
        <v>14383</v>
      </c>
      <c r="D1160" t="s">
        <v>3246</v>
      </c>
      <c r="E1160" t="s">
        <v>4283</v>
      </c>
      <c r="F1160" t="s">
        <v>28</v>
      </c>
      <c r="G1160" t="s">
        <v>4283</v>
      </c>
      <c r="H1160" t="str">
        <f>"R119.3"</f>
        <v>R119.3</v>
      </c>
      <c r="I1160" t="s">
        <v>3246</v>
      </c>
      <c r="J1160">
        <v>12.7074765317703</v>
      </c>
      <c r="K1160">
        <v>12.476479830954</v>
      </c>
      <c r="L1160">
        <v>12.3637622401952</v>
      </c>
      <c r="M1160" t="s">
        <v>29</v>
      </c>
      <c r="N1160" t="s">
        <v>29</v>
      </c>
      <c r="O1160">
        <v>12.1257054455168</v>
      </c>
      <c r="P1160">
        <v>-0.39020075545635702</v>
      </c>
      <c r="Q1160">
        <v>-1.0148348660206199</v>
      </c>
      <c r="R1160">
        <v>0.234433355107907</v>
      </c>
      <c r="S1160">
        <v>12.453307141162201</v>
      </c>
      <c r="T1160">
        <v>-1.32498798108844</v>
      </c>
      <c r="U1160">
        <v>-5.9387520377383902</v>
      </c>
      <c r="V1160">
        <v>0.20390809472829299</v>
      </c>
      <c r="W1160">
        <v>0.36383408317349097</v>
      </c>
      <c r="X1160">
        <v>0</v>
      </c>
      <c r="Y1160">
        <v>0</v>
      </c>
    </row>
    <row r="1161" spans="1:25" x14ac:dyDescent="0.2">
      <c r="A1161" t="s">
        <v>4284</v>
      </c>
      <c r="B1161" t="s">
        <v>4285</v>
      </c>
      <c r="C1161" t="s">
        <v>4286</v>
      </c>
      <c r="D1161" t="s">
        <v>93</v>
      </c>
      <c r="E1161" t="s">
        <v>4285</v>
      </c>
      <c r="F1161" t="s">
        <v>28</v>
      </c>
      <c r="G1161" t="s">
        <v>4285</v>
      </c>
      <c r="H1161" t="str">
        <f>"rnp-8"</f>
        <v>rnp-8</v>
      </c>
      <c r="I1161" t="s">
        <v>93</v>
      </c>
      <c r="J1161">
        <v>11.9798431637821</v>
      </c>
      <c r="K1161">
        <v>12.330829722527801</v>
      </c>
      <c r="L1161">
        <v>12.892216805952801</v>
      </c>
      <c r="M1161" t="s">
        <v>29</v>
      </c>
      <c r="N1161" t="s">
        <v>29</v>
      </c>
      <c r="O1161">
        <v>12.6862541206012</v>
      </c>
      <c r="P1161">
        <v>0.28529088984696199</v>
      </c>
      <c r="Q1161">
        <v>-0.51649114851899502</v>
      </c>
      <c r="R1161">
        <v>1.0870729282129199</v>
      </c>
      <c r="S1161">
        <v>13.054170817267501</v>
      </c>
      <c r="T1161">
        <v>0.76934090702952296</v>
      </c>
      <c r="U1161">
        <v>-6.50468876906523</v>
      </c>
      <c r="V1161">
        <v>0.45555280186400199</v>
      </c>
      <c r="W1161">
        <v>0.61924082430498695</v>
      </c>
      <c r="X1161">
        <v>0</v>
      </c>
      <c r="Y1161">
        <v>0</v>
      </c>
    </row>
    <row r="1162" spans="1:25" x14ac:dyDescent="0.2">
      <c r="A1162" t="s">
        <v>4287</v>
      </c>
      <c r="B1162" t="s">
        <v>4288</v>
      </c>
      <c r="C1162" t="s">
        <v>4289</v>
      </c>
      <c r="D1162" t="s">
        <v>4290</v>
      </c>
      <c r="E1162" t="s">
        <v>4288</v>
      </c>
      <c r="F1162" t="s">
        <v>28</v>
      </c>
      <c r="G1162" t="s">
        <v>4288</v>
      </c>
      <c r="H1162" t="str">
        <f>"nfs-1"</f>
        <v>nfs-1</v>
      </c>
      <c r="I1162" t="s">
        <v>4290</v>
      </c>
      <c r="J1162">
        <v>14.4083133586192</v>
      </c>
      <c r="K1162">
        <v>14.0664872259978</v>
      </c>
      <c r="L1162">
        <v>13.610568468902899</v>
      </c>
      <c r="M1162" t="s">
        <v>29</v>
      </c>
      <c r="N1162">
        <v>14.0786782360559</v>
      </c>
      <c r="O1162">
        <v>14.2062195879542</v>
      </c>
      <c r="P1162">
        <v>0.11399256083169899</v>
      </c>
      <c r="Q1162">
        <v>-0.42686387020290001</v>
      </c>
      <c r="R1162">
        <v>0.65484899186629797</v>
      </c>
      <c r="S1162">
        <v>13.862443897312501</v>
      </c>
      <c r="T1162">
        <v>0.44488168324924598</v>
      </c>
      <c r="U1162">
        <v>-6.9420469549568002</v>
      </c>
      <c r="V1162">
        <v>0.66205212428793703</v>
      </c>
      <c r="W1162">
        <v>0.77579104511357899</v>
      </c>
      <c r="X1162">
        <v>0</v>
      </c>
      <c r="Y1162">
        <v>0</v>
      </c>
    </row>
    <row r="1163" spans="1:25" x14ac:dyDescent="0.2">
      <c r="A1163" t="s">
        <v>4291</v>
      </c>
      <c r="B1163" t="s">
        <v>4292</v>
      </c>
      <c r="C1163" t="s">
        <v>4293</v>
      </c>
      <c r="D1163" t="s">
        <v>4294</v>
      </c>
      <c r="E1163" t="s">
        <v>4292</v>
      </c>
      <c r="F1163" t="s">
        <v>28</v>
      </c>
      <c r="G1163" t="s">
        <v>4292</v>
      </c>
      <c r="H1163" t="str">
        <f>"rpn-10"</f>
        <v>rpn-10</v>
      </c>
      <c r="I1163" t="s">
        <v>4294</v>
      </c>
      <c r="J1163">
        <v>13.638242853217699</v>
      </c>
      <c r="K1163">
        <v>13.631464577092901</v>
      </c>
      <c r="L1163">
        <v>13.935688064958001</v>
      </c>
      <c r="M1163" t="s">
        <v>29</v>
      </c>
      <c r="N1163">
        <v>12.937820054983099</v>
      </c>
      <c r="O1163">
        <v>13.902770020597501</v>
      </c>
      <c r="P1163">
        <v>-0.31483679396594699</v>
      </c>
      <c r="Q1163">
        <v>-0.94236156757441603</v>
      </c>
      <c r="R1163">
        <v>0.31268797964252198</v>
      </c>
      <c r="S1163">
        <v>13.418700527966401</v>
      </c>
      <c r="T1163">
        <v>-1.0590211136695999</v>
      </c>
      <c r="U1163">
        <v>-6.4748226028041804</v>
      </c>
      <c r="V1163">
        <v>0.30449686886201699</v>
      </c>
      <c r="W1163">
        <v>0.47403712231186701</v>
      </c>
      <c r="X1163">
        <v>0</v>
      </c>
      <c r="Y1163">
        <v>0</v>
      </c>
    </row>
    <row r="1164" spans="1:25" x14ac:dyDescent="0.2">
      <c r="A1164" t="s">
        <v>4295</v>
      </c>
      <c r="B1164" t="s">
        <v>4296</v>
      </c>
      <c r="C1164" t="s">
        <v>4297</v>
      </c>
      <c r="D1164" t="s">
        <v>368</v>
      </c>
      <c r="E1164" t="s">
        <v>4296</v>
      </c>
      <c r="F1164" t="s">
        <v>28</v>
      </c>
      <c r="G1164" t="s">
        <v>4296</v>
      </c>
      <c r="H1164" t="str">
        <f>"B0205.10"</f>
        <v>B0205.10</v>
      </c>
      <c r="I1164" t="s">
        <v>368</v>
      </c>
      <c r="J1164">
        <v>9.5059963692155396</v>
      </c>
      <c r="K1164">
        <v>9.5615439099764394</v>
      </c>
      <c r="L1164">
        <v>11.380879369163701</v>
      </c>
      <c r="M1164" t="s">
        <v>29</v>
      </c>
      <c r="N1164" t="s">
        <v>29</v>
      </c>
      <c r="O1164" t="s">
        <v>29</v>
      </c>
      <c r="P1164" t="s">
        <v>29</v>
      </c>
      <c r="Q1164" t="s">
        <v>29</v>
      </c>
      <c r="R1164" t="s">
        <v>29</v>
      </c>
      <c r="S1164">
        <v>9.8504073877731102</v>
      </c>
      <c r="T1164" t="s">
        <v>29</v>
      </c>
      <c r="U1164" t="s">
        <v>29</v>
      </c>
      <c r="V1164" t="s">
        <v>29</v>
      </c>
      <c r="W1164" t="s">
        <v>29</v>
      </c>
      <c r="X1164" t="s">
        <v>29</v>
      </c>
      <c r="Y1164" t="s">
        <v>29</v>
      </c>
    </row>
    <row r="1165" spans="1:25" x14ac:dyDescent="0.2">
      <c r="A1165" t="s">
        <v>4298</v>
      </c>
      <c r="B1165" t="s">
        <v>4299</v>
      </c>
      <c r="C1165" t="s">
        <v>4300</v>
      </c>
      <c r="D1165" t="s">
        <v>4301</v>
      </c>
      <c r="E1165" t="s">
        <v>4299</v>
      </c>
      <c r="F1165" t="s">
        <v>28</v>
      </c>
      <c r="G1165" t="s">
        <v>4299</v>
      </c>
      <c r="H1165" t="str">
        <f>"F37F2.2"</f>
        <v>F37F2.2</v>
      </c>
      <c r="I1165" t="s">
        <v>4301</v>
      </c>
      <c r="J1165">
        <v>14.393725112986701</v>
      </c>
      <c r="K1165">
        <v>14.187844169174699</v>
      </c>
      <c r="L1165">
        <v>14.420031394938899</v>
      </c>
      <c r="M1165" t="s">
        <v>29</v>
      </c>
      <c r="N1165">
        <v>14.791634673624401</v>
      </c>
      <c r="O1165">
        <v>14.4951894718084</v>
      </c>
      <c r="P1165">
        <v>0.30954518034961997</v>
      </c>
      <c r="Q1165">
        <v>-0.20366231412518401</v>
      </c>
      <c r="R1165">
        <v>0.82275267482442405</v>
      </c>
      <c r="S1165">
        <v>14.0004677517004</v>
      </c>
      <c r="T1165">
        <v>1.2731543835960599</v>
      </c>
      <c r="U1165">
        <v>-6.2321506390738204</v>
      </c>
      <c r="V1165">
        <v>0.22020321141354901</v>
      </c>
      <c r="W1165">
        <v>0.38421483957118302</v>
      </c>
      <c r="X1165">
        <v>0</v>
      </c>
      <c r="Y1165">
        <v>0</v>
      </c>
    </row>
    <row r="1166" spans="1:25" x14ac:dyDescent="0.2">
      <c r="A1166" t="s">
        <v>4302</v>
      </c>
      <c r="B1166" t="s">
        <v>4303</v>
      </c>
      <c r="C1166" t="s">
        <v>4304</v>
      </c>
      <c r="D1166" t="s">
        <v>1646</v>
      </c>
      <c r="E1166" t="s">
        <v>4303</v>
      </c>
      <c r="F1166" t="s">
        <v>28</v>
      </c>
      <c r="G1166" t="s">
        <v>4303</v>
      </c>
      <c r="H1166" t="str">
        <f>"vet-2"</f>
        <v>vet-2</v>
      </c>
      <c r="I1166" t="s">
        <v>1646</v>
      </c>
      <c r="J1166">
        <v>11.535051241232701</v>
      </c>
      <c r="K1166" t="s">
        <v>29</v>
      </c>
      <c r="L1166">
        <v>11.752150402099399</v>
      </c>
      <c r="M1166" t="s">
        <v>29</v>
      </c>
      <c r="N1166" t="s">
        <v>29</v>
      </c>
      <c r="O1166">
        <v>10.5085643523973</v>
      </c>
      <c r="P1166">
        <v>-1.13503646926873</v>
      </c>
      <c r="Q1166">
        <v>-2.8303928237401998</v>
      </c>
      <c r="R1166">
        <v>0.56031988520274301</v>
      </c>
      <c r="S1166">
        <v>11.140750031820399</v>
      </c>
      <c r="T1166">
        <v>-1.4278757675861</v>
      </c>
      <c r="U1166">
        <v>-5.7494540366234999</v>
      </c>
      <c r="V1166">
        <v>0.17395818865569901</v>
      </c>
      <c r="W1166">
        <v>0.32611627351675898</v>
      </c>
      <c r="X1166">
        <v>0</v>
      </c>
      <c r="Y1166">
        <v>0</v>
      </c>
    </row>
    <row r="1167" spans="1:25" x14ac:dyDescent="0.2">
      <c r="A1167" t="s">
        <v>4305</v>
      </c>
      <c r="B1167" t="s">
        <v>4306</v>
      </c>
      <c r="C1167" t="s">
        <v>4307</v>
      </c>
      <c r="D1167" t="s">
        <v>3898</v>
      </c>
      <c r="E1167" t="s">
        <v>4306</v>
      </c>
      <c r="F1167" t="s">
        <v>28</v>
      </c>
      <c r="G1167" t="s">
        <v>4306</v>
      </c>
      <c r="H1167" t="str">
        <f>"inx-15"</f>
        <v>inx-15</v>
      </c>
      <c r="I1167" t="s">
        <v>3898</v>
      </c>
      <c r="J1167">
        <v>14.950533776639499</v>
      </c>
      <c r="K1167">
        <v>14.972639673782201</v>
      </c>
      <c r="L1167">
        <v>14.6704132165023</v>
      </c>
      <c r="M1167">
        <v>15.409870585295</v>
      </c>
      <c r="N1167">
        <v>15.1836263182129</v>
      </c>
      <c r="O1167">
        <v>15.1370203872582</v>
      </c>
      <c r="P1167">
        <v>0.37897687461401802</v>
      </c>
      <c r="Q1167">
        <v>-7.3493785114400204E-2</v>
      </c>
      <c r="R1167">
        <v>0.83144753434243701</v>
      </c>
      <c r="S1167">
        <v>14.655913912251</v>
      </c>
      <c r="T1167">
        <v>1.7604139453274801</v>
      </c>
      <c r="U1167">
        <v>-5.6571148934341799</v>
      </c>
      <c r="V1167">
        <v>9.5418196001114203E-2</v>
      </c>
      <c r="W1167">
        <v>0.21040932994806399</v>
      </c>
      <c r="X1167">
        <v>0</v>
      </c>
      <c r="Y1167">
        <v>0</v>
      </c>
    </row>
    <row r="1168" spans="1:25" x14ac:dyDescent="0.2">
      <c r="A1168" t="s">
        <v>4308</v>
      </c>
      <c r="B1168" t="s">
        <v>4309</v>
      </c>
      <c r="C1168" t="s">
        <v>4310</v>
      </c>
      <c r="D1168" t="s">
        <v>4311</v>
      </c>
      <c r="E1168" t="s">
        <v>4309</v>
      </c>
      <c r="F1168" t="s">
        <v>28</v>
      </c>
      <c r="G1168" t="s">
        <v>4309</v>
      </c>
      <c r="H1168" t="str">
        <f>"inx-16"</f>
        <v>inx-16</v>
      </c>
      <c r="I1168" t="s">
        <v>4311</v>
      </c>
      <c r="J1168">
        <v>13.066210070034099</v>
      </c>
      <c r="K1168">
        <v>13.0204349316289</v>
      </c>
      <c r="L1168">
        <v>12.987700532908599</v>
      </c>
      <c r="M1168">
        <v>12.731604903932199</v>
      </c>
      <c r="N1168">
        <v>13.279241150544401</v>
      </c>
      <c r="O1168">
        <v>13.176437256768001</v>
      </c>
      <c r="P1168">
        <v>3.7645925557654898E-2</v>
      </c>
      <c r="Q1168">
        <v>-0.52801610925211695</v>
      </c>
      <c r="R1168">
        <v>0.60330796036742596</v>
      </c>
      <c r="S1168">
        <v>12.977655803569</v>
      </c>
      <c r="T1168">
        <v>0.139879303389674</v>
      </c>
      <c r="U1168">
        <v>-7.1460395145059001</v>
      </c>
      <c r="V1168">
        <v>0.89031769091597401</v>
      </c>
      <c r="W1168">
        <v>0.93405704347788399</v>
      </c>
      <c r="X1168">
        <v>0</v>
      </c>
      <c r="Y1168">
        <v>0</v>
      </c>
    </row>
    <row r="1169" spans="1:25" x14ac:dyDescent="0.2">
      <c r="A1169" t="s">
        <v>4312</v>
      </c>
      <c r="B1169" t="s">
        <v>4313</v>
      </c>
      <c r="C1169" t="s">
        <v>4314</v>
      </c>
      <c r="D1169" t="s">
        <v>4315</v>
      </c>
      <c r="E1169" t="s">
        <v>4313</v>
      </c>
      <c r="F1169" t="s">
        <v>28</v>
      </c>
      <c r="G1169" t="s">
        <v>4313</v>
      </c>
      <c r="H1169" t="str">
        <f>"inx-17"</f>
        <v>inx-17</v>
      </c>
      <c r="I1169" t="s">
        <v>4315</v>
      </c>
      <c r="J1169">
        <v>12.1763032622056</v>
      </c>
      <c r="K1169">
        <v>12.2236085541343</v>
      </c>
      <c r="L1169">
        <v>12.098040442770101</v>
      </c>
      <c r="M1169" t="s">
        <v>29</v>
      </c>
      <c r="N1169">
        <v>12.1198952645244</v>
      </c>
      <c r="O1169">
        <v>13.697008579299499</v>
      </c>
      <c r="P1169">
        <v>0.74246783554192897</v>
      </c>
      <c r="Q1169">
        <v>3.2246812617225402E-2</v>
      </c>
      <c r="R1169">
        <v>1.45268885846663</v>
      </c>
      <c r="S1169">
        <v>12.401570296219701</v>
      </c>
      <c r="T1169">
        <v>2.2066534521687902</v>
      </c>
      <c r="U1169">
        <v>-4.79865142966064</v>
      </c>
      <c r="V1169">
        <v>4.1470225983180897E-2</v>
      </c>
      <c r="W1169">
        <v>0.120502696521331</v>
      </c>
      <c r="X1169">
        <v>0</v>
      </c>
      <c r="Y1169">
        <v>0</v>
      </c>
    </row>
    <row r="1170" spans="1:25" x14ac:dyDescent="0.2">
      <c r="A1170" t="s">
        <v>4316</v>
      </c>
      <c r="B1170" t="s">
        <v>4317</v>
      </c>
      <c r="C1170" t="s">
        <v>4318</v>
      </c>
      <c r="D1170" t="s">
        <v>4319</v>
      </c>
      <c r="E1170" t="s">
        <v>4317</v>
      </c>
      <c r="F1170" t="s">
        <v>28</v>
      </c>
      <c r="G1170" t="s">
        <v>4317</v>
      </c>
      <c r="H1170" t="str">
        <f>"R12E2.11"</f>
        <v>R12E2.11</v>
      </c>
      <c r="I1170" t="s">
        <v>4319</v>
      </c>
      <c r="J1170" t="s">
        <v>29</v>
      </c>
      <c r="K1170" t="s">
        <v>29</v>
      </c>
      <c r="L1170" t="s">
        <v>29</v>
      </c>
      <c r="M1170" t="s">
        <v>29</v>
      </c>
      <c r="N1170" t="s">
        <v>29</v>
      </c>
      <c r="O1170">
        <v>13.701653280802899</v>
      </c>
      <c r="P1170" t="s">
        <v>29</v>
      </c>
      <c r="Q1170" t="s">
        <v>29</v>
      </c>
      <c r="R1170" t="s">
        <v>29</v>
      </c>
      <c r="S1170">
        <v>12.7083873536367</v>
      </c>
      <c r="T1170" t="s">
        <v>29</v>
      </c>
      <c r="U1170" t="s">
        <v>29</v>
      </c>
      <c r="V1170" t="s">
        <v>29</v>
      </c>
      <c r="W1170" t="s">
        <v>29</v>
      </c>
      <c r="X1170" t="s">
        <v>29</v>
      </c>
      <c r="Y1170" t="s">
        <v>29</v>
      </c>
    </row>
    <row r="1171" spans="1:25" x14ac:dyDescent="0.2">
      <c r="A1171" t="s">
        <v>4320</v>
      </c>
      <c r="B1171" t="s">
        <v>4321</v>
      </c>
      <c r="C1171" t="s">
        <v>4322</v>
      </c>
      <c r="D1171" t="s">
        <v>4323</v>
      </c>
      <c r="E1171" t="s">
        <v>4321</v>
      </c>
      <c r="F1171" t="s">
        <v>28</v>
      </c>
      <c r="G1171" t="s">
        <v>4321</v>
      </c>
      <c r="H1171" t="str">
        <f>"mrps-6"</f>
        <v>mrps-6</v>
      </c>
      <c r="I1171" t="s">
        <v>4323</v>
      </c>
      <c r="J1171">
        <v>11.917596042998699</v>
      </c>
      <c r="K1171">
        <v>12.797483361262501</v>
      </c>
      <c r="L1171">
        <v>12.7687727137536</v>
      </c>
      <c r="M1171" t="s">
        <v>29</v>
      </c>
      <c r="N1171" t="s">
        <v>29</v>
      </c>
      <c r="O1171">
        <v>11.469296119860401</v>
      </c>
      <c r="P1171">
        <v>-1.0253212528112401</v>
      </c>
      <c r="Q1171">
        <v>-2.1451548850579698</v>
      </c>
      <c r="R1171">
        <v>9.4512379435485197E-2</v>
      </c>
      <c r="S1171">
        <v>12.4454732102413</v>
      </c>
      <c r="T1171">
        <v>-1.9796740819725001</v>
      </c>
      <c r="U1171">
        <v>-4.9939644613302496</v>
      </c>
      <c r="V1171">
        <v>6.9492813716108395E-2</v>
      </c>
      <c r="W1171">
        <v>0.16980995889018999</v>
      </c>
      <c r="X1171">
        <v>0</v>
      </c>
      <c r="Y1171">
        <v>0</v>
      </c>
    </row>
    <row r="1172" spans="1:25" x14ac:dyDescent="0.2">
      <c r="A1172" t="s">
        <v>4324</v>
      </c>
      <c r="B1172" t="s">
        <v>4325</v>
      </c>
      <c r="C1172" t="s">
        <v>4326</v>
      </c>
      <c r="D1172" t="s">
        <v>4327</v>
      </c>
      <c r="E1172" t="s">
        <v>4325</v>
      </c>
      <c r="F1172" t="s">
        <v>28</v>
      </c>
      <c r="G1172" t="s">
        <v>4325</v>
      </c>
      <c r="H1172" t="str">
        <f>"rpn-8"</f>
        <v>rpn-8</v>
      </c>
      <c r="I1172" t="s">
        <v>4327</v>
      </c>
      <c r="J1172">
        <v>11.412944807020301</v>
      </c>
      <c r="K1172">
        <v>12.213950098172599</v>
      </c>
      <c r="L1172">
        <v>11.839812903120199</v>
      </c>
      <c r="M1172">
        <v>14.3455568618675</v>
      </c>
      <c r="N1172">
        <v>13.264681984952199</v>
      </c>
      <c r="O1172">
        <v>13.727812373526399</v>
      </c>
      <c r="P1172">
        <v>1.95711447067769</v>
      </c>
      <c r="Q1172">
        <v>1.3591425785653299</v>
      </c>
      <c r="R1172">
        <v>2.55508636279006</v>
      </c>
      <c r="S1172">
        <v>12.6887096577317</v>
      </c>
      <c r="T1172">
        <v>6.8790421565744504</v>
      </c>
      <c r="U1172">
        <v>4.9133150004515098</v>
      </c>
      <c r="V1172" s="2">
        <v>2.0234442255888401E-6</v>
      </c>
      <c r="W1172" s="2">
        <v>8.0389331040175895E-5</v>
      </c>
      <c r="X1172">
        <v>1</v>
      </c>
      <c r="Y1172">
        <v>1</v>
      </c>
    </row>
    <row r="1173" spans="1:25" x14ac:dyDescent="0.2">
      <c r="A1173" t="s">
        <v>4328</v>
      </c>
      <c r="B1173" t="s">
        <v>4329</v>
      </c>
      <c r="C1173" t="s">
        <v>4330</v>
      </c>
      <c r="D1173" t="s">
        <v>1296</v>
      </c>
      <c r="E1173" t="s">
        <v>4329</v>
      </c>
      <c r="F1173" t="s">
        <v>28</v>
      </c>
      <c r="G1173" t="s">
        <v>4329</v>
      </c>
      <c r="H1173" t="str">
        <f>"B0511.6"</f>
        <v>B0511.6</v>
      </c>
      <c r="I1173" t="s">
        <v>1296</v>
      </c>
      <c r="J1173">
        <v>14.9995884651201</v>
      </c>
      <c r="K1173">
        <v>14.940884288329601</v>
      </c>
      <c r="L1173">
        <v>14.9676531605525</v>
      </c>
      <c r="M1173">
        <v>13.874584122361799</v>
      </c>
      <c r="N1173">
        <v>14.40616680073</v>
      </c>
      <c r="O1173">
        <v>14.142811235437399</v>
      </c>
      <c r="P1173">
        <v>-0.82818791849099305</v>
      </c>
      <c r="Q1173">
        <v>-1.20098656950601</v>
      </c>
      <c r="R1173">
        <v>-0.45538926747597902</v>
      </c>
      <c r="S1173">
        <v>15.0218441534233</v>
      </c>
      <c r="T1173">
        <v>-4.6692494010826104</v>
      </c>
      <c r="U1173">
        <v>0.302640661270699</v>
      </c>
      <c r="V1173">
        <v>1.9367954170667701E-4</v>
      </c>
      <c r="W1173">
        <v>2.8043615794078598E-3</v>
      </c>
      <c r="X1173">
        <v>0</v>
      </c>
      <c r="Y1173">
        <v>0</v>
      </c>
    </row>
    <row r="1174" spans="1:25" x14ac:dyDescent="0.2">
      <c r="A1174" t="s">
        <v>4331</v>
      </c>
      <c r="B1174" t="s">
        <v>4332</v>
      </c>
      <c r="C1174" t="s">
        <v>4333</v>
      </c>
      <c r="D1174" t="s">
        <v>4334</v>
      </c>
      <c r="E1174" t="s">
        <v>4332</v>
      </c>
      <c r="F1174" t="s">
        <v>28</v>
      </c>
      <c r="G1174" t="s">
        <v>4332</v>
      </c>
      <c r="H1174" t="str">
        <f>"mrps-30"</f>
        <v>mrps-30</v>
      </c>
      <c r="I1174" t="s">
        <v>4334</v>
      </c>
      <c r="J1174">
        <v>13.7301442693903</v>
      </c>
      <c r="K1174">
        <v>14.134090003916301</v>
      </c>
      <c r="L1174">
        <v>14.0626453174788</v>
      </c>
      <c r="M1174">
        <v>12.6026820294244</v>
      </c>
      <c r="N1174">
        <v>13.245787920358101</v>
      </c>
      <c r="O1174">
        <v>13.675746962583601</v>
      </c>
      <c r="P1174">
        <v>-0.80088755947305801</v>
      </c>
      <c r="Q1174">
        <v>-1.3274775392126701</v>
      </c>
      <c r="R1174">
        <v>-0.27429757973344698</v>
      </c>
      <c r="S1174">
        <v>13.9905741136745</v>
      </c>
      <c r="T1174">
        <v>-3.19662336819975</v>
      </c>
      <c r="U1174">
        <v>-2.9207358712285698</v>
      </c>
      <c r="V1174">
        <v>5.0276489042939696E-3</v>
      </c>
      <c r="W1174">
        <v>2.8493233309527501E-2</v>
      </c>
      <c r="X1174">
        <v>0</v>
      </c>
      <c r="Y1174">
        <v>0</v>
      </c>
    </row>
    <row r="1175" spans="1:25" x14ac:dyDescent="0.2">
      <c r="A1175" t="s">
        <v>4335</v>
      </c>
      <c r="B1175" t="s">
        <v>4336</v>
      </c>
      <c r="C1175" t="s">
        <v>4337</v>
      </c>
      <c r="D1175" t="s">
        <v>4338</v>
      </c>
      <c r="E1175" t="s">
        <v>4336</v>
      </c>
      <c r="F1175" t="s">
        <v>28</v>
      </c>
      <c r="G1175" t="s">
        <v>4336</v>
      </c>
      <c r="H1175" t="str">
        <f>"eif-3.E"</f>
        <v>eif-3.E</v>
      </c>
      <c r="I1175" t="s">
        <v>4338</v>
      </c>
      <c r="J1175">
        <v>13.521984733144</v>
      </c>
      <c r="K1175">
        <v>13.7153323965626</v>
      </c>
      <c r="L1175">
        <v>13.877777047316499</v>
      </c>
      <c r="M1175">
        <v>14.239563609107501</v>
      </c>
      <c r="N1175" t="s">
        <v>29</v>
      </c>
      <c r="O1175">
        <v>13.6930967200616</v>
      </c>
      <c r="P1175">
        <v>0.26129877224354198</v>
      </c>
      <c r="Q1175">
        <v>-0.22338542771106301</v>
      </c>
      <c r="R1175">
        <v>0.74598297219814702</v>
      </c>
      <c r="S1175">
        <v>13.800255768174299</v>
      </c>
      <c r="T1175">
        <v>1.1379639909759101</v>
      </c>
      <c r="U1175">
        <v>-6.3897844369181902</v>
      </c>
      <c r="V1175">
        <v>0.27101634495249699</v>
      </c>
      <c r="W1175">
        <v>0.438597017339379</v>
      </c>
      <c r="X1175">
        <v>0</v>
      </c>
      <c r="Y1175">
        <v>0</v>
      </c>
    </row>
    <row r="1176" spans="1:25" x14ac:dyDescent="0.2">
      <c r="A1176" t="s">
        <v>4339</v>
      </c>
      <c r="B1176" t="s">
        <v>4340</v>
      </c>
      <c r="C1176" t="s">
        <v>4341</v>
      </c>
      <c r="D1176" t="s">
        <v>2787</v>
      </c>
      <c r="E1176" t="s">
        <v>4340</v>
      </c>
      <c r="F1176" t="s">
        <v>28</v>
      </c>
      <c r="G1176" t="s">
        <v>4340</v>
      </c>
      <c r="H1176" t="str">
        <f>"prmt-6"</f>
        <v>prmt-6</v>
      </c>
      <c r="I1176" t="s">
        <v>2787</v>
      </c>
      <c r="J1176" t="s">
        <v>29</v>
      </c>
      <c r="K1176">
        <v>11.4153212171456</v>
      </c>
      <c r="L1176">
        <v>11.809106944166</v>
      </c>
      <c r="M1176" t="s">
        <v>29</v>
      </c>
      <c r="N1176" t="s">
        <v>29</v>
      </c>
      <c r="O1176">
        <v>11.5787940128508</v>
      </c>
      <c r="P1176">
        <v>-3.3420067804980698E-2</v>
      </c>
      <c r="Q1176">
        <v>-0.90443636695298801</v>
      </c>
      <c r="R1176">
        <v>0.83759623134302696</v>
      </c>
      <c r="S1176">
        <v>12.0497991370297</v>
      </c>
      <c r="T1176">
        <v>-8.2959913236080096E-2</v>
      </c>
      <c r="U1176">
        <v>-6.7508916868883304</v>
      </c>
      <c r="V1176">
        <v>0.93515738693096795</v>
      </c>
      <c r="W1176">
        <v>0.962931103873362</v>
      </c>
      <c r="X1176">
        <v>0</v>
      </c>
      <c r="Y1176">
        <v>0</v>
      </c>
    </row>
    <row r="1177" spans="1:25" x14ac:dyDescent="0.2">
      <c r="A1177" t="s">
        <v>4342</v>
      </c>
      <c r="B1177" t="s">
        <v>4343</v>
      </c>
      <c r="C1177" t="s">
        <v>4344</v>
      </c>
      <c r="D1177" t="s">
        <v>4345</v>
      </c>
      <c r="E1177" t="s">
        <v>4343</v>
      </c>
      <c r="F1177" t="s">
        <v>28</v>
      </c>
      <c r="G1177" t="s">
        <v>4343</v>
      </c>
      <c r="H1177" t="str">
        <f>"chd-7"</f>
        <v>chd-7</v>
      </c>
      <c r="I1177" t="s">
        <v>4345</v>
      </c>
      <c r="J1177">
        <v>11.7670537455808</v>
      </c>
      <c r="K1177">
        <v>12.6653910321817</v>
      </c>
      <c r="L1177">
        <v>11.888119697553501</v>
      </c>
      <c r="M1177" t="s">
        <v>29</v>
      </c>
      <c r="N1177">
        <v>10.2271889294736</v>
      </c>
      <c r="O1177">
        <v>12.399300513569999</v>
      </c>
      <c r="P1177">
        <v>-0.79361010358350703</v>
      </c>
      <c r="Q1177">
        <v>-1.7795039406764599</v>
      </c>
      <c r="R1177">
        <v>0.192283733509441</v>
      </c>
      <c r="S1177">
        <v>12.4419086967232</v>
      </c>
      <c r="T1177">
        <v>-1.69913172809619</v>
      </c>
      <c r="U1177">
        <v>-5.6453128542716504</v>
      </c>
      <c r="V1177">
        <v>0.107631042602207</v>
      </c>
      <c r="W1177">
        <v>0.227865432865448</v>
      </c>
      <c r="X1177">
        <v>0</v>
      </c>
      <c r="Y1177">
        <v>0</v>
      </c>
    </row>
    <row r="1178" spans="1:25" x14ac:dyDescent="0.2">
      <c r="A1178" t="s">
        <v>4346</v>
      </c>
      <c r="B1178" t="s">
        <v>4347</v>
      </c>
      <c r="C1178" t="s">
        <v>4348</v>
      </c>
      <c r="D1178" t="s">
        <v>4349</v>
      </c>
      <c r="E1178" t="s">
        <v>4347</v>
      </c>
      <c r="F1178" t="s">
        <v>28</v>
      </c>
      <c r="G1178" t="s">
        <v>4347</v>
      </c>
      <c r="H1178" t="str">
        <f>"T26C12.1"</f>
        <v>T26C12.1</v>
      </c>
      <c r="I1178" t="s">
        <v>4349</v>
      </c>
      <c r="J1178">
        <v>12.552291051040299</v>
      </c>
      <c r="K1178">
        <v>12.4083206256417</v>
      </c>
      <c r="L1178">
        <v>12.7806918883</v>
      </c>
      <c r="M1178" t="s">
        <v>29</v>
      </c>
      <c r="N1178">
        <v>11.971465981114299</v>
      </c>
      <c r="O1178">
        <v>12.029381792171</v>
      </c>
      <c r="P1178">
        <v>-0.58001063501804695</v>
      </c>
      <c r="Q1178">
        <v>-1.0300407433391501</v>
      </c>
      <c r="R1178">
        <v>-0.12998052669693999</v>
      </c>
      <c r="S1178">
        <v>12.3242387681143</v>
      </c>
      <c r="T1178">
        <v>-2.72047287256694</v>
      </c>
      <c r="U1178">
        <v>-3.82402943186379</v>
      </c>
      <c r="V1178">
        <v>1.4597296781102101E-2</v>
      </c>
      <c r="W1178">
        <v>5.9335494639873101E-2</v>
      </c>
      <c r="X1178">
        <v>0</v>
      </c>
      <c r="Y1178">
        <v>0</v>
      </c>
    </row>
    <row r="1179" spans="1:25" x14ac:dyDescent="0.2">
      <c r="A1179" t="s">
        <v>4350</v>
      </c>
      <c r="B1179" t="s">
        <v>4351</v>
      </c>
      <c r="C1179" t="s">
        <v>14384</v>
      </c>
      <c r="D1179" t="s">
        <v>4352</v>
      </c>
      <c r="E1179" t="s">
        <v>4351</v>
      </c>
      <c r="F1179" t="s">
        <v>28</v>
      </c>
      <c r="G1179" t="s">
        <v>4351</v>
      </c>
      <c r="H1179" t="str">
        <f>"W02G9.3"</f>
        <v>W02G9.3</v>
      </c>
      <c r="I1179" t="s">
        <v>4352</v>
      </c>
      <c r="J1179">
        <v>13.7476969549845</v>
      </c>
      <c r="K1179">
        <v>13.821101346035</v>
      </c>
      <c r="L1179">
        <v>13.535253566484499</v>
      </c>
      <c r="M1179" t="s">
        <v>29</v>
      </c>
      <c r="N1179" t="s">
        <v>29</v>
      </c>
      <c r="O1179">
        <v>13.7470795232267</v>
      </c>
      <c r="P1179">
        <v>4.5728900725340103E-2</v>
      </c>
      <c r="Q1179">
        <v>-0.50088433385355102</v>
      </c>
      <c r="R1179">
        <v>0.59234213530423196</v>
      </c>
      <c r="S1179">
        <v>13.7140544829288</v>
      </c>
      <c r="T1179">
        <v>0.177443521884075</v>
      </c>
      <c r="U1179">
        <v>-6.7961819559329903</v>
      </c>
      <c r="V1179">
        <v>0.86140152700315897</v>
      </c>
      <c r="W1179">
        <v>0.91347617850964702</v>
      </c>
      <c r="X1179">
        <v>0</v>
      </c>
      <c r="Y1179">
        <v>0</v>
      </c>
    </row>
    <row r="1180" spans="1:25" x14ac:dyDescent="0.2">
      <c r="A1180" t="s">
        <v>4353</v>
      </c>
      <c r="B1180" t="s">
        <v>4354</v>
      </c>
      <c r="C1180" t="s">
        <v>4355</v>
      </c>
      <c r="D1180" t="s">
        <v>4356</v>
      </c>
      <c r="E1180" t="s">
        <v>4354</v>
      </c>
      <c r="F1180" t="s">
        <v>28</v>
      </c>
      <c r="G1180" t="s">
        <v>4354</v>
      </c>
      <c r="H1180" t="str">
        <f>"lin-40"</f>
        <v>lin-40</v>
      </c>
      <c r="I1180" t="s">
        <v>4356</v>
      </c>
      <c r="J1180">
        <v>11.0371614812396</v>
      </c>
      <c r="K1180">
        <v>11.202247404786799</v>
      </c>
      <c r="L1180">
        <v>11.6687168479598</v>
      </c>
      <c r="M1180" t="s">
        <v>29</v>
      </c>
      <c r="N1180" t="s">
        <v>29</v>
      </c>
      <c r="O1180">
        <v>11.2850272518479</v>
      </c>
      <c r="P1180">
        <v>-1.7681326147579699E-2</v>
      </c>
      <c r="Q1180">
        <v>-0.71378112457455001</v>
      </c>
      <c r="R1180">
        <v>0.678418472279391</v>
      </c>
      <c r="S1180">
        <v>11.7218017792914</v>
      </c>
      <c r="T1180">
        <v>-5.3875691445506801E-2</v>
      </c>
      <c r="U1180">
        <v>-6.8111764283013896</v>
      </c>
      <c r="V1180">
        <v>0.95770553869562003</v>
      </c>
      <c r="W1180">
        <v>0.97423480239419802</v>
      </c>
      <c r="X1180">
        <v>0</v>
      </c>
      <c r="Y1180">
        <v>0</v>
      </c>
    </row>
    <row r="1181" spans="1:25" x14ac:dyDescent="0.2">
      <c r="A1181" t="s">
        <v>4357</v>
      </c>
      <c r="B1181" t="s">
        <v>4358</v>
      </c>
      <c r="C1181" t="s">
        <v>4359</v>
      </c>
      <c r="D1181" t="s">
        <v>4360</v>
      </c>
      <c r="E1181" t="s">
        <v>4358</v>
      </c>
      <c r="F1181" t="s">
        <v>28</v>
      </c>
      <c r="G1181" t="s">
        <v>4358</v>
      </c>
      <c r="H1181" t="str">
        <f>"ergo-1"</f>
        <v>ergo-1</v>
      </c>
      <c r="I1181" t="s">
        <v>4360</v>
      </c>
      <c r="J1181">
        <v>12.8292058801128</v>
      </c>
      <c r="K1181">
        <v>13.4004033072786</v>
      </c>
      <c r="L1181">
        <v>13.550554901921901</v>
      </c>
      <c r="M1181">
        <v>14.625123492938901</v>
      </c>
      <c r="N1181">
        <v>12.9309121517917</v>
      </c>
      <c r="O1181">
        <v>13.2735401932015</v>
      </c>
      <c r="P1181">
        <v>0.34980391620624701</v>
      </c>
      <c r="Q1181">
        <v>-0.30984474396328598</v>
      </c>
      <c r="R1181">
        <v>1.00945257637578</v>
      </c>
      <c r="S1181">
        <v>13.6793457920013</v>
      </c>
      <c r="T1181">
        <v>1.1145626766992001</v>
      </c>
      <c r="U1181">
        <v>-6.5261390705716904</v>
      </c>
      <c r="V1181">
        <v>0.27978363486660401</v>
      </c>
      <c r="W1181">
        <v>0.44738055993048398</v>
      </c>
      <c r="X1181">
        <v>0</v>
      </c>
      <c r="Y1181">
        <v>0</v>
      </c>
    </row>
    <row r="1182" spans="1:25" x14ac:dyDescent="0.2">
      <c r="A1182" t="s">
        <v>4361</v>
      </c>
      <c r="B1182" t="s">
        <v>4362</v>
      </c>
      <c r="C1182" t="s">
        <v>4363</v>
      </c>
      <c r="D1182" t="s">
        <v>4364</v>
      </c>
      <c r="E1182" t="s">
        <v>4362</v>
      </c>
      <c r="F1182" t="s">
        <v>28</v>
      </c>
      <c r="G1182" t="s">
        <v>4362</v>
      </c>
      <c r="H1182" t="str">
        <f>"ife-3"</f>
        <v>ife-3</v>
      </c>
      <c r="I1182" t="s">
        <v>4364</v>
      </c>
      <c r="J1182">
        <v>12.5242238364489</v>
      </c>
      <c r="K1182">
        <v>12.266091577657599</v>
      </c>
      <c r="L1182">
        <v>12.8885185381202</v>
      </c>
      <c r="M1182" t="s">
        <v>29</v>
      </c>
      <c r="N1182" t="s">
        <v>29</v>
      </c>
      <c r="O1182">
        <v>12.833769177797</v>
      </c>
      <c r="P1182">
        <v>0.27415786038812601</v>
      </c>
      <c r="Q1182">
        <v>-0.48210157245277802</v>
      </c>
      <c r="R1182">
        <v>1.0304172932290301</v>
      </c>
      <c r="S1182">
        <v>12.923978188816699</v>
      </c>
      <c r="T1182">
        <v>0.773163784599049</v>
      </c>
      <c r="U1182">
        <v>-6.5037568831906301</v>
      </c>
      <c r="V1182">
        <v>0.45152161312486</v>
      </c>
      <c r="W1182">
        <v>0.61660527983269797</v>
      </c>
      <c r="X1182">
        <v>0</v>
      </c>
      <c r="Y1182">
        <v>0</v>
      </c>
    </row>
    <row r="1183" spans="1:25" x14ac:dyDescent="0.2">
      <c r="A1183" t="s">
        <v>4365</v>
      </c>
      <c r="B1183" t="s">
        <v>4366</v>
      </c>
      <c r="C1183" t="s">
        <v>4367</v>
      </c>
      <c r="D1183" t="s">
        <v>4368</v>
      </c>
      <c r="E1183" t="s">
        <v>4366</v>
      </c>
      <c r="F1183" t="s">
        <v>28</v>
      </c>
      <c r="G1183" t="s">
        <v>4366</v>
      </c>
      <c r="H1183" t="str">
        <f>"let-413"</f>
        <v>let-413</v>
      </c>
      <c r="I1183" t="s">
        <v>4368</v>
      </c>
      <c r="J1183">
        <v>12.878177973834299</v>
      </c>
      <c r="K1183">
        <v>12.8145710348709</v>
      </c>
      <c r="L1183">
        <v>12.7163918166912</v>
      </c>
      <c r="M1183" t="s">
        <v>29</v>
      </c>
      <c r="N1183">
        <v>12.7445650633759</v>
      </c>
      <c r="O1183">
        <v>13.119135129285301</v>
      </c>
      <c r="P1183">
        <v>0.12880315453180599</v>
      </c>
      <c r="Q1183">
        <v>-0.34123671252855298</v>
      </c>
      <c r="R1183">
        <v>0.59884302159216396</v>
      </c>
      <c r="S1183">
        <v>12.907212619308799</v>
      </c>
      <c r="T1183">
        <v>0.578418024541969</v>
      </c>
      <c r="U1183">
        <v>-6.8713398921500097</v>
      </c>
      <c r="V1183">
        <v>0.57061267422386996</v>
      </c>
      <c r="W1183">
        <v>0.711334835422058</v>
      </c>
      <c r="X1183">
        <v>0</v>
      </c>
      <c r="Y1183">
        <v>0</v>
      </c>
    </row>
    <row r="1184" spans="1:25" x14ac:dyDescent="0.2">
      <c r="A1184" t="s">
        <v>4369</v>
      </c>
      <c r="B1184" t="s">
        <v>4370</v>
      </c>
      <c r="C1184" t="s">
        <v>4371</v>
      </c>
      <c r="D1184" t="s">
        <v>4372</v>
      </c>
      <c r="E1184" t="s">
        <v>4370</v>
      </c>
      <c r="F1184" t="s">
        <v>28</v>
      </c>
      <c r="G1184" t="s">
        <v>4370</v>
      </c>
      <c r="H1184" t="str">
        <f>"pgap-3"</f>
        <v>pgap-3</v>
      </c>
      <c r="I1184" t="s">
        <v>4372</v>
      </c>
      <c r="J1184" t="s">
        <v>29</v>
      </c>
      <c r="K1184">
        <v>12.3018379151916</v>
      </c>
      <c r="L1184" t="s">
        <v>29</v>
      </c>
      <c r="M1184" t="s">
        <v>29</v>
      </c>
      <c r="N1184" t="s">
        <v>29</v>
      </c>
      <c r="O1184" t="s">
        <v>29</v>
      </c>
      <c r="P1184" t="s">
        <v>29</v>
      </c>
      <c r="Q1184" t="s">
        <v>29</v>
      </c>
      <c r="R1184" t="s">
        <v>29</v>
      </c>
      <c r="S1184">
        <v>13.146300704252299</v>
      </c>
      <c r="T1184" t="s">
        <v>29</v>
      </c>
      <c r="U1184" t="s">
        <v>29</v>
      </c>
      <c r="V1184" t="s">
        <v>29</v>
      </c>
      <c r="W1184" t="s">
        <v>29</v>
      </c>
      <c r="X1184" t="s">
        <v>29</v>
      </c>
      <c r="Y1184" t="s">
        <v>29</v>
      </c>
    </row>
    <row r="1185" spans="1:25" x14ac:dyDescent="0.2">
      <c r="A1185" t="s">
        <v>4373</v>
      </c>
      <c r="B1185" t="s">
        <v>4374</v>
      </c>
      <c r="C1185" t="s">
        <v>4375</v>
      </c>
      <c r="D1185" t="s">
        <v>458</v>
      </c>
      <c r="E1185" t="s">
        <v>4374</v>
      </c>
      <c r="F1185" t="s">
        <v>28</v>
      </c>
      <c r="G1185" t="s">
        <v>4374</v>
      </c>
      <c r="H1185" t="str">
        <f>"ttr-47"</f>
        <v>ttr-47</v>
      </c>
      <c r="I1185" t="s">
        <v>458</v>
      </c>
      <c r="J1185">
        <v>13.022534968586299</v>
      </c>
      <c r="K1185">
        <v>13.369017680843699</v>
      </c>
      <c r="L1185">
        <v>13.189871832462099</v>
      </c>
      <c r="M1185" t="s">
        <v>29</v>
      </c>
      <c r="N1185" t="s">
        <v>29</v>
      </c>
      <c r="O1185">
        <v>12.7333368751862</v>
      </c>
      <c r="P1185">
        <v>-0.46047128544444299</v>
      </c>
      <c r="Q1185">
        <v>-1.2126645993698599</v>
      </c>
      <c r="R1185">
        <v>0.291722028480976</v>
      </c>
      <c r="S1185">
        <v>12.737677805356</v>
      </c>
      <c r="T1185">
        <v>-1.31390806137643</v>
      </c>
      <c r="U1185">
        <v>-5.9514851461247602</v>
      </c>
      <c r="V1185">
        <v>0.21015685302940901</v>
      </c>
      <c r="W1185">
        <v>0.371893530514189</v>
      </c>
      <c r="X1185">
        <v>0</v>
      </c>
      <c r="Y1185">
        <v>0</v>
      </c>
    </row>
    <row r="1186" spans="1:25" x14ac:dyDescent="0.2">
      <c r="A1186" t="s">
        <v>4376</v>
      </c>
      <c r="B1186" t="s">
        <v>4377</v>
      </c>
      <c r="C1186" t="s">
        <v>4378</v>
      </c>
      <c r="D1186" t="s">
        <v>4379</v>
      </c>
      <c r="E1186" t="s">
        <v>4377</v>
      </c>
      <c r="F1186" t="s">
        <v>28</v>
      </c>
      <c r="G1186" t="s">
        <v>4377</v>
      </c>
      <c r="H1186" t="str">
        <f>"unc-23"</f>
        <v>unc-23</v>
      </c>
      <c r="I1186" t="s">
        <v>4379</v>
      </c>
      <c r="J1186">
        <v>11.082302215934501</v>
      </c>
      <c r="K1186">
        <v>12.333616638320301</v>
      </c>
      <c r="L1186">
        <v>12.560767269094899</v>
      </c>
      <c r="M1186" t="s">
        <v>29</v>
      </c>
      <c r="N1186">
        <v>13.5353483100711</v>
      </c>
      <c r="O1186">
        <v>13.4557036550611</v>
      </c>
      <c r="P1186">
        <v>1.5032972747828499</v>
      </c>
      <c r="Q1186">
        <v>0.62540578860857698</v>
      </c>
      <c r="R1186">
        <v>2.3811887609571301</v>
      </c>
      <c r="S1186">
        <v>12.911769222520199</v>
      </c>
      <c r="T1186">
        <v>3.61454841334398</v>
      </c>
      <c r="U1186">
        <v>-1.97128839499131</v>
      </c>
      <c r="V1186">
        <v>2.15836537358463E-3</v>
      </c>
      <c r="W1186">
        <v>1.5283991927514E-2</v>
      </c>
      <c r="X1186">
        <v>1</v>
      </c>
      <c r="Y1186">
        <v>1</v>
      </c>
    </row>
    <row r="1187" spans="1:25" x14ac:dyDescent="0.2">
      <c r="A1187" t="s">
        <v>4380</v>
      </c>
      <c r="B1187" t="s">
        <v>4381</v>
      </c>
      <c r="C1187" t="s">
        <v>4382</v>
      </c>
      <c r="D1187" t="s">
        <v>4383</v>
      </c>
      <c r="E1187" t="s">
        <v>4381</v>
      </c>
      <c r="F1187" t="s">
        <v>28</v>
      </c>
      <c r="G1187" t="s">
        <v>4381</v>
      </c>
      <c r="H1187" t="str">
        <f>"mut-16"</f>
        <v>mut-16</v>
      </c>
      <c r="I1187" t="s">
        <v>4383</v>
      </c>
      <c r="J1187">
        <v>12.315649183587199</v>
      </c>
      <c r="K1187">
        <v>12.290840597263999</v>
      </c>
      <c r="L1187">
        <v>12.120375584745499</v>
      </c>
      <c r="M1187" t="s">
        <v>29</v>
      </c>
      <c r="N1187">
        <v>12.1157482366265</v>
      </c>
      <c r="O1187">
        <v>11.751642886629901</v>
      </c>
      <c r="P1187">
        <v>-0.30859289357071701</v>
      </c>
      <c r="Q1187">
        <v>-0.88267884227559301</v>
      </c>
      <c r="R1187">
        <v>0.265493055134159</v>
      </c>
      <c r="S1187">
        <v>12.850697447966001</v>
      </c>
      <c r="T1187">
        <v>-1.14643809632339</v>
      </c>
      <c r="U1187">
        <v>-6.3786446736027598</v>
      </c>
      <c r="V1187">
        <v>0.26969789834737701</v>
      </c>
      <c r="W1187">
        <v>0.43694321409000603</v>
      </c>
      <c r="X1187">
        <v>0</v>
      </c>
      <c r="Y1187">
        <v>0</v>
      </c>
    </row>
    <row r="1188" spans="1:25" x14ac:dyDescent="0.2">
      <c r="A1188" t="s">
        <v>4384</v>
      </c>
      <c r="B1188" t="s">
        <v>4385</v>
      </c>
      <c r="C1188" t="s">
        <v>4386</v>
      </c>
      <c r="D1188" t="s">
        <v>4387</v>
      </c>
      <c r="E1188" t="s">
        <v>4385</v>
      </c>
      <c r="F1188" t="s">
        <v>28</v>
      </c>
      <c r="G1188" t="s">
        <v>4385</v>
      </c>
      <c r="H1188" t="str">
        <f>"lin-66"</f>
        <v>lin-66</v>
      </c>
      <c r="I1188" t="s">
        <v>4387</v>
      </c>
      <c r="J1188">
        <v>13.851895125285401</v>
      </c>
      <c r="K1188">
        <v>13.7265813499021</v>
      </c>
      <c r="L1188">
        <v>13.7939305757019</v>
      </c>
      <c r="M1188" t="s">
        <v>29</v>
      </c>
      <c r="N1188">
        <v>13.247828750789701</v>
      </c>
      <c r="O1188">
        <v>13.424460238552401</v>
      </c>
      <c r="P1188">
        <v>-0.45465785562542399</v>
      </c>
      <c r="Q1188">
        <v>-0.81522691633350297</v>
      </c>
      <c r="R1188">
        <v>-9.4088794917345203E-2</v>
      </c>
      <c r="S1188">
        <v>13.7620786757213</v>
      </c>
      <c r="T1188">
        <v>-2.6616212417681999</v>
      </c>
      <c r="U1188">
        <v>-3.94020027747171</v>
      </c>
      <c r="V1188">
        <v>1.64999373336179E-2</v>
      </c>
      <c r="W1188">
        <v>6.5007106045684396E-2</v>
      </c>
      <c r="X1188">
        <v>0</v>
      </c>
      <c r="Y1188">
        <v>0</v>
      </c>
    </row>
    <row r="1189" spans="1:25" x14ac:dyDescent="0.2">
      <c r="A1189" t="s">
        <v>4388</v>
      </c>
      <c r="B1189" t="s">
        <v>4389</v>
      </c>
      <c r="C1189" t="s">
        <v>4390</v>
      </c>
      <c r="D1189" t="s">
        <v>2675</v>
      </c>
      <c r="E1189" t="s">
        <v>4389</v>
      </c>
      <c r="F1189" t="s">
        <v>28</v>
      </c>
      <c r="G1189" t="s">
        <v>4389</v>
      </c>
      <c r="H1189" t="str">
        <f>"C25F9.4"</f>
        <v>C25F9.4</v>
      </c>
      <c r="I1189" t="s">
        <v>2675</v>
      </c>
      <c r="J1189">
        <v>11.2219848929881</v>
      </c>
      <c r="K1189">
        <v>10.716681705628901</v>
      </c>
      <c r="L1189">
        <v>11.116225523315199</v>
      </c>
      <c r="M1189" t="s">
        <v>29</v>
      </c>
      <c r="N1189" t="s">
        <v>29</v>
      </c>
      <c r="O1189">
        <v>11.672356162025499</v>
      </c>
      <c r="P1189">
        <v>0.65405878804809003</v>
      </c>
      <c r="Q1189">
        <v>1.31957987693672E-2</v>
      </c>
      <c r="R1189">
        <v>1.29492177732681</v>
      </c>
      <c r="S1189">
        <v>11.3416866889436</v>
      </c>
      <c r="T1189">
        <v>2.1905011569222399</v>
      </c>
      <c r="U1189">
        <v>-4.6339261800029599</v>
      </c>
      <c r="V1189">
        <v>4.6047655429587699E-2</v>
      </c>
      <c r="W1189">
        <v>0.12826317632419201</v>
      </c>
      <c r="X1189">
        <v>0</v>
      </c>
      <c r="Y1189">
        <v>0</v>
      </c>
    </row>
    <row r="1190" spans="1:25" x14ac:dyDescent="0.2">
      <c r="A1190" t="s">
        <v>4391</v>
      </c>
      <c r="B1190" t="s">
        <v>4392</v>
      </c>
      <c r="C1190" t="s">
        <v>4393</v>
      </c>
      <c r="D1190" t="s">
        <v>4394</v>
      </c>
      <c r="E1190" t="s">
        <v>4392</v>
      </c>
      <c r="F1190" t="s">
        <v>28</v>
      </c>
      <c r="G1190" t="s">
        <v>4392</v>
      </c>
      <c r="H1190" t="str">
        <f>"C37A5.7"</f>
        <v>C37A5.7</v>
      </c>
      <c r="I1190" t="s">
        <v>4394</v>
      </c>
      <c r="J1190">
        <v>11.685962090671699</v>
      </c>
      <c r="K1190">
        <v>12.422105452060901</v>
      </c>
      <c r="L1190">
        <v>11.8626625365193</v>
      </c>
      <c r="M1190" t="s">
        <v>29</v>
      </c>
      <c r="N1190">
        <v>14.6333163672958</v>
      </c>
      <c r="O1190">
        <v>13.8634210553877</v>
      </c>
      <c r="P1190">
        <v>2.2581253515910999</v>
      </c>
      <c r="Q1190">
        <v>1.6142086599376499</v>
      </c>
      <c r="R1190">
        <v>2.9020420432445402</v>
      </c>
      <c r="S1190">
        <v>12.9791505685975</v>
      </c>
      <c r="T1190">
        <v>7.4023288810574304</v>
      </c>
      <c r="U1190">
        <v>5.6732286774994201</v>
      </c>
      <c r="V1190" s="2">
        <v>1.07317103165965E-6</v>
      </c>
      <c r="W1190" s="2">
        <v>5.0200556036523798E-5</v>
      </c>
      <c r="X1190">
        <v>1</v>
      </c>
      <c r="Y1190">
        <v>1</v>
      </c>
    </row>
    <row r="1191" spans="1:25" x14ac:dyDescent="0.2">
      <c r="A1191" t="s">
        <v>4395</v>
      </c>
      <c r="B1191" t="s">
        <v>4396</v>
      </c>
      <c r="C1191" t="s">
        <v>4397</v>
      </c>
      <c r="D1191" t="s">
        <v>214</v>
      </c>
      <c r="E1191" t="s">
        <v>4396</v>
      </c>
      <c r="F1191" t="s">
        <v>28</v>
      </c>
      <c r="G1191" t="s">
        <v>4396</v>
      </c>
      <c r="H1191" t="str">
        <f>"C46F11.5"</f>
        <v>C46F11.5</v>
      </c>
      <c r="I1191" t="s">
        <v>214</v>
      </c>
      <c r="J1191" t="s">
        <v>29</v>
      </c>
      <c r="K1191" t="s">
        <v>29</v>
      </c>
      <c r="L1191">
        <v>11.524664120032799</v>
      </c>
      <c r="M1191" t="s">
        <v>29</v>
      </c>
      <c r="N1191" t="s">
        <v>29</v>
      </c>
      <c r="O1191" t="s">
        <v>29</v>
      </c>
      <c r="P1191" t="s">
        <v>29</v>
      </c>
      <c r="Q1191" t="s">
        <v>29</v>
      </c>
      <c r="R1191" t="s">
        <v>29</v>
      </c>
      <c r="S1191">
        <v>12.274615887884099</v>
      </c>
      <c r="T1191" t="s">
        <v>29</v>
      </c>
      <c r="U1191" t="s">
        <v>29</v>
      </c>
      <c r="V1191" t="s">
        <v>29</v>
      </c>
      <c r="W1191" t="s">
        <v>29</v>
      </c>
      <c r="X1191" t="s">
        <v>29</v>
      </c>
      <c r="Y1191" t="s">
        <v>29</v>
      </c>
    </row>
    <row r="1192" spans="1:25" x14ac:dyDescent="0.2">
      <c r="A1192" t="s">
        <v>4398</v>
      </c>
      <c r="B1192" t="s">
        <v>4399</v>
      </c>
      <c r="C1192" t="s">
        <v>4400</v>
      </c>
      <c r="D1192" t="s">
        <v>4401</v>
      </c>
      <c r="E1192" t="s">
        <v>4399</v>
      </c>
      <c r="F1192" t="s">
        <v>28</v>
      </c>
      <c r="G1192" t="s">
        <v>4399</v>
      </c>
      <c r="H1192" t="str">
        <f>"eif-6"</f>
        <v>eif-6</v>
      </c>
      <c r="I1192" t="s">
        <v>4401</v>
      </c>
      <c r="J1192">
        <v>13.350831132112001</v>
      </c>
      <c r="K1192">
        <v>13.3643077265071</v>
      </c>
      <c r="L1192">
        <v>13.413391770017901</v>
      </c>
      <c r="M1192" t="s">
        <v>29</v>
      </c>
      <c r="N1192" t="s">
        <v>29</v>
      </c>
      <c r="O1192" t="s">
        <v>29</v>
      </c>
      <c r="P1192" t="s">
        <v>29</v>
      </c>
      <c r="Q1192" t="s">
        <v>29</v>
      </c>
      <c r="R1192" t="s">
        <v>29</v>
      </c>
      <c r="S1192">
        <v>13.683060049018399</v>
      </c>
      <c r="T1192" t="s">
        <v>29</v>
      </c>
      <c r="U1192" t="s">
        <v>29</v>
      </c>
      <c r="V1192" t="s">
        <v>29</v>
      </c>
      <c r="W1192" t="s">
        <v>29</v>
      </c>
      <c r="X1192" t="s">
        <v>29</v>
      </c>
      <c r="Y1192" t="s">
        <v>29</v>
      </c>
    </row>
    <row r="1193" spans="1:25" x14ac:dyDescent="0.2">
      <c r="A1193" t="s">
        <v>4402</v>
      </c>
      <c r="B1193" t="s">
        <v>4403</v>
      </c>
      <c r="C1193" t="s">
        <v>4404</v>
      </c>
      <c r="D1193" t="s">
        <v>4405</v>
      </c>
      <c r="E1193" t="s">
        <v>4403</v>
      </c>
      <c r="F1193" t="s">
        <v>28</v>
      </c>
      <c r="G1193" t="s">
        <v>4403</v>
      </c>
      <c r="H1193" t="str">
        <f>"tag-175"</f>
        <v>tag-175</v>
      </c>
      <c r="I1193" t="s">
        <v>4405</v>
      </c>
      <c r="J1193" t="s">
        <v>29</v>
      </c>
      <c r="K1193" t="s">
        <v>29</v>
      </c>
      <c r="L1193" t="s">
        <v>29</v>
      </c>
      <c r="M1193" t="s">
        <v>29</v>
      </c>
      <c r="N1193" t="s">
        <v>29</v>
      </c>
      <c r="O1193" t="s">
        <v>29</v>
      </c>
      <c r="P1193" t="s">
        <v>29</v>
      </c>
      <c r="Q1193" t="s">
        <v>29</v>
      </c>
      <c r="R1193" t="s">
        <v>29</v>
      </c>
      <c r="S1193">
        <v>10.7175521224043</v>
      </c>
      <c r="T1193" t="s">
        <v>29</v>
      </c>
      <c r="U1193" t="s">
        <v>29</v>
      </c>
      <c r="V1193" t="s">
        <v>29</v>
      </c>
      <c r="W1193" t="s">
        <v>29</v>
      </c>
      <c r="X1193" t="s">
        <v>29</v>
      </c>
      <c r="Y1193" t="s">
        <v>29</v>
      </c>
    </row>
    <row r="1194" spans="1:25" x14ac:dyDescent="0.2">
      <c r="A1194" t="s">
        <v>4406</v>
      </c>
      <c r="B1194" t="s">
        <v>4407</v>
      </c>
      <c r="C1194" t="s">
        <v>4408</v>
      </c>
      <c r="D1194" t="s">
        <v>4409</v>
      </c>
      <c r="E1194" t="s">
        <v>4407</v>
      </c>
      <c r="F1194" t="s">
        <v>28</v>
      </c>
      <c r="G1194" t="s">
        <v>4407</v>
      </c>
      <c r="H1194" t="str">
        <f>"inx-14"</f>
        <v>inx-14</v>
      </c>
      <c r="I1194" t="s">
        <v>4409</v>
      </c>
      <c r="J1194">
        <v>10.993192361299601</v>
      </c>
      <c r="K1194">
        <v>10.7514156631311</v>
      </c>
      <c r="L1194">
        <v>11.7515774107223</v>
      </c>
      <c r="M1194" t="s">
        <v>29</v>
      </c>
      <c r="N1194" t="s">
        <v>29</v>
      </c>
      <c r="O1194" t="s">
        <v>29</v>
      </c>
      <c r="P1194" t="s">
        <v>29</v>
      </c>
      <c r="Q1194" t="s">
        <v>29</v>
      </c>
      <c r="R1194" t="s">
        <v>29</v>
      </c>
      <c r="S1194">
        <v>11.317033643913</v>
      </c>
      <c r="T1194" t="s">
        <v>29</v>
      </c>
      <c r="U1194" t="s">
        <v>29</v>
      </c>
      <c r="V1194" t="s">
        <v>29</v>
      </c>
      <c r="W1194" t="s">
        <v>29</v>
      </c>
      <c r="X1194" t="s">
        <v>29</v>
      </c>
      <c r="Y1194" t="s">
        <v>29</v>
      </c>
    </row>
    <row r="1195" spans="1:25" x14ac:dyDescent="0.2">
      <c r="A1195" t="s">
        <v>4410</v>
      </c>
      <c r="B1195" t="s">
        <v>4411</v>
      </c>
      <c r="C1195" t="s">
        <v>4412</v>
      </c>
      <c r="D1195" t="s">
        <v>4413</v>
      </c>
      <c r="E1195" t="s">
        <v>4411</v>
      </c>
      <c r="F1195" t="s">
        <v>28</v>
      </c>
      <c r="G1195" t="s">
        <v>4411</v>
      </c>
      <c r="H1195" t="str">
        <f>"acox-1.2"</f>
        <v>acox-1.2</v>
      </c>
      <c r="I1195" t="s">
        <v>4413</v>
      </c>
      <c r="J1195">
        <v>15.143125382294301</v>
      </c>
      <c r="K1195">
        <v>14.816248741147801</v>
      </c>
      <c r="L1195">
        <v>14.8534041699667</v>
      </c>
      <c r="M1195">
        <v>14.253693707378501</v>
      </c>
      <c r="N1195">
        <v>14.7643294988753</v>
      </c>
      <c r="O1195">
        <v>14.589080081011</v>
      </c>
      <c r="P1195">
        <v>-0.40189166871469501</v>
      </c>
      <c r="Q1195">
        <v>-0.83334598875557098</v>
      </c>
      <c r="R1195">
        <v>2.9562651326181098E-2</v>
      </c>
      <c r="S1195">
        <v>14.525191960010099</v>
      </c>
      <c r="T1195">
        <v>-1.9577926539436099</v>
      </c>
      <c r="U1195">
        <v>-5.3348046760795604</v>
      </c>
      <c r="V1195">
        <v>6.6034130421203499E-2</v>
      </c>
      <c r="W1195">
        <v>0.165760291610977</v>
      </c>
      <c r="X1195">
        <v>0</v>
      </c>
      <c r="Y1195">
        <v>0</v>
      </c>
    </row>
    <row r="1196" spans="1:25" x14ac:dyDescent="0.2">
      <c r="A1196" t="s">
        <v>4414</v>
      </c>
      <c r="B1196" t="s">
        <v>4415</v>
      </c>
      <c r="C1196" t="s">
        <v>4416</v>
      </c>
      <c r="D1196" t="s">
        <v>4417</v>
      </c>
      <c r="E1196" t="s">
        <v>4415</v>
      </c>
      <c r="F1196" t="s">
        <v>28</v>
      </c>
      <c r="G1196" t="s">
        <v>4415</v>
      </c>
      <c r="H1196" t="str">
        <f>"acox-1.4"</f>
        <v>acox-1.4</v>
      </c>
      <c r="I1196" t="s">
        <v>4417</v>
      </c>
      <c r="J1196">
        <v>12.792713444372501</v>
      </c>
      <c r="K1196">
        <v>12.423416637731901</v>
      </c>
      <c r="L1196">
        <v>12.673914696409</v>
      </c>
      <c r="M1196">
        <v>12.0351117069049</v>
      </c>
      <c r="N1196">
        <v>12.744132300701899</v>
      </c>
      <c r="O1196">
        <v>12.244117570862199</v>
      </c>
      <c r="P1196">
        <v>-0.28889440001479899</v>
      </c>
      <c r="Q1196">
        <v>-0.74988045799247505</v>
      </c>
      <c r="R1196">
        <v>0.17209165796287701</v>
      </c>
      <c r="S1196">
        <v>12.512640042943101</v>
      </c>
      <c r="T1196">
        <v>-1.3171761118682299</v>
      </c>
      <c r="U1196">
        <v>-6.2875344436099398</v>
      </c>
      <c r="V1196">
        <v>0.20439747369424199</v>
      </c>
      <c r="W1196">
        <v>0.36423550457430398</v>
      </c>
      <c r="X1196">
        <v>0</v>
      </c>
      <c r="Y1196">
        <v>0</v>
      </c>
    </row>
    <row r="1197" spans="1:25" x14ac:dyDescent="0.2">
      <c r="A1197" t="s">
        <v>4418</v>
      </c>
      <c r="B1197" t="s">
        <v>4419</v>
      </c>
      <c r="C1197" t="s">
        <v>4420</v>
      </c>
      <c r="D1197" t="s">
        <v>4421</v>
      </c>
      <c r="E1197" t="s">
        <v>4419</v>
      </c>
      <c r="F1197" t="s">
        <v>28</v>
      </c>
      <c r="G1197" t="s">
        <v>4419</v>
      </c>
      <c r="H1197" t="str">
        <f>"acox-1.1"</f>
        <v>acox-1.1</v>
      </c>
      <c r="I1197" t="s">
        <v>4421</v>
      </c>
      <c r="J1197">
        <v>11.3043976341429</v>
      </c>
      <c r="K1197" t="s">
        <v>29</v>
      </c>
      <c r="L1197">
        <v>12.0934871534922</v>
      </c>
      <c r="M1197" t="s">
        <v>29</v>
      </c>
      <c r="N1197" t="s">
        <v>29</v>
      </c>
      <c r="O1197">
        <v>12.9222589101444</v>
      </c>
      <c r="P1197">
        <v>1.22331651632684</v>
      </c>
      <c r="Q1197">
        <v>0.26087786231002202</v>
      </c>
      <c r="R1197">
        <v>2.1857551703436502</v>
      </c>
      <c r="S1197">
        <v>11.9027809623081</v>
      </c>
      <c r="T1197">
        <v>2.7108618643184599</v>
      </c>
      <c r="U1197">
        <v>-3.6193489609867999</v>
      </c>
      <c r="V1197">
        <v>1.61812903308278E-2</v>
      </c>
      <c r="W1197">
        <v>6.4094438985147301E-2</v>
      </c>
      <c r="X1197">
        <v>1</v>
      </c>
      <c r="Y1197">
        <v>0</v>
      </c>
    </row>
    <row r="1198" spans="1:25" x14ac:dyDescent="0.2">
      <c r="A1198" t="s">
        <v>4422</v>
      </c>
      <c r="B1198" t="s">
        <v>4423</v>
      </c>
      <c r="C1198" t="s">
        <v>4424</v>
      </c>
      <c r="D1198" t="s">
        <v>4425</v>
      </c>
      <c r="E1198" t="s">
        <v>4423</v>
      </c>
      <c r="F1198" t="s">
        <v>28</v>
      </c>
      <c r="G1198" t="s">
        <v>4423</v>
      </c>
      <c r="H1198" t="str">
        <f>"aly-2"</f>
        <v>aly-2</v>
      </c>
      <c r="I1198" t="s">
        <v>4425</v>
      </c>
      <c r="J1198">
        <v>13.5202599934051</v>
      </c>
      <c r="K1198">
        <v>14.0251473492385</v>
      </c>
      <c r="L1198">
        <v>14.2051070803121</v>
      </c>
      <c r="M1198" t="s">
        <v>29</v>
      </c>
      <c r="N1198">
        <v>13.850878484454199</v>
      </c>
      <c r="O1198">
        <v>13.1055478365983</v>
      </c>
      <c r="P1198">
        <v>-0.438624980459007</v>
      </c>
      <c r="Q1198">
        <v>-1.04931449602369</v>
      </c>
      <c r="R1198">
        <v>0.17206453510567199</v>
      </c>
      <c r="S1198">
        <v>14.216519942992001</v>
      </c>
      <c r="T1198">
        <v>-1.5160827662343199</v>
      </c>
      <c r="U1198">
        <v>-5.9132362085721404</v>
      </c>
      <c r="V1198">
        <v>0.14798485010545001</v>
      </c>
      <c r="W1198">
        <v>0.29093485874633901</v>
      </c>
      <c r="X1198">
        <v>0</v>
      </c>
      <c r="Y1198">
        <v>0</v>
      </c>
    </row>
    <row r="1199" spans="1:25" x14ac:dyDescent="0.2">
      <c r="A1199" t="s">
        <v>4426</v>
      </c>
      <c r="B1199" t="s">
        <v>4427</v>
      </c>
      <c r="C1199" t="s">
        <v>4428</v>
      </c>
      <c r="D1199" t="s">
        <v>4429</v>
      </c>
      <c r="E1199" t="s">
        <v>4427</v>
      </c>
      <c r="F1199" t="s">
        <v>28</v>
      </c>
      <c r="G1199" t="s">
        <v>4427</v>
      </c>
      <c r="H1199" t="str">
        <f>"rsr-1"</f>
        <v>rsr-1</v>
      </c>
      <c r="I1199" t="s">
        <v>4429</v>
      </c>
      <c r="J1199">
        <v>14.119472153809101</v>
      </c>
      <c r="K1199">
        <v>14.440824562943</v>
      </c>
      <c r="L1199">
        <v>14.840084460162901</v>
      </c>
      <c r="M1199" t="s">
        <v>29</v>
      </c>
      <c r="N1199" t="s">
        <v>29</v>
      </c>
      <c r="O1199">
        <v>11.881216091323701</v>
      </c>
      <c r="P1199">
        <v>-2.5855776343146499</v>
      </c>
      <c r="Q1199">
        <v>-3.4492112106552399</v>
      </c>
      <c r="R1199">
        <v>-1.7219440579740699</v>
      </c>
      <c r="S1199">
        <v>14.5340938315322</v>
      </c>
      <c r="T1199">
        <v>-6.3500565620557099</v>
      </c>
      <c r="U1199">
        <v>3.6082350899588298</v>
      </c>
      <c r="V1199" s="2">
        <v>9.9395498229627605E-6</v>
      </c>
      <c r="W1199">
        <v>2.7897003169782098E-4</v>
      </c>
      <c r="X1199">
        <v>-1</v>
      </c>
      <c r="Y1199">
        <v>-1</v>
      </c>
    </row>
    <row r="1200" spans="1:25" x14ac:dyDescent="0.2">
      <c r="A1200" t="s">
        <v>4430</v>
      </c>
      <c r="B1200" t="s">
        <v>4431</v>
      </c>
      <c r="C1200" t="s">
        <v>14385</v>
      </c>
      <c r="D1200" t="s">
        <v>4432</v>
      </c>
      <c r="E1200" t="s">
        <v>4431</v>
      </c>
      <c r="F1200" t="s">
        <v>28</v>
      </c>
      <c r="G1200" t="s">
        <v>4431</v>
      </c>
      <c r="H1200" t="str">
        <f>"F32A11.1"</f>
        <v>F32A11.1</v>
      </c>
      <c r="I1200" t="s">
        <v>4432</v>
      </c>
      <c r="J1200">
        <v>14.7875378319345</v>
      </c>
      <c r="K1200">
        <v>14.642639840069</v>
      </c>
      <c r="L1200">
        <v>15.0127931697491</v>
      </c>
      <c r="M1200">
        <v>16.2053298089522</v>
      </c>
      <c r="N1200">
        <v>15.3634422832044</v>
      </c>
      <c r="O1200">
        <v>15.0881786350359</v>
      </c>
      <c r="P1200">
        <v>0.73799329514661904</v>
      </c>
      <c r="Q1200">
        <v>0.25584191622563202</v>
      </c>
      <c r="R1200">
        <v>1.2201446740676101</v>
      </c>
      <c r="S1200">
        <v>15.058903720667301</v>
      </c>
      <c r="T1200">
        <v>3.2170774474174202</v>
      </c>
      <c r="U1200">
        <v>-2.8771647315880902</v>
      </c>
      <c r="V1200">
        <v>4.8069930196916197E-3</v>
      </c>
      <c r="W1200">
        <v>2.7520960019980702E-2</v>
      </c>
      <c r="X1200">
        <v>0</v>
      </c>
      <c r="Y1200">
        <v>0</v>
      </c>
    </row>
    <row r="1201" spans="1:25" x14ac:dyDescent="0.2">
      <c r="A1201" t="s">
        <v>4433</v>
      </c>
      <c r="B1201" t="s">
        <v>4434</v>
      </c>
      <c r="C1201" t="s">
        <v>4435</v>
      </c>
      <c r="D1201" t="s">
        <v>4436</v>
      </c>
      <c r="E1201" t="s">
        <v>4434</v>
      </c>
      <c r="F1201" t="s">
        <v>28</v>
      </c>
      <c r="G1201" t="s">
        <v>4434</v>
      </c>
      <c r="H1201" t="str">
        <f>"phm-2"</f>
        <v>phm-2</v>
      </c>
      <c r="I1201" t="s">
        <v>4436</v>
      </c>
      <c r="J1201">
        <v>14.0012557064251</v>
      </c>
      <c r="K1201">
        <v>14.1526290223158</v>
      </c>
      <c r="L1201">
        <v>14.196415038211001</v>
      </c>
      <c r="M1201">
        <v>13.2678032802927</v>
      </c>
      <c r="N1201">
        <v>13.874839978339301</v>
      </c>
      <c r="O1201">
        <v>12.6050065077536</v>
      </c>
      <c r="P1201">
        <v>-0.86755000018879402</v>
      </c>
      <c r="Q1201">
        <v>-1.3986214280125799</v>
      </c>
      <c r="R1201">
        <v>-0.336478572365011</v>
      </c>
      <c r="S1201">
        <v>14.032339736670901</v>
      </c>
      <c r="T1201">
        <v>-3.4334765911888301</v>
      </c>
      <c r="U1201">
        <v>-2.4121526240578102</v>
      </c>
      <c r="V1201">
        <v>2.9835608127949799E-3</v>
      </c>
      <c r="W1201">
        <v>1.94525524674929E-2</v>
      </c>
      <c r="X1201">
        <v>0</v>
      </c>
      <c r="Y1201">
        <v>0</v>
      </c>
    </row>
    <row r="1202" spans="1:25" x14ac:dyDescent="0.2">
      <c r="A1202" t="s">
        <v>4437</v>
      </c>
      <c r="B1202" t="s">
        <v>4438</v>
      </c>
      <c r="C1202" t="s">
        <v>4439</v>
      </c>
      <c r="D1202" t="s">
        <v>1510</v>
      </c>
      <c r="E1202" t="s">
        <v>4438</v>
      </c>
      <c r="F1202" t="s">
        <v>28</v>
      </c>
      <c r="G1202" t="s">
        <v>4438</v>
      </c>
      <c r="H1202" t="str">
        <f>"cey-1"</f>
        <v>cey-1</v>
      </c>
      <c r="I1202" t="s">
        <v>1510</v>
      </c>
      <c r="J1202">
        <v>13.0027113318415</v>
      </c>
      <c r="K1202">
        <v>13.273386792570699</v>
      </c>
      <c r="L1202">
        <v>13.1193709173334</v>
      </c>
      <c r="M1202">
        <v>15.3797504567268</v>
      </c>
      <c r="N1202">
        <v>14.880284037779701</v>
      </c>
      <c r="O1202">
        <v>13.532901267920501</v>
      </c>
      <c r="P1202">
        <v>1.4658222402271199</v>
      </c>
      <c r="Q1202">
        <v>0.55329188873129698</v>
      </c>
      <c r="R1202">
        <v>2.37835259172294</v>
      </c>
      <c r="S1202">
        <v>13.010137889495899</v>
      </c>
      <c r="T1202">
        <v>3.3761870641941001</v>
      </c>
      <c r="U1202">
        <v>-2.5359176335447402</v>
      </c>
      <c r="V1202">
        <v>3.3862313668279001E-3</v>
      </c>
      <c r="W1202">
        <v>2.1506947926814301E-2</v>
      </c>
      <c r="X1202">
        <v>1</v>
      </c>
      <c r="Y1202">
        <v>1</v>
      </c>
    </row>
    <row r="1203" spans="1:25" x14ac:dyDescent="0.2">
      <c r="A1203" t="s">
        <v>4440</v>
      </c>
      <c r="B1203" t="s">
        <v>4441</v>
      </c>
      <c r="C1203" t="s">
        <v>14386</v>
      </c>
      <c r="D1203" t="s">
        <v>4442</v>
      </c>
      <c r="E1203" t="s">
        <v>4441</v>
      </c>
      <c r="F1203" t="s">
        <v>28</v>
      </c>
      <c r="G1203" t="s">
        <v>4441</v>
      </c>
      <c r="H1203" t="str">
        <f>"F33A8.4"</f>
        <v>F33A8.4</v>
      </c>
      <c r="I1203" t="s">
        <v>4442</v>
      </c>
      <c r="J1203">
        <v>12.510339795204199</v>
      </c>
      <c r="K1203">
        <v>12.8679295071449</v>
      </c>
      <c r="L1203">
        <v>12.4762736667025</v>
      </c>
      <c r="M1203">
        <v>15.6033722207015</v>
      </c>
      <c r="N1203" t="s">
        <v>29</v>
      </c>
      <c r="O1203">
        <v>12.8158250309399</v>
      </c>
      <c r="P1203">
        <v>1.59141763613684</v>
      </c>
      <c r="Q1203">
        <v>0.36790314302322902</v>
      </c>
      <c r="R1203">
        <v>2.8149321292504501</v>
      </c>
      <c r="S1203">
        <v>13.521530047018301</v>
      </c>
      <c r="T1203">
        <v>2.7455228442170898</v>
      </c>
      <c r="U1203">
        <v>-3.7742839933295902</v>
      </c>
      <c r="V1203">
        <v>1.3852983378676799E-2</v>
      </c>
      <c r="W1203">
        <v>5.73381208103379E-2</v>
      </c>
      <c r="X1203">
        <v>1</v>
      </c>
      <c r="Y1203">
        <v>0</v>
      </c>
    </row>
    <row r="1204" spans="1:25" x14ac:dyDescent="0.2">
      <c r="A1204" t="s">
        <v>4443</v>
      </c>
      <c r="B1204" t="s">
        <v>4444</v>
      </c>
      <c r="C1204" t="s">
        <v>14387</v>
      </c>
      <c r="D1204" t="s">
        <v>4445</v>
      </c>
      <c r="E1204" t="s">
        <v>4444</v>
      </c>
      <c r="F1204" t="s">
        <v>28</v>
      </c>
      <c r="G1204" t="s">
        <v>4444</v>
      </c>
      <c r="H1204" t="str">
        <f>"F33H2.6"</f>
        <v>F33H2.6</v>
      </c>
      <c r="I1204" t="s">
        <v>4445</v>
      </c>
      <c r="J1204">
        <v>13.374044068626301</v>
      </c>
      <c r="K1204">
        <v>13.4918747548701</v>
      </c>
      <c r="L1204">
        <v>13.372213036665601</v>
      </c>
      <c r="M1204" t="s">
        <v>29</v>
      </c>
      <c r="N1204">
        <v>12.611706685408301</v>
      </c>
      <c r="O1204">
        <v>13.125478944368799</v>
      </c>
      <c r="P1204">
        <v>-0.54411780516542896</v>
      </c>
      <c r="Q1204">
        <v>-1.0944547553822099</v>
      </c>
      <c r="R1204">
        <v>6.2191450513499101E-3</v>
      </c>
      <c r="S1204">
        <v>13.142594323030901</v>
      </c>
      <c r="T1204">
        <v>-2.0869607339498701</v>
      </c>
      <c r="U1204">
        <v>-5.0104393914197196</v>
      </c>
      <c r="V1204">
        <v>5.2358990731205701E-2</v>
      </c>
      <c r="W1204">
        <v>0.14027449607714801</v>
      </c>
      <c r="X1204">
        <v>0</v>
      </c>
      <c r="Y1204">
        <v>0</v>
      </c>
    </row>
    <row r="1205" spans="1:25" x14ac:dyDescent="0.2">
      <c r="A1205" t="s">
        <v>4446</v>
      </c>
      <c r="B1205" t="s">
        <v>4447</v>
      </c>
      <c r="C1205" t="s">
        <v>4448</v>
      </c>
      <c r="D1205" t="s">
        <v>4449</v>
      </c>
      <c r="E1205" t="s">
        <v>4447</v>
      </c>
      <c r="F1205" t="s">
        <v>28</v>
      </c>
      <c r="G1205" t="s">
        <v>4447</v>
      </c>
      <c r="H1205" t="str">
        <f>"pole-1"</f>
        <v>pole-1</v>
      </c>
      <c r="I1205" t="s">
        <v>4449</v>
      </c>
      <c r="J1205" t="s">
        <v>29</v>
      </c>
      <c r="K1205" t="s">
        <v>29</v>
      </c>
      <c r="L1205">
        <v>12.2160608913759</v>
      </c>
      <c r="M1205" t="s">
        <v>29</v>
      </c>
      <c r="N1205" t="s">
        <v>29</v>
      </c>
      <c r="O1205">
        <v>12.269068237697001</v>
      </c>
      <c r="P1205">
        <v>5.3007346321134498E-2</v>
      </c>
      <c r="Q1205">
        <v>-1.47163432070726</v>
      </c>
      <c r="R1205">
        <v>1.57764901334953</v>
      </c>
      <c r="S1205">
        <v>12.3796192149834</v>
      </c>
      <c r="T1205">
        <v>7.5825152242184293E-2</v>
      </c>
      <c r="U1205">
        <v>-6.6098620241333199</v>
      </c>
      <c r="V1205">
        <v>0.94081856332226999</v>
      </c>
      <c r="W1205">
        <v>0.96538729321404304</v>
      </c>
      <c r="X1205">
        <v>0</v>
      </c>
      <c r="Y1205">
        <v>0</v>
      </c>
    </row>
    <row r="1206" spans="1:25" x14ac:dyDescent="0.2">
      <c r="A1206" t="s">
        <v>4450</v>
      </c>
      <c r="B1206" t="s">
        <v>4451</v>
      </c>
      <c r="C1206" t="s">
        <v>14388</v>
      </c>
      <c r="D1206" t="s">
        <v>4452</v>
      </c>
      <c r="E1206" t="s">
        <v>4451</v>
      </c>
      <c r="F1206" t="s">
        <v>28</v>
      </c>
      <c r="G1206" t="s">
        <v>4451</v>
      </c>
      <c r="H1206" t="str">
        <f>"F33H2.2"</f>
        <v>F33H2.2</v>
      </c>
      <c r="I1206" t="s">
        <v>4452</v>
      </c>
      <c r="J1206">
        <v>13.3319415156293</v>
      </c>
      <c r="K1206">
        <v>13.3598963096315</v>
      </c>
      <c r="L1206">
        <v>13.089182897044299</v>
      </c>
      <c r="M1206" t="s">
        <v>29</v>
      </c>
      <c r="N1206" t="s">
        <v>29</v>
      </c>
      <c r="O1206">
        <v>13.0902406056082</v>
      </c>
      <c r="P1206">
        <v>-0.17009963516014201</v>
      </c>
      <c r="Q1206">
        <v>-0.775197173740098</v>
      </c>
      <c r="R1206">
        <v>0.43499790341981398</v>
      </c>
      <c r="S1206">
        <v>13.0111354271321</v>
      </c>
      <c r="T1206">
        <v>-0.59624881046170797</v>
      </c>
      <c r="U1206">
        <v>-6.6280823429564402</v>
      </c>
      <c r="V1206">
        <v>0.55940535866485497</v>
      </c>
      <c r="W1206">
        <v>0.70241482402442601</v>
      </c>
      <c r="X1206">
        <v>0</v>
      </c>
      <c r="Y1206">
        <v>0</v>
      </c>
    </row>
    <row r="1207" spans="1:25" x14ac:dyDescent="0.2">
      <c r="A1207" t="s">
        <v>4453</v>
      </c>
      <c r="B1207" t="s">
        <v>4454</v>
      </c>
      <c r="C1207" t="s">
        <v>14389</v>
      </c>
      <c r="D1207" t="s">
        <v>3427</v>
      </c>
      <c r="E1207" t="s">
        <v>4454</v>
      </c>
      <c r="F1207" t="s">
        <v>28</v>
      </c>
      <c r="G1207" t="s">
        <v>4454</v>
      </c>
      <c r="H1207" t="str">
        <f>"F33H2.8"</f>
        <v>F33H2.8</v>
      </c>
      <c r="I1207" t="s">
        <v>3427</v>
      </c>
      <c r="J1207">
        <v>13.3035959659239</v>
      </c>
      <c r="K1207">
        <v>13.249124556482</v>
      </c>
      <c r="L1207">
        <v>12.9553514743083</v>
      </c>
      <c r="M1207" t="s">
        <v>29</v>
      </c>
      <c r="N1207" t="s">
        <v>29</v>
      </c>
      <c r="O1207" t="s">
        <v>29</v>
      </c>
      <c r="P1207" t="s">
        <v>29</v>
      </c>
      <c r="Q1207" t="s">
        <v>29</v>
      </c>
      <c r="R1207" t="s">
        <v>29</v>
      </c>
      <c r="S1207">
        <v>12.7522936318927</v>
      </c>
      <c r="T1207" t="s">
        <v>29</v>
      </c>
      <c r="U1207" t="s">
        <v>29</v>
      </c>
      <c r="V1207" t="s">
        <v>29</v>
      </c>
      <c r="W1207" t="s">
        <v>29</v>
      </c>
      <c r="X1207" t="s">
        <v>29</v>
      </c>
      <c r="Y1207" t="s">
        <v>29</v>
      </c>
    </row>
    <row r="1208" spans="1:25" x14ac:dyDescent="0.2">
      <c r="A1208" t="s">
        <v>4455</v>
      </c>
      <c r="B1208" t="s">
        <v>4456</v>
      </c>
      <c r="C1208" t="s">
        <v>4457</v>
      </c>
      <c r="D1208" t="s">
        <v>4458</v>
      </c>
      <c r="E1208" t="s">
        <v>4456</v>
      </c>
      <c r="F1208" t="s">
        <v>28</v>
      </c>
      <c r="G1208" t="s">
        <v>4456</v>
      </c>
      <c r="H1208" t="str">
        <f>"rbpl-1"</f>
        <v>rbpl-1</v>
      </c>
      <c r="I1208" t="s">
        <v>4458</v>
      </c>
      <c r="J1208">
        <v>13.250742019596901</v>
      </c>
      <c r="K1208">
        <v>12.5172843367413</v>
      </c>
      <c r="L1208">
        <v>12.1907453608969</v>
      </c>
      <c r="M1208" t="s">
        <v>29</v>
      </c>
      <c r="N1208" t="s">
        <v>29</v>
      </c>
      <c r="O1208" t="s">
        <v>29</v>
      </c>
      <c r="P1208" t="s">
        <v>29</v>
      </c>
      <c r="Q1208" t="s">
        <v>29</v>
      </c>
      <c r="R1208" t="s">
        <v>29</v>
      </c>
      <c r="S1208">
        <v>12.7717625561076</v>
      </c>
      <c r="T1208" t="s">
        <v>29</v>
      </c>
      <c r="U1208" t="s">
        <v>29</v>
      </c>
      <c r="V1208" t="s">
        <v>29</v>
      </c>
      <c r="W1208" t="s">
        <v>29</v>
      </c>
      <c r="X1208" t="s">
        <v>29</v>
      </c>
      <c r="Y1208" t="s">
        <v>29</v>
      </c>
    </row>
    <row r="1209" spans="1:25" x14ac:dyDescent="0.2">
      <c r="A1209" t="s">
        <v>4459</v>
      </c>
      <c r="B1209" t="s">
        <v>4460</v>
      </c>
      <c r="C1209" t="s">
        <v>4461</v>
      </c>
      <c r="D1209" t="s">
        <v>2180</v>
      </c>
      <c r="E1209" t="s">
        <v>4460</v>
      </c>
      <c r="F1209" t="s">
        <v>28</v>
      </c>
      <c r="G1209" t="s">
        <v>4460</v>
      </c>
      <c r="H1209" t="str">
        <f>"myo-6"</f>
        <v>myo-6</v>
      </c>
      <c r="I1209" t="s">
        <v>2180</v>
      </c>
      <c r="J1209" t="s">
        <v>29</v>
      </c>
      <c r="K1209">
        <v>11.0863310363751</v>
      </c>
      <c r="L1209">
        <v>11.773182490999</v>
      </c>
      <c r="M1209" t="s">
        <v>29</v>
      </c>
      <c r="N1209" t="s">
        <v>29</v>
      </c>
      <c r="O1209" t="s">
        <v>29</v>
      </c>
      <c r="P1209" t="s">
        <v>29</v>
      </c>
      <c r="Q1209" t="s">
        <v>29</v>
      </c>
      <c r="R1209" t="s">
        <v>29</v>
      </c>
      <c r="S1209">
        <v>11.9387855198541</v>
      </c>
      <c r="T1209" t="s">
        <v>29</v>
      </c>
      <c r="U1209" t="s">
        <v>29</v>
      </c>
      <c r="V1209" t="s">
        <v>29</v>
      </c>
      <c r="W1209" t="s">
        <v>29</v>
      </c>
      <c r="X1209" t="s">
        <v>29</v>
      </c>
      <c r="Y1209" t="s">
        <v>29</v>
      </c>
    </row>
    <row r="1210" spans="1:25" x14ac:dyDescent="0.2">
      <c r="A1210" t="s">
        <v>4462</v>
      </c>
      <c r="B1210" t="s">
        <v>4463</v>
      </c>
      <c r="C1210" t="s">
        <v>4464</v>
      </c>
      <c r="D1210" t="s">
        <v>4465</v>
      </c>
      <c r="E1210" t="s">
        <v>4463</v>
      </c>
      <c r="F1210" t="s">
        <v>28</v>
      </c>
      <c r="G1210" t="s">
        <v>4463</v>
      </c>
      <c r="H1210" t="str">
        <f>"exo-1"</f>
        <v>exo-1</v>
      </c>
      <c r="I1210" t="s">
        <v>4465</v>
      </c>
      <c r="J1210" t="s">
        <v>29</v>
      </c>
      <c r="K1210" t="s">
        <v>29</v>
      </c>
      <c r="L1210" t="s">
        <v>29</v>
      </c>
      <c r="M1210" t="s">
        <v>29</v>
      </c>
      <c r="N1210" t="s">
        <v>29</v>
      </c>
      <c r="O1210" t="s">
        <v>29</v>
      </c>
      <c r="P1210" t="s">
        <v>29</v>
      </c>
      <c r="Q1210" t="s">
        <v>29</v>
      </c>
      <c r="R1210" t="s">
        <v>29</v>
      </c>
      <c r="S1210">
        <v>10.353943903467</v>
      </c>
      <c r="T1210" t="s">
        <v>29</v>
      </c>
      <c r="U1210" t="s">
        <v>29</v>
      </c>
      <c r="V1210" t="s">
        <v>29</v>
      </c>
      <c r="W1210" t="s">
        <v>29</v>
      </c>
      <c r="X1210" t="s">
        <v>29</v>
      </c>
      <c r="Y1210" t="s">
        <v>29</v>
      </c>
    </row>
    <row r="1211" spans="1:25" x14ac:dyDescent="0.2">
      <c r="A1211" t="s">
        <v>4466</v>
      </c>
      <c r="B1211" t="s">
        <v>4467</v>
      </c>
      <c r="C1211" t="s">
        <v>4468</v>
      </c>
      <c r="D1211" t="s">
        <v>4469</v>
      </c>
      <c r="E1211" t="s">
        <v>4467</v>
      </c>
      <c r="F1211" t="s">
        <v>28</v>
      </c>
      <c r="G1211" t="s">
        <v>4467</v>
      </c>
      <c r="H1211" t="str">
        <f>"cope-1"</f>
        <v>cope-1</v>
      </c>
      <c r="I1211" t="s">
        <v>4469</v>
      </c>
      <c r="J1211">
        <v>14.516429838579599</v>
      </c>
      <c r="K1211">
        <v>14.712390999426599</v>
      </c>
      <c r="L1211">
        <v>14.193640558404701</v>
      </c>
      <c r="M1211" t="s">
        <v>29</v>
      </c>
      <c r="N1211">
        <v>14.8063190456106</v>
      </c>
      <c r="O1211">
        <v>14.725564576775399</v>
      </c>
      <c r="P1211">
        <v>0.29178801238935198</v>
      </c>
      <c r="Q1211">
        <v>-0.21507315083303799</v>
      </c>
      <c r="R1211">
        <v>0.79864917561174298</v>
      </c>
      <c r="S1211">
        <v>14.2152114131255</v>
      </c>
      <c r="T1211">
        <v>1.2210345690697</v>
      </c>
      <c r="U1211">
        <v>-6.2939967436172104</v>
      </c>
      <c r="V1211">
        <v>0.23987623615918</v>
      </c>
      <c r="W1211">
        <v>0.405146224656383</v>
      </c>
      <c r="X1211">
        <v>0</v>
      </c>
      <c r="Y1211">
        <v>0</v>
      </c>
    </row>
    <row r="1212" spans="1:25" x14ac:dyDescent="0.2">
      <c r="A1212" t="s">
        <v>4470</v>
      </c>
      <c r="B1212" t="s">
        <v>4471</v>
      </c>
      <c r="C1212" t="s">
        <v>4472</v>
      </c>
      <c r="D1212" t="s">
        <v>4473</v>
      </c>
      <c r="E1212" t="s">
        <v>4471</v>
      </c>
      <c r="F1212" t="s">
        <v>28</v>
      </c>
      <c r="G1212" t="s">
        <v>4471</v>
      </c>
      <c r="H1212" t="str">
        <f>"F45G2.9"</f>
        <v>F45G2.9</v>
      </c>
      <c r="I1212" t="s">
        <v>4473</v>
      </c>
      <c r="J1212">
        <v>12.4510097310358</v>
      </c>
      <c r="K1212">
        <v>13.391939604868201</v>
      </c>
      <c r="L1212">
        <v>12.878682213226901</v>
      </c>
      <c r="M1212" t="s">
        <v>29</v>
      </c>
      <c r="N1212">
        <v>12.0864451925735</v>
      </c>
      <c r="O1212">
        <v>13.1927950460997</v>
      </c>
      <c r="P1212">
        <v>-0.267590397040323</v>
      </c>
      <c r="Q1212">
        <v>-1.54026753760182</v>
      </c>
      <c r="R1212">
        <v>1.0050867435211699</v>
      </c>
      <c r="S1212">
        <v>12.9433541543241</v>
      </c>
      <c r="T1212">
        <v>-0.44381532416022201</v>
      </c>
      <c r="U1212">
        <v>-6.9425393039429002</v>
      </c>
      <c r="V1212">
        <v>0.66280768912704202</v>
      </c>
      <c r="W1212">
        <v>0.77634906989562602</v>
      </c>
      <c r="X1212">
        <v>0</v>
      </c>
      <c r="Y1212">
        <v>0</v>
      </c>
    </row>
    <row r="1213" spans="1:25" x14ac:dyDescent="0.2">
      <c r="A1213" t="s">
        <v>4474</v>
      </c>
      <c r="B1213" t="s">
        <v>4475</v>
      </c>
      <c r="C1213" t="s">
        <v>4476</v>
      </c>
      <c r="D1213" t="s">
        <v>4477</v>
      </c>
      <c r="E1213" t="s">
        <v>4475</v>
      </c>
      <c r="F1213" t="s">
        <v>28</v>
      </c>
      <c r="G1213" t="s">
        <v>4475</v>
      </c>
      <c r="H1213" t="str">
        <f>"dcap-2"</f>
        <v>dcap-2</v>
      </c>
      <c r="I1213" t="s">
        <v>4477</v>
      </c>
      <c r="J1213">
        <v>13.171143526585899</v>
      </c>
      <c r="K1213">
        <v>13.499185360270401</v>
      </c>
      <c r="L1213">
        <v>12.8498704311864</v>
      </c>
      <c r="M1213">
        <v>13.3689876253116</v>
      </c>
      <c r="N1213">
        <v>13.7959189931443</v>
      </c>
      <c r="O1213">
        <v>14.413178387121</v>
      </c>
      <c r="P1213">
        <v>0.68596189584473799</v>
      </c>
      <c r="Q1213">
        <v>0.145756239719597</v>
      </c>
      <c r="R1213">
        <v>1.22616755196988</v>
      </c>
      <c r="S1213">
        <v>13.660674105630299</v>
      </c>
      <c r="T1213">
        <v>2.6689066146722502</v>
      </c>
      <c r="U1213">
        <v>-4.0130571657844802</v>
      </c>
      <c r="V1213">
        <v>1.5703904189397901E-2</v>
      </c>
      <c r="W1213">
        <v>6.2464964492582598E-2</v>
      </c>
      <c r="X1213">
        <v>0</v>
      </c>
      <c r="Y1213">
        <v>0</v>
      </c>
    </row>
    <row r="1214" spans="1:25" x14ac:dyDescent="0.2">
      <c r="A1214" t="s">
        <v>4478</v>
      </c>
      <c r="B1214" t="s">
        <v>4479</v>
      </c>
      <c r="C1214" t="s">
        <v>14390</v>
      </c>
      <c r="D1214" t="s">
        <v>4480</v>
      </c>
      <c r="E1214" t="s">
        <v>4479</v>
      </c>
      <c r="F1214" t="s">
        <v>28</v>
      </c>
      <c r="G1214" t="s">
        <v>4479</v>
      </c>
      <c r="H1214" t="str">
        <f>"F52G2.3"</f>
        <v>F52G2.3</v>
      </c>
      <c r="I1214" t="s">
        <v>4480</v>
      </c>
      <c r="J1214">
        <v>13.901250256553</v>
      </c>
      <c r="K1214">
        <v>12.889282785006101</v>
      </c>
      <c r="L1214">
        <v>12.7963946091888</v>
      </c>
      <c r="M1214" t="s">
        <v>29</v>
      </c>
      <c r="N1214" t="s">
        <v>29</v>
      </c>
      <c r="O1214">
        <v>11.7890608063011</v>
      </c>
      <c r="P1214">
        <v>-1.40658174394821</v>
      </c>
      <c r="Q1214">
        <v>-2.3751576757862298</v>
      </c>
      <c r="R1214">
        <v>-0.43800581211019102</v>
      </c>
      <c r="S1214">
        <v>13.070306674885501</v>
      </c>
      <c r="T1214">
        <v>-3.09722609161645</v>
      </c>
      <c r="U1214">
        <v>-2.9220386816729298</v>
      </c>
      <c r="V1214">
        <v>7.4090616567131003E-3</v>
      </c>
      <c r="W1214">
        <v>3.6820412651489901E-2</v>
      </c>
      <c r="X1214">
        <v>-1</v>
      </c>
      <c r="Y1214">
        <v>-1</v>
      </c>
    </row>
    <row r="1215" spans="1:25" x14ac:dyDescent="0.2">
      <c r="A1215" t="s">
        <v>4481</v>
      </c>
      <c r="B1215" t="s">
        <v>4482</v>
      </c>
      <c r="C1215" t="s">
        <v>14391</v>
      </c>
      <c r="D1215" t="s">
        <v>4483</v>
      </c>
      <c r="E1215" t="s">
        <v>4482</v>
      </c>
      <c r="F1215" t="s">
        <v>28</v>
      </c>
      <c r="G1215" t="s">
        <v>4482</v>
      </c>
      <c r="H1215" t="str">
        <f>"F53F8.5"</f>
        <v>F53F8.5</v>
      </c>
      <c r="I1215" t="s">
        <v>4483</v>
      </c>
      <c r="J1215">
        <v>13.459203386557901</v>
      </c>
      <c r="K1215">
        <v>14.0053772685644</v>
      </c>
      <c r="L1215">
        <v>14.0071702465473</v>
      </c>
      <c r="M1215" t="s">
        <v>29</v>
      </c>
      <c r="N1215">
        <v>12.8145382539339</v>
      </c>
      <c r="O1215">
        <v>12.673837457856999</v>
      </c>
      <c r="P1215">
        <v>-1.0797291113277301</v>
      </c>
      <c r="Q1215">
        <v>-1.5639580800039501</v>
      </c>
      <c r="R1215">
        <v>-0.59550014265149698</v>
      </c>
      <c r="S1215">
        <v>13.9270203595956</v>
      </c>
      <c r="T1215">
        <v>-4.7066733289041602</v>
      </c>
      <c r="U1215">
        <v>0.36358523510007601</v>
      </c>
      <c r="V1215">
        <v>2.0654930828618899E-4</v>
      </c>
      <c r="W1215">
        <v>2.9124440742554999E-3</v>
      </c>
      <c r="X1215">
        <v>-1</v>
      </c>
      <c r="Y1215">
        <v>-1</v>
      </c>
    </row>
    <row r="1216" spans="1:25" x14ac:dyDescent="0.2">
      <c r="A1216" t="s">
        <v>4484</v>
      </c>
      <c r="B1216" t="s">
        <v>4485</v>
      </c>
      <c r="C1216" t="s">
        <v>14392</v>
      </c>
      <c r="D1216" t="s">
        <v>4486</v>
      </c>
      <c r="E1216" t="s">
        <v>4485</v>
      </c>
      <c r="F1216" t="s">
        <v>28</v>
      </c>
      <c r="G1216" t="s">
        <v>4485</v>
      </c>
      <c r="H1216" t="str">
        <f>"F54B3.1"</f>
        <v>F54B3.1</v>
      </c>
      <c r="I1216" t="s">
        <v>4486</v>
      </c>
      <c r="J1216">
        <v>12.6876542780912</v>
      </c>
      <c r="K1216">
        <v>11.9682194651476</v>
      </c>
      <c r="L1216">
        <v>12.701845316228701</v>
      </c>
      <c r="M1216" t="s">
        <v>29</v>
      </c>
      <c r="N1216" t="s">
        <v>29</v>
      </c>
      <c r="O1216">
        <v>12.3126843535282</v>
      </c>
      <c r="P1216">
        <v>-0.139888666294294</v>
      </c>
      <c r="Q1216">
        <v>-0.838003087319379</v>
      </c>
      <c r="R1216">
        <v>0.55822575473079195</v>
      </c>
      <c r="S1216">
        <v>12.8372135748909</v>
      </c>
      <c r="T1216">
        <v>-0.42501616676059201</v>
      </c>
      <c r="U1216">
        <v>-6.7183782543661001</v>
      </c>
      <c r="V1216">
        <v>0.67652261602456398</v>
      </c>
      <c r="W1216">
        <v>0.787717166900194</v>
      </c>
      <c r="X1216">
        <v>0</v>
      </c>
      <c r="Y1216">
        <v>0</v>
      </c>
    </row>
    <row r="1217" spans="1:25" x14ac:dyDescent="0.2">
      <c r="A1217" t="s">
        <v>4487</v>
      </c>
      <c r="B1217" t="s">
        <v>4488</v>
      </c>
      <c r="C1217" t="s">
        <v>4489</v>
      </c>
      <c r="D1217" t="s">
        <v>4490</v>
      </c>
      <c r="E1217" t="s">
        <v>4488</v>
      </c>
      <c r="F1217" t="s">
        <v>28</v>
      </c>
      <c r="G1217" t="s">
        <v>4488</v>
      </c>
      <c r="H1217" t="str">
        <f>"wago-4"</f>
        <v>wago-4</v>
      </c>
      <c r="I1217" t="s">
        <v>4490</v>
      </c>
      <c r="J1217">
        <v>11.472524551448499</v>
      </c>
      <c r="K1217" t="s">
        <v>29</v>
      </c>
      <c r="L1217">
        <v>11.494530032019499</v>
      </c>
      <c r="M1217" t="s">
        <v>29</v>
      </c>
      <c r="N1217" t="s">
        <v>29</v>
      </c>
      <c r="O1217">
        <v>11.0171907367664</v>
      </c>
      <c r="P1217">
        <v>-0.46633655496760801</v>
      </c>
      <c r="Q1217">
        <v>-1.3047324840386001</v>
      </c>
      <c r="R1217">
        <v>0.37205937410338402</v>
      </c>
      <c r="S1217">
        <v>11.8574204479616</v>
      </c>
      <c r="T1217">
        <v>-1.21309639378047</v>
      </c>
      <c r="U1217">
        <v>-6.0131179190568202</v>
      </c>
      <c r="V1217">
        <v>0.24863360727478301</v>
      </c>
      <c r="W1217">
        <v>0.41592366637384698</v>
      </c>
      <c r="X1217">
        <v>0</v>
      </c>
      <c r="Y1217">
        <v>0</v>
      </c>
    </row>
    <row r="1218" spans="1:25" x14ac:dyDescent="0.2">
      <c r="A1218" t="s">
        <v>4491</v>
      </c>
      <c r="B1218" t="s">
        <v>4492</v>
      </c>
      <c r="C1218" t="s">
        <v>4493</v>
      </c>
      <c r="D1218" t="s">
        <v>4494</v>
      </c>
      <c r="E1218" t="s">
        <v>4492</v>
      </c>
      <c r="F1218" t="s">
        <v>28</v>
      </c>
      <c r="G1218" t="s">
        <v>4492</v>
      </c>
      <c r="H1218" t="str">
        <f>"smg-8"</f>
        <v>smg-8</v>
      </c>
      <c r="I1218" t="s">
        <v>4494</v>
      </c>
      <c r="J1218">
        <v>11.684621648120199</v>
      </c>
      <c r="K1218" t="s">
        <v>29</v>
      </c>
      <c r="L1218">
        <v>11.004304451275299</v>
      </c>
      <c r="M1218" t="s">
        <v>29</v>
      </c>
      <c r="N1218">
        <v>11.3268156883855</v>
      </c>
      <c r="O1218" t="s">
        <v>29</v>
      </c>
      <c r="P1218">
        <v>-1.76473613121821E-2</v>
      </c>
      <c r="Q1218">
        <v>-0.70652471380618997</v>
      </c>
      <c r="R1218">
        <v>0.67122999118182503</v>
      </c>
      <c r="S1218">
        <v>12.095578869280301</v>
      </c>
      <c r="T1218">
        <v>-5.5389202838634098E-2</v>
      </c>
      <c r="U1218">
        <v>-6.7529186233593501</v>
      </c>
      <c r="V1218">
        <v>0.95667739555243003</v>
      </c>
      <c r="W1218">
        <v>0.97371790112129797</v>
      </c>
      <c r="X1218">
        <v>0</v>
      </c>
      <c r="Y1218">
        <v>0</v>
      </c>
    </row>
    <row r="1219" spans="1:25" x14ac:dyDescent="0.2">
      <c r="A1219" t="s">
        <v>4495</v>
      </c>
      <c r="B1219" t="s">
        <v>4496</v>
      </c>
      <c r="C1219" t="s">
        <v>4497</v>
      </c>
      <c r="D1219" t="s">
        <v>4498</v>
      </c>
      <c r="E1219" t="s">
        <v>4496</v>
      </c>
      <c r="F1219" t="s">
        <v>28</v>
      </c>
      <c r="G1219" t="s">
        <v>4496</v>
      </c>
      <c r="H1219" t="str">
        <f>"unc-43"</f>
        <v>unc-43</v>
      </c>
      <c r="I1219" t="s">
        <v>4498</v>
      </c>
      <c r="J1219">
        <v>11.8474675130597</v>
      </c>
      <c r="K1219">
        <v>11.7838339839813</v>
      </c>
      <c r="L1219">
        <v>12.012582540189699</v>
      </c>
      <c r="M1219">
        <v>12.607575348937001</v>
      </c>
      <c r="N1219">
        <v>11.227051713339501</v>
      </c>
      <c r="O1219">
        <v>11.5100079156975</v>
      </c>
      <c r="P1219">
        <v>-9.9749686418904901E-2</v>
      </c>
      <c r="Q1219">
        <v>-0.79504113554290701</v>
      </c>
      <c r="R1219">
        <v>0.59554176270509696</v>
      </c>
      <c r="S1219">
        <v>11.242167305085101</v>
      </c>
      <c r="T1219">
        <v>-0.30153460751761901</v>
      </c>
      <c r="U1219">
        <v>-7.1087077917594002</v>
      </c>
      <c r="V1219">
        <v>0.76648281607304802</v>
      </c>
      <c r="W1219">
        <v>0.85110205688292095</v>
      </c>
      <c r="X1219">
        <v>0</v>
      </c>
      <c r="Y1219">
        <v>0</v>
      </c>
    </row>
    <row r="1220" spans="1:25" x14ac:dyDescent="0.2">
      <c r="A1220" t="s">
        <v>4499</v>
      </c>
      <c r="B1220" t="s">
        <v>4500</v>
      </c>
      <c r="C1220" t="s">
        <v>14393</v>
      </c>
      <c r="D1220" t="s">
        <v>4501</v>
      </c>
      <c r="E1220" t="s">
        <v>4500</v>
      </c>
      <c r="F1220" t="s">
        <v>28</v>
      </c>
      <c r="G1220" t="s">
        <v>4500</v>
      </c>
      <c r="H1220" t="str">
        <f>"M01G12.9"</f>
        <v>M01G12.9</v>
      </c>
      <c r="I1220" t="s">
        <v>4501</v>
      </c>
      <c r="J1220">
        <v>12.950405658084</v>
      </c>
      <c r="K1220">
        <v>12.8745682814869</v>
      </c>
      <c r="L1220">
        <v>12.144840732485299</v>
      </c>
      <c r="M1220" t="s">
        <v>29</v>
      </c>
      <c r="N1220" t="s">
        <v>29</v>
      </c>
      <c r="O1220" t="s">
        <v>29</v>
      </c>
      <c r="P1220" t="s">
        <v>29</v>
      </c>
      <c r="Q1220" t="s">
        <v>29</v>
      </c>
      <c r="R1220" t="s">
        <v>29</v>
      </c>
      <c r="S1220">
        <v>12.868917427707</v>
      </c>
      <c r="T1220" t="s">
        <v>29</v>
      </c>
      <c r="U1220" t="s">
        <v>29</v>
      </c>
      <c r="V1220" t="s">
        <v>29</v>
      </c>
      <c r="W1220" t="s">
        <v>29</v>
      </c>
      <c r="X1220" t="s">
        <v>29</v>
      </c>
      <c r="Y1220" t="s">
        <v>29</v>
      </c>
    </row>
    <row r="1221" spans="1:25" x14ac:dyDescent="0.2">
      <c r="A1221" t="s">
        <v>4502</v>
      </c>
      <c r="B1221" t="s">
        <v>4503</v>
      </c>
      <c r="C1221" t="s">
        <v>14394</v>
      </c>
      <c r="D1221" t="s">
        <v>531</v>
      </c>
      <c r="E1221" t="s">
        <v>4503</v>
      </c>
      <c r="F1221" t="s">
        <v>28</v>
      </c>
      <c r="G1221" t="s">
        <v>4503</v>
      </c>
      <c r="H1221" t="str">
        <f>"R05H10.1"</f>
        <v>R05H10.1</v>
      </c>
      <c r="I1221" t="s">
        <v>531</v>
      </c>
      <c r="J1221" t="s">
        <v>29</v>
      </c>
      <c r="K1221" t="s">
        <v>29</v>
      </c>
      <c r="L1221" t="s">
        <v>29</v>
      </c>
      <c r="M1221" t="s">
        <v>29</v>
      </c>
      <c r="N1221">
        <v>13.8488833638136</v>
      </c>
      <c r="O1221">
        <v>14.147927741153399</v>
      </c>
      <c r="P1221" t="s">
        <v>29</v>
      </c>
      <c r="Q1221" t="s">
        <v>29</v>
      </c>
      <c r="R1221" t="s">
        <v>29</v>
      </c>
      <c r="S1221">
        <v>12.8039318847743</v>
      </c>
      <c r="T1221" t="s">
        <v>29</v>
      </c>
      <c r="U1221" t="s">
        <v>29</v>
      </c>
      <c r="V1221" t="s">
        <v>29</v>
      </c>
      <c r="W1221" t="s">
        <v>29</v>
      </c>
      <c r="X1221" t="s">
        <v>29</v>
      </c>
      <c r="Y1221" t="s">
        <v>29</v>
      </c>
    </row>
    <row r="1222" spans="1:25" x14ac:dyDescent="0.2">
      <c r="A1222" t="s">
        <v>4504</v>
      </c>
      <c r="B1222" t="s">
        <v>4505</v>
      </c>
      <c r="C1222" t="s">
        <v>4506</v>
      </c>
      <c r="D1222" t="s">
        <v>93</v>
      </c>
      <c r="E1222" t="s">
        <v>4505</v>
      </c>
      <c r="F1222" t="s">
        <v>28</v>
      </c>
      <c r="G1222" t="s">
        <v>4505</v>
      </c>
      <c r="H1222" t="str">
        <f>"rbm-28"</f>
        <v>rbm-28</v>
      </c>
      <c r="I1222" t="s">
        <v>93</v>
      </c>
      <c r="J1222">
        <v>13.265681606392</v>
      </c>
      <c r="K1222">
        <v>12.370160586788399</v>
      </c>
      <c r="L1222">
        <v>12.709902953492399</v>
      </c>
      <c r="M1222" t="s">
        <v>29</v>
      </c>
      <c r="N1222">
        <v>13.9780688028304</v>
      </c>
      <c r="O1222">
        <v>13.221400932772699</v>
      </c>
      <c r="P1222">
        <v>0.81781981891059297</v>
      </c>
      <c r="Q1222">
        <v>0.21034687622294901</v>
      </c>
      <c r="R1222">
        <v>1.42529276159824</v>
      </c>
      <c r="S1222">
        <v>13.561900415797201</v>
      </c>
      <c r="T1222">
        <v>2.84171621389534</v>
      </c>
      <c r="U1222">
        <v>-3.58170812488305</v>
      </c>
      <c r="V1222">
        <v>1.13200606714659E-2</v>
      </c>
      <c r="W1222">
        <v>4.95232633494989E-2</v>
      </c>
      <c r="X1222">
        <v>0</v>
      </c>
      <c r="Y1222">
        <v>0</v>
      </c>
    </row>
    <row r="1223" spans="1:25" x14ac:dyDescent="0.2">
      <c r="A1223" t="s">
        <v>4507</v>
      </c>
      <c r="B1223" t="s">
        <v>4508</v>
      </c>
      <c r="C1223" t="s">
        <v>4509</v>
      </c>
      <c r="D1223" t="s">
        <v>4510</v>
      </c>
      <c r="E1223" t="s">
        <v>4508</v>
      </c>
      <c r="F1223" t="s">
        <v>28</v>
      </c>
      <c r="G1223" t="s">
        <v>4508</v>
      </c>
      <c r="H1223" t="str">
        <f>"gpx-2"</f>
        <v>gpx-2</v>
      </c>
      <c r="I1223" t="s">
        <v>4510</v>
      </c>
      <c r="J1223">
        <v>13.901921317127499</v>
      </c>
      <c r="K1223">
        <v>13.7761125526493</v>
      </c>
      <c r="L1223">
        <v>13.6377384785266</v>
      </c>
      <c r="M1223">
        <v>14.4100261237468</v>
      </c>
      <c r="N1223">
        <v>14.397947008241299</v>
      </c>
      <c r="O1223">
        <v>14.760437183679599</v>
      </c>
      <c r="P1223">
        <v>0.75087932245477196</v>
      </c>
      <c r="Q1223">
        <v>0.40181851729399398</v>
      </c>
      <c r="R1223">
        <v>1.09994012761555</v>
      </c>
      <c r="S1223">
        <v>13.835020505308099</v>
      </c>
      <c r="T1223">
        <v>4.5212817549756297</v>
      </c>
      <c r="U1223">
        <v>-2.24271846467454E-2</v>
      </c>
      <c r="V1223">
        <v>2.6788062539866999E-4</v>
      </c>
      <c r="W1223">
        <v>3.4624745747801702E-3</v>
      </c>
      <c r="X1223">
        <v>0</v>
      </c>
      <c r="Y1223">
        <v>0</v>
      </c>
    </row>
    <row r="1224" spans="1:25" x14ac:dyDescent="0.2">
      <c r="A1224" t="s">
        <v>4511</v>
      </c>
      <c r="B1224" t="s">
        <v>4512</v>
      </c>
      <c r="C1224" t="s">
        <v>4513</v>
      </c>
      <c r="D1224" t="s">
        <v>4514</v>
      </c>
      <c r="E1224" t="s">
        <v>4512</v>
      </c>
      <c r="F1224" t="s">
        <v>28</v>
      </c>
      <c r="G1224" t="s">
        <v>4512</v>
      </c>
      <c r="H1224" t="str">
        <f>"fdps-1"</f>
        <v>fdps-1</v>
      </c>
      <c r="I1224" t="s">
        <v>4514</v>
      </c>
      <c r="J1224">
        <v>14.5558985841958</v>
      </c>
      <c r="K1224">
        <v>14.792252285595</v>
      </c>
      <c r="L1224">
        <v>14.6937757218514</v>
      </c>
      <c r="M1224">
        <v>13.2308320092746</v>
      </c>
      <c r="N1224">
        <v>14.130277929868001</v>
      </c>
      <c r="O1224">
        <v>14.0557575530216</v>
      </c>
      <c r="P1224">
        <v>-0.87501969982599603</v>
      </c>
      <c r="Q1224">
        <v>-1.3005854766243301</v>
      </c>
      <c r="R1224">
        <v>-0.44945392302765902</v>
      </c>
      <c r="S1224">
        <v>14.3365686294296</v>
      </c>
      <c r="T1224">
        <v>-4.3215908593523498</v>
      </c>
      <c r="U1224">
        <v>-0.46240824342381098</v>
      </c>
      <c r="V1224">
        <v>4.1595392744079901E-4</v>
      </c>
      <c r="W1224">
        <v>4.7697129345059697E-3</v>
      </c>
      <c r="X1224">
        <v>0</v>
      </c>
      <c r="Y1224">
        <v>0</v>
      </c>
    </row>
    <row r="1225" spans="1:25" x14ac:dyDescent="0.2">
      <c r="A1225" t="s">
        <v>4515</v>
      </c>
      <c r="B1225" t="s">
        <v>4516</v>
      </c>
      <c r="C1225" t="s">
        <v>4517</v>
      </c>
      <c r="D1225" t="s">
        <v>4518</v>
      </c>
      <c r="E1225" t="s">
        <v>4516</v>
      </c>
      <c r="F1225" t="s">
        <v>28</v>
      </c>
      <c r="G1225" t="s">
        <v>4516</v>
      </c>
      <c r="H1225" t="str">
        <f>"slc-25a21"</f>
        <v>slc-25a21</v>
      </c>
      <c r="I1225" t="s">
        <v>4518</v>
      </c>
      <c r="J1225">
        <v>15.4625987278647</v>
      </c>
      <c r="K1225">
        <v>15.142064737794501</v>
      </c>
      <c r="L1225">
        <v>15.0286860497552</v>
      </c>
      <c r="M1225" t="s">
        <v>29</v>
      </c>
      <c r="N1225">
        <v>14.7093226702953</v>
      </c>
      <c r="O1225">
        <v>14.776237887462001</v>
      </c>
      <c r="P1225">
        <v>-0.46833622625945998</v>
      </c>
      <c r="Q1225">
        <v>-0.93608283219008204</v>
      </c>
      <c r="R1225">
        <v>-5.8962032883730397E-4</v>
      </c>
      <c r="S1225">
        <v>14.8165972869717</v>
      </c>
      <c r="T1225">
        <v>-2.11347502673115</v>
      </c>
      <c r="U1225">
        <v>-4.9641067734344801</v>
      </c>
      <c r="V1225">
        <v>4.9742967362927097E-2</v>
      </c>
      <c r="W1225">
        <v>0.135985644544106</v>
      </c>
      <c r="X1225">
        <v>0</v>
      </c>
      <c r="Y1225">
        <v>0</v>
      </c>
    </row>
    <row r="1226" spans="1:25" x14ac:dyDescent="0.2">
      <c r="A1226" t="s">
        <v>4519</v>
      </c>
      <c r="B1226" t="s">
        <v>4520</v>
      </c>
      <c r="C1226" t="s">
        <v>14395</v>
      </c>
      <c r="D1226" t="s">
        <v>852</v>
      </c>
      <c r="E1226" t="s">
        <v>4520</v>
      </c>
      <c r="F1226" t="s">
        <v>28</v>
      </c>
      <c r="G1226" t="s">
        <v>4520</v>
      </c>
      <c r="H1226" t="str">
        <f>"R11H6.5"</f>
        <v>R11H6.5</v>
      </c>
      <c r="I1226" t="s">
        <v>852</v>
      </c>
      <c r="J1226">
        <v>15.4498016122878</v>
      </c>
      <c r="K1226">
        <v>15.4275870288467</v>
      </c>
      <c r="L1226">
        <v>15.089578501400601</v>
      </c>
      <c r="M1226" t="s">
        <v>29</v>
      </c>
      <c r="N1226">
        <v>14.6785808126278</v>
      </c>
      <c r="O1226">
        <v>14.938747650861201</v>
      </c>
      <c r="P1226">
        <v>-0.51365814910060303</v>
      </c>
      <c r="Q1226">
        <v>-1.01459727426971</v>
      </c>
      <c r="R1226">
        <v>-1.27190239314963E-2</v>
      </c>
      <c r="S1226">
        <v>14.787654846926999</v>
      </c>
      <c r="T1226">
        <v>-2.1644085590993098</v>
      </c>
      <c r="U1226">
        <v>-4.8741624609707896</v>
      </c>
      <c r="V1226">
        <v>4.5050146378196598E-2</v>
      </c>
      <c r="W1226">
        <v>0.12656127871930001</v>
      </c>
      <c r="X1226">
        <v>0</v>
      </c>
      <c r="Y1226">
        <v>0</v>
      </c>
    </row>
    <row r="1227" spans="1:25" x14ac:dyDescent="0.2">
      <c r="A1227" t="s">
        <v>4521</v>
      </c>
      <c r="B1227" t="s">
        <v>4522</v>
      </c>
      <c r="C1227" t="s">
        <v>4523</v>
      </c>
      <c r="D1227" t="s">
        <v>308</v>
      </c>
      <c r="E1227" t="s">
        <v>4522</v>
      </c>
      <c r="F1227" t="s">
        <v>28</v>
      </c>
      <c r="G1227" t="s">
        <v>4522</v>
      </c>
      <c r="H1227" t="str">
        <f>"dnj-17"</f>
        <v>dnj-17</v>
      </c>
      <c r="I1227" t="s">
        <v>308</v>
      </c>
      <c r="J1227">
        <v>12.944129574352001</v>
      </c>
      <c r="K1227">
        <v>12.5621362133207</v>
      </c>
      <c r="L1227">
        <v>13.236299949953899</v>
      </c>
      <c r="M1227" t="s">
        <v>29</v>
      </c>
      <c r="N1227">
        <v>13.225077917986001</v>
      </c>
      <c r="O1227">
        <v>12.310196555450201</v>
      </c>
      <c r="P1227">
        <v>-0.146551342490717</v>
      </c>
      <c r="Q1227">
        <v>-0.91043200220436804</v>
      </c>
      <c r="R1227">
        <v>0.61732931722293405</v>
      </c>
      <c r="S1227">
        <v>12.6061468688742</v>
      </c>
      <c r="T1227">
        <v>-0.404962025304411</v>
      </c>
      <c r="U1227">
        <v>-6.9596896199502396</v>
      </c>
      <c r="V1227">
        <v>0.69058675606153697</v>
      </c>
      <c r="W1227">
        <v>0.79904168437901402</v>
      </c>
      <c r="X1227">
        <v>0</v>
      </c>
      <c r="Y1227">
        <v>0</v>
      </c>
    </row>
    <row r="1228" spans="1:25" x14ac:dyDescent="0.2">
      <c r="A1228" t="s">
        <v>4524</v>
      </c>
      <c r="B1228" t="s">
        <v>4525</v>
      </c>
      <c r="C1228" t="s">
        <v>14396</v>
      </c>
      <c r="D1228" t="s">
        <v>4526</v>
      </c>
      <c r="E1228" t="s">
        <v>4525</v>
      </c>
      <c r="F1228" t="s">
        <v>28</v>
      </c>
      <c r="G1228" t="s">
        <v>4527</v>
      </c>
      <c r="H1228" t="str">
        <f>"W01D2.1"</f>
        <v>W01D2.1</v>
      </c>
      <c r="I1228" t="s">
        <v>4528</v>
      </c>
      <c r="J1228">
        <v>11.860810842052199</v>
      </c>
      <c r="K1228">
        <v>9.4195782469029492</v>
      </c>
      <c r="L1228" t="s">
        <v>29</v>
      </c>
      <c r="M1228">
        <v>17.3707837793607</v>
      </c>
      <c r="N1228" t="s">
        <v>29</v>
      </c>
      <c r="O1228">
        <v>10.294250416178199</v>
      </c>
      <c r="P1228">
        <v>3.1923225532918802</v>
      </c>
      <c r="Q1228">
        <v>-3.3012638690429701</v>
      </c>
      <c r="R1228">
        <v>9.6859089756267291</v>
      </c>
      <c r="S1228">
        <v>12.4093960817917</v>
      </c>
      <c r="T1228">
        <v>1.2934811265496999</v>
      </c>
      <c r="U1228">
        <v>-6.0958226368856003</v>
      </c>
      <c r="V1228">
        <v>0.256445141841247</v>
      </c>
      <c r="W1228">
        <v>0.42393290365449798</v>
      </c>
      <c r="X1228">
        <v>0</v>
      </c>
      <c r="Y1228">
        <v>0</v>
      </c>
    </row>
    <row r="1229" spans="1:25" x14ac:dyDescent="0.2">
      <c r="A1229" t="s">
        <v>4529</v>
      </c>
      <c r="B1229" t="s">
        <v>4530</v>
      </c>
      <c r="C1229" t="s">
        <v>4531</v>
      </c>
      <c r="D1229" t="s">
        <v>4532</v>
      </c>
      <c r="E1229" t="s">
        <v>4530</v>
      </c>
      <c r="F1229" t="s">
        <v>28</v>
      </c>
      <c r="G1229" t="s">
        <v>4530</v>
      </c>
      <c r="H1229" t="str">
        <f>"nhr-61"</f>
        <v>nhr-61</v>
      </c>
      <c r="I1229" t="s">
        <v>4532</v>
      </c>
      <c r="J1229" t="s">
        <v>29</v>
      </c>
      <c r="K1229" t="s">
        <v>29</v>
      </c>
      <c r="L1229" t="s">
        <v>29</v>
      </c>
      <c r="M1229" t="s">
        <v>29</v>
      </c>
      <c r="N1229" t="s">
        <v>29</v>
      </c>
      <c r="O1229" t="s">
        <v>29</v>
      </c>
      <c r="P1229" t="s">
        <v>29</v>
      </c>
      <c r="Q1229" t="s">
        <v>29</v>
      </c>
      <c r="R1229" t="s">
        <v>29</v>
      </c>
      <c r="S1229">
        <v>11.462234031570199</v>
      </c>
      <c r="T1229" t="s">
        <v>29</v>
      </c>
      <c r="U1229" t="s">
        <v>29</v>
      </c>
      <c r="V1229" t="s">
        <v>29</v>
      </c>
      <c r="W1229" t="s">
        <v>29</v>
      </c>
      <c r="X1229" t="s">
        <v>29</v>
      </c>
      <c r="Y1229" t="s">
        <v>29</v>
      </c>
    </row>
    <row r="1230" spans="1:25" x14ac:dyDescent="0.2">
      <c r="A1230" t="s">
        <v>4533</v>
      </c>
      <c r="B1230" t="s">
        <v>4534</v>
      </c>
      <c r="C1230" t="s">
        <v>4535</v>
      </c>
      <c r="D1230" t="s">
        <v>4536</v>
      </c>
      <c r="E1230" t="s">
        <v>4534</v>
      </c>
      <c r="F1230" t="s">
        <v>28</v>
      </c>
      <c r="G1230" t="s">
        <v>4534</v>
      </c>
      <c r="H1230" t="str">
        <f>"lys-1"</f>
        <v>lys-1</v>
      </c>
      <c r="I1230" t="s">
        <v>4536</v>
      </c>
      <c r="J1230">
        <v>11.132533775497899</v>
      </c>
      <c r="K1230">
        <v>11.091356229388699</v>
      </c>
      <c r="L1230">
        <v>11.809329116249399</v>
      </c>
      <c r="M1230" t="s">
        <v>29</v>
      </c>
      <c r="N1230" t="s">
        <v>29</v>
      </c>
      <c r="O1230" t="s">
        <v>29</v>
      </c>
      <c r="P1230" t="s">
        <v>29</v>
      </c>
      <c r="Q1230" t="s">
        <v>29</v>
      </c>
      <c r="R1230" t="s">
        <v>29</v>
      </c>
      <c r="S1230">
        <v>12.516503298558399</v>
      </c>
      <c r="T1230" t="s">
        <v>29</v>
      </c>
      <c r="U1230" t="s">
        <v>29</v>
      </c>
      <c r="V1230" t="s">
        <v>29</v>
      </c>
      <c r="W1230" t="s">
        <v>29</v>
      </c>
      <c r="X1230" t="s">
        <v>29</v>
      </c>
      <c r="Y1230" t="s">
        <v>29</v>
      </c>
    </row>
    <row r="1231" spans="1:25" x14ac:dyDescent="0.2">
      <c r="A1231" t="s">
        <v>4537</v>
      </c>
      <c r="B1231" t="s">
        <v>4538</v>
      </c>
      <c r="C1231" t="s">
        <v>4539</v>
      </c>
      <c r="D1231" t="s">
        <v>4540</v>
      </c>
      <c r="E1231" t="s">
        <v>4538</v>
      </c>
      <c r="F1231" t="s">
        <v>28</v>
      </c>
      <c r="G1231" t="s">
        <v>4538</v>
      </c>
      <c r="H1231" t="str">
        <f>"qars-1"</f>
        <v>qars-1</v>
      </c>
      <c r="I1231" t="s">
        <v>4540</v>
      </c>
      <c r="J1231">
        <v>16.188790556809899</v>
      </c>
      <c r="K1231">
        <v>16.1005489289746</v>
      </c>
      <c r="L1231">
        <v>15.7989527694368</v>
      </c>
      <c r="M1231">
        <v>15.259603621537501</v>
      </c>
      <c r="N1231">
        <v>15.2679819150071</v>
      </c>
      <c r="O1231">
        <v>15.2841378175752</v>
      </c>
      <c r="P1231">
        <v>-0.75885630036714102</v>
      </c>
      <c r="Q1231">
        <v>-1.1564107744694201</v>
      </c>
      <c r="R1231">
        <v>-0.36130182626485602</v>
      </c>
      <c r="S1231">
        <v>15.509096093194399</v>
      </c>
      <c r="T1231">
        <v>-4.01194907685682</v>
      </c>
      <c r="U1231">
        <v>-1.14562300117187</v>
      </c>
      <c r="V1231">
        <v>8.2608181897496802E-4</v>
      </c>
      <c r="W1231">
        <v>8.0081023701290503E-3</v>
      </c>
      <c r="X1231">
        <v>0</v>
      </c>
      <c r="Y1231">
        <v>0</v>
      </c>
    </row>
    <row r="1232" spans="1:25" x14ac:dyDescent="0.2">
      <c r="A1232" t="s">
        <v>4541</v>
      </c>
      <c r="B1232" t="s">
        <v>4542</v>
      </c>
      <c r="C1232" t="s">
        <v>4543</v>
      </c>
      <c r="D1232" t="s">
        <v>3312</v>
      </c>
      <c r="E1232" t="s">
        <v>4542</v>
      </c>
      <c r="F1232" t="s">
        <v>28</v>
      </c>
      <c r="G1232" t="s">
        <v>4542</v>
      </c>
      <c r="H1232" t="str">
        <f>"dpy-4"</f>
        <v>dpy-4</v>
      </c>
      <c r="I1232" t="s">
        <v>3312</v>
      </c>
      <c r="J1232">
        <v>13.167775790983599</v>
      </c>
      <c r="K1232">
        <v>11.6017702912338</v>
      </c>
      <c r="L1232">
        <v>12.535287385220601</v>
      </c>
      <c r="M1232">
        <v>15.540100435078999</v>
      </c>
      <c r="N1232">
        <v>12.8696481930877</v>
      </c>
      <c r="O1232">
        <v>12.301031722428901</v>
      </c>
      <c r="P1232">
        <v>1.13531562771919</v>
      </c>
      <c r="Q1232">
        <v>-0.45281160758204198</v>
      </c>
      <c r="R1232">
        <v>2.7234428630204301</v>
      </c>
      <c r="S1232">
        <v>12.0196545802676</v>
      </c>
      <c r="T1232">
        <v>1.5025323645509101</v>
      </c>
      <c r="U1232">
        <v>-6.0409275730493297</v>
      </c>
      <c r="V1232">
        <v>0.15040119651262901</v>
      </c>
      <c r="W1232">
        <v>0.29416628484102603</v>
      </c>
      <c r="X1232">
        <v>0</v>
      </c>
      <c r="Y1232">
        <v>0</v>
      </c>
    </row>
    <row r="1233" spans="1:25" x14ac:dyDescent="0.2">
      <c r="A1233" t="s">
        <v>4544</v>
      </c>
      <c r="B1233" t="s">
        <v>4545</v>
      </c>
      <c r="C1233" t="s">
        <v>14397</v>
      </c>
      <c r="D1233" t="s">
        <v>534</v>
      </c>
      <c r="E1233" t="s">
        <v>4545</v>
      </c>
      <c r="F1233" t="s">
        <v>28</v>
      </c>
      <c r="G1233" t="s">
        <v>4545</v>
      </c>
      <c r="H1233" t="str">
        <f>"Y45F10D.7"</f>
        <v>Y45F10D.7</v>
      </c>
      <c r="I1233" t="s">
        <v>534</v>
      </c>
      <c r="J1233">
        <v>15.6229654845406</v>
      </c>
      <c r="K1233">
        <v>15.574023995630601</v>
      </c>
      <c r="L1233">
        <v>15.3695896789588</v>
      </c>
      <c r="M1233">
        <v>14.891401943929299</v>
      </c>
      <c r="N1233">
        <v>14.782029802260899</v>
      </c>
      <c r="O1233">
        <v>14.687364519230099</v>
      </c>
      <c r="P1233">
        <v>-0.73526096456990298</v>
      </c>
      <c r="Q1233">
        <v>-1.07350496209798</v>
      </c>
      <c r="R1233">
        <v>-0.39701696704182199</v>
      </c>
      <c r="S1233">
        <v>15.155137133813501</v>
      </c>
      <c r="T1233">
        <v>-4.5688186970746996</v>
      </c>
      <c r="U1233">
        <v>8.2114083508225896E-2</v>
      </c>
      <c r="V1233">
        <v>2.41330782179995E-4</v>
      </c>
      <c r="W1233">
        <v>3.1838418862921701E-3</v>
      </c>
      <c r="X1233">
        <v>0</v>
      </c>
      <c r="Y1233">
        <v>0</v>
      </c>
    </row>
    <row r="1234" spans="1:25" x14ac:dyDescent="0.2">
      <c r="A1234" t="s">
        <v>4546</v>
      </c>
      <c r="B1234" t="s">
        <v>4547</v>
      </c>
      <c r="C1234" t="s">
        <v>4548</v>
      </c>
      <c r="D1234" t="s">
        <v>4549</v>
      </c>
      <c r="E1234" t="s">
        <v>4547</v>
      </c>
      <c r="F1234" t="s">
        <v>28</v>
      </c>
      <c r="G1234" t="s">
        <v>4547</v>
      </c>
      <c r="H1234" t="str">
        <f>"sas-6"</f>
        <v>sas-6</v>
      </c>
      <c r="I1234" t="s">
        <v>4549</v>
      </c>
      <c r="J1234" t="s">
        <v>29</v>
      </c>
      <c r="K1234" t="s">
        <v>29</v>
      </c>
      <c r="L1234" t="s">
        <v>29</v>
      </c>
      <c r="M1234" t="s">
        <v>29</v>
      </c>
      <c r="N1234" t="s">
        <v>29</v>
      </c>
      <c r="O1234" t="s">
        <v>29</v>
      </c>
      <c r="P1234" t="s">
        <v>29</v>
      </c>
      <c r="Q1234" t="s">
        <v>29</v>
      </c>
      <c r="R1234" t="s">
        <v>29</v>
      </c>
      <c r="S1234">
        <v>9.6451351309855102</v>
      </c>
      <c r="T1234" t="s">
        <v>29</v>
      </c>
      <c r="U1234" t="s">
        <v>29</v>
      </c>
      <c r="V1234" t="s">
        <v>29</v>
      </c>
      <c r="W1234" t="s">
        <v>29</v>
      </c>
      <c r="X1234" t="s">
        <v>29</v>
      </c>
      <c r="Y1234" t="s">
        <v>29</v>
      </c>
    </row>
    <row r="1235" spans="1:25" x14ac:dyDescent="0.2">
      <c r="A1235" t="s">
        <v>4550</v>
      </c>
      <c r="B1235" t="s">
        <v>4551</v>
      </c>
      <c r="C1235" t="s">
        <v>4552</v>
      </c>
      <c r="D1235" t="s">
        <v>4553</v>
      </c>
      <c r="E1235" t="s">
        <v>4551</v>
      </c>
      <c r="F1235" t="s">
        <v>28</v>
      </c>
      <c r="G1235" t="s">
        <v>4551</v>
      </c>
      <c r="H1235" t="str">
        <f>"eelo-2"</f>
        <v>eelo-2</v>
      </c>
      <c r="I1235" t="s">
        <v>4553</v>
      </c>
      <c r="J1235">
        <v>14.5338931215079</v>
      </c>
      <c r="K1235">
        <v>14.4033383766795</v>
      </c>
      <c r="L1235">
        <v>14.3663792804058</v>
      </c>
      <c r="M1235">
        <v>14.473853446222799</v>
      </c>
      <c r="N1235">
        <v>14.7890291910266</v>
      </c>
      <c r="O1235">
        <v>14.676798273845399</v>
      </c>
      <c r="P1235">
        <v>0.21202337750050801</v>
      </c>
      <c r="Q1235">
        <v>-0.131424578104716</v>
      </c>
      <c r="R1235">
        <v>0.55547133310573105</v>
      </c>
      <c r="S1235">
        <v>14.477385887343999</v>
      </c>
      <c r="T1235">
        <v>1.2975237801989501</v>
      </c>
      <c r="U1235">
        <v>-6.3121357665106901</v>
      </c>
      <c r="V1235">
        <v>0.210929043436727</v>
      </c>
      <c r="W1235">
        <v>0.372666601323761</v>
      </c>
      <c r="X1235">
        <v>0</v>
      </c>
      <c r="Y1235">
        <v>0</v>
      </c>
    </row>
    <row r="1236" spans="1:25" x14ac:dyDescent="0.2">
      <c r="A1236" t="s">
        <v>4554</v>
      </c>
      <c r="B1236" t="s">
        <v>4555</v>
      </c>
      <c r="C1236" t="s">
        <v>4556</v>
      </c>
      <c r="D1236" t="s">
        <v>4557</v>
      </c>
      <c r="E1236" t="s">
        <v>4555</v>
      </c>
      <c r="F1236" t="s">
        <v>28</v>
      </c>
      <c r="G1236" t="s">
        <v>4555</v>
      </c>
      <c r="H1236" t="str">
        <f>"ZK795.3"</f>
        <v>ZK795.3</v>
      </c>
      <c r="I1236" t="s">
        <v>4557</v>
      </c>
      <c r="J1236">
        <v>13.9602091183799</v>
      </c>
      <c r="K1236">
        <v>13.8222035446119</v>
      </c>
      <c r="L1236">
        <v>14.039333386813601</v>
      </c>
      <c r="M1236" t="s">
        <v>29</v>
      </c>
      <c r="N1236">
        <v>13.5167717104317</v>
      </c>
      <c r="O1236">
        <v>13.6129256075683</v>
      </c>
      <c r="P1236">
        <v>-0.37573335760181997</v>
      </c>
      <c r="Q1236">
        <v>-0.804564663118017</v>
      </c>
      <c r="R1236">
        <v>5.3097947914376102E-2</v>
      </c>
      <c r="S1236">
        <v>14.1784700455368</v>
      </c>
      <c r="T1236">
        <v>-1.8494529374059401</v>
      </c>
      <c r="U1236">
        <v>-5.4093362454095102</v>
      </c>
      <c r="V1236">
        <v>8.1965810438529199E-2</v>
      </c>
      <c r="W1236">
        <v>0.19019940422231901</v>
      </c>
      <c r="X1236">
        <v>0</v>
      </c>
      <c r="Y1236">
        <v>0</v>
      </c>
    </row>
    <row r="1237" spans="1:25" x14ac:dyDescent="0.2">
      <c r="A1237" t="s">
        <v>4558</v>
      </c>
      <c r="B1237" t="s">
        <v>4559</v>
      </c>
      <c r="C1237" t="s">
        <v>4560</v>
      </c>
      <c r="D1237" t="s">
        <v>4561</v>
      </c>
      <c r="E1237" t="s">
        <v>4559</v>
      </c>
      <c r="F1237" t="s">
        <v>28</v>
      </c>
      <c r="G1237" t="s">
        <v>4559</v>
      </c>
      <c r="H1237" t="str">
        <f>"ipmk-1"</f>
        <v>ipmk-1</v>
      </c>
      <c r="I1237" t="s">
        <v>4561</v>
      </c>
      <c r="J1237">
        <v>13.373090077184299</v>
      </c>
      <c r="K1237">
        <v>13.117985500831701</v>
      </c>
      <c r="L1237">
        <v>13.0780590276892</v>
      </c>
      <c r="M1237" t="s">
        <v>29</v>
      </c>
      <c r="N1237" t="s">
        <v>29</v>
      </c>
      <c r="O1237">
        <v>12.9988661802678</v>
      </c>
      <c r="P1237">
        <v>-0.190845354967243</v>
      </c>
      <c r="Q1237">
        <v>-0.73552411347433</v>
      </c>
      <c r="R1237">
        <v>0.35383340353984499</v>
      </c>
      <c r="S1237">
        <v>12.811191231194</v>
      </c>
      <c r="T1237">
        <v>-0.74317430374246696</v>
      </c>
      <c r="U1237">
        <v>-6.5276360070554196</v>
      </c>
      <c r="V1237">
        <v>0.468219090755153</v>
      </c>
      <c r="W1237">
        <v>0.63019499744380203</v>
      </c>
      <c r="X1237">
        <v>0</v>
      </c>
      <c r="Y1237">
        <v>0</v>
      </c>
    </row>
    <row r="1238" spans="1:25" x14ac:dyDescent="0.2">
      <c r="A1238" t="s">
        <v>4562</v>
      </c>
      <c r="B1238" t="s">
        <v>4563</v>
      </c>
      <c r="C1238" t="s">
        <v>4564</v>
      </c>
      <c r="D1238" t="s">
        <v>4565</v>
      </c>
      <c r="E1238" t="s">
        <v>4563</v>
      </c>
      <c r="F1238" t="s">
        <v>28</v>
      </c>
      <c r="G1238" t="s">
        <v>4563</v>
      </c>
      <c r="H1238" t="str">
        <f>"tsg-101"</f>
        <v>tsg-101</v>
      </c>
      <c r="I1238" t="s">
        <v>4565</v>
      </c>
      <c r="J1238">
        <v>13.743283279053101</v>
      </c>
      <c r="K1238">
        <v>13.6113622739477</v>
      </c>
      <c r="L1238">
        <v>13.650852172703299</v>
      </c>
      <c r="M1238" t="s">
        <v>29</v>
      </c>
      <c r="N1238">
        <v>13.613360836141601</v>
      </c>
      <c r="O1238">
        <v>13.1901374982458</v>
      </c>
      <c r="P1238">
        <v>-0.26675007470767798</v>
      </c>
      <c r="Q1238">
        <v>-0.62891804519315697</v>
      </c>
      <c r="R1238">
        <v>9.5417895777800799E-2</v>
      </c>
      <c r="S1238">
        <v>13.6582157366777</v>
      </c>
      <c r="T1238">
        <v>-1.5546925715101501</v>
      </c>
      <c r="U1238">
        <v>-5.85860250198869</v>
      </c>
      <c r="V1238">
        <v>0.138551064725805</v>
      </c>
      <c r="W1238">
        <v>0.27569884385344101</v>
      </c>
      <c r="X1238">
        <v>0</v>
      </c>
      <c r="Y1238">
        <v>0</v>
      </c>
    </row>
    <row r="1239" spans="1:25" x14ac:dyDescent="0.2">
      <c r="A1239" t="s">
        <v>4566</v>
      </c>
      <c r="B1239" t="s">
        <v>4567</v>
      </c>
      <c r="C1239" t="s">
        <v>4568</v>
      </c>
      <c r="D1239" t="s">
        <v>4569</v>
      </c>
      <c r="E1239" t="s">
        <v>4567</v>
      </c>
      <c r="F1239" t="s">
        <v>28</v>
      </c>
      <c r="G1239" t="s">
        <v>4567</v>
      </c>
      <c r="H1239" t="str">
        <f>"ced-6"</f>
        <v>ced-6</v>
      </c>
      <c r="I1239" t="s">
        <v>4569</v>
      </c>
      <c r="J1239" t="s">
        <v>29</v>
      </c>
      <c r="K1239" t="s">
        <v>29</v>
      </c>
      <c r="L1239" t="s">
        <v>29</v>
      </c>
      <c r="M1239" t="s">
        <v>29</v>
      </c>
      <c r="N1239" t="s">
        <v>29</v>
      </c>
      <c r="O1239" t="s">
        <v>29</v>
      </c>
      <c r="P1239" t="s">
        <v>29</v>
      </c>
      <c r="Q1239" t="s">
        <v>29</v>
      </c>
      <c r="R1239" t="s">
        <v>29</v>
      </c>
      <c r="S1239">
        <v>11.0053176041343</v>
      </c>
      <c r="T1239" t="s">
        <v>29</v>
      </c>
      <c r="U1239" t="s">
        <v>29</v>
      </c>
      <c r="V1239" t="s">
        <v>29</v>
      </c>
      <c r="W1239" t="s">
        <v>29</v>
      </c>
      <c r="X1239" t="s">
        <v>29</v>
      </c>
      <c r="Y1239" t="s">
        <v>29</v>
      </c>
    </row>
    <row r="1240" spans="1:25" x14ac:dyDescent="0.2">
      <c r="A1240" t="s">
        <v>4570</v>
      </c>
      <c r="B1240" t="s">
        <v>4571</v>
      </c>
      <c r="C1240" t="s">
        <v>4572</v>
      </c>
      <c r="D1240" t="s">
        <v>4573</v>
      </c>
      <c r="E1240" t="s">
        <v>4571</v>
      </c>
      <c r="F1240" t="s">
        <v>28</v>
      </c>
      <c r="G1240" t="s">
        <v>4571</v>
      </c>
      <c r="H1240" t="str">
        <f>"egl-4"</f>
        <v>egl-4</v>
      </c>
      <c r="I1240" t="s">
        <v>4573</v>
      </c>
      <c r="J1240">
        <v>16.464853431242599</v>
      </c>
      <c r="K1240">
        <v>16.387106075341698</v>
      </c>
      <c r="L1240">
        <v>16.1259438257254</v>
      </c>
      <c r="M1240">
        <v>15.6763370331016</v>
      </c>
      <c r="N1240">
        <v>16.1217929489308</v>
      </c>
      <c r="O1240">
        <v>16.239357673148898</v>
      </c>
      <c r="P1240">
        <v>-0.31347189237615702</v>
      </c>
      <c r="Q1240">
        <v>-0.65397282904911003</v>
      </c>
      <c r="R1240">
        <v>2.7029044296796499E-2</v>
      </c>
      <c r="S1240">
        <v>16.102239734058301</v>
      </c>
      <c r="T1240">
        <v>-1.9349636368744301</v>
      </c>
      <c r="U1240">
        <v>-5.3732450497432698</v>
      </c>
      <c r="V1240">
        <v>6.8961694939959906E-2</v>
      </c>
      <c r="W1240">
        <v>0.168936088934382</v>
      </c>
      <c r="X1240">
        <v>0</v>
      </c>
      <c r="Y1240">
        <v>0</v>
      </c>
    </row>
    <row r="1241" spans="1:25" x14ac:dyDescent="0.2">
      <c r="A1241" t="s">
        <v>4574</v>
      </c>
      <c r="B1241" t="s">
        <v>4575</v>
      </c>
      <c r="C1241" t="s">
        <v>4576</v>
      </c>
      <c r="D1241" t="s">
        <v>4577</v>
      </c>
      <c r="E1241" t="s">
        <v>4575</v>
      </c>
      <c r="F1241" t="s">
        <v>28</v>
      </c>
      <c r="G1241" t="s">
        <v>4575</v>
      </c>
      <c r="H1241" t="str">
        <f>"tut-1"</f>
        <v>tut-1</v>
      </c>
      <c r="I1241" t="s">
        <v>4577</v>
      </c>
      <c r="J1241">
        <v>14.3329884791744</v>
      </c>
      <c r="K1241">
        <v>14.3359739467725</v>
      </c>
      <c r="L1241">
        <v>14.301096238864099</v>
      </c>
      <c r="M1241">
        <v>13.651026329433799</v>
      </c>
      <c r="N1241">
        <v>14.150336330763199</v>
      </c>
      <c r="O1241">
        <v>13.629495142567899</v>
      </c>
      <c r="P1241">
        <v>-0.51306695401531499</v>
      </c>
      <c r="Q1241">
        <v>-0.91243550919080696</v>
      </c>
      <c r="R1241">
        <v>-0.11369839883982299</v>
      </c>
      <c r="S1241">
        <v>14.0641555927377</v>
      </c>
      <c r="T1241">
        <v>-2.70017983263048</v>
      </c>
      <c r="U1241">
        <v>-3.9503893213605799</v>
      </c>
      <c r="V1241">
        <v>1.4697922202239999E-2</v>
      </c>
      <c r="W1241">
        <v>5.9482935017272497E-2</v>
      </c>
      <c r="X1241">
        <v>0</v>
      </c>
      <c r="Y1241">
        <v>0</v>
      </c>
    </row>
    <row r="1242" spans="1:25" x14ac:dyDescent="0.2">
      <c r="A1242" t="s">
        <v>4578</v>
      </c>
      <c r="B1242" t="s">
        <v>4579</v>
      </c>
      <c r="C1242" t="s">
        <v>4580</v>
      </c>
      <c r="D1242" t="s">
        <v>4581</v>
      </c>
      <c r="E1242" t="s">
        <v>4579</v>
      </c>
      <c r="F1242" t="s">
        <v>28</v>
      </c>
      <c r="G1242" t="s">
        <v>4579</v>
      </c>
      <c r="H1242" t="str">
        <f>"rpt-5"</f>
        <v>rpt-5</v>
      </c>
      <c r="I1242" t="s">
        <v>4581</v>
      </c>
      <c r="J1242">
        <v>15.964564058683701</v>
      </c>
      <c r="K1242">
        <v>15.8508178225153</v>
      </c>
      <c r="L1242">
        <v>16.0217832535909</v>
      </c>
      <c r="M1242">
        <v>16.111665330672601</v>
      </c>
      <c r="N1242">
        <v>15.5796941978069</v>
      </c>
      <c r="O1242">
        <v>16.1395031161064</v>
      </c>
      <c r="P1242">
        <v>-2.1008300680058802E-3</v>
      </c>
      <c r="Q1242">
        <v>-0.40451573845467798</v>
      </c>
      <c r="R1242">
        <v>0.400314078318666</v>
      </c>
      <c r="S1242">
        <v>15.939994663770101</v>
      </c>
      <c r="T1242">
        <v>-1.0972595665578601E-2</v>
      </c>
      <c r="U1242">
        <v>-7.1562389053910103</v>
      </c>
      <c r="V1242">
        <v>0.991366713688285</v>
      </c>
      <c r="W1242">
        <v>0.99505387528767097</v>
      </c>
      <c r="X1242">
        <v>0</v>
      </c>
      <c r="Y1242">
        <v>0</v>
      </c>
    </row>
    <row r="1243" spans="1:25" x14ac:dyDescent="0.2">
      <c r="A1243" t="s">
        <v>4582</v>
      </c>
      <c r="B1243" t="s">
        <v>4583</v>
      </c>
      <c r="C1243" t="s">
        <v>4584</v>
      </c>
      <c r="D1243" t="s">
        <v>4585</v>
      </c>
      <c r="E1243" t="s">
        <v>4583</v>
      </c>
      <c r="F1243" t="s">
        <v>28</v>
      </c>
      <c r="G1243" t="s">
        <v>4583</v>
      </c>
      <c r="H1243" t="str">
        <f>"mms-19"</f>
        <v>mms-19</v>
      </c>
      <c r="I1243" t="s">
        <v>4585</v>
      </c>
      <c r="J1243">
        <v>12.8308243268713</v>
      </c>
      <c r="K1243">
        <v>12.677167324716899</v>
      </c>
      <c r="L1243">
        <v>12.764847881210599</v>
      </c>
      <c r="M1243" t="s">
        <v>29</v>
      </c>
      <c r="N1243" t="s">
        <v>29</v>
      </c>
      <c r="O1243">
        <v>12.665761074968</v>
      </c>
      <c r="P1243">
        <v>-9.1852102631571994E-2</v>
      </c>
      <c r="Q1243">
        <v>-1.0271068436964299</v>
      </c>
      <c r="R1243">
        <v>0.843402638433287</v>
      </c>
      <c r="S1243">
        <v>12.986631800876699</v>
      </c>
      <c r="T1243">
        <v>-0.208309326025237</v>
      </c>
      <c r="U1243">
        <v>-6.7899440051579401</v>
      </c>
      <c r="V1243">
        <v>0.83763325168271396</v>
      </c>
      <c r="W1243">
        <v>0.89716191098016695</v>
      </c>
      <c r="X1243">
        <v>0</v>
      </c>
      <c r="Y1243">
        <v>0</v>
      </c>
    </row>
    <row r="1244" spans="1:25" x14ac:dyDescent="0.2">
      <c r="A1244" t="s">
        <v>4586</v>
      </c>
      <c r="B1244" t="s">
        <v>4587</v>
      </c>
      <c r="C1244" t="s">
        <v>14398</v>
      </c>
      <c r="D1244" t="s">
        <v>4588</v>
      </c>
      <c r="E1244" t="s">
        <v>4587</v>
      </c>
      <c r="F1244" t="s">
        <v>28</v>
      </c>
      <c r="G1244" t="s">
        <v>4587</v>
      </c>
      <c r="H1244" t="str">
        <f>"T10B5.3"</f>
        <v>T10B5.3</v>
      </c>
      <c r="I1244" t="s">
        <v>4588</v>
      </c>
      <c r="J1244" t="s">
        <v>29</v>
      </c>
      <c r="K1244" t="s">
        <v>29</v>
      </c>
      <c r="L1244">
        <v>11.1947479765862</v>
      </c>
      <c r="M1244" t="s">
        <v>29</v>
      </c>
      <c r="N1244" t="s">
        <v>29</v>
      </c>
      <c r="O1244">
        <v>12.298969214084</v>
      </c>
      <c r="P1244">
        <v>1.10422123749775</v>
      </c>
      <c r="Q1244">
        <v>-5.6813087686097698E-2</v>
      </c>
      <c r="R1244">
        <v>2.2652555626816002</v>
      </c>
      <c r="S1244">
        <v>11.9755751434126</v>
      </c>
      <c r="T1244">
        <v>2.0742258800242999</v>
      </c>
      <c r="U1244">
        <v>-4.6634511663715097</v>
      </c>
      <c r="V1244">
        <v>6.0437357268893002E-2</v>
      </c>
      <c r="W1244">
        <v>0.15556663812712301</v>
      </c>
      <c r="X1244">
        <v>0</v>
      </c>
      <c r="Y1244">
        <v>0</v>
      </c>
    </row>
    <row r="1245" spans="1:25" x14ac:dyDescent="0.2">
      <c r="A1245" t="s">
        <v>4589</v>
      </c>
      <c r="B1245" t="s">
        <v>4590</v>
      </c>
      <c r="C1245" t="s">
        <v>4591</v>
      </c>
      <c r="D1245" t="s">
        <v>4592</v>
      </c>
      <c r="E1245" t="s">
        <v>4590</v>
      </c>
      <c r="F1245" t="s">
        <v>28</v>
      </c>
      <c r="G1245" t="s">
        <v>4590</v>
      </c>
      <c r="H1245" t="str">
        <f>"hcp-1"</f>
        <v>hcp-1</v>
      </c>
      <c r="I1245" t="s">
        <v>4592</v>
      </c>
      <c r="J1245" t="s">
        <v>29</v>
      </c>
      <c r="K1245" t="s">
        <v>29</v>
      </c>
      <c r="L1245" t="s">
        <v>29</v>
      </c>
      <c r="M1245" t="s">
        <v>29</v>
      </c>
      <c r="N1245" t="s">
        <v>29</v>
      </c>
      <c r="O1245">
        <v>11.8056587165777</v>
      </c>
      <c r="P1245" t="s">
        <v>29</v>
      </c>
      <c r="Q1245" t="s">
        <v>29</v>
      </c>
      <c r="R1245" t="s">
        <v>29</v>
      </c>
      <c r="S1245">
        <v>11.0211437523465</v>
      </c>
      <c r="T1245" t="s">
        <v>29</v>
      </c>
      <c r="U1245" t="s">
        <v>29</v>
      </c>
      <c r="V1245" t="s">
        <v>29</v>
      </c>
      <c r="W1245" t="s">
        <v>29</v>
      </c>
      <c r="X1245" t="s">
        <v>29</v>
      </c>
      <c r="Y1245" t="s">
        <v>29</v>
      </c>
    </row>
    <row r="1246" spans="1:25" x14ac:dyDescent="0.2">
      <c r="A1246" t="s">
        <v>4593</v>
      </c>
      <c r="B1246" t="s">
        <v>4594</v>
      </c>
      <c r="C1246" t="s">
        <v>4595</v>
      </c>
      <c r="D1246" t="s">
        <v>4596</v>
      </c>
      <c r="E1246" t="s">
        <v>4594</v>
      </c>
      <c r="F1246" t="s">
        <v>28</v>
      </c>
      <c r="G1246" t="s">
        <v>4594</v>
      </c>
      <c r="H1246" t="str">
        <f>"smg-2"</f>
        <v>smg-2</v>
      </c>
      <c r="I1246" t="s">
        <v>4596</v>
      </c>
      <c r="J1246">
        <v>12.942019198134499</v>
      </c>
      <c r="K1246">
        <v>13.360859158752399</v>
      </c>
      <c r="L1246">
        <v>12.972621835629701</v>
      </c>
      <c r="M1246">
        <v>11.2677468720031</v>
      </c>
      <c r="N1246">
        <v>13.093495527493101</v>
      </c>
      <c r="O1246">
        <v>13.048593835539901</v>
      </c>
      <c r="P1246">
        <v>-0.62188798582684501</v>
      </c>
      <c r="Q1246">
        <v>-1.33553544707368</v>
      </c>
      <c r="R1246">
        <v>9.17594754199864E-2</v>
      </c>
      <c r="S1246">
        <v>13.400221335460399</v>
      </c>
      <c r="T1246">
        <v>-1.8315591756818901</v>
      </c>
      <c r="U1246">
        <v>-5.5436122321007097</v>
      </c>
      <c r="V1246">
        <v>8.3717063467437305E-2</v>
      </c>
      <c r="W1246">
        <v>0.192896157966019</v>
      </c>
      <c r="X1246">
        <v>0</v>
      </c>
      <c r="Y1246">
        <v>0</v>
      </c>
    </row>
    <row r="1247" spans="1:25" x14ac:dyDescent="0.2">
      <c r="A1247" t="s">
        <v>4597</v>
      </c>
      <c r="B1247" t="s">
        <v>4598</v>
      </c>
      <c r="C1247" t="s">
        <v>4599</v>
      </c>
      <c r="D1247" t="s">
        <v>878</v>
      </c>
      <c r="E1247" t="s">
        <v>4598</v>
      </c>
      <c r="F1247" t="s">
        <v>28</v>
      </c>
      <c r="G1247" t="s">
        <v>4598</v>
      </c>
      <c r="H1247" t="str">
        <f>"math-20"</f>
        <v>math-20</v>
      </c>
      <c r="I1247" t="s">
        <v>878</v>
      </c>
      <c r="J1247">
        <v>13.9356503330234</v>
      </c>
      <c r="K1247">
        <v>13.263037444413801</v>
      </c>
      <c r="L1247">
        <v>13.2514730621428</v>
      </c>
      <c r="M1247" t="s">
        <v>29</v>
      </c>
      <c r="N1247" t="s">
        <v>29</v>
      </c>
      <c r="O1247">
        <v>13.885722795970199</v>
      </c>
      <c r="P1247">
        <v>0.40233584944349798</v>
      </c>
      <c r="Q1247">
        <v>-0.273132506556583</v>
      </c>
      <c r="R1247">
        <v>1.0778042054435799</v>
      </c>
      <c r="S1247">
        <v>13.5808996749287</v>
      </c>
      <c r="T1247">
        <v>1.2633778340812101</v>
      </c>
      <c r="U1247">
        <v>-6.0144170829485404</v>
      </c>
      <c r="V1247">
        <v>0.224670461986447</v>
      </c>
      <c r="W1247">
        <v>0.38924388681602601</v>
      </c>
      <c r="X1247">
        <v>0</v>
      </c>
      <c r="Y1247">
        <v>0</v>
      </c>
    </row>
    <row r="1248" spans="1:25" x14ac:dyDescent="0.2">
      <c r="A1248" t="s">
        <v>4600</v>
      </c>
      <c r="B1248" t="s">
        <v>4601</v>
      </c>
      <c r="C1248" t="s">
        <v>14399</v>
      </c>
      <c r="D1248" t="s">
        <v>115</v>
      </c>
      <c r="E1248" t="s">
        <v>4601</v>
      </c>
      <c r="F1248" t="s">
        <v>28</v>
      </c>
      <c r="G1248" t="s">
        <v>4601</v>
      </c>
      <c r="H1248" t="str">
        <f>"F13C5.2"</f>
        <v>F13C5.2</v>
      </c>
      <c r="I1248" t="s">
        <v>115</v>
      </c>
      <c r="J1248" t="s">
        <v>29</v>
      </c>
      <c r="K1248" t="s">
        <v>29</v>
      </c>
      <c r="L1248">
        <v>10.592021044386399</v>
      </c>
      <c r="M1248">
        <v>13.0585281968386</v>
      </c>
      <c r="N1248">
        <v>9.9611670945113602</v>
      </c>
      <c r="O1248">
        <v>11.3513031342879</v>
      </c>
      <c r="P1248">
        <v>0.86497843082618298</v>
      </c>
      <c r="Q1248">
        <v>-2.05138997780328</v>
      </c>
      <c r="R1248">
        <v>3.78134683945565</v>
      </c>
      <c r="S1248">
        <v>11.063869006168099</v>
      </c>
      <c r="T1248">
        <v>0.66180460277764097</v>
      </c>
      <c r="U1248">
        <v>-6.5796177840155297</v>
      </c>
      <c r="V1248">
        <v>0.52320869229854305</v>
      </c>
      <c r="W1248">
        <v>0.67361119100209899</v>
      </c>
      <c r="X1248">
        <v>0</v>
      </c>
      <c r="Y1248">
        <v>0</v>
      </c>
    </row>
    <row r="1249" spans="1:25" x14ac:dyDescent="0.2">
      <c r="A1249" t="s">
        <v>4602</v>
      </c>
      <c r="B1249" t="s">
        <v>4603</v>
      </c>
      <c r="C1249" t="s">
        <v>4604</v>
      </c>
      <c r="D1249" t="s">
        <v>4605</v>
      </c>
      <c r="E1249" t="s">
        <v>4603</v>
      </c>
      <c r="F1249" t="s">
        <v>28</v>
      </c>
      <c r="G1249" t="s">
        <v>4603</v>
      </c>
      <c r="H1249" t="str">
        <f>"rpn-11"</f>
        <v>rpn-11</v>
      </c>
      <c r="I1249" t="s">
        <v>4605</v>
      </c>
      <c r="J1249">
        <v>14.565381076797101</v>
      </c>
      <c r="K1249">
        <v>14.626223376635499</v>
      </c>
      <c r="L1249">
        <v>14.6899224052148</v>
      </c>
      <c r="M1249">
        <v>17.426464355751399</v>
      </c>
      <c r="N1249">
        <v>17.118497600794701</v>
      </c>
      <c r="O1249">
        <v>18.0628496306885</v>
      </c>
      <c r="P1249">
        <v>2.9087615761957299</v>
      </c>
      <c r="Q1249">
        <v>2.1681082152326199</v>
      </c>
      <c r="R1249">
        <v>3.6494149371588298</v>
      </c>
      <c r="S1249">
        <v>16.702060418795501</v>
      </c>
      <c r="T1249">
        <v>8.2544024590027494</v>
      </c>
      <c r="U1249">
        <v>7.4659054037400097</v>
      </c>
      <c r="V1249" s="2">
        <v>1.63340729197486E-7</v>
      </c>
      <c r="W1249" s="2">
        <v>1.0241811254148699E-5</v>
      </c>
      <c r="X1249">
        <v>1</v>
      </c>
      <c r="Y1249">
        <v>1</v>
      </c>
    </row>
    <row r="1250" spans="1:25" x14ac:dyDescent="0.2">
      <c r="A1250" t="s">
        <v>4606</v>
      </c>
      <c r="B1250" t="s">
        <v>4607</v>
      </c>
      <c r="C1250" t="s">
        <v>4608</v>
      </c>
      <c r="D1250" t="s">
        <v>4609</v>
      </c>
      <c r="E1250" t="s">
        <v>4607</v>
      </c>
      <c r="F1250" t="s">
        <v>28</v>
      </c>
      <c r="G1250" t="s">
        <v>4607</v>
      </c>
      <c r="H1250" t="str">
        <f>"C16A11.4"</f>
        <v>C16A11.4</v>
      </c>
      <c r="I1250" t="s">
        <v>4609</v>
      </c>
      <c r="J1250" t="s">
        <v>29</v>
      </c>
      <c r="K1250" t="s">
        <v>29</v>
      </c>
      <c r="L1250" t="s">
        <v>29</v>
      </c>
      <c r="M1250" t="s">
        <v>29</v>
      </c>
      <c r="N1250" t="s">
        <v>29</v>
      </c>
      <c r="O1250" t="s">
        <v>29</v>
      </c>
      <c r="P1250" t="s">
        <v>29</v>
      </c>
      <c r="Q1250" t="s">
        <v>29</v>
      </c>
      <c r="R1250" t="s">
        <v>29</v>
      </c>
      <c r="S1250">
        <v>13.0008481405805</v>
      </c>
      <c r="T1250" t="s">
        <v>29</v>
      </c>
      <c r="U1250" t="s">
        <v>29</v>
      </c>
      <c r="V1250" t="s">
        <v>29</v>
      </c>
      <c r="W1250" t="s">
        <v>29</v>
      </c>
      <c r="X1250" t="s">
        <v>29</v>
      </c>
      <c r="Y1250" t="s">
        <v>29</v>
      </c>
    </row>
    <row r="1251" spans="1:25" x14ac:dyDescent="0.2">
      <c r="A1251" t="s">
        <v>4610</v>
      </c>
      <c r="B1251" t="s">
        <v>4611</v>
      </c>
      <c r="C1251" t="s">
        <v>4612</v>
      </c>
      <c r="D1251" t="s">
        <v>4613</v>
      </c>
      <c r="E1251" t="s">
        <v>4611</v>
      </c>
      <c r="F1251" t="s">
        <v>28</v>
      </c>
      <c r="G1251" t="s">
        <v>4611</v>
      </c>
      <c r="H1251" t="str">
        <f>"mrpl-28"</f>
        <v>mrpl-28</v>
      </c>
      <c r="I1251" t="s">
        <v>4613</v>
      </c>
      <c r="J1251" t="s">
        <v>29</v>
      </c>
      <c r="K1251">
        <v>12.224142764910701</v>
      </c>
      <c r="L1251">
        <v>10.9607189924005</v>
      </c>
      <c r="M1251" t="s">
        <v>29</v>
      </c>
      <c r="N1251">
        <v>11.356086846070401</v>
      </c>
      <c r="O1251">
        <v>10.6747278365201</v>
      </c>
      <c r="P1251">
        <v>-0.577023537360288</v>
      </c>
      <c r="Q1251">
        <v>-1.4146440969462799</v>
      </c>
      <c r="R1251">
        <v>0.26059702222569903</v>
      </c>
      <c r="S1251">
        <v>11.754926837660101</v>
      </c>
      <c r="T1251">
        <v>-1.50241950335868</v>
      </c>
      <c r="U1251">
        <v>-5.8456627630578799</v>
      </c>
      <c r="V1251">
        <v>0.159063481346159</v>
      </c>
      <c r="W1251">
        <v>0.30657951571427799</v>
      </c>
      <c r="X1251">
        <v>0</v>
      </c>
      <c r="Y1251">
        <v>0</v>
      </c>
    </row>
    <row r="1252" spans="1:25" x14ac:dyDescent="0.2">
      <c r="A1252" t="s">
        <v>4614</v>
      </c>
      <c r="B1252" t="s">
        <v>4615</v>
      </c>
      <c r="C1252" t="s">
        <v>4616</v>
      </c>
      <c r="D1252" t="s">
        <v>4617</v>
      </c>
      <c r="E1252" t="s">
        <v>4615</v>
      </c>
      <c r="F1252" t="s">
        <v>28</v>
      </c>
      <c r="G1252" t="s">
        <v>4615</v>
      </c>
      <c r="H1252" t="str">
        <f>"pid-3"</f>
        <v>pid-3</v>
      </c>
      <c r="I1252" t="s">
        <v>4617</v>
      </c>
      <c r="J1252">
        <v>13.782880220527399</v>
      </c>
      <c r="K1252">
        <v>13.386783040827799</v>
      </c>
      <c r="L1252">
        <v>13.9721280738344</v>
      </c>
      <c r="M1252">
        <v>13.8910563832727</v>
      </c>
      <c r="N1252">
        <v>13.9252346761201</v>
      </c>
      <c r="O1252">
        <v>13.6748624023533</v>
      </c>
      <c r="P1252">
        <v>0.11645404218543801</v>
      </c>
      <c r="Q1252">
        <v>-0.37779315879143499</v>
      </c>
      <c r="R1252">
        <v>0.610701243162312</v>
      </c>
      <c r="S1252">
        <v>14.152072982087001</v>
      </c>
      <c r="T1252">
        <v>0.49522534406248397</v>
      </c>
      <c r="U1252">
        <v>-7.0284767184242396</v>
      </c>
      <c r="V1252">
        <v>0.62646702181624803</v>
      </c>
      <c r="W1252">
        <v>0.74896483297869498</v>
      </c>
      <c r="X1252">
        <v>0</v>
      </c>
      <c r="Y1252">
        <v>0</v>
      </c>
    </row>
    <row r="1253" spans="1:25" x14ac:dyDescent="0.2">
      <c r="A1253" t="s">
        <v>4618</v>
      </c>
      <c r="B1253" t="s">
        <v>4619</v>
      </c>
      <c r="C1253" t="s">
        <v>4620</v>
      </c>
      <c r="D1253" t="s">
        <v>4621</v>
      </c>
      <c r="E1253" t="s">
        <v>4619</v>
      </c>
      <c r="F1253" t="s">
        <v>28</v>
      </c>
      <c r="G1253" t="s">
        <v>4619</v>
      </c>
      <c r="H1253" t="str">
        <f>"cars-1"</f>
        <v>cars-1</v>
      </c>
      <c r="I1253" t="s">
        <v>4621</v>
      </c>
      <c r="J1253">
        <v>13.0729954820373</v>
      </c>
      <c r="K1253">
        <v>13.0741253075469</v>
      </c>
      <c r="L1253">
        <v>12.7204627215984</v>
      </c>
      <c r="M1253">
        <v>12.981113599942899</v>
      </c>
      <c r="N1253">
        <v>13.114222989328701</v>
      </c>
      <c r="O1253">
        <v>13.5950879918543</v>
      </c>
      <c r="P1253">
        <v>0.27428035664779299</v>
      </c>
      <c r="Q1253">
        <v>-0.171564721150615</v>
      </c>
      <c r="R1253">
        <v>0.72012543444620103</v>
      </c>
      <c r="S1253">
        <v>13.020388875916501</v>
      </c>
      <c r="T1253">
        <v>1.2930140450851</v>
      </c>
      <c r="U1253">
        <v>-6.3177380741298999</v>
      </c>
      <c r="V1253">
        <v>0.21245076494188</v>
      </c>
      <c r="W1253">
        <v>0.37362588230841898</v>
      </c>
      <c r="X1253">
        <v>0</v>
      </c>
      <c r="Y1253">
        <v>0</v>
      </c>
    </row>
    <row r="1254" spans="1:25" x14ac:dyDescent="0.2">
      <c r="A1254" t="s">
        <v>4622</v>
      </c>
      <c r="B1254" t="s">
        <v>4623</v>
      </c>
      <c r="C1254" t="s">
        <v>14400</v>
      </c>
      <c r="D1254" t="s">
        <v>2692</v>
      </c>
      <c r="E1254" t="s">
        <v>4623</v>
      </c>
      <c r="F1254" t="s">
        <v>28</v>
      </c>
      <c r="G1254" t="s">
        <v>4623</v>
      </c>
      <c r="H1254" t="str">
        <f>"H41C03.1"</f>
        <v>H41C03.1</v>
      </c>
      <c r="I1254" t="s">
        <v>2692</v>
      </c>
      <c r="J1254" t="s">
        <v>29</v>
      </c>
      <c r="K1254" t="s">
        <v>29</v>
      </c>
      <c r="L1254" t="s">
        <v>29</v>
      </c>
      <c r="M1254" t="s">
        <v>29</v>
      </c>
      <c r="N1254" t="s">
        <v>29</v>
      </c>
      <c r="O1254" t="s">
        <v>29</v>
      </c>
      <c r="P1254" t="s">
        <v>29</v>
      </c>
      <c r="Q1254" t="s">
        <v>29</v>
      </c>
      <c r="R1254" t="s">
        <v>29</v>
      </c>
      <c r="S1254">
        <v>12.091363962186801</v>
      </c>
      <c r="T1254" t="s">
        <v>29</v>
      </c>
      <c r="U1254" t="s">
        <v>29</v>
      </c>
      <c r="V1254" t="s">
        <v>29</v>
      </c>
      <c r="W1254" t="s">
        <v>29</v>
      </c>
      <c r="X1254" t="s">
        <v>29</v>
      </c>
      <c r="Y1254" t="s">
        <v>29</v>
      </c>
    </row>
    <row r="1255" spans="1:25" x14ac:dyDescent="0.2">
      <c r="A1255" t="s">
        <v>4624</v>
      </c>
      <c r="B1255" t="s">
        <v>4625</v>
      </c>
      <c r="C1255" t="s">
        <v>14401</v>
      </c>
      <c r="D1255" t="s">
        <v>4626</v>
      </c>
      <c r="E1255" t="s">
        <v>4625</v>
      </c>
      <c r="F1255" t="s">
        <v>28</v>
      </c>
      <c r="G1255" t="s">
        <v>4625</v>
      </c>
      <c r="H1255" t="str">
        <f>"F25E5.5"</f>
        <v>F25E5.5</v>
      </c>
      <c r="I1255" t="s">
        <v>4626</v>
      </c>
      <c r="J1255">
        <v>11.4734367600781</v>
      </c>
      <c r="K1255">
        <v>10.9639228986424</v>
      </c>
      <c r="L1255">
        <v>11.213094469220801</v>
      </c>
      <c r="M1255" t="s">
        <v>29</v>
      </c>
      <c r="N1255">
        <v>12.6757357169525</v>
      </c>
      <c r="O1255">
        <v>11.939422184820099</v>
      </c>
      <c r="P1255">
        <v>1.09076090823918</v>
      </c>
      <c r="Q1255">
        <v>0.55334299284125199</v>
      </c>
      <c r="R1255">
        <v>1.62817882363711</v>
      </c>
      <c r="S1255">
        <v>11.675108832775001</v>
      </c>
      <c r="T1255">
        <v>4.2841773224875199</v>
      </c>
      <c r="U1255">
        <v>-0.53729962164787404</v>
      </c>
      <c r="V1255">
        <v>5.0822690072812205E-4</v>
      </c>
      <c r="W1255">
        <v>5.5678240760066002E-3</v>
      </c>
      <c r="X1255">
        <v>1</v>
      </c>
      <c r="Y1255">
        <v>1</v>
      </c>
    </row>
    <row r="1256" spans="1:25" x14ac:dyDescent="0.2">
      <c r="A1256" t="s">
        <v>4627</v>
      </c>
      <c r="B1256" t="s">
        <v>4628</v>
      </c>
      <c r="C1256" t="s">
        <v>14402</v>
      </c>
      <c r="D1256" t="s">
        <v>2432</v>
      </c>
      <c r="E1256" t="s">
        <v>4628</v>
      </c>
      <c r="F1256" t="s">
        <v>28</v>
      </c>
      <c r="G1256" t="s">
        <v>4628</v>
      </c>
      <c r="H1256" t="str">
        <f>"F25E5.1"</f>
        <v>F25E5.1</v>
      </c>
      <c r="I1256" t="s">
        <v>2432</v>
      </c>
      <c r="J1256" t="s">
        <v>29</v>
      </c>
      <c r="K1256" t="s">
        <v>29</v>
      </c>
      <c r="L1256" t="s">
        <v>29</v>
      </c>
      <c r="M1256" t="s">
        <v>29</v>
      </c>
      <c r="N1256" t="s">
        <v>29</v>
      </c>
      <c r="O1256" t="s">
        <v>29</v>
      </c>
      <c r="P1256" t="s">
        <v>29</v>
      </c>
      <c r="Q1256" t="s">
        <v>29</v>
      </c>
      <c r="R1256" t="s">
        <v>29</v>
      </c>
      <c r="S1256">
        <v>10.541427607644501</v>
      </c>
      <c r="T1256" t="s">
        <v>29</v>
      </c>
      <c r="U1256" t="s">
        <v>29</v>
      </c>
      <c r="V1256" t="s">
        <v>29</v>
      </c>
      <c r="W1256" t="s">
        <v>29</v>
      </c>
      <c r="X1256" t="s">
        <v>29</v>
      </c>
      <c r="Y1256" t="s">
        <v>29</v>
      </c>
    </row>
    <row r="1257" spans="1:25" x14ac:dyDescent="0.2">
      <c r="A1257" t="s">
        <v>4629</v>
      </c>
      <c r="B1257" t="s">
        <v>4630</v>
      </c>
      <c r="C1257" t="s">
        <v>14403</v>
      </c>
      <c r="D1257" t="s">
        <v>4631</v>
      </c>
      <c r="E1257" t="s">
        <v>4630</v>
      </c>
      <c r="F1257" t="s">
        <v>28</v>
      </c>
      <c r="G1257" t="s">
        <v>4630</v>
      </c>
      <c r="H1257" t="str">
        <f>"M01G5.1"</f>
        <v>M01G5.1</v>
      </c>
      <c r="I1257" t="s">
        <v>4631</v>
      </c>
      <c r="J1257">
        <v>12.6754994202355</v>
      </c>
      <c r="K1257">
        <v>12.852646011833199</v>
      </c>
      <c r="L1257">
        <v>13.2325250203775</v>
      </c>
      <c r="M1257" t="s">
        <v>29</v>
      </c>
      <c r="N1257">
        <v>12.6823239421556</v>
      </c>
      <c r="O1257">
        <v>13.120172851072301</v>
      </c>
      <c r="P1257">
        <v>-1.8975087534821401E-2</v>
      </c>
      <c r="Q1257">
        <v>-0.72143994079212104</v>
      </c>
      <c r="R1257">
        <v>0.68348976572247899</v>
      </c>
      <c r="S1257">
        <v>13.800006706628199</v>
      </c>
      <c r="T1257">
        <v>-5.7017635237526398E-2</v>
      </c>
      <c r="U1257">
        <v>-7.0437662575556299</v>
      </c>
      <c r="V1257">
        <v>0.95520005549436904</v>
      </c>
      <c r="W1257">
        <v>0.97351708970001305</v>
      </c>
      <c r="X1257">
        <v>0</v>
      </c>
      <c r="Y1257">
        <v>0</v>
      </c>
    </row>
    <row r="1258" spans="1:25" x14ac:dyDescent="0.2">
      <c r="A1258" t="s">
        <v>4632</v>
      </c>
      <c r="B1258" t="s">
        <v>4633</v>
      </c>
      <c r="C1258" t="s">
        <v>4634</v>
      </c>
      <c r="D1258" t="s">
        <v>4635</v>
      </c>
      <c r="E1258" t="s">
        <v>4633</v>
      </c>
      <c r="F1258" t="s">
        <v>28</v>
      </c>
      <c r="G1258" t="s">
        <v>4633</v>
      </c>
      <c r="H1258" t="str">
        <f>"tmem-120"</f>
        <v>tmem-120</v>
      </c>
      <c r="I1258" t="s">
        <v>4635</v>
      </c>
      <c r="J1258">
        <v>14.8953152470538</v>
      </c>
      <c r="K1258">
        <v>14.7864015901195</v>
      </c>
      <c r="L1258">
        <v>14.7095261130933</v>
      </c>
      <c r="M1258">
        <v>14.3876398372379</v>
      </c>
      <c r="N1258">
        <v>14.380670182406901</v>
      </c>
      <c r="O1258">
        <v>14.438257962651299</v>
      </c>
      <c r="P1258">
        <v>-0.39489165599020198</v>
      </c>
      <c r="Q1258">
        <v>-0.78895034765008498</v>
      </c>
      <c r="R1258">
        <v>-8.3296433031942996E-4</v>
      </c>
      <c r="S1258">
        <v>14.487821641423199</v>
      </c>
      <c r="T1258">
        <v>-2.1062482594174599</v>
      </c>
      <c r="U1258">
        <v>-5.0779441346077299</v>
      </c>
      <c r="V1258">
        <v>4.9566913571431899E-2</v>
      </c>
      <c r="W1258">
        <v>0.135630171118858</v>
      </c>
      <c r="X1258">
        <v>0</v>
      </c>
      <c r="Y1258">
        <v>0</v>
      </c>
    </row>
    <row r="1259" spans="1:25" x14ac:dyDescent="0.2">
      <c r="A1259" t="s">
        <v>4636</v>
      </c>
      <c r="B1259" t="s">
        <v>4637</v>
      </c>
      <c r="C1259" t="s">
        <v>4638</v>
      </c>
      <c r="D1259" t="s">
        <v>2221</v>
      </c>
      <c r="E1259" t="s">
        <v>4637</v>
      </c>
      <c r="F1259" t="s">
        <v>28</v>
      </c>
      <c r="G1259" t="s">
        <v>4639</v>
      </c>
      <c r="H1259" t="str">
        <f>"ttbk-2"</f>
        <v>ttbk-2</v>
      </c>
      <c r="I1259" t="s">
        <v>2221</v>
      </c>
      <c r="J1259">
        <v>12.2859815790422</v>
      </c>
      <c r="K1259" t="s">
        <v>29</v>
      </c>
      <c r="L1259">
        <v>12.746537568168501</v>
      </c>
      <c r="M1259" t="s">
        <v>29</v>
      </c>
      <c r="N1259" t="s">
        <v>29</v>
      </c>
      <c r="O1259" t="s">
        <v>29</v>
      </c>
      <c r="P1259" t="s">
        <v>29</v>
      </c>
      <c r="Q1259" t="s">
        <v>29</v>
      </c>
      <c r="R1259" t="s">
        <v>29</v>
      </c>
      <c r="S1259">
        <v>12.116651915548299</v>
      </c>
      <c r="T1259" t="s">
        <v>29</v>
      </c>
      <c r="U1259" t="s">
        <v>29</v>
      </c>
      <c r="V1259" t="s">
        <v>29</v>
      </c>
      <c r="W1259" t="s">
        <v>29</v>
      </c>
      <c r="X1259" t="s">
        <v>29</v>
      </c>
      <c r="Y1259" t="s">
        <v>29</v>
      </c>
    </row>
    <row r="1260" spans="1:25" x14ac:dyDescent="0.2">
      <c r="A1260" t="s">
        <v>4640</v>
      </c>
      <c r="B1260" t="s">
        <v>4641</v>
      </c>
      <c r="C1260" t="s">
        <v>4642</v>
      </c>
      <c r="D1260" t="s">
        <v>4643</v>
      </c>
      <c r="E1260" t="s">
        <v>4641</v>
      </c>
      <c r="F1260" t="s">
        <v>28</v>
      </c>
      <c r="G1260" t="s">
        <v>4641</v>
      </c>
      <c r="H1260" t="str">
        <f>"glh-4"</f>
        <v>glh-4</v>
      </c>
      <c r="I1260" t="s">
        <v>4643</v>
      </c>
      <c r="J1260">
        <v>13.765366989373801</v>
      </c>
      <c r="K1260">
        <v>13.274297254613501</v>
      </c>
      <c r="L1260">
        <v>13.7076879473889</v>
      </c>
      <c r="M1260" t="s">
        <v>29</v>
      </c>
      <c r="N1260">
        <v>14.4905724049447</v>
      </c>
      <c r="O1260">
        <v>13.6353171078629</v>
      </c>
      <c r="P1260">
        <v>0.48049402594505097</v>
      </c>
      <c r="Q1260">
        <v>-0.2083593519875</v>
      </c>
      <c r="R1260">
        <v>1.1693474038775999</v>
      </c>
      <c r="S1260">
        <v>13.9294189003387</v>
      </c>
      <c r="T1260">
        <v>1.47235051686853</v>
      </c>
      <c r="U1260">
        <v>-5.97385467064215</v>
      </c>
      <c r="V1260">
        <v>0.15931027302135001</v>
      </c>
      <c r="W1260">
        <v>0.306854493198639</v>
      </c>
      <c r="X1260">
        <v>0</v>
      </c>
      <c r="Y1260">
        <v>0</v>
      </c>
    </row>
    <row r="1261" spans="1:25" x14ac:dyDescent="0.2">
      <c r="A1261" t="s">
        <v>4644</v>
      </c>
      <c r="B1261" t="s">
        <v>4645</v>
      </c>
      <c r="C1261" t="s">
        <v>4646</v>
      </c>
      <c r="D1261" t="s">
        <v>4647</v>
      </c>
      <c r="E1261" t="s">
        <v>4645</v>
      </c>
      <c r="F1261" t="s">
        <v>28</v>
      </c>
      <c r="G1261" t="s">
        <v>4645</v>
      </c>
      <c r="H1261" t="str">
        <f>"hsp-16.49"</f>
        <v>hsp-16.49</v>
      </c>
      <c r="I1261" t="s">
        <v>4647</v>
      </c>
      <c r="J1261">
        <v>16.422122160866301</v>
      </c>
      <c r="K1261">
        <v>16.584233476048301</v>
      </c>
      <c r="L1261">
        <v>16.208164708321199</v>
      </c>
      <c r="M1261" t="s">
        <v>29</v>
      </c>
      <c r="N1261">
        <v>15.4917271304052</v>
      </c>
      <c r="O1261">
        <v>15.5154381134539</v>
      </c>
      <c r="P1261">
        <v>-0.90125749314904602</v>
      </c>
      <c r="Q1261">
        <v>-1.6628554606197701</v>
      </c>
      <c r="R1261">
        <v>-0.13965952567831899</v>
      </c>
      <c r="S1261">
        <v>14.997029692673101</v>
      </c>
      <c r="T1261">
        <v>-2.4978889414529699</v>
      </c>
      <c r="U1261">
        <v>-4.2577843706792304</v>
      </c>
      <c r="V1261">
        <v>2.31191744197062E-2</v>
      </c>
      <c r="W1261">
        <v>8.0821123386564706E-2</v>
      </c>
      <c r="X1261">
        <v>0</v>
      </c>
      <c r="Y1261">
        <v>0</v>
      </c>
    </row>
    <row r="1262" spans="1:25" x14ac:dyDescent="0.2">
      <c r="A1262" t="s">
        <v>4648</v>
      </c>
      <c r="B1262" t="s">
        <v>4649</v>
      </c>
      <c r="C1262" t="s">
        <v>4650</v>
      </c>
      <c r="D1262" t="s">
        <v>4651</v>
      </c>
      <c r="E1262" t="s">
        <v>4649</v>
      </c>
      <c r="F1262" t="s">
        <v>28</v>
      </c>
      <c r="G1262" t="s">
        <v>4649</v>
      </c>
      <c r="H1262" t="str">
        <f>"unc-54"</f>
        <v>unc-54</v>
      </c>
      <c r="I1262" t="s">
        <v>4651</v>
      </c>
      <c r="J1262">
        <v>20.011289348706601</v>
      </c>
      <c r="K1262">
        <v>19.687491054812099</v>
      </c>
      <c r="L1262">
        <v>19.380054079670199</v>
      </c>
      <c r="M1262">
        <v>19.376274990794698</v>
      </c>
      <c r="N1262">
        <v>18.973513444915</v>
      </c>
      <c r="O1262">
        <v>19.054628344286598</v>
      </c>
      <c r="P1262">
        <v>-0.558139234397522</v>
      </c>
      <c r="Q1262">
        <v>-1.0850207918902499</v>
      </c>
      <c r="R1262">
        <v>-3.1257676904791101E-2</v>
      </c>
      <c r="S1262">
        <v>18.9534452590946</v>
      </c>
      <c r="T1262">
        <v>-2.2264967641999398</v>
      </c>
      <c r="U1262">
        <v>-4.8616957857433398</v>
      </c>
      <c r="V1262">
        <v>3.9069610154083501E-2</v>
      </c>
      <c r="W1262">
        <v>0.116418747344878</v>
      </c>
      <c r="X1262">
        <v>0</v>
      </c>
      <c r="Y1262">
        <v>0</v>
      </c>
    </row>
    <row r="1263" spans="1:25" x14ac:dyDescent="0.2">
      <c r="A1263" t="s">
        <v>4652</v>
      </c>
      <c r="B1263" t="s">
        <v>4653</v>
      </c>
      <c r="C1263" t="s">
        <v>4654</v>
      </c>
      <c r="D1263" t="s">
        <v>4655</v>
      </c>
      <c r="E1263" t="s">
        <v>4653</v>
      </c>
      <c r="F1263" t="s">
        <v>28</v>
      </c>
      <c r="G1263" t="s">
        <v>4653</v>
      </c>
      <c r="H1263" t="str">
        <f>"myo-1"</f>
        <v>myo-1</v>
      </c>
      <c r="I1263" t="s">
        <v>4655</v>
      </c>
      <c r="J1263">
        <v>16.1954882280282</v>
      </c>
      <c r="K1263">
        <v>16.176539743105501</v>
      </c>
      <c r="L1263">
        <v>15.6214431993634</v>
      </c>
      <c r="M1263">
        <v>16.5303314764082</v>
      </c>
      <c r="N1263">
        <v>15.4336457306754</v>
      </c>
      <c r="O1263">
        <v>15.6600845063269</v>
      </c>
      <c r="P1263">
        <v>-0.123136485695511</v>
      </c>
      <c r="Q1263">
        <v>-0.77567020074578596</v>
      </c>
      <c r="R1263">
        <v>0.52939722935476397</v>
      </c>
      <c r="S1263">
        <v>15.2721912160247</v>
      </c>
      <c r="T1263">
        <v>-0.39662155433990698</v>
      </c>
      <c r="U1263">
        <v>-7.0741104772334999</v>
      </c>
      <c r="V1263">
        <v>0.69633647655172204</v>
      </c>
      <c r="W1263">
        <v>0.80285743208056604</v>
      </c>
      <c r="X1263">
        <v>0</v>
      </c>
      <c r="Y1263">
        <v>0</v>
      </c>
    </row>
    <row r="1264" spans="1:25" x14ac:dyDescent="0.2">
      <c r="A1264" t="s">
        <v>4656</v>
      </c>
      <c r="B1264" t="s">
        <v>4657</v>
      </c>
      <c r="C1264" t="s">
        <v>4658</v>
      </c>
      <c r="D1264" t="s">
        <v>4659</v>
      </c>
      <c r="E1264" t="s">
        <v>4657</v>
      </c>
      <c r="F1264" t="s">
        <v>28</v>
      </c>
      <c r="G1264" t="s">
        <v>4657</v>
      </c>
      <c r="H1264" t="str">
        <f>"abl-1"</f>
        <v>abl-1</v>
      </c>
      <c r="I1264" t="s">
        <v>4659</v>
      </c>
      <c r="J1264">
        <v>12.956576812995101</v>
      </c>
      <c r="K1264">
        <v>9.2148242139315393</v>
      </c>
      <c r="L1264" t="s">
        <v>29</v>
      </c>
      <c r="M1264" t="s">
        <v>29</v>
      </c>
      <c r="N1264" t="s">
        <v>29</v>
      </c>
      <c r="O1264" t="s">
        <v>29</v>
      </c>
      <c r="P1264" t="s">
        <v>29</v>
      </c>
      <c r="Q1264" t="s">
        <v>29</v>
      </c>
      <c r="R1264" t="s">
        <v>29</v>
      </c>
      <c r="S1264">
        <v>10.9409659470099</v>
      </c>
      <c r="T1264" t="s">
        <v>29</v>
      </c>
      <c r="U1264" t="s">
        <v>29</v>
      </c>
      <c r="V1264" t="s">
        <v>29</v>
      </c>
      <c r="W1264" t="s">
        <v>29</v>
      </c>
      <c r="X1264" t="s">
        <v>29</v>
      </c>
      <c r="Y1264" t="s">
        <v>29</v>
      </c>
    </row>
    <row r="1265" spans="1:25" x14ac:dyDescent="0.2">
      <c r="A1265" t="s">
        <v>4660</v>
      </c>
      <c r="B1265" t="s">
        <v>4661</v>
      </c>
      <c r="C1265" t="s">
        <v>4662</v>
      </c>
      <c r="D1265" t="s">
        <v>4663</v>
      </c>
      <c r="E1265" t="s">
        <v>4661</v>
      </c>
      <c r="F1265" t="s">
        <v>28</v>
      </c>
      <c r="G1265" t="s">
        <v>4664</v>
      </c>
      <c r="H1265" t="str">
        <f>"his-44"</f>
        <v>his-44</v>
      </c>
      <c r="I1265" t="s">
        <v>4665</v>
      </c>
      <c r="J1265">
        <v>16.456692826900099</v>
      </c>
      <c r="K1265">
        <v>16.743368642127798</v>
      </c>
      <c r="L1265">
        <v>16.552147852151599</v>
      </c>
      <c r="M1265">
        <v>16.6236082917024</v>
      </c>
      <c r="N1265">
        <v>15.9530599539381</v>
      </c>
      <c r="O1265">
        <v>15.819525950369499</v>
      </c>
      <c r="P1265">
        <v>-0.45200504172311901</v>
      </c>
      <c r="Q1265">
        <v>-0.96294108397116895</v>
      </c>
      <c r="R1265">
        <v>5.8931000524931498E-2</v>
      </c>
      <c r="S1265">
        <v>16.196743187093901</v>
      </c>
      <c r="T1265">
        <v>-1.8593846980337001</v>
      </c>
      <c r="U1265">
        <v>-5.4983839592471897</v>
      </c>
      <c r="V1265">
        <v>7.9495074558057793E-2</v>
      </c>
      <c r="W1265">
        <v>0.18652228083009301</v>
      </c>
      <c r="X1265">
        <v>0</v>
      </c>
      <c r="Y1265">
        <v>0</v>
      </c>
    </row>
    <row r="1266" spans="1:25" x14ac:dyDescent="0.2">
      <c r="A1266" t="s">
        <v>4666</v>
      </c>
      <c r="B1266" t="s">
        <v>4667</v>
      </c>
      <c r="C1266" t="s">
        <v>4668</v>
      </c>
      <c r="D1266" t="s">
        <v>4669</v>
      </c>
      <c r="E1266" t="s">
        <v>4667</v>
      </c>
      <c r="F1266" t="s">
        <v>28</v>
      </c>
      <c r="G1266" t="s">
        <v>4667</v>
      </c>
      <c r="H1266" t="str">
        <f>"gpd-1"</f>
        <v>gpd-1</v>
      </c>
      <c r="I1266" t="s">
        <v>4669</v>
      </c>
      <c r="J1266">
        <v>13.456051523412</v>
      </c>
      <c r="K1266">
        <v>13.6777562745357</v>
      </c>
      <c r="L1266">
        <v>13.9710464878087</v>
      </c>
      <c r="M1266" t="s">
        <v>29</v>
      </c>
      <c r="N1266">
        <v>11.8142730410434</v>
      </c>
      <c r="O1266">
        <v>11.8195346090912</v>
      </c>
      <c r="P1266">
        <v>-1.88471427018486</v>
      </c>
      <c r="Q1266">
        <v>-2.9635314572824298</v>
      </c>
      <c r="R1266">
        <v>-0.80589708308728802</v>
      </c>
      <c r="S1266">
        <v>13.204178475843801</v>
      </c>
      <c r="T1266">
        <v>-3.7055031935142702</v>
      </c>
      <c r="U1266">
        <v>-1.83985150201931</v>
      </c>
      <c r="V1266">
        <v>1.9387669869752001E-3</v>
      </c>
      <c r="W1266">
        <v>1.43076139298721E-2</v>
      </c>
      <c r="X1266">
        <v>-1</v>
      </c>
      <c r="Y1266">
        <v>-1</v>
      </c>
    </row>
    <row r="1267" spans="1:25" x14ac:dyDescent="0.2">
      <c r="A1267" t="s">
        <v>4670</v>
      </c>
      <c r="B1267" t="s">
        <v>4671</v>
      </c>
      <c r="C1267" t="s">
        <v>4672</v>
      </c>
      <c r="D1267" t="s">
        <v>4673</v>
      </c>
      <c r="E1267" t="s">
        <v>4671</v>
      </c>
      <c r="F1267" t="s">
        <v>28</v>
      </c>
      <c r="G1267" t="s">
        <v>4671</v>
      </c>
      <c r="H1267" t="str">
        <f>"vit-2"</f>
        <v>vit-2</v>
      </c>
      <c r="I1267" t="s">
        <v>4673</v>
      </c>
      <c r="J1267">
        <v>18.623183227556101</v>
      </c>
      <c r="K1267">
        <v>18.417987263781502</v>
      </c>
      <c r="L1267">
        <v>18.620463188672499</v>
      </c>
      <c r="M1267">
        <v>18.223599855813401</v>
      </c>
      <c r="N1267">
        <v>18.069296070343601</v>
      </c>
      <c r="O1267">
        <v>18.1743203146825</v>
      </c>
      <c r="P1267">
        <v>-0.39813914639018599</v>
      </c>
      <c r="Q1267">
        <v>-0.83973531190583495</v>
      </c>
      <c r="R1267">
        <v>4.3457019125463597E-2</v>
      </c>
      <c r="S1267">
        <v>18.781824332830102</v>
      </c>
      <c r="T1267">
        <v>-1.89496895982012</v>
      </c>
      <c r="U1267">
        <v>-5.4398775219433197</v>
      </c>
      <c r="V1267">
        <v>7.4370235855835007E-2</v>
      </c>
      <c r="W1267">
        <v>0.17884222948033701</v>
      </c>
      <c r="X1267">
        <v>0</v>
      </c>
      <c r="Y1267">
        <v>0</v>
      </c>
    </row>
    <row r="1268" spans="1:25" x14ac:dyDescent="0.2">
      <c r="A1268" t="s">
        <v>4674</v>
      </c>
      <c r="B1268" t="s">
        <v>4675</v>
      </c>
      <c r="C1268" t="s">
        <v>4676</v>
      </c>
      <c r="D1268" t="s">
        <v>4677</v>
      </c>
      <c r="E1268" t="s">
        <v>4675</v>
      </c>
      <c r="F1268" t="s">
        <v>28</v>
      </c>
      <c r="G1268" t="s">
        <v>4675</v>
      </c>
      <c r="H1268" t="str">
        <f>"vit-5"</f>
        <v>vit-5</v>
      </c>
      <c r="I1268" t="s">
        <v>4677</v>
      </c>
      <c r="J1268">
        <v>21.2356531440543</v>
      </c>
      <c r="K1268">
        <v>20.8993076448888</v>
      </c>
      <c r="L1268">
        <v>21.3735875639812</v>
      </c>
      <c r="M1268">
        <v>20.871675699161301</v>
      </c>
      <c r="N1268">
        <v>20.862962817947299</v>
      </c>
      <c r="O1268">
        <v>21.089477621319599</v>
      </c>
      <c r="P1268">
        <v>-0.22814407149868299</v>
      </c>
      <c r="Q1268">
        <v>-0.58927535885194204</v>
      </c>
      <c r="R1268">
        <v>0.13298721585457601</v>
      </c>
      <c r="S1268">
        <v>21.535431999671101</v>
      </c>
      <c r="T1268">
        <v>-1.3278119866678599</v>
      </c>
      <c r="U1268">
        <v>-6.2740933790718598</v>
      </c>
      <c r="V1268">
        <v>0.200929738600167</v>
      </c>
      <c r="W1268">
        <v>0.36018244504543301</v>
      </c>
      <c r="X1268">
        <v>0</v>
      </c>
      <c r="Y1268">
        <v>0</v>
      </c>
    </row>
    <row r="1269" spans="1:25" x14ac:dyDescent="0.2">
      <c r="A1269" t="s">
        <v>4678</v>
      </c>
      <c r="B1269" t="s">
        <v>4679</v>
      </c>
      <c r="C1269" t="s">
        <v>4680</v>
      </c>
      <c r="D1269" t="s">
        <v>4681</v>
      </c>
      <c r="E1269" t="s">
        <v>4679</v>
      </c>
      <c r="F1269" t="s">
        <v>28</v>
      </c>
      <c r="G1269" t="s">
        <v>4679</v>
      </c>
      <c r="H1269" t="str">
        <f>"hsp-16.2"</f>
        <v>hsp-16.2</v>
      </c>
      <c r="I1269" t="s">
        <v>4681</v>
      </c>
      <c r="J1269">
        <v>15.4271147588888</v>
      </c>
      <c r="K1269">
        <v>15.5283011395725</v>
      </c>
      <c r="L1269">
        <v>15.2784373344704</v>
      </c>
      <c r="M1269">
        <v>13.3384882880031</v>
      </c>
      <c r="N1269">
        <v>13.2144913527196</v>
      </c>
      <c r="O1269">
        <v>13.4178573436941</v>
      </c>
      <c r="P1269">
        <v>-2.08767208283829</v>
      </c>
      <c r="Q1269">
        <v>-2.9459819780394998</v>
      </c>
      <c r="R1269">
        <v>-1.2293621876370899</v>
      </c>
      <c r="S1269">
        <v>13.2221112025615</v>
      </c>
      <c r="T1269">
        <v>-5.1590257328109201</v>
      </c>
      <c r="U1269">
        <v>1.0700031850952001</v>
      </c>
      <c r="V1269" s="2">
        <v>9.7084416232630306E-5</v>
      </c>
      <c r="W1269">
        <v>1.7070839021659299E-3</v>
      </c>
      <c r="X1269">
        <v>-1</v>
      </c>
      <c r="Y1269">
        <v>-1</v>
      </c>
    </row>
    <row r="1270" spans="1:25" x14ac:dyDescent="0.2">
      <c r="A1270" t="s">
        <v>4682</v>
      </c>
      <c r="B1270" t="s">
        <v>4683</v>
      </c>
      <c r="C1270" t="s">
        <v>4684</v>
      </c>
      <c r="D1270" t="s">
        <v>4685</v>
      </c>
      <c r="E1270" t="s">
        <v>4683</v>
      </c>
      <c r="F1270" t="s">
        <v>28</v>
      </c>
      <c r="G1270" t="s">
        <v>4683</v>
      </c>
      <c r="H1270" t="str">
        <f>"hsp-1"</f>
        <v>hsp-1</v>
      </c>
      <c r="I1270" t="s">
        <v>4685</v>
      </c>
      <c r="J1270">
        <v>19.849484695166101</v>
      </c>
      <c r="K1270">
        <v>19.7601922412017</v>
      </c>
      <c r="L1270">
        <v>19.697196093757601</v>
      </c>
      <c r="M1270">
        <v>20.1568245079525</v>
      </c>
      <c r="N1270">
        <v>20.568665760982299</v>
      </c>
      <c r="O1270">
        <v>20.712735631983101</v>
      </c>
      <c r="P1270">
        <v>0.71045095693082105</v>
      </c>
      <c r="Q1270">
        <v>0.33583708050529198</v>
      </c>
      <c r="R1270">
        <v>1.08506483335635</v>
      </c>
      <c r="S1270">
        <v>20.1611865478936</v>
      </c>
      <c r="T1270">
        <v>3.9860501301742901</v>
      </c>
      <c r="U1270">
        <v>-1.2027238314968101</v>
      </c>
      <c r="V1270">
        <v>8.7499333659344898E-4</v>
      </c>
      <c r="W1270">
        <v>8.2647607786567202E-3</v>
      </c>
      <c r="X1270">
        <v>0</v>
      </c>
      <c r="Y1270">
        <v>0</v>
      </c>
    </row>
    <row r="1271" spans="1:25" x14ac:dyDescent="0.2">
      <c r="A1271" t="s">
        <v>4686</v>
      </c>
      <c r="B1271" t="s">
        <v>4687</v>
      </c>
      <c r="C1271" t="s">
        <v>4688</v>
      </c>
      <c r="D1271" t="s">
        <v>4689</v>
      </c>
      <c r="E1271" t="s">
        <v>4687</v>
      </c>
      <c r="F1271" t="s">
        <v>28</v>
      </c>
      <c r="G1271" t="s">
        <v>4690</v>
      </c>
      <c r="H1271" t="str">
        <f>"his-68"</f>
        <v>his-68</v>
      </c>
      <c r="I1271" t="s">
        <v>4689</v>
      </c>
      <c r="J1271">
        <v>17.4510078693182</v>
      </c>
      <c r="K1271">
        <v>18.260683334545799</v>
      </c>
      <c r="L1271">
        <v>17.908466773640999</v>
      </c>
      <c r="M1271">
        <v>20.851046441223101</v>
      </c>
      <c r="N1271">
        <v>18.896792271351401</v>
      </c>
      <c r="O1271">
        <v>18.044892507750198</v>
      </c>
      <c r="P1271">
        <v>1.39085774760656</v>
      </c>
      <c r="Q1271">
        <v>0.111385927444792</v>
      </c>
      <c r="R1271">
        <v>2.6703295677683401</v>
      </c>
      <c r="S1271">
        <v>17.8874592388214</v>
      </c>
      <c r="T1271">
        <v>2.2847805973061801</v>
      </c>
      <c r="U1271">
        <v>-4.7544411794877304</v>
      </c>
      <c r="V1271">
        <v>3.4755247538386998E-2</v>
      </c>
      <c r="W1271">
        <v>0.10781443631118599</v>
      </c>
      <c r="X1271">
        <v>1</v>
      </c>
      <c r="Y1271">
        <v>0</v>
      </c>
    </row>
    <row r="1272" spans="1:25" x14ac:dyDescent="0.2">
      <c r="A1272" t="s">
        <v>4691</v>
      </c>
      <c r="B1272" t="s">
        <v>4692</v>
      </c>
      <c r="C1272" t="s">
        <v>4693</v>
      </c>
      <c r="D1272" t="s">
        <v>4694</v>
      </c>
      <c r="E1272" t="s">
        <v>4692</v>
      </c>
      <c r="F1272" t="s">
        <v>28</v>
      </c>
      <c r="G1272" t="s">
        <v>4695</v>
      </c>
      <c r="H1272" t="str">
        <f>"ubq-1"</f>
        <v>ubq-1</v>
      </c>
      <c r="I1272" t="s">
        <v>4696</v>
      </c>
      <c r="J1272">
        <v>16.775693036027999</v>
      </c>
      <c r="K1272">
        <v>16.999638625921801</v>
      </c>
      <c r="L1272">
        <v>16.7205657824735</v>
      </c>
      <c r="M1272">
        <v>17.918201060617399</v>
      </c>
      <c r="N1272">
        <v>17.5601029071677</v>
      </c>
      <c r="O1272">
        <v>17.070470382765699</v>
      </c>
      <c r="P1272">
        <v>0.68429230204249003</v>
      </c>
      <c r="Q1272">
        <v>0.20664405898778901</v>
      </c>
      <c r="R1272">
        <v>1.16194054509719</v>
      </c>
      <c r="S1272">
        <v>17.418736181101</v>
      </c>
      <c r="T1272">
        <v>3.0111055750365301</v>
      </c>
      <c r="U1272">
        <v>-3.3122828824862398</v>
      </c>
      <c r="V1272">
        <v>7.5379190955683299E-3</v>
      </c>
      <c r="W1272">
        <v>3.7300323378159403E-2</v>
      </c>
      <c r="X1272">
        <v>0</v>
      </c>
      <c r="Y1272">
        <v>0</v>
      </c>
    </row>
    <row r="1273" spans="1:25" x14ac:dyDescent="0.2">
      <c r="A1273" t="s">
        <v>4697</v>
      </c>
      <c r="B1273" t="s">
        <v>4698</v>
      </c>
      <c r="C1273" t="s">
        <v>4699</v>
      </c>
      <c r="D1273" t="s">
        <v>4700</v>
      </c>
      <c r="E1273" t="s">
        <v>4698</v>
      </c>
      <c r="F1273" t="s">
        <v>28</v>
      </c>
      <c r="G1273" t="s">
        <v>4701</v>
      </c>
      <c r="H1273" t="str">
        <f>"act-1"</f>
        <v>act-1</v>
      </c>
      <c r="I1273" t="s">
        <v>4702</v>
      </c>
      <c r="J1273">
        <v>18.942611603166</v>
      </c>
      <c r="K1273">
        <v>19.335040253449399</v>
      </c>
      <c r="L1273">
        <v>19.5912173876096</v>
      </c>
      <c r="M1273">
        <v>20.984717160019699</v>
      </c>
      <c r="N1273">
        <v>21.166275903868598</v>
      </c>
      <c r="O1273">
        <v>19.795817286703901</v>
      </c>
      <c r="P1273">
        <v>1.35931370212236</v>
      </c>
      <c r="Q1273">
        <v>0.257889319585204</v>
      </c>
      <c r="R1273">
        <v>2.4607380846595199</v>
      </c>
      <c r="S1273">
        <v>19.3663172424097</v>
      </c>
      <c r="T1273">
        <v>2.5939256368328798</v>
      </c>
      <c r="U1273">
        <v>-4.1620221511754103</v>
      </c>
      <c r="V1273">
        <v>1.8389872152737099E-2</v>
      </c>
      <c r="W1273">
        <v>6.9720824392824204E-2</v>
      </c>
      <c r="X1273">
        <v>1</v>
      </c>
      <c r="Y1273">
        <v>0</v>
      </c>
    </row>
    <row r="1274" spans="1:25" x14ac:dyDescent="0.2">
      <c r="A1274" t="s">
        <v>4703</v>
      </c>
      <c r="B1274" t="s">
        <v>4704</v>
      </c>
      <c r="C1274" t="s">
        <v>4705</v>
      </c>
      <c r="D1274" t="s">
        <v>4706</v>
      </c>
      <c r="E1274" t="s">
        <v>4704</v>
      </c>
      <c r="F1274" t="s">
        <v>28</v>
      </c>
      <c r="G1274" t="s">
        <v>4704</v>
      </c>
      <c r="H1274" t="str">
        <f>"unc-15"</f>
        <v>unc-15</v>
      </c>
      <c r="I1274" t="s">
        <v>4706</v>
      </c>
      <c r="J1274">
        <v>15.5826365180073</v>
      </c>
      <c r="K1274">
        <v>15.445733196581299</v>
      </c>
      <c r="L1274">
        <v>15.6856706222116</v>
      </c>
      <c r="M1274">
        <v>15.438553598774099</v>
      </c>
      <c r="N1274">
        <v>14.925159924820299</v>
      </c>
      <c r="O1274">
        <v>14.4079406235201</v>
      </c>
      <c r="P1274">
        <v>-0.64746206322857902</v>
      </c>
      <c r="Q1274">
        <v>-1.2375702292042301</v>
      </c>
      <c r="R1274">
        <v>-5.7353897252923697E-2</v>
      </c>
      <c r="S1274">
        <v>15.258612495570601</v>
      </c>
      <c r="T1274">
        <v>-2.3060844934692502</v>
      </c>
      <c r="U1274">
        <v>-4.7148592625366801</v>
      </c>
      <c r="V1274">
        <v>3.3291504952445698E-2</v>
      </c>
      <c r="W1274">
        <v>0.10437240967538</v>
      </c>
      <c r="X1274">
        <v>0</v>
      </c>
      <c r="Y1274">
        <v>0</v>
      </c>
    </row>
    <row r="1275" spans="1:25" x14ac:dyDescent="0.2">
      <c r="A1275" t="s">
        <v>4707</v>
      </c>
      <c r="B1275" t="s">
        <v>4708</v>
      </c>
      <c r="C1275" t="s">
        <v>4709</v>
      </c>
      <c r="D1275" t="s">
        <v>4710</v>
      </c>
      <c r="E1275" t="s">
        <v>4708</v>
      </c>
      <c r="F1275" t="s">
        <v>28</v>
      </c>
      <c r="G1275" t="s">
        <v>4708</v>
      </c>
      <c r="H1275" t="str">
        <f>"his-24"</f>
        <v>his-24</v>
      </c>
      <c r="I1275" t="s">
        <v>4710</v>
      </c>
      <c r="J1275">
        <v>15.115367897492501</v>
      </c>
      <c r="K1275">
        <v>15.4442800937942</v>
      </c>
      <c r="L1275">
        <v>15.4318250506205</v>
      </c>
      <c r="M1275">
        <v>15.110777516842001</v>
      </c>
      <c r="N1275">
        <v>12.423392939555599</v>
      </c>
      <c r="O1275">
        <v>11.7343566007925</v>
      </c>
      <c r="P1275">
        <v>-2.2409819949057099</v>
      </c>
      <c r="Q1275">
        <v>-3.7409718609537199</v>
      </c>
      <c r="R1275">
        <v>-0.74099212885768695</v>
      </c>
      <c r="S1275">
        <v>13.959864453579399</v>
      </c>
      <c r="T1275">
        <v>-3.14009332293762</v>
      </c>
      <c r="U1275">
        <v>-3.04076376892613</v>
      </c>
      <c r="V1275">
        <v>5.6903583962268902E-3</v>
      </c>
      <c r="W1275">
        <v>3.0713344677070799E-2</v>
      </c>
      <c r="X1275">
        <v>-1</v>
      </c>
      <c r="Y1275">
        <v>-1</v>
      </c>
    </row>
    <row r="1276" spans="1:25" x14ac:dyDescent="0.2">
      <c r="A1276" t="s">
        <v>4711</v>
      </c>
      <c r="B1276" t="s">
        <v>4712</v>
      </c>
      <c r="C1276" t="s">
        <v>4713</v>
      </c>
      <c r="D1276" t="s">
        <v>4714</v>
      </c>
      <c r="E1276" t="s">
        <v>4712</v>
      </c>
      <c r="F1276" t="s">
        <v>28</v>
      </c>
      <c r="G1276" t="s">
        <v>4712</v>
      </c>
      <c r="H1276" t="str">
        <f>"hsp-6"</f>
        <v>hsp-6</v>
      </c>
      <c r="I1276" t="s">
        <v>4714</v>
      </c>
      <c r="J1276">
        <v>15.334288803847</v>
      </c>
      <c r="K1276">
        <v>15.120503364349601</v>
      </c>
      <c r="L1276">
        <v>15.1816142025154</v>
      </c>
      <c r="M1276">
        <v>15.827644953816399</v>
      </c>
      <c r="N1276">
        <v>15.4089309329468</v>
      </c>
      <c r="O1276">
        <v>15.5351080329523</v>
      </c>
      <c r="P1276">
        <v>0.37842584966783099</v>
      </c>
      <c r="Q1276">
        <v>-9.64308796292173E-2</v>
      </c>
      <c r="R1276">
        <v>0.85328257896488002</v>
      </c>
      <c r="S1276">
        <v>15.2253714406345</v>
      </c>
      <c r="T1276">
        <v>1.67498418561257</v>
      </c>
      <c r="U1276">
        <v>-5.7891947143822096</v>
      </c>
      <c r="V1276">
        <v>0.111323250967548</v>
      </c>
      <c r="W1276">
        <v>0.23300399190437701</v>
      </c>
      <c r="X1276">
        <v>0</v>
      </c>
      <c r="Y1276">
        <v>0</v>
      </c>
    </row>
    <row r="1277" spans="1:25" x14ac:dyDescent="0.2">
      <c r="A1277" t="s">
        <v>4715</v>
      </c>
      <c r="B1277" t="s">
        <v>4716</v>
      </c>
      <c r="C1277" t="s">
        <v>4717</v>
      </c>
      <c r="D1277" t="s">
        <v>4718</v>
      </c>
      <c r="E1277" t="s">
        <v>4716</v>
      </c>
      <c r="F1277" t="s">
        <v>28</v>
      </c>
      <c r="G1277" t="s">
        <v>4716</v>
      </c>
      <c r="H1277" t="str">
        <f>"sqt-1"</f>
        <v>sqt-1</v>
      </c>
      <c r="I1277" t="s">
        <v>4718</v>
      </c>
      <c r="J1277">
        <v>10.3476885957646</v>
      </c>
      <c r="K1277">
        <v>10.848441694768599</v>
      </c>
      <c r="L1277">
        <v>11.742088281330901</v>
      </c>
      <c r="M1277">
        <v>13.5265587362871</v>
      </c>
      <c r="N1277">
        <v>11.6558014669962</v>
      </c>
      <c r="O1277">
        <v>11.2266440362514</v>
      </c>
      <c r="P1277">
        <v>1.1569285558902</v>
      </c>
      <c r="Q1277">
        <v>-0.25314129105295502</v>
      </c>
      <c r="R1277">
        <v>2.5669984028333599</v>
      </c>
      <c r="S1277">
        <v>11.153314957178599</v>
      </c>
      <c r="T1277">
        <v>1.7498769915644401</v>
      </c>
      <c r="U1277">
        <v>-5.6801856195298397</v>
      </c>
      <c r="V1277">
        <v>0.100705369837291</v>
      </c>
      <c r="W1277">
        <v>0.21836443168987299</v>
      </c>
      <c r="X1277">
        <v>0</v>
      </c>
      <c r="Y1277">
        <v>0</v>
      </c>
    </row>
    <row r="1278" spans="1:25" x14ac:dyDescent="0.2">
      <c r="A1278" t="s">
        <v>4719</v>
      </c>
      <c r="B1278" t="s">
        <v>4720</v>
      </c>
      <c r="C1278" t="s">
        <v>4721</v>
      </c>
      <c r="D1278" t="s">
        <v>4722</v>
      </c>
      <c r="E1278" t="s">
        <v>4720</v>
      </c>
      <c r="F1278" t="s">
        <v>28</v>
      </c>
      <c r="G1278" t="s">
        <v>4720</v>
      </c>
      <c r="H1278" t="str">
        <f>"mec-7"</f>
        <v>mec-7</v>
      </c>
      <c r="I1278" t="s">
        <v>4722</v>
      </c>
      <c r="J1278">
        <v>14.251358383261801</v>
      </c>
      <c r="K1278">
        <v>14.654048365178699</v>
      </c>
      <c r="L1278">
        <v>14.0911149524604</v>
      </c>
      <c r="M1278">
        <v>16.960607360236999</v>
      </c>
      <c r="N1278">
        <v>15.237514907177401</v>
      </c>
      <c r="O1278">
        <v>13.938394275657</v>
      </c>
      <c r="P1278">
        <v>1.0466649473901899</v>
      </c>
      <c r="Q1278">
        <v>0.11482578658975</v>
      </c>
      <c r="R1278">
        <v>1.97850410819064</v>
      </c>
      <c r="S1278">
        <v>14.136929704798</v>
      </c>
      <c r="T1278">
        <v>2.36080021084963</v>
      </c>
      <c r="U1278">
        <v>-4.6123028971706397</v>
      </c>
      <c r="V1278">
        <v>2.9790313325811502E-2</v>
      </c>
      <c r="W1278">
        <v>9.6263216415752695E-2</v>
      </c>
      <c r="X1278">
        <v>1</v>
      </c>
      <c r="Y1278">
        <v>0</v>
      </c>
    </row>
    <row r="1279" spans="1:25" x14ac:dyDescent="0.2">
      <c r="A1279" t="s">
        <v>4723</v>
      </c>
      <c r="B1279" t="s">
        <v>4724</v>
      </c>
      <c r="C1279" t="s">
        <v>4725</v>
      </c>
      <c r="D1279" t="s">
        <v>4726</v>
      </c>
      <c r="E1279" t="s">
        <v>4724</v>
      </c>
      <c r="F1279" t="s">
        <v>28</v>
      </c>
      <c r="G1279" t="s">
        <v>4724</v>
      </c>
      <c r="H1279" t="str">
        <f>"myo-3"</f>
        <v>myo-3</v>
      </c>
      <c r="I1279" t="s">
        <v>4726</v>
      </c>
      <c r="J1279">
        <v>15.7342468286021</v>
      </c>
      <c r="K1279">
        <v>15.765660796323299</v>
      </c>
      <c r="L1279">
        <v>15.507543018622901</v>
      </c>
      <c r="M1279">
        <v>16.245096906930598</v>
      </c>
      <c r="N1279">
        <v>15.561910968607</v>
      </c>
      <c r="O1279">
        <v>15.6461432444544</v>
      </c>
      <c r="P1279">
        <v>0.14856682548122899</v>
      </c>
      <c r="Q1279">
        <v>-0.50038849081721204</v>
      </c>
      <c r="R1279">
        <v>0.79752214177966996</v>
      </c>
      <c r="S1279">
        <v>15.2151846757461</v>
      </c>
      <c r="T1279">
        <v>0.48117113020445501</v>
      </c>
      <c r="U1279">
        <v>-7.0355829478771597</v>
      </c>
      <c r="V1279">
        <v>0.63622576970829803</v>
      </c>
      <c r="W1279">
        <v>0.75786473052964998</v>
      </c>
      <c r="X1279">
        <v>0</v>
      </c>
      <c r="Y1279">
        <v>0</v>
      </c>
    </row>
    <row r="1280" spans="1:25" x14ac:dyDescent="0.2">
      <c r="A1280" t="s">
        <v>4727</v>
      </c>
      <c r="B1280" t="s">
        <v>4728</v>
      </c>
      <c r="C1280" t="s">
        <v>4729</v>
      </c>
      <c r="D1280" t="s">
        <v>4730</v>
      </c>
      <c r="E1280" t="s">
        <v>4728</v>
      </c>
      <c r="F1280" t="s">
        <v>28</v>
      </c>
      <c r="G1280" t="s">
        <v>4728</v>
      </c>
      <c r="H1280" t="str">
        <f>"myo-2"</f>
        <v>myo-2</v>
      </c>
      <c r="I1280" t="s">
        <v>4730</v>
      </c>
      <c r="J1280">
        <v>17.848574425808501</v>
      </c>
      <c r="K1280">
        <v>17.7099673627201</v>
      </c>
      <c r="L1280">
        <v>17.214181558526899</v>
      </c>
      <c r="M1280">
        <v>18.188093811886599</v>
      </c>
      <c r="N1280">
        <v>17.084947086838302</v>
      </c>
      <c r="O1280">
        <v>17.268465402155201</v>
      </c>
      <c r="P1280">
        <v>-7.7072348725153006E-2</v>
      </c>
      <c r="Q1280">
        <v>-0.740282479598939</v>
      </c>
      <c r="R1280">
        <v>0.58613778214863299</v>
      </c>
      <c r="S1280">
        <v>16.853511970730999</v>
      </c>
      <c r="T1280">
        <v>-0.244253027508994</v>
      </c>
      <c r="U1280">
        <v>-7.1250455561653796</v>
      </c>
      <c r="V1280">
        <v>0.80981339771939198</v>
      </c>
      <c r="W1280">
        <v>0.88161066977430702</v>
      </c>
      <c r="X1280">
        <v>0</v>
      </c>
      <c r="Y1280">
        <v>0</v>
      </c>
    </row>
    <row r="1281" spans="1:25" x14ac:dyDescent="0.2">
      <c r="A1281" t="s">
        <v>4731</v>
      </c>
      <c r="B1281" t="s">
        <v>4732</v>
      </c>
      <c r="C1281" t="s">
        <v>4733</v>
      </c>
      <c r="D1281" t="s">
        <v>4734</v>
      </c>
      <c r="E1281" t="s">
        <v>4732</v>
      </c>
      <c r="F1281" t="s">
        <v>28</v>
      </c>
      <c r="G1281" t="s">
        <v>4732</v>
      </c>
      <c r="H1281" t="str">
        <f>"hil-2"</f>
        <v>hil-2</v>
      </c>
      <c r="I1281" t="s">
        <v>4734</v>
      </c>
      <c r="J1281">
        <v>13.2545598792482</v>
      </c>
      <c r="K1281">
        <v>14.1183797691933</v>
      </c>
      <c r="L1281">
        <v>14.158669902344499</v>
      </c>
      <c r="M1281" t="s">
        <v>29</v>
      </c>
      <c r="N1281" t="s">
        <v>29</v>
      </c>
      <c r="O1281" t="s">
        <v>29</v>
      </c>
      <c r="P1281" t="s">
        <v>29</v>
      </c>
      <c r="Q1281" t="s">
        <v>29</v>
      </c>
      <c r="R1281" t="s">
        <v>29</v>
      </c>
      <c r="S1281">
        <v>13.2251207379409</v>
      </c>
      <c r="T1281" t="s">
        <v>29</v>
      </c>
      <c r="U1281" t="s">
        <v>29</v>
      </c>
      <c r="V1281" t="s">
        <v>29</v>
      </c>
      <c r="W1281" t="s">
        <v>29</v>
      </c>
      <c r="X1281" t="s">
        <v>29</v>
      </c>
      <c r="Y1281" t="s">
        <v>29</v>
      </c>
    </row>
    <row r="1282" spans="1:25" x14ac:dyDescent="0.2">
      <c r="A1282" t="s">
        <v>4735</v>
      </c>
      <c r="B1282" t="s">
        <v>4736</v>
      </c>
      <c r="C1282" t="s">
        <v>4737</v>
      </c>
      <c r="D1282" t="s">
        <v>4738</v>
      </c>
      <c r="E1282" t="s">
        <v>4736</v>
      </c>
      <c r="F1282" t="s">
        <v>28</v>
      </c>
      <c r="G1282" t="s">
        <v>4736</v>
      </c>
      <c r="H1282" t="str">
        <f>"ama-1"</f>
        <v>ama-1</v>
      </c>
      <c r="I1282" t="s">
        <v>4738</v>
      </c>
      <c r="J1282">
        <v>15.2122184437894</v>
      </c>
      <c r="K1282">
        <v>15.0710234387819</v>
      </c>
      <c r="L1282">
        <v>14.8908676675489</v>
      </c>
      <c r="M1282">
        <v>14.6480757442684</v>
      </c>
      <c r="N1282">
        <v>14.903259232737399</v>
      </c>
      <c r="O1282">
        <v>15.298577300697399</v>
      </c>
      <c r="P1282">
        <v>-0.108065757472358</v>
      </c>
      <c r="Q1282">
        <v>-0.53566562250554195</v>
      </c>
      <c r="R1282">
        <v>0.31953410756082501</v>
      </c>
      <c r="S1282">
        <v>15.317061705498899</v>
      </c>
      <c r="T1282">
        <v>-0.53118164019915204</v>
      </c>
      <c r="U1282">
        <v>-7.0093917418190701</v>
      </c>
      <c r="V1282">
        <v>0.60182443415771902</v>
      </c>
      <c r="W1282">
        <v>0.73408947871083996</v>
      </c>
      <c r="X1282">
        <v>0</v>
      </c>
      <c r="Y1282">
        <v>0</v>
      </c>
    </row>
    <row r="1283" spans="1:25" x14ac:dyDescent="0.2">
      <c r="A1283" t="s">
        <v>4739</v>
      </c>
      <c r="B1283" t="s">
        <v>4740</v>
      </c>
      <c r="C1283" t="s">
        <v>4741</v>
      </c>
      <c r="D1283" t="s">
        <v>4742</v>
      </c>
      <c r="E1283" t="s">
        <v>4740</v>
      </c>
      <c r="F1283" t="s">
        <v>28</v>
      </c>
      <c r="G1283" t="s">
        <v>4740</v>
      </c>
      <c r="H1283" t="str">
        <f>"emb-9"</f>
        <v>emb-9</v>
      </c>
      <c r="I1283" t="s">
        <v>4742</v>
      </c>
      <c r="J1283">
        <v>16.9363953916668</v>
      </c>
      <c r="K1283">
        <v>16.421351434722101</v>
      </c>
      <c r="L1283">
        <v>17.274768243354799</v>
      </c>
      <c r="M1283">
        <v>18.838492087645601</v>
      </c>
      <c r="N1283">
        <v>17.757350091104801</v>
      </c>
      <c r="O1283">
        <v>17.223202948856599</v>
      </c>
      <c r="P1283">
        <v>1.0621766859544399</v>
      </c>
      <c r="Q1283">
        <v>0.28494259354871798</v>
      </c>
      <c r="R1283">
        <v>1.8394107783601601</v>
      </c>
      <c r="S1283">
        <v>16.655084421450699</v>
      </c>
      <c r="T1283">
        <v>2.8723505128135698</v>
      </c>
      <c r="U1283">
        <v>-3.60019649283623</v>
      </c>
      <c r="V1283">
        <v>1.0174782382560499E-2</v>
      </c>
      <c r="W1283">
        <v>4.6130897971393497E-2</v>
      </c>
      <c r="X1283">
        <v>1</v>
      </c>
      <c r="Y1283">
        <v>1</v>
      </c>
    </row>
    <row r="1284" spans="1:25" x14ac:dyDescent="0.2">
      <c r="A1284" t="s">
        <v>4743</v>
      </c>
      <c r="B1284" t="s">
        <v>4744</v>
      </c>
      <c r="C1284" t="s">
        <v>4745</v>
      </c>
      <c r="D1284" t="s">
        <v>4746</v>
      </c>
      <c r="E1284" t="s">
        <v>4744</v>
      </c>
      <c r="F1284" t="s">
        <v>28</v>
      </c>
      <c r="G1284" t="s">
        <v>4744</v>
      </c>
      <c r="H1284" t="str">
        <f>"let-2"</f>
        <v>let-2</v>
      </c>
      <c r="I1284" t="s">
        <v>4746</v>
      </c>
      <c r="J1284">
        <v>15.670890348180899</v>
      </c>
      <c r="K1284">
        <v>15.4115647930041</v>
      </c>
      <c r="L1284">
        <v>16.005283243303701</v>
      </c>
      <c r="M1284">
        <v>17.523216863561601</v>
      </c>
      <c r="N1284">
        <v>16.525598189136598</v>
      </c>
      <c r="O1284">
        <v>15.949340239819</v>
      </c>
      <c r="P1284">
        <v>0.97013896934287502</v>
      </c>
      <c r="Q1284">
        <v>0.232715116560688</v>
      </c>
      <c r="R1284">
        <v>1.7075628221250601</v>
      </c>
      <c r="S1284">
        <v>15.526348474802001</v>
      </c>
      <c r="T1284">
        <v>2.76509006608434</v>
      </c>
      <c r="U1284">
        <v>-3.8193606236895299</v>
      </c>
      <c r="V1284">
        <v>1.28029937760959E-2</v>
      </c>
      <c r="W1284">
        <v>5.4164020862139499E-2</v>
      </c>
      <c r="X1284">
        <v>0</v>
      </c>
      <c r="Y1284">
        <v>0</v>
      </c>
    </row>
    <row r="1285" spans="1:25" x14ac:dyDescent="0.2">
      <c r="A1285" t="s">
        <v>4747</v>
      </c>
      <c r="B1285" t="s">
        <v>4748</v>
      </c>
      <c r="C1285" t="s">
        <v>4749</v>
      </c>
      <c r="D1285" t="s">
        <v>4750</v>
      </c>
      <c r="E1285" t="s">
        <v>4748</v>
      </c>
      <c r="F1285" t="s">
        <v>28</v>
      </c>
      <c r="G1285" t="s">
        <v>4748</v>
      </c>
      <c r="H1285" t="str">
        <f>"fem-1"</f>
        <v>fem-1</v>
      </c>
      <c r="I1285" t="s">
        <v>4750</v>
      </c>
      <c r="J1285">
        <v>12.083643118247901</v>
      </c>
      <c r="K1285" t="s">
        <v>29</v>
      </c>
      <c r="L1285" t="s">
        <v>29</v>
      </c>
      <c r="M1285" t="s">
        <v>29</v>
      </c>
      <c r="N1285" t="s">
        <v>29</v>
      </c>
      <c r="O1285" t="s">
        <v>29</v>
      </c>
      <c r="P1285" t="s">
        <v>29</v>
      </c>
      <c r="Q1285" t="s">
        <v>29</v>
      </c>
      <c r="R1285" t="s">
        <v>29</v>
      </c>
      <c r="S1285">
        <v>11.7053094419578</v>
      </c>
      <c r="T1285" t="s">
        <v>29</v>
      </c>
      <c r="U1285" t="s">
        <v>29</v>
      </c>
      <c r="V1285" t="s">
        <v>29</v>
      </c>
      <c r="W1285" t="s">
        <v>29</v>
      </c>
      <c r="X1285" t="s">
        <v>29</v>
      </c>
      <c r="Y1285" t="s">
        <v>29</v>
      </c>
    </row>
    <row r="1286" spans="1:25" x14ac:dyDescent="0.2">
      <c r="A1286" t="s">
        <v>4751</v>
      </c>
      <c r="B1286" t="s">
        <v>4752</v>
      </c>
      <c r="C1286" t="s">
        <v>4753</v>
      </c>
      <c r="D1286" t="s">
        <v>4754</v>
      </c>
      <c r="E1286" t="s">
        <v>4752</v>
      </c>
      <c r="F1286" t="s">
        <v>28</v>
      </c>
      <c r="G1286" t="s">
        <v>4755</v>
      </c>
      <c r="H1286" t="str">
        <f>"gpd-2"</f>
        <v>gpd-2</v>
      </c>
      <c r="I1286" t="s">
        <v>4756</v>
      </c>
      <c r="J1286">
        <v>16.965556683209599</v>
      </c>
      <c r="K1286">
        <v>17.332967295242</v>
      </c>
      <c r="L1286">
        <v>17.539236649884</v>
      </c>
      <c r="M1286">
        <v>17.642849262040201</v>
      </c>
      <c r="N1286">
        <v>17.543036346730801</v>
      </c>
      <c r="O1286">
        <v>17.067284682372399</v>
      </c>
      <c r="P1286">
        <v>0.13846988760258599</v>
      </c>
      <c r="Q1286">
        <v>-0.86443777456022597</v>
      </c>
      <c r="R1286">
        <v>1.1413775497654</v>
      </c>
      <c r="S1286">
        <v>16.763091157033799</v>
      </c>
      <c r="T1286">
        <v>0.290192980816943</v>
      </c>
      <c r="U1286">
        <v>-7.1122125063153101</v>
      </c>
      <c r="V1286">
        <v>0.77500454639317196</v>
      </c>
      <c r="W1286">
        <v>0.85797836146531803</v>
      </c>
      <c r="X1286">
        <v>0</v>
      </c>
      <c r="Y1286">
        <v>0</v>
      </c>
    </row>
    <row r="1287" spans="1:25" x14ac:dyDescent="0.2">
      <c r="A1287" t="s">
        <v>4757</v>
      </c>
      <c r="B1287" t="s">
        <v>4758</v>
      </c>
      <c r="C1287" t="s">
        <v>4759</v>
      </c>
      <c r="D1287" t="s">
        <v>4760</v>
      </c>
      <c r="E1287" t="s">
        <v>4758</v>
      </c>
      <c r="F1287" t="s">
        <v>28</v>
      </c>
      <c r="G1287" t="s">
        <v>4758</v>
      </c>
      <c r="H1287" t="str">
        <f>"gpd-4"</f>
        <v>gpd-4</v>
      </c>
      <c r="I1287" t="s">
        <v>4760</v>
      </c>
      <c r="J1287">
        <v>18.243311542827001</v>
      </c>
      <c r="K1287">
        <v>18.514121231841798</v>
      </c>
      <c r="L1287">
        <v>18.832264364092602</v>
      </c>
      <c r="M1287">
        <v>18.297962584775199</v>
      </c>
      <c r="N1287">
        <v>18.259382021515901</v>
      </c>
      <c r="O1287">
        <v>17.813333103075301</v>
      </c>
      <c r="P1287">
        <v>-0.40633980979834999</v>
      </c>
      <c r="Q1287">
        <v>-1.2855737531673901</v>
      </c>
      <c r="R1287">
        <v>0.47289413357069299</v>
      </c>
      <c r="S1287">
        <v>18.056626073912302</v>
      </c>
      <c r="T1287">
        <v>-0.971353792567485</v>
      </c>
      <c r="U1287">
        <v>-6.6738324528912001</v>
      </c>
      <c r="V1287">
        <v>0.34431945904228101</v>
      </c>
      <c r="W1287">
        <v>0.51482552505351997</v>
      </c>
      <c r="X1287">
        <v>0</v>
      </c>
      <c r="Y1287">
        <v>0</v>
      </c>
    </row>
    <row r="1288" spans="1:25" x14ac:dyDescent="0.2">
      <c r="A1288" t="s">
        <v>4761</v>
      </c>
      <c r="B1288" t="s">
        <v>4762</v>
      </c>
      <c r="C1288" t="s">
        <v>4763</v>
      </c>
      <c r="D1288" t="s">
        <v>4764</v>
      </c>
      <c r="E1288" t="s">
        <v>4762</v>
      </c>
      <c r="F1288" t="s">
        <v>28</v>
      </c>
      <c r="G1288" t="s">
        <v>4762</v>
      </c>
      <c r="H1288" t="str">
        <f>"gpb-1"</f>
        <v>gpb-1</v>
      </c>
      <c r="I1288" t="s">
        <v>4764</v>
      </c>
      <c r="J1288">
        <v>12.207482241846501</v>
      </c>
      <c r="K1288">
        <v>12.626565485119301</v>
      </c>
      <c r="L1288">
        <v>12.4737656410885</v>
      </c>
      <c r="M1288">
        <v>15.942484530257699</v>
      </c>
      <c r="N1288">
        <v>11.9966808044083</v>
      </c>
      <c r="O1288">
        <v>12.548140713470801</v>
      </c>
      <c r="P1288">
        <v>1.0598308933607901</v>
      </c>
      <c r="Q1288">
        <v>-0.34052340769659101</v>
      </c>
      <c r="R1288">
        <v>2.4601851944181701</v>
      </c>
      <c r="S1288">
        <v>12.4234379584886</v>
      </c>
      <c r="T1288">
        <v>1.59071053844417</v>
      </c>
      <c r="U1288">
        <v>-5.9147752522137296</v>
      </c>
      <c r="V1288">
        <v>0.12918520114131901</v>
      </c>
      <c r="W1288">
        <v>0.26230264277952497</v>
      </c>
      <c r="X1288">
        <v>0</v>
      </c>
      <c r="Y1288">
        <v>0</v>
      </c>
    </row>
    <row r="1289" spans="1:25" x14ac:dyDescent="0.2">
      <c r="A1289" t="s">
        <v>4765</v>
      </c>
      <c r="B1289" t="s">
        <v>4766</v>
      </c>
      <c r="C1289" t="s">
        <v>4767</v>
      </c>
      <c r="D1289" t="s">
        <v>4768</v>
      </c>
      <c r="E1289" t="s">
        <v>4766</v>
      </c>
      <c r="F1289" t="s">
        <v>28</v>
      </c>
      <c r="G1289" t="s">
        <v>4766</v>
      </c>
      <c r="H1289" t="str">
        <f>"kin-3"</f>
        <v>kin-3</v>
      </c>
      <c r="I1289" t="s">
        <v>4768</v>
      </c>
      <c r="J1289" t="s">
        <v>29</v>
      </c>
      <c r="K1289">
        <v>12.1541404959495</v>
      </c>
      <c r="L1289">
        <v>12.4288008078495</v>
      </c>
      <c r="M1289" t="s">
        <v>29</v>
      </c>
      <c r="N1289">
        <v>10.9361932987355</v>
      </c>
      <c r="O1289" t="s">
        <v>29</v>
      </c>
      <c r="P1289">
        <v>-1.3552773531639599</v>
      </c>
      <c r="Q1289">
        <v>-2.2722001042775499</v>
      </c>
      <c r="R1289">
        <v>-0.43835460205037802</v>
      </c>
      <c r="S1289">
        <v>12.141977155189201</v>
      </c>
      <c r="T1289">
        <v>-3.2570402520482999</v>
      </c>
      <c r="U1289">
        <v>-2.7874337840729599</v>
      </c>
      <c r="V1289">
        <v>7.7308751343791197E-3</v>
      </c>
      <c r="W1289">
        <v>3.79927722515939E-2</v>
      </c>
      <c r="X1289">
        <v>-1</v>
      </c>
      <c r="Y1289">
        <v>-1</v>
      </c>
    </row>
    <row r="1290" spans="1:25" x14ac:dyDescent="0.2">
      <c r="A1290" t="s">
        <v>4769</v>
      </c>
      <c r="B1290" t="s">
        <v>4770</v>
      </c>
      <c r="C1290" t="s">
        <v>4771</v>
      </c>
      <c r="D1290" t="s">
        <v>4772</v>
      </c>
      <c r="E1290" t="s">
        <v>4770</v>
      </c>
      <c r="F1290" t="s">
        <v>28</v>
      </c>
      <c r="G1290" t="s">
        <v>4770</v>
      </c>
      <c r="H1290" t="str">
        <f>"col-8"</f>
        <v>col-8</v>
      </c>
      <c r="I1290" t="s">
        <v>4772</v>
      </c>
      <c r="J1290">
        <v>13.6817008529103</v>
      </c>
      <c r="K1290">
        <v>12.502716823227001</v>
      </c>
      <c r="L1290">
        <v>14.9352640918079</v>
      </c>
      <c r="M1290">
        <v>17.116923757279601</v>
      </c>
      <c r="N1290">
        <v>13.9107705020506</v>
      </c>
      <c r="O1290">
        <v>15.054473626166301</v>
      </c>
      <c r="P1290">
        <v>1.6541620391837499</v>
      </c>
      <c r="Q1290">
        <v>0.35738435151050801</v>
      </c>
      <c r="R1290">
        <v>2.9509397268569799</v>
      </c>
      <c r="S1290">
        <v>14.501545844355499</v>
      </c>
      <c r="T1290">
        <v>2.6810507434936302</v>
      </c>
      <c r="U1290">
        <v>-3.9887583055706699</v>
      </c>
      <c r="V1290">
        <v>1.53056916923627E-2</v>
      </c>
      <c r="W1290">
        <v>6.1285154099718499E-2</v>
      </c>
      <c r="X1290">
        <v>1</v>
      </c>
      <c r="Y1290">
        <v>0</v>
      </c>
    </row>
    <row r="1291" spans="1:25" x14ac:dyDescent="0.2">
      <c r="A1291" t="s">
        <v>4773</v>
      </c>
      <c r="B1291" t="s">
        <v>4774</v>
      </c>
      <c r="C1291" t="s">
        <v>4775</v>
      </c>
      <c r="D1291" t="s">
        <v>4776</v>
      </c>
      <c r="E1291" t="s">
        <v>4774</v>
      </c>
      <c r="F1291" t="s">
        <v>28</v>
      </c>
      <c r="G1291" t="s">
        <v>4774</v>
      </c>
      <c r="H1291" t="str">
        <f>"col-19"</f>
        <v>col-19</v>
      </c>
      <c r="I1291" t="s">
        <v>4776</v>
      </c>
      <c r="J1291">
        <v>12.927436387994501</v>
      </c>
      <c r="K1291">
        <v>12.557886395746801</v>
      </c>
      <c r="L1291">
        <v>14.3621885290717</v>
      </c>
      <c r="M1291">
        <v>16.493931151289399</v>
      </c>
      <c r="N1291">
        <v>11.969661151913201</v>
      </c>
      <c r="O1291">
        <v>14.2065060152127</v>
      </c>
      <c r="P1291">
        <v>0.94086233520080498</v>
      </c>
      <c r="Q1291">
        <v>-0.61469213142717605</v>
      </c>
      <c r="R1291">
        <v>2.49641680182879</v>
      </c>
      <c r="S1291">
        <v>13.5155322575207</v>
      </c>
      <c r="T1291">
        <v>1.27125704894634</v>
      </c>
      <c r="U1291">
        <v>-6.3445385949668403</v>
      </c>
      <c r="V1291">
        <v>0.219913381693984</v>
      </c>
      <c r="W1291">
        <v>0.38393645488872702</v>
      </c>
      <c r="X1291">
        <v>0</v>
      </c>
      <c r="Y1291">
        <v>0</v>
      </c>
    </row>
    <row r="1292" spans="1:25" x14ac:dyDescent="0.2">
      <c r="A1292" t="s">
        <v>4777</v>
      </c>
      <c r="B1292" t="s">
        <v>4778</v>
      </c>
      <c r="C1292" t="s">
        <v>4779</v>
      </c>
      <c r="D1292" t="s">
        <v>4780</v>
      </c>
      <c r="E1292" t="s">
        <v>4778</v>
      </c>
      <c r="F1292" t="s">
        <v>28</v>
      </c>
      <c r="G1292" t="s">
        <v>4778</v>
      </c>
      <c r="H1292" t="str">
        <f>"vit-4"</f>
        <v>vit-4</v>
      </c>
      <c r="I1292" t="s">
        <v>4780</v>
      </c>
      <c r="J1292">
        <v>18.524951784037299</v>
      </c>
      <c r="K1292">
        <v>18.287706001478899</v>
      </c>
      <c r="L1292">
        <v>18.918562354726902</v>
      </c>
      <c r="M1292">
        <v>18.020001328618399</v>
      </c>
      <c r="N1292">
        <v>18.258206909482201</v>
      </c>
      <c r="O1292">
        <v>18.5673743709566</v>
      </c>
      <c r="P1292">
        <v>-0.295212510395299</v>
      </c>
      <c r="Q1292">
        <v>-0.75299731778339396</v>
      </c>
      <c r="R1292">
        <v>0.16257229699279699</v>
      </c>
      <c r="S1292">
        <v>18.920140765993999</v>
      </c>
      <c r="T1292">
        <v>-1.3553950508389501</v>
      </c>
      <c r="U1292">
        <v>-6.2388239161077097</v>
      </c>
      <c r="V1292">
        <v>0.192153550432068</v>
      </c>
      <c r="W1292">
        <v>0.34996983596834702</v>
      </c>
      <c r="X1292">
        <v>0</v>
      </c>
      <c r="Y1292">
        <v>0</v>
      </c>
    </row>
    <row r="1293" spans="1:25" x14ac:dyDescent="0.2">
      <c r="A1293" t="s">
        <v>4781</v>
      </c>
      <c r="B1293" t="s">
        <v>4782</v>
      </c>
      <c r="C1293" t="s">
        <v>4783</v>
      </c>
      <c r="D1293" t="s">
        <v>4784</v>
      </c>
      <c r="E1293" t="s">
        <v>4782</v>
      </c>
      <c r="F1293" t="s">
        <v>28</v>
      </c>
      <c r="G1293" t="s">
        <v>4782</v>
      </c>
      <c r="H1293" t="str">
        <f>"vit-6"</f>
        <v>vit-6</v>
      </c>
      <c r="I1293" t="s">
        <v>4784</v>
      </c>
      <c r="J1293">
        <v>19.857439546498899</v>
      </c>
      <c r="K1293">
        <v>19.4210650454771</v>
      </c>
      <c r="L1293">
        <v>19.7730148457951</v>
      </c>
      <c r="M1293">
        <v>19.187968875640401</v>
      </c>
      <c r="N1293">
        <v>19.388042387541201</v>
      </c>
      <c r="O1293">
        <v>19.365549761487301</v>
      </c>
      <c r="P1293">
        <v>-0.36998613770073202</v>
      </c>
      <c r="Q1293">
        <v>-0.71521256626598295</v>
      </c>
      <c r="R1293">
        <v>-2.47597091354805E-2</v>
      </c>
      <c r="S1293">
        <v>19.934286878883899</v>
      </c>
      <c r="T1293">
        <v>-2.2525473575562298</v>
      </c>
      <c r="U1293">
        <v>-4.8139470377983997</v>
      </c>
      <c r="V1293">
        <v>3.70835468884914E-2</v>
      </c>
      <c r="W1293">
        <v>0.11324892505739299</v>
      </c>
      <c r="X1293">
        <v>0</v>
      </c>
      <c r="Y1293">
        <v>0</v>
      </c>
    </row>
    <row r="1294" spans="1:25" x14ac:dyDescent="0.2">
      <c r="A1294" t="s">
        <v>4785</v>
      </c>
      <c r="B1294" t="s">
        <v>4786</v>
      </c>
      <c r="C1294" t="s">
        <v>4787</v>
      </c>
      <c r="D1294" t="s">
        <v>4788</v>
      </c>
      <c r="E1294" t="s">
        <v>4786</v>
      </c>
      <c r="F1294" t="s">
        <v>28</v>
      </c>
      <c r="G1294" t="s">
        <v>4786</v>
      </c>
      <c r="H1294" t="str">
        <f>"mlc-1"</f>
        <v>mlc-1</v>
      </c>
      <c r="I1294" t="s">
        <v>4788</v>
      </c>
      <c r="J1294">
        <v>17.376446753771699</v>
      </c>
      <c r="K1294">
        <v>16.8203628639356</v>
      </c>
      <c r="L1294">
        <v>17.033566541389401</v>
      </c>
      <c r="M1294">
        <v>17.244183497416898</v>
      </c>
      <c r="N1294">
        <v>16.9964703868919</v>
      </c>
      <c r="O1294">
        <v>16.848101293651599</v>
      </c>
      <c r="P1294">
        <v>-4.7206993712137497E-2</v>
      </c>
      <c r="Q1294">
        <v>-0.47042803113912501</v>
      </c>
      <c r="R1294">
        <v>0.37601404371484898</v>
      </c>
      <c r="S1294">
        <v>16.649507355605198</v>
      </c>
      <c r="T1294">
        <v>-0.23443994445494301</v>
      </c>
      <c r="U1294">
        <v>-7.1275028309566899</v>
      </c>
      <c r="V1294">
        <v>0.81730484813549698</v>
      </c>
      <c r="W1294">
        <v>0.88568106322982898</v>
      </c>
      <c r="X1294">
        <v>0</v>
      </c>
      <c r="Y1294">
        <v>0</v>
      </c>
    </row>
    <row r="1295" spans="1:25" x14ac:dyDescent="0.2">
      <c r="A1295" t="s">
        <v>4789</v>
      </c>
      <c r="B1295" t="s">
        <v>4790</v>
      </c>
      <c r="C1295" t="s">
        <v>4791</v>
      </c>
      <c r="D1295" t="s">
        <v>4792</v>
      </c>
      <c r="E1295" t="s">
        <v>4790</v>
      </c>
      <c r="F1295" t="s">
        <v>28</v>
      </c>
      <c r="G1295" t="s">
        <v>4790</v>
      </c>
      <c r="H1295" t="str">
        <f>"mlc-2"</f>
        <v>mlc-2</v>
      </c>
      <c r="I1295" t="s">
        <v>4792</v>
      </c>
      <c r="J1295" t="s">
        <v>29</v>
      </c>
      <c r="K1295">
        <v>11.259293130755401</v>
      </c>
      <c r="L1295">
        <v>11.700913837502901</v>
      </c>
      <c r="M1295" t="s">
        <v>29</v>
      </c>
      <c r="N1295" t="s">
        <v>29</v>
      </c>
      <c r="O1295" t="s">
        <v>29</v>
      </c>
      <c r="P1295" t="s">
        <v>29</v>
      </c>
      <c r="Q1295" t="s">
        <v>29</v>
      </c>
      <c r="R1295" t="s">
        <v>29</v>
      </c>
      <c r="S1295">
        <v>11.7573296541284</v>
      </c>
      <c r="T1295" t="s">
        <v>29</v>
      </c>
      <c r="U1295" t="s">
        <v>29</v>
      </c>
      <c r="V1295" t="s">
        <v>29</v>
      </c>
      <c r="W1295" t="s">
        <v>29</v>
      </c>
      <c r="X1295" t="s">
        <v>29</v>
      </c>
      <c r="Y1295" t="s">
        <v>29</v>
      </c>
    </row>
    <row r="1296" spans="1:25" x14ac:dyDescent="0.2">
      <c r="A1296" t="s">
        <v>4793</v>
      </c>
      <c r="B1296" t="s">
        <v>4794</v>
      </c>
      <c r="C1296" t="s">
        <v>4795</v>
      </c>
      <c r="D1296" t="s">
        <v>4796</v>
      </c>
      <c r="E1296" t="s">
        <v>4794</v>
      </c>
      <c r="F1296" t="s">
        <v>28</v>
      </c>
      <c r="G1296" t="s">
        <v>4794</v>
      </c>
      <c r="H1296" t="str">
        <f>"deb-1"</f>
        <v>deb-1</v>
      </c>
      <c r="I1296" t="s">
        <v>4796</v>
      </c>
      <c r="J1296">
        <v>11.2059148503439</v>
      </c>
      <c r="K1296">
        <v>11.9431731353147</v>
      </c>
      <c r="L1296">
        <v>11.845601764268601</v>
      </c>
      <c r="M1296">
        <v>13.550176212047001</v>
      </c>
      <c r="N1296">
        <v>13.8578921914578</v>
      </c>
      <c r="O1296">
        <v>14.3235661937542</v>
      </c>
      <c r="P1296">
        <v>2.2456482824439599</v>
      </c>
      <c r="Q1296">
        <v>1.70532561968156</v>
      </c>
      <c r="R1296">
        <v>2.7859709452063699</v>
      </c>
      <c r="S1296">
        <v>12.926257698993201</v>
      </c>
      <c r="T1296">
        <v>8.7353652117508105</v>
      </c>
      <c r="U1296">
        <v>8.2980516024802995</v>
      </c>
      <c r="V1296" s="2">
        <v>7.1809963509258698E-8</v>
      </c>
      <c r="W1296" s="2">
        <v>5.29059906154463E-6</v>
      </c>
      <c r="X1296">
        <v>1</v>
      </c>
      <c r="Y1296">
        <v>1</v>
      </c>
    </row>
    <row r="1297" spans="1:25" x14ac:dyDescent="0.2">
      <c r="A1297" t="s">
        <v>4797</v>
      </c>
      <c r="B1297" t="s">
        <v>4798</v>
      </c>
      <c r="C1297" t="s">
        <v>4799</v>
      </c>
      <c r="D1297" t="s">
        <v>4800</v>
      </c>
      <c r="E1297" t="s">
        <v>4798</v>
      </c>
      <c r="F1297" t="s">
        <v>28</v>
      </c>
      <c r="G1297" t="s">
        <v>4798</v>
      </c>
      <c r="H1297" t="str">
        <f>"cyc-2.1"</f>
        <v>cyc-2.1</v>
      </c>
      <c r="I1297" t="s">
        <v>4800</v>
      </c>
      <c r="J1297">
        <v>12.6641053176995</v>
      </c>
      <c r="K1297">
        <v>11.9699593555221</v>
      </c>
      <c r="L1297">
        <v>11.1249161580023</v>
      </c>
      <c r="M1297">
        <v>13.963839332599401</v>
      </c>
      <c r="N1297">
        <v>13.6800803815667</v>
      </c>
      <c r="O1297">
        <v>13.2699143631901</v>
      </c>
      <c r="P1297">
        <v>1.7182844153774399</v>
      </c>
      <c r="Q1297">
        <v>0.91152303314434702</v>
      </c>
      <c r="R1297">
        <v>2.5250457976105301</v>
      </c>
      <c r="S1297">
        <v>12.0557077246542</v>
      </c>
      <c r="T1297">
        <v>4.4957273287894299</v>
      </c>
      <c r="U1297">
        <v>-0.18020482651865599</v>
      </c>
      <c r="V1297">
        <v>3.2322862485946701E-4</v>
      </c>
      <c r="W1297">
        <v>3.90391294041332E-3</v>
      </c>
      <c r="X1297">
        <v>1</v>
      </c>
      <c r="Y1297">
        <v>1</v>
      </c>
    </row>
    <row r="1298" spans="1:25" x14ac:dyDescent="0.2">
      <c r="A1298" t="s">
        <v>4801</v>
      </c>
      <c r="B1298" t="s">
        <v>4802</v>
      </c>
      <c r="C1298" t="s">
        <v>4803</v>
      </c>
      <c r="D1298" t="s">
        <v>4804</v>
      </c>
      <c r="E1298" t="s">
        <v>4802</v>
      </c>
      <c r="F1298" t="s">
        <v>28</v>
      </c>
      <c r="G1298" t="s">
        <v>4802</v>
      </c>
      <c r="H1298" t="str">
        <f>"hsp-4"</f>
        <v>hsp-4</v>
      </c>
      <c r="I1298" t="s">
        <v>4804</v>
      </c>
      <c r="J1298">
        <v>16.9244999388516</v>
      </c>
      <c r="K1298">
        <v>16.707703171389401</v>
      </c>
      <c r="L1298">
        <v>16.932607762060702</v>
      </c>
      <c r="M1298">
        <v>16.7525637151629</v>
      </c>
      <c r="N1298">
        <v>17.111167452356099</v>
      </c>
      <c r="O1298">
        <v>16.874925939184799</v>
      </c>
      <c r="P1298">
        <v>5.7948744800704298E-2</v>
      </c>
      <c r="Q1298">
        <v>-0.28921964065275502</v>
      </c>
      <c r="R1298">
        <v>0.40511713025416402</v>
      </c>
      <c r="S1298">
        <v>16.717706105157099</v>
      </c>
      <c r="T1298">
        <v>0.35082971997151902</v>
      </c>
      <c r="U1298">
        <v>-7.0919322041942499</v>
      </c>
      <c r="V1298">
        <v>0.72981228273217902</v>
      </c>
      <c r="W1298">
        <v>0.82721415277374299</v>
      </c>
      <c r="X1298">
        <v>0</v>
      </c>
      <c r="Y1298">
        <v>0</v>
      </c>
    </row>
    <row r="1299" spans="1:25" x14ac:dyDescent="0.2">
      <c r="A1299" t="s">
        <v>4805</v>
      </c>
      <c r="B1299" t="s">
        <v>4806</v>
      </c>
      <c r="C1299" t="s">
        <v>4807</v>
      </c>
      <c r="D1299" t="s">
        <v>4808</v>
      </c>
      <c r="E1299" t="s">
        <v>4806</v>
      </c>
      <c r="F1299" t="s">
        <v>28</v>
      </c>
      <c r="G1299" t="s">
        <v>4806</v>
      </c>
      <c r="H1299" t="str">
        <f>"kin-1"</f>
        <v>kin-1</v>
      </c>
      <c r="I1299" t="s">
        <v>4808</v>
      </c>
      <c r="J1299">
        <v>16.239409452958</v>
      </c>
      <c r="K1299">
        <v>16.056015655501099</v>
      </c>
      <c r="L1299">
        <v>15.886426808866601</v>
      </c>
      <c r="M1299">
        <v>15.3087103056184</v>
      </c>
      <c r="N1299">
        <v>15.6717840050402</v>
      </c>
      <c r="O1299">
        <v>15.4391429046869</v>
      </c>
      <c r="P1299">
        <v>-0.587404900660074</v>
      </c>
      <c r="Q1299">
        <v>-1.0179199111935899</v>
      </c>
      <c r="R1299">
        <v>-0.15688989012656099</v>
      </c>
      <c r="S1299">
        <v>15.4052845792057</v>
      </c>
      <c r="T1299">
        <v>-2.8677532476653198</v>
      </c>
      <c r="U1299">
        <v>-3.60965392968934</v>
      </c>
      <c r="V1299">
        <v>1.0275891312319201E-2</v>
      </c>
      <c r="W1299">
        <v>4.6239846399413198E-2</v>
      </c>
      <c r="X1299">
        <v>0</v>
      </c>
      <c r="Y1299">
        <v>0</v>
      </c>
    </row>
    <row r="1300" spans="1:25" x14ac:dyDescent="0.2">
      <c r="A1300" t="s">
        <v>4809</v>
      </c>
      <c r="B1300" t="s">
        <v>4810</v>
      </c>
      <c r="C1300" t="s">
        <v>4811</v>
      </c>
      <c r="D1300" t="s">
        <v>4812</v>
      </c>
      <c r="E1300" t="s">
        <v>4810</v>
      </c>
      <c r="F1300" t="s">
        <v>28</v>
      </c>
      <c r="G1300" t="s">
        <v>4810</v>
      </c>
      <c r="H1300" t="str">
        <f>"unc-104"</f>
        <v>unc-104</v>
      </c>
      <c r="I1300" t="s">
        <v>4812</v>
      </c>
      <c r="J1300">
        <v>13.0628469406143</v>
      </c>
      <c r="K1300">
        <v>13.004544929728601</v>
      </c>
      <c r="L1300">
        <v>12.7826440232382</v>
      </c>
      <c r="M1300">
        <v>13.0798223090909</v>
      </c>
      <c r="N1300">
        <v>12.8839772420634</v>
      </c>
      <c r="O1300">
        <v>13.112445421442899</v>
      </c>
      <c r="P1300">
        <v>7.5403026338669604E-2</v>
      </c>
      <c r="Q1300">
        <v>-0.44987967651456301</v>
      </c>
      <c r="R1300">
        <v>0.600685729191902</v>
      </c>
      <c r="S1300">
        <v>12.3956013411048</v>
      </c>
      <c r="T1300">
        <v>0.30170894757337802</v>
      </c>
      <c r="U1300">
        <v>-7.1086528803543096</v>
      </c>
      <c r="V1300">
        <v>0.76635205847664101</v>
      </c>
      <c r="W1300">
        <v>0.85110205688292095</v>
      </c>
      <c r="X1300">
        <v>0</v>
      </c>
      <c r="Y1300">
        <v>0</v>
      </c>
    </row>
    <row r="1301" spans="1:25" x14ac:dyDescent="0.2">
      <c r="A1301" t="s">
        <v>4813</v>
      </c>
      <c r="B1301" t="s">
        <v>4814</v>
      </c>
      <c r="C1301" t="s">
        <v>4815</v>
      </c>
      <c r="D1301" t="s">
        <v>4816</v>
      </c>
      <c r="E1301" t="s">
        <v>4814</v>
      </c>
      <c r="F1301" t="s">
        <v>28</v>
      </c>
      <c r="G1301" t="s">
        <v>4814</v>
      </c>
      <c r="H1301" t="str">
        <f>"sdc-1"</f>
        <v>sdc-1</v>
      </c>
      <c r="I1301" t="s">
        <v>4816</v>
      </c>
      <c r="J1301" t="s">
        <v>29</v>
      </c>
      <c r="K1301">
        <v>12.359080727867701</v>
      </c>
      <c r="L1301" t="s">
        <v>29</v>
      </c>
      <c r="M1301" t="s">
        <v>29</v>
      </c>
      <c r="N1301" t="s">
        <v>29</v>
      </c>
      <c r="O1301" t="s">
        <v>29</v>
      </c>
      <c r="P1301" t="s">
        <v>29</v>
      </c>
      <c r="Q1301" t="s">
        <v>29</v>
      </c>
      <c r="R1301" t="s">
        <v>29</v>
      </c>
      <c r="S1301">
        <v>11.8587944654846</v>
      </c>
      <c r="T1301" t="s">
        <v>29</v>
      </c>
      <c r="U1301" t="s">
        <v>29</v>
      </c>
      <c r="V1301" t="s">
        <v>29</v>
      </c>
      <c r="W1301" t="s">
        <v>29</v>
      </c>
      <c r="X1301" t="s">
        <v>29</v>
      </c>
      <c r="Y1301" t="s">
        <v>29</v>
      </c>
    </row>
    <row r="1302" spans="1:25" x14ac:dyDescent="0.2">
      <c r="A1302" t="s">
        <v>4817</v>
      </c>
      <c r="B1302" t="s">
        <v>4818</v>
      </c>
      <c r="C1302" t="s">
        <v>4819</v>
      </c>
      <c r="D1302" t="s">
        <v>4820</v>
      </c>
      <c r="E1302" t="s">
        <v>4818</v>
      </c>
      <c r="F1302" t="s">
        <v>28</v>
      </c>
      <c r="G1302" t="s">
        <v>4818</v>
      </c>
      <c r="H1302" t="str">
        <f>"ndfl-4"</f>
        <v>ndfl-4</v>
      </c>
      <c r="I1302" t="s">
        <v>4820</v>
      </c>
      <c r="J1302">
        <v>10.798124275160999</v>
      </c>
      <c r="K1302">
        <v>11.611913947323799</v>
      </c>
      <c r="L1302">
        <v>11.409835484614501</v>
      </c>
      <c r="M1302" t="s">
        <v>29</v>
      </c>
      <c r="N1302" t="s">
        <v>29</v>
      </c>
      <c r="O1302" t="s">
        <v>29</v>
      </c>
      <c r="P1302" t="s">
        <v>29</v>
      </c>
      <c r="Q1302" t="s">
        <v>29</v>
      </c>
      <c r="R1302" t="s">
        <v>29</v>
      </c>
      <c r="S1302">
        <v>11.1582394437969</v>
      </c>
      <c r="T1302" t="s">
        <v>29</v>
      </c>
      <c r="U1302" t="s">
        <v>29</v>
      </c>
      <c r="V1302" t="s">
        <v>29</v>
      </c>
      <c r="W1302" t="s">
        <v>29</v>
      </c>
      <c r="X1302" t="s">
        <v>29</v>
      </c>
      <c r="Y1302" t="s">
        <v>29</v>
      </c>
    </row>
    <row r="1303" spans="1:25" x14ac:dyDescent="0.2">
      <c r="A1303" t="s">
        <v>4821</v>
      </c>
      <c r="B1303" t="s">
        <v>4822</v>
      </c>
      <c r="C1303" t="s">
        <v>4823</v>
      </c>
      <c r="D1303" t="s">
        <v>4824</v>
      </c>
      <c r="E1303" t="s">
        <v>4822</v>
      </c>
      <c r="F1303" t="s">
        <v>28</v>
      </c>
      <c r="G1303" t="s">
        <v>4822</v>
      </c>
      <c r="H1303" t="str">
        <f>"nduo-1"</f>
        <v>nduo-1</v>
      </c>
      <c r="I1303" t="s">
        <v>4824</v>
      </c>
      <c r="J1303">
        <v>15.865945686266199</v>
      </c>
      <c r="K1303">
        <v>15.879234574353299</v>
      </c>
      <c r="L1303">
        <v>15.6667567411553</v>
      </c>
      <c r="M1303">
        <v>14.907677780634</v>
      </c>
      <c r="N1303">
        <v>15.5269438779304</v>
      </c>
      <c r="O1303">
        <v>15.010845452837801</v>
      </c>
      <c r="P1303">
        <v>-0.65548996345754595</v>
      </c>
      <c r="Q1303">
        <v>-1.24839694380809</v>
      </c>
      <c r="R1303">
        <v>-6.2582983107004594E-2</v>
      </c>
      <c r="S1303">
        <v>15.6561732192151</v>
      </c>
      <c r="T1303">
        <v>-2.3236568654299101</v>
      </c>
      <c r="U1303">
        <v>-4.6820617438683101</v>
      </c>
      <c r="V1303">
        <v>3.2127418060262203E-2</v>
      </c>
      <c r="W1303">
        <v>0.101478564869874</v>
      </c>
      <c r="X1303">
        <v>0</v>
      </c>
      <c r="Y1303">
        <v>0</v>
      </c>
    </row>
    <row r="1304" spans="1:25" x14ac:dyDescent="0.2">
      <c r="A1304" t="s">
        <v>4825</v>
      </c>
      <c r="B1304" t="s">
        <v>4826</v>
      </c>
      <c r="C1304" t="s">
        <v>4827</v>
      </c>
      <c r="D1304" t="s">
        <v>4828</v>
      </c>
      <c r="E1304" t="s">
        <v>4826</v>
      </c>
      <c r="F1304" t="s">
        <v>28</v>
      </c>
      <c r="G1304" t="s">
        <v>4826</v>
      </c>
      <c r="H1304" t="str">
        <f>"atp-6"</f>
        <v>atp-6</v>
      </c>
      <c r="I1304" t="s">
        <v>4828</v>
      </c>
      <c r="J1304">
        <v>14.950926207107701</v>
      </c>
      <c r="K1304">
        <v>14.5633999164936</v>
      </c>
      <c r="L1304">
        <v>14.8903874866121</v>
      </c>
      <c r="M1304">
        <v>12.441593509912799</v>
      </c>
      <c r="N1304">
        <v>13.0064281846198</v>
      </c>
      <c r="O1304">
        <v>14.1703833043586</v>
      </c>
      <c r="P1304">
        <v>-1.59543620377402</v>
      </c>
      <c r="Q1304">
        <v>-2.3019067030995801</v>
      </c>
      <c r="R1304">
        <v>-0.88896570444845502</v>
      </c>
      <c r="S1304">
        <v>14.5264947388865</v>
      </c>
      <c r="T1304">
        <v>-4.7465485199414497</v>
      </c>
      <c r="U1304">
        <v>0.47201571475271598</v>
      </c>
      <c r="V1304">
        <v>1.6360303876507301E-4</v>
      </c>
      <c r="W1304">
        <v>2.4725033602085601E-3</v>
      </c>
      <c r="X1304">
        <v>-1</v>
      </c>
      <c r="Y1304">
        <v>-1</v>
      </c>
    </row>
    <row r="1305" spans="1:25" x14ac:dyDescent="0.2">
      <c r="A1305" t="s">
        <v>4829</v>
      </c>
      <c r="B1305" t="s">
        <v>4830</v>
      </c>
      <c r="C1305" t="s">
        <v>4831</v>
      </c>
      <c r="D1305" t="s">
        <v>4832</v>
      </c>
      <c r="E1305" t="s">
        <v>4830</v>
      </c>
      <c r="F1305" t="s">
        <v>28</v>
      </c>
      <c r="G1305" t="s">
        <v>4830</v>
      </c>
      <c r="H1305" t="str">
        <f>"nduo-2"</f>
        <v>nduo-2</v>
      </c>
      <c r="I1305" t="s">
        <v>4832</v>
      </c>
      <c r="J1305">
        <v>9.5186081243220002</v>
      </c>
      <c r="K1305" t="s">
        <v>29</v>
      </c>
      <c r="L1305">
        <v>10.5845313361054</v>
      </c>
      <c r="M1305" t="s">
        <v>29</v>
      </c>
      <c r="N1305" t="s">
        <v>29</v>
      </c>
      <c r="O1305" t="s">
        <v>29</v>
      </c>
      <c r="P1305" t="s">
        <v>29</v>
      </c>
      <c r="Q1305" t="s">
        <v>29</v>
      </c>
      <c r="R1305" t="s">
        <v>29</v>
      </c>
      <c r="S1305">
        <v>11.1472498476022</v>
      </c>
      <c r="T1305" t="s">
        <v>29</v>
      </c>
      <c r="U1305" t="s">
        <v>29</v>
      </c>
      <c r="V1305" t="s">
        <v>29</v>
      </c>
      <c r="W1305" t="s">
        <v>29</v>
      </c>
      <c r="X1305" t="s">
        <v>29</v>
      </c>
      <c r="Y1305" t="s">
        <v>29</v>
      </c>
    </row>
    <row r="1306" spans="1:25" x14ac:dyDescent="0.2">
      <c r="A1306" t="s">
        <v>4833</v>
      </c>
      <c r="B1306" t="s">
        <v>4834</v>
      </c>
      <c r="C1306" t="s">
        <v>4835</v>
      </c>
      <c r="D1306" t="s">
        <v>4836</v>
      </c>
      <c r="E1306" t="s">
        <v>4834</v>
      </c>
      <c r="F1306" t="s">
        <v>28</v>
      </c>
      <c r="G1306" t="s">
        <v>4834</v>
      </c>
      <c r="H1306" t="str">
        <f>"ctb-1"</f>
        <v>ctb-1</v>
      </c>
      <c r="I1306" t="s">
        <v>4836</v>
      </c>
      <c r="J1306">
        <v>14.7780337153918</v>
      </c>
      <c r="K1306">
        <v>15.0354585239348</v>
      </c>
      <c r="L1306">
        <v>14.5603174212612</v>
      </c>
      <c r="M1306">
        <v>11.424130117061001</v>
      </c>
      <c r="N1306">
        <v>14.408663393596999</v>
      </c>
      <c r="O1306">
        <v>13.772959278897</v>
      </c>
      <c r="P1306">
        <v>-1.58935229034429</v>
      </c>
      <c r="Q1306">
        <v>-2.60461702729941</v>
      </c>
      <c r="R1306">
        <v>-0.57408755338915696</v>
      </c>
      <c r="S1306">
        <v>14.4368648165455</v>
      </c>
      <c r="T1306">
        <v>-3.2902839810931299</v>
      </c>
      <c r="U1306">
        <v>-2.7206432895082902</v>
      </c>
      <c r="V1306">
        <v>4.0923830566702898E-3</v>
      </c>
      <c r="W1306">
        <v>2.4562633132397801E-2</v>
      </c>
      <c r="X1306">
        <v>-1</v>
      </c>
      <c r="Y1306">
        <v>-1</v>
      </c>
    </row>
    <row r="1307" spans="1:25" x14ac:dyDescent="0.2">
      <c r="A1307" t="s">
        <v>4837</v>
      </c>
      <c r="B1307" t="s">
        <v>4838</v>
      </c>
      <c r="C1307" t="s">
        <v>4839</v>
      </c>
      <c r="D1307" t="s">
        <v>4840</v>
      </c>
      <c r="E1307" t="s">
        <v>4838</v>
      </c>
      <c r="F1307" t="s">
        <v>28</v>
      </c>
      <c r="G1307" t="s">
        <v>4838</v>
      </c>
      <c r="H1307" t="str">
        <f>"ctc-3"</f>
        <v>ctc-3</v>
      </c>
      <c r="I1307" t="s">
        <v>4840</v>
      </c>
      <c r="J1307" t="s">
        <v>29</v>
      </c>
      <c r="K1307">
        <v>10.353603257183799</v>
      </c>
      <c r="L1307" t="s">
        <v>29</v>
      </c>
      <c r="M1307" t="s">
        <v>29</v>
      </c>
      <c r="N1307" t="s">
        <v>29</v>
      </c>
      <c r="O1307" t="s">
        <v>29</v>
      </c>
      <c r="P1307" t="s">
        <v>29</v>
      </c>
      <c r="Q1307" t="s">
        <v>29</v>
      </c>
      <c r="R1307" t="s">
        <v>29</v>
      </c>
      <c r="S1307">
        <v>13.445308579238</v>
      </c>
      <c r="T1307" t="s">
        <v>29</v>
      </c>
      <c r="U1307" t="s">
        <v>29</v>
      </c>
      <c r="V1307" t="s">
        <v>29</v>
      </c>
      <c r="W1307" t="s">
        <v>29</v>
      </c>
      <c r="X1307" t="s">
        <v>29</v>
      </c>
      <c r="Y1307" t="s">
        <v>29</v>
      </c>
    </row>
    <row r="1308" spans="1:25" x14ac:dyDescent="0.2">
      <c r="A1308" t="s">
        <v>4841</v>
      </c>
      <c r="B1308" t="s">
        <v>4842</v>
      </c>
      <c r="C1308" t="s">
        <v>4843</v>
      </c>
      <c r="D1308" t="s">
        <v>4844</v>
      </c>
      <c r="E1308" t="s">
        <v>4842</v>
      </c>
      <c r="F1308" t="s">
        <v>28</v>
      </c>
      <c r="G1308" t="s">
        <v>4842</v>
      </c>
      <c r="H1308" t="str">
        <f>"nduo-4"</f>
        <v>nduo-4</v>
      </c>
      <c r="I1308" t="s">
        <v>4844</v>
      </c>
      <c r="J1308">
        <v>12.4254258698158</v>
      </c>
      <c r="K1308">
        <v>12.667689437775399</v>
      </c>
      <c r="L1308">
        <v>12.3988809340189</v>
      </c>
      <c r="M1308" t="s">
        <v>29</v>
      </c>
      <c r="N1308" t="s">
        <v>29</v>
      </c>
      <c r="O1308" t="s">
        <v>29</v>
      </c>
      <c r="P1308" t="s">
        <v>29</v>
      </c>
      <c r="Q1308" t="s">
        <v>29</v>
      </c>
      <c r="R1308" t="s">
        <v>29</v>
      </c>
      <c r="S1308">
        <v>12.9844057947072</v>
      </c>
      <c r="T1308" t="s">
        <v>29</v>
      </c>
      <c r="U1308" t="s">
        <v>29</v>
      </c>
      <c r="V1308" t="s">
        <v>29</v>
      </c>
      <c r="W1308" t="s">
        <v>29</v>
      </c>
      <c r="X1308" t="s">
        <v>29</v>
      </c>
      <c r="Y1308" t="s">
        <v>29</v>
      </c>
    </row>
    <row r="1309" spans="1:25" x14ac:dyDescent="0.2">
      <c r="A1309" t="s">
        <v>4845</v>
      </c>
      <c r="B1309" t="s">
        <v>4846</v>
      </c>
      <c r="C1309" t="s">
        <v>4847</v>
      </c>
      <c r="D1309" t="s">
        <v>4848</v>
      </c>
      <c r="E1309" t="s">
        <v>4846</v>
      </c>
      <c r="F1309" t="s">
        <v>28</v>
      </c>
      <c r="G1309" t="s">
        <v>4846</v>
      </c>
      <c r="H1309" t="str">
        <f>"ctc-1"</f>
        <v>ctc-1</v>
      </c>
      <c r="I1309" t="s">
        <v>4848</v>
      </c>
      <c r="J1309">
        <v>11.892535728121301</v>
      </c>
      <c r="K1309" t="s">
        <v>29</v>
      </c>
      <c r="L1309" t="s">
        <v>29</v>
      </c>
      <c r="M1309" t="s">
        <v>29</v>
      </c>
      <c r="N1309" t="s">
        <v>29</v>
      </c>
      <c r="O1309" t="s">
        <v>29</v>
      </c>
      <c r="P1309" t="s">
        <v>29</v>
      </c>
      <c r="Q1309" t="s">
        <v>29</v>
      </c>
      <c r="R1309" t="s">
        <v>29</v>
      </c>
      <c r="S1309">
        <v>12.0338581501946</v>
      </c>
      <c r="T1309" t="s">
        <v>29</v>
      </c>
      <c r="U1309" t="s">
        <v>29</v>
      </c>
      <c r="V1309" t="s">
        <v>29</v>
      </c>
      <c r="W1309" t="s">
        <v>29</v>
      </c>
      <c r="X1309" t="s">
        <v>29</v>
      </c>
      <c r="Y1309" t="s">
        <v>29</v>
      </c>
    </row>
    <row r="1310" spans="1:25" x14ac:dyDescent="0.2">
      <c r="A1310" t="s">
        <v>4849</v>
      </c>
      <c r="B1310" t="s">
        <v>4850</v>
      </c>
      <c r="C1310" t="s">
        <v>4851</v>
      </c>
      <c r="D1310" t="s">
        <v>4852</v>
      </c>
      <c r="E1310" t="s">
        <v>4850</v>
      </c>
      <c r="F1310" t="s">
        <v>28</v>
      </c>
      <c r="G1310" t="s">
        <v>4850</v>
      </c>
      <c r="H1310" t="str">
        <f>"ctc-2"</f>
        <v>ctc-2</v>
      </c>
      <c r="I1310" t="s">
        <v>4852</v>
      </c>
      <c r="J1310">
        <v>16.297654768060799</v>
      </c>
      <c r="K1310">
        <v>16.262992149885498</v>
      </c>
      <c r="L1310">
        <v>16.3835626836991</v>
      </c>
      <c r="M1310">
        <v>17.070902282614998</v>
      </c>
      <c r="N1310">
        <v>17.532430946448098</v>
      </c>
      <c r="O1310">
        <v>17.594152590311499</v>
      </c>
      <c r="P1310">
        <v>1.08442540590976</v>
      </c>
      <c r="Q1310">
        <v>0.56683720235007595</v>
      </c>
      <c r="R1310">
        <v>1.6020136094694499</v>
      </c>
      <c r="S1310">
        <v>16.326131310255398</v>
      </c>
      <c r="T1310">
        <v>4.4035996357848797</v>
      </c>
      <c r="U1310">
        <v>-0.28158353653196599</v>
      </c>
      <c r="V1310">
        <v>3.4708622161749999E-4</v>
      </c>
      <c r="W1310">
        <v>4.1579800614096399E-3</v>
      </c>
      <c r="X1310">
        <v>1</v>
      </c>
      <c r="Y1310">
        <v>1</v>
      </c>
    </row>
    <row r="1311" spans="1:25" x14ac:dyDescent="0.2">
      <c r="A1311" t="s">
        <v>4853</v>
      </c>
      <c r="B1311" t="s">
        <v>4854</v>
      </c>
      <c r="C1311" t="s">
        <v>4855</v>
      </c>
      <c r="D1311" t="s">
        <v>4856</v>
      </c>
      <c r="E1311" t="s">
        <v>4854</v>
      </c>
      <c r="F1311" t="s">
        <v>28</v>
      </c>
      <c r="G1311" t="s">
        <v>4854</v>
      </c>
      <c r="H1311" t="str">
        <f>"nduo-5"</f>
        <v>nduo-5</v>
      </c>
      <c r="I1311" t="s">
        <v>4856</v>
      </c>
      <c r="J1311">
        <v>13.721570411000799</v>
      </c>
      <c r="K1311">
        <v>13.518490569165699</v>
      </c>
      <c r="L1311">
        <v>13.804402359068501</v>
      </c>
      <c r="M1311">
        <v>13.900864635939801</v>
      </c>
      <c r="N1311">
        <v>13.912987301090499</v>
      </c>
      <c r="O1311">
        <v>13.614129340259399</v>
      </c>
      <c r="P1311">
        <v>0.12783931268489801</v>
      </c>
      <c r="Q1311">
        <v>-0.46964712769144401</v>
      </c>
      <c r="R1311">
        <v>0.72532575306124103</v>
      </c>
      <c r="S1311">
        <v>13.7354612303215</v>
      </c>
      <c r="T1311">
        <v>0.449706211800182</v>
      </c>
      <c r="U1311">
        <v>-7.0507689724804896</v>
      </c>
      <c r="V1311">
        <v>0.65832192840047798</v>
      </c>
      <c r="W1311">
        <v>0.77386307259521703</v>
      </c>
      <c r="X1311">
        <v>0</v>
      </c>
      <c r="Y1311">
        <v>0</v>
      </c>
    </row>
    <row r="1312" spans="1:25" x14ac:dyDescent="0.2">
      <c r="A1312" t="s">
        <v>4857</v>
      </c>
      <c r="B1312" t="s">
        <v>4858</v>
      </c>
      <c r="C1312" t="s">
        <v>4859</v>
      </c>
      <c r="D1312" t="s">
        <v>4860</v>
      </c>
      <c r="E1312" t="s">
        <v>4858</v>
      </c>
      <c r="F1312" t="s">
        <v>28</v>
      </c>
      <c r="G1312" t="s">
        <v>4858</v>
      </c>
      <c r="H1312" t="str">
        <f>"hsp-3"</f>
        <v>hsp-3</v>
      </c>
      <c r="I1312" t="s">
        <v>4860</v>
      </c>
      <c r="J1312">
        <v>16.133451024231501</v>
      </c>
      <c r="K1312">
        <v>15.9388307401488</v>
      </c>
      <c r="L1312">
        <v>15.851751628938199</v>
      </c>
      <c r="M1312">
        <v>16.256718339509199</v>
      </c>
      <c r="N1312">
        <v>15.9997200455257</v>
      </c>
      <c r="O1312">
        <v>15.8764116185692</v>
      </c>
      <c r="P1312">
        <v>6.9605536761876904E-2</v>
      </c>
      <c r="Q1312">
        <v>-0.41085530349834898</v>
      </c>
      <c r="R1312">
        <v>0.55006637702210204</v>
      </c>
      <c r="S1312">
        <v>15.797025600044501</v>
      </c>
      <c r="T1312">
        <v>0.30449369444431001</v>
      </c>
      <c r="U1312">
        <v>-7.1077715180834504</v>
      </c>
      <c r="V1312">
        <v>0.764264439467228</v>
      </c>
      <c r="W1312">
        <v>0.85056167035873198</v>
      </c>
      <c r="X1312">
        <v>0</v>
      </c>
      <c r="Y1312">
        <v>0</v>
      </c>
    </row>
    <row r="1313" spans="1:25" x14ac:dyDescent="0.2">
      <c r="A1313" t="s">
        <v>4861</v>
      </c>
      <c r="B1313" t="s">
        <v>4862</v>
      </c>
      <c r="C1313" t="s">
        <v>4863</v>
      </c>
      <c r="D1313" t="s">
        <v>4864</v>
      </c>
      <c r="E1313" t="s">
        <v>4862</v>
      </c>
      <c r="F1313" t="s">
        <v>28</v>
      </c>
      <c r="G1313" t="s">
        <v>4862</v>
      </c>
      <c r="H1313" t="str">
        <f>"ahcy-1"</f>
        <v>ahcy-1</v>
      </c>
      <c r="I1313" t="s">
        <v>4864</v>
      </c>
      <c r="J1313">
        <v>18.2206125993509</v>
      </c>
      <c r="K1313">
        <v>16.914521018867902</v>
      </c>
      <c r="L1313">
        <v>17.521042093510101</v>
      </c>
      <c r="M1313">
        <v>18.377100067606602</v>
      </c>
      <c r="N1313">
        <v>17.762732684900399</v>
      </c>
      <c r="O1313">
        <v>17.2863492634783</v>
      </c>
      <c r="P1313">
        <v>0.25666876808546502</v>
      </c>
      <c r="Q1313">
        <v>-0.81826844398510901</v>
      </c>
      <c r="R1313">
        <v>1.33160598015604</v>
      </c>
      <c r="S1313">
        <v>17.857569739832801</v>
      </c>
      <c r="T1313">
        <v>0.50185983767452302</v>
      </c>
      <c r="U1313">
        <v>-7.02505297235182</v>
      </c>
      <c r="V1313">
        <v>0.62188466907812601</v>
      </c>
      <c r="W1313">
        <v>0.74712357104493998</v>
      </c>
      <c r="X1313">
        <v>0</v>
      </c>
      <c r="Y1313">
        <v>0</v>
      </c>
    </row>
    <row r="1314" spans="1:25" x14ac:dyDescent="0.2">
      <c r="A1314" t="s">
        <v>4865</v>
      </c>
      <c r="B1314" t="s">
        <v>4866</v>
      </c>
      <c r="C1314" t="s">
        <v>4867</v>
      </c>
      <c r="D1314" t="s">
        <v>4868</v>
      </c>
      <c r="E1314" t="s">
        <v>4866</v>
      </c>
      <c r="F1314" t="s">
        <v>28</v>
      </c>
      <c r="G1314" t="s">
        <v>4866</v>
      </c>
      <c r="H1314" t="str">
        <f>"inf-1"</f>
        <v>inf-1</v>
      </c>
      <c r="I1314" t="s">
        <v>4868</v>
      </c>
      <c r="J1314">
        <v>19.6940119549059</v>
      </c>
      <c r="K1314">
        <v>19.604775172852701</v>
      </c>
      <c r="L1314">
        <v>19.682775012786301</v>
      </c>
      <c r="M1314">
        <v>19.547411368761399</v>
      </c>
      <c r="N1314">
        <v>19.553254357684398</v>
      </c>
      <c r="O1314">
        <v>19.479756491413301</v>
      </c>
      <c r="P1314">
        <v>-0.133713307561933</v>
      </c>
      <c r="Q1314">
        <v>-0.48265860481768003</v>
      </c>
      <c r="R1314">
        <v>0.21523198969381299</v>
      </c>
      <c r="S1314">
        <v>19.5779873695097</v>
      </c>
      <c r="T1314">
        <v>-0.80539660611642705</v>
      </c>
      <c r="U1314">
        <v>-6.8219482980885298</v>
      </c>
      <c r="V1314">
        <v>0.43116301085164899</v>
      </c>
      <c r="W1314">
        <v>0.59682357584772705</v>
      </c>
      <c r="X1314">
        <v>0</v>
      </c>
      <c r="Y1314">
        <v>0</v>
      </c>
    </row>
    <row r="1315" spans="1:25" x14ac:dyDescent="0.2">
      <c r="A1315" t="s">
        <v>4869</v>
      </c>
      <c r="B1315" t="s">
        <v>4870</v>
      </c>
      <c r="C1315" t="s">
        <v>4871</v>
      </c>
      <c r="D1315" t="s">
        <v>4872</v>
      </c>
      <c r="E1315" t="s">
        <v>4870</v>
      </c>
      <c r="F1315" t="s">
        <v>28</v>
      </c>
      <c r="G1315" t="s">
        <v>4870</v>
      </c>
      <c r="H1315" t="str">
        <f>"crt-1"</f>
        <v>crt-1</v>
      </c>
      <c r="I1315" t="s">
        <v>4872</v>
      </c>
      <c r="J1315" t="s">
        <v>29</v>
      </c>
      <c r="K1315" t="s">
        <v>29</v>
      </c>
      <c r="L1315" t="s">
        <v>29</v>
      </c>
      <c r="M1315" t="s">
        <v>29</v>
      </c>
      <c r="N1315" t="s">
        <v>29</v>
      </c>
      <c r="O1315" t="s">
        <v>29</v>
      </c>
      <c r="P1315" t="s">
        <v>29</v>
      </c>
      <c r="Q1315" t="s">
        <v>29</v>
      </c>
      <c r="R1315" t="s">
        <v>29</v>
      </c>
      <c r="S1315">
        <v>11.023793573039001</v>
      </c>
      <c r="T1315" t="s">
        <v>29</v>
      </c>
      <c r="U1315" t="s">
        <v>29</v>
      </c>
      <c r="V1315" t="s">
        <v>29</v>
      </c>
      <c r="W1315" t="s">
        <v>29</v>
      </c>
      <c r="X1315" t="s">
        <v>29</v>
      </c>
      <c r="Y1315" t="s">
        <v>29</v>
      </c>
    </row>
    <row r="1316" spans="1:25" x14ac:dyDescent="0.2">
      <c r="A1316" t="s">
        <v>4873</v>
      </c>
      <c r="B1316" t="s">
        <v>4874</v>
      </c>
      <c r="C1316" t="s">
        <v>4875</v>
      </c>
      <c r="D1316" t="s">
        <v>4876</v>
      </c>
      <c r="E1316" t="s">
        <v>4874</v>
      </c>
      <c r="F1316" t="s">
        <v>28</v>
      </c>
      <c r="G1316" t="s">
        <v>4874</v>
      </c>
      <c r="H1316" t="str">
        <f>"ptp-1"</f>
        <v>ptp-1</v>
      </c>
      <c r="I1316" t="s">
        <v>4876</v>
      </c>
      <c r="J1316">
        <v>11.6482819521169</v>
      </c>
      <c r="K1316">
        <v>11.975510872069</v>
      </c>
      <c r="L1316">
        <v>12.004066815682901</v>
      </c>
      <c r="M1316" t="s">
        <v>29</v>
      </c>
      <c r="N1316" t="s">
        <v>29</v>
      </c>
      <c r="O1316">
        <v>11.5285736283797</v>
      </c>
      <c r="P1316">
        <v>-0.34737958490986998</v>
      </c>
      <c r="Q1316">
        <v>-1.0188296660217999</v>
      </c>
      <c r="R1316">
        <v>0.32407049620205702</v>
      </c>
      <c r="S1316">
        <v>11.8921706892166</v>
      </c>
      <c r="T1316">
        <v>-1.09733717203619</v>
      </c>
      <c r="U1316">
        <v>-6.2034116774053896</v>
      </c>
      <c r="V1316">
        <v>0.28884019232651997</v>
      </c>
      <c r="W1316">
        <v>0.45739497409256002</v>
      </c>
      <c r="X1316">
        <v>0</v>
      </c>
      <c r="Y1316">
        <v>0</v>
      </c>
    </row>
    <row r="1317" spans="1:25" x14ac:dyDescent="0.2">
      <c r="A1317" t="s">
        <v>4877</v>
      </c>
      <c r="B1317" t="s">
        <v>4878</v>
      </c>
      <c r="C1317" t="s">
        <v>4879</v>
      </c>
      <c r="D1317" t="s">
        <v>4880</v>
      </c>
      <c r="E1317" t="s">
        <v>4878</v>
      </c>
      <c r="F1317" t="s">
        <v>28</v>
      </c>
      <c r="G1317" t="s">
        <v>4878</v>
      </c>
      <c r="H1317" t="str">
        <f>"eef-2"</f>
        <v>eef-2</v>
      </c>
      <c r="I1317" t="s">
        <v>4880</v>
      </c>
      <c r="J1317">
        <v>20.793748516628799</v>
      </c>
      <c r="K1317">
        <v>20.606651865762402</v>
      </c>
      <c r="L1317">
        <v>20.409050094101602</v>
      </c>
      <c r="M1317">
        <v>20.0677416081502</v>
      </c>
      <c r="N1317">
        <v>20.231151351123099</v>
      </c>
      <c r="O1317">
        <v>20.5165178273542</v>
      </c>
      <c r="P1317">
        <v>-0.331346563288413</v>
      </c>
      <c r="Q1317">
        <v>-0.72536040098551802</v>
      </c>
      <c r="R1317">
        <v>6.2667274408691895E-2</v>
      </c>
      <c r="S1317">
        <v>20.080288048047102</v>
      </c>
      <c r="T1317">
        <v>-1.76751663224728</v>
      </c>
      <c r="U1317">
        <v>-5.6459241903440098</v>
      </c>
      <c r="V1317">
        <v>9.4189251876141203E-2</v>
      </c>
      <c r="W1317">
        <v>0.20886059087959999</v>
      </c>
      <c r="X1317">
        <v>0</v>
      </c>
      <c r="Y1317">
        <v>0</v>
      </c>
    </row>
    <row r="1318" spans="1:25" x14ac:dyDescent="0.2">
      <c r="A1318" t="s">
        <v>4881</v>
      </c>
      <c r="B1318" t="s">
        <v>4882</v>
      </c>
      <c r="C1318" t="s">
        <v>4883</v>
      </c>
      <c r="D1318" t="s">
        <v>4884</v>
      </c>
      <c r="E1318" t="s">
        <v>4882</v>
      </c>
      <c r="F1318" t="s">
        <v>28</v>
      </c>
      <c r="G1318" t="s">
        <v>4882</v>
      </c>
      <c r="H1318" t="str">
        <f>"kin-2"</f>
        <v>kin-2</v>
      </c>
      <c r="I1318" t="s">
        <v>4884</v>
      </c>
      <c r="J1318">
        <v>12.9203387189634</v>
      </c>
      <c r="K1318">
        <v>12.847485197146</v>
      </c>
      <c r="L1318">
        <v>12.8044862138259</v>
      </c>
      <c r="M1318">
        <v>13.745412165752199</v>
      </c>
      <c r="N1318">
        <v>13.410571824245901</v>
      </c>
      <c r="O1318">
        <v>12.8554342858159</v>
      </c>
      <c r="P1318">
        <v>0.47970271529288599</v>
      </c>
      <c r="Q1318">
        <v>3.9892786685990701E-2</v>
      </c>
      <c r="R1318">
        <v>0.91951264389978105</v>
      </c>
      <c r="S1318">
        <v>13.148692295955501</v>
      </c>
      <c r="T1318">
        <v>2.2924488835289001</v>
      </c>
      <c r="U1318">
        <v>-4.74021669881198</v>
      </c>
      <c r="V1318">
        <v>3.4221640389681902E-2</v>
      </c>
      <c r="W1318">
        <v>0.106495432131354</v>
      </c>
      <c r="X1318">
        <v>0</v>
      </c>
      <c r="Y1318">
        <v>0</v>
      </c>
    </row>
    <row r="1319" spans="1:25" x14ac:dyDescent="0.2">
      <c r="A1319" t="s">
        <v>4885</v>
      </c>
      <c r="B1319" t="s">
        <v>4886</v>
      </c>
      <c r="C1319" t="s">
        <v>4887</v>
      </c>
      <c r="D1319" t="s">
        <v>4888</v>
      </c>
      <c r="E1319" t="s">
        <v>4886</v>
      </c>
      <c r="F1319" t="s">
        <v>28</v>
      </c>
      <c r="G1319" t="s">
        <v>4886</v>
      </c>
      <c r="H1319" t="str">
        <f>"unc-32"</f>
        <v>unc-32</v>
      </c>
      <c r="I1319" t="s">
        <v>4888</v>
      </c>
      <c r="J1319">
        <v>12.678985737743499</v>
      </c>
      <c r="K1319">
        <v>12.4116504323631</v>
      </c>
      <c r="L1319">
        <v>12.548450051133701</v>
      </c>
      <c r="M1319">
        <v>12.1530375091293</v>
      </c>
      <c r="N1319">
        <v>12.4922523319517</v>
      </c>
      <c r="O1319">
        <v>12.2655088375065</v>
      </c>
      <c r="P1319">
        <v>-0.24276251421762901</v>
      </c>
      <c r="Q1319">
        <v>-0.64872920098534703</v>
      </c>
      <c r="R1319">
        <v>0.16320417255008901</v>
      </c>
      <c r="S1319">
        <v>12.5075802980641</v>
      </c>
      <c r="T1319">
        <v>-1.2568508482799801</v>
      </c>
      <c r="U1319">
        <v>-6.3620757009265096</v>
      </c>
      <c r="V1319">
        <v>0.22496600853974</v>
      </c>
      <c r="W1319">
        <v>0.389526925479797</v>
      </c>
      <c r="X1319">
        <v>0</v>
      </c>
      <c r="Y1319">
        <v>0</v>
      </c>
    </row>
    <row r="1320" spans="1:25" x14ac:dyDescent="0.2">
      <c r="A1320" t="s">
        <v>4889</v>
      </c>
      <c r="B1320" t="s">
        <v>4890</v>
      </c>
      <c r="C1320" t="s">
        <v>4891</v>
      </c>
      <c r="D1320" t="s">
        <v>4892</v>
      </c>
      <c r="E1320" t="s">
        <v>4890</v>
      </c>
      <c r="F1320" t="s">
        <v>28</v>
      </c>
      <c r="G1320" t="s">
        <v>4890</v>
      </c>
      <c r="H1320" t="str">
        <f>"lin-9"</f>
        <v>lin-9</v>
      </c>
      <c r="I1320" t="s">
        <v>4892</v>
      </c>
      <c r="J1320" t="s">
        <v>29</v>
      </c>
      <c r="K1320">
        <v>11.572713161045399</v>
      </c>
      <c r="L1320">
        <v>11.4304335388049</v>
      </c>
      <c r="M1320" t="s">
        <v>29</v>
      </c>
      <c r="N1320" t="s">
        <v>29</v>
      </c>
      <c r="O1320">
        <v>12.069785136302499</v>
      </c>
      <c r="P1320">
        <v>0.568211786377402</v>
      </c>
      <c r="Q1320">
        <v>-0.17571946658577101</v>
      </c>
      <c r="R1320">
        <v>1.31214303934058</v>
      </c>
      <c r="S1320">
        <v>12.2802935066216</v>
      </c>
      <c r="T1320">
        <v>1.65144714450848</v>
      </c>
      <c r="U1320">
        <v>-5.4411511118722098</v>
      </c>
      <c r="V1320">
        <v>0.12277639939103201</v>
      </c>
      <c r="W1320">
        <v>0.25214080070060801</v>
      </c>
      <c r="X1320">
        <v>0</v>
      </c>
      <c r="Y1320">
        <v>0</v>
      </c>
    </row>
    <row r="1321" spans="1:25" x14ac:dyDescent="0.2">
      <c r="A1321" t="s">
        <v>4893</v>
      </c>
      <c r="B1321" t="s">
        <v>4894</v>
      </c>
      <c r="C1321" t="s">
        <v>4895</v>
      </c>
      <c r="D1321" t="s">
        <v>4896</v>
      </c>
      <c r="E1321" t="s">
        <v>4894</v>
      </c>
      <c r="F1321" t="s">
        <v>28</v>
      </c>
      <c r="G1321" t="s">
        <v>4894</v>
      </c>
      <c r="H1321" t="str">
        <f>"rpap-2"</f>
        <v>rpap-2</v>
      </c>
      <c r="I1321" t="s">
        <v>4896</v>
      </c>
      <c r="J1321" t="s">
        <v>29</v>
      </c>
      <c r="K1321">
        <v>9.2119993413352805</v>
      </c>
      <c r="L1321">
        <v>11.290721356418301</v>
      </c>
      <c r="M1321" t="s">
        <v>29</v>
      </c>
      <c r="N1321" t="s">
        <v>29</v>
      </c>
      <c r="O1321">
        <v>13.8740050949869</v>
      </c>
      <c r="P1321">
        <v>3.6226447461101299</v>
      </c>
      <c r="Q1321">
        <v>2.1904793466379102</v>
      </c>
      <c r="R1321">
        <v>5.0548101455823398</v>
      </c>
      <c r="S1321">
        <v>12.9825181951462</v>
      </c>
      <c r="T1321">
        <v>5.3947854289519004</v>
      </c>
      <c r="U1321">
        <v>1.6495529817864201</v>
      </c>
      <c r="V1321" s="2">
        <v>7.6243064385377396E-5</v>
      </c>
      <c r="W1321">
        <v>1.4131340298346401E-3</v>
      </c>
      <c r="X1321">
        <v>1</v>
      </c>
      <c r="Y1321">
        <v>1</v>
      </c>
    </row>
    <row r="1322" spans="1:25" x14ac:dyDescent="0.2">
      <c r="A1322" t="s">
        <v>4897</v>
      </c>
      <c r="B1322" t="s">
        <v>4898</v>
      </c>
      <c r="C1322" t="s">
        <v>4899</v>
      </c>
      <c r="D1322" t="s">
        <v>4900</v>
      </c>
      <c r="E1322" t="s">
        <v>4898</v>
      </c>
      <c r="F1322" t="s">
        <v>28</v>
      </c>
      <c r="G1322" t="s">
        <v>4898</v>
      </c>
      <c r="H1322" t="str">
        <f>"eif-3.D"</f>
        <v>eif-3.D</v>
      </c>
      <c r="I1322" t="s">
        <v>4900</v>
      </c>
      <c r="J1322">
        <v>12.417267004682801</v>
      </c>
      <c r="K1322">
        <v>13.002173721334101</v>
      </c>
      <c r="L1322">
        <v>13.191400709695399</v>
      </c>
      <c r="M1322">
        <v>13.2126476855244</v>
      </c>
      <c r="N1322">
        <v>13.2642904552867</v>
      </c>
      <c r="O1322">
        <v>13.542595162159699</v>
      </c>
      <c r="P1322">
        <v>0.46956395575287502</v>
      </c>
      <c r="Q1322">
        <v>-0.16643725111121599</v>
      </c>
      <c r="R1322">
        <v>1.10556516261697</v>
      </c>
      <c r="S1322">
        <v>13.390757577320599</v>
      </c>
      <c r="T1322">
        <v>1.5517770550185701</v>
      </c>
      <c r="U1322">
        <v>-5.9711512201808299</v>
      </c>
      <c r="V1322">
        <v>0.13822119315884601</v>
      </c>
      <c r="W1322">
        <v>0.27541437203456298</v>
      </c>
      <c r="X1322">
        <v>0</v>
      </c>
      <c r="Y1322">
        <v>0</v>
      </c>
    </row>
    <row r="1323" spans="1:25" x14ac:dyDescent="0.2">
      <c r="A1323" t="s">
        <v>4901</v>
      </c>
      <c r="B1323" t="s">
        <v>4902</v>
      </c>
      <c r="C1323" t="s">
        <v>4903</v>
      </c>
      <c r="D1323" t="s">
        <v>4904</v>
      </c>
      <c r="E1323" t="s">
        <v>4902</v>
      </c>
      <c r="F1323" t="s">
        <v>28</v>
      </c>
      <c r="G1323" t="s">
        <v>4902</v>
      </c>
      <c r="H1323" t="str">
        <f>"R08D7.7"</f>
        <v>R08D7.7</v>
      </c>
      <c r="I1323" t="s">
        <v>4904</v>
      </c>
      <c r="J1323" t="s">
        <v>29</v>
      </c>
      <c r="K1323" t="s">
        <v>29</v>
      </c>
      <c r="L1323">
        <v>9.7712819902856296</v>
      </c>
      <c r="M1323" t="s">
        <v>29</v>
      </c>
      <c r="N1323" t="s">
        <v>29</v>
      </c>
      <c r="O1323" t="s">
        <v>29</v>
      </c>
      <c r="P1323" t="s">
        <v>29</v>
      </c>
      <c r="Q1323" t="s">
        <v>29</v>
      </c>
      <c r="R1323" t="s">
        <v>29</v>
      </c>
      <c r="S1323">
        <v>11.4793086465834</v>
      </c>
      <c r="T1323" t="s">
        <v>29</v>
      </c>
      <c r="U1323" t="s">
        <v>29</v>
      </c>
      <c r="V1323" t="s">
        <v>29</v>
      </c>
      <c r="W1323" t="s">
        <v>29</v>
      </c>
      <c r="X1323" t="s">
        <v>29</v>
      </c>
      <c r="Y1323" t="s">
        <v>29</v>
      </c>
    </row>
    <row r="1324" spans="1:25" x14ac:dyDescent="0.2">
      <c r="A1324" t="s">
        <v>4905</v>
      </c>
      <c r="B1324" t="s">
        <v>4906</v>
      </c>
      <c r="C1324" t="s">
        <v>4907</v>
      </c>
      <c r="D1324" t="s">
        <v>4908</v>
      </c>
      <c r="E1324" t="s">
        <v>4906</v>
      </c>
      <c r="F1324" t="s">
        <v>28</v>
      </c>
      <c r="G1324" t="s">
        <v>4906</v>
      </c>
      <c r="H1324" t="str">
        <f>"ZK643.5"</f>
        <v>ZK643.5</v>
      </c>
      <c r="I1324" t="s">
        <v>4908</v>
      </c>
      <c r="J1324">
        <v>13.6841527854855</v>
      </c>
      <c r="K1324">
        <v>13.779958378507001</v>
      </c>
      <c r="L1324">
        <v>13.894214284560499</v>
      </c>
      <c r="M1324" t="s">
        <v>29</v>
      </c>
      <c r="N1324">
        <v>13.2508910281037</v>
      </c>
      <c r="O1324">
        <v>13.1574700002668</v>
      </c>
      <c r="P1324">
        <v>-0.58192796866571495</v>
      </c>
      <c r="Q1324">
        <v>-1.05742065811898</v>
      </c>
      <c r="R1324">
        <v>-0.10643527921245</v>
      </c>
      <c r="S1324">
        <v>13.841572109825901</v>
      </c>
      <c r="T1324">
        <v>-2.5833033060594</v>
      </c>
      <c r="U1324">
        <v>-4.0931879805353697</v>
      </c>
      <c r="V1324">
        <v>1.9402244621730801E-2</v>
      </c>
      <c r="W1324">
        <v>7.1832179522915193E-2</v>
      </c>
      <c r="X1324">
        <v>0</v>
      </c>
      <c r="Y1324">
        <v>0</v>
      </c>
    </row>
    <row r="1325" spans="1:25" x14ac:dyDescent="0.2">
      <c r="A1325" t="s">
        <v>4909</v>
      </c>
      <c r="B1325" t="s">
        <v>4910</v>
      </c>
      <c r="C1325" t="s">
        <v>4911</v>
      </c>
      <c r="D1325" t="s">
        <v>4912</v>
      </c>
      <c r="E1325" t="s">
        <v>4910</v>
      </c>
      <c r="F1325" t="s">
        <v>28</v>
      </c>
      <c r="G1325" t="s">
        <v>4910</v>
      </c>
      <c r="H1325" t="str">
        <f>"ikke-1"</f>
        <v>ikke-1</v>
      </c>
      <c r="I1325" t="s">
        <v>4912</v>
      </c>
      <c r="J1325">
        <v>12.875221640629199</v>
      </c>
      <c r="K1325">
        <v>13.0837605169136</v>
      </c>
      <c r="L1325">
        <v>12.439438507389401</v>
      </c>
      <c r="M1325" t="s">
        <v>29</v>
      </c>
      <c r="N1325" t="s">
        <v>29</v>
      </c>
      <c r="O1325">
        <v>12.6054408886015</v>
      </c>
      <c r="P1325">
        <v>-0.19403266637588601</v>
      </c>
      <c r="Q1325">
        <v>-0.88849533472904696</v>
      </c>
      <c r="R1325">
        <v>0.50043000197727405</v>
      </c>
      <c r="S1325">
        <v>12.4814254078901</v>
      </c>
      <c r="T1325">
        <v>-0.59589199717296903</v>
      </c>
      <c r="U1325">
        <v>-6.62770582833648</v>
      </c>
      <c r="V1325">
        <v>0.56019414247731603</v>
      </c>
      <c r="W1325">
        <v>0.70310568052838496</v>
      </c>
      <c r="X1325">
        <v>0</v>
      </c>
      <c r="Y1325">
        <v>0</v>
      </c>
    </row>
    <row r="1326" spans="1:25" x14ac:dyDescent="0.2">
      <c r="A1326" t="s">
        <v>4913</v>
      </c>
      <c r="B1326" t="s">
        <v>4914</v>
      </c>
      <c r="C1326" t="s">
        <v>4915</v>
      </c>
      <c r="D1326" t="s">
        <v>4916</v>
      </c>
      <c r="E1326" t="s">
        <v>4914</v>
      </c>
      <c r="F1326" t="s">
        <v>28</v>
      </c>
      <c r="G1326" t="s">
        <v>4914</v>
      </c>
      <c r="H1326" t="str">
        <f>"cls-2"</f>
        <v>cls-2</v>
      </c>
      <c r="I1326" t="s">
        <v>4916</v>
      </c>
      <c r="J1326">
        <v>12.037630720653899</v>
      </c>
      <c r="K1326" t="s">
        <v>29</v>
      </c>
      <c r="L1326">
        <v>12.2706671413249</v>
      </c>
      <c r="M1326" t="s">
        <v>29</v>
      </c>
      <c r="N1326">
        <v>13.2002007095348</v>
      </c>
      <c r="O1326">
        <v>12.324736242086701</v>
      </c>
      <c r="P1326">
        <v>0.60831954482138395</v>
      </c>
      <c r="Q1326">
        <v>-2.8097368243604801E-2</v>
      </c>
      <c r="R1326">
        <v>1.24473645788637</v>
      </c>
      <c r="S1326">
        <v>12.7268573580008</v>
      </c>
      <c r="T1326">
        <v>2.0274006777269702</v>
      </c>
      <c r="U1326">
        <v>-5.0316269257435398</v>
      </c>
      <c r="V1326">
        <v>5.9730920974267798E-2</v>
      </c>
      <c r="W1326">
        <v>0.15427434190286399</v>
      </c>
      <c r="X1326">
        <v>0</v>
      </c>
      <c r="Y1326">
        <v>0</v>
      </c>
    </row>
    <row r="1327" spans="1:25" x14ac:dyDescent="0.2">
      <c r="A1327" t="s">
        <v>4917</v>
      </c>
      <c r="B1327" t="s">
        <v>4918</v>
      </c>
      <c r="C1327" t="s">
        <v>4919</v>
      </c>
      <c r="D1327" t="s">
        <v>4920</v>
      </c>
      <c r="E1327" t="s">
        <v>4918</v>
      </c>
      <c r="F1327" t="s">
        <v>28</v>
      </c>
      <c r="G1327" t="s">
        <v>4918</v>
      </c>
      <c r="H1327" t="str">
        <f>"hars-1"</f>
        <v>hars-1</v>
      </c>
      <c r="I1327" t="s">
        <v>4920</v>
      </c>
      <c r="J1327">
        <v>15.7609705429056</v>
      </c>
      <c r="K1327">
        <v>15.562979121534401</v>
      </c>
      <c r="L1327">
        <v>15.7659110390567</v>
      </c>
      <c r="M1327">
        <v>15.414904948050699</v>
      </c>
      <c r="N1327">
        <v>15.9224818638739</v>
      </c>
      <c r="O1327">
        <v>15.629873483793199</v>
      </c>
      <c r="P1327">
        <v>-4.0866802593004799E-2</v>
      </c>
      <c r="Q1327">
        <v>-0.49762553163557599</v>
      </c>
      <c r="R1327">
        <v>0.41589192644956702</v>
      </c>
      <c r="S1327">
        <v>15.402613516404999</v>
      </c>
      <c r="T1327">
        <v>-0.18805129014014499</v>
      </c>
      <c r="U1327">
        <v>-7.1377621008731298</v>
      </c>
      <c r="V1327">
        <v>0.852952421315328</v>
      </c>
      <c r="W1327">
        <v>0.90745515726219195</v>
      </c>
      <c r="X1327">
        <v>0</v>
      </c>
      <c r="Y1327">
        <v>0</v>
      </c>
    </row>
    <row r="1328" spans="1:25" x14ac:dyDescent="0.2">
      <c r="A1328" t="s">
        <v>4921</v>
      </c>
      <c r="B1328" t="s">
        <v>4922</v>
      </c>
      <c r="C1328" t="s">
        <v>4923</v>
      </c>
      <c r="D1328" t="s">
        <v>4924</v>
      </c>
      <c r="E1328" t="s">
        <v>4922</v>
      </c>
      <c r="F1328" t="s">
        <v>28</v>
      </c>
      <c r="G1328" t="s">
        <v>4922</v>
      </c>
      <c r="H1328" t="str">
        <f>"rab-6.1"</f>
        <v>rab-6.1</v>
      </c>
      <c r="I1328" t="s">
        <v>4924</v>
      </c>
      <c r="J1328">
        <v>13.7676503706313</v>
      </c>
      <c r="K1328">
        <v>13.8404997781928</v>
      </c>
      <c r="L1328">
        <v>13.762230149788699</v>
      </c>
      <c r="M1328" t="s">
        <v>29</v>
      </c>
      <c r="N1328">
        <v>13.14349368575</v>
      </c>
      <c r="O1328">
        <v>13.400175756041399</v>
      </c>
      <c r="P1328">
        <v>-0.51829204530856998</v>
      </c>
      <c r="Q1328">
        <v>-1.0712844552958101</v>
      </c>
      <c r="R1328">
        <v>3.4700364678672699E-2</v>
      </c>
      <c r="S1328">
        <v>13.2942351873172</v>
      </c>
      <c r="T1328">
        <v>-1.9783602892157699</v>
      </c>
      <c r="U1328">
        <v>-5.1965530892018004</v>
      </c>
      <c r="V1328">
        <v>6.4430100649503996E-2</v>
      </c>
      <c r="W1328">
        <v>0.162425583074498</v>
      </c>
      <c r="X1328">
        <v>0</v>
      </c>
      <c r="Y1328">
        <v>0</v>
      </c>
    </row>
    <row r="1329" spans="1:25" x14ac:dyDescent="0.2">
      <c r="A1329" t="s">
        <v>4925</v>
      </c>
      <c r="B1329" t="s">
        <v>4926</v>
      </c>
      <c r="C1329" t="s">
        <v>4927</v>
      </c>
      <c r="D1329" t="s">
        <v>4928</v>
      </c>
      <c r="E1329" t="s">
        <v>4926</v>
      </c>
      <c r="F1329" t="s">
        <v>28</v>
      </c>
      <c r="G1329" t="s">
        <v>4926</v>
      </c>
      <c r="H1329" t="str">
        <f>"B0303.3"</f>
        <v>B0303.3</v>
      </c>
      <c r="I1329" t="s">
        <v>4928</v>
      </c>
      <c r="J1329">
        <v>17.771135592508099</v>
      </c>
      <c r="K1329">
        <v>18.119841340557301</v>
      </c>
      <c r="L1329">
        <v>17.827289936287102</v>
      </c>
      <c r="M1329">
        <v>16.557641878837199</v>
      </c>
      <c r="N1329">
        <v>17.561209125903499</v>
      </c>
      <c r="O1329">
        <v>17.461059492557101</v>
      </c>
      <c r="P1329">
        <v>-0.71278545735152898</v>
      </c>
      <c r="Q1329">
        <v>-1.21400474604315</v>
      </c>
      <c r="R1329">
        <v>-0.21156616865990699</v>
      </c>
      <c r="S1329">
        <v>17.904837432942401</v>
      </c>
      <c r="T1329">
        <v>-2.98898384477853</v>
      </c>
      <c r="U1329">
        <v>-3.3584911741434098</v>
      </c>
      <c r="V1329">
        <v>7.9086437353180893E-3</v>
      </c>
      <c r="W1329">
        <v>3.8523591880962701E-2</v>
      </c>
      <c r="X1329">
        <v>0</v>
      </c>
      <c r="Y1329">
        <v>0</v>
      </c>
    </row>
    <row r="1330" spans="1:25" x14ac:dyDescent="0.2">
      <c r="A1330" t="s">
        <v>4929</v>
      </c>
      <c r="B1330" t="s">
        <v>4930</v>
      </c>
      <c r="C1330" t="s">
        <v>4931</v>
      </c>
      <c r="D1330" t="s">
        <v>4932</v>
      </c>
      <c r="E1330" t="s">
        <v>4930</v>
      </c>
      <c r="F1330" t="s">
        <v>28</v>
      </c>
      <c r="G1330" t="s">
        <v>4930</v>
      </c>
      <c r="H1330" t="str">
        <f>"vps-33.1"</f>
        <v>vps-33.1</v>
      </c>
      <c r="I1330" t="s">
        <v>4932</v>
      </c>
      <c r="J1330">
        <v>11.7695627005315</v>
      </c>
      <c r="K1330" t="s">
        <v>29</v>
      </c>
      <c r="L1330">
        <v>11.077787692174301</v>
      </c>
      <c r="M1330" t="s">
        <v>29</v>
      </c>
      <c r="N1330" t="s">
        <v>29</v>
      </c>
      <c r="O1330">
        <v>11.377321776438899</v>
      </c>
      <c r="P1330">
        <v>-4.6353419914027E-2</v>
      </c>
      <c r="Q1330">
        <v>-1.1411110020034601</v>
      </c>
      <c r="R1330">
        <v>1.0484041621754101</v>
      </c>
      <c r="S1330">
        <v>11.2324063703207</v>
      </c>
      <c r="T1330">
        <v>-9.0303675190421706E-2</v>
      </c>
      <c r="U1330">
        <v>-6.7502573673600397</v>
      </c>
      <c r="V1330">
        <v>0.92924904938390496</v>
      </c>
      <c r="W1330">
        <v>0.95951134265920401</v>
      </c>
      <c r="X1330">
        <v>0</v>
      </c>
      <c r="Y1330">
        <v>0</v>
      </c>
    </row>
    <row r="1331" spans="1:25" x14ac:dyDescent="0.2">
      <c r="A1331" t="s">
        <v>4933</v>
      </c>
      <c r="B1331" t="s">
        <v>4934</v>
      </c>
      <c r="C1331" t="s">
        <v>4935</v>
      </c>
      <c r="D1331" t="s">
        <v>4936</v>
      </c>
      <c r="E1331" t="s">
        <v>4934</v>
      </c>
      <c r="F1331" t="s">
        <v>28</v>
      </c>
      <c r="G1331" t="s">
        <v>4934</v>
      </c>
      <c r="H1331" t="str">
        <f>"B0303.11"</f>
        <v>B0303.11</v>
      </c>
      <c r="I1331" t="s">
        <v>4936</v>
      </c>
      <c r="J1331">
        <v>12.336960535858401</v>
      </c>
      <c r="K1331" t="s">
        <v>29</v>
      </c>
      <c r="L1331">
        <v>12.185336549934201</v>
      </c>
      <c r="M1331" t="s">
        <v>29</v>
      </c>
      <c r="N1331">
        <v>12.7961478785708</v>
      </c>
      <c r="O1331" t="s">
        <v>29</v>
      </c>
      <c r="P1331">
        <v>0.53499933567454305</v>
      </c>
      <c r="Q1331">
        <v>-0.43384982420054202</v>
      </c>
      <c r="R1331">
        <v>1.5038484955496301</v>
      </c>
      <c r="S1331">
        <v>12.691131263191901</v>
      </c>
      <c r="T1331">
        <v>1.1777108647617101</v>
      </c>
      <c r="U1331">
        <v>-6.0567932476402699</v>
      </c>
      <c r="V1331">
        <v>0.25738707936383398</v>
      </c>
      <c r="W1331">
        <v>0.424465429706334</v>
      </c>
      <c r="X1331">
        <v>0</v>
      </c>
      <c r="Y1331">
        <v>0</v>
      </c>
    </row>
    <row r="1332" spans="1:25" x14ac:dyDescent="0.2">
      <c r="A1332" t="s">
        <v>4937</v>
      </c>
      <c r="B1332" t="s">
        <v>4938</v>
      </c>
      <c r="C1332" t="s">
        <v>4939</v>
      </c>
      <c r="D1332" t="s">
        <v>4940</v>
      </c>
      <c r="E1332" t="s">
        <v>4938</v>
      </c>
      <c r="F1332" t="s">
        <v>28</v>
      </c>
      <c r="G1332" t="s">
        <v>4938</v>
      </c>
      <c r="H1332" t="str">
        <f>"pgl-2"</f>
        <v>pgl-2</v>
      </c>
      <c r="I1332" t="s">
        <v>4940</v>
      </c>
      <c r="J1332" t="s">
        <v>29</v>
      </c>
      <c r="K1332" t="s">
        <v>29</v>
      </c>
      <c r="L1332">
        <v>11.004057230573199</v>
      </c>
      <c r="M1332" t="s">
        <v>29</v>
      </c>
      <c r="N1332">
        <v>12.6151225420522</v>
      </c>
      <c r="O1332">
        <v>12.777189926687701</v>
      </c>
      <c r="P1332">
        <v>1.6920990037966701</v>
      </c>
      <c r="Q1332">
        <v>0.99037531814593105</v>
      </c>
      <c r="R1332">
        <v>2.3938226894474099</v>
      </c>
      <c r="S1332">
        <v>13.029416459793399</v>
      </c>
      <c r="T1332">
        <v>5.3805481779462401</v>
      </c>
      <c r="U1332">
        <v>0.48705147478938698</v>
      </c>
      <c r="V1332">
        <v>3.2127266500170301E-4</v>
      </c>
      <c r="W1332">
        <v>3.8962573817284702E-3</v>
      </c>
      <c r="X1332">
        <v>1</v>
      </c>
      <c r="Y1332">
        <v>1</v>
      </c>
    </row>
    <row r="1333" spans="1:25" x14ac:dyDescent="0.2">
      <c r="A1333" t="s">
        <v>4941</v>
      </c>
      <c r="B1333" t="s">
        <v>4942</v>
      </c>
      <c r="C1333" t="s">
        <v>4943</v>
      </c>
      <c r="D1333" t="s">
        <v>4944</v>
      </c>
      <c r="E1333" t="s">
        <v>4942</v>
      </c>
      <c r="F1333" t="s">
        <v>28</v>
      </c>
      <c r="G1333" t="s">
        <v>4942</v>
      </c>
      <c r="H1333" t="str">
        <f>"fli-1"</f>
        <v>fli-1</v>
      </c>
      <c r="I1333" t="s">
        <v>4944</v>
      </c>
      <c r="J1333">
        <v>12.3950615498464</v>
      </c>
      <c r="K1333">
        <v>12.4145588552809</v>
      </c>
      <c r="L1333">
        <v>12.2396601654028</v>
      </c>
      <c r="M1333" t="s">
        <v>29</v>
      </c>
      <c r="N1333">
        <v>13.588740377650799</v>
      </c>
      <c r="O1333">
        <v>13.688241874050499</v>
      </c>
      <c r="P1333">
        <v>1.28873093567393</v>
      </c>
      <c r="Q1333">
        <v>0.53041261379849602</v>
      </c>
      <c r="R1333">
        <v>2.0470492575493702</v>
      </c>
      <c r="S1333">
        <v>12.792130513220499</v>
      </c>
      <c r="T1333">
        <v>3.6046261948765399</v>
      </c>
      <c r="U1333">
        <v>-2.04988423287107</v>
      </c>
      <c r="V1333">
        <v>2.3976491146869799E-3</v>
      </c>
      <c r="W1333">
        <v>1.6432260327866401E-2</v>
      </c>
      <c r="X1333">
        <v>1</v>
      </c>
      <c r="Y1333">
        <v>1</v>
      </c>
    </row>
    <row r="1334" spans="1:25" x14ac:dyDescent="0.2">
      <c r="A1334" t="s">
        <v>4945</v>
      </c>
      <c r="B1334" t="s">
        <v>4946</v>
      </c>
      <c r="C1334" t="s">
        <v>4947</v>
      </c>
      <c r="D1334" t="s">
        <v>4948</v>
      </c>
      <c r="E1334" t="s">
        <v>4946</v>
      </c>
      <c r="F1334" t="s">
        <v>28</v>
      </c>
      <c r="G1334" t="s">
        <v>4946</v>
      </c>
      <c r="H1334" t="str">
        <f>"acdh-6"</f>
        <v>acdh-6</v>
      </c>
      <c r="I1334" t="s">
        <v>4948</v>
      </c>
      <c r="J1334" t="s">
        <v>29</v>
      </c>
      <c r="K1334" t="s">
        <v>29</v>
      </c>
      <c r="L1334" t="s">
        <v>29</v>
      </c>
      <c r="M1334" t="s">
        <v>29</v>
      </c>
      <c r="N1334" t="s">
        <v>29</v>
      </c>
      <c r="O1334">
        <v>11.677224967757001</v>
      </c>
      <c r="P1334" t="s">
        <v>29</v>
      </c>
      <c r="Q1334" t="s">
        <v>29</v>
      </c>
      <c r="R1334" t="s">
        <v>29</v>
      </c>
      <c r="S1334">
        <v>12.2184707988736</v>
      </c>
      <c r="T1334" t="s">
        <v>29</v>
      </c>
      <c r="U1334" t="s">
        <v>29</v>
      </c>
      <c r="V1334" t="s">
        <v>29</v>
      </c>
      <c r="W1334" t="s">
        <v>29</v>
      </c>
      <c r="X1334" t="s">
        <v>29</v>
      </c>
      <c r="Y1334" t="s">
        <v>29</v>
      </c>
    </row>
    <row r="1335" spans="1:25" x14ac:dyDescent="0.2">
      <c r="A1335" t="s">
        <v>4949</v>
      </c>
      <c r="B1335" t="s">
        <v>4950</v>
      </c>
      <c r="C1335" t="s">
        <v>4951</v>
      </c>
      <c r="D1335" t="s">
        <v>4952</v>
      </c>
      <c r="E1335" t="s">
        <v>4950</v>
      </c>
      <c r="F1335" t="s">
        <v>28</v>
      </c>
      <c r="G1335" t="s">
        <v>4950</v>
      </c>
      <c r="H1335" t="str">
        <f>"C02F5.3"</f>
        <v>C02F5.3</v>
      </c>
      <c r="I1335" t="s">
        <v>4952</v>
      </c>
      <c r="J1335">
        <v>15.705901640352501</v>
      </c>
      <c r="K1335">
        <v>15.7118138690591</v>
      </c>
      <c r="L1335">
        <v>15.3069952538028</v>
      </c>
      <c r="M1335">
        <v>15.1276620098399</v>
      </c>
      <c r="N1335">
        <v>14.9507494804785</v>
      </c>
      <c r="O1335">
        <v>15.5620812567443</v>
      </c>
      <c r="P1335">
        <v>-0.3614060053839</v>
      </c>
      <c r="Q1335">
        <v>-0.76867642928179103</v>
      </c>
      <c r="R1335">
        <v>4.5864418513991298E-2</v>
      </c>
      <c r="S1335">
        <v>15.2550588730843</v>
      </c>
      <c r="T1335">
        <v>-1.8651123823731</v>
      </c>
      <c r="U1335">
        <v>-5.4890168934283396</v>
      </c>
      <c r="V1335">
        <v>7.8649677372803303E-2</v>
      </c>
      <c r="W1335">
        <v>0.18512827413550401</v>
      </c>
      <c r="X1335">
        <v>0</v>
      </c>
      <c r="Y1335">
        <v>0</v>
      </c>
    </row>
    <row r="1336" spans="1:25" x14ac:dyDescent="0.2">
      <c r="A1336" t="s">
        <v>4953</v>
      </c>
      <c r="B1336" t="s">
        <v>4954</v>
      </c>
      <c r="C1336" t="s">
        <v>4955</v>
      </c>
      <c r="D1336" t="s">
        <v>4956</v>
      </c>
      <c r="E1336" t="s">
        <v>4954</v>
      </c>
      <c r="F1336" t="s">
        <v>28</v>
      </c>
      <c r="G1336" t="s">
        <v>4954</v>
      </c>
      <c r="H1336" t="str">
        <f>"cids-1"</f>
        <v>cids-1</v>
      </c>
      <c r="I1336" t="s">
        <v>4956</v>
      </c>
      <c r="J1336">
        <v>12.435510802300801</v>
      </c>
      <c r="K1336" t="s">
        <v>29</v>
      </c>
      <c r="L1336">
        <v>11.891347681015199</v>
      </c>
      <c r="M1336" t="s">
        <v>29</v>
      </c>
      <c r="N1336" t="s">
        <v>29</v>
      </c>
      <c r="O1336">
        <v>11.860364955508199</v>
      </c>
      <c r="P1336">
        <v>-0.303064286149828</v>
      </c>
      <c r="Q1336">
        <v>-1.2004447248725301</v>
      </c>
      <c r="R1336">
        <v>0.59431615257287196</v>
      </c>
      <c r="S1336">
        <v>12.3430216259137</v>
      </c>
      <c r="T1336">
        <v>-0.73020601655442796</v>
      </c>
      <c r="U1336">
        <v>-6.4768788614302704</v>
      </c>
      <c r="V1336">
        <v>0.47832115365767902</v>
      </c>
      <c r="W1336">
        <v>0.638411431082056</v>
      </c>
      <c r="X1336">
        <v>0</v>
      </c>
      <c r="Y1336">
        <v>0</v>
      </c>
    </row>
    <row r="1337" spans="1:25" x14ac:dyDescent="0.2">
      <c r="A1337" t="s">
        <v>4957</v>
      </c>
      <c r="B1337" t="s">
        <v>4958</v>
      </c>
      <c r="C1337" t="s">
        <v>4959</v>
      </c>
      <c r="D1337" t="s">
        <v>4960</v>
      </c>
      <c r="E1337" t="s">
        <v>4958</v>
      </c>
      <c r="F1337" t="s">
        <v>28</v>
      </c>
      <c r="G1337" t="s">
        <v>4958</v>
      </c>
      <c r="H1337" t="str">
        <f>"henn-1"</f>
        <v>henn-1</v>
      </c>
      <c r="I1337" t="s">
        <v>4960</v>
      </c>
      <c r="J1337">
        <v>12.8673285835039</v>
      </c>
      <c r="K1337">
        <v>13.4447433436429</v>
      </c>
      <c r="L1337">
        <v>12.8128175033816</v>
      </c>
      <c r="M1337" t="s">
        <v>29</v>
      </c>
      <c r="N1337">
        <v>11.457213030887599</v>
      </c>
      <c r="O1337">
        <v>12.5667842733084</v>
      </c>
      <c r="P1337">
        <v>-1.0296311580781801</v>
      </c>
      <c r="Q1337">
        <v>-1.7780044992006601</v>
      </c>
      <c r="R1337">
        <v>-0.28125781695569402</v>
      </c>
      <c r="S1337">
        <v>12.931435864163401</v>
      </c>
      <c r="T1337">
        <v>-2.90411213220762</v>
      </c>
      <c r="U1337">
        <v>-3.4555639202300101</v>
      </c>
      <c r="V1337">
        <v>9.9230052773677194E-3</v>
      </c>
      <c r="W1337">
        <v>4.5479154824887499E-2</v>
      </c>
      <c r="X1337">
        <v>-1</v>
      </c>
      <c r="Y1337">
        <v>-1</v>
      </c>
    </row>
    <row r="1338" spans="1:25" x14ac:dyDescent="0.2">
      <c r="A1338" t="s">
        <v>4961</v>
      </c>
      <c r="B1338" t="s">
        <v>4962</v>
      </c>
      <c r="C1338" t="s">
        <v>4963</v>
      </c>
      <c r="D1338" t="s">
        <v>4964</v>
      </c>
      <c r="E1338" t="s">
        <v>4962</v>
      </c>
      <c r="F1338" t="s">
        <v>28</v>
      </c>
      <c r="G1338" t="s">
        <v>4962</v>
      </c>
      <c r="H1338" t="str">
        <f>"pac-1"</f>
        <v>pac-1</v>
      </c>
      <c r="I1338" t="s">
        <v>4964</v>
      </c>
      <c r="J1338" t="s">
        <v>29</v>
      </c>
      <c r="K1338" t="s">
        <v>29</v>
      </c>
      <c r="L1338" t="s">
        <v>29</v>
      </c>
      <c r="M1338" t="s">
        <v>29</v>
      </c>
      <c r="N1338" t="s">
        <v>29</v>
      </c>
      <c r="O1338" t="s">
        <v>29</v>
      </c>
      <c r="P1338" t="s">
        <v>29</v>
      </c>
      <c r="Q1338" t="s">
        <v>29</v>
      </c>
      <c r="R1338" t="s">
        <v>29</v>
      </c>
      <c r="S1338">
        <v>10.637096722640701</v>
      </c>
      <c r="T1338" t="s">
        <v>29</v>
      </c>
      <c r="U1338" t="s">
        <v>29</v>
      </c>
      <c r="V1338" t="s">
        <v>29</v>
      </c>
      <c r="W1338" t="s">
        <v>29</v>
      </c>
      <c r="X1338" t="s">
        <v>29</v>
      </c>
      <c r="Y1338" t="s">
        <v>29</v>
      </c>
    </row>
    <row r="1339" spans="1:25" x14ac:dyDescent="0.2">
      <c r="A1339" t="s">
        <v>4965</v>
      </c>
      <c r="B1339" t="s">
        <v>4966</v>
      </c>
      <c r="C1339" t="s">
        <v>4967</v>
      </c>
      <c r="D1339" t="s">
        <v>4968</v>
      </c>
      <c r="E1339" t="s">
        <v>4966</v>
      </c>
      <c r="F1339" t="s">
        <v>28</v>
      </c>
      <c r="G1339" t="s">
        <v>4966</v>
      </c>
      <c r="H1339" t="str">
        <f>"C06E1.9"</f>
        <v>C06E1.9</v>
      </c>
      <c r="I1339" t="s">
        <v>4968</v>
      </c>
      <c r="J1339">
        <v>11.7393527910255</v>
      </c>
      <c r="K1339">
        <v>11.075651578170399</v>
      </c>
      <c r="L1339" t="s">
        <v>29</v>
      </c>
      <c r="M1339" t="s">
        <v>29</v>
      </c>
      <c r="N1339">
        <v>12.6107509044569</v>
      </c>
      <c r="O1339">
        <v>14.392838090305199</v>
      </c>
      <c r="P1339">
        <v>2.0942923127831401</v>
      </c>
      <c r="Q1339">
        <v>1.1604149790037901</v>
      </c>
      <c r="R1339">
        <v>3.0281696465624899</v>
      </c>
      <c r="S1339">
        <v>12.748117381183</v>
      </c>
      <c r="T1339">
        <v>4.7566039667219302</v>
      </c>
      <c r="U1339">
        <v>0.41597343452933</v>
      </c>
      <c r="V1339">
        <v>2.1827789209418101E-4</v>
      </c>
      <c r="W1339">
        <v>3.0059109719698701E-3</v>
      </c>
      <c r="X1339">
        <v>1</v>
      </c>
      <c r="Y1339">
        <v>1</v>
      </c>
    </row>
    <row r="1340" spans="1:25" x14ac:dyDescent="0.2">
      <c r="A1340" t="s">
        <v>4969</v>
      </c>
      <c r="B1340" t="s">
        <v>4970</v>
      </c>
      <c r="C1340" t="s">
        <v>4971</v>
      </c>
      <c r="D1340" t="s">
        <v>4972</v>
      </c>
      <c r="E1340" t="s">
        <v>4970</v>
      </c>
      <c r="F1340" t="s">
        <v>28</v>
      </c>
      <c r="G1340" t="s">
        <v>4970</v>
      </c>
      <c r="H1340" t="str">
        <f>"rha-2"</f>
        <v>rha-2</v>
      </c>
      <c r="I1340" t="s">
        <v>4972</v>
      </c>
      <c r="J1340">
        <v>13.595818458756201</v>
      </c>
      <c r="K1340">
        <v>13.3012200515556</v>
      </c>
      <c r="L1340">
        <v>13.305116711795501</v>
      </c>
      <c r="M1340" t="s">
        <v>29</v>
      </c>
      <c r="N1340" t="s">
        <v>29</v>
      </c>
      <c r="O1340">
        <v>13.4006322772132</v>
      </c>
      <c r="P1340" s="2">
        <v>-8.6130155889207999E-5</v>
      </c>
      <c r="Q1340">
        <v>-0.62960161240241197</v>
      </c>
      <c r="R1340">
        <v>0.629429352090634</v>
      </c>
      <c r="S1340">
        <v>13.593659676244499</v>
      </c>
      <c r="T1340">
        <v>-2.90200627713614E-4</v>
      </c>
      <c r="U1340">
        <v>-6.8127005584144804</v>
      </c>
      <c r="V1340">
        <v>0.99977206435939503</v>
      </c>
      <c r="W1340">
        <v>0.99977206435939503</v>
      </c>
      <c r="X1340">
        <v>0</v>
      </c>
      <c r="Y1340">
        <v>0</v>
      </c>
    </row>
    <row r="1341" spans="1:25" x14ac:dyDescent="0.2">
      <c r="A1341" t="s">
        <v>4973</v>
      </c>
      <c r="B1341" t="s">
        <v>4974</v>
      </c>
      <c r="C1341" t="s">
        <v>4975</v>
      </c>
      <c r="D1341" t="s">
        <v>4976</v>
      </c>
      <c r="E1341" t="s">
        <v>4974</v>
      </c>
      <c r="F1341" t="s">
        <v>28</v>
      </c>
      <c r="G1341" t="s">
        <v>4974</v>
      </c>
      <c r="H1341" t="str">
        <f>"C06G4.1"</f>
        <v>C06G4.1</v>
      </c>
      <c r="I1341" t="s">
        <v>4976</v>
      </c>
      <c r="J1341" t="s">
        <v>29</v>
      </c>
      <c r="K1341">
        <v>12.6837691751735</v>
      </c>
      <c r="L1341">
        <v>13.160704277056199</v>
      </c>
      <c r="M1341" t="s">
        <v>29</v>
      </c>
      <c r="N1341">
        <v>12.135753949528301</v>
      </c>
      <c r="O1341" t="s">
        <v>29</v>
      </c>
      <c r="P1341">
        <v>-0.78648277658653498</v>
      </c>
      <c r="Q1341">
        <v>-1.46202190889493</v>
      </c>
      <c r="R1341">
        <v>-0.110943644278135</v>
      </c>
      <c r="S1341">
        <v>12.897137432930601</v>
      </c>
      <c r="T1341">
        <v>-2.5391228695950199</v>
      </c>
      <c r="U1341">
        <v>-4.0086066437499603</v>
      </c>
      <c r="V1341">
        <v>2.6128713065613301E-2</v>
      </c>
      <c r="W1341">
        <v>8.8001505604985597E-2</v>
      </c>
      <c r="X1341">
        <v>0</v>
      </c>
      <c r="Y1341">
        <v>0</v>
      </c>
    </row>
    <row r="1342" spans="1:25" x14ac:dyDescent="0.2">
      <c r="A1342" t="s">
        <v>4977</v>
      </c>
      <c r="B1342" t="s">
        <v>4978</v>
      </c>
      <c r="C1342" t="s">
        <v>4979</v>
      </c>
      <c r="D1342" t="s">
        <v>4980</v>
      </c>
      <c r="E1342" t="s">
        <v>4978</v>
      </c>
      <c r="F1342" t="s">
        <v>28</v>
      </c>
      <c r="G1342" t="s">
        <v>4978</v>
      </c>
      <c r="H1342" t="str">
        <f>"clp-1"</f>
        <v>clp-1</v>
      </c>
      <c r="I1342" t="s">
        <v>4980</v>
      </c>
      <c r="J1342" t="s">
        <v>29</v>
      </c>
      <c r="K1342" t="s">
        <v>29</v>
      </c>
      <c r="L1342" t="s">
        <v>29</v>
      </c>
      <c r="M1342">
        <v>12.173784977444599</v>
      </c>
      <c r="N1342">
        <v>13.645877874236801</v>
      </c>
      <c r="O1342">
        <v>14.098814535978899</v>
      </c>
      <c r="P1342" t="s">
        <v>29</v>
      </c>
      <c r="Q1342" t="s">
        <v>29</v>
      </c>
      <c r="R1342" t="s">
        <v>29</v>
      </c>
      <c r="S1342">
        <v>13.1201342021554</v>
      </c>
      <c r="T1342" t="s">
        <v>29</v>
      </c>
      <c r="U1342" t="s">
        <v>29</v>
      </c>
      <c r="V1342" t="s">
        <v>29</v>
      </c>
      <c r="W1342" t="s">
        <v>29</v>
      </c>
      <c r="X1342" t="s">
        <v>29</v>
      </c>
      <c r="Y1342" t="s">
        <v>29</v>
      </c>
    </row>
    <row r="1343" spans="1:25" x14ac:dyDescent="0.2">
      <c r="A1343" t="s">
        <v>4981</v>
      </c>
      <c r="B1343" t="s">
        <v>4982</v>
      </c>
      <c r="C1343" t="s">
        <v>4983</v>
      </c>
      <c r="D1343" t="s">
        <v>4984</v>
      </c>
      <c r="E1343" t="s">
        <v>4982</v>
      </c>
      <c r="F1343" t="s">
        <v>28</v>
      </c>
      <c r="G1343" t="s">
        <v>4982</v>
      </c>
      <c r="H1343" t="str">
        <f>"bud-31"</f>
        <v>bud-31</v>
      </c>
      <c r="I1343" t="s">
        <v>4984</v>
      </c>
      <c r="J1343" t="s">
        <v>29</v>
      </c>
      <c r="K1343" t="s">
        <v>29</v>
      </c>
      <c r="L1343">
        <v>10.714662570039399</v>
      </c>
      <c r="M1343" t="s">
        <v>29</v>
      </c>
      <c r="N1343" t="s">
        <v>29</v>
      </c>
      <c r="O1343">
        <v>10.4738574846915</v>
      </c>
      <c r="P1343">
        <v>-0.24080508534794601</v>
      </c>
      <c r="Q1343">
        <v>-2.1433060773714701</v>
      </c>
      <c r="R1343">
        <v>1.6616959066755801</v>
      </c>
      <c r="S1343">
        <v>9.9074364640023802</v>
      </c>
      <c r="T1343">
        <v>-0.31105403952112098</v>
      </c>
      <c r="U1343">
        <v>-6.55779817573905</v>
      </c>
      <c r="V1343">
        <v>0.76646438596209598</v>
      </c>
      <c r="W1343">
        <v>0.85110205688292095</v>
      </c>
      <c r="X1343">
        <v>0</v>
      </c>
      <c r="Y1343">
        <v>0</v>
      </c>
    </row>
    <row r="1344" spans="1:25" x14ac:dyDescent="0.2">
      <c r="A1344" t="s">
        <v>4985</v>
      </c>
      <c r="B1344" t="s">
        <v>4986</v>
      </c>
      <c r="C1344" t="s">
        <v>4987</v>
      </c>
      <c r="D1344" t="s">
        <v>4988</v>
      </c>
      <c r="E1344" t="s">
        <v>4986</v>
      </c>
      <c r="F1344" t="s">
        <v>28</v>
      </c>
      <c r="G1344" t="s">
        <v>4986</v>
      </c>
      <c r="H1344" t="str">
        <f>"tlk-1"</f>
        <v>tlk-1</v>
      </c>
      <c r="I1344" t="s">
        <v>4988</v>
      </c>
      <c r="J1344">
        <v>12.3296840428913</v>
      </c>
      <c r="K1344">
        <v>12.6185623758118</v>
      </c>
      <c r="L1344">
        <v>12.8711640806826</v>
      </c>
      <c r="M1344" t="s">
        <v>29</v>
      </c>
      <c r="N1344">
        <v>12.469911491268901</v>
      </c>
      <c r="O1344">
        <v>11.2440161564104</v>
      </c>
      <c r="P1344">
        <v>-0.74950634262226701</v>
      </c>
      <c r="Q1344">
        <v>-1.5037770826169301</v>
      </c>
      <c r="R1344">
        <v>4.7643973723926498E-3</v>
      </c>
      <c r="S1344">
        <v>12.892844135594499</v>
      </c>
      <c r="T1344">
        <v>-2.0974811417832102</v>
      </c>
      <c r="U1344">
        <v>-4.99209619140158</v>
      </c>
      <c r="V1344">
        <v>5.13063368966762E-2</v>
      </c>
      <c r="W1344">
        <v>0.13846133226603</v>
      </c>
      <c r="X1344">
        <v>0</v>
      </c>
      <c r="Y1344">
        <v>0</v>
      </c>
    </row>
    <row r="1345" spans="1:25" x14ac:dyDescent="0.2">
      <c r="A1345" t="s">
        <v>4989</v>
      </c>
      <c r="B1345" t="s">
        <v>4990</v>
      </c>
      <c r="C1345" t="s">
        <v>4991</v>
      </c>
      <c r="D1345" t="s">
        <v>4992</v>
      </c>
      <c r="E1345" t="s">
        <v>4990</v>
      </c>
      <c r="F1345" t="s">
        <v>28</v>
      </c>
      <c r="G1345" t="s">
        <v>4990</v>
      </c>
      <c r="H1345" t="str">
        <f>"ugt-60"</f>
        <v>ugt-60</v>
      </c>
      <c r="I1345" t="s">
        <v>4992</v>
      </c>
      <c r="J1345">
        <v>13.898040174147001</v>
      </c>
      <c r="K1345">
        <v>13.671679343273899</v>
      </c>
      <c r="L1345">
        <v>13.4705564277613</v>
      </c>
      <c r="M1345" t="s">
        <v>29</v>
      </c>
      <c r="N1345">
        <v>13.6688183563697</v>
      </c>
      <c r="O1345">
        <v>13.479992321285</v>
      </c>
      <c r="P1345">
        <v>-0.10568664290008201</v>
      </c>
      <c r="Q1345">
        <v>-0.67791465953136099</v>
      </c>
      <c r="R1345">
        <v>0.46654137373119697</v>
      </c>
      <c r="S1345">
        <v>13.3182018892839</v>
      </c>
      <c r="T1345">
        <v>-0.389853106093835</v>
      </c>
      <c r="U1345">
        <v>-6.9659431698751497</v>
      </c>
      <c r="V1345">
        <v>0.70151603496816595</v>
      </c>
      <c r="W1345">
        <v>0.80662027118657198</v>
      </c>
      <c r="X1345">
        <v>0</v>
      </c>
      <c r="Y1345">
        <v>0</v>
      </c>
    </row>
    <row r="1346" spans="1:25" x14ac:dyDescent="0.2">
      <c r="A1346" t="s">
        <v>4993</v>
      </c>
      <c r="B1346" t="s">
        <v>4994</v>
      </c>
      <c r="C1346" t="s">
        <v>4995</v>
      </c>
      <c r="D1346" t="s">
        <v>4996</v>
      </c>
      <c r="E1346" t="s">
        <v>4994</v>
      </c>
      <c r="F1346" t="s">
        <v>28</v>
      </c>
      <c r="G1346" t="s">
        <v>4994</v>
      </c>
      <c r="H1346" t="str">
        <f>"set-3"</f>
        <v>set-3</v>
      </c>
      <c r="I1346" t="s">
        <v>4996</v>
      </c>
      <c r="J1346">
        <v>11.104242458250001</v>
      </c>
      <c r="K1346" t="s">
        <v>29</v>
      </c>
      <c r="L1346">
        <v>10.6481669785677</v>
      </c>
      <c r="M1346" t="s">
        <v>29</v>
      </c>
      <c r="N1346" t="s">
        <v>29</v>
      </c>
      <c r="O1346" t="s">
        <v>29</v>
      </c>
      <c r="P1346" t="s">
        <v>29</v>
      </c>
      <c r="Q1346" t="s">
        <v>29</v>
      </c>
      <c r="R1346" t="s">
        <v>29</v>
      </c>
      <c r="S1346">
        <v>11.369255974179801</v>
      </c>
      <c r="T1346" t="s">
        <v>29</v>
      </c>
      <c r="U1346" t="s">
        <v>29</v>
      </c>
      <c r="V1346" t="s">
        <v>29</v>
      </c>
      <c r="W1346" t="s">
        <v>29</v>
      </c>
      <c r="X1346" t="s">
        <v>29</v>
      </c>
      <c r="Y1346" t="s">
        <v>29</v>
      </c>
    </row>
    <row r="1347" spans="1:25" x14ac:dyDescent="0.2">
      <c r="A1347" t="s">
        <v>4997</v>
      </c>
      <c r="B1347" t="s">
        <v>4998</v>
      </c>
      <c r="C1347" t="s">
        <v>4999</v>
      </c>
      <c r="D1347" t="s">
        <v>5000</v>
      </c>
      <c r="E1347" t="s">
        <v>4998</v>
      </c>
      <c r="F1347" t="s">
        <v>28</v>
      </c>
      <c r="G1347" t="s">
        <v>4998</v>
      </c>
      <c r="H1347" t="str">
        <f>"cyk-7"</f>
        <v>cyk-7</v>
      </c>
      <c r="I1347" t="s">
        <v>5000</v>
      </c>
      <c r="J1347">
        <v>11.831994169891001</v>
      </c>
      <c r="K1347">
        <v>11.545354435595801</v>
      </c>
      <c r="L1347">
        <v>12.500429946750801</v>
      </c>
      <c r="M1347" t="s">
        <v>29</v>
      </c>
      <c r="N1347" t="s">
        <v>29</v>
      </c>
      <c r="O1347">
        <v>11.959709803156199</v>
      </c>
      <c r="P1347">
        <v>4.50285743639256E-4</v>
      </c>
      <c r="Q1347">
        <v>-1.02139492060683</v>
      </c>
      <c r="R1347">
        <v>1.0222954920941101</v>
      </c>
      <c r="S1347">
        <v>12.1411547851481</v>
      </c>
      <c r="T1347">
        <v>9.3465775773010705E-4</v>
      </c>
      <c r="U1347">
        <v>-6.8127001438720898</v>
      </c>
      <c r="V1347">
        <v>0.99926588103326497</v>
      </c>
      <c r="W1347">
        <v>0.99960507515445696</v>
      </c>
      <c r="X1347">
        <v>0</v>
      </c>
      <c r="Y1347">
        <v>0</v>
      </c>
    </row>
    <row r="1348" spans="1:25" x14ac:dyDescent="0.2">
      <c r="A1348" t="s">
        <v>5001</v>
      </c>
      <c r="B1348" t="s">
        <v>5002</v>
      </c>
      <c r="C1348" t="s">
        <v>5003</v>
      </c>
      <c r="D1348" t="s">
        <v>5004</v>
      </c>
      <c r="E1348" t="s">
        <v>5002</v>
      </c>
      <c r="F1348" t="s">
        <v>28</v>
      </c>
      <c r="G1348" t="s">
        <v>5002</v>
      </c>
      <c r="H1348" t="str">
        <f>"hsp-12.2"</f>
        <v>hsp-12.2</v>
      </c>
      <c r="I1348" t="s">
        <v>5004</v>
      </c>
      <c r="J1348">
        <v>15.0356255675289</v>
      </c>
      <c r="K1348">
        <v>14.989109512332201</v>
      </c>
      <c r="L1348">
        <v>14.4266809363923</v>
      </c>
      <c r="M1348">
        <v>14.524612045612599</v>
      </c>
      <c r="N1348">
        <v>14.0399348073485</v>
      </c>
      <c r="O1348">
        <v>14.058385355260301</v>
      </c>
      <c r="P1348">
        <v>-0.60949460267734201</v>
      </c>
      <c r="Q1348">
        <v>-1.3329726480888899</v>
      </c>
      <c r="R1348">
        <v>0.113983442734201</v>
      </c>
      <c r="S1348">
        <v>13.7842103690211</v>
      </c>
      <c r="T1348">
        <v>-1.7706675188924901</v>
      </c>
      <c r="U1348">
        <v>-5.6409496710444396</v>
      </c>
      <c r="V1348">
        <v>9.3648491926994107E-2</v>
      </c>
      <c r="W1348">
        <v>0.20821806411413199</v>
      </c>
      <c r="X1348">
        <v>0</v>
      </c>
      <c r="Y1348">
        <v>0</v>
      </c>
    </row>
    <row r="1349" spans="1:25" x14ac:dyDescent="0.2">
      <c r="A1349" t="s">
        <v>5005</v>
      </c>
      <c r="B1349" t="s">
        <v>5006</v>
      </c>
      <c r="C1349" t="s">
        <v>5007</v>
      </c>
      <c r="D1349" t="s">
        <v>5008</v>
      </c>
      <c r="E1349" t="s">
        <v>5006</v>
      </c>
      <c r="F1349" t="s">
        <v>28</v>
      </c>
      <c r="G1349" t="s">
        <v>5006</v>
      </c>
      <c r="H1349" t="str">
        <f>"plk-1"</f>
        <v>plk-1</v>
      </c>
      <c r="I1349" t="s">
        <v>5008</v>
      </c>
      <c r="J1349">
        <v>14.567659026944501</v>
      </c>
      <c r="K1349">
        <v>14.3572396345697</v>
      </c>
      <c r="L1349">
        <v>14.745086721723</v>
      </c>
      <c r="M1349">
        <v>14.705703582122</v>
      </c>
      <c r="N1349">
        <v>13.7463083804709</v>
      </c>
      <c r="O1349">
        <v>13.9929409107423</v>
      </c>
      <c r="P1349">
        <v>-0.40834416996730899</v>
      </c>
      <c r="Q1349">
        <v>-0.85883344087104896</v>
      </c>
      <c r="R1349">
        <v>4.2145100936430299E-2</v>
      </c>
      <c r="S1349">
        <v>14.6517339673069</v>
      </c>
      <c r="T1349">
        <v>-1.9051730107668801</v>
      </c>
      <c r="U1349">
        <v>-5.4229643450398397</v>
      </c>
      <c r="V1349">
        <v>7.2955688413632799E-2</v>
      </c>
      <c r="W1349">
        <v>0.17622984734014399</v>
      </c>
      <c r="X1349">
        <v>0</v>
      </c>
      <c r="Y1349">
        <v>0</v>
      </c>
    </row>
    <row r="1350" spans="1:25" x14ac:dyDescent="0.2">
      <c r="A1350" t="s">
        <v>5009</v>
      </c>
      <c r="B1350" t="s">
        <v>5010</v>
      </c>
      <c r="C1350" t="s">
        <v>5011</v>
      </c>
      <c r="D1350" t="s">
        <v>5012</v>
      </c>
      <c r="E1350" t="s">
        <v>5010</v>
      </c>
      <c r="F1350" t="s">
        <v>28</v>
      </c>
      <c r="G1350" t="s">
        <v>5010</v>
      </c>
      <c r="H1350" t="str">
        <f>"rpl-21"</f>
        <v>rpl-21</v>
      </c>
      <c r="I1350" t="s">
        <v>5012</v>
      </c>
      <c r="J1350">
        <v>18.392453640427899</v>
      </c>
      <c r="K1350">
        <v>18.347064502904701</v>
      </c>
      <c r="L1350">
        <v>18.558594843480801</v>
      </c>
      <c r="M1350">
        <v>18.1115273169525</v>
      </c>
      <c r="N1350">
        <v>18.008170852101902</v>
      </c>
      <c r="O1350">
        <v>17.9798713443754</v>
      </c>
      <c r="P1350">
        <v>-0.39951449112783899</v>
      </c>
      <c r="Q1350">
        <v>-0.88242843556616601</v>
      </c>
      <c r="R1350">
        <v>8.3399453310487995E-2</v>
      </c>
      <c r="S1350">
        <v>18.366181913288699</v>
      </c>
      <c r="T1350">
        <v>-1.73882270984137</v>
      </c>
      <c r="U1350">
        <v>-5.6909380736459099</v>
      </c>
      <c r="V1350">
        <v>9.9239913691134995E-2</v>
      </c>
      <c r="W1350">
        <v>0.21615670779584201</v>
      </c>
      <c r="X1350">
        <v>0</v>
      </c>
      <c r="Y1350">
        <v>0</v>
      </c>
    </row>
    <row r="1351" spans="1:25" x14ac:dyDescent="0.2">
      <c r="A1351" t="s">
        <v>5013</v>
      </c>
      <c r="B1351" t="s">
        <v>5014</v>
      </c>
      <c r="C1351" t="s">
        <v>5015</v>
      </c>
      <c r="D1351" t="s">
        <v>5016</v>
      </c>
      <c r="E1351" t="s">
        <v>5014</v>
      </c>
      <c r="F1351" t="s">
        <v>28</v>
      </c>
      <c r="G1351" t="s">
        <v>5014</v>
      </c>
      <c r="H1351" t="str">
        <f>"C14B9.8"</f>
        <v>C14B9.8</v>
      </c>
      <c r="I1351" t="s">
        <v>5016</v>
      </c>
      <c r="J1351">
        <v>12.692733218603699</v>
      </c>
      <c r="K1351">
        <v>12.684492969251499</v>
      </c>
      <c r="L1351">
        <v>12.6575623782498</v>
      </c>
      <c r="M1351" t="s">
        <v>29</v>
      </c>
      <c r="N1351" t="s">
        <v>29</v>
      </c>
      <c r="O1351">
        <v>12.953435448858199</v>
      </c>
      <c r="P1351">
        <v>0.27517259348982598</v>
      </c>
      <c r="Q1351">
        <v>-0.35130052711613502</v>
      </c>
      <c r="R1351">
        <v>0.90164571409578698</v>
      </c>
      <c r="S1351">
        <v>12.7238814567876</v>
      </c>
      <c r="T1351">
        <v>0.93164887728307799</v>
      </c>
      <c r="U1351">
        <v>-6.3690327136028504</v>
      </c>
      <c r="V1351">
        <v>0.36545376620541098</v>
      </c>
      <c r="W1351">
        <v>0.53365003031032998</v>
      </c>
      <c r="X1351">
        <v>0</v>
      </c>
      <c r="Y1351">
        <v>0</v>
      </c>
    </row>
    <row r="1352" spans="1:25" x14ac:dyDescent="0.2">
      <c r="A1352" t="s">
        <v>5017</v>
      </c>
      <c r="B1352" t="s">
        <v>5018</v>
      </c>
      <c r="C1352" t="s">
        <v>5019</v>
      </c>
      <c r="D1352" t="s">
        <v>5020</v>
      </c>
      <c r="E1352" t="s">
        <v>5018</v>
      </c>
      <c r="F1352" t="s">
        <v>28</v>
      </c>
      <c r="G1352" t="s">
        <v>5018</v>
      </c>
      <c r="H1352" t="str">
        <f>"egl-45"</f>
        <v>egl-45</v>
      </c>
      <c r="I1352" t="s">
        <v>5020</v>
      </c>
      <c r="J1352">
        <v>16.502946342107101</v>
      </c>
      <c r="K1352">
        <v>17.0789162379494</v>
      </c>
      <c r="L1352">
        <v>17.241133567479601</v>
      </c>
      <c r="M1352">
        <v>16.174995971099499</v>
      </c>
      <c r="N1352">
        <v>16.4367526891631</v>
      </c>
      <c r="O1352">
        <v>16.231468672869202</v>
      </c>
      <c r="P1352">
        <v>-0.65992627146807703</v>
      </c>
      <c r="Q1352">
        <v>-1.1167751687244001</v>
      </c>
      <c r="R1352">
        <v>-0.20307737421175501</v>
      </c>
      <c r="S1352">
        <v>17.266464615216002</v>
      </c>
      <c r="T1352">
        <v>-3.03609495420192</v>
      </c>
      <c r="U1352">
        <v>-3.2599533302327299</v>
      </c>
      <c r="V1352">
        <v>7.1394365520654497E-3</v>
      </c>
      <c r="W1352">
        <v>3.6027259450234397E-2</v>
      </c>
      <c r="X1352">
        <v>0</v>
      </c>
      <c r="Y1352">
        <v>0</v>
      </c>
    </row>
    <row r="1353" spans="1:25" x14ac:dyDescent="0.2">
      <c r="A1353" t="s">
        <v>5021</v>
      </c>
      <c r="B1353" t="s">
        <v>5022</v>
      </c>
      <c r="C1353" t="s">
        <v>5023</v>
      </c>
      <c r="D1353" t="s">
        <v>5024</v>
      </c>
      <c r="E1353" t="s">
        <v>5022</v>
      </c>
      <c r="F1353" t="s">
        <v>28</v>
      </c>
      <c r="G1353" t="s">
        <v>5022</v>
      </c>
      <c r="H1353" t="str">
        <f>"col-90"</f>
        <v>col-90</v>
      </c>
      <c r="I1353" t="s">
        <v>5024</v>
      </c>
      <c r="J1353">
        <v>12.2986010370435</v>
      </c>
      <c r="K1353">
        <v>13.17818685758</v>
      </c>
      <c r="L1353">
        <v>13.969140845379901</v>
      </c>
      <c r="M1353">
        <v>14.925158875898299</v>
      </c>
      <c r="N1353">
        <v>13.0378370764537</v>
      </c>
      <c r="O1353">
        <v>13.5061166197042</v>
      </c>
      <c r="P1353">
        <v>0.674394610684248</v>
      </c>
      <c r="Q1353">
        <v>-0.53591430069248802</v>
      </c>
      <c r="R1353">
        <v>1.88470352206098</v>
      </c>
      <c r="S1353">
        <v>12.977586089794499</v>
      </c>
      <c r="T1353">
        <v>1.1711442034658199</v>
      </c>
      <c r="U1353">
        <v>-6.4629148888118904</v>
      </c>
      <c r="V1353">
        <v>0.25689968354108</v>
      </c>
      <c r="W1353">
        <v>0.42413634027762598</v>
      </c>
      <c r="X1353">
        <v>0</v>
      </c>
      <c r="Y1353">
        <v>0</v>
      </c>
    </row>
    <row r="1354" spans="1:25" x14ac:dyDescent="0.2">
      <c r="A1354" t="s">
        <v>5025</v>
      </c>
      <c r="B1354" t="s">
        <v>5026</v>
      </c>
      <c r="C1354" t="s">
        <v>5027</v>
      </c>
      <c r="D1354" t="s">
        <v>5028</v>
      </c>
      <c r="E1354" t="s">
        <v>5026</v>
      </c>
      <c r="F1354" t="s">
        <v>28</v>
      </c>
      <c r="G1354" t="s">
        <v>5026</v>
      </c>
      <c r="H1354" t="str">
        <f>"kle-2"</f>
        <v>kle-2</v>
      </c>
      <c r="I1354" t="s">
        <v>5028</v>
      </c>
      <c r="J1354">
        <v>12.361450026740799</v>
      </c>
      <c r="K1354">
        <v>11.595607125856001</v>
      </c>
      <c r="L1354">
        <v>12.1473281534638</v>
      </c>
      <c r="M1354" t="s">
        <v>29</v>
      </c>
      <c r="N1354" t="s">
        <v>29</v>
      </c>
      <c r="O1354" t="s">
        <v>29</v>
      </c>
      <c r="P1354" t="s">
        <v>29</v>
      </c>
      <c r="Q1354" t="s">
        <v>29</v>
      </c>
      <c r="R1354" t="s">
        <v>29</v>
      </c>
      <c r="S1354">
        <v>12.154954053490499</v>
      </c>
      <c r="T1354" t="s">
        <v>29</v>
      </c>
      <c r="U1354" t="s">
        <v>29</v>
      </c>
      <c r="V1354" t="s">
        <v>29</v>
      </c>
      <c r="W1354" t="s">
        <v>29</v>
      </c>
      <c r="X1354" t="s">
        <v>29</v>
      </c>
      <c r="Y1354" t="s">
        <v>29</v>
      </c>
    </row>
    <row r="1355" spans="1:25" x14ac:dyDescent="0.2">
      <c r="A1355" t="s">
        <v>5029</v>
      </c>
      <c r="B1355" t="s">
        <v>5030</v>
      </c>
      <c r="C1355" t="s">
        <v>5031</v>
      </c>
      <c r="D1355" t="s">
        <v>5032</v>
      </c>
      <c r="E1355" t="s">
        <v>5030</v>
      </c>
      <c r="F1355" t="s">
        <v>28</v>
      </c>
      <c r="G1355" t="s">
        <v>5030</v>
      </c>
      <c r="H1355" t="str">
        <f>"ran-2"</f>
        <v>ran-2</v>
      </c>
      <c r="I1355" t="s">
        <v>5032</v>
      </c>
      <c r="J1355">
        <v>13.4672196569964</v>
      </c>
      <c r="K1355">
        <v>13.790968818373001</v>
      </c>
      <c r="L1355">
        <v>13.7460772328115</v>
      </c>
      <c r="M1355">
        <v>13.981529627194201</v>
      </c>
      <c r="N1355">
        <v>14.012657603920299</v>
      </c>
      <c r="O1355">
        <v>14.211256515082599</v>
      </c>
      <c r="P1355">
        <v>0.400392679338749</v>
      </c>
      <c r="Q1355">
        <v>-4.2335644213774802E-2</v>
      </c>
      <c r="R1355">
        <v>0.84312100289127301</v>
      </c>
      <c r="S1355">
        <v>13.962735930157701</v>
      </c>
      <c r="T1355">
        <v>1.9008214959021399</v>
      </c>
      <c r="U1355">
        <v>-5.4301843155358602</v>
      </c>
      <c r="V1355">
        <v>7.3555975855952596E-2</v>
      </c>
      <c r="W1355">
        <v>0.177389084163251</v>
      </c>
      <c r="X1355">
        <v>0</v>
      </c>
      <c r="Y1355">
        <v>0</v>
      </c>
    </row>
    <row r="1356" spans="1:25" x14ac:dyDescent="0.2">
      <c r="A1356" t="s">
        <v>5033</v>
      </c>
      <c r="B1356" t="s">
        <v>5034</v>
      </c>
      <c r="C1356" t="s">
        <v>5035</v>
      </c>
      <c r="D1356" t="s">
        <v>5036</v>
      </c>
      <c r="E1356" t="s">
        <v>5034</v>
      </c>
      <c r="F1356" t="s">
        <v>28</v>
      </c>
      <c r="G1356" t="s">
        <v>5034</v>
      </c>
      <c r="H1356" t="str">
        <f>"npp-15"</f>
        <v>npp-15</v>
      </c>
      <c r="I1356" t="s">
        <v>5036</v>
      </c>
      <c r="J1356">
        <v>14.2785805749437</v>
      </c>
      <c r="K1356">
        <v>14.136442078177399</v>
      </c>
      <c r="L1356">
        <v>14.0192920361361</v>
      </c>
      <c r="M1356">
        <v>14.1336261759105</v>
      </c>
      <c r="N1356">
        <v>14.0305077037426</v>
      </c>
      <c r="O1356">
        <v>14.403993651011101</v>
      </c>
      <c r="P1356">
        <v>4.46042804689828E-2</v>
      </c>
      <c r="Q1356">
        <v>-0.27612914772410202</v>
      </c>
      <c r="R1356">
        <v>0.365337708662067</v>
      </c>
      <c r="S1356">
        <v>14.025399346188101</v>
      </c>
      <c r="T1356">
        <v>0.292297314202762</v>
      </c>
      <c r="U1356">
        <v>-7.1115722920304902</v>
      </c>
      <c r="V1356">
        <v>0.77342115654632404</v>
      </c>
      <c r="W1356">
        <v>0.85654721846750004</v>
      </c>
      <c r="X1356">
        <v>0</v>
      </c>
      <c r="Y1356">
        <v>0</v>
      </c>
    </row>
    <row r="1357" spans="1:25" x14ac:dyDescent="0.2">
      <c r="A1357" t="s">
        <v>5037</v>
      </c>
      <c r="B1357" t="s">
        <v>5038</v>
      </c>
      <c r="C1357" t="s">
        <v>5039</v>
      </c>
      <c r="D1357" t="s">
        <v>5040</v>
      </c>
      <c r="E1357" t="s">
        <v>5038</v>
      </c>
      <c r="F1357" t="s">
        <v>28</v>
      </c>
      <c r="G1357" t="s">
        <v>5038</v>
      </c>
      <c r="H1357" t="str">
        <f>"tag-250"</f>
        <v>tag-250</v>
      </c>
      <c r="I1357" t="s">
        <v>5040</v>
      </c>
      <c r="J1357">
        <v>11.9593463090628</v>
      </c>
      <c r="K1357" t="s">
        <v>29</v>
      </c>
      <c r="L1357">
        <v>12.540926970584501</v>
      </c>
      <c r="M1357" t="s">
        <v>29</v>
      </c>
      <c r="N1357" t="s">
        <v>29</v>
      </c>
      <c r="O1357" t="s">
        <v>29</v>
      </c>
      <c r="P1357" t="s">
        <v>29</v>
      </c>
      <c r="Q1357" t="s">
        <v>29</v>
      </c>
      <c r="R1357" t="s">
        <v>29</v>
      </c>
      <c r="S1357">
        <v>12.352320052925</v>
      </c>
      <c r="T1357" t="s">
        <v>29</v>
      </c>
      <c r="U1357" t="s">
        <v>29</v>
      </c>
      <c r="V1357" t="s">
        <v>29</v>
      </c>
      <c r="W1357" t="s">
        <v>29</v>
      </c>
      <c r="X1357" t="s">
        <v>29</v>
      </c>
      <c r="Y1357" t="s">
        <v>29</v>
      </c>
    </row>
    <row r="1358" spans="1:25" x14ac:dyDescent="0.2">
      <c r="A1358" t="s">
        <v>5041</v>
      </c>
      <c r="B1358" t="s">
        <v>5042</v>
      </c>
      <c r="C1358" t="s">
        <v>5043</v>
      </c>
      <c r="D1358" t="s">
        <v>5044</v>
      </c>
      <c r="E1358" t="s">
        <v>5042</v>
      </c>
      <c r="F1358" t="s">
        <v>28</v>
      </c>
      <c r="G1358" t="s">
        <v>5042</v>
      </c>
      <c r="H1358" t="str">
        <f>"gsto-1"</f>
        <v>gsto-1</v>
      </c>
      <c r="I1358" t="s">
        <v>5044</v>
      </c>
      <c r="J1358" t="s">
        <v>29</v>
      </c>
      <c r="K1358">
        <v>16.864990649291101</v>
      </c>
      <c r="L1358" t="s">
        <v>29</v>
      </c>
      <c r="M1358" t="s">
        <v>29</v>
      </c>
      <c r="N1358" t="s">
        <v>29</v>
      </c>
      <c r="O1358" t="s">
        <v>29</v>
      </c>
      <c r="P1358" t="s">
        <v>29</v>
      </c>
      <c r="Q1358" t="s">
        <v>29</v>
      </c>
      <c r="R1358" t="s">
        <v>29</v>
      </c>
      <c r="S1358">
        <v>14.509000058698</v>
      </c>
      <c r="T1358" t="s">
        <v>29</v>
      </c>
      <c r="U1358" t="s">
        <v>29</v>
      </c>
      <c r="V1358" t="s">
        <v>29</v>
      </c>
      <c r="W1358" t="s">
        <v>29</v>
      </c>
      <c r="X1358" t="s">
        <v>29</v>
      </c>
      <c r="Y1358" t="s">
        <v>29</v>
      </c>
    </row>
    <row r="1359" spans="1:25" x14ac:dyDescent="0.2">
      <c r="A1359" t="s">
        <v>5045</v>
      </c>
      <c r="B1359" t="s">
        <v>5046</v>
      </c>
      <c r="C1359" t="s">
        <v>5047</v>
      </c>
      <c r="D1359" t="s">
        <v>5048</v>
      </c>
      <c r="E1359" t="s">
        <v>5046</v>
      </c>
      <c r="F1359" t="s">
        <v>28</v>
      </c>
      <c r="G1359" t="s">
        <v>5046</v>
      </c>
      <c r="H1359" t="str">
        <f>"let-754"</f>
        <v>let-754</v>
      </c>
      <c r="I1359" t="s">
        <v>5048</v>
      </c>
      <c r="J1359">
        <v>14.515599606111101</v>
      </c>
      <c r="K1359">
        <v>14.0511598494449</v>
      </c>
      <c r="L1359">
        <v>13.9578405239186</v>
      </c>
      <c r="M1359" t="s">
        <v>29</v>
      </c>
      <c r="N1359">
        <v>13.8545464569898</v>
      </c>
      <c r="O1359">
        <v>13.3148417289308</v>
      </c>
      <c r="P1359">
        <v>-0.59017256686453301</v>
      </c>
      <c r="Q1359">
        <v>-1.25880958838209</v>
      </c>
      <c r="R1359">
        <v>7.8464454653024804E-2</v>
      </c>
      <c r="S1359">
        <v>13.152735977140001</v>
      </c>
      <c r="T1359">
        <v>-1.86311049459544</v>
      </c>
      <c r="U1359">
        <v>-5.3872318837503999</v>
      </c>
      <c r="V1359">
        <v>7.9925743513180394E-2</v>
      </c>
      <c r="W1359">
        <v>0.187185021932462</v>
      </c>
      <c r="X1359">
        <v>0</v>
      </c>
      <c r="Y1359">
        <v>0</v>
      </c>
    </row>
    <row r="1360" spans="1:25" x14ac:dyDescent="0.2">
      <c r="A1360" t="s">
        <v>5049</v>
      </c>
      <c r="B1360" t="s">
        <v>5050</v>
      </c>
      <c r="C1360" t="s">
        <v>5051</v>
      </c>
      <c r="D1360" t="s">
        <v>5052</v>
      </c>
      <c r="E1360" t="s">
        <v>5050</v>
      </c>
      <c r="F1360" t="s">
        <v>28</v>
      </c>
      <c r="G1360" t="s">
        <v>5050</v>
      </c>
      <c r="H1360" t="str">
        <f>"acox-1.5"</f>
        <v>acox-1.5</v>
      </c>
      <c r="I1360" t="s">
        <v>5052</v>
      </c>
      <c r="J1360">
        <v>15.841209185052699</v>
      </c>
      <c r="K1360">
        <v>15.8398358532218</v>
      </c>
      <c r="L1360">
        <v>15.408189926701001</v>
      </c>
      <c r="M1360">
        <v>14.416461301927299</v>
      </c>
      <c r="N1360">
        <v>14.962680671198999</v>
      </c>
      <c r="O1360">
        <v>15.343407325315701</v>
      </c>
      <c r="P1360">
        <v>-0.78889522217786601</v>
      </c>
      <c r="Q1360">
        <v>-1.2131331383814401</v>
      </c>
      <c r="R1360">
        <v>-0.36465730597429602</v>
      </c>
      <c r="S1360">
        <v>15.1423893072431</v>
      </c>
      <c r="T1360">
        <v>-3.9084301791971998</v>
      </c>
      <c r="U1360">
        <v>-1.3737378603550501</v>
      </c>
      <c r="V1360">
        <v>1.0396892509372301E-3</v>
      </c>
      <c r="W1360">
        <v>9.3699211697614807E-3</v>
      </c>
      <c r="X1360">
        <v>0</v>
      </c>
      <c r="Y1360">
        <v>0</v>
      </c>
    </row>
    <row r="1361" spans="1:25" x14ac:dyDescent="0.2">
      <c r="A1361" t="s">
        <v>5053</v>
      </c>
      <c r="B1361" t="s">
        <v>5054</v>
      </c>
      <c r="C1361" t="s">
        <v>5055</v>
      </c>
      <c r="D1361" t="s">
        <v>5056</v>
      </c>
      <c r="E1361" t="s">
        <v>5054</v>
      </c>
      <c r="F1361" t="s">
        <v>28</v>
      </c>
      <c r="G1361" t="s">
        <v>5054</v>
      </c>
      <c r="H1361" t="str">
        <f>"ced-7"</f>
        <v>ced-7</v>
      </c>
      <c r="I1361" t="s">
        <v>5056</v>
      </c>
      <c r="J1361" t="s">
        <v>29</v>
      </c>
      <c r="K1361" t="s">
        <v>29</v>
      </c>
      <c r="L1361" t="s">
        <v>29</v>
      </c>
      <c r="M1361" t="s">
        <v>29</v>
      </c>
      <c r="N1361" t="s">
        <v>29</v>
      </c>
      <c r="O1361" t="s">
        <v>29</v>
      </c>
      <c r="P1361" t="s">
        <v>29</v>
      </c>
      <c r="Q1361" t="s">
        <v>29</v>
      </c>
      <c r="R1361" t="s">
        <v>29</v>
      </c>
      <c r="S1361">
        <v>9.9996583660510794</v>
      </c>
      <c r="T1361" t="s">
        <v>29</v>
      </c>
      <c r="U1361" t="s">
        <v>29</v>
      </c>
      <c r="V1361" t="s">
        <v>29</v>
      </c>
      <c r="W1361" t="s">
        <v>29</v>
      </c>
      <c r="X1361" t="s">
        <v>29</v>
      </c>
      <c r="Y1361" t="s">
        <v>29</v>
      </c>
    </row>
    <row r="1362" spans="1:25" x14ac:dyDescent="0.2">
      <c r="A1362" t="s">
        <v>5057</v>
      </c>
      <c r="B1362" t="s">
        <v>5058</v>
      </c>
      <c r="C1362" t="s">
        <v>5059</v>
      </c>
      <c r="D1362" t="s">
        <v>5060</v>
      </c>
      <c r="E1362" t="s">
        <v>5058</v>
      </c>
      <c r="F1362" t="s">
        <v>28</v>
      </c>
      <c r="G1362" t="s">
        <v>5058</v>
      </c>
      <c r="H1362" t="str">
        <f>"C48B4.6"</f>
        <v>C48B4.6</v>
      </c>
      <c r="I1362" t="s">
        <v>5060</v>
      </c>
      <c r="J1362">
        <v>12.9026711544085</v>
      </c>
      <c r="K1362">
        <v>12.7631310843172</v>
      </c>
      <c r="L1362">
        <v>13.0951278725439</v>
      </c>
      <c r="M1362" t="s">
        <v>29</v>
      </c>
      <c r="N1362">
        <v>12.6153249469294</v>
      </c>
      <c r="O1362">
        <v>12.637135298253099</v>
      </c>
      <c r="P1362">
        <v>-0.294079914498589</v>
      </c>
      <c r="Q1362">
        <v>-0.86205461271147599</v>
      </c>
      <c r="R1362">
        <v>0.27389478371429798</v>
      </c>
      <c r="S1362">
        <v>13.078369281983299</v>
      </c>
      <c r="T1362">
        <v>-1.09291500135527</v>
      </c>
      <c r="U1362">
        <v>-6.4389602661084604</v>
      </c>
      <c r="V1362">
        <v>0.28977040708492702</v>
      </c>
      <c r="W1362">
        <v>0.45812950090090099</v>
      </c>
      <c r="X1362">
        <v>0</v>
      </c>
      <c r="Y1362">
        <v>0</v>
      </c>
    </row>
    <row r="1363" spans="1:25" x14ac:dyDescent="0.2">
      <c r="A1363" t="s">
        <v>5061</v>
      </c>
      <c r="B1363" t="s">
        <v>5062</v>
      </c>
      <c r="C1363" t="s">
        <v>5063</v>
      </c>
      <c r="D1363" t="s">
        <v>5064</v>
      </c>
      <c r="E1363" t="s">
        <v>5062</v>
      </c>
      <c r="F1363" t="s">
        <v>28</v>
      </c>
      <c r="G1363" t="s">
        <v>5062</v>
      </c>
      <c r="H1363" t="str">
        <f>"prp-8"</f>
        <v>prp-8</v>
      </c>
      <c r="I1363" t="s">
        <v>5064</v>
      </c>
      <c r="J1363">
        <v>15.2346412551495</v>
      </c>
      <c r="K1363">
        <v>15.140654077802999</v>
      </c>
      <c r="L1363">
        <v>15.1540369325957</v>
      </c>
      <c r="M1363">
        <v>15.0671943647175</v>
      </c>
      <c r="N1363">
        <v>15.1274871967761</v>
      </c>
      <c r="O1363">
        <v>15.187923625331599</v>
      </c>
      <c r="P1363">
        <v>-4.8909026240988099E-2</v>
      </c>
      <c r="Q1363">
        <v>-0.48102032297443298</v>
      </c>
      <c r="R1363">
        <v>0.38320227049245698</v>
      </c>
      <c r="S1363">
        <v>15.3978523119968</v>
      </c>
      <c r="T1363">
        <v>-0.237895325864528</v>
      </c>
      <c r="U1363">
        <v>-7.1266489941597904</v>
      </c>
      <c r="V1363">
        <v>0.81466485125023103</v>
      </c>
      <c r="W1363">
        <v>0.88395335664007002</v>
      </c>
      <c r="X1363">
        <v>0</v>
      </c>
      <c r="Y1363">
        <v>0</v>
      </c>
    </row>
    <row r="1364" spans="1:25" x14ac:dyDescent="0.2">
      <c r="A1364" t="s">
        <v>5065</v>
      </c>
      <c r="B1364" t="s">
        <v>5066</v>
      </c>
      <c r="C1364" t="s">
        <v>5067</v>
      </c>
      <c r="D1364" t="s">
        <v>5068</v>
      </c>
      <c r="E1364" t="s">
        <v>5066</v>
      </c>
      <c r="F1364" t="s">
        <v>28</v>
      </c>
      <c r="G1364" t="s">
        <v>5066</v>
      </c>
      <c r="H1364" t="str">
        <f>"mrpl-18"</f>
        <v>mrpl-18</v>
      </c>
      <c r="I1364" t="s">
        <v>5068</v>
      </c>
      <c r="J1364">
        <v>12.1467093490878</v>
      </c>
      <c r="K1364">
        <v>11.128594971794801</v>
      </c>
      <c r="L1364">
        <v>12.491998170390801</v>
      </c>
      <c r="M1364" t="s">
        <v>29</v>
      </c>
      <c r="N1364" t="s">
        <v>29</v>
      </c>
      <c r="O1364">
        <v>12.7350337156959</v>
      </c>
      <c r="P1364">
        <v>0.81259955193811895</v>
      </c>
      <c r="Q1364">
        <v>-0.132437680702198</v>
      </c>
      <c r="R1364">
        <v>1.75763678457844</v>
      </c>
      <c r="S1364">
        <v>12.4886816815955</v>
      </c>
      <c r="T1364">
        <v>1.82379990657931</v>
      </c>
      <c r="U1364">
        <v>-5.2285045872264799</v>
      </c>
      <c r="V1364">
        <v>8.7040722434804305E-2</v>
      </c>
      <c r="W1364">
        <v>0.19784882495155101</v>
      </c>
      <c r="X1364">
        <v>0</v>
      </c>
      <c r="Y1364">
        <v>0</v>
      </c>
    </row>
    <row r="1365" spans="1:25" x14ac:dyDescent="0.2">
      <c r="A1365" t="s">
        <v>5069</v>
      </c>
      <c r="B1365" t="s">
        <v>5070</v>
      </c>
      <c r="C1365" t="s">
        <v>5071</v>
      </c>
      <c r="D1365" t="s">
        <v>5072</v>
      </c>
      <c r="E1365" t="s">
        <v>5070</v>
      </c>
      <c r="F1365" t="s">
        <v>28</v>
      </c>
      <c r="G1365" t="s">
        <v>5070</v>
      </c>
      <c r="H1365" t="str">
        <f>"atg-13"</f>
        <v>atg-13</v>
      </c>
      <c r="I1365" t="s">
        <v>5072</v>
      </c>
      <c r="J1365" t="s">
        <v>29</v>
      </c>
      <c r="K1365" t="s">
        <v>29</v>
      </c>
      <c r="L1365" t="s">
        <v>29</v>
      </c>
      <c r="M1365" t="s">
        <v>29</v>
      </c>
      <c r="N1365" t="s">
        <v>29</v>
      </c>
      <c r="O1365">
        <v>13.288143456407401</v>
      </c>
      <c r="P1365" t="s">
        <v>29</v>
      </c>
      <c r="Q1365" t="s">
        <v>29</v>
      </c>
      <c r="R1365" t="s">
        <v>29</v>
      </c>
      <c r="S1365">
        <v>12.8206903374858</v>
      </c>
      <c r="T1365" t="s">
        <v>29</v>
      </c>
      <c r="U1365" t="s">
        <v>29</v>
      </c>
      <c r="V1365" t="s">
        <v>29</v>
      </c>
      <c r="W1365" t="s">
        <v>29</v>
      </c>
      <c r="X1365" t="s">
        <v>29</v>
      </c>
      <c r="Y1365" t="s">
        <v>29</v>
      </c>
    </row>
    <row r="1366" spans="1:25" x14ac:dyDescent="0.2">
      <c r="A1366" t="s">
        <v>5073</v>
      </c>
      <c r="B1366" t="s">
        <v>5074</v>
      </c>
      <c r="C1366" t="s">
        <v>5075</v>
      </c>
      <c r="D1366" t="s">
        <v>5076</v>
      </c>
      <c r="E1366" t="s">
        <v>5074</v>
      </c>
      <c r="F1366" t="s">
        <v>28</v>
      </c>
      <c r="G1366" t="s">
        <v>5074</v>
      </c>
      <c r="H1366" t="str">
        <f>"far-1"</f>
        <v>far-1</v>
      </c>
      <c r="I1366" t="s">
        <v>5076</v>
      </c>
      <c r="J1366" t="s">
        <v>29</v>
      </c>
      <c r="K1366" t="s">
        <v>29</v>
      </c>
      <c r="L1366">
        <v>12.048654861612899</v>
      </c>
      <c r="M1366">
        <v>14.4692280023691</v>
      </c>
      <c r="N1366">
        <v>12.9281036306148</v>
      </c>
      <c r="O1366">
        <v>12.4345929994</v>
      </c>
      <c r="P1366">
        <v>1.2286533491817799</v>
      </c>
      <c r="Q1366">
        <v>-0.64259843078647905</v>
      </c>
      <c r="R1366">
        <v>3.0999051291500499</v>
      </c>
      <c r="S1366">
        <v>12.3181075263695</v>
      </c>
      <c r="T1366">
        <v>1.41966013362017</v>
      </c>
      <c r="U1366">
        <v>-5.8166321689241398</v>
      </c>
      <c r="V1366">
        <v>0.179427665516073</v>
      </c>
      <c r="W1366">
        <v>0.33256184294079599</v>
      </c>
      <c r="X1366">
        <v>0</v>
      </c>
      <c r="Y1366">
        <v>0</v>
      </c>
    </row>
    <row r="1367" spans="1:25" x14ac:dyDescent="0.2">
      <c r="A1367" t="s">
        <v>5077</v>
      </c>
      <c r="B1367" t="s">
        <v>5078</v>
      </c>
      <c r="C1367" t="s">
        <v>5079</v>
      </c>
      <c r="D1367" t="s">
        <v>5080</v>
      </c>
      <c r="E1367" t="s">
        <v>5078</v>
      </c>
      <c r="F1367" t="s">
        <v>28</v>
      </c>
      <c r="G1367" t="s">
        <v>5078</v>
      </c>
      <c r="H1367" t="str">
        <f>"far-2"</f>
        <v>far-2</v>
      </c>
      <c r="I1367" t="s">
        <v>5080</v>
      </c>
      <c r="J1367">
        <v>11.825526283913099</v>
      </c>
      <c r="K1367">
        <v>11.3410406064739</v>
      </c>
      <c r="L1367">
        <v>12.631050850671199</v>
      </c>
      <c r="M1367">
        <v>14.7475907617013</v>
      </c>
      <c r="N1367">
        <v>12.8601463270042</v>
      </c>
      <c r="O1367">
        <v>13.200957858383299</v>
      </c>
      <c r="P1367">
        <v>1.6703590686768499</v>
      </c>
      <c r="Q1367">
        <v>0.57899012686234497</v>
      </c>
      <c r="R1367">
        <v>2.7617280104913502</v>
      </c>
      <c r="S1367">
        <v>12.070305434903799</v>
      </c>
      <c r="T1367">
        <v>3.2168496408320699</v>
      </c>
      <c r="U1367">
        <v>-2.8776504047193798</v>
      </c>
      <c r="V1367">
        <v>4.80939749246355E-3</v>
      </c>
      <c r="W1367">
        <v>2.7520960019980702E-2</v>
      </c>
      <c r="X1367">
        <v>1</v>
      </c>
      <c r="Y1367">
        <v>1</v>
      </c>
    </row>
    <row r="1368" spans="1:25" x14ac:dyDescent="0.2">
      <c r="A1368" t="s">
        <v>5081</v>
      </c>
      <c r="B1368" t="s">
        <v>5082</v>
      </c>
      <c r="C1368" t="s">
        <v>5083</v>
      </c>
      <c r="D1368" t="s">
        <v>5084</v>
      </c>
      <c r="E1368" t="s">
        <v>5082</v>
      </c>
      <c r="F1368" t="s">
        <v>28</v>
      </c>
      <c r="G1368" t="s">
        <v>5082</v>
      </c>
      <c r="H1368" t="str">
        <f>"mrpl-44"</f>
        <v>mrpl-44</v>
      </c>
      <c r="I1368" t="s">
        <v>5084</v>
      </c>
      <c r="J1368">
        <v>12.7896252475139</v>
      </c>
      <c r="K1368">
        <v>13.2837027500763</v>
      </c>
      <c r="L1368">
        <v>13.2580258554575</v>
      </c>
      <c r="M1368" t="s">
        <v>29</v>
      </c>
      <c r="N1368">
        <v>12.4138473159681</v>
      </c>
      <c r="O1368">
        <v>13.318243459702799</v>
      </c>
      <c r="P1368">
        <v>-0.244405896513785</v>
      </c>
      <c r="Q1368">
        <v>-0.97887199261248703</v>
      </c>
      <c r="R1368">
        <v>0.49006019958491798</v>
      </c>
      <c r="S1368">
        <v>13.6157459116754</v>
      </c>
      <c r="T1368">
        <v>-0.70240879302652504</v>
      </c>
      <c r="U1368">
        <v>-6.7898712989973697</v>
      </c>
      <c r="V1368">
        <v>0.49198928554704902</v>
      </c>
      <c r="W1368">
        <v>0.64959935661513601</v>
      </c>
      <c r="X1368">
        <v>0</v>
      </c>
      <c r="Y1368">
        <v>0</v>
      </c>
    </row>
    <row r="1369" spans="1:25" x14ac:dyDescent="0.2">
      <c r="A1369" t="s">
        <v>5085</v>
      </c>
      <c r="B1369" t="s">
        <v>5086</v>
      </c>
      <c r="C1369" t="s">
        <v>5087</v>
      </c>
      <c r="D1369" t="s">
        <v>5088</v>
      </c>
      <c r="E1369" t="s">
        <v>5086</v>
      </c>
      <c r="F1369" t="s">
        <v>28</v>
      </c>
      <c r="G1369" t="s">
        <v>5086</v>
      </c>
      <c r="H1369" t="str">
        <f>"F02A9.10"</f>
        <v>F02A9.10</v>
      </c>
      <c r="I1369" t="s">
        <v>5088</v>
      </c>
      <c r="J1369">
        <v>17.641257800795</v>
      </c>
      <c r="K1369">
        <v>18.449527920070199</v>
      </c>
      <c r="L1369">
        <v>17.754274264604899</v>
      </c>
      <c r="M1369">
        <v>18.810784802895199</v>
      </c>
      <c r="N1369">
        <v>19.1567938669311</v>
      </c>
      <c r="O1369">
        <v>19.383212473231801</v>
      </c>
      <c r="P1369">
        <v>1.16857705252935</v>
      </c>
      <c r="Q1369">
        <v>6.4338558936376994E-2</v>
      </c>
      <c r="R1369">
        <v>2.2728155461223198</v>
      </c>
      <c r="S1369">
        <v>17.8152566314625</v>
      </c>
      <c r="T1369">
        <v>2.2242673373069599</v>
      </c>
      <c r="U1369">
        <v>-4.8657676815868296</v>
      </c>
      <c r="V1369">
        <v>3.9244053698117502E-2</v>
      </c>
      <c r="W1369">
        <v>0.116748040050884</v>
      </c>
      <c r="X1369">
        <v>1</v>
      </c>
      <c r="Y1369">
        <v>0</v>
      </c>
    </row>
    <row r="1370" spans="1:25" x14ac:dyDescent="0.2">
      <c r="A1370" t="s">
        <v>5089</v>
      </c>
      <c r="B1370" t="s">
        <v>5090</v>
      </c>
      <c r="C1370" t="s">
        <v>5091</v>
      </c>
      <c r="D1370" t="s">
        <v>5092</v>
      </c>
      <c r="E1370" t="s">
        <v>5090</v>
      </c>
      <c r="F1370" t="s">
        <v>28</v>
      </c>
      <c r="G1370" t="s">
        <v>5090</v>
      </c>
      <c r="H1370" t="str">
        <f>"mrps-9"</f>
        <v>mrps-9</v>
      </c>
      <c r="I1370" t="s">
        <v>5092</v>
      </c>
      <c r="J1370">
        <v>13.0739677701866</v>
      </c>
      <c r="K1370">
        <v>13.1517709742287</v>
      </c>
      <c r="L1370">
        <v>13.032545373826601</v>
      </c>
      <c r="M1370" t="s">
        <v>29</v>
      </c>
      <c r="N1370">
        <v>12.9269466930338</v>
      </c>
      <c r="O1370">
        <v>12.4549073195065</v>
      </c>
      <c r="P1370">
        <v>-0.39516769981050698</v>
      </c>
      <c r="Q1370">
        <v>-0.89614123181111904</v>
      </c>
      <c r="R1370">
        <v>0.105805832190104</v>
      </c>
      <c r="S1370">
        <v>13.202073446595399</v>
      </c>
      <c r="T1370">
        <v>-1.6650093276947799</v>
      </c>
      <c r="U1370">
        <v>-5.6969334229918704</v>
      </c>
      <c r="V1370">
        <v>0.114344094347897</v>
      </c>
      <c r="W1370">
        <v>0.23847986273407801</v>
      </c>
      <c r="X1370">
        <v>0</v>
      </c>
      <c r="Y1370">
        <v>0</v>
      </c>
    </row>
    <row r="1371" spans="1:25" x14ac:dyDescent="0.2">
      <c r="A1371" t="s">
        <v>5093</v>
      </c>
      <c r="B1371" t="s">
        <v>5094</v>
      </c>
      <c r="C1371" t="s">
        <v>5095</v>
      </c>
      <c r="D1371" t="s">
        <v>5096</v>
      </c>
      <c r="E1371" t="s">
        <v>5094</v>
      </c>
      <c r="F1371" t="s">
        <v>28</v>
      </c>
      <c r="G1371" t="s">
        <v>5094</v>
      </c>
      <c r="H1371" t="str">
        <f>"F10E9.4"</f>
        <v>F10E9.4</v>
      </c>
      <c r="I1371" t="s">
        <v>5096</v>
      </c>
      <c r="J1371">
        <v>12.761228288438099</v>
      </c>
      <c r="K1371">
        <v>12.3120552230197</v>
      </c>
      <c r="L1371">
        <v>12.4721560950018</v>
      </c>
      <c r="M1371" t="s">
        <v>29</v>
      </c>
      <c r="N1371">
        <v>13.170594588292699</v>
      </c>
      <c r="O1371">
        <v>12.932719819516601</v>
      </c>
      <c r="P1371">
        <v>0.536510668418131</v>
      </c>
      <c r="Q1371">
        <v>5.1483324591277101E-3</v>
      </c>
      <c r="R1371">
        <v>1.0678730043771301</v>
      </c>
      <c r="S1371">
        <v>12.4936538221771</v>
      </c>
      <c r="T1371">
        <v>2.1415939168527598</v>
      </c>
      <c r="U1371">
        <v>-4.92203560353932</v>
      </c>
      <c r="V1371">
        <v>4.8069074148199303E-2</v>
      </c>
      <c r="W1371">
        <v>0.132469539567834</v>
      </c>
      <c r="X1371">
        <v>0</v>
      </c>
      <c r="Y1371">
        <v>0</v>
      </c>
    </row>
    <row r="1372" spans="1:25" x14ac:dyDescent="0.2">
      <c r="A1372" t="s">
        <v>5097</v>
      </c>
      <c r="B1372" t="s">
        <v>5098</v>
      </c>
      <c r="C1372" t="s">
        <v>5099</v>
      </c>
      <c r="D1372" t="s">
        <v>5100</v>
      </c>
      <c r="E1372" t="s">
        <v>5098</v>
      </c>
      <c r="F1372" t="s">
        <v>28</v>
      </c>
      <c r="G1372" t="s">
        <v>5098</v>
      </c>
      <c r="H1372" t="str">
        <f>"dpy-19"</f>
        <v>dpy-19</v>
      </c>
      <c r="I1372" t="s">
        <v>5100</v>
      </c>
      <c r="J1372">
        <v>12.2003757381877</v>
      </c>
      <c r="K1372">
        <v>12.643864397695401</v>
      </c>
      <c r="L1372">
        <v>12.6169766005643</v>
      </c>
      <c r="M1372" t="s">
        <v>29</v>
      </c>
      <c r="N1372" t="s">
        <v>29</v>
      </c>
      <c r="O1372">
        <v>12.222233456388601</v>
      </c>
      <c r="P1372">
        <v>-0.26483878909381497</v>
      </c>
      <c r="Q1372">
        <v>-1.02447347230881</v>
      </c>
      <c r="R1372">
        <v>0.49479589412118002</v>
      </c>
      <c r="S1372">
        <v>12.695807838308999</v>
      </c>
      <c r="T1372">
        <v>-0.73947983883811297</v>
      </c>
      <c r="U1372">
        <v>-6.5304153401627403</v>
      </c>
      <c r="V1372">
        <v>0.47039662199599303</v>
      </c>
      <c r="W1372">
        <v>0.631265412123037</v>
      </c>
      <c r="X1372">
        <v>0</v>
      </c>
      <c r="Y1372">
        <v>0</v>
      </c>
    </row>
    <row r="1373" spans="1:25" x14ac:dyDescent="0.2">
      <c r="A1373" t="s">
        <v>5101</v>
      </c>
      <c r="B1373" t="s">
        <v>5102</v>
      </c>
      <c r="C1373" t="s">
        <v>5103</v>
      </c>
      <c r="D1373" t="s">
        <v>5104</v>
      </c>
      <c r="E1373" t="s">
        <v>5102</v>
      </c>
      <c r="F1373" t="s">
        <v>28</v>
      </c>
      <c r="G1373" t="s">
        <v>5102</v>
      </c>
      <c r="H1373" t="str">
        <f>"F44B9.2"</f>
        <v>F44B9.2</v>
      </c>
      <c r="I1373" t="s">
        <v>5104</v>
      </c>
      <c r="J1373">
        <v>13.217739885288699</v>
      </c>
      <c r="K1373">
        <v>12.6302541773812</v>
      </c>
      <c r="L1373">
        <v>11.7338582711018</v>
      </c>
      <c r="M1373" t="s">
        <v>29</v>
      </c>
      <c r="N1373" t="s">
        <v>29</v>
      </c>
      <c r="O1373" t="s">
        <v>29</v>
      </c>
      <c r="P1373" t="s">
        <v>29</v>
      </c>
      <c r="Q1373" t="s">
        <v>29</v>
      </c>
      <c r="R1373" t="s">
        <v>29</v>
      </c>
      <c r="S1373">
        <v>12.0948915436632</v>
      </c>
      <c r="T1373" t="s">
        <v>29</v>
      </c>
      <c r="U1373" t="s">
        <v>29</v>
      </c>
      <c r="V1373" t="s">
        <v>29</v>
      </c>
      <c r="W1373" t="s">
        <v>29</v>
      </c>
      <c r="X1373" t="s">
        <v>29</v>
      </c>
      <c r="Y1373" t="s">
        <v>29</v>
      </c>
    </row>
    <row r="1374" spans="1:25" x14ac:dyDescent="0.2">
      <c r="A1374" t="s">
        <v>5105</v>
      </c>
      <c r="B1374" t="s">
        <v>5106</v>
      </c>
      <c r="C1374" t="s">
        <v>5107</v>
      </c>
      <c r="D1374" t="s">
        <v>5108</v>
      </c>
      <c r="E1374" t="s">
        <v>5106</v>
      </c>
      <c r="F1374" t="s">
        <v>28</v>
      </c>
      <c r="G1374" t="s">
        <v>5106</v>
      </c>
      <c r="H1374" t="str">
        <f>"cit-1.2"</f>
        <v>cit-1.2</v>
      </c>
      <c r="I1374" t="s">
        <v>5108</v>
      </c>
      <c r="J1374">
        <v>11.0885398782768</v>
      </c>
      <c r="K1374">
        <v>11.45702974626</v>
      </c>
      <c r="L1374">
        <v>11.5161853256892</v>
      </c>
      <c r="M1374" t="s">
        <v>29</v>
      </c>
      <c r="N1374" t="s">
        <v>29</v>
      </c>
      <c r="O1374">
        <v>10.6702994701003</v>
      </c>
      <c r="P1374">
        <v>-0.68361884664168204</v>
      </c>
      <c r="Q1374">
        <v>-1.3446323311627999</v>
      </c>
      <c r="R1374">
        <v>-2.26053621205629E-2</v>
      </c>
      <c r="S1374">
        <v>11.615963979218501</v>
      </c>
      <c r="T1374">
        <v>-2.1935787888059801</v>
      </c>
      <c r="U1374">
        <v>-4.6089570528539703</v>
      </c>
      <c r="V1374">
        <v>4.3487142542098102E-2</v>
      </c>
      <c r="W1374">
        <v>0.123492197144347</v>
      </c>
      <c r="X1374">
        <v>0</v>
      </c>
      <c r="Y1374">
        <v>0</v>
      </c>
    </row>
    <row r="1375" spans="1:25" x14ac:dyDescent="0.2">
      <c r="A1375" t="s">
        <v>5109</v>
      </c>
      <c r="B1375" t="s">
        <v>5110</v>
      </c>
      <c r="C1375" t="s">
        <v>5111</v>
      </c>
      <c r="D1375" t="s">
        <v>5112</v>
      </c>
      <c r="E1375" t="s">
        <v>5110</v>
      </c>
      <c r="F1375" t="s">
        <v>28</v>
      </c>
      <c r="G1375" t="s">
        <v>5110</v>
      </c>
      <c r="H1375" t="str">
        <f>"F44B9.5"</f>
        <v>F44B9.5</v>
      </c>
      <c r="I1375" t="s">
        <v>5112</v>
      </c>
      <c r="J1375">
        <v>12.947356877587</v>
      </c>
      <c r="K1375">
        <v>12.961730121250501</v>
      </c>
      <c r="L1375">
        <v>13.1181822256682</v>
      </c>
      <c r="M1375">
        <v>12.3254465083178</v>
      </c>
      <c r="N1375" t="s">
        <v>29</v>
      </c>
      <c r="O1375">
        <v>12.928955764817401</v>
      </c>
      <c r="P1375">
        <v>-0.38188860493431598</v>
      </c>
      <c r="Q1375">
        <v>-0.78794374536102496</v>
      </c>
      <c r="R1375">
        <v>2.4166535492392501E-2</v>
      </c>
      <c r="S1375">
        <v>12.919392388660899</v>
      </c>
      <c r="T1375">
        <v>-1.9851882688779301</v>
      </c>
      <c r="U1375">
        <v>-5.1850304394772397</v>
      </c>
      <c r="V1375">
        <v>6.3602885796142095E-2</v>
      </c>
      <c r="W1375">
        <v>0.16158422796657801</v>
      </c>
      <c r="X1375">
        <v>0</v>
      </c>
      <c r="Y1375">
        <v>0</v>
      </c>
    </row>
    <row r="1376" spans="1:25" x14ac:dyDescent="0.2">
      <c r="A1376" t="s">
        <v>5113</v>
      </c>
      <c r="B1376" t="s">
        <v>5114</v>
      </c>
      <c r="C1376" t="s">
        <v>5115</v>
      </c>
      <c r="D1376" t="s">
        <v>5116</v>
      </c>
      <c r="E1376" t="s">
        <v>5114</v>
      </c>
      <c r="F1376" t="s">
        <v>28</v>
      </c>
      <c r="G1376" t="s">
        <v>5114</v>
      </c>
      <c r="H1376" t="str">
        <f>"lin-36"</f>
        <v>lin-36</v>
      </c>
      <c r="I1376" t="s">
        <v>5116</v>
      </c>
      <c r="J1376" t="s">
        <v>29</v>
      </c>
      <c r="K1376">
        <v>11.2904318962378</v>
      </c>
      <c r="L1376">
        <v>10.586796469583</v>
      </c>
      <c r="M1376" t="s">
        <v>29</v>
      </c>
      <c r="N1376" t="s">
        <v>29</v>
      </c>
      <c r="O1376" t="s">
        <v>29</v>
      </c>
      <c r="P1376" t="s">
        <v>29</v>
      </c>
      <c r="Q1376" t="s">
        <v>29</v>
      </c>
      <c r="R1376" t="s">
        <v>29</v>
      </c>
      <c r="S1376">
        <v>11.638676428834099</v>
      </c>
      <c r="T1376" t="s">
        <v>29</v>
      </c>
      <c r="U1376" t="s">
        <v>29</v>
      </c>
      <c r="V1376" t="s">
        <v>29</v>
      </c>
      <c r="W1376" t="s">
        <v>29</v>
      </c>
      <c r="X1376" t="s">
        <v>29</v>
      </c>
      <c r="Y1376" t="s">
        <v>29</v>
      </c>
    </row>
    <row r="1377" spans="1:25" x14ac:dyDescent="0.2">
      <c r="A1377" t="s">
        <v>5117</v>
      </c>
      <c r="B1377" t="s">
        <v>5118</v>
      </c>
      <c r="C1377" t="s">
        <v>5119</v>
      </c>
      <c r="D1377" t="s">
        <v>5120</v>
      </c>
      <c r="E1377" t="s">
        <v>5118</v>
      </c>
      <c r="F1377" t="s">
        <v>28</v>
      </c>
      <c r="G1377" t="s">
        <v>5118</v>
      </c>
      <c r="H1377" t="str">
        <f>"retr-1"</f>
        <v>retr-1</v>
      </c>
      <c r="I1377" t="s">
        <v>5120</v>
      </c>
      <c r="J1377">
        <v>12.8822546993493</v>
      </c>
      <c r="K1377">
        <v>12.7629056244715</v>
      </c>
      <c r="L1377">
        <v>13.6640657316928</v>
      </c>
      <c r="M1377" t="s">
        <v>29</v>
      </c>
      <c r="N1377">
        <v>13.5549725330944</v>
      </c>
      <c r="O1377">
        <v>12.6488166825575</v>
      </c>
      <c r="P1377">
        <v>-1.1807440119007101E-3</v>
      </c>
      <c r="Q1377">
        <v>-1.01343931061211</v>
      </c>
      <c r="R1377">
        <v>1.0110778225883099</v>
      </c>
      <c r="S1377">
        <v>14.645235864771999</v>
      </c>
      <c r="T1377">
        <v>-2.4621488458428601E-3</v>
      </c>
      <c r="U1377">
        <v>-7.0454718107301604</v>
      </c>
      <c r="V1377">
        <v>0.99806433014562701</v>
      </c>
      <c r="W1377">
        <v>0.99942085658823099</v>
      </c>
      <c r="X1377">
        <v>0</v>
      </c>
      <c r="Y1377">
        <v>0</v>
      </c>
    </row>
    <row r="1378" spans="1:25" x14ac:dyDescent="0.2">
      <c r="A1378" t="s">
        <v>5121</v>
      </c>
      <c r="B1378" t="s">
        <v>5122</v>
      </c>
      <c r="C1378" t="s">
        <v>5123</v>
      </c>
      <c r="D1378" t="s">
        <v>5124</v>
      </c>
      <c r="E1378" t="s">
        <v>5122</v>
      </c>
      <c r="F1378" t="s">
        <v>28</v>
      </c>
      <c r="G1378" t="s">
        <v>5122</v>
      </c>
      <c r="H1378" t="str">
        <f>"F44E2.7"</f>
        <v>F44E2.7</v>
      </c>
      <c r="I1378" t="s">
        <v>5124</v>
      </c>
      <c r="J1378">
        <v>9.5800279680729794</v>
      </c>
      <c r="K1378" t="s">
        <v>29</v>
      </c>
      <c r="L1378" t="s">
        <v>29</v>
      </c>
      <c r="M1378" t="s">
        <v>29</v>
      </c>
      <c r="N1378" t="s">
        <v>29</v>
      </c>
      <c r="O1378" t="s">
        <v>29</v>
      </c>
      <c r="P1378" t="s">
        <v>29</v>
      </c>
      <c r="Q1378" t="s">
        <v>29</v>
      </c>
      <c r="R1378" t="s">
        <v>29</v>
      </c>
      <c r="S1378">
        <v>9.7085131568434306</v>
      </c>
      <c r="T1378" t="s">
        <v>29</v>
      </c>
      <c r="U1378" t="s">
        <v>29</v>
      </c>
      <c r="V1378" t="s">
        <v>29</v>
      </c>
      <c r="W1378" t="s">
        <v>29</v>
      </c>
      <c r="X1378" t="s">
        <v>29</v>
      </c>
      <c r="Y1378" t="s">
        <v>29</v>
      </c>
    </row>
    <row r="1379" spans="1:25" x14ac:dyDescent="0.2">
      <c r="A1379" t="s">
        <v>5125</v>
      </c>
      <c r="B1379" t="s">
        <v>5126</v>
      </c>
      <c r="C1379" t="s">
        <v>5127</v>
      </c>
      <c r="D1379" t="s">
        <v>5128</v>
      </c>
      <c r="E1379" t="s">
        <v>5126</v>
      </c>
      <c r="F1379" t="s">
        <v>28</v>
      </c>
      <c r="G1379" t="s">
        <v>5126</v>
      </c>
      <c r="H1379" t="str">
        <f>"emb-30"</f>
        <v>emb-30</v>
      </c>
      <c r="I1379" t="s">
        <v>5128</v>
      </c>
      <c r="J1379">
        <v>13.6582594150084</v>
      </c>
      <c r="K1379">
        <v>11.9157834270974</v>
      </c>
      <c r="L1379">
        <v>13.0629866681391</v>
      </c>
      <c r="M1379" t="s">
        <v>29</v>
      </c>
      <c r="N1379">
        <v>12.549976766291101</v>
      </c>
      <c r="O1379">
        <v>13.8623817181851</v>
      </c>
      <c r="P1379">
        <v>0.32716940548976903</v>
      </c>
      <c r="Q1379">
        <v>-0.954348169082333</v>
      </c>
      <c r="R1379">
        <v>1.6086869800618699</v>
      </c>
      <c r="S1379">
        <v>13.246769743677</v>
      </c>
      <c r="T1379">
        <v>0.54149898663292595</v>
      </c>
      <c r="U1379">
        <v>-6.8922202216346298</v>
      </c>
      <c r="V1379">
        <v>0.59567288530209395</v>
      </c>
      <c r="W1379">
        <v>0.73088459212672896</v>
      </c>
      <c r="X1379">
        <v>0</v>
      </c>
      <c r="Y1379">
        <v>0</v>
      </c>
    </row>
    <row r="1380" spans="1:25" x14ac:dyDescent="0.2">
      <c r="A1380" t="s">
        <v>5129</v>
      </c>
      <c r="B1380" t="s">
        <v>5130</v>
      </c>
      <c r="C1380" t="s">
        <v>5131</v>
      </c>
      <c r="D1380" t="s">
        <v>5132</v>
      </c>
      <c r="E1380" t="s">
        <v>5130</v>
      </c>
      <c r="F1380" t="s">
        <v>28</v>
      </c>
      <c r="G1380" t="s">
        <v>5130</v>
      </c>
      <c r="H1380" t="str">
        <f>"F54C8.4"</f>
        <v>F54C8.4</v>
      </c>
      <c r="I1380" t="s">
        <v>5132</v>
      </c>
      <c r="J1380" t="s">
        <v>29</v>
      </c>
      <c r="K1380" t="s">
        <v>29</v>
      </c>
      <c r="L1380" t="s">
        <v>29</v>
      </c>
      <c r="M1380" t="s">
        <v>29</v>
      </c>
      <c r="N1380" t="s">
        <v>29</v>
      </c>
      <c r="O1380" t="s">
        <v>29</v>
      </c>
      <c r="P1380" t="s">
        <v>29</v>
      </c>
      <c r="Q1380" t="s">
        <v>29</v>
      </c>
      <c r="R1380" t="s">
        <v>29</v>
      </c>
      <c r="S1380">
        <v>13.616530247537501</v>
      </c>
      <c r="T1380" t="s">
        <v>29</v>
      </c>
      <c r="U1380" t="s">
        <v>29</v>
      </c>
      <c r="V1380" t="s">
        <v>29</v>
      </c>
      <c r="W1380" t="s">
        <v>29</v>
      </c>
      <c r="X1380" t="s">
        <v>29</v>
      </c>
      <c r="Y1380" t="s">
        <v>29</v>
      </c>
    </row>
    <row r="1381" spans="1:25" x14ac:dyDescent="0.2">
      <c r="A1381" t="s">
        <v>5133</v>
      </c>
      <c r="B1381" t="s">
        <v>5134</v>
      </c>
      <c r="C1381" t="s">
        <v>5135</v>
      </c>
      <c r="D1381" t="s">
        <v>5136</v>
      </c>
      <c r="E1381" t="s">
        <v>5134</v>
      </c>
      <c r="F1381" t="s">
        <v>28</v>
      </c>
      <c r="G1381" t="s">
        <v>5134</v>
      </c>
      <c r="H1381" t="str">
        <f>"F54C8.7"</f>
        <v>F54C8.7</v>
      </c>
      <c r="I1381" t="s">
        <v>5136</v>
      </c>
      <c r="J1381">
        <v>14.042459888041099</v>
      </c>
      <c r="K1381" t="s">
        <v>29</v>
      </c>
      <c r="L1381">
        <v>14.0308413173793</v>
      </c>
      <c r="M1381">
        <v>14.436549574353901</v>
      </c>
      <c r="N1381">
        <v>14.4405455637441</v>
      </c>
      <c r="O1381">
        <v>14.813304610718999</v>
      </c>
      <c r="P1381">
        <v>0.52681598022883203</v>
      </c>
      <c r="Q1381">
        <v>-0.18180180718397801</v>
      </c>
      <c r="R1381">
        <v>1.23543376764164</v>
      </c>
      <c r="S1381">
        <v>12.9411032545569</v>
      </c>
      <c r="T1381">
        <v>1.5692672227937901</v>
      </c>
      <c r="U1381">
        <v>-5.8377117083305796</v>
      </c>
      <c r="V1381">
        <v>0.13512364816512601</v>
      </c>
      <c r="W1381">
        <v>0.27119652979659198</v>
      </c>
      <c r="X1381">
        <v>0</v>
      </c>
      <c r="Y1381">
        <v>0</v>
      </c>
    </row>
    <row r="1382" spans="1:25" x14ac:dyDescent="0.2">
      <c r="A1382" t="s">
        <v>5137</v>
      </c>
      <c r="B1382" t="s">
        <v>5138</v>
      </c>
      <c r="C1382" t="s">
        <v>5139</v>
      </c>
      <c r="D1382" t="s">
        <v>5140</v>
      </c>
      <c r="E1382" t="s">
        <v>5138</v>
      </c>
      <c r="F1382" t="s">
        <v>28</v>
      </c>
      <c r="G1382" t="s">
        <v>5138</v>
      </c>
      <c r="H1382" t="str">
        <f>"F54F2.9"</f>
        <v>F54F2.9</v>
      </c>
      <c r="I1382" t="s">
        <v>5140</v>
      </c>
      <c r="J1382" t="s">
        <v>29</v>
      </c>
      <c r="K1382" t="s">
        <v>29</v>
      </c>
      <c r="L1382">
        <v>10.0676577682285</v>
      </c>
      <c r="M1382" t="s">
        <v>29</v>
      </c>
      <c r="N1382" t="s">
        <v>29</v>
      </c>
      <c r="O1382">
        <v>11.2883525818176</v>
      </c>
      <c r="P1382">
        <v>1.2206948135891</v>
      </c>
      <c r="Q1382">
        <v>-0.30786306964717203</v>
      </c>
      <c r="R1382">
        <v>2.7492526968253701</v>
      </c>
      <c r="S1382">
        <v>10.292935432530699</v>
      </c>
      <c r="T1382">
        <v>2.0661543014389299</v>
      </c>
      <c r="U1382">
        <v>-4.8097258610942299</v>
      </c>
      <c r="V1382">
        <v>9.4900271613442305E-2</v>
      </c>
      <c r="W1382">
        <v>0.20964850108306901</v>
      </c>
      <c r="X1382">
        <v>0</v>
      </c>
      <c r="Y1382">
        <v>0</v>
      </c>
    </row>
    <row r="1383" spans="1:25" x14ac:dyDescent="0.2">
      <c r="A1383" t="s">
        <v>5141</v>
      </c>
      <c r="B1383" t="s">
        <v>5142</v>
      </c>
      <c r="C1383" t="s">
        <v>5143</v>
      </c>
      <c r="D1383" t="s">
        <v>5144</v>
      </c>
      <c r="E1383" t="s">
        <v>5142</v>
      </c>
      <c r="F1383" t="s">
        <v>28</v>
      </c>
      <c r="G1383" t="s">
        <v>5142</v>
      </c>
      <c r="H1383" t="str">
        <f>"aco-2"</f>
        <v>aco-2</v>
      </c>
      <c r="I1383" t="s">
        <v>5144</v>
      </c>
      <c r="J1383">
        <v>17.892601776487599</v>
      </c>
      <c r="K1383">
        <v>17.808095433006098</v>
      </c>
      <c r="L1383">
        <v>17.579992009296099</v>
      </c>
      <c r="M1383">
        <v>17.967731716047702</v>
      </c>
      <c r="N1383">
        <v>18.053057232461299</v>
      </c>
      <c r="O1383">
        <v>17.965878402143201</v>
      </c>
      <c r="P1383">
        <v>0.23532604395414899</v>
      </c>
      <c r="Q1383">
        <v>-0.127363208522388</v>
      </c>
      <c r="R1383">
        <v>0.59801529643068696</v>
      </c>
      <c r="S1383">
        <v>17.595013886985299</v>
      </c>
      <c r="T1383">
        <v>1.3637281986055101</v>
      </c>
      <c r="U1383">
        <v>-6.2280526153378997</v>
      </c>
      <c r="V1383">
        <v>0.189563140306863</v>
      </c>
      <c r="W1383">
        <v>0.346552465560996</v>
      </c>
      <c r="X1383">
        <v>0</v>
      </c>
      <c r="Y1383">
        <v>0</v>
      </c>
    </row>
    <row r="1384" spans="1:25" x14ac:dyDescent="0.2">
      <c r="A1384" t="s">
        <v>5145</v>
      </c>
      <c r="B1384" t="s">
        <v>5146</v>
      </c>
      <c r="C1384" t="s">
        <v>5147</v>
      </c>
      <c r="D1384" t="s">
        <v>5148</v>
      </c>
      <c r="E1384" t="s">
        <v>5146</v>
      </c>
      <c r="F1384" t="s">
        <v>28</v>
      </c>
      <c r="G1384" t="s">
        <v>5146</v>
      </c>
      <c r="H1384" t="str">
        <f>"eef-1B.1"</f>
        <v>eef-1B.1</v>
      </c>
      <c r="I1384" t="s">
        <v>5148</v>
      </c>
      <c r="J1384" t="s">
        <v>29</v>
      </c>
      <c r="K1384" t="s">
        <v>29</v>
      </c>
      <c r="L1384" t="s">
        <v>29</v>
      </c>
      <c r="M1384">
        <v>13.7681919672631</v>
      </c>
      <c r="N1384">
        <v>14.4320340562751</v>
      </c>
      <c r="O1384">
        <v>14.7526835693403</v>
      </c>
      <c r="P1384" t="s">
        <v>29</v>
      </c>
      <c r="Q1384" t="s">
        <v>29</v>
      </c>
      <c r="R1384" t="s">
        <v>29</v>
      </c>
      <c r="S1384">
        <v>13.256700272028199</v>
      </c>
      <c r="T1384" t="s">
        <v>29</v>
      </c>
      <c r="U1384" t="s">
        <v>29</v>
      </c>
      <c r="V1384" t="s">
        <v>29</v>
      </c>
      <c r="W1384" t="s">
        <v>29</v>
      </c>
      <c r="X1384" t="s">
        <v>29</v>
      </c>
      <c r="Y1384" t="s">
        <v>29</v>
      </c>
    </row>
    <row r="1385" spans="1:25" x14ac:dyDescent="0.2">
      <c r="A1385" t="s">
        <v>5149</v>
      </c>
      <c r="B1385" t="s">
        <v>5150</v>
      </c>
      <c r="C1385" t="s">
        <v>5151</v>
      </c>
      <c r="D1385" t="s">
        <v>5152</v>
      </c>
      <c r="E1385" t="s">
        <v>5150</v>
      </c>
      <c r="F1385" t="s">
        <v>28</v>
      </c>
      <c r="G1385" t="s">
        <v>5150</v>
      </c>
      <c r="H1385" t="str">
        <f>"vha-14"</f>
        <v>vha-14</v>
      </c>
      <c r="I1385" t="s">
        <v>5152</v>
      </c>
      <c r="J1385">
        <v>13.6749883822126</v>
      </c>
      <c r="K1385">
        <v>13.57367519218</v>
      </c>
      <c r="L1385">
        <v>13.4578829347648</v>
      </c>
      <c r="M1385">
        <v>14.241280315619701</v>
      </c>
      <c r="N1385">
        <v>14.325015374645499</v>
      </c>
      <c r="O1385">
        <v>14.8121166991086</v>
      </c>
      <c r="P1385">
        <v>0.89062196007212802</v>
      </c>
      <c r="Q1385">
        <v>0.35809919114274702</v>
      </c>
      <c r="R1385">
        <v>1.42314472900151</v>
      </c>
      <c r="S1385">
        <v>13.526569796917</v>
      </c>
      <c r="T1385">
        <v>3.5151813140205399</v>
      </c>
      <c r="U1385">
        <v>-2.2349435266369699</v>
      </c>
      <c r="V1385">
        <v>2.4899049865708301E-3</v>
      </c>
      <c r="W1385">
        <v>1.69072580539729E-2</v>
      </c>
      <c r="X1385">
        <v>0</v>
      </c>
      <c r="Y1385">
        <v>0</v>
      </c>
    </row>
    <row r="1386" spans="1:25" x14ac:dyDescent="0.2">
      <c r="A1386" t="s">
        <v>5153</v>
      </c>
      <c r="B1386" t="s">
        <v>5154</v>
      </c>
      <c r="C1386" t="s">
        <v>5155</v>
      </c>
      <c r="D1386" t="s">
        <v>5156</v>
      </c>
      <c r="E1386" t="s">
        <v>5154</v>
      </c>
      <c r="F1386" t="s">
        <v>28</v>
      </c>
      <c r="G1386" t="s">
        <v>5154</v>
      </c>
      <c r="H1386" t="str">
        <f>"clu-1"</f>
        <v>clu-1</v>
      </c>
      <c r="I1386" t="s">
        <v>5156</v>
      </c>
      <c r="J1386">
        <v>17.457161408699299</v>
      </c>
      <c r="K1386">
        <v>17.302990560170599</v>
      </c>
      <c r="L1386">
        <v>17.256007151399899</v>
      </c>
      <c r="M1386">
        <v>16.9277280959172</v>
      </c>
      <c r="N1386">
        <v>17.296283990158202</v>
      </c>
      <c r="O1386">
        <v>17.3772213886974</v>
      </c>
      <c r="P1386">
        <v>-0.138308548499012</v>
      </c>
      <c r="Q1386">
        <v>-0.456438570504482</v>
      </c>
      <c r="R1386">
        <v>0.179821473506458</v>
      </c>
      <c r="S1386">
        <v>17.203982016518999</v>
      </c>
      <c r="T1386">
        <v>-0.913769969674607</v>
      </c>
      <c r="U1386">
        <v>-6.7280873503054401</v>
      </c>
      <c r="V1386">
        <v>0.372985763541682</v>
      </c>
      <c r="W1386">
        <v>0.53961170601734798</v>
      </c>
      <c r="X1386">
        <v>0</v>
      </c>
      <c r="Y1386">
        <v>0</v>
      </c>
    </row>
    <row r="1387" spans="1:25" x14ac:dyDescent="0.2">
      <c r="A1387" t="s">
        <v>5157</v>
      </c>
      <c r="B1387" t="s">
        <v>5158</v>
      </c>
      <c r="C1387" t="s">
        <v>5159</v>
      </c>
      <c r="D1387" t="s">
        <v>5160</v>
      </c>
      <c r="E1387" t="s">
        <v>5158</v>
      </c>
      <c r="F1387" t="s">
        <v>28</v>
      </c>
      <c r="G1387" t="s">
        <v>5158</v>
      </c>
      <c r="H1387" t="str">
        <f>"pri-1"</f>
        <v>pri-1</v>
      </c>
      <c r="I1387" t="s">
        <v>5160</v>
      </c>
      <c r="J1387">
        <v>12.4437808259904</v>
      </c>
      <c r="K1387">
        <v>12.6604058026436</v>
      </c>
      <c r="L1387">
        <v>12.606550854210401</v>
      </c>
      <c r="M1387" t="s">
        <v>29</v>
      </c>
      <c r="N1387">
        <v>10.4446561703522</v>
      </c>
      <c r="O1387">
        <v>12.274476564425401</v>
      </c>
      <c r="P1387">
        <v>-1.21067946022599</v>
      </c>
      <c r="Q1387">
        <v>-2.0277675460526798</v>
      </c>
      <c r="R1387">
        <v>-0.39359137439930603</v>
      </c>
      <c r="S1387">
        <v>12.5961572838404</v>
      </c>
      <c r="T1387">
        <v>-3.1275935557772798</v>
      </c>
      <c r="U1387">
        <v>-2.9969167878363501</v>
      </c>
      <c r="V1387">
        <v>6.1664411606785E-3</v>
      </c>
      <c r="W1387">
        <v>3.26256770206814E-2</v>
      </c>
      <c r="X1387">
        <v>-1</v>
      </c>
      <c r="Y1387">
        <v>-1</v>
      </c>
    </row>
    <row r="1388" spans="1:25" x14ac:dyDescent="0.2">
      <c r="A1388" t="s">
        <v>5161</v>
      </c>
      <c r="B1388" t="s">
        <v>5162</v>
      </c>
      <c r="C1388" t="s">
        <v>5163</v>
      </c>
      <c r="D1388" t="s">
        <v>5164</v>
      </c>
      <c r="E1388" t="s">
        <v>5162</v>
      </c>
      <c r="F1388" t="s">
        <v>28</v>
      </c>
      <c r="G1388" t="s">
        <v>5162</v>
      </c>
      <c r="H1388" t="str">
        <f>"tbg-1"</f>
        <v>tbg-1</v>
      </c>
      <c r="I1388" t="s">
        <v>5164</v>
      </c>
      <c r="J1388">
        <v>11.6685146507092</v>
      </c>
      <c r="K1388">
        <v>11.2160586081002</v>
      </c>
      <c r="L1388">
        <v>12.0032429232686</v>
      </c>
      <c r="M1388" t="s">
        <v>29</v>
      </c>
      <c r="N1388">
        <v>13.14640408674</v>
      </c>
      <c r="O1388">
        <v>12.4412013613486</v>
      </c>
      <c r="P1388">
        <v>1.1645306633515899</v>
      </c>
      <c r="Q1388">
        <v>0.38395763558898799</v>
      </c>
      <c r="R1388">
        <v>1.9451036911141899</v>
      </c>
      <c r="S1388">
        <v>12.074526471133501</v>
      </c>
      <c r="T1388">
        <v>3.1491068832770299</v>
      </c>
      <c r="U1388">
        <v>-2.9522704068256198</v>
      </c>
      <c r="V1388">
        <v>5.8888006090975602E-3</v>
      </c>
      <c r="W1388">
        <v>3.1471092896417502E-2</v>
      </c>
      <c r="X1388">
        <v>1</v>
      </c>
      <c r="Y1388">
        <v>1</v>
      </c>
    </row>
    <row r="1389" spans="1:25" x14ac:dyDescent="0.2">
      <c r="A1389" t="s">
        <v>5165</v>
      </c>
      <c r="B1389" t="s">
        <v>5166</v>
      </c>
      <c r="C1389" t="s">
        <v>5167</v>
      </c>
      <c r="D1389" t="s">
        <v>5168</v>
      </c>
      <c r="E1389" t="s">
        <v>5166</v>
      </c>
      <c r="F1389" t="s">
        <v>28</v>
      </c>
      <c r="G1389" t="s">
        <v>5166</v>
      </c>
      <c r="H1389" t="str">
        <f>"rpac-19"</f>
        <v>rpac-19</v>
      </c>
      <c r="I1389" t="s">
        <v>5168</v>
      </c>
      <c r="J1389">
        <v>12.402937557142</v>
      </c>
      <c r="K1389">
        <v>12.493590877124999</v>
      </c>
      <c r="L1389">
        <v>12.5729396837375</v>
      </c>
      <c r="M1389" t="s">
        <v>29</v>
      </c>
      <c r="N1389">
        <v>11.7183750123972</v>
      </c>
      <c r="O1389">
        <v>12.583182088245101</v>
      </c>
      <c r="P1389">
        <v>-0.339044155680369</v>
      </c>
      <c r="Q1389">
        <v>-1.1244625720546599</v>
      </c>
      <c r="R1389">
        <v>0.446374260693923</v>
      </c>
      <c r="S1389">
        <v>12.331681592403401</v>
      </c>
      <c r="T1389">
        <v>-0.91118213329622899</v>
      </c>
      <c r="U1389">
        <v>-6.6195113621687502</v>
      </c>
      <c r="V1389">
        <v>0.37501731006612499</v>
      </c>
      <c r="W1389">
        <v>0.54148751237867299</v>
      </c>
      <c r="X1389">
        <v>0</v>
      </c>
      <c r="Y1389">
        <v>0</v>
      </c>
    </row>
    <row r="1390" spans="1:25" x14ac:dyDescent="0.2">
      <c r="A1390" t="s">
        <v>5169</v>
      </c>
      <c r="B1390" t="s">
        <v>5170</v>
      </c>
      <c r="C1390" t="s">
        <v>5171</v>
      </c>
      <c r="D1390" t="s">
        <v>5172</v>
      </c>
      <c r="E1390" t="s">
        <v>5170</v>
      </c>
      <c r="F1390" t="s">
        <v>28</v>
      </c>
      <c r="G1390" t="s">
        <v>5170</v>
      </c>
      <c r="H1390" t="str">
        <f>"ubc-7"</f>
        <v>ubc-7</v>
      </c>
      <c r="I1390" t="s">
        <v>5172</v>
      </c>
      <c r="J1390" t="s">
        <v>29</v>
      </c>
      <c r="K1390" t="s">
        <v>29</v>
      </c>
      <c r="L1390" t="s">
        <v>29</v>
      </c>
      <c r="M1390" t="s">
        <v>29</v>
      </c>
      <c r="N1390">
        <v>14.6852989403398</v>
      </c>
      <c r="O1390">
        <v>14.094722261394001</v>
      </c>
      <c r="P1390" t="s">
        <v>29</v>
      </c>
      <c r="Q1390" t="s">
        <v>29</v>
      </c>
      <c r="R1390" t="s">
        <v>29</v>
      </c>
      <c r="S1390">
        <v>12.6423784396312</v>
      </c>
      <c r="T1390" t="s">
        <v>29</v>
      </c>
      <c r="U1390" t="s">
        <v>29</v>
      </c>
      <c r="V1390" t="s">
        <v>29</v>
      </c>
      <c r="W1390" t="s">
        <v>29</v>
      </c>
      <c r="X1390" t="s">
        <v>29</v>
      </c>
      <c r="Y1390" t="s">
        <v>29</v>
      </c>
    </row>
    <row r="1391" spans="1:25" x14ac:dyDescent="0.2">
      <c r="A1391" t="s">
        <v>5173</v>
      </c>
      <c r="B1391" t="s">
        <v>5174</v>
      </c>
      <c r="C1391" t="s">
        <v>5175</v>
      </c>
      <c r="D1391" t="s">
        <v>5176</v>
      </c>
      <c r="E1391" t="s">
        <v>5174</v>
      </c>
      <c r="F1391" t="s">
        <v>28</v>
      </c>
      <c r="G1391" t="s">
        <v>5174</v>
      </c>
      <c r="H1391" t="str">
        <f>"mtss-1"</f>
        <v>mtss-1</v>
      </c>
      <c r="I1391" t="s">
        <v>5176</v>
      </c>
      <c r="J1391">
        <v>13.8958723586594</v>
      </c>
      <c r="K1391">
        <v>14.115482416385801</v>
      </c>
      <c r="L1391">
        <v>13.3847692401185</v>
      </c>
      <c r="M1391" t="s">
        <v>29</v>
      </c>
      <c r="N1391">
        <v>12.8076955062474</v>
      </c>
      <c r="O1391">
        <v>12.6352106565329</v>
      </c>
      <c r="P1391">
        <v>-1.07725492366445</v>
      </c>
      <c r="Q1391">
        <v>-2.3520169559881499</v>
      </c>
      <c r="R1391">
        <v>0.197507108659247</v>
      </c>
      <c r="S1391">
        <v>12.7704903769419</v>
      </c>
      <c r="T1391">
        <v>-1.78377215807149</v>
      </c>
      <c r="U1391">
        <v>-5.5141200116721301</v>
      </c>
      <c r="V1391">
        <v>9.2432100478143306E-2</v>
      </c>
      <c r="W1391">
        <v>0.20620545049893099</v>
      </c>
      <c r="X1391">
        <v>0</v>
      </c>
      <c r="Y1391">
        <v>0</v>
      </c>
    </row>
    <row r="1392" spans="1:25" x14ac:dyDescent="0.2">
      <c r="A1392" t="s">
        <v>5177</v>
      </c>
      <c r="B1392" t="s">
        <v>5178</v>
      </c>
      <c r="C1392" t="s">
        <v>5179</v>
      </c>
      <c r="D1392" t="s">
        <v>5180</v>
      </c>
      <c r="E1392" t="s">
        <v>5178</v>
      </c>
      <c r="F1392" t="s">
        <v>28</v>
      </c>
      <c r="G1392" t="s">
        <v>5178</v>
      </c>
      <c r="H1392" t="str">
        <f>"mog-1"</f>
        <v>mog-1</v>
      </c>
      <c r="I1392" t="s">
        <v>5180</v>
      </c>
      <c r="J1392">
        <v>13.9651486347969</v>
      </c>
      <c r="K1392">
        <v>14.416020289018601</v>
      </c>
      <c r="L1392">
        <v>14.594733593613199</v>
      </c>
      <c r="M1392">
        <v>14.3998449328714</v>
      </c>
      <c r="N1392">
        <v>14.4956082764519</v>
      </c>
      <c r="O1392">
        <v>14.2831243538732</v>
      </c>
      <c r="P1392">
        <v>6.7558348589262407E-2</v>
      </c>
      <c r="Q1392">
        <v>-0.37096253643842297</v>
      </c>
      <c r="R1392">
        <v>0.50607923361694795</v>
      </c>
      <c r="S1392">
        <v>14.761099614867801</v>
      </c>
      <c r="T1392">
        <v>0.32380328938282099</v>
      </c>
      <c r="U1392">
        <v>-7.1014398046987104</v>
      </c>
      <c r="V1392">
        <v>0.74984071625851001</v>
      </c>
      <c r="W1392">
        <v>0.84086019437360304</v>
      </c>
      <c r="X1392">
        <v>0</v>
      </c>
      <c r="Y1392">
        <v>0</v>
      </c>
    </row>
    <row r="1393" spans="1:25" x14ac:dyDescent="0.2">
      <c r="A1393" t="s">
        <v>5181</v>
      </c>
      <c r="B1393" t="s">
        <v>5182</v>
      </c>
      <c r="C1393" t="s">
        <v>5183</v>
      </c>
      <c r="D1393" t="s">
        <v>5184</v>
      </c>
      <c r="E1393" t="s">
        <v>5182</v>
      </c>
      <c r="F1393" t="s">
        <v>28</v>
      </c>
      <c r="G1393" t="s">
        <v>5182</v>
      </c>
      <c r="H1393" t="str">
        <f>"ttr-2"</f>
        <v>ttr-2</v>
      </c>
      <c r="I1393" t="s">
        <v>5184</v>
      </c>
      <c r="J1393">
        <v>12.506978104855</v>
      </c>
      <c r="K1393">
        <v>13.0792998657321</v>
      </c>
      <c r="L1393">
        <v>13.315510477941199</v>
      </c>
      <c r="M1393">
        <v>14.7472094792224</v>
      </c>
      <c r="N1393">
        <v>12.159734926194499</v>
      </c>
      <c r="O1393">
        <v>12.9652185400303</v>
      </c>
      <c r="P1393">
        <v>0.32345816563967</v>
      </c>
      <c r="Q1393">
        <v>-0.86268022065505701</v>
      </c>
      <c r="R1393">
        <v>1.5095965519343999</v>
      </c>
      <c r="S1393">
        <v>12.3846028775137</v>
      </c>
      <c r="T1393">
        <v>0.57315920484207095</v>
      </c>
      <c r="U1393">
        <v>-6.9854741760487302</v>
      </c>
      <c r="V1393">
        <v>0.57366951172692304</v>
      </c>
      <c r="W1393">
        <v>0.71324114216246104</v>
      </c>
      <c r="X1393">
        <v>0</v>
      </c>
      <c r="Y1393">
        <v>0</v>
      </c>
    </row>
    <row r="1394" spans="1:25" x14ac:dyDescent="0.2">
      <c r="A1394" t="s">
        <v>5185</v>
      </c>
      <c r="B1394" t="s">
        <v>5186</v>
      </c>
      <c r="C1394" t="s">
        <v>5187</v>
      </c>
      <c r="D1394" t="s">
        <v>5188</v>
      </c>
      <c r="E1394" t="s">
        <v>5186</v>
      </c>
      <c r="F1394" t="s">
        <v>28</v>
      </c>
      <c r="G1394" t="s">
        <v>5186</v>
      </c>
      <c r="H1394" t="str">
        <f>"vms-1"</f>
        <v>vms-1</v>
      </c>
      <c r="I1394" t="s">
        <v>5188</v>
      </c>
      <c r="J1394">
        <v>11.3406354044476</v>
      </c>
      <c r="K1394" t="s">
        <v>29</v>
      </c>
      <c r="L1394">
        <v>11.754406054358901</v>
      </c>
      <c r="M1394" t="s">
        <v>29</v>
      </c>
      <c r="N1394">
        <v>12.828240571627299</v>
      </c>
      <c r="O1394">
        <v>12.114062619628999</v>
      </c>
      <c r="P1394">
        <v>0.92363086622488699</v>
      </c>
      <c r="Q1394">
        <v>0.24769139333024701</v>
      </c>
      <c r="R1394">
        <v>1.5995703391195299</v>
      </c>
      <c r="S1394">
        <v>11.8940984194717</v>
      </c>
      <c r="T1394">
        <v>2.9544583612316799</v>
      </c>
      <c r="U1394">
        <v>-3.40530909465055</v>
      </c>
      <c r="V1394">
        <v>1.12592972865313E-2</v>
      </c>
      <c r="W1394">
        <v>4.95232633494989E-2</v>
      </c>
      <c r="X1394">
        <v>0</v>
      </c>
      <c r="Y1394">
        <v>0</v>
      </c>
    </row>
    <row r="1395" spans="1:25" x14ac:dyDescent="0.2">
      <c r="A1395" t="s">
        <v>5189</v>
      </c>
      <c r="B1395" t="s">
        <v>5190</v>
      </c>
      <c r="C1395" t="s">
        <v>5191</v>
      </c>
      <c r="D1395" t="s">
        <v>5192</v>
      </c>
      <c r="E1395" t="s">
        <v>5190</v>
      </c>
      <c r="F1395" t="s">
        <v>28</v>
      </c>
      <c r="G1395" t="s">
        <v>5190</v>
      </c>
      <c r="H1395" t="str">
        <f>"grp-1"</f>
        <v>grp-1</v>
      </c>
      <c r="I1395" t="s">
        <v>5192</v>
      </c>
      <c r="J1395">
        <v>10.729293133010801</v>
      </c>
      <c r="K1395" t="s">
        <v>29</v>
      </c>
      <c r="L1395" t="s">
        <v>29</v>
      </c>
      <c r="M1395" t="s">
        <v>29</v>
      </c>
      <c r="N1395" t="s">
        <v>29</v>
      </c>
      <c r="O1395">
        <v>12.0239748574323</v>
      </c>
      <c r="P1395">
        <v>1.2946817244214801</v>
      </c>
      <c r="Q1395">
        <v>1.1403284740449901E-2</v>
      </c>
      <c r="R1395">
        <v>2.5779601641025098</v>
      </c>
      <c r="S1395">
        <v>11.859313795534201</v>
      </c>
      <c r="T1395">
        <v>2.1653794586494701</v>
      </c>
      <c r="U1395">
        <v>-4.49173884289561</v>
      </c>
      <c r="V1395">
        <v>4.8257075994131197E-2</v>
      </c>
      <c r="W1395">
        <v>0.132661943054762</v>
      </c>
      <c r="X1395">
        <v>1</v>
      </c>
      <c r="Y1395">
        <v>0</v>
      </c>
    </row>
    <row r="1396" spans="1:25" x14ac:dyDescent="0.2">
      <c r="A1396" t="s">
        <v>5193</v>
      </c>
      <c r="B1396" t="s">
        <v>5194</v>
      </c>
      <c r="C1396" t="s">
        <v>5195</v>
      </c>
      <c r="D1396" t="s">
        <v>5196</v>
      </c>
      <c r="E1396" t="s">
        <v>5194</v>
      </c>
      <c r="F1396" t="s">
        <v>28</v>
      </c>
      <c r="G1396" t="s">
        <v>5194</v>
      </c>
      <c r="H1396" t="str">
        <f>"apc-2"</f>
        <v>apc-2</v>
      </c>
      <c r="I1396" t="s">
        <v>5196</v>
      </c>
      <c r="J1396" t="s">
        <v>29</v>
      </c>
      <c r="K1396" t="s">
        <v>29</v>
      </c>
      <c r="L1396" t="s">
        <v>29</v>
      </c>
      <c r="M1396" t="s">
        <v>29</v>
      </c>
      <c r="N1396" t="s">
        <v>29</v>
      </c>
      <c r="O1396" t="s">
        <v>29</v>
      </c>
      <c r="P1396" t="s">
        <v>29</v>
      </c>
      <c r="Q1396" t="s">
        <v>29</v>
      </c>
      <c r="R1396" t="s">
        <v>29</v>
      </c>
      <c r="S1396">
        <v>11.6133932399141</v>
      </c>
      <c r="T1396" t="s">
        <v>29</v>
      </c>
      <c r="U1396" t="s">
        <v>29</v>
      </c>
      <c r="V1396" t="s">
        <v>29</v>
      </c>
      <c r="W1396" t="s">
        <v>29</v>
      </c>
      <c r="X1396" t="s">
        <v>29</v>
      </c>
      <c r="Y1396" t="s">
        <v>29</v>
      </c>
    </row>
    <row r="1397" spans="1:25" x14ac:dyDescent="0.2">
      <c r="A1397" t="s">
        <v>5197</v>
      </c>
      <c r="B1397" t="s">
        <v>5198</v>
      </c>
      <c r="C1397" t="s">
        <v>5199</v>
      </c>
      <c r="D1397" t="s">
        <v>5200</v>
      </c>
      <c r="E1397" t="s">
        <v>5198</v>
      </c>
      <c r="F1397" t="s">
        <v>28</v>
      </c>
      <c r="G1397" t="s">
        <v>5198</v>
      </c>
      <c r="H1397" t="str">
        <f>"gpdh-2"</f>
        <v>gpdh-2</v>
      </c>
      <c r="I1397" t="s">
        <v>5200</v>
      </c>
      <c r="J1397">
        <v>15.620816166129201</v>
      </c>
      <c r="K1397">
        <v>15.378026457557899</v>
      </c>
      <c r="L1397">
        <v>15.4575255612585</v>
      </c>
      <c r="M1397">
        <v>15.676974356114</v>
      </c>
      <c r="N1397">
        <v>15.5878539014646</v>
      </c>
      <c r="O1397">
        <v>15.549591718826401</v>
      </c>
      <c r="P1397">
        <v>0.11935059715310101</v>
      </c>
      <c r="Q1397">
        <v>-0.26215455989303499</v>
      </c>
      <c r="R1397">
        <v>0.500855754199237</v>
      </c>
      <c r="S1397">
        <v>15.3115772250181</v>
      </c>
      <c r="T1397">
        <v>0.65753170181408205</v>
      </c>
      <c r="U1397">
        <v>-6.9321224705229598</v>
      </c>
      <c r="V1397">
        <v>0.51920801575659203</v>
      </c>
      <c r="W1397">
        <v>0.67069149234062098</v>
      </c>
      <c r="X1397">
        <v>0</v>
      </c>
      <c r="Y1397">
        <v>0</v>
      </c>
    </row>
    <row r="1398" spans="1:25" x14ac:dyDescent="0.2">
      <c r="A1398" t="s">
        <v>5201</v>
      </c>
      <c r="B1398" t="s">
        <v>5202</v>
      </c>
      <c r="C1398" t="s">
        <v>5203</v>
      </c>
      <c r="D1398" t="s">
        <v>5204</v>
      </c>
      <c r="E1398" t="s">
        <v>5202</v>
      </c>
      <c r="F1398" t="s">
        <v>28</v>
      </c>
      <c r="G1398" t="s">
        <v>5202</v>
      </c>
      <c r="H1398" t="str">
        <f>"K11H3.3"</f>
        <v>K11H3.3</v>
      </c>
      <c r="I1398" t="s">
        <v>5204</v>
      </c>
      <c r="J1398">
        <v>17.028854126295201</v>
      </c>
      <c r="K1398">
        <v>16.964713728324199</v>
      </c>
      <c r="L1398">
        <v>16.896106608518799</v>
      </c>
      <c r="M1398">
        <v>16.5720638308978</v>
      </c>
      <c r="N1398">
        <v>16.418821817383201</v>
      </c>
      <c r="O1398">
        <v>16.687220905218101</v>
      </c>
      <c r="P1398">
        <v>-0.40385596987968603</v>
      </c>
      <c r="Q1398">
        <v>-0.73285633685486795</v>
      </c>
      <c r="R1398">
        <v>-7.4855602904503799E-2</v>
      </c>
      <c r="S1398">
        <v>16.618010067977799</v>
      </c>
      <c r="T1398">
        <v>-2.5800174175484498</v>
      </c>
      <c r="U1398">
        <v>-4.1894462691185703</v>
      </c>
      <c r="V1398">
        <v>1.8933850318489001E-2</v>
      </c>
      <c r="W1398">
        <v>7.0994290443824604E-2</v>
      </c>
      <c r="X1398">
        <v>0</v>
      </c>
      <c r="Y1398">
        <v>0</v>
      </c>
    </row>
    <row r="1399" spans="1:25" x14ac:dyDescent="0.2">
      <c r="A1399" t="s">
        <v>5205</v>
      </c>
      <c r="B1399" t="s">
        <v>5206</v>
      </c>
      <c r="C1399" t="s">
        <v>5207</v>
      </c>
      <c r="D1399" t="s">
        <v>5208</v>
      </c>
      <c r="E1399" t="s">
        <v>5206</v>
      </c>
      <c r="F1399" t="s">
        <v>28</v>
      </c>
      <c r="G1399" t="s">
        <v>5206</v>
      </c>
      <c r="H1399" t="str">
        <f>"K12H4.3"</f>
        <v>K12H4.3</v>
      </c>
      <c r="I1399" t="s">
        <v>5208</v>
      </c>
      <c r="J1399">
        <v>15.2381207356826</v>
      </c>
      <c r="K1399">
        <v>15.2732959965793</v>
      </c>
      <c r="L1399">
        <v>15.14300086615</v>
      </c>
      <c r="M1399">
        <v>14.3570184888521</v>
      </c>
      <c r="N1399">
        <v>14.612680454684799</v>
      </c>
      <c r="O1399">
        <v>14.6604869779695</v>
      </c>
      <c r="P1399">
        <v>-0.674743892301782</v>
      </c>
      <c r="Q1399">
        <v>-1.0577274143541899</v>
      </c>
      <c r="R1399">
        <v>-0.29176037024937501</v>
      </c>
      <c r="S1399">
        <v>14.8939745754346</v>
      </c>
      <c r="T1399">
        <v>-3.70298017096933</v>
      </c>
      <c r="U1399">
        <v>-1.8250617168254699</v>
      </c>
      <c r="V1399">
        <v>1.6413330020912599E-3</v>
      </c>
      <c r="W1399">
        <v>1.2864383928624899E-2</v>
      </c>
      <c r="X1399">
        <v>0</v>
      </c>
      <c r="Y1399">
        <v>0</v>
      </c>
    </row>
    <row r="1400" spans="1:25" x14ac:dyDescent="0.2">
      <c r="A1400" t="s">
        <v>5209</v>
      </c>
      <c r="B1400" t="s">
        <v>5210</v>
      </c>
      <c r="C1400" t="s">
        <v>5211</v>
      </c>
      <c r="D1400" t="s">
        <v>5212</v>
      </c>
      <c r="E1400" t="s">
        <v>5210</v>
      </c>
      <c r="F1400" t="s">
        <v>28</v>
      </c>
      <c r="G1400" t="s">
        <v>5210</v>
      </c>
      <c r="H1400" t="str">
        <f>"spcs-3"</f>
        <v>spcs-3</v>
      </c>
      <c r="I1400" t="s">
        <v>5212</v>
      </c>
      <c r="J1400">
        <v>13.6777642484913</v>
      </c>
      <c r="K1400">
        <v>13.804572733276199</v>
      </c>
      <c r="L1400">
        <v>14.161381309584</v>
      </c>
      <c r="M1400" t="s">
        <v>29</v>
      </c>
      <c r="N1400" t="s">
        <v>29</v>
      </c>
      <c r="O1400">
        <v>13.155880628599</v>
      </c>
      <c r="P1400">
        <v>-0.72535880185148804</v>
      </c>
      <c r="Q1400">
        <v>-1.73342947428619</v>
      </c>
      <c r="R1400">
        <v>0.28271187058320901</v>
      </c>
      <c r="S1400">
        <v>13.4716110084407</v>
      </c>
      <c r="T1400">
        <v>-1.52619995027546</v>
      </c>
      <c r="U1400">
        <v>-5.6721609936596504</v>
      </c>
      <c r="V1400">
        <v>0.14661117740222901</v>
      </c>
      <c r="W1400">
        <v>0.28915010498187699</v>
      </c>
      <c r="X1400">
        <v>0</v>
      </c>
      <c r="Y1400">
        <v>0</v>
      </c>
    </row>
    <row r="1401" spans="1:25" x14ac:dyDescent="0.2">
      <c r="A1401" t="s">
        <v>5213</v>
      </c>
      <c r="B1401" t="s">
        <v>5214</v>
      </c>
      <c r="C1401" t="s">
        <v>5215</v>
      </c>
      <c r="D1401" t="s">
        <v>5216</v>
      </c>
      <c r="E1401" t="s">
        <v>5214</v>
      </c>
      <c r="F1401" t="s">
        <v>28</v>
      </c>
      <c r="G1401" t="s">
        <v>5214</v>
      </c>
      <c r="H1401" t="str">
        <f>"dcr-1"</f>
        <v>dcr-1</v>
      </c>
      <c r="I1401" t="s">
        <v>5216</v>
      </c>
      <c r="J1401">
        <v>14.182833812895099</v>
      </c>
      <c r="K1401">
        <v>14.1641729588441</v>
      </c>
      <c r="L1401">
        <v>13.971575668826199</v>
      </c>
      <c r="M1401">
        <v>16.796479537531201</v>
      </c>
      <c r="N1401">
        <v>13.7844372271366</v>
      </c>
      <c r="O1401">
        <v>14.1559991106409</v>
      </c>
      <c r="P1401">
        <v>0.80611114491438196</v>
      </c>
      <c r="Q1401">
        <v>-0.188520630646903</v>
      </c>
      <c r="R1401">
        <v>1.80074292047567</v>
      </c>
      <c r="S1401">
        <v>14.3588262545705</v>
      </c>
      <c r="T1401">
        <v>1.70343320679781</v>
      </c>
      <c r="U1401">
        <v>-5.7457337467341896</v>
      </c>
      <c r="V1401">
        <v>0.105790594042227</v>
      </c>
      <c r="W1401">
        <v>0.22572475992969701</v>
      </c>
      <c r="X1401">
        <v>0</v>
      </c>
      <c r="Y1401">
        <v>0</v>
      </c>
    </row>
    <row r="1402" spans="1:25" x14ac:dyDescent="0.2">
      <c r="A1402" t="s">
        <v>5217</v>
      </c>
      <c r="B1402" t="s">
        <v>5218</v>
      </c>
      <c r="C1402" t="s">
        <v>5219</v>
      </c>
      <c r="D1402" t="s">
        <v>5220</v>
      </c>
      <c r="E1402" t="s">
        <v>5218</v>
      </c>
      <c r="F1402" t="s">
        <v>28</v>
      </c>
      <c r="G1402" t="s">
        <v>5218</v>
      </c>
      <c r="H1402" t="str">
        <f>"R05D3.12"</f>
        <v>R05D3.12</v>
      </c>
      <c r="I1402" t="s">
        <v>5220</v>
      </c>
      <c r="J1402" t="s">
        <v>29</v>
      </c>
      <c r="K1402">
        <v>11.468713827162199</v>
      </c>
      <c r="L1402" t="s">
        <v>29</v>
      </c>
      <c r="M1402" t="s">
        <v>29</v>
      </c>
      <c r="N1402" t="s">
        <v>29</v>
      </c>
      <c r="O1402" t="s">
        <v>29</v>
      </c>
      <c r="P1402" t="s">
        <v>29</v>
      </c>
      <c r="Q1402" t="s">
        <v>29</v>
      </c>
      <c r="R1402" t="s">
        <v>29</v>
      </c>
      <c r="S1402">
        <v>11.825864244051401</v>
      </c>
      <c r="T1402" t="s">
        <v>29</v>
      </c>
      <c r="U1402" t="s">
        <v>29</v>
      </c>
      <c r="V1402" t="s">
        <v>29</v>
      </c>
      <c r="W1402" t="s">
        <v>29</v>
      </c>
      <c r="X1402" t="s">
        <v>29</v>
      </c>
      <c r="Y1402" t="s">
        <v>29</v>
      </c>
    </row>
    <row r="1403" spans="1:25" x14ac:dyDescent="0.2">
      <c r="A1403" t="s">
        <v>5221</v>
      </c>
      <c r="B1403" t="s">
        <v>5222</v>
      </c>
      <c r="C1403" t="s">
        <v>5223</v>
      </c>
      <c r="D1403" t="s">
        <v>5224</v>
      </c>
      <c r="E1403" t="s">
        <v>5222</v>
      </c>
      <c r="F1403" t="s">
        <v>28</v>
      </c>
      <c r="G1403" t="s">
        <v>5222</v>
      </c>
      <c r="H1403" t="str">
        <f>"rfp-1"</f>
        <v>rfp-1</v>
      </c>
      <c r="I1403" t="s">
        <v>5224</v>
      </c>
      <c r="J1403">
        <v>11.248834907491201</v>
      </c>
      <c r="K1403">
        <v>11.0183464851442</v>
      </c>
      <c r="L1403">
        <v>10.9646998386904</v>
      </c>
      <c r="M1403" t="s">
        <v>29</v>
      </c>
      <c r="N1403" t="s">
        <v>29</v>
      </c>
      <c r="O1403" t="s">
        <v>29</v>
      </c>
      <c r="P1403" t="s">
        <v>29</v>
      </c>
      <c r="Q1403" t="s">
        <v>29</v>
      </c>
      <c r="R1403" t="s">
        <v>29</v>
      </c>
      <c r="S1403">
        <v>11.744753317930099</v>
      </c>
      <c r="T1403" t="s">
        <v>29</v>
      </c>
      <c r="U1403" t="s">
        <v>29</v>
      </c>
      <c r="V1403" t="s">
        <v>29</v>
      </c>
      <c r="W1403" t="s">
        <v>29</v>
      </c>
      <c r="X1403" t="s">
        <v>29</v>
      </c>
      <c r="Y1403" t="s">
        <v>29</v>
      </c>
    </row>
    <row r="1404" spans="1:25" x14ac:dyDescent="0.2">
      <c r="A1404" t="s">
        <v>5225</v>
      </c>
      <c r="B1404" t="s">
        <v>5226</v>
      </c>
      <c r="C1404" t="s">
        <v>5227</v>
      </c>
      <c r="D1404" t="s">
        <v>5228</v>
      </c>
      <c r="E1404" t="s">
        <v>5226</v>
      </c>
      <c r="F1404" t="s">
        <v>28</v>
      </c>
      <c r="G1404" t="s">
        <v>5226</v>
      </c>
      <c r="H1404" t="str">
        <f>"unc-116"</f>
        <v>unc-116</v>
      </c>
      <c r="I1404" t="s">
        <v>5228</v>
      </c>
      <c r="J1404">
        <v>15.678768075947501</v>
      </c>
      <c r="K1404">
        <v>15.5785606488355</v>
      </c>
      <c r="L1404">
        <v>15.2494201854489</v>
      </c>
      <c r="M1404">
        <v>15.8181171133735</v>
      </c>
      <c r="N1404">
        <v>15.814699022840999</v>
      </c>
      <c r="O1404">
        <v>15.8930327517274</v>
      </c>
      <c r="P1404">
        <v>0.33969999257000399</v>
      </c>
      <c r="Q1404">
        <v>-5.5563139960380099E-2</v>
      </c>
      <c r="R1404">
        <v>0.73496312510038897</v>
      </c>
      <c r="S1404">
        <v>15.374018506470099</v>
      </c>
      <c r="T1404">
        <v>1.8063493300200699</v>
      </c>
      <c r="U1404">
        <v>-5.5841865762753997</v>
      </c>
      <c r="V1404">
        <v>8.7710974078428094E-2</v>
      </c>
      <c r="W1404">
        <v>0.198822026152946</v>
      </c>
      <c r="X1404">
        <v>0</v>
      </c>
      <c r="Y1404">
        <v>0</v>
      </c>
    </row>
    <row r="1405" spans="1:25" x14ac:dyDescent="0.2">
      <c r="A1405" t="s">
        <v>5229</v>
      </c>
      <c r="B1405" t="s">
        <v>5230</v>
      </c>
      <c r="C1405" t="s">
        <v>5231</v>
      </c>
      <c r="D1405" t="s">
        <v>5232</v>
      </c>
      <c r="E1405" t="s">
        <v>5230</v>
      </c>
      <c r="F1405" t="s">
        <v>28</v>
      </c>
      <c r="G1405" t="s">
        <v>5230</v>
      </c>
      <c r="H1405" t="str">
        <f>"R05D3.9/R05D3.10"</f>
        <v>R05D3.9/R05D3.10</v>
      </c>
      <c r="I1405" t="s">
        <v>5232</v>
      </c>
      <c r="J1405">
        <v>12.385141535916</v>
      </c>
      <c r="K1405">
        <v>12.1926400769373</v>
      </c>
      <c r="L1405">
        <v>12.752592349375901</v>
      </c>
      <c r="M1405" t="s">
        <v>29</v>
      </c>
      <c r="N1405">
        <v>12.5035244534432</v>
      </c>
      <c r="O1405">
        <v>12.5805372913819</v>
      </c>
      <c r="P1405">
        <v>9.8572885002779401E-2</v>
      </c>
      <c r="Q1405">
        <v>-0.40263334929078198</v>
      </c>
      <c r="R1405">
        <v>0.59977911929634098</v>
      </c>
      <c r="S1405">
        <v>12.7803970924232</v>
      </c>
      <c r="T1405">
        <v>0.41513659257981</v>
      </c>
      <c r="U1405">
        <v>-6.9553470374457298</v>
      </c>
      <c r="V1405">
        <v>0.68326608839563396</v>
      </c>
      <c r="W1405">
        <v>0.79224969478973595</v>
      </c>
      <c r="X1405">
        <v>0</v>
      </c>
      <c r="Y1405">
        <v>0</v>
      </c>
    </row>
    <row r="1406" spans="1:25" x14ac:dyDescent="0.2">
      <c r="A1406" t="s">
        <v>5233</v>
      </c>
      <c r="B1406" t="s">
        <v>5234</v>
      </c>
      <c r="C1406" t="s">
        <v>5235</v>
      </c>
      <c r="D1406" t="s">
        <v>5236</v>
      </c>
      <c r="E1406" t="s">
        <v>5234</v>
      </c>
      <c r="F1406" t="s">
        <v>28</v>
      </c>
      <c r="G1406" t="s">
        <v>5234</v>
      </c>
      <c r="H1406" t="str">
        <f>"met-2"</f>
        <v>met-2</v>
      </c>
      <c r="I1406" t="s">
        <v>5236</v>
      </c>
      <c r="J1406">
        <v>11.0095918363564</v>
      </c>
      <c r="K1406">
        <v>11.3690473152629</v>
      </c>
      <c r="L1406">
        <v>11.219486572823801</v>
      </c>
      <c r="M1406" t="s">
        <v>29</v>
      </c>
      <c r="N1406">
        <v>11.756013392217</v>
      </c>
      <c r="O1406">
        <v>11.6831711080708</v>
      </c>
      <c r="P1406">
        <v>0.52021700866285103</v>
      </c>
      <c r="Q1406">
        <v>-0.142939703053967</v>
      </c>
      <c r="R1406">
        <v>1.1833737203796699</v>
      </c>
      <c r="S1406">
        <v>12.3666838250537</v>
      </c>
      <c r="T1406">
        <v>1.65584008243355</v>
      </c>
      <c r="U1406">
        <v>-5.7106772100115304</v>
      </c>
      <c r="V1406">
        <v>0.11620815903633</v>
      </c>
      <c r="W1406">
        <v>0.24134280809024999</v>
      </c>
      <c r="X1406">
        <v>0</v>
      </c>
      <c r="Y1406">
        <v>0</v>
      </c>
    </row>
    <row r="1407" spans="1:25" x14ac:dyDescent="0.2">
      <c r="A1407" t="s">
        <v>5237</v>
      </c>
      <c r="B1407" t="s">
        <v>5238</v>
      </c>
      <c r="C1407" t="s">
        <v>5239</v>
      </c>
      <c r="D1407" t="s">
        <v>5240</v>
      </c>
      <c r="E1407" t="s">
        <v>5238</v>
      </c>
      <c r="F1407" t="s">
        <v>28</v>
      </c>
      <c r="G1407" t="s">
        <v>5238</v>
      </c>
      <c r="H1407" t="str">
        <f>"cbp-1"</f>
        <v>cbp-1</v>
      </c>
      <c r="I1407" t="s">
        <v>5240</v>
      </c>
      <c r="J1407">
        <v>11.3175618342609</v>
      </c>
      <c r="K1407">
        <v>11.787044413182601</v>
      </c>
      <c r="L1407">
        <v>11.5336452321161</v>
      </c>
      <c r="M1407" t="s">
        <v>29</v>
      </c>
      <c r="N1407">
        <v>11.763686289021299</v>
      </c>
      <c r="O1407">
        <v>12.163706064555299</v>
      </c>
      <c r="P1407">
        <v>0.41761235026844401</v>
      </c>
      <c r="Q1407">
        <v>-0.367579056861151</v>
      </c>
      <c r="R1407">
        <v>1.2028037573980399</v>
      </c>
      <c r="S1407">
        <v>12.2961069912264</v>
      </c>
      <c r="T1407">
        <v>1.1226588616008699</v>
      </c>
      <c r="U1407">
        <v>-6.4066834094291396</v>
      </c>
      <c r="V1407">
        <v>0.27728374692412799</v>
      </c>
      <c r="W1407">
        <v>0.44531618647706001</v>
      </c>
      <c r="X1407">
        <v>0</v>
      </c>
      <c r="Y1407">
        <v>0</v>
      </c>
    </row>
    <row r="1408" spans="1:25" x14ac:dyDescent="0.2">
      <c r="A1408" t="s">
        <v>5241</v>
      </c>
      <c r="B1408" t="s">
        <v>5242</v>
      </c>
      <c r="C1408" t="s">
        <v>5243</v>
      </c>
      <c r="D1408" t="s">
        <v>5244</v>
      </c>
      <c r="E1408" t="s">
        <v>5242</v>
      </c>
      <c r="F1408" t="s">
        <v>28</v>
      </c>
      <c r="G1408" t="s">
        <v>5242</v>
      </c>
      <c r="H1408" t="str">
        <f>"usp-46"</f>
        <v>usp-46</v>
      </c>
      <c r="I1408" t="s">
        <v>5244</v>
      </c>
      <c r="J1408">
        <v>13.3591026563076</v>
      </c>
      <c r="K1408">
        <v>13.007645823341701</v>
      </c>
      <c r="L1408">
        <v>13.2555780041695</v>
      </c>
      <c r="M1408" t="s">
        <v>29</v>
      </c>
      <c r="N1408" t="s">
        <v>29</v>
      </c>
      <c r="O1408" t="s">
        <v>29</v>
      </c>
      <c r="P1408" t="s">
        <v>29</v>
      </c>
      <c r="Q1408" t="s">
        <v>29</v>
      </c>
      <c r="R1408" t="s">
        <v>29</v>
      </c>
      <c r="S1408">
        <v>13.210485731814799</v>
      </c>
      <c r="T1408" t="s">
        <v>29</v>
      </c>
      <c r="U1408" t="s">
        <v>29</v>
      </c>
      <c r="V1408" t="s">
        <v>29</v>
      </c>
      <c r="W1408" t="s">
        <v>29</v>
      </c>
      <c r="X1408" t="s">
        <v>29</v>
      </c>
      <c r="Y1408" t="s">
        <v>29</v>
      </c>
    </row>
    <row r="1409" spans="1:25" x14ac:dyDescent="0.2">
      <c r="A1409" t="s">
        <v>5245</v>
      </c>
      <c r="B1409" t="s">
        <v>5246</v>
      </c>
      <c r="C1409" t="s">
        <v>5247</v>
      </c>
      <c r="D1409" t="s">
        <v>5248</v>
      </c>
      <c r="E1409" t="s">
        <v>5246</v>
      </c>
      <c r="F1409" t="s">
        <v>28</v>
      </c>
      <c r="G1409" t="s">
        <v>5246</v>
      </c>
      <c r="H1409" t="str">
        <f>"sqv-3"</f>
        <v>sqv-3</v>
      </c>
      <c r="I1409" t="s">
        <v>5248</v>
      </c>
      <c r="J1409">
        <v>13.005401326404799</v>
      </c>
      <c r="K1409">
        <v>13.323869782933601</v>
      </c>
      <c r="L1409">
        <v>13.2235468624354</v>
      </c>
      <c r="M1409" t="s">
        <v>29</v>
      </c>
      <c r="N1409" t="s">
        <v>29</v>
      </c>
      <c r="O1409" t="s">
        <v>29</v>
      </c>
      <c r="P1409" t="s">
        <v>29</v>
      </c>
      <c r="Q1409" t="s">
        <v>29</v>
      </c>
      <c r="R1409" t="s">
        <v>29</v>
      </c>
      <c r="S1409">
        <v>12.715760432952001</v>
      </c>
      <c r="T1409" t="s">
        <v>29</v>
      </c>
      <c r="U1409" t="s">
        <v>29</v>
      </c>
      <c r="V1409" t="s">
        <v>29</v>
      </c>
      <c r="W1409" t="s">
        <v>29</v>
      </c>
      <c r="X1409" t="s">
        <v>29</v>
      </c>
      <c r="Y1409" t="s">
        <v>29</v>
      </c>
    </row>
    <row r="1410" spans="1:25" x14ac:dyDescent="0.2">
      <c r="A1410" t="s">
        <v>5249</v>
      </c>
      <c r="B1410" t="s">
        <v>5250</v>
      </c>
      <c r="C1410" t="s">
        <v>5251</v>
      </c>
      <c r="D1410" t="s">
        <v>5252</v>
      </c>
      <c r="E1410" t="s">
        <v>5250</v>
      </c>
      <c r="F1410" t="s">
        <v>28</v>
      </c>
      <c r="G1410" t="s">
        <v>5250</v>
      </c>
      <c r="H1410" t="str">
        <f>"alx-1"</f>
        <v>alx-1</v>
      </c>
      <c r="I1410" t="s">
        <v>5252</v>
      </c>
      <c r="J1410">
        <v>12.076039040162</v>
      </c>
      <c r="K1410" t="s">
        <v>29</v>
      </c>
      <c r="L1410" t="s">
        <v>29</v>
      </c>
      <c r="M1410" t="s">
        <v>29</v>
      </c>
      <c r="N1410">
        <v>12.5752228739166</v>
      </c>
      <c r="O1410">
        <v>13.652469254841799</v>
      </c>
      <c r="P1410">
        <v>1.0378070242172599</v>
      </c>
      <c r="Q1410">
        <v>-0.15287106127639799</v>
      </c>
      <c r="R1410">
        <v>2.22848510971092</v>
      </c>
      <c r="S1410">
        <v>11.970170698086701</v>
      </c>
      <c r="T1410">
        <v>1.85893348813296</v>
      </c>
      <c r="U1410">
        <v>-5.1209071429364004</v>
      </c>
      <c r="V1410">
        <v>8.2907241899834005E-2</v>
      </c>
      <c r="W1410">
        <v>0.19204492226241601</v>
      </c>
      <c r="X1410">
        <v>0</v>
      </c>
      <c r="Y1410">
        <v>0</v>
      </c>
    </row>
    <row r="1411" spans="1:25" x14ac:dyDescent="0.2">
      <c r="A1411" t="s">
        <v>5253</v>
      </c>
      <c r="B1411" t="s">
        <v>5254</v>
      </c>
      <c r="C1411" t="s">
        <v>5255</v>
      </c>
      <c r="D1411" t="s">
        <v>5256</v>
      </c>
      <c r="E1411" t="s">
        <v>5254</v>
      </c>
      <c r="F1411" t="s">
        <v>28</v>
      </c>
      <c r="G1411" t="s">
        <v>5254</v>
      </c>
      <c r="H1411" t="str">
        <f>"cdk-1"</f>
        <v>cdk-1</v>
      </c>
      <c r="I1411" t="s">
        <v>5256</v>
      </c>
      <c r="J1411">
        <v>15.842264184717401</v>
      </c>
      <c r="K1411">
        <v>15.8023995485744</v>
      </c>
      <c r="L1411">
        <v>15.8056358507013</v>
      </c>
      <c r="M1411">
        <v>15.1864324971797</v>
      </c>
      <c r="N1411">
        <v>15.564936805412501</v>
      </c>
      <c r="O1411">
        <v>15.7266298022552</v>
      </c>
      <c r="P1411">
        <v>-0.324100159715217</v>
      </c>
      <c r="Q1411">
        <v>-0.74938750165204904</v>
      </c>
      <c r="R1411">
        <v>0.101187182221615</v>
      </c>
      <c r="S1411">
        <v>15.9522526535194</v>
      </c>
      <c r="T1411">
        <v>-1.6017299688812601</v>
      </c>
      <c r="U1411">
        <v>-5.8986283189591804</v>
      </c>
      <c r="V1411">
        <v>0.126719917047667</v>
      </c>
      <c r="W1411">
        <v>0.25933583023574702</v>
      </c>
      <c r="X1411">
        <v>0</v>
      </c>
      <c r="Y1411">
        <v>0</v>
      </c>
    </row>
    <row r="1412" spans="1:25" x14ac:dyDescent="0.2">
      <c r="A1412" t="s">
        <v>5257</v>
      </c>
      <c r="B1412" t="s">
        <v>5258</v>
      </c>
      <c r="C1412" t="s">
        <v>5259</v>
      </c>
      <c r="D1412" t="s">
        <v>5260</v>
      </c>
      <c r="E1412" t="s">
        <v>5258</v>
      </c>
      <c r="F1412" t="s">
        <v>28</v>
      </c>
      <c r="G1412" t="s">
        <v>5258</v>
      </c>
      <c r="H1412" t="str">
        <f>"T05G5.5"</f>
        <v>T05G5.5</v>
      </c>
      <c r="I1412" t="s">
        <v>5260</v>
      </c>
      <c r="J1412">
        <v>12.391707495822599</v>
      </c>
      <c r="K1412">
        <v>12.513948042363999</v>
      </c>
      <c r="L1412">
        <v>12.235560685586799</v>
      </c>
      <c r="M1412" t="s">
        <v>29</v>
      </c>
      <c r="N1412">
        <v>12.238572262677</v>
      </c>
      <c r="O1412">
        <v>11.533950076439201</v>
      </c>
      <c r="P1412">
        <v>-0.49414423836635302</v>
      </c>
      <c r="Q1412">
        <v>-1.04324833666314</v>
      </c>
      <c r="R1412">
        <v>5.4959859930434E-2</v>
      </c>
      <c r="S1412">
        <v>12.080359190275701</v>
      </c>
      <c r="T1412">
        <v>-1.9087479367754101</v>
      </c>
      <c r="U1412">
        <v>-5.3165348237765002</v>
      </c>
      <c r="V1412">
        <v>7.4519409767343101E-2</v>
      </c>
      <c r="W1412">
        <v>0.17884222948033701</v>
      </c>
      <c r="X1412">
        <v>0</v>
      </c>
      <c r="Y1412">
        <v>0</v>
      </c>
    </row>
    <row r="1413" spans="1:25" x14ac:dyDescent="0.2">
      <c r="A1413" t="s">
        <v>5261</v>
      </c>
      <c r="B1413" t="s">
        <v>5262</v>
      </c>
      <c r="C1413" t="s">
        <v>5263</v>
      </c>
      <c r="D1413" t="s">
        <v>5264</v>
      </c>
      <c r="E1413" t="s">
        <v>5262</v>
      </c>
      <c r="F1413" t="s">
        <v>28</v>
      </c>
      <c r="G1413" t="s">
        <v>5262</v>
      </c>
      <c r="H1413" t="str">
        <f>"ech-6"</f>
        <v>ech-6</v>
      </c>
      <c r="I1413" t="s">
        <v>5264</v>
      </c>
      <c r="J1413">
        <v>14.0390969873517</v>
      </c>
      <c r="K1413">
        <v>14.022945809387201</v>
      </c>
      <c r="L1413">
        <v>14.3860402620878</v>
      </c>
      <c r="M1413" t="s">
        <v>29</v>
      </c>
      <c r="N1413">
        <v>14.426040844267099</v>
      </c>
      <c r="O1413">
        <v>13.6633413203906</v>
      </c>
      <c r="P1413">
        <v>-0.104669937280073</v>
      </c>
      <c r="Q1413">
        <v>-0.86993774801465396</v>
      </c>
      <c r="R1413">
        <v>0.66059787345450705</v>
      </c>
      <c r="S1413">
        <v>14.102422870866</v>
      </c>
      <c r="T1413">
        <v>-0.28870780906862298</v>
      </c>
      <c r="U1413">
        <v>-7.0017691433490903</v>
      </c>
      <c r="V1413">
        <v>0.77631728330084004</v>
      </c>
      <c r="W1413">
        <v>0.85814217325115405</v>
      </c>
      <c r="X1413">
        <v>0</v>
      </c>
      <c r="Y1413">
        <v>0</v>
      </c>
    </row>
    <row r="1414" spans="1:25" x14ac:dyDescent="0.2">
      <c r="A1414" t="s">
        <v>5265</v>
      </c>
      <c r="B1414" t="s">
        <v>5266</v>
      </c>
      <c r="C1414" t="s">
        <v>5267</v>
      </c>
      <c r="D1414" t="s">
        <v>4445</v>
      </c>
      <c r="E1414" t="s">
        <v>5266</v>
      </c>
      <c r="F1414" t="s">
        <v>28</v>
      </c>
      <c r="G1414" t="s">
        <v>5266</v>
      </c>
      <c r="H1414" t="str">
        <f>"rmd-1"</f>
        <v>rmd-1</v>
      </c>
      <c r="I1414" t="s">
        <v>4445</v>
      </c>
      <c r="J1414" t="s">
        <v>29</v>
      </c>
      <c r="K1414" t="s">
        <v>29</v>
      </c>
      <c r="L1414">
        <v>10.858343183553</v>
      </c>
      <c r="M1414" t="s">
        <v>29</v>
      </c>
      <c r="N1414" t="s">
        <v>29</v>
      </c>
      <c r="O1414">
        <v>9.9464148917162092</v>
      </c>
      <c r="P1414">
        <v>-0.91192829183683699</v>
      </c>
      <c r="Q1414">
        <v>-2.58300353876658</v>
      </c>
      <c r="R1414">
        <v>0.75914695509290497</v>
      </c>
      <c r="S1414">
        <v>12.397035295987701</v>
      </c>
      <c r="T1414">
        <v>-1.20252018963746</v>
      </c>
      <c r="U1414">
        <v>-5.8856366054100597</v>
      </c>
      <c r="V1414">
        <v>0.25464493556220003</v>
      </c>
      <c r="W1414">
        <v>0.42206896799876398</v>
      </c>
      <c r="X1414">
        <v>0</v>
      </c>
      <c r="Y1414">
        <v>0</v>
      </c>
    </row>
    <row r="1415" spans="1:25" x14ac:dyDescent="0.2">
      <c r="A1415" t="s">
        <v>5268</v>
      </c>
      <c r="B1415" t="s">
        <v>5269</v>
      </c>
      <c r="C1415" t="s">
        <v>5270</v>
      </c>
      <c r="D1415" t="s">
        <v>5271</v>
      </c>
      <c r="E1415" t="s">
        <v>5269</v>
      </c>
      <c r="F1415" t="s">
        <v>28</v>
      </c>
      <c r="G1415" t="s">
        <v>5269</v>
      </c>
      <c r="H1415" t="str">
        <f>"iff-1"</f>
        <v>iff-1</v>
      </c>
      <c r="I1415" t="s">
        <v>5271</v>
      </c>
      <c r="J1415">
        <v>18.784250631812501</v>
      </c>
      <c r="K1415">
        <v>18.3609309181033</v>
      </c>
      <c r="L1415">
        <v>18.8269715603316</v>
      </c>
      <c r="M1415">
        <v>18.431539162826599</v>
      </c>
      <c r="N1415">
        <v>18.7585328146804</v>
      </c>
      <c r="O1415">
        <v>18.816928939577799</v>
      </c>
      <c r="P1415">
        <v>1.16159356124719E-2</v>
      </c>
      <c r="Q1415">
        <v>-0.402529419060555</v>
      </c>
      <c r="R1415">
        <v>0.42576129028549897</v>
      </c>
      <c r="S1415">
        <v>18.5562186729506</v>
      </c>
      <c r="T1415">
        <v>5.8951371694355902E-2</v>
      </c>
      <c r="U1415">
        <v>-7.1544784724843602</v>
      </c>
      <c r="V1415">
        <v>0.95364417016520198</v>
      </c>
      <c r="W1415">
        <v>0.97346358485516105</v>
      </c>
      <c r="X1415">
        <v>0</v>
      </c>
      <c r="Y1415">
        <v>0</v>
      </c>
    </row>
    <row r="1416" spans="1:25" x14ac:dyDescent="0.2">
      <c r="A1416" t="s">
        <v>5272</v>
      </c>
      <c r="B1416" t="s">
        <v>5273</v>
      </c>
      <c r="C1416" t="s">
        <v>5274</v>
      </c>
      <c r="D1416" t="s">
        <v>5275</v>
      </c>
      <c r="E1416" t="s">
        <v>5273</v>
      </c>
      <c r="F1416" t="s">
        <v>28</v>
      </c>
      <c r="G1416" t="s">
        <v>5273</v>
      </c>
      <c r="H1416" t="str">
        <f>"T16H12.3"</f>
        <v>T16H12.3</v>
      </c>
      <c r="I1416" t="s">
        <v>5275</v>
      </c>
      <c r="J1416">
        <v>12.5367688330959</v>
      </c>
      <c r="K1416" t="s">
        <v>29</v>
      </c>
      <c r="L1416">
        <v>9.82776533137827</v>
      </c>
      <c r="M1416" t="s">
        <v>29</v>
      </c>
      <c r="N1416" t="s">
        <v>29</v>
      </c>
      <c r="O1416" t="s">
        <v>29</v>
      </c>
      <c r="P1416" t="s">
        <v>29</v>
      </c>
      <c r="Q1416" t="s">
        <v>29</v>
      </c>
      <c r="R1416" t="s">
        <v>29</v>
      </c>
      <c r="S1416">
        <v>11.279373501684701</v>
      </c>
      <c r="T1416" t="s">
        <v>29</v>
      </c>
      <c r="U1416" t="s">
        <v>29</v>
      </c>
      <c r="V1416" t="s">
        <v>29</v>
      </c>
      <c r="W1416" t="s">
        <v>29</v>
      </c>
      <c r="X1416" t="s">
        <v>29</v>
      </c>
      <c r="Y1416" t="s">
        <v>29</v>
      </c>
    </row>
    <row r="1417" spans="1:25" x14ac:dyDescent="0.2">
      <c r="A1417" t="s">
        <v>5276</v>
      </c>
      <c r="B1417" t="s">
        <v>5277</v>
      </c>
      <c r="C1417" t="s">
        <v>5278</v>
      </c>
      <c r="D1417" t="s">
        <v>5279</v>
      </c>
      <c r="E1417" t="s">
        <v>5277</v>
      </c>
      <c r="F1417" t="s">
        <v>28</v>
      </c>
      <c r="G1417" t="s">
        <v>5277</v>
      </c>
      <c r="H1417" t="str">
        <f>"chc-1"</f>
        <v>chc-1</v>
      </c>
      <c r="I1417" t="s">
        <v>5279</v>
      </c>
      <c r="J1417">
        <v>17.966067193990799</v>
      </c>
      <c r="K1417">
        <v>17.7987405077746</v>
      </c>
      <c r="L1417">
        <v>17.783158464207801</v>
      </c>
      <c r="M1417">
        <v>17.4004365970567</v>
      </c>
      <c r="N1417">
        <v>17.3887393203367</v>
      </c>
      <c r="O1417">
        <v>17.556877207614399</v>
      </c>
      <c r="P1417">
        <v>-0.40063768032175101</v>
      </c>
      <c r="Q1417">
        <v>-0.72390360651736696</v>
      </c>
      <c r="R1417">
        <v>-7.7371754126134104E-2</v>
      </c>
      <c r="S1417">
        <v>17.5244923090636</v>
      </c>
      <c r="T1417">
        <v>-2.60485993238991</v>
      </c>
      <c r="U1417">
        <v>-4.1404155367768798</v>
      </c>
      <c r="V1417">
        <v>1.7972657242011102E-2</v>
      </c>
      <c r="W1417">
        <v>6.8691881229045307E-2</v>
      </c>
      <c r="X1417">
        <v>0</v>
      </c>
      <c r="Y1417">
        <v>0</v>
      </c>
    </row>
    <row r="1418" spans="1:25" x14ac:dyDescent="0.2">
      <c r="A1418" t="s">
        <v>5280</v>
      </c>
      <c r="B1418" t="s">
        <v>5281</v>
      </c>
      <c r="C1418" t="s">
        <v>5282</v>
      </c>
      <c r="D1418" t="s">
        <v>5283</v>
      </c>
      <c r="E1418" t="s">
        <v>5281</v>
      </c>
      <c r="F1418" t="s">
        <v>28</v>
      </c>
      <c r="G1418" t="s">
        <v>5281</v>
      </c>
      <c r="H1418" t="str">
        <f>"cts-1"</f>
        <v>cts-1</v>
      </c>
      <c r="I1418" t="s">
        <v>5283</v>
      </c>
      <c r="J1418">
        <v>15.1634724221892</v>
      </c>
      <c r="K1418">
        <v>15.3662191094036</v>
      </c>
      <c r="L1418">
        <v>15.2000300079716</v>
      </c>
      <c r="M1418">
        <v>16.535836859815799</v>
      </c>
      <c r="N1418">
        <v>16.3244405849359</v>
      </c>
      <c r="O1418">
        <v>16.0536817767928</v>
      </c>
      <c r="P1418">
        <v>1.06141256066004</v>
      </c>
      <c r="Q1418">
        <v>0.44579047914808501</v>
      </c>
      <c r="R1418">
        <v>1.6770346421719999</v>
      </c>
      <c r="S1418">
        <v>15.160000370015901</v>
      </c>
      <c r="T1418">
        <v>3.6237860339788801</v>
      </c>
      <c r="U1418">
        <v>-1.99829103267265</v>
      </c>
      <c r="V1418">
        <v>1.95692399794542E-3</v>
      </c>
      <c r="W1418">
        <v>1.43076139298721E-2</v>
      </c>
      <c r="X1418">
        <v>1</v>
      </c>
      <c r="Y1418">
        <v>1</v>
      </c>
    </row>
    <row r="1419" spans="1:25" x14ac:dyDescent="0.2">
      <c r="A1419" t="s">
        <v>5284</v>
      </c>
      <c r="B1419" t="s">
        <v>5285</v>
      </c>
      <c r="C1419" t="s">
        <v>5286</v>
      </c>
      <c r="D1419" t="s">
        <v>5287</v>
      </c>
      <c r="E1419" t="s">
        <v>5285</v>
      </c>
      <c r="F1419" t="s">
        <v>28</v>
      </c>
      <c r="G1419" t="s">
        <v>5285</v>
      </c>
      <c r="H1419" t="str">
        <f>"mua-3"</f>
        <v>mua-3</v>
      </c>
      <c r="I1419" t="s">
        <v>5287</v>
      </c>
      <c r="J1419" t="s">
        <v>29</v>
      </c>
      <c r="K1419" t="s">
        <v>29</v>
      </c>
      <c r="L1419">
        <v>11.864568973610901</v>
      </c>
      <c r="M1419" t="s">
        <v>29</v>
      </c>
      <c r="N1419" t="s">
        <v>29</v>
      </c>
      <c r="O1419">
        <v>11.9106480407705</v>
      </c>
      <c r="P1419">
        <v>4.6079067159610097E-2</v>
      </c>
      <c r="Q1419">
        <v>-1.57205169168699</v>
      </c>
      <c r="R1419">
        <v>1.6642098260062099</v>
      </c>
      <c r="S1419">
        <v>11.3344308910054</v>
      </c>
      <c r="T1419">
        <v>6.2106217169699898E-2</v>
      </c>
      <c r="U1419">
        <v>-6.6108691573980201</v>
      </c>
      <c r="V1419">
        <v>0.95150961489335195</v>
      </c>
      <c r="W1419">
        <v>0.97229501910218796</v>
      </c>
      <c r="X1419">
        <v>0</v>
      </c>
      <c r="Y1419">
        <v>0</v>
      </c>
    </row>
    <row r="1420" spans="1:25" x14ac:dyDescent="0.2">
      <c r="A1420" t="s">
        <v>5288</v>
      </c>
      <c r="B1420" t="s">
        <v>5289</v>
      </c>
      <c r="C1420" t="s">
        <v>5290</v>
      </c>
      <c r="D1420" t="s">
        <v>5291</v>
      </c>
      <c r="E1420" t="s">
        <v>5289</v>
      </c>
      <c r="F1420" t="s">
        <v>28</v>
      </c>
      <c r="G1420" t="s">
        <v>5289</v>
      </c>
      <c r="H1420" t="str">
        <f>"T26G10.1"</f>
        <v>T26G10.1</v>
      </c>
      <c r="I1420" t="s">
        <v>5291</v>
      </c>
      <c r="J1420">
        <v>15.0004177798534</v>
      </c>
      <c r="K1420">
        <v>14.805471176744399</v>
      </c>
      <c r="L1420">
        <v>15.165467883918801</v>
      </c>
      <c r="M1420" t="s">
        <v>29</v>
      </c>
      <c r="N1420">
        <v>14.6135325442739</v>
      </c>
      <c r="O1420">
        <v>14.8906159455943</v>
      </c>
      <c r="P1420">
        <v>-0.23837803523813</v>
      </c>
      <c r="Q1420">
        <v>-0.69327306059143301</v>
      </c>
      <c r="R1420">
        <v>0.216516990115173</v>
      </c>
      <c r="S1420">
        <v>15.2883815728791</v>
      </c>
      <c r="T1420">
        <v>-1.1061271737057501</v>
      </c>
      <c r="U1420">
        <v>-6.4247153365012704</v>
      </c>
      <c r="V1420">
        <v>0.284173695356574</v>
      </c>
      <c r="W1420">
        <v>0.45244202833223102</v>
      </c>
      <c r="X1420">
        <v>0</v>
      </c>
      <c r="Y1420">
        <v>0</v>
      </c>
    </row>
    <row r="1421" spans="1:25" x14ac:dyDescent="0.2">
      <c r="A1421" t="s">
        <v>5292</v>
      </c>
      <c r="B1421" t="s">
        <v>5293</v>
      </c>
      <c r="C1421" t="s">
        <v>5294</v>
      </c>
      <c r="D1421" t="s">
        <v>5295</v>
      </c>
      <c r="E1421" t="s">
        <v>5293</v>
      </c>
      <c r="F1421" t="s">
        <v>28</v>
      </c>
      <c r="G1421" t="s">
        <v>5293</v>
      </c>
      <c r="H1421" t="str">
        <f>"ZK1098.1"</f>
        <v>ZK1098.1</v>
      </c>
      <c r="I1421" t="s">
        <v>5295</v>
      </c>
      <c r="J1421">
        <v>12.7782995917766</v>
      </c>
      <c r="K1421">
        <v>12.4916105461242</v>
      </c>
      <c r="L1421">
        <v>12.511943595864301</v>
      </c>
      <c r="M1421">
        <v>13.328853636755699</v>
      </c>
      <c r="N1421" t="s">
        <v>29</v>
      </c>
      <c r="O1421" t="s">
        <v>29</v>
      </c>
      <c r="P1421">
        <v>0.73490239216733999</v>
      </c>
      <c r="Q1421">
        <v>3.7670989205560897E-2</v>
      </c>
      <c r="R1421">
        <v>1.43213379512912</v>
      </c>
      <c r="S1421">
        <v>12.4063587004425</v>
      </c>
      <c r="T1421">
        <v>2.2479897547477399</v>
      </c>
      <c r="U1421">
        <v>-4.5229227761843704</v>
      </c>
      <c r="V1421">
        <v>4.0157158924261402E-2</v>
      </c>
      <c r="W1421">
        <v>0.11837106275581601</v>
      </c>
      <c r="X1421">
        <v>0</v>
      </c>
      <c r="Y1421">
        <v>0</v>
      </c>
    </row>
    <row r="1422" spans="1:25" x14ac:dyDescent="0.2">
      <c r="A1422" t="s">
        <v>5296</v>
      </c>
      <c r="B1422" t="s">
        <v>5297</v>
      </c>
      <c r="C1422" t="s">
        <v>5298</v>
      </c>
      <c r="D1422" t="s">
        <v>5299</v>
      </c>
      <c r="E1422" t="s">
        <v>5297</v>
      </c>
      <c r="F1422" t="s">
        <v>28</v>
      </c>
      <c r="G1422" t="s">
        <v>5297</v>
      </c>
      <c r="H1422" t="str">
        <f>"ZK1098.2"</f>
        <v>ZK1098.2</v>
      </c>
      <c r="I1422" t="s">
        <v>5299</v>
      </c>
      <c r="J1422">
        <v>12.219273521582799</v>
      </c>
      <c r="K1422">
        <v>12.5346785841156</v>
      </c>
      <c r="L1422">
        <v>12.040433127452401</v>
      </c>
      <c r="M1422" t="s">
        <v>29</v>
      </c>
      <c r="N1422">
        <v>13.181956863444499</v>
      </c>
      <c r="O1422">
        <v>12.118333851837299</v>
      </c>
      <c r="P1422">
        <v>0.38535027992399201</v>
      </c>
      <c r="Q1422">
        <v>-0.44622835918655301</v>
      </c>
      <c r="R1422">
        <v>1.21692891903454</v>
      </c>
      <c r="S1422">
        <v>12.565104918908499</v>
      </c>
      <c r="T1422">
        <v>0.98288313590058196</v>
      </c>
      <c r="U1422">
        <v>-6.55087375246704</v>
      </c>
      <c r="V1422">
        <v>0.34039010674453601</v>
      </c>
      <c r="W1422">
        <v>0.51075847483510595</v>
      </c>
      <c r="X1422">
        <v>0</v>
      </c>
      <c r="Y1422">
        <v>0</v>
      </c>
    </row>
    <row r="1423" spans="1:25" x14ac:dyDescent="0.2">
      <c r="A1423" t="s">
        <v>5300</v>
      </c>
      <c r="B1423" t="s">
        <v>5301</v>
      </c>
      <c r="C1423" t="s">
        <v>5302</v>
      </c>
      <c r="D1423" t="s">
        <v>5303</v>
      </c>
      <c r="E1423" t="s">
        <v>5301</v>
      </c>
      <c r="F1423" t="s">
        <v>28</v>
      </c>
      <c r="G1423" t="s">
        <v>5301</v>
      </c>
      <c r="H1423" t="str">
        <f>"ZK1098.3"</f>
        <v>ZK1098.3</v>
      </c>
      <c r="I1423" t="s">
        <v>5303</v>
      </c>
      <c r="J1423">
        <v>10.381484453453</v>
      </c>
      <c r="K1423">
        <v>11.308186372548199</v>
      </c>
      <c r="L1423">
        <v>11.481880316404901</v>
      </c>
      <c r="M1423" t="s">
        <v>29</v>
      </c>
      <c r="N1423" t="s">
        <v>29</v>
      </c>
      <c r="O1423" t="s">
        <v>29</v>
      </c>
      <c r="P1423" t="s">
        <v>29</v>
      </c>
      <c r="Q1423" t="s">
        <v>29</v>
      </c>
      <c r="R1423" t="s">
        <v>29</v>
      </c>
      <c r="S1423">
        <v>11.493571521526</v>
      </c>
      <c r="T1423" t="s">
        <v>29</v>
      </c>
      <c r="U1423" t="s">
        <v>29</v>
      </c>
      <c r="V1423" t="s">
        <v>29</v>
      </c>
      <c r="W1423" t="s">
        <v>29</v>
      </c>
      <c r="X1423" t="s">
        <v>29</v>
      </c>
      <c r="Y1423" t="s">
        <v>29</v>
      </c>
    </row>
    <row r="1424" spans="1:25" x14ac:dyDescent="0.2">
      <c r="A1424" t="s">
        <v>5304</v>
      </c>
      <c r="B1424" t="s">
        <v>5305</v>
      </c>
      <c r="C1424" t="s">
        <v>5306</v>
      </c>
      <c r="D1424" t="s">
        <v>5307</v>
      </c>
      <c r="E1424" t="s">
        <v>5305</v>
      </c>
      <c r="F1424" t="s">
        <v>28</v>
      </c>
      <c r="G1424" t="s">
        <v>5305</v>
      </c>
      <c r="H1424" t="str">
        <f>"ZK1098.4"</f>
        <v>ZK1098.4</v>
      </c>
      <c r="I1424" t="s">
        <v>5307</v>
      </c>
      <c r="J1424">
        <v>13.576514536373599</v>
      </c>
      <c r="K1424">
        <v>13.065677510159199</v>
      </c>
      <c r="L1424">
        <v>13.161280274831601</v>
      </c>
      <c r="M1424" t="s">
        <v>29</v>
      </c>
      <c r="N1424">
        <v>12.8441847845281</v>
      </c>
      <c r="O1424">
        <v>12.6899365198166</v>
      </c>
      <c r="P1424">
        <v>-0.50076345494913199</v>
      </c>
      <c r="Q1424">
        <v>-1.0994430404433</v>
      </c>
      <c r="R1424">
        <v>9.7916130545036006E-2</v>
      </c>
      <c r="S1424">
        <v>13.169426784087699</v>
      </c>
      <c r="T1424">
        <v>-1.7655832131543101</v>
      </c>
      <c r="U1424">
        <v>-5.54268386601131</v>
      </c>
      <c r="V1424">
        <v>9.5530262460301801E-2</v>
      </c>
      <c r="W1424">
        <v>0.21040932994806399</v>
      </c>
      <c r="X1424">
        <v>0</v>
      </c>
      <c r="Y1424">
        <v>0</v>
      </c>
    </row>
    <row r="1425" spans="1:25" x14ac:dyDescent="0.2">
      <c r="A1425" t="s">
        <v>5308</v>
      </c>
      <c r="B1425" t="s">
        <v>5309</v>
      </c>
      <c r="C1425" t="s">
        <v>5310</v>
      </c>
      <c r="D1425" t="s">
        <v>5311</v>
      </c>
      <c r="E1425" t="s">
        <v>5309</v>
      </c>
      <c r="F1425" t="s">
        <v>28</v>
      </c>
      <c r="G1425" t="s">
        <v>5309</v>
      </c>
      <c r="H1425" t="str">
        <f>"mut-7"</f>
        <v>mut-7</v>
      </c>
      <c r="I1425" t="s">
        <v>5311</v>
      </c>
      <c r="J1425">
        <v>11.1094021693815</v>
      </c>
      <c r="K1425">
        <v>13.9055362694316</v>
      </c>
      <c r="L1425" t="s">
        <v>29</v>
      </c>
      <c r="M1425" t="s">
        <v>29</v>
      </c>
      <c r="N1425" t="s">
        <v>29</v>
      </c>
      <c r="O1425" t="s">
        <v>29</v>
      </c>
      <c r="P1425" t="s">
        <v>29</v>
      </c>
      <c r="Q1425" t="s">
        <v>29</v>
      </c>
      <c r="R1425" t="s">
        <v>29</v>
      </c>
      <c r="S1425">
        <v>11.3114123519118</v>
      </c>
      <c r="T1425" t="s">
        <v>29</v>
      </c>
      <c r="U1425" t="s">
        <v>29</v>
      </c>
      <c r="V1425" t="s">
        <v>29</v>
      </c>
      <c r="W1425" t="s">
        <v>29</v>
      </c>
      <c r="X1425" t="s">
        <v>29</v>
      </c>
      <c r="Y1425" t="s">
        <v>29</v>
      </c>
    </row>
    <row r="1426" spans="1:25" x14ac:dyDescent="0.2">
      <c r="A1426" t="s">
        <v>5312</v>
      </c>
      <c r="B1426" t="s">
        <v>5313</v>
      </c>
      <c r="C1426" t="s">
        <v>5314</v>
      </c>
      <c r="D1426" t="s">
        <v>5315</v>
      </c>
      <c r="E1426" t="s">
        <v>5313</v>
      </c>
      <c r="F1426" t="s">
        <v>28</v>
      </c>
      <c r="G1426" t="s">
        <v>5313</v>
      </c>
      <c r="H1426" t="str">
        <f>"ncl-1"</f>
        <v>ncl-1</v>
      </c>
      <c r="I1426" t="s">
        <v>5315</v>
      </c>
      <c r="J1426">
        <v>13.5707364851429</v>
      </c>
      <c r="K1426">
        <v>13.4122966883589</v>
      </c>
      <c r="L1426">
        <v>13.514034460547499</v>
      </c>
      <c r="M1426" t="s">
        <v>29</v>
      </c>
      <c r="N1426">
        <v>14.7625391439397</v>
      </c>
      <c r="O1426">
        <v>13.954889877730301</v>
      </c>
      <c r="P1426">
        <v>0.85969196615186805</v>
      </c>
      <c r="Q1426">
        <v>0.159444228815314</v>
      </c>
      <c r="R1426">
        <v>1.5599397034884199</v>
      </c>
      <c r="S1426">
        <v>14.833021216763999</v>
      </c>
      <c r="T1426">
        <v>2.5914400549832002</v>
      </c>
      <c r="U1426">
        <v>-4.0773827588095797</v>
      </c>
      <c r="V1426">
        <v>1.9079440578091501E-2</v>
      </c>
      <c r="W1426">
        <v>7.1173558713462995E-2</v>
      </c>
      <c r="X1426">
        <v>0</v>
      </c>
      <c r="Y1426">
        <v>0</v>
      </c>
    </row>
    <row r="1427" spans="1:25" x14ac:dyDescent="0.2">
      <c r="A1427" t="s">
        <v>5316</v>
      </c>
      <c r="B1427" t="s">
        <v>5317</v>
      </c>
      <c r="C1427" t="s">
        <v>5318</v>
      </c>
      <c r="D1427" t="s">
        <v>5319</v>
      </c>
      <c r="E1427" t="s">
        <v>5317</v>
      </c>
      <c r="F1427" t="s">
        <v>28</v>
      </c>
      <c r="G1427" t="s">
        <v>5317</v>
      </c>
      <c r="H1427" t="str">
        <f>"ZK1236.1"</f>
        <v>ZK1236.1</v>
      </c>
      <c r="I1427" t="s">
        <v>5319</v>
      </c>
      <c r="J1427" t="s">
        <v>29</v>
      </c>
      <c r="K1427" t="s">
        <v>29</v>
      </c>
      <c r="L1427" t="s">
        <v>29</v>
      </c>
      <c r="M1427" t="s">
        <v>29</v>
      </c>
      <c r="N1427" t="s">
        <v>29</v>
      </c>
      <c r="O1427" t="s">
        <v>29</v>
      </c>
      <c r="P1427" t="s">
        <v>29</v>
      </c>
      <c r="Q1427" t="s">
        <v>29</v>
      </c>
      <c r="R1427" t="s">
        <v>29</v>
      </c>
      <c r="S1427">
        <v>10.9337187004444</v>
      </c>
      <c r="T1427" t="s">
        <v>29</v>
      </c>
      <c r="U1427" t="s">
        <v>29</v>
      </c>
      <c r="V1427" t="s">
        <v>29</v>
      </c>
      <c r="W1427" t="s">
        <v>29</v>
      </c>
      <c r="X1427" t="s">
        <v>29</v>
      </c>
      <c r="Y1427" t="s">
        <v>29</v>
      </c>
    </row>
    <row r="1428" spans="1:25" x14ac:dyDescent="0.2">
      <c r="A1428" t="s">
        <v>5320</v>
      </c>
      <c r="B1428" t="s">
        <v>5321</v>
      </c>
      <c r="C1428" t="s">
        <v>5322</v>
      </c>
      <c r="D1428" t="s">
        <v>5323</v>
      </c>
      <c r="E1428" t="s">
        <v>5321</v>
      </c>
      <c r="F1428" t="s">
        <v>28</v>
      </c>
      <c r="G1428" t="s">
        <v>5321</v>
      </c>
      <c r="H1428" t="str">
        <f>"cec-1"</f>
        <v>cec-1</v>
      </c>
      <c r="I1428" t="s">
        <v>5323</v>
      </c>
      <c r="J1428">
        <v>10.7779050513243</v>
      </c>
      <c r="K1428">
        <v>11.0352653297149</v>
      </c>
      <c r="L1428">
        <v>10.9242290521826</v>
      </c>
      <c r="M1428" t="s">
        <v>29</v>
      </c>
      <c r="N1428">
        <v>10.930012687737999</v>
      </c>
      <c r="O1428">
        <v>10.3971255046912</v>
      </c>
      <c r="P1428">
        <v>-0.24889738152603999</v>
      </c>
      <c r="Q1428">
        <v>-0.85024425787346003</v>
      </c>
      <c r="R1428">
        <v>0.35244949482137899</v>
      </c>
      <c r="S1428">
        <v>12.3259376296505</v>
      </c>
      <c r="T1428">
        <v>-0.87366569149766704</v>
      </c>
      <c r="U1428">
        <v>-6.6531127741047396</v>
      </c>
      <c r="V1428">
        <v>0.39454928193658101</v>
      </c>
      <c r="W1428">
        <v>0.56252381899714798</v>
      </c>
      <c r="X1428">
        <v>0</v>
      </c>
      <c r="Y1428">
        <v>0</v>
      </c>
    </row>
    <row r="1429" spans="1:25" x14ac:dyDescent="0.2">
      <c r="A1429" t="s">
        <v>5324</v>
      </c>
      <c r="B1429" t="s">
        <v>5325</v>
      </c>
      <c r="C1429" t="s">
        <v>5326</v>
      </c>
      <c r="D1429" t="s">
        <v>5327</v>
      </c>
      <c r="E1429" t="s">
        <v>5325</v>
      </c>
      <c r="F1429" t="s">
        <v>28</v>
      </c>
      <c r="G1429" t="s">
        <v>5325</v>
      </c>
      <c r="H1429" t="str">
        <f>"sor-1"</f>
        <v>sor-1</v>
      </c>
      <c r="I1429" t="s">
        <v>5327</v>
      </c>
      <c r="J1429" t="s">
        <v>29</v>
      </c>
      <c r="K1429" t="s">
        <v>29</v>
      </c>
      <c r="L1429">
        <v>12.022385591601299</v>
      </c>
      <c r="M1429" t="s">
        <v>29</v>
      </c>
      <c r="N1429" t="s">
        <v>29</v>
      </c>
      <c r="O1429" t="s">
        <v>29</v>
      </c>
      <c r="P1429" t="s">
        <v>29</v>
      </c>
      <c r="Q1429" t="s">
        <v>29</v>
      </c>
      <c r="R1429" t="s">
        <v>29</v>
      </c>
      <c r="S1429">
        <v>12.4490383231858</v>
      </c>
      <c r="T1429" t="s">
        <v>29</v>
      </c>
      <c r="U1429" t="s">
        <v>29</v>
      </c>
      <c r="V1429" t="s">
        <v>29</v>
      </c>
      <c r="W1429" t="s">
        <v>29</v>
      </c>
      <c r="X1429" t="s">
        <v>29</v>
      </c>
      <c r="Y1429" t="s">
        <v>29</v>
      </c>
    </row>
    <row r="1430" spans="1:25" x14ac:dyDescent="0.2">
      <c r="A1430" t="s">
        <v>5328</v>
      </c>
      <c r="B1430" t="s">
        <v>5329</v>
      </c>
      <c r="C1430" t="s">
        <v>5330</v>
      </c>
      <c r="D1430" t="s">
        <v>5331</v>
      </c>
      <c r="E1430" t="s">
        <v>5329</v>
      </c>
      <c r="F1430" t="s">
        <v>28</v>
      </c>
      <c r="G1430" t="s">
        <v>5329</v>
      </c>
      <c r="H1430" t="str">
        <f>"ubxn-4"</f>
        <v>ubxn-4</v>
      </c>
      <c r="I1430" t="s">
        <v>5331</v>
      </c>
      <c r="J1430">
        <v>12.0366127147262</v>
      </c>
      <c r="K1430">
        <v>12.177036584503099</v>
      </c>
      <c r="L1430">
        <v>12.250601847150801</v>
      </c>
      <c r="M1430" t="s">
        <v>29</v>
      </c>
      <c r="N1430">
        <v>11.539718288319699</v>
      </c>
      <c r="O1430">
        <v>11.2070297008905</v>
      </c>
      <c r="P1430">
        <v>-0.78137638752157901</v>
      </c>
      <c r="Q1430">
        <v>-1.4586374132297599</v>
      </c>
      <c r="R1430">
        <v>-0.1041153618134</v>
      </c>
      <c r="S1430">
        <v>11.9756585316065</v>
      </c>
      <c r="T1430">
        <v>-2.4353097765726002</v>
      </c>
      <c r="U1430">
        <v>-4.3767739892279103</v>
      </c>
      <c r="V1430">
        <v>2.6259824069313199E-2</v>
      </c>
      <c r="W1430">
        <v>8.8241392853211004E-2</v>
      </c>
      <c r="X1430">
        <v>0</v>
      </c>
      <c r="Y1430">
        <v>0</v>
      </c>
    </row>
    <row r="1431" spans="1:25" x14ac:dyDescent="0.2">
      <c r="A1431" t="s">
        <v>5332</v>
      </c>
      <c r="B1431" t="s">
        <v>5333</v>
      </c>
      <c r="C1431" t="s">
        <v>5334</v>
      </c>
      <c r="D1431" t="s">
        <v>5335</v>
      </c>
      <c r="E1431" t="s">
        <v>5333</v>
      </c>
      <c r="F1431" t="s">
        <v>28</v>
      </c>
      <c r="G1431" t="s">
        <v>5333</v>
      </c>
      <c r="H1431" t="str">
        <f>"ZK512.2"</f>
        <v>ZK512.2</v>
      </c>
      <c r="I1431" t="s">
        <v>5335</v>
      </c>
      <c r="J1431">
        <v>16.143824754425498</v>
      </c>
      <c r="K1431">
        <v>16.176145350667699</v>
      </c>
      <c r="L1431">
        <v>16.324283953537499</v>
      </c>
      <c r="M1431">
        <v>16.013974004883998</v>
      </c>
      <c r="N1431">
        <v>16.057401957270699</v>
      </c>
      <c r="O1431">
        <v>15.962820087689099</v>
      </c>
      <c r="P1431">
        <v>-0.203352669595667</v>
      </c>
      <c r="Q1431">
        <v>-0.52408217055586304</v>
      </c>
      <c r="R1431">
        <v>0.11737683136452901</v>
      </c>
      <c r="S1431">
        <v>16.353824737526899</v>
      </c>
      <c r="T1431">
        <v>-1.3326112729816699</v>
      </c>
      <c r="U1431">
        <v>-6.2679992839100498</v>
      </c>
      <c r="V1431">
        <v>0.199380300604312</v>
      </c>
      <c r="W1431">
        <v>0.35817680518162698</v>
      </c>
      <c r="X1431">
        <v>0</v>
      </c>
      <c r="Y1431">
        <v>0</v>
      </c>
    </row>
    <row r="1432" spans="1:25" x14ac:dyDescent="0.2">
      <c r="A1432" t="s">
        <v>5336</v>
      </c>
      <c r="B1432" t="s">
        <v>5337</v>
      </c>
      <c r="C1432" t="s">
        <v>5338</v>
      </c>
      <c r="D1432" t="s">
        <v>5339</v>
      </c>
      <c r="E1432" t="s">
        <v>5337</v>
      </c>
      <c r="F1432" t="s">
        <v>28</v>
      </c>
      <c r="G1432" t="s">
        <v>5337</v>
      </c>
      <c r="H1432" t="str">
        <f>"ZK512.4"</f>
        <v>ZK512.4</v>
      </c>
      <c r="I1432" t="s">
        <v>5339</v>
      </c>
      <c r="J1432">
        <v>12.9403941778247</v>
      </c>
      <c r="K1432">
        <v>12.943970656505501</v>
      </c>
      <c r="L1432">
        <v>13.2046260012202</v>
      </c>
      <c r="M1432" t="s">
        <v>29</v>
      </c>
      <c r="N1432" t="s">
        <v>29</v>
      </c>
      <c r="O1432" t="s">
        <v>29</v>
      </c>
      <c r="P1432" t="s">
        <v>29</v>
      </c>
      <c r="Q1432" t="s">
        <v>29</v>
      </c>
      <c r="R1432" t="s">
        <v>29</v>
      </c>
      <c r="S1432">
        <v>12.1757004339568</v>
      </c>
      <c r="T1432" t="s">
        <v>29</v>
      </c>
      <c r="U1432" t="s">
        <v>29</v>
      </c>
      <c r="V1432" t="s">
        <v>29</v>
      </c>
      <c r="W1432" t="s">
        <v>29</v>
      </c>
      <c r="X1432" t="s">
        <v>29</v>
      </c>
      <c r="Y1432" t="s">
        <v>29</v>
      </c>
    </row>
    <row r="1433" spans="1:25" x14ac:dyDescent="0.2">
      <c r="A1433" t="s">
        <v>5340</v>
      </c>
      <c r="B1433" t="s">
        <v>5341</v>
      </c>
      <c r="C1433" t="s">
        <v>5342</v>
      </c>
      <c r="D1433" t="s">
        <v>5343</v>
      </c>
      <c r="E1433" t="s">
        <v>5341</v>
      </c>
      <c r="F1433" t="s">
        <v>28</v>
      </c>
      <c r="G1433" t="s">
        <v>5341</v>
      </c>
      <c r="H1433" t="str">
        <f>"sec-16A.1"</f>
        <v>sec-16A.1</v>
      </c>
      <c r="I1433" t="s">
        <v>5343</v>
      </c>
      <c r="J1433">
        <v>12.6535651937567</v>
      </c>
      <c r="K1433">
        <v>12.9605201569263</v>
      </c>
      <c r="L1433">
        <v>13.151254488527</v>
      </c>
      <c r="M1433">
        <v>11.956371177067901</v>
      </c>
      <c r="N1433">
        <v>12.6064319788899</v>
      </c>
      <c r="O1433">
        <v>12.168329522715</v>
      </c>
      <c r="P1433">
        <v>-0.678069053512388</v>
      </c>
      <c r="Q1433">
        <v>-1.0719490798799201</v>
      </c>
      <c r="R1433">
        <v>-0.284189027144852</v>
      </c>
      <c r="S1433">
        <v>13.0772788859923</v>
      </c>
      <c r="T1433">
        <v>-3.6182825594253898</v>
      </c>
      <c r="U1433">
        <v>-2.0103100468647002</v>
      </c>
      <c r="V1433">
        <v>1.9809756824082799E-3</v>
      </c>
      <c r="W1433">
        <v>1.44146551507585E-2</v>
      </c>
      <c r="X1433">
        <v>0</v>
      </c>
      <c r="Y1433">
        <v>0</v>
      </c>
    </row>
    <row r="1434" spans="1:25" x14ac:dyDescent="0.2">
      <c r="A1434" t="s">
        <v>5344</v>
      </c>
      <c r="B1434" t="s">
        <v>5345</v>
      </c>
      <c r="C1434" t="s">
        <v>5346</v>
      </c>
      <c r="D1434" t="s">
        <v>5347</v>
      </c>
      <c r="E1434" t="s">
        <v>5345</v>
      </c>
      <c r="F1434" t="s">
        <v>28</v>
      </c>
      <c r="G1434" t="s">
        <v>5345</v>
      </c>
      <c r="H1434" t="str">
        <f>"ZK512.8"</f>
        <v>ZK512.8</v>
      </c>
      <c r="I1434" t="s">
        <v>5347</v>
      </c>
      <c r="J1434">
        <v>14.069039568972199</v>
      </c>
      <c r="K1434">
        <v>11.9003557015628</v>
      </c>
      <c r="L1434">
        <v>14.0597286911282</v>
      </c>
      <c r="M1434" t="s">
        <v>29</v>
      </c>
      <c r="N1434">
        <v>13.933954104241501</v>
      </c>
      <c r="O1434">
        <v>12.497923998570799</v>
      </c>
      <c r="P1434">
        <v>-0.12710226914827399</v>
      </c>
      <c r="Q1434">
        <v>-1.89294551987944</v>
      </c>
      <c r="R1434">
        <v>1.6387409815828899</v>
      </c>
      <c r="S1434">
        <v>13.403013063076401</v>
      </c>
      <c r="T1434">
        <v>-0.15193266909733499</v>
      </c>
      <c r="U1434">
        <v>-7.0333493975581396</v>
      </c>
      <c r="V1434">
        <v>0.88103958206374999</v>
      </c>
      <c r="W1434">
        <v>0.92696310187142805</v>
      </c>
      <c r="X1434">
        <v>0</v>
      </c>
      <c r="Y1434">
        <v>0</v>
      </c>
    </row>
    <row r="1435" spans="1:25" x14ac:dyDescent="0.2">
      <c r="A1435" t="s">
        <v>5348</v>
      </c>
      <c r="B1435" t="s">
        <v>5349</v>
      </c>
      <c r="C1435" t="s">
        <v>5350</v>
      </c>
      <c r="D1435" t="s">
        <v>5351</v>
      </c>
      <c r="E1435" t="s">
        <v>5349</v>
      </c>
      <c r="F1435" t="s">
        <v>28</v>
      </c>
      <c r="G1435" t="s">
        <v>5349</v>
      </c>
      <c r="H1435" t="str">
        <f>"mcm-6"</f>
        <v>mcm-6</v>
      </c>
      <c r="I1435" t="s">
        <v>5351</v>
      </c>
      <c r="J1435">
        <v>14.7213391023891</v>
      </c>
      <c r="K1435">
        <v>14.613912644734301</v>
      </c>
      <c r="L1435">
        <v>14.8542318820933</v>
      </c>
      <c r="M1435">
        <v>14.446629709913999</v>
      </c>
      <c r="N1435">
        <v>14.5331798073277</v>
      </c>
      <c r="O1435">
        <v>14.745753209998201</v>
      </c>
      <c r="P1435">
        <v>-0.15464030065898601</v>
      </c>
      <c r="Q1435">
        <v>-0.49738311435065402</v>
      </c>
      <c r="R1435">
        <v>0.188102513032681</v>
      </c>
      <c r="S1435">
        <v>14.6559787681218</v>
      </c>
      <c r="T1435">
        <v>-0.94830238073763495</v>
      </c>
      <c r="U1435">
        <v>-6.6959110362373799</v>
      </c>
      <c r="V1435">
        <v>0.35560704135577098</v>
      </c>
      <c r="W1435">
        <v>0.52556366643704</v>
      </c>
      <c r="X1435">
        <v>0</v>
      </c>
      <c r="Y1435">
        <v>0</v>
      </c>
    </row>
    <row r="1436" spans="1:25" x14ac:dyDescent="0.2">
      <c r="A1436" t="s">
        <v>5352</v>
      </c>
      <c r="B1436" t="s">
        <v>5353</v>
      </c>
      <c r="C1436" t="s">
        <v>5354</v>
      </c>
      <c r="D1436" t="s">
        <v>5355</v>
      </c>
      <c r="E1436" t="s">
        <v>5353</v>
      </c>
      <c r="F1436" t="s">
        <v>28</v>
      </c>
      <c r="G1436" t="s">
        <v>5353</v>
      </c>
      <c r="H1436" t="str">
        <f>"riok-3"</f>
        <v>riok-3</v>
      </c>
      <c r="I1436" t="s">
        <v>5355</v>
      </c>
      <c r="J1436">
        <v>11.374852988188699</v>
      </c>
      <c r="K1436">
        <v>12.295418322624201</v>
      </c>
      <c r="L1436">
        <v>11.414124790993901</v>
      </c>
      <c r="M1436">
        <v>12.5886124497752</v>
      </c>
      <c r="N1436" t="s">
        <v>29</v>
      </c>
      <c r="O1436">
        <v>11.6211459177599</v>
      </c>
      <c r="P1436">
        <v>0.41008048316527401</v>
      </c>
      <c r="Q1436">
        <v>-0.48530077088911799</v>
      </c>
      <c r="R1436">
        <v>1.30546173721967</v>
      </c>
      <c r="S1436">
        <v>12.2192343122304</v>
      </c>
      <c r="T1436">
        <v>0.97142803464368999</v>
      </c>
      <c r="U1436">
        <v>-6.5620086587566897</v>
      </c>
      <c r="V1436">
        <v>0.345886718015677</v>
      </c>
      <c r="W1436">
        <v>0.51663870146588897</v>
      </c>
      <c r="X1436">
        <v>0</v>
      </c>
      <c r="Y1436">
        <v>0</v>
      </c>
    </row>
    <row r="1437" spans="1:25" x14ac:dyDescent="0.2">
      <c r="A1437" t="s">
        <v>5356</v>
      </c>
      <c r="B1437" t="s">
        <v>5357</v>
      </c>
      <c r="C1437" t="s">
        <v>5358</v>
      </c>
      <c r="D1437" t="s">
        <v>5359</v>
      </c>
      <c r="E1437" t="s">
        <v>5357</v>
      </c>
      <c r="F1437" t="s">
        <v>28</v>
      </c>
      <c r="G1437" t="s">
        <v>5357</v>
      </c>
      <c r="H1437" t="str">
        <f>"panl-3"</f>
        <v>panl-3</v>
      </c>
      <c r="I1437" t="s">
        <v>5359</v>
      </c>
      <c r="J1437">
        <v>11.603543570277999</v>
      </c>
      <c r="K1437">
        <v>10.788808355569101</v>
      </c>
      <c r="L1437">
        <v>12.0450956405534</v>
      </c>
      <c r="M1437" t="s">
        <v>29</v>
      </c>
      <c r="N1437">
        <v>12.864366275409999</v>
      </c>
      <c r="O1437">
        <v>13.205506974868999</v>
      </c>
      <c r="P1437">
        <v>1.55578743633932</v>
      </c>
      <c r="Q1437">
        <v>0.84866872257923898</v>
      </c>
      <c r="R1437">
        <v>2.2629061500994001</v>
      </c>
      <c r="S1437">
        <v>13.2733923117424</v>
      </c>
      <c r="T1437">
        <v>4.6441682201949002</v>
      </c>
      <c r="U1437">
        <v>0.230925816754978</v>
      </c>
      <c r="V1437">
        <v>2.3576468261353499E-4</v>
      </c>
      <c r="W1437">
        <v>3.15817508937313E-3</v>
      </c>
      <c r="X1437">
        <v>1</v>
      </c>
      <c r="Y1437">
        <v>1</v>
      </c>
    </row>
    <row r="1438" spans="1:25" x14ac:dyDescent="0.2">
      <c r="A1438" t="s">
        <v>5360</v>
      </c>
      <c r="B1438" t="s">
        <v>5361</v>
      </c>
      <c r="C1438" t="s">
        <v>5362</v>
      </c>
      <c r="D1438" t="s">
        <v>5363</v>
      </c>
      <c r="E1438" t="s">
        <v>5361</v>
      </c>
      <c r="F1438" t="s">
        <v>28</v>
      </c>
      <c r="G1438" t="s">
        <v>5361</v>
      </c>
      <c r="H1438" t="str">
        <f>"ZK632.11"</f>
        <v>ZK632.11</v>
      </c>
      <c r="I1438" t="s">
        <v>5363</v>
      </c>
      <c r="J1438" t="s">
        <v>29</v>
      </c>
      <c r="K1438" t="s">
        <v>29</v>
      </c>
      <c r="L1438" t="s">
        <v>29</v>
      </c>
      <c r="M1438" t="s">
        <v>29</v>
      </c>
      <c r="N1438" t="s">
        <v>29</v>
      </c>
      <c r="O1438" t="s">
        <v>29</v>
      </c>
      <c r="P1438" t="s">
        <v>29</v>
      </c>
      <c r="Q1438" t="s">
        <v>29</v>
      </c>
      <c r="R1438" t="s">
        <v>29</v>
      </c>
      <c r="S1438">
        <v>13.184883410418401</v>
      </c>
      <c r="T1438" t="s">
        <v>29</v>
      </c>
      <c r="U1438" t="s">
        <v>29</v>
      </c>
      <c r="V1438" t="s">
        <v>29</v>
      </c>
      <c r="W1438" t="s">
        <v>29</v>
      </c>
      <c r="X1438" t="s">
        <v>29</v>
      </c>
      <c r="Y1438" t="s">
        <v>29</v>
      </c>
    </row>
    <row r="1439" spans="1:25" x14ac:dyDescent="0.2">
      <c r="A1439" t="s">
        <v>5364</v>
      </c>
      <c r="B1439" t="s">
        <v>5365</v>
      </c>
      <c r="C1439" t="s">
        <v>5366</v>
      </c>
      <c r="D1439" t="s">
        <v>5367</v>
      </c>
      <c r="E1439" t="s">
        <v>5365</v>
      </c>
      <c r="F1439" t="s">
        <v>28</v>
      </c>
      <c r="G1439" t="s">
        <v>5365</v>
      </c>
      <c r="H1439" t="str">
        <f>"ZK632.12"</f>
        <v>ZK632.12</v>
      </c>
      <c r="I1439" t="s">
        <v>5367</v>
      </c>
      <c r="J1439">
        <v>13.1045490389122</v>
      </c>
      <c r="K1439">
        <v>13.2654241781848</v>
      </c>
      <c r="L1439">
        <v>12.5127631027589</v>
      </c>
      <c r="M1439" t="s">
        <v>29</v>
      </c>
      <c r="N1439">
        <v>12.9614451622913</v>
      </c>
      <c r="O1439">
        <v>13.290667720738099</v>
      </c>
      <c r="P1439">
        <v>0.16514433489604</v>
      </c>
      <c r="Q1439">
        <v>-0.36708973340814</v>
      </c>
      <c r="R1439">
        <v>0.69737840320021904</v>
      </c>
      <c r="S1439">
        <v>12.89858132779</v>
      </c>
      <c r="T1439">
        <v>0.65495433821649096</v>
      </c>
      <c r="U1439">
        <v>-6.8228238664728602</v>
      </c>
      <c r="V1439">
        <v>0.52131529903950902</v>
      </c>
      <c r="W1439">
        <v>0.67234844038049502</v>
      </c>
      <c r="X1439">
        <v>0</v>
      </c>
      <c r="Y1439">
        <v>0</v>
      </c>
    </row>
    <row r="1440" spans="1:25" x14ac:dyDescent="0.2">
      <c r="A1440" t="s">
        <v>5368</v>
      </c>
      <c r="B1440" t="s">
        <v>5369</v>
      </c>
      <c r="C1440" t="s">
        <v>5370</v>
      </c>
      <c r="D1440" t="s">
        <v>5371</v>
      </c>
      <c r="E1440" t="s">
        <v>5369</v>
      </c>
      <c r="F1440" t="s">
        <v>28</v>
      </c>
      <c r="G1440" t="s">
        <v>5369</v>
      </c>
      <c r="H1440" t="str">
        <f>"rpl-35"</f>
        <v>rpl-35</v>
      </c>
      <c r="I1440" t="s">
        <v>5371</v>
      </c>
      <c r="J1440">
        <v>17.872241258641399</v>
      </c>
      <c r="K1440">
        <v>17.730761876539901</v>
      </c>
      <c r="L1440">
        <v>17.740456333802399</v>
      </c>
      <c r="M1440">
        <v>18.495143981666399</v>
      </c>
      <c r="N1440">
        <v>17.844752802669401</v>
      </c>
      <c r="O1440">
        <v>17.257542383800001</v>
      </c>
      <c r="P1440">
        <v>8.4659899717365802E-2</v>
      </c>
      <c r="Q1440">
        <v>-0.69426296992818903</v>
      </c>
      <c r="R1440">
        <v>0.863582769362921</v>
      </c>
      <c r="S1440">
        <v>17.584602406868498</v>
      </c>
      <c r="T1440">
        <v>0.22844192317023901</v>
      </c>
      <c r="U1440">
        <v>-7.1289554787227196</v>
      </c>
      <c r="V1440">
        <v>0.82189281444668205</v>
      </c>
      <c r="W1440">
        <v>0.88787321267388997</v>
      </c>
      <c r="X1440">
        <v>0</v>
      </c>
      <c r="Y1440">
        <v>0</v>
      </c>
    </row>
    <row r="1441" spans="1:25" x14ac:dyDescent="0.2">
      <c r="A1441" t="s">
        <v>5372</v>
      </c>
      <c r="B1441" t="s">
        <v>5373</v>
      </c>
      <c r="C1441" t="s">
        <v>5374</v>
      </c>
      <c r="D1441" t="s">
        <v>5375</v>
      </c>
      <c r="E1441" t="s">
        <v>5373</v>
      </c>
      <c r="F1441" t="s">
        <v>28</v>
      </c>
      <c r="G1441" t="s">
        <v>5373</v>
      </c>
      <c r="H1441" t="str">
        <f>"coq-5"</f>
        <v>coq-5</v>
      </c>
      <c r="I1441" t="s">
        <v>5375</v>
      </c>
      <c r="J1441">
        <v>12.8980796098416</v>
      </c>
      <c r="K1441">
        <v>12.714976519029101</v>
      </c>
      <c r="L1441">
        <v>13.299953898422499</v>
      </c>
      <c r="M1441" t="s">
        <v>29</v>
      </c>
      <c r="N1441">
        <v>13.022943330319499</v>
      </c>
      <c r="O1441">
        <v>13.350068236157499</v>
      </c>
      <c r="P1441">
        <v>0.21550244080742201</v>
      </c>
      <c r="Q1441">
        <v>-0.29822035222006399</v>
      </c>
      <c r="R1441">
        <v>0.72922523383490701</v>
      </c>
      <c r="S1441">
        <v>13.1219294785634</v>
      </c>
      <c r="T1441">
        <v>0.88546902078976597</v>
      </c>
      <c r="U1441">
        <v>-6.6426797634755301</v>
      </c>
      <c r="V1441">
        <v>0.38833288886169798</v>
      </c>
      <c r="W1441">
        <v>0.556352466444056</v>
      </c>
      <c r="X1441">
        <v>0</v>
      </c>
      <c r="Y1441">
        <v>0</v>
      </c>
    </row>
    <row r="1442" spans="1:25" x14ac:dyDescent="0.2">
      <c r="A1442" t="s">
        <v>5376</v>
      </c>
      <c r="B1442" t="s">
        <v>5377</v>
      </c>
      <c r="C1442" t="s">
        <v>5378</v>
      </c>
      <c r="D1442" t="s">
        <v>5379</v>
      </c>
      <c r="E1442" t="s">
        <v>5377</v>
      </c>
      <c r="F1442" t="s">
        <v>28</v>
      </c>
      <c r="G1442" t="s">
        <v>5377</v>
      </c>
      <c r="H1442" t="str">
        <f>"ZK686.2"</f>
        <v>ZK686.2</v>
      </c>
      <c r="I1442" t="s">
        <v>5379</v>
      </c>
      <c r="J1442">
        <v>14.523516025477401</v>
      </c>
      <c r="K1442">
        <v>14.4598595610874</v>
      </c>
      <c r="L1442">
        <v>14.5308875221886</v>
      </c>
      <c r="M1442">
        <v>14.8725483406044</v>
      </c>
      <c r="N1442">
        <v>15.0532772751904</v>
      </c>
      <c r="O1442">
        <v>14.973243640384901</v>
      </c>
      <c r="P1442">
        <v>0.46160204914206698</v>
      </c>
      <c r="Q1442">
        <v>2.7105957018655501E-2</v>
      </c>
      <c r="R1442">
        <v>0.89609814126547904</v>
      </c>
      <c r="S1442">
        <v>15.0472622105454</v>
      </c>
      <c r="T1442">
        <v>2.2329261843384498</v>
      </c>
      <c r="U1442">
        <v>-4.8499400469295502</v>
      </c>
      <c r="V1442">
        <v>3.8570526829974701E-2</v>
      </c>
      <c r="W1442">
        <v>0.11551559204058499</v>
      </c>
      <c r="X1442">
        <v>0</v>
      </c>
      <c r="Y1442">
        <v>0</v>
      </c>
    </row>
    <row r="1443" spans="1:25" x14ac:dyDescent="0.2">
      <c r="A1443" t="s">
        <v>5380</v>
      </c>
      <c r="B1443" t="s">
        <v>5381</v>
      </c>
      <c r="C1443" t="s">
        <v>5382</v>
      </c>
      <c r="D1443" t="s">
        <v>5383</v>
      </c>
      <c r="E1443" t="s">
        <v>5381</v>
      </c>
      <c r="F1443" t="s">
        <v>28</v>
      </c>
      <c r="G1443" t="s">
        <v>5381</v>
      </c>
      <c r="H1443" t="str">
        <f>"ZK686.3"</f>
        <v>ZK686.3</v>
      </c>
      <c r="I1443" t="s">
        <v>5383</v>
      </c>
      <c r="J1443">
        <v>14.6788911677958</v>
      </c>
      <c r="K1443">
        <v>14.4244151977441</v>
      </c>
      <c r="L1443">
        <v>14.9113589654265</v>
      </c>
      <c r="M1443">
        <v>14.6748531322443</v>
      </c>
      <c r="N1443">
        <v>15.4342157709874</v>
      </c>
      <c r="O1443">
        <v>15.1693122365867</v>
      </c>
      <c r="P1443">
        <v>0.42123860295070198</v>
      </c>
      <c r="Q1443">
        <v>-0.13455805518904301</v>
      </c>
      <c r="R1443">
        <v>0.97703526109044703</v>
      </c>
      <c r="S1443">
        <v>14.8429074222325</v>
      </c>
      <c r="T1443">
        <v>1.5929595420846501</v>
      </c>
      <c r="U1443">
        <v>-5.9114865394355904</v>
      </c>
      <c r="V1443">
        <v>0.12867879176404601</v>
      </c>
      <c r="W1443">
        <v>0.261709040254412</v>
      </c>
      <c r="X1443">
        <v>0</v>
      </c>
      <c r="Y1443">
        <v>0</v>
      </c>
    </row>
    <row r="1444" spans="1:25" x14ac:dyDescent="0.2">
      <c r="A1444" t="s">
        <v>5384</v>
      </c>
      <c r="B1444" t="s">
        <v>5385</v>
      </c>
      <c r="C1444" t="s">
        <v>5386</v>
      </c>
      <c r="D1444" t="s">
        <v>5387</v>
      </c>
      <c r="E1444" t="s">
        <v>5385</v>
      </c>
      <c r="F1444" t="s">
        <v>28</v>
      </c>
      <c r="G1444" t="s">
        <v>5385</v>
      </c>
      <c r="H1444" t="str">
        <f>"ZK688.5"</f>
        <v>ZK688.5</v>
      </c>
      <c r="I1444" t="s">
        <v>5387</v>
      </c>
      <c r="J1444">
        <v>11.9766867037461</v>
      </c>
      <c r="K1444">
        <v>12.1525892035366</v>
      </c>
      <c r="L1444">
        <v>11.9404951545544</v>
      </c>
      <c r="M1444" t="s">
        <v>29</v>
      </c>
      <c r="N1444" t="s">
        <v>29</v>
      </c>
      <c r="O1444">
        <v>10.469792825849799</v>
      </c>
      <c r="P1444">
        <v>-1.55346419476261</v>
      </c>
      <c r="Q1444">
        <v>-2.2102055471228299</v>
      </c>
      <c r="R1444">
        <v>-0.89672284240239497</v>
      </c>
      <c r="S1444">
        <v>12.2737027584713</v>
      </c>
      <c r="T1444">
        <v>-5.0448527061702304</v>
      </c>
      <c r="U1444">
        <v>0.94728529494015001</v>
      </c>
      <c r="V1444">
        <v>1.483197714921E-4</v>
      </c>
      <c r="W1444">
        <v>2.31157893686994E-3</v>
      </c>
      <c r="X1444">
        <v>-1</v>
      </c>
      <c r="Y1444">
        <v>-1</v>
      </c>
    </row>
    <row r="1445" spans="1:25" x14ac:dyDescent="0.2">
      <c r="A1445" t="s">
        <v>5388</v>
      </c>
      <c r="B1445" t="s">
        <v>5389</v>
      </c>
      <c r="C1445" t="s">
        <v>5390</v>
      </c>
      <c r="D1445" t="s">
        <v>5391</v>
      </c>
      <c r="E1445" t="s">
        <v>5389</v>
      </c>
      <c r="F1445" t="s">
        <v>28</v>
      </c>
      <c r="G1445" t="s">
        <v>5389</v>
      </c>
      <c r="H1445" t="str">
        <f>"gly-3"</f>
        <v>gly-3</v>
      </c>
      <c r="I1445" t="s">
        <v>5391</v>
      </c>
      <c r="J1445">
        <v>12.474902891052199</v>
      </c>
      <c r="K1445">
        <v>12.681404287923501</v>
      </c>
      <c r="L1445">
        <v>12.789250158690299</v>
      </c>
      <c r="M1445" t="s">
        <v>29</v>
      </c>
      <c r="N1445" t="s">
        <v>29</v>
      </c>
      <c r="O1445">
        <v>12.461842902326801</v>
      </c>
      <c r="P1445">
        <v>-0.186676210228537</v>
      </c>
      <c r="Q1445">
        <v>-0.87551096030183095</v>
      </c>
      <c r="R1445">
        <v>0.502158539844757</v>
      </c>
      <c r="S1445">
        <v>12.302567413440499</v>
      </c>
      <c r="T1445">
        <v>-0.57798362338642895</v>
      </c>
      <c r="U1445">
        <v>-6.6385360736543904</v>
      </c>
      <c r="V1445">
        <v>0.57191041313436797</v>
      </c>
      <c r="W1445">
        <v>0.71144786302532004</v>
      </c>
      <c r="X1445">
        <v>0</v>
      </c>
      <c r="Y1445">
        <v>0</v>
      </c>
    </row>
    <row r="1446" spans="1:25" x14ac:dyDescent="0.2">
      <c r="A1446" t="s">
        <v>5392</v>
      </c>
      <c r="B1446" t="s">
        <v>5393</v>
      </c>
      <c r="C1446" t="s">
        <v>5394</v>
      </c>
      <c r="D1446" t="s">
        <v>5395</v>
      </c>
      <c r="E1446" t="s">
        <v>5393</v>
      </c>
      <c r="F1446" t="s">
        <v>28</v>
      </c>
      <c r="G1446" t="s">
        <v>5393</v>
      </c>
      <c r="H1446" t="str">
        <f>"cap-1"</f>
        <v>cap-1</v>
      </c>
      <c r="I1446" t="s">
        <v>5395</v>
      </c>
      <c r="J1446" t="s">
        <v>29</v>
      </c>
      <c r="K1446" t="s">
        <v>29</v>
      </c>
      <c r="L1446" t="s">
        <v>29</v>
      </c>
      <c r="M1446" t="s">
        <v>29</v>
      </c>
      <c r="N1446" t="s">
        <v>29</v>
      </c>
      <c r="O1446">
        <v>14.204431614813799</v>
      </c>
      <c r="P1446" t="s">
        <v>29</v>
      </c>
      <c r="Q1446" t="s">
        <v>29</v>
      </c>
      <c r="R1446" t="s">
        <v>29</v>
      </c>
      <c r="S1446">
        <v>12.7230443166992</v>
      </c>
      <c r="T1446" t="s">
        <v>29</v>
      </c>
      <c r="U1446" t="s">
        <v>29</v>
      </c>
      <c r="V1446" t="s">
        <v>29</v>
      </c>
      <c r="W1446" t="s">
        <v>29</v>
      </c>
      <c r="X1446" t="s">
        <v>29</v>
      </c>
      <c r="Y1446" t="s">
        <v>29</v>
      </c>
    </row>
    <row r="1447" spans="1:25" x14ac:dyDescent="0.2">
      <c r="A1447" t="s">
        <v>5396</v>
      </c>
      <c r="B1447" t="s">
        <v>5397</v>
      </c>
      <c r="C1447" t="s">
        <v>5398</v>
      </c>
      <c r="D1447" t="s">
        <v>5399</v>
      </c>
      <c r="E1447" t="s">
        <v>5397</v>
      </c>
      <c r="F1447" t="s">
        <v>28</v>
      </c>
      <c r="G1447" t="s">
        <v>5397</v>
      </c>
      <c r="H1447" t="str">
        <f>"cap-2"</f>
        <v>cap-2</v>
      </c>
      <c r="I1447" t="s">
        <v>5399</v>
      </c>
      <c r="J1447">
        <v>12.130570048104699</v>
      </c>
      <c r="K1447">
        <v>11.972404075172999</v>
      </c>
      <c r="L1447">
        <v>12.278055350509799</v>
      </c>
      <c r="M1447">
        <v>12.9650173175928</v>
      </c>
      <c r="N1447">
        <v>12.8369279284176</v>
      </c>
      <c r="O1447">
        <v>13.1418641403731</v>
      </c>
      <c r="P1447">
        <v>0.85425997086537098</v>
      </c>
      <c r="Q1447">
        <v>0.30055571655456798</v>
      </c>
      <c r="R1447">
        <v>1.4079642251761699</v>
      </c>
      <c r="S1447">
        <v>12.579746409443599</v>
      </c>
      <c r="T1447">
        <v>3.2426846022670501</v>
      </c>
      <c r="U1447">
        <v>-2.8225150560048999</v>
      </c>
      <c r="V1447">
        <v>4.5440945837402803E-3</v>
      </c>
      <c r="W1447">
        <v>2.6570330829925801E-2</v>
      </c>
      <c r="X1447">
        <v>0</v>
      </c>
      <c r="Y1447">
        <v>0</v>
      </c>
    </row>
    <row r="1448" spans="1:25" x14ac:dyDescent="0.2">
      <c r="A1448" t="s">
        <v>5400</v>
      </c>
      <c r="B1448" t="s">
        <v>5401</v>
      </c>
      <c r="C1448" t="s">
        <v>5402</v>
      </c>
      <c r="D1448" t="s">
        <v>5403</v>
      </c>
      <c r="E1448" t="s">
        <v>5401</v>
      </c>
      <c r="F1448" t="s">
        <v>28</v>
      </c>
      <c r="G1448" t="s">
        <v>5401</v>
      </c>
      <c r="H1448" t="str">
        <f>"glh-1"</f>
        <v>glh-1</v>
      </c>
      <c r="I1448" t="s">
        <v>5403</v>
      </c>
      <c r="J1448">
        <v>17.125136152379</v>
      </c>
      <c r="K1448">
        <v>16.668558976045102</v>
      </c>
      <c r="L1448">
        <v>17.138788059697202</v>
      </c>
      <c r="M1448">
        <v>16.3220032390775</v>
      </c>
      <c r="N1448">
        <v>16.9162393328698</v>
      </c>
      <c r="O1448">
        <v>16.518253106066499</v>
      </c>
      <c r="P1448">
        <v>-0.39199583670253801</v>
      </c>
      <c r="Q1448">
        <v>-1.0917109602068</v>
      </c>
      <c r="R1448">
        <v>0.307719286801724</v>
      </c>
      <c r="S1448">
        <v>17.647209853199399</v>
      </c>
      <c r="T1448">
        <v>-1.1774777434268999</v>
      </c>
      <c r="U1448">
        <v>-6.45567039737311</v>
      </c>
      <c r="V1448">
        <v>0.25442834246789903</v>
      </c>
      <c r="W1448">
        <v>0.42203609398910802</v>
      </c>
      <c r="X1448">
        <v>0</v>
      </c>
      <c r="Y1448">
        <v>0</v>
      </c>
    </row>
    <row r="1449" spans="1:25" x14ac:dyDescent="0.2">
      <c r="A1449" t="s">
        <v>5404</v>
      </c>
      <c r="B1449" t="s">
        <v>5405</v>
      </c>
      <c r="C1449" t="s">
        <v>5406</v>
      </c>
      <c r="D1449" t="s">
        <v>5407</v>
      </c>
      <c r="E1449" t="s">
        <v>5405</v>
      </c>
      <c r="F1449" t="s">
        <v>28</v>
      </c>
      <c r="G1449" t="s">
        <v>5405</v>
      </c>
      <c r="H1449" t="str">
        <f>"tba-2"</f>
        <v>tba-2</v>
      </c>
      <c r="I1449" t="s">
        <v>5407</v>
      </c>
      <c r="J1449">
        <v>16.5215059980546</v>
      </c>
      <c r="K1449">
        <v>16.512687001854601</v>
      </c>
      <c r="L1449">
        <v>16.440364138264101</v>
      </c>
      <c r="M1449">
        <v>16.519622762811998</v>
      </c>
      <c r="N1449">
        <v>16.398228017053501</v>
      </c>
      <c r="O1449">
        <v>16.190840673751602</v>
      </c>
      <c r="P1449">
        <v>-0.121955228185385</v>
      </c>
      <c r="Q1449">
        <v>-0.50731074372635798</v>
      </c>
      <c r="R1449">
        <v>0.26340028735558801</v>
      </c>
      <c r="S1449">
        <v>16.325637696001898</v>
      </c>
      <c r="T1449">
        <v>-0.66516801373364798</v>
      </c>
      <c r="U1449">
        <v>-6.9269489968058604</v>
      </c>
      <c r="V1449">
        <v>0.51442522971436999</v>
      </c>
      <c r="W1449">
        <v>0.66784632245297304</v>
      </c>
      <c r="X1449">
        <v>0</v>
      </c>
      <c r="Y1449">
        <v>0</v>
      </c>
    </row>
    <row r="1450" spans="1:25" x14ac:dyDescent="0.2">
      <c r="A1450" t="s">
        <v>5408</v>
      </c>
      <c r="B1450" t="s">
        <v>5409</v>
      </c>
      <c r="C1450" t="s">
        <v>5410</v>
      </c>
      <c r="D1450" t="s">
        <v>5411</v>
      </c>
      <c r="E1450" t="s">
        <v>5409</v>
      </c>
      <c r="F1450" t="s">
        <v>28</v>
      </c>
      <c r="G1450" t="s">
        <v>5409</v>
      </c>
      <c r="H1450" t="str">
        <f>"T01G9.2"</f>
        <v>T01G9.2</v>
      </c>
      <c r="I1450" t="s">
        <v>5411</v>
      </c>
      <c r="J1450">
        <v>11.4297831056051</v>
      </c>
      <c r="K1450" t="s">
        <v>29</v>
      </c>
      <c r="L1450">
        <v>11.736906389936999</v>
      </c>
      <c r="M1450" t="s">
        <v>29</v>
      </c>
      <c r="N1450">
        <v>12.1926136824586</v>
      </c>
      <c r="O1450">
        <v>12.743293464037199</v>
      </c>
      <c r="P1450">
        <v>0.88460882547687802</v>
      </c>
      <c r="Q1450">
        <v>-0.15009548791645899</v>
      </c>
      <c r="R1450">
        <v>1.91931313887021</v>
      </c>
      <c r="S1450">
        <v>11.781597187713301</v>
      </c>
      <c r="T1450">
        <v>1.83496126569289</v>
      </c>
      <c r="U1450">
        <v>-5.35514836826375</v>
      </c>
      <c r="V1450">
        <v>8.8006439902800895E-2</v>
      </c>
      <c r="W1450">
        <v>0.19919737203806001</v>
      </c>
      <c r="X1450">
        <v>0</v>
      </c>
      <c r="Y1450">
        <v>0</v>
      </c>
    </row>
    <row r="1451" spans="1:25" x14ac:dyDescent="0.2">
      <c r="A1451" t="s">
        <v>5412</v>
      </c>
      <c r="B1451" t="s">
        <v>5413</v>
      </c>
      <c r="C1451" t="s">
        <v>5414</v>
      </c>
      <c r="D1451" t="s">
        <v>5415</v>
      </c>
      <c r="E1451" t="s">
        <v>5413</v>
      </c>
      <c r="F1451" t="s">
        <v>28</v>
      </c>
      <c r="G1451" t="s">
        <v>5413</v>
      </c>
      <c r="H1451" t="str">
        <f>"hsp-16.11"</f>
        <v>hsp-16.11</v>
      </c>
      <c r="I1451" t="s">
        <v>5415</v>
      </c>
      <c r="J1451">
        <v>17.097010548011099</v>
      </c>
      <c r="K1451">
        <v>17.099342514273999</v>
      </c>
      <c r="L1451">
        <v>16.864731999881499</v>
      </c>
      <c r="M1451">
        <v>14.2206465291952</v>
      </c>
      <c r="N1451">
        <v>14.8533813780068</v>
      </c>
      <c r="O1451">
        <v>14.605072604345599</v>
      </c>
      <c r="P1451">
        <v>-2.4606615168729999</v>
      </c>
      <c r="Q1451">
        <v>-3.39067907765856</v>
      </c>
      <c r="R1451">
        <v>-1.5306439560874501</v>
      </c>
      <c r="S1451">
        <v>14.478980771689899</v>
      </c>
      <c r="T1451">
        <v>-5.5610044333813899</v>
      </c>
      <c r="U1451">
        <v>2.22851353708079</v>
      </c>
      <c r="V1451" s="2">
        <v>2.86324547639176E-5</v>
      </c>
      <c r="W1451">
        <v>6.5921753272863402E-4</v>
      </c>
      <c r="X1451">
        <v>-1</v>
      </c>
      <c r="Y1451">
        <v>-1</v>
      </c>
    </row>
    <row r="1452" spans="1:25" x14ac:dyDescent="0.2">
      <c r="A1452" t="s">
        <v>5416</v>
      </c>
      <c r="B1452" t="s">
        <v>5417</v>
      </c>
      <c r="C1452" t="s">
        <v>5418</v>
      </c>
      <c r="D1452" t="s">
        <v>5419</v>
      </c>
      <c r="E1452" t="s">
        <v>5417</v>
      </c>
      <c r="F1452" t="s">
        <v>28</v>
      </c>
      <c r="G1452" t="s">
        <v>5417</v>
      </c>
      <c r="H1452" t="str">
        <f>"emb-5"</f>
        <v>emb-5</v>
      </c>
      <c r="I1452" t="s">
        <v>5419</v>
      </c>
      <c r="J1452">
        <v>13.434834057309301</v>
      </c>
      <c r="K1452">
        <v>13.410018770041599</v>
      </c>
      <c r="L1452">
        <v>13.156916122154099</v>
      </c>
      <c r="M1452" t="s">
        <v>29</v>
      </c>
      <c r="N1452">
        <v>12.369860300608901</v>
      </c>
      <c r="O1452">
        <v>12.914343329949499</v>
      </c>
      <c r="P1452">
        <v>-0.69182116788910097</v>
      </c>
      <c r="Q1452">
        <v>-1.2057429393944601</v>
      </c>
      <c r="R1452">
        <v>-0.177899396383739</v>
      </c>
      <c r="S1452">
        <v>13.400574647608201</v>
      </c>
      <c r="T1452">
        <v>-2.84149465202711</v>
      </c>
      <c r="U1452">
        <v>-3.58215438867032</v>
      </c>
      <c r="V1452">
        <v>1.13253453574417E-2</v>
      </c>
      <c r="W1452">
        <v>4.95232633494989E-2</v>
      </c>
      <c r="X1452">
        <v>0</v>
      </c>
      <c r="Y1452">
        <v>0</v>
      </c>
    </row>
    <row r="1453" spans="1:25" x14ac:dyDescent="0.2">
      <c r="A1453" t="s">
        <v>5420</v>
      </c>
      <c r="B1453" t="s">
        <v>5421</v>
      </c>
      <c r="C1453" t="s">
        <v>5422</v>
      </c>
      <c r="D1453" t="s">
        <v>5423</v>
      </c>
      <c r="E1453" t="s">
        <v>5421</v>
      </c>
      <c r="F1453" t="s">
        <v>28</v>
      </c>
      <c r="G1453" t="s">
        <v>5421</v>
      </c>
      <c r="H1453" t="str">
        <f>"kup-1"</f>
        <v>kup-1</v>
      </c>
      <c r="I1453" t="s">
        <v>5423</v>
      </c>
      <c r="J1453">
        <v>11.5411033204738</v>
      </c>
      <c r="K1453">
        <v>11.5268668477172</v>
      </c>
      <c r="L1453">
        <v>10.8321448707123</v>
      </c>
      <c r="M1453" t="s">
        <v>29</v>
      </c>
      <c r="N1453" t="s">
        <v>29</v>
      </c>
      <c r="O1453">
        <v>11.9169160884276</v>
      </c>
      <c r="P1453">
        <v>0.61687774212651203</v>
      </c>
      <c r="Q1453">
        <v>-0.59091650260381001</v>
      </c>
      <c r="R1453">
        <v>1.82467198685683</v>
      </c>
      <c r="S1453">
        <v>11.878005104496101</v>
      </c>
      <c r="T1453">
        <v>1.0893006193308099</v>
      </c>
      <c r="U1453">
        <v>-6.2110362602529303</v>
      </c>
      <c r="V1453">
        <v>0.29333180321305402</v>
      </c>
      <c r="W1453">
        <v>0.46128539171230998</v>
      </c>
      <c r="X1453">
        <v>0</v>
      </c>
      <c r="Y1453">
        <v>0</v>
      </c>
    </row>
    <row r="1454" spans="1:25" x14ac:dyDescent="0.2">
      <c r="A1454" t="s">
        <v>5424</v>
      </c>
      <c r="B1454" t="s">
        <v>5425</v>
      </c>
      <c r="C1454" t="s">
        <v>5426</v>
      </c>
      <c r="D1454" t="s">
        <v>5427</v>
      </c>
      <c r="E1454" t="s">
        <v>5425</v>
      </c>
      <c r="F1454" t="s">
        <v>28</v>
      </c>
      <c r="G1454" t="s">
        <v>5425</v>
      </c>
      <c r="H1454" t="str">
        <f>"pgp-1"</f>
        <v>pgp-1</v>
      </c>
      <c r="I1454" t="s">
        <v>5427</v>
      </c>
      <c r="J1454">
        <v>13.7252290720667</v>
      </c>
      <c r="K1454">
        <v>13.515850861082299</v>
      </c>
      <c r="L1454">
        <v>13.259197634420801</v>
      </c>
      <c r="M1454">
        <v>13.3621402968719</v>
      </c>
      <c r="N1454">
        <v>12.477920388725</v>
      </c>
      <c r="O1454">
        <v>12.7242041105651</v>
      </c>
      <c r="P1454">
        <v>-0.645337590469239</v>
      </c>
      <c r="Q1454">
        <v>-1.2828891983456501</v>
      </c>
      <c r="R1454">
        <v>-7.7859825928305896E-3</v>
      </c>
      <c r="S1454">
        <v>12.831798426188699</v>
      </c>
      <c r="T1454">
        <v>-2.12747336192434</v>
      </c>
      <c r="U1454">
        <v>-5.0402860375388103</v>
      </c>
      <c r="V1454">
        <v>4.7544628997067802E-2</v>
      </c>
      <c r="W1454">
        <v>0.13168611057740501</v>
      </c>
      <c r="X1454">
        <v>0</v>
      </c>
      <c r="Y1454">
        <v>0</v>
      </c>
    </row>
    <row r="1455" spans="1:25" x14ac:dyDescent="0.2">
      <c r="A1455" t="s">
        <v>5428</v>
      </c>
      <c r="B1455" t="s">
        <v>5429</v>
      </c>
      <c r="C1455" t="s">
        <v>5430</v>
      </c>
      <c r="D1455" t="s">
        <v>5431</v>
      </c>
      <c r="E1455" t="s">
        <v>5429</v>
      </c>
      <c r="F1455" t="s">
        <v>28</v>
      </c>
      <c r="G1455" t="s">
        <v>5429</v>
      </c>
      <c r="H1455" t="str">
        <f>"tpa-1"</f>
        <v>tpa-1</v>
      </c>
      <c r="I1455" t="s">
        <v>5431</v>
      </c>
      <c r="J1455">
        <v>13.212600033161999</v>
      </c>
      <c r="K1455">
        <v>13.4127089736167</v>
      </c>
      <c r="L1455">
        <v>13.113645098381101</v>
      </c>
      <c r="M1455" t="s">
        <v>29</v>
      </c>
      <c r="N1455">
        <v>14.2732857488354</v>
      </c>
      <c r="O1455">
        <v>14.091964327002399</v>
      </c>
      <c r="P1455">
        <v>0.93630700286558999</v>
      </c>
      <c r="Q1455">
        <v>0.51656129374302795</v>
      </c>
      <c r="R1455">
        <v>1.35605271198815</v>
      </c>
      <c r="S1455">
        <v>13.5014284517526</v>
      </c>
      <c r="T1455">
        <v>4.7084939801965602</v>
      </c>
      <c r="U1455">
        <v>0.36744537903847002</v>
      </c>
      <c r="V1455">
        <v>2.05755990624301E-4</v>
      </c>
      <c r="W1455">
        <v>2.9124440742554999E-3</v>
      </c>
      <c r="X1455">
        <v>0</v>
      </c>
      <c r="Y1455">
        <v>0</v>
      </c>
    </row>
    <row r="1456" spans="1:25" x14ac:dyDescent="0.2">
      <c r="A1456" t="s">
        <v>5432</v>
      </c>
      <c r="B1456" t="s">
        <v>5433</v>
      </c>
      <c r="C1456" t="s">
        <v>5434</v>
      </c>
      <c r="D1456" t="s">
        <v>5435</v>
      </c>
      <c r="E1456" t="s">
        <v>5433</v>
      </c>
      <c r="F1456" t="s">
        <v>28</v>
      </c>
      <c r="G1456" t="s">
        <v>5433</v>
      </c>
      <c r="H1456" t="str">
        <f>"mei-1"</f>
        <v>mei-1</v>
      </c>
      <c r="I1456" t="s">
        <v>5435</v>
      </c>
      <c r="J1456">
        <v>12.1050061900135</v>
      </c>
      <c r="K1456" t="s">
        <v>29</v>
      </c>
      <c r="L1456">
        <v>11.6919421675485</v>
      </c>
      <c r="M1456" t="s">
        <v>29</v>
      </c>
      <c r="N1456" t="s">
        <v>29</v>
      </c>
      <c r="O1456" t="s">
        <v>29</v>
      </c>
      <c r="P1456" t="s">
        <v>29</v>
      </c>
      <c r="Q1456" t="s">
        <v>29</v>
      </c>
      <c r="R1456" t="s">
        <v>29</v>
      </c>
      <c r="S1456">
        <v>12.942185242361299</v>
      </c>
      <c r="T1456" t="s">
        <v>29</v>
      </c>
      <c r="U1456" t="s">
        <v>29</v>
      </c>
      <c r="V1456" t="s">
        <v>29</v>
      </c>
      <c r="W1456" t="s">
        <v>29</v>
      </c>
      <c r="X1456" t="s">
        <v>29</v>
      </c>
      <c r="Y1456" t="s">
        <v>29</v>
      </c>
    </row>
    <row r="1457" spans="1:25" x14ac:dyDescent="0.2">
      <c r="A1457" t="s">
        <v>5436</v>
      </c>
      <c r="B1457" t="s">
        <v>5437</v>
      </c>
      <c r="C1457" t="s">
        <v>5438</v>
      </c>
      <c r="D1457" t="s">
        <v>5439</v>
      </c>
      <c r="E1457" t="s">
        <v>5437</v>
      </c>
      <c r="F1457" t="s">
        <v>28</v>
      </c>
      <c r="G1457" t="s">
        <v>5437</v>
      </c>
      <c r="H1457" t="str">
        <f>"unc-18"</f>
        <v>unc-18</v>
      </c>
      <c r="I1457" t="s">
        <v>5439</v>
      </c>
      <c r="J1457">
        <v>14.5406045842605</v>
      </c>
      <c r="K1457">
        <v>14.4679218406333</v>
      </c>
      <c r="L1457">
        <v>14.368004542773299</v>
      </c>
      <c r="M1457">
        <v>14.6390080173329</v>
      </c>
      <c r="N1457">
        <v>14.6721604064948</v>
      </c>
      <c r="O1457">
        <v>14.586497052357</v>
      </c>
      <c r="P1457">
        <v>0.173711502839167</v>
      </c>
      <c r="Q1457">
        <v>-0.13834027018064801</v>
      </c>
      <c r="R1457">
        <v>0.48576327585898099</v>
      </c>
      <c r="S1457">
        <v>14.946529143150499</v>
      </c>
      <c r="T1457">
        <v>1.1700230999769901</v>
      </c>
      <c r="U1457">
        <v>-6.4641937543206298</v>
      </c>
      <c r="V1457">
        <v>0.25733901524164798</v>
      </c>
      <c r="W1457">
        <v>0.424465429706334</v>
      </c>
      <c r="X1457">
        <v>0</v>
      </c>
      <c r="Y1457">
        <v>0</v>
      </c>
    </row>
    <row r="1458" spans="1:25" x14ac:dyDescent="0.2">
      <c r="A1458" t="s">
        <v>5440</v>
      </c>
      <c r="B1458" t="s">
        <v>5441</v>
      </c>
      <c r="C1458" t="s">
        <v>5442</v>
      </c>
      <c r="D1458" t="s">
        <v>5443</v>
      </c>
      <c r="E1458" t="s">
        <v>5441</v>
      </c>
      <c r="F1458" t="s">
        <v>28</v>
      </c>
      <c r="G1458" t="s">
        <v>5441</v>
      </c>
      <c r="H1458" t="str">
        <f>"pkc-1"</f>
        <v>pkc-1</v>
      </c>
      <c r="I1458" t="s">
        <v>5443</v>
      </c>
      <c r="J1458">
        <v>14.935817283471399</v>
      </c>
      <c r="K1458">
        <v>14.9286548400479</v>
      </c>
      <c r="L1458">
        <v>14.761866448974599</v>
      </c>
      <c r="M1458">
        <v>15.0234862550772</v>
      </c>
      <c r="N1458">
        <v>14.718474842028799</v>
      </c>
      <c r="O1458">
        <v>14.6819878823894</v>
      </c>
      <c r="P1458">
        <v>-6.7463197666194602E-2</v>
      </c>
      <c r="Q1458">
        <v>-0.443809122172455</v>
      </c>
      <c r="R1458">
        <v>0.30888272684006601</v>
      </c>
      <c r="S1458">
        <v>14.600914912638901</v>
      </c>
      <c r="T1458">
        <v>-0.37676644563825801</v>
      </c>
      <c r="U1458">
        <v>-7.0821018231547397</v>
      </c>
      <c r="V1458">
        <v>0.71077755083819905</v>
      </c>
      <c r="W1458">
        <v>0.812348134841412</v>
      </c>
      <c r="X1458">
        <v>0</v>
      </c>
      <c r="Y1458">
        <v>0</v>
      </c>
    </row>
    <row r="1459" spans="1:25" x14ac:dyDescent="0.2">
      <c r="A1459" t="s">
        <v>5444</v>
      </c>
      <c r="B1459" t="s">
        <v>5445</v>
      </c>
      <c r="C1459" t="s">
        <v>5446</v>
      </c>
      <c r="D1459" t="s">
        <v>5447</v>
      </c>
      <c r="E1459" t="s">
        <v>5445</v>
      </c>
      <c r="F1459" t="s">
        <v>28</v>
      </c>
      <c r="G1459" t="s">
        <v>5445</v>
      </c>
      <c r="H1459" t="str">
        <f>"let-70"</f>
        <v>let-70</v>
      </c>
      <c r="I1459" t="s">
        <v>5447</v>
      </c>
      <c r="J1459">
        <v>16.3843894297509</v>
      </c>
      <c r="K1459">
        <v>16.340438243762399</v>
      </c>
      <c r="L1459">
        <v>16.047327920448499</v>
      </c>
      <c r="M1459">
        <v>15.0037705871906</v>
      </c>
      <c r="N1459">
        <v>15.1570888059677</v>
      </c>
      <c r="O1459">
        <v>14.4897551739543</v>
      </c>
      <c r="P1459">
        <v>-1.3738470089497099</v>
      </c>
      <c r="Q1459">
        <v>-2.0032553318267201</v>
      </c>
      <c r="R1459">
        <v>-0.74443868607269803</v>
      </c>
      <c r="S1459">
        <v>15.5245237465484</v>
      </c>
      <c r="T1459">
        <v>-4.5877358487178697</v>
      </c>
      <c r="U1459">
        <v>0.123689072027203</v>
      </c>
      <c r="V1459">
        <v>2.31522828345788E-4</v>
      </c>
      <c r="W1459">
        <v>3.12884497297175E-3</v>
      </c>
      <c r="X1459">
        <v>-1</v>
      </c>
      <c r="Y1459">
        <v>-1</v>
      </c>
    </row>
    <row r="1460" spans="1:25" x14ac:dyDescent="0.2">
      <c r="A1460" t="s">
        <v>5448</v>
      </c>
      <c r="B1460" t="s">
        <v>5449</v>
      </c>
      <c r="C1460" t="s">
        <v>5450</v>
      </c>
      <c r="D1460" t="s">
        <v>5451</v>
      </c>
      <c r="E1460" t="s">
        <v>5449</v>
      </c>
      <c r="F1460" t="s">
        <v>28</v>
      </c>
      <c r="G1460" t="s">
        <v>5449</v>
      </c>
      <c r="H1460" t="str">
        <f>"unc-101"</f>
        <v>unc-101</v>
      </c>
      <c r="I1460" t="s">
        <v>5451</v>
      </c>
      <c r="J1460">
        <v>14.7424268263588</v>
      </c>
      <c r="K1460">
        <v>14.8784369302172</v>
      </c>
      <c r="L1460">
        <v>14.777148700716999</v>
      </c>
      <c r="M1460">
        <v>13.298561998538499</v>
      </c>
      <c r="N1460">
        <v>14.1736451121907</v>
      </c>
      <c r="O1460">
        <v>14.617455846662001</v>
      </c>
      <c r="P1460">
        <v>-0.76944983330059102</v>
      </c>
      <c r="Q1460">
        <v>-1.2970966885208901</v>
      </c>
      <c r="R1460">
        <v>-0.241802978080288</v>
      </c>
      <c r="S1460">
        <v>14.541526116825199</v>
      </c>
      <c r="T1460">
        <v>-3.0649928727786402</v>
      </c>
      <c r="U1460">
        <v>-3.19927046732874</v>
      </c>
      <c r="V1460">
        <v>6.7041493707272201E-3</v>
      </c>
      <c r="W1460">
        <v>3.4336940650086502E-2</v>
      </c>
      <c r="X1460">
        <v>0</v>
      </c>
      <c r="Y1460">
        <v>0</v>
      </c>
    </row>
    <row r="1461" spans="1:25" x14ac:dyDescent="0.2">
      <c r="A1461" t="s">
        <v>5452</v>
      </c>
      <c r="B1461" t="s">
        <v>5453</v>
      </c>
      <c r="C1461" t="s">
        <v>5454</v>
      </c>
      <c r="D1461" t="s">
        <v>5455</v>
      </c>
      <c r="E1461" t="s">
        <v>5453</v>
      </c>
      <c r="F1461" t="s">
        <v>28</v>
      </c>
      <c r="G1461" t="s">
        <v>5453</v>
      </c>
      <c r="H1461" t="str">
        <f>"dpy-23"</f>
        <v>dpy-23</v>
      </c>
      <c r="I1461" t="s">
        <v>5455</v>
      </c>
      <c r="J1461">
        <v>15.542352817323501</v>
      </c>
      <c r="K1461">
        <v>15.601496462697099</v>
      </c>
      <c r="L1461">
        <v>15.6866365550382</v>
      </c>
      <c r="M1461">
        <v>15.005253190484201</v>
      </c>
      <c r="N1461">
        <v>15.5206741259223</v>
      </c>
      <c r="O1461">
        <v>15.181436514824499</v>
      </c>
      <c r="P1461">
        <v>-0.374374001275873</v>
      </c>
      <c r="Q1461">
        <v>-0.70966709642006698</v>
      </c>
      <c r="R1461">
        <v>-3.90809061316797E-2</v>
      </c>
      <c r="S1461">
        <v>15.5962695584185</v>
      </c>
      <c r="T1461">
        <v>-2.34678651717075</v>
      </c>
      <c r="U1461">
        <v>-4.6386904024944302</v>
      </c>
      <c r="V1461">
        <v>3.06528212156464E-2</v>
      </c>
      <c r="W1461">
        <v>9.77639222105086E-2</v>
      </c>
      <c r="X1461">
        <v>0</v>
      </c>
      <c r="Y1461">
        <v>0</v>
      </c>
    </row>
    <row r="1462" spans="1:25" x14ac:dyDescent="0.2">
      <c r="A1462" t="s">
        <v>5456</v>
      </c>
      <c r="B1462" t="s">
        <v>5457</v>
      </c>
      <c r="C1462" t="s">
        <v>5458</v>
      </c>
      <c r="D1462" t="s">
        <v>5459</v>
      </c>
      <c r="E1462" t="s">
        <v>5457</v>
      </c>
      <c r="F1462" t="s">
        <v>28</v>
      </c>
      <c r="G1462" t="s">
        <v>5457</v>
      </c>
      <c r="H1462" t="str">
        <f>"dpy-10"</f>
        <v>dpy-10</v>
      </c>
      <c r="I1462" t="s">
        <v>5459</v>
      </c>
      <c r="J1462">
        <v>11.3311051831511</v>
      </c>
      <c r="K1462">
        <v>10.7540497081488</v>
      </c>
      <c r="L1462" t="s">
        <v>29</v>
      </c>
      <c r="M1462">
        <v>13.3250548941989</v>
      </c>
      <c r="N1462" t="s">
        <v>29</v>
      </c>
      <c r="O1462">
        <v>12.1477242911857</v>
      </c>
      <c r="P1462">
        <v>1.69381214704234</v>
      </c>
      <c r="Q1462">
        <v>0.34329619990088001</v>
      </c>
      <c r="R1462">
        <v>3.0443280941837898</v>
      </c>
      <c r="S1462">
        <v>11.5202718287037</v>
      </c>
      <c r="T1462">
        <v>2.9748771812188401</v>
      </c>
      <c r="U1462">
        <v>-3.74044321496973</v>
      </c>
      <c r="V1462">
        <v>2.1031302500926601E-2</v>
      </c>
      <c r="W1462">
        <v>7.6048157632184699E-2</v>
      </c>
      <c r="X1462">
        <v>1</v>
      </c>
      <c r="Y1462">
        <v>0</v>
      </c>
    </row>
    <row r="1463" spans="1:25" x14ac:dyDescent="0.2">
      <c r="A1463" t="s">
        <v>5460</v>
      </c>
      <c r="B1463" t="s">
        <v>5461</v>
      </c>
      <c r="C1463" t="s">
        <v>5462</v>
      </c>
      <c r="D1463" t="s">
        <v>5463</v>
      </c>
      <c r="E1463" t="s">
        <v>5461</v>
      </c>
      <c r="F1463" t="s">
        <v>28</v>
      </c>
      <c r="G1463" t="s">
        <v>5461</v>
      </c>
      <c r="H1463" t="str">
        <f>"lec-1"</f>
        <v>lec-1</v>
      </c>
      <c r="I1463" t="s">
        <v>5463</v>
      </c>
      <c r="J1463">
        <v>12.777948663475399</v>
      </c>
      <c r="K1463">
        <v>12.701584177042699</v>
      </c>
      <c r="L1463">
        <v>13.1993468937816</v>
      </c>
      <c r="M1463">
        <v>15.4743001529131</v>
      </c>
      <c r="N1463">
        <v>13.250437016247799</v>
      </c>
      <c r="O1463">
        <v>13.8906572497404</v>
      </c>
      <c r="P1463">
        <v>1.3121715615339</v>
      </c>
      <c r="Q1463">
        <v>0.29096242590948501</v>
      </c>
      <c r="R1463">
        <v>2.33338069715832</v>
      </c>
      <c r="S1463">
        <v>13.245585672355</v>
      </c>
      <c r="T1463">
        <v>2.7006508645769798</v>
      </c>
      <c r="U1463">
        <v>-3.9494430912438698</v>
      </c>
      <c r="V1463">
        <v>1.46832513763337E-2</v>
      </c>
      <c r="W1463">
        <v>5.9482935017272497E-2</v>
      </c>
      <c r="X1463">
        <v>1</v>
      </c>
      <c r="Y1463">
        <v>0</v>
      </c>
    </row>
    <row r="1464" spans="1:25" x14ac:dyDescent="0.2">
      <c r="A1464" t="s">
        <v>5464</v>
      </c>
      <c r="B1464" t="s">
        <v>5465</v>
      </c>
      <c r="C1464" t="s">
        <v>5466</v>
      </c>
      <c r="D1464" t="s">
        <v>5467</v>
      </c>
      <c r="E1464" t="s">
        <v>5465</v>
      </c>
      <c r="F1464" t="s">
        <v>28</v>
      </c>
      <c r="G1464" t="s">
        <v>5465</v>
      </c>
      <c r="H1464" t="str">
        <f>"ubl-1"</f>
        <v>ubl-1</v>
      </c>
      <c r="I1464" t="s">
        <v>5467</v>
      </c>
      <c r="J1464">
        <v>20.033628292707998</v>
      </c>
      <c r="K1464">
        <v>19.930741747855201</v>
      </c>
      <c r="L1464">
        <v>20.135556291262901</v>
      </c>
      <c r="M1464">
        <v>22.123762531669499</v>
      </c>
      <c r="N1464">
        <v>20.594861839447901</v>
      </c>
      <c r="O1464">
        <v>18.1463089408728</v>
      </c>
      <c r="P1464">
        <v>0.25500232672133499</v>
      </c>
      <c r="Q1464">
        <v>-1.08525842552861</v>
      </c>
      <c r="R1464">
        <v>1.5952630789712801</v>
      </c>
      <c r="S1464">
        <v>19.456148552541801</v>
      </c>
      <c r="T1464">
        <v>0.399896272665273</v>
      </c>
      <c r="U1464">
        <v>-7.0727537197237798</v>
      </c>
      <c r="V1464">
        <v>0.693965956891055</v>
      </c>
      <c r="W1464">
        <v>0.80150428628030901</v>
      </c>
      <c r="X1464">
        <v>0</v>
      </c>
      <c r="Y1464">
        <v>0</v>
      </c>
    </row>
    <row r="1465" spans="1:25" x14ac:dyDescent="0.2">
      <c r="A1465" t="s">
        <v>5468</v>
      </c>
      <c r="B1465" t="s">
        <v>5469</v>
      </c>
      <c r="C1465" t="s">
        <v>5470</v>
      </c>
      <c r="D1465" t="s">
        <v>5471</v>
      </c>
      <c r="E1465" t="s">
        <v>5469</v>
      </c>
      <c r="F1465" t="s">
        <v>28</v>
      </c>
      <c r="G1465" t="s">
        <v>5469</v>
      </c>
      <c r="H1465" t="str">
        <f>"unc-87"</f>
        <v>unc-87</v>
      </c>
      <c r="I1465" t="s">
        <v>5471</v>
      </c>
      <c r="J1465">
        <v>15.382652045119301</v>
      </c>
      <c r="K1465">
        <v>15.5291302044104</v>
      </c>
      <c r="L1465">
        <v>15.9994566501567</v>
      </c>
      <c r="M1465">
        <v>16.249112158840401</v>
      </c>
      <c r="N1465">
        <v>17.045846469807</v>
      </c>
      <c r="O1465">
        <v>16.168444375303199</v>
      </c>
      <c r="P1465">
        <v>0.85072136808805998</v>
      </c>
      <c r="Q1465">
        <v>-3.5817338318164901E-2</v>
      </c>
      <c r="R1465">
        <v>1.7372600744942801</v>
      </c>
      <c r="S1465">
        <v>15.7223979434916</v>
      </c>
      <c r="T1465">
        <v>2.01688972196215</v>
      </c>
      <c r="U1465">
        <v>-5.2339580109283999</v>
      </c>
      <c r="V1465">
        <v>5.8965470370831601E-2</v>
      </c>
      <c r="W1465">
        <v>0.15296764188630299</v>
      </c>
      <c r="X1465">
        <v>0</v>
      </c>
      <c r="Y1465">
        <v>0</v>
      </c>
    </row>
    <row r="1466" spans="1:25" x14ac:dyDescent="0.2">
      <c r="A1466" t="s">
        <v>5472</v>
      </c>
      <c r="B1466" t="s">
        <v>5473</v>
      </c>
      <c r="C1466" t="s">
        <v>5474</v>
      </c>
      <c r="D1466" t="s">
        <v>5475</v>
      </c>
      <c r="E1466" t="s">
        <v>5473</v>
      </c>
      <c r="F1466" t="s">
        <v>28</v>
      </c>
      <c r="G1466" t="s">
        <v>5473</v>
      </c>
      <c r="H1466" t="str">
        <f>"dyn-1"</f>
        <v>dyn-1</v>
      </c>
      <c r="I1466" t="s">
        <v>5475</v>
      </c>
      <c r="J1466">
        <v>15.0805969961134</v>
      </c>
      <c r="K1466">
        <v>15.0355834103287</v>
      </c>
      <c r="L1466">
        <v>15.020117397619799</v>
      </c>
      <c r="M1466">
        <v>15.061838344892699</v>
      </c>
      <c r="N1466">
        <v>15.1483560376127</v>
      </c>
      <c r="O1466">
        <v>15.346162528000299</v>
      </c>
      <c r="P1466">
        <v>0.14001970214797099</v>
      </c>
      <c r="Q1466">
        <v>-0.208748872564852</v>
      </c>
      <c r="R1466">
        <v>0.48878827686079301</v>
      </c>
      <c r="S1466">
        <v>15.075118257473701</v>
      </c>
      <c r="T1466">
        <v>0.84380931642814205</v>
      </c>
      <c r="U1466">
        <v>-6.7899272908938899</v>
      </c>
      <c r="V1466">
        <v>0.409914481249325</v>
      </c>
      <c r="W1466">
        <v>0.57799903169462297</v>
      </c>
      <c r="X1466">
        <v>0</v>
      </c>
      <c r="Y1466">
        <v>0</v>
      </c>
    </row>
    <row r="1467" spans="1:25" x14ac:dyDescent="0.2">
      <c r="A1467" t="s">
        <v>5476</v>
      </c>
      <c r="B1467" t="s">
        <v>5477</v>
      </c>
      <c r="C1467" t="s">
        <v>5478</v>
      </c>
      <c r="D1467" t="s">
        <v>5479</v>
      </c>
      <c r="E1467" t="s">
        <v>5477</v>
      </c>
      <c r="F1467" t="s">
        <v>28</v>
      </c>
      <c r="G1467" t="s">
        <v>5477</v>
      </c>
      <c r="H1467" t="str">
        <f>"F01G4.6"</f>
        <v>F01G4.6</v>
      </c>
      <c r="I1467" t="s">
        <v>5479</v>
      </c>
      <c r="J1467">
        <v>19.847964898876999</v>
      </c>
      <c r="K1467">
        <v>19.663138646677101</v>
      </c>
      <c r="L1467">
        <v>19.789510656817399</v>
      </c>
      <c r="M1467">
        <v>18.9390673169679</v>
      </c>
      <c r="N1467">
        <v>19.4662862477625</v>
      </c>
      <c r="O1467">
        <v>19.442762639486599</v>
      </c>
      <c r="P1467">
        <v>-0.48416599938480298</v>
      </c>
      <c r="Q1467">
        <v>-0.87800070164557198</v>
      </c>
      <c r="R1467">
        <v>-9.0331297124034093E-2</v>
      </c>
      <c r="S1467">
        <v>19.681040171789999</v>
      </c>
      <c r="T1467">
        <v>-2.5838828543366201</v>
      </c>
      <c r="U1467">
        <v>-4.1818311120783003</v>
      </c>
      <c r="V1467">
        <v>1.8781153352371901E-2</v>
      </c>
      <c r="W1467">
        <v>7.0597013940612394E-2</v>
      </c>
      <c r="X1467">
        <v>0</v>
      </c>
      <c r="Y1467">
        <v>0</v>
      </c>
    </row>
    <row r="1468" spans="1:25" x14ac:dyDescent="0.2">
      <c r="A1468" t="s">
        <v>5480</v>
      </c>
      <c r="B1468" t="s">
        <v>5481</v>
      </c>
      <c r="C1468" t="s">
        <v>5482</v>
      </c>
      <c r="D1468" t="s">
        <v>5483</v>
      </c>
      <c r="E1468" t="s">
        <v>5481</v>
      </c>
      <c r="F1468" t="s">
        <v>28</v>
      </c>
      <c r="G1468" t="s">
        <v>5481</v>
      </c>
      <c r="H1468" t="str">
        <f>"trd-1"</f>
        <v>trd-1</v>
      </c>
      <c r="I1468" t="s">
        <v>5483</v>
      </c>
      <c r="J1468">
        <v>12.097215377526799</v>
      </c>
      <c r="K1468" t="s">
        <v>29</v>
      </c>
      <c r="L1468">
        <v>12.9788026256956</v>
      </c>
      <c r="M1468" t="s">
        <v>29</v>
      </c>
      <c r="N1468" t="s">
        <v>29</v>
      </c>
      <c r="O1468">
        <v>12.872693216285199</v>
      </c>
      <c r="P1468">
        <v>0.33468421467404702</v>
      </c>
      <c r="Q1468">
        <v>-0.50124996065191396</v>
      </c>
      <c r="R1468">
        <v>1.17061839000001</v>
      </c>
      <c r="S1468">
        <v>12.960855380257501</v>
      </c>
      <c r="T1468">
        <v>0.85389555828032604</v>
      </c>
      <c r="U1468">
        <v>-6.37990561437603</v>
      </c>
      <c r="V1468">
        <v>0.40668649238343801</v>
      </c>
      <c r="W1468">
        <v>0.57509841317370003</v>
      </c>
      <c r="X1468">
        <v>0</v>
      </c>
      <c r="Y1468">
        <v>0</v>
      </c>
    </row>
    <row r="1469" spans="1:25" x14ac:dyDescent="0.2">
      <c r="A1469" t="s">
        <v>5484</v>
      </c>
      <c r="B1469" t="s">
        <v>5485</v>
      </c>
      <c r="C1469" t="s">
        <v>5486</v>
      </c>
      <c r="D1469" t="s">
        <v>5487</v>
      </c>
      <c r="E1469" t="s">
        <v>5485</v>
      </c>
      <c r="F1469" t="s">
        <v>28</v>
      </c>
      <c r="G1469" t="s">
        <v>5485</v>
      </c>
      <c r="H1469" t="str">
        <f>"T20B12.3"</f>
        <v>T20B12.3</v>
      </c>
      <c r="I1469" t="s">
        <v>5487</v>
      </c>
      <c r="J1469">
        <v>11.3645507403529</v>
      </c>
      <c r="K1469">
        <v>10.874028277838701</v>
      </c>
      <c r="L1469">
        <v>11.722876702438001</v>
      </c>
      <c r="M1469" t="s">
        <v>29</v>
      </c>
      <c r="N1469" t="s">
        <v>29</v>
      </c>
      <c r="O1469">
        <v>11.245053649603999</v>
      </c>
      <c r="P1469">
        <v>-7.5431590605852306E-2</v>
      </c>
      <c r="Q1469">
        <v>-0.98002541832149803</v>
      </c>
      <c r="R1469">
        <v>0.82916223710979298</v>
      </c>
      <c r="S1469">
        <v>12.1091700426944</v>
      </c>
      <c r="T1469">
        <v>-0.176867963535254</v>
      </c>
      <c r="U1469">
        <v>-6.7962888360260498</v>
      </c>
      <c r="V1469">
        <v>0.86184612413747796</v>
      </c>
      <c r="W1469">
        <v>0.91361889490401005</v>
      </c>
      <c r="X1469">
        <v>0</v>
      </c>
      <c r="Y1469">
        <v>0</v>
      </c>
    </row>
    <row r="1470" spans="1:25" x14ac:dyDescent="0.2">
      <c r="A1470" t="s">
        <v>5488</v>
      </c>
      <c r="B1470" t="s">
        <v>5489</v>
      </c>
      <c r="C1470" t="s">
        <v>5490</v>
      </c>
      <c r="D1470" t="s">
        <v>5491</v>
      </c>
      <c r="E1470" t="s">
        <v>5489</v>
      </c>
      <c r="F1470" t="s">
        <v>28</v>
      </c>
      <c r="G1470" t="s">
        <v>5489</v>
      </c>
      <c r="H1470" t="str">
        <f>"T20B12.7"</f>
        <v>T20B12.7</v>
      </c>
      <c r="I1470" t="s">
        <v>5491</v>
      </c>
      <c r="J1470">
        <v>12.7392208838763</v>
      </c>
      <c r="K1470">
        <v>12.3115623343392</v>
      </c>
      <c r="L1470">
        <v>12.281807489023</v>
      </c>
      <c r="M1470">
        <v>14.865084836577299</v>
      </c>
      <c r="N1470">
        <v>15.4706063398087</v>
      </c>
      <c r="O1470">
        <v>15.5130010233056</v>
      </c>
      <c r="P1470">
        <v>2.8387004974844001</v>
      </c>
      <c r="Q1470">
        <v>2.31404063848449</v>
      </c>
      <c r="R1470">
        <v>3.36336035648432</v>
      </c>
      <c r="S1470">
        <v>13.8409278618642</v>
      </c>
      <c r="T1470">
        <v>11.3719318617936</v>
      </c>
      <c r="U1470">
        <v>12.354677117981099</v>
      </c>
      <c r="V1470" s="2">
        <v>1.2755678275316201E-9</v>
      </c>
      <c r="W1470" s="2">
        <v>2.3494364923348099E-7</v>
      </c>
      <c r="X1470">
        <v>1</v>
      </c>
      <c r="Y1470">
        <v>1</v>
      </c>
    </row>
    <row r="1471" spans="1:25" x14ac:dyDescent="0.2">
      <c r="A1471" t="s">
        <v>5492</v>
      </c>
      <c r="B1471" t="s">
        <v>5493</v>
      </c>
      <c r="C1471" t="s">
        <v>5494</v>
      </c>
      <c r="D1471" t="s">
        <v>5495</v>
      </c>
      <c r="E1471" t="s">
        <v>5493</v>
      </c>
      <c r="F1471" t="s">
        <v>28</v>
      </c>
      <c r="G1471" t="s">
        <v>5493</v>
      </c>
      <c r="H1471" t="str">
        <f>"hmg-4"</f>
        <v>hmg-4</v>
      </c>
      <c r="I1471" t="s">
        <v>5495</v>
      </c>
      <c r="J1471">
        <v>12.070061675382</v>
      </c>
      <c r="K1471">
        <v>11.8893445510428</v>
      </c>
      <c r="L1471">
        <v>11.9947787748634</v>
      </c>
      <c r="M1471" t="s">
        <v>29</v>
      </c>
      <c r="N1471">
        <v>13.3433681322296</v>
      </c>
      <c r="O1471">
        <v>13.6514224143621</v>
      </c>
      <c r="P1471">
        <v>1.5126669395330601</v>
      </c>
      <c r="Q1471">
        <v>0.96685315043391695</v>
      </c>
      <c r="R1471">
        <v>2.0584807286322002</v>
      </c>
      <c r="S1471">
        <v>12.0571985281137</v>
      </c>
      <c r="T1471">
        <v>5.8499051579249999</v>
      </c>
      <c r="U1471">
        <v>2.7263475008575</v>
      </c>
      <c r="V1471" s="2">
        <v>1.9789581428989098E-5</v>
      </c>
      <c r="W1471">
        <v>4.9846065360026402E-4</v>
      </c>
      <c r="X1471">
        <v>1</v>
      </c>
      <c r="Y1471">
        <v>1</v>
      </c>
    </row>
    <row r="1472" spans="1:25" x14ac:dyDescent="0.2">
      <c r="A1472" t="s">
        <v>5496</v>
      </c>
      <c r="B1472" t="s">
        <v>5497</v>
      </c>
      <c r="C1472" t="s">
        <v>5498</v>
      </c>
      <c r="D1472" t="s">
        <v>5499</v>
      </c>
      <c r="E1472" t="s">
        <v>5497</v>
      </c>
      <c r="F1472" t="s">
        <v>28</v>
      </c>
      <c r="G1472" t="s">
        <v>5497</v>
      </c>
      <c r="H1472" t="str">
        <f>"isw-1"</f>
        <v>isw-1</v>
      </c>
      <c r="I1472" t="s">
        <v>5499</v>
      </c>
      <c r="J1472">
        <v>14.463643874374901</v>
      </c>
      <c r="K1472">
        <v>14.5934087257675</v>
      </c>
      <c r="L1472">
        <v>14.6563078060694</v>
      </c>
      <c r="M1472">
        <v>13.9551670139323</v>
      </c>
      <c r="N1472">
        <v>14.3045113868704</v>
      </c>
      <c r="O1472">
        <v>14.080547512261001</v>
      </c>
      <c r="P1472">
        <v>-0.45771149771599101</v>
      </c>
      <c r="Q1472">
        <v>-0.78627711283500701</v>
      </c>
      <c r="R1472">
        <v>-0.12914588259697499</v>
      </c>
      <c r="S1472">
        <v>14.6168825268501</v>
      </c>
      <c r="T1472">
        <v>-2.9279403402228499</v>
      </c>
      <c r="U1472">
        <v>-3.4854100547859601</v>
      </c>
      <c r="V1472">
        <v>9.0257346940358901E-3</v>
      </c>
      <c r="W1472">
        <v>4.2558144229318001E-2</v>
      </c>
      <c r="X1472">
        <v>0</v>
      </c>
      <c r="Y1472">
        <v>0</v>
      </c>
    </row>
    <row r="1473" spans="1:25" x14ac:dyDescent="0.2">
      <c r="A1473" t="s">
        <v>5500</v>
      </c>
      <c r="B1473" t="s">
        <v>5501</v>
      </c>
      <c r="C1473" t="s">
        <v>5502</v>
      </c>
      <c r="D1473" t="s">
        <v>5503</v>
      </c>
      <c r="E1473" t="s">
        <v>5501</v>
      </c>
      <c r="F1473" t="s">
        <v>28</v>
      </c>
      <c r="G1473" t="s">
        <v>5501</v>
      </c>
      <c r="H1473" t="str">
        <f>"F37A4.1"</f>
        <v>F37A4.1</v>
      </c>
      <c r="I1473" t="s">
        <v>5503</v>
      </c>
      <c r="J1473">
        <v>13.323412251244999</v>
      </c>
      <c r="K1473">
        <v>13.357235306444</v>
      </c>
      <c r="L1473">
        <v>13.681642989893399</v>
      </c>
      <c r="M1473" t="s">
        <v>29</v>
      </c>
      <c r="N1473">
        <v>13.5714202560213</v>
      </c>
      <c r="O1473">
        <v>13.2763452675488</v>
      </c>
      <c r="P1473">
        <v>-3.0214087409135001E-2</v>
      </c>
      <c r="Q1473">
        <v>-0.50288123452207201</v>
      </c>
      <c r="R1473">
        <v>0.442453059703802</v>
      </c>
      <c r="S1473">
        <v>13.653800178249901</v>
      </c>
      <c r="T1473">
        <v>-0.134928619467752</v>
      </c>
      <c r="U1473">
        <v>-7.0359102799097402</v>
      </c>
      <c r="V1473">
        <v>0.89426275412746004</v>
      </c>
      <c r="W1473">
        <v>0.93719499872461798</v>
      </c>
      <c r="X1473">
        <v>0</v>
      </c>
      <c r="Y1473">
        <v>0</v>
      </c>
    </row>
    <row r="1474" spans="1:25" x14ac:dyDescent="0.2">
      <c r="A1474" t="s">
        <v>5504</v>
      </c>
      <c r="B1474" t="s">
        <v>5505</v>
      </c>
      <c r="C1474" t="s">
        <v>5506</v>
      </c>
      <c r="D1474" t="s">
        <v>5507</v>
      </c>
      <c r="E1474" t="s">
        <v>5505</v>
      </c>
      <c r="F1474" t="s">
        <v>28</v>
      </c>
      <c r="G1474" t="s">
        <v>5505</v>
      </c>
      <c r="H1474" t="str">
        <f>"F37A4.4"</f>
        <v>F37A4.4</v>
      </c>
      <c r="I1474" t="s">
        <v>5507</v>
      </c>
      <c r="J1474">
        <v>14.374343506476499</v>
      </c>
      <c r="K1474" t="s">
        <v>29</v>
      </c>
      <c r="L1474" t="s">
        <v>29</v>
      </c>
      <c r="M1474" t="s">
        <v>29</v>
      </c>
      <c r="N1474" t="s">
        <v>29</v>
      </c>
      <c r="O1474" t="s">
        <v>29</v>
      </c>
      <c r="P1474" t="s">
        <v>29</v>
      </c>
      <c r="Q1474" t="s">
        <v>29</v>
      </c>
      <c r="R1474" t="s">
        <v>29</v>
      </c>
      <c r="S1474">
        <v>13.857724949571301</v>
      </c>
      <c r="T1474" t="s">
        <v>29</v>
      </c>
      <c r="U1474" t="s">
        <v>29</v>
      </c>
      <c r="V1474" t="s">
        <v>29</v>
      </c>
      <c r="W1474" t="s">
        <v>29</v>
      </c>
      <c r="X1474" t="s">
        <v>29</v>
      </c>
      <c r="Y1474" t="s">
        <v>29</v>
      </c>
    </row>
    <row r="1475" spans="1:25" x14ac:dyDescent="0.2">
      <c r="A1475" t="s">
        <v>5508</v>
      </c>
      <c r="B1475" t="s">
        <v>5509</v>
      </c>
      <c r="C1475" t="s">
        <v>5510</v>
      </c>
      <c r="D1475" t="s">
        <v>5511</v>
      </c>
      <c r="E1475" t="s">
        <v>5509</v>
      </c>
      <c r="F1475" t="s">
        <v>28</v>
      </c>
      <c r="G1475" t="s">
        <v>5509</v>
      </c>
      <c r="H1475" t="str">
        <f>"bath-41"</f>
        <v>bath-41</v>
      </c>
      <c r="I1475" t="s">
        <v>5511</v>
      </c>
      <c r="J1475" t="s">
        <v>29</v>
      </c>
      <c r="K1475" t="s">
        <v>29</v>
      </c>
      <c r="L1475">
        <v>10.373529227660599</v>
      </c>
      <c r="M1475" t="s">
        <v>29</v>
      </c>
      <c r="N1475" t="s">
        <v>29</v>
      </c>
      <c r="O1475" t="s">
        <v>29</v>
      </c>
      <c r="P1475" t="s">
        <v>29</v>
      </c>
      <c r="Q1475" t="s">
        <v>29</v>
      </c>
      <c r="R1475" t="s">
        <v>29</v>
      </c>
      <c r="S1475">
        <v>10.8804231592708</v>
      </c>
      <c r="T1475" t="s">
        <v>29</v>
      </c>
      <c r="U1475" t="s">
        <v>29</v>
      </c>
      <c r="V1475" t="s">
        <v>29</v>
      </c>
      <c r="W1475" t="s">
        <v>29</v>
      </c>
      <c r="X1475" t="s">
        <v>29</v>
      </c>
      <c r="Y1475" t="s">
        <v>29</v>
      </c>
    </row>
    <row r="1476" spans="1:25" x14ac:dyDescent="0.2">
      <c r="A1476" t="s">
        <v>5512</v>
      </c>
      <c r="B1476" t="s">
        <v>5513</v>
      </c>
      <c r="C1476" t="s">
        <v>5514</v>
      </c>
      <c r="D1476" t="s">
        <v>5515</v>
      </c>
      <c r="E1476" t="s">
        <v>5513</v>
      </c>
      <c r="F1476" t="s">
        <v>28</v>
      </c>
      <c r="G1476" t="s">
        <v>5513</v>
      </c>
      <c r="H1476" t="str">
        <f>"par-5"</f>
        <v>par-5</v>
      </c>
      <c r="I1476" t="s">
        <v>5515</v>
      </c>
      <c r="J1476">
        <v>18.548221683150199</v>
      </c>
      <c r="K1476">
        <v>18.5109826145023</v>
      </c>
      <c r="L1476">
        <v>18.400188637367702</v>
      </c>
      <c r="M1476">
        <v>18.719373208975501</v>
      </c>
      <c r="N1476">
        <v>18.403283798140599</v>
      </c>
      <c r="O1476">
        <v>18.301197461943801</v>
      </c>
      <c r="P1476">
        <v>-1.18461553201108E-2</v>
      </c>
      <c r="Q1476">
        <v>-0.347502141951058</v>
      </c>
      <c r="R1476">
        <v>0.32380983131083602</v>
      </c>
      <c r="S1476">
        <v>18.123364543582301</v>
      </c>
      <c r="T1476">
        <v>-7.4178071495711206E-2</v>
      </c>
      <c r="U1476">
        <v>-7.1534149211255897</v>
      </c>
      <c r="V1476">
        <v>0.94169159291383697</v>
      </c>
      <c r="W1476">
        <v>0.96594678883295404</v>
      </c>
      <c r="X1476">
        <v>0</v>
      </c>
      <c r="Y1476">
        <v>0</v>
      </c>
    </row>
    <row r="1477" spans="1:25" x14ac:dyDescent="0.2">
      <c r="A1477" t="s">
        <v>5516</v>
      </c>
      <c r="B1477" t="s">
        <v>5517</v>
      </c>
      <c r="C1477" t="s">
        <v>5518</v>
      </c>
      <c r="D1477" t="s">
        <v>5519</v>
      </c>
      <c r="E1477" t="s">
        <v>5517</v>
      </c>
      <c r="F1477" t="s">
        <v>28</v>
      </c>
      <c r="G1477" t="s">
        <v>5517</v>
      </c>
      <c r="H1477" t="str">
        <f>"ceh-18"</f>
        <v>ceh-18</v>
      </c>
      <c r="I1477" t="s">
        <v>5519</v>
      </c>
      <c r="J1477" t="s">
        <v>29</v>
      </c>
      <c r="K1477" t="s">
        <v>29</v>
      </c>
      <c r="L1477" t="s">
        <v>29</v>
      </c>
      <c r="M1477" t="s">
        <v>29</v>
      </c>
      <c r="N1477" t="s">
        <v>29</v>
      </c>
      <c r="O1477" t="s">
        <v>29</v>
      </c>
      <c r="P1477" t="s">
        <v>29</v>
      </c>
      <c r="Q1477" t="s">
        <v>29</v>
      </c>
      <c r="R1477" t="s">
        <v>29</v>
      </c>
      <c r="S1477">
        <v>11.4746461387543</v>
      </c>
      <c r="T1477" t="s">
        <v>29</v>
      </c>
      <c r="U1477" t="s">
        <v>29</v>
      </c>
      <c r="V1477" t="s">
        <v>29</v>
      </c>
      <c r="W1477" t="s">
        <v>29</v>
      </c>
      <c r="X1477" t="s">
        <v>29</v>
      </c>
      <c r="Y1477" t="s">
        <v>29</v>
      </c>
    </row>
    <row r="1478" spans="1:25" x14ac:dyDescent="0.2">
      <c r="A1478" t="s">
        <v>5520</v>
      </c>
      <c r="B1478" t="s">
        <v>5521</v>
      </c>
      <c r="C1478" t="s">
        <v>5522</v>
      </c>
      <c r="D1478" t="s">
        <v>5523</v>
      </c>
      <c r="E1478" t="s">
        <v>5521</v>
      </c>
      <c r="F1478" t="s">
        <v>28</v>
      </c>
      <c r="G1478" t="s">
        <v>5521</v>
      </c>
      <c r="H1478" t="str">
        <f>"tbb-4"</f>
        <v>tbb-4</v>
      </c>
      <c r="I1478" t="s">
        <v>5523</v>
      </c>
      <c r="J1478">
        <v>13.004426500781999</v>
      </c>
      <c r="K1478">
        <v>13.9572049503802</v>
      </c>
      <c r="L1478">
        <v>13.6296380764571</v>
      </c>
      <c r="M1478">
        <v>14.1915142941812</v>
      </c>
      <c r="N1478" t="s">
        <v>29</v>
      </c>
      <c r="O1478">
        <v>14.4122935545938</v>
      </c>
      <c r="P1478">
        <v>0.77148074851442605</v>
      </c>
      <c r="Q1478">
        <v>-0.14539537234462099</v>
      </c>
      <c r="R1478">
        <v>1.6883568693734701</v>
      </c>
      <c r="S1478">
        <v>13.7885208208903</v>
      </c>
      <c r="T1478">
        <v>1.7760878536665601</v>
      </c>
      <c r="U1478">
        <v>-5.5262118013178601</v>
      </c>
      <c r="V1478">
        <v>9.3730098873698001E-2</v>
      </c>
      <c r="W1478">
        <v>0.20821806411413199</v>
      </c>
      <c r="X1478">
        <v>0</v>
      </c>
      <c r="Y1478">
        <v>0</v>
      </c>
    </row>
    <row r="1479" spans="1:25" x14ac:dyDescent="0.2">
      <c r="A1479" t="s">
        <v>5524</v>
      </c>
      <c r="B1479" t="s">
        <v>5525</v>
      </c>
      <c r="C1479" t="s">
        <v>5526</v>
      </c>
      <c r="D1479" t="s">
        <v>5527</v>
      </c>
      <c r="E1479" t="s">
        <v>5525</v>
      </c>
      <c r="F1479" t="s">
        <v>28</v>
      </c>
      <c r="G1479" t="s">
        <v>5525</v>
      </c>
      <c r="H1479" t="str">
        <f>"memb-1"</f>
        <v>memb-1</v>
      </c>
      <c r="I1479" t="s">
        <v>5527</v>
      </c>
      <c r="J1479" t="s">
        <v>29</v>
      </c>
      <c r="K1479" t="s">
        <v>29</v>
      </c>
      <c r="L1479" t="s">
        <v>29</v>
      </c>
      <c r="M1479" t="s">
        <v>29</v>
      </c>
      <c r="N1479" t="s">
        <v>29</v>
      </c>
      <c r="O1479" t="s">
        <v>29</v>
      </c>
      <c r="P1479" t="s">
        <v>29</v>
      </c>
      <c r="Q1479" t="s">
        <v>29</v>
      </c>
      <c r="R1479" t="s">
        <v>29</v>
      </c>
      <c r="S1479">
        <v>9.2514011166469992</v>
      </c>
      <c r="T1479" t="s">
        <v>29</v>
      </c>
      <c r="U1479" t="s">
        <v>29</v>
      </c>
      <c r="V1479" t="s">
        <v>29</v>
      </c>
      <c r="W1479" t="s">
        <v>29</v>
      </c>
      <c r="X1479" t="s">
        <v>29</v>
      </c>
      <c r="Y1479" t="s">
        <v>29</v>
      </c>
    </row>
    <row r="1480" spans="1:25" x14ac:dyDescent="0.2">
      <c r="A1480" t="s">
        <v>5528</v>
      </c>
      <c r="B1480" t="s">
        <v>5529</v>
      </c>
      <c r="C1480" t="s">
        <v>5530</v>
      </c>
      <c r="D1480" t="s">
        <v>5531</v>
      </c>
      <c r="E1480" t="s">
        <v>5529</v>
      </c>
      <c r="F1480" t="s">
        <v>28</v>
      </c>
      <c r="G1480" t="s">
        <v>5529</v>
      </c>
      <c r="H1480" t="str">
        <f>"D1044.6"</f>
        <v>D1044.6</v>
      </c>
      <c r="I1480" t="s">
        <v>5531</v>
      </c>
      <c r="J1480" t="s">
        <v>29</v>
      </c>
      <c r="K1480" t="s">
        <v>29</v>
      </c>
      <c r="L1480">
        <v>11.012243720824101</v>
      </c>
      <c r="M1480" t="s">
        <v>29</v>
      </c>
      <c r="N1480" t="s">
        <v>29</v>
      </c>
      <c r="O1480" t="s">
        <v>29</v>
      </c>
      <c r="P1480" t="s">
        <v>29</v>
      </c>
      <c r="Q1480" t="s">
        <v>29</v>
      </c>
      <c r="R1480" t="s">
        <v>29</v>
      </c>
      <c r="S1480">
        <v>11.787071881752199</v>
      </c>
      <c r="T1480" t="s">
        <v>29</v>
      </c>
      <c r="U1480" t="s">
        <v>29</v>
      </c>
      <c r="V1480" t="s">
        <v>29</v>
      </c>
      <c r="W1480" t="s">
        <v>29</v>
      </c>
      <c r="X1480" t="s">
        <v>29</v>
      </c>
      <c r="Y1480" t="s">
        <v>29</v>
      </c>
    </row>
    <row r="1481" spans="1:25" x14ac:dyDescent="0.2">
      <c r="A1481" t="s">
        <v>5532</v>
      </c>
      <c r="B1481" t="s">
        <v>5533</v>
      </c>
      <c r="C1481" t="s">
        <v>5534</v>
      </c>
      <c r="D1481" t="s">
        <v>5535</v>
      </c>
      <c r="E1481" t="s">
        <v>5533</v>
      </c>
      <c r="F1481" t="s">
        <v>28</v>
      </c>
      <c r="G1481" t="s">
        <v>5533</v>
      </c>
      <c r="H1481" t="str">
        <f>"mev-1"</f>
        <v>mev-1</v>
      </c>
      <c r="I1481" t="s">
        <v>5535</v>
      </c>
      <c r="J1481">
        <v>13.9417610255396</v>
      </c>
      <c r="K1481">
        <v>14.066176618698499</v>
      </c>
      <c r="L1481">
        <v>14.095688288903</v>
      </c>
      <c r="M1481">
        <v>14.7959908768443</v>
      </c>
      <c r="N1481">
        <v>14.5615607662305</v>
      </c>
      <c r="O1481">
        <v>13.889730275781901</v>
      </c>
      <c r="P1481">
        <v>0.38121866190519998</v>
      </c>
      <c r="Q1481">
        <v>-0.31294467726821401</v>
      </c>
      <c r="R1481">
        <v>1.0753820010786099</v>
      </c>
      <c r="S1481">
        <v>13.861947974302501</v>
      </c>
      <c r="T1481">
        <v>1.1542635785555599</v>
      </c>
      <c r="U1481">
        <v>-6.4820596619757298</v>
      </c>
      <c r="V1481">
        <v>0.26357474496257799</v>
      </c>
      <c r="W1481">
        <v>0.43105148357642498</v>
      </c>
      <c r="X1481">
        <v>0</v>
      </c>
      <c r="Y1481">
        <v>0</v>
      </c>
    </row>
    <row r="1482" spans="1:25" x14ac:dyDescent="0.2">
      <c r="A1482" t="s">
        <v>5536</v>
      </c>
      <c r="B1482" t="s">
        <v>5537</v>
      </c>
      <c r="C1482" t="s">
        <v>5538</v>
      </c>
      <c r="D1482" t="s">
        <v>5539</v>
      </c>
      <c r="E1482" t="s">
        <v>5537</v>
      </c>
      <c r="F1482" t="s">
        <v>28</v>
      </c>
      <c r="G1482" t="s">
        <v>5537</v>
      </c>
      <c r="H1482" t="str">
        <f>"cct-1"</f>
        <v>cct-1</v>
      </c>
      <c r="I1482" t="s">
        <v>5539</v>
      </c>
      <c r="J1482">
        <v>18.041835035461901</v>
      </c>
      <c r="K1482">
        <v>17.7683807160745</v>
      </c>
      <c r="L1482">
        <v>17.873024263320801</v>
      </c>
      <c r="M1482">
        <v>17.328436959076299</v>
      </c>
      <c r="N1482">
        <v>17.168217170984999</v>
      </c>
      <c r="O1482">
        <v>17.290989927266001</v>
      </c>
      <c r="P1482">
        <v>-0.63186531917660504</v>
      </c>
      <c r="Q1482">
        <v>-1.02333824344608</v>
      </c>
      <c r="R1482">
        <v>-0.24039239490712899</v>
      </c>
      <c r="S1482">
        <v>17.3526892792197</v>
      </c>
      <c r="T1482">
        <v>-3.39246442625649</v>
      </c>
      <c r="U1482">
        <v>-2.5007968812211399</v>
      </c>
      <c r="V1482">
        <v>3.26666106958663E-3</v>
      </c>
      <c r="W1482">
        <v>2.0927935156677901E-2</v>
      </c>
      <c r="X1482">
        <v>0</v>
      </c>
      <c r="Y1482">
        <v>0</v>
      </c>
    </row>
    <row r="1483" spans="1:25" x14ac:dyDescent="0.2">
      <c r="A1483" t="s">
        <v>5540</v>
      </c>
      <c r="B1483" t="s">
        <v>5541</v>
      </c>
      <c r="C1483" t="s">
        <v>5542</v>
      </c>
      <c r="D1483" t="s">
        <v>5543</v>
      </c>
      <c r="E1483" t="s">
        <v>5541</v>
      </c>
      <c r="F1483" t="s">
        <v>28</v>
      </c>
      <c r="G1483" t="s">
        <v>5541</v>
      </c>
      <c r="H1483" t="str">
        <f>"ggtb-1"</f>
        <v>ggtb-1</v>
      </c>
      <c r="I1483" t="s">
        <v>5543</v>
      </c>
      <c r="J1483">
        <v>11.7503499124409</v>
      </c>
      <c r="K1483">
        <v>11.9351601880944</v>
      </c>
      <c r="L1483">
        <v>11.817088839154501</v>
      </c>
      <c r="M1483" t="s">
        <v>29</v>
      </c>
      <c r="N1483" t="s">
        <v>29</v>
      </c>
      <c r="O1483">
        <v>10.9714894560733</v>
      </c>
      <c r="P1483">
        <v>-0.86271019049000197</v>
      </c>
      <c r="Q1483">
        <v>-1.77854743606884</v>
      </c>
      <c r="R1483">
        <v>5.3127055088839602E-2</v>
      </c>
      <c r="S1483">
        <v>11.534115066018201</v>
      </c>
      <c r="T1483">
        <v>-1.9980030932875299</v>
      </c>
      <c r="U1483">
        <v>-4.9450425288733202</v>
      </c>
      <c r="V1483">
        <v>6.3123930235529604E-2</v>
      </c>
      <c r="W1483">
        <v>0.16078325186180301</v>
      </c>
      <c r="X1483">
        <v>0</v>
      </c>
      <c r="Y1483">
        <v>0</v>
      </c>
    </row>
    <row r="1484" spans="1:25" x14ac:dyDescent="0.2">
      <c r="A1484" t="s">
        <v>5544</v>
      </c>
      <c r="B1484" t="s">
        <v>5545</v>
      </c>
      <c r="C1484" t="s">
        <v>5546</v>
      </c>
      <c r="D1484" t="s">
        <v>5547</v>
      </c>
      <c r="E1484" t="s">
        <v>5545</v>
      </c>
      <c r="F1484" t="s">
        <v>28</v>
      </c>
      <c r="G1484" t="s">
        <v>5545</v>
      </c>
      <c r="H1484" t="str">
        <f>"cpg-2"</f>
        <v>cpg-2</v>
      </c>
      <c r="I1484" t="s">
        <v>5547</v>
      </c>
      <c r="J1484">
        <v>13.182022838070001</v>
      </c>
      <c r="K1484">
        <v>13.590883989244301</v>
      </c>
      <c r="L1484">
        <v>14.2761494265454</v>
      </c>
      <c r="M1484">
        <v>17.1148942703337</v>
      </c>
      <c r="N1484">
        <v>15.4761811800208</v>
      </c>
      <c r="O1484">
        <v>15.5004416904961</v>
      </c>
      <c r="P1484">
        <v>2.34748696233035</v>
      </c>
      <c r="Q1484">
        <v>1.12014366129105</v>
      </c>
      <c r="R1484">
        <v>3.5748302633696398</v>
      </c>
      <c r="S1484">
        <v>14.117243264886399</v>
      </c>
      <c r="T1484">
        <v>4.0200332533752201</v>
      </c>
      <c r="U1484">
        <v>-1.1277960630700099</v>
      </c>
      <c r="V1484">
        <v>8.1138395098751502E-4</v>
      </c>
      <c r="W1484">
        <v>7.8915792196706507E-3</v>
      </c>
      <c r="X1484">
        <v>1</v>
      </c>
      <c r="Y1484">
        <v>1</v>
      </c>
    </row>
    <row r="1485" spans="1:25" x14ac:dyDescent="0.2">
      <c r="A1485" t="s">
        <v>5548</v>
      </c>
      <c r="B1485" t="s">
        <v>5549</v>
      </c>
      <c r="C1485" t="s">
        <v>5550</v>
      </c>
      <c r="D1485" t="s">
        <v>5551</v>
      </c>
      <c r="E1485" t="s">
        <v>5549</v>
      </c>
      <c r="F1485" t="s">
        <v>28</v>
      </c>
      <c r="G1485" t="s">
        <v>5549</v>
      </c>
      <c r="H1485" t="str">
        <f>"nhr-10"</f>
        <v>nhr-10</v>
      </c>
      <c r="I1485" t="s">
        <v>5551</v>
      </c>
      <c r="J1485">
        <v>11.1984246727708</v>
      </c>
      <c r="K1485">
        <v>12.161810945608799</v>
      </c>
      <c r="L1485">
        <v>12.2536959016906</v>
      </c>
      <c r="M1485" t="s">
        <v>29</v>
      </c>
      <c r="N1485" t="s">
        <v>29</v>
      </c>
      <c r="O1485" t="s">
        <v>29</v>
      </c>
      <c r="P1485" t="s">
        <v>29</v>
      </c>
      <c r="Q1485" t="s">
        <v>29</v>
      </c>
      <c r="R1485" t="s">
        <v>29</v>
      </c>
      <c r="S1485">
        <v>12.4787322366226</v>
      </c>
      <c r="T1485" t="s">
        <v>29</v>
      </c>
      <c r="U1485" t="s">
        <v>29</v>
      </c>
      <c r="V1485" t="s">
        <v>29</v>
      </c>
      <c r="W1485" t="s">
        <v>29</v>
      </c>
      <c r="X1485" t="s">
        <v>29</v>
      </c>
      <c r="Y1485" t="s">
        <v>29</v>
      </c>
    </row>
    <row r="1486" spans="1:25" x14ac:dyDescent="0.2">
      <c r="A1486" t="s">
        <v>5552</v>
      </c>
      <c r="B1486" t="s">
        <v>5553</v>
      </c>
      <c r="C1486" t="s">
        <v>5554</v>
      </c>
      <c r="D1486" t="s">
        <v>5555</v>
      </c>
      <c r="E1486" t="s">
        <v>5553</v>
      </c>
      <c r="F1486" t="s">
        <v>28</v>
      </c>
      <c r="G1486" t="s">
        <v>5553</v>
      </c>
      <c r="H1486" t="str">
        <f>"kin-19"</f>
        <v>kin-19</v>
      </c>
      <c r="I1486" t="s">
        <v>5555</v>
      </c>
      <c r="J1486">
        <v>17.690003704679398</v>
      </c>
      <c r="K1486">
        <v>17.7806749332286</v>
      </c>
      <c r="L1486">
        <v>17.6312692430112</v>
      </c>
      <c r="M1486">
        <v>17.351669020963701</v>
      </c>
      <c r="N1486">
        <v>17.417034534270901</v>
      </c>
      <c r="O1486">
        <v>17.569097883023701</v>
      </c>
      <c r="P1486">
        <v>-0.25471548088698298</v>
      </c>
      <c r="Q1486">
        <v>-0.56390386323410302</v>
      </c>
      <c r="R1486">
        <v>5.44729014601373E-2</v>
      </c>
      <c r="S1486">
        <v>17.478257359205099</v>
      </c>
      <c r="T1486">
        <v>-1.73150873594681</v>
      </c>
      <c r="U1486">
        <v>-5.7023285530272103</v>
      </c>
      <c r="V1486">
        <v>0.10056423485075</v>
      </c>
      <c r="W1486">
        <v>0.21823475707301801</v>
      </c>
      <c r="X1486">
        <v>0</v>
      </c>
      <c r="Y1486">
        <v>0</v>
      </c>
    </row>
    <row r="1487" spans="1:25" x14ac:dyDescent="0.2">
      <c r="A1487" t="s">
        <v>5556</v>
      </c>
      <c r="B1487" t="s">
        <v>5557</v>
      </c>
      <c r="C1487" t="s">
        <v>5558</v>
      </c>
      <c r="D1487" t="s">
        <v>5559</v>
      </c>
      <c r="E1487" t="s">
        <v>5557</v>
      </c>
      <c r="F1487" t="s">
        <v>28</v>
      </c>
      <c r="G1487" t="s">
        <v>5557</v>
      </c>
      <c r="H1487" t="str">
        <f>"ced-3"</f>
        <v>ced-3</v>
      </c>
      <c r="I1487" t="s">
        <v>5559</v>
      </c>
      <c r="J1487">
        <v>10.138039787616201</v>
      </c>
      <c r="K1487" t="s">
        <v>29</v>
      </c>
      <c r="L1487">
        <v>10.625313975576599</v>
      </c>
      <c r="M1487" t="s">
        <v>29</v>
      </c>
      <c r="N1487" t="s">
        <v>29</v>
      </c>
      <c r="O1487" t="s">
        <v>29</v>
      </c>
      <c r="P1487" t="s">
        <v>29</v>
      </c>
      <c r="Q1487" t="s">
        <v>29</v>
      </c>
      <c r="R1487" t="s">
        <v>29</v>
      </c>
      <c r="S1487">
        <v>11.553159474795301</v>
      </c>
      <c r="T1487" t="s">
        <v>29</v>
      </c>
      <c r="U1487" t="s">
        <v>29</v>
      </c>
      <c r="V1487" t="s">
        <v>29</v>
      </c>
      <c r="W1487" t="s">
        <v>29</v>
      </c>
      <c r="X1487" t="s">
        <v>29</v>
      </c>
      <c r="Y1487" t="s">
        <v>29</v>
      </c>
    </row>
    <row r="1488" spans="1:25" x14ac:dyDescent="0.2">
      <c r="A1488" t="s">
        <v>5560</v>
      </c>
      <c r="B1488" t="s">
        <v>5561</v>
      </c>
      <c r="C1488" t="s">
        <v>5562</v>
      </c>
      <c r="D1488" t="s">
        <v>5563</v>
      </c>
      <c r="E1488" t="s">
        <v>5561</v>
      </c>
      <c r="F1488" t="s">
        <v>28</v>
      </c>
      <c r="G1488" t="s">
        <v>5561</v>
      </c>
      <c r="H1488" t="str">
        <f>"cpr-5"</f>
        <v>cpr-5</v>
      </c>
      <c r="I1488" t="s">
        <v>5563</v>
      </c>
      <c r="J1488">
        <v>12.0436093282456</v>
      </c>
      <c r="K1488">
        <v>11.781250585805401</v>
      </c>
      <c r="L1488">
        <v>11.9911329790366</v>
      </c>
      <c r="M1488" t="s">
        <v>29</v>
      </c>
      <c r="N1488" t="s">
        <v>29</v>
      </c>
      <c r="O1488" t="s">
        <v>29</v>
      </c>
      <c r="P1488" t="s">
        <v>29</v>
      </c>
      <c r="Q1488" t="s">
        <v>29</v>
      </c>
      <c r="R1488" t="s">
        <v>29</v>
      </c>
      <c r="S1488">
        <v>12.270967929802501</v>
      </c>
      <c r="T1488" t="s">
        <v>29</v>
      </c>
      <c r="U1488" t="s">
        <v>29</v>
      </c>
      <c r="V1488" t="s">
        <v>29</v>
      </c>
      <c r="W1488" t="s">
        <v>29</v>
      </c>
      <c r="X1488" t="s">
        <v>29</v>
      </c>
      <c r="Y1488" t="s">
        <v>29</v>
      </c>
    </row>
    <row r="1489" spans="1:25" x14ac:dyDescent="0.2">
      <c r="A1489" t="s">
        <v>5564</v>
      </c>
      <c r="B1489" t="s">
        <v>5565</v>
      </c>
      <c r="C1489" t="s">
        <v>5566</v>
      </c>
      <c r="D1489" t="s">
        <v>5567</v>
      </c>
      <c r="E1489" t="s">
        <v>5565</v>
      </c>
      <c r="F1489" t="s">
        <v>28</v>
      </c>
      <c r="G1489" t="s">
        <v>5565</v>
      </c>
      <c r="H1489" t="str">
        <f>"aak-1"</f>
        <v>aak-1</v>
      </c>
      <c r="I1489" t="s">
        <v>5567</v>
      </c>
      <c r="J1489">
        <v>11.7625829885986</v>
      </c>
      <c r="K1489">
        <v>12.214545169029</v>
      </c>
      <c r="L1489">
        <v>11.898708095339099</v>
      </c>
      <c r="M1489" t="s">
        <v>29</v>
      </c>
      <c r="N1489" t="s">
        <v>29</v>
      </c>
      <c r="O1489" t="s">
        <v>29</v>
      </c>
      <c r="P1489" t="s">
        <v>29</v>
      </c>
      <c r="Q1489" t="s">
        <v>29</v>
      </c>
      <c r="R1489" t="s">
        <v>29</v>
      </c>
      <c r="S1489">
        <v>11.924493591578701</v>
      </c>
      <c r="T1489" t="s">
        <v>29</v>
      </c>
      <c r="U1489" t="s">
        <v>29</v>
      </c>
      <c r="V1489" t="s">
        <v>29</v>
      </c>
      <c r="W1489" t="s">
        <v>29</v>
      </c>
      <c r="X1489" t="s">
        <v>29</v>
      </c>
      <c r="Y1489" t="s">
        <v>29</v>
      </c>
    </row>
    <row r="1490" spans="1:25" x14ac:dyDescent="0.2">
      <c r="A1490" t="s">
        <v>5568</v>
      </c>
      <c r="B1490" t="s">
        <v>5569</v>
      </c>
      <c r="C1490" t="s">
        <v>5570</v>
      </c>
      <c r="D1490" t="s">
        <v>5571</v>
      </c>
      <c r="E1490" t="s">
        <v>5569</v>
      </c>
      <c r="F1490" t="s">
        <v>28</v>
      </c>
      <c r="G1490" t="s">
        <v>5569</v>
      </c>
      <c r="H1490" t="str">
        <f>"sma-3"</f>
        <v>sma-3</v>
      </c>
      <c r="I1490" t="s">
        <v>5571</v>
      </c>
      <c r="J1490">
        <v>12.1654429387482</v>
      </c>
      <c r="K1490" t="s">
        <v>29</v>
      </c>
      <c r="L1490" t="s">
        <v>29</v>
      </c>
      <c r="M1490" t="s">
        <v>29</v>
      </c>
      <c r="N1490" t="s">
        <v>29</v>
      </c>
      <c r="O1490" t="s">
        <v>29</v>
      </c>
      <c r="P1490" t="s">
        <v>29</v>
      </c>
      <c r="Q1490" t="s">
        <v>29</v>
      </c>
      <c r="R1490" t="s">
        <v>29</v>
      </c>
      <c r="S1490">
        <v>12.3280244375352</v>
      </c>
      <c r="T1490" t="s">
        <v>29</v>
      </c>
      <c r="U1490" t="s">
        <v>29</v>
      </c>
      <c r="V1490" t="s">
        <v>29</v>
      </c>
      <c r="W1490" t="s">
        <v>29</v>
      </c>
      <c r="X1490" t="s">
        <v>29</v>
      </c>
      <c r="Y1490" t="s">
        <v>29</v>
      </c>
    </row>
    <row r="1491" spans="1:25" x14ac:dyDescent="0.2">
      <c r="A1491" t="s">
        <v>5572</v>
      </c>
      <c r="B1491" t="s">
        <v>5573</v>
      </c>
      <c r="C1491" t="s">
        <v>5574</v>
      </c>
      <c r="D1491" t="s">
        <v>5575</v>
      </c>
      <c r="E1491" t="s">
        <v>5573</v>
      </c>
      <c r="F1491" t="s">
        <v>28</v>
      </c>
      <c r="G1491" t="s">
        <v>5573</v>
      </c>
      <c r="H1491" t="str">
        <f>"T09A5.5"</f>
        <v>T09A5.5</v>
      </c>
      <c r="I1491" t="s">
        <v>5575</v>
      </c>
      <c r="J1491">
        <v>12.8271057906697</v>
      </c>
      <c r="K1491">
        <v>13.233785435055401</v>
      </c>
      <c r="L1491">
        <v>13.3051087831789</v>
      </c>
      <c r="M1491" t="s">
        <v>29</v>
      </c>
      <c r="N1491" t="s">
        <v>29</v>
      </c>
      <c r="O1491">
        <v>12.754398764131</v>
      </c>
      <c r="P1491">
        <v>-0.36760123883700002</v>
      </c>
      <c r="Q1491">
        <v>-1.3843555327024299</v>
      </c>
      <c r="R1491">
        <v>0.64915305502842802</v>
      </c>
      <c r="S1491">
        <v>13.1864228066321</v>
      </c>
      <c r="T1491">
        <v>-0.77108553650110201</v>
      </c>
      <c r="U1491">
        <v>-6.5053830922229698</v>
      </c>
      <c r="V1491">
        <v>0.45271531895860601</v>
      </c>
      <c r="W1491">
        <v>0.61766298378287599</v>
      </c>
      <c r="X1491">
        <v>0</v>
      </c>
      <c r="Y1491">
        <v>0</v>
      </c>
    </row>
    <row r="1492" spans="1:25" x14ac:dyDescent="0.2">
      <c r="A1492" t="s">
        <v>5576</v>
      </c>
      <c r="B1492" t="s">
        <v>5577</v>
      </c>
      <c r="C1492" t="s">
        <v>5578</v>
      </c>
      <c r="D1492" t="s">
        <v>5579</v>
      </c>
      <c r="E1492" t="s">
        <v>5577</v>
      </c>
      <c r="F1492" t="s">
        <v>28</v>
      </c>
      <c r="G1492" t="s">
        <v>5577</v>
      </c>
      <c r="H1492" t="str">
        <f>"cec-3"</f>
        <v>cec-3</v>
      </c>
      <c r="I1492" t="s">
        <v>5579</v>
      </c>
      <c r="J1492" t="s">
        <v>29</v>
      </c>
      <c r="K1492" t="s">
        <v>29</v>
      </c>
      <c r="L1492">
        <v>11.5311295313244</v>
      </c>
      <c r="M1492" t="s">
        <v>29</v>
      </c>
      <c r="N1492" t="s">
        <v>29</v>
      </c>
      <c r="O1492" t="s">
        <v>29</v>
      </c>
      <c r="P1492" t="s">
        <v>29</v>
      </c>
      <c r="Q1492" t="s">
        <v>29</v>
      </c>
      <c r="R1492" t="s">
        <v>29</v>
      </c>
      <c r="S1492">
        <v>11.549057411228899</v>
      </c>
      <c r="T1492" t="s">
        <v>29</v>
      </c>
      <c r="U1492" t="s">
        <v>29</v>
      </c>
      <c r="V1492" t="s">
        <v>29</v>
      </c>
      <c r="W1492" t="s">
        <v>29</v>
      </c>
      <c r="X1492" t="s">
        <v>29</v>
      </c>
      <c r="Y1492" t="s">
        <v>29</v>
      </c>
    </row>
    <row r="1493" spans="1:25" x14ac:dyDescent="0.2">
      <c r="A1493" t="s">
        <v>5580</v>
      </c>
      <c r="B1493" t="s">
        <v>5581</v>
      </c>
      <c r="C1493" t="s">
        <v>5582</v>
      </c>
      <c r="D1493" t="s">
        <v>5583</v>
      </c>
      <c r="E1493" t="s">
        <v>5581</v>
      </c>
      <c r="F1493" t="s">
        <v>28</v>
      </c>
      <c r="G1493" t="s">
        <v>5581</v>
      </c>
      <c r="H1493" t="str">
        <f>"lin-5"</f>
        <v>lin-5</v>
      </c>
      <c r="I1493" t="s">
        <v>5583</v>
      </c>
      <c r="J1493" t="s">
        <v>29</v>
      </c>
      <c r="K1493">
        <v>11.156008284176901</v>
      </c>
      <c r="L1493">
        <v>10.676683099110001</v>
      </c>
      <c r="M1493" t="s">
        <v>29</v>
      </c>
      <c r="N1493" t="s">
        <v>29</v>
      </c>
      <c r="O1493">
        <v>11.561066191018099</v>
      </c>
      <c r="P1493">
        <v>0.64472049937463705</v>
      </c>
      <c r="Q1493">
        <v>-5.0359592616710601E-2</v>
      </c>
      <c r="R1493">
        <v>1.3398005913659801</v>
      </c>
      <c r="S1493">
        <v>11.7893543623487</v>
      </c>
      <c r="T1493">
        <v>2.0229336644943001</v>
      </c>
      <c r="U1493">
        <v>-4.8776576416437196</v>
      </c>
      <c r="V1493">
        <v>6.61499636306737E-2</v>
      </c>
      <c r="W1493">
        <v>0.16584087419948301</v>
      </c>
      <c r="X1493">
        <v>0</v>
      </c>
      <c r="Y1493">
        <v>0</v>
      </c>
    </row>
    <row r="1494" spans="1:25" x14ac:dyDescent="0.2">
      <c r="A1494" t="s">
        <v>5584</v>
      </c>
      <c r="B1494" t="s">
        <v>5585</v>
      </c>
      <c r="C1494" t="s">
        <v>5586</v>
      </c>
      <c r="D1494" t="s">
        <v>5587</v>
      </c>
      <c r="E1494" t="s">
        <v>5585</v>
      </c>
      <c r="F1494" t="s">
        <v>28</v>
      </c>
      <c r="G1494" t="s">
        <v>5585</v>
      </c>
      <c r="H1494" t="str">
        <f>"ostb-1"</f>
        <v>ostb-1</v>
      </c>
      <c r="I1494" t="s">
        <v>5587</v>
      </c>
      <c r="J1494">
        <v>16.357912243311201</v>
      </c>
      <c r="K1494">
        <v>16.212600631901001</v>
      </c>
      <c r="L1494">
        <v>16.4019135834099</v>
      </c>
      <c r="M1494">
        <v>15.774890392940099</v>
      </c>
      <c r="N1494">
        <v>16.1567526888308</v>
      </c>
      <c r="O1494">
        <v>15.659033807878</v>
      </c>
      <c r="P1494">
        <v>-0.46058318965773298</v>
      </c>
      <c r="Q1494">
        <v>-0.84092850572015698</v>
      </c>
      <c r="R1494">
        <v>-8.0237873595308998E-2</v>
      </c>
      <c r="S1494">
        <v>15.944554320823199</v>
      </c>
      <c r="T1494">
        <v>-2.5452035710691399</v>
      </c>
      <c r="U1494">
        <v>-4.2577966260968898</v>
      </c>
      <c r="V1494">
        <v>2.0363123360676801E-2</v>
      </c>
      <c r="W1494">
        <v>7.4269956118706307E-2</v>
      </c>
      <c r="X1494">
        <v>0</v>
      </c>
      <c r="Y1494">
        <v>0</v>
      </c>
    </row>
    <row r="1495" spans="1:25" x14ac:dyDescent="0.2">
      <c r="A1495" t="s">
        <v>5588</v>
      </c>
      <c r="B1495" t="s">
        <v>5589</v>
      </c>
      <c r="C1495" t="s">
        <v>5590</v>
      </c>
      <c r="D1495" t="s">
        <v>5591</v>
      </c>
      <c r="E1495" t="s">
        <v>5589</v>
      </c>
      <c r="F1495" t="s">
        <v>28</v>
      </c>
      <c r="G1495" t="s">
        <v>5589</v>
      </c>
      <c r="H1495" t="str">
        <f>"C01G6.5"</f>
        <v>C01G6.5</v>
      </c>
      <c r="I1495" t="s">
        <v>5591</v>
      </c>
      <c r="J1495">
        <v>11.212604078759901</v>
      </c>
      <c r="K1495">
        <v>10.9465123171529</v>
      </c>
      <c r="L1495">
        <v>11.5419069045385</v>
      </c>
      <c r="M1495" t="s">
        <v>29</v>
      </c>
      <c r="N1495" t="s">
        <v>29</v>
      </c>
      <c r="O1495" t="s">
        <v>29</v>
      </c>
      <c r="P1495" t="s">
        <v>29</v>
      </c>
      <c r="Q1495" t="s">
        <v>29</v>
      </c>
      <c r="R1495" t="s">
        <v>29</v>
      </c>
      <c r="S1495">
        <v>11.735509587123699</v>
      </c>
      <c r="T1495" t="s">
        <v>29</v>
      </c>
      <c r="U1495" t="s">
        <v>29</v>
      </c>
      <c r="V1495" t="s">
        <v>29</v>
      </c>
      <c r="W1495" t="s">
        <v>29</v>
      </c>
      <c r="X1495" t="s">
        <v>29</v>
      </c>
      <c r="Y1495" t="s">
        <v>29</v>
      </c>
    </row>
    <row r="1496" spans="1:25" x14ac:dyDescent="0.2">
      <c r="A1496" t="s">
        <v>5592</v>
      </c>
      <c r="B1496" t="s">
        <v>5593</v>
      </c>
      <c r="C1496" t="s">
        <v>5594</v>
      </c>
      <c r="D1496" t="s">
        <v>5595</v>
      </c>
      <c r="E1496" t="s">
        <v>5593</v>
      </c>
      <c r="F1496" t="s">
        <v>28</v>
      </c>
      <c r="G1496" t="s">
        <v>5593</v>
      </c>
      <c r="H1496" t="str">
        <f>"rpt-3"</f>
        <v>rpt-3</v>
      </c>
      <c r="I1496" t="s">
        <v>5595</v>
      </c>
      <c r="J1496">
        <v>15.439615317388601</v>
      </c>
      <c r="K1496">
        <v>15.2215876907929</v>
      </c>
      <c r="L1496">
        <v>15.214386715982799</v>
      </c>
      <c r="M1496">
        <v>15.515626578203101</v>
      </c>
      <c r="N1496">
        <v>15.553942178269599</v>
      </c>
      <c r="O1496">
        <v>15.3756568852956</v>
      </c>
      <c r="P1496">
        <v>0.189878639201327</v>
      </c>
      <c r="Q1496">
        <v>-0.139496968691943</v>
      </c>
      <c r="R1496">
        <v>0.519254247094597</v>
      </c>
      <c r="S1496">
        <v>15.222345116648899</v>
      </c>
      <c r="T1496">
        <v>1.21165000844515</v>
      </c>
      <c r="U1496">
        <v>-6.4160089066917898</v>
      </c>
      <c r="V1496">
        <v>0.24140356315960901</v>
      </c>
      <c r="W1496">
        <v>0.407221694694544</v>
      </c>
      <c r="X1496">
        <v>0</v>
      </c>
      <c r="Y1496">
        <v>0</v>
      </c>
    </row>
    <row r="1497" spans="1:25" x14ac:dyDescent="0.2">
      <c r="A1497" t="s">
        <v>5596</v>
      </c>
      <c r="B1497" t="s">
        <v>5597</v>
      </c>
      <c r="C1497" t="s">
        <v>5598</v>
      </c>
      <c r="D1497" t="s">
        <v>5599</v>
      </c>
      <c r="E1497" t="s">
        <v>5597</v>
      </c>
      <c r="F1497" t="s">
        <v>28</v>
      </c>
      <c r="G1497" t="s">
        <v>5597</v>
      </c>
      <c r="H1497" t="str">
        <f>"nmt-1"</f>
        <v>nmt-1</v>
      </c>
      <c r="I1497" t="s">
        <v>5599</v>
      </c>
      <c r="J1497">
        <v>14.340003765414201</v>
      </c>
      <c r="K1497">
        <v>14.2410711451026</v>
      </c>
      <c r="L1497">
        <v>14.044062929748801</v>
      </c>
      <c r="M1497">
        <v>14.4527713699319</v>
      </c>
      <c r="N1497">
        <v>15.6221812728838</v>
      </c>
      <c r="O1497">
        <v>15.4000351719073</v>
      </c>
      <c r="P1497">
        <v>0.94994999148582704</v>
      </c>
      <c r="Q1497">
        <v>0.401254580146927</v>
      </c>
      <c r="R1497">
        <v>1.49864540282473</v>
      </c>
      <c r="S1497">
        <v>14.148468160089701</v>
      </c>
      <c r="T1497">
        <v>3.6388313533119701</v>
      </c>
      <c r="U1497">
        <v>-1.9654202245042101</v>
      </c>
      <c r="V1497">
        <v>1.89264357739333E-3</v>
      </c>
      <c r="W1497">
        <v>1.4135134615465899E-2</v>
      </c>
      <c r="X1497">
        <v>0</v>
      </c>
      <c r="Y1497">
        <v>0</v>
      </c>
    </row>
    <row r="1498" spans="1:25" x14ac:dyDescent="0.2">
      <c r="A1498" t="s">
        <v>5600</v>
      </c>
      <c r="B1498" t="s">
        <v>5601</v>
      </c>
      <c r="C1498" t="s">
        <v>5602</v>
      </c>
      <c r="D1498" t="s">
        <v>5603</v>
      </c>
      <c r="E1498" t="s">
        <v>5601</v>
      </c>
      <c r="F1498" t="s">
        <v>28</v>
      </c>
      <c r="G1498" t="s">
        <v>5601</v>
      </c>
      <c r="H1498" t="str">
        <f>"kin-18"</f>
        <v>kin-18</v>
      </c>
      <c r="I1498" t="s">
        <v>5603</v>
      </c>
      <c r="J1498">
        <v>13.6038932502024</v>
      </c>
      <c r="K1498">
        <v>12.8430774106124</v>
      </c>
      <c r="L1498">
        <v>13.4359174778262</v>
      </c>
      <c r="M1498" t="s">
        <v>29</v>
      </c>
      <c r="N1498">
        <v>13.283247597161999</v>
      </c>
      <c r="O1498">
        <v>14.255295984685301</v>
      </c>
      <c r="P1498">
        <v>0.47497574471000098</v>
      </c>
      <c r="Q1498">
        <v>-0.207667085997183</v>
      </c>
      <c r="R1498">
        <v>1.1576185754171799</v>
      </c>
      <c r="S1498">
        <v>13.450779563249499</v>
      </c>
      <c r="T1498">
        <v>1.4686824725822201</v>
      </c>
      <c r="U1498">
        <v>-5.9788771122519</v>
      </c>
      <c r="V1498">
        <v>0.160291897616336</v>
      </c>
      <c r="W1498">
        <v>0.30793852827414597</v>
      </c>
      <c r="X1498">
        <v>0</v>
      </c>
      <c r="Y1498">
        <v>0</v>
      </c>
    </row>
    <row r="1499" spans="1:25" x14ac:dyDescent="0.2">
      <c r="A1499" t="s">
        <v>5604</v>
      </c>
      <c r="B1499" t="s">
        <v>5605</v>
      </c>
      <c r="C1499" t="s">
        <v>5606</v>
      </c>
      <c r="D1499" t="s">
        <v>5607</v>
      </c>
      <c r="E1499" t="s">
        <v>5605</v>
      </c>
      <c r="F1499" t="s">
        <v>28</v>
      </c>
      <c r="G1499" t="s">
        <v>5605</v>
      </c>
      <c r="H1499" t="str">
        <f>"cct-6"</f>
        <v>cct-6</v>
      </c>
      <c r="I1499" t="s">
        <v>5607</v>
      </c>
      <c r="J1499">
        <v>17.8781539712365</v>
      </c>
      <c r="K1499">
        <v>17.700132535684499</v>
      </c>
      <c r="L1499">
        <v>17.702631515966701</v>
      </c>
      <c r="M1499">
        <v>17.1381090025986</v>
      </c>
      <c r="N1499">
        <v>17.1610964572603</v>
      </c>
      <c r="O1499">
        <v>17.3003366712204</v>
      </c>
      <c r="P1499">
        <v>-0.56045863060280299</v>
      </c>
      <c r="Q1499">
        <v>-0.89329531325001099</v>
      </c>
      <c r="R1499">
        <v>-0.22762194795559501</v>
      </c>
      <c r="S1499">
        <v>17.390382375637401</v>
      </c>
      <c r="T1499">
        <v>-3.5391982430617599</v>
      </c>
      <c r="U1499">
        <v>-2.18271110101476</v>
      </c>
      <c r="V1499">
        <v>2.3608384325167499E-3</v>
      </c>
      <c r="W1499">
        <v>1.6318903956196701E-2</v>
      </c>
      <c r="X1499">
        <v>0</v>
      </c>
      <c r="Y1499">
        <v>0</v>
      </c>
    </row>
    <row r="1500" spans="1:25" x14ac:dyDescent="0.2">
      <c r="A1500" t="s">
        <v>5608</v>
      </c>
      <c r="B1500" t="s">
        <v>5609</v>
      </c>
      <c r="C1500" t="s">
        <v>5610</v>
      </c>
      <c r="D1500" t="s">
        <v>5611</v>
      </c>
      <c r="E1500" t="s">
        <v>5609</v>
      </c>
      <c r="F1500" t="s">
        <v>28</v>
      </c>
      <c r="G1500" t="s">
        <v>5609</v>
      </c>
      <c r="H1500" t="str">
        <f>"cdk-12"</f>
        <v>cdk-12</v>
      </c>
      <c r="I1500" t="s">
        <v>5611</v>
      </c>
      <c r="J1500">
        <v>15.0602669751585</v>
      </c>
      <c r="K1500">
        <v>15.373970878219501</v>
      </c>
      <c r="L1500">
        <v>15.424660404629</v>
      </c>
      <c r="M1500">
        <v>14.9534742324016</v>
      </c>
      <c r="N1500">
        <v>14.4688552495753</v>
      </c>
      <c r="O1500">
        <v>14.4994391588664</v>
      </c>
      <c r="P1500">
        <v>-0.64570987238787603</v>
      </c>
      <c r="Q1500">
        <v>-1.0511452926990901</v>
      </c>
      <c r="R1500">
        <v>-0.24027445207665701</v>
      </c>
      <c r="S1500">
        <v>15.4097827088675</v>
      </c>
      <c r="T1500">
        <v>-3.3474049349995401</v>
      </c>
      <c r="U1500">
        <v>-2.5979299147926098</v>
      </c>
      <c r="V1500">
        <v>3.6083128651749098E-3</v>
      </c>
      <c r="W1500">
        <v>2.2386732660358899E-2</v>
      </c>
      <c r="X1500">
        <v>0</v>
      </c>
      <c r="Y1500">
        <v>0</v>
      </c>
    </row>
    <row r="1501" spans="1:25" x14ac:dyDescent="0.2">
      <c r="A1501" t="s">
        <v>5612</v>
      </c>
      <c r="B1501" t="s">
        <v>5613</v>
      </c>
      <c r="C1501" t="s">
        <v>5614</v>
      </c>
      <c r="D1501" t="s">
        <v>5615</v>
      </c>
      <c r="E1501" t="s">
        <v>5613</v>
      </c>
      <c r="F1501" t="s">
        <v>28</v>
      </c>
      <c r="G1501" t="s">
        <v>5613</v>
      </c>
      <c r="H1501" t="str">
        <f>"lcmt-1"</f>
        <v>lcmt-1</v>
      </c>
      <c r="I1501" t="s">
        <v>5615</v>
      </c>
      <c r="J1501">
        <v>14.7821877222311</v>
      </c>
      <c r="K1501">
        <v>14.8720414087955</v>
      </c>
      <c r="L1501">
        <v>14.753355308002</v>
      </c>
      <c r="M1501">
        <v>15.3094836042719</v>
      </c>
      <c r="N1501">
        <v>14.680597483011701</v>
      </c>
      <c r="O1501">
        <v>14.668970584081899</v>
      </c>
      <c r="P1501">
        <v>8.3822410778987305E-2</v>
      </c>
      <c r="Q1501">
        <v>-0.29652818084912602</v>
      </c>
      <c r="R1501">
        <v>0.46417300240710002</v>
      </c>
      <c r="S1501">
        <v>14.628166543041599</v>
      </c>
      <c r="T1501">
        <v>0.463200014430725</v>
      </c>
      <c r="U1501">
        <v>-7.0443791289658302</v>
      </c>
      <c r="V1501">
        <v>0.64880464620947997</v>
      </c>
      <c r="W1501">
        <v>0.76670814276018995</v>
      </c>
      <c r="X1501">
        <v>0</v>
      </c>
      <c r="Y1501">
        <v>0</v>
      </c>
    </row>
    <row r="1502" spans="1:25" x14ac:dyDescent="0.2">
      <c r="A1502" t="s">
        <v>5616</v>
      </c>
      <c r="B1502" t="s">
        <v>5617</v>
      </c>
      <c r="C1502" t="s">
        <v>5618</v>
      </c>
      <c r="D1502" t="s">
        <v>5619</v>
      </c>
      <c r="E1502" t="s">
        <v>5617</v>
      </c>
      <c r="F1502" t="s">
        <v>28</v>
      </c>
      <c r="G1502" t="s">
        <v>5617</v>
      </c>
      <c r="H1502" t="str">
        <f>"B0285.6"</f>
        <v>B0285.6</v>
      </c>
      <c r="I1502" t="s">
        <v>5619</v>
      </c>
      <c r="J1502">
        <v>12.7719258568538</v>
      </c>
      <c r="K1502">
        <v>11.9099840568239</v>
      </c>
      <c r="L1502">
        <v>12.2427503440239</v>
      </c>
      <c r="M1502" t="s">
        <v>29</v>
      </c>
      <c r="N1502" t="s">
        <v>29</v>
      </c>
      <c r="O1502" t="s">
        <v>29</v>
      </c>
      <c r="P1502" t="s">
        <v>29</v>
      </c>
      <c r="Q1502" t="s">
        <v>29</v>
      </c>
      <c r="R1502" t="s">
        <v>29</v>
      </c>
      <c r="S1502">
        <v>12.2831669306085</v>
      </c>
      <c r="T1502" t="s">
        <v>29</v>
      </c>
      <c r="U1502" t="s">
        <v>29</v>
      </c>
      <c r="V1502" t="s">
        <v>29</v>
      </c>
      <c r="W1502" t="s">
        <v>29</v>
      </c>
      <c r="X1502" t="s">
        <v>29</v>
      </c>
      <c r="Y1502" t="s">
        <v>29</v>
      </c>
    </row>
    <row r="1503" spans="1:25" x14ac:dyDescent="0.2">
      <c r="A1503" t="s">
        <v>5620</v>
      </c>
      <c r="B1503" t="s">
        <v>5621</v>
      </c>
      <c r="C1503" t="s">
        <v>5622</v>
      </c>
      <c r="D1503" t="s">
        <v>5623</v>
      </c>
      <c r="E1503" t="s">
        <v>5621</v>
      </c>
      <c r="F1503" t="s">
        <v>28</v>
      </c>
      <c r="G1503" t="s">
        <v>5621</v>
      </c>
      <c r="H1503" t="str">
        <f>"ckb-2"</f>
        <v>ckb-2</v>
      </c>
      <c r="I1503" t="s">
        <v>5623</v>
      </c>
      <c r="J1503">
        <v>14.224690108505399</v>
      </c>
      <c r="K1503">
        <v>14.364985531137901</v>
      </c>
      <c r="L1503">
        <v>14.0495912316623</v>
      </c>
      <c r="M1503">
        <v>15.2270956219803</v>
      </c>
      <c r="N1503">
        <v>13.9116481298368</v>
      </c>
      <c r="O1503">
        <v>14.279949443439</v>
      </c>
      <c r="P1503">
        <v>0.259808774650161</v>
      </c>
      <c r="Q1503">
        <v>-0.23193833231168101</v>
      </c>
      <c r="R1503">
        <v>0.75155588161200204</v>
      </c>
      <c r="S1503">
        <v>13.9269079955608</v>
      </c>
      <c r="T1503">
        <v>1.1104640778349699</v>
      </c>
      <c r="U1503">
        <v>-6.5306134779614</v>
      </c>
      <c r="V1503">
        <v>0.28149805018226998</v>
      </c>
      <c r="W1503">
        <v>0.44939044089228097</v>
      </c>
      <c r="X1503">
        <v>0</v>
      </c>
      <c r="Y1503">
        <v>0</v>
      </c>
    </row>
    <row r="1504" spans="1:25" x14ac:dyDescent="0.2">
      <c r="A1504" t="s">
        <v>5624</v>
      </c>
      <c r="B1504" t="s">
        <v>5625</v>
      </c>
      <c r="C1504" t="s">
        <v>5626</v>
      </c>
      <c r="D1504" t="s">
        <v>5627</v>
      </c>
      <c r="E1504" t="s">
        <v>5625</v>
      </c>
      <c r="F1504" t="s">
        <v>28</v>
      </c>
      <c r="G1504" t="s">
        <v>5625</v>
      </c>
      <c r="H1504" t="str">
        <f>"atp-2"</f>
        <v>atp-2</v>
      </c>
      <c r="I1504" t="s">
        <v>5627</v>
      </c>
      <c r="J1504">
        <v>19.528068025698399</v>
      </c>
      <c r="K1504">
        <v>19.342304250301702</v>
      </c>
      <c r="L1504">
        <v>19.3991905854405</v>
      </c>
      <c r="M1504">
        <v>19.4128691019535</v>
      </c>
      <c r="N1504">
        <v>19.5897440074529</v>
      </c>
      <c r="O1504">
        <v>19.084531471266601</v>
      </c>
      <c r="P1504">
        <v>-6.0806093589199903E-2</v>
      </c>
      <c r="Q1504">
        <v>-0.43482491556025199</v>
      </c>
      <c r="R1504">
        <v>0.31321272838185199</v>
      </c>
      <c r="S1504">
        <v>19.5485092000104</v>
      </c>
      <c r="T1504">
        <v>-0.34170092837808402</v>
      </c>
      <c r="U1504">
        <v>-7.0952277127798196</v>
      </c>
      <c r="V1504">
        <v>0.73655583587003004</v>
      </c>
      <c r="W1504">
        <v>0.83070418993837702</v>
      </c>
      <c r="X1504">
        <v>0</v>
      </c>
      <c r="Y1504">
        <v>0</v>
      </c>
    </row>
    <row r="1505" spans="1:25" x14ac:dyDescent="0.2">
      <c r="A1505" t="s">
        <v>5628</v>
      </c>
      <c r="B1505" t="s">
        <v>5629</v>
      </c>
      <c r="C1505" t="s">
        <v>5630</v>
      </c>
      <c r="D1505" t="s">
        <v>5631</v>
      </c>
      <c r="E1505" t="s">
        <v>5629</v>
      </c>
      <c r="F1505" t="s">
        <v>28</v>
      </c>
      <c r="G1505" t="s">
        <v>5629</v>
      </c>
      <c r="H1505" t="str">
        <f>"alh-9"</f>
        <v>alh-9</v>
      </c>
      <c r="I1505" t="s">
        <v>5631</v>
      </c>
      <c r="J1505">
        <v>10.971626345700001</v>
      </c>
      <c r="K1505">
        <v>11.7214302127792</v>
      </c>
      <c r="L1505">
        <v>12.645706012313701</v>
      </c>
      <c r="M1505" t="s">
        <v>29</v>
      </c>
      <c r="N1505">
        <v>13.454394459981801</v>
      </c>
      <c r="O1505">
        <v>13.460250352290201</v>
      </c>
      <c r="P1505">
        <v>1.67773488253839</v>
      </c>
      <c r="Q1505">
        <v>0.93842527589337299</v>
      </c>
      <c r="R1505">
        <v>2.4170444891834002</v>
      </c>
      <c r="S1505">
        <v>13.0816921511689</v>
      </c>
      <c r="T1505">
        <v>4.7901266684210899</v>
      </c>
      <c r="U1505">
        <v>0.54027902685877904</v>
      </c>
      <c r="V1505">
        <v>1.7320322669487099E-4</v>
      </c>
      <c r="W1505">
        <v>2.5521495453489202E-3</v>
      </c>
      <c r="X1505">
        <v>1</v>
      </c>
      <c r="Y1505">
        <v>1</v>
      </c>
    </row>
    <row r="1506" spans="1:25" x14ac:dyDescent="0.2">
      <c r="A1506" t="s">
        <v>5632</v>
      </c>
      <c r="B1506" t="s">
        <v>5633</v>
      </c>
      <c r="C1506" t="s">
        <v>5634</v>
      </c>
      <c r="D1506" t="s">
        <v>5635</v>
      </c>
      <c r="E1506" t="s">
        <v>5633</v>
      </c>
      <c r="F1506" t="s">
        <v>28</v>
      </c>
      <c r="G1506" t="s">
        <v>5633</v>
      </c>
      <c r="H1506" t="str">
        <f>"aldo-2"</f>
        <v>aldo-2</v>
      </c>
      <c r="I1506" t="s">
        <v>5635</v>
      </c>
      <c r="J1506">
        <v>14.4703821797707</v>
      </c>
      <c r="K1506">
        <v>13.5247751416188</v>
      </c>
      <c r="L1506">
        <v>13.9129046498284</v>
      </c>
      <c r="M1506">
        <v>21.3508721025506</v>
      </c>
      <c r="N1506">
        <v>21.903685286551099</v>
      </c>
      <c r="O1506">
        <v>21.289728332121602</v>
      </c>
      <c r="P1506">
        <v>7.5454079166684602</v>
      </c>
      <c r="Q1506">
        <v>6.9010834205749596</v>
      </c>
      <c r="R1506">
        <v>8.1897324127619608</v>
      </c>
      <c r="S1506">
        <v>17.6200378439462</v>
      </c>
      <c r="T1506">
        <v>24.6133424275904</v>
      </c>
      <c r="U1506">
        <v>24.656515945821901</v>
      </c>
      <c r="V1506" s="2">
        <v>2.99123291858142E-15</v>
      </c>
      <c r="W1506" s="2">
        <v>4.5769534463196903E-12</v>
      </c>
      <c r="X1506">
        <v>1</v>
      </c>
      <c r="Y1506">
        <v>1</v>
      </c>
    </row>
    <row r="1507" spans="1:25" x14ac:dyDescent="0.2">
      <c r="A1507" t="s">
        <v>5636</v>
      </c>
      <c r="B1507" t="s">
        <v>5637</v>
      </c>
      <c r="C1507" t="s">
        <v>5638</v>
      </c>
      <c r="D1507" t="s">
        <v>5639</v>
      </c>
      <c r="E1507" t="s">
        <v>5637</v>
      </c>
      <c r="F1507" t="s">
        <v>28</v>
      </c>
      <c r="G1507" t="s">
        <v>5637</v>
      </c>
      <c r="H1507" t="str">
        <f>"gop-3"</f>
        <v>gop-3</v>
      </c>
      <c r="I1507" t="s">
        <v>5639</v>
      </c>
      <c r="J1507">
        <v>14.836036472908001</v>
      </c>
      <c r="K1507">
        <v>14.7532039517806</v>
      </c>
      <c r="L1507">
        <v>14.6793317344813</v>
      </c>
      <c r="M1507">
        <v>13.8783451146176</v>
      </c>
      <c r="N1507">
        <v>13.868825903157999</v>
      </c>
      <c r="O1507">
        <v>14.2279172624254</v>
      </c>
      <c r="P1507">
        <v>-0.76449462632292997</v>
      </c>
      <c r="Q1507">
        <v>-1.1724137667505401</v>
      </c>
      <c r="R1507">
        <v>-0.35657548589532301</v>
      </c>
      <c r="S1507">
        <v>14.230961402749999</v>
      </c>
      <c r="T1507">
        <v>-3.9390624521682001</v>
      </c>
      <c r="U1507">
        <v>-1.30627207447788</v>
      </c>
      <c r="V1507">
        <v>9.7127238044409996E-4</v>
      </c>
      <c r="W1507">
        <v>8.8892537427601292E-3</v>
      </c>
      <c r="X1507">
        <v>0</v>
      </c>
      <c r="Y1507">
        <v>0</v>
      </c>
    </row>
    <row r="1508" spans="1:25" x14ac:dyDescent="0.2">
      <c r="A1508" t="s">
        <v>5640</v>
      </c>
      <c r="B1508" t="s">
        <v>5641</v>
      </c>
      <c r="C1508" t="s">
        <v>5642</v>
      </c>
      <c r="D1508" t="s">
        <v>5643</v>
      </c>
      <c r="E1508" t="s">
        <v>5641</v>
      </c>
      <c r="F1508" t="s">
        <v>28</v>
      </c>
      <c r="G1508" t="s">
        <v>5641</v>
      </c>
      <c r="H1508" t="str">
        <f>"gop-2"</f>
        <v>gop-2</v>
      </c>
      <c r="I1508" t="s">
        <v>5643</v>
      </c>
      <c r="J1508">
        <v>13.995154940130901</v>
      </c>
      <c r="K1508">
        <v>14.1981593159589</v>
      </c>
      <c r="L1508">
        <v>13.8630576013884</v>
      </c>
      <c r="M1508">
        <v>14.611404718041101</v>
      </c>
      <c r="N1508">
        <v>14.5902531478285</v>
      </c>
      <c r="O1508">
        <v>14.773194810943</v>
      </c>
      <c r="P1508">
        <v>0.63949360644480202</v>
      </c>
      <c r="Q1508">
        <v>0.22987967123307701</v>
      </c>
      <c r="R1508">
        <v>1.0491075416565301</v>
      </c>
      <c r="S1508">
        <v>14.240005659699699</v>
      </c>
      <c r="T1508">
        <v>3.2813608854917198</v>
      </c>
      <c r="U1508">
        <v>-2.73976802165142</v>
      </c>
      <c r="V1508">
        <v>4.1735608798006904E-3</v>
      </c>
      <c r="W1508">
        <v>2.48474422480255E-2</v>
      </c>
      <c r="X1508">
        <v>0</v>
      </c>
      <c r="Y1508">
        <v>0</v>
      </c>
    </row>
    <row r="1509" spans="1:25" x14ac:dyDescent="0.2">
      <c r="A1509" t="s">
        <v>5644</v>
      </c>
      <c r="B1509" t="s">
        <v>5645</v>
      </c>
      <c r="C1509" t="s">
        <v>5646</v>
      </c>
      <c r="D1509" t="s">
        <v>5647</v>
      </c>
      <c r="E1509" t="s">
        <v>5645</v>
      </c>
      <c r="F1509" t="s">
        <v>28</v>
      </c>
      <c r="G1509" t="s">
        <v>5645</v>
      </c>
      <c r="H1509" t="str">
        <f>"gop-1"</f>
        <v>gop-1</v>
      </c>
      <c r="I1509" t="s">
        <v>5647</v>
      </c>
      <c r="J1509">
        <v>12.8661609823451</v>
      </c>
      <c r="K1509">
        <v>13.424020592111299</v>
      </c>
      <c r="L1509">
        <v>13.259688651482</v>
      </c>
      <c r="M1509" t="s">
        <v>29</v>
      </c>
      <c r="N1509" t="s">
        <v>29</v>
      </c>
      <c r="O1509">
        <v>13.4537005209291</v>
      </c>
      <c r="P1509">
        <v>0.27041044561627797</v>
      </c>
      <c r="Q1509">
        <v>-0.35292826623893903</v>
      </c>
      <c r="R1509">
        <v>0.89374915747149497</v>
      </c>
      <c r="S1509">
        <v>13.153973382433</v>
      </c>
      <c r="T1509">
        <v>0.931089132064851</v>
      </c>
      <c r="U1509">
        <v>-6.36746648267835</v>
      </c>
      <c r="V1509">
        <v>0.36770320452705901</v>
      </c>
      <c r="W1509">
        <v>0.53538603939784701</v>
      </c>
      <c r="X1509">
        <v>0</v>
      </c>
      <c r="Y1509">
        <v>0</v>
      </c>
    </row>
    <row r="1510" spans="1:25" x14ac:dyDescent="0.2">
      <c r="A1510" t="s">
        <v>5648</v>
      </c>
      <c r="B1510" t="s">
        <v>5649</v>
      </c>
      <c r="C1510" t="s">
        <v>5650</v>
      </c>
      <c r="D1510" t="s">
        <v>5651</v>
      </c>
      <c r="E1510" t="s">
        <v>5649</v>
      </c>
      <c r="F1510" t="s">
        <v>28</v>
      </c>
      <c r="G1510" t="s">
        <v>5649</v>
      </c>
      <c r="H1510" t="str">
        <f>"sumv-1"</f>
        <v>sumv-1</v>
      </c>
      <c r="I1510" t="s">
        <v>5651</v>
      </c>
      <c r="J1510">
        <v>11.4034134056505</v>
      </c>
      <c r="K1510">
        <v>12.094027263406799</v>
      </c>
      <c r="L1510">
        <v>11.8433296355481</v>
      </c>
      <c r="M1510" t="s">
        <v>29</v>
      </c>
      <c r="N1510" t="s">
        <v>29</v>
      </c>
      <c r="O1510">
        <v>10.3780367365747</v>
      </c>
      <c r="P1510">
        <v>-1.4022200316270801</v>
      </c>
      <c r="Q1510">
        <v>-2.1589590254631599</v>
      </c>
      <c r="R1510">
        <v>-0.64548103779100097</v>
      </c>
      <c r="S1510">
        <v>11.8347421106384</v>
      </c>
      <c r="T1510">
        <v>-3.9302446356101601</v>
      </c>
      <c r="U1510">
        <v>-1.1740255233505099</v>
      </c>
      <c r="V1510">
        <v>1.2087111813357801E-3</v>
      </c>
      <c r="W1510">
        <v>1.0415414770165299E-2</v>
      </c>
      <c r="X1510">
        <v>-1</v>
      </c>
      <c r="Y1510">
        <v>-1</v>
      </c>
    </row>
    <row r="1511" spans="1:25" x14ac:dyDescent="0.2">
      <c r="A1511" t="s">
        <v>5652</v>
      </c>
      <c r="B1511" t="s">
        <v>5653</v>
      </c>
      <c r="C1511" t="s">
        <v>5654</v>
      </c>
      <c r="D1511" t="s">
        <v>5655</v>
      </c>
      <c r="E1511" t="s">
        <v>5653</v>
      </c>
      <c r="F1511" t="s">
        <v>28</v>
      </c>
      <c r="G1511" t="s">
        <v>5653</v>
      </c>
      <c r="H1511" t="str">
        <f>"rps-0"</f>
        <v>rps-0</v>
      </c>
      <c r="I1511" t="s">
        <v>5655</v>
      </c>
      <c r="J1511">
        <v>17.872028581569001</v>
      </c>
      <c r="K1511">
        <v>17.722326462793301</v>
      </c>
      <c r="L1511">
        <v>18.085209020100098</v>
      </c>
      <c r="M1511">
        <v>18.6571119263056</v>
      </c>
      <c r="N1511">
        <v>18.762843893400401</v>
      </c>
      <c r="O1511">
        <v>18.711573340361099</v>
      </c>
      <c r="P1511">
        <v>0.81732169853488301</v>
      </c>
      <c r="Q1511">
        <v>0.457407692747059</v>
      </c>
      <c r="R1511">
        <v>1.17723570432271</v>
      </c>
      <c r="S1511">
        <v>18.272392976544101</v>
      </c>
      <c r="T1511">
        <v>4.7729490102148597</v>
      </c>
      <c r="U1511">
        <v>0.52978373991559802</v>
      </c>
      <c r="V1511">
        <v>1.5445736957906699E-4</v>
      </c>
      <c r="W1511">
        <v>2.38317208455241E-3</v>
      </c>
      <c r="X1511">
        <v>0</v>
      </c>
      <c r="Y1511">
        <v>0</v>
      </c>
    </row>
    <row r="1512" spans="1:25" x14ac:dyDescent="0.2">
      <c r="A1512" t="s">
        <v>5656</v>
      </c>
      <c r="B1512" t="s">
        <v>5657</v>
      </c>
      <c r="C1512" t="s">
        <v>5658</v>
      </c>
      <c r="D1512" t="s">
        <v>5659</v>
      </c>
      <c r="E1512" t="s">
        <v>5657</v>
      </c>
      <c r="F1512" t="s">
        <v>28</v>
      </c>
      <c r="G1512" t="s">
        <v>5657</v>
      </c>
      <c r="H1512" t="str">
        <f>"stt-3"</f>
        <v>stt-3</v>
      </c>
      <c r="I1512" t="s">
        <v>5659</v>
      </c>
      <c r="J1512">
        <v>17.764056638871299</v>
      </c>
      <c r="K1512">
        <v>17.797239175213502</v>
      </c>
      <c r="L1512">
        <v>17.715633597937</v>
      </c>
      <c r="M1512">
        <v>17.4571280942694</v>
      </c>
      <c r="N1512">
        <v>17.792135110734801</v>
      </c>
      <c r="O1512">
        <v>17.8240834877049</v>
      </c>
      <c r="P1512">
        <v>-6.7860906437537893E-2</v>
      </c>
      <c r="Q1512">
        <v>-0.45961258619178702</v>
      </c>
      <c r="R1512">
        <v>0.32389077331671201</v>
      </c>
      <c r="S1512">
        <v>17.8409269219683</v>
      </c>
      <c r="T1512">
        <v>-0.36408375544924798</v>
      </c>
      <c r="U1512">
        <v>-7.0869950094785796</v>
      </c>
      <c r="V1512">
        <v>0.72006173950668195</v>
      </c>
      <c r="W1512">
        <v>0.81967312928920999</v>
      </c>
      <c r="X1512">
        <v>0</v>
      </c>
      <c r="Y1512">
        <v>0</v>
      </c>
    </row>
    <row r="1513" spans="1:25" x14ac:dyDescent="0.2">
      <c r="A1513" t="s">
        <v>5660</v>
      </c>
      <c r="B1513" t="s">
        <v>5661</v>
      </c>
      <c r="C1513" t="s">
        <v>5662</v>
      </c>
      <c r="D1513" t="s">
        <v>5663</v>
      </c>
      <c r="E1513" t="s">
        <v>5661</v>
      </c>
      <c r="F1513" t="s">
        <v>28</v>
      </c>
      <c r="G1513" t="s">
        <v>5661</v>
      </c>
      <c r="H1513" t="str">
        <f>"cct-2"</f>
        <v>cct-2</v>
      </c>
      <c r="I1513" t="s">
        <v>5663</v>
      </c>
      <c r="J1513">
        <v>15.544192681416501</v>
      </c>
      <c r="K1513">
        <v>15.1906608002972</v>
      </c>
      <c r="L1513">
        <v>15.4968884973842</v>
      </c>
      <c r="M1513">
        <v>15.844416975570001</v>
      </c>
      <c r="N1513">
        <v>15.561114986818</v>
      </c>
      <c r="O1513">
        <v>15.3101014729538</v>
      </c>
      <c r="P1513">
        <v>0.16129715208134199</v>
      </c>
      <c r="Q1513">
        <v>-0.26046026312152998</v>
      </c>
      <c r="R1513">
        <v>0.58305456728421501</v>
      </c>
      <c r="S1513">
        <v>15.4582862486147</v>
      </c>
      <c r="T1513">
        <v>0.80381570201637897</v>
      </c>
      <c r="U1513">
        <v>-6.8232364864145003</v>
      </c>
      <c r="V1513">
        <v>0.43205214741646297</v>
      </c>
      <c r="W1513">
        <v>0.59721279476375</v>
      </c>
      <c r="X1513">
        <v>0</v>
      </c>
      <c r="Y1513">
        <v>0</v>
      </c>
    </row>
    <row r="1514" spans="1:25" x14ac:dyDescent="0.2">
      <c r="A1514" t="s">
        <v>5664</v>
      </c>
      <c r="B1514" t="s">
        <v>5665</v>
      </c>
      <c r="C1514" t="s">
        <v>5666</v>
      </c>
      <c r="D1514" t="s">
        <v>5667</v>
      </c>
      <c r="E1514" t="s">
        <v>5665</v>
      </c>
      <c r="F1514" t="s">
        <v>28</v>
      </c>
      <c r="G1514" t="s">
        <v>5665</v>
      </c>
      <c r="H1514" t="str">
        <f>"cct-4"</f>
        <v>cct-4</v>
      </c>
      <c r="I1514" t="s">
        <v>5667</v>
      </c>
      <c r="J1514">
        <v>14.937484830213799</v>
      </c>
      <c r="K1514">
        <v>14.724903988925</v>
      </c>
      <c r="L1514">
        <v>15.0981237846109</v>
      </c>
      <c r="M1514">
        <v>14.627801309712799</v>
      </c>
      <c r="N1514">
        <v>15.1505942470792</v>
      </c>
      <c r="O1514">
        <v>15.0097430728572</v>
      </c>
      <c r="P1514">
        <v>9.2086752998170596E-3</v>
      </c>
      <c r="Q1514">
        <v>-0.42308798169404899</v>
      </c>
      <c r="R1514">
        <v>0.44150533229368299</v>
      </c>
      <c r="S1514">
        <v>15.1133668507895</v>
      </c>
      <c r="T1514">
        <v>4.4772134109587303E-2</v>
      </c>
      <c r="U1514">
        <v>-7.1552501774968897</v>
      </c>
      <c r="V1514">
        <v>0.96478476502875599</v>
      </c>
      <c r="W1514">
        <v>0.97960582951599495</v>
      </c>
      <c r="X1514">
        <v>0</v>
      </c>
      <c r="Y1514">
        <v>0</v>
      </c>
    </row>
    <row r="1515" spans="1:25" x14ac:dyDescent="0.2">
      <c r="A1515" t="s">
        <v>5668</v>
      </c>
      <c r="B1515" t="s">
        <v>5669</v>
      </c>
      <c r="C1515" t="s">
        <v>5670</v>
      </c>
      <c r="D1515" t="s">
        <v>5671</v>
      </c>
      <c r="E1515" t="s">
        <v>5669</v>
      </c>
      <c r="F1515" t="s">
        <v>28</v>
      </c>
      <c r="G1515" t="s">
        <v>5669</v>
      </c>
      <c r="H1515" t="str">
        <f>"cct-5"</f>
        <v>cct-5</v>
      </c>
      <c r="I1515" t="s">
        <v>5671</v>
      </c>
      <c r="J1515">
        <v>14.8930118292594</v>
      </c>
      <c r="K1515">
        <v>14.600909047935</v>
      </c>
      <c r="L1515">
        <v>14.918155973118299</v>
      </c>
      <c r="M1515">
        <v>14.556011288169</v>
      </c>
      <c r="N1515">
        <v>14.3846114715813</v>
      </c>
      <c r="O1515">
        <v>14.681600851210099</v>
      </c>
      <c r="P1515">
        <v>-0.26328441311742001</v>
      </c>
      <c r="Q1515">
        <v>-0.64521428004029002</v>
      </c>
      <c r="R1515">
        <v>0.11864545380545</v>
      </c>
      <c r="S1515">
        <v>14.6797911955445</v>
      </c>
      <c r="T1515">
        <v>-1.4488854144350001</v>
      </c>
      <c r="U1515">
        <v>-6.1149496393006899</v>
      </c>
      <c r="V1515">
        <v>0.16466693317488901</v>
      </c>
      <c r="W1515">
        <v>0.313281763761393</v>
      </c>
      <c r="X1515">
        <v>0</v>
      </c>
      <c r="Y1515">
        <v>0</v>
      </c>
    </row>
    <row r="1516" spans="1:25" x14ac:dyDescent="0.2">
      <c r="A1516" t="s">
        <v>5672</v>
      </c>
      <c r="B1516" t="s">
        <v>5673</v>
      </c>
      <c r="C1516" t="s">
        <v>5674</v>
      </c>
      <c r="D1516" t="s">
        <v>5675</v>
      </c>
      <c r="E1516" t="s">
        <v>5673</v>
      </c>
      <c r="F1516" t="s">
        <v>28</v>
      </c>
      <c r="G1516" t="s">
        <v>5673</v>
      </c>
      <c r="H1516" t="str">
        <f>"rpl-6"</f>
        <v>rpl-6</v>
      </c>
      <c r="I1516" t="s">
        <v>5675</v>
      </c>
      <c r="J1516">
        <v>21.186681059009299</v>
      </c>
      <c r="K1516">
        <v>21.2439646041705</v>
      </c>
      <c r="L1516">
        <v>21.263867063700602</v>
      </c>
      <c r="M1516">
        <v>20.424937283815801</v>
      </c>
      <c r="N1516">
        <v>20.586989690035001</v>
      </c>
      <c r="O1516">
        <v>20.8669063518333</v>
      </c>
      <c r="P1516">
        <v>-0.60522646706542804</v>
      </c>
      <c r="Q1516">
        <v>-1.0440642501692701</v>
      </c>
      <c r="R1516">
        <v>-0.16638868396158801</v>
      </c>
      <c r="S1516">
        <v>21.0421389456403</v>
      </c>
      <c r="T1516">
        <v>-2.8987209714908801</v>
      </c>
      <c r="U1516">
        <v>-3.5458420238286599</v>
      </c>
      <c r="V1516">
        <v>9.6131029497881892E-3</v>
      </c>
      <c r="W1516">
        <v>4.4542806536037802E-2</v>
      </c>
      <c r="X1516">
        <v>0</v>
      </c>
      <c r="Y1516">
        <v>0</v>
      </c>
    </row>
    <row r="1517" spans="1:25" x14ac:dyDescent="0.2">
      <c r="A1517" t="s">
        <v>5676</v>
      </c>
      <c r="B1517" t="s">
        <v>5677</v>
      </c>
      <c r="C1517" t="s">
        <v>5678</v>
      </c>
      <c r="D1517" t="s">
        <v>5679</v>
      </c>
      <c r="E1517" t="s">
        <v>5677</v>
      </c>
      <c r="F1517" t="s">
        <v>28</v>
      </c>
      <c r="G1517" t="s">
        <v>5677</v>
      </c>
      <c r="H1517" t="str">
        <f>"C05D11.1"</f>
        <v>C05D11.1</v>
      </c>
      <c r="I1517" t="s">
        <v>5679</v>
      </c>
      <c r="J1517">
        <v>11.0975074795717</v>
      </c>
      <c r="K1517">
        <v>11.3616161734451</v>
      </c>
      <c r="L1517">
        <v>11.986003258012101</v>
      </c>
      <c r="M1517" t="s">
        <v>29</v>
      </c>
      <c r="N1517" t="s">
        <v>29</v>
      </c>
      <c r="O1517">
        <v>11.9208826762966</v>
      </c>
      <c r="P1517">
        <v>0.43917370595361599</v>
      </c>
      <c r="Q1517">
        <v>-0.497876762401184</v>
      </c>
      <c r="R1517">
        <v>1.37622417430842</v>
      </c>
      <c r="S1517">
        <v>12.300742414117799</v>
      </c>
      <c r="T1517">
        <v>0.99408352905727104</v>
      </c>
      <c r="U1517">
        <v>-6.3094161331368896</v>
      </c>
      <c r="V1517">
        <v>0.335075335364031</v>
      </c>
      <c r="W1517">
        <v>0.50587449452756095</v>
      </c>
      <c r="X1517">
        <v>0</v>
      </c>
      <c r="Y1517">
        <v>0</v>
      </c>
    </row>
    <row r="1518" spans="1:25" x14ac:dyDescent="0.2">
      <c r="A1518" t="s">
        <v>5680</v>
      </c>
      <c r="B1518" t="s">
        <v>5681</v>
      </c>
      <c r="C1518" t="s">
        <v>5682</v>
      </c>
      <c r="D1518" t="s">
        <v>5683</v>
      </c>
      <c r="E1518" t="s">
        <v>5681</v>
      </c>
      <c r="F1518" t="s">
        <v>28</v>
      </c>
      <c r="G1518" t="s">
        <v>5681</v>
      </c>
      <c r="H1518" t="str">
        <f>"rps-14"</f>
        <v>rps-14</v>
      </c>
      <c r="I1518" t="s">
        <v>5683</v>
      </c>
      <c r="J1518">
        <v>22.388012525095299</v>
      </c>
      <c r="K1518">
        <v>22.467444666873099</v>
      </c>
      <c r="L1518">
        <v>22.4610362335819</v>
      </c>
      <c r="M1518">
        <v>21.739108568741202</v>
      </c>
      <c r="N1518">
        <v>22.046519234973001</v>
      </c>
      <c r="O1518">
        <v>22.192510474469699</v>
      </c>
      <c r="P1518">
        <v>-0.44611838245545599</v>
      </c>
      <c r="Q1518">
        <v>-0.89402745695001395</v>
      </c>
      <c r="R1518">
        <v>1.7906920391015399E-3</v>
      </c>
      <c r="S1518">
        <v>22.113799850500801</v>
      </c>
      <c r="T1518">
        <v>-2.0934026558322598</v>
      </c>
      <c r="U1518">
        <v>-5.1006251142947603</v>
      </c>
      <c r="V1518">
        <v>5.0828525546369303E-2</v>
      </c>
      <c r="W1518">
        <v>0.13754973809471999</v>
      </c>
      <c r="X1518">
        <v>0</v>
      </c>
      <c r="Y1518">
        <v>0</v>
      </c>
    </row>
    <row r="1519" spans="1:25" x14ac:dyDescent="0.2">
      <c r="A1519" t="s">
        <v>5684</v>
      </c>
      <c r="B1519" t="s">
        <v>5685</v>
      </c>
      <c r="C1519" t="s">
        <v>5686</v>
      </c>
      <c r="D1519" t="s">
        <v>5687</v>
      </c>
      <c r="E1519" t="s">
        <v>5685</v>
      </c>
      <c r="F1519" t="s">
        <v>28</v>
      </c>
      <c r="G1519" t="s">
        <v>5685</v>
      </c>
      <c r="H1519" t="str">
        <f>"rps-3"</f>
        <v>rps-3</v>
      </c>
      <c r="I1519" t="s">
        <v>5687</v>
      </c>
      <c r="J1519">
        <v>21.072654963019701</v>
      </c>
      <c r="K1519">
        <v>21.0948950637667</v>
      </c>
      <c r="L1519">
        <v>21.032983099033</v>
      </c>
      <c r="M1519">
        <v>20.522275511693302</v>
      </c>
      <c r="N1519">
        <v>20.1107356803847</v>
      </c>
      <c r="O1519">
        <v>20.210195245557099</v>
      </c>
      <c r="P1519">
        <v>-0.785775562728105</v>
      </c>
      <c r="Q1519">
        <v>-1.3132519412752499</v>
      </c>
      <c r="R1519">
        <v>-0.25829918418095799</v>
      </c>
      <c r="S1519">
        <v>20.592446792400501</v>
      </c>
      <c r="T1519">
        <v>-3.1310356724889501</v>
      </c>
      <c r="U1519">
        <v>-3.0599399491947099</v>
      </c>
      <c r="V1519">
        <v>5.8041970371978399E-3</v>
      </c>
      <c r="W1519">
        <v>3.1156591381825201E-2</v>
      </c>
      <c r="X1519">
        <v>0</v>
      </c>
      <c r="Y1519">
        <v>0</v>
      </c>
    </row>
    <row r="1520" spans="1:25" x14ac:dyDescent="0.2">
      <c r="A1520" t="s">
        <v>5688</v>
      </c>
      <c r="B1520" t="s">
        <v>5689</v>
      </c>
      <c r="C1520" t="s">
        <v>5690</v>
      </c>
      <c r="D1520" t="s">
        <v>5691</v>
      </c>
      <c r="E1520" t="s">
        <v>5689</v>
      </c>
      <c r="F1520" t="s">
        <v>28</v>
      </c>
      <c r="G1520" t="s">
        <v>5689</v>
      </c>
      <c r="H1520" t="str">
        <f>"rps-1"</f>
        <v>rps-1</v>
      </c>
      <c r="I1520" t="s">
        <v>5691</v>
      </c>
      <c r="J1520">
        <v>20.945620111662901</v>
      </c>
      <c r="K1520">
        <v>20.827611864077799</v>
      </c>
      <c r="L1520">
        <v>20.978100629397598</v>
      </c>
      <c r="M1520">
        <v>20.307497398265401</v>
      </c>
      <c r="N1520">
        <v>20.1700948688142</v>
      </c>
      <c r="O1520">
        <v>20.3376905553996</v>
      </c>
      <c r="P1520">
        <v>-0.64534992755307397</v>
      </c>
      <c r="Q1520">
        <v>-1.02545945413962</v>
      </c>
      <c r="R1520">
        <v>-0.26524040096652701</v>
      </c>
      <c r="S1520">
        <v>20.698496247480101</v>
      </c>
      <c r="T1520">
        <v>-3.5684451398516899</v>
      </c>
      <c r="U1520">
        <v>-2.1190241684985298</v>
      </c>
      <c r="V1520">
        <v>2.2125957878544201E-3</v>
      </c>
      <c r="W1520">
        <v>1.55250471114452E-2</v>
      </c>
      <c r="X1520">
        <v>0</v>
      </c>
      <c r="Y1520">
        <v>0</v>
      </c>
    </row>
    <row r="1521" spans="1:25" x14ac:dyDescent="0.2">
      <c r="A1521" t="s">
        <v>5692</v>
      </c>
      <c r="B1521" t="s">
        <v>5693</v>
      </c>
      <c r="C1521" t="s">
        <v>5694</v>
      </c>
      <c r="D1521" t="s">
        <v>5695</v>
      </c>
      <c r="E1521" t="s">
        <v>5693</v>
      </c>
      <c r="F1521" t="s">
        <v>28</v>
      </c>
      <c r="G1521" t="s">
        <v>5693</v>
      </c>
      <c r="H1521" t="str">
        <f>"rps-8"</f>
        <v>rps-8</v>
      </c>
      <c r="I1521" t="s">
        <v>5695</v>
      </c>
      <c r="J1521">
        <v>20.141698490414498</v>
      </c>
      <c r="K1521">
        <v>20.3210400494381</v>
      </c>
      <c r="L1521">
        <v>20.339678904581799</v>
      </c>
      <c r="M1521">
        <v>19.745520262627501</v>
      </c>
      <c r="N1521">
        <v>19.681520218991398</v>
      </c>
      <c r="O1521">
        <v>19.874318722451399</v>
      </c>
      <c r="P1521">
        <v>-0.50035274678803499</v>
      </c>
      <c r="Q1521">
        <v>-0.87596481020758699</v>
      </c>
      <c r="R1521">
        <v>-0.124740683368484</v>
      </c>
      <c r="S1521">
        <v>20.0162771219712</v>
      </c>
      <c r="T1521">
        <v>-2.7998145717066301</v>
      </c>
      <c r="U1521">
        <v>-3.7487574211930998</v>
      </c>
      <c r="V1521">
        <v>1.1887827181388699E-2</v>
      </c>
      <c r="W1521">
        <v>5.1143688618324697E-2</v>
      </c>
      <c r="X1521">
        <v>0</v>
      </c>
      <c r="Y1521">
        <v>0</v>
      </c>
    </row>
    <row r="1522" spans="1:25" x14ac:dyDescent="0.2">
      <c r="A1522" t="s">
        <v>5696</v>
      </c>
      <c r="B1522" t="s">
        <v>5697</v>
      </c>
      <c r="C1522" t="s">
        <v>5698</v>
      </c>
      <c r="D1522" t="s">
        <v>5699</v>
      </c>
      <c r="E1522" t="s">
        <v>5697</v>
      </c>
      <c r="F1522" t="s">
        <v>28</v>
      </c>
      <c r="G1522" t="s">
        <v>5697</v>
      </c>
      <c r="H1522" t="str">
        <f>"rpl-23"</f>
        <v>rpl-23</v>
      </c>
      <c r="I1522" t="s">
        <v>5699</v>
      </c>
      <c r="J1522">
        <v>21.226216979359901</v>
      </c>
      <c r="K1522">
        <v>21.206042134982201</v>
      </c>
      <c r="L1522">
        <v>21.203273304040401</v>
      </c>
      <c r="M1522">
        <v>19.904967567960199</v>
      </c>
      <c r="N1522">
        <v>20.211870699300999</v>
      </c>
      <c r="O1522">
        <v>20.359085496564202</v>
      </c>
      <c r="P1522">
        <v>-1.05320288485238</v>
      </c>
      <c r="Q1522">
        <v>-1.46765805426301</v>
      </c>
      <c r="R1522">
        <v>-0.63874771544174103</v>
      </c>
      <c r="S1522">
        <v>20.807530542674801</v>
      </c>
      <c r="T1522">
        <v>-5.34105428823983</v>
      </c>
      <c r="U1522">
        <v>1.76016390662462</v>
      </c>
      <c r="V1522" s="2">
        <v>4.5521744285595598E-5</v>
      </c>
      <c r="W1522">
        <v>9.5143674049397305E-4</v>
      </c>
      <c r="X1522">
        <v>-1</v>
      </c>
      <c r="Y1522">
        <v>-1</v>
      </c>
    </row>
    <row r="1523" spans="1:25" x14ac:dyDescent="0.2">
      <c r="A1523" t="s">
        <v>5700</v>
      </c>
      <c r="B1523" t="s">
        <v>5701</v>
      </c>
      <c r="C1523" t="s">
        <v>5702</v>
      </c>
      <c r="D1523" t="s">
        <v>5703</v>
      </c>
      <c r="E1523" t="s">
        <v>5701</v>
      </c>
      <c r="F1523" t="s">
        <v>28</v>
      </c>
      <c r="G1523" t="s">
        <v>5701</v>
      </c>
      <c r="H1523" t="str">
        <f>"rpl-25.1"</f>
        <v>rpl-25.1</v>
      </c>
      <c r="I1523" t="s">
        <v>5703</v>
      </c>
      <c r="J1523">
        <v>12.237496734370801</v>
      </c>
      <c r="K1523">
        <v>12.294649569956</v>
      </c>
      <c r="L1523">
        <v>12.768964512584301</v>
      </c>
      <c r="M1523">
        <v>14.323099719169701</v>
      </c>
      <c r="N1523">
        <v>11.585026550940601</v>
      </c>
      <c r="O1523">
        <v>9.6896895134015004</v>
      </c>
      <c r="P1523">
        <v>-0.56776501113311195</v>
      </c>
      <c r="Q1523">
        <v>-2.1049788380658301</v>
      </c>
      <c r="R1523">
        <v>0.96944881579960196</v>
      </c>
      <c r="S1523">
        <v>13.215169458736501</v>
      </c>
      <c r="T1523">
        <v>-0.77629512039121995</v>
      </c>
      <c r="U1523">
        <v>-6.8452834381519301</v>
      </c>
      <c r="V1523">
        <v>0.44771439332164298</v>
      </c>
      <c r="W1523">
        <v>0.61311074215561401</v>
      </c>
      <c r="X1523">
        <v>0</v>
      </c>
      <c r="Y1523">
        <v>0</v>
      </c>
    </row>
    <row r="1524" spans="1:25" x14ac:dyDescent="0.2">
      <c r="A1524" t="s">
        <v>5704</v>
      </c>
      <c r="B1524" t="s">
        <v>5705</v>
      </c>
      <c r="C1524" t="s">
        <v>5706</v>
      </c>
      <c r="D1524" t="s">
        <v>5707</v>
      </c>
      <c r="E1524" t="s">
        <v>5705</v>
      </c>
      <c r="F1524" t="s">
        <v>28</v>
      </c>
      <c r="G1524" t="s">
        <v>5705</v>
      </c>
      <c r="H1524" t="str">
        <f>"rpl-36.A"</f>
        <v>rpl-36.A</v>
      </c>
      <c r="I1524" t="s">
        <v>5707</v>
      </c>
      <c r="J1524">
        <v>18.102656214091699</v>
      </c>
      <c r="K1524">
        <v>17.638803132370899</v>
      </c>
      <c r="L1524">
        <v>17.592742512514199</v>
      </c>
      <c r="M1524">
        <v>20.743969679934899</v>
      </c>
      <c r="N1524">
        <v>19.399004624153701</v>
      </c>
      <c r="O1524">
        <v>17.414168433877801</v>
      </c>
      <c r="P1524">
        <v>1.4076469596632</v>
      </c>
      <c r="Q1524">
        <v>0.28400323384461001</v>
      </c>
      <c r="R1524">
        <v>2.5312906854818</v>
      </c>
      <c r="S1524">
        <v>17.2853004934803</v>
      </c>
      <c r="T1524">
        <v>2.6330410421654902</v>
      </c>
      <c r="U1524">
        <v>-4.0845429850568804</v>
      </c>
      <c r="V1524">
        <v>1.6938419415404301E-2</v>
      </c>
      <c r="W1524">
        <v>6.5941244408449701E-2</v>
      </c>
      <c r="X1524">
        <v>1</v>
      </c>
      <c r="Y1524">
        <v>0</v>
      </c>
    </row>
    <row r="1525" spans="1:25" x14ac:dyDescent="0.2">
      <c r="A1525" t="s">
        <v>5708</v>
      </c>
      <c r="B1525" t="s">
        <v>5709</v>
      </c>
      <c r="C1525" t="s">
        <v>5710</v>
      </c>
      <c r="D1525" t="s">
        <v>5711</v>
      </c>
      <c r="E1525" t="s">
        <v>5709</v>
      </c>
      <c r="F1525" t="s">
        <v>28</v>
      </c>
      <c r="G1525" t="s">
        <v>5709</v>
      </c>
      <c r="H1525" t="str">
        <f>"C36E8.1"</f>
        <v>C36E8.1</v>
      </c>
      <c r="I1525" t="s">
        <v>5711</v>
      </c>
      <c r="J1525" t="s">
        <v>29</v>
      </c>
      <c r="K1525" t="s">
        <v>29</v>
      </c>
      <c r="L1525" t="s">
        <v>29</v>
      </c>
      <c r="M1525" t="s">
        <v>29</v>
      </c>
      <c r="N1525" t="s">
        <v>29</v>
      </c>
      <c r="O1525" t="s">
        <v>29</v>
      </c>
      <c r="P1525" t="s">
        <v>29</v>
      </c>
      <c r="Q1525" t="s">
        <v>29</v>
      </c>
      <c r="R1525" t="s">
        <v>29</v>
      </c>
      <c r="S1525">
        <v>10.358873211494</v>
      </c>
      <c r="T1525" t="s">
        <v>29</v>
      </c>
      <c r="U1525" t="s">
        <v>29</v>
      </c>
      <c r="V1525" t="s">
        <v>29</v>
      </c>
      <c r="W1525" t="s">
        <v>29</v>
      </c>
      <c r="X1525" t="s">
        <v>29</v>
      </c>
      <c r="Y1525" t="s">
        <v>29</v>
      </c>
    </row>
    <row r="1526" spans="1:25" x14ac:dyDescent="0.2">
      <c r="A1526" t="s">
        <v>5712</v>
      </c>
      <c r="B1526" t="s">
        <v>5713</v>
      </c>
      <c r="C1526" t="s">
        <v>5714</v>
      </c>
      <c r="D1526" t="s">
        <v>5715</v>
      </c>
      <c r="E1526" t="s">
        <v>5713</v>
      </c>
      <c r="F1526" t="s">
        <v>28</v>
      </c>
      <c r="G1526" t="s">
        <v>5713</v>
      </c>
      <c r="H1526" t="str">
        <f>"erd-2.1"</f>
        <v>erd-2.1</v>
      </c>
      <c r="I1526" t="s">
        <v>5715</v>
      </c>
      <c r="J1526">
        <v>12.1902214637621</v>
      </c>
      <c r="K1526">
        <v>12.079261790757</v>
      </c>
      <c r="L1526">
        <v>12.7766289412516</v>
      </c>
      <c r="M1526" t="s">
        <v>29</v>
      </c>
      <c r="N1526" t="s">
        <v>29</v>
      </c>
      <c r="O1526" t="s">
        <v>29</v>
      </c>
      <c r="P1526" t="s">
        <v>29</v>
      </c>
      <c r="Q1526" t="s">
        <v>29</v>
      </c>
      <c r="R1526" t="s">
        <v>29</v>
      </c>
      <c r="S1526">
        <v>13.993850231601201</v>
      </c>
      <c r="T1526" t="s">
        <v>29</v>
      </c>
      <c r="U1526" t="s">
        <v>29</v>
      </c>
      <c r="V1526" t="s">
        <v>29</v>
      </c>
      <c r="W1526" t="s">
        <v>29</v>
      </c>
      <c r="X1526" t="s">
        <v>29</v>
      </c>
      <c r="Y1526" t="s">
        <v>29</v>
      </c>
    </row>
    <row r="1527" spans="1:25" x14ac:dyDescent="0.2">
      <c r="A1527" t="s">
        <v>5716</v>
      </c>
      <c r="B1527" t="s">
        <v>5717</v>
      </c>
      <c r="C1527" t="s">
        <v>5718</v>
      </c>
      <c r="D1527" t="s">
        <v>5719</v>
      </c>
      <c r="E1527" t="s">
        <v>5717</v>
      </c>
      <c r="F1527" t="s">
        <v>28</v>
      </c>
      <c r="G1527" t="s">
        <v>5717</v>
      </c>
      <c r="H1527" t="str">
        <f>"gsp-2"</f>
        <v>gsp-2</v>
      </c>
      <c r="I1527" t="s">
        <v>5719</v>
      </c>
      <c r="J1527">
        <v>13.630179762734899</v>
      </c>
      <c r="K1527">
        <v>13.969715753179001</v>
      </c>
      <c r="L1527">
        <v>13.586748976985501</v>
      </c>
      <c r="M1527">
        <v>13.909652189889499</v>
      </c>
      <c r="N1527">
        <v>14.051702617733699</v>
      </c>
      <c r="O1527">
        <v>14.0140186026322</v>
      </c>
      <c r="P1527">
        <v>0.26290963911869603</v>
      </c>
      <c r="Q1527">
        <v>-0.25470893448432103</v>
      </c>
      <c r="R1527">
        <v>0.78052821272171302</v>
      </c>
      <c r="S1527">
        <v>14.0838822074427</v>
      </c>
      <c r="T1527">
        <v>1.06755232456872</v>
      </c>
      <c r="U1527">
        <v>-6.57659426255118</v>
      </c>
      <c r="V1527">
        <v>0.299913351108685</v>
      </c>
      <c r="W1527">
        <v>0.46863448871542601</v>
      </c>
      <c r="X1527">
        <v>0</v>
      </c>
      <c r="Y1527">
        <v>0</v>
      </c>
    </row>
    <row r="1528" spans="1:25" x14ac:dyDescent="0.2">
      <c r="A1528" t="s">
        <v>5720</v>
      </c>
      <c r="B1528" t="s">
        <v>5721</v>
      </c>
      <c r="C1528" t="s">
        <v>5722</v>
      </c>
      <c r="D1528" t="s">
        <v>5723</v>
      </c>
      <c r="E1528" t="s">
        <v>5721</v>
      </c>
      <c r="F1528" t="s">
        <v>28</v>
      </c>
      <c r="G1528" t="s">
        <v>5721</v>
      </c>
      <c r="H1528" t="str">
        <f>"dpy-27"</f>
        <v>dpy-27</v>
      </c>
      <c r="I1528" t="s">
        <v>5723</v>
      </c>
      <c r="J1528">
        <v>11.4981758012244</v>
      </c>
      <c r="K1528">
        <v>11.553407448387301</v>
      </c>
      <c r="L1528">
        <v>10.835202712289</v>
      </c>
      <c r="M1528" t="s">
        <v>29</v>
      </c>
      <c r="N1528" t="s">
        <v>29</v>
      </c>
      <c r="O1528">
        <v>11.7091471080579</v>
      </c>
      <c r="P1528">
        <v>0.41355178742434101</v>
      </c>
      <c r="Q1528">
        <v>-0.338832036115083</v>
      </c>
      <c r="R1528">
        <v>1.16593561096376</v>
      </c>
      <c r="S1528">
        <v>11.447018149262201</v>
      </c>
      <c r="T1528">
        <v>1.17228189733579</v>
      </c>
      <c r="U1528">
        <v>-6.1200130901694703</v>
      </c>
      <c r="V1528">
        <v>0.25949289027901301</v>
      </c>
      <c r="W1528">
        <v>0.42628782406159899</v>
      </c>
      <c r="X1528">
        <v>0</v>
      </c>
      <c r="Y1528">
        <v>0</v>
      </c>
    </row>
    <row r="1529" spans="1:25" x14ac:dyDescent="0.2">
      <c r="A1529" t="s">
        <v>5724</v>
      </c>
      <c r="B1529" t="s">
        <v>5725</v>
      </c>
      <c r="C1529" t="s">
        <v>5726</v>
      </c>
      <c r="D1529" t="s">
        <v>5727</v>
      </c>
      <c r="E1529" t="s">
        <v>5725</v>
      </c>
      <c r="F1529" t="s">
        <v>28</v>
      </c>
      <c r="G1529" t="s">
        <v>5725</v>
      </c>
      <c r="H1529" t="str">
        <f>"mag-1"</f>
        <v>mag-1</v>
      </c>
      <c r="I1529" t="s">
        <v>5727</v>
      </c>
      <c r="J1529" t="s">
        <v>29</v>
      </c>
      <c r="K1529" t="s">
        <v>29</v>
      </c>
      <c r="L1529" t="s">
        <v>29</v>
      </c>
      <c r="M1529" t="s">
        <v>29</v>
      </c>
      <c r="N1529">
        <v>13.0152254999796</v>
      </c>
      <c r="O1529">
        <v>13.4874250351084</v>
      </c>
      <c r="P1529" t="s">
        <v>29</v>
      </c>
      <c r="Q1529" t="s">
        <v>29</v>
      </c>
      <c r="R1529" t="s">
        <v>29</v>
      </c>
      <c r="S1529">
        <v>12.4361245801582</v>
      </c>
      <c r="T1529" t="s">
        <v>29</v>
      </c>
      <c r="U1529" t="s">
        <v>29</v>
      </c>
      <c r="V1529" t="s">
        <v>29</v>
      </c>
      <c r="W1529" t="s">
        <v>29</v>
      </c>
      <c r="X1529" t="s">
        <v>29</v>
      </c>
      <c r="Y1529" t="s">
        <v>29</v>
      </c>
    </row>
    <row r="1530" spans="1:25" x14ac:dyDescent="0.2">
      <c r="A1530" t="s">
        <v>5728</v>
      </c>
      <c r="B1530" t="s">
        <v>5729</v>
      </c>
      <c r="C1530" t="s">
        <v>5730</v>
      </c>
      <c r="D1530" t="s">
        <v>5731</v>
      </c>
      <c r="E1530" t="s">
        <v>5729</v>
      </c>
      <c r="F1530" t="s">
        <v>28</v>
      </c>
      <c r="G1530" t="s">
        <v>5729</v>
      </c>
      <c r="H1530" t="str">
        <f>"rps-5"</f>
        <v>rps-5</v>
      </c>
      <c r="I1530" t="s">
        <v>5731</v>
      </c>
      <c r="J1530">
        <v>16.259868032634699</v>
      </c>
      <c r="K1530">
        <v>16.513193720220901</v>
      </c>
      <c r="L1530">
        <v>16.867326069933402</v>
      </c>
      <c r="M1530">
        <v>16.531519761051101</v>
      </c>
      <c r="N1530">
        <v>16.614483369796901</v>
      </c>
      <c r="O1530">
        <v>16.2047891602463</v>
      </c>
      <c r="P1530">
        <v>-9.6531843898255004E-2</v>
      </c>
      <c r="Q1530">
        <v>-0.59181953079009397</v>
      </c>
      <c r="R1530">
        <v>0.39875584299358502</v>
      </c>
      <c r="S1530">
        <v>16.961205091435101</v>
      </c>
      <c r="T1530">
        <v>-0.40964304313452798</v>
      </c>
      <c r="U1530">
        <v>-7.0686506919646401</v>
      </c>
      <c r="V1530">
        <v>0.68692971104400802</v>
      </c>
      <c r="W1530">
        <v>0.79582614977449895</v>
      </c>
      <c r="X1530">
        <v>0</v>
      </c>
      <c r="Y1530">
        <v>0</v>
      </c>
    </row>
    <row r="1531" spans="1:25" x14ac:dyDescent="0.2">
      <c r="A1531" t="s">
        <v>5732</v>
      </c>
      <c r="B1531" t="s">
        <v>5733</v>
      </c>
      <c r="C1531" t="s">
        <v>5734</v>
      </c>
      <c r="D1531" t="s">
        <v>5735</v>
      </c>
      <c r="E1531" t="s">
        <v>5733</v>
      </c>
      <c r="F1531" t="s">
        <v>28</v>
      </c>
      <c r="G1531" t="s">
        <v>5733</v>
      </c>
      <c r="H1531" t="str">
        <f>"imp-2"</f>
        <v>imp-2</v>
      </c>
      <c r="I1531" t="s">
        <v>5735</v>
      </c>
      <c r="J1531">
        <v>15.7779454488167</v>
      </c>
      <c r="K1531">
        <v>15.689184277641999</v>
      </c>
      <c r="L1531">
        <v>15.572724385480999</v>
      </c>
      <c r="M1531">
        <v>14.9608583489069</v>
      </c>
      <c r="N1531">
        <v>15.2537232048173</v>
      </c>
      <c r="O1531">
        <v>15.815613444741899</v>
      </c>
      <c r="P1531">
        <v>-0.33655303782449397</v>
      </c>
      <c r="Q1531">
        <v>-0.79611588402379296</v>
      </c>
      <c r="R1531">
        <v>0.123009808374805</v>
      </c>
      <c r="S1531">
        <v>15.826395704027201</v>
      </c>
      <c r="T1531">
        <v>-1.5392214881019699</v>
      </c>
      <c r="U1531">
        <v>-5.9891053609715303</v>
      </c>
      <c r="V1531">
        <v>0.14124568667051099</v>
      </c>
      <c r="W1531">
        <v>0.28011510001210999</v>
      </c>
      <c r="X1531">
        <v>0</v>
      </c>
      <c r="Y1531">
        <v>0</v>
      </c>
    </row>
    <row r="1532" spans="1:25" x14ac:dyDescent="0.2">
      <c r="A1532" t="s">
        <v>5736</v>
      </c>
      <c r="B1532" t="s">
        <v>5737</v>
      </c>
      <c r="C1532" t="s">
        <v>5738</v>
      </c>
      <c r="D1532" t="s">
        <v>5739</v>
      </c>
      <c r="E1532" t="s">
        <v>5737</v>
      </c>
      <c r="F1532" t="s">
        <v>28</v>
      </c>
      <c r="G1532" t="s">
        <v>5737</v>
      </c>
      <c r="H1532" t="str">
        <f>"rpl-33"</f>
        <v>rpl-33</v>
      </c>
      <c r="I1532" t="s">
        <v>5739</v>
      </c>
      <c r="J1532">
        <v>20.123095664327899</v>
      </c>
      <c r="K1532">
        <v>20.101518516146101</v>
      </c>
      <c r="L1532">
        <v>19.992096622216501</v>
      </c>
      <c r="M1532">
        <v>19.1749916607011</v>
      </c>
      <c r="N1532">
        <v>19.3482600503966</v>
      </c>
      <c r="O1532">
        <v>19.6592911259924</v>
      </c>
      <c r="P1532">
        <v>-0.67805598853347204</v>
      </c>
      <c r="Q1532">
        <v>-1.2277736420688199</v>
      </c>
      <c r="R1532">
        <v>-0.128338334998128</v>
      </c>
      <c r="S1532">
        <v>19.493548000991499</v>
      </c>
      <c r="T1532">
        <v>-2.59249773170363</v>
      </c>
      <c r="U1532">
        <v>-4.1648407424143601</v>
      </c>
      <c r="V1532">
        <v>1.84450298507591E-2</v>
      </c>
      <c r="W1532">
        <v>6.9778566072127096E-2</v>
      </c>
      <c r="X1532">
        <v>0</v>
      </c>
      <c r="Y1532">
        <v>0</v>
      </c>
    </row>
    <row r="1533" spans="1:25" x14ac:dyDescent="0.2">
      <c r="A1533" t="s">
        <v>5740</v>
      </c>
      <c r="B1533" t="s">
        <v>5741</v>
      </c>
      <c r="C1533" t="s">
        <v>5742</v>
      </c>
      <c r="D1533" t="s">
        <v>5743</v>
      </c>
      <c r="E1533" t="s">
        <v>5741</v>
      </c>
      <c r="F1533" t="s">
        <v>28</v>
      </c>
      <c r="G1533" t="s">
        <v>5741</v>
      </c>
      <c r="H1533" t="str">
        <f>"rpl-36"</f>
        <v>rpl-36</v>
      </c>
      <c r="I1533" t="s">
        <v>5743</v>
      </c>
      <c r="J1533">
        <v>15.0468750797281</v>
      </c>
      <c r="K1533">
        <v>15.638629325296799</v>
      </c>
      <c r="L1533">
        <v>15.3098066413379</v>
      </c>
      <c r="M1533">
        <v>17.157189913527802</v>
      </c>
      <c r="N1533">
        <v>17.178559499306999</v>
      </c>
      <c r="O1533">
        <v>15.729289051381899</v>
      </c>
      <c r="P1533">
        <v>1.35657580595132</v>
      </c>
      <c r="Q1533">
        <v>0.53360168651262996</v>
      </c>
      <c r="R1533">
        <v>2.1795499253900101</v>
      </c>
      <c r="S1533">
        <v>15.3540299928562</v>
      </c>
      <c r="T1533">
        <v>3.4645784727177902</v>
      </c>
      <c r="U1533">
        <v>-2.3447879351765799</v>
      </c>
      <c r="V1533">
        <v>2.7851635596787402E-3</v>
      </c>
      <c r="W1533">
        <v>1.8444667439040999E-2</v>
      </c>
      <c r="X1533">
        <v>1</v>
      </c>
      <c r="Y1533">
        <v>1</v>
      </c>
    </row>
    <row r="1534" spans="1:25" x14ac:dyDescent="0.2">
      <c r="A1534" t="s">
        <v>5744</v>
      </c>
      <c r="B1534" t="s">
        <v>5745</v>
      </c>
      <c r="C1534" t="s">
        <v>5746</v>
      </c>
      <c r="D1534" t="s">
        <v>5747</v>
      </c>
      <c r="E1534" t="s">
        <v>5745</v>
      </c>
      <c r="F1534" t="s">
        <v>28</v>
      </c>
      <c r="G1534" t="s">
        <v>5745</v>
      </c>
      <c r="H1534" t="str">
        <f>"elo-3"</f>
        <v>elo-3</v>
      </c>
      <c r="I1534" t="s">
        <v>5747</v>
      </c>
      <c r="J1534">
        <v>14.74854248199</v>
      </c>
      <c r="K1534">
        <v>15.0510377691306</v>
      </c>
      <c r="L1534">
        <v>15.186858919414</v>
      </c>
      <c r="M1534" t="s">
        <v>29</v>
      </c>
      <c r="N1534" t="s">
        <v>29</v>
      </c>
      <c r="O1534" t="s">
        <v>29</v>
      </c>
      <c r="P1534" t="s">
        <v>29</v>
      </c>
      <c r="Q1534" t="s">
        <v>29</v>
      </c>
      <c r="R1534" t="s">
        <v>29</v>
      </c>
      <c r="S1534">
        <v>15.180311961025801</v>
      </c>
      <c r="T1534" t="s">
        <v>29</v>
      </c>
      <c r="U1534" t="s">
        <v>29</v>
      </c>
      <c r="V1534" t="s">
        <v>29</v>
      </c>
      <c r="W1534" t="s">
        <v>29</v>
      </c>
      <c r="X1534" t="s">
        <v>29</v>
      </c>
      <c r="Y1534" t="s">
        <v>29</v>
      </c>
    </row>
    <row r="1535" spans="1:25" x14ac:dyDescent="0.2">
      <c r="A1535" t="s">
        <v>5748</v>
      </c>
      <c r="B1535" t="s">
        <v>5749</v>
      </c>
      <c r="C1535" t="s">
        <v>5750</v>
      </c>
      <c r="D1535" t="s">
        <v>5751</v>
      </c>
      <c r="E1535" t="s">
        <v>5749</v>
      </c>
      <c r="F1535" t="s">
        <v>28</v>
      </c>
      <c r="G1535" t="s">
        <v>5749</v>
      </c>
      <c r="H1535" t="str">
        <f>"rps-12"</f>
        <v>rps-12</v>
      </c>
      <c r="I1535" t="s">
        <v>5751</v>
      </c>
      <c r="J1535">
        <v>14.984446231114401</v>
      </c>
      <c r="K1535">
        <v>14.54155879706</v>
      </c>
      <c r="L1535">
        <v>15.078970260043601</v>
      </c>
      <c r="M1535">
        <v>15.255184208842</v>
      </c>
      <c r="N1535">
        <v>14.841680984260501</v>
      </c>
      <c r="O1535">
        <v>14.6033582537843</v>
      </c>
      <c r="P1535">
        <v>3.1749386222946499E-2</v>
      </c>
      <c r="Q1535">
        <v>-0.57843842621980301</v>
      </c>
      <c r="R1535">
        <v>0.64193719866569598</v>
      </c>
      <c r="S1535">
        <v>14.9590266468101</v>
      </c>
      <c r="T1535">
        <v>0.109361464670455</v>
      </c>
      <c r="U1535">
        <v>-7.1500277090533304</v>
      </c>
      <c r="V1535">
        <v>0.91413282495564196</v>
      </c>
      <c r="W1535">
        <v>0.94904136075317602</v>
      </c>
      <c r="X1535">
        <v>0</v>
      </c>
      <c r="Y1535">
        <v>0</v>
      </c>
    </row>
    <row r="1536" spans="1:25" x14ac:dyDescent="0.2">
      <c r="A1536" t="s">
        <v>5752</v>
      </c>
      <c r="B1536" t="s">
        <v>5753</v>
      </c>
      <c r="C1536" t="s">
        <v>5754</v>
      </c>
      <c r="D1536" t="s">
        <v>5755</v>
      </c>
      <c r="E1536" t="s">
        <v>5753</v>
      </c>
      <c r="F1536" t="s">
        <v>28</v>
      </c>
      <c r="G1536" t="s">
        <v>5753</v>
      </c>
      <c r="H1536" t="str">
        <f>"rps-21"</f>
        <v>rps-21</v>
      </c>
      <c r="I1536" t="s">
        <v>5755</v>
      </c>
      <c r="J1536">
        <v>17.710208335565898</v>
      </c>
      <c r="K1536">
        <v>17.3886866306046</v>
      </c>
      <c r="L1536">
        <v>17.897845416359502</v>
      </c>
      <c r="M1536">
        <v>17.117261018946301</v>
      </c>
      <c r="N1536">
        <v>17.247039753144598</v>
      </c>
      <c r="O1536">
        <v>17.3581491786139</v>
      </c>
      <c r="P1536">
        <v>-0.42476347727508201</v>
      </c>
      <c r="Q1536">
        <v>-0.90065249070136799</v>
      </c>
      <c r="R1536">
        <v>5.1125536151203403E-2</v>
      </c>
      <c r="S1536">
        <v>17.757421173774599</v>
      </c>
      <c r="T1536">
        <v>-1.87600504510213</v>
      </c>
      <c r="U1536">
        <v>-5.4711496617837403</v>
      </c>
      <c r="V1536">
        <v>7.7063814488387297E-2</v>
      </c>
      <c r="W1536">
        <v>0.183003272600546</v>
      </c>
      <c r="X1536">
        <v>0</v>
      </c>
      <c r="Y1536">
        <v>0</v>
      </c>
    </row>
    <row r="1537" spans="1:25" x14ac:dyDescent="0.2">
      <c r="A1537" t="s">
        <v>5756</v>
      </c>
      <c r="B1537" t="s">
        <v>5757</v>
      </c>
      <c r="C1537" t="s">
        <v>5758</v>
      </c>
      <c r="D1537" t="s">
        <v>5759</v>
      </c>
      <c r="E1537" t="s">
        <v>5757</v>
      </c>
      <c r="F1537" t="s">
        <v>28</v>
      </c>
      <c r="G1537" t="s">
        <v>5757</v>
      </c>
      <c r="H1537" t="str">
        <f>"mrps-18C"</f>
        <v>mrps-18C</v>
      </c>
      <c r="I1537" t="s">
        <v>5759</v>
      </c>
      <c r="J1537">
        <v>15.898310506899</v>
      </c>
      <c r="K1537">
        <v>16.0681921030876</v>
      </c>
      <c r="L1537">
        <v>15.9977593046896</v>
      </c>
      <c r="M1537">
        <v>15.811812380894899</v>
      </c>
      <c r="N1537">
        <v>15.4870319828579</v>
      </c>
      <c r="O1537">
        <v>14.9383101443622</v>
      </c>
      <c r="P1537">
        <v>-0.575702468853724</v>
      </c>
      <c r="Q1537">
        <v>-1.0165970135444</v>
      </c>
      <c r="R1537">
        <v>-0.13480792416304699</v>
      </c>
      <c r="S1537">
        <v>16.022463423841099</v>
      </c>
      <c r="T1537">
        <v>-2.74445351907187</v>
      </c>
      <c r="U1537">
        <v>-3.8611543990379502</v>
      </c>
      <c r="V1537">
        <v>1.3378499092000101E-2</v>
      </c>
      <c r="W1537">
        <v>5.59240238640063E-2</v>
      </c>
      <c r="X1537">
        <v>0</v>
      </c>
      <c r="Y1537">
        <v>0</v>
      </c>
    </row>
    <row r="1538" spans="1:25" x14ac:dyDescent="0.2">
      <c r="A1538" t="s">
        <v>5760</v>
      </c>
      <c r="B1538" t="s">
        <v>5761</v>
      </c>
      <c r="C1538" t="s">
        <v>5762</v>
      </c>
      <c r="D1538" t="s">
        <v>5763</v>
      </c>
      <c r="E1538" t="s">
        <v>5761</v>
      </c>
      <c r="F1538" t="s">
        <v>28</v>
      </c>
      <c r="G1538" t="s">
        <v>5761</v>
      </c>
      <c r="H1538" t="str">
        <f>"rpl-5"</f>
        <v>rpl-5</v>
      </c>
      <c r="I1538" t="s">
        <v>5763</v>
      </c>
      <c r="J1538">
        <v>20.4598629460144</v>
      </c>
      <c r="K1538">
        <v>20.805224989174999</v>
      </c>
      <c r="L1538">
        <v>20.903160912192199</v>
      </c>
      <c r="M1538">
        <v>20.028404704234799</v>
      </c>
      <c r="N1538">
        <v>20.134230077468299</v>
      </c>
      <c r="O1538">
        <v>20.2549877495128</v>
      </c>
      <c r="P1538">
        <v>-0.58354210538858498</v>
      </c>
      <c r="Q1538">
        <v>-1.0693024486315701</v>
      </c>
      <c r="R1538">
        <v>-9.7781762145600595E-2</v>
      </c>
      <c r="S1538">
        <v>20.461093915146801</v>
      </c>
      <c r="T1538">
        <v>-2.5248911166705401</v>
      </c>
      <c r="U1538">
        <v>-4.2974772924059002</v>
      </c>
      <c r="V1538">
        <v>2.1243582023644202E-2</v>
      </c>
      <c r="W1538">
        <v>7.6704439498762794E-2</v>
      </c>
      <c r="X1538">
        <v>0</v>
      </c>
      <c r="Y1538">
        <v>0</v>
      </c>
    </row>
    <row r="1539" spans="1:25" x14ac:dyDescent="0.2">
      <c r="A1539" t="s">
        <v>5764</v>
      </c>
      <c r="B1539" t="s">
        <v>5765</v>
      </c>
      <c r="C1539" t="s">
        <v>5766</v>
      </c>
      <c r="D1539" t="s">
        <v>5767</v>
      </c>
      <c r="E1539" t="s">
        <v>5765</v>
      </c>
      <c r="F1539" t="s">
        <v>28</v>
      </c>
      <c r="G1539" t="s">
        <v>5765</v>
      </c>
      <c r="H1539" t="str">
        <f>"F08C6.2"</f>
        <v>F08C6.2</v>
      </c>
      <c r="I1539" t="s">
        <v>5767</v>
      </c>
      <c r="J1539">
        <v>11.416239243928899</v>
      </c>
      <c r="K1539" t="s">
        <v>29</v>
      </c>
      <c r="L1539">
        <v>11.988915813853399</v>
      </c>
      <c r="M1539" t="s">
        <v>29</v>
      </c>
      <c r="N1539" t="s">
        <v>29</v>
      </c>
      <c r="O1539">
        <v>12.0589396705423</v>
      </c>
      <c r="P1539">
        <v>0.35636214165110802</v>
      </c>
      <c r="Q1539">
        <v>-0.55089136357065105</v>
      </c>
      <c r="R1539">
        <v>1.2636156468728701</v>
      </c>
      <c r="S1539">
        <v>12.1129369520708</v>
      </c>
      <c r="T1539">
        <v>0.83773085462929398</v>
      </c>
      <c r="U1539">
        <v>-6.3936329987808804</v>
      </c>
      <c r="V1539">
        <v>0.41542233106586401</v>
      </c>
      <c r="W1539">
        <v>0.58242131762659499</v>
      </c>
      <c r="X1539">
        <v>0</v>
      </c>
      <c r="Y1539">
        <v>0</v>
      </c>
    </row>
    <row r="1540" spans="1:25" x14ac:dyDescent="0.2">
      <c r="A1540" t="s">
        <v>5768</v>
      </c>
      <c r="B1540" t="s">
        <v>5769</v>
      </c>
      <c r="C1540" t="s">
        <v>5770</v>
      </c>
      <c r="D1540" t="s">
        <v>5771</v>
      </c>
      <c r="E1540" t="s">
        <v>5769</v>
      </c>
      <c r="F1540" t="s">
        <v>28</v>
      </c>
      <c r="G1540" t="s">
        <v>5769</v>
      </c>
      <c r="H1540" t="str">
        <f>"fem-2"</f>
        <v>fem-2</v>
      </c>
      <c r="I1540" t="s">
        <v>5771</v>
      </c>
      <c r="J1540" t="s">
        <v>29</v>
      </c>
      <c r="K1540" t="s">
        <v>29</v>
      </c>
      <c r="L1540" t="s">
        <v>29</v>
      </c>
      <c r="M1540" t="s">
        <v>29</v>
      </c>
      <c r="N1540" t="s">
        <v>29</v>
      </c>
      <c r="O1540" t="s">
        <v>29</v>
      </c>
      <c r="P1540" t="s">
        <v>29</v>
      </c>
      <c r="Q1540" t="s">
        <v>29</v>
      </c>
      <c r="R1540" t="s">
        <v>29</v>
      </c>
      <c r="S1540">
        <v>11.843247402132199</v>
      </c>
      <c r="T1540" t="s">
        <v>29</v>
      </c>
      <c r="U1540" t="s">
        <v>29</v>
      </c>
      <c r="V1540" t="s">
        <v>29</v>
      </c>
      <c r="W1540" t="s">
        <v>29</v>
      </c>
      <c r="X1540" t="s">
        <v>29</v>
      </c>
      <c r="Y1540" t="s">
        <v>29</v>
      </c>
    </row>
    <row r="1541" spans="1:25" x14ac:dyDescent="0.2">
      <c r="A1541" t="s">
        <v>5772</v>
      </c>
      <c r="B1541" t="s">
        <v>5773</v>
      </c>
      <c r="C1541" t="s">
        <v>5774</v>
      </c>
      <c r="D1541" t="s">
        <v>5775</v>
      </c>
      <c r="E1541" t="s">
        <v>5773</v>
      </c>
      <c r="F1541" t="s">
        <v>28</v>
      </c>
      <c r="G1541" t="s">
        <v>5773</v>
      </c>
      <c r="H1541" t="str">
        <f>"ppm-1.G"</f>
        <v>ppm-1.G</v>
      </c>
      <c r="I1541" t="s">
        <v>5775</v>
      </c>
      <c r="J1541">
        <v>11.554726040117</v>
      </c>
      <c r="K1541">
        <v>12.0251857427085</v>
      </c>
      <c r="L1541">
        <v>11.741966294790201</v>
      </c>
      <c r="M1541">
        <v>13.202093642896401</v>
      </c>
      <c r="N1541">
        <v>13.012425471101301</v>
      </c>
      <c r="O1541">
        <v>13.0737847833726</v>
      </c>
      <c r="P1541">
        <v>1.3221419399182099</v>
      </c>
      <c r="Q1541">
        <v>0.63343147586398696</v>
      </c>
      <c r="R1541">
        <v>2.01085240397243</v>
      </c>
      <c r="S1541">
        <v>13.279457053923499</v>
      </c>
      <c r="T1541">
        <v>4.0349105693463301</v>
      </c>
      <c r="U1541">
        <v>-1.0949854231224001</v>
      </c>
      <c r="V1541">
        <v>7.85018456623721E-4</v>
      </c>
      <c r="W1541">
        <v>7.7651251182720496E-3</v>
      </c>
      <c r="X1541">
        <v>1</v>
      </c>
      <c r="Y1541">
        <v>1</v>
      </c>
    </row>
    <row r="1542" spans="1:25" x14ac:dyDescent="0.2">
      <c r="A1542" t="s">
        <v>5776</v>
      </c>
      <c r="B1542" t="s">
        <v>5777</v>
      </c>
      <c r="C1542" t="s">
        <v>5778</v>
      </c>
      <c r="D1542" t="s">
        <v>5779</v>
      </c>
      <c r="E1542" t="s">
        <v>5777</v>
      </c>
      <c r="F1542" t="s">
        <v>28</v>
      </c>
      <c r="G1542" t="s">
        <v>5777</v>
      </c>
      <c r="H1542" t="str">
        <f>"ppm-2"</f>
        <v>ppm-2</v>
      </c>
      <c r="I1542" t="s">
        <v>5779</v>
      </c>
      <c r="J1542">
        <v>12.3838679814468</v>
      </c>
      <c r="K1542">
        <v>11.9523509593563</v>
      </c>
      <c r="L1542">
        <v>12.5078029546171</v>
      </c>
      <c r="M1542" t="s">
        <v>29</v>
      </c>
      <c r="N1542" t="s">
        <v>29</v>
      </c>
      <c r="O1542">
        <v>13.046788155493401</v>
      </c>
      <c r="P1542">
        <v>0.76544752368670999</v>
      </c>
      <c r="Q1542">
        <v>-0.73810462724228298</v>
      </c>
      <c r="R1542">
        <v>2.2689996746157002</v>
      </c>
      <c r="S1542">
        <v>12.230198308207299</v>
      </c>
      <c r="T1542">
        <v>1.09266949564896</v>
      </c>
      <c r="U1542">
        <v>-6.2063690723849101</v>
      </c>
      <c r="V1542">
        <v>0.293121799681683</v>
      </c>
      <c r="W1542">
        <v>0.46128539171230998</v>
      </c>
      <c r="X1542">
        <v>0</v>
      </c>
      <c r="Y1542">
        <v>0</v>
      </c>
    </row>
    <row r="1543" spans="1:25" x14ac:dyDescent="0.2">
      <c r="A1543" t="s">
        <v>5780</v>
      </c>
      <c r="B1543" t="s">
        <v>5781</v>
      </c>
      <c r="C1543" t="s">
        <v>5782</v>
      </c>
      <c r="D1543" t="s">
        <v>5783</v>
      </c>
      <c r="E1543" t="s">
        <v>5781</v>
      </c>
      <c r="F1543" t="s">
        <v>28</v>
      </c>
      <c r="G1543" t="s">
        <v>5781</v>
      </c>
      <c r="H1543" t="str">
        <f>"egl-10"</f>
        <v>egl-10</v>
      </c>
      <c r="I1543" t="s">
        <v>5783</v>
      </c>
      <c r="J1543">
        <v>12.497029216299</v>
      </c>
      <c r="K1543">
        <v>12.172439662365999</v>
      </c>
      <c r="L1543">
        <v>11.667997275170899</v>
      </c>
      <c r="M1543" t="s">
        <v>29</v>
      </c>
      <c r="N1543" t="s">
        <v>29</v>
      </c>
      <c r="O1543">
        <v>12.3973590464803</v>
      </c>
      <c r="P1543">
        <v>0.28487032853501898</v>
      </c>
      <c r="Q1543">
        <v>-0.51675633481892602</v>
      </c>
      <c r="R1543">
        <v>1.08649699188896</v>
      </c>
      <c r="S1543">
        <v>11.819062869153999</v>
      </c>
      <c r="T1543">
        <v>0.775032786239234</v>
      </c>
      <c r="U1543">
        <v>-6.49892586760709</v>
      </c>
      <c r="V1543">
        <v>0.45345226618523798</v>
      </c>
      <c r="W1543">
        <v>0.617871895705151</v>
      </c>
      <c r="X1543">
        <v>0</v>
      </c>
      <c r="Y1543">
        <v>0</v>
      </c>
    </row>
    <row r="1544" spans="1:25" x14ac:dyDescent="0.2">
      <c r="A1544" t="s">
        <v>5784</v>
      </c>
      <c r="B1544" t="s">
        <v>5785</v>
      </c>
      <c r="C1544" t="s">
        <v>5786</v>
      </c>
      <c r="D1544" t="s">
        <v>5787</v>
      </c>
      <c r="E1544" t="s">
        <v>5785</v>
      </c>
      <c r="F1544" t="s">
        <v>28</v>
      </c>
      <c r="G1544" t="s">
        <v>5785</v>
      </c>
      <c r="H1544" t="str">
        <f>"phb-2"</f>
        <v>phb-2</v>
      </c>
      <c r="I1544" t="s">
        <v>5787</v>
      </c>
      <c r="J1544">
        <v>16.189167021868499</v>
      </c>
      <c r="K1544">
        <v>16.129370649979499</v>
      </c>
      <c r="L1544">
        <v>16.2565267877373</v>
      </c>
      <c r="M1544">
        <v>15.908145201044499</v>
      </c>
      <c r="N1544">
        <v>15.9168835484165</v>
      </c>
      <c r="O1544">
        <v>15.8638882588308</v>
      </c>
      <c r="P1544">
        <v>-0.29538248376445603</v>
      </c>
      <c r="Q1544">
        <v>-0.66071181488658104</v>
      </c>
      <c r="R1544">
        <v>6.9946847357668498E-2</v>
      </c>
      <c r="S1544">
        <v>15.9179950257477</v>
      </c>
      <c r="T1544">
        <v>-1.69938863471283</v>
      </c>
      <c r="U1544">
        <v>-5.7519447656035601</v>
      </c>
      <c r="V1544">
        <v>0.106562458671505</v>
      </c>
      <c r="W1544">
        <v>0.22646694055816</v>
      </c>
      <c r="X1544">
        <v>0</v>
      </c>
      <c r="Y1544">
        <v>0</v>
      </c>
    </row>
    <row r="1545" spans="1:25" x14ac:dyDescent="0.2">
      <c r="A1545" t="s">
        <v>5788</v>
      </c>
      <c r="B1545" t="s">
        <v>5789</v>
      </c>
      <c r="C1545" t="s">
        <v>5790</v>
      </c>
      <c r="D1545" t="s">
        <v>5791</v>
      </c>
      <c r="E1545" t="s">
        <v>5789</v>
      </c>
      <c r="F1545" t="s">
        <v>28</v>
      </c>
      <c r="G1545" t="s">
        <v>5789</v>
      </c>
      <c r="H1545" t="str">
        <f>"hsp-60"</f>
        <v>hsp-60</v>
      </c>
      <c r="I1545" t="s">
        <v>5791</v>
      </c>
      <c r="J1545">
        <v>12.6218276506059</v>
      </c>
      <c r="K1545">
        <v>13.0095419002015</v>
      </c>
      <c r="L1545">
        <v>13.0960734241685</v>
      </c>
      <c r="M1545">
        <v>13.6728617465049</v>
      </c>
      <c r="N1545">
        <v>14.1283998847723</v>
      </c>
      <c r="O1545">
        <v>13.991832759845501</v>
      </c>
      <c r="P1545">
        <v>1.0218838053822801</v>
      </c>
      <c r="Q1545">
        <v>0.30892652097940498</v>
      </c>
      <c r="R1545">
        <v>1.7348410897851501</v>
      </c>
      <c r="S1545">
        <v>13.1824413550373</v>
      </c>
      <c r="T1545">
        <v>3.0125240249796801</v>
      </c>
      <c r="U1545">
        <v>-3.3093162403690402</v>
      </c>
      <c r="V1545">
        <v>7.5147329462298997E-3</v>
      </c>
      <c r="W1545">
        <v>3.72826902231305E-2</v>
      </c>
      <c r="X1545">
        <v>1</v>
      </c>
      <c r="Y1545">
        <v>1</v>
      </c>
    </row>
    <row r="1546" spans="1:25" x14ac:dyDescent="0.2">
      <c r="A1546" t="s">
        <v>5792</v>
      </c>
      <c r="B1546" t="s">
        <v>5793</v>
      </c>
      <c r="C1546" t="s">
        <v>5794</v>
      </c>
      <c r="D1546" t="s">
        <v>5795</v>
      </c>
      <c r="E1546" t="s">
        <v>5793</v>
      </c>
      <c r="F1546" t="s">
        <v>28</v>
      </c>
      <c r="G1546" t="s">
        <v>5796</v>
      </c>
      <c r="H1546" t="str">
        <f>"sams-3"</f>
        <v>sams-3</v>
      </c>
      <c r="I1546" t="s">
        <v>5797</v>
      </c>
      <c r="J1546">
        <v>16.2715180155609</v>
      </c>
      <c r="K1546">
        <v>15.428312070732</v>
      </c>
      <c r="L1546">
        <v>15.454598626364801</v>
      </c>
      <c r="M1546">
        <v>16.380489185970902</v>
      </c>
      <c r="N1546">
        <v>15.7572363961443</v>
      </c>
      <c r="O1546">
        <v>16.262557822823801</v>
      </c>
      <c r="P1546">
        <v>0.415284897427108</v>
      </c>
      <c r="Q1546">
        <v>-0.14628186084917799</v>
      </c>
      <c r="R1546">
        <v>0.97685165570339505</v>
      </c>
      <c r="S1546">
        <v>15.900059163850701</v>
      </c>
      <c r="T1546">
        <v>1.5543086311307099</v>
      </c>
      <c r="U1546">
        <v>-5.9675176709219997</v>
      </c>
      <c r="V1546">
        <v>0.137617969774874</v>
      </c>
      <c r="W1546">
        <v>0.27458372168351602</v>
      </c>
      <c r="X1546">
        <v>0</v>
      </c>
      <c r="Y1546">
        <v>0</v>
      </c>
    </row>
    <row r="1547" spans="1:25" x14ac:dyDescent="0.2">
      <c r="A1547" t="s">
        <v>5798</v>
      </c>
      <c r="B1547" t="s">
        <v>5799</v>
      </c>
      <c r="C1547" t="s">
        <v>5800</v>
      </c>
      <c r="D1547" t="s">
        <v>5801</v>
      </c>
      <c r="E1547" t="s">
        <v>5799</v>
      </c>
      <c r="F1547" t="s">
        <v>28</v>
      </c>
      <c r="G1547" t="s">
        <v>5799</v>
      </c>
      <c r="H1547" t="str">
        <f>"mel-32"</f>
        <v>mel-32</v>
      </c>
      <c r="I1547" t="s">
        <v>5801</v>
      </c>
      <c r="J1547">
        <v>12.856247446339999</v>
      </c>
      <c r="K1547">
        <v>12.9346661067563</v>
      </c>
      <c r="L1547">
        <v>13.4490495730895</v>
      </c>
      <c r="M1547">
        <v>13.905813119498101</v>
      </c>
      <c r="N1547">
        <v>14.2407722026916</v>
      </c>
      <c r="O1547">
        <v>14.279241617688699</v>
      </c>
      <c r="P1547">
        <v>1.0619546045641699</v>
      </c>
      <c r="Q1547">
        <v>0.42925694790803798</v>
      </c>
      <c r="R1547">
        <v>1.6946522612203001</v>
      </c>
      <c r="S1547">
        <v>13.728575273435</v>
      </c>
      <c r="T1547">
        <v>3.5277860579072402</v>
      </c>
      <c r="U1547">
        <v>-2.2075381195102302</v>
      </c>
      <c r="V1547">
        <v>2.4213185748060699E-3</v>
      </c>
      <c r="W1547">
        <v>1.6555976426806299E-2</v>
      </c>
      <c r="X1547">
        <v>1</v>
      </c>
      <c r="Y1547">
        <v>1</v>
      </c>
    </row>
    <row r="1548" spans="1:25" x14ac:dyDescent="0.2">
      <c r="A1548" t="s">
        <v>5802</v>
      </c>
      <c r="B1548" t="s">
        <v>5803</v>
      </c>
      <c r="C1548" t="s">
        <v>5804</v>
      </c>
      <c r="D1548" t="s">
        <v>5805</v>
      </c>
      <c r="E1548" t="s">
        <v>5803</v>
      </c>
      <c r="F1548" t="s">
        <v>28</v>
      </c>
      <c r="G1548" t="s">
        <v>5803</v>
      </c>
      <c r="H1548" t="str">
        <f>"pelo-1"</f>
        <v>pelo-1</v>
      </c>
      <c r="I1548" t="s">
        <v>5805</v>
      </c>
      <c r="J1548">
        <v>12.872331652137101</v>
      </c>
      <c r="K1548">
        <v>13.376746227934101</v>
      </c>
      <c r="L1548" t="s">
        <v>29</v>
      </c>
      <c r="M1548" t="s">
        <v>29</v>
      </c>
      <c r="N1548" t="s">
        <v>29</v>
      </c>
      <c r="O1548">
        <v>12.4497316614433</v>
      </c>
      <c r="P1548">
        <v>-0.67480727859231504</v>
      </c>
      <c r="Q1548">
        <v>-1.4744382493580099</v>
      </c>
      <c r="R1548">
        <v>0.124823692173384</v>
      </c>
      <c r="S1548">
        <v>13.306325290549699</v>
      </c>
      <c r="T1548">
        <v>-1.7998311236097799</v>
      </c>
      <c r="U1548">
        <v>-5.2135840313850004</v>
      </c>
      <c r="V1548">
        <v>9.2171722229412001E-2</v>
      </c>
      <c r="W1548">
        <v>0.205780352583392</v>
      </c>
      <c r="X1548">
        <v>0</v>
      </c>
      <c r="Y1548">
        <v>0</v>
      </c>
    </row>
    <row r="1549" spans="1:25" x14ac:dyDescent="0.2">
      <c r="A1549" t="s">
        <v>5806</v>
      </c>
      <c r="B1549" t="s">
        <v>5807</v>
      </c>
      <c r="C1549" t="s">
        <v>5808</v>
      </c>
      <c r="D1549" t="s">
        <v>5809</v>
      </c>
      <c r="E1549" t="s">
        <v>5807</v>
      </c>
      <c r="F1549" t="s">
        <v>28</v>
      </c>
      <c r="G1549" t="s">
        <v>5807</v>
      </c>
      <c r="H1549" t="str">
        <f>"rpl-3"</f>
        <v>rpl-3</v>
      </c>
      <c r="I1549" t="s">
        <v>5809</v>
      </c>
      <c r="J1549">
        <v>20.554915314857201</v>
      </c>
      <c r="K1549">
        <v>20.556144608098901</v>
      </c>
      <c r="L1549">
        <v>20.6207925085338</v>
      </c>
      <c r="M1549">
        <v>20.275361261931199</v>
      </c>
      <c r="N1549">
        <v>20.4049272559005</v>
      </c>
      <c r="O1549">
        <v>20.3788371879428</v>
      </c>
      <c r="P1549">
        <v>-0.224242241905142</v>
      </c>
      <c r="Q1549">
        <v>-0.55296803341851697</v>
      </c>
      <c r="R1549">
        <v>0.104483549608234</v>
      </c>
      <c r="S1549">
        <v>20.5931491729207</v>
      </c>
      <c r="T1549">
        <v>-1.43375901004553</v>
      </c>
      <c r="U1549">
        <v>-6.1354383566021102</v>
      </c>
      <c r="V1549">
        <v>0.16888372537135499</v>
      </c>
      <c r="W1549">
        <v>0.31903867863421898</v>
      </c>
      <c r="X1549">
        <v>0</v>
      </c>
      <c r="Y1549">
        <v>0</v>
      </c>
    </row>
    <row r="1550" spans="1:25" x14ac:dyDescent="0.2">
      <c r="A1550" t="s">
        <v>5810</v>
      </c>
      <c r="B1550" t="s">
        <v>5811</v>
      </c>
      <c r="C1550" t="s">
        <v>5812</v>
      </c>
      <c r="D1550" t="s">
        <v>5813</v>
      </c>
      <c r="E1550" t="s">
        <v>5811</v>
      </c>
      <c r="F1550" t="s">
        <v>28</v>
      </c>
      <c r="G1550" t="s">
        <v>5811</v>
      </c>
      <c r="H1550" t="str">
        <f>"rps-2"</f>
        <v>rps-2</v>
      </c>
      <c r="I1550" t="s">
        <v>5813</v>
      </c>
      <c r="J1550">
        <v>20.1784214477366</v>
      </c>
      <c r="K1550">
        <v>20.102653023024999</v>
      </c>
      <c r="L1550">
        <v>20.4159951657461</v>
      </c>
      <c r="M1550">
        <v>19.503538927767899</v>
      </c>
      <c r="N1550">
        <v>19.6111374585224</v>
      </c>
      <c r="O1550">
        <v>19.477328382820001</v>
      </c>
      <c r="P1550">
        <v>-0.70168828913245596</v>
      </c>
      <c r="Q1550">
        <v>-1.0554248142509</v>
      </c>
      <c r="R1550">
        <v>-0.34795176401401001</v>
      </c>
      <c r="S1550">
        <v>20.205460000996499</v>
      </c>
      <c r="T1550">
        <v>-4.1692394289535404</v>
      </c>
      <c r="U1550">
        <v>-0.79859069246385905</v>
      </c>
      <c r="V1550">
        <v>5.8272553893394898E-4</v>
      </c>
      <c r="W1550">
        <v>6.2112297882375104E-3</v>
      </c>
      <c r="X1550">
        <v>0</v>
      </c>
      <c r="Y1550">
        <v>0</v>
      </c>
    </row>
    <row r="1551" spans="1:25" x14ac:dyDescent="0.2">
      <c r="A1551" t="s">
        <v>5814</v>
      </c>
      <c r="B1551" t="s">
        <v>5815</v>
      </c>
      <c r="C1551" t="s">
        <v>5816</v>
      </c>
      <c r="D1551" t="s">
        <v>5817</v>
      </c>
      <c r="E1551" t="s">
        <v>5815</v>
      </c>
      <c r="F1551" t="s">
        <v>28</v>
      </c>
      <c r="G1551" t="s">
        <v>5815</v>
      </c>
      <c r="H1551" t="str">
        <f>"rps-13"</f>
        <v>rps-13</v>
      </c>
      <c r="I1551" t="s">
        <v>5817</v>
      </c>
      <c r="J1551">
        <v>14.9594783573082</v>
      </c>
      <c r="K1551">
        <v>15.1872903823729</v>
      </c>
      <c r="L1551">
        <v>15.3526874818689</v>
      </c>
      <c r="M1551">
        <v>16.378235962170301</v>
      </c>
      <c r="N1551">
        <v>16.153275275831898</v>
      </c>
      <c r="O1551">
        <v>15.0709162092399</v>
      </c>
      <c r="P1551">
        <v>0.70099040856400496</v>
      </c>
      <c r="Q1551">
        <v>-2.7091881876556999E-2</v>
      </c>
      <c r="R1551">
        <v>1.4290726990045699</v>
      </c>
      <c r="S1551">
        <v>15.3108962075689</v>
      </c>
      <c r="T1551">
        <v>2.0235974396704601</v>
      </c>
      <c r="U1551">
        <v>-5.2223920396511803</v>
      </c>
      <c r="V1551">
        <v>5.8207758942780803E-2</v>
      </c>
      <c r="W1551">
        <v>0.151535570321886</v>
      </c>
      <c r="X1551">
        <v>0</v>
      </c>
      <c r="Y1551">
        <v>0</v>
      </c>
    </row>
    <row r="1552" spans="1:25" x14ac:dyDescent="0.2">
      <c r="A1552" t="s">
        <v>5818</v>
      </c>
      <c r="B1552" t="s">
        <v>5819</v>
      </c>
      <c r="C1552" t="s">
        <v>5820</v>
      </c>
      <c r="D1552" t="s">
        <v>5821</v>
      </c>
      <c r="E1552" t="s">
        <v>5819</v>
      </c>
      <c r="F1552" t="s">
        <v>28</v>
      </c>
      <c r="G1552" t="s">
        <v>5819</v>
      </c>
      <c r="H1552" t="str">
        <f>"goa-1"</f>
        <v>goa-1</v>
      </c>
      <c r="I1552" t="s">
        <v>5821</v>
      </c>
      <c r="J1552">
        <v>18.2922753791057</v>
      </c>
      <c r="K1552">
        <v>18.245623430474101</v>
      </c>
      <c r="L1552">
        <v>17.5219797222476</v>
      </c>
      <c r="M1552">
        <v>17.3516225654873</v>
      </c>
      <c r="N1552">
        <v>17.276236027159499</v>
      </c>
      <c r="O1552">
        <v>17.662938437758999</v>
      </c>
      <c r="P1552">
        <v>-0.58969383380718599</v>
      </c>
      <c r="Q1552">
        <v>-1.1768328452666501</v>
      </c>
      <c r="R1552">
        <v>-2.5548223477166502E-3</v>
      </c>
      <c r="S1552">
        <v>16.860028997422798</v>
      </c>
      <c r="T1552">
        <v>-2.11095104837442</v>
      </c>
      <c r="U1552">
        <v>-5.0696197812844002</v>
      </c>
      <c r="V1552">
        <v>4.9112205278969097E-2</v>
      </c>
      <c r="W1552">
        <v>0.13463597112290401</v>
      </c>
      <c r="X1552">
        <v>0</v>
      </c>
      <c r="Y1552">
        <v>0</v>
      </c>
    </row>
    <row r="1553" spans="1:25" x14ac:dyDescent="0.2">
      <c r="A1553" t="s">
        <v>5822</v>
      </c>
      <c r="B1553" t="s">
        <v>5823</v>
      </c>
      <c r="C1553" t="s">
        <v>5824</v>
      </c>
      <c r="D1553" t="s">
        <v>5825</v>
      </c>
      <c r="E1553" t="s">
        <v>5823</v>
      </c>
      <c r="F1553" t="s">
        <v>28</v>
      </c>
      <c r="G1553" t="s">
        <v>5823</v>
      </c>
      <c r="H1553" t="str">
        <f>"cyn-1"</f>
        <v>cyn-1</v>
      </c>
      <c r="I1553" t="s">
        <v>5825</v>
      </c>
      <c r="J1553">
        <v>11.9179254364195</v>
      </c>
      <c r="K1553">
        <v>11.508017937220499</v>
      </c>
      <c r="L1553">
        <v>11.362643847918999</v>
      </c>
      <c r="M1553" t="s">
        <v>29</v>
      </c>
      <c r="N1553" t="s">
        <v>29</v>
      </c>
      <c r="O1553">
        <v>10.450507156651099</v>
      </c>
      <c r="P1553">
        <v>-1.14568858386857</v>
      </c>
      <c r="Q1553">
        <v>-2.2145105965984202</v>
      </c>
      <c r="R1553">
        <v>-7.6866571138707096E-2</v>
      </c>
      <c r="S1553">
        <v>11.5722826057204</v>
      </c>
      <c r="T1553">
        <v>-2.2735825418160802</v>
      </c>
      <c r="U1553">
        <v>-4.4666438985191403</v>
      </c>
      <c r="V1553">
        <v>3.7219618966376801E-2</v>
      </c>
      <c r="W1553">
        <v>0.11354680858583099</v>
      </c>
      <c r="X1553">
        <v>-1</v>
      </c>
      <c r="Y1553">
        <v>0</v>
      </c>
    </row>
    <row r="1554" spans="1:25" x14ac:dyDescent="0.2">
      <c r="A1554" t="s">
        <v>5826</v>
      </c>
      <c r="B1554" t="s">
        <v>5827</v>
      </c>
      <c r="C1554" t="s">
        <v>5828</v>
      </c>
      <c r="D1554" t="s">
        <v>5829</v>
      </c>
      <c r="E1554" t="s">
        <v>5827</v>
      </c>
      <c r="F1554" t="s">
        <v>28</v>
      </c>
      <c r="G1554" t="s">
        <v>5827</v>
      </c>
      <c r="H1554" t="str">
        <f>"cyn-2"</f>
        <v>cyn-2</v>
      </c>
      <c r="I1554" t="s">
        <v>5829</v>
      </c>
      <c r="J1554">
        <v>13.035190657645201</v>
      </c>
      <c r="K1554" t="s">
        <v>29</v>
      </c>
      <c r="L1554">
        <v>13.7036335708436</v>
      </c>
      <c r="M1554" t="s">
        <v>29</v>
      </c>
      <c r="N1554">
        <v>13.730260358156199</v>
      </c>
      <c r="O1554" t="s">
        <v>29</v>
      </c>
      <c r="P1554">
        <v>0.36084824391174702</v>
      </c>
      <c r="Q1554">
        <v>-0.60355003184540801</v>
      </c>
      <c r="R1554">
        <v>1.3252465196689001</v>
      </c>
      <c r="S1554">
        <v>13.874572920157201</v>
      </c>
      <c r="T1554">
        <v>0.82450988017985605</v>
      </c>
      <c r="U1554">
        <v>-6.3994997513659104</v>
      </c>
      <c r="V1554">
        <v>0.42733231655822801</v>
      </c>
      <c r="W1554">
        <v>0.59291352961257004</v>
      </c>
      <c r="X1554">
        <v>0</v>
      </c>
      <c r="Y1554">
        <v>0</v>
      </c>
    </row>
    <row r="1555" spans="1:25" x14ac:dyDescent="0.2">
      <c r="A1555" t="s">
        <v>5830</v>
      </c>
      <c r="B1555" t="s">
        <v>5831</v>
      </c>
      <c r="C1555" t="s">
        <v>5832</v>
      </c>
      <c r="D1555" t="s">
        <v>5833</v>
      </c>
      <c r="E1555" t="s">
        <v>5831</v>
      </c>
      <c r="F1555" t="s">
        <v>28</v>
      </c>
      <c r="G1555" t="s">
        <v>5831</v>
      </c>
      <c r="H1555" t="str">
        <f>"cyn-3"</f>
        <v>cyn-3</v>
      </c>
      <c r="I1555" t="s">
        <v>5833</v>
      </c>
      <c r="J1555">
        <v>14.121046520197901</v>
      </c>
      <c r="K1555">
        <v>14.2863120576346</v>
      </c>
      <c r="L1555">
        <v>13.957314108392399</v>
      </c>
      <c r="M1555">
        <v>14.4203012831856</v>
      </c>
      <c r="N1555">
        <v>14.045872419816</v>
      </c>
      <c r="O1555">
        <v>14.177777092142501</v>
      </c>
      <c r="P1555">
        <v>9.3092702973070401E-2</v>
      </c>
      <c r="Q1555">
        <v>-0.25413688242062399</v>
      </c>
      <c r="R1555">
        <v>0.44032228836676501</v>
      </c>
      <c r="S1555">
        <v>13.789105117765301</v>
      </c>
      <c r="T1555">
        <v>0.56349677097665496</v>
      </c>
      <c r="U1555">
        <v>-6.9911351029588698</v>
      </c>
      <c r="V1555">
        <v>0.58008994852416895</v>
      </c>
      <c r="W1555">
        <v>0.71858977650303701</v>
      </c>
      <c r="X1555">
        <v>0</v>
      </c>
      <c r="Y1555">
        <v>0</v>
      </c>
    </row>
    <row r="1556" spans="1:25" x14ac:dyDescent="0.2">
      <c r="A1556" t="s">
        <v>5834</v>
      </c>
      <c r="B1556" t="s">
        <v>5835</v>
      </c>
      <c r="C1556" t="s">
        <v>5836</v>
      </c>
      <c r="D1556" t="s">
        <v>5837</v>
      </c>
      <c r="E1556" t="s">
        <v>5835</v>
      </c>
      <c r="F1556" t="s">
        <v>28</v>
      </c>
      <c r="G1556" t="s">
        <v>5835</v>
      </c>
      <c r="H1556" t="str">
        <f>"cyn-4"</f>
        <v>cyn-4</v>
      </c>
      <c r="I1556" t="s">
        <v>5837</v>
      </c>
      <c r="J1556">
        <v>11.8886348080805</v>
      </c>
      <c r="K1556">
        <v>12.3903203849499</v>
      </c>
      <c r="L1556">
        <v>11.9712895119234</v>
      </c>
      <c r="M1556" t="s">
        <v>29</v>
      </c>
      <c r="N1556">
        <v>12.309406531341001</v>
      </c>
      <c r="O1556">
        <v>12.324219855100701</v>
      </c>
      <c r="P1556">
        <v>0.23339829156957301</v>
      </c>
      <c r="Q1556">
        <v>-0.39077756272017999</v>
      </c>
      <c r="R1556">
        <v>0.85757414585932601</v>
      </c>
      <c r="S1556">
        <v>12.833299646165701</v>
      </c>
      <c r="T1556">
        <v>0.78929748971742697</v>
      </c>
      <c r="U1556">
        <v>-6.72393492662379</v>
      </c>
      <c r="V1556">
        <v>0.44087497130140701</v>
      </c>
      <c r="W1556">
        <v>0.60628023351621396</v>
      </c>
      <c r="X1556">
        <v>0</v>
      </c>
      <c r="Y1556">
        <v>0</v>
      </c>
    </row>
    <row r="1557" spans="1:25" x14ac:dyDescent="0.2">
      <c r="A1557" t="s">
        <v>5838</v>
      </c>
      <c r="B1557" t="s">
        <v>5839</v>
      </c>
      <c r="C1557" t="s">
        <v>5840</v>
      </c>
      <c r="D1557" t="s">
        <v>5841</v>
      </c>
      <c r="E1557" t="s">
        <v>5839</v>
      </c>
      <c r="F1557" t="s">
        <v>28</v>
      </c>
      <c r="G1557" t="s">
        <v>5839</v>
      </c>
      <c r="H1557" t="str">
        <f>"cyn-5"</f>
        <v>cyn-5</v>
      </c>
      <c r="I1557" t="s">
        <v>5841</v>
      </c>
      <c r="J1557">
        <v>15.5940342250968</v>
      </c>
      <c r="K1557">
        <v>15.373365399540299</v>
      </c>
      <c r="L1557">
        <v>15.4550501257878</v>
      </c>
      <c r="M1557">
        <v>16.022480468929</v>
      </c>
      <c r="N1557">
        <v>15.879808763145601</v>
      </c>
      <c r="O1557">
        <v>15.7208061086271</v>
      </c>
      <c r="P1557">
        <v>0.40021519675890899</v>
      </c>
      <c r="Q1557">
        <v>-0.101543959335172</v>
      </c>
      <c r="R1557">
        <v>0.90197435285298999</v>
      </c>
      <c r="S1557">
        <v>15.0658755624086</v>
      </c>
      <c r="T1557">
        <v>1.67645068392659</v>
      </c>
      <c r="U1557">
        <v>-5.7869673441521901</v>
      </c>
      <c r="V1557">
        <v>0.11103210541296001</v>
      </c>
      <c r="W1557">
        <v>0.232641130608573</v>
      </c>
      <c r="X1557">
        <v>0</v>
      </c>
      <c r="Y1557">
        <v>0</v>
      </c>
    </row>
    <row r="1558" spans="1:25" x14ac:dyDescent="0.2">
      <c r="A1558" t="s">
        <v>5842</v>
      </c>
      <c r="B1558" t="s">
        <v>5843</v>
      </c>
      <c r="C1558" t="s">
        <v>5844</v>
      </c>
      <c r="D1558" t="s">
        <v>5845</v>
      </c>
      <c r="E1558" t="s">
        <v>5843</v>
      </c>
      <c r="F1558" t="s">
        <v>28</v>
      </c>
      <c r="G1558" t="s">
        <v>5843</v>
      </c>
      <c r="H1558" t="str">
        <f>"cyn-7"</f>
        <v>cyn-7</v>
      </c>
      <c r="I1558" t="s">
        <v>5845</v>
      </c>
      <c r="J1558">
        <v>13.6399806587126</v>
      </c>
      <c r="K1558">
        <v>13.519830910845</v>
      </c>
      <c r="L1558">
        <v>13.7387665098335</v>
      </c>
      <c r="M1558">
        <v>14.6844800341458</v>
      </c>
      <c r="N1558">
        <v>14.938751625334101</v>
      </c>
      <c r="O1558">
        <v>14.617270398753099</v>
      </c>
      <c r="P1558">
        <v>1.1139746596139299</v>
      </c>
      <c r="Q1558">
        <v>0.431833272441351</v>
      </c>
      <c r="R1558">
        <v>1.79611604678651</v>
      </c>
      <c r="S1558">
        <v>13.980678551176601</v>
      </c>
      <c r="T1558">
        <v>3.43236468434805</v>
      </c>
      <c r="U1558">
        <v>-2.4145587465842602</v>
      </c>
      <c r="V1558">
        <v>2.9909064769029102E-3</v>
      </c>
      <c r="W1558">
        <v>1.9457398206253598E-2</v>
      </c>
      <c r="X1558">
        <v>1</v>
      </c>
      <c r="Y1558">
        <v>1</v>
      </c>
    </row>
    <row r="1559" spans="1:25" x14ac:dyDescent="0.2">
      <c r="A1559" t="s">
        <v>5846</v>
      </c>
      <c r="B1559" t="s">
        <v>5847</v>
      </c>
      <c r="C1559" t="s">
        <v>5848</v>
      </c>
      <c r="D1559" t="s">
        <v>5849</v>
      </c>
      <c r="E1559" t="s">
        <v>5847</v>
      </c>
      <c r="F1559" t="s">
        <v>28</v>
      </c>
      <c r="G1559" t="s">
        <v>5847</v>
      </c>
      <c r="H1559" t="str">
        <f>"cyn-8"</f>
        <v>cyn-8</v>
      </c>
      <c r="I1559" t="s">
        <v>5849</v>
      </c>
      <c r="J1559">
        <v>13.048270451261599</v>
      </c>
      <c r="K1559">
        <v>13.651011400873299</v>
      </c>
      <c r="L1559">
        <v>13.588387788816901</v>
      </c>
      <c r="M1559">
        <v>13.713338083746599</v>
      </c>
      <c r="N1559">
        <v>13.8515516310237</v>
      </c>
      <c r="O1559">
        <v>13.1577106441931</v>
      </c>
      <c r="P1559">
        <v>0.14497690600389199</v>
      </c>
      <c r="Q1559">
        <v>-0.40162317731814201</v>
      </c>
      <c r="R1559">
        <v>0.69157698932592604</v>
      </c>
      <c r="S1559">
        <v>13.7617695809443</v>
      </c>
      <c r="T1559">
        <v>0.557470187038559</v>
      </c>
      <c r="U1559">
        <v>-6.9946188671573504</v>
      </c>
      <c r="V1559">
        <v>0.58411289903030505</v>
      </c>
      <c r="W1559">
        <v>0.72145042474530996</v>
      </c>
      <c r="X1559">
        <v>0</v>
      </c>
      <c r="Y1559">
        <v>0</v>
      </c>
    </row>
    <row r="1560" spans="1:25" x14ac:dyDescent="0.2">
      <c r="A1560" t="s">
        <v>5850</v>
      </c>
      <c r="B1560" t="s">
        <v>5851</v>
      </c>
      <c r="C1560" t="s">
        <v>5852</v>
      </c>
      <c r="D1560" t="s">
        <v>5853</v>
      </c>
      <c r="E1560" t="s">
        <v>5851</v>
      </c>
      <c r="F1560" t="s">
        <v>28</v>
      </c>
      <c r="G1560" t="s">
        <v>5851</v>
      </c>
      <c r="H1560" t="str">
        <f>"sel-12"</f>
        <v>sel-12</v>
      </c>
      <c r="I1560" t="s">
        <v>5853</v>
      </c>
      <c r="J1560">
        <v>13.886346413030701</v>
      </c>
      <c r="K1560">
        <v>14.1531601747647</v>
      </c>
      <c r="L1560">
        <v>13.710833905649899</v>
      </c>
      <c r="M1560" t="s">
        <v>29</v>
      </c>
      <c r="N1560">
        <v>14.644735488487299</v>
      </c>
      <c r="O1560">
        <v>14.4714123517741</v>
      </c>
      <c r="P1560">
        <v>0.64129375564890601</v>
      </c>
      <c r="Q1560">
        <v>0.16463468920636201</v>
      </c>
      <c r="R1560">
        <v>1.1179528220914501</v>
      </c>
      <c r="S1560">
        <v>13.993624679521099</v>
      </c>
      <c r="T1560">
        <v>2.8398746187092399</v>
      </c>
      <c r="U1560">
        <v>-3.5854170487277801</v>
      </c>
      <c r="V1560">
        <v>1.13640588751608E-2</v>
      </c>
      <c r="W1560">
        <v>4.9541244830027698E-2</v>
      </c>
      <c r="X1560">
        <v>0</v>
      </c>
      <c r="Y1560">
        <v>0</v>
      </c>
    </row>
    <row r="1561" spans="1:25" x14ac:dyDescent="0.2">
      <c r="A1561" t="s">
        <v>5854</v>
      </c>
      <c r="B1561" t="s">
        <v>5855</v>
      </c>
      <c r="C1561" t="s">
        <v>5856</v>
      </c>
      <c r="D1561" t="s">
        <v>5857</v>
      </c>
      <c r="E1561" t="s">
        <v>5855</v>
      </c>
      <c r="F1561" t="s">
        <v>28</v>
      </c>
      <c r="G1561" t="s">
        <v>5855</v>
      </c>
      <c r="H1561" t="str">
        <f>"tba-8"</f>
        <v>tba-8</v>
      </c>
      <c r="I1561" t="s">
        <v>5857</v>
      </c>
      <c r="J1561" t="s">
        <v>29</v>
      </c>
      <c r="K1561" t="s">
        <v>29</v>
      </c>
      <c r="L1561" t="s">
        <v>29</v>
      </c>
      <c r="M1561" t="s">
        <v>29</v>
      </c>
      <c r="N1561" t="s">
        <v>29</v>
      </c>
      <c r="O1561" t="s">
        <v>29</v>
      </c>
      <c r="P1561" t="s">
        <v>29</v>
      </c>
      <c r="Q1561" t="s">
        <v>29</v>
      </c>
      <c r="R1561" t="s">
        <v>29</v>
      </c>
      <c r="S1561">
        <v>12.5020221092066</v>
      </c>
      <c r="T1561" t="s">
        <v>29</v>
      </c>
      <c r="U1561" t="s">
        <v>29</v>
      </c>
      <c r="V1561" t="s">
        <v>29</v>
      </c>
      <c r="W1561" t="s">
        <v>29</v>
      </c>
      <c r="X1561" t="s">
        <v>29</v>
      </c>
      <c r="Y1561" t="s">
        <v>29</v>
      </c>
    </row>
    <row r="1562" spans="1:25" x14ac:dyDescent="0.2">
      <c r="A1562" t="s">
        <v>5858</v>
      </c>
      <c r="B1562" t="s">
        <v>5859</v>
      </c>
      <c r="C1562" t="s">
        <v>5860</v>
      </c>
      <c r="D1562" t="s">
        <v>5861</v>
      </c>
      <c r="E1562" t="s">
        <v>5859</v>
      </c>
      <c r="F1562" t="s">
        <v>28</v>
      </c>
      <c r="G1562" t="s">
        <v>5859</v>
      </c>
      <c r="H1562" t="str">
        <f>"tbb-2"</f>
        <v>tbb-2</v>
      </c>
      <c r="I1562" t="s">
        <v>5861</v>
      </c>
      <c r="J1562">
        <v>19.759557722333199</v>
      </c>
      <c r="K1562">
        <v>19.7862827264216</v>
      </c>
      <c r="L1562">
        <v>19.698993460095402</v>
      </c>
      <c r="M1562">
        <v>19.2851186468816</v>
      </c>
      <c r="N1562">
        <v>19.2775879261531</v>
      </c>
      <c r="O1562">
        <v>19.2833922842342</v>
      </c>
      <c r="P1562">
        <v>-0.46624501719378098</v>
      </c>
      <c r="Q1562">
        <v>-0.80360498574281902</v>
      </c>
      <c r="R1562">
        <v>-0.12888504864474401</v>
      </c>
      <c r="S1562">
        <v>19.528006125351698</v>
      </c>
      <c r="T1562">
        <v>-2.9047794877672501</v>
      </c>
      <c r="U1562">
        <v>-3.53332923705721</v>
      </c>
      <c r="V1562">
        <v>9.4883555250480003E-3</v>
      </c>
      <c r="W1562">
        <v>4.41043907449786E-2</v>
      </c>
      <c r="X1562">
        <v>0</v>
      </c>
      <c r="Y1562">
        <v>0</v>
      </c>
    </row>
    <row r="1563" spans="1:25" x14ac:dyDescent="0.2">
      <c r="A1563" t="s">
        <v>5862</v>
      </c>
      <c r="B1563" t="s">
        <v>5863</v>
      </c>
      <c r="C1563" t="s">
        <v>5864</v>
      </c>
      <c r="D1563" t="s">
        <v>5865</v>
      </c>
      <c r="E1563" t="s">
        <v>5863</v>
      </c>
      <c r="F1563" t="s">
        <v>28</v>
      </c>
      <c r="G1563" t="s">
        <v>5863</v>
      </c>
      <c r="H1563" t="str">
        <f>"T24H10.1"</f>
        <v>T24H10.1</v>
      </c>
      <c r="I1563" t="s">
        <v>5865</v>
      </c>
      <c r="J1563">
        <v>13.8819634992181</v>
      </c>
      <c r="K1563">
        <v>13.296928345672899</v>
      </c>
      <c r="L1563">
        <v>13.5117903006944</v>
      </c>
      <c r="M1563" t="s">
        <v>29</v>
      </c>
      <c r="N1563" t="s">
        <v>29</v>
      </c>
      <c r="O1563" t="s">
        <v>29</v>
      </c>
      <c r="P1563" t="s">
        <v>29</v>
      </c>
      <c r="Q1563" t="s">
        <v>29</v>
      </c>
      <c r="R1563" t="s">
        <v>29</v>
      </c>
      <c r="S1563">
        <v>13.644336112341</v>
      </c>
      <c r="T1563" t="s">
        <v>29</v>
      </c>
      <c r="U1563" t="s">
        <v>29</v>
      </c>
      <c r="V1563" t="s">
        <v>29</v>
      </c>
      <c r="W1563" t="s">
        <v>29</v>
      </c>
      <c r="X1563" t="s">
        <v>29</v>
      </c>
      <c r="Y1563" t="s">
        <v>29</v>
      </c>
    </row>
    <row r="1564" spans="1:25" x14ac:dyDescent="0.2">
      <c r="A1564" t="s">
        <v>5866</v>
      </c>
      <c r="B1564" t="s">
        <v>5867</v>
      </c>
      <c r="C1564" t="s">
        <v>5868</v>
      </c>
      <c r="D1564" t="s">
        <v>5869</v>
      </c>
      <c r="E1564" t="s">
        <v>5867</v>
      </c>
      <c r="F1564" t="s">
        <v>28</v>
      </c>
      <c r="G1564" t="s">
        <v>5867</v>
      </c>
      <c r="H1564" t="str">
        <f>"tars-1"</f>
        <v>tars-1</v>
      </c>
      <c r="I1564" t="s">
        <v>5869</v>
      </c>
      <c r="J1564">
        <v>13.781736238840301</v>
      </c>
      <c r="K1564">
        <v>13.6980508271159</v>
      </c>
      <c r="L1564">
        <v>13.9270113639457</v>
      </c>
      <c r="M1564">
        <v>14.185322326798</v>
      </c>
      <c r="N1564">
        <v>14.033072704560601</v>
      </c>
      <c r="O1564">
        <v>13.9464343250664</v>
      </c>
      <c r="P1564">
        <v>0.252676975507729</v>
      </c>
      <c r="Q1564">
        <v>-0.14667447249408899</v>
      </c>
      <c r="R1564">
        <v>0.65202842350954704</v>
      </c>
      <c r="S1564">
        <v>13.7932727818669</v>
      </c>
      <c r="T1564">
        <v>1.3298508019323401</v>
      </c>
      <c r="U1564">
        <v>-6.2715067075993298</v>
      </c>
      <c r="V1564">
        <v>0.20027035070574101</v>
      </c>
      <c r="W1564">
        <v>0.35921894311005398</v>
      </c>
      <c r="X1564">
        <v>0</v>
      </c>
      <c r="Y1564">
        <v>0</v>
      </c>
    </row>
    <row r="1565" spans="1:25" x14ac:dyDescent="0.2">
      <c r="A1565" t="s">
        <v>5870</v>
      </c>
      <c r="B1565" t="s">
        <v>5871</v>
      </c>
      <c r="C1565" t="s">
        <v>5872</v>
      </c>
      <c r="D1565" t="s">
        <v>5873</v>
      </c>
      <c r="E1565" t="s">
        <v>5871</v>
      </c>
      <c r="F1565" t="s">
        <v>28</v>
      </c>
      <c r="G1565" t="s">
        <v>5871</v>
      </c>
      <c r="H1565" t="str">
        <f>"alh-8"</f>
        <v>alh-8</v>
      </c>
      <c r="I1565" t="s">
        <v>5873</v>
      </c>
      <c r="J1565">
        <v>15.937674774788301</v>
      </c>
      <c r="K1565">
        <v>15.7861137654331</v>
      </c>
      <c r="L1565">
        <v>16.212431733868399</v>
      </c>
      <c r="M1565">
        <v>16.8791908163846</v>
      </c>
      <c r="N1565">
        <v>17.072156087135198</v>
      </c>
      <c r="O1565">
        <v>16.954143664466301</v>
      </c>
      <c r="P1565">
        <v>0.98975676463210305</v>
      </c>
      <c r="Q1565">
        <v>0.55625934866823001</v>
      </c>
      <c r="R1565">
        <v>1.42325418059598</v>
      </c>
      <c r="S1565">
        <v>16.081683009902999</v>
      </c>
      <c r="T1565">
        <v>4.7988202056230804</v>
      </c>
      <c r="U1565">
        <v>0.58635171542530695</v>
      </c>
      <c r="V1565">
        <v>1.4599968952790199E-4</v>
      </c>
      <c r="W1565">
        <v>2.28862279275919E-3</v>
      </c>
      <c r="X1565">
        <v>0</v>
      </c>
      <c r="Y1565">
        <v>0</v>
      </c>
    </row>
    <row r="1566" spans="1:25" x14ac:dyDescent="0.2">
      <c r="A1566" t="s">
        <v>5874</v>
      </c>
      <c r="B1566" t="s">
        <v>5875</v>
      </c>
      <c r="C1566" t="s">
        <v>5876</v>
      </c>
      <c r="D1566" t="s">
        <v>5877</v>
      </c>
      <c r="E1566" t="s">
        <v>5875</v>
      </c>
      <c r="F1566" t="s">
        <v>28</v>
      </c>
      <c r="G1566" t="s">
        <v>5875</v>
      </c>
      <c r="H1566" t="str">
        <f>"ctsa-1.1"</f>
        <v>ctsa-1.1</v>
      </c>
      <c r="I1566" t="s">
        <v>5877</v>
      </c>
      <c r="J1566">
        <v>14.2249857682892</v>
      </c>
      <c r="K1566">
        <v>13.938957830988301</v>
      </c>
      <c r="L1566">
        <v>14.0369171870403</v>
      </c>
      <c r="M1566">
        <v>14.101234064062901</v>
      </c>
      <c r="N1566">
        <v>13.2334579388805</v>
      </c>
      <c r="O1566">
        <v>13.539962601354899</v>
      </c>
      <c r="P1566">
        <v>-0.442068727339823</v>
      </c>
      <c r="Q1566">
        <v>-1.1001259887624999</v>
      </c>
      <c r="R1566">
        <v>0.21598853408285701</v>
      </c>
      <c r="S1566">
        <v>13.9678970155186</v>
      </c>
      <c r="T1566">
        <v>-1.4119477337431601</v>
      </c>
      <c r="U1566">
        <v>-6.1646810557154303</v>
      </c>
      <c r="V1566">
        <v>0.175118396908996</v>
      </c>
      <c r="W1566">
        <v>0.32745806833173302</v>
      </c>
      <c r="X1566">
        <v>0</v>
      </c>
      <c r="Y1566">
        <v>0</v>
      </c>
    </row>
    <row r="1567" spans="1:25" x14ac:dyDescent="0.2">
      <c r="A1567" t="s">
        <v>5878</v>
      </c>
      <c r="B1567" t="s">
        <v>5879</v>
      </c>
      <c r="C1567" t="s">
        <v>5880</v>
      </c>
      <c r="D1567" t="s">
        <v>5881</v>
      </c>
      <c r="E1567" t="s">
        <v>5879</v>
      </c>
      <c r="F1567" t="s">
        <v>28</v>
      </c>
      <c r="G1567" t="s">
        <v>5879</v>
      </c>
      <c r="H1567" t="str">
        <f>"rpl-39"</f>
        <v>rpl-39</v>
      </c>
      <c r="I1567" t="s">
        <v>5881</v>
      </c>
      <c r="J1567">
        <v>21.0881654064038</v>
      </c>
      <c r="K1567">
        <v>20.811589421604001</v>
      </c>
      <c r="L1567">
        <v>20.698153370718799</v>
      </c>
      <c r="M1567">
        <v>23.221916593282</v>
      </c>
      <c r="N1567">
        <v>22.634567019386498</v>
      </c>
      <c r="O1567">
        <v>19.942531501763501</v>
      </c>
      <c r="P1567">
        <v>1.0670356385684601</v>
      </c>
      <c r="Q1567">
        <v>-5.8165233826650099E-2</v>
      </c>
      <c r="R1567">
        <v>2.19223651096357</v>
      </c>
      <c r="S1567">
        <v>19.996959807090001</v>
      </c>
      <c r="T1567">
        <v>1.9931563972158499</v>
      </c>
      <c r="U1567">
        <v>-5.27468674194981</v>
      </c>
      <c r="V1567">
        <v>6.1718209161326698E-2</v>
      </c>
      <c r="W1567">
        <v>0.15843515888365001</v>
      </c>
      <c r="X1567">
        <v>0</v>
      </c>
      <c r="Y1567">
        <v>0</v>
      </c>
    </row>
    <row r="1568" spans="1:25" x14ac:dyDescent="0.2">
      <c r="A1568" t="s">
        <v>5882</v>
      </c>
      <c r="B1568" t="s">
        <v>5883</v>
      </c>
      <c r="C1568" t="s">
        <v>5884</v>
      </c>
      <c r="D1568" t="s">
        <v>5885</v>
      </c>
      <c r="E1568" t="s">
        <v>5883</v>
      </c>
      <c r="F1568" t="s">
        <v>28</v>
      </c>
      <c r="G1568" t="s">
        <v>5883</v>
      </c>
      <c r="H1568" t="str">
        <f>"rpl-22"</f>
        <v>rpl-22</v>
      </c>
      <c r="I1568" t="s">
        <v>5885</v>
      </c>
      <c r="J1568">
        <v>21.652938987634698</v>
      </c>
      <c r="K1568">
        <v>21.5080073357956</v>
      </c>
      <c r="L1568">
        <v>21.603546180955199</v>
      </c>
      <c r="M1568">
        <v>21.346136420357201</v>
      </c>
      <c r="N1568">
        <v>21.448421736403599</v>
      </c>
      <c r="O1568">
        <v>21.5377898483755</v>
      </c>
      <c r="P1568">
        <v>-0.14404816641643201</v>
      </c>
      <c r="Q1568">
        <v>-0.53574837832530398</v>
      </c>
      <c r="R1568">
        <v>0.24765204549243899</v>
      </c>
      <c r="S1568">
        <v>21.3547623997786</v>
      </c>
      <c r="T1568">
        <v>-0.77294117173409604</v>
      </c>
      <c r="U1568">
        <v>-6.8479212995734899</v>
      </c>
      <c r="V1568">
        <v>0.44964685938124099</v>
      </c>
      <c r="W1568">
        <v>0.61489990468515898</v>
      </c>
      <c r="X1568">
        <v>0</v>
      </c>
      <c r="Y1568">
        <v>0</v>
      </c>
    </row>
    <row r="1569" spans="1:25" x14ac:dyDescent="0.2">
      <c r="A1569" t="s">
        <v>5886</v>
      </c>
      <c r="B1569" t="s">
        <v>5887</v>
      </c>
      <c r="C1569" t="s">
        <v>5888</v>
      </c>
      <c r="D1569" t="s">
        <v>5889</v>
      </c>
      <c r="E1569" t="s">
        <v>5887</v>
      </c>
      <c r="F1569" t="s">
        <v>28</v>
      </c>
      <c r="G1569" t="s">
        <v>5887</v>
      </c>
      <c r="H1569" t="str">
        <f>"rps-25"</f>
        <v>rps-25</v>
      </c>
      <c r="I1569" t="s">
        <v>5889</v>
      </c>
      <c r="J1569">
        <v>16.519532153491301</v>
      </c>
      <c r="K1569">
        <v>16.510775570846999</v>
      </c>
      <c r="L1569">
        <v>16.650663654602202</v>
      </c>
      <c r="M1569">
        <v>16.8802318666859</v>
      </c>
      <c r="N1569">
        <v>17.1528080709829</v>
      </c>
      <c r="O1569">
        <v>15.952114400668901</v>
      </c>
      <c r="P1569">
        <v>0.101394319799105</v>
      </c>
      <c r="Q1569">
        <v>-0.55430886494256204</v>
      </c>
      <c r="R1569">
        <v>0.75709750454077196</v>
      </c>
      <c r="S1569">
        <v>16.512395664175202</v>
      </c>
      <c r="T1569">
        <v>0.32501158844036299</v>
      </c>
      <c r="U1569">
        <v>-7.1010308063514502</v>
      </c>
      <c r="V1569">
        <v>0.74894123647402999</v>
      </c>
      <c r="W1569">
        <v>0.84030689423737503</v>
      </c>
      <c r="X1569">
        <v>0</v>
      </c>
      <c r="Y1569">
        <v>0</v>
      </c>
    </row>
    <row r="1570" spans="1:25" x14ac:dyDescent="0.2">
      <c r="A1570" t="s">
        <v>5890</v>
      </c>
      <c r="B1570" t="s">
        <v>5891</v>
      </c>
      <c r="C1570" t="s">
        <v>5892</v>
      </c>
      <c r="D1570" t="s">
        <v>5893</v>
      </c>
      <c r="E1570" t="s">
        <v>5891</v>
      </c>
      <c r="F1570" t="s">
        <v>28</v>
      </c>
      <c r="G1570" t="s">
        <v>5891</v>
      </c>
      <c r="H1570" t="str">
        <f>"dad-1"</f>
        <v>dad-1</v>
      </c>
      <c r="I1570" t="s">
        <v>5893</v>
      </c>
      <c r="J1570">
        <v>16.269517904333899</v>
      </c>
      <c r="K1570">
        <v>16.294337282233499</v>
      </c>
      <c r="L1570">
        <v>16.301153888692699</v>
      </c>
      <c r="M1570">
        <v>15.209392762769101</v>
      </c>
      <c r="N1570">
        <v>15.9919603807923</v>
      </c>
      <c r="O1570">
        <v>16.080186872360201</v>
      </c>
      <c r="P1570">
        <v>-0.52782301977947599</v>
      </c>
      <c r="Q1570">
        <v>-0.971903815210167</v>
      </c>
      <c r="R1570">
        <v>-8.3742224348784505E-2</v>
      </c>
      <c r="S1570">
        <v>16.2790490105406</v>
      </c>
      <c r="T1570">
        <v>-2.4981519337955</v>
      </c>
      <c r="U1570">
        <v>-4.3494837093049599</v>
      </c>
      <c r="V1570">
        <v>2.24575049757786E-2</v>
      </c>
      <c r="W1570">
        <v>7.9580993078695997E-2</v>
      </c>
      <c r="X1570">
        <v>0</v>
      </c>
      <c r="Y1570">
        <v>0</v>
      </c>
    </row>
    <row r="1571" spans="1:25" x14ac:dyDescent="0.2">
      <c r="A1571" t="s">
        <v>5894</v>
      </c>
      <c r="B1571" t="s">
        <v>5895</v>
      </c>
      <c r="C1571" t="s">
        <v>5896</v>
      </c>
      <c r="D1571" t="s">
        <v>5897</v>
      </c>
      <c r="E1571" t="s">
        <v>5895</v>
      </c>
      <c r="F1571" t="s">
        <v>28</v>
      </c>
      <c r="G1571" t="s">
        <v>5895</v>
      </c>
      <c r="H1571" t="str">
        <f>"T05H10.6"</f>
        <v>T05H10.6</v>
      </c>
      <c r="I1571" t="s">
        <v>5897</v>
      </c>
      <c r="J1571">
        <v>15.887092203182601</v>
      </c>
      <c r="K1571">
        <v>15.499240580509801</v>
      </c>
      <c r="L1571">
        <v>15.600658608611599</v>
      </c>
      <c r="M1571">
        <v>15.5642596240014</v>
      </c>
      <c r="N1571">
        <v>15.2849407233312</v>
      </c>
      <c r="O1571">
        <v>14.747526595040499</v>
      </c>
      <c r="P1571">
        <v>-0.46342148331028798</v>
      </c>
      <c r="Q1571">
        <v>-0.90399076058532701</v>
      </c>
      <c r="R1571">
        <v>-2.2852206035249598E-2</v>
      </c>
      <c r="S1571">
        <v>15.253065013195499</v>
      </c>
      <c r="T1571">
        <v>-2.21082551140241</v>
      </c>
      <c r="U1571">
        <v>-4.8902693979984804</v>
      </c>
      <c r="V1571">
        <v>4.0311106192810003E-2</v>
      </c>
      <c r="W1571">
        <v>0.118653086703643</v>
      </c>
      <c r="X1571">
        <v>0</v>
      </c>
      <c r="Y1571">
        <v>0</v>
      </c>
    </row>
    <row r="1572" spans="1:25" x14ac:dyDescent="0.2">
      <c r="A1572" t="s">
        <v>5898</v>
      </c>
      <c r="B1572" t="s">
        <v>5899</v>
      </c>
      <c r="C1572" t="s">
        <v>5900</v>
      </c>
      <c r="D1572" t="s">
        <v>5901</v>
      </c>
      <c r="E1572" t="s">
        <v>5899</v>
      </c>
      <c r="F1572" t="s">
        <v>28</v>
      </c>
      <c r="G1572" t="s">
        <v>5899</v>
      </c>
      <c r="H1572" t="str">
        <f>"eft-4"</f>
        <v>eft-4</v>
      </c>
      <c r="I1572" t="s">
        <v>5901</v>
      </c>
      <c r="J1572">
        <v>23.6017625211175</v>
      </c>
      <c r="K1572">
        <v>23.488789039128701</v>
      </c>
      <c r="L1572">
        <v>23.599896966073</v>
      </c>
      <c r="M1572">
        <v>22.411273560154701</v>
      </c>
      <c r="N1572">
        <v>23.037211207053002</v>
      </c>
      <c r="O1572">
        <v>23.143771734599198</v>
      </c>
      <c r="P1572">
        <v>-0.69939734150411004</v>
      </c>
      <c r="Q1572">
        <v>-1.11295394889499</v>
      </c>
      <c r="R1572">
        <v>-0.28584073411323302</v>
      </c>
      <c r="S1572">
        <v>23.197718228250299</v>
      </c>
      <c r="T1572">
        <v>-3.5545246176954302</v>
      </c>
      <c r="U1572">
        <v>-2.1493476920205401</v>
      </c>
      <c r="V1572">
        <v>2.2819654578848901E-3</v>
      </c>
      <c r="W1572">
        <v>1.59737582051942E-2</v>
      </c>
      <c r="X1572">
        <v>0</v>
      </c>
      <c r="Y1572">
        <v>0</v>
      </c>
    </row>
    <row r="1573" spans="1:25" x14ac:dyDescent="0.2">
      <c r="A1573" t="s">
        <v>5902</v>
      </c>
      <c r="B1573" t="s">
        <v>5903</v>
      </c>
      <c r="C1573" t="s">
        <v>5904</v>
      </c>
      <c r="D1573" t="s">
        <v>5905</v>
      </c>
      <c r="E1573" t="s">
        <v>5903</v>
      </c>
      <c r="F1573" t="s">
        <v>28</v>
      </c>
      <c r="G1573" t="s">
        <v>5903</v>
      </c>
      <c r="H1573" t="str">
        <f>"mlc-3"</f>
        <v>mlc-3</v>
      </c>
      <c r="I1573" t="s">
        <v>5905</v>
      </c>
      <c r="J1573" t="s">
        <v>29</v>
      </c>
      <c r="K1573">
        <v>11.9931959125798</v>
      </c>
      <c r="L1573" t="s">
        <v>29</v>
      </c>
      <c r="M1573" t="s">
        <v>29</v>
      </c>
      <c r="N1573" t="s">
        <v>29</v>
      </c>
      <c r="O1573" t="s">
        <v>29</v>
      </c>
      <c r="P1573" t="s">
        <v>29</v>
      </c>
      <c r="Q1573" t="s">
        <v>29</v>
      </c>
      <c r="R1573" t="s">
        <v>29</v>
      </c>
      <c r="S1573">
        <v>12.016812054073201</v>
      </c>
      <c r="T1573" t="s">
        <v>29</v>
      </c>
      <c r="U1573" t="s">
        <v>29</v>
      </c>
      <c r="V1573" t="s">
        <v>29</v>
      </c>
      <c r="W1573" t="s">
        <v>29</v>
      </c>
      <c r="X1573" t="s">
        <v>29</v>
      </c>
      <c r="Y1573" t="s">
        <v>29</v>
      </c>
    </row>
    <row r="1574" spans="1:25" x14ac:dyDescent="0.2">
      <c r="A1574" t="s">
        <v>5906</v>
      </c>
      <c r="B1574" t="s">
        <v>5907</v>
      </c>
      <c r="C1574" t="s">
        <v>5908</v>
      </c>
      <c r="D1574" t="s">
        <v>5909</v>
      </c>
      <c r="E1574" t="s">
        <v>5907</v>
      </c>
      <c r="F1574" t="s">
        <v>28</v>
      </c>
      <c r="G1574" t="s">
        <v>5907</v>
      </c>
      <c r="H1574" t="str">
        <f>"rfc-4"</f>
        <v>rfc-4</v>
      </c>
      <c r="I1574" t="s">
        <v>5909</v>
      </c>
      <c r="J1574">
        <v>11.2549169836091</v>
      </c>
      <c r="K1574" t="s">
        <v>29</v>
      </c>
      <c r="L1574" t="s">
        <v>29</v>
      </c>
      <c r="M1574" t="s">
        <v>29</v>
      </c>
      <c r="N1574" t="s">
        <v>29</v>
      </c>
      <c r="O1574" t="s">
        <v>29</v>
      </c>
      <c r="P1574" t="s">
        <v>29</v>
      </c>
      <c r="Q1574" t="s">
        <v>29</v>
      </c>
      <c r="R1574" t="s">
        <v>29</v>
      </c>
      <c r="S1574">
        <v>11.7576953989819</v>
      </c>
      <c r="T1574" t="s">
        <v>29</v>
      </c>
      <c r="U1574" t="s">
        <v>29</v>
      </c>
      <c r="V1574" t="s">
        <v>29</v>
      </c>
      <c r="W1574" t="s">
        <v>29</v>
      </c>
      <c r="X1574" t="s">
        <v>29</v>
      </c>
      <c r="Y1574" t="s">
        <v>29</v>
      </c>
    </row>
    <row r="1575" spans="1:25" x14ac:dyDescent="0.2">
      <c r="A1575" t="s">
        <v>5910</v>
      </c>
      <c r="B1575" t="s">
        <v>5911</v>
      </c>
      <c r="C1575" t="s">
        <v>5912</v>
      </c>
      <c r="D1575" t="s">
        <v>5913</v>
      </c>
      <c r="E1575" t="s">
        <v>5911</v>
      </c>
      <c r="F1575" t="s">
        <v>28</v>
      </c>
      <c r="G1575" t="s">
        <v>5911</v>
      </c>
      <c r="H1575" t="str">
        <f>"cdgs-1"</f>
        <v>cdgs-1</v>
      </c>
      <c r="I1575" t="s">
        <v>5913</v>
      </c>
      <c r="J1575">
        <v>13.6797055678886</v>
      </c>
      <c r="K1575">
        <v>13.769902162174301</v>
      </c>
      <c r="L1575">
        <v>13.8051242101411</v>
      </c>
      <c r="M1575" t="s">
        <v>29</v>
      </c>
      <c r="N1575">
        <v>14.219042793398</v>
      </c>
      <c r="O1575">
        <v>12.9351627512041</v>
      </c>
      <c r="P1575">
        <v>-0.17447454110027</v>
      </c>
      <c r="Q1575">
        <v>-0.81323341782908098</v>
      </c>
      <c r="R1575">
        <v>0.46428433562853999</v>
      </c>
      <c r="S1575">
        <v>13.9398293973529</v>
      </c>
      <c r="T1575">
        <v>-0.57656082352454996</v>
      </c>
      <c r="U1575">
        <v>-6.8724454454026898</v>
      </c>
      <c r="V1575">
        <v>0.571838475095934</v>
      </c>
      <c r="W1575">
        <v>0.71144786302532004</v>
      </c>
      <c r="X1575">
        <v>0</v>
      </c>
      <c r="Y1575">
        <v>0</v>
      </c>
    </row>
    <row r="1576" spans="1:25" x14ac:dyDescent="0.2">
      <c r="A1576" t="s">
        <v>5914</v>
      </c>
      <c r="B1576" t="s">
        <v>5915</v>
      </c>
      <c r="C1576" t="s">
        <v>5916</v>
      </c>
      <c r="D1576" t="s">
        <v>5917</v>
      </c>
      <c r="E1576" t="s">
        <v>5915</v>
      </c>
      <c r="F1576" t="s">
        <v>28</v>
      </c>
      <c r="G1576" t="s">
        <v>5915</v>
      </c>
      <c r="H1576" t="str">
        <f>"arx-2"</f>
        <v>arx-2</v>
      </c>
      <c r="I1576" t="s">
        <v>5917</v>
      </c>
      <c r="J1576">
        <v>13.5245857388601</v>
      </c>
      <c r="K1576">
        <v>13.5063353293675</v>
      </c>
      <c r="L1576">
        <v>13.5094516450486</v>
      </c>
      <c r="M1576">
        <v>14.6469898744015</v>
      </c>
      <c r="N1576">
        <v>14.062230550866699</v>
      </c>
      <c r="O1576">
        <v>14.114870628079199</v>
      </c>
      <c r="P1576">
        <v>0.76123944669042998</v>
      </c>
      <c r="Q1576">
        <v>0.36454692531194399</v>
      </c>
      <c r="R1576">
        <v>1.15793196806892</v>
      </c>
      <c r="S1576">
        <v>13.7487158212419</v>
      </c>
      <c r="T1576">
        <v>4.0332931151252698</v>
      </c>
      <c r="U1576">
        <v>-1.09855280132536</v>
      </c>
      <c r="V1576">
        <v>7.8784269099536495E-4</v>
      </c>
      <c r="W1576">
        <v>7.7651251182720496E-3</v>
      </c>
      <c r="X1576">
        <v>0</v>
      </c>
      <c r="Y1576">
        <v>0</v>
      </c>
    </row>
    <row r="1577" spans="1:25" x14ac:dyDescent="0.2">
      <c r="A1577" t="s">
        <v>5918</v>
      </c>
      <c r="B1577" t="s">
        <v>5919</v>
      </c>
      <c r="C1577" t="s">
        <v>5920</v>
      </c>
      <c r="D1577" t="s">
        <v>5921</v>
      </c>
      <c r="E1577" t="s">
        <v>5919</v>
      </c>
      <c r="F1577" t="s">
        <v>28</v>
      </c>
      <c r="G1577" t="s">
        <v>5919</v>
      </c>
      <c r="H1577" t="str">
        <f>"acly-1"</f>
        <v>acly-1</v>
      </c>
      <c r="I1577" t="s">
        <v>5921</v>
      </c>
      <c r="J1577">
        <v>16.176996885521898</v>
      </c>
      <c r="K1577">
        <v>15.8983656279435</v>
      </c>
      <c r="L1577">
        <v>15.683452471761001</v>
      </c>
      <c r="M1577">
        <v>15.0402976460338</v>
      </c>
      <c r="N1577">
        <v>15.0726636957768</v>
      </c>
      <c r="O1577">
        <v>15.473102276113799</v>
      </c>
      <c r="P1577">
        <v>-0.72425045576734004</v>
      </c>
      <c r="Q1577">
        <v>-1.18426382618777</v>
      </c>
      <c r="R1577">
        <v>-0.26423708534690499</v>
      </c>
      <c r="S1577">
        <v>15.5494915241007</v>
      </c>
      <c r="T1577">
        <v>-3.3091071925064899</v>
      </c>
      <c r="U1577">
        <v>-2.6802593277989599</v>
      </c>
      <c r="V1577">
        <v>3.9261972950335004E-3</v>
      </c>
      <c r="W1577">
        <v>2.36615612034023E-2</v>
      </c>
      <c r="X1577">
        <v>0</v>
      </c>
      <c r="Y1577">
        <v>0</v>
      </c>
    </row>
    <row r="1578" spans="1:25" x14ac:dyDescent="0.2">
      <c r="A1578" t="s">
        <v>5922</v>
      </c>
      <c r="B1578" t="s">
        <v>5923</v>
      </c>
      <c r="C1578" t="s">
        <v>5924</v>
      </c>
      <c r="D1578" t="s">
        <v>5925</v>
      </c>
      <c r="E1578" t="s">
        <v>5923</v>
      </c>
      <c r="F1578" t="s">
        <v>28</v>
      </c>
      <c r="G1578" t="s">
        <v>5923</v>
      </c>
      <c r="H1578" t="str">
        <f>"suca-1"</f>
        <v>suca-1</v>
      </c>
      <c r="I1578" t="s">
        <v>5925</v>
      </c>
      <c r="J1578">
        <v>19.709393101081101</v>
      </c>
      <c r="K1578">
        <v>19.682767574802799</v>
      </c>
      <c r="L1578">
        <v>19.5547411744347</v>
      </c>
      <c r="M1578">
        <v>19.166445089509999</v>
      </c>
      <c r="N1578">
        <v>19.698735201562599</v>
      </c>
      <c r="O1578">
        <v>19.880904727427001</v>
      </c>
      <c r="P1578">
        <v>-6.6938943939689494E-2</v>
      </c>
      <c r="Q1578">
        <v>-0.52996999544594603</v>
      </c>
      <c r="R1578">
        <v>0.39609210756656699</v>
      </c>
      <c r="S1578">
        <v>19.6591438897653</v>
      </c>
      <c r="T1578">
        <v>-0.30385140804524502</v>
      </c>
      <c r="U1578">
        <v>-7.1079755104381199</v>
      </c>
      <c r="V1578">
        <v>0.76474577284462097</v>
      </c>
      <c r="W1578">
        <v>0.85077606363650304</v>
      </c>
      <c r="X1578">
        <v>0</v>
      </c>
      <c r="Y1578">
        <v>0</v>
      </c>
    </row>
    <row r="1579" spans="1:25" x14ac:dyDescent="0.2">
      <c r="A1579" t="s">
        <v>5926</v>
      </c>
      <c r="B1579" t="s">
        <v>5927</v>
      </c>
      <c r="C1579" t="s">
        <v>5928</v>
      </c>
      <c r="D1579" t="s">
        <v>5929</v>
      </c>
      <c r="E1579" t="s">
        <v>5927</v>
      </c>
      <c r="F1579" t="s">
        <v>28</v>
      </c>
      <c r="G1579" t="s">
        <v>5927</v>
      </c>
      <c r="H1579" t="str">
        <f>"sucg-1"</f>
        <v>sucg-1</v>
      </c>
      <c r="I1579" t="s">
        <v>5929</v>
      </c>
      <c r="J1579">
        <v>13.2695642581784</v>
      </c>
      <c r="K1579">
        <v>13.0105289253269</v>
      </c>
      <c r="L1579">
        <v>13.2204050831728</v>
      </c>
      <c r="M1579" t="s">
        <v>29</v>
      </c>
      <c r="N1579">
        <v>11.7850930586647</v>
      </c>
      <c r="O1579">
        <v>11.981179229918601</v>
      </c>
      <c r="P1579">
        <v>-1.2836966112677299</v>
      </c>
      <c r="Q1579">
        <v>-1.8092811999782401</v>
      </c>
      <c r="R1579">
        <v>-0.75811202255721399</v>
      </c>
      <c r="S1579">
        <v>12.8547775600716</v>
      </c>
      <c r="T1579">
        <v>-5.1554880628858797</v>
      </c>
      <c r="U1579">
        <v>1.30709822101571</v>
      </c>
      <c r="V1579" s="2">
        <v>8.0792241194017106E-5</v>
      </c>
      <c r="W1579">
        <v>1.4679711587318801E-3</v>
      </c>
      <c r="X1579">
        <v>-1</v>
      </c>
      <c r="Y1579">
        <v>-1</v>
      </c>
    </row>
    <row r="1580" spans="1:25" x14ac:dyDescent="0.2">
      <c r="A1580" t="s">
        <v>5930</v>
      </c>
      <c r="B1580" t="s">
        <v>5931</v>
      </c>
      <c r="C1580" t="s">
        <v>5932</v>
      </c>
      <c r="D1580" t="s">
        <v>3133</v>
      </c>
      <c r="E1580" t="s">
        <v>5931</v>
      </c>
      <c r="F1580" t="s">
        <v>28</v>
      </c>
      <c r="G1580" t="s">
        <v>5931</v>
      </c>
      <c r="H1580" t="str">
        <f>"sucl-1"</f>
        <v>sucl-1</v>
      </c>
      <c r="I1580" t="s">
        <v>3133</v>
      </c>
      <c r="J1580">
        <v>15.0857453439883</v>
      </c>
      <c r="K1580">
        <v>15.1968513494291</v>
      </c>
      <c r="L1580">
        <v>14.8300950540446</v>
      </c>
      <c r="M1580">
        <v>12.988497146177</v>
      </c>
      <c r="N1580">
        <v>14.7538242384967</v>
      </c>
      <c r="O1580">
        <v>14.477550061182701</v>
      </c>
      <c r="P1580">
        <v>-0.96427343386855702</v>
      </c>
      <c r="Q1580">
        <v>-1.6337661859724999</v>
      </c>
      <c r="R1580">
        <v>-0.29478068176461197</v>
      </c>
      <c r="S1580">
        <v>14.9106029375689</v>
      </c>
      <c r="T1580">
        <v>-3.02723987533065</v>
      </c>
      <c r="U1580">
        <v>-3.2785121944748399</v>
      </c>
      <c r="V1580">
        <v>7.2782393070017302E-3</v>
      </c>
      <c r="W1580">
        <v>3.6477842241044403E-2</v>
      </c>
      <c r="X1580">
        <v>0</v>
      </c>
      <c r="Y1580">
        <v>0</v>
      </c>
    </row>
    <row r="1581" spans="1:25" x14ac:dyDescent="0.2">
      <c r="A1581" t="s">
        <v>5933</v>
      </c>
      <c r="B1581" t="s">
        <v>5934</v>
      </c>
      <c r="C1581" t="s">
        <v>5935</v>
      </c>
      <c r="D1581" t="s">
        <v>5936</v>
      </c>
      <c r="E1581" t="s">
        <v>5934</v>
      </c>
      <c r="F1581" t="s">
        <v>28</v>
      </c>
      <c r="G1581" t="s">
        <v>5934</v>
      </c>
      <c r="H1581" t="str">
        <f>"algn-11"</f>
        <v>algn-11</v>
      </c>
      <c r="I1581" t="s">
        <v>5936</v>
      </c>
      <c r="J1581">
        <v>11.320081391239301</v>
      </c>
      <c r="K1581">
        <v>11.374125092778099</v>
      </c>
      <c r="L1581">
        <v>11.9018723673328</v>
      </c>
      <c r="M1581" t="s">
        <v>29</v>
      </c>
      <c r="N1581" t="s">
        <v>29</v>
      </c>
      <c r="O1581">
        <v>11.1709786465451</v>
      </c>
      <c r="P1581">
        <v>-0.36104763723830602</v>
      </c>
      <c r="Q1581">
        <v>-1.3316553659179</v>
      </c>
      <c r="R1581">
        <v>0.60956009144128598</v>
      </c>
      <c r="S1581">
        <v>11.2626238274656</v>
      </c>
      <c r="T1581">
        <v>-0.78898780737583896</v>
      </c>
      <c r="U1581">
        <v>-6.49210252530548</v>
      </c>
      <c r="V1581">
        <v>0.44172930236832703</v>
      </c>
      <c r="W1581">
        <v>0.60717176029825504</v>
      </c>
      <c r="X1581">
        <v>0</v>
      </c>
      <c r="Y1581">
        <v>0</v>
      </c>
    </row>
    <row r="1582" spans="1:25" x14ac:dyDescent="0.2">
      <c r="A1582" t="s">
        <v>5937</v>
      </c>
      <c r="B1582" t="s">
        <v>5938</v>
      </c>
      <c r="C1582" t="s">
        <v>5939</v>
      </c>
      <c r="D1582" t="s">
        <v>5940</v>
      </c>
      <c r="E1582" t="s">
        <v>5938</v>
      </c>
      <c r="F1582" t="s">
        <v>28</v>
      </c>
      <c r="G1582" t="s">
        <v>5938</v>
      </c>
      <c r="H1582" t="str">
        <f>"F44G4.1"</f>
        <v>F44G4.1</v>
      </c>
      <c r="I1582" t="s">
        <v>5940</v>
      </c>
      <c r="J1582">
        <v>13.9368678783148</v>
      </c>
      <c r="K1582">
        <v>13.856733804487501</v>
      </c>
      <c r="L1582">
        <v>13.7591645730219</v>
      </c>
      <c r="M1582" t="s">
        <v>29</v>
      </c>
      <c r="N1582">
        <v>13.794679414482699</v>
      </c>
      <c r="O1582">
        <v>13.611768453797</v>
      </c>
      <c r="P1582">
        <v>-0.14769815113487</v>
      </c>
      <c r="Q1582">
        <v>-0.54709944171492297</v>
      </c>
      <c r="R1582">
        <v>0.25170313944518302</v>
      </c>
      <c r="S1582">
        <v>14.056733994304601</v>
      </c>
      <c r="T1582">
        <v>-0.78057674425654899</v>
      </c>
      <c r="U1582">
        <v>-6.7308762771527402</v>
      </c>
      <c r="V1582">
        <v>0.44585101730427601</v>
      </c>
      <c r="W1582">
        <v>0.61112695255614002</v>
      </c>
      <c r="X1582">
        <v>0</v>
      </c>
      <c r="Y1582">
        <v>0</v>
      </c>
    </row>
    <row r="1583" spans="1:25" x14ac:dyDescent="0.2">
      <c r="A1583" t="s">
        <v>5941</v>
      </c>
      <c r="B1583" t="s">
        <v>5942</v>
      </c>
      <c r="C1583" t="s">
        <v>5943</v>
      </c>
      <c r="D1583" t="s">
        <v>5944</v>
      </c>
      <c r="E1583" t="s">
        <v>5942</v>
      </c>
      <c r="F1583" t="s">
        <v>28</v>
      </c>
      <c r="G1583" t="s">
        <v>5942</v>
      </c>
      <c r="H1583" t="str">
        <f>"eef-1G"</f>
        <v>eef-1G</v>
      </c>
      <c r="I1583" t="s">
        <v>5944</v>
      </c>
      <c r="J1583">
        <v>17.5525553468641</v>
      </c>
      <c r="K1583">
        <v>17.175004338615501</v>
      </c>
      <c r="L1583">
        <v>17.270201491673401</v>
      </c>
      <c r="M1583">
        <v>16.6855969168281</v>
      </c>
      <c r="N1583">
        <v>16.688811559648499</v>
      </c>
      <c r="O1583">
        <v>16.408763237856199</v>
      </c>
      <c r="P1583">
        <v>-0.73819648760670398</v>
      </c>
      <c r="Q1583">
        <v>-1.10727159674081</v>
      </c>
      <c r="R1583">
        <v>-0.36912137847260001</v>
      </c>
      <c r="S1583">
        <v>16.7005288317823</v>
      </c>
      <c r="T1583">
        <v>-4.2038743875938103</v>
      </c>
      <c r="U1583">
        <v>-0.72215148928142503</v>
      </c>
      <c r="V1583">
        <v>5.3968359582433898E-4</v>
      </c>
      <c r="W1583">
        <v>5.8830796059850896E-3</v>
      </c>
      <c r="X1583">
        <v>0</v>
      </c>
      <c r="Y1583">
        <v>0</v>
      </c>
    </row>
    <row r="1584" spans="1:25" x14ac:dyDescent="0.2">
      <c r="A1584" t="s">
        <v>5945</v>
      </c>
      <c r="B1584" t="s">
        <v>5946</v>
      </c>
      <c r="C1584" t="s">
        <v>5947</v>
      </c>
      <c r="D1584" t="s">
        <v>5948</v>
      </c>
      <c r="E1584" t="s">
        <v>5946</v>
      </c>
      <c r="F1584" t="s">
        <v>28</v>
      </c>
      <c r="G1584" t="s">
        <v>5946</v>
      </c>
      <c r="H1584" t="str">
        <f>"bcat-1"</f>
        <v>bcat-1</v>
      </c>
      <c r="I1584" t="s">
        <v>5948</v>
      </c>
      <c r="J1584">
        <v>14.0142703225858</v>
      </c>
      <c r="K1584">
        <v>13.9776348015541</v>
      </c>
      <c r="L1584">
        <v>14.2985163921091</v>
      </c>
      <c r="M1584">
        <v>13.207982087549</v>
      </c>
      <c r="N1584">
        <v>14.533859938098299</v>
      </c>
      <c r="O1584">
        <v>14.9612976292001</v>
      </c>
      <c r="P1584">
        <v>0.13757271286607101</v>
      </c>
      <c r="Q1584">
        <v>-0.58059909447550895</v>
      </c>
      <c r="R1584">
        <v>0.85574452020765002</v>
      </c>
      <c r="S1584">
        <v>13.929559887799</v>
      </c>
      <c r="T1584">
        <v>0.40262103616913603</v>
      </c>
      <c r="U1584">
        <v>-7.0716164643751398</v>
      </c>
      <c r="V1584">
        <v>0.69199601485742201</v>
      </c>
      <c r="W1584">
        <v>0.80035802817300805</v>
      </c>
      <c r="X1584">
        <v>0</v>
      </c>
      <c r="Y1584">
        <v>0</v>
      </c>
    </row>
    <row r="1585" spans="1:25" x14ac:dyDescent="0.2">
      <c r="A1585" t="s">
        <v>5949</v>
      </c>
      <c r="B1585" t="s">
        <v>5950</v>
      </c>
      <c r="C1585" t="s">
        <v>5951</v>
      </c>
      <c r="D1585" t="s">
        <v>5952</v>
      </c>
      <c r="E1585" t="s">
        <v>5950</v>
      </c>
      <c r="F1585" t="s">
        <v>28</v>
      </c>
      <c r="G1585" t="s">
        <v>5950</v>
      </c>
      <c r="H1585" t="str">
        <f>"cdc-48.1"</f>
        <v>cdc-48.1</v>
      </c>
      <c r="I1585" t="s">
        <v>5952</v>
      </c>
      <c r="J1585">
        <v>14.1212994008919</v>
      </c>
      <c r="K1585">
        <v>13.986673391709999</v>
      </c>
      <c r="L1585">
        <v>14.026689709351601</v>
      </c>
      <c r="M1585">
        <v>13.8091680152676</v>
      </c>
      <c r="N1585">
        <v>14.3437715574733</v>
      </c>
      <c r="O1585">
        <v>14.5021127155493</v>
      </c>
      <c r="P1585">
        <v>0.17346326211223401</v>
      </c>
      <c r="Q1585">
        <v>-0.29457193937398102</v>
      </c>
      <c r="R1585">
        <v>0.64149846359844898</v>
      </c>
      <c r="S1585">
        <v>14.213278783082799</v>
      </c>
      <c r="T1585">
        <v>0.77897138495626395</v>
      </c>
      <c r="U1585">
        <v>-6.8431709162103198</v>
      </c>
      <c r="V1585">
        <v>0.44617607435730799</v>
      </c>
      <c r="W1585">
        <v>0.61128818741561397</v>
      </c>
      <c r="X1585">
        <v>0</v>
      </c>
      <c r="Y1585">
        <v>0</v>
      </c>
    </row>
    <row r="1586" spans="1:25" x14ac:dyDescent="0.2">
      <c r="A1586" t="s">
        <v>5953</v>
      </c>
      <c r="B1586" t="s">
        <v>5954</v>
      </c>
      <c r="C1586" t="s">
        <v>5955</v>
      </c>
      <c r="D1586" t="s">
        <v>5956</v>
      </c>
      <c r="E1586" t="s">
        <v>5954</v>
      </c>
      <c r="F1586" t="s">
        <v>28</v>
      </c>
      <c r="G1586" t="s">
        <v>5954</v>
      </c>
      <c r="H1586" t="str">
        <f>"cdc-48.2"</f>
        <v>cdc-48.2</v>
      </c>
      <c r="I1586" t="s">
        <v>5956</v>
      </c>
      <c r="J1586">
        <v>16.281687499314302</v>
      </c>
      <c r="K1586">
        <v>16.163597428706801</v>
      </c>
      <c r="L1586">
        <v>16.268361303348801</v>
      </c>
      <c r="M1586">
        <v>16.7324674559149</v>
      </c>
      <c r="N1586">
        <v>16.578009333523301</v>
      </c>
      <c r="O1586">
        <v>16.5185325907966</v>
      </c>
      <c r="P1586">
        <v>0.37178771628830598</v>
      </c>
      <c r="Q1586">
        <v>9.6356826265514596E-3</v>
      </c>
      <c r="R1586">
        <v>0.73393974995006095</v>
      </c>
      <c r="S1586">
        <v>16.316861226319698</v>
      </c>
      <c r="T1586">
        <v>2.1577276239765499</v>
      </c>
      <c r="U1586">
        <v>-4.9862225770528896</v>
      </c>
      <c r="V1586">
        <v>4.4791997905995702E-2</v>
      </c>
      <c r="W1586">
        <v>0.126076425815634</v>
      </c>
      <c r="X1586">
        <v>0</v>
      </c>
      <c r="Y1586">
        <v>0</v>
      </c>
    </row>
    <row r="1587" spans="1:25" x14ac:dyDescent="0.2">
      <c r="A1587" t="s">
        <v>5957</v>
      </c>
      <c r="B1587" t="s">
        <v>5958</v>
      </c>
      <c r="C1587" t="s">
        <v>5959</v>
      </c>
      <c r="D1587" t="s">
        <v>5960</v>
      </c>
      <c r="E1587" t="s">
        <v>5958</v>
      </c>
      <c r="F1587" t="s">
        <v>28</v>
      </c>
      <c r="G1587" t="s">
        <v>5958</v>
      </c>
      <c r="H1587" t="str">
        <f>"ymel-1"</f>
        <v>ymel-1</v>
      </c>
      <c r="I1587" t="s">
        <v>5960</v>
      </c>
      <c r="J1587">
        <v>12.6531711938635</v>
      </c>
      <c r="K1587">
        <v>12.6652192937559</v>
      </c>
      <c r="L1587">
        <v>12.532896191053201</v>
      </c>
      <c r="M1587" t="s">
        <v>29</v>
      </c>
      <c r="N1587" t="s">
        <v>29</v>
      </c>
      <c r="O1587">
        <v>12.8800170950532</v>
      </c>
      <c r="P1587">
        <v>0.262921535495655</v>
      </c>
      <c r="Q1587">
        <v>-0.51086629910104797</v>
      </c>
      <c r="R1587">
        <v>1.03670937009236</v>
      </c>
      <c r="S1587">
        <v>12.730731286149901</v>
      </c>
      <c r="T1587">
        <v>0.72069878890700101</v>
      </c>
      <c r="U1587">
        <v>-6.5443441865631602</v>
      </c>
      <c r="V1587">
        <v>0.48156065463368303</v>
      </c>
      <c r="W1587">
        <v>0.64017804336195505</v>
      </c>
      <c r="X1587">
        <v>0</v>
      </c>
      <c r="Y1587">
        <v>0</v>
      </c>
    </row>
    <row r="1588" spans="1:25" x14ac:dyDescent="0.2">
      <c r="A1588" t="s">
        <v>5961</v>
      </c>
      <c r="B1588" t="s">
        <v>5962</v>
      </c>
      <c r="C1588" t="s">
        <v>5963</v>
      </c>
      <c r="D1588" t="s">
        <v>5964</v>
      </c>
      <c r="E1588" t="s">
        <v>5962</v>
      </c>
      <c r="F1588" t="s">
        <v>28</v>
      </c>
      <c r="G1588" t="s">
        <v>5962</v>
      </c>
      <c r="H1588" t="str">
        <f>"mspn-1"</f>
        <v>mspn-1</v>
      </c>
      <c r="I1588" t="s">
        <v>5964</v>
      </c>
      <c r="J1588" t="s">
        <v>29</v>
      </c>
      <c r="K1588" t="s">
        <v>29</v>
      </c>
      <c r="L1588" t="s">
        <v>29</v>
      </c>
      <c r="M1588" t="s">
        <v>29</v>
      </c>
      <c r="N1588" t="s">
        <v>29</v>
      </c>
      <c r="O1588" t="s">
        <v>29</v>
      </c>
      <c r="P1588" t="s">
        <v>29</v>
      </c>
      <c r="Q1588" t="s">
        <v>29</v>
      </c>
      <c r="R1588" t="s">
        <v>29</v>
      </c>
      <c r="S1588">
        <v>12.757369242060699</v>
      </c>
      <c r="T1588" t="s">
        <v>29</v>
      </c>
      <c r="U1588" t="s">
        <v>29</v>
      </c>
      <c r="V1588" t="s">
        <v>29</v>
      </c>
      <c r="W1588" t="s">
        <v>29</v>
      </c>
      <c r="X1588" t="s">
        <v>29</v>
      </c>
      <c r="Y1588" t="s">
        <v>29</v>
      </c>
    </row>
    <row r="1589" spans="1:25" x14ac:dyDescent="0.2">
      <c r="A1589" t="s">
        <v>5965</v>
      </c>
      <c r="B1589" t="s">
        <v>5966</v>
      </c>
      <c r="C1589" t="s">
        <v>5967</v>
      </c>
      <c r="D1589" t="s">
        <v>5968</v>
      </c>
      <c r="E1589" t="s">
        <v>5966</v>
      </c>
      <c r="F1589" t="s">
        <v>28</v>
      </c>
      <c r="G1589" t="s">
        <v>5966</v>
      </c>
      <c r="H1589" t="str">
        <f>"lex-1"</f>
        <v>lex-1</v>
      </c>
      <c r="I1589" t="s">
        <v>5968</v>
      </c>
      <c r="J1589">
        <v>13.0795814686995</v>
      </c>
      <c r="K1589">
        <v>13.1749969630993</v>
      </c>
      <c r="L1589">
        <v>13.4713155988954</v>
      </c>
      <c r="M1589" t="s">
        <v>29</v>
      </c>
      <c r="N1589">
        <v>13.4088635523687</v>
      </c>
      <c r="O1589">
        <v>13.4319114217743</v>
      </c>
      <c r="P1589">
        <v>0.178422810173403</v>
      </c>
      <c r="Q1589">
        <v>-0.34525246189187198</v>
      </c>
      <c r="R1589">
        <v>0.70209808223867898</v>
      </c>
      <c r="S1589">
        <v>13.9526597687557</v>
      </c>
      <c r="T1589">
        <v>0.71918119229812205</v>
      </c>
      <c r="U1589">
        <v>-6.7777045624492898</v>
      </c>
      <c r="V1589">
        <v>0.481859243451565</v>
      </c>
      <c r="W1589">
        <v>0.64017804336195505</v>
      </c>
      <c r="X1589">
        <v>0</v>
      </c>
      <c r="Y1589">
        <v>0</v>
      </c>
    </row>
    <row r="1590" spans="1:25" x14ac:dyDescent="0.2">
      <c r="A1590" t="s">
        <v>5969</v>
      </c>
      <c r="B1590" t="s">
        <v>5970</v>
      </c>
      <c r="C1590" t="s">
        <v>5971</v>
      </c>
      <c r="D1590" t="s">
        <v>5972</v>
      </c>
      <c r="E1590" t="s">
        <v>5970</v>
      </c>
      <c r="F1590" t="s">
        <v>28</v>
      </c>
      <c r="G1590" t="s">
        <v>5970</v>
      </c>
      <c r="H1590" t="str">
        <f>"alh-13"</f>
        <v>alh-13</v>
      </c>
      <c r="I1590" t="s">
        <v>5972</v>
      </c>
      <c r="J1590">
        <v>16.9386076855067</v>
      </c>
      <c r="K1590">
        <v>16.8843536210045</v>
      </c>
      <c r="L1590">
        <v>16.7637501646978</v>
      </c>
      <c r="M1590">
        <v>16.342856905203401</v>
      </c>
      <c r="N1590">
        <v>16.515762129706101</v>
      </c>
      <c r="O1590">
        <v>16.7105797986761</v>
      </c>
      <c r="P1590">
        <v>-0.33917087920781303</v>
      </c>
      <c r="Q1590">
        <v>-0.65490540411606102</v>
      </c>
      <c r="R1590">
        <v>-2.3436354299565799E-2</v>
      </c>
      <c r="S1590">
        <v>16.529796825983698</v>
      </c>
      <c r="T1590">
        <v>-2.2578183411791302</v>
      </c>
      <c r="U1590">
        <v>-4.8042481441489402</v>
      </c>
      <c r="V1590">
        <v>3.6693204602538401E-2</v>
      </c>
      <c r="W1590">
        <v>0.112523281960126</v>
      </c>
      <c r="X1590">
        <v>0</v>
      </c>
      <c r="Y1590">
        <v>0</v>
      </c>
    </row>
    <row r="1591" spans="1:25" x14ac:dyDescent="0.2">
      <c r="A1591" t="s">
        <v>5973</v>
      </c>
      <c r="B1591" t="s">
        <v>5974</v>
      </c>
      <c r="C1591" t="s">
        <v>5975</v>
      </c>
      <c r="D1591" t="s">
        <v>5976</v>
      </c>
      <c r="E1591" t="s">
        <v>5974</v>
      </c>
      <c r="F1591" t="s">
        <v>28</v>
      </c>
      <c r="G1591" t="s">
        <v>5974</v>
      </c>
      <c r="H1591" t="str">
        <f>"vit-1"</f>
        <v>vit-1</v>
      </c>
      <c r="I1591" t="s">
        <v>5976</v>
      </c>
      <c r="J1591">
        <v>16.8087423819841</v>
      </c>
      <c r="K1591">
        <v>16.464960856388402</v>
      </c>
      <c r="L1591">
        <v>17.215112766124399</v>
      </c>
      <c r="M1591">
        <v>16.338593617283198</v>
      </c>
      <c r="N1591">
        <v>16.447534301624099</v>
      </c>
      <c r="O1591">
        <v>16.5085111412189</v>
      </c>
      <c r="P1591">
        <v>-0.39805898145690199</v>
      </c>
      <c r="Q1591">
        <v>-0.79636445734991701</v>
      </c>
      <c r="R1591">
        <v>2.4649443611279902E-4</v>
      </c>
      <c r="S1591">
        <v>17.168108250842199</v>
      </c>
      <c r="T1591">
        <v>-2.1005047280822602</v>
      </c>
      <c r="U1591">
        <v>-5.0880955804683703</v>
      </c>
      <c r="V1591">
        <v>5.0127444002894497E-2</v>
      </c>
      <c r="W1591">
        <v>0.13640647309868201</v>
      </c>
      <c r="X1591">
        <v>0</v>
      </c>
      <c r="Y1591">
        <v>0</v>
      </c>
    </row>
    <row r="1592" spans="1:25" x14ac:dyDescent="0.2">
      <c r="A1592" t="s">
        <v>5977</v>
      </c>
      <c r="B1592" t="s">
        <v>5978</v>
      </c>
      <c r="C1592" t="s">
        <v>5979</v>
      </c>
      <c r="D1592" t="s">
        <v>5980</v>
      </c>
      <c r="E1592" t="s">
        <v>5978</v>
      </c>
      <c r="F1592" t="s">
        <v>28</v>
      </c>
      <c r="G1592" t="s">
        <v>5978</v>
      </c>
      <c r="H1592" t="str">
        <f>"gex-3"</f>
        <v>gex-3</v>
      </c>
      <c r="I1592" t="s">
        <v>5980</v>
      </c>
      <c r="J1592">
        <v>12.9893942897451</v>
      </c>
      <c r="K1592">
        <v>11.4636860561876</v>
      </c>
      <c r="L1592">
        <v>11.664030904922701</v>
      </c>
      <c r="M1592" t="s">
        <v>29</v>
      </c>
      <c r="N1592">
        <v>11.692243656256901</v>
      </c>
      <c r="O1592">
        <v>12.071035576083601</v>
      </c>
      <c r="P1592">
        <v>-0.15739746744829999</v>
      </c>
      <c r="Q1592">
        <v>-1.0724919747712001</v>
      </c>
      <c r="R1592">
        <v>0.75769703987460002</v>
      </c>
      <c r="S1592">
        <v>11.859543009924</v>
      </c>
      <c r="T1592">
        <v>-0.36306284354542501</v>
      </c>
      <c r="U1592">
        <v>-6.9764570647442996</v>
      </c>
      <c r="V1592">
        <v>0.72106047594252098</v>
      </c>
      <c r="W1592">
        <v>0.82044989289676096</v>
      </c>
      <c r="X1592">
        <v>0</v>
      </c>
      <c r="Y1592">
        <v>0</v>
      </c>
    </row>
    <row r="1593" spans="1:25" x14ac:dyDescent="0.2">
      <c r="A1593" t="s">
        <v>5981</v>
      </c>
      <c r="B1593" t="s">
        <v>5982</v>
      </c>
      <c r="C1593" t="s">
        <v>5983</v>
      </c>
      <c r="D1593" t="s">
        <v>5984</v>
      </c>
      <c r="E1593" t="s">
        <v>5982</v>
      </c>
      <c r="F1593" t="s">
        <v>28</v>
      </c>
      <c r="G1593" t="s">
        <v>5982</v>
      </c>
      <c r="H1593" t="str">
        <f>"cth-2"</f>
        <v>cth-2</v>
      </c>
      <c r="I1593" t="s">
        <v>5984</v>
      </c>
      <c r="J1593">
        <v>14.2888939522712</v>
      </c>
      <c r="K1593">
        <v>14.2323091508638</v>
      </c>
      <c r="L1593">
        <v>14.4361205984516</v>
      </c>
      <c r="M1593">
        <v>13.566905317351999</v>
      </c>
      <c r="N1593">
        <v>13.7121882700356</v>
      </c>
      <c r="O1593">
        <v>14.033423922293901</v>
      </c>
      <c r="P1593">
        <v>-0.54826873063499404</v>
      </c>
      <c r="Q1593">
        <v>-0.98490849749688603</v>
      </c>
      <c r="R1593">
        <v>-0.111628963773103</v>
      </c>
      <c r="S1593">
        <v>14.490827103760701</v>
      </c>
      <c r="T1593">
        <v>-2.6391416718324598</v>
      </c>
      <c r="U1593">
        <v>-4.0724130104908802</v>
      </c>
      <c r="V1593">
        <v>1.6722105835503501E-2</v>
      </c>
      <c r="W1593">
        <v>6.5444948070688999E-2</v>
      </c>
      <c r="X1593">
        <v>0</v>
      </c>
      <c r="Y1593">
        <v>0</v>
      </c>
    </row>
    <row r="1594" spans="1:25" x14ac:dyDescent="0.2">
      <c r="A1594" t="s">
        <v>5985</v>
      </c>
      <c r="B1594" t="s">
        <v>5986</v>
      </c>
      <c r="C1594" t="s">
        <v>5987</v>
      </c>
      <c r="D1594" t="s">
        <v>5988</v>
      </c>
      <c r="E1594" t="s">
        <v>5986</v>
      </c>
      <c r="F1594" t="s">
        <v>28</v>
      </c>
      <c r="G1594" t="s">
        <v>5986</v>
      </c>
      <c r="H1594" t="str">
        <f>"F13E6.1"</f>
        <v>F13E6.1</v>
      </c>
      <c r="I1594" t="s">
        <v>5988</v>
      </c>
      <c r="J1594" t="s">
        <v>29</v>
      </c>
      <c r="K1594" t="s">
        <v>29</v>
      </c>
      <c r="L1594" t="s">
        <v>29</v>
      </c>
      <c r="M1594" t="s">
        <v>29</v>
      </c>
      <c r="N1594">
        <v>11.1877800049207</v>
      </c>
      <c r="O1594">
        <v>13.4233543975831</v>
      </c>
      <c r="P1594" t="s">
        <v>29</v>
      </c>
      <c r="Q1594" t="s">
        <v>29</v>
      </c>
      <c r="R1594" t="s">
        <v>29</v>
      </c>
      <c r="S1594">
        <v>12.088738712292701</v>
      </c>
      <c r="T1594" t="s">
        <v>29</v>
      </c>
      <c r="U1594" t="s">
        <v>29</v>
      </c>
      <c r="V1594" t="s">
        <v>29</v>
      </c>
      <c r="W1594" t="s">
        <v>29</v>
      </c>
      <c r="X1594" t="s">
        <v>29</v>
      </c>
      <c r="Y1594" t="s">
        <v>29</v>
      </c>
    </row>
    <row r="1595" spans="1:25" x14ac:dyDescent="0.2">
      <c r="A1595" t="s">
        <v>5989</v>
      </c>
      <c r="B1595" t="s">
        <v>5990</v>
      </c>
      <c r="C1595" t="s">
        <v>5991</v>
      </c>
      <c r="D1595" t="s">
        <v>5992</v>
      </c>
      <c r="E1595" t="s">
        <v>5990</v>
      </c>
      <c r="F1595" t="s">
        <v>28</v>
      </c>
      <c r="G1595" t="s">
        <v>5990</v>
      </c>
      <c r="H1595" t="str">
        <f>"smo-1"</f>
        <v>smo-1</v>
      </c>
      <c r="I1595" t="s">
        <v>5992</v>
      </c>
      <c r="J1595">
        <v>11.0987097954712</v>
      </c>
      <c r="K1595" t="s">
        <v>29</v>
      </c>
      <c r="L1595">
        <v>11.8371485164914</v>
      </c>
      <c r="M1595" t="s">
        <v>29</v>
      </c>
      <c r="N1595" t="s">
        <v>29</v>
      </c>
      <c r="O1595">
        <v>11.355083145145199</v>
      </c>
      <c r="P1595">
        <v>-0.112846010836043</v>
      </c>
      <c r="Q1595">
        <v>-1.57397557872256</v>
      </c>
      <c r="R1595">
        <v>1.3482835570504701</v>
      </c>
      <c r="S1595">
        <v>12.777591174947</v>
      </c>
      <c r="T1595">
        <v>-0.16471725175414101</v>
      </c>
      <c r="U1595">
        <v>-6.7402786322444301</v>
      </c>
      <c r="V1595">
        <v>0.87138108810765003</v>
      </c>
      <c r="W1595">
        <v>0.92031949627072496</v>
      </c>
      <c r="X1595">
        <v>0</v>
      </c>
      <c r="Y1595">
        <v>0</v>
      </c>
    </row>
    <row r="1596" spans="1:25" x14ac:dyDescent="0.2">
      <c r="A1596" t="s">
        <v>5993</v>
      </c>
      <c r="B1596" t="s">
        <v>5994</v>
      </c>
      <c r="C1596" t="s">
        <v>5995</v>
      </c>
      <c r="D1596" t="s">
        <v>5996</v>
      </c>
      <c r="E1596" t="s">
        <v>5994</v>
      </c>
      <c r="F1596" t="s">
        <v>28</v>
      </c>
      <c r="G1596" t="s">
        <v>5994</v>
      </c>
      <c r="H1596" t="str">
        <f>"asp-3"</f>
        <v>asp-3</v>
      </c>
      <c r="I1596" t="s">
        <v>5996</v>
      </c>
      <c r="J1596">
        <v>11.5535124192598</v>
      </c>
      <c r="K1596">
        <v>11.242654385003799</v>
      </c>
      <c r="L1596">
        <v>11.9809318206337</v>
      </c>
      <c r="M1596" t="s">
        <v>29</v>
      </c>
      <c r="N1596" t="s">
        <v>29</v>
      </c>
      <c r="O1596">
        <v>11.493555109317199</v>
      </c>
      <c r="P1596">
        <v>-9.8811098981860496E-2</v>
      </c>
      <c r="Q1596">
        <v>-0.98516531934404095</v>
      </c>
      <c r="R1596">
        <v>0.78754312138032001</v>
      </c>
      <c r="S1596">
        <v>12.0989967249293</v>
      </c>
      <c r="T1596">
        <v>-0.237760671408695</v>
      </c>
      <c r="U1596">
        <v>-6.7829525287945502</v>
      </c>
      <c r="V1596">
        <v>0.8153062369763</v>
      </c>
      <c r="W1596">
        <v>0.88432369538798505</v>
      </c>
      <c r="X1596">
        <v>0</v>
      </c>
      <c r="Y1596">
        <v>0</v>
      </c>
    </row>
    <row r="1597" spans="1:25" x14ac:dyDescent="0.2">
      <c r="A1597" t="s">
        <v>5997</v>
      </c>
      <c r="B1597" t="s">
        <v>5998</v>
      </c>
      <c r="C1597" t="s">
        <v>5999</v>
      </c>
      <c r="D1597" t="s">
        <v>6000</v>
      </c>
      <c r="E1597" t="s">
        <v>5998</v>
      </c>
      <c r="F1597" t="s">
        <v>28</v>
      </c>
      <c r="G1597" t="s">
        <v>5998</v>
      </c>
      <c r="H1597" t="str">
        <f>"arx-6"</f>
        <v>arx-6</v>
      </c>
      <c r="I1597" t="s">
        <v>6000</v>
      </c>
      <c r="J1597">
        <v>15.689890819857901</v>
      </c>
      <c r="K1597">
        <v>15.586847790647999</v>
      </c>
      <c r="L1597">
        <v>15.479028056647101</v>
      </c>
      <c r="M1597">
        <v>14.924194442005399</v>
      </c>
      <c r="N1597">
        <v>14.8641826875392</v>
      </c>
      <c r="O1597">
        <v>15.073582191827001</v>
      </c>
      <c r="P1597">
        <v>-0.63126911526046703</v>
      </c>
      <c r="Q1597">
        <v>-0.921437372617119</v>
      </c>
      <c r="R1597">
        <v>-0.341100857903816</v>
      </c>
      <c r="S1597">
        <v>15.0488696245766</v>
      </c>
      <c r="T1597">
        <v>-4.5725362135587204</v>
      </c>
      <c r="U1597">
        <v>9.0285472562647406E-2</v>
      </c>
      <c r="V1597">
        <v>2.3937061464122201E-4</v>
      </c>
      <c r="W1597">
        <v>3.1838418862921701E-3</v>
      </c>
      <c r="X1597">
        <v>0</v>
      </c>
      <c r="Y1597">
        <v>0</v>
      </c>
    </row>
    <row r="1598" spans="1:25" x14ac:dyDescent="0.2">
      <c r="A1598" t="s">
        <v>6001</v>
      </c>
      <c r="B1598" t="s">
        <v>6002</v>
      </c>
      <c r="C1598" t="s">
        <v>6003</v>
      </c>
      <c r="D1598" t="s">
        <v>6004</v>
      </c>
      <c r="E1598" t="s">
        <v>6002</v>
      </c>
      <c r="F1598" t="s">
        <v>28</v>
      </c>
      <c r="G1598" t="s">
        <v>6002</v>
      </c>
      <c r="H1598" t="str">
        <f>"rpl-12"</f>
        <v>rpl-12</v>
      </c>
      <c r="I1598" t="s">
        <v>6004</v>
      </c>
      <c r="J1598">
        <v>14.6086018768193</v>
      </c>
      <c r="K1598">
        <v>14.963402727037399</v>
      </c>
      <c r="L1598">
        <v>15.3302612597523</v>
      </c>
      <c r="M1598">
        <v>15.5185497274891</v>
      </c>
      <c r="N1598">
        <v>15.208393196658699</v>
      </c>
      <c r="O1598">
        <v>14.792448021472</v>
      </c>
      <c r="P1598">
        <v>0.20570836067026099</v>
      </c>
      <c r="Q1598">
        <v>-0.66458317963357805</v>
      </c>
      <c r="R1598">
        <v>1.0759999009740999</v>
      </c>
      <c r="S1598">
        <v>15.264596057150399</v>
      </c>
      <c r="T1598">
        <v>0.49679783482409101</v>
      </c>
      <c r="U1598">
        <v>-7.0276692374573404</v>
      </c>
      <c r="V1598">
        <v>0.62537949823332495</v>
      </c>
      <c r="W1598">
        <v>0.74887987862397698</v>
      </c>
      <c r="X1598">
        <v>0</v>
      </c>
      <c r="Y1598">
        <v>0</v>
      </c>
    </row>
    <row r="1599" spans="1:25" x14ac:dyDescent="0.2">
      <c r="A1599" t="s">
        <v>6005</v>
      </c>
      <c r="B1599" t="s">
        <v>6006</v>
      </c>
      <c r="C1599" t="s">
        <v>6007</v>
      </c>
      <c r="D1599" t="s">
        <v>6008</v>
      </c>
      <c r="E1599" t="s">
        <v>6006</v>
      </c>
      <c r="F1599" t="s">
        <v>28</v>
      </c>
      <c r="G1599" t="s">
        <v>6006</v>
      </c>
      <c r="H1599" t="str">
        <f>"his-67"</f>
        <v>his-67</v>
      </c>
      <c r="I1599" t="s">
        <v>6008</v>
      </c>
      <c r="J1599">
        <v>18.221761992707499</v>
      </c>
      <c r="K1599">
        <v>18.728575537074601</v>
      </c>
      <c r="L1599">
        <v>18.623623033785499</v>
      </c>
      <c r="M1599">
        <v>20.555565789486302</v>
      </c>
      <c r="N1599">
        <v>19.878811437649901</v>
      </c>
      <c r="O1599">
        <v>18.7435673326456</v>
      </c>
      <c r="P1599">
        <v>1.2013279987380301</v>
      </c>
      <c r="Q1599">
        <v>0.40276510299250401</v>
      </c>
      <c r="R1599">
        <v>1.9998908944835601</v>
      </c>
      <c r="S1599">
        <v>18.352833711731101</v>
      </c>
      <c r="T1599">
        <v>3.1618770975636599</v>
      </c>
      <c r="U1599">
        <v>-2.99458102674319</v>
      </c>
      <c r="V1599">
        <v>5.4254365052406198E-3</v>
      </c>
      <c r="W1599">
        <v>2.9771205755991501E-2</v>
      </c>
      <c r="X1599">
        <v>1</v>
      </c>
      <c r="Y1599">
        <v>1</v>
      </c>
    </row>
    <row r="1600" spans="1:25" x14ac:dyDescent="0.2">
      <c r="A1600" t="s">
        <v>6009</v>
      </c>
      <c r="B1600" t="s">
        <v>6010</v>
      </c>
      <c r="C1600" t="s">
        <v>6011</v>
      </c>
      <c r="D1600" t="s">
        <v>6012</v>
      </c>
      <c r="E1600" t="s">
        <v>6010</v>
      </c>
      <c r="F1600" t="s">
        <v>28</v>
      </c>
      <c r="G1600" t="s">
        <v>6010</v>
      </c>
      <c r="H1600" t="str">
        <f>"eif-2Bgamma"</f>
        <v>eif-2Bgamma</v>
      </c>
      <c r="I1600" t="s">
        <v>6012</v>
      </c>
      <c r="J1600" t="s">
        <v>29</v>
      </c>
      <c r="K1600" t="s">
        <v>29</v>
      </c>
      <c r="L1600">
        <v>11.062487126470501</v>
      </c>
      <c r="M1600" t="s">
        <v>29</v>
      </c>
      <c r="N1600" t="s">
        <v>29</v>
      </c>
      <c r="O1600" t="s">
        <v>29</v>
      </c>
      <c r="P1600" t="s">
        <v>29</v>
      </c>
      <c r="Q1600" t="s">
        <v>29</v>
      </c>
      <c r="R1600" t="s">
        <v>29</v>
      </c>
      <c r="S1600">
        <v>12.5906656675319</v>
      </c>
      <c r="T1600" t="s">
        <v>29</v>
      </c>
      <c r="U1600" t="s">
        <v>29</v>
      </c>
      <c r="V1600" t="s">
        <v>29</v>
      </c>
      <c r="W1600" t="s">
        <v>29</v>
      </c>
      <c r="X1600" t="s">
        <v>29</v>
      </c>
      <c r="Y1600" t="s">
        <v>29</v>
      </c>
    </row>
    <row r="1601" spans="1:25" x14ac:dyDescent="0.2">
      <c r="A1601" t="s">
        <v>6013</v>
      </c>
      <c r="B1601" t="s">
        <v>6014</v>
      </c>
      <c r="C1601" t="s">
        <v>6015</v>
      </c>
      <c r="D1601" t="s">
        <v>6016</v>
      </c>
      <c r="E1601" t="s">
        <v>6014</v>
      </c>
      <c r="F1601" t="s">
        <v>28</v>
      </c>
      <c r="G1601" t="s">
        <v>6014</v>
      </c>
      <c r="H1601" t="str">
        <f>"cdc-14"</f>
        <v>cdc-14</v>
      </c>
      <c r="I1601" t="s">
        <v>6016</v>
      </c>
      <c r="J1601">
        <v>13.243309867012</v>
      </c>
      <c r="K1601">
        <v>13.604331562137901</v>
      </c>
      <c r="L1601">
        <v>13.725254241239201</v>
      </c>
      <c r="M1601" t="s">
        <v>29</v>
      </c>
      <c r="N1601">
        <v>11.602640172325399</v>
      </c>
      <c r="O1601">
        <v>12.067105742646</v>
      </c>
      <c r="P1601">
        <v>-1.68942559931063</v>
      </c>
      <c r="Q1601">
        <v>-2.2456052632942498</v>
      </c>
      <c r="R1601">
        <v>-1.1332459353269999</v>
      </c>
      <c r="S1601">
        <v>13.2415650704261</v>
      </c>
      <c r="T1601">
        <v>-6.4117115839539203</v>
      </c>
      <c r="U1601">
        <v>3.8308318946899198</v>
      </c>
      <c r="V1601" s="2">
        <v>6.6370136253725403E-6</v>
      </c>
      <c r="W1601">
        <v>2.1224777643733499E-4</v>
      </c>
      <c r="X1601">
        <v>-1</v>
      </c>
      <c r="Y1601">
        <v>-1</v>
      </c>
    </row>
    <row r="1602" spans="1:25" x14ac:dyDescent="0.2">
      <c r="A1602" t="s">
        <v>6017</v>
      </c>
      <c r="B1602" t="s">
        <v>6018</v>
      </c>
      <c r="C1602" t="s">
        <v>6019</v>
      </c>
      <c r="D1602" t="s">
        <v>6020</v>
      </c>
      <c r="E1602" t="s">
        <v>6018</v>
      </c>
      <c r="F1602" t="s">
        <v>28</v>
      </c>
      <c r="G1602" t="s">
        <v>6018</v>
      </c>
      <c r="H1602" t="str">
        <f>"snap-29"</f>
        <v>snap-29</v>
      </c>
      <c r="I1602" t="s">
        <v>6020</v>
      </c>
      <c r="J1602" t="s">
        <v>29</v>
      </c>
      <c r="K1602" t="s">
        <v>29</v>
      </c>
      <c r="L1602">
        <v>11.6064249704422</v>
      </c>
      <c r="M1602" t="s">
        <v>29</v>
      </c>
      <c r="N1602" t="s">
        <v>29</v>
      </c>
      <c r="O1602">
        <v>13.938572604607501</v>
      </c>
      <c r="P1602">
        <v>2.3321476341652998</v>
      </c>
      <c r="Q1602">
        <v>1.32444662503249</v>
      </c>
      <c r="R1602">
        <v>3.33984864329812</v>
      </c>
      <c r="S1602">
        <v>13.029214159653201</v>
      </c>
      <c r="T1602">
        <v>4.9672525208536502</v>
      </c>
      <c r="U1602">
        <v>0.76015849337326902</v>
      </c>
      <c r="V1602">
        <v>2.1135132695519201E-4</v>
      </c>
      <c r="W1602">
        <v>2.9379828327214599E-3</v>
      </c>
      <c r="X1602">
        <v>1</v>
      </c>
      <c r="Y1602">
        <v>1</v>
      </c>
    </row>
    <row r="1603" spans="1:25" x14ac:dyDescent="0.2">
      <c r="A1603" t="s">
        <v>6021</v>
      </c>
      <c r="B1603" t="s">
        <v>6022</v>
      </c>
      <c r="C1603" t="s">
        <v>6023</v>
      </c>
      <c r="D1603" t="s">
        <v>6024</v>
      </c>
      <c r="E1603" t="s">
        <v>6022</v>
      </c>
      <c r="F1603" t="s">
        <v>28</v>
      </c>
      <c r="G1603" t="s">
        <v>6022</v>
      </c>
      <c r="H1603" t="str">
        <f>"acly-2"</f>
        <v>acly-2</v>
      </c>
      <c r="I1603" t="s">
        <v>6024</v>
      </c>
      <c r="J1603">
        <v>13.066939003681901</v>
      </c>
      <c r="K1603">
        <v>12.740926175281601</v>
      </c>
      <c r="L1603">
        <v>12.7990560559585</v>
      </c>
      <c r="M1603">
        <v>13.822228806961901</v>
      </c>
      <c r="N1603">
        <v>13.498589744067599</v>
      </c>
      <c r="O1603">
        <v>13.5567866369179</v>
      </c>
      <c r="P1603">
        <v>0.75689465100850095</v>
      </c>
      <c r="Q1603">
        <v>0.369793037175009</v>
      </c>
      <c r="R1603">
        <v>1.1439962648419899</v>
      </c>
      <c r="S1603">
        <v>13.0666412558242</v>
      </c>
      <c r="T1603">
        <v>4.1096323115633897</v>
      </c>
      <c r="U1603">
        <v>-0.93013576057075498</v>
      </c>
      <c r="V1603">
        <v>6.6506053065605402E-4</v>
      </c>
      <c r="W1603">
        <v>6.925559660224E-3</v>
      </c>
      <c r="X1603">
        <v>0</v>
      </c>
      <c r="Y1603">
        <v>0</v>
      </c>
    </row>
    <row r="1604" spans="1:25" x14ac:dyDescent="0.2">
      <c r="A1604" t="s">
        <v>6025</v>
      </c>
      <c r="B1604" t="s">
        <v>6026</v>
      </c>
      <c r="C1604" t="s">
        <v>6027</v>
      </c>
      <c r="D1604" t="s">
        <v>1965</v>
      </c>
      <c r="E1604" t="s">
        <v>6026</v>
      </c>
      <c r="F1604" t="s">
        <v>28</v>
      </c>
      <c r="G1604" t="s">
        <v>6026</v>
      </c>
      <c r="H1604" t="str">
        <f>"eat-6"</f>
        <v>eat-6</v>
      </c>
      <c r="I1604" t="s">
        <v>1965</v>
      </c>
      <c r="J1604">
        <v>19.4554449110903</v>
      </c>
      <c r="K1604">
        <v>19.378624474367999</v>
      </c>
      <c r="L1604">
        <v>19.078325682219599</v>
      </c>
      <c r="M1604">
        <v>18.870978362875299</v>
      </c>
      <c r="N1604">
        <v>18.8960574008902</v>
      </c>
      <c r="O1604">
        <v>19.006068693734601</v>
      </c>
      <c r="P1604">
        <v>-0.37976353672588198</v>
      </c>
      <c r="Q1604">
        <v>-0.70313285956066096</v>
      </c>
      <c r="R1604">
        <v>-5.6394213891103197E-2</v>
      </c>
      <c r="S1604">
        <v>18.8878363625765</v>
      </c>
      <c r="T1604">
        <v>-2.4683512429429899</v>
      </c>
      <c r="U1604">
        <v>-4.4071311369629296</v>
      </c>
      <c r="V1604">
        <v>2.3887343227574201E-2</v>
      </c>
      <c r="W1604">
        <v>8.2790920092086606E-2</v>
      </c>
      <c r="X1604">
        <v>0</v>
      </c>
      <c r="Y1604">
        <v>0</v>
      </c>
    </row>
    <row r="1605" spans="1:25" x14ac:dyDescent="0.2">
      <c r="A1605" t="s">
        <v>6028</v>
      </c>
      <c r="B1605" t="s">
        <v>6029</v>
      </c>
      <c r="C1605" t="s">
        <v>6030</v>
      </c>
      <c r="D1605" t="s">
        <v>1866</v>
      </c>
      <c r="E1605" t="s">
        <v>6029</v>
      </c>
      <c r="F1605" t="s">
        <v>28</v>
      </c>
      <c r="G1605" t="s">
        <v>6029</v>
      </c>
      <c r="H1605" t="str">
        <f>"wht-2"</f>
        <v>wht-2</v>
      </c>
      <c r="I1605" t="s">
        <v>1866</v>
      </c>
      <c r="J1605">
        <v>12.2589190911067</v>
      </c>
      <c r="K1605">
        <v>12.817540908312701</v>
      </c>
      <c r="L1605">
        <v>12.470514156407299</v>
      </c>
      <c r="M1605" t="s">
        <v>29</v>
      </c>
      <c r="N1605">
        <v>11.6244708239246</v>
      </c>
      <c r="O1605" t="s">
        <v>29</v>
      </c>
      <c r="P1605">
        <v>-0.89118722801760897</v>
      </c>
      <c r="Q1605">
        <v>-1.9991352546761001</v>
      </c>
      <c r="R1605">
        <v>0.21676079864088599</v>
      </c>
      <c r="S1605">
        <v>12.1855370269784</v>
      </c>
      <c r="T1605">
        <v>-1.7155017733992799</v>
      </c>
      <c r="U1605">
        <v>-5.3983377898701699</v>
      </c>
      <c r="V1605">
        <v>0.106973921291594</v>
      </c>
      <c r="W1605">
        <v>0.22680010506930101</v>
      </c>
      <c r="X1605">
        <v>0</v>
      </c>
      <c r="Y1605">
        <v>0</v>
      </c>
    </row>
    <row r="1606" spans="1:25" x14ac:dyDescent="0.2">
      <c r="A1606" t="s">
        <v>6031</v>
      </c>
      <c r="B1606" t="s">
        <v>6032</v>
      </c>
      <c r="C1606" t="s">
        <v>6033</v>
      </c>
      <c r="D1606" t="s">
        <v>6034</v>
      </c>
      <c r="E1606" t="s">
        <v>6032</v>
      </c>
      <c r="F1606" t="s">
        <v>28</v>
      </c>
      <c r="G1606" t="s">
        <v>6032</v>
      </c>
      <c r="H1606" t="str">
        <f>"catp-8"</f>
        <v>catp-8</v>
      </c>
      <c r="I1606" t="s">
        <v>6034</v>
      </c>
      <c r="J1606">
        <v>14.619667456631101</v>
      </c>
      <c r="K1606">
        <v>14.447402953904099</v>
      </c>
      <c r="L1606">
        <v>14.681371402781901</v>
      </c>
      <c r="M1606">
        <v>14.214291344418401</v>
      </c>
      <c r="N1606">
        <v>13.8041583068314</v>
      </c>
      <c r="O1606">
        <v>14.0779751803263</v>
      </c>
      <c r="P1606">
        <v>-0.55067232724701598</v>
      </c>
      <c r="Q1606">
        <v>-0.97946843578626996</v>
      </c>
      <c r="R1606">
        <v>-0.121876218707761</v>
      </c>
      <c r="S1606">
        <v>14.5455433830461</v>
      </c>
      <c r="T1606">
        <v>-2.6991991618069702</v>
      </c>
      <c r="U1606">
        <v>-3.9523591165016598</v>
      </c>
      <c r="V1606">
        <v>1.4728511257923699E-2</v>
      </c>
      <c r="W1606">
        <v>5.9482935017272497E-2</v>
      </c>
      <c r="X1606">
        <v>0</v>
      </c>
      <c r="Y1606">
        <v>0</v>
      </c>
    </row>
    <row r="1607" spans="1:25" x14ac:dyDescent="0.2">
      <c r="A1607" t="s">
        <v>6035</v>
      </c>
      <c r="B1607" t="s">
        <v>6036</v>
      </c>
      <c r="C1607" t="s">
        <v>6037</v>
      </c>
      <c r="D1607" t="s">
        <v>6038</v>
      </c>
      <c r="E1607" t="s">
        <v>6036</v>
      </c>
      <c r="F1607" t="s">
        <v>28</v>
      </c>
      <c r="G1607" t="s">
        <v>6036</v>
      </c>
      <c r="H1607" t="str">
        <f>"figo-1"</f>
        <v>figo-1</v>
      </c>
      <c r="I1607" t="s">
        <v>6038</v>
      </c>
      <c r="J1607">
        <v>12.2447063349993</v>
      </c>
      <c r="K1607">
        <v>12.1598183201237</v>
      </c>
      <c r="L1607">
        <v>11.7178385206801</v>
      </c>
      <c r="M1607" t="s">
        <v>29</v>
      </c>
      <c r="N1607" t="s">
        <v>29</v>
      </c>
      <c r="O1607" t="s">
        <v>29</v>
      </c>
      <c r="P1607" t="s">
        <v>29</v>
      </c>
      <c r="Q1607" t="s">
        <v>29</v>
      </c>
      <c r="R1607" t="s">
        <v>29</v>
      </c>
      <c r="S1607">
        <v>12.328605147846901</v>
      </c>
      <c r="T1607" t="s">
        <v>29</v>
      </c>
      <c r="U1607" t="s">
        <v>29</v>
      </c>
      <c r="V1607" t="s">
        <v>29</v>
      </c>
      <c r="W1607" t="s">
        <v>29</v>
      </c>
      <c r="X1607" t="s">
        <v>29</v>
      </c>
      <c r="Y1607" t="s">
        <v>29</v>
      </c>
    </row>
    <row r="1608" spans="1:25" x14ac:dyDescent="0.2">
      <c r="A1608" t="s">
        <v>6039</v>
      </c>
      <c r="B1608" t="s">
        <v>6040</v>
      </c>
      <c r="C1608" t="s">
        <v>6041</v>
      </c>
      <c r="D1608" t="s">
        <v>6042</v>
      </c>
      <c r="E1608" t="s">
        <v>6040</v>
      </c>
      <c r="F1608" t="s">
        <v>28</v>
      </c>
      <c r="G1608" t="s">
        <v>6040</v>
      </c>
      <c r="H1608" t="str">
        <f>"pafo-1"</f>
        <v>pafo-1</v>
      </c>
      <c r="I1608" t="s">
        <v>6042</v>
      </c>
      <c r="J1608" t="s">
        <v>29</v>
      </c>
      <c r="K1608" t="s">
        <v>29</v>
      </c>
      <c r="L1608" t="s">
        <v>29</v>
      </c>
      <c r="M1608" t="s">
        <v>29</v>
      </c>
      <c r="N1608" t="s">
        <v>29</v>
      </c>
      <c r="O1608" t="s">
        <v>29</v>
      </c>
      <c r="P1608" t="s">
        <v>29</v>
      </c>
      <c r="Q1608" t="s">
        <v>29</v>
      </c>
      <c r="R1608" t="s">
        <v>29</v>
      </c>
      <c r="S1608">
        <v>13.055078838923899</v>
      </c>
      <c r="T1608" t="s">
        <v>29</v>
      </c>
      <c r="U1608" t="s">
        <v>29</v>
      </c>
      <c r="V1608" t="s">
        <v>29</v>
      </c>
      <c r="W1608" t="s">
        <v>29</v>
      </c>
      <c r="X1608" t="s">
        <v>29</v>
      </c>
      <c r="Y1608" t="s">
        <v>29</v>
      </c>
    </row>
    <row r="1609" spans="1:25" x14ac:dyDescent="0.2">
      <c r="A1609" t="s">
        <v>6043</v>
      </c>
      <c r="B1609" t="s">
        <v>6044</v>
      </c>
      <c r="C1609" t="s">
        <v>6045</v>
      </c>
      <c r="D1609" t="s">
        <v>6046</v>
      </c>
      <c r="E1609" t="s">
        <v>6044</v>
      </c>
      <c r="F1609" t="s">
        <v>28</v>
      </c>
      <c r="G1609" t="s">
        <v>6044</v>
      </c>
      <c r="H1609" t="str">
        <f>"prg-1"</f>
        <v>prg-1</v>
      </c>
      <c r="I1609" t="s">
        <v>6046</v>
      </c>
      <c r="J1609">
        <v>14.4979789582991</v>
      </c>
      <c r="K1609">
        <v>14.368445124898599</v>
      </c>
      <c r="L1609">
        <v>14.5612230087805</v>
      </c>
      <c r="M1609" t="s">
        <v>29</v>
      </c>
      <c r="N1609">
        <v>14.101100177924501</v>
      </c>
      <c r="O1609">
        <v>14.070283743911</v>
      </c>
      <c r="P1609">
        <v>-0.39019040307503</v>
      </c>
      <c r="Q1609">
        <v>-0.79930848993450199</v>
      </c>
      <c r="R1609">
        <v>1.8927683784442501E-2</v>
      </c>
      <c r="S1609">
        <v>14.5377309923563</v>
      </c>
      <c r="T1609">
        <v>-2.0131582577026501</v>
      </c>
      <c r="U1609">
        <v>-5.13757452652687</v>
      </c>
      <c r="V1609">
        <v>6.0313264939978101E-2</v>
      </c>
      <c r="W1609">
        <v>0.15553873501669199</v>
      </c>
      <c r="X1609">
        <v>0</v>
      </c>
      <c r="Y1609">
        <v>0</v>
      </c>
    </row>
    <row r="1610" spans="1:25" x14ac:dyDescent="0.2">
      <c r="A1610" t="s">
        <v>6047</v>
      </c>
      <c r="B1610" t="s">
        <v>6048</v>
      </c>
      <c r="C1610" t="s">
        <v>14404</v>
      </c>
      <c r="D1610" t="s">
        <v>6049</v>
      </c>
      <c r="E1610" t="s">
        <v>6048</v>
      </c>
      <c r="F1610" t="s">
        <v>28</v>
      </c>
      <c r="G1610" t="s">
        <v>6048</v>
      </c>
      <c r="H1610" t="str">
        <f>"D2030.2"</f>
        <v>D2030.2</v>
      </c>
      <c r="I1610" t="s">
        <v>6049</v>
      </c>
      <c r="J1610">
        <v>14.1001057079338</v>
      </c>
      <c r="K1610">
        <v>14.504868686391699</v>
      </c>
      <c r="L1610">
        <v>14.298052839880301</v>
      </c>
      <c r="M1610" t="s">
        <v>29</v>
      </c>
      <c r="N1610">
        <v>14.361519997144599</v>
      </c>
      <c r="O1610">
        <v>14.9674553520806</v>
      </c>
      <c r="P1610">
        <v>0.36347859654401699</v>
      </c>
      <c r="Q1610">
        <v>-0.258516123635951</v>
      </c>
      <c r="R1610">
        <v>0.98547331672398397</v>
      </c>
      <c r="S1610">
        <v>14.987797695996701</v>
      </c>
      <c r="T1610">
        <v>1.2335085310682501</v>
      </c>
      <c r="U1610">
        <v>-6.2799116999461599</v>
      </c>
      <c r="V1610">
        <v>0.23427222288343599</v>
      </c>
      <c r="W1610">
        <v>0.399116998696457</v>
      </c>
      <c r="X1610">
        <v>0</v>
      </c>
      <c r="Y1610">
        <v>0</v>
      </c>
    </row>
    <row r="1611" spans="1:25" x14ac:dyDescent="0.2">
      <c r="A1611" t="s">
        <v>6050</v>
      </c>
      <c r="B1611" t="s">
        <v>6051</v>
      </c>
      <c r="C1611" t="s">
        <v>14405</v>
      </c>
      <c r="D1611" t="s">
        <v>6052</v>
      </c>
      <c r="E1611" t="s">
        <v>6051</v>
      </c>
      <c r="F1611" t="s">
        <v>28</v>
      </c>
      <c r="G1611" t="s">
        <v>6051</v>
      </c>
      <c r="H1611" t="str">
        <f>"D2030.3"</f>
        <v>D2030.3</v>
      </c>
      <c r="I1611" t="s">
        <v>6052</v>
      </c>
      <c r="J1611">
        <v>13.400588938810699</v>
      </c>
      <c r="K1611">
        <v>13.289442973392701</v>
      </c>
      <c r="L1611">
        <v>12.639794313016001</v>
      </c>
      <c r="M1611" t="s">
        <v>29</v>
      </c>
      <c r="N1611">
        <v>12.9747270847712</v>
      </c>
      <c r="O1611">
        <v>12.722699277415099</v>
      </c>
      <c r="P1611">
        <v>-0.26122889397999799</v>
      </c>
      <c r="Q1611">
        <v>-0.79664451526021096</v>
      </c>
      <c r="R1611">
        <v>0.27418672730021398</v>
      </c>
      <c r="S1611">
        <v>12.9817750337349</v>
      </c>
      <c r="T1611">
        <v>-1.0298647342262099</v>
      </c>
      <c r="U1611">
        <v>-6.50488070937116</v>
      </c>
      <c r="V1611">
        <v>0.31759241084092599</v>
      </c>
      <c r="W1611">
        <v>0.48874403903300701</v>
      </c>
      <c r="X1611">
        <v>0</v>
      </c>
      <c r="Y1611">
        <v>0</v>
      </c>
    </row>
    <row r="1612" spans="1:25" x14ac:dyDescent="0.2">
      <c r="A1612" t="s">
        <v>6053</v>
      </c>
      <c r="B1612" t="s">
        <v>6054</v>
      </c>
      <c r="C1612" t="s">
        <v>14406</v>
      </c>
      <c r="D1612" t="s">
        <v>6055</v>
      </c>
      <c r="E1612" t="s">
        <v>6054</v>
      </c>
      <c r="F1612" t="s">
        <v>28</v>
      </c>
      <c r="G1612" t="s">
        <v>6054</v>
      </c>
      <c r="H1612" t="str">
        <f>"D2030.8"</f>
        <v>D2030.8</v>
      </c>
      <c r="I1612" t="s">
        <v>6055</v>
      </c>
      <c r="J1612" t="s">
        <v>29</v>
      </c>
      <c r="K1612" t="s">
        <v>29</v>
      </c>
      <c r="L1612" t="s">
        <v>29</v>
      </c>
      <c r="M1612" t="s">
        <v>29</v>
      </c>
      <c r="N1612" t="s">
        <v>29</v>
      </c>
      <c r="O1612" t="s">
        <v>29</v>
      </c>
      <c r="P1612" t="s">
        <v>29</v>
      </c>
      <c r="Q1612" t="s">
        <v>29</v>
      </c>
      <c r="R1612" t="s">
        <v>29</v>
      </c>
      <c r="S1612">
        <v>11.1927257706673</v>
      </c>
      <c r="T1612" t="s">
        <v>29</v>
      </c>
      <c r="U1612" t="s">
        <v>29</v>
      </c>
      <c r="V1612" t="s">
        <v>29</v>
      </c>
      <c r="W1612" t="s">
        <v>29</v>
      </c>
      <c r="X1612" t="s">
        <v>29</v>
      </c>
      <c r="Y1612" t="s">
        <v>29</v>
      </c>
    </row>
    <row r="1613" spans="1:25" x14ac:dyDescent="0.2">
      <c r="A1613" t="s">
        <v>6056</v>
      </c>
      <c r="B1613" t="s">
        <v>6057</v>
      </c>
      <c r="C1613" t="s">
        <v>6058</v>
      </c>
      <c r="D1613" t="s">
        <v>6059</v>
      </c>
      <c r="E1613" t="s">
        <v>6057</v>
      </c>
      <c r="F1613" t="s">
        <v>28</v>
      </c>
      <c r="G1613" t="s">
        <v>6057</v>
      </c>
      <c r="H1613" t="str">
        <f>"gpdh-3"</f>
        <v>gpdh-3</v>
      </c>
      <c r="I1613" t="s">
        <v>6059</v>
      </c>
      <c r="J1613">
        <v>13.723809660218301</v>
      </c>
      <c r="K1613">
        <v>13.5890230147228</v>
      </c>
      <c r="L1613">
        <v>13.344105719600901</v>
      </c>
      <c r="M1613">
        <v>14.1253961936371</v>
      </c>
      <c r="N1613">
        <v>13.3203301007976</v>
      </c>
      <c r="O1613">
        <v>13.1968226731823</v>
      </c>
      <c r="P1613">
        <v>-4.7964756416529796E-3</v>
      </c>
      <c r="Q1613">
        <v>-0.47210101570455598</v>
      </c>
      <c r="R1613">
        <v>0.46250806442124998</v>
      </c>
      <c r="S1613">
        <v>13.274755215140001</v>
      </c>
      <c r="T1613">
        <v>-2.1573209255012701E-2</v>
      </c>
      <c r="U1613">
        <v>-7.1560578518553202</v>
      </c>
      <c r="V1613">
        <v>0.98302713497440297</v>
      </c>
      <c r="W1613">
        <v>0.99075956455867498</v>
      </c>
      <c r="X1613">
        <v>0</v>
      </c>
      <c r="Y1613">
        <v>0</v>
      </c>
    </row>
    <row r="1614" spans="1:25" x14ac:dyDescent="0.2">
      <c r="A1614" t="s">
        <v>6060</v>
      </c>
      <c r="B1614" t="s">
        <v>6061</v>
      </c>
      <c r="C1614" t="s">
        <v>6062</v>
      </c>
      <c r="D1614" t="s">
        <v>6063</v>
      </c>
      <c r="E1614" t="s">
        <v>6061</v>
      </c>
      <c r="F1614" t="s">
        <v>28</v>
      </c>
      <c r="G1614" t="s">
        <v>6061</v>
      </c>
      <c r="H1614" t="str">
        <f>"F10C2.4"</f>
        <v>F10C2.4</v>
      </c>
      <c r="I1614" t="s">
        <v>6063</v>
      </c>
      <c r="J1614">
        <v>14.854863675806101</v>
      </c>
      <c r="K1614">
        <v>14.665120239024599</v>
      </c>
      <c r="L1614">
        <v>14.561794876822701</v>
      </c>
      <c r="M1614" t="s">
        <v>29</v>
      </c>
      <c r="N1614" t="s">
        <v>29</v>
      </c>
      <c r="O1614">
        <v>14.554166397887601</v>
      </c>
      <c r="P1614">
        <v>-0.139759865996853</v>
      </c>
      <c r="Q1614">
        <v>-0.67877197847854598</v>
      </c>
      <c r="R1614">
        <v>0.39925224648484098</v>
      </c>
      <c r="S1614">
        <v>14.631546998417001</v>
      </c>
      <c r="T1614">
        <v>-0.54996301069109199</v>
      </c>
      <c r="U1614">
        <v>-6.6553720311463103</v>
      </c>
      <c r="V1614">
        <v>0.58998977588299095</v>
      </c>
      <c r="W1614">
        <v>0.72597071796541701</v>
      </c>
      <c r="X1614">
        <v>0</v>
      </c>
      <c r="Y1614">
        <v>0</v>
      </c>
    </row>
    <row r="1615" spans="1:25" x14ac:dyDescent="0.2">
      <c r="A1615" t="s">
        <v>6064</v>
      </c>
      <c r="B1615" t="s">
        <v>6065</v>
      </c>
      <c r="C1615" t="s">
        <v>6066</v>
      </c>
      <c r="D1615" t="s">
        <v>6067</v>
      </c>
      <c r="E1615" t="s">
        <v>6065</v>
      </c>
      <c r="F1615" t="s">
        <v>28</v>
      </c>
      <c r="G1615" t="s">
        <v>6065</v>
      </c>
      <c r="H1615" t="str">
        <f>"dars-2"</f>
        <v>dars-2</v>
      </c>
      <c r="I1615" t="s">
        <v>6067</v>
      </c>
      <c r="J1615">
        <v>12.4563604138402</v>
      </c>
      <c r="K1615">
        <v>13.100645638263</v>
      </c>
      <c r="L1615">
        <v>12.942159939932599</v>
      </c>
      <c r="M1615" t="s">
        <v>29</v>
      </c>
      <c r="N1615">
        <v>13.003579416012499</v>
      </c>
      <c r="O1615">
        <v>12.876081162792101</v>
      </c>
      <c r="P1615">
        <v>0.106774958723703</v>
      </c>
      <c r="Q1615">
        <v>-0.55551516585510297</v>
      </c>
      <c r="R1615">
        <v>0.769065083302508</v>
      </c>
      <c r="S1615">
        <v>13.364775512174599</v>
      </c>
      <c r="T1615">
        <v>0.340307206524325</v>
      </c>
      <c r="U1615">
        <v>-6.9848088209957897</v>
      </c>
      <c r="V1615">
        <v>0.73781973063267503</v>
      </c>
      <c r="W1615">
        <v>0.830810459118972</v>
      </c>
      <c r="X1615">
        <v>0</v>
      </c>
      <c r="Y1615">
        <v>0</v>
      </c>
    </row>
    <row r="1616" spans="1:25" x14ac:dyDescent="0.2">
      <c r="A1616" t="s">
        <v>6068</v>
      </c>
      <c r="B1616" t="s">
        <v>6069</v>
      </c>
      <c r="C1616" t="s">
        <v>6070</v>
      </c>
      <c r="D1616" t="s">
        <v>6071</v>
      </c>
      <c r="E1616" t="s">
        <v>6069</v>
      </c>
      <c r="F1616" t="s">
        <v>28</v>
      </c>
      <c r="G1616" t="s">
        <v>6069</v>
      </c>
      <c r="H1616" t="str">
        <f>"smgl-1"</f>
        <v>smgl-1</v>
      </c>
      <c r="I1616" t="s">
        <v>6071</v>
      </c>
      <c r="J1616">
        <v>12.822589567675401</v>
      </c>
      <c r="K1616" t="s">
        <v>29</v>
      </c>
      <c r="L1616">
        <v>12.789136493795899</v>
      </c>
      <c r="M1616" t="s">
        <v>29</v>
      </c>
      <c r="N1616" t="s">
        <v>29</v>
      </c>
      <c r="O1616">
        <v>12.520853422151699</v>
      </c>
      <c r="P1616">
        <v>-0.28500960858394597</v>
      </c>
      <c r="Q1616">
        <v>-0.94381352528562901</v>
      </c>
      <c r="R1616">
        <v>0.37379430811773601</v>
      </c>
      <c r="S1616">
        <v>12.7964861030836</v>
      </c>
      <c r="T1616">
        <v>-0.93538537148366496</v>
      </c>
      <c r="U1616">
        <v>-6.3047287210680496</v>
      </c>
      <c r="V1616">
        <v>0.36677696632036999</v>
      </c>
      <c r="W1616">
        <v>0.53473449788558403</v>
      </c>
      <c r="X1616">
        <v>0</v>
      </c>
      <c r="Y1616">
        <v>0</v>
      </c>
    </row>
    <row r="1617" spans="1:25" x14ac:dyDescent="0.2">
      <c r="A1617" t="s">
        <v>6072</v>
      </c>
      <c r="B1617" t="s">
        <v>6073</v>
      </c>
      <c r="C1617" t="s">
        <v>6074</v>
      </c>
      <c r="D1617" t="s">
        <v>6075</v>
      </c>
      <c r="E1617" t="s">
        <v>6073</v>
      </c>
      <c r="F1617" t="s">
        <v>28</v>
      </c>
      <c r="G1617" t="s">
        <v>6073</v>
      </c>
      <c r="H1617" t="str">
        <f>"F26E4.3"</f>
        <v>F26E4.3</v>
      </c>
      <c r="I1617" t="s">
        <v>6075</v>
      </c>
      <c r="J1617">
        <v>13.2637279617259</v>
      </c>
      <c r="K1617">
        <v>13.0263045755965</v>
      </c>
      <c r="L1617">
        <v>13.697830781830501</v>
      </c>
      <c r="M1617">
        <v>14.596282947171501</v>
      </c>
      <c r="N1617">
        <v>13.9636545079307</v>
      </c>
      <c r="O1617">
        <v>13.551256135495599</v>
      </c>
      <c r="P1617">
        <v>0.70777675714825405</v>
      </c>
      <c r="Q1617">
        <v>3.39157800727969E-2</v>
      </c>
      <c r="R1617">
        <v>1.3816377342237101</v>
      </c>
      <c r="S1617">
        <v>13.003106499039699</v>
      </c>
      <c r="T1617">
        <v>2.2075904286351502</v>
      </c>
      <c r="U1617">
        <v>-4.8961537239309196</v>
      </c>
      <c r="V1617">
        <v>4.0571870591588899E-2</v>
      </c>
      <c r="W1617">
        <v>0.11873416348898901</v>
      </c>
      <c r="X1617">
        <v>0</v>
      </c>
      <c r="Y1617">
        <v>0</v>
      </c>
    </row>
    <row r="1618" spans="1:25" x14ac:dyDescent="0.2">
      <c r="A1618" t="s">
        <v>6076</v>
      </c>
      <c r="B1618" t="s">
        <v>6077</v>
      </c>
      <c r="C1618" t="s">
        <v>14407</v>
      </c>
      <c r="D1618" t="s">
        <v>6078</v>
      </c>
      <c r="E1618" t="s">
        <v>6077</v>
      </c>
      <c r="F1618" t="s">
        <v>28</v>
      </c>
      <c r="G1618" t="s">
        <v>6077</v>
      </c>
      <c r="H1618" t="str">
        <f>"F36A2.7"</f>
        <v>F36A2.7</v>
      </c>
      <c r="I1618" t="s">
        <v>6078</v>
      </c>
      <c r="J1618">
        <v>15.801561369123901</v>
      </c>
      <c r="K1618">
        <v>15.535411771954699</v>
      </c>
      <c r="L1618">
        <v>15.428180963518001</v>
      </c>
      <c r="M1618">
        <v>15.281156983223401</v>
      </c>
      <c r="N1618">
        <v>15.206923646383601</v>
      </c>
      <c r="O1618">
        <v>15.389629146566</v>
      </c>
      <c r="P1618">
        <v>-0.295814776141199</v>
      </c>
      <c r="Q1618">
        <v>-0.64327359135851003</v>
      </c>
      <c r="R1618">
        <v>5.1644039076111099E-2</v>
      </c>
      <c r="S1618">
        <v>15.206886901945101</v>
      </c>
      <c r="T1618">
        <v>-1.78940663030617</v>
      </c>
      <c r="U1618">
        <v>-5.6112373037763401</v>
      </c>
      <c r="V1618">
        <v>9.0487969318701206E-2</v>
      </c>
      <c r="W1618">
        <v>0.20325308352302801</v>
      </c>
      <c r="X1618">
        <v>0</v>
      </c>
      <c r="Y1618">
        <v>0</v>
      </c>
    </row>
    <row r="1619" spans="1:25" x14ac:dyDescent="0.2">
      <c r="A1619" t="s">
        <v>6079</v>
      </c>
      <c r="B1619" t="s">
        <v>6080</v>
      </c>
      <c r="C1619" t="s">
        <v>14408</v>
      </c>
      <c r="D1619" t="s">
        <v>2043</v>
      </c>
      <c r="E1619" t="s">
        <v>6080</v>
      </c>
      <c r="F1619" t="s">
        <v>28</v>
      </c>
      <c r="G1619" t="s">
        <v>6080</v>
      </c>
      <c r="H1619" t="str">
        <f>"F49C12.9"</f>
        <v>F49C12.9</v>
      </c>
      <c r="I1619" t="s">
        <v>2043</v>
      </c>
      <c r="J1619">
        <v>12.2167559126644</v>
      </c>
      <c r="K1619">
        <v>12.4594684183898</v>
      </c>
      <c r="L1619">
        <v>11.8890862429778</v>
      </c>
      <c r="M1619" t="s">
        <v>29</v>
      </c>
      <c r="N1619">
        <v>12.9378091044054</v>
      </c>
      <c r="O1619">
        <v>12.4348972899316</v>
      </c>
      <c r="P1619">
        <v>0.497916339157843</v>
      </c>
      <c r="Q1619">
        <v>-0.15552145279885499</v>
      </c>
      <c r="R1619">
        <v>1.1513541311145401</v>
      </c>
      <c r="S1619">
        <v>12.253760097950099</v>
      </c>
      <c r="T1619">
        <v>1.60842991730679</v>
      </c>
      <c r="U1619">
        <v>-5.7808635177746099</v>
      </c>
      <c r="V1619">
        <v>0.12626639278389801</v>
      </c>
      <c r="W1619">
        <v>0.25870885687814998</v>
      </c>
      <c r="X1619">
        <v>0</v>
      </c>
      <c r="Y1619">
        <v>0</v>
      </c>
    </row>
    <row r="1620" spans="1:25" x14ac:dyDescent="0.2">
      <c r="A1620" t="s">
        <v>6081</v>
      </c>
      <c r="B1620" t="s">
        <v>6082</v>
      </c>
      <c r="C1620" t="s">
        <v>6083</v>
      </c>
      <c r="D1620" t="s">
        <v>6084</v>
      </c>
      <c r="E1620" t="s">
        <v>6082</v>
      </c>
      <c r="F1620" t="s">
        <v>28</v>
      </c>
      <c r="G1620" t="s">
        <v>6082</v>
      </c>
      <c r="H1620" t="str">
        <f>"rde-12"</f>
        <v>rde-12</v>
      </c>
      <c r="I1620" t="s">
        <v>6084</v>
      </c>
      <c r="J1620">
        <v>17.100837852439302</v>
      </c>
      <c r="K1620">
        <v>17.333450728764799</v>
      </c>
      <c r="L1620">
        <v>17.5424694797154</v>
      </c>
      <c r="M1620">
        <v>16.885924975525199</v>
      </c>
      <c r="N1620">
        <v>17.410037610217401</v>
      </c>
      <c r="O1620">
        <v>16.577445562731999</v>
      </c>
      <c r="P1620">
        <v>-0.36778330414828297</v>
      </c>
      <c r="Q1620">
        <v>-0.78166301533504901</v>
      </c>
      <c r="R1620">
        <v>4.6096407038483597E-2</v>
      </c>
      <c r="S1620">
        <v>17.426646912341901</v>
      </c>
      <c r="T1620">
        <v>-1.8677140506549099</v>
      </c>
      <c r="U1620">
        <v>-5.4847557233760398</v>
      </c>
      <c r="V1620">
        <v>7.8268303201909695E-2</v>
      </c>
      <c r="W1620">
        <v>0.18458616512708001</v>
      </c>
      <c r="X1620">
        <v>0</v>
      </c>
      <c r="Y1620">
        <v>0</v>
      </c>
    </row>
    <row r="1621" spans="1:25" x14ac:dyDescent="0.2">
      <c r="A1621" t="s">
        <v>6085</v>
      </c>
      <c r="B1621" t="s">
        <v>6086</v>
      </c>
      <c r="C1621" t="s">
        <v>6087</v>
      </c>
      <c r="D1621" t="s">
        <v>522</v>
      </c>
      <c r="E1621" t="s">
        <v>6086</v>
      </c>
      <c r="F1621" t="s">
        <v>28</v>
      </c>
      <c r="G1621" t="s">
        <v>6086</v>
      </c>
      <c r="H1621" t="str">
        <f>"mip-2"</f>
        <v>mip-2</v>
      </c>
      <c r="I1621" t="s">
        <v>522</v>
      </c>
      <c r="J1621">
        <v>11.178177646133401</v>
      </c>
      <c r="K1621">
        <v>13.769119696879599</v>
      </c>
      <c r="L1621">
        <v>12.009181239338499</v>
      </c>
      <c r="M1621" t="s">
        <v>29</v>
      </c>
      <c r="N1621" t="s">
        <v>29</v>
      </c>
      <c r="O1621" t="s">
        <v>29</v>
      </c>
      <c r="P1621" t="s">
        <v>29</v>
      </c>
      <c r="Q1621" t="s">
        <v>29</v>
      </c>
      <c r="R1621" t="s">
        <v>29</v>
      </c>
      <c r="S1621">
        <v>12.345475047614901</v>
      </c>
      <c r="T1621" t="s">
        <v>29</v>
      </c>
      <c r="U1621" t="s">
        <v>29</v>
      </c>
      <c r="V1621" t="s">
        <v>29</v>
      </c>
      <c r="W1621" t="s">
        <v>29</v>
      </c>
      <c r="X1621" t="s">
        <v>29</v>
      </c>
      <c r="Y1621" t="s">
        <v>29</v>
      </c>
    </row>
    <row r="1622" spans="1:25" x14ac:dyDescent="0.2">
      <c r="A1622" t="s">
        <v>6088</v>
      </c>
      <c r="B1622" t="s">
        <v>6089</v>
      </c>
      <c r="C1622" t="s">
        <v>6090</v>
      </c>
      <c r="D1622" t="s">
        <v>6091</v>
      </c>
      <c r="E1622" t="s">
        <v>6089</v>
      </c>
      <c r="F1622" t="s">
        <v>28</v>
      </c>
      <c r="G1622" t="s">
        <v>6089</v>
      </c>
      <c r="H1622" t="str">
        <f>"ifa-4"</f>
        <v>ifa-4</v>
      </c>
      <c r="I1622" t="s">
        <v>6091</v>
      </c>
      <c r="J1622">
        <v>14.4079249711926</v>
      </c>
      <c r="K1622">
        <v>14.5114313801165</v>
      </c>
      <c r="L1622">
        <v>15.115647740279901</v>
      </c>
      <c r="M1622">
        <v>15.499845956096699</v>
      </c>
      <c r="N1622">
        <v>16.341129242968901</v>
      </c>
      <c r="O1622">
        <v>15.4566258116364</v>
      </c>
      <c r="P1622">
        <v>1.0875323063709901</v>
      </c>
      <c r="Q1622">
        <v>-3.99948891563651E-3</v>
      </c>
      <c r="R1622">
        <v>2.1790641016576102</v>
      </c>
      <c r="S1622">
        <v>14.8819558676865</v>
      </c>
      <c r="T1622">
        <v>2.0941042073754002</v>
      </c>
      <c r="U1622">
        <v>-5.0993885702732102</v>
      </c>
      <c r="V1622">
        <v>5.0758877359707098E-2</v>
      </c>
      <c r="W1622">
        <v>0.13748751064251499</v>
      </c>
      <c r="X1622">
        <v>1</v>
      </c>
      <c r="Y1622">
        <v>0</v>
      </c>
    </row>
    <row r="1623" spans="1:25" x14ac:dyDescent="0.2">
      <c r="A1623" t="s">
        <v>6092</v>
      </c>
      <c r="B1623" t="s">
        <v>6093</v>
      </c>
      <c r="C1623" t="s">
        <v>6094</v>
      </c>
      <c r="D1623" t="s">
        <v>6095</v>
      </c>
      <c r="E1623" t="s">
        <v>6093</v>
      </c>
      <c r="F1623" t="s">
        <v>28</v>
      </c>
      <c r="G1623" t="s">
        <v>6093</v>
      </c>
      <c r="H1623" t="str">
        <f>"ifa-1"</f>
        <v>ifa-1</v>
      </c>
      <c r="I1623" t="s">
        <v>6095</v>
      </c>
      <c r="J1623" t="s">
        <v>29</v>
      </c>
      <c r="K1623">
        <v>12.579571397792501</v>
      </c>
      <c r="L1623">
        <v>12.5257720586707</v>
      </c>
      <c r="M1623">
        <v>15.696320234196399</v>
      </c>
      <c r="N1623">
        <v>13.6738732452748</v>
      </c>
      <c r="O1623" t="s">
        <v>29</v>
      </c>
      <c r="P1623">
        <v>2.13242501150396</v>
      </c>
      <c r="Q1623">
        <v>0.94696248427317697</v>
      </c>
      <c r="R1623">
        <v>3.3178875387347402</v>
      </c>
      <c r="S1623">
        <v>12.670739223345899</v>
      </c>
      <c r="T1623">
        <v>3.8608046728758598</v>
      </c>
      <c r="U1623">
        <v>-1.5976550783563199</v>
      </c>
      <c r="V1623">
        <v>1.7527384498065501E-3</v>
      </c>
      <c r="W1623">
        <v>1.34147745215731E-2</v>
      </c>
      <c r="X1623">
        <v>1</v>
      </c>
      <c r="Y1623">
        <v>1</v>
      </c>
    </row>
    <row r="1624" spans="1:25" x14ac:dyDescent="0.2">
      <c r="A1624" t="s">
        <v>6096</v>
      </c>
      <c r="B1624" t="s">
        <v>6097</v>
      </c>
      <c r="C1624" t="s">
        <v>14162</v>
      </c>
      <c r="D1624" t="s">
        <v>3609</v>
      </c>
      <c r="E1624" t="s">
        <v>6097</v>
      </c>
      <c r="F1624" t="s">
        <v>28</v>
      </c>
      <c r="G1624" t="s">
        <v>6097</v>
      </c>
      <c r="H1624" t="str">
        <f>"K02B12.7"</f>
        <v>K02B12.7</v>
      </c>
      <c r="I1624" t="s">
        <v>3609</v>
      </c>
      <c r="J1624" t="s">
        <v>29</v>
      </c>
      <c r="K1624" t="s">
        <v>29</v>
      </c>
      <c r="L1624" t="s">
        <v>29</v>
      </c>
      <c r="M1624" t="s">
        <v>29</v>
      </c>
      <c r="N1624">
        <v>13.8259245100176</v>
      </c>
      <c r="O1624">
        <v>13.2335044216765</v>
      </c>
      <c r="P1624" t="s">
        <v>29</v>
      </c>
      <c r="Q1624" t="s">
        <v>29</v>
      </c>
      <c r="R1624" t="s">
        <v>29</v>
      </c>
      <c r="S1624">
        <v>13.2037119621637</v>
      </c>
      <c r="T1624" t="s">
        <v>29</v>
      </c>
      <c r="U1624" t="s">
        <v>29</v>
      </c>
      <c r="V1624" t="s">
        <v>29</v>
      </c>
      <c r="W1624" t="s">
        <v>29</v>
      </c>
      <c r="X1624" t="s">
        <v>29</v>
      </c>
      <c r="Y1624" t="s">
        <v>29</v>
      </c>
    </row>
    <row r="1625" spans="1:25" x14ac:dyDescent="0.2">
      <c r="A1625" t="s">
        <v>6098</v>
      </c>
      <c r="B1625" t="s">
        <v>6099</v>
      </c>
      <c r="C1625" t="s">
        <v>6100</v>
      </c>
      <c r="D1625" t="s">
        <v>6101</v>
      </c>
      <c r="E1625" t="s">
        <v>6099</v>
      </c>
      <c r="F1625" t="s">
        <v>28</v>
      </c>
      <c r="G1625" t="s">
        <v>6099</v>
      </c>
      <c r="H1625" t="str">
        <f>"ate-1"</f>
        <v>ate-1</v>
      </c>
      <c r="I1625" t="s">
        <v>6101</v>
      </c>
      <c r="J1625">
        <v>12.129917388255601</v>
      </c>
      <c r="K1625">
        <v>12.143525211194101</v>
      </c>
      <c r="L1625">
        <v>11.997444191509199</v>
      </c>
      <c r="M1625" t="s">
        <v>29</v>
      </c>
      <c r="N1625">
        <v>10.9576777614681</v>
      </c>
      <c r="O1625">
        <v>11.8182558105722</v>
      </c>
      <c r="P1625">
        <v>-0.70232881096617705</v>
      </c>
      <c r="Q1625">
        <v>-1.26782419607004</v>
      </c>
      <c r="R1625">
        <v>-0.13683342586231501</v>
      </c>
      <c r="S1625">
        <v>12.3140222316762</v>
      </c>
      <c r="T1625">
        <v>-2.62156984277373</v>
      </c>
      <c r="U1625">
        <v>-4.0186746061022101</v>
      </c>
      <c r="V1625">
        <v>1.79281029925944E-2</v>
      </c>
      <c r="W1625">
        <v>6.8615739635293105E-2</v>
      </c>
      <c r="X1625">
        <v>0</v>
      </c>
      <c r="Y1625">
        <v>0</v>
      </c>
    </row>
    <row r="1626" spans="1:25" x14ac:dyDescent="0.2">
      <c r="A1626" t="s">
        <v>6102</v>
      </c>
      <c r="B1626" t="s">
        <v>6103</v>
      </c>
      <c r="C1626" t="s">
        <v>6104</v>
      </c>
      <c r="D1626" t="s">
        <v>6105</v>
      </c>
      <c r="E1626" t="s">
        <v>6103</v>
      </c>
      <c r="F1626" t="s">
        <v>28</v>
      </c>
      <c r="G1626" t="s">
        <v>6103</v>
      </c>
      <c r="H1626" t="str">
        <f>"lin-53"</f>
        <v>lin-53</v>
      </c>
      <c r="I1626" t="s">
        <v>6105</v>
      </c>
      <c r="J1626">
        <v>13.7386390557645</v>
      </c>
      <c r="K1626">
        <v>13.829782720651099</v>
      </c>
      <c r="L1626">
        <v>13.7977003345187</v>
      </c>
      <c r="M1626">
        <v>13.9072054843912</v>
      </c>
      <c r="N1626">
        <v>13.994628307275701</v>
      </c>
      <c r="O1626">
        <v>14.0538167419966</v>
      </c>
      <c r="P1626">
        <v>0.19650947424307799</v>
      </c>
      <c r="Q1626">
        <v>-0.45919084081553502</v>
      </c>
      <c r="R1626">
        <v>0.85220978930169</v>
      </c>
      <c r="S1626">
        <v>14.3901774414402</v>
      </c>
      <c r="T1626">
        <v>0.62989855854425303</v>
      </c>
      <c r="U1626">
        <v>-6.9503671454653704</v>
      </c>
      <c r="V1626">
        <v>0.53672158836089701</v>
      </c>
      <c r="W1626">
        <v>0.68480983489328395</v>
      </c>
      <c r="X1626">
        <v>0</v>
      </c>
      <c r="Y1626">
        <v>0</v>
      </c>
    </row>
    <row r="1627" spans="1:25" x14ac:dyDescent="0.2">
      <c r="A1627" t="s">
        <v>6106</v>
      </c>
      <c r="B1627" t="s">
        <v>6107</v>
      </c>
      <c r="C1627" t="s">
        <v>6108</v>
      </c>
      <c r="D1627" t="s">
        <v>6109</v>
      </c>
      <c r="E1627" t="s">
        <v>6107</v>
      </c>
      <c r="F1627" t="s">
        <v>28</v>
      </c>
      <c r="G1627" t="s">
        <v>6107</v>
      </c>
      <c r="H1627" t="str">
        <f>"rba-1"</f>
        <v>rba-1</v>
      </c>
      <c r="I1627" t="s">
        <v>6109</v>
      </c>
      <c r="J1627" t="s">
        <v>29</v>
      </c>
      <c r="K1627" t="s">
        <v>29</v>
      </c>
      <c r="L1627" t="s">
        <v>29</v>
      </c>
      <c r="M1627" t="s">
        <v>29</v>
      </c>
      <c r="N1627" t="s">
        <v>29</v>
      </c>
      <c r="O1627" t="s">
        <v>29</v>
      </c>
      <c r="P1627" t="s">
        <v>29</v>
      </c>
      <c r="Q1627" t="s">
        <v>29</v>
      </c>
      <c r="R1627" t="s">
        <v>29</v>
      </c>
      <c r="S1627">
        <v>11.753403746665199</v>
      </c>
      <c r="T1627" t="s">
        <v>29</v>
      </c>
      <c r="U1627" t="s">
        <v>29</v>
      </c>
      <c r="V1627" t="s">
        <v>29</v>
      </c>
      <c r="W1627" t="s">
        <v>29</v>
      </c>
      <c r="X1627" t="s">
        <v>29</v>
      </c>
      <c r="Y1627" t="s">
        <v>29</v>
      </c>
    </row>
    <row r="1628" spans="1:25" x14ac:dyDescent="0.2">
      <c r="A1628" t="s">
        <v>6110</v>
      </c>
      <c r="B1628" t="s">
        <v>6111</v>
      </c>
      <c r="C1628" t="s">
        <v>14409</v>
      </c>
      <c r="D1628" t="s">
        <v>6112</v>
      </c>
      <c r="E1628" t="s">
        <v>6111</v>
      </c>
      <c r="F1628" t="s">
        <v>28</v>
      </c>
      <c r="G1628" t="s">
        <v>6111</v>
      </c>
      <c r="H1628" t="str">
        <f>"K07A12.1"</f>
        <v>K07A12.1</v>
      </c>
      <c r="I1628" t="s">
        <v>6112</v>
      </c>
      <c r="J1628">
        <v>12.865849005044099</v>
      </c>
      <c r="K1628">
        <v>12.9279500853527</v>
      </c>
      <c r="L1628">
        <v>12.902283330141399</v>
      </c>
      <c r="M1628" t="s">
        <v>29</v>
      </c>
      <c r="N1628">
        <v>13.295870941464299</v>
      </c>
      <c r="O1628">
        <v>13.008358297149799</v>
      </c>
      <c r="P1628">
        <v>0.25342047912762999</v>
      </c>
      <c r="Q1628">
        <v>-0.134727979038683</v>
      </c>
      <c r="R1628">
        <v>0.64156893729394404</v>
      </c>
      <c r="S1628">
        <v>12.750343703805999</v>
      </c>
      <c r="T1628">
        <v>1.3781416416258301</v>
      </c>
      <c r="U1628">
        <v>-6.0997387966686603</v>
      </c>
      <c r="V1628">
        <v>0.18613881402572299</v>
      </c>
      <c r="W1628">
        <v>0.34156356471594401</v>
      </c>
      <c r="X1628">
        <v>0</v>
      </c>
      <c r="Y1628">
        <v>0</v>
      </c>
    </row>
    <row r="1629" spans="1:25" x14ac:dyDescent="0.2">
      <c r="A1629" t="s">
        <v>6113</v>
      </c>
      <c r="B1629" t="s">
        <v>6114</v>
      </c>
      <c r="C1629" t="s">
        <v>6115</v>
      </c>
      <c r="D1629" t="s">
        <v>6116</v>
      </c>
      <c r="E1629" t="s">
        <v>6114</v>
      </c>
      <c r="F1629" t="s">
        <v>28</v>
      </c>
      <c r="G1629" t="s">
        <v>6114</v>
      </c>
      <c r="H1629" t="str">
        <f>"asg-1"</f>
        <v>asg-1</v>
      </c>
      <c r="I1629" t="s">
        <v>6116</v>
      </c>
      <c r="J1629">
        <v>14.539394741397899</v>
      </c>
      <c r="K1629">
        <v>13.9519922057837</v>
      </c>
      <c r="L1629">
        <v>13.809588540418799</v>
      </c>
      <c r="M1629" t="s">
        <v>29</v>
      </c>
      <c r="N1629" t="s">
        <v>29</v>
      </c>
      <c r="O1629" t="s">
        <v>29</v>
      </c>
      <c r="P1629" t="s">
        <v>29</v>
      </c>
      <c r="Q1629" t="s">
        <v>29</v>
      </c>
      <c r="R1629" t="s">
        <v>29</v>
      </c>
      <c r="S1629">
        <v>13.153935838595901</v>
      </c>
      <c r="T1629" t="s">
        <v>29</v>
      </c>
      <c r="U1629" t="s">
        <v>29</v>
      </c>
      <c r="V1629" t="s">
        <v>29</v>
      </c>
      <c r="W1629" t="s">
        <v>29</v>
      </c>
      <c r="X1629" t="s">
        <v>29</v>
      </c>
      <c r="Y1629" t="s">
        <v>29</v>
      </c>
    </row>
    <row r="1630" spans="1:25" x14ac:dyDescent="0.2">
      <c r="A1630" t="s">
        <v>6117</v>
      </c>
      <c r="B1630" t="s">
        <v>6118</v>
      </c>
      <c r="C1630" t="s">
        <v>6119</v>
      </c>
      <c r="D1630" t="s">
        <v>3566</v>
      </c>
      <c r="E1630" t="s">
        <v>6118</v>
      </c>
      <c r="F1630" t="s">
        <v>28</v>
      </c>
      <c r="G1630" t="s">
        <v>6118</v>
      </c>
      <c r="H1630" t="str">
        <f>"hbs-1"</f>
        <v>hbs-1</v>
      </c>
      <c r="I1630" t="s">
        <v>3566</v>
      </c>
      <c r="J1630">
        <v>13.177984118282501</v>
      </c>
      <c r="K1630">
        <v>13.152919185256501</v>
      </c>
      <c r="L1630">
        <v>12.927650182774499</v>
      </c>
      <c r="M1630" t="s">
        <v>29</v>
      </c>
      <c r="N1630">
        <v>13.653670560569701</v>
      </c>
      <c r="O1630">
        <v>13.276266703468201</v>
      </c>
      <c r="P1630">
        <v>0.37878413658111598</v>
      </c>
      <c r="Q1630">
        <v>-2.1205151651058698E-2</v>
      </c>
      <c r="R1630">
        <v>0.77877342481329004</v>
      </c>
      <c r="S1630">
        <v>12.891002508626899</v>
      </c>
      <c r="T1630">
        <v>1.9989108929695201</v>
      </c>
      <c r="U1630">
        <v>-5.16179857267658</v>
      </c>
      <c r="V1630">
        <v>6.1969244057053001E-2</v>
      </c>
      <c r="W1630">
        <v>0.15894113336478299</v>
      </c>
      <c r="X1630">
        <v>0</v>
      </c>
      <c r="Y1630">
        <v>0</v>
      </c>
    </row>
    <row r="1631" spans="1:25" x14ac:dyDescent="0.2">
      <c r="A1631" t="s">
        <v>6120</v>
      </c>
      <c r="B1631" t="s">
        <v>6121</v>
      </c>
      <c r="C1631" t="s">
        <v>6122</v>
      </c>
      <c r="D1631" t="s">
        <v>6123</v>
      </c>
      <c r="E1631" t="s">
        <v>6121</v>
      </c>
      <c r="F1631" t="s">
        <v>28</v>
      </c>
      <c r="G1631" t="s">
        <v>6121</v>
      </c>
      <c r="H1631" t="str">
        <f>"pah-1"</f>
        <v>pah-1</v>
      </c>
      <c r="I1631" t="s">
        <v>6123</v>
      </c>
      <c r="J1631">
        <v>14.1130694635717</v>
      </c>
      <c r="K1631">
        <v>13.960931823667</v>
      </c>
      <c r="L1631">
        <v>14.1483473511094</v>
      </c>
      <c r="M1631">
        <v>16.4059664221469</v>
      </c>
      <c r="N1631">
        <v>16.987137431866</v>
      </c>
      <c r="O1631">
        <v>17.080904783871699</v>
      </c>
      <c r="P1631">
        <v>2.7505533331788401</v>
      </c>
      <c r="Q1631">
        <v>2.1703577857955398</v>
      </c>
      <c r="R1631">
        <v>3.3307488805621301</v>
      </c>
      <c r="S1631">
        <v>15.288984956741601</v>
      </c>
      <c r="T1631">
        <v>9.9641026257263494</v>
      </c>
      <c r="U1631">
        <v>10.289802088940499</v>
      </c>
      <c r="V1631" s="2">
        <v>9.9868272709520108E-9</v>
      </c>
      <c r="W1631" s="2">
        <v>1.1772471986998199E-6</v>
      </c>
      <c r="X1631">
        <v>1</v>
      </c>
      <c r="Y1631">
        <v>1</v>
      </c>
    </row>
    <row r="1632" spans="1:25" x14ac:dyDescent="0.2">
      <c r="A1632" t="s">
        <v>6124</v>
      </c>
      <c r="B1632" t="s">
        <v>6125</v>
      </c>
      <c r="C1632" t="s">
        <v>14410</v>
      </c>
      <c r="D1632" t="s">
        <v>6126</v>
      </c>
      <c r="E1632" t="s">
        <v>6125</v>
      </c>
      <c r="F1632" t="s">
        <v>28</v>
      </c>
      <c r="G1632" t="s">
        <v>6125</v>
      </c>
      <c r="H1632" t="str">
        <f>"M04C9.3"</f>
        <v>M04C9.3</v>
      </c>
      <c r="I1632" t="s">
        <v>6126</v>
      </c>
      <c r="J1632">
        <v>11.9758408909323</v>
      </c>
      <c r="K1632">
        <v>12.440037239444701</v>
      </c>
      <c r="L1632">
        <v>12.436651693561499</v>
      </c>
      <c r="M1632" t="s">
        <v>29</v>
      </c>
      <c r="N1632" t="s">
        <v>29</v>
      </c>
      <c r="O1632">
        <v>13.6426802873252</v>
      </c>
      <c r="P1632">
        <v>1.35850367934564</v>
      </c>
      <c r="Q1632">
        <v>0.762947993857232</v>
      </c>
      <c r="R1632">
        <v>1.9540593648340501</v>
      </c>
      <c r="S1632">
        <v>13.2181495815978</v>
      </c>
      <c r="T1632">
        <v>4.8382463070818602</v>
      </c>
      <c r="U1632">
        <v>0.68874450390425601</v>
      </c>
      <c r="V1632">
        <v>1.84924706040939E-4</v>
      </c>
      <c r="W1632">
        <v>2.6978866767457901E-3</v>
      </c>
      <c r="X1632">
        <v>1</v>
      </c>
      <c r="Y1632">
        <v>1</v>
      </c>
    </row>
    <row r="1633" spans="1:25" x14ac:dyDescent="0.2">
      <c r="A1633" t="s">
        <v>6127</v>
      </c>
      <c r="B1633" t="s">
        <v>6128</v>
      </c>
      <c r="C1633" t="s">
        <v>6129</v>
      </c>
      <c r="D1633" t="s">
        <v>6130</v>
      </c>
      <c r="E1633" t="s">
        <v>6128</v>
      </c>
      <c r="F1633" t="s">
        <v>28</v>
      </c>
      <c r="G1633" t="s">
        <v>6128</v>
      </c>
      <c r="H1633" t="str">
        <f>"hmp-1"</f>
        <v>hmp-1</v>
      </c>
      <c r="I1633" t="s">
        <v>6130</v>
      </c>
      <c r="J1633">
        <v>11.2773298610255</v>
      </c>
      <c r="K1633">
        <v>10.974568725354599</v>
      </c>
      <c r="L1633" t="s">
        <v>29</v>
      </c>
      <c r="M1633" t="s">
        <v>29</v>
      </c>
      <c r="N1633" t="s">
        <v>29</v>
      </c>
      <c r="O1633">
        <v>13.0536308508301</v>
      </c>
      <c r="P1633">
        <v>1.9276815576399899</v>
      </c>
      <c r="Q1633">
        <v>1.0521750155426299</v>
      </c>
      <c r="R1633">
        <v>2.8031880997373499</v>
      </c>
      <c r="S1633">
        <v>12.0177573527027</v>
      </c>
      <c r="T1633">
        <v>4.6958855399991304</v>
      </c>
      <c r="U1633">
        <v>0.31015507856372698</v>
      </c>
      <c r="V1633">
        <v>2.92338130194625E-4</v>
      </c>
      <c r="W1633">
        <v>3.6817114089041101E-3</v>
      </c>
      <c r="X1633">
        <v>1</v>
      </c>
      <c r="Y1633">
        <v>1</v>
      </c>
    </row>
    <row r="1634" spans="1:25" x14ac:dyDescent="0.2">
      <c r="A1634" t="s">
        <v>6131</v>
      </c>
      <c r="B1634" t="s">
        <v>6132</v>
      </c>
      <c r="C1634" t="s">
        <v>6133</v>
      </c>
      <c r="D1634" t="s">
        <v>6134</v>
      </c>
      <c r="E1634" t="s">
        <v>6132</v>
      </c>
      <c r="F1634" t="s">
        <v>28</v>
      </c>
      <c r="G1634" t="s">
        <v>6132</v>
      </c>
      <c r="H1634" t="str">
        <f>"clic-1"</f>
        <v>clic-1</v>
      </c>
      <c r="I1634" t="s">
        <v>6134</v>
      </c>
      <c r="J1634" t="s">
        <v>29</v>
      </c>
      <c r="K1634" t="s">
        <v>29</v>
      </c>
      <c r="L1634" t="s">
        <v>29</v>
      </c>
      <c r="M1634">
        <v>14.8358364944442</v>
      </c>
      <c r="N1634">
        <v>15.751488609104999</v>
      </c>
      <c r="O1634">
        <v>15.7895321741636</v>
      </c>
      <c r="P1634" t="s">
        <v>29</v>
      </c>
      <c r="Q1634" t="s">
        <v>29</v>
      </c>
      <c r="R1634" t="s">
        <v>29</v>
      </c>
      <c r="S1634">
        <v>13.2659525533885</v>
      </c>
      <c r="T1634" t="s">
        <v>29</v>
      </c>
      <c r="U1634" t="s">
        <v>29</v>
      </c>
      <c r="V1634" t="s">
        <v>29</v>
      </c>
      <c r="W1634" t="s">
        <v>29</v>
      </c>
      <c r="X1634" t="s">
        <v>29</v>
      </c>
      <c r="Y1634" t="s">
        <v>29</v>
      </c>
    </row>
    <row r="1635" spans="1:25" x14ac:dyDescent="0.2">
      <c r="A1635" t="s">
        <v>6135</v>
      </c>
      <c r="B1635" t="s">
        <v>6136</v>
      </c>
      <c r="C1635" t="s">
        <v>6137</v>
      </c>
      <c r="D1635" t="s">
        <v>6138</v>
      </c>
      <c r="E1635" t="s">
        <v>6136</v>
      </c>
      <c r="F1635" t="s">
        <v>28</v>
      </c>
      <c r="G1635" t="s">
        <v>6136</v>
      </c>
      <c r="H1635" t="str">
        <f>"T24B1.1"</f>
        <v>T24B1.1</v>
      </c>
      <c r="I1635" t="s">
        <v>6138</v>
      </c>
      <c r="J1635">
        <v>10.7071110297013</v>
      </c>
      <c r="K1635" t="s">
        <v>29</v>
      </c>
      <c r="L1635" t="s">
        <v>29</v>
      </c>
      <c r="M1635" t="s">
        <v>29</v>
      </c>
      <c r="N1635" t="s">
        <v>29</v>
      </c>
      <c r="O1635" t="s">
        <v>29</v>
      </c>
      <c r="P1635" t="s">
        <v>29</v>
      </c>
      <c r="Q1635" t="s">
        <v>29</v>
      </c>
      <c r="R1635" t="s">
        <v>29</v>
      </c>
      <c r="S1635">
        <v>11.519984389708901</v>
      </c>
      <c r="T1635" t="s">
        <v>29</v>
      </c>
      <c r="U1635" t="s">
        <v>29</v>
      </c>
      <c r="V1635" t="s">
        <v>29</v>
      </c>
      <c r="W1635" t="s">
        <v>29</v>
      </c>
      <c r="X1635" t="s">
        <v>29</v>
      </c>
      <c r="Y1635" t="s">
        <v>29</v>
      </c>
    </row>
    <row r="1636" spans="1:25" x14ac:dyDescent="0.2">
      <c r="A1636" t="s">
        <v>6139</v>
      </c>
      <c r="B1636" t="s">
        <v>6140</v>
      </c>
      <c r="C1636" t="s">
        <v>6141</v>
      </c>
      <c r="D1636" t="s">
        <v>6142</v>
      </c>
      <c r="E1636" t="s">
        <v>6140</v>
      </c>
      <c r="F1636" t="s">
        <v>28</v>
      </c>
      <c r="G1636" t="s">
        <v>6140</v>
      </c>
      <c r="H1636" t="str">
        <f>"uaf-1"</f>
        <v>uaf-1</v>
      </c>
      <c r="I1636" t="s">
        <v>6142</v>
      </c>
      <c r="J1636">
        <v>13.1845357371392</v>
      </c>
      <c r="K1636">
        <v>13.1762240892034</v>
      </c>
      <c r="L1636">
        <v>13.1871483710218</v>
      </c>
      <c r="M1636">
        <v>14.6605398742355</v>
      </c>
      <c r="N1636">
        <v>14.1336209034697</v>
      </c>
      <c r="O1636">
        <v>14.1382336662609</v>
      </c>
      <c r="P1636">
        <v>1.12816208220056</v>
      </c>
      <c r="Q1636">
        <v>0.39020211090069201</v>
      </c>
      <c r="R1636">
        <v>1.8661220535004299</v>
      </c>
      <c r="S1636">
        <v>13.505438570921999</v>
      </c>
      <c r="T1636">
        <v>3.21315152765523</v>
      </c>
      <c r="U1636">
        <v>-2.88553335695428</v>
      </c>
      <c r="V1636">
        <v>4.8485959913537298E-3</v>
      </c>
      <c r="W1636">
        <v>2.76914968730997E-2</v>
      </c>
      <c r="X1636">
        <v>1</v>
      </c>
      <c r="Y1636">
        <v>1</v>
      </c>
    </row>
    <row r="1637" spans="1:25" x14ac:dyDescent="0.2">
      <c r="A1637" t="s">
        <v>6143</v>
      </c>
      <c r="B1637" t="s">
        <v>6144</v>
      </c>
      <c r="C1637" t="s">
        <v>6145</v>
      </c>
      <c r="D1637" t="s">
        <v>6146</v>
      </c>
      <c r="E1637" t="s">
        <v>6144</v>
      </c>
      <c r="F1637" t="s">
        <v>28</v>
      </c>
      <c r="G1637" t="s">
        <v>6144</v>
      </c>
      <c r="H1637" t="str">
        <f>"pkc-2"</f>
        <v>pkc-2</v>
      </c>
      <c r="I1637" t="s">
        <v>6146</v>
      </c>
      <c r="J1637">
        <v>13.2501538563782</v>
      </c>
      <c r="K1637">
        <v>13.419497642131001</v>
      </c>
      <c r="L1637">
        <v>13.2978377007917</v>
      </c>
      <c r="M1637" t="s">
        <v>29</v>
      </c>
      <c r="N1637">
        <v>13.1839325321284</v>
      </c>
      <c r="O1637">
        <v>12.950882956648201</v>
      </c>
      <c r="P1637">
        <v>-0.25508865537870701</v>
      </c>
      <c r="Q1637">
        <v>-0.67196947381083705</v>
      </c>
      <c r="R1637">
        <v>0.161792163053424</v>
      </c>
      <c r="S1637">
        <v>12.9173896484622</v>
      </c>
      <c r="T1637">
        <v>-1.29160359434294</v>
      </c>
      <c r="U1637">
        <v>-6.2095006495370102</v>
      </c>
      <c r="V1637">
        <v>0.21388549516924499</v>
      </c>
      <c r="W1637">
        <v>0.37496761110277499</v>
      </c>
      <c r="X1637">
        <v>0</v>
      </c>
      <c r="Y1637">
        <v>0</v>
      </c>
    </row>
    <row r="1638" spans="1:25" x14ac:dyDescent="0.2">
      <c r="A1638" t="s">
        <v>6147</v>
      </c>
      <c r="B1638" t="s">
        <v>6148</v>
      </c>
      <c r="C1638" t="s">
        <v>6149</v>
      </c>
      <c r="D1638" t="s">
        <v>6150</v>
      </c>
      <c r="E1638" t="s">
        <v>6148</v>
      </c>
      <c r="F1638" t="s">
        <v>28</v>
      </c>
      <c r="G1638" t="s">
        <v>6148</v>
      </c>
      <c r="H1638" t="str">
        <f>"rps-29"</f>
        <v>rps-29</v>
      </c>
      <c r="I1638" t="s">
        <v>6150</v>
      </c>
      <c r="J1638">
        <v>13.9927017373684</v>
      </c>
      <c r="K1638">
        <v>14.3453640417172</v>
      </c>
      <c r="L1638">
        <v>13.853178955633799</v>
      </c>
      <c r="M1638">
        <v>14.546223206536499</v>
      </c>
      <c r="N1638">
        <v>13.888958662356201</v>
      </c>
      <c r="O1638">
        <v>13.348008198209</v>
      </c>
      <c r="P1638">
        <v>-0.13601822253922299</v>
      </c>
      <c r="Q1638">
        <v>-0.70212009465108904</v>
      </c>
      <c r="R1638">
        <v>0.430083649572644</v>
      </c>
      <c r="S1638">
        <v>13.9061762135486</v>
      </c>
      <c r="T1638">
        <v>-0.50500423168892405</v>
      </c>
      <c r="U1638">
        <v>-7.02341483033298</v>
      </c>
      <c r="V1638">
        <v>0.61971840987361404</v>
      </c>
      <c r="W1638">
        <v>0.74604172953330805</v>
      </c>
      <c r="X1638">
        <v>0</v>
      </c>
      <c r="Y1638">
        <v>0</v>
      </c>
    </row>
    <row r="1639" spans="1:25" x14ac:dyDescent="0.2">
      <c r="A1639" t="s">
        <v>6151</v>
      </c>
      <c r="B1639" t="s">
        <v>6152</v>
      </c>
      <c r="C1639" t="s">
        <v>6153</v>
      </c>
      <c r="D1639" t="s">
        <v>6154</v>
      </c>
      <c r="E1639" t="s">
        <v>6152</v>
      </c>
      <c r="F1639" t="s">
        <v>28</v>
      </c>
      <c r="G1639" t="s">
        <v>6152</v>
      </c>
      <c r="H1639" t="str">
        <f>"misc-1"</f>
        <v>misc-1</v>
      </c>
      <c r="I1639" t="s">
        <v>6154</v>
      </c>
      <c r="J1639">
        <v>15.722092969218201</v>
      </c>
      <c r="K1639">
        <v>15.7361692209033</v>
      </c>
      <c r="L1639">
        <v>15.447120360617401</v>
      </c>
      <c r="M1639">
        <v>15.4874216854981</v>
      </c>
      <c r="N1639">
        <v>15.068146658506199</v>
      </c>
      <c r="O1639">
        <v>15.630178114888899</v>
      </c>
      <c r="P1639">
        <v>-0.23987869728189001</v>
      </c>
      <c r="Q1639">
        <v>-0.61049313066176902</v>
      </c>
      <c r="R1639">
        <v>0.130735736097989</v>
      </c>
      <c r="S1639">
        <v>15.288703349970101</v>
      </c>
      <c r="T1639">
        <v>-1.36038509859602</v>
      </c>
      <c r="U1639">
        <v>-6.2323802906303198</v>
      </c>
      <c r="V1639">
        <v>0.19059899042060999</v>
      </c>
      <c r="W1639">
        <v>0.34779890078609199</v>
      </c>
      <c r="X1639">
        <v>0</v>
      </c>
      <c r="Y1639">
        <v>0</v>
      </c>
    </row>
    <row r="1640" spans="1:25" x14ac:dyDescent="0.2">
      <c r="A1640" t="s">
        <v>6155</v>
      </c>
      <c r="B1640" t="s">
        <v>6156</v>
      </c>
      <c r="C1640" t="s">
        <v>6157</v>
      </c>
      <c r="D1640" t="s">
        <v>6158</v>
      </c>
      <c r="E1640" t="s">
        <v>6156</v>
      </c>
      <c r="F1640" t="s">
        <v>28</v>
      </c>
      <c r="G1640" t="s">
        <v>6156</v>
      </c>
      <c r="H1640" t="str">
        <f>"djr-1.1"</f>
        <v>djr-1.1</v>
      </c>
      <c r="I1640" t="s">
        <v>6158</v>
      </c>
      <c r="J1640">
        <v>11.954392303345401</v>
      </c>
      <c r="K1640">
        <v>11.767434993957</v>
      </c>
      <c r="L1640">
        <v>12.0886308799074</v>
      </c>
      <c r="M1640" t="s">
        <v>29</v>
      </c>
      <c r="N1640">
        <v>13.592925880451</v>
      </c>
      <c r="O1640">
        <v>13.9208565399575</v>
      </c>
      <c r="P1640">
        <v>1.8200718178009401</v>
      </c>
      <c r="Q1640">
        <v>1.20925946745214</v>
      </c>
      <c r="R1640">
        <v>2.4308841681497402</v>
      </c>
      <c r="S1640">
        <v>12.4738104437224</v>
      </c>
      <c r="T1640">
        <v>6.2897115441750397</v>
      </c>
      <c r="U1640">
        <v>3.5945528508697602</v>
      </c>
      <c r="V1640" s="2">
        <v>8.3837606909218899E-6</v>
      </c>
      <c r="W1640">
        <v>2.42224928981832E-4</v>
      </c>
      <c r="X1640">
        <v>1</v>
      </c>
      <c r="Y1640">
        <v>1</v>
      </c>
    </row>
    <row r="1641" spans="1:25" x14ac:dyDescent="0.2">
      <c r="A1641" t="s">
        <v>6159</v>
      </c>
      <c r="B1641" t="s">
        <v>6160</v>
      </c>
      <c r="C1641" t="s">
        <v>6161</v>
      </c>
      <c r="D1641" t="s">
        <v>6162</v>
      </c>
      <c r="E1641" t="s">
        <v>6160</v>
      </c>
      <c r="F1641" t="s">
        <v>28</v>
      </c>
      <c r="G1641" t="s">
        <v>6160</v>
      </c>
      <c r="H1641" t="str">
        <f>"dhs-1"</f>
        <v>dhs-1</v>
      </c>
      <c r="I1641" t="s">
        <v>6162</v>
      </c>
      <c r="J1641">
        <v>13.5440167119911</v>
      </c>
      <c r="K1641">
        <v>13.227326002098801</v>
      </c>
      <c r="L1641">
        <v>13.494647806874299</v>
      </c>
      <c r="M1641" t="s">
        <v>29</v>
      </c>
      <c r="N1641">
        <v>13.551868610285601</v>
      </c>
      <c r="O1641">
        <v>12.567932230495501</v>
      </c>
      <c r="P1641">
        <v>-0.36209641993087699</v>
      </c>
      <c r="Q1641">
        <v>-0.982852004150224</v>
      </c>
      <c r="R1641">
        <v>0.25865916428847002</v>
      </c>
      <c r="S1641">
        <v>13.5502286954674</v>
      </c>
      <c r="T1641">
        <v>-1.23127088179192</v>
      </c>
      <c r="U1641">
        <v>-6.2825699420410404</v>
      </c>
      <c r="V1641">
        <v>0.235086568057324</v>
      </c>
      <c r="W1641">
        <v>0.40000006701208601</v>
      </c>
      <c r="X1641">
        <v>0</v>
      </c>
      <c r="Y1641">
        <v>0</v>
      </c>
    </row>
    <row r="1642" spans="1:25" x14ac:dyDescent="0.2">
      <c r="A1642" t="s">
        <v>6163</v>
      </c>
      <c r="B1642" t="s">
        <v>6164</v>
      </c>
      <c r="C1642" t="s">
        <v>6165</v>
      </c>
      <c r="D1642" t="s">
        <v>6166</v>
      </c>
      <c r="E1642" t="s">
        <v>6164</v>
      </c>
      <c r="F1642" t="s">
        <v>28</v>
      </c>
      <c r="G1642" t="s">
        <v>6164</v>
      </c>
      <c r="H1642" t="str">
        <f>"hpo-32"</f>
        <v>hpo-32</v>
      </c>
      <c r="I1642" t="s">
        <v>6166</v>
      </c>
      <c r="J1642">
        <v>10.278048381543201</v>
      </c>
      <c r="K1642" t="s">
        <v>29</v>
      </c>
      <c r="L1642">
        <v>10.6908846224902</v>
      </c>
      <c r="M1642" t="s">
        <v>29</v>
      </c>
      <c r="N1642" t="s">
        <v>29</v>
      </c>
      <c r="O1642" t="s">
        <v>29</v>
      </c>
      <c r="P1642" t="s">
        <v>29</v>
      </c>
      <c r="Q1642" t="s">
        <v>29</v>
      </c>
      <c r="R1642" t="s">
        <v>29</v>
      </c>
      <c r="S1642">
        <v>10.924349429478401</v>
      </c>
      <c r="T1642" t="s">
        <v>29</v>
      </c>
      <c r="U1642" t="s">
        <v>29</v>
      </c>
      <c r="V1642" t="s">
        <v>29</v>
      </c>
      <c r="W1642" t="s">
        <v>29</v>
      </c>
      <c r="X1642" t="s">
        <v>29</v>
      </c>
      <c r="Y1642" t="s">
        <v>29</v>
      </c>
    </row>
    <row r="1643" spans="1:25" x14ac:dyDescent="0.2">
      <c r="A1643" t="s">
        <v>6167</v>
      </c>
      <c r="B1643" t="s">
        <v>6168</v>
      </c>
      <c r="C1643" t="s">
        <v>6169</v>
      </c>
      <c r="D1643" t="s">
        <v>6170</v>
      </c>
      <c r="E1643" t="s">
        <v>6168</v>
      </c>
      <c r="F1643" t="s">
        <v>28</v>
      </c>
      <c r="G1643" t="s">
        <v>6168</v>
      </c>
      <c r="H1643" t="str">
        <f>"C07D8.6"</f>
        <v>C07D8.6</v>
      </c>
      <c r="I1643" t="s">
        <v>6170</v>
      </c>
      <c r="J1643" t="s">
        <v>29</v>
      </c>
      <c r="K1643" t="s">
        <v>29</v>
      </c>
      <c r="L1643" t="s">
        <v>29</v>
      </c>
      <c r="M1643" t="s">
        <v>29</v>
      </c>
      <c r="N1643" t="s">
        <v>29</v>
      </c>
      <c r="O1643">
        <v>12.9352849848011</v>
      </c>
      <c r="P1643" t="s">
        <v>29</v>
      </c>
      <c r="Q1643" t="s">
        <v>29</v>
      </c>
      <c r="R1643" t="s">
        <v>29</v>
      </c>
      <c r="S1643">
        <v>12.6474347050824</v>
      </c>
      <c r="T1643" t="s">
        <v>29</v>
      </c>
      <c r="U1643" t="s">
        <v>29</v>
      </c>
      <c r="V1643" t="s">
        <v>29</v>
      </c>
      <c r="W1643" t="s">
        <v>29</v>
      </c>
      <c r="X1643" t="s">
        <v>29</v>
      </c>
      <c r="Y1643" t="s">
        <v>29</v>
      </c>
    </row>
    <row r="1644" spans="1:25" x14ac:dyDescent="0.2">
      <c r="A1644" t="s">
        <v>6171</v>
      </c>
      <c r="B1644" t="s">
        <v>6172</v>
      </c>
      <c r="C1644" t="s">
        <v>6173</v>
      </c>
      <c r="D1644" t="s">
        <v>2795</v>
      </c>
      <c r="E1644" t="s">
        <v>6172</v>
      </c>
      <c r="F1644" t="s">
        <v>28</v>
      </c>
      <c r="G1644" t="s">
        <v>6172</v>
      </c>
      <c r="H1644" t="str">
        <f>"ugt-28"</f>
        <v>ugt-28</v>
      </c>
      <c r="I1644" t="s">
        <v>2795</v>
      </c>
      <c r="J1644" t="s">
        <v>29</v>
      </c>
      <c r="K1644" t="s">
        <v>29</v>
      </c>
      <c r="L1644" t="s">
        <v>29</v>
      </c>
      <c r="M1644" t="s">
        <v>29</v>
      </c>
      <c r="N1644" t="s">
        <v>29</v>
      </c>
      <c r="O1644" t="s">
        <v>29</v>
      </c>
      <c r="P1644" t="s">
        <v>29</v>
      </c>
      <c r="Q1644" t="s">
        <v>29</v>
      </c>
      <c r="R1644" t="s">
        <v>29</v>
      </c>
      <c r="S1644">
        <v>11.3688077101407</v>
      </c>
      <c r="T1644" t="s">
        <v>29</v>
      </c>
      <c r="U1644" t="s">
        <v>29</v>
      </c>
      <c r="V1644" t="s">
        <v>29</v>
      </c>
      <c r="W1644" t="s">
        <v>29</v>
      </c>
      <c r="X1644" t="s">
        <v>29</v>
      </c>
      <c r="Y1644" t="s">
        <v>29</v>
      </c>
    </row>
    <row r="1645" spans="1:25" x14ac:dyDescent="0.2">
      <c r="A1645" t="s">
        <v>6174</v>
      </c>
      <c r="B1645" t="s">
        <v>6175</v>
      </c>
      <c r="C1645" t="s">
        <v>6176</v>
      </c>
      <c r="D1645" t="s">
        <v>6177</v>
      </c>
      <c r="E1645" t="s">
        <v>6175</v>
      </c>
      <c r="F1645" t="s">
        <v>28</v>
      </c>
      <c r="G1645" t="s">
        <v>6175</v>
      </c>
      <c r="H1645" t="str">
        <f>"C16C8.16"</f>
        <v>C16C8.16</v>
      </c>
      <c r="I1645" t="s">
        <v>6177</v>
      </c>
      <c r="J1645" t="s">
        <v>29</v>
      </c>
      <c r="K1645" t="s">
        <v>29</v>
      </c>
      <c r="L1645" t="s">
        <v>29</v>
      </c>
      <c r="M1645" t="s">
        <v>29</v>
      </c>
      <c r="N1645" t="s">
        <v>29</v>
      </c>
      <c r="O1645" t="s">
        <v>29</v>
      </c>
      <c r="P1645" t="s">
        <v>29</v>
      </c>
      <c r="Q1645" t="s">
        <v>29</v>
      </c>
      <c r="R1645" t="s">
        <v>29</v>
      </c>
      <c r="S1645">
        <v>9.6422864141220508</v>
      </c>
      <c r="T1645" t="s">
        <v>29</v>
      </c>
      <c r="U1645" t="s">
        <v>29</v>
      </c>
      <c r="V1645" t="s">
        <v>29</v>
      </c>
      <c r="W1645" t="s">
        <v>29</v>
      </c>
      <c r="X1645" t="s">
        <v>29</v>
      </c>
      <c r="Y1645" t="s">
        <v>29</v>
      </c>
    </row>
    <row r="1646" spans="1:25" x14ac:dyDescent="0.2">
      <c r="A1646" t="s">
        <v>6178</v>
      </c>
      <c r="B1646" t="s">
        <v>6179</v>
      </c>
      <c r="C1646" t="s">
        <v>6180</v>
      </c>
      <c r="D1646" t="s">
        <v>6181</v>
      </c>
      <c r="E1646" t="s">
        <v>6179</v>
      </c>
      <c r="F1646" t="s">
        <v>28</v>
      </c>
      <c r="G1646" t="s">
        <v>6179</v>
      </c>
      <c r="H1646" t="str">
        <f>"C17H11.2"</f>
        <v>C17H11.2</v>
      </c>
      <c r="I1646" t="s">
        <v>6181</v>
      </c>
      <c r="J1646" t="s">
        <v>29</v>
      </c>
      <c r="K1646" t="s">
        <v>29</v>
      </c>
      <c r="L1646" t="s">
        <v>29</v>
      </c>
      <c r="M1646" t="s">
        <v>29</v>
      </c>
      <c r="N1646" t="s">
        <v>29</v>
      </c>
      <c r="O1646">
        <v>10.1549905991735</v>
      </c>
      <c r="P1646" t="s">
        <v>29</v>
      </c>
      <c r="Q1646" t="s">
        <v>29</v>
      </c>
      <c r="R1646" t="s">
        <v>29</v>
      </c>
      <c r="S1646">
        <v>11.910180277812801</v>
      </c>
      <c r="T1646" t="s">
        <v>29</v>
      </c>
      <c r="U1646" t="s">
        <v>29</v>
      </c>
      <c r="V1646" t="s">
        <v>29</v>
      </c>
      <c r="W1646" t="s">
        <v>29</v>
      </c>
      <c r="X1646" t="s">
        <v>29</v>
      </c>
      <c r="Y1646" t="s">
        <v>29</v>
      </c>
    </row>
    <row r="1647" spans="1:25" x14ac:dyDescent="0.2">
      <c r="A1647" t="s">
        <v>6182</v>
      </c>
      <c r="B1647" t="s">
        <v>6183</v>
      </c>
      <c r="C1647" t="s">
        <v>6184</v>
      </c>
      <c r="D1647" t="s">
        <v>6185</v>
      </c>
      <c r="E1647" t="s">
        <v>6183</v>
      </c>
      <c r="F1647" t="s">
        <v>28</v>
      </c>
      <c r="G1647" t="s">
        <v>6183</v>
      </c>
      <c r="H1647" t="str">
        <f>"sptl-1"</f>
        <v>sptl-1</v>
      </c>
      <c r="I1647" t="s">
        <v>6185</v>
      </c>
      <c r="J1647">
        <v>15.4987270717447</v>
      </c>
      <c r="K1647">
        <v>15.535495829122199</v>
      </c>
      <c r="L1647">
        <v>15.2390805369558</v>
      </c>
      <c r="M1647">
        <v>15.5795190895485</v>
      </c>
      <c r="N1647">
        <v>14.680792739977001</v>
      </c>
      <c r="O1647">
        <v>15.167232082056399</v>
      </c>
      <c r="P1647">
        <v>-0.28191984208028698</v>
      </c>
      <c r="Q1647">
        <v>-0.70144153739947701</v>
      </c>
      <c r="R1647">
        <v>0.137601853238904</v>
      </c>
      <c r="S1647">
        <v>15.190524563117799</v>
      </c>
      <c r="T1647">
        <v>-1.4124195869455001</v>
      </c>
      <c r="U1647">
        <v>-6.1640522145706802</v>
      </c>
      <c r="V1647">
        <v>0.17498157185448401</v>
      </c>
      <c r="W1647">
        <v>0.32745806833173302</v>
      </c>
      <c r="X1647">
        <v>0</v>
      </c>
      <c r="Y1647">
        <v>0</v>
      </c>
    </row>
    <row r="1648" spans="1:25" x14ac:dyDescent="0.2">
      <c r="A1648" t="s">
        <v>6186</v>
      </c>
      <c r="B1648" t="s">
        <v>6187</v>
      </c>
      <c r="C1648" t="s">
        <v>6188</v>
      </c>
      <c r="D1648" t="s">
        <v>666</v>
      </c>
      <c r="E1648" t="s">
        <v>6187</v>
      </c>
      <c r="F1648" t="s">
        <v>28</v>
      </c>
      <c r="G1648" t="s">
        <v>6187</v>
      </c>
      <c r="H1648" t="str">
        <f>"pqn-15"</f>
        <v>pqn-15</v>
      </c>
      <c r="I1648" t="s">
        <v>666</v>
      </c>
      <c r="J1648">
        <v>12.256481511274099</v>
      </c>
      <c r="K1648">
        <v>10.9312457801362</v>
      </c>
      <c r="L1648">
        <v>11.2676349344828</v>
      </c>
      <c r="M1648" t="s">
        <v>29</v>
      </c>
      <c r="N1648">
        <v>12.0051286711928</v>
      </c>
      <c r="O1648" t="s">
        <v>29</v>
      </c>
      <c r="P1648">
        <v>0.52000792922838601</v>
      </c>
      <c r="Q1648">
        <v>-0.81523685577904903</v>
      </c>
      <c r="R1648">
        <v>1.8552527142358199</v>
      </c>
      <c r="S1648">
        <v>11.5144851181318</v>
      </c>
      <c r="T1648">
        <v>0.82603529682864796</v>
      </c>
      <c r="U1648">
        <v>-6.4619345490101399</v>
      </c>
      <c r="V1648">
        <v>0.421010389795205</v>
      </c>
      <c r="W1648">
        <v>0.58746099371518501</v>
      </c>
      <c r="X1648">
        <v>0</v>
      </c>
      <c r="Y1648">
        <v>0</v>
      </c>
    </row>
    <row r="1649" spans="1:25" x14ac:dyDescent="0.2">
      <c r="A1649" t="s">
        <v>6189</v>
      </c>
      <c r="B1649" t="s">
        <v>6190</v>
      </c>
      <c r="C1649" t="s">
        <v>6191</v>
      </c>
      <c r="D1649" t="s">
        <v>4483</v>
      </c>
      <c r="E1649" t="s">
        <v>6190</v>
      </c>
      <c r="F1649" t="s">
        <v>28</v>
      </c>
      <c r="G1649" t="s">
        <v>6190</v>
      </c>
      <c r="H1649" t="str">
        <f>"C32E12.1"</f>
        <v>C32E12.1</v>
      </c>
      <c r="I1649" t="s">
        <v>4483</v>
      </c>
      <c r="J1649">
        <v>14.3877815722782</v>
      </c>
      <c r="K1649">
        <v>12.105102823490499</v>
      </c>
      <c r="L1649">
        <v>13.4196915320623</v>
      </c>
      <c r="M1649" t="s">
        <v>29</v>
      </c>
      <c r="N1649" t="s">
        <v>29</v>
      </c>
      <c r="O1649" t="s">
        <v>29</v>
      </c>
      <c r="P1649" t="s">
        <v>29</v>
      </c>
      <c r="Q1649" t="s">
        <v>29</v>
      </c>
      <c r="R1649" t="s">
        <v>29</v>
      </c>
      <c r="S1649">
        <v>12.415405123631301</v>
      </c>
      <c r="T1649" t="s">
        <v>29</v>
      </c>
      <c r="U1649" t="s">
        <v>29</v>
      </c>
      <c r="V1649" t="s">
        <v>29</v>
      </c>
      <c r="W1649" t="s">
        <v>29</v>
      </c>
      <c r="X1649" t="s">
        <v>29</v>
      </c>
      <c r="Y1649" t="s">
        <v>29</v>
      </c>
    </row>
    <row r="1650" spans="1:25" x14ac:dyDescent="0.2">
      <c r="A1650" t="s">
        <v>6192</v>
      </c>
      <c r="B1650" t="s">
        <v>6193</v>
      </c>
      <c r="C1650" t="s">
        <v>6194</v>
      </c>
      <c r="D1650" t="s">
        <v>433</v>
      </c>
      <c r="E1650" t="s">
        <v>6193</v>
      </c>
      <c r="F1650" t="s">
        <v>28</v>
      </c>
      <c r="G1650" t="s">
        <v>6193</v>
      </c>
      <c r="H1650" t="str">
        <f>"pmlr-1"</f>
        <v>pmlr-1</v>
      </c>
      <c r="I1650" t="s">
        <v>433</v>
      </c>
      <c r="J1650">
        <v>12.135398896731701</v>
      </c>
      <c r="K1650">
        <v>12.083456860135501</v>
      </c>
      <c r="L1650">
        <v>12.1798085317931</v>
      </c>
      <c r="M1650" t="s">
        <v>29</v>
      </c>
      <c r="N1650" t="s">
        <v>29</v>
      </c>
      <c r="O1650">
        <v>12.3108067534051</v>
      </c>
      <c r="P1650">
        <v>0.17791865718497801</v>
      </c>
      <c r="Q1650">
        <v>-0.64057573355698505</v>
      </c>
      <c r="R1650">
        <v>0.99641304792694196</v>
      </c>
      <c r="S1650">
        <v>12.114176281727699</v>
      </c>
      <c r="T1650">
        <v>0.46360423066367001</v>
      </c>
      <c r="U1650">
        <v>-6.7002000970455002</v>
      </c>
      <c r="V1650">
        <v>0.64963360450362895</v>
      </c>
      <c r="W1650">
        <v>0.76670814276018995</v>
      </c>
      <c r="X1650">
        <v>0</v>
      </c>
      <c r="Y1650">
        <v>0</v>
      </c>
    </row>
    <row r="1651" spans="1:25" x14ac:dyDescent="0.2">
      <c r="A1651" t="s">
        <v>6195</v>
      </c>
      <c r="B1651" t="s">
        <v>6196</v>
      </c>
      <c r="C1651" t="s">
        <v>6197</v>
      </c>
      <c r="D1651" t="s">
        <v>6198</v>
      </c>
      <c r="E1651" t="s">
        <v>6196</v>
      </c>
      <c r="F1651" t="s">
        <v>28</v>
      </c>
      <c r="G1651" t="s">
        <v>6196</v>
      </c>
      <c r="H1651" t="str">
        <f>"rpl-13"</f>
        <v>rpl-13</v>
      </c>
      <c r="I1651" t="s">
        <v>6198</v>
      </c>
      <c r="J1651">
        <v>17.568428399757298</v>
      </c>
      <c r="K1651">
        <v>17.5098576667516</v>
      </c>
      <c r="L1651">
        <v>17.623542720592202</v>
      </c>
      <c r="M1651">
        <v>17.599452310636799</v>
      </c>
      <c r="N1651">
        <v>17.5539006172861</v>
      </c>
      <c r="O1651">
        <v>17.3619347186346</v>
      </c>
      <c r="P1651">
        <v>-6.2180380181207098E-2</v>
      </c>
      <c r="Q1651">
        <v>-0.35608367601354002</v>
      </c>
      <c r="R1651">
        <v>0.23172291565112499</v>
      </c>
      <c r="S1651">
        <v>17.5038185944642</v>
      </c>
      <c r="T1651">
        <v>-0.44467368551508801</v>
      </c>
      <c r="U1651">
        <v>-7.0531048000343102</v>
      </c>
      <c r="V1651">
        <v>0.661886968865258</v>
      </c>
      <c r="W1651">
        <v>0.77579104511357899</v>
      </c>
      <c r="X1651">
        <v>0</v>
      </c>
      <c r="Y1651">
        <v>0</v>
      </c>
    </row>
    <row r="1652" spans="1:25" x14ac:dyDescent="0.2">
      <c r="A1652" t="s">
        <v>6199</v>
      </c>
      <c r="B1652" t="s">
        <v>6200</v>
      </c>
      <c r="C1652" t="s">
        <v>6201</v>
      </c>
      <c r="D1652" t="s">
        <v>6202</v>
      </c>
      <c r="E1652" t="s">
        <v>6200</v>
      </c>
      <c r="F1652" t="s">
        <v>28</v>
      </c>
      <c r="G1652" t="s">
        <v>6200</v>
      </c>
      <c r="H1652" t="str">
        <f>"ubr-1"</f>
        <v>ubr-1</v>
      </c>
      <c r="I1652" t="s">
        <v>6202</v>
      </c>
      <c r="J1652">
        <v>13.382368001258101</v>
      </c>
      <c r="K1652">
        <v>13.2972842054927</v>
      </c>
      <c r="L1652">
        <v>13.221004107151501</v>
      </c>
      <c r="M1652" t="s">
        <v>29</v>
      </c>
      <c r="N1652">
        <v>12.974560348001299</v>
      </c>
      <c r="O1652">
        <v>13.2086902503302</v>
      </c>
      <c r="P1652">
        <v>-0.20859347213502699</v>
      </c>
      <c r="Q1652">
        <v>-0.65055458638311003</v>
      </c>
      <c r="R1652">
        <v>0.233367642113056</v>
      </c>
      <c r="S1652">
        <v>13.0933036705157</v>
      </c>
      <c r="T1652">
        <v>-0.996246173976711</v>
      </c>
      <c r="U1652">
        <v>-6.5386194245716096</v>
      </c>
      <c r="V1652">
        <v>0.33318600541114801</v>
      </c>
      <c r="W1652">
        <v>0.50431389725046405</v>
      </c>
      <c r="X1652">
        <v>0</v>
      </c>
      <c r="Y1652">
        <v>0</v>
      </c>
    </row>
    <row r="1653" spans="1:25" x14ac:dyDescent="0.2">
      <c r="A1653" t="s">
        <v>6203</v>
      </c>
      <c r="B1653" t="s">
        <v>6204</v>
      </c>
      <c r="C1653" t="s">
        <v>6205</v>
      </c>
      <c r="D1653" t="s">
        <v>6206</v>
      </c>
      <c r="E1653" t="s">
        <v>6204</v>
      </c>
      <c r="F1653" t="s">
        <v>28</v>
      </c>
      <c r="G1653" t="s">
        <v>6204</v>
      </c>
      <c r="H1653" t="str">
        <f>"C37H5.5"</f>
        <v>C37H5.5</v>
      </c>
      <c r="I1653" t="s">
        <v>6206</v>
      </c>
      <c r="J1653">
        <v>12.7200571058412</v>
      </c>
      <c r="K1653">
        <v>12.8050671197879</v>
      </c>
      <c r="L1653">
        <v>13.290343492758</v>
      </c>
      <c r="M1653" t="s">
        <v>29</v>
      </c>
      <c r="N1653" t="s">
        <v>29</v>
      </c>
      <c r="O1653">
        <v>12.8518384150742</v>
      </c>
      <c r="P1653">
        <v>-8.66508243881388E-2</v>
      </c>
      <c r="Q1653">
        <v>-0.66738847841162197</v>
      </c>
      <c r="R1653">
        <v>0.494086829635344</v>
      </c>
      <c r="S1653">
        <v>13.1117387977554</v>
      </c>
      <c r="T1653">
        <v>-0.31647706541721199</v>
      </c>
      <c r="U1653">
        <v>-6.7602690605779303</v>
      </c>
      <c r="V1653">
        <v>0.75575868949119895</v>
      </c>
      <c r="W1653">
        <v>0.84556600528874903</v>
      </c>
      <c r="X1653">
        <v>0</v>
      </c>
      <c r="Y1653">
        <v>0</v>
      </c>
    </row>
    <row r="1654" spans="1:25" x14ac:dyDescent="0.2">
      <c r="A1654" t="s">
        <v>6207</v>
      </c>
      <c r="B1654" t="s">
        <v>6208</v>
      </c>
      <c r="C1654" t="s">
        <v>6209</v>
      </c>
      <c r="D1654" t="s">
        <v>6210</v>
      </c>
      <c r="E1654" t="s">
        <v>6208</v>
      </c>
      <c r="F1654" t="s">
        <v>28</v>
      </c>
      <c r="G1654" t="s">
        <v>6208</v>
      </c>
      <c r="H1654" t="str">
        <f>"exoc-7"</f>
        <v>exoc-7</v>
      </c>
      <c r="I1654" t="s">
        <v>6210</v>
      </c>
      <c r="J1654" t="s">
        <v>29</v>
      </c>
      <c r="K1654">
        <v>13.9436071254087</v>
      </c>
      <c r="L1654">
        <v>12.953035403566799</v>
      </c>
      <c r="M1654" t="s">
        <v>29</v>
      </c>
      <c r="N1654" t="s">
        <v>29</v>
      </c>
      <c r="O1654">
        <v>14.1474566409349</v>
      </c>
      <c r="P1654">
        <v>0.69913537644712398</v>
      </c>
      <c r="Q1654">
        <v>-0.63495884646849698</v>
      </c>
      <c r="R1654">
        <v>2.0332295993627501</v>
      </c>
      <c r="S1654">
        <v>13.593272514801299</v>
      </c>
      <c r="T1654">
        <v>1.1247776223036701</v>
      </c>
      <c r="U1654">
        <v>-6.1146009914145196</v>
      </c>
      <c r="V1654">
        <v>0.27973832007274801</v>
      </c>
      <c r="W1654">
        <v>0.44738055993048398</v>
      </c>
      <c r="X1654">
        <v>0</v>
      </c>
      <c r="Y1654">
        <v>0</v>
      </c>
    </row>
    <row r="1655" spans="1:25" x14ac:dyDescent="0.2">
      <c r="A1655" t="s">
        <v>6211</v>
      </c>
      <c r="B1655" t="s">
        <v>6212</v>
      </c>
      <c r="C1655" t="s">
        <v>6213</v>
      </c>
      <c r="D1655" t="s">
        <v>6214</v>
      </c>
      <c r="E1655" t="s">
        <v>6212</v>
      </c>
      <c r="F1655" t="s">
        <v>28</v>
      </c>
      <c r="G1655" t="s">
        <v>6212</v>
      </c>
      <c r="H1655" t="str">
        <f>"cogc-5"</f>
        <v>cogc-5</v>
      </c>
      <c r="I1655" t="s">
        <v>6214</v>
      </c>
      <c r="J1655" t="s">
        <v>29</v>
      </c>
      <c r="K1655">
        <v>12.9873481325551</v>
      </c>
      <c r="L1655" t="s">
        <v>29</v>
      </c>
      <c r="M1655" t="s">
        <v>29</v>
      </c>
      <c r="N1655" t="s">
        <v>29</v>
      </c>
      <c r="O1655">
        <v>13.6372704556962</v>
      </c>
      <c r="P1655">
        <v>0.64992232314116405</v>
      </c>
      <c r="Q1655">
        <v>-0.17383762981187501</v>
      </c>
      <c r="R1655">
        <v>1.4736822760942001</v>
      </c>
      <c r="S1655">
        <v>12.318812849889101</v>
      </c>
      <c r="T1655">
        <v>1.76046611220612</v>
      </c>
      <c r="U1655">
        <v>-5.1586799091447304</v>
      </c>
      <c r="V1655">
        <v>0.109142384158602</v>
      </c>
      <c r="W1655">
        <v>0.230301116127302</v>
      </c>
      <c r="X1655">
        <v>0</v>
      </c>
      <c r="Y1655">
        <v>0</v>
      </c>
    </row>
    <row r="1656" spans="1:25" x14ac:dyDescent="0.2">
      <c r="A1656" t="s">
        <v>6215</v>
      </c>
      <c r="B1656" t="s">
        <v>6216</v>
      </c>
      <c r="C1656" t="s">
        <v>6217</v>
      </c>
      <c r="D1656" t="s">
        <v>6218</v>
      </c>
      <c r="E1656" t="s">
        <v>6216</v>
      </c>
      <c r="F1656" t="s">
        <v>28</v>
      </c>
      <c r="G1656" t="s">
        <v>6216</v>
      </c>
      <c r="H1656" t="str">
        <f>"C43E11.9"</f>
        <v>C43E11.9</v>
      </c>
      <c r="I1656" t="s">
        <v>6218</v>
      </c>
      <c r="J1656">
        <v>12.109421597856899</v>
      </c>
      <c r="K1656">
        <v>13.4467035080902</v>
      </c>
      <c r="L1656">
        <v>13.2815944614073</v>
      </c>
      <c r="M1656" t="s">
        <v>29</v>
      </c>
      <c r="N1656" t="s">
        <v>29</v>
      </c>
      <c r="O1656">
        <v>13.6880945380786</v>
      </c>
      <c r="P1656">
        <v>0.74218801562708103</v>
      </c>
      <c r="Q1656">
        <v>-0.41152994670807702</v>
      </c>
      <c r="R1656">
        <v>1.89590597796224</v>
      </c>
      <c r="S1656">
        <v>13.3806279994369</v>
      </c>
      <c r="T1656">
        <v>1.4354272069188501</v>
      </c>
      <c r="U1656">
        <v>-5.7956926266176101</v>
      </c>
      <c r="V1656">
        <v>0.182011678351015</v>
      </c>
      <c r="W1656">
        <v>0.33629367780591901</v>
      </c>
      <c r="X1656">
        <v>0</v>
      </c>
      <c r="Y1656">
        <v>0</v>
      </c>
    </row>
    <row r="1657" spans="1:25" x14ac:dyDescent="0.2">
      <c r="A1657" t="s">
        <v>6219</v>
      </c>
      <c r="B1657" t="s">
        <v>6220</v>
      </c>
      <c r="C1657" t="s">
        <v>6221</v>
      </c>
      <c r="D1657" t="s">
        <v>6222</v>
      </c>
      <c r="E1657" t="s">
        <v>6220</v>
      </c>
      <c r="F1657" t="s">
        <v>28</v>
      </c>
      <c r="G1657" t="s">
        <v>6220</v>
      </c>
      <c r="H1657" t="str">
        <f>"cdc-6"</f>
        <v>cdc-6</v>
      </c>
      <c r="I1657" t="s">
        <v>6222</v>
      </c>
      <c r="J1657" t="s">
        <v>29</v>
      </c>
      <c r="K1657" t="s">
        <v>29</v>
      </c>
      <c r="L1657">
        <v>11.033165445703499</v>
      </c>
      <c r="M1657" t="s">
        <v>29</v>
      </c>
      <c r="N1657" t="s">
        <v>29</v>
      </c>
      <c r="O1657" t="s">
        <v>29</v>
      </c>
      <c r="P1657" t="s">
        <v>29</v>
      </c>
      <c r="Q1657" t="s">
        <v>29</v>
      </c>
      <c r="R1657" t="s">
        <v>29</v>
      </c>
      <c r="S1657">
        <v>11.735614818409299</v>
      </c>
      <c r="T1657" t="s">
        <v>29</v>
      </c>
      <c r="U1657" t="s">
        <v>29</v>
      </c>
      <c r="V1657" t="s">
        <v>29</v>
      </c>
      <c r="W1657" t="s">
        <v>29</v>
      </c>
      <c r="X1657" t="s">
        <v>29</v>
      </c>
      <c r="Y1657" t="s">
        <v>29</v>
      </c>
    </row>
    <row r="1658" spans="1:25" x14ac:dyDescent="0.2">
      <c r="A1658" t="s">
        <v>6223</v>
      </c>
      <c r="B1658" t="s">
        <v>6224</v>
      </c>
      <c r="C1658" t="s">
        <v>6225</v>
      </c>
      <c r="D1658" t="s">
        <v>138</v>
      </c>
      <c r="E1658" t="s">
        <v>6224</v>
      </c>
      <c r="F1658" t="s">
        <v>28</v>
      </c>
      <c r="G1658" t="s">
        <v>6224</v>
      </c>
      <c r="H1658" t="str">
        <f>"acin-1"</f>
        <v>acin-1</v>
      </c>
      <c r="I1658" t="s">
        <v>138</v>
      </c>
      <c r="J1658">
        <v>13.7610607969402</v>
      </c>
      <c r="K1658">
        <v>14.3792969217854</v>
      </c>
      <c r="L1658">
        <v>14.2584581124132</v>
      </c>
      <c r="M1658">
        <v>10.981166901696399</v>
      </c>
      <c r="N1658">
        <v>11.118486111509901</v>
      </c>
      <c r="O1658">
        <v>11.6077160448089</v>
      </c>
      <c r="P1658">
        <v>-2.8971489243745299</v>
      </c>
      <c r="Q1658">
        <v>-3.6585119441379499</v>
      </c>
      <c r="R1658">
        <v>-2.1357859046111098</v>
      </c>
      <c r="S1658">
        <v>13.661298634985901</v>
      </c>
      <c r="T1658">
        <v>-7.9978186897574997</v>
      </c>
      <c r="U1658">
        <v>7.0093366219659901</v>
      </c>
      <c r="V1658" s="2">
        <v>2.56295052930739E-7</v>
      </c>
      <c r="W1658" s="2">
        <v>1.51060304197377E-5</v>
      </c>
      <c r="X1658">
        <v>-1</v>
      </c>
      <c r="Y1658">
        <v>-1</v>
      </c>
    </row>
    <row r="1659" spans="1:25" x14ac:dyDescent="0.2">
      <c r="A1659" t="s">
        <v>6226</v>
      </c>
      <c r="B1659" t="s">
        <v>6227</v>
      </c>
      <c r="C1659" t="s">
        <v>6228</v>
      </c>
      <c r="D1659" t="s">
        <v>6229</v>
      </c>
      <c r="E1659" t="s">
        <v>6227</v>
      </c>
      <c r="F1659" t="s">
        <v>28</v>
      </c>
      <c r="G1659" t="s">
        <v>6227</v>
      </c>
      <c r="H1659" t="str">
        <f>"syf-1"</f>
        <v>syf-1</v>
      </c>
      <c r="I1659" t="s">
        <v>6229</v>
      </c>
      <c r="J1659">
        <v>15.089342187276999</v>
      </c>
      <c r="K1659">
        <v>15.014630899786001</v>
      </c>
      <c r="L1659">
        <v>14.7655468660276</v>
      </c>
      <c r="M1659">
        <v>15.283586425383801</v>
      </c>
      <c r="N1659">
        <v>15.2044276141698</v>
      </c>
      <c r="O1659">
        <v>14.8465105236981</v>
      </c>
      <c r="P1659">
        <v>0.155001536720345</v>
      </c>
      <c r="Q1659">
        <v>-0.20070263899916399</v>
      </c>
      <c r="R1659">
        <v>0.51070571243985396</v>
      </c>
      <c r="S1659">
        <v>14.8835480310488</v>
      </c>
      <c r="T1659">
        <v>0.91588206257867899</v>
      </c>
      <c r="U1659">
        <v>-6.7261504897703501</v>
      </c>
      <c r="V1659">
        <v>0.371906683985325</v>
      </c>
      <c r="W1659">
        <v>0.538844148330754</v>
      </c>
      <c r="X1659">
        <v>0</v>
      </c>
      <c r="Y1659">
        <v>0</v>
      </c>
    </row>
    <row r="1660" spans="1:25" x14ac:dyDescent="0.2">
      <c r="A1660" t="s">
        <v>6230</v>
      </c>
      <c r="B1660" t="s">
        <v>6231</v>
      </c>
      <c r="C1660" t="s">
        <v>14411</v>
      </c>
      <c r="D1660" t="s">
        <v>1128</v>
      </c>
      <c r="E1660" t="s">
        <v>6231</v>
      </c>
      <c r="F1660" t="s">
        <v>28</v>
      </c>
      <c r="G1660" t="s">
        <v>6231</v>
      </c>
      <c r="H1660" t="str">
        <f>"D2092.4"</f>
        <v>D2092.4</v>
      </c>
      <c r="I1660" t="s">
        <v>1128</v>
      </c>
      <c r="J1660">
        <v>15.4383436395764</v>
      </c>
      <c r="K1660">
        <v>15.3346176275037</v>
      </c>
      <c r="L1660">
        <v>15.3770504608993</v>
      </c>
      <c r="M1660" t="s">
        <v>29</v>
      </c>
      <c r="N1660">
        <v>14.830241629748899</v>
      </c>
      <c r="O1660">
        <v>15.4491583984131</v>
      </c>
      <c r="P1660">
        <v>-0.24363722857877901</v>
      </c>
      <c r="Q1660">
        <v>-0.75576545792524197</v>
      </c>
      <c r="R1660">
        <v>0.26849100076768501</v>
      </c>
      <c r="S1660">
        <v>15.0206940622499</v>
      </c>
      <c r="T1660">
        <v>-1.00418781741649</v>
      </c>
      <c r="U1660">
        <v>-6.5307388369225396</v>
      </c>
      <c r="V1660">
        <v>0.329454506801311</v>
      </c>
      <c r="W1660">
        <v>0.50149918984683095</v>
      </c>
      <c r="X1660">
        <v>0</v>
      </c>
      <c r="Y1660">
        <v>0</v>
      </c>
    </row>
    <row r="1661" spans="1:25" x14ac:dyDescent="0.2">
      <c r="A1661" t="s">
        <v>6232</v>
      </c>
      <c r="B1661" t="s">
        <v>6233</v>
      </c>
      <c r="C1661" t="s">
        <v>6234</v>
      </c>
      <c r="D1661" t="s">
        <v>6235</v>
      </c>
      <c r="E1661" t="s">
        <v>6233</v>
      </c>
      <c r="F1661" t="s">
        <v>28</v>
      </c>
      <c r="G1661" t="s">
        <v>6233</v>
      </c>
      <c r="H1661" t="str">
        <f>"ppfr-2"</f>
        <v>ppfr-2</v>
      </c>
      <c r="I1661" t="s">
        <v>6235</v>
      </c>
      <c r="J1661" t="s">
        <v>29</v>
      </c>
      <c r="K1661" t="s">
        <v>29</v>
      </c>
      <c r="L1661" t="s">
        <v>29</v>
      </c>
      <c r="M1661" t="s">
        <v>29</v>
      </c>
      <c r="N1661" t="s">
        <v>29</v>
      </c>
      <c r="O1661" t="s">
        <v>29</v>
      </c>
      <c r="P1661" t="s">
        <v>29</v>
      </c>
      <c r="Q1661" t="s">
        <v>29</v>
      </c>
      <c r="R1661" t="s">
        <v>29</v>
      </c>
      <c r="S1661">
        <v>10.226087369159499</v>
      </c>
      <c r="T1661" t="s">
        <v>29</v>
      </c>
      <c r="U1661" t="s">
        <v>29</v>
      </c>
      <c r="V1661" t="s">
        <v>29</v>
      </c>
      <c r="W1661" t="s">
        <v>29</v>
      </c>
      <c r="X1661" t="s">
        <v>29</v>
      </c>
      <c r="Y1661" t="s">
        <v>29</v>
      </c>
    </row>
    <row r="1662" spans="1:25" x14ac:dyDescent="0.2">
      <c r="A1662" t="s">
        <v>6236</v>
      </c>
      <c r="B1662" t="s">
        <v>6237</v>
      </c>
      <c r="C1662" t="s">
        <v>6238</v>
      </c>
      <c r="D1662" t="s">
        <v>6239</v>
      </c>
      <c r="E1662" t="s">
        <v>6237</v>
      </c>
      <c r="F1662" t="s">
        <v>28</v>
      </c>
      <c r="G1662" t="s">
        <v>6237</v>
      </c>
      <c r="H1662" t="str">
        <f>"grsp-4"</f>
        <v>grsp-4</v>
      </c>
      <c r="I1662" t="s">
        <v>6239</v>
      </c>
      <c r="J1662">
        <v>12.083711155764499</v>
      </c>
      <c r="K1662" t="s">
        <v>29</v>
      </c>
      <c r="L1662">
        <v>11.7376607800795</v>
      </c>
      <c r="M1662" t="s">
        <v>29</v>
      </c>
      <c r="N1662" t="s">
        <v>29</v>
      </c>
      <c r="O1662" t="s">
        <v>29</v>
      </c>
      <c r="P1662" t="s">
        <v>29</v>
      </c>
      <c r="Q1662" t="s">
        <v>29</v>
      </c>
      <c r="R1662" t="s">
        <v>29</v>
      </c>
      <c r="S1662">
        <v>11.8507361670655</v>
      </c>
      <c r="T1662" t="s">
        <v>29</v>
      </c>
      <c r="U1662" t="s">
        <v>29</v>
      </c>
      <c r="V1662" t="s">
        <v>29</v>
      </c>
      <c r="W1662" t="s">
        <v>29</v>
      </c>
      <c r="X1662" t="s">
        <v>29</v>
      </c>
      <c r="Y1662" t="s">
        <v>29</v>
      </c>
    </row>
    <row r="1663" spans="1:25" x14ac:dyDescent="0.2">
      <c r="A1663" t="s">
        <v>6240</v>
      </c>
      <c r="B1663" t="s">
        <v>6241</v>
      </c>
      <c r="C1663" t="s">
        <v>6242</v>
      </c>
      <c r="D1663" t="s">
        <v>6243</v>
      </c>
      <c r="E1663" t="s">
        <v>6241</v>
      </c>
      <c r="F1663" t="s">
        <v>28</v>
      </c>
      <c r="G1663" t="s">
        <v>6241</v>
      </c>
      <c r="H1663" t="str">
        <f>"srpa-72"</f>
        <v>srpa-72</v>
      </c>
      <c r="I1663" t="s">
        <v>6243</v>
      </c>
      <c r="J1663">
        <v>15.913492695839601</v>
      </c>
      <c r="K1663">
        <v>15.7419787661385</v>
      </c>
      <c r="L1663">
        <v>15.9560305383431</v>
      </c>
      <c r="M1663">
        <v>15.864617735399699</v>
      </c>
      <c r="N1663">
        <v>15.7900573637785</v>
      </c>
      <c r="O1663">
        <v>15.430497395532701</v>
      </c>
      <c r="P1663">
        <v>-0.17544316853675701</v>
      </c>
      <c r="Q1663">
        <v>-0.62538055026882999</v>
      </c>
      <c r="R1663">
        <v>0.27449421319531497</v>
      </c>
      <c r="S1663">
        <v>15.692572917288301</v>
      </c>
      <c r="T1663">
        <v>-0.81955272486473096</v>
      </c>
      <c r="U1663">
        <v>-6.8103085483545804</v>
      </c>
      <c r="V1663">
        <v>0.42325273470828101</v>
      </c>
      <c r="W1663">
        <v>0.58863889060184305</v>
      </c>
      <c r="X1663">
        <v>0</v>
      </c>
      <c r="Y1663">
        <v>0</v>
      </c>
    </row>
    <row r="1664" spans="1:25" x14ac:dyDescent="0.2">
      <c r="A1664" t="s">
        <v>6244</v>
      </c>
      <c r="B1664" t="s">
        <v>6245</v>
      </c>
      <c r="C1664" t="s">
        <v>6246</v>
      </c>
      <c r="D1664" t="s">
        <v>308</v>
      </c>
      <c r="E1664" t="s">
        <v>6245</v>
      </c>
      <c r="F1664" t="s">
        <v>28</v>
      </c>
      <c r="G1664" t="s">
        <v>6245</v>
      </c>
      <c r="H1664" t="str">
        <f>"dnj-9"</f>
        <v>dnj-9</v>
      </c>
      <c r="I1664" t="s">
        <v>308</v>
      </c>
      <c r="J1664">
        <v>14.8434832546615</v>
      </c>
      <c r="K1664">
        <v>14.5843452815164</v>
      </c>
      <c r="L1664">
        <v>14.394278826154</v>
      </c>
      <c r="M1664" t="s">
        <v>29</v>
      </c>
      <c r="N1664">
        <v>13.928345874464</v>
      </c>
      <c r="O1664">
        <v>14.278133697737699</v>
      </c>
      <c r="P1664">
        <v>-0.50412933467648102</v>
      </c>
      <c r="Q1664">
        <v>-0.98575207165739898</v>
      </c>
      <c r="R1664">
        <v>-2.2506597695563301E-2</v>
      </c>
      <c r="S1664">
        <v>14.1747899998809</v>
      </c>
      <c r="T1664">
        <v>-2.2094541875238698</v>
      </c>
      <c r="U1664">
        <v>-4.7936167730005499</v>
      </c>
      <c r="V1664">
        <v>4.12424130833818E-2</v>
      </c>
      <c r="W1664">
        <v>0.120169406313531</v>
      </c>
      <c r="X1664">
        <v>0</v>
      </c>
      <c r="Y1664">
        <v>0</v>
      </c>
    </row>
    <row r="1665" spans="1:25" x14ac:dyDescent="0.2">
      <c r="A1665" t="s">
        <v>6247</v>
      </c>
      <c r="B1665" t="s">
        <v>6248</v>
      </c>
      <c r="C1665" t="s">
        <v>6249</v>
      </c>
      <c r="D1665" t="s">
        <v>3312</v>
      </c>
      <c r="E1665" t="s">
        <v>6248</v>
      </c>
      <c r="F1665" t="s">
        <v>28</v>
      </c>
      <c r="G1665" t="s">
        <v>6248</v>
      </c>
      <c r="H1665" t="str">
        <f>"col-20"</f>
        <v>col-20</v>
      </c>
      <c r="I1665" t="s">
        <v>3312</v>
      </c>
      <c r="J1665">
        <v>12.741232556550599</v>
      </c>
      <c r="K1665" t="s">
        <v>29</v>
      </c>
      <c r="L1665">
        <v>14.4316138079043</v>
      </c>
      <c r="M1665" t="s">
        <v>29</v>
      </c>
      <c r="N1665" t="s">
        <v>29</v>
      </c>
      <c r="O1665">
        <v>14.0969568643779</v>
      </c>
      <c r="P1665">
        <v>0.51053368215043404</v>
      </c>
      <c r="Q1665">
        <v>-1.27385510387131</v>
      </c>
      <c r="R1665">
        <v>2.2949224681721798</v>
      </c>
      <c r="S1665">
        <v>13.154820109294301</v>
      </c>
      <c r="T1665">
        <v>0.61861743919402601</v>
      </c>
      <c r="U1665">
        <v>-6.5541120804373598</v>
      </c>
      <c r="V1665">
        <v>0.54694108086153403</v>
      </c>
      <c r="W1665">
        <v>0.69266668040349899</v>
      </c>
      <c r="X1665">
        <v>0</v>
      </c>
      <c r="Y1665">
        <v>0</v>
      </c>
    </row>
    <row r="1666" spans="1:25" x14ac:dyDescent="0.2">
      <c r="A1666" t="s">
        <v>6250</v>
      </c>
      <c r="B1666" t="s">
        <v>6251</v>
      </c>
      <c r="C1666" t="s">
        <v>14412</v>
      </c>
      <c r="D1666" t="s">
        <v>1954</v>
      </c>
      <c r="E1666" t="s">
        <v>6251</v>
      </c>
      <c r="F1666" t="s">
        <v>28</v>
      </c>
      <c r="G1666" t="s">
        <v>6251</v>
      </c>
      <c r="H1666" t="str">
        <f>"F25B4.7"</f>
        <v>F25B4.7</v>
      </c>
      <c r="I1666" t="s">
        <v>1954</v>
      </c>
      <c r="J1666">
        <v>13.238770569752999</v>
      </c>
      <c r="K1666">
        <v>13.441294491692201</v>
      </c>
      <c r="L1666">
        <v>13.160590349392001</v>
      </c>
      <c r="M1666">
        <v>14.1780047876829</v>
      </c>
      <c r="N1666">
        <v>12.443035776530399</v>
      </c>
      <c r="O1666">
        <v>12.538484573188899</v>
      </c>
      <c r="P1666">
        <v>-0.22704342447831</v>
      </c>
      <c r="Q1666">
        <v>-0.88293350347747102</v>
      </c>
      <c r="R1666">
        <v>0.42884665452085102</v>
      </c>
      <c r="S1666">
        <v>12.937476280438</v>
      </c>
      <c r="T1666">
        <v>-0.72756262289301998</v>
      </c>
      <c r="U1666">
        <v>-6.8825576956753203</v>
      </c>
      <c r="V1666">
        <v>0.476293548147945</v>
      </c>
      <c r="W1666">
        <v>0.63685893211977995</v>
      </c>
      <c r="X1666">
        <v>0</v>
      </c>
      <c r="Y1666">
        <v>0</v>
      </c>
    </row>
    <row r="1667" spans="1:25" x14ac:dyDescent="0.2">
      <c r="A1667" t="s">
        <v>6252</v>
      </c>
      <c r="B1667" t="s">
        <v>6253</v>
      </c>
      <c r="C1667" t="s">
        <v>6254</v>
      </c>
      <c r="D1667" t="s">
        <v>6255</v>
      </c>
      <c r="E1667" t="s">
        <v>6253</v>
      </c>
      <c r="F1667" t="s">
        <v>28</v>
      </c>
      <c r="G1667" t="s">
        <v>6253</v>
      </c>
      <c r="H1667" t="str">
        <f>"ima-2"</f>
        <v>ima-2</v>
      </c>
      <c r="I1667" t="s">
        <v>6255</v>
      </c>
      <c r="J1667">
        <v>13.0377896428176</v>
      </c>
      <c r="K1667">
        <v>12.5447082057961</v>
      </c>
      <c r="L1667">
        <v>13.4831828729143</v>
      </c>
      <c r="M1667" t="s">
        <v>29</v>
      </c>
      <c r="N1667">
        <v>12.824573718181201</v>
      </c>
      <c r="O1667">
        <v>13.087055170691</v>
      </c>
      <c r="P1667">
        <v>-6.6079129406592302E-2</v>
      </c>
      <c r="Q1667">
        <v>-0.815087553416593</v>
      </c>
      <c r="R1667">
        <v>0.68292929460340901</v>
      </c>
      <c r="S1667">
        <v>13.606722943129499</v>
      </c>
      <c r="T1667">
        <v>-0.18622055792467901</v>
      </c>
      <c r="U1667">
        <v>-7.02726515339128</v>
      </c>
      <c r="V1667">
        <v>0.854489429284088</v>
      </c>
      <c r="W1667">
        <v>0.90777950544347796</v>
      </c>
      <c r="X1667">
        <v>0</v>
      </c>
      <c r="Y1667">
        <v>0</v>
      </c>
    </row>
    <row r="1668" spans="1:25" x14ac:dyDescent="0.2">
      <c r="A1668" t="s">
        <v>6256</v>
      </c>
      <c r="B1668" t="s">
        <v>6257</v>
      </c>
      <c r="C1668" t="s">
        <v>6258</v>
      </c>
      <c r="D1668" t="s">
        <v>6259</v>
      </c>
      <c r="E1668" t="s">
        <v>6257</v>
      </c>
      <c r="F1668" t="s">
        <v>28</v>
      </c>
      <c r="G1668" t="s">
        <v>6257</v>
      </c>
      <c r="H1668" t="str">
        <f>"hrpk-1"</f>
        <v>hrpk-1</v>
      </c>
      <c r="I1668" t="s">
        <v>6259</v>
      </c>
      <c r="J1668">
        <v>15.7611383020818</v>
      </c>
      <c r="K1668">
        <v>15.6654289681594</v>
      </c>
      <c r="L1668">
        <v>15.784604694910801</v>
      </c>
      <c r="M1668">
        <v>13.754665367315299</v>
      </c>
      <c r="N1668">
        <v>15.032962434081099</v>
      </c>
      <c r="O1668">
        <v>14.9956188954641</v>
      </c>
      <c r="P1668">
        <v>-1.14264175609712</v>
      </c>
      <c r="Q1668">
        <v>-1.6806415624751401</v>
      </c>
      <c r="R1668">
        <v>-0.60464194971910601</v>
      </c>
      <c r="S1668">
        <v>15.4691436284158</v>
      </c>
      <c r="T1668">
        <v>-4.4639619533717401</v>
      </c>
      <c r="U1668">
        <v>-0.14859840582605199</v>
      </c>
      <c r="V1668">
        <v>3.0386954658445398E-4</v>
      </c>
      <c r="W1668">
        <v>3.7536489672363601E-3</v>
      </c>
      <c r="X1668">
        <v>-1</v>
      </c>
      <c r="Y1668">
        <v>-1</v>
      </c>
    </row>
    <row r="1669" spans="1:25" x14ac:dyDescent="0.2">
      <c r="A1669" t="s">
        <v>6260</v>
      </c>
      <c r="B1669" t="s">
        <v>6261</v>
      </c>
      <c r="C1669" t="s">
        <v>14413</v>
      </c>
      <c r="D1669" t="s">
        <v>6262</v>
      </c>
      <c r="E1669" t="s">
        <v>6261</v>
      </c>
      <c r="F1669" t="s">
        <v>28</v>
      </c>
      <c r="G1669" t="s">
        <v>6261</v>
      </c>
      <c r="H1669" t="str">
        <f>"F27C1.6"</f>
        <v>F27C1.6</v>
      </c>
      <c r="I1669" t="s">
        <v>6262</v>
      </c>
      <c r="J1669" t="s">
        <v>29</v>
      </c>
      <c r="K1669" t="s">
        <v>29</v>
      </c>
      <c r="L1669" t="s">
        <v>29</v>
      </c>
      <c r="M1669" t="s">
        <v>29</v>
      </c>
      <c r="N1669" t="s">
        <v>29</v>
      </c>
      <c r="O1669">
        <v>11.2443220426391</v>
      </c>
      <c r="P1669" t="s">
        <v>29</v>
      </c>
      <c r="Q1669" t="s">
        <v>29</v>
      </c>
      <c r="R1669" t="s">
        <v>29</v>
      </c>
      <c r="S1669">
        <v>11.032902874057401</v>
      </c>
      <c r="T1669" t="s">
        <v>29</v>
      </c>
      <c r="U1669" t="s">
        <v>29</v>
      </c>
      <c r="V1669" t="s">
        <v>29</v>
      </c>
      <c r="W1669" t="s">
        <v>29</v>
      </c>
      <c r="X1669" t="s">
        <v>29</v>
      </c>
      <c r="Y1669" t="s">
        <v>29</v>
      </c>
    </row>
    <row r="1670" spans="1:25" x14ac:dyDescent="0.2">
      <c r="A1670" t="s">
        <v>6263</v>
      </c>
      <c r="B1670" t="s">
        <v>6264</v>
      </c>
      <c r="C1670" t="s">
        <v>6265</v>
      </c>
      <c r="D1670" t="s">
        <v>6266</v>
      </c>
      <c r="E1670" t="s">
        <v>6264</v>
      </c>
      <c r="F1670" t="s">
        <v>28</v>
      </c>
      <c r="G1670" t="s">
        <v>6264</v>
      </c>
      <c r="H1670" t="str">
        <f>"dpy-5"</f>
        <v>dpy-5</v>
      </c>
      <c r="I1670" t="s">
        <v>6266</v>
      </c>
      <c r="J1670" t="s">
        <v>29</v>
      </c>
      <c r="K1670" t="s">
        <v>29</v>
      </c>
      <c r="L1670">
        <v>10.090521367058299</v>
      </c>
      <c r="M1670" t="s">
        <v>29</v>
      </c>
      <c r="N1670" t="s">
        <v>29</v>
      </c>
      <c r="O1670" t="s">
        <v>29</v>
      </c>
      <c r="P1670" t="s">
        <v>29</v>
      </c>
      <c r="Q1670" t="s">
        <v>29</v>
      </c>
      <c r="R1670" t="s">
        <v>29</v>
      </c>
      <c r="S1670">
        <v>10.9567852604671</v>
      </c>
      <c r="T1670" t="s">
        <v>29</v>
      </c>
      <c r="U1670" t="s">
        <v>29</v>
      </c>
      <c r="V1670" t="s">
        <v>29</v>
      </c>
      <c r="W1670" t="s">
        <v>29</v>
      </c>
      <c r="X1670" t="s">
        <v>29</v>
      </c>
      <c r="Y1670" t="s">
        <v>29</v>
      </c>
    </row>
    <row r="1671" spans="1:25" x14ac:dyDescent="0.2">
      <c r="A1671" t="s">
        <v>6267</v>
      </c>
      <c r="B1671" t="s">
        <v>6268</v>
      </c>
      <c r="C1671" t="s">
        <v>6269</v>
      </c>
      <c r="D1671" t="s">
        <v>878</v>
      </c>
      <c r="E1671" t="s">
        <v>6268</v>
      </c>
      <c r="F1671" t="s">
        <v>28</v>
      </c>
      <c r="G1671" t="s">
        <v>6268</v>
      </c>
      <c r="H1671" t="str">
        <f>"math-26"</f>
        <v>math-26</v>
      </c>
      <c r="I1671" t="s">
        <v>878</v>
      </c>
      <c r="J1671">
        <v>12.878107845178601</v>
      </c>
      <c r="K1671">
        <v>13.0795253582183</v>
      </c>
      <c r="L1671">
        <v>12.5842328153037</v>
      </c>
      <c r="M1671" t="s">
        <v>29</v>
      </c>
      <c r="N1671" t="s">
        <v>29</v>
      </c>
      <c r="O1671">
        <v>12.561333335553799</v>
      </c>
      <c r="P1671">
        <v>-0.28595533734643502</v>
      </c>
      <c r="Q1671">
        <v>-0.87992277326147395</v>
      </c>
      <c r="R1671">
        <v>0.30801209856860401</v>
      </c>
      <c r="S1671">
        <v>12.6707599233581</v>
      </c>
      <c r="T1671">
        <v>-1.0211395594302499</v>
      </c>
      <c r="U1671">
        <v>-6.2825222809628603</v>
      </c>
      <c r="V1671">
        <v>0.32247958535037902</v>
      </c>
      <c r="W1671">
        <v>0.49339929932559501</v>
      </c>
      <c r="X1671">
        <v>0</v>
      </c>
      <c r="Y1671">
        <v>0</v>
      </c>
    </row>
    <row r="1672" spans="1:25" x14ac:dyDescent="0.2">
      <c r="A1672" t="s">
        <v>6270</v>
      </c>
      <c r="B1672" t="s">
        <v>6271</v>
      </c>
      <c r="C1672" t="s">
        <v>6272</v>
      </c>
      <c r="D1672" t="s">
        <v>6273</v>
      </c>
      <c r="E1672" t="s">
        <v>6271</v>
      </c>
      <c r="F1672" t="s">
        <v>28</v>
      </c>
      <c r="G1672" t="s">
        <v>6271</v>
      </c>
      <c r="H1672" t="str">
        <f>"vha-10"</f>
        <v>vha-10</v>
      </c>
      <c r="I1672" t="s">
        <v>6273</v>
      </c>
      <c r="J1672">
        <v>11.4620113410319</v>
      </c>
      <c r="K1672">
        <v>11.7880770133056</v>
      </c>
      <c r="L1672">
        <v>10.858656167758699</v>
      </c>
      <c r="M1672">
        <v>11.635505288383801</v>
      </c>
      <c r="N1672">
        <v>14.136044723716701</v>
      </c>
      <c r="O1672">
        <v>12.3082535196459</v>
      </c>
      <c r="P1672">
        <v>1.3236863365500999</v>
      </c>
      <c r="Q1672">
        <v>0.14945615305159099</v>
      </c>
      <c r="R1672">
        <v>2.4979165200486202</v>
      </c>
      <c r="S1672">
        <v>11.9596607884733</v>
      </c>
      <c r="T1672">
        <v>2.3794789075851899</v>
      </c>
      <c r="U1672">
        <v>-4.5881166755611504</v>
      </c>
      <c r="V1672">
        <v>2.9396838821086201E-2</v>
      </c>
      <c r="W1672">
        <v>9.56206521105816E-2</v>
      </c>
      <c r="X1672">
        <v>1</v>
      </c>
      <c r="Y1672">
        <v>0</v>
      </c>
    </row>
    <row r="1673" spans="1:25" x14ac:dyDescent="0.2">
      <c r="A1673" t="s">
        <v>6274</v>
      </c>
      <c r="B1673" t="s">
        <v>6275</v>
      </c>
      <c r="C1673" t="s">
        <v>6276</v>
      </c>
      <c r="D1673" t="s">
        <v>3358</v>
      </c>
      <c r="E1673" t="s">
        <v>6275</v>
      </c>
      <c r="F1673" t="s">
        <v>28</v>
      </c>
      <c r="G1673" t="s">
        <v>6275</v>
      </c>
      <c r="H1673" t="str">
        <f>"xrep-4"</f>
        <v>xrep-4</v>
      </c>
      <c r="I1673" t="s">
        <v>3358</v>
      </c>
      <c r="J1673">
        <v>12.4948253370779</v>
      </c>
      <c r="K1673" t="s">
        <v>29</v>
      </c>
      <c r="L1673">
        <v>11.1425590818892</v>
      </c>
      <c r="M1673" t="s">
        <v>29</v>
      </c>
      <c r="N1673" t="s">
        <v>29</v>
      </c>
      <c r="O1673" t="s">
        <v>29</v>
      </c>
      <c r="P1673" t="s">
        <v>29</v>
      </c>
      <c r="Q1673" t="s">
        <v>29</v>
      </c>
      <c r="R1673" t="s">
        <v>29</v>
      </c>
      <c r="S1673">
        <v>11.343780699326601</v>
      </c>
      <c r="T1673" t="s">
        <v>29</v>
      </c>
      <c r="U1673" t="s">
        <v>29</v>
      </c>
      <c r="V1673" t="s">
        <v>29</v>
      </c>
      <c r="W1673" t="s">
        <v>29</v>
      </c>
      <c r="X1673" t="s">
        <v>29</v>
      </c>
      <c r="Y1673" t="s">
        <v>29</v>
      </c>
    </row>
    <row r="1674" spans="1:25" x14ac:dyDescent="0.2">
      <c r="A1674" t="s">
        <v>6277</v>
      </c>
      <c r="B1674" t="s">
        <v>6278</v>
      </c>
      <c r="C1674" t="s">
        <v>6279</v>
      </c>
      <c r="D1674" t="s">
        <v>1510</v>
      </c>
      <c r="E1674" t="s">
        <v>6278</v>
      </c>
      <c r="F1674" t="s">
        <v>28</v>
      </c>
      <c r="G1674" t="s">
        <v>6278</v>
      </c>
      <c r="H1674" t="str">
        <f>"cey-2"</f>
        <v>cey-2</v>
      </c>
      <c r="I1674" t="s">
        <v>1510</v>
      </c>
      <c r="J1674" t="s">
        <v>29</v>
      </c>
      <c r="K1674">
        <v>11.312197446968</v>
      </c>
      <c r="L1674">
        <v>11.5098434241612</v>
      </c>
      <c r="M1674" t="s">
        <v>29</v>
      </c>
      <c r="N1674">
        <v>12.7803132282714</v>
      </c>
      <c r="O1674" t="s">
        <v>29</v>
      </c>
      <c r="P1674">
        <v>1.3692927927067999</v>
      </c>
      <c r="Q1674">
        <v>0.488834190790564</v>
      </c>
      <c r="R1674">
        <v>2.2497513946230399</v>
      </c>
      <c r="S1674">
        <v>11.8959312625775</v>
      </c>
      <c r="T1674">
        <v>3.4270076569553001</v>
      </c>
      <c r="U1674">
        <v>-2.4893782769789401</v>
      </c>
      <c r="V1674">
        <v>5.7292474253491403E-3</v>
      </c>
      <c r="W1674">
        <v>3.08284469174924E-2</v>
      </c>
      <c r="X1674">
        <v>1</v>
      </c>
      <c r="Y1674">
        <v>1</v>
      </c>
    </row>
    <row r="1675" spans="1:25" x14ac:dyDescent="0.2">
      <c r="A1675" t="s">
        <v>6280</v>
      </c>
      <c r="B1675" t="s">
        <v>6281</v>
      </c>
      <c r="C1675" t="s">
        <v>6282</v>
      </c>
      <c r="D1675" t="s">
        <v>6283</v>
      </c>
      <c r="E1675" t="s">
        <v>6281</v>
      </c>
      <c r="F1675" t="s">
        <v>28</v>
      </c>
      <c r="G1675" t="s">
        <v>6281</v>
      </c>
      <c r="H1675" t="str">
        <f>"F46F11.1"</f>
        <v>F46F11.1</v>
      </c>
      <c r="I1675" t="s">
        <v>6283</v>
      </c>
      <c r="J1675" t="s">
        <v>29</v>
      </c>
      <c r="K1675">
        <v>11.070689215886601</v>
      </c>
      <c r="L1675">
        <v>10.627808762578701</v>
      </c>
      <c r="M1675" t="s">
        <v>29</v>
      </c>
      <c r="N1675" t="s">
        <v>29</v>
      </c>
      <c r="O1675">
        <v>11.6136130734036</v>
      </c>
      <c r="P1675">
        <v>0.76436408417095203</v>
      </c>
      <c r="Q1675">
        <v>-0.11423916196244301</v>
      </c>
      <c r="R1675">
        <v>1.6429673303043499</v>
      </c>
      <c r="S1675">
        <v>11.3102225208989</v>
      </c>
      <c r="T1675">
        <v>1.86723664358007</v>
      </c>
      <c r="U1675">
        <v>-5.1120323136338701</v>
      </c>
      <c r="V1675">
        <v>8.3107488773874597E-2</v>
      </c>
      <c r="W1675">
        <v>0.192243147108798</v>
      </c>
      <c r="X1675">
        <v>0</v>
      </c>
      <c r="Y1675">
        <v>0</v>
      </c>
    </row>
    <row r="1676" spans="1:25" x14ac:dyDescent="0.2">
      <c r="A1676" t="s">
        <v>6284</v>
      </c>
      <c r="B1676" t="s">
        <v>6285</v>
      </c>
      <c r="C1676" t="s">
        <v>14414</v>
      </c>
      <c r="D1676" t="s">
        <v>4052</v>
      </c>
      <c r="E1676" t="s">
        <v>6285</v>
      </c>
      <c r="F1676" t="s">
        <v>28</v>
      </c>
      <c r="G1676" t="s">
        <v>6285</v>
      </c>
      <c r="H1676" t="str">
        <f>"F53E10.1"</f>
        <v>F53E10.1</v>
      </c>
      <c r="I1676" t="s">
        <v>4052</v>
      </c>
      <c r="J1676">
        <v>12.9524998013489</v>
      </c>
      <c r="K1676">
        <v>13.086640792434</v>
      </c>
      <c r="L1676">
        <v>12.886445172267999</v>
      </c>
      <c r="M1676" t="s">
        <v>29</v>
      </c>
      <c r="N1676">
        <v>11.690146613806499</v>
      </c>
      <c r="O1676">
        <v>12.6470599872964</v>
      </c>
      <c r="P1676">
        <v>-0.80659195479888801</v>
      </c>
      <c r="Q1676">
        <v>-1.3209888433778101</v>
      </c>
      <c r="R1676">
        <v>-0.29219506621996699</v>
      </c>
      <c r="S1676">
        <v>12.6612289210961</v>
      </c>
      <c r="T1676">
        <v>-3.3098290701376198</v>
      </c>
      <c r="U1676">
        <v>-2.6164537559263801</v>
      </c>
      <c r="V1676">
        <v>4.1691953222099797E-3</v>
      </c>
      <c r="W1676">
        <v>2.48474422480255E-2</v>
      </c>
      <c r="X1676">
        <v>0</v>
      </c>
      <c r="Y1676">
        <v>0</v>
      </c>
    </row>
    <row r="1677" spans="1:25" x14ac:dyDescent="0.2">
      <c r="A1677" t="s">
        <v>6286</v>
      </c>
      <c r="B1677" t="s">
        <v>6287</v>
      </c>
      <c r="C1677" t="s">
        <v>14415</v>
      </c>
      <c r="D1677" t="s">
        <v>1296</v>
      </c>
      <c r="E1677" t="s">
        <v>6287</v>
      </c>
      <c r="F1677" t="s">
        <v>28</v>
      </c>
      <c r="G1677" t="s">
        <v>6287</v>
      </c>
      <c r="H1677" t="str">
        <f>"F55F8.2"</f>
        <v>F55F8.2</v>
      </c>
      <c r="I1677" t="s">
        <v>1296</v>
      </c>
      <c r="J1677">
        <v>15.0653185149497</v>
      </c>
      <c r="K1677">
        <v>15.1682756525635</v>
      </c>
      <c r="L1677">
        <v>15.321274999520201</v>
      </c>
      <c r="M1677">
        <v>15.014713364007999</v>
      </c>
      <c r="N1677">
        <v>15.606719213211701</v>
      </c>
      <c r="O1677">
        <v>15.113951910095</v>
      </c>
      <c r="P1677">
        <v>6.0171773427130801E-2</v>
      </c>
      <c r="Q1677">
        <v>-0.425245438499328</v>
      </c>
      <c r="R1677">
        <v>0.54558898535358902</v>
      </c>
      <c r="S1677">
        <v>15.637065108332701</v>
      </c>
      <c r="T1677">
        <v>0.26053744700333598</v>
      </c>
      <c r="U1677">
        <v>-7.1207470507129598</v>
      </c>
      <c r="V1677">
        <v>0.79742362049381499</v>
      </c>
      <c r="W1677">
        <v>0.87314595523070604</v>
      </c>
      <c r="X1677">
        <v>0</v>
      </c>
      <c r="Y1677">
        <v>0</v>
      </c>
    </row>
    <row r="1678" spans="1:25" x14ac:dyDescent="0.2">
      <c r="A1678" t="s">
        <v>6288</v>
      </c>
      <c r="B1678" t="s">
        <v>6289</v>
      </c>
      <c r="C1678" t="s">
        <v>6290</v>
      </c>
      <c r="D1678" t="s">
        <v>6291</v>
      </c>
      <c r="E1678" t="s">
        <v>6289</v>
      </c>
      <c r="F1678" t="s">
        <v>28</v>
      </c>
      <c r="G1678" t="s">
        <v>6289</v>
      </c>
      <c r="H1678" t="str">
        <f>"F55F8.3"</f>
        <v>F55F8.3</v>
      </c>
      <c r="I1678" t="s">
        <v>6291</v>
      </c>
      <c r="J1678">
        <v>14.536871430195299</v>
      </c>
      <c r="K1678">
        <v>14.4626829067054</v>
      </c>
      <c r="L1678">
        <v>14.2028073491883</v>
      </c>
      <c r="M1678">
        <v>14.1233393152727</v>
      </c>
      <c r="N1678">
        <v>13.4345095602119</v>
      </c>
      <c r="O1678">
        <v>13.9519230067345</v>
      </c>
      <c r="P1678">
        <v>-0.56419660129000004</v>
      </c>
      <c r="Q1678">
        <v>-1.0500282971433901</v>
      </c>
      <c r="R1678">
        <v>-7.8364905436608498E-2</v>
      </c>
      <c r="S1678">
        <v>14.1857983986483</v>
      </c>
      <c r="T1678">
        <v>-2.4408277593302801</v>
      </c>
      <c r="U1678">
        <v>-4.4600728488976502</v>
      </c>
      <c r="V1678">
        <v>2.52835832846529E-2</v>
      </c>
      <c r="W1678">
        <v>8.6139560624129599E-2</v>
      </c>
      <c r="X1678">
        <v>0</v>
      </c>
      <c r="Y1678">
        <v>0</v>
      </c>
    </row>
    <row r="1679" spans="1:25" x14ac:dyDescent="0.2">
      <c r="A1679" t="s">
        <v>6292</v>
      </c>
      <c r="B1679" t="s">
        <v>6293</v>
      </c>
      <c r="C1679" t="s">
        <v>6294</v>
      </c>
      <c r="D1679" t="s">
        <v>6295</v>
      </c>
      <c r="E1679" t="s">
        <v>6293</v>
      </c>
      <c r="F1679" t="s">
        <v>28</v>
      </c>
      <c r="G1679" t="s">
        <v>6293</v>
      </c>
      <c r="H1679" t="str">
        <f>"wdr-12"</f>
        <v>wdr-12</v>
      </c>
      <c r="I1679" t="s">
        <v>6295</v>
      </c>
      <c r="J1679">
        <v>11.961334427365101</v>
      </c>
      <c r="K1679">
        <v>11.1513148615989</v>
      </c>
      <c r="L1679">
        <v>11.2576708082957</v>
      </c>
      <c r="M1679" t="s">
        <v>29</v>
      </c>
      <c r="N1679" t="s">
        <v>29</v>
      </c>
      <c r="O1679">
        <v>11.375364223612401</v>
      </c>
      <c r="P1679">
        <v>-8.1409142140863394E-2</v>
      </c>
      <c r="Q1679">
        <v>-0.90165243350408597</v>
      </c>
      <c r="R1679">
        <v>0.73883414922235902</v>
      </c>
      <c r="S1679">
        <v>12.1571603136635</v>
      </c>
      <c r="T1679">
        <v>-0.21302098282774601</v>
      </c>
      <c r="U1679">
        <v>-6.7887066668307403</v>
      </c>
      <c r="V1679">
        <v>0.83440424927918</v>
      </c>
      <c r="W1679">
        <v>0.89515446764679396</v>
      </c>
      <c r="X1679">
        <v>0</v>
      </c>
      <c r="Y1679">
        <v>0</v>
      </c>
    </row>
    <row r="1680" spans="1:25" x14ac:dyDescent="0.2">
      <c r="A1680" t="s">
        <v>6296</v>
      </c>
      <c r="B1680" t="s">
        <v>6297</v>
      </c>
      <c r="C1680" t="s">
        <v>6298</v>
      </c>
      <c r="D1680" t="s">
        <v>6299</v>
      </c>
      <c r="E1680" t="s">
        <v>6297</v>
      </c>
      <c r="F1680" t="s">
        <v>28</v>
      </c>
      <c r="G1680" t="s">
        <v>6297</v>
      </c>
      <c r="H1680" t="str">
        <f>"spd-5"</f>
        <v>spd-5</v>
      </c>
      <c r="I1680" t="s">
        <v>6299</v>
      </c>
      <c r="J1680">
        <v>13.758039892349499</v>
      </c>
      <c r="K1680">
        <v>13.7986821739196</v>
      </c>
      <c r="L1680" t="s">
        <v>29</v>
      </c>
      <c r="M1680" t="s">
        <v>29</v>
      </c>
      <c r="N1680" t="s">
        <v>29</v>
      </c>
      <c r="O1680">
        <v>14.138846380473201</v>
      </c>
      <c r="P1680">
        <v>0.36048534733860099</v>
      </c>
      <c r="Q1680">
        <v>-0.67937755215295703</v>
      </c>
      <c r="R1680">
        <v>1.40034824683016</v>
      </c>
      <c r="S1680">
        <v>13.765759918176499</v>
      </c>
      <c r="T1680">
        <v>0.74405223543620702</v>
      </c>
      <c r="U1680">
        <v>-6.4675298923473097</v>
      </c>
      <c r="V1680">
        <v>0.469241404573214</v>
      </c>
      <c r="W1680">
        <v>0.63028916101971799</v>
      </c>
      <c r="X1680">
        <v>0</v>
      </c>
      <c r="Y1680">
        <v>0</v>
      </c>
    </row>
    <row r="1681" spans="1:25" x14ac:dyDescent="0.2">
      <c r="A1681" t="s">
        <v>6300</v>
      </c>
      <c r="B1681" t="s">
        <v>6301</v>
      </c>
      <c r="C1681" t="s">
        <v>6302</v>
      </c>
      <c r="D1681" t="s">
        <v>6303</v>
      </c>
      <c r="E1681" t="s">
        <v>6301</v>
      </c>
      <c r="F1681" t="s">
        <v>28</v>
      </c>
      <c r="G1681" t="s">
        <v>6301</v>
      </c>
      <c r="H1681" t="str">
        <f>"fncm-1"</f>
        <v>fncm-1</v>
      </c>
      <c r="I1681" t="s">
        <v>6303</v>
      </c>
      <c r="J1681" t="s">
        <v>29</v>
      </c>
      <c r="K1681" t="s">
        <v>29</v>
      </c>
      <c r="L1681" t="s">
        <v>29</v>
      </c>
      <c r="M1681" t="s">
        <v>29</v>
      </c>
      <c r="N1681" t="s">
        <v>29</v>
      </c>
      <c r="O1681" t="s">
        <v>29</v>
      </c>
      <c r="P1681" t="s">
        <v>29</v>
      </c>
      <c r="Q1681" t="s">
        <v>29</v>
      </c>
      <c r="R1681" t="s">
        <v>29</v>
      </c>
      <c r="S1681">
        <v>10.753083697306</v>
      </c>
      <c r="T1681" t="s">
        <v>29</v>
      </c>
      <c r="U1681" t="s">
        <v>29</v>
      </c>
      <c r="V1681" t="s">
        <v>29</v>
      </c>
      <c r="W1681" t="s">
        <v>29</v>
      </c>
      <c r="X1681" t="s">
        <v>29</v>
      </c>
      <c r="Y1681" t="s">
        <v>29</v>
      </c>
    </row>
    <row r="1682" spans="1:25" x14ac:dyDescent="0.2">
      <c r="A1682" t="s">
        <v>6304</v>
      </c>
      <c r="B1682" t="s">
        <v>6305</v>
      </c>
      <c r="C1682" t="s">
        <v>6306</v>
      </c>
      <c r="D1682" t="s">
        <v>6307</v>
      </c>
      <c r="E1682" t="s">
        <v>6305</v>
      </c>
      <c r="F1682" t="s">
        <v>28</v>
      </c>
      <c r="G1682" t="s">
        <v>6305</v>
      </c>
      <c r="H1682" t="str">
        <f>"mrpl-24"</f>
        <v>mrpl-24</v>
      </c>
      <c r="I1682" t="s">
        <v>6307</v>
      </c>
      <c r="J1682" t="s">
        <v>29</v>
      </c>
      <c r="K1682" t="s">
        <v>29</v>
      </c>
      <c r="L1682">
        <v>10.5043290314856</v>
      </c>
      <c r="M1682" t="s">
        <v>29</v>
      </c>
      <c r="N1682" t="s">
        <v>29</v>
      </c>
      <c r="O1682" t="s">
        <v>29</v>
      </c>
      <c r="P1682" t="s">
        <v>29</v>
      </c>
      <c r="Q1682" t="s">
        <v>29</v>
      </c>
      <c r="R1682" t="s">
        <v>29</v>
      </c>
      <c r="S1682">
        <v>11.423506144697001</v>
      </c>
      <c r="T1682" t="s">
        <v>29</v>
      </c>
      <c r="U1682" t="s">
        <v>29</v>
      </c>
      <c r="V1682" t="s">
        <v>29</v>
      </c>
      <c r="W1682" t="s">
        <v>29</v>
      </c>
      <c r="X1682" t="s">
        <v>29</v>
      </c>
      <c r="Y1682" t="s">
        <v>29</v>
      </c>
    </row>
    <row r="1683" spans="1:25" x14ac:dyDescent="0.2">
      <c r="A1683" t="s">
        <v>6308</v>
      </c>
      <c r="B1683" t="s">
        <v>6309</v>
      </c>
      <c r="C1683" t="s">
        <v>14416</v>
      </c>
      <c r="D1683" t="s">
        <v>304</v>
      </c>
      <c r="E1683" t="s">
        <v>6309</v>
      </c>
      <c r="F1683" t="s">
        <v>28</v>
      </c>
      <c r="G1683" t="s">
        <v>6309</v>
      </c>
      <c r="H1683" t="str">
        <f>"F59A3.12"</f>
        <v>F59A3.12</v>
      </c>
      <c r="I1683" t="s">
        <v>304</v>
      </c>
      <c r="J1683" t="s">
        <v>29</v>
      </c>
      <c r="K1683">
        <v>12.405359199396299</v>
      </c>
      <c r="L1683">
        <v>11.2212358689652</v>
      </c>
      <c r="M1683" t="s">
        <v>29</v>
      </c>
      <c r="N1683" t="s">
        <v>29</v>
      </c>
      <c r="O1683" t="s">
        <v>29</v>
      </c>
      <c r="P1683" t="s">
        <v>29</v>
      </c>
      <c r="Q1683" t="s">
        <v>29</v>
      </c>
      <c r="R1683" t="s">
        <v>29</v>
      </c>
      <c r="S1683">
        <v>12.522075958958601</v>
      </c>
      <c r="T1683" t="s">
        <v>29</v>
      </c>
      <c r="U1683" t="s">
        <v>29</v>
      </c>
      <c r="V1683" t="s">
        <v>29</v>
      </c>
      <c r="W1683" t="s">
        <v>29</v>
      </c>
      <c r="X1683" t="s">
        <v>29</v>
      </c>
      <c r="Y1683" t="s">
        <v>29</v>
      </c>
    </row>
    <row r="1684" spans="1:25" x14ac:dyDescent="0.2">
      <c r="A1684" t="s">
        <v>6310</v>
      </c>
      <c r="B1684" t="s">
        <v>6311</v>
      </c>
      <c r="C1684" t="s">
        <v>14417</v>
      </c>
      <c r="D1684" t="s">
        <v>6312</v>
      </c>
      <c r="E1684" t="s">
        <v>6311</v>
      </c>
      <c r="F1684" t="s">
        <v>28</v>
      </c>
      <c r="G1684" t="s">
        <v>6311</v>
      </c>
      <c r="H1684" t="str">
        <f>"K11H12.8"</f>
        <v>K11H12.8</v>
      </c>
      <c r="I1684" t="s">
        <v>6312</v>
      </c>
      <c r="J1684">
        <v>13.4206296122249</v>
      </c>
      <c r="K1684">
        <v>11.744707234728001</v>
      </c>
      <c r="L1684">
        <v>11.821358466309</v>
      </c>
      <c r="M1684" t="s">
        <v>29</v>
      </c>
      <c r="N1684" t="s">
        <v>29</v>
      </c>
      <c r="O1684">
        <v>11.287286973474201</v>
      </c>
      <c r="P1684">
        <v>-1.0416114642798</v>
      </c>
      <c r="Q1684">
        <v>-2.7268020771271502</v>
      </c>
      <c r="R1684">
        <v>0.64357914856754705</v>
      </c>
      <c r="S1684">
        <v>12.378012636514899</v>
      </c>
      <c r="T1684">
        <v>-1.4007512707273699</v>
      </c>
      <c r="U1684">
        <v>-5.8394329687092199</v>
      </c>
      <c r="V1684">
        <v>0.19519473869637699</v>
      </c>
      <c r="W1684">
        <v>0.35377545814158801</v>
      </c>
      <c r="X1684">
        <v>0</v>
      </c>
      <c r="Y1684">
        <v>0</v>
      </c>
    </row>
    <row r="1685" spans="1:25" x14ac:dyDescent="0.2">
      <c r="A1685" t="s">
        <v>6313</v>
      </c>
      <c r="B1685" t="s">
        <v>6314</v>
      </c>
      <c r="C1685" t="s">
        <v>6315</v>
      </c>
      <c r="D1685" t="s">
        <v>6316</v>
      </c>
      <c r="E1685" t="s">
        <v>6314</v>
      </c>
      <c r="F1685" t="s">
        <v>28</v>
      </c>
      <c r="G1685" t="s">
        <v>6314</v>
      </c>
      <c r="H1685" t="str">
        <f>"rpl-15"</f>
        <v>rpl-15</v>
      </c>
      <c r="I1685" t="s">
        <v>6316</v>
      </c>
      <c r="J1685">
        <v>21.551596497522102</v>
      </c>
      <c r="K1685">
        <v>21.895718041979102</v>
      </c>
      <c r="L1685">
        <v>21.978778010451599</v>
      </c>
      <c r="M1685">
        <v>21.393243503628401</v>
      </c>
      <c r="N1685">
        <v>21.972516418235401</v>
      </c>
      <c r="O1685">
        <v>21.511627875876101</v>
      </c>
      <c r="P1685">
        <v>-0.182901584070983</v>
      </c>
      <c r="Q1685">
        <v>-0.61242467790771304</v>
      </c>
      <c r="R1685">
        <v>0.24662150976574701</v>
      </c>
      <c r="S1685">
        <v>22.134639267221001</v>
      </c>
      <c r="T1685">
        <v>-0.89500087684864604</v>
      </c>
      <c r="U1685">
        <v>-6.7451201124536002</v>
      </c>
      <c r="V1685">
        <v>0.38266732964630901</v>
      </c>
      <c r="W1685">
        <v>0.55010761974032796</v>
      </c>
      <c r="X1685">
        <v>0</v>
      </c>
      <c r="Y1685">
        <v>0</v>
      </c>
    </row>
    <row r="1686" spans="1:25" x14ac:dyDescent="0.2">
      <c r="A1686" t="s">
        <v>6317</v>
      </c>
      <c r="B1686" t="s">
        <v>6318</v>
      </c>
      <c r="C1686" t="s">
        <v>6319</v>
      </c>
      <c r="D1686" t="s">
        <v>6320</v>
      </c>
      <c r="E1686" t="s">
        <v>6318</v>
      </c>
      <c r="F1686" t="s">
        <v>28</v>
      </c>
      <c r="G1686" t="s">
        <v>6318</v>
      </c>
      <c r="H1686" t="str">
        <f>"K11H12.1"</f>
        <v>K11H12.1</v>
      </c>
      <c r="I1686" t="s">
        <v>6320</v>
      </c>
      <c r="J1686">
        <v>12.981081388729899</v>
      </c>
      <c r="K1686">
        <v>12.504516439388</v>
      </c>
      <c r="L1686">
        <v>12.5449415761837</v>
      </c>
      <c r="M1686" t="s">
        <v>29</v>
      </c>
      <c r="N1686" t="s">
        <v>29</v>
      </c>
      <c r="O1686">
        <v>13.6306810243975</v>
      </c>
      <c r="P1686">
        <v>0.95383455629696501</v>
      </c>
      <c r="Q1686">
        <v>0.107893280015564</v>
      </c>
      <c r="R1686">
        <v>1.7997758325783699</v>
      </c>
      <c r="S1686">
        <v>12.6618506072623</v>
      </c>
      <c r="T1686">
        <v>2.3915659748647502</v>
      </c>
      <c r="U1686">
        <v>-4.25219712440588</v>
      </c>
      <c r="V1686">
        <v>2.9498528822833901E-2</v>
      </c>
      <c r="W1686">
        <v>9.5740269208030401E-2</v>
      </c>
      <c r="X1686">
        <v>0</v>
      </c>
      <c r="Y1686">
        <v>0</v>
      </c>
    </row>
    <row r="1687" spans="1:25" x14ac:dyDescent="0.2">
      <c r="A1687" t="s">
        <v>6321</v>
      </c>
      <c r="B1687" t="s">
        <v>6322</v>
      </c>
      <c r="C1687" t="s">
        <v>6323</v>
      </c>
      <c r="D1687" t="s">
        <v>6324</v>
      </c>
      <c r="E1687" t="s">
        <v>6322</v>
      </c>
      <c r="F1687" t="s">
        <v>28</v>
      </c>
      <c r="G1687" t="s">
        <v>6322</v>
      </c>
      <c r="H1687" t="str">
        <f>"ostd-1"</f>
        <v>ostd-1</v>
      </c>
      <c r="I1687" t="s">
        <v>6324</v>
      </c>
      <c r="J1687">
        <v>15.8470236087953</v>
      </c>
      <c r="K1687">
        <v>15.636076320866</v>
      </c>
      <c r="L1687">
        <v>15.658902382878001</v>
      </c>
      <c r="M1687">
        <v>15.5220810898702</v>
      </c>
      <c r="N1687">
        <v>15.328539285114701</v>
      </c>
      <c r="O1687">
        <v>15.651970543377301</v>
      </c>
      <c r="P1687">
        <v>-0.21313713139235799</v>
      </c>
      <c r="Q1687">
        <v>-0.54863644540162304</v>
      </c>
      <c r="R1687">
        <v>0.122362182616907</v>
      </c>
      <c r="S1687">
        <v>15.568473573565599</v>
      </c>
      <c r="T1687">
        <v>-1.335242025688</v>
      </c>
      <c r="U1687">
        <v>-6.2646511414781401</v>
      </c>
      <c r="V1687">
        <v>0.19853499692148999</v>
      </c>
      <c r="W1687">
        <v>0.35784870698937699</v>
      </c>
      <c r="X1687">
        <v>0</v>
      </c>
      <c r="Y1687">
        <v>0</v>
      </c>
    </row>
    <row r="1688" spans="1:25" x14ac:dyDescent="0.2">
      <c r="A1688" t="s">
        <v>6325</v>
      </c>
      <c r="B1688" t="s">
        <v>6326</v>
      </c>
      <c r="C1688" t="s">
        <v>6327</v>
      </c>
      <c r="D1688" t="s">
        <v>603</v>
      </c>
      <c r="E1688" t="s">
        <v>6326</v>
      </c>
      <c r="F1688" t="s">
        <v>28</v>
      </c>
      <c r="G1688" t="s">
        <v>6326</v>
      </c>
      <c r="H1688" t="str">
        <f>"fubl-4"</f>
        <v>fubl-4</v>
      </c>
      <c r="I1688" t="s">
        <v>603</v>
      </c>
      <c r="J1688">
        <v>11.6008076384331</v>
      </c>
      <c r="K1688" t="s">
        <v>29</v>
      </c>
      <c r="L1688">
        <v>12.3070881163574</v>
      </c>
      <c r="M1688">
        <v>13.5363530651757</v>
      </c>
      <c r="N1688">
        <v>11.905556662288699</v>
      </c>
      <c r="O1688">
        <v>14.282822269842001</v>
      </c>
      <c r="P1688">
        <v>1.2876294550402101</v>
      </c>
      <c r="Q1688">
        <v>-0.14377464611527099</v>
      </c>
      <c r="R1688">
        <v>2.7190335561957002</v>
      </c>
      <c r="S1688">
        <v>13.2025424731592</v>
      </c>
      <c r="T1688">
        <v>1.9185373190643999</v>
      </c>
      <c r="U1688">
        <v>-5.3050030403337303</v>
      </c>
      <c r="V1688">
        <v>7.4415528519038404E-2</v>
      </c>
      <c r="W1688">
        <v>0.17884222948033701</v>
      </c>
      <c r="X1688">
        <v>0</v>
      </c>
      <c r="Y1688">
        <v>0</v>
      </c>
    </row>
    <row r="1689" spans="1:25" x14ac:dyDescent="0.2">
      <c r="A1689" t="s">
        <v>6328</v>
      </c>
      <c r="B1689" t="s">
        <v>6329</v>
      </c>
      <c r="C1689" t="s">
        <v>6330</v>
      </c>
      <c r="D1689" t="s">
        <v>1510</v>
      </c>
      <c r="E1689" t="s">
        <v>6329</v>
      </c>
      <c r="F1689" t="s">
        <v>28</v>
      </c>
      <c r="G1689" t="s">
        <v>6329</v>
      </c>
      <c r="H1689" t="str">
        <f>"cey-3"</f>
        <v>cey-3</v>
      </c>
      <c r="I1689" t="s">
        <v>1510</v>
      </c>
      <c r="J1689">
        <v>12.608650707239301</v>
      </c>
      <c r="K1689" t="s">
        <v>29</v>
      </c>
      <c r="L1689">
        <v>12.795211398964</v>
      </c>
      <c r="M1689" t="s">
        <v>29</v>
      </c>
      <c r="N1689">
        <v>13.315334276377399</v>
      </c>
      <c r="O1689">
        <v>12.539703093897399</v>
      </c>
      <c r="P1689">
        <v>0.225587632035717</v>
      </c>
      <c r="Q1689">
        <v>-0.80969637167928099</v>
      </c>
      <c r="R1689">
        <v>1.2608716357507199</v>
      </c>
      <c r="S1689">
        <v>13.379628206565799</v>
      </c>
      <c r="T1689">
        <v>0.462173788648015</v>
      </c>
      <c r="U1689">
        <v>-6.8433044176255899</v>
      </c>
      <c r="V1689">
        <v>0.65021976831139605</v>
      </c>
      <c r="W1689">
        <v>0.76709273707513403</v>
      </c>
      <c r="X1689">
        <v>0</v>
      </c>
      <c r="Y1689">
        <v>0</v>
      </c>
    </row>
    <row r="1690" spans="1:25" x14ac:dyDescent="0.2">
      <c r="A1690" t="s">
        <v>6331</v>
      </c>
      <c r="B1690" t="s">
        <v>6332</v>
      </c>
      <c r="C1690" t="s">
        <v>6333</v>
      </c>
      <c r="D1690" t="s">
        <v>1035</v>
      </c>
      <c r="E1690" t="s">
        <v>6332</v>
      </c>
      <c r="F1690" t="s">
        <v>28</v>
      </c>
      <c r="G1690" t="s">
        <v>6332</v>
      </c>
      <c r="H1690" t="str">
        <f>"klp-15"</f>
        <v>klp-15</v>
      </c>
      <c r="I1690" t="s">
        <v>1035</v>
      </c>
      <c r="J1690">
        <v>13.0763235132113</v>
      </c>
      <c r="K1690">
        <v>13.171106324607299</v>
      </c>
      <c r="L1690">
        <v>13.7467104915824</v>
      </c>
      <c r="M1690" t="s">
        <v>29</v>
      </c>
      <c r="N1690">
        <v>13.301870383664101</v>
      </c>
      <c r="O1690" t="s">
        <v>29</v>
      </c>
      <c r="P1690">
        <v>-2.9509726136224001E-2</v>
      </c>
      <c r="Q1690">
        <v>-0.929989349816851</v>
      </c>
      <c r="R1690">
        <v>0.87096989754440302</v>
      </c>
      <c r="S1690">
        <v>14.115816609419699</v>
      </c>
      <c r="T1690">
        <v>-7.0336893272207393E-2</v>
      </c>
      <c r="U1690">
        <v>-6.8100808429377304</v>
      </c>
      <c r="V1690">
        <v>0.94492779936329696</v>
      </c>
      <c r="W1690">
        <v>0.96820219468574698</v>
      </c>
      <c r="X1690">
        <v>0</v>
      </c>
      <c r="Y1690">
        <v>0</v>
      </c>
    </row>
    <row r="1691" spans="1:25" x14ac:dyDescent="0.2">
      <c r="A1691" t="s">
        <v>6334</v>
      </c>
      <c r="B1691" t="s">
        <v>6335</v>
      </c>
      <c r="C1691" t="s">
        <v>6336</v>
      </c>
      <c r="D1691" t="s">
        <v>6337</v>
      </c>
      <c r="E1691" t="s">
        <v>6335</v>
      </c>
      <c r="F1691" t="s">
        <v>28</v>
      </c>
      <c r="G1691" t="s">
        <v>6335</v>
      </c>
      <c r="H1691" t="str">
        <f>"ctnb-1"</f>
        <v>ctnb-1</v>
      </c>
      <c r="I1691" t="s">
        <v>6337</v>
      </c>
      <c r="J1691" t="s">
        <v>29</v>
      </c>
      <c r="K1691" t="s">
        <v>29</v>
      </c>
      <c r="L1691" t="s">
        <v>29</v>
      </c>
      <c r="M1691" t="s">
        <v>29</v>
      </c>
      <c r="N1691" t="s">
        <v>29</v>
      </c>
      <c r="O1691">
        <v>11.462784204488999</v>
      </c>
      <c r="P1691" t="s">
        <v>29</v>
      </c>
      <c r="Q1691" t="s">
        <v>29</v>
      </c>
      <c r="R1691" t="s">
        <v>29</v>
      </c>
      <c r="S1691">
        <v>11.264564892661401</v>
      </c>
      <c r="T1691" t="s">
        <v>29</v>
      </c>
      <c r="U1691" t="s">
        <v>29</v>
      </c>
      <c r="V1691" t="s">
        <v>29</v>
      </c>
      <c r="W1691" t="s">
        <v>29</v>
      </c>
      <c r="X1691" t="s">
        <v>29</v>
      </c>
      <c r="Y1691" t="s">
        <v>29</v>
      </c>
    </row>
    <row r="1692" spans="1:25" x14ac:dyDescent="0.2">
      <c r="A1692" t="s">
        <v>6338</v>
      </c>
      <c r="B1692" t="s">
        <v>6339</v>
      </c>
      <c r="C1692" t="s">
        <v>14418</v>
      </c>
      <c r="D1692" t="s">
        <v>6340</v>
      </c>
      <c r="E1692" t="s">
        <v>6339</v>
      </c>
      <c r="F1692" t="s">
        <v>28</v>
      </c>
      <c r="G1692" t="s">
        <v>6339</v>
      </c>
      <c r="H1692" t="str">
        <f>"M01E11.1"</f>
        <v>M01E11.1</v>
      </c>
      <c r="I1692" t="s">
        <v>6340</v>
      </c>
      <c r="J1692">
        <v>12.2549064021674</v>
      </c>
      <c r="K1692">
        <v>12.9089155086043</v>
      </c>
      <c r="L1692">
        <v>13.253641746667</v>
      </c>
      <c r="M1692" t="s">
        <v>29</v>
      </c>
      <c r="N1692" t="s">
        <v>29</v>
      </c>
      <c r="O1692">
        <v>12.7215388407368</v>
      </c>
      <c r="P1692">
        <v>-8.4282378409412204E-2</v>
      </c>
      <c r="Q1692">
        <v>-0.83392474513014503</v>
      </c>
      <c r="R1692">
        <v>0.66535998831132004</v>
      </c>
      <c r="S1692">
        <v>13.554956543793301</v>
      </c>
      <c r="T1692">
        <v>-0.2397862442434</v>
      </c>
      <c r="U1692">
        <v>-6.7824444905233801</v>
      </c>
      <c r="V1692">
        <v>0.81376447276293595</v>
      </c>
      <c r="W1692">
        <v>0.88362708225216402</v>
      </c>
      <c r="X1692">
        <v>0</v>
      </c>
      <c r="Y1692">
        <v>0</v>
      </c>
    </row>
    <row r="1693" spans="1:25" x14ac:dyDescent="0.2">
      <c r="A1693" t="s">
        <v>6341</v>
      </c>
      <c r="B1693" t="s">
        <v>6342</v>
      </c>
      <c r="C1693" t="s">
        <v>6343</v>
      </c>
      <c r="D1693" t="s">
        <v>214</v>
      </c>
      <c r="E1693" t="s">
        <v>6342</v>
      </c>
      <c r="F1693" t="s">
        <v>28</v>
      </c>
      <c r="G1693" t="s">
        <v>6342</v>
      </c>
      <c r="H1693" t="str">
        <f>"rbx-2"</f>
        <v>rbx-2</v>
      </c>
      <c r="I1693" t="s">
        <v>214</v>
      </c>
      <c r="J1693" t="s">
        <v>29</v>
      </c>
      <c r="K1693" t="s">
        <v>29</v>
      </c>
      <c r="L1693" t="s">
        <v>29</v>
      </c>
      <c r="M1693" t="s">
        <v>29</v>
      </c>
      <c r="N1693" t="s">
        <v>29</v>
      </c>
      <c r="O1693">
        <v>9.6413806476559092</v>
      </c>
      <c r="P1693" t="s">
        <v>29</v>
      </c>
      <c r="Q1693" t="s">
        <v>29</v>
      </c>
      <c r="R1693" t="s">
        <v>29</v>
      </c>
      <c r="S1693">
        <v>9.5266009522981108</v>
      </c>
      <c r="T1693" t="s">
        <v>29</v>
      </c>
      <c r="U1693" t="s">
        <v>29</v>
      </c>
      <c r="V1693" t="s">
        <v>29</v>
      </c>
      <c r="W1693" t="s">
        <v>29</v>
      </c>
      <c r="X1693" t="s">
        <v>29</v>
      </c>
      <c r="Y1693" t="s">
        <v>29</v>
      </c>
    </row>
    <row r="1694" spans="1:25" x14ac:dyDescent="0.2">
      <c r="A1694" t="s">
        <v>6344</v>
      </c>
      <c r="B1694" t="s">
        <v>6345</v>
      </c>
      <c r="C1694" t="s">
        <v>6346</v>
      </c>
      <c r="D1694" t="s">
        <v>6347</v>
      </c>
      <c r="E1694" t="s">
        <v>6345</v>
      </c>
      <c r="F1694" t="s">
        <v>28</v>
      </c>
      <c r="G1694" t="s">
        <v>6345</v>
      </c>
      <c r="H1694" t="str">
        <f>"eppl-1"</f>
        <v>eppl-1</v>
      </c>
      <c r="I1694" t="s">
        <v>6347</v>
      </c>
      <c r="J1694">
        <v>12.121889138834099</v>
      </c>
      <c r="K1694">
        <v>12.2006373694323</v>
      </c>
      <c r="L1694">
        <v>12.5332076054664</v>
      </c>
      <c r="M1694">
        <v>13.0074932986628</v>
      </c>
      <c r="N1694">
        <v>12.881927463467299</v>
      </c>
      <c r="O1694">
        <v>12.570192830323199</v>
      </c>
      <c r="P1694">
        <v>0.53462649290683295</v>
      </c>
      <c r="Q1694">
        <v>-4.0391591289732597E-2</v>
      </c>
      <c r="R1694">
        <v>1.1096445771034</v>
      </c>
      <c r="S1694">
        <v>12.693345646183101</v>
      </c>
      <c r="T1694">
        <v>1.9541661482042501</v>
      </c>
      <c r="U1694">
        <v>-5.3409306138617803</v>
      </c>
      <c r="V1694">
        <v>6.64916427456647E-2</v>
      </c>
      <c r="W1694">
        <v>0.16634199590108101</v>
      </c>
      <c r="X1694">
        <v>0</v>
      </c>
      <c r="Y1694">
        <v>0</v>
      </c>
    </row>
    <row r="1695" spans="1:25" x14ac:dyDescent="0.2">
      <c r="A1695" t="s">
        <v>6348</v>
      </c>
      <c r="B1695" t="s">
        <v>6349</v>
      </c>
      <c r="C1695" t="s">
        <v>6350</v>
      </c>
      <c r="D1695" t="s">
        <v>6351</v>
      </c>
      <c r="E1695" t="s">
        <v>6349</v>
      </c>
      <c r="F1695" t="s">
        <v>28</v>
      </c>
      <c r="G1695" t="s">
        <v>6349</v>
      </c>
      <c r="H1695" t="str">
        <f>"T01D1.4"</f>
        <v>T01D1.4</v>
      </c>
      <c r="I1695" t="s">
        <v>6351</v>
      </c>
      <c r="J1695">
        <v>12.416653272133299</v>
      </c>
      <c r="K1695" t="s">
        <v>29</v>
      </c>
      <c r="L1695" t="s">
        <v>29</v>
      </c>
      <c r="M1695" t="s">
        <v>29</v>
      </c>
      <c r="N1695" t="s">
        <v>29</v>
      </c>
      <c r="O1695" t="s">
        <v>29</v>
      </c>
      <c r="P1695" t="s">
        <v>29</v>
      </c>
      <c r="Q1695" t="s">
        <v>29</v>
      </c>
      <c r="R1695" t="s">
        <v>29</v>
      </c>
      <c r="S1695">
        <v>11.8908815687487</v>
      </c>
      <c r="T1695" t="s">
        <v>29</v>
      </c>
      <c r="U1695" t="s">
        <v>29</v>
      </c>
      <c r="V1695" t="s">
        <v>29</v>
      </c>
      <c r="W1695" t="s">
        <v>29</v>
      </c>
      <c r="X1695" t="s">
        <v>29</v>
      </c>
      <c r="Y1695" t="s">
        <v>29</v>
      </c>
    </row>
    <row r="1696" spans="1:25" x14ac:dyDescent="0.2">
      <c r="A1696" t="s">
        <v>6352</v>
      </c>
      <c r="B1696" t="s">
        <v>6353</v>
      </c>
      <c r="C1696" t="s">
        <v>6354</v>
      </c>
      <c r="D1696" t="s">
        <v>6355</v>
      </c>
      <c r="E1696" t="s">
        <v>6353</v>
      </c>
      <c r="F1696" t="s">
        <v>28</v>
      </c>
      <c r="G1696" t="s">
        <v>6353</v>
      </c>
      <c r="H1696" t="str">
        <f>"gsp-4"</f>
        <v>gsp-4</v>
      </c>
      <c r="I1696" t="s">
        <v>6355</v>
      </c>
      <c r="J1696">
        <v>12.9346847065401</v>
      </c>
      <c r="K1696" t="s">
        <v>29</v>
      </c>
      <c r="L1696">
        <v>12.7227134685929</v>
      </c>
      <c r="M1696" t="s">
        <v>29</v>
      </c>
      <c r="N1696" t="s">
        <v>29</v>
      </c>
      <c r="O1696">
        <v>12.811438158984799</v>
      </c>
      <c r="P1696">
        <v>-1.7260928581693601E-2</v>
      </c>
      <c r="Q1696">
        <v>-1.0036874019717399</v>
      </c>
      <c r="R1696">
        <v>0.96916554480835004</v>
      </c>
      <c r="S1696">
        <v>12.7941388112169</v>
      </c>
      <c r="T1696">
        <v>-3.78343851735242E-2</v>
      </c>
      <c r="U1696">
        <v>-6.7537884464126501</v>
      </c>
      <c r="V1696">
        <v>0.97039918214912402</v>
      </c>
      <c r="W1696">
        <v>0.98273759099431901</v>
      </c>
      <c r="X1696">
        <v>0</v>
      </c>
      <c r="Y1696">
        <v>0</v>
      </c>
    </row>
    <row r="1697" spans="1:25" x14ac:dyDescent="0.2">
      <c r="A1697" t="s">
        <v>6356</v>
      </c>
      <c r="B1697" t="s">
        <v>6357</v>
      </c>
      <c r="C1697" t="s">
        <v>6358</v>
      </c>
      <c r="D1697" t="s">
        <v>6359</v>
      </c>
      <c r="E1697" t="s">
        <v>6357</v>
      </c>
      <c r="F1697" t="s">
        <v>28</v>
      </c>
      <c r="G1697" t="s">
        <v>6357</v>
      </c>
      <c r="H1697" t="str">
        <f>"tfbm-1"</f>
        <v>tfbm-1</v>
      </c>
      <c r="I1697" t="s">
        <v>6359</v>
      </c>
      <c r="J1697">
        <v>13.1467754228253</v>
      </c>
      <c r="K1697">
        <v>13.444741956575999</v>
      </c>
      <c r="L1697">
        <v>12.7931153919713</v>
      </c>
      <c r="M1697">
        <v>12.675456609503399</v>
      </c>
      <c r="N1697">
        <v>12.3085547995433</v>
      </c>
      <c r="O1697">
        <v>12.988380711512599</v>
      </c>
      <c r="P1697">
        <v>-0.470746883604438</v>
      </c>
      <c r="Q1697">
        <v>-1.15596983047271</v>
      </c>
      <c r="R1697">
        <v>0.214476063263836</v>
      </c>
      <c r="S1697">
        <v>12.620565805718799</v>
      </c>
      <c r="T1697">
        <v>-1.4439364129577099</v>
      </c>
      <c r="U1697">
        <v>-6.12167176578438</v>
      </c>
      <c r="V1697">
        <v>0.16603700168346799</v>
      </c>
      <c r="W1697">
        <v>0.315277734511069</v>
      </c>
      <c r="X1697">
        <v>0</v>
      </c>
      <c r="Y1697">
        <v>0</v>
      </c>
    </row>
    <row r="1698" spans="1:25" x14ac:dyDescent="0.2">
      <c r="A1698" t="s">
        <v>6360</v>
      </c>
      <c r="B1698" t="s">
        <v>6361</v>
      </c>
      <c r="C1698" t="s">
        <v>6362</v>
      </c>
      <c r="D1698" t="s">
        <v>6363</v>
      </c>
      <c r="E1698" t="s">
        <v>6361</v>
      </c>
      <c r="F1698" t="s">
        <v>28</v>
      </c>
      <c r="G1698" t="s">
        <v>6361</v>
      </c>
      <c r="H1698" t="str">
        <f>"guk-1"</f>
        <v>guk-1</v>
      </c>
      <c r="I1698" t="s">
        <v>6363</v>
      </c>
      <c r="J1698">
        <v>14.3216655199433</v>
      </c>
      <c r="K1698">
        <v>14.394999992308099</v>
      </c>
      <c r="L1698">
        <v>14.1423901270045</v>
      </c>
      <c r="M1698" t="s">
        <v>29</v>
      </c>
      <c r="N1698" t="s">
        <v>29</v>
      </c>
      <c r="O1698">
        <v>13.630524915877899</v>
      </c>
      <c r="P1698">
        <v>-0.65582696387408701</v>
      </c>
      <c r="Q1698">
        <v>-1.51798978769126</v>
      </c>
      <c r="R1698">
        <v>0.20633585994309001</v>
      </c>
      <c r="S1698">
        <v>13.5501838711104</v>
      </c>
      <c r="T1698">
        <v>-1.61342768933098</v>
      </c>
      <c r="U1698">
        <v>-5.5478838402593897</v>
      </c>
      <c r="V1698">
        <v>0.12632577029102701</v>
      </c>
      <c r="W1698">
        <v>0.25870885687814998</v>
      </c>
      <c r="X1698">
        <v>0</v>
      </c>
      <c r="Y1698">
        <v>0</v>
      </c>
    </row>
    <row r="1699" spans="1:25" x14ac:dyDescent="0.2">
      <c r="A1699" t="s">
        <v>6364</v>
      </c>
      <c r="B1699" t="s">
        <v>6365</v>
      </c>
      <c r="C1699" t="s">
        <v>6366</v>
      </c>
      <c r="D1699" t="s">
        <v>6367</v>
      </c>
      <c r="E1699" t="s">
        <v>6365</v>
      </c>
      <c r="F1699" t="s">
        <v>28</v>
      </c>
      <c r="G1699" t="s">
        <v>6365</v>
      </c>
      <c r="H1699" t="str">
        <f>"pgk-1"</f>
        <v>pgk-1</v>
      </c>
      <c r="I1699" t="s">
        <v>6367</v>
      </c>
      <c r="J1699">
        <v>14.144147364268299</v>
      </c>
      <c r="K1699">
        <v>14.064153029951401</v>
      </c>
      <c r="L1699">
        <v>13.917402325133301</v>
      </c>
      <c r="M1699">
        <v>13.897678409703</v>
      </c>
      <c r="N1699">
        <v>14.705546026182599</v>
      </c>
      <c r="O1699">
        <v>13.9373791741408</v>
      </c>
      <c r="P1699">
        <v>0.13830029689113099</v>
      </c>
      <c r="Q1699">
        <v>-0.38548702276535601</v>
      </c>
      <c r="R1699">
        <v>0.66208761654761805</v>
      </c>
      <c r="S1699">
        <v>13.5226752108192</v>
      </c>
      <c r="T1699">
        <v>0.55495867574031499</v>
      </c>
      <c r="U1699">
        <v>-6.9960600088928597</v>
      </c>
      <c r="V1699">
        <v>0.58579357232601503</v>
      </c>
      <c r="W1699">
        <v>0.72231533792668101</v>
      </c>
      <c r="X1699">
        <v>0</v>
      </c>
      <c r="Y1699">
        <v>0</v>
      </c>
    </row>
    <row r="1700" spans="1:25" x14ac:dyDescent="0.2">
      <c r="A1700" t="s">
        <v>6368</v>
      </c>
      <c r="B1700" t="s">
        <v>6369</v>
      </c>
      <c r="C1700" t="s">
        <v>6370</v>
      </c>
      <c r="D1700" t="s">
        <v>6371</v>
      </c>
      <c r="E1700" t="s">
        <v>6369</v>
      </c>
      <c r="F1700" t="s">
        <v>28</v>
      </c>
      <c r="G1700" t="s">
        <v>6369</v>
      </c>
      <c r="H1700" t="str">
        <f>"hum-6"</f>
        <v>hum-6</v>
      </c>
      <c r="I1700" t="s">
        <v>6371</v>
      </c>
      <c r="J1700">
        <v>13.158999098837301</v>
      </c>
      <c r="K1700">
        <v>13.133487299321001</v>
      </c>
      <c r="L1700">
        <v>12.916633352921799</v>
      </c>
      <c r="M1700" t="s">
        <v>29</v>
      </c>
      <c r="N1700" t="s">
        <v>29</v>
      </c>
      <c r="O1700">
        <v>12.789419288201501</v>
      </c>
      <c r="P1700">
        <v>-0.28028729549188602</v>
      </c>
      <c r="Q1700">
        <v>-0.82921419116550799</v>
      </c>
      <c r="R1700">
        <v>0.26863960018173499</v>
      </c>
      <c r="S1700">
        <v>12.985799629922999</v>
      </c>
      <c r="T1700">
        <v>-1.0830248771592901</v>
      </c>
      <c r="U1700">
        <v>-6.2186460632899703</v>
      </c>
      <c r="V1700">
        <v>0.29495356520224097</v>
      </c>
      <c r="W1700">
        <v>0.463094382872138</v>
      </c>
      <c r="X1700">
        <v>0</v>
      </c>
      <c r="Y1700">
        <v>0</v>
      </c>
    </row>
    <row r="1701" spans="1:25" x14ac:dyDescent="0.2">
      <c r="A1701" t="s">
        <v>6372</v>
      </c>
      <c r="B1701" t="s">
        <v>6373</v>
      </c>
      <c r="C1701" t="s">
        <v>6374</v>
      </c>
      <c r="D1701" t="s">
        <v>6375</v>
      </c>
      <c r="E1701" t="s">
        <v>6373</v>
      </c>
      <c r="F1701" t="s">
        <v>28</v>
      </c>
      <c r="G1701" t="s">
        <v>6373</v>
      </c>
      <c r="H1701" t="str">
        <f>"T19B4.3"</f>
        <v>T19B4.3</v>
      </c>
      <c r="I1701" t="s">
        <v>6375</v>
      </c>
      <c r="J1701">
        <v>13.007710524014101</v>
      </c>
      <c r="K1701">
        <v>12.7942744760994</v>
      </c>
      <c r="L1701">
        <v>13.263821802701701</v>
      </c>
      <c r="M1701" t="s">
        <v>29</v>
      </c>
      <c r="N1701" t="s">
        <v>29</v>
      </c>
      <c r="O1701">
        <v>12.6649233571883</v>
      </c>
      <c r="P1701">
        <v>-0.357012243750081</v>
      </c>
      <c r="Q1701">
        <v>-1.1880433629723399</v>
      </c>
      <c r="R1701">
        <v>0.47401887547217503</v>
      </c>
      <c r="S1701">
        <v>12.814485653257099</v>
      </c>
      <c r="T1701">
        <v>-0.91120344585053703</v>
      </c>
      <c r="U1701">
        <v>-6.3878042214077704</v>
      </c>
      <c r="V1701">
        <v>0.37580046420817997</v>
      </c>
      <c r="W1701">
        <v>0.54208711112163799</v>
      </c>
      <c r="X1701">
        <v>0</v>
      </c>
      <c r="Y1701">
        <v>0</v>
      </c>
    </row>
    <row r="1702" spans="1:25" x14ac:dyDescent="0.2">
      <c r="A1702" t="s">
        <v>6376</v>
      </c>
      <c r="B1702" t="s">
        <v>6377</v>
      </c>
      <c r="C1702" t="s">
        <v>6378</v>
      </c>
      <c r="D1702" t="s">
        <v>6379</v>
      </c>
      <c r="E1702" t="s">
        <v>6377</v>
      </c>
      <c r="F1702" t="s">
        <v>28</v>
      </c>
      <c r="G1702" t="s">
        <v>6377</v>
      </c>
      <c r="H1702" t="str">
        <f>"npp-7"</f>
        <v>npp-7</v>
      </c>
      <c r="I1702" t="s">
        <v>6379</v>
      </c>
      <c r="J1702">
        <v>10.941041152332</v>
      </c>
      <c r="K1702">
        <v>10.354914204574101</v>
      </c>
      <c r="L1702">
        <v>11.3880190006918</v>
      </c>
      <c r="M1702" t="s">
        <v>29</v>
      </c>
      <c r="N1702" t="s">
        <v>29</v>
      </c>
      <c r="O1702">
        <v>11.0570725681865</v>
      </c>
      <c r="P1702">
        <v>0.162414448987171</v>
      </c>
      <c r="Q1702">
        <v>-0.66679428597099499</v>
      </c>
      <c r="R1702">
        <v>0.99162318394533699</v>
      </c>
      <c r="S1702">
        <v>11.2929255508219</v>
      </c>
      <c r="T1702">
        <v>0.41544192747032899</v>
      </c>
      <c r="U1702">
        <v>-6.7225570701849504</v>
      </c>
      <c r="V1702">
        <v>0.683372488685276</v>
      </c>
      <c r="W1702">
        <v>0.79224969478973595</v>
      </c>
      <c r="X1702">
        <v>0</v>
      </c>
      <c r="Y1702">
        <v>0</v>
      </c>
    </row>
    <row r="1703" spans="1:25" x14ac:dyDescent="0.2">
      <c r="A1703" t="s">
        <v>6380</v>
      </c>
      <c r="B1703" t="s">
        <v>6381</v>
      </c>
      <c r="C1703" t="s">
        <v>14419</v>
      </c>
      <c r="D1703" t="s">
        <v>214</v>
      </c>
      <c r="E1703" t="s">
        <v>6381</v>
      </c>
      <c r="F1703" t="s">
        <v>28</v>
      </c>
      <c r="G1703" t="s">
        <v>6381</v>
      </c>
      <c r="H1703" t="str">
        <f>"T20F5.6"</f>
        <v>T20F5.6</v>
      </c>
      <c r="I1703" t="s">
        <v>214</v>
      </c>
      <c r="J1703" t="s">
        <v>29</v>
      </c>
      <c r="K1703" t="s">
        <v>29</v>
      </c>
      <c r="L1703" t="s">
        <v>29</v>
      </c>
      <c r="M1703" t="s">
        <v>29</v>
      </c>
      <c r="N1703" t="s">
        <v>29</v>
      </c>
      <c r="O1703" t="s">
        <v>29</v>
      </c>
      <c r="P1703" t="s">
        <v>29</v>
      </c>
      <c r="Q1703" t="s">
        <v>29</v>
      </c>
      <c r="R1703" t="s">
        <v>29</v>
      </c>
      <c r="S1703">
        <v>10.7360996371035</v>
      </c>
      <c r="T1703" t="s">
        <v>29</v>
      </c>
      <c r="U1703" t="s">
        <v>29</v>
      </c>
      <c r="V1703" t="s">
        <v>29</v>
      </c>
      <c r="W1703" t="s">
        <v>29</v>
      </c>
      <c r="X1703" t="s">
        <v>29</v>
      </c>
      <c r="Y1703" t="s">
        <v>29</v>
      </c>
    </row>
    <row r="1704" spans="1:25" x14ac:dyDescent="0.2">
      <c r="A1704" t="s">
        <v>6382</v>
      </c>
      <c r="B1704" t="s">
        <v>6383</v>
      </c>
      <c r="C1704" t="s">
        <v>14420</v>
      </c>
      <c r="D1704" t="s">
        <v>214</v>
      </c>
      <c r="E1704" t="s">
        <v>6383</v>
      </c>
      <c r="F1704" t="s">
        <v>28</v>
      </c>
      <c r="G1704" t="s">
        <v>6383</v>
      </c>
      <c r="H1704" t="str">
        <f>"T20F5.7"</f>
        <v>T20F5.7</v>
      </c>
      <c r="I1704" t="s">
        <v>214</v>
      </c>
      <c r="J1704">
        <v>12.1171307509693</v>
      </c>
      <c r="K1704">
        <v>11.4809325543598</v>
      </c>
      <c r="L1704">
        <v>12.0114829522315</v>
      </c>
      <c r="M1704" t="s">
        <v>29</v>
      </c>
      <c r="N1704" t="s">
        <v>29</v>
      </c>
      <c r="O1704">
        <v>12.805944207635999</v>
      </c>
      <c r="P1704">
        <v>0.93609545511574199</v>
      </c>
      <c r="Q1704">
        <v>-5.2370082583281699E-2</v>
      </c>
      <c r="R1704">
        <v>1.92456099281477</v>
      </c>
      <c r="S1704">
        <v>12.5245211750472</v>
      </c>
      <c r="T1704">
        <v>2.0325933342385398</v>
      </c>
      <c r="U1704">
        <v>-4.9002407006673803</v>
      </c>
      <c r="V1704">
        <v>6.1662613184601103E-2</v>
      </c>
      <c r="W1704">
        <v>0.15843044555799399</v>
      </c>
      <c r="X1704">
        <v>0</v>
      </c>
      <c r="Y1704">
        <v>0</v>
      </c>
    </row>
    <row r="1705" spans="1:25" x14ac:dyDescent="0.2">
      <c r="A1705" t="s">
        <v>6384</v>
      </c>
      <c r="B1705" t="s">
        <v>6385</v>
      </c>
      <c r="C1705" t="s">
        <v>14421</v>
      </c>
      <c r="D1705" t="s">
        <v>2592</v>
      </c>
      <c r="E1705" t="s">
        <v>6385</v>
      </c>
      <c r="F1705" t="s">
        <v>28</v>
      </c>
      <c r="G1705" t="s">
        <v>6385</v>
      </c>
      <c r="H1705" t="str">
        <f>"T23B3.1"</f>
        <v>T23B3.1</v>
      </c>
      <c r="I1705" t="s">
        <v>2592</v>
      </c>
      <c r="J1705">
        <v>12.6216189274709</v>
      </c>
      <c r="K1705">
        <v>12.4174106324094</v>
      </c>
      <c r="L1705">
        <v>12.4646200660994</v>
      </c>
      <c r="M1705" t="s">
        <v>29</v>
      </c>
      <c r="N1705" t="s">
        <v>29</v>
      </c>
      <c r="O1705">
        <v>12.4657562654599</v>
      </c>
      <c r="P1705">
        <v>-3.5460276533278497E-2</v>
      </c>
      <c r="Q1705">
        <v>-1.0128248063281899</v>
      </c>
      <c r="R1705">
        <v>0.94190425326163496</v>
      </c>
      <c r="S1705">
        <v>13.0757220187086</v>
      </c>
      <c r="T1705">
        <v>-7.6954686661677596E-2</v>
      </c>
      <c r="U1705">
        <v>-6.8095911972193504</v>
      </c>
      <c r="V1705">
        <v>0.93961993236097296</v>
      </c>
      <c r="W1705">
        <v>0.96499999030741501</v>
      </c>
      <c r="X1705">
        <v>0</v>
      </c>
      <c r="Y1705">
        <v>0</v>
      </c>
    </row>
    <row r="1706" spans="1:25" x14ac:dyDescent="0.2">
      <c r="A1706" t="s">
        <v>6386</v>
      </c>
      <c r="B1706" t="s">
        <v>6387</v>
      </c>
      <c r="C1706" t="s">
        <v>14422</v>
      </c>
      <c r="D1706" t="s">
        <v>1747</v>
      </c>
      <c r="E1706" t="s">
        <v>6387</v>
      </c>
      <c r="F1706" t="s">
        <v>28</v>
      </c>
      <c r="G1706" t="s">
        <v>6387</v>
      </c>
      <c r="H1706" t="str">
        <f>"T23H2.3"</f>
        <v>T23H2.3</v>
      </c>
      <c r="I1706" t="s">
        <v>1747</v>
      </c>
      <c r="J1706">
        <v>11.8305161893673</v>
      </c>
      <c r="K1706">
        <v>12.071341428419201</v>
      </c>
      <c r="L1706">
        <v>11.9666244608421</v>
      </c>
      <c r="M1706" t="s">
        <v>29</v>
      </c>
      <c r="N1706">
        <v>12.5973066611402</v>
      </c>
      <c r="O1706">
        <v>12.6021859714937</v>
      </c>
      <c r="P1706">
        <v>0.64358562344069103</v>
      </c>
      <c r="Q1706">
        <v>0.16529893109107099</v>
      </c>
      <c r="R1706">
        <v>1.1218723157903101</v>
      </c>
      <c r="S1706">
        <v>12.9761658489384</v>
      </c>
      <c r="T1706">
        <v>2.8403250883704301</v>
      </c>
      <c r="U1706">
        <v>-3.5845098917441698</v>
      </c>
      <c r="V1706">
        <v>1.1353281296790901E-2</v>
      </c>
      <c r="W1706">
        <v>4.9541244830027698E-2</v>
      </c>
      <c r="X1706">
        <v>0</v>
      </c>
      <c r="Y1706">
        <v>0</v>
      </c>
    </row>
    <row r="1707" spans="1:25" x14ac:dyDescent="0.2">
      <c r="A1707" t="s">
        <v>6388</v>
      </c>
      <c r="B1707" t="s">
        <v>6389</v>
      </c>
      <c r="C1707" t="s">
        <v>6390</v>
      </c>
      <c r="D1707" t="s">
        <v>6391</v>
      </c>
      <c r="E1707" t="s">
        <v>6389</v>
      </c>
      <c r="F1707" t="s">
        <v>28</v>
      </c>
      <c r="G1707" t="s">
        <v>6389</v>
      </c>
      <c r="H1707" t="str">
        <f>"npp-12"</f>
        <v>npp-12</v>
      </c>
      <c r="I1707" t="s">
        <v>6391</v>
      </c>
      <c r="J1707">
        <v>13.2879064703491</v>
      </c>
      <c r="K1707">
        <v>13.0764269651396</v>
      </c>
      <c r="L1707">
        <v>12.805309024202399</v>
      </c>
      <c r="M1707" t="s">
        <v>29</v>
      </c>
      <c r="N1707">
        <v>14.0057168607247</v>
      </c>
      <c r="O1707">
        <v>12.8005566932923</v>
      </c>
      <c r="P1707">
        <v>0.34658929044478798</v>
      </c>
      <c r="Q1707">
        <v>-0.223543820772719</v>
      </c>
      <c r="R1707">
        <v>0.91672240166229502</v>
      </c>
      <c r="S1707">
        <v>12.6060781784275</v>
      </c>
      <c r="T1707">
        <v>1.2831838593312099</v>
      </c>
      <c r="U1707">
        <v>-6.2198706983781999</v>
      </c>
      <c r="V1707">
        <v>0.21675084109617701</v>
      </c>
      <c r="W1707">
        <v>0.37908885976880402</v>
      </c>
      <c r="X1707">
        <v>0</v>
      </c>
      <c r="Y1707">
        <v>0</v>
      </c>
    </row>
    <row r="1708" spans="1:25" x14ac:dyDescent="0.2">
      <c r="A1708" t="s">
        <v>6392</v>
      </c>
      <c r="B1708" t="s">
        <v>6393</v>
      </c>
      <c r="C1708" t="s">
        <v>6394</v>
      </c>
      <c r="D1708" t="s">
        <v>6395</v>
      </c>
      <c r="E1708" t="s">
        <v>6393</v>
      </c>
      <c r="F1708" t="s">
        <v>28</v>
      </c>
      <c r="G1708" t="s">
        <v>6393</v>
      </c>
      <c r="H1708" t="str">
        <f>"nmrk-1"</f>
        <v>nmrk-1</v>
      </c>
      <c r="I1708" t="s">
        <v>6395</v>
      </c>
      <c r="J1708">
        <v>11.5845669582973</v>
      </c>
      <c r="K1708">
        <v>10.9129513447715</v>
      </c>
      <c r="L1708" t="s">
        <v>29</v>
      </c>
      <c r="M1708" t="s">
        <v>29</v>
      </c>
      <c r="N1708" t="s">
        <v>29</v>
      </c>
      <c r="O1708">
        <v>12.111244081531201</v>
      </c>
      <c r="P1708">
        <v>0.86248492999680904</v>
      </c>
      <c r="Q1708">
        <v>-0.103451352041702</v>
      </c>
      <c r="R1708">
        <v>1.82842121203532</v>
      </c>
      <c r="S1708">
        <v>11.6266634026458</v>
      </c>
      <c r="T1708">
        <v>1.90434066859407</v>
      </c>
      <c r="U1708">
        <v>-5.0484532316339399</v>
      </c>
      <c r="V1708">
        <v>7.6363967399923197E-2</v>
      </c>
      <c r="W1708">
        <v>0.18192773801744</v>
      </c>
      <c r="X1708">
        <v>0</v>
      </c>
      <c r="Y1708">
        <v>0</v>
      </c>
    </row>
    <row r="1709" spans="1:25" x14ac:dyDescent="0.2">
      <c r="A1709" t="s">
        <v>6396</v>
      </c>
      <c r="B1709" t="s">
        <v>6397</v>
      </c>
      <c r="C1709" t="s">
        <v>6398</v>
      </c>
      <c r="D1709" t="s">
        <v>6399</v>
      </c>
      <c r="E1709" t="s">
        <v>6397</v>
      </c>
      <c r="F1709" t="s">
        <v>28</v>
      </c>
      <c r="G1709" t="s">
        <v>6397</v>
      </c>
      <c r="H1709" t="str">
        <f>"W09C3.4"</f>
        <v>W09C3.4</v>
      </c>
      <c r="I1709" t="s">
        <v>6399</v>
      </c>
      <c r="J1709">
        <v>12.522663674332</v>
      </c>
      <c r="K1709" t="s">
        <v>29</v>
      </c>
      <c r="L1709">
        <v>12.7222805941899</v>
      </c>
      <c r="M1709" t="s">
        <v>29</v>
      </c>
      <c r="N1709" t="s">
        <v>29</v>
      </c>
      <c r="O1709" t="s">
        <v>29</v>
      </c>
      <c r="P1709" t="s">
        <v>29</v>
      </c>
      <c r="Q1709" t="s">
        <v>29</v>
      </c>
      <c r="R1709" t="s">
        <v>29</v>
      </c>
      <c r="S1709">
        <v>13.012609969245</v>
      </c>
      <c r="T1709" t="s">
        <v>29</v>
      </c>
      <c r="U1709" t="s">
        <v>29</v>
      </c>
      <c r="V1709" t="s">
        <v>29</v>
      </c>
      <c r="W1709" t="s">
        <v>29</v>
      </c>
      <c r="X1709" t="s">
        <v>29</v>
      </c>
      <c r="Y1709" t="s">
        <v>29</v>
      </c>
    </row>
    <row r="1710" spans="1:25" x14ac:dyDescent="0.2">
      <c r="A1710" t="s">
        <v>6400</v>
      </c>
      <c r="B1710" t="s">
        <v>6401</v>
      </c>
      <c r="C1710" t="s">
        <v>14423</v>
      </c>
      <c r="D1710" t="s">
        <v>878</v>
      </c>
      <c r="E1710" t="s">
        <v>6401</v>
      </c>
      <c r="F1710" t="s">
        <v>28</v>
      </c>
      <c r="G1710" t="s">
        <v>6401</v>
      </c>
      <c r="H1710" t="str">
        <f>"ZC204.12"</f>
        <v>ZC204.12</v>
      </c>
      <c r="I1710" t="s">
        <v>878</v>
      </c>
      <c r="J1710">
        <v>12.878159797001601</v>
      </c>
      <c r="K1710">
        <v>12.0645425923556</v>
      </c>
      <c r="L1710" t="s">
        <v>29</v>
      </c>
      <c r="M1710" t="s">
        <v>29</v>
      </c>
      <c r="N1710" t="s">
        <v>29</v>
      </c>
      <c r="O1710">
        <v>10.9627787910637</v>
      </c>
      <c r="P1710">
        <v>-1.5085724036149299</v>
      </c>
      <c r="Q1710">
        <v>-3.1680941996475398</v>
      </c>
      <c r="R1710">
        <v>0.15094939241767599</v>
      </c>
      <c r="S1710">
        <v>11.900791525210201</v>
      </c>
      <c r="T1710">
        <v>-1.98256854107747</v>
      </c>
      <c r="U1710">
        <v>-4.94203292616114</v>
      </c>
      <c r="V1710">
        <v>7.09943722560996E-2</v>
      </c>
      <c r="W1710">
        <v>0.17290943391630201</v>
      </c>
      <c r="X1710">
        <v>0</v>
      </c>
      <c r="Y1710">
        <v>0</v>
      </c>
    </row>
    <row r="1711" spans="1:25" x14ac:dyDescent="0.2">
      <c r="A1711" t="s">
        <v>6402</v>
      </c>
      <c r="B1711" t="s">
        <v>6403</v>
      </c>
      <c r="C1711" t="s">
        <v>6404</v>
      </c>
      <c r="D1711" t="s">
        <v>6405</v>
      </c>
      <c r="E1711" t="s">
        <v>6403</v>
      </c>
      <c r="F1711" t="s">
        <v>28</v>
      </c>
      <c r="G1711" t="s">
        <v>6403</v>
      </c>
      <c r="H1711" t="str">
        <f>"rab-5"</f>
        <v>rab-5</v>
      </c>
      <c r="I1711" t="s">
        <v>6405</v>
      </c>
      <c r="J1711">
        <v>14.861298590822299</v>
      </c>
      <c r="K1711">
        <v>15.033304651754399</v>
      </c>
      <c r="L1711">
        <v>14.730852839327801</v>
      </c>
      <c r="M1711">
        <v>15.4896287855063</v>
      </c>
      <c r="N1711">
        <v>14.808200524018501</v>
      </c>
      <c r="O1711">
        <v>14.5273857527621</v>
      </c>
      <c r="P1711">
        <v>6.6586326794146403E-2</v>
      </c>
      <c r="Q1711">
        <v>-0.38573630513545998</v>
      </c>
      <c r="R1711">
        <v>0.51890895872375298</v>
      </c>
      <c r="S1711">
        <v>14.4584111671819</v>
      </c>
      <c r="T1711">
        <v>0.30940637158638601</v>
      </c>
      <c r="U1711">
        <v>-7.1061971376470101</v>
      </c>
      <c r="V1711">
        <v>0.76058613295432498</v>
      </c>
      <c r="W1711">
        <v>0.84839036102058896</v>
      </c>
      <c r="X1711">
        <v>0</v>
      </c>
      <c r="Y1711">
        <v>0</v>
      </c>
    </row>
    <row r="1712" spans="1:25" x14ac:dyDescent="0.2">
      <c r="A1712" t="s">
        <v>6406</v>
      </c>
      <c r="B1712" t="s">
        <v>6407</v>
      </c>
      <c r="C1712" t="s">
        <v>6408</v>
      </c>
      <c r="D1712" t="s">
        <v>6409</v>
      </c>
      <c r="E1712" t="s">
        <v>6407</v>
      </c>
      <c r="F1712" t="s">
        <v>28</v>
      </c>
      <c r="G1712" t="s">
        <v>6407</v>
      </c>
      <c r="H1712" t="str">
        <f>"maph-1.1"</f>
        <v>maph-1.1</v>
      </c>
      <c r="I1712" t="s">
        <v>6409</v>
      </c>
      <c r="J1712">
        <v>15.880407349276799</v>
      </c>
      <c r="K1712">
        <v>16.1930051931582</v>
      </c>
      <c r="L1712">
        <v>15.4491047577431</v>
      </c>
      <c r="M1712" t="s">
        <v>29</v>
      </c>
      <c r="N1712">
        <v>14.462154954196899</v>
      </c>
      <c r="O1712">
        <v>14.8855675007651</v>
      </c>
      <c r="P1712">
        <v>-1.1669778725784099</v>
      </c>
      <c r="Q1712">
        <v>-1.81097139945758</v>
      </c>
      <c r="R1712">
        <v>-0.52298434569924701</v>
      </c>
      <c r="S1712">
        <v>15.549729553657</v>
      </c>
      <c r="T1712">
        <v>-3.8249972955827301</v>
      </c>
      <c r="U1712">
        <v>-1.52165057131957</v>
      </c>
      <c r="V1712">
        <v>1.36850080875095E-3</v>
      </c>
      <c r="W1712">
        <v>1.12824414329752E-2</v>
      </c>
      <c r="X1712">
        <v>-1</v>
      </c>
      <c r="Y1712">
        <v>-1</v>
      </c>
    </row>
    <row r="1713" spans="1:25" x14ac:dyDescent="0.2">
      <c r="A1713" t="s">
        <v>6410</v>
      </c>
      <c r="B1713" t="s">
        <v>6411</v>
      </c>
      <c r="C1713" t="s">
        <v>6412</v>
      </c>
      <c r="D1713" t="s">
        <v>534</v>
      </c>
      <c r="E1713" t="s">
        <v>6411</v>
      </c>
      <c r="F1713" t="s">
        <v>28</v>
      </c>
      <c r="G1713" t="s">
        <v>6411</v>
      </c>
      <c r="H1713" t="str">
        <f>"thoc-3"</f>
        <v>thoc-3</v>
      </c>
      <c r="I1713" t="s">
        <v>534</v>
      </c>
      <c r="J1713">
        <v>14.1721641001318</v>
      </c>
      <c r="K1713">
        <v>14.1740496091259</v>
      </c>
      <c r="L1713">
        <v>13.6755457610245</v>
      </c>
      <c r="M1713" t="s">
        <v>29</v>
      </c>
      <c r="N1713">
        <v>13.1398082110542</v>
      </c>
      <c r="O1713">
        <v>13.4934928797698</v>
      </c>
      <c r="P1713">
        <v>-0.690602611348758</v>
      </c>
      <c r="Q1713">
        <v>-1.11918291058381</v>
      </c>
      <c r="R1713">
        <v>-0.26202231211371102</v>
      </c>
      <c r="S1713">
        <v>13.789226368844099</v>
      </c>
      <c r="T1713">
        <v>-3.4013085095374098</v>
      </c>
      <c r="U1713">
        <v>-2.42376280951907</v>
      </c>
      <c r="V1713">
        <v>3.42274802300466E-3</v>
      </c>
      <c r="W1713">
        <v>2.1683520413172602E-2</v>
      </c>
      <c r="X1713">
        <v>0</v>
      </c>
      <c r="Y1713">
        <v>0</v>
      </c>
    </row>
    <row r="1714" spans="1:25" x14ac:dyDescent="0.2">
      <c r="A1714" t="s">
        <v>6413</v>
      </c>
      <c r="B1714" t="s">
        <v>6414</v>
      </c>
      <c r="C1714" t="s">
        <v>6415</v>
      </c>
      <c r="D1714" t="s">
        <v>6416</v>
      </c>
      <c r="E1714" t="s">
        <v>6414</v>
      </c>
      <c r="F1714" t="s">
        <v>28</v>
      </c>
      <c r="G1714" t="s">
        <v>6414</v>
      </c>
      <c r="H1714" t="str">
        <f>"snpc-4"</f>
        <v>snpc-4</v>
      </c>
      <c r="I1714" t="s">
        <v>6416</v>
      </c>
      <c r="J1714" t="s">
        <v>29</v>
      </c>
      <c r="K1714" t="s">
        <v>29</v>
      </c>
      <c r="L1714" t="s">
        <v>29</v>
      </c>
      <c r="M1714" t="s">
        <v>29</v>
      </c>
      <c r="N1714" t="s">
        <v>29</v>
      </c>
      <c r="O1714">
        <v>12.266151326389</v>
      </c>
      <c r="P1714" t="s">
        <v>29</v>
      </c>
      <c r="Q1714" t="s">
        <v>29</v>
      </c>
      <c r="R1714" t="s">
        <v>29</v>
      </c>
      <c r="S1714">
        <v>13.1429132251701</v>
      </c>
      <c r="T1714" t="s">
        <v>29</v>
      </c>
      <c r="U1714" t="s">
        <v>29</v>
      </c>
      <c r="V1714" t="s">
        <v>29</v>
      </c>
      <c r="W1714" t="s">
        <v>29</v>
      </c>
      <c r="X1714" t="s">
        <v>29</v>
      </c>
      <c r="Y1714" t="s">
        <v>29</v>
      </c>
    </row>
    <row r="1715" spans="1:25" x14ac:dyDescent="0.2">
      <c r="A1715" t="s">
        <v>6417</v>
      </c>
      <c r="B1715" t="s">
        <v>6418</v>
      </c>
      <c r="C1715" t="s">
        <v>6419</v>
      </c>
      <c r="D1715" t="s">
        <v>6420</v>
      </c>
      <c r="E1715" t="s">
        <v>6418</v>
      </c>
      <c r="F1715" t="s">
        <v>28</v>
      </c>
      <c r="G1715" t="s">
        <v>6418</v>
      </c>
      <c r="H1715" t="str">
        <f>"spd-2"</f>
        <v>spd-2</v>
      </c>
      <c r="I1715" t="s">
        <v>6420</v>
      </c>
      <c r="J1715">
        <v>12.4273964295532</v>
      </c>
      <c r="K1715" t="s">
        <v>29</v>
      </c>
      <c r="L1715">
        <v>10.250996518756599</v>
      </c>
      <c r="M1715" t="s">
        <v>29</v>
      </c>
      <c r="N1715" t="s">
        <v>29</v>
      </c>
      <c r="O1715" t="s">
        <v>29</v>
      </c>
      <c r="P1715" t="s">
        <v>29</v>
      </c>
      <c r="Q1715" t="s">
        <v>29</v>
      </c>
      <c r="R1715" t="s">
        <v>29</v>
      </c>
      <c r="S1715">
        <v>12.633503514622999</v>
      </c>
      <c r="T1715" t="s">
        <v>29</v>
      </c>
      <c r="U1715" t="s">
        <v>29</v>
      </c>
      <c r="V1715" t="s">
        <v>29</v>
      </c>
      <c r="W1715" t="s">
        <v>29</v>
      </c>
      <c r="X1715" t="s">
        <v>29</v>
      </c>
      <c r="Y1715" t="s">
        <v>29</v>
      </c>
    </row>
    <row r="1716" spans="1:25" x14ac:dyDescent="0.2">
      <c r="A1716" t="s">
        <v>6421</v>
      </c>
      <c r="B1716" t="s">
        <v>6422</v>
      </c>
      <c r="C1716" t="s">
        <v>6423</v>
      </c>
      <c r="D1716" t="s">
        <v>6424</v>
      </c>
      <c r="E1716" t="s">
        <v>6422</v>
      </c>
      <c r="F1716" t="s">
        <v>28</v>
      </c>
      <c r="G1716" t="s">
        <v>6422</v>
      </c>
      <c r="H1716" t="str">
        <f>"fasn-1"</f>
        <v>fasn-1</v>
      </c>
      <c r="I1716" t="s">
        <v>6424</v>
      </c>
      <c r="J1716">
        <v>17.8525942227587</v>
      </c>
      <c r="K1716">
        <v>17.698651814408201</v>
      </c>
      <c r="L1716">
        <v>17.683063491481398</v>
      </c>
      <c r="M1716">
        <v>17.488306223475199</v>
      </c>
      <c r="N1716">
        <v>17.473569841032202</v>
      </c>
      <c r="O1716">
        <v>17.585254407515301</v>
      </c>
      <c r="P1716">
        <v>-0.22905968554190201</v>
      </c>
      <c r="Q1716">
        <v>-0.57437468325431795</v>
      </c>
      <c r="R1716">
        <v>0.11625531217051401</v>
      </c>
      <c r="S1716">
        <v>17.506700906648099</v>
      </c>
      <c r="T1716">
        <v>-1.39420209918747</v>
      </c>
      <c r="U1716">
        <v>-6.1882086629049802</v>
      </c>
      <c r="V1716">
        <v>0.18032733883127</v>
      </c>
      <c r="W1716">
        <v>0.33376416041423501</v>
      </c>
      <c r="X1716">
        <v>0</v>
      </c>
      <c r="Y1716">
        <v>0</v>
      </c>
    </row>
    <row r="1717" spans="1:25" x14ac:dyDescent="0.2">
      <c r="A1717" t="s">
        <v>6425</v>
      </c>
      <c r="B1717" t="s">
        <v>6426</v>
      </c>
      <c r="C1717" t="s">
        <v>6427</v>
      </c>
      <c r="D1717" t="s">
        <v>1382</v>
      </c>
      <c r="E1717" t="s">
        <v>6426</v>
      </c>
      <c r="F1717" t="s">
        <v>28</v>
      </c>
      <c r="G1717" t="s">
        <v>6426</v>
      </c>
      <c r="H1717" t="str">
        <f>"tba-6"</f>
        <v>tba-6</v>
      </c>
      <c r="I1717" t="s">
        <v>1382</v>
      </c>
      <c r="J1717">
        <v>12.9621305448988</v>
      </c>
      <c r="K1717">
        <v>13.223491888212999</v>
      </c>
      <c r="L1717">
        <v>11.969276190735499</v>
      </c>
      <c r="M1717">
        <v>14.775823622579701</v>
      </c>
      <c r="N1717" t="s">
        <v>29</v>
      </c>
      <c r="O1717">
        <v>13.599918107276</v>
      </c>
      <c r="P1717">
        <v>1.46957132364541</v>
      </c>
      <c r="Q1717">
        <v>-2.1735691242550899</v>
      </c>
      <c r="R1717">
        <v>5.1127117715459196</v>
      </c>
      <c r="S1717">
        <v>13.0167258346507</v>
      </c>
      <c r="T1717">
        <v>0.86031275234432503</v>
      </c>
      <c r="U1717">
        <v>-6.6629973279790704</v>
      </c>
      <c r="V1717">
        <v>0.40325222532823701</v>
      </c>
      <c r="W1717">
        <v>0.572439454741</v>
      </c>
      <c r="X1717">
        <v>0</v>
      </c>
      <c r="Y1717">
        <v>0</v>
      </c>
    </row>
    <row r="1718" spans="1:25" x14ac:dyDescent="0.2">
      <c r="A1718" t="s">
        <v>6428</v>
      </c>
      <c r="B1718" t="s">
        <v>6429</v>
      </c>
      <c r="C1718" t="s">
        <v>6430</v>
      </c>
      <c r="D1718" t="s">
        <v>6431</v>
      </c>
      <c r="E1718" t="s">
        <v>6429</v>
      </c>
      <c r="F1718" t="s">
        <v>28</v>
      </c>
      <c r="G1718" t="s">
        <v>6429</v>
      </c>
      <c r="H1718" t="str">
        <f>"mec-12"</f>
        <v>mec-12</v>
      </c>
      <c r="I1718" t="s">
        <v>6431</v>
      </c>
      <c r="J1718">
        <v>15.640271434490799</v>
      </c>
      <c r="K1718">
        <v>16.301491845687501</v>
      </c>
      <c r="L1718">
        <v>15.5062987208737</v>
      </c>
      <c r="M1718">
        <v>16.0776754708086</v>
      </c>
      <c r="N1718">
        <v>16.0241819871895</v>
      </c>
      <c r="O1718">
        <v>15.709428913582901</v>
      </c>
      <c r="P1718">
        <v>0.12107479017632999</v>
      </c>
      <c r="Q1718">
        <v>-0.31610175971562099</v>
      </c>
      <c r="R1718">
        <v>0.55825134006828003</v>
      </c>
      <c r="S1718">
        <v>15.5795668511955</v>
      </c>
      <c r="T1718">
        <v>0.58208898330359804</v>
      </c>
      <c r="U1718">
        <v>-6.9801600406335096</v>
      </c>
      <c r="V1718">
        <v>0.56776858262073904</v>
      </c>
      <c r="W1718">
        <v>0.70929996884091495</v>
      </c>
      <c r="X1718">
        <v>0</v>
      </c>
      <c r="Y1718">
        <v>0</v>
      </c>
    </row>
    <row r="1719" spans="1:25" x14ac:dyDescent="0.2">
      <c r="A1719" t="s">
        <v>6432</v>
      </c>
      <c r="B1719" t="s">
        <v>6433</v>
      </c>
      <c r="C1719" t="s">
        <v>6434</v>
      </c>
      <c r="D1719" t="s">
        <v>6435</v>
      </c>
      <c r="E1719" t="s">
        <v>6433</v>
      </c>
      <c r="F1719" t="s">
        <v>28</v>
      </c>
      <c r="G1719" t="s">
        <v>6433</v>
      </c>
      <c r="H1719" t="str">
        <f>"rla-1"</f>
        <v>rla-1</v>
      </c>
      <c r="I1719" t="s">
        <v>6435</v>
      </c>
      <c r="J1719">
        <v>14.041065096353901</v>
      </c>
      <c r="K1719">
        <v>14.512620650546699</v>
      </c>
      <c r="L1719">
        <v>15.0941503742847</v>
      </c>
      <c r="M1719">
        <v>15.2096882962521</v>
      </c>
      <c r="N1719">
        <v>15.541560870359501</v>
      </c>
      <c r="O1719">
        <v>15.4949657605471</v>
      </c>
      <c r="P1719">
        <v>0.86612626865780096</v>
      </c>
      <c r="Q1719">
        <v>-3.2420619141257698E-2</v>
      </c>
      <c r="R1719">
        <v>1.7646731564568601</v>
      </c>
      <c r="S1719">
        <v>15.133063056028</v>
      </c>
      <c r="T1719">
        <v>2.0259698561248598</v>
      </c>
      <c r="U1719">
        <v>-5.2182955876092798</v>
      </c>
      <c r="V1719">
        <v>5.7941875703610202E-2</v>
      </c>
      <c r="W1719">
        <v>0.15111036079516799</v>
      </c>
      <c r="X1719">
        <v>0</v>
      </c>
      <c r="Y1719">
        <v>0</v>
      </c>
    </row>
    <row r="1720" spans="1:25" x14ac:dyDescent="0.2">
      <c r="A1720" t="s">
        <v>6436</v>
      </c>
      <c r="B1720" t="s">
        <v>6437</v>
      </c>
      <c r="C1720" t="s">
        <v>6438</v>
      </c>
      <c r="D1720" t="s">
        <v>6439</v>
      </c>
      <c r="E1720" t="s">
        <v>6437</v>
      </c>
      <c r="F1720" t="s">
        <v>28</v>
      </c>
      <c r="G1720" t="s">
        <v>6437</v>
      </c>
      <c r="H1720" t="str">
        <f>"rpl-27"</f>
        <v>rpl-27</v>
      </c>
      <c r="I1720" t="s">
        <v>6439</v>
      </c>
      <c r="J1720">
        <v>18.851282016066801</v>
      </c>
      <c r="K1720">
        <v>18.895557049042999</v>
      </c>
      <c r="L1720">
        <v>18.902896279960299</v>
      </c>
      <c r="M1720">
        <v>17.891801955633301</v>
      </c>
      <c r="N1720">
        <v>18.2486630801289</v>
      </c>
      <c r="O1720">
        <v>17.819114443781</v>
      </c>
      <c r="P1720">
        <v>-0.89671862184224305</v>
      </c>
      <c r="Q1720">
        <v>-1.3137977574380399</v>
      </c>
      <c r="R1720">
        <v>-0.47963948624645097</v>
      </c>
      <c r="S1720">
        <v>18.537973645371299</v>
      </c>
      <c r="T1720">
        <v>-4.5188740521720199</v>
      </c>
      <c r="U1720">
        <v>-2.77245345233013E-2</v>
      </c>
      <c r="V1720">
        <v>2.6930162299981298E-4</v>
      </c>
      <c r="W1720">
        <v>3.4656414103949799E-3</v>
      </c>
      <c r="X1720">
        <v>0</v>
      </c>
      <c r="Y1720">
        <v>0</v>
      </c>
    </row>
    <row r="1721" spans="1:25" x14ac:dyDescent="0.2">
      <c r="A1721" t="s">
        <v>6440</v>
      </c>
      <c r="B1721" t="s">
        <v>6441</v>
      </c>
      <c r="C1721" t="s">
        <v>6442</v>
      </c>
      <c r="D1721" t="s">
        <v>6443</v>
      </c>
      <c r="E1721" t="s">
        <v>6441</v>
      </c>
      <c r="F1721" t="s">
        <v>28</v>
      </c>
      <c r="G1721" t="s">
        <v>6441</v>
      </c>
      <c r="H1721" t="str">
        <f>"ola-1"</f>
        <v>ola-1</v>
      </c>
      <c r="I1721" t="s">
        <v>6443</v>
      </c>
      <c r="J1721">
        <v>18.365809119272601</v>
      </c>
      <c r="K1721">
        <v>18.2005294731105</v>
      </c>
      <c r="L1721">
        <v>18.272603513750699</v>
      </c>
      <c r="M1721">
        <v>17.8239010262165</v>
      </c>
      <c r="N1721">
        <v>18.184322965962998</v>
      </c>
      <c r="O1721">
        <v>18.184779445542201</v>
      </c>
      <c r="P1721">
        <v>-0.21531288947069899</v>
      </c>
      <c r="Q1721">
        <v>-0.53119832458606397</v>
      </c>
      <c r="R1721">
        <v>0.100572545644666</v>
      </c>
      <c r="S1721">
        <v>18.0564347186309</v>
      </c>
      <c r="T1721">
        <v>-1.4326263686996199</v>
      </c>
      <c r="U1721">
        <v>-6.13696566896202</v>
      </c>
      <c r="V1721">
        <v>0.16920298043793999</v>
      </c>
      <c r="W1721">
        <v>0.319437016880595</v>
      </c>
      <c r="X1721">
        <v>0</v>
      </c>
      <c r="Y1721">
        <v>0</v>
      </c>
    </row>
    <row r="1722" spans="1:25" x14ac:dyDescent="0.2">
      <c r="A1722" t="s">
        <v>6444</v>
      </c>
      <c r="B1722" t="s">
        <v>6445</v>
      </c>
      <c r="C1722" t="s">
        <v>6446</v>
      </c>
      <c r="D1722" t="s">
        <v>6447</v>
      </c>
      <c r="E1722" t="s">
        <v>6445</v>
      </c>
      <c r="F1722" t="s">
        <v>28</v>
      </c>
      <c r="G1722" t="s">
        <v>6445</v>
      </c>
      <c r="H1722" t="str">
        <f>"snr-2"</f>
        <v>snr-2</v>
      </c>
      <c r="I1722" t="s">
        <v>6447</v>
      </c>
      <c r="J1722">
        <v>13.728717330991101</v>
      </c>
      <c r="K1722">
        <v>13.814711999208701</v>
      </c>
      <c r="L1722">
        <v>13.6260547036606</v>
      </c>
      <c r="M1722" t="s">
        <v>29</v>
      </c>
      <c r="N1722">
        <v>12.587583965793799</v>
      </c>
      <c r="O1722">
        <v>12.945211251073101</v>
      </c>
      <c r="P1722">
        <v>-0.95676373618668697</v>
      </c>
      <c r="Q1722">
        <v>-1.4433357707312</v>
      </c>
      <c r="R1722">
        <v>-0.470191701642177</v>
      </c>
      <c r="S1722">
        <v>13.2245887881991</v>
      </c>
      <c r="T1722">
        <v>-4.1505683948443197</v>
      </c>
      <c r="U1722">
        <v>-0.82362824171942095</v>
      </c>
      <c r="V1722">
        <v>6.7736981681352398E-4</v>
      </c>
      <c r="W1722">
        <v>6.9797512242987898E-3</v>
      </c>
      <c r="X1722">
        <v>0</v>
      </c>
      <c r="Y1722">
        <v>0</v>
      </c>
    </row>
    <row r="1723" spans="1:25" x14ac:dyDescent="0.2">
      <c r="A1723" t="s">
        <v>6448</v>
      </c>
      <c r="B1723" t="s">
        <v>6449</v>
      </c>
      <c r="C1723" t="s">
        <v>14424</v>
      </c>
      <c r="D1723" t="s">
        <v>107</v>
      </c>
      <c r="E1723" t="s">
        <v>6449</v>
      </c>
      <c r="F1723" t="s">
        <v>28</v>
      </c>
      <c r="G1723" t="s">
        <v>6449</v>
      </c>
      <c r="H1723" t="str">
        <f>"F32H5.4"</f>
        <v>F32H5.4</v>
      </c>
      <c r="I1723" t="s">
        <v>107</v>
      </c>
      <c r="J1723" t="s">
        <v>29</v>
      </c>
      <c r="K1723">
        <v>10.588340036639901</v>
      </c>
      <c r="L1723" t="s">
        <v>29</v>
      </c>
      <c r="M1723" t="s">
        <v>29</v>
      </c>
      <c r="N1723" t="s">
        <v>29</v>
      </c>
      <c r="O1723" t="s">
        <v>29</v>
      </c>
      <c r="P1723" t="s">
        <v>29</v>
      </c>
      <c r="Q1723" t="s">
        <v>29</v>
      </c>
      <c r="R1723" t="s">
        <v>29</v>
      </c>
      <c r="S1723">
        <v>11.039527291019599</v>
      </c>
      <c r="T1723" t="s">
        <v>29</v>
      </c>
      <c r="U1723" t="s">
        <v>29</v>
      </c>
      <c r="V1723" t="s">
        <v>29</v>
      </c>
      <c r="W1723" t="s">
        <v>29</v>
      </c>
      <c r="X1723" t="s">
        <v>29</v>
      </c>
      <c r="Y1723" t="s">
        <v>29</v>
      </c>
    </row>
    <row r="1724" spans="1:25" x14ac:dyDescent="0.2">
      <c r="A1724" t="s">
        <v>6450</v>
      </c>
      <c r="B1724" t="s">
        <v>6451</v>
      </c>
      <c r="C1724" t="s">
        <v>14425</v>
      </c>
      <c r="D1724" t="s">
        <v>6170</v>
      </c>
      <c r="E1724" t="s">
        <v>6451</v>
      </c>
      <c r="F1724" t="s">
        <v>28</v>
      </c>
      <c r="G1724" t="s">
        <v>6451</v>
      </c>
      <c r="H1724" t="str">
        <f>"F53F1.2"</f>
        <v>F53F1.2</v>
      </c>
      <c r="I1724" t="s">
        <v>6170</v>
      </c>
      <c r="J1724" t="s">
        <v>29</v>
      </c>
      <c r="K1724" t="s">
        <v>29</v>
      </c>
      <c r="L1724" t="s">
        <v>29</v>
      </c>
      <c r="M1724" t="s">
        <v>29</v>
      </c>
      <c r="N1724" t="s">
        <v>29</v>
      </c>
      <c r="O1724" t="s">
        <v>29</v>
      </c>
      <c r="P1724" t="s">
        <v>29</v>
      </c>
      <c r="Q1724" t="s">
        <v>29</v>
      </c>
      <c r="R1724" t="s">
        <v>29</v>
      </c>
      <c r="S1724">
        <v>13.506186460093099</v>
      </c>
      <c r="T1724" t="s">
        <v>29</v>
      </c>
      <c r="U1724" t="s">
        <v>29</v>
      </c>
      <c r="V1724" t="s">
        <v>29</v>
      </c>
      <c r="W1724" t="s">
        <v>29</v>
      </c>
      <c r="X1724" t="s">
        <v>29</v>
      </c>
      <c r="Y1724" t="s">
        <v>29</v>
      </c>
    </row>
    <row r="1725" spans="1:25" x14ac:dyDescent="0.2">
      <c r="A1725" t="s">
        <v>6452</v>
      </c>
      <c r="B1725" t="s">
        <v>6453</v>
      </c>
      <c r="C1725" t="s">
        <v>6454</v>
      </c>
      <c r="D1725" t="s">
        <v>6455</v>
      </c>
      <c r="E1725" t="s">
        <v>6453</v>
      </c>
      <c r="F1725" t="s">
        <v>28</v>
      </c>
      <c r="G1725" t="s">
        <v>6453</v>
      </c>
      <c r="H1725" t="str">
        <f>"cpz-2"</f>
        <v>cpz-2</v>
      </c>
      <c r="I1725" t="s">
        <v>6455</v>
      </c>
      <c r="J1725">
        <v>14.325666591068</v>
      </c>
      <c r="K1725">
        <v>13.8591989453036</v>
      </c>
      <c r="L1725">
        <v>13.017863127219201</v>
      </c>
      <c r="M1725">
        <v>14.7548992167318</v>
      </c>
      <c r="N1725">
        <v>12.8347022979291</v>
      </c>
      <c r="O1725" t="s">
        <v>29</v>
      </c>
      <c r="P1725">
        <v>6.05578694668054E-2</v>
      </c>
      <c r="Q1725">
        <v>-1.0407139258202001</v>
      </c>
      <c r="R1725">
        <v>1.16182966475381</v>
      </c>
      <c r="S1725">
        <v>13.565403341135999</v>
      </c>
      <c r="T1725">
        <v>0.116634115626188</v>
      </c>
      <c r="U1725">
        <v>-7.0383022124291896</v>
      </c>
      <c r="V1725">
        <v>0.90861094822864696</v>
      </c>
      <c r="W1725">
        <v>0.94517347844328303</v>
      </c>
      <c r="X1725">
        <v>0</v>
      </c>
      <c r="Y1725">
        <v>0</v>
      </c>
    </row>
    <row r="1726" spans="1:25" x14ac:dyDescent="0.2">
      <c r="A1726" t="s">
        <v>6456</v>
      </c>
      <c r="B1726" t="s">
        <v>6457</v>
      </c>
      <c r="C1726" t="s">
        <v>14426</v>
      </c>
      <c r="D1726" t="s">
        <v>6458</v>
      </c>
      <c r="E1726" t="s">
        <v>6457</v>
      </c>
      <c r="F1726" t="s">
        <v>28</v>
      </c>
      <c r="G1726" t="s">
        <v>6457</v>
      </c>
      <c r="H1726" t="str">
        <f>"T10G3.3"</f>
        <v>T10G3.3</v>
      </c>
      <c r="I1726" t="s">
        <v>6458</v>
      </c>
      <c r="J1726" t="s">
        <v>29</v>
      </c>
      <c r="K1726" t="s">
        <v>29</v>
      </c>
      <c r="L1726" t="s">
        <v>29</v>
      </c>
      <c r="M1726" t="s">
        <v>29</v>
      </c>
      <c r="N1726" t="s">
        <v>29</v>
      </c>
      <c r="O1726" t="s">
        <v>29</v>
      </c>
      <c r="P1726" t="s">
        <v>29</v>
      </c>
      <c r="Q1726" t="s">
        <v>29</v>
      </c>
      <c r="R1726" t="s">
        <v>29</v>
      </c>
      <c r="S1726">
        <v>12.616666857075</v>
      </c>
      <c r="T1726" t="s">
        <v>29</v>
      </c>
      <c r="U1726" t="s">
        <v>29</v>
      </c>
      <c r="V1726" t="s">
        <v>29</v>
      </c>
      <c r="W1726" t="s">
        <v>29</v>
      </c>
      <c r="X1726" t="s">
        <v>29</v>
      </c>
      <c r="Y1726" t="s">
        <v>29</v>
      </c>
    </row>
    <row r="1727" spans="1:25" x14ac:dyDescent="0.2">
      <c r="A1727" t="s">
        <v>6459</v>
      </c>
      <c r="B1727" t="s">
        <v>6460</v>
      </c>
      <c r="C1727" t="s">
        <v>6461</v>
      </c>
      <c r="D1727" t="s">
        <v>6462</v>
      </c>
      <c r="E1727" t="s">
        <v>6460</v>
      </c>
      <c r="F1727" t="s">
        <v>28</v>
      </c>
      <c r="G1727" t="s">
        <v>6460</v>
      </c>
      <c r="H1727" t="str">
        <f>"let-502"</f>
        <v>let-502</v>
      </c>
      <c r="I1727" t="s">
        <v>6462</v>
      </c>
      <c r="J1727">
        <v>13.8453881650633</v>
      </c>
      <c r="K1727">
        <v>13.635649773754899</v>
      </c>
      <c r="L1727">
        <v>13.686741582922499</v>
      </c>
      <c r="M1727" t="s">
        <v>29</v>
      </c>
      <c r="N1727">
        <v>13.2014824811825</v>
      </c>
      <c r="O1727">
        <v>13.333259610675499</v>
      </c>
      <c r="P1727">
        <v>-0.45522212798455403</v>
      </c>
      <c r="Q1727">
        <v>-0.78242837402137499</v>
      </c>
      <c r="R1727">
        <v>-0.128015881947733</v>
      </c>
      <c r="S1727">
        <v>13.605267638429901</v>
      </c>
      <c r="T1727">
        <v>-2.9366473191399098</v>
      </c>
      <c r="U1727">
        <v>-3.3894317430159302</v>
      </c>
      <c r="V1727">
        <v>9.2623852136132397E-3</v>
      </c>
      <c r="W1727">
        <v>4.33634090449583E-2</v>
      </c>
      <c r="X1727">
        <v>0</v>
      </c>
      <c r="Y1727">
        <v>0</v>
      </c>
    </row>
    <row r="1728" spans="1:25" x14ac:dyDescent="0.2">
      <c r="A1728" t="s">
        <v>6463</v>
      </c>
      <c r="B1728" t="s">
        <v>6464</v>
      </c>
      <c r="C1728" t="s">
        <v>6465</v>
      </c>
      <c r="D1728" t="s">
        <v>6466</v>
      </c>
      <c r="E1728" t="s">
        <v>6464</v>
      </c>
      <c r="F1728" t="s">
        <v>28</v>
      </c>
      <c r="G1728" t="s">
        <v>6464</v>
      </c>
      <c r="H1728" t="str">
        <f>"ucr-1"</f>
        <v>ucr-1</v>
      </c>
      <c r="I1728" t="s">
        <v>6466</v>
      </c>
      <c r="J1728">
        <v>18.016131714232301</v>
      </c>
      <c r="K1728">
        <v>18.248762778690701</v>
      </c>
      <c r="L1728">
        <v>18.1931663425379</v>
      </c>
      <c r="M1728">
        <v>17.755868594050799</v>
      </c>
      <c r="N1728">
        <v>18.114436757071299</v>
      </c>
      <c r="O1728">
        <v>17.867488208192999</v>
      </c>
      <c r="P1728">
        <v>-0.24008909204857801</v>
      </c>
      <c r="Q1728">
        <v>-0.691641857930273</v>
      </c>
      <c r="R1728">
        <v>0.21146367383311701</v>
      </c>
      <c r="S1728">
        <v>18.1914326072128</v>
      </c>
      <c r="T1728">
        <v>-1.1175229109179801</v>
      </c>
      <c r="U1728">
        <v>-6.5228984947263502</v>
      </c>
      <c r="V1728">
        <v>0.27855018858473102</v>
      </c>
      <c r="W1728">
        <v>0.44620237802377999</v>
      </c>
      <c r="X1728">
        <v>0</v>
      </c>
      <c r="Y1728">
        <v>0</v>
      </c>
    </row>
    <row r="1729" spans="1:25" x14ac:dyDescent="0.2">
      <c r="A1729" t="s">
        <v>6467</v>
      </c>
      <c r="B1729" t="s">
        <v>6468</v>
      </c>
      <c r="C1729" t="s">
        <v>6469</v>
      </c>
      <c r="D1729" t="s">
        <v>6470</v>
      </c>
      <c r="E1729" t="s">
        <v>6468</v>
      </c>
      <c r="F1729" t="s">
        <v>28</v>
      </c>
      <c r="G1729" t="s">
        <v>6468</v>
      </c>
      <c r="H1729" t="str">
        <f>"hipr-1"</f>
        <v>hipr-1</v>
      </c>
      <c r="I1729" t="s">
        <v>6470</v>
      </c>
      <c r="J1729">
        <v>12.863884885052499</v>
      </c>
      <c r="K1729">
        <v>12.5042647240567</v>
      </c>
      <c r="L1729">
        <v>12.537959764995</v>
      </c>
      <c r="M1729" t="s">
        <v>29</v>
      </c>
      <c r="N1729" t="s">
        <v>29</v>
      </c>
      <c r="O1729">
        <v>12.312354184782301</v>
      </c>
      <c r="P1729">
        <v>-0.32301560658579098</v>
      </c>
      <c r="Q1729">
        <v>-1.0451534134614999</v>
      </c>
      <c r="R1729">
        <v>0.39912220028991502</v>
      </c>
      <c r="S1729">
        <v>12.6356528025534</v>
      </c>
      <c r="T1729">
        <v>-0.94875254310198898</v>
      </c>
      <c r="U1729">
        <v>-6.3530431727955197</v>
      </c>
      <c r="V1729">
        <v>0.35694934064123601</v>
      </c>
      <c r="W1729">
        <v>0.52701889121729595</v>
      </c>
      <c r="X1729">
        <v>0</v>
      </c>
      <c r="Y1729">
        <v>0</v>
      </c>
    </row>
    <row r="1730" spans="1:25" x14ac:dyDescent="0.2">
      <c r="A1730" t="s">
        <v>6471</v>
      </c>
      <c r="B1730" t="s">
        <v>6472</v>
      </c>
      <c r="C1730" t="s">
        <v>6473</v>
      </c>
      <c r="D1730" t="s">
        <v>6474</v>
      </c>
      <c r="E1730" t="s">
        <v>6472</v>
      </c>
      <c r="F1730" t="s">
        <v>28</v>
      </c>
      <c r="G1730" t="s">
        <v>6472</v>
      </c>
      <c r="H1730" t="str">
        <f>"sma-2"</f>
        <v>sma-2</v>
      </c>
      <c r="I1730" t="s">
        <v>6474</v>
      </c>
      <c r="J1730" t="s">
        <v>29</v>
      </c>
      <c r="K1730">
        <v>11.408325630613399</v>
      </c>
      <c r="L1730" t="s">
        <v>29</v>
      </c>
      <c r="M1730" t="s">
        <v>29</v>
      </c>
      <c r="N1730" t="s">
        <v>29</v>
      </c>
      <c r="O1730" t="s">
        <v>29</v>
      </c>
      <c r="P1730" t="s">
        <v>29</v>
      </c>
      <c r="Q1730" t="s">
        <v>29</v>
      </c>
      <c r="R1730" t="s">
        <v>29</v>
      </c>
      <c r="S1730">
        <v>11.333676258879899</v>
      </c>
      <c r="T1730" t="s">
        <v>29</v>
      </c>
      <c r="U1730" t="s">
        <v>29</v>
      </c>
      <c r="V1730" t="s">
        <v>29</v>
      </c>
      <c r="W1730" t="s">
        <v>29</v>
      </c>
      <c r="X1730" t="s">
        <v>29</v>
      </c>
      <c r="Y1730" t="s">
        <v>29</v>
      </c>
    </row>
    <row r="1731" spans="1:25" x14ac:dyDescent="0.2">
      <c r="A1731" t="s">
        <v>6475</v>
      </c>
      <c r="B1731" t="s">
        <v>6476</v>
      </c>
      <c r="C1731" t="s">
        <v>6477</v>
      </c>
      <c r="D1731" t="s">
        <v>6478</v>
      </c>
      <c r="E1731" t="s">
        <v>6476</v>
      </c>
      <c r="F1731" t="s">
        <v>28</v>
      </c>
      <c r="G1731" t="s">
        <v>6476</v>
      </c>
      <c r="H1731" t="str">
        <f>"ZK370.4"</f>
        <v>ZK370.4</v>
      </c>
      <c r="I1731" t="s">
        <v>6478</v>
      </c>
      <c r="J1731">
        <v>12.6732702301339</v>
      </c>
      <c r="K1731">
        <v>12.980941578023399</v>
      </c>
      <c r="L1731">
        <v>12.6825459731312</v>
      </c>
      <c r="M1731" t="s">
        <v>29</v>
      </c>
      <c r="N1731">
        <v>13.167791826597099</v>
      </c>
      <c r="O1731">
        <v>12.728521206750001</v>
      </c>
      <c r="P1731">
        <v>0.169237256244061</v>
      </c>
      <c r="Q1731">
        <v>-0.28535746584544203</v>
      </c>
      <c r="R1731">
        <v>0.62383197833356496</v>
      </c>
      <c r="S1731">
        <v>12.8809495675004</v>
      </c>
      <c r="T1731">
        <v>0.78581732528958403</v>
      </c>
      <c r="U1731">
        <v>-6.7267135833606897</v>
      </c>
      <c r="V1731">
        <v>0.44285657432929898</v>
      </c>
      <c r="W1731">
        <v>0.60758767437078398</v>
      </c>
      <c r="X1731">
        <v>0</v>
      </c>
      <c r="Y1731">
        <v>0</v>
      </c>
    </row>
    <row r="1732" spans="1:25" x14ac:dyDescent="0.2">
      <c r="A1732" t="s">
        <v>6479</v>
      </c>
      <c r="B1732" t="s">
        <v>6480</v>
      </c>
      <c r="C1732" t="s">
        <v>6481</v>
      </c>
      <c r="D1732" t="s">
        <v>6482</v>
      </c>
      <c r="E1732" t="s">
        <v>6480</v>
      </c>
      <c r="F1732" t="s">
        <v>28</v>
      </c>
      <c r="G1732" t="s">
        <v>6480</v>
      </c>
      <c r="H1732" t="str">
        <f>"pdhk-2"</f>
        <v>pdhk-2</v>
      </c>
      <c r="I1732" t="s">
        <v>6482</v>
      </c>
      <c r="J1732">
        <v>14.6936131698402</v>
      </c>
      <c r="K1732">
        <v>14.5698999069898</v>
      </c>
      <c r="L1732">
        <v>14.5649523747648</v>
      </c>
      <c r="M1732">
        <v>11.8178172481964</v>
      </c>
      <c r="N1732">
        <v>14.2351540449792</v>
      </c>
      <c r="O1732">
        <v>14.5692479487562</v>
      </c>
      <c r="P1732">
        <v>-1.0687487365542701</v>
      </c>
      <c r="Q1732">
        <v>-1.99386471962789</v>
      </c>
      <c r="R1732">
        <v>-0.14363275348064999</v>
      </c>
      <c r="S1732">
        <v>14.3378949615457</v>
      </c>
      <c r="T1732">
        <v>-2.42813004719833</v>
      </c>
      <c r="U1732">
        <v>-4.4843978027852902</v>
      </c>
      <c r="V1732">
        <v>2.5953229892952099E-2</v>
      </c>
      <c r="W1732">
        <v>8.7564757210541397E-2</v>
      </c>
      <c r="X1732">
        <v>-1</v>
      </c>
      <c r="Y1732">
        <v>0</v>
      </c>
    </row>
    <row r="1733" spans="1:25" x14ac:dyDescent="0.2">
      <c r="A1733" t="s">
        <v>6483</v>
      </c>
      <c r="B1733" t="s">
        <v>6484</v>
      </c>
      <c r="C1733" t="s">
        <v>6485</v>
      </c>
      <c r="D1733" t="s">
        <v>6486</v>
      </c>
      <c r="E1733" t="s">
        <v>6484</v>
      </c>
      <c r="F1733" t="s">
        <v>28</v>
      </c>
      <c r="G1733" t="s">
        <v>6484</v>
      </c>
      <c r="H1733" t="str">
        <f>"ugtp-1"</f>
        <v>ugtp-1</v>
      </c>
      <c r="I1733" t="s">
        <v>6486</v>
      </c>
      <c r="J1733">
        <v>10.146685084359399</v>
      </c>
      <c r="K1733">
        <v>10.7058294005561</v>
      </c>
      <c r="L1733">
        <v>9.7976755284417791</v>
      </c>
      <c r="M1733" t="s">
        <v>29</v>
      </c>
      <c r="N1733" t="s">
        <v>29</v>
      </c>
      <c r="O1733">
        <v>10.3962383860167</v>
      </c>
      <c r="P1733">
        <v>0.17950838156424001</v>
      </c>
      <c r="Q1733">
        <v>-0.84399060631867895</v>
      </c>
      <c r="R1733">
        <v>1.2030073694471599</v>
      </c>
      <c r="S1733">
        <v>11.1423901751687</v>
      </c>
      <c r="T1733">
        <v>0.37921417098235199</v>
      </c>
      <c r="U1733">
        <v>-6.7365701171879104</v>
      </c>
      <c r="V1733">
        <v>0.71069981083641698</v>
      </c>
      <c r="W1733">
        <v>0.812348134841412</v>
      </c>
      <c r="X1733">
        <v>0</v>
      </c>
      <c r="Y1733">
        <v>0</v>
      </c>
    </row>
    <row r="1734" spans="1:25" x14ac:dyDescent="0.2">
      <c r="A1734" t="s">
        <v>6487</v>
      </c>
      <c r="B1734" t="s">
        <v>6488</v>
      </c>
      <c r="C1734" t="s">
        <v>6489</v>
      </c>
      <c r="D1734" t="s">
        <v>6490</v>
      </c>
      <c r="E1734" t="s">
        <v>6488</v>
      </c>
      <c r="F1734" t="s">
        <v>28</v>
      </c>
      <c r="G1734" t="s">
        <v>6488</v>
      </c>
      <c r="H1734" t="str">
        <f>"tomm-70"</f>
        <v>tomm-70</v>
      </c>
      <c r="I1734" t="s">
        <v>6490</v>
      </c>
      <c r="J1734">
        <v>14.6715276446172</v>
      </c>
      <c r="K1734">
        <v>14.274778386949301</v>
      </c>
      <c r="L1734">
        <v>14.6217054482506</v>
      </c>
      <c r="M1734">
        <v>13.896917330580401</v>
      </c>
      <c r="N1734">
        <v>15.1643665846166</v>
      </c>
      <c r="O1734">
        <v>14.914806643492399</v>
      </c>
      <c r="P1734">
        <v>0.13602635962408099</v>
      </c>
      <c r="Q1734">
        <v>-0.60203867569723701</v>
      </c>
      <c r="R1734">
        <v>0.874091394945399</v>
      </c>
      <c r="S1734">
        <v>15.452358207055999</v>
      </c>
      <c r="T1734">
        <v>0.387365516411874</v>
      </c>
      <c r="U1734">
        <v>-7.0778860791638598</v>
      </c>
      <c r="V1734">
        <v>0.70305415135156502</v>
      </c>
      <c r="W1734">
        <v>0.80712917180875099</v>
      </c>
      <c r="X1734">
        <v>0</v>
      </c>
      <c r="Y1734">
        <v>0</v>
      </c>
    </row>
    <row r="1735" spans="1:25" x14ac:dyDescent="0.2">
      <c r="A1735" t="s">
        <v>6491</v>
      </c>
      <c r="B1735" t="s">
        <v>6492</v>
      </c>
      <c r="C1735" t="s">
        <v>6493</v>
      </c>
      <c r="D1735" t="s">
        <v>6494</v>
      </c>
      <c r="E1735" t="s">
        <v>6492</v>
      </c>
      <c r="F1735" t="s">
        <v>28</v>
      </c>
      <c r="G1735" t="s">
        <v>6492</v>
      </c>
      <c r="H1735" t="str">
        <f>"ced-10"</f>
        <v>ced-10</v>
      </c>
      <c r="I1735" t="s">
        <v>6494</v>
      </c>
      <c r="J1735">
        <v>15.376938842799101</v>
      </c>
      <c r="K1735">
        <v>15.603424766032401</v>
      </c>
      <c r="L1735">
        <v>15.464432163647301</v>
      </c>
      <c r="M1735">
        <v>15.5428903951259</v>
      </c>
      <c r="N1735">
        <v>15.1155999746059</v>
      </c>
      <c r="O1735">
        <v>15.080405816511</v>
      </c>
      <c r="P1735">
        <v>-0.235299862078692</v>
      </c>
      <c r="Q1735">
        <v>-0.61726413078016196</v>
      </c>
      <c r="R1735">
        <v>0.14666440662277699</v>
      </c>
      <c r="S1735">
        <v>15.211161939673101</v>
      </c>
      <c r="T1735">
        <v>-1.2947664801376899</v>
      </c>
      <c r="U1735">
        <v>-6.3155629944842797</v>
      </c>
      <c r="V1735">
        <v>0.21185842068356101</v>
      </c>
      <c r="W1735">
        <v>0.37362588230841898</v>
      </c>
      <c r="X1735">
        <v>0</v>
      </c>
      <c r="Y1735">
        <v>0</v>
      </c>
    </row>
    <row r="1736" spans="1:25" x14ac:dyDescent="0.2">
      <c r="A1736" t="s">
        <v>6495</v>
      </c>
      <c r="B1736" t="s">
        <v>6496</v>
      </c>
      <c r="C1736" t="s">
        <v>6497</v>
      </c>
      <c r="D1736" t="s">
        <v>6498</v>
      </c>
      <c r="E1736" t="s">
        <v>6496</v>
      </c>
      <c r="F1736" t="s">
        <v>28</v>
      </c>
      <c r="G1736" t="s">
        <v>6496</v>
      </c>
      <c r="H1736" t="str">
        <f>"ctr-9"</f>
        <v>ctr-9</v>
      </c>
      <c r="I1736" t="s">
        <v>6498</v>
      </c>
      <c r="J1736">
        <v>13.364216196947099</v>
      </c>
      <c r="K1736">
        <v>13.5098330752583</v>
      </c>
      <c r="L1736">
        <v>12.8323646824592</v>
      </c>
      <c r="M1736">
        <v>14.615916674128</v>
      </c>
      <c r="N1736">
        <v>13.4023408162696</v>
      </c>
      <c r="O1736">
        <v>13.670081302459799</v>
      </c>
      <c r="P1736">
        <v>0.66064161273097</v>
      </c>
      <c r="Q1736">
        <v>6.9653764484367803E-2</v>
      </c>
      <c r="R1736">
        <v>1.25162946097757</v>
      </c>
      <c r="S1736">
        <v>13.364225782442</v>
      </c>
      <c r="T1736">
        <v>2.3495240114917402</v>
      </c>
      <c r="U1736">
        <v>-4.6335422263306496</v>
      </c>
      <c r="V1736">
        <v>3.0482528228328701E-2</v>
      </c>
      <c r="W1736">
        <v>9.73261220897991E-2</v>
      </c>
      <c r="X1736">
        <v>0</v>
      </c>
      <c r="Y1736">
        <v>0</v>
      </c>
    </row>
    <row r="1737" spans="1:25" x14ac:dyDescent="0.2">
      <c r="A1737" t="s">
        <v>6499</v>
      </c>
      <c r="B1737" t="s">
        <v>6500</v>
      </c>
      <c r="C1737" t="s">
        <v>6501</v>
      </c>
      <c r="D1737" t="s">
        <v>6502</v>
      </c>
      <c r="E1737" t="s">
        <v>6500</v>
      </c>
      <c r="F1737" t="s">
        <v>28</v>
      </c>
      <c r="G1737" t="s">
        <v>6500</v>
      </c>
      <c r="H1737" t="str">
        <f>"bre-3"</f>
        <v>bre-3</v>
      </c>
      <c r="I1737" t="s">
        <v>6502</v>
      </c>
      <c r="J1737" t="s">
        <v>29</v>
      </c>
      <c r="K1737" t="s">
        <v>29</v>
      </c>
      <c r="L1737">
        <v>11.659893475585401</v>
      </c>
      <c r="M1737" t="s">
        <v>29</v>
      </c>
      <c r="N1737" t="s">
        <v>29</v>
      </c>
      <c r="O1737" t="s">
        <v>29</v>
      </c>
      <c r="P1737" t="s">
        <v>29</v>
      </c>
      <c r="Q1737" t="s">
        <v>29</v>
      </c>
      <c r="R1737" t="s">
        <v>29</v>
      </c>
      <c r="S1737">
        <v>11.773036963516599</v>
      </c>
      <c r="T1737" t="s">
        <v>29</v>
      </c>
      <c r="U1737" t="s">
        <v>29</v>
      </c>
      <c r="V1737" t="s">
        <v>29</v>
      </c>
      <c r="W1737" t="s">
        <v>29</v>
      </c>
      <c r="X1737" t="s">
        <v>29</v>
      </c>
      <c r="Y1737" t="s">
        <v>29</v>
      </c>
    </row>
    <row r="1738" spans="1:25" x14ac:dyDescent="0.2">
      <c r="A1738" t="s">
        <v>6503</v>
      </c>
      <c r="B1738" t="s">
        <v>6504</v>
      </c>
      <c r="C1738" t="s">
        <v>6505</v>
      </c>
      <c r="D1738" t="s">
        <v>6506</v>
      </c>
      <c r="E1738" t="s">
        <v>6504</v>
      </c>
      <c r="F1738" t="s">
        <v>28</v>
      </c>
      <c r="G1738" t="s">
        <v>6504</v>
      </c>
      <c r="H1738" t="str">
        <f>"spk-1"</f>
        <v>spk-1</v>
      </c>
      <c r="I1738" t="s">
        <v>6506</v>
      </c>
      <c r="J1738">
        <v>11.2608229600214</v>
      </c>
      <c r="K1738" t="s">
        <v>29</v>
      </c>
      <c r="L1738">
        <v>11.387234452959699</v>
      </c>
      <c r="M1738" t="s">
        <v>29</v>
      </c>
      <c r="N1738">
        <v>12.673795211176801</v>
      </c>
      <c r="O1738" t="s">
        <v>29</v>
      </c>
      <c r="P1738">
        <v>1.3497665046862299</v>
      </c>
      <c r="Q1738">
        <v>0.44521985943709103</v>
      </c>
      <c r="R1738">
        <v>2.2543131499353799</v>
      </c>
      <c r="S1738">
        <v>11.888923276181799</v>
      </c>
      <c r="T1738">
        <v>3.20272442724441</v>
      </c>
      <c r="U1738">
        <v>-2.7099938414712601</v>
      </c>
      <c r="V1738">
        <v>6.4384330043661996E-3</v>
      </c>
      <c r="W1738">
        <v>3.3582410732508297E-2</v>
      </c>
      <c r="X1738">
        <v>1</v>
      </c>
      <c r="Y1738">
        <v>1</v>
      </c>
    </row>
    <row r="1739" spans="1:25" x14ac:dyDescent="0.2">
      <c r="A1739" t="s">
        <v>6507</v>
      </c>
      <c r="B1739" t="s">
        <v>6508</v>
      </c>
      <c r="C1739" t="s">
        <v>6509</v>
      </c>
      <c r="D1739" t="s">
        <v>6510</v>
      </c>
      <c r="E1739" t="s">
        <v>6508</v>
      </c>
      <c r="F1739" t="s">
        <v>28</v>
      </c>
      <c r="G1739" t="s">
        <v>6508</v>
      </c>
      <c r="H1739" t="str">
        <f>"B0464.6"</f>
        <v>B0464.6</v>
      </c>
      <c r="I1739" t="s">
        <v>6510</v>
      </c>
      <c r="J1739">
        <v>14.5438073000528</v>
      </c>
      <c r="K1739">
        <v>13.9727792171291</v>
      </c>
      <c r="L1739">
        <v>14.502187251893799</v>
      </c>
      <c r="M1739" t="s">
        <v>29</v>
      </c>
      <c r="N1739">
        <v>14.014605617202999</v>
      </c>
      <c r="O1739">
        <v>13.9243272258584</v>
      </c>
      <c r="P1739">
        <v>-0.37012483482786102</v>
      </c>
      <c r="Q1739">
        <v>-0.80832041432492197</v>
      </c>
      <c r="R1739">
        <v>6.8070744669200697E-2</v>
      </c>
      <c r="S1739">
        <v>14.544931647526999</v>
      </c>
      <c r="T1739">
        <v>-1.78291339419437</v>
      </c>
      <c r="U1739">
        <v>-5.5154731010004197</v>
      </c>
      <c r="V1739">
        <v>9.2576374047918505E-2</v>
      </c>
      <c r="W1739">
        <v>0.20637108496158499</v>
      </c>
      <c r="X1739">
        <v>0</v>
      </c>
      <c r="Y1739">
        <v>0</v>
      </c>
    </row>
    <row r="1740" spans="1:25" x14ac:dyDescent="0.2">
      <c r="A1740" t="s">
        <v>6511</v>
      </c>
      <c r="B1740" t="s">
        <v>6512</v>
      </c>
      <c r="C1740" t="s">
        <v>6513</v>
      </c>
      <c r="D1740" t="s">
        <v>6514</v>
      </c>
      <c r="E1740" t="s">
        <v>6512</v>
      </c>
      <c r="F1740" t="s">
        <v>28</v>
      </c>
      <c r="G1740" t="s">
        <v>6512</v>
      </c>
      <c r="H1740" t="str">
        <f>"C38C10.2"</f>
        <v>C38C10.2</v>
      </c>
      <c r="I1740" t="s">
        <v>6514</v>
      </c>
      <c r="J1740">
        <v>13.155119878993901</v>
      </c>
      <c r="K1740">
        <v>12.5213295406994</v>
      </c>
      <c r="L1740">
        <v>12.8149500019897</v>
      </c>
      <c r="M1740" t="s">
        <v>29</v>
      </c>
      <c r="N1740">
        <v>11.5882164471978</v>
      </c>
      <c r="O1740">
        <v>12.6495415841678</v>
      </c>
      <c r="P1740">
        <v>-0.71158745821152403</v>
      </c>
      <c r="Q1740">
        <v>-1.38116080992347</v>
      </c>
      <c r="R1740">
        <v>-4.2014106499580699E-2</v>
      </c>
      <c r="S1740">
        <v>12.714518709214801</v>
      </c>
      <c r="T1740">
        <v>-2.26658353675005</v>
      </c>
      <c r="U1740">
        <v>-4.7107995580690396</v>
      </c>
      <c r="V1740">
        <v>3.87494530062839E-2</v>
      </c>
      <c r="W1740">
        <v>0.11581606288997801</v>
      </c>
      <c r="X1740">
        <v>0</v>
      </c>
      <c r="Y1740">
        <v>0</v>
      </c>
    </row>
    <row r="1741" spans="1:25" x14ac:dyDescent="0.2">
      <c r="A1741" t="s">
        <v>6515</v>
      </c>
      <c r="B1741" t="s">
        <v>6516</v>
      </c>
      <c r="C1741" t="s">
        <v>6517</v>
      </c>
      <c r="D1741" t="s">
        <v>6518</v>
      </c>
      <c r="E1741" t="s">
        <v>6516</v>
      </c>
      <c r="F1741" t="s">
        <v>28</v>
      </c>
      <c r="G1741" t="s">
        <v>6516</v>
      </c>
      <c r="H1741" t="str">
        <f>"C38C10.3"</f>
        <v>C38C10.3</v>
      </c>
      <c r="I1741" t="s">
        <v>6518</v>
      </c>
      <c r="J1741">
        <v>11.4558623909269</v>
      </c>
      <c r="K1741" t="s">
        <v>29</v>
      </c>
      <c r="L1741">
        <v>12.384277111809499</v>
      </c>
      <c r="M1741" t="s">
        <v>29</v>
      </c>
      <c r="N1741" t="s">
        <v>29</v>
      </c>
      <c r="O1741">
        <v>12.293214318889399</v>
      </c>
      <c r="P1741">
        <v>0.37314456752118602</v>
      </c>
      <c r="Q1741">
        <v>-0.83531002906712004</v>
      </c>
      <c r="R1741">
        <v>1.58159916410949</v>
      </c>
      <c r="S1741">
        <v>12.033919077976099</v>
      </c>
      <c r="T1741">
        <v>0.66762721174301198</v>
      </c>
      <c r="U1741">
        <v>-6.5216574870310202</v>
      </c>
      <c r="V1741">
        <v>0.51614257656162199</v>
      </c>
      <c r="W1741">
        <v>0.66889717375862001</v>
      </c>
      <c r="X1741">
        <v>0</v>
      </c>
      <c r="Y1741">
        <v>0</v>
      </c>
    </row>
    <row r="1742" spans="1:25" x14ac:dyDescent="0.2">
      <c r="A1742" t="s">
        <v>6519</v>
      </c>
      <c r="B1742" t="s">
        <v>6520</v>
      </c>
      <c r="C1742" t="s">
        <v>6521</v>
      </c>
      <c r="D1742" t="s">
        <v>6522</v>
      </c>
      <c r="E1742" t="s">
        <v>6520</v>
      </c>
      <c r="F1742" t="s">
        <v>28</v>
      </c>
      <c r="G1742" t="s">
        <v>6520</v>
      </c>
      <c r="H1742" t="str">
        <f>"rgr-1"</f>
        <v>rgr-1</v>
      </c>
      <c r="I1742" t="s">
        <v>6522</v>
      </c>
      <c r="J1742">
        <v>13.2594126491075</v>
      </c>
      <c r="K1742">
        <v>13.071836736626601</v>
      </c>
      <c r="L1742">
        <v>12.8120415819906</v>
      </c>
      <c r="M1742">
        <v>12.595245242474601</v>
      </c>
      <c r="N1742">
        <v>12.984715376548801</v>
      </c>
      <c r="O1742">
        <v>12.9845720275059</v>
      </c>
      <c r="P1742">
        <v>-0.192919440398541</v>
      </c>
      <c r="Q1742">
        <v>-0.55685805385073395</v>
      </c>
      <c r="R1742">
        <v>0.171019173053653</v>
      </c>
      <c r="S1742">
        <v>13.1085786620991</v>
      </c>
      <c r="T1742">
        <v>-1.1141415491967499</v>
      </c>
      <c r="U1742">
        <v>-6.5265994728591599</v>
      </c>
      <c r="V1742">
        <v>0.27995943375617799</v>
      </c>
      <c r="W1742">
        <v>0.44741889982617</v>
      </c>
      <c r="X1742">
        <v>0</v>
      </c>
      <c r="Y1742">
        <v>0</v>
      </c>
    </row>
    <row r="1743" spans="1:25" x14ac:dyDescent="0.2">
      <c r="A1743" t="s">
        <v>6523</v>
      </c>
      <c r="B1743" t="s">
        <v>6524</v>
      </c>
      <c r="C1743" t="s">
        <v>6525</v>
      </c>
      <c r="D1743" t="s">
        <v>6526</v>
      </c>
      <c r="E1743" t="s">
        <v>6524</v>
      </c>
      <c r="F1743" t="s">
        <v>28</v>
      </c>
      <c r="G1743" t="s">
        <v>6524</v>
      </c>
      <c r="H1743" t="str">
        <f>"elo-4"</f>
        <v>elo-4</v>
      </c>
      <c r="I1743" t="s">
        <v>6526</v>
      </c>
      <c r="J1743">
        <v>13.8916771556366</v>
      </c>
      <c r="K1743">
        <v>13.7371518774886</v>
      </c>
      <c r="L1743">
        <v>13.8602467982167</v>
      </c>
      <c r="M1743" t="s">
        <v>29</v>
      </c>
      <c r="N1743" t="s">
        <v>29</v>
      </c>
      <c r="O1743" t="s">
        <v>29</v>
      </c>
      <c r="P1743" t="s">
        <v>29</v>
      </c>
      <c r="Q1743" t="s">
        <v>29</v>
      </c>
      <c r="R1743" t="s">
        <v>29</v>
      </c>
      <c r="S1743">
        <v>13.9844443965815</v>
      </c>
      <c r="T1743" t="s">
        <v>29</v>
      </c>
      <c r="U1743" t="s">
        <v>29</v>
      </c>
      <c r="V1743" t="s">
        <v>29</v>
      </c>
      <c r="W1743" t="s">
        <v>29</v>
      </c>
      <c r="X1743" t="s">
        <v>29</v>
      </c>
      <c r="Y1743" t="s">
        <v>29</v>
      </c>
    </row>
    <row r="1744" spans="1:25" x14ac:dyDescent="0.2">
      <c r="A1744" t="s">
        <v>6527</v>
      </c>
      <c r="B1744" t="s">
        <v>6528</v>
      </c>
      <c r="C1744" t="s">
        <v>6529</v>
      </c>
      <c r="D1744" t="s">
        <v>6530</v>
      </c>
      <c r="E1744" t="s">
        <v>6528</v>
      </c>
      <c r="F1744" t="s">
        <v>28</v>
      </c>
      <c r="G1744" t="s">
        <v>6528</v>
      </c>
      <c r="H1744" t="str">
        <f>"dars-1"</f>
        <v>dars-1</v>
      </c>
      <c r="I1744" t="s">
        <v>6530</v>
      </c>
      <c r="J1744">
        <v>18.3065928110389</v>
      </c>
      <c r="K1744">
        <v>18.1960325170547</v>
      </c>
      <c r="L1744">
        <v>18.222764150212502</v>
      </c>
      <c r="M1744">
        <v>17.808920104199</v>
      </c>
      <c r="N1744">
        <v>18.074683921571999</v>
      </c>
      <c r="O1744">
        <v>18.097698094392999</v>
      </c>
      <c r="P1744">
        <v>-0.248029119380725</v>
      </c>
      <c r="Q1744">
        <v>-0.58248297210472499</v>
      </c>
      <c r="R1744">
        <v>8.6424733343275398E-2</v>
      </c>
      <c r="S1744">
        <v>17.8931511931827</v>
      </c>
      <c r="T1744">
        <v>-1.55868724432077</v>
      </c>
      <c r="U1744">
        <v>-5.9612224578188204</v>
      </c>
      <c r="V1744">
        <v>0.136579834639074</v>
      </c>
      <c r="W1744">
        <v>0.27325239150125702</v>
      </c>
      <c r="X1744">
        <v>0</v>
      </c>
      <c r="Y1744">
        <v>0</v>
      </c>
    </row>
    <row r="1745" spans="1:25" x14ac:dyDescent="0.2">
      <c r="A1745" t="s">
        <v>6531</v>
      </c>
      <c r="B1745" t="s">
        <v>6532</v>
      </c>
      <c r="C1745" t="s">
        <v>6533</v>
      </c>
      <c r="D1745" t="s">
        <v>6534</v>
      </c>
      <c r="E1745" t="s">
        <v>6532</v>
      </c>
      <c r="F1745" t="s">
        <v>28</v>
      </c>
      <c r="G1745" t="s">
        <v>6532</v>
      </c>
      <c r="H1745" t="str">
        <f>"ufc-1"</f>
        <v>ufc-1</v>
      </c>
      <c r="I1745" t="s">
        <v>6534</v>
      </c>
      <c r="J1745">
        <v>14.270243412223801</v>
      </c>
      <c r="K1745">
        <v>14.331609024610801</v>
      </c>
      <c r="L1745">
        <v>14.056510442616201</v>
      </c>
      <c r="M1745">
        <v>14.125538522490199</v>
      </c>
      <c r="N1745">
        <v>13.7573884830359</v>
      </c>
      <c r="O1745">
        <v>14.208408478248</v>
      </c>
      <c r="P1745">
        <v>-0.18900913189221699</v>
      </c>
      <c r="Q1745">
        <v>-0.537610229415871</v>
      </c>
      <c r="R1745">
        <v>0.15959196563143699</v>
      </c>
      <c r="S1745">
        <v>13.778769613484201</v>
      </c>
      <c r="T1745">
        <v>-1.13958454436683</v>
      </c>
      <c r="U1745">
        <v>-6.4985129801977299</v>
      </c>
      <c r="V1745">
        <v>0.269484102105297</v>
      </c>
      <c r="W1745">
        <v>0.436836990596431</v>
      </c>
      <c r="X1745">
        <v>0</v>
      </c>
      <c r="Y1745">
        <v>0</v>
      </c>
    </row>
    <row r="1746" spans="1:25" x14ac:dyDescent="0.2">
      <c r="A1746" t="s">
        <v>6535</v>
      </c>
      <c r="B1746" t="s">
        <v>6536</v>
      </c>
      <c r="C1746" t="s">
        <v>6537</v>
      </c>
      <c r="D1746" t="s">
        <v>6538</v>
      </c>
      <c r="E1746" t="s">
        <v>6536</v>
      </c>
      <c r="F1746" t="s">
        <v>28</v>
      </c>
      <c r="G1746" t="s">
        <v>6536</v>
      </c>
      <c r="H1746" t="str">
        <f>"nhl-1"</f>
        <v>nhl-1</v>
      </c>
      <c r="I1746" t="s">
        <v>6538</v>
      </c>
      <c r="J1746">
        <v>12.4434429258337</v>
      </c>
      <c r="K1746">
        <v>12.7471781549984</v>
      </c>
      <c r="L1746">
        <v>12.9256649692301</v>
      </c>
      <c r="M1746" t="s">
        <v>29</v>
      </c>
      <c r="N1746" t="s">
        <v>29</v>
      </c>
      <c r="O1746">
        <v>12.7187622954023</v>
      </c>
      <c r="P1746">
        <v>1.3333612048231899E-2</v>
      </c>
      <c r="Q1746">
        <v>-0.77833987732590504</v>
      </c>
      <c r="R1746">
        <v>0.80500710142236798</v>
      </c>
      <c r="S1746">
        <v>13.511027272439501</v>
      </c>
      <c r="T1746">
        <v>3.61487767454617E-2</v>
      </c>
      <c r="U1746">
        <v>-6.8120085488347604</v>
      </c>
      <c r="V1746">
        <v>0.971677918644411</v>
      </c>
      <c r="W1746">
        <v>0.98335673978196403</v>
      </c>
      <c r="X1746">
        <v>0</v>
      </c>
      <c r="Y1746">
        <v>0</v>
      </c>
    </row>
    <row r="1747" spans="1:25" x14ac:dyDescent="0.2">
      <c r="A1747" t="s">
        <v>6539</v>
      </c>
      <c r="B1747" t="s">
        <v>6540</v>
      </c>
      <c r="C1747" t="s">
        <v>6541</v>
      </c>
      <c r="D1747" t="s">
        <v>6542</v>
      </c>
      <c r="E1747" t="s">
        <v>6540</v>
      </c>
      <c r="F1747" t="s">
        <v>28</v>
      </c>
      <c r="G1747" t="s">
        <v>6540</v>
      </c>
      <c r="H1747" t="str">
        <f>"rnr-1"</f>
        <v>rnr-1</v>
      </c>
      <c r="I1747" t="s">
        <v>6542</v>
      </c>
      <c r="J1747">
        <v>15.868031247820101</v>
      </c>
      <c r="K1747">
        <v>15.567291538662801</v>
      </c>
      <c r="L1747">
        <v>15.709242267891</v>
      </c>
      <c r="M1747">
        <v>15.025378119701999</v>
      </c>
      <c r="N1747">
        <v>15.227376344349601</v>
      </c>
      <c r="O1747">
        <v>15.6717481878662</v>
      </c>
      <c r="P1747">
        <v>-0.40668746748532297</v>
      </c>
      <c r="Q1747">
        <v>-0.85943980710591295</v>
      </c>
      <c r="R1747">
        <v>4.6064872135266798E-2</v>
      </c>
      <c r="S1747">
        <v>15.513764341246</v>
      </c>
      <c r="T1747">
        <v>-1.8879591764936301</v>
      </c>
      <c r="U1747">
        <v>-5.4514612910581999</v>
      </c>
      <c r="V1747">
        <v>7.5356011665684994E-2</v>
      </c>
      <c r="W1747">
        <v>0.18025500517757601</v>
      </c>
      <c r="X1747">
        <v>0</v>
      </c>
      <c r="Y1747">
        <v>0</v>
      </c>
    </row>
    <row r="1748" spans="1:25" x14ac:dyDescent="0.2">
      <c r="A1748" t="s">
        <v>6543</v>
      </c>
      <c r="B1748" t="s">
        <v>6544</v>
      </c>
      <c r="C1748" t="s">
        <v>6545</v>
      </c>
      <c r="D1748" t="s">
        <v>6546</v>
      </c>
      <c r="E1748" t="s">
        <v>6544</v>
      </c>
      <c r="F1748" t="s">
        <v>28</v>
      </c>
      <c r="G1748" t="s">
        <v>6544</v>
      </c>
      <c r="H1748" t="str">
        <f>"T23G5.2"</f>
        <v>T23G5.2</v>
      </c>
      <c r="I1748" t="s">
        <v>6546</v>
      </c>
      <c r="J1748" t="s">
        <v>29</v>
      </c>
      <c r="K1748">
        <v>13.484194759884801</v>
      </c>
      <c r="L1748" t="s">
        <v>29</v>
      </c>
      <c r="M1748" t="s">
        <v>29</v>
      </c>
      <c r="N1748" t="s">
        <v>29</v>
      </c>
      <c r="O1748" t="s">
        <v>29</v>
      </c>
      <c r="P1748" t="s">
        <v>29</v>
      </c>
      <c r="Q1748" t="s">
        <v>29</v>
      </c>
      <c r="R1748" t="s">
        <v>29</v>
      </c>
      <c r="S1748">
        <v>12.882046798012601</v>
      </c>
      <c r="T1748" t="s">
        <v>29</v>
      </c>
      <c r="U1748" t="s">
        <v>29</v>
      </c>
      <c r="V1748" t="s">
        <v>29</v>
      </c>
      <c r="W1748" t="s">
        <v>29</v>
      </c>
      <c r="X1748" t="s">
        <v>29</v>
      </c>
      <c r="Y1748" t="s">
        <v>29</v>
      </c>
    </row>
    <row r="1749" spans="1:25" x14ac:dyDescent="0.2">
      <c r="A1749" t="s">
        <v>6547</v>
      </c>
      <c r="B1749" t="s">
        <v>6548</v>
      </c>
      <c r="C1749" t="s">
        <v>6549</v>
      </c>
      <c r="D1749" t="s">
        <v>6550</v>
      </c>
      <c r="E1749" t="s">
        <v>6548</v>
      </c>
      <c r="F1749" t="s">
        <v>28</v>
      </c>
      <c r="G1749" t="s">
        <v>6548</v>
      </c>
      <c r="H1749" t="str">
        <f>"saeg-2"</f>
        <v>saeg-2</v>
      </c>
      <c r="I1749" t="s">
        <v>6550</v>
      </c>
      <c r="J1749" t="s">
        <v>29</v>
      </c>
      <c r="K1749" t="s">
        <v>29</v>
      </c>
      <c r="L1749" t="s">
        <v>29</v>
      </c>
      <c r="M1749" t="s">
        <v>29</v>
      </c>
      <c r="N1749" t="s">
        <v>29</v>
      </c>
      <c r="O1749" t="s">
        <v>29</v>
      </c>
      <c r="P1749" t="s">
        <v>29</v>
      </c>
      <c r="Q1749" t="s">
        <v>29</v>
      </c>
      <c r="R1749" t="s">
        <v>29</v>
      </c>
      <c r="S1749">
        <v>11.9454178421032</v>
      </c>
      <c r="T1749" t="s">
        <v>29</v>
      </c>
      <c r="U1749" t="s">
        <v>29</v>
      </c>
      <c r="V1749" t="s">
        <v>29</v>
      </c>
      <c r="W1749" t="s">
        <v>29</v>
      </c>
      <c r="X1749" t="s">
        <v>29</v>
      </c>
      <c r="Y1749" t="s">
        <v>29</v>
      </c>
    </row>
    <row r="1750" spans="1:25" x14ac:dyDescent="0.2">
      <c r="A1750" t="s">
        <v>6551</v>
      </c>
      <c r="B1750" t="s">
        <v>6552</v>
      </c>
      <c r="C1750" t="s">
        <v>6553</v>
      </c>
      <c r="D1750" t="s">
        <v>6554</v>
      </c>
      <c r="E1750" t="s">
        <v>6552</v>
      </c>
      <c r="F1750" t="s">
        <v>28</v>
      </c>
      <c r="G1750" t="s">
        <v>6552</v>
      </c>
      <c r="H1750" t="str">
        <f>"rpn-3"</f>
        <v>rpn-3</v>
      </c>
      <c r="I1750" t="s">
        <v>6554</v>
      </c>
      <c r="J1750">
        <v>15.391884235158299</v>
      </c>
      <c r="K1750">
        <v>15.073095567518401</v>
      </c>
      <c r="L1750">
        <v>15.231534937234301</v>
      </c>
      <c r="M1750">
        <v>15.1414970634452</v>
      </c>
      <c r="N1750">
        <v>15.2739027818468</v>
      </c>
      <c r="O1750">
        <v>15.143261576676</v>
      </c>
      <c r="P1750">
        <v>-4.5951105980989802E-2</v>
      </c>
      <c r="Q1750">
        <v>-0.44629376355797801</v>
      </c>
      <c r="R1750">
        <v>0.354391551595998</v>
      </c>
      <c r="S1750">
        <v>15.0179446034098</v>
      </c>
      <c r="T1750">
        <v>-0.241244051826284</v>
      </c>
      <c r="U1750">
        <v>-7.1258096683327796</v>
      </c>
      <c r="V1750">
        <v>0.81210852002147904</v>
      </c>
      <c r="W1750">
        <v>0.88259415472178804</v>
      </c>
      <c r="X1750">
        <v>0</v>
      </c>
      <c r="Y1750">
        <v>0</v>
      </c>
    </row>
    <row r="1751" spans="1:25" x14ac:dyDescent="0.2">
      <c r="A1751" t="s">
        <v>6555</v>
      </c>
      <c r="B1751" t="s">
        <v>6556</v>
      </c>
      <c r="C1751" t="s">
        <v>6557</v>
      </c>
      <c r="D1751" t="s">
        <v>6558</v>
      </c>
      <c r="E1751" t="s">
        <v>6556</v>
      </c>
      <c r="F1751" t="s">
        <v>28</v>
      </c>
      <c r="G1751" t="s">
        <v>6556</v>
      </c>
      <c r="H1751" t="str">
        <f>"hsp-110"</f>
        <v>hsp-110</v>
      </c>
      <c r="I1751" t="s">
        <v>6558</v>
      </c>
      <c r="J1751">
        <v>12.5433118159154</v>
      </c>
      <c r="K1751">
        <v>12.4495156606667</v>
      </c>
      <c r="L1751">
        <v>12.6924178846989</v>
      </c>
      <c r="M1751">
        <v>13.2244184792924</v>
      </c>
      <c r="N1751">
        <v>13.094434224459301</v>
      </c>
      <c r="O1751">
        <v>13.020012523230699</v>
      </c>
      <c r="P1751">
        <v>0.55120662190046199</v>
      </c>
      <c r="Q1751">
        <v>-1.3810575367006999E-3</v>
      </c>
      <c r="R1751">
        <v>1.1037943013376299</v>
      </c>
      <c r="S1751">
        <v>12.375754261158599</v>
      </c>
      <c r="T1751">
        <v>2.0965524988686299</v>
      </c>
      <c r="U1751">
        <v>-5.0950712913011902</v>
      </c>
      <c r="V1751">
        <v>5.0516496252430501E-2</v>
      </c>
      <c r="W1751">
        <v>0.13708297832036201</v>
      </c>
      <c r="X1751">
        <v>0</v>
      </c>
      <c r="Y1751">
        <v>0</v>
      </c>
    </row>
    <row r="1752" spans="1:25" x14ac:dyDescent="0.2">
      <c r="A1752" t="s">
        <v>6559</v>
      </c>
      <c r="B1752" t="s">
        <v>6560</v>
      </c>
      <c r="C1752" t="s">
        <v>6561</v>
      </c>
      <c r="D1752" t="s">
        <v>6562</v>
      </c>
      <c r="E1752" t="s">
        <v>6560</v>
      </c>
      <c r="F1752" t="s">
        <v>28</v>
      </c>
      <c r="G1752" t="s">
        <v>6560</v>
      </c>
      <c r="H1752" t="str">
        <f>"cdc-42"</f>
        <v>cdc-42</v>
      </c>
      <c r="I1752" t="s">
        <v>6562</v>
      </c>
      <c r="J1752">
        <v>15.234354438813201</v>
      </c>
      <c r="K1752">
        <v>15.5733390174733</v>
      </c>
      <c r="L1752">
        <v>15.254126306970001</v>
      </c>
      <c r="M1752">
        <v>13.191491129706</v>
      </c>
      <c r="N1752">
        <v>14.972400297802301</v>
      </c>
      <c r="O1752">
        <v>15.0558095012126</v>
      </c>
      <c r="P1752">
        <v>-0.94737294484520596</v>
      </c>
      <c r="Q1752">
        <v>-1.65900831583657</v>
      </c>
      <c r="R1752">
        <v>-0.23573757385384</v>
      </c>
      <c r="S1752">
        <v>15.0769095469925</v>
      </c>
      <c r="T1752">
        <v>-2.7980531838360401</v>
      </c>
      <c r="U1752">
        <v>-3.7523469918313501</v>
      </c>
      <c r="V1752">
        <v>1.1932695317346399E-2</v>
      </c>
      <c r="W1752">
        <v>5.1261884985743099E-2</v>
      </c>
      <c r="X1752">
        <v>0</v>
      </c>
      <c r="Y1752">
        <v>0</v>
      </c>
    </row>
    <row r="1753" spans="1:25" x14ac:dyDescent="0.2">
      <c r="A1753" t="s">
        <v>6563</v>
      </c>
      <c r="B1753" t="s">
        <v>6564</v>
      </c>
      <c r="C1753" t="s">
        <v>6565</v>
      </c>
      <c r="D1753" t="s">
        <v>6566</v>
      </c>
      <c r="E1753" t="s">
        <v>6564</v>
      </c>
      <c r="F1753" t="s">
        <v>28</v>
      </c>
      <c r="G1753" t="s">
        <v>6564</v>
      </c>
      <c r="H1753" t="str">
        <f>"unc-52"</f>
        <v>unc-52</v>
      </c>
      <c r="I1753" t="s">
        <v>6566</v>
      </c>
      <c r="J1753">
        <v>17.292001208186001</v>
      </c>
      <c r="K1753">
        <v>17.150912322377099</v>
      </c>
      <c r="L1753">
        <v>17.997807327331401</v>
      </c>
      <c r="M1753">
        <v>19.460895874988601</v>
      </c>
      <c r="N1753">
        <v>18.365415502345499</v>
      </c>
      <c r="O1753">
        <v>18.171248997059202</v>
      </c>
      <c r="P1753">
        <v>1.1856131721662699</v>
      </c>
      <c r="Q1753">
        <v>0.30324949354790998</v>
      </c>
      <c r="R1753">
        <v>2.0679768507846301</v>
      </c>
      <c r="S1753">
        <v>17.2639735405068</v>
      </c>
      <c r="T1753">
        <v>2.8241509519536998</v>
      </c>
      <c r="U1753">
        <v>-3.6990733291509601</v>
      </c>
      <c r="V1753">
        <v>1.12842650150893E-2</v>
      </c>
      <c r="W1753">
        <v>4.95232633494989E-2</v>
      </c>
      <c r="X1753">
        <v>1</v>
      </c>
      <c r="Y1753">
        <v>1</v>
      </c>
    </row>
    <row r="1754" spans="1:25" x14ac:dyDescent="0.2">
      <c r="A1754" t="s">
        <v>6567</v>
      </c>
      <c r="B1754" t="s">
        <v>6568</v>
      </c>
      <c r="C1754" t="s">
        <v>6569</v>
      </c>
      <c r="D1754" t="s">
        <v>6570</v>
      </c>
      <c r="E1754" t="s">
        <v>6568</v>
      </c>
      <c r="F1754" t="s">
        <v>28</v>
      </c>
      <c r="G1754" t="s">
        <v>6568</v>
      </c>
      <c r="H1754" t="str">
        <f>"lin-45"</f>
        <v>lin-45</v>
      </c>
      <c r="I1754" t="s">
        <v>6570</v>
      </c>
      <c r="J1754">
        <v>13.5156611855344</v>
      </c>
      <c r="K1754">
        <v>14.1322663281651</v>
      </c>
      <c r="L1754">
        <v>13.3295226091772</v>
      </c>
      <c r="M1754">
        <v>13.803364388941</v>
      </c>
      <c r="N1754" t="s">
        <v>29</v>
      </c>
      <c r="O1754">
        <v>13.691317185841401</v>
      </c>
      <c r="P1754">
        <v>8.8190746432275105E-2</v>
      </c>
      <c r="Q1754">
        <v>-0.44664133986181198</v>
      </c>
      <c r="R1754">
        <v>0.62302283272636205</v>
      </c>
      <c r="S1754">
        <v>13.6122788393387</v>
      </c>
      <c r="T1754">
        <v>0.34806117140309201</v>
      </c>
      <c r="U1754">
        <v>-6.98202278443582</v>
      </c>
      <c r="V1754">
        <v>0.73209323490203004</v>
      </c>
      <c r="W1754">
        <v>0.82837993596097803</v>
      </c>
      <c r="X1754">
        <v>0</v>
      </c>
      <c r="Y1754">
        <v>0</v>
      </c>
    </row>
    <row r="1755" spans="1:25" x14ac:dyDescent="0.2">
      <c r="A1755" t="s">
        <v>6571</v>
      </c>
      <c r="B1755" t="s">
        <v>6572</v>
      </c>
      <c r="C1755" t="s">
        <v>6573</v>
      </c>
      <c r="D1755" t="s">
        <v>6574</v>
      </c>
      <c r="E1755" t="s">
        <v>6572</v>
      </c>
      <c r="F1755" t="s">
        <v>28</v>
      </c>
      <c r="G1755" t="s">
        <v>6572</v>
      </c>
      <c r="H1755" t="str">
        <f>"unc-60"</f>
        <v>unc-60</v>
      </c>
      <c r="I1755" t="s">
        <v>6574</v>
      </c>
      <c r="J1755">
        <v>17.217743818774601</v>
      </c>
      <c r="K1755">
        <v>17.052069667373399</v>
      </c>
      <c r="L1755">
        <v>17.0438268231885</v>
      </c>
      <c r="M1755">
        <v>16.15496177088</v>
      </c>
      <c r="N1755">
        <v>16.993419386281801</v>
      </c>
      <c r="O1755">
        <v>17.133060209154301</v>
      </c>
      <c r="P1755">
        <v>-0.34406631434014701</v>
      </c>
      <c r="Q1755">
        <v>-0.78993753743478801</v>
      </c>
      <c r="R1755">
        <v>0.10180490875449499</v>
      </c>
      <c r="S1755">
        <v>16.7082925136848</v>
      </c>
      <c r="T1755">
        <v>-1.62190429893011</v>
      </c>
      <c r="U1755">
        <v>-5.8688511903244196</v>
      </c>
      <c r="V1755">
        <v>0.122309447774019</v>
      </c>
      <c r="W1755">
        <v>0.25142672867990701</v>
      </c>
      <c r="X1755">
        <v>0</v>
      </c>
      <c r="Y1755">
        <v>0</v>
      </c>
    </row>
    <row r="1756" spans="1:25" x14ac:dyDescent="0.2">
      <c r="A1756" t="s">
        <v>6575</v>
      </c>
      <c r="B1756" t="s">
        <v>6576</v>
      </c>
      <c r="C1756" t="s">
        <v>6577</v>
      </c>
      <c r="D1756" t="s">
        <v>6578</v>
      </c>
      <c r="E1756" t="s">
        <v>6576</v>
      </c>
      <c r="F1756" t="s">
        <v>28</v>
      </c>
      <c r="G1756" t="s">
        <v>6576</v>
      </c>
      <c r="H1756" t="str">
        <f>"dig-1"</f>
        <v>dig-1</v>
      </c>
      <c r="I1756" t="s">
        <v>6578</v>
      </c>
      <c r="J1756">
        <v>12.160714641754099</v>
      </c>
      <c r="K1756">
        <v>12.7534524333575</v>
      </c>
      <c r="L1756">
        <v>12.542511959235901</v>
      </c>
      <c r="M1756" t="s">
        <v>29</v>
      </c>
      <c r="N1756">
        <v>11.143801797079901</v>
      </c>
      <c r="O1756">
        <v>12.0871441515085</v>
      </c>
      <c r="P1756">
        <v>-0.87008670382162001</v>
      </c>
      <c r="Q1756">
        <v>-1.4337462256479001</v>
      </c>
      <c r="R1756">
        <v>-0.30642718199534502</v>
      </c>
      <c r="S1756">
        <v>12.252279312048699</v>
      </c>
      <c r="T1756">
        <v>-3.2583347286985598</v>
      </c>
      <c r="U1756">
        <v>-2.72445522076378</v>
      </c>
      <c r="V1756">
        <v>4.6578965219203697E-3</v>
      </c>
      <c r="W1756">
        <v>2.71281048420936E-2</v>
      </c>
      <c r="X1756">
        <v>0</v>
      </c>
      <c r="Y1756">
        <v>0</v>
      </c>
    </row>
    <row r="1757" spans="1:25" x14ac:dyDescent="0.2">
      <c r="A1757" t="s">
        <v>6579</v>
      </c>
      <c r="B1757" t="s">
        <v>6580</v>
      </c>
      <c r="C1757" t="s">
        <v>6581</v>
      </c>
      <c r="D1757" t="s">
        <v>6582</v>
      </c>
      <c r="E1757" t="s">
        <v>6580</v>
      </c>
      <c r="F1757" t="s">
        <v>28</v>
      </c>
      <c r="G1757" t="s">
        <v>6580</v>
      </c>
      <c r="H1757" t="str">
        <f>"B0495.5"</f>
        <v>B0495.5</v>
      </c>
      <c r="I1757" t="s">
        <v>6582</v>
      </c>
      <c r="J1757">
        <v>13.2266500423789</v>
      </c>
      <c r="K1757">
        <v>13.515651209129601</v>
      </c>
      <c r="L1757">
        <v>13.356110290746701</v>
      </c>
      <c r="M1757" t="s">
        <v>29</v>
      </c>
      <c r="N1757" t="s">
        <v>29</v>
      </c>
      <c r="O1757">
        <v>12.8031194271288</v>
      </c>
      <c r="P1757">
        <v>-0.56301775362288498</v>
      </c>
      <c r="Q1757">
        <v>-1.09513762466745</v>
      </c>
      <c r="R1757">
        <v>-3.0897882578322201E-2</v>
      </c>
      <c r="S1757">
        <v>13.0188198376622</v>
      </c>
      <c r="T1757">
        <v>-2.2442030192539399</v>
      </c>
      <c r="U1757">
        <v>-4.5192090996062904</v>
      </c>
      <c r="V1757">
        <v>3.9416589508055398E-2</v>
      </c>
      <c r="W1757">
        <v>0.117097469032499</v>
      </c>
      <c r="X1757">
        <v>0</v>
      </c>
      <c r="Y1757">
        <v>0</v>
      </c>
    </row>
    <row r="1758" spans="1:25" x14ac:dyDescent="0.2">
      <c r="A1758" t="s">
        <v>6583</v>
      </c>
      <c r="B1758" t="s">
        <v>6584</v>
      </c>
      <c r="C1758" t="s">
        <v>6585</v>
      </c>
      <c r="D1758" t="s">
        <v>6586</v>
      </c>
      <c r="E1758" t="s">
        <v>6584</v>
      </c>
      <c r="F1758" t="s">
        <v>28</v>
      </c>
      <c r="G1758" t="s">
        <v>6584</v>
      </c>
      <c r="H1758" t="str">
        <f>"B0495.7"</f>
        <v>B0495.7</v>
      </c>
      <c r="I1758" t="s">
        <v>6586</v>
      </c>
      <c r="J1758">
        <v>13.745385219685501</v>
      </c>
      <c r="K1758">
        <v>13.787592433341899</v>
      </c>
      <c r="L1758">
        <v>13.739403086185201</v>
      </c>
      <c r="M1758">
        <v>15.3105364996461</v>
      </c>
      <c r="N1758">
        <v>14.103918103442201</v>
      </c>
      <c r="O1758">
        <v>13.9821466756945</v>
      </c>
      <c r="P1758">
        <v>0.70807351319004896</v>
      </c>
      <c r="Q1758">
        <v>8.8822570628196401E-2</v>
      </c>
      <c r="R1758">
        <v>1.3273244557518999</v>
      </c>
      <c r="S1758">
        <v>14.0100020057524</v>
      </c>
      <c r="T1758">
        <v>2.4032789688307101</v>
      </c>
      <c r="U1758">
        <v>-4.5318203191556599</v>
      </c>
      <c r="V1758">
        <v>2.7312189223626299E-2</v>
      </c>
      <c r="W1758">
        <v>9.0362571527964702E-2</v>
      </c>
      <c r="X1758">
        <v>0</v>
      </c>
      <c r="Y1758">
        <v>0</v>
      </c>
    </row>
    <row r="1759" spans="1:25" x14ac:dyDescent="0.2">
      <c r="A1759" t="s">
        <v>6587</v>
      </c>
      <c r="B1759" t="s">
        <v>6588</v>
      </c>
      <c r="C1759" t="s">
        <v>6589</v>
      </c>
      <c r="D1759" t="s">
        <v>6590</v>
      </c>
      <c r="E1759" t="s">
        <v>6588</v>
      </c>
      <c r="F1759" t="s">
        <v>28</v>
      </c>
      <c r="G1759" t="s">
        <v>6588</v>
      </c>
      <c r="H1759" t="str">
        <f>"B0495.8"</f>
        <v>B0495.8</v>
      </c>
      <c r="I1759" t="s">
        <v>6590</v>
      </c>
      <c r="J1759">
        <v>10.3969736333996</v>
      </c>
      <c r="K1759">
        <v>10.801047175078001</v>
      </c>
      <c r="L1759">
        <v>10.9357183806669</v>
      </c>
      <c r="M1759" t="s">
        <v>29</v>
      </c>
      <c r="N1759">
        <v>11.3538240357191</v>
      </c>
      <c r="O1759">
        <v>11.3090403754438</v>
      </c>
      <c r="P1759">
        <v>0.62018580919993804</v>
      </c>
      <c r="Q1759">
        <v>2.6186688693144E-2</v>
      </c>
      <c r="R1759">
        <v>1.21418492970673</v>
      </c>
      <c r="S1759">
        <v>11.9077380204821</v>
      </c>
      <c r="T1759">
        <v>2.2038703184201598</v>
      </c>
      <c r="U1759">
        <v>-4.80365097605603</v>
      </c>
      <c r="V1759">
        <v>4.1697756813247701E-2</v>
      </c>
      <c r="W1759">
        <v>0.120592040558038</v>
      </c>
      <c r="X1759">
        <v>0</v>
      </c>
      <c r="Y1759">
        <v>0</v>
      </c>
    </row>
    <row r="1760" spans="1:25" x14ac:dyDescent="0.2">
      <c r="A1760" t="s">
        <v>6591</v>
      </c>
      <c r="B1760" t="s">
        <v>6592</v>
      </c>
      <c r="C1760" t="s">
        <v>6593</v>
      </c>
      <c r="D1760" t="s">
        <v>6594</v>
      </c>
      <c r="E1760" t="s">
        <v>6592</v>
      </c>
      <c r="F1760" t="s">
        <v>28</v>
      </c>
      <c r="G1760" t="s">
        <v>6592</v>
      </c>
      <c r="H1760" t="str">
        <f>"cpna-2"</f>
        <v>cpna-2</v>
      </c>
      <c r="I1760" t="s">
        <v>6594</v>
      </c>
      <c r="J1760">
        <v>11.790709234765499</v>
      </c>
      <c r="K1760">
        <v>12.7399557203192</v>
      </c>
      <c r="L1760">
        <v>12.877516824141599</v>
      </c>
      <c r="M1760" t="s">
        <v>29</v>
      </c>
      <c r="N1760" t="s">
        <v>29</v>
      </c>
      <c r="O1760" t="s">
        <v>29</v>
      </c>
      <c r="P1760" t="s">
        <v>29</v>
      </c>
      <c r="Q1760" t="s">
        <v>29</v>
      </c>
      <c r="R1760" t="s">
        <v>29</v>
      </c>
      <c r="S1760">
        <v>12.291988967889999</v>
      </c>
      <c r="T1760" t="s">
        <v>29</v>
      </c>
      <c r="U1760" t="s">
        <v>29</v>
      </c>
      <c r="V1760" t="s">
        <v>29</v>
      </c>
      <c r="W1760" t="s">
        <v>29</v>
      </c>
      <c r="X1760" t="s">
        <v>29</v>
      </c>
      <c r="Y1760" t="s">
        <v>29</v>
      </c>
    </row>
    <row r="1761" spans="1:25" x14ac:dyDescent="0.2">
      <c r="A1761" t="s">
        <v>6595</v>
      </c>
      <c r="B1761" t="s">
        <v>6596</v>
      </c>
      <c r="C1761" t="s">
        <v>6597</v>
      </c>
      <c r="D1761" t="s">
        <v>6598</v>
      </c>
      <c r="E1761" t="s">
        <v>6596</v>
      </c>
      <c r="F1761" t="s">
        <v>28</v>
      </c>
      <c r="G1761" t="s">
        <v>6596</v>
      </c>
      <c r="H1761" t="str">
        <f>"nrf-6"</f>
        <v>nrf-6</v>
      </c>
      <c r="I1761" t="s">
        <v>6598</v>
      </c>
      <c r="J1761">
        <v>13.615334003097599</v>
      </c>
      <c r="K1761">
        <v>13.319645531172901</v>
      </c>
      <c r="L1761">
        <v>13.4628920556776</v>
      </c>
      <c r="M1761" t="s">
        <v>29</v>
      </c>
      <c r="N1761">
        <v>13.8056907827995</v>
      </c>
      <c r="O1761">
        <v>12.966956792909199</v>
      </c>
      <c r="P1761">
        <v>-7.9633408795006105E-2</v>
      </c>
      <c r="Q1761">
        <v>-0.68860549789116399</v>
      </c>
      <c r="R1761">
        <v>0.52933868030115205</v>
      </c>
      <c r="S1761">
        <v>13.785635140082499</v>
      </c>
      <c r="T1761">
        <v>-0.27602469049036199</v>
      </c>
      <c r="U1761">
        <v>-7.0055163486131899</v>
      </c>
      <c r="V1761">
        <v>0.78587701704274204</v>
      </c>
      <c r="W1761">
        <v>0.86513992126446104</v>
      </c>
      <c r="X1761">
        <v>0</v>
      </c>
      <c r="Y1761">
        <v>0</v>
      </c>
    </row>
    <row r="1762" spans="1:25" x14ac:dyDescent="0.2">
      <c r="A1762" t="s">
        <v>6599</v>
      </c>
      <c r="B1762" t="s">
        <v>6600</v>
      </c>
      <c r="C1762" t="s">
        <v>6601</v>
      </c>
      <c r="D1762" t="s">
        <v>6602</v>
      </c>
      <c r="E1762" t="s">
        <v>6600</v>
      </c>
      <c r="F1762" t="s">
        <v>28</v>
      </c>
      <c r="G1762" t="s">
        <v>6600</v>
      </c>
      <c r="H1762" t="str">
        <f>"egl-27"</f>
        <v>egl-27</v>
      </c>
      <c r="I1762" t="s">
        <v>6602</v>
      </c>
      <c r="J1762" t="s">
        <v>29</v>
      </c>
      <c r="K1762" t="s">
        <v>29</v>
      </c>
      <c r="L1762">
        <v>9.5310998758811802</v>
      </c>
      <c r="M1762" t="s">
        <v>29</v>
      </c>
      <c r="N1762" t="s">
        <v>29</v>
      </c>
      <c r="O1762" t="s">
        <v>29</v>
      </c>
      <c r="P1762" t="s">
        <v>29</v>
      </c>
      <c r="Q1762" t="s">
        <v>29</v>
      </c>
      <c r="R1762" t="s">
        <v>29</v>
      </c>
      <c r="S1762">
        <v>10.4816962588185</v>
      </c>
      <c r="T1762" t="s">
        <v>29</v>
      </c>
      <c r="U1762" t="s">
        <v>29</v>
      </c>
      <c r="V1762" t="s">
        <v>29</v>
      </c>
      <c r="W1762" t="s">
        <v>29</v>
      </c>
      <c r="X1762" t="s">
        <v>29</v>
      </c>
      <c r="Y1762" t="s">
        <v>29</v>
      </c>
    </row>
    <row r="1763" spans="1:25" x14ac:dyDescent="0.2">
      <c r="A1763" t="s">
        <v>6603</v>
      </c>
      <c r="B1763" t="s">
        <v>6604</v>
      </c>
      <c r="C1763" t="s">
        <v>6605</v>
      </c>
      <c r="D1763" t="s">
        <v>6606</v>
      </c>
      <c r="E1763" t="s">
        <v>6604</v>
      </c>
      <c r="F1763" t="s">
        <v>28</v>
      </c>
      <c r="G1763" t="s">
        <v>6604</v>
      </c>
      <c r="H1763" t="str">
        <f>"copd-1"</f>
        <v>copd-1</v>
      </c>
      <c r="I1763" t="s">
        <v>6606</v>
      </c>
      <c r="J1763">
        <v>16.4583466546379</v>
      </c>
      <c r="K1763">
        <v>16.458415230622101</v>
      </c>
      <c r="L1763">
        <v>16.4837135191691</v>
      </c>
      <c r="M1763">
        <v>15.799387650822201</v>
      </c>
      <c r="N1763">
        <v>16.389344989221598</v>
      </c>
      <c r="O1763">
        <v>16.567974026148701</v>
      </c>
      <c r="P1763">
        <v>-0.214589579412202</v>
      </c>
      <c r="Q1763">
        <v>-0.57886656802638703</v>
      </c>
      <c r="R1763">
        <v>0.14968740920198401</v>
      </c>
      <c r="S1763">
        <v>16.197048750167799</v>
      </c>
      <c r="T1763">
        <v>-1.2381390011201501</v>
      </c>
      <c r="U1763">
        <v>-6.3846041436172003</v>
      </c>
      <c r="V1763">
        <v>0.231662529619418</v>
      </c>
      <c r="W1763">
        <v>0.396463109633231</v>
      </c>
      <c r="X1763">
        <v>0</v>
      </c>
      <c r="Y1763">
        <v>0</v>
      </c>
    </row>
    <row r="1764" spans="1:25" x14ac:dyDescent="0.2">
      <c r="A1764" t="s">
        <v>6607</v>
      </c>
      <c r="B1764" t="s">
        <v>6608</v>
      </c>
      <c r="C1764" t="s">
        <v>6609</v>
      </c>
      <c r="D1764" t="s">
        <v>6610</v>
      </c>
      <c r="E1764" t="s">
        <v>6608</v>
      </c>
      <c r="F1764" t="s">
        <v>28</v>
      </c>
      <c r="G1764" t="s">
        <v>6608</v>
      </c>
      <c r="H1764" t="str">
        <f>"gyf-1"</f>
        <v>gyf-1</v>
      </c>
      <c r="I1764" t="s">
        <v>6610</v>
      </c>
      <c r="J1764">
        <v>12.7378412868691</v>
      </c>
      <c r="K1764">
        <v>13.5451585930698</v>
      </c>
      <c r="L1764">
        <v>13.788551890981299</v>
      </c>
      <c r="M1764">
        <v>14.373615721637799</v>
      </c>
      <c r="N1764">
        <v>13.6504394911631</v>
      </c>
      <c r="O1764">
        <v>13.3657184599899</v>
      </c>
      <c r="P1764">
        <v>0.43940730062351802</v>
      </c>
      <c r="Q1764">
        <v>-0.19073754401079299</v>
      </c>
      <c r="R1764">
        <v>1.06955214525783</v>
      </c>
      <c r="S1764">
        <v>14.195897657819</v>
      </c>
      <c r="T1764">
        <v>1.4656132881744299</v>
      </c>
      <c r="U1764">
        <v>-6.0920945467596797</v>
      </c>
      <c r="V1764">
        <v>0.160104301897005</v>
      </c>
      <c r="W1764">
        <v>0.30778041597552003</v>
      </c>
      <c r="X1764">
        <v>0</v>
      </c>
      <c r="Y1764">
        <v>0</v>
      </c>
    </row>
    <row r="1765" spans="1:25" x14ac:dyDescent="0.2">
      <c r="A1765" t="s">
        <v>6611</v>
      </c>
      <c r="B1765" t="s">
        <v>6612</v>
      </c>
      <c r="C1765" t="s">
        <v>6613</v>
      </c>
      <c r="D1765" t="s">
        <v>6614</v>
      </c>
      <c r="E1765" t="s">
        <v>6612</v>
      </c>
      <c r="F1765" t="s">
        <v>28</v>
      </c>
      <c r="G1765" t="s">
        <v>6612</v>
      </c>
      <c r="H1765" t="str">
        <f>"C16C10.3"</f>
        <v>C16C10.3</v>
      </c>
      <c r="I1765" t="s">
        <v>6614</v>
      </c>
      <c r="J1765">
        <v>13.8745038356801</v>
      </c>
      <c r="K1765">
        <v>12.973264973396899</v>
      </c>
      <c r="L1765">
        <v>13.896829402739</v>
      </c>
      <c r="M1765">
        <v>15.9157271382715</v>
      </c>
      <c r="N1765" t="s">
        <v>29</v>
      </c>
      <c r="O1765">
        <v>13.358032820107301</v>
      </c>
      <c r="P1765">
        <v>1.0553472419173899</v>
      </c>
      <c r="Q1765">
        <v>-6.2983931719033701E-2</v>
      </c>
      <c r="R1765">
        <v>2.1736784155538098</v>
      </c>
      <c r="S1765">
        <v>14.4033830235572</v>
      </c>
      <c r="T1765">
        <v>1.9919340778278001</v>
      </c>
      <c r="U1765">
        <v>-5.1736223701463198</v>
      </c>
      <c r="V1765">
        <v>6.27950284326909E-2</v>
      </c>
      <c r="W1765">
        <v>0.16016505893802099</v>
      </c>
      <c r="X1765">
        <v>0</v>
      </c>
      <c r="Y1765">
        <v>0</v>
      </c>
    </row>
    <row r="1766" spans="1:25" x14ac:dyDescent="0.2">
      <c r="A1766" t="s">
        <v>6615</v>
      </c>
      <c r="B1766" t="s">
        <v>6616</v>
      </c>
      <c r="C1766" t="s">
        <v>6617</v>
      </c>
      <c r="D1766" t="s">
        <v>6618</v>
      </c>
      <c r="E1766" t="s">
        <v>6616</v>
      </c>
      <c r="F1766" t="s">
        <v>28</v>
      </c>
      <c r="G1766" t="s">
        <v>6616</v>
      </c>
      <c r="H1766" t="str">
        <f>"C16C10.4"</f>
        <v>C16C10.4</v>
      </c>
      <c r="I1766" t="s">
        <v>6618</v>
      </c>
      <c r="J1766">
        <v>11.696517872402501</v>
      </c>
      <c r="K1766">
        <v>11.770971238009199</v>
      </c>
      <c r="L1766">
        <v>12.287848544006801</v>
      </c>
      <c r="M1766" t="s">
        <v>29</v>
      </c>
      <c r="N1766" t="s">
        <v>29</v>
      </c>
      <c r="O1766">
        <v>11.430388739174299</v>
      </c>
      <c r="P1766">
        <v>-0.48805714563188501</v>
      </c>
      <c r="Q1766">
        <v>-1.66961374778052</v>
      </c>
      <c r="R1766">
        <v>0.69349945651674805</v>
      </c>
      <c r="S1766">
        <v>12.568553673917</v>
      </c>
      <c r="T1766">
        <v>-0.89310678522666498</v>
      </c>
      <c r="U1766">
        <v>-6.4008120593605202</v>
      </c>
      <c r="V1766">
        <v>0.38816389673474699</v>
      </c>
      <c r="W1766">
        <v>0.556352466444056</v>
      </c>
      <c r="X1766">
        <v>0</v>
      </c>
      <c r="Y1766">
        <v>0</v>
      </c>
    </row>
    <row r="1767" spans="1:25" x14ac:dyDescent="0.2">
      <c r="A1767" t="s">
        <v>6619</v>
      </c>
      <c r="B1767" t="s">
        <v>6620</v>
      </c>
      <c r="C1767" t="s">
        <v>6621</v>
      </c>
      <c r="D1767" t="s">
        <v>6622</v>
      </c>
      <c r="E1767" t="s">
        <v>6620</v>
      </c>
      <c r="F1767" t="s">
        <v>28</v>
      </c>
      <c r="G1767" t="s">
        <v>6620</v>
      </c>
      <c r="H1767" t="str">
        <f>"rnf-121"</f>
        <v>rnf-121</v>
      </c>
      <c r="I1767" t="s">
        <v>6622</v>
      </c>
      <c r="J1767" t="s">
        <v>29</v>
      </c>
      <c r="K1767" t="s">
        <v>29</v>
      </c>
      <c r="L1767" t="s">
        <v>29</v>
      </c>
      <c r="M1767" t="s">
        <v>29</v>
      </c>
      <c r="N1767" t="s">
        <v>29</v>
      </c>
      <c r="O1767" t="s">
        <v>29</v>
      </c>
      <c r="P1767" t="s">
        <v>29</v>
      </c>
      <c r="Q1767" t="s">
        <v>29</v>
      </c>
      <c r="R1767" t="s">
        <v>29</v>
      </c>
      <c r="S1767">
        <v>11.4514401523702</v>
      </c>
      <c r="T1767" t="s">
        <v>29</v>
      </c>
      <c r="U1767" t="s">
        <v>29</v>
      </c>
      <c r="V1767" t="s">
        <v>29</v>
      </c>
      <c r="W1767" t="s">
        <v>29</v>
      </c>
      <c r="X1767" t="s">
        <v>29</v>
      </c>
      <c r="Y1767" t="s">
        <v>29</v>
      </c>
    </row>
    <row r="1768" spans="1:25" x14ac:dyDescent="0.2">
      <c r="A1768" t="s">
        <v>6623</v>
      </c>
      <c r="B1768" t="s">
        <v>6624</v>
      </c>
      <c r="C1768" t="s">
        <v>6625</v>
      </c>
      <c r="D1768" t="s">
        <v>6626</v>
      </c>
      <c r="E1768" t="s">
        <v>6624</v>
      </c>
      <c r="F1768" t="s">
        <v>28</v>
      </c>
      <c r="G1768" t="s">
        <v>6624</v>
      </c>
      <c r="H1768" t="str">
        <f>"har-1"</f>
        <v>har-1</v>
      </c>
      <c r="I1768" t="s">
        <v>6626</v>
      </c>
      <c r="J1768">
        <v>12.906320235164801</v>
      </c>
      <c r="K1768" t="s">
        <v>29</v>
      </c>
      <c r="L1768">
        <v>12.576459639980699</v>
      </c>
      <c r="M1768" t="s">
        <v>29</v>
      </c>
      <c r="N1768" t="s">
        <v>29</v>
      </c>
      <c r="O1768">
        <v>11.7320549305129</v>
      </c>
      <c r="P1768">
        <v>-1.0093350070598801</v>
      </c>
      <c r="Q1768">
        <v>-2.1389423636918101</v>
      </c>
      <c r="R1768">
        <v>0.120272349572059</v>
      </c>
      <c r="S1768">
        <v>12.477276210883</v>
      </c>
      <c r="T1768">
        <v>-1.9319463798185299</v>
      </c>
      <c r="U1768">
        <v>-5.0151262080916998</v>
      </c>
      <c r="V1768">
        <v>7.5638531979486404E-2</v>
      </c>
      <c r="W1768">
        <v>0.18034527001905001</v>
      </c>
      <c r="X1768">
        <v>0</v>
      </c>
      <c r="Y1768">
        <v>0</v>
      </c>
    </row>
    <row r="1769" spans="1:25" x14ac:dyDescent="0.2">
      <c r="A1769" t="s">
        <v>6627</v>
      </c>
      <c r="B1769" t="s">
        <v>6628</v>
      </c>
      <c r="C1769" t="s">
        <v>6629</v>
      </c>
      <c r="D1769" t="s">
        <v>6630</v>
      </c>
      <c r="E1769" t="s">
        <v>6628</v>
      </c>
      <c r="F1769" t="s">
        <v>28</v>
      </c>
      <c r="G1769" t="s">
        <v>6628</v>
      </c>
      <c r="H1769" t="str">
        <f>"C30G12.6"</f>
        <v>C30G12.6</v>
      </c>
      <c r="I1769" t="s">
        <v>6630</v>
      </c>
      <c r="J1769" t="s">
        <v>29</v>
      </c>
      <c r="K1769" t="s">
        <v>29</v>
      </c>
      <c r="L1769" t="s">
        <v>29</v>
      </c>
      <c r="M1769" t="s">
        <v>29</v>
      </c>
      <c r="N1769" t="s">
        <v>29</v>
      </c>
      <c r="O1769" t="s">
        <v>29</v>
      </c>
      <c r="P1769" t="s">
        <v>29</v>
      </c>
      <c r="Q1769" t="s">
        <v>29</v>
      </c>
      <c r="R1769" t="s">
        <v>29</v>
      </c>
      <c r="S1769">
        <v>11.2485984535156</v>
      </c>
      <c r="T1769" t="s">
        <v>29</v>
      </c>
      <c r="U1769" t="s">
        <v>29</v>
      </c>
      <c r="V1769" t="s">
        <v>29</v>
      </c>
      <c r="W1769" t="s">
        <v>29</v>
      </c>
      <c r="X1769" t="s">
        <v>29</v>
      </c>
      <c r="Y1769" t="s">
        <v>29</v>
      </c>
    </row>
    <row r="1770" spans="1:25" x14ac:dyDescent="0.2">
      <c r="A1770" t="s">
        <v>6631</v>
      </c>
      <c r="B1770" t="s">
        <v>6632</v>
      </c>
      <c r="C1770" t="s">
        <v>6633</v>
      </c>
      <c r="D1770" t="s">
        <v>6634</v>
      </c>
      <c r="E1770" t="s">
        <v>6632</v>
      </c>
      <c r="F1770" t="s">
        <v>28</v>
      </c>
      <c r="G1770" t="s">
        <v>6632</v>
      </c>
      <c r="H1770" t="str">
        <f>"sel-8"</f>
        <v>sel-8</v>
      </c>
      <c r="I1770" t="s">
        <v>6634</v>
      </c>
      <c r="J1770">
        <v>11.1475779039627</v>
      </c>
      <c r="K1770">
        <v>10.8822233185215</v>
      </c>
      <c r="L1770">
        <v>10.640036110457</v>
      </c>
      <c r="M1770" t="s">
        <v>29</v>
      </c>
      <c r="N1770" t="s">
        <v>29</v>
      </c>
      <c r="O1770">
        <v>11.638096408129201</v>
      </c>
      <c r="P1770">
        <v>0.74815063048217401</v>
      </c>
      <c r="Q1770">
        <v>-1.6284942425506901E-2</v>
      </c>
      <c r="R1770">
        <v>1.5125862033898501</v>
      </c>
      <c r="S1770">
        <v>10.9617389881005</v>
      </c>
      <c r="T1770">
        <v>2.1005839864607401</v>
      </c>
      <c r="U1770">
        <v>-4.7868146701195604</v>
      </c>
      <c r="V1770">
        <v>5.44194430394963E-2</v>
      </c>
      <c r="W1770">
        <v>0.14461145052966201</v>
      </c>
      <c r="X1770">
        <v>0</v>
      </c>
      <c r="Y1770">
        <v>0</v>
      </c>
    </row>
    <row r="1771" spans="1:25" x14ac:dyDescent="0.2">
      <c r="A1771" t="s">
        <v>6635</v>
      </c>
      <c r="B1771" t="s">
        <v>6636</v>
      </c>
      <c r="C1771" t="s">
        <v>6637</v>
      </c>
      <c r="D1771" t="s">
        <v>6638</v>
      </c>
      <c r="E1771" t="s">
        <v>6636</v>
      </c>
      <c r="F1771" t="s">
        <v>28</v>
      </c>
      <c r="G1771" t="s">
        <v>6636</v>
      </c>
      <c r="H1771" t="str">
        <f>"mrps-31"</f>
        <v>mrps-31</v>
      </c>
      <c r="I1771" t="s">
        <v>6638</v>
      </c>
      <c r="J1771">
        <v>10.9694161524561</v>
      </c>
      <c r="K1771">
        <v>10.0926110664935</v>
      </c>
      <c r="L1771">
        <v>11.456546005754999</v>
      </c>
      <c r="M1771" t="s">
        <v>29</v>
      </c>
      <c r="N1771" t="s">
        <v>29</v>
      </c>
      <c r="O1771">
        <v>12.4541415668262</v>
      </c>
      <c r="P1771">
        <v>1.6146171585912901</v>
      </c>
      <c r="Q1771">
        <v>0.57752373939167501</v>
      </c>
      <c r="R1771">
        <v>2.6517105777909098</v>
      </c>
      <c r="S1771">
        <v>12.1981733761044</v>
      </c>
      <c r="T1771">
        <v>3.3661923554353801</v>
      </c>
      <c r="U1771">
        <v>-2.5036118036956498</v>
      </c>
      <c r="V1771">
        <v>5.1130299549178998E-3</v>
      </c>
      <c r="W1771">
        <v>2.8755914651036399E-2</v>
      </c>
      <c r="X1771">
        <v>1</v>
      </c>
      <c r="Y1771">
        <v>1</v>
      </c>
    </row>
    <row r="1772" spans="1:25" x14ac:dyDescent="0.2">
      <c r="A1772" t="s">
        <v>6639</v>
      </c>
      <c r="B1772" t="s">
        <v>6640</v>
      </c>
      <c r="C1772" t="s">
        <v>6641</v>
      </c>
      <c r="D1772" t="s">
        <v>6642</v>
      </c>
      <c r="E1772" t="s">
        <v>6640</v>
      </c>
      <c r="F1772" t="s">
        <v>28</v>
      </c>
      <c r="G1772" t="s">
        <v>6640</v>
      </c>
      <c r="H1772" t="str">
        <f>"C45G9.5"</f>
        <v>C45G9.5</v>
      </c>
      <c r="I1772" t="s">
        <v>6642</v>
      </c>
      <c r="J1772" t="s">
        <v>29</v>
      </c>
      <c r="K1772" t="s">
        <v>29</v>
      </c>
      <c r="L1772">
        <v>11.4113345734795</v>
      </c>
      <c r="M1772" t="s">
        <v>29</v>
      </c>
      <c r="N1772" t="s">
        <v>29</v>
      </c>
      <c r="O1772">
        <v>11.2180974991475</v>
      </c>
      <c r="P1772">
        <v>-0.19323707433196599</v>
      </c>
      <c r="Q1772">
        <v>-1.3826680982177399</v>
      </c>
      <c r="R1772">
        <v>0.99619394955380502</v>
      </c>
      <c r="S1772">
        <v>12.085702044101399</v>
      </c>
      <c r="T1772">
        <v>-0.34869288381950803</v>
      </c>
      <c r="U1772">
        <v>-6.5491892845246404</v>
      </c>
      <c r="V1772">
        <v>0.73254692095844198</v>
      </c>
      <c r="W1772">
        <v>0.82837993596097803</v>
      </c>
      <c r="X1772">
        <v>0</v>
      </c>
      <c r="Y1772">
        <v>0</v>
      </c>
    </row>
    <row r="1773" spans="1:25" x14ac:dyDescent="0.2">
      <c r="A1773" t="s">
        <v>6643</v>
      </c>
      <c r="B1773" t="s">
        <v>6644</v>
      </c>
      <c r="C1773" t="s">
        <v>6645</v>
      </c>
      <c r="D1773" t="s">
        <v>6646</v>
      </c>
      <c r="E1773" t="s">
        <v>6644</v>
      </c>
      <c r="F1773" t="s">
        <v>28</v>
      </c>
      <c r="G1773" t="s">
        <v>6644</v>
      </c>
      <c r="H1773" t="str">
        <f>"C45G9.10"</f>
        <v>C45G9.10</v>
      </c>
      <c r="I1773" t="s">
        <v>6646</v>
      </c>
      <c r="J1773" t="s">
        <v>29</v>
      </c>
      <c r="K1773" t="s">
        <v>29</v>
      </c>
      <c r="L1773" t="s">
        <v>29</v>
      </c>
      <c r="M1773" t="s">
        <v>29</v>
      </c>
      <c r="N1773" t="s">
        <v>29</v>
      </c>
      <c r="O1773" t="s">
        <v>29</v>
      </c>
      <c r="P1773" t="s">
        <v>29</v>
      </c>
      <c r="Q1773" t="s">
        <v>29</v>
      </c>
      <c r="R1773" t="s">
        <v>29</v>
      </c>
      <c r="S1773">
        <v>11.2299431657733</v>
      </c>
      <c r="T1773" t="s">
        <v>29</v>
      </c>
      <c r="U1773" t="s">
        <v>29</v>
      </c>
      <c r="V1773" t="s">
        <v>29</v>
      </c>
      <c r="W1773" t="s">
        <v>29</v>
      </c>
      <c r="X1773" t="s">
        <v>29</v>
      </c>
      <c r="Y1773" t="s">
        <v>29</v>
      </c>
    </row>
    <row r="1774" spans="1:25" x14ac:dyDescent="0.2">
      <c r="A1774" t="s">
        <v>6647</v>
      </c>
      <c r="B1774" t="s">
        <v>6648</v>
      </c>
      <c r="C1774" t="s">
        <v>6649</v>
      </c>
      <c r="D1774" t="s">
        <v>6650</v>
      </c>
      <c r="E1774" t="s">
        <v>6648</v>
      </c>
      <c r="F1774" t="s">
        <v>28</v>
      </c>
      <c r="G1774" t="s">
        <v>6648</v>
      </c>
      <c r="H1774" t="str">
        <f>"akap-1"</f>
        <v>akap-1</v>
      </c>
      <c r="I1774" t="s">
        <v>6650</v>
      </c>
      <c r="J1774">
        <v>15.849899872766199</v>
      </c>
      <c r="K1774">
        <v>15.659225981018</v>
      </c>
      <c r="L1774">
        <v>15.5605354874964</v>
      </c>
      <c r="M1774">
        <v>14.283863088549699</v>
      </c>
      <c r="N1774">
        <v>14.453345116353701</v>
      </c>
      <c r="O1774">
        <v>15.4523995667533</v>
      </c>
      <c r="P1774">
        <v>-0.96001785654128502</v>
      </c>
      <c r="Q1774">
        <v>-1.43478330508626</v>
      </c>
      <c r="R1774">
        <v>-0.48525240799630598</v>
      </c>
      <c r="S1774">
        <v>15.2294542428524</v>
      </c>
      <c r="T1774">
        <v>-4.2500370782930803</v>
      </c>
      <c r="U1774">
        <v>-0.62027685489335405</v>
      </c>
      <c r="V1774">
        <v>4.8725483455063699E-4</v>
      </c>
      <c r="W1774">
        <v>5.3780524247967303E-3</v>
      </c>
      <c r="X1774">
        <v>0</v>
      </c>
      <c r="Y1774">
        <v>0</v>
      </c>
    </row>
    <row r="1775" spans="1:25" x14ac:dyDescent="0.2">
      <c r="A1775" t="s">
        <v>6651</v>
      </c>
      <c r="B1775" t="s">
        <v>6652</v>
      </c>
      <c r="C1775" t="s">
        <v>6653</v>
      </c>
      <c r="D1775" t="s">
        <v>6654</v>
      </c>
      <c r="E1775" t="s">
        <v>6652</v>
      </c>
      <c r="F1775" t="s">
        <v>28</v>
      </c>
      <c r="G1775" t="s">
        <v>6652</v>
      </c>
      <c r="H1775" t="str">
        <f>"C56G2.3"</f>
        <v>C56G2.3</v>
      </c>
      <c r="I1775" t="s">
        <v>6654</v>
      </c>
      <c r="J1775">
        <v>12.4324698543215</v>
      </c>
      <c r="K1775">
        <v>12.2531710384419</v>
      </c>
      <c r="L1775">
        <v>12.756178579820601</v>
      </c>
      <c r="M1775" t="s">
        <v>29</v>
      </c>
      <c r="N1775" t="s">
        <v>29</v>
      </c>
      <c r="O1775">
        <v>12.094830340580399</v>
      </c>
      <c r="P1775">
        <v>-0.38577615028090601</v>
      </c>
      <c r="Q1775">
        <v>-0.991969370791972</v>
      </c>
      <c r="R1775">
        <v>0.22041707023016099</v>
      </c>
      <c r="S1775">
        <v>12.974611546590401</v>
      </c>
      <c r="T1775">
        <v>-1.36589146931967</v>
      </c>
      <c r="U1775">
        <v>-5.8862492901355701</v>
      </c>
      <c r="V1775">
        <v>0.19367485388827699</v>
      </c>
      <c r="W1775">
        <v>0.35188643305101802</v>
      </c>
      <c r="X1775">
        <v>0</v>
      </c>
      <c r="Y1775">
        <v>0</v>
      </c>
    </row>
    <row r="1776" spans="1:25" x14ac:dyDescent="0.2">
      <c r="A1776" t="s">
        <v>6655</v>
      </c>
      <c r="B1776" t="s">
        <v>6656</v>
      </c>
      <c r="C1776" t="s">
        <v>6657</v>
      </c>
      <c r="D1776" t="s">
        <v>6658</v>
      </c>
      <c r="E1776" t="s">
        <v>6656</v>
      </c>
      <c r="F1776" t="s">
        <v>28</v>
      </c>
      <c r="G1776" t="s">
        <v>6656</v>
      </c>
      <c r="H1776" t="str">
        <f>"rpn-13"</f>
        <v>rpn-13</v>
      </c>
      <c r="I1776" t="s">
        <v>6658</v>
      </c>
      <c r="J1776">
        <v>12.5360010684406</v>
      </c>
      <c r="K1776" t="s">
        <v>29</v>
      </c>
      <c r="L1776">
        <v>12.1342308184333</v>
      </c>
      <c r="M1776" t="s">
        <v>29</v>
      </c>
      <c r="N1776" t="s">
        <v>29</v>
      </c>
      <c r="O1776">
        <v>12.037583563400901</v>
      </c>
      <c r="P1776">
        <v>-0.29753238003605798</v>
      </c>
      <c r="Q1776">
        <v>-1.2019245551786499</v>
      </c>
      <c r="R1776">
        <v>0.60685979510653798</v>
      </c>
      <c r="S1776">
        <v>12.2229073960099</v>
      </c>
      <c r="T1776">
        <v>-0.76040182714899995</v>
      </c>
      <c r="U1776">
        <v>-6.4445356985362601</v>
      </c>
      <c r="V1776">
        <v>0.46911174843861497</v>
      </c>
      <c r="W1776">
        <v>0.63028916101971799</v>
      </c>
      <c r="X1776">
        <v>0</v>
      </c>
      <c r="Y1776">
        <v>0</v>
      </c>
    </row>
    <row r="1777" spans="1:25" x14ac:dyDescent="0.2">
      <c r="A1777" t="s">
        <v>6659</v>
      </c>
      <c r="B1777" t="s">
        <v>6660</v>
      </c>
      <c r="C1777" t="s">
        <v>6661</v>
      </c>
      <c r="D1777" t="s">
        <v>6662</v>
      </c>
      <c r="E1777" t="s">
        <v>6660</v>
      </c>
      <c r="F1777" t="s">
        <v>28</v>
      </c>
      <c r="G1777" t="s">
        <v>6660</v>
      </c>
      <c r="H1777" t="str">
        <f>"tofu-6"</f>
        <v>tofu-6</v>
      </c>
      <c r="I1777" t="s">
        <v>6662</v>
      </c>
      <c r="J1777">
        <v>13.0728191442954</v>
      </c>
      <c r="K1777">
        <v>12.8553231030413</v>
      </c>
      <c r="L1777">
        <v>13.365733616051701</v>
      </c>
      <c r="M1777" t="s">
        <v>29</v>
      </c>
      <c r="N1777">
        <v>12.8340360685932</v>
      </c>
      <c r="O1777">
        <v>12.472266968181501</v>
      </c>
      <c r="P1777">
        <v>-0.44480710274208402</v>
      </c>
      <c r="Q1777">
        <v>-1.0772840941701101</v>
      </c>
      <c r="R1777">
        <v>0.18766988868594101</v>
      </c>
      <c r="S1777">
        <v>13.358237322735301</v>
      </c>
      <c r="T1777">
        <v>-1.4844890398778501</v>
      </c>
      <c r="U1777">
        <v>-5.9571653700614897</v>
      </c>
      <c r="V1777">
        <v>0.15609712807093301</v>
      </c>
      <c r="W1777">
        <v>0.30244459988496902</v>
      </c>
      <c r="X1777">
        <v>0</v>
      </c>
      <c r="Y1777">
        <v>0</v>
      </c>
    </row>
    <row r="1778" spans="1:25" x14ac:dyDescent="0.2">
      <c r="A1778" t="s">
        <v>6663</v>
      </c>
      <c r="B1778" t="s">
        <v>6664</v>
      </c>
      <c r="C1778" t="s">
        <v>6665</v>
      </c>
      <c r="D1778" t="s">
        <v>6666</v>
      </c>
      <c r="E1778" t="s">
        <v>6664</v>
      </c>
      <c r="F1778" t="s">
        <v>28</v>
      </c>
      <c r="G1778" t="s">
        <v>6664</v>
      </c>
      <c r="H1778" t="str">
        <f>"EEED8.3"</f>
        <v>EEED8.3</v>
      </c>
      <c r="I1778" t="s">
        <v>6666</v>
      </c>
      <c r="J1778" t="s">
        <v>29</v>
      </c>
      <c r="K1778" t="s">
        <v>29</v>
      </c>
      <c r="L1778" t="s">
        <v>29</v>
      </c>
      <c r="M1778" t="s">
        <v>29</v>
      </c>
      <c r="N1778" t="s">
        <v>29</v>
      </c>
      <c r="O1778" t="s">
        <v>29</v>
      </c>
      <c r="P1778" t="s">
        <v>29</v>
      </c>
      <c r="Q1778" t="s">
        <v>29</v>
      </c>
      <c r="R1778" t="s">
        <v>29</v>
      </c>
      <c r="S1778">
        <v>9.8988125165082703</v>
      </c>
      <c r="T1778" t="s">
        <v>29</v>
      </c>
      <c r="U1778" t="s">
        <v>29</v>
      </c>
      <c r="V1778" t="s">
        <v>29</v>
      </c>
      <c r="W1778" t="s">
        <v>29</v>
      </c>
      <c r="X1778" t="s">
        <v>29</v>
      </c>
      <c r="Y1778" t="s">
        <v>29</v>
      </c>
    </row>
    <row r="1779" spans="1:25" x14ac:dyDescent="0.2">
      <c r="A1779" t="s">
        <v>6667</v>
      </c>
      <c r="B1779" t="s">
        <v>6668</v>
      </c>
      <c r="C1779" t="s">
        <v>6669</v>
      </c>
      <c r="D1779" t="s">
        <v>6670</v>
      </c>
      <c r="E1779" t="s">
        <v>6668</v>
      </c>
      <c r="F1779" t="s">
        <v>28</v>
      </c>
      <c r="G1779" t="s">
        <v>6668</v>
      </c>
      <c r="H1779" t="str">
        <f>"EEED8.10"</f>
        <v>EEED8.10</v>
      </c>
      <c r="I1779" t="s">
        <v>6670</v>
      </c>
      <c r="J1779">
        <v>12.8275343609992</v>
      </c>
      <c r="K1779">
        <v>12.741681777020499</v>
      </c>
      <c r="L1779">
        <v>12.937333788368001</v>
      </c>
      <c r="M1779" t="s">
        <v>29</v>
      </c>
      <c r="N1779">
        <v>13.4041795222538</v>
      </c>
      <c r="O1779">
        <v>13.636821200846899</v>
      </c>
      <c r="P1779">
        <v>0.68498371942113501</v>
      </c>
      <c r="Q1779">
        <v>0.123960212647094</v>
      </c>
      <c r="R1779">
        <v>1.24600722619518</v>
      </c>
      <c r="S1779">
        <v>13.321395858247801</v>
      </c>
      <c r="T1779">
        <v>2.5772064170512898</v>
      </c>
      <c r="U1779">
        <v>-4.1050169377130503</v>
      </c>
      <c r="V1779">
        <v>1.9647521960451102E-2</v>
      </c>
      <c r="W1779">
        <v>7.2196068849687406E-2</v>
      </c>
      <c r="X1779">
        <v>0</v>
      </c>
      <c r="Y1779">
        <v>0</v>
      </c>
    </row>
    <row r="1780" spans="1:25" x14ac:dyDescent="0.2">
      <c r="A1780" t="s">
        <v>6671</v>
      </c>
      <c r="B1780" t="s">
        <v>6672</v>
      </c>
      <c r="C1780" t="s">
        <v>6673</v>
      </c>
      <c r="D1780" t="s">
        <v>6674</v>
      </c>
      <c r="E1780" t="s">
        <v>6672</v>
      </c>
      <c r="F1780" t="s">
        <v>28</v>
      </c>
      <c r="G1780" t="s">
        <v>6672</v>
      </c>
      <c r="H1780" t="str">
        <f>"F10B5.2"</f>
        <v>F10B5.2</v>
      </c>
      <c r="I1780" t="s">
        <v>6674</v>
      </c>
      <c r="J1780">
        <v>13.8316981534765</v>
      </c>
      <c r="K1780" t="s">
        <v>29</v>
      </c>
      <c r="L1780">
        <v>12.9740311583323</v>
      </c>
      <c r="M1780" t="s">
        <v>29</v>
      </c>
      <c r="N1780" t="s">
        <v>29</v>
      </c>
      <c r="O1780">
        <v>13.4636609189485</v>
      </c>
      <c r="P1780">
        <v>6.0796263044112599E-2</v>
      </c>
      <c r="Q1780">
        <v>-1.3289910839060901</v>
      </c>
      <c r="R1780">
        <v>1.4505836099943099</v>
      </c>
      <c r="S1780">
        <v>13.390470966641001</v>
      </c>
      <c r="T1780">
        <v>9.6395381236414099E-2</v>
      </c>
      <c r="U1780">
        <v>-6.7495465907093699</v>
      </c>
      <c r="V1780">
        <v>0.92495683961561004</v>
      </c>
      <c r="W1780">
        <v>0.95744566432989298</v>
      </c>
      <c r="X1780">
        <v>0</v>
      </c>
      <c r="Y1780">
        <v>0</v>
      </c>
    </row>
    <row r="1781" spans="1:25" x14ac:dyDescent="0.2">
      <c r="A1781" t="s">
        <v>6675</v>
      </c>
      <c r="B1781" t="s">
        <v>6676</v>
      </c>
      <c r="C1781" t="s">
        <v>6677</v>
      </c>
      <c r="D1781" t="s">
        <v>6678</v>
      </c>
      <c r="E1781" t="s">
        <v>6676</v>
      </c>
      <c r="F1781" t="s">
        <v>28</v>
      </c>
      <c r="G1781" t="s">
        <v>6676</v>
      </c>
      <c r="H1781" t="str">
        <f>"fbf-2"</f>
        <v>fbf-2</v>
      </c>
      <c r="I1781" t="s">
        <v>6678</v>
      </c>
      <c r="J1781">
        <v>13.0246151045805</v>
      </c>
      <c r="K1781">
        <v>12.1320154328432</v>
      </c>
      <c r="L1781">
        <v>13.1443083609096</v>
      </c>
      <c r="M1781" t="s">
        <v>29</v>
      </c>
      <c r="N1781">
        <v>12.861896385993299</v>
      </c>
      <c r="O1781">
        <v>12.742160515552699</v>
      </c>
      <c r="P1781">
        <v>3.5048817995218001E-2</v>
      </c>
      <c r="Q1781">
        <v>-0.815073683293003</v>
      </c>
      <c r="R1781">
        <v>0.88517131928343895</v>
      </c>
      <c r="S1781">
        <v>13.729590005595499</v>
      </c>
      <c r="T1781">
        <v>8.7024568378568007E-2</v>
      </c>
      <c r="U1781">
        <v>-7.0414949766258896</v>
      </c>
      <c r="V1781">
        <v>0.931675085657661</v>
      </c>
      <c r="W1781">
        <v>0.96068806068338897</v>
      </c>
      <c r="X1781">
        <v>0</v>
      </c>
      <c r="Y1781">
        <v>0</v>
      </c>
    </row>
    <row r="1782" spans="1:25" x14ac:dyDescent="0.2">
      <c r="A1782" t="s">
        <v>6679</v>
      </c>
      <c r="B1782" t="s">
        <v>6680</v>
      </c>
      <c r="C1782" t="s">
        <v>6681</v>
      </c>
      <c r="D1782" t="s">
        <v>6682</v>
      </c>
      <c r="E1782" t="s">
        <v>6680</v>
      </c>
      <c r="F1782" t="s">
        <v>28</v>
      </c>
      <c r="G1782" t="s">
        <v>6680</v>
      </c>
      <c r="H1782" t="str">
        <f>"F25B5.5"</f>
        <v>F25B5.5</v>
      </c>
      <c r="I1782" t="s">
        <v>6682</v>
      </c>
      <c r="J1782">
        <v>13.437443601533399</v>
      </c>
      <c r="K1782">
        <v>13.4250167802311</v>
      </c>
      <c r="L1782">
        <v>13.1336786591968</v>
      </c>
      <c r="M1782" t="s">
        <v>29</v>
      </c>
      <c r="N1782">
        <v>13.6752708281713</v>
      </c>
      <c r="O1782">
        <v>12.483115157036799</v>
      </c>
      <c r="P1782">
        <v>-0.252853354383062</v>
      </c>
      <c r="Q1782">
        <v>-1.1318468019124699</v>
      </c>
      <c r="R1782">
        <v>0.626140093146346</v>
      </c>
      <c r="S1782">
        <v>13.552768610841399</v>
      </c>
      <c r="T1782">
        <v>-0.60720186237041696</v>
      </c>
      <c r="U1782">
        <v>-6.85376953270789</v>
      </c>
      <c r="V1782">
        <v>0.55179098387852099</v>
      </c>
      <c r="W1782">
        <v>0.69593918433584301</v>
      </c>
      <c r="X1782">
        <v>0</v>
      </c>
      <c r="Y1782">
        <v>0</v>
      </c>
    </row>
    <row r="1783" spans="1:25" x14ac:dyDescent="0.2">
      <c r="A1783" t="s">
        <v>6683</v>
      </c>
      <c r="B1783" t="s">
        <v>6684</v>
      </c>
      <c r="C1783" t="s">
        <v>6685</v>
      </c>
      <c r="D1783" t="s">
        <v>6686</v>
      </c>
      <c r="E1783" t="s">
        <v>6684</v>
      </c>
      <c r="F1783" t="s">
        <v>28</v>
      </c>
      <c r="G1783" t="s">
        <v>6684</v>
      </c>
      <c r="H1783" t="str">
        <f>"pcf-11"</f>
        <v>pcf-11</v>
      </c>
      <c r="I1783" t="s">
        <v>6686</v>
      </c>
      <c r="J1783">
        <v>10.965180903619901</v>
      </c>
      <c r="K1783">
        <v>10.840473298108799</v>
      </c>
      <c r="L1783">
        <v>11.314138638813199</v>
      </c>
      <c r="M1783" t="s">
        <v>29</v>
      </c>
      <c r="N1783" t="s">
        <v>29</v>
      </c>
      <c r="O1783" t="s">
        <v>29</v>
      </c>
      <c r="P1783" t="s">
        <v>29</v>
      </c>
      <c r="Q1783" t="s">
        <v>29</v>
      </c>
      <c r="R1783" t="s">
        <v>29</v>
      </c>
      <c r="S1783">
        <v>11.4865196167726</v>
      </c>
      <c r="T1783" t="s">
        <v>29</v>
      </c>
      <c r="U1783" t="s">
        <v>29</v>
      </c>
      <c r="V1783" t="s">
        <v>29</v>
      </c>
      <c r="W1783" t="s">
        <v>29</v>
      </c>
      <c r="X1783" t="s">
        <v>29</v>
      </c>
      <c r="Y1783" t="s">
        <v>29</v>
      </c>
    </row>
    <row r="1784" spans="1:25" x14ac:dyDescent="0.2">
      <c r="A1784" t="s">
        <v>6687</v>
      </c>
      <c r="B1784" t="s">
        <v>6688</v>
      </c>
      <c r="C1784" t="s">
        <v>6689</v>
      </c>
      <c r="D1784" t="s">
        <v>6690</v>
      </c>
      <c r="E1784" t="s">
        <v>6688</v>
      </c>
      <c r="F1784" t="s">
        <v>28</v>
      </c>
      <c r="G1784" t="s">
        <v>6688</v>
      </c>
      <c r="H1784" t="str">
        <f>"smcr-8"</f>
        <v>smcr-8</v>
      </c>
      <c r="I1784" t="s">
        <v>6690</v>
      </c>
      <c r="J1784">
        <v>10.566944265418099</v>
      </c>
      <c r="K1784">
        <v>10.701803347173501</v>
      </c>
      <c r="L1784">
        <v>11.874768332339899</v>
      </c>
      <c r="M1784" t="s">
        <v>29</v>
      </c>
      <c r="N1784" t="s">
        <v>29</v>
      </c>
      <c r="O1784">
        <v>12.6098093193116</v>
      </c>
      <c r="P1784">
        <v>1.5619706710011201</v>
      </c>
      <c r="Q1784">
        <v>0.44852131404401901</v>
      </c>
      <c r="R1784">
        <v>2.6754200279582299</v>
      </c>
      <c r="S1784">
        <v>11.8339912566052</v>
      </c>
      <c r="T1784">
        <v>2.9754450618123598</v>
      </c>
      <c r="U1784">
        <v>-3.1281457057681399</v>
      </c>
      <c r="V1784">
        <v>8.9746097205489102E-3</v>
      </c>
      <c r="W1784">
        <v>4.2558144229318001E-2</v>
      </c>
      <c r="X1784">
        <v>1</v>
      </c>
      <c r="Y1784">
        <v>1</v>
      </c>
    </row>
    <row r="1785" spans="1:25" x14ac:dyDescent="0.2">
      <c r="A1785" t="s">
        <v>6691</v>
      </c>
      <c r="B1785" t="s">
        <v>6692</v>
      </c>
      <c r="C1785" t="s">
        <v>6693</v>
      </c>
      <c r="D1785" t="s">
        <v>6694</v>
      </c>
      <c r="E1785" t="s">
        <v>6692</v>
      </c>
      <c r="F1785" t="s">
        <v>28</v>
      </c>
      <c r="G1785" t="s">
        <v>6692</v>
      </c>
      <c r="H1785" t="str">
        <f>"ufd-2"</f>
        <v>ufd-2</v>
      </c>
      <c r="I1785" t="s">
        <v>6694</v>
      </c>
      <c r="J1785">
        <v>13.637591259580001</v>
      </c>
      <c r="K1785">
        <v>13.700818571668201</v>
      </c>
      <c r="L1785">
        <v>13.5610632040729</v>
      </c>
      <c r="M1785">
        <v>13.6388939042992</v>
      </c>
      <c r="N1785">
        <v>13.420880421995401</v>
      </c>
      <c r="O1785">
        <v>13.647139355902601</v>
      </c>
      <c r="P1785">
        <v>-6.4186451041267703E-2</v>
      </c>
      <c r="Q1785">
        <v>-0.41992572718582499</v>
      </c>
      <c r="R1785">
        <v>0.29155282510329</v>
      </c>
      <c r="S1785">
        <v>13.569534009511599</v>
      </c>
      <c r="T1785">
        <v>-0.37923119950386702</v>
      </c>
      <c r="U1785">
        <v>-7.0811317430970897</v>
      </c>
      <c r="V1785">
        <v>0.70897860105196797</v>
      </c>
      <c r="W1785">
        <v>0.81162305930399004</v>
      </c>
      <c r="X1785">
        <v>0</v>
      </c>
      <c r="Y1785">
        <v>0</v>
      </c>
    </row>
    <row r="1786" spans="1:25" x14ac:dyDescent="0.2">
      <c r="A1786" t="s">
        <v>6695</v>
      </c>
      <c r="B1786" t="s">
        <v>6696</v>
      </c>
      <c r="C1786" t="s">
        <v>6697</v>
      </c>
      <c r="D1786" t="s">
        <v>6698</v>
      </c>
      <c r="E1786" t="s">
        <v>6696</v>
      </c>
      <c r="F1786" t="s">
        <v>28</v>
      </c>
      <c r="G1786" t="s">
        <v>6696</v>
      </c>
      <c r="H1786" t="str">
        <f>"ulp-1"</f>
        <v>ulp-1</v>
      </c>
      <c r="I1786" t="s">
        <v>6698</v>
      </c>
      <c r="J1786">
        <v>11.184564242395799</v>
      </c>
      <c r="K1786" t="s">
        <v>29</v>
      </c>
      <c r="L1786" t="s">
        <v>29</v>
      </c>
      <c r="M1786" t="s">
        <v>29</v>
      </c>
      <c r="N1786" t="s">
        <v>29</v>
      </c>
      <c r="O1786" t="s">
        <v>29</v>
      </c>
      <c r="P1786" t="s">
        <v>29</v>
      </c>
      <c r="Q1786" t="s">
        <v>29</v>
      </c>
      <c r="R1786" t="s">
        <v>29</v>
      </c>
      <c r="S1786">
        <v>11.884219659207499</v>
      </c>
      <c r="T1786" t="s">
        <v>29</v>
      </c>
      <c r="U1786" t="s">
        <v>29</v>
      </c>
      <c r="V1786" t="s">
        <v>29</v>
      </c>
      <c r="W1786" t="s">
        <v>29</v>
      </c>
      <c r="X1786" t="s">
        <v>29</v>
      </c>
      <c r="Y1786" t="s">
        <v>29</v>
      </c>
    </row>
    <row r="1787" spans="1:25" x14ac:dyDescent="0.2">
      <c r="A1787" t="s">
        <v>6699</v>
      </c>
      <c r="B1787" t="s">
        <v>6700</v>
      </c>
      <c r="C1787" t="s">
        <v>6701</v>
      </c>
      <c r="D1787" t="s">
        <v>6702</v>
      </c>
      <c r="E1787" t="s">
        <v>6700</v>
      </c>
      <c r="F1787" t="s">
        <v>28</v>
      </c>
      <c r="G1787" t="s">
        <v>6700</v>
      </c>
      <c r="H1787" t="str">
        <f>"ZK1307.1"</f>
        <v>ZK1307.1</v>
      </c>
      <c r="I1787" t="s">
        <v>6702</v>
      </c>
      <c r="J1787">
        <v>12.5254271454058</v>
      </c>
      <c r="K1787" t="s">
        <v>29</v>
      </c>
      <c r="L1787">
        <v>13.030604311559401</v>
      </c>
      <c r="M1787" t="s">
        <v>29</v>
      </c>
      <c r="N1787">
        <v>14.263349577667499</v>
      </c>
      <c r="O1787">
        <v>16.354307242967</v>
      </c>
      <c r="P1787">
        <v>2.5308126818346199</v>
      </c>
      <c r="Q1787">
        <v>1.4494675937838799</v>
      </c>
      <c r="R1787">
        <v>3.61215776988537</v>
      </c>
      <c r="S1787">
        <v>14.489197881360599</v>
      </c>
      <c r="T1787">
        <v>4.96415370420904</v>
      </c>
      <c r="U1787">
        <v>0.83778844203793201</v>
      </c>
      <c r="V1787">
        <v>1.4339980288178799E-4</v>
      </c>
      <c r="W1787">
        <v>2.2598888721531E-3</v>
      </c>
      <c r="X1787">
        <v>1</v>
      </c>
      <c r="Y1787">
        <v>1</v>
      </c>
    </row>
    <row r="1788" spans="1:25" x14ac:dyDescent="0.2">
      <c r="A1788" t="s">
        <v>6703</v>
      </c>
      <c r="B1788" t="s">
        <v>6704</v>
      </c>
      <c r="C1788" t="s">
        <v>6705</v>
      </c>
      <c r="D1788" t="s">
        <v>6706</v>
      </c>
      <c r="E1788" t="s">
        <v>6704</v>
      </c>
      <c r="F1788" t="s">
        <v>28</v>
      </c>
      <c r="G1788" t="s">
        <v>6704</v>
      </c>
      <c r="H1788" t="str">
        <f>"aqp-10"</f>
        <v>aqp-10</v>
      </c>
      <c r="I1788" t="s">
        <v>6706</v>
      </c>
      <c r="J1788">
        <v>16.069509969994801</v>
      </c>
      <c r="K1788">
        <v>16.5221149452831</v>
      </c>
      <c r="L1788">
        <v>16.4436693082028</v>
      </c>
      <c r="M1788">
        <v>14.3364769419388</v>
      </c>
      <c r="N1788">
        <v>16.3746785709987</v>
      </c>
      <c r="O1788">
        <v>15.515564556867499</v>
      </c>
      <c r="P1788">
        <v>-0.93619138455853301</v>
      </c>
      <c r="Q1788">
        <v>-1.6813863067316099</v>
      </c>
      <c r="R1788">
        <v>-0.190996462385462</v>
      </c>
      <c r="S1788">
        <v>16.500595997039699</v>
      </c>
      <c r="T1788">
        <v>-2.6405066549320799</v>
      </c>
      <c r="U1788">
        <v>-4.0696973206416898</v>
      </c>
      <c r="V1788">
        <v>1.6674068063688902E-2</v>
      </c>
      <c r="W1788">
        <v>6.5343721520866094E-2</v>
      </c>
      <c r="X1788">
        <v>0</v>
      </c>
      <c r="Y1788">
        <v>0</v>
      </c>
    </row>
    <row r="1789" spans="1:25" x14ac:dyDescent="0.2">
      <c r="A1789" t="s">
        <v>6707</v>
      </c>
      <c r="B1789" t="s">
        <v>6708</v>
      </c>
      <c r="C1789" t="s">
        <v>6709</v>
      </c>
      <c r="D1789" t="s">
        <v>6710</v>
      </c>
      <c r="E1789" t="s">
        <v>6708</v>
      </c>
      <c r="F1789" t="s">
        <v>28</v>
      </c>
      <c r="G1789" t="s">
        <v>6708</v>
      </c>
      <c r="H1789" t="str">
        <f>"npp-24"</f>
        <v>npp-24</v>
      </c>
      <c r="I1789" t="s">
        <v>6710</v>
      </c>
      <c r="J1789">
        <v>13.481084197691899</v>
      </c>
      <c r="K1789">
        <v>13.4643747708402</v>
      </c>
      <c r="L1789">
        <v>13.3051135676941</v>
      </c>
      <c r="M1789" t="s">
        <v>29</v>
      </c>
      <c r="N1789" t="s">
        <v>29</v>
      </c>
      <c r="O1789">
        <v>13.352575883061199</v>
      </c>
      <c r="P1789">
        <v>-6.4281629014171698E-2</v>
      </c>
      <c r="Q1789">
        <v>-0.55292323374632701</v>
      </c>
      <c r="R1789">
        <v>0.42435997571798401</v>
      </c>
      <c r="S1789">
        <v>13.188968971687499</v>
      </c>
      <c r="T1789">
        <v>-0.27902682813006502</v>
      </c>
      <c r="U1789">
        <v>-6.7719149956066298</v>
      </c>
      <c r="V1789">
        <v>0.78382198684259496</v>
      </c>
      <c r="W1789">
        <v>0.86416887213809501</v>
      </c>
      <c r="X1789">
        <v>0</v>
      </c>
      <c r="Y1789">
        <v>0</v>
      </c>
    </row>
    <row r="1790" spans="1:25" x14ac:dyDescent="0.2">
      <c r="A1790" t="s">
        <v>6711</v>
      </c>
      <c r="B1790" t="s">
        <v>6712</v>
      </c>
      <c r="C1790" t="s">
        <v>6713</v>
      </c>
      <c r="D1790" t="s">
        <v>6714</v>
      </c>
      <c r="E1790" t="s">
        <v>6712</v>
      </c>
      <c r="F1790" t="s">
        <v>28</v>
      </c>
      <c r="G1790" t="s">
        <v>6712</v>
      </c>
      <c r="H1790" t="str">
        <f>"fzy-1"</f>
        <v>fzy-1</v>
      </c>
      <c r="I1790" t="s">
        <v>6714</v>
      </c>
      <c r="J1790">
        <v>13.8034848860569</v>
      </c>
      <c r="K1790">
        <v>13.752762125555799</v>
      </c>
      <c r="L1790">
        <v>13.744109438041299</v>
      </c>
      <c r="M1790">
        <v>13.7063317587267</v>
      </c>
      <c r="N1790">
        <v>13.573932954001499</v>
      </c>
      <c r="O1790">
        <v>13.7893051516568</v>
      </c>
      <c r="P1790">
        <v>-7.6928861756336203E-2</v>
      </c>
      <c r="Q1790">
        <v>-0.44405043364258201</v>
      </c>
      <c r="R1790">
        <v>0.29019271012990999</v>
      </c>
      <c r="S1790">
        <v>13.4931027414813</v>
      </c>
      <c r="T1790">
        <v>-0.44042495192319803</v>
      </c>
      <c r="U1790">
        <v>-7.0550568171369497</v>
      </c>
      <c r="V1790">
        <v>0.66490326761071505</v>
      </c>
      <c r="W1790">
        <v>0.77787611339768903</v>
      </c>
      <c r="X1790">
        <v>0</v>
      </c>
      <c r="Y1790">
        <v>0</v>
      </c>
    </row>
    <row r="1791" spans="1:25" x14ac:dyDescent="0.2">
      <c r="A1791" t="s">
        <v>6715</v>
      </c>
      <c r="B1791" t="s">
        <v>6716</v>
      </c>
      <c r="C1791" t="s">
        <v>6717</v>
      </c>
      <c r="D1791" t="s">
        <v>6718</v>
      </c>
      <c r="E1791" t="s">
        <v>6716</v>
      </c>
      <c r="F1791" t="s">
        <v>28</v>
      </c>
      <c r="G1791" t="s">
        <v>6716</v>
      </c>
      <c r="H1791" t="str">
        <f>"sahd-1"</f>
        <v>sahd-1</v>
      </c>
      <c r="I1791" t="s">
        <v>6718</v>
      </c>
      <c r="J1791">
        <v>13.108874902194801</v>
      </c>
      <c r="K1791">
        <v>13.8445263450227</v>
      </c>
      <c r="L1791">
        <v>13.2009884608585</v>
      </c>
      <c r="M1791" t="s">
        <v>29</v>
      </c>
      <c r="N1791">
        <v>13.000568486497899</v>
      </c>
      <c r="O1791">
        <v>13.1863434159929</v>
      </c>
      <c r="P1791">
        <v>-0.29134061811326201</v>
      </c>
      <c r="Q1791">
        <v>-0.853729464406776</v>
      </c>
      <c r="R1791">
        <v>0.27104822818025198</v>
      </c>
      <c r="S1791">
        <v>13.0816646851538</v>
      </c>
      <c r="T1791">
        <v>-1.0934888313161799</v>
      </c>
      <c r="U1791">
        <v>-6.4383446609529598</v>
      </c>
      <c r="V1791">
        <v>0.28952566077643499</v>
      </c>
      <c r="W1791">
        <v>0.457988256740823</v>
      </c>
      <c r="X1791">
        <v>0</v>
      </c>
      <c r="Y1791">
        <v>0</v>
      </c>
    </row>
    <row r="1792" spans="1:25" x14ac:dyDescent="0.2">
      <c r="A1792" t="s">
        <v>6719</v>
      </c>
      <c r="B1792" t="s">
        <v>6720</v>
      </c>
      <c r="C1792" t="s">
        <v>6721</v>
      </c>
      <c r="D1792" t="s">
        <v>3358</v>
      </c>
      <c r="E1792" t="s">
        <v>6720</v>
      </c>
      <c r="F1792" t="s">
        <v>28</v>
      </c>
      <c r="G1792" t="s">
        <v>6720</v>
      </c>
      <c r="H1792" t="str">
        <f>"skpt-1"</f>
        <v>skpt-1</v>
      </c>
      <c r="I1792" t="s">
        <v>3358</v>
      </c>
      <c r="J1792">
        <v>11.3100960990029</v>
      </c>
      <c r="K1792" t="s">
        <v>29</v>
      </c>
      <c r="L1792">
        <v>11.946097919939801</v>
      </c>
      <c r="M1792" t="s">
        <v>29</v>
      </c>
      <c r="N1792" t="s">
        <v>29</v>
      </c>
      <c r="O1792" t="s">
        <v>29</v>
      </c>
      <c r="P1792" t="s">
        <v>29</v>
      </c>
      <c r="Q1792" t="s">
        <v>29</v>
      </c>
      <c r="R1792" t="s">
        <v>29</v>
      </c>
      <c r="S1792">
        <v>11.9982126974185</v>
      </c>
      <c r="T1792" t="s">
        <v>29</v>
      </c>
      <c r="U1792" t="s">
        <v>29</v>
      </c>
      <c r="V1792" t="s">
        <v>29</v>
      </c>
      <c r="W1792" t="s">
        <v>29</v>
      </c>
      <c r="X1792" t="s">
        <v>29</v>
      </c>
      <c r="Y1792" t="s">
        <v>29</v>
      </c>
    </row>
    <row r="1793" spans="1:25" x14ac:dyDescent="0.2">
      <c r="A1793" t="s">
        <v>6722</v>
      </c>
      <c r="B1793" t="s">
        <v>6723</v>
      </c>
      <c r="C1793" t="s">
        <v>6724</v>
      </c>
      <c r="D1793" t="s">
        <v>6725</v>
      </c>
      <c r="E1793" t="s">
        <v>6723</v>
      </c>
      <c r="F1793" t="s">
        <v>28</v>
      </c>
      <c r="G1793" t="s">
        <v>6723</v>
      </c>
      <c r="H1793" t="str">
        <f>"cid-1"</f>
        <v>cid-1</v>
      </c>
      <c r="I1793" t="s">
        <v>6725</v>
      </c>
      <c r="J1793">
        <v>14.1798527774185</v>
      </c>
      <c r="K1793">
        <v>14.1340291027483</v>
      </c>
      <c r="L1793">
        <v>14.1188513521762</v>
      </c>
      <c r="M1793">
        <v>14.2952977383546</v>
      </c>
      <c r="N1793">
        <v>14.586794027822</v>
      </c>
      <c r="O1793">
        <v>14.231251198057899</v>
      </c>
      <c r="P1793">
        <v>0.22686991063051701</v>
      </c>
      <c r="Q1793">
        <v>-0.17436402140327001</v>
      </c>
      <c r="R1793">
        <v>0.62810384266430497</v>
      </c>
      <c r="S1793">
        <v>14.475279938462901</v>
      </c>
      <c r="T1793">
        <v>1.1884249456140601</v>
      </c>
      <c r="U1793">
        <v>-6.4430699418663897</v>
      </c>
      <c r="V1793">
        <v>0.25019915886273097</v>
      </c>
      <c r="W1793">
        <v>0.417518075406834</v>
      </c>
      <c r="X1793">
        <v>0</v>
      </c>
      <c r="Y1793">
        <v>0</v>
      </c>
    </row>
    <row r="1794" spans="1:25" x14ac:dyDescent="0.2">
      <c r="A1794" t="s">
        <v>6726</v>
      </c>
      <c r="B1794" t="s">
        <v>6727</v>
      </c>
      <c r="C1794" t="s">
        <v>6728</v>
      </c>
      <c r="D1794" t="s">
        <v>6729</v>
      </c>
      <c r="E1794" t="s">
        <v>6727</v>
      </c>
      <c r="F1794" t="s">
        <v>28</v>
      </c>
      <c r="G1794" t="s">
        <v>6727</v>
      </c>
      <c r="H1794" t="str">
        <f>"R06F6.8"</f>
        <v>R06F6.8</v>
      </c>
      <c r="I1794" t="s">
        <v>6729</v>
      </c>
      <c r="J1794">
        <v>11.9658841376583</v>
      </c>
      <c r="K1794">
        <v>10.729286832097801</v>
      </c>
      <c r="L1794">
        <v>11.486265209060999</v>
      </c>
      <c r="M1794" t="s">
        <v>29</v>
      </c>
      <c r="N1794">
        <v>12.2972025883837</v>
      </c>
      <c r="O1794">
        <v>12.4805068283914</v>
      </c>
      <c r="P1794">
        <v>0.99504264878182302</v>
      </c>
      <c r="Q1794">
        <v>0.45388535368525001</v>
      </c>
      <c r="R1794">
        <v>1.5361999438784</v>
      </c>
      <c r="S1794">
        <v>11.957923328106499</v>
      </c>
      <c r="T1794">
        <v>3.9000278472422099</v>
      </c>
      <c r="U1794">
        <v>-1.4340028343064299</v>
      </c>
      <c r="V1794">
        <v>1.2878653212232301E-3</v>
      </c>
      <c r="W1794">
        <v>1.0812931913518099E-2</v>
      </c>
      <c r="X1794">
        <v>0</v>
      </c>
      <c r="Y1794">
        <v>0</v>
      </c>
    </row>
    <row r="1795" spans="1:25" x14ac:dyDescent="0.2">
      <c r="A1795" t="s">
        <v>6730</v>
      </c>
      <c r="B1795" t="s">
        <v>6731</v>
      </c>
      <c r="C1795" t="s">
        <v>6732</v>
      </c>
      <c r="D1795" t="s">
        <v>6733</v>
      </c>
      <c r="E1795" t="s">
        <v>6731</v>
      </c>
      <c r="F1795" t="s">
        <v>28</v>
      </c>
      <c r="G1795" t="s">
        <v>6731</v>
      </c>
      <c r="H1795" t="str">
        <f>"pgam-5"</f>
        <v>pgam-5</v>
      </c>
      <c r="I1795" t="s">
        <v>6733</v>
      </c>
      <c r="J1795">
        <v>11.3883188531071</v>
      </c>
      <c r="K1795" t="s">
        <v>29</v>
      </c>
      <c r="L1795">
        <v>12.518480286633601</v>
      </c>
      <c r="M1795" t="s">
        <v>29</v>
      </c>
      <c r="N1795" t="s">
        <v>29</v>
      </c>
      <c r="O1795">
        <v>11.3810668129207</v>
      </c>
      <c r="P1795">
        <v>-0.57233275694958996</v>
      </c>
      <c r="Q1795">
        <v>-1.65139483612349</v>
      </c>
      <c r="R1795">
        <v>0.506729322224312</v>
      </c>
      <c r="S1795">
        <v>12.8742572788962</v>
      </c>
      <c r="T1795">
        <v>-1.1312114132706601</v>
      </c>
      <c r="U1795">
        <v>-6.1086108014790703</v>
      </c>
      <c r="V1795">
        <v>0.27585113768782199</v>
      </c>
      <c r="W1795">
        <v>0.44374088578930798</v>
      </c>
      <c r="X1795">
        <v>0</v>
      </c>
      <c r="Y1795">
        <v>0</v>
      </c>
    </row>
    <row r="1796" spans="1:25" x14ac:dyDescent="0.2">
      <c r="A1796" t="s">
        <v>6734</v>
      </c>
      <c r="B1796" t="s">
        <v>6735</v>
      </c>
      <c r="C1796" t="s">
        <v>6736</v>
      </c>
      <c r="D1796" t="s">
        <v>6737</v>
      </c>
      <c r="E1796" t="s">
        <v>6735</v>
      </c>
      <c r="F1796" t="s">
        <v>28</v>
      </c>
      <c r="G1796" t="s">
        <v>6735</v>
      </c>
      <c r="H1796" t="str">
        <f>"mex-6"</f>
        <v>mex-6</v>
      </c>
      <c r="I1796" t="s">
        <v>6737</v>
      </c>
      <c r="J1796">
        <v>11.9172959066197</v>
      </c>
      <c r="K1796" t="s">
        <v>29</v>
      </c>
      <c r="L1796">
        <v>12.474483984620001</v>
      </c>
      <c r="M1796" t="s">
        <v>29</v>
      </c>
      <c r="N1796" t="s">
        <v>29</v>
      </c>
      <c r="O1796" t="s">
        <v>29</v>
      </c>
      <c r="P1796" t="s">
        <v>29</v>
      </c>
      <c r="Q1796" t="s">
        <v>29</v>
      </c>
      <c r="R1796" t="s">
        <v>29</v>
      </c>
      <c r="S1796">
        <v>13.382268463050099</v>
      </c>
      <c r="T1796" t="s">
        <v>29</v>
      </c>
      <c r="U1796" t="s">
        <v>29</v>
      </c>
      <c r="V1796" t="s">
        <v>29</v>
      </c>
      <c r="W1796" t="s">
        <v>29</v>
      </c>
      <c r="X1796" t="s">
        <v>29</v>
      </c>
      <c r="Y1796" t="s">
        <v>29</v>
      </c>
    </row>
    <row r="1797" spans="1:25" x14ac:dyDescent="0.2">
      <c r="A1797" t="s">
        <v>6738</v>
      </c>
      <c r="B1797" t="s">
        <v>6739</v>
      </c>
      <c r="C1797" t="s">
        <v>6740</v>
      </c>
      <c r="D1797" t="s">
        <v>6741</v>
      </c>
      <c r="E1797" t="s">
        <v>6739</v>
      </c>
      <c r="F1797" t="s">
        <v>28</v>
      </c>
      <c r="G1797" t="s">
        <v>6739</v>
      </c>
      <c r="H1797" t="str">
        <f>"cdk-11.1"</f>
        <v>cdk-11.1</v>
      </c>
      <c r="I1797" t="s">
        <v>6741</v>
      </c>
      <c r="J1797" t="s">
        <v>29</v>
      </c>
      <c r="K1797" t="s">
        <v>29</v>
      </c>
      <c r="L1797" t="s">
        <v>29</v>
      </c>
      <c r="M1797" t="s">
        <v>29</v>
      </c>
      <c r="N1797" t="s">
        <v>29</v>
      </c>
      <c r="O1797" t="s">
        <v>29</v>
      </c>
      <c r="P1797" t="s">
        <v>29</v>
      </c>
      <c r="Q1797" t="s">
        <v>29</v>
      </c>
      <c r="R1797" t="s">
        <v>29</v>
      </c>
      <c r="S1797">
        <v>12.691733815594599</v>
      </c>
      <c r="T1797" t="s">
        <v>29</v>
      </c>
      <c r="U1797" t="s">
        <v>29</v>
      </c>
      <c r="V1797" t="s">
        <v>29</v>
      </c>
      <c r="W1797" t="s">
        <v>29</v>
      </c>
      <c r="X1797" t="s">
        <v>29</v>
      </c>
      <c r="Y1797" t="s">
        <v>29</v>
      </c>
    </row>
    <row r="1798" spans="1:25" x14ac:dyDescent="0.2">
      <c r="A1798" t="s">
        <v>6742</v>
      </c>
      <c r="B1798" t="s">
        <v>6743</v>
      </c>
      <c r="C1798" t="s">
        <v>6744</v>
      </c>
      <c r="D1798" t="s">
        <v>6745</v>
      </c>
      <c r="E1798" t="s">
        <v>6743</v>
      </c>
      <c r="F1798" t="s">
        <v>28</v>
      </c>
      <c r="G1798" t="s">
        <v>6743</v>
      </c>
      <c r="H1798" t="str">
        <f>"C08B11.3"</f>
        <v>C08B11.3</v>
      </c>
      <c r="I1798" t="s">
        <v>6745</v>
      </c>
      <c r="J1798">
        <v>13.149920330439899</v>
      </c>
      <c r="K1798">
        <v>13.248018226035599</v>
      </c>
      <c r="L1798">
        <v>13.0874619063101</v>
      </c>
      <c r="M1798" t="s">
        <v>29</v>
      </c>
      <c r="N1798">
        <v>13.142155232945001</v>
      </c>
      <c r="O1798">
        <v>12.770603413406</v>
      </c>
      <c r="P1798">
        <v>-0.20542083108635401</v>
      </c>
      <c r="Q1798">
        <v>-0.69724786164200703</v>
      </c>
      <c r="R1798">
        <v>0.28640619946930002</v>
      </c>
      <c r="S1798">
        <v>13.360352185017399</v>
      </c>
      <c r="T1798">
        <v>-0.88162135528896302</v>
      </c>
      <c r="U1798">
        <v>-6.6460947510725701</v>
      </c>
      <c r="V1798">
        <v>0.39035213570359101</v>
      </c>
      <c r="W1798">
        <v>0.55843094364974899</v>
      </c>
      <c r="X1798">
        <v>0</v>
      </c>
      <c r="Y1798">
        <v>0</v>
      </c>
    </row>
    <row r="1799" spans="1:25" x14ac:dyDescent="0.2">
      <c r="A1799" t="s">
        <v>6746</v>
      </c>
      <c r="B1799" t="s">
        <v>6747</v>
      </c>
      <c r="C1799" t="s">
        <v>6748</v>
      </c>
      <c r="D1799" t="s">
        <v>6749</v>
      </c>
      <c r="E1799" t="s">
        <v>6747</v>
      </c>
      <c r="F1799" t="s">
        <v>28</v>
      </c>
      <c r="G1799" t="s">
        <v>6747</v>
      </c>
      <c r="H1799" t="str">
        <f>"sap-49"</f>
        <v>sap-49</v>
      </c>
      <c r="I1799" t="s">
        <v>6749</v>
      </c>
      <c r="J1799">
        <v>11.173645008817701</v>
      </c>
      <c r="K1799">
        <v>12.454680311186999</v>
      </c>
      <c r="L1799">
        <v>11.6758353926077</v>
      </c>
      <c r="M1799" t="s">
        <v>29</v>
      </c>
      <c r="N1799" t="s">
        <v>29</v>
      </c>
      <c r="O1799">
        <v>10.9694938225062</v>
      </c>
      <c r="P1799">
        <v>-0.79855974836457999</v>
      </c>
      <c r="Q1799">
        <v>-1.77551736930153</v>
      </c>
      <c r="R1799">
        <v>0.178397872572372</v>
      </c>
      <c r="S1799">
        <v>12.570620226338001</v>
      </c>
      <c r="T1799">
        <v>-1.7543796594988501</v>
      </c>
      <c r="U1799">
        <v>-5.3420894691036098</v>
      </c>
      <c r="V1799">
        <v>0.101381537331013</v>
      </c>
      <c r="W1799">
        <v>0.21888013957106001</v>
      </c>
      <c r="X1799">
        <v>0</v>
      </c>
      <c r="Y1799">
        <v>0</v>
      </c>
    </row>
    <row r="1800" spans="1:25" x14ac:dyDescent="0.2">
      <c r="A1800" t="s">
        <v>6750</v>
      </c>
      <c r="B1800" t="s">
        <v>6751</v>
      </c>
      <c r="C1800" t="s">
        <v>6752</v>
      </c>
      <c r="D1800" t="s">
        <v>6753</v>
      </c>
      <c r="E1800" t="s">
        <v>6751</v>
      </c>
      <c r="F1800" t="s">
        <v>28</v>
      </c>
      <c r="G1800" t="s">
        <v>6751</v>
      </c>
      <c r="H1800" t="str">
        <f>"arp-6"</f>
        <v>arp-6</v>
      </c>
      <c r="I1800" t="s">
        <v>6753</v>
      </c>
      <c r="J1800" t="s">
        <v>29</v>
      </c>
      <c r="K1800" t="s">
        <v>29</v>
      </c>
      <c r="L1800" t="s">
        <v>29</v>
      </c>
      <c r="M1800" t="s">
        <v>29</v>
      </c>
      <c r="N1800" t="s">
        <v>29</v>
      </c>
      <c r="O1800" t="s">
        <v>29</v>
      </c>
      <c r="P1800" t="s">
        <v>29</v>
      </c>
      <c r="Q1800" t="s">
        <v>29</v>
      </c>
      <c r="R1800" t="s">
        <v>29</v>
      </c>
      <c r="S1800">
        <v>11.1903512473575</v>
      </c>
      <c r="T1800" t="s">
        <v>29</v>
      </c>
      <c r="U1800" t="s">
        <v>29</v>
      </c>
      <c r="V1800" t="s">
        <v>29</v>
      </c>
      <c r="W1800" t="s">
        <v>29</v>
      </c>
      <c r="X1800" t="s">
        <v>29</v>
      </c>
      <c r="Y1800" t="s">
        <v>29</v>
      </c>
    </row>
    <row r="1801" spans="1:25" x14ac:dyDescent="0.2">
      <c r="A1801" t="s">
        <v>6754</v>
      </c>
      <c r="B1801" t="s">
        <v>6755</v>
      </c>
      <c r="C1801" t="s">
        <v>6756</v>
      </c>
      <c r="D1801" t="s">
        <v>6757</v>
      </c>
      <c r="E1801" t="s">
        <v>6755</v>
      </c>
      <c r="F1801" t="s">
        <v>28</v>
      </c>
      <c r="G1801" t="s">
        <v>6755</v>
      </c>
      <c r="H1801" t="str">
        <f>"ubh-4"</f>
        <v>ubh-4</v>
      </c>
      <c r="I1801" t="s">
        <v>6757</v>
      </c>
      <c r="J1801">
        <v>15.033986693059999</v>
      </c>
      <c r="K1801">
        <v>14.792880947625701</v>
      </c>
      <c r="L1801">
        <v>15.015965504734901</v>
      </c>
      <c r="M1801">
        <v>15.1181198545132</v>
      </c>
      <c r="N1801">
        <v>15.204116990679699</v>
      </c>
      <c r="O1801">
        <v>15.1387337098357</v>
      </c>
      <c r="P1801">
        <v>0.2060458032027</v>
      </c>
      <c r="Q1801">
        <v>-0.175706931488359</v>
      </c>
      <c r="R1801">
        <v>0.58779853789376002</v>
      </c>
      <c r="S1801">
        <v>15.059825494517799</v>
      </c>
      <c r="T1801">
        <v>1.1344206657531</v>
      </c>
      <c r="U1801">
        <v>-6.5042577901514997</v>
      </c>
      <c r="V1801">
        <v>0.27158623377341201</v>
      </c>
      <c r="W1801">
        <v>0.43893239154061098</v>
      </c>
      <c r="X1801">
        <v>0</v>
      </c>
      <c r="Y1801">
        <v>0</v>
      </c>
    </row>
    <row r="1802" spans="1:25" x14ac:dyDescent="0.2">
      <c r="A1802" t="s">
        <v>6758</v>
      </c>
      <c r="B1802" t="s">
        <v>6759</v>
      </c>
      <c r="C1802" t="s">
        <v>6760</v>
      </c>
      <c r="D1802" t="s">
        <v>6761</v>
      </c>
      <c r="E1802" t="s">
        <v>6759</v>
      </c>
      <c r="F1802" t="s">
        <v>28</v>
      </c>
      <c r="G1802" t="s">
        <v>6759</v>
      </c>
      <c r="H1802" t="str">
        <f>"dnj-5"</f>
        <v>dnj-5</v>
      </c>
      <c r="I1802" t="s">
        <v>6761</v>
      </c>
      <c r="J1802">
        <v>11.6729810329679</v>
      </c>
      <c r="K1802">
        <v>12.3744138847263</v>
      </c>
      <c r="L1802">
        <v>13.6956003953653</v>
      </c>
      <c r="M1802">
        <v>14.212287745058701</v>
      </c>
      <c r="N1802" t="s">
        <v>29</v>
      </c>
      <c r="O1802">
        <v>11.630528143922101</v>
      </c>
      <c r="P1802">
        <v>0.34040950680385301</v>
      </c>
      <c r="Q1802">
        <v>-1.0317714019687101</v>
      </c>
      <c r="R1802">
        <v>1.71259041557642</v>
      </c>
      <c r="S1802">
        <v>13.1652087181214</v>
      </c>
      <c r="T1802">
        <v>0.52364905104548098</v>
      </c>
      <c r="U1802">
        <v>-6.9025022071243196</v>
      </c>
      <c r="V1802">
        <v>0.60732389515469298</v>
      </c>
      <c r="W1802">
        <v>0.73866426703296795</v>
      </c>
      <c r="X1802">
        <v>0</v>
      </c>
      <c r="Y1802">
        <v>0</v>
      </c>
    </row>
    <row r="1803" spans="1:25" x14ac:dyDescent="0.2">
      <c r="A1803" t="s">
        <v>6762</v>
      </c>
      <c r="B1803" t="s">
        <v>6763</v>
      </c>
      <c r="C1803" t="s">
        <v>6764</v>
      </c>
      <c r="D1803" t="s">
        <v>6765</v>
      </c>
      <c r="E1803" t="s">
        <v>6763</v>
      </c>
      <c r="F1803" t="s">
        <v>28</v>
      </c>
      <c r="G1803" t="s">
        <v>6763</v>
      </c>
      <c r="H1803" t="str">
        <f>"C05C10.2"</f>
        <v>C05C10.2</v>
      </c>
      <c r="I1803" t="s">
        <v>6765</v>
      </c>
      <c r="J1803">
        <v>11.2445386126453</v>
      </c>
      <c r="K1803">
        <v>11.0979819446109</v>
      </c>
      <c r="L1803">
        <v>11.410969665029899</v>
      </c>
      <c r="M1803" t="s">
        <v>29</v>
      </c>
      <c r="N1803" t="s">
        <v>29</v>
      </c>
      <c r="O1803">
        <v>11.011362564671799</v>
      </c>
      <c r="P1803">
        <v>-0.23980084275687799</v>
      </c>
      <c r="Q1803">
        <v>-1.2225035543535101</v>
      </c>
      <c r="R1803">
        <v>0.74290186883974996</v>
      </c>
      <c r="S1803">
        <v>11.7252083990829</v>
      </c>
      <c r="T1803">
        <v>-0.51758070815050605</v>
      </c>
      <c r="U1803">
        <v>-6.6732026998043397</v>
      </c>
      <c r="V1803">
        <v>0.61187901168995595</v>
      </c>
      <c r="W1803">
        <v>0.74169496954691905</v>
      </c>
      <c r="X1803">
        <v>0</v>
      </c>
      <c r="Y1803">
        <v>0</v>
      </c>
    </row>
    <row r="1804" spans="1:25" x14ac:dyDescent="0.2">
      <c r="A1804" t="s">
        <v>6766</v>
      </c>
      <c r="B1804" t="s">
        <v>6767</v>
      </c>
      <c r="C1804" t="s">
        <v>6768</v>
      </c>
      <c r="D1804" t="s">
        <v>6769</v>
      </c>
      <c r="E1804" t="s">
        <v>6767</v>
      </c>
      <c r="F1804" t="s">
        <v>28</v>
      </c>
      <c r="G1804" t="s">
        <v>6767</v>
      </c>
      <c r="H1804" t="str">
        <f>"C05C10.3"</f>
        <v>C05C10.3</v>
      </c>
      <c r="I1804" t="s">
        <v>6769</v>
      </c>
      <c r="J1804">
        <v>15.5000321497433</v>
      </c>
      <c r="K1804">
        <v>15.2887788118892</v>
      </c>
      <c r="L1804">
        <v>15.4775470137872</v>
      </c>
      <c r="M1804">
        <v>15.082295810566</v>
      </c>
      <c r="N1804">
        <v>15.2035052893253</v>
      </c>
      <c r="O1804">
        <v>15.5949917225124</v>
      </c>
      <c r="P1804">
        <v>-0.128521717671994</v>
      </c>
      <c r="Q1804">
        <v>-0.50538056626275996</v>
      </c>
      <c r="R1804">
        <v>0.24833713091877199</v>
      </c>
      <c r="S1804">
        <v>15.504801955860399</v>
      </c>
      <c r="T1804">
        <v>-0.71678732563259395</v>
      </c>
      <c r="U1804">
        <v>-6.8904925233353902</v>
      </c>
      <c r="V1804">
        <v>0.48275655922917399</v>
      </c>
      <c r="W1804">
        <v>0.64084845948125102</v>
      </c>
      <c r="X1804">
        <v>0</v>
      </c>
      <c r="Y1804">
        <v>0</v>
      </c>
    </row>
    <row r="1805" spans="1:25" x14ac:dyDescent="0.2">
      <c r="A1805" t="s">
        <v>6770</v>
      </c>
      <c r="B1805" t="s">
        <v>6771</v>
      </c>
      <c r="C1805" t="s">
        <v>6772</v>
      </c>
      <c r="D1805" t="s">
        <v>6773</v>
      </c>
      <c r="E1805" t="s">
        <v>6771</v>
      </c>
      <c r="F1805" t="s">
        <v>28</v>
      </c>
      <c r="G1805" t="s">
        <v>6771</v>
      </c>
      <c r="H1805" t="str">
        <f>"col-39"</f>
        <v>col-39</v>
      </c>
      <c r="I1805" t="s">
        <v>6773</v>
      </c>
      <c r="J1805" t="s">
        <v>29</v>
      </c>
      <c r="K1805">
        <v>11.4706792241945</v>
      </c>
      <c r="L1805">
        <v>12.015391516702101</v>
      </c>
      <c r="M1805" t="s">
        <v>29</v>
      </c>
      <c r="N1805" t="s">
        <v>29</v>
      </c>
      <c r="O1805">
        <v>11.3360488544084</v>
      </c>
      <c r="P1805">
        <v>-0.40698651603987701</v>
      </c>
      <c r="Q1805">
        <v>-1.14808500367926</v>
      </c>
      <c r="R1805">
        <v>0.33411197159950801</v>
      </c>
      <c r="S1805">
        <v>11.6313301138653</v>
      </c>
      <c r="T1805">
        <v>-1.1873843982905701</v>
      </c>
      <c r="U1805">
        <v>-6.0437752579695898</v>
      </c>
      <c r="V1805">
        <v>0.25648875711434299</v>
      </c>
      <c r="W1805">
        <v>0.42393290365449798</v>
      </c>
      <c r="X1805">
        <v>0</v>
      </c>
      <c r="Y1805">
        <v>0</v>
      </c>
    </row>
    <row r="1806" spans="1:25" x14ac:dyDescent="0.2">
      <c r="A1806" t="s">
        <v>6774</v>
      </c>
      <c r="B1806" t="s">
        <v>6775</v>
      </c>
      <c r="C1806" t="s">
        <v>6776</v>
      </c>
      <c r="D1806" t="s">
        <v>6777</v>
      </c>
      <c r="E1806" t="s">
        <v>6775</v>
      </c>
      <c r="F1806" t="s">
        <v>28</v>
      </c>
      <c r="G1806" t="s">
        <v>6775</v>
      </c>
      <c r="H1806" t="str">
        <f>"C16C10.2"</f>
        <v>C16C10.2</v>
      </c>
      <c r="I1806" t="s">
        <v>6777</v>
      </c>
      <c r="J1806" t="s">
        <v>29</v>
      </c>
      <c r="K1806" t="s">
        <v>29</v>
      </c>
      <c r="L1806">
        <v>10.8528105195204</v>
      </c>
      <c r="M1806" t="s">
        <v>29</v>
      </c>
      <c r="N1806" t="s">
        <v>29</v>
      </c>
      <c r="O1806" t="s">
        <v>29</v>
      </c>
      <c r="P1806" t="s">
        <v>29</v>
      </c>
      <c r="Q1806" t="s">
        <v>29</v>
      </c>
      <c r="R1806" t="s">
        <v>29</v>
      </c>
      <c r="S1806">
        <v>12.355522348865801</v>
      </c>
      <c r="T1806" t="s">
        <v>29</v>
      </c>
      <c r="U1806" t="s">
        <v>29</v>
      </c>
      <c r="V1806" t="s">
        <v>29</v>
      </c>
      <c r="W1806" t="s">
        <v>29</v>
      </c>
      <c r="X1806" t="s">
        <v>29</v>
      </c>
      <c r="Y1806" t="s">
        <v>29</v>
      </c>
    </row>
    <row r="1807" spans="1:25" x14ac:dyDescent="0.2">
      <c r="A1807" t="s">
        <v>6778</v>
      </c>
      <c r="B1807" t="s">
        <v>6779</v>
      </c>
      <c r="C1807" t="s">
        <v>6780</v>
      </c>
      <c r="D1807" t="s">
        <v>6781</v>
      </c>
      <c r="E1807" t="s">
        <v>6779</v>
      </c>
      <c r="F1807" t="s">
        <v>28</v>
      </c>
      <c r="G1807" t="s">
        <v>6779</v>
      </c>
      <c r="H1807" t="str">
        <f>"C16C10.8"</f>
        <v>C16C10.8</v>
      </c>
      <c r="I1807" t="s">
        <v>6781</v>
      </c>
      <c r="J1807" t="s">
        <v>29</v>
      </c>
      <c r="K1807" t="s">
        <v>29</v>
      </c>
      <c r="L1807" t="s">
        <v>29</v>
      </c>
      <c r="M1807" t="s">
        <v>29</v>
      </c>
      <c r="N1807" t="s">
        <v>29</v>
      </c>
      <c r="O1807" t="s">
        <v>29</v>
      </c>
      <c r="P1807" t="s">
        <v>29</v>
      </c>
      <c r="Q1807" t="s">
        <v>29</v>
      </c>
      <c r="R1807" t="s">
        <v>29</v>
      </c>
      <c r="S1807">
        <v>13.2910608164353</v>
      </c>
      <c r="T1807" t="s">
        <v>29</v>
      </c>
      <c r="U1807" t="s">
        <v>29</v>
      </c>
      <c r="V1807" t="s">
        <v>29</v>
      </c>
      <c r="W1807" t="s">
        <v>29</v>
      </c>
      <c r="X1807" t="s">
        <v>29</v>
      </c>
      <c r="Y1807" t="s">
        <v>29</v>
      </c>
    </row>
    <row r="1808" spans="1:25" x14ac:dyDescent="0.2">
      <c r="A1808" t="s">
        <v>6782</v>
      </c>
      <c r="B1808" t="s">
        <v>6783</v>
      </c>
      <c r="C1808" t="s">
        <v>6784</v>
      </c>
      <c r="D1808" t="s">
        <v>6785</v>
      </c>
      <c r="E1808" t="s">
        <v>6783</v>
      </c>
      <c r="F1808" t="s">
        <v>28</v>
      </c>
      <c r="G1808" t="s">
        <v>6783</v>
      </c>
      <c r="H1808" t="str">
        <f>"tdo-2"</f>
        <v>tdo-2</v>
      </c>
      <c r="I1808" t="s">
        <v>6785</v>
      </c>
      <c r="J1808">
        <v>12.4614333638552</v>
      </c>
      <c r="K1808">
        <v>12.601271399343601</v>
      </c>
      <c r="L1808">
        <v>13.832710655138801</v>
      </c>
      <c r="M1808">
        <v>15.7023987263254</v>
      </c>
      <c r="N1808">
        <v>16.673338453384801</v>
      </c>
      <c r="O1808">
        <v>17.0875822424238</v>
      </c>
      <c r="P1808">
        <v>3.5226346679321101</v>
      </c>
      <c r="Q1808">
        <v>2.6200748452278999</v>
      </c>
      <c r="R1808">
        <v>4.4251944906363203</v>
      </c>
      <c r="S1808">
        <v>14.862413876385</v>
      </c>
      <c r="T1808">
        <v>8.2032155049999407</v>
      </c>
      <c r="U1808">
        <v>7.3755314705583297</v>
      </c>
      <c r="V1808" s="2">
        <v>1.7857867814590399E-7</v>
      </c>
      <c r="W1808" s="2">
        <v>1.09639867603329E-5</v>
      </c>
      <c r="X1808">
        <v>1</v>
      </c>
      <c r="Y1808">
        <v>1</v>
      </c>
    </row>
    <row r="1809" spans="1:25" x14ac:dyDescent="0.2">
      <c r="A1809" t="s">
        <v>6786</v>
      </c>
      <c r="B1809" t="s">
        <v>6787</v>
      </c>
      <c r="C1809" t="s">
        <v>6788</v>
      </c>
      <c r="D1809" t="s">
        <v>6789</v>
      </c>
      <c r="E1809" t="s">
        <v>6787</v>
      </c>
      <c r="F1809" t="s">
        <v>28</v>
      </c>
      <c r="G1809" t="s">
        <v>6787</v>
      </c>
      <c r="H1809" t="str">
        <f>"C28H8.3"</f>
        <v>C28H8.3</v>
      </c>
      <c r="I1809" t="s">
        <v>6789</v>
      </c>
      <c r="J1809">
        <v>17.196659865704</v>
      </c>
      <c r="K1809">
        <v>16.974915183106901</v>
      </c>
      <c r="L1809">
        <v>16.9622738685519</v>
      </c>
      <c r="M1809">
        <v>16.8133699372401</v>
      </c>
      <c r="N1809">
        <v>17.079236559616302</v>
      </c>
      <c r="O1809">
        <v>17.2093965672879</v>
      </c>
      <c r="P1809">
        <v>-1.06152844062102E-2</v>
      </c>
      <c r="Q1809">
        <v>-0.34867877615736897</v>
      </c>
      <c r="R1809">
        <v>0.327448207344949</v>
      </c>
      <c r="S1809">
        <v>16.957170355173101</v>
      </c>
      <c r="T1809">
        <v>-6.5997255331180907E-2</v>
      </c>
      <c r="U1809">
        <v>-7.1540165601971601</v>
      </c>
      <c r="V1809">
        <v>0.94811174314217195</v>
      </c>
      <c r="W1809">
        <v>0.97032091853948399</v>
      </c>
      <c r="X1809">
        <v>0</v>
      </c>
      <c r="Y1809">
        <v>0</v>
      </c>
    </row>
    <row r="1810" spans="1:25" x14ac:dyDescent="0.2">
      <c r="A1810" t="s">
        <v>6790</v>
      </c>
      <c r="B1810" t="s">
        <v>6791</v>
      </c>
      <c r="C1810" t="s">
        <v>6792</v>
      </c>
      <c r="D1810" t="s">
        <v>3246</v>
      </c>
      <c r="E1810" t="s">
        <v>6791</v>
      </c>
      <c r="F1810" t="s">
        <v>28</v>
      </c>
      <c r="G1810" t="s">
        <v>6791</v>
      </c>
      <c r="H1810" t="str">
        <f>"C30G12.2"</f>
        <v>C30G12.2</v>
      </c>
      <c r="I1810" t="s">
        <v>3246</v>
      </c>
      <c r="J1810">
        <v>15.4869846887437</v>
      </c>
      <c r="K1810">
        <v>14.7691192606794</v>
      </c>
      <c r="L1810">
        <v>15.7795224839174</v>
      </c>
      <c r="M1810">
        <v>14.300542011889601</v>
      </c>
      <c r="N1810">
        <v>15.2544423636479</v>
      </c>
      <c r="O1810">
        <v>15.2435115675882</v>
      </c>
      <c r="P1810">
        <v>-0.41237683007165599</v>
      </c>
      <c r="Q1810">
        <v>-0.97831247713108005</v>
      </c>
      <c r="R1810">
        <v>0.15355881698776799</v>
      </c>
      <c r="S1810">
        <v>14.9296655676248</v>
      </c>
      <c r="T1810">
        <v>-1.53150958424581</v>
      </c>
      <c r="U1810">
        <v>-6.0000778923412801</v>
      </c>
      <c r="V1810">
        <v>0.14313061887345399</v>
      </c>
      <c r="W1810">
        <v>0.282901364064433</v>
      </c>
      <c r="X1810">
        <v>0</v>
      </c>
      <c r="Y1810">
        <v>0</v>
      </c>
    </row>
    <row r="1811" spans="1:25" x14ac:dyDescent="0.2">
      <c r="A1811" t="s">
        <v>6793</v>
      </c>
      <c r="B1811" t="s">
        <v>6794</v>
      </c>
      <c r="C1811" t="s">
        <v>6795</v>
      </c>
      <c r="D1811" t="s">
        <v>6796</v>
      </c>
      <c r="E1811" t="s">
        <v>6794</v>
      </c>
      <c r="F1811" t="s">
        <v>28</v>
      </c>
      <c r="G1811" t="s">
        <v>6794</v>
      </c>
      <c r="H1811" t="str">
        <f>"puf-8"</f>
        <v>puf-8</v>
      </c>
      <c r="I1811" t="s">
        <v>6796</v>
      </c>
      <c r="J1811" t="s">
        <v>29</v>
      </c>
      <c r="K1811" t="s">
        <v>29</v>
      </c>
      <c r="L1811" t="s">
        <v>29</v>
      </c>
      <c r="M1811" t="s">
        <v>29</v>
      </c>
      <c r="N1811" t="s">
        <v>29</v>
      </c>
      <c r="O1811" t="s">
        <v>29</v>
      </c>
      <c r="P1811" t="s">
        <v>29</v>
      </c>
      <c r="Q1811" t="s">
        <v>29</v>
      </c>
      <c r="R1811" t="s">
        <v>29</v>
      </c>
      <c r="S1811">
        <v>13.246720639092599</v>
      </c>
      <c r="T1811" t="s">
        <v>29</v>
      </c>
      <c r="U1811" t="s">
        <v>29</v>
      </c>
      <c r="V1811" t="s">
        <v>29</v>
      </c>
      <c r="W1811" t="s">
        <v>29</v>
      </c>
      <c r="X1811" t="s">
        <v>29</v>
      </c>
      <c r="Y1811" t="s">
        <v>29</v>
      </c>
    </row>
    <row r="1812" spans="1:25" x14ac:dyDescent="0.2">
      <c r="A1812" t="s">
        <v>6797</v>
      </c>
      <c r="B1812" t="s">
        <v>6798</v>
      </c>
      <c r="C1812" t="s">
        <v>6799</v>
      </c>
      <c r="D1812" t="s">
        <v>297</v>
      </c>
      <c r="E1812" t="s">
        <v>6798</v>
      </c>
      <c r="F1812" t="s">
        <v>28</v>
      </c>
      <c r="G1812" t="s">
        <v>6798</v>
      </c>
      <c r="H1812" t="str">
        <f>"C34C12.2"</f>
        <v>C34C12.2</v>
      </c>
      <c r="I1812" t="s">
        <v>297</v>
      </c>
      <c r="J1812" t="s">
        <v>29</v>
      </c>
      <c r="K1812" t="s">
        <v>29</v>
      </c>
      <c r="L1812" t="s">
        <v>29</v>
      </c>
      <c r="M1812" t="s">
        <v>29</v>
      </c>
      <c r="N1812" t="s">
        <v>29</v>
      </c>
      <c r="O1812" t="s">
        <v>29</v>
      </c>
      <c r="P1812" t="s">
        <v>29</v>
      </c>
      <c r="Q1812" t="s">
        <v>29</v>
      </c>
      <c r="R1812" t="s">
        <v>29</v>
      </c>
      <c r="S1812">
        <v>12.423550488088299</v>
      </c>
      <c r="T1812" t="s">
        <v>29</v>
      </c>
      <c r="U1812" t="s">
        <v>29</v>
      </c>
      <c r="V1812" t="s">
        <v>29</v>
      </c>
      <c r="W1812" t="s">
        <v>29</v>
      </c>
      <c r="X1812" t="s">
        <v>29</v>
      </c>
      <c r="Y1812" t="s">
        <v>29</v>
      </c>
    </row>
    <row r="1813" spans="1:25" x14ac:dyDescent="0.2">
      <c r="A1813" t="s">
        <v>6800</v>
      </c>
      <c r="B1813" t="s">
        <v>6801</v>
      </c>
      <c r="C1813" t="s">
        <v>6802</v>
      </c>
      <c r="D1813" t="s">
        <v>6803</v>
      </c>
      <c r="E1813" t="s">
        <v>6801</v>
      </c>
      <c r="F1813" t="s">
        <v>28</v>
      </c>
      <c r="G1813" t="s">
        <v>6801</v>
      </c>
      <c r="H1813" t="str">
        <f>"ire-1"</f>
        <v>ire-1</v>
      </c>
      <c r="I1813" t="s">
        <v>6803</v>
      </c>
      <c r="J1813" t="s">
        <v>29</v>
      </c>
      <c r="K1813" t="s">
        <v>29</v>
      </c>
      <c r="L1813" t="s">
        <v>29</v>
      </c>
      <c r="M1813" t="s">
        <v>29</v>
      </c>
      <c r="N1813" t="s">
        <v>29</v>
      </c>
      <c r="O1813">
        <v>12.737130390868799</v>
      </c>
      <c r="P1813" t="s">
        <v>29</v>
      </c>
      <c r="Q1813" t="s">
        <v>29</v>
      </c>
      <c r="R1813" t="s">
        <v>29</v>
      </c>
      <c r="S1813">
        <v>12.0958387099022</v>
      </c>
      <c r="T1813" t="s">
        <v>29</v>
      </c>
      <c r="U1813" t="s">
        <v>29</v>
      </c>
      <c r="V1813" t="s">
        <v>29</v>
      </c>
      <c r="W1813" t="s">
        <v>29</v>
      </c>
      <c r="X1813" t="s">
        <v>29</v>
      </c>
      <c r="Y1813" t="s">
        <v>29</v>
      </c>
    </row>
    <row r="1814" spans="1:25" x14ac:dyDescent="0.2">
      <c r="A1814" t="s">
        <v>6804</v>
      </c>
      <c r="B1814" t="s">
        <v>6805</v>
      </c>
      <c r="C1814" t="s">
        <v>6806</v>
      </c>
      <c r="D1814" t="s">
        <v>6807</v>
      </c>
      <c r="E1814" t="s">
        <v>6805</v>
      </c>
      <c r="F1814" t="s">
        <v>28</v>
      </c>
      <c r="G1814" t="s">
        <v>6805</v>
      </c>
      <c r="H1814" t="str">
        <f>"ctns-1"</f>
        <v>ctns-1</v>
      </c>
      <c r="I1814" t="s">
        <v>6807</v>
      </c>
      <c r="J1814">
        <v>12.675470943982999</v>
      </c>
      <c r="K1814" t="s">
        <v>29</v>
      </c>
      <c r="L1814">
        <v>12.639913112045299</v>
      </c>
      <c r="M1814" t="s">
        <v>29</v>
      </c>
      <c r="N1814" t="s">
        <v>29</v>
      </c>
      <c r="O1814" t="s">
        <v>29</v>
      </c>
      <c r="P1814" t="s">
        <v>29</v>
      </c>
      <c r="Q1814" t="s">
        <v>29</v>
      </c>
      <c r="R1814" t="s">
        <v>29</v>
      </c>
      <c r="S1814">
        <v>12.4946659183748</v>
      </c>
      <c r="T1814" t="s">
        <v>29</v>
      </c>
      <c r="U1814" t="s">
        <v>29</v>
      </c>
      <c r="V1814" t="s">
        <v>29</v>
      </c>
      <c r="W1814" t="s">
        <v>29</v>
      </c>
      <c r="X1814" t="s">
        <v>29</v>
      </c>
      <c r="Y1814" t="s">
        <v>29</v>
      </c>
    </row>
    <row r="1815" spans="1:25" x14ac:dyDescent="0.2">
      <c r="A1815" t="s">
        <v>6808</v>
      </c>
      <c r="B1815" t="s">
        <v>6809</v>
      </c>
      <c r="C1815" t="s">
        <v>6810</v>
      </c>
      <c r="D1815" t="s">
        <v>6811</v>
      </c>
      <c r="E1815" t="s">
        <v>6809</v>
      </c>
      <c r="F1815" t="s">
        <v>28</v>
      </c>
      <c r="G1815" t="s">
        <v>6809</v>
      </c>
      <c r="H1815" t="str">
        <f>"ifp-1"</f>
        <v>ifp-1</v>
      </c>
      <c r="I1815" t="s">
        <v>6811</v>
      </c>
      <c r="J1815">
        <v>13.1611982343839</v>
      </c>
      <c r="K1815">
        <v>13.624849079251</v>
      </c>
      <c r="L1815">
        <v>15.380514501470101</v>
      </c>
      <c r="M1815">
        <v>16.309766946811401</v>
      </c>
      <c r="N1815">
        <v>14.546514349731201</v>
      </c>
      <c r="O1815">
        <v>14.691810930978299</v>
      </c>
      <c r="P1815">
        <v>1.1271768041386101</v>
      </c>
      <c r="Q1815">
        <v>-9.0627371658598799E-2</v>
      </c>
      <c r="R1815">
        <v>2.3449809799358099</v>
      </c>
      <c r="S1815">
        <v>14.0516844308482</v>
      </c>
      <c r="T1815">
        <v>1.94539187286213</v>
      </c>
      <c r="U1815">
        <v>-5.3557218446885297</v>
      </c>
      <c r="V1815">
        <v>6.7610321701843806E-2</v>
      </c>
      <c r="W1815">
        <v>0.16771685021492699</v>
      </c>
      <c r="X1815">
        <v>0</v>
      </c>
      <c r="Y1815">
        <v>0</v>
      </c>
    </row>
    <row r="1816" spans="1:25" x14ac:dyDescent="0.2">
      <c r="A1816" t="s">
        <v>6812</v>
      </c>
      <c r="B1816" t="s">
        <v>6813</v>
      </c>
      <c r="C1816" t="s">
        <v>6814</v>
      </c>
      <c r="D1816" t="s">
        <v>6815</v>
      </c>
      <c r="E1816" t="s">
        <v>6813</v>
      </c>
      <c r="F1816" t="s">
        <v>28</v>
      </c>
      <c r="G1816" t="s">
        <v>6813</v>
      </c>
      <c r="H1816" t="str">
        <f>"C45G9.9"</f>
        <v>C45G9.9</v>
      </c>
      <c r="I1816" t="s">
        <v>6815</v>
      </c>
      <c r="J1816">
        <v>13.981621705739601</v>
      </c>
      <c r="K1816">
        <v>11.906986875152199</v>
      </c>
      <c r="L1816">
        <v>14.1589647655425</v>
      </c>
      <c r="M1816" t="s">
        <v>29</v>
      </c>
      <c r="N1816" t="s">
        <v>29</v>
      </c>
      <c r="O1816">
        <v>12.126970144798101</v>
      </c>
      <c r="P1816">
        <v>-1.22222097067998</v>
      </c>
      <c r="Q1816">
        <v>-3.1727928060908699</v>
      </c>
      <c r="R1816">
        <v>0.72835086473091404</v>
      </c>
      <c r="S1816">
        <v>13.0967715750169</v>
      </c>
      <c r="T1816">
        <v>-1.3290377344298701</v>
      </c>
      <c r="U1816">
        <v>-5.9336772015177504</v>
      </c>
      <c r="V1816">
        <v>0.202598684081363</v>
      </c>
      <c r="W1816">
        <v>0.36251264237266401</v>
      </c>
      <c r="X1816">
        <v>0</v>
      </c>
      <c r="Y1816">
        <v>0</v>
      </c>
    </row>
    <row r="1817" spans="1:25" x14ac:dyDescent="0.2">
      <c r="A1817" t="s">
        <v>6816</v>
      </c>
      <c r="B1817" t="s">
        <v>6817</v>
      </c>
      <c r="C1817" t="s">
        <v>6818</v>
      </c>
      <c r="D1817" t="s">
        <v>3919</v>
      </c>
      <c r="E1817" t="s">
        <v>6817</v>
      </c>
      <c r="F1817" t="s">
        <v>28</v>
      </c>
      <c r="G1817" t="s">
        <v>6817</v>
      </c>
      <c r="H1817" t="str">
        <f>"sdha-1"</f>
        <v>sdha-1</v>
      </c>
      <c r="I1817" t="s">
        <v>3919</v>
      </c>
      <c r="J1817">
        <v>14.95241366316</v>
      </c>
      <c r="K1817">
        <v>14.9512385001675</v>
      </c>
      <c r="L1817">
        <v>14.839848479669699</v>
      </c>
      <c r="M1817">
        <v>14.689858308322499</v>
      </c>
      <c r="N1817">
        <v>14.901457374064201</v>
      </c>
      <c r="O1817">
        <v>14.5803187131201</v>
      </c>
      <c r="P1817">
        <v>-0.19062208249680501</v>
      </c>
      <c r="Q1817">
        <v>-0.59949506497693394</v>
      </c>
      <c r="R1817">
        <v>0.218250899983324</v>
      </c>
      <c r="S1817">
        <v>14.8055170793562</v>
      </c>
      <c r="T1817">
        <v>-0.97988996197058997</v>
      </c>
      <c r="U1817">
        <v>-6.6655355141632802</v>
      </c>
      <c r="V1817">
        <v>0.34020316742268902</v>
      </c>
      <c r="W1817">
        <v>0.51073802057802598</v>
      </c>
      <c r="X1817">
        <v>0</v>
      </c>
      <c r="Y1817">
        <v>0</v>
      </c>
    </row>
    <row r="1818" spans="1:25" x14ac:dyDescent="0.2">
      <c r="A1818" t="s">
        <v>6819</v>
      </c>
      <c r="B1818" t="s">
        <v>6820</v>
      </c>
      <c r="C1818" t="s">
        <v>6821</v>
      </c>
      <c r="D1818" t="s">
        <v>6822</v>
      </c>
      <c r="E1818" t="s">
        <v>6820</v>
      </c>
      <c r="F1818" t="s">
        <v>28</v>
      </c>
      <c r="G1818" t="s">
        <v>6820</v>
      </c>
      <c r="H1818" t="str">
        <f>"F25B5.6"</f>
        <v>F25B5.6</v>
      </c>
      <c r="I1818" t="s">
        <v>6822</v>
      </c>
      <c r="J1818">
        <v>13.306788826489001</v>
      </c>
      <c r="K1818">
        <v>13.457426981523099</v>
      </c>
      <c r="L1818">
        <v>13.2610998181603</v>
      </c>
      <c r="M1818">
        <v>15.092369279120399</v>
      </c>
      <c r="N1818">
        <v>15.667533039593099</v>
      </c>
      <c r="O1818">
        <v>15.6864558509997</v>
      </c>
      <c r="P1818">
        <v>2.1403475145136199</v>
      </c>
      <c r="Q1818">
        <v>1.65762376200902</v>
      </c>
      <c r="R1818">
        <v>2.6230712670182199</v>
      </c>
      <c r="S1818">
        <v>14.214810013398001</v>
      </c>
      <c r="T1818">
        <v>9.3191893717610803</v>
      </c>
      <c r="U1818">
        <v>9.2678110746577698</v>
      </c>
      <c r="V1818" s="2">
        <v>2.7514102240123001E-8</v>
      </c>
      <c r="W1818" s="2">
        <v>2.45709270611038E-6</v>
      </c>
      <c r="X1818">
        <v>1</v>
      </c>
      <c r="Y1818">
        <v>1</v>
      </c>
    </row>
    <row r="1819" spans="1:25" x14ac:dyDescent="0.2">
      <c r="A1819" t="s">
        <v>6823</v>
      </c>
      <c r="B1819" t="s">
        <v>6824</v>
      </c>
      <c r="C1819" t="s">
        <v>6825</v>
      </c>
      <c r="D1819" t="s">
        <v>6826</v>
      </c>
      <c r="E1819" t="s">
        <v>6824</v>
      </c>
      <c r="F1819" t="s">
        <v>28</v>
      </c>
      <c r="G1819" t="s">
        <v>6824</v>
      </c>
      <c r="H1819" t="str">
        <f>"mlc-4"</f>
        <v>mlc-4</v>
      </c>
      <c r="I1819" t="s">
        <v>6826</v>
      </c>
      <c r="J1819" t="s">
        <v>29</v>
      </c>
      <c r="K1819">
        <v>13.4188667285907</v>
      </c>
      <c r="L1819">
        <v>12.0096905786723</v>
      </c>
      <c r="M1819">
        <v>15.6993944123844</v>
      </c>
      <c r="N1819">
        <v>14.194307645257901</v>
      </c>
      <c r="O1819">
        <v>13.014614001997201</v>
      </c>
      <c r="P1819">
        <v>1.58849336624836</v>
      </c>
      <c r="Q1819">
        <v>0.31793750384986702</v>
      </c>
      <c r="R1819">
        <v>2.8590492286468598</v>
      </c>
      <c r="S1819">
        <v>12.4812001483815</v>
      </c>
      <c r="T1819">
        <v>2.6518024707864898</v>
      </c>
      <c r="U1819">
        <v>-3.97880776913453</v>
      </c>
      <c r="V1819">
        <v>1.7475997327379301E-2</v>
      </c>
      <c r="W1819">
        <v>6.7322567482074394E-2</v>
      </c>
      <c r="X1819">
        <v>1</v>
      </c>
      <c r="Y1819">
        <v>0</v>
      </c>
    </row>
    <row r="1820" spans="1:25" x14ac:dyDescent="0.2">
      <c r="A1820" t="s">
        <v>6827</v>
      </c>
      <c r="B1820" t="s">
        <v>6828</v>
      </c>
      <c r="C1820" t="s">
        <v>6829</v>
      </c>
      <c r="D1820" t="s">
        <v>6830</v>
      </c>
      <c r="E1820" t="s">
        <v>6828</v>
      </c>
      <c r="F1820" t="s">
        <v>28</v>
      </c>
      <c r="G1820" t="s">
        <v>6828</v>
      </c>
      <c r="H1820" t="str">
        <f>"rsp-4"</f>
        <v>rsp-4</v>
      </c>
      <c r="I1820" t="s">
        <v>6830</v>
      </c>
      <c r="J1820">
        <v>12.908904928448001</v>
      </c>
      <c r="K1820">
        <v>13.521369424284799</v>
      </c>
      <c r="L1820">
        <v>12.9428158918387</v>
      </c>
      <c r="M1820" t="s">
        <v>29</v>
      </c>
      <c r="N1820">
        <v>13.0363838831686</v>
      </c>
      <c r="O1820">
        <v>13.5899502443331</v>
      </c>
      <c r="P1820">
        <v>0.18880364889366999</v>
      </c>
      <c r="Q1820">
        <v>-0.56984195339288302</v>
      </c>
      <c r="R1820">
        <v>0.94744925118022205</v>
      </c>
      <c r="S1820">
        <v>13.013306777511801</v>
      </c>
      <c r="T1820">
        <v>0.53077815999214195</v>
      </c>
      <c r="U1820">
        <v>-6.8976776584899104</v>
      </c>
      <c r="V1820">
        <v>0.60339719417973603</v>
      </c>
      <c r="W1820">
        <v>0.73540592690144002</v>
      </c>
      <c r="X1820">
        <v>0</v>
      </c>
      <c r="Y1820">
        <v>0</v>
      </c>
    </row>
    <row r="1821" spans="1:25" x14ac:dyDescent="0.2">
      <c r="A1821" t="s">
        <v>6831</v>
      </c>
      <c r="B1821" t="s">
        <v>6832</v>
      </c>
      <c r="C1821" t="s">
        <v>6833</v>
      </c>
      <c r="D1821" t="s">
        <v>6834</v>
      </c>
      <c r="E1821" t="s">
        <v>6832</v>
      </c>
      <c r="F1821" t="s">
        <v>28</v>
      </c>
      <c r="G1821" t="s">
        <v>6832</v>
      </c>
      <c r="H1821" t="str">
        <f>"ttll-12"</f>
        <v>ttll-12</v>
      </c>
      <c r="I1821" t="s">
        <v>6834</v>
      </c>
      <c r="J1821">
        <v>14.4221429581403</v>
      </c>
      <c r="K1821">
        <v>14.429770305857801</v>
      </c>
      <c r="L1821">
        <v>14.8246852797018</v>
      </c>
      <c r="M1821" t="s">
        <v>29</v>
      </c>
      <c r="N1821">
        <v>14.3150497223335</v>
      </c>
      <c r="O1821">
        <v>14.3625968532873</v>
      </c>
      <c r="P1821">
        <v>-0.220042893422951</v>
      </c>
      <c r="Q1821">
        <v>-0.67730005853753705</v>
      </c>
      <c r="R1821">
        <v>0.237214271691635</v>
      </c>
      <c r="S1821">
        <v>14.6008121470391</v>
      </c>
      <c r="T1821">
        <v>-1.0157734113827099</v>
      </c>
      <c r="U1821">
        <v>-6.5191429191054997</v>
      </c>
      <c r="V1821">
        <v>0.32406397105396001</v>
      </c>
      <c r="W1821">
        <v>0.49481323738475802</v>
      </c>
      <c r="X1821">
        <v>0</v>
      </c>
      <c r="Y1821">
        <v>0</v>
      </c>
    </row>
    <row r="1822" spans="1:25" x14ac:dyDescent="0.2">
      <c r="A1822" t="s">
        <v>6835</v>
      </c>
      <c r="B1822" t="s">
        <v>6836</v>
      </c>
      <c r="C1822" t="s">
        <v>6837</v>
      </c>
      <c r="D1822" t="s">
        <v>6838</v>
      </c>
      <c r="E1822" t="s">
        <v>6836</v>
      </c>
      <c r="F1822" t="s">
        <v>28</v>
      </c>
      <c r="G1822" t="s">
        <v>6836</v>
      </c>
      <c r="H1822" t="str">
        <f>"let-767"</f>
        <v>let-767</v>
      </c>
      <c r="I1822" t="s">
        <v>6838</v>
      </c>
      <c r="J1822">
        <v>18.773794930679401</v>
      </c>
      <c r="K1822">
        <v>18.5641082004758</v>
      </c>
      <c r="L1822">
        <v>18.485508430688199</v>
      </c>
      <c r="M1822">
        <v>17.943218955569801</v>
      </c>
      <c r="N1822">
        <v>18.096207274209601</v>
      </c>
      <c r="O1822">
        <v>17.9175689925111</v>
      </c>
      <c r="P1822">
        <v>-0.62213877985093502</v>
      </c>
      <c r="Q1822">
        <v>-0.93418868278252598</v>
      </c>
      <c r="R1822">
        <v>-0.310088876919345</v>
      </c>
      <c r="S1822">
        <v>18.070192025668</v>
      </c>
      <c r="T1822">
        <v>-4.1904024446410997</v>
      </c>
      <c r="U1822">
        <v>-0.751883893408968</v>
      </c>
      <c r="V1822">
        <v>5.5603115337695102E-4</v>
      </c>
      <c r="W1822">
        <v>5.9803788649703503E-3</v>
      </c>
      <c r="X1822">
        <v>0</v>
      </c>
      <c r="Y1822">
        <v>0</v>
      </c>
    </row>
    <row r="1823" spans="1:25" x14ac:dyDescent="0.2">
      <c r="A1823" t="s">
        <v>6839</v>
      </c>
      <c r="B1823" t="s">
        <v>6840</v>
      </c>
      <c r="C1823" t="s">
        <v>6841</v>
      </c>
      <c r="D1823" t="s">
        <v>6842</v>
      </c>
      <c r="E1823" t="s">
        <v>6840</v>
      </c>
      <c r="F1823" t="s">
        <v>28</v>
      </c>
      <c r="G1823" t="s">
        <v>6840</v>
      </c>
      <c r="H1823" t="str">
        <f>"E02H1.1"</f>
        <v>E02H1.1</v>
      </c>
      <c r="I1823" t="s">
        <v>6842</v>
      </c>
      <c r="J1823">
        <v>13.4886363749231</v>
      </c>
      <c r="K1823">
        <v>13.3329230113129</v>
      </c>
      <c r="L1823">
        <v>13.5946951182296</v>
      </c>
      <c r="M1823" t="s">
        <v>29</v>
      </c>
      <c r="N1823" t="s">
        <v>29</v>
      </c>
      <c r="O1823">
        <v>12.7895161297019</v>
      </c>
      <c r="P1823">
        <v>-0.68256870511996004</v>
      </c>
      <c r="Q1823">
        <v>-1.23338347177927</v>
      </c>
      <c r="R1823">
        <v>-0.131753938460651</v>
      </c>
      <c r="S1823">
        <v>13.2046564224525</v>
      </c>
      <c r="T1823">
        <v>-2.6283931564258198</v>
      </c>
      <c r="U1823">
        <v>-3.80734274874861</v>
      </c>
      <c r="V1823">
        <v>1.8328248879641899E-2</v>
      </c>
      <c r="W1823">
        <v>6.9694644449425205E-2</v>
      </c>
      <c r="X1823">
        <v>0</v>
      </c>
      <c r="Y1823">
        <v>0</v>
      </c>
    </row>
    <row r="1824" spans="1:25" x14ac:dyDescent="0.2">
      <c r="A1824" t="s">
        <v>6843</v>
      </c>
      <c r="B1824" t="s">
        <v>6844</v>
      </c>
      <c r="C1824" t="s">
        <v>6845</v>
      </c>
      <c r="D1824" t="s">
        <v>6846</v>
      </c>
      <c r="E1824" t="s">
        <v>6844</v>
      </c>
      <c r="F1824" t="s">
        <v>28</v>
      </c>
      <c r="G1824" t="s">
        <v>6844</v>
      </c>
      <c r="H1824" t="str">
        <f>"eral-1"</f>
        <v>eral-1</v>
      </c>
      <c r="I1824" t="s">
        <v>6846</v>
      </c>
      <c r="J1824">
        <v>13.8849317424745</v>
      </c>
      <c r="K1824">
        <v>14.299776761534799</v>
      </c>
      <c r="L1824">
        <v>14.1505162309721</v>
      </c>
      <c r="M1824" t="s">
        <v>29</v>
      </c>
      <c r="N1824" t="s">
        <v>29</v>
      </c>
      <c r="O1824">
        <v>13.2622634437495</v>
      </c>
      <c r="P1824">
        <v>-0.849478134577627</v>
      </c>
      <c r="Q1824">
        <v>-1.84362805574466</v>
      </c>
      <c r="R1824">
        <v>0.14467178658940599</v>
      </c>
      <c r="S1824">
        <v>14.2526109703782</v>
      </c>
      <c r="T1824">
        <v>-1.8123824666850501</v>
      </c>
      <c r="U1824">
        <v>-5.2465091670629302</v>
      </c>
      <c r="V1824">
        <v>8.8858586446252497E-2</v>
      </c>
      <c r="W1824">
        <v>0.20030589814001801</v>
      </c>
      <c r="X1824">
        <v>0</v>
      </c>
      <c r="Y1824">
        <v>0</v>
      </c>
    </row>
    <row r="1825" spans="1:25" x14ac:dyDescent="0.2">
      <c r="A1825" t="s">
        <v>6847</v>
      </c>
      <c r="B1825" t="s">
        <v>6848</v>
      </c>
      <c r="C1825" t="s">
        <v>6849</v>
      </c>
      <c r="D1825" t="s">
        <v>6850</v>
      </c>
      <c r="E1825" t="s">
        <v>6848</v>
      </c>
      <c r="F1825" t="s">
        <v>28</v>
      </c>
      <c r="G1825" t="s">
        <v>6848</v>
      </c>
      <c r="H1825" t="str">
        <f>"tag-124"</f>
        <v>tag-124</v>
      </c>
      <c r="I1825" t="s">
        <v>6850</v>
      </c>
      <c r="J1825">
        <v>12.1679369890612</v>
      </c>
      <c r="K1825">
        <v>12.5483193604011</v>
      </c>
      <c r="L1825">
        <v>12.3832741621958</v>
      </c>
      <c r="M1825" t="s">
        <v>29</v>
      </c>
      <c r="N1825">
        <v>13.9871603329129</v>
      </c>
      <c r="O1825">
        <v>12.6630168656674</v>
      </c>
      <c r="P1825">
        <v>0.95857842873746402</v>
      </c>
      <c r="Q1825">
        <v>-0.30996703543444898</v>
      </c>
      <c r="R1825">
        <v>2.22712389290938</v>
      </c>
      <c r="S1825">
        <v>13.3517434827946</v>
      </c>
      <c r="T1825">
        <v>1.5950401813736399</v>
      </c>
      <c r="U1825">
        <v>-5.8004161036012496</v>
      </c>
      <c r="V1825">
        <v>0.129237678084788</v>
      </c>
      <c r="W1825">
        <v>0.26230264277952497</v>
      </c>
      <c r="X1825">
        <v>0</v>
      </c>
      <c r="Y1825">
        <v>0</v>
      </c>
    </row>
    <row r="1826" spans="1:25" x14ac:dyDescent="0.2">
      <c r="A1826" t="s">
        <v>6851</v>
      </c>
      <c r="B1826" t="s">
        <v>6852</v>
      </c>
      <c r="C1826" t="s">
        <v>6853</v>
      </c>
      <c r="D1826" t="s">
        <v>6854</v>
      </c>
      <c r="E1826" t="s">
        <v>6852</v>
      </c>
      <c r="F1826" t="s">
        <v>28</v>
      </c>
      <c r="G1826" t="s">
        <v>6852</v>
      </c>
      <c r="H1826" t="str">
        <f>"E02H1.6"</f>
        <v>E02H1.6</v>
      </c>
      <c r="I1826" t="s">
        <v>6854</v>
      </c>
      <c r="J1826" t="s">
        <v>29</v>
      </c>
      <c r="K1826" t="s">
        <v>29</v>
      </c>
      <c r="L1826">
        <v>10.7255395012292</v>
      </c>
      <c r="M1826" t="s">
        <v>29</v>
      </c>
      <c r="N1826" t="s">
        <v>29</v>
      </c>
      <c r="O1826" t="s">
        <v>29</v>
      </c>
      <c r="P1826" t="s">
        <v>29</v>
      </c>
      <c r="Q1826" t="s">
        <v>29</v>
      </c>
      <c r="R1826" t="s">
        <v>29</v>
      </c>
      <c r="S1826">
        <v>11.522870846650299</v>
      </c>
      <c r="T1826" t="s">
        <v>29</v>
      </c>
      <c r="U1826" t="s">
        <v>29</v>
      </c>
      <c r="V1826" t="s">
        <v>29</v>
      </c>
      <c r="W1826" t="s">
        <v>29</v>
      </c>
      <c r="X1826" t="s">
        <v>29</v>
      </c>
      <c r="Y1826" t="s">
        <v>29</v>
      </c>
    </row>
    <row r="1827" spans="1:25" x14ac:dyDescent="0.2">
      <c r="A1827" t="s">
        <v>6855</v>
      </c>
      <c r="B1827" t="s">
        <v>6856</v>
      </c>
      <c r="C1827" t="s">
        <v>6857</v>
      </c>
      <c r="D1827" t="s">
        <v>6858</v>
      </c>
      <c r="E1827" t="s">
        <v>6856</v>
      </c>
      <c r="F1827" t="s">
        <v>28</v>
      </c>
      <c r="G1827" t="s">
        <v>6856</v>
      </c>
      <c r="H1827" t="str">
        <f>"EEED8.2"</f>
        <v>EEED8.2</v>
      </c>
      <c r="I1827" t="s">
        <v>6858</v>
      </c>
      <c r="J1827">
        <v>10.1524930149574</v>
      </c>
      <c r="K1827">
        <v>10.0604851167577</v>
      </c>
      <c r="L1827">
        <v>10.046570889634401</v>
      </c>
      <c r="M1827" t="s">
        <v>29</v>
      </c>
      <c r="N1827" t="s">
        <v>29</v>
      </c>
      <c r="O1827" t="s">
        <v>29</v>
      </c>
      <c r="P1827" t="s">
        <v>29</v>
      </c>
      <c r="Q1827" t="s">
        <v>29</v>
      </c>
      <c r="R1827" t="s">
        <v>29</v>
      </c>
      <c r="S1827">
        <v>10.490729755846701</v>
      </c>
      <c r="T1827" t="s">
        <v>29</v>
      </c>
      <c r="U1827" t="s">
        <v>29</v>
      </c>
      <c r="V1827" t="s">
        <v>29</v>
      </c>
      <c r="W1827" t="s">
        <v>29</v>
      </c>
      <c r="X1827" t="s">
        <v>29</v>
      </c>
      <c r="Y1827" t="s">
        <v>29</v>
      </c>
    </row>
    <row r="1828" spans="1:25" x14ac:dyDescent="0.2">
      <c r="A1828" t="s">
        <v>6859</v>
      </c>
      <c r="B1828" t="s">
        <v>6860</v>
      </c>
      <c r="C1828" t="s">
        <v>6861</v>
      </c>
      <c r="D1828" t="s">
        <v>6862</v>
      </c>
      <c r="E1828" t="s">
        <v>6860</v>
      </c>
      <c r="F1828" t="s">
        <v>28</v>
      </c>
      <c r="G1828" t="s">
        <v>6860</v>
      </c>
      <c r="H1828" t="str">
        <f>"mog-5"</f>
        <v>mog-5</v>
      </c>
      <c r="I1828" t="s">
        <v>6862</v>
      </c>
      <c r="J1828">
        <v>14.442534151710699</v>
      </c>
      <c r="K1828">
        <v>14.5633414034999</v>
      </c>
      <c r="L1828">
        <v>14.630548652737399</v>
      </c>
      <c r="M1828">
        <v>14.424707770469301</v>
      </c>
      <c r="N1828">
        <v>13.2984377788248</v>
      </c>
      <c r="O1828">
        <v>14.1247387723286</v>
      </c>
      <c r="P1828">
        <v>-0.59617996210843005</v>
      </c>
      <c r="Q1828">
        <v>-1.10503221210668</v>
      </c>
      <c r="R1828">
        <v>-8.7327712110179798E-2</v>
      </c>
      <c r="S1828">
        <v>14.656683469774</v>
      </c>
      <c r="T1828">
        <v>-2.4625110561616799</v>
      </c>
      <c r="U1828">
        <v>-4.4183891677594902</v>
      </c>
      <c r="V1828">
        <v>2.4177411307077502E-2</v>
      </c>
      <c r="W1828">
        <v>8.3316329415592E-2</v>
      </c>
      <c r="X1828">
        <v>0</v>
      </c>
      <c r="Y1828">
        <v>0</v>
      </c>
    </row>
    <row r="1829" spans="1:25" x14ac:dyDescent="0.2">
      <c r="A1829" t="s">
        <v>6863</v>
      </c>
      <c r="B1829" t="s">
        <v>6864</v>
      </c>
      <c r="C1829" t="s">
        <v>6865</v>
      </c>
      <c r="D1829" t="s">
        <v>6866</v>
      </c>
      <c r="E1829" t="s">
        <v>6864</v>
      </c>
      <c r="F1829" t="s">
        <v>28</v>
      </c>
      <c r="G1829" t="s">
        <v>6864</v>
      </c>
      <c r="H1829" t="str">
        <f>"F07F6.4"</f>
        <v>F07F6.4</v>
      </c>
      <c r="I1829" t="s">
        <v>6866</v>
      </c>
      <c r="J1829">
        <v>14.1980517960254</v>
      </c>
      <c r="K1829">
        <v>14.063770152484199</v>
      </c>
      <c r="L1829">
        <v>13.7699777867577</v>
      </c>
      <c r="M1829" t="s">
        <v>29</v>
      </c>
      <c r="N1829">
        <v>14.792043487022701</v>
      </c>
      <c r="O1829">
        <v>12.972946177838001</v>
      </c>
      <c r="P1829">
        <v>-0.12810507932536899</v>
      </c>
      <c r="Q1829">
        <v>-0.92345710585649599</v>
      </c>
      <c r="R1829">
        <v>0.66724694720575795</v>
      </c>
      <c r="S1829">
        <v>13.899691796130901</v>
      </c>
      <c r="T1829">
        <v>-0.339982819257443</v>
      </c>
      <c r="U1829">
        <v>-6.9849240260273104</v>
      </c>
      <c r="V1829">
        <v>0.73805964776839805</v>
      </c>
      <c r="W1829">
        <v>0.830810459118972</v>
      </c>
      <c r="X1829">
        <v>0</v>
      </c>
      <c r="Y1829">
        <v>0</v>
      </c>
    </row>
    <row r="1830" spans="1:25" x14ac:dyDescent="0.2">
      <c r="A1830" t="s">
        <v>6867</v>
      </c>
      <c r="B1830" t="s">
        <v>6868</v>
      </c>
      <c r="C1830" t="s">
        <v>6869</v>
      </c>
      <c r="D1830" t="s">
        <v>6870</v>
      </c>
      <c r="E1830" t="s">
        <v>6868</v>
      </c>
      <c r="F1830" t="s">
        <v>28</v>
      </c>
      <c r="G1830" t="s">
        <v>6868</v>
      </c>
      <c r="H1830" t="str">
        <f>"rpl-10"</f>
        <v>rpl-10</v>
      </c>
      <c r="I1830" t="s">
        <v>6870</v>
      </c>
      <c r="J1830">
        <v>21.128464736999799</v>
      </c>
      <c r="K1830">
        <v>20.9444299617866</v>
      </c>
      <c r="L1830">
        <v>21.185201294728198</v>
      </c>
      <c r="M1830">
        <v>20.5755243687742</v>
      </c>
      <c r="N1830">
        <v>20.690141540587401</v>
      </c>
      <c r="O1830">
        <v>20.642972210983199</v>
      </c>
      <c r="P1830">
        <v>-0.44981929105657797</v>
      </c>
      <c r="Q1830">
        <v>-0.78631074849576899</v>
      </c>
      <c r="R1830">
        <v>-0.11332783361738701</v>
      </c>
      <c r="S1830">
        <v>21.151149589712301</v>
      </c>
      <c r="T1830">
        <v>-2.8096779727155798</v>
      </c>
      <c r="U1830">
        <v>-3.7286405347350402</v>
      </c>
      <c r="V1830">
        <v>1.1639556365412499E-2</v>
      </c>
      <c r="W1830">
        <v>5.0443783248339001E-2</v>
      </c>
      <c r="X1830">
        <v>0</v>
      </c>
      <c r="Y1830">
        <v>0</v>
      </c>
    </row>
    <row r="1831" spans="1:25" x14ac:dyDescent="0.2">
      <c r="A1831" t="s">
        <v>6871</v>
      </c>
      <c r="B1831" t="s">
        <v>6872</v>
      </c>
      <c r="C1831" t="s">
        <v>6873</v>
      </c>
      <c r="D1831" t="s">
        <v>6874</v>
      </c>
      <c r="E1831" t="s">
        <v>6872</v>
      </c>
      <c r="F1831" t="s">
        <v>28</v>
      </c>
      <c r="G1831" t="s">
        <v>6872</v>
      </c>
      <c r="H1831" t="str">
        <f>"grk-1"</f>
        <v>grk-1</v>
      </c>
      <c r="I1831" t="s">
        <v>6874</v>
      </c>
      <c r="J1831">
        <v>12.8002566757047</v>
      </c>
      <c r="K1831">
        <v>12.4577530950534</v>
      </c>
      <c r="L1831">
        <v>12.201699476841499</v>
      </c>
      <c r="M1831" t="s">
        <v>29</v>
      </c>
      <c r="N1831">
        <v>12.322050211510801</v>
      </c>
      <c r="O1831">
        <v>12.1597806359188</v>
      </c>
      <c r="P1831">
        <v>-0.245654325485093</v>
      </c>
      <c r="Q1831">
        <v>-0.83722092138512705</v>
      </c>
      <c r="R1831">
        <v>0.34591227041493999</v>
      </c>
      <c r="S1831">
        <v>12.389185304053299</v>
      </c>
      <c r="T1831">
        <v>-0.87653807586541399</v>
      </c>
      <c r="U1831">
        <v>-6.65058561784637</v>
      </c>
      <c r="V1831">
        <v>0.39303048249449302</v>
      </c>
      <c r="W1831">
        <v>0.56144490155660298</v>
      </c>
      <c r="X1831">
        <v>0</v>
      </c>
      <c r="Y1831">
        <v>0</v>
      </c>
    </row>
    <row r="1832" spans="1:25" x14ac:dyDescent="0.2">
      <c r="A1832" t="s">
        <v>6875</v>
      </c>
      <c r="B1832" t="s">
        <v>6876</v>
      </c>
      <c r="C1832" t="s">
        <v>6877</v>
      </c>
      <c r="D1832" t="s">
        <v>6878</v>
      </c>
      <c r="E1832" t="s">
        <v>6876</v>
      </c>
      <c r="F1832" t="s">
        <v>28</v>
      </c>
      <c r="G1832" t="s">
        <v>6876</v>
      </c>
      <c r="H1832" t="str">
        <f>"tpp-2"</f>
        <v>tpp-2</v>
      </c>
      <c r="I1832" t="s">
        <v>6878</v>
      </c>
      <c r="J1832">
        <v>12.6191430459775</v>
      </c>
      <c r="K1832">
        <v>12.4429570103231</v>
      </c>
      <c r="L1832">
        <v>12.7518848440927</v>
      </c>
      <c r="M1832" t="s">
        <v>29</v>
      </c>
      <c r="N1832">
        <v>12.6091026180141</v>
      </c>
      <c r="O1832">
        <v>13.1319580588265</v>
      </c>
      <c r="P1832">
        <v>0.265868704955873</v>
      </c>
      <c r="Q1832">
        <v>-0.28121273837702498</v>
      </c>
      <c r="R1832">
        <v>0.81295014828876999</v>
      </c>
      <c r="S1832">
        <v>13.006147725296101</v>
      </c>
      <c r="T1832">
        <v>1.02580603377883</v>
      </c>
      <c r="U1832">
        <v>-6.5090064025124601</v>
      </c>
      <c r="V1832">
        <v>0.31944686610030398</v>
      </c>
      <c r="W1832">
        <v>0.49104481747892897</v>
      </c>
      <c r="X1832">
        <v>0</v>
      </c>
      <c r="Y1832">
        <v>0</v>
      </c>
    </row>
    <row r="1833" spans="1:25" x14ac:dyDescent="0.2">
      <c r="A1833" t="s">
        <v>6879</v>
      </c>
      <c r="B1833" t="s">
        <v>6880</v>
      </c>
      <c r="C1833" t="s">
        <v>6881</v>
      </c>
      <c r="D1833" t="s">
        <v>6882</v>
      </c>
      <c r="E1833" t="s">
        <v>6880</v>
      </c>
      <c r="F1833" t="s">
        <v>28</v>
      </c>
      <c r="G1833" t="s">
        <v>6880</v>
      </c>
      <c r="H1833" t="str">
        <f>"paa-1"</f>
        <v>paa-1</v>
      </c>
      <c r="I1833" t="s">
        <v>6882</v>
      </c>
      <c r="J1833">
        <v>11.780314212102301</v>
      </c>
      <c r="K1833">
        <v>12.243308115126</v>
      </c>
      <c r="L1833">
        <v>12.495622890098399</v>
      </c>
      <c r="M1833" t="s">
        <v>29</v>
      </c>
      <c r="N1833">
        <v>12.6134638890167</v>
      </c>
      <c r="O1833">
        <v>12.9133000062133</v>
      </c>
      <c r="P1833">
        <v>0.59030020850609499</v>
      </c>
      <c r="Q1833">
        <v>-0.16042044120761301</v>
      </c>
      <c r="R1833">
        <v>1.3410208582198</v>
      </c>
      <c r="S1833">
        <v>12.8379911879166</v>
      </c>
      <c r="T1833">
        <v>1.6597573013781299</v>
      </c>
      <c r="U1833">
        <v>-5.7048123471222398</v>
      </c>
      <c r="V1833">
        <v>0.11540864411391601</v>
      </c>
      <c r="W1833">
        <v>0.24035991109803001</v>
      </c>
      <c r="X1833">
        <v>0</v>
      </c>
      <c r="Y1833">
        <v>0</v>
      </c>
    </row>
    <row r="1834" spans="1:25" x14ac:dyDescent="0.2">
      <c r="A1834" t="s">
        <v>6883</v>
      </c>
      <c r="B1834" t="s">
        <v>6884</v>
      </c>
      <c r="C1834" t="s">
        <v>6885</v>
      </c>
      <c r="D1834" t="s">
        <v>6886</v>
      </c>
      <c r="E1834" t="s">
        <v>6884</v>
      </c>
      <c r="F1834" t="s">
        <v>28</v>
      </c>
      <c r="G1834" t="s">
        <v>6884</v>
      </c>
      <c r="H1834" t="str">
        <f>"F58F12.1"</f>
        <v>F58F12.1</v>
      </c>
      <c r="I1834" t="s">
        <v>6886</v>
      </c>
      <c r="J1834">
        <v>14.715289545969799</v>
      </c>
      <c r="K1834">
        <v>14.3444814951447</v>
      </c>
      <c r="L1834">
        <v>14.4643716882003</v>
      </c>
      <c r="M1834">
        <v>14.514859948999</v>
      </c>
      <c r="N1834">
        <v>13.930289957715299</v>
      </c>
      <c r="O1834">
        <v>13.330107820753801</v>
      </c>
      <c r="P1834">
        <v>-0.58296166728229304</v>
      </c>
      <c r="Q1834">
        <v>-1.1300568439201399</v>
      </c>
      <c r="R1834">
        <v>-3.58664906444476E-2</v>
      </c>
      <c r="S1834">
        <v>14.100059138208501</v>
      </c>
      <c r="T1834">
        <v>-2.2395957044286798</v>
      </c>
      <c r="U1834">
        <v>-4.83772522577571</v>
      </c>
      <c r="V1834">
        <v>3.8059020478485403E-2</v>
      </c>
      <c r="W1834">
        <v>0.114604007718673</v>
      </c>
      <c r="X1834">
        <v>0</v>
      </c>
      <c r="Y1834">
        <v>0</v>
      </c>
    </row>
    <row r="1835" spans="1:25" x14ac:dyDescent="0.2">
      <c r="A1835" t="s">
        <v>6887</v>
      </c>
      <c r="B1835" t="s">
        <v>6888</v>
      </c>
      <c r="C1835" t="s">
        <v>6889</v>
      </c>
      <c r="D1835" t="s">
        <v>6890</v>
      </c>
      <c r="E1835" t="s">
        <v>6888</v>
      </c>
      <c r="F1835" t="s">
        <v>28</v>
      </c>
      <c r="G1835" t="s">
        <v>6888</v>
      </c>
      <c r="H1835" t="str">
        <f>"sdhb-1"</f>
        <v>sdhb-1</v>
      </c>
      <c r="I1835" t="s">
        <v>6890</v>
      </c>
      <c r="J1835">
        <v>12.759909173449399</v>
      </c>
      <c r="K1835">
        <v>13.028538882440699</v>
      </c>
      <c r="L1835">
        <v>13.0035601390222</v>
      </c>
      <c r="M1835" t="s">
        <v>29</v>
      </c>
      <c r="N1835" t="s">
        <v>29</v>
      </c>
      <c r="O1835">
        <v>13.691559168348499</v>
      </c>
      <c r="P1835">
        <v>0.76088977004441605</v>
      </c>
      <c r="Q1835">
        <v>-0.20999820993798701</v>
      </c>
      <c r="R1835">
        <v>1.7317777500268201</v>
      </c>
      <c r="S1835">
        <v>13.0023783662922</v>
      </c>
      <c r="T1835">
        <v>1.6622722339062099</v>
      </c>
      <c r="U1835">
        <v>-5.4761370946537902</v>
      </c>
      <c r="V1835">
        <v>0.116048783664538</v>
      </c>
      <c r="W1835">
        <v>0.241181781000983</v>
      </c>
      <c r="X1835">
        <v>0</v>
      </c>
      <c r="Y1835">
        <v>0</v>
      </c>
    </row>
    <row r="1836" spans="1:25" x14ac:dyDescent="0.2">
      <c r="A1836" t="s">
        <v>6891</v>
      </c>
      <c r="B1836" t="s">
        <v>6892</v>
      </c>
      <c r="C1836" t="s">
        <v>6893</v>
      </c>
      <c r="D1836" t="s">
        <v>6894</v>
      </c>
      <c r="E1836" t="s">
        <v>6892</v>
      </c>
      <c r="F1836" t="s">
        <v>28</v>
      </c>
      <c r="G1836" t="s">
        <v>6892</v>
      </c>
      <c r="H1836" t="str">
        <f>"disl-2"</f>
        <v>disl-2</v>
      </c>
      <c r="I1836" t="s">
        <v>6894</v>
      </c>
      <c r="J1836">
        <v>14.802422216469401</v>
      </c>
      <c r="K1836">
        <v>14.5517617149847</v>
      </c>
      <c r="L1836">
        <v>14.2262061431402</v>
      </c>
      <c r="M1836" t="s">
        <v>29</v>
      </c>
      <c r="N1836">
        <v>13.840296737434199</v>
      </c>
      <c r="O1836">
        <v>14.360401831688099</v>
      </c>
      <c r="P1836">
        <v>-0.426447406970272</v>
      </c>
      <c r="Q1836">
        <v>-0.90450808661552395</v>
      </c>
      <c r="R1836">
        <v>5.1613272674979997E-2</v>
      </c>
      <c r="S1836">
        <v>14.0303063349329</v>
      </c>
      <c r="T1836">
        <v>-1.8829225932940401</v>
      </c>
      <c r="U1836">
        <v>-5.3549774112260602</v>
      </c>
      <c r="V1836">
        <v>7.7046319145036193E-2</v>
      </c>
      <c r="W1836">
        <v>0.183003272600546</v>
      </c>
      <c r="X1836">
        <v>0</v>
      </c>
      <c r="Y1836">
        <v>0</v>
      </c>
    </row>
    <row r="1837" spans="1:25" x14ac:dyDescent="0.2">
      <c r="A1837" t="s">
        <v>6895</v>
      </c>
      <c r="B1837" t="s">
        <v>6896</v>
      </c>
      <c r="C1837" t="s">
        <v>6897</v>
      </c>
      <c r="D1837" t="s">
        <v>6898</v>
      </c>
      <c r="E1837" t="s">
        <v>6896</v>
      </c>
      <c r="F1837" t="s">
        <v>28</v>
      </c>
      <c r="G1837" t="s">
        <v>6896</v>
      </c>
      <c r="H1837" t="str">
        <f>"gmps-1"</f>
        <v>gmps-1</v>
      </c>
      <c r="I1837" t="s">
        <v>6898</v>
      </c>
      <c r="J1837">
        <v>13.821153525905499</v>
      </c>
      <c r="K1837">
        <v>13.5469380312658</v>
      </c>
      <c r="L1837">
        <v>13.5928086015562</v>
      </c>
      <c r="M1837" t="s">
        <v>29</v>
      </c>
      <c r="N1837">
        <v>13.343609015445301</v>
      </c>
      <c r="O1837">
        <v>13.4014528564113</v>
      </c>
      <c r="P1837">
        <v>-0.28110245031417602</v>
      </c>
      <c r="Q1837">
        <v>-0.723049683649853</v>
      </c>
      <c r="R1837">
        <v>0.16084478302150201</v>
      </c>
      <c r="S1837">
        <v>13.472366844877101</v>
      </c>
      <c r="T1837">
        <v>-1.3425925251942299</v>
      </c>
      <c r="U1837">
        <v>-6.1455227552723297</v>
      </c>
      <c r="V1837">
        <v>0.197166062613499</v>
      </c>
      <c r="W1837">
        <v>0.35625284274799501</v>
      </c>
      <c r="X1837">
        <v>0</v>
      </c>
      <c r="Y1837">
        <v>0</v>
      </c>
    </row>
    <row r="1838" spans="1:25" x14ac:dyDescent="0.2">
      <c r="A1838" t="s">
        <v>6899</v>
      </c>
      <c r="B1838" t="s">
        <v>6900</v>
      </c>
      <c r="C1838" t="s">
        <v>6901</v>
      </c>
      <c r="D1838" t="s">
        <v>6902</v>
      </c>
      <c r="E1838" t="s">
        <v>6900</v>
      </c>
      <c r="F1838" t="s">
        <v>28</v>
      </c>
      <c r="G1838" t="s">
        <v>6900</v>
      </c>
      <c r="H1838" t="str">
        <f>"lec-3"</f>
        <v>lec-3</v>
      </c>
      <c r="I1838" t="s">
        <v>6902</v>
      </c>
      <c r="J1838">
        <v>14.688059120730999</v>
      </c>
      <c r="K1838">
        <v>15.289807078558001</v>
      </c>
      <c r="L1838">
        <v>14.3500093854</v>
      </c>
      <c r="M1838">
        <v>15.393107443171001</v>
      </c>
      <c r="N1838">
        <v>14.0072375769315</v>
      </c>
      <c r="O1838">
        <v>14.458723606197699</v>
      </c>
      <c r="P1838">
        <v>-0.15626898612960399</v>
      </c>
      <c r="Q1838">
        <v>-1.1461663005851099</v>
      </c>
      <c r="R1838">
        <v>0.83362832832590195</v>
      </c>
      <c r="S1838">
        <v>14.096437252176299</v>
      </c>
      <c r="T1838">
        <v>-0.33179906784401397</v>
      </c>
      <c r="U1838">
        <v>-7.0987053327103302</v>
      </c>
      <c r="V1838">
        <v>0.74389543801761904</v>
      </c>
      <c r="W1838">
        <v>0.83546488408457398</v>
      </c>
      <c r="X1838">
        <v>0</v>
      </c>
      <c r="Y1838">
        <v>0</v>
      </c>
    </row>
    <row r="1839" spans="1:25" x14ac:dyDescent="0.2">
      <c r="A1839" t="s">
        <v>6903</v>
      </c>
      <c r="B1839" t="s">
        <v>6904</v>
      </c>
      <c r="C1839" t="s">
        <v>6905</v>
      </c>
      <c r="D1839" t="s">
        <v>6906</v>
      </c>
      <c r="E1839" t="s">
        <v>6904</v>
      </c>
      <c r="F1839" t="s">
        <v>28</v>
      </c>
      <c r="G1839" t="s">
        <v>6904</v>
      </c>
      <c r="H1839" t="str">
        <f>"metr-1"</f>
        <v>metr-1</v>
      </c>
      <c r="I1839" t="s">
        <v>6906</v>
      </c>
      <c r="J1839">
        <v>13.545616726241599</v>
      </c>
      <c r="K1839">
        <v>14.195004419733699</v>
      </c>
      <c r="L1839">
        <v>13.870492633648199</v>
      </c>
      <c r="M1839">
        <v>14.754230711460799</v>
      </c>
      <c r="N1839">
        <v>15.0067016169246</v>
      </c>
      <c r="O1839">
        <v>14.487996097291701</v>
      </c>
      <c r="P1839">
        <v>0.87927154868452095</v>
      </c>
      <c r="Q1839">
        <v>0.38297573651235101</v>
      </c>
      <c r="R1839">
        <v>1.3755673608566901</v>
      </c>
      <c r="S1839">
        <v>15.218898201967299</v>
      </c>
      <c r="T1839">
        <v>3.7237020438793502</v>
      </c>
      <c r="U1839">
        <v>-1.7796555796343201</v>
      </c>
      <c r="V1839">
        <v>1.5674830238687799E-3</v>
      </c>
      <c r="W1839">
        <v>1.24578097549996E-2</v>
      </c>
      <c r="X1839">
        <v>0</v>
      </c>
      <c r="Y1839">
        <v>0</v>
      </c>
    </row>
    <row r="1840" spans="1:25" x14ac:dyDescent="0.2">
      <c r="A1840" t="s">
        <v>6907</v>
      </c>
      <c r="B1840" t="s">
        <v>6908</v>
      </c>
      <c r="C1840" t="s">
        <v>6909</v>
      </c>
      <c r="D1840" t="s">
        <v>6910</v>
      </c>
      <c r="E1840" t="s">
        <v>6908</v>
      </c>
      <c r="F1840" t="s">
        <v>28</v>
      </c>
      <c r="G1840" t="s">
        <v>6908</v>
      </c>
      <c r="H1840" t="str">
        <f>"rnp-7"</f>
        <v>rnp-7</v>
      </c>
      <c r="I1840" t="s">
        <v>6910</v>
      </c>
      <c r="J1840">
        <v>16.142365095872101</v>
      </c>
      <c r="K1840">
        <v>16.448249299085202</v>
      </c>
      <c r="L1840">
        <v>16.140465135962</v>
      </c>
      <c r="M1840">
        <v>16.006599965752599</v>
      </c>
      <c r="N1840">
        <v>15.793533956627501</v>
      </c>
      <c r="O1840">
        <v>15.178077430004</v>
      </c>
      <c r="P1840">
        <v>-0.58428939284505599</v>
      </c>
      <c r="Q1840">
        <v>-1.0886529948718999</v>
      </c>
      <c r="R1840">
        <v>-7.9925790818211107E-2</v>
      </c>
      <c r="S1840">
        <v>16.270018776439201</v>
      </c>
      <c r="T1840">
        <v>-2.4348756004521199</v>
      </c>
      <c r="U1840">
        <v>-4.47148324837113</v>
      </c>
      <c r="V1840">
        <v>2.5595441848369101E-2</v>
      </c>
      <c r="W1840">
        <v>8.6700881755337605E-2</v>
      </c>
      <c r="X1840">
        <v>0</v>
      </c>
      <c r="Y1840">
        <v>0</v>
      </c>
    </row>
    <row r="1841" spans="1:25" x14ac:dyDescent="0.2">
      <c r="A1841" t="s">
        <v>6911</v>
      </c>
      <c r="B1841" t="s">
        <v>6912</v>
      </c>
      <c r="C1841" t="s">
        <v>6913</v>
      </c>
      <c r="D1841" t="s">
        <v>6914</v>
      </c>
      <c r="E1841" t="s">
        <v>6912</v>
      </c>
      <c r="F1841" t="s">
        <v>28</v>
      </c>
      <c r="G1841" t="s">
        <v>6912</v>
      </c>
      <c r="H1841" t="str">
        <f>"hira-1"</f>
        <v>hira-1</v>
      </c>
      <c r="I1841" t="s">
        <v>6914</v>
      </c>
      <c r="J1841" t="s">
        <v>29</v>
      </c>
      <c r="K1841" t="s">
        <v>29</v>
      </c>
      <c r="L1841" t="s">
        <v>29</v>
      </c>
      <c r="M1841" t="s">
        <v>29</v>
      </c>
      <c r="N1841" t="s">
        <v>29</v>
      </c>
      <c r="O1841" t="s">
        <v>29</v>
      </c>
      <c r="P1841" t="s">
        <v>29</v>
      </c>
      <c r="Q1841" t="s">
        <v>29</v>
      </c>
      <c r="R1841" t="s">
        <v>29</v>
      </c>
      <c r="S1841">
        <v>12.2457544308288</v>
      </c>
      <c r="T1841" t="s">
        <v>29</v>
      </c>
      <c r="U1841" t="s">
        <v>29</v>
      </c>
      <c r="V1841" t="s">
        <v>29</v>
      </c>
      <c r="W1841" t="s">
        <v>29</v>
      </c>
      <c r="X1841" t="s">
        <v>29</v>
      </c>
      <c r="Y1841" t="s">
        <v>29</v>
      </c>
    </row>
    <row r="1842" spans="1:25" x14ac:dyDescent="0.2">
      <c r="A1842" t="s">
        <v>6915</v>
      </c>
      <c r="B1842" t="s">
        <v>6916</v>
      </c>
      <c r="C1842" t="s">
        <v>6917</v>
      </c>
      <c r="D1842" t="s">
        <v>6918</v>
      </c>
      <c r="E1842" t="s">
        <v>6916</v>
      </c>
      <c r="F1842" t="s">
        <v>28</v>
      </c>
      <c r="G1842" t="s">
        <v>6916</v>
      </c>
      <c r="H1842" t="str">
        <f>"emb-8"</f>
        <v>emb-8</v>
      </c>
      <c r="I1842" t="s">
        <v>6918</v>
      </c>
      <c r="J1842">
        <v>12.945996784768001</v>
      </c>
      <c r="K1842">
        <v>13.0665958732358</v>
      </c>
      <c r="L1842">
        <v>13.0532564361739</v>
      </c>
      <c r="M1842" t="s">
        <v>29</v>
      </c>
      <c r="N1842">
        <v>12.557036673251201</v>
      </c>
      <c r="O1842">
        <v>13.0331008824372</v>
      </c>
      <c r="P1842">
        <v>-0.226880920214967</v>
      </c>
      <c r="Q1842">
        <v>-0.81734150645287096</v>
      </c>
      <c r="R1842">
        <v>0.36357966602293701</v>
      </c>
      <c r="S1842">
        <v>12.954955580305301</v>
      </c>
      <c r="T1842">
        <v>-0.81106764092703498</v>
      </c>
      <c r="U1842">
        <v>-6.7062948639053896</v>
      </c>
      <c r="V1842">
        <v>0.42860534426470498</v>
      </c>
      <c r="W1842">
        <v>0.59439997625792296</v>
      </c>
      <c r="X1842">
        <v>0</v>
      </c>
      <c r="Y1842">
        <v>0</v>
      </c>
    </row>
    <row r="1843" spans="1:25" x14ac:dyDescent="0.2">
      <c r="A1843" t="s">
        <v>6919</v>
      </c>
      <c r="B1843" t="s">
        <v>6920</v>
      </c>
      <c r="C1843" t="s">
        <v>6921</v>
      </c>
      <c r="D1843" t="s">
        <v>6922</v>
      </c>
      <c r="E1843" t="s">
        <v>6920</v>
      </c>
      <c r="F1843" t="s">
        <v>28</v>
      </c>
      <c r="G1843" t="s">
        <v>6920</v>
      </c>
      <c r="H1843" t="str">
        <f>"mix-1"</f>
        <v>mix-1</v>
      </c>
      <c r="I1843" t="s">
        <v>6922</v>
      </c>
      <c r="J1843">
        <v>13.2511962052382</v>
      </c>
      <c r="K1843">
        <v>13.313421040152001</v>
      </c>
      <c r="L1843">
        <v>13.408641036718601</v>
      </c>
      <c r="M1843">
        <v>14.8283047106277</v>
      </c>
      <c r="N1843">
        <v>12.829750052657401</v>
      </c>
      <c r="O1843">
        <v>13.0706001894651</v>
      </c>
      <c r="P1843">
        <v>0.25179889021384699</v>
      </c>
      <c r="Q1843">
        <v>-0.46312784553956299</v>
      </c>
      <c r="R1843">
        <v>0.96672562596725597</v>
      </c>
      <c r="S1843">
        <v>13.5971328468819</v>
      </c>
      <c r="T1843">
        <v>0.74026085815211196</v>
      </c>
      <c r="U1843">
        <v>-6.8730637342661502</v>
      </c>
      <c r="V1843">
        <v>0.46874361533655001</v>
      </c>
      <c r="W1843">
        <v>0.63019499744380203</v>
      </c>
      <c r="X1843">
        <v>0</v>
      </c>
      <c r="Y1843">
        <v>0</v>
      </c>
    </row>
    <row r="1844" spans="1:25" x14ac:dyDescent="0.2">
      <c r="A1844" t="s">
        <v>6923</v>
      </c>
      <c r="B1844" t="s">
        <v>6924</v>
      </c>
      <c r="C1844" t="s">
        <v>14427</v>
      </c>
      <c r="D1844" t="s">
        <v>6925</v>
      </c>
      <c r="E1844" t="s">
        <v>6924</v>
      </c>
      <c r="F1844" t="s">
        <v>28</v>
      </c>
      <c r="G1844" t="s">
        <v>6924</v>
      </c>
      <c r="H1844" t="str">
        <f>"M106.2"</f>
        <v>M106.2</v>
      </c>
      <c r="I1844" t="s">
        <v>6925</v>
      </c>
      <c r="J1844" t="s">
        <v>29</v>
      </c>
      <c r="K1844" t="s">
        <v>29</v>
      </c>
      <c r="L1844">
        <v>13.110537833445299</v>
      </c>
      <c r="M1844" t="s">
        <v>29</v>
      </c>
      <c r="N1844" t="s">
        <v>29</v>
      </c>
      <c r="O1844">
        <v>11.3170998346839</v>
      </c>
      <c r="P1844">
        <v>-1.7934379987614599</v>
      </c>
      <c r="Q1844">
        <v>-2.76950976160416</v>
      </c>
      <c r="R1844">
        <v>-0.81736623591875401</v>
      </c>
      <c r="S1844">
        <v>12.0395048926936</v>
      </c>
      <c r="T1844">
        <v>-4.09988342757946</v>
      </c>
      <c r="U1844">
        <v>-1.36586888534401</v>
      </c>
      <c r="V1844">
        <v>2.19284588689047E-3</v>
      </c>
      <c r="W1844">
        <v>1.54231905218764E-2</v>
      </c>
      <c r="X1844">
        <v>-1</v>
      </c>
      <c r="Y1844">
        <v>-1</v>
      </c>
    </row>
    <row r="1845" spans="1:25" x14ac:dyDescent="0.2">
      <c r="A1845" t="s">
        <v>6926</v>
      </c>
      <c r="B1845" t="s">
        <v>6927</v>
      </c>
      <c r="C1845" t="s">
        <v>6928</v>
      </c>
      <c r="D1845" t="s">
        <v>6929</v>
      </c>
      <c r="E1845" t="s">
        <v>6927</v>
      </c>
      <c r="F1845" t="s">
        <v>28</v>
      </c>
      <c r="G1845" t="s">
        <v>6927</v>
      </c>
      <c r="H1845" t="str">
        <f>"cdl-1"</f>
        <v>cdl-1</v>
      </c>
      <c r="I1845" t="s">
        <v>6929</v>
      </c>
      <c r="J1845">
        <v>12.979984425482099</v>
      </c>
      <c r="K1845">
        <v>12.5521452931489</v>
      </c>
      <c r="L1845">
        <v>13.149253035687201</v>
      </c>
      <c r="M1845" t="s">
        <v>29</v>
      </c>
      <c r="N1845">
        <v>12.551486298631</v>
      </c>
      <c r="O1845">
        <v>13.0967020534321</v>
      </c>
      <c r="P1845">
        <v>-6.9700075407867601E-2</v>
      </c>
      <c r="Q1845">
        <v>-0.91490800229494096</v>
      </c>
      <c r="R1845">
        <v>0.77550785147920598</v>
      </c>
      <c r="S1845">
        <v>13.5157687430127</v>
      </c>
      <c r="T1845">
        <v>-0.17406830470013501</v>
      </c>
      <c r="U1845">
        <v>-7.0295621836468696</v>
      </c>
      <c r="V1845">
        <v>0.86388049193581895</v>
      </c>
      <c r="W1845">
        <v>0.91445970177257796</v>
      </c>
      <c r="X1845">
        <v>0</v>
      </c>
      <c r="Y1845">
        <v>0</v>
      </c>
    </row>
    <row r="1846" spans="1:25" x14ac:dyDescent="0.2">
      <c r="A1846" t="s">
        <v>6930</v>
      </c>
      <c r="B1846" t="s">
        <v>6931</v>
      </c>
      <c r="C1846" t="s">
        <v>6932</v>
      </c>
      <c r="D1846" t="s">
        <v>6933</v>
      </c>
      <c r="E1846" t="s">
        <v>6931</v>
      </c>
      <c r="F1846" t="s">
        <v>28</v>
      </c>
      <c r="G1846" t="s">
        <v>6931</v>
      </c>
      <c r="H1846" t="str">
        <f>"vps-11"</f>
        <v>vps-11</v>
      </c>
      <c r="I1846" t="s">
        <v>6933</v>
      </c>
      <c r="J1846">
        <v>12.388436278835901</v>
      </c>
      <c r="K1846">
        <v>12.2297930348136</v>
      </c>
      <c r="L1846">
        <v>13.1552455952835</v>
      </c>
      <c r="M1846">
        <v>11.6289539044613</v>
      </c>
      <c r="N1846">
        <v>12.7868147239927</v>
      </c>
      <c r="O1846">
        <v>12.9366901351196</v>
      </c>
      <c r="P1846">
        <v>-0.14033871511983301</v>
      </c>
      <c r="Q1846">
        <v>-0.77619267926125102</v>
      </c>
      <c r="R1846">
        <v>0.495515249021584</v>
      </c>
      <c r="S1846">
        <v>12.830101663759701</v>
      </c>
      <c r="T1846">
        <v>-0.46388745286845701</v>
      </c>
      <c r="U1846">
        <v>-7.0440486621222096</v>
      </c>
      <c r="V1846">
        <v>0.64832143521706298</v>
      </c>
      <c r="W1846">
        <v>0.76670814276018995</v>
      </c>
      <c r="X1846">
        <v>0</v>
      </c>
      <c r="Y1846">
        <v>0</v>
      </c>
    </row>
    <row r="1847" spans="1:25" x14ac:dyDescent="0.2">
      <c r="A1847" t="s">
        <v>6934</v>
      </c>
      <c r="B1847" t="s">
        <v>6935</v>
      </c>
      <c r="C1847" t="s">
        <v>6936</v>
      </c>
      <c r="D1847" t="s">
        <v>6937</v>
      </c>
      <c r="E1847" t="s">
        <v>6935</v>
      </c>
      <c r="F1847" t="s">
        <v>28</v>
      </c>
      <c r="G1847" t="s">
        <v>6935</v>
      </c>
      <c r="H1847" t="str">
        <f>"npp-19"</f>
        <v>npp-19</v>
      </c>
      <c r="I1847" t="s">
        <v>6937</v>
      </c>
      <c r="J1847">
        <v>14.3258560269625</v>
      </c>
      <c r="K1847">
        <v>14.248531402427</v>
      </c>
      <c r="L1847">
        <v>14.2096501526634</v>
      </c>
      <c r="M1847" t="s">
        <v>29</v>
      </c>
      <c r="N1847" t="s">
        <v>29</v>
      </c>
      <c r="O1847" t="s">
        <v>29</v>
      </c>
      <c r="P1847" t="s">
        <v>29</v>
      </c>
      <c r="Q1847" t="s">
        <v>29</v>
      </c>
      <c r="R1847" t="s">
        <v>29</v>
      </c>
      <c r="S1847">
        <v>13.918604926843599</v>
      </c>
      <c r="T1847" t="s">
        <v>29</v>
      </c>
      <c r="U1847" t="s">
        <v>29</v>
      </c>
      <c r="V1847" t="s">
        <v>29</v>
      </c>
      <c r="W1847" t="s">
        <v>29</v>
      </c>
      <c r="X1847" t="s">
        <v>29</v>
      </c>
      <c r="Y1847" t="s">
        <v>29</v>
      </c>
    </row>
    <row r="1848" spans="1:25" x14ac:dyDescent="0.2">
      <c r="A1848" t="s">
        <v>6938</v>
      </c>
      <c r="B1848" t="s">
        <v>6939</v>
      </c>
      <c r="C1848" t="s">
        <v>6940</v>
      </c>
      <c r="D1848" t="s">
        <v>6941</v>
      </c>
      <c r="E1848" t="s">
        <v>6939</v>
      </c>
      <c r="F1848" t="s">
        <v>28</v>
      </c>
      <c r="G1848" t="s">
        <v>6939</v>
      </c>
      <c r="H1848" t="str">
        <f>"ech-4"</f>
        <v>ech-4</v>
      </c>
      <c r="I1848" t="s">
        <v>6941</v>
      </c>
      <c r="J1848">
        <v>12.818581236973101</v>
      </c>
      <c r="K1848">
        <v>12.961246800290301</v>
      </c>
      <c r="L1848">
        <v>12.5555868799231</v>
      </c>
      <c r="M1848" t="s">
        <v>29</v>
      </c>
      <c r="N1848">
        <v>12.514639147576499</v>
      </c>
      <c r="O1848">
        <v>13.372473315683299</v>
      </c>
      <c r="P1848">
        <v>0.165084592567734</v>
      </c>
      <c r="Q1848">
        <v>-0.63015937838925595</v>
      </c>
      <c r="R1848">
        <v>0.96032856352472395</v>
      </c>
      <c r="S1848">
        <v>12.755183393725201</v>
      </c>
      <c r="T1848">
        <v>0.44030709820446301</v>
      </c>
      <c r="U1848">
        <v>-6.9438313333911497</v>
      </c>
      <c r="V1848">
        <v>0.66564358147287805</v>
      </c>
      <c r="W1848">
        <v>0.77843318833356001</v>
      </c>
      <c r="X1848">
        <v>0</v>
      </c>
      <c r="Y1848">
        <v>0</v>
      </c>
    </row>
    <row r="1849" spans="1:25" x14ac:dyDescent="0.2">
      <c r="A1849" t="s">
        <v>6942</v>
      </c>
      <c r="B1849" t="s">
        <v>6943</v>
      </c>
      <c r="C1849" t="s">
        <v>6944</v>
      </c>
      <c r="D1849" t="s">
        <v>6945</v>
      </c>
      <c r="E1849" t="s">
        <v>6943</v>
      </c>
      <c r="F1849" t="s">
        <v>28</v>
      </c>
      <c r="G1849" t="s">
        <v>6943</v>
      </c>
      <c r="H1849" t="str">
        <f>"gst-36"</f>
        <v>gst-36</v>
      </c>
      <c r="I1849" t="s">
        <v>6945</v>
      </c>
      <c r="J1849">
        <v>10.9691918970328</v>
      </c>
      <c r="K1849" t="s">
        <v>29</v>
      </c>
      <c r="L1849" t="s">
        <v>29</v>
      </c>
      <c r="M1849" t="s">
        <v>29</v>
      </c>
      <c r="N1849" t="s">
        <v>29</v>
      </c>
      <c r="O1849" t="s">
        <v>29</v>
      </c>
      <c r="P1849" t="s">
        <v>29</v>
      </c>
      <c r="Q1849" t="s">
        <v>29</v>
      </c>
      <c r="R1849" t="s">
        <v>29</v>
      </c>
      <c r="S1849">
        <v>10.792828909760701</v>
      </c>
      <c r="T1849" t="s">
        <v>29</v>
      </c>
      <c r="U1849" t="s">
        <v>29</v>
      </c>
      <c r="V1849" t="s">
        <v>29</v>
      </c>
      <c r="W1849" t="s">
        <v>29</v>
      </c>
      <c r="X1849" t="s">
        <v>29</v>
      </c>
      <c r="Y1849" t="s">
        <v>29</v>
      </c>
    </row>
    <row r="1850" spans="1:25" x14ac:dyDescent="0.2">
      <c r="A1850" t="s">
        <v>6946</v>
      </c>
      <c r="B1850" t="s">
        <v>6947</v>
      </c>
      <c r="C1850" t="s">
        <v>6948</v>
      </c>
      <c r="D1850" t="s">
        <v>6949</v>
      </c>
      <c r="E1850" t="s">
        <v>6947</v>
      </c>
      <c r="F1850" t="s">
        <v>28</v>
      </c>
      <c r="G1850" t="s">
        <v>6947</v>
      </c>
      <c r="H1850" t="str">
        <f>"ptc-1"</f>
        <v>ptc-1</v>
      </c>
      <c r="I1850" t="s">
        <v>6949</v>
      </c>
      <c r="J1850" t="s">
        <v>29</v>
      </c>
      <c r="K1850" t="s">
        <v>29</v>
      </c>
      <c r="L1850">
        <v>10.440413268314201</v>
      </c>
      <c r="M1850" t="s">
        <v>29</v>
      </c>
      <c r="N1850" t="s">
        <v>29</v>
      </c>
      <c r="O1850" t="s">
        <v>29</v>
      </c>
      <c r="P1850" t="s">
        <v>29</v>
      </c>
      <c r="Q1850" t="s">
        <v>29</v>
      </c>
      <c r="R1850" t="s">
        <v>29</v>
      </c>
      <c r="S1850">
        <v>11.650388812658401</v>
      </c>
      <c r="T1850" t="s">
        <v>29</v>
      </c>
      <c r="U1850" t="s">
        <v>29</v>
      </c>
      <c r="V1850" t="s">
        <v>29</v>
      </c>
      <c r="W1850" t="s">
        <v>29</v>
      </c>
      <c r="X1850" t="s">
        <v>29</v>
      </c>
      <c r="Y1850" t="s">
        <v>29</v>
      </c>
    </row>
    <row r="1851" spans="1:25" x14ac:dyDescent="0.2">
      <c r="A1851" t="s">
        <v>6950</v>
      </c>
      <c r="B1851" t="s">
        <v>6951</v>
      </c>
      <c r="C1851" t="s">
        <v>6952</v>
      </c>
      <c r="D1851" t="s">
        <v>6953</v>
      </c>
      <c r="E1851" t="s">
        <v>6951</v>
      </c>
      <c r="F1851" t="s">
        <v>28</v>
      </c>
      <c r="G1851" t="s">
        <v>6951</v>
      </c>
      <c r="H1851" t="str">
        <f>"puf-12"</f>
        <v>puf-12</v>
      </c>
      <c r="I1851" t="s">
        <v>6953</v>
      </c>
      <c r="J1851">
        <v>14.489155758124999</v>
      </c>
      <c r="K1851">
        <v>13.951242919407299</v>
      </c>
      <c r="L1851">
        <v>14.495697496080799</v>
      </c>
      <c r="M1851">
        <v>14.166441947966399</v>
      </c>
      <c r="N1851">
        <v>14.898744340072399</v>
      </c>
      <c r="O1851">
        <v>14.0498376606</v>
      </c>
      <c r="P1851">
        <v>5.9642591675231699E-2</v>
      </c>
      <c r="Q1851">
        <v>-0.61169081027919903</v>
      </c>
      <c r="R1851">
        <v>0.73097599362966204</v>
      </c>
      <c r="S1851">
        <v>15.1525417836142</v>
      </c>
      <c r="T1851">
        <v>0.18672856686917799</v>
      </c>
      <c r="U1851">
        <v>-7.1380217440505698</v>
      </c>
      <c r="V1851">
        <v>0.85397407003889603</v>
      </c>
      <c r="W1851">
        <v>0.90777950544347796</v>
      </c>
      <c r="X1851">
        <v>0</v>
      </c>
      <c r="Y1851">
        <v>0</v>
      </c>
    </row>
    <row r="1852" spans="1:25" x14ac:dyDescent="0.2">
      <c r="A1852" t="s">
        <v>6954</v>
      </c>
      <c r="B1852" t="s">
        <v>6955</v>
      </c>
      <c r="C1852" t="s">
        <v>6956</v>
      </c>
      <c r="D1852" t="s">
        <v>3591</v>
      </c>
      <c r="E1852" t="s">
        <v>6955</v>
      </c>
      <c r="F1852" t="s">
        <v>28</v>
      </c>
      <c r="G1852" t="s">
        <v>6955</v>
      </c>
      <c r="H1852" t="str">
        <f>"pssy-1"</f>
        <v>pssy-1</v>
      </c>
      <c r="I1852" t="s">
        <v>3591</v>
      </c>
      <c r="J1852">
        <v>12.617113801865001</v>
      </c>
      <c r="K1852">
        <v>12.6451603452421</v>
      </c>
      <c r="L1852">
        <v>12.9412094934507</v>
      </c>
      <c r="M1852">
        <v>12.678076308976401</v>
      </c>
      <c r="N1852" t="s">
        <v>29</v>
      </c>
      <c r="O1852">
        <v>12.3056731028052</v>
      </c>
      <c r="P1852">
        <v>-0.24261984096174899</v>
      </c>
      <c r="Q1852">
        <v>-0.80130474047886802</v>
      </c>
      <c r="R1852">
        <v>0.31606505855536898</v>
      </c>
      <c r="S1852">
        <v>12.8215583250488</v>
      </c>
      <c r="T1852">
        <v>-0.92110451348328304</v>
      </c>
      <c r="U1852">
        <v>-6.6095465452497999</v>
      </c>
      <c r="V1852">
        <v>0.37076532983846</v>
      </c>
      <c r="W1852">
        <v>0.53798396210435395</v>
      </c>
      <c r="X1852">
        <v>0</v>
      </c>
      <c r="Y1852">
        <v>0</v>
      </c>
    </row>
    <row r="1853" spans="1:25" x14ac:dyDescent="0.2">
      <c r="A1853" t="s">
        <v>6957</v>
      </c>
      <c r="B1853" t="s">
        <v>6958</v>
      </c>
      <c r="C1853" t="s">
        <v>6959</v>
      </c>
      <c r="D1853" t="s">
        <v>6960</v>
      </c>
      <c r="E1853" t="s">
        <v>6958</v>
      </c>
      <c r="F1853" t="s">
        <v>28</v>
      </c>
      <c r="G1853" t="s">
        <v>6958</v>
      </c>
      <c r="H1853" t="str">
        <f>"ZK1128.1"</f>
        <v>ZK1128.1</v>
      </c>
      <c r="I1853" t="s">
        <v>6960</v>
      </c>
      <c r="J1853">
        <v>13.191698137588</v>
      </c>
      <c r="K1853">
        <v>12.476670415707501</v>
      </c>
      <c r="L1853">
        <v>13.3358864255545</v>
      </c>
      <c r="M1853" t="s">
        <v>29</v>
      </c>
      <c r="N1853">
        <v>12.9479521840522</v>
      </c>
      <c r="O1853">
        <v>13.309612039026799</v>
      </c>
      <c r="P1853">
        <v>0.12736378525613601</v>
      </c>
      <c r="Q1853">
        <v>-0.46356367490831701</v>
      </c>
      <c r="R1853">
        <v>0.71829124542058997</v>
      </c>
      <c r="S1853">
        <v>12.9102118173181</v>
      </c>
      <c r="T1853">
        <v>0.45494804072557998</v>
      </c>
      <c r="U1853">
        <v>-6.9373423788708202</v>
      </c>
      <c r="V1853">
        <v>0.65493822583633599</v>
      </c>
      <c r="W1853">
        <v>0.77084374377841003</v>
      </c>
      <c r="X1853">
        <v>0</v>
      </c>
      <c r="Y1853">
        <v>0</v>
      </c>
    </row>
    <row r="1854" spans="1:25" x14ac:dyDescent="0.2">
      <c r="A1854" t="s">
        <v>6961</v>
      </c>
      <c r="B1854" t="s">
        <v>6962</v>
      </c>
      <c r="C1854" t="s">
        <v>6963</v>
      </c>
      <c r="D1854" t="s">
        <v>6964</v>
      </c>
      <c r="E1854" t="s">
        <v>6962</v>
      </c>
      <c r="F1854" t="s">
        <v>28</v>
      </c>
      <c r="G1854" t="s">
        <v>6962</v>
      </c>
      <c r="H1854" t="str">
        <f>"gtf-2h3"</f>
        <v>gtf-2h3</v>
      </c>
      <c r="I1854" t="s">
        <v>6964</v>
      </c>
      <c r="J1854">
        <v>10.6756034699282</v>
      </c>
      <c r="K1854">
        <v>10.169374247017901</v>
      </c>
      <c r="L1854">
        <v>10.944200305678599</v>
      </c>
      <c r="M1854" t="s">
        <v>29</v>
      </c>
      <c r="N1854" t="s">
        <v>29</v>
      </c>
      <c r="O1854">
        <v>9.3979813571378301</v>
      </c>
      <c r="P1854">
        <v>-1.1984113170703901</v>
      </c>
      <c r="Q1854">
        <v>-2.0009355898032699</v>
      </c>
      <c r="R1854">
        <v>-0.39588704433750999</v>
      </c>
      <c r="S1854">
        <v>10.7797623979994</v>
      </c>
      <c r="T1854">
        <v>-3.2287540898550899</v>
      </c>
      <c r="U1854">
        <v>-2.7628014723232801</v>
      </c>
      <c r="V1854">
        <v>6.6539798869131297E-3</v>
      </c>
      <c r="W1854">
        <v>3.4196448044093802E-2</v>
      </c>
      <c r="X1854">
        <v>-1</v>
      </c>
      <c r="Y1854">
        <v>-1</v>
      </c>
    </row>
    <row r="1855" spans="1:25" x14ac:dyDescent="0.2">
      <c r="A1855" t="s">
        <v>6965</v>
      </c>
      <c r="B1855" t="s">
        <v>6966</v>
      </c>
      <c r="C1855" t="s">
        <v>6967</v>
      </c>
      <c r="D1855" t="s">
        <v>6968</v>
      </c>
      <c r="E1855" t="s">
        <v>6966</v>
      </c>
      <c r="F1855" t="s">
        <v>28</v>
      </c>
      <c r="G1855" t="s">
        <v>6966</v>
      </c>
      <c r="H1855" t="str">
        <f>"ham-3"</f>
        <v>ham-3</v>
      </c>
      <c r="I1855" t="s">
        <v>6968</v>
      </c>
      <c r="J1855">
        <v>12.5615698292142</v>
      </c>
      <c r="K1855">
        <v>12.2126909069689</v>
      </c>
      <c r="L1855">
        <v>12.166414851763699</v>
      </c>
      <c r="M1855" t="s">
        <v>29</v>
      </c>
      <c r="N1855" t="s">
        <v>29</v>
      </c>
      <c r="O1855">
        <v>12.4245240089483</v>
      </c>
      <c r="P1855">
        <v>0.110965479632688</v>
      </c>
      <c r="Q1855">
        <v>-0.445751399199109</v>
      </c>
      <c r="R1855">
        <v>0.66768235846448398</v>
      </c>
      <c r="S1855">
        <v>12.0970238014828</v>
      </c>
      <c r="T1855">
        <v>0.42276890375172399</v>
      </c>
      <c r="U1855">
        <v>-6.71936746455538</v>
      </c>
      <c r="V1855">
        <v>0.67812781022102697</v>
      </c>
      <c r="W1855">
        <v>0.78834029850941501</v>
      </c>
      <c r="X1855">
        <v>0</v>
      </c>
      <c r="Y1855">
        <v>0</v>
      </c>
    </row>
    <row r="1856" spans="1:25" x14ac:dyDescent="0.2">
      <c r="A1856" t="s">
        <v>6969</v>
      </c>
      <c r="B1856" t="s">
        <v>6970</v>
      </c>
      <c r="C1856" t="s">
        <v>6971</v>
      </c>
      <c r="D1856" t="s">
        <v>6972</v>
      </c>
      <c r="E1856" t="s">
        <v>6970</v>
      </c>
      <c r="F1856" t="s">
        <v>28</v>
      </c>
      <c r="G1856" t="s">
        <v>6970</v>
      </c>
      <c r="H1856" t="str">
        <f>"ZK1307.9"</f>
        <v>ZK1307.9</v>
      </c>
      <c r="I1856" t="s">
        <v>6972</v>
      </c>
      <c r="J1856" t="s">
        <v>29</v>
      </c>
      <c r="K1856" t="s">
        <v>29</v>
      </c>
      <c r="L1856" t="s">
        <v>29</v>
      </c>
      <c r="M1856" t="s">
        <v>29</v>
      </c>
      <c r="N1856" t="s">
        <v>29</v>
      </c>
      <c r="O1856" t="s">
        <v>29</v>
      </c>
      <c r="P1856" t="s">
        <v>29</v>
      </c>
      <c r="Q1856" t="s">
        <v>29</v>
      </c>
      <c r="R1856" t="s">
        <v>29</v>
      </c>
      <c r="S1856">
        <v>12.097889402192299</v>
      </c>
      <c r="T1856" t="s">
        <v>29</v>
      </c>
      <c r="U1856" t="s">
        <v>29</v>
      </c>
      <c r="V1856" t="s">
        <v>29</v>
      </c>
      <c r="W1856" t="s">
        <v>29</v>
      </c>
      <c r="X1856" t="s">
        <v>29</v>
      </c>
      <c r="Y1856" t="s">
        <v>29</v>
      </c>
    </row>
    <row r="1857" spans="1:25" x14ac:dyDescent="0.2">
      <c r="A1857" t="s">
        <v>6973</v>
      </c>
      <c r="B1857" t="s">
        <v>6974</v>
      </c>
      <c r="C1857" t="s">
        <v>14428</v>
      </c>
      <c r="D1857" t="s">
        <v>6975</v>
      </c>
      <c r="E1857" t="s">
        <v>6974</v>
      </c>
      <c r="F1857" t="s">
        <v>28</v>
      </c>
      <c r="G1857" t="s">
        <v>6974</v>
      </c>
      <c r="H1857" t="str">
        <f>"ZK1320.9"</f>
        <v>ZK1320.9</v>
      </c>
      <c r="I1857" t="s">
        <v>6975</v>
      </c>
      <c r="J1857">
        <v>12.3888256674394</v>
      </c>
      <c r="K1857">
        <v>11.9700463528097</v>
      </c>
      <c r="L1857">
        <v>11.9640909642173</v>
      </c>
      <c r="M1857" t="s">
        <v>29</v>
      </c>
      <c r="N1857" t="s">
        <v>29</v>
      </c>
      <c r="O1857">
        <v>12.651137518394</v>
      </c>
      <c r="P1857">
        <v>0.543483190238508</v>
      </c>
      <c r="Q1857">
        <v>-0.16288713951491399</v>
      </c>
      <c r="R1857">
        <v>1.2498535199919301</v>
      </c>
      <c r="S1857">
        <v>11.989338421796401</v>
      </c>
      <c r="T1857">
        <v>1.6319362780545099</v>
      </c>
      <c r="U1857">
        <v>-5.5208752337554703</v>
      </c>
      <c r="V1857">
        <v>0.122343375950793</v>
      </c>
      <c r="W1857">
        <v>0.25142672867990701</v>
      </c>
      <c r="X1857">
        <v>0</v>
      </c>
      <c r="Y1857">
        <v>0</v>
      </c>
    </row>
    <row r="1858" spans="1:25" x14ac:dyDescent="0.2">
      <c r="A1858" t="s">
        <v>6976</v>
      </c>
      <c r="B1858" t="s">
        <v>6977</v>
      </c>
      <c r="C1858" t="s">
        <v>6978</v>
      </c>
      <c r="D1858" t="s">
        <v>6979</v>
      </c>
      <c r="E1858" t="s">
        <v>6977</v>
      </c>
      <c r="F1858" t="s">
        <v>28</v>
      </c>
      <c r="G1858" t="s">
        <v>6977</v>
      </c>
      <c r="H1858" t="str">
        <f>"cyp-44A1"</f>
        <v>cyp-44A1</v>
      </c>
      <c r="I1858" t="s">
        <v>6979</v>
      </c>
      <c r="J1858">
        <v>10.526580405224401</v>
      </c>
      <c r="K1858" t="s">
        <v>29</v>
      </c>
      <c r="L1858">
        <v>10.4564049637161</v>
      </c>
      <c r="M1858" t="s">
        <v>29</v>
      </c>
      <c r="N1858" t="s">
        <v>29</v>
      </c>
      <c r="O1858">
        <v>10.588552583244701</v>
      </c>
      <c r="P1858">
        <v>9.7059898774439504E-2</v>
      </c>
      <c r="Q1858">
        <v>-0.88430076843015804</v>
      </c>
      <c r="R1858">
        <v>1.07842056597904</v>
      </c>
      <c r="S1858">
        <v>10.851889633722299</v>
      </c>
      <c r="T1858">
        <v>0.213844670418469</v>
      </c>
      <c r="U1858">
        <v>-6.7302830770175897</v>
      </c>
      <c r="V1858">
        <v>0.83401232588079999</v>
      </c>
      <c r="W1858">
        <v>0.89505984135859995</v>
      </c>
      <c r="X1858">
        <v>0</v>
      </c>
      <c r="Y1858">
        <v>0</v>
      </c>
    </row>
    <row r="1859" spans="1:25" x14ac:dyDescent="0.2">
      <c r="A1859" t="s">
        <v>6980</v>
      </c>
      <c r="B1859" t="s">
        <v>6981</v>
      </c>
      <c r="C1859" t="s">
        <v>6982</v>
      </c>
      <c r="D1859" t="s">
        <v>6983</v>
      </c>
      <c r="E1859" t="s">
        <v>6981</v>
      </c>
      <c r="F1859" t="s">
        <v>28</v>
      </c>
      <c r="G1859" t="s">
        <v>6981</v>
      </c>
      <c r="H1859" t="str">
        <f>"K02C4.3"</f>
        <v>K02C4.3</v>
      </c>
      <c r="I1859" t="s">
        <v>6983</v>
      </c>
      <c r="J1859">
        <v>11.752020706658501</v>
      </c>
      <c r="K1859">
        <v>12.219091169347299</v>
      </c>
      <c r="L1859">
        <v>12.198473056035301</v>
      </c>
      <c r="M1859" t="s">
        <v>29</v>
      </c>
      <c r="N1859">
        <v>12.159960063578801</v>
      </c>
      <c r="O1859">
        <v>12.1519524389207</v>
      </c>
      <c r="P1859">
        <v>9.9427940569345494E-2</v>
      </c>
      <c r="Q1859">
        <v>-0.482786573642141</v>
      </c>
      <c r="R1859">
        <v>0.68164245478083196</v>
      </c>
      <c r="S1859">
        <v>12.1068295371332</v>
      </c>
      <c r="T1859">
        <v>0.36047523141080301</v>
      </c>
      <c r="U1859">
        <v>-6.9774335907954796</v>
      </c>
      <c r="V1859">
        <v>0.72295906444039904</v>
      </c>
      <c r="W1859">
        <v>0.82197544865195105</v>
      </c>
      <c r="X1859">
        <v>0</v>
      </c>
      <c r="Y1859">
        <v>0</v>
      </c>
    </row>
    <row r="1860" spans="1:25" x14ac:dyDescent="0.2">
      <c r="A1860" t="s">
        <v>6984</v>
      </c>
      <c r="B1860" t="s">
        <v>6985</v>
      </c>
      <c r="C1860" t="s">
        <v>6986</v>
      </c>
      <c r="D1860" t="s">
        <v>6987</v>
      </c>
      <c r="E1860" t="s">
        <v>6985</v>
      </c>
      <c r="F1860" t="s">
        <v>28</v>
      </c>
      <c r="G1860" t="s">
        <v>6985</v>
      </c>
      <c r="H1860" t="str">
        <f>"C53C9.2"</f>
        <v>C53C9.2</v>
      </c>
      <c r="I1860" t="s">
        <v>6987</v>
      </c>
      <c r="J1860">
        <v>13.909281422493001</v>
      </c>
      <c r="K1860">
        <v>13.577777128031</v>
      </c>
      <c r="L1860">
        <v>13.3828661767312</v>
      </c>
      <c r="M1860" t="s">
        <v>29</v>
      </c>
      <c r="N1860">
        <v>11.389915054005201</v>
      </c>
      <c r="O1860">
        <v>12.326092021482101</v>
      </c>
      <c r="P1860">
        <v>-1.7653047046747501</v>
      </c>
      <c r="Q1860">
        <v>-2.2417644840071702</v>
      </c>
      <c r="R1860">
        <v>-1.28884492534232</v>
      </c>
      <c r="S1860">
        <v>13.109149369818301</v>
      </c>
      <c r="T1860">
        <v>-7.8206607383553397</v>
      </c>
      <c r="U1860">
        <v>6.4102346132259003</v>
      </c>
      <c r="V1860" s="2">
        <v>5.1729764134680104E-7</v>
      </c>
      <c r="W1860" s="2">
        <v>2.8095992531541701E-5</v>
      </c>
      <c r="X1860">
        <v>-1</v>
      </c>
      <c r="Y1860">
        <v>-1</v>
      </c>
    </row>
    <row r="1861" spans="1:25" x14ac:dyDescent="0.2">
      <c r="A1861" t="s">
        <v>6988</v>
      </c>
      <c r="B1861" t="s">
        <v>6989</v>
      </c>
      <c r="C1861" t="s">
        <v>6990</v>
      </c>
      <c r="D1861" t="s">
        <v>6991</v>
      </c>
      <c r="E1861" t="s">
        <v>6989</v>
      </c>
      <c r="F1861" t="s">
        <v>28</v>
      </c>
      <c r="G1861" t="s">
        <v>6989</v>
      </c>
      <c r="H1861" t="str">
        <f>"sfxn-2"</f>
        <v>sfxn-2</v>
      </c>
      <c r="I1861" t="s">
        <v>6991</v>
      </c>
      <c r="J1861">
        <v>13.5916224527481</v>
      </c>
      <c r="K1861">
        <v>13.402013087847299</v>
      </c>
      <c r="L1861">
        <v>13.4424533517433</v>
      </c>
      <c r="M1861" t="s">
        <v>29</v>
      </c>
      <c r="N1861">
        <v>13.3767568249019</v>
      </c>
      <c r="O1861">
        <v>13.4349594467458</v>
      </c>
      <c r="P1861">
        <v>-7.2838161622369696E-2</v>
      </c>
      <c r="Q1861">
        <v>-0.57681293771763498</v>
      </c>
      <c r="R1861">
        <v>0.43113661447289597</v>
      </c>
      <c r="S1861">
        <v>13.202034030763</v>
      </c>
      <c r="T1861">
        <v>-0.30507048225275302</v>
      </c>
      <c r="U1861">
        <v>-6.9966887217619798</v>
      </c>
      <c r="V1861">
        <v>0.76403873840977299</v>
      </c>
      <c r="W1861">
        <v>0.85056167035873198</v>
      </c>
      <c r="X1861">
        <v>0</v>
      </c>
      <c r="Y1861">
        <v>0</v>
      </c>
    </row>
    <row r="1862" spans="1:25" x14ac:dyDescent="0.2">
      <c r="A1862" t="s">
        <v>6992</v>
      </c>
      <c r="B1862" t="s">
        <v>6993</v>
      </c>
      <c r="C1862" t="s">
        <v>6994</v>
      </c>
      <c r="D1862" t="s">
        <v>6995</v>
      </c>
      <c r="E1862" t="s">
        <v>6993</v>
      </c>
      <c r="F1862" t="s">
        <v>28</v>
      </c>
      <c r="G1862" t="s">
        <v>6993</v>
      </c>
      <c r="H1862" t="str">
        <f>"C17G10.1"</f>
        <v>C17G10.1</v>
      </c>
      <c r="I1862" t="s">
        <v>6995</v>
      </c>
      <c r="J1862">
        <v>13.592923351315299</v>
      </c>
      <c r="K1862">
        <v>13.1956342773712</v>
      </c>
      <c r="L1862">
        <v>13.332250905651801</v>
      </c>
      <c r="M1862" t="s">
        <v>29</v>
      </c>
      <c r="N1862">
        <v>11.3340915811833</v>
      </c>
      <c r="O1862">
        <v>11.8663095106693</v>
      </c>
      <c r="P1862">
        <v>-1.77340229885307</v>
      </c>
      <c r="Q1862">
        <v>-2.2805211739472599</v>
      </c>
      <c r="R1862">
        <v>-1.26628342375888</v>
      </c>
      <c r="S1862">
        <v>12.840562098064</v>
      </c>
      <c r="T1862">
        <v>-7.3815489631494504</v>
      </c>
      <c r="U1862">
        <v>5.6359860661441701</v>
      </c>
      <c r="V1862" s="2">
        <v>1.11346129445081E-6</v>
      </c>
      <c r="W1862" s="2">
        <v>5.12714130429146E-5</v>
      </c>
      <c r="X1862">
        <v>-1</v>
      </c>
      <c r="Y1862">
        <v>-1</v>
      </c>
    </row>
    <row r="1863" spans="1:25" x14ac:dyDescent="0.2">
      <c r="A1863" t="s">
        <v>6996</v>
      </c>
      <c r="B1863" t="s">
        <v>6997</v>
      </c>
      <c r="C1863" t="s">
        <v>6998</v>
      </c>
      <c r="D1863" t="s">
        <v>6999</v>
      </c>
      <c r="E1863" t="s">
        <v>6997</v>
      </c>
      <c r="F1863" t="s">
        <v>28</v>
      </c>
      <c r="G1863" t="s">
        <v>6997</v>
      </c>
      <c r="H1863" t="str">
        <f>"lys-8"</f>
        <v>lys-8</v>
      </c>
      <c r="I1863" t="s">
        <v>6999</v>
      </c>
      <c r="J1863" t="s">
        <v>29</v>
      </c>
      <c r="K1863" t="s">
        <v>29</v>
      </c>
      <c r="L1863" t="s">
        <v>29</v>
      </c>
      <c r="M1863" t="s">
        <v>29</v>
      </c>
      <c r="N1863" t="s">
        <v>29</v>
      </c>
      <c r="O1863" t="s">
        <v>29</v>
      </c>
      <c r="P1863" t="s">
        <v>29</v>
      </c>
      <c r="Q1863" t="s">
        <v>29</v>
      </c>
      <c r="R1863" t="s">
        <v>29</v>
      </c>
      <c r="S1863">
        <v>13.1262191349846</v>
      </c>
      <c r="T1863" t="s">
        <v>29</v>
      </c>
      <c r="U1863" t="s">
        <v>29</v>
      </c>
      <c r="V1863" t="s">
        <v>29</v>
      </c>
      <c r="W1863" t="s">
        <v>29</v>
      </c>
      <c r="X1863" t="s">
        <v>29</v>
      </c>
      <c r="Y1863" t="s">
        <v>29</v>
      </c>
    </row>
    <row r="1864" spans="1:25" x14ac:dyDescent="0.2">
      <c r="A1864" t="s">
        <v>7000</v>
      </c>
      <c r="B1864" t="s">
        <v>7001</v>
      </c>
      <c r="C1864" t="s">
        <v>7002</v>
      </c>
      <c r="D1864" t="s">
        <v>7003</v>
      </c>
      <c r="E1864" t="s">
        <v>7001</v>
      </c>
      <c r="F1864" t="s">
        <v>28</v>
      </c>
      <c r="G1864" t="s">
        <v>7001</v>
      </c>
      <c r="H1864" t="str">
        <f>"dhs-6"</f>
        <v>dhs-6</v>
      </c>
      <c r="I1864" t="s">
        <v>7003</v>
      </c>
      <c r="J1864">
        <v>13.834139939857</v>
      </c>
      <c r="K1864">
        <v>13.5325729113836</v>
      </c>
      <c r="L1864">
        <v>13.614637708815399</v>
      </c>
      <c r="M1864">
        <v>13.371860226216899</v>
      </c>
      <c r="N1864">
        <v>13.2053935716057</v>
      </c>
      <c r="O1864">
        <v>13.473449084809101</v>
      </c>
      <c r="P1864">
        <v>-0.31021589247475301</v>
      </c>
      <c r="Q1864">
        <v>-0.66859545157801603</v>
      </c>
      <c r="R1864">
        <v>4.8163666628509502E-2</v>
      </c>
      <c r="S1864">
        <v>13.545575967501501</v>
      </c>
      <c r="T1864">
        <v>-1.81933772698445</v>
      </c>
      <c r="U1864">
        <v>-5.5633303693918696</v>
      </c>
      <c r="V1864">
        <v>8.5632888953266095E-2</v>
      </c>
      <c r="W1864">
        <v>0.196107573607886</v>
      </c>
      <c r="X1864">
        <v>0</v>
      </c>
      <c r="Y1864">
        <v>0</v>
      </c>
    </row>
    <row r="1865" spans="1:25" x14ac:dyDescent="0.2">
      <c r="A1865" t="s">
        <v>7004</v>
      </c>
      <c r="B1865" t="s">
        <v>7005</v>
      </c>
      <c r="C1865" t="s">
        <v>7006</v>
      </c>
      <c r="D1865" t="s">
        <v>7007</v>
      </c>
      <c r="E1865" t="s">
        <v>7005</v>
      </c>
      <c r="F1865" t="s">
        <v>28</v>
      </c>
      <c r="G1865" t="s">
        <v>7005</v>
      </c>
      <c r="H1865" t="str">
        <f>"lin-23"</f>
        <v>lin-23</v>
      </c>
      <c r="I1865" t="s">
        <v>7007</v>
      </c>
      <c r="J1865">
        <v>13.63141074845</v>
      </c>
      <c r="K1865">
        <v>13.7633152770407</v>
      </c>
      <c r="L1865">
        <v>13.465911065561199</v>
      </c>
      <c r="M1865" t="s">
        <v>29</v>
      </c>
      <c r="N1865">
        <v>13.2071779837515</v>
      </c>
      <c r="O1865">
        <v>13.512505541960399</v>
      </c>
      <c r="P1865">
        <v>-0.26037060082804198</v>
      </c>
      <c r="Q1865">
        <v>-0.72966705969240397</v>
      </c>
      <c r="R1865">
        <v>0.20892585803632099</v>
      </c>
      <c r="S1865">
        <v>13.242206124716599</v>
      </c>
      <c r="T1865">
        <v>-1.17110188822267</v>
      </c>
      <c r="U1865">
        <v>-6.3525263436998198</v>
      </c>
      <c r="V1865">
        <v>0.257810481179575</v>
      </c>
      <c r="W1865">
        <v>0.42492588816342702</v>
      </c>
      <c r="X1865">
        <v>0</v>
      </c>
      <c r="Y1865">
        <v>0</v>
      </c>
    </row>
    <row r="1866" spans="1:25" x14ac:dyDescent="0.2">
      <c r="A1866" t="s">
        <v>7008</v>
      </c>
      <c r="B1866" t="s">
        <v>7009</v>
      </c>
      <c r="C1866" t="s">
        <v>7010</v>
      </c>
      <c r="D1866" t="s">
        <v>7011</v>
      </c>
      <c r="E1866" t="s">
        <v>7009</v>
      </c>
      <c r="F1866" t="s">
        <v>28</v>
      </c>
      <c r="G1866" t="s">
        <v>7009</v>
      </c>
      <c r="H1866" t="str">
        <f>"ani-2"</f>
        <v>ani-2</v>
      </c>
      <c r="I1866" t="s">
        <v>7011</v>
      </c>
      <c r="J1866">
        <v>13.573245780889</v>
      </c>
      <c r="K1866">
        <v>13.4404975803879</v>
      </c>
      <c r="L1866">
        <v>13.639955258270399</v>
      </c>
      <c r="M1866" t="s">
        <v>29</v>
      </c>
      <c r="N1866">
        <v>12.882336172854799</v>
      </c>
      <c r="O1866">
        <v>13.0166519631101</v>
      </c>
      <c r="P1866">
        <v>-0.60173880519996303</v>
      </c>
      <c r="Q1866">
        <v>-1.24325165422954</v>
      </c>
      <c r="R1866">
        <v>3.9774043829609501E-2</v>
      </c>
      <c r="S1866">
        <v>13.910644309191101</v>
      </c>
      <c r="T1866">
        <v>-1.9799429337126799</v>
      </c>
      <c r="U1866">
        <v>-5.1938844659374697</v>
      </c>
      <c r="V1866">
        <v>6.4237504898495501E-2</v>
      </c>
      <c r="W1866">
        <v>0.162425583074498</v>
      </c>
      <c r="X1866">
        <v>0</v>
      </c>
      <c r="Y1866">
        <v>0</v>
      </c>
    </row>
    <row r="1867" spans="1:25" x14ac:dyDescent="0.2">
      <c r="A1867" t="s">
        <v>7012</v>
      </c>
      <c r="B1867" t="s">
        <v>7013</v>
      </c>
      <c r="C1867" t="s">
        <v>7014</v>
      </c>
      <c r="D1867" t="s">
        <v>7015</v>
      </c>
      <c r="E1867" t="s">
        <v>7013</v>
      </c>
      <c r="F1867" t="s">
        <v>28</v>
      </c>
      <c r="G1867" t="s">
        <v>7013</v>
      </c>
      <c r="H1867" t="str">
        <f>"lars-1"</f>
        <v>lars-1</v>
      </c>
      <c r="I1867" t="s">
        <v>7015</v>
      </c>
      <c r="J1867">
        <v>16.643555325865801</v>
      </c>
      <c r="K1867">
        <v>16.534528445448501</v>
      </c>
      <c r="L1867">
        <v>16.569762931984101</v>
      </c>
      <c r="M1867">
        <v>16.2890875328332</v>
      </c>
      <c r="N1867">
        <v>16.320152937305402</v>
      </c>
      <c r="O1867">
        <v>16.475068275800599</v>
      </c>
      <c r="P1867">
        <v>-0.22117931911973801</v>
      </c>
      <c r="Q1867">
        <v>-0.54193752340972801</v>
      </c>
      <c r="R1867">
        <v>9.9578885170252401E-2</v>
      </c>
      <c r="S1867">
        <v>16.487272832035899</v>
      </c>
      <c r="T1867">
        <v>-1.4493032178319001</v>
      </c>
      <c r="U1867">
        <v>-6.1143813150050601</v>
      </c>
      <c r="V1867">
        <v>0.16455169364442801</v>
      </c>
      <c r="W1867">
        <v>0.31326475527786102</v>
      </c>
      <c r="X1867">
        <v>0</v>
      </c>
      <c r="Y1867">
        <v>0</v>
      </c>
    </row>
    <row r="1868" spans="1:25" x14ac:dyDescent="0.2">
      <c r="A1868" t="s">
        <v>7016</v>
      </c>
      <c r="B1868" t="s">
        <v>7017</v>
      </c>
      <c r="C1868" t="s">
        <v>14429</v>
      </c>
      <c r="D1868" t="s">
        <v>368</v>
      </c>
      <c r="E1868" t="s">
        <v>7017</v>
      </c>
      <c r="F1868" t="s">
        <v>28</v>
      </c>
      <c r="G1868" t="s">
        <v>7017</v>
      </c>
      <c r="H1868" t="str">
        <f>"K07A1.17"</f>
        <v>K07A1.17</v>
      </c>
      <c r="I1868" t="s">
        <v>368</v>
      </c>
      <c r="J1868">
        <v>11.9169558668217</v>
      </c>
      <c r="K1868" t="s">
        <v>29</v>
      </c>
      <c r="L1868">
        <v>12.4994288607322</v>
      </c>
      <c r="M1868" t="s">
        <v>29</v>
      </c>
      <c r="N1868" t="s">
        <v>29</v>
      </c>
      <c r="O1868" t="s">
        <v>29</v>
      </c>
      <c r="P1868" t="s">
        <v>29</v>
      </c>
      <c r="Q1868" t="s">
        <v>29</v>
      </c>
      <c r="R1868" t="s">
        <v>29</v>
      </c>
      <c r="S1868">
        <v>12.6626029497899</v>
      </c>
      <c r="T1868" t="s">
        <v>29</v>
      </c>
      <c r="U1868" t="s">
        <v>29</v>
      </c>
      <c r="V1868" t="s">
        <v>29</v>
      </c>
      <c r="W1868" t="s">
        <v>29</v>
      </c>
      <c r="X1868" t="s">
        <v>29</v>
      </c>
      <c r="Y1868" t="s">
        <v>29</v>
      </c>
    </row>
    <row r="1869" spans="1:25" x14ac:dyDescent="0.2">
      <c r="A1869" t="s">
        <v>7018</v>
      </c>
      <c r="B1869" t="s">
        <v>7019</v>
      </c>
      <c r="C1869" t="s">
        <v>7020</v>
      </c>
      <c r="D1869" t="s">
        <v>7021</v>
      </c>
      <c r="E1869" t="s">
        <v>7019</v>
      </c>
      <c r="F1869" t="s">
        <v>28</v>
      </c>
      <c r="G1869" t="s">
        <v>7019</v>
      </c>
      <c r="H1869" t="str">
        <f>"che-10"</f>
        <v>che-10</v>
      </c>
      <c r="I1869" t="s">
        <v>7021</v>
      </c>
      <c r="J1869">
        <v>12.594757543619099</v>
      </c>
      <c r="K1869">
        <v>14.0176007970187</v>
      </c>
      <c r="L1869">
        <v>12.1162979179832</v>
      </c>
      <c r="M1869" t="s">
        <v>29</v>
      </c>
      <c r="N1869" t="s">
        <v>29</v>
      </c>
      <c r="O1869">
        <v>13.091208951177199</v>
      </c>
      <c r="P1869">
        <v>0.18165686497015099</v>
      </c>
      <c r="Q1869">
        <v>-1.2094233743946801</v>
      </c>
      <c r="R1869">
        <v>1.57273710433499</v>
      </c>
      <c r="S1869">
        <v>12.505275776064201</v>
      </c>
      <c r="T1869">
        <v>0.28027962404126899</v>
      </c>
      <c r="U1869">
        <v>-6.7712131228390602</v>
      </c>
      <c r="V1869">
        <v>0.78339254500820499</v>
      </c>
      <c r="W1869">
        <v>0.86401864900418401</v>
      </c>
      <c r="X1869">
        <v>0</v>
      </c>
      <c r="Y1869">
        <v>0</v>
      </c>
    </row>
    <row r="1870" spans="1:25" x14ac:dyDescent="0.2">
      <c r="A1870" t="s">
        <v>7022</v>
      </c>
      <c r="B1870" t="s">
        <v>7023</v>
      </c>
      <c r="C1870" t="s">
        <v>7024</v>
      </c>
      <c r="D1870" t="s">
        <v>7025</v>
      </c>
      <c r="E1870" t="s">
        <v>7023</v>
      </c>
      <c r="F1870" t="s">
        <v>28</v>
      </c>
      <c r="G1870" t="s">
        <v>7023</v>
      </c>
      <c r="H1870" t="str">
        <f>"tax-6"</f>
        <v>tax-6</v>
      </c>
      <c r="I1870" t="s">
        <v>7025</v>
      </c>
      <c r="J1870">
        <v>12.6551417606989</v>
      </c>
      <c r="K1870">
        <v>13.243100943012401</v>
      </c>
      <c r="L1870">
        <v>12.872474932960699</v>
      </c>
      <c r="M1870">
        <v>13.535084232240701</v>
      </c>
      <c r="N1870">
        <v>13.948133821530099</v>
      </c>
      <c r="O1870">
        <v>13.668288452173099</v>
      </c>
      <c r="P1870">
        <v>0.79359628975730701</v>
      </c>
      <c r="Q1870">
        <v>0.17977008458188101</v>
      </c>
      <c r="R1870">
        <v>1.4074224949327301</v>
      </c>
      <c r="S1870">
        <v>12.862389910357701</v>
      </c>
      <c r="T1870">
        <v>2.7173571122087301</v>
      </c>
      <c r="U1870">
        <v>-3.9158386558427498</v>
      </c>
      <c r="V1870">
        <v>1.4171874587648301E-2</v>
      </c>
      <c r="W1870">
        <v>5.8248974072244802E-2</v>
      </c>
      <c r="X1870">
        <v>0</v>
      </c>
      <c r="Y1870">
        <v>0</v>
      </c>
    </row>
    <row r="1871" spans="1:25" x14ac:dyDescent="0.2">
      <c r="A1871" t="s">
        <v>7026</v>
      </c>
      <c r="B1871" t="s">
        <v>7027</v>
      </c>
      <c r="C1871" t="s">
        <v>14430</v>
      </c>
      <c r="D1871" t="s">
        <v>2355</v>
      </c>
      <c r="E1871" t="s">
        <v>7027</v>
      </c>
      <c r="F1871" t="s">
        <v>28</v>
      </c>
      <c r="G1871" t="s">
        <v>7027</v>
      </c>
      <c r="H1871" t="str">
        <f>"F40F8.11"</f>
        <v>F40F8.11</v>
      </c>
      <c r="I1871" t="s">
        <v>2355</v>
      </c>
      <c r="J1871">
        <v>12.082257872563501</v>
      </c>
      <c r="K1871">
        <v>11.9827992392282</v>
      </c>
      <c r="L1871">
        <v>12.1065386428014</v>
      </c>
      <c r="M1871" t="s">
        <v>29</v>
      </c>
      <c r="N1871">
        <v>13.3489335434179</v>
      </c>
      <c r="O1871">
        <v>13.092133509656801</v>
      </c>
      <c r="P1871">
        <v>1.1633349416730101</v>
      </c>
      <c r="Q1871">
        <v>0.72810152965755104</v>
      </c>
      <c r="R1871">
        <v>1.5985683536884601</v>
      </c>
      <c r="S1871">
        <v>12.6227883532175</v>
      </c>
      <c r="T1871">
        <v>5.6419931937739296</v>
      </c>
      <c r="U1871">
        <v>2.30730956136712</v>
      </c>
      <c r="V1871" s="2">
        <v>2.9965134005043399E-5</v>
      </c>
      <c r="W1871">
        <v>6.7486769607727004E-4</v>
      </c>
      <c r="X1871">
        <v>1</v>
      </c>
      <c r="Y1871">
        <v>1</v>
      </c>
    </row>
    <row r="1872" spans="1:25" x14ac:dyDescent="0.2">
      <c r="A1872" t="s">
        <v>7028</v>
      </c>
      <c r="B1872" t="s">
        <v>7029</v>
      </c>
      <c r="C1872" t="s">
        <v>14431</v>
      </c>
      <c r="D1872" t="s">
        <v>7030</v>
      </c>
      <c r="E1872" t="s">
        <v>7029</v>
      </c>
      <c r="F1872" t="s">
        <v>28</v>
      </c>
      <c r="G1872" t="s">
        <v>7029</v>
      </c>
      <c r="H1872" t="str">
        <f>"M106.3"</f>
        <v>M106.3</v>
      </c>
      <c r="I1872" t="s">
        <v>7030</v>
      </c>
      <c r="J1872">
        <v>13.325558394116999</v>
      </c>
      <c r="K1872">
        <v>13.1464943892804</v>
      </c>
      <c r="L1872">
        <v>13.678940077342601</v>
      </c>
      <c r="M1872" t="s">
        <v>29</v>
      </c>
      <c r="N1872">
        <v>11.871531999353699</v>
      </c>
      <c r="O1872" t="s">
        <v>29</v>
      </c>
      <c r="P1872">
        <v>-1.5121322875596701</v>
      </c>
      <c r="Q1872">
        <v>-2.50545114034552</v>
      </c>
      <c r="R1872">
        <v>-0.51881343477381903</v>
      </c>
      <c r="S1872">
        <v>13.528076897592401</v>
      </c>
      <c r="T1872">
        <v>-3.2288705822924499</v>
      </c>
      <c r="U1872">
        <v>-2.61764371226676</v>
      </c>
      <c r="V1872">
        <v>5.2855283991025698E-3</v>
      </c>
      <c r="W1872">
        <v>2.9356637194350901E-2</v>
      </c>
      <c r="X1872">
        <v>-1</v>
      </c>
      <c r="Y1872">
        <v>-1</v>
      </c>
    </row>
    <row r="1873" spans="1:25" x14ac:dyDescent="0.2">
      <c r="A1873" t="s">
        <v>7031</v>
      </c>
      <c r="B1873" t="s">
        <v>7032</v>
      </c>
      <c r="C1873" t="s">
        <v>14432</v>
      </c>
      <c r="D1873" t="s">
        <v>368</v>
      </c>
      <c r="E1873" t="s">
        <v>7032</v>
      </c>
      <c r="F1873" t="s">
        <v>28</v>
      </c>
      <c r="G1873" t="s">
        <v>7032</v>
      </c>
      <c r="H1873" t="str">
        <f>"Y49A10A.2"</f>
        <v>Y49A10A.2</v>
      </c>
      <c r="I1873" t="s">
        <v>368</v>
      </c>
      <c r="J1873" t="s">
        <v>29</v>
      </c>
      <c r="K1873" t="s">
        <v>29</v>
      </c>
      <c r="L1873">
        <v>10.6043059987761</v>
      </c>
      <c r="M1873" t="s">
        <v>29</v>
      </c>
      <c r="N1873" t="s">
        <v>29</v>
      </c>
      <c r="O1873" t="s">
        <v>29</v>
      </c>
      <c r="P1873" t="s">
        <v>29</v>
      </c>
      <c r="Q1873" t="s">
        <v>29</v>
      </c>
      <c r="R1873" t="s">
        <v>29</v>
      </c>
      <c r="S1873">
        <v>10.418052385006799</v>
      </c>
      <c r="T1873" t="s">
        <v>29</v>
      </c>
      <c r="U1873" t="s">
        <v>29</v>
      </c>
      <c r="V1873" t="s">
        <v>29</v>
      </c>
      <c r="W1873" t="s">
        <v>29</v>
      </c>
      <c r="X1873" t="s">
        <v>29</v>
      </c>
      <c r="Y1873" t="s">
        <v>29</v>
      </c>
    </row>
    <row r="1874" spans="1:25" x14ac:dyDescent="0.2">
      <c r="A1874" t="s">
        <v>7033</v>
      </c>
      <c r="B1874" t="s">
        <v>7034</v>
      </c>
      <c r="C1874" t="s">
        <v>7035</v>
      </c>
      <c r="D1874" t="s">
        <v>2879</v>
      </c>
      <c r="E1874" t="s">
        <v>7034</v>
      </c>
      <c r="F1874" t="s">
        <v>28</v>
      </c>
      <c r="G1874" t="s">
        <v>7034</v>
      </c>
      <c r="H1874" t="str">
        <f>"R144.6"</f>
        <v>R144.6</v>
      </c>
      <c r="I1874" t="s">
        <v>2879</v>
      </c>
      <c r="J1874" t="s">
        <v>29</v>
      </c>
      <c r="K1874">
        <v>12.686057911215</v>
      </c>
      <c r="L1874">
        <v>11.3881723230242</v>
      </c>
      <c r="M1874" t="s">
        <v>29</v>
      </c>
      <c r="N1874" t="s">
        <v>29</v>
      </c>
      <c r="O1874" t="s">
        <v>29</v>
      </c>
      <c r="P1874" t="s">
        <v>29</v>
      </c>
      <c r="Q1874" t="s">
        <v>29</v>
      </c>
      <c r="R1874" t="s">
        <v>29</v>
      </c>
      <c r="S1874">
        <v>12.6586503254101</v>
      </c>
      <c r="T1874" t="s">
        <v>29</v>
      </c>
      <c r="U1874" t="s">
        <v>29</v>
      </c>
      <c r="V1874" t="s">
        <v>29</v>
      </c>
      <c r="W1874" t="s">
        <v>29</v>
      </c>
      <c r="X1874" t="s">
        <v>29</v>
      </c>
      <c r="Y1874" t="s">
        <v>29</v>
      </c>
    </row>
    <row r="1875" spans="1:25" x14ac:dyDescent="0.2">
      <c r="A1875" t="s">
        <v>7036</v>
      </c>
      <c r="B1875" t="s">
        <v>7037</v>
      </c>
      <c r="C1875" t="s">
        <v>7038</v>
      </c>
      <c r="D1875" t="s">
        <v>7039</v>
      </c>
      <c r="E1875" t="s">
        <v>7037</v>
      </c>
      <c r="F1875" t="s">
        <v>28</v>
      </c>
      <c r="G1875" t="s">
        <v>7037</v>
      </c>
      <c r="H1875" t="str">
        <f>"T19C3.4"</f>
        <v>T19C3.4</v>
      </c>
      <c r="I1875" t="s">
        <v>7039</v>
      </c>
      <c r="J1875">
        <v>11.6202341031212</v>
      </c>
      <c r="K1875">
        <v>11.934430819817001</v>
      </c>
      <c r="L1875">
        <v>12.602618217023601</v>
      </c>
      <c r="M1875" t="s">
        <v>29</v>
      </c>
      <c r="N1875">
        <v>13.2332720021396</v>
      </c>
      <c r="O1875">
        <v>13.7081513930328</v>
      </c>
      <c r="P1875">
        <v>1.4182839842656301</v>
      </c>
      <c r="Q1875">
        <v>0.79588468961021397</v>
      </c>
      <c r="R1875">
        <v>2.0406832789210498</v>
      </c>
      <c r="S1875">
        <v>12.582299845263201</v>
      </c>
      <c r="T1875">
        <v>4.8099894084805497</v>
      </c>
      <c r="U1875">
        <v>0.58225776808026297</v>
      </c>
      <c r="V1875">
        <v>1.6611093333516701E-4</v>
      </c>
      <c r="W1875">
        <v>2.4855178509634898E-3</v>
      </c>
      <c r="X1875">
        <v>1</v>
      </c>
      <c r="Y1875">
        <v>1</v>
      </c>
    </row>
    <row r="1876" spans="1:25" x14ac:dyDescent="0.2">
      <c r="A1876" t="s">
        <v>7040</v>
      </c>
      <c r="B1876" t="s">
        <v>7041</v>
      </c>
      <c r="C1876" t="s">
        <v>7042</v>
      </c>
      <c r="D1876" t="s">
        <v>7043</v>
      </c>
      <c r="E1876" t="s">
        <v>7041</v>
      </c>
      <c r="F1876" t="s">
        <v>28</v>
      </c>
      <c r="G1876" t="s">
        <v>7041</v>
      </c>
      <c r="H1876" t="str">
        <f>"snr-3"</f>
        <v>snr-3</v>
      </c>
      <c r="I1876" t="s">
        <v>7043</v>
      </c>
      <c r="J1876">
        <v>14.668662452007</v>
      </c>
      <c r="K1876">
        <v>15.324900993056101</v>
      </c>
      <c r="L1876">
        <v>15.253942050432901</v>
      </c>
      <c r="M1876">
        <v>15.172272867695099</v>
      </c>
      <c r="N1876">
        <v>15.3717888038996</v>
      </c>
      <c r="O1876">
        <v>15.2247801738476</v>
      </c>
      <c r="P1876">
        <v>0.17377878331542901</v>
      </c>
      <c r="Q1876">
        <v>-0.52635409707023595</v>
      </c>
      <c r="R1876">
        <v>0.87391166370109297</v>
      </c>
      <c r="S1876">
        <v>15.402443075349201</v>
      </c>
      <c r="T1876">
        <v>0.52168553074129398</v>
      </c>
      <c r="U1876">
        <v>-7.0145581967545301</v>
      </c>
      <c r="V1876">
        <v>0.60828642215963502</v>
      </c>
      <c r="W1876">
        <v>0.73952973849193204</v>
      </c>
      <c r="X1876">
        <v>0</v>
      </c>
      <c r="Y1876">
        <v>0</v>
      </c>
    </row>
    <row r="1877" spans="1:25" x14ac:dyDescent="0.2">
      <c r="A1877" t="s">
        <v>7044</v>
      </c>
      <c r="B1877" t="s">
        <v>7045</v>
      </c>
      <c r="C1877" t="s">
        <v>7046</v>
      </c>
      <c r="D1877" t="s">
        <v>7047</v>
      </c>
      <c r="E1877" t="s">
        <v>7045</v>
      </c>
      <c r="F1877" t="s">
        <v>28</v>
      </c>
      <c r="G1877" t="s">
        <v>7045</v>
      </c>
      <c r="H1877" t="str">
        <f>"rsp-5"</f>
        <v>rsp-5</v>
      </c>
      <c r="I1877" t="s">
        <v>7047</v>
      </c>
      <c r="J1877">
        <v>14.3056082887163</v>
      </c>
      <c r="K1877">
        <v>13.3365117896626</v>
      </c>
      <c r="L1877">
        <v>14.4287405559124</v>
      </c>
      <c r="M1877" t="s">
        <v>29</v>
      </c>
      <c r="N1877">
        <v>13.0676033169125</v>
      </c>
      <c r="O1877">
        <v>13.934045298402699</v>
      </c>
      <c r="P1877">
        <v>-0.52279590377283802</v>
      </c>
      <c r="Q1877">
        <v>-1.21731507039362</v>
      </c>
      <c r="R1877">
        <v>0.17172326284794601</v>
      </c>
      <c r="S1877">
        <v>14.057576103717</v>
      </c>
      <c r="T1877">
        <v>-1.5966049466741099</v>
      </c>
      <c r="U1877">
        <v>-5.7990477519791899</v>
      </c>
      <c r="V1877">
        <v>0.13004089658831799</v>
      </c>
      <c r="W1877">
        <v>0.26363676869506097</v>
      </c>
      <c r="X1877">
        <v>0</v>
      </c>
      <c r="Y1877">
        <v>0</v>
      </c>
    </row>
    <row r="1878" spans="1:25" x14ac:dyDescent="0.2">
      <c r="A1878" t="s">
        <v>7048</v>
      </c>
      <c r="B1878" t="s">
        <v>7049</v>
      </c>
      <c r="C1878" t="s">
        <v>7050</v>
      </c>
      <c r="D1878" t="s">
        <v>7051</v>
      </c>
      <c r="E1878" t="s">
        <v>7049</v>
      </c>
      <c r="F1878" t="s">
        <v>28</v>
      </c>
      <c r="G1878" t="s">
        <v>7049</v>
      </c>
      <c r="H1878" t="str">
        <f>"vhp-1"</f>
        <v>vhp-1</v>
      </c>
      <c r="I1878" t="s">
        <v>7051</v>
      </c>
      <c r="J1878">
        <v>11.992319459789099</v>
      </c>
      <c r="K1878">
        <v>12.818152795585201</v>
      </c>
      <c r="L1878">
        <v>10.430246131467401</v>
      </c>
      <c r="M1878" t="s">
        <v>29</v>
      </c>
      <c r="N1878">
        <v>13.0281264317231</v>
      </c>
      <c r="O1878">
        <v>12.9643883398117</v>
      </c>
      <c r="P1878">
        <v>1.2493512568201901</v>
      </c>
      <c r="Q1878">
        <v>0.17948569958770599</v>
      </c>
      <c r="R1878">
        <v>2.3192168140526701</v>
      </c>
      <c r="S1878">
        <v>12.2436779259213</v>
      </c>
      <c r="T1878">
        <v>2.46493439519474</v>
      </c>
      <c r="U1878">
        <v>-4.3206201011748497</v>
      </c>
      <c r="V1878">
        <v>2.4725972408490799E-2</v>
      </c>
      <c r="W1878">
        <v>8.4435041353212503E-2</v>
      </c>
      <c r="X1878">
        <v>1</v>
      </c>
      <c r="Y1878">
        <v>0</v>
      </c>
    </row>
    <row r="1879" spans="1:25" x14ac:dyDescent="0.2">
      <c r="A1879" t="s">
        <v>7052</v>
      </c>
      <c r="B1879" t="s">
        <v>7053</v>
      </c>
      <c r="C1879" t="s">
        <v>7054</v>
      </c>
      <c r="D1879" t="s">
        <v>7055</v>
      </c>
      <c r="E1879" t="s">
        <v>7053</v>
      </c>
      <c r="F1879" t="s">
        <v>28</v>
      </c>
      <c r="G1879" t="s">
        <v>7053</v>
      </c>
      <c r="H1879" t="str">
        <f>"gars-1"</f>
        <v>gars-1</v>
      </c>
      <c r="I1879" t="s">
        <v>7055</v>
      </c>
      <c r="J1879">
        <v>16.268754869403502</v>
      </c>
      <c r="K1879">
        <v>15.8637325553261</v>
      </c>
      <c r="L1879">
        <v>16.084426472224699</v>
      </c>
      <c r="M1879">
        <v>15.8675243767146</v>
      </c>
      <c r="N1879">
        <v>15.665781273857601</v>
      </c>
      <c r="O1879">
        <v>15.804200535715699</v>
      </c>
      <c r="P1879">
        <v>-0.29313590355548402</v>
      </c>
      <c r="Q1879">
        <v>-0.75548404840202199</v>
      </c>
      <c r="R1879">
        <v>0.169212241291053</v>
      </c>
      <c r="S1879">
        <v>15.623288071602699</v>
      </c>
      <c r="T1879">
        <v>-1.3325772917743799</v>
      </c>
      <c r="U1879">
        <v>-6.2680424962395502</v>
      </c>
      <c r="V1879">
        <v>0.19939123796203301</v>
      </c>
      <c r="W1879">
        <v>0.35817680518162698</v>
      </c>
      <c r="X1879">
        <v>0</v>
      </c>
      <c r="Y1879">
        <v>0</v>
      </c>
    </row>
    <row r="1880" spans="1:25" x14ac:dyDescent="0.2">
      <c r="A1880" t="s">
        <v>7056</v>
      </c>
      <c r="B1880" t="s">
        <v>7057</v>
      </c>
      <c r="C1880" t="s">
        <v>7058</v>
      </c>
      <c r="D1880" t="s">
        <v>7059</v>
      </c>
      <c r="E1880" t="s">
        <v>7057</v>
      </c>
      <c r="F1880" t="s">
        <v>28</v>
      </c>
      <c r="G1880" t="s">
        <v>7057</v>
      </c>
      <c r="H1880" t="str">
        <f>"unc-50"</f>
        <v>unc-50</v>
      </c>
      <c r="I1880" t="s">
        <v>7059</v>
      </c>
      <c r="J1880">
        <v>14.7171737118944</v>
      </c>
      <c r="K1880">
        <v>14.802326074575401</v>
      </c>
      <c r="L1880">
        <v>14.9031416354076</v>
      </c>
      <c r="M1880">
        <v>13.2704891528868</v>
      </c>
      <c r="N1880">
        <v>14.2902102219743</v>
      </c>
      <c r="O1880">
        <v>13.8838013631857</v>
      </c>
      <c r="P1880">
        <v>-0.99271356127685495</v>
      </c>
      <c r="Q1880">
        <v>-1.5234609438242599</v>
      </c>
      <c r="R1880">
        <v>-0.46196617872944401</v>
      </c>
      <c r="S1880">
        <v>14.7119587468499</v>
      </c>
      <c r="T1880">
        <v>-3.9312313893873401</v>
      </c>
      <c r="U1880">
        <v>-1.3235227479787099</v>
      </c>
      <c r="V1880">
        <v>9.8832138402845998E-4</v>
      </c>
      <c r="W1880">
        <v>9.0172851973122897E-3</v>
      </c>
      <c r="X1880">
        <v>0</v>
      </c>
      <c r="Y1880">
        <v>0</v>
      </c>
    </row>
    <row r="1881" spans="1:25" x14ac:dyDescent="0.2">
      <c r="A1881" t="s">
        <v>7060</v>
      </c>
      <c r="B1881" t="s">
        <v>7061</v>
      </c>
      <c r="C1881" t="s">
        <v>14433</v>
      </c>
      <c r="D1881" t="s">
        <v>7062</v>
      </c>
      <c r="E1881" t="s">
        <v>7061</v>
      </c>
      <c r="F1881" t="s">
        <v>28</v>
      </c>
      <c r="G1881" t="s">
        <v>7061</v>
      </c>
      <c r="H1881" t="str">
        <f>"T10F2.2"</f>
        <v>T10F2.2</v>
      </c>
      <c r="I1881" t="s">
        <v>7062</v>
      </c>
      <c r="J1881">
        <v>15.7744179715193</v>
      </c>
      <c r="K1881">
        <v>15.5669814721868</v>
      </c>
      <c r="L1881">
        <v>15.541520385731699</v>
      </c>
      <c r="M1881">
        <v>14.1321501310345</v>
      </c>
      <c r="N1881">
        <v>15.2063157705265</v>
      </c>
      <c r="O1881">
        <v>15.555301737750501</v>
      </c>
      <c r="P1881">
        <v>-0.66305073004214399</v>
      </c>
      <c r="Q1881">
        <v>-1.23132477084097</v>
      </c>
      <c r="R1881">
        <v>-9.4776689243318599E-2</v>
      </c>
      <c r="S1881">
        <v>15.2147965633071</v>
      </c>
      <c r="T1881">
        <v>-2.4523443546402302</v>
      </c>
      <c r="U1881">
        <v>-4.4379561324122596</v>
      </c>
      <c r="V1881">
        <v>2.4690280080429401E-2</v>
      </c>
      <c r="W1881">
        <v>8.4410969138080397E-2</v>
      </c>
      <c r="X1881">
        <v>0</v>
      </c>
      <c r="Y1881">
        <v>0</v>
      </c>
    </row>
    <row r="1882" spans="1:25" x14ac:dyDescent="0.2">
      <c r="A1882" t="s">
        <v>7063</v>
      </c>
      <c r="B1882" t="s">
        <v>7064</v>
      </c>
      <c r="C1882" t="s">
        <v>7065</v>
      </c>
      <c r="D1882" t="s">
        <v>7066</v>
      </c>
      <c r="E1882" t="s">
        <v>7064</v>
      </c>
      <c r="F1882" t="s">
        <v>28</v>
      </c>
      <c r="G1882" t="s">
        <v>7064</v>
      </c>
      <c r="H1882" t="str">
        <f>"C23G10.2"</f>
        <v>C23G10.2</v>
      </c>
      <c r="I1882" t="s">
        <v>7066</v>
      </c>
      <c r="J1882" t="s">
        <v>29</v>
      </c>
      <c r="K1882" t="s">
        <v>29</v>
      </c>
      <c r="L1882" t="s">
        <v>29</v>
      </c>
      <c r="M1882" t="s">
        <v>29</v>
      </c>
      <c r="N1882">
        <v>14.4827510233754</v>
      </c>
      <c r="O1882">
        <v>14.4879735209143</v>
      </c>
      <c r="P1882" t="s">
        <v>29</v>
      </c>
      <c r="Q1882" t="s">
        <v>29</v>
      </c>
      <c r="R1882" t="s">
        <v>29</v>
      </c>
      <c r="S1882">
        <v>12.4109265870279</v>
      </c>
      <c r="T1882" t="s">
        <v>29</v>
      </c>
      <c r="U1882" t="s">
        <v>29</v>
      </c>
      <c r="V1882" t="s">
        <v>29</v>
      </c>
      <c r="W1882" t="s">
        <v>29</v>
      </c>
      <c r="X1882" t="s">
        <v>29</v>
      </c>
      <c r="Y1882" t="s">
        <v>29</v>
      </c>
    </row>
    <row r="1883" spans="1:25" x14ac:dyDescent="0.2">
      <c r="A1883" t="s">
        <v>7067</v>
      </c>
      <c r="B1883" t="s">
        <v>7068</v>
      </c>
      <c r="C1883" t="s">
        <v>7069</v>
      </c>
      <c r="D1883" t="s">
        <v>7070</v>
      </c>
      <c r="E1883" t="s">
        <v>7068</v>
      </c>
      <c r="F1883" t="s">
        <v>28</v>
      </c>
      <c r="G1883" t="s">
        <v>7068</v>
      </c>
      <c r="H1883" t="str">
        <f>"F52C9.3"</f>
        <v>F52C9.3</v>
      </c>
      <c r="I1883" t="s">
        <v>7070</v>
      </c>
      <c r="J1883">
        <v>14.1584220516276</v>
      </c>
      <c r="K1883">
        <v>13.960481091697901</v>
      </c>
      <c r="L1883">
        <v>14.295566758885901</v>
      </c>
      <c r="M1883">
        <v>14.4579811766258</v>
      </c>
      <c r="N1883">
        <v>14.0300983181645</v>
      </c>
      <c r="O1883">
        <v>13.9637878310732</v>
      </c>
      <c r="P1883">
        <v>1.2465807884037601E-2</v>
      </c>
      <c r="Q1883">
        <v>-0.32908240289127599</v>
      </c>
      <c r="R1883">
        <v>0.354014018659352</v>
      </c>
      <c r="S1883">
        <v>14.0905096885367</v>
      </c>
      <c r="T1883">
        <v>7.6711580039379695E-2</v>
      </c>
      <c r="U1883">
        <v>-7.1532143672812998</v>
      </c>
      <c r="V1883">
        <v>0.93970415589509404</v>
      </c>
      <c r="W1883">
        <v>0.96499999030741501</v>
      </c>
      <c r="X1883">
        <v>0</v>
      </c>
      <c r="Y1883">
        <v>0</v>
      </c>
    </row>
    <row r="1884" spans="1:25" x14ac:dyDescent="0.2">
      <c r="A1884" t="s">
        <v>7071</v>
      </c>
      <c r="B1884" t="s">
        <v>7072</v>
      </c>
      <c r="C1884" t="s">
        <v>7073</v>
      </c>
      <c r="D1884" t="s">
        <v>7074</v>
      </c>
      <c r="E1884" t="s">
        <v>7072</v>
      </c>
      <c r="F1884" t="s">
        <v>28</v>
      </c>
      <c r="G1884" t="s">
        <v>7072</v>
      </c>
      <c r="H1884" t="str">
        <f>"pqe-1"</f>
        <v>pqe-1</v>
      </c>
      <c r="I1884" t="s">
        <v>7074</v>
      </c>
      <c r="J1884">
        <v>12.6393252836298</v>
      </c>
      <c r="K1884">
        <v>13.429319869489101</v>
      </c>
      <c r="L1884">
        <v>12.7620584787642</v>
      </c>
      <c r="M1884" t="s">
        <v>29</v>
      </c>
      <c r="N1884" t="s">
        <v>29</v>
      </c>
      <c r="O1884" t="s">
        <v>29</v>
      </c>
      <c r="P1884" t="s">
        <v>29</v>
      </c>
      <c r="Q1884" t="s">
        <v>29</v>
      </c>
      <c r="R1884" t="s">
        <v>29</v>
      </c>
      <c r="S1884">
        <v>12.8725181219832</v>
      </c>
      <c r="T1884" t="s">
        <v>29</v>
      </c>
      <c r="U1884" t="s">
        <v>29</v>
      </c>
      <c r="V1884" t="s">
        <v>29</v>
      </c>
      <c r="W1884" t="s">
        <v>29</v>
      </c>
      <c r="X1884" t="s">
        <v>29</v>
      </c>
      <c r="Y1884" t="s">
        <v>29</v>
      </c>
    </row>
    <row r="1885" spans="1:25" x14ac:dyDescent="0.2">
      <c r="A1885" t="s">
        <v>7075</v>
      </c>
      <c r="B1885" t="s">
        <v>7076</v>
      </c>
      <c r="C1885" t="s">
        <v>7077</v>
      </c>
      <c r="D1885" t="s">
        <v>7078</v>
      </c>
      <c r="E1885" t="s">
        <v>7076</v>
      </c>
      <c r="F1885" t="s">
        <v>28</v>
      </c>
      <c r="G1885" t="s">
        <v>7076</v>
      </c>
      <c r="H1885" t="str">
        <f>"mrps-16"</f>
        <v>mrps-16</v>
      </c>
      <c r="I1885" t="s">
        <v>7078</v>
      </c>
      <c r="J1885">
        <v>12.1843446595831</v>
      </c>
      <c r="K1885">
        <v>12.328135967242901</v>
      </c>
      <c r="L1885">
        <v>12.232688788720299</v>
      </c>
      <c r="M1885" t="s">
        <v>29</v>
      </c>
      <c r="N1885" t="s">
        <v>29</v>
      </c>
      <c r="O1885">
        <v>10.734193360951201</v>
      </c>
      <c r="P1885">
        <v>-1.51419644423087</v>
      </c>
      <c r="Q1885">
        <v>-2.7186360071114799</v>
      </c>
      <c r="R1885">
        <v>-0.30975688135026702</v>
      </c>
      <c r="S1885">
        <v>11.8957138270963</v>
      </c>
      <c r="T1885">
        <v>-2.6982929721221498</v>
      </c>
      <c r="U1885">
        <v>-3.72096180490637</v>
      </c>
      <c r="V1885">
        <v>1.7405819682963598E-2</v>
      </c>
      <c r="W1885">
        <v>6.7139987703787499E-2</v>
      </c>
      <c r="X1885">
        <v>-1</v>
      </c>
      <c r="Y1885">
        <v>0</v>
      </c>
    </row>
    <row r="1886" spans="1:25" x14ac:dyDescent="0.2">
      <c r="A1886" t="s">
        <v>7079</v>
      </c>
      <c r="B1886" t="s">
        <v>7080</v>
      </c>
      <c r="C1886" t="s">
        <v>7081</v>
      </c>
      <c r="D1886" t="s">
        <v>7082</v>
      </c>
      <c r="E1886" t="s">
        <v>7080</v>
      </c>
      <c r="F1886" t="s">
        <v>28</v>
      </c>
      <c r="G1886" t="s">
        <v>7080</v>
      </c>
      <c r="H1886" t="str">
        <f>"dhs-5"</f>
        <v>dhs-5</v>
      </c>
      <c r="I1886" t="s">
        <v>7082</v>
      </c>
      <c r="J1886">
        <v>11.7779609262232</v>
      </c>
      <c r="K1886">
        <v>11.079678626473299</v>
      </c>
      <c r="L1886">
        <v>12.622147968556</v>
      </c>
      <c r="M1886" t="s">
        <v>29</v>
      </c>
      <c r="N1886" t="s">
        <v>29</v>
      </c>
      <c r="O1886">
        <v>11.9339791734544</v>
      </c>
      <c r="P1886">
        <v>0.10738333303691899</v>
      </c>
      <c r="Q1886">
        <v>-0.913710020288383</v>
      </c>
      <c r="R1886">
        <v>1.12847668636222</v>
      </c>
      <c r="S1886">
        <v>12.545792151970801</v>
      </c>
      <c r="T1886">
        <v>0.22571650828551301</v>
      </c>
      <c r="U1886">
        <v>-6.7857669319878502</v>
      </c>
      <c r="V1886">
        <v>0.82470812227891299</v>
      </c>
      <c r="W1886">
        <v>0.88956083603512703</v>
      </c>
      <c r="X1886">
        <v>0</v>
      </c>
      <c r="Y1886">
        <v>0</v>
      </c>
    </row>
    <row r="1887" spans="1:25" x14ac:dyDescent="0.2">
      <c r="A1887" t="s">
        <v>7083</v>
      </c>
      <c r="B1887" t="s">
        <v>7084</v>
      </c>
      <c r="C1887" t="s">
        <v>7085</v>
      </c>
      <c r="D1887" t="s">
        <v>7086</v>
      </c>
      <c r="E1887" t="s">
        <v>7084</v>
      </c>
      <c r="F1887" t="s">
        <v>28</v>
      </c>
      <c r="G1887" t="s">
        <v>7084</v>
      </c>
      <c r="H1887" t="str">
        <f>"F46H5.3"</f>
        <v>F46H5.3</v>
      </c>
      <c r="I1887" t="s">
        <v>7086</v>
      </c>
      <c r="J1887">
        <v>19.060795034109699</v>
      </c>
      <c r="K1887">
        <v>18.756522690348099</v>
      </c>
      <c r="L1887">
        <v>18.720044999987898</v>
      </c>
      <c r="M1887">
        <v>18.9742193425846</v>
      </c>
      <c r="N1887">
        <v>19.073822921818099</v>
      </c>
      <c r="O1887">
        <v>18.875890229196099</v>
      </c>
      <c r="P1887">
        <v>0.12885658971769201</v>
      </c>
      <c r="Q1887">
        <v>-0.26555006273570297</v>
      </c>
      <c r="R1887">
        <v>0.52326324217108799</v>
      </c>
      <c r="S1887">
        <v>18.473765612008801</v>
      </c>
      <c r="T1887">
        <v>0.68668081642956702</v>
      </c>
      <c r="U1887">
        <v>-6.9120692401549997</v>
      </c>
      <c r="V1887">
        <v>0.50108599580663304</v>
      </c>
      <c r="W1887">
        <v>0.65601973773529398</v>
      </c>
      <c r="X1887">
        <v>0</v>
      </c>
      <c r="Y1887">
        <v>0</v>
      </c>
    </row>
    <row r="1888" spans="1:25" x14ac:dyDescent="0.2">
      <c r="A1888" t="s">
        <v>7087</v>
      </c>
      <c r="B1888" t="s">
        <v>7088</v>
      </c>
      <c r="C1888" t="s">
        <v>7089</v>
      </c>
      <c r="D1888" t="s">
        <v>7090</v>
      </c>
      <c r="E1888" t="s">
        <v>7088</v>
      </c>
      <c r="F1888" t="s">
        <v>28</v>
      </c>
      <c r="G1888" t="s">
        <v>7088</v>
      </c>
      <c r="H1888" t="str">
        <f>"pacs-1"</f>
        <v>pacs-1</v>
      </c>
      <c r="I1888" t="s">
        <v>7090</v>
      </c>
      <c r="J1888">
        <v>13.2110510177904</v>
      </c>
      <c r="K1888">
        <v>13.386440500865</v>
      </c>
      <c r="L1888">
        <v>13.1813954225779</v>
      </c>
      <c r="M1888" t="s">
        <v>29</v>
      </c>
      <c r="N1888">
        <v>13.7142664540248</v>
      </c>
      <c r="O1888" t="s">
        <v>29</v>
      </c>
      <c r="P1888">
        <v>0.45463747361367401</v>
      </c>
      <c r="Q1888">
        <v>-0.61250343752324798</v>
      </c>
      <c r="R1888">
        <v>1.5217783847505999</v>
      </c>
      <c r="S1888">
        <v>13.055598573420999</v>
      </c>
      <c r="T1888">
        <v>0.929155650596592</v>
      </c>
      <c r="U1888">
        <v>-6.3664928163137002</v>
      </c>
      <c r="V1888">
        <v>0.37128043336616501</v>
      </c>
      <c r="W1888">
        <v>0.538390629318521</v>
      </c>
      <c r="X1888">
        <v>0</v>
      </c>
      <c r="Y1888">
        <v>0</v>
      </c>
    </row>
    <row r="1889" spans="1:25" x14ac:dyDescent="0.2">
      <c r="A1889" t="s">
        <v>7091</v>
      </c>
      <c r="B1889" t="s">
        <v>7092</v>
      </c>
      <c r="C1889" t="s">
        <v>7093</v>
      </c>
      <c r="D1889" t="s">
        <v>7094</v>
      </c>
      <c r="E1889" t="s">
        <v>7092</v>
      </c>
      <c r="F1889" t="s">
        <v>28</v>
      </c>
      <c r="G1889" t="s">
        <v>7092</v>
      </c>
      <c r="H1889" t="str">
        <f>"dpy-18"</f>
        <v>dpy-18</v>
      </c>
      <c r="I1889" t="s">
        <v>7094</v>
      </c>
      <c r="J1889">
        <v>15.237618356576</v>
      </c>
      <c r="K1889">
        <v>14.6649757752234</v>
      </c>
      <c r="L1889">
        <v>14.9358742763098</v>
      </c>
      <c r="M1889">
        <v>14.008675013528901</v>
      </c>
      <c r="N1889">
        <v>14.335768922109599</v>
      </c>
      <c r="O1889">
        <v>13.7017975756622</v>
      </c>
      <c r="P1889">
        <v>-0.93074229893614902</v>
      </c>
      <c r="Q1889">
        <v>-1.4684119265326501</v>
      </c>
      <c r="R1889">
        <v>-0.39307267133964402</v>
      </c>
      <c r="S1889">
        <v>14.539661692229</v>
      </c>
      <c r="T1889">
        <v>-3.63836663440284</v>
      </c>
      <c r="U1889">
        <v>-1.9664358255265599</v>
      </c>
      <c r="V1889">
        <v>1.8945972762500899E-3</v>
      </c>
      <c r="W1889">
        <v>1.4135134615465899E-2</v>
      </c>
      <c r="X1889">
        <v>0</v>
      </c>
      <c r="Y1889">
        <v>0</v>
      </c>
    </row>
    <row r="1890" spans="1:25" x14ac:dyDescent="0.2">
      <c r="A1890" t="s">
        <v>7095</v>
      </c>
      <c r="B1890" t="s">
        <v>7096</v>
      </c>
      <c r="C1890" t="s">
        <v>7097</v>
      </c>
      <c r="D1890" t="s">
        <v>7098</v>
      </c>
      <c r="E1890" t="s">
        <v>7096</v>
      </c>
      <c r="F1890" t="s">
        <v>28</v>
      </c>
      <c r="G1890" t="s">
        <v>7096</v>
      </c>
      <c r="H1890" t="str">
        <f>"rpb-2"</f>
        <v>rpb-2</v>
      </c>
      <c r="I1890" t="s">
        <v>7098</v>
      </c>
      <c r="J1890">
        <v>14.904385914761599</v>
      </c>
      <c r="K1890">
        <v>14.8777524191783</v>
      </c>
      <c r="L1890">
        <v>14.7325810363106</v>
      </c>
      <c r="M1890">
        <v>13.7723597981423</v>
      </c>
      <c r="N1890">
        <v>14.5183260801152</v>
      </c>
      <c r="O1890">
        <v>14.8023769615024</v>
      </c>
      <c r="P1890">
        <v>-0.47388551016355202</v>
      </c>
      <c r="Q1890">
        <v>-0.92477706414206395</v>
      </c>
      <c r="R1890">
        <v>-2.2993956185039001E-2</v>
      </c>
      <c r="S1890">
        <v>14.865486237724999</v>
      </c>
      <c r="T1890">
        <v>-2.2089904714024802</v>
      </c>
      <c r="U1890">
        <v>-4.8936077724221301</v>
      </c>
      <c r="V1890">
        <v>4.0458830111133999E-2</v>
      </c>
      <c r="W1890">
        <v>0.11873416348898901</v>
      </c>
      <c r="X1890">
        <v>0</v>
      </c>
      <c r="Y1890">
        <v>0</v>
      </c>
    </row>
    <row r="1891" spans="1:25" x14ac:dyDescent="0.2">
      <c r="A1891" t="s">
        <v>7099</v>
      </c>
      <c r="B1891" t="s">
        <v>7100</v>
      </c>
      <c r="C1891" t="s">
        <v>7101</v>
      </c>
      <c r="D1891" t="s">
        <v>7102</v>
      </c>
      <c r="E1891" t="s">
        <v>7100</v>
      </c>
      <c r="F1891" t="s">
        <v>28</v>
      </c>
      <c r="G1891" t="s">
        <v>7100</v>
      </c>
      <c r="H1891" t="str">
        <f>"cyb-1"</f>
        <v>cyb-1</v>
      </c>
      <c r="I1891" t="s">
        <v>7102</v>
      </c>
      <c r="J1891" t="s">
        <v>29</v>
      </c>
      <c r="K1891" t="s">
        <v>29</v>
      </c>
      <c r="L1891" t="s">
        <v>29</v>
      </c>
      <c r="M1891" t="s">
        <v>29</v>
      </c>
      <c r="N1891" t="s">
        <v>29</v>
      </c>
      <c r="O1891" t="s">
        <v>29</v>
      </c>
      <c r="P1891" t="s">
        <v>29</v>
      </c>
      <c r="Q1891" t="s">
        <v>29</v>
      </c>
      <c r="R1891" t="s">
        <v>29</v>
      </c>
      <c r="S1891">
        <v>10.090798263938799</v>
      </c>
      <c r="T1891" t="s">
        <v>29</v>
      </c>
      <c r="U1891" t="s">
        <v>29</v>
      </c>
      <c r="V1891" t="s">
        <v>29</v>
      </c>
      <c r="W1891" t="s">
        <v>29</v>
      </c>
      <c r="X1891" t="s">
        <v>29</v>
      </c>
      <c r="Y1891" t="s">
        <v>29</v>
      </c>
    </row>
    <row r="1892" spans="1:25" x14ac:dyDescent="0.2">
      <c r="A1892" t="s">
        <v>7103</v>
      </c>
      <c r="B1892" t="s">
        <v>7104</v>
      </c>
      <c r="C1892" t="s">
        <v>7105</v>
      </c>
      <c r="D1892" t="s">
        <v>7106</v>
      </c>
      <c r="E1892" t="s">
        <v>7104</v>
      </c>
      <c r="F1892" t="s">
        <v>28</v>
      </c>
      <c r="G1892" t="s">
        <v>7104</v>
      </c>
      <c r="H1892" t="str">
        <f>"egl-15"</f>
        <v>egl-15</v>
      </c>
      <c r="I1892" t="s">
        <v>7106</v>
      </c>
      <c r="J1892" t="s">
        <v>29</v>
      </c>
      <c r="K1892" t="s">
        <v>29</v>
      </c>
      <c r="L1892" t="s">
        <v>29</v>
      </c>
      <c r="M1892" t="s">
        <v>29</v>
      </c>
      <c r="N1892" t="s">
        <v>29</v>
      </c>
      <c r="O1892" t="s">
        <v>29</v>
      </c>
      <c r="P1892" t="s">
        <v>29</v>
      </c>
      <c r="Q1892" t="s">
        <v>29</v>
      </c>
      <c r="R1892" t="s">
        <v>29</v>
      </c>
      <c r="S1892">
        <v>11.017882371172201</v>
      </c>
      <c r="T1892" t="s">
        <v>29</v>
      </c>
      <c r="U1892" t="s">
        <v>29</v>
      </c>
      <c r="V1892" t="s">
        <v>29</v>
      </c>
      <c r="W1892" t="s">
        <v>29</v>
      </c>
      <c r="X1892" t="s">
        <v>29</v>
      </c>
      <c r="Y1892" t="s">
        <v>29</v>
      </c>
    </row>
    <row r="1893" spans="1:25" x14ac:dyDescent="0.2">
      <c r="A1893" t="s">
        <v>7107</v>
      </c>
      <c r="B1893" t="s">
        <v>7108</v>
      </c>
      <c r="C1893" t="s">
        <v>7109</v>
      </c>
      <c r="D1893" t="s">
        <v>7110</v>
      </c>
      <c r="E1893" t="s">
        <v>7108</v>
      </c>
      <c r="F1893" t="s">
        <v>28</v>
      </c>
      <c r="G1893" t="s">
        <v>7108</v>
      </c>
      <c r="H1893" t="str">
        <f>"tpi-1"</f>
        <v>tpi-1</v>
      </c>
      <c r="I1893" t="s">
        <v>7110</v>
      </c>
      <c r="J1893">
        <v>10.8877461352658</v>
      </c>
      <c r="K1893">
        <v>10.934396286304599</v>
      </c>
      <c r="L1893">
        <v>11.0753584758206</v>
      </c>
      <c r="M1893" t="s">
        <v>29</v>
      </c>
      <c r="N1893" t="s">
        <v>29</v>
      </c>
      <c r="O1893">
        <v>11.684791957761901</v>
      </c>
      <c r="P1893">
        <v>0.71895832529827097</v>
      </c>
      <c r="Q1893">
        <v>-1.00160362453828</v>
      </c>
      <c r="R1893">
        <v>2.4395202751348299</v>
      </c>
      <c r="S1893">
        <v>11.0186962622465</v>
      </c>
      <c r="T1893">
        <v>0.91133576706797803</v>
      </c>
      <c r="U1893">
        <v>-6.3828779534281903</v>
      </c>
      <c r="V1893">
        <v>0.380216641584881</v>
      </c>
      <c r="W1893">
        <v>0.54738565840285502</v>
      </c>
      <c r="X1893">
        <v>0</v>
      </c>
      <c r="Y1893">
        <v>0</v>
      </c>
    </row>
    <row r="1894" spans="1:25" x14ac:dyDescent="0.2">
      <c r="A1894" t="s">
        <v>7111</v>
      </c>
      <c r="B1894" t="s">
        <v>7112</v>
      </c>
      <c r="C1894" t="s">
        <v>7113</v>
      </c>
      <c r="D1894" t="s">
        <v>7114</v>
      </c>
      <c r="E1894" t="s">
        <v>7112</v>
      </c>
      <c r="F1894" t="s">
        <v>28</v>
      </c>
      <c r="G1894" t="s">
        <v>7112</v>
      </c>
      <c r="H1894" t="str">
        <f>"icl-1"</f>
        <v>icl-1</v>
      </c>
      <c r="I1894" t="s">
        <v>7114</v>
      </c>
      <c r="J1894">
        <v>15.5506519782317</v>
      </c>
      <c r="K1894">
        <v>15.5370340437563</v>
      </c>
      <c r="L1894">
        <v>14.977263275177901</v>
      </c>
      <c r="M1894">
        <v>16.437195741308599</v>
      </c>
      <c r="N1894">
        <v>15.979930635248</v>
      </c>
      <c r="O1894">
        <v>16.325430898994501</v>
      </c>
      <c r="P1894">
        <v>0.89253599279503404</v>
      </c>
      <c r="Q1894">
        <v>0.41742896622664999</v>
      </c>
      <c r="R1894">
        <v>1.3676430193634199</v>
      </c>
      <c r="S1894">
        <v>14.910610906572201</v>
      </c>
      <c r="T1894">
        <v>3.9484514143745102</v>
      </c>
      <c r="U1894">
        <v>-1.2855868312785399</v>
      </c>
      <c r="V1894">
        <v>9.5121988661610096E-4</v>
      </c>
      <c r="W1894">
        <v>8.7876018992402802E-3</v>
      </c>
      <c r="X1894">
        <v>0</v>
      </c>
      <c r="Y1894">
        <v>0</v>
      </c>
    </row>
    <row r="1895" spans="1:25" x14ac:dyDescent="0.2">
      <c r="A1895" t="s">
        <v>7115</v>
      </c>
      <c r="B1895" t="s">
        <v>7116</v>
      </c>
      <c r="C1895" t="s">
        <v>7117</v>
      </c>
      <c r="D1895" t="s">
        <v>7118</v>
      </c>
      <c r="E1895" t="s">
        <v>7116</v>
      </c>
      <c r="F1895" t="s">
        <v>28</v>
      </c>
      <c r="G1895" t="s">
        <v>7116</v>
      </c>
      <c r="H1895" t="str">
        <f>"mek-2"</f>
        <v>mek-2</v>
      </c>
      <c r="I1895" t="s">
        <v>7118</v>
      </c>
      <c r="J1895">
        <v>13.7773354685417</v>
      </c>
      <c r="K1895">
        <v>13.755661204346101</v>
      </c>
      <c r="L1895">
        <v>13.340454596693601</v>
      </c>
      <c r="M1895">
        <v>13.5574684285329</v>
      </c>
      <c r="N1895">
        <v>13.366503783843401</v>
      </c>
      <c r="O1895">
        <v>13.4081138184326</v>
      </c>
      <c r="P1895">
        <v>-0.180455079590844</v>
      </c>
      <c r="Q1895">
        <v>-0.65784483218770695</v>
      </c>
      <c r="R1895">
        <v>0.296934673006018</v>
      </c>
      <c r="S1895">
        <v>13.097600075894</v>
      </c>
      <c r="T1895">
        <v>-0.79449017727276605</v>
      </c>
      <c r="U1895">
        <v>-6.8307873971988302</v>
      </c>
      <c r="V1895">
        <v>0.43732045895788801</v>
      </c>
      <c r="W1895">
        <v>0.60195394327365503</v>
      </c>
      <c r="X1895">
        <v>0</v>
      </c>
      <c r="Y1895">
        <v>0</v>
      </c>
    </row>
    <row r="1896" spans="1:25" x14ac:dyDescent="0.2">
      <c r="A1896" t="s">
        <v>7119</v>
      </c>
      <c r="B1896" t="s">
        <v>7120</v>
      </c>
      <c r="C1896" t="s">
        <v>7121</v>
      </c>
      <c r="D1896" t="s">
        <v>7122</v>
      </c>
      <c r="E1896" t="s">
        <v>7120</v>
      </c>
      <c r="F1896" t="s">
        <v>28</v>
      </c>
      <c r="G1896" t="s">
        <v>7120</v>
      </c>
      <c r="H1896" t="str">
        <f>"mes-3"</f>
        <v>mes-3</v>
      </c>
      <c r="I1896" t="s">
        <v>7122</v>
      </c>
      <c r="J1896">
        <v>9.9781910763115302</v>
      </c>
      <c r="K1896">
        <v>10.5195226640057</v>
      </c>
      <c r="L1896" t="s">
        <v>29</v>
      </c>
      <c r="M1896" t="s">
        <v>29</v>
      </c>
      <c r="N1896" t="s">
        <v>29</v>
      </c>
      <c r="O1896">
        <v>10.1975025195679</v>
      </c>
      <c r="P1896">
        <v>-5.1354350590729701E-2</v>
      </c>
      <c r="Q1896">
        <v>-0.82512849640224195</v>
      </c>
      <c r="R1896">
        <v>0.72241979522078204</v>
      </c>
      <c r="S1896">
        <v>11.732909839210301</v>
      </c>
      <c r="T1896">
        <v>-0.14624826428731499</v>
      </c>
      <c r="U1896">
        <v>-6.74304041874022</v>
      </c>
      <c r="V1896">
        <v>0.88639626514422398</v>
      </c>
      <c r="W1896">
        <v>0.93160121019259201</v>
      </c>
      <c r="X1896">
        <v>0</v>
      </c>
      <c r="Y1896">
        <v>0</v>
      </c>
    </row>
    <row r="1897" spans="1:25" x14ac:dyDescent="0.2">
      <c r="A1897" t="s">
        <v>7123</v>
      </c>
      <c r="B1897" t="s">
        <v>7124</v>
      </c>
      <c r="C1897" t="s">
        <v>7125</v>
      </c>
      <c r="D1897" t="s">
        <v>7126</v>
      </c>
      <c r="E1897" t="s">
        <v>7124</v>
      </c>
      <c r="F1897" t="s">
        <v>28</v>
      </c>
      <c r="G1897" t="s">
        <v>7124</v>
      </c>
      <c r="H1897" t="str">
        <f>"rnp-1"</f>
        <v>rnp-1</v>
      </c>
      <c r="I1897" t="s">
        <v>7126</v>
      </c>
      <c r="J1897">
        <v>11.6433187239776</v>
      </c>
      <c r="K1897">
        <v>11.377703428692801</v>
      </c>
      <c r="L1897">
        <v>11.6506833085084</v>
      </c>
      <c r="M1897" t="s">
        <v>29</v>
      </c>
      <c r="N1897" t="s">
        <v>29</v>
      </c>
      <c r="O1897">
        <v>12.553724013204301</v>
      </c>
      <c r="P1897">
        <v>0.99648885947799903</v>
      </c>
      <c r="Q1897">
        <v>-4.5627435232575002E-2</v>
      </c>
      <c r="R1897">
        <v>2.0386051541885699</v>
      </c>
      <c r="S1897">
        <v>11.546884600532699</v>
      </c>
      <c r="T1897">
        <v>2.0393786430507999</v>
      </c>
      <c r="U1897">
        <v>-4.8818498411320101</v>
      </c>
      <c r="V1897">
        <v>5.9563691144319197E-2</v>
      </c>
      <c r="W1897">
        <v>0.154112552943203</v>
      </c>
      <c r="X1897">
        <v>0</v>
      </c>
      <c r="Y1897">
        <v>0</v>
      </c>
    </row>
    <row r="1898" spans="1:25" x14ac:dyDescent="0.2">
      <c r="A1898" t="s">
        <v>7127</v>
      </c>
      <c r="B1898" t="s">
        <v>7128</v>
      </c>
      <c r="C1898" t="s">
        <v>7129</v>
      </c>
      <c r="D1898" t="s">
        <v>7130</v>
      </c>
      <c r="E1898" t="s">
        <v>7128</v>
      </c>
      <c r="F1898" t="s">
        <v>28</v>
      </c>
      <c r="G1898" t="s">
        <v>7128</v>
      </c>
      <c r="H1898" t="str">
        <f>"sur-2"</f>
        <v>sur-2</v>
      </c>
      <c r="I1898" t="s">
        <v>7130</v>
      </c>
      <c r="J1898">
        <v>11.692642084478701</v>
      </c>
      <c r="K1898">
        <v>11.3519408493498</v>
      </c>
      <c r="L1898">
        <v>11.930332966712999</v>
      </c>
      <c r="M1898" t="s">
        <v>29</v>
      </c>
      <c r="N1898">
        <v>11.251785127055999</v>
      </c>
      <c r="O1898">
        <v>12.0711759783012</v>
      </c>
      <c r="P1898">
        <v>3.1752524980941401E-3</v>
      </c>
      <c r="Q1898">
        <v>-0.66512090894893305</v>
      </c>
      <c r="R1898">
        <v>0.671471413945121</v>
      </c>
      <c r="S1898">
        <v>12.217020405590601</v>
      </c>
      <c r="T1898">
        <v>1.00290388321256E-2</v>
      </c>
      <c r="U1898">
        <v>-7.0454221264054198</v>
      </c>
      <c r="V1898">
        <v>0.99211559274449002</v>
      </c>
      <c r="W1898">
        <v>0.99515474874677101</v>
      </c>
      <c r="X1898">
        <v>0</v>
      </c>
      <c r="Y1898">
        <v>0</v>
      </c>
    </row>
    <row r="1899" spans="1:25" x14ac:dyDescent="0.2">
      <c r="A1899" t="s">
        <v>7131</v>
      </c>
      <c r="B1899" t="s">
        <v>7132</v>
      </c>
      <c r="C1899" t="s">
        <v>7133</v>
      </c>
      <c r="D1899" t="s">
        <v>7134</v>
      </c>
      <c r="E1899" t="s">
        <v>7132</v>
      </c>
      <c r="F1899" t="s">
        <v>28</v>
      </c>
      <c r="G1899" t="s">
        <v>7132</v>
      </c>
      <c r="H1899" t="str">
        <f>"glt-1"</f>
        <v>glt-1</v>
      </c>
      <c r="I1899" t="s">
        <v>7134</v>
      </c>
      <c r="J1899">
        <v>15.2142776097196</v>
      </c>
      <c r="K1899">
        <v>15.2881966883582</v>
      </c>
      <c r="L1899">
        <v>15.1248828268228</v>
      </c>
      <c r="M1899">
        <v>14.2376367781378</v>
      </c>
      <c r="N1899">
        <v>14.8574590514168</v>
      </c>
      <c r="O1899">
        <v>15.186362435873001</v>
      </c>
      <c r="P1899">
        <v>-0.44863295315769502</v>
      </c>
      <c r="Q1899">
        <v>-0.93069248928995196</v>
      </c>
      <c r="R1899">
        <v>3.3426582974561699E-2</v>
      </c>
      <c r="S1899">
        <v>14.9787115282705</v>
      </c>
      <c r="T1899">
        <v>-1.95606375113313</v>
      </c>
      <c r="U1899">
        <v>-5.33772607380563</v>
      </c>
      <c r="V1899">
        <v>6.6251893048249605E-2</v>
      </c>
      <c r="W1899">
        <v>0.16588303212675601</v>
      </c>
      <c r="X1899">
        <v>0</v>
      </c>
      <c r="Y1899">
        <v>0</v>
      </c>
    </row>
    <row r="1900" spans="1:25" x14ac:dyDescent="0.2">
      <c r="A1900" t="s">
        <v>7135</v>
      </c>
      <c r="B1900" t="s">
        <v>7136</v>
      </c>
      <c r="C1900" t="s">
        <v>7137</v>
      </c>
      <c r="D1900" t="s">
        <v>7138</v>
      </c>
      <c r="E1900" t="s">
        <v>7136</v>
      </c>
      <c r="F1900" t="s">
        <v>28</v>
      </c>
      <c r="G1900" t="s">
        <v>7136</v>
      </c>
      <c r="H1900" t="str">
        <f>"B0252.5"</f>
        <v>B0252.5</v>
      </c>
      <c r="I1900" t="s">
        <v>7138</v>
      </c>
      <c r="J1900">
        <v>15.2228836275516</v>
      </c>
      <c r="K1900">
        <v>13.269244470559</v>
      </c>
      <c r="L1900">
        <v>14.811560695441701</v>
      </c>
      <c r="M1900" t="s">
        <v>29</v>
      </c>
      <c r="N1900">
        <v>14.472279653129799</v>
      </c>
      <c r="O1900">
        <v>13.3919621924138</v>
      </c>
      <c r="P1900">
        <v>-0.50244200841230902</v>
      </c>
      <c r="Q1900">
        <v>-1.9610622212112301</v>
      </c>
      <c r="R1900">
        <v>0.95617820438660805</v>
      </c>
      <c r="S1900">
        <v>14.1455236407205</v>
      </c>
      <c r="T1900">
        <v>-0.72709930346177198</v>
      </c>
      <c r="U1900">
        <v>-6.7718669533544702</v>
      </c>
      <c r="V1900">
        <v>0.477120228313688</v>
      </c>
      <c r="W1900">
        <v>0.63741866890657495</v>
      </c>
      <c r="X1900">
        <v>0</v>
      </c>
      <c r="Y1900">
        <v>0</v>
      </c>
    </row>
    <row r="1901" spans="1:25" x14ac:dyDescent="0.2">
      <c r="A1901" t="s">
        <v>7139</v>
      </c>
      <c r="B1901" t="s">
        <v>7140</v>
      </c>
      <c r="C1901" t="s">
        <v>7141</v>
      </c>
      <c r="D1901" t="s">
        <v>7142</v>
      </c>
      <c r="E1901" t="s">
        <v>7140</v>
      </c>
      <c r="F1901" t="s">
        <v>28</v>
      </c>
      <c r="G1901" t="s">
        <v>7140</v>
      </c>
      <c r="H1901" t="str">
        <f>"sid-3"</f>
        <v>sid-3</v>
      </c>
      <c r="I1901" t="s">
        <v>7142</v>
      </c>
      <c r="J1901">
        <v>11.454827975641001</v>
      </c>
      <c r="K1901">
        <v>11.9803341932758</v>
      </c>
      <c r="L1901">
        <v>11.480565743811001</v>
      </c>
      <c r="M1901" t="s">
        <v>29</v>
      </c>
      <c r="N1901" t="s">
        <v>29</v>
      </c>
      <c r="O1901">
        <v>12.1776760000122</v>
      </c>
      <c r="P1901">
        <v>0.53910002910299504</v>
      </c>
      <c r="Q1901">
        <v>-0.59111177158180706</v>
      </c>
      <c r="R1901">
        <v>1.6693118297878</v>
      </c>
      <c r="S1901">
        <v>12.1429390817905</v>
      </c>
      <c r="T1901">
        <v>1.01171700004745</v>
      </c>
      <c r="U1901">
        <v>-6.2919603126211596</v>
      </c>
      <c r="V1901">
        <v>0.32682726727091899</v>
      </c>
      <c r="W1901">
        <v>0.49827209345442303</v>
      </c>
      <c r="X1901">
        <v>0</v>
      </c>
      <c r="Y1901">
        <v>0</v>
      </c>
    </row>
    <row r="1902" spans="1:25" x14ac:dyDescent="0.2">
      <c r="A1902" t="s">
        <v>7143</v>
      </c>
      <c r="B1902" t="s">
        <v>7144</v>
      </c>
      <c r="C1902" t="s">
        <v>7145</v>
      </c>
      <c r="D1902" t="s">
        <v>7146</v>
      </c>
      <c r="E1902" t="s">
        <v>7144</v>
      </c>
      <c r="F1902" t="s">
        <v>28</v>
      </c>
      <c r="G1902" t="s">
        <v>7144</v>
      </c>
      <c r="H1902" t="str">
        <f>"ugt-46"</f>
        <v>ugt-46</v>
      </c>
      <c r="I1902" t="s">
        <v>7146</v>
      </c>
      <c r="J1902">
        <v>13.437502333639401</v>
      </c>
      <c r="K1902">
        <v>13.337749124601901</v>
      </c>
      <c r="L1902">
        <v>13.395785813458501</v>
      </c>
      <c r="M1902" t="s">
        <v>29</v>
      </c>
      <c r="N1902">
        <v>13.469311201475</v>
      </c>
      <c r="O1902">
        <v>13.7340470551311</v>
      </c>
      <c r="P1902">
        <v>0.21133337106977401</v>
      </c>
      <c r="Q1902">
        <v>-0.242467344646248</v>
      </c>
      <c r="R1902">
        <v>0.665134086785796</v>
      </c>
      <c r="S1902">
        <v>13.2541212634987</v>
      </c>
      <c r="T1902">
        <v>0.98299864086931499</v>
      </c>
      <c r="U1902">
        <v>-6.5516413088253698</v>
      </c>
      <c r="V1902">
        <v>0.33947655303902102</v>
      </c>
      <c r="W1902">
        <v>0.51016695655583599</v>
      </c>
      <c r="X1902">
        <v>0</v>
      </c>
      <c r="Y1902">
        <v>0</v>
      </c>
    </row>
    <row r="1903" spans="1:25" x14ac:dyDescent="0.2">
      <c r="A1903" t="s">
        <v>7147</v>
      </c>
      <c r="B1903" t="s">
        <v>7148</v>
      </c>
      <c r="C1903" t="s">
        <v>7149</v>
      </c>
      <c r="D1903" t="s">
        <v>7150</v>
      </c>
      <c r="E1903" t="s">
        <v>7148</v>
      </c>
      <c r="F1903" t="s">
        <v>28</v>
      </c>
      <c r="G1903" t="s">
        <v>7148</v>
      </c>
      <c r="H1903" t="str">
        <f>"arf-1.2"</f>
        <v>arf-1.2</v>
      </c>
      <c r="I1903" t="s">
        <v>7150</v>
      </c>
      <c r="J1903">
        <v>17.8177277174827</v>
      </c>
      <c r="K1903">
        <v>17.7997106925711</v>
      </c>
      <c r="L1903">
        <v>17.566837089152401</v>
      </c>
      <c r="M1903">
        <v>18.104327567558698</v>
      </c>
      <c r="N1903">
        <v>17.500173650871801</v>
      </c>
      <c r="O1903">
        <v>17.443766026260001</v>
      </c>
      <c r="P1903">
        <v>-4.5336084838563599E-2</v>
      </c>
      <c r="Q1903">
        <v>-0.455576725241641</v>
      </c>
      <c r="R1903">
        <v>0.36490455556451401</v>
      </c>
      <c r="S1903">
        <v>17.230795464830798</v>
      </c>
      <c r="T1903">
        <v>-0.23227252656431999</v>
      </c>
      <c r="U1903">
        <v>-7.1280320710410496</v>
      </c>
      <c r="V1903">
        <v>0.81896196040084301</v>
      </c>
      <c r="W1903">
        <v>0.88568106322982898</v>
      </c>
      <c r="X1903">
        <v>0</v>
      </c>
      <c r="Y1903">
        <v>0</v>
      </c>
    </row>
    <row r="1904" spans="1:25" x14ac:dyDescent="0.2">
      <c r="A1904" t="s">
        <v>7151</v>
      </c>
      <c r="B1904" t="s">
        <v>7152</v>
      </c>
      <c r="C1904" t="s">
        <v>7153</v>
      </c>
      <c r="D1904" t="s">
        <v>7154</v>
      </c>
      <c r="E1904" t="s">
        <v>7152</v>
      </c>
      <c r="F1904" t="s">
        <v>28</v>
      </c>
      <c r="G1904" t="s">
        <v>7152</v>
      </c>
      <c r="H1904" t="str">
        <f>"B0361.6"</f>
        <v>B0361.6</v>
      </c>
      <c r="I1904" t="s">
        <v>7154</v>
      </c>
      <c r="J1904">
        <v>13.608906540398699</v>
      </c>
      <c r="K1904">
        <v>13.133433945645599</v>
      </c>
      <c r="L1904">
        <v>12.7976856737881</v>
      </c>
      <c r="M1904" t="s">
        <v>29</v>
      </c>
      <c r="N1904" t="s">
        <v>29</v>
      </c>
      <c r="O1904">
        <v>13.039456209441401</v>
      </c>
      <c r="P1904">
        <v>-0.140552510502749</v>
      </c>
      <c r="Q1904">
        <v>-1.0212076913408801</v>
      </c>
      <c r="R1904">
        <v>0.74010267033538601</v>
      </c>
      <c r="S1904">
        <v>12.826091306299601</v>
      </c>
      <c r="T1904">
        <v>-0.338518371283555</v>
      </c>
      <c r="U1904">
        <v>-6.7527388699244204</v>
      </c>
      <c r="V1904">
        <v>0.73940292135862196</v>
      </c>
      <c r="W1904">
        <v>0.83168717910070999</v>
      </c>
      <c r="X1904">
        <v>0</v>
      </c>
      <c r="Y1904">
        <v>0</v>
      </c>
    </row>
    <row r="1905" spans="1:25" x14ac:dyDescent="0.2">
      <c r="A1905" t="s">
        <v>7155</v>
      </c>
      <c r="B1905" t="s">
        <v>7156</v>
      </c>
      <c r="C1905" t="s">
        <v>7157</v>
      </c>
      <c r="D1905" t="s">
        <v>7158</v>
      </c>
      <c r="E1905" t="s">
        <v>7156</v>
      </c>
      <c r="F1905" t="s">
        <v>28</v>
      </c>
      <c r="G1905" t="s">
        <v>7156</v>
      </c>
      <c r="H1905" t="str">
        <f>"wrm-1"</f>
        <v>wrm-1</v>
      </c>
      <c r="I1905" t="s">
        <v>7158</v>
      </c>
      <c r="J1905">
        <v>9.88061967931292</v>
      </c>
      <c r="K1905">
        <v>9.7598688446794899</v>
      </c>
      <c r="L1905">
        <v>10.607441639100101</v>
      </c>
      <c r="M1905" t="s">
        <v>29</v>
      </c>
      <c r="N1905" t="s">
        <v>29</v>
      </c>
      <c r="O1905" t="s">
        <v>29</v>
      </c>
      <c r="P1905" t="s">
        <v>29</v>
      </c>
      <c r="Q1905" t="s">
        <v>29</v>
      </c>
      <c r="R1905" t="s">
        <v>29</v>
      </c>
      <c r="S1905">
        <v>10.9436724981375</v>
      </c>
      <c r="T1905" t="s">
        <v>29</v>
      </c>
      <c r="U1905" t="s">
        <v>29</v>
      </c>
      <c r="V1905" t="s">
        <v>29</v>
      </c>
      <c r="W1905" t="s">
        <v>29</v>
      </c>
      <c r="X1905" t="s">
        <v>29</v>
      </c>
      <c r="Y1905" t="s">
        <v>29</v>
      </c>
    </row>
    <row r="1906" spans="1:25" x14ac:dyDescent="0.2">
      <c r="A1906" t="s">
        <v>7159</v>
      </c>
      <c r="B1906" t="s">
        <v>7160</v>
      </c>
      <c r="C1906" t="s">
        <v>7161</v>
      </c>
      <c r="D1906" t="s">
        <v>7162</v>
      </c>
      <c r="E1906" t="s">
        <v>7160</v>
      </c>
      <c r="F1906" t="s">
        <v>28</v>
      </c>
      <c r="G1906" t="s">
        <v>7160</v>
      </c>
      <c r="H1906" t="str">
        <f>"pdi-6"</f>
        <v>pdi-6</v>
      </c>
      <c r="I1906" t="s">
        <v>7162</v>
      </c>
      <c r="J1906">
        <v>14.7792263527787</v>
      </c>
      <c r="K1906">
        <v>14.8551086827873</v>
      </c>
      <c r="L1906">
        <v>14.7717070642158</v>
      </c>
      <c r="M1906">
        <v>15.2215525203026</v>
      </c>
      <c r="N1906">
        <v>15.434281285569901</v>
      </c>
      <c r="O1906">
        <v>15.4639072364926</v>
      </c>
      <c r="P1906">
        <v>0.57123298086108998</v>
      </c>
      <c r="Q1906">
        <v>-1.8289668514517301E-3</v>
      </c>
      <c r="R1906">
        <v>1.1442949285736299</v>
      </c>
      <c r="S1906">
        <v>14.5212483382647</v>
      </c>
      <c r="T1906">
        <v>2.0950973892115599</v>
      </c>
      <c r="U1906">
        <v>-5.0976375756938896</v>
      </c>
      <c r="V1906">
        <v>5.0660425152969299E-2</v>
      </c>
      <c r="W1906">
        <v>0.137347077208648</v>
      </c>
      <c r="X1906">
        <v>0</v>
      </c>
      <c r="Y1906">
        <v>0</v>
      </c>
    </row>
    <row r="1907" spans="1:25" x14ac:dyDescent="0.2">
      <c r="A1907" t="s">
        <v>7163</v>
      </c>
      <c r="B1907" t="s">
        <v>7164</v>
      </c>
      <c r="C1907" t="s">
        <v>7165</v>
      </c>
      <c r="D1907" t="s">
        <v>7166</v>
      </c>
      <c r="E1907" t="s">
        <v>7164</v>
      </c>
      <c r="F1907" t="s">
        <v>28</v>
      </c>
      <c r="G1907" t="s">
        <v>7164</v>
      </c>
      <c r="H1907" t="str">
        <f>"gly-13"</f>
        <v>gly-13</v>
      </c>
      <c r="I1907" t="s">
        <v>7166</v>
      </c>
      <c r="J1907">
        <v>12.0575689942268</v>
      </c>
      <c r="K1907">
        <v>12.338814963354499</v>
      </c>
      <c r="L1907">
        <v>12.614180000496701</v>
      </c>
      <c r="M1907" t="s">
        <v>29</v>
      </c>
      <c r="N1907" t="s">
        <v>29</v>
      </c>
      <c r="O1907">
        <v>13.355128439168301</v>
      </c>
      <c r="P1907">
        <v>1.0182737864756199</v>
      </c>
      <c r="Q1907">
        <v>9.7149703113518407E-2</v>
      </c>
      <c r="R1907">
        <v>1.9393978698377099</v>
      </c>
      <c r="S1907">
        <v>12.0511610857539</v>
      </c>
      <c r="T1907">
        <v>2.3576972249102899</v>
      </c>
      <c r="U1907">
        <v>-4.3273082290007503</v>
      </c>
      <c r="V1907">
        <v>3.2495695953269101E-2</v>
      </c>
      <c r="W1907">
        <v>0.102531922884673</v>
      </c>
      <c r="X1907">
        <v>1</v>
      </c>
      <c r="Y1907">
        <v>0</v>
      </c>
    </row>
    <row r="1908" spans="1:25" x14ac:dyDescent="0.2">
      <c r="A1908" t="s">
        <v>7167</v>
      </c>
      <c r="B1908" t="s">
        <v>7168</v>
      </c>
      <c r="C1908" t="s">
        <v>7169</v>
      </c>
      <c r="D1908" t="s">
        <v>7170</v>
      </c>
      <c r="E1908" t="s">
        <v>7168</v>
      </c>
      <c r="F1908" t="s">
        <v>28</v>
      </c>
      <c r="G1908" t="s">
        <v>7168</v>
      </c>
      <c r="H1908" t="str">
        <f>"B0416.5"</f>
        <v>B0416.5</v>
      </c>
      <c r="I1908" t="s">
        <v>7170</v>
      </c>
      <c r="J1908">
        <v>15.2621389758815</v>
      </c>
      <c r="K1908">
        <v>15.3937649378371</v>
      </c>
      <c r="L1908">
        <v>15.319446783827001</v>
      </c>
      <c r="M1908">
        <v>15.009391205070999</v>
      </c>
      <c r="N1908">
        <v>15.0709232847599</v>
      </c>
      <c r="O1908">
        <v>15.352949678854401</v>
      </c>
      <c r="P1908">
        <v>-0.18069550962012601</v>
      </c>
      <c r="Q1908">
        <v>-0.57958265726464497</v>
      </c>
      <c r="R1908">
        <v>0.21819163802439301</v>
      </c>
      <c r="S1908">
        <v>15.4096219669602</v>
      </c>
      <c r="T1908">
        <v>-0.95211592691483804</v>
      </c>
      <c r="U1908">
        <v>-6.6922914564065401</v>
      </c>
      <c r="V1908">
        <v>0.35372234938382602</v>
      </c>
      <c r="W1908">
        <v>0.52368658435834103</v>
      </c>
      <c r="X1908">
        <v>0</v>
      </c>
      <c r="Y1908">
        <v>0</v>
      </c>
    </row>
    <row r="1909" spans="1:25" x14ac:dyDescent="0.2">
      <c r="A1909" t="s">
        <v>7171</v>
      </c>
      <c r="B1909" t="s">
        <v>7172</v>
      </c>
      <c r="C1909" t="s">
        <v>7173</v>
      </c>
      <c r="D1909" t="s">
        <v>7174</v>
      </c>
      <c r="E1909" t="s">
        <v>7172</v>
      </c>
      <c r="F1909" t="s">
        <v>28</v>
      </c>
      <c r="G1909" t="s">
        <v>7172</v>
      </c>
      <c r="H1909" t="str">
        <f>"lin-13"</f>
        <v>lin-13</v>
      </c>
      <c r="I1909" t="s">
        <v>7174</v>
      </c>
      <c r="J1909">
        <v>14.656701919659801</v>
      </c>
      <c r="K1909">
        <v>15.0071547342381</v>
      </c>
      <c r="L1909">
        <v>15.135666617435</v>
      </c>
      <c r="M1909" t="s">
        <v>29</v>
      </c>
      <c r="N1909">
        <v>14.6614833580343</v>
      </c>
      <c r="O1909">
        <v>14.406621484251</v>
      </c>
      <c r="P1909">
        <v>-0.399122002634972</v>
      </c>
      <c r="Q1909">
        <v>-0.83109054437715701</v>
      </c>
      <c r="R1909">
        <v>3.28465391072136E-2</v>
      </c>
      <c r="S1909">
        <v>15.0242189700007</v>
      </c>
      <c r="T1909">
        <v>-1.9503096197240499</v>
      </c>
      <c r="U1909">
        <v>-5.2436305068526297</v>
      </c>
      <c r="V1909">
        <v>6.7930876972429402E-2</v>
      </c>
      <c r="W1909">
        <v>0.16792273970789801</v>
      </c>
      <c r="X1909">
        <v>0</v>
      </c>
      <c r="Y1909">
        <v>0</v>
      </c>
    </row>
    <row r="1910" spans="1:25" x14ac:dyDescent="0.2">
      <c r="A1910" t="s">
        <v>7175</v>
      </c>
      <c r="B1910" t="s">
        <v>7176</v>
      </c>
      <c r="C1910" t="s">
        <v>7177</v>
      </c>
      <c r="D1910" t="s">
        <v>7178</v>
      </c>
      <c r="E1910" t="s">
        <v>7176</v>
      </c>
      <c r="F1910" t="s">
        <v>28</v>
      </c>
      <c r="G1910" t="s">
        <v>7176</v>
      </c>
      <c r="H1910" t="str">
        <f>"C03B1.7"</f>
        <v>C03B1.7</v>
      </c>
      <c r="I1910" t="s">
        <v>7178</v>
      </c>
      <c r="J1910" t="s">
        <v>29</v>
      </c>
      <c r="K1910" t="s">
        <v>29</v>
      </c>
      <c r="L1910" t="s">
        <v>29</v>
      </c>
      <c r="M1910" t="s">
        <v>29</v>
      </c>
      <c r="N1910" t="s">
        <v>29</v>
      </c>
      <c r="O1910" t="s">
        <v>29</v>
      </c>
      <c r="P1910" t="s">
        <v>29</v>
      </c>
      <c r="Q1910" t="s">
        <v>29</v>
      </c>
      <c r="R1910" t="s">
        <v>29</v>
      </c>
      <c r="S1910">
        <v>10.782003568131</v>
      </c>
      <c r="T1910" t="s">
        <v>29</v>
      </c>
      <c r="U1910" t="s">
        <v>29</v>
      </c>
      <c r="V1910" t="s">
        <v>29</v>
      </c>
      <c r="W1910" t="s">
        <v>29</v>
      </c>
      <c r="X1910" t="s">
        <v>29</v>
      </c>
      <c r="Y1910" t="s">
        <v>29</v>
      </c>
    </row>
    <row r="1911" spans="1:25" x14ac:dyDescent="0.2">
      <c r="A1911" t="s">
        <v>7179</v>
      </c>
      <c r="B1911" t="s">
        <v>7180</v>
      </c>
      <c r="C1911" t="s">
        <v>7181</v>
      </c>
      <c r="D1911" t="s">
        <v>7182</v>
      </c>
      <c r="E1911" t="s">
        <v>7180</v>
      </c>
      <c r="F1911" t="s">
        <v>28</v>
      </c>
      <c r="G1911" t="s">
        <v>7180</v>
      </c>
      <c r="H1911" t="str">
        <f>"dhs-27"</f>
        <v>dhs-27</v>
      </c>
      <c r="I1911" t="s">
        <v>7182</v>
      </c>
      <c r="J1911">
        <v>12.8384326457531</v>
      </c>
      <c r="K1911">
        <v>13.206047269742101</v>
      </c>
      <c r="L1911">
        <v>13.5826254578723</v>
      </c>
      <c r="M1911" t="s">
        <v>29</v>
      </c>
      <c r="N1911">
        <v>13.565387742282899</v>
      </c>
      <c r="O1911">
        <v>13.970460748142401</v>
      </c>
      <c r="P1911">
        <v>0.55888912075681696</v>
      </c>
      <c r="Q1911">
        <v>7.8529869896414903E-2</v>
      </c>
      <c r="R1911">
        <v>1.0392483716172201</v>
      </c>
      <c r="S1911">
        <v>13.652495125696101</v>
      </c>
      <c r="T1911">
        <v>2.4677946976055698</v>
      </c>
      <c r="U1911">
        <v>-4.3295242662905702</v>
      </c>
      <c r="V1911">
        <v>2.5340543499689699E-2</v>
      </c>
      <c r="W1911">
        <v>8.6233928052639103E-2</v>
      </c>
      <c r="X1911">
        <v>0</v>
      </c>
      <c r="Y1911">
        <v>0</v>
      </c>
    </row>
    <row r="1912" spans="1:25" x14ac:dyDescent="0.2">
      <c r="A1912" t="s">
        <v>7183</v>
      </c>
      <c r="B1912" t="s">
        <v>7184</v>
      </c>
      <c r="C1912" t="s">
        <v>7185</v>
      </c>
      <c r="D1912" t="s">
        <v>7186</v>
      </c>
      <c r="E1912" t="s">
        <v>7184</v>
      </c>
      <c r="F1912" t="s">
        <v>28</v>
      </c>
      <c r="G1912" t="s">
        <v>7184</v>
      </c>
      <c r="H1912" t="str">
        <f>"vps-16"</f>
        <v>vps-16</v>
      </c>
      <c r="I1912" t="s">
        <v>7186</v>
      </c>
      <c r="J1912">
        <v>13.126964394053999</v>
      </c>
      <c r="K1912">
        <v>13.122594689309</v>
      </c>
      <c r="L1912">
        <v>12.787581033880899</v>
      </c>
      <c r="M1912" t="s">
        <v>29</v>
      </c>
      <c r="N1912" t="s">
        <v>29</v>
      </c>
      <c r="O1912" t="s">
        <v>29</v>
      </c>
      <c r="P1912" t="s">
        <v>29</v>
      </c>
      <c r="Q1912" t="s">
        <v>29</v>
      </c>
      <c r="R1912" t="s">
        <v>29</v>
      </c>
      <c r="S1912">
        <v>12.7305123230216</v>
      </c>
      <c r="T1912" t="s">
        <v>29</v>
      </c>
      <c r="U1912" t="s">
        <v>29</v>
      </c>
      <c r="V1912" t="s">
        <v>29</v>
      </c>
      <c r="W1912" t="s">
        <v>29</v>
      </c>
      <c r="X1912" t="s">
        <v>29</v>
      </c>
      <c r="Y1912" t="s">
        <v>29</v>
      </c>
    </row>
    <row r="1913" spans="1:25" x14ac:dyDescent="0.2">
      <c r="A1913" t="s">
        <v>7187</v>
      </c>
      <c r="B1913" t="s">
        <v>7188</v>
      </c>
      <c r="C1913" t="s">
        <v>7189</v>
      </c>
      <c r="D1913" t="s">
        <v>7190</v>
      </c>
      <c r="E1913" t="s">
        <v>7188</v>
      </c>
      <c r="F1913" t="s">
        <v>28</v>
      </c>
      <c r="G1913" t="s">
        <v>7188</v>
      </c>
      <c r="H1913" t="str">
        <f>"txdc-9"</f>
        <v>txdc-9</v>
      </c>
      <c r="I1913" t="s">
        <v>7190</v>
      </c>
      <c r="J1913">
        <v>13.8671670626384</v>
      </c>
      <c r="K1913">
        <v>14.046311058760701</v>
      </c>
      <c r="L1913">
        <v>14.2131528897745</v>
      </c>
      <c r="M1913" t="s">
        <v>29</v>
      </c>
      <c r="N1913">
        <v>14.1744335607412</v>
      </c>
      <c r="O1913">
        <v>13.9573918693062</v>
      </c>
      <c r="P1913">
        <v>2.3702377965827599E-2</v>
      </c>
      <c r="Q1913">
        <v>-0.40800428260793298</v>
      </c>
      <c r="R1913">
        <v>0.45540903853958797</v>
      </c>
      <c r="S1913">
        <v>13.65263095593</v>
      </c>
      <c r="T1913">
        <v>0.11589192673420499</v>
      </c>
      <c r="U1913">
        <v>-7.0384178020658101</v>
      </c>
      <c r="V1913">
        <v>0.90910454953184805</v>
      </c>
      <c r="W1913">
        <v>0.94521588664092104</v>
      </c>
      <c r="X1913">
        <v>0</v>
      </c>
      <c r="Y1913">
        <v>0</v>
      </c>
    </row>
    <row r="1914" spans="1:25" x14ac:dyDescent="0.2">
      <c r="A1914" t="s">
        <v>7191</v>
      </c>
      <c r="B1914" t="s">
        <v>7192</v>
      </c>
      <c r="C1914" t="s">
        <v>7193</v>
      </c>
      <c r="D1914" t="s">
        <v>7194</v>
      </c>
      <c r="E1914" t="s">
        <v>7192</v>
      </c>
      <c r="F1914" t="s">
        <v>28</v>
      </c>
      <c r="G1914" t="s">
        <v>7192</v>
      </c>
      <c r="H1914" t="str">
        <f>"popl-1"</f>
        <v>popl-1</v>
      </c>
      <c r="I1914" t="s">
        <v>7194</v>
      </c>
      <c r="J1914">
        <v>13.531026267378801</v>
      </c>
      <c r="K1914">
        <v>13.5856830329998</v>
      </c>
      <c r="L1914">
        <v>13.470781174293901</v>
      </c>
      <c r="M1914">
        <v>15.018736701692699</v>
      </c>
      <c r="N1914">
        <v>14.495629701098601</v>
      </c>
      <c r="O1914">
        <v>13.827273173673801</v>
      </c>
      <c r="P1914">
        <v>0.918049700597528</v>
      </c>
      <c r="Q1914">
        <v>0.321940301013108</v>
      </c>
      <c r="R1914">
        <v>1.5141591001819501</v>
      </c>
      <c r="S1914">
        <v>14.2332899688694</v>
      </c>
      <c r="T1914">
        <v>3.2369257428304699</v>
      </c>
      <c r="U1914">
        <v>-2.83481501952545</v>
      </c>
      <c r="V1914">
        <v>4.6019605930232802E-3</v>
      </c>
      <c r="W1914">
        <v>2.68554017180982E-2</v>
      </c>
      <c r="X1914">
        <v>0</v>
      </c>
      <c r="Y1914">
        <v>0</v>
      </c>
    </row>
    <row r="1915" spans="1:25" x14ac:dyDescent="0.2">
      <c r="A1915" t="s">
        <v>7195</v>
      </c>
      <c r="B1915" t="s">
        <v>7196</v>
      </c>
      <c r="C1915" t="s">
        <v>7197</v>
      </c>
      <c r="D1915" t="s">
        <v>7198</v>
      </c>
      <c r="E1915" t="s">
        <v>7196</v>
      </c>
      <c r="F1915" t="s">
        <v>28</v>
      </c>
      <c r="G1915" t="s">
        <v>7196</v>
      </c>
      <c r="H1915" t="str">
        <f>"mrps-17"</f>
        <v>mrps-17</v>
      </c>
      <c r="I1915" t="s">
        <v>7198</v>
      </c>
      <c r="J1915">
        <v>12.6090947848716</v>
      </c>
      <c r="K1915">
        <v>12.5531810601628</v>
      </c>
      <c r="L1915">
        <v>12.524119704558601</v>
      </c>
      <c r="M1915" t="s">
        <v>29</v>
      </c>
      <c r="N1915">
        <v>13.5305385198947</v>
      </c>
      <c r="O1915">
        <v>12.7508482596891</v>
      </c>
      <c r="P1915">
        <v>0.57856153992759995</v>
      </c>
      <c r="Q1915">
        <v>6.1915631555117902E-2</v>
      </c>
      <c r="R1915">
        <v>1.09520744830008</v>
      </c>
      <c r="S1915">
        <v>12.6696702294605</v>
      </c>
      <c r="T1915">
        <v>2.3752323298389602</v>
      </c>
      <c r="U1915">
        <v>-4.5017842531392702</v>
      </c>
      <c r="V1915">
        <v>3.0469508215290899E-2</v>
      </c>
      <c r="W1915">
        <v>9.73261220897991E-2</v>
      </c>
      <c r="X1915">
        <v>0</v>
      </c>
      <c r="Y1915">
        <v>0</v>
      </c>
    </row>
    <row r="1916" spans="1:25" x14ac:dyDescent="0.2">
      <c r="A1916" t="s">
        <v>7199</v>
      </c>
      <c r="B1916" t="s">
        <v>7200</v>
      </c>
      <c r="C1916" t="s">
        <v>7201</v>
      </c>
      <c r="D1916" t="s">
        <v>7202</v>
      </c>
      <c r="E1916" t="s">
        <v>7200</v>
      </c>
      <c r="F1916" t="s">
        <v>28</v>
      </c>
      <c r="G1916" t="s">
        <v>7200</v>
      </c>
      <c r="H1916" t="str">
        <f>"let-721"</f>
        <v>let-721</v>
      </c>
      <c r="I1916" t="s">
        <v>7202</v>
      </c>
      <c r="J1916">
        <v>12.3698809235025</v>
      </c>
      <c r="K1916">
        <v>12.7979025755603</v>
      </c>
      <c r="L1916">
        <v>13.0349622238696</v>
      </c>
      <c r="M1916" t="s">
        <v>29</v>
      </c>
      <c r="N1916">
        <v>12.8765656316194</v>
      </c>
      <c r="O1916">
        <v>13.5827747515052</v>
      </c>
      <c r="P1916">
        <v>0.49542161725148398</v>
      </c>
      <c r="Q1916">
        <v>-0.62616335836162296</v>
      </c>
      <c r="R1916">
        <v>1.61700659286459</v>
      </c>
      <c r="S1916">
        <v>12.9993404627998</v>
      </c>
      <c r="T1916">
        <v>0.932379643024705</v>
      </c>
      <c r="U1916">
        <v>-6.5999604434302102</v>
      </c>
      <c r="V1916">
        <v>0.364274177960556</v>
      </c>
      <c r="W1916">
        <v>0.53276228409417303</v>
      </c>
      <c r="X1916">
        <v>0</v>
      </c>
      <c r="Y1916">
        <v>0</v>
      </c>
    </row>
    <row r="1917" spans="1:25" x14ac:dyDescent="0.2">
      <c r="A1917" t="s">
        <v>7203</v>
      </c>
      <c r="B1917" t="s">
        <v>7204</v>
      </c>
      <c r="C1917" t="s">
        <v>7205</v>
      </c>
      <c r="D1917" t="s">
        <v>7206</v>
      </c>
      <c r="E1917" t="s">
        <v>7204</v>
      </c>
      <c r="F1917" t="s">
        <v>28</v>
      </c>
      <c r="G1917" t="s">
        <v>7204</v>
      </c>
      <c r="H1917" t="str">
        <f>"sor-3"</f>
        <v>sor-3</v>
      </c>
      <c r="I1917" t="s">
        <v>7206</v>
      </c>
      <c r="J1917">
        <v>13.302825935860501</v>
      </c>
      <c r="K1917">
        <v>13.9023973148587</v>
      </c>
      <c r="L1917">
        <v>13.4985261658393</v>
      </c>
      <c r="M1917" t="s">
        <v>29</v>
      </c>
      <c r="N1917">
        <v>13.923459519536699</v>
      </c>
      <c r="O1917">
        <v>13.706945172777299</v>
      </c>
      <c r="P1917">
        <v>0.247285873970821</v>
      </c>
      <c r="Q1917">
        <v>-0.190461188922317</v>
      </c>
      <c r="R1917">
        <v>0.68503293686395805</v>
      </c>
      <c r="S1917">
        <v>13.736443870707401</v>
      </c>
      <c r="T1917">
        <v>1.19241129346724</v>
      </c>
      <c r="U1917">
        <v>-6.3280882496028896</v>
      </c>
      <c r="V1917">
        <v>0.24957908904290399</v>
      </c>
      <c r="W1917">
        <v>0.41676106069415497</v>
      </c>
      <c r="X1917">
        <v>0</v>
      </c>
      <c r="Y1917">
        <v>0</v>
      </c>
    </row>
    <row r="1918" spans="1:25" x14ac:dyDescent="0.2">
      <c r="A1918" t="s">
        <v>7207</v>
      </c>
      <c r="B1918" t="s">
        <v>7208</v>
      </c>
      <c r="C1918" t="s">
        <v>7209</v>
      </c>
      <c r="D1918" t="s">
        <v>7210</v>
      </c>
      <c r="E1918" t="s">
        <v>7208</v>
      </c>
      <c r="F1918" t="s">
        <v>28</v>
      </c>
      <c r="G1918" t="s">
        <v>7208</v>
      </c>
      <c r="H1918" t="str">
        <f>"sodh-1"</f>
        <v>sodh-1</v>
      </c>
      <c r="I1918" t="s">
        <v>7210</v>
      </c>
      <c r="J1918">
        <v>15.390750124306599</v>
      </c>
      <c r="K1918">
        <v>16.145588328132401</v>
      </c>
      <c r="L1918">
        <v>14.028495461305599</v>
      </c>
      <c r="M1918">
        <v>16.021298263361601</v>
      </c>
      <c r="N1918">
        <v>16.342926691518201</v>
      </c>
      <c r="O1918">
        <v>16.521729480591699</v>
      </c>
      <c r="P1918">
        <v>1.10704017390892</v>
      </c>
      <c r="Q1918">
        <v>0.13590297822022401</v>
      </c>
      <c r="R1918">
        <v>2.0781773695976198</v>
      </c>
      <c r="S1918">
        <v>14.267635090486101</v>
      </c>
      <c r="T1918">
        <v>2.3959365139839202</v>
      </c>
      <c r="U1918">
        <v>-4.5457843522979102</v>
      </c>
      <c r="V1918">
        <v>2.7726276954952899E-2</v>
      </c>
      <c r="W1918">
        <v>9.1091792849772896E-2</v>
      </c>
      <c r="X1918">
        <v>1</v>
      </c>
      <c r="Y1918">
        <v>0</v>
      </c>
    </row>
    <row r="1919" spans="1:25" x14ac:dyDescent="0.2">
      <c r="A1919" t="s">
        <v>7211</v>
      </c>
      <c r="B1919" t="s">
        <v>7212</v>
      </c>
      <c r="C1919" t="s">
        <v>7213</v>
      </c>
      <c r="D1919" t="s">
        <v>7214</v>
      </c>
      <c r="E1919" t="s">
        <v>7212</v>
      </c>
      <c r="F1919" t="s">
        <v>28</v>
      </c>
      <c r="G1919" t="s">
        <v>7212</v>
      </c>
      <c r="H1919" t="str">
        <f>"H24K24.3"</f>
        <v>H24K24.3</v>
      </c>
      <c r="I1919" t="s">
        <v>7214</v>
      </c>
      <c r="J1919">
        <v>12.5731976862692</v>
      </c>
      <c r="K1919">
        <v>12.664647902074501</v>
      </c>
      <c r="L1919">
        <v>12.3852416052398</v>
      </c>
      <c r="M1919" t="s">
        <v>29</v>
      </c>
      <c r="N1919">
        <v>10.692072554477599</v>
      </c>
      <c r="O1919">
        <v>12.540424107377399</v>
      </c>
      <c r="P1919">
        <v>-0.92478073360035895</v>
      </c>
      <c r="Q1919">
        <v>-1.80460219602585</v>
      </c>
      <c r="R1919">
        <v>-4.4959271174869898E-2</v>
      </c>
      <c r="S1919">
        <v>12.1794589678364</v>
      </c>
      <c r="T1919">
        <v>-2.2186777827174802</v>
      </c>
      <c r="U1919">
        <v>-4.7770115949967202</v>
      </c>
      <c r="V1919">
        <v>4.05003037640944E-2</v>
      </c>
      <c r="W1919">
        <v>0.11873416348898901</v>
      </c>
      <c r="X1919">
        <v>0</v>
      </c>
      <c r="Y1919">
        <v>0</v>
      </c>
    </row>
    <row r="1920" spans="1:25" x14ac:dyDescent="0.2">
      <c r="A1920" t="s">
        <v>7215</v>
      </c>
      <c r="B1920" t="s">
        <v>7216</v>
      </c>
      <c r="C1920" t="s">
        <v>7217</v>
      </c>
      <c r="D1920" t="s">
        <v>7218</v>
      </c>
      <c r="E1920" t="s">
        <v>7216</v>
      </c>
      <c r="F1920" t="s">
        <v>28</v>
      </c>
      <c r="G1920" t="s">
        <v>7216</v>
      </c>
      <c r="H1920" t="str">
        <f>"let-858"</f>
        <v>let-858</v>
      </c>
      <c r="I1920" t="s">
        <v>7218</v>
      </c>
      <c r="J1920">
        <v>13.5793828618789</v>
      </c>
      <c r="K1920">
        <v>14.3644942705999</v>
      </c>
      <c r="L1920">
        <v>14.3149091196666</v>
      </c>
      <c r="M1920">
        <v>13.324739134133999</v>
      </c>
      <c r="N1920">
        <v>14.693243488393501</v>
      </c>
      <c r="O1920">
        <v>13.6060030108193</v>
      </c>
      <c r="P1920">
        <v>-0.211600206266192</v>
      </c>
      <c r="Q1920">
        <v>-0.90833558506976997</v>
      </c>
      <c r="R1920">
        <v>0.48513517253738497</v>
      </c>
      <c r="S1920">
        <v>14.613458824346299</v>
      </c>
      <c r="T1920">
        <v>-0.63832335716470101</v>
      </c>
      <c r="U1920">
        <v>-6.9448839479508804</v>
      </c>
      <c r="V1920">
        <v>0.53134803113951501</v>
      </c>
      <c r="W1920">
        <v>0.68145954628388605</v>
      </c>
      <c r="X1920">
        <v>0</v>
      </c>
      <c r="Y1920">
        <v>0</v>
      </c>
    </row>
    <row r="1921" spans="1:25" x14ac:dyDescent="0.2">
      <c r="A1921" t="s">
        <v>7219</v>
      </c>
      <c r="B1921" t="s">
        <v>7220</v>
      </c>
      <c r="C1921" t="s">
        <v>7221</v>
      </c>
      <c r="D1921" t="s">
        <v>7222</v>
      </c>
      <c r="E1921" t="s">
        <v>7220</v>
      </c>
      <c r="F1921" t="s">
        <v>28</v>
      </c>
      <c r="G1921" t="s">
        <v>7220</v>
      </c>
      <c r="H1921" t="str">
        <f>"gld-1"</f>
        <v>gld-1</v>
      </c>
      <c r="I1921" t="s">
        <v>7222</v>
      </c>
      <c r="J1921">
        <v>14.283215638323901</v>
      </c>
      <c r="K1921">
        <v>14.281619467052</v>
      </c>
      <c r="L1921">
        <v>14.9145278093052</v>
      </c>
      <c r="M1921">
        <v>16.373249384294098</v>
      </c>
      <c r="N1921">
        <v>16.4410398397447</v>
      </c>
      <c r="O1921">
        <v>14.765856185855499</v>
      </c>
      <c r="P1921">
        <v>1.36692749840439</v>
      </c>
      <c r="Q1921">
        <v>0.52284049808017197</v>
      </c>
      <c r="R1921">
        <v>2.2110144987285998</v>
      </c>
      <c r="S1921">
        <v>15.480322176860099</v>
      </c>
      <c r="T1921">
        <v>3.4036961359291902</v>
      </c>
      <c r="U1921">
        <v>-2.4765421948431001</v>
      </c>
      <c r="V1921">
        <v>3.1865942965859399E-3</v>
      </c>
      <c r="W1921">
        <v>2.0509121015841601E-2</v>
      </c>
      <c r="X1921">
        <v>1</v>
      </c>
      <c r="Y1921">
        <v>1</v>
      </c>
    </row>
    <row r="1922" spans="1:25" x14ac:dyDescent="0.2">
      <c r="A1922" t="s">
        <v>7223</v>
      </c>
      <c r="B1922" t="s">
        <v>7224</v>
      </c>
      <c r="C1922" t="s">
        <v>7225</v>
      </c>
      <c r="D1922" t="s">
        <v>7226</v>
      </c>
      <c r="E1922" t="s">
        <v>7224</v>
      </c>
      <c r="F1922" t="s">
        <v>28</v>
      </c>
      <c r="G1922" t="s">
        <v>7224</v>
      </c>
      <c r="H1922" t="str">
        <f>"ccf-1"</f>
        <v>ccf-1</v>
      </c>
      <c r="I1922" t="s">
        <v>7226</v>
      </c>
      <c r="J1922">
        <v>14.228326954144</v>
      </c>
      <c r="K1922">
        <v>14.248012718961</v>
      </c>
      <c r="L1922">
        <v>14.261948278528401</v>
      </c>
      <c r="M1922">
        <v>14.9712744775803</v>
      </c>
      <c r="N1922">
        <v>13.7596547677083</v>
      </c>
      <c r="O1922">
        <v>13.941636781916101</v>
      </c>
      <c r="P1922">
        <v>-2.19073081428913E-2</v>
      </c>
      <c r="Q1922">
        <v>-0.51382061531649104</v>
      </c>
      <c r="R1922">
        <v>0.470005999030708</v>
      </c>
      <c r="S1922">
        <v>14.000366243669101</v>
      </c>
      <c r="T1922">
        <v>-9.3603687694170504E-2</v>
      </c>
      <c r="U1922">
        <v>-7.1517051672187701</v>
      </c>
      <c r="V1922">
        <v>0.92646403249039799</v>
      </c>
      <c r="W1922">
        <v>0.958332574148544</v>
      </c>
      <c r="X1922">
        <v>0</v>
      </c>
      <c r="Y1922">
        <v>0</v>
      </c>
    </row>
    <row r="1923" spans="1:25" x14ac:dyDescent="0.2">
      <c r="A1923" t="s">
        <v>7227</v>
      </c>
      <c r="B1923" t="s">
        <v>7228</v>
      </c>
      <c r="C1923" t="s">
        <v>7229</v>
      </c>
      <c r="D1923" t="s">
        <v>7230</v>
      </c>
      <c r="E1923" t="s">
        <v>7228</v>
      </c>
      <c r="F1923" t="s">
        <v>28</v>
      </c>
      <c r="G1923" t="s">
        <v>7228</v>
      </c>
      <c r="H1923" t="str">
        <f>"snr-1"</f>
        <v>snr-1</v>
      </c>
      <c r="I1923" t="s">
        <v>7230</v>
      </c>
      <c r="J1923">
        <v>11.0154678968523</v>
      </c>
      <c r="K1923">
        <v>12.036688539931401</v>
      </c>
      <c r="L1923">
        <v>13.2435371510108</v>
      </c>
      <c r="M1923" t="s">
        <v>29</v>
      </c>
      <c r="N1923">
        <v>12.932366028145401</v>
      </c>
      <c r="O1923">
        <v>13.2962673082676</v>
      </c>
      <c r="P1923">
        <v>1.0157521389416599</v>
      </c>
      <c r="Q1923">
        <v>-6.7834673311731195E-2</v>
      </c>
      <c r="R1923">
        <v>2.0993389511950502</v>
      </c>
      <c r="S1923">
        <v>12.589944925999401</v>
      </c>
      <c r="T1923">
        <v>1.9786730920378399</v>
      </c>
      <c r="U1923">
        <v>-5.1960257523276496</v>
      </c>
      <c r="V1923">
        <v>6.4391993796206901E-2</v>
      </c>
      <c r="W1923">
        <v>0.162425583074498</v>
      </c>
      <c r="X1923">
        <v>0</v>
      </c>
      <c r="Y1923">
        <v>0</v>
      </c>
    </row>
    <row r="1924" spans="1:25" x14ac:dyDescent="0.2">
      <c r="A1924" t="s">
        <v>7231</v>
      </c>
      <c r="B1924" t="s">
        <v>7232</v>
      </c>
      <c r="C1924" t="s">
        <v>7233</v>
      </c>
      <c r="D1924" t="s">
        <v>7234</v>
      </c>
      <c r="E1924" t="s">
        <v>7232</v>
      </c>
      <c r="F1924" t="s">
        <v>28</v>
      </c>
      <c r="G1924" t="s">
        <v>7232</v>
      </c>
      <c r="H1924" t="str">
        <f>"par-3"</f>
        <v>par-3</v>
      </c>
      <c r="I1924" t="s">
        <v>7234</v>
      </c>
      <c r="J1924">
        <v>12.0330060007266</v>
      </c>
      <c r="K1924">
        <v>12.288258855572</v>
      </c>
      <c r="L1924">
        <v>12.8928534718526</v>
      </c>
      <c r="M1924" t="s">
        <v>29</v>
      </c>
      <c r="N1924" t="s">
        <v>29</v>
      </c>
      <c r="O1924" t="s">
        <v>29</v>
      </c>
      <c r="P1924" t="s">
        <v>29</v>
      </c>
      <c r="Q1924" t="s">
        <v>29</v>
      </c>
      <c r="R1924" t="s">
        <v>29</v>
      </c>
      <c r="S1924">
        <v>12.6203055607743</v>
      </c>
      <c r="T1924" t="s">
        <v>29</v>
      </c>
      <c r="U1924" t="s">
        <v>29</v>
      </c>
      <c r="V1924" t="s">
        <v>29</v>
      </c>
      <c r="W1924" t="s">
        <v>29</v>
      </c>
      <c r="X1924" t="s">
        <v>29</v>
      </c>
      <c r="Y1924" t="s">
        <v>29</v>
      </c>
    </row>
    <row r="1925" spans="1:25" x14ac:dyDescent="0.2">
      <c r="A1925" t="s">
        <v>7235</v>
      </c>
      <c r="B1925" t="s">
        <v>7236</v>
      </c>
      <c r="C1925" t="s">
        <v>7237</v>
      </c>
      <c r="D1925" t="s">
        <v>7238</v>
      </c>
      <c r="E1925" t="s">
        <v>7236</v>
      </c>
      <c r="F1925" t="s">
        <v>28</v>
      </c>
      <c r="G1925" t="s">
        <v>7236</v>
      </c>
      <c r="H1925" t="str">
        <f>"usp-14"</f>
        <v>usp-14</v>
      </c>
      <c r="I1925" t="s">
        <v>7238</v>
      </c>
      <c r="J1925">
        <v>14.369751896301899</v>
      </c>
      <c r="K1925">
        <v>13.8827255902976</v>
      </c>
      <c r="L1925">
        <v>13.816577028334301</v>
      </c>
      <c r="M1925">
        <v>14.7962097241421</v>
      </c>
      <c r="N1925">
        <v>14.139064378529101</v>
      </c>
      <c r="O1925">
        <v>14.285067294850499</v>
      </c>
      <c r="P1925">
        <v>0.38376229419593599</v>
      </c>
      <c r="Q1925">
        <v>-0.14636927154606399</v>
      </c>
      <c r="R1925">
        <v>0.91389385993793604</v>
      </c>
      <c r="S1925">
        <v>13.7234993009465</v>
      </c>
      <c r="T1925">
        <v>1.52149717598971</v>
      </c>
      <c r="U1925">
        <v>-6.0142604893402698</v>
      </c>
      <c r="V1925">
        <v>0.145609037372256</v>
      </c>
      <c r="W1925">
        <v>0.28741448970933697</v>
      </c>
      <c r="X1925">
        <v>0</v>
      </c>
      <c r="Y1925">
        <v>0</v>
      </c>
    </row>
    <row r="1926" spans="1:25" x14ac:dyDescent="0.2">
      <c r="A1926" t="s">
        <v>7239</v>
      </c>
      <c r="B1926" t="s">
        <v>7240</v>
      </c>
      <c r="C1926" t="s">
        <v>7241</v>
      </c>
      <c r="D1926" t="s">
        <v>7242</v>
      </c>
      <c r="E1926" t="s">
        <v>7240</v>
      </c>
      <c r="F1926" t="s">
        <v>28</v>
      </c>
      <c r="G1926" t="s">
        <v>7240</v>
      </c>
      <c r="H1926" t="str">
        <f>"cul-1"</f>
        <v>cul-1</v>
      </c>
      <c r="I1926" t="s">
        <v>7242</v>
      </c>
      <c r="J1926">
        <v>15.3272322039691</v>
      </c>
      <c r="K1926">
        <v>15.2189103463107</v>
      </c>
      <c r="L1926">
        <v>15.2206213615643</v>
      </c>
      <c r="M1926">
        <v>16.126844692511199</v>
      </c>
      <c r="N1926">
        <v>15.117780510489901</v>
      </c>
      <c r="O1926">
        <v>15.308626135151099</v>
      </c>
      <c r="P1926">
        <v>0.26216247543604998</v>
      </c>
      <c r="Q1926">
        <v>-0.22049767252854199</v>
      </c>
      <c r="R1926">
        <v>0.74482262340064098</v>
      </c>
      <c r="S1926">
        <v>15.098680731180799</v>
      </c>
      <c r="T1926">
        <v>1.1416200842678801</v>
      </c>
      <c r="U1926">
        <v>-6.4962422504355599</v>
      </c>
      <c r="V1926">
        <v>0.26865880455177699</v>
      </c>
      <c r="W1926">
        <v>0.436219006619331</v>
      </c>
      <c r="X1926">
        <v>0</v>
      </c>
      <c r="Y1926">
        <v>0</v>
      </c>
    </row>
    <row r="1927" spans="1:25" x14ac:dyDescent="0.2">
      <c r="A1927" t="s">
        <v>7243</v>
      </c>
      <c r="B1927" t="s">
        <v>7244</v>
      </c>
      <c r="C1927" t="s">
        <v>7245</v>
      </c>
      <c r="D1927" t="s">
        <v>7246</v>
      </c>
      <c r="E1927" t="s">
        <v>7244</v>
      </c>
      <c r="F1927" t="s">
        <v>28</v>
      </c>
      <c r="G1927" t="s">
        <v>7244</v>
      </c>
      <c r="H1927" t="str">
        <f>"cul-2"</f>
        <v>cul-2</v>
      </c>
      <c r="I1927" t="s">
        <v>7246</v>
      </c>
      <c r="J1927">
        <v>11.743298674171999</v>
      </c>
      <c r="K1927">
        <v>12.2768642188777</v>
      </c>
      <c r="L1927">
        <v>12.0153025316271</v>
      </c>
      <c r="M1927" t="s">
        <v>29</v>
      </c>
      <c r="N1927">
        <v>12.9904966338524</v>
      </c>
      <c r="O1927">
        <v>12.640838939121201</v>
      </c>
      <c r="P1927">
        <v>0.80384597826120596</v>
      </c>
      <c r="Q1927">
        <v>0.29639142969884102</v>
      </c>
      <c r="R1927">
        <v>1.31130052682357</v>
      </c>
      <c r="S1927">
        <v>12.1003696650699</v>
      </c>
      <c r="T1927">
        <v>3.3436876935380102</v>
      </c>
      <c r="U1927">
        <v>-2.5452518114331601</v>
      </c>
      <c r="V1927">
        <v>3.8758161003755098E-3</v>
      </c>
      <c r="W1927">
        <v>2.3560475220785401E-2</v>
      </c>
      <c r="X1927">
        <v>0</v>
      </c>
      <c r="Y1927">
        <v>0</v>
      </c>
    </row>
    <row r="1928" spans="1:25" x14ac:dyDescent="0.2">
      <c r="A1928" t="s">
        <v>7247</v>
      </c>
      <c r="B1928" t="s">
        <v>7248</v>
      </c>
      <c r="C1928" t="s">
        <v>7249</v>
      </c>
      <c r="D1928" t="s">
        <v>7250</v>
      </c>
      <c r="E1928" t="s">
        <v>7248</v>
      </c>
      <c r="F1928" t="s">
        <v>28</v>
      </c>
      <c r="G1928" t="s">
        <v>7248</v>
      </c>
      <c r="H1928" t="str">
        <f>"cul-3"</f>
        <v>cul-3</v>
      </c>
      <c r="I1928" t="s">
        <v>7250</v>
      </c>
      <c r="J1928">
        <v>13.0774528069391</v>
      </c>
      <c r="K1928">
        <v>13.0529567995044</v>
      </c>
      <c r="L1928">
        <v>12.5375816571045</v>
      </c>
      <c r="M1928" t="s">
        <v>29</v>
      </c>
      <c r="N1928">
        <v>12.8425063343249</v>
      </c>
      <c r="O1928">
        <v>13.103079732645201</v>
      </c>
      <c r="P1928">
        <v>8.3462612302367803E-2</v>
      </c>
      <c r="Q1928">
        <v>-0.33285064861299701</v>
      </c>
      <c r="R1928">
        <v>0.49977587321773198</v>
      </c>
      <c r="S1928">
        <v>12.917988542745</v>
      </c>
      <c r="T1928">
        <v>0.42317669457080798</v>
      </c>
      <c r="U1928">
        <v>-6.9518408059052099</v>
      </c>
      <c r="V1928">
        <v>0.67750403238059398</v>
      </c>
      <c r="W1928">
        <v>0.78823702464493195</v>
      </c>
      <c r="X1928">
        <v>0</v>
      </c>
      <c r="Y1928">
        <v>0</v>
      </c>
    </row>
    <row r="1929" spans="1:25" x14ac:dyDescent="0.2">
      <c r="A1929" t="s">
        <v>7251</v>
      </c>
      <c r="B1929" t="s">
        <v>7252</v>
      </c>
      <c r="C1929" t="s">
        <v>7253</v>
      </c>
      <c r="D1929" t="s">
        <v>7254</v>
      </c>
      <c r="E1929" t="s">
        <v>7252</v>
      </c>
      <c r="F1929" t="s">
        <v>28</v>
      </c>
      <c r="G1929" t="s">
        <v>7252</v>
      </c>
      <c r="H1929" t="str">
        <f>"lin-24"</f>
        <v>lin-24</v>
      </c>
      <c r="I1929" t="s">
        <v>7254</v>
      </c>
      <c r="J1929">
        <v>14.4606646097221</v>
      </c>
      <c r="K1929">
        <v>14.578661268985799</v>
      </c>
      <c r="L1929">
        <v>14.4612558518015</v>
      </c>
      <c r="M1929">
        <v>13.617688922880999</v>
      </c>
      <c r="N1929">
        <v>15.1849319359807</v>
      </c>
      <c r="O1929">
        <v>14.369779363127201</v>
      </c>
      <c r="P1929">
        <v>-0.109393836173506</v>
      </c>
      <c r="Q1929">
        <v>-0.69836547980825503</v>
      </c>
      <c r="R1929">
        <v>0.47957780746124201</v>
      </c>
      <c r="S1929">
        <v>14.4434332272763</v>
      </c>
      <c r="T1929">
        <v>-0.39038307393890498</v>
      </c>
      <c r="U1929">
        <v>-7.0766648240711403</v>
      </c>
      <c r="V1929">
        <v>0.70086132446092597</v>
      </c>
      <c r="W1929">
        <v>0.80649680717936301</v>
      </c>
      <c r="X1929">
        <v>0</v>
      </c>
      <c r="Y1929">
        <v>0</v>
      </c>
    </row>
    <row r="1930" spans="1:25" x14ac:dyDescent="0.2">
      <c r="A1930" t="s">
        <v>7255</v>
      </c>
      <c r="B1930" t="s">
        <v>7256</v>
      </c>
      <c r="C1930" t="s">
        <v>7257</v>
      </c>
      <c r="D1930" t="s">
        <v>368</v>
      </c>
      <c r="E1930" t="s">
        <v>7256</v>
      </c>
      <c r="F1930" t="s">
        <v>28</v>
      </c>
      <c r="G1930" t="s">
        <v>7256</v>
      </c>
      <c r="H1930" t="str">
        <f>"B0001.2"</f>
        <v>B0001.2</v>
      </c>
      <c r="I1930" t="s">
        <v>368</v>
      </c>
      <c r="J1930">
        <v>10.840530384011601</v>
      </c>
      <c r="K1930">
        <v>11.139465962722401</v>
      </c>
      <c r="L1930">
        <v>10.5466779644872</v>
      </c>
      <c r="M1930" t="s">
        <v>29</v>
      </c>
      <c r="N1930" t="s">
        <v>29</v>
      </c>
      <c r="O1930">
        <v>10.969917507301</v>
      </c>
      <c r="P1930">
        <v>0.12769273689393901</v>
      </c>
      <c r="Q1930">
        <v>-0.56924657204567197</v>
      </c>
      <c r="R1930">
        <v>0.82463204583354999</v>
      </c>
      <c r="S1930">
        <v>11.8006111269132</v>
      </c>
      <c r="T1930">
        <v>0.388616078398548</v>
      </c>
      <c r="U1930">
        <v>-6.7337689628848203</v>
      </c>
      <c r="V1930">
        <v>0.70271619554833098</v>
      </c>
      <c r="W1930">
        <v>0.80712917180875099</v>
      </c>
      <c r="X1930">
        <v>0</v>
      </c>
      <c r="Y1930">
        <v>0</v>
      </c>
    </row>
    <row r="1931" spans="1:25" x14ac:dyDescent="0.2">
      <c r="A1931" t="s">
        <v>7258</v>
      </c>
      <c r="B1931" t="s">
        <v>7259</v>
      </c>
      <c r="C1931" t="s">
        <v>7260</v>
      </c>
      <c r="D1931" t="s">
        <v>7261</v>
      </c>
      <c r="E1931" t="s">
        <v>7259</v>
      </c>
      <c r="F1931" t="s">
        <v>28</v>
      </c>
      <c r="G1931" t="s">
        <v>7259</v>
      </c>
      <c r="H1931" t="str">
        <f>"B0001.5"</f>
        <v>B0001.5</v>
      </c>
      <c r="I1931" t="s">
        <v>7261</v>
      </c>
      <c r="J1931" t="s">
        <v>29</v>
      </c>
      <c r="K1931" t="s">
        <v>29</v>
      </c>
      <c r="L1931">
        <v>11.5521621172867</v>
      </c>
      <c r="M1931" t="s">
        <v>29</v>
      </c>
      <c r="N1931" t="s">
        <v>29</v>
      </c>
      <c r="O1931" t="s">
        <v>29</v>
      </c>
      <c r="P1931" t="s">
        <v>29</v>
      </c>
      <c r="Q1931" t="s">
        <v>29</v>
      </c>
      <c r="R1931" t="s">
        <v>29</v>
      </c>
      <c r="S1931">
        <v>11.798577054087</v>
      </c>
      <c r="T1931" t="s">
        <v>29</v>
      </c>
      <c r="U1931" t="s">
        <v>29</v>
      </c>
      <c r="V1931" t="s">
        <v>29</v>
      </c>
      <c r="W1931" t="s">
        <v>29</v>
      </c>
      <c r="X1931" t="s">
        <v>29</v>
      </c>
      <c r="Y1931" t="s">
        <v>29</v>
      </c>
    </row>
    <row r="1932" spans="1:25" x14ac:dyDescent="0.2">
      <c r="A1932" t="s">
        <v>7262</v>
      </c>
      <c r="B1932" t="s">
        <v>7263</v>
      </c>
      <c r="C1932" t="s">
        <v>7264</v>
      </c>
      <c r="D1932" t="s">
        <v>2982</v>
      </c>
      <c r="E1932" t="s">
        <v>7263</v>
      </c>
      <c r="F1932" t="s">
        <v>28</v>
      </c>
      <c r="G1932" t="s">
        <v>7263</v>
      </c>
      <c r="H1932" t="str">
        <f>"eri-12"</f>
        <v>eri-12</v>
      </c>
      <c r="I1932" t="s">
        <v>2982</v>
      </c>
      <c r="J1932">
        <v>10.4399149218153</v>
      </c>
      <c r="K1932">
        <v>10.803306937276099</v>
      </c>
      <c r="L1932">
        <v>10.6687671604057</v>
      </c>
      <c r="M1932" t="s">
        <v>29</v>
      </c>
      <c r="N1932" t="s">
        <v>29</v>
      </c>
      <c r="O1932" t="s">
        <v>29</v>
      </c>
      <c r="P1932" t="s">
        <v>29</v>
      </c>
      <c r="Q1932" t="s">
        <v>29</v>
      </c>
      <c r="R1932" t="s">
        <v>29</v>
      </c>
      <c r="S1932">
        <v>10.4213813631329</v>
      </c>
      <c r="T1932" t="s">
        <v>29</v>
      </c>
      <c r="U1932" t="s">
        <v>29</v>
      </c>
      <c r="V1932" t="s">
        <v>29</v>
      </c>
      <c r="W1932" t="s">
        <v>29</v>
      </c>
      <c r="X1932" t="s">
        <v>29</v>
      </c>
      <c r="Y1932" t="s">
        <v>29</v>
      </c>
    </row>
    <row r="1933" spans="1:25" x14ac:dyDescent="0.2">
      <c r="A1933" t="s">
        <v>7265</v>
      </c>
      <c r="B1933" t="s">
        <v>7266</v>
      </c>
      <c r="C1933" t="s">
        <v>7267</v>
      </c>
      <c r="D1933" t="s">
        <v>7268</v>
      </c>
      <c r="E1933" t="s">
        <v>7266</v>
      </c>
      <c r="F1933" t="s">
        <v>28</v>
      </c>
      <c r="G1933" t="s">
        <v>7266</v>
      </c>
      <c r="H1933" t="str">
        <f>"asps-1"</f>
        <v>asps-1</v>
      </c>
      <c r="I1933" t="s">
        <v>7268</v>
      </c>
      <c r="J1933">
        <v>11.4351803452045</v>
      </c>
      <c r="K1933">
        <v>11.975862612872</v>
      </c>
      <c r="L1933">
        <v>12.019695178117001</v>
      </c>
      <c r="M1933" t="s">
        <v>29</v>
      </c>
      <c r="N1933">
        <v>12.815768044099199</v>
      </c>
      <c r="O1933" t="s">
        <v>29</v>
      </c>
      <c r="P1933">
        <v>1.00552199870135</v>
      </c>
      <c r="Q1933">
        <v>0.17893228583790899</v>
      </c>
      <c r="R1933">
        <v>1.83211171156479</v>
      </c>
      <c r="S1933">
        <v>11.7306234719473</v>
      </c>
      <c r="T1933">
        <v>2.6302003114308099</v>
      </c>
      <c r="U1933">
        <v>-3.8728126318951701</v>
      </c>
      <c r="V1933">
        <v>2.0894550622890098E-2</v>
      </c>
      <c r="W1933">
        <v>7.5832808726178896E-2</v>
      </c>
      <c r="X1933">
        <v>1</v>
      </c>
      <c r="Y1933">
        <v>0</v>
      </c>
    </row>
    <row r="1934" spans="1:25" x14ac:dyDescent="0.2">
      <c r="A1934" t="s">
        <v>7269</v>
      </c>
      <c r="B1934" t="s">
        <v>7270</v>
      </c>
      <c r="C1934" t="s">
        <v>7271</v>
      </c>
      <c r="D1934" t="s">
        <v>7272</v>
      </c>
      <c r="E1934" t="s">
        <v>7270</v>
      </c>
      <c r="F1934" t="s">
        <v>28</v>
      </c>
      <c r="G1934" t="s">
        <v>7270</v>
      </c>
      <c r="H1934" t="str">
        <f>"B0024.11"</f>
        <v>B0024.11</v>
      </c>
      <c r="I1934" t="s">
        <v>7272</v>
      </c>
      <c r="J1934">
        <v>16.058262058236298</v>
      </c>
      <c r="K1934">
        <v>16.030612530754802</v>
      </c>
      <c r="L1934">
        <v>15.729059808717</v>
      </c>
      <c r="M1934">
        <v>15.174676707871001</v>
      </c>
      <c r="N1934">
        <v>15.083607290025199</v>
      </c>
      <c r="O1934">
        <v>15.9618055325423</v>
      </c>
      <c r="P1934">
        <v>-0.53261495575652296</v>
      </c>
      <c r="Q1934">
        <v>-1.0202268055650701</v>
      </c>
      <c r="R1934">
        <v>-4.5003105947975998E-2</v>
      </c>
      <c r="S1934">
        <v>15.3363863055447</v>
      </c>
      <c r="T1934">
        <v>-2.2957871418484999</v>
      </c>
      <c r="U1934">
        <v>-4.7340162317887797</v>
      </c>
      <c r="V1934">
        <v>3.3991724036840198E-2</v>
      </c>
      <c r="W1934">
        <v>0.10600382088525701</v>
      </c>
      <c r="X1934">
        <v>0</v>
      </c>
      <c r="Y1934">
        <v>0</v>
      </c>
    </row>
    <row r="1935" spans="1:25" x14ac:dyDescent="0.2">
      <c r="A1935" t="s">
        <v>7273</v>
      </c>
      <c r="B1935" t="s">
        <v>7274</v>
      </c>
      <c r="C1935" t="s">
        <v>7275</v>
      </c>
      <c r="D1935" t="s">
        <v>7276</v>
      </c>
      <c r="E1935" t="s">
        <v>7274</v>
      </c>
      <c r="F1935" t="s">
        <v>28</v>
      </c>
      <c r="G1935" t="s">
        <v>7274</v>
      </c>
      <c r="H1935" t="str">
        <f>"B0024.13"</f>
        <v>B0024.13</v>
      </c>
      <c r="I1935" t="s">
        <v>7276</v>
      </c>
      <c r="J1935">
        <v>11.234825325599299</v>
      </c>
      <c r="K1935">
        <v>11.7291307526763</v>
      </c>
      <c r="L1935">
        <v>11.892217249845899</v>
      </c>
      <c r="M1935" t="s">
        <v>29</v>
      </c>
      <c r="N1935" t="s">
        <v>29</v>
      </c>
      <c r="O1935" t="s">
        <v>29</v>
      </c>
      <c r="P1935" t="s">
        <v>29</v>
      </c>
      <c r="Q1935" t="s">
        <v>29</v>
      </c>
      <c r="R1935" t="s">
        <v>29</v>
      </c>
      <c r="S1935">
        <v>11.676860629239499</v>
      </c>
      <c r="T1935" t="s">
        <v>29</v>
      </c>
      <c r="U1935" t="s">
        <v>29</v>
      </c>
      <c r="V1935" t="s">
        <v>29</v>
      </c>
      <c r="W1935" t="s">
        <v>29</v>
      </c>
      <c r="X1935" t="s">
        <v>29</v>
      </c>
      <c r="Y1935" t="s">
        <v>29</v>
      </c>
    </row>
    <row r="1936" spans="1:25" x14ac:dyDescent="0.2">
      <c r="A1936" t="s">
        <v>7277</v>
      </c>
      <c r="B1936" t="s">
        <v>7278</v>
      </c>
      <c r="C1936" t="s">
        <v>7279</v>
      </c>
      <c r="D1936" t="s">
        <v>7280</v>
      </c>
      <c r="E1936" t="s">
        <v>7278</v>
      </c>
      <c r="F1936" t="s">
        <v>28</v>
      </c>
      <c r="G1936" t="s">
        <v>7278</v>
      </c>
      <c r="H1936" t="str">
        <f>"sart-3"</f>
        <v>sart-3</v>
      </c>
      <c r="I1936" t="s">
        <v>7280</v>
      </c>
      <c r="J1936">
        <v>14.7692449316832</v>
      </c>
      <c r="K1936">
        <v>14.5051633947224</v>
      </c>
      <c r="L1936">
        <v>14.534603223214001</v>
      </c>
      <c r="M1936">
        <v>13.6665119544336</v>
      </c>
      <c r="N1936">
        <v>12.9489220272871</v>
      </c>
      <c r="O1936">
        <v>13.5503246425355</v>
      </c>
      <c r="P1936">
        <v>-1.2144176417877699</v>
      </c>
      <c r="Q1936">
        <v>-1.6562086887968199</v>
      </c>
      <c r="R1936">
        <v>-0.77262659477871198</v>
      </c>
      <c r="S1936">
        <v>14.200108050376199</v>
      </c>
      <c r="T1936">
        <v>-5.7775494350995498</v>
      </c>
      <c r="U1936">
        <v>2.6844519552030199</v>
      </c>
      <c r="V1936" s="2">
        <v>1.82421522749597E-5</v>
      </c>
      <c r="W1936">
        <v>4.63445023744019E-4</v>
      </c>
      <c r="X1936">
        <v>-1</v>
      </c>
      <c r="Y1936">
        <v>-1</v>
      </c>
    </row>
    <row r="1937" spans="1:25" x14ac:dyDescent="0.2">
      <c r="A1937" t="s">
        <v>7281</v>
      </c>
      <c r="B1937" t="s">
        <v>7282</v>
      </c>
      <c r="C1937" t="s">
        <v>7283</v>
      </c>
      <c r="D1937" t="s">
        <v>7284</v>
      </c>
      <c r="E1937" t="s">
        <v>7282</v>
      </c>
      <c r="F1937" t="s">
        <v>28</v>
      </c>
      <c r="G1937" t="s">
        <v>7282</v>
      </c>
      <c r="H1937" t="str">
        <f>"leo-1"</f>
        <v>leo-1</v>
      </c>
      <c r="I1937" t="s">
        <v>7284</v>
      </c>
      <c r="J1937">
        <v>11.2976045866214</v>
      </c>
      <c r="K1937">
        <v>11.4760607321083</v>
      </c>
      <c r="L1937" t="s">
        <v>29</v>
      </c>
      <c r="M1937" t="s">
        <v>29</v>
      </c>
      <c r="N1937" t="s">
        <v>29</v>
      </c>
      <c r="O1937">
        <v>12.3330226583799</v>
      </c>
      <c r="P1937">
        <v>0.94618999901510203</v>
      </c>
      <c r="Q1937">
        <v>-0.26676523908280803</v>
      </c>
      <c r="R1937">
        <v>2.1591452371130102</v>
      </c>
      <c r="S1937">
        <v>12.098182521762601</v>
      </c>
      <c r="T1937">
        <v>1.6866338938687899</v>
      </c>
      <c r="U1937">
        <v>-5.38995182695108</v>
      </c>
      <c r="V1937">
        <v>0.11570027365063899</v>
      </c>
      <c r="W1937">
        <v>0.240627174628394</v>
      </c>
      <c r="X1937">
        <v>0</v>
      </c>
      <c r="Y1937">
        <v>0</v>
      </c>
    </row>
    <row r="1938" spans="1:25" x14ac:dyDescent="0.2">
      <c r="A1938" t="s">
        <v>7285</v>
      </c>
      <c r="B1938" t="s">
        <v>7286</v>
      </c>
      <c r="C1938" t="s">
        <v>7287</v>
      </c>
      <c r="D1938" t="s">
        <v>7288</v>
      </c>
      <c r="E1938" t="s">
        <v>7286</v>
      </c>
      <c r="F1938" t="s">
        <v>28</v>
      </c>
      <c r="G1938" t="s">
        <v>7286</v>
      </c>
      <c r="H1938" t="str">
        <f>"B0035.3"</f>
        <v>B0035.3</v>
      </c>
      <c r="I1938" t="s">
        <v>7288</v>
      </c>
      <c r="J1938">
        <v>14.1166329038759</v>
      </c>
      <c r="K1938">
        <v>13.974024440518299</v>
      </c>
      <c r="L1938">
        <v>14.1962612942218</v>
      </c>
      <c r="M1938" t="s">
        <v>29</v>
      </c>
      <c r="N1938" t="s">
        <v>29</v>
      </c>
      <c r="O1938">
        <v>14.521846667088001</v>
      </c>
      <c r="P1938">
        <v>0.42620712088263901</v>
      </c>
      <c r="Q1938">
        <v>-0.44556992122337402</v>
      </c>
      <c r="R1938">
        <v>1.2979841629886499</v>
      </c>
      <c r="S1938">
        <v>14.273144151955901</v>
      </c>
      <c r="T1938">
        <v>1.0426940118652801</v>
      </c>
      <c r="U1938">
        <v>-6.2596668458592699</v>
      </c>
      <c r="V1938">
        <v>0.31371882520034899</v>
      </c>
      <c r="W1938">
        <v>0.48404679469394202</v>
      </c>
      <c r="X1938">
        <v>0</v>
      </c>
      <c r="Y1938">
        <v>0</v>
      </c>
    </row>
    <row r="1939" spans="1:25" x14ac:dyDescent="0.2">
      <c r="A1939" t="s">
        <v>7289</v>
      </c>
      <c r="B1939" t="s">
        <v>7290</v>
      </c>
      <c r="C1939" t="s">
        <v>7291</v>
      </c>
      <c r="D1939" t="s">
        <v>7292</v>
      </c>
      <c r="E1939" t="s">
        <v>7290</v>
      </c>
      <c r="F1939" t="s">
        <v>28</v>
      </c>
      <c r="G1939" t="s">
        <v>7290</v>
      </c>
      <c r="H1939" t="str">
        <f>"dnj-1"</f>
        <v>dnj-1</v>
      </c>
      <c r="I1939" t="s">
        <v>7292</v>
      </c>
      <c r="J1939">
        <v>11.5311808469145</v>
      </c>
      <c r="K1939">
        <v>11.7602675900074</v>
      </c>
      <c r="L1939">
        <v>11.388280206750601</v>
      </c>
      <c r="M1939" t="s">
        <v>29</v>
      </c>
      <c r="N1939" t="s">
        <v>29</v>
      </c>
      <c r="O1939">
        <v>12.2159495500074</v>
      </c>
      <c r="P1939">
        <v>0.65604000211660096</v>
      </c>
      <c r="Q1939">
        <v>-5.7393248377836999E-2</v>
      </c>
      <c r="R1939">
        <v>1.36947325261104</v>
      </c>
      <c r="S1939">
        <v>11.867914397296399</v>
      </c>
      <c r="T1939">
        <v>1.96118508096364</v>
      </c>
      <c r="U1939">
        <v>-5.0114380546128201</v>
      </c>
      <c r="V1939">
        <v>6.8828854974195497E-2</v>
      </c>
      <c r="W1939">
        <v>0.168936088934382</v>
      </c>
      <c r="X1939">
        <v>0</v>
      </c>
      <c r="Y1939">
        <v>0</v>
      </c>
    </row>
    <row r="1940" spans="1:25" x14ac:dyDescent="0.2">
      <c r="A1940" t="s">
        <v>7293</v>
      </c>
      <c r="B1940" t="s">
        <v>7294</v>
      </c>
      <c r="C1940" t="s">
        <v>7295</v>
      </c>
      <c r="D1940" t="s">
        <v>7296</v>
      </c>
      <c r="E1940" t="s">
        <v>7294</v>
      </c>
      <c r="F1940" t="s">
        <v>28</v>
      </c>
      <c r="G1940" t="s">
        <v>7294</v>
      </c>
      <c r="H1940" t="str">
        <f>"mttu-1"</f>
        <v>mttu-1</v>
      </c>
      <c r="I1940" t="s">
        <v>7296</v>
      </c>
      <c r="J1940">
        <v>12.3989618539949</v>
      </c>
      <c r="K1940">
        <v>12.7261106119517</v>
      </c>
      <c r="L1940">
        <v>12.4159131061192</v>
      </c>
      <c r="M1940" t="s">
        <v>29</v>
      </c>
      <c r="N1940" t="s">
        <v>29</v>
      </c>
      <c r="O1940" t="s">
        <v>29</v>
      </c>
      <c r="P1940" t="s">
        <v>29</v>
      </c>
      <c r="Q1940" t="s">
        <v>29</v>
      </c>
      <c r="R1940" t="s">
        <v>29</v>
      </c>
      <c r="S1940">
        <v>12.042731767073899</v>
      </c>
      <c r="T1940" t="s">
        <v>29</v>
      </c>
      <c r="U1940" t="s">
        <v>29</v>
      </c>
      <c r="V1940" t="s">
        <v>29</v>
      </c>
      <c r="W1940" t="s">
        <v>29</v>
      </c>
      <c r="X1940" t="s">
        <v>29</v>
      </c>
      <c r="Y1940" t="s">
        <v>29</v>
      </c>
    </row>
    <row r="1941" spans="1:25" x14ac:dyDescent="0.2">
      <c r="A1941" t="s">
        <v>7297</v>
      </c>
      <c r="B1941" t="s">
        <v>7298</v>
      </c>
      <c r="C1941" t="s">
        <v>7299</v>
      </c>
      <c r="D1941" t="s">
        <v>7300</v>
      </c>
      <c r="E1941" t="s">
        <v>7298</v>
      </c>
      <c r="F1941" t="s">
        <v>28</v>
      </c>
      <c r="G1941" t="s">
        <v>7298</v>
      </c>
      <c r="H1941" t="str">
        <f>"pmk-1"</f>
        <v>pmk-1</v>
      </c>
      <c r="I1941" t="s">
        <v>7300</v>
      </c>
      <c r="J1941">
        <v>14.420824864440601</v>
      </c>
      <c r="K1941">
        <v>14.2498957247648</v>
      </c>
      <c r="L1941">
        <v>14.055377530164</v>
      </c>
      <c r="M1941" t="s">
        <v>29</v>
      </c>
      <c r="N1941">
        <v>13.4074547360658</v>
      </c>
      <c r="O1941">
        <v>13.7800177220834</v>
      </c>
      <c r="P1941">
        <v>-0.64829647738184404</v>
      </c>
      <c r="Q1941">
        <v>-1.0151614001526501</v>
      </c>
      <c r="R1941">
        <v>-0.28143155461104202</v>
      </c>
      <c r="S1941">
        <v>13.848531069497</v>
      </c>
      <c r="T1941">
        <v>-3.73007432520409</v>
      </c>
      <c r="U1941">
        <v>-1.7247324065346299</v>
      </c>
      <c r="V1941">
        <v>1.6807156340479001E-3</v>
      </c>
      <c r="W1941">
        <v>1.29904242645723E-2</v>
      </c>
      <c r="X1941">
        <v>0</v>
      </c>
      <c r="Y1941">
        <v>0</v>
      </c>
    </row>
    <row r="1942" spans="1:25" x14ac:dyDescent="0.2">
      <c r="A1942" t="s">
        <v>7301</v>
      </c>
      <c r="B1942" t="s">
        <v>7302</v>
      </c>
      <c r="C1942" t="s">
        <v>7303</v>
      </c>
      <c r="D1942" t="s">
        <v>7304</v>
      </c>
      <c r="E1942" t="s">
        <v>7302</v>
      </c>
      <c r="F1942" t="s">
        <v>28</v>
      </c>
      <c r="G1942" t="s">
        <v>7302</v>
      </c>
      <c r="H1942" t="str">
        <f>"faah-1"</f>
        <v>faah-1</v>
      </c>
      <c r="I1942" t="s">
        <v>7304</v>
      </c>
      <c r="J1942" t="s">
        <v>29</v>
      </c>
      <c r="K1942">
        <v>12.973954214826099</v>
      </c>
      <c r="L1942" t="s">
        <v>29</v>
      </c>
      <c r="M1942" t="s">
        <v>29</v>
      </c>
      <c r="N1942" t="s">
        <v>29</v>
      </c>
      <c r="O1942" t="s">
        <v>29</v>
      </c>
      <c r="P1942" t="s">
        <v>29</v>
      </c>
      <c r="Q1942" t="s">
        <v>29</v>
      </c>
      <c r="R1942" t="s">
        <v>29</v>
      </c>
      <c r="S1942">
        <v>11.530651043338899</v>
      </c>
      <c r="T1942" t="s">
        <v>29</v>
      </c>
      <c r="U1942" t="s">
        <v>29</v>
      </c>
      <c r="V1942" t="s">
        <v>29</v>
      </c>
      <c r="W1942" t="s">
        <v>29</v>
      </c>
      <c r="X1942" t="s">
        <v>29</v>
      </c>
      <c r="Y1942" t="s">
        <v>29</v>
      </c>
    </row>
    <row r="1943" spans="1:25" x14ac:dyDescent="0.2">
      <c r="A1943" t="s">
        <v>7305</v>
      </c>
      <c r="B1943" t="s">
        <v>7306</v>
      </c>
      <c r="C1943" t="s">
        <v>7307</v>
      </c>
      <c r="D1943" t="s">
        <v>7308</v>
      </c>
      <c r="E1943" t="s">
        <v>7306</v>
      </c>
      <c r="F1943" t="s">
        <v>28</v>
      </c>
      <c r="G1943" t="s">
        <v>7309</v>
      </c>
      <c r="H1943" t="str">
        <f>"col-144"</f>
        <v>col-144</v>
      </c>
      <c r="I1943" t="s">
        <v>3312</v>
      </c>
      <c r="J1943">
        <v>13.2678271346528</v>
      </c>
      <c r="K1943">
        <v>13.0300977470582</v>
      </c>
      <c r="L1943">
        <v>13.131607485937099</v>
      </c>
      <c r="M1943" t="s">
        <v>29</v>
      </c>
      <c r="N1943" t="s">
        <v>29</v>
      </c>
      <c r="O1943" t="s">
        <v>29</v>
      </c>
      <c r="P1943" t="s">
        <v>29</v>
      </c>
      <c r="Q1943" t="s">
        <v>29</v>
      </c>
      <c r="R1943" t="s">
        <v>29</v>
      </c>
      <c r="S1943">
        <v>12.73414497029</v>
      </c>
      <c r="T1943" t="s">
        <v>29</v>
      </c>
      <c r="U1943" t="s">
        <v>29</v>
      </c>
      <c r="V1943" t="s">
        <v>29</v>
      </c>
      <c r="W1943" t="s">
        <v>29</v>
      </c>
      <c r="X1943" t="s">
        <v>29</v>
      </c>
      <c r="Y1943" t="s">
        <v>29</v>
      </c>
    </row>
    <row r="1944" spans="1:25" x14ac:dyDescent="0.2">
      <c r="A1944" t="s">
        <v>7310</v>
      </c>
      <c r="B1944" t="s">
        <v>7311</v>
      </c>
      <c r="C1944" t="s">
        <v>7312</v>
      </c>
      <c r="D1944" t="s">
        <v>458</v>
      </c>
      <c r="E1944" t="s">
        <v>7311</v>
      </c>
      <c r="F1944" t="s">
        <v>28</v>
      </c>
      <c r="G1944" t="s">
        <v>7311</v>
      </c>
      <c r="H1944" t="str">
        <f>"ttr-18"</f>
        <v>ttr-18</v>
      </c>
      <c r="I1944" t="s">
        <v>458</v>
      </c>
      <c r="J1944" t="s">
        <v>29</v>
      </c>
      <c r="K1944" t="s">
        <v>29</v>
      </c>
      <c r="L1944">
        <v>14.8797668972891</v>
      </c>
      <c r="M1944" t="s">
        <v>29</v>
      </c>
      <c r="N1944">
        <v>14.353005450791301</v>
      </c>
      <c r="O1944">
        <v>13.5857422333063</v>
      </c>
      <c r="P1944">
        <v>-0.91039305524028102</v>
      </c>
      <c r="Q1944">
        <v>-2.19781057858795</v>
      </c>
      <c r="R1944">
        <v>0.37702446810738399</v>
      </c>
      <c r="S1944">
        <v>14.3619498999404</v>
      </c>
      <c r="T1944">
        <v>-1.52896225566724</v>
      </c>
      <c r="U1944">
        <v>-5.6138010600430599</v>
      </c>
      <c r="V1944">
        <v>0.15042707541751801</v>
      </c>
      <c r="W1944">
        <v>0.29416628484102603</v>
      </c>
      <c r="X1944">
        <v>0</v>
      </c>
      <c r="Y1944">
        <v>0</v>
      </c>
    </row>
    <row r="1945" spans="1:25" x14ac:dyDescent="0.2">
      <c r="A1945" t="s">
        <v>7313</v>
      </c>
      <c r="B1945" t="s">
        <v>7314</v>
      </c>
      <c r="C1945" t="s">
        <v>7315</v>
      </c>
      <c r="D1945" t="s">
        <v>7316</v>
      </c>
      <c r="E1945" t="s">
        <v>7314</v>
      </c>
      <c r="F1945" t="s">
        <v>28</v>
      </c>
      <c r="G1945" t="s">
        <v>7314</v>
      </c>
      <c r="H1945" t="str">
        <f>"hacl-1"</f>
        <v>hacl-1</v>
      </c>
      <c r="I1945" t="s">
        <v>7316</v>
      </c>
      <c r="J1945">
        <v>13.399309505526499</v>
      </c>
      <c r="K1945">
        <v>12.302792946543899</v>
      </c>
      <c r="L1945">
        <v>13.0402221832063</v>
      </c>
      <c r="M1945" t="s">
        <v>29</v>
      </c>
      <c r="N1945" t="s">
        <v>29</v>
      </c>
      <c r="O1945">
        <v>13.6278280172814</v>
      </c>
      <c r="P1945">
        <v>0.71371980552247805</v>
      </c>
      <c r="Q1945">
        <v>-0.19927429570764499</v>
      </c>
      <c r="R1945">
        <v>1.6267139067526</v>
      </c>
      <c r="S1945">
        <v>13.282200500145899</v>
      </c>
      <c r="T1945">
        <v>1.65809460673253</v>
      </c>
      <c r="U1945">
        <v>-5.4823324585248301</v>
      </c>
      <c r="V1945">
        <v>0.11689873705371399</v>
      </c>
      <c r="W1945">
        <v>0.242264822853231</v>
      </c>
      <c r="X1945">
        <v>0</v>
      </c>
      <c r="Y1945">
        <v>0</v>
      </c>
    </row>
    <row r="1946" spans="1:25" x14ac:dyDescent="0.2">
      <c r="A1946" t="s">
        <v>7317</v>
      </c>
      <c r="B1946" t="s">
        <v>7318</v>
      </c>
      <c r="C1946" t="s">
        <v>7319</v>
      </c>
      <c r="D1946" t="s">
        <v>7320</v>
      </c>
      <c r="E1946" t="s">
        <v>7318</v>
      </c>
      <c r="F1946" t="s">
        <v>28</v>
      </c>
      <c r="G1946" t="s">
        <v>7318</v>
      </c>
      <c r="H1946" t="str">
        <f>"B0334.5"</f>
        <v>B0334.5</v>
      </c>
      <c r="I1946" t="s">
        <v>7320</v>
      </c>
      <c r="J1946" t="s">
        <v>29</v>
      </c>
      <c r="K1946">
        <v>11.9280959421103</v>
      </c>
      <c r="L1946">
        <v>11.602620129489001</v>
      </c>
      <c r="M1946" t="s">
        <v>29</v>
      </c>
      <c r="N1946" t="s">
        <v>29</v>
      </c>
      <c r="O1946">
        <v>11.909038338693501</v>
      </c>
      <c r="P1946">
        <v>0.14368030289384001</v>
      </c>
      <c r="Q1946">
        <v>-0.85904817704272196</v>
      </c>
      <c r="R1946">
        <v>1.1464087828303999</v>
      </c>
      <c r="S1946">
        <v>12.326475155167699</v>
      </c>
      <c r="T1946">
        <v>0.30981406435891001</v>
      </c>
      <c r="U1946">
        <v>-6.7037152794359303</v>
      </c>
      <c r="V1946">
        <v>0.76165217983869604</v>
      </c>
      <c r="W1946">
        <v>0.848936828284658</v>
      </c>
      <c r="X1946">
        <v>0</v>
      </c>
      <c r="Y1946">
        <v>0</v>
      </c>
    </row>
    <row r="1947" spans="1:25" x14ac:dyDescent="0.2">
      <c r="A1947" t="s">
        <v>7321</v>
      </c>
      <c r="B1947" t="s">
        <v>7322</v>
      </c>
      <c r="C1947" t="s">
        <v>7323</v>
      </c>
      <c r="D1947" t="s">
        <v>7324</v>
      </c>
      <c r="E1947" t="s">
        <v>7322</v>
      </c>
      <c r="F1947" t="s">
        <v>28</v>
      </c>
      <c r="G1947" t="s">
        <v>7322</v>
      </c>
      <c r="H1947" t="str">
        <f>"unc-44"</f>
        <v>unc-44</v>
      </c>
      <c r="I1947" t="s">
        <v>7324</v>
      </c>
      <c r="J1947">
        <v>14.065735244931201</v>
      </c>
      <c r="K1947">
        <v>14.250317975367301</v>
      </c>
      <c r="L1947">
        <v>14.1527623780438</v>
      </c>
      <c r="M1947">
        <v>14.0146564038671</v>
      </c>
      <c r="N1947">
        <v>14.306778198713999</v>
      </c>
      <c r="O1947">
        <v>14.520184003268399</v>
      </c>
      <c r="P1947">
        <v>0.12426766916905101</v>
      </c>
      <c r="Q1947">
        <v>-0.23775128016205699</v>
      </c>
      <c r="R1947">
        <v>0.48628661850015797</v>
      </c>
      <c r="S1947">
        <v>14.1723608343599</v>
      </c>
      <c r="T1947">
        <v>0.72147180248692599</v>
      </c>
      <c r="U1947">
        <v>-6.8870566373968796</v>
      </c>
      <c r="V1947">
        <v>0.47994047612420598</v>
      </c>
      <c r="W1947">
        <v>0.63912543295889501</v>
      </c>
      <c r="X1947">
        <v>0</v>
      </c>
      <c r="Y1947">
        <v>0</v>
      </c>
    </row>
    <row r="1948" spans="1:25" x14ac:dyDescent="0.2">
      <c r="A1948" t="s">
        <v>7325</v>
      </c>
      <c r="B1948" t="s">
        <v>7326</v>
      </c>
      <c r="C1948" t="s">
        <v>7327</v>
      </c>
      <c r="D1948" t="s">
        <v>3358</v>
      </c>
      <c r="E1948" t="s">
        <v>7326</v>
      </c>
      <c r="F1948" t="s">
        <v>28</v>
      </c>
      <c r="G1948" t="s">
        <v>7326</v>
      </c>
      <c r="H1948" t="str">
        <f>"B0393.3"</f>
        <v>B0393.3</v>
      </c>
      <c r="I1948" t="s">
        <v>3358</v>
      </c>
      <c r="J1948" t="s">
        <v>29</v>
      </c>
      <c r="K1948" t="s">
        <v>29</v>
      </c>
      <c r="L1948" t="s">
        <v>29</v>
      </c>
      <c r="M1948" t="s">
        <v>29</v>
      </c>
      <c r="N1948" t="s">
        <v>29</v>
      </c>
      <c r="O1948" t="s">
        <v>29</v>
      </c>
      <c r="P1948" t="s">
        <v>29</v>
      </c>
      <c r="Q1948" t="s">
        <v>29</v>
      </c>
      <c r="R1948" t="s">
        <v>29</v>
      </c>
      <c r="S1948">
        <v>10.9787723270793</v>
      </c>
      <c r="T1948" t="s">
        <v>29</v>
      </c>
      <c r="U1948" t="s">
        <v>29</v>
      </c>
      <c r="V1948" t="s">
        <v>29</v>
      </c>
      <c r="W1948" t="s">
        <v>29</v>
      </c>
      <c r="X1948" t="s">
        <v>29</v>
      </c>
      <c r="Y1948" t="s">
        <v>29</v>
      </c>
    </row>
    <row r="1949" spans="1:25" x14ac:dyDescent="0.2">
      <c r="A1949" t="s">
        <v>7328</v>
      </c>
      <c r="B1949" t="s">
        <v>7329</v>
      </c>
      <c r="C1949" t="s">
        <v>7330</v>
      </c>
      <c r="D1949" t="s">
        <v>214</v>
      </c>
      <c r="E1949" t="s">
        <v>7329</v>
      </c>
      <c r="F1949" t="s">
        <v>28</v>
      </c>
      <c r="G1949" t="s">
        <v>7329</v>
      </c>
      <c r="H1949" t="str">
        <f>"gex-5"</f>
        <v>gex-5</v>
      </c>
      <c r="I1949" t="s">
        <v>214</v>
      </c>
      <c r="J1949" t="s">
        <v>29</v>
      </c>
      <c r="K1949" t="s">
        <v>29</v>
      </c>
      <c r="L1949">
        <v>11.6405675397903</v>
      </c>
      <c r="M1949" t="s">
        <v>29</v>
      </c>
      <c r="N1949" t="s">
        <v>29</v>
      </c>
      <c r="O1949" t="s">
        <v>29</v>
      </c>
      <c r="P1949" t="s">
        <v>29</v>
      </c>
      <c r="Q1949" t="s">
        <v>29</v>
      </c>
      <c r="R1949" t="s">
        <v>29</v>
      </c>
      <c r="S1949">
        <v>11.665305624368299</v>
      </c>
      <c r="T1949" t="s">
        <v>29</v>
      </c>
      <c r="U1949" t="s">
        <v>29</v>
      </c>
      <c r="V1949" t="s">
        <v>29</v>
      </c>
      <c r="W1949" t="s">
        <v>29</v>
      </c>
      <c r="X1949" t="s">
        <v>29</v>
      </c>
      <c r="Y1949" t="s">
        <v>29</v>
      </c>
    </row>
    <row r="1950" spans="1:25" x14ac:dyDescent="0.2">
      <c r="A1950" t="s">
        <v>7331</v>
      </c>
      <c r="B1950" t="s">
        <v>7332</v>
      </c>
      <c r="C1950" t="s">
        <v>7333</v>
      </c>
      <c r="D1950" t="s">
        <v>2025</v>
      </c>
      <c r="E1950" t="s">
        <v>7332</v>
      </c>
      <c r="F1950" t="s">
        <v>28</v>
      </c>
      <c r="G1950" t="s">
        <v>7332</v>
      </c>
      <c r="H1950" t="str">
        <f>"B0395.3"</f>
        <v>B0395.3</v>
      </c>
      <c r="I1950" t="s">
        <v>2025</v>
      </c>
      <c r="J1950">
        <v>14.9373194904452</v>
      </c>
      <c r="K1950">
        <v>14.691027623073801</v>
      </c>
      <c r="L1950">
        <v>14.4794501665297</v>
      </c>
      <c r="M1950">
        <v>14.8098997020924</v>
      </c>
      <c r="N1950">
        <v>14.589795216939899</v>
      </c>
      <c r="O1950">
        <v>14.264906675995199</v>
      </c>
      <c r="P1950">
        <v>-0.14773189500709399</v>
      </c>
      <c r="Q1950">
        <v>-0.60105679761197595</v>
      </c>
      <c r="R1950">
        <v>0.30559300759778701</v>
      </c>
      <c r="S1950">
        <v>14.362423559087199</v>
      </c>
      <c r="T1950">
        <v>-0.68494737393236405</v>
      </c>
      <c r="U1950">
        <v>-6.9132848624715697</v>
      </c>
      <c r="V1950">
        <v>0.50215342148541897</v>
      </c>
      <c r="W1950">
        <v>0.65654220635205396</v>
      </c>
      <c r="X1950">
        <v>0</v>
      </c>
      <c r="Y1950">
        <v>0</v>
      </c>
    </row>
    <row r="1951" spans="1:25" x14ac:dyDescent="0.2">
      <c r="A1951" t="s">
        <v>7334</v>
      </c>
      <c r="B1951" t="s">
        <v>7335</v>
      </c>
      <c r="C1951" t="s">
        <v>7336</v>
      </c>
      <c r="D1951" t="s">
        <v>7337</v>
      </c>
      <c r="E1951" t="s">
        <v>7335</v>
      </c>
      <c r="F1951" t="s">
        <v>28</v>
      </c>
      <c r="G1951" t="s">
        <v>7335</v>
      </c>
      <c r="H1951" t="str">
        <f>"pigm-1"</f>
        <v>pigm-1</v>
      </c>
      <c r="I1951" t="s">
        <v>7337</v>
      </c>
      <c r="J1951">
        <v>13.0255326593755</v>
      </c>
      <c r="K1951">
        <v>13.468887266177701</v>
      </c>
      <c r="L1951" t="s">
        <v>29</v>
      </c>
      <c r="M1951" t="s">
        <v>29</v>
      </c>
      <c r="N1951" t="s">
        <v>29</v>
      </c>
      <c r="O1951">
        <v>12.144182465630401</v>
      </c>
      <c r="P1951">
        <v>-1.10302749714618</v>
      </c>
      <c r="Q1951">
        <v>-1.85789940105235</v>
      </c>
      <c r="R1951">
        <v>-0.348155593240004</v>
      </c>
      <c r="S1951">
        <v>12.8287079351215</v>
      </c>
      <c r="T1951">
        <v>-3.1593687787096401</v>
      </c>
      <c r="U1951">
        <v>-2.8429549142147601</v>
      </c>
      <c r="V1951">
        <v>7.6012119828028904E-3</v>
      </c>
      <c r="W1951">
        <v>3.7522230675578097E-2</v>
      </c>
      <c r="X1951">
        <v>-1</v>
      </c>
      <c r="Y1951">
        <v>-1</v>
      </c>
    </row>
    <row r="1952" spans="1:25" x14ac:dyDescent="0.2">
      <c r="A1952" t="s">
        <v>7338</v>
      </c>
      <c r="B1952" t="s">
        <v>7339</v>
      </c>
      <c r="C1952" t="s">
        <v>7340</v>
      </c>
      <c r="D1952" t="s">
        <v>7341</v>
      </c>
      <c r="E1952" t="s">
        <v>7339</v>
      </c>
      <c r="F1952" t="s">
        <v>28</v>
      </c>
      <c r="G1952" t="s">
        <v>7339</v>
      </c>
      <c r="H1952" t="str">
        <f>"tes-1"</f>
        <v>tes-1</v>
      </c>
      <c r="I1952" t="s">
        <v>7341</v>
      </c>
      <c r="J1952" t="s">
        <v>29</v>
      </c>
      <c r="K1952" t="s">
        <v>29</v>
      </c>
      <c r="L1952" t="s">
        <v>29</v>
      </c>
      <c r="M1952" t="s">
        <v>29</v>
      </c>
      <c r="N1952" t="s">
        <v>29</v>
      </c>
      <c r="O1952">
        <v>13.6514792415103</v>
      </c>
      <c r="P1952" t="s">
        <v>29</v>
      </c>
      <c r="Q1952" t="s">
        <v>29</v>
      </c>
      <c r="R1952" t="s">
        <v>29</v>
      </c>
      <c r="S1952">
        <v>12.561808211427</v>
      </c>
      <c r="T1952" t="s">
        <v>29</v>
      </c>
      <c r="U1952" t="s">
        <v>29</v>
      </c>
      <c r="V1952" t="s">
        <v>29</v>
      </c>
      <c r="W1952" t="s">
        <v>29</v>
      </c>
      <c r="X1952" t="s">
        <v>29</v>
      </c>
      <c r="Y1952" t="s">
        <v>29</v>
      </c>
    </row>
    <row r="1953" spans="1:25" x14ac:dyDescent="0.2">
      <c r="A1953" t="s">
        <v>7342</v>
      </c>
      <c r="B1953" t="s">
        <v>7343</v>
      </c>
      <c r="C1953" t="s">
        <v>7344</v>
      </c>
      <c r="D1953" t="s">
        <v>2720</v>
      </c>
      <c r="E1953" t="s">
        <v>7343</v>
      </c>
      <c r="F1953" t="s">
        <v>28</v>
      </c>
      <c r="G1953" t="s">
        <v>7343</v>
      </c>
      <c r="H1953" t="str">
        <f>"fask-1"</f>
        <v>fask-1</v>
      </c>
      <c r="I1953" t="s">
        <v>2720</v>
      </c>
      <c r="J1953">
        <v>12.7303828193879</v>
      </c>
      <c r="K1953">
        <v>13.160892224903099</v>
      </c>
      <c r="L1953">
        <v>13.255683116546299</v>
      </c>
      <c r="M1953" t="s">
        <v>29</v>
      </c>
      <c r="N1953">
        <v>12.049958294855401</v>
      </c>
      <c r="O1953">
        <v>12.9553968711117</v>
      </c>
      <c r="P1953">
        <v>-0.54630847062890797</v>
      </c>
      <c r="Q1953">
        <v>-1.1394543493374001</v>
      </c>
      <c r="R1953">
        <v>4.68374080795795E-2</v>
      </c>
      <c r="S1953">
        <v>13.3844819884578</v>
      </c>
      <c r="T1953">
        <v>-1.9441350513754001</v>
      </c>
      <c r="U1953">
        <v>-5.2539366163438803</v>
      </c>
      <c r="V1953">
        <v>6.8724016402817195E-2</v>
      </c>
      <c r="W1953">
        <v>0.16891549319358001</v>
      </c>
      <c r="X1953">
        <v>0</v>
      </c>
      <c r="Y1953">
        <v>0</v>
      </c>
    </row>
    <row r="1954" spans="1:25" x14ac:dyDescent="0.2">
      <c r="A1954" t="s">
        <v>7345</v>
      </c>
      <c r="B1954" t="s">
        <v>7346</v>
      </c>
      <c r="C1954" t="s">
        <v>7347</v>
      </c>
      <c r="D1954" t="s">
        <v>2787</v>
      </c>
      <c r="E1954" t="s">
        <v>7346</v>
      </c>
      <c r="F1954" t="s">
        <v>28</v>
      </c>
      <c r="G1954" t="s">
        <v>7346</v>
      </c>
      <c r="H1954" t="str">
        <f>"C01B10.8"</f>
        <v>C01B10.8</v>
      </c>
      <c r="I1954" t="s">
        <v>2787</v>
      </c>
      <c r="J1954">
        <v>13.825407025573901</v>
      </c>
      <c r="K1954">
        <v>13.5745928595762</v>
      </c>
      <c r="L1954">
        <v>13.762796537804199</v>
      </c>
      <c r="M1954" t="s">
        <v>29</v>
      </c>
      <c r="N1954">
        <v>13.125708584858099</v>
      </c>
      <c r="O1954">
        <v>13.73612739677</v>
      </c>
      <c r="P1954">
        <v>-0.29001415017070498</v>
      </c>
      <c r="Q1954">
        <v>-0.74585491691407702</v>
      </c>
      <c r="R1954">
        <v>0.16582661657266701</v>
      </c>
      <c r="S1954">
        <v>13.835715542997001</v>
      </c>
      <c r="T1954">
        <v>-1.3429382353061099</v>
      </c>
      <c r="U1954">
        <v>-6.1450821396918398</v>
      </c>
      <c r="V1954">
        <v>0.19705636304285401</v>
      </c>
      <c r="W1954">
        <v>0.35625284274799501</v>
      </c>
      <c r="X1954">
        <v>0</v>
      </c>
      <c r="Y1954">
        <v>0</v>
      </c>
    </row>
    <row r="1955" spans="1:25" x14ac:dyDescent="0.2">
      <c r="A1955" t="s">
        <v>7348</v>
      </c>
      <c r="B1955" t="s">
        <v>7349</v>
      </c>
      <c r="C1955" t="s">
        <v>7350</v>
      </c>
      <c r="D1955" t="s">
        <v>7351</v>
      </c>
      <c r="E1955" t="s">
        <v>7349</v>
      </c>
      <c r="F1955" t="s">
        <v>28</v>
      </c>
      <c r="G1955" t="s">
        <v>7349</v>
      </c>
      <c r="H1955" t="str">
        <f>"C01B10.9"</f>
        <v>C01B10.9</v>
      </c>
      <c r="I1955" t="s">
        <v>7351</v>
      </c>
      <c r="J1955" t="s">
        <v>29</v>
      </c>
      <c r="K1955" t="s">
        <v>29</v>
      </c>
      <c r="L1955">
        <v>10.9347777281902</v>
      </c>
      <c r="M1955" t="s">
        <v>29</v>
      </c>
      <c r="N1955" t="s">
        <v>29</v>
      </c>
      <c r="O1955" t="s">
        <v>29</v>
      </c>
      <c r="P1955" t="s">
        <v>29</v>
      </c>
      <c r="Q1955" t="s">
        <v>29</v>
      </c>
      <c r="R1955" t="s">
        <v>29</v>
      </c>
      <c r="S1955">
        <v>10.937775535060499</v>
      </c>
      <c r="T1955" t="s">
        <v>29</v>
      </c>
      <c r="U1955" t="s">
        <v>29</v>
      </c>
      <c r="V1955" t="s">
        <v>29</v>
      </c>
      <c r="W1955" t="s">
        <v>29</v>
      </c>
      <c r="X1955" t="s">
        <v>29</v>
      </c>
      <c r="Y1955" t="s">
        <v>29</v>
      </c>
    </row>
    <row r="1956" spans="1:25" x14ac:dyDescent="0.2">
      <c r="A1956" t="s">
        <v>7352</v>
      </c>
      <c r="B1956" t="s">
        <v>7353</v>
      </c>
      <c r="C1956" t="s">
        <v>7354</v>
      </c>
      <c r="D1956" t="s">
        <v>7355</v>
      </c>
      <c r="E1956" t="s">
        <v>7353</v>
      </c>
      <c r="F1956" t="s">
        <v>28</v>
      </c>
      <c r="G1956" t="s">
        <v>7353</v>
      </c>
      <c r="H1956" t="str">
        <f>"C01B10.3"</f>
        <v>C01B10.3</v>
      </c>
      <c r="I1956" t="s">
        <v>7355</v>
      </c>
      <c r="J1956" t="s">
        <v>29</v>
      </c>
      <c r="K1956" t="s">
        <v>29</v>
      </c>
      <c r="L1956" t="s">
        <v>29</v>
      </c>
      <c r="M1956" t="s">
        <v>29</v>
      </c>
      <c r="N1956">
        <v>14.656742237587601</v>
      </c>
      <c r="O1956">
        <v>14.8640183977205</v>
      </c>
      <c r="P1956" t="s">
        <v>29</v>
      </c>
      <c r="Q1956" t="s">
        <v>29</v>
      </c>
      <c r="R1956" t="s">
        <v>29</v>
      </c>
      <c r="S1956">
        <v>13.0155882462479</v>
      </c>
      <c r="T1956" t="s">
        <v>29</v>
      </c>
      <c r="U1956" t="s">
        <v>29</v>
      </c>
      <c r="V1956" t="s">
        <v>29</v>
      </c>
      <c r="W1956" t="s">
        <v>29</v>
      </c>
      <c r="X1956" t="s">
        <v>29</v>
      </c>
      <c r="Y1956" t="s">
        <v>29</v>
      </c>
    </row>
    <row r="1957" spans="1:25" x14ac:dyDescent="0.2">
      <c r="A1957" t="s">
        <v>7356</v>
      </c>
      <c r="B1957" t="s">
        <v>7357</v>
      </c>
      <c r="C1957" t="s">
        <v>7358</v>
      </c>
      <c r="D1957" t="s">
        <v>7359</v>
      </c>
      <c r="E1957" t="s">
        <v>7357</v>
      </c>
      <c r="F1957" t="s">
        <v>28</v>
      </c>
      <c r="G1957" t="s">
        <v>7357</v>
      </c>
      <c r="H1957" t="str">
        <f>"rml-4"</f>
        <v>rml-4</v>
      </c>
      <c r="I1957" t="s">
        <v>7359</v>
      </c>
      <c r="J1957">
        <v>14.514409798551201</v>
      </c>
      <c r="K1957">
        <v>14.2476380276744</v>
      </c>
      <c r="L1957">
        <v>14.039417039939901</v>
      </c>
      <c r="M1957">
        <v>14.1797209892536</v>
      </c>
      <c r="N1957">
        <v>13.971904107244701</v>
      </c>
      <c r="O1957">
        <v>14.161038402828099</v>
      </c>
      <c r="P1957">
        <v>-0.162933788946379</v>
      </c>
      <c r="Q1957">
        <v>-0.67286318574500104</v>
      </c>
      <c r="R1957">
        <v>0.34699560785224298</v>
      </c>
      <c r="S1957">
        <v>14.0441040205431</v>
      </c>
      <c r="T1957">
        <v>-0.67157360844281</v>
      </c>
      <c r="U1957">
        <v>-6.9225654878960601</v>
      </c>
      <c r="V1957">
        <v>0.51043251785787702</v>
      </c>
      <c r="W1957">
        <v>0.66353975744471305</v>
      </c>
      <c r="X1957">
        <v>0</v>
      </c>
      <c r="Y1957">
        <v>0</v>
      </c>
    </row>
    <row r="1958" spans="1:25" x14ac:dyDescent="0.2">
      <c r="A1958" t="s">
        <v>7360</v>
      </c>
      <c r="B1958" t="s">
        <v>7361</v>
      </c>
      <c r="C1958" t="s">
        <v>7362</v>
      </c>
      <c r="D1958" t="s">
        <v>1128</v>
      </c>
      <c r="E1958" t="s">
        <v>7361</v>
      </c>
      <c r="F1958" t="s">
        <v>28</v>
      </c>
      <c r="G1958" t="s">
        <v>7361</v>
      </c>
      <c r="H1958" t="str">
        <f>"sco-1"</f>
        <v>sco-1</v>
      </c>
      <c r="I1958" t="s">
        <v>1128</v>
      </c>
      <c r="J1958">
        <v>14.005204724776901</v>
      </c>
      <c r="K1958">
        <v>13.6101167328376</v>
      </c>
      <c r="L1958">
        <v>13.957947035992801</v>
      </c>
      <c r="M1958">
        <v>13.925416516095799</v>
      </c>
      <c r="N1958">
        <v>14.05524459816</v>
      </c>
      <c r="O1958">
        <v>14.121210653206299</v>
      </c>
      <c r="P1958">
        <v>0.176201091284934</v>
      </c>
      <c r="Q1958">
        <v>-0.21899221305303601</v>
      </c>
      <c r="R1958">
        <v>0.57139439562290395</v>
      </c>
      <c r="S1958">
        <v>13.914360755843401</v>
      </c>
      <c r="T1958">
        <v>0.93711206468367403</v>
      </c>
      <c r="U1958">
        <v>-6.7064563323881003</v>
      </c>
      <c r="V1958">
        <v>0.36117703118750999</v>
      </c>
      <c r="W1958">
        <v>0.52981020951199198</v>
      </c>
      <c r="X1958">
        <v>0</v>
      </c>
      <c r="Y1958">
        <v>0</v>
      </c>
    </row>
    <row r="1959" spans="1:25" x14ac:dyDescent="0.2">
      <c r="A1959" t="s">
        <v>7363</v>
      </c>
      <c r="B1959" t="s">
        <v>7364</v>
      </c>
      <c r="C1959" t="s">
        <v>7365</v>
      </c>
      <c r="D1959" t="s">
        <v>7366</v>
      </c>
      <c r="E1959" t="s">
        <v>7364</v>
      </c>
      <c r="F1959" t="s">
        <v>28</v>
      </c>
      <c r="G1959" t="s">
        <v>7364</v>
      </c>
      <c r="H1959" t="str">
        <f>"gtf-2f1"</f>
        <v>gtf-2f1</v>
      </c>
      <c r="I1959" t="s">
        <v>7366</v>
      </c>
      <c r="J1959" t="s">
        <v>29</v>
      </c>
      <c r="K1959" t="s">
        <v>29</v>
      </c>
      <c r="L1959" t="s">
        <v>29</v>
      </c>
      <c r="M1959" t="s">
        <v>29</v>
      </c>
      <c r="N1959" t="s">
        <v>29</v>
      </c>
      <c r="O1959" t="s">
        <v>29</v>
      </c>
      <c r="P1959" t="s">
        <v>29</v>
      </c>
      <c r="Q1959" t="s">
        <v>29</v>
      </c>
      <c r="R1959" t="s">
        <v>29</v>
      </c>
      <c r="S1959">
        <v>12.783370848529501</v>
      </c>
      <c r="T1959" t="s">
        <v>29</v>
      </c>
      <c r="U1959" t="s">
        <v>29</v>
      </c>
      <c r="V1959" t="s">
        <v>29</v>
      </c>
      <c r="W1959" t="s">
        <v>29</v>
      </c>
      <c r="X1959" t="s">
        <v>29</v>
      </c>
      <c r="Y1959" t="s">
        <v>29</v>
      </c>
    </row>
    <row r="1960" spans="1:25" x14ac:dyDescent="0.2">
      <c r="A1960" t="s">
        <v>7367</v>
      </c>
      <c r="B1960" t="s">
        <v>7368</v>
      </c>
      <c r="C1960" t="s">
        <v>7369</v>
      </c>
      <c r="D1960" t="s">
        <v>674</v>
      </c>
      <c r="E1960" t="s">
        <v>7368</v>
      </c>
      <c r="F1960" t="s">
        <v>28</v>
      </c>
      <c r="G1960" t="s">
        <v>7368</v>
      </c>
      <c r="H1960" t="str">
        <f>"cpna-3"</f>
        <v>cpna-3</v>
      </c>
      <c r="I1960" t="s">
        <v>674</v>
      </c>
      <c r="J1960">
        <v>13.530914980891</v>
      </c>
      <c r="K1960">
        <v>13.448147438771599</v>
      </c>
      <c r="L1960">
        <v>13.1134365317752</v>
      </c>
      <c r="M1960" t="s">
        <v>29</v>
      </c>
      <c r="N1960" t="s">
        <v>29</v>
      </c>
      <c r="O1960">
        <v>12.802324325013799</v>
      </c>
      <c r="P1960">
        <v>-0.56184199213213204</v>
      </c>
      <c r="Q1960">
        <v>-1.4819656393409799</v>
      </c>
      <c r="R1960">
        <v>0.358281655076716</v>
      </c>
      <c r="S1960">
        <v>12.966565135421799</v>
      </c>
      <c r="T1960">
        <v>-1.2951424341855999</v>
      </c>
      <c r="U1960">
        <v>-5.97576903596463</v>
      </c>
      <c r="V1960">
        <v>0.21376720904244301</v>
      </c>
      <c r="W1960">
        <v>0.37496761110277499</v>
      </c>
      <c r="X1960">
        <v>0</v>
      </c>
      <c r="Y1960">
        <v>0</v>
      </c>
    </row>
    <row r="1961" spans="1:25" x14ac:dyDescent="0.2">
      <c r="A1961" t="s">
        <v>7370</v>
      </c>
      <c r="B1961" t="s">
        <v>7371</v>
      </c>
      <c r="C1961" t="s">
        <v>7372</v>
      </c>
      <c r="D1961" t="s">
        <v>4425</v>
      </c>
      <c r="E1961" t="s">
        <v>7371</v>
      </c>
      <c r="F1961" t="s">
        <v>28</v>
      </c>
      <c r="G1961" t="s">
        <v>7371</v>
      </c>
      <c r="H1961" t="str">
        <f>"aly-1"</f>
        <v>aly-1</v>
      </c>
      <c r="I1961" t="s">
        <v>4425</v>
      </c>
      <c r="J1961">
        <v>14.2024385510492</v>
      </c>
      <c r="K1961">
        <v>15.300142863925601</v>
      </c>
      <c r="L1961">
        <v>14.7965019600411</v>
      </c>
      <c r="M1961" t="s">
        <v>29</v>
      </c>
      <c r="N1961">
        <v>15.2414063129259</v>
      </c>
      <c r="O1961">
        <v>14.6250505202052</v>
      </c>
      <c r="P1961">
        <v>0.166867291560267</v>
      </c>
      <c r="Q1961">
        <v>-0.42792354332828197</v>
      </c>
      <c r="R1961">
        <v>0.76165812644881603</v>
      </c>
      <c r="S1961">
        <v>15.1550352065591</v>
      </c>
      <c r="T1961">
        <v>0.59218439956578595</v>
      </c>
      <c r="U1961">
        <v>-6.8630386336578901</v>
      </c>
      <c r="V1961">
        <v>0.56156930465935895</v>
      </c>
      <c r="W1961">
        <v>0.70429198242463198</v>
      </c>
      <c r="X1961">
        <v>0</v>
      </c>
      <c r="Y1961">
        <v>0</v>
      </c>
    </row>
    <row r="1962" spans="1:25" x14ac:dyDescent="0.2">
      <c r="A1962" t="s">
        <v>7373</v>
      </c>
      <c r="B1962" t="s">
        <v>7374</v>
      </c>
      <c r="C1962" t="s">
        <v>7375</v>
      </c>
      <c r="D1962" t="s">
        <v>7376</v>
      </c>
      <c r="E1962" t="s">
        <v>7374</v>
      </c>
      <c r="F1962" t="s">
        <v>28</v>
      </c>
      <c r="G1962" t="s">
        <v>7374</v>
      </c>
      <c r="H1962" t="str">
        <f>"ddi-1"</f>
        <v>ddi-1</v>
      </c>
      <c r="I1962" t="s">
        <v>7376</v>
      </c>
      <c r="J1962">
        <v>13.4370672773214</v>
      </c>
      <c r="K1962">
        <v>13.1941297398659</v>
      </c>
      <c r="L1962">
        <v>13.0288243766962</v>
      </c>
      <c r="M1962">
        <v>13.648096123008299</v>
      </c>
      <c r="N1962">
        <v>13.2375935599509</v>
      </c>
      <c r="O1962">
        <v>13.568477825577</v>
      </c>
      <c r="P1962">
        <v>0.26471537155088698</v>
      </c>
      <c r="Q1962">
        <v>-0.31758804733540102</v>
      </c>
      <c r="R1962">
        <v>0.84701879043717399</v>
      </c>
      <c r="S1962">
        <v>13.2083127862455</v>
      </c>
      <c r="T1962">
        <v>0.95548161268783305</v>
      </c>
      <c r="U1962">
        <v>-6.6890860624058499</v>
      </c>
      <c r="V1962">
        <v>0.35206469717325101</v>
      </c>
      <c r="W1962">
        <v>0.52192198768874798</v>
      </c>
      <c r="X1962">
        <v>0</v>
      </c>
      <c r="Y1962">
        <v>0</v>
      </c>
    </row>
    <row r="1963" spans="1:25" x14ac:dyDescent="0.2">
      <c r="A1963" t="s">
        <v>7377</v>
      </c>
      <c r="B1963" t="s">
        <v>7378</v>
      </c>
      <c r="C1963" t="s">
        <v>7379</v>
      </c>
      <c r="D1963" t="s">
        <v>379</v>
      </c>
      <c r="E1963" t="s">
        <v>7378</v>
      </c>
      <c r="F1963" t="s">
        <v>28</v>
      </c>
      <c r="G1963" t="s">
        <v>7378</v>
      </c>
      <c r="H1963" t="str">
        <f>"aqp-2"</f>
        <v>aqp-2</v>
      </c>
      <c r="I1963" t="s">
        <v>379</v>
      </c>
      <c r="J1963">
        <v>15.140444403556099</v>
      </c>
      <c r="K1963">
        <v>15.8745368514068</v>
      </c>
      <c r="L1963">
        <v>15.425876158847901</v>
      </c>
      <c r="M1963">
        <v>15.452651639578001</v>
      </c>
      <c r="N1963">
        <v>15.1746997501288</v>
      </c>
      <c r="O1963">
        <v>15.026794278969</v>
      </c>
      <c r="P1963">
        <v>-0.262237248378341</v>
      </c>
      <c r="Q1963">
        <v>-1.0623901193718199</v>
      </c>
      <c r="R1963">
        <v>0.53791562261514203</v>
      </c>
      <c r="S1963">
        <v>15.924277335966901</v>
      </c>
      <c r="T1963">
        <v>-0.68883296798662097</v>
      </c>
      <c r="U1963">
        <v>-6.9105559328609596</v>
      </c>
      <c r="V1963">
        <v>0.49976255383634</v>
      </c>
      <c r="W1963">
        <v>0.65501627722920397</v>
      </c>
      <c r="X1963">
        <v>0</v>
      </c>
      <c r="Y1963">
        <v>0</v>
      </c>
    </row>
    <row r="1964" spans="1:25" x14ac:dyDescent="0.2">
      <c r="A1964" t="s">
        <v>7380</v>
      </c>
      <c r="B1964" t="s">
        <v>7381</v>
      </c>
      <c r="C1964" t="s">
        <v>7382</v>
      </c>
      <c r="D1964" t="s">
        <v>7383</v>
      </c>
      <c r="E1964" t="s">
        <v>7381</v>
      </c>
      <c r="F1964" t="s">
        <v>28</v>
      </c>
      <c r="G1964" t="s">
        <v>7381</v>
      </c>
      <c r="H1964" t="str">
        <f>"mtrr-1"</f>
        <v>mtrr-1</v>
      </c>
      <c r="I1964" t="s">
        <v>7383</v>
      </c>
      <c r="J1964">
        <v>12.0659673534549</v>
      </c>
      <c r="K1964" t="s">
        <v>29</v>
      </c>
      <c r="L1964">
        <v>11.7629091246757</v>
      </c>
      <c r="M1964" t="s">
        <v>29</v>
      </c>
      <c r="N1964" t="s">
        <v>29</v>
      </c>
      <c r="O1964">
        <v>11.309928970314299</v>
      </c>
      <c r="P1964">
        <v>-0.60450926875093502</v>
      </c>
      <c r="Q1964">
        <v>-1.45160770170297</v>
      </c>
      <c r="R1964">
        <v>0.24258916420110199</v>
      </c>
      <c r="S1964">
        <v>11.8896433169008</v>
      </c>
      <c r="T1964">
        <v>-1.52198611935465</v>
      </c>
      <c r="U1964">
        <v>-5.62218792017969</v>
      </c>
      <c r="V1964">
        <v>0.14895686689242099</v>
      </c>
      <c r="W1964">
        <v>0.29265059115464398</v>
      </c>
      <c r="X1964">
        <v>0</v>
      </c>
      <c r="Y1964">
        <v>0</v>
      </c>
    </row>
    <row r="1965" spans="1:25" x14ac:dyDescent="0.2">
      <c r="A1965" t="s">
        <v>7384</v>
      </c>
      <c r="B1965" t="s">
        <v>7385</v>
      </c>
      <c r="C1965" t="s">
        <v>7386</v>
      </c>
      <c r="D1965" t="s">
        <v>7387</v>
      </c>
      <c r="E1965" t="s">
        <v>7385</v>
      </c>
      <c r="F1965" t="s">
        <v>28</v>
      </c>
      <c r="G1965" t="s">
        <v>7385</v>
      </c>
      <c r="H1965" t="str">
        <f>"acs-7"</f>
        <v>acs-7</v>
      </c>
      <c r="I1965" t="s">
        <v>7387</v>
      </c>
      <c r="J1965">
        <v>14.316544291224099</v>
      </c>
      <c r="K1965">
        <v>13.9979405964029</v>
      </c>
      <c r="L1965">
        <v>13.563616884843199</v>
      </c>
      <c r="M1965">
        <v>13.412232300659699</v>
      </c>
      <c r="N1965">
        <v>14.357200635410299</v>
      </c>
      <c r="O1965">
        <v>14.478421127226801</v>
      </c>
      <c r="P1965">
        <v>0.123250763608867</v>
      </c>
      <c r="Q1965">
        <v>-0.363131457461633</v>
      </c>
      <c r="R1965">
        <v>0.609632984679367</v>
      </c>
      <c r="S1965">
        <v>14.125291223478399</v>
      </c>
      <c r="T1965">
        <v>0.53260402013258501</v>
      </c>
      <c r="U1965">
        <v>-7.0086101055130099</v>
      </c>
      <c r="V1965">
        <v>0.60085942178919705</v>
      </c>
      <c r="W1965">
        <v>0.73352639437148404</v>
      </c>
      <c r="X1965">
        <v>0</v>
      </c>
      <c r="Y1965">
        <v>0</v>
      </c>
    </row>
    <row r="1966" spans="1:25" s="28" customFormat="1" x14ac:dyDescent="0.2">
      <c r="A1966" s="28" t="s">
        <v>7388</v>
      </c>
      <c r="B1966" s="28" t="s">
        <v>7389</v>
      </c>
      <c r="C1966" s="28" t="s">
        <v>7390</v>
      </c>
      <c r="D1966" s="28" t="s">
        <v>412</v>
      </c>
      <c r="E1966" s="28" t="s">
        <v>7389</v>
      </c>
      <c r="F1966" s="28" t="s">
        <v>28</v>
      </c>
      <c r="G1966" s="28" t="s">
        <v>7389</v>
      </c>
      <c r="H1966" s="28" t="str">
        <f>"mlt-2"</f>
        <v>mlt-2</v>
      </c>
      <c r="I1966" s="28" t="s">
        <v>412</v>
      </c>
      <c r="J1966" s="28">
        <v>11.158376817069801</v>
      </c>
      <c r="K1966" s="28">
        <v>10.668773969975501</v>
      </c>
      <c r="L1966" s="28">
        <v>11.1675085806671</v>
      </c>
      <c r="M1966" s="28" t="s">
        <v>29</v>
      </c>
      <c r="N1966" s="28">
        <v>14.014347162505601</v>
      </c>
      <c r="O1966" s="28">
        <v>14.517341008473201</v>
      </c>
      <c r="P1966" s="28">
        <v>3.26762429625194</v>
      </c>
      <c r="Q1966" s="28">
        <v>2.6720431273607899</v>
      </c>
      <c r="R1966" s="28">
        <v>3.8632054651430998</v>
      </c>
      <c r="S1966" s="28">
        <v>14.211371030596</v>
      </c>
      <c r="T1966" s="28">
        <v>11.5808696122632</v>
      </c>
      <c r="U1966" s="28">
        <v>12.0391061406426</v>
      </c>
      <c r="V1966" s="33">
        <v>1.8570702872160601E-9</v>
      </c>
      <c r="W1966" s="33">
        <v>3.2192859626033601E-7</v>
      </c>
      <c r="X1966" s="28">
        <v>1</v>
      </c>
      <c r="Y1966" s="28">
        <v>1</v>
      </c>
    </row>
    <row r="1967" spans="1:25" x14ac:dyDescent="0.2">
      <c r="A1967" t="s">
        <v>7391</v>
      </c>
      <c r="B1967" t="s">
        <v>7392</v>
      </c>
      <c r="C1967" t="s">
        <v>7393</v>
      </c>
      <c r="D1967" t="s">
        <v>1210</v>
      </c>
      <c r="E1967" t="s">
        <v>7392</v>
      </c>
      <c r="F1967" t="s">
        <v>28</v>
      </c>
      <c r="G1967" t="s">
        <v>7392</v>
      </c>
      <c r="H1967" t="str">
        <f>"C01H6.4"</f>
        <v>C01H6.4</v>
      </c>
      <c r="I1967" t="s">
        <v>1210</v>
      </c>
      <c r="J1967">
        <v>13.6296467011617</v>
      </c>
      <c r="K1967">
        <v>13.588196613498299</v>
      </c>
      <c r="L1967">
        <v>13.4110875857394</v>
      </c>
      <c r="M1967" t="s">
        <v>29</v>
      </c>
      <c r="N1967">
        <v>13.1228359459631</v>
      </c>
      <c r="O1967">
        <v>13.762034943141201</v>
      </c>
      <c r="P1967">
        <v>-0.10054152224762999</v>
      </c>
      <c r="Q1967">
        <v>-0.68518382191570304</v>
      </c>
      <c r="R1967">
        <v>0.484100777420443</v>
      </c>
      <c r="S1967">
        <v>13.5221387822323</v>
      </c>
      <c r="T1967">
        <v>-0.36475793823443903</v>
      </c>
      <c r="U1967">
        <v>-6.9755860568136301</v>
      </c>
      <c r="V1967">
        <v>0.72009967143867104</v>
      </c>
      <c r="W1967">
        <v>0.81967312928920999</v>
      </c>
      <c r="X1967">
        <v>0</v>
      </c>
      <c r="Y1967">
        <v>0</v>
      </c>
    </row>
    <row r="1968" spans="1:25" x14ac:dyDescent="0.2">
      <c r="A1968" t="s">
        <v>7394</v>
      </c>
      <c r="B1968" t="s">
        <v>7395</v>
      </c>
      <c r="C1968" t="s">
        <v>7396</v>
      </c>
      <c r="D1968" t="s">
        <v>901</v>
      </c>
      <c r="E1968" t="s">
        <v>7395</v>
      </c>
      <c r="F1968" t="s">
        <v>28</v>
      </c>
      <c r="G1968" t="s">
        <v>7395</v>
      </c>
      <c r="H1968" t="str">
        <f>"nhr-17"</f>
        <v>nhr-17</v>
      </c>
      <c r="I1968" t="s">
        <v>901</v>
      </c>
      <c r="J1968">
        <v>10.8520177367646</v>
      </c>
      <c r="K1968">
        <v>10.834702399697701</v>
      </c>
      <c r="L1968" t="s">
        <v>29</v>
      </c>
      <c r="M1968" t="s">
        <v>29</v>
      </c>
      <c r="N1968" t="s">
        <v>29</v>
      </c>
      <c r="O1968" t="s">
        <v>29</v>
      </c>
      <c r="P1968" t="s">
        <v>29</v>
      </c>
      <c r="Q1968" t="s">
        <v>29</v>
      </c>
      <c r="R1968" t="s">
        <v>29</v>
      </c>
      <c r="S1968">
        <v>10.8161940683912</v>
      </c>
      <c r="T1968" t="s">
        <v>29</v>
      </c>
      <c r="U1968" t="s">
        <v>29</v>
      </c>
      <c r="V1968" t="s">
        <v>29</v>
      </c>
      <c r="W1968" t="s">
        <v>29</v>
      </c>
      <c r="X1968" t="s">
        <v>29</v>
      </c>
      <c r="Y1968" t="s">
        <v>29</v>
      </c>
    </row>
    <row r="1969" spans="1:25" x14ac:dyDescent="0.2">
      <c r="A1969" t="s">
        <v>7397</v>
      </c>
      <c r="B1969" t="s">
        <v>7398</v>
      </c>
      <c r="C1969" t="s">
        <v>7399</v>
      </c>
      <c r="D1969" t="s">
        <v>7400</v>
      </c>
      <c r="E1969" t="s">
        <v>7398</v>
      </c>
      <c r="F1969" t="s">
        <v>28</v>
      </c>
      <c r="G1969" t="s">
        <v>7398</v>
      </c>
      <c r="H1969" t="str">
        <f>"C03A3.2"</f>
        <v>C03A3.2</v>
      </c>
      <c r="I1969" t="s">
        <v>7400</v>
      </c>
      <c r="J1969">
        <v>11.4177179786731</v>
      </c>
      <c r="K1969">
        <v>11.993357892055201</v>
      </c>
      <c r="L1969">
        <v>12.5440623118213</v>
      </c>
      <c r="M1969" t="s">
        <v>29</v>
      </c>
      <c r="N1969" t="s">
        <v>29</v>
      </c>
      <c r="O1969" t="s">
        <v>29</v>
      </c>
      <c r="P1969" t="s">
        <v>29</v>
      </c>
      <c r="Q1969" t="s">
        <v>29</v>
      </c>
      <c r="R1969" t="s">
        <v>29</v>
      </c>
      <c r="S1969">
        <v>12.3080269647653</v>
      </c>
      <c r="T1969" t="s">
        <v>29</v>
      </c>
      <c r="U1969" t="s">
        <v>29</v>
      </c>
      <c r="V1969" t="s">
        <v>29</v>
      </c>
      <c r="W1969" t="s">
        <v>29</v>
      </c>
      <c r="X1969" t="s">
        <v>29</v>
      </c>
      <c r="Y1969" t="s">
        <v>29</v>
      </c>
    </row>
    <row r="1970" spans="1:25" x14ac:dyDescent="0.2">
      <c r="A1970" t="s">
        <v>7401</v>
      </c>
      <c r="B1970" t="s">
        <v>7402</v>
      </c>
      <c r="C1970" t="s">
        <v>7403</v>
      </c>
      <c r="D1970" t="s">
        <v>7404</v>
      </c>
      <c r="E1970" t="s">
        <v>7402</v>
      </c>
      <c r="F1970" t="s">
        <v>28</v>
      </c>
      <c r="G1970" t="s">
        <v>7402</v>
      </c>
      <c r="H1970" t="str">
        <f>"npp-14"</f>
        <v>npp-14</v>
      </c>
      <c r="I1970" t="s">
        <v>7404</v>
      </c>
      <c r="J1970" t="s">
        <v>29</v>
      </c>
      <c r="K1970" t="s">
        <v>29</v>
      </c>
      <c r="L1970" t="s">
        <v>29</v>
      </c>
      <c r="M1970" t="s">
        <v>29</v>
      </c>
      <c r="N1970" t="s">
        <v>29</v>
      </c>
      <c r="O1970" t="s">
        <v>29</v>
      </c>
      <c r="P1970" t="s">
        <v>29</v>
      </c>
      <c r="Q1970" t="s">
        <v>29</v>
      </c>
      <c r="R1970" t="s">
        <v>29</v>
      </c>
      <c r="S1970">
        <v>11.533093593386599</v>
      </c>
      <c r="T1970" t="s">
        <v>29</v>
      </c>
      <c r="U1970" t="s">
        <v>29</v>
      </c>
      <c r="V1970" t="s">
        <v>29</v>
      </c>
      <c r="W1970" t="s">
        <v>29</v>
      </c>
      <c r="X1970" t="s">
        <v>29</v>
      </c>
      <c r="Y1970" t="s">
        <v>29</v>
      </c>
    </row>
    <row r="1971" spans="1:25" x14ac:dyDescent="0.2">
      <c r="A1971" t="s">
        <v>7405</v>
      </c>
      <c r="B1971" t="s">
        <v>7406</v>
      </c>
      <c r="C1971" t="s">
        <v>7407</v>
      </c>
      <c r="D1971" t="s">
        <v>7408</v>
      </c>
      <c r="E1971" t="s">
        <v>7406</v>
      </c>
      <c r="F1971" t="s">
        <v>28</v>
      </c>
      <c r="G1971" t="s">
        <v>7406</v>
      </c>
      <c r="H1971" t="str">
        <f>"rpl-24.2"</f>
        <v>rpl-24.2</v>
      </c>
      <c r="I1971" t="s">
        <v>7408</v>
      </c>
      <c r="J1971">
        <v>12.088852171273899</v>
      </c>
      <c r="K1971">
        <v>12.662694666695</v>
      </c>
      <c r="L1971">
        <v>12.234336233531801</v>
      </c>
      <c r="M1971" t="s">
        <v>29</v>
      </c>
      <c r="N1971">
        <v>12.455327059406301</v>
      </c>
      <c r="O1971" t="s">
        <v>29</v>
      </c>
      <c r="P1971">
        <v>0.12669936890608799</v>
      </c>
      <c r="Q1971">
        <v>-0.98954889561842896</v>
      </c>
      <c r="R1971">
        <v>1.24294763343061</v>
      </c>
      <c r="S1971">
        <v>12.9703818702062</v>
      </c>
      <c r="T1971">
        <v>0.240748275424259</v>
      </c>
      <c r="U1971">
        <v>-6.7823186671544802</v>
      </c>
      <c r="V1971">
        <v>0.81282796062067997</v>
      </c>
      <c r="W1971">
        <v>0.88293549574240404</v>
      </c>
      <c r="X1971">
        <v>0</v>
      </c>
      <c r="Y1971">
        <v>0</v>
      </c>
    </row>
    <row r="1972" spans="1:25" x14ac:dyDescent="0.2">
      <c r="A1972" t="s">
        <v>7409</v>
      </c>
      <c r="B1972" t="s">
        <v>7410</v>
      </c>
      <c r="C1972" t="s">
        <v>7411</v>
      </c>
      <c r="D1972" t="s">
        <v>7412</v>
      </c>
      <c r="E1972" t="s">
        <v>7410</v>
      </c>
      <c r="F1972" t="s">
        <v>28</v>
      </c>
      <c r="G1972" t="s">
        <v>7410</v>
      </c>
      <c r="H1972" t="str">
        <f>"cel-1"</f>
        <v>cel-1</v>
      </c>
      <c r="I1972" t="s">
        <v>7412</v>
      </c>
      <c r="J1972">
        <v>11.5755671516182</v>
      </c>
      <c r="K1972">
        <v>11.9072777471203</v>
      </c>
      <c r="L1972">
        <v>11.9600308189555</v>
      </c>
      <c r="M1972" t="s">
        <v>29</v>
      </c>
      <c r="N1972" t="s">
        <v>29</v>
      </c>
      <c r="O1972">
        <v>11.4474683004218</v>
      </c>
      <c r="P1972">
        <v>-0.366823605476226</v>
      </c>
      <c r="Q1972">
        <v>-1.00357115406816</v>
      </c>
      <c r="R1972">
        <v>0.26992394311571</v>
      </c>
      <c r="S1972">
        <v>12.084533018118799</v>
      </c>
      <c r="T1972">
        <v>-1.22191085618343</v>
      </c>
      <c r="U1972">
        <v>-6.0636883712646403</v>
      </c>
      <c r="V1972">
        <v>0.239553675154424</v>
      </c>
      <c r="W1972">
        <v>0.40502850297193799</v>
      </c>
      <c r="X1972">
        <v>0</v>
      </c>
      <c r="Y1972">
        <v>0</v>
      </c>
    </row>
    <row r="1973" spans="1:25" x14ac:dyDescent="0.2">
      <c r="A1973" t="s">
        <v>7413</v>
      </c>
      <c r="B1973" t="s">
        <v>7414</v>
      </c>
      <c r="C1973" t="s">
        <v>7415</v>
      </c>
      <c r="D1973" t="s">
        <v>211</v>
      </c>
      <c r="E1973" t="s">
        <v>7414</v>
      </c>
      <c r="F1973" t="s">
        <v>28</v>
      </c>
      <c r="G1973" t="s">
        <v>7414</v>
      </c>
      <c r="H1973" t="str">
        <f>"C04B4.2"</f>
        <v>C04B4.2</v>
      </c>
      <c r="I1973" t="s">
        <v>211</v>
      </c>
      <c r="J1973" t="s">
        <v>29</v>
      </c>
      <c r="K1973" t="s">
        <v>29</v>
      </c>
      <c r="L1973" t="s">
        <v>29</v>
      </c>
      <c r="M1973" t="s">
        <v>29</v>
      </c>
      <c r="N1973" t="s">
        <v>29</v>
      </c>
      <c r="O1973" t="s">
        <v>29</v>
      </c>
      <c r="P1973" t="s">
        <v>29</v>
      </c>
      <c r="Q1973" t="s">
        <v>29</v>
      </c>
      <c r="R1973" t="s">
        <v>29</v>
      </c>
      <c r="S1973">
        <v>13.0816839059981</v>
      </c>
      <c r="T1973" t="s">
        <v>29</v>
      </c>
      <c r="U1973" t="s">
        <v>29</v>
      </c>
      <c r="V1973" t="s">
        <v>29</v>
      </c>
      <c r="W1973" t="s">
        <v>29</v>
      </c>
      <c r="X1973" t="s">
        <v>29</v>
      </c>
      <c r="Y1973" t="s">
        <v>29</v>
      </c>
    </row>
    <row r="1974" spans="1:25" x14ac:dyDescent="0.2">
      <c r="A1974" t="s">
        <v>7416</v>
      </c>
      <c r="B1974" t="s">
        <v>7417</v>
      </c>
      <c r="C1974" t="s">
        <v>7418</v>
      </c>
      <c r="D1974" t="s">
        <v>3617</v>
      </c>
      <c r="E1974" t="s">
        <v>7417</v>
      </c>
      <c r="F1974" t="s">
        <v>28</v>
      </c>
      <c r="G1974" t="s">
        <v>7417</v>
      </c>
      <c r="H1974" t="str">
        <f>"C04B4.4"</f>
        <v>C04B4.4</v>
      </c>
      <c r="I1974" t="s">
        <v>3617</v>
      </c>
      <c r="J1974" t="s">
        <v>29</v>
      </c>
      <c r="K1974" t="s">
        <v>29</v>
      </c>
      <c r="L1974" t="s">
        <v>29</v>
      </c>
      <c r="M1974" t="s">
        <v>29</v>
      </c>
      <c r="N1974" t="s">
        <v>29</v>
      </c>
      <c r="O1974" t="s">
        <v>29</v>
      </c>
      <c r="P1974" t="s">
        <v>29</v>
      </c>
      <c r="Q1974" t="s">
        <v>29</v>
      </c>
      <c r="R1974" t="s">
        <v>29</v>
      </c>
      <c r="S1974">
        <v>10.719109690541099</v>
      </c>
      <c r="T1974" t="s">
        <v>29</v>
      </c>
      <c r="U1974" t="s">
        <v>29</v>
      </c>
      <c r="V1974" t="s">
        <v>29</v>
      </c>
      <c r="W1974" t="s">
        <v>29</v>
      </c>
      <c r="X1974" t="s">
        <v>29</v>
      </c>
      <c r="Y1974" t="s">
        <v>29</v>
      </c>
    </row>
    <row r="1975" spans="1:25" x14ac:dyDescent="0.2">
      <c r="A1975" t="s">
        <v>7419</v>
      </c>
      <c r="B1975" t="s">
        <v>7420</v>
      </c>
      <c r="C1975" t="s">
        <v>7421</v>
      </c>
      <c r="D1975" t="s">
        <v>7422</v>
      </c>
      <c r="E1975" t="s">
        <v>7420</v>
      </c>
      <c r="F1975" t="s">
        <v>28</v>
      </c>
      <c r="G1975" t="s">
        <v>7420</v>
      </c>
      <c r="H1975" t="str">
        <f>"arrd-25"</f>
        <v>arrd-25</v>
      </c>
      <c r="I1975" t="s">
        <v>7422</v>
      </c>
      <c r="J1975">
        <v>13.615903602785499</v>
      </c>
      <c r="K1975">
        <v>13.5449298300046</v>
      </c>
      <c r="L1975">
        <v>13.3245858773185</v>
      </c>
      <c r="M1975" t="s">
        <v>29</v>
      </c>
      <c r="N1975">
        <v>15.348353903405201</v>
      </c>
      <c r="O1975">
        <v>14.825658296546299</v>
      </c>
      <c r="P1975">
        <v>1.5918663299395699</v>
      </c>
      <c r="Q1975">
        <v>1.00483982013359</v>
      </c>
      <c r="R1975">
        <v>2.1788928397455498</v>
      </c>
      <c r="S1975">
        <v>13.7770408059519</v>
      </c>
      <c r="T1975">
        <v>5.7239903892042099</v>
      </c>
      <c r="U1975">
        <v>2.4732070225512799</v>
      </c>
      <c r="V1975" s="2">
        <v>2.5425370635885401E-5</v>
      </c>
      <c r="W1975">
        <v>6.09175343609384E-4</v>
      </c>
      <c r="X1975">
        <v>1</v>
      </c>
      <c r="Y1975">
        <v>1</v>
      </c>
    </row>
    <row r="1976" spans="1:25" x14ac:dyDescent="0.2">
      <c r="A1976" t="s">
        <v>7423</v>
      </c>
      <c r="B1976" t="s">
        <v>7424</v>
      </c>
      <c r="C1976" t="s">
        <v>7425</v>
      </c>
      <c r="D1976" t="s">
        <v>7426</v>
      </c>
      <c r="E1976" t="s">
        <v>7424</v>
      </c>
      <c r="F1976" t="s">
        <v>28</v>
      </c>
      <c r="G1976" t="s">
        <v>7424</v>
      </c>
      <c r="H1976" t="str">
        <f>"spch-1"</f>
        <v>spch-1</v>
      </c>
      <c r="I1976" t="s">
        <v>7426</v>
      </c>
      <c r="J1976">
        <v>14.8690179855891</v>
      </c>
      <c r="K1976">
        <v>13.5583342272833</v>
      </c>
      <c r="L1976">
        <v>14.661281708124299</v>
      </c>
      <c r="M1976">
        <v>14.9975478820531</v>
      </c>
      <c r="N1976">
        <v>16.336700300935799</v>
      </c>
      <c r="O1976">
        <v>14.5707054005095</v>
      </c>
      <c r="P1976">
        <v>0.93877322083394599</v>
      </c>
      <c r="Q1976">
        <v>-0.31195887512894399</v>
      </c>
      <c r="R1976">
        <v>2.1895053167968399</v>
      </c>
      <c r="S1976">
        <v>14.6565877428786</v>
      </c>
      <c r="T1976">
        <v>1.5775709883312099</v>
      </c>
      <c r="U1976">
        <v>-5.9339193357627797</v>
      </c>
      <c r="V1976">
        <v>0.132177516591831</v>
      </c>
      <c r="W1976">
        <v>0.266542619578018</v>
      </c>
      <c r="X1976">
        <v>0</v>
      </c>
      <c r="Y1976">
        <v>0</v>
      </c>
    </row>
    <row r="1977" spans="1:25" x14ac:dyDescent="0.2">
      <c r="A1977" t="s">
        <v>7427</v>
      </c>
      <c r="B1977" t="s">
        <v>7428</v>
      </c>
      <c r="C1977" t="s">
        <v>7429</v>
      </c>
      <c r="D1977" t="s">
        <v>2221</v>
      </c>
      <c r="E1977" t="s">
        <v>7428</v>
      </c>
      <c r="F1977" t="s">
        <v>28</v>
      </c>
      <c r="G1977" t="s">
        <v>7430</v>
      </c>
      <c r="H1977" t="str">
        <f>"ttbk-5"</f>
        <v>ttbk-5</v>
      </c>
      <c r="I1977" t="s">
        <v>2221</v>
      </c>
      <c r="J1977" t="s">
        <v>29</v>
      </c>
      <c r="K1977" t="s">
        <v>29</v>
      </c>
      <c r="L1977" t="s">
        <v>29</v>
      </c>
      <c r="M1977" t="s">
        <v>29</v>
      </c>
      <c r="N1977" t="s">
        <v>29</v>
      </c>
      <c r="O1977" t="s">
        <v>29</v>
      </c>
      <c r="P1977" t="s">
        <v>29</v>
      </c>
      <c r="Q1977" t="s">
        <v>29</v>
      </c>
      <c r="R1977" t="s">
        <v>29</v>
      </c>
      <c r="S1977">
        <v>11.1911916137761</v>
      </c>
      <c r="T1977" t="s">
        <v>29</v>
      </c>
      <c r="U1977" t="s">
        <v>29</v>
      </c>
      <c r="V1977" t="s">
        <v>29</v>
      </c>
      <c r="W1977" t="s">
        <v>29</v>
      </c>
      <c r="X1977" t="s">
        <v>29</v>
      </c>
      <c r="Y1977" t="s">
        <v>29</v>
      </c>
    </row>
    <row r="1978" spans="1:25" x14ac:dyDescent="0.2">
      <c r="A1978" t="s">
        <v>7431</v>
      </c>
      <c r="B1978" t="s">
        <v>7432</v>
      </c>
      <c r="C1978" t="s">
        <v>7433</v>
      </c>
      <c r="D1978" t="s">
        <v>7434</v>
      </c>
      <c r="E1978" t="s">
        <v>7432</v>
      </c>
      <c r="F1978" t="s">
        <v>28</v>
      </c>
      <c r="G1978" t="s">
        <v>7432</v>
      </c>
      <c r="H1978" t="str">
        <f>"dis-3"</f>
        <v>dis-3</v>
      </c>
      <c r="I1978" t="s">
        <v>7434</v>
      </c>
      <c r="J1978">
        <v>15.551289759909601</v>
      </c>
      <c r="K1978">
        <v>15.4982760986413</v>
      </c>
      <c r="L1978">
        <v>15.3010419583479</v>
      </c>
      <c r="M1978">
        <v>14.9567818306893</v>
      </c>
      <c r="N1978">
        <v>15.1329463596295</v>
      </c>
      <c r="O1978">
        <v>15.371604112892401</v>
      </c>
      <c r="P1978">
        <v>-0.29642517122919199</v>
      </c>
      <c r="Q1978">
        <v>-0.66250919414516296</v>
      </c>
      <c r="R1978">
        <v>6.9658851686778794E-2</v>
      </c>
      <c r="S1978">
        <v>15.376596660985999</v>
      </c>
      <c r="T1978">
        <v>-1.7018717027477901</v>
      </c>
      <c r="U1978">
        <v>-5.7481329185372996</v>
      </c>
      <c r="V1978">
        <v>0.106088018886736</v>
      </c>
      <c r="W1978">
        <v>0.226060297656696</v>
      </c>
      <c r="X1978">
        <v>0</v>
      </c>
      <c r="Y1978">
        <v>0</v>
      </c>
    </row>
    <row r="1979" spans="1:25" x14ac:dyDescent="0.2">
      <c r="A1979" t="s">
        <v>7435</v>
      </c>
      <c r="B1979" t="s">
        <v>7436</v>
      </c>
      <c r="C1979" t="s">
        <v>7437</v>
      </c>
      <c r="D1979" t="s">
        <v>59</v>
      </c>
      <c r="E1979" t="s">
        <v>7436</v>
      </c>
      <c r="F1979" t="s">
        <v>28</v>
      </c>
      <c r="G1979" t="s">
        <v>7438</v>
      </c>
      <c r="H1979" t="str">
        <f>"pgp-5"</f>
        <v>pgp-5</v>
      </c>
      <c r="I1979" t="s">
        <v>59</v>
      </c>
      <c r="J1979">
        <v>12.528210891629699</v>
      </c>
      <c r="K1979">
        <v>12.757812126829499</v>
      </c>
      <c r="L1979">
        <v>12.0520076393975</v>
      </c>
      <c r="M1979" t="s">
        <v>29</v>
      </c>
      <c r="N1979" t="s">
        <v>29</v>
      </c>
      <c r="O1979" t="s">
        <v>29</v>
      </c>
      <c r="P1979" t="s">
        <v>29</v>
      </c>
      <c r="Q1979" t="s">
        <v>29</v>
      </c>
      <c r="R1979" t="s">
        <v>29</v>
      </c>
      <c r="S1979">
        <v>12.3440210174708</v>
      </c>
      <c r="T1979" t="s">
        <v>29</v>
      </c>
      <c r="U1979" t="s">
        <v>29</v>
      </c>
      <c r="V1979" t="s">
        <v>29</v>
      </c>
      <c r="W1979" t="s">
        <v>29</v>
      </c>
      <c r="X1979" t="s">
        <v>29</v>
      </c>
      <c r="Y1979" t="s">
        <v>29</v>
      </c>
    </row>
    <row r="1980" spans="1:25" x14ac:dyDescent="0.2">
      <c r="A1980" t="s">
        <v>7439</v>
      </c>
      <c r="B1980" t="s">
        <v>7440</v>
      </c>
      <c r="C1980" t="s">
        <v>7441</v>
      </c>
      <c r="D1980" t="s">
        <v>7442</v>
      </c>
      <c r="E1980" t="s">
        <v>7440</v>
      </c>
      <c r="F1980" t="s">
        <v>28</v>
      </c>
      <c r="G1980" t="s">
        <v>7440</v>
      </c>
      <c r="H1980" t="str">
        <f>"C05C12.5"</f>
        <v>C05C12.5</v>
      </c>
      <c r="I1980" t="s">
        <v>7442</v>
      </c>
      <c r="J1980">
        <v>14.7044970945797</v>
      </c>
      <c r="K1980">
        <v>12.797142542227601</v>
      </c>
      <c r="L1980">
        <v>14.174496722640701</v>
      </c>
      <c r="M1980" t="s">
        <v>29</v>
      </c>
      <c r="N1980">
        <v>13.2215769675547</v>
      </c>
      <c r="O1980">
        <v>12.9882358655013</v>
      </c>
      <c r="P1980">
        <v>-0.78713903662136497</v>
      </c>
      <c r="Q1980">
        <v>-2.0868460148287999</v>
      </c>
      <c r="R1980">
        <v>0.51256794158607399</v>
      </c>
      <c r="S1980">
        <v>13.817161734820401</v>
      </c>
      <c r="T1980">
        <v>-1.2783683605426199</v>
      </c>
      <c r="U1980">
        <v>-6.2257766108249903</v>
      </c>
      <c r="V1980">
        <v>0.21840310943008001</v>
      </c>
      <c r="W1980">
        <v>0.38168373261813299</v>
      </c>
      <c r="X1980">
        <v>0</v>
      </c>
      <c r="Y1980">
        <v>0</v>
      </c>
    </row>
    <row r="1981" spans="1:25" x14ac:dyDescent="0.2">
      <c r="A1981" t="s">
        <v>7443</v>
      </c>
      <c r="B1981" t="s">
        <v>7444</v>
      </c>
      <c r="C1981" t="s">
        <v>7445</v>
      </c>
      <c r="D1981" t="s">
        <v>7446</v>
      </c>
      <c r="E1981" t="s">
        <v>7444</v>
      </c>
      <c r="F1981" t="s">
        <v>28</v>
      </c>
      <c r="G1981" t="s">
        <v>7444</v>
      </c>
      <c r="H1981" t="str">
        <f>"C05G5.2"</f>
        <v>C05G5.2</v>
      </c>
      <c r="I1981" t="s">
        <v>7446</v>
      </c>
      <c r="J1981" t="s">
        <v>29</v>
      </c>
      <c r="K1981" t="s">
        <v>29</v>
      </c>
      <c r="L1981">
        <v>11.9073197186835</v>
      </c>
      <c r="M1981" t="s">
        <v>29</v>
      </c>
      <c r="N1981" t="s">
        <v>29</v>
      </c>
      <c r="O1981" t="s">
        <v>29</v>
      </c>
      <c r="P1981" t="s">
        <v>29</v>
      </c>
      <c r="Q1981" t="s">
        <v>29</v>
      </c>
      <c r="R1981" t="s">
        <v>29</v>
      </c>
      <c r="S1981">
        <v>11.987944933693701</v>
      </c>
      <c r="T1981" t="s">
        <v>29</v>
      </c>
      <c r="U1981" t="s">
        <v>29</v>
      </c>
      <c r="V1981" t="s">
        <v>29</v>
      </c>
      <c r="W1981" t="s">
        <v>29</v>
      </c>
      <c r="X1981" t="s">
        <v>29</v>
      </c>
      <c r="Y1981" t="s">
        <v>29</v>
      </c>
    </row>
    <row r="1982" spans="1:25" x14ac:dyDescent="0.2">
      <c r="A1982" t="s">
        <v>7447</v>
      </c>
      <c r="B1982" t="s">
        <v>7448</v>
      </c>
      <c r="C1982" t="s">
        <v>7449</v>
      </c>
      <c r="D1982" t="s">
        <v>7450</v>
      </c>
      <c r="E1982" t="s">
        <v>7448</v>
      </c>
      <c r="F1982" t="s">
        <v>28</v>
      </c>
      <c r="G1982" t="s">
        <v>7448</v>
      </c>
      <c r="H1982" t="str">
        <f>"erp-44.2"</f>
        <v>erp-44.2</v>
      </c>
      <c r="I1982" t="s">
        <v>7450</v>
      </c>
      <c r="J1982">
        <v>12.9094270497196</v>
      </c>
      <c r="K1982">
        <v>12.052246930964101</v>
      </c>
      <c r="L1982">
        <v>12.3646707601076</v>
      </c>
      <c r="M1982" t="s">
        <v>29</v>
      </c>
      <c r="N1982" t="s">
        <v>29</v>
      </c>
      <c r="O1982">
        <v>11.932119237025599</v>
      </c>
      <c r="P1982">
        <v>-0.50999567657155098</v>
      </c>
      <c r="Q1982">
        <v>-1.57795653728323</v>
      </c>
      <c r="R1982">
        <v>0.55796518414013097</v>
      </c>
      <c r="S1982">
        <v>12.205712663605899</v>
      </c>
      <c r="T1982">
        <v>-1.0325198322556599</v>
      </c>
      <c r="U1982">
        <v>-6.2676306285997097</v>
      </c>
      <c r="V1982">
        <v>0.32080589395750397</v>
      </c>
      <c r="W1982">
        <v>0.49137992177378598</v>
      </c>
      <c r="X1982">
        <v>0</v>
      </c>
      <c r="Y1982">
        <v>0</v>
      </c>
    </row>
    <row r="1983" spans="1:25" x14ac:dyDescent="0.2">
      <c r="A1983" t="s">
        <v>7451</v>
      </c>
      <c r="B1983" t="s">
        <v>7452</v>
      </c>
      <c r="C1983" t="s">
        <v>7453</v>
      </c>
      <c r="D1983" t="s">
        <v>7454</v>
      </c>
      <c r="E1983" t="s">
        <v>7452</v>
      </c>
      <c r="F1983" t="s">
        <v>28</v>
      </c>
      <c r="G1983" t="s">
        <v>7452</v>
      </c>
      <c r="H1983" t="str">
        <f>"mthf-1"</f>
        <v>mthf-1</v>
      </c>
      <c r="I1983" t="s">
        <v>7454</v>
      </c>
      <c r="J1983">
        <v>13.465907171226601</v>
      </c>
      <c r="K1983">
        <v>13.127124894258801</v>
      </c>
      <c r="L1983">
        <v>13.307128624552099</v>
      </c>
      <c r="M1983">
        <v>14.4322619352393</v>
      </c>
      <c r="N1983">
        <v>14.8140877789277</v>
      </c>
      <c r="O1983">
        <v>14.9682958256336</v>
      </c>
      <c r="P1983">
        <v>1.4381616165877</v>
      </c>
      <c r="Q1983">
        <v>0.99369893271749099</v>
      </c>
      <c r="R1983">
        <v>1.88262430045791</v>
      </c>
      <c r="S1983">
        <v>13.8498389807545</v>
      </c>
      <c r="T1983">
        <v>6.8008767185118604</v>
      </c>
      <c r="U1983">
        <v>4.7604417429785304</v>
      </c>
      <c r="V1983" s="2">
        <v>2.3524998434863501E-6</v>
      </c>
      <c r="W1983" s="2">
        <v>9.0036584918886604E-5</v>
      </c>
      <c r="X1983">
        <v>1</v>
      </c>
      <c r="Y1983">
        <v>1</v>
      </c>
    </row>
    <row r="1984" spans="1:25" x14ac:dyDescent="0.2">
      <c r="A1984" t="s">
        <v>7455</v>
      </c>
      <c r="B1984" t="s">
        <v>7456</v>
      </c>
      <c r="C1984" t="s">
        <v>7457</v>
      </c>
      <c r="D1984" t="s">
        <v>7458</v>
      </c>
      <c r="E1984" t="s">
        <v>7456</v>
      </c>
      <c r="F1984" t="s">
        <v>28</v>
      </c>
      <c r="G1984" t="s">
        <v>7456</v>
      </c>
      <c r="H1984" t="str">
        <f>"stdh-1"</f>
        <v>stdh-1</v>
      </c>
      <c r="I1984" t="s">
        <v>7458</v>
      </c>
      <c r="J1984">
        <v>13.9526261084564</v>
      </c>
      <c r="K1984">
        <v>13.997419832870101</v>
      </c>
      <c r="L1984">
        <v>13.605975578064299</v>
      </c>
      <c r="M1984">
        <v>13.332388475579499</v>
      </c>
      <c r="N1984">
        <v>13.491528333817399</v>
      </c>
      <c r="O1984">
        <v>13.155386117567099</v>
      </c>
      <c r="P1984">
        <v>-0.52557286414227999</v>
      </c>
      <c r="Q1984">
        <v>-0.86279508480035505</v>
      </c>
      <c r="R1984">
        <v>-0.18835064348420399</v>
      </c>
      <c r="S1984">
        <v>13.3162275942001</v>
      </c>
      <c r="T1984">
        <v>-3.2757387883181601</v>
      </c>
      <c r="U1984">
        <v>-2.7518113370327</v>
      </c>
      <c r="V1984">
        <v>4.2255184636723698E-3</v>
      </c>
      <c r="W1984">
        <v>2.5106054258956598E-2</v>
      </c>
      <c r="X1984">
        <v>0</v>
      </c>
      <c r="Y1984">
        <v>0</v>
      </c>
    </row>
    <row r="1985" spans="1:25" x14ac:dyDescent="0.2">
      <c r="A1985" t="s">
        <v>7459</v>
      </c>
      <c r="B1985" t="s">
        <v>7460</v>
      </c>
      <c r="C1985" t="s">
        <v>7461</v>
      </c>
      <c r="D1985" t="s">
        <v>828</v>
      </c>
      <c r="E1985" t="s">
        <v>7460</v>
      </c>
      <c r="F1985" t="s">
        <v>28</v>
      </c>
      <c r="G1985" t="s">
        <v>7460</v>
      </c>
      <c r="H1985" t="str">
        <f>"C06E7.4"</f>
        <v>C06E7.4</v>
      </c>
      <c r="I1985" t="s">
        <v>828</v>
      </c>
      <c r="J1985">
        <v>11.6126332881098</v>
      </c>
      <c r="K1985" t="s">
        <v>29</v>
      </c>
      <c r="L1985" t="s">
        <v>29</v>
      </c>
      <c r="M1985" t="s">
        <v>29</v>
      </c>
      <c r="N1985" t="s">
        <v>29</v>
      </c>
      <c r="O1985" t="s">
        <v>29</v>
      </c>
      <c r="P1985" t="s">
        <v>29</v>
      </c>
      <c r="Q1985" t="s">
        <v>29</v>
      </c>
      <c r="R1985" t="s">
        <v>29</v>
      </c>
      <c r="S1985">
        <v>11.097824846663199</v>
      </c>
      <c r="T1985" t="s">
        <v>29</v>
      </c>
      <c r="U1985" t="s">
        <v>29</v>
      </c>
      <c r="V1985" t="s">
        <v>29</v>
      </c>
      <c r="W1985" t="s">
        <v>29</v>
      </c>
      <c r="X1985" t="s">
        <v>29</v>
      </c>
      <c r="Y1985" t="s">
        <v>29</v>
      </c>
    </row>
    <row r="1986" spans="1:25" x14ac:dyDescent="0.2">
      <c r="A1986" t="s">
        <v>7462</v>
      </c>
      <c r="B1986" t="s">
        <v>7463</v>
      </c>
      <c r="C1986" t="s">
        <v>7464</v>
      </c>
      <c r="D1986" t="s">
        <v>7465</v>
      </c>
      <c r="E1986" t="s">
        <v>7463</v>
      </c>
      <c r="F1986" t="s">
        <v>28</v>
      </c>
      <c r="G1986" t="s">
        <v>7463</v>
      </c>
      <c r="H1986" t="str">
        <f>"ain-1"</f>
        <v>ain-1</v>
      </c>
      <c r="I1986" t="s">
        <v>7465</v>
      </c>
      <c r="J1986">
        <v>15.475027939466299</v>
      </c>
      <c r="K1986">
        <v>16.181106988948802</v>
      </c>
      <c r="L1986">
        <v>16.232538469067901</v>
      </c>
      <c r="M1986">
        <v>15.8247757826328</v>
      </c>
      <c r="N1986">
        <v>16.000929527855501</v>
      </c>
      <c r="O1986">
        <v>15.49098784225</v>
      </c>
      <c r="P1986">
        <v>-0.19066008158154599</v>
      </c>
      <c r="Q1986">
        <v>-0.64648337055837102</v>
      </c>
      <c r="R1986">
        <v>0.26516320739527899</v>
      </c>
      <c r="S1986">
        <v>16.238777424799899</v>
      </c>
      <c r="T1986">
        <v>-0.87913541854354005</v>
      </c>
      <c r="U1986">
        <v>-6.75926578092976</v>
      </c>
      <c r="V1986">
        <v>0.39098042449089698</v>
      </c>
      <c r="W1986">
        <v>0.55905837504836198</v>
      </c>
      <c r="X1986">
        <v>0</v>
      </c>
      <c r="Y1986">
        <v>0</v>
      </c>
    </row>
    <row r="1987" spans="1:25" x14ac:dyDescent="0.2">
      <c r="A1987" t="s">
        <v>7466</v>
      </c>
      <c r="B1987" t="s">
        <v>7467</v>
      </c>
      <c r="C1987" t="s">
        <v>7468</v>
      </c>
      <c r="D1987" t="s">
        <v>7469</v>
      </c>
      <c r="E1987" t="s">
        <v>7467</v>
      </c>
      <c r="F1987" t="s">
        <v>28</v>
      </c>
      <c r="G1987" t="s">
        <v>7467</v>
      </c>
      <c r="H1987" t="str">
        <f>"gldi-4"</f>
        <v>gldi-4</v>
      </c>
      <c r="I1987" t="s">
        <v>7469</v>
      </c>
      <c r="J1987" t="s">
        <v>29</v>
      </c>
      <c r="K1987" t="s">
        <v>29</v>
      </c>
      <c r="L1987" t="s">
        <v>29</v>
      </c>
      <c r="M1987" t="s">
        <v>29</v>
      </c>
      <c r="N1987" t="s">
        <v>29</v>
      </c>
      <c r="O1987" t="s">
        <v>29</v>
      </c>
      <c r="P1987" t="s">
        <v>29</v>
      </c>
      <c r="Q1987" t="s">
        <v>29</v>
      </c>
      <c r="R1987" t="s">
        <v>29</v>
      </c>
      <c r="S1987">
        <v>11.723807070822</v>
      </c>
      <c r="T1987" t="s">
        <v>29</v>
      </c>
      <c r="U1987" t="s">
        <v>29</v>
      </c>
      <c r="V1987" t="s">
        <v>29</v>
      </c>
      <c r="W1987" t="s">
        <v>29</v>
      </c>
      <c r="X1987" t="s">
        <v>29</v>
      </c>
      <c r="Y1987" t="s">
        <v>29</v>
      </c>
    </row>
    <row r="1988" spans="1:25" x14ac:dyDescent="0.2">
      <c r="A1988" t="s">
        <v>7470</v>
      </c>
      <c r="B1988" t="s">
        <v>7471</v>
      </c>
      <c r="C1988" t="s">
        <v>7472</v>
      </c>
      <c r="D1988" t="s">
        <v>7473</v>
      </c>
      <c r="E1988" t="s">
        <v>7471</v>
      </c>
      <c r="F1988" t="s">
        <v>28</v>
      </c>
      <c r="G1988" t="s">
        <v>7471</v>
      </c>
      <c r="H1988" t="str">
        <f>"ufl-1"</f>
        <v>ufl-1</v>
      </c>
      <c r="I1988" t="s">
        <v>7473</v>
      </c>
      <c r="J1988">
        <v>10.978791947680699</v>
      </c>
      <c r="K1988">
        <v>15.0273907408392</v>
      </c>
      <c r="L1988">
        <v>10.2537998675494</v>
      </c>
      <c r="M1988" t="s">
        <v>29</v>
      </c>
      <c r="N1988" t="s">
        <v>29</v>
      </c>
      <c r="O1988">
        <v>11.008975527506699</v>
      </c>
      <c r="P1988">
        <v>-1.0776853245164</v>
      </c>
      <c r="Q1988">
        <v>-3.6034405145228199</v>
      </c>
      <c r="R1988">
        <v>1.4480698654900099</v>
      </c>
      <c r="S1988">
        <v>11.6630084576729</v>
      </c>
      <c r="T1988">
        <v>-0.91578306384668395</v>
      </c>
      <c r="U1988">
        <v>-6.3815622835331203</v>
      </c>
      <c r="V1988">
        <v>0.37540077881948902</v>
      </c>
      <c r="W1988">
        <v>0.54177575669982103</v>
      </c>
      <c r="X1988">
        <v>0</v>
      </c>
      <c r="Y1988">
        <v>0</v>
      </c>
    </row>
    <row r="1989" spans="1:25" x14ac:dyDescent="0.2">
      <c r="A1989" t="s">
        <v>7474</v>
      </c>
      <c r="B1989" t="s">
        <v>7475</v>
      </c>
      <c r="C1989" t="s">
        <v>7476</v>
      </c>
      <c r="D1989" t="s">
        <v>7477</v>
      </c>
      <c r="E1989" t="s">
        <v>7475</v>
      </c>
      <c r="F1989" t="s">
        <v>28</v>
      </c>
      <c r="G1989" t="s">
        <v>7475</v>
      </c>
      <c r="H1989" t="str">
        <f>"T25B9.9"</f>
        <v>T25B9.9</v>
      </c>
      <c r="I1989" t="s">
        <v>7477</v>
      </c>
      <c r="J1989">
        <v>17.1228889311285</v>
      </c>
      <c r="K1989">
        <v>16.935714523674999</v>
      </c>
      <c r="L1989">
        <v>16.9118908877808</v>
      </c>
      <c r="M1989">
        <v>16.735980628809799</v>
      </c>
      <c r="N1989">
        <v>16.289570079112298</v>
      </c>
      <c r="O1989">
        <v>16.481318369442999</v>
      </c>
      <c r="P1989">
        <v>-0.487875088406444</v>
      </c>
      <c r="Q1989">
        <v>-0.84079940209932202</v>
      </c>
      <c r="R1989">
        <v>-0.13495077471356601</v>
      </c>
      <c r="S1989">
        <v>16.647694781355401</v>
      </c>
      <c r="T1989">
        <v>-2.90549128619881</v>
      </c>
      <c r="U1989">
        <v>-3.5318585370384001</v>
      </c>
      <c r="V1989">
        <v>9.4738024122421605E-3</v>
      </c>
      <c r="W1989">
        <v>4.41043907449786E-2</v>
      </c>
      <c r="X1989">
        <v>0</v>
      </c>
      <c r="Y1989">
        <v>0</v>
      </c>
    </row>
    <row r="1990" spans="1:25" x14ac:dyDescent="0.2">
      <c r="A1990" t="s">
        <v>7478</v>
      </c>
      <c r="B1990" t="s">
        <v>7479</v>
      </c>
      <c r="C1990" t="s">
        <v>7480</v>
      </c>
      <c r="D1990" t="s">
        <v>7481</v>
      </c>
      <c r="E1990" t="s">
        <v>7479</v>
      </c>
      <c r="F1990" t="s">
        <v>28</v>
      </c>
      <c r="G1990" t="s">
        <v>7479</v>
      </c>
      <c r="H1990" t="str">
        <f>"atp-5"</f>
        <v>atp-5</v>
      </c>
      <c r="I1990" t="s">
        <v>7481</v>
      </c>
      <c r="J1990">
        <v>13.6934868766441</v>
      </c>
      <c r="K1990">
        <v>13.507981759087601</v>
      </c>
      <c r="L1990">
        <v>14.1537793145273</v>
      </c>
      <c r="M1990" t="s">
        <v>29</v>
      </c>
      <c r="N1990">
        <v>14.618919095248399</v>
      </c>
      <c r="O1990">
        <v>13.919463131510099</v>
      </c>
      <c r="P1990">
        <v>0.48410846329298401</v>
      </c>
      <c r="Q1990">
        <v>-0.44276726985391801</v>
      </c>
      <c r="R1990">
        <v>1.4109841964398899</v>
      </c>
      <c r="S1990">
        <v>13.835044117594601</v>
      </c>
      <c r="T1990">
        <v>1.10248115932549</v>
      </c>
      <c r="U1990">
        <v>-6.4286611420608804</v>
      </c>
      <c r="V1990">
        <v>0.28571013056912797</v>
      </c>
      <c r="W1990">
        <v>0.453412899723867</v>
      </c>
      <c r="X1990">
        <v>0</v>
      </c>
      <c r="Y1990">
        <v>0</v>
      </c>
    </row>
    <row r="1991" spans="1:25" x14ac:dyDescent="0.2">
      <c r="A1991" t="s">
        <v>7482</v>
      </c>
      <c r="B1991" t="s">
        <v>7483</v>
      </c>
      <c r="C1991" t="s">
        <v>7484</v>
      </c>
      <c r="D1991" t="s">
        <v>1095</v>
      </c>
      <c r="E1991" t="s">
        <v>7483</v>
      </c>
      <c r="F1991" t="s">
        <v>28</v>
      </c>
      <c r="G1991" t="s">
        <v>7483</v>
      </c>
      <c r="H1991" t="str">
        <f>"jmjd-5"</f>
        <v>jmjd-5</v>
      </c>
      <c r="I1991" t="s">
        <v>1095</v>
      </c>
      <c r="J1991">
        <v>14.208577121859699</v>
      </c>
      <c r="K1991">
        <v>13.8851118629519</v>
      </c>
      <c r="L1991">
        <v>14.343481557216</v>
      </c>
      <c r="M1991" t="s">
        <v>29</v>
      </c>
      <c r="N1991" t="s">
        <v>29</v>
      </c>
      <c r="O1991">
        <v>12.743313709241299</v>
      </c>
      <c r="P1991">
        <v>-1.4024098047679201</v>
      </c>
      <c r="Q1991">
        <v>-2.0729654205100099</v>
      </c>
      <c r="R1991">
        <v>-0.731854189025827</v>
      </c>
      <c r="S1991">
        <v>13.965026425132899</v>
      </c>
      <c r="T1991">
        <v>-4.4359808765957798</v>
      </c>
      <c r="U1991">
        <v>-0.13061329591971299</v>
      </c>
      <c r="V1991">
        <v>4.2131314418322502E-4</v>
      </c>
      <c r="W1991">
        <v>4.8124412244494701E-3</v>
      </c>
      <c r="X1991">
        <v>-1</v>
      </c>
      <c r="Y1991">
        <v>-1</v>
      </c>
    </row>
    <row r="1992" spans="1:25" x14ac:dyDescent="0.2">
      <c r="A1992" t="s">
        <v>7485</v>
      </c>
      <c r="B1992" t="s">
        <v>7486</v>
      </c>
      <c r="C1992" t="s">
        <v>7487</v>
      </c>
      <c r="D1992" t="s">
        <v>7488</v>
      </c>
      <c r="E1992" t="s">
        <v>7486</v>
      </c>
      <c r="F1992" t="s">
        <v>28</v>
      </c>
      <c r="G1992" t="s">
        <v>7486</v>
      </c>
      <c r="H1992" t="str">
        <f>"pdi-2"</f>
        <v>pdi-2</v>
      </c>
      <c r="I1992" t="s">
        <v>7488</v>
      </c>
      <c r="J1992">
        <v>10.5759071151017</v>
      </c>
      <c r="K1992">
        <v>10.8542196896541</v>
      </c>
      <c r="L1992">
        <v>12.135029977878199</v>
      </c>
      <c r="M1992" t="s">
        <v>29</v>
      </c>
      <c r="N1992" t="s">
        <v>29</v>
      </c>
      <c r="O1992">
        <v>11.8975912343228</v>
      </c>
      <c r="P1992">
        <v>0.70920564011141896</v>
      </c>
      <c r="Q1992">
        <v>-0.99854944284054703</v>
      </c>
      <c r="R1992">
        <v>2.41696072306339</v>
      </c>
      <c r="S1992">
        <v>11.648208180732301</v>
      </c>
      <c r="T1992">
        <v>0.89791213004714399</v>
      </c>
      <c r="U1992">
        <v>-6.3965015251927104</v>
      </c>
      <c r="V1992">
        <v>0.385690954255968</v>
      </c>
      <c r="W1992">
        <v>0.55364405367381297</v>
      </c>
      <c r="X1992">
        <v>0</v>
      </c>
      <c r="Y1992">
        <v>0</v>
      </c>
    </row>
    <row r="1993" spans="1:25" x14ac:dyDescent="0.2">
      <c r="A1993" t="s">
        <v>7489</v>
      </c>
      <c r="B1993" t="s">
        <v>7490</v>
      </c>
      <c r="C1993" t="s">
        <v>7491</v>
      </c>
      <c r="D1993" t="s">
        <v>7492</v>
      </c>
      <c r="E1993" t="s">
        <v>7490</v>
      </c>
      <c r="F1993" t="s">
        <v>28</v>
      </c>
      <c r="G1993" t="s">
        <v>7490</v>
      </c>
      <c r="H1993" t="str">
        <f>"nhr-35"</f>
        <v>nhr-35</v>
      </c>
      <c r="I1993" t="s">
        <v>7492</v>
      </c>
      <c r="J1993" t="s">
        <v>29</v>
      </c>
      <c r="K1993">
        <v>10.7781414591049</v>
      </c>
      <c r="L1993">
        <v>11.5525629092377</v>
      </c>
      <c r="M1993" t="s">
        <v>29</v>
      </c>
      <c r="N1993" t="s">
        <v>29</v>
      </c>
      <c r="O1993">
        <v>12.6980354060971</v>
      </c>
      <c r="P1993">
        <v>1.53268322192577</v>
      </c>
      <c r="Q1993">
        <v>8.4308474382366799E-2</v>
      </c>
      <c r="R1993">
        <v>2.9810579694691599</v>
      </c>
      <c r="S1993">
        <v>12.15739446715</v>
      </c>
      <c r="T1993">
        <v>2.3078972597123002</v>
      </c>
      <c r="U1993">
        <v>-4.4070812209994603</v>
      </c>
      <c r="V1993">
        <v>3.9803194111921902E-2</v>
      </c>
      <c r="W1993">
        <v>0.117771097437584</v>
      </c>
      <c r="X1993">
        <v>1</v>
      </c>
      <c r="Y1993">
        <v>0</v>
      </c>
    </row>
    <row r="1994" spans="1:25" x14ac:dyDescent="0.2">
      <c r="A1994" t="s">
        <v>7493</v>
      </c>
      <c r="B1994" t="s">
        <v>7494</v>
      </c>
      <c r="C1994" t="s">
        <v>7495</v>
      </c>
      <c r="D1994" t="s">
        <v>7496</v>
      </c>
      <c r="E1994" t="s">
        <v>7494</v>
      </c>
      <c r="F1994" t="s">
        <v>28</v>
      </c>
      <c r="G1994" t="s">
        <v>7494</v>
      </c>
      <c r="H1994" t="str">
        <f>"stip-1"</f>
        <v>stip-1</v>
      </c>
      <c r="I1994" t="s">
        <v>7496</v>
      </c>
      <c r="J1994" t="s">
        <v>29</v>
      </c>
      <c r="K1994" t="s">
        <v>29</v>
      </c>
      <c r="L1994" t="s">
        <v>29</v>
      </c>
      <c r="M1994" t="s">
        <v>29</v>
      </c>
      <c r="N1994" t="s">
        <v>29</v>
      </c>
      <c r="O1994" t="s">
        <v>29</v>
      </c>
      <c r="P1994" t="s">
        <v>29</v>
      </c>
      <c r="Q1994" t="s">
        <v>29</v>
      </c>
      <c r="R1994" t="s">
        <v>29</v>
      </c>
      <c r="S1994">
        <v>11.3086502128122</v>
      </c>
      <c r="T1994" t="s">
        <v>29</v>
      </c>
      <c r="U1994" t="s">
        <v>29</v>
      </c>
      <c r="V1994" t="s">
        <v>29</v>
      </c>
      <c r="W1994" t="s">
        <v>29</v>
      </c>
      <c r="X1994" t="s">
        <v>29</v>
      </c>
      <c r="Y1994" t="s">
        <v>29</v>
      </c>
    </row>
    <row r="1995" spans="1:25" x14ac:dyDescent="0.2">
      <c r="A1995" t="s">
        <v>7497</v>
      </c>
      <c r="B1995" t="s">
        <v>7498</v>
      </c>
      <c r="C1995" t="s">
        <v>7499</v>
      </c>
      <c r="D1995" t="s">
        <v>7500</v>
      </c>
      <c r="E1995" t="s">
        <v>7498</v>
      </c>
      <c r="F1995" t="s">
        <v>28</v>
      </c>
      <c r="G1995" t="s">
        <v>7498</v>
      </c>
      <c r="H1995" t="str">
        <f>"hgrs-1"</f>
        <v>hgrs-1</v>
      </c>
      <c r="I1995" t="s">
        <v>7500</v>
      </c>
      <c r="J1995">
        <v>9.8104947158931708</v>
      </c>
      <c r="K1995">
        <v>10.2922969435452</v>
      </c>
      <c r="L1995">
        <v>10.7928929494407</v>
      </c>
      <c r="M1995" t="s">
        <v>29</v>
      </c>
      <c r="N1995">
        <v>9.3476797229729094</v>
      </c>
      <c r="O1995">
        <v>11.4516596654325</v>
      </c>
      <c r="P1995">
        <v>0.10110815790970699</v>
      </c>
      <c r="Q1995">
        <v>-0.94724698174257005</v>
      </c>
      <c r="R1995">
        <v>1.1494632975619801</v>
      </c>
      <c r="S1995">
        <v>10.8720331851186</v>
      </c>
      <c r="T1995">
        <v>0.20357656517257</v>
      </c>
      <c r="U1995">
        <v>-7.0237169906584001</v>
      </c>
      <c r="V1995">
        <v>0.84111624214341596</v>
      </c>
      <c r="W1995">
        <v>0.90006157065963899</v>
      </c>
      <c r="X1995">
        <v>0</v>
      </c>
      <c r="Y1995">
        <v>0</v>
      </c>
    </row>
    <row r="1996" spans="1:25" x14ac:dyDescent="0.2">
      <c r="A1996" t="s">
        <v>7501</v>
      </c>
      <c r="B1996" t="s">
        <v>7502</v>
      </c>
      <c r="C1996" t="s">
        <v>7503</v>
      </c>
      <c r="D1996" t="s">
        <v>7504</v>
      </c>
      <c r="E1996" t="s">
        <v>7502</v>
      </c>
      <c r="F1996" t="s">
        <v>28</v>
      </c>
      <c r="G1996" t="s">
        <v>7502</v>
      </c>
      <c r="H1996" t="str">
        <f>"cpg-1"</f>
        <v>cpg-1</v>
      </c>
      <c r="I1996" t="s">
        <v>7504</v>
      </c>
      <c r="J1996">
        <v>13.5335207986721</v>
      </c>
      <c r="K1996">
        <v>14.608846353802999</v>
      </c>
      <c r="L1996">
        <v>16.3404661440246</v>
      </c>
      <c r="M1996">
        <v>18.756933144208102</v>
      </c>
      <c r="N1996">
        <v>17.060697210685099</v>
      </c>
      <c r="O1996">
        <v>17.365455705869199</v>
      </c>
      <c r="P1996">
        <v>2.90008425475422</v>
      </c>
      <c r="Q1996">
        <v>1.3120859335994699</v>
      </c>
      <c r="R1996">
        <v>4.4880825759089804</v>
      </c>
      <c r="S1996">
        <v>15.453104608611699</v>
      </c>
      <c r="T1996">
        <v>3.8384252686750502</v>
      </c>
      <c r="U1996">
        <v>-1.5277756768042401</v>
      </c>
      <c r="V1996">
        <v>1.21471653785078E-3</v>
      </c>
      <c r="W1996">
        <v>1.0419322092238699E-2</v>
      </c>
      <c r="X1996">
        <v>1</v>
      </c>
      <c r="Y1996">
        <v>1</v>
      </c>
    </row>
    <row r="1997" spans="1:25" x14ac:dyDescent="0.2">
      <c r="A1997" t="s">
        <v>7505</v>
      </c>
      <c r="B1997" t="s">
        <v>7506</v>
      </c>
      <c r="C1997" t="s">
        <v>7507</v>
      </c>
      <c r="D1997" t="s">
        <v>7508</v>
      </c>
      <c r="E1997" t="s">
        <v>7506</v>
      </c>
      <c r="F1997" t="s">
        <v>28</v>
      </c>
      <c r="G1997" t="s">
        <v>7506</v>
      </c>
      <c r="H1997" t="str">
        <f>"C08B6.3"</f>
        <v>C08B6.3</v>
      </c>
      <c r="I1997" t="s">
        <v>7508</v>
      </c>
      <c r="J1997" t="s">
        <v>29</v>
      </c>
      <c r="K1997" t="s">
        <v>29</v>
      </c>
      <c r="L1997" t="s">
        <v>29</v>
      </c>
      <c r="M1997" t="s">
        <v>29</v>
      </c>
      <c r="N1997" t="s">
        <v>29</v>
      </c>
      <c r="O1997" t="s">
        <v>29</v>
      </c>
      <c r="P1997" t="s">
        <v>29</v>
      </c>
      <c r="Q1997" t="s">
        <v>29</v>
      </c>
      <c r="R1997" t="s">
        <v>29</v>
      </c>
      <c r="S1997">
        <v>12.360122921740899</v>
      </c>
      <c r="T1997" t="s">
        <v>29</v>
      </c>
      <c r="U1997" t="s">
        <v>29</v>
      </c>
      <c r="V1997" t="s">
        <v>29</v>
      </c>
      <c r="W1997" t="s">
        <v>29</v>
      </c>
      <c r="X1997" t="s">
        <v>29</v>
      </c>
      <c r="Y1997" t="s">
        <v>29</v>
      </c>
    </row>
    <row r="1998" spans="1:25" x14ac:dyDescent="0.2">
      <c r="A1998" t="s">
        <v>7509</v>
      </c>
      <c r="B1998" t="s">
        <v>7510</v>
      </c>
      <c r="C1998" t="s">
        <v>7511</v>
      </c>
      <c r="D1998" t="s">
        <v>7512</v>
      </c>
      <c r="E1998" t="s">
        <v>7510</v>
      </c>
      <c r="F1998" t="s">
        <v>28</v>
      </c>
      <c r="G1998" t="s">
        <v>7510</v>
      </c>
      <c r="H1998" t="str">
        <f>"C08B6.8"</f>
        <v>C08B6.8</v>
      </c>
      <c r="I1998" t="s">
        <v>7512</v>
      </c>
      <c r="J1998">
        <v>13.516804315803601</v>
      </c>
      <c r="K1998">
        <v>13.5313763828881</v>
      </c>
      <c r="L1998">
        <v>13.6608455938721</v>
      </c>
      <c r="M1998" t="s">
        <v>29</v>
      </c>
      <c r="N1998" t="s">
        <v>29</v>
      </c>
      <c r="O1998">
        <v>13.430002156502599</v>
      </c>
      <c r="P1998">
        <v>-0.13967327435201901</v>
      </c>
      <c r="Q1998">
        <v>-1.0860459516161201</v>
      </c>
      <c r="R1998">
        <v>0.80669940291208497</v>
      </c>
      <c r="S1998">
        <v>13.3485437359027</v>
      </c>
      <c r="T1998">
        <v>-0.31304058820645297</v>
      </c>
      <c r="U1998">
        <v>-6.7613980236460502</v>
      </c>
      <c r="V1998">
        <v>0.75831981707295004</v>
      </c>
      <c r="W1998">
        <v>0.84746624987257702</v>
      </c>
      <c r="X1998">
        <v>0</v>
      </c>
      <c r="Y1998">
        <v>0</v>
      </c>
    </row>
    <row r="1999" spans="1:25" x14ac:dyDescent="0.2">
      <c r="A1999" t="s">
        <v>7513</v>
      </c>
      <c r="B1999" t="s">
        <v>7514</v>
      </c>
      <c r="C1999" t="s">
        <v>7515</v>
      </c>
      <c r="D1999" t="s">
        <v>7516</v>
      </c>
      <c r="E1999" t="s">
        <v>7514</v>
      </c>
      <c r="F1999" t="s">
        <v>28</v>
      </c>
      <c r="G1999" t="s">
        <v>7514</v>
      </c>
      <c r="H1999" t="str">
        <f>"aos-1"</f>
        <v>aos-1</v>
      </c>
      <c r="I1999" t="s">
        <v>7516</v>
      </c>
      <c r="J1999">
        <v>13.343924299698299</v>
      </c>
      <c r="K1999">
        <v>13.224851868902199</v>
      </c>
      <c r="L1999">
        <v>13.151185592537599</v>
      </c>
      <c r="M1999">
        <v>12.996705242432</v>
      </c>
      <c r="N1999">
        <v>12.7673201484844</v>
      </c>
      <c r="O1999">
        <v>13.3431726637578</v>
      </c>
      <c r="P1999">
        <v>-0.20425456882132501</v>
      </c>
      <c r="Q1999">
        <v>-0.57545139668143097</v>
      </c>
      <c r="R1999">
        <v>0.16694225903878099</v>
      </c>
      <c r="S1999">
        <v>12.9928625334713</v>
      </c>
      <c r="T1999">
        <v>-1.1565383458072001</v>
      </c>
      <c r="U1999">
        <v>-6.4794937112161</v>
      </c>
      <c r="V1999">
        <v>0.26266773544482203</v>
      </c>
      <c r="W1999">
        <v>0.43004545353105</v>
      </c>
      <c r="X1999">
        <v>0</v>
      </c>
      <c r="Y1999">
        <v>0</v>
      </c>
    </row>
    <row r="2000" spans="1:25" x14ac:dyDescent="0.2">
      <c r="A2000" t="s">
        <v>7517</v>
      </c>
      <c r="B2000" t="s">
        <v>7518</v>
      </c>
      <c r="C2000" t="s">
        <v>7519</v>
      </c>
      <c r="D2000" t="s">
        <v>7520</v>
      </c>
      <c r="E2000" t="s">
        <v>7518</v>
      </c>
      <c r="F2000" t="s">
        <v>28</v>
      </c>
      <c r="G2000" t="s">
        <v>7518</v>
      </c>
      <c r="H2000" t="str">
        <f>"C08F8.2"</f>
        <v>C08F8.2</v>
      </c>
      <c r="I2000" t="s">
        <v>7520</v>
      </c>
      <c r="J2000">
        <v>11.2300397070674</v>
      </c>
      <c r="K2000">
        <v>10.6727694933401</v>
      </c>
      <c r="L2000">
        <v>11.0007740056787</v>
      </c>
      <c r="M2000" t="s">
        <v>29</v>
      </c>
      <c r="N2000" t="s">
        <v>29</v>
      </c>
      <c r="O2000">
        <v>11.1328741941256</v>
      </c>
      <c r="P2000">
        <v>0.16501312543021199</v>
      </c>
      <c r="Q2000">
        <v>-0.67720442673644798</v>
      </c>
      <c r="R2000">
        <v>1.00723067759687</v>
      </c>
      <c r="S2000">
        <v>11.102210489514899</v>
      </c>
      <c r="T2000">
        <v>0.42051945691352199</v>
      </c>
      <c r="U2000">
        <v>-6.7196404373361602</v>
      </c>
      <c r="V2000">
        <v>0.68053700214434298</v>
      </c>
      <c r="W2000">
        <v>0.79020588862071695</v>
      </c>
      <c r="X2000">
        <v>0</v>
      </c>
      <c r="Y2000">
        <v>0</v>
      </c>
    </row>
    <row r="2001" spans="1:25" x14ac:dyDescent="0.2">
      <c r="A2001" t="s">
        <v>7521</v>
      </c>
      <c r="B2001" t="s">
        <v>7522</v>
      </c>
      <c r="C2001" t="s">
        <v>7523</v>
      </c>
      <c r="D2001" t="s">
        <v>603</v>
      </c>
      <c r="E2001" t="s">
        <v>7522</v>
      </c>
      <c r="F2001" t="s">
        <v>28</v>
      </c>
      <c r="G2001" t="s">
        <v>7522</v>
      </c>
      <c r="H2001" t="str">
        <f>"vgln-1"</f>
        <v>vgln-1</v>
      </c>
      <c r="I2001" t="s">
        <v>603</v>
      </c>
      <c r="J2001">
        <v>18.076481267950399</v>
      </c>
      <c r="K2001">
        <v>17.8722657181419</v>
      </c>
      <c r="L2001">
        <v>18.182830261130299</v>
      </c>
      <c r="M2001">
        <v>17.838573777304401</v>
      </c>
      <c r="N2001">
        <v>18.629823509757902</v>
      </c>
      <c r="O2001">
        <v>18.8237668376889</v>
      </c>
      <c r="P2001">
        <v>0.386862292509491</v>
      </c>
      <c r="Q2001">
        <v>-8.8207180690150294E-2</v>
      </c>
      <c r="R2001">
        <v>0.86193176570913299</v>
      </c>
      <c r="S2001">
        <v>18.304323427999201</v>
      </c>
      <c r="T2001">
        <v>1.7115586653953501</v>
      </c>
      <c r="U2001">
        <v>-5.7332238911014199</v>
      </c>
      <c r="V2001">
        <v>0.104254470137113</v>
      </c>
      <c r="W2001">
        <v>0.22344576254114401</v>
      </c>
      <c r="X2001">
        <v>0</v>
      </c>
      <c r="Y2001">
        <v>0</v>
      </c>
    </row>
    <row r="2002" spans="1:25" x14ac:dyDescent="0.2">
      <c r="A2002" t="s">
        <v>7524</v>
      </c>
      <c r="B2002" t="s">
        <v>7525</v>
      </c>
      <c r="C2002" t="s">
        <v>7526</v>
      </c>
      <c r="D2002" t="s">
        <v>7527</v>
      </c>
      <c r="E2002" t="s">
        <v>7525</v>
      </c>
      <c r="F2002" t="s">
        <v>28</v>
      </c>
      <c r="G2002" t="s">
        <v>7525</v>
      </c>
      <c r="H2002" t="str">
        <f>"C09B8.4"</f>
        <v>C09B8.4</v>
      </c>
      <c r="I2002" t="s">
        <v>7527</v>
      </c>
      <c r="J2002">
        <v>12.310237783550299</v>
      </c>
      <c r="K2002">
        <v>12.483556701025901</v>
      </c>
      <c r="L2002">
        <v>12.341196766595599</v>
      </c>
      <c r="M2002" t="s">
        <v>29</v>
      </c>
      <c r="N2002">
        <v>11.9402880059134</v>
      </c>
      <c r="O2002">
        <v>12.469951086878</v>
      </c>
      <c r="P2002">
        <v>-0.17321087066152399</v>
      </c>
      <c r="Q2002">
        <v>-1.1461086033407</v>
      </c>
      <c r="R2002">
        <v>0.79968686201765604</v>
      </c>
      <c r="S2002">
        <v>12.455248854880701</v>
      </c>
      <c r="T2002">
        <v>-0.37580103044368601</v>
      </c>
      <c r="U2002">
        <v>-6.9715496772267898</v>
      </c>
      <c r="V2002">
        <v>0.71174171443396805</v>
      </c>
      <c r="W2002">
        <v>0.81298559396779202</v>
      </c>
      <c r="X2002">
        <v>0</v>
      </c>
      <c r="Y2002">
        <v>0</v>
      </c>
    </row>
    <row r="2003" spans="1:25" x14ac:dyDescent="0.2">
      <c r="A2003" t="s">
        <v>7528</v>
      </c>
      <c r="B2003" t="s">
        <v>7529</v>
      </c>
      <c r="C2003" t="s">
        <v>7530</v>
      </c>
      <c r="D2003" t="s">
        <v>7531</v>
      </c>
      <c r="E2003" t="s">
        <v>7529</v>
      </c>
      <c r="F2003" t="s">
        <v>28</v>
      </c>
      <c r="G2003" t="s">
        <v>7529</v>
      </c>
      <c r="H2003" t="str">
        <f>"ipp-5"</f>
        <v>ipp-5</v>
      </c>
      <c r="I2003" t="s">
        <v>7531</v>
      </c>
      <c r="J2003">
        <v>12.7590916279252</v>
      </c>
      <c r="K2003">
        <v>12.4988062551587</v>
      </c>
      <c r="L2003">
        <v>12.8969457837024</v>
      </c>
      <c r="M2003" t="s">
        <v>29</v>
      </c>
      <c r="N2003">
        <v>12.059287845863301</v>
      </c>
      <c r="O2003">
        <v>12.8761895221012</v>
      </c>
      <c r="P2003">
        <v>-0.25054253827987299</v>
      </c>
      <c r="Q2003">
        <v>-1.0213655771310599</v>
      </c>
      <c r="R2003">
        <v>0.52028050057131403</v>
      </c>
      <c r="S2003">
        <v>12.219232642524799</v>
      </c>
      <c r="T2003">
        <v>-0.69321570336939897</v>
      </c>
      <c r="U2003">
        <v>-6.7950268735224197</v>
      </c>
      <c r="V2003">
        <v>0.49884180399959099</v>
      </c>
      <c r="W2003">
        <v>0.65482708079590002</v>
      </c>
      <c r="X2003">
        <v>0</v>
      </c>
      <c r="Y2003">
        <v>0</v>
      </c>
    </row>
    <row r="2004" spans="1:25" x14ac:dyDescent="0.2">
      <c r="A2004" t="s">
        <v>7532</v>
      </c>
      <c r="B2004" t="s">
        <v>7533</v>
      </c>
      <c r="C2004" t="s">
        <v>7534</v>
      </c>
      <c r="D2004" t="s">
        <v>204</v>
      </c>
      <c r="E2004" t="s">
        <v>7533</v>
      </c>
      <c r="F2004" t="s">
        <v>28</v>
      </c>
      <c r="G2004" t="s">
        <v>7533</v>
      </c>
      <c r="H2004" t="str">
        <f>"hsp-25"</f>
        <v>hsp-25</v>
      </c>
      <c r="I2004" t="s">
        <v>204</v>
      </c>
      <c r="J2004" t="s">
        <v>29</v>
      </c>
      <c r="K2004" t="s">
        <v>29</v>
      </c>
      <c r="L2004">
        <v>12.760210401977901</v>
      </c>
      <c r="M2004" t="s">
        <v>29</v>
      </c>
      <c r="N2004" t="s">
        <v>29</v>
      </c>
      <c r="O2004" t="s">
        <v>29</v>
      </c>
      <c r="P2004" t="s">
        <v>29</v>
      </c>
      <c r="Q2004" t="s">
        <v>29</v>
      </c>
      <c r="R2004" t="s">
        <v>29</v>
      </c>
      <c r="S2004">
        <v>12.5299986389069</v>
      </c>
      <c r="T2004" t="s">
        <v>29</v>
      </c>
      <c r="U2004" t="s">
        <v>29</v>
      </c>
      <c r="V2004" t="s">
        <v>29</v>
      </c>
      <c r="W2004" t="s">
        <v>29</v>
      </c>
      <c r="X2004" t="s">
        <v>29</v>
      </c>
      <c r="Y2004" t="s">
        <v>29</v>
      </c>
    </row>
    <row r="2005" spans="1:25" x14ac:dyDescent="0.2">
      <c r="A2005" t="s">
        <v>7535</v>
      </c>
      <c r="B2005" t="s">
        <v>7536</v>
      </c>
      <c r="C2005" t="s">
        <v>7537</v>
      </c>
      <c r="D2005" t="s">
        <v>7538</v>
      </c>
      <c r="E2005" t="s">
        <v>7536</v>
      </c>
      <c r="F2005" t="s">
        <v>28</v>
      </c>
      <c r="G2005" t="s">
        <v>7536</v>
      </c>
      <c r="H2005" t="str">
        <f>"pak-1"</f>
        <v>pak-1</v>
      </c>
      <c r="I2005" t="s">
        <v>7538</v>
      </c>
      <c r="J2005">
        <v>12.4633006639323</v>
      </c>
      <c r="K2005">
        <v>11.8588009957128</v>
      </c>
      <c r="L2005">
        <v>12.3276865534744</v>
      </c>
      <c r="M2005" t="s">
        <v>29</v>
      </c>
      <c r="N2005" t="s">
        <v>29</v>
      </c>
      <c r="O2005">
        <v>11.4370768677915</v>
      </c>
      <c r="P2005">
        <v>-0.77951920324832902</v>
      </c>
      <c r="Q2005">
        <v>-1.6075074933148801</v>
      </c>
      <c r="R2005">
        <v>4.84690868182188E-2</v>
      </c>
      <c r="S2005">
        <v>11.9245678435804</v>
      </c>
      <c r="T2005">
        <v>-1.9968808559819999</v>
      </c>
      <c r="U2005">
        <v>-4.9469189397142701</v>
      </c>
      <c r="V2005">
        <v>6.3256851203314604E-2</v>
      </c>
      <c r="W2005">
        <v>0.16098267745783101</v>
      </c>
      <c r="X2005">
        <v>0</v>
      </c>
      <c r="Y2005">
        <v>0</v>
      </c>
    </row>
    <row r="2006" spans="1:25" x14ac:dyDescent="0.2">
      <c r="A2006" t="s">
        <v>7539</v>
      </c>
      <c r="B2006" t="s">
        <v>7540</v>
      </c>
      <c r="C2006" t="s">
        <v>7541</v>
      </c>
      <c r="D2006" t="s">
        <v>7542</v>
      </c>
      <c r="E2006" t="s">
        <v>7540</v>
      </c>
      <c r="F2006" t="s">
        <v>28</v>
      </c>
      <c r="G2006" t="s">
        <v>7540</v>
      </c>
      <c r="H2006" t="str">
        <f>"dgk-1"</f>
        <v>dgk-1</v>
      </c>
      <c r="I2006" t="s">
        <v>7542</v>
      </c>
      <c r="J2006">
        <v>11.9369578798088</v>
      </c>
      <c r="K2006">
        <v>11.4553125292712</v>
      </c>
      <c r="L2006">
        <v>11.5608197377435</v>
      </c>
      <c r="M2006" t="s">
        <v>29</v>
      </c>
      <c r="N2006" t="s">
        <v>29</v>
      </c>
      <c r="O2006">
        <v>11.992570068180701</v>
      </c>
      <c r="P2006">
        <v>0.341540019239506</v>
      </c>
      <c r="Q2006">
        <v>-0.27303732560314797</v>
      </c>
      <c r="R2006">
        <v>0.95611736408215997</v>
      </c>
      <c r="S2006">
        <v>11.488690805923</v>
      </c>
      <c r="T2006">
        <v>1.2015789075904799</v>
      </c>
      <c r="U2006">
        <v>-6.0845840421233897</v>
      </c>
      <c r="V2006">
        <v>0.25113063076881298</v>
      </c>
      <c r="W2006">
        <v>0.41883529647747098</v>
      </c>
      <c r="X2006">
        <v>0</v>
      </c>
      <c r="Y2006">
        <v>0</v>
      </c>
    </row>
    <row r="2007" spans="1:25" x14ac:dyDescent="0.2">
      <c r="A2007" t="s">
        <v>7543</v>
      </c>
      <c r="B2007" t="s">
        <v>7544</v>
      </c>
      <c r="C2007" t="s">
        <v>7545</v>
      </c>
      <c r="D2007" t="s">
        <v>7546</v>
      </c>
      <c r="E2007" t="s">
        <v>7544</v>
      </c>
      <c r="F2007" t="s">
        <v>28</v>
      </c>
      <c r="G2007" t="s">
        <v>7544</v>
      </c>
      <c r="H2007" t="str">
        <f>"C09G9.1"</f>
        <v>C09G9.1</v>
      </c>
      <c r="I2007" t="s">
        <v>7546</v>
      </c>
      <c r="J2007">
        <v>13.0728897434568</v>
      </c>
      <c r="K2007">
        <v>13.449581631220299</v>
      </c>
      <c r="L2007">
        <v>13.2998407122502</v>
      </c>
      <c r="M2007" t="s">
        <v>29</v>
      </c>
      <c r="N2007" t="s">
        <v>29</v>
      </c>
      <c r="O2007">
        <v>15.079123260529499</v>
      </c>
      <c r="P2007">
        <v>1.8050192315537399</v>
      </c>
      <c r="Q2007">
        <v>1.0846432926498899</v>
      </c>
      <c r="R2007">
        <v>2.5253951704576001</v>
      </c>
      <c r="S2007">
        <v>13.399262269157401</v>
      </c>
      <c r="T2007">
        <v>5.3146193526784202</v>
      </c>
      <c r="U2007">
        <v>1.63921803110825</v>
      </c>
      <c r="V2007" s="2">
        <v>7.1335819233199095E-5</v>
      </c>
      <c r="W2007">
        <v>1.3305484764572001E-3</v>
      </c>
      <c r="X2007">
        <v>1</v>
      </c>
      <c r="Y2007">
        <v>1</v>
      </c>
    </row>
    <row r="2008" spans="1:25" x14ac:dyDescent="0.2">
      <c r="A2008" t="s">
        <v>7547</v>
      </c>
      <c r="B2008" t="s">
        <v>7548</v>
      </c>
      <c r="C2008" t="s">
        <v>7549</v>
      </c>
      <c r="D2008" t="s">
        <v>534</v>
      </c>
      <c r="E2008" t="s">
        <v>7548</v>
      </c>
      <c r="F2008" t="s">
        <v>28</v>
      </c>
      <c r="G2008" t="s">
        <v>7548</v>
      </c>
      <c r="H2008" t="str">
        <f>"npp-23"</f>
        <v>npp-23</v>
      </c>
      <c r="I2008" t="s">
        <v>534</v>
      </c>
      <c r="J2008">
        <v>14.4690225831232</v>
      </c>
      <c r="K2008">
        <v>14.356405910861801</v>
      </c>
      <c r="L2008">
        <v>14.157252083796701</v>
      </c>
      <c r="M2008" t="s">
        <v>29</v>
      </c>
      <c r="N2008">
        <v>13.6813083286162</v>
      </c>
      <c r="O2008">
        <v>14.3055727817906</v>
      </c>
      <c r="P2008">
        <v>-0.33411963739051298</v>
      </c>
      <c r="Q2008">
        <v>-0.82788325499388504</v>
      </c>
      <c r="R2008">
        <v>0.159643980212858</v>
      </c>
      <c r="S2008">
        <v>14.0918248849318</v>
      </c>
      <c r="T2008">
        <v>-1.4283443731774701</v>
      </c>
      <c r="U2008">
        <v>-6.0334678365857197</v>
      </c>
      <c r="V2008">
        <v>0.17141888271800701</v>
      </c>
      <c r="W2008">
        <v>0.32238126826417701</v>
      </c>
      <c r="X2008">
        <v>0</v>
      </c>
      <c r="Y2008">
        <v>0</v>
      </c>
    </row>
    <row r="2009" spans="1:25" x14ac:dyDescent="0.2">
      <c r="A2009" t="s">
        <v>7550</v>
      </c>
      <c r="B2009" t="s">
        <v>7551</v>
      </c>
      <c r="C2009" t="s">
        <v>7552</v>
      </c>
      <c r="D2009" t="s">
        <v>7553</v>
      </c>
      <c r="E2009" t="s">
        <v>7551</v>
      </c>
      <c r="F2009" t="s">
        <v>28</v>
      </c>
      <c r="G2009" t="s">
        <v>7551</v>
      </c>
      <c r="H2009" t="str">
        <f>"nuo-1"</f>
        <v>nuo-1</v>
      </c>
      <c r="I2009" t="s">
        <v>7553</v>
      </c>
      <c r="J2009">
        <v>13.22948068991</v>
      </c>
      <c r="K2009">
        <v>13.4784614968487</v>
      </c>
      <c r="L2009">
        <v>13.0174017211761</v>
      </c>
      <c r="M2009">
        <v>13.7798338803352</v>
      </c>
      <c r="N2009">
        <v>13.8585080461368</v>
      </c>
      <c r="O2009">
        <v>13.313134072991099</v>
      </c>
      <c r="P2009">
        <v>0.408710697176076</v>
      </c>
      <c r="Q2009">
        <v>1.88376527233097E-2</v>
      </c>
      <c r="R2009">
        <v>0.79858374162884205</v>
      </c>
      <c r="S2009">
        <v>13.281675102818999</v>
      </c>
      <c r="T2009">
        <v>2.2033592259638199</v>
      </c>
      <c r="U2009">
        <v>-4.9038425030296198</v>
      </c>
      <c r="V2009">
        <v>4.09152681163443E-2</v>
      </c>
      <c r="W2009">
        <v>0.119620332479035</v>
      </c>
      <c r="X2009">
        <v>0</v>
      </c>
      <c r="Y2009">
        <v>0</v>
      </c>
    </row>
    <row r="2010" spans="1:25" x14ac:dyDescent="0.2">
      <c r="A2010" t="s">
        <v>7554</v>
      </c>
      <c r="B2010" t="s">
        <v>7555</v>
      </c>
      <c r="C2010" t="s">
        <v>7556</v>
      </c>
      <c r="D2010" t="s">
        <v>3617</v>
      </c>
      <c r="E2010" t="s">
        <v>7555</v>
      </c>
      <c r="F2010" t="s">
        <v>28</v>
      </c>
      <c r="G2010" t="s">
        <v>7555</v>
      </c>
      <c r="H2010" t="str">
        <f>"apc-17"</f>
        <v>apc-17</v>
      </c>
      <c r="I2010" t="s">
        <v>3617</v>
      </c>
      <c r="J2010">
        <v>10.734389588838599</v>
      </c>
      <c r="K2010" t="s">
        <v>29</v>
      </c>
      <c r="L2010">
        <v>12.076821595395099</v>
      </c>
      <c r="M2010" t="s">
        <v>29</v>
      </c>
      <c r="N2010" t="s">
        <v>29</v>
      </c>
      <c r="O2010" t="s">
        <v>29</v>
      </c>
      <c r="P2010" t="s">
        <v>29</v>
      </c>
      <c r="Q2010" t="s">
        <v>29</v>
      </c>
      <c r="R2010" t="s">
        <v>29</v>
      </c>
      <c r="S2010">
        <v>12.6217293010055</v>
      </c>
      <c r="T2010" t="s">
        <v>29</v>
      </c>
      <c r="U2010" t="s">
        <v>29</v>
      </c>
      <c r="V2010" t="s">
        <v>29</v>
      </c>
      <c r="W2010" t="s">
        <v>29</v>
      </c>
      <c r="X2010" t="s">
        <v>29</v>
      </c>
      <c r="Y2010" t="s">
        <v>29</v>
      </c>
    </row>
    <row r="2011" spans="1:25" x14ac:dyDescent="0.2">
      <c r="A2011" t="s">
        <v>7557</v>
      </c>
      <c r="B2011" t="s">
        <v>7558</v>
      </c>
      <c r="C2011" t="s">
        <v>7559</v>
      </c>
      <c r="D2011" t="s">
        <v>7560</v>
      </c>
      <c r="E2011" t="s">
        <v>7558</v>
      </c>
      <c r="F2011" t="s">
        <v>28</v>
      </c>
      <c r="G2011" t="s">
        <v>7561</v>
      </c>
      <c r="H2011" t="str">
        <f>"C10C5.3"</f>
        <v>C10C5.3</v>
      </c>
      <c r="I2011" t="s">
        <v>7560</v>
      </c>
      <c r="J2011" t="s">
        <v>29</v>
      </c>
      <c r="K2011" t="s">
        <v>29</v>
      </c>
      <c r="L2011" t="s">
        <v>29</v>
      </c>
      <c r="M2011" t="s">
        <v>29</v>
      </c>
      <c r="N2011" t="s">
        <v>29</v>
      </c>
      <c r="O2011">
        <v>13.6419773181967</v>
      </c>
      <c r="P2011" t="s">
        <v>29</v>
      </c>
      <c r="Q2011" t="s">
        <v>29</v>
      </c>
      <c r="R2011" t="s">
        <v>29</v>
      </c>
      <c r="S2011">
        <v>12.117121190353201</v>
      </c>
      <c r="T2011" t="s">
        <v>29</v>
      </c>
      <c r="U2011" t="s">
        <v>29</v>
      </c>
      <c r="V2011" t="s">
        <v>29</v>
      </c>
      <c r="W2011" t="s">
        <v>29</v>
      </c>
      <c r="X2011" t="s">
        <v>29</v>
      </c>
      <c r="Y2011" t="s">
        <v>29</v>
      </c>
    </row>
    <row r="2012" spans="1:25" x14ac:dyDescent="0.2">
      <c r="A2012" t="s">
        <v>7562</v>
      </c>
      <c r="B2012" t="s">
        <v>7563</v>
      </c>
      <c r="C2012" t="s">
        <v>7564</v>
      </c>
      <c r="D2012" t="s">
        <v>603</v>
      </c>
      <c r="E2012" t="s">
        <v>7563</v>
      </c>
      <c r="F2012" t="s">
        <v>28</v>
      </c>
      <c r="G2012" t="s">
        <v>7563</v>
      </c>
      <c r="H2012" t="str">
        <f>"fubl-1"</f>
        <v>fubl-1</v>
      </c>
      <c r="I2012" t="s">
        <v>603</v>
      </c>
      <c r="J2012">
        <v>13.5788138089956</v>
      </c>
      <c r="K2012">
        <v>13.457425514935499</v>
      </c>
      <c r="L2012">
        <v>13.5151261604274</v>
      </c>
      <c r="M2012" t="s">
        <v>29</v>
      </c>
      <c r="N2012">
        <v>14.126480575038</v>
      </c>
      <c r="O2012">
        <v>13.826090071633599</v>
      </c>
      <c r="P2012">
        <v>0.45916349521632299</v>
      </c>
      <c r="Q2012">
        <v>-7.7379053710341405E-4</v>
      </c>
      <c r="R2012">
        <v>0.91910078096975001</v>
      </c>
      <c r="S2012">
        <v>13.572941181645501</v>
      </c>
      <c r="T2012">
        <v>2.1072630319105499</v>
      </c>
      <c r="U2012">
        <v>-4.9749924611904603</v>
      </c>
      <c r="V2012">
        <v>5.0344935477653403E-2</v>
      </c>
      <c r="W2012">
        <v>0.13674334087801299</v>
      </c>
      <c r="X2012">
        <v>0</v>
      </c>
      <c r="Y2012">
        <v>0</v>
      </c>
    </row>
    <row r="2013" spans="1:25" x14ac:dyDescent="0.2">
      <c r="A2013" t="s">
        <v>7565</v>
      </c>
      <c r="B2013" t="s">
        <v>7566</v>
      </c>
      <c r="C2013" t="s">
        <v>7567</v>
      </c>
      <c r="D2013" t="s">
        <v>7568</v>
      </c>
      <c r="E2013" t="s">
        <v>7566</v>
      </c>
      <c r="F2013" t="s">
        <v>28</v>
      </c>
      <c r="G2013" t="s">
        <v>7566</v>
      </c>
      <c r="H2013" t="str">
        <f>"daf-36"</f>
        <v>daf-36</v>
      </c>
      <c r="I2013" t="s">
        <v>7568</v>
      </c>
      <c r="J2013">
        <v>13.495257537762599</v>
      </c>
      <c r="K2013">
        <v>13.258016781939901</v>
      </c>
      <c r="L2013">
        <v>13.270934204600399</v>
      </c>
      <c r="M2013" t="s">
        <v>29</v>
      </c>
      <c r="N2013" t="s">
        <v>29</v>
      </c>
      <c r="O2013">
        <v>12.4473295819074</v>
      </c>
      <c r="P2013">
        <v>-0.89407325952695504</v>
      </c>
      <c r="Q2013">
        <v>-1.6193608922427301</v>
      </c>
      <c r="R2013">
        <v>-0.16878562681118101</v>
      </c>
      <c r="S2013">
        <v>13.1531670123655</v>
      </c>
      <c r="T2013">
        <v>-2.6290838637183702</v>
      </c>
      <c r="U2013">
        <v>-3.8266345702580602</v>
      </c>
      <c r="V2013">
        <v>1.9050886692778098E-2</v>
      </c>
      <c r="W2013">
        <v>7.1173558713462995E-2</v>
      </c>
      <c r="X2013">
        <v>0</v>
      </c>
      <c r="Y2013">
        <v>0</v>
      </c>
    </row>
    <row r="2014" spans="1:25" x14ac:dyDescent="0.2">
      <c r="A2014" t="s">
        <v>7569</v>
      </c>
      <c r="B2014" t="s">
        <v>7570</v>
      </c>
      <c r="C2014" t="s">
        <v>7571</v>
      </c>
      <c r="D2014" t="s">
        <v>7572</v>
      </c>
      <c r="E2014" t="s">
        <v>7570</v>
      </c>
      <c r="F2014" t="s">
        <v>28</v>
      </c>
      <c r="G2014" t="s">
        <v>7570</v>
      </c>
      <c r="H2014" t="str">
        <f>"akt-1"</f>
        <v>akt-1</v>
      </c>
      <c r="I2014" t="s">
        <v>7572</v>
      </c>
      <c r="J2014">
        <v>15.2111837544313</v>
      </c>
      <c r="K2014">
        <v>15.264219421424</v>
      </c>
      <c r="L2014">
        <v>14.7785197179162</v>
      </c>
      <c r="M2014">
        <v>14.8562885426031</v>
      </c>
      <c r="N2014">
        <v>14.8397953440858</v>
      </c>
      <c r="O2014">
        <v>15.5494371298517</v>
      </c>
      <c r="P2014">
        <v>-2.80062574367612E-3</v>
      </c>
      <c r="Q2014">
        <v>-0.403592889308654</v>
      </c>
      <c r="R2014">
        <v>0.39799163782130198</v>
      </c>
      <c r="S2014">
        <v>14.911452748114</v>
      </c>
      <c r="T2014">
        <v>-1.46868364919797E-2</v>
      </c>
      <c r="U2014">
        <v>-7.1561888902914204</v>
      </c>
      <c r="V2014">
        <v>0.98844452654637904</v>
      </c>
      <c r="W2014">
        <v>0.993840334265499</v>
      </c>
      <c r="X2014">
        <v>0</v>
      </c>
      <c r="Y2014">
        <v>0</v>
      </c>
    </row>
    <row r="2015" spans="1:25" x14ac:dyDescent="0.2">
      <c r="A2015" t="s">
        <v>7573</v>
      </c>
      <c r="B2015" t="s">
        <v>7574</v>
      </c>
      <c r="C2015" t="s">
        <v>7575</v>
      </c>
      <c r="D2015" t="s">
        <v>7576</v>
      </c>
      <c r="E2015" t="s">
        <v>7574</v>
      </c>
      <c r="F2015" t="s">
        <v>28</v>
      </c>
      <c r="G2015" t="s">
        <v>7574</v>
      </c>
      <c r="H2015" t="str">
        <f>"wdr-5.1"</f>
        <v>wdr-5.1</v>
      </c>
      <c r="I2015" t="s">
        <v>7576</v>
      </c>
      <c r="J2015">
        <v>12.683505096581801</v>
      </c>
      <c r="K2015">
        <v>12.452053513888</v>
      </c>
      <c r="L2015">
        <v>12.3984591737442</v>
      </c>
      <c r="M2015" t="s">
        <v>29</v>
      </c>
      <c r="N2015">
        <v>12.8725032977481</v>
      </c>
      <c r="O2015">
        <v>12.768178973257699</v>
      </c>
      <c r="P2015">
        <v>0.30900187409825502</v>
      </c>
      <c r="Q2015">
        <v>-0.27273141672797802</v>
      </c>
      <c r="R2015">
        <v>0.89073516492448901</v>
      </c>
      <c r="S2015">
        <v>12.595216242870601</v>
      </c>
      <c r="T2015">
        <v>1.1212106355342499</v>
      </c>
      <c r="U2015">
        <v>-6.4082722675416504</v>
      </c>
      <c r="V2015">
        <v>0.27788232601505197</v>
      </c>
      <c r="W2015">
        <v>0.44559885399524701</v>
      </c>
      <c r="X2015">
        <v>0</v>
      </c>
      <c r="Y2015">
        <v>0</v>
      </c>
    </row>
    <row r="2016" spans="1:25" x14ac:dyDescent="0.2">
      <c r="A2016" t="s">
        <v>7577</v>
      </c>
      <c r="B2016" t="s">
        <v>7578</v>
      </c>
      <c r="C2016" t="s">
        <v>7579</v>
      </c>
      <c r="D2016" t="s">
        <v>7580</v>
      </c>
      <c r="E2016" t="s">
        <v>7578</v>
      </c>
      <c r="F2016" t="s">
        <v>28</v>
      </c>
      <c r="G2016" t="s">
        <v>7578</v>
      </c>
      <c r="H2016" t="str">
        <f>"pdi-1"</f>
        <v>pdi-1</v>
      </c>
      <c r="I2016" t="s">
        <v>7580</v>
      </c>
      <c r="J2016" t="s">
        <v>29</v>
      </c>
      <c r="K2016">
        <v>14.2549302293497</v>
      </c>
      <c r="L2016">
        <v>11.881528859479999</v>
      </c>
      <c r="M2016">
        <v>13.2046761697656</v>
      </c>
      <c r="N2016">
        <v>12.878665592745</v>
      </c>
      <c r="O2016">
        <v>13.173701416705899</v>
      </c>
      <c r="P2016">
        <v>1.7451515323982002E-2</v>
      </c>
      <c r="Q2016">
        <v>-1.2190958809628301</v>
      </c>
      <c r="R2016">
        <v>1.2539989116107899</v>
      </c>
      <c r="S2016">
        <v>11.998714701971799</v>
      </c>
      <c r="T2016">
        <v>3.02910458550146E-2</v>
      </c>
      <c r="U2016">
        <v>-7.0449868823762598</v>
      </c>
      <c r="V2016">
        <v>0.976265722261766</v>
      </c>
      <c r="W2016">
        <v>0.98616621981511798</v>
      </c>
      <c r="X2016">
        <v>0</v>
      </c>
      <c r="Y2016">
        <v>0</v>
      </c>
    </row>
    <row r="2017" spans="1:25" x14ac:dyDescent="0.2">
      <c r="A2017" t="s">
        <v>7581</v>
      </c>
      <c r="B2017" t="s">
        <v>7582</v>
      </c>
      <c r="C2017" t="s">
        <v>7583</v>
      </c>
      <c r="D2017" t="s">
        <v>7584</v>
      </c>
      <c r="E2017" t="s">
        <v>7582</v>
      </c>
      <c r="F2017" t="s">
        <v>28</v>
      </c>
      <c r="G2017" t="s">
        <v>7582</v>
      </c>
      <c r="H2017" t="str">
        <f>"nrde-1"</f>
        <v>nrde-1</v>
      </c>
      <c r="I2017" t="s">
        <v>7584</v>
      </c>
      <c r="J2017" t="s">
        <v>29</v>
      </c>
      <c r="K2017" t="s">
        <v>29</v>
      </c>
      <c r="L2017" t="s">
        <v>29</v>
      </c>
      <c r="M2017" t="s">
        <v>29</v>
      </c>
      <c r="N2017" t="s">
        <v>29</v>
      </c>
      <c r="O2017">
        <v>11.090146431274301</v>
      </c>
      <c r="P2017" t="s">
        <v>29</v>
      </c>
      <c r="Q2017" t="s">
        <v>29</v>
      </c>
      <c r="R2017" t="s">
        <v>29</v>
      </c>
      <c r="S2017">
        <v>12.339375513359</v>
      </c>
      <c r="T2017" t="s">
        <v>29</v>
      </c>
      <c r="U2017" t="s">
        <v>29</v>
      </c>
      <c r="V2017" t="s">
        <v>29</v>
      </c>
      <c r="W2017" t="s">
        <v>29</v>
      </c>
      <c r="X2017" t="s">
        <v>29</v>
      </c>
      <c r="Y2017" t="s">
        <v>29</v>
      </c>
    </row>
    <row r="2018" spans="1:25" x14ac:dyDescent="0.2">
      <c r="A2018" t="s">
        <v>7585</v>
      </c>
      <c r="B2018" t="s">
        <v>7586</v>
      </c>
      <c r="C2018" t="s">
        <v>7587</v>
      </c>
      <c r="D2018" t="s">
        <v>7588</v>
      </c>
      <c r="E2018" t="s">
        <v>7586</v>
      </c>
      <c r="F2018" t="s">
        <v>28</v>
      </c>
      <c r="G2018" t="s">
        <v>7586</v>
      </c>
      <c r="H2018" t="str">
        <f>"C14C10.5"</f>
        <v>C14C10.5</v>
      </c>
      <c r="I2018" t="s">
        <v>7588</v>
      </c>
      <c r="J2018">
        <v>14.831129991942101</v>
      </c>
      <c r="K2018">
        <v>14.6620844116794</v>
      </c>
      <c r="L2018">
        <v>14.522072895140701</v>
      </c>
      <c r="M2018">
        <v>14.134014113133199</v>
      </c>
      <c r="N2018">
        <v>14.320150205399001</v>
      </c>
      <c r="O2018">
        <v>14.490945457611501</v>
      </c>
      <c r="P2018">
        <v>-0.356725840872825</v>
      </c>
      <c r="Q2018">
        <v>-0.73615343772589303</v>
      </c>
      <c r="R2018">
        <v>2.27017559802433E-2</v>
      </c>
      <c r="S2018">
        <v>14.5181667724466</v>
      </c>
      <c r="T2018">
        <v>-1.9760510873325099</v>
      </c>
      <c r="U2018">
        <v>-5.3038514661331204</v>
      </c>
      <c r="V2018">
        <v>6.3773180319804695E-2</v>
      </c>
      <c r="W2018">
        <v>0.161679016507073</v>
      </c>
      <c r="X2018">
        <v>0</v>
      </c>
      <c r="Y2018">
        <v>0</v>
      </c>
    </row>
    <row r="2019" spans="1:25" x14ac:dyDescent="0.2">
      <c r="A2019" t="s">
        <v>7589</v>
      </c>
      <c r="B2019" t="s">
        <v>7590</v>
      </c>
      <c r="C2019" t="s">
        <v>7591</v>
      </c>
      <c r="D2019" t="s">
        <v>7592</v>
      </c>
      <c r="E2019" t="s">
        <v>7590</v>
      </c>
      <c r="F2019" t="s">
        <v>28</v>
      </c>
      <c r="G2019" t="s">
        <v>7590</v>
      </c>
      <c r="H2019" t="str">
        <f>"C14C10.2"</f>
        <v>C14C10.2</v>
      </c>
      <c r="I2019" t="s">
        <v>7592</v>
      </c>
      <c r="J2019">
        <v>11.8051384119735</v>
      </c>
      <c r="K2019">
        <v>11.9208710317151</v>
      </c>
      <c r="L2019">
        <v>11.306858972956899</v>
      </c>
      <c r="M2019" t="s">
        <v>29</v>
      </c>
      <c r="N2019" t="s">
        <v>29</v>
      </c>
      <c r="O2019">
        <v>12.423921644773801</v>
      </c>
      <c r="P2019">
        <v>0.74629883922530404</v>
      </c>
      <c r="Q2019">
        <v>-8.6511592375129398E-2</v>
      </c>
      <c r="R2019">
        <v>1.5791092708257399</v>
      </c>
      <c r="S2019">
        <v>12.2060698436387</v>
      </c>
      <c r="T2019">
        <v>1.90071122499719</v>
      </c>
      <c r="U2019">
        <v>-5.1053389421472097</v>
      </c>
      <c r="V2019">
        <v>7.5631018694704594E-2</v>
      </c>
      <c r="W2019">
        <v>0.18034527001905001</v>
      </c>
      <c r="X2019">
        <v>0</v>
      </c>
      <c r="Y2019">
        <v>0</v>
      </c>
    </row>
    <row r="2020" spans="1:25" x14ac:dyDescent="0.2">
      <c r="A2020" t="s">
        <v>7593</v>
      </c>
      <c r="B2020" t="s">
        <v>7594</v>
      </c>
      <c r="C2020" t="s">
        <v>7595</v>
      </c>
      <c r="D2020" t="s">
        <v>7596</v>
      </c>
      <c r="E2020" t="s">
        <v>7594</v>
      </c>
      <c r="F2020" t="s">
        <v>28</v>
      </c>
      <c r="G2020" t="s">
        <v>7594</v>
      </c>
      <c r="H2020" t="str">
        <f>"mma-1"</f>
        <v>mma-1</v>
      </c>
      <c r="I2020" t="s">
        <v>7596</v>
      </c>
      <c r="J2020">
        <v>13.4027329400254</v>
      </c>
      <c r="K2020">
        <v>13.506464157270599</v>
      </c>
      <c r="L2020">
        <v>13.255266583252901</v>
      </c>
      <c r="M2020" t="s">
        <v>29</v>
      </c>
      <c r="N2020">
        <v>13.4145208273242</v>
      </c>
      <c r="O2020">
        <v>13.926736941236699</v>
      </c>
      <c r="P2020">
        <v>0.282474324097436</v>
      </c>
      <c r="Q2020">
        <v>-0.27637262403921597</v>
      </c>
      <c r="R2020">
        <v>0.84132127223408804</v>
      </c>
      <c r="S2020">
        <v>13.8850251019726</v>
      </c>
      <c r="T2020">
        <v>1.06693044436815</v>
      </c>
      <c r="U2020">
        <v>-6.4665420123202502</v>
      </c>
      <c r="V2020">
        <v>0.30101271185085698</v>
      </c>
      <c r="W2020">
        <v>0.46985405816974302</v>
      </c>
      <c r="X2020">
        <v>0</v>
      </c>
      <c r="Y2020">
        <v>0</v>
      </c>
    </row>
    <row r="2021" spans="1:25" x14ac:dyDescent="0.2">
      <c r="A2021" t="s">
        <v>7597</v>
      </c>
      <c r="B2021" t="s">
        <v>7598</v>
      </c>
      <c r="C2021" t="s">
        <v>7599</v>
      </c>
      <c r="D2021" t="s">
        <v>2791</v>
      </c>
      <c r="E2021" t="s">
        <v>7598</v>
      </c>
      <c r="F2021" t="s">
        <v>28</v>
      </c>
      <c r="G2021" t="s">
        <v>7598</v>
      </c>
      <c r="H2021" t="str">
        <f>"mut-14"</f>
        <v>mut-14</v>
      </c>
      <c r="I2021" t="s">
        <v>2791</v>
      </c>
      <c r="J2021">
        <v>12.038587780759499</v>
      </c>
      <c r="K2021" t="s">
        <v>29</v>
      </c>
      <c r="L2021">
        <v>12.530814946174299</v>
      </c>
      <c r="M2021" t="s">
        <v>29</v>
      </c>
      <c r="N2021" t="s">
        <v>29</v>
      </c>
      <c r="O2021" t="s">
        <v>29</v>
      </c>
      <c r="P2021" t="s">
        <v>29</v>
      </c>
      <c r="Q2021" t="s">
        <v>29</v>
      </c>
      <c r="R2021" t="s">
        <v>29</v>
      </c>
      <c r="S2021">
        <v>12.1940304356742</v>
      </c>
      <c r="T2021" t="s">
        <v>29</v>
      </c>
      <c r="U2021" t="s">
        <v>29</v>
      </c>
      <c r="V2021" t="s">
        <v>29</v>
      </c>
      <c r="W2021" t="s">
        <v>29</v>
      </c>
      <c r="X2021" t="s">
        <v>29</v>
      </c>
      <c r="Y2021" t="s">
        <v>29</v>
      </c>
    </row>
    <row r="2022" spans="1:25" x14ac:dyDescent="0.2">
      <c r="A2022" t="s">
        <v>7600</v>
      </c>
      <c r="B2022" t="s">
        <v>7601</v>
      </c>
      <c r="C2022" t="s">
        <v>7602</v>
      </c>
      <c r="D2022" t="s">
        <v>7603</v>
      </c>
      <c r="E2022" t="s">
        <v>7601</v>
      </c>
      <c r="F2022" t="s">
        <v>28</v>
      </c>
      <c r="G2022" t="s">
        <v>7601</v>
      </c>
      <c r="H2022" t="str">
        <f>"got-2.2"</f>
        <v>got-2.2</v>
      </c>
      <c r="I2022" t="s">
        <v>7603</v>
      </c>
      <c r="J2022">
        <v>13.461934210153</v>
      </c>
      <c r="K2022">
        <v>13.2478450434438</v>
      </c>
      <c r="L2022">
        <v>12.912370288251299</v>
      </c>
      <c r="M2022">
        <v>16.115250210353601</v>
      </c>
      <c r="N2022">
        <v>15.5240599839422</v>
      </c>
      <c r="O2022">
        <v>15.358298838345499</v>
      </c>
      <c r="P2022">
        <v>2.4584864969310498</v>
      </c>
      <c r="Q2022">
        <v>1.4671910619041399</v>
      </c>
      <c r="R2022">
        <v>3.4497819319579599</v>
      </c>
      <c r="S2022">
        <v>13.3323752891173</v>
      </c>
      <c r="T2022">
        <v>5.2349764730405202</v>
      </c>
      <c r="U2022">
        <v>1.38268547554271</v>
      </c>
      <c r="V2022" s="2">
        <v>6.8572979014446301E-5</v>
      </c>
      <c r="W2022">
        <v>1.2954139048434201E-3</v>
      </c>
      <c r="X2022">
        <v>1</v>
      </c>
      <c r="Y2022">
        <v>1</v>
      </c>
    </row>
    <row r="2023" spans="1:25" x14ac:dyDescent="0.2">
      <c r="A2023" t="s">
        <v>7604</v>
      </c>
      <c r="B2023" t="s">
        <v>7605</v>
      </c>
      <c r="C2023" t="s">
        <v>7606</v>
      </c>
      <c r="D2023" t="s">
        <v>7607</v>
      </c>
      <c r="E2023" t="s">
        <v>7605</v>
      </c>
      <c r="F2023" t="s">
        <v>28</v>
      </c>
      <c r="G2023" t="s">
        <v>7605</v>
      </c>
      <c r="H2023" t="str">
        <f>"flu-2"</f>
        <v>flu-2</v>
      </c>
      <c r="I2023" t="s">
        <v>7607</v>
      </c>
      <c r="J2023">
        <v>11.141284353545499</v>
      </c>
      <c r="K2023">
        <v>10.290348927629401</v>
      </c>
      <c r="L2023">
        <v>11.9000913725729</v>
      </c>
      <c r="M2023" t="s">
        <v>29</v>
      </c>
      <c r="N2023">
        <v>11.816187429071199</v>
      </c>
      <c r="O2023">
        <v>11.974004383847999</v>
      </c>
      <c r="P2023">
        <v>0.784521021877012</v>
      </c>
      <c r="Q2023">
        <v>0.102597448146348</v>
      </c>
      <c r="R2023">
        <v>1.4664445956076799</v>
      </c>
      <c r="S2023">
        <v>11.9295005116025</v>
      </c>
      <c r="T2023">
        <v>2.4283925647012099</v>
      </c>
      <c r="U2023">
        <v>-4.3898393701433296</v>
      </c>
      <c r="V2023">
        <v>2.6630657461775099E-2</v>
      </c>
      <c r="W2023">
        <v>8.9007846411732303E-2</v>
      </c>
      <c r="X2023">
        <v>0</v>
      </c>
      <c r="Y2023">
        <v>0</v>
      </c>
    </row>
    <row r="2024" spans="1:25" x14ac:dyDescent="0.2">
      <c r="A2024" t="s">
        <v>7608</v>
      </c>
      <c r="B2024" t="s">
        <v>7609</v>
      </c>
      <c r="C2024" t="s">
        <v>7610</v>
      </c>
      <c r="D2024" t="s">
        <v>7611</v>
      </c>
      <c r="E2024" t="s">
        <v>7609</v>
      </c>
      <c r="F2024" t="s">
        <v>28</v>
      </c>
      <c r="G2024" t="s">
        <v>7609</v>
      </c>
      <c r="H2024" t="str">
        <f>"prx-3"</f>
        <v>prx-3</v>
      </c>
      <c r="I2024" t="s">
        <v>7611</v>
      </c>
      <c r="J2024">
        <v>11.9380314500737</v>
      </c>
      <c r="K2024">
        <v>11.201480658116999</v>
      </c>
      <c r="L2024">
        <v>12.1515726634888</v>
      </c>
      <c r="M2024" t="s">
        <v>29</v>
      </c>
      <c r="N2024" t="s">
        <v>29</v>
      </c>
      <c r="O2024" t="s">
        <v>29</v>
      </c>
      <c r="P2024" t="s">
        <v>29</v>
      </c>
      <c r="Q2024" t="s">
        <v>29</v>
      </c>
      <c r="R2024" t="s">
        <v>29</v>
      </c>
      <c r="S2024">
        <v>11.903903948046599</v>
      </c>
      <c r="T2024" t="s">
        <v>29</v>
      </c>
      <c r="U2024" t="s">
        <v>29</v>
      </c>
      <c r="V2024" t="s">
        <v>29</v>
      </c>
      <c r="W2024" t="s">
        <v>29</v>
      </c>
      <c r="X2024" t="s">
        <v>29</v>
      </c>
      <c r="Y2024" t="s">
        <v>29</v>
      </c>
    </row>
    <row r="2025" spans="1:25" x14ac:dyDescent="0.2">
      <c r="A2025" t="s">
        <v>7612</v>
      </c>
      <c r="B2025" t="s">
        <v>7613</v>
      </c>
      <c r="C2025" t="s">
        <v>7614</v>
      </c>
      <c r="D2025" t="s">
        <v>7615</v>
      </c>
      <c r="E2025" t="s">
        <v>7613</v>
      </c>
      <c r="F2025" t="s">
        <v>28</v>
      </c>
      <c r="G2025" t="s">
        <v>7613</v>
      </c>
      <c r="H2025" t="str">
        <f>"nnt-1"</f>
        <v>nnt-1</v>
      </c>
      <c r="I2025" t="s">
        <v>7615</v>
      </c>
      <c r="J2025">
        <v>13.901372238331801</v>
      </c>
      <c r="K2025">
        <v>13.9237639728685</v>
      </c>
      <c r="L2025">
        <v>12.6808095362027</v>
      </c>
      <c r="M2025">
        <v>13.6740347417136</v>
      </c>
      <c r="N2025">
        <v>13.3470790866767</v>
      </c>
      <c r="O2025">
        <v>14.003137501728601</v>
      </c>
      <c r="P2025">
        <v>0.17276852757199801</v>
      </c>
      <c r="Q2025">
        <v>-0.45407786983250698</v>
      </c>
      <c r="R2025">
        <v>0.79961492497650399</v>
      </c>
      <c r="S2025">
        <v>13.0363958252846</v>
      </c>
      <c r="T2025">
        <v>0.57928997242843905</v>
      </c>
      <c r="U2025">
        <v>-6.9818342528070101</v>
      </c>
      <c r="V2025">
        <v>0.569614813479145</v>
      </c>
      <c r="W2025">
        <v>0.71069214873964504</v>
      </c>
      <c r="X2025">
        <v>0</v>
      </c>
      <c r="Y2025">
        <v>0</v>
      </c>
    </row>
    <row r="2026" spans="1:25" x14ac:dyDescent="0.2">
      <c r="A2026" t="s">
        <v>7616</v>
      </c>
      <c r="B2026" t="s">
        <v>7617</v>
      </c>
      <c r="C2026" t="s">
        <v>7618</v>
      </c>
      <c r="D2026" t="s">
        <v>7619</v>
      </c>
      <c r="E2026" t="s">
        <v>7617</v>
      </c>
      <c r="F2026" t="s">
        <v>28</v>
      </c>
      <c r="G2026" t="s">
        <v>7617</v>
      </c>
      <c r="H2026" t="str">
        <f>"thoc-2"</f>
        <v>thoc-2</v>
      </c>
      <c r="I2026" t="s">
        <v>7619</v>
      </c>
      <c r="J2026">
        <v>14.2212887096264</v>
      </c>
      <c r="K2026">
        <v>14.402259486186299</v>
      </c>
      <c r="L2026">
        <v>14.1173711047508</v>
      </c>
      <c r="M2026" t="s">
        <v>29</v>
      </c>
      <c r="N2026">
        <v>14.1078162103077</v>
      </c>
      <c r="O2026">
        <v>14.239957136823699</v>
      </c>
      <c r="P2026">
        <v>-7.3086426622143805E-2</v>
      </c>
      <c r="Q2026">
        <v>-0.53893741715704102</v>
      </c>
      <c r="R2026">
        <v>0.392764563912753</v>
      </c>
      <c r="S2026">
        <v>14.3514825832781</v>
      </c>
      <c r="T2026">
        <v>-0.331161406576859</v>
      </c>
      <c r="U2026">
        <v>-6.9880153643272802</v>
      </c>
      <c r="V2026">
        <v>0.74459456740644403</v>
      </c>
      <c r="W2026">
        <v>0.83593150100830105</v>
      </c>
      <c r="X2026">
        <v>0</v>
      </c>
      <c r="Y2026">
        <v>0</v>
      </c>
    </row>
    <row r="2027" spans="1:25" x14ac:dyDescent="0.2">
      <c r="A2027" t="s">
        <v>7620</v>
      </c>
      <c r="B2027" t="s">
        <v>7621</v>
      </c>
      <c r="C2027" t="s">
        <v>7622</v>
      </c>
      <c r="D2027" t="s">
        <v>7623</v>
      </c>
      <c r="E2027" t="s">
        <v>7621</v>
      </c>
      <c r="F2027" t="s">
        <v>28</v>
      </c>
      <c r="G2027" t="s">
        <v>7621</v>
      </c>
      <c r="H2027" t="str">
        <f>"nfx-1"</f>
        <v>nfx-1</v>
      </c>
      <c r="I2027" t="s">
        <v>7623</v>
      </c>
      <c r="J2027">
        <v>12.255651789623199</v>
      </c>
      <c r="K2027">
        <v>12.3026080523458</v>
      </c>
      <c r="L2027">
        <v>12.9990139062803</v>
      </c>
      <c r="M2027" t="s">
        <v>29</v>
      </c>
      <c r="N2027">
        <v>11.884458391890799</v>
      </c>
      <c r="O2027">
        <v>11.9684933631753</v>
      </c>
      <c r="P2027">
        <v>-0.59261537188341695</v>
      </c>
      <c r="Q2027">
        <v>-1.1110062370257101</v>
      </c>
      <c r="R2027">
        <v>-7.4224506741123603E-2</v>
      </c>
      <c r="S2027">
        <v>13.1529704220402</v>
      </c>
      <c r="T2027">
        <v>-2.41304591490871</v>
      </c>
      <c r="U2027">
        <v>-4.4187629124626699</v>
      </c>
      <c r="V2027">
        <v>2.7471057651114999E-2</v>
      </c>
      <c r="W2027">
        <v>9.0759200558111999E-2</v>
      </c>
      <c r="X2027">
        <v>0</v>
      </c>
      <c r="Y2027">
        <v>0</v>
      </c>
    </row>
    <row r="2028" spans="1:25" x14ac:dyDescent="0.2">
      <c r="A2028" t="s">
        <v>7624</v>
      </c>
      <c r="B2028" t="s">
        <v>7625</v>
      </c>
      <c r="C2028" t="s">
        <v>7626</v>
      </c>
      <c r="D2028" t="s">
        <v>7627</v>
      </c>
      <c r="E2028" t="s">
        <v>7625</v>
      </c>
      <c r="F2028" t="s">
        <v>28</v>
      </c>
      <c r="G2028" t="s">
        <v>7625</v>
      </c>
      <c r="H2028" t="str">
        <f>"C16A3.6"</f>
        <v>C16A3.6</v>
      </c>
      <c r="I2028" t="s">
        <v>7627</v>
      </c>
      <c r="J2028" t="s">
        <v>29</v>
      </c>
      <c r="K2028" t="s">
        <v>29</v>
      </c>
      <c r="L2028" t="s">
        <v>29</v>
      </c>
      <c r="M2028" t="s">
        <v>29</v>
      </c>
      <c r="N2028" t="s">
        <v>29</v>
      </c>
      <c r="O2028" t="s">
        <v>29</v>
      </c>
      <c r="P2028" t="s">
        <v>29</v>
      </c>
      <c r="Q2028" t="s">
        <v>29</v>
      </c>
      <c r="R2028" t="s">
        <v>29</v>
      </c>
      <c r="S2028">
        <v>12.4182814241854</v>
      </c>
      <c r="T2028" t="s">
        <v>29</v>
      </c>
      <c r="U2028" t="s">
        <v>29</v>
      </c>
      <c r="V2028" t="s">
        <v>29</v>
      </c>
      <c r="W2028" t="s">
        <v>29</v>
      </c>
      <c r="X2028" t="s">
        <v>29</v>
      </c>
      <c r="Y2028" t="s">
        <v>29</v>
      </c>
    </row>
    <row r="2029" spans="1:25" x14ac:dyDescent="0.2">
      <c r="A2029" t="s">
        <v>7628</v>
      </c>
      <c r="B2029" t="s">
        <v>7629</v>
      </c>
      <c r="C2029" t="s">
        <v>7630</v>
      </c>
      <c r="D2029" t="s">
        <v>7631</v>
      </c>
      <c r="E2029" t="s">
        <v>7629</v>
      </c>
      <c r="F2029" t="s">
        <v>28</v>
      </c>
      <c r="G2029" t="s">
        <v>7629</v>
      </c>
      <c r="H2029" t="str">
        <f>"C16A3.5"</f>
        <v>C16A3.5</v>
      </c>
      <c r="I2029" t="s">
        <v>7631</v>
      </c>
      <c r="J2029">
        <v>14.5123248179136</v>
      </c>
      <c r="K2029">
        <v>14.430057218659201</v>
      </c>
      <c r="L2029">
        <v>14.4163291359915</v>
      </c>
      <c r="M2029">
        <v>14.502463851168301</v>
      </c>
      <c r="N2029">
        <v>14.6329463074813</v>
      </c>
      <c r="O2029">
        <v>14.4811738917368</v>
      </c>
      <c r="P2029">
        <v>8.5957625940665097E-2</v>
      </c>
      <c r="Q2029">
        <v>-0.26942562674328602</v>
      </c>
      <c r="R2029">
        <v>0.44134087862461702</v>
      </c>
      <c r="S2029">
        <v>14.484350191123999</v>
      </c>
      <c r="T2029">
        <v>0.50837006252581995</v>
      </c>
      <c r="U2029">
        <v>-7.0216503096448202</v>
      </c>
      <c r="V2029">
        <v>0.61740356212474201</v>
      </c>
      <c r="W2029">
        <v>0.74477621677511896</v>
      </c>
      <c r="X2029">
        <v>0</v>
      </c>
      <c r="Y2029">
        <v>0</v>
      </c>
    </row>
    <row r="2030" spans="1:25" x14ac:dyDescent="0.2">
      <c r="A2030" t="s">
        <v>7632</v>
      </c>
      <c r="B2030" t="s">
        <v>7633</v>
      </c>
      <c r="C2030" t="s">
        <v>7634</v>
      </c>
      <c r="D2030" t="s">
        <v>130</v>
      </c>
      <c r="E2030" t="s">
        <v>7633</v>
      </c>
      <c r="F2030" t="s">
        <v>28</v>
      </c>
      <c r="G2030" t="s">
        <v>7633</v>
      </c>
      <c r="H2030" t="str">
        <f>"znf-622"</f>
        <v>znf-622</v>
      </c>
      <c r="I2030" t="s">
        <v>130</v>
      </c>
      <c r="J2030" t="s">
        <v>29</v>
      </c>
      <c r="K2030" t="s">
        <v>29</v>
      </c>
      <c r="L2030">
        <v>11.1773887485997</v>
      </c>
      <c r="M2030">
        <v>12.9755045937486</v>
      </c>
      <c r="N2030">
        <v>13.3483129646495</v>
      </c>
      <c r="O2030">
        <v>12.895186602773601</v>
      </c>
      <c r="P2030">
        <v>1.89561263845757</v>
      </c>
      <c r="Q2030">
        <v>0.91368291935415602</v>
      </c>
      <c r="R2030">
        <v>2.8775423575609902</v>
      </c>
      <c r="S2030">
        <v>12.6451274302751</v>
      </c>
      <c r="T2030">
        <v>4.0946682481872703</v>
      </c>
      <c r="U2030">
        <v>-0.83388245753736001</v>
      </c>
      <c r="V2030">
        <v>8.5653451772022503E-4</v>
      </c>
      <c r="W2030">
        <v>8.1689554165744402E-3</v>
      </c>
      <c r="X2030">
        <v>1</v>
      </c>
      <c r="Y2030">
        <v>1</v>
      </c>
    </row>
    <row r="2031" spans="1:25" x14ac:dyDescent="0.2">
      <c r="A2031" t="s">
        <v>7635</v>
      </c>
      <c r="B2031" t="s">
        <v>7636</v>
      </c>
      <c r="C2031" t="s">
        <v>7637</v>
      </c>
      <c r="D2031" t="s">
        <v>7638</v>
      </c>
      <c r="E2031" t="s">
        <v>7636</v>
      </c>
      <c r="F2031" t="s">
        <v>28</v>
      </c>
      <c r="G2031" t="s">
        <v>7636</v>
      </c>
      <c r="H2031" t="str">
        <f>"let-716"</f>
        <v>let-716</v>
      </c>
      <c r="I2031" t="s">
        <v>7638</v>
      </c>
      <c r="J2031">
        <v>16.258141806965401</v>
      </c>
      <c r="K2031">
        <v>16.268581917667401</v>
      </c>
      <c r="L2031">
        <v>16.641035740211901</v>
      </c>
      <c r="M2031">
        <v>15.972061292048201</v>
      </c>
      <c r="N2031">
        <v>16.652157457842801</v>
      </c>
      <c r="O2031">
        <v>15.8671889386732</v>
      </c>
      <c r="P2031">
        <v>-0.22545059209350199</v>
      </c>
      <c r="Q2031">
        <v>-0.73281647965869701</v>
      </c>
      <c r="R2031">
        <v>0.28191529547169403</v>
      </c>
      <c r="S2031">
        <v>17.1928543191116</v>
      </c>
      <c r="T2031">
        <v>-0.93394785506382405</v>
      </c>
      <c r="U2031">
        <v>-6.7094175949178396</v>
      </c>
      <c r="V2031">
        <v>0.362762738378762</v>
      </c>
      <c r="W2031">
        <v>0.53160705619204995</v>
      </c>
      <c r="X2031">
        <v>0</v>
      </c>
      <c r="Y2031">
        <v>0</v>
      </c>
    </row>
    <row r="2032" spans="1:25" x14ac:dyDescent="0.2">
      <c r="A2032" t="s">
        <v>7639</v>
      </c>
      <c r="B2032" t="s">
        <v>7640</v>
      </c>
      <c r="C2032" t="s">
        <v>7641</v>
      </c>
      <c r="D2032" t="s">
        <v>7642</v>
      </c>
      <c r="E2032" t="s">
        <v>7640</v>
      </c>
      <c r="F2032" t="s">
        <v>28</v>
      </c>
      <c r="G2032" t="s">
        <v>7640</v>
      </c>
      <c r="H2032" t="str">
        <f>"oatr-1"</f>
        <v>oatr-1</v>
      </c>
      <c r="I2032" t="s">
        <v>7642</v>
      </c>
      <c r="J2032">
        <v>14.9731801709961</v>
      </c>
      <c r="K2032">
        <v>14.618706476444199</v>
      </c>
      <c r="L2032">
        <v>14.8346363230294</v>
      </c>
      <c r="M2032">
        <v>14.714379746304701</v>
      </c>
      <c r="N2032">
        <v>15.2631664344635</v>
      </c>
      <c r="O2032">
        <v>15.1548091190477</v>
      </c>
      <c r="P2032">
        <v>0.2352774431154</v>
      </c>
      <c r="Q2032">
        <v>-0.20638440701067601</v>
      </c>
      <c r="R2032">
        <v>0.67693929324147695</v>
      </c>
      <c r="S2032">
        <v>14.8404702955697</v>
      </c>
      <c r="T2032">
        <v>1.11965163231701</v>
      </c>
      <c r="U2032">
        <v>-6.5205635630680199</v>
      </c>
      <c r="V2032">
        <v>0.27766569580198502</v>
      </c>
      <c r="W2032">
        <v>0.44559885399524701</v>
      </c>
      <c r="X2032">
        <v>0</v>
      </c>
      <c r="Y2032">
        <v>0</v>
      </c>
    </row>
    <row r="2033" spans="1:25" x14ac:dyDescent="0.2">
      <c r="A2033" t="s">
        <v>7643</v>
      </c>
      <c r="B2033" t="s">
        <v>7644</v>
      </c>
      <c r="C2033" t="s">
        <v>7645</v>
      </c>
      <c r="D2033" t="s">
        <v>7646</v>
      </c>
      <c r="E2033" t="s">
        <v>7644</v>
      </c>
      <c r="F2033" t="s">
        <v>28</v>
      </c>
      <c r="G2033" t="s">
        <v>7644</v>
      </c>
      <c r="H2033" t="str">
        <f>"dim-1"</f>
        <v>dim-1</v>
      </c>
      <c r="I2033" t="s">
        <v>7646</v>
      </c>
      <c r="J2033">
        <v>15.321260817747399</v>
      </c>
      <c r="K2033">
        <v>15.510198364785399</v>
      </c>
      <c r="L2033">
        <v>15.429115302771899</v>
      </c>
      <c r="M2033">
        <v>16.261376427983699</v>
      </c>
      <c r="N2033">
        <v>15.513007178650801</v>
      </c>
      <c r="O2033">
        <v>15.329938972989</v>
      </c>
      <c r="P2033">
        <v>0.28124936477295198</v>
      </c>
      <c r="Q2033">
        <v>-0.26214004908481198</v>
      </c>
      <c r="R2033">
        <v>0.824638778630717</v>
      </c>
      <c r="S2033">
        <v>15.190960309489901</v>
      </c>
      <c r="T2033">
        <v>1.08785970371461</v>
      </c>
      <c r="U2033">
        <v>-6.5550321194219503</v>
      </c>
      <c r="V2033">
        <v>0.29109235143148099</v>
      </c>
      <c r="W2033">
        <v>0.45938359412165702</v>
      </c>
      <c r="X2033">
        <v>0</v>
      </c>
      <c r="Y2033">
        <v>0</v>
      </c>
    </row>
    <row r="2034" spans="1:25" x14ac:dyDescent="0.2">
      <c r="A2034" t="s">
        <v>7647</v>
      </c>
      <c r="B2034" t="s">
        <v>7648</v>
      </c>
      <c r="C2034" t="s">
        <v>7649</v>
      </c>
      <c r="D2034" t="s">
        <v>368</v>
      </c>
      <c r="E2034" t="s">
        <v>7648</v>
      </c>
      <c r="F2034" t="s">
        <v>28</v>
      </c>
      <c r="G2034" t="s">
        <v>7648</v>
      </c>
      <c r="H2034" t="str">
        <f>"C18B2.3"</f>
        <v>C18B2.3</v>
      </c>
      <c r="I2034" t="s">
        <v>368</v>
      </c>
      <c r="J2034">
        <v>16.659983017257801</v>
      </c>
      <c r="K2034">
        <v>17.081037158069499</v>
      </c>
      <c r="L2034">
        <v>17.191320216299601</v>
      </c>
      <c r="M2034">
        <v>16.485294647584698</v>
      </c>
      <c r="N2034">
        <v>16.842921225985599</v>
      </c>
      <c r="O2034">
        <v>16.6222380896705</v>
      </c>
      <c r="P2034">
        <v>-0.327295476128725</v>
      </c>
      <c r="Q2034">
        <v>-0.68163268751869499</v>
      </c>
      <c r="R2034">
        <v>2.7041735261244499E-2</v>
      </c>
      <c r="S2034">
        <v>16.8786400060884</v>
      </c>
      <c r="T2034">
        <v>-1.94140325174833</v>
      </c>
      <c r="U2034">
        <v>-5.36243139645702</v>
      </c>
      <c r="V2034">
        <v>6.8124383497244298E-2</v>
      </c>
      <c r="W2034">
        <v>0.16792273970789801</v>
      </c>
      <c r="X2034">
        <v>0</v>
      </c>
      <c r="Y2034">
        <v>0</v>
      </c>
    </row>
    <row r="2035" spans="1:25" x14ac:dyDescent="0.2">
      <c r="A2035" t="s">
        <v>7650</v>
      </c>
      <c r="B2035" t="s">
        <v>7651</v>
      </c>
      <c r="C2035" t="s">
        <v>7652</v>
      </c>
      <c r="D2035" t="s">
        <v>7653</v>
      </c>
      <c r="E2035" t="s">
        <v>7651</v>
      </c>
      <c r="F2035" t="s">
        <v>28</v>
      </c>
      <c r="G2035" t="s">
        <v>7651</v>
      </c>
      <c r="H2035" t="str">
        <f>"C18B2.4"</f>
        <v>C18B2.4</v>
      </c>
      <c r="I2035" t="s">
        <v>7653</v>
      </c>
      <c r="J2035">
        <v>14.6534609936761</v>
      </c>
      <c r="K2035">
        <v>14.4226440456722</v>
      </c>
      <c r="L2035">
        <v>14.4092910591823</v>
      </c>
      <c r="M2035">
        <v>13.5956293083327</v>
      </c>
      <c r="N2035">
        <v>13.4373792007909</v>
      </c>
      <c r="O2035">
        <v>13.927423282455401</v>
      </c>
      <c r="P2035">
        <v>-0.84165476898384595</v>
      </c>
      <c r="Q2035">
        <v>-1.4443524983832401</v>
      </c>
      <c r="R2035">
        <v>-0.238957039584454</v>
      </c>
      <c r="S2035">
        <v>13.867207206008899</v>
      </c>
      <c r="T2035">
        <v>-2.9351273306685699</v>
      </c>
      <c r="U2035">
        <v>-3.4705134678618501</v>
      </c>
      <c r="V2035">
        <v>8.8866709314007301E-3</v>
      </c>
      <c r="W2035">
        <v>4.2240353604577299E-2</v>
      </c>
      <c r="X2035">
        <v>0</v>
      </c>
      <c r="Y2035">
        <v>0</v>
      </c>
    </row>
    <row r="2036" spans="1:25" x14ac:dyDescent="0.2">
      <c r="A2036" t="s">
        <v>7654</v>
      </c>
      <c r="B2036" t="s">
        <v>7655</v>
      </c>
      <c r="C2036" t="s">
        <v>7656</v>
      </c>
      <c r="D2036" t="s">
        <v>7657</v>
      </c>
      <c r="E2036" t="s">
        <v>7655</v>
      </c>
      <c r="F2036" t="s">
        <v>28</v>
      </c>
      <c r="G2036" t="s">
        <v>7655</v>
      </c>
      <c r="H2036" t="str">
        <f>"tomm-40"</f>
        <v>tomm-40</v>
      </c>
      <c r="I2036" t="s">
        <v>7657</v>
      </c>
      <c r="J2036">
        <v>12.812868861822301</v>
      </c>
      <c r="K2036">
        <v>13.1541288065002</v>
      </c>
      <c r="L2036">
        <v>13.4458384358204</v>
      </c>
      <c r="M2036">
        <v>12.9773486391978</v>
      </c>
      <c r="N2036">
        <v>13.0164780545347</v>
      </c>
      <c r="O2036">
        <v>12.4489448559997</v>
      </c>
      <c r="P2036">
        <v>-0.32335485147028498</v>
      </c>
      <c r="Q2036">
        <v>-0.76225657479964404</v>
      </c>
      <c r="R2036">
        <v>0.115546871859075</v>
      </c>
      <c r="S2036">
        <v>13.6560766918233</v>
      </c>
      <c r="T2036">
        <v>-1.54847646275338</v>
      </c>
      <c r="U2036">
        <v>-5.9758817586276303</v>
      </c>
      <c r="V2036">
        <v>0.139010976443532</v>
      </c>
      <c r="W2036">
        <v>0.27642736003987101</v>
      </c>
      <c r="X2036">
        <v>0</v>
      </c>
      <c r="Y2036">
        <v>0</v>
      </c>
    </row>
    <row r="2037" spans="1:25" x14ac:dyDescent="0.2">
      <c r="A2037" t="s">
        <v>7658</v>
      </c>
      <c r="B2037" t="s">
        <v>7659</v>
      </c>
      <c r="C2037" t="s">
        <v>7660</v>
      </c>
      <c r="D2037" t="s">
        <v>7661</v>
      </c>
      <c r="E2037" t="s">
        <v>7659</v>
      </c>
      <c r="F2037" t="s">
        <v>28</v>
      </c>
      <c r="G2037" t="s">
        <v>7659</v>
      </c>
      <c r="H2037" t="str">
        <f>"C18E9.2"</f>
        <v>C18E9.2</v>
      </c>
      <c r="I2037" t="s">
        <v>7661</v>
      </c>
      <c r="J2037">
        <v>13.1349733623993</v>
      </c>
      <c r="K2037">
        <v>11.7692964315411</v>
      </c>
      <c r="L2037">
        <v>12.4461146982007</v>
      </c>
      <c r="M2037" t="s">
        <v>29</v>
      </c>
      <c r="N2037" t="s">
        <v>29</v>
      </c>
      <c r="O2037">
        <v>12.8631326677533</v>
      </c>
      <c r="P2037">
        <v>0.413004503706278</v>
      </c>
      <c r="Q2037">
        <v>-0.73134947746510004</v>
      </c>
      <c r="R2037">
        <v>1.5573584848776501</v>
      </c>
      <c r="S2037">
        <v>12.453130635184699</v>
      </c>
      <c r="T2037">
        <v>0.76972573773336805</v>
      </c>
      <c r="U2037">
        <v>-6.5064449367339598</v>
      </c>
      <c r="V2037">
        <v>0.45349742463869802</v>
      </c>
      <c r="W2037">
        <v>0.617871895705151</v>
      </c>
      <c r="X2037">
        <v>0</v>
      </c>
      <c r="Y2037">
        <v>0</v>
      </c>
    </row>
    <row r="2038" spans="1:25" x14ac:dyDescent="0.2">
      <c r="A2038" t="s">
        <v>7662</v>
      </c>
      <c r="B2038" t="s">
        <v>7663</v>
      </c>
      <c r="C2038" t="s">
        <v>7664</v>
      </c>
      <c r="D2038" t="s">
        <v>7665</v>
      </c>
      <c r="E2038" t="s">
        <v>7663</v>
      </c>
      <c r="F2038" t="s">
        <v>28</v>
      </c>
      <c r="G2038" t="s">
        <v>7663</v>
      </c>
      <c r="H2038" t="str">
        <f>"rpn-2"</f>
        <v>rpn-2</v>
      </c>
      <c r="I2038" t="s">
        <v>7665</v>
      </c>
      <c r="J2038">
        <v>16.563474377455499</v>
      </c>
      <c r="K2038">
        <v>16.3503390504601</v>
      </c>
      <c r="L2038">
        <v>16.2565150529528</v>
      </c>
      <c r="M2038">
        <v>15.9967330796464</v>
      </c>
      <c r="N2038">
        <v>15.5983489677074</v>
      </c>
      <c r="O2038">
        <v>15.9348925649461</v>
      </c>
      <c r="P2038">
        <v>-0.54678462285613905</v>
      </c>
      <c r="Q2038">
        <v>-0.89214586338248103</v>
      </c>
      <c r="R2038">
        <v>-0.20142338232979601</v>
      </c>
      <c r="S2038">
        <v>15.874211056459901</v>
      </c>
      <c r="T2038">
        <v>-3.3276313715455199</v>
      </c>
      <c r="U2038">
        <v>-2.6404645105175599</v>
      </c>
      <c r="V2038">
        <v>3.7691396215018599E-3</v>
      </c>
      <c r="W2038">
        <v>2.3122158409843999E-2</v>
      </c>
      <c r="X2038">
        <v>0</v>
      </c>
      <c r="Y2038">
        <v>0</v>
      </c>
    </row>
    <row r="2039" spans="1:25" x14ac:dyDescent="0.2">
      <c r="A2039" t="s">
        <v>7666</v>
      </c>
      <c r="B2039" t="s">
        <v>7667</v>
      </c>
      <c r="C2039" t="s">
        <v>7668</v>
      </c>
      <c r="D2039" t="s">
        <v>2432</v>
      </c>
      <c r="E2039" t="s">
        <v>7667</v>
      </c>
      <c r="F2039" t="s">
        <v>28</v>
      </c>
      <c r="G2039" t="s">
        <v>7667</v>
      </c>
      <c r="H2039" t="str">
        <f>"C25A11.2"</f>
        <v>C25A11.2</v>
      </c>
      <c r="I2039" t="s">
        <v>2432</v>
      </c>
      <c r="J2039">
        <v>12.054704858616899</v>
      </c>
      <c r="K2039">
        <v>13.3650004782846</v>
      </c>
      <c r="L2039">
        <v>12.2722671924985</v>
      </c>
      <c r="M2039" t="s">
        <v>29</v>
      </c>
      <c r="N2039" t="s">
        <v>29</v>
      </c>
      <c r="O2039">
        <v>11.367245982465899</v>
      </c>
      <c r="P2039">
        <v>-1.19674486066746</v>
      </c>
      <c r="Q2039">
        <v>-2.32810489326071</v>
      </c>
      <c r="R2039">
        <v>-6.5384828074217999E-2</v>
      </c>
      <c r="S2039">
        <v>12.0366057665131</v>
      </c>
      <c r="T2039">
        <v>-2.2560168786187602</v>
      </c>
      <c r="U2039">
        <v>-4.5087596347846501</v>
      </c>
      <c r="V2039">
        <v>3.9543671466315697E-2</v>
      </c>
      <c r="W2039">
        <v>0.117238631600838</v>
      </c>
      <c r="X2039">
        <v>-1</v>
      </c>
      <c r="Y2039">
        <v>0</v>
      </c>
    </row>
    <row r="2040" spans="1:25" x14ac:dyDescent="0.2">
      <c r="A2040" t="s">
        <v>7669</v>
      </c>
      <c r="B2040" t="s">
        <v>7670</v>
      </c>
      <c r="C2040" t="s">
        <v>7671</v>
      </c>
      <c r="D2040" t="s">
        <v>7672</v>
      </c>
      <c r="E2040" t="s">
        <v>7670</v>
      </c>
      <c r="F2040" t="s">
        <v>28</v>
      </c>
      <c r="G2040" t="s">
        <v>7670</v>
      </c>
      <c r="H2040" t="str">
        <f>"dpyd-1"</f>
        <v>dpyd-1</v>
      </c>
      <c r="I2040" t="s">
        <v>7672</v>
      </c>
      <c r="J2040" t="s">
        <v>29</v>
      </c>
      <c r="K2040" t="s">
        <v>29</v>
      </c>
      <c r="L2040">
        <v>10.6628819817112</v>
      </c>
      <c r="M2040">
        <v>11.9690489651601</v>
      </c>
      <c r="N2040">
        <v>12.800100496222599</v>
      </c>
      <c r="O2040">
        <v>13.8498280510084</v>
      </c>
      <c r="P2040">
        <v>2.2101105224192201</v>
      </c>
      <c r="Q2040">
        <v>1.08540899900143</v>
      </c>
      <c r="R2040">
        <v>3.3348120458369999</v>
      </c>
      <c r="S2040">
        <v>12.1805536826806</v>
      </c>
      <c r="T2040">
        <v>4.1679858767811604</v>
      </c>
      <c r="U2040">
        <v>-0.68240247018058198</v>
      </c>
      <c r="V2040">
        <v>7.3494662179749695E-4</v>
      </c>
      <c r="W2040">
        <v>7.3921081721406998E-3</v>
      </c>
      <c r="X2040">
        <v>1</v>
      </c>
      <c r="Y2040">
        <v>1</v>
      </c>
    </row>
    <row r="2041" spans="1:25" x14ac:dyDescent="0.2">
      <c r="A2041" t="s">
        <v>7673</v>
      </c>
      <c r="B2041" t="s">
        <v>7674</v>
      </c>
      <c r="C2041" t="s">
        <v>7675</v>
      </c>
      <c r="D2041" t="s">
        <v>7676</v>
      </c>
      <c r="E2041" t="s">
        <v>7674</v>
      </c>
      <c r="F2041" t="s">
        <v>28</v>
      </c>
      <c r="G2041" t="s">
        <v>7674</v>
      </c>
      <c r="H2041" t="str">
        <f>"C25G4.3"</f>
        <v>C25G4.3</v>
      </c>
      <c r="I2041" t="s">
        <v>7676</v>
      </c>
      <c r="J2041">
        <v>13.329055382335101</v>
      </c>
      <c r="K2041">
        <v>13.6680299215991</v>
      </c>
      <c r="L2041">
        <v>13.3302299532691</v>
      </c>
      <c r="M2041" t="s">
        <v>29</v>
      </c>
      <c r="N2041">
        <v>14.1984182033066</v>
      </c>
      <c r="O2041">
        <v>13.219100189391</v>
      </c>
      <c r="P2041">
        <v>0.26632077728097597</v>
      </c>
      <c r="Q2041">
        <v>-0.38253334552455498</v>
      </c>
      <c r="R2041">
        <v>0.91517490008650704</v>
      </c>
      <c r="S2041">
        <v>13.710352398068199</v>
      </c>
      <c r="T2041">
        <v>0.86637915438551005</v>
      </c>
      <c r="U2041">
        <v>-6.6594895626660904</v>
      </c>
      <c r="V2041">
        <v>0.39841944981669902</v>
      </c>
      <c r="W2041">
        <v>0.566670906664967</v>
      </c>
      <c r="X2041">
        <v>0</v>
      </c>
      <c r="Y2041">
        <v>0</v>
      </c>
    </row>
    <row r="2042" spans="1:25" x14ac:dyDescent="0.2">
      <c r="A2042" t="s">
        <v>7677</v>
      </c>
      <c r="B2042" t="s">
        <v>7678</v>
      </c>
      <c r="C2042" t="s">
        <v>7679</v>
      </c>
      <c r="D2042" t="s">
        <v>7680</v>
      </c>
      <c r="E2042" t="s">
        <v>7678</v>
      </c>
      <c r="F2042" t="s">
        <v>28</v>
      </c>
      <c r="G2042" t="s">
        <v>7678</v>
      </c>
      <c r="H2042" t="str">
        <f>"eif-2d"</f>
        <v>eif-2d</v>
      </c>
      <c r="I2042" t="s">
        <v>7680</v>
      </c>
      <c r="J2042">
        <v>13.076040540404099</v>
      </c>
      <c r="K2042">
        <v>13.0879996202871</v>
      </c>
      <c r="L2042">
        <v>13.1729633013822</v>
      </c>
      <c r="M2042" t="s">
        <v>29</v>
      </c>
      <c r="N2042" t="s">
        <v>29</v>
      </c>
      <c r="O2042">
        <v>12.4856573046835</v>
      </c>
      <c r="P2042">
        <v>-0.62667718267432304</v>
      </c>
      <c r="Q2042">
        <v>-1.3755948991489</v>
      </c>
      <c r="R2042">
        <v>0.122240533800257</v>
      </c>
      <c r="S2042">
        <v>12.9813496035292</v>
      </c>
      <c r="T2042">
        <v>-1.7846431268626</v>
      </c>
      <c r="U2042">
        <v>-5.2927668779029098</v>
      </c>
      <c r="V2042">
        <v>9.4696059039933403E-2</v>
      </c>
      <c r="W2042">
        <v>0.20957649876339501</v>
      </c>
      <c r="X2042">
        <v>0</v>
      </c>
      <c r="Y2042">
        <v>0</v>
      </c>
    </row>
    <row r="2043" spans="1:25" x14ac:dyDescent="0.2">
      <c r="A2043" t="s">
        <v>7681</v>
      </c>
      <c r="B2043" t="s">
        <v>7682</v>
      </c>
      <c r="C2043" t="s">
        <v>7683</v>
      </c>
      <c r="D2043" t="s">
        <v>7684</v>
      </c>
      <c r="E2043" t="s">
        <v>7682</v>
      </c>
      <c r="F2043" t="s">
        <v>28</v>
      </c>
      <c r="G2043" t="s">
        <v>7682</v>
      </c>
      <c r="H2043" t="str">
        <f>"dnc-4"</f>
        <v>dnc-4</v>
      </c>
      <c r="I2043" t="s">
        <v>7684</v>
      </c>
      <c r="J2043" t="s">
        <v>29</v>
      </c>
      <c r="K2043">
        <v>12.0667754619835</v>
      </c>
      <c r="L2043" t="s">
        <v>29</v>
      </c>
      <c r="M2043" t="s">
        <v>29</v>
      </c>
      <c r="N2043">
        <v>14.4280133357989</v>
      </c>
      <c r="O2043">
        <v>14.584202126075599</v>
      </c>
      <c r="P2043">
        <v>2.43933226895376</v>
      </c>
      <c r="Q2043">
        <v>1.3216509667179599</v>
      </c>
      <c r="R2043">
        <v>3.5570135711895601</v>
      </c>
      <c r="S2043">
        <v>13.0240655204788</v>
      </c>
      <c r="T2043">
        <v>4.6547309275981199</v>
      </c>
      <c r="U2043">
        <v>0.22962377127449099</v>
      </c>
      <c r="V2043">
        <v>3.1698297553590899E-4</v>
      </c>
      <c r="W2043">
        <v>3.8601191277038102E-3</v>
      </c>
      <c r="X2043">
        <v>1</v>
      </c>
      <c r="Y2043">
        <v>1</v>
      </c>
    </row>
    <row r="2044" spans="1:25" x14ac:dyDescent="0.2">
      <c r="A2044" t="s">
        <v>7685</v>
      </c>
      <c r="B2044" t="s">
        <v>7686</v>
      </c>
      <c r="C2044" t="s">
        <v>7687</v>
      </c>
      <c r="D2044" t="s">
        <v>7688</v>
      </c>
      <c r="E2044" t="s">
        <v>7686</v>
      </c>
      <c r="F2044" t="s">
        <v>28</v>
      </c>
      <c r="G2044" t="s">
        <v>7686</v>
      </c>
      <c r="H2044" t="str">
        <f>"ran-3"</f>
        <v>ran-3</v>
      </c>
      <c r="I2044" t="s">
        <v>7688</v>
      </c>
      <c r="J2044">
        <v>12.6908332643996</v>
      </c>
      <c r="K2044">
        <v>12.272332400441799</v>
      </c>
      <c r="L2044">
        <v>12.6228648873706</v>
      </c>
      <c r="M2044">
        <v>13.1116398949973</v>
      </c>
      <c r="N2044">
        <v>13.7593940602475</v>
      </c>
      <c r="O2044">
        <v>13.196963567845801</v>
      </c>
      <c r="P2044">
        <v>0.82732232362622704</v>
      </c>
      <c r="Q2044">
        <v>0.26936070233777398</v>
      </c>
      <c r="R2044">
        <v>1.3852839449146801</v>
      </c>
      <c r="S2044">
        <v>12.7238642396511</v>
      </c>
      <c r="T2044">
        <v>3.11646984242291</v>
      </c>
      <c r="U2044">
        <v>-3.09074434385803</v>
      </c>
      <c r="V2044">
        <v>5.9919448505508597E-3</v>
      </c>
      <c r="W2044">
        <v>3.1874118185150499E-2</v>
      </c>
      <c r="X2044">
        <v>0</v>
      </c>
      <c r="Y2044">
        <v>0</v>
      </c>
    </row>
    <row r="2045" spans="1:25" x14ac:dyDescent="0.2">
      <c r="A2045" t="s">
        <v>7689</v>
      </c>
      <c r="B2045" t="s">
        <v>7690</v>
      </c>
      <c r="C2045" t="s">
        <v>7691</v>
      </c>
      <c r="D2045" t="s">
        <v>7692</v>
      </c>
      <c r="E2045" t="s">
        <v>7690</v>
      </c>
      <c r="F2045" t="s">
        <v>28</v>
      </c>
      <c r="G2045" t="s">
        <v>7690</v>
      </c>
      <c r="H2045" t="str">
        <f>"hel-1"</f>
        <v>hel-1</v>
      </c>
      <c r="I2045" t="s">
        <v>7692</v>
      </c>
      <c r="J2045">
        <v>17.6720662464611</v>
      </c>
      <c r="K2045">
        <v>17.6754021684498</v>
      </c>
      <c r="L2045">
        <v>17.490758134222901</v>
      </c>
      <c r="M2045">
        <v>17.509489416464898</v>
      </c>
      <c r="N2045">
        <v>17.816070723805101</v>
      </c>
      <c r="O2045">
        <v>17.799455196978201</v>
      </c>
      <c r="P2045">
        <v>9.5596262704795307E-2</v>
      </c>
      <c r="Q2045">
        <v>-0.234068647926576</v>
      </c>
      <c r="R2045">
        <v>0.42526117333616698</v>
      </c>
      <c r="S2045">
        <v>17.540570734473899</v>
      </c>
      <c r="T2045">
        <v>0.60948174694231305</v>
      </c>
      <c r="U2045">
        <v>-6.9633658956456097</v>
      </c>
      <c r="V2045">
        <v>0.54986605947706801</v>
      </c>
      <c r="W2045">
        <v>0.694649089163346</v>
      </c>
      <c r="X2045">
        <v>0</v>
      </c>
      <c r="Y2045">
        <v>0</v>
      </c>
    </row>
    <row r="2046" spans="1:25" x14ac:dyDescent="0.2">
      <c r="A2046" t="s">
        <v>7693</v>
      </c>
      <c r="B2046" t="s">
        <v>7694</v>
      </c>
      <c r="C2046" t="s">
        <v>7695</v>
      </c>
      <c r="D2046" t="s">
        <v>7696</v>
      </c>
      <c r="E2046" t="s">
        <v>7694</v>
      </c>
      <c r="F2046" t="s">
        <v>28</v>
      </c>
      <c r="G2046" t="s">
        <v>7694</v>
      </c>
      <c r="H2046" t="str">
        <f>"ula-1"</f>
        <v>ula-1</v>
      </c>
      <c r="I2046" t="s">
        <v>7696</v>
      </c>
      <c r="J2046">
        <v>13.0613275468175</v>
      </c>
      <c r="K2046">
        <v>13.194190906383</v>
      </c>
      <c r="L2046">
        <v>12.5261270026655</v>
      </c>
      <c r="M2046" t="s">
        <v>29</v>
      </c>
      <c r="N2046">
        <v>13.5413039596048</v>
      </c>
      <c r="O2046">
        <v>13.1736882978844</v>
      </c>
      <c r="P2046">
        <v>0.430280976789229</v>
      </c>
      <c r="Q2046">
        <v>-9.7172910719555999E-2</v>
      </c>
      <c r="R2046">
        <v>0.95773486429801402</v>
      </c>
      <c r="S2046">
        <v>12.820898862866899</v>
      </c>
      <c r="T2046">
        <v>1.73028314833042</v>
      </c>
      <c r="U2046">
        <v>-5.5995317475217599</v>
      </c>
      <c r="V2046">
        <v>0.10294389604335499</v>
      </c>
      <c r="W2046">
        <v>0.221442088788151</v>
      </c>
      <c r="X2046">
        <v>0</v>
      </c>
      <c r="Y2046">
        <v>0</v>
      </c>
    </row>
    <row r="2047" spans="1:25" x14ac:dyDescent="0.2">
      <c r="A2047" t="s">
        <v>7697</v>
      </c>
      <c r="B2047" t="s">
        <v>7698</v>
      </c>
      <c r="C2047" t="s">
        <v>7699</v>
      </c>
      <c r="D2047" t="s">
        <v>7700</v>
      </c>
      <c r="E2047" t="s">
        <v>7698</v>
      </c>
      <c r="F2047" t="s">
        <v>28</v>
      </c>
      <c r="G2047" t="s">
        <v>7698</v>
      </c>
      <c r="H2047" t="str">
        <f>"mmab-1"</f>
        <v>mmab-1</v>
      </c>
      <c r="I2047" t="s">
        <v>7700</v>
      </c>
      <c r="J2047">
        <v>10.3887887804357</v>
      </c>
      <c r="K2047">
        <v>10.549701282196599</v>
      </c>
      <c r="L2047">
        <v>10.9437874275942</v>
      </c>
      <c r="M2047" t="s">
        <v>29</v>
      </c>
      <c r="N2047" t="s">
        <v>29</v>
      </c>
      <c r="O2047">
        <v>9.5748159040767007</v>
      </c>
      <c r="P2047">
        <v>-1.05260992599881</v>
      </c>
      <c r="Q2047">
        <v>-1.90447403174943</v>
      </c>
      <c r="R2047">
        <v>-0.200745820248177</v>
      </c>
      <c r="S2047">
        <v>10.719861243147999</v>
      </c>
      <c r="T2047">
        <v>-2.6948968974509802</v>
      </c>
      <c r="U2047">
        <v>-3.78647611011993</v>
      </c>
      <c r="V2047">
        <v>1.96224839793687E-2</v>
      </c>
      <c r="W2047">
        <v>7.2194082755554806E-2</v>
      </c>
      <c r="X2047">
        <v>-1</v>
      </c>
      <c r="Y2047">
        <v>0</v>
      </c>
    </row>
    <row r="2048" spans="1:25" x14ac:dyDescent="0.2">
      <c r="A2048" t="s">
        <v>7701</v>
      </c>
      <c r="B2048" t="s">
        <v>7702</v>
      </c>
      <c r="C2048" t="s">
        <v>7703</v>
      </c>
      <c r="D2048" t="s">
        <v>7704</v>
      </c>
      <c r="E2048" t="s">
        <v>7702</v>
      </c>
      <c r="F2048" t="s">
        <v>28</v>
      </c>
      <c r="G2048" t="s">
        <v>7702</v>
      </c>
      <c r="H2048" t="str">
        <f>"ntl-9"</f>
        <v>ntl-9</v>
      </c>
      <c r="I2048" t="s">
        <v>7704</v>
      </c>
      <c r="J2048">
        <v>12.4390664579365</v>
      </c>
      <c r="K2048" t="s">
        <v>29</v>
      </c>
      <c r="L2048">
        <v>12.6760808498255</v>
      </c>
      <c r="M2048" t="s">
        <v>29</v>
      </c>
      <c r="N2048" t="s">
        <v>29</v>
      </c>
      <c r="O2048">
        <v>11.703442523940801</v>
      </c>
      <c r="P2048">
        <v>-0.85413112994016605</v>
      </c>
      <c r="Q2048">
        <v>-1.80391733817417</v>
      </c>
      <c r="R2048">
        <v>9.56550782938419E-2</v>
      </c>
      <c r="S2048">
        <v>12.2315290125772</v>
      </c>
      <c r="T2048">
        <v>-1.91796332099722</v>
      </c>
      <c r="U2048">
        <v>-5.0265103196876204</v>
      </c>
      <c r="V2048">
        <v>7.4493431282839806E-2</v>
      </c>
      <c r="W2048">
        <v>0.17884222948033701</v>
      </c>
      <c r="X2048">
        <v>0</v>
      </c>
      <c r="Y2048">
        <v>0</v>
      </c>
    </row>
    <row r="2049" spans="1:25" x14ac:dyDescent="0.2">
      <c r="A2049" t="s">
        <v>7705</v>
      </c>
      <c r="B2049" t="s">
        <v>7706</v>
      </c>
      <c r="C2049" t="s">
        <v>7707</v>
      </c>
      <c r="D2049" t="s">
        <v>6177</v>
      </c>
      <c r="E2049" t="s">
        <v>7706</v>
      </c>
      <c r="F2049" t="s">
        <v>28</v>
      </c>
      <c r="G2049" t="s">
        <v>7706</v>
      </c>
      <c r="H2049" t="str">
        <f>"rps-30"</f>
        <v>rps-30</v>
      </c>
      <c r="I2049" t="s">
        <v>6177</v>
      </c>
      <c r="J2049">
        <v>24.044121097090301</v>
      </c>
      <c r="K2049">
        <v>20.5340981416423</v>
      </c>
      <c r="L2049">
        <v>19.092954921651899</v>
      </c>
      <c r="M2049">
        <v>24.5231502722268</v>
      </c>
      <c r="N2049">
        <v>18.4583551166182</v>
      </c>
      <c r="O2049">
        <v>19.150808478074602</v>
      </c>
      <c r="P2049">
        <v>-0.51295343115494096</v>
      </c>
      <c r="Q2049">
        <v>-5.70155433700317</v>
      </c>
      <c r="R2049">
        <v>4.6756474746932897</v>
      </c>
      <c r="S2049">
        <v>19.530598584859501</v>
      </c>
      <c r="T2049">
        <v>-0.20892068283615001</v>
      </c>
      <c r="U2049">
        <v>-7.1333351119395099</v>
      </c>
      <c r="V2049">
        <v>0.83704576283373999</v>
      </c>
      <c r="W2049">
        <v>0.89700867748037505</v>
      </c>
      <c r="X2049">
        <v>0</v>
      </c>
      <c r="Y2049">
        <v>0</v>
      </c>
    </row>
    <row r="2050" spans="1:25" x14ac:dyDescent="0.2">
      <c r="A2050" t="s">
        <v>7708</v>
      </c>
      <c r="B2050" t="s">
        <v>7709</v>
      </c>
      <c r="C2050" t="s">
        <v>7710</v>
      </c>
      <c r="D2050" t="s">
        <v>7711</v>
      </c>
      <c r="E2050" t="s">
        <v>7709</v>
      </c>
      <c r="F2050" t="s">
        <v>28</v>
      </c>
      <c r="G2050" t="s">
        <v>7709</v>
      </c>
      <c r="H2050" t="str">
        <f>"C26F1.3"</f>
        <v>C26F1.3</v>
      </c>
      <c r="I2050" t="s">
        <v>7711</v>
      </c>
      <c r="J2050" t="s">
        <v>29</v>
      </c>
      <c r="K2050" t="s">
        <v>29</v>
      </c>
      <c r="L2050">
        <v>11.1403473209508</v>
      </c>
      <c r="M2050" t="s">
        <v>29</v>
      </c>
      <c r="N2050" t="s">
        <v>29</v>
      </c>
      <c r="O2050" t="s">
        <v>29</v>
      </c>
      <c r="P2050" t="s">
        <v>29</v>
      </c>
      <c r="Q2050" t="s">
        <v>29</v>
      </c>
      <c r="R2050" t="s">
        <v>29</v>
      </c>
      <c r="S2050">
        <v>12.072009491946099</v>
      </c>
      <c r="T2050" t="s">
        <v>29</v>
      </c>
      <c r="U2050" t="s">
        <v>29</v>
      </c>
      <c r="V2050" t="s">
        <v>29</v>
      </c>
      <c r="W2050" t="s">
        <v>29</v>
      </c>
      <c r="X2050" t="s">
        <v>29</v>
      </c>
      <c r="Y2050" t="s">
        <v>29</v>
      </c>
    </row>
    <row r="2051" spans="1:25" x14ac:dyDescent="0.2">
      <c r="A2051" t="s">
        <v>7712</v>
      </c>
      <c r="B2051" t="s">
        <v>7713</v>
      </c>
      <c r="C2051" t="s">
        <v>7714</v>
      </c>
      <c r="D2051" t="s">
        <v>7715</v>
      </c>
      <c r="E2051" t="s">
        <v>7713</v>
      </c>
      <c r="F2051" t="s">
        <v>28</v>
      </c>
      <c r="G2051" t="s">
        <v>7713</v>
      </c>
      <c r="H2051" t="str">
        <f>"smc-5"</f>
        <v>smc-5</v>
      </c>
      <c r="I2051" t="s">
        <v>7715</v>
      </c>
      <c r="J2051">
        <v>12.1869977131601</v>
      </c>
      <c r="K2051">
        <v>12.0059525045585</v>
      </c>
      <c r="L2051">
        <v>12.231222204826899</v>
      </c>
      <c r="M2051">
        <v>16.667354924408599</v>
      </c>
      <c r="N2051" t="s">
        <v>29</v>
      </c>
      <c r="O2051">
        <v>11.689144355520501</v>
      </c>
      <c r="P2051">
        <v>2.0368588324494201</v>
      </c>
      <c r="Q2051">
        <v>0.26238844926365801</v>
      </c>
      <c r="R2051">
        <v>3.8113292156351801</v>
      </c>
      <c r="S2051">
        <v>12.241152750535401</v>
      </c>
      <c r="T2051">
        <v>2.4229373717899598</v>
      </c>
      <c r="U2051">
        <v>-4.4001307417615303</v>
      </c>
      <c r="V2051">
        <v>2.6926581051271999E-2</v>
      </c>
      <c r="W2051">
        <v>8.9461820020404204E-2</v>
      </c>
      <c r="X2051">
        <v>1</v>
      </c>
      <c r="Y2051">
        <v>0</v>
      </c>
    </row>
    <row r="2052" spans="1:25" x14ac:dyDescent="0.2">
      <c r="A2052" t="s">
        <v>7716</v>
      </c>
      <c r="B2052" t="s">
        <v>7717</v>
      </c>
      <c r="C2052" t="s">
        <v>7718</v>
      </c>
      <c r="D2052" t="s">
        <v>7719</v>
      </c>
      <c r="E2052" t="s">
        <v>7717</v>
      </c>
      <c r="F2052" t="s">
        <v>28</v>
      </c>
      <c r="G2052" t="s">
        <v>7717</v>
      </c>
      <c r="H2052" t="str">
        <f>"rad-26"</f>
        <v>rad-26</v>
      </c>
      <c r="I2052" t="s">
        <v>7719</v>
      </c>
      <c r="J2052">
        <v>11.683981549702199</v>
      </c>
      <c r="K2052">
        <v>12.797782109174801</v>
      </c>
      <c r="L2052">
        <v>12.558681268887</v>
      </c>
      <c r="M2052">
        <v>11.4060055678487</v>
      </c>
      <c r="N2052" t="s">
        <v>29</v>
      </c>
      <c r="O2052">
        <v>11.5774401493964</v>
      </c>
      <c r="P2052">
        <v>-0.85509211729877099</v>
      </c>
      <c r="Q2052">
        <v>-1.4926449254791201</v>
      </c>
      <c r="R2052">
        <v>-0.21753930911842001</v>
      </c>
      <c r="S2052">
        <v>12.8043726290508</v>
      </c>
      <c r="T2052">
        <v>-2.8310448724791701</v>
      </c>
      <c r="U2052">
        <v>-3.6031883105921101</v>
      </c>
      <c r="V2052">
        <v>1.15773197843104E-2</v>
      </c>
      <c r="W2052">
        <v>5.0247954940151301E-2</v>
      </c>
      <c r="X2052">
        <v>0</v>
      </c>
      <c r="Y2052">
        <v>0</v>
      </c>
    </row>
    <row r="2053" spans="1:25" x14ac:dyDescent="0.2">
      <c r="A2053" t="s">
        <v>7720</v>
      </c>
      <c r="B2053" t="s">
        <v>7721</v>
      </c>
      <c r="C2053" t="s">
        <v>7722</v>
      </c>
      <c r="D2053" t="s">
        <v>7723</v>
      </c>
      <c r="E2053" t="s">
        <v>7721</v>
      </c>
      <c r="F2053" t="s">
        <v>28</v>
      </c>
      <c r="G2053" t="s">
        <v>7721</v>
      </c>
      <c r="H2053" t="str">
        <f>"C27B7.5"</f>
        <v>C27B7.5</v>
      </c>
      <c r="I2053" t="s">
        <v>7723</v>
      </c>
      <c r="J2053">
        <v>13.8711010472379</v>
      </c>
      <c r="K2053">
        <v>13.9952555987895</v>
      </c>
      <c r="L2053">
        <v>14.6795069052166</v>
      </c>
      <c r="M2053" t="s">
        <v>29</v>
      </c>
      <c r="N2053">
        <v>13.035862499023199</v>
      </c>
      <c r="O2053">
        <v>12.8355339647677</v>
      </c>
      <c r="P2053">
        <v>-1.2462562851858701</v>
      </c>
      <c r="Q2053">
        <v>-1.8163287267369399</v>
      </c>
      <c r="R2053">
        <v>-0.67618384363480499</v>
      </c>
      <c r="S2053">
        <v>14.42989551366</v>
      </c>
      <c r="T2053">
        <v>-4.6145284499881596</v>
      </c>
      <c r="U2053">
        <v>0.167930143159149</v>
      </c>
      <c r="V2053">
        <v>2.5105921469495901E-4</v>
      </c>
      <c r="W2053">
        <v>3.2794193216957399E-3</v>
      </c>
      <c r="X2053">
        <v>-1</v>
      </c>
      <c r="Y2053">
        <v>-1</v>
      </c>
    </row>
    <row r="2054" spans="1:25" x14ac:dyDescent="0.2">
      <c r="A2054" t="s">
        <v>7724</v>
      </c>
      <c r="B2054" t="s">
        <v>7725</v>
      </c>
      <c r="C2054" t="s">
        <v>7726</v>
      </c>
      <c r="D2054" t="s">
        <v>7727</v>
      </c>
      <c r="E2054" t="s">
        <v>7725</v>
      </c>
      <c r="F2054" t="s">
        <v>28</v>
      </c>
      <c r="G2054" t="s">
        <v>7725</v>
      </c>
      <c r="H2054" t="str">
        <f>"rap-1"</f>
        <v>rap-1</v>
      </c>
      <c r="I2054" t="s">
        <v>7727</v>
      </c>
      <c r="J2054">
        <v>13.434441899243801</v>
      </c>
      <c r="K2054">
        <v>13.931391330982599</v>
      </c>
      <c r="L2054">
        <v>12.7612419097879</v>
      </c>
      <c r="M2054">
        <v>14.622278379040401</v>
      </c>
      <c r="N2054">
        <v>13.932070807542001</v>
      </c>
      <c r="O2054">
        <v>14.021038036453399</v>
      </c>
      <c r="P2054">
        <v>0.81610402767385004</v>
      </c>
      <c r="Q2054">
        <v>0.10635754543664</v>
      </c>
      <c r="R2054">
        <v>1.52585050991106</v>
      </c>
      <c r="S2054">
        <v>13.435202534891999</v>
      </c>
      <c r="T2054">
        <v>2.4167670194470499</v>
      </c>
      <c r="U2054">
        <v>-4.5061120236580896</v>
      </c>
      <c r="V2054">
        <v>2.6566551994314201E-2</v>
      </c>
      <c r="W2054">
        <v>8.8967759917322503E-2</v>
      </c>
      <c r="X2054">
        <v>0</v>
      </c>
      <c r="Y2054">
        <v>0</v>
      </c>
    </row>
    <row r="2055" spans="1:25" x14ac:dyDescent="0.2">
      <c r="A2055" t="s">
        <v>7728</v>
      </c>
      <c r="B2055" t="s">
        <v>7729</v>
      </c>
      <c r="C2055" t="s">
        <v>7730</v>
      </c>
      <c r="D2055" t="s">
        <v>7731</v>
      </c>
      <c r="E2055" t="s">
        <v>7729</v>
      </c>
      <c r="F2055" t="s">
        <v>28</v>
      </c>
      <c r="G2055" t="s">
        <v>7729</v>
      </c>
      <c r="H2055" t="str">
        <f>"C27F2.4"</f>
        <v>C27F2.4</v>
      </c>
      <c r="I2055" t="s">
        <v>7731</v>
      </c>
      <c r="J2055">
        <v>14.1357788420055</v>
      </c>
      <c r="K2055">
        <v>13.9857193516542</v>
      </c>
      <c r="L2055">
        <v>13.715969469332499</v>
      </c>
      <c r="M2055" t="s">
        <v>29</v>
      </c>
      <c r="N2055" t="s">
        <v>29</v>
      </c>
      <c r="O2055">
        <v>12.4754537155462</v>
      </c>
      <c r="P2055">
        <v>-1.47036883878453</v>
      </c>
      <c r="Q2055">
        <v>-2.2954413886007901</v>
      </c>
      <c r="R2055">
        <v>-0.64529628896827695</v>
      </c>
      <c r="S2055">
        <v>13.162861465641701</v>
      </c>
      <c r="T2055">
        <v>-3.8008064787807498</v>
      </c>
      <c r="U2055">
        <v>-1.51541404225529</v>
      </c>
      <c r="V2055">
        <v>1.7602024776026801E-3</v>
      </c>
      <c r="W2055">
        <v>1.34147745215731E-2</v>
      </c>
      <c r="X2055">
        <v>-1</v>
      </c>
      <c r="Y2055">
        <v>-1</v>
      </c>
    </row>
    <row r="2056" spans="1:25" x14ac:dyDescent="0.2">
      <c r="A2056" t="s">
        <v>7732</v>
      </c>
      <c r="B2056" t="s">
        <v>7733</v>
      </c>
      <c r="C2056" t="s">
        <v>7734</v>
      </c>
      <c r="D2056" t="s">
        <v>7735</v>
      </c>
      <c r="E2056" t="s">
        <v>7733</v>
      </c>
      <c r="F2056" t="s">
        <v>28</v>
      </c>
      <c r="G2056" t="s">
        <v>7733</v>
      </c>
      <c r="H2056" t="str">
        <f>"vps-22"</f>
        <v>vps-22</v>
      </c>
      <c r="I2056" t="s">
        <v>7735</v>
      </c>
      <c r="J2056">
        <v>12.3348130138156</v>
      </c>
      <c r="K2056" t="s">
        <v>29</v>
      </c>
      <c r="L2056">
        <v>12.990291226197799</v>
      </c>
      <c r="M2056" t="s">
        <v>29</v>
      </c>
      <c r="N2056" t="s">
        <v>29</v>
      </c>
      <c r="O2056">
        <v>13.291539751538</v>
      </c>
      <c r="P2056">
        <v>0.62898763153131998</v>
      </c>
      <c r="Q2056">
        <v>-0.27099108267260003</v>
      </c>
      <c r="R2056">
        <v>1.52896634573524</v>
      </c>
      <c r="S2056">
        <v>12.557951087882101</v>
      </c>
      <c r="T2056">
        <v>1.5400597159557401</v>
      </c>
      <c r="U2056">
        <v>-5.6003473047068004</v>
      </c>
      <c r="V2056">
        <v>0.152070326374802</v>
      </c>
      <c r="W2056">
        <v>0.29639633057310899</v>
      </c>
      <c r="X2056">
        <v>0</v>
      </c>
      <c r="Y2056">
        <v>0</v>
      </c>
    </row>
    <row r="2057" spans="1:25" x14ac:dyDescent="0.2">
      <c r="A2057" t="s">
        <v>7736</v>
      </c>
      <c r="B2057" t="s">
        <v>7737</v>
      </c>
      <c r="C2057" t="s">
        <v>7738</v>
      </c>
      <c r="D2057" t="s">
        <v>7739</v>
      </c>
      <c r="E2057" t="s">
        <v>7737</v>
      </c>
      <c r="F2057" t="s">
        <v>28</v>
      </c>
      <c r="G2057" t="s">
        <v>7737</v>
      </c>
      <c r="H2057" t="str">
        <f>"tmem-131"</f>
        <v>tmem-131</v>
      </c>
      <c r="I2057" t="s">
        <v>7739</v>
      </c>
      <c r="J2057" t="s">
        <v>29</v>
      </c>
      <c r="K2057" t="s">
        <v>29</v>
      </c>
      <c r="L2057" t="s">
        <v>29</v>
      </c>
      <c r="M2057" t="s">
        <v>29</v>
      </c>
      <c r="N2057" t="s">
        <v>29</v>
      </c>
      <c r="O2057" t="s">
        <v>29</v>
      </c>
      <c r="P2057" t="s">
        <v>29</v>
      </c>
      <c r="Q2057" t="s">
        <v>29</v>
      </c>
      <c r="R2057" t="s">
        <v>29</v>
      </c>
      <c r="S2057">
        <v>11.2248332565383</v>
      </c>
      <c r="T2057" t="s">
        <v>29</v>
      </c>
      <c r="U2057" t="s">
        <v>29</v>
      </c>
      <c r="V2057" t="s">
        <v>29</v>
      </c>
      <c r="W2057" t="s">
        <v>29</v>
      </c>
      <c r="X2057" t="s">
        <v>29</v>
      </c>
      <c r="Y2057" t="s">
        <v>29</v>
      </c>
    </row>
    <row r="2058" spans="1:25" x14ac:dyDescent="0.2">
      <c r="A2058" t="s">
        <v>7740</v>
      </c>
      <c r="B2058" t="s">
        <v>7741</v>
      </c>
      <c r="C2058" t="s">
        <v>7742</v>
      </c>
      <c r="D2058" t="s">
        <v>7743</v>
      </c>
      <c r="E2058" t="s">
        <v>7741</v>
      </c>
      <c r="F2058" t="s">
        <v>28</v>
      </c>
      <c r="G2058" t="s">
        <v>7741</v>
      </c>
      <c r="H2058" t="str">
        <f>"fust-1"</f>
        <v>fust-1</v>
      </c>
      <c r="I2058" t="s">
        <v>7743</v>
      </c>
      <c r="J2058">
        <v>11.9404981170435</v>
      </c>
      <c r="K2058">
        <v>12.178763874637101</v>
      </c>
      <c r="L2058">
        <v>12.080043156363701</v>
      </c>
      <c r="M2058">
        <v>14.7614631978799</v>
      </c>
      <c r="N2058">
        <v>13.3583985183234</v>
      </c>
      <c r="O2058">
        <v>13.485109847377601</v>
      </c>
      <c r="P2058">
        <v>1.80188880517887</v>
      </c>
      <c r="Q2058">
        <v>0.68205532787373402</v>
      </c>
      <c r="R2058">
        <v>2.9217222824840099</v>
      </c>
      <c r="S2058">
        <v>12.501967020485299</v>
      </c>
      <c r="T2058">
        <v>3.38194899672783</v>
      </c>
      <c r="U2058">
        <v>-2.5234895317991599</v>
      </c>
      <c r="V2058">
        <v>3.3434196634026499E-3</v>
      </c>
      <c r="W2058">
        <v>2.12809022636017E-2</v>
      </c>
      <c r="X2058">
        <v>1</v>
      </c>
      <c r="Y2058">
        <v>1</v>
      </c>
    </row>
    <row r="2059" spans="1:25" x14ac:dyDescent="0.2">
      <c r="A2059" t="s">
        <v>7744</v>
      </c>
      <c r="B2059" t="s">
        <v>7745</v>
      </c>
      <c r="C2059" t="s">
        <v>7746</v>
      </c>
      <c r="D2059" t="s">
        <v>7747</v>
      </c>
      <c r="E2059" t="s">
        <v>7745</v>
      </c>
      <c r="F2059" t="s">
        <v>28</v>
      </c>
      <c r="G2059" t="s">
        <v>7745</v>
      </c>
      <c r="H2059" t="str">
        <f>"sec-15"</f>
        <v>sec-15</v>
      </c>
      <c r="I2059" t="s">
        <v>7747</v>
      </c>
      <c r="J2059">
        <v>11.573159980081201</v>
      </c>
      <c r="K2059" t="s">
        <v>29</v>
      </c>
      <c r="L2059">
        <v>11.3414898539778</v>
      </c>
      <c r="M2059" t="s">
        <v>29</v>
      </c>
      <c r="N2059" t="s">
        <v>29</v>
      </c>
      <c r="O2059" t="s">
        <v>29</v>
      </c>
      <c r="P2059" t="s">
        <v>29</v>
      </c>
      <c r="Q2059" t="s">
        <v>29</v>
      </c>
      <c r="R2059" t="s">
        <v>29</v>
      </c>
      <c r="S2059">
        <v>11.9128970190612</v>
      </c>
      <c r="T2059" t="s">
        <v>29</v>
      </c>
      <c r="U2059" t="s">
        <v>29</v>
      </c>
      <c r="V2059" t="s">
        <v>29</v>
      </c>
      <c r="W2059" t="s">
        <v>29</v>
      </c>
      <c r="X2059" t="s">
        <v>29</v>
      </c>
      <c r="Y2059" t="s">
        <v>29</v>
      </c>
    </row>
    <row r="2060" spans="1:25" x14ac:dyDescent="0.2">
      <c r="A2060" t="s">
        <v>7748</v>
      </c>
      <c r="B2060" t="s">
        <v>7749</v>
      </c>
      <c r="C2060" t="s">
        <v>7750</v>
      </c>
      <c r="D2060" t="s">
        <v>7751</v>
      </c>
      <c r="E2060" t="s">
        <v>7749</v>
      </c>
      <c r="F2060" t="s">
        <v>28</v>
      </c>
      <c r="G2060" t="s">
        <v>7749</v>
      </c>
      <c r="H2060" t="str">
        <f>"C29F5.1"</f>
        <v>C29F5.1</v>
      </c>
      <c r="I2060" t="s">
        <v>7751</v>
      </c>
      <c r="J2060">
        <v>15.365959849085501</v>
      </c>
      <c r="K2060">
        <v>15.467739750056801</v>
      </c>
      <c r="L2060">
        <v>15.155703400630699</v>
      </c>
      <c r="M2060">
        <v>14.793100585431899</v>
      </c>
      <c r="N2060">
        <v>14.819125731914999</v>
      </c>
      <c r="O2060">
        <v>14.9402237333299</v>
      </c>
      <c r="P2060">
        <v>-0.47898431636546102</v>
      </c>
      <c r="Q2060">
        <v>-0.94661658880895105</v>
      </c>
      <c r="R2060">
        <v>-1.1352043921969601E-2</v>
      </c>
      <c r="S2060">
        <v>14.6980970511061</v>
      </c>
      <c r="T2060">
        <v>-2.1528279897382201</v>
      </c>
      <c r="U2060">
        <v>-4.9950084963186496</v>
      </c>
      <c r="V2060">
        <v>4.52276610677977E-2</v>
      </c>
      <c r="W2060">
        <v>0.12681818950218801</v>
      </c>
      <c r="X2060">
        <v>0</v>
      </c>
      <c r="Y2060">
        <v>0</v>
      </c>
    </row>
    <row r="2061" spans="1:25" x14ac:dyDescent="0.2">
      <c r="A2061" t="s">
        <v>7752</v>
      </c>
      <c r="B2061" t="s">
        <v>7753</v>
      </c>
      <c r="C2061" t="s">
        <v>7754</v>
      </c>
      <c r="D2061" t="s">
        <v>7755</v>
      </c>
      <c r="E2061" t="s">
        <v>7753</v>
      </c>
      <c r="F2061" t="s">
        <v>28</v>
      </c>
      <c r="G2061" t="s">
        <v>7753</v>
      </c>
      <c r="H2061" t="str">
        <f>"C29H12.2"</f>
        <v>C29H12.2</v>
      </c>
      <c r="I2061" t="s">
        <v>7755</v>
      </c>
      <c r="J2061">
        <v>16.465328120066101</v>
      </c>
      <c r="K2061">
        <v>15.130379410817699</v>
      </c>
      <c r="L2061">
        <v>14.714899514053799</v>
      </c>
      <c r="M2061">
        <v>16.321693563615799</v>
      </c>
      <c r="N2061">
        <v>14.980699784972799</v>
      </c>
      <c r="O2061">
        <v>14.8955637407301</v>
      </c>
      <c r="P2061">
        <v>-3.7549985206327498E-2</v>
      </c>
      <c r="Q2061">
        <v>-1.0485207041439499</v>
      </c>
      <c r="R2061">
        <v>0.97342073373129501</v>
      </c>
      <c r="S2061">
        <v>15.268585813761</v>
      </c>
      <c r="T2061">
        <v>-7.8066319777424995E-2</v>
      </c>
      <c r="U2061">
        <v>-7.1531043637167997</v>
      </c>
      <c r="V2061">
        <v>0.93864158270272502</v>
      </c>
      <c r="W2061">
        <v>0.96499999030741501</v>
      </c>
      <c r="X2061">
        <v>0</v>
      </c>
      <c r="Y2061">
        <v>0</v>
      </c>
    </row>
    <row r="2062" spans="1:25" x14ac:dyDescent="0.2">
      <c r="A2062" t="s">
        <v>7756</v>
      </c>
      <c r="B2062" t="s">
        <v>7757</v>
      </c>
      <c r="C2062" t="s">
        <v>7758</v>
      </c>
      <c r="D2062" t="s">
        <v>7759</v>
      </c>
      <c r="E2062" t="s">
        <v>7757</v>
      </c>
      <c r="F2062" t="s">
        <v>28</v>
      </c>
      <c r="G2062" t="s">
        <v>7757</v>
      </c>
      <c r="H2062" t="str">
        <f>"rars-2"</f>
        <v>rars-2</v>
      </c>
      <c r="I2062" t="s">
        <v>7759</v>
      </c>
      <c r="J2062">
        <v>15.768788923807501</v>
      </c>
      <c r="K2062">
        <v>16.250008666093201</v>
      </c>
      <c r="L2062">
        <v>14.9276397031846</v>
      </c>
      <c r="M2062">
        <v>18.6817135608214</v>
      </c>
      <c r="N2062">
        <v>17.8272435536174</v>
      </c>
      <c r="O2062">
        <v>16.009146537836401</v>
      </c>
      <c r="P2062">
        <v>1.8572221197299501</v>
      </c>
      <c r="Q2062">
        <v>0.28431425461530102</v>
      </c>
      <c r="R2062">
        <v>3.4301299848446098</v>
      </c>
      <c r="S2062">
        <v>15.382065814901599</v>
      </c>
      <c r="T2062">
        <v>2.4817216911158999</v>
      </c>
      <c r="U2062">
        <v>-4.3813082810503401</v>
      </c>
      <c r="V2062">
        <v>2.3235543290652302E-2</v>
      </c>
      <c r="W2062">
        <v>8.1035675831422793E-2</v>
      </c>
      <c r="X2062">
        <v>1</v>
      </c>
      <c r="Y2062">
        <v>0</v>
      </c>
    </row>
    <row r="2063" spans="1:25" x14ac:dyDescent="0.2">
      <c r="A2063" t="s">
        <v>7760</v>
      </c>
      <c r="B2063" t="s">
        <v>7761</v>
      </c>
      <c r="C2063" t="s">
        <v>7762</v>
      </c>
      <c r="D2063" t="s">
        <v>93</v>
      </c>
      <c r="E2063" t="s">
        <v>7761</v>
      </c>
      <c r="F2063" t="s">
        <v>28</v>
      </c>
      <c r="G2063" t="s">
        <v>7761</v>
      </c>
      <c r="H2063" t="str">
        <f>"rbmx-2"</f>
        <v>rbmx-2</v>
      </c>
      <c r="I2063" t="s">
        <v>93</v>
      </c>
      <c r="J2063">
        <v>13.6718791084031</v>
      </c>
      <c r="K2063">
        <v>13.4638767077408</v>
      </c>
      <c r="L2063">
        <v>13.894337320598201</v>
      </c>
      <c r="M2063" t="s">
        <v>29</v>
      </c>
      <c r="N2063">
        <v>12.789288144433099</v>
      </c>
      <c r="O2063">
        <v>11.6584845625926</v>
      </c>
      <c r="P2063">
        <v>-1.4528113587345599</v>
      </c>
      <c r="Q2063">
        <v>-2.12673110650032</v>
      </c>
      <c r="R2063">
        <v>-0.778891610968798</v>
      </c>
      <c r="S2063">
        <v>12.9481700973187</v>
      </c>
      <c r="T2063">
        <v>-4.5504155333531697</v>
      </c>
      <c r="U2063">
        <v>3.1483866943467803E-2</v>
      </c>
      <c r="V2063">
        <v>2.8769573171041001E-4</v>
      </c>
      <c r="W2063">
        <v>3.6387953706033299E-3</v>
      </c>
      <c r="X2063">
        <v>-1</v>
      </c>
      <c r="Y2063">
        <v>-1</v>
      </c>
    </row>
    <row r="2064" spans="1:25" x14ac:dyDescent="0.2">
      <c r="A2064" t="s">
        <v>7763</v>
      </c>
      <c r="B2064" t="s">
        <v>7764</v>
      </c>
      <c r="C2064" t="s">
        <v>7765</v>
      </c>
      <c r="D2064" t="s">
        <v>7766</v>
      </c>
      <c r="E2064" t="s">
        <v>7764</v>
      </c>
      <c r="F2064" t="s">
        <v>28</v>
      </c>
      <c r="G2064" t="s">
        <v>7764</v>
      </c>
      <c r="H2064" t="str">
        <f>"szy-4"</f>
        <v>szy-4</v>
      </c>
      <c r="I2064" t="s">
        <v>7766</v>
      </c>
      <c r="J2064" t="s">
        <v>29</v>
      </c>
      <c r="K2064" t="s">
        <v>29</v>
      </c>
      <c r="L2064" t="s">
        <v>29</v>
      </c>
      <c r="M2064" t="s">
        <v>29</v>
      </c>
      <c r="N2064" t="s">
        <v>29</v>
      </c>
      <c r="O2064" t="s">
        <v>29</v>
      </c>
      <c r="P2064" t="s">
        <v>29</v>
      </c>
      <c r="Q2064" t="s">
        <v>29</v>
      </c>
      <c r="R2064" t="s">
        <v>29</v>
      </c>
      <c r="S2064">
        <v>11.778877295398599</v>
      </c>
      <c r="T2064" t="s">
        <v>29</v>
      </c>
      <c r="U2064" t="s">
        <v>29</v>
      </c>
      <c r="V2064" t="s">
        <v>29</v>
      </c>
      <c r="W2064" t="s">
        <v>29</v>
      </c>
      <c r="X2064" t="s">
        <v>29</v>
      </c>
      <c r="Y2064" t="s">
        <v>29</v>
      </c>
    </row>
    <row r="2065" spans="1:25" x14ac:dyDescent="0.2">
      <c r="A2065" t="s">
        <v>7767</v>
      </c>
      <c r="B2065" t="s">
        <v>7768</v>
      </c>
      <c r="C2065" t="s">
        <v>7769</v>
      </c>
      <c r="D2065" t="s">
        <v>360</v>
      </c>
      <c r="E2065" t="s">
        <v>7768</v>
      </c>
      <c r="F2065" t="s">
        <v>28</v>
      </c>
      <c r="G2065" t="s">
        <v>7768</v>
      </c>
      <c r="H2065" t="str">
        <f>"C32D5.11"</f>
        <v>C32D5.11</v>
      </c>
      <c r="I2065" t="s">
        <v>360</v>
      </c>
      <c r="J2065" t="s">
        <v>29</v>
      </c>
      <c r="K2065" t="s">
        <v>29</v>
      </c>
      <c r="L2065" t="s">
        <v>29</v>
      </c>
      <c r="M2065" t="s">
        <v>29</v>
      </c>
      <c r="N2065" t="s">
        <v>29</v>
      </c>
      <c r="O2065" t="s">
        <v>29</v>
      </c>
      <c r="P2065" t="s">
        <v>29</v>
      </c>
      <c r="Q2065" t="s">
        <v>29</v>
      </c>
      <c r="R2065" t="s">
        <v>29</v>
      </c>
      <c r="S2065">
        <v>11.385011781539101</v>
      </c>
      <c r="T2065" t="s">
        <v>29</v>
      </c>
      <c r="U2065" t="s">
        <v>29</v>
      </c>
      <c r="V2065" t="s">
        <v>29</v>
      </c>
      <c r="W2065" t="s">
        <v>29</v>
      </c>
      <c r="X2065" t="s">
        <v>29</v>
      </c>
      <c r="Y2065" t="s">
        <v>29</v>
      </c>
    </row>
    <row r="2066" spans="1:25" x14ac:dyDescent="0.2">
      <c r="A2066" t="s">
        <v>7770</v>
      </c>
      <c r="B2066" t="s">
        <v>7771</v>
      </c>
      <c r="C2066" t="s">
        <v>7772</v>
      </c>
      <c r="D2066" t="s">
        <v>7773</v>
      </c>
      <c r="E2066" t="s">
        <v>7771</v>
      </c>
      <c r="F2066" t="s">
        <v>28</v>
      </c>
      <c r="G2066" t="s">
        <v>7771</v>
      </c>
      <c r="H2066" t="str">
        <f>"C33A12.1"</f>
        <v>C33A12.1</v>
      </c>
      <c r="I2066" t="s">
        <v>7773</v>
      </c>
      <c r="J2066" t="s">
        <v>29</v>
      </c>
      <c r="K2066">
        <v>13.5855565595801</v>
      </c>
      <c r="L2066">
        <v>10.5080761468344</v>
      </c>
      <c r="M2066" t="s">
        <v>29</v>
      </c>
      <c r="N2066" t="s">
        <v>29</v>
      </c>
      <c r="O2066">
        <v>11.6081617189979</v>
      </c>
      <c r="P2066">
        <v>-0.438654634209316</v>
      </c>
      <c r="Q2066">
        <v>-2.6858339471248498</v>
      </c>
      <c r="R2066">
        <v>1.8085246787062199</v>
      </c>
      <c r="S2066">
        <v>12.1698656138558</v>
      </c>
      <c r="T2066">
        <v>-0.43556390634358899</v>
      </c>
      <c r="U2066">
        <v>-6.6524841440056601</v>
      </c>
      <c r="V2066">
        <v>0.67250098409636005</v>
      </c>
      <c r="W2066">
        <v>0.78365377624830801</v>
      </c>
      <c r="X2066">
        <v>0</v>
      </c>
      <c r="Y2066">
        <v>0</v>
      </c>
    </row>
    <row r="2067" spans="1:25" x14ac:dyDescent="0.2">
      <c r="A2067" t="s">
        <v>7774</v>
      </c>
      <c r="B2067" t="s">
        <v>7775</v>
      </c>
      <c r="C2067" t="s">
        <v>14434</v>
      </c>
      <c r="D2067" t="s">
        <v>7776</v>
      </c>
      <c r="E2067" t="s">
        <v>7775</v>
      </c>
      <c r="F2067" t="s">
        <v>28</v>
      </c>
      <c r="G2067" t="s">
        <v>7777</v>
      </c>
      <c r="H2067" t="str">
        <f>"C33F10.12"</f>
        <v>C33F10.12</v>
      </c>
      <c r="I2067" t="s">
        <v>5479</v>
      </c>
      <c r="J2067">
        <v>13.494289557556</v>
      </c>
      <c r="K2067">
        <v>13.044340679784799</v>
      </c>
      <c r="L2067">
        <v>13.5287072582126</v>
      </c>
      <c r="M2067">
        <v>16.911421139516001</v>
      </c>
      <c r="N2067">
        <v>14.448033028679101</v>
      </c>
      <c r="O2067">
        <v>13.501990178850701</v>
      </c>
      <c r="P2067">
        <v>1.5980356171641401</v>
      </c>
      <c r="Q2067">
        <v>0.44971784837082002</v>
      </c>
      <c r="R2067">
        <v>2.74635338595747</v>
      </c>
      <c r="S2067">
        <v>13.496828322873601</v>
      </c>
      <c r="T2067">
        <v>2.9249394683730299</v>
      </c>
      <c r="U2067">
        <v>-3.4916262661783701</v>
      </c>
      <c r="V2067">
        <v>9.0844208779833797E-3</v>
      </c>
      <c r="W2067">
        <v>4.27661796925164E-2</v>
      </c>
      <c r="X2067">
        <v>1</v>
      </c>
      <c r="Y2067">
        <v>1</v>
      </c>
    </row>
    <row r="2068" spans="1:25" x14ac:dyDescent="0.2">
      <c r="A2068" t="s">
        <v>7778</v>
      </c>
      <c r="B2068" t="s">
        <v>7779</v>
      </c>
      <c r="C2068" t="s">
        <v>7780</v>
      </c>
      <c r="D2068" t="s">
        <v>7781</v>
      </c>
      <c r="E2068" t="s">
        <v>7779</v>
      </c>
      <c r="F2068" t="s">
        <v>28</v>
      </c>
      <c r="G2068" t="s">
        <v>7779</v>
      </c>
      <c r="H2068" t="str">
        <f>"rpap-3"</f>
        <v>rpap-3</v>
      </c>
      <c r="I2068" t="s">
        <v>7781</v>
      </c>
      <c r="J2068">
        <v>11.891846811835901</v>
      </c>
      <c r="K2068" t="s">
        <v>29</v>
      </c>
      <c r="L2068" t="s">
        <v>29</v>
      </c>
      <c r="M2068" t="s">
        <v>29</v>
      </c>
      <c r="N2068" t="s">
        <v>29</v>
      </c>
      <c r="O2068">
        <v>12.522747351123201</v>
      </c>
      <c r="P2068">
        <v>0.63090053928733703</v>
      </c>
      <c r="Q2068">
        <v>-0.35852179091574399</v>
      </c>
      <c r="R2068">
        <v>1.6203228694904199</v>
      </c>
      <c r="S2068">
        <v>12.1973212492898</v>
      </c>
      <c r="T2068">
        <v>1.4450520689077799</v>
      </c>
      <c r="U2068">
        <v>-5.5901035772101402</v>
      </c>
      <c r="V2068">
        <v>0.18273319534449101</v>
      </c>
      <c r="W2068">
        <v>0.33673056171489602</v>
      </c>
      <c r="X2068">
        <v>0</v>
      </c>
      <c r="Y2068">
        <v>0</v>
      </c>
    </row>
    <row r="2069" spans="1:25" x14ac:dyDescent="0.2">
      <c r="A2069" t="s">
        <v>7782</v>
      </c>
      <c r="B2069" t="s">
        <v>7783</v>
      </c>
      <c r="C2069" t="s">
        <v>7784</v>
      </c>
      <c r="D2069" t="s">
        <v>7785</v>
      </c>
      <c r="E2069" t="s">
        <v>7783</v>
      </c>
      <c r="F2069" t="s">
        <v>28</v>
      </c>
      <c r="G2069" t="s">
        <v>7783</v>
      </c>
      <c r="H2069" t="str">
        <f>"sec-10"</f>
        <v>sec-10</v>
      </c>
      <c r="I2069" t="s">
        <v>7785</v>
      </c>
      <c r="J2069" t="s">
        <v>29</v>
      </c>
      <c r="K2069" t="s">
        <v>29</v>
      </c>
      <c r="L2069" t="s">
        <v>29</v>
      </c>
      <c r="M2069" t="s">
        <v>29</v>
      </c>
      <c r="N2069" t="s">
        <v>29</v>
      </c>
      <c r="O2069">
        <v>10.5284679883585</v>
      </c>
      <c r="P2069" t="s">
        <v>29</v>
      </c>
      <c r="Q2069" t="s">
        <v>29</v>
      </c>
      <c r="R2069" t="s">
        <v>29</v>
      </c>
      <c r="S2069">
        <v>11.628759123469001</v>
      </c>
      <c r="T2069" t="s">
        <v>29</v>
      </c>
      <c r="U2069" t="s">
        <v>29</v>
      </c>
      <c r="V2069" t="s">
        <v>29</v>
      </c>
      <c r="W2069" t="s">
        <v>29</v>
      </c>
      <c r="X2069" t="s">
        <v>29</v>
      </c>
      <c r="Y2069" t="s">
        <v>29</v>
      </c>
    </row>
    <row r="2070" spans="1:25" x14ac:dyDescent="0.2">
      <c r="A2070" t="s">
        <v>7786</v>
      </c>
      <c r="B2070" t="s">
        <v>7787</v>
      </c>
      <c r="C2070" t="s">
        <v>7788</v>
      </c>
      <c r="D2070" t="s">
        <v>7789</v>
      </c>
      <c r="E2070" t="s">
        <v>7787</v>
      </c>
      <c r="F2070" t="s">
        <v>28</v>
      </c>
      <c r="G2070" t="s">
        <v>7787</v>
      </c>
      <c r="H2070" t="str">
        <f>"rsp-6"</f>
        <v>rsp-6</v>
      </c>
      <c r="I2070" t="s">
        <v>7789</v>
      </c>
      <c r="J2070">
        <v>10.5681288341466</v>
      </c>
      <c r="K2070">
        <v>11.517007361498599</v>
      </c>
      <c r="L2070">
        <v>11.663305151307499</v>
      </c>
      <c r="M2070" t="s">
        <v>29</v>
      </c>
      <c r="N2070">
        <v>12.495732698931</v>
      </c>
      <c r="O2070">
        <v>12.4165939626201</v>
      </c>
      <c r="P2070">
        <v>1.20668288179128</v>
      </c>
      <c r="Q2070">
        <v>-0.191893652613607</v>
      </c>
      <c r="R2070">
        <v>2.6052594161961702</v>
      </c>
      <c r="S2070">
        <v>11.5423642295123</v>
      </c>
      <c r="T2070">
        <v>1.8518201580495399</v>
      </c>
      <c r="U2070">
        <v>-5.4163885296968104</v>
      </c>
      <c r="V2070">
        <v>8.5416109731527495E-2</v>
      </c>
      <c r="W2070">
        <v>0.195892043096351</v>
      </c>
      <c r="X2070">
        <v>0</v>
      </c>
      <c r="Y2070">
        <v>0</v>
      </c>
    </row>
    <row r="2071" spans="1:25" x14ac:dyDescent="0.2">
      <c r="A2071" t="s">
        <v>7790</v>
      </c>
      <c r="B2071" t="s">
        <v>7791</v>
      </c>
      <c r="C2071" t="s">
        <v>7792</v>
      </c>
      <c r="D2071" t="s">
        <v>7793</v>
      </c>
      <c r="E2071" t="s">
        <v>7791</v>
      </c>
      <c r="F2071" t="s">
        <v>28</v>
      </c>
      <c r="G2071" t="s">
        <v>7791</v>
      </c>
      <c r="H2071" t="str">
        <f>"zgpa-1"</f>
        <v>zgpa-1</v>
      </c>
      <c r="I2071" t="s">
        <v>7793</v>
      </c>
      <c r="J2071">
        <v>11.1082357309005</v>
      </c>
      <c r="K2071" t="s">
        <v>29</v>
      </c>
      <c r="L2071">
        <v>11.103706817315199</v>
      </c>
      <c r="M2071" t="s">
        <v>29</v>
      </c>
      <c r="N2071" t="s">
        <v>29</v>
      </c>
      <c r="O2071" t="s">
        <v>29</v>
      </c>
      <c r="P2071" t="s">
        <v>29</v>
      </c>
      <c r="Q2071" t="s">
        <v>29</v>
      </c>
      <c r="R2071" t="s">
        <v>29</v>
      </c>
      <c r="S2071">
        <v>11.615501231414401</v>
      </c>
      <c r="T2071" t="s">
        <v>29</v>
      </c>
      <c r="U2071" t="s">
        <v>29</v>
      </c>
      <c r="V2071" t="s">
        <v>29</v>
      </c>
      <c r="W2071" t="s">
        <v>29</v>
      </c>
      <c r="X2071" t="s">
        <v>29</v>
      </c>
      <c r="Y2071" t="s">
        <v>29</v>
      </c>
    </row>
    <row r="2072" spans="1:25" x14ac:dyDescent="0.2">
      <c r="A2072" t="s">
        <v>7794</v>
      </c>
      <c r="B2072" t="s">
        <v>7795</v>
      </c>
      <c r="C2072" t="s">
        <v>7796</v>
      </c>
      <c r="D2072" t="s">
        <v>7797</v>
      </c>
      <c r="E2072" t="s">
        <v>7795</v>
      </c>
      <c r="F2072" t="s">
        <v>28</v>
      </c>
      <c r="G2072" t="s">
        <v>7795</v>
      </c>
      <c r="H2072" t="str">
        <f>"C34D4.4"</f>
        <v>C34D4.4</v>
      </c>
      <c r="I2072" t="s">
        <v>7797</v>
      </c>
      <c r="J2072">
        <v>11.529718304080401</v>
      </c>
      <c r="K2072">
        <v>11.3102722764687</v>
      </c>
      <c r="L2072">
        <v>11.9013781132163</v>
      </c>
      <c r="M2072" t="s">
        <v>29</v>
      </c>
      <c r="N2072" t="s">
        <v>29</v>
      </c>
      <c r="O2072">
        <v>10.331943844829301</v>
      </c>
      <c r="P2072">
        <v>-1.2485123864258501</v>
      </c>
      <c r="Q2072">
        <v>-2.0654670906715999</v>
      </c>
      <c r="R2072">
        <v>-0.43155768218009799</v>
      </c>
      <c r="S2072">
        <v>11.7565597870432</v>
      </c>
      <c r="T2072">
        <v>-3.2593911594361602</v>
      </c>
      <c r="U2072">
        <v>-2.6008032594314598</v>
      </c>
      <c r="V2072">
        <v>5.3218323452842598E-3</v>
      </c>
      <c r="W2072">
        <v>2.9371766724173E-2</v>
      </c>
      <c r="X2072">
        <v>-1</v>
      </c>
      <c r="Y2072">
        <v>-1</v>
      </c>
    </row>
    <row r="2073" spans="1:25" x14ac:dyDescent="0.2">
      <c r="A2073" t="s">
        <v>7798</v>
      </c>
      <c r="B2073" t="s">
        <v>7799</v>
      </c>
      <c r="C2073" t="s">
        <v>7800</v>
      </c>
      <c r="D2073" t="s">
        <v>7801</v>
      </c>
      <c r="E2073" t="s">
        <v>7799</v>
      </c>
      <c r="F2073" t="s">
        <v>28</v>
      </c>
      <c r="G2073" t="s">
        <v>7799</v>
      </c>
      <c r="H2073" t="str">
        <f>"rsd-3"</f>
        <v>rsd-3</v>
      </c>
      <c r="I2073" t="s">
        <v>7801</v>
      </c>
      <c r="J2073" t="s">
        <v>29</v>
      </c>
      <c r="K2073" t="s">
        <v>29</v>
      </c>
      <c r="L2073">
        <v>11.0015702905054</v>
      </c>
      <c r="M2073" t="s">
        <v>29</v>
      </c>
      <c r="N2073">
        <v>14.8626344171856</v>
      </c>
      <c r="O2073">
        <v>15.812137757371</v>
      </c>
      <c r="P2073">
        <v>4.3358157967729101</v>
      </c>
      <c r="Q2073">
        <v>2.9997754469406099</v>
      </c>
      <c r="R2073">
        <v>5.6718561466052204</v>
      </c>
      <c r="S2073">
        <v>14.0983303239032</v>
      </c>
      <c r="T2073">
        <v>6.9213825655729302</v>
      </c>
      <c r="U2073">
        <v>4.34817232471213</v>
      </c>
      <c r="V2073" s="2">
        <v>5.0711807534385604E-6</v>
      </c>
      <c r="W2073">
        <v>1.6982692818617501E-4</v>
      </c>
      <c r="X2073">
        <v>1</v>
      </c>
      <c r="Y2073">
        <v>1</v>
      </c>
    </row>
    <row r="2074" spans="1:25" x14ac:dyDescent="0.2">
      <c r="A2074" t="s">
        <v>7802</v>
      </c>
      <c r="B2074" t="s">
        <v>7803</v>
      </c>
      <c r="C2074" t="s">
        <v>7804</v>
      </c>
      <c r="D2074" t="s">
        <v>7805</v>
      </c>
      <c r="E2074" t="s">
        <v>7803</v>
      </c>
      <c r="F2074" t="s">
        <v>28</v>
      </c>
      <c r="G2074" t="s">
        <v>7803</v>
      </c>
      <c r="H2074" t="str">
        <f>"C35A5.8"</f>
        <v>C35A5.8</v>
      </c>
      <c r="I2074" t="s">
        <v>7805</v>
      </c>
      <c r="J2074">
        <v>14.8709006474806</v>
      </c>
      <c r="K2074">
        <v>14.7099745836578</v>
      </c>
      <c r="L2074">
        <v>14.9154597264078</v>
      </c>
      <c r="M2074">
        <v>14.5246985500092</v>
      </c>
      <c r="N2074">
        <v>14.405434955817601</v>
      </c>
      <c r="O2074">
        <v>14.8266476275481</v>
      </c>
      <c r="P2074">
        <v>-0.24651794139043101</v>
      </c>
      <c r="Q2074">
        <v>-0.63479841152421301</v>
      </c>
      <c r="R2074">
        <v>0.14176252874335099</v>
      </c>
      <c r="S2074">
        <v>15.038860512621399</v>
      </c>
      <c r="T2074">
        <v>-1.3344290835575201</v>
      </c>
      <c r="U2074">
        <v>-6.2656863443935604</v>
      </c>
      <c r="V2074">
        <v>0.19879590434876601</v>
      </c>
      <c r="W2074">
        <v>0.35804463540702602</v>
      </c>
      <c r="X2074">
        <v>0</v>
      </c>
      <c r="Y2074">
        <v>0</v>
      </c>
    </row>
    <row r="2075" spans="1:25" x14ac:dyDescent="0.2">
      <c r="A2075" t="s">
        <v>7806</v>
      </c>
      <c r="B2075" t="s">
        <v>7807</v>
      </c>
      <c r="C2075" t="s">
        <v>7808</v>
      </c>
      <c r="D2075" t="s">
        <v>3312</v>
      </c>
      <c r="E2075" t="s">
        <v>7807</v>
      </c>
      <c r="F2075" t="s">
        <v>28</v>
      </c>
      <c r="G2075" t="s">
        <v>7807</v>
      </c>
      <c r="H2075" t="str">
        <f>"col-175"</f>
        <v>col-175</v>
      </c>
      <c r="I2075" t="s">
        <v>3312</v>
      </c>
      <c r="J2075">
        <v>12.2247105949094</v>
      </c>
      <c r="K2075">
        <v>12.221335004273</v>
      </c>
      <c r="L2075">
        <v>12.6195727913108</v>
      </c>
      <c r="M2075" t="s">
        <v>29</v>
      </c>
      <c r="N2075">
        <v>12.2317231163193</v>
      </c>
      <c r="O2075">
        <v>12.1541000542746</v>
      </c>
      <c r="P2075">
        <v>-0.16229454486744499</v>
      </c>
      <c r="Q2075">
        <v>-0.85196336668424899</v>
      </c>
      <c r="R2075">
        <v>0.52737427694935901</v>
      </c>
      <c r="S2075">
        <v>12.263498723267199</v>
      </c>
      <c r="T2075">
        <v>-0.49912906370392801</v>
      </c>
      <c r="U2075">
        <v>-6.9150854414403602</v>
      </c>
      <c r="V2075">
        <v>0.62452572091740599</v>
      </c>
      <c r="W2075">
        <v>0.74882551076539505</v>
      </c>
      <c r="X2075">
        <v>0</v>
      </c>
      <c r="Y2075">
        <v>0</v>
      </c>
    </row>
    <row r="2076" spans="1:25" x14ac:dyDescent="0.2">
      <c r="A2076" t="s">
        <v>7809</v>
      </c>
      <c r="B2076" t="s">
        <v>7810</v>
      </c>
      <c r="C2076" t="s">
        <v>7811</v>
      </c>
      <c r="D2076" t="s">
        <v>7812</v>
      </c>
      <c r="E2076" t="s">
        <v>7810</v>
      </c>
      <c r="F2076" t="s">
        <v>28</v>
      </c>
      <c r="G2076" t="s">
        <v>7810</v>
      </c>
      <c r="H2076" t="str">
        <f>"C35D10.10"</f>
        <v>C35D10.10</v>
      </c>
      <c r="I2076" t="s">
        <v>7812</v>
      </c>
      <c r="J2076">
        <v>12.6055602881359</v>
      </c>
      <c r="K2076">
        <v>12.2198362960444</v>
      </c>
      <c r="L2076">
        <v>12.8453018288777</v>
      </c>
      <c r="M2076">
        <v>10.992453382568799</v>
      </c>
      <c r="N2076">
        <v>11.5231825593018</v>
      </c>
      <c r="O2076">
        <v>11.9355449966388</v>
      </c>
      <c r="P2076">
        <v>-1.07317249151618</v>
      </c>
      <c r="Q2076">
        <v>-1.6504282767410401</v>
      </c>
      <c r="R2076">
        <v>-0.49591670629131801</v>
      </c>
      <c r="S2076">
        <v>12.579438265423301</v>
      </c>
      <c r="T2076">
        <v>-3.9649968231474402</v>
      </c>
      <c r="U2076">
        <v>-1.4799471500210599</v>
      </c>
      <c r="V2076">
        <v>1.2606059631998601E-3</v>
      </c>
      <c r="W2076">
        <v>1.0706068511671401E-2</v>
      </c>
      <c r="X2076">
        <v>-1</v>
      </c>
      <c r="Y2076">
        <v>-1</v>
      </c>
    </row>
    <row r="2077" spans="1:25" x14ac:dyDescent="0.2">
      <c r="A2077" t="s">
        <v>7813</v>
      </c>
      <c r="B2077" t="s">
        <v>7814</v>
      </c>
      <c r="C2077" t="s">
        <v>7815</v>
      </c>
      <c r="D2077" t="s">
        <v>7816</v>
      </c>
      <c r="E2077" t="s">
        <v>7814</v>
      </c>
      <c r="F2077" t="s">
        <v>28</v>
      </c>
      <c r="G2077" t="s">
        <v>7814</v>
      </c>
      <c r="H2077" t="str">
        <f>"coq-8"</f>
        <v>coq-8</v>
      </c>
      <c r="I2077" t="s">
        <v>7816</v>
      </c>
      <c r="J2077">
        <v>11.682433650772101</v>
      </c>
      <c r="K2077">
        <v>11.816184200640199</v>
      </c>
      <c r="L2077">
        <v>12.231727580980699</v>
      </c>
      <c r="M2077" t="s">
        <v>29</v>
      </c>
      <c r="N2077">
        <v>11.219074812996899</v>
      </c>
      <c r="O2077">
        <v>12.0431740257189</v>
      </c>
      <c r="P2077">
        <v>-0.27899072477314102</v>
      </c>
      <c r="Q2077">
        <v>-0.85392532842299196</v>
      </c>
      <c r="R2077">
        <v>0.29594387887670898</v>
      </c>
      <c r="S2077">
        <v>12.1158818594233</v>
      </c>
      <c r="T2077">
        <v>-1.0242862195942399</v>
      </c>
      <c r="U2077">
        <v>-6.5105476060085197</v>
      </c>
      <c r="V2077">
        <v>0.32014326726157599</v>
      </c>
      <c r="W2077">
        <v>0.49104481747892897</v>
      </c>
      <c r="X2077">
        <v>0</v>
      </c>
      <c r="Y2077">
        <v>0</v>
      </c>
    </row>
    <row r="2078" spans="1:25" x14ac:dyDescent="0.2">
      <c r="A2078" t="s">
        <v>7817</v>
      </c>
      <c r="B2078" t="s">
        <v>7818</v>
      </c>
      <c r="C2078" t="s">
        <v>7819</v>
      </c>
      <c r="D2078" t="s">
        <v>595</v>
      </c>
      <c r="E2078" t="s">
        <v>7818</v>
      </c>
      <c r="F2078" t="s">
        <v>28</v>
      </c>
      <c r="G2078" t="s">
        <v>7818</v>
      </c>
      <c r="H2078" t="str">
        <f>"maph-1.3"</f>
        <v>maph-1.3</v>
      </c>
      <c r="I2078" t="s">
        <v>595</v>
      </c>
      <c r="J2078">
        <v>12.9173693556068</v>
      </c>
      <c r="K2078">
        <v>13.489522416460501</v>
      </c>
      <c r="L2078">
        <v>13.871862240606299</v>
      </c>
      <c r="M2078" t="s">
        <v>29</v>
      </c>
      <c r="N2078" t="s">
        <v>29</v>
      </c>
      <c r="O2078" t="s">
        <v>29</v>
      </c>
      <c r="P2078" t="s">
        <v>29</v>
      </c>
      <c r="Q2078" t="s">
        <v>29</v>
      </c>
      <c r="R2078" t="s">
        <v>29</v>
      </c>
      <c r="S2078">
        <v>12.9317354190944</v>
      </c>
      <c r="T2078" t="s">
        <v>29</v>
      </c>
      <c r="U2078" t="s">
        <v>29</v>
      </c>
      <c r="V2078" t="s">
        <v>29</v>
      </c>
      <c r="W2078" t="s">
        <v>29</v>
      </c>
      <c r="X2078" t="s">
        <v>29</v>
      </c>
      <c r="Y2078" t="s">
        <v>29</v>
      </c>
    </row>
    <row r="2079" spans="1:25" x14ac:dyDescent="0.2">
      <c r="A2079" t="s">
        <v>7820</v>
      </c>
      <c r="B2079" t="s">
        <v>7821</v>
      </c>
      <c r="C2079" t="s">
        <v>7822</v>
      </c>
      <c r="D2079" t="s">
        <v>7823</v>
      </c>
      <c r="E2079" t="s">
        <v>7821</v>
      </c>
      <c r="F2079" t="s">
        <v>28</v>
      </c>
      <c r="G2079" t="s">
        <v>7821</v>
      </c>
      <c r="H2079" t="str">
        <f>"acs-19"</f>
        <v>acs-19</v>
      </c>
      <c r="I2079" t="s">
        <v>7823</v>
      </c>
      <c r="J2079">
        <v>17.709918326630198</v>
      </c>
      <c r="K2079">
        <v>17.731216852628901</v>
      </c>
      <c r="L2079">
        <v>17.015259400289199</v>
      </c>
      <c r="M2079">
        <v>16.847727701177401</v>
      </c>
      <c r="N2079">
        <v>16.769764202675599</v>
      </c>
      <c r="O2079">
        <v>16.824015623644499</v>
      </c>
      <c r="P2079">
        <v>-0.67162901735027702</v>
      </c>
      <c r="Q2079">
        <v>-1.09246765411559</v>
      </c>
      <c r="R2079">
        <v>-0.250790380584964</v>
      </c>
      <c r="S2079">
        <v>16.5866949506038</v>
      </c>
      <c r="T2079">
        <v>-3.35433442537362</v>
      </c>
      <c r="U2079">
        <v>-2.5830106777258601</v>
      </c>
      <c r="V2079">
        <v>3.5535676636374099E-3</v>
      </c>
      <c r="W2079">
        <v>2.2313502331048299E-2</v>
      </c>
      <c r="X2079">
        <v>0</v>
      </c>
      <c r="Y2079">
        <v>0</v>
      </c>
    </row>
    <row r="2080" spans="1:25" x14ac:dyDescent="0.2">
      <c r="A2080" t="s">
        <v>7824</v>
      </c>
      <c r="B2080" t="s">
        <v>7825</v>
      </c>
      <c r="C2080" t="s">
        <v>7826</v>
      </c>
      <c r="D2080" t="s">
        <v>7827</v>
      </c>
      <c r="E2080" t="s">
        <v>7825</v>
      </c>
      <c r="F2080" t="s">
        <v>28</v>
      </c>
      <c r="G2080" t="s">
        <v>7825</v>
      </c>
      <c r="H2080" t="str">
        <f>"mel-28"</f>
        <v>mel-28</v>
      </c>
      <c r="I2080" t="s">
        <v>7827</v>
      </c>
      <c r="J2080">
        <v>13.3350332784985</v>
      </c>
      <c r="K2080">
        <v>13.253310501572701</v>
      </c>
      <c r="L2080">
        <v>13.1580356457162</v>
      </c>
      <c r="M2080" t="s">
        <v>29</v>
      </c>
      <c r="N2080">
        <v>12.823567985268401</v>
      </c>
      <c r="O2080">
        <v>12.8319183882759</v>
      </c>
      <c r="P2080">
        <v>-0.42104995515705401</v>
      </c>
      <c r="Q2080">
        <v>-0.86727729566058798</v>
      </c>
      <c r="R2080">
        <v>2.5177385346480199E-2</v>
      </c>
      <c r="S2080">
        <v>13.517475954382</v>
      </c>
      <c r="T2080">
        <v>-1.9917162305149101</v>
      </c>
      <c r="U2080">
        <v>-5.1739911521667201</v>
      </c>
      <c r="V2080">
        <v>6.2820972033715602E-2</v>
      </c>
      <c r="W2080">
        <v>0.16016505893802099</v>
      </c>
      <c r="X2080">
        <v>0</v>
      </c>
      <c r="Y2080">
        <v>0</v>
      </c>
    </row>
    <row r="2081" spans="1:25" x14ac:dyDescent="0.2">
      <c r="A2081" t="s">
        <v>7828</v>
      </c>
      <c r="B2081" t="s">
        <v>7829</v>
      </c>
      <c r="C2081" t="s">
        <v>7830</v>
      </c>
      <c r="D2081" t="s">
        <v>522</v>
      </c>
      <c r="E2081" t="s">
        <v>7829</v>
      </c>
      <c r="F2081" t="s">
        <v>28</v>
      </c>
      <c r="G2081" t="s">
        <v>7829</v>
      </c>
      <c r="H2081" t="str">
        <f>"mip-1"</f>
        <v>mip-1</v>
      </c>
      <c r="I2081" t="s">
        <v>522</v>
      </c>
      <c r="J2081">
        <v>10.0033074843442</v>
      </c>
      <c r="K2081">
        <v>13.5031469415605</v>
      </c>
      <c r="L2081">
        <v>10.8325749351255</v>
      </c>
      <c r="M2081" t="s">
        <v>29</v>
      </c>
      <c r="N2081" t="s">
        <v>29</v>
      </c>
      <c r="O2081" t="s">
        <v>29</v>
      </c>
      <c r="P2081" t="s">
        <v>29</v>
      </c>
      <c r="Q2081" t="s">
        <v>29</v>
      </c>
      <c r="R2081" t="s">
        <v>29</v>
      </c>
      <c r="S2081">
        <v>12.2367924788616</v>
      </c>
      <c r="T2081" t="s">
        <v>29</v>
      </c>
      <c r="U2081" t="s">
        <v>29</v>
      </c>
      <c r="V2081" t="s">
        <v>29</v>
      </c>
      <c r="W2081" t="s">
        <v>29</v>
      </c>
      <c r="X2081" t="s">
        <v>29</v>
      </c>
      <c r="Y2081" t="s">
        <v>29</v>
      </c>
    </row>
    <row r="2082" spans="1:25" x14ac:dyDescent="0.2">
      <c r="A2082" t="s">
        <v>7831</v>
      </c>
      <c r="B2082" t="s">
        <v>7832</v>
      </c>
      <c r="C2082" t="s">
        <v>7833</v>
      </c>
      <c r="D2082" t="s">
        <v>7834</v>
      </c>
      <c r="E2082" t="s">
        <v>7832</v>
      </c>
      <c r="F2082" t="s">
        <v>28</v>
      </c>
      <c r="G2082" t="s">
        <v>7832</v>
      </c>
      <c r="H2082" t="str">
        <f>"C38H2.2"</f>
        <v>C38H2.2</v>
      </c>
      <c r="I2082" t="s">
        <v>7834</v>
      </c>
      <c r="J2082">
        <v>10.7100836404323</v>
      </c>
      <c r="K2082" t="s">
        <v>29</v>
      </c>
      <c r="L2082" t="s">
        <v>29</v>
      </c>
      <c r="M2082" t="s">
        <v>29</v>
      </c>
      <c r="N2082" t="s">
        <v>29</v>
      </c>
      <c r="O2082" t="s">
        <v>29</v>
      </c>
      <c r="P2082" t="s">
        <v>29</v>
      </c>
      <c r="Q2082" t="s">
        <v>29</v>
      </c>
      <c r="R2082" t="s">
        <v>29</v>
      </c>
      <c r="S2082">
        <v>10.3621358667852</v>
      </c>
      <c r="T2082" t="s">
        <v>29</v>
      </c>
      <c r="U2082" t="s">
        <v>29</v>
      </c>
      <c r="V2082" t="s">
        <v>29</v>
      </c>
      <c r="W2082" t="s">
        <v>29</v>
      </c>
      <c r="X2082" t="s">
        <v>29</v>
      </c>
      <c r="Y2082" t="s">
        <v>29</v>
      </c>
    </row>
    <row r="2083" spans="1:25" x14ac:dyDescent="0.2">
      <c r="A2083" t="s">
        <v>7835</v>
      </c>
      <c r="B2083" t="s">
        <v>7836</v>
      </c>
      <c r="C2083" t="s">
        <v>7837</v>
      </c>
      <c r="D2083" t="s">
        <v>1350</v>
      </c>
      <c r="E2083" t="s">
        <v>7836</v>
      </c>
      <c r="F2083" t="s">
        <v>28</v>
      </c>
      <c r="G2083" t="s">
        <v>7836</v>
      </c>
      <c r="H2083" t="str">
        <f>"C39D10.7"</f>
        <v>C39D10.7</v>
      </c>
      <c r="I2083" t="s">
        <v>1350</v>
      </c>
      <c r="J2083">
        <v>14.513682428659701</v>
      </c>
      <c r="K2083">
        <v>15.0638764844701</v>
      </c>
      <c r="L2083">
        <v>16.122713744334501</v>
      </c>
      <c r="M2083">
        <v>18.834106464913798</v>
      </c>
      <c r="N2083">
        <v>17.040502409560901</v>
      </c>
      <c r="O2083">
        <v>16.909174860635598</v>
      </c>
      <c r="P2083">
        <v>2.3611703592153401</v>
      </c>
      <c r="Q2083">
        <v>1.19239146327039</v>
      </c>
      <c r="R2083">
        <v>3.5299492551602798</v>
      </c>
      <c r="S2083">
        <v>15.566768076894499</v>
      </c>
      <c r="T2083">
        <v>4.2460731784305903</v>
      </c>
      <c r="U2083">
        <v>-0.62902408148944799</v>
      </c>
      <c r="V2083">
        <v>4.9154768335370701E-4</v>
      </c>
      <c r="W2083">
        <v>5.4051903837439297E-3</v>
      </c>
      <c r="X2083">
        <v>1</v>
      </c>
      <c r="Y2083">
        <v>1</v>
      </c>
    </row>
    <row r="2084" spans="1:25" x14ac:dyDescent="0.2">
      <c r="A2084" t="s">
        <v>7838</v>
      </c>
      <c r="B2084" t="s">
        <v>7839</v>
      </c>
      <c r="C2084" t="s">
        <v>7840</v>
      </c>
      <c r="D2084" t="s">
        <v>7841</v>
      </c>
      <c r="E2084" t="s">
        <v>7839</v>
      </c>
      <c r="F2084" t="s">
        <v>28</v>
      </c>
      <c r="G2084" t="s">
        <v>7839</v>
      </c>
      <c r="H2084" t="str">
        <f>"rfc-3"</f>
        <v>rfc-3</v>
      </c>
      <c r="I2084" t="s">
        <v>7841</v>
      </c>
      <c r="J2084">
        <v>13.725529968129401</v>
      </c>
      <c r="K2084">
        <v>13.441506370977599</v>
      </c>
      <c r="L2084">
        <v>13.7825133302496</v>
      </c>
      <c r="M2084">
        <v>14.234217152468499</v>
      </c>
      <c r="N2084">
        <v>13.4966044395218</v>
      </c>
      <c r="O2084">
        <v>13.8532436342201</v>
      </c>
      <c r="P2084">
        <v>0.21150518561796999</v>
      </c>
      <c r="Q2084">
        <v>-0.22348774004687</v>
      </c>
      <c r="R2084">
        <v>0.64649811128280898</v>
      </c>
      <c r="S2084">
        <v>14.0130958584129</v>
      </c>
      <c r="T2084">
        <v>1.0219539788098899</v>
      </c>
      <c r="U2084">
        <v>-6.6237026931102196</v>
      </c>
      <c r="V2084">
        <v>0.320420489993886</v>
      </c>
      <c r="W2084">
        <v>0.49104481747892897</v>
      </c>
      <c r="X2084">
        <v>0</v>
      </c>
      <c r="Y2084">
        <v>0</v>
      </c>
    </row>
    <row r="2085" spans="1:25" x14ac:dyDescent="0.2">
      <c r="A2085" t="s">
        <v>7842</v>
      </c>
      <c r="B2085" t="s">
        <v>7843</v>
      </c>
      <c r="C2085" t="s">
        <v>7844</v>
      </c>
      <c r="D2085" t="s">
        <v>2221</v>
      </c>
      <c r="E2085" t="s">
        <v>7843</v>
      </c>
      <c r="F2085" t="s">
        <v>28</v>
      </c>
      <c r="G2085" t="s">
        <v>7843</v>
      </c>
      <c r="H2085" t="str">
        <f>"ttbk-8.2"</f>
        <v>ttbk-8.2</v>
      </c>
      <c r="I2085" t="s">
        <v>2221</v>
      </c>
      <c r="J2085">
        <v>14.169345698813199</v>
      </c>
      <c r="K2085">
        <v>14.1526520067444</v>
      </c>
      <c r="L2085">
        <v>14.317257204809399</v>
      </c>
      <c r="M2085" t="s">
        <v>29</v>
      </c>
      <c r="N2085">
        <v>13.7861705832049</v>
      </c>
      <c r="O2085">
        <v>14.0333583138155</v>
      </c>
      <c r="P2085">
        <v>-0.303320521612154</v>
      </c>
      <c r="Q2085">
        <v>-0.92871836695010201</v>
      </c>
      <c r="R2085">
        <v>0.32207732372579401</v>
      </c>
      <c r="S2085">
        <v>13.5772808517222</v>
      </c>
      <c r="T2085">
        <v>-1.0237535639470501</v>
      </c>
      <c r="U2085">
        <v>-6.5110872810297504</v>
      </c>
      <c r="V2085">
        <v>0.32038759393456701</v>
      </c>
      <c r="W2085">
        <v>0.49104481747892897</v>
      </c>
      <c r="X2085">
        <v>0</v>
      </c>
      <c r="Y2085">
        <v>0</v>
      </c>
    </row>
    <row r="2086" spans="1:25" x14ac:dyDescent="0.2">
      <c r="A2086" t="s">
        <v>7845</v>
      </c>
      <c r="B2086" t="s">
        <v>7846</v>
      </c>
      <c r="C2086" t="s">
        <v>7847</v>
      </c>
      <c r="D2086" t="s">
        <v>1292</v>
      </c>
      <c r="E2086" t="s">
        <v>7846</v>
      </c>
      <c r="F2086" t="s">
        <v>28</v>
      </c>
      <c r="G2086" t="s">
        <v>7846</v>
      </c>
      <c r="H2086" t="str">
        <f>"rpc-1"</f>
        <v>rpc-1</v>
      </c>
      <c r="I2086" t="s">
        <v>1292</v>
      </c>
      <c r="J2086" t="s">
        <v>29</v>
      </c>
      <c r="K2086" t="s">
        <v>29</v>
      </c>
      <c r="L2086">
        <v>11.7064817527642</v>
      </c>
      <c r="M2086" t="s">
        <v>29</v>
      </c>
      <c r="N2086" t="s">
        <v>29</v>
      </c>
      <c r="O2086" t="s">
        <v>29</v>
      </c>
      <c r="P2086" t="s">
        <v>29</v>
      </c>
      <c r="Q2086" t="s">
        <v>29</v>
      </c>
      <c r="R2086" t="s">
        <v>29</v>
      </c>
      <c r="S2086">
        <v>11.6313592633593</v>
      </c>
      <c r="T2086" t="s">
        <v>29</v>
      </c>
      <c r="U2086" t="s">
        <v>29</v>
      </c>
      <c r="V2086" t="s">
        <v>29</v>
      </c>
      <c r="W2086" t="s">
        <v>29</v>
      </c>
      <c r="X2086" t="s">
        <v>29</v>
      </c>
      <c r="Y2086" t="s">
        <v>29</v>
      </c>
    </row>
    <row r="2087" spans="1:25" x14ac:dyDescent="0.2">
      <c r="A2087" t="s">
        <v>7848</v>
      </c>
      <c r="B2087" t="s">
        <v>7849</v>
      </c>
      <c r="C2087" t="s">
        <v>7850</v>
      </c>
      <c r="D2087" t="s">
        <v>1866</v>
      </c>
      <c r="E2087" t="s">
        <v>7849</v>
      </c>
      <c r="F2087" t="s">
        <v>28</v>
      </c>
      <c r="G2087" t="s">
        <v>7849</v>
      </c>
      <c r="H2087" t="str">
        <f>"pmp-1"</f>
        <v>pmp-1</v>
      </c>
      <c r="I2087" t="s">
        <v>1866</v>
      </c>
      <c r="J2087">
        <v>15.176437492416699</v>
      </c>
      <c r="K2087">
        <v>15.232784034941799</v>
      </c>
      <c r="L2087">
        <v>15.173187258056201</v>
      </c>
      <c r="M2087">
        <v>14.918110919676</v>
      </c>
      <c r="N2087">
        <v>14.7892138316796</v>
      </c>
      <c r="O2087">
        <v>15.155269395229</v>
      </c>
      <c r="P2087">
        <v>-0.239938212943345</v>
      </c>
      <c r="Q2087">
        <v>-0.59152311597765905</v>
      </c>
      <c r="R2087">
        <v>0.111646690090969</v>
      </c>
      <c r="S2087">
        <v>15.2647072481682</v>
      </c>
      <c r="T2087">
        <v>-1.4343717221179599</v>
      </c>
      <c r="U2087">
        <v>-6.1346117451290496</v>
      </c>
      <c r="V2087">
        <v>0.168711226124245</v>
      </c>
      <c r="W2087">
        <v>0.31891724399496502</v>
      </c>
      <c r="X2087">
        <v>0</v>
      </c>
      <c r="Y2087">
        <v>0</v>
      </c>
    </row>
    <row r="2088" spans="1:25" x14ac:dyDescent="0.2">
      <c r="A2088" t="s">
        <v>7851</v>
      </c>
      <c r="B2088" t="s">
        <v>7852</v>
      </c>
      <c r="C2088" t="s">
        <v>7853</v>
      </c>
      <c r="D2088" t="s">
        <v>7854</v>
      </c>
      <c r="E2088" t="s">
        <v>7852</v>
      </c>
      <c r="F2088" t="s">
        <v>28</v>
      </c>
      <c r="G2088" t="s">
        <v>7852</v>
      </c>
      <c r="H2088" t="str">
        <f>"pmp-2"</f>
        <v>pmp-2</v>
      </c>
      <c r="I2088" t="s">
        <v>7854</v>
      </c>
      <c r="J2088">
        <v>15.4607389758227</v>
      </c>
      <c r="K2088">
        <v>15.7847656568693</v>
      </c>
      <c r="L2088">
        <v>15.964743618495699</v>
      </c>
      <c r="M2088">
        <v>15.039986863728901</v>
      </c>
      <c r="N2088">
        <v>15.8536531765993</v>
      </c>
      <c r="O2088">
        <v>15.7843218287884</v>
      </c>
      <c r="P2088">
        <v>-0.177428794023717</v>
      </c>
      <c r="Q2088">
        <v>-0.62107997430006401</v>
      </c>
      <c r="R2088">
        <v>0.26622238625263001</v>
      </c>
      <c r="S2088">
        <v>16.1691667024525</v>
      </c>
      <c r="T2088">
        <v>-0.84057210317423903</v>
      </c>
      <c r="U2088">
        <v>-6.7926790853716597</v>
      </c>
      <c r="V2088">
        <v>0.411678736075269</v>
      </c>
      <c r="W2088">
        <v>0.579101305591322</v>
      </c>
      <c r="X2088">
        <v>0</v>
      </c>
      <c r="Y2088">
        <v>0</v>
      </c>
    </row>
    <row r="2089" spans="1:25" x14ac:dyDescent="0.2">
      <c r="A2089" t="s">
        <v>7855</v>
      </c>
      <c r="B2089" t="s">
        <v>7856</v>
      </c>
      <c r="C2089" t="s">
        <v>7857</v>
      </c>
      <c r="D2089" t="s">
        <v>6975</v>
      </c>
      <c r="E2089" t="s">
        <v>7856</v>
      </c>
      <c r="F2089" t="s">
        <v>28</v>
      </c>
      <c r="G2089" t="s">
        <v>7856</v>
      </c>
      <c r="H2089" t="str">
        <f>"acer-1"</f>
        <v>acer-1</v>
      </c>
      <c r="I2089" t="s">
        <v>6975</v>
      </c>
      <c r="J2089">
        <v>19.3171502354033</v>
      </c>
      <c r="K2089">
        <v>19.463831648768299</v>
      </c>
      <c r="L2089">
        <v>18.911649119084199</v>
      </c>
      <c r="M2089">
        <v>18.170455327393999</v>
      </c>
      <c r="N2089">
        <v>18.515395661963101</v>
      </c>
      <c r="O2089">
        <v>18.675181438751299</v>
      </c>
      <c r="P2089">
        <v>-0.77719952504911305</v>
      </c>
      <c r="Q2089">
        <v>-1.3738355329826499</v>
      </c>
      <c r="R2089">
        <v>-0.180563517115578</v>
      </c>
      <c r="S2089">
        <v>18.625158758736902</v>
      </c>
      <c r="T2089">
        <v>-2.7378873772291001</v>
      </c>
      <c r="U2089">
        <v>-3.8744259849350899</v>
      </c>
      <c r="V2089">
        <v>1.3566755106749E-2</v>
      </c>
      <c r="W2089">
        <v>5.6457327930858399E-2</v>
      </c>
      <c r="X2089">
        <v>0</v>
      </c>
      <c r="Y2089">
        <v>0</v>
      </c>
    </row>
    <row r="2090" spans="1:25" x14ac:dyDescent="0.2">
      <c r="A2090" t="s">
        <v>7858</v>
      </c>
      <c r="B2090" t="s">
        <v>7859</v>
      </c>
      <c r="C2090" t="s">
        <v>7860</v>
      </c>
      <c r="D2090" t="s">
        <v>7861</v>
      </c>
      <c r="E2090" t="s">
        <v>7859</v>
      </c>
      <c r="F2090" t="s">
        <v>28</v>
      </c>
      <c r="G2090" t="s">
        <v>7859</v>
      </c>
      <c r="H2090" t="str">
        <f>"C44B7.11"</f>
        <v>C44B7.11</v>
      </c>
      <c r="I2090" t="s">
        <v>7861</v>
      </c>
      <c r="J2090">
        <v>12.5411249823623</v>
      </c>
      <c r="K2090" t="s">
        <v>29</v>
      </c>
      <c r="L2090" t="s">
        <v>29</v>
      </c>
      <c r="M2090" t="s">
        <v>29</v>
      </c>
      <c r="N2090" t="s">
        <v>29</v>
      </c>
      <c r="O2090">
        <v>13.522983572098299</v>
      </c>
      <c r="P2090">
        <v>0.98185858973595896</v>
      </c>
      <c r="Q2090">
        <v>-1.0813607050560601</v>
      </c>
      <c r="R2090">
        <v>3.04507788452797</v>
      </c>
      <c r="S2090">
        <v>12.2643037383649</v>
      </c>
      <c r="T2090">
        <v>1.0378833998585699</v>
      </c>
      <c r="U2090">
        <v>-6.0642967927329199</v>
      </c>
      <c r="V2090">
        <v>0.31996272306102902</v>
      </c>
      <c r="W2090">
        <v>0.49104481747892897</v>
      </c>
      <c r="X2090">
        <v>0</v>
      </c>
      <c r="Y2090">
        <v>0</v>
      </c>
    </row>
    <row r="2091" spans="1:25" x14ac:dyDescent="0.2">
      <c r="A2091" t="s">
        <v>7862</v>
      </c>
      <c r="B2091" t="s">
        <v>7863</v>
      </c>
      <c r="C2091" t="s">
        <v>7864</v>
      </c>
      <c r="D2091" t="s">
        <v>844</v>
      </c>
      <c r="E2091" t="s">
        <v>7863</v>
      </c>
      <c r="F2091" t="s">
        <v>28</v>
      </c>
      <c r="G2091" t="s">
        <v>7863</v>
      </c>
      <c r="H2091" t="str">
        <f>"athp-1"</f>
        <v>athp-1</v>
      </c>
      <c r="I2091" t="s">
        <v>844</v>
      </c>
      <c r="J2091" t="s">
        <v>29</v>
      </c>
      <c r="K2091" t="s">
        <v>29</v>
      </c>
      <c r="L2091" t="s">
        <v>29</v>
      </c>
      <c r="M2091" t="s">
        <v>29</v>
      </c>
      <c r="N2091" t="s">
        <v>29</v>
      </c>
      <c r="O2091" t="s">
        <v>29</v>
      </c>
      <c r="P2091" t="s">
        <v>29</v>
      </c>
      <c r="Q2091" t="s">
        <v>29</v>
      </c>
      <c r="R2091" t="s">
        <v>29</v>
      </c>
      <c r="S2091">
        <v>10.5806043231508</v>
      </c>
      <c r="T2091" t="s">
        <v>29</v>
      </c>
      <c r="U2091" t="s">
        <v>29</v>
      </c>
      <c r="V2091" t="s">
        <v>29</v>
      </c>
      <c r="W2091" t="s">
        <v>29</v>
      </c>
      <c r="X2091" t="s">
        <v>29</v>
      </c>
      <c r="Y2091" t="s">
        <v>29</v>
      </c>
    </row>
    <row r="2092" spans="1:25" x14ac:dyDescent="0.2">
      <c r="A2092" t="s">
        <v>7865</v>
      </c>
      <c r="B2092" t="s">
        <v>7866</v>
      </c>
      <c r="C2092" t="s">
        <v>7867</v>
      </c>
      <c r="D2092" t="s">
        <v>7868</v>
      </c>
      <c r="E2092" t="s">
        <v>7866</v>
      </c>
      <c r="F2092" t="s">
        <v>28</v>
      </c>
      <c r="G2092" t="s">
        <v>7866</v>
      </c>
      <c r="H2092" t="str">
        <f>"abhd-3.2"</f>
        <v>abhd-3.2</v>
      </c>
      <c r="I2092" t="s">
        <v>7868</v>
      </c>
      <c r="J2092">
        <v>13.5731965243549</v>
      </c>
      <c r="K2092">
        <v>12.8611433662099</v>
      </c>
      <c r="L2092">
        <v>13.377288818971699</v>
      </c>
      <c r="M2092" t="s">
        <v>29</v>
      </c>
      <c r="N2092">
        <v>13.0938407307973</v>
      </c>
      <c r="O2092">
        <v>13.0759729324724</v>
      </c>
      <c r="P2092">
        <v>-0.18563607154398601</v>
      </c>
      <c r="Q2092">
        <v>-0.76517933677981198</v>
      </c>
      <c r="R2092">
        <v>0.39390719369184102</v>
      </c>
      <c r="S2092">
        <v>13.6348856962037</v>
      </c>
      <c r="T2092">
        <v>-0.67940077152522604</v>
      </c>
      <c r="U2092">
        <v>-6.8054821598478403</v>
      </c>
      <c r="V2092">
        <v>0.50665787776235605</v>
      </c>
      <c r="W2092">
        <v>0.65950563858907396</v>
      </c>
      <c r="X2092">
        <v>0</v>
      </c>
      <c r="Y2092">
        <v>0</v>
      </c>
    </row>
    <row r="2093" spans="1:25" x14ac:dyDescent="0.2">
      <c r="A2093" t="s">
        <v>7869</v>
      </c>
      <c r="B2093" t="s">
        <v>7870</v>
      </c>
      <c r="C2093" t="s">
        <v>7871</v>
      </c>
      <c r="D2093" t="s">
        <v>796</v>
      </c>
      <c r="E2093" t="s">
        <v>7870</v>
      </c>
      <c r="F2093" t="s">
        <v>28</v>
      </c>
      <c r="G2093" t="s">
        <v>7870</v>
      </c>
      <c r="H2093" t="str">
        <f>"C44C1.1"</f>
        <v>C44C1.1</v>
      </c>
      <c r="I2093" t="s">
        <v>796</v>
      </c>
      <c r="J2093">
        <v>13.950608881211201</v>
      </c>
      <c r="K2093">
        <v>14.478287326392101</v>
      </c>
      <c r="L2093">
        <v>14.714965676618601</v>
      </c>
      <c r="M2093" t="s">
        <v>29</v>
      </c>
      <c r="N2093">
        <v>13.7520703249298</v>
      </c>
      <c r="O2093">
        <v>14.363968593206501</v>
      </c>
      <c r="P2093">
        <v>-0.32326783567246897</v>
      </c>
      <c r="Q2093">
        <v>-1.0502743802046799</v>
      </c>
      <c r="R2093">
        <v>0.40373870885973701</v>
      </c>
      <c r="S2093">
        <v>14.7580505920011</v>
      </c>
      <c r="T2093">
        <v>-0.93858625143862295</v>
      </c>
      <c r="U2093">
        <v>-6.5941592150204196</v>
      </c>
      <c r="V2093">
        <v>0.36116867508071598</v>
      </c>
      <c r="W2093">
        <v>0.52981020951199198</v>
      </c>
      <c r="X2093">
        <v>0</v>
      </c>
      <c r="Y2093">
        <v>0</v>
      </c>
    </row>
    <row r="2094" spans="1:25" x14ac:dyDescent="0.2">
      <c r="A2094" t="s">
        <v>7872</v>
      </c>
      <c r="B2094" t="s">
        <v>7873</v>
      </c>
      <c r="C2094" t="s">
        <v>7874</v>
      </c>
      <c r="D2094" t="s">
        <v>7003</v>
      </c>
      <c r="E2094" t="s">
        <v>7873</v>
      </c>
      <c r="F2094" t="s">
        <v>28</v>
      </c>
      <c r="G2094" t="s">
        <v>7873</v>
      </c>
      <c r="H2094" t="str">
        <f>"dhs-18"</f>
        <v>dhs-18</v>
      </c>
      <c r="I2094" t="s">
        <v>7003</v>
      </c>
      <c r="J2094">
        <v>15.113764310856901</v>
      </c>
      <c r="K2094">
        <v>15.3892834014681</v>
      </c>
      <c r="L2094">
        <v>14.700271461320799</v>
      </c>
      <c r="M2094" t="s">
        <v>29</v>
      </c>
      <c r="N2094" t="s">
        <v>29</v>
      </c>
      <c r="O2094" t="s">
        <v>29</v>
      </c>
      <c r="P2094" t="s">
        <v>29</v>
      </c>
      <c r="Q2094" t="s">
        <v>29</v>
      </c>
      <c r="R2094" t="s">
        <v>29</v>
      </c>
      <c r="S2094">
        <v>14.304307980955899</v>
      </c>
      <c r="T2094" t="s">
        <v>29</v>
      </c>
      <c r="U2094" t="s">
        <v>29</v>
      </c>
      <c r="V2094" t="s">
        <v>29</v>
      </c>
      <c r="W2094" t="s">
        <v>29</v>
      </c>
      <c r="X2094" t="s">
        <v>29</v>
      </c>
      <c r="Y2094" t="s">
        <v>29</v>
      </c>
    </row>
    <row r="2095" spans="1:25" x14ac:dyDescent="0.2">
      <c r="A2095" t="s">
        <v>7875</v>
      </c>
      <c r="B2095" t="s">
        <v>7876</v>
      </c>
      <c r="C2095" t="s">
        <v>7877</v>
      </c>
      <c r="D2095" t="s">
        <v>368</v>
      </c>
      <c r="E2095" t="s">
        <v>7876</v>
      </c>
      <c r="F2095" t="s">
        <v>28</v>
      </c>
      <c r="G2095" t="s">
        <v>7876</v>
      </c>
      <c r="H2095" t="str">
        <f>"C46A5.6"</f>
        <v>C46A5.6</v>
      </c>
      <c r="I2095" t="s">
        <v>368</v>
      </c>
      <c r="J2095">
        <v>12.3326070048226</v>
      </c>
      <c r="K2095">
        <v>11.435231265504999</v>
      </c>
      <c r="L2095">
        <v>12.6946190689101</v>
      </c>
      <c r="M2095" t="s">
        <v>29</v>
      </c>
      <c r="N2095">
        <v>12.380447388787401</v>
      </c>
      <c r="O2095" t="s">
        <v>29</v>
      </c>
      <c r="P2095">
        <v>0.22629494237477699</v>
      </c>
      <c r="Q2095">
        <v>-0.703095715897878</v>
      </c>
      <c r="R2095">
        <v>1.1556856006474301</v>
      </c>
      <c r="S2095">
        <v>13.582260967933999</v>
      </c>
      <c r="T2095">
        <v>0.52259883546983799</v>
      </c>
      <c r="U2095">
        <v>-6.6694731546288697</v>
      </c>
      <c r="V2095">
        <v>0.60948552828031499</v>
      </c>
      <c r="W2095">
        <v>0.740376690784043</v>
      </c>
      <c r="X2095">
        <v>0</v>
      </c>
      <c r="Y2095">
        <v>0</v>
      </c>
    </row>
    <row r="2096" spans="1:25" x14ac:dyDescent="0.2">
      <c r="A2096" t="s">
        <v>7878</v>
      </c>
      <c r="B2096" t="s">
        <v>7879</v>
      </c>
      <c r="C2096" t="s">
        <v>7880</v>
      </c>
      <c r="D2096" t="s">
        <v>107</v>
      </c>
      <c r="E2096" t="s">
        <v>7879</v>
      </c>
      <c r="F2096" t="s">
        <v>28</v>
      </c>
      <c r="G2096" t="s">
        <v>7879</v>
      </c>
      <c r="H2096" t="str">
        <f>"C46C2.2"</f>
        <v>C46C2.2</v>
      </c>
      <c r="I2096" t="s">
        <v>107</v>
      </c>
      <c r="J2096">
        <v>11.9893727264483</v>
      </c>
      <c r="K2096">
        <v>12.4164965004711</v>
      </c>
      <c r="L2096">
        <v>12.521605089193001</v>
      </c>
      <c r="M2096" t="s">
        <v>29</v>
      </c>
      <c r="N2096" t="s">
        <v>29</v>
      </c>
      <c r="O2096" t="s">
        <v>29</v>
      </c>
      <c r="P2096" t="s">
        <v>29</v>
      </c>
      <c r="Q2096" t="s">
        <v>29</v>
      </c>
      <c r="R2096" t="s">
        <v>29</v>
      </c>
      <c r="S2096">
        <v>12.1876367715335</v>
      </c>
      <c r="T2096" t="s">
        <v>29</v>
      </c>
      <c r="U2096" t="s">
        <v>29</v>
      </c>
      <c r="V2096" t="s">
        <v>29</v>
      </c>
      <c r="W2096" t="s">
        <v>29</v>
      </c>
      <c r="X2096" t="s">
        <v>29</v>
      </c>
      <c r="Y2096" t="s">
        <v>29</v>
      </c>
    </row>
    <row r="2097" spans="1:25" x14ac:dyDescent="0.2">
      <c r="A2097" t="s">
        <v>7881</v>
      </c>
      <c r="B2097" t="s">
        <v>7882</v>
      </c>
      <c r="C2097" t="s">
        <v>7883</v>
      </c>
      <c r="D2097" t="s">
        <v>7884</v>
      </c>
      <c r="E2097" t="s">
        <v>7882</v>
      </c>
      <c r="F2097" t="s">
        <v>28</v>
      </c>
      <c r="G2097" t="s">
        <v>7882</v>
      </c>
      <c r="H2097" t="str">
        <f>"C47D12.2"</f>
        <v>C47D12.2</v>
      </c>
      <c r="I2097" t="s">
        <v>7884</v>
      </c>
      <c r="J2097">
        <v>12.9053376533624</v>
      </c>
      <c r="K2097">
        <v>13.416576915222</v>
      </c>
      <c r="L2097">
        <v>13.1353651055821</v>
      </c>
      <c r="M2097" t="s">
        <v>29</v>
      </c>
      <c r="N2097">
        <v>13.2762487438864</v>
      </c>
      <c r="O2097">
        <v>13.0822231373007</v>
      </c>
      <c r="P2097">
        <v>2.6809382538054601E-2</v>
      </c>
      <c r="Q2097">
        <v>-0.46425204764885503</v>
      </c>
      <c r="R2097">
        <v>0.51787081272496505</v>
      </c>
      <c r="S2097">
        <v>13.275140924772099</v>
      </c>
      <c r="T2097">
        <v>0.115239403179796</v>
      </c>
      <c r="U2097">
        <v>-7.0384970173349402</v>
      </c>
      <c r="V2097">
        <v>0.90961393095135801</v>
      </c>
      <c r="W2097">
        <v>0.94521588664092104</v>
      </c>
      <c r="X2097">
        <v>0</v>
      </c>
      <c r="Y2097">
        <v>0</v>
      </c>
    </row>
    <row r="2098" spans="1:25" x14ac:dyDescent="0.2">
      <c r="A2098" t="s">
        <v>7885</v>
      </c>
      <c r="B2098" t="s">
        <v>7886</v>
      </c>
      <c r="C2098" t="s">
        <v>7887</v>
      </c>
      <c r="D2098" t="s">
        <v>7888</v>
      </c>
      <c r="E2098" t="s">
        <v>7886</v>
      </c>
      <c r="F2098" t="s">
        <v>28</v>
      </c>
      <c r="G2098" t="s">
        <v>7886</v>
      </c>
      <c r="H2098" t="str">
        <f>"rrp-1"</f>
        <v>rrp-1</v>
      </c>
      <c r="I2098" t="s">
        <v>7888</v>
      </c>
      <c r="J2098" t="s">
        <v>29</v>
      </c>
      <c r="K2098" t="s">
        <v>29</v>
      </c>
      <c r="L2098" t="s">
        <v>29</v>
      </c>
      <c r="M2098" t="s">
        <v>29</v>
      </c>
      <c r="N2098" t="s">
        <v>29</v>
      </c>
      <c r="O2098" t="s">
        <v>29</v>
      </c>
      <c r="P2098" t="s">
        <v>29</v>
      </c>
      <c r="Q2098" t="s">
        <v>29</v>
      </c>
      <c r="R2098" t="s">
        <v>29</v>
      </c>
      <c r="S2098">
        <v>11.8396681647094</v>
      </c>
      <c r="T2098" t="s">
        <v>29</v>
      </c>
      <c r="U2098" t="s">
        <v>29</v>
      </c>
      <c r="V2098" t="s">
        <v>29</v>
      </c>
      <c r="W2098" t="s">
        <v>29</v>
      </c>
      <c r="X2098" t="s">
        <v>29</v>
      </c>
      <c r="Y2098" t="s">
        <v>29</v>
      </c>
    </row>
    <row r="2099" spans="1:25" x14ac:dyDescent="0.2">
      <c r="A2099" t="s">
        <v>7889</v>
      </c>
      <c r="B2099" t="s">
        <v>7890</v>
      </c>
      <c r="C2099" t="s">
        <v>7891</v>
      </c>
      <c r="D2099" t="s">
        <v>7892</v>
      </c>
      <c r="E2099" t="s">
        <v>7890</v>
      </c>
      <c r="F2099" t="s">
        <v>28</v>
      </c>
      <c r="G2099" t="s">
        <v>7890</v>
      </c>
      <c r="H2099" t="str">
        <f>"sars-1"</f>
        <v>sars-1</v>
      </c>
      <c r="I2099" t="s">
        <v>7892</v>
      </c>
      <c r="J2099">
        <v>17.295358129334002</v>
      </c>
      <c r="K2099">
        <v>17.089714765522299</v>
      </c>
      <c r="L2099">
        <v>17.307439945447399</v>
      </c>
      <c r="M2099">
        <v>16.844911127080401</v>
      </c>
      <c r="N2099">
        <v>16.326651734391699</v>
      </c>
      <c r="O2099">
        <v>16.179073650777799</v>
      </c>
      <c r="P2099">
        <v>-0.78062544268464495</v>
      </c>
      <c r="Q2099">
        <v>-1.19146895743882</v>
      </c>
      <c r="R2099">
        <v>-0.36978192793047399</v>
      </c>
      <c r="S2099">
        <v>16.813399573721199</v>
      </c>
      <c r="T2099">
        <v>-3.9935468088126602</v>
      </c>
      <c r="U2099">
        <v>-1.1861972433991199</v>
      </c>
      <c r="V2099">
        <v>8.6054384106492698E-4</v>
      </c>
      <c r="W2099">
        <v>8.1807183858656103E-3</v>
      </c>
      <c r="X2099">
        <v>0</v>
      </c>
      <c r="Y2099">
        <v>0</v>
      </c>
    </row>
    <row r="2100" spans="1:25" x14ac:dyDescent="0.2">
      <c r="A2100" t="s">
        <v>7893</v>
      </c>
      <c r="B2100" t="s">
        <v>7894</v>
      </c>
      <c r="C2100" t="s">
        <v>7895</v>
      </c>
      <c r="D2100" t="s">
        <v>1954</v>
      </c>
      <c r="E2100" t="s">
        <v>7894</v>
      </c>
      <c r="F2100" t="s">
        <v>28</v>
      </c>
      <c r="G2100" t="s">
        <v>7894</v>
      </c>
      <c r="H2100" t="str">
        <f>"C47E12.2"</f>
        <v>C47E12.2</v>
      </c>
      <c r="I2100" t="s">
        <v>1954</v>
      </c>
      <c r="J2100">
        <v>13.423316710378501</v>
      </c>
      <c r="K2100">
        <v>13.867476900300799</v>
      </c>
      <c r="L2100">
        <v>13.890018059672601</v>
      </c>
      <c r="M2100" t="s">
        <v>29</v>
      </c>
      <c r="N2100">
        <v>13.066684348870201</v>
      </c>
      <c r="O2100">
        <v>13.307096298559101</v>
      </c>
      <c r="P2100">
        <v>-0.54004689973599596</v>
      </c>
      <c r="Q2100">
        <v>-1.11834280525685</v>
      </c>
      <c r="R2100">
        <v>3.8249005784858001E-2</v>
      </c>
      <c r="S2100">
        <v>13.927065091830601</v>
      </c>
      <c r="T2100">
        <v>-1.9712030978517101</v>
      </c>
      <c r="U2100">
        <v>-5.2086048461455503</v>
      </c>
      <c r="V2100">
        <v>6.5307577046433599E-2</v>
      </c>
      <c r="W2100">
        <v>0.16421623682238901</v>
      </c>
      <c r="X2100">
        <v>0</v>
      </c>
      <c r="Y2100">
        <v>0</v>
      </c>
    </row>
    <row r="2101" spans="1:25" x14ac:dyDescent="0.2">
      <c r="A2101" t="s">
        <v>7896</v>
      </c>
      <c r="B2101" t="s">
        <v>7897</v>
      </c>
      <c r="C2101" t="s">
        <v>7898</v>
      </c>
      <c r="D2101" t="s">
        <v>7899</v>
      </c>
      <c r="E2101" t="s">
        <v>7897</v>
      </c>
      <c r="F2101" t="s">
        <v>28</v>
      </c>
      <c r="G2101" t="s">
        <v>7897</v>
      </c>
      <c r="H2101" t="str">
        <f>"unc-112"</f>
        <v>unc-112</v>
      </c>
      <c r="I2101" t="s">
        <v>7899</v>
      </c>
      <c r="J2101">
        <v>15.5140849966446</v>
      </c>
      <c r="K2101">
        <v>15.5329538881552</v>
      </c>
      <c r="L2101">
        <v>15.2256023470143</v>
      </c>
      <c r="M2101">
        <v>14.3813530153146</v>
      </c>
      <c r="N2101">
        <v>14.377563634926799</v>
      </c>
      <c r="O2101">
        <v>14.9144269863286</v>
      </c>
      <c r="P2101">
        <v>-0.86643253174803203</v>
      </c>
      <c r="Q2101">
        <v>-1.2412402349221101</v>
      </c>
      <c r="R2101">
        <v>-0.49162482857395001</v>
      </c>
      <c r="S2101">
        <v>14.8144351734935</v>
      </c>
      <c r="T2101">
        <v>-4.8586851310819101</v>
      </c>
      <c r="U2101">
        <v>0.71708103468098106</v>
      </c>
      <c r="V2101">
        <v>1.28191166181226E-4</v>
      </c>
      <c r="W2101">
        <v>2.08434990969396E-3</v>
      </c>
      <c r="X2101">
        <v>0</v>
      </c>
      <c r="Y2101">
        <v>0</v>
      </c>
    </row>
    <row r="2102" spans="1:25" x14ac:dyDescent="0.2">
      <c r="A2102" t="s">
        <v>7900</v>
      </c>
      <c r="B2102" t="s">
        <v>7901</v>
      </c>
      <c r="C2102" t="s">
        <v>7902</v>
      </c>
      <c r="D2102" t="s">
        <v>7903</v>
      </c>
      <c r="E2102" t="s">
        <v>7901</v>
      </c>
      <c r="F2102" t="s">
        <v>28</v>
      </c>
      <c r="G2102" t="s">
        <v>7901</v>
      </c>
      <c r="H2102" t="str">
        <f>"daf-21"</f>
        <v>daf-21</v>
      </c>
      <c r="I2102" t="s">
        <v>7903</v>
      </c>
      <c r="J2102">
        <v>20.583272019368401</v>
      </c>
      <c r="K2102">
        <v>20.4582060538342</v>
      </c>
      <c r="L2102">
        <v>20.477431458558002</v>
      </c>
      <c r="M2102">
        <v>20.373740653522599</v>
      </c>
      <c r="N2102">
        <v>20.428849757526901</v>
      </c>
      <c r="O2102">
        <v>20.6626007764416</v>
      </c>
      <c r="P2102">
        <v>-1.7906114756510001E-2</v>
      </c>
      <c r="Q2102">
        <v>-0.37496947554591797</v>
      </c>
      <c r="R2102">
        <v>0.33915724603289799</v>
      </c>
      <c r="S2102">
        <v>20.188470371794899</v>
      </c>
      <c r="T2102">
        <v>-0.10540193606333401</v>
      </c>
      <c r="U2102">
        <v>-7.1504736839180598</v>
      </c>
      <c r="V2102">
        <v>0.91722936144657097</v>
      </c>
      <c r="W2102">
        <v>0.95044828698419304</v>
      </c>
      <c r="X2102">
        <v>0</v>
      </c>
      <c r="Y2102">
        <v>0</v>
      </c>
    </row>
    <row r="2103" spans="1:25" x14ac:dyDescent="0.2">
      <c r="A2103" t="s">
        <v>7904</v>
      </c>
      <c r="B2103" t="s">
        <v>7905</v>
      </c>
      <c r="C2103" t="s">
        <v>7906</v>
      </c>
      <c r="D2103" t="s">
        <v>7907</v>
      </c>
      <c r="E2103" t="s">
        <v>7905</v>
      </c>
      <c r="F2103" t="s">
        <v>28</v>
      </c>
      <c r="G2103" t="s">
        <v>7905</v>
      </c>
      <c r="H2103" t="str">
        <f>"C47E8.4"</f>
        <v>C47E8.4</v>
      </c>
      <c r="I2103" t="s">
        <v>7907</v>
      </c>
      <c r="J2103" t="s">
        <v>29</v>
      </c>
      <c r="K2103" t="s">
        <v>29</v>
      </c>
      <c r="L2103" t="s">
        <v>29</v>
      </c>
      <c r="M2103" t="s">
        <v>29</v>
      </c>
      <c r="N2103" t="s">
        <v>29</v>
      </c>
      <c r="O2103">
        <v>12.3273665133453</v>
      </c>
      <c r="P2103" t="s">
        <v>29</v>
      </c>
      <c r="Q2103" t="s">
        <v>29</v>
      </c>
      <c r="R2103" t="s">
        <v>29</v>
      </c>
      <c r="S2103">
        <v>13.072844436074901</v>
      </c>
      <c r="T2103" t="s">
        <v>29</v>
      </c>
      <c r="U2103" t="s">
        <v>29</v>
      </c>
      <c r="V2103" t="s">
        <v>29</v>
      </c>
      <c r="W2103" t="s">
        <v>29</v>
      </c>
      <c r="X2103" t="s">
        <v>29</v>
      </c>
      <c r="Y2103" t="s">
        <v>29</v>
      </c>
    </row>
    <row r="2104" spans="1:25" x14ac:dyDescent="0.2">
      <c r="A2104" t="s">
        <v>7908</v>
      </c>
      <c r="B2104" t="s">
        <v>7909</v>
      </c>
      <c r="C2104" t="s">
        <v>7910</v>
      </c>
      <c r="D2104" t="s">
        <v>7911</v>
      </c>
      <c r="E2104" t="s">
        <v>7909</v>
      </c>
      <c r="F2104" t="s">
        <v>28</v>
      </c>
      <c r="G2104" t="s">
        <v>7909</v>
      </c>
      <c r="H2104" t="str">
        <f>"pitr-1"</f>
        <v>pitr-1</v>
      </c>
      <c r="I2104" t="s">
        <v>7911</v>
      </c>
      <c r="J2104" t="s">
        <v>29</v>
      </c>
      <c r="K2104" t="s">
        <v>29</v>
      </c>
      <c r="L2104" t="s">
        <v>29</v>
      </c>
      <c r="M2104" t="s">
        <v>29</v>
      </c>
      <c r="N2104" t="s">
        <v>29</v>
      </c>
      <c r="O2104" t="s">
        <v>29</v>
      </c>
      <c r="P2104" t="s">
        <v>29</v>
      </c>
      <c r="Q2104" t="s">
        <v>29</v>
      </c>
      <c r="R2104" t="s">
        <v>29</v>
      </c>
      <c r="S2104">
        <v>11.309782782745399</v>
      </c>
      <c r="T2104" t="s">
        <v>29</v>
      </c>
      <c r="U2104" t="s">
        <v>29</v>
      </c>
      <c r="V2104" t="s">
        <v>29</v>
      </c>
      <c r="W2104" t="s">
        <v>29</v>
      </c>
      <c r="X2104" t="s">
        <v>29</v>
      </c>
      <c r="Y2104" t="s">
        <v>29</v>
      </c>
    </row>
    <row r="2105" spans="1:25" x14ac:dyDescent="0.2">
      <c r="A2105" t="s">
        <v>7912</v>
      </c>
      <c r="B2105" t="s">
        <v>7913</v>
      </c>
      <c r="C2105" t="s">
        <v>7914</v>
      </c>
      <c r="D2105" t="s">
        <v>7915</v>
      </c>
      <c r="E2105" t="s">
        <v>7913</v>
      </c>
      <c r="F2105" t="s">
        <v>28</v>
      </c>
      <c r="G2105" t="s">
        <v>7913</v>
      </c>
      <c r="H2105" t="str">
        <f>"nuaf-1"</f>
        <v>nuaf-1</v>
      </c>
      <c r="I2105" t="s">
        <v>7915</v>
      </c>
      <c r="J2105" t="s">
        <v>29</v>
      </c>
      <c r="K2105" t="s">
        <v>29</v>
      </c>
      <c r="L2105">
        <v>11.5800766930629</v>
      </c>
      <c r="M2105" t="s">
        <v>29</v>
      </c>
      <c r="N2105" t="s">
        <v>29</v>
      </c>
      <c r="O2105">
        <v>12.307718600370499</v>
      </c>
      <c r="P2105">
        <v>0.72764190730761402</v>
      </c>
      <c r="Q2105">
        <v>-0.31352084209820003</v>
      </c>
      <c r="R2105">
        <v>1.7688046567134299</v>
      </c>
      <c r="S2105">
        <v>12.9117954942139</v>
      </c>
      <c r="T2105">
        <v>1.52420750075088</v>
      </c>
      <c r="U2105">
        <v>-5.4848734849229599</v>
      </c>
      <c r="V2105">
        <v>0.15359306064781</v>
      </c>
      <c r="W2105">
        <v>0.29857437317222602</v>
      </c>
      <c r="X2105">
        <v>0</v>
      </c>
      <c r="Y2105">
        <v>0</v>
      </c>
    </row>
    <row r="2106" spans="1:25" x14ac:dyDescent="0.2">
      <c r="A2106" t="s">
        <v>7916</v>
      </c>
      <c r="B2106" t="s">
        <v>7917</v>
      </c>
      <c r="C2106" t="s">
        <v>7918</v>
      </c>
      <c r="D2106" t="s">
        <v>3455</v>
      </c>
      <c r="E2106" t="s">
        <v>7917</v>
      </c>
      <c r="F2106" t="s">
        <v>28</v>
      </c>
      <c r="G2106" t="s">
        <v>7917</v>
      </c>
      <c r="H2106" t="str">
        <f>"C50F4.1"</f>
        <v>C50F4.1</v>
      </c>
      <c r="I2106" t="s">
        <v>3455</v>
      </c>
      <c r="J2106">
        <v>13.106090301244199</v>
      </c>
      <c r="K2106">
        <v>13.2785935241854</v>
      </c>
      <c r="L2106">
        <v>12.758587285033901</v>
      </c>
      <c r="M2106" t="s">
        <v>29</v>
      </c>
      <c r="N2106" t="s">
        <v>29</v>
      </c>
      <c r="O2106">
        <v>12.7313441280016</v>
      </c>
      <c r="P2106">
        <v>-0.31641290881956302</v>
      </c>
      <c r="Q2106">
        <v>-1.5164981580172701</v>
      </c>
      <c r="R2106">
        <v>0.88367234037814402</v>
      </c>
      <c r="S2106">
        <v>12.6647645421567</v>
      </c>
      <c r="T2106">
        <v>-0.55923149916589898</v>
      </c>
      <c r="U2106">
        <v>-6.6500768362248701</v>
      </c>
      <c r="V2106">
        <v>0.58379809955636996</v>
      </c>
      <c r="W2106">
        <v>0.72136394104512402</v>
      </c>
      <c r="X2106">
        <v>0</v>
      </c>
      <c r="Y2106">
        <v>0</v>
      </c>
    </row>
    <row r="2107" spans="1:25" x14ac:dyDescent="0.2">
      <c r="A2107" t="s">
        <v>7919</v>
      </c>
      <c r="B2107" t="s">
        <v>7920</v>
      </c>
      <c r="C2107" t="s">
        <v>7921</v>
      </c>
      <c r="D2107" t="s">
        <v>7922</v>
      </c>
      <c r="E2107" t="s">
        <v>7920</v>
      </c>
      <c r="F2107" t="s">
        <v>28</v>
      </c>
      <c r="G2107" t="s">
        <v>7920</v>
      </c>
      <c r="H2107" t="str">
        <f>"C51E3.6"</f>
        <v>C51E3.6</v>
      </c>
      <c r="I2107" t="s">
        <v>7922</v>
      </c>
      <c r="J2107">
        <v>10.5889254810615</v>
      </c>
      <c r="K2107">
        <v>10.5877842608402</v>
      </c>
      <c r="L2107">
        <v>11.6877332472534</v>
      </c>
      <c r="M2107" t="s">
        <v>29</v>
      </c>
      <c r="N2107" t="s">
        <v>29</v>
      </c>
      <c r="O2107">
        <v>10.044865222231399</v>
      </c>
      <c r="P2107">
        <v>-0.90994910748692004</v>
      </c>
      <c r="Q2107">
        <v>-2.5605389794112701</v>
      </c>
      <c r="R2107">
        <v>0.74064076443743299</v>
      </c>
      <c r="S2107">
        <v>11.083120294456499</v>
      </c>
      <c r="T2107">
        <v>-1.24934456717624</v>
      </c>
      <c r="U2107">
        <v>-6.0231012354702198</v>
      </c>
      <c r="V2107">
        <v>0.24341280222070899</v>
      </c>
      <c r="W2107">
        <v>0.40967306004821802</v>
      </c>
      <c r="X2107">
        <v>0</v>
      </c>
      <c r="Y2107">
        <v>0</v>
      </c>
    </row>
    <row r="2108" spans="1:25" x14ac:dyDescent="0.2">
      <c r="A2108" t="s">
        <v>7923</v>
      </c>
      <c r="B2108" t="s">
        <v>7924</v>
      </c>
      <c r="C2108" t="s">
        <v>7925</v>
      </c>
      <c r="D2108" t="s">
        <v>7926</v>
      </c>
      <c r="E2108" t="s">
        <v>7924</v>
      </c>
      <c r="F2108" t="s">
        <v>28</v>
      </c>
      <c r="G2108" t="s">
        <v>7924</v>
      </c>
      <c r="H2108" t="str">
        <f>"sqv-7"</f>
        <v>sqv-7</v>
      </c>
      <c r="I2108" t="s">
        <v>7926</v>
      </c>
      <c r="J2108">
        <v>13.99776125679</v>
      </c>
      <c r="K2108">
        <v>14.2648655532691</v>
      </c>
      <c r="L2108">
        <v>14.405344195202799</v>
      </c>
      <c r="M2108" t="s">
        <v>29</v>
      </c>
      <c r="N2108">
        <v>14.155598106548499</v>
      </c>
      <c r="O2108">
        <v>14.1569564331748</v>
      </c>
      <c r="P2108">
        <v>-6.6379731892295596E-2</v>
      </c>
      <c r="Q2108">
        <v>-0.530561390822196</v>
      </c>
      <c r="R2108">
        <v>0.39780192703760497</v>
      </c>
      <c r="S2108">
        <v>14.502948937959101</v>
      </c>
      <c r="T2108">
        <v>-0.301854413930568</v>
      </c>
      <c r="U2108">
        <v>-6.9977091474633903</v>
      </c>
      <c r="V2108">
        <v>0.766447087748647</v>
      </c>
      <c r="W2108">
        <v>0.85110205688292095</v>
      </c>
      <c r="X2108">
        <v>0</v>
      </c>
      <c r="Y2108">
        <v>0</v>
      </c>
    </row>
    <row r="2109" spans="1:25" x14ac:dyDescent="0.2">
      <c r="A2109" t="s">
        <v>7927</v>
      </c>
      <c r="B2109" t="s">
        <v>7928</v>
      </c>
      <c r="C2109" t="s">
        <v>7929</v>
      </c>
      <c r="D2109" t="s">
        <v>7930</v>
      </c>
      <c r="E2109" t="s">
        <v>7928</v>
      </c>
      <c r="F2109" t="s">
        <v>28</v>
      </c>
      <c r="G2109" t="s">
        <v>7928</v>
      </c>
      <c r="H2109" t="str">
        <f>"rpt-1"</f>
        <v>rpt-1</v>
      </c>
      <c r="I2109" t="s">
        <v>7930</v>
      </c>
      <c r="J2109">
        <v>15.366900848283899</v>
      </c>
      <c r="K2109">
        <v>15.1332256848266</v>
      </c>
      <c r="L2109">
        <v>15.1238180282791</v>
      </c>
      <c r="M2109">
        <v>15.0403472733723</v>
      </c>
      <c r="N2109">
        <v>15.1232993754323</v>
      </c>
      <c r="O2109">
        <v>15.3039112588253</v>
      </c>
      <c r="P2109">
        <v>-5.2128884586593899E-2</v>
      </c>
      <c r="Q2109">
        <v>-0.37028646781330798</v>
      </c>
      <c r="R2109">
        <v>0.26602869864012002</v>
      </c>
      <c r="S2109">
        <v>15.1476882090214</v>
      </c>
      <c r="T2109">
        <v>-0.34437266100450697</v>
      </c>
      <c r="U2109">
        <v>-7.0942720860590001</v>
      </c>
      <c r="V2109">
        <v>0.73457988284170495</v>
      </c>
      <c r="W2109">
        <v>0.829610060508849</v>
      </c>
      <c r="X2109">
        <v>0</v>
      </c>
      <c r="Y2109">
        <v>0</v>
      </c>
    </row>
    <row r="2110" spans="1:25" x14ac:dyDescent="0.2">
      <c r="A2110" t="s">
        <v>7931</v>
      </c>
      <c r="B2110" t="s">
        <v>7932</v>
      </c>
      <c r="C2110" t="s">
        <v>7933</v>
      </c>
      <c r="D2110" t="s">
        <v>107</v>
      </c>
      <c r="E2110" t="s">
        <v>7932</v>
      </c>
      <c r="F2110" t="s">
        <v>28</v>
      </c>
      <c r="G2110" t="s">
        <v>7932</v>
      </c>
      <c r="H2110" t="str">
        <f>"C53B4.3"</f>
        <v>C53B4.3</v>
      </c>
      <c r="I2110" t="s">
        <v>107</v>
      </c>
      <c r="J2110">
        <v>12.5667354498012</v>
      </c>
      <c r="K2110" t="s">
        <v>29</v>
      </c>
      <c r="L2110">
        <v>12.3424718431557</v>
      </c>
      <c r="M2110" t="s">
        <v>29</v>
      </c>
      <c r="N2110" t="s">
        <v>29</v>
      </c>
      <c r="O2110">
        <v>12.1755673059386</v>
      </c>
      <c r="P2110">
        <v>-0.27903634053978599</v>
      </c>
      <c r="Q2110">
        <v>-1.4522043854647999</v>
      </c>
      <c r="R2110">
        <v>0.89413170438522505</v>
      </c>
      <c r="S2110">
        <v>12.3448499394446</v>
      </c>
      <c r="T2110">
        <v>-0.58451495349176497</v>
      </c>
      <c r="U2110">
        <v>-6.5629772788568204</v>
      </c>
      <c r="V2110">
        <v>0.58053771843023605</v>
      </c>
      <c r="W2110">
        <v>0.71884229252685095</v>
      </c>
      <c r="X2110">
        <v>0</v>
      </c>
      <c r="Y2110">
        <v>0</v>
      </c>
    </row>
    <row r="2111" spans="1:25" x14ac:dyDescent="0.2">
      <c r="A2111" t="s">
        <v>7934</v>
      </c>
      <c r="B2111" t="s">
        <v>7935</v>
      </c>
      <c r="C2111" t="s">
        <v>7936</v>
      </c>
      <c r="D2111" t="s">
        <v>3312</v>
      </c>
      <c r="E2111" t="s">
        <v>7935</v>
      </c>
      <c r="F2111" t="s">
        <v>28</v>
      </c>
      <c r="G2111" t="s">
        <v>7935</v>
      </c>
      <c r="H2111" t="str">
        <f>"col-119"</f>
        <v>col-119</v>
      </c>
      <c r="I2111" t="s">
        <v>3312</v>
      </c>
      <c r="J2111">
        <v>17.890084684440101</v>
      </c>
      <c r="K2111">
        <v>14.5575932782242</v>
      </c>
      <c r="L2111">
        <v>14.392120603320301</v>
      </c>
      <c r="M2111" t="s">
        <v>29</v>
      </c>
      <c r="N2111" t="s">
        <v>29</v>
      </c>
      <c r="O2111">
        <v>14.1993835100811</v>
      </c>
      <c r="P2111">
        <v>-1.4138826785804299</v>
      </c>
      <c r="Q2111">
        <v>-3.8469829093355901</v>
      </c>
      <c r="R2111">
        <v>1.01921755217473</v>
      </c>
      <c r="S2111">
        <v>14.9319181050707</v>
      </c>
      <c r="T2111">
        <v>-1.24722631928832</v>
      </c>
      <c r="U2111">
        <v>-6.03227002953368</v>
      </c>
      <c r="V2111">
        <v>0.23292771798518799</v>
      </c>
      <c r="W2111">
        <v>0.39782324669899299</v>
      </c>
      <c r="X2111">
        <v>0</v>
      </c>
      <c r="Y2111">
        <v>0</v>
      </c>
    </row>
    <row r="2112" spans="1:25" x14ac:dyDescent="0.2">
      <c r="A2112" t="s">
        <v>7937</v>
      </c>
      <c r="B2112" t="s">
        <v>7938</v>
      </c>
      <c r="C2112" t="s">
        <v>7939</v>
      </c>
      <c r="D2112" t="s">
        <v>7940</v>
      </c>
      <c r="E2112" t="s">
        <v>7938</v>
      </c>
      <c r="F2112" t="s">
        <v>28</v>
      </c>
      <c r="G2112" t="s">
        <v>7938</v>
      </c>
      <c r="H2112" t="str">
        <f>"bre-1"</f>
        <v>bre-1</v>
      </c>
      <c r="I2112" t="s">
        <v>7940</v>
      </c>
      <c r="J2112">
        <v>15.45107001469</v>
      </c>
      <c r="K2112">
        <v>15.4705925105942</v>
      </c>
      <c r="L2112">
        <v>15.322241059268199</v>
      </c>
      <c r="M2112">
        <v>15.3438897394769</v>
      </c>
      <c r="N2112">
        <v>14.130481649270701</v>
      </c>
      <c r="O2112">
        <v>14.987061641884299</v>
      </c>
      <c r="P2112">
        <v>-0.59415685130686302</v>
      </c>
      <c r="Q2112">
        <v>-1.1762954124054199</v>
      </c>
      <c r="R2112">
        <v>-1.2018290208310399E-2</v>
      </c>
      <c r="S2112">
        <v>14.8290592016779</v>
      </c>
      <c r="T2112">
        <v>-2.1451973631755599</v>
      </c>
      <c r="U2112">
        <v>-5.00866825850692</v>
      </c>
      <c r="V2112">
        <v>4.5913877027839001E-2</v>
      </c>
      <c r="W2112">
        <v>0.12825421383985</v>
      </c>
      <c r="X2112">
        <v>0</v>
      </c>
      <c r="Y2112">
        <v>0</v>
      </c>
    </row>
    <row r="2113" spans="1:25" x14ac:dyDescent="0.2">
      <c r="A2113" t="s">
        <v>7941</v>
      </c>
      <c r="B2113" t="s">
        <v>7942</v>
      </c>
      <c r="C2113" t="s">
        <v>7943</v>
      </c>
      <c r="D2113" t="s">
        <v>7944</v>
      </c>
      <c r="E2113" t="s">
        <v>7942</v>
      </c>
      <c r="F2113" t="s">
        <v>28</v>
      </c>
      <c r="G2113" t="s">
        <v>7942</v>
      </c>
      <c r="H2113" t="str">
        <f>"asg-2"</f>
        <v>asg-2</v>
      </c>
      <c r="I2113" t="s">
        <v>7944</v>
      </c>
      <c r="J2113">
        <v>15.552093242911599</v>
      </c>
      <c r="K2113">
        <v>15.269361441431901</v>
      </c>
      <c r="L2113">
        <v>15.1873087291678</v>
      </c>
      <c r="M2113" t="s">
        <v>29</v>
      </c>
      <c r="N2113">
        <v>14.3049160963925</v>
      </c>
      <c r="O2113">
        <v>13.7424202926983</v>
      </c>
      <c r="P2113">
        <v>-1.31258627662509</v>
      </c>
      <c r="Q2113">
        <v>-1.9249482636705999</v>
      </c>
      <c r="R2113">
        <v>-0.70022428957957905</v>
      </c>
      <c r="S2113">
        <v>14.6516848751537</v>
      </c>
      <c r="T2113">
        <v>-4.5244901683343501</v>
      </c>
      <c r="U2113">
        <v>-2.3757559060001699E-2</v>
      </c>
      <c r="V2113">
        <v>3.0401613889075501E-4</v>
      </c>
      <c r="W2113">
        <v>3.7536489672363601E-3</v>
      </c>
      <c r="X2113">
        <v>-1</v>
      </c>
      <c r="Y2113">
        <v>-1</v>
      </c>
    </row>
    <row r="2114" spans="1:25" x14ac:dyDescent="0.2">
      <c r="A2114" t="s">
        <v>7945</v>
      </c>
      <c r="B2114" t="s">
        <v>7946</v>
      </c>
      <c r="C2114" t="s">
        <v>7947</v>
      </c>
      <c r="D2114" t="s">
        <v>7948</v>
      </c>
      <c r="E2114" t="s">
        <v>7946</v>
      </c>
      <c r="F2114" t="s">
        <v>28</v>
      </c>
      <c r="G2114" t="s">
        <v>7946</v>
      </c>
      <c r="H2114" t="str">
        <f>"C53B7.2"</f>
        <v>C53B7.2</v>
      </c>
      <c r="I2114" t="s">
        <v>7948</v>
      </c>
      <c r="J2114">
        <v>11.884824053336599</v>
      </c>
      <c r="K2114">
        <v>10.6148377849951</v>
      </c>
      <c r="L2114">
        <v>11.603878338024799</v>
      </c>
      <c r="M2114" t="s">
        <v>29</v>
      </c>
      <c r="N2114" t="s">
        <v>29</v>
      </c>
      <c r="O2114">
        <v>11.130320595990799</v>
      </c>
      <c r="P2114">
        <v>-0.237526129461337</v>
      </c>
      <c r="Q2114">
        <v>-1.5765959650363699</v>
      </c>
      <c r="R2114">
        <v>1.1015437061136999</v>
      </c>
      <c r="S2114">
        <v>11.5104109320477</v>
      </c>
      <c r="T2114">
        <v>-0.38071506089406698</v>
      </c>
      <c r="U2114">
        <v>-6.73633614398081</v>
      </c>
      <c r="V2114">
        <v>0.70917182820080504</v>
      </c>
      <c r="W2114">
        <v>0.81162305930399004</v>
      </c>
      <c r="X2114">
        <v>0</v>
      </c>
      <c r="Y2114">
        <v>0</v>
      </c>
    </row>
    <row r="2115" spans="1:25" x14ac:dyDescent="0.2">
      <c r="A2115" t="s">
        <v>7949</v>
      </c>
      <c r="B2115" t="s">
        <v>7950</v>
      </c>
      <c r="C2115" t="s">
        <v>7951</v>
      </c>
      <c r="D2115" t="s">
        <v>1075</v>
      </c>
      <c r="E2115" t="s">
        <v>7950</v>
      </c>
      <c r="F2115" t="s">
        <v>28</v>
      </c>
      <c r="G2115" t="s">
        <v>7950</v>
      </c>
      <c r="H2115" t="str">
        <f>"C53D6.7"</f>
        <v>C53D6.7</v>
      </c>
      <c r="I2115" t="s">
        <v>1075</v>
      </c>
      <c r="J2115">
        <v>15.051300660115601</v>
      </c>
      <c r="K2115">
        <v>14.5542101626591</v>
      </c>
      <c r="L2115">
        <v>14.3219724767436</v>
      </c>
      <c r="M2115">
        <v>13.1748063576356</v>
      </c>
      <c r="N2115">
        <v>13.5127019059126</v>
      </c>
      <c r="O2115">
        <v>14.0632747606493</v>
      </c>
      <c r="P2115">
        <v>-1.05890009177361</v>
      </c>
      <c r="Q2115">
        <v>-1.5427913623617699</v>
      </c>
      <c r="R2115">
        <v>-0.57500882118545404</v>
      </c>
      <c r="S2115">
        <v>13.802877572737099</v>
      </c>
      <c r="T2115">
        <v>-4.5993844396008896</v>
      </c>
      <c r="U2115">
        <v>0.149281603082727</v>
      </c>
      <c r="V2115">
        <v>2.25685676582459E-4</v>
      </c>
      <c r="W2115">
        <v>3.0934683204116601E-3</v>
      </c>
      <c r="X2115">
        <v>-1</v>
      </c>
      <c r="Y2115">
        <v>-1</v>
      </c>
    </row>
    <row r="2116" spans="1:25" x14ac:dyDescent="0.2">
      <c r="A2116" t="s">
        <v>7952</v>
      </c>
      <c r="B2116" t="s">
        <v>7953</v>
      </c>
      <c r="C2116" t="s">
        <v>7954</v>
      </c>
      <c r="D2116" t="s">
        <v>3563</v>
      </c>
      <c r="E2116" t="s">
        <v>7953</v>
      </c>
      <c r="F2116" t="s">
        <v>28</v>
      </c>
      <c r="G2116" t="s">
        <v>7953</v>
      </c>
      <c r="H2116" t="str">
        <f>"ben-1"</f>
        <v>ben-1</v>
      </c>
      <c r="I2116" t="s">
        <v>3563</v>
      </c>
      <c r="J2116">
        <v>14.014380339133201</v>
      </c>
      <c r="K2116">
        <v>14.1717215662795</v>
      </c>
      <c r="L2116">
        <v>13.9449220716987</v>
      </c>
      <c r="M2116">
        <v>14.2820912577603</v>
      </c>
      <c r="N2116">
        <v>13.8458829323892</v>
      </c>
      <c r="O2116">
        <v>13.9716680267329</v>
      </c>
      <c r="P2116">
        <v>-1.0460586743029399E-2</v>
      </c>
      <c r="Q2116">
        <v>-0.37599820122884597</v>
      </c>
      <c r="R2116">
        <v>0.35507702774278799</v>
      </c>
      <c r="S2116">
        <v>13.7887267070339</v>
      </c>
      <c r="T2116">
        <v>-6.0147348236961301E-2</v>
      </c>
      <c r="U2116">
        <v>-7.1544037362311501</v>
      </c>
      <c r="V2116">
        <v>0.95270491060835205</v>
      </c>
      <c r="W2116">
        <v>0.97312397941284001</v>
      </c>
      <c r="X2116">
        <v>0</v>
      </c>
      <c r="Y2116">
        <v>0</v>
      </c>
    </row>
    <row r="2117" spans="1:25" x14ac:dyDescent="0.2">
      <c r="A2117" t="s">
        <v>7955</v>
      </c>
      <c r="B2117" t="s">
        <v>7956</v>
      </c>
      <c r="C2117" t="s">
        <v>7957</v>
      </c>
      <c r="D2117" t="s">
        <v>7958</v>
      </c>
      <c r="E2117" t="s">
        <v>7956</v>
      </c>
      <c r="F2117" t="s">
        <v>28</v>
      </c>
      <c r="G2117" t="s">
        <v>7956</v>
      </c>
      <c r="H2117" t="str">
        <f>"lam-2"</f>
        <v>lam-2</v>
      </c>
      <c r="I2117" t="s">
        <v>7958</v>
      </c>
      <c r="J2117">
        <v>13.032802229447601</v>
      </c>
      <c r="K2117">
        <v>13.287666904498099</v>
      </c>
      <c r="L2117">
        <v>13.9514186842325</v>
      </c>
      <c r="M2117">
        <v>14.927248595958501</v>
      </c>
      <c r="N2117">
        <v>14.1458646378843</v>
      </c>
      <c r="O2117">
        <v>14.1124540531031</v>
      </c>
      <c r="P2117">
        <v>0.97122648958921898</v>
      </c>
      <c r="Q2117">
        <v>0.42173895467982397</v>
      </c>
      <c r="R2117">
        <v>1.5207140244986099</v>
      </c>
      <c r="S2117">
        <v>13.455028086484001</v>
      </c>
      <c r="T2117">
        <v>3.7149689412616498</v>
      </c>
      <c r="U2117">
        <v>-1.79879542566704</v>
      </c>
      <c r="V2117">
        <v>1.59819398771747E-3</v>
      </c>
      <c r="W2117">
        <v>1.2593255833698899E-2</v>
      </c>
      <c r="X2117">
        <v>0</v>
      </c>
      <c r="Y2117">
        <v>0</v>
      </c>
    </row>
    <row r="2118" spans="1:25" x14ac:dyDescent="0.2">
      <c r="A2118" t="s">
        <v>7959</v>
      </c>
      <c r="B2118" t="s">
        <v>7960</v>
      </c>
      <c r="C2118" t="s">
        <v>7961</v>
      </c>
      <c r="D2118" t="s">
        <v>7962</v>
      </c>
      <c r="E2118" t="s">
        <v>7960</v>
      </c>
      <c r="F2118" t="s">
        <v>28</v>
      </c>
      <c r="G2118" t="s">
        <v>7960</v>
      </c>
      <c r="H2118" t="str">
        <f>"rfc-1"</f>
        <v>rfc-1</v>
      </c>
      <c r="I2118" t="s">
        <v>7962</v>
      </c>
      <c r="J2118" t="s">
        <v>29</v>
      </c>
      <c r="K2118">
        <v>10.460338186029301</v>
      </c>
      <c r="L2118">
        <v>11.327522030513</v>
      </c>
      <c r="M2118" t="s">
        <v>29</v>
      </c>
      <c r="N2118">
        <v>11.034422524120799</v>
      </c>
      <c r="O2118" t="s">
        <v>29</v>
      </c>
      <c r="P2118">
        <v>0.14049241584963401</v>
      </c>
      <c r="Q2118">
        <v>-1.37704515494059</v>
      </c>
      <c r="R2118">
        <v>1.65802998663985</v>
      </c>
      <c r="S2118">
        <v>11.3035836493258</v>
      </c>
      <c r="T2118">
        <v>0.20191028462409699</v>
      </c>
      <c r="U2118">
        <v>-6.73278383942678</v>
      </c>
      <c r="V2118">
        <v>0.84339873341618898</v>
      </c>
      <c r="W2118">
        <v>0.90176265713365</v>
      </c>
      <c r="X2118">
        <v>0</v>
      </c>
      <c r="Y2118">
        <v>0</v>
      </c>
    </row>
    <row r="2119" spans="1:25" x14ac:dyDescent="0.2">
      <c r="A2119" t="s">
        <v>7963</v>
      </c>
      <c r="B2119" t="s">
        <v>7964</v>
      </c>
      <c r="C2119" t="s">
        <v>7965</v>
      </c>
      <c r="D2119" t="s">
        <v>7966</v>
      </c>
      <c r="E2119" t="s">
        <v>7964</v>
      </c>
      <c r="F2119" t="s">
        <v>28</v>
      </c>
      <c r="G2119" t="s">
        <v>7964</v>
      </c>
      <c r="H2119" t="str">
        <f>"rskn-2"</f>
        <v>rskn-2</v>
      </c>
      <c r="I2119" t="s">
        <v>7966</v>
      </c>
      <c r="J2119">
        <v>14.4137742967105</v>
      </c>
      <c r="K2119">
        <v>14.3942305253388</v>
      </c>
      <c r="L2119">
        <v>14.058381787298</v>
      </c>
      <c r="M2119">
        <v>14.0205214727017</v>
      </c>
      <c r="N2119">
        <v>14.4738611858557</v>
      </c>
      <c r="O2119">
        <v>14.874587745191301</v>
      </c>
      <c r="P2119">
        <v>0.167527931467081</v>
      </c>
      <c r="Q2119">
        <v>-0.24031703289963999</v>
      </c>
      <c r="R2119">
        <v>0.57537289583380202</v>
      </c>
      <c r="S2119">
        <v>13.983945190503</v>
      </c>
      <c r="T2119">
        <v>0.86334551017146099</v>
      </c>
      <c r="U2119">
        <v>-6.7731136512508998</v>
      </c>
      <c r="V2119">
        <v>0.39937128075899098</v>
      </c>
      <c r="W2119">
        <v>0.56747693558184498</v>
      </c>
      <c r="X2119">
        <v>0</v>
      </c>
      <c r="Y2119">
        <v>0</v>
      </c>
    </row>
    <row r="2120" spans="1:25" x14ac:dyDescent="0.2">
      <c r="A2120" t="s">
        <v>7967</v>
      </c>
      <c r="B2120" t="s">
        <v>7968</v>
      </c>
      <c r="C2120" t="s">
        <v>7969</v>
      </c>
      <c r="D2120" t="s">
        <v>141</v>
      </c>
      <c r="E2120" t="s">
        <v>7968</v>
      </c>
      <c r="F2120" t="s">
        <v>28</v>
      </c>
      <c r="G2120" t="s">
        <v>7968</v>
      </c>
      <c r="H2120" t="str">
        <f>"C54G4.7"</f>
        <v>C54G4.7</v>
      </c>
      <c r="I2120" t="s">
        <v>141</v>
      </c>
      <c r="J2120">
        <v>14.7729102065303</v>
      </c>
      <c r="K2120">
        <v>14.8400116337555</v>
      </c>
      <c r="L2120">
        <v>14.7210098719339</v>
      </c>
      <c r="M2120" t="s">
        <v>29</v>
      </c>
      <c r="N2120" t="s">
        <v>29</v>
      </c>
      <c r="O2120">
        <v>14.3531386092983</v>
      </c>
      <c r="P2120">
        <v>-0.42483862810830297</v>
      </c>
      <c r="Q2120">
        <v>-1.10699613488852</v>
      </c>
      <c r="R2120">
        <v>0.257318878671915</v>
      </c>
      <c r="S2120">
        <v>14.796718206164201</v>
      </c>
      <c r="T2120">
        <v>-1.3209575604463599</v>
      </c>
      <c r="U2120">
        <v>-5.9437903664260103</v>
      </c>
      <c r="V2120">
        <v>0.205217948929212</v>
      </c>
      <c r="W2120">
        <v>0.365424347730748</v>
      </c>
      <c r="X2120">
        <v>0</v>
      </c>
      <c r="Y2120">
        <v>0</v>
      </c>
    </row>
    <row r="2121" spans="1:25" x14ac:dyDescent="0.2">
      <c r="A2121" t="s">
        <v>7970</v>
      </c>
      <c r="B2121" t="s">
        <v>7971</v>
      </c>
      <c r="C2121" t="s">
        <v>7972</v>
      </c>
      <c r="D2121" t="s">
        <v>7973</v>
      </c>
      <c r="E2121" t="s">
        <v>7971</v>
      </c>
      <c r="F2121" t="s">
        <v>28</v>
      </c>
      <c r="G2121" t="s">
        <v>7971</v>
      </c>
      <c r="H2121" t="str">
        <f>"cyc-1"</f>
        <v>cyc-1</v>
      </c>
      <c r="I2121" t="s">
        <v>7973</v>
      </c>
      <c r="J2121">
        <v>13.7302597823584</v>
      </c>
      <c r="K2121">
        <v>13.9177684322333</v>
      </c>
      <c r="L2121">
        <v>13.3301712450831</v>
      </c>
      <c r="M2121">
        <v>14.193571733724699</v>
      </c>
      <c r="N2121">
        <v>14.510698291636499</v>
      </c>
      <c r="O2121">
        <v>13.9133971790027</v>
      </c>
      <c r="P2121">
        <v>0.54648924822975398</v>
      </c>
      <c r="Q2121">
        <v>0.10827831118666</v>
      </c>
      <c r="R2121">
        <v>0.98470018527284797</v>
      </c>
      <c r="S2121">
        <v>13.430198361847699</v>
      </c>
      <c r="T2121">
        <v>2.62114425131253</v>
      </c>
      <c r="U2121">
        <v>-4.1081621885575101</v>
      </c>
      <c r="V2121">
        <v>1.7367931291949499E-2</v>
      </c>
      <c r="W2121">
        <v>6.7139987703787499E-2</v>
      </c>
      <c r="X2121">
        <v>0</v>
      </c>
      <c r="Y2121">
        <v>0</v>
      </c>
    </row>
    <row r="2122" spans="1:25" x14ac:dyDescent="0.2">
      <c r="A2122" t="s">
        <v>7974</v>
      </c>
      <c r="B2122" t="s">
        <v>7975</v>
      </c>
      <c r="C2122" t="s">
        <v>7976</v>
      </c>
      <c r="D2122" t="s">
        <v>2720</v>
      </c>
      <c r="E2122" t="s">
        <v>7975</v>
      </c>
      <c r="F2122" t="s">
        <v>28</v>
      </c>
      <c r="G2122" t="s">
        <v>7975</v>
      </c>
      <c r="H2122" t="str">
        <f>"C54G4.9"</f>
        <v>C54G4.9</v>
      </c>
      <c r="I2122" t="s">
        <v>2720</v>
      </c>
      <c r="J2122">
        <v>12.0865008784415</v>
      </c>
      <c r="K2122">
        <v>12.5143937858273</v>
      </c>
      <c r="L2122">
        <v>12.2646110617102</v>
      </c>
      <c r="M2122" t="s">
        <v>29</v>
      </c>
      <c r="N2122">
        <v>13.2628276534587</v>
      </c>
      <c r="O2122">
        <v>12.9056612404523</v>
      </c>
      <c r="P2122">
        <v>0.79574253829579999</v>
      </c>
      <c r="Q2122">
        <v>-2.3142006915929901E-2</v>
      </c>
      <c r="R2122">
        <v>1.61462708350753</v>
      </c>
      <c r="S2122">
        <v>12.6805838753494</v>
      </c>
      <c r="T2122">
        <v>2.05116176937804</v>
      </c>
      <c r="U2122">
        <v>-5.0724498278435597</v>
      </c>
      <c r="V2122">
        <v>5.6089964734176698E-2</v>
      </c>
      <c r="W2122">
        <v>0.14811570436525001</v>
      </c>
      <c r="X2122">
        <v>0</v>
      </c>
      <c r="Y2122">
        <v>0</v>
      </c>
    </row>
    <row r="2123" spans="1:25" x14ac:dyDescent="0.2">
      <c r="A2123" t="s">
        <v>7977</v>
      </c>
      <c r="B2123" t="s">
        <v>7978</v>
      </c>
      <c r="C2123" t="s">
        <v>7979</v>
      </c>
      <c r="D2123" t="s">
        <v>7980</v>
      </c>
      <c r="E2123" t="s">
        <v>7978</v>
      </c>
      <c r="F2123" t="s">
        <v>28</v>
      </c>
      <c r="G2123" t="s">
        <v>7978</v>
      </c>
      <c r="H2123" t="str">
        <f>"sft-4"</f>
        <v>sft-4</v>
      </c>
      <c r="I2123" t="s">
        <v>7980</v>
      </c>
      <c r="J2123">
        <v>15.1891926563335</v>
      </c>
      <c r="K2123">
        <v>15.502302640121201</v>
      </c>
      <c r="L2123">
        <v>15.7820514873764</v>
      </c>
      <c r="M2123">
        <v>15.143111208491201</v>
      </c>
      <c r="N2123">
        <v>15.528903307226599</v>
      </c>
      <c r="O2123">
        <v>15.225154959942699</v>
      </c>
      <c r="P2123">
        <v>-0.19212576939023601</v>
      </c>
      <c r="Q2123">
        <v>-0.550800069464086</v>
      </c>
      <c r="R2123">
        <v>0.166548530683614</v>
      </c>
      <c r="S2123">
        <v>15.7387003632406</v>
      </c>
      <c r="T2123">
        <v>-1.1258431074455499</v>
      </c>
      <c r="U2123">
        <v>-6.5137504016100802</v>
      </c>
      <c r="V2123">
        <v>0.27510491642437601</v>
      </c>
      <c r="W2123">
        <v>0.44278218935152203</v>
      </c>
      <c r="X2123">
        <v>0</v>
      </c>
      <c r="Y2123">
        <v>0</v>
      </c>
    </row>
    <row r="2124" spans="1:25" x14ac:dyDescent="0.2">
      <c r="A2124" t="s">
        <v>7981</v>
      </c>
      <c r="B2124" t="s">
        <v>7982</v>
      </c>
      <c r="C2124" t="s">
        <v>7983</v>
      </c>
      <c r="D2124" t="s">
        <v>7984</v>
      </c>
      <c r="E2124" t="s">
        <v>7982</v>
      </c>
      <c r="F2124" t="s">
        <v>28</v>
      </c>
      <c r="G2124" t="s">
        <v>7982</v>
      </c>
      <c r="H2124" t="str">
        <f>"C56A3.5"</f>
        <v>C56A3.5</v>
      </c>
      <c r="I2124" t="s">
        <v>7984</v>
      </c>
      <c r="J2124" t="s">
        <v>29</v>
      </c>
      <c r="K2124" t="s">
        <v>29</v>
      </c>
      <c r="L2124" t="s">
        <v>29</v>
      </c>
      <c r="M2124" t="s">
        <v>29</v>
      </c>
      <c r="N2124" t="s">
        <v>29</v>
      </c>
      <c r="O2124" t="s">
        <v>29</v>
      </c>
      <c r="P2124" t="s">
        <v>29</v>
      </c>
      <c r="Q2124" t="s">
        <v>29</v>
      </c>
      <c r="R2124" t="s">
        <v>29</v>
      </c>
      <c r="S2124">
        <v>12.425381014727501</v>
      </c>
      <c r="T2124" t="s">
        <v>29</v>
      </c>
      <c r="U2124" t="s">
        <v>29</v>
      </c>
      <c r="V2124" t="s">
        <v>29</v>
      </c>
      <c r="W2124" t="s">
        <v>29</v>
      </c>
      <c r="X2124" t="s">
        <v>29</v>
      </c>
      <c r="Y2124" t="s">
        <v>29</v>
      </c>
    </row>
    <row r="2125" spans="1:25" x14ac:dyDescent="0.2">
      <c r="A2125" t="s">
        <v>7985</v>
      </c>
      <c r="B2125" t="s">
        <v>7986</v>
      </c>
      <c r="C2125" t="s">
        <v>7987</v>
      </c>
      <c r="D2125" t="s">
        <v>7988</v>
      </c>
      <c r="E2125" t="s">
        <v>7986</v>
      </c>
      <c r="F2125" t="s">
        <v>28</v>
      </c>
      <c r="G2125" t="s">
        <v>7986</v>
      </c>
      <c r="H2125" t="str">
        <f>"icd-1"</f>
        <v>icd-1</v>
      </c>
      <c r="I2125" t="s">
        <v>7988</v>
      </c>
      <c r="J2125">
        <v>10.971345158400601</v>
      </c>
      <c r="K2125">
        <v>12.3330689177018</v>
      </c>
      <c r="L2125">
        <v>12.990161993270601</v>
      </c>
      <c r="M2125">
        <v>13.814973492340901</v>
      </c>
      <c r="N2125">
        <v>14.9954106546835</v>
      </c>
      <c r="O2125">
        <v>13.1333793325163</v>
      </c>
      <c r="P2125">
        <v>1.88306247005584</v>
      </c>
      <c r="Q2125">
        <v>0.85945616887085796</v>
      </c>
      <c r="R2125">
        <v>2.9066687712408301</v>
      </c>
      <c r="S2125">
        <v>12.7565678690145</v>
      </c>
      <c r="T2125">
        <v>3.86655587354204</v>
      </c>
      <c r="U2125">
        <v>-1.46590379225891</v>
      </c>
      <c r="V2125">
        <v>1.1410931334403999E-3</v>
      </c>
      <c r="W2125">
        <v>9.9931501869523001E-3</v>
      </c>
      <c r="X2125">
        <v>1</v>
      </c>
      <c r="Y2125">
        <v>1</v>
      </c>
    </row>
    <row r="2126" spans="1:25" x14ac:dyDescent="0.2">
      <c r="A2126" t="s">
        <v>7989</v>
      </c>
      <c r="B2126" t="s">
        <v>7990</v>
      </c>
      <c r="C2126" t="s">
        <v>7991</v>
      </c>
      <c r="D2126" t="s">
        <v>7992</v>
      </c>
      <c r="E2126" t="s">
        <v>7990</v>
      </c>
      <c r="F2126" t="s">
        <v>28</v>
      </c>
      <c r="G2126" t="s">
        <v>7990</v>
      </c>
      <c r="H2126" t="str">
        <f>"vps-32.1"</f>
        <v>vps-32.1</v>
      </c>
      <c r="I2126" t="s">
        <v>7992</v>
      </c>
      <c r="J2126" t="s">
        <v>29</v>
      </c>
      <c r="K2126" t="s">
        <v>29</v>
      </c>
      <c r="L2126" t="s">
        <v>29</v>
      </c>
      <c r="M2126" t="s">
        <v>29</v>
      </c>
      <c r="N2126" t="s">
        <v>29</v>
      </c>
      <c r="O2126">
        <v>13.5181229810928</v>
      </c>
      <c r="P2126" t="s">
        <v>29</v>
      </c>
      <c r="Q2126" t="s">
        <v>29</v>
      </c>
      <c r="R2126" t="s">
        <v>29</v>
      </c>
      <c r="S2126">
        <v>11.6735211576555</v>
      </c>
      <c r="T2126" t="s">
        <v>29</v>
      </c>
      <c r="U2126" t="s">
        <v>29</v>
      </c>
      <c r="V2126" t="s">
        <v>29</v>
      </c>
      <c r="W2126" t="s">
        <v>29</v>
      </c>
      <c r="X2126" t="s">
        <v>29</v>
      </c>
      <c r="Y2126" t="s">
        <v>29</v>
      </c>
    </row>
    <row r="2127" spans="1:25" x14ac:dyDescent="0.2">
      <c r="A2127" t="s">
        <v>7993</v>
      </c>
      <c r="B2127" t="s">
        <v>7994</v>
      </c>
      <c r="C2127" t="s">
        <v>7995</v>
      </c>
      <c r="D2127" t="s">
        <v>7996</v>
      </c>
      <c r="E2127" t="s">
        <v>7994</v>
      </c>
      <c r="F2127" t="s">
        <v>28</v>
      </c>
      <c r="G2127" t="s">
        <v>7994</v>
      </c>
      <c r="H2127" t="str">
        <f>"vps-33.2"</f>
        <v>vps-33.2</v>
      </c>
      <c r="I2127" t="s">
        <v>7996</v>
      </c>
      <c r="J2127">
        <v>11.7023919132117</v>
      </c>
      <c r="K2127">
        <v>13.0697542835577</v>
      </c>
      <c r="L2127" t="s">
        <v>29</v>
      </c>
      <c r="M2127" t="s">
        <v>29</v>
      </c>
      <c r="N2127">
        <v>14.5325715774455</v>
      </c>
      <c r="O2127">
        <v>12.7506487408693</v>
      </c>
      <c r="P2127">
        <v>1.2555370607727701</v>
      </c>
      <c r="Q2127">
        <v>0.10900972360290399</v>
      </c>
      <c r="R2127">
        <v>2.4020643979426399</v>
      </c>
      <c r="S2127">
        <v>12.173250575318001</v>
      </c>
      <c r="T2127">
        <v>2.32270819504485</v>
      </c>
      <c r="U2127">
        <v>-4.5119564241831798</v>
      </c>
      <c r="V2127">
        <v>3.3799421188176901E-2</v>
      </c>
      <c r="W2127">
        <v>0.10573980280420101</v>
      </c>
      <c r="X2127">
        <v>1</v>
      </c>
      <c r="Y2127">
        <v>0</v>
      </c>
    </row>
    <row r="2128" spans="1:25" x14ac:dyDescent="0.2">
      <c r="A2128" t="s">
        <v>7997</v>
      </c>
      <c r="B2128" t="s">
        <v>7998</v>
      </c>
      <c r="C2128" t="s">
        <v>7999</v>
      </c>
      <c r="D2128" t="s">
        <v>8000</v>
      </c>
      <c r="E2128" t="s">
        <v>7998</v>
      </c>
      <c r="F2128" t="s">
        <v>28</v>
      </c>
      <c r="G2128" t="s">
        <v>7998</v>
      </c>
      <c r="H2128" t="str">
        <f>"epg-5"</f>
        <v>epg-5</v>
      </c>
      <c r="I2128" t="s">
        <v>8000</v>
      </c>
      <c r="J2128">
        <v>12.5068159506662</v>
      </c>
      <c r="K2128">
        <v>12.4171194023378</v>
      </c>
      <c r="L2128">
        <v>12.198998272862999</v>
      </c>
      <c r="M2128" t="s">
        <v>29</v>
      </c>
      <c r="N2128" t="s">
        <v>29</v>
      </c>
      <c r="O2128">
        <v>12.3848308008107</v>
      </c>
      <c r="P2128">
        <v>1.05195921884427E-2</v>
      </c>
      <c r="Q2128">
        <v>-0.68176637329324896</v>
      </c>
      <c r="R2128">
        <v>0.70280555767013397</v>
      </c>
      <c r="S2128">
        <v>12.267639791666801</v>
      </c>
      <c r="T2128">
        <v>3.2230193014938298E-2</v>
      </c>
      <c r="U2128">
        <v>-6.8121550954179</v>
      </c>
      <c r="V2128">
        <v>0.97468972344718896</v>
      </c>
      <c r="W2128">
        <v>0.98541901704189905</v>
      </c>
      <c r="X2128">
        <v>0</v>
      </c>
      <c r="Y2128">
        <v>0</v>
      </c>
    </row>
    <row r="2129" spans="1:25" x14ac:dyDescent="0.2">
      <c r="A2129" t="s">
        <v>8001</v>
      </c>
      <c r="B2129" t="s">
        <v>8002</v>
      </c>
      <c r="C2129" t="s">
        <v>8003</v>
      </c>
      <c r="D2129" t="s">
        <v>8004</v>
      </c>
      <c r="E2129" t="s">
        <v>8002</v>
      </c>
      <c r="F2129" t="s">
        <v>28</v>
      </c>
      <c r="G2129" t="s">
        <v>8002</v>
      </c>
      <c r="H2129" t="str">
        <f>"cgp-1"</f>
        <v>cgp-1</v>
      </c>
      <c r="I2129" t="s">
        <v>8004</v>
      </c>
      <c r="J2129">
        <v>14.472900933005899</v>
      </c>
      <c r="K2129">
        <v>14.3737810857128</v>
      </c>
      <c r="L2129">
        <v>14.3098362039041</v>
      </c>
      <c r="M2129" t="s">
        <v>29</v>
      </c>
      <c r="N2129">
        <v>12.2605384133283</v>
      </c>
      <c r="O2129">
        <v>13.606980632431799</v>
      </c>
      <c r="P2129">
        <v>-1.4517465513275301</v>
      </c>
      <c r="Q2129">
        <v>-2.01858441352275</v>
      </c>
      <c r="R2129">
        <v>-0.88490868913231202</v>
      </c>
      <c r="S2129">
        <v>13.980039584050999</v>
      </c>
      <c r="T2129">
        <v>-5.4060737332772204</v>
      </c>
      <c r="U2129">
        <v>1.8255581170578199</v>
      </c>
      <c r="V2129" s="2">
        <v>4.8300112737444097E-5</v>
      </c>
      <c r="W2129">
        <v>9.8847522386977704E-4</v>
      </c>
      <c r="X2129">
        <v>-1</v>
      </c>
      <c r="Y2129">
        <v>-1</v>
      </c>
    </row>
    <row r="2130" spans="1:25" x14ac:dyDescent="0.2">
      <c r="A2130" t="s">
        <v>8005</v>
      </c>
      <c r="B2130" t="s">
        <v>8006</v>
      </c>
      <c r="C2130" t="s">
        <v>8007</v>
      </c>
      <c r="D2130" t="s">
        <v>8008</v>
      </c>
      <c r="E2130" t="s">
        <v>8006</v>
      </c>
      <c r="F2130" t="s">
        <v>28</v>
      </c>
      <c r="G2130" t="s">
        <v>8006</v>
      </c>
      <c r="H2130" t="str">
        <f>"acs-22"</f>
        <v>acs-22</v>
      </c>
      <c r="I2130" t="s">
        <v>8008</v>
      </c>
      <c r="J2130">
        <v>14.7920785600922</v>
      </c>
      <c r="K2130">
        <v>14.662194489368201</v>
      </c>
      <c r="L2130">
        <v>14.5515314033261</v>
      </c>
      <c r="M2130">
        <v>13.948000487323601</v>
      </c>
      <c r="N2130">
        <v>14.6699529937127</v>
      </c>
      <c r="O2130">
        <v>14.826328933144101</v>
      </c>
      <c r="P2130">
        <v>-0.187174012868699</v>
      </c>
      <c r="Q2130">
        <v>-0.585408976355136</v>
      </c>
      <c r="R2130">
        <v>0.211060950617738</v>
      </c>
      <c r="S2130">
        <v>14.433812250730499</v>
      </c>
      <c r="T2130">
        <v>-0.98786745464074799</v>
      </c>
      <c r="U2130">
        <v>-6.6577227205773903</v>
      </c>
      <c r="V2130">
        <v>0.33638733947926303</v>
      </c>
      <c r="W2130">
        <v>0.50733546030982002</v>
      </c>
      <c r="X2130">
        <v>0</v>
      </c>
      <c r="Y2130">
        <v>0</v>
      </c>
    </row>
    <row r="2131" spans="1:25" x14ac:dyDescent="0.2">
      <c r="A2131" t="s">
        <v>8009</v>
      </c>
      <c r="B2131" t="s">
        <v>8010</v>
      </c>
      <c r="C2131" t="s">
        <v>8011</v>
      </c>
      <c r="D2131" t="s">
        <v>8012</v>
      </c>
      <c r="E2131" t="s">
        <v>8010</v>
      </c>
      <c r="F2131" t="s">
        <v>28</v>
      </c>
      <c r="G2131" t="s">
        <v>8010</v>
      </c>
      <c r="H2131" t="str">
        <f>"snap-1"</f>
        <v>snap-1</v>
      </c>
      <c r="I2131" t="s">
        <v>8012</v>
      </c>
      <c r="J2131">
        <v>13.950868715654501</v>
      </c>
      <c r="K2131">
        <v>13.659667420356399</v>
      </c>
      <c r="L2131">
        <v>14.058966226928501</v>
      </c>
      <c r="M2131" t="s">
        <v>29</v>
      </c>
      <c r="N2131">
        <v>13.4716811514157</v>
      </c>
      <c r="O2131">
        <v>13.5585837727017</v>
      </c>
      <c r="P2131">
        <v>-0.37470165892108098</v>
      </c>
      <c r="Q2131">
        <v>-0.88517884348587295</v>
      </c>
      <c r="R2131">
        <v>0.13577552564371101</v>
      </c>
      <c r="S2131">
        <v>13.5078223940861</v>
      </c>
      <c r="T2131">
        <v>-1.5493848056250199</v>
      </c>
      <c r="U2131">
        <v>-5.8661742877808196</v>
      </c>
      <c r="V2131">
        <v>0.13981726517814599</v>
      </c>
      <c r="W2131">
        <v>0.27765598415094001</v>
      </c>
      <c r="X2131">
        <v>0</v>
      </c>
      <c r="Y2131">
        <v>0</v>
      </c>
    </row>
    <row r="2132" spans="1:25" x14ac:dyDescent="0.2">
      <c r="A2132" t="s">
        <v>8013</v>
      </c>
      <c r="B2132" t="s">
        <v>8014</v>
      </c>
      <c r="C2132" t="s">
        <v>14435</v>
      </c>
      <c r="D2132" t="s">
        <v>8015</v>
      </c>
      <c r="E2132" t="s">
        <v>8014</v>
      </c>
      <c r="F2132" t="s">
        <v>28</v>
      </c>
      <c r="G2132" t="s">
        <v>8014</v>
      </c>
      <c r="H2132" t="str">
        <f>"D1014.4"</f>
        <v>D1014.4</v>
      </c>
      <c r="I2132" t="s">
        <v>8015</v>
      </c>
      <c r="J2132" t="s">
        <v>29</v>
      </c>
      <c r="K2132">
        <v>15.1095109712408</v>
      </c>
      <c r="L2132">
        <v>14.8968378428516</v>
      </c>
      <c r="M2132">
        <v>15.8926504623401</v>
      </c>
      <c r="N2132">
        <v>16.629596205352399</v>
      </c>
      <c r="O2132">
        <v>17.053916626896601</v>
      </c>
      <c r="P2132">
        <v>1.52221335781686</v>
      </c>
      <c r="Q2132">
        <v>0.750536027942316</v>
      </c>
      <c r="R2132">
        <v>2.2938906876914098</v>
      </c>
      <c r="S2132">
        <v>14.7840897183076</v>
      </c>
      <c r="T2132">
        <v>4.1637994162561096</v>
      </c>
      <c r="U2132">
        <v>-0.79525874407248898</v>
      </c>
      <c r="V2132">
        <v>6.5834216285241105E-4</v>
      </c>
      <c r="W2132">
        <v>6.8799090564753704E-3</v>
      </c>
      <c r="X2132">
        <v>1</v>
      </c>
      <c r="Y2132">
        <v>1</v>
      </c>
    </row>
    <row r="2133" spans="1:25" x14ac:dyDescent="0.2">
      <c r="A2133" t="s">
        <v>8016</v>
      </c>
      <c r="B2133" t="s">
        <v>8017</v>
      </c>
      <c r="C2133" t="s">
        <v>8018</v>
      </c>
      <c r="D2133" t="s">
        <v>8019</v>
      </c>
      <c r="E2133" t="s">
        <v>8017</v>
      </c>
      <c r="F2133" t="s">
        <v>28</v>
      </c>
      <c r="G2133" t="s">
        <v>8017</v>
      </c>
      <c r="H2133" t="str">
        <f>"slc-25a26"</f>
        <v>slc-25a26</v>
      </c>
      <c r="I2133" t="s">
        <v>8019</v>
      </c>
      <c r="J2133">
        <v>13.4330032865244</v>
      </c>
      <c r="K2133">
        <v>13.1342216584405</v>
      </c>
      <c r="L2133">
        <v>13.4097751393469</v>
      </c>
      <c r="M2133" t="s">
        <v>29</v>
      </c>
      <c r="N2133" t="s">
        <v>29</v>
      </c>
      <c r="O2133">
        <v>12.4433159977456</v>
      </c>
      <c r="P2133">
        <v>-0.88235069702499502</v>
      </c>
      <c r="Q2133">
        <v>-2.2641718851230301</v>
      </c>
      <c r="R2133">
        <v>0.49947049107303698</v>
      </c>
      <c r="S2133">
        <v>12.5074024713931</v>
      </c>
      <c r="T2133">
        <v>-1.3705070636951</v>
      </c>
      <c r="U2133">
        <v>-5.8803635947118904</v>
      </c>
      <c r="V2133">
        <v>0.192263713753903</v>
      </c>
      <c r="W2133">
        <v>0.34996983596834702</v>
      </c>
      <c r="X2133">
        <v>0</v>
      </c>
      <c r="Y2133">
        <v>0</v>
      </c>
    </row>
    <row r="2134" spans="1:25" x14ac:dyDescent="0.2">
      <c r="A2134" t="s">
        <v>8020</v>
      </c>
      <c r="B2134" t="s">
        <v>8021</v>
      </c>
      <c r="C2134" t="s">
        <v>8022</v>
      </c>
      <c r="D2134" t="s">
        <v>8023</v>
      </c>
      <c r="E2134" t="s">
        <v>8021</v>
      </c>
      <c r="F2134" t="s">
        <v>28</v>
      </c>
      <c r="G2134" t="s">
        <v>8021</v>
      </c>
      <c r="H2134" t="str">
        <f>"prp-38"</f>
        <v>prp-38</v>
      </c>
      <c r="I2134" t="s">
        <v>8023</v>
      </c>
      <c r="J2134">
        <v>14.154741305515699</v>
      </c>
      <c r="K2134">
        <v>14.6315362400499</v>
      </c>
      <c r="L2134">
        <v>14.4940919806984</v>
      </c>
      <c r="M2134" t="s">
        <v>29</v>
      </c>
      <c r="N2134">
        <v>14.524685202069399</v>
      </c>
      <c r="O2134">
        <v>14.4622217458392</v>
      </c>
      <c r="P2134">
        <v>6.6663631866306999E-2</v>
      </c>
      <c r="Q2134">
        <v>-0.34327285372600902</v>
      </c>
      <c r="R2134">
        <v>0.47660011745862302</v>
      </c>
      <c r="S2134">
        <v>14.498559480153499</v>
      </c>
      <c r="T2134">
        <v>0.34325937715721799</v>
      </c>
      <c r="U2134">
        <v>-6.9837553877153704</v>
      </c>
      <c r="V2134">
        <v>0.73563758572886995</v>
      </c>
      <c r="W2134">
        <v>0.829986204112932</v>
      </c>
      <c r="X2134">
        <v>0</v>
      </c>
      <c r="Y2134">
        <v>0</v>
      </c>
    </row>
    <row r="2135" spans="1:25" x14ac:dyDescent="0.2">
      <c r="A2135" t="s">
        <v>8024</v>
      </c>
      <c r="B2135" t="s">
        <v>8025</v>
      </c>
      <c r="C2135" t="s">
        <v>14436</v>
      </c>
      <c r="D2135" t="s">
        <v>8026</v>
      </c>
      <c r="E2135" t="s">
        <v>8025</v>
      </c>
      <c r="F2135" t="s">
        <v>28</v>
      </c>
      <c r="G2135" t="s">
        <v>8025</v>
      </c>
      <c r="H2135" t="str">
        <f>"D1054.10"</f>
        <v>D1054.10</v>
      </c>
      <c r="I2135" t="s">
        <v>8026</v>
      </c>
      <c r="J2135">
        <v>13.5253889533957</v>
      </c>
      <c r="K2135">
        <v>14.162905968514499</v>
      </c>
      <c r="L2135">
        <v>15.6476830223899</v>
      </c>
      <c r="M2135">
        <v>17.7061036697412</v>
      </c>
      <c r="N2135">
        <v>16.5445440872547</v>
      </c>
      <c r="O2135">
        <v>15.629040380519999</v>
      </c>
      <c r="P2135">
        <v>2.1812367310719698</v>
      </c>
      <c r="Q2135">
        <v>1.0074445189699499</v>
      </c>
      <c r="R2135">
        <v>3.3550289431740001</v>
      </c>
      <c r="S2135">
        <v>14.568232226460401</v>
      </c>
      <c r="T2135">
        <v>3.9057468559117399</v>
      </c>
      <c r="U2135">
        <v>-1.3796460536411801</v>
      </c>
      <c r="V2135">
        <v>1.04590770825928E-3</v>
      </c>
      <c r="W2135">
        <v>9.3972256592685603E-3</v>
      </c>
      <c r="X2135">
        <v>1</v>
      </c>
      <c r="Y2135">
        <v>1</v>
      </c>
    </row>
    <row r="2136" spans="1:25" x14ac:dyDescent="0.2">
      <c r="A2136" t="s">
        <v>8027</v>
      </c>
      <c r="B2136" t="s">
        <v>8028</v>
      </c>
      <c r="C2136" t="s">
        <v>14437</v>
      </c>
      <c r="D2136" t="s">
        <v>3246</v>
      </c>
      <c r="E2136" t="s">
        <v>8028</v>
      </c>
      <c r="F2136" t="s">
        <v>28</v>
      </c>
      <c r="G2136" t="s">
        <v>8028</v>
      </c>
      <c r="H2136" t="str">
        <f>"D1054.8"</f>
        <v>D1054.8</v>
      </c>
      <c r="I2136" t="s">
        <v>3246</v>
      </c>
      <c r="J2136">
        <v>12.538931416779899</v>
      </c>
      <c r="K2136">
        <v>12.470901392132401</v>
      </c>
      <c r="L2136">
        <v>12.8849518918028</v>
      </c>
      <c r="M2136" t="s">
        <v>29</v>
      </c>
      <c r="N2136" t="s">
        <v>29</v>
      </c>
      <c r="O2136">
        <v>12.988388410561299</v>
      </c>
      <c r="P2136">
        <v>0.35679351032295198</v>
      </c>
      <c r="Q2136">
        <v>-0.26392293253440202</v>
      </c>
      <c r="R2136">
        <v>0.97750995318030598</v>
      </c>
      <c r="S2136">
        <v>12.7841382395765</v>
      </c>
      <c r="T2136">
        <v>1.2191951495526501</v>
      </c>
      <c r="U2136">
        <v>-6.0668679424093703</v>
      </c>
      <c r="V2136">
        <v>0.24055441754330001</v>
      </c>
      <c r="W2136">
        <v>0.40602168871712702</v>
      </c>
      <c r="X2136">
        <v>0</v>
      </c>
      <c r="Y2136">
        <v>0</v>
      </c>
    </row>
    <row r="2137" spans="1:25" x14ac:dyDescent="0.2">
      <c r="A2137" t="s">
        <v>8029</v>
      </c>
      <c r="B2137" t="s">
        <v>8030</v>
      </c>
      <c r="C2137" t="s">
        <v>8031</v>
      </c>
      <c r="D2137" t="s">
        <v>8032</v>
      </c>
      <c r="E2137" t="s">
        <v>8030</v>
      </c>
      <c r="F2137" t="s">
        <v>28</v>
      </c>
      <c r="G2137" t="s">
        <v>8030</v>
      </c>
      <c r="H2137" t="str">
        <f>"ule-3"</f>
        <v>ule-3</v>
      </c>
      <c r="I2137" t="s">
        <v>8032</v>
      </c>
      <c r="J2137">
        <v>14.9685444036442</v>
      </c>
      <c r="K2137">
        <v>15.232185726265101</v>
      </c>
      <c r="L2137">
        <v>16.436739337217801</v>
      </c>
      <c r="M2137">
        <v>18.416734614190201</v>
      </c>
      <c r="N2137">
        <v>17.170234755598401</v>
      </c>
      <c r="O2137">
        <v>16.601568733198899</v>
      </c>
      <c r="P2137">
        <v>1.85035621195344</v>
      </c>
      <c r="Q2137">
        <v>0.77713521850393696</v>
      </c>
      <c r="R2137">
        <v>2.9235772054029501</v>
      </c>
      <c r="S2137">
        <v>15.767497993161999</v>
      </c>
      <c r="T2137">
        <v>3.6237539037700399</v>
      </c>
      <c r="U2137">
        <v>-1.99836120939808</v>
      </c>
      <c r="V2137">
        <v>1.95706356974896E-3</v>
      </c>
      <c r="W2137">
        <v>1.43076139298721E-2</v>
      </c>
      <c r="X2137">
        <v>1</v>
      </c>
      <c r="Y2137">
        <v>1</v>
      </c>
    </row>
    <row r="2138" spans="1:25" x14ac:dyDescent="0.2">
      <c r="A2138" t="s">
        <v>8033</v>
      </c>
      <c r="B2138" t="s">
        <v>8034</v>
      </c>
      <c r="C2138" t="s">
        <v>8035</v>
      </c>
      <c r="D2138" t="s">
        <v>8036</v>
      </c>
      <c r="E2138" t="s">
        <v>8034</v>
      </c>
      <c r="F2138" t="s">
        <v>28</v>
      </c>
      <c r="G2138" t="s">
        <v>8034</v>
      </c>
      <c r="H2138" t="str">
        <f>"eat-3"</f>
        <v>eat-3</v>
      </c>
      <c r="I2138" t="s">
        <v>8036</v>
      </c>
      <c r="J2138">
        <v>13.145174520042399</v>
      </c>
      <c r="K2138">
        <v>13.099905727327901</v>
      </c>
      <c r="L2138">
        <v>13.139593545046001</v>
      </c>
      <c r="M2138">
        <v>17.152195277684299</v>
      </c>
      <c r="N2138" t="s">
        <v>29</v>
      </c>
      <c r="O2138">
        <v>12.6660306463988</v>
      </c>
      <c r="P2138">
        <v>1.78088836456946</v>
      </c>
      <c r="Q2138">
        <v>0.232759820062166</v>
      </c>
      <c r="R2138">
        <v>3.3290169090767501</v>
      </c>
      <c r="S2138">
        <v>13.4279179849611</v>
      </c>
      <c r="T2138">
        <v>2.4281733671391201</v>
      </c>
      <c r="U2138">
        <v>-4.3902531056585001</v>
      </c>
      <c r="V2138">
        <v>2.6642488864857001E-2</v>
      </c>
      <c r="W2138">
        <v>8.9007846411732303E-2</v>
      </c>
      <c r="X2138">
        <v>1</v>
      </c>
      <c r="Y2138">
        <v>0</v>
      </c>
    </row>
    <row r="2139" spans="1:25" x14ac:dyDescent="0.2">
      <c r="A2139" t="s">
        <v>8037</v>
      </c>
      <c r="B2139" t="s">
        <v>8038</v>
      </c>
      <c r="C2139" t="s">
        <v>8039</v>
      </c>
      <c r="D2139" t="s">
        <v>8040</v>
      </c>
      <c r="E2139" t="s">
        <v>8038</v>
      </c>
      <c r="F2139" t="s">
        <v>28</v>
      </c>
      <c r="G2139" t="s">
        <v>8038</v>
      </c>
      <c r="H2139" t="str">
        <f>"eif-3.F"</f>
        <v>eif-3.F</v>
      </c>
      <c r="I2139" t="s">
        <v>8040</v>
      </c>
      <c r="J2139">
        <v>15.3767589026127</v>
      </c>
      <c r="K2139">
        <v>15.063894425273199</v>
      </c>
      <c r="L2139">
        <v>15.4509564533881</v>
      </c>
      <c r="M2139">
        <v>14.513308599596</v>
      </c>
      <c r="N2139">
        <v>14.541349984034399</v>
      </c>
      <c r="O2139">
        <v>14.9490732124749</v>
      </c>
      <c r="P2139">
        <v>-0.62929266172292997</v>
      </c>
      <c r="Q2139">
        <v>-0.98812496897769297</v>
      </c>
      <c r="R2139">
        <v>-0.27046035446816702</v>
      </c>
      <c r="S2139">
        <v>15.195440261214999</v>
      </c>
      <c r="T2139">
        <v>-3.68598567419158</v>
      </c>
      <c r="U2139">
        <v>-1.86227706485004</v>
      </c>
      <c r="V2139">
        <v>1.70447931170886E-3</v>
      </c>
      <c r="W2139">
        <v>1.3115144991138399E-2</v>
      </c>
      <c r="X2139">
        <v>0</v>
      </c>
      <c r="Y2139">
        <v>0</v>
      </c>
    </row>
    <row r="2140" spans="1:25" x14ac:dyDescent="0.2">
      <c r="A2140" t="s">
        <v>8041</v>
      </c>
      <c r="B2140" t="s">
        <v>8042</v>
      </c>
      <c r="C2140" t="s">
        <v>8043</v>
      </c>
      <c r="D2140" t="s">
        <v>8044</v>
      </c>
      <c r="E2140" t="s">
        <v>8042</v>
      </c>
      <c r="F2140" t="s">
        <v>28</v>
      </c>
      <c r="G2140" t="s">
        <v>8042</v>
      </c>
      <c r="H2140" t="str">
        <f>"scp-1"</f>
        <v>scp-1</v>
      </c>
      <c r="I2140" t="s">
        <v>8044</v>
      </c>
      <c r="J2140">
        <v>12.7786500578025</v>
      </c>
      <c r="K2140">
        <v>12.2700268024252</v>
      </c>
      <c r="L2140">
        <v>12.355016814104101</v>
      </c>
      <c r="M2140" t="s">
        <v>29</v>
      </c>
      <c r="N2140" t="s">
        <v>29</v>
      </c>
      <c r="O2140" t="s">
        <v>29</v>
      </c>
      <c r="P2140" t="s">
        <v>29</v>
      </c>
      <c r="Q2140" t="s">
        <v>29</v>
      </c>
      <c r="R2140" t="s">
        <v>29</v>
      </c>
      <c r="S2140">
        <v>12.2988309198113</v>
      </c>
      <c r="T2140" t="s">
        <v>29</v>
      </c>
      <c r="U2140" t="s">
        <v>29</v>
      </c>
      <c r="V2140" t="s">
        <v>29</v>
      </c>
      <c r="W2140" t="s">
        <v>29</v>
      </c>
      <c r="X2140" t="s">
        <v>29</v>
      </c>
      <c r="Y2140" t="s">
        <v>29</v>
      </c>
    </row>
    <row r="2141" spans="1:25" x14ac:dyDescent="0.2">
      <c r="A2141" t="s">
        <v>8045</v>
      </c>
      <c r="B2141" t="s">
        <v>8046</v>
      </c>
      <c r="C2141" t="s">
        <v>8047</v>
      </c>
      <c r="D2141" t="s">
        <v>8048</v>
      </c>
      <c r="E2141" t="s">
        <v>8046</v>
      </c>
      <c r="F2141" t="s">
        <v>28</v>
      </c>
      <c r="G2141" t="s">
        <v>8046</v>
      </c>
      <c r="H2141" t="str">
        <f>"rab-39"</f>
        <v>rab-39</v>
      </c>
      <c r="I2141" t="s">
        <v>8048</v>
      </c>
      <c r="J2141">
        <v>13.868356047574499</v>
      </c>
      <c r="K2141">
        <v>13.622665437936901</v>
      </c>
      <c r="L2141">
        <v>13.5614852213916</v>
      </c>
      <c r="M2141" t="s">
        <v>29</v>
      </c>
      <c r="N2141" t="s">
        <v>29</v>
      </c>
      <c r="O2141">
        <v>13.3890485990048</v>
      </c>
      <c r="P2141">
        <v>-0.29512030329621602</v>
      </c>
      <c r="Q2141">
        <v>-0.81666703734472501</v>
      </c>
      <c r="R2141">
        <v>0.22642643075229399</v>
      </c>
      <c r="S2141">
        <v>13.2885125044631</v>
      </c>
      <c r="T2141">
        <v>-1.2002048797807301</v>
      </c>
      <c r="U2141">
        <v>-6.0889380174840202</v>
      </c>
      <c r="V2141">
        <v>0.247642757069024</v>
      </c>
      <c r="W2141">
        <v>0.41489664871086501</v>
      </c>
      <c r="X2141">
        <v>0</v>
      </c>
      <c r="Y2141">
        <v>0</v>
      </c>
    </row>
    <row r="2142" spans="1:25" x14ac:dyDescent="0.2">
      <c r="A2142" t="s">
        <v>8049</v>
      </c>
      <c r="B2142" t="s">
        <v>8050</v>
      </c>
      <c r="C2142" t="s">
        <v>8051</v>
      </c>
      <c r="D2142" t="s">
        <v>8052</v>
      </c>
      <c r="E2142" t="s">
        <v>8050</v>
      </c>
      <c r="F2142" t="s">
        <v>28</v>
      </c>
      <c r="G2142" t="s">
        <v>8050</v>
      </c>
      <c r="H2142" t="str">
        <f>"ecps-1"</f>
        <v>ecps-1</v>
      </c>
      <c r="I2142" t="s">
        <v>8052</v>
      </c>
      <c r="J2142">
        <v>13.6818913888218</v>
      </c>
      <c r="K2142">
        <v>13.812036116267301</v>
      </c>
      <c r="L2142">
        <v>13.6076659730236</v>
      </c>
      <c r="M2142">
        <v>15.166626218705099</v>
      </c>
      <c r="N2142">
        <v>13.688062102643199</v>
      </c>
      <c r="O2142">
        <v>13.5110036930134</v>
      </c>
      <c r="P2142">
        <v>0.42136617874965898</v>
      </c>
      <c r="Q2142">
        <v>-0.21768178534813001</v>
      </c>
      <c r="R2142">
        <v>1.0604141428474501</v>
      </c>
      <c r="S2142">
        <v>13.7647907573157</v>
      </c>
      <c r="T2142">
        <v>1.38585799393308</v>
      </c>
      <c r="U2142">
        <v>-6.1991889354101399</v>
      </c>
      <c r="V2142">
        <v>0.18281944307561401</v>
      </c>
      <c r="W2142">
        <v>0.33673056171489602</v>
      </c>
      <c r="X2142">
        <v>0</v>
      </c>
      <c r="Y2142">
        <v>0</v>
      </c>
    </row>
    <row r="2143" spans="1:25" x14ac:dyDescent="0.2">
      <c r="A2143" t="s">
        <v>8053</v>
      </c>
      <c r="B2143" t="s">
        <v>8054</v>
      </c>
      <c r="C2143" t="s">
        <v>8055</v>
      </c>
      <c r="D2143" t="s">
        <v>8056</v>
      </c>
      <c r="E2143" t="s">
        <v>8054</v>
      </c>
      <c r="F2143" t="s">
        <v>28</v>
      </c>
      <c r="G2143" t="s">
        <v>8054</v>
      </c>
      <c r="H2143" t="str">
        <f>"pyr-1"</f>
        <v>pyr-1</v>
      </c>
      <c r="I2143" t="s">
        <v>8056</v>
      </c>
      <c r="J2143">
        <v>15.9756180792708</v>
      </c>
      <c r="K2143">
        <v>15.7577798297912</v>
      </c>
      <c r="L2143">
        <v>16.041416623046899</v>
      </c>
      <c r="M2143">
        <v>15.0592019370384</v>
      </c>
      <c r="N2143">
        <v>15.7271233399905</v>
      </c>
      <c r="O2143">
        <v>15.8040377873215</v>
      </c>
      <c r="P2143">
        <v>-0.39481715591952199</v>
      </c>
      <c r="Q2143">
        <v>-0.90159199513365296</v>
      </c>
      <c r="R2143">
        <v>0.11195768329460801</v>
      </c>
      <c r="S2143">
        <v>15.8769609283788</v>
      </c>
      <c r="T2143">
        <v>-1.6374704988303099</v>
      </c>
      <c r="U2143">
        <v>-5.84568677538355</v>
      </c>
      <c r="V2143">
        <v>0.118995981657377</v>
      </c>
      <c r="W2143">
        <v>0.24574713240665</v>
      </c>
      <c r="X2143">
        <v>0</v>
      </c>
      <c r="Y2143">
        <v>0</v>
      </c>
    </row>
    <row r="2144" spans="1:25" x14ac:dyDescent="0.2">
      <c r="A2144" t="s">
        <v>8057</v>
      </c>
      <c r="B2144" t="s">
        <v>8058</v>
      </c>
      <c r="C2144" t="s">
        <v>8059</v>
      </c>
      <c r="D2144" t="s">
        <v>8060</v>
      </c>
      <c r="E2144" t="s">
        <v>8058</v>
      </c>
      <c r="F2144" t="s">
        <v>28</v>
      </c>
      <c r="G2144" t="s">
        <v>8058</v>
      </c>
      <c r="H2144" t="str">
        <f>"eif-2bepsilon"</f>
        <v>eif-2bepsilon</v>
      </c>
      <c r="I2144" t="s">
        <v>8060</v>
      </c>
      <c r="J2144">
        <v>13.1029593658637</v>
      </c>
      <c r="K2144">
        <v>12.9424347783723</v>
      </c>
      <c r="L2144">
        <v>13.102783046228399</v>
      </c>
      <c r="M2144" t="s">
        <v>29</v>
      </c>
      <c r="N2144">
        <v>13.816480696751199</v>
      </c>
      <c r="O2144">
        <v>12.9902237816137</v>
      </c>
      <c r="P2144">
        <v>0.353959842360966</v>
      </c>
      <c r="Q2144">
        <v>-0.14375964855204801</v>
      </c>
      <c r="R2144">
        <v>0.85167933327398104</v>
      </c>
      <c r="S2144">
        <v>13.132745171403601</v>
      </c>
      <c r="T2144">
        <v>1.50113364151423</v>
      </c>
      <c r="U2144">
        <v>-5.93411001131558</v>
      </c>
      <c r="V2144">
        <v>0.15177853521321799</v>
      </c>
      <c r="W2144">
        <v>0.29602339065079702</v>
      </c>
      <c r="X2144">
        <v>0</v>
      </c>
      <c r="Y2144">
        <v>0</v>
      </c>
    </row>
    <row r="2145" spans="1:25" x14ac:dyDescent="0.2">
      <c r="A2145" t="s">
        <v>8061</v>
      </c>
      <c r="B2145" t="s">
        <v>8062</v>
      </c>
      <c r="C2145" t="s">
        <v>8063</v>
      </c>
      <c r="D2145" t="s">
        <v>8064</v>
      </c>
      <c r="E2145" t="s">
        <v>8062</v>
      </c>
      <c r="F2145" t="s">
        <v>28</v>
      </c>
      <c r="G2145" t="s">
        <v>8062</v>
      </c>
      <c r="H2145" t="str">
        <f>"nap-1"</f>
        <v>nap-1</v>
      </c>
      <c r="I2145" t="s">
        <v>8064</v>
      </c>
      <c r="J2145">
        <v>12.6789625809438</v>
      </c>
      <c r="K2145">
        <v>12.5725581685767</v>
      </c>
      <c r="L2145">
        <v>12.714227230652901</v>
      </c>
      <c r="M2145">
        <v>16.021453755034202</v>
      </c>
      <c r="N2145">
        <v>16.6952911184869</v>
      </c>
      <c r="O2145">
        <v>17.307798347158801</v>
      </c>
      <c r="P2145">
        <v>4.0195984135021998</v>
      </c>
      <c r="Q2145">
        <v>3.3015912583921101</v>
      </c>
      <c r="R2145">
        <v>4.73760556861229</v>
      </c>
      <c r="S2145">
        <v>15.491970214146001</v>
      </c>
      <c r="T2145">
        <v>11.766475833731601</v>
      </c>
      <c r="U2145">
        <v>12.895580757334001</v>
      </c>
      <c r="V2145" s="2">
        <v>7.4191893150458699E-10</v>
      </c>
      <c r="W2145" s="2">
        <v>1.4576233940960101E-7</v>
      </c>
      <c r="X2145">
        <v>1</v>
      </c>
      <c r="Y2145">
        <v>1</v>
      </c>
    </row>
    <row r="2146" spans="1:25" x14ac:dyDescent="0.2">
      <c r="A2146" t="s">
        <v>8065</v>
      </c>
      <c r="B2146" t="s">
        <v>8066</v>
      </c>
      <c r="C2146" t="s">
        <v>8067</v>
      </c>
      <c r="D2146" t="s">
        <v>8068</v>
      </c>
      <c r="E2146" t="s">
        <v>8066</v>
      </c>
      <c r="F2146" t="s">
        <v>28</v>
      </c>
      <c r="G2146" t="s">
        <v>8066</v>
      </c>
      <c r="H2146" t="str">
        <f>"glna-2"</f>
        <v>glna-2</v>
      </c>
      <c r="I2146" t="s">
        <v>8068</v>
      </c>
      <c r="J2146" t="s">
        <v>29</v>
      </c>
      <c r="K2146" t="s">
        <v>29</v>
      </c>
      <c r="L2146" t="s">
        <v>29</v>
      </c>
      <c r="M2146" t="s">
        <v>29</v>
      </c>
      <c r="N2146">
        <v>15.509567254020499</v>
      </c>
      <c r="O2146">
        <v>14.3556006402154</v>
      </c>
      <c r="P2146" t="s">
        <v>29</v>
      </c>
      <c r="Q2146" t="s">
        <v>29</v>
      </c>
      <c r="R2146" t="s">
        <v>29</v>
      </c>
      <c r="S2146">
        <v>13.6990273465762</v>
      </c>
      <c r="T2146" t="s">
        <v>29</v>
      </c>
      <c r="U2146" t="s">
        <v>29</v>
      </c>
      <c r="V2146" t="s">
        <v>29</v>
      </c>
      <c r="W2146" t="s">
        <v>29</v>
      </c>
      <c r="X2146" t="s">
        <v>29</v>
      </c>
      <c r="Y2146" t="s">
        <v>29</v>
      </c>
    </row>
    <row r="2147" spans="1:25" x14ac:dyDescent="0.2">
      <c r="A2147" t="s">
        <v>8069</v>
      </c>
      <c r="B2147" t="s">
        <v>8070</v>
      </c>
      <c r="C2147" t="s">
        <v>14438</v>
      </c>
      <c r="D2147" t="s">
        <v>3358</v>
      </c>
      <c r="E2147" t="s">
        <v>8070</v>
      </c>
      <c r="F2147" t="s">
        <v>28</v>
      </c>
      <c r="G2147" t="s">
        <v>8070</v>
      </c>
      <c r="H2147" t="str">
        <f>"DH11.2"</f>
        <v>DH11.2</v>
      </c>
      <c r="I2147" t="s">
        <v>3358</v>
      </c>
      <c r="J2147" t="s">
        <v>29</v>
      </c>
      <c r="K2147" t="s">
        <v>29</v>
      </c>
      <c r="L2147">
        <v>12.3053299836963</v>
      </c>
      <c r="M2147" t="s">
        <v>29</v>
      </c>
      <c r="N2147" t="s">
        <v>29</v>
      </c>
      <c r="O2147">
        <v>12.629006198923401</v>
      </c>
      <c r="P2147">
        <v>0.323676215227099</v>
      </c>
      <c r="Q2147">
        <v>-0.76164556323466903</v>
      </c>
      <c r="R2147">
        <v>1.4089979936888699</v>
      </c>
      <c r="S2147">
        <v>12.3914636366463</v>
      </c>
      <c r="T2147">
        <v>0.65717337922705099</v>
      </c>
      <c r="U2147">
        <v>-6.3858826561192004</v>
      </c>
      <c r="V2147">
        <v>0.52470905356778796</v>
      </c>
      <c r="W2147">
        <v>0.67495311255533497</v>
      </c>
      <c r="X2147">
        <v>0</v>
      </c>
      <c r="Y2147">
        <v>0</v>
      </c>
    </row>
    <row r="2148" spans="1:25" x14ac:dyDescent="0.2">
      <c r="A2148" t="s">
        <v>8071</v>
      </c>
      <c r="B2148" t="s">
        <v>8072</v>
      </c>
      <c r="C2148" t="s">
        <v>8073</v>
      </c>
      <c r="D2148" t="s">
        <v>8074</v>
      </c>
      <c r="E2148" t="s">
        <v>8072</v>
      </c>
      <c r="F2148" t="s">
        <v>28</v>
      </c>
      <c r="G2148" t="s">
        <v>8072</v>
      </c>
      <c r="H2148" t="str">
        <f>"dhc-1"</f>
        <v>dhc-1</v>
      </c>
      <c r="I2148" t="s">
        <v>8074</v>
      </c>
      <c r="J2148">
        <v>15.5492276851033</v>
      </c>
      <c r="K2148">
        <v>15.4861616704274</v>
      </c>
      <c r="L2148">
        <v>15.3848292665571</v>
      </c>
      <c r="M2148">
        <v>15.2153267892662</v>
      </c>
      <c r="N2148">
        <v>15.1721320230033</v>
      </c>
      <c r="O2148">
        <v>15.243099039106999</v>
      </c>
      <c r="P2148">
        <v>-0.26322025690377898</v>
      </c>
      <c r="Q2148">
        <v>-0.56500854916473997</v>
      </c>
      <c r="R2148">
        <v>3.8568035357182201E-2</v>
      </c>
      <c r="S2148">
        <v>15.362457851866401</v>
      </c>
      <c r="T2148">
        <v>-1.8331982513224301</v>
      </c>
      <c r="U2148">
        <v>-5.5409608857409101</v>
      </c>
      <c r="V2148">
        <v>8.3463007167259101E-2</v>
      </c>
      <c r="W2148">
        <v>0.19254973707547901</v>
      </c>
      <c r="X2148">
        <v>0</v>
      </c>
      <c r="Y2148">
        <v>0</v>
      </c>
    </row>
    <row r="2149" spans="1:25" x14ac:dyDescent="0.2">
      <c r="A2149" t="s">
        <v>8075</v>
      </c>
      <c r="B2149" t="s">
        <v>8076</v>
      </c>
      <c r="C2149" t="s">
        <v>8077</v>
      </c>
      <c r="D2149" t="s">
        <v>2655</v>
      </c>
      <c r="E2149" t="s">
        <v>8076</v>
      </c>
      <c r="F2149" t="s">
        <v>28</v>
      </c>
      <c r="G2149" t="s">
        <v>8076</v>
      </c>
      <c r="H2149" t="str">
        <f>"rcq-5"</f>
        <v>rcq-5</v>
      </c>
      <c r="I2149" t="s">
        <v>2655</v>
      </c>
      <c r="J2149" t="s">
        <v>29</v>
      </c>
      <c r="K2149" t="s">
        <v>29</v>
      </c>
      <c r="L2149" t="s">
        <v>29</v>
      </c>
      <c r="M2149" t="s">
        <v>29</v>
      </c>
      <c r="N2149" t="s">
        <v>29</v>
      </c>
      <c r="O2149" t="s">
        <v>29</v>
      </c>
      <c r="P2149" t="s">
        <v>29</v>
      </c>
      <c r="Q2149" t="s">
        <v>29</v>
      </c>
      <c r="R2149" t="s">
        <v>29</v>
      </c>
      <c r="S2149">
        <v>11.4303589563381</v>
      </c>
      <c r="T2149" t="s">
        <v>29</v>
      </c>
      <c r="U2149" t="s">
        <v>29</v>
      </c>
      <c r="V2149" t="s">
        <v>29</v>
      </c>
      <c r="W2149" t="s">
        <v>29</v>
      </c>
      <c r="X2149" t="s">
        <v>29</v>
      </c>
      <c r="Y2149" t="s">
        <v>29</v>
      </c>
    </row>
    <row r="2150" spans="1:25" x14ac:dyDescent="0.2">
      <c r="A2150" t="s">
        <v>8078</v>
      </c>
      <c r="B2150" t="s">
        <v>8079</v>
      </c>
      <c r="C2150" t="s">
        <v>8080</v>
      </c>
      <c r="D2150" t="s">
        <v>8081</v>
      </c>
      <c r="E2150" t="s">
        <v>8079</v>
      </c>
      <c r="F2150" t="s">
        <v>28</v>
      </c>
      <c r="G2150" t="s">
        <v>8079</v>
      </c>
      <c r="H2150" t="str">
        <f>"eif-2A"</f>
        <v>eif-2A</v>
      </c>
      <c r="I2150" t="s">
        <v>8081</v>
      </c>
      <c r="J2150">
        <v>12.369600254961799</v>
      </c>
      <c r="K2150">
        <v>12.343046050931701</v>
      </c>
      <c r="L2150">
        <v>12.295926181980001</v>
      </c>
      <c r="M2150">
        <v>15.525778895549401</v>
      </c>
      <c r="N2150">
        <v>16.2135234354378</v>
      </c>
      <c r="O2150">
        <v>15.6832694795529</v>
      </c>
      <c r="P2150">
        <v>3.4713331075555001</v>
      </c>
      <c r="Q2150">
        <v>3.01409053055573</v>
      </c>
      <c r="R2150">
        <v>3.9285756845552702</v>
      </c>
      <c r="S2150">
        <v>13.866750275147901</v>
      </c>
      <c r="T2150">
        <v>15.956665454575701</v>
      </c>
      <c r="U2150">
        <v>17.801531033373902</v>
      </c>
      <c r="V2150" s="2">
        <v>5.0227413800304602E-12</v>
      </c>
      <c r="W2150" s="2">
        <v>2.96040376938995E-9</v>
      </c>
      <c r="X2150">
        <v>1</v>
      </c>
      <c r="Y2150">
        <v>1</v>
      </c>
    </row>
    <row r="2151" spans="1:25" x14ac:dyDescent="0.2">
      <c r="A2151" t="s">
        <v>8082</v>
      </c>
      <c r="B2151" t="s">
        <v>8083</v>
      </c>
      <c r="C2151" t="s">
        <v>8084</v>
      </c>
      <c r="D2151" t="s">
        <v>8085</v>
      </c>
      <c r="E2151" t="s">
        <v>8083</v>
      </c>
      <c r="F2151" t="s">
        <v>28</v>
      </c>
      <c r="G2151" t="s">
        <v>8083</v>
      </c>
      <c r="H2151" t="str">
        <f>"acdh-12"</f>
        <v>acdh-12</v>
      </c>
      <c r="I2151" t="s">
        <v>8085</v>
      </c>
      <c r="J2151">
        <v>17.098367815091699</v>
      </c>
      <c r="K2151">
        <v>16.9685985416852</v>
      </c>
      <c r="L2151">
        <v>17.018888318247399</v>
      </c>
      <c r="M2151">
        <v>16.221515163142399</v>
      </c>
      <c r="N2151">
        <v>16.960911180392099</v>
      </c>
      <c r="O2151">
        <v>16.773873488661899</v>
      </c>
      <c r="P2151">
        <v>-0.37651828094265499</v>
      </c>
      <c r="Q2151">
        <v>-0.84348154622999805</v>
      </c>
      <c r="R2151">
        <v>9.0444984344688298E-2</v>
      </c>
      <c r="S2151">
        <v>17.1772338349884</v>
      </c>
      <c r="T2151">
        <v>-1.69471183815877</v>
      </c>
      <c r="U2151">
        <v>-5.7591133934603702</v>
      </c>
      <c r="V2151">
        <v>0.10746101021542299</v>
      </c>
      <c r="W2151">
        <v>0.22766901301570799</v>
      </c>
      <c r="X2151">
        <v>0</v>
      </c>
      <c r="Y2151">
        <v>0</v>
      </c>
    </row>
    <row r="2152" spans="1:25" x14ac:dyDescent="0.2">
      <c r="A2152" t="s">
        <v>8086</v>
      </c>
      <c r="B2152" t="s">
        <v>8087</v>
      </c>
      <c r="C2152" t="s">
        <v>8088</v>
      </c>
      <c r="D2152" t="s">
        <v>2795</v>
      </c>
      <c r="E2152" t="s">
        <v>8087</v>
      </c>
      <c r="F2152" t="s">
        <v>28</v>
      </c>
      <c r="G2152" t="s">
        <v>8087</v>
      </c>
      <c r="H2152" t="str">
        <f>"ugt-57"</f>
        <v>ugt-57</v>
      </c>
      <c r="I2152" t="s">
        <v>2795</v>
      </c>
      <c r="J2152" t="s">
        <v>29</v>
      </c>
      <c r="K2152">
        <v>13.107505120877001</v>
      </c>
      <c r="L2152">
        <v>13.3212420105784</v>
      </c>
      <c r="M2152" t="s">
        <v>29</v>
      </c>
      <c r="N2152" t="s">
        <v>29</v>
      </c>
      <c r="O2152" t="s">
        <v>29</v>
      </c>
      <c r="P2152" t="s">
        <v>29</v>
      </c>
      <c r="Q2152" t="s">
        <v>29</v>
      </c>
      <c r="R2152" t="s">
        <v>29</v>
      </c>
      <c r="S2152">
        <v>12.940569258979799</v>
      </c>
      <c r="T2152" t="s">
        <v>29</v>
      </c>
      <c r="U2152" t="s">
        <v>29</v>
      </c>
      <c r="V2152" t="s">
        <v>29</v>
      </c>
      <c r="W2152" t="s">
        <v>29</v>
      </c>
      <c r="X2152" t="s">
        <v>29</v>
      </c>
      <c r="Y2152" t="s">
        <v>29</v>
      </c>
    </row>
    <row r="2153" spans="1:25" x14ac:dyDescent="0.2">
      <c r="A2153" t="s">
        <v>8089</v>
      </c>
      <c r="B2153" t="s">
        <v>8090</v>
      </c>
      <c r="C2153" t="s">
        <v>14439</v>
      </c>
      <c r="D2153" t="s">
        <v>1919</v>
      </c>
      <c r="E2153" t="s">
        <v>8090</v>
      </c>
      <c r="F2153" t="s">
        <v>28</v>
      </c>
      <c r="G2153" t="s">
        <v>8090</v>
      </c>
      <c r="H2153" t="str">
        <f>"F01F1.11"</f>
        <v>F01F1.11</v>
      </c>
      <c r="I2153" t="s">
        <v>1919</v>
      </c>
      <c r="J2153">
        <v>10.926912749450199</v>
      </c>
      <c r="K2153">
        <v>10.872295335958</v>
      </c>
      <c r="L2153">
        <v>11.2238903703653</v>
      </c>
      <c r="M2153" t="s">
        <v>29</v>
      </c>
      <c r="N2153" t="s">
        <v>29</v>
      </c>
      <c r="O2153" t="s">
        <v>29</v>
      </c>
      <c r="P2153" t="s">
        <v>29</v>
      </c>
      <c r="Q2153" t="s">
        <v>29</v>
      </c>
      <c r="R2153" t="s">
        <v>29</v>
      </c>
      <c r="S2153">
        <v>11.1956580138569</v>
      </c>
      <c r="T2153" t="s">
        <v>29</v>
      </c>
      <c r="U2153" t="s">
        <v>29</v>
      </c>
      <c r="V2153" t="s">
        <v>29</v>
      </c>
      <c r="W2153" t="s">
        <v>29</v>
      </c>
      <c r="X2153" t="s">
        <v>29</v>
      </c>
      <c r="Y2153" t="s">
        <v>29</v>
      </c>
    </row>
    <row r="2154" spans="1:25" x14ac:dyDescent="0.2">
      <c r="A2154" t="s">
        <v>8091</v>
      </c>
      <c r="B2154" t="s">
        <v>8092</v>
      </c>
      <c r="C2154" t="s">
        <v>8093</v>
      </c>
      <c r="D2154" t="s">
        <v>8094</v>
      </c>
      <c r="E2154" t="s">
        <v>8092</v>
      </c>
      <c r="F2154" t="s">
        <v>28</v>
      </c>
      <c r="G2154" t="s">
        <v>8092</v>
      </c>
      <c r="H2154" t="str">
        <f>"sur-7"</f>
        <v>sur-7</v>
      </c>
      <c r="I2154" t="s">
        <v>8094</v>
      </c>
      <c r="J2154">
        <v>11.8917419125469</v>
      </c>
      <c r="K2154">
        <v>11.5133957911428</v>
      </c>
      <c r="L2154">
        <v>12.1613716939695</v>
      </c>
      <c r="M2154" t="s">
        <v>29</v>
      </c>
      <c r="N2154">
        <v>12.565949078342801</v>
      </c>
      <c r="O2154">
        <v>11.527931749673799</v>
      </c>
      <c r="P2154">
        <v>0.19143728145519001</v>
      </c>
      <c r="Q2154">
        <v>-0.71477934263515697</v>
      </c>
      <c r="R2154">
        <v>1.0976539055455401</v>
      </c>
      <c r="S2154">
        <v>12.0190865681838</v>
      </c>
      <c r="T2154">
        <v>0.45340508483126701</v>
      </c>
      <c r="U2154">
        <v>-6.9369164785210797</v>
      </c>
      <c r="V2154">
        <v>0.65725712904844003</v>
      </c>
      <c r="W2154">
        <v>0.77291969645081904</v>
      </c>
      <c r="X2154">
        <v>0</v>
      </c>
      <c r="Y2154">
        <v>0</v>
      </c>
    </row>
    <row r="2155" spans="1:25" x14ac:dyDescent="0.2">
      <c r="A2155" t="s">
        <v>8095</v>
      </c>
      <c r="B2155" t="s">
        <v>8096</v>
      </c>
      <c r="C2155" t="s">
        <v>8097</v>
      </c>
      <c r="D2155" t="s">
        <v>8098</v>
      </c>
      <c r="E2155" t="s">
        <v>8096</v>
      </c>
      <c r="F2155" t="s">
        <v>28</v>
      </c>
      <c r="G2155" t="s">
        <v>8096</v>
      </c>
      <c r="H2155" t="str">
        <f>"skih-2"</f>
        <v>skih-2</v>
      </c>
      <c r="I2155" t="s">
        <v>8098</v>
      </c>
      <c r="J2155">
        <v>12.123640722239999</v>
      </c>
      <c r="K2155">
        <v>12.0290831250881</v>
      </c>
      <c r="L2155">
        <v>12.074542727467801</v>
      </c>
      <c r="M2155" t="s">
        <v>29</v>
      </c>
      <c r="N2155" t="s">
        <v>29</v>
      </c>
      <c r="O2155">
        <v>12.4355201496326</v>
      </c>
      <c r="P2155">
        <v>0.35976462470062398</v>
      </c>
      <c r="Q2155">
        <v>-0.30676110454112498</v>
      </c>
      <c r="R2155">
        <v>1.02629035394237</v>
      </c>
      <c r="S2155">
        <v>12.4594708416265</v>
      </c>
      <c r="T2155">
        <v>1.1448565375316799</v>
      </c>
      <c r="U2155">
        <v>-6.1516077857792197</v>
      </c>
      <c r="V2155">
        <v>0.269215416119159</v>
      </c>
      <c r="W2155">
        <v>0.43664162427251602</v>
      </c>
      <c r="X2155">
        <v>0</v>
      </c>
      <c r="Y2155">
        <v>0</v>
      </c>
    </row>
    <row r="2156" spans="1:25" x14ac:dyDescent="0.2">
      <c r="A2156" t="s">
        <v>8099</v>
      </c>
      <c r="B2156" t="s">
        <v>8100</v>
      </c>
      <c r="C2156" t="s">
        <v>14440</v>
      </c>
      <c r="D2156" t="s">
        <v>8101</v>
      </c>
      <c r="E2156" t="s">
        <v>8100</v>
      </c>
      <c r="F2156" t="s">
        <v>28</v>
      </c>
      <c r="G2156" t="s">
        <v>8100</v>
      </c>
      <c r="H2156" t="str">
        <f>"F02E8.4"</f>
        <v>F02E8.4</v>
      </c>
      <c r="I2156" t="s">
        <v>8101</v>
      </c>
      <c r="J2156" t="s">
        <v>29</v>
      </c>
      <c r="K2156">
        <v>11.143202300855901</v>
      </c>
      <c r="L2156">
        <v>11.0541862061127</v>
      </c>
      <c r="M2156" t="s">
        <v>29</v>
      </c>
      <c r="N2156" t="s">
        <v>29</v>
      </c>
      <c r="O2156" t="s">
        <v>29</v>
      </c>
      <c r="P2156" t="s">
        <v>29</v>
      </c>
      <c r="Q2156" t="s">
        <v>29</v>
      </c>
      <c r="R2156" t="s">
        <v>29</v>
      </c>
      <c r="S2156">
        <v>11.862946502580501</v>
      </c>
      <c r="T2156" t="s">
        <v>29</v>
      </c>
      <c r="U2156" t="s">
        <v>29</v>
      </c>
      <c r="V2156" t="s">
        <v>29</v>
      </c>
      <c r="W2156" t="s">
        <v>29</v>
      </c>
      <c r="X2156" t="s">
        <v>29</v>
      </c>
      <c r="Y2156" t="s">
        <v>29</v>
      </c>
    </row>
    <row r="2157" spans="1:25" x14ac:dyDescent="0.2">
      <c r="A2157" t="s">
        <v>8102</v>
      </c>
      <c r="B2157" t="s">
        <v>8103</v>
      </c>
      <c r="C2157" t="s">
        <v>8104</v>
      </c>
      <c r="D2157" t="s">
        <v>3206</v>
      </c>
      <c r="E2157" t="s">
        <v>8103</v>
      </c>
      <c r="F2157" t="s">
        <v>28</v>
      </c>
      <c r="G2157" t="s">
        <v>8103</v>
      </c>
      <c r="H2157" t="str">
        <f>"aps-2"</f>
        <v>aps-2</v>
      </c>
      <c r="I2157" t="s">
        <v>3206</v>
      </c>
      <c r="J2157">
        <v>14.919407199716501</v>
      </c>
      <c r="K2157">
        <v>15.083091985812301</v>
      </c>
      <c r="L2157">
        <v>14.891544168103101</v>
      </c>
      <c r="M2157">
        <v>15.135428509371099</v>
      </c>
      <c r="N2157">
        <v>14.266706616995901</v>
      </c>
      <c r="O2157">
        <v>14.967421664363901</v>
      </c>
      <c r="P2157">
        <v>-0.174828854300321</v>
      </c>
      <c r="Q2157">
        <v>-0.597796060143307</v>
      </c>
      <c r="R2157">
        <v>0.248138351542665</v>
      </c>
      <c r="S2157">
        <v>14.5893925796092</v>
      </c>
      <c r="T2157">
        <v>-0.868758223173694</v>
      </c>
      <c r="U2157">
        <v>-6.7683926221561297</v>
      </c>
      <c r="V2157">
        <v>0.39648176264451102</v>
      </c>
      <c r="W2157">
        <v>0.56473260247142298</v>
      </c>
      <c r="X2157">
        <v>0</v>
      </c>
      <c r="Y2157">
        <v>0</v>
      </c>
    </row>
    <row r="2158" spans="1:25" x14ac:dyDescent="0.2">
      <c r="A2158" t="s">
        <v>8105</v>
      </c>
      <c r="B2158" t="s">
        <v>8106</v>
      </c>
      <c r="C2158" t="s">
        <v>8107</v>
      </c>
      <c r="D2158" t="s">
        <v>8108</v>
      </c>
      <c r="E2158" t="s">
        <v>8106</v>
      </c>
      <c r="F2158" t="s">
        <v>28</v>
      </c>
      <c r="G2158" t="s">
        <v>8106</v>
      </c>
      <c r="H2158" t="str">
        <f>"atg-16.1"</f>
        <v>atg-16.1</v>
      </c>
      <c r="I2158" t="s">
        <v>8108</v>
      </c>
      <c r="J2158">
        <v>10.831997964446201</v>
      </c>
      <c r="K2158">
        <v>10.7107202778752</v>
      </c>
      <c r="L2158">
        <v>10.897376588109999</v>
      </c>
      <c r="M2158" t="s">
        <v>29</v>
      </c>
      <c r="N2158" t="s">
        <v>29</v>
      </c>
      <c r="O2158">
        <v>11.224843500481301</v>
      </c>
      <c r="P2158">
        <v>0.41147855700416403</v>
      </c>
      <c r="Q2158">
        <v>-0.318511529655359</v>
      </c>
      <c r="R2158">
        <v>1.1414686436636901</v>
      </c>
      <c r="S2158">
        <v>10.6037665249626</v>
      </c>
      <c r="T2158">
        <v>1.2098238410580699</v>
      </c>
      <c r="U2158">
        <v>-6.0761168154651202</v>
      </c>
      <c r="V2158">
        <v>0.24652745071791601</v>
      </c>
      <c r="W2158">
        <v>0.41326302461074899</v>
      </c>
      <c r="X2158">
        <v>0</v>
      </c>
      <c r="Y2158">
        <v>0</v>
      </c>
    </row>
    <row r="2159" spans="1:25" x14ac:dyDescent="0.2">
      <c r="A2159" t="s">
        <v>8109</v>
      </c>
      <c r="B2159" t="s">
        <v>8110</v>
      </c>
      <c r="C2159" t="s">
        <v>8111</v>
      </c>
      <c r="D2159" t="s">
        <v>8112</v>
      </c>
      <c r="E2159" t="s">
        <v>8110</v>
      </c>
      <c r="F2159" t="s">
        <v>28</v>
      </c>
      <c r="G2159" t="s">
        <v>8110</v>
      </c>
      <c r="H2159" t="str">
        <f>"asb-2"</f>
        <v>asb-2</v>
      </c>
      <c r="I2159" t="s">
        <v>8112</v>
      </c>
      <c r="J2159">
        <v>15.248678653862701</v>
      </c>
      <c r="K2159">
        <v>14.6768990485243</v>
      </c>
      <c r="L2159">
        <v>14.7731752693663</v>
      </c>
      <c r="M2159">
        <v>14.520910149735901</v>
      </c>
      <c r="N2159">
        <v>14.9534663159038</v>
      </c>
      <c r="O2159">
        <v>14.791549948377201</v>
      </c>
      <c r="P2159">
        <v>-0.14427551924544499</v>
      </c>
      <c r="Q2159">
        <v>-0.55973171704601898</v>
      </c>
      <c r="R2159">
        <v>0.27118067855512801</v>
      </c>
      <c r="S2159">
        <v>14.483287133261401</v>
      </c>
      <c r="T2159">
        <v>-0.72989420733407695</v>
      </c>
      <c r="U2159">
        <v>-6.8808260551281997</v>
      </c>
      <c r="V2159">
        <v>0.47490186679142798</v>
      </c>
      <c r="W2159">
        <v>0.63557484170496703</v>
      </c>
      <c r="X2159">
        <v>0</v>
      </c>
      <c r="Y2159">
        <v>0</v>
      </c>
    </row>
    <row r="2160" spans="1:25" x14ac:dyDescent="0.2">
      <c r="A2160" t="s">
        <v>8113</v>
      </c>
      <c r="B2160" t="s">
        <v>8114</v>
      </c>
      <c r="C2160" t="s">
        <v>8115</v>
      </c>
      <c r="D2160" t="s">
        <v>8116</v>
      </c>
      <c r="E2160" t="s">
        <v>8114</v>
      </c>
      <c r="F2160" t="s">
        <v>28</v>
      </c>
      <c r="G2160" t="s">
        <v>8114</v>
      </c>
      <c r="H2160" t="str">
        <f>"gfat-1"</f>
        <v>gfat-1</v>
      </c>
      <c r="I2160" t="s">
        <v>8116</v>
      </c>
      <c r="J2160">
        <v>14.9342122182869</v>
      </c>
      <c r="K2160">
        <v>14.771390619658799</v>
      </c>
      <c r="L2160">
        <v>14.9746097826197</v>
      </c>
      <c r="M2160" t="s">
        <v>29</v>
      </c>
      <c r="N2160">
        <v>14.237620741764101</v>
      </c>
      <c r="O2160">
        <v>13.5626885108724</v>
      </c>
      <c r="P2160">
        <v>-0.99324958053687395</v>
      </c>
      <c r="Q2160">
        <v>-1.5601998131638299</v>
      </c>
      <c r="R2160">
        <v>-0.42629934790991397</v>
      </c>
      <c r="S2160">
        <v>14.9768678358438</v>
      </c>
      <c r="T2160">
        <v>-3.6979706985964902</v>
      </c>
      <c r="U2160">
        <v>-1.79332432532137</v>
      </c>
      <c r="V2160">
        <v>1.80170557553982E-3</v>
      </c>
      <c r="W2160">
        <v>1.36846039461748E-2</v>
      </c>
      <c r="X2160">
        <v>0</v>
      </c>
      <c r="Y2160">
        <v>0</v>
      </c>
    </row>
    <row r="2161" spans="1:25" x14ac:dyDescent="0.2">
      <c r="A2161" t="s">
        <v>8117</v>
      </c>
      <c r="B2161" t="s">
        <v>8118</v>
      </c>
      <c r="C2161" t="s">
        <v>8119</v>
      </c>
      <c r="D2161" t="s">
        <v>8120</v>
      </c>
      <c r="E2161" t="s">
        <v>8118</v>
      </c>
      <c r="F2161" t="s">
        <v>28</v>
      </c>
      <c r="G2161" t="s">
        <v>8118</v>
      </c>
      <c r="H2161" t="str">
        <f>"npp-5"</f>
        <v>npp-5</v>
      </c>
      <c r="I2161" t="s">
        <v>8120</v>
      </c>
      <c r="J2161">
        <v>13.9407351457901</v>
      </c>
      <c r="K2161">
        <v>13.912328844384801</v>
      </c>
      <c r="L2161">
        <v>13.878145206656701</v>
      </c>
      <c r="M2161">
        <v>13.258940999717099</v>
      </c>
      <c r="N2161">
        <v>13.9276042981008</v>
      </c>
      <c r="O2161">
        <v>14.2945556297183</v>
      </c>
      <c r="P2161">
        <v>-8.3369423098446305E-2</v>
      </c>
      <c r="Q2161">
        <v>-0.52282854471975604</v>
      </c>
      <c r="R2161">
        <v>0.35608969852286299</v>
      </c>
      <c r="S2161">
        <v>13.7298977811289</v>
      </c>
      <c r="T2161">
        <v>-0.39873175668799299</v>
      </c>
      <c r="U2161">
        <v>-7.0732374491141901</v>
      </c>
      <c r="V2161">
        <v>0.69480856175592098</v>
      </c>
      <c r="W2161">
        <v>0.80172311334952995</v>
      </c>
      <c r="X2161">
        <v>0</v>
      </c>
      <c r="Y2161">
        <v>0</v>
      </c>
    </row>
    <row r="2162" spans="1:25" x14ac:dyDescent="0.2">
      <c r="A2162" t="s">
        <v>8121</v>
      </c>
      <c r="B2162" t="s">
        <v>8122</v>
      </c>
      <c r="C2162" t="s">
        <v>14441</v>
      </c>
      <c r="D2162" t="s">
        <v>1027</v>
      </c>
      <c r="E2162" t="s">
        <v>8122</v>
      </c>
      <c r="F2162" t="s">
        <v>28</v>
      </c>
      <c r="G2162" t="s">
        <v>8122</v>
      </c>
      <c r="H2162" t="str">
        <f>"F07A11.4"</f>
        <v>F07A11.4</v>
      </c>
      <c r="I2162" t="s">
        <v>1027</v>
      </c>
      <c r="J2162">
        <v>13.1597133173378</v>
      </c>
      <c r="K2162">
        <v>13.562023076185399</v>
      </c>
      <c r="L2162">
        <v>13.726356671016999</v>
      </c>
      <c r="M2162" t="s">
        <v>29</v>
      </c>
      <c r="N2162">
        <v>12.4697729012876</v>
      </c>
      <c r="O2162">
        <v>12.3105748162121</v>
      </c>
      <c r="P2162">
        <v>-1.0925238294302499</v>
      </c>
      <c r="Q2162">
        <v>-1.5976330849207401</v>
      </c>
      <c r="R2162">
        <v>-0.58741457393974605</v>
      </c>
      <c r="S2162">
        <v>13.1921216438149</v>
      </c>
      <c r="T2162">
        <v>-4.5655762984230099</v>
      </c>
      <c r="U2162">
        <v>6.3770916516398699E-2</v>
      </c>
      <c r="V2162">
        <v>2.7856791088496898E-4</v>
      </c>
      <c r="W2162">
        <v>3.5385329024913998E-3</v>
      </c>
      <c r="X2162">
        <v>-1</v>
      </c>
      <c r="Y2162">
        <v>-1</v>
      </c>
    </row>
    <row r="2163" spans="1:25" x14ac:dyDescent="0.2">
      <c r="A2163" t="s">
        <v>8123</v>
      </c>
      <c r="B2163" t="s">
        <v>8124</v>
      </c>
      <c r="C2163" t="s">
        <v>8125</v>
      </c>
      <c r="D2163" t="s">
        <v>8126</v>
      </c>
      <c r="E2163" t="s">
        <v>8124</v>
      </c>
      <c r="F2163" t="s">
        <v>28</v>
      </c>
      <c r="G2163" t="s">
        <v>8124</v>
      </c>
      <c r="H2163" t="str">
        <f>"rpl-11.2"</f>
        <v>rpl-11.2</v>
      </c>
      <c r="I2163" t="s">
        <v>8126</v>
      </c>
      <c r="J2163">
        <v>19.1335193906868</v>
      </c>
      <c r="K2163">
        <v>19.328801003910701</v>
      </c>
      <c r="L2163">
        <v>19.470335644393099</v>
      </c>
      <c r="M2163">
        <v>18.843788962541598</v>
      </c>
      <c r="N2163">
        <v>18.9400460771543</v>
      </c>
      <c r="O2163">
        <v>18.8688971640224</v>
      </c>
      <c r="P2163">
        <v>-0.426641278424089</v>
      </c>
      <c r="Q2163">
        <v>-0.82743913256470802</v>
      </c>
      <c r="R2163">
        <v>-2.5843424283470001E-2</v>
      </c>
      <c r="S2163">
        <v>19.068127830073301</v>
      </c>
      <c r="T2163">
        <v>-2.2373297499356801</v>
      </c>
      <c r="U2163">
        <v>-4.8418774707492798</v>
      </c>
      <c r="V2163">
        <v>3.82320978713531E-2</v>
      </c>
      <c r="W2163">
        <v>0.11485218392138399</v>
      </c>
      <c r="X2163">
        <v>0</v>
      </c>
      <c r="Y2163">
        <v>0</v>
      </c>
    </row>
    <row r="2164" spans="1:25" x14ac:dyDescent="0.2">
      <c r="A2164" t="s">
        <v>8127</v>
      </c>
      <c r="B2164" t="s">
        <v>8128</v>
      </c>
      <c r="C2164" t="s">
        <v>8129</v>
      </c>
      <c r="D2164" t="s">
        <v>8130</v>
      </c>
      <c r="E2164" t="s">
        <v>8128</v>
      </c>
      <c r="F2164" t="s">
        <v>28</v>
      </c>
      <c r="G2164" t="s">
        <v>8128</v>
      </c>
      <c r="H2164" t="str">
        <f>"prx-12"</f>
        <v>prx-12</v>
      </c>
      <c r="I2164" t="s">
        <v>8130</v>
      </c>
      <c r="J2164">
        <v>10.787921941769399</v>
      </c>
      <c r="K2164">
        <v>11.087804206287201</v>
      </c>
      <c r="L2164">
        <v>11.295887469111101</v>
      </c>
      <c r="M2164" t="s">
        <v>29</v>
      </c>
      <c r="N2164" t="s">
        <v>29</v>
      </c>
      <c r="O2164">
        <v>11.515559719257601</v>
      </c>
      <c r="P2164">
        <v>0.45835518020166599</v>
      </c>
      <c r="Q2164">
        <v>-0.465435530020399</v>
      </c>
      <c r="R2164">
        <v>1.38214589042373</v>
      </c>
      <c r="S2164">
        <v>12.3287134306327</v>
      </c>
      <c r="T2164">
        <v>1.0727926708444999</v>
      </c>
      <c r="U2164">
        <v>-6.2261063953324003</v>
      </c>
      <c r="V2164">
        <v>0.30303082136237502</v>
      </c>
      <c r="W2164">
        <v>0.47200413877109798</v>
      </c>
      <c r="X2164">
        <v>0</v>
      </c>
      <c r="Y2164">
        <v>0</v>
      </c>
    </row>
    <row r="2165" spans="1:25" x14ac:dyDescent="0.2">
      <c r="A2165" t="s">
        <v>8131</v>
      </c>
      <c r="B2165" t="s">
        <v>8132</v>
      </c>
      <c r="C2165" t="s">
        <v>8133</v>
      </c>
      <c r="D2165" t="s">
        <v>8134</v>
      </c>
      <c r="E2165" t="s">
        <v>8132</v>
      </c>
      <c r="F2165" t="s">
        <v>28</v>
      </c>
      <c r="G2165" t="s">
        <v>8132</v>
      </c>
      <c r="H2165" t="str">
        <f>"pek-1"</f>
        <v>pek-1</v>
      </c>
      <c r="I2165" t="s">
        <v>8134</v>
      </c>
      <c r="J2165">
        <v>11.716334729034701</v>
      </c>
      <c r="K2165" t="s">
        <v>29</v>
      </c>
      <c r="L2165">
        <v>11.5187211855773</v>
      </c>
      <c r="M2165" t="s">
        <v>29</v>
      </c>
      <c r="N2165" t="s">
        <v>29</v>
      </c>
      <c r="O2165">
        <v>11.2170188030672</v>
      </c>
      <c r="P2165">
        <v>-0.40050915423876698</v>
      </c>
      <c r="Q2165">
        <v>-1.6701670809983</v>
      </c>
      <c r="R2165">
        <v>0.86914877252076295</v>
      </c>
      <c r="S2165">
        <v>11.5934488435967</v>
      </c>
      <c r="T2165">
        <v>-0.69510980070706596</v>
      </c>
      <c r="U2165">
        <v>-6.4999787300488396</v>
      </c>
      <c r="V2165">
        <v>0.50154253421425798</v>
      </c>
      <c r="W2165">
        <v>0.65632586515515901</v>
      </c>
      <c r="X2165">
        <v>0</v>
      </c>
      <c r="Y2165">
        <v>0</v>
      </c>
    </row>
    <row r="2166" spans="1:25" x14ac:dyDescent="0.2">
      <c r="A2166" t="s">
        <v>8135</v>
      </c>
      <c r="B2166" t="s">
        <v>8136</v>
      </c>
      <c r="C2166" t="s">
        <v>8137</v>
      </c>
      <c r="D2166" t="s">
        <v>8138</v>
      </c>
      <c r="E2166" t="s">
        <v>8136</v>
      </c>
      <c r="F2166" t="s">
        <v>28</v>
      </c>
      <c r="G2166" t="s">
        <v>8136</v>
      </c>
      <c r="H2166" t="str">
        <f>"pole-2"</f>
        <v>pole-2</v>
      </c>
      <c r="I2166" t="s">
        <v>8138</v>
      </c>
      <c r="J2166" t="s">
        <v>29</v>
      </c>
      <c r="K2166" t="s">
        <v>29</v>
      </c>
      <c r="L2166" t="s">
        <v>29</v>
      </c>
      <c r="M2166" t="s">
        <v>29</v>
      </c>
      <c r="N2166" t="s">
        <v>29</v>
      </c>
      <c r="O2166" t="s">
        <v>29</v>
      </c>
      <c r="P2166" t="s">
        <v>29</v>
      </c>
      <c r="Q2166" t="s">
        <v>29</v>
      </c>
      <c r="R2166" t="s">
        <v>29</v>
      </c>
      <c r="S2166">
        <v>12.0134033175979</v>
      </c>
      <c r="T2166" t="s">
        <v>29</v>
      </c>
      <c r="U2166" t="s">
        <v>29</v>
      </c>
      <c r="V2166" t="s">
        <v>29</v>
      </c>
      <c r="W2166" t="s">
        <v>29</v>
      </c>
      <c r="X2166" t="s">
        <v>29</v>
      </c>
      <c r="Y2166" t="s">
        <v>29</v>
      </c>
    </row>
    <row r="2167" spans="1:25" x14ac:dyDescent="0.2">
      <c r="A2167" t="s">
        <v>8139</v>
      </c>
      <c r="B2167" t="s">
        <v>8140</v>
      </c>
      <c r="C2167" t="s">
        <v>8141</v>
      </c>
      <c r="D2167" t="s">
        <v>8142</v>
      </c>
      <c r="E2167" t="s">
        <v>8140</v>
      </c>
      <c r="F2167" t="s">
        <v>28</v>
      </c>
      <c r="G2167" t="s">
        <v>8140</v>
      </c>
      <c r="H2167" t="str">
        <f>"sto-1"</f>
        <v>sto-1</v>
      </c>
      <c r="I2167" t="s">
        <v>8142</v>
      </c>
      <c r="J2167">
        <v>15.443533958079501</v>
      </c>
      <c r="K2167">
        <v>15.9518848665807</v>
      </c>
      <c r="L2167">
        <v>15.738565499434101</v>
      </c>
      <c r="M2167">
        <v>15.694700223434801</v>
      </c>
      <c r="N2167">
        <v>16.496133276542501</v>
      </c>
      <c r="O2167">
        <v>16.205317399313699</v>
      </c>
      <c r="P2167">
        <v>0.42072219173224701</v>
      </c>
      <c r="Q2167">
        <v>-0.140639185313225</v>
      </c>
      <c r="R2167">
        <v>0.98208356877771996</v>
      </c>
      <c r="S2167">
        <v>16.319544550058399</v>
      </c>
      <c r="T2167">
        <v>1.5752351876875801</v>
      </c>
      <c r="U2167">
        <v>-5.93731002879007</v>
      </c>
      <c r="V2167">
        <v>0.13271551221158601</v>
      </c>
      <c r="W2167">
        <v>0.26715342519641</v>
      </c>
      <c r="X2167">
        <v>0</v>
      </c>
      <c r="Y2167">
        <v>0</v>
      </c>
    </row>
    <row r="2168" spans="1:25" x14ac:dyDescent="0.2">
      <c r="A2168" t="s">
        <v>8143</v>
      </c>
      <c r="B2168" t="s">
        <v>8144</v>
      </c>
      <c r="C2168" t="s">
        <v>8145</v>
      </c>
      <c r="D2168" t="s">
        <v>8146</v>
      </c>
      <c r="E2168" t="s">
        <v>8144</v>
      </c>
      <c r="F2168" t="s">
        <v>28</v>
      </c>
      <c r="G2168" t="s">
        <v>8144</v>
      </c>
      <c r="H2168" t="str">
        <f>"apy-1"</f>
        <v>apy-1</v>
      </c>
      <c r="I2168" t="s">
        <v>8146</v>
      </c>
      <c r="J2168">
        <v>13.3761631685132</v>
      </c>
      <c r="K2168">
        <v>13.6218682317276</v>
      </c>
      <c r="L2168">
        <v>13.4964872510467</v>
      </c>
      <c r="M2168">
        <v>14.1252365742886</v>
      </c>
      <c r="N2168" t="s">
        <v>29</v>
      </c>
      <c r="O2168">
        <v>14.997809741227799</v>
      </c>
      <c r="P2168">
        <v>1.0633502739957199</v>
      </c>
      <c r="Q2168">
        <v>2.9756064143823001E-2</v>
      </c>
      <c r="R2168">
        <v>2.0969444838476101</v>
      </c>
      <c r="S2168">
        <v>13.521234475699</v>
      </c>
      <c r="T2168">
        <v>2.18210582871966</v>
      </c>
      <c r="U2168">
        <v>-4.850789179175</v>
      </c>
      <c r="V2168">
        <v>4.4462216362286498E-2</v>
      </c>
      <c r="W2168">
        <v>0.12538770489919501</v>
      </c>
      <c r="X2168">
        <v>1</v>
      </c>
      <c r="Y2168">
        <v>0</v>
      </c>
    </row>
    <row r="2169" spans="1:25" x14ac:dyDescent="0.2">
      <c r="A2169" t="s">
        <v>8147</v>
      </c>
      <c r="B2169" t="s">
        <v>8148</v>
      </c>
      <c r="C2169" t="s">
        <v>14442</v>
      </c>
      <c r="D2169" t="s">
        <v>8149</v>
      </c>
      <c r="E2169" t="s">
        <v>8148</v>
      </c>
      <c r="F2169" t="s">
        <v>28</v>
      </c>
      <c r="G2169" t="s">
        <v>8148</v>
      </c>
      <c r="H2169" t="str">
        <f>"F08G12.1"</f>
        <v>F08G12.1</v>
      </c>
      <c r="I2169" t="s">
        <v>8149</v>
      </c>
      <c r="J2169">
        <v>13.042089379358099</v>
      </c>
      <c r="K2169">
        <v>12.474340606517201</v>
      </c>
      <c r="L2169">
        <v>12.4176302257143</v>
      </c>
      <c r="M2169" t="s">
        <v>29</v>
      </c>
      <c r="N2169" t="s">
        <v>29</v>
      </c>
      <c r="O2169" t="s">
        <v>29</v>
      </c>
      <c r="P2169" t="s">
        <v>29</v>
      </c>
      <c r="Q2169" t="s">
        <v>29</v>
      </c>
      <c r="R2169" t="s">
        <v>29</v>
      </c>
      <c r="S2169">
        <v>12.707515485902</v>
      </c>
      <c r="T2169" t="s">
        <v>29</v>
      </c>
      <c r="U2169" t="s">
        <v>29</v>
      </c>
      <c r="V2169" t="s">
        <v>29</v>
      </c>
      <c r="W2169" t="s">
        <v>29</v>
      </c>
      <c r="X2169" t="s">
        <v>29</v>
      </c>
      <c r="Y2169" t="s">
        <v>29</v>
      </c>
    </row>
    <row r="2170" spans="1:25" x14ac:dyDescent="0.2">
      <c r="A2170" t="s">
        <v>8150</v>
      </c>
      <c r="B2170" t="s">
        <v>8151</v>
      </c>
      <c r="C2170" t="s">
        <v>8152</v>
      </c>
      <c r="D2170" t="s">
        <v>49</v>
      </c>
      <c r="E2170" t="s">
        <v>8151</v>
      </c>
      <c r="F2170" t="s">
        <v>28</v>
      </c>
      <c r="G2170" t="s">
        <v>8151</v>
      </c>
      <c r="H2170" t="str">
        <f>"ugt-65"</f>
        <v>ugt-65</v>
      </c>
      <c r="I2170" t="s">
        <v>49</v>
      </c>
      <c r="J2170">
        <v>11.100682317648999</v>
      </c>
      <c r="K2170" t="s">
        <v>29</v>
      </c>
      <c r="L2170" t="s">
        <v>29</v>
      </c>
      <c r="M2170" t="s">
        <v>29</v>
      </c>
      <c r="N2170" t="s">
        <v>29</v>
      </c>
      <c r="O2170">
        <v>11.6911138256478</v>
      </c>
      <c r="P2170">
        <v>0.59043150799884703</v>
      </c>
      <c r="Q2170">
        <v>-0.73701789249618599</v>
      </c>
      <c r="R2170">
        <v>1.9178809084938799</v>
      </c>
      <c r="S2170">
        <v>11.3198590617455</v>
      </c>
      <c r="T2170">
        <v>0.954648385416899</v>
      </c>
      <c r="U2170">
        <v>-6.1484316751674397</v>
      </c>
      <c r="V2170">
        <v>0.35606977364992298</v>
      </c>
      <c r="W2170">
        <v>0.52598377090041204</v>
      </c>
      <c r="X2170">
        <v>0</v>
      </c>
      <c r="Y2170">
        <v>0</v>
      </c>
    </row>
    <row r="2171" spans="1:25" x14ac:dyDescent="0.2">
      <c r="A2171" t="s">
        <v>8153</v>
      </c>
      <c r="B2171" t="s">
        <v>8154</v>
      </c>
      <c r="C2171" t="s">
        <v>8155</v>
      </c>
      <c r="D2171" t="s">
        <v>8156</v>
      </c>
      <c r="E2171" t="s">
        <v>8154</v>
      </c>
      <c r="F2171" t="s">
        <v>28</v>
      </c>
      <c r="G2171" t="s">
        <v>8154</v>
      </c>
      <c r="H2171" t="str">
        <f>"dhs-25"</f>
        <v>dhs-25</v>
      </c>
      <c r="I2171" t="s">
        <v>8156</v>
      </c>
      <c r="J2171">
        <v>16.395564713902601</v>
      </c>
      <c r="K2171">
        <v>16.0686179746987</v>
      </c>
      <c r="L2171">
        <v>16.445279922712299</v>
      </c>
      <c r="M2171">
        <v>16.180907438639299</v>
      </c>
      <c r="N2171">
        <v>16.407302667079499</v>
      </c>
      <c r="O2171">
        <v>16.079142719197002</v>
      </c>
      <c r="P2171">
        <v>-8.0703262132622897E-2</v>
      </c>
      <c r="Q2171">
        <v>-0.48950030793747801</v>
      </c>
      <c r="R2171">
        <v>0.32809378367223202</v>
      </c>
      <c r="S2171">
        <v>15.725952496717101</v>
      </c>
      <c r="T2171">
        <v>-0.41493097285700498</v>
      </c>
      <c r="U2171">
        <v>-7.0663841022274001</v>
      </c>
      <c r="V2171">
        <v>0.68312456161763901</v>
      </c>
      <c r="W2171">
        <v>0.79224969478973595</v>
      </c>
      <c r="X2171">
        <v>0</v>
      </c>
      <c r="Y2171">
        <v>0</v>
      </c>
    </row>
    <row r="2172" spans="1:25" x14ac:dyDescent="0.2">
      <c r="A2172" t="s">
        <v>8157</v>
      </c>
      <c r="B2172" t="s">
        <v>8158</v>
      </c>
      <c r="C2172" t="s">
        <v>14443</v>
      </c>
      <c r="D2172" t="s">
        <v>8159</v>
      </c>
      <c r="E2172" t="s">
        <v>8158</v>
      </c>
      <c r="F2172" t="s">
        <v>28</v>
      </c>
      <c r="G2172" t="s">
        <v>8158</v>
      </c>
      <c r="H2172" t="str">
        <f>"F09E5.7"</f>
        <v>F09E5.7</v>
      </c>
      <c r="I2172" t="s">
        <v>8159</v>
      </c>
      <c r="J2172">
        <v>11.657620033902299</v>
      </c>
      <c r="K2172">
        <v>12.495327265539</v>
      </c>
      <c r="L2172">
        <v>11.725252522814101</v>
      </c>
      <c r="M2172" t="s">
        <v>29</v>
      </c>
      <c r="N2172">
        <v>11.808808840879401</v>
      </c>
      <c r="O2172">
        <v>12.168975161877</v>
      </c>
      <c r="P2172">
        <v>2.9492060626374401E-2</v>
      </c>
      <c r="Q2172">
        <v>-0.66457105991968501</v>
      </c>
      <c r="R2172">
        <v>0.723555181172434</v>
      </c>
      <c r="S2172">
        <v>12.191392123277501</v>
      </c>
      <c r="T2172">
        <v>9.0127158564252394E-2</v>
      </c>
      <c r="U2172">
        <v>-7.0411912548897702</v>
      </c>
      <c r="V2172">
        <v>0.92931209896580202</v>
      </c>
      <c r="W2172">
        <v>0.95951134265920401</v>
      </c>
      <c r="X2172">
        <v>0</v>
      </c>
      <c r="Y2172">
        <v>0</v>
      </c>
    </row>
    <row r="2173" spans="1:25" x14ac:dyDescent="0.2">
      <c r="A2173" t="s">
        <v>8160</v>
      </c>
      <c r="B2173" t="s">
        <v>8161</v>
      </c>
      <c r="C2173" t="s">
        <v>14444</v>
      </c>
      <c r="D2173" t="s">
        <v>8162</v>
      </c>
      <c r="E2173" t="s">
        <v>8161</v>
      </c>
      <c r="F2173" t="s">
        <v>28</v>
      </c>
      <c r="G2173" t="s">
        <v>8161</v>
      </c>
      <c r="H2173" t="str">
        <f>"F09E5.11"</f>
        <v>F09E5.11</v>
      </c>
      <c r="I2173" t="s">
        <v>8162</v>
      </c>
      <c r="J2173">
        <v>13.7752394240957</v>
      </c>
      <c r="K2173">
        <v>13.4593812591831</v>
      </c>
      <c r="L2173">
        <v>13.704455826526999</v>
      </c>
      <c r="M2173" t="s">
        <v>29</v>
      </c>
      <c r="N2173" t="s">
        <v>29</v>
      </c>
      <c r="O2173">
        <v>13.158178693631699</v>
      </c>
      <c r="P2173">
        <v>-0.48818014297023499</v>
      </c>
      <c r="Q2173">
        <v>-1.19451806182472</v>
      </c>
      <c r="R2173">
        <v>0.218157775884255</v>
      </c>
      <c r="S2173">
        <v>13.2787033995389</v>
      </c>
      <c r="T2173">
        <v>-1.4659431167653001</v>
      </c>
      <c r="U2173">
        <v>-5.7550163563437602</v>
      </c>
      <c r="V2173">
        <v>0.16216657327999801</v>
      </c>
      <c r="W2173">
        <v>0.310327851594906</v>
      </c>
      <c r="X2173">
        <v>0</v>
      </c>
      <c r="Y2173">
        <v>0</v>
      </c>
    </row>
    <row r="2174" spans="1:25" x14ac:dyDescent="0.2">
      <c r="A2174" t="s">
        <v>8163</v>
      </c>
      <c r="B2174" t="s">
        <v>8164</v>
      </c>
      <c r="C2174" t="s">
        <v>8165</v>
      </c>
      <c r="D2174" t="s">
        <v>8166</v>
      </c>
      <c r="E2174" t="s">
        <v>8164</v>
      </c>
      <c r="F2174" t="s">
        <v>28</v>
      </c>
      <c r="G2174" t="s">
        <v>8164</v>
      </c>
      <c r="H2174" t="str">
        <f>"sec-6"</f>
        <v>sec-6</v>
      </c>
      <c r="I2174" t="s">
        <v>8166</v>
      </c>
      <c r="J2174" t="s">
        <v>29</v>
      </c>
      <c r="K2174">
        <v>12.834371302891901</v>
      </c>
      <c r="L2174" t="s">
        <v>29</v>
      </c>
      <c r="M2174">
        <v>16.1212411076833</v>
      </c>
      <c r="N2174">
        <v>16.417010488631401</v>
      </c>
      <c r="O2174">
        <v>16.350723348300502</v>
      </c>
      <c r="P2174">
        <v>3.46195367864649</v>
      </c>
      <c r="Q2174">
        <v>2.0159513273875298</v>
      </c>
      <c r="R2174">
        <v>4.9079560299054403</v>
      </c>
      <c r="S2174">
        <v>15.4185054469765</v>
      </c>
      <c r="T2174">
        <v>5.0781062487840503</v>
      </c>
      <c r="U2174">
        <v>1.1703774553866599</v>
      </c>
      <c r="V2174">
        <v>1.14092674364121E-4</v>
      </c>
      <c r="W2174">
        <v>1.9104040417674099E-3</v>
      </c>
      <c r="X2174">
        <v>1</v>
      </c>
      <c r="Y2174">
        <v>1</v>
      </c>
    </row>
    <row r="2175" spans="1:25" x14ac:dyDescent="0.2">
      <c r="A2175" t="s">
        <v>8167</v>
      </c>
      <c r="B2175" t="s">
        <v>8168</v>
      </c>
      <c r="C2175" t="s">
        <v>8169</v>
      </c>
      <c r="D2175" t="s">
        <v>8170</v>
      </c>
      <c r="E2175" t="s">
        <v>8168</v>
      </c>
      <c r="F2175" t="s">
        <v>28</v>
      </c>
      <c r="G2175" t="s">
        <v>8168</v>
      </c>
      <c r="H2175" t="str">
        <f>"F09E5.3"</f>
        <v>F09E5.3</v>
      </c>
      <c r="I2175" t="s">
        <v>8170</v>
      </c>
      <c r="J2175">
        <v>12.485211819350701</v>
      </c>
      <c r="K2175">
        <v>12.2322828231237</v>
      </c>
      <c r="L2175">
        <v>12.487547817792301</v>
      </c>
      <c r="M2175">
        <v>14.157928260028999</v>
      </c>
      <c r="N2175">
        <v>13.9609617659835</v>
      </c>
      <c r="O2175">
        <v>13.331389773326199</v>
      </c>
      <c r="P2175">
        <v>1.4150791130239799</v>
      </c>
      <c r="Q2175">
        <v>0.772786780929966</v>
      </c>
      <c r="R2175">
        <v>2.0573714451180001</v>
      </c>
      <c r="S2175">
        <v>13.039228194901201</v>
      </c>
      <c r="T2175">
        <v>4.6306344302287901</v>
      </c>
      <c r="U2175">
        <v>0.21790776528553599</v>
      </c>
      <c r="V2175">
        <v>2.1075347672611799E-4</v>
      </c>
      <c r="W2175">
        <v>2.9379828327214599E-3</v>
      </c>
      <c r="X2175">
        <v>1</v>
      </c>
      <c r="Y2175">
        <v>1</v>
      </c>
    </row>
    <row r="2176" spans="1:25" x14ac:dyDescent="0.2">
      <c r="A2176" t="s">
        <v>8171</v>
      </c>
      <c r="B2176" t="s">
        <v>8172</v>
      </c>
      <c r="C2176" t="s">
        <v>8173</v>
      </c>
      <c r="D2176" t="s">
        <v>1135</v>
      </c>
      <c r="E2176" t="s">
        <v>8172</v>
      </c>
      <c r="F2176" t="s">
        <v>28</v>
      </c>
      <c r="G2176" t="s">
        <v>8172</v>
      </c>
      <c r="H2176" t="str">
        <f>"algn-2"</f>
        <v>algn-2</v>
      </c>
      <c r="I2176" t="s">
        <v>1135</v>
      </c>
      <c r="J2176">
        <v>12.757666914868199</v>
      </c>
      <c r="K2176">
        <v>12.419015395601299</v>
      </c>
      <c r="L2176">
        <v>12.879955878069699</v>
      </c>
      <c r="M2176" t="s">
        <v>29</v>
      </c>
      <c r="N2176">
        <v>12.562119572339601</v>
      </c>
      <c r="O2176">
        <v>11.7310663070506</v>
      </c>
      <c r="P2176">
        <v>-0.53895312315134403</v>
      </c>
      <c r="Q2176">
        <v>-1.2139024292109499</v>
      </c>
      <c r="R2176">
        <v>0.13599618290825999</v>
      </c>
      <c r="S2176">
        <v>12.626019167249799</v>
      </c>
      <c r="T2176">
        <v>-1.6855042460902601</v>
      </c>
      <c r="U2176">
        <v>-5.6660177807549399</v>
      </c>
      <c r="V2176">
        <v>0.11027016777509099</v>
      </c>
      <c r="W2176">
        <v>0.23149789842975499</v>
      </c>
      <c r="X2176">
        <v>0</v>
      </c>
      <c r="Y2176">
        <v>0</v>
      </c>
    </row>
    <row r="2177" spans="1:25" x14ac:dyDescent="0.2">
      <c r="A2177" t="s">
        <v>8174</v>
      </c>
      <c r="B2177" t="s">
        <v>8175</v>
      </c>
      <c r="C2177" t="s">
        <v>8176</v>
      </c>
      <c r="D2177" t="s">
        <v>8177</v>
      </c>
      <c r="E2177" t="s">
        <v>8175</v>
      </c>
      <c r="F2177" t="s">
        <v>28</v>
      </c>
      <c r="G2177" t="s">
        <v>8175</v>
      </c>
      <c r="H2177" t="str">
        <f>"pkc-3"</f>
        <v>pkc-3</v>
      </c>
      <c r="I2177" t="s">
        <v>8177</v>
      </c>
      <c r="J2177">
        <v>14.0739419767851</v>
      </c>
      <c r="K2177">
        <v>14.0961878733637</v>
      </c>
      <c r="L2177">
        <v>13.7611658660309</v>
      </c>
      <c r="M2177" t="s">
        <v>29</v>
      </c>
      <c r="N2177">
        <v>12.9207033152808</v>
      </c>
      <c r="O2177">
        <v>14.0439220840784</v>
      </c>
      <c r="P2177">
        <v>-0.49478587238035698</v>
      </c>
      <c r="Q2177">
        <v>-1.0536470164116301</v>
      </c>
      <c r="R2177">
        <v>6.4075271650918197E-2</v>
      </c>
      <c r="S2177">
        <v>13.691879910520999</v>
      </c>
      <c r="T2177">
        <v>-1.86880242260215</v>
      </c>
      <c r="U2177">
        <v>-5.3779881477995097</v>
      </c>
      <c r="V2177">
        <v>7.90888860730002E-2</v>
      </c>
      <c r="W2177">
        <v>0.18586518920026501</v>
      </c>
      <c r="X2177">
        <v>0</v>
      </c>
      <c r="Y2177">
        <v>0</v>
      </c>
    </row>
    <row r="2178" spans="1:25" x14ac:dyDescent="0.2">
      <c r="A2178" t="s">
        <v>8178</v>
      </c>
      <c r="B2178" t="s">
        <v>8179</v>
      </c>
      <c r="C2178" t="s">
        <v>8180</v>
      </c>
      <c r="D2178" t="s">
        <v>8181</v>
      </c>
      <c r="E2178" t="s">
        <v>8179</v>
      </c>
      <c r="F2178" t="s">
        <v>28</v>
      </c>
      <c r="G2178" t="s">
        <v>8179</v>
      </c>
      <c r="H2178" t="str">
        <f>"hach-1"</f>
        <v>hach-1</v>
      </c>
      <c r="I2178" t="s">
        <v>8181</v>
      </c>
      <c r="J2178">
        <v>18.096322559500699</v>
      </c>
      <c r="K2178">
        <v>17.612583217300301</v>
      </c>
      <c r="L2178">
        <v>17.882274068242602</v>
      </c>
      <c r="M2178">
        <v>17.550800361365699</v>
      </c>
      <c r="N2178">
        <v>17.782763682608</v>
      </c>
      <c r="O2178">
        <v>17.553761354922599</v>
      </c>
      <c r="P2178">
        <v>-0.23461814871575401</v>
      </c>
      <c r="Q2178">
        <v>-0.62449351403997</v>
      </c>
      <c r="R2178">
        <v>0.15525721660846301</v>
      </c>
      <c r="S2178">
        <v>17.416682257308899</v>
      </c>
      <c r="T2178">
        <v>-1.26481882859047</v>
      </c>
      <c r="U2178">
        <v>-6.3523966599647803</v>
      </c>
      <c r="V2178">
        <v>0.22216041091458599</v>
      </c>
      <c r="W2178">
        <v>0.38584995297284502</v>
      </c>
      <c r="X2178">
        <v>0</v>
      </c>
      <c r="Y2178">
        <v>0</v>
      </c>
    </row>
    <row r="2179" spans="1:25" x14ac:dyDescent="0.2">
      <c r="A2179" t="s">
        <v>8182</v>
      </c>
      <c r="B2179" t="s">
        <v>8183</v>
      </c>
      <c r="C2179" t="s">
        <v>8184</v>
      </c>
      <c r="D2179" t="s">
        <v>8185</v>
      </c>
      <c r="E2179" t="s">
        <v>8183</v>
      </c>
      <c r="F2179" t="s">
        <v>28</v>
      </c>
      <c r="G2179" t="s">
        <v>8183</v>
      </c>
      <c r="H2179" t="str">
        <f>"ifb-2"</f>
        <v>ifb-2</v>
      </c>
      <c r="I2179" t="s">
        <v>8185</v>
      </c>
      <c r="J2179">
        <v>15.975475030728999</v>
      </c>
      <c r="K2179">
        <v>16.658464202169402</v>
      </c>
      <c r="L2179">
        <v>18.342505839140099</v>
      </c>
      <c r="M2179">
        <v>19.3333994383968</v>
      </c>
      <c r="N2179">
        <v>17.839111566139799</v>
      </c>
      <c r="O2179">
        <v>17.621344929088199</v>
      </c>
      <c r="P2179">
        <v>1.2724702871954401</v>
      </c>
      <c r="Q2179">
        <v>8.2434866752406202E-2</v>
      </c>
      <c r="R2179">
        <v>2.46250570763848</v>
      </c>
      <c r="S2179">
        <v>16.918899931148299</v>
      </c>
      <c r="T2179">
        <v>2.2473994760565801</v>
      </c>
      <c r="U2179">
        <v>-4.82340727102586</v>
      </c>
      <c r="V2179">
        <v>3.7468470676724798E-2</v>
      </c>
      <c r="W2179">
        <v>0.11374356431768499</v>
      </c>
      <c r="X2179">
        <v>1</v>
      </c>
      <c r="Y2179">
        <v>0</v>
      </c>
    </row>
    <row r="2180" spans="1:25" x14ac:dyDescent="0.2">
      <c r="A2180" t="s">
        <v>8186</v>
      </c>
      <c r="B2180" t="s">
        <v>8187</v>
      </c>
      <c r="C2180" t="s">
        <v>8188</v>
      </c>
      <c r="D2180" t="s">
        <v>8189</v>
      </c>
      <c r="E2180" t="s">
        <v>8187</v>
      </c>
      <c r="F2180" t="s">
        <v>28</v>
      </c>
      <c r="G2180" t="s">
        <v>8187</v>
      </c>
      <c r="H2180" t="str">
        <f>"ifb-1"</f>
        <v>ifb-1</v>
      </c>
      <c r="I2180" t="s">
        <v>8189</v>
      </c>
      <c r="J2180">
        <v>14.315746940918601</v>
      </c>
      <c r="K2180">
        <v>14.547533623940501</v>
      </c>
      <c r="L2180">
        <v>15.135385251682999</v>
      </c>
      <c r="M2180">
        <v>16.752773174543702</v>
      </c>
      <c r="N2180">
        <v>17.030050921818798</v>
      </c>
      <c r="O2180">
        <v>16.841225819046301</v>
      </c>
      <c r="P2180">
        <v>2.2084613662888799</v>
      </c>
      <c r="Q2180">
        <v>1.46306016392113</v>
      </c>
      <c r="R2180">
        <v>2.95386256865662</v>
      </c>
      <c r="S2180">
        <v>15.5475500270692</v>
      </c>
      <c r="T2180">
        <v>6.2271916301584902</v>
      </c>
      <c r="U2180">
        <v>3.6132814116498899</v>
      </c>
      <c r="V2180" s="2">
        <v>7.29106194895361E-6</v>
      </c>
      <c r="W2180">
        <v>2.2338574349161299E-4</v>
      </c>
      <c r="X2180">
        <v>1</v>
      </c>
      <c r="Y2180">
        <v>1</v>
      </c>
    </row>
    <row r="2181" spans="1:25" x14ac:dyDescent="0.2">
      <c r="A2181" t="s">
        <v>8190</v>
      </c>
      <c r="B2181" t="s">
        <v>8191</v>
      </c>
      <c r="C2181" t="s">
        <v>8192</v>
      </c>
      <c r="D2181" t="s">
        <v>8193</v>
      </c>
      <c r="E2181" t="s">
        <v>8191</v>
      </c>
      <c r="F2181" t="s">
        <v>28</v>
      </c>
      <c r="G2181" t="s">
        <v>8191</v>
      </c>
      <c r="H2181" t="str">
        <f>"nemp-1"</f>
        <v>nemp-1</v>
      </c>
      <c r="I2181" t="s">
        <v>8193</v>
      </c>
      <c r="J2181">
        <v>13.1576874749222</v>
      </c>
      <c r="K2181">
        <v>13.5618594695776</v>
      </c>
      <c r="L2181">
        <v>13.8294285500473</v>
      </c>
      <c r="M2181">
        <v>14.423645165381901</v>
      </c>
      <c r="N2181">
        <v>13.5357930304965</v>
      </c>
      <c r="O2181">
        <v>13.5396807799653</v>
      </c>
      <c r="P2181">
        <v>0.316714493765547</v>
      </c>
      <c r="Q2181">
        <v>-0.28629386266427598</v>
      </c>
      <c r="R2181">
        <v>0.91972285019537003</v>
      </c>
      <c r="S2181">
        <v>13.935465144511401</v>
      </c>
      <c r="T2181">
        <v>1.10391877815215</v>
      </c>
      <c r="U2181">
        <v>-6.5377291663177903</v>
      </c>
      <c r="V2181">
        <v>0.28425192644283598</v>
      </c>
      <c r="W2181">
        <v>0.45244202833223102</v>
      </c>
      <c r="X2181">
        <v>0</v>
      </c>
      <c r="Y2181">
        <v>0</v>
      </c>
    </row>
    <row r="2182" spans="1:25" x14ac:dyDescent="0.2">
      <c r="A2182" t="s">
        <v>8194</v>
      </c>
      <c r="B2182" t="s">
        <v>8195</v>
      </c>
      <c r="C2182" t="s">
        <v>8196</v>
      </c>
      <c r="D2182" t="s">
        <v>8197</v>
      </c>
      <c r="E2182" t="s">
        <v>8195</v>
      </c>
      <c r="F2182" t="s">
        <v>28</v>
      </c>
      <c r="G2182" t="s">
        <v>8195</v>
      </c>
      <c r="H2182" t="str">
        <f>"mat-3"</f>
        <v>mat-3</v>
      </c>
      <c r="I2182" t="s">
        <v>8197</v>
      </c>
      <c r="J2182">
        <v>12.776820640312801</v>
      </c>
      <c r="K2182">
        <v>12.683494915898001</v>
      </c>
      <c r="L2182">
        <v>12.934545051904699</v>
      </c>
      <c r="M2182" t="s">
        <v>29</v>
      </c>
      <c r="N2182" t="s">
        <v>29</v>
      </c>
      <c r="O2182">
        <v>12.6701858772006</v>
      </c>
      <c r="P2182">
        <v>-0.12810099217128501</v>
      </c>
      <c r="Q2182">
        <v>-0.83913246396907804</v>
      </c>
      <c r="R2182">
        <v>0.58293047962650701</v>
      </c>
      <c r="S2182">
        <v>13.2738273868065</v>
      </c>
      <c r="T2182">
        <v>-0.38213181695918902</v>
      </c>
      <c r="U2182">
        <v>-6.7363689704614398</v>
      </c>
      <c r="V2182">
        <v>0.70742439455223205</v>
      </c>
      <c r="W2182">
        <v>0.81056753139402304</v>
      </c>
      <c r="X2182">
        <v>0</v>
      </c>
      <c r="Y2182">
        <v>0</v>
      </c>
    </row>
    <row r="2183" spans="1:25" x14ac:dyDescent="0.2">
      <c r="A2183" t="s">
        <v>8198</v>
      </c>
      <c r="B2183" t="s">
        <v>8199</v>
      </c>
      <c r="C2183" t="s">
        <v>14445</v>
      </c>
      <c r="D2183" t="s">
        <v>8200</v>
      </c>
      <c r="E2183" t="s">
        <v>8199</v>
      </c>
      <c r="F2183" t="s">
        <v>28</v>
      </c>
      <c r="G2183" t="s">
        <v>8199</v>
      </c>
      <c r="H2183" t="str">
        <f>"F10E7.5"</f>
        <v>F10E7.5</v>
      </c>
      <c r="I2183" t="s">
        <v>8200</v>
      </c>
      <c r="J2183">
        <v>14.840249271812899</v>
      </c>
      <c r="K2183">
        <v>14.26649213874</v>
      </c>
      <c r="L2183">
        <v>14.498964487976099</v>
      </c>
      <c r="M2183" t="s">
        <v>29</v>
      </c>
      <c r="N2183">
        <v>14.2458065451361</v>
      </c>
      <c r="O2183">
        <v>14.5192916175139</v>
      </c>
      <c r="P2183">
        <v>-0.15268621818464601</v>
      </c>
      <c r="Q2183">
        <v>-0.73751029255422595</v>
      </c>
      <c r="R2183">
        <v>0.432137856184933</v>
      </c>
      <c r="S2183">
        <v>14.6809679564057</v>
      </c>
      <c r="T2183">
        <v>-0.55109263808180098</v>
      </c>
      <c r="U2183">
        <v>-6.8872608194840197</v>
      </c>
      <c r="V2183">
        <v>0.58878458424857605</v>
      </c>
      <c r="W2183">
        <v>0.72479038002529395</v>
      </c>
      <c r="X2183">
        <v>0</v>
      </c>
      <c r="Y2183">
        <v>0</v>
      </c>
    </row>
    <row r="2184" spans="1:25" x14ac:dyDescent="0.2">
      <c r="A2184" t="s">
        <v>8201</v>
      </c>
      <c r="B2184" t="s">
        <v>8202</v>
      </c>
      <c r="C2184" t="s">
        <v>8203</v>
      </c>
      <c r="D2184" t="s">
        <v>8204</v>
      </c>
      <c r="E2184" t="s">
        <v>8202</v>
      </c>
      <c r="F2184" t="s">
        <v>28</v>
      </c>
      <c r="G2184" t="s">
        <v>8202</v>
      </c>
      <c r="H2184" t="str">
        <f>"spon-1"</f>
        <v>spon-1</v>
      </c>
      <c r="I2184" t="s">
        <v>8204</v>
      </c>
      <c r="J2184">
        <v>11.381612840815899</v>
      </c>
      <c r="K2184">
        <v>11.9748419695834</v>
      </c>
      <c r="L2184">
        <v>13.0497611860904</v>
      </c>
      <c r="M2184" t="s">
        <v>29</v>
      </c>
      <c r="N2184">
        <v>11.582916335183</v>
      </c>
      <c r="O2184">
        <v>12.300054404956301</v>
      </c>
      <c r="P2184">
        <v>-0.19391996209361301</v>
      </c>
      <c r="Q2184">
        <v>-1.1204749724966201</v>
      </c>
      <c r="R2184">
        <v>0.73263504830939796</v>
      </c>
      <c r="S2184">
        <v>13.105893156677601</v>
      </c>
      <c r="T2184">
        <v>-0.44636785812966401</v>
      </c>
      <c r="U2184">
        <v>-6.9406604027768397</v>
      </c>
      <c r="V2184">
        <v>0.66175236190959097</v>
      </c>
      <c r="W2184">
        <v>0.77579104511357899</v>
      </c>
      <c r="X2184">
        <v>0</v>
      </c>
      <c r="Y2184">
        <v>0</v>
      </c>
    </row>
    <row r="2185" spans="1:25" x14ac:dyDescent="0.2">
      <c r="A2185" t="s">
        <v>8205</v>
      </c>
      <c r="B2185" t="s">
        <v>8206</v>
      </c>
      <c r="C2185" t="s">
        <v>8207</v>
      </c>
      <c r="D2185" t="s">
        <v>8208</v>
      </c>
      <c r="E2185" t="s">
        <v>8206</v>
      </c>
      <c r="F2185" t="s">
        <v>28</v>
      </c>
      <c r="G2185" t="s">
        <v>8206</v>
      </c>
      <c r="H2185" t="str">
        <f>"pfas-1"</f>
        <v>pfas-1</v>
      </c>
      <c r="I2185" t="s">
        <v>8208</v>
      </c>
      <c r="J2185">
        <v>13.3230458934542</v>
      </c>
      <c r="K2185">
        <v>12.643119119460801</v>
      </c>
      <c r="L2185">
        <v>12.985196984781201</v>
      </c>
      <c r="M2185" t="s">
        <v>29</v>
      </c>
      <c r="N2185" t="s">
        <v>29</v>
      </c>
      <c r="O2185">
        <v>14.250342395875</v>
      </c>
      <c r="P2185">
        <v>1.2665550633096201</v>
      </c>
      <c r="Q2185">
        <v>-1.12809987849337</v>
      </c>
      <c r="R2185">
        <v>3.66121000511261</v>
      </c>
      <c r="S2185">
        <v>12.911833262484</v>
      </c>
      <c r="T2185">
        <v>1.1218393327568399</v>
      </c>
      <c r="U2185">
        <v>-6.1769337948315703</v>
      </c>
      <c r="V2185">
        <v>0.27859259435485401</v>
      </c>
      <c r="W2185">
        <v>0.44620237802377999</v>
      </c>
      <c r="X2185">
        <v>0</v>
      </c>
      <c r="Y2185">
        <v>0</v>
      </c>
    </row>
    <row r="2186" spans="1:25" x14ac:dyDescent="0.2">
      <c r="A2186" t="s">
        <v>8209</v>
      </c>
      <c r="B2186" t="s">
        <v>8210</v>
      </c>
      <c r="C2186" t="s">
        <v>8211</v>
      </c>
      <c r="D2186" t="s">
        <v>8212</v>
      </c>
      <c r="E2186" t="s">
        <v>8210</v>
      </c>
      <c r="F2186" t="s">
        <v>28</v>
      </c>
      <c r="G2186" t="s">
        <v>8210</v>
      </c>
      <c r="H2186" t="str">
        <f>"sel-2"</f>
        <v>sel-2</v>
      </c>
      <c r="I2186" t="s">
        <v>8212</v>
      </c>
      <c r="J2186">
        <v>14.061762642173401</v>
      </c>
      <c r="K2186">
        <v>13.8857625126934</v>
      </c>
      <c r="L2186">
        <v>13.670674778634501</v>
      </c>
      <c r="M2186">
        <v>15.504855882652</v>
      </c>
      <c r="N2186">
        <v>14.093583952457699</v>
      </c>
      <c r="O2186">
        <v>14.346245716122001</v>
      </c>
      <c r="P2186">
        <v>0.77549520591013299</v>
      </c>
      <c r="Q2186">
        <v>0.22196170254629299</v>
      </c>
      <c r="R2186">
        <v>1.3290287092739701</v>
      </c>
      <c r="S2186">
        <v>13.997632572434901</v>
      </c>
      <c r="T2186">
        <v>2.9446095634088398</v>
      </c>
      <c r="U2186">
        <v>-3.4508402873272002</v>
      </c>
      <c r="V2186">
        <v>8.7063660618494406E-3</v>
      </c>
      <c r="W2186">
        <v>4.1584539358622802E-2</v>
      </c>
      <c r="X2186">
        <v>0</v>
      </c>
      <c r="Y2186">
        <v>0</v>
      </c>
    </row>
    <row r="2187" spans="1:25" x14ac:dyDescent="0.2">
      <c r="A2187" t="s">
        <v>8213</v>
      </c>
      <c r="B2187" t="s">
        <v>8214</v>
      </c>
      <c r="C2187" t="s">
        <v>8215</v>
      </c>
      <c r="D2187" t="s">
        <v>8216</v>
      </c>
      <c r="E2187" t="s">
        <v>8214</v>
      </c>
      <c r="F2187" t="s">
        <v>28</v>
      </c>
      <c r="G2187" t="s">
        <v>8214</v>
      </c>
      <c r="H2187" t="str">
        <f>"cdh-4"</f>
        <v>cdh-4</v>
      </c>
      <c r="I2187" t="s">
        <v>8216</v>
      </c>
      <c r="J2187">
        <v>14.5542209850446</v>
      </c>
      <c r="K2187">
        <v>15.2061225633931</v>
      </c>
      <c r="L2187">
        <v>14.442703894447</v>
      </c>
      <c r="M2187">
        <v>17.7214145498777</v>
      </c>
      <c r="N2187">
        <v>16.316521232628801</v>
      </c>
      <c r="O2187">
        <v>14.278713012405101</v>
      </c>
      <c r="P2187">
        <v>1.3712004506755899</v>
      </c>
      <c r="Q2187">
        <v>0.104125285655626</v>
      </c>
      <c r="R2187">
        <v>2.63827561569556</v>
      </c>
      <c r="S2187">
        <v>13.833854658101099</v>
      </c>
      <c r="T2187">
        <v>2.2842760259028401</v>
      </c>
      <c r="U2187">
        <v>-4.7645936401482203</v>
      </c>
      <c r="V2187">
        <v>3.55684025821804E-2</v>
      </c>
      <c r="W2187">
        <v>0.109874300219796</v>
      </c>
      <c r="X2187">
        <v>1</v>
      </c>
      <c r="Y2187">
        <v>0</v>
      </c>
    </row>
    <row r="2188" spans="1:25" x14ac:dyDescent="0.2">
      <c r="A2188" t="s">
        <v>8217</v>
      </c>
      <c r="B2188" t="s">
        <v>8218</v>
      </c>
      <c r="C2188" t="s">
        <v>8219</v>
      </c>
      <c r="D2188" t="s">
        <v>8220</v>
      </c>
      <c r="E2188" t="s">
        <v>8218</v>
      </c>
      <c r="F2188" t="s">
        <v>28</v>
      </c>
      <c r="G2188" t="s">
        <v>8218</v>
      </c>
      <c r="H2188" t="str">
        <f>"rpn-5"</f>
        <v>rpn-5</v>
      </c>
      <c r="I2188" t="s">
        <v>8220</v>
      </c>
      <c r="J2188">
        <v>17.9055342381324</v>
      </c>
      <c r="K2188">
        <v>17.663784282368699</v>
      </c>
      <c r="L2188">
        <v>17.5467701459749</v>
      </c>
      <c r="M2188">
        <v>17.021847639993101</v>
      </c>
      <c r="N2188">
        <v>16.8997389700023</v>
      </c>
      <c r="O2188">
        <v>17.380927953282399</v>
      </c>
      <c r="P2188">
        <v>-0.60452470106605505</v>
      </c>
      <c r="Q2188">
        <v>-0.99470409328390497</v>
      </c>
      <c r="R2188">
        <v>-0.21434530884820499</v>
      </c>
      <c r="S2188">
        <v>17.068956417778899</v>
      </c>
      <c r="T2188">
        <v>-3.2564336679689601</v>
      </c>
      <c r="U2188">
        <v>-2.7931270922076199</v>
      </c>
      <c r="V2188">
        <v>4.4088139437782701E-3</v>
      </c>
      <c r="W2188">
        <v>2.5830565988696898E-2</v>
      </c>
      <c r="X2188">
        <v>0</v>
      </c>
      <c r="Y2188">
        <v>0</v>
      </c>
    </row>
    <row r="2189" spans="1:25" x14ac:dyDescent="0.2">
      <c r="A2189" t="s">
        <v>8221</v>
      </c>
      <c r="B2189" t="s">
        <v>8222</v>
      </c>
      <c r="C2189" t="s">
        <v>8223</v>
      </c>
      <c r="D2189" t="s">
        <v>8224</v>
      </c>
      <c r="E2189" t="s">
        <v>8222</v>
      </c>
      <c r="F2189" t="s">
        <v>28</v>
      </c>
      <c r="G2189" t="s">
        <v>8222</v>
      </c>
      <c r="H2189" t="str">
        <f>"tsn-1"</f>
        <v>tsn-1</v>
      </c>
      <c r="I2189" t="s">
        <v>8224</v>
      </c>
      <c r="J2189">
        <v>18.959359490869399</v>
      </c>
      <c r="K2189">
        <v>18.808062511193199</v>
      </c>
      <c r="L2189">
        <v>18.897653205000498</v>
      </c>
      <c r="M2189">
        <v>18.0583383515993</v>
      </c>
      <c r="N2189">
        <v>18.457380108246898</v>
      </c>
      <c r="O2189">
        <v>18.504195377906001</v>
      </c>
      <c r="P2189">
        <v>-0.54838712310363702</v>
      </c>
      <c r="Q2189">
        <v>-0.90205213934276596</v>
      </c>
      <c r="R2189">
        <v>-0.194722106864509</v>
      </c>
      <c r="S2189">
        <v>18.537682301184599</v>
      </c>
      <c r="T2189">
        <v>-3.2590247531312002</v>
      </c>
      <c r="U2189">
        <v>-2.7875852961404601</v>
      </c>
      <c r="V2189">
        <v>4.3837660969064099E-3</v>
      </c>
      <c r="W2189">
        <v>2.57349774653052E-2</v>
      </c>
      <c r="X2189">
        <v>0</v>
      </c>
      <c r="Y2189">
        <v>0</v>
      </c>
    </row>
    <row r="2190" spans="1:25" x14ac:dyDescent="0.2">
      <c r="A2190" t="s">
        <v>8225</v>
      </c>
      <c r="B2190" t="s">
        <v>8226</v>
      </c>
      <c r="C2190" t="s">
        <v>8227</v>
      </c>
      <c r="D2190" t="s">
        <v>8228</v>
      </c>
      <c r="E2190" t="s">
        <v>8226</v>
      </c>
      <c r="F2190" t="s">
        <v>28</v>
      </c>
      <c r="G2190" t="s">
        <v>8226</v>
      </c>
      <c r="H2190" t="str">
        <f>"tag-151"</f>
        <v>tag-151</v>
      </c>
      <c r="I2190" t="s">
        <v>8228</v>
      </c>
      <c r="J2190">
        <v>12.763648616137001</v>
      </c>
      <c r="K2190">
        <v>13.1665604120642</v>
      </c>
      <c r="L2190">
        <v>13.000997826430501</v>
      </c>
      <c r="M2190">
        <v>13.0456993007052</v>
      </c>
      <c r="N2190">
        <v>13.6864197025576</v>
      </c>
      <c r="O2190">
        <v>12.888870138423099</v>
      </c>
      <c r="P2190">
        <v>0.22992742901809199</v>
      </c>
      <c r="Q2190">
        <v>-0.413059677036206</v>
      </c>
      <c r="R2190">
        <v>0.87291453507239003</v>
      </c>
      <c r="S2190">
        <v>14.126689469620301</v>
      </c>
      <c r="T2190">
        <v>0.75159006783466198</v>
      </c>
      <c r="U2190">
        <v>-6.8644630249571996</v>
      </c>
      <c r="V2190">
        <v>0.46206872123396098</v>
      </c>
      <c r="W2190">
        <v>0.62492727006722504</v>
      </c>
      <c r="X2190">
        <v>0</v>
      </c>
      <c r="Y2190">
        <v>0</v>
      </c>
    </row>
    <row r="2191" spans="1:25" x14ac:dyDescent="0.2">
      <c r="A2191" t="s">
        <v>8229</v>
      </c>
      <c r="B2191" t="s">
        <v>8230</v>
      </c>
      <c r="C2191" t="s">
        <v>8231</v>
      </c>
      <c r="D2191" t="s">
        <v>8232</v>
      </c>
      <c r="E2191" t="s">
        <v>8230</v>
      </c>
      <c r="F2191" t="s">
        <v>28</v>
      </c>
      <c r="G2191" t="s">
        <v>8230</v>
      </c>
      <c r="H2191" t="str">
        <f>"F11A10.5"</f>
        <v>F11A10.5</v>
      </c>
      <c r="I2191" t="s">
        <v>8232</v>
      </c>
      <c r="J2191">
        <v>12.1467258989423</v>
      </c>
      <c r="K2191">
        <v>12.577782284225</v>
      </c>
      <c r="L2191">
        <v>12.5482801658257</v>
      </c>
      <c r="M2191" t="s">
        <v>29</v>
      </c>
      <c r="N2191" t="s">
        <v>29</v>
      </c>
      <c r="O2191">
        <v>11.503347846025401</v>
      </c>
      <c r="P2191">
        <v>-0.92091493697228799</v>
      </c>
      <c r="Q2191">
        <v>-1.5660257154753701</v>
      </c>
      <c r="R2191">
        <v>-0.27580415846920098</v>
      </c>
      <c r="S2191">
        <v>12.6764417192495</v>
      </c>
      <c r="T2191">
        <v>-3.0278527361886201</v>
      </c>
      <c r="U2191">
        <v>-3.0234001061543201</v>
      </c>
      <c r="V2191">
        <v>8.0472725950935103E-3</v>
      </c>
      <c r="W2191">
        <v>3.9005447923915401E-2</v>
      </c>
      <c r="X2191">
        <v>0</v>
      </c>
      <c r="Y2191">
        <v>0</v>
      </c>
    </row>
    <row r="2192" spans="1:25" x14ac:dyDescent="0.2">
      <c r="A2192" t="s">
        <v>8233</v>
      </c>
      <c r="B2192" t="s">
        <v>8234</v>
      </c>
      <c r="C2192" t="s">
        <v>8235</v>
      </c>
      <c r="D2192" t="s">
        <v>8236</v>
      </c>
      <c r="E2192" t="s">
        <v>8234</v>
      </c>
      <c r="F2192" t="s">
        <v>28</v>
      </c>
      <c r="G2192" t="s">
        <v>8234</v>
      </c>
      <c r="H2192" t="str">
        <f>"mon-2"</f>
        <v>mon-2</v>
      </c>
      <c r="I2192" t="s">
        <v>8236</v>
      </c>
      <c r="J2192">
        <v>10.945705678353599</v>
      </c>
      <c r="K2192">
        <v>11.3603417950916</v>
      </c>
      <c r="L2192">
        <v>11.487471603971001</v>
      </c>
      <c r="M2192" t="s">
        <v>29</v>
      </c>
      <c r="N2192" t="s">
        <v>29</v>
      </c>
      <c r="O2192">
        <v>10.790876230595201</v>
      </c>
      <c r="P2192">
        <v>-0.47363012854359898</v>
      </c>
      <c r="Q2192">
        <v>-1.38593629739057</v>
      </c>
      <c r="R2192">
        <v>0.43867604030337698</v>
      </c>
      <c r="S2192">
        <v>11.717164106361899</v>
      </c>
      <c r="T2192">
        <v>-1.10115445261492</v>
      </c>
      <c r="U2192">
        <v>-6.1993194816105301</v>
      </c>
      <c r="V2192">
        <v>0.28722559213882198</v>
      </c>
      <c r="W2192">
        <v>0.45557256191232898</v>
      </c>
      <c r="X2192">
        <v>0</v>
      </c>
      <c r="Y2192">
        <v>0</v>
      </c>
    </row>
    <row r="2193" spans="1:25" x14ac:dyDescent="0.2">
      <c r="A2193" t="s">
        <v>8237</v>
      </c>
      <c r="B2193" t="s">
        <v>8238</v>
      </c>
      <c r="C2193" t="s">
        <v>8239</v>
      </c>
      <c r="D2193" t="s">
        <v>8240</v>
      </c>
      <c r="E2193" t="s">
        <v>8238</v>
      </c>
      <c r="F2193" t="s">
        <v>28</v>
      </c>
      <c r="G2193" t="s">
        <v>8238</v>
      </c>
      <c r="H2193" t="str">
        <f>"acs-14"</f>
        <v>acs-14</v>
      </c>
      <c r="I2193" t="s">
        <v>8240</v>
      </c>
      <c r="J2193">
        <v>13.377723765011099</v>
      </c>
      <c r="K2193">
        <v>13.552644850593699</v>
      </c>
      <c r="L2193">
        <v>13.4075732729018</v>
      </c>
      <c r="M2193">
        <v>13.006551313201699</v>
      </c>
      <c r="N2193">
        <v>13.7128392240342</v>
      </c>
      <c r="O2193">
        <v>13.3252490228992</v>
      </c>
      <c r="P2193">
        <v>-9.77674427904969E-2</v>
      </c>
      <c r="Q2193">
        <v>-0.57420031116143999</v>
      </c>
      <c r="R2193">
        <v>0.37866542558044602</v>
      </c>
      <c r="S2193">
        <v>13.23181050514</v>
      </c>
      <c r="T2193">
        <v>-0.43130555721251401</v>
      </c>
      <c r="U2193">
        <v>-7.0591846503330498</v>
      </c>
      <c r="V2193">
        <v>0.67139725955673901</v>
      </c>
      <c r="W2193">
        <v>0.78298683178223505</v>
      </c>
      <c r="X2193">
        <v>0</v>
      </c>
      <c r="Y2193">
        <v>0</v>
      </c>
    </row>
    <row r="2194" spans="1:25" x14ac:dyDescent="0.2">
      <c r="A2194" t="s">
        <v>8241</v>
      </c>
      <c r="B2194" t="s">
        <v>8242</v>
      </c>
      <c r="C2194" t="s">
        <v>8243</v>
      </c>
      <c r="D2194" t="s">
        <v>674</v>
      </c>
      <c r="E2194" t="s">
        <v>8242</v>
      </c>
      <c r="F2194" t="s">
        <v>28</v>
      </c>
      <c r="G2194" t="s">
        <v>8242</v>
      </c>
      <c r="H2194" t="str">
        <f>"vwa-8"</f>
        <v>vwa-8</v>
      </c>
      <c r="I2194" t="s">
        <v>674</v>
      </c>
      <c r="J2194">
        <v>15.089022443467901</v>
      </c>
      <c r="K2194">
        <v>14.9171859208475</v>
      </c>
      <c r="L2194">
        <v>15.0084295477221</v>
      </c>
      <c r="M2194">
        <v>14.5995481977879</v>
      </c>
      <c r="N2194">
        <v>15.0989013486939</v>
      </c>
      <c r="O2194">
        <v>15.1775581131084</v>
      </c>
      <c r="P2194">
        <v>-4.6210084149102201E-2</v>
      </c>
      <c r="Q2194">
        <v>-0.55178033660100501</v>
      </c>
      <c r="R2194">
        <v>0.45936016830280102</v>
      </c>
      <c r="S2194">
        <v>15.075849710441499</v>
      </c>
      <c r="T2194">
        <v>-0.192109021616794</v>
      </c>
      <c r="U2194">
        <v>-7.1369542021404904</v>
      </c>
      <c r="V2194">
        <v>0.84981997765113004</v>
      </c>
      <c r="W2194">
        <v>0.90543003403394096</v>
      </c>
      <c r="X2194">
        <v>0</v>
      </c>
      <c r="Y2194">
        <v>0</v>
      </c>
    </row>
    <row r="2195" spans="1:25" x14ac:dyDescent="0.2">
      <c r="A2195" t="s">
        <v>8244</v>
      </c>
      <c r="B2195" t="s">
        <v>8245</v>
      </c>
      <c r="C2195" t="s">
        <v>8246</v>
      </c>
      <c r="D2195" t="s">
        <v>8247</v>
      </c>
      <c r="E2195" t="s">
        <v>8245</v>
      </c>
      <c r="F2195" t="s">
        <v>28</v>
      </c>
      <c r="G2195" t="s">
        <v>8245</v>
      </c>
      <c r="H2195" t="str">
        <f>"rfl-1"</f>
        <v>rfl-1</v>
      </c>
      <c r="I2195" t="s">
        <v>8247</v>
      </c>
      <c r="J2195">
        <v>12.924882327835901</v>
      </c>
      <c r="K2195">
        <v>13.394033228403201</v>
      </c>
      <c r="L2195">
        <v>13.1495588132048</v>
      </c>
      <c r="M2195" t="s">
        <v>29</v>
      </c>
      <c r="N2195">
        <v>12.5358411538477</v>
      </c>
      <c r="O2195">
        <v>13.3260104160565</v>
      </c>
      <c r="P2195">
        <v>-0.225232338195863</v>
      </c>
      <c r="Q2195">
        <v>-0.94651863507890699</v>
      </c>
      <c r="R2195">
        <v>0.496053958687182</v>
      </c>
      <c r="S2195">
        <v>13.463934819367299</v>
      </c>
      <c r="T2195">
        <v>-0.65913303276495006</v>
      </c>
      <c r="U2195">
        <v>-6.8200098668654299</v>
      </c>
      <c r="V2195">
        <v>0.51869402257632802</v>
      </c>
      <c r="W2195">
        <v>0.67069149234062098</v>
      </c>
      <c r="X2195">
        <v>0</v>
      </c>
      <c r="Y2195">
        <v>0</v>
      </c>
    </row>
    <row r="2196" spans="1:25" x14ac:dyDescent="0.2">
      <c r="A2196" t="s">
        <v>8248</v>
      </c>
      <c r="B2196" t="s">
        <v>8249</v>
      </c>
      <c r="C2196" t="s">
        <v>8250</v>
      </c>
      <c r="D2196" t="s">
        <v>8251</v>
      </c>
      <c r="E2196" t="s">
        <v>8249</v>
      </c>
      <c r="F2196" t="s">
        <v>28</v>
      </c>
      <c r="G2196" t="s">
        <v>8249</v>
      </c>
      <c r="H2196" t="str">
        <f>"F12F6.7"</f>
        <v>F12F6.7</v>
      </c>
      <c r="I2196" t="s">
        <v>8251</v>
      </c>
      <c r="J2196" t="s">
        <v>29</v>
      </c>
      <c r="K2196" t="s">
        <v>29</v>
      </c>
      <c r="L2196" t="s">
        <v>29</v>
      </c>
      <c r="M2196" t="s">
        <v>29</v>
      </c>
      <c r="N2196" t="s">
        <v>29</v>
      </c>
      <c r="O2196" t="s">
        <v>29</v>
      </c>
      <c r="P2196" t="s">
        <v>29</v>
      </c>
      <c r="Q2196" t="s">
        <v>29</v>
      </c>
      <c r="R2196" t="s">
        <v>29</v>
      </c>
      <c r="S2196">
        <v>10.6944707943818</v>
      </c>
      <c r="T2196" t="s">
        <v>29</v>
      </c>
      <c r="U2196" t="s">
        <v>29</v>
      </c>
      <c r="V2196" t="s">
        <v>29</v>
      </c>
      <c r="W2196" t="s">
        <v>29</v>
      </c>
      <c r="X2196" t="s">
        <v>29</v>
      </c>
      <c r="Y2196" t="s">
        <v>29</v>
      </c>
    </row>
    <row r="2197" spans="1:25" x14ac:dyDescent="0.2">
      <c r="A2197" t="s">
        <v>8252</v>
      </c>
      <c r="B2197" t="s">
        <v>8253</v>
      </c>
      <c r="C2197" t="s">
        <v>8254</v>
      </c>
      <c r="D2197" t="s">
        <v>8255</v>
      </c>
      <c r="E2197" t="s">
        <v>8253</v>
      </c>
      <c r="F2197" t="s">
        <v>28</v>
      </c>
      <c r="G2197" t="s">
        <v>8253</v>
      </c>
      <c r="H2197" t="str">
        <f>"sec-24.1"</f>
        <v>sec-24.1</v>
      </c>
      <c r="I2197" t="s">
        <v>8255</v>
      </c>
      <c r="J2197">
        <v>15.2494695131402</v>
      </c>
      <c r="K2197">
        <v>15.1722703168707</v>
      </c>
      <c r="L2197">
        <v>15.1011930032662</v>
      </c>
      <c r="M2197">
        <v>14.867119043672799</v>
      </c>
      <c r="N2197">
        <v>14.778468721176299</v>
      </c>
      <c r="O2197">
        <v>15.0893622434739</v>
      </c>
      <c r="P2197">
        <v>-0.26266094165141102</v>
      </c>
      <c r="Q2197">
        <v>-0.55782943925712203</v>
      </c>
      <c r="R2197">
        <v>3.2507555954299397E-2</v>
      </c>
      <c r="S2197">
        <v>15.0015650344598</v>
      </c>
      <c r="T2197">
        <v>-1.8703289892947099</v>
      </c>
      <c r="U2197">
        <v>-5.48046880063412</v>
      </c>
      <c r="V2197">
        <v>7.7886630267226295E-2</v>
      </c>
      <c r="W2197">
        <v>0.184067280992394</v>
      </c>
      <c r="X2197">
        <v>0</v>
      </c>
      <c r="Y2197">
        <v>0</v>
      </c>
    </row>
    <row r="2198" spans="1:25" x14ac:dyDescent="0.2">
      <c r="A2198" t="s">
        <v>8256</v>
      </c>
      <c r="B2198" t="s">
        <v>8257</v>
      </c>
      <c r="C2198" t="s">
        <v>8258</v>
      </c>
      <c r="D2198" t="s">
        <v>8259</v>
      </c>
      <c r="E2198" t="s">
        <v>8257</v>
      </c>
      <c r="F2198" t="s">
        <v>28</v>
      </c>
      <c r="G2198" t="s">
        <v>8257</v>
      </c>
      <c r="H2198" t="str">
        <f>"F13B12.1"</f>
        <v>F13B12.1</v>
      </c>
      <c r="I2198" t="s">
        <v>8259</v>
      </c>
      <c r="J2198" t="s">
        <v>29</v>
      </c>
      <c r="K2198" t="s">
        <v>29</v>
      </c>
      <c r="L2198" t="s">
        <v>29</v>
      </c>
      <c r="M2198" t="s">
        <v>29</v>
      </c>
      <c r="N2198" t="s">
        <v>29</v>
      </c>
      <c r="O2198" t="s">
        <v>29</v>
      </c>
      <c r="P2198" t="s">
        <v>29</v>
      </c>
      <c r="Q2198" t="s">
        <v>29</v>
      </c>
      <c r="R2198" t="s">
        <v>29</v>
      </c>
      <c r="S2198">
        <v>11.0133342712427</v>
      </c>
      <c r="T2198" t="s">
        <v>29</v>
      </c>
      <c r="U2198" t="s">
        <v>29</v>
      </c>
      <c r="V2198" t="s">
        <v>29</v>
      </c>
      <c r="W2198" t="s">
        <v>29</v>
      </c>
      <c r="X2198" t="s">
        <v>29</v>
      </c>
      <c r="Y2198" t="s">
        <v>29</v>
      </c>
    </row>
    <row r="2199" spans="1:25" x14ac:dyDescent="0.2">
      <c r="A2199" t="s">
        <v>8260</v>
      </c>
      <c r="B2199" t="s">
        <v>8261</v>
      </c>
      <c r="C2199" t="s">
        <v>14446</v>
      </c>
      <c r="D2199" t="s">
        <v>2641</v>
      </c>
      <c r="E2199" t="s">
        <v>8261</v>
      </c>
      <c r="F2199" t="s">
        <v>28</v>
      </c>
      <c r="G2199" t="s">
        <v>8261</v>
      </c>
      <c r="H2199" t="str">
        <f>"F13D12.5"</f>
        <v>F13D12.5</v>
      </c>
      <c r="I2199" t="s">
        <v>2641</v>
      </c>
      <c r="J2199" t="s">
        <v>29</v>
      </c>
      <c r="K2199" t="s">
        <v>29</v>
      </c>
      <c r="L2199" t="s">
        <v>29</v>
      </c>
      <c r="M2199" t="s">
        <v>29</v>
      </c>
      <c r="N2199" t="s">
        <v>29</v>
      </c>
      <c r="O2199" t="s">
        <v>29</v>
      </c>
      <c r="P2199" t="s">
        <v>29</v>
      </c>
      <c r="Q2199" t="s">
        <v>29</v>
      </c>
      <c r="R2199" t="s">
        <v>29</v>
      </c>
      <c r="S2199">
        <v>9.6549121485701193</v>
      </c>
      <c r="T2199" t="s">
        <v>29</v>
      </c>
      <c r="U2199" t="s">
        <v>29</v>
      </c>
      <c r="V2199" t="s">
        <v>29</v>
      </c>
      <c r="W2199" t="s">
        <v>29</v>
      </c>
      <c r="X2199" t="s">
        <v>29</v>
      </c>
      <c r="Y2199" t="s">
        <v>29</v>
      </c>
    </row>
    <row r="2200" spans="1:25" x14ac:dyDescent="0.2">
      <c r="A2200" t="s">
        <v>8262</v>
      </c>
      <c r="B2200" t="s">
        <v>8263</v>
      </c>
      <c r="C2200" t="s">
        <v>8264</v>
      </c>
      <c r="D2200" t="s">
        <v>8265</v>
      </c>
      <c r="E2200" t="s">
        <v>8263</v>
      </c>
      <c r="F2200" t="s">
        <v>28</v>
      </c>
      <c r="G2200" t="s">
        <v>8263</v>
      </c>
      <c r="H2200" t="str">
        <f>"dylt-1"</f>
        <v>dylt-1</v>
      </c>
      <c r="I2200" t="s">
        <v>8265</v>
      </c>
      <c r="J2200">
        <v>14.1399297535724</v>
      </c>
      <c r="K2200">
        <v>14.2337122275843</v>
      </c>
      <c r="L2200">
        <v>14.1729508652853</v>
      </c>
      <c r="M2200">
        <v>10.780446801056801</v>
      </c>
      <c r="N2200">
        <v>13.128214437392399</v>
      </c>
      <c r="O2200">
        <v>14.1448834153482</v>
      </c>
      <c r="P2200">
        <v>-1.4976827308815199</v>
      </c>
      <c r="Q2200">
        <v>-2.5655250920308301</v>
      </c>
      <c r="R2200">
        <v>-0.42984036973219902</v>
      </c>
      <c r="S2200">
        <v>13.8376791302596</v>
      </c>
      <c r="T2200">
        <v>-2.9478487047551201</v>
      </c>
      <c r="U2200">
        <v>-3.444114935595</v>
      </c>
      <c r="V2200">
        <v>8.6455894672178499E-3</v>
      </c>
      <c r="W2200">
        <v>4.1361285973848999E-2</v>
      </c>
      <c r="X2200">
        <v>-1</v>
      </c>
      <c r="Y2200">
        <v>-1</v>
      </c>
    </row>
    <row r="2201" spans="1:25" x14ac:dyDescent="0.2">
      <c r="A2201" t="s">
        <v>8266</v>
      </c>
      <c r="B2201" t="s">
        <v>8267</v>
      </c>
      <c r="C2201" t="s">
        <v>14447</v>
      </c>
      <c r="D2201" t="s">
        <v>1434</v>
      </c>
      <c r="E2201" t="s">
        <v>8267</v>
      </c>
      <c r="F2201" t="s">
        <v>28</v>
      </c>
      <c r="G2201" t="s">
        <v>8267</v>
      </c>
      <c r="H2201" t="str">
        <f>"F13G3.7"</f>
        <v>F13G3.7</v>
      </c>
      <c r="I2201" t="s">
        <v>1434</v>
      </c>
      <c r="J2201">
        <v>12.880574722319199</v>
      </c>
      <c r="K2201">
        <v>12.544086764852</v>
      </c>
      <c r="L2201">
        <v>11.803244000832599</v>
      </c>
      <c r="M2201" t="s">
        <v>29</v>
      </c>
      <c r="N2201" t="s">
        <v>29</v>
      </c>
      <c r="O2201">
        <v>13.4094527985042</v>
      </c>
      <c r="P2201">
        <v>1.00015096916959</v>
      </c>
      <c r="Q2201">
        <v>-0.129086331081047</v>
      </c>
      <c r="R2201">
        <v>2.12938826942022</v>
      </c>
      <c r="S2201">
        <v>12.349354689751101</v>
      </c>
      <c r="T2201">
        <v>1.8889564742031799</v>
      </c>
      <c r="U2201">
        <v>-5.12849650024976</v>
      </c>
      <c r="V2201">
        <v>7.8527052334455796E-2</v>
      </c>
      <c r="W2201">
        <v>0.184987388672775</v>
      </c>
      <c r="X2201">
        <v>0</v>
      </c>
      <c r="Y2201">
        <v>0</v>
      </c>
    </row>
    <row r="2202" spans="1:25" x14ac:dyDescent="0.2">
      <c r="A2202" t="s">
        <v>8268</v>
      </c>
      <c r="B2202" t="s">
        <v>8269</v>
      </c>
      <c r="C2202" t="s">
        <v>8270</v>
      </c>
      <c r="D2202" t="s">
        <v>8271</v>
      </c>
      <c r="E2202" t="s">
        <v>8269</v>
      </c>
      <c r="F2202" t="s">
        <v>28</v>
      </c>
      <c r="G2202" t="s">
        <v>8269</v>
      </c>
      <c r="H2202" t="str">
        <f>"mogs-1"</f>
        <v>mogs-1</v>
      </c>
      <c r="I2202" t="s">
        <v>8271</v>
      </c>
      <c r="J2202">
        <v>13.2833429769888</v>
      </c>
      <c r="K2202">
        <v>12.909844260337501</v>
      </c>
      <c r="L2202">
        <v>12.745439980685999</v>
      </c>
      <c r="M2202" t="s">
        <v>29</v>
      </c>
      <c r="N2202" t="s">
        <v>29</v>
      </c>
      <c r="O2202">
        <v>12.5498599594991</v>
      </c>
      <c r="P2202">
        <v>-0.42968244650494097</v>
      </c>
      <c r="Q2202">
        <v>-1.27814722326162</v>
      </c>
      <c r="R2202">
        <v>0.418782330251739</v>
      </c>
      <c r="S2202">
        <v>12.7464558273045</v>
      </c>
      <c r="T2202">
        <v>-1.0800786969127301</v>
      </c>
      <c r="U2202">
        <v>-6.2208028792112202</v>
      </c>
      <c r="V2202">
        <v>0.29728613623017602</v>
      </c>
      <c r="W2202">
        <v>0.46551660120633798</v>
      </c>
      <c r="X2202">
        <v>0</v>
      </c>
      <c r="Y2202">
        <v>0</v>
      </c>
    </row>
    <row r="2203" spans="1:25" x14ac:dyDescent="0.2">
      <c r="A2203" t="s">
        <v>8272</v>
      </c>
      <c r="B2203" t="s">
        <v>8273</v>
      </c>
      <c r="C2203" t="s">
        <v>14448</v>
      </c>
      <c r="D2203" t="s">
        <v>8274</v>
      </c>
      <c r="E2203" t="s">
        <v>8273</v>
      </c>
      <c r="F2203" t="s">
        <v>28</v>
      </c>
      <c r="G2203" t="s">
        <v>8273</v>
      </c>
      <c r="H2203" t="str">
        <f>"F13H8.5"</f>
        <v>F13H8.5</v>
      </c>
      <c r="I2203" t="s">
        <v>8274</v>
      </c>
      <c r="J2203" t="s">
        <v>29</v>
      </c>
      <c r="K2203" t="s">
        <v>29</v>
      </c>
      <c r="L2203">
        <v>10.234109166516401</v>
      </c>
      <c r="M2203" t="s">
        <v>29</v>
      </c>
      <c r="N2203" t="s">
        <v>29</v>
      </c>
      <c r="O2203" t="s">
        <v>29</v>
      </c>
      <c r="P2203" t="s">
        <v>29</v>
      </c>
      <c r="Q2203" t="s">
        <v>29</v>
      </c>
      <c r="R2203" t="s">
        <v>29</v>
      </c>
      <c r="S2203">
        <v>11.3151651124045</v>
      </c>
      <c r="T2203" t="s">
        <v>29</v>
      </c>
      <c r="U2203" t="s">
        <v>29</v>
      </c>
      <c r="V2203" t="s">
        <v>29</v>
      </c>
      <c r="W2203" t="s">
        <v>29</v>
      </c>
      <c r="X2203" t="s">
        <v>29</v>
      </c>
      <c r="Y2203" t="s">
        <v>29</v>
      </c>
    </row>
    <row r="2204" spans="1:25" x14ac:dyDescent="0.2">
      <c r="A2204" t="s">
        <v>8275</v>
      </c>
      <c r="B2204" t="s">
        <v>8276</v>
      </c>
      <c r="C2204" t="s">
        <v>14449</v>
      </c>
      <c r="D2204" t="s">
        <v>4588</v>
      </c>
      <c r="E2204" t="s">
        <v>8276</v>
      </c>
      <c r="F2204" t="s">
        <v>28</v>
      </c>
      <c r="G2204" t="s">
        <v>8276</v>
      </c>
      <c r="H2204" t="str">
        <f>"F13H8.2"</f>
        <v>F13H8.2</v>
      </c>
      <c r="I2204" t="s">
        <v>4588</v>
      </c>
      <c r="J2204" t="s">
        <v>29</v>
      </c>
      <c r="K2204">
        <v>10.6820423030586</v>
      </c>
      <c r="L2204">
        <v>10.6923777017916</v>
      </c>
      <c r="M2204" t="s">
        <v>29</v>
      </c>
      <c r="N2204" t="s">
        <v>29</v>
      </c>
      <c r="O2204" t="s">
        <v>29</v>
      </c>
      <c r="P2204" t="s">
        <v>29</v>
      </c>
      <c r="Q2204" t="s">
        <v>29</v>
      </c>
      <c r="R2204" t="s">
        <v>29</v>
      </c>
      <c r="S2204">
        <v>11.026907111275399</v>
      </c>
      <c r="T2204" t="s">
        <v>29</v>
      </c>
      <c r="U2204" t="s">
        <v>29</v>
      </c>
      <c r="V2204" t="s">
        <v>29</v>
      </c>
      <c r="W2204" t="s">
        <v>29</v>
      </c>
      <c r="X2204" t="s">
        <v>29</v>
      </c>
      <c r="Y2204" t="s">
        <v>29</v>
      </c>
    </row>
    <row r="2205" spans="1:25" x14ac:dyDescent="0.2">
      <c r="A2205" t="s">
        <v>8277</v>
      </c>
      <c r="B2205" t="s">
        <v>8278</v>
      </c>
      <c r="C2205" t="s">
        <v>8279</v>
      </c>
      <c r="D2205" t="s">
        <v>3609</v>
      </c>
      <c r="E2205" t="s">
        <v>8278</v>
      </c>
      <c r="F2205" t="s">
        <v>28</v>
      </c>
      <c r="G2205" t="s">
        <v>8278</v>
      </c>
      <c r="H2205" t="str">
        <f>"git-1"</f>
        <v>git-1</v>
      </c>
      <c r="I2205" t="s">
        <v>3609</v>
      </c>
      <c r="J2205">
        <v>11.769247454296901</v>
      </c>
      <c r="K2205">
        <v>10.804567942790399</v>
      </c>
      <c r="L2205">
        <v>10.6752071033831</v>
      </c>
      <c r="M2205" t="s">
        <v>29</v>
      </c>
      <c r="N2205" t="s">
        <v>29</v>
      </c>
      <c r="O2205" t="s">
        <v>29</v>
      </c>
      <c r="P2205" t="s">
        <v>29</v>
      </c>
      <c r="Q2205" t="s">
        <v>29</v>
      </c>
      <c r="R2205" t="s">
        <v>29</v>
      </c>
      <c r="S2205">
        <v>11.3851290599568</v>
      </c>
      <c r="T2205" t="s">
        <v>29</v>
      </c>
      <c r="U2205" t="s">
        <v>29</v>
      </c>
      <c r="V2205" t="s">
        <v>29</v>
      </c>
      <c r="W2205" t="s">
        <v>29</v>
      </c>
      <c r="X2205" t="s">
        <v>29</v>
      </c>
      <c r="Y2205" t="s">
        <v>29</v>
      </c>
    </row>
    <row r="2206" spans="1:25" x14ac:dyDescent="0.2">
      <c r="A2206" t="s">
        <v>8280</v>
      </c>
      <c r="B2206" t="s">
        <v>8281</v>
      </c>
      <c r="C2206" t="s">
        <v>8282</v>
      </c>
      <c r="D2206" t="s">
        <v>8283</v>
      </c>
      <c r="E2206" t="s">
        <v>8281</v>
      </c>
      <c r="F2206" t="s">
        <v>28</v>
      </c>
      <c r="G2206" t="s">
        <v>8281</v>
      </c>
      <c r="H2206" t="str">
        <f>"mboa-7"</f>
        <v>mboa-7</v>
      </c>
      <c r="I2206" t="s">
        <v>8283</v>
      </c>
      <c r="J2206">
        <v>13.4544384778645</v>
      </c>
      <c r="K2206">
        <v>13.6088786983068</v>
      </c>
      <c r="L2206">
        <v>13.7373637556062</v>
      </c>
      <c r="M2206">
        <v>13.244681392701899</v>
      </c>
      <c r="N2206">
        <v>12.830416848113501</v>
      </c>
      <c r="O2206">
        <v>13.294461488409199</v>
      </c>
      <c r="P2206">
        <v>-0.47704040085093002</v>
      </c>
      <c r="Q2206">
        <v>-0.94327905130258105</v>
      </c>
      <c r="R2206">
        <v>-1.0801750399278401E-2</v>
      </c>
      <c r="S2206">
        <v>13.7699004267775</v>
      </c>
      <c r="T2206">
        <v>-2.1504997748118799</v>
      </c>
      <c r="U2206">
        <v>-4.9991793034231797</v>
      </c>
      <c r="V2206">
        <v>4.54360350949626E-2</v>
      </c>
      <c r="W2206">
        <v>0.12728136447229499</v>
      </c>
      <c r="X2206">
        <v>0</v>
      </c>
      <c r="Y2206">
        <v>0</v>
      </c>
    </row>
    <row r="2207" spans="1:25" x14ac:dyDescent="0.2">
      <c r="A2207" t="s">
        <v>8284</v>
      </c>
      <c r="B2207" t="s">
        <v>8285</v>
      </c>
      <c r="C2207" t="s">
        <v>8286</v>
      </c>
      <c r="D2207" t="s">
        <v>3312</v>
      </c>
      <c r="E2207" t="s">
        <v>8285</v>
      </c>
      <c r="F2207" t="s">
        <v>28</v>
      </c>
      <c r="G2207" t="s">
        <v>8285</v>
      </c>
      <c r="H2207" t="str">
        <f>"col-184"</f>
        <v>col-184</v>
      </c>
      <c r="I2207" t="s">
        <v>3312</v>
      </c>
      <c r="J2207">
        <v>11.957658463531001</v>
      </c>
      <c r="K2207">
        <v>11.8454925082836</v>
      </c>
      <c r="L2207">
        <v>13.975949155939899</v>
      </c>
      <c r="M2207">
        <v>16.878372618403102</v>
      </c>
      <c r="N2207">
        <v>12.215811827023</v>
      </c>
      <c r="O2207">
        <v>14.4117260104167</v>
      </c>
      <c r="P2207">
        <v>1.90893677602941</v>
      </c>
      <c r="Q2207">
        <v>2.0514894635971701E-2</v>
      </c>
      <c r="R2207">
        <v>3.7973586574228402</v>
      </c>
      <c r="S2207">
        <v>13.168856137828101</v>
      </c>
      <c r="T2207">
        <v>2.1337450859512002</v>
      </c>
      <c r="U2207">
        <v>-5.0357244207581697</v>
      </c>
      <c r="V2207">
        <v>4.7824190722422603E-2</v>
      </c>
      <c r="W2207">
        <v>0.13221190437052499</v>
      </c>
      <c r="X2207">
        <v>1</v>
      </c>
      <c r="Y2207">
        <v>0</v>
      </c>
    </row>
    <row r="2208" spans="1:25" x14ac:dyDescent="0.2">
      <c r="A2208" t="s">
        <v>8287</v>
      </c>
      <c r="B2208" t="s">
        <v>8288</v>
      </c>
      <c r="C2208" t="s">
        <v>8289</v>
      </c>
      <c r="D2208" t="s">
        <v>1382</v>
      </c>
      <c r="E2208" t="s">
        <v>8288</v>
      </c>
      <c r="F2208" t="s">
        <v>28</v>
      </c>
      <c r="G2208" t="s">
        <v>8288</v>
      </c>
      <c r="H2208" t="str">
        <f>"tba-5"</f>
        <v>tba-5</v>
      </c>
      <c r="I2208" t="s">
        <v>1382</v>
      </c>
      <c r="J2208">
        <v>11.9074199935491</v>
      </c>
      <c r="K2208">
        <v>11.8330683460663</v>
      </c>
      <c r="L2208" t="s">
        <v>29</v>
      </c>
      <c r="M2208">
        <v>11.8238322908105</v>
      </c>
      <c r="N2208" t="s">
        <v>29</v>
      </c>
      <c r="O2208">
        <v>10.217816875795799</v>
      </c>
      <c r="P2208">
        <v>-0.84941958650454596</v>
      </c>
      <c r="Q2208">
        <v>-2.5776387594285199</v>
      </c>
      <c r="R2208">
        <v>0.87879958641943001</v>
      </c>
      <c r="S2208">
        <v>10.7321951478764</v>
      </c>
      <c r="T2208">
        <v>-1.1360283349206799</v>
      </c>
      <c r="U2208">
        <v>-6.2881703560788704</v>
      </c>
      <c r="V2208">
        <v>0.28925033615278001</v>
      </c>
      <c r="W2208">
        <v>0.45779846436210597</v>
      </c>
      <c r="X2208">
        <v>0</v>
      </c>
      <c r="Y2208">
        <v>0</v>
      </c>
    </row>
    <row r="2209" spans="1:25" x14ac:dyDescent="0.2">
      <c r="A2209" t="s">
        <v>8290</v>
      </c>
      <c r="B2209" t="s">
        <v>8291</v>
      </c>
      <c r="C2209" t="s">
        <v>8292</v>
      </c>
      <c r="D2209" t="s">
        <v>8293</v>
      </c>
      <c r="E2209" t="s">
        <v>8291</v>
      </c>
      <c r="F2209" t="s">
        <v>28</v>
      </c>
      <c r="G2209" t="s">
        <v>8291</v>
      </c>
      <c r="H2209" t="str">
        <f>"rsd-6"</f>
        <v>rsd-6</v>
      </c>
      <c r="I2209" t="s">
        <v>8293</v>
      </c>
      <c r="J2209">
        <v>12.6556693176314</v>
      </c>
      <c r="K2209">
        <v>13.170677569994499</v>
      </c>
      <c r="L2209">
        <v>13.339866617428299</v>
      </c>
      <c r="M2209">
        <v>12.316454057286499</v>
      </c>
      <c r="N2209">
        <v>12.7922650768443</v>
      </c>
      <c r="O2209">
        <v>12.4970846993129</v>
      </c>
      <c r="P2209">
        <v>-0.52013655720350005</v>
      </c>
      <c r="Q2209">
        <v>-1.0207277271001101</v>
      </c>
      <c r="R2209">
        <v>-1.9545387306886298E-2</v>
      </c>
      <c r="S2209">
        <v>13.3461430667251</v>
      </c>
      <c r="T2209">
        <v>-2.1838696219598899</v>
      </c>
      <c r="U2209">
        <v>-4.9391492575817502</v>
      </c>
      <c r="V2209">
        <v>4.2531753903249203E-2</v>
      </c>
      <c r="W2209">
        <v>0.121808628525632</v>
      </c>
      <c r="X2209">
        <v>0</v>
      </c>
      <c r="Y2209">
        <v>0</v>
      </c>
    </row>
    <row r="2210" spans="1:25" x14ac:dyDescent="0.2">
      <c r="A2210" t="s">
        <v>8294</v>
      </c>
      <c r="B2210" t="s">
        <v>8295</v>
      </c>
      <c r="C2210" t="s">
        <v>8296</v>
      </c>
      <c r="D2210" t="s">
        <v>8297</v>
      </c>
      <c r="E2210" t="s">
        <v>8295</v>
      </c>
      <c r="F2210" t="s">
        <v>28</v>
      </c>
      <c r="G2210" t="s">
        <v>8295</v>
      </c>
      <c r="H2210" t="str">
        <f>"tbcd-1"</f>
        <v>tbcd-1</v>
      </c>
      <c r="I2210" t="s">
        <v>8297</v>
      </c>
      <c r="J2210">
        <v>11.9137623880271</v>
      </c>
      <c r="K2210">
        <v>11.9935795253664</v>
      </c>
      <c r="L2210">
        <v>11.8756239236633</v>
      </c>
      <c r="M2210" t="s">
        <v>29</v>
      </c>
      <c r="N2210" t="s">
        <v>29</v>
      </c>
      <c r="O2210">
        <v>12.8120817255665</v>
      </c>
      <c r="P2210">
        <v>0.88442644654755198</v>
      </c>
      <c r="Q2210">
        <v>8.4705077840049506E-2</v>
      </c>
      <c r="R2210">
        <v>1.68414781525505</v>
      </c>
      <c r="S2210">
        <v>12.928558007175599</v>
      </c>
      <c r="T2210">
        <v>2.3911689598157602</v>
      </c>
      <c r="U2210">
        <v>-4.2993582870152203</v>
      </c>
      <c r="V2210">
        <v>3.2759831302417802E-2</v>
      </c>
      <c r="W2210">
        <v>0.103088285705184</v>
      </c>
      <c r="X2210">
        <v>0</v>
      </c>
      <c r="Y2210">
        <v>0</v>
      </c>
    </row>
    <row r="2211" spans="1:25" x14ac:dyDescent="0.2">
      <c r="A2211" t="s">
        <v>8298</v>
      </c>
      <c r="B2211" t="s">
        <v>8299</v>
      </c>
      <c r="C2211" t="s">
        <v>8300</v>
      </c>
      <c r="D2211" t="s">
        <v>901</v>
      </c>
      <c r="E2211" t="s">
        <v>8299</v>
      </c>
      <c r="F2211" t="s">
        <v>28</v>
      </c>
      <c r="G2211" t="s">
        <v>8299</v>
      </c>
      <c r="H2211" t="str">
        <f>"nhr-45"</f>
        <v>nhr-45</v>
      </c>
      <c r="I2211" t="s">
        <v>901</v>
      </c>
      <c r="J2211">
        <v>12.276350625943101</v>
      </c>
      <c r="K2211">
        <v>12.8927028390441</v>
      </c>
      <c r="L2211">
        <v>11.648485981646701</v>
      </c>
      <c r="M2211" t="s">
        <v>29</v>
      </c>
      <c r="N2211">
        <v>12.7921486661978</v>
      </c>
      <c r="O2211">
        <v>12.6811297788103</v>
      </c>
      <c r="P2211">
        <v>0.46412607362605801</v>
      </c>
      <c r="Q2211">
        <v>-0.344179894298695</v>
      </c>
      <c r="R2211">
        <v>1.2724320415508099</v>
      </c>
      <c r="S2211">
        <v>12.664621838874</v>
      </c>
      <c r="T2211">
        <v>1.2120211395962699</v>
      </c>
      <c r="U2211">
        <v>-6.30527121072934</v>
      </c>
      <c r="V2211">
        <v>0.24218256218613099</v>
      </c>
      <c r="W2211">
        <v>0.40830206565362098</v>
      </c>
      <c r="X2211">
        <v>0</v>
      </c>
      <c r="Y2211">
        <v>0</v>
      </c>
    </row>
    <row r="2212" spans="1:25" x14ac:dyDescent="0.2">
      <c r="A2212" t="s">
        <v>8301</v>
      </c>
      <c r="B2212" t="s">
        <v>8302</v>
      </c>
      <c r="C2212" t="s">
        <v>14450</v>
      </c>
      <c r="D2212" t="s">
        <v>8303</v>
      </c>
      <c r="E2212" t="s">
        <v>8302</v>
      </c>
      <c r="F2212" t="s">
        <v>28</v>
      </c>
      <c r="G2212" t="s">
        <v>8302</v>
      </c>
      <c r="H2212" t="str">
        <f>"F17C11.6"</f>
        <v>F17C11.6</v>
      </c>
      <c r="I2212" t="s">
        <v>8303</v>
      </c>
      <c r="J2212" t="s">
        <v>29</v>
      </c>
      <c r="K2212" t="s">
        <v>29</v>
      </c>
      <c r="L2212" t="s">
        <v>29</v>
      </c>
      <c r="M2212" t="s">
        <v>29</v>
      </c>
      <c r="N2212" t="s">
        <v>29</v>
      </c>
      <c r="O2212" t="s">
        <v>29</v>
      </c>
      <c r="P2212" t="s">
        <v>29</v>
      </c>
      <c r="Q2212" t="s">
        <v>29</v>
      </c>
      <c r="R2212" t="s">
        <v>29</v>
      </c>
      <c r="S2212">
        <v>9.8787707794100292</v>
      </c>
      <c r="T2212" t="s">
        <v>29</v>
      </c>
      <c r="U2212" t="s">
        <v>29</v>
      </c>
      <c r="V2212" t="s">
        <v>29</v>
      </c>
      <c r="W2212" t="s">
        <v>29</v>
      </c>
      <c r="X2212" t="s">
        <v>29</v>
      </c>
      <c r="Y2212" t="s">
        <v>29</v>
      </c>
    </row>
    <row r="2213" spans="1:25" x14ac:dyDescent="0.2">
      <c r="A2213" t="s">
        <v>8304</v>
      </c>
      <c r="B2213" t="s">
        <v>8305</v>
      </c>
      <c r="C2213" t="s">
        <v>8306</v>
      </c>
      <c r="D2213" t="s">
        <v>8307</v>
      </c>
      <c r="E2213" t="s">
        <v>8305</v>
      </c>
      <c r="F2213" t="s">
        <v>28</v>
      </c>
      <c r="G2213" t="s">
        <v>8305</v>
      </c>
      <c r="H2213" t="str">
        <f>"pigt-1"</f>
        <v>pigt-1</v>
      </c>
      <c r="I2213" t="s">
        <v>8307</v>
      </c>
      <c r="J2213">
        <v>14.558418868805701</v>
      </c>
      <c r="K2213">
        <v>14.6275214114814</v>
      </c>
      <c r="L2213">
        <v>14.2237455992704</v>
      </c>
      <c r="M2213">
        <v>14.7939616809608</v>
      </c>
      <c r="N2213">
        <v>13.8154044593404</v>
      </c>
      <c r="O2213">
        <v>14.35167236433</v>
      </c>
      <c r="P2213">
        <v>-0.14954912497546299</v>
      </c>
      <c r="Q2213">
        <v>-0.68165099253921901</v>
      </c>
      <c r="R2213">
        <v>0.38255274258829303</v>
      </c>
      <c r="S2213">
        <v>13.917681675149201</v>
      </c>
      <c r="T2213">
        <v>-0.59071990643806904</v>
      </c>
      <c r="U2213">
        <v>-6.9749486185076304</v>
      </c>
      <c r="V2213">
        <v>0.56209526388284203</v>
      </c>
      <c r="W2213">
        <v>0.70429198242463198</v>
      </c>
      <c r="X2213">
        <v>0</v>
      </c>
      <c r="Y2213">
        <v>0</v>
      </c>
    </row>
    <row r="2214" spans="1:25" x14ac:dyDescent="0.2">
      <c r="A2214" t="s">
        <v>8308</v>
      </c>
      <c r="B2214" t="s">
        <v>8309</v>
      </c>
      <c r="C2214" t="s">
        <v>8310</v>
      </c>
      <c r="D2214" t="s">
        <v>8311</v>
      </c>
      <c r="E2214" t="s">
        <v>8309</v>
      </c>
      <c r="F2214" t="s">
        <v>28</v>
      </c>
      <c r="G2214" t="s">
        <v>8309</v>
      </c>
      <c r="H2214" t="str">
        <f>"vps-36"</f>
        <v>vps-36</v>
      </c>
      <c r="I2214" t="s">
        <v>8311</v>
      </c>
      <c r="J2214">
        <v>12.058485911798501</v>
      </c>
      <c r="K2214">
        <v>12.030333085473799</v>
      </c>
      <c r="L2214">
        <v>12.497715538377999</v>
      </c>
      <c r="M2214" t="s">
        <v>29</v>
      </c>
      <c r="N2214">
        <v>12.3934458840434</v>
      </c>
      <c r="O2214">
        <v>12.550943155366999</v>
      </c>
      <c r="P2214">
        <v>0.276683007821791</v>
      </c>
      <c r="Q2214">
        <v>-0.35817282623470698</v>
      </c>
      <c r="R2214">
        <v>0.91153884187829004</v>
      </c>
      <c r="S2214">
        <v>12.3784468632588</v>
      </c>
      <c r="T2214">
        <v>0.91993551697659404</v>
      </c>
      <c r="U2214">
        <v>-6.6114871746891399</v>
      </c>
      <c r="V2214">
        <v>0.37055534037661497</v>
      </c>
      <c r="W2214">
        <v>0.53798396210435395</v>
      </c>
      <c r="X2214">
        <v>0</v>
      </c>
      <c r="Y2214">
        <v>0</v>
      </c>
    </row>
    <row r="2215" spans="1:25" x14ac:dyDescent="0.2">
      <c r="A2215" t="s">
        <v>8312</v>
      </c>
      <c r="B2215" t="s">
        <v>8313</v>
      </c>
      <c r="C2215" t="s">
        <v>8314</v>
      </c>
      <c r="D2215" t="s">
        <v>8315</v>
      </c>
      <c r="E2215" t="s">
        <v>8313</v>
      </c>
      <c r="F2215" t="s">
        <v>28</v>
      </c>
      <c r="G2215" t="s">
        <v>8313</v>
      </c>
      <c r="H2215" t="str">
        <f>"ctf-4"</f>
        <v>ctf-4</v>
      </c>
      <c r="I2215" t="s">
        <v>8315</v>
      </c>
      <c r="J2215">
        <v>10.8736632881186</v>
      </c>
      <c r="K2215">
        <v>12.154208244924</v>
      </c>
      <c r="L2215" t="s">
        <v>29</v>
      </c>
      <c r="M2215" t="s">
        <v>29</v>
      </c>
      <c r="N2215" t="s">
        <v>29</v>
      </c>
      <c r="O2215" t="s">
        <v>29</v>
      </c>
      <c r="P2215" t="s">
        <v>29</v>
      </c>
      <c r="Q2215" t="s">
        <v>29</v>
      </c>
      <c r="R2215" t="s">
        <v>29</v>
      </c>
      <c r="S2215">
        <v>11.9769594694685</v>
      </c>
      <c r="T2215" t="s">
        <v>29</v>
      </c>
      <c r="U2215" t="s">
        <v>29</v>
      </c>
      <c r="V2215" t="s">
        <v>29</v>
      </c>
      <c r="W2215" t="s">
        <v>29</v>
      </c>
      <c r="X2215" t="s">
        <v>29</v>
      </c>
      <c r="Y2215" t="s">
        <v>29</v>
      </c>
    </row>
    <row r="2216" spans="1:25" x14ac:dyDescent="0.2">
      <c r="A2216" t="s">
        <v>8316</v>
      </c>
      <c r="B2216" t="s">
        <v>8317</v>
      </c>
      <c r="C2216" t="s">
        <v>8318</v>
      </c>
      <c r="D2216" t="s">
        <v>8319</v>
      </c>
      <c r="E2216" t="s">
        <v>8317</v>
      </c>
      <c r="F2216" t="s">
        <v>28</v>
      </c>
      <c r="G2216" t="s">
        <v>8317</v>
      </c>
      <c r="H2216" t="str">
        <f>"acy-1"</f>
        <v>acy-1</v>
      </c>
      <c r="I2216" t="s">
        <v>8319</v>
      </c>
      <c r="J2216">
        <v>12.4316141482081</v>
      </c>
      <c r="K2216">
        <v>12.680961587805401</v>
      </c>
      <c r="L2216" t="s">
        <v>29</v>
      </c>
      <c r="M2216" t="s">
        <v>29</v>
      </c>
      <c r="N2216" t="s">
        <v>29</v>
      </c>
      <c r="O2216" t="s">
        <v>29</v>
      </c>
      <c r="P2216" t="s">
        <v>29</v>
      </c>
      <c r="Q2216" t="s">
        <v>29</v>
      </c>
      <c r="R2216" t="s">
        <v>29</v>
      </c>
      <c r="S2216">
        <v>12.0234238422711</v>
      </c>
      <c r="T2216" t="s">
        <v>29</v>
      </c>
      <c r="U2216" t="s">
        <v>29</v>
      </c>
      <c r="V2216" t="s">
        <v>29</v>
      </c>
      <c r="W2216" t="s">
        <v>29</v>
      </c>
      <c r="X2216" t="s">
        <v>29</v>
      </c>
      <c r="Y2216" t="s">
        <v>29</v>
      </c>
    </row>
    <row r="2217" spans="1:25" x14ac:dyDescent="0.2">
      <c r="A2217" t="s">
        <v>8320</v>
      </c>
      <c r="B2217" t="s">
        <v>8321</v>
      </c>
      <c r="C2217" t="s">
        <v>8322</v>
      </c>
      <c r="D2217" t="s">
        <v>8323</v>
      </c>
      <c r="E2217" t="s">
        <v>8321</v>
      </c>
      <c r="F2217" t="s">
        <v>28</v>
      </c>
      <c r="G2217" t="s">
        <v>8321</v>
      </c>
      <c r="H2217" t="str">
        <f>"snx-17"</f>
        <v>snx-17</v>
      </c>
      <c r="I2217" t="s">
        <v>8323</v>
      </c>
      <c r="J2217">
        <v>11.322031025862501</v>
      </c>
      <c r="K2217">
        <v>11.5091986159043</v>
      </c>
      <c r="L2217">
        <v>11.4547738132819</v>
      </c>
      <c r="M2217" t="s">
        <v>29</v>
      </c>
      <c r="N2217" t="s">
        <v>29</v>
      </c>
      <c r="O2217" t="s">
        <v>29</v>
      </c>
      <c r="P2217" t="s">
        <v>29</v>
      </c>
      <c r="Q2217" t="s">
        <v>29</v>
      </c>
      <c r="R2217" t="s">
        <v>29</v>
      </c>
      <c r="S2217">
        <v>11.186699796914899</v>
      </c>
      <c r="T2217" t="s">
        <v>29</v>
      </c>
      <c r="U2217" t="s">
        <v>29</v>
      </c>
      <c r="V2217" t="s">
        <v>29</v>
      </c>
      <c r="W2217" t="s">
        <v>29</v>
      </c>
      <c r="X2217" t="s">
        <v>29</v>
      </c>
      <c r="Y2217" t="s">
        <v>29</v>
      </c>
    </row>
    <row r="2218" spans="1:25" x14ac:dyDescent="0.2">
      <c r="A2218" t="s">
        <v>8324</v>
      </c>
      <c r="B2218" t="s">
        <v>8325</v>
      </c>
      <c r="C2218" t="s">
        <v>8326</v>
      </c>
      <c r="D2218" t="s">
        <v>8327</v>
      </c>
      <c r="E2218" t="s">
        <v>8325</v>
      </c>
      <c r="F2218" t="s">
        <v>28</v>
      </c>
      <c r="G2218" t="s">
        <v>8325</v>
      </c>
      <c r="H2218" t="str">
        <f>"rpa-1"</f>
        <v>rpa-1</v>
      </c>
      <c r="I2218" t="s">
        <v>8327</v>
      </c>
      <c r="J2218">
        <v>13.548963344950099</v>
      </c>
      <c r="K2218">
        <v>13.475171362767901</v>
      </c>
      <c r="L2218">
        <v>13.5667628762468</v>
      </c>
      <c r="M2218">
        <v>12.999447554806</v>
      </c>
      <c r="N2218">
        <v>13.231720762985599</v>
      </c>
      <c r="O2218">
        <v>13.186510644490699</v>
      </c>
      <c r="P2218">
        <v>-0.39107287389418499</v>
      </c>
      <c r="Q2218">
        <v>-1.0399844651778001</v>
      </c>
      <c r="R2218">
        <v>0.25783871738943098</v>
      </c>
      <c r="S2218">
        <v>13.8952013558903</v>
      </c>
      <c r="T2218">
        <v>-1.26667346900346</v>
      </c>
      <c r="U2218">
        <v>-6.3501364216993101</v>
      </c>
      <c r="V2218">
        <v>0.221511292469632</v>
      </c>
      <c r="W2218">
        <v>0.385408652328326</v>
      </c>
      <c r="X2218">
        <v>0</v>
      </c>
      <c r="Y2218">
        <v>0</v>
      </c>
    </row>
    <row r="2219" spans="1:25" x14ac:dyDescent="0.2">
      <c r="A2219" t="s">
        <v>8328</v>
      </c>
      <c r="B2219" t="s">
        <v>8329</v>
      </c>
      <c r="C2219" t="s">
        <v>8330</v>
      </c>
      <c r="D2219" t="s">
        <v>8331</v>
      </c>
      <c r="E2219" t="s">
        <v>8329</v>
      </c>
      <c r="F2219" t="s">
        <v>28</v>
      </c>
      <c r="G2219" t="s">
        <v>8329</v>
      </c>
      <c r="H2219" t="str">
        <f>"utp-20"</f>
        <v>utp-20</v>
      </c>
      <c r="I2219" t="s">
        <v>8331</v>
      </c>
      <c r="J2219">
        <v>14.027525381921301</v>
      </c>
      <c r="K2219">
        <v>14.1687388170836</v>
      </c>
      <c r="L2219">
        <v>14.1123174667256</v>
      </c>
      <c r="M2219">
        <v>13.989015286426</v>
      </c>
      <c r="N2219">
        <v>14.2020029087004</v>
      </c>
      <c r="O2219">
        <v>14.0728925048838</v>
      </c>
      <c r="P2219">
        <v>-1.48903219067549E-2</v>
      </c>
      <c r="Q2219">
        <v>-0.49106035619175997</v>
      </c>
      <c r="R2219">
        <v>0.46127971237825</v>
      </c>
      <c r="S2219">
        <v>14.710733775799399</v>
      </c>
      <c r="T2219">
        <v>-6.5725596810687098E-2</v>
      </c>
      <c r="U2219">
        <v>-7.1540353346249601</v>
      </c>
      <c r="V2219">
        <v>0.94832500090954497</v>
      </c>
      <c r="W2219">
        <v>0.97032091853948399</v>
      </c>
      <c r="X2219">
        <v>0</v>
      </c>
      <c r="Y2219">
        <v>0</v>
      </c>
    </row>
    <row r="2220" spans="1:25" x14ac:dyDescent="0.2">
      <c r="A2220" t="s">
        <v>8332</v>
      </c>
      <c r="B2220" t="s">
        <v>8333</v>
      </c>
      <c r="C2220" t="s">
        <v>8334</v>
      </c>
      <c r="D2220" t="s">
        <v>1866</v>
      </c>
      <c r="E2220" t="s">
        <v>8333</v>
      </c>
      <c r="F2220" t="s">
        <v>28</v>
      </c>
      <c r="G2220" t="s">
        <v>8333</v>
      </c>
      <c r="H2220" t="str">
        <f>"abcf-1"</f>
        <v>abcf-1</v>
      </c>
      <c r="I2220" t="s">
        <v>1866</v>
      </c>
      <c r="J2220">
        <v>16.897460262417201</v>
      </c>
      <c r="K2220">
        <v>16.6769851823701</v>
      </c>
      <c r="L2220">
        <v>16.717603795869799</v>
      </c>
      <c r="M2220">
        <v>16.129884347201699</v>
      </c>
      <c r="N2220">
        <v>16.183544971568701</v>
      </c>
      <c r="O2220">
        <v>16.3734332912322</v>
      </c>
      <c r="P2220">
        <v>-0.53506221021818601</v>
      </c>
      <c r="Q2220">
        <v>-0.87432977374231402</v>
      </c>
      <c r="R2220">
        <v>-0.195794646694057</v>
      </c>
      <c r="S2220">
        <v>16.2258630427655</v>
      </c>
      <c r="T2220">
        <v>-3.31477803559735</v>
      </c>
      <c r="U2220">
        <v>-2.6680823182608702</v>
      </c>
      <c r="V2220">
        <v>3.8774450227624501E-3</v>
      </c>
      <c r="W2220">
        <v>2.3560475220785401E-2</v>
      </c>
      <c r="X2220">
        <v>0</v>
      </c>
      <c r="Y2220">
        <v>0</v>
      </c>
    </row>
    <row r="2221" spans="1:25" x14ac:dyDescent="0.2">
      <c r="A2221" t="s">
        <v>8335</v>
      </c>
      <c r="B2221" t="s">
        <v>8336</v>
      </c>
      <c r="C2221" t="s">
        <v>8337</v>
      </c>
      <c r="D2221" t="s">
        <v>8338</v>
      </c>
      <c r="E2221" t="s">
        <v>8336</v>
      </c>
      <c r="F2221" t="s">
        <v>28</v>
      </c>
      <c r="G2221" t="s">
        <v>8336</v>
      </c>
      <c r="H2221" t="str">
        <f>"scc-3"</f>
        <v>scc-3</v>
      </c>
      <c r="I2221" t="s">
        <v>8338</v>
      </c>
      <c r="J2221">
        <v>14.636446321447799</v>
      </c>
      <c r="K2221">
        <v>14.811046074231401</v>
      </c>
      <c r="L2221">
        <v>14.473170172781099</v>
      </c>
      <c r="M2221">
        <v>14.2805774371114</v>
      </c>
      <c r="N2221">
        <v>14.6400742025921</v>
      </c>
      <c r="O2221">
        <v>14.482951433598499</v>
      </c>
      <c r="P2221">
        <v>-0.17235316505280501</v>
      </c>
      <c r="Q2221">
        <v>-0.614891835150707</v>
      </c>
      <c r="R2221">
        <v>0.27018550504509797</v>
      </c>
      <c r="S2221">
        <v>14.776091042019299</v>
      </c>
      <c r="T2221">
        <v>-0.81857890742968198</v>
      </c>
      <c r="U2221">
        <v>-6.8111152889352899</v>
      </c>
      <c r="V2221">
        <v>0.42379392339474498</v>
      </c>
      <c r="W2221">
        <v>0.589113534077506</v>
      </c>
      <c r="X2221">
        <v>0</v>
      </c>
      <c r="Y2221">
        <v>0</v>
      </c>
    </row>
    <row r="2222" spans="1:25" x14ac:dyDescent="0.2">
      <c r="A2222" t="s">
        <v>8339</v>
      </c>
      <c r="B2222" t="s">
        <v>8340</v>
      </c>
      <c r="C2222" t="s">
        <v>8341</v>
      </c>
      <c r="D2222" t="s">
        <v>8342</v>
      </c>
      <c r="E2222" t="s">
        <v>8340</v>
      </c>
      <c r="F2222" t="s">
        <v>28</v>
      </c>
      <c r="G2222" t="s">
        <v>8340</v>
      </c>
      <c r="H2222" t="str">
        <f>"ddo-2"</f>
        <v>ddo-2</v>
      </c>
      <c r="I2222" t="s">
        <v>8342</v>
      </c>
      <c r="J2222">
        <v>12.103474301589101</v>
      </c>
      <c r="K2222">
        <v>12.120614073504401</v>
      </c>
      <c r="L2222">
        <v>12.4083481422097</v>
      </c>
      <c r="M2222" t="s">
        <v>29</v>
      </c>
      <c r="N2222" t="s">
        <v>29</v>
      </c>
      <c r="O2222">
        <v>12.2913919301914</v>
      </c>
      <c r="P2222">
        <v>8.0579757757032397E-2</v>
      </c>
      <c r="Q2222">
        <v>-0.72536069568741501</v>
      </c>
      <c r="R2222">
        <v>0.88652021120147995</v>
      </c>
      <c r="S2222">
        <v>11.6877075893398</v>
      </c>
      <c r="T2222">
        <v>0.214592675709387</v>
      </c>
      <c r="U2222">
        <v>-6.78835189496374</v>
      </c>
      <c r="V2222">
        <v>0.83320232495677804</v>
      </c>
      <c r="W2222">
        <v>0.89474083458090803</v>
      </c>
      <c r="X2222">
        <v>0</v>
      </c>
      <c r="Y2222">
        <v>0</v>
      </c>
    </row>
    <row r="2223" spans="1:25" x14ac:dyDescent="0.2">
      <c r="A2223" t="s">
        <v>8343</v>
      </c>
      <c r="B2223" t="s">
        <v>8344</v>
      </c>
      <c r="C2223" t="s">
        <v>8345</v>
      </c>
      <c r="D2223" t="s">
        <v>8346</v>
      </c>
      <c r="E2223" t="s">
        <v>8344</v>
      </c>
      <c r="F2223" t="s">
        <v>28</v>
      </c>
      <c r="G2223" t="s">
        <v>8344</v>
      </c>
      <c r="H2223" t="str">
        <f>"pab-2"</f>
        <v>pab-2</v>
      </c>
      <c r="I2223" t="s">
        <v>8346</v>
      </c>
      <c r="J2223">
        <v>16.571064901715001</v>
      </c>
      <c r="K2223">
        <v>16.913671039001301</v>
      </c>
      <c r="L2223">
        <v>17.219493651585999</v>
      </c>
      <c r="M2223">
        <v>14.999975059004401</v>
      </c>
      <c r="N2223">
        <v>16.909340658358101</v>
      </c>
      <c r="O2223">
        <v>16.480794675209999</v>
      </c>
      <c r="P2223">
        <v>-0.77137306657660099</v>
      </c>
      <c r="Q2223">
        <v>-1.4987009656556201</v>
      </c>
      <c r="R2223">
        <v>-4.4045167497578898E-2</v>
      </c>
      <c r="S2223">
        <v>17.1780238999124</v>
      </c>
      <c r="T2223">
        <v>-2.2290855538774501</v>
      </c>
      <c r="U2223">
        <v>-4.85696465821988</v>
      </c>
      <c r="V2223">
        <v>3.88679442971527E-2</v>
      </c>
      <c r="W2223">
        <v>0.11593505247339</v>
      </c>
      <c r="X2223">
        <v>0</v>
      </c>
      <c r="Y2223">
        <v>0</v>
      </c>
    </row>
    <row r="2224" spans="1:25" x14ac:dyDescent="0.2">
      <c r="A2224" t="s">
        <v>8347</v>
      </c>
      <c r="B2224" t="s">
        <v>8348</v>
      </c>
      <c r="C2224" t="s">
        <v>8349</v>
      </c>
      <c r="D2224" t="s">
        <v>8350</v>
      </c>
      <c r="E2224" t="s">
        <v>8348</v>
      </c>
      <c r="F2224" t="s">
        <v>28</v>
      </c>
      <c r="G2224" t="s">
        <v>8348</v>
      </c>
      <c r="H2224" t="str">
        <f>"tofu-2"</f>
        <v>tofu-2</v>
      </c>
      <c r="I2224" t="s">
        <v>8350</v>
      </c>
      <c r="J2224">
        <v>12.3676744728005</v>
      </c>
      <c r="K2224" t="s">
        <v>29</v>
      </c>
      <c r="L2224" t="s">
        <v>29</v>
      </c>
      <c r="M2224" t="s">
        <v>29</v>
      </c>
      <c r="N2224" t="s">
        <v>29</v>
      </c>
      <c r="O2224" t="s">
        <v>29</v>
      </c>
      <c r="P2224" t="s">
        <v>29</v>
      </c>
      <c r="Q2224" t="s">
        <v>29</v>
      </c>
      <c r="R2224" t="s">
        <v>29</v>
      </c>
      <c r="S2224">
        <v>13.1429938789032</v>
      </c>
      <c r="T2224" t="s">
        <v>29</v>
      </c>
      <c r="U2224" t="s">
        <v>29</v>
      </c>
      <c r="V2224" t="s">
        <v>29</v>
      </c>
      <c r="W2224" t="s">
        <v>29</v>
      </c>
      <c r="X2224" t="s">
        <v>29</v>
      </c>
      <c r="Y2224" t="s">
        <v>29</v>
      </c>
    </row>
    <row r="2225" spans="1:25" x14ac:dyDescent="0.2">
      <c r="A2225" t="s">
        <v>8351</v>
      </c>
      <c r="B2225" t="s">
        <v>8352</v>
      </c>
      <c r="C2225" t="s">
        <v>8353</v>
      </c>
      <c r="D2225" t="s">
        <v>8354</v>
      </c>
      <c r="E2225" t="s">
        <v>8352</v>
      </c>
      <c r="F2225" t="s">
        <v>28</v>
      </c>
      <c r="G2225" t="s">
        <v>8352</v>
      </c>
      <c r="H2225" t="str">
        <f>"vha-12"</f>
        <v>vha-12</v>
      </c>
      <c r="I2225" t="s">
        <v>8354</v>
      </c>
      <c r="J2225">
        <v>14.7498243439261</v>
      </c>
      <c r="K2225">
        <v>14.7225572743531</v>
      </c>
      <c r="L2225">
        <v>14.951628725478001</v>
      </c>
      <c r="M2225">
        <v>16.1292055730035</v>
      </c>
      <c r="N2225">
        <v>15.974388468213601</v>
      </c>
      <c r="O2225">
        <v>15.831588367587001</v>
      </c>
      <c r="P2225">
        <v>1.1703906883489601</v>
      </c>
      <c r="Q2225">
        <v>0.68431360595558199</v>
      </c>
      <c r="R2225">
        <v>1.6564677707423301</v>
      </c>
      <c r="S2225">
        <v>15.472851874608599</v>
      </c>
      <c r="T2225">
        <v>5.0607889420079299</v>
      </c>
      <c r="U2225">
        <v>1.15650885189862</v>
      </c>
      <c r="V2225" s="2">
        <v>8.2833974324471402E-5</v>
      </c>
      <c r="W2225">
        <v>1.48848611179401E-3</v>
      </c>
      <c r="X2225">
        <v>1</v>
      </c>
      <c r="Y2225">
        <v>1</v>
      </c>
    </row>
    <row r="2226" spans="1:25" x14ac:dyDescent="0.2">
      <c r="A2226" t="s">
        <v>8355</v>
      </c>
      <c r="B2226" t="s">
        <v>8356</v>
      </c>
      <c r="C2226" t="s">
        <v>8357</v>
      </c>
      <c r="D2226" t="s">
        <v>8358</v>
      </c>
      <c r="E2226" t="s">
        <v>8356</v>
      </c>
      <c r="F2226" t="s">
        <v>28</v>
      </c>
      <c r="G2226" t="s">
        <v>8356</v>
      </c>
      <c r="H2226" t="str">
        <f>"czw-1"</f>
        <v>czw-1</v>
      </c>
      <c r="I2226" t="s">
        <v>8358</v>
      </c>
      <c r="J2226">
        <v>13.887751776217399</v>
      </c>
      <c r="K2226">
        <v>13.907398466590999</v>
      </c>
      <c r="L2226">
        <v>13.848803057645901</v>
      </c>
      <c r="M2226">
        <v>15.438117440092901</v>
      </c>
      <c r="N2226">
        <v>15.305384379713599</v>
      </c>
      <c r="O2226">
        <v>15.8433389236961</v>
      </c>
      <c r="P2226">
        <v>1.64762914768278</v>
      </c>
      <c r="Q2226">
        <v>1.1234650967059501</v>
      </c>
      <c r="R2226">
        <v>2.1717931986596102</v>
      </c>
      <c r="S2226">
        <v>14.8877173074267</v>
      </c>
      <c r="T2226">
        <v>6.6067024441856104</v>
      </c>
      <c r="U2226">
        <v>4.3770889636308796</v>
      </c>
      <c r="V2226" s="2">
        <v>3.4327873154873601E-6</v>
      </c>
      <c r="W2226">
        <v>1.20310848388858E-4</v>
      </c>
      <c r="X2226">
        <v>1</v>
      </c>
      <c r="Y2226">
        <v>1</v>
      </c>
    </row>
    <row r="2227" spans="1:25" x14ac:dyDescent="0.2">
      <c r="A2227" t="s">
        <v>8359</v>
      </c>
      <c r="B2227" t="s">
        <v>8360</v>
      </c>
      <c r="C2227" t="s">
        <v>14451</v>
      </c>
      <c r="D2227" t="s">
        <v>8361</v>
      </c>
      <c r="E2227" t="s">
        <v>8360</v>
      </c>
      <c r="F2227" t="s">
        <v>28</v>
      </c>
      <c r="G2227" t="s">
        <v>8360</v>
      </c>
      <c r="H2227" t="str">
        <f>"F20D6.6"</f>
        <v>F20D6.6</v>
      </c>
      <c r="I2227" t="s">
        <v>8361</v>
      </c>
      <c r="J2227">
        <v>12.1492482125441</v>
      </c>
      <c r="K2227" t="s">
        <v>29</v>
      </c>
      <c r="L2227">
        <v>12.2745950446779</v>
      </c>
      <c r="M2227">
        <v>14.9576663170846</v>
      </c>
      <c r="N2227">
        <v>14.676413136306</v>
      </c>
      <c r="O2227">
        <v>13.4781392811628</v>
      </c>
      <c r="P2227">
        <v>2.1588179495734701</v>
      </c>
      <c r="Q2227">
        <v>1.1998252475653499</v>
      </c>
      <c r="R2227">
        <v>3.11781065158159</v>
      </c>
      <c r="S2227">
        <v>12.2922569268621</v>
      </c>
      <c r="T2227">
        <v>4.9095957089297002</v>
      </c>
      <c r="U2227">
        <v>-2.14843552181065E-3</v>
      </c>
      <c r="V2227">
        <v>3.6942365758201799E-4</v>
      </c>
      <c r="W2227">
        <v>4.3722550959606702E-3</v>
      </c>
      <c r="X2227">
        <v>1</v>
      </c>
      <c r="Y2227">
        <v>1</v>
      </c>
    </row>
    <row r="2228" spans="1:25" x14ac:dyDescent="0.2">
      <c r="A2228" t="s">
        <v>8362</v>
      </c>
      <c r="B2228" t="s">
        <v>8363</v>
      </c>
      <c r="C2228" t="s">
        <v>14452</v>
      </c>
      <c r="D2228" t="s">
        <v>531</v>
      </c>
      <c r="E2228" t="s">
        <v>8363</v>
      </c>
      <c r="F2228" t="s">
        <v>28</v>
      </c>
      <c r="G2228" t="s">
        <v>8363</v>
      </c>
      <c r="H2228" t="str">
        <f>"F21C10.9"</f>
        <v>F21C10.9</v>
      </c>
      <c r="I2228" t="s">
        <v>531</v>
      </c>
      <c r="J2228">
        <v>14.714428053293901</v>
      </c>
      <c r="K2228">
        <v>14.5677453834713</v>
      </c>
      <c r="L2228">
        <v>14.474898536895999</v>
      </c>
      <c r="M2228">
        <v>15.7222657657592</v>
      </c>
      <c r="N2228">
        <v>15.830835573057101</v>
      </c>
      <c r="O2228">
        <v>16.053021673456101</v>
      </c>
      <c r="P2228">
        <v>1.2830170128704299</v>
      </c>
      <c r="Q2228">
        <v>0.84968094937430005</v>
      </c>
      <c r="R2228">
        <v>1.71635307636657</v>
      </c>
      <c r="S2228">
        <v>14.769861959736099</v>
      </c>
      <c r="T2228">
        <v>6.2230042062609696</v>
      </c>
      <c r="U2228">
        <v>3.6047485003950799</v>
      </c>
      <c r="V2228" s="2">
        <v>7.3527034674877596E-6</v>
      </c>
      <c r="W2228">
        <v>2.2338574349161299E-4</v>
      </c>
      <c r="X2228">
        <v>1</v>
      </c>
      <c r="Y2228">
        <v>1</v>
      </c>
    </row>
    <row r="2229" spans="1:25" x14ac:dyDescent="0.2">
      <c r="A2229" t="s">
        <v>8364</v>
      </c>
      <c r="B2229" t="s">
        <v>8365</v>
      </c>
      <c r="C2229" t="s">
        <v>14453</v>
      </c>
      <c r="D2229" t="s">
        <v>1151</v>
      </c>
      <c r="E2229" t="s">
        <v>8365</v>
      </c>
      <c r="F2229" t="s">
        <v>28</v>
      </c>
      <c r="G2229" t="s">
        <v>8365</v>
      </c>
      <c r="H2229" t="str">
        <f>"F21C10.7"</f>
        <v>F21C10.7</v>
      </c>
      <c r="I2229" t="s">
        <v>1151</v>
      </c>
      <c r="J2229" t="s">
        <v>29</v>
      </c>
      <c r="K2229">
        <v>13.0801951953583</v>
      </c>
      <c r="L2229">
        <v>12.883446810174901</v>
      </c>
      <c r="M2229" t="s">
        <v>29</v>
      </c>
      <c r="N2229">
        <v>12.821574235681799</v>
      </c>
      <c r="O2229">
        <v>13.3704916915543</v>
      </c>
      <c r="P2229">
        <v>0.11421196085143</v>
      </c>
      <c r="Q2229">
        <v>-1.09928362851979</v>
      </c>
      <c r="R2229">
        <v>1.3277075502226401</v>
      </c>
      <c r="S2229">
        <v>13.0644754370255</v>
      </c>
      <c r="T2229">
        <v>0.20073125111532999</v>
      </c>
      <c r="U2229">
        <v>-6.9337794306922103</v>
      </c>
      <c r="V2229">
        <v>0.84362390421359801</v>
      </c>
      <c r="W2229">
        <v>0.90176265713365</v>
      </c>
      <c r="X2229">
        <v>0</v>
      </c>
      <c r="Y2229">
        <v>0</v>
      </c>
    </row>
    <row r="2230" spans="1:25" x14ac:dyDescent="0.2">
      <c r="A2230" t="s">
        <v>8366</v>
      </c>
      <c r="B2230" t="s">
        <v>8367</v>
      </c>
      <c r="C2230" t="s">
        <v>8368</v>
      </c>
      <c r="D2230" t="s">
        <v>828</v>
      </c>
      <c r="E2230" t="s">
        <v>8367</v>
      </c>
      <c r="F2230" t="s">
        <v>28</v>
      </c>
      <c r="G2230" t="s">
        <v>8367</v>
      </c>
      <c r="H2230" t="str">
        <f>"rde-2"</f>
        <v>rde-2</v>
      </c>
      <c r="I2230" t="s">
        <v>828</v>
      </c>
      <c r="J2230">
        <v>11.083662298668401</v>
      </c>
      <c r="K2230">
        <v>11.915766748818299</v>
      </c>
      <c r="L2230">
        <v>12.020893987660299</v>
      </c>
      <c r="M2230" t="s">
        <v>29</v>
      </c>
      <c r="N2230" t="s">
        <v>29</v>
      </c>
      <c r="O2230">
        <v>9.8182056718506008</v>
      </c>
      <c r="P2230">
        <v>-1.85523533986508</v>
      </c>
      <c r="Q2230">
        <v>-2.7865127447209002</v>
      </c>
      <c r="R2230">
        <v>-0.92395793500924805</v>
      </c>
      <c r="S2230">
        <v>12.250988095729999</v>
      </c>
      <c r="T2230">
        <v>-4.2487536267283303</v>
      </c>
      <c r="U2230">
        <v>-0.61675388975317702</v>
      </c>
      <c r="V2230">
        <v>7.1084870682803396E-4</v>
      </c>
      <c r="W2230">
        <v>7.2083668242037902E-3</v>
      </c>
      <c r="X2230">
        <v>-1</v>
      </c>
      <c r="Y2230">
        <v>-1</v>
      </c>
    </row>
    <row r="2231" spans="1:25" x14ac:dyDescent="0.2">
      <c r="A2231" t="s">
        <v>8369</v>
      </c>
      <c r="B2231" t="s">
        <v>8370</v>
      </c>
      <c r="C2231" t="s">
        <v>14454</v>
      </c>
      <c r="D2231" t="s">
        <v>8371</v>
      </c>
      <c r="E2231" t="s">
        <v>8370</v>
      </c>
      <c r="F2231" t="s">
        <v>28</v>
      </c>
      <c r="G2231" t="s">
        <v>8370</v>
      </c>
      <c r="H2231" t="str">
        <f>"F21D5.1"</f>
        <v>F21D5.1</v>
      </c>
      <c r="I2231" t="s">
        <v>8371</v>
      </c>
      <c r="J2231">
        <v>14.255795125286999</v>
      </c>
      <c r="K2231">
        <v>14.0057338381118</v>
      </c>
      <c r="L2231">
        <v>14.191117283340301</v>
      </c>
      <c r="M2231">
        <v>15.0063613591925</v>
      </c>
      <c r="N2231">
        <v>14.641708475576801</v>
      </c>
      <c r="O2231">
        <v>14.3085314040153</v>
      </c>
      <c r="P2231">
        <v>0.50131833068184795</v>
      </c>
      <c r="Q2231">
        <v>4.2501361982587499E-2</v>
      </c>
      <c r="R2231">
        <v>0.96013529938110798</v>
      </c>
      <c r="S2231">
        <v>14.289512905251099</v>
      </c>
      <c r="T2231">
        <v>2.2965009357549802</v>
      </c>
      <c r="U2231">
        <v>-4.7326897997880204</v>
      </c>
      <c r="V2231">
        <v>3.39427489990137E-2</v>
      </c>
      <c r="W2231">
        <v>0.105963221716201</v>
      </c>
      <c r="X2231">
        <v>0</v>
      </c>
      <c r="Y2231">
        <v>0</v>
      </c>
    </row>
    <row r="2232" spans="1:25" x14ac:dyDescent="0.2">
      <c r="A2232" t="s">
        <v>8372</v>
      </c>
      <c r="B2232" t="s">
        <v>8373</v>
      </c>
      <c r="C2232" t="s">
        <v>8374</v>
      </c>
      <c r="D2232" t="s">
        <v>8375</v>
      </c>
      <c r="E2232" t="s">
        <v>8373</v>
      </c>
      <c r="F2232" t="s">
        <v>28</v>
      </c>
      <c r="G2232" t="s">
        <v>8373</v>
      </c>
      <c r="H2232" t="str">
        <f>"F21D5.5"</f>
        <v>F21D5.5</v>
      </c>
      <c r="I2232" t="s">
        <v>8375</v>
      </c>
      <c r="J2232" t="s">
        <v>29</v>
      </c>
      <c r="K2232" t="s">
        <v>29</v>
      </c>
      <c r="L2232">
        <v>12.3651638819879</v>
      </c>
      <c r="M2232" t="s">
        <v>29</v>
      </c>
      <c r="N2232" t="s">
        <v>29</v>
      </c>
      <c r="O2232" t="s">
        <v>29</v>
      </c>
      <c r="P2232" t="s">
        <v>29</v>
      </c>
      <c r="Q2232" t="s">
        <v>29</v>
      </c>
      <c r="R2232" t="s">
        <v>29</v>
      </c>
      <c r="S2232">
        <v>13.054980623754901</v>
      </c>
      <c r="T2232" t="s">
        <v>29</v>
      </c>
      <c r="U2232" t="s">
        <v>29</v>
      </c>
      <c r="V2232" t="s">
        <v>29</v>
      </c>
      <c r="W2232" t="s">
        <v>29</v>
      </c>
      <c r="X2232" t="s">
        <v>29</v>
      </c>
      <c r="Y2232" t="s">
        <v>29</v>
      </c>
    </row>
    <row r="2233" spans="1:25" x14ac:dyDescent="0.2">
      <c r="A2233" t="s">
        <v>8376</v>
      </c>
      <c r="B2233" t="s">
        <v>8377</v>
      </c>
      <c r="C2233" t="s">
        <v>8378</v>
      </c>
      <c r="D2233" t="s">
        <v>8116</v>
      </c>
      <c r="E2233" t="s">
        <v>8377</v>
      </c>
      <c r="F2233" t="s">
        <v>28</v>
      </c>
      <c r="G2233" t="s">
        <v>8377</v>
      </c>
      <c r="H2233" t="str">
        <f>"gfat-2"</f>
        <v>gfat-2</v>
      </c>
      <c r="I2233" t="s">
        <v>8116</v>
      </c>
      <c r="J2233">
        <v>14.944307426778201</v>
      </c>
      <c r="K2233">
        <v>14.6574824334519</v>
      </c>
      <c r="L2233">
        <v>15.1048761995965</v>
      </c>
      <c r="M2233">
        <v>14.122347328493101</v>
      </c>
      <c r="N2233">
        <v>15.287188703774699</v>
      </c>
      <c r="O2233">
        <v>14.6242602518477</v>
      </c>
      <c r="P2233">
        <v>-0.22428992523704699</v>
      </c>
      <c r="Q2233">
        <v>-0.80673055344190503</v>
      </c>
      <c r="R2233">
        <v>0.35815070296781198</v>
      </c>
      <c r="S2233">
        <v>15.1563603087071</v>
      </c>
      <c r="T2233">
        <v>-0.80937655045855905</v>
      </c>
      <c r="U2233">
        <v>-6.8186948542014099</v>
      </c>
      <c r="V2233">
        <v>0.428929704858802</v>
      </c>
      <c r="W2233">
        <v>0.59457000951029604</v>
      </c>
      <c r="X2233">
        <v>0</v>
      </c>
      <c r="Y2233">
        <v>0</v>
      </c>
    </row>
    <row r="2234" spans="1:25" x14ac:dyDescent="0.2">
      <c r="A2234" t="s">
        <v>8379</v>
      </c>
      <c r="B2234" t="s">
        <v>8380</v>
      </c>
      <c r="C2234" t="s">
        <v>8381</v>
      </c>
      <c r="D2234" t="s">
        <v>8382</v>
      </c>
      <c r="E2234" t="s">
        <v>8380</v>
      </c>
      <c r="F2234" t="s">
        <v>28</v>
      </c>
      <c r="G2234" t="s">
        <v>8380</v>
      </c>
      <c r="H2234" t="str">
        <f>"eif-3.G"</f>
        <v>eif-3.G</v>
      </c>
      <c r="I2234" t="s">
        <v>8382</v>
      </c>
      <c r="J2234">
        <v>17.396665569181099</v>
      </c>
      <c r="K2234">
        <v>17.5316416280826</v>
      </c>
      <c r="L2234">
        <v>17.518639176784401</v>
      </c>
      <c r="M2234">
        <v>17.0685218241663</v>
      </c>
      <c r="N2234">
        <v>17.423580316230598</v>
      </c>
      <c r="O2234">
        <v>17.370017323682401</v>
      </c>
      <c r="P2234">
        <v>-0.19494230332291501</v>
      </c>
      <c r="Q2234">
        <v>-0.59809709863472704</v>
      </c>
      <c r="R2234">
        <v>0.20821249198889799</v>
      </c>
      <c r="S2234">
        <v>17.483970142122999</v>
      </c>
      <c r="T2234">
        <v>-1.0163113515730899</v>
      </c>
      <c r="U2234">
        <v>-6.6294053555839199</v>
      </c>
      <c r="V2234">
        <v>0.32302588009818201</v>
      </c>
      <c r="W2234">
        <v>0.49375377004634002</v>
      </c>
      <c r="X2234">
        <v>0</v>
      </c>
      <c r="Y2234">
        <v>0</v>
      </c>
    </row>
    <row r="2235" spans="1:25" x14ac:dyDescent="0.2">
      <c r="A2235" t="s">
        <v>8383</v>
      </c>
      <c r="B2235" t="s">
        <v>8384</v>
      </c>
      <c r="C2235" t="s">
        <v>8385</v>
      </c>
      <c r="D2235" t="s">
        <v>8386</v>
      </c>
      <c r="E2235" t="s">
        <v>8384</v>
      </c>
      <c r="F2235" t="s">
        <v>28</v>
      </c>
      <c r="G2235" t="s">
        <v>8384</v>
      </c>
      <c r="H2235" t="str">
        <f>"fars-3"</f>
        <v>fars-3</v>
      </c>
      <c r="I2235" t="s">
        <v>8386</v>
      </c>
      <c r="J2235">
        <v>16.976881104194302</v>
      </c>
      <c r="K2235">
        <v>16.789122203746</v>
      </c>
      <c r="L2235">
        <v>17.028130419739401</v>
      </c>
      <c r="M2235">
        <v>16.488672280599701</v>
      </c>
      <c r="N2235">
        <v>16.716689978519199</v>
      </c>
      <c r="O2235">
        <v>16.982782469862901</v>
      </c>
      <c r="P2235">
        <v>-0.20199633289927699</v>
      </c>
      <c r="Q2235">
        <v>-0.572035606322157</v>
      </c>
      <c r="R2235">
        <v>0.168042940523602</v>
      </c>
      <c r="S2235">
        <v>16.8359435039511</v>
      </c>
      <c r="T2235">
        <v>-1.1473295490344599</v>
      </c>
      <c r="U2235">
        <v>-6.4898544455746601</v>
      </c>
      <c r="V2235">
        <v>0.26635399213100103</v>
      </c>
      <c r="W2235">
        <v>0.433192723405111</v>
      </c>
      <c r="X2235">
        <v>0</v>
      </c>
      <c r="Y2235">
        <v>0</v>
      </c>
    </row>
    <row r="2236" spans="1:25" x14ac:dyDescent="0.2">
      <c r="A2236" t="s">
        <v>8387</v>
      </c>
      <c r="B2236" t="s">
        <v>8388</v>
      </c>
      <c r="C2236" t="s">
        <v>8389</v>
      </c>
      <c r="D2236" t="s">
        <v>8390</v>
      </c>
      <c r="E2236" t="s">
        <v>8388</v>
      </c>
      <c r="F2236" t="s">
        <v>28</v>
      </c>
      <c r="G2236" t="s">
        <v>8388</v>
      </c>
      <c r="H2236" t="str">
        <f>"F22B5.10"</f>
        <v>F22B5.10</v>
      </c>
      <c r="I2236" t="s">
        <v>8390</v>
      </c>
      <c r="J2236">
        <v>17.055074734464402</v>
      </c>
      <c r="K2236">
        <v>17.240210872717</v>
      </c>
      <c r="L2236">
        <v>17.112081020131502</v>
      </c>
      <c r="M2236">
        <v>16.639931538288401</v>
      </c>
      <c r="N2236">
        <v>16.414055608120801</v>
      </c>
      <c r="O2236">
        <v>16.250973029460301</v>
      </c>
      <c r="P2236">
        <v>-0.70080215048114203</v>
      </c>
      <c r="Q2236">
        <v>-1.21442187034422</v>
      </c>
      <c r="R2236">
        <v>-0.187182430618067</v>
      </c>
      <c r="S2236">
        <v>16.863835127374202</v>
      </c>
      <c r="T2236">
        <v>-2.8677827582898301</v>
      </c>
      <c r="U2236">
        <v>-3.6095932384023901</v>
      </c>
      <c r="V2236">
        <v>1.0275239196315299E-2</v>
      </c>
      <c r="W2236">
        <v>4.6239846399413198E-2</v>
      </c>
      <c r="X2236">
        <v>0</v>
      </c>
      <c r="Y2236">
        <v>0</v>
      </c>
    </row>
    <row r="2237" spans="1:25" x14ac:dyDescent="0.2">
      <c r="A2237" t="s">
        <v>8391</v>
      </c>
      <c r="B2237" t="s">
        <v>8392</v>
      </c>
      <c r="C2237" t="s">
        <v>8393</v>
      </c>
      <c r="D2237" t="s">
        <v>8394</v>
      </c>
      <c r="E2237" t="s">
        <v>8392</v>
      </c>
      <c r="F2237" t="s">
        <v>28</v>
      </c>
      <c r="G2237" t="s">
        <v>8392</v>
      </c>
      <c r="H2237" t="str">
        <f>"nars-1"</f>
        <v>nars-1</v>
      </c>
      <c r="I2237" t="s">
        <v>8394</v>
      </c>
      <c r="J2237">
        <v>17.2214720535247</v>
      </c>
      <c r="K2237">
        <v>16.9044466176233</v>
      </c>
      <c r="L2237">
        <v>16.912218944554599</v>
      </c>
      <c r="M2237">
        <v>16.784976721923702</v>
      </c>
      <c r="N2237">
        <v>17.1331631181517</v>
      </c>
      <c r="O2237">
        <v>17.1039184439617</v>
      </c>
      <c r="P2237">
        <v>-5.3597772218090299E-3</v>
      </c>
      <c r="Q2237">
        <v>-0.404324780945995</v>
      </c>
      <c r="R2237">
        <v>0.393605226502377</v>
      </c>
      <c r="S2237">
        <v>16.670764040940298</v>
      </c>
      <c r="T2237">
        <v>-2.8236082996616899E-2</v>
      </c>
      <c r="U2237">
        <v>-7.15588369335293</v>
      </c>
      <c r="V2237">
        <v>0.97778637224218701</v>
      </c>
      <c r="W2237">
        <v>0.98704488266486601</v>
      </c>
      <c r="X2237">
        <v>0</v>
      </c>
      <c r="Y2237">
        <v>0</v>
      </c>
    </row>
    <row r="2238" spans="1:25" x14ac:dyDescent="0.2">
      <c r="A2238" t="s">
        <v>8395</v>
      </c>
      <c r="B2238" t="s">
        <v>8396</v>
      </c>
      <c r="C2238" t="s">
        <v>8397</v>
      </c>
      <c r="D2238" t="s">
        <v>8398</v>
      </c>
      <c r="E2238" t="s">
        <v>8396</v>
      </c>
      <c r="F2238" t="s">
        <v>28</v>
      </c>
      <c r="G2238" t="s">
        <v>8396</v>
      </c>
      <c r="H2238" t="str">
        <f>"prpf-4"</f>
        <v>prpf-4</v>
      </c>
      <c r="I2238" t="s">
        <v>8398</v>
      </c>
      <c r="J2238">
        <v>13.879435377317099</v>
      </c>
      <c r="K2238">
        <v>14.0415893622057</v>
      </c>
      <c r="L2238">
        <v>14.405570790073799</v>
      </c>
      <c r="M2238" t="s">
        <v>29</v>
      </c>
      <c r="N2238">
        <v>13.947389404791</v>
      </c>
      <c r="O2238">
        <v>12.2384076238534</v>
      </c>
      <c r="P2238">
        <v>-1.0159666622099599</v>
      </c>
      <c r="Q2238">
        <v>-1.7863505731321101</v>
      </c>
      <c r="R2238">
        <v>-0.24558275128780599</v>
      </c>
      <c r="S2238">
        <v>14.105158587720201</v>
      </c>
      <c r="T2238">
        <v>-2.7836989540618502</v>
      </c>
      <c r="U2238">
        <v>-3.6981444569969599</v>
      </c>
      <c r="V2238">
        <v>1.2788405653871999E-2</v>
      </c>
      <c r="W2238">
        <v>5.4164020862139499E-2</v>
      </c>
      <c r="X2238">
        <v>-1</v>
      </c>
      <c r="Y2238">
        <v>-1</v>
      </c>
    </row>
    <row r="2239" spans="1:25" x14ac:dyDescent="0.2">
      <c r="A2239" t="s">
        <v>8399</v>
      </c>
      <c r="B2239" t="s">
        <v>8400</v>
      </c>
      <c r="C2239" t="s">
        <v>8401</v>
      </c>
      <c r="D2239" t="s">
        <v>8293</v>
      </c>
      <c r="E2239" t="s">
        <v>8400</v>
      </c>
      <c r="F2239" t="s">
        <v>28</v>
      </c>
      <c r="G2239" t="s">
        <v>8400</v>
      </c>
      <c r="H2239" t="str">
        <f>"ekl-1"</f>
        <v>ekl-1</v>
      </c>
      <c r="I2239" t="s">
        <v>8293</v>
      </c>
      <c r="J2239">
        <v>11.7062673929944</v>
      </c>
      <c r="K2239">
        <v>11.9044890306486</v>
      </c>
      <c r="L2239">
        <v>11.824680702812</v>
      </c>
      <c r="M2239" t="s">
        <v>29</v>
      </c>
      <c r="N2239">
        <v>14.388681269108</v>
      </c>
      <c r="O2239">
        <v>14.370874241079701</v>
      </c>
      <c r="P2239">
        <v>2.5679653796089101</v>
      </c>
      <c r="Q2239">
        <v>1.9064115896265701</v>
      </c>
      <c r="R2239">
        <v>3.2295191695912502</v>
      </c>
      <c r="S2239">
        <v>13.342610149041599</v>
      </c>
      <c r="T2239">
        <v>8.19358598747408</v>
      </c>
      <c r="U2239">
        <v>7.04698771282556</v>
      </c>
      <c r="V2239" s="2">
        <v>2.75157474967126E-7</v>
      </c>
      <c r="W2239" s="2">
        <v>1.58997858574141E-5</v>
      </c>
      <c r="X2239">
        <v>1</v>
      </c>
      <c r="Y2239">
        <v>1</v>
      </c>
    </row>
    <row r="2240" spans="1:25" x14ac:dyDescent="0.2">
      <c r="A2240" t="s">
        <v>8402</v>
      </c>
      <c r="B2240" t="s">
        <v>8403</v>
      </c>
      <c r="C2240" t="s">
        <v>8404</v>
      </c>
      <c r="D2240" t="s">
        <v>8405</v>
      </c>
      <c r="E2240" t="s">
        <v>8403</v>
      </c>
      <c r="F2240" t="s">
        <v>28</v>
      </c>
      <c r="G2240" t="s">
        <v>8403</v>
      </c>
      <c r="H2240" t="str">
        <f>"hil-3"</f>
        <v>hil-3</v>
      </c>
      <c r="I2240" t="s">
        <v>8405</v>
      </c>
      <c r="J2240">
        <v>13.4250853190703</v>
      </c>
      <c r="K2240">
        <v>14.223307977350199</v>
      </c>
      <c r="L2240">
        <v>13.839870461746299</v>
      </c>
      <c r="M2240" t="s">
        <v>29</v>
      </c>
      <c r="N2240" t="s">
        <v>29</v>
      </c>
      <c r="O2240" t="s">
        <v>29</v>
      </c>
      <c r="P2240" t="s">
        <v>29</v>
      </c>
      <c r="Q2240" t="s">
        <v>29</v>
      </c>
      <c r="R2240" t="s">
        <v>29</v>
      </c>
      <c r="S2240">
        <v>13.3147583623233</v>
      </c>
      <c r="T2240" t="s">
        <v>29</v>
      </c>
      <c r="U2240" t="s">
        <v>29</v>
      </c>
      <c r="V2240" t="s">
        <v>29</v>
      </c>
      <c r="W2240" t="s">
        <v>29</v>
      </c>
      <c r="X2240" t="s">
        <v>29</v>
      </c>
      <c r="Y2240" t="s">
        <v>29</v>
      </c>
    </row>
    <row r="2241" spans="1:25" x14ac:dyDescent="0.2">
      <c r="A2241" t="s">
        <v>8406</v>
      </c>
      <c r="B2241" t="s">
        <v>8407</v>
      </c>
      <c r="C2241" t="s">
        <v>8408</v>
      </c>
      <c r="D2241" t="s">
        <v>8409</v>
      </c>
      <c r="E2241" t="s">
        <v>8407</v>
      </c>
      <c r="F2241" t="s">
        <v>28</v>
      </c>
      <c r="G2241" t="s">
        <v>8407</v>
      </c>
      <c r="H2241" t="str">
        <f>"inx-3"</f>
        <v>inx-3</v>
      </c>
      <c r="I2241" t="s">
        <v>8409</v>
      </c>
      <c r="J2241" t="s">
        <v>29</v>
      </c>
      <c r="K2241">
        <v>10.052753544091001</v>
      </c>
      <c r="L2241">
        <v>11.138580239153301</v>
      </c>
      <c r="M2241" t="s">
        <v>29</v>
      </c>
      <c r="N2241" t="s">
        <v>29</v>
      </c>
      <c r="O2241" t="s">
        <v>29</v>
      </c>
      <c r="P2241" t="s">
        <v>29</v>
      </c>
      <c r="Q2241" t="s">
        <v>29</v>
      </c>
      <c r="R2241" t="s">
        <v>29</v>
      </c>
      <c r="S2241">
        <v>11.383620538674901</v>
      </c>
      <c r="T2241" t="s">
        <v>29</v>
      </c>
      <c r="U2241" t="s">
        <v>29</v>
      </c>
      <c r="V2241" t="s">
        <v>29</v>
      </c>
      <c r="W2241" t="s">
        <v>29</v>
      </c>
      <c r="X2241" t="s">
        <v>29</v>
      </c>
      <c r="Y2241" t="s">
        <v>29</v>
      </c>
    </row>
    <row r="2242" spans="1:25" x14ac:dyDescent="0.2">
      <c r="A2242" t="s">
        <v>8410</v>
      </c>
      <c r="B2242" t="s">
        <v>8411</v>
      </c>
      <c r="C2242" t="s">
        <v>8412</v>
      </c>
      <c r="D2242" t="s">
        <v>8413</v>
      </c>
      <c r="E2242" t="s">
        <v>8411</v>
      </c>
      <c r="F2242" t="s">
        <v>28</v>
      </c>
      <c r="G2242" t="s">
        <v>8411</v>
      </c>
      <c r="H2242" t="str">
        <f>"dlat-1"</f>
        <v>dlat-1</v>
      </c>
      <c r="I2242" t="s">
        <v>8413</v>
      </c>
      <c r="J2242">
        <v>13.243757569248499</v>
      </c>
      <c r="K2242">
        <v>13.1765946294038</v>
      </c>
      <c r="L2242">
        <v>13.085204652761201</v>
      </c>
      <c r="M2242">
        <v>13.5236304860634</v>
      </c>
      <c r="N2242">
        <v>14.128587655421599</v>
      </c>
      <c r="O2242">
        <v>12.9503805285349</v>
      </c>
      <c r="P2242">
        <v>0.36568060620214399</v>
      </c>
      <c r="Q2242">
        <v>-0.14470890326805899</v>
      </c>
      <c r="R2242">
        <v>0.87607011567234705</v>
      </c>
      <c r="S2242">
        <v>13.114267194074699</v>
      </c>
      <c r="T2242">
        <v>1.50588810233653</v>
      </c>
      <c r="U2242">
        <v>-6.0362277728177496</v>
      </c>
      <c r="V2242">
        <v>0.14954385991831801</v>
      </c>
      <c r="W2242">
        <v>0.29347343862529102</v>
      </c>
      <c r="X2242">
        <v>0</v>
      </c>
      <c r="Y2242">
        <v>0</v>
      </c>
    </row>
    <row r="2243" spans="1:25" x14ac:dyDescent="0.2">
      <c r="A2243" t="s">
        <v>8414</v>
      </c>
      <c r="B2243" t="s">
        <v>8415</v>
      </c>
      <c r="C2243" t="s">
        <v>8416</v>
      </c>
      <c r="D2243" t="s">
        <v>8417</v>
      </c>
      <c r="E2243" t="s">
        <v>8415</v>
      </c>
      <c r="F2243" t="s">
        <v>28</v>
      </c>
      <c r="G2243" t="s">
        <v>8415</v>
      </c>
      <c r="H2243" t="str">
        <f>"fntb-1"</f>
        <v>fntb-1</v>
      </c>
      <c r="I2243" t="s">
        <v>8417</v>
      </c>
      <c r="J2243" t="s">
        <v>29</v>
      </c>
      <c r="K2243">
        <v>13.0508053410784</v>
      </c>
      <c r="L2243" t="s">
        <v>29</v>
      </c>
      <c r="M2243" t="s">
        <v>29</v>
      </c>
      <c r="N2243" t="s">
        <v>29</v>
      </c>
      <c r="O2243">
        <v>11.648646544377399</v>
      </c>
      <c r="P2243">
        <v>-1.40215879670105</v>
      </c>
      <c r="Q2243">
        <v>-2.45356540035027</v>
      </c>
      <c r="R2243">
        <v>-0.35075219305183802</v>
      </c>
      <c r="S2243">
        <v>12.5978594958346</v>
      </c>
      <c r="T2243">
        <v>-2.9757290929226601</v>
      </c>
      <c r="U2243">
        <v>-3.21657226029332</v>
      </c>
      <c r="V2243">
        <v>1.40630495664142E-2</v>
      </c>
      <c r="W2243">
        <v>5.7963366534577003E-2</v>
      </c>
      <c r="X2243">
        <v>-1</v>
      </c>
      <c r="Y2243">
        <v>0</v>
      </c>
    </row>
    <row r="2244" spans="1:25" x14ac:dyDescent="0.2">
      <c r="A2244" t="s">
        <v>8418</v>
      </c>
      <c r="B2244" t="s">
        <v>8419</v>
      </c>
      <c r="C2244" t="s">
        <v>8420</v>
      </c>
      <c r="D2244" t="s">
        <v>8421</v>
      </c>
      <c r="E2244" t="s">
        <v>8419</v>
      </c>
      <c r="F2244" t="s">
        <v>28</v>
      </c>
      <c r="G2244" t="s">
        <v>8419</v>
      </c>
      <c r="H2244" t="str">
        <f>"F23B12.7"</f>
        <v>F23B12.7</v>
      </c>
      <c r="I2244" t="s">
        <v>8421</v>
      </c>
      <c r="J2244">
        <v>13.214673700341001</v>
      </c>
      <c r="K2244">
        <v>13.2598030071164</v>
      </c>
      <c r="L2244">
        <v>13.2312466231716</v>
      </c>
      <c r="M2244" t="s">
        <v>29</v>
      </c>
      <c r="N2244">
        <v>13.0634579732159</v>
      </c>
      <c r="O2244">
        <v>13.528195069797301</v>
      </c>
      <c r="P2244">
        <v>6.0585411296946397E-2</v>
      </c>
      <c r="Q2244">
        <v>-0.60912367393267497</v>
      </c>
      <c r="R2244">
        <v>0.73029449652656797</v>
      </c>
      <c r="S2244">
        <v>14.0651724248129</v>
      </c>
      <c r="T2244">
        <v>0.19095537312013899</v>
      </c>
      <c r="U2244">
        <v>-7.0263283975437201</v>
      </c>
      <c r="V2244">
        <v>0.85083643811698095</v>
      </c>
      <c r="W2244">
        <v>0.90599945004539895</v>
      </c>
      <c r="X2244">
        <v>0</v>
      </c>
      <c r="Y2244">
        <v>0</v>
      </c>
    </row>
    <row r="2245" spans="1:25" x14ac:dyDescent="0.2">
      <c r="A2245" t="s">
        <v>8422</v>
      </c>
      <c r="B2245" t="s">
        <v>8423</v>
      </c>
      <c r="C2245" t="s">
        <v>8424</v>
      </c>
      <c r="D2245" t="s">
        <v>8425</v>
      </c>
      <c r="E2245" t="s">
        <v>8423</v>
      </c>
      <c r="F2245" t="s">
        <v>28</v>
      </c>
      <c r="G2245" t="s">
        <v>8423</v>
      </c>
      <c r="H2245" t="str">
        <f>"ppm-1.A"</f>
        <v>ppm-1.A</v>
      </c>
      <c r="I2245" t="s">
        <v>8425</v>
      </c>
      <c r="J2245">
        <v>12.114816076976201</v>
      </c>
      <c r="K2245">
        <v>11.7769841705336</v>
      </c>
      <c r="L2245">
        <v>12.595836681226899</v>
      </c>
      <c r="M2245" t="s">
        <v>29</v>
      </c>
      <c r="N2245" t="s">
        <v>29</v>
      </c>
      <c r="O2245">
        <v>13.242261921502999</v>
      </c>
      <c r="P2245">
        <v>1.0797162785907799</v>
      </c>
      <c r="Q2245">
        <v>0.28874240687832398</v>
      </c>
      <c r="R2245">
        <v>1.87069015030323</v>
      </c>
      <c r="S2245">
        <v>12.490718435773299</v>
      </c>
      <c r="T2245">
        <v>2.9113144592868299</v>
      </c>
      <c r="U2245">
        <v>-3.2860944009575701</v>
      </c>
      <c r="V2245">
        <v>1.0807592032822401E-2</v>
      </c>
      <c r="W2245">
        <v>4.7966827892662302E-2</v>
      </c>
      <c r="X2245">
        <v>1</v>
      </c>
      <c r="Y2245">
        <v>1</v>
      </c>
    </row>
    <row r="2246" spans="1:25" x14ac:dyDescent="0.2">
      <c r="A2246" t="s">
        <v>8426</v>
      </c>
      <c r="B2246" t="s">
        <v>8427</v>
      </c>
      <c r="C2246" t="s">
        <v>8428</v>
      </c>
      <c r="D2246" t="s">
        <v>8429</v>
      </c>
      <c r="E2246" t="s">
        <v>8427</v>
      </c>
      <c r="F2246" t="s">
        <v>28</v>
      </c>
      <c r="G2246" t="s">
        <v>8427</v>
      </c>
      <c r="H2246" t="str">
        <f>"ifd-2"</f>
        <v>ifd-2</v>
      </c>
      <c r="I2246" t="s">
        <v>8429</v>
      </c>
      <c r="J2246">
        <v>13.2954472249186</v>
      </c>
      <c r="K2246">
        <v>12.5330099082312</v>
      </c>
      <c r="L2246">
        <v>13.8393586527105</v>
      </c>
      <c r="M2246">
        <v>15.181594066757</v>
      </c>
      <c r="N2246" t="s">
        <v>29</v>
      </c>
      <c r="O2246">
        <v>13.8763436588519</v>
      </c>
      <c r="P2246">
        <v>1.30636360085101</v>
      </c>
      <c r="Q2246">
        <v>0.34588434474267599</v>
      </c>
      <c r="R2246">
        <v>2.2668428569593302</v>
      </c>
      <c r="S2246">
        <v>12.7684901008681</v>
      </c>
      <c r="T2246">
        <v>2.9007993361314099</v>
      </c>
      <c r="U2246">
        <v>-3.51959410069921</v>
      </c>
      <c r="V2246">
        <v>1.10399783019361E-2</v>
      </c>
      <c r="W2246">
        <v>4.8924535422264298E-2</v>
      </c>
      <c r="X2246">
        <v>1</v>
      </c>
      <c r="Y2246">
        <v>1</v>
      </c>
    </row>
    <row r="2247" spans="1:25" x14ac:dyDescent="0.2">
      <c r="A2247" t="s">
        <v>8430</v>
      </c>
      <c r="B2247" t="s">
        <v>8431</v>
      </c>
      <c r="C2247" t="s">
        <v>14164</v>
      </c>
      <c r="D2247" t="s">
        <v>8432</v>
      </c>
      <c r="E2247" t="s">
        <v>8431</v>
      </c>
      <c r="F2247" t="s">
        <v>28</v>
      </c>
      <c r="G2247" t="s">
        <v>8431</v>
      </c>
      <c r="H2247" t="str">
        <f>"F25H8.2"</f>
        <v>F25H8.2</v>
      </c>
      <c r="I2247" t="s">
        <v>8432</v>
      </c>
      <c r="J2247" t="s">
        <v>29</v>
      </c>
      <c r="K2247" t="s">
        <v>29</v>
      </c>
      <c r="L2247" t="s">
        <v>29</v>
      </c>
      <c r="M2247">
        <v>14.930697119774001</v>
      </c>
      <c r="N2247">
        <v>15.2975395124759</v>
      </c>
      <c r="O2247">
        <v>15.0750976187866</v>
      </c>
      <c r="P2247" t="s">
        <v>29</v>
      </c>
      <c r="Q2247" t="s">
        <v>29</v>
      </c>
      <c r="R2247" t="s">
        <v>29</v>
      </c>
      <c r="S2247">
        <v>13.6208200565141</v>
      </c>
      <c r="T2247" t="s">
        <v>29</v>
      </c>
      <c r="U2247" t="s">
        <v>29</v>
      </c>
      <c r="V2247" t="s">
        <v>29</v>
      </c>
      <c r="W2247" t="s">
        <v>29</v>
      </c>
      <c r="X2247" t="s">
        <v>29</v>
      </c>
      <c r="Y2247" t="s">
        <v>29</v>
      </c>
    </row>
    <row r="2248" spans="1:25" x14ac:dyDescent="0.2">
      <c r="A2248" t="s">
        <v>8433</v>
      </c>
      <c r="B2248" t="s">
        <v>8434</v>
      </c>
      <c r="C2248" t="s">
        <v>8435</v>
      </c>
      <c r="D2248" t="s">
        <v>8436</v>
      </c>
      <c r="E2248" t="s">
        <v>8434</v>
      </c>
      <c r="F2248" t="s">
        <v>28</v>
      </c>
      <c r="G2248" t="s">
        <v>8434</v>
      </c>
      <c r="H2248" t="str">
        <f>"gon-1"</f>
        <v>gon-1</v>
      </c>
      <c r="I2248" t="s">
        <v>8436</v>
      </c>
      <c r="J2248" t="s">
        <v>29</v>
      </c>
      <c r="K2248" t="s">
        <v>29</v>
      </c>
      <c r="L2248" t="s">
        <v>29</v>
      </c>
      <c r="M2248" t="s">
        <v>29</v>
      </c>
      <c r="N2248" t="s">
        <v>29</v>
      </c>
      <c r="O2248" t="s">
        <v>29</v>
      </c>
      <c r="P2248" t="s">
        <v>29</v>
      </c>
      <c r="Q2248" t="s">
        <v>29</v>
      </c>
      <c r="R2248" t="s">
        <v>29</v>
      </c>
      <c r="S2248">
        <v>11.024768222979199</v>
      </c>
      <c r="T2248" t="s">
        <v>29</v>
      </c>
      <c r="U2248" t="s">
        <v>29</v>
      </c>
      <c r="V2248" t="s">
        <v>29</v>
      </c>
      <c r="W2248" t="s">
        <v>29</v>
      </c>
      <c r="X2248" t="s">
        <v>29</v>
      </c>
      <c r="Y2248" t="s">
        <v>29</v>
      </c>
    </row>
    <row r="2249" spans="1:25" x14ac:dyDescent="0.2">
      <c r="A2249" t="s">
        <v>8437</v>
      </c>
      <c r="B2249" t="s">
        <v>8438</v>
      </c>
      <c r="C2249" t="s">
        <v>8439</v>
      </c>
      <c r="D2249" t="s">
        <v>8440</v>
      </c>
      <c r="E2249" t="s">
        <v>8438</v>
      </c>
      <c r="F2249" t="s">
        <v>28</v>
      </c>
      <c r="G2249" t="s">
        <v>8438</v>
      </c>
      <c r="H2249" t="str">
        <f>"nonu-1"</f>
        <v>nonu-1</v>
      </c>
      <c r="I2249" t="s">
        <v>8440</v>
      </c>
      <c r="J2249" t="s">
        <v>29</v>
      </c>
      <c r="K2249" t="s">
        <v>29</v>
      </c>
      <c r="L2249" t="s">
        <v>29</v>
      </c>
      <c r="M2249" t="s">
        <v>29</v>
      </c>
      <c r="N2249" t="s">
        <v>29</v>
      </c>
      <c r="O2249" t="s">
        <v>29</v>
      </c>
      <c r="P2249" t="s">
        <v>29</v>
      </c>
      <c r="Q2249" t="s">
        <v>29</v>
      </c>
      <c r="R2249" t="s">
        <v>29</v>
      </c>
      <c r="S2249">
        <v>10.6687681266955</v>
      </c>
      <c r="T2249" t="s">
        <v>29</v>
      </c>
      <c r="U2249" t="s">
        <v>29</v>
      </c>
      <c r="V2249" t="s">
        <v>29</v>
      </c>
      <c r="W2249" t="s">
        <v>29</v>
      </c>
      <c r="X2249" t="s">
        <v>29</v>
      </c>
      <c r="Y2249" t="s">
        <v>29</v>
      </c>
    </row>
    <row r="2250" spans="1:25" x14ac:dyDescent="0.2">
      <c r="A2250" t="s">
        <v>8441</v>
      </c>
      <c r="B2250" t="s">
        <v>8442</v>
      </c>
      <c r="C2250" t="s">
        <v>8443</v>
      </c>
      <c r="D2250" t="s">
        <v>3312</v>
      </c>
      <c r="E2250" t="s">
        <v>8442</v>
      </c>
      <c r="F2250" t="s">
        <v>28</v>
      </c>
      <c r="G2250" t="s">
        <v>8442</v>
      </c>
      <c r="H2250" t="str">
        <f>"col-140"</f>
        <v>col-140</v>
      </c>
      <c r="I2250" t="s">
        <v>3312</v>
      </c>
      <c r="J2250">
        <v>13.998661741674001</v>
      </c>
      <c r="K2250">
        <v>13.2145625979946</v>
      </c>
      <c r="L2250">
        <v>14.857153904479899</v>
      </c>
      <c r="M2250">
        <v>17.0507946926496</v>
      </c>
      <c r="N2250">
        <v>13.9260461433202</v>
      </c>
      <c r="O2250">
        <v>14.384534504183501</v>
      </c>
      <c r="P2250">
        <v>1.0969990320015801</v>
      </c>
      <c r="Q2250">
        <v>-8.6920719206263097E-2</v>
      </c>
      <c r="R2250">
        <v>2.2809187832094202</v>
      </c>
      <c r="S2250">
        <v>14.451598292973699</v>
      </c>
      <c r="T2250">
        <v>1.94749562893454</v>
      </c>
      <c r="U2250">
        <v>-5.3521793659239103</v>
      </c>
      <c r="V2250">
        <v>6.7340582093936799E-2</v>
      </c>
      <c r="W2250">
        <v>0.16747062905555399</v>
      </c>
      <c r="X2250">
        <v>0</v>
      </c>
      <c r="Y2250">
        <v>0</v>
      </c>
    </row>
    <row r="2251" spans="1:25" x14ac:dyDescent="0.2">
      <c r="A2251" t="s">
        <v>8444</v>
      </c>
      <c r="B2251" t="s">
        <v>8445</v>
      </c>
      <c r="C2251" t="s">
        <v>14455</v>
      </c>
      <c r="D2251" t="s">
        <v>758</v>
      </c>
      <c r="E2251" t="s">
        <v>8445</v>
      </c>
      <c r="F2251" t="s">
        <v>28</v>
      </c>
      <c r="G2251" t="s">
        <v>8445</v>
      </c>
      <c r="H2251" t="str">
        <f>"F26F4.5"</f>
        <v>F26F4.5</v>
      </c>
      <c r="I2251" t="s">
        <v>758</v>
      </c>
      <c r="J2251" t="s">
        <v>29</v>
      </c>
      <c r="K2251" t="s">
        <v>29</v>
      </c>
      <c r="L2251" t="s">
        <v>29</v>
      </c>
      <c r="M2251" t="s">
        <v>29</v>
      </c>
      <c r="N2251" t="s">
        <v>29</v>
      </c>
      <c r="O2251" t="s">
        <v>29</v>
      </c>
      <c r="P2251" t="s">
        <v>29</v>
      </c>
      <c r="Q2251" t="s">
        <v>29</v>
      </c>
      <c r="R2251" t="s">
        <v>29</v>
      </c>
      <c r="S2251">
        <v>11.7703602050152</v>
      </c>
      <c r="T2251" t="s">
        <v>29</v>
      </c>
      <c r="U2251" t="s">
        <v>29</v>
      </c>
      <c r="V2251" t="s">
        <v>29</v>
      </c>
      <c r="W2251" t="s">
        <v>29</v>
      </c>
      <c r="X2251" t="s">
        <v>29</v>
      </c>
      <c r="Y2251" t="s">
        <v>29</v>
      </c>
    </row>
    <row r="2252" spans="1:25" x14ac:dyDescent="0.2">
      <c r="A2252" t="s">
        <v>8446</v>
      </c>
      <c r="B2252" t="s">
        <v>8447</v>
      </c>
      <c r="C2252" t="s">
        <v>8448</v>
      </c>
      <c r="D2252" t="s">
        <v>360</v>
      </c>
      <c r="E2252" t="s">
        <v>8447</v>
      </c>
      <c r="F2252" t="s">
        <v>28</v>
      </c>
      <c r="G2252" t="s">
        <v>8447</v>
      </c>
      <c r="H2252" t="str">
        <f>"nhl-2"</f>
        <v>nhl-2</v>
      </c>
      <c r="I2252" t="s">
        <v>360</v>
      </c>
      <c r="J2252" t="s">
        <v>29</v>
      </c>
      <c r="K2252" t="s">
        <v>29</v>
      </c>
      <c r="L2252" t="s">
        <v>29</v>
      </c>
      <c r="M2252" t="s">
        <v>29</v>
      </c>
      <c r="N2252" t="s">
        <v>29</v>
      </c>
      <c r="O2252">
        <v>11.7640712411248</v>
      </c>
      <c r="P2252" t="s">
        <v>29</v>
      </c>
      <c r="Q2252" t="s">
        <v>29</v>
      </c>
      <c r="R2252" t="s">
        <v>29</v>
      </c>
      <c r="S2252">
        <v>11.7826955264552</v>
      </c>
      <c r="T2252" t="s">
        <v>29</v>
      </c>
      <c r="U2252" t="s">
        <v>29</v>
      </c>
      <c r="V2252" t="s">
        <v>29</v>
      </c>
      <c r="W2252" t="s">
        <v>29</v>
      </c>
      <c r="X2252" t="s">
        <v>29</v>
      </c>
      <c r="Y2252" t="s">
        <v>29</v>
      </c>
    </row>
    <row r="2253" spans="1:25" x14ac:dyDescent="0.2">
      <c r="A2253" t="s">
        <v>8449</v>
      </c>
      <c r="B2253" t="s">
        <v>8450</v>
      </c>
      <c r="C2253" t="s">
        <v>8451</v>
      </c>
      <c r="D2253" t="s">
        <v>7751</v>
      </c>
      <c r="E2253" t="s">
        <v>8450</v>
      </c>
      <c r="F2253" t="s">
        <v>28</v>
      </c>
      <c r="G2253" t="s">
        <v>8450</v>
      </c>
      <c r="H2253" t="str">
        <f>"tag-340"</f>
        <v>tag-340</v>
      </c>
      <c r="I2253" t="s">
        <v>7751</v>
      </c>
      <c r="J2253">
        <v>12.143654598683799</v>
      </c>
      <c r="K2253">
        <v>11.976823446933</v>
      </c>
      <c r="L2253">
        <v>11.9731763180457</v>
      </c>
      <c r="M2253" t="s">
        <v>29</v>
      </c>
      <c r="N2253" t="s">
        <v>29</v>
      </c>
      <c r="O2253">
        <v>11.080490304455999</v>
      </c>
      <c r="P2253">
        <v>-0.95072781676483598</v>
      </c>
      <c r="Q2253">
        <v>-1.5470865492329799</v>
      </c>
      <c r="R2253">
        <v>-0.35436908429668901</v>
      </c>
      <c r="S2253">
        <v>11.6868381875059</v>
      </c>
      <c r="T2253">
        <v>-3.38141245244142</v>
      </c>
      <c r="U2253">
        <v>-2.3063644937494798</v>
      </c>
      <c r="V2253">
        <v>3.8362191202692001E-3</v>
      </c>
      <c r="W2253">
        <v>2.3406496371497599E-2</v>
      </c>
      <c r="X2253">
        <v>0</v>
      </c>
      <c r="Y2253">
        <v>0</v>
      </c>
    </row>
    <row r="2254" spans="1:25" x14ac:dyDescent="0.2">
      <c r="A2254" t="s">
        <v>8452</v>
      </c>
      <c r="B2254" t="s">
        <v>8453</v>
      </c>
      <c r="C2254" t="s">
        <v>8454</v>
      </c>
      <c r="D2254" t="s">
        <v>8455</v>
      </c>
      <c r="E2254" t="s">
        <v>8453</v>
      </c>
      <c r="F2254" t="s">
        <v>28</v>
      </c>
      <c r="G2254" t="s">
        <v>8453</v>
      </c>
      <c r="H2254" t="str">
        <f>"rom-1"</f>
        <v>rom-1</v>
      </c>
      <c r="I2254" t="s">
        <v>8455</v>
      </c>
      <c r="J2254">
        <v>13.8478441559019</v>
      </c>
      <c r="K2254">
        <v>13.8921788715062</v>
      </c>
      <c r="L2254">
        <v>13.882029870307299</v>
      </c>
      <c r="M2254" t="s">
        <v>29</v>
      </c>
      <c r="N2254" t="s">
        <v>29</v>
      </c>
      <c r="O2254">
        <v>13.0804186067499</v>
      </c>
      <c r="P2254">
        <v>-0.79359902582187303</v>
      </c>
      <c r="Q2254">
        <v>-1.2891545205673101</v>
      </c>
      <c r="R2254">
        <v>-0.298043531076435</v>
      </c>
      <c r="S2254">
        <v>13.7027206860908</v>
      </c>
      <c r="T2254">
        <v>-3.39670914008944</v>
      </c>
      <c r="U2254">
        <v>-2.2750238664636799</v>
      </c>
      <c r="V2254">
        <v>3.7147239261893401E-3</v>
      </c>
      <c r="W2254">
        <v>2.2892494963163298E-2</v>
      </c>
      <c r="X2254">
        <v>0</v>
      </c>
      <c r="Y2254">
        <v>0</v>
      </c>
    </row>
    <row r="2255" spans="1:25" x14ac:dyDescent="0.2">
      <c r="A2255" t="s">
        <v>8456</v>
      </c>
      <c r="B2255" t="s">
        <v>8457</v>
      </c>
      <c r="C2255" t="s">
        <v>14456</v>
      </c>
      <c r="D2255" t="s">
        <v>1281</v>
      </c>
      <c r="E2255" t="s">
        <v>8457</v>
      </c>
      <c r="F2255" t="s">
        <v>28</v>
      </c>
      <c r="G2255" t="s">
        <v>8457</v>
      </c>
      <c r="H2255" t="str">
        <f>"F26F4.2"</f>
        <v>F26F4.2</v>
      </c>
      <c r="I2255" t="s">
        <v>1281</v>
      </c>
      <c r="J2255">
        <v>15.0342060469734</v>
      </c>
      <c r="K2255">
        <v>14.354353899962399</v>
      </c>
      <c r="L2255">
        <v>14.594763677407901</v>
      </c>
      <c r="M2255" t="s">
        <v>29</v>
      </c>
      <c r="N2255">
        <v>14.682398158102901</v>
      </c>
      <c r="O2255">
        <v>13.2493015169527</v>
      </c>
      <c r="P2255">
        <v>-0.69525803725339896</v>
      </c>
      <c r="Q2255">
        <v>-2.1245015039891899</v>
      </c>
      <c r="R2255">
        <v>0.73398542948239398</v>
      </c>
      <c r="S2255">
        <v>14.072753441652599</v>
      </c>
      <c r="T2255">
        <v>-1.0268093520852799</v>
      </c>
      <c r="U2255">
        <v>-6.5079878596910996</v>
      </c>
      <c r="V2255">
        <v>0.31898772370564998</v>
      </c>
      <c r="W2255">
        <v>0.49063508442617398</v>
      </c>
      <c r="X2255">
        <v>0</v>
      </c>
      <c r="Y2255">
        <v>0</v>
      </c>
    </row>
    <row r="2256" spans="1:25" x14ac:dyDescent="0.2">
      <c r="A2256" t="s">
        <v>8458</v>
      </c>
      <c r="B2256" t="s">
        <v>8459</v>
      </c>
      <c r="C2256" t="s">
        <v>8460</v>
      </c>
      <c r="D2256" t="s">
        <v>8461</v>
      </c>
      <c r="E2256" t="s">
        <v>8459</v>
      </c>
      <c r="F2256" t="s">
        <v>28</v>
      </c>
      <c r="G2256" t="s">
        <v>8459</v>
      </c>
      <c r="H2256" t="str">
        <f>"cee-1"</f>
        <v>cee-1</v>
      </c>
      <c r="I2256" t="s">
        <v>8461</v>
      </c>
      <c r="J2256">
        <v>13.020108261205101</v>
      </c>
      <c r="K2256">
        <v>12.830084911770401</v>
      </c>
      <c r="L2256">
        <v>13.2000025097066</v>
      </c>
      <c r="M2256" t="s">
        <v>29</v>
      </c>
      <c r="N2256">
        <v>13.2392678819301</v>
      </c>
      <c r="O2256">
        <v>13.195509400759899</v>
      </c>
      <c r="P2256">
        <v>0.200656747117611</v>
      </c>
      <c r="Q2256">
        <v>-0.403280134916503</v>
      </c>
      <c r="R2256">
        <v>0.80459362915172405</v>
      </c>
      <c r="S2256">
        <v>13.324487450483501</v>
      </c>
      <c r="T2256">
        <v>0.70131354718558503</v>
      </c>
      <c r="U2256">
        <v>-6.7906563838445502</v>
      </c>
      <c r="V2256">
        <v>0.492655094005711</v>
      </c>
      <c r="W2256">
        <v>0.64959935661513601</v>
      </c>
      <c r="X2256">
        <v>0</v>
      </c>
      <c r="Y2256">
        <v>0</v>
      </c>
    </row>
    <row r="2257" spans="1:25" x14ac:dyDescent="0.2">
      <c r="A2257" t="s">
        <v>8462</v>
      </c>
      <c r="B2257" t="s">
        <v>8463</v>
      </c>
      <c r="C2257" t="s">
        <v>8464</v>
      </c>
      <c r="D2257" t="s">
        <v>8465</v>
      </c>
      <c r="E2257" t="s">
        <v>8463</v>
      </c>
      <c r="F2257" t="s">
        <v>28</v>
      </c>
      <c r="G2257" t="s">
        <v>8463</v>
      </c>
      <c r="H2257" t="str">
        <f>"rars-1"</f>
        <v>rars-1</v>
      </c>
      <c r="I2257" t="s">
        <v>8465</v>
      </c>
      <c r="J2257">
        <v>16.0253861619193</v>
      </c>
      <c r="K2257">
        <v>15.6740294612054</v>
      </c>
      <c r="L2257">
        <v>15.9158081043311</v>
      </c>
      <c r="M2257">
        <v>16.091523517508001</v>
      </c>
      <c r="N2257">
        <v>15.919644336119401</v>
      </c>
      <c r="O2257">
        <v>15.8367864388588</v>
      </c>
      <c r="P2257">
        <v>7.7576855010075704E-2</v>
      </c>
      <c r="Q2257">
        <v>-0.25599232695166302</v>
      </c>
      <c r="R2257">
        <v>0.41114603697181401</v>
      </c>
      <c r="S2257">
        <v>15.8919739137141</v>
      </c>
      <c r="T2257">
        <v>0.48880851474104903</v>
      </c>
      <c r="U2257">
        <v>-7.0317459654763397</v>
      </c>
      <c r="V2257">
        <v>0.63091398265032295</v>
      </c>
      <c r="W2257">
        <v>0.75336446793780498</v>
      </c>
      <c r="X2257">
        <v>0</v>
      </c>
      <c r="Y2257">
        <v>0</v>
      </c>
    </row>
    <row r="2258" spans="1:25" x14ac:dyDescent="0.2">
      <c r="A2258" t="s">
        <v>8466</v>
      </c>
      <c r="B2258" t="s">
        <v>8467</v>
      </c>
      <c r="C2258" t="s">
        <v>8468</v>
      </c>
      <c r="D2258" t="s">
        <v>8469</v>
      </c>
      <c r="E2258" t="s">
        <v>8467</v>
      </c>
      <c r="F2258" t="s">
        <v>28</v>
      </c>
      <c r="G2258" t="s">
        <v>8467</v>
      </c>
      <c r="H2258" t="str">
        <f>"rpb-8"</f>
        <v>rpb-8</v>
      </c>
      <c r="I2258" t="s">
        <v>8469</v>
      </c>
      <c r="J2258">
        <v>15.075033193911899</v>
      </c>
      <c r="K2258">
        <v>15.217460102057901</v>
      </c>
      <c r="L2258">
        <v>14.910295713660799</v>
      </c>
      <c r="M2258">
        <v>15.1962830766221</v>
      </c>
      <c r="N2258">
        <v>14.0599828635617</v>
      </c>
      <c r="O2258">
        <v>15.007589439153101</v>
      </c>
      <c r="P2258">
        <v>-0.31297787676456301</v>
      </c>
      <c r="Q2258">
        <v>-0.81643831041359405</v>
      </c>
      <c r="R2258">
        <v>0.190482556884467</v>
      </c>
      <c r="S2258">
        <v>14.4742827598254</v>
      </c>
      <c r="T2258">
        <v>-1.3065944453923499</v>
      </c>
      <c r="U2258">
        <v>-6.3008187537184996</v>
      </c>
      <c r="V2258">
        <v>0.20789425276212301</v>
      </c>
      <c r="W2258">
        <v>0.36885271697168998</v>
      </c>
      <c r="X2258">
        <v>0</v>
      </c>
      <c r="Y2258">
        <v>0</v>
      </c>
    </row>
    <row r="2259" spans="1:25" x14ac:dyDescent="0.2">
      <c r="A2259" t="s">
        <v>8470</v>
      </c>
      <c r="B2259" t="s">
        <v>8471</v>
      </c>
      <c r="C2259" t="s">
        <v>14457</v>
      </c>
      <c r="D2259" t="s">
        <v>8472</v>
      </c>
      <c r="E2259" t="s">
        <v>8471</v>
      </c>
      <c r="F2259" t="s">
        <v>28</v>
      </c>
      <c r="G2259" t="s">
        <v>8471</v>
      </c>
      <c r="H2259" t="str">
        <f>"F26G1.1"</f>
        <v>F26G1.1</v>
      </c>
      <c r="I2259" t="s">
        <v>8472</v>
      </c>
      <c r="J2259" t="s">
        <v>29</v>
      </c>
      <c r="K2259" t="s">
        <v>29</v>
      </c>
      <c r="L2259" t="s">
        <v>29</v>
      </c>
      <c r="M2259" t="s">
        <v>29</v>
      </c>
      <c r="N2259" t="s">
        <v>29</v>
      </c>
      <c r="O2259">
        <v>10.6921118298549</v>
      </c>
      <c r="P2259" t="s">
        <v>29</v>
      </c>
      <c r="Q2259" t="s">
        <v>29</v>
      </c>
      <c r="R2259" t="s">
        <v>29</v>
      </c>
      <c r="S2259">
        <v>11.6341006120829</v>
      </c>
      <c r="T2259" t="s">
        <v>29</v>
      </c>
      <c r="U2259" t="s">
        <v>29</v>
      </c>
      <c r="V2259" t="s">
        <v>29</v>
      </c>
      <c r="W2259" t="s">
        <v>29</v>
      </c>
      <c r="X2259" t="s">
        <v>29</v>
      </c>
      <c r="Y2259" t="s">
        <v>29</v>
      </c>
    </row>
    <row r="2260" spans="1:25" x14ac:dyDescent="0.2">
      <c r="A2260" t="s">
        <v>8473</v>
      </c>
      <c r="B2260" t="s">
        <v>8474</v>
      </c>
      <c r="C2260" t="s">
        <v>8475</v>
      </c>
      <c r="D2260" t="s">
        <v>104</v>
      </c>
      <c r="E2260" t="s">
        <v>8474</v>
      </c>
      <c r="F2260" t="s">
        <v>28</v>
      </c>
      <c r="G2260" t="s">
        <v>8474</v>
      </c>
      <c r="H2260" t="str">
        <f>"aat-1"</f>
        <v>aat-1</v>
      </c>
      <c r="I2260" t="s">
        <v>104</v>
      </c>
      <c r="J2260">
        <v>11.198818726966699</v>
      </c>
      <c r="K2260">
        <v>11.396922771083901</v>
      </c>
      <c r="L2260">
        <v>12.0570196440608</v>
      </c>
      <c r="M2260" t="s">
        <v>29</v>
      </c>
      <c r="N2260" t="s">
        <v>29</v>
      </c>
      <c r="O2260">
        <v>11.748196135049501</v>
      </c>
      <c r="P2260">
        <v>0.19727575434567299</v>
      </c>
      <c r="Q2260">
        <v>-0.67449308290503496</v>
      </c>
      <c r="R2260">
        <v>1.06904459159638</v>
      </c>
      <c r="S2260">
        <v>11.7813602608372</v>
      </c>
      <c r="T2260">
        <v>0.47997863035232102</v>
      </c>
      <c r="U2260">
        <v>-6.69259391134295</v>
      </c>
      <c r="V2260">
        <v>0.63778085494869097</v>
      </c>
      <c r="W2260">
        <v>0.75879700425264096</v>
      </c>
      <c r="X2260">
        <v>0</v>
      </c>
      <c r="Y2260">
        <v>0</v>
      </c>
    </row>
    <row r="2261" spans="1:25" x14ac:dyDescent="0.2">
      <c r="A2261" t="s">
        <v>8476</v>
      </c>
      <c r="B2261" t="s">
        <v>8477</v>
      </c>
      <c r="C2261" t="s">
        <v>8478</v>
      </c>
      <c r="D2261" t="s">
        <v>8479</v>
      </c>
      <c r="E2261" t="s">
        <v>8477</v>
      </c>
      <c r="F2261" t="s">
        <v>28</v>
      </c>
      <c r="G2261" t="s">
        <v>8477</v>
      </c>
      <c r="H2261" t="str">
        <f>"pcca-1"</f>
        <v>pcca-1</v>
      </c>
      <c r="I2261" t="s">
        <v>8479</v>
      </c>
      <c r="J2261">
        <v>23.993677741887499</v>
      </c>
      <c r="K2261">
        <v>24.033517166340101</v>
      </c>
      <c r="L2261">
        <v>23.661010157707199</v>
      </c>
      <c r="M2261">
        <v>22.5290031499805</v>
      </c>
      <c r="N2261">
        <v>22.797463027410199</v>
      </c>
      <c r="O2261">
        <v>23.459982332140001</v>
      </c>
      <c r="P2261">
        <v>-0.96725218546803404</v>
      </c>
      <c r="Q2261">
        <v>-1.65284865565743</v>
      </c>
      <c r="R2261">
        <v>-0.28165571527863797</v>
      </c>
      <c r="S2261">
        <v>22.770621715683699</v>
      </c>
      <c r="T2261">
        <v>-2.96526601309436</v>
      </c>
      <c r="U2261">
        <v>-3.4079088724305402</v>
      </c>
      <c r="V2261">
        <v>8.3257678862414999E-3</v>
      </c>
      <c r="W2261">
        <v>4.0026163068113699E-2</v>
      </c>
      <c r="X2261">
        <v>0</v>
      </c>
      <c r="Y2261">
        <v>0</v>
      </c>
    </row>
    <row r="2262" spans="1:25" x14ac:dyDescent="0.2">
      <c r="A2262" t="s">
        <v>8480</v>
      </c>
      <c r="B2262" t="s">
        <v>8481</v>
      </c>
      <c r="C2262" t="s">
        <v>8482</v>
      </c>
      <c r="D2262" t="s">
        <v>8483</v>
      </c>
      <c r="E2262" t="s">
        <v>8481</v>
      </c>
      <c r="F2262" t="s">
        <v>28</v>
      </c>
      <c r="G2262" t="s">
        <v>8481</v>
      </c>
      <c r="H2262" t="str">
        <f>"dhs-29"</f>
        <v>dhs-29</v>
      </c>
      <c r="I2262" t="s">
        <v>8483</v>
      </c>
      <c r="J2262">
        <v>12.564314796333401</v>
      </c>
      <c r="K2262">
        <v>12.675036915569301</v>
      </c>
      <c r="L2262">
        <v>12.8624085841676</v>
      </c>
      <c r="M2262" t="s">
        <v>29</v>
      </c>
      <c r="N2262" t="s">
        <v>29</v>
      </c>
      <c r="O2262">
        <v>11.993931887405701</v>
      </c>
      <c r="P2262">
        <v>-0.70665487795105097</v>
      </c>
      <c r="Q2262">
        <v>-1.5463028820646101</v>
      </c>
      <c r="R2262">
        <v>0.132993126162507</v>
      </c>
      <c r="S2262">
        <v>12.536986001002701</v>
      </c>
      <c r="T2262">
        <v>-1.7850880020636299</v>
      </c>
      <c r="U2262">
        <v>-5.2892503626817797</v>
      </c>
      <c r="V2262">
        <v>9.3340770376793405E-2</v>
      </c>
      <c r="W2262">
        <v>0.20791780068058199</v>
      </c>
      <c r="X2262">
        <v>0</v>
      </c>
      <c r="Y2262">
        <v>0</v>
      </c>
    </row>
    <row r="2263" spans="1:25" x14ac:dyDescent="0.2">
      <c r="A2263" t="s">
        <v>8484</v>
      </c>
      <c r="B2263" t="s">
        <v>8485</v>
      </c>
      <c r="C2263" t="s">
        <v>8486</v>
      </c>
      <c r="D2263" t="s">
        <v>8487</v>
      </c>
      <c r="E2263" t="s">
        <v>8485</v>
      </c>
      <c r="F2263" t="s">
        <v>28</v>
      </c>
      <c r="G2263" t="s">
        <v>8485</v>
      </c>
      <c r="H2263" t="str">
        <f>"vrk-1"</f>
        <v>vrk-1</v>
      </c>
      <c r="I2263" t="s">
        <v>8487</v>
      </c>
      <c r="J2263">
        <v>13.472571250360099</v>
      </c>
      <c r="K2263">
        <v>13.272660801192201</v>
      </c>
      <c r="L2263">
        <v>13.0665039318936</v>
      </c>
      <c r="M2263" t="s">
        <v>29</v>
      </c>
      <c r="N2263" t="s">
        <v>29</v>
      </c>
      <c r="O2263">
        <v>12.6407061737654</v>
      </c>
      <c r="P2263">
        <v>-0.62987248738324197</v>
      </c>
      <c r="Q2263">
        <v>-1.38864674522108</v>
      </c>
      <c r="R2263">
        <v>0.128901770454592</v>
      </c>
      <c r="S2263">
        <v>12.9689487427974</v>
      </c>
      <c r="T2263">
        <v>-1.76071709205598</v>
      </c>
      <c r="U2263">
        <v>-5.32705034034033</v>
      </c>
      <c r="V2263">
        <v>9.7509633749069902E-2</v>
      </c>
      <c r="W2263">
        <v>0.213333994549747</v>
      </c>
      <c r="X2263">
        <v>0</v>
      </c>
      <c r="Y2263">
        <v>0</v>
      </c>
    </row>
    <row r="2264" spans="1:25" x14ac:dyDescent="0.2">
      <c r="A2264" t="s">
        <v>8488</v>
      </c>
      <c r="B2264" t="s">
        <v>8489</v>
      </c>
      <c r="C2264" t="s">
        <v>8490</v>
      </c>
      <c r="D2264" t="s">
        <v>8491</v>
      </c>
      <c r="E2264" t="s">
        <v>8489</v>
      </c>
      <c r="F2264" t="s">
        <v>28</v>
      </c>
      <c r="G2264" t="s">
        <v>8489</v>
      </c>
      <c r="H2264" t="str">
        <f>"rgl-1"</f>
        <v>rgl-1</v>
      </c>
      <c r="I2264" t="s">
        <v>8491</v>
      </c>
      <c r="J2264" t="s">
        <v>29</v>
      </c>
      <c r="K2264" t="s">
        <v>29</v>
      </c>
      <c r="L2264" t="s">
        <v>29</v>
      </c>
      <c r="M2264" t="s">
        <v>29</v>
      </c>
      <c r="N2264" t="s">
        <v>29</v>
      </c>
      <c r="O2264">
        <v>11.631673845710001</v>
      </c>
      <c r="P2264" t="s">
        <v>29</v>
      </c>
      <c r="Q2264" t="s">
        <v>29</v>
      </c>
      <c r="R2264" t="s">
        <v>29</v>
      </c>
      <c r="S2264">
        <v>10.812891833016</v>
      </c>
      <c r="T2264" t="s">
        <v>29</v>
      </c>
      <c r="U2264" t="s">
        <v>29</v>
      </c>
      <c r="V2264" t="s">
        <v>29</v>
      </c>
      <c r="W2264" t="s">
        <v>29</v>
      </c>
      <c r="X2264" t="s">
        <v>29</v>
      </c>
      <c r="Y2264" t="s">
        <v>29</v>
      </c>
    </row>
    <row r="2265" spans="1:25" x14ac:dyDescent="0.2">
      <c r="A2265" t="s">
        <v>8492</v>
      </c>
      <c r="B2265" t="s">
        <v>8493</v>
      </c>
      <c r="C2265" t="s">
        <v>8494</v>
      </c>
      <c r="D2265" t="s">
        <v>8495</v>
      </c>
      <c r="E2265" t="s">
        <v>8493</v>
      </c>
      <c r="F2265" t="s">
        <v>28</v>
      </c>
      <c r="G2265" t="s">
        <v>8493</v>
      </c>
      <c r="H2265" t="str">
        <f>"cpf-1"</f>
        <v>cpf-1</v>
      </c>
      <c r="I2265" t="s">
        <v>8495</v>
      </c>
      <c r="J2265" t="s">
        <v>29</v>
      </c>
      <c r="K2265" t="s">
        <v>29</v>
      </c>
      <c r="L2265">
        <v>12.968326545180201</v>
      </c>
      <c r="M2265" t="s">
        <v>29</v>
      </c>
      <c r="N2265" t="s">
        <v>29</v>
      </c>
      <c r="O2265" t="s">
        <v>29</v>
      </c>
      <c r="P2265" t="s">
        <v>29</v>
      </c>
      <c r="Q2265" t="s">
        <v>29</v>
      </c>
      <c r="R2265" t="s">
        <v>29</v>
      </c>
      <c r="S2265">
        <v>13.1131333063403</v>
      </c>
      <c r="T2265" t="s">
        <v>29</v>
      </c>
      <c r="U2265" t="s">
        <v>29</v>
      </c>
      <c r="V2265" t="s">
        <v>29</v>
      </c>
      <c r="W2265" t="s">
        <v>29</v>
      </c>
      <c r="X2265" t="s">
        <v>29</v>
      </c>
      <c r="Y2265" t="s">
        <v>29</v>
      </c>
    </row>
    <row r="2266" spans="1:25" x14ac:dyDescent="0.2">
      <c r="A2266" t="s">
        <v>8496</v>
      </c>
      <c r="B2266" t="s">
        <v>8497</v>
      </c>
      <c r="C2266" t="s">
        <v>8498</v>
      </c>
      <c r="D2266" t="s">
        <v>8499</v>
      </c>
      <c r="E2266" t="s">
        <v>8497</v>
      </c>
      <c r="F2266" t="s">
        <v>28</v>
      </c>
      <c r="G2266" t="s">
        <v>8497</v>
      </c>
      <c r="H2266" t="str">
        <f>"suf-1"</f>
        <v>suf-1</v>
      </c>
      <c r="I2266" t="s">
        <v>8499</v>
      </c>
      <c r="J2266">
        <v>13.102463852303799</v>
      </c>
      <c r="K2266">
        <v>13.495851703604099</v>
      </c>
      <c r="L2266">
        <v>13.3100697230183</v>
      </c>
      <c r="M2266" t="s">
        <v>29</v>
      </c>
      <c r="N2266">
        <v>13.024022620997799</v>
      </c>
      <c r="O2266">
        <v>13.438442232504</v>
      </c>
      <c r="P2266">
        <v>-7.1562666224464194E-2</v>
      </c>
      <c r="Q2266">
        <v>-0.50133414747833605</v>
      </c>
      <c r="R2266">
        <v>0.35820881502940799</v>
      </c>
      <c r="S2266">
        <v>13.227864157955</v>
      </c>
      <c r="T2266">
        <v>-0.35147863629905202</v>
      </c>
      <c r="U2266">
        <v>-6.9807752308818696</v>
      </c>
      <c r="V2266">
        <v>0.72957448674834002</v>
      </c>
      <c r="W2266">
        <v>0.82721415277374299</v>
      </c>
      <c r="X2266">
        <v>0</v>
      </c>
      <c r="Y2266">
        <v>0</v>
      </c>
    </row>
    <row r="2267" spans="1:25" x14ac:dyDescent="0.2">
      <c r="A2267" t="s">
        <v>8500</v>
      </c>
      <c r="B2267" t="s">
        <v>8501</v>
      </c>
      <c r="C2267" t="s">
        <v>8502</v>
      </c>
      <c r="D2267" t="s">
        <v>8503</v>
      </c>
      <c r="E2267" t="s">
        <v>8501</v>
      </c>
      <c r="F2267" t="s">
        <v>28</v>
      </c>
      <c r="G2267" t="s">
        <v>8501</v>
      </c>
      <c r="H2267" t="str">
        <f>"rpl-26"</f>
        <v>rpl-26</v>
      </c>
      <c r="I2267" t="s">
        <v>8503</v>
      </c>
      <c r="J2267">
        <v>19.416785299369501</v>
      </c>
      <c r="K2267">
        <v>19.3384209204402</v>
      </c>
      <c r="L2267">
        <v>19.342515205473099</v>
      </c>
      <c r="M2267">
        <v>18.292657952052298</v>
      </c>
      <c r="N2267">
        <v>18.491686799799599</v>
      </c>
      <c r="O2267">
        <v>18.493783801137301</v>
      </c>
      <c r="P2267">
        <v>-0.93986429076450795</v>
      </c>
      <c r="Q2267">
        <v>-1.2802847426542701</v>
      </c>
      <c r="R2267">
        <v>-0.59944383887474595</v>
      </c>
      <c r="S2267">
        <v>19.109978034129298</v>
      </c>
      <c r="T2267">
        <v>-5.8028590072144901</v>
      </c>
      <c r="U2267">
        <v>2.7373891480832002</v>
      </c>
      <c r="V2267" s="2">
        <v>1.7312426380520199E-5</v>
      </c>
      <c r="W2267">
        <v>4.5150195171144298E-4</v>
      </c>
      <c r="X2267">
        <v>0</v>
      </c>
      <c r="Y2267">
        <v>0</v>
      </c>
    </row>
    <row r="2268" spans="1:25" x14ac:dyDescent="0.2">
      <c r="A2268" t="s">
        <v>8504</v>
      </c>
      <c r="B2268" t="s">
        <v>8505</v>
      </c>
      <c r="C2268" t="s">
        <v>8506</v>
      </c>
      <c r="D2268" t="s">
        <v>8507</v>
      </c>
      <c r="E2268" t="s">
        <v>8505</v>
      </c>
      <c r="F2268" t="s">
        <v>28</v>
      </c>
      <c r="G2268" t="s">
        <v>8505</v>
      </c>
      <c r="H2268" t="str">
        <f>"wdr-46"</f>
        <v>wdr-46</v>
      </c>
      <c r="I2268" t="s">
        <v>8507</v>
      </c>
      <c r="J2268">
        <v>13.3546161207216</v>
      </c>
      <c r="K2268">
        <v>13.504317060200201</v>
      </c>
      <c r="L2268">
        <v>13.239362417057301</v>
      </c>
      <c r="M2268" t="s">
        <v>29</v>
      </c>
      <c r="N2268">
        <v>12.628281083574899</v>
      </c>
      <c r="O2268">
        <v>12.668486459807401</v>
      </c>
      <c r="P2268">
        <v>-0.71771476096858999</v>
      </c>
      <c r="Q2268">
        <v>-1.2423733361256599</v>
      </c>
      <c r="R2268">
        <v>-0.19305618581151801</v>
      </c>
      <c r="S2268">
        <v>13.4059215097218</v>
      </c>
      <c r="T2268">
        <v>-2.8875207644484502</v>
      </c>
      <c r="U2268">
        <v>-3.4891956988602</v>
      </c>
      <c r="V2268">
        <v>1.0277264808827799E-2</v>
      </c>
      <c r="W2268">
        <v>4.6239846399413198E-2</v>
      </c>
      <c r="X2268">
        <v>0</v>
      </c>
      <c r="Y2268">
        <v>0</v>
      </c>
    </row>
    <row r="2269" spans="1:25" x14ac:dyDescent="0.2">
      <c r="A2269" t="s">
        <v>8508</v>
      </c>
      <c r="B2269" t="s">
        <v>8509</v>
      </c>
      <c r="C2269" t="s">
        <v>8510</v>
      </c>
      <c r="D2269" t="s">
        <v>8511</v>
      </c>
      <c r="E2269" t="s">
        <v>8509</v>
      </c>
      <c r="F2269" t="s">
        <v>28</v>
      </c>
      <c r="G2269" t="s">
        <v>8509</v>
      </c>
      <c r="H2269" t="str">
        <f>"rps-23"</f>
        <v>rps-23</v>
      </c>
      <c r="I2269" t="s">
        <v>8511</v>
      </c>
      <c r="J2269">
        <v>20.015747563193699</v>
      </c>
      <c r="K2269">
        <v>19.930160878436201</v>
      </c>
      <c r="L2269">
        <v>19.881139083721798</v>
      </c>
      <c r="M2269">
        <v>18.798483001717099</v>
      </c>
      <c r="N2269">
        <v>19.795636469590999</v>
      </c>
      <c r="O2269">
        <v>19.489605851087401</v>
      </c>
      <c r="P2269">
        <v>-0.58110740098542002</v>
      </c>
      <c r="Q2269">
        <v>-1.1001840617007499</v>
      </c>
      <c r="R2269">
        <v>-6.2030740270089903E-2</v>
      </c>
      <c r="S2269">
        <v>19.9320040993459</v>
      </c>
      <c r="T2269">
        <v>-2.3529755678596902</v>
      </c>
      <c r="U2269">
        <v>-4.6270466861564996</v>
      </c>
      <c r="V2269">
        <v>3.0269071121417399E-2</v>
      </c>
      <c r="W2269">
        <v>9.7217942392531495E-2</v>
      </c>
      <c r="X2269">
        <v>0</v>
      </c>
      <c r="Y2269">
        <v>0</v>
      </c>
    </row>
    <row r="2270" spans="1:25" x14ac:dyDescent="0.2">
      <c r="A2270" t="s">
        <v>8512</v>
      </c>
      <c r="B2270" t="s">
        <v>8513</v>
      </c>
      <c r="C2270" t="s">
        <v>8514</v>
      </c>
      <c r="D2270" t="s">
        <v>8008</v>
      </c>
      <c r="E2270" t="s">
        <v>8513</v>
      </c>
      <c r="F2270" t="s">
        <v>28</v>
      </c>
      <c r="G2270" t="s">
        <v>8513</v>
      </c>
      <c r="H2270" t="str">
        <f>"acs-20"</f>
        <v>acs-20</v>
      </c>
      <c r="I2270" t="s">
        <v>8008</v>
      </c>
      <c r="J2270">
        <v>12.955766021353501</v>
      </c>
      <c r="K2270">
        <v>13.312022551519499</v>
      </c>
      <c r="L2270">
        <v>12.8205434271807</v>
      </c>
      <c r="M2270" t="s">
        <v>29</v>
      </c>
      <c r="N2270">
        <v>12.8945238366575</v>
      </c>
      <c r="O2270">
        <v>13.5259018986602</v>
      </c>
      <c r="P2270">
        <v>0.18076886764095501</v>
      </c>
      <c r="Q2270">
        <v>-0.31742116516746799</v>
      </c>
      <c r="R2270">
        <v>0.67895890044937901</v>
      </c>
      <c r="S2270">
        <v>12.766798422840999</v>
      </c>
      <c r="T2270">
        <v>0.76591154559063601</v>
      </c>
      <c r="U2270">
        <v>-6.7423873246775603</v>
      </c>
      <c r="V2270">
        <v>0.45429725078201799</v>
      </c>
      <c r="W2270">
        <v>0.61810433889870997</v>
      </c>
      <c r="X2270">
        <v>0</v>
      </c>
      <c r="Y2270">
        <v>0</v>
      </c>
    </row>
    <row r="2271" spans="1:25" x14ac:dyDescent="0.2">
      <c r="A2271" t="s">
        <v>8515</v>
      </c>
      <c r="B2271" t="s">
        <v>8516</v>
      </c>
      <c r="C2271" t="s">
        <v>8517</v>
      </c>
      <c r="D2271" t="s">
        <v>8518</v>
      </c>
      <c r="E2271" t="s">
        <v>8516</v>
      </c>
      <c r="F2271" t="s">
        <v>28</v>
      </c>
      <c r="G2271" t="s">
        <v>8516</v>
      </c>
      <c r="H2271" t="str">
        <f>"hum-1"</f>
        <v>hum-1</v>
      </c>
      <c r="I2271" t="s">
        <v>8518</v>
      </c>
      <c r="J2271">
        <v>14.5473081269347</v>
      </c>
      <c r="K2271">
        <v>14.561675641384101</v>
      </c>
      <c r="L2271">
        <v>14.3331574949384</v>
      </c>
      <c r="M2271">
        <v>13.5905831378315</v>
      </c>
      <c r="N2271">
        <v>14.7707347047319</v>
      </c>
      <c r="O2271">
        <v>14.906460559313301</v>
      </c>
      <c r="P2271">
        <v>-5.8120953793478598E-2</v>
      </c>
      <c r="Q2271">
        <v>-0.58404073523754196</v>
      </c>
      <c r="R2271">
        <v>0.467798827650585</v>
      </c>
      <c r="S2271">
        <v>14.5277447962031</v>
      </c>
      <c r="T2271">
        <v>-0.23227674934599901</v>
      </c>
      <c r="U2271">
        <v>-7.1280310446724098</v>
      </c>
      <c r="V2271">
        <v>0.81895873099137795</v>
      </c>
      <c r="W2271">
        <v>0.88568106322982898</v>
      </c>
      <c r="X2271">
        <v>0</v>
      </c>
      <c r="Y2271">
        <v>0</v>
      </c>
    </row>
    <row r="2272" spans="1:25" x14ac:dyDescent="0.2">
      <c r="A2272" t="s">
        <v>8519</v>
      </c>
      <c r="B2272" t="s">
        <v>8520</v>
      </c>
      <c r="C2272" t="s">
        <v>8521</v>
      </c>
      <c r="D2272" t="s">
        <v>8522</v>
      </c>
      <c r="E2272" t="s">
        <v>8520</v>
      </c>
      <c r="F2272" t="s">
        <v>28</v>
      </c>
      <c r="G2272" t="s">
        <v>8520</v>
      </c>
      <c r="H2272" t="str">
        <f>"sqv-4"</f>
        <v>sqv-4</v>
      </c>
      <c r="I2272" t="s">
        <v>8522</v>
      </c>
      <c r="J2272">
        <v>15.717928971600699</v>
      </c>
      <c r="K2272">
        <v>15.571001386628801</v>
      </c>
      <c r="L2272">
        <v>16.017398387800501</v>
      </c>
      <c r="M2272">
        <v>15.8705029037075</v>
      </c>
      <c r="N2272">
        <v>16.078499898140201</v>
      </c>
      <c r="O2272">
        <v>15.969242470566099</v>
      </c>
      <c r="P2272">
        <v>0.20397217546126201</v>
      </c>
      <c r="Q2272">
        <v>-0.26666606931977799</v>
      </c>
      <c r="R2272">
        <v>0.674610420242302</v>
      </c>
      <c r="S2272">
        <v>16.029793448464101</v>
      </c>
      <c r="T2272">
        <v>0.91091158467023303</v>
      </c>
      <c r="U2272">
        <v>-6.7307021026824501</v>
      </c>
      <c r="V2272">
        <v>0.37444947652998201</v>
      </c>
      <c r="W2272">
        <v>0.54119794376353902</v>
      </c>
      <c r="X2272">
        <v>0</v>
      </c>
      <c r="Y2272">
        <v>0</v>
      </c>
    </row>
    <row r="2273" spans="1:25" x14ac:dyDescent="0.2">
      <c r="A2273" t="s">
        <v>8523</v>
      </c>
      <c r="B2273" t="s">
        <v>8524</v>
      </c>
      <c r="C2273" t="s">
        <v>8525</v>
      </c>
      <c r="D2273" t="s">
        <v>8526</v>
      </c>
      <c r="E2273" t="s">
        <v>8524</v>
      </c>
      <c r="F2273" t="s">
        <v>28</v>
      </c>
      <c r="G2273" t="s">
        <v>8524</v>
      </c>
      <c r="H2273" t="str">
        <f>"tut-2"</f>
        <v>tut-2</v>
      </c>
      <c r="I2273" t="s">
        <v>8526</v>
      </c>
      <c r="J2273">
        <v>12.858930232012201</v>
      </c>
      <c r="K2273" t="s">
        <v>29</v>
      </c>
      <c r="L2273">
        <v>13.0313328258643</v>
      </c>
      <c r="M2273" t="s">
        <v>29</v>
      </c>
      <c r="N2273" t="s">
        <v>29</v>
      </c>
      <c r="O2273" t="s">
        <v>29</v>
      </c>
      <c r="P2273" t="s">
        <v>29</v>
      </c>
      <c r="Q2273" t="s">
        <v>29</v>
      </c>
      <c r="R2273" t="s">
        <v>29</v>
      </c>
      <c r="S2273">
        <v>12.896386652475799</v>
      </c>
      <c r="T2273" t="s">
        <v>29</v>
      </c>
      <c r="U2273" t="s">
        <v>29</v>
      </c>
      <c r="V2273" t="s">
        <v>29</v>
      </c>
      <c r="W2273" t="s">
        <v>29</v>
      </c>
      <c r="X2273" t="s">
        <v>29</v>
      </c>
      <c r="Y2273" t="s">
        <v>29</v>
      </c>
    </row>
    <row r="2274" spans="1:25" x14ac:dyDescent="0.2">
      <c r="A2274" t="s">
        <v>8527</v>
      </c>
      <c r="B2274" t="s">
        <v>8528</v>
      </c>
      <c r="C2274" t="s">
        <v>14458</v>
      </c>
      <c r="D2274" t="s">
        <v>323</v>
      </c>
      <c r="E2274" t="s">
        <v>8528</v>
      </c>
      <c r="F2274" t="s">
        <v>28</v>
      </c>
      <c r="G2274" t="s">
        <v>8528</v>
      </c>
      <c r="H2274" t="str">
        <f>"F31F6.1"</f>
        <v>F31F6.1</v>
      </c>
      <c r="I2274" t="s">
        <v>323</v>
      </c>
      <c r="J2274" t="s">
        <v>29</v>
      </c>
      <c r="K2274" t="s">
        <v>29</v>
      </c>
      <c r="L2274" t="s">
        <v>29</v>
      </c>
      <c r="M2274" t="s">
        <v>29</v>
      </c>
      <c r="N2274" t="s">
        <v>29</v>
      </c>
      <c r="O2274" t="s">
        <v>29</v>
      </c>
      <c r="P2274" t="s">
        <v>29</v>
      </c>
      <c r="Q2274" t="s">
        <v>29</v>
      </c>
      <c r="R2274" t="s">
        <v>29</v>
      </c>
      <c r="S2274">
        <v>11.222992523784001</v>
      </c>
      <c r="T2274" t="s">
        <v>29</v>
      </c>
      <c r="U2274" t="s">
        <v>29</v>
      </c>
      <c r="V2274" t="s">
        <v>29</v>
      </c>
      <c r="W2274" t="s">
        <v>29</v>
      </c>
      <c r="X2274" t="s">
        <v>29</v>
      </c>
      <c r="Y2274" t="s">
        <v>29</v>
      </c>
    </row>
    <row r="2275" spans="1:25" x14ac:dyDescent="0.2">
      <c r="A2275" t="s">
        <v>8529</v>
      </c>
      <c r="B2275" t="s">
        <v>8530</v>
      </c>
      <c r="C2275" t="s">
        <v>8531</v>
      </c>
      <c r="D2275" t="s">
        <v>8532</v>
      </c>
      <c r="E2275" t="s">
        <v>8530</v>
      </c>
      <c r="F2275" t="s">
        <v>28</v>
      </c>
      <c r="G2275" t="s">
        <v>8530</v>
      </c>
      <c r="H2275" t="str">
        <f>"lsm-4"</f>
        <v>lsm-4</v>
      </c>
      <c r="I2275" t="s">
        <v>8532</v>
      </c>
      <c r="J2275">
        <v>12.909083083827699</v>
      </c>
      <c r="K2275">
        <v>12.360720397797699</v>
      </c>
      <c r="L2275" t="s">
        <v>29</v>
      </c>
      <c r="M2275" t="s">
        <v>29</v>
      </c>
      <c r="N2275" t="s">
        <v>29</v>
      </c>
      <c r="O2275">
        <v>12.3573748299345</v>
      </c>
      <c r="P2275">
        <v>-0.27752691087817799</v>
      </c>
      <c r="Q2275">
        <v>-1.4276813196781999</v>
      </c>
      <c r="R2275">
        <v>0.87262749792184702</v>
      </c>
      <c r="S2275">
        <v>11.884025541608301</v>
      </c>
      <c r="T2275">
        <v>-0.57233784939417798</v>
      </c>
      <c r="U2275">
        <v>-6.5738249293800397</v>
      </c>
      <c r="V2275">
        <v>0.58526199685968405</v>
      </c>
      <c r="W2275">
        <v>0.72226428171921697</v>
      </c>
      <c r="X2275">
        <v>0</v>
      </c>
      <c r="Y2275">
        <v>0</v>
      </c>
    </row>
    <row r="2276" spans="1:25" x14ac:dyDescent="0.2">
      <c r="A2276" t="s">
        <v>8533</v>
      </c>
      <c r="B2276" t="s">
        <v>8534</v>
      </c>
      <c r="C2276" t="s">
        <v>14459</v>
      </c>
      <c r="D2276" t="s">
        <v>8535</v>
      </c>
      <c r="E2276" t="s">
        <v>8534</v>
      </c>
      <c r="F2276" t="s">
        <v>28</v>
      </c>
      <c r="G2276" t="s">
        <v>8534</v>
      </c>
      <c r="H2276" t="str">
        <f>"F32D8.4"</f>
        <v>F32D8.4</v>
      </c>
      <c r="I2276" t="s">
        <v>8535</v>
      </c>
      <c r="J2276">
        <v>13.2107834055025</v>
      </c>
      <c r="K2276">
        <v>13.7208014434619</v>
      </c>
      <c r="L2276">
        <v>13.258586451609901</v>
      </c>
      <c r="M2276" t="s">
        <v>29</v>
      </c>
      <c r="N2276" t="s">
        <v>29</v>
      </c>
      <c r="O2276">
        <v>13.014923942565099</v>
      </c>
      <c r="P2276">
        <v>-0.38179982429299197</v>
      </c>
      <c r="Q2276">
        <v>-0.94171403397603504</v>
      </c>
      <c r="R2276">
        <v>0.17811438539005101</v>
      </c>
      <c r="S2276">
        <v>13.277846135481401</v>
      </c>
      <c r="T2276">
        <v>-1.4463179117540099</v>
      </c>
      <c r="U2276">
        <v>-5.7814565289476398</v>
      </c>
      <c r="V2276">
        <v>0.16751898618998801</v>
      </c>
      <c r="W2276">
        <v>0.31747810437420798</v>
      </c>
      <c r="X2276">
        <v>0</v>
      </c>
      <c r="Y2276">
        <v>0</v>
      </c>
    </row>
    <row r="2277" spans="1:25" x14ac:dyDescent="0.2">
      <c r="A2277" t="s">
        <v>8536</v>
      </c>
      <c r="B2277" t="s">
        <v>8537</v>
      </c>
      <c r="C2277" t="s">
        <v>8538</v>
      </c>
      <c r="D2277" t="s">
        <v>8539</v>
      </c>
      <c r="E2277" t="s">
        <v>8537</v>
      </c>
      <c r="F2277" t="s">
        <v>28</v>
      </c>
      <c r="G2277" t="s">
        <v>8537</v>
      </c>
      <c r="H2277" t="str">
        <f>"sec-61.G"</f>
        <v>sec-61.G</v>
      </c>
      <c r="I2277" t="s">
        <v>8539</v>
      </c>
      <c r="J2277">
        <v>13.5123519323185</v>
      </c>
      <c r="K2277">
        <v>14.399471657741699</v>
      </c>
      <c r="L2277">
        <v>14.5374665576593</v>
      </c>
      <c r="M2277">
        <v>15.353483361455901</v>
      </c>
      <c r="N2277">
        <v>15.054266238163001</v>
      </c>
      <c r="O2277">
        <v>15.805309669963901</v>
      </c>
      <c r="P2277">
        <v>1.2545897072877901</v>
      </c>
      <c r="Q2277">
        <v>0.532934725962531</v>
      </c>
      <c r="R2277">
        <v>1.97624468861305</v>
      </c>
      <c r="S2277">
        <v>14.537708812765</v>
      </c>
      <c r="T2277">
        <v>3.6539669903059799</v>
      </c>
      <c r="U2277">
        <v>-1.9323327933527801</v>
      </c>
      <c r="V2277">
        <v>1.8300966272035599E-3</v>
      </c>
      <c r="W2277">
        <v>1.3758405000941E-2</v>
      </c>
      <c r="X2277">
        <v>1</v>
      </c>
      <c r="Y2277">
        <v>1</v>
      </c>
    </row>
    <row r="2278" spans="1:25" x14ac:dyDescent="0.2">
      <c r="A2278" t="s">
        <v>8540</v>
      </c>
      <c r="B2278" t="s">
        <v>8541</v>
      </c>
      <c r="C2278" t="s">
        <v>8542</v>
      </c>
      <c r="D2278" t="s">
        <v>8543</v>
      </c>
      <c r="E2278" t="s">
        <v>8541</v>
      </c>
      <c r="F2278" t="s">
        <v>28</v>
      </c>
      <c r="G2278" t="s">
        <v>8541</v>
      </c>
      <c r="H2278" t="str">
        <f>"ima-3"</f>
        <v>ima-3</v>
      </c>
      <c r="I2278" t="s">
        <v>8543</v>
      </c>
      <c r="J2278">
        <v>16.255476680953201</v>
      </c>
      <c r="K2278">
        <v>16.318266709624201</v>
      </c>
      <c r="L2278">
        <v>16.325307718867101</v>
      </c>
      <c r="M2278">
        <v>16.046071690396602</v>
      </c>
      <c r="N2278">
        <v>17.0988138174277</v>
      </c>
      <c r="O2278">
        <v>16.977302840939799</v>
      </c>
      <c r="P2278">
        <v>0.40771241310659401</v>
      </c>
      <c r="Q2278">
        <v>-7.7288736225729293E-2</v>
      </c>
      <c r="R2278">
        <v>0.89271356243891797</v>
      </c>
      <c r="S2278">
        <v>16.352062882389198</v>
      </c>
      <c r="T2278">
        <v>1.7668662677082401</v>
      </c>
      <c r="U2278">
        <v>-5.64695019238874</v>
      </c>
      <c r="V2278">
        <v>9.4301206005895602E-2</v>
      </c>
      <c r="W2278">
        <v>0.20895161962358999</v>
      </c>
      <c r="X2278">
        <v>0</v>
      </c>
      <c r="Y2278">
        <v>0</v>
      </c>
    </row>
    <row r="2279" spans="1:25" x14ac:dyDescent="0.2">
      <c r="A2279" t="s">
        <v>8544</v>
      </c>
      <c r="B2279" t="s">
        <v>8545</v>
      </c>
      <c r="C2279" t="s">
        <v>8546</v>
      </c>
      <c r="D2279" t="s">
        <v>8547</v>
      </c>
      <c r="E2279" t="s">
        <v>8545</v>
      </c>
      <c r="F2279" t="s">
        <v>28</v>
      </c>
      <c r="G2279" t="s">
        <v>8545</v>
      </c>
      <c r="H2279" t="str">
        <f>"cec-4"</f>
        <v>cec-4</v>
      </c>
      <c r="I2279" t="s">
        <v>8547</v>
      </c>
      <c r="J2279">
        <v>10.7714048159953</v>
      </c>
      <c r="K2279" t="s">
        <v>29</v>
      </c>
      <c r="L2279">
        <v>10.756736470652401</v>
      </c>
      <c r="M2279" t="s">
        <v>29</v>
      </c>
      <c r="N2279" t="s">
        <v>29</v>
      </c>
      <c r="O2279">
        <v>10.608995996371601</v>
      </c>
      <c r="P2279">
        <v>-0.15507464695220499</v>
      </c>
      <c r="Q2279">
        <v>-0.86541043217090896</v>
      </c>
      <c r="R2279">
        <v>0.55526113826649903</v>
      </c>
      <c r="S2279">
        <v>11.5913101593767</v>
      </c>
      <c r="T2279">
        <v>-0.46856408777896003</v>
      </c>
      <c r="U2279">
        <v>-6.6393595522719204</v>
      </c>
      <c r="V2279">
        <v>0.64664729705713597</v>
      </c>
      <c r="W2279">
        <v>0.76563663496479695</v>
      </c>
      <c r="X2279">
        <v>0</v>
      </c>
      <c r="Y2279">
        <v>0</v>
      </c>
    </row>
    <row r="2280" spans="1:25" x14ac:dyDescent="0.2">
      <c r="A2280" t="s">
        <v>8548</v>
      </c>
      <c r="B2280" t="s">
        <v>8549</v>
      </c>
      <c r="C2280" t="s">
        <v>8550</v>
      </c>
      <c r="D2280" t="s">
        <v>3680</v>
      </c>
      <c r="E2280" t="s">
        <v>8549</v>
      </c>
      <c r="F2280" t="s">
        <v>28</v>
      </c>
      <c r="G2280" t="s">
        <v>8549</v>
      </c>
      <c r="H2280" t="str">
        <f>"cec-5"</f>
        <v>cec-5</v>
      </c>
      <c r="I2280" t="s">
        <v>3680</v>
      </c>
      <c r="J2280">
        <v>13.963365427567799</v>
      </c>
      <c r="K2280">
        <v>15.030845387482501</v>
      </c>
      <c r="L2280">
        <v>15.3090003240954</v>
      </c>
      <c r="M2280">
        <v>15.7970644676858</v>
      </c>
      <c r="N2280">
        <v>15.521015803212</v>
      </c>
      <c r="O2280">
        <v>14.5599746170996</v>
      </c>
      <c r="P2280">
        <v>0.52494791628388304</v>
      </c>
      <c r="Q2280">
        <v>-0.26659797592260298</v>
      </c>
      <c r="R2280">
        <v>1.3164938084903699</v>
      </c>
      <c r="S2280">
        <v>15.6141989929801</v>
      </c>
      <c r="T2280">
        <v>1.39390324748465</v>
      </c>
      <c r="U2280">
        <v>-6.1886028455953204</v>
      </c>
      <c r="V2280">
        <v>0.18041612064468199</v>
      </c>
      <c r="W2280">
        <v>0.33376416041423501</v>
      </c>
      <c r="X2280">
        <v>0</v>
      </c>
      <c r="Y2280">
        <v>0</v>
      </c>
    </row>
    <row r="2281" spans="1:25" x14ac:dyDescent="0.2">
      <c r="A2281" t="s">
        <v>8551</v>
      </c>
      <c r="B2281" t="s">
        <v>8552</v>
      </c>
      <c r="C2281" t="s">
        <v>8553</v>
      </c>
      <c r="D2281" t="s">
        <v>8554</v>
      </c>
      <c r="E2281" t="s">
        <v>8552</v>
      </c>
      <c r="F2281" t="s">
        <v>28</v>
      </c>
      <c r="G2281" t="s">
        <v>8552</v>
      </c>
      <c r="H2281" t="str">
        <f>"nol-10"</f>
        <v>nol-10</v>
      </c>
      <c r="I2281" t="s">
        <v>8554</v>
      </c>
      <c r="J2281">
        <v>12.1515905215656</v>
      </c>
      <c r="K2281">
        <v>12.093400980200199</v>
      </c>
      <c r="L2281">
        <v>12.426109126619201</v>
      </c>
      <c r="M2281" t="s">
        <v>29</v>
      </c>
      <c r="N2281">
        <v>11.888515009978899</v>
      </c>
      <c r="O2281">
        <v>11.227943276164501</v>
      </c>
      <c r="P2281">
        <v>-0.66547106638995102</v>
      </c>
      <c r="Q2281">
        <v>-1.1303764735059301</v>
      </c>
      <c r="R2281">
        <v>-0.20056565927396899</v>
      </c>
      <c r="S2281">
        <v>12.4716731016927</v>
      </c>
      <c r="T2281">
        <v>-3.0214443080356501</v>
      </c>
      <c r="U2281">
        <v>-3.2160012019233801</v>
      </c>
      <c r="V2281">
        <v>7.73520982387389E-3</v>
      </c>
      <c r="W2281">
        <v>3.79927722515939E-2</v>
      </c>
      <c r="X2281">
        <v>0</v>
      </c>
      <c r="Y2281">
        <v>0</v>
      </c>
    </row>
    <row r="2282" spans="1:25" x14ac:dyDescent="0.2">
      <c r="A2282" t="s">
        <v>8555</v>
      </c>
      <c r="B2282" t="s">
        <v>8556</v>
      </c>
      <c r="C2282" t="s">
        <v>14460</v>
      </c>
      <c r="D2282" t="s">
        <v>8557</v>
      </c>
      <c r="E2282" t="s">
        <v>8556</v>
      </c>
      <c r="F2282" t="s">
        <v>28</v>
      </c>
      <c r="G2282" t="s">
        <v>8556</v>
      </c>
      <c r="H2282" t="str">
        <f>"F33G12.3"</f>
        <v>F33G12.3</v>
      </c>
      <c r="I2282" t="s">
        <v>8557</v>
      </c>
      <c r="J2282">
        <v>12.471454706886099</v>
      </c>
      <c r="K2282">
        <v>12.572958841063301</v>
      </c>
      <c r="L2282">
        <v>12.093112967982099</v>
      </c>
      <c r="M2282" t="s">
        <v>29</v>
      </c>
      <c r="N2282">
        <v>12.232411004867201</v>
      </c>
      <c r="O2282">
        <v>12.8390255889102</v>
      </c>
      <c r="P2282">
        <v>0.156542791578172</v>
      </c>
      <c r="Q2282">
        <v>-0.45699502496508199</v>
      </c>
      <c r="R2282">
        <v>0.77008060812142598</v>
      </c>
      <c r="S2282">
        <v>12.526263758114601</v>
      </c>
      <c r="T2282">
        <v>0.53856949489286099</v>
      </c>
      <c r="U2282">
        <v>-6.8943090956921704</v>
      </c>
      <c r="V2282">
        <v>0.59720916511169597</v>
      </c>
      <c r="W2282">
        <v>0.73210291580040199</v>
      </c>
      <c r="X2282">
        <v>0</v>
      </c>
      <c r="Y2282">
        <v>0</v>
      </c>
    </row>
    <row r="2283" spans="1:25" x14ac:dyDescent="0.2">
      <c r="A2283" t="s">
        <v>8558</v>
      </c>
      <c r="B2283" t="s">
        <v>8559</v>
      </c>
      <c r="C2283" t="s">
        <v>14461</v>
      </c>
      <c r="D2283" t="s">
        <v>130</v>
      </c>
      <c r="E2283" t="s">
        <v>8559</v>
      </c>
      <c r="F2283" t="s">
        <v>28</v>
      </c>
      <c r="G2283" t="s">
        <v>8559</v>
      </c>
      <c r="H2283" t="str">
        <f>"F33H1.4"</f>
        <v>F33H1.4</v>
      </c>
      <c r="I2283" t="s">
        <v>130</v>
      </c>
      <c r="J2283" t="s">
        <v>29</v>
      </c>
      <c r="K2283" t="s">
        <v>29</v>
      </c>
      <c r="L2283">
        <v>12.2819969722749</v>
      </c>
      <c r="M2283" t="s">
        <v>29</v>
      </c>
      <c r="N2283" t="s">
        <v>29</v>
      </c>
      <c r="O2283" t="s">
        <v>29</v>
      </c>
      <c r="P2283" t="s">
        <v>29</v>
      </c>
      <c r="Q2283" t="s">
        <v>29</v>
      </c>
      <c r="R2283" t="s">
        <v>29</v>
      </c>
      <c r="S2283">
        <v>13.212882004881401</v>
      </c>
      <c r="T2283" t="s">
        <v>29</v>
      </c>
      <c r="U2283" t="s">
        <v>29</v>
      </c>
      <c r="V2283" t="s">
        <v>29</v>
      </c>
      <c r="W2283" t="s">
        <v>29</v>
      </c>
      <c r="X2283" t="s">
        <v>29</v>
      </c>
      <c r="Y2283" t="s">
        <v>29</v>
      </c>
    </row>
    <row r="2284" spans="1:25" x14ac:dyDescent="0.2">
      <c r="A2284" t="s">
        <v>8560</v>
      </c>
      <c r="B2284" t="s">
        <v>8561</v>
      </c>
      <c r="C2284" t="s">
        <v>14462</v>
      </c>
      <c r="D2284" t="s">
        <v>130</v>
      </c>
      <c r="E2284" t="s">
        <v>8561</v>
      </c>
      <c r="F2284" t="s">
        <v>28</v>
      </c>
      <c r="G2284" t="s">
        <v>8561</v>
      </c>
      <c r="H2284" t="str">
        <f>"F34D10.4"</f>
        <v>F34D10.4</v>
      </c>
      <c r="I2284" t="s">
        <v>130</v>
      </c>
      <c r="J2284">
        <v>13.0147144913378</v>
      </c>
      <c r="K2284">
        <v>13.050677390946699</v>
      </c>
      <c r="L2284">
        <v>13.408580090188099</v>
      </c>
      <c r="M2284" t="s">
        <v>29</v>
      </c>
      <c r="N2284">
        <v>12.1021201218756</v>
      </c>
      <c r="O2284">
        <v>11.714167149231599</v>
      </c>
      <c r="P2284">
        <v>-1.2498470219372799</v>
      </c>
      <c r="Q2284">
        <v>-1.9511140839955201</v>
      </c>
      <c r="R2284">
        <v>-0.54857995987903496</v>
      </c>
      <c r="S2284">
        <v>13.0926447734567</v>
      </c>
      <c r="T2284">
        <v>-3.7620401998874198</v>
      </c>
      <c r="U2284">
        <v>-1.6563851481602101</v>
      </c>
      <c r="V2284">
        <v>1.5683228432659901E-3</v>
      </c>
      <c r="W2284">
        <v>1.24578097549996E-2</v>
      </c>
      <c r="X2284">
        <v>-1</v>
      </c>
      <c r="Y2284">
        <v>-1</v>
      </c>
    </row>
    <row r="2285" spans="1:25" x14ac:dyDescent="0.2">
      <c r="A2285" t="s">
        <v>8562</v>
      </c>
      <c r="B2285" t="s">
        <v>8563</v>
      </c>
      <c r="C2285" t="s">
        <v>14463</v>
      </c>
      <c r="D2285" t="s">
        <v>319</v>
      </c>
      <c r="E2285" t="s">
        <v>8563</v>
      </c>
      <c r="F2285" t="s">
        <v>28</v>
      </c>
      <c r="G2285" t="s">
        <v>8563</v>
      </c>
      <c r="H2285" t="str">
        <f>"F10G7.5"</f>
        <v>F10G7.5</v>
      </c>
      <c r="I2285" t="s">
        <v>319</v>
      </c>
      <c r="J2285">
        <v>12.3940238463941</v>
      </c>
      <c r="K2285">
        <v>11.802148891227599</v>
      </c>
      <c r="L2285">
        <v>12.537250935060801</v>
      </c>
      <c r="M2285" t="s">
        <v>29</v>
      </c>
      <c r="N2285" t="s">
        <v>29</v>
      </c>
      <c r="O2285">
        <v>11.262851560618801</v>
      </c>
      <c r="P2285">
        <v>-0.98162299694208999</v>
      </c>
      <c r="Q2285">
        <v>-1.80231960622692</v>
      </c>
      <c r="R2285">
        <v>-0.160926387657259</v>
      </c>
      <c r="S2285">
        <v>12.3081162257833</v>
      </c>
      <c r="T2285">
        <v>-2.5369482884956902</v>
      </c>
      <c r="U2285">
        <v>-3.98119883654046</v>
      </c>
      <c r="V2285">
        <v>2.20544366002304E-2</v>
      </c>
      <c r="W2285">
        <v>7.8685744141499897E-2</v>
      </c>
      <c r="X2285">
        <v>0</v>
      </c>
      <c r="Y2285">
        <v>0</v>
      </c>
    </row>
    <row r="2286" spans="1:25" x14ac:dyDescent="0.2">
      <c r="A2286" t="s">
        <v>8564</v>
      </c>
      <c r="B2286" t="s">
        <v>8565</v>
      </c>
      <c r="C2286" t="s">
        <v>14464</v>
      </c>
      <c r="D2286" t="s">
        <v>8566</v>
      </c>
      <c r="E2286" t="s">
        <v>8565</v>
      </c>
      <c r="F2286" t="s">
        <v>28</v>
      </c>
      <c r="G2286" t="s">
        <v>8565</v>
      </c>
      <c r="H2286" t="str">
        <f>"D2021.4"</f>
        <v>D2021.4</v>
      </c>
      <c r="I2286" t="s">
        <v>8566</v>
      </c>
      <c r="J2286">
        <v>11.8389992757988</v>
      </c>
      <c r="K2286">
        <v>11.483928298671399</v>
      </c>
      <c r="L2286">
        <v>11.9611481926468</v>
      </c>
      <c r="M2286" t="s">
        <v>29</v>
      </c>
      <c r="N2286" t="s">
        <v>29</v>
      </c>
      <c r="O2286" t="s">
        <v>29</v>
      </c>
      <c r="P2286" t="s">
        <v>29</v>
      </c>
      <c r="Q2286" t="s">
        <v>29</v>
      </c>
      <c r="R2286" t="s">
        <v>29</v>
      </c>
      <c r="S2286">
        <v>11.557435636037701</v>
      </c>
      <c r="T2286" t="s">
        <v>29</v>
      </c>
      <c r="U2286" t="s">
        <v>29</v>
      </c>
      <c r="V2286" t="s">
        <v>29</v>
      </c>
      <c r="W2286" t="s">
        <v>29</v>
      </c>
      <c r="X2286" t="s">
        <v>29</v>
      </c>
      <c r="Y2286" t="s">
        <v>29</v>
      </c>
    </row>
    <row r="2287" spans="1:25" x14ac:dyDescent="0.2">
      <c r="A2287" t="s">
        <v>8567</v>
      </c>
      <c r="B2287" t="s">
        <v>8568</v>
      </c>
      <c r="C2287" t="s">
        <v>8569</v>
      </c>
      <c r="D2287" t="s">
        <v>8570</v>
      </c>
      <c r="E2287" t="s">
        <v>8568</v>
      </c>
      <c r="F2287" t="s">
        <v>28</v>
      </c>
      <c r="G2287" t="s">
        <v>8568</v>
      </c>
      <c r="H2287" t="str">
        <f>"rps-24"</f>
        <v>rps-24</v>
      </c>
      <c r="I2287" t="s">
        <v>8570</v>
      </c>
      <c r="J2287">
        <v>18.685152560784399</v>
      </c>
      <c r="K2287">
        <v>18.909484105060201</v>
      </c>
      <c r="L2287">
        <v>18.965408623928301</v>
      </c>
      <c r="M2287">
        <v>18.5277343210076</v>
      </c>
      <c r="N2287">
        <v>18.604436280115401</v>
      </c>
      <c r="O2287">
        <v>18.5191188384062</v>
      </c>
      <c r="P2287">
        <v>-0.30291861674790599</v>
      </c>
      <c r="Q2287">
        <v>-0.68061518254473097</v>
      </c>
      <c r="R2287">
        <v>7.4777949048918907E-2</v>
      </c>
      <c r="S2287">
        <v>18.769800792319302</v>
      </c>
      <c r="T2287">
        <v>-1.6856811955508799</v>
      </c>
      <c r="U2287">
        <v>-5.7729152463020501</v>
      </c>
      <c r="V2287">
        <v>0.109214497080067</v>
      </c>
      <c r="W2287">
        <v>0.230301116127302</v>
      </c>
      <c r="X2287">
        <v>0</v>
      </c>
      <c r="Y2287">
        <v>0</v>
      </c>
    </row>
    <row r="2288" spans="1:25" x14ac:dyDescent="0.2">
      <c r="A2288" t="s">
        <v>8571</v>
      </c>
      <c r="B2288" t="s">
        <v>8572</v>
      </c>
      <c r="C2288" t="s">
        <v>8573</v>
      </c>
      <c r="D2288" t="s">
        <v>8574</v>
      </c>
      <c r="E2288" t="s">
        <v>8572</v>
      </c>
      <c r="F2288" t="s">
        <v>28</v>
      </c>
      <c r="G2288" t="s">
        <v>8572</v>
      </c>
      <c r="H2288" t="str">
        <f>"sas-5"</f>
        <v>sas-5</v>
      </c>
      <c r="I2288" t="s">
        <v>8574</v>
      </c>
      <c r="J2288">
        <v>11.88901382907</v>
      </c>
      <c r="K2288">
        <v>12.4371464076176</v>
      </c>
      <c r="L2288">
        <v>12.1942763807209</v>
      </c>
      <c r="M2288" t="s">
        <v>29</v>
      </c>
      <c r="N2288" t="s">
        <v>29</v>
      </c>
      <c r="O2288">
        <v>12.7376979529603</v>
      </c>
      <c r="P2288">
        <v>0.56421908049077796</v>
      </c>
      <c r="Q2288">
        <v>-4.3295928276417799E-3</v>
      </c>
      <c r="R2288">
        <v>1.1327677538092</v>
      </c>
      <c r="S2288">
        <v>13.013080400243799</v>
      </c>
      <c r="T2288">
        <v>2.1643382307794301</v>
      </c>
      <c r="U2288">
        <v>-4.7018953755211204</v>
      </c>
      <c r="V2288">
        <v>5.15042942116948E-2</v>
      </c>
      <c r="W2288">
        <v>0.138868394365841</v>
      </c>
      <c r="X2288">
        <v>0</v>
      </c>
      <c r="Y2288">
        <v>0</v>
      </c>
    </row>
    <row r="2289" spans="1:25" x14ac:dyDescent="0.2">
      <c r="A2289" t="s">
        <v>8575</v>
      </c>
      <c r="B2289" t="s">
        <v>8576</v>
      </c>
      <c r="C2289" t="s">
        <v>8577</v>
      </c>
      <c r="D2289" t="s">
        <v>8578</v>
      </c>
      <c r="E2289" t="s">
        <v>8576</v>
      </c>
      <c r="F2289" t="s">
        <v>28</v>
      </c>
      <c r="G2289" t="s">
        <v>8576</v>
      </c>
      <c r="H2289" t="str">
        <f>"dhs-20"</f>
        <v>dhs-20</v>
      </c>
      <c r="I2289" t="s">
        <v>8578</v>
      </c>
      <c r="J2289">
        <v>15.0339239542334</v>
      </c>
      <c r="K2289">
        <v>14.7376120962995</v>
      </c>
      <c r="L2289">
        <v>14.3446120390853</v>
      </c>
      <c r="M2289" t="s">
        <v>29</v>
      </c>
      <c r="N2289">
        <v>14.4596898224751</v>
      </c>
      <c r="O2289">
        <v>14.5935925250787</v>
      </c>
      <c r="P2289">
        <v>-0.178741522762532</v>
      </c>
      <c r="Q2289">
        <v>-0.62069298792920002</v>
      </c>
      <c r="R2289">
        <v>0.26320994240413598</v>
      </c>
      <c r="S2289">
        <v>14.266591514644301</v>
      </c>
      <c r="T2289">
        <v>-0.85369136510690602</v>
      </c>
      <c r="U2289">
        <v>-6.6704765996254398</v>
      </c>
      <c r="V2289">
        <v>0.40521774017508899</v>
      </c>
      <c r="W2289">
        <v>0.57357189255330898</v>
      </c>
      <c r="X2289">
        <v>0</v>
      </c>
      <c r="Y2289">
        <v>0</v>
      </c>
    </row>
    <row r="2290" spans="1:25" x14ac:dyDescent="0.2">
      <c r="A2290" t="s">
        <v>8579</v>
      </c>
      <c r="B2290" t="s">
        <v>8580</v>
      </c>
      <c r="C2290" t="s">
        <v>8581</v>
      </c>
      <c r="D2290" t="s">
        <v>8582</v>
      </c>
      <c r="E2290" t="s">
        <v>8580</v>
      </c>
      <c r="F2290" t="s">
        <v>28</v>
      </c>
      <c r="G2290" t="s">
        <v>8580</v>
      </c>
      <c r="H2290" t="str">
        <f>"F35C8.5"</f>
        <v>F35C8.5</v>
      </c>
      <c r="I2290" t="s">
        <v>8582</v>
      </c>
      <c r="J2290">
        <v>14.038239870105899</v>
      </c>
      <c r="K2290">
        <v>14.2492020766219</v>
      </c>
      <c r="L2290">
        <v>14.083357914311</v>
      </c>
      <c r="M2290" t="s">
        <v>29</v>
      </c>
      <c r="N2290">
        <v>13.0676943909126</v>
      </c>
      <c r="O2290">
        <v>13.3593228290216</v>
      </c>
      <c r="P2290">
        <v>-0.91009134371248002</v>
      </c>
      <c r="Q2290">
        <v>-1.4508095644914201</v>
      </c>
      <c r="R2290">
        <v>-0.36937312293353802</v>
      </c>
      <c r="S2290">
        <v>14.0164108554793</v>
      </c>
      <c r="T2290">
        <v>-3.5527446356059098</v>
      </c>
      <c r="U2290">
        <v>-2.10283157542449</v>
      </c>
      <c r="V2290">
        <v>2.4672658456169399E-3</v>
      </c>
      <c r="W2290">
        <v>1.6831093627391502E-2</v>
      </c>
      <c r="X2290">
        <v>0</v>
      </c>
      <c r="Y2290">
        <v>0</v>
      </c>
    </row>
    <row r="2291" spans="1:25" x14ac:dyDescent="0.2">
      <c r="A2291" t="s">
        <v>8583</v>
      </c>
      <c r="B2291" t="s">
        <v>8584</v>
      </c>
      <c r="C2291" t="s">
        <v>14465</v>
      </c>
      <c r="D2291" t="s">
        <v>8585</v>
      </c>
      <c r="E2291" t="s">
        <v>8584</v>
      </c>
      <c r="F2291" t="s">
        <v>28</v>
      </c>
      <c r="G2291" t="s">
        <v>8584</v>
      </c>
      <c r="H2291" t="str">
        <f>"F35D11.4"</f>
        <v>F35D11.4</v>
      </c>
      <c r="I2291" t="s">
        <v>8585</v>
      </c>
      <c r="J2291">
        <v>16.670032797751801</v>
      </c>
      <c r="K2291" t="s">
        <v>29</v>
      </c>
      <c r="L2291" t="s">
        <v>29</v>
      </c>
      <c r="M2291" t="s">
        <v>29</v>
      </c>
      <c r="N2291">
        <v>18.5446956053053</v>
      </c>
      <c r="O2291" t="s">
        <v>29</v>
      </c>
      <c r="P2291">
        <v>1.8746628075535801</v>
      </c>
      <c r="Q2291">
        <v>-0.73805424844709799</v>
      </c>
      <c r="R2291">
        <v>4.4873798635542501</v>
      </c>
      <c r="S2291">
        <v>15.1178018714483</v>
      </c>
      <c r="T2291">
        <v>1.5810968600836901</v>
      </c>
      <c r="U2291">
        <v>-5.4084330640870801</v>
      </c>
      <c r="V2291">
        <v>0.14242957866761</v>
      </c>
      <c r="W2291">
        <v>0.28189386724879001</v>
      </c>
      <c r="X2291">
        <v>0</v>
      </c>
      <c r="Y2291">
        <v>0</v>
      </c>
    </row>
    <row r="2292" spans="1:25" x14ac:dyDescent="0.2">
      <c r="A2292" t="s">
        <v>8586</v>
      </c>
      <c r="B2292" t="s">
        <v>8587</v>
      </c>
      <c r="C2292" t="s">
        <v>8588</v>
      </c>
      <c r="D2292" t="s">
        <v>2334</v>
      </c>
      <c r="E2292" t="s">
        <v>8587</v>
      </c>
      <c r="F2292" t="s">
        <v>28</v>
      </c>
      <c r="G2292" t="s">
        <v>8587</v>
      </c>
      <c r="H2292" t="str">
        <f>"clec-139"</f>
        <v>clec-139</v>
      </c>
      <c r="I2292" t="s">
        <v>2334</v>
      </c>
      <c r="J2292">
        <v>12.9820510509314</v>
      </c>
      <c r="K2292">
        <v>17.196929098030999</v>
      </c>
      <c r="L2292" t="s">
        <v>29</v>
      </c>
      <c r="M2292">
        <v>16.036463471307702</v>
      </c>
      <c r="N2292">
        <v>14.892305113233</v>
      </c>
      <c r="O2292">
        <v>13.1733202169446</v>
      </c>
      <c r="P2292">
        <v>-0.38879380731942198</v>
      </c>
      <c r="Q2292">
        <v>-2.91136119651068</v>
      </c>
      <c r="R2292">
        <v>2.1337735818718402</v>
      </c>
      <c r="S2292">
        <v>13.6107255130211</v>
      </c>
      <c r="T2292">
        <v>-0.336141067050644</v>
      </c>
      <c r="U2292">
        <v>-6.9849748839107404</v>
      </c>
      <c r="V2292">
        <v>0.74261972384503905</v>
      </c>
      <c r="W2292">
        <v>0.83440287086106901</v>
      </c>
      <c r="X2292">
        <v>0</v>
      </c>
      <c r="Y2292">
        <v>0</v>
      </c>
    </row>
    <row r="2293" spans="1:25" x14ac:dyDescent="0.2">
      <c r="A2293" t="s">
        <v>8589</v>
      </c>
      <c r="B2293" t="s">
        <v>8590</v>
      </c>
      <c r="C2293" t="s">
        <v>8591</v>
      </c>
      <c r="D2293" t="s">
        <v>8592</v>
      </c>
      <c r="E2293" t="s">
        <v>8590</v>
      </c>
      <c r="F2293" t="s">
        <v>28</v>
      </c>
      <c r="G2293" t="s">
        <v>8590</v>
      </c>
      <c r="H2293" t="str">
        <f>"mlcd-1"</f>
        <v>mlcd-1</v>
      </c>
      <c r="I2293" t="s">
        <v>8592</v>
      </c>
      <c r="J2293">
        <v>14.056774565879</v>
      </c>
      <c r="K2293">
        <v>14.3215042641694</v>
      </c>
      <c r="L2293">
        <v>13.6367805119992</v>
      </c>
      <c r="M2293" t="s">
        <v>29</v>
      </c>
      <c r="N2293">
        <v>14.274742325422899</v>
      </c>
      <c r="O2293">
        <v>14.213136943488101</v>
      </c>
      <c r="P2293">
        <v>0.238919853772982</v>
      </c>
      <c r="Q2293">
        <v>-0.366121867745275</v>
      </c>
      <c r="R2293">
        <v>0.84396157529123905</v>
      </c>
      <c r="S2293">
        <v>13.662688299460701</v>
      </c>
      <c r="T2293">
        <v>0.83756100048190196</v>
      </c>
      <c r="U2293">
        <v>-6.6834204092591802</v>
      </c>
      <c r="V2293">
        <v>0.41469405608576498</v>
      </c>
      <c r="W2293">
        <v>0.58195399204035703</v>
      </c>
      <c r="X2293">
        <v>0</v>
      </c>
      <c r="Y2293">
        <v>0</v>
      </c>
    </row>
    <row r="2294" spans="1:25" x14ac:dyDescent="0.2">
      <c r="A2294" t="s">
        <v>8593</v>
      </c>
      <c r="B2294" t="s">
        <v>8594</v>
      </c>
      <c r="C2294" t="s">
        <v>8595</v>
      </c>
      <c r="D2294" t="s">
        <v>8596</v>
      </c>
      <c r="E2294" t="s">
        <v>8594</v>
      </c>
      <c r="F2294" t="s">
        <v>28</v>
      </c>
      <c r="G2294" t="s">
        <v>8594</v>
      </c>
      <c r="H2294" t="str">
        <f>"idhg-1"</f>
        <v>idhg-1</v>
      </c>
      <c r="I2294" t="s">
        <v>8596</v>
      </c>
      <c r="J2294">
        <v>13.279787778586799</v>
      </c>
      <c r="K2294">
        <v>13.2268797601873</v>
      </c>
      <c r="L2294">
        <v>13.230118869960901</v>
      </c>
      <c r="M2294">
        <v>13.2790257464888</v>
      </c>
      <c r="N2294">
        <v>13.9085666068733</v>
      </c>
      <c r="O2294">
        <v>13.1903822368227</v>
      </c>
      <c r="P2294">
        <v>0.21372939381661399</v>
      </c>
      <c r="Q2294">
        <v>-0.53436713884716003</v>
      </c>
      <c r="R2294">
        <v>0.961825926480388</v>
      </c>
      <c r="S2294">
        <v>13.362078554402</v>
      </c>
      <c r="T2294">
        <v>0.60048079950898603</v>
      </c>
      <c r="U2294">
        <v>-6.9689660756952003</v>
      </c>
      <c r="V2294">
        <v>0.55571520349331005</v>
      </c>
      <c r="W2294">
        <v>0.69880954521027905</v>
      </c>
      <c r="X2294">
        <v>0</v>
      </c>
      <c r="Y2294">
        <v>0</v>
      </c>
    </row>
    <row r="2295" spans="1:25" x14ac:dyDescent="0.2">
      <c r="A2295" t="s">
        <v>8597</v>
      </c>
      <c r="B2295" t="s">
        <v>8598</v>
      </c>
      <c r="C2295" t="s">
        <v>8599</v>
      </c>
      <c r="D2295" t="s">
        <v>8600</v>
      </c>
      <c r="E2295" t="s">
        <v>8598</v>
      </c>
      <c r="F2295" t="s">
        <v>28</v>
      </c>
      <c r="G2295" t="s">
        <v>8598</v>
      </c>
      <c r="H2295" t="str">
        <f>"asb-1"</f>
        <v>asb-1</v>
      </c>
      <c r="I2295" t="s">
        <v>8600</v>
      </c>
      <c r="J2295">
        <v>15.0710860439786</v>
      </c>
      <c r="K2295">
        <v>14.4102487464733</v>
      </c>
      <c r="L2295">
        <v>14.8462071013396</v>
      </c>
      <c r="M2295" t="s">
        <v>29</v>
      </c>
      <c r="N2295">
        <v>15.1614596897032</v>
      </c>
      <c r="O2295">
        <v>15.2914351037695</v>
      </c>
      <c r="P2295">
        <v>0.45060009947250301</v>
      </c>
      <c r="Q2295">
        <v>-7.3196524543942904E-2</v>
      </c>
      <c r="R2295">
        <v>0.97439672348894801</v>
      </c>
      <c r="S2295">
        <v>14.725735888130499</v>
      </c>
      <c r="T2295">
        <v>1.8158442763248099</v>
      </c>
      <c r="U2295">
        <v>-5.4632711025440104</v>
      </c>
      <c r="V2295">
        <v>8.7183133016242503E-2</v>
      </c>
      <c r="W2295">
        <v>0.197941982279558</v>
      </c>
      <c r="X2295">
        <v>0</v>
      </c>
      <c r="Y2295">
        <v>0</v>
      </c>
    </row>
    <row r="2296" spans="1:25" x14ac:dyDescent="0.2">
      <c r="A2296" t="s">
        <v>8601</v>
      </c>
      <c r="B2296" t="s">
        <v>8602</v>
      </c>
      <c r="C2296" t="s">
        <v>8603</v>
      </c>
      <c r="D2296" t="s">
        <v>8604</v>
      </c>
      <c r="E2296" t="s">
        <v>8602</v>
      </c>
      <c r="F2296" t="s">
        <v>28</v>
      </c>
      <c r="G2296" t="s">
        <v>8602</v>
      </c>
      <c r="H2296" t="str">
        <f>"mab-21"</f>
        <v>mab-21</v>
      </c>
      <c r="I2296" t="s">
        <v>8604</v>
      </c>
      <c r="J2296">
        <v>11.5957432570018</v>
      </c>
      <c r="K2296" t="s">
        <v>29</v>
      </c>
      <c r="L2296">
        <v>9.9154819430485706</v>
      </c>
      <c r="M2296" t="s">
        <v>29</v>
      </c>
      <c r="N2296" t="s">
        <v>29</v>
      </c>
      <c r="O2296">
        <v>9.7084627391629095</v>
      </c>
      <c r="P2296">
        <v>-1.04714986086225</v>
      </c>
      <c r="Q2296">
        <v>-2.5971281264480099</v>
      </c>
      <c r="R2296">
        <v>0.50282840472351598</v>
      </c>
      <c r="S2296">
        <v>10.656793074265099</v>
      </c>
      <c r="T2296">
        <v>-1.60245833050918</v>
      </c>
      <c r="U2296">
        <v>-5.52437834848722</v>
      </c>
      <c r="V2296">
        <v>0.15373885962612599</v>
      </c>
      <c r="W2296">
        <v>0.298660790585493</v>
      </c>
      <c r="X2296">
        <v>0</v>
      </c>
      <c r="Y2296">
        <v>0</v>
      </c>
    </row>
    <row r="2297" spans="1:25" x14ac:dyDescent="0.2">
      <c r="A2297" t="s">
        <v>8605</v>
      </c>
      <c r="B2297" t="s">
        <v>8606</v>
      </c>
      <c r="C2297" t="s">
        <v>8607</v>
      </c>
      <c r="D2297" t="s">
        <v>8608</v>
      </c>
      <c r="E2297" t="s">
        <v>8606</v>
      </c>
      <c r="F2297" t="s">
        <v>28</v>
      </c>
      <c r="G2297" t="s">
        <v>8606</v>
      </c>
      <c r="H2297" t="str">
        <f>"erh-2"</f>
        <v>erh-2</v>
      </c>
      <c r="I2297" t="s">
        <v>8608</v>
      </c>
      <c r="J2297" t="s">
        <v>29</v>
      </c>
      <c r="K2297" t="s">
        <v>29</v>
      </c>
      <c r="L2297" t="s">
        <v>29</v>
      </c>
      <c r="M2297" t="s">
        <v>29</v>
      </c>
      <c r="N2297" t="s">
        <v>29</v>
      </c>
      <c r="O2297" t="s">
        <v>29</v>
      </c>
      <c r="P2297" t="s">
        <v>29</v>
      </c>
      <c r="Q2297" t="s">
        <v>29</v>
      </c>
      <c r="R2297" t="s">
        <v>29</v>
      </c>
      <c r="S2297">
        <v>11.8018180292047</v>
      </c>
      <c r="T2297" t="s">
        <v>29</v>
      </c>
      <c r="U2297" t="s">
        <v>29</v>
      </c>
      <c r="V2297" t="s">
        <v>29</v>
      </c>
      <c r="W2297" t="s">
        <v>29</v>
      </c>
      <c r="X2297" t="s">
        <v>29</v>
      </c>
      <c r="Y2297" t="s">
        <v>29</v>
      </c>
    </row>
    <row r="2298" spans="1:25" x14ac:dyDescent="0.2">
      <c r="A2298" t="s">
        <v>8609</v>
      </c>
      <c r="B2298" t="s">
        <v>8610</v>
      </c>
      <c r="C2298" t="s">
        <v>14466</v>
      </c>
      <c r="D2298" t="s">
        <v>8611</v>
      </c>
      <c r="E2298" t="s">
        <v>8610</v>
      </c>
      <c r="F2298" t="s">
        <v>28</v>
      </c>
      <c r="G2298" t="s">
        <v>8610</v>
      </c>
      <c r="H2298" t="str">
        <f>"F35G12.12"</f>
        <v>F35G12.12</v>
      </c>
      <c r="I2298" t="s">
        <v>8611</v>
      </c>
      <c r="J2298">
        <v>13.442768941167399</v>
      </c>
      <c r="K2298">
        <v>13.1518654567023</v>
      </c>
      <c r="L2298">
        <v>13.5041647821966</v>
      </c>
      <c r="M2298" t="s">
        <v>29</v>
      </c>
      <c r="N2298" t="s">
        <v>29</v>
      </c>
      <c r="O2298">
        <v>13.7497867295797</v>
      </c>
      <c r="P2298">
        <v>0.383520336224283</v>
      </c>
      <c r="Q2298">
        <v>-0.467926435503213</v>
      </c>
      <c r="R2298">
        <v>1.2349671079517801</v>
      </c>
      <c r="S2298">
        <v>13.9110832034286</v>
      </c>
      <c r="T2298">
        <v>0.95538941221746798</v>
      </c>
      <c r="U2298">
        <v>-6.3467687750444997</v>
      </c>
      <c r="V2298">
        <v>0.35368638536793001</v>
      </c>
      <c r="W2298">
        <v>0.52368658435834103</v>
      </c>
      <c r="X2298">
        <v>0</v>
      </c>
      <c r="Y2298">
        <v>0</v>
      </c>
    </row>
    <row r="2299" spans="1:25" x14ac:dyDescent="0.2">
      <c r="A2299" t="s">
        <v>8612</v>
      </c>
      <c r="B2299" t="s">
        <v>8613</v>
      </c>
      <c r="C2299" t="s">
        <v>8614</v>
      </c>
      <c r="D2299" t="s">
        <v>8615</v>
      </c>
      <c r="E2299" t="s">
        <v>8613</v>
      </c>
      <c r="F2299" t="s">
        <v>28</v>
      </c>
      <c r="G2299" t="s">
        <v>8613</v>
      </c>
      <c r="H2299" t="str">
        <f>"wdr-48"</f>
        <v>wdr-48</v>
      </c>
      <c r="I2299" t="s">
        <v>8615</v>
      </c>
      <c r="J2299" t="s">
        <v>29</v>
      </c>
      <c r="K2299" t="s">
        <v>29</v>
      </c>
      <c r="L2299" t="s">
        <v>29</v>
      </c>
      <c r="M2299" t="s">
        <v>29</v>
      </c>
      <c r="N2299" t="s">
        <v>29</v>
      </c>
      <c r="O2299" t="s">
        <v>29</v>
      </c>
      <c r="P2299" t="s">
        <v>29</v>
      </c>
      <c r="Q2299" t="s">
        <v>29</v>
      </c>
      <c r="R2299" t="s">
        <v>29</v>
      </c>
      <c r="S2299">
        <v>13.310380943836099</v>
      </c>
      <c r="T2299" t="s">
        <v>29</v>
      </c>
      <c r="U2299" t="s">
        <v>29</v>
      </c>
      <c r="V2299" t="s">
        <v>29</v>
      </c>
      <c r="W2299" t="s">
        <v>29</v>
      </c>
      <c r="X2299" t="s">
        <v>29</v>
      </c>
      <c r="Y2299" t="s">
        <v>29</v>
      </c>
    </row>
    <row r="2300" spans="1:25" x14ac:dyDescent="0.2">
      <c r="A2300" t="s">
        <v>8616</v>
      </c>
      <c r="B2300" t="s">
        <v>8617</v>
      </c>
      <c r="C2300" t="s">
        <v>8618</v>
      </c>
      <c r="D2300" t="s">
        <v>8619</v>
      </c>
      <c r="E2300" t="s">
        <v>8617</v>
      </c>
      <c r="F2300" t="s">
        <v>28</v>
      </c>
      <c r="G2300" t="s">
        <v>8617</v>
      </c>
      <c r="H2300" t="str">
        <f>"smc-4"</f>
        <v>smc-4</v>
      </c>
      <c r="I2300" t="s">
        <v>8619</v>
      </c>
      <c r="J2300">
        <v>13.8411252756907</v>
      </c>
      <c r="K2300">
        <v>13.2077728874714</v>
      </c>
      <c r="L2300">
        <v>13.5544818927007</v>
      </c>
      <c r="M2300">
        <v>16.726530377272599</v>
      </c>
      <c r="N2300">
        <v>14.123202853671399</v>
      </c>
      <c r="O2300">
        <v>14.054741671850699</v>
      </c>
      <c r="P2300">
        <v>1.4336982823106199</v>
      </c>
      <c r="Q2300">
        <v>0.45686789484845303</v>
      </c>
      <c r="R2300">
        <v>2.4105286697727899</v>
      </c>
      <c r="S2300">
        <v>14.1474042336712</v>
      </c>
      <c r="T2300">
        <v>3.0848291549518398</v>
      </c>
      <c r="U2300">
        <v>-3.1575145618810301</v>
      </c>
      <c r="V2300">
        <v>6.4204340853385401E-3</v>
      </c>
      <c r="W2300">
        <v>3.3582410732508297E-2</v>
      </c>
      <c r="X2300">
        <v>1</v>
      </c>
      <c r="Y2300">
        <v>1</v>
      </c>
    </row>
    <row r="2301" spans="1:25" x14ac:dyDescent="0.2">
      <c r="A2301" t="s">
        <v>8620</v>
      </c>
      <c r="B2301" t="s">
        <v>8621</v>
      </c>
      <c r="C2301" t="s">
        <v>8622</v>
      </c>
      <c r="D2301" t="s">
        <v>8623</v>
      </c>
      <c r="E2301" t="s">
        <v>8621</v>
      </c>
      <c r="F2301" t="s">
        <v>28</v>
      </c>
      <c r="G2301" t="s">
        <v>8621</v>
      </c>
      <c r="H2301" t="str">
        <f>"phy-2"</f>
        <v>phy-2</v>
      </c>
      <c r="I2301" t="s">
        <v>8623</v>
      </c>
      <c r="J2301">
        <v>15.4757936556205</v>
      </c>
      <c r="K2301">
        <v>14.942649843088001</v>
      </c>
      <c r="L2301">
        <v>15.2535145299529</v>
      </c>
      <c r="M2301">
        <v>14.264158741520401</v>
      </c>
      <c r="N2301">
        <v>14.319495265386999</v>
      </c>
      <c r="O2301">
        <v>14.8265480431092</v>
      </c>
      <c r="P2301">
        <v>-0.75391865954829695</v>
      </c>
      <c r="Q2301">
        <v>-1.28687412847861</v>
      </c>
      <c r="R2301">
        <v>-0.220963190617982</v>
      </c>
      <c r="S2301">
        <v>14.559434850028</v>
      </c>
      <c r="T2301">
        <v>-2.9732134059689099</v>
      </c>
      <c r="U2301">
        <v>-3.3913645114667501</v>
      </c>
      <c r="V2301">
        <v>8.1836747113772194E-3</v>
      </c>
      <c r="W2301">
        <v>3.94718320367081E-2</v>
      </c>
      <c r="X2301">
        <v>0</v>
      </c>
      <c r="Y2301">
        <v>0</v>
      </c>
    </row>
    <row r="2302" spans="1:25" x14ac:dyDescent="0.2">
      <c r="A2302" t="s">
        <v>8624</v>
      </c>
      <c r="B2302" t="s">
        <v>8625</v>
      </c>
      <c r="C2302" t="s">
        <v>8626</v>
      </c>
      <c r="D2302" t="s">
        <v>8627</v>
      </c>
      <c r="E2302" t="s">
        <v>8625</v>
      </c>
      <c r="F2302" t="s">
        <v>28</v>
      </c>
      <c r="G2302" t="s">
        <v>8625</v>
      </c>
      <c r="H2302" t="str">
        <f>"nprl-3"</f>
        <v>nprl-3</v>
      </c>
      <c r="I2302" t="s">
        <v>8627</v>
      </c>
      <c r="J2302">
        <v>10.1018611835631</v>
      </c>
      <c r="K2302" t="s">
        <v>29</v>
      </c>
      <c r="L2302" t="s">
        <v>29</v>
      </c>
      <c r="M2302" t="s">
        <v>29</v>
      </c>
      <c r="N2302" t="s">
        <v>29</v>
      </c>
      <c r="O2302" t="s">
        <v>29</v>
      </c>
      <c r="P2302" t="s">
        <v>29</v>
      </c>
      <c r="Q2302" t="s">
        <v>29</v>
      </c>
      <c r="R2302" t="s">
        <v>29</v>
      </c>
      <c r="S2302">
        <v>11.939623460759</v>
      </c>
      <c r="T2302" t="s">
        <v>29</v>
      </c>
      <c r="U2302" t="s">
        <v>29</v>
      </c>
      <c r="V2302" t="s">
        <v>29</v>
      </c>
      <c r="W2302" t="s">
        <v>29</v>
      </c>
      <c r="X2302" t="s">
        <v>29</v>
      </c>
      <c r="Y2302" t="s">
        <v>29</v>
      </c>
    </row>
    <row r="2303" spans="1:25" x14ac:dyDescent="0.2">
      <c r="A2303" t="s">
        <v>8628</v>
      </c>
      <c r="B2303" t="s">
        <v>8629</v>
      </c>
      <c r="C2303" t="s">
        <v>8630</v>
      </c>
      <c r="D2303" t="s">
        <v>8631</v>
      </c>
      <c r="E2303" t="s">
        <v>8629</v>
      </c>
      <c r="F2303" t="s">
        <v>28</v>
      </c>
      <c r="G2303" t="s">
        <v>8629</v>
      </c>
      <c r="H2303" t="str">
        <f>"pifk-1"</f>
        <v>pifk-1</v>
      </c>
      <c r="I2303" t="s">
        <v>8631</v>
      </c>
      <c r="J2303">
        <v>11.0561894321312</v>
      </c>
      <c r="K2303">
        <v>10.9496425991794</v>
      </c>
      <c r="L2303">
        <v>11.580942302842899</v>
      </c>
      <c r="M2303" t="s">
        <v>29</v>
      </c>
      <c r="N2303">
        <v>11.776154765256599</v>
      </c>
      <c r="O2303">
        <v>12.245989623579099</v>
      </c>
      <c r="P2303">
        <v>0.81548074969998097</v>
      </c>
      <c r="Q2303">
        <v>0.13921078416271401</v>
      </c>
      <c r="R2303">
        <v>1.49175071523725</v>
      </c>
      <c r="S2303">
        <v>11.362091784247401</v>
      </c>
      <c r="T2303">
        <v>2.5453272478212998</v>
      </c>
      <c r="U2303">
        <v>-4.1666703397667897</v>
      </c>
      <c r="V2303">
        <v>2.0978768119825599E-2</v>
      </c>
      <c r="W2303">
        <v>7.5951387775339094E-2</v>
      </c>
      <c r="X2303">
        <v>0</v>
      </c>
      <c r="Y2303">
        <v>0</v>
      </c>
    </row>
    <row r="2304" spans="1:25" x14ac:dyDescent="0.2">
      <c r="A2304" t="s">
        <v>8632</v>
      </c>
      <c r="B2304" t="s">
        <v>8633</v>
      </c>
      <c r="C2304" t="s">
        <v>8634</v>
      </c>
      <c r="D2304" t="s">
        <v>8635</v>
      </c>
      <c r="E2304" t="s">
        <v>8633</v>
      </c>
      <c r="F2304" t="s">
        <v>28</v>
      </c>
      <c r="G2304" t="s">
        <v>8633</v>
      </c>
      <c r="H2304" t="str">
        <f>"ugt-58"</f>
        <v>ugt-58</v>
      </c>
      <c r="I2304" t="s">
        <v>8635</v>
      </c>
      <c r="J2304">
        <v>13.370297517992199</v>
      </c>
      <c r="K2304">
        <v>12.2977998388853</v>
      </c>
      <c r="L2304">
        <v>13.0861319079187</v>
      </c>
      <c r="M2304">
        <v>13.438569319385399</v>
      </c>
      <c r="N2304">
        <v>12.836678821895999</v>
      </c>
      <c r="O2304">
        <v>12.5617977725865</v>
      </c>
      <c r="P2304">
        <v>2.7605549690601801E-2</v>
      </c>
      <c r="Q2304">
        <v>-0.62115619491996499</v>
      </c>
      <c r="R2304">
        <v>0.67636729430116804</v>
      </c>
      <c r="S2304">
        <v>12.6952735322112</v>
      </c>
      <c r="T2304">
        <v>8.9434210911600795E-2</v>
      </c>
      <c r="U2304">
        <v>-7.1521054861982201</v>
      </c>
      <c r="V2304">
        <v>0.92973019094957399</v>
      </c>
      <c r="W2304">
        <v>0.95951134265920401</v>
      </c>
      <c r="X2304">
        <v>0</v>
      </c>
      <c r="Y2304">
        <v>0</v>
      </c>
    </row>
    <row r="2305" spans="1:25" x14ac:dyDescent="0.2">
      <c r="A2305" t="s">
        <v>8636</v>
      </c>
      <c r="B2305" t="s">
        <v>8637</v>
      </c>
      <c r="C2305" t="s">
        <v>8638</v>
      </c>
      <c r="D2305" t="s">
        <v>8639</v>
      </c>
      <c r="E2305" t="s">
        <v>8637</v>
      </c>
      <c r="F2305" t="s">
        <v>28</v>
      </c>
      <c r="G2305" t="s">
        <v>8637</v>
      </c>
      <c r="H2305" t="str">
        <f>"hrg-4"</f>
        <v>hrg-4</v>
      </c>
      <c r="I2305" t="s">
        <v>8639</v>
      </c>
      <c r="J2305">
        <v>13.890380502597599</v>
      </c>
      <c r="K2305">
        <v>14.096812948244599</v>
      </c>
      <c r="L2305">
        <v>13.9450373494884</v>
      </c>
      <c r="M2305" t="s">
        <v>29</v>
      </c>
      <c r="N2305">
        <v>14.0895472958199</v>
      </c>
      <c r="O2305">
        <v>14.2731883902864</v>
      </c>
      <c r="P2305">
        <v>0.20395757627623801</v>
      </c>
      <c r="Q2305">
        <v>-0.298929026426488</v>
      </c>
      <c r="R2305">
        <v>0.70684417897896501</v>
      </c>
      <c r="S2305">
        <v>13.571952151816999</v>
      </c>
      <c r="T2305">
        <v>0.856090720767262</v>
      </c>
      <c r="U2305">
        <v>-6.6684102506086198</v>
      </c>
      <c r="V2305">
        <v>0.40392636247704899</v>
      </c>
      <c r="W2305">
        <v>0.57269646297621501</v>
      </c>
      <c r="X2305">
        <v>0</v>
      </c>
      <c r="Y2305">
        <v>0</v>
      </c>
    </row>
    <row r="2306" spans="1:25" x14ac:dyDescent="0.2">
      <c r="A2306" t="s">
        <v>8640</v>
      </c>
      <c r="B2306" t="s">
        <v>8641</v>
      </c>
      <c r="C2306" t="s">
        <v>8642</v>
      </c>
      <c r="D2306" t="s">
        <v>8643</v>
      </c>
      <c r="E2306" t="s">
        <v>8641</v>
      </c>
      <c r="F2306" t="s">
        <v>28</v>
      </c>
      <c r="G2306" t="s">
        <v>8641</v>
      </c>
      <c r="H2306" t="str">
        <f>"gcs-1"</f>
        <v>gcs-1</v>
      </c>
      <c r="I2306" t="s">
        <v>8643</v>
      </c>
      <c r="J2306">
        <v>13.914772591357</v>
      </c>
      <c r="K2306">
        <v>13.7871035494961</v>
      </c>
      <c r="L2306">
        <v>13.7087102529149</v>
      </c>
      <c r="M2306" t="s">
        <v>29</v>
      </c>
      <c r="N2306">
        <v>14.055082167663199</v>
      </c>
      <c r="O2306">
        <v>14.285363295322901</v>
      </c>
      <c r="P2306">
        <v>0.36669393357038299</v>
      </c>
      <c r="Q2306">
        <v>-4.97352684609811E-2</v>
      </c>
      <c r="R2306">
        <v>0.78312313560174796</v>
      </c>
      <c r="S2306">
        <v>13.7486270252959</v>
      </c>
      <c r="T2306">
        <v>1.85871396384508</v>
      </c>
      <c r="U2306">
        <v>-5.3943592180792299</v>
      </c>
      <c r="V2306">
        <v>8.0577504486384302E-2</v>
      </c>
      <c r="W2306">
        <v>0.18830916644092999</v>
      </c>
      <c r="X2306">
        <v>0</v>
      </c>
      <c r="Y2306">
        <v>0</v>
      </c>
    </row>
    <row r="2307" spans="1:25" x14ac:dyDescent="0.2">
      <c r="A2307" t="s">
        <v>8644</v>
      </c>
      <c r="B2307" t="s">
        <v>8645</v>
      </c>
      <c r="C2307" t="s">
        <v>8646</v>
      </c>
      <c r="D2307" t="s">
        <v>8647</v>
      </c>
      <c r="E2307" t="s">
        <v>8645</v>
      </c>
      <c r="F2307" t="s">
        <v>28</v>
      </c>
      <c r="G2307" t="s">
        <v>8645</v>
      </c>
      <c r="H2307" t="str">
        <f>"acs-4"</f>
        <v>acs-4</v>
      </c>
      <c r="I2307" t="s">
        <v>8647</v>
      </c>
      <c r="J2307">
        <v>17.861264737707099</v>
      </c>
      <c r="K2307">
        <v>17.510712501189499</v>
      </c>
      <c r="L2307">
        <v>17.732091004609099</v>
      </c>
      <c r="M2307">
        <v>16.6547772478357</v>
      </c>
      <c r="N2307">
        <v>17.3817688250952</v>
      </c>
      <c r="O2307">
        <v>17.608118078484399</v>
      </c>
      <c r="P2307">
        <v>-0.486468030696805</v>
      </c>
      <c r="Q2307">
        <v>-0.91847325323851603</v>
      </c>
      <c r="R2307">
        <v>-5.4462808155094501E-2</v>
      </c>
      <c r="S2307">
        <v>17.495289975103201</v>
      </c>
      <c r="T2307">
        <v>-2.3667796202757501</v>
      </c>
      <c r="U2307">
        <v>-4.6010188423222997</v>
      </c>
      <c r="V2307">
        <v>2.9429226828740301E-2</v>
      </c>
      <c r="W2307">
        <v>9.56206521105816E-2</v>
      </c>
      <c r="X2307">
        <v>0</v>
      </c>
      <c r="Y2307">
        <v>0</v>
      </c>
    </row>
    <row r="2308" spans="1:25" x14ac:dyDescent="0.2">
      <c r="A2308" t="s">
        <v>8648</v>
      </c>
      <c r="B2308" t="s">
        <v>8649</v>
      </c>
      <c r="C2308" t="s">
        <v>8650</v>
      </c>
      <c r="D2308" t="s">
        <v>8651</v>
      </c>
      <c r="E2308" t="s">
        <v>8649</v>
      </c>
      <c r="F2308" t="s">
        <v>28</v>
      </c>
      <c r="G2308" t="s">
        <v>8649</v>
      </c>
      <c r="H2308" t="str">
        <f>"epg-4"</f>
        <v>epg-4</v>
      </c>
      <c r="I2308" t="s">
        <v>8651</v>
      </c>
      <c r="J2308">
        <v>12.1960673700718</v>
      </c>
      <c r="K2308">
        <v>12.093878560502</v>
      </c>
      <c r="L2308">
        <v>12.185822916506201</v>
      </c>
      <c r="M2308" t="s">
        <v>29</v>
      </c>
      <c r="N2308">
        <v>12.3774403225536</v>
      </c>
      <c r="O2308">
        <v>11.893672790643899</v>
      </c>
      <c r="P2308">
        <v>-2.3033059094522901E-2</v>
      </c>
      <c r="Q2308">
        <v>-0.51876264768790903</v>
      </c>
      <c r="R2308">
        <v>0.47269652949886398</v>
      </c>
      <c r="S2308">
        <v>12.476713949903599</v>
      </c>
      <c r="T2308">
        <v>-9.8074656020361403E-2</v>
      </c>
      <c r="U2308">
        <v>-7.0404203752544898</v>
      </c>
      <c r="V2308">
        <v>0.92302717279706303</v>
      </c>
      <c r="W2308">
        <v>0.95578393472696599</v>
      </c>
      <c r="X2308">
        <v>0</v>
      </c>
      <c r="Y2308">
        <v>0</v>
      </c>
    </row>
    <row r="2309" spans="1:25" x14ac:dyDescent="0.2">
      <c r="A2309" t="s">
        <v>8652</v>
      </c>
      <c r="B2309" t="s">
        <v>8653</v>
      </c>
      <c r="C2309" t="s">
        <v>8654</v>
      </c>
      <c r="D2309" t="s">
        <v>8655</v>
      </c>
      <c r="E2309" t="s">
        <v>8653</v>
      </c>
      <c r="F2309" t="s">
        <v>28</v>
      </c>
      <c r="G2309" t="s">
        <v>8653</v>
      </c>
      <c r="H2309" t="str">
        <f>"mus-101"</f>
        <v>mus-101</v>
      </c>
      <c r="I2309" t="s">
        <v>8655</v>
      </c>
      <c r="J2309" t="s">
        <v>29</v>
      </c>
      <c r="K2309" t="s">
        <v>29</v>
      </c>
      <c r="L2309">
        <v>10.296514823464401</v>
      </c>
      <c r="M2309" t="s">
        <v>29</v>
      </c>
      <c r="N2309" t="s">
        <v>29</v>
      </c>
      <c r="O2309">
        <v>11.376677437886899</v>
      </c>
      <c r="P2309">
        <v>1.0801626144224601</v>
      </c>
      <c r="Q2309">
        <v>3.87571398845898E-2</v>
      </c>
      <c r="R2309">
        <v>2.1215680889603301</v>
      </c>
      <c r="S2309">
        <v>11.809915941441799</v>
      </c>
      <c r="T2309">
        <v>2.3143880373871601</v>
      </c>
      <c r="U2309">
        <v>-4.30798134727661</v>
      </c>
      <c r="V2309">
        <v>4.3441962116920398E-2</v>
      </c>
      <c r="W2309">
        <v>0.123492197144347</v>
      </c>
      <c r="X2309">
        <v>1</v>
      </c>
      <c r="Y2309">
        <v>0</v>
      </c>
    </row>
    <row r="2310" spans="1:25" x14ac:dyDescent="0.2">
      <c r="A2310" t="s">
        <v>8656</v>
      </c>
      <c r="B2310" t="s">
        <v>8657</v>
      </c>
      <c r="C2310" t="s">
        <v>8658</v>
      </c>
      <c r="D2310" t="s">
        <v>3312</v>
      </c>
      <c r="E2310" t="s">
        <v>8657</v>
      </c>
      <c r="F2310" t="s">
        <v>28</v>
      </c>
      <c r="G2310" t="s">
        <v>8657</v>
      </c>
      <c r="H2310" t="str">
        <f>"col-81"</f>
        <v>col-81</v>
      </c>
      <c r="I2310" t="s">
        <v>3312</v>
      </c>
      <c r="J2310" t="s">
        <v>29</v>
      </c>
      <c r="K2310" t="s">
        <v>29</v>
      </c>
      <c r="L2310">
        <v>12.1061405245175</v>
      </c>
      <c r="M2310" t="s">
        <v>29</v>
      </c>
      <c r="N2310" t="s">
        <v>29</v>
      </c>
      <c r="O2310" t="s">
        <v>29</v>
      </c>
      <c r="P2310" t="s">
        <v>29</v>
      </c>
      <c r="Q2310" t="s">
        <v>29</v>
      </c>
      <c r="R2310" t="s">
        <v>29</v>
      </c>
      <c r="S2310">
        <v>12.0455670919818</v>
      </c>
      <c r="T2310" t="s">
        <v>29</v>
      </c>
      <c r="U2310" t="s">
        <v>29</v>
      </c>
      <c r="V2310" t="s">
        <v>29</v>
      </c>
      <c r="W2310" t="s">
        <v>29</v>
      </c>
      <c r="X2310" t="s">
        <v>29</v>
      </c>
      <c r="Y2310" t="s">
        <v>29</v>
      </c>
    </row>
    <row r="2311" spans="1:25" x14ac:dyDescent="0.2">
      <c r="A2311" t="s">
        <v>8659</v>
      </c>
      <c r="B2311" t="s">
        <v>8660</v>
      </c>
      <c r="C2311" t="s">
        <v>8661</v>
      </c>
      <c r="D2311" t="s">
        <v>8662</v>
      </c>
      <c r="E2311" t="s">
        <v>8660</v>
      </c>
      <c r="F2311" t="s">
        <v>28</v>
      </c>
      <c r="G2311" t="s">
        <v>8660</v>
      </c>
      <c r="H2311" t="str">
        <f>"F38B2.4"</f>
        <v>F38B2.4</v>
      </c>
      <c r="I2311" t="s">
        <v>8662</v>
      </c>
      <c r="J2311">
        <v>13.1196534858896</v>
      </c>
      <c r="K2311">
        <v>13.0120792793048</v>
      </c>
      <c r="L2311">
        <v>12.731450404804599</v>
      </c>
      <c r="M2311">
        <v>13.6452692668596</v>
      </c>
      <c r="N2311">
        <v>13.233908405991301</v>
      </c>
      <c r="O2311">
        <v>12.9752791784562</v>
      </c>
      <c r="P2311">
        <v>0.330424560436063</v>
      </c>
      <c r="Q2311">
        <v>-0.237272340112786</v>
      </c>
      <c r="R2311">
        <v>0.89812146098491197</v>
      </c>
      <c r="S2311">
        <v>12.664260326458701</v>
      </c>
      <c r="T2311">
        <v>1.2233431963021799</v>
      </c>
      <c r="U2311">
        <v>-6.40221642820502</v>
      </c>
      <c r="V2311">
        <v>0.23706555420539799</v>
      </c>
      <c r="W2311">
        <v>0.40220621084819203</v>
      </c>
      <c r="X2311">
        <v>0</v>
      </c>
      <c r="Y2311">
        <v>0</v>
      </c>
    </row>
    <row r="2312" spans="1:25" x14ac:dyDescent="0.2">
      <c r="A2312" t="s">
        <v>8663</v>
      </c>
      <c r="B2312" t="s">
        <v>8664</v>
      </c>
      <c r="C2312" t="s">
        <v>14467</v>
      </c>
      <c r="D2312" t="s">
        <v>8665</v>
      </c>
      <c r="E2312" t="s">
        <v>8664</v>
      </c>
      <c r="F2312" t="s">
        <v>28</v>
      </c>
      <c r="G2312" t="s">
        <v>8664</v>
      </c>
      <c r="H2312" t="str">
        <f>"F38B6.4"</f>
        <v>F38B6.4</v>
      </c>
      <c r="I2312" t="s">
        <v>8665</v>
      </c>
      <c r="J2312">
        <v>12.5265915953884</v>
      </c>
      <c r="K2312">
        <v>13.092417322127901</v>
      </c>
      <c r="L2312">
        <v>13.4986803758903</v>
      </c>
      <c r="M2312">
        <v>12.4288266429961</v>
      </c>
      <c r="N2312">
        <v>12.642569296874701</v>
      </c>
      <c r="O2312">
        <v>12.9688140867142</v>
      </c>
      <c r="P2312">
        <v>-0.35915975560722102</v>
      </c>
      <c r="Q2312">
        <v>-0.92497766036479701</v>
      </c>
      <c r="R2312">
        <v>0.20665814915035399</v>
      </c>
      <c r="S2312">
        <v>13.1359411453695</v>
      </c>
      <c r="T2312">
        <v>-1.3341464174670401</v>
      </c>
      <c r="U2312">
        <v>-6.2660461714263898</v>
      </c>
      <c r="V2312">
        <v>0.19888668753352601</v>
      </c>
      <c r="W2312">
        <v>0.35804463540702602</v>
      </c>
      <c r="X2312">
        <v>0</v>
      </c>
      <c r="Y2312">
        <v>0</v>
      </c>
    </row>
    <row r="2313" spans="1:25" x14ac:dyDescent="0.2">
      <c r="A2313" t="s">
        <v>8666</v>
      </c>
      <c r="B2313" t="s">
        <v>8667</v>
      </c>
      <c r="C2313" t="s">
        <v>8668</v>
      </c>
      <c r="D2313" t="s">
        <v>8669</v>
      </c>
      <c r="E2313" t="s">
        <v>8667</v>
      </c>
      <c r="F2313" t="s">
        <v>28</v>
      </c>
      <c r="G2313" t="s">
        <v>8667</v>
      </c>
      <c r="H2313" t="str">
        <f>"mpdu-1"</f>
        <v>mpdu-1</v>
      </c>
      <c r="I2313" t="s">
        <v>8669</v>
      </c>
      <c r="J2313">
        <v>15.555124917128699</v>
      </c>
      <c r="K2313">
        <v>16.009401247259401</v>
      </c>
      <c r="L2313">
        <v>15.5046335417449</v>
      </c>
      <c r="M2313" t="s">
        <v>29</v>
      </c>
      <c r="N2313">
        <v>14.4668404123807</v>
      </c>
      <c r="O2313">
        <v>13.529292553826</v>
      </c>
      <c r="P2313">
        <v>-1.69165341894099</v>
      </c>
      <c r="Q2313">
        <v>-2.8913404746051099</v>
      </c>
      <c r="R2313">
        <v>-0.49196636327686699</v>
      </c>
      <c r="S2313">
        <v>15.199123017812701</v>
      </c>
      <c r="T2313">
        <v>-2.97641463316678</v>
      </c>
      <c r="U2313">
        <v>-3.3082846346732899</v>
      </c>
      <c r="V2313">
        <v>8.5127918481194397E-3</v>
      </c>
      <c r="W2313">
        <v>4.0858627974605898E-2</v>
      </c>
      <c r="X2313">
        <v>-1</v>
      </c>
      <c r="Y2313">
        <v>-1</v>
      </c>
    </row>
    <row r="2314" spans="1:25" x14ac:dyDescent="0.2">
      <c r="A2314" t="s">
        <v>8670</v>
      </c>
      <c r="B2314" t="s">
        <v>8671</v>
      </c>
      <c r="C2314" t="s">
        <v>8672</v>
      </c>
      <c r="D2314" t="s">
        <v>8673</v>
      </c>
      <c r="E2314" t="s">
        <v>8671</v>
      </c>
      <c r="F2314" t="s">
        <v>28</v>
      </c>
      <c r="G2314" t="s">
        <v>8671</v>
      </c>
      <c r="H2314" t="str">
        <f>"cpin-1"</f>
        <v>cpin-1</v>
      </c>
      <c r="I2314" t="s">
        <v>8673</v>
      </c>
      <c r="J2314" t="s">
        <v>29</v>
      </c>
      <c r="K2314" t="s">
        <v>29</v>
      </c>
      <c r="L2314" t="s">
        <v>29</v>
      </c>
      <c r="M2314" t="s">
        <v>29</v>
      </c>
      <c r="N2314" t="s">
        <v>29</v>
      </c>
      <c r="O2314">
        <v>12.907173075397299</v>
      </c>
      <c r="P2314" t="s">
        <v>29</v>
      </c>
      <c r="Q2314" t="s">
        <v>29</v>
      </c>
      <c r="R2314" t="s">
        <v>29</v>
      </c>
      <c r="S2314">
        <v>12.394622865463299</v>
      </c>
      <c r="T2314" t="s">
        <v>29</v>
      </c>
      <c r="U2314" t="s">
        <v>29</v>
      </c>
      <c r="V2314" t="s">
        <v>29</v>
      </c>
      <c r="W2314" t="s">
        <v>29</v>
      </c>
      <c r="X2314" t="s">
        <v>29</v>
      </c>
      <c r="Y2314" t="s">
        <v>29</v>
      </c>
    </row>
    <row r="2315" spans="1:25" x14ac:dyDescent="0.2">
      <c r="A2315" t="s">
        <v>8674</v>
      </c>
      <c r="B2315" t="s">
        <v>8675</v>
      </c>
      <c r="C2315" t="s">
        <v>8676</v>
      </c>
      <c r="D2315" t="s">
        <v>8677</v>
      </c>
      <c r="E2315" t="s">
        <v>8675</v>
      </c>
      <c r="F2315" t="s">
        <v>28</v>
      </c>
      <c r="G2315" t="s">
        <v>8675</v>
      </c>
      <c r="H2315" t="str">
        <f>"copb-2"</f>
        <v>copb-2</v>
      </c>
      <c r="I2315" t="s">
        <v>8677</v>
      </c>
      <c r="J2315">
        <v>16.748979094871501</v>
      </c>
      <c r="K2315">
        <v>16.910451459421399</v>
      </c>
      <c r="L2315">
        <v>16.496510067304399</v>
      </c>
      <c r="M2315">
        <v>16.396790729085001</v>
      </c>
      <c r="N2315">
        <v>16.371055702782598</v>
      </c>
      <c r="O2315">
        <v>16.5426927338962</v>
      </c>
      <c r="P2315">
        <v>-0.28180048527780599</v>
      </c>
      <c r="Q2315">
        <v>-0.66452361677571403</v>
      </c>
      <c r="R2315">
        <v>0.100922646220102</v>
      </c>
      <c r="S2315">
        <v>16.400467326184501</v>
      </c>
      <c r="T2315">
        <v>-1.547567278</v>
      </c>
      <c r="U2315">
        <v>-5.9771834896694198</v>
      </c>
      <c r="V2315">
        <v>0.13922919233140801</v>
      </c>
      <c r="W2315">
        <v>0.27667459865182598</v>
      </c>
      <c r="X2315">
        <v>0</v>
      </c>
      <c r="Y2315">
        <v>0</v>
      </c>
    </row>
    <row r="2316" spans="1:25" x14ac:dyDescent="0.2">
      <c r="A2316" t="s">
        <v>8678</v>
      </c>
      <c r="B2316" t="s">
        <v>8679</v>
      </c>
      <c r="C2316" t="s">
        <v>8680</v>
      </c>
      <c r="D2316" t="s">
        <v>8681</v>
      </c>
      <c r="E2316" t="s">
        <v>8679</v>
      </c>
      <c r="F2316" t="s">
        <v>28</v>
      </c>
      <c r="G2316" t="s">
        <v>8679</v>
      </c>
      <c r="H2316" t="str">
        <f>"twf-2"</f>
        <v>twf-2</v>
      </c>
      <c r="I2316" t="s">
        <v>8681</v>
      </c>
      <c r="J2316">
        <v>14.4168712536848</v>
      </c>
      <c r="K2316">
        <v>14.5053918121266</v>
      </c>
      <c r="L2316">
        <v>14.6335160281121</v>
      </c>
      <c r="M2316" t="s">
        <v>29</v>
      </c>
      <c r="N2316" t="s">
        <v>29</v>
      </c>
      <c r="O2316">
        <v>14.204341716050999</v>
      </c>
      <c r="P2316">
        <v>-0.31425131525685401</v>
      </c>
      <c r="Q2316">
        <v>-0.81650151989066599</v>
      </c>
      <c r="R2316">
        <v>0.18799888937695799</v>
      </c>
      <c r="S2316">
        <v>14.2705746903888</v>
      </c>
      <c r="T2316">
        <v>-1.3271087465812099</v>
      </c>
      <c r="U2316">
        <v>-5.9360960003875904</v>
      </c>
      <c r="V2316">
        <v>0.203221545787589</v>
      </c>
      <c r="W2316">
        <v>0.36340648994904501</v>
      </c>
      <c r="X2316">
        <v>0</v>
      </c>
      <c r="Y2316">
        <v>0</v>
      </c>
    </row>
    <row r="2317" spans="1:25" x14ac:dyDescent="0.2">
      <c r="A2317" t="s">
        <v>8682</v>
      </c>
      <c r="B2317" t="s">
        <v>8683</v>
      </c>
      <c r="C2317" t="s">
        <v>8684</v>
      </c>
      <c r="D2317" t="s">
        <v>8685</v>
      </c>
      <c r="E2317" t="s">
        <v>8683</v>
      </c>
      <c r="F2317" t="s">
        <v>28</v>
      </c>
      <c r="G2317" t="s">
        <v>8683</v>
      </c>
      <c r="H2317" t="str">
        <f>"csq-1"</f>
        <v>csq-1</v>
      </c>
      <c r="I2317" t="s">
        <v>8685</v>
      </c>
      <c r="J2317">
        <v>14.471282683611401</v>
      </c>
      <c r="K2317">
        <v>13.917407034607599</v>
      </c>
      <c r="L2317">
        <v>14.423467673825</v>
      </c>
      <c r="M2317">
        <v>13.5095366958993</v>
      </c>
      <c r="N2317">
        <v>14.061168621495</v>
      </c>
      <c r="O2317">
        <v>14.3864534926432</v>
      </c>
      <c r="P2317">
        <v>-0.28499952733553602</v>
      </c>
      <c r="Q2317">
        <v>-0.92284746271011298</v>
      </c>
      <c r="R2317">
        <v>0.35284840803904</v>
      </c>
      <c r="S2317">
        <v>13.858641353597401</v>
      </c>
      <c r="T2317">
        <v>-0.93911655998266097</v>
      </c>
      <c r="U2317">
        <v>-6.7045757079268604</v>
      </c>
      <c r="V2317">
        <v>0.36017494637555297</v>
      </c>
      <c r="W2317">
        <v>0.52981020951199198</v>
      </c>
      <c r="X2317">
        <v>0</v>
      </c>
      <c r="Y2317">
        <v>0</v>
      </c>
    </row>
    <row r="2318" spans="1:25" x14ac:dyDescent="0.2">
      <c r="A2318" t="s">
        <v>8686</v>
      </c>
      <c r="B2318" t="s">
        <v>8687</v>
      </c>
      <c r="C2318" t="s">
        <v>8688</v>
      </c>
      <c r="D2318" t="s">
        <v>8689</v>
      </c>
      <c r="E2318" t="s">
        <v>8687</v>
      </c>
      <c r="F2318" t="s">
        <v>28</v>
      </c>
      <c r="G2318" t="s">
        <v>8687</v>
      </c>
      <c r="H2318" t="str">
        <f>"rps-11"</f>
        <v>rps-11</v>
      </c>
      <c r="I2318" t="s">
        <v>8689</v>
      </c>
      <c r="J2318">
        <v>20.489020789753901</v>
      </c>
      <c r="K2318">
        <v>20.519285838108502</v>
      </c>
      <c r="L2318">
        <v>20.5687639560667</v>
      </c>
      <c r="M2318">
        <v>19.9187602956764</v>
      </c>
      <c r="N2318">
        <v>19.978670033335501</v>
      </c>
      <c r="O2318">
        <v>20.127607266466299</v>
      </c>
      <c r="P2318">
        <v>-0.51734432948359599</v>
      </c>
      <c r="Q2318">
        <v>-0.89671742776548302</v>
      </c>
      <c r="R2318">
        <v>-0.13797123120170801</v>
      </c>
      <c r="S2318">
        <v>20.4793438435604</v>
      </c>
      <c r="T2318">
        <v>-2.8661946101420899</v>
      </c>
      <c r="U2318">
        <v>-3.61285908573808</v>
      </c>
      <c r="V2318">
        <v>1.03103903654272E-2</v>
      </c>
      <c r="W2318">
        <v>4.6247671852228202E-2</v>
      </c>
      <c r="X2318">
        <v>0</v>
      </c>
      <c r="Y2318">
        <v>0</v>
      </c>
    </row>
    <row r="2319" spans="1:25" x14ac:dyDescent="0.2">
      <c r="A2319" t="s">
        <v>8690</v>
      </c>
      <c r="B2319" t="s">
        <v>8691</v>
      </c>
      <c r="C2319" t="s">
        <v>14468</v>
      </c>
      <c r="D2319" t="s">
        <v>8692</v>
      </c>
      <c r="E2319" t="s">
        <v>8691</v>
      </c>
      <c r="F2319" t="s">
        <v>28</v>
      </c>
      <c r="G2319" t="s">
        <v>8691</v>
      </c>
      <c r="H2319" t="str">
        <f>"F40F4.7"</f>
        <v>F40F4.7</v>
      </c>
      <c r="I2319" t="s">
        <v>8692</v>
      </c>
      <c r="J2319">
        <v>13.355679012068</v>
      </c>
      <c r="K2319">
        <v>13.112607751592501</v>
      </c>
      <c r="L2319">
        <v>12.9451408697456</v>
      </c>
      <c r="M2319" t="s">
        <v>29</v>
      </c>
      <c r="N2319">
        <v>12.1277480031401</v>
      </c>
      <c r="O2319">
        <v>12.2809970818526</v>
      </c>
      <c r="P2319">
        <v>-0.93343666863899</v>
      </c>
      <c r="Q2319">
        <v>-1.3604919053172499</v>
      </c>
      <c r="R2319">
        <v>-0.50638143196072805</v>
      </c>
      <c r="S2319">
        <v>12.5430771387175</v>
      </c>
      <c r="T2319">
        <v>-4.6137155877403604</v>
      </c>
      <c r="U2319">
        <v>0.166201731586409</v>
      </c>
      <c r="V2319">
        <v>2.5149262528104398E-4</v>
      </c>
      <c r="W2319">
        <v>3.2794193216957399E-3</v>
      </c>
      <c r="X2319">
        <v>0</v>
      </c>
      <c r="Y2319">
        <v>0</v>
      </c>
    </row>
    <row r="2320" spans="1:25" x14ac:dyDescent="0.2">
      <c r="A2320" t="s">
        <v>8693</v>
      </c>
      <c r="B2320" t="s">
        <v>8694</v>
      </c>
      <c r="C2320" t="s">
        <v>8695</v>
      </c>
      <c r="D2320" t="s">
        <v>8696</v>
      </c>
      <c r="E2320" t="s">
        <v>8694</v>
      </c>
      <c r="F2320" t="s">
        <v>28</v>
      </c>
      <c r="G2320" t="s">
        <v>8694</v>
      </c>
      <c r="H2320" t="str">
        <f>"rps-9"</f>
        <v>rps-9</v>
      </c>
      <c r="I2320" t="s">
        <v>8696</v>
      </c>
      <c r="J2320">
        <v>18.107487112648599</v>
      </c>
      <c r="K2320">
        <v>18.1669769584642</v>
      </c>
      <c r="L2320">
        <v>18.272884935137199</v>
      </c>
      <c r="M2320">
        <v>17.820659588884201</v>
      </c>
      <c r="N2320">
        <v>17.8569414671096</v>
      </c>
      <c r="O2320">
        <v>17.877151623465</v>
      </c>
      <c r="P2320">
        <v>-0.33086544226374298</v>
      </c>
      <c r="Q2320">
        <v>-0.79487101146822103</v>
      </c>
      <c r="R2320">
        <v>0.13314012694073499</v>
      </c>
      <c r="S2320">
        <v>18.025641216652399</v>
      </c>
      <c r="T2320">
        <v>-1.49872078015638</v>
      </c>
      <c r="U2320">
        <v>-6.0462559460519198</v>
      </c>
      <c r="V2320">
        <v>0.151379923093998</v>
      </c>
      <c r="W2320">
        <v>0.29544147904504098</v>
      </c>
      <c r="X2320">
        <v>0</v>
      </c>
      <c r="Y2320">
        <v>0</v>
      </c>
    </row>
    <row r="2321" spans="1:25" x14ac:dyDescent="0.2">
      <c r="A2321" t="s">
        <v>8697</v>
      </c>
      <c r="B2321" t="s">
        <v>8698</v>
      </c>
      <c r="C2321" t="s">
        <v>8699</v>
      </c>
      <c r="D2321" t="s">
        <v>8700</v>
      </c>
      <c r="E2321" t="s">
        <v>8698</v>
      </c>
      <c r="F2321" t="s">
        <v>28</v>
      </c>
      <c r="G2321" t="s">
        <v>8698</v>
      </c>
      <c r="H2321" t="str">
        <f>"slcr-46.3"</f>
        <v>slcr-46.3</v>
      </c>
      <c r="I2321" t="s">
        <v>8700</v>
      </c>
      <c r="J2321">
        <v>10.809563587745901</v>
      </c>
      <c r="K2321">
        <v>11.0178937008508</v>
      </c>
      <c r="L2321">
        <v>11.296899269520001</v>
      </c>
      <c r="M2321" t="s">
        <v>29</v>
      </c>
      <c r="N2321" t="s">
        <v>29</v>
      </c>
      <c r="O2321" t="s">
        <v>29</v>
      </c>
      <c r="P2321" t="s">
        <v>29</v>
      </c>
      <c r="Q2321" t="s">
        <v>29</v>
      </c>
      <c r="R2321" t="s">
        <v>29</v>
      </c>
      <c r="S2321">
        <v>10.7968646666754</v>
      </c>
      <c r="T2321" t="s">
        <v>29</v>
      </c>
      <c r="U2321" t="s">
        <v>29</v>
      </c>
      <c r="V2321" t="s">
        <v>29</v>
      </c>
      <c r="W2321" t="s">
        <v>29</v>
      </c>
      <c r="X2321" t="s">
        <v>29</v>
      </c>
      <c r="Y2321" t="s">
        <v>29</v>
      </c>
    </row>
    <row r="2322" spans="1:25" x14ac:dyDescent="0.2">
      <c r="A2322" t="s">
        <v>8701</v>
      </c>
      <c r="B2322" t="s">
        <v>8702</v>
      </c>
      <c r="C2322" t="s">
        <v>8703</v>
      </c>
      <c r="D2322" t="s">
        <v>8704</v>
      </c>
      <c r="E2322" t="s">
        <v>8702</v>
      </c>
      <c r="F2322" t="s">
        <v>28</v>
      </c>
      <c r="G2322" t="s">
        <v>8702</v>
      </c>
      <c r="H2322" t="str">
        <f>"eas-1"</f>
        <v>eas-1</v>
      </c>
      <c r="I2322" t="s">
        <v>8704</v>
      </c>
      <c r="J2322">
        <v>15.6158765121711</v>
      </c>
      <c r="K2322">
        <v>15.8121806425538</v>
      </c>
      <c r="L2322">
        <v>15.7001714646207</v>
      </c>
      <c r="M2322" t="s">
        <v>29</v>
      </c>
      <c r="N2322">
        <v>14.6120478851134</v>
      </c>
      <c r="O2322">
        <v>13.316154054341</v>
      </c>
      <c r="P2322">
        <v>-1.74530857005463</v>
      </c>
      <c r="Q2322">
        <v>-2.7195430333171702</v>
      </c>
      <c r="R2322">
        <v>-0.77107410679209198</v>
      </c>
      <c r="S2322">
        <v>15.208598492149701</v>
      </c>
      <c r="T2322">
        <v>-3.78145333907282</v>
      </c>
      <c r="U2322">
        <v>-1.6148554198704299</v>
      </c>
      <c r="V2322">
        <v>1.5037717163504201E-3</v>
      </c>
      <c r="W2322">
        <v>1.22083064685529E-2</v>
      </c>
      <c r="X2322">
        <v>-1</v>
      </c>
      <c r="Y2322">
        <v>-1</v>
      </c>
    </row>
    <row r="2323" spans="1:25" x14ac:dyDescent="0.2">
      <c r="A2323" t="s">
        <v>8705</v>
      </c>
      <c r="B2323" t="s">
        <v>8706</v>
      </c>
      <c r="C2323" t="s">
        <v>8707</v>
      </c>
      <c r="D2323" t="s">
        <v>8708</v>
      </c>
      <c r="E2323" t="s">
        <v>8706</v>
      </c>
      <c r="F2323" t="s">
        <v>28</v>
      </c>
      <c r="G2323" t="s">
        <v>8706</v>
      </c>
      <c r="H2323" t="str">
        <f>"acs-11"</f>
        <v>acs-11</v>
      </c>
      <c r="I2323" t="s">
        <v>8708</v>
      </c>
      <c r="J2323" t="s">
        <v>29</v>
      </c>
      <c r="K2323" t="s">
        <v>29</v>
      </c>
      <c r="L2323" t="s">
        <v>29</v>
      </c>
      <c r="M2323" t="s">
        <v>29</v>
      </c>
      <c r="N2323" t="s">
        <v>29</v>
      </c>
      <c r="O2323">
        <v>12.1167405182014</v>
      </c>
      <c r="P2323" t="s">
        <v>29</v>
      </c>
      <c r="Q2323" t="s">
        <v>29</v>
      </c>
      <c r="R2323" t="s">
        <v>29</v>
      </c>
      <c r="S2323">
        <v>12.147148823373</v>
      </c>
      <c r="T2323" t="s">
        <v>29</v>
      </c>
      <c r="U2323" t="s">
        <v>29</v>
      </c>
      <c r="V2323" t="s">
        <v>29</v>
      </c>
      <c r="W2323" t="s">
        <v>29</v>
      </c>
      <c r="X2323" t="s">
        <v>29</v>
      </c>
      <c r="Y2323" t="s">
        <v>29</v>
      </c>
    </row>
    <row r="2324" spans="1:25" x14ac:dyDescent="0.2">
      <c r="A2324" t="s">
        <v>8709</v>
      </c>
      <c r="B2324" t="s">
        <v>8710</v>
      </c>
      <c r="C2324" t="s">
        <v>8711</v>
      </c>
      <c r="D2324" t="s">
        <v>8712</v>
      </c>
      <c r="E2324" t="s">
        <v>8710</v>
      </c>
      <c r="F2324" t="s">
        <v>28</v>
      </c>
      <c r="G2324" t="s">
        <v>8710</v>
      </c>
      <c r="H2324" t="str">
        <f>"fip-5"</f>
        <v>fip-5</v>
      </c>
      <c r="I2324" t="s">
        <v>8712</v>
      </c>
      <c r="J2324">
        <v>15.5776693083194</v>
      </c>
      <c r="K2324">
        <v>15.7550259658132</v>
      </c>
      <c r="L2324">
        <v>15.3932501488857</v>
      </c>
      <c r="M2324" t="s">
        <v>29</v>
      </c>
      <c r="N2324">
        <v>15.1413572009989</v>
      </c>
      <c r="O2324">
        <v>14.093736143328501</v>
      </c>
      <c r="P2324">
        <v>-0.95776846884244704</v>
      </c>
      <c r="Q2324">
        <v>-1.66926040234163</v>
      </c>
      <c r="R2324">
        <v>-0.24627653534326299</v>
      </c>
      <c r="S2324">
        <v>14.9364069961978</v>
      </c>
      <c r="T2324">
        <v>-2.8414535951787401</v>
      </c>
      <c r="U2324">
        <v>-3.58223708291594</v>
      </c>
      <c r="V2324">
        <v>1.1326324905857599E-2</v>
      </c>
      <c r="W2324">
        <v>4.95232633494989E-2</v>
      </c>
      <c r="X2324">
        <v>0</v>
      </c>
      <c r="Y2324">
        <v>0</v>
      </c>
    </row>
    <row r="2325" spans="1:25" x14ac:dyDescent="0.2">
      <c r="A2325" t="s">
        <v>8713</v>
      </c>
      <c r="B2325" t="s">
        <v>8714</v>
      </c>
      <c r="C2325" t="s">
        <v>8715</v>
      </c>
      <c r="D2325" t="s">
        <v>8716</v>
      </c>
      <c r="E2325" t="s">
        <v>8714</v>
      </c>
      <c r="F2325" t="s">
        <v>28</v>
      </c>
      <c r="G2325" t="s">
        <v>8714</v>
      </c>
      <c r="H2325" t="str">
        <f>"fipr-21"</f>
        <v>fipr-21</v>
      </c>
      <c r="I2325" t="s">
        <v>8716</v>
      </c>
      <c r="J2325">
        <v>17.6610718863678</v>
      </c>
      <c r="K2325">
        <v>17.6561510425901</v>
      </c>
      <c r="L2325">
        <v>17.843895355479599</v>
      </c>
      <c r="M2325">
        <v>17.394481841598399</v>
      </c>
      <c r="N2325">
        <v>17.784240600936101</v>
      </c>
      <c r="O2325">
        <v>17.4150762224251</v>
      </c>
      <c r="P2325">
        <v>-0.18910653982592901</v>
      </c>
      <c r="Q2325">
        <v>-0.63287735739877204</v>
      </c>
      <c r="R2325">
        <v>0.25466427774691502</v>
      </c>
      <c r="S2325">
        <v>17.297368348757399</v>
      </c>
      <c r="T2325">
        <v>-0.89565410719612504</v>
      </c>
      <c r="U2325">
        <v>-6.7445327322457098</v>
      </c>
      <c r="V2325">
        <v>0.38232759087678603</v>
      </c>
      <c r="W2325">
        <v>0.54988746232986296</v>
      </c>
      <c r="X2325">
        <v>0</v>
      </c>
      <c r="Y2325">
        <v>0</v>
      </c>
    </row>
    <row r="2326" spans="1:25" x14ac:dyDescent="0.2">
      <c r="A2326" t="s">
        <v>8717</v>
      </c>
      <c r="B2326" t="s">
        <v>8718</v>
      </c>
      <c r="C2326" t="s">
        <v>8719</v>
      </c>
      <c r="D2326" t="s">
        <v>8720</v>
      </c>
      <c r="E2326" t="s">
        <v>8718</v>
      </c>
      <c r="F2326" t="s">
        <v>28</v>
      </c>
      <c r="G2326" t="s">
        <v>8718</v>
      </c>
      <c r="H2326" t="str">
        <f>"elo-5"</f>
        <v>elo-5</v>
      </c>
      <c r="I2326" t="s">
        <v>8720</v>
      </c>
      <c r="J2326">
        <v>11.8997256420959</v>
      </c>
      <c r="K2326">
        <v>12.2454785317393</v>
      </c>
      <c r="L2326">
        <v>12.596785696753701</v>
      </c>
      <c r="M2326">
        <v>11.5924307421649</v>
      </c>
      <c r="N2326">
        <v>11.3098828341697</v>
      </c>
      <c r="O2326">
        <v>11.9379416274804</v>
      </c>
      <c r="P2326">
        <v>-0.63391155559128098</v>
      </c>
      <c r="Q2326">
        <v>-1.09907728213435</v>
      </c>
      <c r="R2326">
        <v>-0.16874582904820801</v>
      </c>
      <c r="S2326">
        <v>12.336054571397</v>
      </c>
      <c r="T2326">
        <v>-2.8642668284483501</v>
      </c>
      <c r="U2326">
        <v>-3.6168224629347301</v>
      </c>
      <c r="V2326">
        <v>1.03532146642703E-2</v>
      </c>
      <c r="W2326">
        <v>4.6369184826146798E-2</v>
      </c>
      <c r="X2326">
        <v>0</v>
      </c>
      <c r="Y2326">
        <v>0</v>
      </c>
    </row>
    <row r="2327" spans="1:25" x14ac:dyDescent="0.2">
      <c r="A2327" t="s">
        <v>8721</v>
      </c>
      <c r="B2327" t="s">
        <v>8722</v>
      </c>
      <c r="C2327" t="s">
        <v>8723</v>
      </c>
      <c r="D2327" t="s">
        <v>8724</v>
      </c>
      <c r="E2327" t="s">
        <v>8722</v>
      </c>
      <c r="F2327" t="s">
        <v>28</v>
      </c>
      <c r="G2327" t="s">
        <v>8722</v>
      </c>
      <c r="H2327" t="str">
        <f>"elo-6"</f>
        <v>elo-6</v>
      </c>
      <c r="I2327" t="s">
        <v>8724</v>
      </c>
      <c r="J2327">
        <v>12.536231173199299</v>
      </c>
      <c r="K2327">
        <v>12.9800772798844</v>
      </c>
      <c r="L2327">
        <v>12.906458499334899</v>
      </c>
      <c r="M2327" t="s">
        <v>29</v>
      </c>
      <c r="N2327">
        <v>15.4836781631102</v>
      </c>
      <c r="O2327">
        <v>14.599939280867099</v>
      </c>
      <c r="P2327">
        <v>2.23421973784906</v>
      </c>
      <c r="Q2327">
        <v>0.62323771364863001</v>
      </c>
      <c r="R2327">
        <v>3.84520176204949</v>
      </c>
      <c r="S2327">
        <v>14.882531290738999</v>
      </c>
      <c r="T2327">
        <v>2.9416074688076899</v>
      </c>
      <c r="U2327">
        <v>-3.4081042251244602</v>
      </c>
      <c r="V2327">
        <v>9.6280175647967606E-3</v>
      </c>
      <c r="W2327">
        <v>4.4542806536037802E-2</v>
      </c>
      <c r="X2327">
        <v>1</v>
      </c>
      <c r="Y2327">
        <v>1</v>
      </c>
    </row>
    <row r="2328" spans="1:25" x14ac:dyDescent="0.2">
      <c r="A2328" t="s">
        <v>8725</v>
      </c>
      <c r="B2328" t="s">
        <v>8726</v>
      </c>
      <c r="C2328" t="s">
        <v>8727</v>
      </c>
      <c r="D2328" t="s">
        <v>1866</v>
      </c>
      <c r="E2328" t="s">
        <v>8726</v>
      </c>
      <c r="F2328" t="s">
        <v>28</v>
      </c>
      <c r="G2328" t="s">
        <v>8726</v>
      </c>
      <c r="H2328" t="str">
        <f>"abcf-3"</f>
        <v>abcf-3</v>
      </c>
      <c r="I2328" t="s">
        <v>1866</v>
      </c>
      <c r="J2328">
        <v>15.299005851354799</v>
      </c>
      <c r="K2328">
        <v>15.3434018135976</v>
      </c>
      <c r="L2328">
        <v>15.3598076140998</v>
      </c>
      <c r="M2328">
        <v>14.804381273180701</v>
      </c>
      <c r="N2328">
        <v>14.901156602002899</v>
      </c>
      <c r="O2328">
        <v>15.348680840448401</v>
      </c>
      <c r="P2328">
        <v>-0.31599885447340997</v>
      </c>
      <c r="Q2328">
        <v>-0.70261129720893001</v>
      </c>
      <c r="R2328">
        <v>7.06135882621102E-2</v>
      </c>
      <c r="S2328">
        <v>15.193597353349601</v>
      </c>
      <c r="T2328">
        <v>-1.7179170664660099</v>
      </c>
      <c r="U2328">
        <v>-5.7234048286233197</v>
      </c>
      <c r="V2328">
        <v>0.103065852764423</v>
      </c>
      <c r="W2328">
        <v>0.22154271925364999</v>
      </c>
      <c r="X2328">
        <v>0</v>
      </c>
      <c r="Y2328">
        <v>0</v>
      </c>
    </row>
    <row r="2329" spans="1:25" x14ac:dyDescent="0.2">
      <c r="A2329" t="s">
        <v>8728</v>
      </c>
      <c r="B2329" t="s">
        <v>8729</v>
      </c>
      <c r="C2329" t="s">
        <v>14172</v>
      </c>
      <c r="D2329" t="s">
        <v>8730</v>
      </c>
      <c r="E2329" t="s">
        <v>8729</v>
      </c>
      <c r="F2329" t="s">
        <v>28</v>
      </c>
      <c r="G2329" t="s">
        <v>8729</v>
      </c>
      <c r="H2329" t="str">
        <f>"F42A10.5"</f>
        <v>F42A10.5</v>
      </c>
      <c r="I2329" t="s">
        <v>8730</v>
      </c>
      <c r="J2329">
        <v>9.9566818556722403</v>
      </c>
      <c r="K2329" t="s">
        <v>29</v>
      </c>
      <c r="L2329">
        <v>10.8966645353281</v>
      </c>
      <c r="M2329" t="s">
        <v>29</v>
      </c>
      <c r="N2329" t="s">
        <v>29</v>
      </c>
      <c r="O2329">
        <v>12.1314313141441</v>
      </c>
      <c r="P2329">
        <v>1.70475811864392</v>
      </c>
      <c r="Q2329">
        <v>0.54243912651168802</v>
      </c>
      <c r="R2329">
        <v>2.8670771107761501</v>
      </c>
      <c r="S2329">
        <v>12.113361906856699</v>
      </c>
      <c r="T2329">
        <v>3.1280885533742602</v>
      </c>
      <c r="U2329">
        <v>-2.8105513159265398</v>
      </c>
      <c r="V2329">
        <v>6.9574838235511799E-3</v>
      </c>
      <c r="W2329">
        <v>3.5229733381452397E-2</v>
      </c>
      <c r="X2329">
        <v>1</v>
      </c>
      <c r="Y2329">
        <v>1</v>
      </c>
    </row>
    <row r="2330" spans="1:25" x14ac:dyDescent="0.2">
      <c r="A2330" t="s">
        <v>8731</v>
      </c>
      <c r="B2330" t="s">
        <v>8732</v>
      </c>
      <c r="C2330" t="s">
        <v>8733</v>
      </c>
      <c r="D2330" t="s">
        <v>270</v>
      </c>
      <c r="E2330" t="s">
        <v>8732</v>
      </c>
      <c r="F2330" t="s">
        <v>28</v>
      </c>
      <c r="G2330" t="s">
        <v>8732</v>
      </c>
      <c r="H2330" t="str">
        <f>"grl-4"</f>
        <v>grl-4</v>
      </c>
      <c r="I2330" t="s">
        <v>270</v>
      </c>
      <c r="J2330">
        <v>12.6870250297541</v>
      </c>
      <c r="K2330">
        <v>12.3136348602927</v>
      </c>
      <c r="L2330">
        <v>13.1636671632105</v>
      </c>
      <c r="M2330" t="s">
        <v>29</v>
      </c>
      <c r="N2330" t="s">
        <v>29</v>
      </c>
      <c r="O2330">
        <v>11.8576739077889</v>
      </c>
      <c r="P2330">
        <v>-0.86376844329686298</v>
      </c>
      <c r="Q2330">
        <v>-1.58940000706236</v>
      </c>
      <c r="R2330">
        <v>-0.13813687953136</v>
      </c>
      <c r="S2330">
        <v>12.7858348973236</v>
      </c>
      <c r="T2330">
        <v>-2.53876658702728</v>
      </c>
      <c r="U2330">
        <v>-3.99564894016632</v>
      </c>
      <c r="V2330">
        <v>2.2788705462854102E-2</v>
      </c>
      <c r="W2330">
        <v>8.0141187349678997E-2</v>
      </c>
      <c r="X2330">
        <v>0</v>
      </c>
      <c r="Y2330">
        <v>0</v>
      </c>
    </row>
    <row r="2331" spans="1:25" x14ac:dyDescent="0.2">
      <c r="A2331" t="s">
        <v>8734</v>
      </c>
      <c r="B2331" t="s">
        <v>8735</v>
      </c>
      <c r="C2331" t="s">
        <v>14469</v>
      </c>
      <c r="D2331" t="s">
        <v>66</v>
      </c>
      <c r="E2331" t="s">
        <v>8735</v>
      </c>
      <c r="F2331" t="s">
        <v>28</v>
      </c>
      <c r="G2331" t="s">
        <v>8735</v>
      </c>
      <c r="H2331" t="str">
        <f>"F42C5.9"</f>
        <v>F42C5.9</v>
      </c>
      <c r="I2331" t="s">
        <v>66</v>
      </c>
      <c r="J2331">
        <v>15.887106188730201</v>
      </c>
      <c r="K2331">
        <v>15.976665566415299</v>
      </c>
      <c r="L2331">
        <v>15.6302108606709</v>
      </c>
      <c r="M2331">
        <v>15.2355201836885</v>
      </c>
      <c r="N2331">
        <v>14.964901828707999</v>
      </c>
      <c r="O2331">
        <v>15.6328880714875</v>
      </c>
      <c r="P2331">
        <v>-0.55355751064412595</v>
      </c>
      <c r="Q2331">
        <v>-0.98223209450539395</v>
      </c>
      <c r="R2331">
        <v>-0.12488292678285801</v>
      </c>
      <c r="S2331">
        <v>15.261761363777699</v>
      </c>
      <c r="T2331">
        <v>-2.71411050418271</v>
      </c>
      <c r="U2331">
        <v>-3.9223758694202702</v>
      </c>
      <c r="V2331">
        <v>1.42699006710603E-2</v>
      </c>
      <c r="W2331">
        <v>5.8488730566918903E-2</v>
      </c>
      <c r="X2331">
        <v>0</v>
      </c>
      <c r="Y2331">
        <v>0</v>
      </c>
    </row>
    <row r="2332" spans="1:25" x14ac:dyDescent="0.2">
      <c r="A2332" t="s">
        <v>8736</v>
      </c>
      <c r="B2332" t="s">
        <v>8737</v>
      </c>
      <c r="C2332" t="s">
        <v>8738</v>
      </c>
      <c r="D2332" t="s">
        <v>8739</v>
      </c>
      <c r="E2332" t="s">
        <v>8737</v>
      </c>
      <c r="F2332" t="s">
        <v>28</v>
      </c>
      <c r="G2332" t="s">
        <v>8737</v>
      </c>
      <c r="H2332" t="str">
        <f>"ifo-1"</f>
        <v>ifo-1</v>
      </c>
      <c r="I2332" t="s">
        <v>8739</v>
      </c>
      <c r="J2332" t="s">
        <v>29</v>
      </c>
      <c r="K2332">
        <v>10.9771856988517</v>
      </c>
      <c r="L2332">
        <v>13.103572853307501</v>
      </c>
      <c r="M2332">
        <v>13.5653147852739</v>
      </c>
      <c r="N2332" t="s">
        <v>29</v>
      </c>
      <c r="O2332">
        <v>12.111012355404499</v>
      </c>
      <c r="P2332">
        <v>0.797784294259547</v>
      </c>
      <c r="Q2332">
        <v>-0.545410013285622</v>
      </c>
      <c r="R2332">
        <v>2.1409786018047199</v>
      </c>
      <c r="S2332">
        <v>11.7803718923321</v>
      </c>
      <c r="T2332">
        <v>1.2597842355351201</v>
      </c>
      <c r="U2332">
        <v>-6.1586229270031696</v>
      </c>
      <c r="V2332">
        <v>0.225930956935599</v>
      </c>
      <c r="W2332">
        <v>0.39005186296966099</v>
      </c>
      <c r="X2332">
        <v>0</v>
      </c>
      <c r="Y2332">
        <v>0</v>
      </c>
    </row>
    <row r="2333" spans="1:25" x14ac:dyDescent="0.2">
      <c r="A2333" t="s">
        <v>8740</v>
      </c>
      <c r="B2333" t="s">
        <v>8741</v>
      </c>
      <c r="C2333" t="s">
        <v>8742</v>
      </c>
      <c r="D2333" t="s">
        <v>8743</v>
      </c>
      <c r="E2333" t="s">
        <v>8741</v>
      </c>
      <c r="F2333" t="s">
        <v>28</v>
      </c>
      <c r="G2333" t="s">
        <v>8741</v>
      </c>
      <c r="H2333" t="str">
        <f>"tni-1"</f>
        <v>tni-1</v>
      </c>
      <c r="I2333" t="s">
        <v>8743</v>
      </c>
      <c r="J2333">
        <v>13.271353763424001</v>
      </c>
      <c r="K2333" t="s">
        <v>29</v>
      </c>
      <c r="L2333">
        <v>12.7515827250848</v>
      </c>
      <c r="M2333">
        <v>15.1450391982981</v>
      </c>
      <c r="N2333">
        <v>14.004865901157199</v>
      </c>
      <c r="O2333">
        <v>13.9501859691237</v>
      </c>
      <c r="P2333">
        <v>1.3552287786052899</v>
      </c>
      <c r="Q2333">
        <v>0.46528857808343499</v>
      </c>
      <c r="R2333">
        <v>2.2451689791271399</v>
      </c>
      <c r="S2333">
        <v>13.050845639551101</v>
      </c>
      <c r="T2333">
        <v>3.2684638279468698</v>
      </c>
      <c r="U2333">
        <v>-2.8405234287510899</v>
      </c>
      <c r="V2333">
        <v>5.65161157074819E-3</v>
      </c>
      <c r="W2333">
        <v>3.0560182199990699E-2</v>
      </c>
      <c r="X2333">
        <v>1</v>
      </c>
      <c r="Y2333">
        <v>1</v>
      </c>
    </row>
    <row r="2334" spans="1:25" x14ac:dyDescent="0.2">
      <c r="A2334" t="s">
        <v>8744</v>
      </c>
      <c r="B2334" t="s">
        <v>8745</v>
      </c>
      <c r="C2334" t="s">
        <v>14470</v>
      </c>
      <c r="D2334" t="s">
        <v>8746</v>
      </c>
      <c r="E2334" t="s">
        <v>8745</v>
      </c>
      <c r="F2334" t="s">
        <v>28</v>
      </c>
      <c r="G2334" t="s">
        <v>8745</v>
      </c>
      <c r="H2334" t="str">
        <f>"F42F12.3"</f>
        <v>F42F12.3</v>
      </c>
      <c r="I2334" t="s">
        <v>8746</v>
      </c>
      <c r="J2334">
        <v>13.6420805034049</v>
      </c>
      <c r="K2334">
        <v>13.8645554931676</v>
      </c>
      <c r="L2334">
        <v>13.9555827056121</v>
      </c>
      <c r="M2334">
        <v>13.069083524499099</v>
      </c>
      <c r="N2334">
        <v>14.151156508390001</v>
      </c>
      <c r="O2334">
        <v>13.243035848448899</v>
      </c>
      <c r="P2334">
        <v>-0.332980940282182</v>
      </c>
      <c r="Q2334">
        <v>-0.81808171957894804</v>
      </c>
      <c r="R2334">
        <v>0.15211983901458401</v>
      </c>
      <c r="S2334">
        <v>13.957216975094999</v>
      </c>
      <c r="T2334">
        <v>-1.44271290379547</v>
      </c>
      <c r="U2334">
        <v>-6.1233308326540401</v>
      </c>
      <c r="V2334">
        <v>0.16637714557010999</v>
      </c>
      <c r="W2334">
        <v>0.31551701930187598</v>
      </c>
      <c r="X2334">
        <v>0</v>
      </c>
      <c r="Y2334">
        <v>0</v>
      </c>
    </row>
    <row r="2335" spans="1:25" x14ac:dyDescent="0.2">
      <c r="A2335" t="s">
        <v>8747</v>
      </c>
      <c r="B2335" t="s">
        <v>8748</v>
      </c>
      <c r="C2335" t="s">
        <v>8749</v>
      </c>
      <c r="D2335" t="s">
        <v>8750</v>
      </c>
      <c r="E2335" t="s">
        <v>8748</v>
      </c>
      <c r="F2335" t="s">
        <v>28</v>
      </c>
      <c r="G2335" t="s">
        <v>8748</v>
      </c>
      <c r="H2335" t="str">
        <f>"sip-1"</f>
        <v>sip-1</v>
      </c>
      <c r="I2335" t="s">
        <v>8750</v>
      </c>
      <c r="J2335">
        <v>16.280260827442302</v>
      </c>
      <c r="K2335">
        <v>15.992934463363101</v>
      </c>
      <c r="L2335">
        <v>16.432687528173201</v>
      </c>
      <c r="M2335">
        <v>15.6110633290811</v>
      </c>
      <c r="N2335">
        <v>16.755101801186701</v>
      </c>
      <c r="O2335">
        <v>16.368166436594201</v>
      </c>
      <c r="P2335">
        <v>9.4829159611293807E-3</v>
      </c>
      <c r="Q2335">
        <v>-0.65666301316804498</v>
      </c>
      <c r="R2335">
        <v>0.67562884509030396</v>
      </c>
      <c r="S2335">
        <v>16.605747424561201</v>
      </c>
      <c r="T2335">
        <v>2.99202375127685E-2</v>
      </c>
      <c r="U2335">
        <v>-7.1558322953392004</v>
      </c>
      <c r="V2335">
        <v>0.97646183556854904</v>
      </c>
      <c r="W2335">
        <v>0.98616621981511798</v>
      </c>
      <c r="X2335">
        <v>0</v>
      </c>
      <c r="Y2335">
        <v>0</v>
      </c>
    </row>
    <row r="2336" spans="1:25" x14ac:dyDescent="0.2">
      <c r="A2336" t="s">
        <v>8751</v>
      </c>
      <c r="B2336" t="s">
        <v>8752</v>
      </c>
      <c r="C2336" t="s">
        <v>8753</v>
      </c>
      <c r="D2336" t="s">
        <v>8754</v>
      </c>
      <c r="E2336" t="s">
        <v>8752</v>
      </c>
      <c r="F2336" t="s">
        <v>28</v>
      </c>
      <c r="G2336" t="s">
        <v>8752</v>
      </c>
      <c r="H2336" t="str">
        <f>"sly-1"</f>
        <v>sly-1</v>
      </c>
      <c r="I2336" t="s">
        <v>8754</v>
      </c>
      <c r="J2336">
        <v>12.358151439156901</v>
      </c>
      <c r="K2336">
        <v>12.435713751454101</v>
      </c>
      <c r="L2336">
        <v>12.3426351442452</v>
      </c>
      <c r="M2336" t="s">
        <v>29</v>
      </c>
      <c r="N2336" t="s">
        <v>29</v>
      </c>
      <c r="O2336">
        <v>13.055760975777099</v>
      </c>
      <c r="P2336">
        <v>0.676927530825012</v>
      </c>
      <c r="Q2336">
        <v>6.4472770669289402E-3</v>
      </c>
      <c r="R2336">
        <v>1.3474077845830901</v>
      </c>
      <c r="S2336">
        <v>12.6645709560268</v>
      </c>
      <c r="T2336">
        <v>2.1414390361009499</v>
      </c>
      <c r="U2336">
        <v>-4.7002546277731803</v>
      </c>
      <c r="V2336">
        <v>4.8083366508028302E-2</v>
      </c>
      <c r="W2336">
        <v>0.132469539567834</v>
      </c>
      <c r="X2336">
        <v>0</v>
      </c>
      <c r="Y2336">
        <v>0</v>
      </c>
    </row>
    <row r="2337" spans="1:25" x14ac:dyDescent="0.2">
      <c r="A2337" t="s">
        <v>8755</v>
      </c>
      <c r="B2337" t="s">
        <v>8756</v>
      </c>
      <c r="C2337" t="s">
        <v>8757</v>
      </c>
      <c r="D2337" t="s">
        <v>8758</v>
      </c>
      <c r="E2337" t="s">
        <v>8756</v>
      </c>
      <c r="F2337" t="s">
        <v>28</v>
      </c>
      <c r="G2337" t="s">
        <v>8756</v>
      </c>
      <c r="H2337" t="str">
        <f>"rab-33"</f>
        <v>rab-33</v>
      </c>
      <c r="I2337" t="s">
        <v>8758</v>
      </c>
      <c r="J2337">
        <v>13.7190446062536</v>
      </c>
      <c r="K2337">
        <v>14.0028129905256</v>
      </c>
      <c r="L2337">
        <v>13.8530812507995</v>
      </c>
      <c r="M2337" t="s">
        <v>29</v>
      </c>
      <c r="N2337" t="s">
        <v>29</v>
      </c>
      <c r="O2337">
        <v>13.7042177184048</v>
      </c>
      <c r="P2337">
        <v>-0.15409523078808701</v>
      </c>
      <c r="Q2337">
        <v>-0.82844165309725604</v>
      </c>
      <c r="R2337">
        <v>0.52025119152108201</v>
      </c>
      <c r="S2337">
        <v>13.3228240326375</v>
      </c>
      <c r="T2337">
        <v>-0.48468063666037697</v>
      </c>
      <c r="U2337">
        <v>-6.6902466556403697</v>
      </c>
      <c r="V2337">
        <v>0.63451429807866699</v>
      </c>
      <c r="W2337">
        <v>0.75705005523798896</v>
      </c>
      <c r="X2337">
        <v>0</v>
      </c>
      <c r="Y2337">
        <v>0</v>
      </c>
    </row>
    <row r="2338" spans="1:25" x14ac:dyDescent="0.2">
      <c r="A2338" t="s">
        <v>8759</v>
      </c>
      <c r="B2338" t="s">
        <v>8760</v>
      </c>
      <c r="C2338" t="s">
        <v>8761</v>
      </c>
      <c r="D2338" t="s">
        <v>8762</v>
      </c>
      <c r="E2338" t="s">
        <v>8760</v>
      </c>
      <c r="F2338" t="s">
        <v>28</v>
      </c>
      <c r="G2338" t="s">
        <v>8760</v>
      </c>
      <c r="H2338" t="str">
        <f>"patr-1"</f>
        <v>patr-1</v>
      </c>
      <c r="I2338" t="s">
        <v>8762</v>
      </c>
      <c r="J2338">
        <v>14.010181173393001</v>
      </c>
      <c r="K2338">
        <v>14.0970307779368</v>
      </c>
      <c r="L2338">
        <v>13.7389172047664</v>
      </c>
      <c r="M2338">
        <v>14.108873755276401</v>
      </c>
      <c r="N2338">
        <v>14.8786511955609</v>
      </c>
      <c r="O2338">
        <v>15.0105733327054</v>
      </c>
      <c r="P2338">
        <v>0.71732304248219603</v>
      </c>
      <c r="Q2338">
        <v>0.28752100762827698</v>
      </c>
      <c r="R2338">
        <v>1.1471250773361099</v>
      </c>
      <c r="S2338">
        <v>14.4836078319662</v>
      </c>
      <c r="T2338">
        <v>3.50783234017395</v>
      </c>
      <c r="U2338">
        <v>-2.2509138633208599</v>
      </c>
      <c r="V2338">
        <v>2.5307779055795199E-3</v>
      </c>
      <c r="W2338">
        <v>1.71452930752709E-2</v>
      </c>
      <c r="X2338">
        <v>0</v>
      </c>
      <c r="Y2338">
        <v>0</v>
      </c>
    </row>
    <row r="2339" spans="1:25" x14ac:dyDescent="0.2">
      <c r="A2339" t="s">
        <v>8763</v>
      </c>
      <c r="B2339" t="s">
        <v>8764</v>
      </c>
      <c r="C2339" t="s">
        <v>8765</v>
      </c>
      <c r="D2339" t="s">
        <v>8766</v>
      </c>
      <c r="E2339" t="s">
        <v>8764</v>
      </c>
      <c r="F2339" t="s">
        <v>28</v>
      </c>
      <c r="G2339" t="s">
        <v>8764</v>
      </c>
      <c r="H2339" t="str">
        <f>"sptl-2"</f>
        <v>sptl-2</v>
      </c>
      <c r="I2339" t="s">
        <v>8766</v>
      </c>
      <c r="J2339">
        <v>12.8592760271338</v>
      </c>
      <c r="K2339">
        <v>12.432764071246201</v>
      </c>
      <c r="L2339">
        <v>12.668905197927399</v>
      </c>
      <c r="M2339" t="s">
        <v>29</v>
      </c>
      <c r="N2339">
        <v>11.915130181780199</v>
      </c>
      <c r="O2339">
        <v>12.2000088012662</v>
      </c>
      <c r="P2339">
        <v>-0.59607894057927202</v>
      </c>
      <c r="Q2339">
        <v>-1.08091607111091</v>
      </c>
      <c r="R2339">
        <v>-0.11124181004763201</v>
      </c>
      <c r="S2339">
        <v>12.4933811670409</v>
      </c>
      <c r="T2339">
        <v>-2.5951228367456198</v>
      </c>
      <c r="U2339">
        <v>-4.0702221902072999</v>
      </c>
      <c r="V2339">
        <v>1.8935022832998302E-2</v>
      </c>
      <c r="W2339">
        <v>7.0994290443824604E-2</v>
      </c>
      <c r="X2339">
        <v>0</v>
      </c>
      <c r="Y2339">
        <v>0</v>
      </c>
    </row>
    <row r="2340" spans="1:25" x14ac:dyDescent="0.2">
      <c r="A2340" t="s">
        <v>8767</v>
      </c>
      <c r="B2340" t="s">
        <v>8768</v>
      </c>
      <c r="C2340" t="s">
        <v>14471</v>
      </c>
      <c r="D2340" t="s">
        <v>8769</v>
      </c>
      <c r="E2340" t="s">
        <v>8768</v>
      </c>
      <c r="F2340" t="s">
        <v>28</v>
      </c>
      <c r="G2340" t="s">
        <v>8768</v>
      </c>
      <c r="H2340" t="str">
        <f>"F43H9.3"</f>
        <v>F43H9.3</v>
      </c>
      <c r="I2340" t="s">
        <v>8769</v>
      </c>
      <c r="J2340">
        <v>11.4687166826957</v>
      </c>
      <c r="K2340">
        <v>11.4743825194615</v>
      </c>
      <c r="L2340">
        <v>11.981720229251099</v>
      </c>
      <c r="M2340" t="s">
        <v>29</v>
      </c>
      <c r="N2340" t="s">
        <v>29</v>
      </c>
      <c r="O2340">
        <v>11.975222703351699</v>
      </c>
      <c r="P2340">
        <v>0.33361622621553999</v>
      </c>
      <c r="Q2340">
        <v>-0.43841334510774799</v>
      </c>
      <c r="R2340">
        <v>1.1056457975388301</v>
      </c>
      <c r="S2340">
        <v>12.279445267401501</v>
      </c>
      <c r="T2340">
        <v>0.92162624941939297</v>
      </c>
      <c r="U2340">
        <v>-6.3773117008426796</v>
      </c>
      <c r="V2340">
        <v>0.371410977062963</v>
      </c>
      <c r="W2340">
        <v>0.538390629318521</v>
      </c>
      <c r="X2340">
        <v>0</v>
      </c>
      <c r="Y2340">
        <v>0</v>
      </c>
    </row>
    <row r="2341" spans="1:25" x14ac:dyDescent="0.2">
      <c r="A2341" t="s">
        <v>8770</v>
      </c>
      <c r="B2341" t="s">
        <v>8771</v>
      </c>
      <c r="C2341" t="s">
        <v>8772</v>
      </c>
      <c r="D2341" t="s">
        <v>1281</v>
      </c>
      <c r="E2341" t="s">
        <v>8771</v>
      </c>
      <c r="F2341" t="s">
        <v>28</v>
      </c>
      <c r="G2341" t="s">
        <v>8771</v>
      </c>
      <c r="H2341" t="str">
        <f>"magu-4"</f>
        <v>magu-4</v>
      </c>
      <c r="I2341" t="s">
        <v>1281</v>
      </c>
      <c r="J2341">
        <v>12.819017722582</v>
      </c>
      <c r="K2341">
        <v>12.7294851942873</v>
      </c>
      <c r="L2341">
        <v>12.640594066610101</v>
      </c>
      <c r="M2341" t="s">
        <v>29</v>
      </c>
      <c r="N2341" t="s">
        <v>29</v>
      </c>
      <c r="O2341">
        <v>12.586155622183099</v>
      </c>
      <c r="P2341">
        <v>-0.14354337231004199</v>
      </c>
      <c r="Q2341">
        <v>-1.0548146853584901</v>
      </c>
      <c r="R2341">
        <v>0.767727940738405</v>
      </c>
      <c r="S2341">
        <v>12.5071863682866</v>
      </c>
      <c r="T2341">
        <v>-0.33410653934699502</v>
      </c>
      <c r="U2341">
        <v>-6.7542861352392203</v>
      </c>
      <c r="V2341">
        <v>0.74266668824858695</v>
      </c>
      <c r="W2341">
        <v>0.83440287086106901</v>
      </c>
      <c r="X2341">
        <v>0</v>
      </c>
      <c r="Y2341">
        <v>0</v>
      </c>
    </row>
    <row r="2342" spans="1:25" x14ac:dyDescent="0.2">
      <c r="A2342" t="s">
        <v>8773</v>
      </c>
      <c r="B2342" t="s">
        <v>8774</v>
      </c>
      <c r="C2342" t="s">
        <v>8775</v>
      </c>
      <c r="D2342" t="s">
        <v>8776</v>
      </c>
      <c r="E2342" t="s">
        <v>8774</v>
      </c>
      <c r="F2342" t="s">
        <v>28</v>
      </c>
      <c r="G2342" t="s">
        <v>8774</v>
      </c>
      <c r="H2342" t="str">
        <f>"egg-3"</f>
        <v>egg-3</v>
      </c>
      <c r="I2342" t="s">
        <v>8776</v>
      </c>
      <c r="J2342" t="s">
        <v>29</v>
      </c>
      <c r="K2342" t="s">
        <v>29</v>
      </c>
      <c r="L2342">
        <v>11.446270075490499</v>
      </c>
      <c r="M2342" t="s">
        <v>29</v>
      </c>
      <c r="N2342" t="s">
        <v>29</v>
      </c>
      <c r="O2342" t="s">
        <v>29</v>
      </c>
      <c r="P2342" t="s">
        <v>29</v>
      </c>
      <c r="Q2342" t="s">
        <v>29</v>
      </c>
      <c r="R2342" t="s">
        <v>29</v>
      </c>
      <c r="S2342">
        <v>12.5017532113134</v>
      </c>
      <c r="T2342" t="s">
        <v>29</v>
      </c>
      <c r="U2342" t="s">
        <v>29</v>
      </c>
      <c r="V2342" t="s">
        <v>29</v>
      </c>
      <c r="W2342" t="s">
        <v>29</v>
      </c>
      <c r="X2342" t="s">
        <v>29</v>
      </c>
      <c r="Y2342" t="s">
        <v>29</v>
      </c>
    </row>
    <row r="2343" spans="1:25" x14ac:dyDescent="0.2">
      <c r="A2343" t="s">
        <v>8777</v>
      </c>
      <c r="B2343" t="s">
        <v>8778</v>
      </c>
      <c r="C2343" t="s">
        <v>8779</v>
      </c>
      <c r="D2343" t="s">
        <v>8780</v>
      </c>
      <c r="E2343" t="s">
        <v>8778</v>
      </c>
      <c r="F2343" t="s">
        <v>28</v>
      </c>
      <c r="G2343" t="s">
        <v>8778</v>
      </c>
      <c r="H2343" t="str">
        <f>"cnep-1"</f>
        <v>cnep-1</v>
      </c>
      <c r="I2343" t="s">
        <v>8780</v>
      </c>
      <c r="J2343">
        <v>13.956386772339901</v>
      </c>
      <c r="K2343">
        <v>14.3828436473322</v>
      </c>
      <c r="L2343">
        <v>13.575921070579099</v>
      </c>
      <c r="M2343" t="s">
        <v>29</v>
      </c>
      <c r="N2343">
        <v>14.6757130973344</v>
      </c>
      <c r="O2343">
        <v>13.7281564695667</v>
      </c>
      <c r="P2343">
        <v>0.230217620033455</v>
      </c>
      <c r="Q2343">
        <v>-0.41411851339693201</v>
      </c>
      <c r="R2343">
        <v>0.87455375346384301</v>
      </c>
      <c r="S2343">
        <v>13.9283529314575</v>
      </c>
      <c r="T2343">
        <v>0.75418186717065605</v>
      </c>
      <c r="U2343">
        <v>-6.7514476469768603</v>
      </c>
      <c r="V2343">
        <v>0.46112314146354899</v>
      </c>
      <c r="W2343">
        <v>0.62409607231562103</v>
      </c>
      <c r="X2343">
        <v>0</v>
      </c>
      <c r="Y2343">
        <v>0</v>
      </c>
    </row>
    <row r="2344" spans="1:25" x14ac:dyDescent="0.2">
      <c r="A2344" t="s">
        <v>8781</v>
      </c>
      <c r="B2344" t="s">
        <v>8782</v>
      </c>
      <c r="C2344" t="s">
        <v>8783</v>
      </c>
      <c r="D2344" t="s">
        <v>7751</v>
      </c>
      <c r="E2344" t="s">
        <v>8782</v>
      </c>
      <c r="F2344" t="s">
        <v>28</v>
      </c>
      <c r="G2344" t="s">
        <v>8782</v>
      </c>
      <c r="H2344" t="str">
        <f>"gei-1"</f>
        <v>gei-1</v>
      </c>
      <c r="I2344" t="s">
        <v>7751</v>
      </c>
      <c r="J2344">
        <v>13.681476423617699</v>
      </c>
      <c r="K2344">
        <v>14.063362360532899</v>
      </c>
      <c r="L2344">
        <v>13.940222502290601</v>
      </c>
      <c r="M2344" t="s">
        <v>29</v>
      </c>
      <c r="N2344" t="s">
        <v>29</v>
      </c>
      <c r="O2344">
        <v>12.8218314560989</v>
      </c>
      <c r="P2344">
        <v>-1.0731889727148101</v>
      </c>
      <c r="Q2344">
        <v>-1.63529494373995</v>
      </c>
      <c r="R2344">
        <v>-0.51108300168967202</v>
      </c>
      <c r="S2344">
        <v>13.654846355116</v>
      </c>
      <c r="T2344">
        <v>-4.0495571528457202</v>
      </c>
      <c r="U2344">
        <v>-0.92715779717299096</v>
      </c>
      <c r="V2344">
        <v>9.4128844753481105E-4</v>
      </c>
      <c r="W2344">
        <v>8.7231982858021698E-3</v>
      </c>
      <c r="X2344">
        <v>-1</v>
      </c>
      <c r="Y2344">
        <v>-1</v>
      </c>
    </row>
    <row r="2345" spans="1:25" x14ac:dyDescent="0.2">
      <c r="A2345" t="s">
        <v>8784</v>
      </c>
      <c r="B2345" t="s">
        <v>8785</v>
      </c>
      <c r="C2345" t="s">
        <v>14472</v>
      </c>
      <c r="D2345" t="s">
        <v>8786</v>
      </c>
      <c r="E2345" t="s">
        <v>8785</v>
      </c>
      <c r="F2345" t="s">
        <v>28</v>
      </c>
      <c r="G2345" t="s">
        <v>8785</v>
      </c>
      <c r="H2345" t="str">
        <f>"F46B6.4"</f>
        <v>F46B6.4</v>
      </c>
      <c r="I2345" t="s">
        <v>8786</v>
      </c>
      <c r="J2345">
        <v>12.141604892187701</v>
      </c>
      <c r="K2345">
        <v>12.1220572924989</v>
      </c>
      <c r="L2345">
        <v>11.9371987384216</v>
      </c>
      <c r="M2345" t="s">
        <v>29</v>
      </c>
      <c r="N2345" t="s">
        <v>29</v>
      </c>
      <c r="O2345">
        <v>12.1733487191626</v>
      </c>
      <c r="P2345">
        <v>0.106395078126509</v>
      </c>
      <c r="Q2345">
        <v>-0.73544109688343196</v>
      </c>
      <c r="R2345">
        <v>0.94823125313644996</v>
      </c>
      <c r="S2345">
        <v>12.131084630183301</v>
      </c>
      <c r="T2345">
        <v>0.27326323043107797</v>
      </c>
      <c r="U2345">
        <v>-6.7730617009568501</v>
      </c>
      <c r="V2345">
        <v>0.78897845039259795</v>
      </c>
      <c r="W2345">
        <v>0.86661181263771403</v>
      </c>
      <c r="X2345">
        <v>0</v>
      </c>
      <c r="Y2345">
        <v>0</v>
      </c>
    </row>
    <row r="2346" spans="1:25" x14ac:dyDescent="0.2">
      <c r="A2346" t="s">
        <v>8787</v>
      </c>
      <c r="B2346" t="s">
        <v>8788</v>
      </c>
      <c r="C2346" t="s">
        <v>8789</v>
      </c>
      <c r="D2346" t="s">
        <v>8790</v>
      </c>
      <c r="E2346" t="s">
        <v>8788</v>
      </c>
      <c r="F2346" t="s">
        <v>28</v>
      </c>
      <c r="G2346" t="s">
        <v>8788</v>
      </c>
      <c r="H2346" t="str">
        <f>"ztf-7"</f>
        <v>ztf-7</v>
      </c>
      <c r="I2346" t="s">
        <v>8790</v>
      </c>
      <c r="J2346">
        <v>13.795238453707</v>
      </c>
      <c r="K2346">
        <v>14.065911636088501</v>
      </c>
      <c r="L2346">
        <v>13.7020280392298</v>
      </c>
      <c r="M2346">
        <v>13.3839153054757</v>
      </c>
      <c r="N2346">
        <v>13.525402826076199</v>
      </c>
      <c r="O2346">
        <v>13.727367578406801</v>
      </c>
      <c r="P2346">
        <v>-0.30883080635554999</v>
      </c>
      <c r="Q2346">
        <v>-0.71543641401109803</v>
      </c>
      <c r="R2346">
        <v>9.7774801299997993E-2</v>
      </c>
      <c r="S2346">
        <v>13.8070218148913</v>
      </c>
      <c r="T2346">
        <v>-1.59639281575529</v>
      </c>
      <c r="U2346">
        <v>-5.9064593540761097</v>
      </c>
      <c r="V2346">
        <v>0.12790894853215601</v>
      </c>
      <c r="W2346">
        <v>0.26104409371486298</v>
      </c>
      <c r="X2346">
        <v>0</v>
      </c>
      <c r="Y2346">
        <v>0</v>
      </c>
    </row>
    <row r="2347" spans="1:25" x14ac:dyDescent="0.2">
      <c r="A2347" t="s">
        <v>8791</v>
      </c>
      <c r="B2347" t="s">
        <v>8792</v>
      </c>
      <c r="C2347" t="s">
        <v>8793</v>
      </c>
      <c r="D2347" t="s">
        <v>2180</v>
      </c>
      <c r="E2347" t="s">
        <v>8792</v>
      </c>
      <c r="F2347" t="s">
        <v>28</v>
      </c>
      <c r="G2347" t="s">
        <v>8792</v>
      </c>
      <c r="H2347" t="str">
        <f>"hum-4"</f>
        <v>hum-4</v>
      </c>
      <c r="I2347" t="s">
        <v>2180</v>
      </c>
      <c r="J2347">
        <v>15.0941003776624</v>
      </c>
      <c r="K2347">
        <v>15.4381186131133</v>
      </c>
      <c r="L2347">
        <v>15.057902420109601</v>
      </c>
      <c r="M2347">
        <v>14.2110168267379</v>
      </c>
      <c r="N2347">
        <v>14.479696850443</v>
      </c>
      <c r="O2347">
        <v>14.5899014797816</v>
      </c>
      <c r="P2347">
        <v>-0.76983541797424804</v>
      </c>
      <c r="Q2347">
        <v>-1.1665093468199901</v>
      </c>
      <c r="R2347">
        <v>-0.373161489128506</v>
      </c>
      <c r="S2347">
        <v>15.1311342842579</v>
      </c>
      <c r="T2347">
        <v>-4.0790285342669197</v>
      </c>
      <c r="U2347">
        <v>-0.99766291285973396</v>
      </c>
      <c r="V2347">
        <v>7.1178647636352399E-4</v>
      </c>
      <c r="W2347">
        <v>7.2083668242037902E-3</v>
      </c>
      <c r="X2347">
        <v>0</v>
      </c>
      <c r="Y2347">
        <v>0</v>
      </c>
    </row>
    <row r="2348" spans="1:25" x14ac:dyDescent="0.2">
      <c r="A2348" t="s">
        <v>8794</v>
      </c>
      <c r="B2348" t="s">
        <v>8795</v>
      </c>
      <c r="C2348" t="s">
        <v>8796</v>
      </c>
      <c r="D2348" t="s">
        <v>8797</v>
      </c>
      <c r="E2348" t="s">
        <v>8795</v>
      </c>
      <c r="F2348" t="s">
        <v>28</v>
      </c>
      <c r="G2348" t="s">
        <v>8795</v>
      </c>
      <c r="H2348" t="str">
        <f>"kin-20"</f>
        <v>kin-20</v>
      </c>
      <c r="I2348" t="s">
        <v>8797</v>
      </c>
      <c r="J2348">
        <v>13.509976409863301</v>
      </c>
      <c r="K2348">
        <v>13.5431673456398</v>
      </c>
      <c r="L2348">
        <v>13.4137781267537</v>
      </c>
      <c r="M2348">
        <v>14.318911316354701</v>
      </c>
      <c r="N2348">
        <v>14.443455221820001</v>
      </c>
      <c r="O2348">
        <v>13.638822280443399</v>
      </c>
      <c r="P2348">
        <v>0.64475564545375397</v>
      </c>
      <c r="Q2348">
        <v>0.106488938904337</v>
      </c>
      <c r="R2348">
        <v>1.18302235200317</v>
      </c>
      <c r="S2348">
        <v>13.2486625842226</v>
      </c>
      <c r="T2348">
        <v>2.5176198173078901</v>
      </c>
      <c r="U2348">
        <v>-4.3116455841728696</v>
      </c>
      <c r="V2348">
        <v>2.1567411936747001E-2</v>
      </c>
      <c r="W2348">
        <v>7.7322582697802206E-2</v>
      </c>
      <c r="X2348">
        <v>0</v>
      </c>
      <c r="Y2348">
        <v>0</v>
      </c>
    </row>
    <row r="2349" spans="1:25" x14ac:dyDescent="0.2">
      <c r="A2349" t="s">
        <v>8798</v>
      </c>
      <c r="B2349" t="s">
        <v>8799</v>
      </c>
      <c r="C2349" t="s">
        <v>8800</v>
      </c>
      <c r="D2349" t="s">
        <v>8801</v>
      </c>
      <c r="E2349" t="s">
        <v>8799</v>
      </c>
      <c r="F2349" t="s">
        <v>28</v>
      </c>
      <c r="G2349" t="s">
        <v>8799</v>
      </c>
      <c r="H2349" t="str">
        <f>"sir-2.2"</f>
        <v>sir-2.2</v>
      </c>
      <c r="I2349" t="s">
        <v>8801</v>
      </c>
      <c r="J2349">
        <v>15.112276495764901</v>
      </c>
      <c r="K2349">
        <v>15.6552973283532</v>
      </c>
      <c r="L2349">
        <v>15.566521811986</v>
      </c>
      <c r="M2349">
        <v>14.500530791698999</v>
      </c>
      <c r="N2349">
        <v>15.174089017832101</v>
      </c>
      <c r="O2349">
        <v>15.1098534580064</v>
      </c>
      <c r="P2349">
        <v>-0.51654078952221905</v>
      </c>
      <c r="Q2349">
        <v>-1.08556810418619</v>
      </c>
      <c r="R2349">
        <v>5.2486525141753601E-2</v>
      </c>
      <c r="S2349">
        <v>15.431619964212301</v>
      </c>
      <c r="T2349">
        <v>-1.9079369599368099</v>
      </c>
      <c r="U2349">
        <v>-5.4183727795417296</v>
      </c>
      <c r="V2349">
        <v>7.2576666179481594E-2</v>
      </c>
      <c r="W2349">
        <v>0.17545810929526801</v>
      </c>
      <c r="X2349">
        <v>0</v>
      </c>
      <c r="Y2349">
        <v>0</v>
      </c>
    </row>
    <row r="2350" spans="1:25" x14ac:dyDescent="0.2">
      <c r="A2350" t="s">
        <v>8802</v>
      </c>
      <c r="B2350" t="s">
        <v>8803</v>
      </c>
      <c r="C2350" t="s">
        <v>8804</v>
      </c>
      <c r="D2350" t="s">
        <v>323</v>
      </c>
      <c r="E2350" t="s">
        <v>8803</v>
      </c>
      <c r="F2350" t="s">
        <v>28</v>
      </c>
      <c r="G2350" t="s">
        <v>8803</v>
      </c>
      <c r="H2350" t="str">
        <f>"gakh-1"</f>
        <v>gakh-1</v>
      </c>
      <c r="I2350" t="s">
        <v>323</v>
      </c>
      <c r="J2350">
        <v>10.996683621467</v>
      </c>
      <c r="K2350">
        <v>10.907850042309899</v>
      </c>
      <c r="L2350">
        <v>11.100535440992701</v>
      </c>
      <c r="M2350" t="s">
        <v>29</v>
      </c>
      <c r="N2350" t="s">
        <v>29</v>
      </c>
      <c r="O2350">
        <v>12.2616801344784</v>
      </c>
      <c r="P2350">
        <v>1.2599904328885301</v>
      </c>
      <c r="Q2350">
        <v>0.38098209682840001</v>
      </c>
      <c r="R2350">
        <v>2.13899876894867</v>
      </c>
      <c r="S2350">
        <v>11.738941370002101</v>
      </c>
      <c r="T2350">
        <v>3.0403514133352698</v>
      </c>
      <c r="U2350">
        <v>-2.99834964067787</v>
      </c>
      <c r="V2350">
        <v>7.8403635271393508E-3</v>
      </c>
      <c r="W2350">
        <v>3.8312367032298802E-2</v>
      </c>
      <c r="X2350">
        <v>1</v>
      </c>
      <c r="Y2350">
        <v>1</v>
      </c>
    </row>
    <row r="2351" spans="1:25" x14ac:dyDescent="0.2">
      <c r="A2351" t="s">
        <v>8805</v>
      </c>
      <c r="B2351" t="s">
        <v>8806</v>
      </c>
      <c r="C2351" t="s">
        <v>8807</v>
      </c>
      <c r="D2351" t="s">
        <v>8808</v>
      </c>
      <c r="E2351" t="s">
        <v>8806</v>
      </c>
      <c r="F2351" t="s">
        <v>28</v>
      </c>
      <c r="G2351" t="s">
        <v>8806</v>
      </c>
      <c r="H2351" t="str">
        <f>"dpy-22"</f>
        <v>dpy-22</v>
      </c>
      <c r="I2351" t="s">
        <v>8808</v>
      </c>
      <c r="J2351">
        <v>12.369544698637499</v>
      </c>
      <c r="K2351">
        <v>12.514963675044999</v>
      </c>
      <c r="L2351">
        <v>12.466613432640001</v>
      </c>
      <c r="M2351" t="s">
        <v>29</v>
      </c>
      <c r="N2351" t="s">
        <v>29</v>
      </c>
      <c r="O2351">
        <v>11.386043496829</v>
      </c>
      <c r="P2351">
        <v>-1.06433043861184</v>
      </c>
      <c r="Q2351">
        <v>-1.72545574893162</v>
      </c>
      <c r="R2351">
        <v>-0.40320512829206001</v>
      </c>
      <c r="S2351">
        <v>12.3870319322836</v>
      </c>
      <c r="T2351">
        <v>-3.4146188115627298</v>
      </c>
      <c r="U2351">
        <v>-2.2383042386733201</v>
      </c>
      <c r="V2351">
        <v>3.5773287958370602E-3</v>
      </c>
      <c r="W2351">
        <v>2.2313502331048299E-2</v>
      </c>
      <c r="X2351">
        <v>-1</v>
      </c>
      <c r="Y2351">
        <v>-1</v>
      </c>
    </row>
    <row r="2352" spans="1:25" x14ac:dyDescent="0.2">
      <c r="A2352" t="s">
        <v>8809</v>
      </c>
      <c r="B2352" t="s">
        <v>8810</v>
      </c>
      <c r="C2352" t="s">
        <v>8811</v>
      </c>
      <c r="D2352" t="s">
        <v>8812</v>
      </c>
      <c r="E2352" t="s">
        <v>8810</v>
      </c>
      <c r="F2352" t="s">
        <v>28</v>
      </c>
      <c r="G2352" t="s">
        <v>8810</v>
      </c>
      <c r="H2352" t="str">
        <f>"rrc-1"</f>
        <v>rrc-1</v>
      </c>
      <c r="I2352" t="s">
        <v>8812</v>
      </c>
      <c r="J2352" t="s">
        <v>29</v>
      </c>
      <c r="K2352" t="s">
        <v>29</v>
      </c>
      <c r="L2352" t="s">
        <v>29</v>
      </c>
      <c r="M2352" t="s">
        <v>29</v>
      </c>
      <c r="N2352" t="s">
        <v>29</v>
      </c>
      <c r="O2352" t="s">
        <v>29</v>
      </c>
      <c r="P2352" t="s">
        <v>29</v>
      </c>
      <c r="Q2352" t="s">
        <v>29</v>
      </c>
      <c r="R2352" t="s">
        <v>29</v>
      </c>
      <c r="S2352">
        <v>10.945536744263</v>
      </c>
      <c r="T2352" t="s">
        <v>29</v>
      </c>
      <c r="U2352" t="s">
        <v>29</v>
      </c>
      <c r="V2352" t="s">
        <v>29</v>
      </c>
      <c r="W2352" t="s">
        <v>29</v>
      </c>
      <c r="X2352" t="s">
        <v>29</v>
      </c>
      <c r="Y2352" t="s">
        <v>29</v>
      </c>
    </row>
    <row r="2353" spans="1:25" x14ac:dyDescent="0.2">
      <c r="A2353" t="s">
        <v>8813</v>
      </c>
      <c r="B2353" t="s">
        <v>8814</v>
      </c>
      <c r="C2353" t="s">
        <v>8815</v>
      </c>
      <c r="D2353" t="s">
        <v>8816</v>
      </c>
      <c r="E2353" t="s">
        <v>8814</v>
      </c>
      <c r="F2353" t="s">
        <v>28</v>
      </c>
      <c r="G2353" t="s">
        <v>8814</v>
      </c>
      <c r="H2353" t="str">
        <f>"haly-1"</f>
        <v>haly-1</v>
      </c>
      <c r="I2353" t="s">
        <v>8816</v>
      </c>
      <c r="J2353">
        <v>11.082089749399101</v>
      </c>
      <c r="K2353">
        <v>11.719066979549201</v>
      </c>
      <c r="L2353">
        <v>11.7918116422248</v>
      </c>
      <c r="M2353" t="s">
        <v>29</v>
      </c>
      <c r="N2353">
        <v>12.1160913504612</v>
      </c>
      <c r="O2353">
        <v>13.223441690334701</v>
      </c>
      <c r="P2353">
        <v>1.1387770633403</v>
      </c>
      <c r="Q2353">
        <v>0.21789131458922101</v>
      </c>
      <c r="R2353">
        <v>2.0596628120913798</v>
      </c>
      <c r="S2353">
        <v>12.548210965682999</v>
      </c>
      <c r="T2353">
        <v>2.6102552162727699</v>
      </c>
      <c r="U2353">
        <v>-4.0407546690471801</v>
      </c>
      <c r="V2353">
        <v>1.8352474149862699E-2</v>
      </c>
      <c r="W2353">
        <v>6.9696831597481093E-2</v>
      </c>
      <c r="X2353">
        <v>1</v>
      </c>
      <c r="Y2353">
        <v>0</v>
      </c>
    </row>
    <row r="2354" spans="1:25" x14ac:dyDescent="0.2">
      <c r="A2354" t="s">
        <v>8817</v>
      </c>
      <c r="B2354" t="s">
        <v>8818</v>
      </c>
      <c r="C2354" t="s">
        <v>8819</v>
      </c>
      <c r="D2354" t="s">
        <v>8820</v>
      </c>
      <c r="E2354" t="s">
        <v>8818</v>
      </c>
      <c r="F2354" t="s">
        <v>28</v>
      </c>
      <c r="G2354" t="s">
        <v>8818</v>
      </c>
      <c r="H2354" t="str">
        <f>"acbp-3"</f>
        <v>acbp-3</v>
      </c>
      <c r="I2354" t="s">
        <v>8820</v>
      </c>
      <c r="J2354" t="s">
        <v>29</v>
      </c>
      <c r="K2354" t="s">
        <v>29</v>
      </c>
      <c r="L2354" t="s">
        <v>29</v>
      </c>
      <c r="M2354">
        <v>15.755270352942301</v>
      </c>
      <c r="N2354">
        <v>16.697952767546699</v>
      </c>
      <c r="O2354">
        <v>17.990282143780899</v>
      </c>
      <c r="P2354" t="s">
        <v>29</v>
      </c>
      <c r="Q2354" t="s">
        <v>29</v>
      </c>
      <c r="R2354" t="s">
        <v>29</v>
      </c>
      <c r="S2354">
        <v>15.7842783248035</v>
      </c>
      <c r="T2354" t="s">
        <v>29</v>
      </c>
      <c r="U2354" t="s">
        <v>29</v>
      </c>
      <c r="V2354" t="s">
        <v>29</v>
      </c>
      <c r="W2354" t="s">
        <v>29</v>
      </c>
      <c r="X2354" t="s">
        <v>29</v>
      </c>
      <c r="Y2354" t="s">
        <v>29</v>
      </c>
    </row>
    <row r="2355" spans="1:25" x14ac:dyDescent="0.2">
      <c r="A2355" t="s">
        <v>8821</v>
      </c>
      <c r="B2355" t="s">
        <v>8822</v>
      </c>
      <c r="C2355" t="s">
        <v>8823</v>
      </c>
      <c r="D2355" t="s">
        <v>8220</v>
      </c>
      <c r="E2355" t="s">
        <v>8822</v>
      </c>
      <c r="F2355" t="s">
        <v>28</v>
      </c>
      <c r="G2355" t="s">
        <v>8822</v>
      </c>
      <c r="H2355" t="str">
        <f>"pqn-39"</f>
        <v>pqn-39</v>
      </c>
      <c r="I2355" t="s">
        <v>8220</v>
      </c>
      <c r="J2355">
        <v>12.575894321477101</v>
      </c>
      <c r="K2355">
        <v>12.9170719428024</v>
      </c>
      <c r="L2355">
        <v>13.151348169626999</v>
      </c>
      <c r="M2355" t="s">
        <v>29</v>
      </c>
      <c r="N2355">
        <v>12.8642831957062</v>
      </c>
      <c r="O2355">
        <v>11.9347825235225</v>
      </c>
      <c r="P2355">
        <v>-0.48190528502117003</v>
      </c>
      <c r="Q2355">
        <v>-1.1806065366537399</v>
      </c>
      <c r="R2355">
        <v>0.216795966611396</v>
      </c>
      <c r="S2355">
        <v>12.965251141555999</v>
      </c>
      <c r="T2355">
        <v>-1.4558619015035399</v>
      </c>
      <c r="U2355">
        <v>-5.9963554952165703</v>
      </c>
      <c r="V2355">
        <v>0.163762098710586</v>
      </c>
      <c r="W2355">
        <v>0.31211921445674001</v>
      </c>
      <c r="X2355">
        <v>0</v>
      </c>
      <c r="Y2355">
        <v>0</v>
      </c>
    </row>
    <row r="2356" spans="1:25" x14ac:dyDescent="0.2">
      <c r="A2356" t="s">
        <v>8824</v>
      </c>
      <c r="B2356" t="s">
        <v>8825</v>
      </c>
      <c r="C2356" t="s">
        <v>14473</v>
      </c>
      <c r="D2356" t="s">
        <v>8826</v>
      </c>
      <c r="E2356" t="s">
        <v>8825</v>
      </c>
      <c r="F2356" t="s">
        <v>28</v>
      </c>
      <c r="G2356" t="s">
        <v>8825</v>
      </c>
      <c r="H2356" t="str">
        <f>"F49C12.6"</f>
        <v>F49C12.6</v>
      </c>
      <c r="I2356" t="s">
        <v>8826</v>
      </c>
      <c r="J2356">
        <v>11.8179628826321</v>
      </c>
      <c r="K2356">
        <v>12.855432042317799</v>
      </c>
      <c r="L2356" t="s">
        <v>29</v>
      </c>
      <c r="M2356" t="s">
        <v>29</v>
      </c>
      <c r="N2356" t="s">
        <v>29</v>
      </c>
      <c r="O2356" t="s">
        <v>29</v>
      </c>
      <c r="P2356" t="s">
        <v>29</v>
      </c>
      <c r="Q2356" t="s">
        <v>29</v>
      </c>
      <c r="R2356" t="s">
        <v>29</v>
      </c>
      <c r="S2356">
        <v>12.722442015876601</v>
      </c>
      <c r="T2356" t="s">
        <v>29</v>
      </c>
      <c r="U2356" t="s">
        <v>29</v>
      </c>
      <c r="V2356" t="s">
        <v>29</v>
      </c>
      <c r="W2356" t="s">
        <v>29</v>
      </c>
      <c r="X2356" t="s">
        <v>29</v>
      </c>
      <c r="Y2356" t="s">
        <v>29</v>
      </c>
    </row>
    <row r="2357" spans="1:25" x14ac:dyDescent="0.2">
      <c r="A2357" t="s">
        <v>8827</v>
      </c>
      <c r="B2357" t="s">
        <v>8828</v>
      </c>
      <c r="C2357" t="s">
        <v>8829</v>
      </c>
      <c r="D2357" t="s">
        <v>8830</v>
      </c>
      <c r="E2357" t="s">
        <v>8828</v>
      </c>
      <c r="F2357" t="s">
        <v>28</v>
      </c>
      <c r="G2357" t="s">
        <v>8828</v>
      </c>
      <c r="H2357" t="str">
        <f>"rpn-7"</f>
        <v>rpn-7</v>
      </c>
      <c r="I2357" t="s">
        <v>8830</v>
      </c>
      <c r="J2357">
        <v>17.775211120713699</v>
      </c>
      <c r="K2357">
        <v>17.7067390986685</v>
      </c>
      <c r="L2357">
        <v>17.6456169163983</v>
      </c>
      <c r="M2357">
        <v>17.082701158495698</v>
      </c>
      <c r="N2357">
        <v>17.1872691326707</v>
      </c>
      <c r="O2357">
        <v>17.5549379125375</v>
      </c>
      <c r="P2357">
        <v>-0.43421964402552499</v>
      </c>
      <c r="Q2357">
        <v>-0.76573263614385501</v>
      </c>
      <c r="R2357">
        <v>-0.102706651907195</v>
      </c>
      <c r="S2357">
        <v>17.441405128188901</v>
      </c>
      <c r="T2357">
        <v>-2.75296967110001</v>
      </c>
      <c r="U2357">
        <v>-3.8439223860641198</v>
      </c>
      <c r="V2357">
        <v>1.3138060423150501E-2</v>
      </c>
      <c r="W2357">
        <v>5.52323310513902E-2</v>
      </c>
      <c r="X2357">
        <v>0</v>
      </c>
      <c r="Y2357">
        <v>0</v>
      </c>
    </row>
    <row r="2358" spans="1:25" x14ac:dyDescent="0.2">
      <c r="A2358" t="s">
        <v>8831</v>
      </c>
      <c r="B2358" t="s">
        <v>8832</v>
      </c>
      <c r="C2358" t="s">
        <v>8833</v>
      </c>
      <c r="D2358" t="s">
        <v>8834</v>
      </c>
      <c r="E2358" t="s">
        <v>8832</v>
      </c>
      <c r="F2358" t="s">
        <v>28</v>
      </c>
      <c r="G2358" t="s">
        <v>8832</v>
      </c>
      <c r="H2358" t="str">
        <f>"skpo-1"</f>
        <v>skpo-1</v>
      </c>
      <c r="I2358" t="s">
        <v>8834</v>
      </c>
      <c r="J2358">
        <v>13.783151294437999</v>
      </c>
      <c r="K2358">
        <v>14.203159870643301</v>
      </c>
      <c r="L2358">
        <v>14.5691027379136</v>
      </c>
      <c r="M2358">
        <v>15.7366271220417</v>
      </c>
      <c r="N2358">
        <v>14.8491893305718</v>
      </c>
      <c r="O2358">
        <v>14.531315784001199</v>
      </c>
      <c r="P2358">
        <v>0.85390611120662296</v>
      </c>
      <c r="Q2358">
        <v>0.27655427797408499</v>
      </c>
      <c r="R2358">
        <v>1.43125794443916</v>
      </c>
      <c r="S2358">
        <v>14.495018887978601</v>
      </c>
      <c r="T2358">
        <v>3.1085802663112201</v>
      </c>
      <c r="U2358">
        <v>-3.1074121631890499</v>
      </c>
      <c r="V2358">
        <v>6.0961007273272003E-3</v>
      </c>
      <c r="W2358">
        <v>3.2311526696822399E-2</v>
      </c>
      <c r="X2358">
        <v>0</v>
      </c>
      <c r="Y2358">
        <v>0</v>
      </c>
    </row>
    <row r="2359" spans="1:25" x14ac:dyDescent="0.2">
      <c r="A2359" t="s">
        <v>8835</v>
      </c>
      <c r="B2359" t="s">
        <v>8836</v>
      </c>
      <c r="C2359" t="s">
        <v>8837</v>
      </c>
      <c r="D2359" t="s">
        <v>8838</v>
      </c>
      <c r="E2359" t="s">
        <v>8836</v>
      </c>
      <c r="F2359" t="s">
        <v>28</v>
      </c>
      <c r="G2359" t="s">
        <v>8836</v>
      </c>
      <c r="H2359" t="str">
        <f>"gpb-2"</f>
        <v>gpb-2</v>
      </c>
      <c r="I2359" t="s">
        <v>8838</v>
      </c>
      <c r="J2359">
        <v>13.939703254501399</v>
      </c>
      <c r="K2359">
        <v>14.159638689810601</v>
      </c>
      <c r="L2359">
        <v>13.597627595521001</v>
      </c>
      <c r="M2359" t="s">
        <v>29</v>
      </c>
      <c r="N2359">
        <v>12.825523828050001</v>
      </c>
      <c r="O2359">
        <v>13.296871638854901</v>
      </c>
      <c r="P2359">
        <v>-0.83779211315856394</v>
      </c>
      <c r="Q2359">
        <v>-1.4238881825137499</v>
      </c>
      <c r="R2359">
        <v>-0.25169604380337701</v>
      </c>
      <c r="S2359">
        <v>13.239133149147801</v>
      </c>
      <c r="T2359">
        <v>-3.0172929082661</v>
      </c>
      <c r="U2359">
        <v>-3.2245261524307298</v>
      </c>
      <c r="V2359">
        <v>7.8038966625030596E-3</v>
      </c>
      <c r="W2359">
        <v>3.82027964524859E-2</v>
      </c>
      <c r="X2359">
        <v>0</v>
      </c>
      <c r="Y2359">
        <v>0</v>
      </c>
    </row>
    <row r="2360" spans="1:25" x14ac:dyDescent="0.2">
      <c r="A2360" t="s">
        <v>8839</v>
      </c>
      <c r="B2360" t="s">
        <v>8840</v>
      </c>
      <c r="C2360" t="s">
        <v>8841</v>
      </c>
      <c r="D2360" t="s">
        <v>1047</v>
      </c>
      <c r="E2360" t="s">
        <v>8840</v>
      </c>
      <c r="F2360" t="s">
        <v>28</v>
      </c>
      <c r="G2360" t="s">
        <v>8840</v>
      </c>
      <c r="H2360" t="str">
        <f>"nmy-1"</f>
        <v>nmy-1</v>
      </c>
      <c r="I2360" t="s">
        <v>1047</v>
      </c>
      <c r="J2360">
        <v>14.510198984958601</v>
      </c>
      <c r="K2360">
        <v>14.670405118758399</v>
      </c>
      <c r="L2360">
        <v>14.6328905404298</v>
      </c>
      <c r="M2360">
        <v>14.595059916427999</v>
      </c>
      <c r="N2360">
        <v>15.1739843374031</v>
      </c>
      <c r="O2360">
        <v>15.056863942596101</v>
      </c>
      <c r="P2360">
        <v>0.337471184093461</v>
      </c>
      <c r="Q2360">
        <v>-0.23618348117474999</v>
      </c>
      <c r="R2360">
        <v>0.91112584936167296</v>
      </c>
      <c r="S2360">
        <v>14.7137508550628</v>
      </c>
      <c r="T2360">
        <v>1.2364560349223499</v>
      </c>
      <c r="U2360">
        <v>-6.3866164623577601</v>
      </c>
      <c r="V2360">
        <v>0.23227228014369899</v>
      </c>
      <c r="W2360">
        <v>0.39704548119691402</v>
      </c>
      <c r="X2360">
        <v>0</v>
      </c>
      <c r="Y2360">
        <v>0</v>
      </c>
    </row>
    <row r="2361" spans="1:25" x14ac:dyDescent="0.2">
      <c r="A2361" t="s">
        <v>8842</v>
      </c>
      <c r="B2361" t="s">
        <v>8843</v>
      </c>
      <c r="C2361" t="s">
        <v>14474</v>
      </c>
      <c r="D2361" t="s">
        <v>323</v>
      </c>
      <c r="E2361" t="s">
        <v>8843</v>
      </c>
      <c r="F2361" t="s">
        <v>28</v>
      </c>
      <c r="G2361" t="s">
        <v>8843</v>
      </c>
      <c r="H2361" t="str">
        <f>"F52B5.2"</f>
        <v>F52B5.2</v>
      </c>
      <c r="I2361" t="s">
        <v>323</v>
      </c>
      <c r="J2361">
        <v>10.7573177091252</v>
      </c>
      <c r="K2361">
        <v>13.268159947480701</v>
      </c>
      <c r="L2361">
        <v>11.1117711699016</v>
      </c>
      <c r="M2361" t="s">
        <v>29</v>
      </c>
      <c r="N2361">
        <v>11.1218855008661</v>
      </c>
      <c r="O2361">
        <v>12.0640704350836</v>
      </c>
      <c r="P2361">
        <v>-0.119438307527654</v>
      </c>
      <c r="Q2361">
        <v>-1.3859689052117601</v>
      </c>
      <c r="R2361">
        <v>1.14709229015645</v>
      </c>
      <c r="S2361">
        <v>11.8878812105448</v>
      </c>
      <c r="T2361">
        <v>-0.200021870511123</v>
      </c>
      <c r="U2361">
        <v>-7.0243970328522396</v>
      </c>
      <c r="V2361">
        <v>0.84400011488530202</v>
      </c>
      <c r="W2361">
        <v>0.90183768620992999</v>
      </c>
      <c r="X2361">
        <v>0</v>
      </c>
      <c r="Y2361">
        <v>0</v>
      </c>
    </row>
    <row r="2362" spans="1:25" x14ac:dyDescent="0.2">
      <c r="A2362" t="s">
        <v>8844</v>
      </c>
      <c r="B2362" t="s">
        <v>8845</v>
      </c>
      <c r="C2362" t="s">
        <v>14475</v>
      </c>
      <c r="D2362" t="s">
        <v>2791</v>
      </c>
      <c r="E2362" t="s">
        <v>8845</v>
      </c>
      <c r="F2362" t="s">
        <v>28</v>
      </c>
      <c r="G2362" t="s">
        <v>8845</v>
      </c>
      <c r="H2362" t="str">
        <f>"F52B5.3"</f>
        <v>F52B5.3</v>
      </c>
      <c r="I2362" t="s">
        <v>2791</v>
      </c>
      <c r="J2362">
        <v>14.2795093657243</v>
      </c>
      <c r="K2362">
        <v>14.3168814897065</v>
      </c>
      <c r="L2362">
        <v>14.952153116347899</v>
      </c>
      <c r="M2362">
        <v>16.438600392370901</v>
      </c>
      <c r="N2362">
        <v>14.8146267278682</v>
      </c>
      <c r="O2362">
        <v>13.8716702994325</v>
      </c>
      <c r="P2362">
        <v>0.52545114929765402</v>
      </c>
      <c r="Q2362">
        <v>-0.31724742947444301</v>
      </c>
      <c r="R2362">
        <v>1.3681497280697501</v>
      </c>
      <c r="S2362">
        <v>15.125816807232001</v>
      </c>
      <c r="T2362">
        <v>1.31054699199598</v>
      </c>
      <c r="U2362">
        <v>-6.2958670192814603</v>
      </c>
      <c r="V2362">
        <v>0.20658263628368201</v>
      </c>
      <c r="W2362">
        <v>0.36744549792389097</v>
      </c>
      <c r="X2362">
        <v>0</v>
      </c>
      <c r="Y2362">
        <v>0</v>
      </c>
    </row>
    <row r="2363" spans="1:25" x14ac:dyDescent="0.2">
      <c r="A2363" t="s">
        <v>8846</v>
      </c>
      <c r="B2363" t="s">
        <v>8847</v>
      </c>
      <c r="C2363" t="s">
        <v>8848</v>
      </c>
      <c r="D2363" t="s">
        <v>8849</v>
      </c>
      <c r="E2363" t="s">
        <v>8847</v>
      </c>
      <c r="F2363" t="s">
        <v>28</v>
      </c>
      <c r="G2363" t="s">
        <v>8847</v>
      </c>
      <c r="H2363" t="str">
        <f>"rpl-25.2"</f>
        <v>rpl-25.2</v>
      </c>
      <c r="I2363" t="s">
        <v>8849</v>
      </c>
      <c r="J2363">
        <v>13.4932927527404</v>
      </c>
      <c r="K2363">
        <v>14.1298724634799</v>
      </c>
      <c r="L2363">
        <v>14.3929872639702</v>
      </c>
      <c r="M2363">
        <v>13.884291532934601</v>
      </c>
      <c r="N2363">
        <v>14.266335083371001</v>
      </c>
      <c r="O2363">
        <v>13.5808121113516</v>
      </c>
      <c r="P2363">
        <v>-9.4904584177808005E-2</v>
      </c>
      <c r="Q2363">
        <v>-1.1647925511706301</v>
      </c>
      <c r="R2363">
        <v>0.97498338281501795</v>
      </c>
      <c r="S2363">
        <v>14.7142264242573</v>
      </c>
      <c r="T2363">
        <v>-0.18644099017438501</v>
      </c>
      <c r="U2363">
        <v>-7.13807795215273</v>
      </c>
      <c r="V2363">
        <v>0.85419622459490696</v>
      </c>
      <c r="W2363">
        <v>0.90777950544347796</v>
      </c>
      <c r="X2363">
        <v>0</v>
      </c>
      <c r="Y2363">
        <v>0</v>
      </c>
    </row>
    <row r="2364" spans="1:25" x14ac:dyDescent="0.2">
      <c r="A2364" t="s">
        <v>8850</v>
      </c>
      <c r="B2364" t="s">
        <v>8851</v>
      </c>
      <c r="C2364" t="s">
        <v>8852</v>
      </c>
      <c r="D2364" t="s">
        <v>8853</v>
      </c>
      <c r="E2364" t="s">
        <v>8851</v>
      </c>
      <c r="F2364" t="s">
        <v>28</v>
      </c>
      <c r="G2364" t="s">
        <v>8851</v>
      </c>
      <c r="H2364" t="str">
        <f>"ftt-2"</f>
        <v>ftt-2</v>
      </c>
      <c r="I2364" t="s">
        <v>8853</v>
      </c>
      <c r="J2364">
        <v>15.9363699467423</v>
      </c>
      <c r="K2364">
        <v>16.124514113163102</v>
      </c>
      <c r="L2364">
        <v>15.756842000808</v>
      </c>
      <c r="M2364">
        <v>16.8266046536543</v>
      </c>
      <c r="N2364">
        <v>16.437062922937901</v>
      </c>
      <c r="O2364">
        <v>15.7243817302186</v>
      </c>
      <c r="P2364">
        <v>0.39010774869913201</v>
      </c>
      <c r="Q2364">
        <v>-0.24101605291206801</v>
      </c>
      <c r="R2364">
        <v>1.02123155031033</v>
      </c>
      <c r="S2364">
        <v>15.544311458633899</v>
      </c>
      <c r="T2364">
        <v>1.2991596718787299</v>
      </c>
      <c r="U2364">
        <v>-6.3100995607193502</v>
      </c>
      <c r="V2364">
        <v>0.210379163197326</v>
      </c>
      <c r="W2364">
        <v>0.37191805275496198</v>
      </c>
      <c r="X2364">
        <v>0</v>
      </c>
      <c r="Y2364">
        <v>0</v>
      </c>
    </row>
    <row r="2365" spans="1:25" x14ac:dyDescent="0.2">
      <c r="A2365" t="s">
        <v>8854</v>
      </c>
      <c r="B2365" t="s">
        <v>8855</v>
      </c>
      <c r="C2365" t="s">
        <v>8856</v>
      </c>
      <c r="D2365" t="s">
        <v>8857</v>
      </c>
      <c r="E2365" t="s">
        <v>8855</v>
      </c>
      <c r="F2365" t="s">
        <v>28</v>
      </c>
      <c r="G2365" t="s">
        <v>8855</v>
      </c>
      <c r="H2365" t="str">
        <f>"vha-18"</f>
        <v>vha-18</v>
      </c>
      <c r="I2365" t="s">
        <v>8857</v>
      </c>
      <c r="J2365" t="s">
        <v>29</v>
      </c>
      <c r="K2365" t="s">
        <v>29</v>
      </c>
      <c r="L2365">
        <v>12.059500169765601</v>
      </c>
      <c r="M2365" t="s">
        <v>29</v>
      </c>
      <c r="N2365" t="s">
        <v>29</v>
      </c>
      <c r="O2365">
        <v>11.9810421228736</v>
      </c>
      <c r="P2365">
        <v>-7.8458046892000893E-2</v>
      </c>
      <c r="Q2365">
        <v>-1.52941477561926</v>
      </c>
      <c r="R2365">
        <v>1.37249868183525</v>
      </c>
      <c r="S2365">
        <v>11.062536845894099</v>
      </c>
      <c r="T2365">
        <v>-0.117931017171088</v>
      </c>
      <c r="U2365">
        <v>-6.6055217712342804</v>
      </c>
      <c r="V2365">
        <v>0.908090305346272</v>
      </c>
      <c r="W2365">
        <v>0.94496544133314397</v>
      </c>
      <c r="X2365">
        <v>0</v>
      </c>
      <c r="Y2365">
        <v>0</v>
      </c>
    </row>
    <row r="2366" spans="1:25" x14ac:dyDescent="0.2">
      <c r="A2366" t="s">
        <v>8858</v>
      </c>
      <c r="B2366" t="s">
        <v>8859</v>
      </c>
      <c r="C2366" t="s">
        <v>8860</v>
      </c>
      <c r="D2366" t="s">
        <v>8861</v>
      </c>
      <c r="E2366" t="s">
        <v>8859</v>
      </c>
      <c r="F2366" t="s">
        <v>28</v>
      </c>
      <c r="G2366" t="s">
        <v>8859</v>
      </c>
      <c r="H2366" t="str">
        <f>"pccb-1"</f>
        <v>pccb-1</v>
      </c>
      <c r="I2366" t="s">
        <v>8861</v>
      </c>
      <c r="J2366">
        <v>18.371108740974201</v>
      </c>
      <c r="K2366">
        <v>18.0671571526949</v>
      </c>
      <c r="L2366">
        <v>17.9769733511908</v>
      </c>
      <c r="M2366">
        <v>17.721329309701101</v>
      </c>
      <c r="N2366">
        <v>18.0852892051638</v>
      </c>
      <c r="O2366">
        <v>18.3382285384086</v>
      </c>
      <c r="P2366">
        <v>-9.0130730528823505E-2</v>
      </c>
      <c r="Q2366">
        <v>-0.68648462268908605</v>
      </c>
      <c r="R2366">
        <v>0.50622316163143899</v>
      </c>
      <c r="S2366">
        <v>17.730734651597398</v>
      </c>
      <c r="T2366">
        <v>-0.31765913299297199</v>
      </c>
      <c r="U2366">
        <v>-7.1034962499303704</v>
      </c>
      <c r="V2366">
        <v>0.75442022890974403</v>
      </c>
      <c r="W2366">
        <v>0.84470988396543201</v>
      </c>
      <c r="X2366">
        <v>0</v>
      </c>
      <c r="Y2366">
        <v>0</v>
      </c>
    </row>
    <row r="2367" spans="1:25" x14ac:dyDescent="0.2">
      <c r="A2367" t="s">
        <v>8862</v>
      </c>
      <c r="B2367" t="s">
        <v>8863</v>
      </c>
      <c r="C2367" t="s">
        <v>8864</v>
      </c>
      <c r="D2367" t="s">
        <v>8865</v>
      </c>
      <c r="E2367" t="s">
        <v>8863</v>
      </c>
      <c r="F2367" t="s">
        <v>28</v>
      </c>
      <c r="G2367" t="s">
        <v>8863</v>
      </c>
      <c r="H2367" t="str">
        <f>"sec-3"</f>
        <v>sec-3</v>
      </c>
      <c r="I2367" t="s">
        <v>8865</v>
      </c>
      <c r="J2367">
        <v>12.5498820923747</v>
      </c>
      <c r="K2367">
        <v>12.612096808144999</v>
      </c>
      <c r="L2367">
        <v>12.470115023653801</v>
      </c>
      <c r="M2367" t="s">
        <v>29</v>
      </c>
      <c r="N2367" t="s">
        <v>29</v>
      </c>
      <c r="O2367">
        <v>13.192269024871999</v>
      </c>
      <c r="P2367">
        <v>0.64823771681411202</v>
      </c>
      <c r="Q2367">
        <v>-2.3882070803095502E-2</v>
      </c>
      <c r="R2367">
        <v>1.3203575044313201</v>
      </c>
      <c r="S2367">
        <v>12.6074852175463</v>
      </c>
      <c r="T2367">
        <v>2.0456773874760099</v>
      </c>
      <c r="U2367">
        <v>-4.8647596558743302</v>
      </c>
      <c r="V2367">
        <v>5.7705860901257199E-2</v>
      </c>
      <c r="W2367">
        <v>0.15062814178565601</v>
      </c>
      <c r="X2367">
        <v>0</v>
      </c>
      <c r="Y2367">
        <v>0</v>
      </c>
    </row>
    <row r="2368" spans="1:25" x14ac:dyDescent="0.2">
      <c r="A2368" t="s">
        <v>8866</v>
      </c>
      <c r="B2368" t="s">
        <v>8867</v>
      </c>
      <c r="C2368" t="s">
        <v>8868</v>
      </c>
      <c r="D2368" t="s">
        <v>8869</v>
      </c>
      <c r="E2368" t="s">
        <v>8867</v>
      </c>
      <c r="F2368" t="s">
        <v>28</v>
      </c>
      <c r="G2368" t="s">
        <v>8867</v>
      </c>
      <c r="H2368" t="str">
        <f>"mtcu-2"</f>
        <v>mtcu-2</v>
      </c>
      <c r="I2368" t="s">
        <v>8869</v>
      </c>
      <c r="J2368">
        <v>11.831123434940601</v>
      </c>
      <c r="K2368">
        <v>10.4329491858956</v>
      </c>
      <c r="L2368" t="s">
        <v>29</v>
      </c>
      <c r="M2368" t="s">
        <v>29</v>
      </c>
      <c r="N2368" t="s">
        <v>29</v>
      </c>
      <c r="O2368">
        <v>11.6929828814866</v>
      </c>
      <c r="P2368">
        <v>0.56094657106852397</v>
      </c>
      <c r="Q2368">
        <v>-1.0432975454028</v>
      </c>
      <c r="R2368">
        <v>2.1651906875398499</v>
      </c>
      <c r="S2368">
        <v>11.876714476831401</v>
      </c>
      <c r="T2368">
        <v>0.75048658780260402</v>
      </c>
      <c r="U2368">
        <v>-6.4626433913397303</v>
      </c>
      <c r="V2368">
        <v>0.465481322960211</v>
      </c>
      <c r="W2368">
        <v>0.62810140053284902</v>
      </c>
      <c r="X2368">
        <v>0</v>
      </c>
      <c r="Y2368">
        <v>0</v>
      </c>
    </row>
    <row r="2369" spans="1:25" x14ac:dyDescent="0.2">
      <c r="A2369" t="s">
        <v>8870</v>
      </c>
      <c r="B2369" t="s">
        <v>8871</v>
      </c>
      <c r="C2369" t="s">
        <v>8872</v>
      </c>
      <c r="D2369" t="s">
        <v>8873</v>
      </c>
      <c r="E2369" t="s">
        <v>8871</v>
      </c>
      <c r="F2369" t="s">
        <v>28</v>
      </c>
      <c r="G2369" t="s">
        <v>8871</v>
      </c>
      <c r="H2369" t="str">
        <f>"ttc-36"</f>
        <v>ttc-36</v>
      </c>
      <c r="I2369" t="s">
        <v>8873</v>
      </c>
      <c r="J2369">
        <v>12.280125187660801</v>
      </c>
      <c r="K2369" t="s">
        <v>29</v>
      </c>
      <c r="L2369" t="s">
        <v>29</v>
      </c>
      <c r="M2369" t="s">
        <v>29</v>
      </c>
      <c r="N2369" t="s">
        <v>29</v>
      </c>
      <c r="O2369" t="s">
        <v>29</v>
      </c>
      <c r="P2369" t="s">
        <v>29</v>
      </c>
      <c r="Q2369" t="s">
        <v>29</v>
      </c>
      <c r="R2369" t="s">
        <v>29</v>
      </c>
      <c r="S2369">
        <v>13.3373956550498</v>
      </c>
      <c r="T2369" t="s">
        <v>29</v>
      </c>
      <c r="U2369" t="s">
        <v>29</v>
      </c>
      <c r="V2369" t="s">
        <v>29</v>
      </c>
      <c r="W2369" t="s">
        <v>29</v>
      </c>
      <c r="X2369" t="s">
        <v>29</v>
      </c>
      <c r="Y2369" t="s">
        <v>29</v>
      </c>
    </row>
    <row r="2370" spans="1:25" x14ac:dyDescent="0.2">
      <c r="A2370" t="s">
        <v>8874</v>
      </c>
      <c r="B2370" t="s">
        <v>8875</v>
      </c>
      <c r="C2370" t="s">
        <v>8876</v>
      </c>
      <c r="D2370" t="s">
        <v>8877</v>
      </c>
      <c r="E2370" t="s">
        <v>8875</v>
      </c>
      <c r="F2370" t="s">
        <v>28</v>
      </c>
      <c r="G2370" t="s">
        <v>8875</v>
      </c>
      <c r="H2370" t="str">
        <f>"lec-2"</f>
        <v>lec-2</v>
      </c>
      <c r="I2370" t="s">
        <v>8877</v>
      </c>
      <c r="J2370">
        <v>12.8190894392477</v>
      </c>
      <c r="K2370">
        <v>12.002261491499199</v>
      </c>
      <c r="L2370">
        <v>12.582329626200501</v>
      </c>
      <c r="M2370">
        <v>15.514641397385899</v>
      </c>
      <c r="N2370">
        <v>14.400334997945199</v>
      </c>
      <c r="O2370">
        <v>14.441111918333601</v>
      </c>
      <c r="P2370">
        <v>2.3174692522390798</v>
      </c>
      <c r="Q2370">
        <v>1.50888967629596</v>
      </c>
      <c r="R2370">
        <v>3.1260488281821899</v>
      </c>
      <c r="S2370">
        <v>12.5408771313835</v>
      </c>
      <c r="T2370">
        <v>6.0239828482393598</v>
      </c>
      <c r="U2370">
        <v>3.1966152752499801</v>
      </c>
      <c r="V2370" s="2">
        <v>1.09996842991621E-5</v>
      </c>
      <c r="W2370">
        <v>3.0295392177224898E-4</v>
      </c>
      <c r="X2370">
        <v>1</v>
      </c>
      <c r="Y2370">
        <v>1</v>
      </c>
    </row>
    <row r="2371" spans="1:25" x14ac:dyDescent="0.2">
      <c r="A2371" t="s">
        <v>8878</v>
      </c>
      <c r="B2371" t="s">
        <v>8879</v>
      </c>
      <c r="C2371" t="s">
        <v>8880</v>
      </c>
      <c r="D2371" t="s">
        <v>8881</v>
      </c>
      <c r="E2371" t="s">
        <v>8879</v>
      </c>
      <c r="F2371" t="s">
        <v>28</v>
      </c>
      <c r="G2371" t="s">
        <v>8879</v>
      </c>
      <c r="H2371" t="str">
        <f>"F53B1.2"</f>
        <v>F53B1.2</v>
      </c>
      <c r="I2371" t="s">
        <v>8881</v>
      </c>
      <c r="J2371">
        <v>12.026276015356</v>
      </c>
      <c r="K2371">
        <v>12.071327533015101</v>
      </c>
      <c r="L2371">
        <v>12.0451049712869</v>
      </c>
      <c r="M2371" t="s">
        <v>29</v>
      </c>
      <c r="N2371" t="s">
        <v>29</v>
      </c>
      <c r="O2371" t="s">
        <v>29</v>
      </c>
      <c r="P2371" t="s">
        <v>29</v>
      </c>
      <c r="Q2371" t="s">
        <v>29</v>
      </c>
      <c r="R2371" t="s">
        <v>29</v>
      </c>
      <c r="S2371">
        <v>11.881259299099399</v>
      </c>
      <c r="T2371" t="s">
        <v>29</v>
      </c>
      <c r="U2371" t="s">
        <v>29</v>
      </c>
      <c r="V2371" t="s">
        <v>29</v>
      </c>
      <c r="W2371" t="s">
        <v>29</v>
      </c>
      <c r="X2371" t="s">
        <v>29</v>
      </c>
      <c r="Y2371" t="s">
        <v>29</v>
      </c>
    </row>
    <row r="2372" spans="1:25" x14ac:dyDescent="0.2">
      <c r="A2372" t="s">
        <v>8882</v>
      </c>
      <c r="B2372" t="s">
        <v>8883</v>
      </c>
      <c r="C2372" t="s">
        <v>8884</v>
      </c>
      <c r="D2372" t="s">
        <v>7359</v>
      </c>
      <c r="E2372" t="s">
        <v>8883</v>
      </c>
      <c r="F2372" t="s">
        <v>28</v>
      </c>
      <c r="G2372" t="s">
        <v>8883</v>
      </c>
      <c r="H2372" t="str">
        <f>"bus-5"</f>
        <v>bus-5</v>
      </c>
      <c r="I2372" t="s">
        <v>7359</v>
      </c>
      <c r="J2372">
        <v>12.947049006344299</v>
      </c>
      <c r="K2372">
        <v>13.169271456672201</v>
      </c>
      <c r="L2372">
        <v>13.3355043324127</v>
      </c>
      <c r="M2372">
        <v>14.312760226294801</v>
      </c>
      <c r="N2372">
        <v>11.685289679139499</v>
      </c>
      <c r="O2372">
        <v>13.1798304986593</v>
      </c>
      <c r="P2372">
        <v>-9.1314797111904197E-2</v>
      </c>
      <c r="Q2372">
        <v>-0.92382734498365904</v>
      </c>
      <c r="R2372">
        <v>0.74119775075985095</v>
      </c>
      <c r="S2372">
        <v>13.096248161904899</v>
      </c>
      <c r="T2372">
        <v>-0.23053819239701601</v>
      </c>
      <c r="U2372">
        <v>-7.1284520416895898</v>
      </c>
      <c r="V2372">
        <v>0.82028858898492496</v>
      </c>
      <c r="W2372">
        <v>0.88679034179698202</v>
      </c>
      <c r="X2372">
        <v>0</v>
      </c>
      <c r="Y2372">
        <v>0</v>
      </c>
    </row>
    <row r="2373" spans="1:25" x14ac:dyDescent="0.2">
      <c r="A2373" t="s">
        <v>8885</v>
      </c>
      <c r="B2373" t="s">
        <v>8886</v>
      </c>
      <c r="C2373" t="s">
        <v>8887</v>
      </c>
      <c r="D2373" t="s">
        <v>8888</v>
      </c>
      <c r="E2373" t="s">
        <v>8886</v>
      </c>
      <c r="F2373" t="s">
        <v>28</v>
      </c>
      <c r="G2373" t="s">
        <v>8886</v>
      </c>
      <c r="H2373" t="str">
        <f>"tra-4"</f>
        <v>tra-4</v>
      </c>
      <c r="I2373" t="s">
        <v>8888</v>
      </c>
      <c r="J2373" t="s">
        <v>29</v>
      </c>
      <c r="K2373" t="s">
        <v>29</v>
      </c>
      <c r="L2373" t="s">
        <v>29</v>
      </c>
      <c r="M2373" t="s">
        <v>29</v>
      </c>
      <c r="N2373" t="s">
        <v>29</v>
      </c>
      <c r="O2373" t="s">
        <v>29</v>
      </c>
      <c r="P2373" t="s">
        <v>29</v>
      </c>
      <c r="Q2373" t="s">
        <v>29</v>
      </c>
      <c r="R2373" t="s">
        <v>29</v>
      </c>
      <c r="S2373">
        <v>12.4676439024384</v>
      </c>
      <c r="T2373" t="s">
        <v>29</v>
      </c>
      <c r="U2373" t="s">
        <v>29</v>
      </c>
      <c r="V2373" t="s">
        <v>29</v>
      </c>
      <c r="W2373" t="s">
        <v>29</v>
      </c>
      <c r="X2373" t="s">
        <v>29</v>
      </c>
      <c r="Y2373" t="s">
        <v>29</v>
      </c>
    </row>
    <row r="2374" spans="1:25" x14ac:dyDescent="0.2">
      <c r="A2374" t="s">
        <v>8889</v>
      </c>
      <c r="B2374" t="s">
        <v>8890</v>
      </c>
      <c r="C2374" t="s">
        <v>14476</v>
      </c>
      <c r="D2374" t="s">
        <v>8891</v>
      </c>
      <c r="E2374" t="s">
        <v>8890</v>
      </c>
      <c r="F2374" t="s">
        <v>28</v>
      </c>
      <c r="G2374" t="s">
        <v>8890</v>
      </c>
      <c r="H2374" t="str">
        <f>"F53B3.6"</f>
        <v>F53B3.6</v>
      </c>
      <c r="I2374" t="s">
        <v>8891</v>
      </c>
      <c r="J2374">
        <v>16.317695298472501</v>
      </c>
      <c r="K2374">
        <v>16.716121608531701</v>
      </c>
      <c r="L2374">
        <v>16.714589195899102</v>
      </c>
      <c r="M2374">
        <v>15.4600853799629</v>
      </c>
      <c r="N2374">
        <v>15.733085693946199</v>
      </c>
      <c r="O2374">
        <v>15.2463785317667</v>
      </c>
      <c r="P2374">
        <v>-1.1029521657424199</v>
      </c>
      <c r="Q2374">
        <v>-1.6403846276209899</v>
      </c>
      <c r="R2374">
        <v>-0.56551970386385697</v>
      </c>
      <c r="S2374">
        <v>16.450509365845502</v>
      </c>
      <c r="T2374">
        <v>-4.31345524106393</v>
      </c>
      <c r="U2374">
        <v>-0.48035417226906901</v>
      </c>
      <c r="V2374">
        <v>4.2349868964984501E-4</v>
      </c>
      <c r="W2374">
        <v>4.8187283335833697E-3</v>
      </c>
      <c r="X2374">
        <v>-1</v>
      </c>
      <c r="Y2374">
        <v>-1</v>
      </c>
    </row>
    <row r="2375" spans="1:25" x14ac:dyDescent="0.2">
      <c r="A2375" t="s">
        <v>8892</v>
      </c>
      <c r="B2375" t="s">
        <v>8893</v>
      </c>
      <c r="C2375" t="s">
        <v>8894</v>
      </c>
      <c r="D2375" t="s">
        <v>8895</v>
      </c>
      <c r="E2375" t="s">
        <v>8893</v>
      </c>
      <c r="F2375" t="s">
        <v>28</v>
      </c>
      <c r="G2375" t="s">
        <v>8893</v>
      </c>
      <c r="H2375" t="str">
        <f>"F53F4.10"</f>
        <v>F53F4.10</v>
      </c>
      <c r="I2375" t="s">
        <v>8895</v>
      </c>
      <c r="J2375">
        <v>13.4843386077824</v>
      </c>
      <c r="K2375">
        <v>12.9873695900543</v>
      </c>
      <c r="L2375">
        <v>11.9952888178656</v>
      </c>
      <c r="M2375" t="s">
        <v>29</v>
      </c>
      <c r="N2375">
        <v>14.722848267024601</v>
      </c>
      <c r="O2375">
        <v>13.201323937933299</v>
      </c>
      <c r="P2375">
        <v>1.13975376391153</v>
      </c>
      <c r="Q2375">
        <v>-0.19970998845242199</v>
      </c>
      <c r="R2375">
        <v>2.4792175162754799</v>
      </c>
      <c r="S2375">
        <v>13.564412160260099</v>
      </c>
      <c r="T2375">
        <v>1.80480214878101</v>
      </c>
      <c r="U2375">
        <v>-5.4835741012510697</v>
      </c>
      <c r="V2375">
        <v>9.0083952193071803E-2</v>
      </c>
      <c r="W2375">
        <v>0.202499929147965</v>
      </c>
      <c r="X2375">
        <v>0</v>
      </c>
      <c r="Y2375">
        <v>0</v>
      </c>
    </row>
    <row r="2376" spans="1:25" x14ac:dyDescent="0.2">
      <c r="A2376" t="s">
        <v>8896</v>
      </c>
      <c r="B2376" t="s">
        <v>8897</v>
      </c>
      <c r="C2376" t="s">
        <v>14477</v>
      </c>
      <c r="D2376" t="s">
        <v>8898</v>
      </c>
      <c r="E2376" t="s">
        <v>8897</v>
      </c>
      <c r="F2376" t="s">
        <v>28</v>
      </c>
      <c r="G2376" t="s">
        <v>8897</v>
      </c>
      <c r="H2376" t="str">
        <f>"F53F4.11"</f>
        <v>F53F4.11</v>
      </c>
      <c r="I2376" t="s">
        <v>8898</v>
      </c>
      <c r="J2376">
        <v>14.4529679618245</v>
      </c>
      <c r="K2376">
        <v>13.909515846433001</v>
      </c>
      <c r="L2376">
        <v>14.406508032697801</v>
      </c>
      <c r="M2376" t="s">
        <v>29</v>
      </c>
      <c r="N2376">
        <v>13.6711692597165</v>
      </c>
      <c r="O2376">
        <v>13.6300118689194</v>
      </c>
      <c r="P2376">
        <v>-0.605740049333791</v>
      </c>
      <c r="Q2376">
        <v>-1.10265421975444</v>
      </c>
      <c r="R2376">
        <v>-0.108825878913145</v>
      </c>
      <c r="S2376">
        <v>14.543846887713</v>
      </c>
      <c r="T2376">
        <v>-2.5730896631346099</v>
      </c>
      <c r="U2376">
        <v>-4.1129973161677604</v>
      </c>
      <c r="V2376">
        <v>1.9814803830196601E-2</v>
      </c>
      <c r="W2376">
        <v>7.2585950010761999E-2</v>
      </c>
      <c r="X2376">
        <v>0</v>
      </c>
      <c r="Y2376">
        <v>0</v>
      </c>
    </row>
    <row r="2377" spans="1:25" x14ac:dyDescent="0.2">
      <c r="A2377" t="s">
        <v>8899</v>
      </c>
      <c r="B2377" t="s">
        <v>8900</v>
      </c>
      <c r="C2377" t="s">
        <v>14478</v>
      </c>
      <c r="D2377" t="s">
        <v>1128</v>
      </c>
      <c r="E2377" t="s">
        <v>8900</v>
      </c>
      <c r="F2377" t="s">
        <v>28</v>
      </c>
      <c r="G2377" t="s">
        <v>8900</v>
      </c>
      <c r="H2377" t="str">
        <f>"F53F4.12"</f>
        <v>F53F4.12</v>
      </c>
      <c r="I2377" t="s">
        <v>1128</v>
      </c>
      <c r="J2377" t="s">
        <v>29</v>
      </c>
      <c r="K2377" t="s">
        <v>29</v>
      </c>
      <c r="L2377" t="s">
        <v>29</v>
      </c>
      <c r="M2377" t="s">
        <v>29</v>
      </c>
      <c r="N2377" t="s">
        <v>29</v>
      </c>
      <c r="O2377" t="s">
        <v>29</v>
      </c>
      <c r="P2377" t="s">
        <v>29</v>
      </c>
      <c r="Q2377" t="s">
        <v>29</v>
      </c>
      <c r="R2377" t="s">
        <v>29</v>
      </c>
      <c r="S2377">
        <v>11.387821536834601</v>
      </c>
      <c r="T2377" t="s">
        <v>29</v>
      </c>
      <c r="U2377" t="s">
        <v>29</v>
      </c>
      <c r="V2377" t="s">
        <v>29</v>
      </c>
      <c r="W2377" t="s">
        <v>29</v>
      </c>
      <c r="X2377" t="s">
        <v>29</v>
      </c>
      <c r="Y2377" t="s">
        <v>29</v>
      </c>
    </row>
    <row r="2378" spans="1:25" x14ac:dyDescent="0.2">
      <c r="A2378" t="s">
        <v>8901</v>
      </c>
      <c r="B2378" t="s">
        <v>8902</v>
      </c>
      <c r="C2378" t="s">
        <v>14479</v>
      </c>
      <c r="D2378" t="s">
        <v>107</v>
      </c>
      <c r="E2378" t="s">
        <v>8902</v>
      </c>
      <c r="F2378" t="s">
        <v>28</v>
      </c>
      <c r="G2378" t="s">
        <v>8902</v>
      </c>
      <c r="H2378" t="str">
        <f>"F53H8.3"</f>
        <v>F53H8.3</v>
      </c>
      <c r="I2378" t="s">
        <v>107</v>
      </c>
      <c r="J2378" t="s">
        <v>29</v>
      </c>
      <c r="K2378" t="s">
        <v>29</v>
      </c>
      <c r="L2378" t="s">
        <v>29</v>
      </c>
      <c r="M2378" t="s">
        <v>29</v>
      </c>
      <c r="N2378" t="s">
        <v>29</v>
      </c>
      <c r="O2378" t="s">
        <v>29</v>
      </c>
      <c r="P2378" t="s">
        <v>29</v>
      </c>
      <c r="Q2378" t="s">
        <v>29</v>
      </c>
      <c r="R2378" t="s">
        <v>29</v>
      </c>
      <c r="S2378">
        <v>11.8939339877585</v>
      </c>
      <c r="T2378" t="s">
        <v>29</v>
      </c>
      <c r="U2378" t="s">
        <v>29</v>
      </c>
      <c r="V2378" t="s">
        <v>29</v>
      </c>
      <c r="W2378" t="s">
        <v>29</v>
      </c>
      <c r="X2378" t="s">
        <v>29</v>
      </c>
      <c r="Y2378" t="s">
        <v>29</v>
      </c>
    </row>
    <row r="2379" spans="1:25" x14ac:dyDescent="0.2">
      <c r="A2379" t="s">
        <v>8903</v>
      </c>
      <c r="B2379" t="s">
        <v>8904</v>
      </c>
      <c r="C2379" t="s">
        <v>8905</v>
      </c>
      <c r="D2379" t="s">
        <v>8906</v>
      </c>
      <c r="E2379" t="s">
        <v>8904</v>
      </c>
      <c r="F2379" t="s">
        <v>28</v>
      </c>
      <c r="G2379" t="s">
        <v>8904</v>
      </c>
      <c r="H2379" t="str">
        <f>"apm-3"</f>
        <v>apm-3</v>
      </c>
      <c r="I2379" t="s">
        <v>8906</v>
      </c>
      <c r="J2379">
        <v>13.3192182576331</v>
      </c>
      <c r="K2379">
        <v>13.371271891769601</v>
      </c>
      <c r="L2379">
        <v>12.957631482431101</v>
      </c>
      <c r="M2379">
        <v>12.3237353998133</v>
      </c>
      <c r="N2379" t="s">
        <v>29</v>
      </c>
      <c r="O2379" t="s">
        <v>29</v>
      </c>
      <c r="P2379">
        <v>-0.89230514413135298</v>
      </c>
      <c r="Q2379">
        <v>-1.7659218712646201</v>
      </c>
      <c r="R2379">
        <v>-1.8688416998080801E-2</v>
      </c>
      <c r="S2379">
        <v>12.892007022392701</v>
      </c>
      <c r="T2379">
        <v>-2.16641665422515</v>
      </c>
      <c r="U2379">
        <v>-4.65666554092972</v>
      </c>
      <c r="V2379">
        <v>4.5828345278832103E-2</v>
      </c>
      <c r="W2379">
        <v>0.12813674908607001</v>
      </c>
      <c r="X2379">
        <v>0</v>
      </c>
      <c r="Y2379">
        <v>0</v>
      </c>
    </row>
    <row r="2380" spans="1:25" x14ac:dyDescent="0.2">
      <c r="A2380" t="s">
        <v>8907</v>
      </c>
      <c r="B2380" t="s">
        <v>8908</v>
      </c>
      <c r="C2380" t="s">
        <v>8909</v>
      </c>
      <c r="D2380" t="s">
        <v>8910</v>
      </c>
      <c r="E2380" t="s">
        <v>8908</v>
      </c>
      <c r="F2380" t="s">
        <v>28</v>
      </c>
      <c r="G2380" t="s">
        <v>8908</v>
      </c>
      <c r="H2380" t="str">
        <f>"unc-84"</f>
        <v>unc-84</v>
      </c>
      <c r="I2380" t="s">
        <v>8910</v>
      </c>
      <c r="J2380">
        <v>14.1145347601969</v>
      </c>
      <c r="K2380">
        <v>14.913674638019801</v>
      </c>
      <c r="L2380">
        <v>14.529016303234901</v>
      </c>
      <c r="M2380">
        <v>14.571469664034</v>
      </c>
      <c r="N2380">
        <v>14.391860403481701</v>
      </c>
      <c r="O2380">
        <v>14.477086725408901</v>
      </c>
      <c r="P2380">
        <v>-3.8936302842360597E-2</v>
      </c>
      <c r="Q2380">
        <v>-0.54365358352062498</v>
      </c>
      <c r="R2380">
        <v>0.465780977835903</v>
      </c>
      <c r="S2380">
        <v>14.863990330161</v>
      </c>
      <c r="T2380">
        <v>-0.162143315716263</v>
      </c>
      <c r="U2380">
        <v>-7.1425152244836196</v>
      </c>
      <c r="V2380">
        <v>0.87300977051541695</v>
      </c>
      <c r="W2380">
        <v>0.92089975435237703</v>
      </c>
      <c r="X2380">
        <v>0</v>
      </c>
      <c r="Y2380">
        <v>0</v>
      </c>
    </row>
    <row r="2381" spans="1:25" x14ac:dyDescent="0.2">
      <c r="A2381" t="s">
        <v>8911</v>
      </c>
      <c r="B2381" t="s">
        <v>8912</v>
      </c>
      <c r="C2381" t="s">
        <v>8913</v>
      </c>
      <c r="D2381" t="s">
        <v>8914</v>
      </c>
      <c r="E2381" t="s">
        <v>8912</v>
      </c>
      <c r="F2381" t="s">
        <v>28</v>
      </c>
      <c r="G2381" t="s">
        <v>8912</v>
      </c>
      <c r="H2381" t="str">
        <f>"atad-3"</f>
        <v>atad-3</v>
      </c>
      <c r="I2381" t="s">
        <v>8914</v>
      </c>
      <c r="J2381">
        <v>13.4646455044929</v>
      </c>
      <c r="K2381">
        <v>13.594875774184199</v>
      </c>
      <c r="L2381">
        <v>13.522992456269399</v>
      </c>
      <c r="M2381" t="s">
        <v>29</v>
      </c>
      <c r="N2381" t="s">
        <v>29</v>
      </c>
      <c r="O2381">
        <v>13.134920498206</v>
      </c>
      <c r="P2381">
        <v>-0.39258408010947599</v>
      </c>
      <c r="Q2381">
        <v>-1.00708331611688</v>
      </c>
      <c r="R2381">
        <v>0.22191515589792701</v>
      </c>
      <c r="S2381">
        <v>13.685629489419201</v>
      </c>
      <c r="T2381">
        <v>-1.3550673052392499</v>
      </c>
      <c r="U2381">
        <v>-5.9007653705982097</v>
      </c>
      <c r="V2381">
        <v>0.19434223479886101</v>
      </c>
      <c r="W2381">
        <v>0.35266414159621001</v>
      </c>
      <c r="X2381">
        <v>0</v>
      </c>
      <c r="Y2381">
        <v>0</v>
      </c>
    </row>
    <row r="2382" spans="1:25" x14ac:dyDescent="0.2">
      <c r="A2382" t="s">
        <v>8915</v>
      </c>
      <c r="B2382" t="s">
        <v>8916</v>
      </c>
      <c r="C2382" t="s">
        <v>8917</v>
      </c>
      <c r="D2382" t="s">
        <v>8918</v>
      </c>
      <c r="E2382" t="s">
        <v>8916</v>
      </c>
      <c r="F2382" t="s">
        <v>28</v>
      </c>
      <c r="G2382" t="s">
        <v>8916</v>
      </c>
      <c r="H2382" t="str">
        <f>"iff-2"</f>
        <v>iff-2</v>
      </c>
      <c r="I2382" t="s">
        <v>8918</v>
      </c>
      <c r="J2382">
        <v>16.735701048629998</v>
      </c>
      <c r="K2382">
        <v>16.580791496130502</v>
      </c>
      <c r="L2382">
        <v>16.5414992116009</v>
      </c>
      <c r="M2382">
        <v>16.194999018711901</v>
      </c>
      <c r="N2382">
        <v>16.5514234598858</v>
      </c>
      <c r="O2382">
        <v>16.964292160674301</v>
      </c>
      <c r="P2382">
        <v>-4.9092372363102002E-2</v>
      </c>
      <c r="Q2382">
        <v>-0.52857870480736102</v>
      </c>
      <c r="R2382">
        <v>0.43039396008115599</v>
      </c>
      <c r="S2382">
        <v>16.002558336424499</v>
      </c>
      <c r="T2382">
        <v>-0.21519407049257699</v>
      </c>
      <c r="U2382">
        <v>-7.1320312904546501</v>
      </c>
      <c r="V2382">
        <v>0.83204950891524398</v>
      </c>
      <c r="W2382">
        <v>0.89458223377352197</v>
      </c>
      <c r="X2382">
        <v>0</v>
      </c>
      <c r="Y2382">
        <v>0</v>
      </c>
    </row>
    <row r="2383" spans="1:25" x14ac:dyDescent="0.2">
      <c r="A2383" t="s">
        <v>8919</v>
      </c>
      <c r="B2383" t="s">
        <v>8920</v>
      </c>
      <c r="C2383" t="s">
        <v>8921</v>
      </c>
      <c r="D2383" t="s">
        <v>8922</v>
      </c>
      <c r="E2383" t="s">
        <v>8920</v>
      </c>
      <c r="F2383" t="s">
        <v>28</v>
      </c>
      <c r="G2383" t="s">
        <v>8920</v>
      </c>
      <c r="H2383" t="str">
        <f>"stc-1"</f>
        <v>stc-1</v>
      </c>
      <c r="I2383" t="s">
        <v>8922</v>
      </c>
      <c r="J2383">
        <v>13.948931432955099</v>
      </c>
      <c r="K2383">
        <v>13.696038381363</v>
      </c>
      <c r="L2383">
        <v>13.382207765751801</v>
      </c>
      <c r="M2383" t="s">
        <v>29</v>
      </c>
      <c r="N2383" t="s">
        <v>29</v>
      </c>
      <c r="O2383">
        <v>13.267362349169399</v>
      </c>
      <c r="P2383">
        <v>-0.40836351085391498</v>
      </c>
      <c r="Q2383">
        <v>-1.7626212265893599</v>
      </c>
      <c r="R2383">
        <v>0.94589420488153397</v>
      </c>
      <c r="S2383">
        <v>13.1910157953559</v>
      </c>
      <c r="T2383">
        <v>-0.64311289279390205</v>
      </c>
      <c r="U2383">
        <v>-6.5976435212052698</v>
      </c>
      <c r="V2383">
        <v>0.52992770305917003</v>
      </c>
      <c r="W2383">
        <v>0.68018159447533799</v>
      </c>
      <c r="X2383">
        <v>0</v>
      </c>
      <c r="Y2383">
        <v>0</v>
      </c>
    </row>
    <row r="2384" spans="1:25" x14ac:dyDescent="0.2">
      <c r="A2384" t="s">
        <v>8923</v>
      </c>
      <c r="B2384" t="s">
        <v>8924</v>
      </c>
      <c r="C2384" t="s">
        <v>8925</v>
      </c>
      <c r="D2384" t="s">
        <v>8926</v>
      </c>
      <c r="E2384" t="s">
        <v>8924</v>
      </c>
      <c r="F2384" t="s">
        <v>28</v>
      </c>
      <c r="G2384" t="s">
        <v>8924</v>
      </c>
      <c r="H2384" t="str">
        <f>"puf-5"</f>
        <v>puf-5</v>
      </c>
      <c r="I2384" t="s">
        <v>8926</v>
      </c>
      <c r="J2384">
        <v>12.5419874411939</v>
      </c>
      <c r="K2384">
        <v>12.4353138530604</v>
      </c>
      <c r="L2384">
        <v>13.2843517288713</v>
      </c>
      <c r="M2384" t="s">
        <v>29</v>
      </c>
      <c r="N2384">
        <v>13.8093755995645</v>
      </c>
      <c r="O2384">
        <v>12.587816633247201</v>
      </c>
      <c r="P2384">
        <v>0.44471177536397599</v>
      </c>
      <c r="Q2384">
        <v>-0.43601941592930998</v>
      </c>
      <c r="R2384">
        <v>1.32544296665726</v>
      </c>
      <c r="S2384">
        <v>14.0621041546349</v>
      </c>
      <c r="T2384">
        <v>1.0658234347136699</v>
      </c>
      <c r="U2384">
        <v>-6.4677042229777602</v>
      </c>
      <c r="V2384">
        <v>0.301498613227554</v>
      </c>
      <c r="W2384">
        <v>0.47036337383885801</v>
      </c>
      <c r="X2384">
        <v>0</v>
      </c>
      <c r="Y2384">
        <v>0</v>
      </c>
    </row>
    <row r="2385" spans="1:25" x14ac:dyDescent="0.2">
      <c r="A2385" t="s">
        <v>8927</v>
      </c>
      <c r="B2385" t="s">
        <v>8928</v>
      </c>
      <c r="C2385" t="s">
        <v>8929</v>
      </c>
      <c r="D2385" t="s">
        <v>8930</v>
      </c>
      <c r="E2385" t="s">
        <v>8928</v>
      </c>
      <c r="F2385" t="s">
        <v>28</v>
      </c>
      <c r="G2385" t="s">
        <v>8928</v>
      </c>
      <c r="H2385" t="str">
        <f>"arl-1"</f>
        <v>arl-1</v>
      </c>
      <c r="I2385" t="s">
        <v>8930</v>
      </c>
      <c r="J2385">
        <v>16.722984754016501</v>
      </c>
      <c r="K2385">
        <v>16.8070878550324</v>
      </c>
      <c r="L2385">
        <v>16.347547944263301</v>
      </c>
      <c r="M2385">
        <v>16.2110163613224</v>
      </c>
      <c r="N2385">
        <v>16.597564815660402</v>
      </c>
      <c r="O2385">
        <v>16.4489769509768</v>
      </c>
      <c r="P2385">
        <v>-0.206687475117494</v>
      </c>
      <c r="Q2385">
        <v>-0.556163094009963</v>
      </c>
      <c r="R2385">
        <v>0.14278814377497401</v>
      </c>
      <c r="S2385">
        <v>16.2687894647019</v>
      </c>
      <c r="T2385">
        <v>-1.2430534134069999</v>
      </c>
      <c r="U2385">
        <v>-6.3787148218022702</v>
      </c>
      <c r="V2385">
        <v>0.22988906480773899</v>
      </c>
      <c r="W2385">
        <v>0.39457371810623598</v>
      </c>
      <c r="X2385">
        <v>0</v>
      </c>
      <c r="Y2385">
        <v>0</v>
      </c>
    </row>
    <row r="2386" spans="1:25" x14ac:dyDescent="0.2">
      <c r="A2386" t="s">
        <v>8931</v>
      </c>
      <c r="B2386" t="s">
        <v>8932</v>
      </c>
      <c r="C2386" t="s">
        <v>14480</v>
      </c>
      <c r="D2386" t="s">
        <v>8933</v>
      </c>
      <c r="E2386" t="s">
        <v>8932</v>
      </c>
      <c r="F2386" t="s">
        <v>28</v>
      </c>
      <c r="G2386" t="s">
        <v>8932</v>
      </c>
      <c r="H2386" t="str">
        <f>"F54C9.9"</f>
        <v>F54C9.9</v>
      </c>
      <c r="I2386" t="s">
        <v>8933</v>
      </c>
      <c r="J2386">
        <v>13.717226211162201</v>
      </c>
      <c r="K2386">
        <v>13.951017679990001</v>
      </c>
      <c r="L2386">
        <v>14.063799040151</v>
      </c>
      <c r="M2386" t="s">
        <v>29</v>
      </c>
      <c r="N2386">
        <v>14.5448819898322</v>
      </c>
      <c r="O2386">
        <v>12.774173328468301</v>
      </c>
      <c r="P2386">
        <v>-0.25115331795081602</v>
      </c>
      <c r="Q2386">
        <v>-1.06127281956534</v>
      </c>
      <c r="R2386">
        <v>0.55896618366370698</v>
      </c>
      <c r="S2386">
        <v>14.8205628969407</v>
      </c>
      <c r="T2386">
        <v>-0.65439480990551102</v>
      </c>
      <c r="U2386">
        <v>-6.8231993711045602</v>
      </c>
      <c r="V2386">
        <v>0.521666852544588</v>
      </c>
      <c r="W2386">
        <v>0.67250753038009703</v>
      </c>
      <c r="X2386">
        <v>0</v>
      </c>
      <c r="Y2386">
        <v>0</v>
      </c>
    </row>
    <row r="2387" spans="1:25" x14ac:dyDescent="0.2">
      <c r="A2387" t="s">
        <v>8934</v>
      </c>
      <c r="B2387" t="s">
        <v>8935</v>
      </c>
      <c r="C2387" t="s">
        <v>8936</v>
      </c>
      <c r="D2387" t="s">
        <v>8937</v>
      </c>
      <c r="E2387" t="s">
        <v>8935</v>
      </c>
      <c r="F2387" t="s">
        <v>28</v>
      </c>
      <c r="G2387" t="s">
        <v>8935</v>
      </c>
      <c r="H2387" t="str">
        <f>"nhr-7"</f>
        <v>nhr-7</v>
      </c>
      <c r="I2387" t="s">
        <v>8937</v>
      </c>
      <c r="J2387">
        <v>16.344902990318801</v>
      </c>
      <c r="K2387">
        <v>16.684040257113899</v>
      </c>
      <c r="L2387">
        <v>16.075252067787002</v>
      </c>
      <c r="M2387">
        <v>19.698815508448199</v>
      </c>
      <c r="N2387">
        <v>18.436394577719302</v>
      </c>
      <c r="O2387">
        <v>16.969771292255</v>
      </c>
      <c r="P2387">
        <v>2.0002620210675701</v>
      </c>
      <c r="Q2387">
        <v>1.0450804188268501</v>
      </c>
      <c r="R2387">
        <v>2.9554436233082799</v>
      </c>
      <c r="S2387">
        <v>16.1314405497914</v>
      </c>
      <c r="T2387">
        <v>4.4014264940262997</v>
      </c>
      <c r="U2387">
        <v>-0.286373162903031</v>
      </c>
      <c r="V2387">
        <v>3.4875324933919001E-4</v>
      </c>
      <c r="W2387">
        <v>4.1610357319942998E-3</v>
      </c>
      <c r="X2387">
        <v>1</v>
      </c>
      <c r="Y2387">
        <v>1</v>
      </c>
    </row>
    <row r="2388" spans="1:25" x14ac:dyDescent="0.2">
      <c r="A2388" t="s">
        <v>8938</v>
      </c>
      <c r="B2388" t="s">
        <v>8939</v>
      </c>
      <c r="C2388" t="s">
        <v>8940</v>
      </c>
      <c r="D2388" t="s">
        <v>308</v>
      </c>
      <c r="E2388" t="s">
        <v>8939</v>
      </c>
      <c r="F2388" t="s">
        <v>28</v>
      </c>
      <c r="G2388" t="s">
        <v>8939</v>
      </c>
      <c r="H2388" t="str">
        <f>"dnj-13"</f>
        <v>dnj-13</v>
      </c>
      <c r="I2388" t="s">
        <v>308</v>
      </c>
      <c r="J2388" t="s">
        <v>29</v>
      </c>
      <c r="K2388" t="s">
        <v>29</v>
      </c>
      <c r="L2388" t="s">
        <v>29</v>
      </c>
      <c r="M2388" t="s">
        <v>29</v>
      </c>
      <c r="N2388" t="s">
        <v>29</v>
      </c>
      <c r="O2388" t="s">
        <v>29</v>
      </c>
      <c r="P2388" t="s">
        <v>29</v>
      </c>
      <c r="Q2388" t="s">
        <v>29</v>
      </c>
      <c r="R2388" t="s">
        <v>29</v>
      </c>
      <c r="S2388">
        <v>10.749067693539899</v>
      </c>
      <c r="T2388" t="s">
        <v>29</v>
      </c>
      <c r="U2388" t="s">
        <v>29</v>
      </c>
      <c r="V2388" t="s">
        <v>29</v>
      </c>
      <c r="W2388" t="s">
        <v>29</v>
      </c>
      <c r="X2388" t="s">
        <v>29</v>
      </c>
      <c r="Y2388" t="s">
        <v>29</v>
      </c>
    </row>
    <row r="2389" spans="1:25" x14ac:dyDescent="0.2">
      <c r="A2389" t="s">
        <v>8941</v>
      </c>
      <c r="B2389" t="s">
        <v>8942</v>
      </c>
      <c r="C2389" t="s">
        <v>8943</v>
      </c>
      <c r="D2389" t="s">
        <v>8944</v>
      </c>
      <c r="E2389" t="s">
        <v>8942</v>
      </c>
      <c r="F2389" t="s">
        <v>28</v>
      </c>
      <c r="G2389" t="s">
        <v>8942</v>
      </c>
      <c r="H2389" t="str">
        <f>"cox-6A"</f>
        <v>cox-6A</v>
      </c>
      <c r="I2389" t="s">
        <v>8944</v>
      </c>
      <c r="J2389">
        <v>15.477225704727299</v>
      </c>
      <c r="K2389">
        <v>15.160954038786301</v>
      </c>
      <c r="L2389">
        <v>15.2945161584417</v>
      </c>
      <c r="M2389">
        <v>15.8486870548971</v>
      </c>
      <c r="N2389">
        <v>15.777526037645901</v>
      </c>
      <c r="O2389">
        <v>15.3887988961178</v>
      </c>
      <c r="P2389">
        <v>0.36077202890181997</v>
      </c>
      <c r="Q2389">
        <v>-2.37636284759991E-2</v>
      </c>
      <c r="R2389">
        <v>0.74530768627963995</v>
      </c>
      <c r="S2389">
        <v>15.129728173837901</v>
      </c>
      <c r="T2389">
        <v>1.9719175603477399</v>
      </c>
      <c r="U2389">
        <v>-5.31087509737673</v>
      </c>
      <c r="V2389">
        <v>6.4278878069250797E-2</v>
      </c>
      <c r="W2389">
        <v>0.162425583074498</v>
      </c>
      <c r="X2389">
        <v>0</v>
      </c>
      <c r="Y2389">
        <v>0</v>
      </c>
    </row>
    <row r="2390" spans="1:25" x14ac:dyDescent="0.2">
      <c r="A2390" t="s">
        <v>8945</v>
      </c>
      <c r="B2390" t="s">
        <v>8946</v>
      </c>
      <c r="C2390" t="s">
        <v>8947</v>
      </c>
      <c r="D2390" t="s">
        <v>8948</v>
      </c>
      <c r="E2390" t="s">
        <v>8946</v>
      </c>
      <c r="F2390" t="s">
        <v>28</v>
      </c>
      <c r="G2390" t="s">
        <v>8946</v>
      </c>
      <c r="H2390" t="str">
        <f>"alh-1"</f>
        <v>alh-1</v>
      </c>
      <c r="I2390" t="s">
        <v>8948</v>
      </c>
      <c r="J2390">
        <v>15.1634139143599</v>
      </c>
      <c r="K2390">
        <v>15.262225957592801</v>
      </c>
      <c r="L2390">
        <v>15.0941133491319</v>
      </c>
      <c r="M2390">
        <v>15.009579768281601</v>
      </c>
      <c r="N2390">
        <v>15.760406452437399</v>
      </c>
      <c r="O2390">
        <v>15.743798775643601</v>
      </c>
      <c r="P2390">
        <v>0.33134392509264499</v>
      </c>
      <c r="Q2390">
        <v>-0.15116740711211499</v>
      </c>
      <c r="R2390">
        <v>0.81385525729740504</v>
      </c>
      <c r="S2390">
        <v>15.0199286245922</v>
      </c>
      <c r="T2390">
        <v>1.44332458122547</v>
      </c>
      <c r="U2390">
        <v>-6.1225015427287</v>
      </c>
      <c r="V2390">
        <v>0.16620702406282201</v>
      </c>
      <c r="W2390">
        <v>0.31539735989255302</v>
      </c>
      <c r="X2390">
        <v>0</v>
      </c>
      <c r="Y2390">
        <v>0</v>
      </c>
    </row>
    <row r="2391" spans="1:25" x14ac:dyDescent="0.2">
      <c r="A2391" t="s">
        <v>8949</v>
      </c>
      <c r="B2391" t="s">
        <v>8950</v>
      </c>
      <c r="C2391" t="s">
        <v>8951</v>
      </c>
      <c r="D2391" t="s">
        <v>8952</v>
      </c>
      <c r="E2391" t="s">
        <v>8950</v>
      </c>
      <c r="F2391" t="s">
        <v>28</v>
      </c>
      <c r="G2391" t="s">
        <v>8950</v>
      </c>
      <c r="H2391" t="str">
        <f>"pst-2"</f>
        <v>pst-2</v>
      </c>
      <c r="I2391" t="s">
        <v>8952</v>
      </c>
      <c r="J2391">
        <v>13.018484000485399</v>
      </c>
      <c r="K2391">
        <v>13.7355461769423</v>
      </c>
      <c r="L2391">
        <v>13.402459108948101</v>
      </c>
      <c r="M2391" t="s">
        <v>29</v>
      </c>
      <c r="N2391">
        <v>13.200153508819101</v>
      </c>
      <c r="O2391">
        <v>12.272169135251801</v>
      </c>
      <c r="P2391">
        <v>-0.64933510675647299</v>
      </c>
      <c r="Q2391">
        <v>-1.35246424457159</v>
      </c>
      <c r="R2391">
        <v>5.3794031058645102E-2</v>
      </c>
      <c r="S2391">
        <v>13.8028886169119</v>
      </c>
      <c r="T2391">
        <v>-1.94932297524648</v>
      </c>
      <c r="U2391">
        <v>-5.2452787187350998</v>
      </c>
      <c r="V2391">
        <v>6.8057060797689695E-2</v>
      </c>
      <c r="W2391">
        <v>0.16792273970789801</v>
      </c>
      <c r="X2391">
        <v>0</v>
      </c>
      <c r="Y2391">
        <v>0</v>
      </c>
    </row>
    <row r="2392" spans="1:25" x14ac:dyDescent="0.2">
      <c r="A2392" t="s">
        <v>8953</v>
      </c>
      <c r="B2392" t="s">
        <v>8954</v>
      </c>
      <c r="C2392" t="s">
        <v>8955</v>
      </c>
      <c r="D2392" t="s">
        <v>8956</v>
      </c>
      <c r="E2392" t="s">
        <v>8954</v>
      </c>
      <c r="F2392" t="s">
        <v>28</v>
      </c>
      <c r="G2392" t="s">
        <v>8954</v>
      </c>
      <c r="H2392" t="str">
        <f>"syx-5"</f>
        <v>syx-5</v>
      </c>
      <c r="I2392" t="s">
        <v>8956</v>
      </c>
      <c r="J2392" t="s">
        <v>29</v>
      </c>
      <c r="K2392" t="s">
        <v>29</v>
      </c>
      <c r="L2392">
        <v>12.790054353161</v>
      </c>
      <c r="M2392" t="s">
        <v>29</v>
      </c>
      <c r="N2392">
        <v>12.899116839850199</v>
      </c>
      <c r="O2392">
        <v>13.829599048319199</v>
      </c>
      <c r="P2392">
        <v>0.57430359092375804</v>
      </c>
      <c r="Q2392">
        <v>-0.27943403497981201</v>
      </c>
      <c r="R2392">
        <v>1.42804121682733</v>
      </c>
      <c r="S2392">
        <v>13.2370944991264</v>
      </c>
      <c r="T2392">
        <v>1.4438065327587899</v>
      </c>
      <c r="U2392">
        <v>-5.7283818349913798</v>
      </c>
      <c r="V2392">
        <v>0.170960757358006</v>
      </c>
      <c r="W2392">
        <v>0.32172500123502101</v>
      </c>
      <c r="X2392">
        <v>0</v>
      </c>
      <c r="Y2392">
        <v>0</v>
      </c>
    </row>
    <row r="2393" spans="1:25" x14ac:dyDescent="0.2">
      <c r="A2393" t="s">
        <v>8957</v>
      </c>
      <c r="B2393" t="s">
        <v>8958</v>
      </c>
      <c r="C2393" t="s">
        <v>8959</v>
      </c>
      <c r="D2393" t="s">
        <v>8960</v>
      </c>
      <c r="E2393" t="s">
        <v>8958</v>
      </c>
      <c r="F2393" t="s">
        <v>28</v>
      </c>
      <c r="G2393" t="s">
        <v>8958</v>
      </c>
      <c r="H2393" t="str">
        <f>"sel-11"</f>
        <v>sel-11</v>
      </c>
      <c r="I2393" t="s">
        <v>8960</v>
      </c>
      <c r="J2393">
        <v>14.0491919498496</v>
      </c>
      <c r="K2393">
        <v>13.877831178929901</v>
      </c>
      <c r="L2393">
        <v>13.6813133676766</v>
      </c>
      <c r="M2393" t="s">
        <v>29</v>
      </c>
      <c r="N2393">
        <v>12.4083159058678</v>
      </c>
      <c r="O2393">
        <v>13.1054654619136</v>
      </c>
      <c r="P2393">
        <v>-1.11255481492799</v>
      </c>
      <c r="Q2393">
        <v>-1.6863644335387999</v>
      </c>
      <c r="R2393">
        <v>-0.53874519631718898</v>
      </c>
      <c r="S2393">
        <v>13.651442824005301</v>
      </c>
      <c r="T2393">
        <v>-4.0926405867542002</v>
      </c>
      <c r="U2393">
        <v>-0.94785755865576204</v>
      </c>
      <c r="V2393">
        <v>7.6744122431310596E-4</v>
      </c>
      <c r="W2393">
        <v>7.6407070542254098E-3</v>
      </c>
      <c r="X2393">
        <v>-1</v>
      </c>
      <c r="Y2393">
        <v>-1</v>
      </c>
    </row>
    <row r="2394" spans="1:25" x14ac:dyDescent="0.2">
      <c r="A2394" t="s">
        <v>8961</v>
      </c>
      <c r="B2394" t="s">
        <v>8962</v>
      </c>
      <c r="C2394" t="s">
        <v>8963</v>
      </c>
      <c r="D2394" t="s">
        <v>8964</v>
      </c>
      <c r="E2394" t="s">
        <v>8962</v>
      </c>
      <c r="F2394" t="s">
        <v>28</v>
      </c>
      <c r="G2394" t="s">
        <v>8962</v>
      </c>
      <c r="H2394" t="str">
        <f>"F55A11.4"</f>
        <v>F55A11.4</v>
      </c>
      <c r="I2394" t="s">
        <v>8964</v>
      </c>
      <c r="J2394">
        <v>12.6049851720951</v>
      </c>
      <c r="K2394">
        <v>12.426191311247999</v>
      </c>
      <c r="L2394">
        <v>12.3208571350153</v>
      </c>
      <c r="M2394" t="s">
        <v>29</v>
      </c>
      <c r="N2394" t="s">
        <v>29</v>
      </c>
      <c r="O2394">
        <v>12.266400437160501</v>
      </c>
      <c r="P2394">
        <v>-0.18427743562559101</v>
      </c>
      <c r="Q2394">
        <v>-0.77805694138652004</v>
      </c>
      <c r="R2394">
        <v>0.40950207013533901</v>
      </c>
      <c r="S2394">
        <v>12.280072778151499</v>
      </c>
      <c r="T2394">
        <v>-0.66189417943168505</v>
      </c>
      <c r="U2394">
        <v>-6.5850843703677997</v>
      </c>
      <c r="V2394">
        <v>0.51814886945164196</v>
      </c>
      <c r="W2394">
        <v>0.67048119652065497</v>
      </c>
      <c r="X2394">
        <v>0</v>
      </c>
      <c r="Y2394">
        <v>0</v>
      </c>
    </row>
    <row r="2395" spans="1:25" x14ac:dyDescent="0.2">
      <c r="A2395" t="s">
        <v>8965</v>
      </c>
      <c r="B2395" t="s">
        <v>8966</v>
      </c>
      <c r="C2395" t="s">
        <v>8967</v>
      </c>
      <c r="D2395" t="s">
        <v>8968</v>
      </c>
      <c r="E2395" t="s">
        <v>8966</v>
      </c>
      <c r="F2395" t="s">
        <v>28</v>
      </c>
      <c r="G2395" t="s">
        <v>8966</v>
      </c>
      <c r="H2395" t="str">
        <f>"capg-2"</f>
        <v>capg-2</v>
      </c>
      <c r="I2395" t="s">
        <v>8968</v>
      </c>
      <c r="J2395">
        <v>11.540473615692401</v>
      </c>
      <c r="K2395">
        <v>11.1144326848649</v>
      </c>
      <c r="L2395">
        <v>11.5775014167781</v>
      </c>
      <c r="M2395" t="s">
        <v>29</v>
      </c>
      <c r="N2395">
        <v>10.494966455927701</v>
      </c>
      <c r="O2395">
        <v>11.6156393118567</v>
      </c>
      <c r="P2395">
        <v>-0.35549968855291803</v>
      </c>
      <c r="Q2395">
        <v>-1.0703757873811399</v>
      </c>
      <c r="R2395">
        <v>0.35937641027530498</v>
      </c>
      <c r="S2395">
        <v>11.986145344321899</v>
      </c>
      <c r="T2395">
        <v>-1.0496837176815901</v>
      </c>
      <c r="U2395">
        <v>-6.4845288930712401</v>
      </c>
      <c r="V2395">
        <v>0.30864757550352601</v>
      </c>
      <c r="W2395">
        <v>0.478476804318197</v>
      </c>
      <c r="X2395">
        <v>0</v>
      </c>
      <c r="Y2395">
        <v>0</v>
      </c>
    </row>
    <row r="2396" spans="1:25" x14ac:dyDescent="0.2">
      <c r="A2396" t="s">
        <v>8969</v>
      </c>
      <c r="B2396" t="s">
        <v>8970</v>
      </c>
      <c r="C2396" t="s">
        <v>8971</v>
      </c>
      <c r="D2396" t="s">
        <v>8972</v>
      </c>
      <c r="E2396" t="s">
        <v>8970</v>
      </c>
      <c r="F2396" t="s">
        <v>28</v>
      </c>
      <c r="G2396" t="s">
        <v>8970</v>
      </c>
      <c r="H2396" t="str">
        <f>"tsfm-1"</f>
        <v>tsfm-1</v>
      </c>
      <c r="I2396" t="s">
        <v>8972</v>
      </c>
      <c r="J2396">
        <v>12.7476796224752</v>
      </c>
      <c r="K2396">
        <v>13.165537812543599</v>
      </c>
      <c r="L2396">
        <v>13.312071480161199</v>
      </c>
      <c r="M2396" t="s">
        <v>29</v>
      </c>
      <c r="N2396">
        <v>13.203590281824599</v>
      </c>
      <c r="O2396">
        <v>13.1622566425558</v>
      </c>
      <c r="P2396">
        <v>0.10782715713018801</v>
      </c>
      <c r="Q2396">
        <v>-0.606678826232385</v>
      </c>
      <c r="R2396">
        <v>0.82233314049276096</v>
      </c>
      <c r="S2396">
        <v>13.6052194104593</v>
      </c>
      <c r="T2396">
        <v>0.31854610440258901</v>
      </c>
      <c r="U2396">
        <v>-6.9922968028241099</v>
      </c>
      <c r="V2396">
        <v>0.75397485279920695</v>
      </c>
      <c r="W2396">
        <v>0.84453207571237598</v>
      </c>
      <c r="X2396">
        <v>0</v>
      </c>
      <c r="Y2396">
        <v>0</v>
      </c>
    </row>
    <row r="2397" spans="1:25" x14ac:dyDescent="0.2">
      <c r="A2397" t="s">
        <v>8973</v>
      </c>
      <c r="B2397" t="s">
        <v>8974</v>
      </c>
      <c r="C2397" t="s">
        <v>8975</v>
      </c>
      <c r="D2397" t="s">
        <v>8976</v>
      </c>
      <c r="E2397" t="s">
        <v>8974</v>
      </c>
      <c r="F2397" t="s">
        <v>28</v>
      </c>
      <c r="G2397" t="s">
        <v>8974</v>
      </c>
      <c r="H2397" t="str">
        <f>"srpa-68"</f>
        <v>srpa-68</v>
      </c>
      <c r="I2397" t="s">
        <v>8976</v>
      </c>
      <c r="J2397">
        <v>15.6719013501517</v>
      </c>
      <c r="K2397">
        <v>15.424463408146799</v>
      </c>
      <c r="L2397">
        <v>15.525846535486799</v>
      </c>
      <c r="M2397">
        <v>14.924183270772801</v>
      </c>
      <c r="N2397">
        <v>15.1232212786462</v>
      </c>
      <c r="O2397">
        <v>15.2394336645491</v>
      </c>
      <c r="P2397">
        <v>-0.44512435993906502</v>
      </c>
      <c r="Q2397">
        <v>-0.79529718290905205</v>
      </c>
      <c r="R2397">
        <v>-9.4951536969077904E-2</v>
      </c>
      <c r="S2397">
        <v>15.227540259289601</v>
      </c>
      <c r="T2397">
        <v>-2.67172305447408</v>
      </c>
      <c r="U2397">
        <v>-4.0074259970283501</v>
      </c>
      <c r="V2397">
        <v>1.56106808274091E-2</v>
      </c>
      <c r="W2397">
        <v>6.2252606763700501E-2</v>
      </c>
      <c r="X2397">
        <v>0</v>
      </c>
      <c r="Y2397">
        <v>0</v>
      </c>
    </row>
    <row r="2398" spans="1:25" x14ac:dyDescent="0.2">
      <c r="A2398" t="s">
        <v>8977</v>
      </c>
      <c r="B2398" t="s">
        <v>8978</v>
      </c>
      <c r="C2398" t="s">
        <v>14481</v>
      </c>
      <c r="D2398" t="s">
        <v>368</v>
      </c>
      <c r="E2398" t="s">
        <v>8978</v>
      </c>
      <c r="F2398" t="s">
        <v>28</v>
      </c>
      <c r="G2398" t="s">
        <v>8978</v>
      </c>
      <c r="H2398" t="str">
        <f>"F55D12.1"</f>
        <v>F55D12.1</v>
      </c>
      <c r="I2398" t="s">
        <v>368</v>
      </c>
      <c r="J2398">
        <v>12.147782360216</v>
      </c>
      <c r="K2398" t="s">
        <v>29</v>
      </c>
      <c r="L2398">
        <v>11.9745965304484</v>
      </c>
      <c r="M2398" t="s">
        <v>29</v>
      </c>
      <c r="N2398" t="s">
        <v>29</v>
      </c>
      <c r="O2398" t="s">
        <v>29</v>
      </c>
      <c r="P2398" t="s">
        <v>29</v>
      </c>
      <c r="Q2398" t="s">
        <v>29</v>
      </c>
      <c r="R2398" t="s">
        <v>29</v>
      </c>
      <c r="S2398">
        <v>11.829796337949499</v>
      </c>
      <c r="T2398" t="s">
        <v>29</v>
      </c>
      <c r="U2398" t="s">
        <v>29</v>
      </c>
      <c r="V2398" t="s">
        <v>29</v>
      </c>
      <c r="W2398" t="s">
        <v>29</v>
      </c>
      <c r="X2398" t="s">
        <v>29</v>
      </c>
      <c r="Y2398" t="s">
        <v>29</v>
      </c>
    </row>
    <row r="2399" spans="1:25" x14ac:dyDescent="0.2">
      <c r="A2399" t="s">
        <v>8979</v>
      </c>
      <c r="B2399" t="s">
        <v>8980</v>
      </c>
      <c r="C2399" t="s">
        <v>8981</v>
      </c>
      <c r="D2399" t="s">
        <v>8982</v>
      </c>
      <c r="E2399" t="s">
        <v>8980</v>
      </c>
      <c r="F2399" t="s">
        <v>28</v>
      </c>
      <c r="G2399" t="s">
        <v>8980</v>
      </c>
      <c r="H2399" t="str">
        <f>"drd-5"</f>
        <v>drd-5</v>
      </c>
      <c r="I2399" t="s">
        <v>8982</v>
      </c>
      <c r="J2399" t="s">
        <v>29</v>
      </c>
      <c r="K2399" t="s">
        <v>29</v>
      </c>
      <c r="L2399" t="s">
        <v>29</v>
      </c>
      <c r="M2399" t="s">
        <v>29</v>
      </c>
      <c r="N2399" t="s">
        <v>29</v>
      </c>
      <c r="O2399" t="s">
        <v>29</v>
      </c>
      <c r="P2399" t="s">
        <v>29</v>
      </c>
      <c r="Q2399" t="s">
        <v>29</v>
      </c>
      <c r="R2399" t="s">
        <v>29</v>
      </c>
      <c r="S2399">
        <v>11.6738337863237</v>
      </c>
      <c r="T2399" t="s">
        <v>29</v>
      </c>
      <c r="U2399" t="s">
        <v>29</v>
      </c>
      <c r="V2399" t="s">
        <v>29</v>
      </c>
      <c r="W2399" t="s">
        <v>29</v>
      </c>
      <c r="X2399" t="s">
        <v>29</v>
      </c>
      <c r="Y2399" t="s">
        <v>29</v>
      </c>
    </row>
    <row r="2400" spans="1:25" x14ac:dyDescent="0.2">
      <c r="A2400" t="s">
        <v>8983</v>
      </c>
      <c r="B2400" t="s">
        <v>8984</v>
      </c>
      <c r="C2400" t="s">
        <v>8985</v>
      </c>
      <c r="D2400" t="s">
        <v>8986</v>
      </c>
      <c r="E2400" t="s">
        <v>8984</v>
      </c>
      <c r="F2400" t="s">
        <v>28</v>
      </c>
      <c r="G2400" t="s">
        <v>8984</v>
      </c>
      <c r="H2400" t="str">
        <f>"plk-3"</f>
        <v>plk-3</v>
      </c>
      <c r="I2400" t="s">
        <v>8986</v>
      </c>
      <c r="J2400">
        <v>10.6226094289526</v>
      </c>
      <c r="K2400" t="s">
        <v>29</v>
      </c>
      <c r="L2400" t="s">
        <v>29</v>
      </c>
      <c r="M2400" t="s">
        <v>29</v>
      </c>
      <c r="N2400" t="s">
        <v>29</v>
      </c>
      <c r="O2400" t="s">
        <v>29</v>
      </c>
      <c r="P2400" t="s">
        <v>29</v>
      </c>
      <c r="Q2400" t="s">
        <v>29</v>
      </c>
      <c r="R2400" t="s">
        <v>29</v>
      </c>
      <c r="S2400">
        <v>11.335545579065201</v>
      </c>
      <c r="T2400" t="s">
        <v>29</v>
      </c>
      <c r="U2400" t="s">
        <v>29</v>
      </c>
      <c r="V2400" t="s">
        <v>29</v>
      </c>
      <c r="W2400" t="s">
        <v>29</v>
      </c>
      <c r="X2400" t="s">
        <v>29</v>
      </c>
      <c r="Y2400" t="s">
        <v>29</v>
      </c>
    </row>
    <row r="2401" spans="1:25" x14ac:dyDescent="0.2">
      <c r="A2401" t="s">
        <v>8987</v>
      </c>
      <c r="B2401" t="s">
        <v>8988</v>
      </c>
      <c r="C2401" t="s">
        <v>8989</v>
      </c>
      <c r="D2401" t="s">
        <v>1434</v>
      </c>
      <c r="E2401" t="s">
        <v>8988</v>
      </c>
      <c r="F2401" t="s">
        <v>28</v>
      </c>
      <c r="G2401" t="s">
        <v>8988</v>
      </c>
      <c r="H2401" t="str">
        <f>"slc-25a18.2"</f>
        <v>slc-25a18.2</v>
      </c>
      <c r="I2401" t="s">
        <v>1434</v>
      </c>
      <c r="J2401" t="s">
        <v>29</v>
      </c>
      <c r="K2401" t="s">
        <v>29</v>
      </c>
      <c r="L2401">
        <v>10.895193879129099</v>
      </c>
      <c r="M2401" t="s">
        <v>29</v>
      </c>
      <c r="N2401" t="s">
        <v>29</v>
      </c>
      <c r="O2401">
        <v>11.6684237440784</v>
      </c>
      <c r="P2401">
        <v>0.77322986494935397</v>
      </c>
      <c r="Q2401">
        <v>-0.80551790848677496</v>
      </c>
      <c r="R2401">
        <v>2.3519776383854798</v>
      </c>
      <c r="S2401">
        <v>11.9700503990071</v>
      </c>
      <c r="T2401">
        <v>1.05120583151042</v>
      </c>
      <c r="U2401">
        <v>-6.0534759538104899</v>
      </c>
      <c r="V2401">
        <v>0.31110323965748499</v>
      </c>
      <c r="W2401">
        <v>0.48062020897165902</v>
      </c>
      <c r="X2401">
        <v>0</v>
      </c>
      <c r="Y2401">
        <v>0</v>
      </c>
    </row>
    <row r="2402" spans="1:25" x14ac:dyDescent="0.2">
      <c r="A2402" t="s">
        <v>8990</v>
      </c>
      <c r="B2402" t="s">
        <v>8991</v>
      </c>
      <c r="C2402" t="s">
        <v>8992</v>
      </c>
      <c r="D2402" t="s">
        <v>8993</v>
      </c>
      <c r="E2402" t="s">
        <v>8991</v>
      </c>
      <c r="F2402" t="s">
        <v>28</v>
      </c>
      <c r="G2402" t="s">
        <v>8991</v>
      </c>
      <c r="H2402" t="str">
        <f>"rod-1"</f>
        <v>rod-1</v>
      </c>
      <c r="I2402" t="s">
        <v>8993</v>
      </c>
      <c r="J2402">
        <v>15.0184161862881</v>
      </c>
      <c r="K2402">
        <v>14.6151549143959</v>
      </c>
      <c r="L2402">
        <v>14.7961935779197</v>
      </c>
      <c r="M2402">
        <v>14.6431201646608</v>
      </c>
      <c r="N2402">
        <v>14.1968552737506</v>
      </c>
      <c r="O2402">
        <v>14.541275512135201</v>
      </c>
      <c r="P2402">
        <v>-0.349504576019047</v>
      </c>
      <c r="Q2402">
        <v>-0.78147285532620603</v>
      </c>
      <c r="R2402">
        <v>8.2463703288111798E-2</v>
      </c>
      <c r="S2402">
        <v>14.693045681024399</v>
      </c>
      <c r="T2402">
        <v>-1.7005661218966099</v>
      </c>
      <c r="U2402">
        <v>-5.7501376621186298</v>
      </c>
      <c r="V2402">
        <v>0.10633724917097701</v>
      </c>
      <c r="W2402">
        <v>0.226427654123461</v>
      </c>
      <c r="X2402">
        <v>0</v>
      </c>
      <c r="Y2402">
        <v>0</v>
      </c>
    </row>
    <row r="2403" spans="1:25" x14ac:dyDescent="0.2">
      <c r="A2403" t="s">
        <v>8994</v>
      </c>
      <c r="B2403" t="s">
        <v>8995</v>
      </c>
      <c r="C2403" t="s">
        <v>8996</v>
      </c>
      <c r="D2403" t="s">
        <v>8997</v>
      </c>
      <c r="E2403" t="s">
        <v>8995</v>
      </c>
      <c r="F2403" t="s">
        <v>28</v>
      </c>
      <c r="G2403" t="s">
        <v>8995</v>
      </c>
      <c r="H2403" t="str">
        <f>"daz-1"</f>
        <v>daz-1</v>
      </c>
      <c r="I2403" t="s">
        <v>8997</v>
      </c>
      <c r="J2403">
        <v>13.9331562788376</v>
      </c>
      <c r="K2403">
        <v>14.1678668874238</v>
      </c>
      <c r="L2403">
        <v>14.726454979332299</v>
      </c>
      <c r="M2403" t="s">
        <v>29</v>
      </c>
      <c r="N2403">
        <v>13.7350537996785</v>
      </c>
      <c r="O2403">
        <v>12.432762370918599</v>
      </c>
      <c r="P2403">
        <v>-1.19191796323266</v>
      </c>
      <c r="Q2403">
        <v>-1.8564136493394201</v>
      </c>
      <c r="R2403">
        <v>-0.52742227712590095</v>
      </c>
      <c r="S2403">
        <v>14.425859764827599</v>
      </c>
      <c r="T2403">
        <v>-3.7862057640412301</v>
      </c>
      <c r="U2403">
        <v>-1.60468641052035</v>
      </c>
      <c r="V2403">
        <v>1.48837914479608E-3</v>
      </c>
      <c r="W2403">
        <v>1.21167219329117E-2</v>
      </c>
      <c r="X2403">
        <v>-1</v>
      </c>
      <c r="Y2403">
        <v>-1</v>
      </c>
    </row>
    <row r="2404" spans="1:25" x14ac:dyDescent="0.2">
      <c r="A2404" t="s">
        <v>8998</v>
      </c>
      <c r="B2404" t="s">
        <v>8999</v>
      </c>
      <c r="C2404" t="s">
        <v>14482</v>
      </c>
      <c r="D2404" t="s">
        <v>2955</v>
      </c>
      <c r="E2404" t="s">
        <v>8999</v>
      </c>
      <c r="F2404" t="s">
        <v>28</v>
      </c>
      <c r="G2404" t="s">
        <v>8999</v>
      </c>
      <c r="H2404" t="str">
        <f>"F56D2.2"</f>
        <v>F56D2.2</v>
      </c>
      <c r="I2404" t="s">
        <v>2955</v>
      </c>
      <c r="J2404" t="s">
        <v>29</v>
      </c>
      <c r="K2404" t="s">
        <v>29</v>
      </c>
      <c r="L2404" t="s">
        <v>29</v>
      </c>
      <c r="M2404" t="s">
        <v>29</v>
      </c>
      <c r="N2404" t="s">
        <v>29</v>
      </c>
      <c r="O2404">
        <v>11.3045644377677</v>
      </c>
      <c r="P2404" t="s">
        <v>29</v>
      </c>
      <c r="Q2404" t="s">
        <v>29</v>
      </c>
      <c r="R2404" t="s">
        <v>29</v>
      </c>
      <c r="S2404">
        <v>11.670829851443401</v>
      </c>
      <c r="T2404" t="s">
        <v>29</v>
      </c>
      <c r="U2404" t="s">
        <v>29</v>
      </c>
      <c r="V2404" t="s">
        <v>29</v>
      </c>
      <c r="W2404" t="s">
        <v>29</v>
      </c>
      <c r="X2404" t="s">
        <v>29</v>
      </c>
      <c r="Y2404" t="s">
        <v>29</v>
      </c>
    </row>
    <row r="2405" spans="1:25" x14ac:dyDescent="0.2">
      <c r="A2405" t="s">
        <v>9000</v>
      </c>
      <c r="B2405" t="s">
        <v>9001</v>
      </c>
      <c r="C2405" t="s">
        <v>9002</v>
      </c>
      <c r="D2405" t="s">
        <v>9003</v>
      </c>
      <c r="E2405" t="s">
        <v>9001</v>
      </c>
      <c r="F2405" t="s">
        <v>28</v>
      </c>
      <c r="G2405" t="s">
        <v>9001</v>
      </c>
      <c r="H2405" t="str">
        <f>"ddx-15"</f>
        <v>ddx-15</v>
      </c>
      <c r="I2405" t="s">
        <v>9003</v>
      </c>
      <c r="J2405">
        <v>13.844553447205501</v>
      </c>
      <c r="K2405">
        <v>13.7937312184517</v>
      </c>
      <c r="L2405">
        <v>13.890226657497699</v>
      </c>
      <c r="M2405">
        <v>14.2738749947261</v>
      </c>
      <c r="N2405">
        <v>13.5697129625184</v>
      </c>
      <c r="O2405">
        <v>13.761510289943301</v>
      </c>
      <c r="P2405">
        <v>2.55289746776288E-2</v>
      </c>
      <c r="Q2405">
        <v>-0.38800082139217201</v>
      </c>
      <c r="R2405">
        <v>0.43905877074742999</v>
      </c>
      <c r="S2405">
        <v>13.9864415092137</v>
      </c>
      <c r="T2405">
        <v>0.129753499109585</v>
      </c>
      <c r="U2405">
        <v>-7.14747086589826</v>
      </c>
      <c r="V2405">
        <v>0.89820880635019995</v>
      </c>
      <c r="W2405">
        <v>0.93932624283677701</v>
      </c>
      <c r="X2405">
        <v>0</v>
      </c>
      <c r="Y2405">
        <v>0</v>
      </c>
    </row>
    <row r="2406" spans="1:25" x14ac:dyDescent="0.2">
      <c r="A2406" t="s">
        <v>9004</v>
      </c>
      <c r="B2406" t="s">
        <v>9005</v>
      </c>
      <c r="C2406" t="s">
        <v>14483</v>
      </c>
      <c r="D2406" t="s">
        <v>9006</v>
      </c>
      <c r="E2406" t="s">
        <v>9005</v>
      </c>
      <c r="F2406" t="s">
        <v>28</v>
      </c>
      <c r="G2406" t="s">
        <v>9005</v>
      </c>
      <c r="H2406" t="str">
        <f>"F56D3.1"</f>
        <v>F56D3.1</v>
      </c>
      <c r="I2406" t="s">
        <v>9006</v>
      </c>
      <c r="J2406" t="s">
        <v>29</v>
      </c>
      <c r="K2406">
        <v>11.538132160841799</v>
      </c>
      <c r="L2406">
        <v>11.9777785015304</v>
      </c>
      <c r="M2406">
        <v>12.1405036527813</v>
      </c>
      <c r="N2406">
        <v>10.881939539858299</v>
      </c>
      <c r="O2406">
        <v>11.9297955958163</v>
      </c>
      <c r="P2406">
        <v>-0.107209068367441</v>
      </c>
      <c r="Q2406">
        <v>-1.24971552520232</v>
      </c>
      <c r="R2406">
        <v>1.0352973884674399</v>
      </c>
      <c r="S2406">
        <v>12.1023077268389</v>
      </c>
      <c r="T2406">
        <v>-0.19807190205650901</v>
      </c>
      <c r="U2406">
        <v>-7.0248763901237501</v>
      </c>
      <c r="V2406">
        <v>0.84535250315814803</v>
      </c>
      <c r="W2406">
        <v>0.90230127736583199</v>
      </c>
      <c r="X2406">
        <v>0</v>
      </c>
      <c r="Y2406">
        <v>0</v>
      </c>
    </row>
    <row r="2407" spans="1:25" x14ac:dyDescent="0.2">
      <c r="A2407" t="s">
        <v>9007</v>
      </c>
      <c r="B2407" t="s">
        <v>9008</v>
      </c>
      <c r="C2407" t="s">
        <v>9009</v>
      </c>
      <c r="D2407" t="s">
        <v>9010</v>
      </c>
      <c r="E2407" t="s">
        <v>9008</v>
      </c>
      <c r="F2407" t="s">
        <v>28</v>
      </c>
      <c r="G2407" t="s">
        <v>9008</v>
      </c>
      <c r="H2407" t="str">
        <f>"ifet-1"</f>
        <v>ifet-1</v>
      </c>
      <c r="I2407" t="s">
        <v>9010</v>
      </c>
      <c r="J2407">
        <v>12.308095348641301</v>
      </c>
      <c r="K2407">
        <v>12.123183395569701</v>
      </c>
      <c r="L2407">
        <v>12.607815726309401</v>
      </c>
      <c r="M2407" t="s">
        <v>29</v>
      </c>
      <c r="N2407">
        <v>12.1493002489898</v>
      </c>
      <c r="O2407">
        <v>11.891511845013101</v>
      </c>
      <c r="P2407">
        <v>-0.32595877650535798</v>
      </c>
      <c r="Q2407">
        <v>-1.04013196112053</v>
      </c>
      <c r="R2407">
        <v>0.388214408109811</v>
      </c>
      <c r="S2407">
        <v>13.4067784890924</v>
      </c>
      <c r="T2407">
        <v>-0.96340556944149602</v>
      </c>
      <c r="U2407">
        <v>-6.5706155157242998</v>
      </c>
      <c r="V2407">
        <v>0.348931719291878</v>
      </c>
      <c r="W2407">
        <v>0.51934433169351801</v>
      </c>
      <c r="X2407">
        <v>0</v>
      </c>
      <c r="Y2407">
        <v>0</v>
      </c>
    </row>
    <row r="2408" spans="1:25" x14ac:dyDescent="0.2">
      <c r="A2408" t="s">
        <v>9011</v>
      </c>
      <c r="B2408" t="s">
        <v>9012</v>
      </c>
      <c r="C2408" t="s">
        <v>9013</v>
      </c>
      <c r="D2408" t="s">
        <v>3312</v>
      </c>
      <c r="E2408" t="s">
        <v>9012</v>
      </c>
      <c r="F2408" t="s">
        <v>28</v>
      </c>
      <c r="G2408" t="s">
        <v>9014</v>
      </c>
      <c r="H2408" t="str">
        <f>"col-160"</f>
        <v>col-160</v>
      </c>
      <c r="I2408" t="s">
        <v>3312</v>
      </c>
      <c r="J2408">
        <v>13.133227139610501</v>
      </c>
      <c r="K2408">
        <v>12.2605482395754</v>
      </c>
      <c r="L2408">
        <v>14.282662845990099</v>
      </c>
      <c r="M2408" t="s">
        <v>29</v>
      </c>
      <c r="N2408">
        <v>13.929714242817999</v>
      </c>
      <c r="O2408">
        <v>13.0259679914935</v>
      </c>
      <c r="P2408">
        <v>0.25236170876373998</v>
      </c>
      <c r="Q2408">
        <v>-0.77907570346266897</v>
      </c>
      <c r="R2408">
        <v>1.28379912099015</v>
      </c>
      <c r="S2408">
        <v>14.5595703323298</v>
      </c>
      <c r="T2408">
        <v>0.52182175991208402</v>
      </c>
      <c r="U2408">
        <v>-6.9025786078885698</v>
      </c>
      <c r="V2408">
        <v>0.60946724267253705</v>
      </c>
      <c r="W2408">
        <v>0.740376690784043</v>
      </c>
      <c r="X2408">
        <v>0</v>
      </c>
      <c r="Y2408">
        <v>0</v>
      </c>
    </row>
    <row r="2409" spans="1:25" x14ac:dyDescent="0.2">
      <c r="A2409" t="s">
        <v>9015</v>
      </c>
      <c r="B2409" t="s">
        <v>9016</v>
      </c>
      <c r="C2409" t="s">
        <v>9017</v>
      </c>
      <c r="D2409" t="s">
        <v>9018</v>
      </c>
      <c r="E2409" t="s">
        <v>9016</v>
      </c>
      <c r="F2409" t="s">
        <v>28</v>
      </c>
      <c r="G2409" t="s">
        <v>9016</v>
      </c>
      <c r="H2409" t="str">
        <f>"sun-1"</f>
        <v>sun-1</v>
      </c>
      <c r="I2409" t="s">
        <v>9018</v>
      </c>
      <c r="J2409" t="s">
        <v>29</v>
      </c>
      <c r="K2409">
        <v>12.6011356649107</v>
      </c>
      <c r="L2409">
        <v>11.675697417100199</v>
      </c>
      <c r="M2409" t="s">
        <v>29</v>
      </c>
      <c r="N2409" t="s">
        <v>29</v>
      </c>
      <c r="O2409" t="s">
        <v>29</v>
      </c>
      <c r="P2409" t="s">
        <v>29</v>
      </c>
      <c r="Q2409" t="s">
        <v>29</v>
      </c>
      <c r="R2409" t="s">
        <v>29</v>
      </c>
      <c r="S2409">
        <v>12.5877189960081</v>
      </c>
      <c r="T2409" t="s">
        <v>29</v>
      </c>
      <c r="U2409" t="s">
        <v>29</v>
      </c>
      <c r="V2409" t="s">
        <v>29</v>
      </c>
      <c r="W2409" t="s">
        <v>29</v>
      </c>
      <c r="X2409" t="s">
        <v>29</v>
      </c>
      <c r="Y2409" t="s">
        <v>29</v>
      </c>
    </row>
    <row r="2410" spans="1:25" x14ac:dyDescent="0.2">
      <c r="A2410" t="s">
        <v>9019</v>
      </c>
      <c r="B2410" t="s">
        <v>9020</v>
      </c>
      <c r="C2410" t="s">
        <v>9021</v>
      </c>
      <c r="D2410" t="s">
        <v>9022</v>
      </c>
      <c r="E2410" t="s">
        <v>9020</v>
      </c>
      <c r="F2410" t="s">
        <v>28</v>
      </c>
      <c r="G2410" t="s">
        <v>9020</v>
      </c>
      <c r="H2410" t="str">
        <f>"byn-1"</f>
        <v>byn-1</v>
      </c>
      <c r="I2410" t="s">
        <v>9022</v>
      </c>
      <c r="J2410">
        <v>11.6518127704416</v>
      </c>
      <c r="K2410">
        <v>11.735604782256299</v>
      </c>
      <c r="L2410">
        <v>12.2208996682189</v>
      </c>
      <c r="M2410" t="s">
        <v>29</v>
      </c>
      <c r="N2410">
        <v>12.1475524966504</v>
      </c>
      <c r="O2410">
        <v>12.157880940764301</v>
      </c>
      <c r="P2410">
        <v>0.28327764506839698</v>
      </c>
      <c r="Q2410">
        <v>-0.51529492004797595</v>
      </c>
      <c r="R2410">
        <v>1.08185021018477</v>
      </c>
      <c r="S2410">
        <v>13.411983536021699</v>
      </c>
      <c r="T2410">
        <v>0.75239767914415401</v>
      </c>
      <c r="U2410">
        <v>-6.7520884937514198</v>
      </c>
      <c r="V2410">
        <v>0.46280959048445702</v>
      </c>
      <c r="W2410">
        <v>0.62535527884351005</v>
      </c>
      <c r="X2410">
        <v>0</v>
      </c>
      <c r="Y2410">
        <v>0</v>
      </c>
    </row>
    <row r="2411" spans="1:25" x14ac:dyDescent="0.2">
      <c r="A2411" t="s">
        <v>9023</v>
      </c>
      <c r="B2411" t="s">
        <v>9024</v>
      </c>
      <c r="C2411" t="s">
        <v>9025</v>
      </c>
      <c r="D2411" t="s">
        <v>9026</v>
      </c>
      <c r="E2411" t="s">
        <v>9024</v>
      </c>
      <c r="F2411" t="s">
        <v>28</v>
      </c>
      <c r="G2411" t="s">
        <v>9024</v>
      </c>
      <c r="H2411" t="str">
        <f>"let-711"</f>
        <v>let-711</v>
      </c>
      <c r="I2411" t="s">
        <v>9026</v>
      </c>
      <c r="J2411">
        <v>14.9796379324449</v>
      </c>
      <c r="K2411">
        <v>15.012845294619</v>
      </c>
      <c r="L2411">
        <v>15.1031798139568</v>
      </c>
      <c r="M2411">
        <v>14.4469628005797</v>
      </c>
      <c r="N2411">
        <v>15.117561261325299</v>
      </c>
      <c r="O2411">
        <v>14.9363007263405</v>
      </c>
      <c r="P2411">
        <v>-0.19827941759173101</v>
      </c>
      <c r="Q2411">
        <v>-0.64621167735052498</v>
      </c>
      <c r="R2411">
        <v>0.24965284216706199</v>
      </c>
      <c r="S2411">
        <v>15.479803467759099</v>
      </c>
      <c r="T2411">
        <v>-0.93037451709193097</v>
      </c>
      <c r="U2411">
        <v>-6.7127508271303302</v>
      </c>
      <c r="V2411">
        <v>0.36455915641747599</v>
      </c>
      <c r="W2411">
        <v>0.53291460017971304</v>
      </c>
      <c r="X2411">
        <v>0</v>
      </c>
      <c r="Y2411">
        <v>0</v>
      </c>
    </row>
    <row r="2412" spans="1:25" x14ac:dyDescent="0.2">
      <c r="A2412" t="s">
        <v>9027</v>
      </c>
      <c r="B2412" t="s">
        <v>9028</v>
      </c>
      <c r="C2412" t="s">
        <v>9029</v>
      </c>
      <c r="D2412" t="s">
        <v>9030</v>
      </c>
      <c r="E2412" t="s">
        <v>9028</v>
      </c>
      <c r="F2412" t="s">
        <v>28</v>
      </c>
      <c r="G2412" t="s">
        <v>9028</v>
      </c>
      <c r="H2412" t="str">
        <f>"rpn-6.1"</f>
        <v>rpn-6.1</v>
      </c>
      <c r="I2412" t="s">
        <v>9030</v>
      </c>
      <c r="J2412">
        <v>13.7109596019852</v>
      </c>
      <c r="K2412">
        <v>13.771969466021501</v>
      </c>
      <c r="L2412">
        <v>13.8170552814328</v>
      </c>
      <c r="M2412" t="s">
        <v>29</v>
      </c>
      <c r="N2412">
        <v>14.1444368143585</v>
      </c>
      <c r="O2412">
        <v>13.815482710344201</v>
      </c>
      <c r="P2412">
        <v>0.21329831253814999</v>
      </c>
      <c r="Q2412">
        <v>-0.30696823831238201</v>
      </c>
      <c r="R2412">
        <v>0.73356486338868199</v>
      </c>
      <c r="S2412">
        <v>13.8023476207293</v>
      </c>
      <c r="T2412">
        <v>0.865389313323081</v>
      </c>
      <c r="U2412">
        <v>-6.6603520528065197</v>
      </c>
      <c r="V2412">
        <v>0.39894711192637999</v>
      </c>
      <c r="W2412">
        <v>0.56714767913509001</v>
      </c>
      <c r="X2412">
        <v>0</v>
      </c>
      <c r="Y2412">
        <v>0</v>
      </c>
    </row>
    <row r="2413" spans="1:25" x14ac:dyDescent="0.2">
      <c r="A2413" t="s">
        <v>9031</v>
      </c>
      <c r="B2413" t="s">
        <v>9032</v>
      </c>
      <c r="C2413" t="s">
        <v>9033</v>
      </c>
      <c r="D2413" t="s">
        <v>1912</v>
      </c>
      <c r="E2413" t="s">
        <v>9032</v>
      </c>
      <c r="F2413" t="s">
        <v>28</v>
      </c>
      <c r="G2413" t="s">
        <v>9032</v>
      </c>
      <c r="H2413" t="str">
        <f>"mrp-2"</f>
        <v>mrp-2</v>
      </c>
      <c r="I2413" t="s">
        <v>1912</v>
      </c>
      <c r="J2413">
        <v>11.7047134774699</v>
      </c>
      <c r="K2413">
        <v>11.5891079047689</v>
      </c>
      <c r="L2413">
        <v>11.2128822366723</v>
      </c>
      <c r="M2413" t="s">
        <v>29</v>
      </c>
      <c r="N2413" t="s">
        <v>29</v>
      </c>
      <c r="O2413">
        <v>11.532404173750299</v>
      </c>
      <c r="P2413">
        <v>3.0169634113232001E-2</v>
      </c>
      <c r="Q2413">
        <v>-1.13966537474957</v>
      </c>
      <c r="R2413">
        <v>1.20000464297603</v>
      </c>
      <c r="S2413">
        <v>11.3901310734206</v>
      </c>
      <c r="T2413">
        <v>5.5003083256426499E-2</v>
      </c>
      <c r="U2413">
        <v>-6.8111056755140504</v>
      </c>
      <c r="V2413">
        <v>0.95686699750501503</v>
      </c>
      <c r="W2413">
        <v>0.97371790112129797</v>
      </c>
      <c r="X2413">
        <v>0</v>
      </c>
      <c r="Y2413">
        <v>0</v>
      </c>
    </row>
    <row r="2414" spans="1:25" x14ac:dyDescent="0.2">
      <c r="A2414" t="s">
        <v>9034</v>
      </c>
      <c r="B2414" t="s">
        <v>9035</v>
      </c>
      <c r="C2414" t="s">
        <v>9036</v>
      </c>
      <c r="D2414" t="s">
        <v>6999</v>
      </c>
      <c r="E2414" t="s">
        <v>9035</v>
      </c>
      <c r="F2414" t="s">
        <v>28</v>
      </c>
      <c r="G2414" t="s">
        <v>9035</v>
      </c>
      <c r="H2414" t="str">
        <f>"lys-4"</f>
        <v>lys-4</v>
      </c>
      <c r="I2414" t="s">
        <v>6999</v>
      </c>
      <c r="J2414">
        <v>15.5098076866211</v>
      </c>
      <c r="K2414">
        <v>15.0028937655728</v>
      </c>
      <c r="L2414">
        <v>15.240850343925899</v>
      </c>
      <c r="M2414">
        <v>13.8290398379726</v>
      </c>
      <c r="N2414" t="s">
        <v>29</v>
      </c>
      <c r="O2414">
        <v>13.724669735142299</v>
      </c>
      <c r="P2414">
        <v>-1.47432914548252</v>
      </c>
      <c r="Q2414">
        <v>-2.1546133568390302</v>
      </c>
      <c r="R2414">
        <v>-0.79404493412601795</v>
      </c>
      <c r="S2414">
        <v>15.2915444246383</v>
      </c>
      <c r="T2414">
        <v>-4.5746099747212501</v>
      </c>
      <c r="U2414">
        <v>8.3003200871546695E-2</v>
      </c>
      <c r="V2414">
        <v>2.73269767596798E-4</v>
      </c>
      <c r="W2414">
        <v>3.4862597623712701E-3</v>
      </c>
      <c r="X2414">
        <v>-1</v>
      </c>
      <c r="Y2414">
        <v>-1</v>
      </c>
    </row>
    <row r="2415" spans="1:25" x14ac:dyDescent="0.2">
      <c r="A2415" t="s">
        <v>9037</v>
      </c>
      <c r="B2415" t="s">
        <v>9038</v>
      </c>
      <c r="C2415" t="s">
        <v>14484</v>
      </c>
      <c r="D2415" t="s">
        <v>9039</v>
      </c>
      <c r="E2415" t="s">
        <v>9038</v>
      </c>
      <c r="F2415" t="s">
        <v>28</v>
      </c>
      <c r="G2415" t="s">
        <v>9038</v>
      </c>
      <c r="H2415" t="str">
        <f>"F58B3.6"</f>
        <v>F58B3.6</v>
      </c>
      <c r="I2415" t="s">
        <v>9039</v>
      </c>
      <c r="J2415">
        <v>12.886762867759799</v>
      </c>
      <c r="K2415">
        <v>13.333328643312701</v>
      </c>
      <c r="L2415">
        <v>12.648284789562499</v>
      </c>
      <c r="M2415" t="s">
        <v>29</v>
      </c>
      <c r="N2415" t="s">
        <v>29</v>
      </c>
      <c r="O2415" t="s">
        <v>29</v>
      </c>
      <c r="P2415" t="s">
        <v>29</v>
      </c>
      <c r="Q2415" t="s">
        <v>29</v>
      </c>
      <c r="R2415" t="s">
        <v>29</v>
      </c>
      <c r="S2415">
        <v>12.1959731339938</v>
      </c>
      <c r="T2415" t="s">
        <v>29</v>
      </c>
      <c r="U2415" t="s">
        <v>29</v>
      </c>
      <c r="V2415" t="s">
        <v>29</v>
      </c>
      <c r="W2415" t="s">
        <v>29</v>
      </c>
      <c r="X2415" t="s">
        <v>29</v>
      </c>
      <c r="Y2415" t="s">
        <v>29</v>
      </c>
    </row>
    <row r="2416" spans="1:25" x14ac:dyDescent="0.2">
      <c r="A2416" t="s">
        <v>9040</v>
      </c>
      <c r="B2416" t="s">
        <v>9041</v>
      </c>
      <c r="C2416" t="s">
        <v>14485</v>
      </c>
      <c r="D2416" t="s">
        <v>8554</v>
      </c>
      <c r="E2416" t="s">
        <v>9041</v>
      </c>
      <c r="F2416" t="s">
        <v>28</v>
      </c>
      <c r="G2416" t="s">
        <v>9041</v>
      </c>
      <c r="H2416" t="str">
        <f>"F58B3.4"</f>
        <v>F58B3.4</v>
      </c>
      <c r="I2416" t="s">
        <v>8554</v>
      </c>
      <c r="J2416">
        <v>11.971657460970899</v>
      </c>
      <c r="K2416">
        <v>11.2401829802651</v>
      </c>
      <c r="L2416" t="s">
        <v>29</v>
      </c>
      <c r="M2416" t="s">
        <v>29</v>
      </c>
      <c r="N2416" t="s">
        <v>29</v>
      </c>
      <c r="O2416">
        <v>11.9754143409709</v>
      </c>
      <c r="P2416">
        <v>0.36949412035284501</v>
      </c>
      <c r="Q2416">
        <v>-0.71708148658349802</v>
      </c>
      <c r="R2416">
        <v>1.45606972728919</v>
      </c>
      <c r="S2416">
        <v>12.3573245372682</v>
      </c>
      <c r="T2416">
        <v>0.72525242015707103</v>
      </c>
      <c r="U2416">
        <v>-6.48247498542767</v>
      </c>
      <c r="V2416">
        <v>0.47953723014778099</v>
      </c>
      <c r="W2416">
        <v>0.63887713257030299</v>
      </c>
      <c r="X2416">
        <v>0</v>
      </c>
      <c r="Y2416">
        <v>0</v>
      </c>
    </row>
    <row r="2417" spans="1:25" x14ac:dyDescent="0.2">
      <c r="A2417" t="s">
        <v>9042</v>
      </c>
      <c r="B2417" t="s">
        <v>9043</v>
      </c>
      <c r="C2417" t="s">
        <v>9044</v>
      </c>
      <c r="D2417" t="s">
        <v>9045</v>
      </c>
      <c r="E2417" t="s">
        <v>9043</v>
      </c>
      <c r="F2417" t="s">
        <v>28</v>
      </c>
      <c r="G2417" t="s">
        <v>9043</v>
      </c>
      <c r="H2417" t="str">
        <f>"mars-1"</f>
        <v>mars-1</v>
      </c>
      <c r="I2417" t="s">
        <v>9045</v>
      </c>
      <c r="J2417">
        <v>15.015552396095201</v>
      </c>
      <c r="K2417">
        <v>14.7209118723326</v>
      </c>
      <c r="L2417">
        <v>14.785523477118399</v>
      </c>
      <c r="M2417">
        <v>14.4959550129403</v>
      </c>
      <c r="N2417">
        <v>14.688568151817099</v>
      </c>
      <c r="O2417">
        <v>14.6585703773864</v>
      </c>
      <c r="P2417">
        <v>-0.22629806780082401</v>
      </c>
      <c r="Q2417">
        <v>-0.63028884886944203</v>
      </c>
      <c r="R2417">
        <v>0.17769271326779301</v>
      </c>
      <c r="S2417">
        <v>14.7252803967502</v>
      </c>
      <c r="T2417">
        <v>-1.177340013115</v>
      </c>
      <c r="U2417">
        <v>-6.4558282930104696</v>
      </c>
      <c r="V2417">
        <v>0.25448189311796499</v>
      </c>
      <c r="W2417">
        <v>0.42203609398910802</v>
      </c>
      <c r="X2417">
        <v>0</v>
      </c>
      <c r="Y2417">
        <v>0</v>
      </c>
    </row>
    <row r="2418" spans="1:25" x14ac:dyDescent="0.2">
      <c r="A2418" t="s">
        <v>9046</v>
      </c>
      <c r="B2418" t="s">
        <v>9047</v>
      </c>
      <c r="C2418" t="s">
        <v>14486</v>
      </c>
      <c r="D2418" t="s">
        <v>3455</v>
      </c>
      <c r="E2418" t="s">
        <v>9047</v>
      </c>
      <c r="F2418" t="s">
        <v>28</v>
      </c>
      <c r="G2418" t="s">
        <v>9047</v>
      </c>
      <c r="H2418" t="str">
        <f>"F58B4.5"</f>
        <v>F58B4.5</v>
      </c>
      <c r="I2418" t="s">
        <v>3455</v>
      </c>
      <c r="J2418" t="s">
        <v>29</v>
      </c>
      <c r="K2418" t="s">
        <v>29</v>
      </c>
      <c r="L2418">
        <v>11.639677363391099</v>
      </c>
      <c r="M2418" t="s">
        <v>29</v>
      </c>
      <c r="N2418" t="s">
        <v>29</v>
      </c>
      <c r="O2418" t="s">
        <v>29</v>
      </c>
      <c r="P2418" t="s">
        <v>29</v>
      </c>
      <c r="Q2418" t="s">
        <v>29</v>
      </c>
      <c r="R2418" t="s">
        <v>29</v>
      </c>
      <c r="S2418">
        <v>10.7723865986517</v>
      </c>
      <c r="T2418" t="s">
        <v>29</v>
      </c>
      <c r="U2418" t="s">
        <v>29</v>
      </c>
      <c r="V2418" t="s">
        <v>29</v>
      </c>
      <c r="W2418" t="s">
        <v>29</v>
      </c>
      <c r="X2418" t="s">
        <v>29</v>
      </c>
      <c r="Y2418" t="s">
        <v>29</v>
      </c>
    </row>
    <row r="2419" spans="1:25" x14ac:dyDescent="0.2">
      <c r="A2419" t="s">
        <v>9048</v>
      </c>
      <c r="B2419" t="s">
        <v>9049</v>
      </c>
      <c r="C2419" t="s">
        <v>14487</v>
      </c>
      <c r="D2419" t="s">
        <v>9050</v>
      </c>
      <c r="E2419" t="s">
        <v>9049</v>
      </c>
      <c r="F2419" t="s">
        <v>28</v>
      </c>
      <c r="G2419" t="s">
        <v>9049</v>
      </c>
      <c r="H2419" t="str">
        <f>"F58F9.4"</f>
        <v>F58F9.4</v>
      </c>
      <c r="I2419" t="s">
        <v>9050</v>
      </c>
      <c r="J2419">
        <v>14.034977352058901</v>
      </c>
      <c r="K2419">
        <v>13.884689021789701</v>
      </c>
      <c r="L2419">
        <v>13.0132233344852</v>
      </c>
      <c r="M2419" t="s">
        <v>29</v>
      </c>
      <c r="N2419" t="s">
        <v>29</v>
      </c>
      <c r="O2419">
        <v>14.088316875503599</v>
      </c>
      <c r="P2419">
        <v>0.44402030605902398</v>
      </c>
      <c r="Q2419">
        <v>-0.55650151498285105</v>
      </c>
      <c r="R2419">
        <v>1.4445421271009</v>
      </c>
      <c r="S2419">
        <v>13.687337823325301</v>
      </c>
      <c r="T2419">
        <v>0.94129509746874596</v>
      </c>
      <c r="U2419">
        <v>-6.3600467881154099</v>
      </c>
      <c r="V2419">
        <v>0.36064046221839802</v>
      </c>
      <c r="W2419">
        <v>0.52981020951199198</v>
      </c>
      <c r="X2419">
        <v>0</v>
      </c>
      <c r="Y2419">
        <v>0</v>
      </c>
    </row>
    <row r="2420" spans="1:25" x14ac:dyDescent="0.2">
      <c r="A2420" t="s">
        <v>9051</v>
      </c>
      <c r="B2420" t="s">
        <v>9052</v>
      </c>
      <c r="C2420" t="s">
        <v>14488</v>
      </c>
      <c r="D2420" t="s">
        <v>9053</v>
      </c>
      <c r="E2420" t="s">
        <v>9052</v>
      </c>
      <c r="F2420" t="s">
        <v>28</v>
      </c>
      <c r="G2420" t="s">
        <v>9052</v>
      </c>
      <c r="H2420" t="str">
        <f>"F58F9.3"</f>
        <v>F58F9.3</v>
      </c>
      <c r="I2420" t="s">
        <v>9053</v>
      </c>
      <c r="J2420">
        <v>13.813130683451099</v>
      </c>
      <c r="K2420">
        <v>13.953398230824</v>
      </c>
      <c r="L2420">
        <v>13.486637414334201</v>
      </c>
      <c r="M2420" t="s">
        <v>29</v>
      </c>
      <c r="N2420" t="s">
        <v>29</v>
      </c>
      <c r="O2420">
        <v>13.404520288697301</v>
      </c>
      <c r="P2420">
        <v>-0.34653515417244302</v>
      </c>
      <c r="Q2420">
        <v>-0.86716085202195803</v>
      </c>
      <c r="R2420">
        <v>0.174090543677072</v>
      </c>
      <c r="S2420">
        <v>13.4846050182448</v>
      </c>
      <c r="T2420">
        <v>-1.41179365918411</v>
      </c>
      <c r="U2420">
        <v>-5.8273057020893297</v>
      </c>
      <c r="V2420">
        <v>0.17728725080711699</v>
      </c>
      <c r="W2420">
        <v>0.33039227526259701</v>
      </c>
      <c r="X2420">
        <v>0</v>
      </c>
      <c r="Y2420">
        <v>0</v>
      </c>
    </row>
    <row r="2421" spans="1:25" x14ac:dyDescent="0.2">
      <c r="A2421" t="s">
        <v>9054</v>
      </c>
      <c r="B2421" t="s">
        <v>9055</v>
      </c>
      <c r="C2421" t="s">
        <v>9056</v>
      </c>
      <c r="D2421" t="s">
        <v>9057</v>
      </c>
      <c r="E2421" t="s">
        <v>9055</v>
      </c>
      <c r="F2421" t="s">
        <v>28</v>
      </c>
      <c r="G2421" t="s">
        <v>9055</v>
      </c>
      <c r="H2421" t="str">
        <f>"myo-5"</f>
        <v>myo-5</v>
      </c>
      <c r="I2421" t="s">
        <v>9057</v>
      </c>
      <c r="J2421">
        <v>14.4765402508375</v>
      </c>
      <c r="K2421">
        <v>14.3881813401913</v>
      </c>
      <c r="L2421">
        <v>13.894054249317</v>
      </c>
      <c r="M2421">
        <v>15.075969794273499</v>
      </c>
      <c r="N2421">
        <v>13.793214965207699</v>
      </c>
      <c r="O2421">
        <v>14.2311865413173</v>
      </c>
      <c r="P2421">
        <v>0.113865153484227</v>
      </c>
      <c r="Q2421">
        <v>-0.57704032416529505</v>
      </c>
      <c r="R2421">
        <v>0.80477063113374803</v>
      </c>
      <c r="S2421">
        <v>13.710996730523201</v>
      </c>
      <c r="T2421">
        <v>0.34638949541515301</v>
      </c>
      <c r="U2421">
        <v>-7.0935458392371897</v>
      </c>
      <c r="V2421">
        <v>0.73308953952705502</v>
      </c>
      <c r="W2421">
        <v>0.82837993596097803</v>
      </c>
      <c r="X2421">
        <v>0</v>
      </c>
      <c r="Y2421">
        <v>0</v>
      </c>
    </row>
    <row r="2422" spans="1:25" x14ac:dyDescent="0.2">
      <c r="A2422" t="s">
        <v>9058</v>
      </c>
      <c r="B2422" t="s">
        <v>9059</v>
      </c>
      <c r="C2422" t="s">
        <v>9060</v>
      </c>
      <c r="D2422" t="s">
        <v>9061</v>
      </c>
      <c r="E2422" t="s">
        <v>9059</v>
      </c>
      <c r="F2422" t="s">
        <v>28</v>
      </c>
      <c r="G2422" t="s">
        <v>9059</v>
      </c>
      <c r="H2422" t="str">
        <f>"kin-29"</f>
        <v>kin-29</v>
      </c>
      <c r="I2422" t="s">
        <v>9061</v>
      </c>
      <c r="J2422">
        <v>13.405373966808201</v>
      </c>
      <c r="K2422">
        <v>13.0207204336304</v>
      </c>
      <c r="L2422">
        <v>13.0223940929574</v>
      </c>
      <c r="M2422" t="s">
        <v>29</v>
      </c>
      <c r="N2422">
        <v>12.775851608961601</v>
      </c>
      <c r="O2422">
        <v>14.1574312897892</v>
      </c>
      <c r="P2422">
        <v>0.31714528491010102</v>
      </c>
      <c r="Q2422">
        <v>-0.34863362549135801</v>
      </c>
      <c r="R2422">
        <v>0.98292419531155995</v>
      </c>
      <c r="S2422">
        <v>13.812011157397199</v>
      </c>
      <c r="T2422">
        <v>1.00549111676053</v>
      </c>
      <c r="U2422">
        <v>-6.52944025737873</v>
      </c>
      <c r="V2422">
        <v>0.32884496298104798</v>
      </c>
      <c r="W2422">
        <v>0.50108898960969495</v>
      </c>
      <c r="X2422">
        <v>0</v>
      </c>
      <c r="Y2422">
        <v>0</v>
      </c>
    </row>
    <row r="2423" spans="1:25" x14ac:dyDescent="0.2">
      <c r="A2423" t="s">
        <v>9062</v>
      </c>
      <c r="B2423" t="s">
        <v>9063</v>
      </c>
      <c r="C2423" t="s">
        <v>9064</v>
      </c>
      <c r="D2423" t="s">
        <v>9065</v>
      </c>
      <c r="E2423" t="s">
        <v>9063</v>
      </c>
      <c r="F2423" t="s">
        <v>28</v>
      </c>
      <c r="G2423" t="s">
        <v>9063</v>
      </c>
      <c r="H2423" t="str">
        <f>"cri-3"</f>
        <v>cri-3</v>
      </c>
      <c r="I2423" t="s">
        <v>9065</v>
      </c>
      <c r="J2423" t="s">
        <v>29</v>
      </c>
      <c r="K2423">
        <v>11.110050034855499</v>
      </c>
      <c r="L2423" t="s">
        <v>29</v>
      </c>
      <c r="M2423" t="s">
        <v>29</v>
      </c>
      <c r="N2423" t="s">
        <v>29</v>
      </c>
      <c r="O2423" t="s">
        <v>29</v>
      </c>
      <c r="P2423" t="s">
        <v>29</v>
      </c>
      <c r="Q2423" t="s">
        <v>29</v>
      </c>
      <c r="R2423" t="s">
        <v>29</v>
      </c>
      <c r="S2423">
        <v>11.2569160731178</v>
      </c>
      <c r="T2423" t="s">
        <v>29</v>
      </c>
      <c r="U2423" t="s">
        <v>29</v>
      </c>
      <c r="V2423" t="s">
        <v>29</v>
      </c>
      <c r="W2423" t="s">
        <v>29</v>
      </c>
      <c r="X2423" t="s">
        <v>29</v>
      </c>
      <c r="Y2423" t="s">
        <v>29</v>
      </c>
    </row>
    <row r="2424" spans="1:25" x14ac:dyDescent="0.2">
      <c r="A2424" t="s">
        <v>9066</v>
      </c>
      <c r="B2424" t="s">
        <v>9067</v>
      </c>
      <c r="C2424" t="s">
        <v>9068</v>
      </c>
      <c r="D2424" t="s">
        <v>2221</v>
      </c>
      <c r="E2424" t="s">
        <v>9067</v>
      </c>
      <c r="F2424" t="s">
        <v>28</v>
      </c>
      <c r="G2424" t="s">
        <v>9067</v>
      </c>
      <c r="H2424" t="str">
        <f>"citk-2"</f>
        <v>citk-2</v>
      </c>
      <c r="I2424" t="s">
        <v>2221</v>
      </c>
      <c r="J2424">
        <v>11.426367199090601</v>
      </c>
      <c r="K2424">
        <v>10.9591025715421</v>
      </c>
      <c r="L2424">
        <v>12.4637811924974</v>
      </c>
      <c r="M2424" t="s">
        <v>29</v>
      </c>
      <c r="N2424">
        <v>12.696129331687599</v>
      </c>
      <c r="O2424">
        <v>12.042421188017199</v>
      </c>
      <c r="P2424">
        <v>0.752858272142365</v>
      </c>
      <c r="Q2424">
        <v>-8.5994585304438403E-2</v>
      </c>
      <c r="R2424">
        <v>1.5917111295891699</v>
      </c>
      <c r="S2424">
        <v>12.1885564254383</v>
      </c>
      <c r="T2424">
        <v>1.8944251537761401</v>
      </c>
      <c r="U2424">
        <v>-5.3361492760675704</v>
      </c>
      <c r="V2424">
        <v>7.5417178227421902E-2</v>
      </c>
      <c r="W2424">
        <v>0.180255007490845</v>
      </c>
      <c r="X2424">
        <v>0</v>
      </c>
      <c r="Y2424">
        <v>0</v>
      </c>
    </row>
    <row r="2425" spans="1:25" x14ac:dyDescent="0.2">
      <c r="A2425" t="s">
        <v>9069</v>
      </c>
      <c r="B2425" t="s">
        <v>9070</v>
      </c>
      <c r="C2425" t="s">
        <v>9071</v>
      </c>
      <c r="D2425" t="s">
        <v>9072</v>
      </c>
      <c r="E2425" t="s">
        <v>9070</v>
      </c>
      <c r="F2425" t="s">
        <v>28</v>
      </c>
      <c r="G2425" t="s">
        <v>9070</v>
      </c>
      <c r="H2425" t="str">
        <f>"nsy-1"</f>
        <v>nsy-1</v>
      </c>
      <c r="I2425" t="s">
        <v>9072</v>
      </c>
      <c r="J2425">
        <v>12.3405199119542</v>
      </c>
      <c r="K2425">
        <v>12.7070657086725</v>
      </c>
      <c r="L2425">
        <v>12.1667198725644</v>
      </c>
      <c r="M2425" t="s">
        <v>29</v>
      </c>
      <c r="N2425" t="s">
        <v>29</v>
      </c>
      <c r="O2425">
        <v>13.037907197159001</v>
      </c>
      <c r="P2425">
        <v>0.63313869942858503</v>
      </c>
      <c r="Q2425">
        <v>-1.8971564911206901E-2</v>
      </c>
      <c r="R2425">
        <v>1.2852489637683799</v>
      </c>
      <c r="S2425">
        <v>12.527760537723699</v>
      </c>
      <c r="T2425">
        <v>2.0593366725289499</v>
      </c>
      <c r="U2425">
        <v>-4.8415555202184599</v>
      </c>
      <c r="V2425">
        <v>5.6233449912179802E-2</v>
      </c>
      <c r="W2425">
        <v>0.14822895965223101</v>
      </c>
      <c r="X2425">
        <v>0</v>
      </c>
      <c r="Y2425">
        <v>0</v>
      </c>
    </row>
    <row r="2426" spans="1:25" x14ac:dyDescent="0.2">
      <c r="A2426" t="s">
        <v>9073</v>
      </c>
      <c r="B2426" t="s">
        <v>9074</v>
      </c>
      <c r="C2426" t="s">
        <v>9075</v>
      </c>
      <c r="D2426" t="s">
        <v>9076</v>
      </c>
      <c r="E2426" t="s">
        <v>9074</v>
      </c>
      <c r="F2426" t="s">
        <v>28</v>
      </c>
      <c r="G2426" t="s">
        <v>9074</v>
      </c>
      <c r="H2426" t="str">
        <f>"ver-3"</f>
        <v>ver-3</v>
      </c>
      <c r="I2426" t="s">
        <v>9076</v>
      </c>
      <c r="J2426">
        <v>12.604638631578901</v>
      </c>
      <c r="K2426" t="s">
        <v>29</v>
      </c>
      <c r="L2426">
        <v>12.8329625114684</v>
      </c>
      <c r="M2426" t="s">
        <v>29</v>
      </c>
      <c r="N2426" t="s">
        <v>29</v>
      </c>
      <c r="O2426">
        <v>12.034185575056201</v>
      </c>
      <c r="P2426">
        <v>-0.68461499646746304</v>
      </c>
      <c r="Q2426">
        <v>-2.81787955753081</v>
      </c>
      <c r="R2426">
        <v>1.4486495645958799</v>
      </c>
      <c r="S2426">
        <v>12.516312468939301</v>
      </c>
      <c r="T2426">
        <v>-0.69388729209184696</v>
      </c>
      <c r="U2426">
        <v>-6.5033192885541</v>
      </c>
      <c r="V2426">
        <v>0.50006260225168597</v>
      </c>
      <c r="W2426">
        <v>0.65501627722920397</v>
      </c>
      <c r="X2426">
        <v>0</v>
      </c>
      <c r="Y2426">
        <v>0</v>
      </c>
    </row>
    <row r="2427" spans="1:25" x14ac:dyDescent="0.2">
      <c r="A2427" t="s">
        <v>9077</v>
      </c>
      <c r="B2427" t="s">
        <v>9078</v>
      </c>
      <c r="C2427" t="s">
        <v>9079</v>
      </c>
      <c r="D2427" t="s">
        <v>9080</v>
      </c>
      <c r="E2427" t="s">
        <v>9078</v>
      </c>
      <c r="F2427" t="s">
        <v>28</v>
      </c>
      <c r="G2427" t="s">
        <v>9078</v>
      </c>
      <c r="H2427" t="str">
        <f>"syd-2"</f>
        <v>syd-2</v>
      </c>
      <c r="I2427" t="s">
        <v>9080</v>
      </c>
      <c r="J2427">
        <v>12.5992400060242</v>
      </c>
      <c r="K2427">
        <v>12.9714965897561</v>
      </c>
      <c r="L2427">
        <v>12.8372113898091</v>
      </c>
      <c r="M2427" t="s">
        <v>29</v>
      </c>
      <c r="N2427">
        <v>12.860011921378799</v>
      </c>
      <c r="O2427">
        <v>12.8342923886698</v>
      </c>
      <c r="P2427">
        <v>4.4502826494534603E-2</v>
      </c>
      <c r="Q2427">
        <v>-0.439982006643451</v>
      </c>
      <c r="R2427">
        <v>0.52898765963252004</v>
      </c>
      <c r="S2427">
        <v>12.917177271042799</v>
      </c>
      <c r="T2427">
        <v>0.193890898088837</v>
      </c>
      <c r="U2427">
        <v>-7.0257358614653196</v>
      </c>
      <c r="V2427">
        <v>0.84857337713911596</v>
      </c>
      <c r="W2427">
        <v>0.90442883993814605</v>
      </c>
      <c r="X2427">
        <v>0</v>
      </c>
      <c r="Y2427">
        <v>0</v>
      </c>
    </row>
    <row r="2428" spans="1:25" x14ac:dyDescent="0.2">
      <c r="A2428" t="s">
        <v>9081</v>
      </c>
      <c r="B2428" t="s">
        <v>9082</v>
      </c>
      <c r="C2428" t="s">
        <v>9083</v>
      </c>
      <c r="D2428" t="s">
        <v>9084</v>
      </c>
      <c r="E2428" t="s">
        <v>9082</v>
      </c>
      <c r="F2428" t="s">
        <v>28</v>
      </c>
      <c r="G2428" t="s">
        <v>9082</v>
      </c>
      <c r="H2428" t="str">
        <f>"vps-35"</f>
        <v>vps-35</v>
      </c>
      <c r="I2428" t="s">
        <v>9084</v>
      </c>
      <c r="J2428">
        <v>16.854756615791299</v>
      </c>
      <c r="K2428">
        <v>16.5808652091836</v>
      </c>
      <c r="L2428">
        <v>16.875018436014201</v>
      </c>
      <c r="M2428">
        <v>16.6131905429394</v>
      </c>
      <c r="N2428">
        <v>16.548796937131598</v>
      </c>
      <c r="O2428">
        <v>16.7417398646583</v>
      </c>
      <c r="P2428">
        <v>-0.13563763875325199</v>
      </c>
      <c r="Q2428">
        <v>-0.58597097496647699</v>
      </c>
      <c r="R2428">
        <v>0.314695697459972</v>
      </c>
      <c r="S2428">
        <v>16.193274830972701</v>
      </c>
      <c r="T2428">
        <v>-0.63305090914756001</v>
      </c>
      <c r="U2428">
        <v>-6.94832362199576</v>
      </c>
      <c r="V2428">
        <v>0.53470746668007896</v>
      </c>
      <c r="W2428">
        <v>0.68423052727146905</v>
      </c>
      <c r="X2428">
        <v>0</v>
      </c>
      <c r="Y2428">
        <v>0</v>
      </c>
    </row>
    <row r="2429" spans="1:25" x14ac:dyDescent="0.2">
      <c r="A2429" t="s">
        <v>9085</v>
      </c>
      <c r="B2429" t="s">
        <v>9086</v>
      </c>
      <c r="C2429" t="s">
        <v>9087</v>
      </c>
      <c r="D2429" t="s">
        <v>9088</v>
      </c>
      <c r="E2429" t="s">
        <v>9086</v>
      </c>
      <c r="F2429" t="s">
        <v>28</v>
      </c>
      <c r="G2429" t="s">
        <v>9086</v>
      </c>
      <c r="H2429" t="str">
        <f>"cgt-3"</f>
        <v>cgt-3</v>
      </c>
      <c r="I2429" t="s">
        <v>9088</v>
      </c>
      <c r="J2429" t="s">
        <v>29</v>
      </c>
      <c r="K2429" t="s">
        <v>29</v>
      </c>
      <c r="L2429" t="s">
        <v>29</v>
      </c>
      <c r="M2429" t="s">
        <v>29</v>
      </c>
      <c r="N2429" t="s">
        <v>29</v>
      </c>
      <c r="O2429" t="s">
        <v>29</v>
      </c>
      <c r="P2429" t="s">
        <v>29</v>
      </c>
      <c r="Q2429" t="s">
        <v>29</v>
      </c>
      <c r="R2429" t="s">
        <v>29</v>
      </c>
      <c r="S2429">
        <v>11.096263229088301</v>
      </c>
      <c r="T2429" t="s">
        <v>29</v>
      </c>
      <c r="U2429" t="s">
        <v>29</v>
      </c>
      <c r="V2429" t="s">
        <v>29</v>
      </c>
      <c r="W2429" t="s">
        <v>29</v>
      </c>
      <c r="X2429" t="s">
        <v>29</v>
      </c>
      <c r="Y2429" t="s">
        <v>29</v>
      </c>
    </row>
    <row r="2430" spans="1:25" x14ac:dyDescent="0.2">
      <c r="A2430" t="s">
        <v>9089</v>
      </c>
      <c r="B2430" t="s">
        <v>9090</v>
      </c>
      <c r="C2430" t="s">
        <v>9091</v>
      </c>
      <c r="D2430" t="s">
        <v>9092</v>
      </c>
      <c r="E2430" t="s">
        <v>9090</v>
      </c>
      <c r="F2430" t="s">
        <v>28</v>
      </c>
      <c r="G2430" t="s">
        <v>9090</v>
      </c>
      <c r="H2430" t="str">
        <f>"ifc-2"</f>
        <v>ifc-2</v>
      </c>
      <c r="I2430" t="s">
        <v>9092</v>
      </c>
      <c r="J2430">
        <v>16.155980106966702</v>
      </c>
      <c r="K2430">
        <v>16.6816530590993</v>
      </c>
      <c r="L2430">
        <v>18.343370997535398</v>
      </c>
      <c r="M2430">
        <v>18.9516784145715</v>
      </c>
      <c r="N2430">
        <v>18.0075347294583</v>
      </c>
      <c r="O2430">
        <v>17.6848139362742</v>
      </c>
      <c r="P2430">
        <v>1.1543409722342099</v>
      </c>
      <c r="Q2430">
        <v>-1.5333027441306599E-3</v>
      </c>
      <c r="R2430">
        <v>2.3102152472125601</v>
      </c>
      <c r="S2430">
        <v>17.033298035678499</v>
      </c>
      <c r="T2430">
        <v>2.0990173371903702</v>
      </c>
      <c r="U2430">
        <v>-5.09072176344662</v>
      </c>
      <c r="V2430">
        <v>5.0273540015494299E-2</v>
      </c>
      <c r="W2430">
        <v>0.13667538969157</v>
      </c>
      <c r="X2430">
        <v>1</v>
      </c>
      <c r="Y2430">
        <v>0</v>
      </c>
    </row>
    <row r="2431" spans="1:25" x14ac:dyDescent="0.2">
      <c r="A2431" t="s">
        <v>9093</v>
      </c>
      <c r="B2431" t="s">
        <v>9094</v>
      </c>
      <c r="C2431" t="s">
        <v>9095</v>
      </c>
      <c r="D2431" t="s">
        <v>9096</v>
      </c>
      <c r="E2431" t="s">
        <v>9094</v>
      </c>
      <c r="F2431" t="s">
        <v>28</v>
      </c>
      <c r="G2431" t="s">
        <v>9094</v>
      </c>
      <c r="H2431" t="str">
        <f>"srdh-1"</f>
        <v>srdh-1</v>
      </c>
      <c r="I2431" t="s">
        <v>9096</v>
      </c>
      <c r="J2431">
        <v>15.780635064642601</v>
      </c>
      <c r="K2431">
        <v>15.7201130750675</v>
      </c>
      <c r="L2431">
        <v>15.874993707122</v>
      </c>
      <c r="M2431">
        <v>14.7966269793673</v>
      </c>
      <c r="N2431">
        <v>14.969927661869599</v>
      </c>
      <c r="O2431">
        <v>15.382070533535099</v>
      </c>
      <c r="P2431">
        <v>-0.74237222402001801</v>
      </c>
      <c r="Q2431">
        <v>-1.1342207322889</v>
      </c>
      <c r="R2431">
        <v>-0.350523715751132</v>
      </c>
      <c r="S2431">
        <v>15.425418734157599</v>
      </c>
      <c r="T2431">
        <v>-3.9819520835180802</v>
      </c>
      <c r="U2431">
        <v>-1.21175742482536</v>
      </c>
      <c r="V2431">
        <v>8.8299481600294003E-4</v>
      </c>
      <c r="W2431">
        <v>8.3136924049861394E-3</v>
      </c>
      <c r="X2431">
        <v>0</v>
      </c>
      <c r="Y2431">
        <v>0</v>
      </c>
    </row>
    <row r="2432" spans="1:25" x14ac:dyDescent="0.2">
      <c r="A2432" t="s">
        <v>9097</v>
      </c>
      <c r="B2432" t="s">
        <v>9098</v>
      </c>
      <c r="C2432" t="s">
        <v>9099</v>
      </c>
      <c r="D2432" t="s">
        <v>9100</v>
      </c>
      <c r="E2432" t="s">
        <v>9098</v>
      </c>
      <c r="F2432" t="s">
        <v>28</v>
      </c>
      <c r="G2432" t="s">
        <v>9098</v>
      </c>
      <c r="H2432" t="str">
        <f>"nst-1"</f>
        <v>nst-1</v>
      </c>
      <c r="I2432" t="s">
        <v>9100</v>
      </c>
      <c r="J2432">
        <v>15.473744116138</v>
      </c>
      <c r="K2432">
        <v>15.5412682375524</v>
      </c>
      <c r="L2432">
        <v>15.815078929179901</v>
      </c>
      <c r="M2432">
        <v>15.206707782836499</v>
      </c>
      <c r="N2432">
        <v>15.5239180377359</v>
      </c>
      <c r="O2432">
        <v>14.987301153649501</v>
      </c>
      <c r="P2432">
        <v>-0.370721436216158</v>
      </c>
      <c r="Q2432">
        <v>-0.781317717822957</v>
      </c>
      <c r="R2432">
        <v>3.9874845390640901E-2</v>
      </c>
      <c r="S2432">
        <v>15.9099614157468</v>
      </c>
      <c r="T2432">
        <v>-1.8976896985006799</v>
      </c>
      <c r="U2432">
        <v>-5.4353737879477002</v>
      </c>
      <c r="V2432">
        <v>7.3990712146199095E-2</v>
      </c>
      <c r="W2432">
        <v>0.17829160154934501</v>
      </c>
      <c r="X2432">
        <v>0</v>
      </c>
      <c r="Y2432">
        <v>0</v>
      </c>
    </row>
    <row r="2433" spans="1:25" x14ac:dyDescent="0.2">
      <c r="A2433" t="s">
        <v>9101</v>
      </c>
      <c r="B2433" t="s">
        <v>9102</v>
      </c>
      <c r="C2433" t="s">
        <v>9103</v>
      </c>
      <c r="D2433" t="s">
        <v>9104</v>
      </c>
      <c r="E2433" t="s">
        <v>9102</v>
      </c>
      <c r="F2433" t="s">
        <v>28</v>
      </c>
      <c r="G2433" t="s">
        <v>9102</v>
      </c>
      <c r="H2433" t="str">
        <f>"miga-1"</f>
        <v>miga-1</v>
      </c>
      <c r="I2433" t="s">
        <v>9104</v>
      </c>
      <c r="J2433">
        <v>13.578048898851501</v>
      </c>
      <c r="K2433">
        <v>13.0411173924733</v>
      </c>
      <c r="L2433">
        <v>13.065631915255199</v>
      </c>
      <c r="M2433" t="s">
        <v>29</v>
      </c>
      <c r="N2433">
        <v>12.9714370397339</v>
      </c>
      <c r="O2433">
        <v>13.048576605287099</v>
      </c>
      <c r="P2433">
        <v>-0.21825924634946101</v>
      </c>
      <c r="Q2433">
        <v>-1.01702455792899</v>
      </c>
      <c r="R2433">
        <v>0.58050606523006398</v>
      </c>
      <c r="S2433">
        <v>13.332670732174901</v>
      </c>
      <c r="T2433">
        <v>-0.57677106928176902</v>
      </c>
      <c r="U2433">
        <v>-6.8723204619762903</v>
      </c>
      <c r="V2433">
        <v>0.57169963891324505</v>
      </c>
      <c r="W2433">
        <v>0.71144786302532004</v>
      </c>
      <c r="X2433">
        <v>0</v>
      </c>
      <c r="Y2433">
        <v>0</v>
      </c>
    </row>
    <row r="2434" spans="1:25" x14ac:dyDescent="0.2">
      <c r="A2434" t="s">
        <v>9105</v>
      </c>
      <c r="B2434" t="s">
        <v>9106</v>
      </c>
      <c r="C2434" t="s">
        <v>14489</v>
      </c>
      <c r="D2434" t="s">
        <v>9107</v>
      </c>
      <c r="E2434" t="s">
        <v>9106</v>
      </c>
      <c r="F2434" t="s">
        <v>28</v>
      </c>
      <c r="G2434" t="s">
        <v>9106</v>
      </c>
      <c r="H2434" t="str">
        <f>"K01H12.4"</f>
        <v>K01H12.4</v>
      </c>
      <c r="I2434" t="s">
        <v>9107</v>
      </c>
      <c r="J2434">
        <v>15.1453549684376</v>
      </c>
      <c r="K2434">
        <v>13.6482146011941</v>
      </c>
      <c r="L2434">
        <v>14.820287197073901</v>
      </c>
      <c r="M2434" t="s">
        <v>29</v>
      </c>
      <c r="N2434">
        <v>13.8085046251293</v>
      </c>
      <c r="O2434">
        <v>13.4287132107928</v>
      </c>
      <c r="P2434">
        <v>-0.919343337607476</v>
      </c>
      <c r="Q2434">
        <v>-2.3441112748693298</v>
      </c>
      <c r="R2434">
        <v>0.50542459965437603</v>
      </c>
      <c r="S2434">
        <v>14.1183098214706</v>
      </c>
      <c r="T2434">
        <v>-1.36202040196025</v>
      </c>
      <c r="U2434">
        <v>-6.1206201706887704</v>
      </c>
      <c r="V2434">
        <v>0.191076527933249</v>
      </c>
      <c r="W2434">
        <v>0.348454534541636</v>
      </c>
      <c r="X2434">
        <v>0</v>
      </c>
      <c r="Y2434">
        <v>0</v>
      </c>
    </row>
    <row r="2435" spans="1:25" x14ac:dyDescent="0.2">
      <c r="A2435" t="s">
        <v>9108</v>
      </c>
      <c r="B2435" t="s">
        <v>9109</v>
      </c>
      <c r="C2435" t="s">
        <v>9110</v>
      </c>
      <c r="D2435" t="s">
        <v>9111</v>
      </c>
      <c r="E2435" t="s">
        <v>9109</v>
      </c>
      <c r="F2435" t="s">
        <v>28</v>
      </c>
      <c r="G2435" t="s">
        <v>9109</v>
      </c>
      <c r="H2435" t="str">
        <f>"dcaf-1"</f>
        <v>dcaf-1</v>
      </c>
      <c r="I2435" t="s">
        <v>9111</v>
      </c>
      <c r="J2435">
        <v>12.190277099803801</v>
      </c>
      <c r="K2435">
        <v>12.647840169494</v>
      </c>
      <c r="L2435">
        <v>12.356715725822401</v>
      </c>
      <c r="M2435" t="s">
        <v>29</v>
      </c>
      <c r="N2435">
        <v>11.763392572614199</v>
      </c>
      <c r="O2435">
        <v>12.030835166904399</v>
      </c>
      <c r="P2435">
        <v>-0.50116379528078003</v>
      </c>
      <c r="Q2435">
        <v>-1.05803580193666</v>
      </c>
      <c r="R2435">
        <v>5.5708211375095899E-2</v>
      </c>
      <c r="S2435">
        <v>12.6778258702924</v>
      </c>
      <c r="T2435">
        <v>-1.8996531655953699</v>
      </c>
      <c r="U2435">
        <v>-5.3275672184407403</v>
      </c>
      <c r="V2435">
        <v>7.4686901893805294E-2</v>
      </c>
      <c r="W2435">
        <v>0.179082390337585</v>
      </c>
      <c r="X2435">
        <v>0</v>
      </c>
      <c r="Y2435">
        <v>0</v>
      </c>
    </row>
    <row r="2436" spans="1:25" x14ac:dyDescent="0.2">
      <c r="A2436" t="s">
        <v>9112</v>
      </c>
      <c r="B2436" t="s">
        <v>9113</v>
      </c>
      <c r="C2436" t="s">
        <v>9114</v>
      </c>
      <c r="D2436" t="s">
        <v>534</v>
      </c>
      <c r="E2436" t="s">
        <v>9113</v>
      </c>
      <c r="F2436" t="s">
        <v>28</v>
      </c>
      <c r="G2436" t="s">
        <v>9113</v>
      </c>
      <c r="H2436" t="str">
        <f>"sec-12"</f>
        <v>sec-12</v>
      </c>
      <c r="I2436" t="s">
        <v>534</v>
      </c>
      <c r="J2436">
        <v>14.284891616365901</v>
      </c>
      <c r="K2436">
        <v>14.0303505346408</v>
      </c>
      <c r="L2436">
        <v>14.018187044885201</v>
      </c>
      <c r="M2436" t="s">
        <v>29</v>
      </c>
      <c r="N2436">
        <v>13.931617002980399</v>
      </c>
      <c r="O2436">
        <v>14.137723523037501</v>
      </c>
      <c r="P2436">
        <v>-7.6472802288323594E-2</v>
      </c>
      <c r="Q2436">
        <v>-0.44823411383739897</v>
      </c>
      <c r="R2436">
        <v>0.29528850926075201</v>
      </c>
      <c r="S2436">
        <v>14.0565443305244</v>
      </c>
      <c r="T2436">
        <v>-0.434203006628053</v>
      </c>
      <c r="U2436">
        <v>-6.9469252948842604</v>
      </c>
      <c r="V2436">
        <v>0.66963527944290002</v>
      </c>
      <c r="W2436">
        <v>0.78248024128399196</v>
      </c>
      <c r="X2436">
        <v>0</v>
      </c>
      <c r="Y2436">
        <v>0</v>
      </c>
    </row>
    <row r="2437" spans="1:25" x14ac:dyDescent="0.2">
      <c r="A2437" t="s">
        <v>9115</v>
      </c>
      <c r="B2437" t="s">
        <v>9116</v>
      </c>
      <c r="C2437" t="s">
        <v>9117</v>
      </c>
      <c r="D2437" t="s">
        <v>9118</v>
      </c>
      <c r="E2437" t="s">
        <v>9116</v>
      </c>
      <c r="F2437" t="s">
        <v>28</v>
      </c>
      <c r="G2437" t="s">
        <v>9116</v>
      </c>
      <c r="H2437" t="str">
        <f>"mcu-1"</f>
        <v>mcu-1</v>
      </c>
      <c r="I2437" t="s">
        <v>9118</v>
      </c>
      <c r="J2437">
        <v>13.0897370391923</v>
      </c>
      <c r="K2437">
        <v>13.282596452648599</v>
      </c>
      <c r="L2437">
        <v>13.156643870766001</v>
      </c>
      <c r="M2437">
        <v>11.163689933006401</v>
      </c>
      <c r="N2437">
        <v>12.2418278247094</v>
      </c>
      <c r="O2437">
        <v>13.0949209170278</v>
      </c>
      <c r="P2437">
        <v>-1.00951289595442</v>
      </c>
      <c r="Q2437">
        <v>-1.69818592812505</v>
      </c>
      <c r="R2437">
        <v>-0.32083986378378798</v>
      </c>
      <c r="S2437">
        <v>12.774532586817999</v>
      </c>
      <c r="T2437">
        <v>-3.08099722816806</v>
      </c>
      <c r="U2437">
        <v>-3.1655872009004402</v>
      </c>
      <c r="V2437">
        <v>6.4743137096788996E-3</v>
      </c>
      <c r="W2437">
        <v>3.3709898414176202E-2</v>
      </c>
      <c r="X2437">
        <v>-1</v>
      </c>
      <c r="Y2437">
        <v>-1</v>
      </c>
    </row>
    <row r="2438" spans="1:25" x14ac:dyDescent="0.2">
      <c r="A2438" t="s">
        <v>9119</v>
      </c>
      <c r="B2438" t="s">
        <v>9120</v>
      </c>
      <c r="C2438" t="s">
        <v>9121</v>
      </c>
      <c r="D2438" t="s">
        <v>9122</v>
      </c>
      <c r="E2438" t="s">
        <v>9120</v>
      </c>
      <c r="F2438" t="s">
        <v>28</v>
      </c>
      <c r="G2438" t="s">
        <v>9120</v>
      </c>
      <c r="H2438" t="str">
        <f>"K02F3.2"</f>
        <v>K02F3.2</v>
      </c>
      <c r="I2438" t="s">
        <v>9122</v>
      </c>
      <c r="J2438">
        <v>16.158707511814601</v>
      </c>
      <c r="K2438">
        <v>15.948988562567299</v>
      </c>
      <c r="L2438">
        <v>15.754782348686501</v>
      </c>
      <c r="M2438">
        <v>15.0092204629306</v>
      </c>
      <c r="N2438">
        <v>15.5761307029418</v>
      </c>
      <c r="O2438">
        <v>15.539606683310501</v>
      </c>
      <c r="P2438">
        <v>-0.57917352462852301</v>
      </c>
      <c r="Q2438">
        <v>-0.98043134410192201</v>
      </c>
      <c r="R2438">
        <v>-0.177915705155124</v>
      </c>
      <c r="S2438">
        <v>15.4413468335764</v>
      </c>
      <c r="T2438">
        <v>-3.03373544283015</v>
      </c>
      <c r="U2438">
        <v>-3.26490016677521</v>
      </c>
      <c r="V2438">
        <v>7.17616804666334E-3</v>
      </c>
      <c r="W2438">
        <v>3.6089022582793298E-2</v>
      </c>
      <c r="X2438">
        <v>0</v>
      </c>
      <c r="Y2438">
        <v>0</v>
      </c>
    </row>
    <row r="2439" spans="1:25" x14ac:dyDescent="0.2">
      <c r="A2439" t="s">
        <v>9123</v>
      </c>
      <c r="B2439" t="s">
        <v>9124</v>
      </c>
      <c r="C2439" t="s">
        <v>9125</v>
      </c>
      <c r="D2439" t="s">
        <v>9126</v>
      </c>
      <c r="E2439" t="s">
        <v>9124</v>
      </c>
      <c r="F2439" t="s">
        <v>28</v>
      </c>
      <c r="G2439" t="s">
        <v>9124</v>
      </c>
      <c r="H2439" t="str">
        <f>"moma-1"</f>
        <v>moma-1</v>
      </c>
      <c r="I2439" t="s">
        <v>9126</v>
      </c>
      <c r="J2439">
        <v>13.7423670968879</v>
      </c>
      <c r="K2439">
        <v>13.181106529944101</v>
      </c>
      <c r="L2439">
        <v>13.532044455687499</v>
      </c>
      <c r="M2439">
        <v>16.5039881814659</v>
      </c>
      <c r="N2439">
        <v>14.640911077242199</v>
      </c>
      <c r="O2439">
        <v>14.0463020430256</v>
      </c>
      <c r="P2439">
        <v>1.5785610730714299</v>
      </c>
      <c r="Q2439">
        <v>0.69577985664991604</v>
      </c>
      <c r="R2439">
        <v>2.46134228949294</v>
      </c>
      <c r="S2439">
        <v>13.4613438513063</v>
      </c>
      <c r="T2439">
        <v>3.7744903412456599</v>
      </c>
      <c r="U2439">
        <v>-1.7294806934537399</v>
      </c>
      <c r="V2439">
        <v>1.5266125978246399E-3</v>
      </c>
      <c r="W2439">
        <v>1.22921511633585E-2</v>
      </c>
      <c r="X2439">
        <v>1</v>
      </c>
      <c r="Y2439">
        <v>1</v>
      </c>
    </row>
    <row r="2440" spans="1:25" x14ac:dyDescent="0.2">
      <c r="A2440" t="s">
        <v>9127</v>
      </c>
      <c r="B2440" t="s">
        <v>9128</v>
      </c>
      <c r="C2440" t="s">
        <v>9129</v>
      </c>
      <c r="D2440" t="s">
        <v>93</v>
      </c>
      <c r="E2440" t="s">
        <v>9128</v>
      </c>
      <c r="F2440" t="s">
        <v>28</v>
      </c>
      <c r="G2440" t="s">
        <v>9128</v>
      </c>
      <c r="H2440" t="str">
        <f>"rnp-5"</f>
        <v>rnp-5</v>
      </c>
      <c r="I2440" t="s">
        <v>93</v>
      </c>
      <c r="J2440">
        <v>14.741313997230501</v>
      </c>
      <c r="K2440">
        <v>15.494328709533599</v>
      </c>
      <c r="L2440">
        <v>15.2317725626182</v>
      </c>
      <c r="M2440">
        <v>16.228476290153299</v>
      </c>
      <c r="N2440">
        <v>15.257426070639999</v>
      </c>
      <c r="O2440">
        <v>14.981580384655601</v>
      </c>
      <c r="P2440">
        <v>0.333355825355516</v>
      </c>
      <c r="Q2440">
        <v>-0.49342629341579203</v>
      </c>
      <c r="R2440">
        <v>1.16013794412682</v>
      </c>
      <c r="S2440">
        <v>15.716896017194101</v>
      </c>
      <c r="T2440">
        <v>0.84744102891696005</v>
      </c>
      <c r="U2440">
        <v>-6.7868285343939601</v>
      </c>
      <c r="V2440">
        <v>0.40794104437640899</v>
      </c>
      <c r="W2440">
        <v>0.57576736483586</v>
      </c>
      <c r="X2440">
        <v>0</v>
      </c>
      <c r="Y2440">
        <v>0</v>
      </c>
    </row>
    <row r="2441" spans="1:25" x14ac:dyDescent="0.2">
      <c r="A2441" t="s">
        <v>9130</v>
      </c>
      <c r="B2441" t="s">
        <v>9131</v>
      </c>
      <c r="C2441" t="s">
        <v>9132</v>
      </c>
      <c r="D2441" t="s">
        <v>9133</v>
      </c>
      <c r="E2441" t="s">
        <v>9131</v>
      </c>
      <c r="F2441" t="s">
        <v>28</v>
      </c>
      <c r="G2441" t="s">
        <v>9131</v>
      </c>
      <c r="H2441" t="str">
        <f>"dhhc-10"</f>
        <v>dhhc-10</v>
      </c>
      <c r="I2441" t="s">
        <v>9133</v>
      </c>
      <c r="J2441">
        <v>13.1452407887876</v>
      </c>
      <c r="K2441">
        <v>13.2398491594808</v>
      </c>
      <c r="L2441">
        <v>13.202881308368701</v>
      </c>
      <c r="M2441" t="s">
        <v>29</v>
      </c>
      <c r="N2441" t="s">
        <v>29</v>
      </c>
      <c r="O2441">
        <v>13.6401012957653</v>
      </c>
      <c r="P2441">
        <v>0.44411087688626699</v>
      </c>
      <c r="Q2441">
        <v>-0.214392867417912</v>
      </c>
      <c r="R2441">
        <v>1.10261462119045</v>
      </c>
      <c r="S2441">
        <v>13.0866731246002</v>
      </c>
      <c r="T2441">
        <v>1.4304829666485901</v>
      </c>
      <c r="U2441">
        <v>-5.8025915343880801</v>
      </c>
      <c r="V2441">
        <v>0.17194298441317299</v>
      </c>
      <c r="W2441">
        <v>0.32295473235539901</v>
      </c>
      <c r="X2441">
        <v>0</v>
      </c>
      <c r="Y2441">
        <v>0</v>
      </c>
    </row>
    <row r="2442" spans="1:25" x14ac:dyDescent="0.2">
      <c r="A2442" t="s">
        <v>9134</v>
      </c>
      <c r="B2442" t="s">
        <v>9135</v>
      </c>
      <c r="C2442" t="s">
        <v>9136</v>
      </c>
      <c r="D2442" t="s">
        <v>9137</v>
      </c>
      <c r="E2442" t="s">
        <v>9135</v>
      </c>
      <c r="F2442" t="s">
        <v>28</v>
      </c>
      <c r="G2442" t="s">
        <v>9135</v>
      </c>
      <c r="H2442" t="str">
        <f>"sur-5"</f>
        <v>sur-5</v>
      </c>
      <c r="I2442" t="s">
        <v>9137</v>
      </c>
      <c r="J2442">
        <v>14.117112843562699</v>
      </c>
      <c r="K2442">
        <v>14.2893450397363</v>
      </c>
      <c r="L2442">
        <v>14.319272303921901</v>
      </c>
      <c r="M2442" t="s">
        <v>29</v>
      </c>
      <c r="N2442">
        <v>13.9515294451621</v>
      </c>
      <c r="O2442">
        <v>13.7174449505758</v>
      </c>
      <c r="P2442">
        <v>-0.40742286453797899</v>
      </c>
      <c r="Q2442">
        <v>-1.0734560151935499</v>
      </c>
      <c r="R2442">
        <v>0.25861028611759201</v>
      </c>
      <c r="S2442">
        <v>14.8800150333691</v>
      </c>
      <c r="T2442">
        <v>-1.2912179805938599</v>
      </c>
      <c r="U2442">
        <v>-6.2099767996220701</v>
      </c>
      <c r="V2442">
        <v>0.214016070467349</v>
      </c>
      <c r="W2442">
        <v>0.374973459968654</v>
      </c>
      <c r="X2442">
        <v>0</v>
      </c>
      <c r="Y2442">
        <v>0</v>
      </c>
    </row>
    <row r="2443" spans="1:25" x14ac:dyDescent="0.2">
      <c r="A2443" t="s">
        <v>9138</v>
      </c>
      <c r="B2443" t="s">
        <v>9139</v>
      </c>
      <c r="C2443" t="s">
        <v>14490</v>
      </c>
      <c r="D2443" t="s">
        <v>9140</v>
      </c>
      <c r="E2443" t="s">
        <v>9139</v>
      </c>
      <c r="F2443" t="s">
        <v>28</v>
      </c>
      <c r="G2443" t="s">
        <v>9139</v>
      </c>
      <c r="H2443" t="str">
        <f>"K03B4.1"</f>
        <v>K03B4.1</v>
      </c>
      <c r="I2443" t="s">
        <v>9140</v>
      </c>
      <c r="J2443">
        <v>12.3308395771998</v>
      </c>
      <c r="K2443">
        <v>12.587841530921599</v>
      </c>
      <c r="L2443">
        <v>12.7571335308514</v>
      </c>
      <c r="M2443" t="s">
        <v>29</v>
      </c>
      <c r="N2443">
        <v>11.8939241383503</v>
      </c>
      <c r="O2443">
        <v>12.717536567334999</v>
      </c>
      <c r="P2443">
        <v>-0.25287452681494699</v>
      </c>
      <c r="Q2443">
        <v>-0.90129046904467902</v>
      </c>
      <c r="R2443">
        <v>0.39554141541478399</v>
      </c>
      <c r="S2443">
        <v>12.579278988478199</v>
      </c>
      <c r="T2443">
        <v>-0.82319251372235502</v>
      </c>
      <c r="U2443">
        <v>-6.69627789394863</v>
      </c>
      <c r="V2443">
        <v>0.421866590162574</v>
      </c>
      <c r="W2443">
        <v>0.58782072870406898</v>
      </c>
      <c r="X2443">
        <v>0</v>
      </c>
      <c r="Y2443">
        <v>0</v>
      </c>
    </row>
    <row r="2444" spans="1:25" x14ac:dyDescent="0.2">
      <c r="A2444" t="s">
        <v>9141</v>
      </c>
      <c r="B2444" t="s">
        <v>9142</v>
      </c>
      <c r="C2444" t="s">
        <v>14491</v>
      </c>
      <c r="D2444" t="s">
        <v>368</v>
      </c>
      <c r="E2444" t="s">
        <v>9142</v>
      </c>
      <c r="F2444" t="s">
        <v>28</v>
      </c>
      <c r="G2444" t="s">
        <v>9142</v>
      </c>
      <c r="H2444" t="str">
        <f>"K03B8.6"</f>
        <v>K03B8.6</v>
      </c>
      <c r="I2444" t="s">
        <v>368</v>
      </c>
      <c r="J2444">
        <v>15.262843720087901</v>
      </c>
      <c r="K2444">
        <v>15.436486517431399</v>
      </c>
      <c r="L2444">
        <v>14.7944310051199</v>
      </c>
      <c r="M2444">
        <v>14.181212369453201</v>
      </c>
      <c r="N2444">
        <v>14.225063340632699</v>
      </c>
      <c r="O2444">
        <v>14.355687932680601</v>
      </c>
      <c r="P2444">
        <v>-0.91059919995757699</v>
      </c>
      <c r="Q2444">
        <v>-1.3850214509087699</v>
      </c>
      <c r="R2444">
        <v>-0.43617694900638798</v>
      </c>
      <c r="S2444">
        <v>14.3371028837245</v>
      </c>
      <c r="T2444">
        <v>-4.0341749451992701</v>
      </c>
      <c r="U2444">
        <v>-1.0966078863897699</v>
      </c>
      <c r="V2444">
        <v>7.8630166550067301E-4</v>
      </c>
      <c r="W2444">
        <v>7.7651251182720496E-3</v>
      </c>
      <c r="X2444">
        <v>0</v>
      </c>
      <c r="Y2444">
        <v>0</v>
      </c>
    </row>
    <row r="2445" spans="1:25" x14ac:dyDescent="0.2">
      <c r="A2445" t="s">
        <v>9143</v>
      </c>
      <c r="B2445" t="s">
        <v>9144</v>
      </c>
      <c r="C2445" t="s">
        <v>9145</v>
      </c>
      <c r="D2445" t="s">
        <v>9146</v>
      </c>
      <c r="E2445" t="s">
        <v>9144</v>
      </c>
      <c r="F2445" t="s">
        <v>28</v>
      </c>
      <c r="G2445" t="s">
        <v>9144</v>
      </c>
      <c r="H2445" t="str">
        <f>"unc-1"</f>
        <v>unc-1</v>
      </c>
      <c r="I2445" t="s">
        <v>9146</v>
      </c>
      <c r="J2445">
        <v>14.6011660210117</v>
      </c>
      <c r="K2445">
        <v>14.555738238675101</v>
      </c>
      <c r="L2445">
        <v>14.0629289436439</v>
      </c>
      <c r="M2445" t="s">
        <v>29</v>
      </c>
      <c r="N2445">
        <v>13.6560320128192</v>
      </c>
      <c r="O2445">
        <v>13.454762456441401</v>
      </c>
      <c r="P2445">
        <v>-0.85121383314661303</v>
      </c>
      <c r="Q2445">
        <v>-1.4131520893612399</v>
      </c>
      <c r="R2445">
        <v>-0.28927557693198402</v>
      </c>
      <c r="S2445">
        <v>13.6677004327777</v>
      </c>
      <c r="T2445">
        <v>-3.1974229397791301</v>
      </c>
      <c r="U2445">
        <v>-2.8517242539883898</v>
      </c>
      <c r="V2445">
        <v>5.3092064969895896E-3</v>
      </c>
      <c r="W2445">
        <v>2.9371766724173E-2</v>
      </c>
      <c r="X2445">
        <v>0</v>
      </c>
      <c r="Y2445">
        <v>0</v>
      </c>
    </row>
    <row r="2446" spans="1:25" x14ac:dyDescent="0.2">
      <c r="A2446" t="s">
        <v>9147</v>
      </c>
      <c r="B2446" t="s">
        <v>9148</v>
      </c>
      <c r="C2446" t="s">
        <v>9149</v>
      </c>
      <c r="D2446" t="s">
        <v>9150</v>
      </c>
      <c r="E2446" t="s">
        <v>9148</v>
      </c>
      <c r="F2446" t="s">
        <v>28</v>
      </c>
      <c r="G2446" t="s">
        <v>9148</v>
      </c>
      <c r="H2446" t="str">
        <f>"pfn-3"</f>
        <v>pfn-3</v>
      </c>
      <c r="I2446" t="s">
        <v>9150</v>
      </c>
      <c r="J2446">
        <v>14.1997093252116</v>
      </c>
      <c r="K2446">
        <v>14.177648375351501</v>
      </c>
      <c r="L2446">
        <v>13.814993769643801</v>
      </c>
      <c r="M2446">
        <v>15.4482580224757</v>
      </c>
      <c r="N2446">
        <v>14.743287785814401</v>
      </c>
      <c r="O2446">
        <v>14.610522075236499</v>
      </c>
      <c r="P2446">
        <v>0.86990547110657501</v>
      </c>
      <c r="Q2446">
        <v>0.33424906489747103</v>
      </c>
      <c r="R2446">
        <v>1.4055618773156799</v>
      </c>
      <c r="S2446">
        <v>14.0808469685311</v>
      </c>
      <c r="T2446">
        <v>3.4133299557197501</v>
      </c>
      <c r="U2446">
        <v>-2.4557249503003402</v>
      </c>
      <c r="V2446">
        <v>3.1194640858682099E-3</v>
      </c>
      <c r="W2446">
        <v>2.0204528925392599E-2</v>
      </c>
      <c r="X2446">
        <v>0</v>
      </c>
      <c r="Y2446">
        <v>0</v>
      </c>
    </row>
    <row r="2447" spans="1:25" x14ac:dyDescent="0.2">
      <c r="A2447" t="s">
        <v>9151</v>
      </c>
      <c r="B2447" t="s">
        <v>9152</v>
      </c>
      <c r="C2447" t="s">
        <v>14492</v>
      </c>
      <c r="D2447" t="s">
        <v>9153</v>
      </c>
      <c r="E2447" t="s">
        <v>9152</v>
      </c>
      <c r="F2447" t="s">
        <v>28</v>
      </c>
      <c r="G2447" t="s">
        <v>9152</v>
      </c>
      <c r="H2447" t="str">
        <f>"K04C2.2"</f>
        <v>K04C2.2</v>
      </c>
      <c r="I2447" t="s">
        <v>9153</v>
      </c>
      <c r="J2447">
        <v>14.759956855812501</v>
      </c>
      <c r="K2447">
        <v>14.726547432942199</v>
      </c>
      <c r="L2447">
        <v>14.9265936295517</v>
      </c>
      <c r="M2447" t="s">
        <v>29</v>
      </c>
      <c r="N2447">
        <v>14.806748183521901</v>
      </c>
      <c r="O2447">
        <v>15.073361273235699</v>
      </c>
      <c r="P2447">
        <v>0.13568875560999899</v>
      </c>
      <c r="Q2447">
        <v>-0.284204686825419</v>
      </c>
      <c r="R2447">
        <v>0.55558219804541897</v>
      </c>
      <c r="S2447">
        <v>15.2512215979682</v>
      </c>
      <c r="T2447">
        <v>0.68211057175065304</v>
      </c>
      <c r="U2447">
        <v>-6.8042333121318501</v>
      </c>
      <c r="V2447">
        <v>0.50441395511368203</v>
      </c>
      <c r="W2447">
        <v>0.65774686978761998</v>
      </c>
      <c r="X2447">
        <v>0</v>
      </c>
      <c r="Y2447">
        <v>0</v>
      </c>
    </row>
    <row r="2448" spans="1:25" x14ac:dyDescent="0.2">
      <c r="A2448" t="s">
        <v>9154</v>
      </c>
      <c r="B2448" t="s">
        <v>9155</v>
      </c>
      <c r="C2448" t="s">
        <v>9156</v>
      </c>
      <c r="D2448" t="s">
        <v>9157</v>
      </c>
      <c r="E2448" t="s">
        <v>9155</v>
      </c>
      <c r="F2448" t="s">
        <v>28</v>
      </c>
      <c r="G2448" t="s">
        <v>9155</v>
      </c>
      <c r="H2448" t="str">
        <f>"rack-1"</f>
        <v>rack-1</v>
      </c>
      <c r="I2448" t="s">
        <v>9157</v>
      </c>
      <c r="J2448">
        <v>20.127065093132298</v>
      </c>
      <c r="K2448">
        <v>20.355345803601999</v>
      </c>
      <c r="L2448">
        <v>20.344139839899299</v>
      </c>
      <c r="M2448">
        <v>20.096438189113901</v>
      </c>
      <c r="N2448">
        <v>19.533155395631098</v>
      </c>
      <c r="O2448">
        <v>19.5574270451967</v>
      </c>
      <c r="P2448">
        <v>-0.54651003556393696</v>
      </c>
      <c r="Q2448">
        <v>-1.0700426453048699</v>
      </c>
      <c r="R2448">
        <v>-2.2977425823000101E-2</v>
      </c>
      <c r="S2448">
        <v>19.804940523496199</v>
      </c>
      <c r="T2448">
        <v>-2.1940519999191399</v>
      </c>
      <c r="U2448">
        <v>-4.9207256007040296</v>
      </c>
      <c r="V2448">
        <v>4.1680045987619499E-2</v>
      </c>
      <c r="W2448">
        <v>0.120592040558038</v>
      </c>
      <c r="X2448">
        <v>0</v>
      </c>
      <c r="Y2448">
        <v>0</v>
      </c>
    </row>
    <row r="2449" spans="1:25" x14ac:dyDescent="0.2">
      <c r="A2449" t="s">
        <v>9158</v>
      </c>
      <c r="B2449" t="s">
        <v>9159</v>
      </c>
      <c r="C2449" t="s">
        <v>9160</v>
      </c>
      <c r="D2449" t="s">
        <v>9161</v>
      </c>
      <c r="E2449" t="s">
        <v>9159</v>
      </c>
      <c r="F2449" t="s">
        <v>28</v>
      </c>
      <c r="G2449" t="s">
        <v>9159</v>
      </c>
      <c r="H2449" t="str">
        <f>"gta-1"</f>
        <v>gta-1</v>
      </c>
      <c r="I2449" t="s">
        <v>9161</v>
      </c>
      <c r="J2449">
        <v>12.344997992928599</v>
      </c>
      <c r="K2449">
        <v>12.6375616430135</v>
      </c>
      <c r="L2449">
        <v>12.764134528003201</v>
      </c>
      <c r="M2449">
        <v>13.1400722621305</v>
      </c>
      <c r="N2449">
        <v>12.6494996173336</v>
      </c>
      <c r="O2449">
        <v>12.5191907228857</v>
      </c>
      <c r="P2449">
        <v>0.18735614613481</v>
      </c>
      <c r="Q2449">
        <v>-0.36334694552494701</v>
      </c>
      <c r="R2449">
        <v>0.73805923779456695</v>
      </c>
      <c r="S2449">
        <v>12.8014554957581</v>
      </c>
      <c r="T2449">
        <v>0.71506075484742504</v>
      </c>
      <c r="U2449">
        <v>-6.8917535698975803</v>
      </c>
      <c r="V2449">
        <v>0.48379694433287601</v>
      </c>
      <c r="W2449">
        <v>0.64194038493875905</v>
      </c>
      <c r="X2449">
        <v>0</v>
      </c>
      <c r="Y2449">
        <v>0</v>
      </c>
    </row>
    <row r="2450" spans="1:25" x14ac:dyDescent="0.2">
      <c r="A2450" t="s">
        <v>9162</v>
      </c>
      <c r="B2450" t="s">
        <v>9163</v>
      </c>
      <c r="C2450" t="s">
        <v>9164</v>
      </c>
      <c r="D2450" t="s">
        <v>9165</v>
      </c>
      <c r="E2450" t="s">
        <v>9163</v>
      </c>
      <c r="F2450" t="s">
        <v>28</v>
      </c>
      <c r="G2450" t="s">
        <v>9163</v>
      </c>
      <c r="H2450" t="str">
        <f>"pept-1"</f>
        <v>pept-1</v>
      </c>
      <c r="I2450" t="s">
        <v>9165</v>
      </c>
      <c r="J2450">
        <v>13.4116224175082</v>
      </c>
      <c r="K2450">
        <v>13.0846117796707</v>
      </c>
      <c r="L2450">
        <v>13.3711498210904</v>
      </c>
      <c r="M2450" t="s">
        <v>29</v>
      </c>
      <c r="N2450" t="s">
        <v>29</v>
      </c>
      <c r="O2450">
        <v>13.218007195277201</v>
      </c>
      <c r="P2450">
        <v>-7.1120810812518101E-2</v>
      </c>
      <c r="Q2450">
        <v>-0.71685017105410298</v>
      </c>
      <c r="R2450">
        <v>0.57460854942906603</v>
      </c>
      <c r="S2450">
        <v>13.0259552917456</v>
      </c>
      <c r="T2450">
        <v>-0.233612294752293</v>
      </c>
      <c r="U2450">
        <v>-6.7840899928674103</v>
      </c>
      <c r="V2450">
        <v>0.81826804400807496</v>
      </c>
      <c r="W2450">
        <v>0.88568106322982898</v>
      </c>
      <c r="X2450">
        <v>0</v>
      </c>
      <c r="Y2450">
        <v>0</v>
      </c>
    </row>
    <row r="2451" spans="1:25" x14ac:dyDescent="0.2">
      <c r="A2451" t="s">
        <v>9166</v>
      </c>
      <c r="B2451" t="s">
        <v>9167</v>
      </c>
      <c r="C2451" t="s">
        <v>9168</v>
      </c>
      <c r="D2451" t="s">
        <v>9169</v>
      </c>
      <c r="E2451" t="s">
        <v>9167</v>
      </c>
      <c r="F2451" t="s">
        <v>28</v>
      </c>
      <c r="G2451" t="s">
        <v>9167</v>
      </c>
      <c r="H2451" t="str">
        <f>"aho-3"</f>
        <v>aho-3</v>
      </c>
      <c r="I2451" t="s">
        <v>9169</v>
      </c>
      <c r="J2451">
        <v>12.4963410088793</v>
      </c>
      <c r="K2451">
        <v>12.7159954856329</v>
      </c>
      <c r="L2451">
        <v>12.5450797918459</v>
      </c>
      <c r="M2451" t="s">
        <v>29</v>
      </c>
      <c r="N2451" t="s">
        <v>29</v>
      </c>
      <c r="O2451">
        <v>11.5217726279713</v>
      </c>
      <c r="P2451">
        <v>-1.06403280081471</v>
      </c>
      <c r="Q2451">
        <v>-1.79595431029995</v>
      </c>
      <c r="R2451">
        <v>-0.33211129132946499</v>
      </c>
      <c r="S2451">
        <v>12.185139134485899</v>
      </c>
      <c r="T2451">
        <v>-3.0834721886460201</v>
      </c>
      <c r="U2451">
        <v>-2.9117294379254699</v>
      </c>
      <c r="V2451">
        <v>7.16578718556067E-3</v>
      </c>
      <c r="W2451">
        <v>3.6089022582793298E-2</v>
      </c>
      <c r="X2451">
        <v>-1</v>
      </c>
      <c r="Y2451">
        <v>-1</v>
      </c>
    </row>
    <row r="2452" spans="1:25" x14ac:dyDescent="0.2">
      <c r="A2452" t="s">
        <v>9170</v>
      </c>
      <c r="B2452" t="s">
        <v>9171</v>
      </c>
      <c r="C2452" t="s">
        <v>9172</v>
      </c>
      <c r="D2452" t="s">
        <v>9173</v>
      </c>
      <c r="E2452" t="s">
        <v>9171</v>
      </c>
      <c r="F2452" t="s">
        <v>28</v>
      </c>
      <c r="G2452" t="s">
        <v>9171</v>
      </c>
      <c r="H2452" t="str">
        <f>"vacl-14"</f>
        <v>vacl-14</v>
      </c>
      <c r="I2452" t="s">
        <v>9173</v>
      </c>
      <c r="J2452">
        <v>12.470671596013901</v>
      </c>
      <c r="K2452">
        <v>12.5872368067742</v>
      </c>
      <c r="L2452">
        <v>12.4674429658916</v>
      </c>
      <c r="M2452" t="s">
        <v>29</v>
      </c>
      <c r="N2452">
        <v>11.6952952289877</v>
      </c>
      <c r="O2452">
        <v>12.8616478493558</v>
      </c>
      <c r="P2452">
        <v>-0.229978917054767</v>
      </c>
      <c r="Q2452">
        <v>-0.93304017961887298</v>
      </c>
      <c r="R2452">
        <v>0.47308234550933798</v>
      </c>
      <c r="S2452">
        <v>12.6715091856722</v>
      </c>
      <c r="T2452">
        <v>-0.69047008617944305</v>
      </c>
      <c r="U2452">
        <v>-6.7983667101764302</v>
      </c>
      <c r="V2452">
        <v>0.49927527368025698</v>
      </c>
      <c r="W2452">
        <v>0.65501627722920397</v>
      </c>
      <c r="X2452">
        <v>0</v>
      </c>
      <c r="Y2452">
        <v>0</v>
      </c>
    </row>
    <row r="2453" spans="1:25" x14ac:dyDescent="0.2">
      <c r="A2453" t="s">
        <v>9174</v>
      </c>
      <c r="B2453" t="s">
        <v>9175</v>
      </c>
      <c r="C2453" s="3">
        <v>45383</v>
      </c>
      <c r="D2453" t="s">
        <v>9176</v>
      </c>
      <c r="E2453" t="s">
        <v>9175</v>
      </c>
      <c r="F2453" t="s">
        <v>28</v>
      </c>
      <c r="G2453" t="s">
        <v>9175</v>
      </c>
      <c r="H2453" t="str">
        <f>"apr-1"</f>
        <v>apr-1</v>
      </c>
      <c r="I2453" t="s">
        <v>9176</v>
      </c>
      <c r="J2453" t="s">
        <v>29</v>
      </c>
      <c r="K2453" t="s">
        <v>29</v>
      </c>
      <c r="L2453" t="s">
        <v>29</v>
      </c>
      <c r="M2453" t="s">
        <v>29</v>
      </c>
      <c r="N2453" t="s">
        <v>29</v>
      </c>
      <c r="O2453" t="s">
        <v>29</v>
      </c>
      <c r="P2453" t="s">
        <v>29</v>
      </c>
      <c r="Q2453" t="s">
        <v>29</v>
      </c>
      <c r="R2453" t="s">
        <v>29</v>
      </c>
      <c r="S2453">
        <v>12.24477572412</v>
      </c>
      <c r="T2453" t="s">
        <v>29</v>
      </c>
      <c r="U2453" t="s">
        <v>29</v>
      </c>
      <c r="V2453" t="s">
        <v>29</v>
      </c>
      <c r="W2453" t="s">
        <v>29</v>
      </c>
      <c r="X2453" t="s">
        <v>29</v>
      </c>
      <c r="Y2453" t="s">
        <v>29</v>
      </c>
    </row>
    <row r="2454" spans="1:25" x14ac:dyDescent="0.2">
      <c r="A2454" t="s">
        <v>9177</v>
      </c>
      <c r="B2454" t="s">
        <v>9178</v>
      </c>
      <c r="C2454" t="s">
        <v>9179</v>
      </c>
      <c r="D2454" t="s">
        <v>9180</v>
      </c>
      <c r="E2454" t="s">
        <v>9178</v>
      </c>
      <c r="F2454" t="s">
        <v>28</v>
      </c>
      <c r="G2454" t="s">
        <v>9178</v>
      </c>
      <c r="H2454" t="str">
        <f>"eif-2beta"</f>
        <v>eif-2beta</v>
      </c>
      <c r="I2454" t="s">
        <v>9180</v>
      </c>
      <c r="J2454">
        <v>14.7737439149883</v>
      </c>
      <c r="K2454">
        <v>15.1263841550645</v>
      </c>
      <c r="L2454">
        <v>15.1370283899277</v>
      </c>
      <c r="M2454">
        <v>15.0544202416477</v>
      </c>
      <c r="N2454">
        <v>14.7143609782912</v>
      </c>
      <c r="O2454">
        <v>15.228671134313201</v>
      </c>
      <c r="P2454">
        <v>-1.3234701909462699E-2</v>
      </c>
      <c r="Q2454">
        <v>-0.50645633302631798</v>
      </c>
      <c r="R2454">
        <v>0.479986929207393</v>
      </c>
      <c r="S2454">
        <v>14.883276556902199</v>
      </c>
      <c r="T2454">
        <v>-5.63981115260156E-2</v>
      </c>
      <c r="U2454">
        <v>-7.1546330041985504</v>
      </c>
      <c r="V2454">
        <v>0.95564960386839604</v>
      </c>
      <c r="W2454">
        <v>0.97351708970001305</v>
      </c>
      <c r="X2454">
        <v>0</v>
      </c>
      <c r="Y2454">
        <v>0</v>
      </c>
    </row>
    <row r="2455" spans="1:25" x14ac:dyDescent="0.2">
      <c r="A2455" t="s">
        <v>9181</v>
      </c>
      <c r="B2455" t="s">
        <v>9182</v>
      </c>
      <c r="C2455" t="s">
        <v>9183</v>
      </c>
      <c r="D2455" t="s">
        <v>9184</v>
      </c>
      <c r="E2455" t="s">
        <v>9182</v>
      </c>
      <c r="F2455" t="s">
        <v>28</v>
      </c>
      <c r="G2455" t="s">
        <v>9182</v>
      </c>
      <c r="H2455" t="str">
        <f>"nuo-4"</f>
        <v>nuo-4</v>
      </c>
      <c r="I2455" t="s">
        <v>9184</v>
      </c>
      <c r="J2455">
        <v>11.7285224186483</v>
      </c>
      <c r="K2455">
        <v>11.8275841619768</v>
      </c>
      <c r="L2455">
        <v>11.9751904792485</v>
      </c>
      <c r="M2455" t="s">
        <v>29</v>
      </c>
      <c r="N2455">
        <v>12.353260059838799</v>
      </c>
      <c r="O2455">
        <v>12.252588722178899</v>
      </c>
      <c r="P2455">
        <v>0.45915870438434903</v>
      </c>
      <c r="Q2455">
        <v>9.1478413830825001E-3</v>
      </c>
      <c r="R2455">
        <v>0.90916956738561505</v>
      </c>
      <c r="S2455">
        <v>12.4539789662277</v>
      </c>
      <c r="T2455">
        <v>2.1537229573643599</v>
      </c>
      <c r="U2455">
        <v>-4.8931331149032298</v>
      </c>
      <c r="V2455">
        <v>4.5999625152616699E-2</v>
      </c>
      <c r="W2455">
        <v>0.12826317632419201</v>
      </c>
      <c r="X2455">
        <v>0</v>
      </c>
      <c r="Y2455">
        <v>0</v>
      </c>
    </row>
    <row r="2456" spans="1:25" x14ac:dyDescent="0.2">
      <c r="A2456" t="s">
        <v>9185</v>
      </c>
      <c r="B2456" t="s">
        <v>9186</v>
      </c>
      <c r="C2456" t="s">
        <v>14493</v>
      </c>
      <c r="D2456" t="s">
        <v>9187</v>
      </c>
      <c r="E2456" t="s">
        <v>9186</v>
      </c>
      <c r="F2456" t="s">
        <v>28</v>
      </c>
      <c r="G2456" t="s">
        <v>9186</v>
      </c>
      <c r="H2456" t="str">
        <f>"K04G7.1"</f>
        <v>K04G7.1</v>
      </c>
      <c r="I2456" t="s">
        <v>9187</v>
      </c>
      <c r="J2456">
        <v>13.351197599442401</v>
      </c>
      <c r="K2456">
        <v>12.8554438679257</v>
      </c>
      <c r="L2456">
        <v>12.614644896112299</v>
      </c>
      <c r="M2456" t="s">
        <v>29</v>
      </c>
      <c r="N2456">
        <v>13.2682679511966</v>
      </c>
      <c r="O2456">
        <v>12.589920312621</v>
      </c>
      <c r="P2456">
        <v>-1.1334655918030701E-2</v>
      </c>
      <c r="Q2456">
        <v>-0.66073683398913297</v>
      </c>
      <c r="R2456">
        <v>0.63806752215307105</v>
      </c>
      <c r="S2456">
        <v>13.320456403536101</v>
      </c>
      <c r="T2456">
        <v>-3.68421200353235E-2</v>
      </c>
      <c r="U2456">
        <v>-7.04476153463846</v>
      </c>
      <c r="V2456">
        <v>0.97104270369561696</v>
      </c>
      <c r="W2456">
        <v>0.98305147639676504</v>
      </c>
      <c r="X2456">
        <v>0</v>
      </c>
      <c r="Y2456">
        <v>0</v>
      </c>
    </row>
    <row r="2457" spans="1:25" x14ac:dyDescent="0.2">
      <c r="A2457" t="s">
        <v>9188</v>
      </c>
      <c r="B2457" t="s">
        <v>9189</v>
      </c>
      <c r="C2457" t="s">
        <v>9190</v>
      </c>
      <c r="D2457" t="s">
        <v>9191</v>
      </c>
      <c r="E2457" t="s">
        <v>9189</v>
      </c>
      <c r="F2457" t="s">
        <v>28</v>
      </c>
      <c r="G2457" t="s">
        <v>9189</v>
      </c>
      <c r="H2457" t="str">
        <f>"acdh-8"</f>
        <v>acdh-8</v>
      </c>
      <c r="I2457" t="s">
        <v>9191</v>
      </c>
      <c r="J2457">
        <v>13.0995231024717</v>
      </c>
      <c r="K2457">
        <v>12.9155989556608</v>
      </c>
      <c r="L2457">
        <v>12.6188576437335</v>
      </c>
      <c r="M2457" t="s">
        <v>29</v>
      </c>
      <c r="N2457">
        <v>12.5603767632175</v>
      </c>
      <c r="O2457">
        <v>13.374301246433101</v>
      </c>
      <c r="P2457">
        <v>8.9345770869952504E-2</v>
      </c>
      <c r="Q2457">
        <v>-0.50891520003070201</v>
      </c>
      <c r="R2457">
        <v>0.68760674177060799</v>
      </c>
      <c r="S2457">
        <v>12.5819991549916</v>
      </c>
      <c r="T2457">
        <v>0.31676184116556799</v>
      </c>
      <c r="U2457">
        <v>-6.9927141045388703</v>
      </c>
      <c r="V2457">
        <v>0.75554658420624599</v>
      </c>
      <c r="W2457">
        <v>0.84556600528874903</v>
      </c>
      <c r="X2457">
        <v>0</v>
      </c>
      <c r="Y2457">
        <v>0</v>
      </c>
    </row>
    <row r="2458" spans="1:25" x14ac:dyDescent="0.2">
      <c r="A2458" t="s">
        <v>9192</v>
      </c>
      <c r="B2458" t="s">
        <v>9193</v>
      </c>
      <c r="C2458" t="s">
        <v>9194</v>
      </c>
      <c r="D2458" t="s">
        <v>9195</v>
      </c>
      <c r="E2458" t="s">
        <v>9193</v>
      </c>
      <c r="F2458" t="s">
        <v>28</v>
      </c>
      <c r="G2458" t="s">
        <v>9193</v>
      </c>
      <c r="H2458" t="str">
        <f>"cogc-6"</f>
        <v>cogc-6</v>
      </c>
      <c r="I2458" t="s">
        <v>9195</v>
      </c>
      <c r="J2458">
        <v>10.9785201391502</v>
      </c>
      <c r="K2458" t="s">
        <v>29</v>
      </c>
      <c r="L2458" t="s">
        <v>29</v>
      </c>
      <c r="M2458" t="s">
        <v>29</v>
      </c>
      <c r="N2458" t="s">
        <v>29</v>
      </c>
      <c r="O2458">
        <v>12.1780678641633</v>
      </c>
      <c r="P2458">
        <v>1.1995477250130999</v>
      </c>
      <c r="Q2458">
        <v>-0.26545506880735298</v>
      </c>
      <c r="R2458">
        <v>2.6645505188335501</v>
      </c>
      <c r="S2458">
        <v>11.6811256378989</v>
      </c>
      <c r="T2458">
        <v>1.7574014132362901</v>
      </c>
      <c r="U2458">
        <v>-5.1473295571688897</v>
      </c>
      <c r="V2458">
        <v>0.100849156410747</v>
      </c>
      <c r="W2458">
        <v>0.21837065682768</v>
      </c>
      <c r="X2458">
        <v>0</v>
      </c>
      <c r="Y2458">
        <v>0</v>
      </c>
    </row>
    <row r="2459" spans="1:25" x14ac:dyDescent="0.2">
      <c r="A2459" t="s">
        <v>9196</v>
      </c>
      <c r="B2459" t="s">
        <v>9197</v>
      </c>
      <c r="C2459" t="s">
        <v>14494</v>
      </c>
      <c r="D2459" t="s">
        <v>9198</v>
      </c>
      <c r="E2459" t="s">
        <v>9197</v>
      </c>
      <c r="F2459" t="s">
        <v>28</v>
      </c>
      <c r="G2459" t="s">
        <v>9197</v>
      </c>
      <c r="H2459" t="str">
        <f>"K07C5.3"</f>
        <v>K07C5.3</v>
      </c>
      <c r="I2459" t="s">
        <v>9198</v>
      </c>
      <c r="J2459" t="s">
        <v>29</v>
      </c>
      <c r="K2459">
        <v>11.083233579298099</v>
      </c>
      <c r="L2459" t="s">
        <v>29</v>
      </c>
      <c r="M2459" t="s">
        <v>29</v>
      </c>
      <c r="N2459" t="s">
        <v>29</v>
      </c>
      <c r="O2459" t="s">
        <v>29</v>
      </c>
      <c r="P2459" t="s">
        <v>29</v>
      </c>
      <c r="Q2459" t="s">
        <v>29</v>
      </c>
      <c r="R2459" t="s">
        <v>29</v>
      </c>
      <c r="S2459">
        <v>12.317302723824801</v>
      </c>
      <c r="T2459" t="s">
        <v>29</v>
      </c>
      <c r="U2459" t="s">
        <v>29</v>
      </c>
      <c r="V2459" t="s">
        <v>29</v>
      </c>
      <c r="W2459" t="s">
        <v>29</v>
      </c>
      <c r="X2459" t="s">
        <v>29</v>
      </c>
      <c r="Y2459" t="s">
        <v>29</v>
      </c>
    </row>
    <row r="2460" spans="1:25" x14ac:dyDescent="0.2">
      <c r="A2460" t="s">
        <v>9199</v>
      </c>
      <c r="B2460" t="s">
        <v>9200</v>
      </c>
      <c r="C2460" t="s">
        <v>9201</v>
      </c>
      <c r="D2460" t="s">
        <v>9202</v>
      </c>
      <c r="E2460" t="s">
        <v>9200</v>
      </c>
      <c r="F2460" t="s">
        <v>28</v>
      </c>
      <c r="G2460" t="s">
        <v>9200</v>
      </c>
      <c r="H2460" t="str">
        <f>"nol-56"</f>
        <v>nol-56</v>
      </c>
      <c r="I2460" t="s">
        <v>9202</v>
      </c>
      <c r="J2460">
        <v>18.5224575353907</v>
      </c>
      <c r="K2460">
        <v>18.417494974097401</v>
      </c>
      <c r="L2460">
        <v>18.5979210505803</v>
      </c>
      <c r="M2460">
        <v>19.3750674291366</v>
      </c>
      <c r="N2460">
        <v>19.3074851427609</v>
      </c>
      <c r="O2460">
        <v>18.0527741371031</v>
      </c>
      <c r="P2460">
        <v>0.39915104964400799</v>
      </c>
      <c r="Q2460">
        <v>-0.13956693351726801</v>
      </c>
      <c r="R2460">
        <v>0.937869032805284</v>
      </c>
      <c r="S2460">
        <v>18.294880401976599</v>
      </c>
      <c r="T2460">
        <v>1.55728577181543</v>
      </c>
      <c r="U2460">
        <v>-5.9632388448763001</v>
      </c>
      <c r="V2460">
        <v>0.13691139708591299</v>
      </c>
      <c r="W2460">
        <v>0.273729909913287</v>
      </c>
      <c r="X2460">
        <v>0</v>
      </c>
      <c r="Y2460">
        <v>0</v>
      </c>
    </row>
    <row r="2461" spans="1:25" x14ac:dyDescent="0.2">
      <c r="A2461" t="s">
        <v>9203</v>
      </c>
      <c r="B2461" t="s">
        <v>9204</v>
      </c>
      <c r="C2461" t="s">
        <v>9205</v>
      </c>
      <c r="D2461" t="s">
        <v>9206</v>
      </c>
      <c r="E2461" t="s">
        <v>9204</v>
      </c>
      <c r="F2461" t="s">
        <v>28</v>
      </c>
      <c r="G2461" t="s">
        <v>9204</v>
      </c>
      <c r="H2461" t="str">
        <f>"K07C5.6"</f>
        <v>K07C5.6</v>
      </c>
      <c r="I2461" t="s">
        <v>9206</v>
      </c>
      <c r="J2461">
        <v>12.104606004655601</v>
      </c>
      <c r="K2461">
        <v>12.386099731618399</v>
      </c>
      <c r="L2461">
        <v>12.647213024991499</v>
      </c>
      <c r="M2461" t="s">
        <v>29</v>
      </c>
      <c r="N2461" t="s">
        <v>29</v>
      </c>
      <c r="O2461">
        <v>12.7909624551364</v>
      </c>
      <c r="P2461">
        <v>0.41165620138125902</v>
      </c>
      <c r="Q2461">
        <v>-0.79817414176995605</v>
      </c>
      <c r="R2461">
        <v>1.62148654453247</v>
      </c>
      <c r="S2461">
        <v>13.055070683923301</v>
      </c>
      <c r="T2461">
        <v>0.72170500876777</v>
      </c>
      <c r="U2461">
        <v>-6.5436064240640501</v>
      </c>
      <c r="V2461">
        <v>0.48095854135247601</v>
      </c>
      <c r="W2461">
        <v>0.63990285388972801</v>
      </c>
      <c r="X2461">
        <v>0</v>
      </c>
      <c r="Y2461">
        <v>0</v>
      </c>
    </row>
    <row r="2462" spans="1:25" x14ac:dyDescent="0.2">
      <c r="A2462" t="s">
        <v>9207</v>
      </c>
      <c r="B2462" t="s">
        <v>9208</v>
      </c>
      <c r="C2462" t="s">
        <v>9209</v>
      </c>
      <c r="D2462" t="s">
        <v>9210</v>
      </c>
      <c r="E2462" t="s">
        <v>9208</v>
      </c>
      <c r="F2462" t="s">
        <v>28</v>
      </c>
      <c r="G2462" t="s">
        <v>9208</v>
      </c>
      <c r="H2462" t="str">
        <f>"mup-4"</f>
        <v>mup-4</v>
      </c>
      <c r="I2462" t="s">
        <v>9210</v>
      </c>
      <c r="J2462">
        <v>12.903329338878001</v>
      </c>
      <c r="K2462">
        <v>12.419992373610899</v>
      </c>
      <c r="L2462">
        <v>13.1414070870796</v>
      </c>
      <c r="M2462">
        <v>14.4388479900564</v>
      </c>
      <c r="N2462">
        <v>13.615208195431901</v>
      </c>
      <c r="O2462">
        <v>13.822305584531801</v>
      </c>
      <c r="P2462">
        <v>1.1372109901505301</v>
      </c>
      <c r="Q2462">
        <v>0.54071016699954599</v>
      </c>
      <c r="R2462">
        <v>1.7337118133015199</v>
      </c>
      <c r="S2462">
        <v>13.2024789707966</v>
      </c>
      <c r="T2462">
        <v>4.0070292619554699</v>
      </c>
      <c r="U2462">
        <v>-1.15647126348281</v>
      </c>
      <c r="V2462">
        <v>8.3515712493657497E-4</v>
      </c>
      <c r="W2462">
        <v>8.0185432682933992E-3</v>
      </c>
      <c r="X2462">
        <v>1</v>
      </c>
      <c r="Y2462">
        <v>1</v>
      </c>
    </row>
    <row r="2463" spans="1:25" x14ac:dyDescent="0.2">
      <c r="A2463" t="s">
        <v>9211</v>
      </c>
      <c r="B2463" t="s">
        <v>9212</v>
      </c>
      <c r="C2463" t="s">
        <v>14178</v>
      </c>
      <c r="D2463" t="s">
        <v>9213</v>
      </c>
      <c r="E2463" t="s">
        <v>9212</v>
      </c>
      <c r="F2463" t="s">
        <v>28</v>
      </c>
      <c r="G2463" t="s">
        <v>9212</v>
      </c>
      <c r="H2463" t="str">
        <f>"K07E3.4"</f>
        <v>K07E3.4</v>
      </c>
      <c r="I2463" t="s">
        <v>9213</v>
      </c>
      <c r="J2463">
        <v>11.489625096168201</v>
      </c>
      <c r="K2463">
        <v>11.257303900766599</v>
      </c>
      <c r="L2463">
        <v>11.596108234036</v>
      </c>
      <c r="M2463">
        <v>13.7607880774551</v>
      </c>
      <c r="N2463">
        <v>14.5466150273674</v>
      </c>
      <c r="O2463">
        <v>14.9200624415992</v>
      </c>
      <c r="P2463">
        <v>2.96147610515029</v>
      </c>
      <c r="Q2463">
        <v>2.4360936301428802</v>
      </c>
      <c r="R2463">
        <v>3.4868585801577101</v>
      </c>
      <c r="S2463">
        <v>12.9303117910381</v>
      </c>
      <c r="T2463">
        <v>11.8474576221668</v>
      </c>
      <c r="U2463">
        <v>13.0046832403747</v>
      </c>
      <c r="V2463" s="2">
        <v>6.6498860999564304E-10</v>
      </c>
      <c r="W2463" s="2">
        <v>1.3998010240408301E-7</v>
      </c>
      <c r="X2463">
        <v>1</v>
      </c>
      <c r="Y2463">
        <v>1</v>
      </c>
    </row>
    <row r="2464" spans="1:25" x14ac:dyDescent="0.2">
      <c r="A2464" t="s">
        <v>9214</v>
      </c>
      <c r="B2464" t="s">
        <v>9215</v>
      </c>
      <c r="C2464" t="s">
        <v>9216</v>
      </c>
      <c r="D2464" t="s">
        <v>9217</v>
      </c>
      <c r="E2464" t="s">
        <v>9215</v>
      </c>
      <c r="F2464" t="s">
        <v>28</v>
      </c>
      <c r="G2464" t="s">
        <v>9215</v>
      </c>
      <c r="H2464" t="str">
        <f>"dao-3"</f>
        <v>dao-3</v>
      </c>
      <c r="I2464" t="s">
        <v>9217</v>
      </c>
      <c r="J2464">
        <v>15.272953282075299</v>
      </c>
      <c r="K2464">
        <v>14.881193324149001</v>
      </c>
      <c r="L2464">
        <v>14.8861421768668</v>
      </c>
      <c r="M2464">
        <v>15.365805812624799</v>
      </c>
      <c r="N2464">
        <v>14.807060181864999</v>
      </c>
      <c r="O2464">
        <v>15.1900097465707</v>
      </c>
      <c r="P2464">
        <v>0.10752898598984301</v>
      </c>
      <c r="Q2464">
        <v>-0.31342736883956601</v>
      </c>
      <c r="R2464">
        <v>0.52848534081925203</v>
      </c>
      <c r="S2464">
        <v>14.7034776188745</v>
      </c>
      <c r="T2464">
        <v>0.53688465761079995</v>
      </c>
      <c r="U2464">
        <v>-7.0062455668470101</v>
      </c>
      <c r="V2464">
        <v>0.59795981537699505</v>
      </c>
      <c r="W2464">
        <v>0.73241633288723196</v>
      </c>
      <c r="X2464">
        <v>0</v>
      </c>
      <c r="Y2464">
        <v>0</v>
      </c>
    </row>
    <row r="2465" spans="1:25" x14ac:dyDescent="0.2">
      <c r="A2465" t="s">
        <v>9218</v>
      </c>
      <c r="B2465" t="s">
        <v>9219</v>
      </c>
      <c r="C2465" t="s">
        <v>9220</v>
      </c>
      <c r="D2465" t="s">
        <v>9221</v>
      </c>
      <c r="E2465" t="s">
        <v>9219</v>
      </c>
      <c r="F2465" t="s">
        <v>28</v>
      </c>
      <c r="G2465" t="s">
        <v>9219</v>
      </c>
      <c r="H2465" t="str">
        <f>"catp-5"</f>
        <v>catp-5</v>
      </c>
      <c r="I2465" t="s">
        <v>9221</v>
      </c>
      <c r="J2465" t="s">
        <v>29</v>
      </c>
      <c r="K2465" t="s">
        <v>29</v>
      </c>
      <c r="L2465" t="s">
        <v>29</v>
      </c>
      <c r="M2465" t="s">
        <v>29</v>
      </c>
      <c r="N2465" t="s">
        <v>29</v>
      </c>
      <c r="O2465" t="s">
        <v>29</v>
      </c>
      <c r="P2465" t="s">
        <v>29</v>
      </c>
      <c r="Q2465" t="s">
        <v>29</v>
      </c>
      <c r="R2465" t="s">
        <v>29</v>
      </c>
      <c r="S2465">
        <v>10.989799007241899</v>
      </c>
      <c r="T2465" t="s">
        <v>29</v>
      </c>
      <c r="U2465" t="s">
        <v>29</v>
      </c>
      <c r="V2465" t="s">
        <v>29</v>
      </c>
      <c r="W2465" t="s">
        <v>29</v>
      </c>
      <c r="X2465" t="s">
        <v>29</v>
      </c>
      <c r="Y2465" t="s">
        <v>29</v>
      </c>
    </row>
    <row r="2466" spans="1:25" x14ac:dyDescent="0.2">
      <c r="A2466" t="s">
        <v>9222</v>
      </c>
      <c r="B2466" t="s">
        <v>9223</v>
      </c>
      <c r="C2466" t="s">
        <v>14495</v>
      </c>
      <c r="D2466" t="s">
        <v>8101</v>
      </c>
      <c r="E2466" t="s">
        <v>9223</v>
      </c>
      <c r="F2466" t="s">
        <v>28</v>
      </c>
      <c r="G2466" t="s">
        <v>9223</v>
      </c>
      <c r="H2466" t="str">
        <f>"K07E3.2"</f>
        <v>K07E3.2</v>
      </c>
      <c r="I2466" t="s">
        <v>8101</v>
      </c>
      <c r="J2466" t="s">
        <v>29</v>
      </c>
      <c r="K2466" t="s">
        <v>29</v>
      </c>
      <c r="L2466">
        <v>12.939247707777</v>
      </c>
      <c r="M2466" t="s">
        <v>29</v>
      </c>
      <c r="N2466" t="s">
        <v>29</v>
      </c>
      <c r="O2466" t="s">
        <v>29</v>
      </c>
      <c r="P2466" t="s">
        <v>29</v>
      </c>
      <c r="Q2466" t="s">
        <v>29</v>
      </c>
      <c r="R2466" t="s">
        <v>29</v>
      </c>
      <c r="S2466">
        <v>13.1947724828253</v>
      </c>
      <c r="T2466" t="s">
        <v>29</v>
      </c>
      <c r="U2466" t="s">
        <v>29</v>
      </c>
      <c r="V2466" t="s">
        <v>29</v>
      </c>
      <c r="W2466" t="s">
        <v>29</v>
      </c>
      <c r="X2466" t="s">
        <v>29</v>
      </c>
      <c r="Y2466" t="s">
        <v>29</v>
      </c>
    </row>
    <row r="2467" spans="1:25" x14ac:dyDescent="0.2">
      <c r="A2467" t="s">
        <v>9224</v>
      </c>
      <c r="B2467" t="s">
        <v>9225</v>
      </c>
      <c r="C2467" t="s">
        <v>14496</v>
      </c>
      <c r="D2467" t="s">
        <v>115</v>
      </c>
      <c r="E2467" t="s">
        <v>9225</v>
      </c>
      <c r="F2467" t="s">
        <v>28</v>
      </c>
      <c r="G2467" t="s">
        <v>9225</v>
      </c>
      <c r="H2467" t="str">
        <f>"K07E3.1"</f>
        <v>K07E3.1</v>
      </c>
      <c r="I2467" t="s">
        <v>115</v>
      </c>
      <c r="J2467">
        <v>10.026678517033</v>
      </c>
      <c r="K2467">
        <v>13.352472469918499</v>
      </c>
      <c r="L2467">
        <v>11.7865907121503</v>
      </c>
      <c r="M2467" t="s">
        <v>29</v>
      </c>
      <c r="N2467" t="s">
        <v>29</v>
      </c>
      <c r="O2467" t="s">
        <v>29</v>
      </c>
      <c r="P2467" t="s">
        <v>29</v>
      </c>
      <c r="Q2467" t="s">
        <v>29</v>
      </c>
      <c r="R2467" t="s">
        <v>29</v>
      </c>
      <c r="S2467">
        <v>11.5654464977028</v>
      </c>
      <c r="T2467" t="s">
        <v>29</v>
      </c>
      <c r="U2467" t="s">
        <v>29</v>
      </c>
      <c r="V2467" t="s">
        <v>29</v>
      </c>
      <c r="W2467" t="s">
        <v>29</v>
      </c>
      <c r="X2467" t="s">
        <v>29</v>
      </c>
      <c r="Y2467" t="s">
        <v>29</v>
      </c>
    </row>
    <row r="2468" spans="1:25" x14ac:dyDescent="0.2">
      <c r="A2468" t="s">
        <v>9226</v>
      </c>
      <c r="B2468" t="s">
        <v>9227</v>
      </c>
      <c r="C2468" t="s">
        <v>9228</v>
      </c>
      <c r="D2468" t="s">
        <v>9229</v>
      </c>
      <c r="E2468" t="s">
        <v>9227</v>
      </c>
      <c r="F2468" t="s">
        <v>28</v>
      </c>
      <c r="G2468" t="s">
        <v>9227</v>
      </c>
      <c r="H2468" t="str">
        <f>"crml-1"</f>
        <v>crml-1</v>
      </c>
      <c r="I2468" t="s">
        <v>9229</v>
      </c>
      <c r="J2468">
        <v>13.2034578050588</v>
      </c>
      <c r="K2468">
        <v>13.059046387472</v>
      </c>
      <c r="L2468">
        <v>12.776155931813699</v>
      </c>
      <c r="M2468" t="s">
        <v>29</v>
      </c>
      <c r="N2468">
        <v>12.4975104524556</v>
      </c>
      <c r="O2468">
        <v>13.2261374056959</v>
      </c>
      <c r="P2468">
        <v>-0.15106277903906801</v>
      </c>
      <c r="Q2468">
        <v>-0.65745012591654595</v>
      </c>
      <c r="R2468">
        <v>0.35532456783841099</v>
      </c>
      <c r="S2468">
        <v>12.751585414892901</v>
      </c>
      <c r="T2468">
        <v>-0.62968687009152602</v>
      </c>
      <c r="U2468">
        <v>-6.8394764787831202</v>
      </c>
      <c r="V2468">
        <v>0.53732269177972503</v>
      </c>
      <c r="W2468">
        <v>0.68519687264164797</v>
      </c>
      <c r="X2468">
        <v>0</v>
      </c>
      <c r="Y2468">
        <v>0</v>
      </c>
    </row>
    <row r="2469" spans="1:25" x14ac:dyDescent="0.2">
      <c r="A2469" t="s">
        <v>9230</v>
      </c>
      <c r="B2469" t="s">
        <v>9231</v>
      </c>
      <c r="C2469" t="s">
        <v>9232</v>
      </c>
      <c r="D2469" t="s">
        <v>9233</v>
      </c>
      <c r="E2469" t="s">
        <v>9231</v>
      </c>
      <c r="F2469" t="s">
        <v>28</v>
      </c>
      <c r="G2469" t="s">
        <v>9231</v>
      </c>
      <c r="H2469" t="str">
        <f>"xpa-1"</f>
        <v>xpa-1</v>
      </c>
      <c r="I2469" t="s">
        <v>9233</v>
      </c>
      <c r="J2469" t="s">
        <v>29</v>
      </c>
      <c r="K2469" t="s">
        <v>29</v>
      </c>
      <c r="L2469">
        <v>10.214401711978599</v>
      </c>
      <c r="M2469">
        <v>10.867160660690001</v>
      </c>
      <c r="N2469" t="s">
        <v>29</v>
      </c>
      <c r="O2469">
        <v>11.5908288801926</v>
      </c>
      <c r="P2469">
        <v>1.0145930584626699</v>
      </c>
      <c r="Q2469">
        <v>0.221614833471037</v>
      </c>
      <c r="R2469">
        <v>1.8075712834543101</v>
      </c>
      <c r="S2469">
        <v>11.2530904571046</v>
      </c>
      <c r="T2469">
        <v>2.7904589453342701</v>
      </c>
      <c r="U2469">
        <v>-3.56373936749582</v>
      </c>
      <c r="V2469">
        <v>1.6449644119785101E-2</v>
      </c>
      <c r="W2469">
        <v>6.4895717832673006E-2</v>
      </c>
      <c r="X2469">
        <v>1</v>
      </c>
      <c r="Y2469">
        <v>0</v>
      </c>
    </row>
    <row r="2470" spans="1:25" x14ac:dyDescent="0.2">
      <c r="A2470" t="s">
        <v>9234</v>
      </c>
      <c r="B2470" t="s">
        <v>9235</v>
      </c>
      <c r="C2470" t="s">
        <v>9236</v>
      </c>
      <c r="D2470" t="s">
        <v>9237</v>
      </c>
      <c r="E2470" t="s">
        <v>9235</v>
      </c>
      <c r="F2470" t="s">
        <v>28</v>
      </c>
      <c r="G2470" t="s">
        <v>9235</v>
      </c>
      <c r="H2470" t="str">
        <f>"mek-1"</f>
        <v>mek-1</v>
      </c>
      <c r="I2470" t="s">
        <v>9237</v>
      </c>
      <c r="J2470">
        <v>14.541289627861801</v>
      </c>
      <c r="K2470">
        <v>14.643160056228799</v>
      </c>
      <c r="L2470">
        <v>14.500920421796099</v>
      </c>
      <c r="M2470">
        <v>14.182664595323301</v>
      </c>
      <c r="N2470">
        <v>13.6799580923837</v>
      </c>
      <c r="O2470">
        <v>14.383413599235601</v>
      </c>
      <c r="P2470">
        <v>-0.47977793964804</v>
      </c>
      <c r="Q2470">
        <v>-0.87175154110395303</v>
      </c>
      <c r="R2470">
        <v>-8.7804338192126102E-2</v>
      </c>
      <c r="S2470">
        <v>14.1836256587716</v>
      </c>
      <c r="T2470">
        <v>-2.5726219393695802</v>
      </c>
      <c r="U2470">
        <v>-4.20400140869127</v>
      </c>
      <c r="V2470">
        <v>1.92292807649556E-2</v>
      </c>
      <c r="W2470">
        <v>7.1461148063460503E-2</v>
      </c>
      <c r="X2470">
        <v>0</v>
      </c>
      <c r="Y2470">
        <v>0</v>
      </c>
    </row>
    <row r="2471" spans="1:25" x14ac:dyDescent="0.2">
      <c r="A2471" t="s">
        <v>9238</v>
      </c>
      <c r="B2471" t="s">
        <v>9239</v>
      </c>
      <c r="C2471" t="s">
        <v>14497</v>
      </c>
      <c r="D2471" t="s">
        <v>319</v>
      </c>
      <c r="E2471" t="s">
        <v>9239</v>
      </c>
      <c r="F2471" t="s">
        <v>28</v>
      </c>
      <c r="G2471" t="s">
        <v>9239</v>
      </c>
      <c r="H2471" t="str">
        <f>"K08C7.1"</f>
        <v>K08C7.1</v>
      </c>
      <c r="I2471" t="s">
        <v>319</v>
      </c>
      <c r="J2471" t="s">
        <v>29</v>
      </c>
      <c r="K2471">
        <v>12.6595311833513</v>
      </c>
      <c r="L2471" t="s">
        <v>29</v>
      </c>
      <c r="M2471" t="s">
        <v>29</v>
      </c>
      <c r="N2471" t="s">
        <v>29</v>
      </c>
      <c r="O2471" t="s">
        <v>29</v>
      </c>
      <c r="P2471" t="s">
        <v>29</v>
      </c>
      <c r="Q2471" t="s">
        <v>29</v>
      </c>
      <c r="R2471" t="s">
        <v>29</v>
      </c>
      <c r="S2471">
        <v>12.924172352286799</v>
      </c>
      <c r="T2471" t="s">
        <v>29</v>
      </c>
      <c r="U2471" t="s">
        <v>29</v>
      </c>
      <c r="V2471" t="s">
        <v>29</v>
      </c>
      <c r="W2471" t="s">
        <v>29</v>
      </c>
      <c r="X2471" t="s">
        <v>29</v>
      </c>
      <c r="Y2471" t="s">
        <v>29</v>
      </c>
    </row>
    <row r="2472" spans="1:25" x14ac:dyDescent="0.2">
      <c r="A2472" t="s">
        <v>9240</v>
      </c>
      <c r="B2472" t="s">
        <v>9241</v>
      </c>
      <c r="C2472" t="s">
        <v>9242</v>
      </c>
      <c r="D2472" t="s">
        <v>9243</v>
      </c>
      <c r="E2472" t="s">
        <v>9241</v>
      </c>
      <c r="F2472" t="s">
        <v>28</v>
      </c>
      <c r="G2472" t="s">
        <v>9241</v>
      </c>
      <c r="H2472" t="str">
        <f>"epi-1"</f>
        <v>epi-1</v>
      </c>
      <c r="I2472" t="s">
        <v>9243</v>
      </c>
      <c r="J2472">
        <v>12.463780239940601</v>
      </c>
      <c r="K2472">
        <v>13.3093690868754</v>
      </c>
      <c r="L2472">
        <v>13.776759160427201</v>
      </c>
      <c r="M2472">
        <v>14.1501644653534</v>
      </c>
      <c r="N2472">
        <v>14.188136289924699</v>
      </c>
      <c r="O2472">
        <v>14.1011893748618</v>
      </c>
      <c r="P2472">
        <v>0.96319388096554304</v>
      </c>
      <c r="Q2472">
        <v>0.39652215960838399</v>
      </c>
      <c r="R2472">
        <v>1.5298656023227</v>
      </c>
      <c r="S2472">
        <v>13.259884742518601</v>
      </c>
      <c r="T2472">
        <v>3.5725201539859599</v>
      </c>
      <c r="U2472">
        <v>-2.11014382657683</v>
      </c>
      <c r="V2472">
        <v>2.1926878296994901E-3</v>
      </c>
      <c r="W2472">
        <v>1.54231905218764E-2</v>
      </c>
      <c r="X2472">
        <v>0</v>
      </c>
      <c r="Y2472">
        <v>0</v>
      </c>
    </row>
    <row r="2473" spans="1:25" x14ac:dyDescent="0.2">
      <c r="A2473" t="s">
        <v>9244</v>
      </c>
      <c r="B2473" t="s">
        <v>9245</v>
      </c>
      <c r="C2473" t="s">
        <v>9246</v>
      </c>
      <c r="D2473" t="s">
        <v>93</v>
      </c>
      <c r="E2473" t="s">
        <v>9245</v>
      </c>
      <c r="F2473" t="s">
        <v>28</v>
      </c>
      <c r="G2473" t="s">
        <v>9245</v>
      </c>
      <c r="H2473" t="str">
        <f>"rnp-3"</f>
        <v>rnp-3</v>
      </c>
      <c r="I2473" t="s">
        <v>93</v>
      </c>
      <c r="J2473" t="s">
        <v>29</v>
      </c>
      <c r="K2473" t="s">
        <v>29</v>
      </c>
      <c r="L2473" t="s">
        <v>29</v>
      </c>
      <c r="M2473" t="s">
        <v>29</v>
      </c>
      <c r="N2473" t="s">
        <v>29</v>
      </c>
      <c r="O2473" t="s">
        <v>29</v>
      </c>
      <c r="P2473" t="s">
        <v>29</v>
      </c>
      <c r="Q2473" t="s">
        <v>29</v>
      </c>
      <c r="R2473" t="s">
        <v>29</v>
      </c>
      <c r="S2473">
        <v>12.2904765659693</v>
      </c>
      <c r="T2473" t="s">
        <v>29</v>
      </c>
      <c r="U2473" t="s">
        <v>29</v>
      </c>
      <c r="V2473" t="s">
        <v>29</v>
      </c>
      <c r="W2473" t="s">
        <v>29</v>
      </c>
      <c r="X2473" t="s">
        <v>29</v>
      </c>
      <c r="Y2473" t="s">
        <v>29</v>
      </c>
    </row>
    <row r="2474" spans="1:25" x14ac:dyDescent="0.2">
      <c r="A2474" t="s">
        <v>9247</v>
      </c>
      <c r="B2474" t="s">
        <v>9248</v>
      </c>
      <c r="C2474" t="s">
        <v>9249</v>
      </c>
      <c r="D2474" t="s">
        <v>9250</v>
      </c>
      <c r="E2474" t="s">
        <v>9248</v>
      </c>
      <c r="F2474" t="s">
        <v>28</v>
      </c>
      <c r="G2474" t="s">
        <v>9248</v>
      </c>
      <c r="H2474" t="str">
        <f>"spt-5"</f>
        <v>spt-5</v>
      </c>
      <c r="I2474" t="s">
        <v>9250</v>
      </c>
      <c r="J2474">
        <v>14.447082361066601</v>
      </c>
      <c r="K2474">
        <v>14.615341096892401</v>
      </c>
      <c r="L2474">
        <v>14.4928001354772</v>
      </c>
      <c r="M2474">
        <v>13.5975187837044</v>
      </c>
      <c r="N2474">
        <v>13.970149083298899</v>
      </c>
      <c r="O2474">
        <v>14.3728361717983</v>
      </c>
      <c r="P2474">
        <v>-0.538239851544841</v>
      </c>
      <c r="Q2474">
        <v>-0.96863977675843305</v>
      </c>
      <c r="R2474">
        <v>-0.107839926331248</v>
      </c>
      <c r="S2474">
        <v>14.5728818970235</v>
      </c>
      <c r="T2474">
        <v>-2.6284285506021501</v>
      </c>
      <c r="U2474">
        <v>-4.0937059282017296</v>
      </c>
      <c r="V2474">
        <v>1.7103731853963199E-2</v>
      </c>
      <c r="W2474">
        <v>6.6409351480407705E-2</v>
      </c>
      <c r="X2474">
        <v>0</v>
      </c>
      <c r="Y2474">
        <v>0</v>
      </c>
    </row>
    <row r="2475" spans="1:25" x14ac:dyDescent="0.2">
      <c r="A2475" t="s">
        <v>9251</v>
      </c>
      <c r="B2475" t="s">
        <v>9252</v>
      </c>
      <c r="C2475" t="s">
        <v>9253</v>
      </c>
      <c r="D2475" t="s">
        <v>9254</v>
      </c>
      <c r="E2475" t="s">
        <v>9252</v>
      </c>
      <c r="F2475" t="s">
        <v>28</v>
      </c>
      <c r="G2475" t="s">
        <v>9252</v>
      </c>
      <c r="H2475" t="str">
        <f>"let-99"</f>
        <v>let-99</v>
      </c>
      <c r="I2475" t="s">
        <v>9254</v>
      </c>
      <c r="J2475" t="s">
        <v>29</v>
      </c>
      <c r="K2475" t="s">
        <v>29</v>
      </c>
      <c r="L2475" t="s">
        <v>29</v>
      </c>
      <c r="M2475" t="s">
        <v>29</v>
      </c>
      <c r="N2475" t="s">
        <v>29</v>
      </c>
      <c r="O2475" t="s">
        <v>29</v>
      </c>
      <c r="P2475" t="s">
        <v>29</v>
      </c>
      <c r="Q2475" t="s">
        <v>29</v>
      </c>
      <c r="R2475" t="s">
        <v>29</v>
      </c>
      <c r="S2475">
        <v>11.3712057110898</v>
      </c>
      <c r="T2475" t="s">
        <v>29</v>
      </c>
      <c r="U2475" t="s">
        <v>29</v>
      </c>
      <c r="V2475" t="s">
        <v>29</v>
      </c>
      <c r="W2475" t="s">
        <v>29</v>
      </c>
      <c r="X2475" t="s">
        <v>29</v>
      </c>
      <c r="Y2475" t="s">
        <v>29</v>
      </c>
    </row>
    <row r="2476" spans="1:25" x14ac:dyDescent="0.2">
      <c r="A2476" t="s">
        <v>9255</v>
      </c>
      <c r="B2476" t="s">
        <v>9256</v>
      </c>
      <c r="C2476" t="s">
        <v>9257</v>
      </c>
      <c r="D2476" t="s">
        <v>9258</v>
      </c>
      <c r="E2476" t="s">
        <v>9256</v>
      </c>
      <c r="F2476" t="s">
        <v>28</v>
      </c>
      <c r="G2476" t="s">
        <v>9256</v>
      </c>
      <c r="H2476" t="str">
        <f>"eak-7"</f>
        <v>eak-7</v>
      </c>
      <c r="I2476" t="s">
        <v>9258</v>
      </c>
      <c r="J2476" t="s">
        <v>29</v>
      </c>
      <c r="K2476" t="s">
        <v>29</v>
      </c>
      <c r="L2476">
        <v>11.6549161721115</v>
      </c>
      <c r="M2476" t="s">
        <v>29</v>
      </c>
      <c r="N2476" t="s">
        <v>29</v>
      </c>
      <c r="O2476">
        <v>12.1061708972184</v>
      </c>
      <c r="P2476">
        <v>0.45125472510695303</v>
      </c>
      <c r="Q2476">
        <v>-0.86710747899742502</v>
      </c>
      <c r="R2476">
        <v>1.76961692921133</v>
      </c>
      <c r="S2476">
        <v>12.045269883994701</v>
      </c>
      <c r="T2476">
        <v>0.77569559253193998</v>
      </c>
      <c r="U2476">
        <v>-6.2949938224327804</v>
      </c>
      <c r="V2476">
        <v>0.45805502684238703</v>
      </c>
      <c r="W2476">
        <v>0.622068278389177</v>
      </c>
      <c r="X2476">
        <v>0</v>
      </c>
      <c r="Y2476">
        <v>0</v>
      </c>
    </row>
    <row r="2477" spans="1:25" x14ac:dyDescent="0.2">
      <c r="A2477" t="s">
        <v>9259</v>
      </c>
      <c r="B2477" t="s">
        <v>9260</v>
      </c>
      <c r="C2477" t="s">
        <v>9261</v>
      </c>
      <c r="D2477" t="s">
        <v>9262</v>
      </c>
      <c r="E2477" t="s">
        <v>9260</v>
      </c>
      <c r="F2477" t="s">
        <v>28</v>
      </c>
      <c r="G2477" t="s">
        <v>9260</v>
      </c>
      <c r="H2477" t="str">
        <f>"cul-6"</f>
        <v>cul-6</v>
      </c>
      <c r="I2477" t="s">
        <v>9262</v>
      </c>
      <c r="J2477">
        <v>9.9566377093243101</v>
      </c>
      <c r="K2477" t="s">
        <v>29</v>
      </c>
      <c r="L2477" t="s">
        <v>29</v>
      </c>
      <c r="M2477" t="s">
        <v>29</v>
      </c>
      <c r="N2477" t="s">
        <v>29</v>
      </c>
      <c r="O2477" t="s">
        <v>29</v>
      </c>
      <c r="P2477" t="s">
        <v>29</v>
      </c>
      <c r="Q2477" t="s">
        <v>29</v>
      </c>
      <c r="R2477" t="s">
        <v>29</v>
      </c>
      <c r="S2477">
        <v>9.9577191886599792</v>
      </c>
      <c r="T2477" t="s">
        <v>29</v>
      </c>
      <c r="U2477" t="s">
        <v>29</v>
      </c>
      <c r="V2477" t="s">
        <v>29</v>
      </c>
      <c r="W2477" t="s">
        <v>29</v>
      </c>
      <c r="X2477" t="s">
        <v>29</v>
      </c>
      <c r="Y2477" t="s">
        <v>29</v>
      </c>
    </row>
    <row r="2478" spans="1:25" x14ac:dyDescent="0.2">
      <c r="A2478" t="s">
        <v>9263</v>
      </c>
      <c r="B2478" t="s">
        <v>9264</v>
      </c>
      <c r="C2478" t="s">
        <v>9265</v>
      </c>
      <c r="D2478" t="s">
        <v>9266</v>
      </c>
      <c r="E2478" t="s">
        <v>9264</v>
      </c>
      <c r="F2478" t="s">
        <v>28</v>
      </c>
      <c r="G2478" t="s">
        <v>9264</v>
      </c>
      <c r="H2478" t="str">
        <f>"gtbp-1"</f>
        <v>gtbp-1</v>
      </c>
      <c r="I2478" t="s">
        <v>9266</v>
      </c>
      <c r="J2478">
        <v>15.1804963247587</v>
      </c>
      <c r="K2478">
        <v>15.3751580753529</v>
      </c>
      <c r="L2478">
        <v>15.666884829892799</v>
      </c>
      <c r="M2478">
        <v>13.3071422454705</v>
      </c>
      <c r="N2478">
        <v>15.0355248178602</v>
      </c>
      <c r="O2478">
        <v>14.6293306455002</v>
      </c>
      <c r="P2478">
        <v>-1.0835138403912099</v>
      </c>
      <c r="Q2478">
        <v>-1.76800350502836</v>
      </c>
      <c r="R2478">
        <v>-0.39902417575404697</v>
      </c>
      <c r="S2478">
        <v>15.0832074345472</v>
      </c>
      <c r="T2478">
        <v>-3.3270557744903999</v>
      </c>
      <c r="U2478">
        <v>-2.6417018132276802</v>
      </c>
      <c r="V2478">
        <v>3.7739254140261198E-3</v>
      </c>
      <c r="W2478">
        <v>2.3122158409843999E-2</v>
      </c>
      <c r="X2478">
        <v>-1</v>
      </c>
      <c r="Y2478">
        <v>-1</v>
      </c>
    </row>
    <row r="2479" spans="1:25" x14ac:dyDescent="0.2">
      <c r="A2479" t="s">
        <v>9267</v>
      </c>
      <c r="B2479" t="s">
        <v>9268</v>
      </c>
      <c r="C2479" t="s">
        <v>14498</v>
      </c>
      <c r="D2479" t="s">
        <v>9269</v>
      </c>
      <c r="E2479" t="s">
        <v>9268</v>
      </c>
      <c r="F2479" t="s">
        <v>28</v>
      </c>
      <c r="G2479" t="s">
        <v>9268</v>
      </c>
      <c r="H2479" t="str">
        <f>"K08F4.3"</f>
        <v>K08F4.3</v>
      </c>
      <c r="I2479" t="s">
        <v>9269</v>
      </c>
      <c r="J2479">
        <v>13.517377122648799</v>
      </c>
      <c r="K2479">
        <v>13.075298516293801</v>
      </c>
      <c r="L2479">
        <v>14.108529020261299</v>
      </c>
      <c r="M2479" t="s">
        <v>29</v>
      </c>
      <c r="N2479" t="s">
        <v>29</v>
      </c>
      <c r="O2479" t="s">
        <v>29</v>
      </c>
      <c r="P2479" t="s">
        <v>29</v>
      </c>
      <c r="Q2479" t="s">
        <v>29</v>
      </c>
      <c r="R2479" t="s">
        <v>29</v>
      </c>
      <c r="S2479">
        <v>13.8321143619259</v>
      </c>
      <c r="T2479" t="s">
        <v>29</v>
      </c>
      <c r="U2479" t="s">
        <v>29</v>
      </c>
      <c r="V2479" t="s">
        <v>29</v>
      </c>
      <c r="W2479" t="s">
        <v>29</v>
      </c>
      <c r="X2479" t="s">
        <v>29</v>
      </c>
      <c r="Y2479" t="s">
        <v>29</v>
      </c>
    </row>
    <row r="2480" spans="1:25" x14ac:dyDescent="0.2">
      <c r="A2480" t="s">
        <v>9270</v>
      </c>
      <c r="B2480" t="s">
        <v>9271</v>
      </c>
      <c r="C2480" t="s">
        <v>14499</v>
      </c>
      <c r="D2480" t="s">
        <v>107</v>
      </c>
      <c r="E2480" t="s">
        <v>9271</v>
      </c>
      <c r="F2480" t="s">
        <v>28</v>
      </c>
      <c r="G2480" t="s">
        <v>9271</v>
      </c>
      <c r="H2480" t="str">
        <f>"K09C4.5"</f>
        <v>K09C4.5</v>
      </c>
      <c r="I2480" t="s">
        <v>107</v>
      </c>
      <c r="J2480">
        <v>12.552069962303401</v>
      </c>
      <c r="K2480">
        <v>12.4964347783009</v>
      </c>
      <c r="L2480">
        <v>12.2516846274999</v>
      </c>
      <c r="M2480" t="s">
        <v>29</v>
      </c>
      <c r="N2480">
        <v>11.566358808374501</v>
      </c>
      <c r="O2480">
        <v>12.138760302301799</v>
      </c>
      <c r="P2480">
        <v>-0.58083690069652905</v>
      </c>
      <c r="Q2480">
        <v>-1.2026020019618</v>
      </c>
      <c r="R2480">
        <v>4.0928200568745902E-2</v>
      </c>
      <c r="S2480">
        <v>12.4863327803498</v>
      </c>
      <c r="T2480">
        <v>-1.9814238541214</v>
      </c>
      <c r="U2480">
        <v>-5.1962904800513998</v>
      </c>
      <c r="V2480">
        <v>6.5113571239823004E-2</v>
      </c>
      <c r="W2480">
        <v>0.163868227535233</v>
      </c>
      <c r="X2480">
        <v>0</v>
      </c>
      <c r="Y2480">
        <v>0</v>
      </c>
    </row>
    <row r="2481" spans="1:25" x14ac:dyDescent="0.2">
      <c r="A2481" t="s">
        <v>9272</v>
      </c>
      <c r="B2481" t="s">
        <v>9273</v>
      </c>
      <c r="C2481" t="s">
        <v>9274</v>
      </c>
      <c r="D2481" t="s">
        <v>9275</v>
      </c>
      <c r="E2481" t="s">
        <v>9273</v>
      </c>
      <c r="F2481" t="s">
        <v>28</v>
      </c>
      <c r="G2481" t="s">
        <v>9273</v>
      </c>
      <c r="H2481" t="str">
        <f>"gpcp-1"</f>
        <v>gpcp-1</v>
      </c>
      <c r="I2481" t="s">
        <v>9275</v>
      </c>
      <c r="J2481">
        <v>11.965706017983299</v>
      </c>
      <c r="K2481">
        <v>12.068131270966999</v>
      </c>
      <c r="L2481">
        <v>12.329205139358301</v>
      </c>
      <c r="M2481" t="s">
        <v>29</v>
      </c>
      <c r="N2481" t="s">
        <v>29</v>
      </c>
      <c r="O2481">
        <v>12.1034756586626</v>
      </c>
      <c r="P2481">
        <v>-1.7538484106923501E-2</v>
      </c>
      <c r="Q2481">
        <v>-0.96243898816556095</v>
      </c>
      <c r="R2481">
        <v>0.92736201995171397</v>
      </c>
      <c r="S2481">
        <v>11.7858114493408</v>
      </c>
      <c r="T2481">
        <v>-3.9369101450921699E-2</v>
      </c>
      <c r="U2481">
        <v>-6.8118866884267302</v>
      </c>
      <c r="V2481">
        <v>0.96908635817453903</v>
      </c>
      <c r="W2481">
        <v>0.982420879786848</v>
      </c>
      <c r="X2481">
        <v>0</v>
      </c>
      <c r="Y2481">
        <v>0</v>
      </c>
    </row>
    <row r="2482" spans="1:25" x14ac:dyDescent="0.2">
      <c r="A2482" t="s">
        <v>9276</v>
      </c>
      <c r="B2482" t="s">
        <v>9277</v>
      </c>
      <c r="C2482" t="s">
        <v>9278</v>
      </c>
      <c r="D2482" t="s">
        <v>9279</v>
      </c>
      <c r="E2482" t="s">
        <v>9277</v>
      </c>
      <c r="F2482" t="s">
        <v>28</v>
      </c>
      <c r="G2482" t="s">
        <v>9277</v>
      </c>
      <c r="H2482" t="str">
        <f>"spc-1"</f>
        <v>spc-1</v>
      </c>
      <c r="I2482" t="s">
        <v>9279</v>
      </c>
      <c r="J2482" t="s">
        <v>29</v>
      </c>
      <c r="K2482" t="s">
        <v>29</v>
      </c>
      <c r="L2482">
        <v>10.7629725379456</v>
      </c>
      <c r="M2482" t="s">
        <v>29</v>
      </c>
      <c r="N2482" t="s">
        <v>29</v>
      </c>
      <c r="O2482">
        <v>12.028184116230401</v>
      </c>
      <c r="P2482">
        <v>1.2652115782847599</v>
      </c>
      <c r="Q2482">
        <v>0.135889792407281</v>
      </c>
      <c r="R2482">
        <v>2.3945333641622502</v>
      </c>
      <c r="S2482">
        <v>10.793141776840599</v>
      </c>
      <c r="T2482">
        <v>2.4223265861913599</v>
      </c>
      <c r="U2482">
        <v>-4.0630577795564999</v>
      </c>
      <c r="V2482">
        <v>3.09075599391248E-2</v>
      </c>
      <c r="W2482">
        <v>9.8363476393737201E-2</v>
      </c>
      <c r="X2482">
        <v>1</v>
      </c>
      <c r="Y2482">
        <v>0</v>
      </c>
    </row>
    <row r="2483" spans="1:25" x14ac:dyDescent="0.2">
      <c r="A2483" t="s">
        <v>9280</v>
      </c>
      <c r="B2483" t="s">
        <v>9281</v>
      </c>
      <c r="C2483" t="s">
        <v>9282</v>
      </c>
      <c r="D2483" t="s">
        <v>828</v>
      </c>
      <c r="E2483" t="s">
        <v>9281</v>
      </c>
      <c r="F2483" t="s">
        <v>28</v>
      </c>
      <c r="G2483" t="s">
        <v>9281</v>
      </c>
      <c r="H2483" t="str">
        <f>"shc-3"</f>
        <v>shc-3</v>
      </c>
      <c r="I2483" t="s">
        <v>828</v>
      </c>
      <c r="J2483">
        <v>12.0836762729543</v>
      </c>
      <c r="K2483" t="s">
        <v>29</v>
      </c>
      <c r="L2483">
        <v>11.4895531241438</v>
      </c>
      <c r="M2483" t="s">
        <v>29</v>
      </c>
      <c r="N2483" t="s">
        <v>29</v>
      </c>
      <c r="O2483" t="s">
        <v>29</v>
      </c>
      <c r="P2483" t="s">
        <v>29</v>
      </c>
      <c r="Q2483" t="s">
        <v>29</v>
      </c>
      <c r="R2483" t="s">
        <v>29</v>
      </c>
      <c r="S2483">
        <v>12.439246743379901</v>
      </c>
      <c r="T2483" t="s">
        <v>29</v>
      </c>
      <c r="U2483" t="s">
        <v>29</v>
      </c>
      <c r="V2483" t="s">
        <v>29</v>
      </c>
      <c r="W2483" t="s">
        <v>29</v>
      </c>
      <c r="X2483" t="s">
        <v>29</v>
      </c>
      <c r="Y2483" t="s">
        <v>29</v>
      </c>
    </row>
    <row r="2484" spans="1:25" x14ac:dyDescent="0.2">
      <c r="A2484" t="s">
        <v>9283</v>
      </c>
      <c r="B2484" t="s">
        <v>9284</v>
      </c>
      <c r="C2484" t="s">
        <v>9285</v>
      </c>
      <c r="D2484" t="s">
        <v>338</v>
      </c>
      <c r="E2484" t="s">
        <v>9284</v>
      </c>
      <c r="F2484" t="s">
        <v>28</v>
      </c>
      <c r="G2484" t="s">
        <v>9284</v>
      </c>
      <c r="H2484" t="str">
        <f>"pix-1"</f>
        <v>pix-1</v>
      </c>
      <c r="I2484" t="s">
        <v>338</v>
      </c>
      <c r="J2484">
        <v>12.9474108656635</v>
      </c>
      <c r="K2484">
        <v>13.0187184958437</v>
      </c>
      <c r="L2484">
        <v>12.6647322028789</v>
      </c>
      <c r="M2484">
        <v>13.203668359766899</v>
      </c>
      <c r="N2484">
        <v>13.821301626559601</v>
      </c>
      <c r="O2484">
        <v>13.942724387996901</v>
      </c>
      <c r="P2484">
        <v>0.77894426997910804</v>
      </c>
      <c r="Q2484">
        <v>0.27027169340488599</v>
      </c>
      <c r="R2484">
        <v>1.28761684655333</v>
      </c>
      <c r="S2484">
        <v>12.9413812868317</v>
      </c>
      <c r="T2484">
        <v>3.2185523354622299</v>
      </c>
      <c r="U2484">
        <v>-2.8740201218549299</v>
      </c>
      <c r="V2484">
        <v>4.7914542343648302E-3</v>
      </c>
      <c r="W2484">
        <v>2.7520960019980702E-2</v>
      </c>
      <c r="X2484">
        <v>0</v>
      </c>
      <c r="Y2484">
        <v>0</v>
      </c>
    </row>
    <row r="2485" spans="1:25" x14ac:dyDescent="0.2">
      <c r="A2485" t="s">
        <v>9286</v>
      </c>
      <c r="B2485" t="s">
        <v>9287</v>
      </c>
      <c r="C2485" t="s">
        <v>9288</v>
      </c>
      <c r="D2485" t="s">
        <v>9289</v>
      </c>
      <c r="E2485" t="s">
        <v>9287</v>
      </c>
      <c r="F2485" t="s">
        <v>28</v>
      </c>
      <c r="G2485" t="s">
        <v>9287</v>
      </c>
      <c r="H2485" t="str">
        <f>"npp-3"</f>
        <v>npp-3</v>
      </c>
      <c r="I2485" t="s">
        <v>9289</v>
      </c>
      <c r="J2485">
        <v>14.349003331474499</v>
      </c>
      <c r="K2485">
        <v>14.390120620277701</v>
      </c>
      <c r="L2485">
        <v>14.4247918856266</v>
      </c>
      <c r="M2485">
        <v>14.3777921670772</v>
      </c>
      <c r="N2485">
        <v>13.9312183905119</v>
      </c>
      <c r="O2485">
        <v>14.0707313385206</v>
      </c>
      <c r="P2485">
        <v>-0.26139131375636798</v>
      </c>
      <c r="Q2485">
        <v>-0.65611696205095005</v>
      </c>
      <c r="R2485">
        <v>0.133334334538214</v>
      </c>
      <c r="S2485">
        <v>14.558583767203601</v>
      </c>
      <c r="T2485">
        <v>-1.3918368095590099</v>
      </c>
      <c r="U2485">
        <v>-6.1913266016213599</v>
      </c>
      <c r="V2485">
        <v>0.181030975267468</v>
      </c>
      <c r="W2485">
        <v>0.33469152077366998</v>
      </c>
      <c r="X2485">
        <v>0</v>
      </c>
      <c r="Y2485">
        <v>0</v>
      </c>
    </row>
    <row r="2486" spans="1:25" x14ac:dyDescent="0.2">
      <c r="A2486" t="s">
        <v>9290</v>
      </c>
      <c r="B2486" t="s">
        <v>9291</v>
      </c>
      <c r="C2486" t="s">
        <v>9292</v>
      </c>
      <c r="D2486" t="s">
        <v>9293</v>
      </c>
      <c r="E2486" t="s">
        <v>9291</v>
      </c>
      <c r="F2486" t="s">
        <v>28</v>
      </c>
      <c r="G2486" t="s">
        <v>9291</v>
      </c>
      <c r="H2486" t="str">
        <f>"lmn-1"</f>
        <v>lmn-1</v>
      </c>
      <c r="I2486" t="s">
        <v>9293</v>
      </c>
      <c r="J2486">
        <v>11.116556631181799</v>
      </c>
      <c r="K2486">
        <v>11.9625778959035</v>
      </c>
      <c r="L2486">
        <v>11.606690078745901</v>
      </c>
      <c r="M2486" t="s">
        <v>29</v>
      </c>
      <c r="N2486">
        <v>13.1723811205672</v>
      </c>
      <c r="O2486">
        <v>12.2397049422392</v>
      </c>
      <c r="P2486">
        <v>1.14410149612611</v>
      </c>
      <c r="Q2486">
        <v>0.45983201983799799</v>
      </c>
      <c r="R2486">
        <v>1.8283709724142201</v>
      </c>
      <c r="S2486">
        <v>12.034039215969299</v>
      </c>
      <c r="T2486">
        <v>3.5292904351896399</v>
      </c>
      <c r="U2486">
        <v>-2.1526738779394399</v>
      </c>
      <c r="V2486">
        <v>2.5956895031234999E-3</v>
      </c>
      <c r="W2486">
        <v>1.7478949345005101E-2</v>
      </c>
      <c r="X2486">
        <v>1</v>
      </c>
      <c r="Y2486">
        <v>1</v>
      </c>
    </row>
    <row r="2487" spans="1:25" x14ac:dyDescent="0.2">
      <c r="A2487" t="s">
        <v>9294</v>
      </c>
      <c r="B2487" t="s">
        <v>9295</v>
      </c>
      <c r="C2487" t="s">
        <v>9296</v>
      </c>
      <c r="D2487" t="s">
        <v>9297</v>
      </c>
      <c r="E2487" t="s">
        <v>9295</v>
      </c>
      <c r="F2487" t="s">
        <v>28</v>
      </c>
      <c r="G2487" t="s">
        <v>9295</v>
      </c>
      <c r="H2487" t="str">
        <f>"cogc-2"</f>
        <v>cogc-2</v>
      </c>
      <c r="I2487" t="s">
        <v>9297</v>
      </c>
      <c r="J2487">
        <v>11.859491956746901</v>
      </c>
      <c r="K2487" t="s">
        <v>29</v>
      </c>
      <c r="L2487" t="s">
        <v>29</v>
      </c>
      <c r="M2487" t="s">
        <v>29</v>
      </c>
      <c r="N2487" t="s">
        <v>29</v>
      </c>
      <c r="O2487" t="s">
        <v>29</v>
      </c>
      <c r="P2487" t="s">
        <v>29</v>
      </c>
      <c r="Q2487" t="s">
        <v>29</v>
      </c>
      <c r="R2487" t="s">
        <v>29</v>
      </c>
      <c r="S2487">
        <v>11.5058185692791</v>
      </c>
      <c r="T2487" t="s">
        <v>29</v>
      </c>
      <c r="U2487" t="s">
        <v>29</v>
      </c>
      <c r="V2487" t="s">
        <v>29</v>
      </c>
      <c r="W2487" t="s">
        <v>29</v>
      </c>
      <c r="X2487" t="s">
        <v>29</v>
      </c>
      <c r="Y2487" t="s">
        <v>29</v>
      </c>
    </row>
    <row r="2488" spans="1:25" x14ac:dyDescent="0.2">
      <c r="A2488" t="s">
        <v>9298</v>
      </c>
      <c r="B2488" t="s">
        <v>9299</v>
      </c>
      <c r="C2488" t="s">
        <v>9300</v>
      </c>
      <c r="D2488" t="s">
        <v>9301</v>
      </c>
      <c r="E2488" t="s">
        <v>9299</v>
      </c>
      <c r="F2488" t="s">
        <v>28</v>
      </c>
      <c r="G2488" t="s">
        <v>9299</v>
      </c>
      <c r="H2488" t="str">
        <f>"lin-14"</f>
        <v>lin-14</v>
      </c>
      <c r="I2488" t="s">
        <v>9301</v>
      </c>
      <c r="J2488" t="s">
        <v>29</v>
      </c>
      <c r="K2488" t="s">
        <v>29</v>
      </c>
      <c r="L2488" t="s">
        <v>29</v>
      </c>
      <c r="M2488" t="s">
        <v>29</v>
      </c>
      <c r="N2488" t="s">
        <v>29</v>
      </c>
      <c r="O2488" t="s">
        <v>29</v>
      </c>
      <c r="P2488" t="s">
        <v>29</v>
      </c>
      <c r="Q2488" t="s">
        <v>29</v>
      </c>
      <c r="R2488" t="s">
        <v>29</v>
      </c>
      <c r="S2488">
        <v>11.8111976655495</v>
      </c>
      <c r="T2488" t="s">
        <v>29</v>
      </c>
      <c r="U2488" t="s">
        <v>29</v>
      </c>
      <c r="V2488" t="s">
        <v>29</v>
      </c>
      <c r="W2488" t="s">
        <v>29</v>
      </c>
      <c r="X2488" t="s">
        <v>29</v>
      </c>
      <c r="Y2488" t="s">
        <v>29</v>
      </c>
    </row>
    <row r="2489" spans="1:25" x14ac:dyDescent="0.2">
      <c r="A2489" t="s">
        <v>9302</v>
      </c>
      <c r="B2489" t="s">
        <v>9303</v>
      </c>
      <c r="C2489" t="s">
        <v>9304</v>
      </c>
      <c r="D2489" t="s">
        <v>9305</v>
      </c>
      <c r="E2489" t="s">
        <v>9303</v>
      </c>
      <c r="F2489" t="s">
        <v>28</v>
      </c>
      <c r="G2489" t="s">
        <v>9303</v>
      </c>
      <c r="H2489" t="str">
        <f>"M01F1.3"</f>
        <v>M01F1.3</v>
      </c>
      <c r="I2489" t="s">
        <v>9305</v>
      </c>
      <c r="J2489">
        <v>13.7100661364201</v>
      </c>
      <c r="K2489">
        <v>13.2537297483813</v>
      </c>
      <c r="L2489">
        <v>13.1495632288397</v>
      </c>
      <c r="M2489" t="s">
        <v>29</v>
      </c>
      <c r="N2489">
        <v>13.375200976982599</v>
      </c>
      <c r="O2489">
        <v>13.8724952774397</v>
      </c>
      <c r="P2489">
        <v>0.25272842266407403</v>
      </c>
      <c r="Q2489">
        <v>-0.32729811296688599</v>
      </c>
      <c r="R2489">
        <v>0.83275495829503399</v>
      </c>
      <c r="S2489">
        <v>13.5251963984493</v>
      </c>
      <c r="T2489">
        <v>0.91972128502847705</v>
      </c>
      <c r="U2489">
        <v>-6.61168438834029</v>
      </c>
      <c r="V2489">
        <v>0.37066411264681398</v>
      </c>
      <c r="W2489">
        <v>0.53798396210435395</v>
      </c>
      <c r="X2489">
        <v>0</v>
      </c>
      <c r="Y2489">
        <v>0</v>
      </c>
    </row>
    <row r="2490" spans="1:25" x14ac:dyDescent="0.2">
      <c r="A2490" t="s">
        <v>9306</v>
      </c>
      <c r="B2490" t="s">
        <v>9307</v>
      </c>
      <c r="C2490" t="s">
        <v>14500</v>
      </c>
      <c r="D2490" t="s">
        <v>9308</v>
      </c>
      <c r="E2490" t="s">
        <v>9307</v>
      </c>
      <c r="F2490" t="s">
        <v>28</v>
      </c>
      <c r="G2490" t="s">
        <v>9307</v>
      </c>
      <c r="H2490" t="str">
        <f>"M01F1.4"</f>
        <v>M01F1.4</v>
      </c>
      <c r="I2490" t="s">
        <v>9308</v>
      </c>
      <c r="J2490">
        <v>12.2259242777574</v>
      </c>
      <c r="K2490">
        <v>12.7560991618258</v>
      </c>
      <c r="L2490">
        <v>12.2343388178582</v>
      </c>
      <c r="M2490" t="s">
        <v>29</v>
      </c>
      <c r="N2490" t="s">
        <v>29</v>
      </c>
      <c r="O2490">
        <v>11.995533284932</v>
      </c>
      <c r="P2490">
        <v>-0.40992080088182598</v>
      </c>
      <c r="Q2490">
        <v>-1.3460499783378499</v>
      </c>
      <c r="R2490">
        <v>0.52620837657419395</v>
      </c>
      <c r="S2490">
        <v>12.6945547392608</v>
      </c>
      <c r="T2490">
        <v>-0.92878181749647604</v>
      </c>
      <c r="U2490">
        <v>-6.3716875509832303</v>
      </c>
      <c r="V2490">
        <v>0.36689282481325097</v>
      </c>
      <c r="W2490">
        <v>0.53473449788558403</v>
      </c>
      <c r="X2490">
        <v>0</v>
      </c>
      <c r="Y2490">
        <v>0</v>
      </c>
    </row>
    <row r="2491" spans="1:25" x14ac:dyDescent="0.2">
      <c r="A2491" t="s">
        <v>9309</v>
      </c>
      <c r="B2491" t="s">
        <v>9310</v>
      </c>
      <c r="C2491" t="s">
        <v>9311</v>
      </c>
      <c r="D2491" t="s">
        <v>9312</v>
      </c>
      <c r="E2491" t="s">
        <v>9310</v>
      </c>
      <c r="F2491" t="s">
        <v>28</v>
      </c>
      <c r="G2491" t="s">
        <v>9310</v>
      </c>
      <c r="H2491" t="str">
        <f>"mrpl-35"</f>
        <v>mrpl-35</v>
      </c>
      <c r="I2491" t="s">
        <v>9312</v>
      </c>
      <c r="J2491">
        <v>13.3318404776718</v>
      </c>
      <c r="K2491">
        <v>13.3310673398961</v>
      </c>
      <c r="L2491">
        <v>13.1435076746676</v>
      </c>
      <c r="M2491" t="s">
        <v>29</v>
      </c>
      <c r="N2491" t="s">
        <v>29</v>
      </c>
      <c r="O2491" t="s">
        <v>29</v>
      </c>
      <c r="P2491" t="s">
        <v>29</v>
      </c>
      <c r="Q2491" t="s">
        <v>29</v>
      </c>
      <c r="R2491" t="s">
        <v>29</v>
      </c>
      <c r="S2491">
        <v>13.3316393770618</v>
      </c>
      <c r="T2491" t="s">
        <v>29</v>
      </c>
      <c r="U2491" t="s">
        <v>29</v>
      </c>
      <c r="V2491" t="s">
        <v>29</v>
      </c>
      <c r="W2491" t="s">
        <v>29</v>
      </c>
      <c r="X2491" t="s">
        <v>29</v>
      </c>
      <c r="Y2491" t="s">
        <v>29</v>
      </c>
    </row>
    <row r="2492" spans="1:25" x14ac:dyDescent="0.2">
      <c r="A2492" t="s">
        <v>9313</v>
      </c>
      <c r="B2492" t="s">
        <v>9314</v>
      </c>
      <c r="C2492" t="s">
        <v>9315</v>
      </c>
      <c r="D2492" t="s">
        <v>3282</v>
      </c>
      <c r="E2492" t="s">
        <v>9314</v>
      </c>
      <c r="F2492" t="s">
        <v>28</v>
      </c>
      <c r="G2492" t="s">
        <v>9314</v>
      </c>
      <c r="H2492" t="str">
        <f>"asns-2"</f>
        <v>asns-2</v>
      </c>
      <c r="I2492" t="s">
        <v>3282</v>
      </c>
      <c r="J2492">
        <v>12.5460263109059</v>
      </c>
      <c r="K2492">
        <v>12.509031950239899</v>
      </c>
      <c r="L2492">
        <v>12.892094863020199</v>
      </c>
      <c r="M2492" t="s">
        <v>29</v>
      </c>
      <c r="N2492">
        <v>12.7198092952686</v>
      </c>
      <c r="O2492">
        <v>12.8949245385993</v>
      </c>
      <c r="P2492">
        <v>0.15831587554530199</v>
      </c>
      <c r="Q2492">
        <v>-0.55469126773682298</v>
      </c>
      <c r="R2492">
        <v>0.87132301882742702</v>
      </c>
      <c r="S2492">
        <v>12.630752609784301</v>
      </c>
      <c r="T2492">
        <v>0.46868450894138702</v>
      </c>
      <c r="U2492">
        <v>-6.9307569514574903</v>
      </c>
      <c r="V2492">
        <v>0.64528563703882902</v>
      </c>
      <c r="W2492">
        <v>0.76463883086185302</v>
      </c>
      <c r="X2492">
        <v>0</v>
      </c>
      <c r="Y2492">
        <v>0</v>
      </c>
    </row>
    <row r="2493" spans="1:25" x14ac:dyDescent="0.2">
      <c r="A2493" t="s">
        <v>9316</v>
      </c>
      <c r="B2493" t="s">
        <v>9317</v>
      </c>
      <c r="C2493" t="s">
        <v>9318</v>
      </c>
      <c r="D2493" t="s">
        <v>9319</v>
      </c>
      <c r="E2493" t="s">
        <v>9317</v>
      </c>
      <c r="F2493" t="s">
        <v>28</v>
      </c>
      <c r="G2493" t="s">
        <v>9317</v>
      </c>
      <c r="H2493" t="str">
        <f>"atg-2"</f>
        <v>atg-2</v>
      </c>
      <c r="I2493" t="s">
        <v>9319</v>
      </c>
      <c r="J2493">
        <v>12.3090918939946</v>
      </c>
      <c r="K2493" t="s">
        <v>29</v>
      </c>
      <c r="L2493" t="s">
        <v>29</v>
      </c>
      <c r="M2493" t="s">
        <v>29</v>
      </c>
      <c r="N2493">
        <v>12.1463153278011</v>
      </c>
      <c r="O2493">
        <v>13.066671143008399</v>
      </c>
      <c r="P2493">
        <v>0.29740134141012903</v>
      </c>
      <c r="Q2493">
        <v>-0.58723888713805095</v>
      </c>
      <c r="R2493">
        <v>1.18204156995831</v>
      </c>
      <c r="S2493">
        <v>12.497576448656799</v>
      </c>
      <c r="T2493">
        <v>0.716997834655551</v>
      </c>
      <c r="U2493">
        <v>-6.48852837235584</v>
      </c>
      <c r="V2493">
        <v>0.48446788381230399</v>
      </c>
      <c r="W2493">
        <v>0.64254133825151305</v>
      </c>
      <c r="X2493">
        <v>0</v>
      </c>
      <c r="Y2493">
        <v>0</v>
      </c>
    </row>
    <row r="2494" spans="1:25" x14ac:dyDescent="0.2">
      <c r="A2494" t="s">
        <v>9320</v>
      </c>
      <c r="B2494" t="s">
        <v>9321</v>
      </c>
      <c r="C2494" t="s">
        <v>9322</v>
      </c>
      <c r="D2494" t="s">
        <v>9323</v>
      </c>
      <c r="E2494" t="s">
        <v>9321</v>
      </c>
      <c r="F2494" t="s">
        <v>28</v>
      </c>
      <c r="G2494" t="s">
        <v>9321</v>
      </c>
      <c r="H2494" t="str">
        <f>"dhs-28"</f>
        <v>dhs-28</v>
      </c>
      <c r="I2494" t="s">
        <v>9323</v>
      </c>
      <c r="J2494">
        <v>18.778681754390899</v>
      </c>
      <c r="K2494">
        <v>18.654279831061999</v>
      </c>
      <c r="L2494">
        <v>18.422155790842002</v>
      </c>
      <c r="M2494">
        <v>18.229242281888801</v>
      </c>
      <c r="N2494">
        <v>18.4749441863725</v>
      </c>
      <c r="O2494">
        <v>18.434870982772299</v>
      </c>
      <c r="P2494">
        <v>-0.23868664175378401</v>
      </c>
      <c r="Q2494">
        <v>-0.60158733338940795</v>
      </c>
      <c r="R2494">
        <v>0.124214049881841</v>
      </c>
      <c r="S2494">
        <v>17.8664789496945</v>
      </c>
      <c r="T2494">
        <v>-1.3823971550778</v>
      </c>
      <c r="U2494">
        <v>-6.2037276002264399</v>
      </c>
      <c r="V2494">
        <v>0.183861176644286</v>
      </c>
      <c r="W2494">
        <v>0.338015525621155</v>
      </c>
      <c r="X2494">
        <v>0</v>
      </c>
      <c r="Y2494">
        <v>0</v>
      </c>
    </row>
    <row r="2495" spans="1:25" x14ac:dyDescent="0.2">
      <c r="A2495" t="s">
        <v>9324</v>
      </c>
      <c r="B2495" t="s">
        <v>9325</v>
      </c>
      <c r="C2495" t="s">
        <v>9326</v>
      </c>
      <c r="D2495" t="s">
        <v>9327</v>
      </c>
      <c r="E2495" t="s">
        <v>9325</v>
      </c>
      <c r="F2495" t="s">
        <v>28</v>
      </c>
      <c r="G2495" t="s">
        <v>9325</v>
      </c>
      <c r="H2495" t="str">
        <f>"prp-3"</f>
        <v>prp-3</v>
      </c>
      <c r="I2495" t="s">
        <v>9327</v>
      </c>
      <c r="J2495">
        <v>13.6120617314859</v>
      </c>
      <c r="K2495">
        <v>13.3950588505864</v>
      </c>
      <c r="L2495">
        <v>13.3096305823856</v>
      </c>
      <c r="M2495" t="s">
        <v>29</v>
      </c>
      <c r="N2495">
        <v>13.216348155896</v>
      </c>
      <c r="O2495">
        <v>13.0725016210961</v>
      </c>
      <c r="P2495">
        <v>-0.29449216632324499</v>
      </c>
      <c r="Q2495">
        <v>-0.79615096955125797</v>
      </c>
      <c r="R2495">
        <v>0.207166636904768</v>
      </c>
      <c r="S2495">
        <v>13.024834241350799</v>
      </c>
      <c r="T2495">
        <v>-1.23912557914804</v>
      </c>
      <c r="U2495">
        <v>-6.2732211494909196</v>
      </c>
      <c r="V2495">
        <v>0.23223762089857899</v>
      </c>
      <c r="W2495">
        <v>0.39704548119691402</v>
      </c>
      <c r="X2495">
        <v>0</v>
      </c>
      <c r="Y2495">
        <v>0</v>
      </c>
    </row>
    <row r="2496" spans="1:25" x14ac:dyDescent="0.2">
      <c r="A2496" t="s">
        <v>9328</v>
      </c>
      <c r="B2496" t="s">
        <v>9329</v>
      </c>
      <c r="C2496" t="s">
        <v>9330</v>
      </c>
      <c r="D2496" t="s">
        <v>9331</v>
      </c>
      <c r="E2496" t="s">
        <v>9329</v>
      </c>
      <c r="F2496" t="s">
        <v>28</v>
      </c>
      <c r="G2496" t="s">
        <v>9329</v>
      </c>
      <c r="H2496" t="str">
        <f>"mep-1"</f>
        <v>mep-1</v>
      </c>
      <c r="I2496" t="s">
        <v>9331</v>
      </c>
      <c r="J2496">
        <v>11.3303709584969</v>
      </c>
      <c r="K2496">
        <v>11.1331293555715</v>
      </c>
      <c r="L2496">
        <v>11.7363708030379</v>
      </c>
      <c r="M2496" t="s">
        <v>29</v>
      </c>
      <c r="N2496">
        <v>11.9213676554029</v>
      </c>
      <c r="O2496">
        <v>11.871745258923401</v>
      </c>
      <c r="P2496">
        <v>0.49659941812772201</v>
      </c>
      <c r="Q2496">
        <v>-0.193320944325474</v>
      </c>
      <c r="R2496">
        <v>1.18651978058092</v>
      </c>
      <c r="S2496">
        <v>11.781337484744</v>
      </c>
      <c r="T2496">
        <v>1.51934799301412</v>
      </c>
      <c r="U2496">
        <v>-5.9086560040817604</v>
      </c>
      <c r="V2496">
        <v>0.147166815931046</v>
      </c>
      <c r="W2496">
        <v>0.28971316402725</v>
      </c>
      <c r="X2496">
        <v>0</v>
      </c>
      <c r="Y2496">
        <v>0</v>
      </c>
    </row>
    <row r="2497" spans="1:25" x14ac:dyDescent="0.2">
      <c r="A2497" t="s">
        <v>9332</v>
      </c>
      <c r="B2497" t="s">
        <v>9333</v>
      </c>
      <c r="C2497" t="s">
        <v>14501</v>
      </c>
      <c r="D2497" t="s">
        <v>9334</v>
      </c>
      <c r="E2497" t="s">
        <v>9333</v>
      </c>
      <c r="F2497" t="s">
        <v>28</v>
      </c>
      <c r="G2497" t="s">
        <v>9333</v>
      </c>
      <c r="H2497" t="str">
        <f>"M04B2.4"</f>
        <v>M04B2.4</v>
      </c>
      <c r="I2497" t="s">
        <v>9334</v>
      </c>
      <c r="J2497">
        <v>14.598622019684999</v>
      </c>
      <c r="K2497">
        <v>14.7000482356147</v>
      </c>
      <c r="L2497">
        <v>14.7163975634205</v>
      </c>
      <c r="M2497" t="s">
        <v>29</v>
      </c>
      <c r="N2497">
        <v>13.3218042503073</v>
      </c>
      <c r="O2497">
        <v>14.6036990043391</v>
      </c>
      <c r="P2497">
        <v>-0.708937645583545</v>
      </c>
      <c r="Q2497">
        <v>-1.37298480528589</v>
      </c>
      <c r="R2497">
        <v>-4.4890485881195603E-2</v>
      </c>
      <c r="S2497">
        <v>14.824498699151899</v>
      </c>
      <c r="T2497">
        <v>-2.2535081252903999</v>
      </c>
      <c r="U2497">
        <v>-4.7139697334970503</v>
      </c>
      <c r="V2497">
        <v>3.7807847134501298E-2</v>
      </c>
      <c r="W2497">
        <v>0.11439396869135</v>
      </c>
      <c r="X2497">
        <v>0</v>
      </c>
      <c r="Y2497">
        <v>0</v>
      </c>
    </row>
    <row r="2498" spans="1:25" x14ac:dyDescent="0.2">
      <c r="A2498" t="s">
        <v>9335</v>
      </c>
      <c r="B2498" t="s">
        <v>9336</v>
      </c>
      <c r="C2498" t="s">
        <v>9337</v>
      </c>
      <c r="D2498" t="s">
        <v>9338</v>
      </c>
      <c r="E2498" t="s">
        <v>9336</v>
      </c>
      <c r="F2498" t="s">
        <v>28</v>
      </c>
      <c r="G2498" t="s">
        <v>9336</v>
      </c>
      <c r="H2498" t="str">
        <f>"lact-4"</f>
        <v>lact-4</v>
      </c>
      <c r="I2498" t="s">
        <v>9338</v>
      </c>
      <c r="J2498">
        <v>12.8342943214413</v>
      </c>
      <c r="K2498">
        <v>13.420002324897199</v>
      </c>
      <c r="L2498">
        <v>12.460232502980899</v>
      </c>
      <c r="M2498" t="s">
        <v>29</v>
      </c>
      <c r="N2498" t="s">
        <v>29</v>
      </c>
      <c r="O2498">
        <v>12.0093801019101</v>
      </c>
      <c r="P2498">
        <v>-0.89546294786299196</v>
      </c>
      <c r="Q2498">
        <v>-1.73563539349295</v>
      </c>
      <c r="R2498">
        <v>-5.5290502233036998E-2</v>
      </c>
      <c r="S2498">
        <v>12.0499989880527</v>
      </c>
      <c r="T2498">
        <v>-2.3485882270012</v>
      </c>
      <c r="U2498">
        <v>-4.4119507986114304</v>
      </c>
      <c r="V2498">
        <v>3.8789773858943701E-2</v>
      </c>
      <c r="W2498">
        <v>0.115819112018548</v>
      </c>
      <c r="X2498">
        <v>0</v>
      </c>
      <c r="Y2498">
        <v>0</v>
      </c>
    </row>
    <row r="2499" spans="1:25" x14ac:dyDescent="0.2">
      <c r="A2499" t="s">
        <v>9339</v>
      </c>
      <c r="B2499" t="s">
        <v>9340</v>
      </c>
      <c r="C2499" t="s">
        <v>9341</v>
      </c>
      <c r="D2499" t="s">
        <v>9342</v>
      </c>
      <c r="E2499" t="s">
        <v>9340</v>
      </c>
      <c r="F2499" t="s">
        <v>28</v>
      </c>
      <c r="G2499" t="s">
        <v>9340</v>
      </c>
      <c r="H2499" t="str">
        <f>"gss-1"</f>
        <v>gss-1</v>
      </c>
      <c r="I2499" t="s">
        <v>9342</v>
      </c>
      <c r="J2499" t="s">
        <v>29</v>
      </c>
      <c r="K2499" t="s">
        <v>29</v>
      </c>
      <c r="L2499" t="s">
        <v>29</v>
      </c>
      <c r="M2499" t="s">
        <v>29</v>
      </c>
      <c r="N2499" t="s">
        <v>29</v>
      </c>
      <c r="O2499" t="s">
        <v>29</v>
      </c>
      <c r="P2499" t="s">
        <v>29</v>
      </c>
      <c r="Q2499" t="s">
        <v>29</v>
      </c>
      <c r="R2499" t="s">
        <v>29</v>
      </c>
      <c r="S2499">
        <v>11.8953376148882</v>
      </c>
      <c r="T2499" t="s">
        <v>29</v>
      </c>
      <c r="U2499" t="s">
        <v>29</v>
      </c>
      <c r="V2499" t="s">
        <v>29</v>
      </c>
      <c r="W2499" t="s">
        <v>29</v>
      </c>
      <c r="X2499" t="s">
        <v>29</v>
      </c>
      <c r="Y2499" t="s">
        <v>29</v>
      </c>
    </row>
    <row r="2500" spans="1:25" x14ac:dyDescent="0.2">
      <c r="A2500" t="s">
        <v>9343</v>
      </c>
      <c r="B2500" t="s">
        <v>9344</v>
      </c>
      <c r="C2500" t="s">
        <v>14502</v>
      </c>
      <c r="D2500" t="s">
        <v>9345</v>
      </c>
      <c r="E2500" t="s">
        <v>9344</v>
      </c>
      <c r="F2500" t="s">
        <v>28</v>
      </c>
      <c r="G2500" t="s">
        <v>9344</v>
      </c>
      <c r="H2500" t="str">
        <f>"M176.4"</f>
        <v>M176.4</v>
      </c>
      <c r="I2500" t="s">
        <v>9345</v>
      </c>
      <c r="J2500">
        <v>13.3460801872902</v>
      </c>
      <c r="K2500" t="s">
        <v>29</v>
      </c>
      <c r="L2500">
        <v>13.2092835173555</v>
      </c>
      <c r="M2500" t="s">
        <v>29</v>
      </c>
      <c r="N2500">
        <v>13.1668885634046</v>
      </c>
      <c r="O2500" t="s">
        <v>29</v>
      </c>
      <c r="P2500">
        <v>-0.110793288918289</v>
      </c>
      <c r="Q2500">
        <v>-0.775826030539853</v>
      </c>
      <c r="R2500">
        <v>0.55423945270327402</v>
      </c>
      <c r="S2500">
        <v>13.713589418647899</v>
      </c>
      <c r="T2500">
        <v>-0.35531376537520099</v>
      </c>
      <c r="U2500">
        <v>-6.6883682607192698</v>
      </c>
      <c r="V2500">
        <v>0.72733590121045699</v>
      </c>
      <c r="W2500">
        <v>0.82567754270694005</v>
      </c>
      <c r="X2500">
        <v>0</v>
      </c>
      <c r="Y2500">
        <v>0</v>
      </c>
    </row>
    <row r="2501" spans="1:25" x14ac:dyDescent="0.2">
      <c r="A2501" t="s">
        <v>9346</v>
      </c>
      <c r="B2501" t="s">
        <v>9347</v>
      </c>
      <c r="C2501" t="s">
        <v>14503</v>
      </c>
      <c r="D2501" t="s">
        <v>9348</v>
      </c>
      <c r="E2501" t="s">
        <v>9347</v>
      </c>
      <c r="F2501" t="s">
        <v>28</v>
      </c>
      <c r="G2501" t="s">
        <v>9347</v>
      </c>
      <c r="H2501" t="str">
        <f>"M18.3"</f>
        <v>M18.3</v>
      </c>
      <c r="I2501" t="s">
        <v>9348</v>
      </c>
      <c r="J2501">
        <v>11.2974753336263</v>
      </c>
      <c r="K2501">
        <v>10.8849468675969</v>
      </c>
      <c r="L2501">
        <v>10.536091933434699</v>
      </c>
      <c r="M2501" t="s">
        <v>29</v>
      </c>
      <c r="N2501" t="s">
        <v>29</v>
      </c>
      <c r="O2501">
        <v>11.1217677915834</v>
      </c>
      <c r="P2501">
        <v>0.21559641336403201</v>
      </c>
      <c r="Q2501">
        <v>-0.77081912550237197</v>
      </c>
      <c r="R2501">
        <v>1.20201195223044</v>
      </c>
      <c r="S2501">
        <v>12.0571489545608</v>
      </c>
      <c r="T2501">
        <v>0.46614736382323202</v>
      </c>
      <c r="U2501">
        <v>-6.6989714790117603</v>
      </c>
      <c r="V2501">
        <v>0.647854067738874</v>
      </c>
      <c r="W2501">
        <v>0.76670814276018995</v>
      </c>
      <c r="X2501">
        <v>0</v>
      </c>
      <c r="Y2501">
        <v>0</v>
      </c>
    </row>
    <row r="2502" spans="1:25" x14ac:dyDescent="0.2">
      <c r="A2502" t="s">
        <v>9349</v>
      </c>
      <c r="B2502" t="s">
        <v>9350</v>
      </c>
      <c r="C2502" t="s">
        <v>9351</v>
      </c>
      <c r="D2502" t="s">
        <v>4425</v>
      </c>
      <c r="E2502" t="s">
        <v>9350</v>
      </c>
      <c r="F2502" t="s">
        <v>28</v>
      </c>
      <c r="G2502" t="s">
        <v>9350</v>
      </c>
      <c r="H2502" t="str">
        <f>"aly-3"</f>
        <v>aly-3</v>
      </c>
      <c r="I2502" t="s">
        <v>4425</v>
      </c>
      <c r="J2502">
        <v>12.2156402041217</v>
      </c>
      <c r="K2502">
        <v>12.730334815039299</v>
      </c>
      <c r="L2502">
        <v>12.702842715550499</v>
      </c>
      <c r="M2502" t="s">
        <v>29</v>
      </c>
      <c r="N2502">
        <v>13.2150497109021</v>
      </c>
      <c r="O2502">
        <v>13.0485532210435</v>
      </c>
      <c r="P2502">
        <v>0.58219555440229498</v>
      </c>
      <c r="Q2502">
        <v>-0.144872799378051</v>
      </c>
      <c r="R2502">
        <v>1.30926390818264</v>
      </c>
      <c r="S2502">
        <v>12.8964170186874</v>
      </c>
      <c r="T2502">
        <v>1.69022163330641</v>
      </c>
      <c r="U2502">
        <v>-5.6588637709738903</v>
      </c>
      <c r="V2502">
        <v>0.109350346400011</v>
      </c>
      <c r="W2502">
        <v>0.230301116127302</v>
      </c>
      <c r="X2502">
        <v>0</v>
      </c>
      <c r="Y2502">
        <v>0</v>
      </c>
    </row>
    <row r="2503" spans="1:25" x14ac:dyDescent="0.2">
      <c r="A2503" t="s">
        <v>9352</v>
      </c>
      <c r="B2503" t="s">
        <v>9353</v>
      </c>
      <c r="C2503" t="s">
        <v>9354</v>
      </c>
      <c r="D2503" t="s">
        <v>9338</v>
      </c>
      <c r="E2503" t="s">
        <v>9353</v>
      </c>
      <c r="F2503" t="s">
        <v>28</v>
      </c>
      <c r="G2503" t="s">
        <v>9353</v>
      </c>
      <c r="H2503" t="str">
        <f>"lact-3"</f>
        <v>lact-3</v>
      </c>
      <c r="I2503" t="s">
        <v>9338</v>
      </c>
      <c r="J2503">
        <v>12.5275450287781</v>
      </c>
      <c r="K2503">
        <v>12.059046919434101</v>
      </c>
      <c r="L2503">
        <v>11.7361188543696</v>
      </c>
      <c r="M2503" t="s">
        <v>29</v>
      </c>
      <c r="N2503">
        <v>11.925193478912799</v>
      </c>
      <c r="O2503">
        <v>13.1868664299323</v>
      </c>
      <c r="P2503">
        <v>0.44845968689527499</v>
      </c>
      <c r="Q2503">
        <v>-0.26383103644186301</v>
      </c>
      <c r="R2503">
        <v>1.16075041023241</v>
      </c>
      <c r="S2503">
        <v>12.1424188590741</v>
      </c>
      <c r="T2503">
        <v>1.34278885178773</v>
      </c>
      <c r="U2503">
        <v>-6.1444837531982603</v>
      </c>
      <c r="V2503">
        <v>0.19944626308213401</v>
      </c>
      <c r="W2503">
        <v>0.35817680518162698</v>
      </c>
      <c r="X2503">
        <v>0</v>
      </c>
      <c r="Y2503">
        <v>0</v>
      </c>
    </row>
    <row r="2504" spans="1:25" x14ac:dyDescent="0.2">
      <c r="A2504" t="s">
        <v>9355</v>
      </c>
      <c r="B2504" t="s">
        <v>9356</v>
      </c>
      <c r="C2504" t="s">
        <v>9357</v>
      </c>
      <c r="D2504" t="s">
        <v>4483</v>
      </c>
      <c r="E2504" t="s">
        <v>9356</v>
      </c>
      <c r="F2504" t="s">
        <v>28</v>
      </c>
      <c r="G2504" t="s">
        <v>9356</v>
      </c>
      <c r="H2504" t="str">
        <f>"bcc-1"</f>
        <v>bcc-1</v>
      </c>
      <c r="I2504" t="s">
        <v>4483</v>
      </c>
      <c r="J2504">
        <v>12.1590463259011</v>
      </c>
      <c r="K2504">
        <v>12.1598157288987</v>
      </c>
      <c r="L2504">
        <v>12.947951243612399</v>
      </c>
      <c r="M2504">
        <v>15.194334236669899</v>
      </c>
      <c r="N2504">
        <v>16.043264597012801</v>
      </c>
      <c r="O2504">
        <v>16.432710545226801</v>
      </c>
      <c r="P2504">
        <v>3.4678320268324598</v>
      </c>
      <c r="Q2504">
        <v>2.6242962244097598</v>
      </c>
      <c r="R2504">
        <v>4.3113678292551496</v>
      </c>
      <c r="S2504">
        <v>14.833225655547199</v>
      </c>
      <c r="T2504">
        <v>8.6406625792368708</v>
      </c>
      <c r="U2504">
        <v>8.1366119451612704</v>
      </c>
      <c r="V2504" s="2">
        <v>8.4229567923933095E-8</v>
      </c>
      <c r="W2504" s="2">
        <v>5.7095593616893897E-6</v>
      </c>
      <c r="X2504">
        <v>1</v>
      </c>
      <c r="Y2504">
        <v>1</v>
      </c>
    </row>
    <row r="2505" spans="1:25" x14ac:dyDescent="0.2">
      <c r="A2505" t="s">
        <v>9358</v>
      </c>
      <c r="B2505" t="s">
        <v>9359</v>
      </c>
      <c r="C2505" t="s">
        <v>9360</v>
      </c>
      <c r="D2505" t="s">
        <v>4334</v>
      </c>
      <c r="E2505" t="s">
        <v>9359</v>
      </c>
      <c r="F2505" t="s">
        <v>28</v>
      </c>
      <c r="G2505" t="s">
        <v>9359</v>
      </c>
      <c r="H2505" t="str">
        <f>"mrps-34"</f>
        <v>mrps-34</v>
      </c>
      <c r="I2505" t="s">
        <v>4334</v>
      </c>
      <c r="J2505" t="s">
        <v>29</v>
      </c>
      <c r="K2505" t="s">
        <v>29</v>
      </c>
      <c r="L2505" t="s">
        <v>29</v>
      </c>
      <c r="M2505" t="s">
        <v>29</v>
      </c>
      <c r="N2505" t="s">
        <v>29</v>
      </c>
      <c r="O2505" t="s">
        <v>29</v>
      </c>
      <c r="P2505" t="s">
        <v>29</v>
      </c>
      <c r="Q2505" t="s">
        <v>29</v>
      </c>
      <c r="R2505" t="s">
        <v>29</v>
      </c>
      <c r="S2505">
        <v>12.4656687592162</v>
      </c>
      <c r="T2505" t="s">
        <v>29</v>
      </c>
      <c r="U2505" t="s">
        <v>29</v>
      </c>
      <c r="V2505" t="s">
        <v>29</v>
      </c>
      <c r="W2505" t="s">
        <v>29</v>
      </c>
      <c r="X2505" t="s">
        <v>29</v>
      </c>
      <c r="Y2505" t="s">
        <v>29</v>
      </c>
    </row>
    <row r="2506" spans="1:25" x14ac:dyDescent="0.2">
      <c r="A2506" t="s">
        <v>9361</v>
      </c>
      <c r="B2506" t="s">
        <v>9362</v>
      </c>
      <c r="C2506" t="s">
        <v>9363</v>
      </c>
      <c r="D2506" t="s">
        <v>49</v>
      </c>
      <c r="E2506" t="s">
        <v>9362</v>
      </c>
      <c r="F2506" t="s">
        <v>28</v>
      </c>
      <c r="G2506" t="s">
        <v>9362</v>
      </c>
      <c r="H2506" t="str">
        <f>"ugt-62"</f>
        <v>ugt-62</v>
      </c>
      <c r="I2506" t="s">
        <v>49</v>
      </c>
      <c r="J2506">
        <v>13.868711985463101</v>
      </c>
      <c r="K2506">
        <v>13.893054074811401</v>
      </c>
      <c r="L2506">
        <v>13.3976875626562</v>
      </c>
      <c r="M2506" t="s">
        <v>29</v>
      </c>
      <c r="N2506">
        <v>13.7209886887235</v>
      </c>
      <c r="O2506">
        <v>13.411857969724799</v>
      </c>
      <c r="P2506">
        <v>-0.15339454508605899</v>
      </c>
      <c r="Q2506">
        <v>-0.71260429276369497</v>
      </c>
      <c r="R2506">
        <v>0.40581520259157799</v>
      </c>
      <c r="S2506">
        <v>13.6675646419373</v>
      </c>
      <c r="T2506">
        <v>-0.57900884204044301</v>
      </c>
      <c r="U2506">
        <v>-6.8709874744541297</v>
      </c>
      <c r="V2506">
        <v>0.570223005799394</v>
      </c>
      <c r="W2506">
        <v>0.71114989339433499</v>
      </c>
      <c r="X2506">
        <v>0</v>
      </c>
      <c r="Y2506">
        <v>0</v>
      </c>
    </row>
    <row r="2507" spans="1:25" x14ac:dyDescent="0.2">
      <c r="A2507" t="s">
        <v>9364</v>
      </c>
      <c r="B2507" t="s">
        <v>9365</v>
      </c>
      <c r="C2507" t="s">
        <v>9366</v>
      </c>
      <c r="D2507" t="s">
        <v>9367</v>
      </c>
      <c r="E2507" t="s">
        <v>9365</v>
      </c>
      <c r="F2507" t="s">
        <v>28</v>
      </c>
      <c r="G2507" t="s">
        <v>9365</v>
      </c>
      <c r="H2507" t="str">
        <f>"inpp-4B"</f>
        <v>inpp-4B</v>
      </c>
      <c r="I2507" t="s">
        <v>9367</v>
      </c>
      <c r="J2507">
        <v>13.4005726099883</v>
      </c>
      <c r="K2507">
        <v>13.2363618371822</v>
      </c>
      <c r="L2507">
        <v>12.9115515739835</v>
      </c>
      <c r="M2507" t="s">
        <v>29</v>
      </c>
      <c r="N2507" t="s">
        <v>29</v>
      </c>
      <c r="O2507">
        <v>12.5834760330347</v>
      </c>
      <c r="P2507">
        <v>-0.59935264068335503</v>
      </c>
      <c r="Q2507">
        <v>-1.2195415647654899</v>
      </c>
      <c r="R2507">
        <v>2.0836283398783299E-2</v>
      </c>
      <c r="S2507">
        <v>12.7864152234333</v>
      </c>
      <c r="T2507">
        <v>-2.0497832833890399</v>
      </c>
      <c r="U2507">
        <v>-4.8577939731767703</v>
      </c>
      <c r="V2507">
        <v>5.7259612627709101E-2</v>
      </c>
      <c r="W2507">
        <v>0.149994736367875</v>
      </c>
      <c r="X2507">
        <v>0</v>
      </c>
      <c r="Y2507">
        <v>0</v>
      </c>
    </row>
    <row r="2508" spans="1:25" x14ac:dyDescent="0.2">
      <c r="A2508" t="s">
        <v>9368</v>
      </c>
      <c r="B2508" t="s">
        <v>9369</v>
      </c>
      <c r="C2508" t="s">
        <v>9370</v>
      </c>
      <c r="D2508" t="s">
        <v>9371</v>
      </c>
      <c r="E2508" t="s">
        <v>9369</v>
      </c>
      <c r="F2508" t="s">
        <v>28</v>
      </c>
      <c r="G2508" t="s">
        <v>9369</v>
      </c>
      <c r="H2508" t="str">
        <f>"cor-1"</f>
        <v>cor-1</v>
      </c>
      <c r="I2508" t="s">
        <v>9371</v>
      </c>
      <c r="J2508">
        <v>11.8643326818527</v>
      </c>
      <c r="K2508">
        <v>12.5157308947452</v>
      </c>
      <c r="L2508">
        <v>12.4173679569962</v>
      </c>
      <c r="M2508" t="s">
        <v>29</v>
      </c>
      <c r="N2508">
        <v>10.0342383093717</v>
      </c>
      <c r="O2508">
        <v>13.2670915883271</v>
      </c>
      <c r="P2508">
        <v>-0.61514556234866002</v>
      </c>
      <c r="Q2508">
        <v>-1.9497607843104501</v>
      </c>
      <c r="R2508">
        <v>0.71946965961312603</v>
      </c>
      <c r="S2508">
        <v>12.336390146649199</v>
      </c>
      <c r="T2508">
        <v>-0.97290813465414905</v>
      </c>
      <c r="U2508">
        <v>-6.5614557013294998</v>
      </c>
      <c r="V2508">
        <v>0.34432341699371799</v>
      </c>
      <c r="W2508">
        <v>0.51482552505351997</v>
      </c>
      <c r="X2508">
        <v>0</v>
      </c>
      <c r="Y2508">
        <v>0</v>
      </c>
    </row>
    <row r="2509" spans="1:25" x14ac:dyDescent="0.2">
      <c r="A2509" t="s">
        <v>9372</v>
      </c>
      <c r="B2509" t="s">
        <v>9373</v>
      </c>
      <c r="C2509" t="s">
        <v>9374</v>
      </c>
      <c r="D2509" t="s">
        <v>9375</v>
      </c>
      <c r="E2509" t="s">
        <v>9373</v>
      </c>
      <c r="F2509" t="s">
        <v>28</v>
      </c>
      <c r="G2509" t="s">
        <v>9373</v>
      </c>
      <c r="H2509" t="str">
        <f>"hrg-1"</f>
        <v>hrg-1</v>
      </c>
      <c r="I2509" t="s">
        <v>9375</v>
      </c>
      <c r="J2509" t="s">
        <v>29</v>
      </c>
      <c r="K2509" t="s">
        <v>29</v>
      </c>
      <c r="L2509" t="s">
        <v>29</v>
      </c>
      <c r="M2509" t="s">
        <v>29</v>
      </c>
      <c r="N2509" t="s">
        <v>29</v>
      </c>
      <c r="O2509">
        <v>12.093976980721401</v>
      </c>
      <c r="P2509" t="s">
        <v>29</v>
      </c>
      <c r="Q2509" t="s">
        <v>29</v>
      </c>
      <c r="R2509" t="s">
        <v>29</v>
      </c>
      <c r="S2509">
        <v>11.8877274799493</v>
      </c>
      <c r="T2509" t="s">
        <v>29</v>
      </c>
      <c r="U2509" t="s">
        <v>29</v>
      </c>
      <c r="V2509" t="s">
        <v>29</v>
      </c>
      <c r="W2509" t="s">
        <v>29</v>
      </c>
      <c r="X2509" t="s">
        <v>29</v>
      </c>
      <c r="Y2509" t="s">
        <v>29</v>
      </c>
    </row>
    <row r="2510" spans="1:25" x14ac:dyDescent="0.2">
      <c r="A2510" t="s">
        <v>9376</v>
      </c>
      <c r="B2510" t="s">
        <v>9377</v>
      </c>
      <c r="C2510" t="s">
        <v>14504</v>
      </c>
      <c r="D2510" t="s">
        <v>9378</v>
      </c>
      <c r="E2510" t="s">
        <v>9377</v>
      </c>
      <c r="F2510" t="s">
        <v>28</v>
      </c>
      <c r="G2510" t="s">
        <v>9377</v>
      </c>
      <c r="H2510" t="str">
        <f>"R02F2.7"</f>
        <v>R02F2.7</v>
      </c>
      <c r="I2510" t="s">
        <v>9378</v>
      </c>
      <c r="J2510">
        <v>11.416770161316601</v>
      </c>
      <c r="K2510">
        <v>12.4128686758553</v>
      </c>
      <c r="L2510">
        <v>12.3523415917397</v>
      </c>
      <c r="M2510" t="s">
        <v>29</v>
      </c>
      <c r="N2510" t="s">
        <v>29</v>
      </c>
      <c r="O2510" t="s">
        <v>29</v>
      </c>
      <c r="P2510" t="s">
        <v>29</v>
      </c>
      <c r="Q2510" t="s">
        <v>29</v>
      </c>
      <c r="R2510" t="s">
        <v>29</v>
      </c>
      <c r="S2510">
        <v>12.021809209537899</v>
      </c>
      <c r="T2510" t="s">
        <v>29</v>
      </c>
      <c r="U2510" t="s">
        <v>29</v>
      </c>
      <c r="V2510" t="s">
        <v>29</v>
      </c>
      <c r="W2510" t="s">
        <v>29</v>
      </c>
      <c r="X2510" t="s">
        <v>29</v>
      </c>
      <c r="Y2510" t="s">
        <v>29</v>
      </c>
    </row>
    <row r="2511" spans="1:25" x14ac:dyDescent="0.2">
      <c r="A2511" t="s">
        <v>9379</v>
      </c>
      <c r="B2511" t="s">
        <v>9380</v>
      </c>
      <c r="C2511" t="s">
        <v>9381</v>
      </c>
      <c r="D2511" t="s">
        <v>9382</v>
      </c>
      <c r="E2511" t="s">
        <v>9380</v>
      </c>
      <c r="F2511" t="s">
        <v>28</v>
      </c>
      <c r="G2511" t="s">
        <v>9380</v>
      </c>
      <c r="H2511" t="str">
        <f>"osg-1"</f>
        <v>osg-1</v>
      </c>
      <c r="I2511" t="s">
        <v>9382</v>
      </c>
      <c r="J2511" t="s">
        <v>29</v>
      </c>
      <c r="K2511" t="s">
        <v>29</v>
      </c>
      <c r="L2511" t="s">
        <v>29</v>
      </c>
      <c r="M2511" t="s">
        <v>29</v>
      </c>
      <c r="N2511" t="s">
        <v>29</v>
      </c>
      <c r="O2511" t="s">
        <v>29</v>
      </c>
      <c r="P2511" t="s">
        <v>29</v>
      </c>
      <c r="Q2511" t="s">
        <v>29</v>
      </c>
      <c r="R2511" t="s">
        <v>29</v>
      </c>
      <c r="S2511">
        <v>11.7413693750504</v>
      </c>
      <c r="T2511" t="s">
        <v>29</v>
      </c>
      <c r="U2511" t="s">
        <v>29</v>
      </c>
      <c r="V2511" t="s">
        <v>29</v>
      </c>
      <c r="W2511" t="s">
        <v>29</v>
      </c>
      <c r="X2511" t="s">
        <v>29</v>
      </c>
      <c r="Y2511" t="s">
        <v>29</v>
      </c>
    </row>
    <row r="2512" spans="1:25" x14ac:dyDescent="0.2">
      <c r="A2512" t="s">
        <v>9383</v>
      </c>
      <c r="B2512" t="s">
        <v>9384</v>
      </c>
      <c r="C2512" t="s">
        <v>9385</v>
      </c>
      <c r="D2512" t="s">
        <v>9386</v>
      </c>
      <c r="E2512" t="s">
        <v>9384</v>
      </c>
      <c r="F2512" t="s">
        <v>28</v>
      </c>
      <c r="G2512" t="s">
        <v>9384</v>
      </c>
      <c r="H2512" t="str">
        <f>"nrde-3"</f>
        <v>nrde-3</v>
      </c>
      <c r="I2512" t="s">
        <v>9386</v>
      </c>
      <c r="J2512">
        <v>13.3750516129784</v>
      </c>
      <c r="K2512">
        <v>13.2416930275661</v>
      </c>
      <c r="L2512">
        <v>13.5918949532178</v>
      </c>
      <c r="M2512" t="s">
        <v>29</v>
      </c>
      <c r="N2512">
        <v>12.9499297689679</v>
      </c>
      <c r="O2512">
        <v>13.765176334230601</v>
      </c>
      <c r="P2512">
        <v>-4.53268129881952E-2</v>
      </c>
      <c r="Q2512">
        <v>-0.53406226724324601</v>
      </c>
      <c r="R2512">
        <v>0.44340864126685497</v>
      </c>
      <c r="S2512">
        <v>13.6528651285374</v>
      </c>
      <c r="T2512">
        <v>-0.195763333701513</v>
      </c>
      <c r="U2512">
        <v>-7.0253532094504099</v>
      </c>
      <c r="V2512">
        <v>0.84713058482192105</v>
      </c>
      <c r="W2512">
        <v>0.90354463752088299</v>
      </c>
      <c r="X2512">
        <v>0</v>
      </c>
      <c r="Y2512">
        <v>0</v>
      </c>
    </row>
    <row r="2513" spans="1:25" x14ac:dyDescent="0.2">
      <c r="A2513" t="s">
        <v>9387</v>
      </c>
      <c r="B2513" t="s">
        <v>9388</v>
      </c>
      <c r="C2513" t="s">
        <v>9389</v>
      </c>
      <c r="D2513" t="s">
        <v>9390</v>
      </c>
      <c r="E2513" t="s">
        <v>9388</v>
      </c>
      <c r="F2513" t="s">
        <v>28</v>
      </c>
      <c r="G2513" t="s">
        <v>9388</v>
      </c>
      <c r="H2513" t="str">
        <f>"ife-2"</f>
        <v>ife-2</v>
      </c>
      <c r="I2513" t="s">
        <v>9390</v>
      </c>
      <c r="J2513">
        <v>14.0686888834874</v>
      </c>
      <c r="K2513">
        <v>14.043546524526599</v>
      </c>
      <c r="L2513">
        <v>14.0107952360518</v>
      </c>
      <c r="M2513">
        <v>13.8016778799017</v>
      </c>
      <c r="N2513">
        <v>14.185370938184599</v>
      </c>
      <c r="O2513">
        <v>14.0631873475152</v>
      </c>
      <c r="P2513">
        <v>-2.4264826154782398E-2</v>
      </c>
      <c r="Q2513">
        <v>-0.37908871081145401</v>
      </c>
      <c r="R2513">
        <v>0.33055905850188899</v>
      </c>
      <c r="S2513">
        <v>14.0228422413988</v>
      </c>
      <c r="T2513">
        <v>-0.143733119388849</v>
      </c>
      <c r="U2513">
        <v>-7.1454665686072198</v>
      </c>
      <c r="V2513">
        <v>0.88731743272334596</v>
      </c>
      <c r="W2513">
        <v>0.93190465938549505</v>
      </c>
      <c r="X2513">
        <v>0</v>
      </c>
      <c r="Y2513">
        <v>0</v>
      </c>
    </row>
    <row r="2514" spans="1:25" x14ac:dyDescent="0.2">
      <c r="A2514" t="s">
        <v>9391</v>
      </c>
      <c r="B2514" t="s">
        <v>9392</v>
      </c>
      <c r="C2514" t="s">
        <v>9393</v>
      </c>
      <c r="D2514" t="s">
        <v>9394</v>
      </c>
      <c r="E2514" t="s">
        <v>9392</v>
      </c>
      <c r="F2514" t="s">
        <v>28</v>
      </c>
      <c r="G2514" t="s">
        <v>9392</v>
      </c>
      <c r="H2514" t="str">
        <f>"ddx-52"</f>
        <v>ddx-52</v>
      </c>
      <c r="I2514" t="s">
        <v>9394</v>
      </c>
      <c r="J2514">
        <v>13.796030810060699</v>
      </c>
      <c r="K2514">
        <v>13.4923600261072</v>
      </c>
      <c r="L2514">
        <v>13.770090198077</v>
      </c>
      <c r="M2514">
        <v>13.6416684757582</v>
      </c>
      <c r="N2514">
        <v>13.959702007313</v>
      </c>
      <c r="O2514">
        <v>13.6339461794072</v>
      </c>
      <c r="P2514">
        <v>5.8945209411152902E-2</v>
      </c>
      <c r="Q2514">
        <v>-0.29169897211590001</v>
      </c>
      <c r="R2514">
        <v>0.40958939093820501</v>
      </c>
      <c r="S2514">
        <v>13.6380150779483</v>
      </c>
      <c r="T2514">
        <v>0.35332501927663801</v>
      </c>
      <c r="U2514">
        <v>-7.0910164836682101</v>
      </c>
      <c r="V2514">
        <v>0.72797288737009702</v>
      </c>
      <c r="W2514">
        <v>0.82595252773923</v>
      </c>
      <c r="X2514">
        <v>0</v>
      </c>
      <c r="Y2514">
        <v>0</v>
      </c>
    </row>
    <row r="2515" spans="1:25" x14ac:dyDescent="0.2">
      <c r="A2515" t="s">
        <v>9395</v>
      </c>
      <c r="B2515" t="s">
        <v>9396</v>
      </c>
      <c r="C2515" t="s">
        <v>9397</v>
      </c>
      <c r="D2515" t="s">
        <v>9398</v>
      </c>
      <c r="E2515" t="s">
        <v>9396</v>
      </c>
      <c r="F2515" t="s">
        <v>28</v>
      </c>
      <c r="G2515" t="s">
        <v>9396</v>
      </c>
      <c r="H2515" t="str">
        <f>"tmem-208"</f>
        <v>tmem-208</v>
      </c>
      <c r="I2515" t="s">
        <v>9398</v>
      </c>
      <c r="J2515" t="s">
        <v>29</v>
      </c>
      <c r="K2515" t="s">
        <v>29</v>
      </c>
      <c r="L2515" t="s">
        <v>29</v>
      </c>
      <c r="M2515" t="s">
        <v>29</v>
      </c>
      <c r="N2515" t="s">
        <v>29</v>
      </c>
      <c r="O2515" t="s">
        <v>29</v>
      </c>
      <c r="P2515" t="s">
        <v>29</v>
      </c>
      <c r="Q2515" t="s">
        <v>29</v>
      </c>
      <c r="R2515" t="s">
        <v>29</v>
      </c>
      <c r="S2515">
        <v>12.500758162189101</v>
      </c>
      <c r="T2515" t="s">
        <v>29</v>
      </c>
      <c r="U2515" t="s">
        <v>29</v>
      </c>
      <c r="V2515" t="s">
        <v>29</v>
      </c>
      <c r="W2515" t="s">
        <v>29</v>
      </c>
      <c r="X2515" t="s">
        <v>29</v>
      </c>
      <c r="Y2515" t="s">
        <v>29</v>
      </c>
    </row>
    <row r="2516" spans="1:25" x14ac:dyDescent="0.2">
      <c r="A2516" t="s">
        <v>9399</v>
      </c>
      <c r="B2516" t="s">
        <v>9400</v>
      </c>
      <c r="C2516" t="s">
        <v>9401</v>
      </c>
      <c r="D2516" t="s">
        <v>9402</v>
      </c>
      <c r="E2516" t="s">
        <v>9400</v>
      </c>
      <c r="F2516" t="s">
        <v>28</v>
      </c>
      <c r="G2516" t="s">
        <v>9400</v>
      </c>
      <c r="H2516" t="str">
        <f>"edc-3"</f>
        <v>edc-3</v>
      </c>
      <c r="I2516" t="s">
        <v>9402</v>
      </c>
      <c r="J2516">
        <v>12.525600098484899</v>
      </c>
      <c r="K2516">
        <v>12.4126845062992</v>
      </c>
      <c r="L2516">
        <v>12.7432573310506</v>
      </c>
      <c r="M2516">
        <v>13.366713003218299</v>
      </c>
      <c r="N2516">
        <v>13.5573500925488</v>
      </c>
      <c r="O2516">
        <v>13.433933592853499</v>
      </c>
      <c r="P2516">
        <v>0.89215158426194896</v>
      </c>
      <c r="Q2516">
        <v>0.41650574507998001</v>
      </c>
      <c r="R2516">
        <v>1.3677974234439201</v>
      </c>
      <c r="S2516">
        <v>13.641542092118501</v>
      </c>
      <c r="T2516">
        <v>3.94227995836044</v>
      </c>
      <c r="U2516">
        <v>-1.2991837743484</v>
      </c>
      <c r="V2516">
        <v>9.6435329420629695E-4</v>
      </c>
      <c r="W2516">
        <v>8.8810911188311192E-3</v>
      </c>
      <c r="X2516">
        <v>0</v>
      </c>
      <c r="Y2516">
        <v>0</v>
      </c>
    </row>
    <row r="2517" spans="1:25" x14ac:dyDescent="0.2">
      <c r="A2517" t="s">
        <v>9403</v>
      </c>
      <c r="B2517" t="s">
        <v>9404</v>
      </c>
      <c r="C2517" t="s">
        <v>14505</v>
      </c>
      <c r="D2517" t="s">
        <v>9405</v>
      </c>
      <c r="E2517" t="s">
        <v>9404</v>
      </c>
      <c r="F2517" t="s">
        <v>28</v>
      </c>
      <c r="G2517" t="s">
        <v>9404</v>
      </c>
      <c r="H2517" t="str">
        <f>"R05F9.6"</f>
        <v>R05F9.6</v>
      </c>
      <c r="I2517" t="s">
        <v>9405</v>
      </c>
      <c r="J2517">
        <v>15.063625598701099</v>
      </c>
      <c r="K2517">
        <v>14.7313261656605</v>
      </c>
      <c r="L2517">
        <v>14.8739185980534</v>
      </c>
      <c r="M2517">
        <v>15.9628978529534</v>
      </c>
      <c r="N2517">
        <v>15.2107175317576</v>
      </c>
      <c r="O2517">
        <v>14.440718907943999</v>
      </c>
      <c r="P2517">
        <v>0.31515464341334398</v>
      </c>
      <c r="Q2517">
        <v>-0.28641651248357503</v>
      </c>
      <c r="R2517">
        <v>0.91672579931026299</v>
      </c>
      <c r="S2517">
        <v>14.7795563589591</v>
      </c>
      <c r="T2517">
        <v>1.1011062275611401</v>
      </c>
      <c r="U2517">
        <v>-6.54077555355369</v>
      </c>
      <c r="V2517">
        <v>0.28544134357240503</v>
      </c>
      <c r="W2517">
        <v>0.45323040921760599</v>
      </c>
      <c r="X2517">
        <v>0</v>
      </c>
      <c r="Y2517">
        <v>0</v>
      </c>
    </row>
    <row r="2518" spans="1:25" x14ac:dyDescent="0.2">
      <c r="A2518" t="s">
        <v>9406</v>
      </c>
      <c r="B2518" t="s">
        <v>9407</v>
      </c>
      <c r="C2518" t="s">
        <v>9408</v>
      </c>
      <c r="D2518" t="s">
        <v>9409</v>
      </c>
      <c r="E2518" t="s">
        <v>9407</v>
      </c>
      <c r="F2518" t="s">
        <v>28</v>
      </c>
      <c r="G2518" t="s">
        <v>9407</v>
      </c>
      <c r="H2518" t="str">
        <f>"vdac-1"</f>
        <v>vdac-1</v>
      </c>
      <c r="I2518" t="s">
        <v>9409</v>
      </c>
      <c r="J2518">
        <v>17.6811679796308</v>
      </c>
      <c r="K2518">
        <v>17.942653127507199</v>
      </c>
      <c r="L2518">
        <v>18.5880838475736</v>
      </c>
      <c r="M2518">
        <v>16.983186342553299</v>
      </c>
      <c r="N2518">
        <v>17.692974691240199</v>
      </c>
      <c r="O2518">
        <v>16.5756914276405</v>
      </c>
      <c r="P2518">
        <v>-0.98668416442584195</v>
      </c>
      <c r="Q2518">
        <v>-1.58334023589878</v>
      </c>
      <c r="R2518">
        <v>-0.39002809295290902</v>
      </c>
      <c r="S2518">
        <v>18.292481589411501</v>
      </c>
      <c r="T2518">
        <v>-3.4757345983997898</v>
      </c>
      <c r="U2518">
        <v>-2.3205962684277801</v>
      </c>
      <c r="V2518">
        <v>2.7172266885658498E-3</v>
      </c>
      <c r="W2518">
        <v>1.81168937810035E-2</v>
      </c>
      <c r="X2518">
        <v>0</v>
      </c>
      <c r="Y2518">
        <v>0</v>
      </c>
    </row>
    <row r="2519" spans="1:25" x14ac:dyDescent="0.2">
      <c r="A2519" t="s">
        <v>9410</v>
      </c>
      <c r="B2519" t="s">
        <v>9411</v>
      </c>
      <c r="C2519" t="s">
        <v>9412</v>
      </c>
      <c r="D2519" t="s">
        <v>9413</v>
      </c>
      <c r="E2519" t="s">
        <v>9411</v>
      </c>
      <c r="F2519" t="s">
        <v>28</v>
      </c>
      <c r="G2519" t="s">
        <v>9411</v>
      </c>
      <c r="H2519" t="str">
        <f>"plc-4"</f>
        <v>plc-4</v>
      </c>
      <c r="I2519" t="s">
        <v>9413</v>
      </c>
      <c r="J2519">
        <v>14.2261764626233</v>
      </c>
      <c r="K2519">
        <v>14.1212111431115</v>
      </c>
      <c r="L2519">
        <v>13.705721418459399</v>
      </c>
      <c r="M2519">
        <v>14.8500947790511</v>
      </c>
      <c r="N2519">
        <v>14.154274611662</v>
      </c>
      <c r="O2519">
        <v>14.132270015633701</v>
      </c>
      <c r="P2519">
        <v>0.36117679405089798</v>
      </c>
      <c r="Q2519">
        <v>-7.5134731906585803E-2</v>
      </c>
      <c r="R2519">
        <v>0.79748832000838199</v>
      </c>
      <c r="S2519">
        <v>13.6993298688582</v>
      </c>
      <c r="T2519">
        <v>1.7398654580399999</v>
      </c>
      <c r="U2519">
        <v>-5.6893113670499798</v>
      </c>
      <c r="V2519">
        <v>9.9052341110130199E-2</v>
      </c>
      <c r="W2519">
        <v>0.21597341994746699</v>
      </c>
      <c r="X2519">
        <v>0</v>
      </c>
      <c r="Y2519">
        <v>0</v>
      </c>
    </row>
    <row r="2520" spans="1:25" x14ac:dyDescent="0.2">
      <c r="A2520" t="s">
        <v>9414</v>
      </c>
      <c r="B2520" t="s">
        <v>9415</v>
      </c>
      <c r="C2520" t="s">
        <v>9416</v>
      </c>
      <c r="D2520" t="s">
        <v>9417</v>
      </c>
      <c r="E2520" t="s">
        <v>9415</v>
      </c>
      <c r="F2520" t="s">
        <v>28</v>
      </c>
      <c r="G2520" t="s">
        <v>9415</v>
      </c>
      <c r="H2520" t="str">
        <f>"R05G6.4"</f>
        <v>R05G6.4</v>
      </c>
      <c r="I2520" t="s">
        <v>9417</v>
      </c>
      <c r="J2520">
        <v>12.179307337627399</v>
      </c>
      <c r="K2520">
        <v>11.849736085773699</v>
      </c>
      <c r="L2520">
        <v>12.0397667025746</v>
      </c>
      <c r="M2520" t="s">
        <v>29</v>
      </c>
      <c r="N2520" t="s">
        <v>29</v>
      </c>
      <c r="O2520">
        <v>11.4452063127762</v>
      </c>
      <c r="P2520">
        <v>-0.57773039588236796</v>
      </c>
      <c r="Q2520">
        <v>-1.50904233489988</v>
      </c>
      <c r="R2520">
        <v>0.35358154313514001</v>
      </c>
      <c r="S2520">
        <v>13.0592170858203</v>
      </c>
      <c r="T2520">
        <v>-1.3157687782341101</v>
      </c>
      <c r="U2520">
        <v>-5.9502586547882803</v>
      </c>
      <c r="V2520">
        <v>0.20691412338647899</v>
      </c>
      <c r="W2520">
        <v>0.36755631200720601</v>
      </c>
      <c r="X2520">
        <v>0</v>
      </c>
      <c r="Y2520">
        <v>0</v>
      </c>
    </row>
    <row r="2521" spans="1:25" x14ac:dyDescent="0.2">
      <c r="A2521" t="s">
        <v>9418</v>
      </c>
      <c r="B2521" t="s">
        <v>9419</v>
      </c>
      <c r="C2521" t="s">
        <v>14506</v>
      </c>
      <c r="D2521" t="s">
        <v>4039</v>
      </c>
      <c r="E2521" t="s">
        <v>9419</v>
      </c>
      <c r="F2521" t="s">
        <v>28</v>
      </c>
      <c r="G2521" t="s">
        <v>9419</v>
      </c>
      <c r="H2521" t="str">
        <f>"R05H5.3"</f>
        <v>R05H5.3</v>
      </c>
      <c r="I2521" t="s">
        <v>4039</v>
      </c>
      <c r="J2521">
        <v>11.438568951862001</v>
      </c>
      <c r="K2521" t="s">
        <v>29</v>
      </c>
      <c r="L2521">
        <v>11.9017993292802</v>
      </c>
      <c r="M2521" t="s">
        <v>29</v>
      </c>
      <c r="N2521" t="s">
        <v>29</v>
      </c>
      <c r="O2521">
        <v>12.1403947653258</v>
      </c>
      <c r="P2521">
        <v>0.47021062475471198</v>
      </c>
      <c r="Q2521">
        <v>-0.258600271642424</v>
      </c>
      <c r="R2521">
        <v>1.19902152115185</v>
      </c>
      <c r="S2521">
        <v>12.088817550303901</v>
      </c>
      <c r="T2521">
        <v>1.3847439417437599</v>
      </c>
      <c r="U2521">
        <v>-5.8054630442258102</v>
      </c>
      <c r="V2521">
        <v>0.187963844277444</v>
      </c>
      <c r="W2521">
        <v>0.34448348823732999</v>
      </c>
      <c r="X2521">
        <v>0</v>
      </c>
      <c r="Y2521">
        <v>0</v>
      </c>
    </row>
    <row r="2522" spans="1:25" x14ac:dyDescent="0.2">
      <c r="A2522" t="s">
        <v>9420</v>
      </c>
      <c r="B2522" t="s">
        <v>9421</v>
      </c>
      <c r="C2522" t="s">
        <v>9422</v>
      </c>
      <c r="D2522" t="s">
        <v>9423</v>
      </c>
      <c r="E2522" t="s">
        <v>9421</v>
      </c>
      <c r="F2522" t="s">
        <v>28</v>
      </c>
      <c r="G2522" t="s">
        <v>9421</v>
      </c>
      <c r="H2522" t="str">
        <f>"wago-1"</f>
        <v>wago-1</v>
      </c>
      <c r="I2522" t="s">
        <v>9423</v>
      </c>
      <c r="J2522">
        <v>12.2086898888668</v>
      </c>
      <c r="K2522">
        <v>12.2407268434372</v>
      </c>
      <c r="L2522">
        <v>12.2048249150613</v>
      </c>
      <c r="M2522" t="s">
        <v>29</v>
      </c>
      <c r="N2522">
        <v>12.276786334001899</v>
      </c>
      <c r="O2522">
        <v>10.862328135830801</v>
      </c>
      <c r="P2522">
        <v>-0.64852331420545695</v>
      </c>
      <c r="Q2522">
        <v>-1.4374812397099901</v>
      </c>
      <c r="R2522">
        <v>0.140434611299077</v>
      </c>
      <c r="S2522">
        <v>12.380908530067201</v>
      </c>
      <c r="T2522">
        <v>-1.7350890274217601</v>
      </c>
      <c r="U2522">
        <v>-5.5901195468230398</v>
      </c>
      <c r="V2522">
        <v>0.100927892756643</v>
      </c>
      <c r="W2522">
        <v>0.21838069012762701</v>
      </c>
      <c r="X2522">
        <v>0</v>
      </c>
      <c r="Y2522">
        <v>0</v>
      </c>
    </row>
    <row r="2523" spans="1:25" x14ac:dyDescent="0.2">
      <c r="A2523" t="s">
        <v>9424</v>
      </c>
      <c r="B2523" t="s">
        <v>9425</v>
      </c>
      <c r="C2523" t="s">
        <v>9426</v>
      </c>
      <c r="D2523" t="s">
        <v>9427</v>
      </c>
      <c r="E2523" t="s">
        <v>9425</v>
      </c>
      <c r="F2523" t="s">
        <v>28</v>
      </c>
      <c r="G2523" t="s">
        <v>9425</v>
      </c>
      <c r="H2523" t="str">
        <f>"dhp-1"</f>
        <v>dhp-1</v>
      </c>
      <c r="I2523" t="s">
        <v>9427</v>
      </c>
      <c r="J2523" t="s">
        <v>29</v>
      </c>
      <c r="K2523" t="s">
        <v>29</v>
      </c>
      <c r="L2523" t="s">
        <v>29</v>
      </c>
      <c r="M2523" t="s">
        <v>29</v>
      </c>
      <c r="N2523">
        <v>13.7473714199305</v>
      </c>
      <c r="O2523">
        <v>14.7583383888858</v>
      </c>
      <c r="P2523" t="s">
        <v>29</v>
      </c>
      <c r="Q2523" t="s">
        <v>29</v>
      </c>
      <c r="R2523" t="s">
        <v>29</v>
      </c>
      <c r="S2523">
        <v>12.775188211087601</v>
      </c>
      <c r="T2523" t="s">
        <v>29</v>
      </c>
      <c r="U2523" t="s">
        <v>29</v>
      </c>
      <c r="V2523" t="s">
        <v>29</v>
      </c>
      <c r="W2523" t="s">
        <v>29</v>
      </c>
      <c r="X2523" t="s">
        <v>29</v>
      </c>
      <c r="Y2523" t="s">
        <v>29</v>
      </c>
    </row>
    <row r="2524" spans="1:25" x14ac:dyDescent="0.2">
      <c r="A2524" t="s">
        <v>9428</v>
      </c>
      <c r="B2524" t="s">
        <v>9429</v>
      </c>
      <c r="C2524" t="s">
        <v>9430</v>
      </c>
      <c r="D2524" t="s">
        <v>9431</v>
      </c>
      <c r="E2524" t="s">
        <v>9429</v>
      </c>
      <c r="F2524" t="s">
        <v>28</v>
      </c>
      <c r="G2524" t="s">
        <v>9429</v>
      </c>
      <c r="H2524" t="str">
        <f>"bub-1"</f>
        <v>bub-1</v>
      </c>
      <c r="I2524" t="s">
        <v>9431</v>
      </c>
      <c r="J2524">
        <v>12.340597534543001</v>
      </c>
      <c r="K2524">
        <v>12.1325031356553</v>
      </c>
      <c r="L2524">
        <v>12.402291479972201</v>
      </c>
      <c r="M2524" t="s">
        <v>29</v>
      </c>
      <c r="N2524" t="s">
        <v>29</v>
      </c>
      <c r="O2524">
        <v>11.4384911611366</v>
      </c>
      <c r="P2524">
        <v>-0.853306222253572</v>
      </c>
      <c r="Q2524">
        <v>-1.46823164355393</v>
      </c>
      <c r="R2524">
        <v>-0.23838080095321401</v>
      </c>
      <c r="S2524">
        <v>12.3280631512496</v>
      </c>
      <c r="T2524">
        <v>-2.9432828166077498</v>
      </c>
      <c r="U2524">
        <v>-3.1921823497301598</v>
      </c>
      <c r="V2524">
        <v>9.5946010817415696E-3</v>
      </c>
      <c r="W2524">
        <v>4.4528014784082498E-2</v>
      </c>
      <c r="X2524">
        <v>0</v>
      </c>
      <c r="Y2524">
        <v>0</v>
      </c>
    </row>
    <row r="2525" spans="1:25" x14ac:dyDescent="0.2">
      <c r="A2525" t="s">
        <v>9432</v>
      </c>
      <c r="B2525" t="s">
        <v>9433</v>
      </c>
      <c r="C2525" t="s">
        <v>9434</v>
      </c>
      <c r="D2525" t="s">
        <v>130</v>
      </c>
      <c r="E2525" t="s">
        <v>9433</v>
      </c>
      <c r="F2525" t="s">
        <v>28</v>
      </c>
      <c r="G2525" t="s">
        <v>9433</v>
      </c>
      <c r="H2525" t="str">
        <f>"ztf-15"</f>
        <v>ztf-15</v>
      </c>
      <c r="I2525" t="s">
        <v>130</v>
      </c>
      <c r="J2525" t="s">
        <v>29</v>
      </c>
      <c r="K2525" t="s">
        <v>29</v>
      </c>
      <c r="L2525" t="s">
        <v>29</v>
      </c>
      <c r="M2525" t="s">
        <v>29</v>
      </c>
      <c r="N2525" t="s">
        <v>29</v>
      </c>
      <c r="O2525" t="s">
        <v>29</v>
      </c>
      <c r="P2525" t="s">
        <v>29</v>
      </c>
      <c r="Q2525" t="s">
        <v>29</v>
      </c>
      <c r="R2525" t="s">
        <v>29</v>
      </c>
      <c r="S2525">
        <v>10.085795438411701</v>
      </c>
      <c r="T2525" t="s">
        <v>29</v>
      </c>
      <c r="U2525" t="s">
        <v>29</v>
      </c>
      <c r="V2525" t="s">
        <v>29</v>
      </c>
      <c r="W2525" t="s">
        <v>29</v>
      </c>
      <c r="X2525" t="s">
        <v>29</v>
      </c>
      <c r="Y2525" t="s">
        <v>29</v>
      </c>
    </row>
    <row r="2526" spans="1:25" x14ac:dyDescent="0.2">
      <c r="A2526" t="s">
        <v>9435</v>
      </c>
      <c r="B2526" t="s">
        <v>9436</v>
      </c>
      <c r="C2526" t="s">
        <v>9437</v>
      </c>
      <c r="D2526" t="s">
        <v>666</v>
      </c>
      <c r="E2526" t="s">
        <v>9436</v>
      </c>
      <c r="F2526" t="s">
        <v>28</v>
      </c>
      <c r="G2526" t="s">
        <v>9436</v>
      </c>
      <c r="H2526" t="str">
        <f>"pqn-53"</f>
        <v>pqn-53</v>
      </c>
      <c r="I2526" t="s">
        <v>666</v>
      </c>
      <c r="J2526">
        <v>17.238451452817799</v>
      </c>
      <c r="K2526">
        <v>17.5975065161294</v>
      </c>
      <c r="L2526">
        <v>17.545060076062999</v>
      </c>
      <c r="M2526">
        <v>16.477470024397899</v>
      </c>
      <c r="N2526">
        <v>16.9256196598134</v>
      </c>
      <c r="O2526">
        <v>15.9469036369879</v>
      </c>
      <c r="P2526">
        <v>-1.0103415746036899</v>
      </c>
      <c r="Q2526">
        <v>-1.57115014158273</v>
      </c>
      <c r="R2526">
        <v>-0.44953300762464699</v>
      </c>
      <c r="S2526">
        <v>17.283558261066101</v>
      </c>
      <c r="T2526">
        <v>-3.78657094339603</v>
      </c>
      <c r="U2526">
        <v>-1.64172051714633</v>
      </c>
      <c r="V2526">
        <v>1.3631014915885099E-3</v>
      </c>
      <c r="W2526">
        <v>1.12824414329752E-2</v>
      </c>
      <c r="X2526">
        <v>-1</v>
      </c>
      <c r="Y2526">
        <v>-1</v>
      </c>
    </row>
    <row r="2527" spans="1:25" x14ac:dyDescent="0.2">
      <c r="A2527" t="s">
        <v>9438</v>
      </c>
      <c r="B2527" t="s">
        <v>9439</v>
      </c>
      <c r="C2527" t="s">
        <v>9440</v>
      </c>
      <c r="D2527" t="s">
        <v>9441</v>
      </c>
      <c r="E2527" t="s">
        <v>9439</v>
      </c>
      <c r="F2527" t="s">
        <v>28</v>
      </c>
      <c r="G2527" t="s">
        <v>9439</v>
      </c>
      <c r="H2527" t="str">
        <f>"kmo-1"</f>
        <v>kmo-1</v>
      </c>
      <c r="I2527" t="s">
        <v>9441</v>
      </c>
      <c r="J2527" t="s">
        <v>29</v>
      </c>
      <c r="K2527" t="s">
        <v>29</v>
      </c>
      <c r="L2527" t="s">
        <v>29</v>
      </c>
      <c r="M2527" t="s">
        <v>29</v>
      </c>
      <c r="N2527">
        <v>14.2491541285174</v>
      </c>
      <c r="O2527">
        <v>13.8031380490416</v>
      </c>
      <c r="P2527" t="s">
        <v>29</v>
      </c>
      <c r="Q2527" t="s">
        <v>29</v>
      </c>
      <c r="R2527" t="s">
        <v>29</v>
      </c>
      <c r="S2527">
        <v>11.899659199055099</v>
      </c>
      <c r="T2527" t="s">
        <v>29</v>
      </c>
      <c r="U2527" t="s">
        <v>29</v>
      </c>
      <c r="V2527" t="s">
        <v>29</v>
      </c>
      <c r="W2527" t="s">
        <v>29</v>
      </c>
      <c r="X2527" t="s">
        <v>29</v>
      </c>
      <c r="Y2527" t="s">
        <v>29</v>
      </c>
    </row>
    <row r="2528" spans="1:25" x14ac:dyDescent="0.2">
      <c r="A2528" t="s">
        <v>9442</v>
      </c>
      <c r="B2528" t="s">
        <v>9443</v>
      </c>
      <c r="C2528" t="s">
        <v>14507</v>
      </c>
      <c r="D2528" t="s">
        <v>1434</v>
      </c>
      <c r="E2528" t="s">
        <v>9443</v>
      </c>
      <c r="F2528" t="s">
        <v>28</v>
      </c>
      <c r="G2528" t="s">
        <v>9443</v>
      </c>
      <c r="H2528" t="str">
        <f>"R07B7.10"</f>
        <v>R07B7.10</v>
      </c>
      <c r="I2528" t="s">
        <v>1434</v>
      </c>
      <c r="J2528">
        <v>13.6326889261369</v>
      </c>
      <c r="K2528">
        <v>13.8971267108058</v>
      </c>
      <c r="L2528">
        <v>13.9238746586233</v>
      </c>
      <c r="M2528" t="s">
        <v>29</v>
      </c>
      <c r="N2528" t="s">
        <v>29</v>
      </c>
      <c r="O2528">
        <v>13.377765277549001</v>
      </c>
      <c r="P2528">
        <v>-0.44013148763966098</v>
      </c>
      <c r="Q2528">
        <v>-1.07685515981674</v>
      </c>
      <c r="R2528">
        <v>0.19659218453742</v>
      </c>
      <c r="S2528">
        <v>13.432388587367701</v>
      </c>
      <c r="T2528">
        <v>-1.46615867084235</v>
      </c>
      <c r="U2528">
        <v>-5.7547244460547597</v>
      </c>
      <c r="V2528">
        <v>0.16210857902931</v>
      </c>
      <c r="W2528">
        <v>0.310327851594906</v>
      </c>
      <c r="X2528">
        <v>0</v>
      </c>
      <c r="Y2528">
        <v>0</v>
      </c>
    </row>
    <row r="2529" spans="1:25" x14ac:dyDescent="0.2">
      <c r="A2529" t="s">
        <v>9444</v>
      </c>
      <c r="B2529" t="s">
        <v>9445</v>
      </c>
      <c r="C2529" t="s">
        <v>9446</v>
      </c>
      <c r="D2529" t="s">
        <v>312</v>
      </c>
      <c r="E2529" t="s">
        <v>9445</v>
      </c>
      <c r="F2529" t="s">
        <v>28</v>
      </c>
      <c r="G2529" t="s">
        <v>9445</v>
      </c>
      <c r="H2529" t="str">
        <f>"acl-5"</f>
        <v>acl-5</v>
      </c>
      <c r="I2529" t="s">
        <v>312</v>
      </c>
      <c r="J2529">
        <v>12.915033924500801</v>
      </c>
      <c r="K2529">
        <v>12.4772641695593</v>
      </c>
      <c r="L2529">
        <v>12.932845278673</v>
      </c>
      <c r="M2529" t="s">
        <v>29</v>
      </c>
      <c r="N2529">
        <v>12.482348253942799</v>
      </c>
      <c r="O2529">
        <v>13.667496178910801</v>
      </c>
      <c r="P2529">
        <v>0.29987442551579602</v>
      </c>
      <c r="Q2529">
        <v>-0.30604996764702302</v>
      </c>
      <c r="R2529">
        <v>0.905798818678615</v>
      </c>
      <c r="S2529">
        <v>13.0172064088722</v>
      </c>
      <c r="T2529">
        <v>1.04465047374947</v>
      </c>
      <c r="U2529">
        <v>-6.4897297300569896</v>
      </c>
      <c r="V2529">
        <v>0.31090183525957599</v>
      </c>
      <c r="W2529">
        <v>0.48062020897165902</v>
      </c>
      <c r="X2529">
        <v>0</v>
      </c>
      <c r="Y2529">
        <v>0</v>
      </c>
    </row>
    <row r="2530" spans="1:25" x14ac:dyDescent="0.2">
      <c r="A2530" t="s">
        <v>9447</v>
      </c>
      <c r="B2530" t="s">
        <v>9448</v>
      </c>
      <c r="C2530" t="s">
        <v>14508</v>
      </c>
      <c r="D2530" t="s">
        <v>674</v>
      </c>
      <c r="E2530" t="s">
        <v>9448</v>
      </c>
      <c r="F2530" t="s">
        <v>28</v>
      </c>
      <c r="G2530" t="s">
        <v>9448</v>
      </c>
      <c r="H2530" t="str">
        <f>"R07E4.5"</f>
        <v>R07E4.5</v>
      </c>
      <c r="I2530" t="s">
        <v>674</v>
      </c>
      <c r="J2530">
        <v>12.6953127906796</v>
      </c>
      <c r="K2530">
        <v>13.429967903512599</v>
      </c>
      <c r="L2530">
        <v>12.9793282845693</v>
      </c>
      <c r="M2530" t="s">
        <v>29</v>
      </c>
      <c r="N2530" t="s">
        <v>29</v>
      </c>
      <c r="O2530">
        <v>11.978356519563601</v>
      </c>
      <c r="P2530">
        <v>-1.0565131400236101</v>
      </c>
      <c r="Q2530">
        <v>-1.7496644992855299</v>
      </c>
      <c r="R2530">
        <v>-0.3633617807617</v>
      </c>
      <c r="S2530">
        <v>13.348201402252601</v>
      </c>
      <c r="T2530">
        <v>-3.23293038794414</v>
      </c>
      <c r="U2530">
        <v>-2.6093922803184202</v>
      </c>
      <c r="V2530">
        <v>5.2407064331192604E-3</v>
      </c>
      <c r="W2530">
        <v>2.9356637194350901E-2</v>
      </c>
      <c r="X2530">
        <v>-1</v>
      </c>
      <c r="Y2530">
        <v>-1</v>
      </c>
    </row>
    <row r="2531" spans="1:25" x14ac:dyDescent="0.2">
      <c r="A2531" t="s">
        <v>9449</v>
      </c>
      <c r="B2531" t="s">
        <v>9450</v>
      </c>
      <c r="C2531" t="s">
        <v>9451</v>
      </c>
      <c r="D2531" t="s">
        <v>9452</v>
      </c>
      <c r="E2531" t="s">
        <v>9450</v>
      </c>
      <c r="F2531" t="s">
        <v>28</v>
      </c>
      <c r="G2531" t="s">
        <v>9450</v>
      </c>
      <c r="H2531" t="str">
        <f>"prdx-3"</f>
        <v>prdx-3</v>
      </c>
      <c r="I2531" t="s">
        <v>9452</v>
      </c>
      <c r="J2531">
        <v>13.721305556923999</v>
      </c>
      <c r="K2531">
        <v>14.0450597445762</v>
      </c>
      <c r="L2531">
        <v>12.5854238628988</v>
      </c>
      <c r="M2531">
        <v>14.2200061179655</v>
      </c>
      <c r="N2531">
        <v>14.665331072581001</v>
      </c>
      <c r="O2531">
        <v>14.734404271580299</v>
      </c>
      <c r="P2531">
        <v>1.0893174325759201</v>
      </c>
      <c r="Q2531">
        <v>0.36327699076543202</v>
      </c>
      <c r="R2531">
        <v>1.8153578743864101</v>
      </c>
      <c r="S2531">
        <v>13.714560461184499</v>
      </c>
      <c r="T2531">
        <v>3.1534514899267001</v>
      </c>
      <c r="U2531">
        <v>-3.0124543359175799</v>
      </c>
      <c r="V2531">
        <v>5.5264420193574396E-3</v>
      </c>
      <c r="W2531">
        <v>2.9938280571776402E-2</v>
      </c>
      <c r="X2531">
        <v>1</v>
      </c>
      <c r="Y2531">
        <v>1</v>
      </c>
    </row>
    <row r="2532" spans="1:25" x14ac:dyDescent="0.2">
      <c r="A2532" t="s">
        <v>9453</v>
      </c>
      <c r="B2532" t="s">
        <v>9454</v>
      </c>
      <c r="C2532" t="s">
        <v>9455</v>
      </c>
      <c r="D2532" t="s">
        <v>9456</v>
      </c>
      <c r="E2532" t="s">
        <v>9454</v>
      </c>
      <c r="F2532" t="s">
        <v>28</v>
      </c>
      <c r="G2532" t="s">
        <v>9454</v>
      </c>
      <c r="H2532" t="str">
        <f>"R07E5.1"</f>
        <v>R07E5.1</v>
      </c>
      <c r="I2532" t="s">
        <v>9456</v>
      </c>
      <c r="J2532" t="s">
        <v>29</v>
      </c>
      <c r="K2532" t="s">
        <v>29</v>
      </c>
      <c r="L2532" t="s">
        <v>29</v>
      </c>
      <c r="M2532" t="s">
        <v>29</v>
      </c>
      <c r="N2532" t="s">
        <v>29</v>
      </c>
      <c r="O2532">
        <v>11.8393013251225</v>
      </c>
      <c r="P2532" t="s">
        <v>29</v>
      </c>
      <c r="Q2532" t="s">
        <v>29</v>
      </c>
      <c r="R2532" t="s">
        <v>29</v>
      </c>
      <c r="S2532">
        <v>11.593327143068599</v>
      </c>
      <c r="T2532" t="s">
        <v>29</v>
      </c>
      <c r="U2532" t="s">
        <v>29</v>
      </c>
      <c r="V2532" t="s">
        <v>29</v>
      </c>
      <c r="W2532" t="s">
        <v>29</v>
      </c>
      <c r="X2532" t="s">
        <v>29</v>
      </c>
      <c r="Y2532" t="s">
        <v>29</v>
      </c>
    </row>
    <row r="2533" spans="1:25" x14ac:dyDescent="0.2">
      <c r="A2533" t="s">
        <v>9457</v>
      </c>
      <c r="B2533" t="s">
        <v>9458</v>
      </c>
      <c r="C2533" t="s">
        <v>9459</v>
      </c>
      <c r="D2533" t="s">
        <v>9460</v>
      </c>
      <c r="E2533" t="s">
        <v>9458</v>
      </c>
      <c r="F2533" t="s">
        <v>28</v>
      </c>
      <c r="G2533" t="s">
        <v>9458</v>
      </c>
      <c r="H2533" t="str">
        <f>"mpc-1"</f>
        <v>mpc-1</v>
      </c>
      <c r="I2533" t="s">
        <v>9460</v>
      </c>
      <c r="J2533">
        <v>13.352425435549</v>
      </c>
      <c r="K2533">
        <v>13.327233760661899</v>
      </c>
      <c r="L2533">
        <v>13.562181446055201</v>
      </c>
      <c r="M2533" t="s">
        <v>29</v>
      </c>
      <c r="N2533">
        <v>13.336664496941999</v>
      </c>
      <c r="O2533">
        <v>10.888282705355101</v>
      </c>
      <c r="P2533">
        <v>-1.3014732796068</v>
      </c>
      <c r="Q2533">
        <v>-2.3609147983442398</v>
      </c>
      <c r="R2533">
        <v>-0.24203176086935499</v>
      </c>
      <c r="S2533">
        <v>12.5739703862107</v>
      </c>
      <c r="T2533">
        <v>-2.5930344139116501</v>
      </c>
      <c r="U2533">
        <v>-4.0742833179710001</v>
      </c>
      <c r="V2533">
        <v>1.90167906060493E-2</v>
      </c>
      <c r="W2533">
        <v>7.1173558713462995E-2</v>
      </c>
      <c r="X2533">
        <v>-1</v>
      </c>
      <c r="Y2533">
        <v>0</v>
      </c>
    </row>
    <row r="2534" spans="1:25" x14ac:dyDescent="0.2">
      <c r="A2534" t="s">
        <v>9461</v>
      </c>
      <c r="B2534" t="s">
        <v>9462</v>
      </c>
      <c r="C2534" t="s">
        <v>9463</v>
      </c>
      <c r="D2534" t="s">
        <v>9464</v>
      </c>
      <c r="E2534" t="s">
        <v>9462</v>
      </c>
      <c r="F2534" t="s">
        <v>28</v>
      </c>
      <c r="G2534" t="s">
        <v>9462</v>
      </c>
      <c r="H2534" t="str">
        <f>"cku-80"</f>
        <v>cku-80</v>
      </c>
      <c r="I2534" t="s">
        <v>9464</v>
      </c>
      <c r="J2534">
        <v>11.696515478305599</v>
      </c>
      <c r="K2534">
        <v>11.5289575546955</v>
      </c>
      <c r="L2534">
        <v>11.4871711240019</v>
      </c>
      <c r="M2534">
        <v>12.837659767838799</v>
      </c>
      <c r="N2534" t="s">
        <v>29</v>
      </c>
      <c r="O2534" t="s">
        <v>29</v>
      </c>
      <c r="P2534">
        <v>1.2667783821711001</v>
      </c>
      <c r="Q2534">
        <v>0.23738246360518001</v>
      </c>
      <c r="R2534">
        <v>2.2961743007370101</v>
      </c>
      <c r="S2534">
        <v>12.2908469053296</v>
      </c>
      <c r="T2534">
        <v>2.6607584244610001</v>
      </c>
      <c r="U2534">
        <v>-3.8173741433040802</v>
      </c>
      <c r="V2534">
        <v>1.9718149040272401E-2</v>
      </c>
      <c r="W2534">
        <v>7.2365361421771801E-2</v>
      </c>
      <c r="X2534">
        <v>1</v>
      </c>
      <c r="Y2534">
        <v>0</v>
      </c>
    </row>
    <row r="2535" spans="1:25" x14ac:dyDescent="0.2">
      <c r="A2535" t="s">
        <v>9465</v>
      </c>
      <c r="B2535" t="s">
        <v>9466</v>
      </c>
      <c r="C2535" t="s">
        <v>9467</v>
      </c>
      <c r="D2535" t="s">
        <v>9468</v>
      </c>
      <c r="E2535" t="s">
        <v>9466</v>
      </c>
      <c r="F2535" t="s">
        <v>28</v>
      </c>
      <c r="G2535" t="s">
        <v>9466</v>
      </c>
      <c r="H2535" t="str">
        <f>"snfc-5"</f>
        <v>snfc-5</v>
      </c>
      <c r="I2535" t="s">
        <v>9468</v>
      </c>
      <c r="J2535">
        <v>15.051703948550299</v>
      </c>
      <c r="K2535">
        <v>15.2133149165821</v>
      </c>
      <c r="L2535">
        <v>15.0097004123042</v>
      </c>
      <c r="M2535">
        <v>14.487658118215901</v>
      </c>
      <c r="N2535">
        <v>14.550480842396899</v>
      </c>
      <c r="O2535">
        <v>14.798444594977701</v>
      </c>
      <c r="P2535">
        <v>-0.47937857394868599</v>
      </c>
      <c r="Q2535">
        <v>-0.852686325118994</v>
      </c>
      <c r="R2535">
        <v>-0.106070822778379</v>
      </c>
      <c r="S2535">
        <v>14.8152563675881</v>
      </c>
      <c r="T2535">
        <v>-2.6990077077113899</v>
      </c>
      <c r="U2535">
        <v>-3.9527436402848402</v>
      </c>
      <c r="V2535">
        <v>1.47344901807292E-2</v>
      </c>
      <c r="W2535">
        <v>5.9482935017272497E-2</v>
      </c>
      <c r="X2535">
        <v>0</v>
      </c>
      <c r="Y2535">
        <v>0</v>
      </c>
    </row>
    <row r="2536" spans="1:25" x14ac:dyDescent="0.2">
      <c r="A2536" t="s">
        <v>9469</v>
      </c>
      <c r="B2536" t="s">
        <v>9470</v>
      </c>
      <c r="C2536" t="s">
        <v>9471</v>
      </c>
      <c r="D2536" t="s">
        <v>2432</v>
      </c>
      <c r="E2536" t="s">
        <v>9470</v>
      </c>
      <c r="F2536" t="s">
        <v>28</v>
      </c>
      <c r="G2536" t="s">
        <v>9470</v>
      </c>
      <c r="H2536" t="str">
        <f>"ivns-1"</f>
        <v>ivns-1</v>
      </c>
      <c r="I2536" t="s">
        <v>2432</v>
      </c>
      <c r="J2536">
        <v>12.767921153455299</v>
      </c>
      <c r="K2536">
        <v>12.8428017920839</v>
      </c>
      <c r="L2536">
        <v>13.0138894181816</v>
      </c>
      <c r="M2536">
        <v>14.548352020664399</v>
      </c>
      <c r="N2536">
        <v>15.413311359028</v>
      </c>
      <c r="O2536">
        <v>15.593424798068501</v>
      </c>
      <c r="P2536">
        <v>2.3101586046800699</v>
      </c>
      <c r="Q2536">
        <v>1.6171082193028801</v>
      </c>
      <c r="R2536">
        <v>3.0032089900572498</v>
      </c>
      <c r="S2536">
        <v>14.574981395530999</v>
      </c>
      <c r="T2536">
        <v>7.0059898104190497</v>
      </c>
      <c r="U2536">
        <v>5.1598136153572698</v>
      </c>
      <c r="V2536" s="2">
        <v>1.58701815263471E-6</v>
      </c>
      <c r="W2536" s="2">
        <v>6.5872429518513904E-5</v>
      </c>
      <c r="X2536">
        <v>1</v>
      </c>
      <c r="Y2536">
        <v>1</v>
      </c>
    </row>
    <row r="2537" spans="1:25" x14ac:dyDescent="0.2">
      <c r="A2537" t="s">
        <v>9472</v>
      </c>
      <c r="B2537" t="s">
        <v>9473</v>
      </c>
      <c r="C2537" t="s">
        <v>14509</v>
      </c>
      <c r="D2537" t="s">
        <v>66</v>
      </c>
      <c r="E2537" t="s">
        <v>9473</v>
      </c>
      <c r="F2537" t="s">
        <v>28</v>
      </c>
      <c r="G2537" t="s">
        <v>9473</v>
      </c>
      <c r="H2537" t="str">
        <f>"R09E10.6"</f>
        <v>R09E10.6</v>
      </c>
      <c r="I2537" t="s">
        <v>66</v>
      </c>
      <c r="J2537" t="s">
        <v>29</v>
      </c>
      <c r="K2537" t="s">
        <v>29</v>
      </c>
      <c r="L2537" t="s">
        <v>29</v>
      </c>
      <c r="M2537" t="s">
        <v>29</v>
      </c>
      <c r="N2537" t="s">
        <v>29</v>
      </c>
      <c r="O2537" t="s">
        <v>29</v>
      </c>
      <c r="P2537" t="s">
        <v>29</v>
      </c>
      <c r="Q2537" t="s">
        <v>29</v>
      </c>
      <c r="R2537" t="s">
        <v>29</v>
      </c>
      <c r="S2537">
        <v>12.921820916992299</v>
      </c>
      <c r="T2537" t="s">
        <v>29</v>
      </c>
      <c r="U2537" t="s">
        <v>29</v>
      </c>
      <c r="V2537" t="s">
        <v>29</v>
      </c>
      <c r="W2537" t="s">
        <v>29</v>
      </c>
      <c r="X2537" t="s">
        <v>29</v>
      </c>
      <c r="Y2537" t="s">
        <v>29</v>
      </c>
    </row>
    <row r="2538" spans="1:25" x14ac:dyDescent="0.2">
      <c r="A2538" t="s">
        <v>9474</v>
      </c>
      <c r="B2538" t="s">
        <v>9475</v>
      </c>
      <c r="C2538" t="s">
        <v>9476</v>
      </c>
      <c r="D2538" t="s">
        <v>8008</v>
      </c>
      <c r="E2538" t="s">
        <v>9475</v>
      </c>
      <c r="F2538" t="s">
        <v>28</v>
      </c>
      <c r="G2538" t="s">
        <v>9475</v>
      </c>
      <c r="H2538" t="str">
        <f>"acs-18"</f>
        <v>acs-18</v>
      </c>
      <c r="I2538" t="s">
        <v>8008</v>
      </c>
      <c r="J2538" t="s">
        <v>29</v>
      </c>
      <c r="K2538" t="s">
        <v>29</v>
      </c>
      <c r="L2538">
        <v>10.1035906939253</v>
      </c>
      <c r="M2538" t="s">
        <v>29</v>
      </c>
      <c r="N2538" t="s">
        <v>29</v>
      </c>
      <c r="O2538">
        <v>11.3769336640059</v>
      </c>
      <c r="P2538">
        <v>1.2733429700805801</v>
      </c>
      <c r="Q2538">
        <v>-8.0897012700323498E-2</v>
      </c>
      <c r="R2538">
        <v>2.62758295286149</v>
      </c>
      <c r="S2538">
        <v>10.8540785391657</v>
      </c>
      <c r="T2538">
        <v>2.0980539596510499</v>
      </c>
      <c r="U2538">
        <v>-4.6508614827628696</v>
      </c>
      <c r="V2538">
        <v>6.2570489398440496E-2</v>
      </c>
      <c r="W2538">
        <v>0.159926480708763</v>
      </c>
      <c r="X2538">
        <v>0</v>
      </c>
      <c r="Y2538">
        <v>0</v>
      </c>
    </row>
    <row r="2539" spans="1:25" x14ac:dyDescent="0.2">
      <c r="A2539" t="s">
        <v>9477</v>
      </c>
      <c r="B2539" t="s">
        <v>9478</v>
      </c>
      <c r="C2539" t="s">
        <v>9479</v>
      </c>
      <c r="D2539" t="s">
        <v>9480</v>
      </c>
      <c r="E2539" t="s">
        <v>9478</v>
      </c>
      <c r="F2539" t="s">
        <v>28</v>
      </c>
      <c r="G2539" t="s">
        <v>9478</v>
      </c>
      <c r="H2539" t="str">
        <f>"R09E10.5"</f>
        <v>R09E10.5</v>
      </c>
      <c r="I2539" t="s">
        <v>9480</v>
      </c>
      <c r="J2539">
        <v>12.261454430515901</v>
      </c>
      <c r="K2539">
        <v>12.718548400893599</v>
      </c>
      <c r="L2539">
        <v>12.9820640998117</v>
      </c>
      <c r="M2539">
        <v>14.917297044876801</v>
      </c>
      <c r="N2539">
        <v>14.293765798721299</v>
      </c>
      <c r="O2539">
        <v>13.250592825254801</v>
      </c>
      <c r="P2539">
        <v>1.49986291254391</v>
      </c>
      <c r="Q2539">
        <v>0.722600513577901</v>
      </c>
      <c r="R2539">
        <v>2.2771253115099102</v>
      </c>
      <c r="S2539">
        <v>12.844444346542801</v>
      </c>
      <c r="T2539">
        <v>4.0557989722430303</v>
      </c>
      <c r="U2539">
        <v>-1.0489105107963199</v>
      </c>
      <c r="V2539">
        <v>7.4944631733394197E-4</v>
      </c>
      <c r="W2539">
        <v>7.4868416853665302E-3</v>
      </c>
      <c r="X2539">
        <v>1</v>
      </c>
      <c r="Y2539">
        <v>1</v>
      </c>
    </row>
    <row r="2540" spans="1:25" x14ac:dyDescent="0.2">
      <c r="A2540" t="s">
        <v>9481</v>
      </c>
      <c r="B2540" t="s">
        <v>9482</v>
      </c>
      <c r="C2540" t="s">
        <v>9483</v>
      </c>
      <c r="D2540" t="s">
        <v>9484</v>
      </c>
      <c r="E2540" t="s">
        <v>9482</v>
      </c>
      <c r="F2540" t="s">
        <v>28</v>
      </c>
      <c r="G2540" t="s">
        <v>9482</v>
      </c>
      <c r="H2540" t="str">
        <f>"ebax-1"</f>
        <v>ebax-1</v>
      </c>
      <c r="I2540" t="s">
        <v>9484</v>
      </c>
      <c r="J2540">
        <v>10.9786759020938</v>
      </c>
      <c r="K2540" t="s">
        <v>29</v>
      </c>
      <c r="L2540">
        <v>10.8048016193219</v>
      </c>
      <c r="M2540" t="s">
        <v>29</v>
      </c>
      <c r="N2540" t="s">
        <v>29</v>
      </c>
      <c r="O2540">
        <v>10.5656810646074</v>
      </c>
      <c r="P2540">
        <v>-0.32605769610044399</v>
      </c>
      <c r="Q2540">
        <v>-1.20494199377844</v>
      </c>
      <c r="R2540">
        <v>0.55282660157755703</v>
      </c>
      <c r="S2540">
        <v>11.2840697336433</v>
      </c>
      <c r="T2540">
        <v>-0.79625952957794</v>
      </c>
      <c r="U2540">
        <v>-6.4267684275244399</v>
      </c>
      <c r="V2540">
        <v>0.439274218308223</v>
      </c>
      <c r="W2540">
        <v>0.60436093433909099</v>
      </c>
      <c r="X2540">
        <v>0</v>
      </c>
      <c r="Y2540">
        <v>0</v>
      </c>
    </row>
    <row r="2541" spans="1:25" x14ac:dyDescent="0.2">
      <c r="A2541" t="s">
        <v>9485</v>
      </c>
      <c r="B2541" t="s">
        <v>9486</v>
      </c>
      <c r="C2541" t="s">
        <v>9487</v>
      </c>
      <c r="D2541" t="s">
        <v>9488</v>
      </c>
      <c r="E2541" t="s">
        <v>9486</v>
      </c>
      <c r="F2541" t="s">
        <v>28</v>
      </c>
      <c r="G2541" t="s">
        <v>9486</v>
      </c>
      <c r="H2541" t="str">
        <f>"nhr-1"</f>
        <v>nhr-1</v>
      </c>
      <c r="I2541" t="s">
        <v>9488</v>
      </c>
      <c r="J2541">
        <v>12.5101919419429</v>
      </c>
      <c r="K2541">
        <v>12.7241076983839</v>
      </c>
      <c r="L2541">
        <v>12.6147020324115</v>
      </c>
      <c r="M2541">
        <v>12.6063448390986</v>
      </c>
      <c r="N2541">
        <v>12.647634351165999</v>
      </c>
      <c r="O2541">
        <v>13.087352030897801</v>
      </c>
      <c r="P2541">
        <v>0.1641098494747</v>
      </c>
      <c r="Q2541">
        <v>-0.3015438372825</v>
      </c>
      <c r="R2541">
        <v>0.62976353623189996</v>
      </c>
      <c r="S2541">
        <v>12.880949443924299</v>
      </c>
      <c r="T2541">
        <v>0.74073712995864804</v>
      </c>
      <c r="U2541">
        <v>-6.8727046384407897</v>
      </c>
      <c r="V2541">
        <v>0.46846184547715702</v>
      </c>
      <c r="W2541">
        <v>0.63019499744380203</v>
      </c>
      <c r="X2541">
        <v>0</v>
      </c>
      <c r="Y2541">
        <v>0</v>
      </c>
    </row>
    <row r="2542" spans="1:25" x14ac:dyDescent="0.2">
      <c r="A2542" t="s">
        <v>9489</v>
      </c>
      <c r="B2542" t="s">
        <v>9490</v>
      </c>
      <c r="C2542" t="s">
        <v>14165</v>
      </c>
      <c r="D2542" t="s">
        <v>9491</v>
      </c>
      <c r="E2542" t="s">
        <v>9490</v>
      </c>
      <c r="F2542" t="s">
        <v>28</v>
      </c>
      <c r="G2542" t="s">
        <v>9490</v>
      </c>
      <c r="H2542" t="str">
        <f>"R102.2"</f>
        <v>R102.2</v>
      </c>
      <c r="I2542" t="s">
        <v>9491</v>
      </c>
      <c r="J2542" t="s">
        <v>29</v>
      </c>
      <c r="K2542" t="s">
        <v>29</v>
      </c>
      <c r="L2542" t="s">
        <v>29</v>
      </c>
      <c r="M2542">
        <v>19.1732182076275</v>
      </c>
      <c r="N2542">
        <v>19.517289305666399</v>
      </c>
      <c r="O2542">
        <v>19.9588000546938</v>
      </c>
      <c r="P2542" t="s">
        <v>29</v>
      </c>
      <c r="Q2542" t="s">
        <v>29</v>
      </c>
      <c r="R2542" t="s">
        <v>29</v>
      </c>
      <c r="S2542">
        <v>14.235836862154001</v>
      </c>
      <c r="T2542" t="s">
        <v>29</v>
      </c>
      <c r="U2542" t="s">
        <v>29</v>
      </c>
      <c r="V2542" t="s">
        <v>29</v>
      </c>
      <c r="W2542" t="s">
        <v>29</v>
      </c>
      <c r="X2542" t="s">
        <v>29</v>
      </c>
      <c r="Y2542" t="s">
        <v>29</v>
      </c>
    </row>
    <row r="2543" spans="1:25" x14ac:dyDescent="0.2">
      <c r="A2543" t="s">
        <v>9492</v>
      </c>
      <c r="B2543" t="s">
        <v>9493</v>
      </c>
      <c r="C2543" t="s">
        <v>9494</v>
      </c>
      <c r="D2543" t="s">
        <v>9495</v>
      </c>
      <c r="E2543" t="s">
        <v>9493</v>
      </c>
      <c r="F2543" t="s">
        <v>28</v>
      </c>
      <c r="G2543" t="s">
        <v>9493</v>
      </c>
      <c r="H2543" t="str">
        <f>"vha-1"</f>
        <v>vha-1</v>
      </c>
      <c r="I2543" t="s">
        <v>9495</v>
      </c>
      <c r="J2543">
        <v>12.599508184212301</v>
      </c>
      <c r="K2543" t="s">
        <v>29</v>
      </c>
      <c r="L2543">
        <v>14.2140281205157</v>
      </c>
      <c r="M2543" t="s">
        <v>29</v>
      </c>
      <c r="N2543">
        <v>14.804887263042099</v>
      </c>
      <c r="O2543">
        <v>14.005960912882401</v>
      </c>
      <c r="P2543">
        <v>0.99865593559825805</v>
      </c>
      <c r="Q2543">
        <v>-0.26999432944038998</v>
      </c>
      <c r="R2543">
        <v>2.2673062006369098</v>
      </c>
      <c r="S2543">
        <v>13.5285582238714</v>
      </c>
      <c r="T2543">
        <v>1.7839319275457</v>
      </c>
      <c r="U2543">
        <v>-5.4576334014157597</v>
      </c>
      <c r="V2543">
        <v>0.108497087505791</v>
      </c>
      <c r="W2543">
        <v>0.22920495833660601</v>
      </c>
      <c r="X2543">
        <v>0</v>
      </c>
      <c r="Y2543">
        <v>0</v>
      </c>
    </row>
    <row r="2544" spans="1:25" x14ac:dyDescent="0.2">
      <c r="A2544" t="s">
        <v>9496</v>
      </c>
      <c r="B2544" t="s">
        <v>9497</v>
      </c>
      <c r="C2544" t="s">
        <v>14510</v>
      </c>
      <c r="D2544" t="s">
        <v>2432</v>
      </c>
      <c r="E2544" t="s">
        <v>9497</v>
      </c>
      <c r="F2544" t="s">
        <v>28</v>
      </c>
      <c r="G2544" t="s">
        <v>9497</v>
      </c>
      <c r="H2544" t="str">
        <f>"R10E4.1"</f>
        <v>R10E4.1</v>
      </c>
      <c r="I2544" t="s">
        <v>2432</v>
      </c>
      <c r="J2544">
        <v>14.2898471609615</v>
      </c>
      <c r="K2544">
        <v>14.6529014299519</v>
      </c>
      <c r="L2544">
        <v>13.717721327553299</v>
      </c>
      <c r="M2544" t="s">
        <v>29</v>
      </c>
      <c r="N2544">
        <v>14.1975795590064</v>
      </c>
      <c r="O2544">
        <v>13.5701126841342</v>
      </c>
      <c r="P2544">
        <v>-0.33631051791859601</v>
      </c>
      <c r="Q2544">
        <v>-1.01798285258349</v>
      </c>
      <c r="R2544">
        <v>0.34536181674629302</v>
      </c>
      <c r="S2544">
        <v>13.6155854659224</v>
      </c>
      <c r="T2544">
        <v>-1.0413933360312</v>
      </c>
      <c r="U2544">
        <v>-6.4930836273510701</v>
      </c>
      <c r="V2544">
        <v>0.312366923594664</v>
      </c>
      <c r="W2544">
        <v>0.48221337026373701</v>
      </c>
      <c r="X2544">
        <v>0</v>
      </c>
      <c r="Y2544">
        <v>0</v>
      </c>
    </row>
    <row r="2545" spans="1:25" x14ac:dyDescent="0.2">
      <c r="A2545" t="s">
        <v>9498</v>
      </c>
      <c r="B2545" t="s">
        <v>9499</v>
      </c>
      <c r="C2545" t="s">
        <v>9500</v>
      </c>
      <c r="D2545" t="s">
        <v>9501</v>
      </c>
      <c r="E2545" t="s">
        <v>9499</v>
      </c>
      <c r="F2545" t="s">
        <v>28</v>
      </c>
      <c r="G2545" t="s">
        <v>9499</v>
      </c>
      <c r="H2545" t="str">
        <f>"mcm-5"</f>
        <v>mcm-5</v>
      </c>
      <c r="I2545" t="s">
        <v>9501</v>
      </c>
      <c r="J2545">
        <v>16.348737311583601</v>
      </c>
      <c r="K2545">
        <v>16.1134723135253</v>
      </c>
      <c r="L2545">
        <v>16.233924155870302</v>
      </c>
      <c r="M2545">
        <v>15.6917614814215</v>
      </c>
      <c r="N2545">
        <v>15.797800015873801</v>
      </c>
      <c r="O2545">
        <v>16.222830368572598</v>
      </c>
      <c r="P2545">
        <v>-0.32791397170373998</v>
      </c>
      <c r="Q2545">
        <v>-0.706203804633176</v>
      </c>
      <c r="R2545">
        <v>5.03758612256959E-2</v>
      </c>
      <c r="S2545">
        <v>16.016180753123699</v>
      </c>
      <c r="T2545">
        <v>-1.8219135482417499</v>
      </c>
      <c r="U2545">
        <v>-5.5591820419047604</v>
      </c>
      <c r="V2545">
        <v>8.5225936185779103E-2</v>
      </c>
      <c r="W2545">
        <v>0.195665427868083</v>
      </c>
      <c r="X2545">
        <v>0</v>
      </c>
      <c r="Y2545">
        <v>0</v>
      </c>
    </row>
    <row r="2546" spans="1:25" x14ac:dyDescent="0.2">
      <c r="A2546" t="s">
        <v>9502</v>
      </c>
      <c r="B2546" t="s">
        <v>9503</v>
      </c>
      <c r="C2546" t="s">
        <v>14511</v>
      </c>
      <c r="D2546" t="s">
        <v>9504</v>
      </c>
      <c r="E2546" t="s">
        <v>9503</v>
      </c>
      <c r="F2546" t="s">
        <v>28</v>
      </c>
      <c r="G2546" t="s">
        <v>9503</v>
      </c>
      <c r="H2546" t="str">
        <f>"R10E4.9"</f>
        <v>R10E4.9</v>
      </c>
      <c r="I2546" t="s">
        <v>9504</v>
      </c>
      <c r="J2546">
        <v>14.408271617264999</v>
      </c>
      <c r="K2546">
        <v>14.583472015895101</v>
      </c>
      <c r="L2546">
        <v>14.552138226278</v>
      </c>
      <c r="M2546" t="s">
        <v>29</v>
      </c>
      <c r="N2546" t="s">
        <v>29</v>
      </c>
      <c r="O2546">
        <v>13.034732570723</v>
      </c>
      <c r="P2546">
        <v>-1.47989471575633</v>
      </c>
      <c r="Q2546">
        <v>-2.2142837340920898</v>
      </c>
      <c r="R2546">
        <v>-0.74550569742057304</v>
      </c>
      <c r="S2546">
        <v>14.374430083092699</v>
      </c>
      <c r="T2546">
        <v>-4.2741934578037197</v>
      </c>
      <c r="U2546">
        <v>-0.46331122027373201</v>
      </c>
      <c r="V2546">
        <v>5.8912930527499103E-4</v>
      </c>
      <c r="W2546">
        <v>6.2451944699474802E-3</v>
      </c>
      <c r="X2546">
        <v>-1</v>
      </c>
      <c r="Y2546">
        <v>-1</v>
      </c>
    </row>
    <row r="2547" spans="1:25" x14ac:dyDescent="0.2">
      <c r="A2547" t="s">
        <v>9505</v>
      </c>
      <c r="B2547" t="s">
        <v>9506</v>
      </c>
      <c r="C2547" t="s">
        <v>14512</v>
      </c>
      <c r="D2547" t="s">
        <v>3883</v>
      </c>
      <c r="E2547" t="s">
        <v>9506</v>
      </c>
      <c r="F2547" t="s">
        <v>28</v>
      </c>
      <c r="G2547" t="s">
        <v>9506</v>
      </c>
      <c r="H2547" t="str">
        <f>"R10E9.2"</f>
        <v>R10E9.2</v>
      </c>
      <c r="I2547" t="s">
        <v>3883</v>
      </c>
      <c r="J2547">
        <v>12.915674268384601</v>
      </c>
      <c r="K2547">
        <v>12.697236785317401</v>
      </c>
      <c r="L2547">
        <v>13.496825295462999</v>
      </c>
      <c r="M2547">
        <v>16.089608395038201</v>
      </c>
      <c r="N2547">
        <v>15.738921449323501</v>
      </c>
      <c r="O2547">
        <v>12.374020233621801</v>
      </c>
      <c r="P2547">
        <v>1.69760457627282</v>
      </c>
      <c r="Q2547">
        <v>-0.104603042256266</v>
      </c>
      <c r="R2547">
        <v>3.4998121948019101</v>
      </c>
      <c r="S2547">
        <v>12.985877759061699</v>
      </c>
      <c r="T2547">
        <v>2.1018349360131401</v>
      </c>
      <c r="U2547">
        <v>-5.1600093408863001</v>
      </c>
      <c r="V2547">
        <v>6.21754538584946E-2</v>
      </c>
      <c r="W2547">
        <v>0.159192930079047</v>
      </c>
      <c r="X2547">
        <v>0</v>
      </c>
      <c r="Y2547">
        <v>0</v>
      </c>
    </row>
    <row r="2548" spans="1:25" x14ac:dyDescent="0.2">
      <c r="A2548" t="s">
        <v>9507</v>
      </c>
      <c r="B2548" t="s">
        <v>9508</v>
      </c>
      <c r="C2548" t="s">
        <v>9509</v>
      </c>
      <c r="D2548" t="s">
        <v>9510</v>
      </c>
      <c r="E2548" t="s">
        <v>9508</v>
      </c>
      <c r="F2548" t="s">
        <v>28</v>
      </c>
      <c r="G2548" t="s">
        <v>9508</v>
      </c>
      <c r="H2548" t="str">
        <f>"gpa-7"</f>
        <v>gpa-7</v>
      </c>
      <c r="I2548" t="s">
        <v>9510</v>
      </c>
      <c r="J2548">
        <v>14.3619690357556</v>
      </c>
      <c r="K2548">
        <v>14.5868387342733</v>
      </c>
      <c r="L2548">
        <v>14.0982186085935</v>
      </c>
      <c r="M2548">
        <v>13.520930081906901</v>
      </c>
      <c r="N2548">
        <v>13.940874810866299</v>
      </c>
      <c r="O2548">
        <v>14.141790829649</v>
      </c>
      <c r="P2548">
        <v>-0.481143552066781</v>
      </c>
      <c r="Q2548">
        <v>-1.0016189042884101</v>
      </c>
      <c r="R2548">
        <v>3.93318001548527E-2</v>
      </c>
      <c r="S2548">
        <v>13.8860839523516</v>
      </c>
      <c r="T2548">
        <v>-1.94297411791434</v>
      </c>
      <c r="U2548">
        <v>-5.3597899941867304</v>
      </c>
      <c r="V2548">
        <v>6.7921512221263802E-2</v>
      </c>
      <c r="W2548">
        <v>0.16792273970789801</v>
      </c>
      <c r="X2548">
        <v>0</v>
      </c>
      <c r="Y2548">
        <v>0</v>
      </c>
    </row>
    <row r="2549" spans="1:25" x14ac:dyDescent="0.2">
      <c r="A2549" t="s">
        <v>9511</v>
      </c>
      <c r="B2549" t="s">
        <v>9512</v>
      </c>
      <c r="C2549" t="s">
        <v>9513</v>
      </c>
      <c r="D2549" t="s">
        <v>9514</v>
      </c>
      <c r="E2549" t="s">
        <v>9512</v>
      </c>
      <c r="F2549" t="s">
        <v>28</v>
      </c>
      <c r="G2549" t="s">
        <v>9512</v>
      </c>
      <c r="H2549" t="str">
        <f>"mask-1"</f>
        <v>mask-1</v>
      </c>
      <c r="I2549" t="s">
        <v>9514</v>
      </c>
      <c r="J2549">
        <v>10.693298322541899</v>
      </c>
      <c r="K2549">
        <v>9.8785940519485802</v>
      </c>
      <c r="L2549">
        <v>11.205195578796999</v>
      </c>
      <c r="M2549" t="s">
        <v>29</v>
      </c>
      <c r="N2549">
        <v>10.950920727667601</v>
      </c>
      <c r="O2549">
        <v>12.1967883834762</v>
      </c>
      <c r="P2549">
        <v>0.98149190447604395</v>
      </c>
      <c r="Q2549">
        <v>0.145113626123613</v>
      </c>
      <c r="R2549">
        <v>1.81787018282848</v>
      </c>
      <c r="S2549">
        <v>12.1795921277531</v>
      </c>
      <c r="T2549">
        <v>2.4770455325139298</v>
      </c>
      <c r="U2549">
        <v>-4.2975720303513096</v>
      </c>
      <c r="V2549">
        <v>2.41235740648293E-2</v>
      </c>
      <c r="W2549">
        <v>8.3316329415592E-2</v>
      </c>
      <c r="X2549">
        <v>0</v>
      </c>
      <c r="Y2549">
        <v>0</v>
      </c>
    </row>
    <row r="2550" spans="1:25" x14ac:dyDescent="0.2">
      <c r="A2550" t="s">
        <v>9515</v>
      </c>
      <c r="B2550" t="s">
        <v>9516</v>
      </c>
      <c r="C2550" t="s">
        <v>9517</v>
      </c>
      <c r="D2550" t="s">
        <v>9518</v>
      </c>
      <c r="E2550" t="s">
        <v>9516</v>
      </c>
      <c r="F2550" t="s">
        <v>28</v>
      </c>
      <c r="G2550" t="s">
        <v>9516</v>
      </c>
      <c r="H2550" t="str">
        <f>"sir-2.1"</f>
        <v>sir-2.1</v>
      </c>
      <c r="I2550" t="s">
        <v>9518</v>
      </c>
      <c r="J2550" t="s">
        <v>29</v>
      </c>
      <c r="K2550" t="s">
        <v>29</v>
      </c>
      <c r="L2550" t="s">
        <v>29</v>
      </c>
      <c r="M2550" t="s">
        <v>29</v>
      </c>
      <c r="N2550">
        <v>11.1521851635276</v>
      </c>
      <c r="O2550">
        <v>12.6667433439451</v>
      </c>
      <c r="P2550" t="s">
        <v>29</v>
      </c>
      <c r="Q2550" t="s">
        <v>29</v>
      </c>
      <c r="R2550" t="s">
        <v>29</v>
      </c>
      <c r="S2550">
        <v>10.7386239041483</v>
      </c>
      <c r="T2550" t="s">
        <v>29</v>
      </c>
      <c r="U2550" t="s">
        <v>29</v>
      </c>
      <c r="V2550" t="s">
        <v>29</v>
      </c>
      <c r="W2550" t="s">
        <v>29</v>
      </c>
      <c r="X2550" t="s">
        <v>29</v>
      </c>
      <c r="Y2550" t="s">
        <v>29</v>
      </c>
    </row>
    <row r="2551" spans="1:25" x14ac:dyDescent="0.2">
      <c r="A2551" t="s">
        <v>9519</v>
      </c>
      <c r="B2551" t="s">
        <v>9520</v>
      </c>
      <c r="C2551" t="s">
        <v>9521</v>
      </c>
      <c r="D2551" t="s">
        <v>9522</v>
      </c>
      <c r="E2551" t="s">
        <v>9520</v>
      </c>
      <c r="F2551" t="s">
        <v>28</v>
      </c>
      <c r="G2551" t="s">
        <v>9520</v>
      </c>
      <c r="H2551" t="str">
        <f>"gkow-1"</f>
        <v>gkow-1</v>
      </c>
      <c r="I2551" t="s">
        <v>9522</v>
      </c>
      <c r="J2551" t="s">
        <v>29</v>
      </c>
      <c r="K2551" t="s">
        <v>29</v>
      </c>
      <c r="L2551" t="s">
        <v>29</v>
      </c>
      <c r="M2551" t="s">
        <v>29</v>
      </c>
      <c r="N2551" t="s">
        <v>29</v>
      </c>
      <c r="O2551" t="s">
        <v>29</v>
      </c>
      <c r="P2551" t="s">
        <v>29</v>
      </c>
      <c r="Q2551" t="s">
        <v>29</v>
      </c>
      <c r="R2551" t="s">
        <v>29</v>
      </c>
      <c r="S2551">
        <v>10.7542120289456</v>
      </c>
      <c r="T2551" t="s">
        <v>29</v>
      </c>
      <c r="U2551" t="s">
        <v>29</v>
      </c>
      <c r="V2551" t="s">
        <v>29</v>
      </c>
      <c r="W2551" t="s">
        <v>29</v>
      </c>
      <c r="X2551" t="s">
        <v>29</v>
      </c>
      <c r="Y2551" t="s">
        <v>29</v>
      </c>
    </row>
    <row r="2552" spans="1:25" x14ac:dyDescent="0.2">
      <c r="A2552" t="s">
        <v>9523</v>
      </c>
      <c r="B2552" t="s">
        <v>9524</v>
      </c>
      <c r="C2552" t="s">
        <v>9525</v>
      </c>
      <c r="D2552" t="s">
        <v>9526</v>
      </c>
      <c r="E2552" t="s">
        <v>9524</v>
      </c>
      <c r="F2552" t="s">
        <v>28</v>
      </c>
      <c r="G2552" t="s">
        <v>9524</v>
      </c>
      <c r="H2552" t="str">
        <f>"iars-1"</f>
        <v>iars-1</v>
      </c>
      <c r="I2552" t="s">
        <v>9526</v>
      </c>
      <c r="J2552">
        <v>14.760434980443399</v>
      </c>
      <c r="K2552">
        <v>14.5107638118517</v>
      </c>
      <c r="L2552">
        <v>14.67699880853</v>
      </c>
      <c r="M2552">
        <v>14.115266926759301</v>
      </c>
      <c r="N2552">
        <v>14.407777230039599</v>
      </c>
      <c r="O2552">
        <v>14.230273175599599</v>
      </c>
      <c r="P2552">
        <v>-0.398293422808846</v>
      </c>
      <c r="Q2552">
        <v>-0.73666215214046105</v>
      </c>
      <c r="R2552">
        <v>-5.9924693477231401E-2</v>
      </c>
      <c r="S2552">
        <v>14.551290119548399</v>
      </c>
      <c r="T2552">
        <v>-2.47403265395827</v>
      </c>
      <c r="U2552">
        <v>-4.3961666953065803</v>
      </c>
      <c r="V2552">
        <v>2.3608304219268201E-2</v>
      </c>
      <c r="W2552">
        <v>8.2141289886875302E-2</v>
      </c>
      <c r="X2552">
        <v>0</v>
      </c>
      <c r="Y2552">
        <v>0</v>
      </c>
    </row>
    <row r="2553" spans="1:25" x14ac:dyDescent="0.2">
      <c r="A2553" t="s">
        <v>9527</v>
      </c>
      <c r="B2553" t="s">
        <v>9528</v>
      </c>
      <c r="C2553" t="s">
        <v>9529</v>
      </c>
      <c r="D2553" t="s">
        <v>9530</v>
      </c>
      <c r="E2553" t="s">
        <v>9528</v>
      </c>
      <c r="F2553" t="s">
        <v>28</v>
      </c>
      <c r="G2553" t="s">
        <v>9528</v>
      </c>
      <c r="H2553" t="str">
        <f>"rpl-28"</f>
        <v>rpl-28</v>
      </c>
      <c r="I2553" t="s">
        <v>9530</v>
      </c>
      <c r="J2553">
        <v>17.836305550322699</v>
      </c>
      <c r="K2553">
        <v>17.961786616203</v>
      </c>
      <c r="L2553">
        <v>17.802036155588901</v>
      </c>
      <c r="M2553">
        <v>18.154934677915598</v>
      </c>
      <c r="N2553">
        <v>18.3266053283803</v>
      </c>
      <c r="O2553">
        <v>17.621139911890701</v>
      </c>
      <c r="P2553">
        <v>0.16751719869068901</v>
      </c>
      <c r="Q2553">
        <v>-0.33496994608201802</v>
      </c>
      <c r="R2553">
        <v>0.67000434346339599</v>
      </c>
      <c r="S2553">
        <v>17.681833295748302</v>
      </c>
      <c r="T2553">
        <v>0.70069167796010201</v>
      </c>
      <c r="U2553">
        <v>-6.9021369056609796</v>
      </c>
      <c r="V2553">
        <v>0.492506416604376</v>
      </c>
      <c r="W2553">
        <v>0.64959935661513601</v>
      </c>
      <c r="X2553">
        <v>0</v>
      </c>
      <c r="Y2553">
        <v>0</v>
      </c>
    </row>
    <row r="2554" spans="1:25" x14ac:dyDescent="0.2">
      <c r="A2554" t="s">
        <v>9531</v>
      </c>
      <c r="B2554" t="s">
        <v>9532</v>
      </c>
      <c r="C2554" t="s">
        <v>9533</v>
      </c>
      <c r="D2554" t="s">
        <v>9534</v>
      </c>
      <c r="E2554" t="s">
        <v>9532</v>
      </c>
      <c r="F2554" t="s">
        <v>28</v>
      </c>
      <c r="G2554" t="s">
        <v>9532</v>
      </c>
      <c r="H2554" t="str">
        <f>"mrpl-49"</f>
        <v>mrpl-49</v>
      </c>
      <c r="I2554" t="s">
        <v>9534</v>
      </c>
      <c r="J2554">
        <v>11.631381344952301</v>
      </c>
      <c r="K2554">
        <v>12.1789617829061</v>
      </c>
      <c r="L2554">
        <v>12.238041562214701</v>
      </c>
      <c r="M2554" t="s">
        <v>29</v>
      </c>
      <c r="N2554" t="s">
        <v>29</v>
      </c>
      <c r="O2554">
        <v>12.0521631431338</v>
      </c>
      <c r="P2554">
        <v>3.6034913109418198E-2</v>
      </c>
      <c r="Q2554">
        <v>-0.90249093702201599</v>
      </c>
      <c r="R2554">
        <v>0.97456076324085195</v>
      </c>
      <c r="S2554">
        <v>12.666124952137</v>
      </c>
      <c r="T2554">
        <v>8.3016512450783994E-2</v>
      </c>
      <c r="U2554">
        <v>-6.8090325116064001</v>
      </c>
      <c r="V2554">
        <v>0.93511325753135199</v>
      </c>
      <c r="W2554">
        <v>0.962931103873362</v>
      </c>
      <c r="X2554">
        <v>0</v>
      </c>
      <c r="Y2554">
        <v>0</v>
      </c>
    </row>
    <row r="2555" spans="1:25" x14ac:dyDescent="0.2">
      <c r="A2555" t="s">
        <v>9535</v>
      </c>
      <c r="B2555" t="s">
        <v>9536</v>
      </c>
      <c r="C2555" t="s">
        <v>9537</v>
      </c>
      <c r="D2555" t="s">
        <v>9538</v>
      </c>
      <c r="E2555" t="s">
        <v>9536</v>
      </c>
      <c r="F2555" t="s">
        <v>28</v>
      </c>
      <c r="G2555" t="s">
        <v>9536</v>
      </c>
      <c r="H2555" t="str">
        <f>"mdt-15"</f>
        <v>mdt-15</v>
      </c>
      <c r="I2555" t="s">
        <v>9538</v>
      </c>
      <c r="J2555">
        <v>12.299616769008299</v>
      </c>
      <c r="K2555">
        <v>13.7255339086442</v>
      </c>
      <c r="L2555">
        <v>13.671864224066899</v>
      </c>
      <c r="M2555" t="s">
        <v>29</v>
      </c>
      <c r="N2555">
        <v>13.424531134436201</v>
      </c>
      <c r="O2555">
        <v>12.9256974148384</v>
      </c>
      <c r="P2555">
        <v>-5.72240259358772E-2</v>
      </c>
      <c r="Q2555">
        <v>-0.98922943639055905</v>
      </c>
      <c r="R2555">
        <v>0.87478138451880505</v>
      </c>
      <c r="S2555">
        <v>13.9458216644638</v>
      </c>
      <c r="T2555">
        <v>-0.130229539590345</v>
      </c>
      <c r="U2555">
        <v>-7.0365335162551998</v>
      </c>
      <c r="V2555">
        <v>0.89801869427046699</v>
      </c>
      <c r="W2555">
        <v>0.93932624283677701</v>
      </c>
      <c r="X2555">
        <v>0</v>
      </c>
      <c r="Y2555">
        <v>0</v>
      </c>
    </row>
    <row r="2556" spans="1:25" x14ac:dyDescent="0.2">
      <c r="A2556" t="s">
        <v>9539</v>
      </c>
      <c r="B2556" t="s">
        <v>9540</v>
      </c>
      <c r="C2556" t="s">
        <v>9541</v>
      </c>
      <c r="D2556" t="s">
        <v>9542</v>
      </c>
      <c r="E2556" t="s">
        <v>9540</v>
      </c>
      <c r="F2556" t="s">
        <v>28</v>
      </c>
      <c r="G2556" t="s">
        <v>9540</v>
      </c>
      <c r="H2556" t="str">
        <f>"ran-5"</f>
        <v>ran-5</v>
      </c>
      <c r="I2556" t="s">
        <v>9542</v>
      </c>
      <c r="J2556">
        <v>13.251257869272299</v>
      </c>
      <c r="K2556">
        <v>13.3272240297607</v>
      </c>
      <c r="L2556">
        <v>13.339235410466699</v>
      </c>
      <c r="M2556">
        <v>13.280154925644799</v>
      </c>
      <c r="N2556">
        <v>12.9159358361266</v>
      </c>
      <c r="O2556">
        <v>13.286714742188501</v>
      </c>
      <c r="P2556">
        <v>-0.14497060184659599</v>
      </c>
      <c r="Q2556">
        <v>-0.57623304422412303</v>
      </c>
      <c r="R2556">
        <v>0.28629184053092999</v>
      </c>
      <c r="S2556">
        <v>12.7502258105885</v>
      </c>
      <c r="T2556">
        <v>-0.70653034123001901</v>
      </c>
      <c r="U2556">
        <v>-6.8979418206055296</v>
      </c>
      <c r="V2556">
        <v>0.488956478837338</v>
      </c>
      <c r="W2556">
        <v>0.64703850163162802</v>
      </c>
      <c r="X2556">
        <v>0</v>
      </c>
      <c r="Y2556">
        <v>0</v>
      </c>
    </row>
    <row r="2557" spans="1:25" x14ac:dyDescent="0.2">
      <c r="A2557" t="s">
        <v>9543</v>
      </c>
      <c r="B2557" t="s">
        <v>9544</v>
      </c>
      <c r="C2557" t="s">
        <v>9545</v>
      </c>
      <c r="D2557" t="s">
        <v>9546</v>
      </c>
      <c r="E2557" t="s">
        <v>9544</v>
      </c>
      <c r="F2557" t="s">
        <v>28</v>
      </c>
      <c r="G2557" t="s">
        <v>9544</v>
      </c>
      <c r="H2557" t="str">
        <f>"gldc-1"</f>
        <v>gldc-1</v>
      </c>
      <c r="I2557" t="s">
        <v>9546</v>
      </c>
      <c r="J2557">
        <v>16.564257547878601</v>
      </c>
      <c r="K2557">
        <v>16.401002614649499</v>
      </c>
      <c r="L2557">
        <v>16.568986907223</v>
      </c>
      <c r="M2557">
        <v>17.676776268446702</v>
      </c>
      <c r="N2557">
        <v>17.0697515438201</v>
      </c>
      <c r="O2557">
        <v>15.9251463655816</v>
      </c>
      <c r="P2557">
        <v>0.37914236936577</v>
      </c>
      <c r="Q2557">
        <v>-0.25230989307645202</v>
      </c>
      <c r="R2557">
        <v>1.0105946318079899</v>
      </c>
      <c r="S2557">
        <v>16.576172294722799</v>
      </c>
      <c r="T2557">
        <v>1.26198533825188</v>
      </c>
      <c r="U2557">
        <v>-6.3558444763122397</v>
      </c>
      <c r="V2557">
        <v>0.22315497738210999</v>
      </c>
      <c r="W2557">
        <v>0.38707340691293701</v>
      </c>
      <c r="X2557">
        <v>0</v>
      </c>
      <c r="Y2557">
        <v>0</v>
      </c>
    </row>
    <row r="2558" spans="1:25" x14ac:dyDescent="0.2">
      <c r="A2558" t="s">
        <v>9547</v>
      </c>
      <c r="B2558" t="s">
        <v>9548</v>
      </c>
      <c r="C2558" t="s">
        <v>9549</v>
      </c>
      <c r="D2558" t="s">
        <v>9550</v>
      </c>
      <c r="E2558" t="s">
        <v>9548</v>
      </c>
      <c r="F2558" t="s">
        <v>28</v>
      </c>
      <c r="G2558" t="s">
        <v>9548</v>
      </c>
      <c r="H2558" t="str">
        <f>"asp-4"</f>
        <v>asp-4</v>
      </c>
      <c r="I2558" t="s">
        <v>9550</v>
      </c>
      <c r="J2558">
        <v>12.664437186124699</v>
      </c>
      <c r="K2558">
        <v>12.387981889834499</v>
      </c>
      <c r="L2558">
        <v>12.8725559280527</v>
      </c>
      <c r="M2558" t="s">
        <v>29</v>
      </c>
      <c r="N2558">
        <v>13.391027158336501</v>
      </c>
      <c r="O2558">
        <v>13.2259544377895</v>
      </c>
      <c r="P2558">
        <v>0.66683246339234603</v>
      </c>
      <c r="Q2558">
        <v>-0.23733542571435201</v>
      </c>
      <c r="R2558">
        <v>1.5710003524990399</v>
      </c>
      <c r="S2558">
        <v>12.7004900524925</v>
      </c>
      <c r="T2558">
        <v>1.5642896971490601</v>
      </c>
      <c r="U2558">
        <v>-5.8455572082615603</v>
      </c>
      <c r="V2558">
        <v>0.137438336988666</v>
      </c>
      <c r="W2558">
        <v>0.27445893236004998</v>
      </c>
      <c r="X2558">
        <v>0</v>
      </c>
      <c r="Y2558">
        <v>0</v>
      </c>
    </row>
    <row r="2559" spans="1:25" x14ac:dyDescent="0.2">
      <c r="A2559" t="s">
        <v>9551</v>
      </c>
      <c r="B2559" t="s">
        <v>9552</v>
      </c>
      <c r="C2559" t="s">
        <v>9553</v>
      </c>
      <c r="D2559" t="s">
        <v>9554</v>
      </c>
      <c r="E2559" t="s">
        <v>9552</v>
      </c>
      <c r="F2559" t="s">
        <v>28</v>
      </c>
      <c r="G2559" t="s">
        <v>9552</v>
      </c>
      <c r="H2559" t="str">
        <f>"miz-1"</f>
        <v>miz-1</v>
      </c>
      <c r="I2559" t="s">
        <v>9554</v>
      </c>
      <c r="J2559">
        <v>13.239225343601101</v>
      </c>
      <c r="K2559">
        <v>13.3495867558089</v>
      </c>
      <c r="L2559">
        <v>13.2386049248937</v>
      </c>
      <c r="M2559" t="s">
        <v>29</v>
      </c>
      <c r="N2559">
        <v>13.1134703488925</v>
      </c>
      <c r="O2559">
        <v>12.5277948299768</v>
      </c>
      <c r="P2559">
        <v>-0.455173085333271</v>
      </c>
      <c r="Q2559">
        <v>-0.91735655699580398</v>
      </c>
      <c r="R2559">
        <v>7.0103863292614301E-3</v>
      </c>
      <c r="S2559">
        <v>13.220679518182299</v>
      </c>
      <c r="T2559">
        <v>-2.0787974564465199</v>
      </c>
      <c r="U2559">
        <v>-5.02463546443769</v>
      </c>
      <c r="V2559">
        <v>5.3189313122744997E-2</v>
      </c>
      <c r="W2559">
        <v>0.14198270450428399</v>
      </c>
      <c r="X2559">
        <v>0</v>
      </c>
      <c r="Y2559">
        <v>0</v>
      </c>
    </row>
    <row r="2560" spans="1:25" x14ac:dyDescent="0.2">
      <c r="A2560" t="s">
        <v>9555</v>
      </c>
      <c r="B2560" t="s">
        <v>9556</v>
      </c>
      <c r="C2560" t="s">
        <v>9557</v>
      </c>
      <c r="D2560" t="s">
        <v>9558</v>
      </c>
      <c r="E2560" t="s">
        <v>9556</v>
      </c>
      <c r="F2560" t="s">
        <v>28</v>
      </c>
      <c r="G2560" t="s">
        <v>9556</v>
      </c>
      <c r="H2560" t="str">
        <f>"cra-1"</f>
        <v>cra-1</v>
      </c>
      <c r="I2560" t="s">
        <v>9558</v>
      </c>
      <c r="J2560">
        <v>13.0844148028795</v>
      </c>
      <c r="K2560">
        <v>12.531929434141899</v>
      </c>
      <c r="L2560">
        <v>12.741818136514301</v>
      </c>
      <c r="M2560">
        <v>12.203357647044401</v>
      </c>
      <c r="N2560">
        <v>12.501776025921201</v>
      </c>
      <c r="O2560">
        <v>12.844776844937501</v>
      </c>
      <c r="P2560">
        <v>-0.26941728521088998</v>
      </c>
      <c r="Q2560">
        <v>-0.76159841694025199</v>
      </c>
      <c r="R2560">
        <v>0.222763846518471</v>
      </c>
      <c r="S2560">
        <v>13.0527308588889</v>
      </c>
      <c r="T2560">
        <v>-1.15051691539243</v>
      </c>
      <c r="U2560">
        <v>-6.4862764401470496</v>
      </c>
      <c r="V2560">
        <v>0.265073747423895</v>
      </c>
      <c r="W2560">
        <v>0.43189032495375201</v>
      </c>
      <c r="X2560">
        <v>0</v>
      </c>
      <c r="Y2560">
        <v>0</v>
      </c>
    </row>
    <row r="2561" spans="1:25" x14ac:dyDescent="0.2">
      <c r="A2561" t="s">
        <v>9559</v>
      </c>
      <c r="B2561" t="s">
        <v>9560</v>
      </c>
      <c r="C2561" t="s">
        <v>9561</v>
      </c>
      <c r="D2561" t="s">
        <v>9562</v>
      </c>
      <c r="E2561" t="s">
        <v>9560</v>
      </c>
      <c r="F2561" t="s">
        <v>28</v>
      </c>
      <c r="G2561" t="s">
        <v>9560</v>
      </c>
      <c r="H2561" t="str">
        <f>"R151.6"</f>
        <v>R151.6</v>
      </c>
      <c r="I2561" t="s">
        <v>9562</v>
      </c>
      <c r="J2561">
        <v>12.5268607565921</v>
      </c>
      <c r="K2561">
        <v>13.1834162755235</v>
      </c>
      <c r="L2561">
        <v>13.2991701936296</v>
      </c>
      <c r="M2561">
        <v>12.944343599953401</v>
      </c>
      <c r="N2561">
        <v>13.2629001207406</v>
      </c>
      <c r="O2561">
        <v>13.133643607863</v>
      </c>
      <c r="P2561">
        <v>0.110480034270592</v>
      </c>
      <c r="Q2561">
        <v>-0.32454250204609603</v>
      </c>
      <c r="R2561">
        <v>0.54550257058728102</v>
      </c>
      <c r="S2561">
        <v>13.4453623089671</v>
      </c>
      <c r="T2561">
        <v>0.53378277766417104</v>
      </c>
      <c r="U2561">
        <v>-7.0079608122070001</v>
      </c>
      <c r="V2561">
        <v>0.60006027032137399</v>
      </c>
      <c r="W2561">
        <v>0.73337536468715003</v>
      </c>
      <c r="X2561">
        <v>0</v>
      </c>
      <c r="Y2561">
        <v>0</v>
      </c>
    </row>
    <row r="2562" spans="1:25" x14ac:dyDescent="0.2">
      <c r="A2562" t="s">
        <v>9563</v>
      </c>
      <c r="B2562" t="s">
        <v>9564</v>
      </c>
      <c r="C2562" t="s">
        <v>14513</v>
      </c>
      <c r="D2562" t="s">
        <v>9565</v>
      </c>
      <c r="E2562" t="s">
        <v>9564</v>
      </c>
      <c r="F2562" t="s">
        <v>28</v>
      </c>
      <c r="G2562" t="s">
        <v>9564</v>
      </c>
      <c r="H2562" t="str">
        <f>"R166.2"</f>
        <v>R166.2</v>
      </c>
      <c r="I2562" t="s">
        <v>9565</v>
      </c>
      <c r="J2562">
        <v>13.5031683520365</v>
      </c>
      <c r="K2562">
        <v>13.6209632164318</v>
      </c>
      <c r="L2562">
        <v>13.7442108761083</v>
      </c>
      <c r="M2562">
        <v>13.3507956405704</v>
      </c>
      <c r="N2562">
        <v>13.4058559799325</v>
      </c>
      <c r="O2562">
        <v>13.610969936675501</v>
      </c>
      <c r="P2562">
        <v>-0.16690696246604</v>
      </c>
      <c r="Q2562">
        <v>-0.58831453025243396</v>
      </c>
      <c r="R2562">
        <v>0.25450060532035401</v>
      </c>
      <c r="S2562">
        <v>13.735179341921301</v>
      </c>
      <c r="T2562">
        <v>-0.83246241790618902</v>
      </c>
      <c r="U2562">
        <v>-6.7995298113715901</v>
      </c>
      <c r="V2562">
        <v>0.41611987914335202</v>
      </c>
      <c r="W2562">
        <v>0.58284471665183402</v>
      </c>
      <c r="X2562">
        <v>0</v>
      </c>
      <c r="Y2562">
        <v>0</v>
      </c>
    </row>
    <row r="2563" spans="1:25" x14ac:dyDescent="0.2">
      <c r="A2563" t="s">
        <v>9566</v>
      </c>
      <c r="B2563" t="s">
        <v>9567</v>
      </c>
      <c r="C2563" t="s">
        <v>9568</v>
      </c>
      <c r="D2563" t="s">
        <v>9569</v>
      </c>
      <c r="E2563" t="s">
        <v>9567</v>
      </c>
      <c r="F2563" t="s">
        <v>28</v>
      </c>
      <c r="G2563" t="s">
        <v>9567</v>
      </c>
      <c r="H2563" t="str">
        <f>"R166.3"</f>
        <v>R166.3</v>
      </c>
      <c r="I2563" t="s">
        <v>9569</v>
      </c>
      <c r="J2563">
        <v>12.5102134323038</v>
      </c>
      <c r="K2563" t="s">
        <v>29</v>
      </c>
      <c r="L2563">
        <v>12.7268085439167</v>
      </c>
      <c r="M2563" t="s">
        <v>29</v>
      </c>
      <c r="N2563" t="s">
        <v>29</v>
      </c>
      <c r="O2563" t="s">
        <v>29</v>
      </c>
      <c r="P2563" t="s">
        <v>29</v>
      </c>
      <c r="Q2563" t="s">
        <v>29</v>
      </c>
      <c r="R2563" t="s">
        <v>29</v>
      </c>
      <c r="S2563">
        <v>12.415779860060599</v>
      </c>
      <c r="T2563" t="s">
        <v>29</v>
      </c>
      <c r="U2563" t="s">
        <v>29</v>
      </c>
      <c r="V2563" t="s">
        <v>29</v>
      </c>
      <c r="W2563" t="s">
        <v>29</v>
      </c>
      <c r="X2563" t="s">
        <v>29</v>
      </c>
      <c r="Y2563" t="s">
        <v>29</v>
      </c>
    </row>
    <row r="2564" spans="1:25" x14ac:dyDescent="0.2">
      <c r="A2564" t="s">
        <v>9570</v>
      </c>
      <c r="B2564" t="s">
        <v>9571</v>
      </c>
      <c r="C2564" t="s">
        <v>9572</v>
      </c>
      <c r="D2564" t="s">
        <v>9573</v>
      </c>
      <c r="E2564" t="s">
        <v>9571</v>
      </c>
      <c r="F2564" t="s">
        <v>28</v>
      </c>
      <c r="G2564" t="s">
        <v>9571</v>
      </c>
      <c r="H2564" t="str">
        <f>"pro-1"</f>
        <v>pro-1</v>
      </c>
      <c r="I2564" t="s">
        <v>9573</v>
      </c>
      <c r="J2564">
        <v>12.8176349833471</v>
      </c>
      <c r="K2564">
        <v>12.9765511962802</v>
      </c>
      <c r="L2564">
        <v>12.936150674967999</v>
      </c>
      <c r="M2564" t="s">
        <v>29</v>
      </c>
      <c r="N2564">
        <v>12.987058155429899</v>
      </c>
      <c r="O2564">
        <v>11.7616649761448</v>
      </c>
      <c r="P2564">
        <v>-0.535750719077701</v>
      </c>
      <c r="Q2564">
        <v>-1.184900035641</v>
      </c>
      <c r="R2564">
        <v>0.113398597485599</v>
      </c>
      <c r="S2564">
        <v>12.753196976234801</v>
      </c>
      <c r="T2564">
        <v>-1.7420803077474001</v>
      </c>
      <c r="U2564">
        <v>-5.5792946456864101</v>
      </c>
      <c r="V2564">
        <v>9.9667505203814094E-2</v>
      </c>
      <c r="W2564">
        <v>0.21676762939899599</v>
      </c>
      <c r="X2564">
        <v>0</v>
      </c>
      <c r="Y2564">
        <v>0</v>
      </c>
    </row>
    <row r="2565" spans="1:25" x14ac:dyDescent="0.2">
      <c r="A2565" t="s">
        <v>9574</v>
      </c>
      <c r="B2565" t="s">
        <v>9575</v>
      </c>
      <c r="C2565" t="s">
        <v>14514</v>
      </c>
      <c r="D2565" t="s">
        <v>9576</v>
      </c>
      <c r="E2565" t="s">
        <v>9575</v>
      </c>
      <c r="F2565" t="s">
        <v>28</v>
      </c>
      <c r="G2565" t="s">
        <v>9575</v>
      </c>
      <c r="H2565" t="str">
        <f>"R186.3"</f>
        <v>R186.3</v>
      </c>
      <c r="I2565" t="s">
        <v>9576</v>
      </c>
      <c r="J2565">
        <v>13.770322835393699</v>
      </c>
      <c r="K2565">
        <v>13.684077058863499</v>
      </c>
      <c r="L2565">
        <v>13.6072506002388</v>
      </c>
      <c r="M2565">
        <v>13.505078509096499</v>
      </c>
      <c r="N2565">
        <v>13.5785239002122</v>
      </c>
      <c r="O2565">
        <v>13.6878600730094</v>
      </c>
      <c r="P2565">
        <v>-9.6729337392643402E-2</v>
      </c>
      <c r="Q2565">
        <v>-0.44253256975696698</v>
      </c>
      <c r="R2565">
        <v>0.24907389497168</v>
      </c>
      <c r="S2565">
        <v>13.3509139196953</v>
      </c>
      <c r="T2565">
        <v>-0.58792466107845098</v>
      </c>
      <c r="U2565">
        <v>-6.9766444893067403</v>
      </c>
      <c r="V2565">
        <v>0.56392938901110401</v>
      </c>
      <c r="W2565">
        <v>0.70598976610693398</v>
      </c>
      <c r="X2565">
        <v>0</v>
      </c>
      <c r="Y2565">
        <v>0</v>
      </c>
    </row>
    <row r="2566" spans="1:25" x14ac:dyDescent="0.2">
      <c r="A2566" t="s">
        <v>9577</v>
      </c>
      <c r="B2566" t="s">
        <v>9578</v>
      </c>
      <c r="C2566" t="s">
        <v>14515</v>
      </c>
      <c r="D2566" t="s">
        <v>412</v>
      </c>
      <c r="E2566" t="s">
        <v>9578</v>
      </c>
      <c r="F2566" t="s">
        <v>28</v>
      </c>
      <c r="G2566" t="s">
        <v>9578</v>
      </c>
      <c r="H2566" t="str">
        <f>"R31.2"</f>
        <v>R31.2</v>
      </c>
      <c r="I2566" t="s">
        <v>412</v>
      </c>
      <c r="J2566" t="s">
        <v>29</v>
      </c>
      <c r="K2566" t="s">
        <v>29</v>
      </c>
      <c r="L2566" t="s">
        <v>29</v>
      </c>
      <c r="M2566" t="s">
        <v>29</v>
      </c>
      <c r="N2566">
        <v>13.1573961903644</v>
      </c>
      <c r="O2566">
        <v>13.8311966190465</v>
      </c>
      <c r="P2566" t="s">
        <v>29</v>
      </c>
      <c r="Q2566" t="s">
        <v>29</v>
      </c>
      <c r="R2566" t="s">
        <v>29</v>
      </c>
      <c r="S2566">
        <v>13.4713410570762</v>
      </c>
      <c r="T2566" t="s">
        <v>29</v>
      </c>
      <c r="U2566" t="s">
        <v>29</v>
      </c>
      <c r="V2566" t="s">
        <v>29</v>
      </c>
      <c r="W2566" t="s">
        <v>29</v>
      </c>
      <c r="X2566" t="s">
        <v>29</v>
      </c>
      <c r="Y2566" t="s">
        <v>29</v>
      </c>
    </row>
    <row r="2567" spans="1:25" x14ac:dyDescent="0.2">
      <c r="A2567" t="s">
        <v>9579</v>
      </c>
      <c r="B2567" t="s">
        <v>9580</v>
      </c>
      <c r="C2567" t="s">
        <v>9581</v>
      </c>
      <c r="D2567" t="s">
        <v>9582</v>
      </c>
      <c r="E2567" t="s">
        <v>9580</v>
      </c>
      <c r="F2567" t="s">
        <v>28</v>
      </c>
      <c r="G2567" t="s">
        <v>9580</v>
      </c>
      <c r="H2567" t="str">
        <f>"R53.4"</f>
        <v>R53.4</v>
      </c>
      <c r="I2567" t="s">
        <v>9582</v>
      </c>
      <c r="J2567">
        <v>17.642868988276099</v>
      </c>
      <c r="K2567">
        <v>17.509350836156099</v>
      </c>
      <c r="L2567">
        <v>17.5584159835457</v>
      </c>
      <c r="M2567">
        <v>17.810619100368999</v>
      </c>
      <c r="N2567">
        <v>17.647015728825899</v>
      </c>
      <c r="O2567">
        <v>16.861812765516799</v>
      </c>
      <c r="P2567">
        <v>-0.13039607108875001</v>
      </c>
      <c r="Q2567">
        <v>-0.58763037653139605</v>
      </c>
      <c r="R2567">
        <v>0.32683823435389597</v>
      </c>
      <c r="S2567">
        <v>17.548609781461199</v>
      </c>
      <c r="T2567">
        <v>-0.59940203344412502</v>
      </c>
      <c r="U2567">
        <v>-6.9696318909537398</v>
      </c>
      <c r="V2567">
        <v>0.55641843269986002</v>
      </c>
      <c r="W2567">
        <v>0.69896211473422298</v>
      </c>
      <c r="X2567">
        <v>0</v>
      </c>
      <c r="Y2567">
        <v>0</v>
      </c>
    </row>
    <row r="2568" spans="1:25" x14ac:dyDescent="0.2">
      <c r="A2568" t="s">
        <v>9583</v>
      </c>
      <c r="B2568" t="s">
        <v>9584</v>
      </c>
      <c r="C2568" t="s">
        <v>9585</v>
      </c>
      <c r="D2568" t="s">
        <v>9586</v>
      </c>
      <c r="E2568" t="s">
        <v>9584</v>
      </c>
      <c r="F2568" t="s">
        <v>28</v>
      </c>
      <c r="G2568" t="s">
        <v>9584</v>
      </c>
      <c r="H2568" t="str">
        <f>"R74.7"</f>
        <v>R74.7</v>
      </c>
      <c r="I2568" t="s">
        <v>9586</v>
      </c>
      <c r="J2568" t="s">
        <v>29</v>
      </c>
      <c r="K2568" t="s">
        <v>29</v>
      </c>
      <c r="L2568" t="s">
        <v>29</v>
      </c>
      <c r="M2568" t="s">
        <v>29</v>
      </c>
      <c r="N2568" t="s">
        <v>29</v>
      </c>
      <c r="O2568" t="s">
        <v>29</v>
      </c>
      <c r="P2568" t="s">
        <v>29</v>
      </c>
      <c r="Q2568" t="s">
        <v>29</v>
      </c>
      <c r="R2568" t="s">
        <v>29</v>
      </c>
      <c r="S2568">
        <v>11.9855463174598</v>
      </c>
      <c r="T2568" t="s">
        <v>29</v>
      </c>
      <c r="U2568" t="s">
        <v>29</v>
      </c>
      <c r="V2568" t="s">
        <v>29</v>
      </c>
      <c r="W2568" t="s">
        <v>29</v>
      </c>
      <c r="X2568" t="s">
        <v>29</v>
      </c>
      <c r="Y2568" t="s">
        <v>29</v>
      </c>
    </row>
    <row r="2569" spans="1:25" x14ac:dyDescent="0.2">
      <c r="A2569" t="s">
        <v>9587</v>
      </c>
      <c r="B2569" t="s">
        <v>9588</v>
      </c>
      <c r="C2569" t="s">
        <v>9589</v>
      </c>
      <c r="D2569" t="s">
        <v>9590</v>
      </c>
      <c r="E2569" t="s">
        <v>9588</v>
      </c>
      <c r="F2569" t="s">
        <v>28</v>
      </c>
      <c r="G2569" t="s">
        <v>9588</v>
      </c>
      <c r="H2569" t="str">
        <f>"tra-3"</f>
        <v>tra-3</v>
      </c>
      <c r="I2569" t="s">
        <v>9590</v>
      </c>
      <c r="J2569">
        <v>13.2837023801687</v>
      </c>
      <c r="K2569">
        <v>13.529391297078201</v>
      </c>
      <c r="L2569">
        <v>13.401348395034599</v>
      </c>
      <c r="M2569">
        <v>11.8277152649648</v>
      </c>
      <c r="N2569">
        <v>12.0519903780921</v>
      </c>
      <c r="O2569">
        <v>11.823112607819599</v>
      </c>
      <c r="P2569">
        <v>-1.50387460713501</v>
      </c>
      <c r="Q2569">
        <v>-1.8857024253288801</v>
      </c>
      <c r="R2569">
        <v>-1.1220467889411501</v>
      </c>
      <c r="S2569">
        <v>13.117217194293801</v>
      </c>
      <c r="T2569">
        <v>-8.2782125602664198</v>
      </c>
      <c r="U2569">
        <v>7.5078238760757898</v>
      </c>
      <c r="V2569" s="2">
        <v>1.56720664509542E-7</v>
      </c>
      <c r="W2569" s="2">
        <v>1.00403434415135E-5</v>
      </c>
      <c r="X2569">
        <v>-1</v>
      </c>
      <c r="Y2569">
        <v>-1</v>
      </c>
    </row>
    <row r="2570" spans="1:25" x14ac:dyDescent="0.2">
      <c r="A2570" t="s">
        <v>9591</v>
      </c>
      <c r="B2570" t="s">
        <v>9592</v>
      </c>
      <c r="C2570" t="s">
        <v>9593</v>
      </c>
      <c r="D2570" t="s">
        <v>9594</v>
      </c>
      <c r="E2570" t="s">
        <v>9592</v>
      </c>
      <c r="F2570" t="s">
        <v>28</v>
      </c>
      <c r="G2570" t="s">
        <v>9592</v>
      </c>
      <c r="H2570" t="str">
        <f>"hrp-1"</f>
        <v>hrp-1</v>
      </c>
      <c r="I2570" t="s">
        <v>9594</v>
      </c>
      <c r="J2570">
        <v>13.4155172128691</v>
      </c>
      <c r="K2570">
        <v>13.9506185422921</v>
      </c>
      <c r="L2570">
        <v>13.547363620504999</v>
      </c>
      <c r="M2570">
        <v>13.850508788403401</v>
      </c>
      <c r="N2570">
        <v>13.9269747726959</v>
      </c>
      <c r="O2570">
        <v>13.651444699784999</v>
      </c>
      <c r="P2570">
        <v>0.17180962840603101</v>
      </c>
      <c r="Q2570">
        <v>-0.54003970670078605</v>
      </c>
      <c r="R2570">
        <v>0.88365896351284801</v>
      </c>
      <c r="S2570">
        <v>13.719059871035</v>
      </c>
      <c r="T2570">
        <v>0.50728489157789003</v>
      </c>
      <c r="U2570">
        <v>-7.02222044917026</v>
      </c>
      <c r="V2570">
        <v>0.61814943866615601</v>
      </c>
      <c r="W2570">
        <v>0.74506601053135502</v>
      </c>
      <c r="X2570">
        <v>0</v>
      </c>
      <c r="Y2570">
        <v>0</v>
      </c>
    </row>
    <row r="2571" spans="1:25" x14ac:dyDescent="0.2">
      <c r="A2571" t="s">
        <v>9595</v>
      </c>
      <c r="B2571" t="s">
        <v>9596</v>
      </c>
      <c r="C2571" t="s">
        <v>9597</v>
      </c>
      <c r="D2571" t="s">
        <v>9598</v>
      </c>
      <c r="E2571" t="s">
        <v>9596</v>
      </c>
      <c r="F2571" t="s">
        <v>28</v>
      </c>
      <c r="G2571" t="s">
        <v>9596</v>
      </c>
      <c r="H2571" t="str">
        <f>"rho-1"</f>
        <v>rho-1</v>
      </c>
      <c r="I2571" t="s">
        <v>9598</v>
      </c>
      <c r="J2571">
        <v>14.083841502460601</v>
      </c>
      <c r="K2571">
        <v>14.150501320912801</v>
      </c>
      <c r="L2571">
        <v>13.8660960926335</v>
      </c>
      <c r="M2571">
        <v>13.6452254670202</v>
      </c>
      <c r="N2571">
        <v>13.412577226783601</v>
      </c>
      <c r="O2571">
        <v>13.649259496295199</v>
      </c>
      <c r="P2571">
        <v>-0.46445890863598299</v>
      </c>
      <c r="Q2571">
        <v>-0.88242336221490503</v>
      </c>
      <c r="R2571">
        <v>-4.64944550570612E-2</v>
      </c>
      <c r="S2571">
        <v>13.731648036810901</v>
      </c>
      <c r="T2571">
        <v>-2.3356107333552001</v>
      </c>
      <c r="U2571">
        <v>-4.6596749493112997</v>
      </c>
      <c r="V2571">
        <v>3.1357271065233797E-2</v>
      </c>
      <c r="W2571">
        <v>9.9472419622437205E-2</v>
      </c>
      <c r="X2571">
        <v>0</v>
      </c>
      <c r="Y2571">
        <v>0</v>
      </c>
    </row>
    <row r="2572" spans="1:25" x14ac:dyDescent="0.2">
      <c r="A2572" t="s">
        <v>9599</v>
      </c>
      <c r="B2572" t="s">
        <v>9600</v>
      </c>
      <c r="C2572" t="s">
        <v>14516</v>
      </c>
      <c r="D2572" t="s">
        <v>9601</v>
      </c>
      <c r="E2572" t="s">
        <v>9600</v>
      </c>
      <c r="F2572" t="s">
        <v>28</v>
      </c>
      <c r="G2572" t="s">
        <v>9600</v>
      </c>
      <c r="H2572" t="str">
        <f>"T01B7.5"</f>
        <v>T01B7.5</v>
      </c>
      <c r="I2572" t="s">
        <v>9601</v>
      </c>
      <c r="J2572" t="s">
        <v>29</v>
      </c>
      <c r="K2572" t="s">
        <v>29</v>
      </c>
      <c r="L2572" t="s">
        <v>29</v>
      </c>
      <c r="M2572" t="s">
        <v>29</v>
      </c>
      <c r="N2572">
        <v>12.8917855102821</v>
      </c>
      <c r="O2572">
        <v>13.1611022037747</v>
      </c>
      <c r="P2572" t="s">
        <v>29</v>
      </c>
      <c r="Q2572" t="s">
        <v>29</v>
      </c>
      <c r="R2572" t="s">
        <v>29</v>
      </c>
      <c r="S2572">
        <v>12.4472430686669</v>
      </c>
      <c r="T2572" t="s">
        <v>29</v>
      </c>
      <c r="U2572" t="s">
        <v>29</v>
      </c>
      <c r="V2572" t="s">
        <v>29</v>
      </c>
      <c r="W2572" t="s">
        <v>29</v>
      </c>
      <c r="X2572" t="s">
        <v>29</v>
      </c>
      <c r="Y2572" t="s">
        <v>29</v>
      </c>
    </row>
    <row r="2573" spans="1:25" x14ac:dyDescent="0.2">
      <c r="A2573" t="s">
        <v>9602</v>
      </c>
      <c r="B2573" t="s">
        <v>9603</v>
      </c>
      <c r="C2573" t="s">
        <v>9604</v>
      </c>
      <c r="D2573" t="s">
        <v>9605</v>
      </c>
      <c r="E2573" t="s">
        <v>9603</v>
      </c>
      <c r="F2573" t="s">
        <v>28</v>
      </c>
      <c r="G2573" t="s">
        <v>9603</v>
      </c>
      <c r="H2573" t="str">
        <f>"trcs-2"</f>
        <v>trcs-2</v>
      </c>
      <c r="I2573" t="s">
        <v>9605</v>
      </c>
      <c r="J2573">
        <v>13.671075495182199</v>
      </c>
      <c r="K2573">
        <v>13.7925760897886</v>
      </c>
      <c r="L2573">
        <v>13.921775922683899</v>
      </c>
      <c r="M2573" t="s">
        <v>29</v>
      </c>
      <c r="N2573" t="s">
        <v>29</v>
      </c>
      <c r="O2573">
        <v>14.4212146352662</v>
      </c>
      <c r="P2573">
        <v>0.62607213271459405</v>
      </c>
      <c r="Q2573">
        <v>-0.100305637790827</v>
      </c>
      <c r="R2573">
        <v>1.3524499032200099</v>
      </c>
      <c r="S2573">
        <v>14.4857918636101</v>
      </c>
      <c r="T2573">
        <v>1.8281480270833299</v>
      </c>
      <c r="U2573">
        <v>-5.22162857388098</v>
      </c>
      <c r="V2573">
        <v>8.6357116736548001E-2</v>
      </c>
      <c r="W2573">
        <v>0.197435549280533</v>
      </c>
      <c r="X2573">
        <v>0</v>
      </c>
      <c r="Y2573">
        <v>0</v>
      </c>
    </row>
    <row r="2574" spans="1:25" x14ac:dyDescent="0.2">
      <c r="A2574" t="s">
        <v>9606</v>
      </c>
      <c r="B2574" t="s">
        <v>9607</v>
      </c>
      <c r="C2574" t="s">
        <v>9608</v>
      </c>
      <c r="D2574" t="s">
        <v>9609</v>
      </c>
      <c r="E2574" t="s">
        <v>9607</v>
      </c>
      <c r="F2574" t="s">
        <v>28</v>
      </c>
      <c r="G2574" t="s">
        <v>9607</v>
      </c>
      <c r="H2574" t="str">
        <f>"fib-1"</f>
        <v>fib-1</v>
      </c>
      <c r="I2574" t="s">
        <v>9609</v>
      </c>
      <c r="J2574">
        <v>20.566636590562499</v>
      </c>
      <c r="K2574">
        <v>20.5720996150046</v>
      </c>
      <c r="L2574">
        <v>20.898950814189998</v>
      </c>
      <c r="M2574">
        <v>21.537828577511899</v>
      </c>
      <c r="N2574">
        <v>21.039929636034501</v>
      </c>
      <c r="O2574">
        <v>20.095318135350801</v>
      </c>
      <c r="P2574">
        <v>0.21179644304671499</v>
      </c>
      <c r="Q2574">
        <v>-0.32812368240309903</v>
      </c>
      <c r="R2574">
        <v>0.75171656849653001</v>
      </c>
      <c r="S2574">
        <v>20.4353350347569</v>
      </c>
      <c r="T2574">
        <v>0.82448291257267203</v>
      </c>
      <c r="U2574">
        <v>-6.8062105846833401</v>
      </c>
      <c r="V2574">
        <v>0.420519581106851</v>
      </c>
      <c r="W2574">
        <v>0.58722825014337898</v>
      </c>
      <c r="X2574">
        <v>0</v>
      </c>
      <c r="Y2574">
        <v>0</v>
      </c>
    </row>
    <row r="2575" spans="1:25" x14ac:dyDescent="0.2">
      <c r="A2575" t="s">
        <v>9610</v>
      </c>
      <c r="B2575" t="s">
        <v>9611</v>
      </c>
      <c r="C2575" t="s">
        <v>9612</v>
      </c>
      <c r="D2575" t="s">
        <v>9613</v>
      </c>
      <c r="E2575" t="s">
        <v>9611</v>
      </c>
      <c r="F2575" t="s">
        <v>28</v>
      </c>
      <c r="G2575" t="s">
        <v>9611</v>
      </c>
      <c r="H2575" t="str">
        <f>"rps-16"</f>
        <v>rps-16</v>
      </c>
      <c r="I2575" t="s">
        <v>9613</v>
      </c>
      <c r="J2575">
        <v>17.5144074861681</v>
      </c>
      <c r="K2575">
        <v>17.542746667160799</v>
      </c>
      <c r="L2575">
        <v>17.912243019963899</v>
      </c>
      <c r="M2575">
        <v>17.183911446704801</v>
      </c>
      <c r="N2575">
        <v>16.795994334553399</v>
      </c>
      <c r="O2575">
        <v>16.5942811623759</v>
      </c>
      <c r="P2575">
        <v>-0.79840340988620895</v>
      </c>
      <c r="Q2575">
        <v>-1.3729622301386499</v>
      </c>
      <c r="R2575">
        <v>-0.22384458963376799</v>
      </c>
      <c r="S2575">
        <v>17.526461355677402</v>
      </c>
      <c r="T2575">
        <v>-2.9206559475079001</v>
      </c>
      <c r="U2575">
        <v>-3.5004956047404199</v>
      </c>
      <c r="V2575">
        <v>9.1688310824018897E-3</v>
      </c>
      <c r="W2575">
        <v>4.3026345859615199E-2</v>
      </c>
      <c r="X2575">
        <v>0</v>
      </c>
      <c r="Y2575">
        <v>0</v>
      </c>
    </row>
    <row r="2576" spans="1:25" x14ac:dyDescent="0.2">
      <c r="A2576" t="s">
        <v>9614</v>
      </c>
      <c r="B2576" t="s">
        <v>9615</v>
      </c>
      <c r="C2576" t="s">
        <v>9616</v>
      </c>
      <c r="D2576" t="s">
        <v>4383</v>
      </c>
      <c r="E2576" t="s">
        <v>9615</v>
      </c>
      <c r="F2576" t="s">
        <v>28</v>
      </c>
      <c r="G2576" t="s">
        <v>9615</v>
      </c>
      <c r="H2576" t="str">
        <f>"mut-15"</f>
        <v>mut-15</v>
      </c>
      <c r="I2576" t="s">
        <v>4383</v>
      </c>
      <c r="J2576">
        <v>12.404954273890899</v>
      </c>
      <c r="K2576" t="s">
        <v>29</v>
      </c>
      <c r="L2576" t="s">
        <v>29</v>
      </c>
      <c r="M2576" t="s">
        <v>29</v>
      </c>
      <c r="N2576" t="s">
        <v>29</v>
      </c>
      <c r="O2576" t="s">
        <v>29</v>
      </c>
      <c r="P2576" t="s">
        <v>29</v>
      </c>
      <c r="Q2576" t="s">
        <v>29</v>
      </c>
      <c r="R2576" t="s">
        <v>29</v>
      </c>
      <c r="S2576">
        <v>12.129347875060301</v>
      </c>
      <c r="T2576" t="s">
        <v>29</v>
      </c>
      <c r="U2576" t="s">
        <v>29</v>
      </c>
      <c r="V2576" t="s">
        <v>29</v>
      </c>
      <c r="W2576" t="s">
        <v>29</v>
      </c>
      <c r="X2576" t="s">
        <v>29</v>
      </c>
      <c r="Y2576" t="s">
        <v>29</v>
      </c>
    </row>
    <row r="2577" spans="1:25" x14ac:dyDescent="0.2">
      <c r="A2577" t="s">
        <v>9617</v>
      </c>
      <c r="B2577" t="s">
        <v>9618</v>
      </c>
      <c r="C2577" t="s">
        <v>9619</v>
      </c>
      <c r="D2577" t="s">
        <v>9620</v>
      </c>
      <c r="E2577" t="s">
        <v>9618</v>
      </c>
      <c r="F2577" t="s">
        <v>28</v>
      </c>
      <c r="G2577" t="s">
        <v>9618</v>
      </c>
      <c r="H2577" t="str">
        <f>"got-1.2"</f>
        <v>got-1.2</v>
      </c>
      <c r="I2577" t="s">
        <v>9620</v>
      </c>
      <c r="J2577">
        <v>13.851728637053</v>
      </c>
      <c r="K2577">
        <v>13.477848895881801</v>
      </c>
      <c r="L2577">
        <v>13.625221662801501</v>
      </c>
      <c r="M2577">
        <v>13.4270894549385</v>
      </c>
      <c r="N2577">
        <v>13.0648052458048</v>
      </c>
      <c r="O2577">
        <v>12.617360132774699</v>
      </c>
      <c r="P2577">
        <v>-0.61518145407279001</v>
      </c>
      <c r="Q2577">
        <v>-1.29790258007736</v>
      </c>
      <c r="R2577">
        <v>6.7539671931777803E-2</v>
      </c>
      <c r="S2577">
        <v>13.3656536987335</v>
      </c>
      <c r="T2577">
        <v>-1.8938797726187899</v>
      </c>
      <c r="U2577">
        <v>-5.4416792903167703</v>
      </c>
      <c r="V2577">
        <v>7.45226528000862E-2</v>
      </c>
      <c r="W2577">
        <v>0.17884222948033701</v>
      </c>
      <c r="X2577">
        <v>0</v>
      </c>
      <c r="Y2577">
        <v>0</v>
      </c>
    </row>
    <row r="2578" spans="1:25" x14ac:dyDescent="0.2">
      <c r="A2578" t="s">
        <v>9621</v>
      </c>
      <c r="B2578" t="s">
        <v>9622</v>
      </c>
      <c r="C2578" t="s">
        <v>9623</v>
      </c>
      <c r="D2578" t="s">
        <v>9624</v>
      </c>
      <c r="E2578" t="s">
        <v>9622</v>
      </c>
      <c r="F2578" t="s">
        <v>28</v>
      </c>
      <c r="G2578" t="s">
        <v>9622</v>
      </c>
      <c r="H2578" t="str">
        <f>"plc-3"</f>
        <v>plc-3</v>
      </c>
      <c r="I2578" t="s">
        <v>9624</v>
      </c>
      <c r="J2578">
        <v>12.1779015459213</v>
      </c>
      <c r="K2578">
        <v>12.5066963707581</v>
      </c>
      <c r="L2578">
        <v>11.9663194381986</v>
      </c>
      <c r="M2578" t="s">
        <v>29</v>
      </c>
      <c r="N2578" t="s">
        <v>29</v>
      </c>
      <c r="O2578">
        <v>12.1114405702663</v>
      </c>
      <c r="P2578">
        <v>-0.105531881359729</v>
      </c>
      <c r="Q2578">
        <v>-0.86468211302838904</v>
      </c>
      <c r="R2578">
        <v>0.65361835030893101</v>
      </c>
      <c r="S2578">
        <v>11.9742259528006</v>
      </c>
      <c r="T2578">
        <v>-0.29836497802077799</v>
      </c>
      <c r="U2578">
        <v>-6.7657041551987804</v>
      </c>
      <c r="V2578">
        <v>0.769839784574335</v>
      </c>
      <c r="W2578">
        <v>0.85354320735160505</v>
      </c>
      <c r="X2578">
        <v>0</v>
      </c>
      <c r="Y2578">
        <v>0</v>
      </c>
    </row>
    <row r="2579" spans="1:25" x14ac:dyDescent="0.2">
      <c r="A2579" t="s">
        <v>9625</v>
      </c>
      <c r="B2579" t="s">
        <v>9626</v>
      </c>
      <c r="C2579" t="s">
        <v>9627</v>
      </c>
      <c r="D2579" t="s">
        <v>9628</v>
      </c>
      <c r="E2579" t="s">
        <v>9626</v>
      </c>
      <c r="F2579" t="s">
        <v>28</v>
      </c>
      <c r="G2579" t="s">
        <v>9626</v>
      </c>
      <c r="H2579" t="str">
        <f>"npp-2"</f>
        <v>npp-2</v>
      </c>
      <c r="I2579" t="s">
        <v>9628</v>
      </c>
      <c r="J2579">
        <v>14.122812983522101</v>
      </c>
      <c r="K2579">
        <v>14.2608116895429</v>
      </c>
      <c r="L2579">
        <v>13.7844626116129</v>
      </c>
      <c r="M2579">
        <v>14.125029240719099</v>
      </c>
      <c r="N2579">
        <v>13.823833288045</v>
      </c>
      <c r="O2579">
        <v>14.259483952322601</v>
      </c>
      <c r="P2579">
        <v>1.3419732136277699E-2</v>
      </c>
      <c r="Q2579">
        <v>-0.387800006196513</v>
      </c>
      <c r="R2579">
        <v>0.41463947046906902</v>
      </c>
      <c r="S2579">
        <v>13.9306530526987</v>
      </c>
      <c r="T2579">
        <v>7.02997968507236E-2</v>
      </c>
      <c r="U2579">
        <v>-7.15370888945976</v>
      </c>
      <c r="V2579">
        <v>0.94473470480513899</v>
      </c>
      <c r="W2579">
        <v>0.96820219468574698</v>
      </c>
      <c r="X2579">
        <v>0</v>
      </c>
      <c r="Y2579">
        <v>0</v>
      </c>
    </row>
    <row r="2580" spans="1:25" x14ac:dyDescent="0.2">
      <c r="A2580" t="s">
        <v>9629</v>
      </c>
      <c r="B2580" t="s">
        <v>9630</v>
      </c>
      <c r="C2580" t="s">
        <v>14517</v>
      </c>
      <c r="D2580" t="s">
        <v>9631</v>
      </c>
      <c r="E2580" t="s">
        <v>9630</v>
      </c>
      <c r="F2580" t="s">
        <v>28</v>
      </c>
      <c r="G2580" t="s">
        <v>9630</v>
      </c>
      <c r="H2580" t="str">
        <f>"T01H3.2"</f>
        <v>T01H3.2</v>
      </c>
      <c r="I2580" t="s">
        <v>9631</v>
      </c>
      <c r="J2580">
        <v>11.0818603481457</v>
      </c>
      <c r="K2580">
        <v>10.9661387358785</v>
      </c>
      <c r="L2580">
        <v>11.940630849654401</v>
      </c>
      <c r="M2580" t="s">
        <v>29</v>
      </c>
      <c r="N2580" t="s">
        <v>29</v>
      </c>
      <c r="O2580">
        <v>11.3184358830748</v>
      </c>
      <c r="P2580">
        <v>-1.11074281514529E-2</v>
      </c>
      <c r="Q2580">
        <v>-1.18322639799102</v>
      </c>
      <c r="R2580">
        <v>1.1610115416881099</v>
      </c>
      <c r="S2580">
        <v>11.5584183413508</v>
      </c>
      <c r="T2580">
        <v>-2.0099782029469399E-2</v>
      </c>
      <c r="U2580">
        <v>-6.8124884413436604</v>
      </c>
      <c r="V2580">
        <v>0.984213924940045</v>
      </c>
      <c r="W2580">
        <v>0.99127766124344197</v>
      </c>
      <c r="X2580">
        <v>0</v>
      </c>
      <c r="Y2580">
        <v>0</v>
      </c>
    </row>
    <row r="2581" spans="1:25" x14ac:dyDescent="0.2">
      <c r="A2581" t="s">
        <v>9632</v>
      </c>
      <c r="B2581" t="s">
        <v>9633</v>
      </c>
      <c r="C2581" t="s">
        <v>14518</v>
      </c>
      <c r="D2581" t="s">
        <v>319</v>
      </c>
      <c r="E2581" t="s">
        <v>9633</v>
      </c>
      <c r="F2581" t="s">
        <v>28</v>
      </c>
      <c r="G2581" t="s">
        <v>9633</v>
      </c>
      <c r="H2581" t="str">
        <f>"T01H3.3"</f>
        <v>T01H3.3</v>
      </c>
      <c r="I2581" t="s">
        <v>319</v>
      </c>
      <c r="J2581">
        <v>13.328645229436299</v>
      </c>
      <c r="K2581">
        <v>13.184518653139699</v>
      </c>
      <c r="L2581">
        <v>13.264113380631001</v>
      </c>
      <c r="M2581">
        <v>11.6853342450034</v>
      </c>
      <c r="N2581">
        <v>12.8260792293175</v>
      </c>
      <c r="O2581">
        <v>12.6933640676053</v>
      </c>
      <c r="P2581">
        <v>-0.85749990709359203</v>
      </c>
      <c r="Q2581">
        <v>-1.5232022783797601</v>
      </c>
      <c r="R2581">
        <v>-0.19179753580742201</v>
      </c>
      <c r="S2581">
        <v>13.1006388880702</v>
      </c>
      <c r="T2581">
        <v>-2.7073630093771599</v>
      </c>
      <c r="U2581">
        <v>-3.9359519877019902</v>
      </c>
      <c r="V2581">
        <v>1.44757084911877E-2</v>
      </c>
      <c r="W2581">
        <v>5.9085751971648399E-2</v>
      </c>
      <c r="X2581">
        <v>0</v>
      </c>
      <c r="Y2581">
        <v>0</v>
      </c>
    </row>
    <row r="2582" spans="1:25" x14ac:dyDescent="0.2">
      <c r="A2582" t="s">
        <v>9634</v>
      </c>
      <c r="B2582" t="s">
        <v>9635</v>
      </c>
      <c r="C2582" t="s">
        <v>9636</v>
      </c>
      <c r="D2582" t="s">
        <v>9637</v>
      </c>
      <c r="E2582" t="s">
        <v>9635</v>
      </c>
      <c r="F2582" t="s">
        <v>28</v>
      </c>
      <c r="G2582" t="s">
        <v>9635</v>
      </c>
      <c r="H2582" t="str">
        <f>"perm-1"</f>
        <v>perm-1</v>
      </c>
      <c r="I2582" t="s">
        <v>9637</v>
      </c>
      <c r="J2582">
        <v>12.5886466694157</v>
      </c>
      <c r="K2582">
        <v>12.515006039947799</v>
      </c>
      <c r="L2582">
        <v>12.5717766882074</v>
      </c>
      <c r="M2582" t="s">
        <v>29</v>
      </c>
      <c r="N2582" t="s">
        <v>29</v>
      </c>
      <c r="O2582">
        <v>12.2606099081242</v>
      </c>
      <c r="P2582">
        <v>-0.29786655773279802</v>
      </c>
      <c r="Q2582">
        <v>-1.1565439205102599</v>
      </c>
      <c r="R2582">
        <v>0.56081080504466296</v>
      </c>
      <c r="S2582">
        <v>12.6085685140816</v>
      </c>
      <c r="T2582">
        <v>-0.73983238612121205</v>
      </c>
      <c r="U2582">
        <v>-6.52935004174768</v>
      </c>
      <c r="V2582">
        <v>0.47090246456932</v>
      </c>
      <c r="W2582">
        <v>0.63136922797351502</v>
      </c>
      <c r="X2582">
        <v>0</v>
      </c>
      <c r="Y2582">
        <v>0</v>
      </c>
    </row>
    <row r="2583" spans="1:25" x14ac:dyDescent="0.2">
      <c r="A2583" t="s">
        <v>9638</v>
      </c>
      <c r="B2583" t="s">
        <v>9639</v>
      </c>
      <c r="C2583" t="s">
        <v>9640</v>
      </c>
      <c r="D2583" t="s">
        <v>9641</v>
      </c>
      <c r="E2583" t="s">
        <v>9639</v>
      </c>
      <c r="F2583" t="s">
        <v>28</v>
      </c>
      <c r="G2583" t="s">
        <v>9639</v>
      </c>
      <c r="H2583" t="str">
        <f>"kars-1"</f>
        <v>kars-1</v>
      </c>
      <c r="I2583" t="s">
        <v>9641</v>
      </c>
      <c r="J2583">
        <v>14.731201937743</v>
      </c>
      <c r="K2583">
        <v>14.615041352638899</v>
      </c>
      <c r="L2583">
        <v>14.763127669617001</v>
      </c>
      <c r="M2583">
        <v>14.771272773634999</v>
      </c>
      <c r="N2583">
        <v>14.647076101727199</v>
      </c>
      <c r="O2583">
        <v>14.343697442583199</v>
      </c>
      <c r="P2583">
        <v>-0.115774880684528</v>
      </c>
      <c r="Q2583">
        <v>-0.57396569946435105</v>
      </c>
      <c r="R2583">
        <v>0.34241593809529502</v>
      </c>
      <c r="S2583">
        <v>14.195302330487699</v>
      </c>
      <c r="T2583">
        <v>-0.53108064334833505</v>
      </c>
      <c r="U2583">
        <v>-7.0094471653312</v>
      </c>
      <c r="V2583">
        <v>0.60189298422467796</v>
      </c>
      <c r="W2583">
        <v>0.73408947871083996</v>
      </c>
      <c r="X2583">
        <v>0</v>
      </c>
      <c r="Y2583">
        <v>0</v>
      </c>
    </row>
    <row r="2584" spans="1:25" x14ac:dyDescent="0.2">
      <c r="A2584" t="s">
        <v>9642</v>
      </c>
      <c r="B2584" t="s">
        <v>9643</v>
      </c>
      <c r="C2584" t="s">
        <v>14166</v>
      </c>
      <c r="D2584" t="s">
        <v>9644</v>
      </c>
      <c r="E2584" t="s">
        <v>9643</v>
      </c>
      <c r="F2584" t="s">
        <v>28</v>
      </c>
      <c r="G2584" t="s">
        <v>9643</v>
      </c>
      <c r="H2584" t="str">
        <f>"T02G5.7"</f>
        <v>T02G5.7</v>
      </c>
      <c r="I2584" t="s">
        <v>9644</v>
      </c>
      <c r="J2584" t="s">
        <v>29</v>
      </c>
      <c r="K2584" t="s">
        <v>29</v>
      </c>
      <c r="L2584" t="s">
        <v>29</v>
      </c>
      <c r="M2584" t="s">
        <v>29</v>
      </c>
      <c r="N2584">
        <v>14.1293139451526</v>
      </c>
      <c r="O2584">
        <v>14.1737271819699</v>
      </c>
      <c r="P2584" t="s">
        <v>29</v>
      </c>
      <c r="Q2584" t="s">
        <v>29</v>
      </c>
      <c r="R2584" t="s">
        <v>29</v>
      </c>
      <c r="S2584">
        <v>12.68927215239</v>
      </c>
      <c r="T2584" t="s">
        <v>29</v>
      </c>
      <c r="U2584" t="s">
        <v>29</v>
      </c>
      <c r="V2584" t="s">
        <v>29</v>
      </c>
      <c r="W2584" t="s">
        <v>29</v>
      </c>
      <c r="X2584" t="s">
        <v>29</v>
      </c>
      <c r="Y2584" t="s">
        <v>29</v>
      </c>
    </row>
    <row r="2585" spans="1:25" x14ac:dyDescent="0.2">
      <c r="A2585" t="s">
        <v>9645</v>
      </c>
      <c r="B2585" t="s">
        <v>9646</v>
      </c>
      <c r="C2585" t="s">
        <v>9647</v>
      </c>
      <c r="D2585" t="s">
        <v>107</v>
      </c>
      <c r="E2585" t="s">
        <v>9646</v>
      </c>
      <c r="F2585" t="s">
        <v>28</v>
      </c>
      <c r="G2585" t="s">
        <v>9646</v>
      </c>
      <c r="H2585" t="str">
        <f>"mct-5"</f>
        <v>mct-5</v>
      </c>
      <c r="I2585" t="s">
        <v>107</v>
      </c>
      <c r="J2585">
        <v>13.2016363692802</v>
      </c>
      <c r="K2585">
        <v>13.0089457584796</v>
      </c>
      <c r="L2585">
        <v>13.6576638622497</v>
      </c>
      <c r="M2585" t="s">
        <v>29</v>
      </c>
      <c r="N2585">
        <v>13.178732593167</v>
      </c>
      <c r="O2585">
        <v>13.244773552678501</v>
      </c>
      <c r="P2585">
        <v>-7.7662257080399796E-2</v>
      </c>
      <c r="Q2585">
        <v>-0.58892953365252598</v>
      </c>
      <c r="R2585">
        <v>0.43360501949172697</v>
      </c>
      <c r="S2585">
        <v>13.4574586506627</v>
      </c>
      <c r="T2585">
        <v>-0.32063580994639002</v>
      </c>
      <c r="U2585">
        <v>-6.99159893685081</v>
      </c>
      <c r="V2585">
        <v>0.752418237223347</v>
      </c>
      <c r="W2585">
        <v>0.84310895250844198</v>
      </c>
      <c r="X2585">
        <v>0</v>
      </c>
      <c r="Y2585">
        <v>0</v>
      </c>
    </row>
    <row r="2586" spans="1:25" x14ac:dyDescent="0.2">
      <c r="A2586" t="s">
        <v>9648</v>
      </c>
      <c r="B2586" t="s">
        <v>9649</v>
      </c>
      <c r="C2586" t="s">
        <v>9650</v>
      </c>
      <c r="D2586" t="s">
        <v>9651</v>
      </c>
      <c r="E2586" t="s">
        <v>9649</v>
      </c>
      <c r="F2586" t="s">
        <v>28</v>
      </c>
      <c r="G2586" t="s">
        <v>9649</v>
      </c>
      <c r="H2586" t="str">
        <f>"mmaa-1"</f>
        <v>mmaa-1</v>
      </c>
      <c r="I2586" t="s">
        <v>9651</v>
      </c>
      <c r="J2586">
        <v>14.3344138934669</v>
      </c>
      <c r="K2586">
        <v>14.325476022457201</v>
      </c>
      <c r="L2586">
        <v>14.390744533837299</v>
      </c>
      <c r="M2586">
        <v>14.040368333684601</v>
      </c>
      <c r="N2586">
        <v>14.3534059794924</v>
      </c>
      <c r="O2586">
        <v>14.731844886594301</v>
      </c>
      <c r="P2586">
        <v>2.4994916669953699E-2</v>
      </c>
      <c r="Q2586">
        <v>-0.39845441691998201</v>
      </c>
      <c r="R2586">
        <v>0.44844425025988899</v>
      </c>
      <c r="S2586">
        <v>14.182572454451901</v>
      </c>
      <c r="T2586">
        <v>0.124063135372927</v>
      </c>
      <c r="U2586">
        <v>-7.1482281433550403</v>
      </c>
      <c r="V2586">
        <v>0.90264820662410505</v>
      </c>
      <c r="W2586">
        <v>0.94236994478921499</v>
      </c>
      <c r="X2586">
        <v>0</v>
      </c>
      <c r="Y2586">
        <v>0</v>
      </c>
    </row>
    <row r="2587" spans="1:25" x14ac:dyDescent="0.2">
      <c r="A2587" t="s">
        <v>9652</v>
      </c>
      <c r="B2587" t="s">
        <v>9653</v>
      </c>
      <c r="C2587" t="s">
        <v>9654</v>
      </c>
      <c r="D2587" t="s">
        <v>9655</v>
      </c>
      <c r="E2587" t="s">
        <v>9653</v>
      </c>
      <c r="F2587" t="s">
        <v>28</v>
      </c>
      <c r="G2587" t="s">
        <v>9653</v>
      </c>
      <c r="H2587" t="str">
        <f>"metl-9"</f>
        <v>metl-9</v>
      </c>
      <c r="I2587" t="s">
        <v>9655</v>
      </c>
      <c r="J2587" t="s">
        <v>29</v>
      </c>
      <c r="K2587" t="s">
        <v>29</v>
      </c>
      <c r="L2587" t="s">
        <v>29</v>
      </c>
      <c r="M2587" t="s">
        <v>29</v>
      </c>
      <c r="N2587" t="s">
        <v>29</v>
      </c>
      <c r="O2587" t="s">
        <v>29</v>
      </c>
      <c r="P2587" t="s">
        <v>29</v>
      </c>
      <c r="Q2587" t="s">
        <v>29</v>
      </c>
      <c r="R2587" t="s">
        <v>29</v>
      </c>
      <c r="S2587">
        <v>12.0334999783773</v>
      </c>
      <c r="T2587" t="s">
        <v>29</v>
      </c>
      <c r="U2587" t="s">
        <v>29</v>
      </c>
      <c r="V2587" t="s">
        <v>29</v>
      </c>
      <c r="W2587" t="s">
        <v>29</v>
      </c>
      <c r="X2587" t="s">
        <v>29</v>
      </c>
      <c r="Y2587" t="s">
        <v>29</v>
      </c>
    </row>
    <row r="2588" spans="1:25" x14ac:dyDescent="0.2">
      <c r="A2588" t="s">
        <v>9656</v>
      </c>
      <c r="B2588" t="s">
        <v>9657</v>
      </c>
      <c r="C2588" t="s">
        <v>9658</v>
      </c>
      <c r="D2588" t="s">
        <v>9659</v>
      </c>
      <c r="E2588" t="s">
        <v>9657</v>
      </c>
      <c r="F2588" t="s">
        <v>28</v>
      </c>
      <c r="G2588" t="s">
        <v>9657</v>
      </c>
      <c r="H2588" t="str">
        <f>"nhr-40"</f>
        <v>nhr-40</v>
      </c>
      <c r="I2588" t="s">
        <v>9659</v>
      </c>
      <c r="J2588">
        <v>11.334408680669499</v>
      </c>
      <c r="K2588">
        <v>11.3336569791428</v>
      </c>
      <c r="L2588" t="s">
        <v>29</v>
      </c>
      <c r="M2588" t="s">
        <v>29</v>
      </c>
      <c r="N2588" t="s">
        <v>29</v>
      </c>
      <c r="O2588" t="s">
        <v>29</v>
      </c>
      <c r="P2588" t="s">
        <v>29</v>
      </c>
      <c r="Q2588" t="s">
        <v>29</v>
      </c>
      <c r="R2588" t="s">
        <v>29</v>
      </c>
      <c r="S2588">
        <v>11.8818134245753</v>
      </c>
      <c r="T2588" t="s">
        <v>29</v>
      </c>
      <c r="U2588" t="s">
        <v>29</v>
      </c>
      <c r="V2588" t="s">
        <v>29</v>
      </c>
      <c r="W2588" t="s">
        <v>29</v>
      </c>
      <c r="X2588" t="s">
        <v>29</v>
      </c>
      <c r="Y2588" t="s">
        <v>29</v>
      </c>
    </row>
    <row r="2589" spans="1:25" x14ac:dyDescent="0.2">
      <c r="A2589" t="s">
        <v>9660</v>
      </c>
      <c r="B2589" t="s">
        <v>9661</v>
      </c>
      <c r="C2589" t="s">
        <v>9662</v>
      </c>
      <c r="D2589" t="s">
        <v>93</v>
      </c>
      <c r="E2589" t="s">
        <v>9661</v>
      </c>
      <c r="F2589" t="s">
        <v>28</v>
      </c>
      <c r="G2589" t="s">
        <v>9661</v>
      </c>
      <c r="H2589" t="str">
        <f>"nifk-1"</f>
        <v>nifk-1</v>
      </c>
      <c r="I2589" t="s">
        <v>93</v>
      </c>
      <c r="J2589">
        <v>16.709558144671401</v>
      </c>
      <c r="K2589">
        <v>16.930285772781399</v>
      </c>
      <c r="L2589">
        <v>16.9301978691561</v>
      </c>
      <c r="M2589">
        <v>15.3341596507411</v>
      </c>
      <c r="N2589">
        <v>15.488135081409199</v>
      </c>
      <c r="O2589">
        <v>15.9029220124871</v>
      </c>
      <c r="P2589">
        <v>-1.28160834732382</v>
      </c>
      <c r="Q2589">
        <v>-1.66444015670941</v>
      </c>
      <c r="R2589">
        <v>-0.89877653793822698</v>
      </c>
      <c r="S2589">
        <v>16.937782634743701</v>
      </c>
      <c r="T2589">
        <v>-7.0362267160236298</v>
      </c>
      <c r="U2589">
        <v>5.2181995818740701</v>
      </c>
      <c r="V2589" s="2">
        <v>1.49827484012172E-6</v>
      </c>
      <c r="W2589" s="2">
        <v>6.3991535562879693E-5</v>
      </c>
      <c r="X2589">
        <v>-1</v>
      </c>
      <c r="Y2589">
        <v>-1</v>
      </c>
    </row>
    <row r="2590" spans="1:25" x14ac:dyDescent="0.2">
      <c r="A2590" t="s">
        <v>9663</v>
      </c>
      <c r="B2590" t="s">
        <v>9664</v>
      </c>
      <c r="C2590" t="s">
        <v>14519</v>
      </c>
      <c r="D2590" t="s">
        <v>9665</v>
      </c>
      <c r="E2590" t="s">
        <v>9664</v>
      </c>
      <c r="F2590" t="s">
        <v>28</v>
      </c>
      <c r="G2590" t="s">
        <v>9664</v>
      </c>
      <c r="H2590" t="str">
        <f>"T04A8.7"</f>
        <v>T04A8.7</v>
      </c>
      <c r="I2590" t="s">
        <v>9665</v>
      </c>
      <c r="J2590">
        <v>12.825369921163301</v>
      </c>
      <c r="K2590">
        <v>12.8486701706991</v>
      </c>
      <c r="L2590">
        <v>12.6011046210015</v>
      </c>
      <c r="M2590">
        <v>13.550317761753099</v>
      </c>
      <c r="N2590">
        <v>12.9690421594226</v>
      </c>
      <c r="O2590">
        <v>13.222616406735</v>
      </c>
      <c r="P2590">
        <v>0.48894387168224202</v>
      </c>
      <c r="Q2590">
        <v>-4.3390119023135401E-2</v>
      </c>
      <c r="R2590">
        <v>1.02127786238762</v>
      </c>
      <c r="S2590">
        <v>13.3356204649749</v>
      </c>
      <c r="T2590">
        <v>1.93048896102059</v>
      </c>
      <c r="U2590">
        <v>-5.3807453156260596</v>
      </c>
      <c r="V2590">
        <v>6.9548904099239806E-2</v>
      </c>
      <c r="W2590">
        <v>0.16980995889018999</v>
      </c>
      <c r="X2590">
        <v>0</v>
      </c>
      <c r="Y2590">
        <v>0</v>
      </c>
    </row>
    <row r="2591" spans="1:25" x14ac:dyDescent="0.2">
      <c r="A2591" t="s">
        <v>9666</v>
      </c>
      <c r="B2591" t="s">
        <v>9667</v>
      </c>
      <c r="C2591" t="s">
        <v>9668</v>
      </c>
      <c r="D2591" t="s">
        <v>9669</v>
      </c>
      <c r="E2591" t="s">
        <v>9667</v>
      </c>
      <c r="F2591" t="s">
        <v>28</v>
      </c>
      <c r="G2591" t="s">
        <v>9667</v>
      </c>
      <c r="H2591" t="str">
        <f>"mrpl-16"</f>
        <v>mrpl-16</v>
      </c>
      <c r="I2591" t="s">
        <v>9669</v>
      </c>
      <c r="J2591">
        <v>13.916143923104601</v>
      </c>
      <c r="K2591">
        <v>14.8973576914448</v>
      </c>
      <c r="L2591">
        <v>14.5207902181579</v>
      </c>
      <c r="M2591" t="s">
        <v>29</v>
      </c>
      <c r="N2591">
        <v>14.797096097712</v>
      </c>
      <c r="O2591">
        <v>14.1344892898576</v>
      </c>
      <c r="P2591">
        <v>2.1028749549078199E-2</v>
      </c>
      <c r="Q2591">
        <v>-0.75106385475127202</v>
      </c>
      <c r="R2591">
        <v>0.79312135384942795</v>
      </c>
      <c r="S2591">
        <v>14.6078150525206</v>
      </c>
      <c r="T2591">
        <v>5.7768831883923601E-2</v>
      </c>
      <c r="U2591">
        <v>-7.0437147852022397</v>
      </c>
      <c r="V2591">
        <v>0.95465276564484602</v>
      </c>
      <c r="W2591">
        <v>0.97351708970001305</v>
      </c>
      <c r="X2591">
        <v>0</v>
      </c>
      <c r="Y2591">
        <v>0</v>
      </c>
    </row>
    <row r="2592" spans="1:25" x14ac:dyDescent="0.2">
      <c r="A2592" t="s">
        <v>9670</v>
      </c>
      <c r="B2592" t="s">
        <v>9671</v>
      </c>
      <c r="C2592" t="s">
        <v>14520</v>
      </c>
      <c r="D2592" t="s">
        <v>9672</v>
      </c>
      <c r="E2592" t="s">
        <v>9671</v>
      </c>
      <c r="F2592" t="s">
        <v>28</v>
      </c>
      <c r="G2592" t="s">
        <v>9671</v>
      </c>
      <c r="H2592" t="str">
        <f>"T04A8.8"</f>
        <v>T04A8.8</v>
      </c>
      <c r="I2592" t="s">
        <v>9672</v>
      </c>
      <c r="J2592" t="s">
        <v>29</v>
      </c>
      <c r="K2592" t="s">
        <v>29</v>
      </c>
      <c r="L2592" t="s">
        <v>29</v>
      </c>
      <c r="M2592" t="s">
        <v>29</v>
      </c>
      <c r="N2592" t="s">
        <v>29</v>
      </c>
      <c r="O2592" t="s">
        <v>29</v>
      </c>
      <c r="P2592" t="s">
        <v>29</v>
      </c>
      <c r="Q2592" t="s">
        <v>29</v>
      </c>
      <c r="R2592" t="s">
        <v>29</v>
      </c>
      <c r="S2592">
        <v>12.4940005240181</v>
      </c>
      <c r="T2592" t="s">
        <v>29</v>
      </c>
      <c r="U2592" t="s">
        <v>29</v>
      </c>
      <c r="V2592" t="s">
        <v>29</v>
      </c>
      <c r="W2592" t="s">
        <v>29</v>
      </c>
      <c r="X2592" t="s">
        <v>29</v>
      </c>
      <c r="Y2592" t="s">
        <v>29</v>
      </c>
    </row>
    <row r="2593" spans="1:25" x14ac:dyDescent="0.2">
      <c r="A2593" t="s">
        <v>9673</v>
      </c>
      <c r="B2593" t="s">
        <v>9674</v>
      </c>
      <c r="C2593" t="s">
        <v>14521</v>
      </c>
      <c r="D2593" t="s">
        <v>9675</v>
      </c>
      <c r="E2593" t="s">
        <v>9674</v>
      </c>
      <c r="F2593" t="s">
        <v>28</v>
      </c>
      <c r="G2593" t="s">
        <v>9674</v>
      </c>
      <c r="H2593" t="str">
        <f>"T04F3.3"</f>
        <v>T04F3.3</v>
      </c>
      <c r="I2593" t="s">
        <v>9675</v>
      </c>
      <c r="J2593" t="s">
        <v>29</v>
      </c>
      <c r="K2593" t="s">
        <v>29</v>
      </c>
      <c r="L2593" t="s">
        <v>29</v>
      </c>
      <c r="M2593" t="s">
        <v>29</v>
      </c>
      <c r="N2593" t="s">
        <v>29</v>
      </c>
      <c r="O2593">
        <v>11.2323568904346</v>
      </c>
      <c r="P2593" t="s">
        <v>29</v>
      </c>
      <c r="Q2593" t="s">
        <v>29</v>
      </c>
      <c r="R2593" t="s">
        <v>29</v>
      </c>
      <c r="S2593">
        <v>11.194064094623201</v>
      </c>
      <c r="T2593" t="s">
        <v>29</v>
      </c>
      <c r="U2593" t="s">
        <v>29</v>
      </c>
      <c r="V2593" t="s">
        <v>29</v>
      </c>
      <c r="W2593" t="s">
        <v>29</v>
      </c>
      <c r="X2593" t="s">
        <v>29</v>
      </c>
      <c r="Y2593" t="s">
        <v>29</v>
      </c>
    </row>
    <row r="2594" spans="1:25" x14ac:dyDescent="0.2">
      <c r="A2594" t="s">
        <v>9676</v>
      </c>
      <c r="B2594" t="s">
        <v>9677</v>
      </c>
      <c r="C2594" t="s">
        <v>9678</v>
      </c>
      <c r="D2594" t="s">
        <v>6991</v>
      </c>
      <c r="E2594" t="s">
        <v>9677</v>
      </c>
      <c r="F2594" t="s">
        <v>28</v>
      </c>
      <c r="G2594" t="s">
        <v>9677</v>
      </c>
      <c r="H2594" t="str">
        <f>"sfxn-1.5"</f>
        <v>sfxn-1.5</v>
      </c>
      <c r="I2594" t="s">
        <v>6991</v>
      </c>
      <c r="J2594">
        <v>15.5261774097354</v>
      </c>
      <c r="K2594">
        <v>15.1768694482122</v>
      </c>
      <c r="L2594">
        <v>15.412800058103</v>
      </c>
      <c r="M2594">
        <v>14.996812538637499</v>
      </c>
      <c r="N2594">
        <v>13.941716628674699</v>
      </c>
      <c r="O2594">
        <v>15.302170348325699</v>
      </c>
      <c r="P2594">
        <v>-0.62504913347091695</v>
      </c>
      <c r="Q2594">
        <v>-1.2010734220114201</v>
      </c>
      <c r="R2594">
        <v>-4.90248449304099E-2</v>
      </c>
      <c r="S2594">
        <v>14.7457427124068</v>
      </c>
      <c r="T2594">
        <v>-2.2806879836846901</v>
      </c>
      <c r="U2594">
        <v>-4.7620222495557298</v>
      </c>
      <c r="V2594">
        <v>3.5043181200030298E-2</v>
      </c>
      <c r="W2594">
        <v>0.108479259450094</v>
      </c>
      <c r="X2594">
        <v>0</v>
      </c>
      <c r="Y2594">
        <v>0</v>
      </c>
    </row>
    <row r="2595" spans="1:25" x14ac:dyDescent="0.2">
      <c r="A2595" t="s">
        <v>9679</v>
      </c>
      <c r="B2595" t="s">
        <v>9680</v>
      </c>
      <c r="C2595" t="s">
        <v>9681</v>
      </c>
      <c r="D2595" t="s">
        <v>9682</v>
      </c>
      <c r="E2595" t="s">
        <v>9680</v>
      </c>
      <c r="F2595" t="s">
        <v>28</v>
      </c>
      <c r="G2595" t="s">
        <v>9680</v>
      </c>
      <c r="H2595" t="str">
        <f>"sto-4"</f>
        <v>sto-4</v>
      </c>
      <c r="I2595" t="s">
        <v>9682</v>
      </c>
      <c r="J2595">
        <v>15.311633442604601</v>
      </c>
      <c r="K2595">
        <v>15.672715775215</v>
      </c>
      <c r="L2595">
        <v>15.0750658502024</v>
      </c>
      <c r="M2595" t="s">
        <v>29</v>
      </c>
      <c r="N2595">
        <v>15.324698703483399</v>
      </c>
      <c r="O2595">
        <v>14.928916901019701</v>
      </c>
      <c r="P2595">
        <v>-0.22633055375578701</v>
      </c>
      <c r="Q2595">
        <v>-0.92900339039347601</v>
      </c>
      <c r="R2595">
        <v>0.476342282881902</v>
      </c>
      <c r="S2595">
        <v>15.2225793949994</v>
      </c>
      <c r="T2595">
        <v>-0.67989216101340799</v>
      </c>
      <c r="U2595">
        <v>-6.8057788167151099</v>
      </c>
      <c r="V2595">
        <v>0.505782728784816</v>
      </c>
      <c r="W2595">
        <v>0.65865740244315196</v>
      </c>
      <c r="X2595">
        <v>0</v>
      </c>
      <c r="Y2595">
        <v>0</v>
      </c>
    </row>
    <row r="2596" spans="1:25" x14ac:dyDescent="0.2">
      <c r="A2596" t="s">
        <v>9683</v>
      </c>
      <c r="B2596" t="s">
        <v>9684</v>
      </c>
      <c r="C2596" t="s">
        <v>9685</v>
      </c>
      <c r="D2596" t="s">
        <v>9269</v>
      </c>
      <c r="E2596" t="s">
        <v>9684</v>
      </c>
      <c r="F2596" t="s">
        <v>28</v>
      </c>
      <c r="G2596" t="s">
        <v>9684</v>
      </c>
      <c r="H2596" t="str">
        <f>"trap-2"</f>
        <v>trap-2</v>
      </c>
      <c r="I2596" t="s">
        <v>9269</v>
      </c>
      <c r="J2596">
        <v>16.886739828882799</v>
      </c>
      <c r="K2596">
        <v>16.993171466213699</v>
      </c>
      <c r="L2596">
        <v>16.811537847476401</v>
      </c>
      <c r="M2596">
        <v>16.0136886085938</v>
      </c>
      <c r="N2596">
        <v>16.111949237841898</v>
      </c>
      <c r="O2596">
        <v>16.300793077572902</v>
      </c>
      <c r="P2596">
        <v>-0.75500607285473698</v>
      </c>
      <c r="Q2596">
        <v>-1.1847105929583199</v>
      </c>
      <c r="R2596">
        <v>-0.32530155275115102</v>
      </c>
      <c r="S2596">
        <v>16.248202455313098</v>
      </c>
      <c r="T2596">
        <v>-3.6929466691106998</v>
      </c>
      <c r="U2596">
        <v>-1.8470361528368899</v>
      </c>
      <c r="V2596">
        <v>1.6783269353521501E-3</v>
      </c>
      <c r="W2596">
        <v>1.29904242645723E-2</v>
      </c>
      <c r="X2596">
        <v>0</v>
      </c>
      <c r="Y2596">
        <v>0</v>
      </c>
    </row>
    <row r="2597" spans="1:25" x14ac:dyDescent="0.2">
      <c r="A2597" t="s">
        <v>9686</v>
      </c>
      <c r="B2597" t="s">
        <v>9687</v>
      </c>
      <c r="C2597" t="s">
        <v>14522</v>
      </c>
      <c r="D2597" t="s">
        <v>9688</v>
      </c>
      <c r="E2597" t="s">
        <v>9687</v>
      </c>
      <c r="F2597" t="s">
        <v>28</v>
      </c>
      <c r="G2597" t="s">
        <v>9687</v>
      </c>
      <c r="H2597" t="str">
        <f>"T04G9.4"</f>
        <v>T04G9.4</v>
      </c>
      <c r="I2597" t="s">
        <v>9688</v>
      </c>
      <c r="J2597">
        <v>14.0833965455849</v>
      </c>
      <c r="K2597">
        <v>14.1446312345139</v>
      </c>
      <c r="L2597">
        <v>13.8017407863359</v>
      </c>
      <c r="M2597">
        <v>13.5241555203564</v>
      </c>
      <c r="N2597">
        <v>13.2630099074198</v>
      </c>
      <c r="O2597">
        <v>13.730281283132401</v>
      </c>
      <c r="P2597">
        <v>-0.50410728517536696</v>
      </c>
      <c r="Q2597">
        <v>-0.93034987569409799</v>
      </c>
      <c r="R2597">
        <v>-7.7864694656636896E-2</v>
      </c>
      <c r="S2597">
        <v>13.732616117064399</v>
      </c>
      <c r="T2597">
        <v>-2.48575684662051</v>
      </c>
      <c r="U2597">
        <v>-4.3735017570287598</v>
      </c>
      <c r="V2597">
        <v>2.30421444467695E-2</v>
      </c>
      <c r="W2597">
        <v>8.0647505563693198E-2</v>
      </c>
      <c r="X2597">
        <v>0</v>
      </c>
      <c r="Y2597">
        <v>0</v>
      </c>
    </row>
    <row r="2598" spans="1:25" x14ac:dyDescent="0.2">
      <c r="A2598" t="s">
        <v>9689</v>
      </c>
      <c r="B2598" t="s">
        <v>9690</v>
      </c>
      <c r="C2598" t="s">
        <v>9691</v>
      </c>
      <c r="D2598" t="s">
        <v>3312</v>
      </c>
      <c r="E2598" t="s">
        <v>9690</v>
      </c>
      <c r="F2598" t="s">
        <v>28</v>
      </c>
      <c r="G2598" t="s">
        <v>9690</v>
      </c>
      <c r="H2598" t="str">
        <f>"col-122"</f>
        <v>col-122</v>
      </c>
      <c r="I2598" t="s">
        <v>3312</v>
      </c>
      <c r="J2598">
        <v>11.4157235623725</v>
      </c>
      <c r="K2598">
        <v>11.161341523537001</v>
      </c>
      <c r="L2598">
        <v>12.234710194855801</v>
      </c>
      <c r="M2598">
        <v>15.7263005701788</v>
      </c>
      <c r="N2598">
        <v>13.4891731555141</v>
      </c>
      <c r="O2598">
        <v>12.398567790556401</v>
      </c>
      <c r="P2598">
        <v>2.2674220784946599</v>
      </c>
      <c r="Q2598">
        <v>1.0366694431665</v>
      </c>
      <c r="R2598">
        <v>3.4981747138228201</v>
      </c>
      <c r="S2598">
        <v>12.4215214621415</v>
      </c>
      <c r="T2598">
        <v>3.8721672720849298</v>
      </c>
      <c r="U2598">
        <v>-1.4535573868951199</v>
      </c>
      <c r="V2598">
        <v>1.1269500131267901E-3</v>
      </c>
      <c r="W2598">
        <v>9.9137960856258492E-3</v>
      </c>
      <c r="X2598">
        <v>1</v>
      </c>
      <c r="Y2598">
        <v>1</v>
      </c>
    </row>
    <row r="2599" spans="1:25" x14ac:dyDescent="0.2">
      <c r="A2599" t="s">
        <v>9692</v>
      </c>
      <c r="B2599" t="s">
        <v>9693</v>
      </c>
      <c r="C2599" t="s">
        <v>9694</v>
      </c>
      <c r="D2599" t="s">
        <v>458</v>
      </c>
      <c r="E2599" t="s">
        <v>9693</v>
      </c>
      <c r="F2599" t="s">
        <v>28</v>
      </c>
      <c r="G2599" t="s">
        <v>9693</v>
      </c>
      <c r="H2599" t="str">
        <f>"ttr-14"</f>
        <v>ttr-14</v>
      </c>
      <c r="I2599" t="s">
        <v>458</v>
      </c>
      <c r="J2599">
        <v>12.8982151599891</v>
      </c>
      <c r="K2599">
        <v>13.200635362635699</v>
      </c>
      <c r="L2599" t="s">
        <v>29</v>
      </c>
      <c r="M2599" t="s">
        <v>29</v>
      </c>
      <c r="N2599">
        <v>14.3096466581333</v>
      </c>
      <c r="O2599" t="s">
        <v>29</v>
      </c>
      <c r="P2599">
        <v>1.26022139682089</v>
      </c>
      <c r="Q2599">
        <v>8.4235531122023505E-2</v>
      </c>
      <c r="R2599">
        <v>2.4362072625197602</v>
      </c>
      <c r="S2599">
        <v>12.4086692828262</v>
      </c>
      <c r="T2599">
        <v>2.4769113242671801</v>
      </c>
      <c r="U2599">
        <v>-4.2431284988486402</v>
      </c>
      <c r="V2599">
        <v>3.8673677489210398E-2</v>
      </c>
      <c r="W2599">
        <v>0.11570693153370901</v>
      </c>
      <c r="X2599">
        <v>1</v>
      </c>
      <c r="Y2599">
        <v>0</v>
      </c>
    </row>
    <row r="2600" spans="1:25" x14ac:dyDescent="0.2">
      <c r="A2600" t="s">
        <v>9695</v>
      </c>
      <c r="B2600" t="s">
        <v>9696</v>
      </c>
      <c r="C2600" t="s">
        <v>14523</v>
      </c>
      <c r="D2600" t="s">
        <v>9697</v>
      </c>
      <c r="E2600" t="s">
        <v>9696</v>
      </c>
      <c r="F2600" t="s">
        <v>28</v>
      </c>
      <c r="G2600" t="s">
        <v>9696</v>
      </c>
      <c r="H2600" t="str">
        <f>"T05B9.1"</f>
        <v>T05B9.1</v>
      </c>
      <c r="I2600" t="s">
        <v>9697</v>
      </c>
      <c r="J2600">
        <v>12.1860432970792</v>
      </c>
      <c r="K2600">
        <v>11.5266978946275</v>
      </c>
      <c r="L2600">
        <v>12.1071009986705</v>
      </c>
      <c r="M2600" t="s">
        <v>29</v>
      </c>
      <c r="N2600" t="s">
        <v>29</v>
      </c>
      <c r="O2600">
        <v>12.0419573037312</v>
      </c>
      <c r="P2600">
        <v>0.102009906938811</v>
      </c>
      <c r="Q2600">
        <v>-0.76190836216401903</v>
      </c>
      <c r="R2600">
        <v>0.96592817604164105</v>
      </c>
      <c r="S2600">
        <v>12.552693605219799</v>
      </c>
      <c r="T2600">
        <v>0.25044895454482302</v>
      </c>
      <c r="U2600">
        <v>-6.7798258984862496</v>
      </c>
      <c r="V2600">
        <v>0.80544860152618203</v>
      </c>
      <c r="W2600">
        <v>0.87945795802062199</v>
      </c>
      <c r="X2600">
        <v>0</v>
      </c>
      <c r="Y2600">
        <v>0</v>
      </c>
    </row>
    <row r="2601" spans="1:25" x14ac:dyDescent="0.2">
      <c r="A2601" t="s">
        <v>9698</v>
      </c>
      <c r="B2601" t="s">
        <v>9699</v>
      </c>
      <c r="C2601" t="s">
        <v>9700</v>
      </c>
      <c r="D2601" t="s">
        <v>9701</v>
      </c>
      <c r="E2601" t="s">
        <v>9699</v>
      </c>
      <c r="F2601" t="s">
        <v>28</v>
      </c>
      <c r="G2601" t="s">
        <v>9699</v>
      </c>
      <c r="H2601" t="str">
        <f>"mig-5"</f>
        <v>mig-5</v>
      </c>
      <c r="I2601" t="s">
        <v>9701</v>
      </c>
      <c r="J2601">
        <v>10.060921385396799</v>
      </c>
      <c r="K2601" t="s">
        <v>29</v>
      </c>
      <c r="L2601">
        <v>10.929340590606801</v>
      </c>
      <c r="M2601" t="s">
        <v>29</v>
      </c>
      <c r="N2601" t="s">
        <v>29</v>
      </c>
      <c r="O2601" t="s">
        <v>29</v>
      </c>
      <c r="P2601" t="s">
        <v>29</v>
      </c>
      <c r="Q2601" t="s">
        <v>29</v>
      </c>
      <c r="R2601" t="s">
        <v>29</v>
      </c>
      <c r="S2601">
        <v>11.730786887923699</v>
      </c>
      <c r="T2601" t="s">
        <v>29</v>
      </c>
      <c r="U2601" t="s">
        <v>29</v>
      </c>
      <c r="V2601" t="s">
        <v>29</v>
      </c>
      <c r="W2601" t="s">
        <v>29</v>
      </c>
      <c r="X2601" t="s">
        <v>29</v>
      </c>
      <c r="Y2601" t="s">
        <v>29</v>
      </c>
    </row>
    <row r="2602" spans="1:25" x14ac:dyDescent="0.2">
      <c r="A2602" t="s">
        <v>9702</v>
      </c>
      <c r="B2602" t="s">
        <v>9703</v>
      </c>
      <c r="C2602" t="s">
        <v>9704</v>
      </c>
      <c r="D2602" t="s">
        <v>9705</v>
      </c>
      <c r="E2602" t="s">
        <v>9703</v>
      </c>
      <c r="F2602" t="s">
        <v>28</v>
      </c>
      <c r="G2602" t="s">
        <v>9703</v>
      </c>
      <c r="H2602" t="str">
        <f>"decr-1.3"</f>
        <v>decr-1.3</v>
      </c>
      <c r="I2602" t="s">
        <v>9705</v>
      </c>
      <c r="J2602" t="s">
        <v>29</v>
      </c>
      <c r="K2602">
        <v>12.6884993784897</v>
      </c>
      <c r="L2602">
        <v>12.7118709096302</v>
      </c>
      <c r="M2602" t="s">
        <v>29</v>
      </c>
      <c r="N2602" t="s">
        <v>29</v>
      </c>
      <c r="O2602" t="s">
        <v>29</v>
      </c>
      <c r="P2602" t="s">
        <v>29</v>
      </c>
      <c r="Q2602" t="s">
        <v>29</v>
      </c>
      <c r="R2602" t="s">
        <v>29</v>
      </c>
      <c r="S2602">
        <v>13.0154504948189</v>
      </c>
      <c r="T2602" t="s">
        <v>29</v>
      </c>
      <c r="U2602" t="s">
        <v>29</v>
      </c>
      <c r="V2602" t="s">
        <v>29</v>
      </c>
      <c r="W2602" t="s">
        <v>29</v>
      </c>
      <c r="X2602" t="s">
        <v>29</v>
      </c>
      <c r="Y2602" t="s">
        <v>29</v>
      </c>
    </row>
    <row r="2603" spans="1:25" x14ac:dyDescent="0.2">
      <c r="A2603" t="s">
        <v>9706</v>
      </c>
      <c r="B2603" t="s">
        <v>9707</v>
      </c>
      <c r="C2603" t="s">
        <v>9708</v>
      </c>
      <c r="D2603" t="s">
        <v>9709</v>
      </c>
      <c r="E2603" t="s">
        <v>9707</v>
      </c>
      <c r="F2603" t="s">
        <v>28</v>
      </c>
      <c r="G2603" t="s">
        <v>9707</v>
      </c>
      <c r="H2603" t="str">
        <f>"enpl-1"</f>
        <v>enpl-1</v>
      </c>
      <c r="I2603" t="s">
        <v>9709</v>
      </c>
      <c r="J2603">
        <v>18.036903212487999</v>
      </c>
      <c r="K2603">
        <v>17.977979652473401</v>
      </c>
      <c r="L2603">
        <v>17.870628783230799</v>
      </c>
      <c r="M2603">
        <v>17.537527356173001</v>
      </c>
      <c r="N2603">
        <v>17.488131064136599</v>
      </c>
      <c r="O2603">
        <v>17.9090235427255</v>
      </c>
      <c r="P2603">
        <v>-0.31694322838574301</v>
      </c>
      <c r="Q2603">
        <v>-0.720841943173814</v>
      </c>
      <c r="R2603">
        <v>8.6955486402329293E-2</v>
      </c>
      <c r="S2603">
        <v>17.347212707729799</v>
      </c>
      <c r="T2603">
        <v>-1.6493070646824399</v>
      </c>
      <c r="U2603">
        <v>-5.8279633459765101</v>
      </c>
      <c r="V2603">
        <v>0.11652778860306499</v>
      </c>
      <c r="W2603">
        <v>0.24172816400650901</v>
      </c>
      <c r="X2603">
        <v>0</v>
      </c>
      <c r="Y2603">
        <v>0</v>
      </c>
    </row>
    <row r="2604" spans="1:25" x14ac:dyDescent="0.2">
      <c r="A2604" t="s">
        <v>9710</v>
      </c>
      <c r="B2604" t="s">
        <v>9711</v>
      </c>
      <c r="C2604" t="s">
        <v>14524</v>
      </c>
      <c r="D2604" t="s">
        <v>9712</v>
      </c>
      <c r="E2604" t="s">
        <v>9711</v>
      </c>
      <c r="F2604" t="s">
        <v>28</v>
      </c>
      <c r="G2604" t="s">
        <v>9711</v>
      </c>
      <c r="H2604" t="str">
        <f>"T05H10.1"</f>
        <v>T05H10.1</v>
      </c>
      <c r="I2604" t="s">
        <v>9712</v>
      </c>
      <c r="J2604">
        <v>14.126517446460101</v>
      </c>
      <c r="K2604">
        <v>13.9957175627853</v>
      </c>
      <c r="L2604">
        <v>13.704211821731</v>
      </c>
      <c r="M2604">
        <v>14.679082860980801</v>
      </c>
      <c r="N2604">
        <v>14.335076469483001</v>
      </c>
      <c r="O2604">
        <v>14.8204578339771</v>
      </c>
      <c r="P2604">
        <v>0.66939011115483504</v>
      </c>
      <c r="Q2604">
        <v>0.276711569144379</v>
      </c>
      <c r="R2604">
        <v>1.0620686531652901</v>
      </c>
      <c r="S2604">
        <v>14.3092781789834</v>
      </c>
      <c r="T2604">
        <v>3.5828995757947402</v>
      </c>
      <c r="U2604">
        <v>-2.0875175664299301</v>
      </c>
      <c r="V2604">
        <v>2.1427801735458998E-3</v>
      </c>
      <c r="W2604">
        <v>1.52207787812616E-2</v>
      </c>
      <c r="X2604">
        <v>0</v>
      </c>
      <c r="Y2604">
        <v>0</v>
      </c>
    </row>
    <row r="2605" spans="1:25" x14ac:dyDescent="0.2">
      <c r="A2605" t="s">
        <v>9713</v>
      </c>
      <c r="B2605" t="s">
        <v>9714</v>
      </c>
      <c r="C2605" t="s">
        <v>9715</v>
      </c>
      <c r="D2605" t="s">
        <v>9716</v>
      </c>
      <c r="E2605" t="s">
        <v>9714</v>
      </c>
      <c r="F2605" t="s">
        <v>28</v>
      </c>
      <c r="G2605" t="s">
        <v>9714</v>
      </c>
      <c r="H2605" t="str">
        <f>"cox-15"</f>
        <v>cox-15</v>
      </c>
      <c r="I2605" t="s">
        <v>9716</v>
      </c>
      <c r="J2605">
        <v>14.1105731819874</v>
      </c>
      <c r="K2605">
        <v>14.553930535590601</v>
      </c>
      <c r="L2605">
        <v>14.851099832412</v>
      </c>
      <c r="M2605">
        <v>14.4934430657791</v>
      </c>
      <c r="N2605">
        <v>15.122547506287299</v>
      </c>
      <c r="O2605">
        <v>14.3798992936467</v>
      </c>
      <c r="P2605">
        <v>0.16009543857438199</v>
      </c>
      <c r="Q2605">
        <v>-0.450873558318579</v>
      </c>
      <c r="R2605">
        <v>0.77106443546734305</v>
      </c>
      <c r="S2605">
        <v>14.737436368440401</v>
      </c>
      <c r="T2605">
        <v>0.550747200756177</v>
      </c>
      <c r="U2605">
        <v>-6.9984625043515098</v>
      </c>
      <c r="V2605">
        <v>0.58861729862396395</v>
      </c>
      <c r="W2605">
        <v>0.72479038002529395</v>
      </c>
      <c r="X2605">
        <v>0</v>
      </c>
      <c r="Y2605">
        <v>0</v>
      </c>
    </row>
    <row r="2606" spans="1:25" x14ac:dyDescent="0.2">
      <c r="A2606" t="s">
        <v>9717</v>
      </c>
      <c r="B2606" t="s">
        <v>9718</v>
      </c>
      <c r="C2606" t="s">
        <v>9719</v>
      </c>
      <c r="D2606" t="s">
        <v>9720</v>
      </c>
      <c r="E2606" t="s">
        <v>9718</v>
      </c>
      <c r="F2606" t="s">
        <v>28</v>
      </c>
      <c r="G2606" t="s">
        <v>9718</v>
      </c>
      <c r="H2606" t="str">
        <f>"rpn-9"</f>
        <v>rpn-9</v>
      </c>
      <c r="I2606" t="s">
        <v>9720</v>
      </c>
      <c r="J2606">
        <v>14.454659406507099</v>
      </c>
      <c r="K2606">
        <v>14.4499670047528</v>
      </c>
      <c r="L2606">
        <v>14.6092079171116</v>
      </c>
      <c r="M2606">
        <v>14.373122045938899</v>
      </c>
      <c r="N2606">
        <v>14.718112606841901</v>
      </c>
      <c r="O2606">
        <v>14.6639237674579</v>
      </c>
      <c r="P2606">
        <v>8.0441363955697995E-2</v>
      </c>
      <c r="Q2606">
        <v>-0.377918356031132</v>
      </c>
      <c r="R2606">
        <v>0.53880108394252801</v>
      </c>
      <c r="S2606">
        <v>14.8038950880476</v>
      </c>
      <c r="T2606">
        <v>0.36886333927203402</v>
      </c>
      <c r="U2606">
        <v>-7.08517034061218</v>
      </c>
      <c r="V2606">
        <v>0.716557550904798</v>
      </c>
      <c r="W2606">
        <v>0.81704128366259099</v>
      </c>
      <c r="X2606">
        <v>0</v>
      </c>
      <c r="Y2606">
        <v>0</v>
      </c>
    </row>
    <row r="2607" spans="1:25" x14ac:dyDescent="0.2">
      <c r="A2607" t="s">
        <v>9721</v>
      </c>
      <c r="B2607" t="s">
        <v>9722</v>
      </c>
      <c r="C2607" t="s">
        <v>14525</v>
      </c>
      <c r="D2607" t="s">
        <v>9723</v>
      </c>
      <c r="E2607" t="s">
        <v>9722</v>
      </c>
      <c r="F2607" t="s">
        <v>28</v>
      </c>
      <c r="G2607" t="s">
        <v>9722</v>
      </c>
      <c r="H2607" t="str">
        <f>"T06D8.9"</f>
        <v>T06D8.9</v>
      </c>
      <c r="I2607" t="s">
        <v>9723</v>
      </c>
      <c r="J2607">
        <v>11.1551667887798</v>
      </c>
      <c r="K2607">
        <v>11.8944652834719</v>
      </c>
      <c r="L2607">
        <v>11.8897257500319</v>
      </c>
      <c r="M2607" t="s">
        <v>29</v>
      </c>
      <c r="N2607" t="s">
        <v>29</v>
      </c>
      <c r="O2607">
        <v>12.271565833296799</v>
      </c>
      <c r="P2607">
        <v>0.62511322586891505</v>
      </c>
      <c r="Q2607">
        <v>-0.225423428694492</v>
      </c>
      <c r="R2607">
        <v>1.4756498804323199</v>
      </c>
      <c r="S2607">
        <v>12.313116576327801</v>
      </c>
      <c r="T2607">
        <v>1.56749895086767</v>
      </c>
      <c r="U2607">
        <v>-5.6147589812244902</v>
      </c>
      <c r="V2607">
        <v>0.13799320034332799</v>
      </c>
      <c r="W2607">
        <v>0.275146117328679</v>
      </c>
      <c r="X2607">
        <v>0</v>
      </c>
      <c r="Y2607">
        <v>0</v>
      </c>
    </row>
    <row r="2608" spans="1:25" x14ac:dyDescent="0.2">
      <c r="A2608" t="s">
        <v>9724</v>
      </c>
      <c r="B2608" t="s">
        <v>9725</v>
      </c>
      <c r="C2608" t="s">
        <v>9726</v>
      </c>
      <c r="D2608" t="s">
        <v>4592</v>
      </c>
      <c r="E2608" t="s">
        <v>9725</v>
      </c>
      <c r="F2608" t="s">
        <v>28</v>
      </c>
      <c r="G2608" t="s">
        <v>9725</v>
      </c>
      <c r="H2608" t="str">
        <f>"hcp-2"</f>
        <v>hcp-2</v>
      </c>
      <c r="I2608" t="s">
        <v>4592</v>
      </c>
      <c r="J2608" t="s">
        <v>29</v>
      </c>
      <c r="K2608" t="s">
        <v>29</v>
      </c>
      <c r="L2608">
        <v>12.6456845292147</v>
      </c>
      <c r="M2608" t="s">
        <v>29</v>
      </c>
      <c r="N2608" t="s">
        <v>29</v>
      </c>
      <c r="O2608" t="s">
        <v>29</v>
      </c>
      <c r="P2608" t="s">
        <v>29</v>
      </c>
      <c r="Q2608" t="s">
        <v>29</v>
      </c>
      <c r="R2608" t="s">
        <v>29</v>
      </c>
      <c r="S2608">
        <v>12.419187579756899</v>
      </c>
      <c r="T2608" t="s">
        <v>29</v>
      </c>
      <c r="U2608" t="s">
        <v>29</v>
      </c>
      <c r="V2608" t="s">
        <v>29</v>
      </c>
      <c r="W2608" t="s">
        <v>29</v>
      </c>
      <c r="X2608" t="s">
        <v>29</v>
      </c>
      <c r="Y2608" t="s">
        <v>29</v>
      </c>
    </row>
    <row r="2609" spans="1:25" x14ac:dyDescent="0.2">
      <c r="A2609" t="s">
        <v>9727</v>
      </c>
      <c r="B2609" t="s">
        <v>9728</v>
      </c>
      <c r="C2609" t="s">
        <v>9729</v>
      </c>
      <c r="D2609" t="s">
        <v>1744</v>
      </c>
      <c r="E2609" t="s">
        <v>9728</v>
      </c>
      <c r="F2609" t="s">
        <v>28</v>
      </c>
      <c r="G2609" t="s">
        <v>9728</v>
      </c>
      <c r="H2609" t="str">
        <f>"atl-1"</f>
        <v>atl-1</v>
      </c>
      <c r="I2609" t="s">
        <v>1744</v>
      </c>
      <c r="J2609">
        <v>11.034294074899099</v>
      </c>
      <c r="K2609">
        <v>10.265350915791799</v>
      </c>
      <c r="L2609">
        <v>11.0487894110802</v>
      </c>
      <c r="M2609" t="s">
        <v>29</v>
      </c>
      <c r="N2609" t="s">
        <v>29</v>
      </c>
      <c r="O2609">
        <v>10.842904747412501</v>
      </c>
      <c r="P2609">
        <v>6.0093280155486498E-2</v>
      </c>
      <c r="Q2609">
        <v>-1.04821652921066</v>
      </c>
      <c r="R2609">
        <v>1.16840308952164</v>
      </c>
      <c r="S2609">
        <v>11.0871128596162</v>
      </c>
      <c r="T2609">
        <v>0.115639535657393</v>
      </c>
      <c r="U2609">
        <v>-6.8056532356377302</v>
      </c>
      <c r="V2609">
        <v>0.90948283256255602</v>
      </c>
      <c r="W2609">
        <v>0.94521588664092104</v>
      </c>
      <c r="X2609">
        <v>0</v>
      </c>
      <c r="Y2609">
        <v>0</v>
      </c>
    </row>
    <row r="2610" spans="1:25" x14ac:dyDescent="0.2">
      <c r="A2610" t="s">
        <v>9730</v>
      </c>
      <c r="B2610" t="s">
        <v>9731</v>
      </c>
      <c r="C2610" t="s">
        <v>9732</v>
      </c>
      <c r="D2610" t="s">
        <v>9733</v>
      </c>
      <c r="E2610" t="s">
        <v>9731</v>
      </c>
      <c r="F2610" t="s">
        <v>28</v>
      </c>
      <c r="G2610" t="s">
        <v>9731</v>
      </c>
      <c r="H2610" t="str">
        <f>"acl-2"</f>
        <v>acl-2</v>
      </c>
      <c r="I2610" t="s">
        <v>9733</v>
      </c>
      <c r="J2610">
        <v>14.3907287832356</v>
      </c>
      <c r="K2610">
        <v>14.0444003622596</v>
      </c>
      <c r="L2610">
        <v>14.2860046994415</v>
      </c>
      <c r="M2610">
        <v>14.001339662082399</v>
      </c>
      <c r="N2610">
        <v>13.9101926360579</v>
      </c>
      <c r="O2610">
        <v>13.6465655103224</v>
      </c>
      <c r="P2610">
        <v>-0.38767867882471302</v>
      </c>
      <c r="Q2610">
        <v>-0.83439459046894304</v>
      </c>
      <c r="R2610">
        <v>5.9037232819517102E-2</v>
      </c>
      <c r="S2610">
        <v>14.007537576448099</v>
      </c>
      <c r="T2610">
        <v>-1.82403433028491</v>
      </c>
      <c r="U2610">
        <v>-5.55576353262986</v>
      </c>
      <c r="V2610">
        <v>8.4892149221417607E-2</v>
      </c>
      <c r="W2610">
        <v>0.19514599356904599</v>
      </c>
      <c r="X2610">
        <v>0</v>
      </c>
      <c r="Y2610">
        <v>0</v>
      </c>
    </row>
    <row r="2611" spans="1:25" x14ac:dyDescent="0.2">
      <c r="A2611" t="s">
        <v>9734</v>
      </c>
      <c r="B2611" t="s">
        <v>9735</v>
      </c>
      <c r="C2611" t="s">
        <v>9736</v>
      </c>
      <c r="D2611" t="s">
        <v>9737</v>
      </c>
      <c r="E2611" t="s">
        <v>9735</v>
      </c>
      <c r="F2611" t="s">
        <v>28</v>
      </c>
      <c r="G2611" t="s">
        <v>9735</v>
      </c>
      <c r="H2611" t="str">
        <f>"anmt-3"</f>
        <v>anmt-3</v>
      </c>
      <c r="I2611" t="s">
        <v>9737</v>
      </c>
      <c r="J2611">
        <v>13.0200914685984</v>
      </c>
      <c r="K2611">
        <v>12.8767291512565</v>
      </c>
      <c r="L2611">
        <v>12.668535355561101</v>
      </c>
      <c r="M2611" t="s">
        <v>29</v>
      </c>
      <c r="N2611" t="s">
        <v>29</v>
      </c>
      <c r="O2611">
        <v>12.7963198857487</v>
      </c>
      <c r="P2611">
        <v>-5.8798772723291003E-2</v>
      </c>
      <c r="Q2611">
        <v>-0.935575924166822</v>
      </c>
      <c r="R2611">
        <v>0.81797837872023904</v>
      </c>
      <c r="S2611">
        <v>12.0691303970489</v>
      </c>
      <c r="T2611">
        <v>-0.14499942569058699</v>
      </c>
      <c r="U2611">
        <v>-6.8015164496325999</v>
      </c>
      <c r="V2611">
        <v>0.88695317455871803</v>
      </c>
      <c r="W2611">
        <v>0.93185419088218902</v>
      </c>
      <c r="X2611">
        <v>0</v>
      </c>
      <c r="Y2611">
        <v>0</v>
      </c>
    </row>
    <row r="2612" spans="1:25" x14ac:dyDescent="0.2">
      <c r="A2612" t="s">
        <v>9738</v>
      </c>
      <c r="B2612" t="s">
        <v>9739</v>
      </c>
      <c r="C2612" t="s">
        <v>9740</v>
      </c>
      <c r="D2612" t="s">
        <v>9741</v>
      </c>
      <c r="E2612" t="s">
        <v>9739</v>
      </c>
      <c r="F2612" t="s">
        <v>28</v>
      </c>
      <c r="G2612" t="s">
        <v>9739</v>
      </c>
      <c r="H2612" t="str">
        <f>"T07D4.2"</f>
        <v>T07D4.2</v>
      </c>
      <c r="I2612" t="s">
        <v>9741</v>
      </c>
      <c r="J2612">
        <v>15.768711626206199</v>
      </c>
      <c r="K2612">
        <v>15.421562875882101</v>
      </c>
      <c r="L2612">
        <v>15.677943647582801</v>
      </c>
      <c r="M2612" t="s">
        <v>29</v>
      </c>
      <c r="N2612">
        <v>15.010318502146401</v>
      </c>
      <c r="O2612">
        <v>14.550985600662599</v>
      </c>
      <c r="P2612">
        <v>-0.84208733181918305</v>
      </c>
      <c r="Q2612">
        <v>-1.33931663385827</v>
      </c>
      <c r="R2612">
        <v>-0.344858029780092</v>
      </c>
      <c r="S2612">
        <v>15.3451782762858</v>
      </c>
      <c r="T2612">
        <v>-3.5747891666991398</v>
      </c>
      <c r="U2612">
        <v>-2.0559447738499901</v>
      </c>
      <c r="V2612">
        <v>2.35233406098373E-3</v>
      </c>
      <c r="W2612">
        <v>1.6311361124044799E-2</v>
      </c>
      <c r="X2612">
        <v>0</v>
      </c>
      <c r="Y2612">
        <v>0</v>
      </c>
    </row>
    <row r="2613" spans="1:25" x14ac:dyDescent="0.2">
      <c r="A2613" t="s">
        <v>9742</v>
      </c>
      <c r="B2613" t="s">
        <v>9743</v>
      </c>
      <c r="C2613" t="s">
        <v>9744</v>
      </c>
      <c r="D2613" t="s">
        <v>9745</v>
      </c>
      <c r="E2613" t="s">
        <v>9743</v>
      </c>
      <c r="F2613" t="s">
        <v>28</v>
      </c>
      <c r="G2613" t="s">
        <v>9743</v>
      </c>
      <c r="H2613" t="str">
        <f>"rha-1"</f>
        <v>rha-1</v>
      </c>
      <c r="I2613" t="s">
        <v>9745</v>
      </c>
      <c r="J2613">
        <v>14.797430381781499</v>
      </c>
      <c r="K2613">
        <v>14.7670373636421</v>
      </c>
      <c r="L2613">
        <v>14.788028493855</v>
      </c>
      <c r="M2613">
        <v>14.871833522442</v>
      </c>
      <c r="N2613">
        <v>14.2395401626449</v>
      </c>
      <c r="O2613">
        <v>14.672442355905099</v>
      </c>
      <c r="P2613">
        <v>-0.18956006609551301</v>
      </c>
      <c r="Q2613">
        <v>-0.59526527626339298</v>
      </c>
      <c r="R2613">
        <v>0.21614514407236701</v>
      </c>
      <c r="S2613">
        <v>14.855783571806599</v>
      </c>
      <c r="T2613">
        <v>-0.98203909984707705</v>
      </c>
      <c r="U2613">
        <v>-6.6634363376707801</v>
      </c>
      <c r="V2613">
        <v>0.33917223017342901</v>
      </c>
      <c r="W2613">
        <v>0.50996967465361998</v>
      </c>
      <c r="X2613">
        <v>0</v>
      </c>
      <c r="Y2613">
        <v>0</v>
      </c>
    </row>
    <row r="2614" spans="1:25" x14ac:dyDescent="0.2">
      <c r="A2614" t="s">
        <v>9746</v>
      </c>
      <c r="B2614" t="s">
        <v>9747</v>
      </c>
      <c r="C2614" t="s">
        <v>9748</v>
      </c>
      <c r="D2614" t="s">
        <v>2791</v>
      </c>
      <c r="E2614" t="s">
        <v>9747</v>
      </c>
      <c r="F2614" t="s">
        <v>28</v>
      </c>
      <c r="G2614" t="s">
        <v>9747</v>
      </c>
      <c r="H2614" t="str">
        <f>"ddx-19"</f>
        <v>ddx-19</v>
      </c>
      <c r="I2614" t="s">
        <v>2791</v>
      </c>
      <c r="J2614">
        <v>13.1107561351572</v>
      </c>
      <c r="K2614">
        <v>12.7129066316354</v>
      </c>
      <c r="L2614">
        <v>13.3307117537674</v>
      </c>
      <c r="M2614">
        <v>16.1853365257743</v>
      </c>
      <c r="N2614">
        <v>13.1106822088013</v>
      </c>
      <c r="O2614">
        <v>13.094678060741201</v>
      </c>
      <c r="P2614">
        <v>1.0787740915856201</v>
      </c>
      <c r="Q2614">
        <v>-2.7464335576950799E-2</v>
      </c>
      <c r="R2614">
        <v>2.1850125187481901</v>
      </c>
      <c r="S2614">
        <v>13.9503549169851</v>
      </c>
      <c r="T2614">
        <v>2.0496243899881001</v>
      </c>
      <c r="U2614">
        <v>-5.17728827427654</v>
      </c>
      <c r="V2614">
        <v>5.5350149072591698E-2</v>
      </c>
      <c r="W2614">
        <v>0.14668785010515101</v>
      </c>
      <c r="X2614">
        <v>0</v>
      </c>
      <c r="Y2614">
        <v>0</v>
      </c>
    </row>
    <row r="2615" spans="1:25" x14ac:dyDescent="0.2">
      <c r="A2615" t="s">
        <v>9749</v>
      </c>
      <c r="B2615" t="s">
        <v>9750</v>
      </c>
      <c r="C2615" t="s">
        <v>9751</v>
      </c>
      <c r="D2615" t="s">
        <v>9752</v>
      </c>
      <c r="E2615" t="s">
        <v>9750</v>
      </c>
      <c r="F2615" t="s">
        <v>28</v>
      </c>
      <c r="G2615" t="s">
        <v>9750</v>
      </c>
      <c r="H2615" t="str">
        <f>"epg-7"</f>
        <v>epg-7</v>
      </c>
      <c r="I2615" t="s">
        <v>9752</v>
      </c>
      <c r="J2615">
        <v>11.878314992858501</v>
      </c>
      <c r="K2615">
        <v>11.614385977042399</v>
      </c>
      <c r="L2615">
        <v>11.9107458578793</v>
      </c>
      <c r="M2615" t="s">
        <v>29</v>
      </c>
      <c r="N2615">
        <v>15.349212602206901</v>
      </c>
      <c r="O2615">
        <v>11.653537020190001</v>
      </c>
      <c r="P2615">
        <v>1.70022586860505</v>
      </c>
      <c r="Q2615">
        <v>0.18120374716653001</v>
      </c>
      <c r="R2615">
        <v>3.21924799004357</v>
      </c>
      <c r="S2615">
        <v>11.7289792200534</v>
      </c>
      <c r="T2615">
        <v>2.3626127004861699</v>
      </c>
      <c r="U2615">
        <v>-4.5131831596032201</v>
      </c>
      <c r="V2615">
        <v>3.0411576445070702E-2</v>
      </c>
      <c r="W2615">
        <v>9.73261220897991E-2</v>
      </c>
      <c r="X2615">
        <v>1</v>
      </c>
      <c r="Y2615">
        <v>0</v>
      </c>
    </row>
    <row r="2616" spans="1:25" x14ac:dyDescent="0.2">
      <c r="A2616" t="s">
        <v>9753</v>
      </c>
      <c r="B2616" t="s">
        <v>9754</v>
      </c>
      <c r="C2616" t="s">
        <v>9755</v>
      </c>
      <c r="D2616" t="s">
        <v>9756</v>
      </c>
      <c r="E2616" t="s">
        <v>9754</v>
      </c>
      <c r="F2616" t="s">
        <v>28</v>
      </c>
      <c r="G2616" t="s">
        <v>9754</v>
      </c>
      <c r="H2616" t="str">
        <f>"acdh-10"</f>
        <v>acdh-10</v>
      </c>
      <c r="I2616" t="s">
        <v>9756</v>
      </c>
      <c r="J2616">
        <v>17.819380705017</v>
      </c>
      <c r="K2616">
        <v>17.860025473818901</v>
      </c>
      <c r="L2616">
        <v>17.604049080128501</v>
      </c>
      <c r="M2616">
        <v>17.6622486413596</v>
      </c>
      <c r="N2616">
        <v>17.527603254812899</v>
      </c>
      <c r="O2616">
        <v>17.418657395340102</v>
      </c>
      <c r="P2616">
        <v>-0.224981989150592</v>
      </c>
      <c r="Q2616">
        <v>-0.55178264399019095</v>
      </c>
      <c r="R2616">
        <v>0.10181866568900701</v>
      </c>
      <c r="S2616">
        <v>17.222417305552501</v>
      </c>
      <c r="T2616">
        <v>-1.44696273769223</v>
      </c>
      <c r="U2616">
        <v>-6.1175633275251204</v>
      </c>
      <c r="V2616">
        <v>0.165198100799201</v>
      </c>
      <c r="W2616">
        <v>0.314089550358224</v>
      </c>
      <c r="X2616">
        <v>0</v>
      </c>
      <c r="Y2616">
        <v>0</v>
      </c>
    </row>
    <row r="2617" spans="1:25" x14ac:dyDescent="0.2">
      <c r="A2617" t="s">
        <v>9757</v>
      </c>
      <c r="B2617" t="s">
        <v>9758</v>
      </c>
      <c r="C2617" t="s">
        <v>9759</v>
      </c>
      <c r="D2617" t="s">
        <v>6170</v>
      </c>
      <c r="E2617" t="s">
        <v>9758</v>
      </c>
      <c r="F2617" t="s">
        <v>28</v>
      </c>
      <c r="G2617" t="s">
        <v>9758</v>
      </c>
      <c r="H2617" t="str">
        <f>"exc-15"</f>
        <v>exc-15</v>
      </c>
      <c r="I2617" t="s">
        <v>6170</v>
      </c>
      <c r="J2617">
        <v>10.441976319323301</v>
      </c>
      <c r="K2617" t="s">
        <v>29</v>
      </c>
      <c r="L2617" t="s">
        <v>29</v>
      </c>
      <c r="M2617">
        <v>13.967470937966601</v>
      </c>
      <c r="N2617">
        <v>14.4653166480014</v>
      </c>
      <c r="O2617">
        <v>13.8506816685028</v>
      </c>
      <c r="P2617">
        <v>3.6525134321669901</v>
      </c>
      <c r="Q2617">
        <v>2.69166637054348</v>
      </c>
      <c r="R2617">
        <v>4.6133604937905002</v>
      </c>
      <c r="S2617">
        <v>12.447943927549201</v>
      </c>
      <c r="T2617">
        <v>8.0628222421606992</v>
      </c>
      <c r="U2617">
        <v>6.5336994875472598</v>
      </c>
      <c r="V2617" s="2">
        <v>5.2435683380888895E-7</v>
      </c>
      <c r="W2617" s="2">
        <v>2.8095992531541701E-5</v>
      </c>
      <c r="X2617">
        <v>1</v>
      </c>
      <c r="Y2617">
        <v>1</v>
      </c>
    </row>
    <row r="2618" spans="1:25" x14ac:dyDescent="0.2">
      <c r="A2618" t="s">
        <v>9760</v>
      </c>
      <c r="B2618" t="s">
        <v>9761</v>
      </c>
      <c r="C2618" t="s">
        <v>9762</v>
      </c>
      <c r="D2618" t="s">
        <v>9763</v>
      </c>
      <c r="E2618" t="s">
        <v>9761</v>
      </c>
      <c r="F2618" t="s">
        <v>28</v>
      </c>
      <c r="G2618" t="s">
        <v>9761</v>
      </c>
      <c r="H2618" t="str">
        <f>"him-17"</f>
        <v>him-17</v>
      </c>
      <c r="I2618" t="s">
        <v>9763</v>
      </c>
      <c r="J2618">
        <v>11.8147115580175</v>
      </c>
      <c r="K2618">
        <v>11.0150229283594</v>
      </c>
      <c r="L2618">
        <v>11.771235612377099</v>
      </c>
      <c r="M2618" t="s">
        <v>29</v>
      </c>
      <c r="N2618" t="s">
        <v>29</v>
      </c>
      <c r="O2618">
        <v>11.689053760907999</v>
      </c>
      <c r="P2618">
        <v>0.15539706132336301</v>
      </c>
      <c r="Q2618">
        <v>-0.72628553208859203</v>
      </c>
      <c r="R2618">
        <v>1.03707965473532</v>
      </c>
      <c r="S2618">
        <v>12.891190575138101</v>
      </c>
      <c r="T2618">
        <v>0.37589983987245301</v>
      </c>
      <c r="U2618">
        <v>-6.7385560154818096</v>
      </c>
      <c r="V2618">
        <v>0.71229108935864704</v>
      </c>
      <c r="W2618">
        <v>0.81329788467258202</v>
      </c>
      <c r="X2618">
        <v>0</v>
      </c>
      <c r="Y2618">
        <v>0</v>
      </c>
    </row>
    <row r="2619" spans="1:25" x14ac:dyDescent="0.2">
      <c r="A2619" t="s">
        <v>9764</v>
      </c>
      <c r="B2619" t="s">
        <v>9765</v>
      </c>
      <c r="C2619" t="s">
        <v>9766</v>
      </c>
      <c r="D2619" t="s">
        <v>9767</v>
      </c>
      <c r="E2619" t="s">
        <v>9765</v>
      </c>
      <c r="F2619" t="s">
        <v>28</v>
      </c>
      <c r="G2619" t="s">
        <v>9765</v>
      </c>
      <c r="H2619" t="str">
        <f>"cni-1"</f>
        <v>cni-1</v>
      </c>
      <c r="I2619" t="s">
        <v>9767</v>
      </c>
      <c r="J2619">
        <v>14.8735496416909</v>
      </c>
      <c r="K2619">
        <v>15.1261801691579</v>
      </c>
      <c r="L2619">
        <v>15.476545211537299</v>
      </c>
      <c r="M2619" t="s">
        <v>29</v>
      </c>
      <c r="N2619">
        <v>15.4916911765721</v>
      </c>
      <c r="O2619">
        <v>14.8993419437522</v>
      </c>
      <c r="P2619">
        <v>3.6758219366792098E-2</v>
      </c>
      <c r="Q2619">
        <v>-0.58533775480894801</v>
      </c>
      <c r="R2619">
        <v>0.65885419354253205</v>
      </c>
      <c r="S2619">
        <v>15.3872335200882</v>
      </c>
      <c r="T2619">
        <v>0.124723154791314</v>
      </c>
      <c r="U2619">
        <v>-7.0373017912763096</v>
      </c>
      <c r="V2619">
        <v>0.90221470365216305</v>
      </c>
      <c r="W2619">
        <v>0.94236994478921499</v>
      </c>
      <c r="X2619">
        <v>0</v>
      </c>
      <c r="Y2619">
        <v>0</v>
      </c>
    </row>
    <row r="2620" spans="1:25" x14ac:dyDescent="0.2">
      <c r="A2620" t="s">
        <v>9768</v>
      </c>
      <c r="B2620" t="s">
        <v>9769</v>
      </c>
      <c r="C2620" t="s">
        <v>9770</v>
      </c>
      <c r="D2620" t="s">
        <v>9771</v>
      </c>
      <c r="E2620" t="s">
        <v>9769</v>
      </c>
      <c r="F2620" t="s">
        <v>28</v>
      </c>
      <c r="G2620" t="s">
        <v>9769</v>
      </c>
      <c r="H2620" t="str">
        <f>"unc-10"</f>
        <v>unc-10</v>
      </c>
      <c r="I2620" t="s">
        <v>9771</v>
      </c>
      <c r="J2620" t="s">
        <v>29</v>
      </c>
      <c r="K2620" t="s">
        <v>29</v>
      </c>
      <c r="L2620" t="s">
        <v>29</v>
      </c>
      <c r="M2620" t="s">
        <v>29</v>
      </c>
      <c r="N2620" t="s">
        <v>29</v>
      </c>
      <c r="O2620" t="s">
        <v>29</v>
      </c>
      <c r="P2620" t="s">
        <v>29</v>
      </c>
      <c r="Q2620" t="s">
        <v>29</v>
      </c>
      <c r="R2620" t="s">
        <v>29</v>
      </c>
      <c r="S2620">
        <v>12.9900359945476</v>
      </c>
      <c r="T2620" t="s">
        <v>29</v>
      </c>
      <c r="U2620" t="s">
        <v>29</v>
      </c>
      <c r="V2620" t="s">
        <v>29</v>
      </c>
      <c r="W2620" t="s">
        <v>29</v>
      </c>
      <c r="X2620" t="s">
        <v>29</v>
      </c>
      <c r="Y2620" t="s">
        <v>29</v>
      </c>
    </row>
    <row r="2621" spans="1:25" x14ac:dyDescent="0.2">
      <c r="A2621" t="s">
        <v>9772</v>
      </c>
      <c r="B2621" t="s">
        <v>9773</v>
      </c>
      <c r="C2621" t="s">
        <v>9774</v>
      </c>
      <c r="D2621" t="s">
        <v>9775</v>
      </c>
      <c r="E2621" t="s">
        <v>9773</v>
      </c>
      <c r="F2621" t="s">
        <v>28</v>
      </c>
      <c r="G2621" t="s">
        <v>9773</v>
      </c>
      <c r="H2621" t="str">
        <f>"ucr-2.2"</f>
        <v>ucr-2.2</v>
      </c>
      <c r="I2621" t="s">
        <v>9775</v>
      </c>
      <c r="J2621">
        <v>14.203801744935699</v>
      </c>
      <c r="K2621">
        <v>14.43007823738</v>
      </c>
      <c r="L2621">
        <v>14.4857498611703</v>
      </c>
      <c r="M2621">
        <v>13.0708941434509</v>
      </c>
      <c r="N2621">
        <v>13.945107978396001</v>
      </c>
      <c r="O2621">
        <v>13.682525338334299</v>
      </c>
      <c r="P2621">
        <v>-0.807034127768263</v>
      </c>
      <c r="Q2621">
        <v>-1.4215914512119301</v>
      </c>
      <c r="R2621">
        <v>-0.19247680432459899</v>
      </c>
      <c r="S2621">
        <v>14.5315934333057</v>
      </c>
      <c r="T2621">
        <v>-2.7600821936545499</v>
      </c>
      <c r="U2621">
        <v>-3.8295141923731899</v>
      </c>
      <c r="V2621">
        <v>1.29404301624549E-2</v>
      </c>
      <c r="W2621">
        <v>5.4557149769319899E-2</v>
      </c>
      <c r="X2621">
        <v>0</v>
      </c>
      <c r="Y2621">
        <v>0</v>
      </c>
    </row>
    <row r="2622" spans="1:25" x14ac:dyDescent="0.2">
      <c r="A2622" t="s">
        <v>9776</v>
      </c>
      <c r="B2622" t="s">
        <v>9777</v>
      </c>
      <c r="C2622" t="s">
        <v>9778</v>
      </c>
      <c r="D2622" t="s">
        <v>3312</v>
      </c>
      <c r="E2622" t="s">
        <v>9777</v>
      </c>
      <c r="F2622" t="s">
        <v>28</v>
      </c>
      <c r="G2622" t="s">
        <v>9777</v>
      </c>
      <c r="H2622" t="str">
        <f>"col-167"</f>
        <v>col-167</v>
      </c>
      <c r="I2622" t="s">
        <v>3312</v>
      </c>
      <c r="J2622">
        <v>13.9770707350267</v>
      </c>
      <c r="K2622">
        <v>13.285830730563299</v>
      </c>
      <c r="L2622">
        <v>13.8450132861756</v>
      </c>
      <c r="M2622" t="s">
        <v>29</v>
      </c>
      <c r="N2622">
        <v>13.7221941457532</v>
      </c>
      <c r="O2622">
        <v>13.2380404506996</v>
      </c>
      <c r="P2622">
        <v>-0.22252095236213701</v>
      </c>
      <c r="Q2622">
        <v>-0.79451442336439804</v>
      </c>
      <c r="R2622">
        <v>0.34947251864012402</v>
      </c>
      <c r="S2622">
        <v>13.6263527154433</v>
      </c>
      <c r="T2622">
        <v>-0.82116390548029095</v>
      </c>
      <c r="U2622">
        <v>-6.6979633863783103</v>
      </c>
      <c r="V2622">
        <v>0.42298930816751701</v>
      </c>
      <c r="W2622">
        <v>0.58855027911693703</v>
      </c>
      <c r="X2622">
        <v>0</v>
      </c>
      <c r="Y2622">
        <v>0</v>
      </c>
    </row>
    <row r="2623" spans="1:25" x14ac:dyDescent="0.2">
      <c r="A2623" t="s">
        <v>9779</v>
      </c>
      <c r="B2623" t="s">
        <v>9780</v>
      </c>
      <c r="C2623" t="s">
        <v>9781</v>
      </c>
      <c r="D2623" t="s">
        <v>3246</v>
      </c>
      <c r="E2623" t="s">
        <v>9780</v>
      </c>
      <c r="F2623" t="s">
        <v>28</v>
      </c>
      <c r="G2623" t="s">
        <v>9780</v>
      </c>
      <c r="H2623" t="str">
        <f>"dhs-19"</f>
        <v>dhs-19</v>
      </c>
      <c r="I2623" t="s">
        <v>3246</v>
      </c>
      <c r="J2623">
        <v>15.4129520784176</v>
      </c>
      <c r="K2623">
        <v>15.205411470928899</v>
      </c>
      <c r="L2623">
        <v>15.478202128740399</v>
      </c>
      <c r="M2623">
        <v>15.5964431752222</v>
      </c>
      <c r="N2623">
        <v>15.2175056082746</v>
      </c>
      <c r="O2623">
        <v>15.484138283871101</v>
      </c>
      <c r="P2623">
        <v>6.71737964269781E-2</v>
      </c>
      <c r="Q2623">
        <v>-0.32871005488611699</v>
      </c>
      <c r="R2623">
        <v>0.46305764774007402</v>
      </c>
      <c r="S2623">
        <v>15.1816386147534</v>
      </c>
      <c r="T2623">
        <v>0.35663554029168998</v>
      </c>
      <c r="U2623">
        <v>-7.0897917180777403</v>
      </c>
      <c r="V2623">
        <v>0.72553518111446302</v>
      </c>
      <c r="W2623">
        <v>0.82458626253155498</v>
      </c>
      <c r="X2623">
        <v>0</v>
      </c>
      <c r="Y2623">
        <v>0</v>
      </c>
    </row>
    <row r="2624" spans="1:25" x14ac:dyDescent="0.2">
      <c r="A2624" t="s">
        <v>9782</v>
      </c>
      <c r="B2624" t="s">
        <v>9783</v>
      </c>
      <c r="C2624" t="s">
        <v>9784</v>
      </c>
      <c r="D2624" t="s">
        <v>9785</v>
      </c>
      <c r="E2624" t="s">
        <v>9783</v>
      </c>
      <c r="F2624" t="s">
        <v>28</v>
      </c>
      <c r="G2624" t="s">
        <v>9783</v>
      </c>
      <c r="H2624" t="str">
        <f>"rbm-22"</f>
        <v>rbm-22</v>
      </c>
      <c r="I2624" t="s">
        <v>9785</v>
      </c>
      <c r="J2624">
        <v>13.2460678809655</v>
      </c>
      <c r="K2624">
        <v>12.826516507658299</v>
      </c>
      <c r="L2624">
        <v>13.317786311600999</v>
      </c>
      <c r="M2624" t="s">
        <v>29</v>
      </c>
      <c r="N2624" t="s">
        <v>29</v>
      </c>
      <c r="O2624">
        <v>13.321563471601101</v>
      </c>
      <c r="P2624">
        <v>0.191439904859529</v>
      </c>
      <c r="Q2624">
        <v>-0.51143762127815795</v>
      </c>
      <c r="R2624">
        <v>0.89431743099721495</v>
      </c>
      <c r="S2624">
        <v>13.5652510439905</v>
      </c>
      <c r="T2624">
        <v>0.57769996630849896</v>
      </c>
      <c r="U2624">
        <v>-6.6392722917090001</v>
      </c>
      <c r="V2624">
        <v>0.57156033014404695</v>
      </c>
      <c r="W2624">
        <v>0.71144786302532004</v>
      </c>
      <c r="X2624">
        <v>0</v>
      </c>
      <c r="Y2624">
        <v>0</v>
      </c>
    </row>
    <row r="2625" spans="1:25" x14ac:dyDescent="0.2">
      <c r="A2625" t="s">
        <v>9786</v>
      </c>
      <c r="B2625" t="s">
        <v>9787</v>
      </c>
      <c r="C2625" t="s">
        <v>9788</v>
      </c>
      <c r="D2625" t="s">
        <v>9789</v>
      </c>
      <c r="E2625" t="s">
        <v>9787</v>
      </c>
      <c r="F2625" t="s">
        <v>28</v>
      </c>
      <c r="G2625" t="s">
        <v>9787</v>
      </c>
      <c r="H2625" t="str">
        <f>"tebp-2"</f>
        <v>tebp-2</v>
      </c>
      <c r="I2625" t="s">
        <v>9789</v>
      </c>
      <c r="J2625" t="s">
        <v>29</v>
      </c>
      <c r="K2625" t="s">
        <v>29</v>
      </c>
      <c r="L2625" t="s">
        <v>29</v>
      </c>
      <c r="M2625" t="s">
        <v>29</v>
      </c>
      <c r="N2625" t="s">
        <v>29</v>
      </c>
      <c r="O2625" t="s">
        <v>29</v>
      </c>
      <c r="P2625" t="s">
        <v>29</v>
      </c>
      <c r="Q2625" t="s">
        <v>29</v>
      </c>
      <c r="R2625" t="s">
        <v>29</v>
      </c>
      <c r="S2625">
        <v>11.0605769979075</v>
      </c>
      <c r="T2625" t="s">
        <v>29</v>
      </c>
      <c r="U2625" t="s">
        <v>29</v>
      </c>
      <c r="V2625" t="s">
        <v>29</v>
      </c>
      <c r="W2625" t="s">
        <v>29</v>
      </c>
      <c r="X2625" t="s">
        <v>29</v>
      </c>
      <c r="Y2625" t="s">
        <v>29</v>
      </c>
    </row>
    <row r="2626" spans="1:25" x14ac:dyDescent="0.2">
      <c r="A2626" t="s">
        <v>9790</v>
      </c>
      <c r="B2626" t="s">
        <v>9791</v>
      </c>
      <c r="C2626" t="s">
        <v>9792</v>
      </c>
      <c r="D2626" t="s">
        <v>3680</v>
      </c>
      <c r="E2626" t="s">
        <v>9791</v>
      </c>
      <c r="F2626" t="s">
        <v>28</v>
      </c>
      <c r="G2626" t="s">
        <v>9791</v>
      </c>
      <c r="H2626" t="str">
        <f>"cec-6"</f>
        <v>cec-6</v>
      </c>
      <c r="I2626" t="s">
        <v>3680</v>
      </c>
      <c r="J2626" t="s">
        <v>29</v>
      </c>
      <c r="K2626" t="s">
        <v>29</v>
      </c>
      <c r="L2626" t="s">
        <v>29</v>
      </c>
      <c r="M2626" t="s">
        <v>29</v>
      </c>
      <c r="N2626" t="s">
        <v>29</v>
      </c>
      <c r="O2626" t="s">
        <v>29</v>
      </c>
      <c r="P2626" t="s">
        <v>29</v>
      </c>
      <c r="Q2626" t="s">
        <v>29</v>
      </c>
      <c r="R2626" t="s">
        <v>29</v>
      </c>
      <c r="S2626">
        <v>11.759444597322601</v>
      </c>
      <c r="T2626" t="s">
        <v>29</v>
      </c>
      <c r="U2626" t="s">
        <v>29</v>
      </c>
      <c r="V2626" t="s">
        <v>29</v>
      </c>
      <c r="W2626" t="s">
        <v>29</v>
      </c>
      <c r="X2626" t="s">
        <v>29</v>
      </c>
      <c r="Y2626" t="s">
        <v>29</v>
      </c>
    </row>
    <row r="2627" spans="1:25" x14ac:dyDescent="0.2">
      <c r="A2627" t="s">
        <v>9793</v>
      </c>
      <c r="B2627" t="s">
        <v>9794</v>
      </c>
      <c r="C2627" t="s">
        <v>9795</v>
      </c>
      <c r="D2627" t="s">
        <v>9796</v>
      </c>
      <c r="E2627" t="s">
        <v>9794</v>
      </c>
      <c r="F2627" t="s">
        <v>28</v>
      </c>
      <c r="G2627" t="s">
        <v>9794</v>
      </c>
      <c r="H2627" t="str">
        <f>"ari-2"</f>
        <v>ari-2</v>
      </c>
      <c r="I2627" t="s">
        <v>9796</v>
      </c>
      <c r="J2627" t="s">
        <v>29</v>
      </c>
      <c r="K2627" t="s">
        <v>29</v>
      </c>
      <c r="L2627" t="s">
        <v>29</v>
      </c>
      <c r="M2627" t="s">
        <v>29</v>
      </c>
      <c r="N2627" t="s">
        <v>29</v>
      </c>
      <c r="O2627" t="s">
        <v>29</v>
      </c>
      <c r="P2627" t="s">
        <v>29</v>
      </c>
      <c r="Q2627" t="s">
        <v>29</v>
      </c>
      <c r="R2627" t="s">
        <v>29</v>
      </c>
      <c r="S2627">
        <v>11.1750600371704</v>
      </c>
      <c r="T2627" t="s">
        <v>29</v>
      </c>
      <c r="U2627" t="s">
        <v>29</v>
      </c>
      <c r="V2627" t="s">
        <v>29</v>
      </c>
      <c r="W2627" t="s">
        <v>29</v>
      </c>
      <c r="X2627" t="s">
        <v>29</v>
      </c>
      <c r="Y2627" t="s">
        <v>29</v>
      </c>
    </row>
    <row r="2628" spans="1:25" x14ac:dyDescent="0.2">
      <c r="A2628" t="s">
        <v>9797</v>
      </c>
      <c r="B2628" t="s">
        <v>9798</v>
      </c>
      <c r="C2628" t="s">
        <v>9799</v>
      </c>
      <c r="D2628" t="s">
        <v>7469</v>
      </c>
      <c r="E2628" t="s">
        <v>9798</v>
      </c>
      <c r="F2628" t="s">
        <v>28</v>
      </c>
      <c r="G2628" t="s">
        <v>9798</v>
      </c>
      <c r="H2628" t="str">
        <f>"sqst-1"</f>
        <v>sqst-1</v>
      </c>
      <c r="I2628" t="s">
        <v>7469</v>
      </c>
      <c r="J2628">
        <v>10.1296427632373</v>
      </c>
      <c r="K2628">
        <v>12.1239599765162</v>
      </c>
      <c r="L2628">
        <v>11.3562568510447</v>
      </c>
      <c r="M2628" t="s">
        <v>29</v>
      </c>
      <c r="N2628" t="s">
        <v>29</v>
      </c>
      <c r="O2628" t="s">
        <v>29</v>
      </c>
      <c r="P2628" t="s">
        <v>29</v>
      </c>
      <c r="Q2628" t="s">
        <v>29</v>
      </c>
      <c r="R2628" t="s">
        <v>29</v>
      </c>
      <c r="S2628">
        <v>10.5962791974759</v>
      </c>
      <c r="T2628" t="s">
        <v>29</v>
      </c>
      <c r="U2628" t="s">
        <v>29</v>
      </c>
      <c r="V2628" t="s">
        <v>29</v>
      </c>
      <c r="W2628" t="s">
        <v>29</v>
      </c>
      <c r="X2628" t="s">
        <v>29</v>
      </c>
      <c r="Y2628" t="s">
        <v>29</v>
      </c>
    </row>
    <row r="2629" spans="1:25" x14ac:dyDescent="0.2">
      <c r="A2629" t="s">
        <v>9800</v>
      </c>
      <c r="B2629" t="s">
        <v>9801</v>
      </c>
      <c r="C2629" t="s">
        <v>9802</v>
      </c>
      <c r="D2629" t="s">
        <v>9803</v>
      </c>
      <c r="E2629" t="s">
        <v>9801</v>
      </c>
      <c r="F2629" t="s">
        <v>28</v>
      </c>
      <c r="G2629" t="s">
        <v>9801</v>
      </c>
      <c r="H2629" t="str">
        <f>"ssup-72"</f>
        <v>ssup-72</v>
      </c>
      <c r="I2629" t="s">
        <v>9803</v>
      </c>
      <c r="J2629" t="s">
        <v>29</v>
      </c>
      <c r="K2629">
        <v>11.8293124023005</v>
      </c>
      <c r="L2629">
        <v>12.020058581656</v>
      </c>
      <c r="M2629" t="s">
        <v>29</v>
      </c>
      <c r="N2629" t="s">
        <v>29</v>
      </c>
      <c r="O2629" t="s">
        <v>29</v>
      </c>
      <c r="P2629" t="s">
        <v>29</v>
      </c>
      <c r="Q2629" t="s">
        <v>29</v>
      </c>
      <c r="R2629" t="s">
        <v>29</v>
      </c>
      <c r="S2629">
        <v>12.6395701013824</v>
      </c>
      <c r="T2629" t="s">
        <v>29</v>
      </c>
      <c r="U2629" t="s">
        <v>29</v>
      </c>
      <c r="V2629" t="s">
        <v>29</v>
      </c>
      <c r="W2629" t="s">
        <v>29</v>
      </c>
      <c r="X2629" t="s">
        <v>29</v>
      </c>
      <c r="Y2629" t="s">
        <v>29</v>
      </c>
    </row>
    <row r="2630" spans="1:25" x14ac:dyDescent="0.2">
      <c r="A2630" t="s">
        <v>9804</v>
      </c>
      <c r="B2630" t="s">
        <v>9805</v>
      </c>
      <c r="C2630" t="s">
        <v>9806</v>
      </c>
      <c r="D2630" t="s">
        <v>9807</v>
      </c>
      <c r="E2630" t="s">
        <v>9805</v>
      </c>
      <c r="F2630" t="s">
        <v>28</v>
      </c>
      <c r="G2630" t="s">
        <v>9805</v>
      </c>
      <c r="H2630" t="str">
        <f>"bca-1"</f>
        <v>bca-1</v>
      </c>
      <c r="I2630" t="s">
        <v>9807</v>
      </c>
      <c r="J2630">
        <v>13.9537445093095</v>
      </c>
      <c r="K2630">
        <v>14.1364269638058</v>
      </c>
      <c r="L2630">
        <v>13.9812280500776</v>
      </c>
      <c r="M2630" t="s">
        <v>29</v>
      </c>
      <c r="N2630" t="s">
        <v>29</v>
      </c>
      <c r="O2630">
        <v>15.1820573829556</v>
      </c>
      <c r="P2630">
        <v>1.1582575418913601</v>
      </c>
      <c r="Q2630">
        <v>0.61252909854291804</v>
      </c>
      <c r="R2630">
        <v>1.7039859852398</v>
      </c>
      <c r="S2630">
        <v>13.8610823204013</v>
      </c>
      <c r="T2630">
        <v>4.5265795057414904</v>
      </c>
      <c r="U2630">
        <v>-6.4579589894845996E-2</v>
      </c>
      <c r="V2630">
        <v>4.0831196372573302E-4</v>
      </c>
      <c r="W2630">
        <v>4.7003724886708403E-3</v>
      </c>
      <c r="X2630">
        <v>1</v>
      </c>
      <c r="Y2630">
        <v>1</v>
      </c>
    </row>
    <row r="2631" spans="1:25" x14ac:dyDescent="0.2">
      <c r="A2631" t="s">
        <v>9808</v>
      </c>
      <c r="B2631" t="s">
        <v>9809</v>
      </c>
      <c r="C2631" t="s">
        <v>9810</v>
      </c>
      <c r="D2631" t="s">
        <v>9811</v>
      </c>
      <c r="E2631" t="s">
        <v>9809</v>
      </c>
      <c r="F2631" t="s">
        <v>28</v>
      </c>
      <c r="G2631" t="s">
        <v>9809</v>
      </c>
      <c r="H2631" t="str">
        <f>"mrps-18b"</f>
        <v>mrps-18b</v>
      </c>
      <c r="I2631" t="s">
        <v>9811</v>
      </c>
      <c r="J2631">
        <v>12.037505346827</v>
      </c>
      <c r="K2631">
        <v>12.1401525941284</v>
      </c>
      <c r="L2631">
        <v>12.4709363318399</v>
      </c>
      <c r="M2631" t="s">
        <v>29</v>
      </c>
      <c r="N2631" t="s">
        <v>29</v>
      </c>
      <c r="O2631">
        <v>11.254572277874299</v>
      </c>
      <c r="P2631">
        <v>-0.96162581305744199</v>
      </c>
      <c r="Q2631">
        <v>-1.7998315102621301</v>
      </c>
      <c r="R2631">
        <v>-0.123420115852757</v>
      </c>
      <c r="S2631">
        <v>12.764362168473999</v>
      </c>
      <c r="T2631">
        <v>-2.4805200895805299</v>
      </c>
      <c r="U2631">
        <v>-4.1415139994788603</v>
      </c>
      <c r="V2631">
        <v>2.7713783673350499E-2</v>
      </c>
      <c r="W2631">
        <v>9.1091792849772896E-2</v>
      </c>
      <c r="X2631">
        <v>0</v>
      </c>
      <c r="Y2631">
        <v>0</v>
      </c>
    </row>
    <row r="2632" spans="1:25" x14ac:dyDescent="0.2">
      <c r="A2632" t="s">
        <v>9812</v>
      </c>
      <c r="B2632" t="s">
        <v>9813</v>
      </c>
      <c r="C2632" t="s">
        <v>14526</v>
      </c>
      <c r="D2632" t="s">
        <v>9814</v>
      </c>
      <c r="E2632" t="s">
        <v>9813</v>
      </c>
      <c r="F2632" t="s">
        <v>28</v>
      </c>
      <c r="G2632" t="s">
        <v>9813</v>
      </c>
      <c r="H2632" t="str">
        <f>"T14B4.1"</f>
        <v>T14B4.1</v>
      </c>
      <c r="I2632" t="s">
        <v>9814</v>
      </c>
      <c r="J2632">
        <v>13.4970802208687</v>
      </c>
      <c r="K2632">
        <v>13.8125389839274</v>
      </c>
      <c r="L2632">
        <v>13.5429280557408</v>
      </c>
      <c r="M2632">
        <v>15.636940303822399</v>
      </c>
      <c r="N2632" t="s">
        <v>29</v>
      </c>
      <c r="O2632">
        <v>14.6551612110291</v>
      </c>
      <c r="P2632">
        <v>1.52853500391343</v>
      </c>
      <c r="Q2632">
        <v>0.87269831712831103</v>
      </c>
      <c r="R2632">
        <v>2.1843716906985402</v>
      </c>
      <c r="S2632">
        <v>13.2295413873691</v>
      </c>
      <c r="T2632">
        <v>4.9195988898070304</v>
      </c>
      <c r="U2632">
        <v>0.81334694935640295</v>
      </c>
      <c r="V2632">
        <v>1.3197813182783301E-4</v>
      </c>
      <c r="W2632">
        <v>2.1023759702520298E-3</v>
      </c>
      <c r="X2632">
        <v>1</v>
      </c>
      <c r="Y2632">
        <v>1</v>
      </c>
    </row>
    <row r="2633" spans="1:25" x14ac:dyDescent="0.2">
      <c r="A2633" t="s">
        <v>9815</v>
      </c>
      <c r="B2633" t="s">
        <v>9816</v>
      </c>
      <c r="C2633" t="s">
        <v>9817</v>
      </c>
      <c r="D2633" t="s">
        <v>9818</v>
      </c>
      <c r="E2633" t="s">
        <v>9816</v>
      </c>
      <c r="F2633" t="s">
        <v>28</v>
      </c>
      <c r="G2633" t="s">
        <v>9816</v>
      </c>
      <c r="H2633" t="str">
        <f>"vha-15"</f>
        <v>vha-15</v>
      </c>
      <c r="I2633" t="s">
        <v>9818</v>
      </c>
      <c r="J2633">
        <v>18.307585953442601</v>
      </c>
      <c r="K2633">
        <v>18.0635182334238</v>
      </c>
      <c r="L2633">
        <v>18.059218067839801</v>
      </c>
      <c r="M2633">
        <v>17.369971578008599</v>
      </c>
      <c r="N2633">
        <v>17.915534994736401</v>
      </c>
      <c r="O2633">
        <v>17.850110473897299</v>
      </c>
      <c r="P2633">
        <v>-0.43156840268793001</v>
      </c>
      <c r="Q2633">
        <v>-0.80750201777230401</v>
      </c>
      <c r="R2633">
        <v>-5.5634787603555599E-2</v>
      </c>
      <c r="S2633">
        <v>17.673387680268199</v>
      </c>
      <c r="T2633">
        <v>-2.4128537140524702</v>
      </c>
      <c r="U2633">
        <v>-4.5135782965953801</v>
      </c>
      <c r="V2633">
        <v>2.6780898249077301E-2</v>
      </c>
      <c r="W2633">
        <v>8.9078224763014302E-2</v>
      </c>
      <c r="X2633">
        <v>0</v>
      </c>
      <c r="Y2633">
        <v>0</v>
      </c>
    </row>
    <row r="2634" spans="1:25" x14ac:dyDescent="0.2">
      <c r="A2634" t="s">
        <v>9819</v>
      </c>
      <c r="B2634" t="s">
        <v>9820</v>
      </c>
      <c r="C2634" t="s">
        <v>9821</v>
      </c>
      <c r="D2634" t="s">
        <v>9822</v>
      </c>
      <c r="E2634" t="s">
        <v>9820</v>
      </c>
      <c r="F2634" t="s">
        <v>28</v>
      </c>
      <c r="G2634" t="s">
        <v>9820</v>
      </c>
      <c r="H2634" t="str">
        <f>"copg-1"</f>
        <v>copg-1</v>
      </c>
      <c r="I2634" t="s">
        <v>9822</v>
      </c>
      <c r="J2634">
        <v>15.447819878622701</v>
      </c>
      <c r="K2634">
        <v>15.434697262086599</v>
      </c>
      <c r="L2634">
        <v>15.4688523899238</v>
      </c>
      <c r="M2634">
        <v>15.6955257278092</v>
      </c>
      <c r="N2634">
        <v>15.6370210850075</v>
      </c>
      <c r="O2634">
        <v>15.3224529192502</v>
      </c>
      <c r="P2634">
        <v>0.101210067144601</v>
      </c>
      <c r="Q2634">
        <v>-0.25872861699491001</v>
      </c>
      <c r="R2634">
        <v>0.46114875128411198</v>
      </c>
      <c r="S2634">
        <v>15.544508402591701</v>
      </c>
      <c r="T2634">
        <v>0.59100030021512295</v>
      </c>
      <c r="U2634">
        <v>-6.9747780772041104</v>
      </c>
      <c r="V2634">
        <v>0.56191145381246899</v>
      </c>
      <c r="W2634">
        <v>0.70429198242463198</v>
      </c>
      <c r="X2634">
        <v>0</v>
      </c>
      <c r="Y2634">
        <v>0</v>
      </c>
    </row>
    <row r="2635" spans="1:25" x14ac:dyDescent="0.2">
      <c r="A2635" t="s">
        <v>9823</v>
      </c>
      <c r="B2635" t="s">
        <v>9824</v>
      </c>
      <c r="C2635" t="s">
        <v>9825</v>
      </c>
      <c r="D2635" t="s">
        <v>368</v>
      </c>
      <c r="E2635" t="s">
        <v>9824</v>
      </c>
      <c r="F2635" t="s">
        <v>28</v>
      </c>
      <c r="G2635" t="s">
        <v>9824</v>
      </c>
      <c r="H2635" t="str">
        <f>"tag-18"</f>
        <v>tag-18</v>
      </c>
      <c r="I2635" t="s">
        <v>368</v>
      </c>
      <c r="J2635">
        <v>17.860990862824199</v>
      </c>
      <c r="K2635">
        <v>17.9510350147069</v>
      </c>
      <c r="L2635">
        <v>18.334469223568401</v>
      </c>
      <c r="M2635">
        <v>18.0715534327006</v>
      </c>
      <c r="N2635">
        <v>18.145824409083001</v>
      </c>
      <c r="O2635">
        <v>17.3013795183988</v>
      </c>
      <c r="P2635">
        <v>-0.20924591363904499</v>
      </c>
      <c r="Q2635">
        <v>-0.65112851208502498</v>
      </c>
      <c r="R2635">
        <v>0.232636684806936</v>
      </c>
      <c r="S2635">
        <v>18.3031648353275</v>
      </c>
      <c r="T2635">
        <v>-0.99527386354006098</v>
      </c>
      <c r="U2635">
        <v>-6.6504184328202198</v>
      </c>
      <c r="V2635">
        <v>0.33287152273145698</v>
      </c>
      <c r="W2635">
        <v>0.50409680240986798</v>
      </c>
      <c r="X2635">
        <v>0</v>
      </c>
      <c r="Y2635">
        <v>0</v>
      </c>
    </row>
    <row r="2636" spans="1:25" x14ac:dyDescent="0.2">
      <c r="A2636" t="s">
        <v>9826</v>
      </c>
      <c r="B2636" t="s">
        <v>9827</v>
      </c>
      <c r="C2636" t="s">
        <v>9828</v>
      </c>
      <c r="D2636" t="s">
        <v>9829</v>
      </c>
      <c r="E2636" t="s">
        <v>9827</v>
      </c>
      <c r="F2636" t="s">
        <v>28</v>
      </c>
      <c r="G2636" t="s">
        <v>9827</v>
      </c>
      <c r="H2636" t="str">
        <f>"chd-3"</f>
        <v>chd-3</v>
      </c>
      <c r="I2636" t="s">
        <v>9829</v>
      </c>
      <c r="J2636">
        <v>11.912984977562701</v>
      </c>
      <c r="K2636">
        <v>11.767126197006499</v>
      </c>
      <c r="L2636">
        <v>11.6968898445425</v>
      </c>
      <c r="M2636" t="s">
        <v>29</v>
      </c>
      <c r="N2636" t="s">
        <v>29</v>
      </c>
      <c r="O2636">
        <v>13.109260900752499</v>
      </c>
      <c r="P2636">
        <v>1.3169272277153099</v>
      </c>
      <c r="Q2636">
        <v>0.490939730239428</v>
      </c>
      <c r="R2636">
        <v>2.14291472519119</v>
      </c>
      <c r="S2636">
        <v>11.6346728009453</v>
      </c>
      <c r="T2636">
        <v>3.4003992289608398</v>
      </c>
      <c r="U2636">
        <v>-2.3194753880329499</v>
      </c>
      <c r="V2636">
        <v>3.9888398016777599E-3</v>
      </c>
      <c r="W2636">
        <v>2.3990022235804799E-2</v>
      </c>
      <c r="X2636">
        <v>1</v>
      </c>
      <c r="Y2636">
        <v>1</v>
      </c>
    </row>
    <row r="2637" spans="1:25" x14ac:dyDescent="0.2">
      <c r="A2637" t="s">
        <v>9830</v>
      </c>
      <c r="B2637" t="s">
        <v>9831</v>
      </c>
      <c r="C2637" t="s">
        <v>9832</v>
      </c>
      <c r="D2637" t="s">
        <v>9833</v>
      </c>
      <c r="E2637" t="s">
        <v>9831</v>
      </c>
      <c r="F2637" t="s">
        <v>28</v>
      </c>
      <c r="G2637" t="s">
        <v>9831</v>
      </c>
      <c r="H2637" t="str">
        <f>"ekl-6"</f>
        <v>ekl-6</v>
      </c>
      <c r="I2637" t="s">
        <v>9833</v>
      </c>
      <c r="J2637">
        <v>15.2033462052809</v>
      </c>
      <c r="K2637">
        <v>15.072319960290599</v>
      </c>
      <c r="L2637">
        <v>14.953652419466801</v>
      </c>
      <c r="M2637">
        <v>15.366982489932701</v>
      </c>
      <c r="N2637">
        <v>14.594750030226701</v>
      </c>
      <c r="O2637">
        <v>15.079456090899001</v>
      </c>
      <c r="P2637">
        <v>-6.2709991326613604E-2</v>
      </c>
      <c r="Q2637">
        <v>-0.52618208919582798</v>
      </c>
      <c r="R2637">
        <v>0.40076210654260103</v>
      </c>
      <c r="S2637">
        <v>15.007484540066599</v>
      </c>
      <c r="T2637">
        <v>-0.28438432850392797</v>
      </c>
      <c r="U2637">
        <v>-7.1139559238924903</v>
      </c>
      <c r="V2637">
        <v>0.77938047837685098</v>
      </c>
      <c r="W2637">
        <v>0.86055986128759099</v>
      </c>
      <c r="X2637">
        <v>0</v>
      </c>
      <c r="Y2637">
        <v>0</v>
      </c>
    </row>
    <row r="2638" spans="1:25" x14ac:dyDescent="0.2">
      <c r="A2638" t="s">
        <v>9834</v>
      </c>
      <c r="B2638" t="s">
        <v>9835</v>
      </c>
      <c r="C2638" t="s">
        <v>14527</v>
      </c>
      <c r="D2638" t="s">
        <v>9836</v>
      </c>
      <c r="E2638" t="s">
        <v>9835</v>
      </c>
      <c r="F2638" t="s">
        <v>28</v>
      </c>
      <c r="G2638" t="s">
        <v>9835</v>
      </c>
      <c r="H2638" t="str">
        <f>"T16G12.6"</f>
        <v>T16G12.6</v>
      </c>
      <c r="I2638" t="s">
        <v>9836</v>
      </c>
      <c r="J2638">
        <v>11.6497836574045</v>
      </c>
      <c r="K2638">
        <v>11.629737208256801</v>
      </c>
      <c r="L2638">
        <v>11.3663842243421</v>
      </c>
      <c r="M2638" t="s">
        <v>29</v>
      </c>
      <c r="N2638" t="s">
        <v>29</v>
      </c>
      <c r="O2638" t="s">
        <v>29</v>
      </c>
      <c r="P2638" t="s">
        <v>29</v>
      </c>
      <c r="Q2638" t="s">
        <v>29</v>
      </c>
      <c r="R2638" t="s">
        <v>29</v>
      </c>
      <c r="S2638">
        <v>11.7699139443883</v>
      </c>
      <c r="T2638" t="s">
        <v>29</v>
      </c>
      <c r="U2638" t="s">
        <v>29</v>
      </c>
      <c r="V2638" t="s">
        <v>29</v>
      </c>
      <c r="W2638" t="s">
        <v>29</v>
      </c>
      <c r="X2638" t="s">
        <v>29</v>
      </c>
      <c r="Y2638" t="s">
        <v>29</v>
      </c>
    </row>
    <row r="2639" spans="1:25" x14ac:dyDescent="0.2">
      <c r="A2639" t="s">
        <v>9837</v>
      </c>
      <c r="B2639" t="s">
        <v>9838</v>
      </c>
      <c r="C2639" t="s">
        <v>9839</v>
      </c>
      <c r="D2639" t="s">
        <v>9840</v>
      </c>
      <c r="E2639" t="s">
        <v>9838</v>
      </c>
      <c r="F2639" t="s">
        <v>28</v>
      </c>
      <c r="G2639" t="s">
        <v>9838</v>
      </c>
      <c r="H2639" t="str">
        <f>"idpp-1"</f>
        <v>idpp-1</v>
      </c>
      <c r="I2639" t="s">
        <v>9840</v>
      </c>
      <c r="J2639">
        <v>14.2246224099364</v>
      </c>
      <c r="K2639">
        <v>14.757468506452</v>
      </c>
      <c r="L2639">
        <v>15.0162946961459</v>
      </c>
      <c r="M2639">
        <v>12.383939621524</v>
      </c>
      <c r="N2639">
        <v>13.609238685452301</v>
      </c>
      <c r="O2639">
        <v>14.125466057649399</v>
      </c>
      <c r="P2639">
        <v>-1.2932470826361799</v>
      </c>
      <c r="Q2639">
        <v>-2.1242040577075301</v>
      </c>
      <c r="R2639">
        <v>-0.46229010756483202</v>
      </c>
      <c r="S2639">
        <v>14.768301354776</v>
      </c>
      <c r="T2639">
        <v>-3.27111251696443</v>
      </c>
      <c r="U2639">
        <v>-2.76171768777255</v>
      </c>
      <c r="V2639">
        <v>4.2687492186546097E-3</v>
      </c>
      <c r="W2639">
        <v>2.5311879169768899E-2</v>
      </c>
      <c r="X2639">
        <v>-1</v>
      </c>
      <c r="Y2639">
        <v>-1</v>
      </c>
    </row>
    <row r="2640" spans="1:25" x14ac:dyDescent="0.2">
      <c r="A2640" t="s">
        <v>9841</v>
      </c>
      <c r="B2640" t="s">
        <v>9842</v>
      </c>
      <c r="C2640" t="s">
        <v>9843</v>
      </c>
      <c r="D2640" t="s">
        <v>581</v>
      </c>
      <c r="E2640" t="s">
        <v>9842</v>
      </c>
      <c r="F2640" t="s">
        <v>28</v>
      </c>
      <c r="G2640" t="s">
        <v>9842</v>
      </c>
      <c r="H2640" t="str">
        <f>"ttc-17"</f>
        <v>ttc-17</v>
      </c>
      <c r="I2640" t="s">
        <v>581</v>
      </c>
      <c r="J2640">
        <v>12.209569890097599</v>
      </c>
      <c r="K2640">
        <v>13.9193719080045</v>
      </c>
      <c r="L2640">
        <v>11.300194490858701</v>
      </c>
      <c r="M2640" t="s">
        <v>29</v>
      </c>
      <c r="N2640" t="s">
        <v>29</v>
      </c>
      <c r="O2640">
        <v>12.02514413399</v>
      </c>
      <c r="P2640">
        <v>-0.45123462899690697</v>
      </c>
      <c r="Q2640">
        <v>-2.22167470855209</v>
      </c>
      <c r="R2640">
        <v>1.31920545055828</v>
      </c>
      <c r="S2640">
        <v>11.782743078493001</v>
      </c>
      <c r="T2640">
        <v>-0.54357915524262301</v>
      </c>
      <c r="U2640">
        <v>-6.6584546892862404</v>
      </c>
      <c r="V2640">
        <v>0.59477395486235896</v>
      </c>
      <c r="W2640">
        <v>0.73063728427652097</v>
      </c>
      <c r="X2640">
        <v>0</v>
      </c>
      <c r="Y2640">
        <v>0</v>
      </c>
    </row>
    <row r="2641" spans="1:25" x14ac:dyDescent="0.2">
      <c r="A2641" t="s">
        <v>9844</v>
      </c>
      <c r="B2641" t="s">
        <v>9845</v>
      </c>
      <c r="C2641" t="s">
        <v>9846</v>
      </c>
      <c r="D2641" t="s">
        <v>9847</v>
      </c>
      <c r="E2641" t="s">
        <v>9845</v>
      </c>
      <c r="F2641" t="s">
        <v>28</v>
      </c>
      <c r="G2641" t="s">
        <v>9845</v>
      </c>
      <c r="H2641" t="str">
        <f>"ima-1"</f>
        <v>ima-1</v>
      </c>
      <c r="I2641" t="s">
        <v>9847</v>
      </c>
      <c r="J2641" t="s">
        <v>29</v>
      </c>
      <c r="K2641" t="s">
        <v>29</v>
      </c>
      <c r="L2641">
        <v>12.139543612355901</v>
      </c>
      <c r="M2641" t="s">
        <v>29</v>
      </c>
      <c r="N2641" t="s">
        <v>29</v>
      </c>
      <c r="O2641" t="s">
        <v>29</v>
      </c>
      <c r="P2641" t="s">
        <v>29</v>
      </c>
      <c r="Q2641" t="s">
        <v>29</v>
      </c>
      <c r="R2641" t="s">
        <v>29</v>
      </c>
      <c r="S2641">
        <v>12.782357635380899</v>
      </c>
      <c r="T2641" t="s">
        <v>29</v>
      </c>
      <c r="U2641" t="s">
        <v>29</v>
      </c>
      <c r="V2641" t="s">
        <v>29</v>
      </c>
      <c r="W2641" t="s">
        <v>29</v>
      </c>
      <c r="X2641" t="s">
        <v>29</v>
      </c>
      <c r="Y2641" t="s">
        <v>29</v>
      </c>
    </row>
    <row r="2642" spans="1:25" x14ac:dyDescent="0.2">
      <c r="A2642" t="s">
        <v>9848</v>
      </c>
      <c r="B2642" t="s">
        <v>9849</v>
      </c>
      <c r="C2642" t="s">
        <v>9850</v>
      </c>
      <c r="D2642" t="s">
        <v>9851</v>
      </c>
      <c r="E2642" t="s">
        <v>9849</v>
      </c>
      <c r="F2642" t="s">
        <v>28</v>
      </c>
      <c r="G2642" t="s">
        <v>9849</v>
      </c>
      <c r="H2642" t="str">
        <f>"pgap-1"</f>
        <v>pgap-1</v>
      </c>
      <c r="I2642" t="s">
        <v>9851</v>
      </c>
      <c r="J2642">
        <v>13.895604744244499</v>
      </c>
      <c r="K2642">
        <v>13.8712503710747</v>
      </c>
      <c r="L2642">
        <v>14.093957638566501</v>
      </c>
      <c r="M2642" t="s">
        <v>29</v>
      </c>
      <c r="N2642">
        <v>13.620515509758899</v>
      </c>
      <c r="O2642">
        <v>13.8535915723089</v>
      </c>
      <c r="P2642">
        <v>-0.21655071026129699</v>
      </c>
      <c r="Q2642">
        <v>-0.63753192309133</v>
      </c>
      <c r="R2642">
        <v>0.20443050256873699</v>
      </c>
      <c r="S2642">
        <v>14.050826953345499</v>
      </c>
      <c r="T2642">
        <v>-1.08579268301774</v>
      </c>
      <c r="U2642">
        <v>-6.4465777579279804</v>
      </c>
      <c r="V2642">
        <v>0.29282082314408803</v>
      </c>
      <c r="W2642">
        <v>0.46122018482395899</v>
      </c>
      <c r="X2642">
        <v>0</v>
      </c>
      <c r="Y2642">
        <v>0</v>
      </c>
    </row>
    <row r="2643" spans="1:25" x14ac:dyDescent="0.2">
      <c r="A2643" t="s">
        <v>9852</v>
      </c>
      <c r="B2643" t="s">
        <v>9853</v>
      </c>
      <c r="C2643" t="s">
        <v>9854</v>
      </c>
      <c r="D2643" t="s">
        <v>9855</v>
      </c>
      <c r="E2643" t="s">
        <v>9853</v>
      </c>
      <c r="F2643" t="s">
        <v>28</v>
      </c>
      <c r="G2643" t="s">
        <v>9853</v>
      </c>
      <c r="H2643" t="str">
        <f>"best-17"</f>
        <v>best-17</v>
      </c>
      <c r="I2643" t="s">
        <v>9855</v>
      </c>
      <c r="J2643" t="s">
        <v>29</v>
      </c>
      <c r="K2643" t="s">
        <v>29</v>
      </c>
      <c r="L2643" t="s">
        <v>29</v>
      </c>
      <c r="M2643" t="s">
        <v>29</v>
      </c>
      <c r="N2643" t="s">
        <v>29</v>
      </c>
      <c r="O2643" t="s">
        <v>29</v>
      </c>
      <c r="P2643" t="s">
        <v>29</v>
      </c>
      <c r="Q2643" t="s">
        <v>29</v>
      </c>
      <c r="R2643" t="s">
        <v>29</v>
      </c>
      <c r="S2643">
        <v>12.183345067556001</v>
      </c>
      <c r="T2643" t="s">
        <v>29</v>
      </c>
      <c r="U2643" t="s">
        <v>29</v>
      </c>
      <c r="V2643" t="s">
        <v>29</v>
      </c>
      <c r="W2643" t="s">
        <v>29</v>
      </c>
      <c r="X2643" t="s">
        <v>29</v>
      </c>
      <c r="Y2643" t="s">
        <v>29</v>
      </c>
    </row>
    <row r="2644" spans="1:25" x14ac:dyDescent="0.2">
      <c r="A2644" t="s">
        <v>9856</v>
      </c>
      <c r="B2644" t="s">
        <v>9857</v>
      </c>
      <c r="C2644" t="s">
        <v>14528</v>
      </c>
      <c r="D2644" t="s">
        <v>9858</v>
      </c>
      <c r="E2644" t="s">
        <v>9857</v>
      </c>
      <c r="F2644" t="s">
        <v>28</v>
      </c>
      <c r="G2644" t="s">
        <v>9857</v>
      </c>
      <c r="H2644" t="str">
        <f>"T19C4.1"</f>
        <v>T19C4.1</v>
      </c>
      <c r="I2644" t="s">
        <v>9858</v>
      </c>
      <c r="J2644">
        <v>14.1399730832894</v>
      </c>
      <c r="K2644">
        <v>14.683828250162399</v>
      </c>
      <c r="L2644">
        <v>14.664771716772499</v>
      </c>
      <c r="M2644">
        <v>16.211306476196</v>
      </c>
      <c r="N2644">
        <v>16.091751641078201</v>
      </c>
      <c r="O2644">
        <v>15.305101951207799</v>
      </c>
      <c r="P2644">
        <v>1.37319567275257</v>
      </c>
      <c r="Q2644">
        <v>0.81770142730870798</v>
      </c>
      <c r="R2644">
        <v>1.9286899181964301</v>
      </c>
      <c r="S2644">
        <v>15.043964616784001</v>
      </c>
      <c r="T2644">
        <v>5.1957156497117198</v>
      </c>
      <c r="U2644">
        <v>1.44802128809818</v>
      </c>
      <c r="V2644" s="2">
        <v>6.2027674264100697E-5</v>
      </c>
      <c r="W2644">
        <v>1.2105665963993699E-3</v>
      </c>
      <c r="X2644">
        <v>1</v>
      </c>
      <c r="Y2644">
        <v>1</v>
      </c>
    </row>
    <row r="2645" spans="1:25" x14ac:dyDescent="0.2">
      <c r="A2645" t="s">
        <v>9859</v>
      </c>
      <c r="B2645" t="s">
        <v>9860</v>
      </c>
      <c r="C2645" t="s">
        <v>9861</v>
      </c>
      <c r="D2645" t="s">
        <v>9862</v>
      </c>
      <c r="E2645" t="s">
        <v>9860</v>
      </c>
      <c r="F2645" t="s">
        <v>28</v>
      </c>
      <c r="G2645" t="s">
        <v>9860</v>
      </c>
      <c r="H2645" t="str">
        <f>"apa-2"</f>
        <v>apa-2</v>
      </c>
      <c r="I2645" t="s">
        <v>9862</v>
      </c>
      <c r="J2645">
        <v>15.039512048275499</v>
      </c>
      <c r="K2645">
        <v>14.9113899211193</v>
      </c>
      <c r="L2645">
        <v>14.6214183831301</v>
      </c>
      <c r="M2645">
        <v>15.1642418470691</v>
      </c>
      <c r="N2645">
        <v>15.0067571565886</v>
      </c>
      <c r="O2645">
        <v>15.034070420049799</v>
      </c>
      <c r="P2645">
        <v>0.21091635706088899</v>
      </c>
      <c r="Q2645">
        <v>-0.14228879239317499</v>
      </c>
      <c r="R2645">
        <v>0.56412150651495196</v>
      </c>
      <c r="S2645">
        <v>14.638623235421001</v>
      </c>
      <c r="T2645">
        <v>1.25509253971549</v>
      </c>
      <c r="U2645">
        <v>-6.3642047015239598</v>
      </c>
      <c r="V2645">
        <v>0.22558881002977299</v>
      </c>
      <c r="W2645">
        <v>0.39005186296966099</v>
      </c>
      <c r="X2645">
        <v>0</v>
      </c>
      <c r="Y2645">
        <v>0</v>
      </c>
    </row>
    <row r="2646" spans="1:25" x14ac:dyDescent="0.2">
      <c r="A2646" t="s">
        <v>9863</v>
      </c>
      <c r="B2646" t="s">
        <v>9864</v>
      </c>
      <c r="C2646" t="s">
        <v>9865</v>
      </c>
      <c r="D2646" t="s">
        <v>9866</v>
      </c>
      <c r="E2646" t="s">
        <v>9864</v>
      </c>
      <c r="F2646" t="s">
        <v>28</v>
      </c>
      <c r="G2646" t="s">
        <v>9864</v>
      </c>
      <c r="H2646" t="str">
        <f>"adr-2"</f>
        <v>adr-2</v>
      </c>
      <c r="I2646" t="s">
        <v>9866</v>
      </c>
      <c r="J2646">
        <v>13.1038052699184</v>
      </c>
      <c r="K2646">
        <v>12.9058430201957</v>
      </c>
      <c r="L2646">
        <v>12.9403877130569</v>
      </c>
      <c r="M2646" t="s">
        <v>29</v>
      </c>
      <c r="N2646">
        <v>13.172236291124699</v>
      </c>
      <c r="O2646">
        <v>13.0923339615338</v>
      </c>
      <c r="P2646">
        <v>0.14893979193894899</v>
      </c>
      <c r="Q2646">
        <v>-0.29922639678197399</v>
      </c>
      <c r="R2646">
        <v>0.59710598065987097</v>
      </c>
      <c r="S2646">
        <v>13.0088595739127</v>
      </c>
      <c r="T2646">
        <v>0.701490295434819</v>
      </c>
      <c r="U2646">
        <v>-6.7905297668311597</v>
      </c>
      <c r="V2646">
        <v>0.49254761173031703</v>
      </c>
      <c r="W2646">
        <v>0.64959935661513601</v>
      </c>
      <c r="X2646">
        <v>0</v>
      </c>
      <c r="Y2646">
        <v>0</v>
      </c>
    </row>
    <row r="2647" spans="1:25" x14ac:dyDescent="0.2">
      <c r="A2647" t="s">
        <v>9867</v>
      </c>
      <c r="B2647" t="s">
        <v>9868</v>
      </c>
      <c r="C2647" t="s">
        <v>9869</v>
      </c>
      <c r="D2647" t="s">
        <v>4188</v>
      </c>
      <c r="E2647" t="s">
        <v>9868</v>
      </c>
      <c r="F2647" t="s">
        <v>28</v>
      </c>
      <c r="G2647" t="s">
        <v>9868</v>
      </c>
      <c r="H2647" t="str">
        <f>"pars-1"</f>
        <v>pars-1</v>
      </c>
      <c r="I2647" t="s">
        <v>4188</v>
      </c>
      <c r="J2647">
        <v>17.247554212025101</v>
      </c>
      <c r="K2647">
        <v>17.051335871010298</v>
      </c>
      <c r="L2647">
        <v>17.1156801311066</v>
      </c>
      <c r="M2647">
        <v>16.363072837792402</v>
      </c>
      <c r="N2647">
        <v>16.541821571323599</v>
      </c>
      <c r="O2647">
        <v>16.932806383147899</v>
      </c>
      <c r="P2647">
        <v>-0.52562314062603099</v>
      </c>
      <c r="Q2647">
        <v>-0.88561995943224003</v>
      </c>
      <c r="R2647">
        <v>-0.16562632181982301</v>
      </c>
      <c r="S2647">
        <v>16.708720868533401</v>
      </c>
      <c r="T2647">
        <v>-3.0687981731153502</v>
      </c>
      <c r="U2647">
        <v>-3.19126653626016</v>
      </c>
      <c r="V2647">
        <v>6.64879220033058E-3</v>
      </c>
      <c r="W2647">
        <v>3.4196448044093802E-2</v>
      </c>
      <c r="X2647">
        <v>0</v>
      </c>
      <c r="Y2647">
        <v>0</v>
      </c>
    </row>
    <row r="2648" spans="1:25" x14ac:dyDescent="0.2">
      <c r="A2648" t="s">
        <v>9870</v>
      </c>
      <c r="B2648" t="s">
        <v>9871</v>
      </c>
      <c r="C2648" t="s">
        <v>9872</v>
      </c>
      <c r="D2648" t="s">
        <v>9873</v>
      </c>
      <c r="E2648" t="s">
        <v>9871</v>
      </c>
      <c r="F2648" t="s">
        <v>28</v>
      </c>
      <c r="G2648" t="s">
        <v>9871</v>
      </c>
      <c r="H2648" t="str">
        <f>"mrpl-50"</f>
        <v>mrpl-50</v>
      </c>
      <c r="I2648" t="s">
        <v>9873</v>
      </c>
      <c r="J2648" t="s">
        <v>29</v>
      </c>
      <c r="K2648" t="s">
        <v>29</v>
      </c>
      <c r="L2648" t="s">
        <v>29</v>
      </c>
      <c r="M2648" t="s">
        <v>29</v>
      </c>
      <c r="N2648" t="s">
        <v>29</v>
      </c>
      <c r="O2648" t="s">
        <v>29</v>
      </c>
      <c r="P2648" t="s">
        <v>29</v>
      </c>
      <c r="Q2648" t="s">
        <v>29</v>
      </c>
      <c r="R2648" t="s">
        <v>29</v>
      </c>
      <c r="S2648">
        <v>12.2366205670015</v>
      </c>
      <c r="T2648" t="s">
        <v>29</v>
      </c>
      <c r="U2648" t="s">
        <v>29</v>
      </c>
      <c r="V2648" t="s">
        <v>29</v>
      </c>
      <c r="W2648" t="s">
        <v>29</v>
      </c>
      <c r="X2648" t="s">
        <v>29</v>
      </c>
      <c r="Y2648" t="s">
        <v>29</v>
      </c>
    </row>
    <row r="2649" spans="1:25" x14ac:dyDescent="0.2">
      <c r="A2649" t="s">
        <v>9874</v>
      </c>
      <c r="B2649" t="s">
        <v>9875</v>
      </c>
      <c r="C2649" t="s">
        <v>14529</v>
      </c>
      <c r="D2649" t="s">
        <v>7619</v>
      </c>
      <c r="E2649" t="s">
        <v>9875</v>
      </c>
      <c r="F2649" t="s">
        <v>28</v>
      </c>
      <c r="G2649" t="s">
        <v>9875</v>
      </c>
      <c r="H2649" t="str">
        <f>"T21B10.3"</f>
        <v>T21B10.3</v>
      </c>
      <c r="I2649" t="s">
        <v>7619</v>
      </c>
      <c r="J2649">
        <v>14.3908880849366</v>
      </c>
      <c r="K2649">
        <v>14.9795816924776</v>
      </c>
      <c r="L2649">
        <v>15.1636244943577</v>
      </c>
      <c r="M2649">
        <v>14.4299017075921</v>
      </c>
      <c r="N2649">
        <v>14.446167650810199</v>
      </c>
      <c r="O2649">
        <v>13.612829889818</v>
      </c>
      <c r="P2649">
        <v>-0.68173167451716099</v>
      </c>
      <c r="Q2649">
        <v>-1.1591891032244701</v>
      </c>
      <c r="R2649">
        <v>-0.20427424580984899</v>
      </c>
      <c r="S2649">
        <v>15.0918238357851</v>
      </c>
      <c r="T2649">
        <v>-3.0010368684975899</v>
      </c>
      <c r="U2649">
        <v>-3.3333283032535599</v>
      </c>
      <c r="V2649">
        <v>7.7045127100146297E-3</v>
      </c>
      <c r="W2649">
        <v>3.7968560127781097E-2</v>
      </c>
      <c r="X2649">
        <v>0</v>
      </c>
      <c r="Y2649">
        <v>0</v>
      </c>
    </row>
    <row r="2650" spans="1:25" x14ac:dyDescent="0.2">
      <c r="A2650" t="s">
        <v>9876</v>
      </c>
      <c r="B2650" t="s">
        <v>9877</v>
      </c>
      <c r="C2650" t="s">
        <v>9878</v>
      </c>
      <c r="D2650" t="s">
        <v>9879</v>
      </c>
      <c r="E2650" t="s">
        <v>9877</v>
      </c>
      <c r="F2650" t="s">
        <v>28</v>
      </c>
      <c r="G2650" t="s">
        <v>9877</v>
      </c>
      <c r="H2650" t="str">
        <f>"pho-7"</f>
        <v>pho-7</v>
      </c>
      <c r="I2650" t="s">
        <v>9879</v>
      </c>
      <c r="J2650">
        <v>10.816245397876401</v>
      </c>
      <c r="K2650" t="s">
        <v>29</v>
      </c>
      <c r="L2650">
        <v>11.037533410927701</v>
      </c>
      <c r="M2650" t="s">
        <v>29</v>
      </c>
      <c r="N2650" t="s">
        <v>29</v>
      </c>
      <c r="O2650">
        <v>12.0367970918117</v>
      </c>
      <c r="P2650">
        <v>1.1099076874096201</v>
      </c>
      <c r="Q2650">
        <v>0.21619605937383901</v>
      </c>
      <c r="R2650">
        <v>2.0036193154454001</v>
      </c>
      <c r="S2650">
        <v>11.584488621282601</v>
      </c>
      <c r="T2650">
        <v>2.6655163061850198</v>
      </c>
      <c r="U2650">
        <v>-3.7293216382518302</v>
      </c>
      <c r="V2650">
        <v>1.8555315194542999E-2</v>
      </c>
      <c r="W2650">
        <v>7.0105787023484994E-2</v>
      </c>
      <c r="X2650">
        <v>1</v>
      </c>
      <c r="Y2650">
        <v>0</v>
      </c>
    </row>
    <row r="2651" spans="1:25" x14ac:dyDescent="0.2">
      <c r="A2651" t="s">
        <v>9880</v>
      </c>
      <c r="B2651" t="s">
        <v>9881</v>
      </c>
      <c r="C2651" t="s">
        <v>14530</v>
      </c>
      <c r="D2651" t="s">
        <v>9006</v>
      </c>
      <c r="E2651" t="s">
        <v>9881</v>
      </c>
      <c r="F2651" t="s">
        <v>28</v>
      </c>
      <c r="G2651" t="s">
        <v>9881</v>
      </c>
      <c r="H2651" t="str">
        <f>"T21B6.3"</f>
        <v>T21B6.3</v>
      </c>
      <c r="I2651" t="s">
        <v>9006</v>
      </c>
      <c r="J2651">
        <v>13.681253706867899</v>
      </c>
      <c r="K2651">
        <v>14.2139875038359</v>
      </c>
      <c r="L2651">
        <v>15.052110458162399</v>
      </c>
      <c r="M2651">
        <v>17.189985577449701</v>
      </c>
      <c r="N2651">
        <v>15.006789727727799</v>
      </c>
      <c r="O2651">
        <v>14.7243425943749</v>
      </c>
      <c r="P2651">
        <v>1.32458874356208</v>
      </c>
      <c r="Q2651">
        <v>4.8727875027081001E-2</v>
      </c>
      <c r="R2651">
        <v>2.6004496120970702</v>
      </c>
      <c r="S2651">
        <v>13.945022434645599</v>
      </c>
      <c r="T2651">
        <v>2.18207792441682</v>
      </c>
      <c r="U2651">
        <v>-4.9423859940685499</v>
      </c>
      <c r="V2651">
        <v>4.2683262622727799E-2</v>
      </c>
      <c r="W2651">
        <v>0.122119571711731</v>
      </c>
      <c r="X2651">
        <v>1</v>
      </c>
      <c r="Y2651">
        <v>0</v>
      </c>
    </row>
    <row r="2652" spans="1:25" x14ac:dyDescent="0.2">
      <c r="A2652" t="s">
        <v>9882</v>
      </c>
      <c r="B2652" t="s">
        <v>9883</v>
      </c>
      <c r="C2652" t="s">
        <v>9884</v>
      </c>
      <c r="D2652" t="s">
        <v>9885</v>
      </c>
      <c r="E2652" t="s">
        <v>9883</v>
      </c>
      <c r="F2652" t="s">
        <v>28</v>
      </c>
      <c r="G2652" t="s">
        <v>9883</v>
      </c>
      <c r="H2652" t="str">
        <f>"hpd-1"</f>
        <v>hpd-1</v>
      </c>
      <c r="I2652" t="s">
        <v>9885</v>
      </c>
      <c r="J2652">
        <v>12.0996727023833</v>
      </c>
      <c r="K2652">
        <v>12.4119483496578</v>
      </c>
      <c r="L2652">
        <v>11.8867566762215</v>
      </c>
      <c r="M2652">
        <v>15.284363634759</v>
      </c>
      <c r="N2652">
        <v>15.976485614620801</v>
      </c>
      <c r="O2652">
        <v>15.8588830760948</v>
      </c>
      <c r="P2652">
        <v>3.5737848657373199</v>
      </c>
      <c r="Q2652">
        <v>3.0377120552857799</v>
      </c>
      <c r="R2652">
        <v>4.1098576761888603</v>
      </c>
      <c r="S2652">
        <v>13.542005789779401</v>
      </c>
      <c r="T2652">
        <v>14.0119035132878</v>
      </c>
      <c r="U2652">
        <v>15.698774418004</v>
      </c>
      <c r="V2652" s="2">
        <v>4.3626723679230801E-11</v>
      </c>
      <c r="W2652" s="2">
        <v>1.4285328298076999E-8</v>
      </c>
      <c r="X2652">
        <v>1</v>
      </c>
      <c r="Y2652">
        <v>1</v>
      </c>
    </row>
    <row r="2653" spans="1:25" x14ac:dyDescent="0.2">
      <c r="A2653" t="s">
        <v>9886</v>
      </c>
      <c r="B2653" t="s">
        <v>9887</v>
      </c>
      <c r="C2653" t="s">
        <v>9888</v>
      </c>
      <c r="D2653" t="s">
        <v>9889</v>
      </c>
      <c r="E2653" t="s">
        <v>9887</v>
      </c>
      <c r="F2653" t="s">
        <v>28</v>
      </c>
      <c r="G2653" t="s">
        <v>9887</v>
      </c>
      <c r="H2653" t="str">
        <f>"scpl-4"</f>
        <v>scpl-4</v>
      </c>
      <c r="I2653" t="s">
        <v>9889</v>
      </c>
      <c r="J2653">
        <v>15.1669394866191</v>
      </c>
      <c r="K2653">
        <v>15.0473219815712</v>
      </c>
      <c r="L2653">
        <v>15.1057469535028</v>
      </c>
      <c r="M2653">
        <v>14.602157234204499</v>
      </c>
      <c r="N2653">
        <v>14.801317105708</v>
      </c>
      <c r="O2653">
        <v>15.0494045019681</v>
      </c>
      <c r="P2653">
        <v>-0.28904319327084199</v>
      </c>
      <c r="Q2653">
        <v>-0.69250054163011998</v>
      </c>
      <c r="R2653">
        <v>0.114414155088436</v>
      </c>
      <c r="S2653">
        <v>14.8608624133978</v>
      </c>
      <c r="T2653">
        <v>-1.5057664965554001</v>
      </c>
      <c r="U2653">
        <v>-6.0363982266313299</v>
      </c>
      <c r="V2653">
        <v>0.14957485741947299</v>
      </c>
      <c r="W2653">
        <v>0.29347343862529102</v>
      </c>
      <c r="X2653">
        <v>0</v>
      </c>
      <c r="Y2653">
        <v>0</v>
      </c>
    </row>
    <row r="2654" spans="1:25" x14ac:dyDescent="0.2">
      <c r="A2654" t="s">
        <v>9890</v>
      </c>
      <c r="B2654" t="s">
        <v>9891</v>
      </c>
      <c r="C2654" t="s">
        <v>14531</v>
      </c>
      <c r="D2654" t="s">
        <v>9892</v>
      </c>
      <c r="E2654" t="s">
        <v>9891</v>
      </c>
      <c r="F2654" t="s">
        <v>28</v>
      </c>
      <c r="G2654" t="s">
        <v>9891</v>
      </c>
      <c r="H2654" t="str">
        <f>"T21C9.6"</f>
        <v>T21C9.6</v>
      </c>
      <c r="I2654" t="s">
        <v>9892</v>
      </c>
      <c r="J2654">
        <v>13.1650017618239</v>
      </c>
      <c r="K2654">
        <v>13.651506012766299</v>
      </c>
      <c r="L2654">
        <v>13.5657096874465</v>
      </c>
      <c r="M2654" t="s">
        <v>29</v>
      </c>
      <c r="N2654">
        <v>14.1013762055229</v>
      </c>
      <c r="O2654">
        <v>13.872946425163301</v>
      </c>
      <c r="P2654">
        <v>0.52642216133084596</v>
      </c>
      <c r="Q2654">
        <v>4.3374887239570697E-2</v>
      </c>
      <c r="R2654">
        <v>1.0094694354221201</v>
      </c>
      <c r="S2654">
        <v>13.444710971419401</v>
      </c>
      <c r="T2654">
        <v>2.3003532953008401</v>
      </c>
      <c r="U2654">
        <v>-4.6283611575978503</v>
      </c>
      <c r="V2654">
        <v>3.4447855756924502E-2</v>
      </c>
      <c r="W2654">
        <v>0.107076343356118</v>
      </c>
      <c r="X2654">
        <v>0</v>
      </c>
      <c r="Y2654">
        <v>0</v>
      </c>
    </row>
    <row r="2655" spans="1:25" x14ac:dyDescent="0.2">
      <c r="A2655" t="s">
        <v>9893</v>
      </c>
      <c r="B2655" t="s">
        <v>9894</v>
      </c>
      <c r="C2655" t="s">
        <v>14532</v>
      </c>
      <c r="D2655" t="s">
        <v>134</v>
      </c>
      <c r="E2655" t="s">
        <v>9894</v>
      </c>
      <c r="F2655" t="s">
        <v>28</v>
      </c>
      <c r="G2655" t="s">
        <v>9894</v>
      </c>
      <c r="H2655" t="str">
        <f>"T22C1.1"</f>
        <v>T22C1.1</v>
      </c>
      <c r="I2655" t="s">
        <v>134</v>
      </c>
      <c r="J2655" t="s">
        <v>29</v>
      </c>
      <c r="K2655" t="s">
        <v>29</v>
      </c>
      <c r="L2655" t="s">
        <v>29</v>
      </c>
      <c r="M2655" t="s">
        <v>29</v>
      </c>
      <c r="N2655" t="s">
        <v>29</v>
      </c>
      <c r="O2655" t="s">
        <v>29</v>
      </c>
      <c r="P2655" t="s">
        <v>29</v>
      </c>
      <c r="Q2655" t="s">
        <v>29</v>
      </c>
      <c r="R2655" t="s">
        <v>29</v>
      </c>
      <c r="S2655">
        <v>12.308691882552401</v>
      </c>
      <c r="T2655" t="s">
        <v>29</v>
      </c>
      <c r="U2655" t="s">
        <v>29</v>
      </c>
      <c r="V2655" t="s">
        <v>29</v>
      </c>
      <c r="W2655" t="s">
        <v>29</v>
      </c>
      <c r="X2655" t="s">
        <v>29</v>
      </c>
      <c r="Y2655" t="s">
        <v>29</v>
      </c>
    </row>
    <row r="2656" spans="1:25" x14ac:dyDescent="0.2">
      <c r="A2656" t="s">
        <v>9895</v>
      </c>
      <c r="B2656" t="s">
        <v>9896</v>
      </c>
      <c r="C2656" t="s">
        <v>9897</v>
      </c>
      <c r="D2656" t="s">
        <v>9898</v>
      </c>
      <c r="E2656" t="s">
        <v>9896</v>
      </c>
      <c r="F2656" t="s">
        <v>28</v>
      </c>
      <c r="G2656" t="s">
        <v>9896</v>
      </c>
      <c r="H2656" t="str">
        <f>"pigu-1"</f>
        <v>pigu-1</v>
      </c>
      <c r="I2656" t="s">
        <v>9898</v>
      </c>
      <c r="J2656">
        <v>13.100036419481899</v>
      </c>
      <c r="K2656">
        <v>13.0765675713028</v>
      </c>
      <c r="L2656">
        <v>13.264773257170599</v>
      </c>
      <c r="M2656" t="s">
        <v>29</v>
      </c>
      <c r="N2656" t="s">
        <v>29</v>
      </c>
      <c r="O2656">
        <v>13.294684096669201</v>
      </c>
      <c r="P2656">
        <v>0.147558347350769</v>
      </c>
      <c r="Q2656">
        <v>-1.1444286053602699</v>
      </c>
      <c r="R2656">
        <v>1.4395453000618099</v>
      </c>
      <c r="S2656">
        <v>13.210387949487799</v>
      </c>
      <c r="T2656">
        <v>0.24224520222118601</v>
      </c>
      <c r="U2656">
        <v>-6.7819403801498002</v>
      </c>
      <c r="V2656">
        <v>0.81168803072255302</v>
      </c>
      <c r="W2656">
        <v>0.88259415472178804</v>
      </c>
      <c r="X2656">
        <v>0</v>
      </c>
      <c r="Y2656">
        <v>0</v>
      </c>
    </row>
    <row r="2657" spans="1:25" x14ac:dyDescent="0.2">
      <c r="A2657" t="s">
        <v>9899</v>
      </c>
      <c r="B2657" t="s">
        <v>9900</v>
      </c>
      <c r="C2657" t="s">
        <v>14533</v>
      </c>
      <c r="D2657" t="s">
        <v>3883</v>
      </c>
      <c r="E2657" t="s">
        <v>9900</v>
      </c>
      <c r="F2657" t="s">
        <v>28</v>
      </c>
      <c r="G2657" t="s">
        <v>9900</v>
      </c>
      <c r="H2657" t="str">
        <f>"T23F11.2"</f>
        <v>T23F11.2</v>
      </c>
      <c r="I2657" t="s">
        <v>3883</v>
      </c>
      <c r="J2657">
        <v>15.527099107408</v>
      </c>
      <c r="K2657">
        <v>15.0121071193395</v>
      </c>
      <c r="L2657">
        <v>16.487843568711099</v>
      </c>
      <c r="M2657">
        <v>16.794703829539898</v>
      </c>
      <c r="N2657">
        <v>17.374530531062899</v>
      </c>
      <c r="O2657">
        <v>14.4561090378765</v>
      </c>
      <c r="P2657">
        <v>0.53276453434021898</v>
      </c>
      <c r="Q2657">
        <v>-0.55231261401444498</v>
      </c>
      <c r="R2657">
        <v>1.61784168269488</v>
      </c>
      <c r="S2657">
        <v>14.603961182175899</v>
      </c>
      <c r="T2657">
        <v>1.0319703090082399</v>
      </c>
      <c r="U2657">
        <v>-6.6135107106405604</v>
      </c>
      <c r="V2657">
        <v>0.31583241888373198</v>
      </c>
      <c r="W2657">
        <v>0.48632841237839503</v>
      </c>
      <c r="X2657">
        <v>0</v>
      </c>
      <c r="Y2657">
        <v>0</v>
      </c>
    </row>
    <row r="2658" spans="1:25" x14ac:dyDescent="0.2">
      <c r="A2658" t="s">
        <v>9901</v>
      </c>
      <c r="B2658" t="s">
        <v>9902</v>
      </c>
      <c r="C2658" t="s">
        <v>9903</v>
      </c>
      <c r="D2658" t="s">
        <v>9904</v>
      </c>
      <c r="E2658" t="s">
        <v>9902</v>
      </c>
      <c r="F2658" t="s">
        <v>28</v>
      </c>
      <c r="G2658" t="s">
        <v>9902</v>
      </c>
      <c r="H2658" t="str">
        <f>"dpl-1"</f>
        <v>dpl-1</v>
      </c>
      <c r="I2658" t="s">
        <v>9904</v>
      </c>
      <c r="J2658">
        <v>12.8304214611719</v>
      </c>
      <c r="K2658">
        <v>12.962430448930499</v>
      </c>
      <c r="L2658">
        <v>12.991711939946899</v>
      </c>
      <c r="M2658" t="s">
        <v>29</v>
      </c>
      <c r="N2658" t="s">
        <v>29</v>
      </c>
      <c r="O2658">
        <v>13.608128374520501</v>
      </c>
      <c r="P2658">
        <v>0.67994042450401804</v>
      </c>
      <c r="Q2658">
        <v>-0.41534419270898998</v>
      </c>
      <c r="R2658">
        <v>1.7752250417170301</v>
      </c>
      <c r="S2658">
        <v>13.3213636736933</v>
      </c>
      <c r="T2658">
        <v>1.3167199132993901</v>
      </c>
      <c r="U2658">
        <v>-5.94907450392318</v>
      </c>
      <c r="V2658">
        <v>0.20660237192395201</v>
      </c>
      <c r="W2658">
        <v>0.36744549792389097</v>
      </c>
      <c r="X2658">
        <v>0</v>
      </c>
      <c r="Y2658">
        <v>0</v>
      </c>
    </row>
    <row r="2659" spans="1:25" x14ac:dyDescent="0.2">
      <c r="A2659" t="s">
        <v>9905</v>
      </c>
      <c r="B2659" t="s">
        <v>9906</v>
      </c>
      <c r="C2659" t="s">
        <v>14534</v>
      </c>
      <c r="D2659" t="s">
        <v>9907</v>
      </c>
      <c r="E2659" t="s">
        <v>9906</v>
      </c>
      <c r="F2659" t="s">
        <v>28</v>
      </c>
      <c r="G2659" t="s">
        <v>9906</v>
      </c>
      <c r="H2659" t="str">
        <f>"T23G7.3"</f>
        <v>T23G7.3</v>
      </c>
      <c r="I2659" t="s">
        <v>9907</v>
      </c>
      <c r="J2659">
        <v>10.0139734553198</v>
      </c>
      <c r="K2659" t="s">
        <v>29</v>
      </c>
      <c r="L2659">
        <v>10.858760573873299</v>
      </c>
      <c r="M2659" t="s">
        <v>29</v>
      </c>
      <c r="N2659" t="s">
        <v>29</v>
      </c>
      <c r="O2659" t="s">
        <v>29</v>
      </c>
      <c r="P2659" t="s">
        <v>29</v>
      </c>
      <c r="Q2659" t="s">
        <v>29</v>
      </c>
      <c r="R2659" t="s">
        <v>29</v>
      </c>
      <c r="S2659">
        <v>11.957163500062601</v>
      </c>
      <c r="T2659" t="s">
        <v>29</v>
      </c>
      <c r="U2659" t="s">
        <v>29</v>
      </c>
      <c r="V2659" t="s">
        <v>29</v>
      </c>
      <c r="W2659" t="s">
        <v>29</v>
      </c>
      <c r="X2659" t="s">
        <v>29</v>
      </c>
      <c r="Y2659" t="s">
        <v>29</v>
      </c>
    </row>
    <row r="2660" spans="1:25" x14ac:dyDescent="0.2">
      <c r="A2660" t="s">
        <v>9908</v>
      </c>
      <c r="B2660" t="s">
        <v>9909</v>
      </c>
      <c r="C2660" t="s">
        <v>9910</v>
      </c>
      <c r="D2660" t="s">
        <v>9911</v>
      </c>
      <c r="E2660" t="s">
        <v>9909</v>
      </c>
      <c r="F2660" t="s">
        <v>28</v>
      </c>
      <c r="G2660" t="s">
        <v>9909</v>
      </c>
      <c r="H2660" t="str">
        <f>"sec-5"</f>
        <v>sec-5</v>
      </c>
      <c r="I2660" t="s">
        <v>9911</v>
      </c>
      <c r="J2660">
        <v>13.185881268303699</v>
      </c>
      <c r="K2660">
        <v>13.1915376818953</v>
      </c>
      <c r="L2660">
        <v>12.791632518346599</v>
      </c>
      <c r="M2660" t="s">
        <v>29</v>
      </c>
      <c r="N2660">
        <v>13.6038330552002</v>
      </c>
      <c r="O2660">
        <v>13.3905227601166</v>
      </c>
      <c r="P2660">
        <v>0.44082741814319498</v>
      </c>
      <c r="Q2660">
        <v>-1.3426109783970099E-2</v>
      </c>
      <c r="R2660">
        <v>0.89508094607036104</v>
      </c>
      <c r="S2660">
        <v>13.0933654912566</v>
      </c>
      <c r="T2660">
        <v>2.0484261093502401</v>
      </c>
      <c r="U2660">
        <v>-5.0771622467164699</v>
      </c>
      <c r="V2660">
        <v>5.6384776617005E-2</v>
      </c>
      <c r="W2660">
        <v>0.148426666491285</v>
      </c>
      <c r="X2660">
        <v>0</v>
      </c>
      <c r="Y2660">
        <v>0</v>
      </c>
    </row>
    <row r="2661" spans="1:25" x14ac:dyDescent="0.2">
      <c r="A2661" t="s">
        <v>9912</v>
      </c>
      <c r="B2661" t="s">
        <v>9913</v>
      </c>
      <c r="C2661" t="s">
        <v>9914</v>
      </c>
      <c r="D2661" t="s">
        <v>9915</v>
      </c>
      <c r="E2661" t="s">
        <v>9913</v>
      </c>
      <c r="F2661" t="s">
        <v>28</v>
      </c>
      <c r="G2661" t="s">
        <v>9913</v>
      </c>
      <c r="H2661" t="str">
        <f>"rpl-32"</f>
        <v>rpl-32</v>
      </c>
      <c r="I2661" t="s">
        <v>9915</v>
      </c>
      <c r="J2661">
        <v>16.2216703235894</v>
      </c>
      <c r="K2661">
        <v>16.303394799231</v>
      </c>
      <c r="L2661">
        <v>16.195236931829299</v>
      </c>
      <c r="M2661">
        <v>16.742409087428602</v>
      </c>
      <c r="N2661">
        <v>16.230705436468799</v>
      </c>
      <c r="O2661">
        <v>16.1788950163584</v>
      </c>
      <c r="P2661">
        <v>0.14390249520203799</v>
      </c>
      <c r="Q2661">
        <v>-0.28973827607716002</v>
      </c>
      <c r="R2661">
        <v>0.57754326648123699</v>
      </c>
      <c r="S2661">
        <v>16.0517374203977</v>
      </c>
      <c r="T2661">
        <v>0.69747834669070097</v>
      </c>
      <c r="U2661">
        <v>-6.9044316336519502</v>
      </c>
      <c r="V2661">
        <v>0.49446652315024198</v>
      </c>
      <c r="W2661">
        <v>0.65053251951953694</v>
      </c>
      <c r="X2661">
        <v>0</v>
      </c>
      <c r="Y2661">
        <v>0</v>
      </c>
    </row>
    <row r="2662" spans="1:25" x14ac:dyDescent="0.2">
      <c r="A2662" t="s">
        <v>9916</v>
      </c>
      <c r="B2662" t="s">
        <v>9917</v>
      </c>
      <c r="C2662" t="s">
        <v>9918</v>
      </c>
      <c r="D2662" t="s">
        <v>9919</v>
      </c>
      <c r="E2662" t="s">
        <v>9917</v>
      </c>
      <c r="F2662" t="s">
        <v>28</v>
      </c>
      <c r="G2662" t="s">
        <v>9917</v>
      </c>
      <c r="H2662" t="str">
        <f>"chmp-7"</f>
        <v>chmp-7</v>
      </c>
      <c r="I2662" t="s">
        <v>9919</v>
      </c>
      <c r="J2662" t="s">
        <v>29</v>
      </c>
      <c r="K2662" t="s">
        <v>29</v>
      </c>
      <c r="L2662" t="s">
        <v>29</v>
      </c>
      <c r="M2662" t="s">
        <v>29</v>
      </c>
      <c r="N2662" t="s">
        <v>29</v>
      </c>
      <c r="O2662" t="s">
        <v>29</v>
      </c>
      <c r="P2662" t="s">
        <v>29</v>
      </c>
      <c r="Q2662" t="s">
        <v>29</v>
      </c>
      <c r="R2662" t="s">
        <v>29</v>
      </c>
      <c r="S2662">
        <v>11.0023464188631</v>
      </c>
      <c r="T2662" t="s">
        <v>29</v>
      </c>
      <c r="U2662" t="s">
        <v>29</v>
      </c>
      <c r="V2662" t="s">
        <v>29</v>
      </c>
      <c r="W2662" t="s">
        <v>29</v>
      </c>
      <c r="X2662" t="s">
        <v>29</v>
      </c>
      <c r="Y2662" t="s">
        <v>29</v>
      </c>
    </row>
    <row r="2663" spans="1:25" x14ac:dyDescent="0.2">
      <c r="A2663" t="s">
        <v>9920</v>
      </c>
      <c r="B2663" t="s">
        <v>9921</v>
      </c>
      <c r="C2663" t="s">
        <v>14535</v>
      </c>
      <c r="D2663" t="s">
        <v>9922</v>
      </c>
      <c r="E2663" t="s">
        <v>9921</v>
      </c>
      <c r="F2663" t="s">
        <v>28</v>
      </c>
      <c r="G2663" t="s">
        <v>9921</v>
      </c>
      <c r="H2663" t="str">
        <f>"T24C12.3"</f>
        <v>T24C12.3</v>
      </c>
      <c r="I2663" t="s">
        <v>9922</v>
      </c>
      <c r="J2663">
        <v>13.395599404864999</v>
      </c>
      <c r="K2663">
        <v>13.4911429152823</v>
      </c>
      <c r="L2663">
        <v>12.9844307910737</v>
      </c>
      <c r="M2663" t="s">
        <v>29</v>
      </c>
      <c r="N2663">
        <v>12.9556558538085</v>
      </c>
      <c r="O2663">
        <v>13.5173018018896</v>
      </c>
      <c r="P2663">
        <v>-5.3912209224637998E-2</v>
      </c>
      <c r="Q2663">
        <v>-0.59458666115418102</v>
      </c>
      <c r="R2663">
        <v>0.48676224270490498</v>
      </c>
      <c r="S2663">
        <v>13.0738464289372</v>
      </c>
      <c r="T2663">
        <v>-0.21047537562909399</v>
      </c>
      <c r="U2663">
        <v>-7.0222193079351802</v>
      </c>
      <c r="V2663">
        <v>0.83581417115614698</v>
      </c>
      <c r="W2663">
        <v>0.89601468257445105</v>
      </c>
      <c r="X2663">
        <v>0</v>
      </c>
      <c r="Y2663">
        <v>0</v>
      </c>
    </row>
    <row r="2664" spans="1:25" x14ac:dyDescent="0.2">
      <c r="A2664" t="s">
        <v>9923</v>
      </c>
      <c r="B2664" t="s">
        <v>9924</v>
      </c>
      <c r="C2664" t="s">
        <v>9925</v>
      </c>
      <c r="D2664" t="s">
        <v>9926</v>
      </c>
      <c r="E2664" t="s">
        <v>9924</v>
      </c>
      <c r="F2664" t="s">
        <v>28</v>
      </c>
      <c r="G2664" t="s">
        <v>9924</v>
      </c>
      <c r="H2664" t="str">
        <f>"raga-1"</f>
        <v>raga-1</v>
      </c>
      <c r="I2664" t="s">
        <v>9926</v>
      </c>
      <c r="J2664">
        <v>15.6986134153163</v>
      </c>
      <c r="K2664">
        <v>15.503303592923199</v>
      </c>
      <c r="L2664">
        <v>15.588302760142</v>
      </c>
      <c r="M2664">
        <v>15.4462382221315</v>
      </c>
      <c r="N2664">
        <v>15.533720281933199</v>
      </c>
      <c r="O2664">
        <v>15.774246573085501</v>
      </c>
      <c r="P2664">
        <v>-1.2004897077144199E-2</v>
      </c>
      <c r="Q2664">
        <v>-0.34144482381353702</v>
      </c>
      <c r="R2664">
        <v>0.31743502965924802</v>
      </c>
      <c r="S2664">
        <v>15.378626841765399</v>
      </c>
      <c r="T2664">
        <v>-7.6590467687954106E-2</v>
      </c>
      <c r="U2664">
        <v>-7.1532241077782803</v>
      </c>
      <c r="V2664">
        <v>0.93979915456166396</v>
      </c>
      <c r="W2664">
        <v>0.96499999030741501</v>
      </c>
      <c r="X2664">
        <v>0</v>
      </c>
      <c r="Y2664">
        <v>0</v>
      </c>
    </row>
    <row r="2665" spans="1:25" x14ac:dyDescent="0.2">
      <c r="A2665" t="s">
        <v>9927</v>
      </c>
      <c r="B2665" t="s">
        <v>9928</v>
      </c>
      <c r="C2665" t="s">
        <v>9929</v>
      </c>
      <c r="D2665" t="s">
        <v>9930</v>
      </c>
      <c r="E2665" t="s">
        <v>9928</v>
      </c>
      <c r="F2665" t="s">
        <v>28</v>
      </c>
      <c r="G2665" t="s">
        <v>9928</v>
      </c>
      <c r="H2665" t="str">
        <f>"rsf-1"</f>
        <v>rsf-1</v>
      </c>
      <c r="I2665" t="s">
        <v>9930</v>
      </c>
      <c r="J2665" t="s">
        <v>29</v>
      </c>
      <c r="K2665" t="s">
        <v>29</v>
      </c>
      <c r="L2665" t="s">
        <v>29</v>
      </c>
      <c r="M2665" t="s">
        <v>29</v>
      </c>
      <c r="N2665" t="s">
        <v>29</v>
      </c>
      <c r="O2665" t="s">
        <v>29</v>
      </c>
      <c r="P2665" t="s">
        <v>29</v>
      </c>
      <c r="Q2665" t="s">
        <v>29</v>
      </c>
      <c r="R2665" t="s">
        <v>29</v>
      </c>
      <c r="S2665">
        <v>11.972584493532199</v>
      </c>
      <c r="T2665" t="s">
        <v>29</v>
      </c>
      <c r="U2665" t="s">
        <v>29</v>
      </c>
      <c r="V2665" t="s">
        <v>29</v>
      </c>
      <c r="W2665" t="s">
        <v>29</v>
      </c>
      <c r="X2665" t="s">
        <v>29</v>
      </c>
      <c r="Y2665" t="s">
        <v>29</v>
      </c>
    </row>
    <row r="2666" spans="1:25" x14ac:dyDescent="0.2">
      <c r="A2666" t="s">
        <v>9931</v>
      </c>
      <c r="B2666" t="s">
        <v>9932</v>
      </c>
      <c r="C2666" t="s">
        <v>9933</v>
      </c>
      <c r="D2666" t="s">
        <v>9934</v>
      </c>
      <c r="E2666" t="s">
        <v>9932</v>
      </c>
      <c r="F2666" t="s">
        <v>28</v>
      </c>
      <c r="G2666" t="s">
        <v>9932</v>
      </c>
      <c r="H2666" t="str">
        <f>"samp-1"</f>
        <v>samp-1</v>
      </c>
      <c r="I2666" t="s">
        <v>9934</v>
      </c>
      <c r="J2666">
        <v>11.324142463898101</v>
      </c>
      <c r="K2666">
        <v>11.0142351459631</v>
      </c>
      <c r="L2666">
        <v>11.5698942178411</v>
      </c>
      <c r="M2666" t="s">
        <v>29</v>
      </c>
      <c r="N2666" t="s">
        <v>29</v>
      </c>
      <c r="O2666" t="s">
        <v>29</v>
      </c>
      <c r="P2666" t="s">
        <v>29</v>
      </c>
      <c r="Q2666" t="s">
        <v>29</v>
      </c>
      <c r="R2666" t="s">
        <v>29</v>
      </c>
      <c r="S2666">
        <v>12.107934900851999</v>
      </c>
      <c r="T2666" t="s">
        <v>29</v>
      </c>
      <c r="U2666" t="s">
        <v>29</v>
      </c>
      <c r="V2666" t="s">
        <v>29</v>
      </c>
      <c r="W2666" t="s">
        <v>29</v>
      </c>
      <c r="X2666" t="s">
        <v>29</v>
      </c>
      <c r="Y2666" t="s">
        <v>29</v>
      </c>
    </row>
    <row r="2667" spans="1:25" x14ac:dyDescent="0.2">
      <c r="A2667" t="s">
        <v>9935</v>
      </c>
      <c r="B2667" t="s">
        <v>9936</v>
      </c>
      <c r="C2667" t="s">
        <v>14536</v>
      </c>
      <c r="D2667" t="s">
        <v>9937</v>
      </c>
      <c r="E2667" t="s">
        <v>9936</v>
      </c>
      <c r="F2667" t="s">
        <v>28</v>
      </c>
      <c r="G2667" t="s">
        <v>9936</v>
      </c>
      <c r="H2667" t="str">
        <f>"T24G10.2"</f>
        <v>T24G10.2</v>
      </c>
      <c r="I2667" t="s">
        <v>9937</v>
      </c>
      <c r="J2667" t="s">
        <v>29</v>
      </c>
      <c r="K2667" t="s">
        <v>29</v>
      </c>
      <c r="L2667" t="s">
        <v>29</v>
      </c>
      <c r="M2667" t="s">
        <v>29</v>
      </c>
      <c r="N2667" t="s">
        <v>29</v>
      </c>
      <c r="O2667" t="s">
        <v>29</v>
      </c>
      <c r="P2667" t="s">
        <v>29</v>
      </c>
      <c r="Q2667" t="s">
        <v>29</v>
      </c>
      <c r="R2667" t="s">
        <v>29</v>
      </c>
      <c r="S2667">
        <v>12.7282763781265</v>
      </c>
      <c r="T2667" t="s">
        <v>29</v>
      </c>
      <c r="U2667" t="s">
        <v>29</v>
      </c>
      <c r="V2667" t="s">
        <v>29</v>
      </c>
      <c r="W2667" t="s">
        <v>29</v>
      </c>
      <c r="X2667" t="s">
        <v>29</v>
      </c>
      <c r="Y2667" t="s">
        <v>29</v>
      </c>
    </row>
    <row r="2668" spans="1:25" x14ac:dyDescent="0.2">
      <c r="A2668" t="s">
        <v>9938</v>
      </c>
      <c r="B2668" t="s">
        <v>9939</v>
      </c>
      <c r="C2668" t="s">
        <v>9940</v>
      </c>
      <c r="D2668" t="s">
        <v>308</v>
      </c>
      <c r="E2668" t="s">
        <v>9939</v>
      </c>
      <c r="F2668" t="s">
        <v>28</v>
      </c>
      <c r="G2668" t="s">
        <v>9939</v>
      </c>
      <c r="H2668" t="str">
        <f>"dnj-23"</f>
        <v>dnj-23</v>
      </c>
      <c r="I2668" t="s">
        <v>308</v>
      </c>
      <c r="J2668">
        <v>10.963853432453901</v>
      </c>
      <c r="K2668" t="s">
        <v>29</v>
      </c>
      <c r="L2668">
        <v>12.1636212218519</v>
      </c>
      <c r="M2668" t="s">
        <v>29</v>
      </c>
      <c r="N2668" t="s">
        <v>29</v>
      </c>
      <c r="O2668" t="s">
        <v>29</v>
      </c>
      <c r="P2668" t="s">
        <v>29</v>
      </c>
      <c r="Q2668" t="s">
        <v>29</v>
      </c>
      <c r="R2668" t="s">
        <v>29</v>
      </c>
      <c r="S2668">
        <v>11.709743010259601</v>
      </c>
      <c r="T2668" t="s">
        <v>29</v>
      </c>
      <c r="U2668" t="s">
        <v>29</v>
      </c>
      <c r="V2668" t="s">
        <v>29</v>
      </c>
      <c r="W2668" t="s">
        <v>29</v>
      </c>
      <c r="X2668" t="s">
        <v>29</v>
      </c>
      <c r="Y2668" t="s">
        <v>29</v>
      </c>
    </row>
    <row r="2669" spans="1:25" x14ac:dyDescent="0.2">
      <c r="A2669" t="s">
        <v>9941</v>
      </c>
      <c r="B2669" t="s">
        <v>9942</v>
      </c>
      <c r="C2669" t="s">
        <v>14537</v>
      </c>
      <c r="D2669" t="s">
        <v>9943</v>
      </c>
      <c r="E2669" t="s">
        <v>9942</v>
      </c>
      <c r="F2669" t="s">
        <v>28</v>
      </c>
      <c r="G2669" t="s">
        <v>9942</v>
      </c>
      <c r="H2669" t="str">
        <f>"T25B9.4"</f>
        <v>T25B9.4</v>
      </c>
      <c r="I2669" t="s">
        <v>9943</v>
      </c>
      <c r="J2669">
        <v>12.4395187927413</v>
      </c>
      <c r="K2669">
        <v>11.6238224862776</v>
      </c>
      <c r="L2669">
        <v>12.959954171180399</v>
      </c>
      <c r="M2669" t="s">
        <v>29</v>
      </c>
      <c r="N2669" t="s">
        <v>29</v>
      </c>
      <c r="O2669">
        <v>13.3333992835926</v>
      </c>
      <c r="P2669">
        <v>0.99230080019283295</v>
      </c>
      <c r="Q2669">
        <v>-0.32041057211103802</v>
      </c>
      <c r="R2669">
        <v>2.3050121724967001</v>
      </c>
      <c r="S2669">
        <v>12.6966170642915</v>
      </c>
      <c r="T2669">
        <v>1.61218805761593</v>
      </c>
      <c r="U2669">
        <v>-5.5508381575365204</v>
      </c>
      <c r="V2669">
        <v>0.12790289737885399</v>
      </c>
      <c r="W2669">
        <v>0.26104409371486298</v>
      </c>
      <c r="X2669">
        <v>0</v>
      </c>
      <c r="Y2669">
        <v>0</v>
      </c>
    </row>
    <row r="2670" spans="1:25" x14ac:dyDescent="0.2">
      <c r="A2670" t="s">
        <v>9944</v>
      </c>
      <c r="B2670" t="s">
        <v>9945</v>
      </c>
      <c r="C2670" t="s">
        <v>14538</v>
      </c>
      <c r="D2670" t="s">
        <v>9946</v>
      </c>
      <c r="E2670" t="s">
        <v>9945</v>
      </c>
      <c r="F2670" t="s">
        <v>28</v>
      </c>
      <c r="G2670" t="s">
        <v>9945</v>
      </c>
      <c r="H2670" t="str">
        <f>"T25B9.1"</f>
        <v>T25B9.1</v>
      </c>
      <c r="I2670" t="s">
        <v>9946</v>
      </c>
      <c r="J2670" t="s">
        <v>29</v>
      </c>
      <c r="K2670" t="s">
        <v>29</v>
      </c>
      <c r="L2670">
        <v>10.538270490401001</v>
      </c>
      <c r="M2670" t="s">
        <v>29</v>
      </c>
      <c r="N2670" t="s">
        <v>29</v>
      </c>
      <c r="O2670" t="s">
        <v>29</v>
      </c>
      <c r="P2670" t="s">
        <v>29</v>
      </c>
      <c r="Q2670" t="s">
        <v>29</v>
      </c>
      <c r="R2670" t="s">
        <v>29</v>
      </c>
      <c r="S2670">
        <v>10.7457164635547</v>
      </c>
      <c r="T2670" t="s">
        <v>29</v>
      </c>
      <c r="U2670" t="s">
        <v>29</v>
      </c>
      <c r="V2670" t="s">
        <v>29</v>
      </c>
      <c r="W2670" t="s">
        <v>29</v>
      </c>
      <c r="X2670" t="s">
        <v>29</v>
      </c>
      <c r="Y2670" t="s">
        <v>29</v>
      </c>
    </row>
    <row r="2671" spans="1:25" x14ac:dyDescent="0.2">
      <c r="A2671" t="s">
        <v>9947</v>
      </c>
      <c r="B2671" t="s">
        <v>9948</v>
      </c>
      <c r="C2671" t="s">
        <v>9949</v>
      </c>
      <c r="D2671" t="s">
        <v>9950</v>
      </c>
      <c r="E2671" t="s">
        <v>9948</v>
      </c>
      <c r="F2671" t="s">
        <v>28</v>
      </c>
      <c r="G2671" t="s">
        <v>9948</v>
      </c>
      <c r="H2671" t="str">
        <f>"acdh-7"</f>
        <v>acdh-7</v>
      </c>
      <c r="I2671" t="s">
        <v>9950</v>
      </c>
      <c r="J2671">
        <v>15.6758048498024</v>
      </c>
      <c r="K2671">
        <v>15.659120299343501</v>
      </c>
      <c r="L2671">
        <v>15.529372912105799</v>
      </c>
      <c r="M2671">
        <v>15.3887597445423</v>
      </c>
      <c r="N2671">
        <v>15.518772296400201</v>
      </c>
      <c r="O2671">
        <v>15.329005749498201</v>
      </c>
      <c r="P2671">
        <v>-0.20925342360367899</v>
      </c>
      <c r="Q2671">
        <v>-0.507377511732089</v>
      </c>
      <c r="R2671">
        <v>8.8870664524731899E-2</v>
      </c>
      <c r="S2671">
        <v>15.178421023966701</v>
      </c>
      <c r="T2671">
        <v>-1.4752581323840801</v>
      </c>
      <c r="U2671">
        <v>-6.07882340754621</v>
      </c>
      <c r="V2671">
        <v>0.157521083804048</v>
      </c>
      <c r="W2671">
        <v>0.30460277819588599</v>
      </c>
      <c r="X2671">
        <v>0</v>
      </c>
      <c r="Y2671">
        <v>0</v>
      </c>
    </row>
    <row r="2672" spans="1:25" x14ac:dyDescent="0.2">
      <c r="A2672" t="s">
        <v>9951</v>
      </c>
      <c r="B2672" t="s">
        <v>9952</v>
      </c>
      <c r="C2672" t="s">
        <v>9953</v>
      </c>
      <c r="D2672" t="s">
        <v>9954</v>
      </c>
      <c r="E2672" t="s">
        <v>9952</v>
      </c>
      <c r="F2672" t="s">
        <v>28</v>
      </c>
      <c r="G2672" t="s">
        <v>9952</v>
      </c>
      <c r="H2672" t="str">
        <f>"rab-6.2"</f>
        <v>rab-6.2</v>
      </c>
      <c r="I2672" t="s">
        <v>9954</v>
      </c>
      <c r="J2672">
        <v>16.470236509522302</v>
      </c>
      <c r="K2672">
        <v>16.613308725355999</v>
      </c>
      <c r="L2672">
        <v>16.461872735377</v>
      </c>
      <c r="M2672">
        <v>15.9258919991806</v>
      </c>
      <c r="N2672">
        <v>16.0262060800091</v>
      </c>
      <c r="O2672">
        <v>16.4050545349812</v>
      </c>
      <c r="P2672">
        <v>-0.39608845202810999</v>
      </c>
      <c r="Q2672">
        <v>-0.72417242665296799</v>
      </c>
      <c r="R2672">
        <v>-6.8004477403252106E-2</v>
      </c>
      <c r="S2672">
        <v>16.124369486127101</v>
      </c>
      <c r="T2672">
        <v>-2.5374627541620201</v>
      </c>
      <c r="U2672">
        <v>-4.2729359293809202</v>
      </c>
      <c r="V2672">
        <v>2.0694507291442898E-2</v>
      </c>
      <c r="W2672">
        <v>7.5199399491839902E-2</v>
      </c>
      <c r="X2672">
        <v>0</v>
      </c>
      <c r="Y2672">
        <v>0</v>
      </c>
    </row>
    <row r="2673" spans="1:25" x14ac:dyDescent="0.2">
      <c r="A2673" t="s">
        <v>9955</v>
      </c>
      <c r="B2673" t="s">
        <v>9956</v>
      </c>
      <c r="C2673" t="s">
        <v>14539</v>
      </c>
      <c r="D2673" t="s">
        <v>9957</v>
      </c>
      <c r="E2673" t="s">
        <v>9956</v>
      </c>
      <c r="F2673" t="s">
        <v>28</v>
      </c>
      <c r="G2673" t="s">
        <v>9956</v>
      </c>
      <c r="H2673" t="str">
        <f>"T25G3.3"</f>
        <v>T25G3.3</v>
      </c>
      <c r="I2673" t="s">
        <v>9957</v>
      </c>
      <c r="J2673">
        <v>14.810458205974401</v>
      </c>
      <c r="K2673">
        <v>14.679762002639499</v>
      </c>
      <c r="L2673">
        <v>14.6390349906967</v>
      </c>
      <c r="M2673">
        <v>14.2245719075572</v>
      </c>
      <c r="N2673">
        <v>14.7883545236886</v>
      </c>
      <c r="O2673">
        <v>14.674227063445301</v>
      </c>
      <c r="P2673">
        <v>-0.14736723487314199</v>
      </c>
      <c r="Q2673">
        <v>-0.53618452878425504</v>
      </c>
      <c r="R2673">
        <v>0.24145005903797101</v>
      </c>
      <c r="S2673">
        <v>14.317308489701499</v>
      </c>
      <c r="T2673">
        <v>-0.79661388979378001</v>
      </c>
      <c r="U2673">
        <v>-6.8290750321639102</v>
      </c>
      <c r="V2673">
        <v>0.43611718151684897</v>
      </c>
      <c r="W2673">
        <v>0.60170287169014802</v>
      </c>
      <c r="X2673">
        <v>0</v>
      </c>
      <c r="Y2673">
        <v>0</v>
      </c>
    </row>
    <row r="2674" spans="1:25" x14ac:dyDescent="0.2">
      <c r="A2674" t="s">
        <v>9958</v>
      </c>
      <c r="B2674" t="s">
        <v>9959</v>
      </c>
      <c r="C2674" t="s">
        <v>9960</v>
      </c>
      <c r="D2674" t="s">
        <v>9961</v>
      </c>
      <c r="E2674" t="s">
        <v>9959</v>
      </c>
      <c r="F2674" t="s">
        <v>28</v>
      </c>
      <c r="G2674" t="s">
        <v>9959</v>
      </c>
      <c r="H2674" t="str">
        <f>"algn-1"</f>
        <v>algn-1</v>
      </c>
      <c r="I2674" t="s">
        <v>9961</v>
      </c>
      <c r="J2674">
        <v>12.266592683811499</v>
      </c>
      <c r="K2674" t="s">
        <v>29</v>
      </c>
      <c r="L2674" t="s">
        <v>29</v>
      </c>
      <c r="M2674" t="s">
        <v>29</v>
      </c>
      <c r="N2674" t="s">
        <v>29</v>
      </c>
      <c r="O2674">
        <v>12.3656232423156</v>
      </c>
      <c r="P2674">
        <v>9.9030558504066904E-2</v>
      </c>
      <c r="Q2674">
        <v>-1.5379037987084001</v>
      </c>
      <c r="R2674">
        <v>1.73596491571654</v>
      </c>
      <c r="S2674">
        <v>12.5500582699233</v>
      </c>
      <c r="T2674">
        <v>0.134991012471364</v>
      </c>
      <c r="U2674">
        <v>-6.6030770522036599</v>
      </c>
      <c r="V2674">
        <v>0.895325398048881</v>
      </c>
      <c r="W2674">
        <v>0.93764177258352899</v>
      </c>
      <c r="X2674">
        <v>0</v>
      </c>
      <c r="Y2674">
        <v>0</v>
      </c>
    </row>
    <row r="2675" spans="1:25" x14ac:dyDescent="0.2">
      <c r="A2675" t="s">
        <v>9962</v>
      </c>
      <c r="B2675" t="s">
        <v>9963</v>
      </c>
      <c r="C2675" t="s">
        <v>9964</v>
      </c>
      <c r="D2675" t="s">
        <v>9965</v>
      </c>
      <c r="E2675" t="s">
        <v>9963</v>
      </c>
      <c r="F2675" t="s">
        <v>28</v>
      </c>
      <c r="G2675" t="s">
        <v>9963</v>
      </c>
      <c r="H2675" t="str">
        <f>"dlc-1"</f>
        <v>dlc-1</v>
      </c>
      <c r="I2675" t="s">
        <v>9965</v>
      </c>
      <c r="J2675">
        <v>14.2376506587833</v>
      </c>
      <c r="K2675">
        <v>14.2821430809338</v>
      </c>
      <c r="L2675">
        <v>14.1201555803156</v>
      </c>
      <c r="M2675" t="s">
        <v>29</v>
      </c>
      <c r="N2675">
        <v>14.0220700937858</v>
      </c>
      <c r="O2675">
        <v>13.997698292132601</v>
      </c>
      <c r="P2675">
        <v>-0.20343224705173801</v>
      </c>
      <c r="Q2675">
        <v>-0.64708134916228799</v>
      </c>
      <c r="R2675">
        <v>0.24021685505881099</v>
      </c>
      <c r="S2675">
        <v>13.745549076515401</v>
      </c>
      <c r="T2675">
        <v>-0.967899359487151</v>
      </c>
      <c r="U2675">
        <v>-6.56629383168349</v>
      </c>
      <c r="V2675">
        <v>0.34674713752423503</v>
      </c>
      <c r="W2675">
        <v>0.51739939963742898</v>
      </c>
      <c r="X2675">
        <v>0</v>
      </c>
      <c r="Y2675">
        <v>0</v>
      </c>
    </row>
    <row r="2676" spans="1:25" x14ac:dyDescent="0.2">
      <c r="A2676" t="s">
        <v>9966</v>
      </c>
      <c r="B2676" t="s">
        <v>9967</v>
      </c>
      <c r="C2676" t="s">
        <v>9968</v>
      </c>
      <c r="D2676" t="s">
        <v>9969</v>
      </c>
      <c r="E2676" t="s">
        <v>9967</v>
      </c>
      <c r="F2676" t="s">
        <v>28</v>
      </c>
      <c r="G2676" t="s">
        <v>9967</v>
      </c>
      <c r="H2676" t="str">
        <f>"nduf-2.2"</f>
        <v>nduf-2.2</v>
      </c>
      <c r="I2676" t="s">
        <v>9969</v>
      </c>
      <c r="J2676">
        <v>14.254301131419499</v>
      </c>
      <c r="K2676">
        <v>14.3926612148228</v>
      </c>
      <c r="L2676">
        <v>14.3038564721908</v>
      </c>
      <c r="M2676">
        <v>13.7108349406487</v>
      </c>
      <c r="N2676">
        <v>14.308158163331001</v>
      </c>
      <c r="O2676">
        <v>14.055090282093699</v>
      </c>
      <c r="P2676">
        <v>-0.292245144119894</v>
      </c>
      <c r="Q2676">
        <v>-0.86424122906046497</v>
      </c>
      <c r="R2676">
        <v>0.27975094082067598</v>
      </c>
      <c r="S2676">
        <v>14.5028894631192</v>
      </c>
      <c r="T2676">
        <v>-1.0738577620630101</v>
      </c>
      <c r="U2676">
        <v>-6.5699373957359004</v>
      </c>
      <c r="V2676">
        <v>0.29715393607742902</v>
      </c>
      <c r="W2676">
        <v>0.46551660120633798</v>
      </c>
      <c r="X2676">
        <v>0</v>
      </c>
      <c r="Y2676">
        <v>0</v>
      </c>
    </row>
    <row r="2677" spans="1:25" x14ac:dyDescent="0.2">
      <c r="A2677" t="s">
        <v>9970</v>
      </c>
      <c r="B2677" t="s">
        <v>9971</v>
      </c>
      <c r="C2677" t="s">
        <v>14540</v>
      </c>
      <c r="D2677" t="s">
        <v>252</v>
      </c>
      <c r="E2677" t="s">
        <v>9971</v>
      </c>
      <c r="F2677" t="s">
        <v>28</v>
      </c>
      <c r="G2677" t="s">
        <v>9971</v>
      </c>
      <c r="H2677" t="str">
        <f>"T26A8.4"</f>
        <v>T26A8.4</v>
      </c>
      <c r="I2677" t="s">
        <v>252</v>
      </c>
      <c r="J2677">
        <v>11.634564042140401</v>
      </c>
      <c r="K2677" t="s">
        <v>29</v>
      </c>
      <c r="L2677" t="s">
        <v>29</v>
      </c>
      <c r="M2677" t="s">
        <v>29</v>
      </c>
      <c r="N2677" t="s">
        <v>29</v>
      </c>
      <c r="O2677">
        <v>12.1112698593146</v>
      </c>
      <c r="P2677">
        <v>0.47670581717421401</v>
      </c>
      <c r="Q2677">
        <v>-0.545060423596606</v>
      </c>
      <c r="R2677">
        <v>1.4984720579450299</v>
      </c>
      <c r="S2677">
        <v>12.0799080412708</v>
      </c>
      <c r="T2677">
        <v>1.04103610662394</v>
      </c>
      <c r="U2677">
        <v>-6.05728548520357</v>
      </c>
      <c r="V2677">
        <v>0.32262655235847298</v>
      </c>
      <c r="W2677">
        <v>0.49339929932559501</v>
      </c>
      <c r="X2677">
        <v>0</v>
      </c>
      <c r="Y2677">
        <v>0</v>
      </c>
    </row>
    <row r="2678" spans="1:25" x14ac:dyDescent="0.2">
      <c r="A2678" t="s">
        <v>9972</v>
      </c>
      <c r="B2678" t="s">
        <v>9973</v>
      </c>
      <c r="C2678" t="s">
        <v>14541</v>
      </c>
      <c r="D2678" t="s">
        <v>9974</v>
      </c>
      <c r="E2678" t="s">
        <v>9973</v>
      </c>
      <c r="F2678" t="s">
        <v>28</v>
      </c>
      <c r="G2678" t="s">
        <v>9973</v>
      </c>
      <c r="H2678" t="str">
        <f>"T26C5.3"</f>
        <v>T26C5.3</v>
      </c>
      <c r="I2678" t="s">
        <v>9974</v>
      </c>
      <c r="J2678">
        <v>13.3019406272327</v>
      </c>
      <c r="K2678">
        <v>13.9872648388949</v>
      </c>
      <c r="L2678">
        <v>13.9478952920037</v>
      </c>
      <c r="M2678" t="s">
        <v>29</v>
      </c>
      <c r="N2678">
        <v>12.167991007045201</v>
      </c>
      <c r="O2678">
        <v>12.484383037619599</v>
      </c>
      <c r="P2678">
        <v>-1.41951323037802</v>
      </c>
      <c r="Q2678">
        <v>-1.9629033311011399</v>
      </c>
      <c r="R2678">
        <v>-0.87612312965490302</v>
      </c>
      <c r="S2678">
        <v>14.0041160704498</v>
      </c>
      <c r="T2678">
        <v>-5.5141393288840801</v>
      </c>
      <c r="U2678">
        <v>2.0470300787769702</v>
      </c>
      <c r="V2678" s="2">
        <v>3.8779725957448699E-5</v>
      </c>
      <c r="W2678">
        <v>8.4283111914012501E-4</v>
      </c>
      <c r="X2678">
        <v>-1</v>
      </c>
      <c r="Y2678">
        <v>-1</v>
      </c>
    </row>
    <row r="2679" spans="1:25" x14ac:dyDescent="0.2">
      <c r="A2679" t="s">
        <v>9975</v>
      </c>
      <c r="B2679" t="s">
        <v>9976</v>
      </c>
      <c r="C2679" t="s">
        <v>9977</v>
      </c>
      <c r="D2679" t="s">
        <v>9978</v>
      </c>
      <c r="E2679" t="s">
        <v>9976</v>
      </c>
      <c r="F2679" t="s">
        <v>28</v>
      </c>
      <c r="G2679" t="s">
        <v>9976</v>
      </c>
      <c r="H2679" t="str">
        <f>"ckc-1"</f>
        <v>ckc-1</v>
      </c>
      <c r="I2679" t="s">
        <v>9978</v>
      </c>
      <c r="J2679">
        <v>15.0871862938522</v>
      </c>
      <c r="K2679">
        <v>15.124470119981501</v>
      </c>
      <c r="L2679">
        <v>15.080072500729299</v>
      </c>
      <c r="M2679" t="s">
        <v>29</v>
      </c>
      <c r="N2679">
        <v>14.522858153708601</v>
      </c>
      <c r="O2679">
        <v>14.345237442633101</v>
      </c>
      <c r="P2679">
        <v>-0.66319517335013201</v>
      </c>
      <c r="Q2679">
        <v>-1.0365715343942701</v>
      </c>
      <c r="R2679">
        <v>-0.28981881230599099</v>
      </c>
      <c r="S2679">
        <v>14.676167770215301</v>
      </c>
      <c r="T2679">
        <v>-3.74925130444274</v>
      </c>
      <c r="U2679">
        <v>-1.68373509012537</v>
      </c>
      <c r="V2679">
        <v>1.61235660927986E-3</v>
      </c>
      <c r="W2679">
        <v>1.2670973140127301E-2</v>
      </c>
      <c r="X2679">
        <v>0</v>
      </c>
      <c r="Y2679">
        <v>0</v>
      </c>
    </row>
    <row r="2680" spans="1:25" x14ac:dyDescent="0.2">
      <c r="A2680" t="s">
        <v>9979</v>
      </c>
      <c r="B2680" t="s">
        <v>9980</v>
      </c>
      <c r="C2680" t="s">
        <v>9981</v>
      </c>
      <c r="D2680" t="s">
        <v>2692</v>
      </c>
      <c r="E2680" t="s">
        <v>9980</v>
      </c>
      <c r="F2680" t="s">
        <v>28</v>
      </c>
      <c r="G2680" t="s">
        <v>9980</v>
      </c>
      <c r="H2680" t="str">
        <f>"cgr-1"</f>
        <v>cgr-1</v>
      </c>
      <c r="I2680" t="s">
        <v>2692</v>
      </c>
      <c r="J2680">
        <v>13.069123905622799</v>
      </c>
      <c r="K2680">
        <v>13.1835285460572</v>
      </c>
      <c r="L2680">
        <v>13.063660555158901</v>
      </c>
      <c r="M2680" t="s">
        <v>29</v>
      </c>
      <c r="N2680">
        <v>14.1341450259856</v>
      </c>
      <c r="O2680">
        <v>12.8064345734933</v>
      </c>
      <c r="P2680">
        <v>0.36485213079312101</v>
      </c>
      <c r="Q2680">
        <v>-0.32207197719935998</v>
      </c>
      <c r="R2680">
        <v>1.0517762387856</v>
      </c>
      <c r="S2680">
        <v>13.432797449657301</v>
      </c>
      <c r="T2680">
        <v>1.1211355960551499</v>
      </c>
      <c r="U2680">
        <v>-6.4083545457551496</v>
      </c>
      <c r="V2680">
        <v>0.277913367371315</v>
      </c>
      <c r="W2680">
        <v>0.44559885399524701</v>
      </c>
      <c r="X2680">
        <v>0</v>
      </c>
      <c r="Y2680">
        <v>0</v>
      </c>
    </row>
    <row r="2681" spans="1:25" x14ac:dyDescent="0.2">
      <c r="A2681" t="s">
        <v>9982</v>
      </c>
      <c r="B2681" t="s">
        <v>9983</v>
      </c>
      <c r="C2681" t="s">
        <v>9984</v>
      </c>
      <c r="D2681" t="s">
        <v>9985</v>
      </c>
      <c r="E2681" t="s">
        <v>9983</v>
      </c>
      <c r="F2681" t="s">
        <v>28</v>
      </c>
      <c r="G2681" t="s">
        <v>9983</v>
      </c>
      <c r="H2681" t="str">
        <f>"T27F2.1"</f>
        <v>T27F2.1</v>
      </c>
      <c r="I2681" t="s">
        <v>9985</v>
      </c>
      <c r="J2681">
        <v>11.260509094034701</v>
      </c>
      <c r="K2681" t="s">
        <v>29</v>
      </c>
      <c r="L2681" t="s">
        <v>29</v>
      </c>
      <c r="M2681" t="s">
        <v>29</v>
      </c>
      <c r="N2681" t="s">
        <v>29</v>
      </c>
      <c r="O2681">
        <v>12.4283347685954</v>
      </c>
      <c r="P2681">
        <v>1.1678256745607201</v>
      </c>
      <c r="Q2681">
        <v>0.36792140105545501</v>
      </c>
      <c r="R2681">
        <v>1.96772994806599</v>
      </c>
      <c r="S2681">
        <v>11.7964226838812</v>
      </c>
      <c r="T2681">
        <v>3.2576685292488499</v>
      </c>
      <c r="U2681">
        <v>-2.7453153314332899</v>
      </c>
      <c r="V2681">
        <v>8.7255897766194395E-3</v>
      </c>
      <c r="W2681">
        <v>4.1608920827989497E-2</v>
      </c>
      <c r="X2681">
        <v>1</v>
      </c>
      <c r="Y2681">
        <v>1</v>
      </c>
    </row>
    <row r="2682" spans="1:25" x14ac:dyDescent="0.2">
      <c r="A2682" t="s">
        <v>9986</v>
      </c>
      <c r="B2682" t="s">
        <v>9987</v>
      </c>
      <c r="C2682" t="s">
        <v>14160</v>
      </c>
      <c r="D2682" t="s">
        <v>368</v>
      </c>
      <c r="E2682" t="s">
        <v>9987</v>
      </c>
      <c r="F2682" t="s">
        <v>28</v>
      </c>
      <c r="G2682" t="s">
        <v>9987</v>
      </c>
      <c r="H2682" t="str">
        <f>"T28F4.5"</f>
        <v>T28F4.5</v>
      </c>
      <c r="I2682" t="s">
        <v>368</v>
      </c>
      <c r="J2682" t="s">
        <v>29</v>
      </c>
      <c r="K2682" t="s">
        <v>29</v>
      </c>
      <c r="L2682" t="s">
        <v>29</v>
      </c>
      <c r="M2682">
        <v>13.3105331055887</v>
      </c>
      <c r="N2682">
        <v>14.2610041578008</v>
      </c>
      <c r="O2682">
        <v>13.132200092098699</v>
      </c>
      <c r="P2682" t="s">
        <v>29</v>
      </c>
      <c r="Q2682" t="s">
        <v>29</v>
      </c>
      <c r="R2682" t="s">
        <v>29</v>
      </c>
      <c r="S2682">
        <v>10.8848544728934</v>
      </c>
      <c r="T2682" t="s">
        <v>29</v>
      </c>
      <c r="U2682" t="s">
        <v>29</v>
      </c>
      <c r="V2682" t="s">
        <v>29</v>
      </c>
      <c r="W2682" t="s">
        <v>29</v>
      </c>
      <c r="X2682" t="s">
        <v>29</v>
      </c>
      <c r="Y2682" t="s">
        <v>29</v>
      </c>
    </row>
    <row r="2683" spans="1:25" x14ac:dyDescent="0.2">
      <c r="A2683" t="s">
        <v>9988</v>
      </c>
      <c r="B2683" t="s">
        <v>9989</v>
      </c>
      <c r="C2683" t="s">
        <v>9990</v>
      </c>
      <c r="D2683" t="s">
        <v>9991</v>
      </c>
      <c r="E2683" t="s">
        <v>9989</v>
      </c>
      <c r="F2683" t="s">
        <v>28</v>
      </c>
      <c r="G2683" t="s">
        <v>9989</v>
      </c>
      <c r="H2683" t="str">
        <f>"lev-11"</f>
        <v>lev-11</v>
      </c>
      <c r="I2683" t="s">
        <v>9991</v>
      </c>
      <c r="J2683">
        <v>14.481824415055099</v>
      </c>
      <c r="K2683">
        <v>14.3999767166232</v>
      </c>
      <c r="L2683">
        <v>14.5794936762859</v>
      </c>
      <c r="M2683">
        <v>17.9593515790914</v>
      </c>
      <c r="N2683">
        <v>15.648560650926401</v>
      </c>
      <c r="O2683">
        <v>14.411963052435</v>
      </c>
      <c r="P2683">
        <v>1.5195268248295799</v>
      </c>
      <c r="Q2683">
        <v>0.16262489491027299</v>
      </c>
      <c r="R2683">
        <v>2.8764287547488898</v>
      </c>
      <c r="S2683">
        <v>13.8695074122608</v>
      </c>
      <c r="T2683">
        <v>2.3537071371288301</v>
      </c>
      <c r="U2683">
        <v>-4.6256692923551803</v>
      </c>
      <c r="V2683">
        <v>3.0224007387035599E-2</v>
      </c>
      <c r="W2683">
        <v>9.7217942392531495E-2</v>
      </c>
      <c r="X2683">
        <v>1</v>
      </c>
      <c r="Y2683">
        <v>0</v>
      </c>
    </row>
    <row r="2684" spans="1:25" x14ac:dyDescent="0.2">
      <c r="A2684" t="s">
        <v>9992</v>
      </c>
      <c r="B2684" t="s">
        <v>9993</v>
      </c>
      <c r="C2684" t="s">
        <v>9994</v>
      </c>
      <c r="D2684" t="s">
        <v>9995</v>
      </c>
      <c r="E2684" t="s">
        <v>9993</v>
      </c>
      <c r="F2684" t="s">
        <v>28</v>
      </c>
      <c r="G2684" t="s">
        <v>9993</v>
      </c>
      <c r="H2684" t="str">
        <f>"soc-2"</f>
        <v>soc-2</v>
      </c>
      <c r="I2684" t="s">
        <v>9995</v>
      </c>
      <c r="J2684">
        <v>14.228891987264999</v>
      </c>
      <c r="K2684">
        <v>13.766181555562801</v>
      </c>
      <c r="L2684">
        <v>13.8166598806413</v>
      </c>
      <c r="M2684">
        <v>14.1659418313156</v>
      </c>
      <c r="N2684">
        <v>13.895935976579301</v>
      </c>
      <c r="O2684">
        <v>14.5638250582548</v>
      </c>
      <c r="P2684">
        <v>0.271323147560185</v>
      </c>
      <c r="Q2684">
        <v>-0.14447989754538701</v>
      </c>
      <c r="R2684">
        <v>0.68712619266575703</v>
      </c>
      <c r="S2684">
        <v>13.846629829600399</v>
      </c>
      <c r="T2684">
        <v>1.37148699623698</v>
      </c>
      <c r="U2684">
        <v>-6.2179756312879499</v>
      </c>
      <c r="V2684">
        <v>0.18717644918106999</v>
      </c>
      <c r="W2684">
        <v>0.34325388658159001</v>
      </c>
      <c r="X2684">
        <v>0</v>
      </c>
      <c r="Y2684">
        <v>0</v>
      </c>
    </row>
    <row r="2685" spans="1:25" x14ac:dyDescent="0.2">
      <c r="A2685" t="s">
        <v>9996</v>
      </c>
      <c r="B2685" t="s">
        <v>9997</v>
      </c>
      <c r="C2685" t="s">
        <v>9998</v>
      </c>
      <c r="D2685" t="s">
        <v>9999</v>
      </c>
      <c r="E2685" t="s">
        <v>9997</v>
      </c>
      <c r="F2685" t="s">
        <v>28</v>
      </c>
      <c r="G2685" t="s">
        <v>9997</v>
      </c>
      <c r="H2685" t="str">
        <f>"C37C3.2"</f>
        <v>C37C3.2</v>
      </c>
      <c r="I2685" t="s">
        <v>9999</v>
      </c>
      <c r="J2685" t="s">
        <v>29</v>
      </c>
      <c r="K2685" t="s">
        <v>29</v>
      </c>
      <c r="L2685" t="s">
        <v>29</v>
      </c>
      <c r="M2685" t="s">
        <v>29</v>
      </c>
      <c r="N2685" t="s">
        <v>29</v>
      </c>
      <c r="O2685">
        <v>12.631531034724899</v>
      </c>
      <c r="P2685" t="s">
        <v>29</v>
      </c>
      <c r="Q2685" t="s">
        <v>29</v>
      </c>
      <c r="R2685" t="s">
        <v>29</v>
      </c>
      <c r="S2685">
        <v>12.075004639967799</v>
      </c>
      <c r="T2685" t="s">
        <v>29</v>
      </c>
      <c r="U2685" t="s">
        <v>29</v>
      </c>
      <c r="V2685" t="s">
        <v>29</v>
      </c>
      <c r="W2685" t="s">
        <v>29</v>
      </c>
      <c r="X2685" t="s">
        <v>29</v>
      </c>
      <c r="Y2685" t="s">
        <v>29</v>
      </c>
    </row>
    <row r="2686" spans="1:25" x14ac:dyDescent="0.2">
      <c r="A2686" t="s">
        <v>10000</v>
      </c>
      <c r="B2686" t="s">
        <v>10001</v>
      </c>
      <c r="C2686" t="s">
        <v>14542</v>
      </c>
      <c r="D2686" t="s">
        <v>10002</v>
      </c>
      <c r="E2686" t="s">
        <v>10001</v>
      </c>
      <c r="F2686" t="s">
        <v>28</v>
      </c>
      <c r="G2686" t="s">
        <v>10001</v>
      </c>
      <c r="H2686" t="str">
        <f>"F08F3.4"</f>
        <v>F08F3.4</v>
      </c>
      <c r="I2686" t="s">
        <v>10002</v>
      </c>
      <c r="J2686">
        <v>13.6282637510571</v>
      </c>
      <c r="K2686">
        <v>13.5720446078673</v>
      </c>
      <c r="L2686">
        <v>14.461059063330501</v>
      </c>
      <c r="M2686" t="s">
        <v>29</v>
      </c>
      <c r="N2686">
        <v>13.849830523028499</v>
      </c>
      <c r="O2686">
        <v>12.908063899998901</v>
      </c>
      <c r="P2686">
        <v>-0.50817526257128898</v>
      </c>
      <c r="Q2686">
        <v>-1.2701858095819401</v>
      </c>
      <c r="R2686">
        <v>0.25383528443936099</v>
      </c>
      <c r="S2686">
        <v>14.119294273528</v>
      </c>
      <c r="T2686">
        <v>-1.4076754966295499</v>
      </c>
      <c r="U2686">
        <v>-6.0609786608034897</v>
      </c>
      <c r="V2686">
        <v>0.17736022377517099</v>
      </c>
      <c r="W2686">
        <v>0.33039227526259701</v>
      </c>
      <c r="X2686">
        <v>0</v>
      </c>
      <c r="Y2686">
        <v>0</v>
      </c>
    </row>
    <row r="2687" spans="1:25" x14ac:dyDescent="0.2">
      <c r="A2687" t="s">
        <v>10003</v>
      </c>
      <c r="B2687" t="s">
        <v>10004</v>
      </c>
      <c r="C2687" t="s">
        <v>10005</v>
      </c>
      <c r="D2687" t="s">
        <v>10006</v>
      </c>
      <c r="E2687" t="s">
        <v>10004</v>
      </c>
      <c r="F2687" t="s">
        <v>28</v>
      </c>
      <c r="G2687" t="s">
        <v>10004</v>
      </c>
      <c r="H2687" t="str">
        <f>"acl-6"</f>
        <v>acl-6</v>
      </c>
      <c r="I2687" t="s">
        <v>10006</v>
      </c>
      <c r="J2687">
        <v>13.4054003315192</v>
      </c>
      <c r="K2687">
        <v>13.0160552476326</v>
      </c>
      <c r="L2687">
        <v>12.6062719630518</v>
      </c>
      <c r="M2687" t="s">
        <v>29</v>
      </c>
      <c r="N2687" t="s">
        <v>29</v>
      </c>
      <c r="O2687">
        <v>13.3875123587767</v>
      </c>
      <c r="P2687">
        <v>0.37826984470883201</v>
      </c>
      <c r="Q2687">
        <v>-0.62722260585975798</v>
      </c>
      <c r="R2687">
        <v>1.38376229527742</v>
      </c>
      <c r="S2687">
        <v>12.6665726738778</v>
      </c>
      <c r="T2687">
        <v>0.79794404283317399</v>
      </c>
      <c r="U2687">
        <v>-6.4849262609166001</v>
      </c>
      <c r="V2687">
        <v>0.43666256105647799</v>
      </c>
      <c r="W2687">
        <v>0.60189175277522899</v>
      </c>
      <c r="X2687">
        <v>0</v>
      </c>
      <c r="Y2687">
        <v>0</v>
      </c>
    </row>
    <row r="2688" spans="1:25" x14ac:dyDescent="0.2">
      <c r="A2688" t="s">
        <v>10007</v>
      </c>
      <c r="B2688" t="s">
        <v>10008</v>
      </c>
      <c r="C2688" t="s">
        <v>10009</v>
      </c>
      <c r="D2688" t="s">
        <v>10010</v>
      </c>
      <c r="E2688" t="s">
        <v>10008</v>
      </c>
      <c r="F2688" t="s">
        <v>28</v>
      </c>
      <c r="G2688" t="s">
        <v>10008</v>
      </c>
      <c r="H2688" t="str">
        <f>"prp-39"</f>
        <v>prp-39</v>
      </c>
      <c r="I2688" t="s">
        <v>10010</v>
      </c>
      <c r="J2688">
        <v>14.814887286772199</v>
      </c>
      <c r="K2688">
        <v>15.026806501644399</v>
      </c>
      <c r="L2688">
        <v>14.8235043452058</v>
      </c>
      <c r="M2688">
        <v>15.210711416660301</v>
      </c>
      <c r="N2688">
        <v>14.840257875544999</v>
      </c>
      <c r="O2688">
        <v>14.8838922200282</v>
      </c>
      <c r="P2688">
        <v>8.9887792870381802E-2</v>
      </c>
      <c r="Q2688">
        <v>-0.35939164228724801</v>
      </c>
      <c r="R2688">
        <v>0.53916722802801198</v>
      </c>
      <c r="S2688">
        <v>15.097805631930701</v>
      </c>
      <c r="T2688">
        <v>0.42051035026921901</v>
      </c>
      <c r="U2688">
        <v>-7.0639616779482903</v>
      </c>
      <c r="V2688">
        <v>0.67911914643938198</v>
      </c>
      <c r="W2688">
        <v>0.788870368370855</v>
      </c>
      <c r="X2688">
        <v>0</v>
      </c>
      <c r="Y2688">
        <v>0</v>
      </c>
    </row>
    <row r="2689" spans="1:25" x14ac:dyDescent="0.2">
      <c r="A2689" t="s">
        <v>10011</v>
      </c>
      <c r="B2689" t="s">
        <v>10012</v>
      </c>
      <c r="C2689" t="s">
        <v>10013</v>
      </c>
      <c r="D2689" t="s">
        <v>10014</v>
      </c>
      <c r="E2689" t="s">
        <v>10012</v>
      </c>
      <c r="F2689" t="s">
        <v>28</v>
      </c>
      <c r="G2689" t="s">
        <v>10012</v>
      </c>
      <c r="H2689" t="str">
        <f>"gcst-1"</f>
        <v>gcst-1</v>
      </c>
      <c r="I2689" t="s">
        <v>10014</v>
      </c>
      <c r="J2689">
        <v>16.758480596040201</v>
      </c>
      <c r="K2689">
        <v>16.7013512208962</v>
      </c>
      <c r="L2689">
        <v>16.6891100044739</v>
      </c>
      <c r="M2689">
        <v>15.715211546431</v>
      </c>
      <c r="N2689">
        <v>16.199803066900099</v>
      </c>
      <c r="O2689">
        <v>16.2794008512994</v>
      </c>
      <c r="P2689">
        <v>-0.65150878559328596</v>
      </c>
      <c r="Q2689">
        <v>-1.0303922331883599</v>
      </c>
      <c r="R2689">
        <v>-0.27262533799821498</v>
      </c>
      <c r="S2689">
        <v>16.3523213142321</v>
      </c>
      <c r="T2689">
        <v>-3.6141581872347799</v>
      </c>
      <c r="U2689">
        <v>-2.0193154938721598</v>
      </c>
      <c r="V2689">
        <v>1.9991927300965899E-3</v>
      </c>
      <c r="W2689">
        <v>1.4511381713287299E-2</v>
      </c>
      <c r="X2689">
        <v>0</v>
      </c>
      <c r="Y2689">
        <v>0</v>
      </c>
    </row>
    <row r="2690" spans="1:25" x14ac:dyDescent="0.2">
      <c r="A2690" t="s">
        <v>10015</v>
      </c>
      <c r="B2690" t="s">
        <v>10016</v>
      </c>
      <c r="C2690" t="s">
        <v>14543</v>
      </c>
      <c r="D2690" t="s">
        <v>412</v>
      </c>
      <c r="E2690" t="s">
        <v>10016</v>
      </c>
      <c r="F2690" t="s">
        <v>28</v>
      </c>
      <c r="G2690" t="s">
        <v>10016</v>
      </c>
      <c r="H2690" t="str">
        <f>"F45F2.10"</f>
        <v>F45F2.10</v>
      </c>
      <c r="I2690" t="s">
        <v>412</v>
      </c>
      <c r="J2690">
        <v>12.459303890614301</v>
      </c>
      <c r="K2690">
        <v>13.220903286123599</v>
      </c>
      <c r="L2690">
        <v>12.1693223398147</v>
      </c>
      <c r="M2690" t="s">
        <v>29</v>
      </c>
      <c r="N2690">
        <v>12.334077415170601</v>
      </c>
      <c r="O2690">
        <v>12.561771471418901</v>
      </c>
      <c r="P2690">
        <v>-0.168585395556136</v>
      </c>
      <c r="Q2690">
        <v>-0.92692364698964702</v>
      </c>
      <c r="R2690">
        <v>0.58975285587737603</v>
      </c>
      <c r="S2690">
        <v>12.541713579894401</v>
      </c>
      <c r="T2690">
        <v>-0.46925293708299498</v>
      </c>
      <c r="U2690">
        <v>-6.9304803273382696</v>
      </c>
      <c r="V2690">
        <v>0.64488758930622503</v>
      </c>
      <c r="W2690">
        <v>0.76463883086185302</v>
      </c>
      <c r="X2690">
        <v>0</v>
      </c>
      <c r="Y2690">
        <v>0</v>
      </c>
    </row>
    <row r="2691" spans="1:25" x14ac:dyDescent="0.2">
      <c r="A2691" t="s">
        <v>10017</v>
      </c>
      <c r="B2691" t="s">
        <v>10018</v>
      </c>
      <c r="C2691" t="s">
        <v>10019</v>
      </c>
      <c r="D2691" t="s">
        <v>10020</v>
      </c>
      <c r="E2691" t="s">
        <v>10018</v>
      </c>
      <c r="F2691" t="s">
        <v>28</v>
      </c>
      <c r="G2691" t="s">
        <v>10018</v>
      </c>
      <c r="H2691" t="str">
        <f>"sumv-2"</f>
        <v>sumv-2</v>
      </c>
      <c r="I2691" t="s">
        <v>10020</v>
      </c>
      <c r="J2691">
        <v>11.1403517114951</v>
      </c>
      <c r="K2691">
        <v>12.627407030373501</v>
      </c>
      <c r="L2691">
        <v>12.8440301172968</v>
      </c>
      <c r="M2691" t="s">
        <v>29</v>
      </c>
      <c r="N2691" t="s">
        <v>29</v>
      </c>
      <c r="O2691" t="s">
        <v>29</v>
      </c>
      <c r="P2691" t="s">
        <v>29</v>
      </c>
      <c r="Q2691" t="s">
        <v>29</v>
      </c>
      <c r="R2691" t="s">
        <v>29</v>
      </c>
      <c r="S2691">
        <v>12.582898252855699</v>
      </c>
      <c r="T2691" t="s">
        <v>29</v>
      </c>
      <c r="U2691" t="s">
        <v>29</v>
      </c>
      <c r="V2691" t="s">
        <v>29</v>
      </c>
      <c r="W2691" t="s">
        <v>29</v>
      </c>
      <c r="X2691" t="s">
        <v>29</v>
      </c>
      <c r="Y2691" t="s">
        <v>29</v>
      </c>
    </row>
    <row r="2692" spans="1:25" x14ac:dyDescent="0.2">
      <c r="A2692" t="s">
        <v>10021</v>
      </c>
      <c r="B2692" t="s">
        <v>10022</v>
      </c>
      <c r="C2692" t="s">
        <v>10023</v>
      </c>
      <c r="D2692" t="s">
        <v>10024</v>
      </c>
      <c r="E2692" t="s">
        <v>10022</v>
      </c>
      <c r="F2692" t="s">
        <v>28</v>
      </c>
      <c r="G2692" t="s">
        <v>10022</v>
      </c>
      <c r="H2692" t="str">
        <f>"pmt-2"</f>
        <v>pmt-2</v>
      </c>
      <c r="I2692" t="s">
        <v>10024</v>
      </c>
      <c r="J2692">
        <v>11.9114440255166</v>
      </c>
      <c r="K2692">
        <v>12.139434846171101</v>
      </c>
      <c r="L2692">
        <v>12.773812559739</v>
      </c>
      <c r="M2692">
        <v>15.493872179934501</v>
      </c>
      <c r="N2692">
        <v>15.441187846991101</v>
      </c>
      <c r="O2692">
        <v>15.5884824940304</v>
      </c>
      <c r="P2692">
        <v>3.2329503631764398</v>
      </c>
      <c r="Q2692">
        <v>2.66429555486258</v>
      </c>
      <c r="R2692">
        <v>3.8016051714902899</v>
      </c>
      <c r="S2692">
        <v>13.6643153541856</v>
      </c>
      <c r="T2692">
        <v>11.9493101665423</v>
      </c>
      <c r="U2692">
        <v>13.140993153254501</v>
      </c>
      <c r="V2692" s="2">
        <v>5.7993703327776301E-10</v>
      </c>
      <c r="W2692" s="2">
        <v>1.3146726438996701E-7</v>
      </c>
      <c r="X2692">
        <v>1</v>
      </c>
      <c r="Y2692">
        <v>1</v>
      </c>
    </row>
    <row r="2693" spans="1:25" x14ac:dyDescent="0.2">
      <c r="A2693" t="s">
        <v>10025</v>
      </c>
      <c r="B2693" t="s">
        <v>10026</v>
      </c>
      <c r="C2693" t="s">
        <v>14544</v>
      </c>
      <c r="D2693" t="s">
        <v>10027</v>
      </c>
      <c r="E2693" t="s">
        <v>10026</v>
      </c>
      <c r="F2693" t="s">
        <v>28</v>
      </c>
      <c r="G2693" t="s">
        <v>10026</v>
      </c>
      <c r="H2693" t="str">
        <f>"R09F10.1"</f>
        <v>R09F10.1</v>
      </c>
      <c r="I2693" t="s">
        <v>10027</v>
      </c>
      <c r="J2693">
        <v>19.626252781925299</v>
      </c>
      <c r="K2693">
        <v>20.177354087717699</v>
      </c>
      <c r="L2693">
        <v>19.333070317635698</v>
      </c>
      <c r="M2693">
        <v>22.402158996411401</v>
      </c>
      <c r="N2693">
        <v>21.4365474681676</v>
      </c>
      <c r="O2693">
        <v>19.9822641048418</v>
      </c>
      <c r="P2693">
        <v>1.56143112738068</v>
      </c>
      <c r="Q2693">
        <v>0.59872044144464298</v>
      </c>
      <c r="R2693">
        <v>2.5241418133167199</v>
      </c>
      <c r="S2693">
        <v>18.951419210917699</v>
      </c>
      <c r="T2693">
        <v>3.4089415398834602</v>
      </c>
      <c r="U2693">
        <v>-2.4652091562440899</v>
      </c>
      <c r="V2693">
        <v>3.1498684060381099E-3</v>
      </c>
      <c r="W2693">
        <v>2.0356715334636601E-2</v>
      </c>
      <c r="X2693">
        <v>1</v>
      </c>
      <c r="Y2693">
        <v>1</v>
      </c>
    </row>
    <row r="2694" spans="1:25" x14ac:dyDescent="0.2">
      <c r="A2694" t="s">
        <v>10028</v>
      </c>
      <c r="B2694" t="s">
        <v>10029</v>
      </c>
      <c r="C2694" t="s">
        <v>14545</v>
      </c>
      <c r="D2694" t="s">
        <v>3264</v>
      </c>
      <c r="E2694" t="s">
        <v>10029</v>
      </c>
      <c r="F2694" t="s">
        <v>28</v>
      </c>
      <c r="G2694" t="s">
        <v>10029</v>
      </c>
      <c r="H2694" t="str">
        <f>"T22B7.7"</f>
        <v>T22B7.7</v>
      </c>
      <c r="I2694" t="s">
        <v>3264</v>
      </c>
      <c r="J2694">
        <v>14.77006546664</v>
      </c>
      <c r="K2694">
        <v>14.208393281599699</v>
      </c>
      <c r="L2694">
        <v>14.985446092831801</v>
      </c>
      <c r="M2694">
        <v>20.4553000547217</v>
      </c>
      <c r="N2694">
        <v>15.643545718672501</v>
      </c>
      <c r="O2694">
        <v>14.991875540614901</v>
      </c>
      <c r="P2694">
        <v>2.3756054909792002</v>
      </c>
      <c r="Q2694">
        <v>0.59488431274146603</v>
      </c>
      <c r="R2694">
        <v>4.1563266692169396</v>
      </c>
      <c r="S2694">
        <v>15.361843161924901</v>
      </c>
      <c r="T2694">
        <v>2.8039541626016899</v>
      </c>
      <c r="U2694">
        <v>-3.7403178335408902</v>
      </c>
      <c r="V2694">
        <v>1.1783016140347999E-2</v>
      </c>
      <c r="W2694">
        <v>5.0990526528054997E-2</v>
      </c>
      <c r="X2694">
        <v>1</v>
      </c>
      <c r="Y2694">
        <v>1</v>
      </c>
    </row>
    <row r="2695" spans="1:25" x14ac:dyDescent="0.2">
      <c r="A2695" t="s">
        <v>10030</v>
      </c>
      <c r="B2695" t="s">
        <v>10031</v>
      </c>
      <c r="C2695" t="s">
        <v>10032</v>
      </c>
      <c r="D2695" t="s">
        <v>10033</v>
      </c>
      <c r="E2695" t="s">
        <v>10031</v>
      </c>
      <c r="F2695" t="s">
        <v>28</v>
      </c>
      <c r="G2695" t="s">
        <v>10031</v>
      </c>
      <c r="H2695" t="str">
        <f>"clik-1"</f>
        <v>clik-1</v>
      </c>
      <c r="I2695" t="s">
        <v>10033</v>
      </c>
      <c r="J2695">
        <v>12.287861907198799</v>
      </c>
      <c r="K2695">
        <v>11.872392554495001</v>
      </c>
      <c r="L2695">
        <v>12.507546479747001</v>
      </c>
      <c r="M2695" t="s">
        <v>29</v>
      </c>
      <c r="N2695">
        <v>13.3879516735333</v>
      </c>
      <c r="O2695" t="s">
        <v>29</v>
      </c>
      <c r="P2695">
        <v>1.16535135971971</v>
      </c>
      <c r="Q2695">
        <v>8.1928682934758107E-2</v>
      </c>
      <c r="R2695">
        <v>2.24877403650467</v>
      </c>
      <c r="S2695">
        <v>12.3805676872809</v>
      </c>
      <c r="T2695">
        <v>2.2814370789378602</v>
      </c>
      <c r="U2695">
        <v>-4.4525324639337303</v>
      </c>
      <c r="V2695">
        <v>3.6651901918193897E-2</v>
      </c>
      <c r="W2695">
        <v>0.112513703075956</v>
      </c>
      <c r="X2695">
        <v>1</v>
      </c>
      <c r="Y2695">
        <v>0</v>
      </c>
    </row>
    <row r="2696" spans="1:25" x14ac:dyDescent="0.2">
      <c r="A2696" t="s">
        <v>10034</v>
      </c>
      <c r="B2696" t="s">
        <v>10035</v>
      </c>
      <c r="C2696" t="s">
        <v>10036</v>
      </c>
      <c r="D2696" t="s">
        <v>312</v>
      </c>
      <c r="E2696" t="s">
        <v>10035</v>
      </c>
      <c r="F2696" t="s">
        <v>28</v>
      </c>
      <c r="G2696" t="s">
        <v>10035</v>
      </c>
      <c r="H2696" t="str">
        <f>"acl-9"</f>
        <v>acl-9</v>
      </c>
      <c r="I2696" t="s">
        <v>312</v>
      </c>
      <c r="J2696">
        <v>13.7309938336595</v>
      </c>
      <c r="K2696">
        <v>13.71103890741</v>
      </c>
      <c r="L2696">
        <v>13.6498210678298</v>
      </c>
      <c r="M2696" t="s">
        <v>29</v>
      </c>
      <c r="N2696">
        <v>14.8052484030668</v>
      </c>
      <c r="O2696">
        <v>13.9799272175445</v>
      </c>
      <c r="P2696">
        <v>0.69530320733926299</v>
      </c>
      <c r="Q2696">
        <v>0.15757250751504401</v>
      </c>
      <c r="R2696">
        <v>1.2330339071634799</v>
      </c>
      <c r="S2696">
        <v>14.0521635733877</v>
      </c>
      <c r="T2696">
        <v>2.7293511495453902</v>
      </c>
      <c r="U2696">
        <v>-3.80641838617121</v>
      </c>
      <c r="V2696">
        <v>1.4329204044142301E-2</v>
      </c>
      <c r="W2696">
        <v>5.8650228219565802E-2</v>
      </c>
      <c r="X2696">
        <v>0</v>
      </c>
      <c r="Y2696">
        <v>0</v>
      </c>
    </row>
    <row r="2697" spans="1:25" x14ac:dyDescent="0.2">
      <c r="A2697" t="s">
        <v>10037</v>
      </c>
      <c r="B2697" t="s">
        <v>10038</v>
      </c>
      <c r="C2697" t="s">
        <v>10039</v>
      </c>
      <c r="D2697" t="s">
        <v>158</v>
      </c>
      <c r="E2697" t="s">
        <v>10038</v>
      </c>
      <c r="F2697" t="s">
        <v>28</v>
      </c>
      <c r="G2697" t="s">
        <v>10038</v>
      </c>
      <c r="H2697" t="str">
        <f>"xpo-1"</f>
        <v>xpo-1</v>
      </c>
      <c r="I2697" t="s">
        <v>158</v>
      </c>
      <c r="J2697">
        <v>15.530336239844299</v>
      </c>
      <c r="K2697">
        <v>15.523408840658099</v>
      </c>
      <c r="L2697">
        <v>15.2545169776087</v>
      </c>
      <c r="M2697">
        <v>15.959626668957</v>
      </c>
      <c r="N2697">
        <v>15.3139732191443</v>
      </c>
      <c r="O2697">
        <v>15.185555814144999</v>
      </c>
      <c r="P2697">
        <v>5.0297881378371698E-2</v>
      </c>
      <c r="Q2697">
        <v>-0.43477345725557598</v>
      </c>
      <c r="R2697">
        <v>0.53536922001231901</v>
      </c>
      <c r="S2697">
        <v>15.454944269517901</v>
      </c>
      <c r="T2697">
        <v>0.217939821668902</v>
      </c>
      <c r="U2697">
        <v>-7.1314088068751396</v>
      </c>
      <c r="V2697">
        <v>0.82994186381960899</v>
      </c>
      <c r="W2697">
        <v>0.89296775198115697</v>
      </c>
      <c r="X2697">
        <v>0</v>
      </c>
      <c r="Y2697">
        <v>0</v>
      </c>
    </row>
    <row r="2698" spans="1:25" x14ac:dyDescent="0.2">
      <c r="A2698" t="s">
        <v>10040</v>
      </c>
      <c r="B2698" t="s">
        <v>10041</v>
      </c>
      <c r="C2698" t="s">
        <v>14546</v>
      </c>
      <c r="D2698" t="s">
        <v>10042</v>
      </c>
      <c r="E2698" t="s">
        <v>10041</v>
      </c>
      <c r="F2698" t="s">
        <v>28</v>
      </c>
      <c r="G2698" t="s">
        <v>10041</v>
      </c>
      <c r="H2698" t="str">
        <f>"ZK742.3"</f>
        <v>ZK742.3</v>
      </c>
      <c r="I2698" t="s">
        <v>10042</v>
      </c>
      <c r="J2698" t="s">
        <v>29</v>
      </c>
      <c r="K2698">
        <v>12.548426421259199</v>
      </c>
      <c r="L2698">
        <v>13.004267998369601</v>
      </c>
      <c r="M2698" t="s">
        <v>29</v>
      </c>
      <c r="N2698">
        <v>13.1588788023598</v>
      </c>
      <c r="O2698" t="s">
        <v>29</v>
      </c>
      <c r="P2698">
        <v>0.38253159254534103</v>
      </c>
      <c r="Q2698">
        <v>-0.70651261717230796</v>
      </c>
      <c r="R2698">
        <v>1.4715758022629899</v>
      </c>
      <c r="S2698">
        <v>12.3659175575389</v>
      </c>
      <c r="T2698">
        <v>0.75946723574906305</v>
      </c>
      <c r="U2698">
        <v>-6.4546754425658799</v>
      </c>
      <c r="V2698">
        <v>0.46123206796583999</v>
      </c>
      <c r="W2698">
        <v>0.62409607231562103</v>
      </c>
      <c r="X2698">
        <v>0</v>
      </c>
      <c r="Y2698">
        <v>0</v>
      </c>
    </row>
    <row r="2699" spans="1:25" x14ac:dyDescent="0.2">
      <c r="A2699" t="s">
        <v>10043</v>
      </c>
      <c r="B2699" t="s">
        <v>10044</v>
      </c>
      <c r="C2699" t="s">
        <v>14547</v>
      </c>
      <c r="D2699" t="s">
        <v>10042</v>
      </c>
      <c r="E2699" t="s">
        <v>10044</v>
      </c>
      <c r="F2699" t="s">
        <v>28</v>
      </c>
      <c r="G2699" t="s">
        <v>10044</v>
      </c>
      <c r="H2699" t="str">
        <f>"ZK742.4"</f>
        <v>ZK742.4</v>
      </c>
      <c r="I2699" t="s">
        <v>10042</v>
      </c>
      <c r="J2699">
        <v>12.746211592708001</v>
      </c>
      <c r="K2699">
        <v>12.549037479938301</v>
      </c>
      <c r="L2699">
        <v>11.4981920496638</v>
      </c>
      <c r="M2699" t="s">
        <v>29</v>
      </c>
      <c r="N2699" t="s">
        <v>29</v>
      </c>
      <c r="O2699">
        <v>12.050328123956501</v>
      </c>
      <c r="P2699">
        <v>-0.21415225014686201</v>
      </c>
      <c r="Q2699">
        <v>-1.1997992694895601</v>
      </c>
      <c r="R2699">
        <v>0.77149476919583304</v>
      </c>
      <c r="S2699">
        <v>12.1248339386166</v>
      </c>
      <c r="T2699">
        <v>-0.48480614896741397</v>
      </c>
      <c r="U2699">
        <v>-6.6863519954825703</v>
      </c>
      <c r="V2699">
        <v>0.63836669246425104</v>
      </c>
      <c r="W2699">
        <v>0.75911371069921096</v>
      </c>
      <c r="X2699">
        <v>0</v>
      </c>
      <c r="Y2699">
        <v>0</v>
      </c>
    </row>
    <row r="2700" spans="1:25" x14ac:dyDescent="0.2">
      <c r="A2700" t="s">
        <v>10045</v>
      </c>
      <c r="B2700" t="s">
        <v>10046</v>
      </c>
      <c r="C2700" t="s">
        <v>10047</v>
      </c>
      <c r="D2700" t="s">
        <v>10048</v>
      </c>
      <c r="E2700" t="s">
        <v>10046</v>
      </c>
      <c r="F2700" t="s">
        <v>28</v>
      </c>
      <c r="G2700" t="s">
        <v>10046</v>
      </c>
      <c r="H2700" t="str">
        <f>"tofu-5"</f>
        <v>tofu-5</v>
      </c>
      <c r="I2700" t="s">
        <v>10048</v>
      </c>
      <c r="J2700" t="s">
        <v>29</v>
      </c>
      <c r="K2700" t="s">
        <v>29</v>
      </c>
      <c r="L2700" t="s">
        <v>29</v>
      </c>
      <c r="M2700" t="s">
        <v>29</v>
      </c>
      <c r="N2700" t="s">
        <v>29</v>
      </c>
      <c r="O2700" t="s">
        <v>29</v>
      </c>
      <c r="P2700" t="s">
        <v>29</v>
      </c>
      <c r="Q2700" t="s">
        <v>29</v>
      </c>
      <c r="R2700" t="s">
        <v>29</v>
      </c>
      <c r="S2700">
        <v>11.3896191804526</v>
      </c>
      <c r="T2700" t="s">
        <v>29</v>
      </c>
      <c r="U2700" t="s">
        <v>29</v>
      </c>
      <c r="V2700" t="s">
        <v>29</v>
      </c>
      <c r="W2700" t="s">
        <v>29</v>
      </c>
      <c r="X2700" t="s">
        <v>29</v>
      </c>
      <c r="Y2700" t="s">
        <v>29</v>
      </c>
    </row>
    <row r="2701" spans="1:25" x14ac:dyDescent="0.2">
      <c r="A2701" t="s">
        <v>10049</v>
      </c>
      <c r="B2701" t="s">
        <v>10050</v>
      </c>
      <c r="C2701" t="s">
        <v>10051</v>
      </c>
      <c r="D2701" t="s">
        <v>10052</v>
      </c>
      <c r="E2701" t="s">
        <v>10050</v>
      </c>
      <c r="F2701" t="s">
        <v>28</v>
      </c>
      <c r="G2701" t="s">
        <v>10050</v>
      </c>
      <c r="H2701" t="str">
        <f>"rsp-2"</f>
        <v>rsp-2</v>
      </c>
      <c r="I2701" t="s">
        <v>10052</v>
      </c>
      <c r="J2701">
        <v>15.689498331400801</v>
      </c>
      <c r="K2701">
        <v>15.3436290634905</v>
      </c>
      <c r="L2701">
        <v>15.629326170269399</v>
      </c>
      <c r="M2701">
        <v>15.8689724413051</v>
      </c>
      <c r="N2701">
        <v>15.737866628268501</v>
      </c>
      <c r="O2701">
        <v>16.142886109408401</v>
      </c>
      <c r="P2701">
        <v>0.36242387127377601</v>
      </c>
      <c r="Q2701">
        <v>-0.13584453289290699</v>
      </c>
      <c r="R2701">
        <v>0.86069227544045901</v>
      </c>
      <c r="S2701">
        <v>15.7149698267249</v>
      </c>
      <c r="T2701">
        <v>1.52878340325756</v>
      </c>
      <c r="U2701">
        <v>-6.0039466088212796</v>
      </c>
      <c r="V2701">
        <v>0.14380193972623101</v>
      </c>
      <c r="W2701">
        <v>0.28403774555844702</v>
      </c>
      <c r="X2701">
        <v>0</v>
      </c>
      <c r="Y2701">
        <v>0</v>
      </c>
    </row>
    <row r="2702" spans="1:25" x14ac:dyDescent="0.2">
      <c r="A2702" t="s">
        <v>10053</v>
      </c>
      <c r="B2702" t="s">
        <v>10054</v>
      </c>
      <c r="C2702" t="s">
        <v>10055</v>
      </c>
      <c r="D2702" t="s">
        <v>10056</v>
      </c>
      <c r="E2702" t="s">
        <v>10054</v>
      </c>
      <c r="F2702" t="s">
        <v>28</v>
      </c>
      <c r="G2702" t="s">
        <v>10054</v>
      </c>
      <c r="H2702" t="str">
        <f>"rsp-1"</f>
        <v>rsp-1</v>
      </c>
      <c r="I2702" t="s">
        <v>10056</v>
      </c>
      <c r="J2702">
        <v>12.018144898279401</v>
      </c>
      <c r="K2702">
        <v>12.3567437822255</v>
      </c>
      <c r="L2702">
        <v>12.066877319384201</v>
      </c>
      <c r="M2702" t="s">
        <v>29</v>
      </c>
      <c r="N2702" t="s">
        <v>29</v>
      </c>
      <c r="O2702">
        <v>12.790233769317</v>
      </c>
      <c r="P2702">
        <v>0.64297843602065496</v>
      </c>
      <c r="Q2702">
        <v>-0.80223424441068603</v>
      </c>
      <c r="R2702">
        <v>2.0881911164520002</v>
      </c>
      <c r="S2702">
        <v>12.853451061473301</v>
      </c>
      <c r="T2702">
        <v>0.94365701844477101</v>
      </c>
      <c r="U2702">
        <v>-6.3578339410350004</v>
      </c>
      <c r="V2702">
        <v>0.35946857814121302</v>
      </c>
      <c r="W2702">
        <v>0.529255220205471</v>
      </c>
      <c r="X2702">
        <v>0</v>
      </c>
      <c r="Y2702">
        <v>0</v>
      </c>
    </row>
    <row r="2703" spans="1:25" x14ac:dyDescent="0.2">
      <c r="A2703" t="s">
        <v>10057</v>
      </c>
      <c r="B2703" t="s">
        <v>10058</v>
      </c>
      <c r="C2703" t="s">
        <v>10059</v>
      </c>
      <c r="D2703" t="s">
        <v>10060</v>
      </c>
      <c r="E2703" t="s">
        <v>10058</v>
      </c>
      <c r="F2703" t="s">
        <v>28</v>
      </c>
      <c r="G2703" t="s">
        <v>10058</v>
      </c>
      <c r="H2703" t="str">
        <f>"mfn-1"</f>
        <v>mfn-1</v>
      </c>
      <c r="I2703" t="s">
        <v>10060</v>
      </c>
      <c r="J2703">
        <v>12.7016250537134</v>
      </c>
      <c r="K2703">
        <v>12.501031732775701</v>
      </c>
      <c r="L2703">
        <v>12.903562971980801</v>
      </c>
      <c r="M2703" t="s">
        <v>29</v>
      </c>
      <c r="N2703" t="s">
        <v>29</v>
      </c>
      <c r="O2703" t="s">
        <v>29</v>
      </c>
      <c r="P2703" t="s">
        <v>29</v>
      </c>
      <c r="Q2703" t="s">
        <v>29</v>
      </c>
      <c r="R2703" t="s">
        <v>29</v>
      </c>
      <c r="S2703">
        <v>12.751431075775599</v>
      </c>
      <c r="T2703" t="s">
        <v>29</v>
      </c>
      <c r="U2703" t="s">
        <v>29</v>
      </c>
      <c r="V2703" t="s">
        <v>29</v>
      </c>
      <c r="W2703" t="s">
        <v>29</v>
      </c>
      <c r="X2703" t="s">
        <v>29</v>
      </c>
      <c r="Y2703" t="s">
        <v>29</v>
      </c>
    </row>
    <row r="2704" spans="1:25" x14ac:dyDescent="0.2">
      <c r="A2704" t="s">
        <v>10061</v>
      </c>
      <c r="B2704" t="s">
        <v>10062</v>
      </c>
      <c r="C2704" t="s">
        <v>10063</v>
      </c>
      <c r="D2704" t="s">
        <v>10064</v>
      </c>
      <c r="E2704" t="s">
        <v>10062</v>
      </c>
      <c r="F2704" t="s">
        <v>28</v>
      </c>
      <c r="G2704" t="s">
        <v>10062</v>
      </c>
      <c r="H2704" t="str">
        <f>"metl-1"</f>
        <v>metl-1</v>
      </c>
      <c r="I2704" t="s">
        <v>10064</v>
      </c>
      <c r="J2704" t="s">
        <v>29</v>
      </c>
      <c r="K2704" t="s">
        <v>29</v>
      </c>
      <c r="L2704" t="s">
        <v>29</v>
      </c>
      <c r="M2704" t="s">
        <v>29</v>
      </c>
      <c r="N2704" t="s">
        <v>29</v>
      </c>
      <c r="O2704" t="s">
        <v>29</v>
      </c>
      <c r="P2704" t="s">
        <v>29</v>
      </c>
      <c r="Q2704" t="s">
        <v>29</v>
      </c>
      <c r="R2704" t="s">
        <v>29</v>
      </c>
      <c r="S2704">
        <v>10.8824416291692</v>
      </c>
      <c r="T2704" t="s">
        <v>29</v>
      </c>
      <c r="U2704" t="s">
        <v>29</v>
      </c>
      <c r="V2704" t="s">
        <v>29</v>
      </c>
      <c r="W2704" t="s">
        <v>29</v>
      </c>
      <c r="X2704" t="s">
        <v>29</v>
      </c>
      <c r="Y2704" t="s">
        <v>29</v>
      </c>
    </row>
    <row r="2705" spans="1:25" x14ac:dyDescent="0.2">
      <c r="A2705" t="s">
        <v>10065</v>
      </c>
      <c r="B2705" t="s">
        <v>10066</v>
      </c>
      <c r="C2705" t="s">
        <v>14548</v>
      </c>
      <c r="D2705" t="s">
        <v>368</v>
      </c>
      <c r="E2705" t="s">
        <v>10066</v>
      </c>
      <c r="F2705" t="s">
        <v>28</v>
      </c>
      <c r="G2705" t="s">
        <v>10066</v>
      </c>
      <c r="H2705" t="str">
        <f>"W03C9.2"</f>
        <v>W03C9.2</v>
      </c>
      <c r="I2705" t="s">
        <v>368</v>
      </c>
      <c r="J2705" t="s">
        <v>29</v>
      </c>
      <c r="K2705" t="s">
        <v>29</v>
      </c>
      <c r="L2705" t="s">
        <v>29</v>
      </c>
      <c r="M2705" t="s">
        <v>29</v>
      </c>
      <c r="N2705" t="s">
        <v>29</v>
      </c>
      <c r="O2705" t="s">
        <v>29</v>
      </c>
      <c r="P2705" t="s">
        <v>29</v>
      </c>
      <c r="Q2705" t="s">
        <v>29</v>
      </c>
      <c r="R2705" t="s">
        <v>29</v>
      </c>
      <c r="S2705">
        <v>12.426038176705999</v>
      </c>
      <c r="T2705" t="s">
        <v>29</v>
      </c>
      <c r="U2705" t="s">
        <v>29</v>
      </c>
      <c r="V2705" t="s">
        <v>29</v>
      </c>
      <c r="W2705" t="s">
        <v>29</v>
      </c>
      <c r="X2705" t="s">
        <v>29</v>
      </c>
      <c r="Y2705" t="s">
        <v>29</v>
      </c>
    </row>
    <row r="2706" spans="1:25" x14ac:dyDescent="0.2">
      <c r="A2706" t="s">
        <v>10067</v>
      </c>
      <c r="B2706" t="s">
        <v>10068</v>
      </c>
      <c r="C2706" t="s">
        <v>10069</v>
      </c>
      <c r="D2706" t="s">
        <v>10070</v>
      </c>
      <c r="E2706" t="s">
        <v>10068</v>
      </c>
      <c r="F2706" t="s">
        <v>28</v>
      </c>
      <c r="G2706" t="s">
        <v>10068</v>
      </c>
      <c r="H2706" t="str">
        <f>"rab-7"</f>
        <v>rab-7</v>
      </c>
      <c r="I2706" t="s">
        <v>10070</v>
      </c>
      <c r="J2706">
        <v>16.829204830999199</v>
      </c>
      <c r="K2706">
        <v>16.786635674786002</v>
      </c>
      <c r="L2706">
        <v>16.564677607494399</v>
      </c>
      <c r="M2706">
        <v>16.603278820069502</v>
      </c>
      <c r="N2706">
        <v>16.348007526879901</v>
      </c>
      <c r="O2706">
        <v>16.501251858425299</v>
      </c>
      <c r="P2706">
        <v>-0.242659969301627</v>
      </c>
      <c r="Q2706">
        <v>-0.718750921676093</v>
      </c>
      <c r="R2706">
        <v>0.23343098307283799</v>
      </c>
      <c r="S2706">
        <v>16.295905851084999</v>
      </c>
      <c r="T2706">
        <v>-1.07127439122868</v>
      </c>
      <c r="U2706">
        <v>-6.5726689148106896</v>
      </c>
      <c r="V2706">
        <v>0.29828224757821298</v>
      </c>
      <c r="W2706">
        <v>0.466828350298987</v>
      </c>
      <c r="X2706">
        <v>0</v>
      </c>
      <c r="Y2706">
        <v>0</v>
      </c>
    </row>
    <row r="2707" spans="1:25" x14ac:dyDescent="0.2">
      <c r="A2707" t="s">
        <v>10071</v>
      </c>
      <c r="B2707" t="s">
        <v>10072</v>
      </c>
      <c r="C2707" t="s">
        <v>10073</v>
      </c>
      <c r="D2707" t="s">
        <v>10074</v>
      </c>
      <c r="E2707" t="s">
        <v>10072</v>
      </c>
      <c r="F2707" t="s">
        <v>28</v>
      </c>
      <c r="G2707" t="s">
        <v>10072</v>
      </c>
      <c r="H2707" t="str">
        <f>"mrps-11"</f>
        <v>mrps-11</v>
      </c>
      <c r="I2707" t="s">
        <v>10074</v>
      </c>
      <c r="J2707">
        <v>14.360673508082</v>
      </c>
      <c r="K2707">
        <v>14.499940461733299</v>
      </c>
      <c r="L2707">
        <v>14.5283679401558</v>
      </c>
      <c r="M2707">
        <v>14.0014525145261</v>
      </c>
      <c r="N2707">
        <v>13.674286194898899</v>
      </c>
      <c r="O2707">
        <v>13.9729399572752</v>
      </c>
      <c r="P2707">
        <v>-0.58010108109032099</v>
      </c>
      <c r="Q2707">
        <v>-1.13555583082589</v>
      </c>
      <c r="R2707">
        <v>-2.4646331354749602E-2</v>
      </c>
      <c r="S2707">
        <v>14.233878006562099</v>
      </c>
      <c r="T2707">
        <v>-2.1950655970682802</v>
      </c>
      <c r="U2707">
        <v>-4.9188889416243597</v>
      </c>
      <c r="V2707">
        <v>4.1596125893495102E-2</v>
      </c>
      <c r="W2707">
        <v>0.120534693223333</v>
      </c>
      <c r="X2707">
        <v>0</v>
      </c>
      <c r="Y2707">
        <v>0</v>
      </c>
    </row>
    <row r="2708" spans="1:25" x14ac:dyDescent="0.2">
      <c r="A2708" t="s">
        <v>10075</v>
      </c>
      <c r="B2708" t="s">
        <v>10076</v>
      </c>
      <c r="C2708" t="s">
        <v>10077</v>
      </c>
      <c r="D2708" t="s">
        <v>10078</v>
      </c>
      <c r="E2708" t="s">
        <v>10076</v>
      </c>
      <c r="F2708" t="s">
        <v>28</v>
      </c>
      <c r="G2708" t="s">
        <v>10076</v>
      </c>
      <c r="H2708" t="str">
        <f>"atn-1"</f>
        <v>atn-1</v>
      </c>
      <c r="I2708" t="s">
        <v>10078</v>
      </c>
      <c r="J2708">
        <v>11.994434392462599</v>
      </c>
      <c r="K2708">
        <v>12.5645498562592</v>
      </c>
      <c r="L2708">
        <v>12.8021193848235</v>
      </c>
      <c r="M2708">
        <v>13.2011036623922</v>
      </c>
      <c r="N2708">
        <v>13.7484633946241</v>
      </c>
      <c r="O2708">
        <v>13.7043953476817</v>
      </c>
      <c r="P2708">
        <v>1.09761959038426</v>
      </c>
      <c r="Q2708">
        <v>0.15849672157394301</v>
      </c>
      <c r="R2708">
        <v>2.03674245919458</v>
      </c>
      <c r="S2708">
        <v>12.9063868342538</v>
      </c>
      <c r="T2708">
        <v>2.4565292892907098</v>
      </c>
      <c r="U2708">
        <v>-4.4299065711374297</v>
      </c>
      <c r="V2708">
        <v>2.4477941531766599E-2</v>
      </c>
      <c r="W2708">
        <v>8.3955562898189506E-2</v>
      </c>
      <c r="X2708">
        <v>1</v>
      </c>
      <c r="Y2708">
        <v>0</v>
      </c>
    </row>
    <row r="2709" spans="1:25" x14ac:dyDescent="0.2">
      <c r="A2709" t="s">
        <v>10079</v>
      </c>
      <c r="B2709" t="s">
        <v>10080</v>
      </c>
      <c r="C2709" t="s">
        <v>14549</v>
      </c>
      <c r="D2709" t="s">
        <v>130</v>
      </c>
      <c r="E2709" t="s">
        <v>10080</v>
      </c>
      <c r="F2709" t="s">
        <v>28</v>
      </c>
      <c r="G2709" t="s">
        <v>10080</v>
      </c>
      <c r="H2709" t="str">
        <f>"W04D2.4"</f>
        <v>W04D2.4</v>
      </c>
      <c r="I2709" t="s">
        <v>130</v>
      </c>
      <c r="J2709">
        <v>11.7264072121352</v>
      </c>
      <c r="K2709" t="s">
        <v>29</v>
      </c>
      <c r="L2709">
        <v>10.500686400114301</v>
      </c>
      <c r="M2709" t="s">
        <v>29</v>
      </c>
      <c r="N2709" t="s">
        <v>29</v>
      </c>
      <c r="O2709">
        <v>13.317406834839799</v>
      </c>
      <c r="P2709">
        <v>2.20386002871507</v>
      </c>
      <c r="Q2709">
        <v>1.2011764220324599</v>
      </c>
      <c r="R2709">
        <v>3.20654363539767</v>
      </c>
      <c r="S2709">
        <v>12.1193238302801</v>
      </c>
      <c r="T2709">
        <v>4.7523381833570397</v>
      </c>
      <c r="U2709">
        <v>0.11701761001713799</v>
      </c>
      <c r="V2709">
        <v>3.8627178505005701E-4</v>
      </c>
      <c r="W2709">
        <v>4.5172339307242796E-3</v>
      </c>
      <c r="X2709">
        <v>1</v>
      </c>
      <c r="Y2709">
        <v>1</v>
      </c>
    </row>
    <row r="2710" spans="1:25" x14ac:dyDescent="0.2">
      <c r="A2710" t="s">
        <v>10081</v>
      </c>
      <c r="B2710" t="s">
        <v>10082</v>
      </c>
      <c r="C2710" t="s">
        <v>10083</v>
      </c>
      <c r="D2710" t="s">
        <v>10084</v>
      </c>
      <c r="E2710" t="s">
        <v>10082</v>
      </c>
      <c r="F2710" t="s">
        <v>28</v>
      </c>
      <c r="G2710" t="s">
        <v>10082</v>
      </c>
      <c r="H2710" t="str">
        <f>"lpr-4"</f>
        <v>lpr-4</v>
      </c>
      <c r="I2710" t="s">
        <v>10084</v>
      </c>
      <c r="J2710">
        <v>14.021900658774801</v>
      </c>
      <c r="K2710">
        <v>10.374728907359501</v>
      </c>
      <c r="L2710">
        <v>12.864229351504401</v>
      </c>
      <c r="M2710" t="s">
        <v>29</v>
      </c>
      <c r="N2710" t="s">
        <v>29</v>
      </c>
      <c r="O2710">
        <v>13.3041159139543</v>
      </c>
      <c r="P2710">
        <v>0.88382960807470601</v>
      </c>
      <c r="Q2710">
        <v>-1.43730205081311</v>
      </c>
      <c r="R2710">
        <v>3.20496126696252</v>
      </c>
      <c r="S2710">
        <v>12.7719237777366</v>
      </c>
      <c r="T2710">
        <v>0.83045056248486904</v>
      </c>
      <c r="U2710">
        <v>-6.4537520011127301</v>
      </c>
      <c r="V2710">
        <v>0.42263933519728802</v>
      </c>
      <c r="W2710">
        <v>0.58855027911693703</v>
      </c>
      <c r="X2710">
        <v>0</v>
      </c>
      <c r="Y2710">
        <v>0</v>
      </c>
    </row>
    <row r="2711" spans="1:25" x14ac:dyDescent="0.2">
      <c r="A2711" t="s">
        <v>10085</v>
      </c>
      <c r="B2711" t="s">
        <v>10086</v>
      </c>
      <c r="C2711" t="s">
        <v>14550</v>
      </c>
      <c r="D2711" t="s">
        <v>10087</v>
      </c>
      <c r="E2711" t="s">
        <v>10086</v>
      </c>
      <c r="F2711" t="s">
        <v>28</v>
      </c>
      <c r="G2711" t="s">
        <v>10086</v>
      </c>
      <c r="H2711" t="str">
        <f>"W04G3.5"</f>
        <v>W04G3.5</v>
      </c>
      <c r="I2711" t="s">
        <v>10087</v>
      </c>
      <c r="J2711">
        <v>13.574914293940999</v>
      </c>
      <c r="K2711">
        <v>13.267246230264799</v>
      </c>
      <c r="L2711">
        <v>13.652754370663899</v>
      </c>
      <c r="M2711">
        <v>13.247473614716201</v>
      </c>
      <c r="N2711">
        <v>12.868974021098801</v>
      </c>
      <c r="O2711">
        <v>13.6622172851222</v>
      </c>
      <c r="P2711">
        <v>-0.23874999131081301</v>
      </c>
      <c r="Q2711">
        <v>-0.74459556112016101</v>
      </c>
      <c r="R2711">
        <v>0.26709557849853399</v>
      </c>
      <c r="S2711">
        <v>13.6428492813291</v>
      </c>
      <c r="T2711">
        <v>-0.99201428674366499</v>
      </c>
      <c r="U2711">
        <v>-6.6536390829391099</v>
      </c>
      <c r="V2711">
        <v>0.33441565742019103</v>
      </c>
      <c r="W2711">
        <v>0.50539638072682203</v>
      </c>
      <c r="X2711">
        <v>0</v>
      </c>
      <c r="Y2711">
        <v>0</v>
      </c>
    </row>
    <row r="2712" spans="1:25" x14ac:dyDescent="0.2">
      <c r="A2712" t="s">
        <v>10088</v>
      </c>
      <c r="B2712" t="s">
        <v>10089</v>
      </c>
      <c r="C2712" t="s">
        <v>14551</v>
      </c>
      <c r="D2712" t="s">
        <v>10090</v>
      </c>
      <c r="E2712" t="s">
        <v>10089</v>
      </c>
      <c r="F2712" t="s">
        <v>28</v>
      </c>
      <c r="G2712" t="s">
        <v>10089</v>
      </c>
      <c r="H2712" t="str">
        <f>"W05H9.2"</f>
        <v>W05H9.2</v>
      </c>
      <c r="I2712" t="s">
        <v>10090</v>
      </c>
      <c r="J2712">
        <v>11.5151347286338</v>
      </c>
      <c r="K2712">
        <v>10.6242672616194</v>
      </c>
      <c r="L2712">
        <v>11.096338985543801</v>
      </c>
      <c r="M2712" t="s">
        <v>29</v>
      </c>
      <c r="N2712" t="s">
        <v>29</v>
      </c>
      <c r="O2712">
        <v>10.705888530787201</v>
      </c>
      <c r="P2712">
        <v>-0.372691794478472</v>
      </c>
      <c r="Q2712">
        <v>-1.33108723743836</v>
      </c>
      <c r="R2712">
        <v>0.58570364848141299</v>
      </c>
      <c r="S2712">
        <v>12.1115293452426</v>
      </c>
      <c r="T2712">
        <v>-0.84079928834432205</v>
      </c>
      <c r="U2712">
        <v>-6.4464046686680199</v>
      </c>
      <c r="V2712">
        <v>0.41577950003548603</v>
      </c>
      <c r="W2712">
        <v>0.58264488188520103</v>
      </c>
      <c r="X2712">
        <v>0</v>
      </c>
      <c r="Y2712">
        <v>0</v>
      </c>
    </row>
    <row r="2713" spans="1:25" x14ac:dyDescent="0.2">
      <c r="A2713" t="s">
        <v>10091</v>
      </c>
      <c r="B2713" t="s">
        <v>10092</v>
      </c>
      <c r="C2713" t="s">
        <v>10093</v>
      </c>
      <c r="D2713" t="s">
        <v>6796</v>
      </c>
      <c r="E2713" t="s">
        <v>10092</v>
      </c>
      <c r="F2713" t="s">
        <v>28</v>
      </c>
      <c r="G2713" t="s">
        <v>10092</v>
      </c>
      <c r="H2713" t="str">
        <f>"puf-9"</f>
        <v>puf-9</v>
      </c>
      <c r="I2713" t="s">
        <v>6796</v>
      </c>
      <c r="J2713" t="s">
        <v>29</v>
      </c>
      <c r="K2713" t="s">
        <v>29</v>
      </c>
      <c r="L2713" t="s">
        <v>29</v>
      </c>
      <c r="M2713" t="s">
        <v>29</v>
      </c>
      <c r="N2713" t="s">
        <v>29</v>
      </c>
      <c r="O2713">
        <v>13.343220325553</v>
      </c>
      <c r="P2713" t="s">
        <v>29</v>
      </c>
      <c r="Q2713" t="s">
        <v>29</v>
      </c>
      <c r="R2713" t="s">
        <v>29</v>
      </c>
      <c r="S2713">
        <v>12.7905711239393</v>
      </c>
      <c r="T2713" t="s">
        <v>29</v>
      </c>
      <c r="U2713" t="s">
        <v>29</v>
      </c>
      <c r="V2713" t="s">
        <v>29</v>
      </c>
      <c r="W2713" t="s">
        <v>29</v>
      </c>
      <c r="X2713" t="s">
        <v>29</v>
      </c>
      <c r="Y2713" t="s">
        <v>29</v>
      </c>
    </row>
    <row r="2714" spans="1:25" x14ac:dyDescent="0.2">
      <c r="A2714" t="s">
        <v>10094</v>
      </c>
      <c r="B2714" t="s">
        <v>10095</v>
      </c>
      <c r="C2714" t="s">
        <v>10096</v>
      </c>
      <c r="D2714" t="s">
        <v>10097</v>
      </c>
      <c r="E2714" t="s">
        <v>10095</v>
      </c>
      <c r="F2714" t="s">
        <v>28</v>
      </c>
      <c r="G2714" t="s">
        <v>10095</v>
      </c>
      <c r="H2714" t="str">
        <f>"atat-2"</f>
        <v>atat-2</v>
      </c>
      <c r="I2714" t="s">
        <v>10097</v>
      </c>
      <c r="J2714">
        <v>11.355025536448601</v>
      </c>
      <c r="K2714">
        <v>11.7412240080253</v>
      </c>
      <c r="L2714">
        <v>11.572356228087999</v>
      </c>
      <c r="M2714" t="s">
        <v>29</v>
      </c>
      <c r="N2714" t="s">
        <v>29</v>
      </c>
      <c r="O2714">
        <v>11.3684763897586</v>
      </c>
      <c r="P2714">
        <v>-0.18772553442878201</v>
      </c>
      <c r="Q2714">
        <v>-1.3270222597852299</v>
      </c>
      <c r="R2714">
        <v>0.95157119092766296</v>
      </c>
      <c r="S2714">
        <v>11.631639247427501</v>
      </c>
      <c r="T2714">
        <v>-0.34949102711887398</v>
      </c>
      <c r="U2714">
        <v>-6.7488039610404096</v>
      </c>
      <c r="V2714">
        <v>0.73130802775491</v>
      </c>
      <c r="W2714">
        <v>0.82827238962095395</v>
      </c>
      <c r="X2714">
        <v>0</v>
      </c>
      <c r="Y2714">
        <v>0</v>
      </c>
    </row>
    <row r="2715" spans="1:25" x14ac:dyDescent="0.2">
      <c r="A2715" t="s">
        <v>10098</v>
      </c>
      <c r="B2715" t="s">
        <v>10099</v>
      </c>
      <c r="C2715" t="s">
        <v>10100</v>
      </c>
      <c r="D2715" t="s">
        <v>10101</v>
      </c>
      <c r="E2715" t="s">
        <v>10099</v>
      </c>
      <c r="F2715" t="s">
        <v>28</v>
      </c>
      <c r="G2715" t="s">
        <v>10099</v>
      </c>
      <c r="H2715" t="str">
        <f>"vps-18"</f>
        <v>vps-18</v>
      </c>
      <c r="I2715" t="s">
        <v>10101</v>
      </c>
      <c r="J2715">
        <v>12.0790523854456</v>
      </c>
      <c r="K2715">
        <v>12.218639884957801</v>
      </c>
      <c r="L2715">
        <v>11.9699644238428</v>
      </c>
      <c r="M2715" t="s">
        <v>29</v>
      </c>
      <c r="N2715">
        <v>11.9787312485772</v>
      </c>
      <c r="O2715">
        <v>12.606538756575199</v>
      </c>
      <c r="P2715">
        <v>0.20341610449414199</v>
      </c>
      <c r="Q2715">
        <v>-0.352009286484677</v>
      </c>
      <c r="R2715">
        <v>0.75884149547296098</v>
      </c>
      <c r="S2715">
        <v>12.377850980665601</v>
      </c>
      <c r="T2715">
        <v>0.77305361764772496</v>
      </c>
      <c r="U2715">
        <v>-6.7368067430973602</v>
      </c>
      <c r="V2715">
        <v>0.45017162698635899</v>
      </c>
      <c r="W2715">
        <v>0.61517567639061899</v>
      </c>
      <c r="X2715">
        <v>0</v>
      </c>
      <c r="Y2715">
        <v>0</v>
      </c>
    </row>
    <row r="2716" spans="1:25" x14ac:dyDescent="0.2">
      <c r="A2716" t="s">
        <v>10102</v>
      </c>
      <c r="B2716" t="s">
        <v>10103</v>
      </c>
      <c r="C2716" t="s">
        <v>14552</v>
      </c>
      <c r="D2716" t="s">
        <v>10104</v>
      </c>
      <c r="E2716" t="s">
        <v>10103</v>
      </c>
      <c r="F2716" t="s">
        <v>28</v>
      </c>
      <c r="G2716" t="s">
        <v>10103</v>
      </c>
      <c r="H2716" t="str">
        <f>"W06B4.1"</f>
        <v>W06B4.1</v>
      </c>
      <c r="I2716" t="s">
        <v>10104</v>
      </c>
      <c r="J2716">
        <v>11.779460308587799</v>
      </c>
      <c r="K2716">
        <v>11.6722523359548</v>
      </c>
      <c r="L2716">
        <v>11.917887091905801</v>
      </c>
      <c r="M2716" t="s">
        <v>29</v>
      </c>
      <c r="N2716" t="s">
        <v>29</v>
      </c>
      <c r="O2716">
        <v>12.4434634312412</v>
      </c>
      <c r="P2716">
        <v>0.65359685242511001</v>
      </c>
      <c r="Q2716">
        <v>-0.147012110468072</v>
      </c>
      <c r="R2716">
        <v>1.45420581531829</v>
      </c>
      <c r="S2716">
        <v>12.6789880760413</v>
      </c>
      <c r="T2716">
        <v>1.7315659379488799</v>
      </c>
      <c r="U2716">
        <v>-5.3718065123222098</v>
      </c>
      <c r="V2716">
        <v>0.102709616362157</v>
      </c>
      <c r="W2716">
        <v>0.221261139926371</v>
      </c>
      <c r="X2716">
        <v>0</v>
      </c>
      <c r="Y2716">
        <v>0</v>
      </c>
    </row>
    <row r="2717" spans="1:25" x14ac:dyDescent="0.2">
      <c r="A2717" t="s">
        <v>10105</v>
      </c>
      <c r="B2717" t="s">
        <v>10106</v>
      </c>
      <c r="C2717" t="s">
        <v>10107</v>
      </c>
      <c r="D2717" t="s">
        <v>10108</v>
      </c>
      <c r="E2717" t="s">
        <v>10106</v>
      </c>
      <c r="F2717" t="s">
        <v>28</v>
      </c>
      <c r="G2717" t="s">
        <v>10106</v>
      </c>
      <c r="H2717" t="str">
        <f>"sbds-1"</f>
        <v>sbds-1</v>
      </c>
      <c r="I2717" t="s">
        <v>10108</v>
      </c>
      <c r="J2717">
        <v>13.375293834100701</v>
      </c>
      <c r="K2717">
        <v>13.3526765130078</v>
      </c>
      <c r="L2717">
        <v>13.2107924095732</v>
      </c>
      <c r="M2717" t="s">
        <v>29</v>
      </c>
      <c r="N2717" t="s">
        <v>29</v>
      </c>
      <c r="O2717">
        <v>11.988978161939899</v>
      </c>
      <c r="P2717">
        <v>-1.3239427569540201</v>
      </c>
      <c r="Q2717">
        <v>-1.9678574718092301</v>
      </c>
      <c r="R2717">
        <v>-0.68002804209880297</v>
      </c>
      <c r="S2717">
        <v>12.254833539989599</v>
      </c>
      <c r="T2717">
        <v>-4.38512991148641</v>
      </c>
      <c r="U2717">
        <v>-0.345020897525051</v>
      </c>
      <c r="V2717">
        <v>5.4099578324464195E-4</v>
      </c>
      <c r="W2717">
        <v>5.8830796059850896E-3</v>
      </c>
      <c r="X2717">
        <v>-1</v>
      </c>
      <c r="Y2717">
        <v>-1</v>
      </c>
    </row>
    <row r="2718" spans="1:25" x14ac:dyDescent="0.2">
      <c r="A2718" t="s">
        <v>10109</v>
      </c>
      <c r="B2718" t="s">
        <v>10110</v>
      </c>
      <c r="C2718" t="s">
        <v>10111</v>
      </c>
      <c r="D2718" t="s">
        <v>323</v>
      </c>
      <c r="E2718" t="s">
        <v>10110</v>
      </c>
      <c r="F2718" t="s">
        <v>28</v>
      </c>
      <c r="G2718" t="s">
        <v>10110</v>
      </c>
      <c r="H2718" t="str">
        <f>"scyl-1"</f>
        <v>scyl-1</v>
      </c>
      <c r="I2718" t="s">
        <v>323</v>
      </c>
      <c r="J2718">
        <v>13.9945294542038</v>
      </c>
      <c r="K2718">
        <v>14.078463104956599</v>
      </c>
      <c r="L2718">
        <v>15.4410594275365</v>
      </c>
      <c r="M2718" t="s">
        <v>29</v>
      </c>
      <c r="N2718">
        <v>15.8636108900048</v>
      </c>
      <c r="O2718">
        <v>15.2983274742584</v>
      </c>
      <c r="P2718">
        <v>1.07628518656594</v>
      </c>
      <c r="Q2718">
        <v>-1.76425333160946E-2</v>
      </c>
      <c r="R2718">
        <v>2.1702129064479698</v>
      </c>
      <c r="S2718">
        <v>13.9771071412788</v>
      </c>
      <c r="T2718">
        <v>2.07677165983548</v>
      </c>
      <c r="U2718">
        <v>-5.0281532875480899</v>
      </c>
      <c r="V2718">
        <v>5.3397213929128398E-2</v>
      </c>
      <c r="W2718">
        <v>0.14234379311957501</v>
      </c>
      <c r="X2718">
        <v>1</v>
      </c>
      <c r="Y2718">
        <v>0</v>
      </c>
    </row>
    <row r="2719" spans="1:25" x14ac:dyDescent="0.2">
      <c r="A2719" t="s">
        <v>10112</v>
      </c>
      <c r="B2719" t="s">
        <v>10113</v>
      </c>
      <c r="C2719" t="s">
        <v>10114</v>
      </c>
      <c r="D2719" t="s">
        <v>10115</v>
      </c>
      <c r="E2719" t="s">
        <v>10113</v>
      </c>
      <c r="F2719" t="s">
        <v>28</v>
      </c>
      <c r="G2719" t="s">
        <v>10113</v>
      </c>
      <c r="H2719" t="str">
        <f>"fat-3"</f>
        <v>fat-3</v>
      </c>
      <c r="I2719" t="s">
        <v>10115</v>
      </c>
      <c r="J2719" t="s">
        <v>29</v>
      </c>
      <c r="K2719" t="s">
        <v>29</v>
      </c>
      <c r="L2719" t="s">
        <v>29</v>
      </c>
      <c r="M2719" t="s">
        <v>29</v>
      </c>
      <c r="N2719" t="s">
        <v>29</v>
      </c>
      <c r="O2719" t="s">
        <v>29</v>
      </c>
      <c r="P2719" t="s">
        <v>29</v>
      </c>
      <c r="Q2719" t="s">
        <v>29</v>
      </c>
      <c r="R2719" t="s">
        <v>29</v>
      </c>
      <c r="S2719">
        <v>12.155148456781401</v>
      </c>
      <c r="T2719" t="s">
        <v>29</v>
      </c>
      <c r="U2719" t="s">
        <v>29</v>
      </c>
      <c r="V2719" t="s">
        <v>29</v>
      </c>
      <c r="W2719" t="s">
        <v>29</v>
      </c>
      <c r="X2719" t="s">
        <v>29</v>
      </c>
      <c r="Y2719" t="s">
        <v>29</v>
      </c>
    </row>
    <row r="2720" spans="1:25" x14ac:dyDescent="0.2">
      <c r="A2720" t="s">
        <v>10116</v>
      </c>
      <c r="B2720" t="s">
        <v>10117</v>
      </c>
      <c r="C2720" t="s">
        <v>10118</v>
      </c>
      <c r="D2720" t="s">
        <v>10119</v>
      </c>
      <c r="E2720" t="s">
        <v>10117</v>
      </c>
      <c r="F2720" t="s">
        <v>28</v>
      </c>
      <c r="G2720" t="s">
        <v>10117</v>
      </c>
      <c r="H2720" t="str">
        <f>"mtr-4"</f>
        <v>mtr-4</v>
      </c>
      <c r="I2720" t="s">
        <v>10119</v>
      </c>
      <c r="J2720">
        <v>14.923409687352001</v>
      </c>
      <c r="K2720">
        <v>14.839578598544</v>
      </c>
      <c r="L2720">
        <v>14.777432408603</v>
      </c>
      <c r="M2720">
        <v>13.573801828466401</v>
      </c>
      <c r="N2720">
        <v>14.5082411995805</v>
      </c>
      <c r="O2720">
        <v>14.755590935829</v>
      </c>
      <c r="P2720">
        <v>-0.56759557687436102</v>
      </c>
      <c r="Q2720">
        <v>-1.03055946850346</v>
      </c>
      <c r="R2720">
        <v>-0.104631685245257</v>
      </c>
      <c r="S2720">
        <v>14.6028342782393</v>
      </c>
      <c r="T2720">
        <v>-2.5768218570998398</v>
      </c>
      <c r="U2720">
        <v>-4.1957378238483702</v>
      </c>
      <c r="V2720">
        <v>1.9060973023718501E-2</v>
      </c>
      <c r="W2720">
        <v>7.1173558713462995E-2</v>
      </c>
      <c r="X2720">
        <v>0</v>
      </c>
      <c r="Y2720">
        <v>0</v>
      </c>
    </row>
    <row r="2721" spans="1:25" x14ac:dyDescent="0.2">
      <c r="A2721" t="s">
        <v>10120</v>
      </c>
      <c r="B2721" t="s">
        <v>10121</v>
      </c>
      <c r="C2721" t="s">
        <v>10122</v>
      </c>
      <c r="D2721" t="s">
        <v>10123</v>
      </c>
      <c r="E2721" t="s">
        <v>10121</v>
      </c>
      <c r="F2721" t="s">
        <v>28</v>
      </c>
      <c r="G2721" t="s">
        <v>10121</v>
      </c>
      <c r="H2721" t="str">
        <f>"zmp-4"</f>
        <v>zmp-4</v>
      </c>
      <c r="I2721" t="s">
        <v>10123</v>
      </c>
      <c r="J2721">
        <v>12.614835121168699</v>
      </c>
      <c r="K2721">
        <v>13.220051415755099</v>
      </c>
      <c r="L2721">
        <v>12.997225509504901</v>
      </c>
      <c r="M2721" t="s">
        <v>29</v>
      </c>
      <c r="N2721" t="s">
        <v>29</v>
      </c>
      <c r="O2721">
        <v>10.998686814250901</v>
      </c>
      <c r="P2721">
        <v>-1.9453505345586299</v>
      </c>
      <c r="Q2721">
        <v>-3.0225430673977001</v>
      </c>
      <c r="R2721">
        <v>-0.86815800171956303</v>
      </c>
      <c r="S2721">
        <v>13.046684367828901</v>
      </c>
      <c r="T2721">
        <v>-3.8516440087270101</v>
      </c>
      <c r="U2721">
        <v>-1.4131631279444401</v>
      </c>
      <c r="V2721">
        <v>1.5871120968646399E-3</v>
      </c>
      <c r="W2721">
        <v>1.25731702942476E-2</v>
      </c>
      <c r="X2721">
        <v>-1</v>
      </c>
      <c r="Y2721">
        <v>-1</v>
      </c>
    </row>
    <row r="2722" spans="1:25" x14ac:dyDescent="0.2">
      <c r="A2722" t="s">
        <v>10124</v>
      </c>
      <c r="B2722" t="s">
        <v>10125</v>
      </c>
      <c r="C2722" t="s">
        <v>10126</v>
      </c>
      <c r="D2722" t="s">
        <v>10127</v>
      </c>
      <c r="E2722" t="s">
        <v>10125</v>
      </c>
      <c r="F2722" t="s">
        <v>28</v>
      </c>
      <c r="G2722" t="s">
        <v>10125</v>
      </c>
      <c r="H2722" t="str">
        <f>"wdr-4"</f>
        <v>wdr-4</v>
      </c>
      <c r="I2722" t="s">
        <v>10127</v>
      </c>
      <c r="J2722">
        <v>15.4089659271246</v>
      </c>
      <c r="K2722">
        <v>15.214179452479501</v>
      </c>
      <c r="L2722">
        <v>15.027242714918</v>
      </c>
      <c r="M2722">
        <v>15.1901281033233</v>
      </c>
      <c r="N2722">
        <v>15.218077860041699</v>
      </c>
      <c r="O2722">
        <v>15.3144455256946</v>
      </c>
      <c r="P2722">
        <v>2.4087798179149199E-2</v>
      </c>
      <c r="Q2722">
        <v>-0.37124372081732598</v>
      </c>
      <c r="R2722">
        <v>0.41941931717562397</v>
      </c>
      <c r="S2722">
        <v>14.8779378672139</v>
      </c>
      <c r="T2722">
        <v>0.128064328238952</v>
      </c>
      <c r="U2722">
        <v>-7.1476991991405896</v>
      </c>
      <c r="V2722">
        <v>0.89952627769144999</v>
      </c>
      <c r="W2722">
        <v>0.94037032293604195</v>
      </c>
      <c r="X2722">
        <v>0</v>
      </c>
      <c r="Y2722">
        <v>0</v>
      </c>
    </row>
    <row r="2723" spans="1:25" x14ac:dyDescent="0.2">
      <c r="A2723" t="s">
        <v>10128</v>
      </c>
      <c r="B2723" t="s">
        <v>10129</v>
      </c>
      <c r="C2723" t="s">
        <v>10130</v>
      </c>
      <c r="D2723" t="s">
        <v>10131</v>
      </c>
      <c r="E2723" t="s">
        <v>10129</v>
      </c>
      <c r="F2723" t="s">
        <v>28</v>
      </c>
      <c r="G2723" t="s">
        <v>10129</v>
      </c>
      <c r="H2723" t="str">
        <f>"ndx-3"</f>
        <v>ndx-3</v>
      </c>
      <c r="I2723" t="s">
        <v>10131</v>
      </c>
      <c r="J2723" t="s">
        <v>29</v>
      </c>
      <c r="K2723">
        <v>11.4818439895592</v>
      </c>
      <c r="L2723">
        <v>12.213841190405599</v>
      </c>
      <c r="M2723" t="s">
        <v>29</v>
      </c>
      <c r="N2723" t="s">
        <v>29</v>
      </c>
      <c r="O2723">
        <v>11.5415828051001</v>
      </c>
      <c r="P2723">
        <v>-0.30625978488230199</v>
      </c>
      <c r="Q2723">
        <v>-1.46833636569043</v>
      </c>
      <c r="R2723">
        <v>0.85581679592582405</v>
      </c>
      <c r="S2723">
        <v>11.4342147795063</v>
      </c>
      <c r="T2723">
        <v>-0.68185615581959003</v>
      </c>
      <c r="U2723">
        <v>-6.4908300072926997</v>
      </c>
      <c r="V2723">
        <v>0.526246297308961</v>
      </c>
      <c r="W2723">
        <v>0.67663518244742904</v>
      </c>
      <c r="X2723">
        <v>0</v>
      </c>
      <c r="Y2723">
        <v>0</v>
      </c>
    </row>
    <row r="2724" spans="1:25" x14ac:dyDescent="0.2">
      <c r="A2724" t="s">
        <v>10132</v>
      </c>
      <c r="B2724" t="s">
        <v>10133</v>
      </c>
      <c r="C2724" t="s">
        <v>10134</v>
      </c>
      <c r="D2724" t="s">
        <v>10135</v>
      </c>
      <c r="E2724" t="s">
        <v>10133</v>
      </c>
      <c r="F2724" t="s">
        <v>28</v>
      </c>
      <c r="G2724" t="s">
        <v>10133</v>
      </c>
      <c r="H2724" t="str">
        <f>"pbs-3"</f>
        <v>pbs-3</v>
      </c>
      <c r="I2724" t="s">
        <v>10135</v>
      </c>
      <c r="J2724">
        <v>12.1283796939633</v>
      </c>
      <c r="K2724" t="s">
        <v>29</v>
      </c>
      <c r="L2724">
        <v>12.055119464022001</v>
      </c>
      <c r="M2724" t="s">
        <v>29</v>
      </c>
      <c r="N2724">
        <v>13.1504122609522</v>
      </c>
      <c r="O2724" t="s">
        <v>29</v>
      </c>
      <c r="P2724">
        <v>1.05866268195952</v>
      </c>
      <c r="Q2724">
        <v>4.97171572274007E-2</v>
      </c>
      <c r="R2724">
        <v>2.0676082066916401</v>
      </c>
      <c r="S2724">
        <v>11.945922753343</v>
      </c>
      <c r="T2724">
        <v>2.25206944783148</v>
      </c>
      <c r="U2724">
        <v>-4.4732784413806197</v>
      </c>
      <c r="V2724">
        <v>4.10263099971745E-2</v>
      </c>
      <c r="W2724">
        <v>0.119826100655771</v>
      </c>
      <c r="X2724">
        <v>1</v>
      </c>
      <c r="Y2724">
        <v>0</v>
      </c>
    </row>
    <row r="2725" spans="1:25" x14ac:dyDescent="0.2">
      <c r="A2725" t="s">
        <v>10136</v>
      </c>
      <c r="B2725" t="s">
        <v>10137</v>
      </c>
      <c r="C2725" t="s">
        <v>10138</v>
      </c>
      <c r="D2725" t="s">
        <v>10139</v>
      </c>
      <c r="E2725" t="s">
        <v>10137</v>
      </c>
      <c r="F2725" t="s">
        <v>28</v>
      </c>
      <c r="G2725" t="s">
        <v>10137</v>
      </c>
      <c r="H2725" t="str">
        <f>"ulp-2"</f>
        <v>ulp-2</v>
      </c>
      <c r="I2725" t="s">
        <v>10139</v>
      </c>
      <c r="J2725">
        <v>14.921417741131</v>
      </c>
      <c r="K2725">
        <v>15.079335612542</v>
      </c>
      <c r="L2725">
        <v>15.030306237414401</v>
      </c>
      <c r="M2725">
        <v>14.8817394365678</v>
      </c>
      <c r="N2725">
        <v>14.4109201293496</v>
      </c>
      <c r="O2725">
        <v>14.3285865053346</v>
      </c>
      <c r="P2725">
        <v>-0.46993783994513399</v>
      </c>
      <c r="Q2725">
        <v>-0.822494280117536</v>
      </c>
      <c r="R2725">
        <v>-0.117381399772731</v>
      </c>
      <c r="S2725">
        <v>14.9463157024441</v>
      </c>
      <c r="T2725">
        <v>-2.8015880553041201</v>
      </c>
      <c r="U2725">
        <v>-3.7451423206318402</v>
      </c>
      <c r="V2725">
        <v>1.1842814774320001E-2</v>
      </c>
      <c r="W2725">
        <v>5.1099231537219597E-2</v>
      </c>
      <c r="X2725">
        <v>0</v>
      </c>
      <c r="Y2725">
        <v>0</v>
      </c>
    </row>
    <row r="2726" spans="1:25" x14ac:dyDescent="0.2">
      <c r="A2726" t="s">
        <v>10140</v>
      </c>
      <c r="B2726" t="s">
        <v>10141</v>
      </c>
      <c r="C2726" t="s">
        <v>10142</v>
      </c>
      <c r="D2726" t="s">
        <v>10143</v>
      </c>
      <c r="E2726" t="s">
        <v>10141</v>
      </c>
      <c r="F2726" t="s">
        <v>28</v>
      </c>
      <c r="G2726" t="s">
        <v>10141</v>
      </c>
      <c r="H2726" t="str">
        <f>"morc-1"</f>
        <v>morc-1</v>
      </c>
      <c r="I2726" t="s">
        <v>10143</v>
      </c>
      <c r="J2726">
        <v>13.244137251683499</v>
      </c>
      <c r="K2726">
        <v>13.0684631349882</v>
      </c>
      <c r="L2726">
        <v>13.079020945642799</v>
      </c>
      <c r="M2726" t="s">
        <v>29</v>
      </c>
      <c r="N2726">
        <v>13.0749428266599</v>
      </c>
      <c r="O2726">
        <v>12.8822310517864</v>
      </c>
      <c r="P2726">
        <v>-0.151953504881641</v>
      </c>
      <c r="Q2726">
        <v>-0.78945593434318095</v>
      </c>
      <c r="R2726">
        <v>0.48554892457989901</v>
      </c>
      <c r="S2726">
        <v>13.6787522925204</v>
      </c>
      <c r="T2726">
        <v>-0.50312846738957795</v>
      </c>
      <c r="U2726">
        <v>-6.91340630693277</v>
      </c>
      <c r="V2726">
        <v>0.62136977657850601</v>
      </c>
      <c r="W2726">
        <v>0.747031504362066</v>
      </c>
      <c r="X2726">
        <v>0</v>
      </c>
      <c r="Y2726">
        <v>0</v>
      </c>
    </row>
    <row r="2727" spans="1:25" x14ac:dyDescent="0.2">
      <c r="A2727" t="s">
        <v>10144</v>
      </c>
      <c r="B2727" t="s">
        <v>10145</v>
      </c>
      <c r="C2727" t="s">
        <v>10146</v>
      </c>
      <c r="D2727" t="s">
        <v>10147</v>
      </c>
      <c r="E2727" t="s">
        <v>10145</v>
      </c>
      <c r="F2727" t="s">
        <v>28</v>
      </c>
      <c r="G2727" t="s">
        <v>10145</v>
      </c>
      <c r="H2727" t="str">
        <f>"wdr-5.3"</f>
        <v>wdr-5.3</v>
      </c>
      <c r="I2727" t="s">
        <v>10147</v>
      </c>
      <c r="J2727" t="s">
        <v>29</v>
      </c>
      <c r="K2727">
        <v>11.780477183985401</v>
      </c>
      <c r="L2727">
        <v>11.618984796869199</v>
      </c>
      <c r="M2727" t="s">
        <v>29</v>
      </c>
      <c r="N2727" t="s">
        <v>29</v>
      </c>
      <c r="O2727" t="s">
        <v>29</v>
      </c>
      <c r="P2727" t="s">
        <v>29</v>
      </c>
      <c r="Q2727" t="s">
        <v>29</v>
      </c>
      <c r="R2727" t="s">
        <v>29</v>
      </c>
      <c r="S2727">
        <v>11.612743816948599</v>
      </c>
      <c r="T2727" t="s">
        <v>29</v>
      </c>
      <c r="U2727" t="s">
        <v>29</v>
      </c>
      <c r="V2727" t="s">
        <v>29</v>
      </c>
      <c r="W2727" t="s">
        <v>29</v>
      </c>
      <c r="X2727" t="s">
        <v>29</v>
      </c>
      <c r="Y2727" t="s">
        <v>29</v>
      </c>
    </row>
    <row r="2728" spans="1:25" x14ac:dyDescent="0.2">
      <c r="A2728" t="s">
        <v>10148</v>
      </c>
      <c r="B2728" t="s">
        <v>10149</v>
      </c>
      <c r="C2728" t="s">
        <v>14553</v>
      </c>
      <c r="D2728" t="s">
        <v>3688</v>
      </c>
      <c r="E2728" t="s">
        <v>10149</v>
      </c>
      <c r="F2728" t="s">
        <v>28</v>
      </c>
      <c r="G2728" t="s">
        <v>10149</v>
      </c>
      <c r="H2728" t="str">
        <f>"ZC373.2"</f>
        <v>ZC373.2</v>
      </c>
      <c r="I2728" t="s">
        <v>3688</v>
      </c>
      <c r="J2728">
        <v>13.8270146709863</v>
      </c>
      <c r="K2728">
        <v>14.229949051707999</v>
      </c>
      <c r="L2728">
        <v>14.7545542134557</v>
      </c>
      <c r="M2728">
        <v>15.371862721496999</v>
      </c>
      <c r="N2728">
        <v>14.8109567506138</v>
      </c>
      <c r="O2728">
        <v>13.4204481795554</v>
      </c>
      <c r="P2728">
        <v>0.263916571838747</v>
      </c>
      <c r="Q2728">
        <v>-0.62725483664475301</v>
      </c>
      <c r="R2728">
        <v>1.15508798032225</v>
      </c>
      <c r="S2728">
        <v>14.5271770915635</v>
      </c>
      <c r="T2728">
        <v>0.62244062464845196</v>
      </c>
      <c r="U2728">
        <v>-6.95516292005499</v>
      </c>
      <c r="V2728">
        <v>0.54150310794516898</v>
      </c>
      <c r="W2728">
        <v>0.68844247589060104</v>
      </c>
      <c r="X2728">
        <v>0</v>
      </c>
      <c r="Y2728">
        <v>0</v>
      </c>
    </row>
    <row r="2729" spans="1:25" x14ac:dyDescent="0.2">
      <c r="A2729" t="s">
        <v>10150</v>
      </c>
      <c r="B2729" t="s">
        <v>10151</v>
      </c>
      <c r="C2729" t="s">
        <v>10152</v>
      </c>
      <c r="D2729" t="s">
        <v>323</v>
      </c>
      <c r="E2729" t="s">
        <v>10151</v>
      </c>
      <c r="F2729" t="s">
        <v>28</v>
      </c>
      <c r="G2729" t="s">
        <v>10151</v>
      </c>
      <c r="H2729" t="str">
        <f>"mlck-1"</f>
        <v>mlck-1</v>
      </c>
      <c r="I2729" t="s">
        <v>323</v>
      </c>
      <c r="J2729">
        <v>13.895627105271499</v>
      </c>
      <c r="K2729" t="s">
        <v>29</v>
      </c>
      <c r="L2729">
        <v>15.2095540521905</v>
      </c>
      <c r="M2729" t="s">
        <v>29</v>
      </c>
      <c r="N2729">
        <v>15.6207023541367</v>
      </c>
      <c r="O2729">
        <v>14.992104975561499</v>
      </c>
      <c r="P2729">
        <v>0.75381308611812903</v>
      </c>
      <c r="Q2729">
        <v>-0.483481975069596</v>
      </c>
      <c r="R2729">
        <v>1.9911081473058501</v>
      </c>
      <c r="S2729">
        <v>14.7230813261389</v>
      </c>
      <c r="T2729">
        <v>1.29223030839329</v>
      </c>
      <c r="U2729">
        <v>-6.1190982473951898</v>
      </c>
      <c r="V2729">
        <v>0.21474907067704699</v>
      </c>
      <c r="W2729">
        <v>0.37603417188666499</v>
      </c>
      <c r="X2729">
        <v>0</v>
      </c>
      <c r="Y2729">
        <v>0</v>
      </c>
    </row>
    <row r="2730" spans="1:25" x14ac:dyDescent="0.2">
      <c r="A2730" t="s">
        <v>10153</v>
      </c>
      <c r="B2730" t="s">
        <v>10154</v>
      </c>
      <c r="C2730" t="s">
        <v>10155</v>
      </c>
      <c r="D2730" t="s">
        <v>10156</v>
      </c>
      <c r="E2730" t="s">
        <v>10154</v>
      </c>
      <c r="F2730" t="s">
        <v>28</v>
      </c>
      <c r="G2730" t="s">
        <v>10154</v>
      </c>
      <c r="H2730" t="str">
        <f>"ZC373.5"</f>
        <v>ZC373.5</v>
      </c>
      <c r="I2730" t="s">
        <v>10156</v>
      </c>
      <c r="J2730" t="s">
        <v>29</v>
      </c>
      <c r="K2730">
        <v>15.273965876534101</v>
      </c>
      <c r="L2730" t="s">
        <v>29</v>
      </c>
      <c r="M2730" t="s">
        <v>29</v>
      </c>
      <c r="N2730">
        <v>14.176274199081901</v>
      </c>
      <c r="O2730">
        <v>14.0226776219697</v>
      </c>
      <c r="P2730">
        <v>-1.1744899660082699</v>
      </c>
      <c r="Q2730">
        <v>-2.06969253353813</v>
      </c>
      <c r="R2730">
        <v>-0.279287398478411</v>
      </c>
      <c r="S2730">
        <v>12.8922618417494</v>
      </c>
      <c r="T2730">
        <v>-2.89105054769154</v>
      </c>
      <c r="U2730">
        <v>-3.42865068629151</v>
      </c>
      <c r="V2730">
        <v>1.4810933827999299E-2</v>
      </c>
      <c r="W2730">
        <v>5.9603044595166597E-2</v>
      </c>
      <c r="X2730">
        <v>-1</v>
      </c>
      <c r="Y2730">
        <v>0</v>
      </c>
    </row>
    <row r="2731" spans="1:25" x14ac:dyDescent="0.2">
      <c r="A2731" t="s">
        <v>10157</v>
      </c>
      <c r="B2731" t="s">
        <v>10158</v>
      </c>
      <c r="C2731" t="s">
        <v>10159</v>
      </c>
      <c r="D2731" t="s">
        <v>3312</v>
      </c>
      <c r="E2731" t="s">
        <v>10158</v>
      </c>
      <c r="F2731" t="s">
        <v>28</v>
      </c>
      <c r="G2731" t="s">
        <v>10158</v>
      </c>
      <c r="H2731" t="str">
        <f>"col-176"</f>
        <v>col-176</v>
      </c>
      <c r="I2731" t="s">
        <v>3312</v>
      </c>
      <c r="J2731">
        <v>13.1514827942949</v>
      </c>
      <c r="K2731">
        <v>13.260585821303</v>
      </c>
      <c r="L2731">
        <v>14.1318849629097</v>
      </c>
      <c r="M2731" t="s">
        <v>29</v>
      </c>
      <c r="N2731">
        <v>15.2430124974319</v>
      </c>
      <c r="O2731">
        <v>14.722255689748801</v>
      </c>
      <c r="P2731">
        <v>1.4679829007545</v>
      </c>
      <c r="Q2731">
        <v>0.73364437597963394</v>
      </c>
      <c r="R2731">
        <v>2.2023214255293699</v>
      </c>
      <c r="S2731">
        <v>14.279836583357</v>
      </c>
      <c r="T2731">
        <v>4.2196331674039103</v>
      </c>
      <c r="U2731">
        <v>-0.67557317324601596</v>
      </c>
      <c r="V2731">
        <v>5.8381766248448896E-4</v>
      </c>
      <c r="W2731">
        <v>6.2112297882375104E-3</v>
      </c>
      <c r="X2731">
        <v>1</v>
      </c>
      <c r="Y2731">
        <v>1</v>
      </c>
    </row>
    <row r="2732" spans="1:25" x14ac:dyDescent="0.2">
      <c r="A2732" t="s">
        <v>10160</v>
      </c>
      <c r="B2732" t="s">
        <v>10161</v>
      </c>
      <c r="C2732" t="s">
        <v>10162</v>
      </c>
      <c r="D2732" t="s">
        <v>10163</v>
      </c>
      <c r="E2732" t="s">
        <v>10161</v>
      </c>
      <c r="F2732" t="s">
        <v>28</v>
      </c>
      <c r="G2732" t="s">
        <v>10161</v>
      </c>
      <c r="H2732" t="str">
        <f>"gck-2"</f>
        <v>gck-2</v>
      </c>
      <c r="I2732" t="s">
        <v>10163</v>
      </c>
      <c r="J2732" t="s">
        <v>29</v>
      </c>
      <c r="K2732">
        <v>12.073006111282499</v>
      </c>
      <c r="L2732" t="s">
        <v>29</v>
      </c>
      <c r="M2732" t="s">
        <v>29</v>
      </c>
      <c r="N2732" t="s">
        <v>29</v>
      </c>
      <c r="O2732" t="s">
        <v>29</v>
      </c>
      <c r="P2732" t="s">
        <v>29</v>
      </c>
      <c r="Q2732" t="s">
        <v>29</v>
      </c>
      <c r="R2732" t="s">
        <v>29</v>
      </c>
      <c r="S2732">
        <v>10.7918818600861</v>
      </c>
      <c r="T2732" t="s">
        <v>29</v>
      </c>
      <c r="U2732" t="s">
        <v>29</v>
      </c>
      <c r="V2732" t="s">
        <v>29</v>
      </c>
      <c r="W2732" t="s">
        <v>29</v>
      </c>
      <c r="X2732" t="s">
        <v>29</v>
      </c>
      <c r="Y2732" t="s">
        <v>29</v>
      </c>
    </row>
    <row r="2733" spans="1:25" x14ac:dyDescent="0.2">
      <c r="A2733" t="s">
        <v>10164</v>
      </c>
      <c r="B2733" t="s">
        <v>10165</v>
      </c>
      <c r="C2733" t="s">
        <v>10166</v>
      </c>
      <c r="D2733" t="s">
        <v>10167</v>
      </c>
      <c r="E2733" t="s">
        <v>10165</v>
      </c>
      <c r="F2733" t="s">
        <v>28</v>
      </c>
      <c r="G2733" t="s">
        <v>10165</v>
      </c>
      <c r="H2733" t="str">
        <f>"mppb-1"</f>
        <v>mppb-1</v>
      </c>
      <c r="I2733" t="s">
        <v>10167</v>
      </c>
      <c r="J2733" t="s">
        <v>29</v>
      </c>
      <c r="K2733" t="s">
        <v>29</v>
      </c>
      <c r="L2733">
        <v>13.1793573748936</v>
      </c>
      <c r="M2733" t="s">
        <v>29</v>
      </c>
      <c r="N2733" t="s">
        <v>29</v>
      </c>
      <c r="O2733" t="s">
        <v>29</v>
      </c>
      <c r="P2733" t="s">
        <v>29</v>
      </c>
      <c r="Q2733" t="s">
        <v>29</v>
      </c>
      <c r="R2733" t="s">
        <v>29</v>
      </c>
      <c r="S2733">
        <v>13.9248567418806</v>
      </c>
      <c r="T2733" t="s">
        <v>29</v>
      </c>
      <c r="U2733" t="s">
        <v>29</v>
      </c>
      <c r="V2733" t="s">
        <v>29</v>
      </c>
      <c r="W2733" t="s">
        <v>29</v>
      </c>
      <c r="X2733" t="s">
        <v>29</v>
      </c>
      <c r="Y2733" t="s">
        <v>29</v>
      </c>
    </row>
    <row r="2734" spans="1:25" x14ac:dyDescent="0.2">
      <c r="A2734" t="s">
        <v>10168</v>
      </c>
      <c r="B2734" t="s">
        <v>10169</v>
      </c>
      <c r="C2734" t="s">
        <v>14182</v>
      </c>
      <c r="D2734" t="s">
        <v>3962</v>
      </c>
      <c r="E2734" t="s">
        <v>10169</v>
      </c>
      <c r="F2734" t="s">
        <v>28</v>
      </c>
      <c r="G2734" t="s">
        <v>10169</v>
      </c>
      <c r="H2734" t="str">
        <f>"ZC412.5"</f>
        <v>ZC412.5</v>
      </c>
      <c r="I2734" t="s">
        <v>3962</v>
      </c>
      <c r="J2734">
        <v>14.1232378360918</v>
      </c>
      <c r="K2734">
        <v>11.218990083294701</v>
      </c>
      <c r="L2734">
        <v>13.711320568067499</v>
      </c>
      <c r="M2734" t="s">
        <v>29</v>
      </c>
      <c r="N2734">
        <v>13.136053835325001</v>
      </c>
      <c r="O2734">
        <v>11.7677973276611</v>
      </c>
      <c r="P2734">
        <v>-0.56592391432496703</v>
      </c>
      <c r="Q2734">
        <v>-2.1109000451550402</v>
      </c>
      <c r="R2734">
        <v>0.97905221650510699</v>
      </c>
      <c r="S2734">
        <v>13.1885993811657</v>
      </c>
      <c r="T2734">
        <v>-0.77693699589882903</v>
      </c>
      <c r="U2734">
        <v>-6.7329997669996198</v>
      </c>
      <c r="V2734">
        <v>0.44860468874717702</v>
      </c>
      <c r="W2734">
        <v>0.614044597184361</v>
      </c>
      <c r="X2734">
        <v>0</v>
      </c>
      <c r="Y2734">
        <v>0</v>
      </c>
    </row>
    <row r="2735" spans="1:25" x14ac:dyDescent="0.2">
      <c r="A2735" t="s">
        <v>10170</v>
      </c>
      <c r="B2735" t="s">
        <v>10171</v>
      </c>
      <c r="C2735" t="s">
        <v>10172</v>
      </c>
      <c r="D2735" t="s">
        <v>10173</v>
      </c>
      <c r="E2735" t="s">
        <v>10171</v>
      </c>
      <c r="F2735" t="s">
        <v>28</v>
      </c>
      <c r="G2735" t="s">
        <v>10171</v>
      </c>
      <c r="H2735" t="str">
        <f>"rps-7"</f>
        <v>rps-7</v>
      </c>
      <c r="I2735" t="s">
        <v>10173</v>
      </c>
      <c r="J2735">
        <v>18.848661562467001</v>
      </c>
      <c r="K2735">
        <v>19.1973666998224</v>
      </c>
      <c r="L2735">
        <v>19.383652169292699</v>
      </c>
      <c r="M2735">
        <v>18.1994459462795</v>
      </c>
      <c r="N2735">
        <v>18.581728070281201</v>
      </c>
      <c r="O2735">
        <v>18.851585168793601</v>
      </c>
      <c r="P2735">
        <v>-0.598973748742612</v>
      </c>
      <c r="Q2735">
        <v>-1.1518811891199401</v>
      </c>
      <c r="R2735">
        <v>-4.6066308365286503E-2</v>
      </c>
      <c r="S2735">
        <v>19.2477874421579</v>
      </c>
      <c r="T2735">
        <v>-2.2769205035094902</v>
      </c>
      <c r="U2735">
        <v>-4.7689944855665596</v>
      </c>
      <c r="V2735">
        <v>3.5310190962900702E-2</v>
      </c>
      <c r="W2735">
        <v>0.109191115181184</v>
      </c>
      <c r="X2735">
        <v>0</v>
      </c>
      <c r="Y2735">
        <v>0</v>
      </c>
    </row>
    <row r="2736" spans="1:25" x14ac:dyDescent="0.2">
      <c r="A2736" t="s">
        <v>10174</v>
      </c>
      <c r="B2736" t="s">
        <v>10175</v>
      </c>
      <c r="C2736" t="s">
        <v>10176</v>
      </c>
      <c r="D2736" t="s">
        <v>10177</v>
      </c>
      <c r="E2736" t="s">
        <v>10175</v>
      </c>
      <c r="F2736" t="s">
        <v>28</v>
      </c>
      <c r="G2736" t="s">
        <v>10175</v>
      </c>
      <c r="H2736" t="str">
        <f>"ZC434.4"</f>
        <v>ZC434.4</v>
      </c>
      <c r="I2736" t="s">
        <v>10177</v>
      </c>
      <c r="J2736">
        <v>12.0911579549969</v>
      </c>
      <c r="K2736">
        <v>12.519918353425</v>
      </c>
      <c r="L2736">
        <v>12.4635055015964</v>
      </c>
      <c r="M2736" t="s">
        <v>29</v>
      </c>
      <c r="N2736" t="s">
        <v>29</v>
      </c>
      <c r="O2736" t="s">
        <v>29</v>
      </c>
      <c r="P2736" t="s">
        <v>29</v>
      </c>
      <c r="Q2736" t="s">
        <v>29</v>
      </c>
      <c r="R2736" t="s">
        <v>29</v>
      </c>
      <c r="S2736">
        <v>12.3281164670558</v>
      </c>
      <c r="T2736" t="s">
        <v>29</v>
      </c>
      <c r="U2736" t="s">
        <v>29</v>
      </c>
      <c r="V2736" t="s">
        <v>29</v>
      </c>
      <c r="W2736" t="s">
        <v>29</v>
      </c>
      <c r="X2736" t="s">
        <v>29</v>
      </c>
      <c r="Y2736" t="s">
        <v>29</v>
      </c>
    </row>
    <row r="2737" spans="1:25" x14ac:dyDescent="0.2">
      <c r="A2737" t="s">
        <v>10178</v>
      </c>
      <c r="B2737" t="s">
        <v>10179</v>
      </c>
      <c r="C2737" t="s">
        <v>10180</v>
      </c>
      <c r="D2737" t="s">
        <v>10181</v>
      </c>
      <c r="E2737" t="s">
        <v>10179</v>
      </c>
      <c r="F2737" t="s">
        <v>28</v>
      </c>
      <c r="G2737" t="s">
        <v>10179</v>
      </c>
      <c r="H2737" t="str">
        <f>"ears-1"</f>
        <v>ears-1</v>
      </c>
      <c r="I2737" t="s">
        <v>10181</v>
      </c>
      <c r="J2737">
        <v>15.6164981985232</v>
      </c>
      <c r="K2737">
        <v>15.442637547690399</v>
      </c>
      <c r="L2737">
        <v>15.575948610813599</v>
      </c>
      <c r="M2737">
        <v>15.412693820888</v>
      </c>
      <c r="N2737">
        <v>15.3129818367256</v>
      </c>
      <c r="O2737">
        <v>15.1687138853131</v>
      </c>
      <c r="P2737">
        <v>-0.24689827136685899</v>
      </c>
      <c r="Q2737">
        <v>-0.57589070070251103</v>
      </c>
      <c r="R2737">
        <v>8.2094157968791701E-2</v>
      </c>
      <c r="S2737">
        <v>15.369227965579199</v>
      </c>
      <c r="T2737">
        <v>-1.57733760800456</v>
      </c>
      <c r="U2737">
        <v>-5.9342582855399897</v>
      </c>
      <c r="V2737">
        <v>0.13223118758841601</v>
      </c>
      <c r="W2737">
        <v>0.266542619578018</v>
      </c>
      <c r="X2737">
        <v>0</v>
      </c>
      <c r="Y2737">
        <v>0</v>
      </c>
    </row>
    <row r="2738" spans="1:25" x14ac:dyDescent="0.2">
      <c r="A2738" t="s">
        <v>10182</v>
      </c>
      <c r="B2738" t="s">
        <v>10183</v>
      </c>
      <c r="C2738" t="s">
        <v>10184</v>
      </c>
      <c r="D2738" t="s">
        <v>10185</v>
      </c>
      <c r="E2738" t="s">
        <v>10183</v>
      </c>
      <c r="F2738" t="s">
        <v>28</v>
      </c>
      <c r="G2738" t="s">
        <v>10183</v>
      </c>
      <c r="H2738" t="str">
        <f>"coa-6"</f>
        <v>coa-6</v>
      </c>
      <c r="I2738" t="s">
        <v>10185</v>
      </c>
      <c r="J2738" t="s">
        <v>29</v>
      </c>
      <c r="K2738" t="s">
        <v>29</v>
      </c>
      <c r="L2738" t="s">
        <v>29</v>
      </c>
      <c r="M2738" t="s">
        <v>29</v>
      </c>
      <c r="N2738" t="s">
        <v>29</v>
      </c>
      <c r="O2738" t="s">
        <v>29</v>
      </c>
      <c r="P2738" t="s">
        <v>29</v>
      </c>
      <c r="Q2738" t="s">
        <v>29</v>
      </c>
      <c r="R2738" t="s">
        <v>29</v>
      </c>
      <c r="S2738">
        <v>11.823124495869999</v>
      </c>
      <c r="T2738" t="s">
        <v>29</v>
      </c>
      <c r="U2738" t="s">
        <v>29</v>
      </c>
      <c r="V2738" t="s">
        <v>29</v>
      </c>
      <c r="W2738" t="s">
        <v>29</v>
      </c>
      <c r="X2738" t="s">
        <v>29</v>
      </c>
      <c r="Y2738" t="s">
        <v>29</v>
      </c>
    </row>
    <row r="2739" spans="1:25" x14ac:dyDescent="0.2">
      <c r="A2739" t="s">
        <v>10186</v>
      </c>
      <c r="B2739" t="s">
        <v>10187</v>
      </c>
      <c r="C2739" t="s">
        <v>10188</v>
      </c>
      <c r="D2739" t="s">
        <v>10189</v>
      </c>
      <c r="E2739" t="s">
        <v>10187</v>
      </c>
      <c r="F2739" t="s">
        <v>28</v>
      </c>
      <c r="G2739" t="s">
        <v>10187</v>
      </c>
      <c r="H2739" t="str">
        <f>"rde-8"</f>
        <v>rde-8</v>
      </c>
      <c r="I2739" t="s">
        <v>10189</v>
      </c>
      <c r="J2739" t="s">
        <v>29</v>
      </c>
      <c r="K2739" t="s">
        <v>29</v>
      </c>
      <c r="L2739" t="s">
        <v>29</v>
      </c>
      <c r="M2739" t="s">
        <v>29</v>
      </c>
      <c r="N2739" t="s">
        <v>29</v>
      </c>
      <c r="O2739" t="s">
        <v>29</v>
      </c>
      <c r="P2739" t="s">
        <v>29</v>
      </c>
      <c r="Q2739" t="s">
        <v>29</v>
      </c>
      <c r="R2739" t="s">
        <v>29</v>
      </c>
      <c r="S2739">
        <v>10.6426849790133</v>
      </c>
      <c r="T2739" t="s">
        <v>29</v>
      </c>
      <c r="U2739" t="s">
        <v>29</v>
      </c>
      <c r="V2739" t="s">
        <v>29</v>
      </c>
      <c r="W2739" t="s">
        <v>29</v>
      </c>
      <c r="X2739" t="s">
        <v>29</v>
      </c>
      <c r="Y2739" t="s">
        <v>29</v>
      </c>
    </row>
    <row r="2740" spans="1:25" x14ac:dyDescent="0.2">
      <c r="A2740" t="s">
        <v>10190</v>
      </c>
      <c r="B2740" t="s">
        <v>10191</v>
      </c>
      <c r="C2740" t="s">
        <v>10192</v>
      </c>
      <c r="D2740" t="s">
        <v>10193</v>
      </c>
      <c r="E2740" t="s">
        <v>10191</v>
      </c>
      <c r="F2740" t="s">
        <v>28</v>
      </c>
      <c r="G2740" t="s">
        <v>10191</v>
      </c>
      <c r="H2740" t="str">
        <f>"mig-15"</f>
        <v>mig-15</v>
      </c>
      <c r="I2740" t="s">
        <v>10193</v>
      </c>
      <c r="J2740">
        <v>13.0746197261945</v>
      </c>
      <c r="K2740">
        <v>13.574315718762</v>
      </c>
      <c r="L2740">
        <v>13.2390816775721</v>
      </c>
      <c r="M2740" t="s">
        <v>29</v>
      </c>
      <c r="N2740" t="s">
        <v>29</v>
      </c>
      <c r="O2740">
        <v>12.743236243661499</v>
      </c>
      <c r="P2740">
        <v>-0.55276946384804004</v>
      </c>
      <c r="Q2740">
        <v>-1.21582046372203</v>
      </c>
      <c r="R2740">
        <v>0.11028153602594901</v>
      </c>
      <c r="S2740">
        <v>13.3624196908952</v>
      </c>
      <c r="T2740">
        <v>-1.7682621024588701</v>
      </c>
      <c r="U2740">
        <v>-5.3153847876493296</v>
      </c>
      <c r="V2740">
        <v>9.6201877649177897E-2</v>
      </c>
      <c r="W2740">
        <v>0.210942658803666</v>
      </c>
      <c r="X2740">
        <v>0</v>
      </c>
      <c r="Y2740">
        <v>0</v>
      </c>
    </row>
    <row r="2741" spans="1:25" x14ac:dyDescent="0.2">
      <c r="A2741" t="s">
        <v>10194</v>
      </c>
      <c r="B2741" t="s">
        <v>10195</v>
      </c>
      <c r="C2741" t="s">
        <v>10196</v>
      </c>
      <c r="D2741" t="s">
        <v>10197</v>
      </c>
      <c r="E2741" t="s">
        <v>10195</v>
      </c>
      <c r="F2741" t="s">
        <v>28</v>
      </c>
      <c r="G2741" t="s">
        <v>10195</v>
      </c>
      <c r="H2741" t="str">
        <f>"cdk-11.2"</f>
        <v>cdk-11.2</v>
      </c>
      <c r="I2741" t="s">
        <v>10197</v>
      </c>
      <c r="J2741" t="s">
        <v>29</v>
      </c>
      <c r="K2741" t="s">
        <v>29</v>
      </c>
      <c r="L2741" t="s">
        <v>29</v>
      </c>
      <c r="M2741" t="s">
        <v>29</v>
      </c>
      <c r="N2741" t="s">
        <v>29</v>
      </c>
      <c r="O2741" t="s">
        <v>29</v>
      </c>
      <c r="P2741" t="s">
        <v>29</v>
      </c>
      <c r="Q2741" t="s">
        <v>29</v>
      </c>
      <c r="R2741" t="s">
        <v>29</v>
      </c>
      <c r="S2741">
        <v>11.5967951794551</v>
      </c>
      <c r="T2741" t="s">
        <v>29</v>
      </c>
      <c r="U2741" t="s">
        <v>29</v>
      </c>
      <c r="V2741" t="s">
        <v>29</v>
      </c>
      <c r="W2741" t="s">
        <v>29</v>
      </c>
      <c r="X2741" t="s">
        <v>29</v>
      </c>
      <c r="Y2741" t="s">
        <v>29</v>
      </c>
    </row>
    <row r="2742" spans="1:25" x14ac:dyDescent="0.2">
      <c r="A2742" t="s">
        <v>10198</v>
      </c>
      <c r="B2742" t="s">
        <v>10199</v>
      </c>
      <c r="C2742" t="s">
        <v>10200</v>
      </c>
      <c r="D2742" t="s">
        <v>10201</v>
      </c>
      <c r="E2742" t="s">
        <v>10199</v>
      </c>
      <c r="F2742" t="s">
        <v>28</v>
      </c>
      <c r="G2742" t="s">
        <v>10199</v>
      </c>
      <c r="H2742" t="str">
        <f>"oma-2"</f>
        <v>oma-2</v>
      </c>
      <c r="I2742" t="s">
        <v>10201</v>
      </c>
      <c r="J2742" t="s">
        <v>29</v>
      </c>
      <c r="K2742" t="s">
        <v>29</v>
      </c>
      <c r="L2742">
        <v>10.022872729746901</v>
      </c>
      <c r="M2742" t="s">
        <v>29</v>
      </c>
      <c r="N2742">
        <v>11.1152950277821</v>
      </c>
      <c r="O2742">
        <v>11.088867722441901</v>
      </c>
      <c r="P2742">
        <v>1.0792086453651</v>
      </c>
      <c r="Q2742">
        <v>0.181877957512522</v>
      </c>
      <c r="R2742">
        <v>1.9765393332176899</v>
      </c>
      <c r="S2742">
        <v>12.363900958078901</v>
      </c>
      <c r="T2742">
        <v>2.65021183212122</v>
      </c>
      <c r="U2742">
        <v>-3.8462822546177402</v>
      </c>
      <c r="V2742">
        <v>2.2742357450771699E-2</v>
      </c>
      <c r="W2742">
        <v>8.0073748395966607E-2</v>
      </c>
      <c r="X2742">
        <v>1</v>
      </c>
      <c r="Y2742">
        <v>0</v>
      </c>
    </row>
    <row r="2743" spans="1:25" x14ac:dyDescent="0.2">
      <c r="A2743" t="s">
        <v>10202</v>
      </c>
      <c r="B2743" t="s">
        <v>10203</v>
      </c>
      <c r="C2743" t="s">
        <v>10204</v>
      </c>
      <c r="D2743" t="s">
        <v>10205</v>
      </c>
      <c r="E2743" t="s">
        <v>10203</v>
      </c>
      <c r="F2743" t="s">
        <v>28</v>
      </c>
      <c r="G2743" t="s">
        <v>10203</v>
      </c>
      <c r="H2743" t="str">
        <f>"vars-1"</f>
        <v>vars-1</v>
      </c>
      <c r="I2743" t="s">
        <v>10205</v>
      </c>
      <c r="J2743">
        <v>10.643463271397801</v>
      </c>
      <c r="K2743">
        <v>10.828096966938601</v>
      </c>
      <c r="L2743">
        <v>10.6102489936782</v>
      </c>
      <c r="M2743" t="s">
        <v>29</v>
      </c>
      <c r="N2743" t="s">
        <v>29</v>
      </c>
      <c r="O2743" t="s">
        <v>29</v>
      </c>
      <c r="P2743" t="s">
        <v>29</v>
      </c>
      <c r="Q2743" t="s">
        <v>29</v>
      </c>
      <c r="R2743" t="s">
        <v>29</v>
      </c>
      <c r="S2743">
        <v>11.5176433846863</v>
      </c>
      <c r="T2743" t="s">
        <v>29</v>
      </c>
      <c r="U2743" t="s">
        <v>29</v>
      </c>
      <c r="V2743" t="s">
        <v>29</v>
      </c>
      <c r="W2743" t="s">
        <v>29</v>
      </c>
      <c r="X2743" t="s">
        <v>29</v>
      </c>
      <c r="Y2743" t="s">
        <v>29</v>
      </c>
    </row>
    <row r="2744" spans="1:25" x14ac:dyDescent="0.2">
      <c r="A2744" t="s">
        <v>10206</v>
      </c>
      <c r="B2744" t="s">
        <v>10207</v>
      </c>
      <c r="C2744" t="s">
        <v>10208</v>
      </c>
      <c r="D2744" t="s">
        <v>10209</v>
      </c>
      <c r="E2744" t="s">
        <v>10207</v>
      </c>
      <c r="F2744" t="s">
        <v>28</v>
      </c>
      <c r="G2744" t="s">
        <v>10207</v>
      </c>
      <c r="H2744" t="str">
        <f>"algn-12"</f>
        <v>algn-12</v>
      </c>
      <c r="I2744" t="s">
        <v>10209</v>
      </c>
      <c r="J2744">
        <v>12.273134113273599</v>
      </c>
      <c r="K2744">
        <v>12.855507724533201</v>
      </c>
      <c r="L2744">
        <v>13.062816408923799</v>
      </c>
      <c r="M2744" t="s">
        <v>29</v>
      </c>
      <c r="N2744" t="s">
        <v>29</v>
      </c>
      <c r="O2744">
        <v>11.7207195265294</v>
      </c>
      <c r="P2744">
        <v>-1.0097665557141</v>
      </c>
      <c r="Q2744">
        <v>-1.83247389867916</v>
      </c>
      <c r="R2744">
        <v>-0.18705921274905399</v>
      </c>
      <c r="S2744">
        <v>12.8509204512438</v>
      </c>
      <c r="T2744">
        <v>-2.6176839771742899</v>
      </c>
      <c r="U2744">
        <v>-3.8480867590080998</v>
      </c>
      <c r="V2744">
        <v>1.9487947047259702E-2</v>
      </c>
      <c r="W2744">
        <v>7.2058945982778205E-2</v>
      </c>
      <c r="X2744">
        <v>-1</v>
      </c>
      <c r="Y2744">
        <v>0</v>
      </c>
    </row>
    <row r="2745" spans="1:25" x14ac:dyDescent="0.2">
      <c r="A2745" t="s">
        <v>10210</v>
      </c>
      <c r="B2745" t="s">
        <v>10211</v>
      </c>
      <c r="C2745" t="s">
        <v>10212</v>
      </c>
      <c r="D2745" t="s">
        <v>10213</v>
      </c>
      <c r="E2745" t="s">
        <v>10211</v>
      </c>
      <c r="F2745" t="s">
        <v>28</v>
      </c>
      <c r="G2745" t="s">
        <v>10211</v>
      </c>
      <c r="H2745" t="str">
        <f>"sec-24.2"</f>
        <v>sec-24.2</v>
      </c>
      <c r="I2745" t="s">
        <v>10213</v>
      </c>
      <c r="J2745">
        <v>14.598737313545</v>
      </c>
      <c r="K2745">
        <v>14.476430518561701</v>
      </c>
      <c r="L2745">
        <v>14.389191516065001</v>
      </c>
      <c r="M2745" t="s">
        <v>29</v>
      </c>
      <c r="N2745">
        <v>14.388928962742</v>
      </c>
      <c r="O2745">
        <v>14.1283159313864</v>
      </c>
      <c r="P2745">
        <v>-0.22949733565963901</v>
      </c>
      <c r="Q2745">
        <v>-0.62209832142504595</v>
      </c>
      <c r="R2745">
        <v>0.16310365010576799</v>
      </c>
      <c r="S2745">
        <v>14.588747105001699</v>
      </c>
      <c r="T2745">
        <v>-1.2338895195238699</v>
      </c>
      <c r="U2745">
        <v>-6.2794586993741204</v>
      </c>
      <c r="V2745">
        <v>0.23413378755394901</v>
      </c>
      <c r="W2745">
        <v>0.399116998696457</v>
      </c>
      <c r="X2745">
        <v>0</v>
      </c>
      <c r="Y2745">
        <v>0</v>
      </c>
    </row>
    <row r="2746" spans="1:25" x14ac:dyDescent="0.2">
      <c r="A2746" t="s">
        <v>10214</v>
      </c>
      <c r="B2746" t="s">
        <v>10215</v>
      </c>
      <c r="C2746" t="s">
        <v>10216</v>
      </c>
      <c r="D2746" t="s">
        <v>10217</v>
      </c>
      <c r="E2746" t="s">
        <v>10215</v>
      </c>
      <c r="F2746" t="s">
        <v>28</v>
      </c>
      <c r="G2746" t="s">
        <v>10215</v>
      </c>
      <c r="H2746" t="str">
        <f>"mmcm-1"</f>
        <v>mmcm-1</v>
      </c>
      <c r="I2746" t="s">
        <v>10217</v>
      </c>
      <c r="J2746">
        <v>17.500396041602301</v>
      </c>
      <c r="K2746">
        <v>17.4395086132212</v>
      </c>
      <c r="L2746">
        <v>17.065633011981099</v>
      </c>
      <c r="M2746">
        <v>16.7723741139454</v>
      </c>
      <c r="N2746">
        <v>16.7959514437682</v>
      </c>
      <c r="O2746">
        <v>17.0183052238961</v>
      </c>
      <c r="P2746">
        <v>-0.47296896173166297</v>
      </c>
      <c r="Q2746">
        <v>-0.83870960797947103</v>
      </c>
      <c r="R2746">
        <v>-0.107228315483855</v>
      </c>
      <c r="S2746">
        <v>16.710755007186499</v>
      </c>
      <c r="T2746">
        <v>-2.7180154847064402</v>
      </c>
      <c r="U2746">
        <v>-3.9145125968786099</v>
      </c>
      <c r="V2746">
        <v>1.41520747944069E-2</v>
      </c>
      <c r="W2746">
        <v>5.8248832987593903E-2</v>
      </c>
      <c r="X2746">
        <v>0</v>
      </c>
      <c r="Y2746">
        <v>0</v>
      </c>
    </row>
    <row r="2747" spans="1:25" x14ac:dyDescent="0.2">
      <c r="A2747" t="s">
        <v>10218</v>
      </c>
      <c r="B2747" t="s">
        <v>10219</v>
      </c>
      <c r="C2747" t="s">
        <v>10220</v>
      </c>
      <c r="D2747" t="s">
        <v>10221</v>
      </c>
      <c r="E2747" t="s">
        <v>10219</v>
      </c>
      <c r="F2747" t="s">
        <v>28</v>
      </c>
      <c r="G2747" t="s">
        <v>10219</v>
      </c>
      <c r="H2747" t="str">
        <f>"ccdc-47"</f>
        <v>ccdc-47</v>
      </c>
      <c r="I2747" t="s">
        <v>10221</v>
      </c>
      <c r="J2747">
        <v>14.950294518992401</v>
      </c>
      <c r="K2747">
        <v>14.897003579927601</v>
      </c>
      <c r="L2747">
        <v>14.860017354021901</v>
      </c>
      <c r="M2747">
        <v>14.392374987379</v>
      </c>
      <c r="N2747">
        <v>14.663577026776199</v>
      </c>
      <c r="O2747">
        <v>14.8199431004009</v>
      </c>
      <c r="P2747">
        <v>-0.277140112795212</v>
      </c>
      <c r="Q2747">
        <v>-0.61196527440439397</v>
      </c>
      <c r="R2747">
        <v>5.7685048813968701E-2</v>
      </c>
      <c r="S2747">
        <v>14.631137857408101</v>
      </c>
      <c r="T2747">
        <v>-1.7396978045878999</v>
      </c>
      <c r="U2747">
        <v>-5.6895729561841799</v>
      </c>
      <c r="V2747">
        <v>9.9082478374270602E-2</v>
      </c>
      <c r="W2747">
        <v>0.21597341994746699</v>
      </c>
      <c r="X2747">
        <v>0</v>
      </c>
      <c r="Y2747">
        <v>0</v>
      </c>
    </row>
    <row r="2748" spans="1:25" x14ac:dyDescent="0.2">
      <c r="A2748" t="s">
        <v>10222</v>
      </c>
      <c r="B2748" t="s">
        <v>10223</v>
      </c>
      <c r="C2748" t="s">
        <v>10224</v>
      </c>
      <c r="D2748" t="s">
        <v>10225</v>
      </c>
      <c r="E2748" t="s">
        <v>10223</v>
      </c>
      <c r="F2748" t="s">
        <v>28</v>
      </c>
      <c r="G2748" t="s">
        <v>10223</v>
      </c>
      <c r="H2748" t="str">
        <f>"ZK1127.5"</f>
        <v>ZK1127.5</v>
      </c>
      <c r="I2748" t="s">
        <v>10225</v>
      </c>
      <c r="J2748">
        <v>13.682917404514001</v>
      </c>
      <c r="K2748">
        <v>13.3522030296871</v>
      </c>
      <c r="L2748">
        <v>13.355154638183601</v>
      </c>
      <c r="M2748" t="s">
        <v>29</v>
      </c>
      <c r="N2748" t="s">
        <v>29</v>
      </c>
      <c r="O2748">
        <v>12.5818887845598</v>
      </c>
      <c r="P2748">
        <v>-0.88153623956842397</v>
      </c>
      <c r="Q2748">
        <v>-1.82252835439465</v>
      </c>
      <c r="R2748">
        <v>5.9455875257797497E-2</v>
      </c>
      <c r="S2748">
        <v>13.1323682038078</v>
      </c>
      <c r="T2748">
        <v>-1.99800141880155</v>
      </c>
      <c r="U2748">
        <v>-4.9507833340879399</v>
      </c>
      <c r="V2748">
        <v>6.4314534161310194E-2</v>
      </c>
      <c r="W2748">
        <v>0.162425583074498</v>
      </c>
      <c r="X2748">
        <v>0</v>
      </c>
      <c r="Y2748">
        <v>0</v>
      </c>
    </row>
    <row r="2749" spans="1:25" x14ac:dyDescent="0.2">
      <c r="A2749" t="s">
        <v>10226</v>
      </c>
      <c r="B2749" t="s">
        <v>10227</v>
      </c>
      <c r="C2749" t="s">
        <v>10228</v>
      </c>
      <c r="D2749" t="s">
        <v>10229</v>
      </c>
      <c r="E2749" t="s">
        <v>10227</v>
      </c>
      <c r="F2749" t="s">
        <v>28</v>
      </c>
      <c r="G2749" t="s">
        <v>10227</v>
      </c>
      <c r="H2749" t="str">
        <f>"ZK1127.4"</f>
        <v>ZK1127.4</v>
      </c>
      <c r="I2749" t="s">
        <v>10229</v>
      </c>
      <c r="J2749">
        <v>12.9585553284419</v>
      </c>
      <c r="K2749">
        <v>12.487208723631101</v>
      </c>
      <c r="L2749">
        <v>12.6869016023456</v>
      </c>
      <c r="M2749" t="s">
        <v>29</v>
      </c>
      <c r="N2749">
        <v>11.934067857496901</v>
      </c>
      <c r="O2749">
        <v>12.013064257658501</v>
      </c>
      <c r="P2749">
        <v>-0.73732249389517102</v>
      </c>
      <c r="Q2749">
        <v>-2.0890539526484702</v>
      </c>
      <c r="R2749">
        <v>0.61440896485812502</v>
      </c>
      <c r="S2749">
        <v>13.558636870488099</v>
      </c>
      <c r="T2749">
        <v>-1.1513757422740001</v>
      </c>
      <c r="U2749">
        <v>-6.3748150147902498</v>
      </c>
      <c r="V2749">
        <v>0.26561182376343401</v>
      </c>
      <c r="W2749">
        <v>0.43222421017716101</v>
      </c>
      <c r="X2749">
        <v>0</v>
      </c>
      <c r="Y2749">
        <v>0</v>
      </c>
    </row>
    <row r="2750" spans="1:25" x14ac:dyDescent="0.2">
      <c r="A2750" t="s">
        <v>10230</v>
      </c>
      <c r="B2750" t="s">
        <v>10231</v>
      </c>
      <c r="C2750" t="s">
        <v>10232</v>
      </c>
      <c r="D2750" t="s">
        <v>10233</v>
      </c>
      <c r="E2750" t="s">
        <v>10231</v>
      </c>
      <c r="F2750" t="s">
        <v>28</v>
      </c>
      <c r="G2750" t="s">
        <v>10231</v>
      </c>
      <c r="H2750" t="str">
        <f>"him-14"</f>
        <v>him-14</v>
      </c>
      <c r="I2750" t="s">
        <v>10233</v>
      </c>
      <c r="J2750" t="s">
        <v>29</v>
      </c>
      <c r="K2750" t="s">
        <v>29</v>
      </c>
      <c r="L2750">
        <v>9.9667640071658301</v>
      </c>
      <c r="M2750" t="s">
        <v>29</v>
      </c>
      <c r="N2750" t="s">
        <v>29</v>
      </c>
      <c r="O2750" t="s">
        <v>29</v>
      </c>
      <c r="P2750" t="s">
        <v>29</v>
      </c>
      <c r="Q2750" t="s">
        <v>29</v>
      </c>
      <c r="R2750" t="s">
        <v>29</v>
      </c>
      <c r="S2750">
        <v>10.8766010888274</v>
      </c>
      <c r="T2750" t="s">
        <v>29</v>
      </c>
      <c r="U2750" t="s">
        <v>29</v>
      </c>
      <c r="V2750" t="s">
        <v>29</v>
      </c>
      <c r="W2750" t="s">
        <v>29</v>
      </c>
      <c r="X2750" t="s">
        <v>29</v>
      </c>
      <c r="Y2750" t="s">
        <v>29</v>
      </c>
    </row>
    <row r="2751" spans="1:25" x14ac:dyDescent="0.2">
      <c r="A2751" t="s">
        <v>10234</v>
      </c>
      <c r="B2751" t="s">
        <v>10235</v>
      </c>
      <c r="C2751" t="s">
        <v>14554</v>
      </c>
      <c r="D2751" t="s">
        <v>3443</v>
      </c>
      <c r="E2751" t="s">
        <v>10235</v>
      </c>
      <c r="F2751" t="s">
        <v>28</v>
      </c>
      <c r="G2751" t="s">
        <v>10235</v>
      </c>
      <c r="H2751" t="str">
        <f>"ZK1248.5"</f>
        <v>ZK1248.5</v>
      </c>
      <c r="I2751" t="s">
        <v>3443</v>
      </c>
      <c r="J2751">
        <v>12.640202924143299</v>
      </c>
      <c r="K2751">
        <v>12.306636578592601</v>
      </c>
      <c r="L2751">
        <v>12.729526921817101</v>
      </c>
      <c r="M2751" t="s">
        <v>29</v>
      </c>
      <c r="N2751" t="s">
        <v>29</v>
      </c>
      <c r="O2751">
        <v>12.5013466875623</v>
      </c>
      <c r="P2751">
        <v>-5.74421206219995E-2</v>
      </c>
      <c r="Q2751">
        <v>-0.762782385301218</v>
      </c>
      <c r="R2751">
        <v>0.64789814405721902</v>
      </c>
      <c r="S2751">
        <v>13.0636484803169</v>
      </c>
      <c r="T2751">
        <v>-0.17608365022639899</v>
      </c>
      <c r="U2751">
        <v>-6.79621370950409</v>
      </c>
      <c r="V2751">
        <v>0.86296341851176295</v>
      </c>
      <c r="W2751">
        <v>0.91396112295436305</v>
      </c>
      <c r="X2751">
        <v>0</v>
      </c>
      <c r="Y2751">
        <v>0</v>
      </c>
    </row>
    <row r="2752" spans="1:25" x14ac:dyDescent="0.2">
      <c r="A2752" t="s">
        <v>10236</v>
      </c>
      <c r="B2752" t="s">
        <v>10237</v>
      </c>
      <c r="C2752" t="s">
        <v>10238</v>
      </c>
      <c r="D2752" t="s">
        <v>66</v>
      </c>
      <c r="E2752" t="s">
        <v>10237</v>
      </c>
      <c r="F2752" t="s">
        <v>28</v>
      </c>
      <c r="G2752" t="s">
        <v>10237</v>
      </c>
      <c r="H2752" t="str">
        <f>"tbc-2"</f>
        <v>tbc-2</v>
      </c>
      <c r="I2752" t="s">
        <v>66</v>
      </c>
      <c r="J2752">
        <v>13.756562597023001</v>
      </c>
      <c r="K2752">
        <v>13.8544954216355</v>
      </c>
      <c r="L2752">
        <v>13.7627142167782</v>
      </c>
      <c r="M2752">
        <v>15.361807416743201</v>
      </c>
      <c r="N2752">
        <v>14.217864017535801</v>
      </c>
      <c r="O2752">
        <v>14.2951886865264</v>
      </c>
      <c r="P2752">
        <v>0.83369596178952499</v>
      </c>
      <c r="Q2752">
        <v>0.297229443692618</v>
      </c>
      <c r="R2752">
        <v>1.37016247988643</v>
      </c>
      <c r="S2752">
        <v>13.902331104573999</v>
      </c>
      <c r="T2752">
        <v>3.2663114179014801</v>
      </c>
      <c r="U2752">
        <v>-2.7719947795257802</v>
      </c>
      <c r="V2752">
        <v>4.3140731231133397E-3</v>
      </c>
      <c r="W2752">
        <v>2.5529264043805198E-2</v>
      </c>
      <c r="X2752">
        <v>0</v>
      </c>
      <c r="Y2752">
        <v>0</v>
      </c>
    </row>
    <row r="2753" spans="1:25" x14ac:dyDescent="0.2">
      <c r="A2753" t="s">
        <v>10239</v>
      </c>
      <c r="B2753" t="s">
        <v>10240</v>
      </c>
      <c r="C2753" t="s">
        <v>10241</v>
      </c>
      <c r="D2753" t="s">
        <v>10090</v>
      </c>
      <c r="E2753" t="s">
        <v>10240</v>
      </c>
      <c r="F2753" t="s">
        <v>28</v>
      </c>
      <c r="G2753" t="s">
        <v>10240</v>
      </c>
      <c r="H2753" t="str">
        <f>"gtap-1"</f>
        <v>gtap-1</v>
      </c>
      <c r="I2753" t="s">
        <v>10090</v>
      </c>
      <c r="J2753" t="s">
        <v>29</v>
      </c>
      <c r="K2753" t="s">
        <v>29</v>
      </c>
      <c r="L2753" t="s">
        <v>29</v>
      </c>
      <c r="M2753" t="s">
        <v>29</v>
      </c>
      <c r="N2753" t="s">
        <v>29</v>
      </c>
      <c r="O2753" t="s">
        <v>29</v>
      </c>
      <c r="P2753" t="s">
        <v>29</v>
      </c>
      <c r="Q2753" t="s">
        <v>29</v>
      </c>
      <c r="R2753" t="s">
        <v>29</v>
      </c>
      <c r="S2753">
        <v>10.2999873768134</v>
      </c>
      <c r="T2753" t="s">
        <v>29</v>
      </c>
      <c r="U2753" t="s">
        <v>29</v>
      </c>
      <c r="V2753" t="s">
        <v>29</v>
      </c>
      <c r="W2753" t="s">
        <v>29</v>
      </c>
      <c r="X2753" t="s">
        <v>29</v>
      </c>
      <c r="Y2753" t="s">
        <v>29</v>
      </c>
    </row>
    <row r="2754" spans="1:25" x14ac:dyDescent="0.2">
      <c r="A2754" t="s">
        <v>10242</v>
      </c>
      <c r="B2754" t="s">
        <v>10243</v>
      </c>
      <c r="C2754" t="s">
        <v>10244</v>
      </c>
      <c r="D2754" t="s">
        <v>10245</v>
      </c>
      <c r="E2754" t="s">
        <v>10243</v>
      </c>
      <c r="F2754" t="s">
        <v>28</v>
      </c>
      <c r="G2754" t="s">
        <v>10243</v>
      </c>
      <c r="H2754" t="str">
        <f>"fzo-1"</f>
        <v>fzo-1</v>
      </c>
      <c r="I2754" t="s">
        <v>10245</v>
      </c>
      <c r="J2754">
        <v>14.355474678010999</v>
      </c>
      <c r="K2754">
        <v>14.4292183684751</v>
      </c>
      <c r="L2754">
        <v>14.1869216769154</v>
      </c>
      <c r="M2754">
        <v>13.8556918474833</v>
      </c>
      <c r="N2754">
        <v>13.9377078625881</v>
      </c>
      <c r="O2754">
        <v>14.2936971028816</v>
      </c>
      <c r="P2754">
        <v>-0.29483930348280102</v>
      </c>
      <c r="Q2754">
        <v>-0.61230875655676498</v>
      </c>
      <c r="R2754">
        <v>2.2630149591162201E-2</v>
      </c>
      <c r="S2754">
        <v>14.239324540804899</v>
      </c>
      <c r="T2754">
        <v>-1.95198261741825</v>
      </c>
      <c r="U2754">
        <v>-5.3446155233443502</v>
      </c>
      <c r="V2754">
        <v>6.6768476499661597E-2</v>
      </c>
      <c r="W2754">
        <v>0.16675144088517199</v>
      </c>
      <c r="X2754">
        <v>0</v>
      </c>
      <c r="Y2754">
        <v>0</v>
      </c>
    </row>
    <row r="2755" spans="1:25" x14ac:dyDescent="0.2">
      <c r="A2755" t="s">
        <v>10246</v>
      </c>
      <c r="B2755" t="s">
        <v>10247</v>
      </c>
      <c r="C2755" t="s">
        <v>10248</v>
      </c>
      <c r="D2755" t="s">
        <v>10249</v>
      </c>
      <c r="E2755" t="s">
        <v>10247</v>
      </c>
      <c r="F2755" t="s">
        <v>28</v>
      </c>
      <c r="G2755" t="s">
        <v>10247</v>
      </c>
      <c r="H2755" t="str">
        <f>"rfth-1"</f>
        <v>rfth-1</v>
      </c>
      <c r="I2755" t="s">
        <v>10249</v>
      </c>
      <c r="J2755">
        <v>11.7067575679692</v>
      </c>
      <c r="K2755">
        <v>11.953856310234301</v>
      </c>
      <c r="L2755">
        <v>12.125189990705501</v>
      </c>
      <c r="M2755" t="s">
        <v>29</v>
      </c>
      <c r="N2755">
        <v>12.304937215051099</v>
      </c>
      <c r="O2755">
        <v>11.886136514481199</v>
      </c>
      <c r="P2755">
        <v>0.16693557512979301</v>
      </c>
      <c r="Q2755">
        <v>-0.27370086413561601</v>
      </c>
      <c r="R2755">
        <v>0.60757201439520203</v>
      </c>
      <c r="S2755">
        <v>12.3952015234686</v>
      </c>
      <c r="T2755">
        <v>0.799684174879702</v>
      </c>
      <c r="U2755">
        <v>-6.7155741963439803</v>
      </c>
      <c r="V2755">
        <v>0.43499384385401502</v>
      </c>
      <c r="W2755">
        <v>0.60043412545095198</v>
      </c>
      <c r="X2755">
        <v>0</v>
      </c>
      <c r="Y2755">
        <v>0</v>
      </c>
    </row>
    <row r="2756" spans="1:25" x14ac:dyDescent="0.2">
      <c r="A2756" t="s">
        <v>10250</v>
      </c>
      <c r="B2756" t="s">
        <v>10251</v>
      </c>
      <c r="C2756" t="s">
        <v>10252</v>
      </c>
      <c r="D2756" t="s">
        <v>10253</v>
      </c>
      <c r="E2756" t="s">
        <v>10251</v>
      </c>
      <c r="F2756" t="s">
        <v>28</v>
      </c>
      <c r="G2756" t="s">
        <v>10251</v>
      </c>
      <c r="H2756" t="str">
        <f>"sar-1"</f>
        <v>sar-1</v>
      </c>
      <c r="I2756" t="s">
        <v>10253</v>
      </c>
      <c r="J2756">
        <v>14.281528933007399</v>
      </c>
      <c r="K2756">
        <v>13.0334211083514</v>
      </c>
      <c r="L2756">
        <v>12.5584477883994</v>
      </c>
      <c r="M2756" t="s">
        <v>29</v>
      </c>
      <c r="N2756" t="s">
        <v>29</v>
      </c>
      <c r="O2756">
        <v>12.134109238420301</v>
      </c>
      <c r="P2756">
        <v>-1.1570233714990601</v>
      </c>
      <c r="Q2756">
        <v>-2.5660309256680902</v>
      </c>
      <c r="R2756">
        <v>0.25198418266997402</v>
      </c>
      <c r="S2756">
        <v>13.6877313374238</v>
      </c>
      <c r="T2756">
        <v>-1.7624658183068</v>
      </c>
      <c r="U2756">
        <v>-5.3298019140893498</v>
      </c>
      <c r="V2756">
        <v>9.9962438343463994E-2</v>
      </c>
      <c r="W2756">
        <v>0.21724875058863499</v>
      </c>
      <c r="X2756">
        <v>0</v>
      </c>
      <c r="Y2756">
        <v>0</v>
      </c>
    </row>
    <row r="2757" spans="1:25" x14ac:dyDescent="0.2">
      <c r="A2757" t="s">
        <v>10254</v>
      </c>
      <c r="B2757" t="s">
        <v>10255</v>
      </c>
      <c r="C2757" t="s">
        <v>10256</v>
      </c>
      <c r="D2757" t="s">
        <v>10257</v>
      </c>
      <c r="E2757" t="s">
        <v>10255</v>
      </c>
      <c r="F2757" t="s">
        <v>28</v>
      </c>
      <c r="G2757" t="s">
        <v>10255</v>
      </c>
      <c r="H2757" t="str">
        <f>"rpn-12"</f>
        <v>rpn-12</v>
      </c>
      <c r="I2757" t="s">
        <v>10257</v>
      </c>
      <c r="J2757">
        <v>12.5857842266426</v>
      </c>
      <c r="K2757">
        <v>12.057532826977701</v>
      </c>
      <c r="L2757">
        <v>12.4456842032144</v>
      </c>
      <c r="M2757" t="s">
        <v>29</v>
      </c>
      <c r="N2757">
        <v>13.169344572784899</v>
      </c>
      <c r="O2757">
        <v>13.1180566368309</v>
      </c>
      <c r="P2757">
        <v>0.78070018586296697</v>
      </c>
      <c r="Q2757">
        <v>0.29890865544567702</v>
      </c>
      <c r="R2757">
        <v>1.26249171628026</v>
      </c>
      <c r="S2757">
        <v>12.7431796787039</v>
      </c>
      <c r="T2757">
        <v>3.4203861153154</v>
      </c>
      <c r="U2757">
        <v>-2.3834568160124601</v>
      </c>
      <c r="V2757">
        <v>3.2846218809150498E-3</v>
      </c>
      <c r="W2757">
        <v>2.0997355060860399E-2</v>
      </c>
      <c r="X2757">
        <v>0</v>
      </c>
      <c r="Y2757">
        <v>0</v>
      </c>
    </row>
    <row r="2758" spans="1:25" x14ac:dyDescent="0.2">
      <c r="A2758" t="s">
        <v>10258</v>
      </c>
      <c r="B2758" t="s">
        <v>10259</v>
      </c>
      <c r="C2758" t="s">
        <v>14555</v>
      </c>
      <c r="D2758" t="s">
        <v>10260</v>
      </c>
      <c r="E2758" t="s">
        <v>10259</v>
      </c>
      <c r="F2758" t="s">
        <v>28</v>
      </c>
      <c r="G2758" t="s">
        <v>10259</v>
      </c>
      <c r="H2758" t="str">
        <f>"ZK287.7"</f>
        <v>ZK287.7</v>
      </c>
      <c r="I2758" t="s">
        <v>10260</v>
      </c>
      <c r="J2758">
        <v>11.9978332852323</v>
      </c>
      <c r="K2758">
        <v>12.5933483360684</v>
      </c>
      <c r="L2758">
        <v>12.682262658902699</v>
      </c>
      <c r="M2758" t="s">
        <v>29</v>
      </c>
      <c r="N2758">
        <v>12.257965642488699</v>
      </c>
      <c r="O2758">
        <v>13.1721696584298</v>
      </c>
      <c r="P2758">
        <v>0.29058622372477499</v>
      </c>
      <c r="Q2758">
        <v>-0.36869907169993299</v>
      </c>
      <c r="R2758">
        <v>0.94987151914948198</v>
      </c>
      <c r="S2758">
        <v>12.7951898424761</v>
      </c>
      <c r="T2758">
        <v>0.93036131721080895</v>
      </c>
      <c r="U2758">
        <v>-6.6018394695858396</v>
      </c>
      <c r="V2758">
        <v>0.36528796812957498</v>
      </c>
      <c r="W2758">
        <v>0.53365003031032998</v>
      </c>
      <c r="X2758">
        <v>0</v>
      </c>
      <c r="Y2758">
        <v>0</v>
      </c>
    </row>
    <row r="2759" spans="1:25" x14ac:dyDescent="0.2">
      <c r="A2759" t="s">
        <v>10261</v>
      </c>
      <c r="B2759" t="s">
        <v>10262</v>
      </c>
      <c r="C2759" t="s">
        <v>10263</v>
      </c>
      <c r="D2759" t="s">
        <v>3566</v>
      </c>
      <c r="E2759" t="s">
        <v>10262</v>
      </c>
      <c r="F2759" t="s">
        <v>28</v>
      </c>
      <c r="G2759" t="s">
        <v>10262</v>
      </c>
      <c r="H2759" t="str">
        <f>"eftu-2"</f>
        <v>eftu-2</v>
      </c>
      <c r="I2759" t="s">
        <v>3566</v>
      </c>
      <c r="J2759">
        <v>15.025244277006999</v>
      </c>
      <c r="K2759">
        <v>14.8014044450362</v>
      </c>
      <c r="L2759">
        <v>14.4198903849549</v>
      </c>
      <c r="M2759">
        <v>15.0507911612066</v>
      </c>
      <c r="N2759">
        <v>15.081614032783399</v>
      </c>
      <c r="O2759">
        <v>15.868020579813701</v>
      </c>
      <c r="P2759">
        <v>0.58462888893517995</v>
      </c>
      <c r="Q2759">
        <v>8.5427619815127004E-2</v>
      </c>
      <c r="R2759">
        <v>1.0838301580552301</v>
      </c>
      <c r="S2759">
        <v>15.0933827361985</v>
      </c>
      <c r="T2759">
        <v>2.4614844934762301</v>
      </c>
      <c r="U2759">
        <v>-4.4203667068327297</v>
      </c>
      <c r="V2759">
        <v>2.4228739161575301E-2</v>
      </c>
      <c r="W2759">
        <v>8.3316329415592E-2</v>
      </c>
      <c r="X2759">
        <v>0</v>
      </c>
      <c r="Y2759">
        <v>0</v>
      </c>
    </row>
    <row r="2760" spans="1:25" x14ac:dyDescent="0.2">
      <c r="A2760" t="s">
        <v>10264</v>
      </c>
      <c r="B2760" t="s">
        <v>10265</v>
      </c>
      <c r="C2760" t="s">
        <v>10266</v>
      </c>
      <c r="D2760" t="s">
        <v>368</v>
      </c>
      <c r="E2760" t="s">
        <v>10265</v>
      </c>
      <c r="F2760" t="s">
        <v>28</v>
      </c>
      <c r="G2760" t="s">
        <v>10265</v>
      </c>
      <c r="H2760" t="str">
        <f>"lin-37"</f>
        <v>lin-37</v>
      </c>
      <c r="I2760" t="s">
        <v>368</v>
      </c>
      <c r="J2760" t="s">
        <v>29</v>
      </c>
      <c r="K2760" t="s">
        <v>29</v>
      </c>
      <c r="L2760" t="s">
        <v>29</v>
      </c>
      <c r="M2760" t="s">
        <v>29</v>
      </c>
      <c r="N2760" t="s">
        <v>29</v>
      </c>
      <c r="O2760" t="s">
        <v>29</v>
      </c>
      <c r="P2760" t="s">
        <v>29</v>
      </c>
      <c r="Q2760" t="s">
        <v>29</v>
      </c>
      <c r="R2760" t="s">
        <v>29</v>
      </c>
      <c r="S2760">
        <v>11.1732699060654</v>
      </c>
      <c r="T2760" t="s">
        <v>29</v>
      </c>
      <c r="U2760" t="s">
        <v>29</v>
      </c>
      <c r="V2760" t="s">
        <v>29</v>
      </c>
      <c r="W2760" t="s">
        <v>29</v>
      </c>
      <c r="X2760" t="s">
        <v>29</v>
      </c>
      <c r="Y2760" t="s">
        <v>29</v>
      </c>
    </row>
    <row r="2761" spans="1:25" x14ac:dyDescent="0.2">
      <c r="A2761" t="s">
        <v>10267</v>
      </c>
      <c r="B2761" t="s">
        <v>10268</v>
      </c>
      <c r="C2761" t="s">
        <v>14556</v>
      </c>
      <c r="D2761" t="s">
        <v>10269</v>
      </c>
      <c r="E2761" t="s">
        <v>10268</v>
      </c>
      <c r="F2761" t="s">
        <v>28</v>
      </c>
      <c r="G2761" t="s">
        <v>10268</v>
      </c>
      <c r="H2761" t="str">
        <f>"ZK418.5"</f>
        <v>ZK418.5</v>
      </c>
      <c r="I2761" t="s">
        <v>10269</v>
      </c>
      <c r="J2761">
        <v>13.2074330299872</v>
      </c>
      <c r="K2761">
        <v>13.501494715125601</v>
      </c>
      <c r="L2761">
        <v>13.6965035316693</v>
      </c>
      <c r="M2761" t="s">
        <v>29</v>
      </c>
      <c r="N2761" t="s">
        <v>29</v>
      </c>
      <c r="O2761">
        <v>11.2484420239649</v>
      </c>
      <c r="P2761">
        <v>-2.2200350682958701</v>
      </c>
      <c r="Q2761">
        <v>-2.8304200134656301</v>
      </c>
      <c r="R2761">
        <v>-1.60965012312612</v>
      </c>
      <c r="S2761">
        <v>13.5744041508009</v>
      </c>
      <c r="T2761">
        <v>-7.7144603479691796</v>
      </c>
      <c r="U2761">
        <v>5.9724816765115802</v>
      </c>
      <c r="V2761" s="2">
        <v>9.2436137551664696E-7</v>
      </c>
      <c r="W2761" s="2">
        <v>4.5401549560792599E-5</v>
      </c>
      <c r="X2761">
        <v>-1</v>
      </c>
      <c r="Y2761">
        <v>-1</v>
      </c>
    </row>
    <row r="2762" spans="1:25" x14ac:dyDescent="0.2">
      <c r="A2762" t="s">
        <v>10270</v>
      </c>
      <c r="B2762" t="s">
        <v>10271</v>
      </c>
      <c r="C2762" t="s">
        <v>10272</v>
      </c>
      <c r="D2762" t="s">
        <v>603</v>
      </c>
      <c r="E2762" t="s">
        <v>10271</v>
      </c>
      <c r="F2762" t="s">
        <v>28</v>
      </c>
      <c r="G2762" t="s">
        <v>10271</v>
      </c>
      <c r="H2762" t="str">
        <f>"fubl-2"</f>
        <v>fubl-2</v>
      </c>
      <c r="I2762" t="s">
        <v>603</v>
      </c>
      <c r="J2762">
        <v>13.8132161871451</v>
      </c>
      <c r="K2762">
        <v>13.5591545022505</v>
      </c>
      <c r="L2762">
        <v>13.7250489808903</v>
      </c>
      <c r="M2762">
        <v>14.5136769675888</v>
      </c>
      <c r="N2762">
        <v>13.653918025484201</v>
      </c>
      <c r="O2762">
        <v>13.976526200552</v>
      </c>
      <c r="P2762">
        <v>0.348900507779701</v>
      </c>
      <c r="Q2762">
        <v>-0.230344393479858</v>
      </c>
      <c r="R2762">
        <v>0.92814540903926102</v>
      </c>
      <c r="S2762">
        <v>13.5025820052923</v>
      </c>
      <c r="T2762">
        <v>1.26599472177225</v>
      </c>
      <c r="U2762">
        <v>-6.3509639272214802</v>
      </c>
      <c r="V2762">
        <v>0.221748680592735</v>
      </c>
      <c r="W2762">
        <v>0.385541806316689</v>
      </c>
      <c r="X2762">
        <v>0</v>
      </c>
      <c r="Y2762">
        <v>0</v>
      </c>
    </row>
    <row r="2763" spans="1:25" x14ac:dyDescent="0.2">
      <c r="A2763" t="s">
        <v>10273</v>
      </c>
      <c r="B2763" t="s">
        <v>10274</v>
      </c>
      <c r="C2763" t="s">
        <v>10275</v>
      </c>
      <c r="D2763" t="s">
        <v>10276</v>
      </c>
      <c r="E2763" t="s">
        <v>10274</v>
      </c>
      <c r="F2763" t="s">
        <v>28</v>
      </c>
      <c r="G2763" t="s">
        <v>10274</v>
      </c>
      <c r="H2763" t="str">
        <f>"bpnt-1"</f>
        <v>bpnt-1</v>
      </c>
      <c r="I2763" t="s">
        <v>10276</v>
      </c>
      <c r="J2763">
        <v>14.571304173921201</v>
      </c>
      <c r="K2763" t="s">
        <v>29</v>
      </c>
      <c r="L2763" t="s">
        <v>29</v>
      </c>
      <c r="M2763">
        <v>15.419791367965599</v>
      </c>
      <c r="N2763">
        <v>16.4546785081514</v>
      </c>
      <c r="O2763">
        <v>15.842831669817301</v>
      </c>
      <c r="P2763">
        <v>1.33446300805689</v>
      </c>
      <c r="Q2763">
        <v>0.31749599250502197</v>
      </c>
      <c r="R2763">
        <v>2.3514300236087702</v>
      </c>
      <c r="S2763">
        <v>13.273694181779501</v>
      </c>
      <c r="T2763">
        <v>2.7832306736381498</v>
      </c>
      <c r="U2763">
        <v>-3.50775228107097</v>
      </c>
      <c r="V2763">
        <v>1.33549306079137E-2</v>
      </c>
      <c r="W2763">
        <v>5.5904801848752399E-2</v>
      </c>
      <c r="X2763">
        <v>1</v>
      </c>
      <c r="Y2763">
        <v>0</v>
      </c>
    </row>
    <row r="2764" spans="1:25" x14ac:dyDescent="0.2">
      <c r="A2764" t="s">
        <v>10277</v>
      </c>
      <c r="B2764" t="s">
        <v>10278</v>
      </c>
      <c r="C2764" t="s">
        <v>10279</v>
      </c>
      <c r="D2764" t="s">
        <v>10280</v>
      </c>
      <c r="E2764" t="s">
        <v>10278</v>
      </c>
      <c r="F2764" t="s">
        <v>28</v>
      </c>
      <c r="G2764" t="s">
        <v>10278</v>
      </c>
      <c r="H2764" t="str">
        <f>"dcaf-13"</f>
        <v>dcaf-13</v>
      </c>
      <c r="I2764" t="s">
        <v>10280</v>
      </c>
      <c r="J2764">
        <v>13.6939347780629</v>
      </c>
      <c r="K2764">
        <v>13.950328072529899</v>
      </c>
      <c r="L2764">
        <v>13.542542087323399</v>
      </c>
      <c r="M2764" t="s">
        <v>29</v>
      </c>
      <c r="N2764">
        <v>13.576834701536599</v>
      </c>
      <c r="O2764">
        <v>13.580735303409</v>
      </c>
      <c r="P2764">
        <v>-0.150149976832576</v>
      </c>
      <c r="Q2764">
        <v>-0.60791942224730999</v>
      </c>
      <c r="R2764">
        <v>0.307619468582157</v>
      </c>
      <c r="S2764">
        <v>13.745824571425301</v>
      </c>
      <c r="T2764">
        <v>-0.69235443911315597</v>
      </c>
      <c r="U2764">
        <v>-6.7970349695875898</v>
      </c>
      <c r="V2764">
        <v>0.49812114348025499</v>
      </c>
      <c r="W2764">
        <v>0.654464114951543</v>
      </c>
      <c r="X2764">
        <v>0</v>
      </c>
      <c r="Y2764">
        <v>0</v>
      </c>
    </row>
    <row r="2765" spans="1:25" x14ac:dyDescent="0.2">
      <c r="A2765" t="s">
        <v>10281</v>
      </c>
      <c r="B2765" t="s">
        <v>10282</v>
      </c>
      <c r="C2765" t="s">
        <v>10283</v>
      </c>
      <c r="D2765" t="s">
        <v>10284</v>
      </c>
      <c r="E2765" t="s">
        <v>10282</v>
      </c>
      <c r="F2765" t="s">
        <v>28</v>
      </c>
      <c r="G2765" t="s">
        <v>10282</v>
      </c>
      <c r="H2765" t="str">
        <f>"toe-1"</f>
        <v>toe-1</v>
      </c>
      <c r="I2765" t="s">
        <v>10284</v>
      </c>
      <c r="J2765">
        <v>14.341034591048301</v>
      </c>
      <c r="K2765">
        <v>14.4208474949042</v>
      </c>
      <c r="L2765">
        <v>14.178735280548301</v>
      </c>
      <c r="M2765">
        <v>13.685432450647999</v>
      </c>
      <c r="N2765">
        <v>13.810397970209999</v>
      </c>
      <c r="O2765">
        <v>13.8022562796282</v>
      </c>
      <c r="P2765">
        <v>-0.54751022200487198</v>
      </c>
      <c r="Q2765">
        <v>-0.86234862107884303</v>
      </c>
      <c r="R2765">
        <v>-0.232671822930901</v>
      </c>
      <c r="S2765">
        <v>14.232682825167901</v>
      </c>
      <c r="T2765">
        <v>-3.6550813691054702</v>
      </c>
      <c r="U2765">
        <v>-1.9298959452628599</v>
      </c>
      <c r="V2765">
        <v>1.82557366695796E-3</v>
      </c>
      <c r="W2765">
        <v>1.3758405000941E-2</v>
      </c>
      <c r="X2765">
        <v>0</v>
      </c>
      <c r="Y2765">
        <v>0</v>
      </c>
    </row>
    <row r="2766" spans="1:25" x14ac:dyDescent="0.2">
      <c r="A2766" t="s">
        <v>10285</v>
      </c>
      <c r="B2766" t="s">
        <v>10286</v>
      </c>
      <c r="C2766" t="s">
        <v>10287</v>
      </c>
      <c r="D2766" t="s">
        <v>10288</v>
      </c>
      <c r="E2766" t="s">
        <v>10286</v>
      </c>
      <c r="F2766" t="s">
        <v>28</v>
      </c>
      <c r="G2766" t="s">
        <v>10286</v>
      </c>
      <c r="H2766" t="str">
        <f>"aco-1"</f>
        <v>aco-1</v>
      </c>
      <c r="I2766" t="s">
        <v>10288</v>
      </c>
      <c r="J2766">
        <v>14.7522454361123</v>
      </c>
      <c r="K2766">
        <v>14.5179210229617</v>
      </c>
      <c r="L2766">
        <v>14.612232615031299</v>
      </c>
      <c r="M2766">
        <v>16.239198846014499</v>
      </c>
      <c r="N2766">
        <v>15.909966749643299</v>
      </c>
      <c r="O2766">
        <v>15.6323947508043</v>
      </c>
      <c r="P2766">
        <v>1.29972042411893</v>
      </c>
      <c r="Q2766">
        <v>0.78453623472469403</v>
      </c>
      <c r="R2766">
        <v>1.8149046135131699</v>
      </c>
      <c r="S2766">
        <v>14.7634474873184</v>
      </c>
      <c r="T2766">
        <v>5.3024908815886702</v>
      </c>
      <c r="U2766">
        <v>1.6775394782425199</v>
      </c>
      <c r="V2766" s="2">
        <v>4.9405130035337999E-5</v>
      </c>
      <c r="W2766">
        <v>9.9045522594653698E-4</v>
      </c>
      <c r="X2766">
        <v>1</v>
      </c>
      <c r="Y2766">
        <v>1</v>
      </c>
    </row>
    <row r="2767" spans="1:25" x14ac:dyDescent="0.2">
      <c r="A2767" t="s">
        <v>10289</v>
      </c>
      <c r="B2767" t="s">
        <v>10290</v>
      </c>
      <c r="C2767" t="s">
        <v>10291</v>
      </c>
      <c r="D2767" t="s">
        <v>10292</v>
      </c>
      <c r="E2767" t="s">
        <v>10290</v>
      </c>
      <c r="F2767" t="s">
        <v>28</v>
      </c>
      <c r="G2767" t="s">
        <v>10290</v>
      </c>
      <c r="H2767" t="str">
        <f>"lars-2"</f>
        <v>lars-2</v>
      </c>
      <c r="I2767" t="s">
        <v>10292</v>
      </c>
      <c r="J2767">
        <v>13.764331365299901</v>
      </c>
      <c r="K2767">
        <v>13.8247795085794</v>
      </c>
      <c r="L2767">
        <v>13.6069925810028</v>
      </c>
      <c r="M2767">
        <v>13.321647776212201</v>
      </c>
      <c r="N2767">
        <v>12.829163003448899</v>
      </c>
      <c r="O2767">
        <v>13.5048896813746</v>
      </c>
      <c r="P2767">
        <v>-0.513467664615471</v>
      </c>
      <c r="Q2767">
        <v>-0.92322215168088495</v>
      </c>
      <c r="R2767">
        <v>-0.103713177550056</v>
      </c>
      <c r="S2767">
        <v>13.3018598141278</v>
      </c>
      <c r="T2767">
        <v>-2.6337945483469598</v>
      </c>
      <c r="U2767">
        <v>-4.0830454402096503</v>
      </c>
      <c r="V2767">
        <v>1.6911558496814399E-2</v>
      </c>
      <c r="W2767">
        <v>6.5941244408449701E-2</v>
      </c>
      <c r="X2767">
        <v>0</v>
      </c>
      <c r="Y2767">
        <v>0</v>
      </c>
    </row>
    <row r="2768" spans="1:25" x14ac:dyDescent="0.2">
      <c r="A2768" t="s">
        <v>10293</v>
      </c>
      <c r="B2768" t="s">
        <v>10294</v>
      </c>
      <c r="C2768" t="s">
        <v>10295</v>
      </c>
      <c r="D2768" t="s">
        <v>107</v>
      </c>
      <c r="E2768" t="s">
        <v>10294</v>
      </c>
      <c r="F2768" t="s">
        <v>28</v>
      </c>
      <c r="G2768" t="s">
        <v>10294</v>
      </c>
      <c r="H2768" t="str">
        <f>"slc-17.1"</f>
        <v>slc-17.1</v>
      </c>
      <c r="I2768" t="s">
        <v>107</v>
      </c>
      <c r="J2768">
        <v>11.719473332268</v>
      </c>
      <c r="K2768" t="s">
        <v>29</v>
      </c>
      <c r="L2768" t="s">
        <v>29</v>
      </c>
      <c r="M2768" t="s">
        <v>29</v>
      </c>
      <c r="N2768" t="s">
        <v>29</v>
      </c>
      <c r="O2768" t="s">
        <v>29</v>
      </c>
      <c r="P2768" t="s">
        <v>29</v>
      </c>
      <c r="Q2768" t="s">
        <v>29</v>
      </c>
      <c r="R2768" t="s">
        <v>29</v>
      </c>
      <c r="S2768">
        <v>11.7453701286999</v>
      </c>
      <c r="T2768" t="s">
        <v>29</v>
      </c>
      <c r="U2768" t="s">
        <v>29</v>
      </c>
      <c r="V2768" t="s">
        <v>29</v>
      </c>
      <c r="W2768" t="s">
        <v>29</v>
      </c>
      <c r="X2768" t="s">
        <v>29</v>
      </c>
      <c r="Y2768" t="s">
        <v>29</v>
      </c>
    </row>
    <row r="2769" spans="1:25" x14ac:dyDescent="0.2">
      <c r="A2769" t="s">
        <v>10296</v>
      </c>
      <c r="B2769" t="s">
        <v>10297</v>
      </c>
      <c r="C2769" t="s">
        <v>10298</v>
      </c>
      <c r="D2769" t="s">
        <v>10299</v>
      </c>
      <c r="E2769" t="s">
        <v>10297</v>
      </c>
      <c r="F2769" t="s">
        <v>28</v>
      </c>
      <c r="G2769" t="s">
        <v>10297</v>
      </c>
      <c r="H2769" t="str">
        <f>"mdt-4"</f>
        <v>mdt-4</v>
      </c>
      <c r="I2769" t="s">
        <v>10299</v>
      </c>
      <c r="J2769" t="s">
        <v>29</v>
      </c>
      <c r="K2769" t="s">
        <v>29</v>
      </c>
      <c r="L2769" t="s">
        <v>29</v>
      </c>
      <c r="M2769">
        <v>14.3439817304806</v>
      </c>
      <c r="N2769">
        <v>14.6220737153887</v>
      </c>
      <c r="O2769">
        <v>15.524145444242899</v>
      </c>
      <c r="P2769" t="s">
        <v>29</v>
      </c>
      <c r="Q2769" t="s">
        <v>29</v>
      </c>
      <c r="R2769" t="s">
        <v>29</v>
      </c>
      <c r="S2769">
        <v>13.300590338104501</v>
      </c>
      <c r="T2769" t="s">
        <v>29</v>
      </c>
      <c r="U2769" t="s">
        <v>29</v>
      </c>
      <c r="V2769" t="s">
        <v>29</v>
      </c>
      <c r="W2769" t="s">
        <v>29</v>
      </c>
      <c r="X2769" t="s">
        <v>29</v>
      </c>
      <c r="Y2769" t="s">
        <v>29</v>
      </c>
    </row>
    <row r="2770" spans="1:25" x14ac:dyDescent="0.2">
      <c r="A2770" t="s">
        <v>10300</v>
      </c>
      <c r="B2770" t="s">
        <v>10301</v>
      </c>
      <c r="C2770" t="s">
        <v>10302</v>
      </c>
      <c r="D2770" t="s">
        <v>10303</v>
      </c>
      <c r="E2770" t="s">
        <v>10301</v>
      </c>
      <c r="F2770" t="s">
        <v>28</v>
      </c>
      <c r="G2770" t="s">
        <v>10301</v>
      </c>
      <c r="H2770" t="str">
        <f>"ZK546.14"</f>
        <v>ZK546.14</v>
      </c>
      <c r="I2770" t="s">
        <v>10303</v>
      </c>
      <c r="J2770" t="s">
        <v>29</v>
      </c>
      <c r="K2770" t="s">
        <v>29</v>
      </c>
      <c r="L2770" t="s">
        <v>29</v>
      </c>
      <c r="M2770" t="s">
        <v>29</v>
      </c>
      <c r="N2770" t="s">
        <v>29</v>
      </c>
      <c r="O2770" t="s">
        <v>29</v>
      </c>
      <c r="P2770" t="s">
        <v>29</v>
      </c>
      <c r="Q2770" t="s">
        <v>29</v>
      </c>
      <c r="R2770" t="s">
        <v>29</v>
      </c>
      <c r="S2770">
        <v>10.4125884876879</v>
      </c>
      <c r="T2770" t="s">
        <v>29</v>
      </c>
      <c r="U2770" t="s">
        <v>29</v>
      </c>
      <c r="V2770" t="s">
        <v>29</v>
      </c>
      <c r="W2770" t="s">
        <v>29</v>
      </c>
      <c r="X2770" t="s">
        <v>29</v>
      </c>
      <c r="Y2770" t="s">
        <v>29</v>
      </c>
    </row>
    <row r="2771" spans="1:25" x14ac:dyDescent="0.2">
      <c r="A2771" t="s">
        <v>10304</v>
      </c>
      <c r="B2771" t="s">
        <v>10305</v>
      </c>
      <c r="C2771" t="s">
        <v>14557</v>
      </c>
      <c r="D2771" t="s">
        <v>10306</v>
      </c>
      <c r="E2771" t="s">
        <v>10305</v>
      </c>
      <c r="F2771" t="s">
        <v>28</v>
      </c>
      <c r="G2771" t="s">
        <v>10305</v>
      </c>
      <c r="H2771" t="str">
        <f>"ZK546.2"</f>
        <v>ZK546.2</v>
      </c>
      <c r="I2771" t="s">
        <v>10306</v>
      </c>
      <c r="J2771">
        <v>13.191427099680601</v>
      </c>
      <c r="K2771">
        <v>13.0972098636196</v>
      </c>
      <c r="L2771">
        <v>13.3353055504314</v>
      </c>
      <c r="M2771" t="s">
        <v>29</v>
      </c>
      <c r="N2771" t="s">
        <v>29</v>
      </c>
      <c r="O2771">
        <v>13.7996570022712</v>
      </c>
      <c r="P2771">
        <v>0.59167616436067005</v>
      </c>
      <c r="Q2771">
        <v>-0.166264733077476</v>
      </c>
      <c r="R2771">
        <v>1.3496170617988199</v>
      </c>
      <c r="S2771">
        <v>13.1502172070418</v>
      </c>
      <c r="T2771">
        <v>1.6557633383717201</v>
      </c>
      <c r="U2771">
        <v>-5.4857849468383799</v>
      </c>
      <c r="V2771">
        <v>0.117375367100399</v>
      </c>
      <c r="W2771">
        <v>0.243081663278198</v>
      </c>
      <c r="X2771">
        <v>0</v>
      </c>
      <c r="Y2771">
        <v>0</v>
      </c>
    </row>
    <row r="2772" spans="1:25" x14ac:dyDescent="0.2">
      <c r="A2772" t="s">
        <v>10307</v>
      </c>
      <c r="B2772" t="s">
        <v>10308</v>
      </c>
      <c r="C2772" t="s">
        <v>10309</v>
      </c>
      <c r="D2772" t="s">
        <v>10310</v>
      </c>
      <c r="E2772" t="s">
        <v>10308</v>
      </c>
      <c r="F2772" t="s">
        <v>28</v>
      </c>
      <c r="G2772" t="s">
        <v>10308</v>
      </c>
      <c r="H2772" t="str">
        <f>"zyg-12"</f>
        <v>zyg-12</v>
      </c>
      <c r="I2772" t="s">
        <v>10310</v>
      </c>
      <c r="J2772" t="s">
        <v>29</v>
      </c>
      <c r="K2772" t="s">
        <v>29</v>
      </c>
      <c r="L2772" t="s">
        <v>29</v>
      </c>
      <c r="M2772" t="s">
        <v>29</v>
      </c>
      <c r="N2772" t="s">
        <v>29</v>
      </c>
      <c r="O2772" t="s">
        <v>29</v>
      </c>
      <c r="P2772" t="s">
        <v>29</v>
      </c>
      <c r="Q2772" t="s">
        <v>29</v>
      </c>
      <c r="R2772" t="s">
        <v>29</v>
      </c>
      <c r="S2772">
        <v>11.886951685204</v>
      </c>
      <c r="T2772" t="s">
        <v>29</v>
      </c>
      <c r="U2772" t="s">
        <v>29</v>
      </c>
      <c r="V2772" t="s">
        <v>29</v>
      </c>
      <c r="W2772" t="s">
        <v>29</v>
      </c>
      <c r="X2772" t="s">
        <v>29</v>
      </c>
      <c r="Y2772" t="s">
        <v>29</v>
      </c>
    </row>
    <row r="2773" spans="1:25" x14ac:dyDescent="0.2">
      <c r="A2773" t="s">
        <v>10311</v>
      </c>
      <c r="B2773" t="s">
        <v>10312</v>
      </c>
      <c r="C2773" t="s">
        <v>10313</v>
      </c>
      <c r="D2773" t="s">
        <v>682</v>
      </c>
      <c r="E2773" t="s">
        <v>10312</v>
      </c>
      <c r="F2773" t="s">
        <v>28</v>
      </c>
      <c r="G2773" t="s">
        <v>10312</v>
      </c>
      <c r="H2773" t="str">
        <f>"pyk-2"</f>
        <v>pyk-2</v>
      </c>
      <c r="I2773" t="s">
        <v>682</v>
      </c>
      <c r="J2773">
        <v>13.867227326853399</v>
      </c>
      <c r="K2773">
        <v>13.8816550279825</v>
      </c>
      <c r="L2773">
        <v>13.5167686554681</v>
      </c>
      <c r="M2773" t="s">
        <v>29</v>
      </c>
      <c r="N2773" t="s">
        <v>29</v>
      </c>
      <c r="O2773">
        <v>12.7095570337656</v>
      </c>
      <c r="P2773">
        <v>-1.04565996966907</v>
      </c>
      <c r="Q2773">
        <v>-1.91441722655371</v>
      </c>
      <c r="R2773">
        <v>-0.176902712784438</v>
      </c>
      <c r="S2773">
        <v>13.3571890906086</v>
      </c>
      <c r="T2773">
        <v>-2.5529456372432402</v>
      </c>
      <c r="U2773">
        <v>-3.9509635901874298</v>
      </c>
      <c r="V2773">
        <v>2.1354217125752601E-2</v>
      </c>
      <c r="W2773">
        <v>7.6932613532509603E-2</v>
      </c>
      <c r="X2773">
        <v>-1</v>
      </c>
      <c r="Y2773">
        <v>0</v>
      </c>
    </row>
    <row r="2774" spans="1:25" x14ac:dyDescent="0.2">
      <c r="A2774" t="s">
        <v>10314</v>
      </c>
      <c r="B2774" t="s">
        <v>10315</v>
      </c>
      <c r="C2774" t="s">
        <v>10316</v>
      </c>
      <c r="D2774" t="s">
        <v>10317</v>
      </c>
      <c r="E2774" t="s">
        <v>10315</v>
      </c>
      <c r="F2774" t="s">
        <v>28</v>
      </c>
      <c r="G2774" t="s">
        <v>10315</v>
      </c>
      <c r="H2774" t="str">
        <f>"rbr-2"</f>
        <v>rbr-2</v>
      </c>
      <c r="I2774" t="s">
        <v>10317</v>
      </c>
      <c r="J2774">
        <v>10.320905739700899</v>
      </c>
      <c r="K2774">
        <v>11.139836239744</v>
      </c>
      <c r="L2774">
        <v>11.447627898862001</v>
      </c>
      <c r="M2774" t="s">
        <v>29</v>
      </c>
      <c r="N2774" t="s">
        <v>29</v>
      </c>
      <c r="O2774" t="s">
        <v>29</v>
      </c>
      <c r="P2774" t="s">
        <v>29</v>
      </c>
      <c r="Q2774" t="s">
        <v>29</v>
      </c>
      <c r="R2774" t="s">
        <v>29</v>
      </c>
      <c r="S2774">
        <v>11.344762278683</v>
      </c>
      <c r="T2774" t="s">
        <v>29</v>
      </c>
      <c r="U2774" t="s">
        <v>29</v>
      </c>
      <c r="V2774" t="s">
        <v>29</v>
      </c>
      <c r="W2774" t="s">
        <v>29</v>
      </c>
      <c r="X2774" t="s">
        <v>29</v>
      </c>
      <c r="Y2774" t="s">
        <v>29</v>
      </c>
    </row>
    <row r="2775" spans="1:25" x14ac:dyDescent="0.2">
      <c r="A2775" t="s">
        <v>10318</v>
      </c>
      <c r="B2775" t="s">
        <v>10319</v>
      </c>
      <c r="C2775" t="s">
        <v>10320</v>
      </c>
      <c r="D2775" t="s">
        <v>10321</v>
      </c>
      <c r="E2775" t="s">
        <v>10319</v>
      </c>
      <c r="F2775" t="s">
        <v>28</v>
      </c>
      <c r="G2775" t="s">
        <v>10319</v>
      </c>
      <c r="H2775" t="str">
        <f>"unc-22"</f>
        <v>unc-22</v>
      </c>
      <c r="I2775" t="s">
        <v>10321</v>
      </c>
      <c r="J2775">
        <v>14.907963467374399</v>
      </c>
      <c r="K2775">
        <v>15.105570194660199</v>
      </c>
      <c r="L2775">
        <v>14.958579255953101</v>
      </c>
      <c r="M2775">
        <v>14.749988974675899</v>
      </c>
      <c r="N2775">
        <v>14.5668549463243</v>
      </c>
      <c r="O2775">
        <v>14.7605588124466</v>
      </c>
      <c r="P2775">
        <v>-0.298236728180303</v>
      </c>
      <c r="Q2775">
        <v>-0.69864233539946297</v>
      </c>
      <c r="R2775">
        <v>0.10216887903885701</v>
      </c>
      <c r="S2775">
        <v>14.803448690865901</v>
      </c>
      <c r="T2775">
        <v>-1.56550150246154</v>
      </c>
      <c r="U2775">
        <v>-5.9513987461014803</v>
      </c>
      <c r="V2775">
        <v>0.13497727720989799</v>
      </c>
      <c r="W2775">
        <v>0.271150672077416</v>
      </c>
      <c r="X2775">
        <v>0</v>
      </c>
      <c r="Y2775">
        <v>0</v>
      </c>
    </row>
    <row r="2776" spans="1:25" x14ac:dyDescent="0.2">
      <c r="A2776" t="s">
        <v>10322</v>
      </c>
      <c r="B2776" t="s">
        <v>10323</v>
      </c>
      <c r="C2776" t="s">
        <v>10324</v>
      </c>
      <c r="D2776" t="s">
        <v>10325</v>
      </c>
      <c r="E2776" t="s">
        <v>10323</v>
      </c>
      <c r="F2776" t="s">
        <v>28</v>
      </c>
      <c r="G2776" t="s">
        <v>10323</v>
      </c>
      <c r="H2776" t="str">
        <f>"pmt-1"</f>
        <v>pmt-1</v>
      </c>
      <c r="I2776" t="s">
        <v>10325</v>
      </c>
      <c r="J2776">
        <v>15.2824603128247</v>
      </c>
      <c r="K2776">
        <v>15.066483987909701</v>
      </c>
      <c r="L2776">
        <v>15.094857625403399</v>
      </c>
      <c r="M2776">
        <v>14.6213944289926</v>
      </c>
      <c r="N2776">
        <v>14.995554588660999</v>
      </c>
      <c r="O2776">
        <v>15.247440331063601</v>
      </c>
      <c r="P2776">
        <v>-0.19313752580687699</v>
      </c>
      <c r="Q2776">
        <v>-0.63922820852270801</v>
      </c>
      <c r="R2776">
        <v>0.25295315690895298</v>
      </c>
      <c r="S2776">
        <v>15.061275966696099</v>
      </c>
      <c r="T2776">
        <v>-0.90998875213411101</v>
      </c>
      <c r="U2776">
        <v>-6.7315446849171501</v>
      </c>
      <c r="V2776">
        <v>0.37492286012841702</v>
      </c>
      <c r="W2776">
        <v>0.54148751237867299</v>
      </c>
      <c r="X2776">
        <v>0</v>
      </c>
      <c r="Y2776">
        <v>0</v>
      </c>
    </row>
    <row r="2777" spans="1:25" x14ac:dyDescent="0.2">
      <c r="A2777" t="s">
        <v>10326</v>
      </c>
      <c r="B2777" t="s">
        <v>10327</v>
      </c>
      <c r="C2777" t="s">
        <v>10328</v>
      </c>
      <c r="D2777" t="s">
        <v>10329</v>
      </c>
      <c r="E2777" t="s">
        <v>10327</v>
      </c>
      <c r="F2777" t="s">
        <v>28</v>
      </c>
      <c r="G2777" t="s">
        <v>10327</v>
      </c>
      <c r="H2777" t="str">
        <f>"dbt-1"</f>
        <v>dbt-1</v>
      </c>
      <c r="I2777" t="s">
        <v>10329</v>
      </c>
      <c r="J2777">
        <v>15.4520094371713</v>
      </c>
      <c r="K2777">
        <v>15.4012791002719</v>
      </c>
      <c r="L2777">
        <v>15.732668859841899</v>
      </c>
      <c r="M2777">
        <v>14.899513308271301</v>
      </c>
      <c r="N2777">
        <v>15.540733101533201</v>
      </c>
      <c r="O2777">
        <v>15.7047642154002</v>
      </c>
      <c r="P2777">
        <v>-0.146982257360081</v>
      </c>
      <c r="Q2777">
        <v>-0.88035643631043003</v>
      </c>
      <c r="R2777">
        <v>0.58639192159026798</v>
      </c>
      <c r="S2777">
        <v>16.273590228113999</v>
      </c>
      <c r="T2777">
        <v>-0.42124214071726801</v>
      </c>
      <c r="U2777">
        <v>-7.0636415999170401</v>
      </c>
      <c r="V2777">
        <v>0.67859452243116203</v>
      </c>
      <c r="W2777">
        <v>0.78857178927627503</v>
      </c>
      <c r="X2777">
        <v>0</v>
      </c>
      <c r="Y2777">
        <v>0</v>
      </c>
    </row>
    <row r="2778" spans="1:25" x14ac:dyDescent="0.2">
      <c r="A2778" t="s">
        <v>10330</v>
      </c>
      <c r="B2778" t="s">
        <v>10331</v>
      </c>
      <c r="C2778" t="s">
        <v>10332</v>
      </c>
      <c r="D2778" t="s">
        <v>10333</v>
      </c>
      <c r="E2778" t="s">
        <v>10331</v>
      </c>
      <c r="F2778" t="s">
        <v>28</v>
      </c>
      <c r="G2778" t="s">
        <v>10331</v>
      </c>
      <c r="H2778" t="str">
        <f>"upp-1"</f>
        <v>upp-1</v>
      </c>
      <c r="I2778" t="s">
        <v>10333</v>
      </c>
      <c r="J2778" t="s">
        <v>29</v>
      </c>
      <c r="K2778" t="s">
        <v>29</v>
      </c>
      <c r="L2778">
        <v>11.8890857869977</v>
      </c>
      <c r="M2778">
        <v>14.7352543338825</v>
      </c>
      <c r="N2778" t="s">
        <v>29</v>
      </c>
      <c r="O2778">
        <v>15.150701721245699</v>
      </c>
      <c r="P2778">
        <v>3.0538922405664102</v>
      </c>
      <c r="Q2778">
        <v>2.2801903612129202</v>
      </c>
      <c r="R2778">
        <v>3.8275941199199099</v>
      </c>
      <c r="S2778">
        <v>13.2072734059092</v>
      </c>
      <c r="T2778">
        <v>8.5342881295304096</v>
      </c>
      <c r="U2778">
        <v>5.90271239359702</v>
      </c>
      <c r="V2778" s="2">
        <v>1.15947340447955E-6</v>
      </c>
      <c r="W2778" s="2">
        <v>5.1772244287897499E-5</v>
      </c>
      <c r="X2778">
        <v>1</v>
      </c>
      <c r="Y2778">
        <v>1</v>
      </c>
    </row>
    <row r="2779" spans="1:25" x14ac:dyDescent="0.2">
      <c r="A2779" t="s">
        <v>10334</v>
      </c>
      <c r="B2779" t="s">
        <v>10335</v>
      </c>
      <c r="C2779" t="s">
        <v>14558</v>
      </c>
      <c r="D2779" t="s">
        <v>10336</v>
      </c>
      <c r="E2779" t="s">
        <v>10335</v>
      </c>
      <c r="F2779" t="s">
        <v>28</v>
      </c>
      <c r="G2779" t="s">
        <v>10335</v>
      </c>
      <c r="H2779" t="str">
        <f>"ZK792.5"</f>
        <v>ZK792.5</v>
      </c>
      <c r="I2779" t="s">
        <v>10336</v>
      </c>
      <c r="J2779">
        <v>13.754590215742001</v>
      </c>
      <c r="K2779" t="s">
        <v>29</v>
      </c>
      <c r="L2779">
        <v>13.541342363821199</v>
      </c>
      <c r="M2779" t="s">
        <v>29</v>
      </c>
      <c r="N2779">
        <v>14.598261789186299</v>
      </c>
      <c r="O2779">
        <v>14.093219563449001</v>
      </c>
      <c r="P2779">
        <v>0.69777438653602497</v>
      </c>
      <c r="Q2779">
        <v>-0.58482460578590501</v>
      </c>
      <c r="R2779">
        <v>1.9803733788579601</v>
      </c>
      <c r="S2779">
        <v>13.068818224383801</v>
      </c>
      <c r="T2779">
        <v>1.16028782468269</v>
      </c>
      <c r="U2779">
        <v>-6.2737643767798197</v>
      </c>
      <c r="V2779">
        <v>0.26419180872644998</v>
      </c>
      <c r="W2779">
        <v>0.431211714978533</v>
      </c>
      <c r="X2779">
        <v>0</v>
      </c>
      <c r="Y2779">
        <v>0</v>
      </c>
    </row>
    <row r="2780" spans="1:25" x14ac:dyDescent="0.2">
      <c r="A2780" t="s">
        <v>10337</v>
      </c>
      <c r="B2780" t="s">
        <v>10338</v>
      </c>
      <c r="C2780" t="s">
        <v>14559</v>
      </c>
      <c r="D2780" t="s">
        <v>8716</v>
      </c>
      <c r="E2780" t="s">
        <v>10338</v>
      </c>
      <c r="F2780" t="s">
        <v>28</v>
      </c>
      <c r="G2780" t="s">
        <v>10338</v>
      </c>
      <c r="H2780" t="str">
        <f>"ZK813.3"</f>
        <v>ZK813.3</v>
      </c>
      <c r="I2780" t="s">
        <v>8716</v>
      </c>
      <c r="J2780">
        <v>16.178501935439801</v>
      </c>
      <c r="K2780">
        <v>14.4193990237658</v>
      </c>
      <c r="L2780">
        <v>16.6690597003189</v>
      </c>
      <c r="M2780">
        <v>20.238858133608002</v>
      </c>
      <c r="N2780">
        <v>18.0371862200031</v>
      </c>
      <c r="O2780">
        <v>17.544055698270899</v>
      </c>
      <c r="P2780">
        <v>2.8510464641191802</v>
      </c>
      <c r="Q2780">
        <v>1.5661651293955401</v>
      </c>
      <c r="R2780">
        <v>4.13592779884282</v>
      </c>
      <c r="S2780">
        <v>16.1146548563989</v>
      </c>
      <c r="T2780">
        <v>4.6637341715077003</v>
      </c>
      <c r="U2780">
        <v>0.29054330006657098</v>
      </c>
      <c r="V2780">
        <v>1.9602934691483501E-4</v>
      </c>
      <c r="W2780">
        <v>2.8043615794078598E-3</v>
      </c>
      <c r="X2780">
        <v>1</v>
      </c>
      <c r="Y2780">
        <v>1</v>
      </c>
    </row>
    <row r="2781" spans="1:25" x14ac:dyDescent="0.2">
      <c r="A2781" t="s">
        <v>10339</v>
      </c>
      <c r="B2781" t="s">
        <v>10340</v>
      </c>
      <c r="C2781" t="s">
        <v>14560</v>
      </c>
      <c r="D2781" t="s">
        <v>8716</v>
      </c>
      <c r="E2781" t="s">
        <v>10340</v>
      </c>
      <c r="F2781" t="s">
        <v>28</v>
      </c>
      <c r="G2781" t="s">
        <v>10340</v>
      </c>
      <c r="H2781" t="str">
        <f>"ZK813.1"</f>
        <v>ZK813.1</v>
      </c>
      <c r="I2781" t="s">
        <v>8716</v>
      </c>
      <c r="J2781">
        <v>15.334934143095801</v>
      </c>
      <c r="K2781">
        <v>15.0132871955007</v>
      </c>
      <c r="L2781">
        <v>16.081460216115801</v>
      </c>
      <c r="M2781">
        <v>18.538299148995598</v>
      </c>
      <c r="N2781">
        <v>17.578038990343501</v>
      </c>
      <c r="O2781">
        <v>16.466854422467701</v>
      </c>
      <c r="P2781">
        <v>2.0511703356981399</v>
      </c>
      <c r="Q2781">
        <v>1.17586761467554</v>
      </c>
      <c r="R2781">
        <v>2.9264730567207402</v>
      </c>
      <c r="S2781">
        <v>15.3459921136412</v>
      </c>
      <c r="T2781">
        <v>4.9253371206764296</v>
      </c>
      <c r="U2781">
        <v>0.86234076547821004</v>
      </c>
      <c r="V2781">
        <v>1.109496245893E-4</v>
      </c>
      <c r="W2781">
        <v>1.87912956129119E-3</v>
      </c>
      <c r="X2781">
        <v>1</v>
      </c>
      <c r="Y2781">
        <v>1</v>
      </c>
    </row>
    <row r="2782" spans="1:25" x14ac:dyDescent="0.2">
      <c r="A2782" t="s">
        <v>10341</v>
      </c>
      <c r="B2782" t="s">
        <v>10342</v>
      </c>
      <c r="C2782" t="s">
        <v>14181</v>
      </c>
      <c r="D2782" t="s">
        <v>10343</v>
      </c>
      <c r="E2782" t="s">
        <v>10342</v>
      </c>
      <c r="F2782" t="s">
        <v>28</v>
      </c>
      <c r="G2782" t="s">
        <v>10342</v>
      </c>
      <c r="H2782" t="str">
        <f>"ZK822.1"</f>
        <v>ZK822.1</v>
      </c>
      <c r="I2782" t="s">
        <v>10343</v>
      </c>
      <c r="J2782">
        <v>10.8044806880278</v>
      </c>
      <c r="K2782">
        <v>9.1915806324417701</v>
      </c>
      <c r="L2782">
        <v>10.203156143106501</v>
      </c>
      <c r="M2782" t="s">
        <v>29</v>
      </c>
      <c r="N2782" t="s">
        <v>29</v>
      </c>
      <c r="O2782">
        <v>11.233797407237001</v>
      </c>
      <c r="P2782">
        <v>1.16739158604494</v>
      </c>
      <c r="Q2782">
        <v>0.14175193827080801</v>
      </c>
      <c r="R2782">
        <v>2.1930312338190601</v>
      </c>
      <c r="S2782">
        <v>11.4408274831861</v>
      </c>
      <c r="T2782">
        <v>2.4141891166978899</v>
      </c>
      <c r="U2782">
        <v>-4.21049465482879</v>
      </c>
      <c r="V2782">
        <v>2.82017214956394E-2</v>
      </c>
      <c r="W2782">
        <v>9.2447689930644505E-2</v>
      </c>
      <c r="X2782">
        <v>1</v>
      </c>
      <c r="Y2782">
        <v>0</v>
      </c>
    </row>
    <row r="2783" spans="1:25" x14ac:dyDescent="0.2">
      <c r="A2783" t="s">
        <v>10344</v>
      </c>
      <c r="B2783" t="s">
        <v>10345</v>
      </c>
      <c r="C2783" t="s">
        <v>10346</v>
      </c>
      <c r="D2783" t="s">
        <v>10347</v>
      </c>
      <c r="E2783" t="s">
        <v>10345</v>
      </c>
      <c r="F2783" t="s">
        <v>28</v>
      </c>
      <c r="G2783" t="s">
        <v>10345</v>
      </c>
      <c r="H2783" t="str">
        <f>"slc-5A12"</f>
        <v>slc-5A12</v>
      </c>
      <c r="I2783" t="s">
        <v>10347</v>
      </c>
      <c r="J2783">
        <v>14.1912069006101</v>
      </c>
      <c r="K2783">
        <v>13.334286021971501</v>
      </c>
      <c r="L2783">
        <v>14.006682375873799</v>
      </c>
      <c r="M2783" t="s">
        <v>29</v>
      </c>
      <c r="N2783">
        <v>14.4645456486833</v>
      </c>
      <c r="O2783">
        <v>13.862338396215099</v>
      </c>
      <c r="P2783">
        <v>0.31938358963074598</v>
      </c>
      <c r="Q2783">
        <v>-0.29801415516336</v>
      </c>
      <c r="R2783">
        <v>0.93678133442485201</v>
      </c>
      <c r="S2783">
        <v>14.1345505999619</v>
      </c>
      <c r="T2783">
        <v>1.09193697462206</v>
      </c>
      <c r="U2783">
        <v>-6.4400088481831999</v>
      </c>
      <c r="V2783">
        <v>0.29018789889764002</v>
      </c>
      <c r="W2783">
        <v>0.45854355927686102</v>
      </c>
      <c r="X2783">
        <v>0</v>
      </c>
      <c r="Y2783">
        <v>0</v>
      </c>
    </row>
    <row r="2784" spans="1:25" x14ac:dyDescent="0.2">
      <c r="A2784" t="s">
        <v>10348</v>
      </c>
      <c r="B2784" t="s">
        <v>10349</v>
      </c>
      <c r="C2784" t="s">
        <v>10350</v>
      </c>
      <c r="D2784" t="s">
        <v>10351</v>
      </c>
      <c r="E2784" t="s">
        <v>10349</v>
      </c>
      <c r="F2784" t="s">
        <v>28</v>
      </c>
      <c r="G2784" t="s">
        <v>10349</v>
      </c>
      <c r="H2784" t="str">
        <f>"gdh-1"</f>
        <v>gdh-1</v>
      </c>
      <c r="I2784" t="s">
        <v>10351</v>
      </c>
      <c r="J2784">
        <v>14.200244308100499</v>
      </c>
      <c r="K2784">
        <v>14.287830840607301</v>
      </c>
      <c r="L2784">
        <v>14.658406694233699</v>
      </c>
      <c r="M2784">
        <v>15.3974513181498</v>
      </c>
      <c r="N2784">
        <v>15.137138453284701</v>
      </c>
      <c r="O2784">
        <v>14.9336372445285</v>
      </c>
      <c r="P2784">
        <v>0.77391505767387303</v>
      </c>
      <c r="Q2784">
        <v>0.14178506576313901</v>
      </c>
      <c r="R2784">
        <v>1.40604504958461</v>
      </c>
      <c r="S2784">
        <v>14.544222913157601</v>
      </c>
      <c r="T2784">
        <v>2.5732347844879602</v>
      </c>
      <c r="U2784">
        <v>-4.2027959822464602</v>
      </c>
      <c r="V2784">
        <v>1.9204634117842002E-2</v>
      </c>
      <c r="W2784">
        <v>7.1461148063460503E-2</v>
      </c>
      <c r="X2784">
        <v>0</v>
      </c>
      <c r="Y2784">
        <v>0</v>
      </c>
    </row>
    <row r="2785" spans="1:25" x14ac:dyDescent="0.2">
      <c r="A2785" t="s">
        <v>10352</v>
      </c>
      <c r="B2785" t="s">
        <v>10353</v>
      </c>
      <c r="C2785" t="s">
        <v>14561</v>
      </c>
      <c r="D2785" t="s">
        <v>4084</v>
      </c>
      <c r="E2785" t="s">
        <v>10353</v>
      </c>
      <c r="F2785" t="s">
        <v>28</v>
      </c>
      <c r="G2785" t="s">
        <v>10353</v>
      </c>
      <c r="H2785" t="str">
        <f>"ZK829.7"</f>
        <v>ZK829.7</v>
      </c>
      <c r="I2785" t="s">
        <v>4084</v>
      </c>
      <c r="J2785">
        <v>14.7784807558086</v>
      </c>
      <c r="K2785">
        <v>14.4578582826088</v>
      </c>
      <c r="L2785">
        <v>13.969378509094099</v>
      </c>
      <c r="M2785">
        <v>14.1353660241107</v>
      </c>
      <c r="N2785">
        <v>14.6187405548061</v>
      </c>
      <c r="O2785">
        <v>14.775255757459</v>
      </c>
      <c r="P2785">
        <v>0.107881596288101</v>
      </c>
      <c r="Q2785">
        <v>-0.40232707401704298</v>
      </c>
      <c r="R2785">
        <v>0.61809026659324395</v>
      </c>
      <c r="S2785">
        <v>14.4225803003477</v>
      </c>
      <c r="T2785">
        <v>0.44441841127769799</v>
      </c>
      <c r="U2785">
        <v>-7.0532225995524502</v>
      </c>
      <c r="V2785">
        <v>0.662068027981218</v>
      </c>
      <c r="W2785">
        <v>0.77579104511357899</v>
      </c>
      <c r="X2785">
        <v>0</v>
      </c>
      <c r="Y2785">
        <v>0</v>
      </c>
    </row>
    <row r="2786" spans="1:25" x14ac:dyDescent="0.2">
      <c r="A2786" t="s">
        <v>10354</v>
      </c>
      <c r="B2786" t="s">
        <v>10355</v>
      </c>
      <c r="C2786" t="s">
        <v>10356</v>
      </c>
      <c r="D2786" t="s">
        <v>10357</v>
      </c>
      <c r="E2786" t="s">
        <v>10355</v>
      </c>
      <c r="F2786" t="s">
        <v>28</v>
      </c>
      <c r="G2786" t="s">
        <v>10355</v>
      </c>
      <c r="H2786" t="str">
        <f>"ogdh-2"</f>
        <v>ogdh-2</v>
      </c>
      <c r="I2786" t="s">
        <v>10357</v>
      </c>
      <c r="J2786">
        <v>12.663117557504201</v>
      </c>
      <c r="K2786">
        <v>12.302680604715199</v>
      </c>
      <c r="L2786">
        <v>12.4008405268288</v>
      </c>
      <c r="M2786" t="s">
        <v>29</v>
      </c>
      <c r="N2786" t="s">
        <v>29</v>
      </c>
      <c r="O2786">
        <v>12.8339972468063</v>
      </c>
      <c r="P2786">
        <v>0.37845101712351897</v>
      </c>
      <c r="Q2786">
        <v>-0.86822945270454799</v>
      </c>
      <c r="R2786">
        <v>1.62513148695159</v>
      </c>
      <c r="S2786">
        <v>12.7634343863302</v>
      </c>
      <c r="T2786">
        <v>0.643878688247843</v>
      </c>
      <c r="U2786">
        <v>-6.5978051507463196</v>
      </c>
      <c r="V2786">
        <v>0.52883609456831704</v>
      </c>
      <c r="W2786">
        <v>0.67937226272573203</v>
      </c>
      <c r="X2786">
        <v>0</v>
      </c>
      <c r="Y2786">
        <v>0</v>
      </c>
    </row>
    <row r="2787" spans="1:25" x14ac:dyDescent="0.2">
      <c r="A2787" t="s">
        <v>10358</v>
      </c>
      <c r="B2787" t="s">
        <v>10359</v>
      </c>
      <c r="C2787" t="s">
        <v>14562</v>
      </c>
      <c r="D2787" t="s">
        <v>10360</v>
      </c>
      <c r="E2787" t="s">
        <v>10359</v>
      </c>
      <c r="F2787" t="s">
        <v>28</v>
      </c>
      <c r="G2787" t="s">
        <v>10359</v>
      </c>
      <c r="H2787" t="str">
        <f>"ZK84.1"</f>
        <v>ZK84.1</v>
      </c>
      <c r="I2787" t="s">
        <v>10360</v>
      </c>
      <c r="J2787">
        <v>10.2267915065284</v>
      </c>
      <c r="K2787">
        <v>11.615035721284899</v>
      </c>
      <c r="L2787">
        <v>11.823338370779</v>
      </c>
      <c r="M2787">
        <v>12.428727340936</v>
      </c>
      <c r="N2787" t="s">
        <v>29</v>
      </c>
      <c r="O2787">
        <v>10.5478959521958</v>
      </c>
      <c r="P2787">
        <v>0.26658978036846998</v>
      </c>
      <c r="Q2787">
        <v>-1.0019390645872599</v>
      </c>
      <c r="R2787">
        <v>1.5351186253242</v>
      </c>
      <c r="S2787">
        <v>10.9623607189131</v>
      </c>
      <c r="T2787">
        <v>0.458340424156717</v>
      </c>
      <c r="U2787">
        <v>-6.9334477327071697</v>
      </c>
      <c r="V2787">
        <v>0.65496869169363303</v>
      </c>
      <c r="W2787">
        <v>0.77084374377841003</v>
      </c>
      <c r="X2787">
        <v>0</v>
      </c>
      <c r="Y2787">
        <v>0</v>
      </c>
    </row>
    <row r="2788" spans="1:25" x14ac:dyDescent="0.2">
      <c r="A2788" t="s">
        <v>10361</v>
      </c>
      <c r="B2788" t="s">
        <v>10362</v>
      </c>
      <c r="C2788" t="s">
        <v>10363</v>
      </c>
      <c r="D2788" t="s">
        <v>10364</v>
      </c>
      <c r="E2788" t="s">
        <v>10362</v>
      </c>
      <c r="F2788" t="s">
        <v>28</v>
      </c>
      <c r="G2788" t="s">
        <v>10362</v>
      </c>
      <c r="H2788" t="str">
        <f>"cul-5"</f>
        <v>cul-5</v>
      </c>
      <c r="I2788" t="s">
        <v>10364</v>
      </c>
      <c r="J2788">
        <v>13.0186569988334</v>
      </c>
      <c r="K2788">
        <v>12.976551963813</v>
      </c>
      <c r="L2788">
        <v>13.1220508217339</v>
      </c>
      <c r="M2788">
        <v>13.0636773399363</v>
      </c>
      <c r="N2788">
        <v>12.949771979011</v>
      </c>
      <c r="O2788">
        <v>12.758415056333099</v>
      </c>
      <c r="P2788">
        <v>-0.115131803033329</v>
      </c>
      <c r="Q2788">
        <v>-0.560814352413741</v>
      </c>
      <c r="R2788">
        <v>0.33055074634708398</v>
      </c>
      <c r="S2788">
        <v>13.0917965732797</v>
      </c>
      <c r="T2788">
        <v>-0.54295294047378195</v>
      </c>
      <c r="U2788">
        <v>-7.0028621748664497</v>
      </c>
      <c r="V2788">
        <v>0.59386115961624697</v>
      </c>
      <c r="W2788">
        <v>0.730141586717723</v>
      </c>
      <c r="X2788">
        <v>0</v>
      </c>
      <c r="Y2788">
        <v>0</v>
      </c>
    </row>
    <row r="2789" spans="1:25" x14ac:dyDescent="0.2">
      <c r="A2789" t="s">
        <v>10365</v>
      </c>
      <c r="B2789" t="s">
        <v>10366</v>
      </c>
      <c r="C2789" t="s">
        <v>10367</v>
      </c>
      <c r="D2789" t="s">
        <v>10368</v>
      </c>
      <c r="E2789" t="s">
        <v>10366</v>
      </c>
      <c r="F2789" t="s">
        <v>28</v>
      </c>
      <c r="G2789" t="s">
        <v>10366</v>
      </c>
      <c r="H2789" t="str">
        <f>"elpc-3"</f>
        <v>elpc-3</v>
      </c>
      <c r="I2789" t="s">
        <v>10368</v>
      </c>
      <c r="J2789">
        <v>10.9004207523106</v>
      </c>
      <c r="K2789">
        <v>10.6088151566313</v>
      </c>
      <c r="L2789">
        <v>11.0410139688525</v>
      </c>
      <c r="M2789" t="s">
        <v>29</v>
      </c>
      <c r="N2789">
        <v>10.632628710499599</v>
      </c>
      <c r="O2789">
        <v>11.517746244952599</v>
      </c>
      <c r="P2789">
        <v>0.225104185127945</v>
      </c>
      <c r="Q2789">
        <v>-0.41450294990560799</v>
      </c>
      <c r="R2789">
        <v>0.86471132016149799</v>
      </c>
      <c r="S2789">
        <v>11.1461918839349</v>
      </c>
      <c r="T2789">
        <v>0.74288276507752005</v>
      </c>
      <c r="U2789">
        <v>-6.7600517795123602</v>
      </c>
      <c r="V2789">
        <v>0.467757244182613</v>
      </c>
      <c r="W2789">
        <v>0.63019499744380203</v>
      </c>
      <c r="X2789">
        <v>0</v>
      </c>
      <c r="Y2789">
        <v>0</v>
      </c>
    </row>
    <row r="2790" spans="1:25" x14ac:dyDescent="0.2">
      <c r="A2790" t="s">
        <v>10369</v>
      </c>
      <c r="B2790" t="s">
        <v>10370</v>
      </c>
      <c r="C2790" t="s">
        <v>10371</v>
      </c>
      <c r="D2790" t="s">
        <v>10372</v>
      </c>
      <c r="E2790" t="s">
        <v>10370</v>
      </c>
      <c r="F2790" t="s">
        <v>28</v>
      </c>
      <c r="G2790" t="s">
        <v>10370</v>
      </c>
      <c r="H2790" t="str">
        <f>"usip-1"</f>
        <v>usip-1</v>
      </c>
      <c r="I2790" t="s">
        <v>10372</v>
      </c>
      <c r="J2790">
        <v>13.642672363804699</v>
      </c>
      <c r="K2790">
        <v>13.595544441507201</v>
      </c>
      <c r="L2790">
        <v>13.5970580350267</v>
      </c>
      <c r="M2790" t="s">
        <v>29</v>
      </c>
      <c r="N2790">
        <v>13.616551153211599</v>
      </c>
      <c r="O2790">
        <v>13.7377099944537</v>
      </c>
      <c r="P2790">
        <v>6.5372293719768507E-2</v>
      </c>
      <c r="Q2790">
        <v>-0.33196237973348502</v>
      </c>
      <c r="R2790">
        <v>0.46270696717302201</v>
      </c>
      <c r="S2790">
        <v>13.3065332323054</v>
      </c>
      <c r="T2790">
        <v>0.34728599592040199</v>
      </c>
      <c r="U2790">
        <v>-6.9823040924370297</v>
      </c>
      <c r="V2790">
        <v>0.73266499621132797</v>
      </c>
      <c r="W2790">
        <v>0.82837993596097803</v>
      </c>
      <c r="X2790">
        <v>0</v>
      </c>
      <c r="Y2790">
        <v>0</v>
      </c>
    </row>
    <row r="2791" spans="1:25" x14ac:dyDescent="0.2">
      <c r="A2791" t="s">
        <v>10373</v>
      </c>
      <c r="B2791" t="s">
        <v>10374</v>
      </c>
      <c r="C2791" t="s">
        <v>14563</v>
      </c>
      <c r="D2791" t="s">
        <v>10375</v>
      </c>
      <c r="E2791" t="s">
        <v>10374</v>
      </c>
      <c r="F2791" t="s">
        <v>28</v>
      </c>
      <c r="G2791" t="s">
        <v>10374</v>
      </c>
      <c r="H2791" t="str">
        <f>"ZK899.2"</f>
        <v>ZK899.2</v>
      </c>
      <c r="I2791" t="s">
        <v>10375</v>
      </c>
      <c r="J2791">
        <v>13.3716209216397</v>
      </c>
      <c r="K2791">
        <v>13.833431781215699</v>
      </c>
      <c r="L2791">
        <v>13.6426178944092</v>
      </c>
      <c r="M2791">
        <v>12.8408883707791</v>
      </c>
      <c r="N2791">
        <v>13.480531469948399</v>
      </c>
      <c r="O2791">
        <v>13.778714061024701</v>
      </c>
      <c r="P2791">
        <v>-0.24917889850413399</v>
      </c>
      <c r="Q2791">
        <v>-0.79410834165088795</v>
      </c>
      <c r="R2791">
        <v>0.29575054464262102</v>
      </c>
      <c r="S2791">
        <v>13.6741311490768</v>
      </c>
      <c r="T2791">
        <v>-0.96108876601457205</v>
      </c>
      <c r="U2791">
        <v>-6.6837232959928699</v>
      </c>
      <c r="V2791">
        <v>0.34931496118298699</v>
      </c>
      <c r="W2791">
        <v>0.51936419181751003</v>
      </c>
      <c r="X2791">
        <v>0</v>
      </c>
      <c r="Y2791">
        <v>0</v>
      </c>
    </row>
    <row r="2792" spans="1:25" x14ac:dyDescent="0.2">
      <c r="A2792" t="s">
        <v>10376</v>
      </c>
      <c r="B2792" t="s">
        <v>10377</v>
      </c>
      <c r="C2792" t="s">
        <v>10378</v>
      </c>
      <c r="D2792" t="s">
        <v>2221</v>
      </c>
      <c r="E2792" t="s">
        <v>10377</v>
      </c>
      <c r="F2792" t="s">
        <v>28</v>
      </c>
      <c r="G2792" t="s">
        <v>10377</v>
      </c>
      <c r="H2792" t="str">
        <f>"vps-15"</f>
        <v>vps-15</v>
      </c>
      <c r="I2792" t="s">
        <v>2221</v>
      </c>
      <c r="J2792">
        <v>12.1157820782018</v>
      </c>
      <c r="K2792">
        <v>11.963676173789599</v>
      </c>
      <c r="L2792">
        <v>11.733794188061999</v>
      </c>
      <c r="M2792" t="s">
        <v>29</v>
      </c>
      <c r="N2792">
        <v>11.4769383169586</v>
      </c>
      <c r="O2792">
        <v>11.8799865146092</v>
      </c>
      <c r="P2792">
        <v>-0.25928839756720601</v>
      </c>
      <c r="Q2792">
        <v>-0.75066715596564204</v>
      </c>
      <c r="R2792">
        <v>0.232090360831231</v>
      </c>
      <c r="S2792">
        <v>11.8248868493031</v>
      </c>
      <c r="T2792">
        <v>-1.11382437623919</v>
      </c>
      <c r="U2792">
        <v>-6.41634830567825</v>
      </c>
      <c r="V2792">
        <v>0.28095013350789999</v>
      </c>
      <c r="W2792">
        <v>0.44875883113700998</v>
      </c>
      <c r="X2792">
        <v>0</v>
      </c>
      <c r="Y2792">
        <v>0</v>
      </c>
    </row>
    <row r="2793" spans="1:25" x14ac:dyDescent="0.2">
      <c r="A2793" t="s">
        <v>10379</v>
      </c>
      <c r="B2793" t="s">
        <v>10380</v>
      </c>
      <c r="C2793" t="s">
        <v>10381</v>
      </c>
      <c r="D2793" t="s">
        <v>10382</v>
      </c>
      <c r="E2793" t="s">
        <v>10380</v>
      </c>
      <c r="F2793" t="s">
        <v>28</v>
      </c>
      <c r="G2793" t="s">
        <v>10380</v>
      </c>
      <c r="H2793" t="str">
        <f>"top-2"</f>
        <v>top-2</v>
      </c>
      <c r="I2793" t="s">
        <v>10382</v>
      </c>
      <c r="J2793">
        <v>16.1360622463623</v>
      </c>
      <c r="K2793">
        <v>16.202848155720599</v>
      </c>
      <c r="L2793">
        <v>16.014713611655001</v>
      </c>
      <c r="M2793">
        <v>16.122783423955902</v>
      </c>
      <c r="N2793">
        <v>16.028993907955702</v>
      </c>
      <c r="O2793">
        <v>16.276253857697501</v>
      </c>
      <c r="P2793">
        <v>2.4802391957074101E-2</v>
      </c>
      <c r="Q2793">
        <v>-0.435759379795716</v>
      </c>
      <c r="R2793">
        <v>0.48536416370986502</v>
      </c>
      <c r="S2793">
        <v>16.174905066224799</v>
      </c>
      <c r="T2793">
        <v>0.113187428275246</v>
      </c>
      <c r="U2793">
        <v>-7.1495811775157003</v>
      </c>
      <c r="V2793">
        <v>0.91114208575319999</v>
      </c>
      <c r="W2793">
        <v>0.94647011868688102</v>
      </c>
      <c r="X2793">
        <v>0</v>
      </c>
      <c r="Y2793">
        <v>0</v>
      </c>
    </row>
    <row r="2794" spans="1:25" x14ac:dyDescent="0.2">
      <c r="A2794" t="s">
        <v>10383</v>
      </c>
      <c r="B2794" t="s">
        <v>10384</v>
      </c>
      <c r="C2794" t="s">
        <v>10385</v>
      </c>
      <c r="D2794" t="s">
        <v>10386</v>
      </c>
      <c r="E2794" t="s">
        <v>10384</v>
      </c>
      <c r="F2794" t="s">
        <v>28</v>
      </c>
      <c r="G2794" t="s">
        <v>10384</v>
      </c>
      <c r="H2794" t="str">
        <f>"vha-9"</f>
        <v>vha-9</v>
      </c>
      <c r="I2794" t="s">
        <v>10386</v>
      </c>
      <c r="J2794" t="s">
        <v>29</v>
      </c>
      <c r="K2794">
        <v>12.8805087479875</v>
      </c>
      <c r="L2794" t="s">
        <v>29</v>
      </c>
      <c r="M2794" t="s">
        <v>29</v>
      </c>
      <c r="N2794">
        <v>14.422420564552599</v>
      </c>
      <c r="O2794">
        <v>14.897823241989</v>
      </c>
      <c r="P2794">
        <v>1.7796131552833601</v>
      </c>
      <c r="Q2794">
        <v>0.83768366272350003</v>
      </c>
      <c r="R2794">
        <v>2.7215426478432101</v>
      </c>
      <c r="S2794">
        <v>13.8104808865052</v>
      </c>
      <c r="T2794">
        <v>4.02947827039063</v>
      </c>
      <c r="U2794">
        <v>-1.0101640807828201</v>
      </c>
      <c r="V2794">
        <v>1.10617639796648E-3</v>
      </c>
      <c r="W2794">
        <v>9.7894950294510601E-3</v>
      </c>
      <c r="X2794">
        <v>1</v>
      </c>
      <c r="Y2794">
        <v>1</v>
      </c>
    </row>
    <row r="2795" spans="1:25" x14ac:dyDescent="0.2">
      <c r="A2795" t="s">
        <v>10387</v>
      </c>
      <c r="B2795" t="s">
        <v>10388</v>
      </c>
      <c r="C2795" t="s">
        <v>10389</v>
      </c>
      <c r="D2795" t="s">
        <v>10390</v>
      </c>
      <c r="E2795" t="s">
        <v>10388</v>
      </c>
      <c r="F2795" t="s">
        <v>28</v>
      </c>
      <c r="G2795" t="s">
        <v>10388</v>
      </c>
      <c r="H2795" t="str">
        <f>"dif-1"</f>
        <v>dif-1</v>
      </c>
      <c r="I2795" t="s">
        <v>10390</v>
      </c>
      <c r="J2795">
        <v>16.889981290338099</v>
      </c>
      <c r="K2795">
        <v>16.799622479592401</v>
      </c>
      <c r="L2795">
        <v>16.7911732365733</v>
      </c>
      <c r="M2795">
        <v>16.664615245602899</v>
      </c>
      <c r="N2795">
        <v>16.1672048822489</v>
      </c>
      <c r="O2795">
        <v>16.806797850116901</v>
      </c>
      <c r="P2795">
        <v>-0.28071967617832899</v>
      </c>
      <c r="Q2795">
        <v>-0.68319144706054102</v>
      </c>
      <c r="R2795">
        <v>0.121752094703883</v>
      </c>
      <c r="S2795">
        <v>16.488396677277201</v>
      </c>
      <c r="T2795">
        <v>-1.4659864046972</v>
      </c>
      <c r="U2795">
        <v>-6.0915824130788998</v>
      </c>
      <c r="V2795">
        <v>0.160003726017938</v>
      </c>
      <c r="W2795">
        <v>0.30778041597552003</v>
      </c>
      <c r="X2795">
        <v>0</v>
      </c>
      <c r="Y2795">
        <v>0</v>
      </c>
    </row>
    <row r="2796" spans="1:25" x14ac:dyDescent="0.2">
      <c r="A2796" t="s">
        <v>10391</v>
      </c>
      <c r="B2796" t="s">
        <v>10392</v>
      </c>
      <c r="C2796" t="s">
        <v>10393</v>
      </c>
      <c r="D2796" t="s">
        <v>10394</v>
      </c>
      <c r="E2796" t="s">
        <v>10392</v>
      </c>
      <c r="F2796" t="s">
        <v>28</v>
      </c>
      <c r="G2796" t="s">
        <v>10392</v>
      </c>
      <c r="H2796" t="str">
        <f>"rop-1"</f>
        <v>rop-1</v>
      </c>
      <c r="I2796" t="s">
        <v>10394</v>
      </c>
      <c r="J2796">
        <v>14.9228008519631</v>
      </c>
      <c r="K2796">
        <v>14.906322433796101</v>
      </c>
      <c r="L2796">
        <v>14.6848661600109</v>
      </c>
      <c r="M2796">
        <v>14.436143565601</v>
      </c>
      <c r="N2796">
        <v>14.2893120608069</v>
      </c>
      <c r="O2796">
        <v>14.1412522234716</v>
      </c>
      <c r="P2796">
        <v>-0.54909386529687698</v>
      </c>
      <c r="Q2796">
        <v>-0.95115745304646904</v>
      </c>
      <c r="R2796">
        <v>-0.14703027754728501</v>
      </c>
      <c r="S2796">
        <v>14.8582761077262</v>
      </c>
      <c r="T2796">
        <v>-2.8704128202472399</v>
      </c>
      <c r="U2796">
        <v>-3.6041833623424102</v>
      </c>
      <c r="V2796">
        <v>1.0217281018500699E-2</v>
      </c>
      <c r="W2796">
        <v>4.6209128806587597E-2</v>
      </c>
      <c r="X2796">
        <v>0</v>
      </c>
      <c r="Y2796">
        <v>0</v>
      </c>
    </row>
    <row r="2797" spans="1:25" x14ac:dyDescent="0.2">
      <c r="A2797" t="s">
        <v>10395</v>
      </c>
      <c r="B2797" t="s">
        <v>10396</v>
      </c>
      <c r="C2797" t="s">
        <v>10397</v>
      </c>
      <c r="D2797" t="s">
        <v>10398</v>
      </c>
      <c r="E2797" t="s">
        <v>10396</v>
      </c>
      <c r="F2797" t="s">
        <v>28</v>
      </c>
      <c r="G2797" t="s">
        <v>10396</v>
      </c>
      <c r="H2797" t="str">
        <f>"rpl-16"</f>
        <v>rpl-16</v>
      </c>
      <c r="I2797" t="s">
        <v>10398</v>
      </c>
      <c r="J2797">
        <v>20.158460316229899</v>
      </c>
      <c r="K2797">
        <v>20.1231099333224</v>
      </c>
      <c r="L2797">
        <v>20.105873989536601</v>
      </c>
      <c r="M2797">
        <v>19.754342768362399</v>
      </c>
      <c r="N2797">
        <v>19.7923450673667</v>
      </c>
      <c r="O2797">
        <v>19.832492681522901</v>
      </c>
      <c r="P2797">
        <v>-0.33608790727896598</v>
      </c>
      <c r="Q2797">
        <v>-0.69864357381940201</v>
      </c>
      <c r="R2797">
        <v>2.6467759261469999E-2</v>
      </c>
      <c r="S2797">
        <v>19.925986622983299</v>
      </c>
      <c r="T2797">
        <v>-1.94836671794359</v>
      </c>
      <c r="U2797">
        <v>-5.3507118280023702</v>
      </c>
      <c r="V2797">
        <v>6.7229174244983897E-2</v>
      </c>
      <c r="W2797">
        <v>0.16733477744929701</v>
      </c>
      <c r="X2797">
        <v>0</v>
      </c>
      <c r="Y2797">
        <v>0</v>
      </c>
    </row>
    <row r="2798" spans="1:25" x14ac:dyDescent="0.2">
      <c r="A2798" t="s">
        <v>10399</v>
      </c>
      <c r="B2798" t="s">
        <v>10400</v>
      </c>
      <c r="C2798" t="s">
        <v>10401</v>
      </c>
      <c r="D2798" t="s">
        <v>10402</v>
      </c>
      <c r="E2798" t="s">
        <v>10400</v>
      </c>
      <c r="F2798" t="s">
        <v>28</v>
      </c>
      <c r="G2798" t="s">
        <v>10400</v>
      </c>
      <c r="H2798" t="str">
        <f>"lin-15B"</f>
        <v>lin-15B</v>
      </c>
      <c r="I2798" t="s">
        <v>10402</v>
      </c>
      <c r="J2798">
        <v>13.069003602104999</v>
      </c>
      <c r="K2798">
        <v>12.748553590904599</v>
      </c>
      <c r="L2798">
        <v>12.4432918233649</v>
      </c>
      <c r="M2798" t="s">
        <v>29</v>
      </c>
      <c r="N2798">
        <v>12.7062972142517</v>
      </c>
      <c r="O2798">
        <v>12.6909936398953</v>
      </c>
      <c r="P2798">
        <v>-5.4970911718042401E-2</v>
      </c>
      <c r="Q2798">
        <v>-0.55337813440921002</v>
      </c>
      <c r="R2798">
        <v>0.44343631097312503</v>
      </c>
      <c r="S2798">
        <v>12.890200594558699</v>
      </c>
      <c r="T2798">
        <v>-0.232808389140197</v>
      </c>
      <c r="U2798">
        <v>-7.0170306478506097</v>
      </c>
      <c r="V2798">
        <v>0.81870718858634295</v>
      </c>
      <c r="W2798">
        <v>0.88568106322982898</v>
      </c>
      <c r="X2798">
        <v>0</v>
      </c>
      <c r="Y2798">
        <v>0</v>
      </c>
    </row>
    <row r="2799" spans="1:25" x14ac:dyDescent="0.2">
      <c r="A2799" t="s">
        <v>10403</v>
      </c>
      <c r="B2799" t="s">
        <v>10404</v>
      </c>
      <c r="C2799" t="s">
        <v>10405</v>
      </c>
      <c r="D2799" t="s">
        <v>10406</v>
      </c>
      <c r="E2799" t="s">
        <v>10404</v>
      </c>
      <c r="F2799" t="s">
        <v>28</v>
      </c>
      <c r="G2799" t="s">
        <v>10404</v>
      </c>
      <c r="H2799" t="str">
        <f>"gspd-1"</f>
        <v>gspd-1</v>
      </c>
      <c r="I2799" t="s">
        <v>10406</v>
      </c>
      <c r="J2799">
        <v>16.381006388028599</v>
      </c>
      <c r="K2799">
        <v>16.220976949574101</v>
      </c>
      <c r="L2799">
        <v>16.290734774061399</v>
      </c>
      <c r="M2799">
        <v>15.8915821542935</v>
      </c>
      <c r="N2799">
        <v>15.897942715249201</v>
      </c>
      <c r="O2799">
        <v>16.182828844317601</v>
      </c>
      <c r="P2799">
        <v>-0.30678813260125698</v>
      </c>
      <c r="Q2799">
        <v>-0.66207689625205202</v>
      </c>
      <c r="R2799">
        <v>4.8500631049538098E-2</v>
      </c>
      <c r="S2799">
        <v>15.869989332537701</v>
      </c>
      <c r="T2799">
        <v>-1.81488702726971</v>
      </c>
      <c r="U2799">
        <v>-5.5704886760886003</v>
      </c>
      <c r="V2799">
        <v>8.6340069239332601E-2</v>
      </c>
      <c r="W2799">
        <v>0.197435549280533</v>
      </c>
      <c r="X2799">
        <v>0</v>
      </c>
      <c r="Y2799">
        <v>0</v>
      </c>
    </row>
    <row r="2800" spans="1:25" x14ac:dyDescent="0.2">
      <c r="A2800" t="s">
        <v>10407</v>
      </c>
      <c r="B2800" t="s">
        <v>10408</v>
      </c>
      <c r="C2800" t="s">
        <v>10409</v>
      </c>
      <c r="D2800" t="s">
        <v>10410</v>
      </c>
      <c r="E2800" t="s">
        <v>10408</v>
      </c>
      <c r="F2800" t="s">
        <v>28</v>
      </c>
      <c r="G2800" t="s">
        <v>10408</v>
      </c>
      <c r="H2800" t="str">
        <f>"lig-1"</f>
        <v>lig-1</v>
      </c>
      <c r="I2800" t="s">
        <v>10410</v>
      </c>
      <c r="J2800">
        <v>14.077915333507701</v>
      </c>
      <c r="K2800">
        <v>13.8570146959265</v>
      </c>
      <c r="L2800">
        <v>13.799731289133801</v>
      </c>
      <c r="M2800" t="s">
        <v>29</v>
      </c>
      <c r="N2800">
        <v>13.702209989143901</v>
      </c>
      <c r="O2800">
        <v>14.200794325287999</v>
      </c>
      <c r="P2800">
        <v>3.9948384359915302E-2</v>
      </c>
      <c r="Q2800">
        <v>-0.354815624826123</v>
      </c>
      <c r="R2800">
        <v>0.43471239354595398</v>
      </c>
      <c r="S2800">
        <v>13.8541570478334</v>
      </c>
      <c r="T2800">
        <v>0.21360513162599201</v>
      </c>
      <c r="U2800">
        <v>-7.0215234901271302</v>
      </c>
      <c r="V2800">
        <v>0.83341146621126405</v>
      </c>
      <c r="W2800">
        <v>0.89474083458090803</v>
      </c>
      <c r="X2800">
        <v>0</v>
      </c>
      <c r="Y2800">
        <v>0</v>
      </c>
    </row>
    <row r="2801" spans="1:25" x14ac:dyDescent="0.2">
      <c r="A2801" t="s">
        <v>10411</v>
      </c>
      <c r="B2801" t="s">
        <v>10412</v>
      </c>
      <c r="C2801" t="s">
        <v>10413</v>
      </c>
      <c r="D2801" t="s">
        <v>10414</v>
      </c>
      <c r="E2801" t="s">
        <v>10412</v>
      </c>
      <c r="F2801" t="s">
        <v>28</v>
      </c>
      <c r="G2801" t="s">
        <v>10412</v>
      </c>
      <c r="H2801" t="str">
        <f>"cyp-25a2"</f>
        <v>cyp-25a2</v>
      </c>
      <c r="I2801" t="s">
        <v>10414</v>
      </c>
      <c r="J2801">
        <v>12.8007676609857</v>
      </c>
      <c r="K2801">
        <v>12.1495348229017</v>
      </c>
      <c r="L2801">
        <v>12.1512854103682</v>
      </c>
      <c r="M2801" t="s">
        <v>29</v>
      </c>
      <c r="N2801">
        <v>12.554200797292699</v>
      </c>
      <c r="O2801">
        <v>12.834339148879099</v>
      </c>
      <c r="P2801">
        <v>0.32707400833397998</v>
      </c>
      <c r="Q2801">
        <v>-0.17863159761974101</v>
      </c>
      <c r="R2801">
        <v>0.83277961428770098</v>
      </c>
      <c r="S2801">
        <v>12.5225125434975</v>
      </c>
      <c r="T2801">
        <v>1.37182210028857</v>
      </c>
      <c r="U2801">
        <v>-6.1076808088490697</v>
      </c>
      <c r="V2801">
        <v>0.18917235848123801</v>
      </c>
      <c r="W2801">
        <v>0.346237880039859</v>
      </c>
      <c r="X2801">
        <v>0</v>
      </c>
      <c r="Y2801">
        <v>0</v>
      </c>
    </row>
    <row r="2802" spans="1:25" x14ac:dyDescent="0.2">
      <c r="A2802" t="s">
        <v>10415</v>
      </c>
      <c r="B2802" t="s">
        <v>10416</v>
      </c>
      <c r="C2802" t="s">
        <v>10417</v>
      </c>
      <c r="D2802" t="s">
        <v>10418</v>
      </c>
      <c r="E2802" t="s">
        <v>10416</v>
      </c>
      <c r="F2802" t="s">
        <v>28</v>
      </c>
      <c r="G2802" t="s">
        <v>10416</v>
      </c>
      <c r="H2802" t="str">
        <f>"uba-1"</f>
        <v>uba-1</v>
      </c>
      <c r="I2802" t="s">
        <v>10418</v>
      </c>
      <c r="J2802">
        <v>16.5648453389698</v>
      </c>
      <c r="K2802">
        <v>16.21262669915</v>
      </c>
      <c r="L2802">
        <v>16.295850417744099</v>
      </c>
      <c r="M2802">
        <v>17.100726433897499</v>
      </c>
      <c r="N2802">
        <v>17.397002829153099</v>
      </c>
      <c r="O2802">
        <v>17.890489496953599</v>
      </c>
      <c r="P2802">
        <v>1.1049654347134401</v>
      </c>
      <c r="Q2802">
        <v>0.56095061609896102</v>
      </c>
      <c r="R2802">
        <v>1.6489802533279201</v>
      </c>
      <c r="S2802">
        <v>16.842015728900801</v>
      </c>
      <c r="T2802">
        <v>4.2690424775777096</v>
      </c>
      <c r="U2802">
        <v>-0.57833923335468296</v>
      </c>
      <c r="V2802">
        <v>4.6719200888381399E-4</v>
      </c>
      <c r="W2802">
        <v>5.1955277365305598E-3</v>
      </c>
      <c r="X2802">
        <v>1</v>
      </c>
      <c r="Y2802">
        <v>1</v>
      </c>
    </row>
    <row r="2803" spans="1:25" x14ac:dyDescent="0.2">
      <c r="A2803" t="s">
        <v>10419</v>
      </c>
      <c r="B2803" t="s">
        <v>10420</v>
      </c>
      <c r="C2803" t="s">
        <v>10421</v>
      </c>
      <c r="D2803" t="s">
        <v>10422</v>
      </c>
      <c r="E2803" t="s">
        <v>10420</v>
      </c>
      <c r="F2803" t="s">
        <v>28</v>
      </c>
      <c r="G2803" t="s">
        <v>10420</v>
      </c>
      <c r="H2803" t="str">
        <f>"ctl-2"</f>
        <v>ctl-2</v>
      </c>
      <c r="I2803" t="s">
        <v>10422</v>
      </c>
      <c r="J2803">
        <v>14.407050676365801</v>
      </c>
      <c r="K2803">
        <v>14.357416774417301</v>
      </c>
      <c r="L2803">
        <v>13.9246539358485</v>
      </c>
      <c r="M2803">
        <v>14.5222217094586</v>
      </c>
      <c r="N2803">
        <v>15.069043599275499</v>
      </c>
      <c r="O2803">
        <v>15.1827608321379</v>
      </c>
      <c r="P2803">
        <v>0.69496825141349405</v>
      </c>
      <c r="Q2803">
        <v>0.14002919437483199</v>
      </c>
      <c r="R2803">
        <v>1.2499073084521599</v>
      </c>
      <c r="S2803">
        <v>13.926388345560399</v>
      </c>
      <c r="T2803">
        <v>2.6321594012499401</v>
      </c>
      <c r="U2803">
        <v>-4.0862949517017499</v>
      </c>
      <c r="V2803">
        <v>1.6969899601414699E-2</v>
      </c>
      <c r="W2803">
        <v>6.5976641326344301E-2</v>
      </c>
      <c r="X2803">
        <v>0</v>
      </c>
      <c r="Y2803">
        <v>0</v>
      </c>
    </row>
    <row r="2804" spans="1:25" x14ac:dyDescent="0.2">
      <c r="A2804" t="s">
        <v>10423</v>
      </c>
      <c r="B2804" t="s">
        <v>10424</v>
      </c>
      <c r="C2804" t="s">
        <v>10425</v>
      </c>
      <c r="D2804" t="s">
        <v>10426</v>
      </c>
      <c r="E2804" t="s">
        <v>10424</v>
      </c>
      <c r="F2804" t="s">
        <v>28</v>
      </c>
      <c r="G2804" t="s">
        <v>10424</v>
      </c>
      <c r="H2804" t="str">
        <f>"rpc-2"</f>
        <v>rpc-2</v>
      </c>
      <c r="I2804" t="s">
        <v>10426</v>
      </c>
      <c r="J2804">
        <v>12.925480752783001</v>
      </c>
      <c r="K2804">
        <v>12.987986134616399</v>
      </c>
      <c r="L2804">
        <v>12.9874559020307</v>
      </c>
      <c r="M2804">
        <v>14.4894843457615</v>
      </c>
      <c r="N2804">
        <v>13.041837951585199</v>
      </c>
      <c r="O2804">
        <v>13.074640195642001</v>
      </c>
      <c r="P2804">
        <v>0.56834656785289694</v>
      </c>
      <c r="Q2804">
        <v>-5.1262573526340199E-2</v>
      </c>
      <c r="R2804">
        <v>1.18795570923213</v>
      </c>
      <c r="S2804">
        <v>13.452931616324401</v>
      </c>
      <c r="T2804">
        <v>1.92791524874526</v>
      </c>
      <c r="U2804">
        <v>-5.3850541302716097</v>
      </c>
      <c r="V2804">
        <v>6.9888664813464604E-2</v>
      </c>
      <c r="W2804">
        <v>0.17049825762026499</v>
      </c>
      <c r="X2804">
        <v>0</v>
      </c>
      <c r="Y2804">
        <v>0</v>
      </c>
    </row>
    <row r="2805" spans="1:25" x14ac:dyDescent="0.2">
      <c r="A2805" t="s">
        <v>10427</v>
      </c>
      <c r="B2805" t="s">
        <v>10428</v>
      </c>
      <c r="C2805" t="s">
        <v>10429</v>
      </c>
      <c r="D2805" t="s">
        <v>10430</v>
      </c>
      <c r="E2805" t="s">
        <v>10428</v>
      </c>
      <c r="F2805" t="s">
        <v>28</v>
      </c>
      <c r="G2805" t="s">
        <v>10428</v>
      </c>
      <c r="H2805" t="str">
        <f>"rpoa-2"</f>
        <v>rpoa-2</v>
      </c>
      <c r="I2805" t="s">
        <v>10430</v>
      </c>
      <c r="J2805">
        <v>14.2498394830245</v>
      </c>
      <c r="K2805">
        <v>14.0201210754371</v>
      </c>
      <c r="L2805">
        <v>13.7524534907686</v>
      </c>
      <c r="M2805">
        <v>13.646748017250401</v>
      </c>
      <c r="N2805">
        <v>13.1996737450763</v>
      </c>
      <c r="O2805">
        <v>14.306452321100901</v>
      </c>
      <c r="P2805">
        <v>-0.28984665526755798</v>
      </c>
      <c r="Q2805">
        <v>-0.778055081241396</v>
      </c>
      <c r="R2805">
        <v>0.19836177070628</v>
      </c>
      <c r="S2805">
        <v>14.0143457537195</v>
      </c>
      <c r="T2805">
        <v>-1.24783032479255</v>
      </c>
      <c r="U2805">
        <v>-6.3729715014502402</v>
      </c>
      <c r="V2805">
        <v>0.22817528253406999</v>
      </c>
      <c r="W2805">
        <v>0.39300558598942398</v>
      </c>
      <c r="X2805">
        <v>0</v>
      </c>
      <c r="Y2805">
        <v>0</v>
      </c>
    </row>
    <row r="2806" spans="1:25" x14ac:dyDescent="0.2">
      <c r="A2806" t="s">
        <v>10431</v>
      </c>
      <c r="B2806" t="s">
        <v>10432</v>
      </c>
      <c r="C2806" t="s">
        <v>10433</v>
      </c>
      <c r="D2806" t="s">
        <v>10434</v>
      </c>
      <c r="E2806" t="s">
        <v>10432</v>
      </c>
      <c r="F2806" t="s">
        <v>28</v>
      </c>
      <c r="G2806" t="s">
        <v>10432</v>
      </c>
      <c r="H2806" t="str">
        <f>"gsp-1"</f>
        <v>gsp-1</v>
      </c>
      <c r="I2806" t="s">
        <v>10434</v>
      </c>
      <c r="J2806">
        <v>12.7611260390839</v>
      </c>
      <c r="K2806">
        <v>13.0697420517422</v>
      </c>
      <c r="L2806">
        <v>12.957939651490101</v>
      </c>
      <c r="M2806">
        <v>14.364509692168401</v>
      </c>
      <c r="N2806">
        <v>13.858996770325</v>
      </c>
      <c r="O2806">
        <v>13.680922681394801</v>
      </c>
      <c r="P2806">
        <v>1.0385404671906699</v>
      </c>
      <c r="Q2806">
        <v>0.59553787444511297</v>
      </c>
      <c r="R2806">
        <v>1.48154305993623</v>
      </c>
      <c r="S2806">
        <v>13.506392837729701</v>
      </c>
      <c r="T2806">
        <v>4.9273075289073498</v>
      </c>
      <c r="U2806">
        <v>0.86663014306782304</v>
      </c>
      <c r="V2806">
        <v>1.10477552919452E-4</v>
      </c>
      <c r="W2806">
        <v>1.87912956129119E-3</v>
      </c>
      <c r="X2806">
        <v>1</v>
      </c>
      <c r="Y2806">
        <v>1</v>
      </c>
    </row>
    <row r="2807" spans="1:25" x14ac:dyDescent="0.2">
      <c r="A2807" t="s">
        <v>10435</v>
      </c>
      <c r="B2807" t="s">
        <v>10436</v>
      </c>
      <c r="C2807" t="s">
        <v>10437</v>
      </c>
      <c r="D2807" t="s">
        <v>10438</v>
      </c>
      <c r="E2807" t="s">
        <v>10436</v>
      </c>
      <c r="F2807" t="s">
        <v>28</v>
      </c>
      <c r="G2807" t="s">
        <v>10436</v>
      </c>
      <c r="H2807" t="str">
        <f>"htz-1"</f>
        <v>htz-1</v>
      </c>
      <c r="I2807" t="s">
        <v>10438</v>
      </c>
      <c r="J2807">
        <v>11.9298277020645</v>
      </c>
      <c r="K2807">
        <v>12.3269838723016</v>
      </c>
      <c r="L2807">
        <v>12.753724778540301</v>
      </c>
      <c r="M2807" t="s">
        <v>29</v>
      </c>
      <c r="N2807">
        <v>14.922290583797601</v>
      </c>
      <c r="O2807">
        <v>13.2089628349664</v>
      </c>
      <c r="P2807">
        <v>1.7287812584132001</v>
      </c>
      <c r="Q2807">
        <v>6.2251019121441799E-2</v>
      </c>
      <c r="R2807">
        <v>3.3953114977049501</v>
      </c>
      <c r="S2807">
        <v>12.8841627910307</v>
      </c>
      <c r="T2807">
        <v>2.18966088554768</v>
      </c>
      <c r="U2807">
        <v>-4.8291222361727497</v>
      </c>
      <c r="V2807">
        <v>4.2877474489029198E-2</v>
      </c>
      <c r="W2807">
        <v>0.12244178034803201</v>
      </c>
      <c r="X2807">
        <v>1</v>
      </c>
      <c r="Y2807">
        <v>0</v>
      </c>
    </row>
    <row r="2808" spans="1:25" x14ac:dyDescent="0.2">
      <c r="A2808" t="s">
        <v>10439</v>
      </c>
      <c r="B2808" t="s">
        <v>10440</v>
      </c>
      <c r="C2808" t="s">
        <v>10441</v>
      </c>
      <c r="D2808" t="s">
        <v>10442</v>
      </c>
      <c r="E2808" t="s">
        <v>10440</v>
      </c>
      <c r="F2808" t="s">
        <v>28</v>
      </c>
      <c r="G2808" t="s">
        <v>10440</v>
      </c>
      <c r="H2808" t="str">
        <f>"cyp-13A2"</f>
        <v>cyp-13A2</v>
      </c>
      <c r="I2808" t="s">
        <v>10442</v>
      </c>
      <c r="J2808">
        <v>13.1702708913971</v>
      </c>
      <c r="K2808">
        <v>13.4936542387813</v>
      </c>
      <c r="L2808">
        <v>13.3027117974523</v>
      </c>
      <c r="M2808" t="s">
        <v>29</v>
      </c>
      <c r="N2808" t="s">
        <v>29</v>
      </c>
      <c r="O2808">
        <v>13.289164421737</v>
      </c>
      <c r="P2808">
        <v>-3.3047887473202302E-2</v>
      </c>
      <c r="Q2808">
        <v>-0.85515873095658501</v>
      </c>
      <c r="R2808">
        <v>0.78906295601018095</v>
      </c>
      <c r="S2808">
        <v>12.6529062803831</v>
      </c>
      <c r="T2808">
        <v>-8.5263441180271904E-2</v>
      </c>
      <c r="U2808">
        <v>-6.8088836717987604</v>
      </c>
      <c r="V2808">
        <v>0.93311668300664996</v>
      </c>
      <c r="W2808">
        <v>0.96183800798202101</v>
      </c>
      <c r="X2808">
        <v>0</v>
      </c>
      <c r="Y2808">
        <v>0</v>
      </c>
    </row>
    <row r="2809" spans="1:25" x14ac:dyDescent="0.2">
      <c r="A2809" t="s">
        <v>10443</v>
      </c>
      <c r="B2809" t="s">
        <v>10444</v>
      </c>
      <c r="C2809" t="s">
        <v>10445</v>
      </c>
      <c r="D2809" t="s">
        <v>10446</v>
      </c>
      <c r="E2809" t="s">
        <v>10444</v>
      </c>
      <c r="F2809" t="s">
        <v>28</v>
      </c>
      <c r="G2809" t="s">
        <v>10444</v>
      </c>
      <c r="H2809" t="str">
        <f>"enol-1"</f>
        <v>enol-1</v>
      </c>
      <c r="I2809" t="s">
        <v>10446</v>
      </c>
      <c r="J2809">
        <v>11.807169937222399</v>
      </c>
      <c r="K2809">
        <v>11.9018386680407</v>
      </c>
      <c r="L2809">
        <v>12.3720372897989</v>
      </c>
      <c r="M2809">
        <v>14.401886719119201</v>
      </c>
      <c r="N2809">
        <v>13.577705691226599</v>
      </c>
      <c r="O2809">
        <v>14.0747125110538</v>
      </c>
      <c r="P2809">
        <v>1.9910863421125</v>
      </c>
      <c r="Q2809">
        <v>1.0994634275817099</v>
      </c>
      <c r="R2809">
        <v>2.8827092566433001</v>
      </c>
      <c r="S2809">
        <v>12.725195637551099</v>
      </c>
      <c r="T2809">
        <v>4.6935493138442999</v>
      </c>
      <c r="U2809">
        <v>0.35592181707918402</v>
      </c>
      <c r="V2809">
        <v>1.8366258094091101E-4</v>
      </c>
      <c r="W2809">
        <v>2.6928041096162402E-3</v>
      </c>
      <c r="X2809">
        <v>1</v>
      </c>
      <c r="Y2809">
        <v>1</v>
      </c>
    </row>
    <row r="2810" spans="1:25" x14ac:dyDescent="0.2">
      <c r="A2810" t="s">
        <v>10447</v>
      </c>
      <c r="B2810" t="s">
        <v>10448</v>
      </c>
      <c r="C2810" t="s">
        <v>10449</v>
      </c>
      <c r="D2810" t="s">
        <v>10450</v>
      </c>
      <c r="E2810" t="s">
        <v>10448</v>
      </c>
      <c r="F2810" t="s">
        <v>28</v>
      </c>
      <c r="G2810" t="s">
        <v>10448</v>
      </c>
      <c r="H2810" t="str">
        <f>"his-74"</f>
        <v>his-74</v>
      </c>
      <c r="I2810" t="s">
        <v>10450</v>
      </c>
      <c r="J2810">
        <v>14.8617733469857</v>
      </c>
      <c r="K2810">
        <v>14.822941962224199</v>
      </c>
      <c r="L2810">
        <v>15.388734538742201</v>
      </c>
      <c r="M2810">
        <v>15.15726619296</v>
      </c>
      <c r="N2810">
        <v>15.017566940849299</v>
      </c>
      <c r="O2810">
        <v>15.205127466323599</v>
      </c>
      <c r="P2810">
        <v>0.102170250726953</v>
      </c>
      <c r="Q2810">
        <v>-0.27700654303299699</v>
      </c>
      <c r="R2810">
        <v>0.48134704448690302</v>
      </c>
      <c r="S2810">
        <v>15.03380333706</v>
      </c>
      <c r="T2810">
        <v>0.56633737349616697</v>
      </c>
      <c r="U2810">
        <v>-6.9894805131261197</v>
      </c>
      <c r="V2810">
        <v>0.57819864966157897</v>
      </c>
      <c r="W2810">
        <v>0.71771998107870505</v>
      </c>
      <c r="X2810">
        <v>0</v>
      </c>
      <c r="Y2810">
        <v>0</v>
      </c>
    </row>
    <row r="2811" spans="1:25" x14ac:dyDescent="0.2">
      <c r="A2811" t="s">
        <v>10451</v>
      </c>
      <c r="B2811" t="s">
        <v>10452</v>
      </c>
      <c r="C2811" t="s">
        <v>10453</v>
      </c>
      <c r="D2811" t="s">
        <v>10454</v>
      </c>
      <c r="E2811" t="s">
        <v>10452</v>
      </c>
      <c r="F2811" t="s">
        <v>28</v>
      </c>
      <c r="G2811" t="s">
        <v>10452</v>
      </c>
      <c r="H2811" t="str">
        <f>"ZC434.8"</f>
        <v>ZC434.8</v>
      </c>
      <c r="I2811" t="s">
        <v>10454</v>
      </c>
      <c r="J2811">
        <v>15.9724136830581</v>
      </c>
      <c r="K2811">
        <v>15.484669051260999</v>
      </c>
      <c r="L2811">
        <v>15.7468517117789</v>
      </c>
      <c r="M2811">
        <v>15.762321760408501</v>
      </c>
      <c r="N2811">
        <v>15.9814139533019</v>
      </c>
      <c r="O2811">
        <v>15.7713026747921</v>
      </c>
      <c r="P2811">
        <v>0.103701314134826</v>
      </c>
      <c r="Q2811">
        <v>-0.31694640062736001</v>
      </c>
      <c r="R2811">
        <v>0.52434902889701096</v>
      </c>
      <c r="S2811">
        <v>15.754055381505401</v>
      </c>
      <c r="T2811">
        <v>0.51815326514217097</v>
      </c>
      <c r="U2811">
        <v>-7.0164568999872099</v>
      </c>
      <c r="V2811">
        <v>0.61069862626763205</v>
      </c>
      <c r="W2811">
        <v>0.741239230482171</v>
      </c>
      <c r="X2811">
        <v>0</v>
      </c>
      <c r="Y2811">
        <v>0</v>
      </c>
    </row>
    <row r="2812" spans="1:25" x14ac:dyDescent="0.2">
      <c r="A2812" t="s">
        <v>10455</v>
      </c>
      <c r="B2812" t="s">
        <v>10456</v>
      </c>
      <c r="C2812" t="s">
        <v>10457</v>
      </c>
      <c r="D2812" t="s">
        <v>10458</v>
      </c>
      <c r="E2812" t="s">
        <v>10456</v>
      </c>
      <c r="F2812" t="s">
        <v>28</v>
      </c>
      <c r="G2812" t="s">
        <v>10456</v>
      </c>
      <c r="H2812" t="str">
        <f>"clpp-1"</f>
        <v>clpp-1</v>
      </c>
      <c r="I2812" t="s">
        <v>10458</v>
      </c>
      <c r="J2812">
        <v>11.4356939008405</v>
      </c>
      <c r="K2812" t="s">
        <v>29</v>
      </c>
      <c r="L2812">
        <v>12.460565770797301</v>
      </c>
      <c r="M2812" t="s">
        <v>29</v>
      </c>
      <c r="N2812" t="s">
        <v>29</v>
      </c>
      <c r="O2812" t="s">
        <v>29</v>
      </c>
      <c r="P2812" t="s">
        <v>29</v>
      </c>
      <c r="Q2812" t="s">
        <v>29</v>
      </c>
      <c r="R2812" t="s">
        <v>29</v>
      </c>
      <c r="S2812">
        <v>12.474634726239</v>
      </c>
      <c r="T2812" t="s">
        <v>29</v>
      </c>
      <c r="U2812" t="s">
        <v>29</v>
      </c>
      <c r="V2812" t="s">
        <v>29</v>
      </c>
      <c r="W2812" t="s">
        <v>29</v>
      </c>
      <c r="X2812" t="s">
        <v>29</v>
      </c>
      <c r="Y2812" t="s">
        <v>29</v>
      </c>
    </row>
    <row r="2813" spans="1:25" x14ac:dyDescent="0.2">
      <c r="A2813" t="s">
        <v>10459</v>
      </c>
      <c r="B2813" t="s">
        <v>10460</v>
      </c>
      <c r="C2813" t="s">
        <v>10461</v>
      </c>
      <c r="D2813" t="s">
        <v>10462</v>
      </c>
      <c r="E2813" t="s">
        <v>10460</v>
      </c>
      <c r="F2813" t="s">
        <v>28</v>
      </c>
      <c r="G2813" t="s">
        <v>10460</v>
      </c>
      <c r="H2813" t="str">
        <f>"ldh-1"</f>
        <v>ldh-1</v>
      </c>
      <c r="I2813" t="s">
        <v>10462</v>
      </c>
      <c r="J2813">
        <v>16.907036573694999</v>
      </c>
      <c r="K2813">
        <v>16.5942770097001</v>
      </c>
      <c r="L2813">
        <v>16.513507063796599</v>
      </c>
      <c r="M2813">
        <v>16.3327483158447</v>
      </c>
      <c r="N2813">
        <v>14.749149897469501</v>
      </c>
      <c r="O2813">
        <v>15.0023643250916</v>
      </c>
      <c r="P2813">
        <v>-1.3101860362619899</v>
      </c>
      <c r="Q2813">
        <v>-2.07752091816482</v>
      </c>
      <c r="R2813">
        <v>-0.54285115435915998</v>
      </c>
      <c r="S2813">
        <v>15.989967181181299</v>
      </c>
      <c r="T2813">
        <v>-3.5887279623965398</v>
      </c>
      <c r="U2813">
        <v>-2.07480767791444</v>
      </c>
      <c r="V2813">
        <v>2.1152516146095098E-3</v>
      </c>
      <c r="W2813">
        <v>1.51670231344385E-2</v>
      </c>
      <c r="X2813">
        <v>-1</v>
      </c>
      <c r="Y2813">
        <v>-1</v>
      </c>
    </row>
    <row r="2814" spans="1:25" x14ac:dyDescent="0.2">
      <c r="A2814" t="s">
        <v>10463</v>
      </c>
      <c r="B2814" t="s">
        <v>10464</v>
      </c>
      <c r="C2814" t="s">
        <v>10465</v>
      </c>
      <c r="D2814" t="s">
        <v>10466</v>
      </c>
      <c r="E2814" t="s">
        <v>10464</v>
      </c>
      <c r="F2814" t="s">
        <v>28</v>
      </c>
      <c r="G2814" t="s">
        <v>10464</v>
      </c>
      <c r="H2814" t="str">
        <f>"phf-10"</f>
        <v>phf-10</v>
      </c>
      <c r="I2814" t="s">
        <v>10466</v>
      </c>
      <c r="J2814" t="s">
        <v>29</v>
      </c>
      <c r="K2814" t="s">
        <v>29</v>
      </c>
      <c r="L2814" t="s">
        <v>29</v>
      </c>
      <c r="M2814" t="s">
        <v>29</v>
      </c>
      <c r="N2814" t="s">
        <v>29</v>
      </c>
      <c r="O2814" t="s">
        <v>29</v>
      </c>
      <c r="P2814" t="s">
        <v>29</v>
      </c>
      <c r="Q2814" t="s">
        <v>29</v>
      </c>
      <c r="R2814" t="s">
        <v>29</v>
      </c>
      <c r="S2814">
        <v>10.670057582953101</v>
      </c>
      <c r="T2814" t="s">
        <v>29</v>
      </c>
      <c r="U2814" t="s">
        <v>29</v>
      </c>
      <c r="V2814" t="s">
        <v>29</v>
      </c>
      <c r="W2814" t="s">
        <v>29</v>
      </c>
      <c r="X2814" t="s">
        <v>29</v>
      </c>
      <c r="Y2814" t="s">
        <v>29</v>
      </c>
    </row>
    <row r="2815" spans="1:25" x14ac:dyDescent="0.2">
      <c r="A2815" t="s">
        <v>10467</v>
      </c>
      <c r="B2815" t="s">
        <v>10468</v>
      </c>
      <c r="C2815" t="s">
        <v>14564</v>
      </c>
      <c r="D2815" t="s">
        <v>10469</v>
      </c>
      <c r="E2815" t="s">
        <v>10468</v>
      </c>
      <c r="F2815" t="s">
        <v>28</v>
      </c>
      <c r="G2815" t="s">
        <v>10468</v>
      </c>
      <c r="H2815" t="str">
        <f>"Y71H2AM.3"</f>
        <v>Y71H2AM.3</v>
      </c>
      <c r="I2815" t="s">
        <v>10469</v>
      </c>
      <c r="J2815">
        <v>13.257684345715401</v>
      </c>
      <c r="K2815">
        <v>13.2390344272312</v>
      </c>
      <c r="L2815">
        <v>13.307144596064299</v>
      </c>
      <c r="M2815" t="s">
        <v>29</v>
      </c>
      <c r="N2815" t="s">
        <v>29</v>
      </c>
      <c r="O2815">
        <v>12.073573579845499</v>
      </c>
      <c r="P2815">
        <v>-1.1943808764914901</v>
      </c>
      <c r="Q2815">
        <v>-1.69664600243397</v>
      </c>
      <c r="R2815">
        <v>-0.69211575054901397</v>
      </c>
      <c r="S2815">
        <v>13.2237288446562</v>
      </c>
      <c r="T2815">
        <v>-5.0438172939272201</v>
      </c>
      <c r="U2815">
        <v>1.10188933506591</v>
      </c>
      <c r="V2815">
        <v>1.2219867232772099E-4</v>
      </c>
      <c r="W2815">
        <v>2.01184071145136E-3</v>
      </c>
      <c r="X2815">
        <v>-1</v>
      </c>
      <c r="Y2815">
        <v>-1</v>
      </c>
    </row>
    <row r="2816" spans="1:25" x14ac:dyDescent="0.2">
      <c r="A2816" t="s">
        <v>10470</v>
      </c>
      <c r="B2816" t="s">
        <v>10471</v>
      </c>
      <c r="C2816" t="s">
        <v>10472</v>
      </c>
      <c r="D2816" t="s">
        <v>10473</v>
      </c>
      <c r="E2816" t="s">
        <v>10471</v>
      </c>
      <c r="F2816" t="s">
        <v>28</v>
      </c>
      <c r="G2816" t="s">
        <v>10471</v>
      </c>
      <c r="H2816" t="str">
        <f>"C27D8.3"</f>
        <v>C27D8.3</v>
      </c>
      <c r="I2816" t="s">
        <v>10473</v>
      </c>
      <c r="J2816" t="s">
        <v>29</v>
      </c>
      <c r="K2816" t="s">
        <v>29</v>
      </c>
      <c r="L2816" t="s">
        <v>29</v>
      </c>
      <c r="M2816" t="s">
        <v>29</v>
      </c>
      <c r="N2816" t="s">
        <v>29</v>
      </c>
      <c r="O2816" t="s">
        <v>29</v>
      </c>
      <c r="P2816" t="s">
        <v>29</v>
      </c>
      <c r="Q2816" t="s">
        <v>29</v>
      </c>
      <c r="R2816" t="s">
        <v>29</v>
      </c>
      <c r="S2816">
        <v>11.815652343313801</v>
      </c>
      <c r="T2816" t="s">
        <v>29</v>
      </c>
      <c r="U2816" t="s">
        <v>29</v>
      </c>
      <c r="V2816" t="s">
        <v>29</v>
      </c>
      <c r="W2816" t="s">
        <v>29</v>
      </c>
      <c r="X2816" t="s">
        <v>29</v>
      </c>
      <c r="Y2816" t="s">
        <v>29</v>
      </c>
    </row>
    <row r="2817" spans="1:25" x14ac:dyDescent="0.2">
      <c r="A2817" t="s">
        <v>10474</v>
      </c>
      <c r="B2817" t="s">
        <v>10475</v>
      </c>
      <c r="C2817" t="s">
        <v>14565</v>
      </c>
      <c r="D2817" t="s">
        <v>10476</v>
      </c>
      <c r="E2817" t="s">
        <v>10475</v>
      </c>
      <c r="F2817" t="s">
        <v>28</v>
      </c>
      <c r="G2817" t="s">
        <v>10475</v>
      </c>
      <c r="H2817" t="str">
        <f>"Y51H4A.15"</f>
        <v>Y51H4A.15</v>
      </c>
      <c r="I2817" t="s">
        <v>10476</v>
      </c>
      <c r="J2817" t="s">
        <v>29</v>
      </c>
      <c r="K2817" t="s">
        <v>29</v>
      </c>
      <c r="L2817" t="s">
        <v>29</v>
      </c>
      <c r="M2817" t="s">
        <v>29</v>
      </c>
      <c r="N2817">
        <v>12.014661993118599</v>
      </c>
      <c r="O2817" t="s">
        <v>29</v>
      </c>
      <c r="P2817" t="s">
        <v>29</v>
      </c>
      <c r="Q2817" t="s">
        <v>29</v>
      </c>
      <c r="R2817" t="s">
        <v>29</v>
      </c>
      <c r="S2817">
        <v>12.8550416261703</v>
      </c>
      <c r="T2817" t="s">
        <v>29</v>
      </c>
      <c r="U2817" t="s">
        <v>29</v>
      </c>
      <c r="V2817" t="s">
        <v>29</v>
      </c>
      <c r="W2817" t="s">
        <v>29</v>
      </c>
      <c r="X2817" t="s">
        <v>29</v>
      </c>
      <c r="Y2817" t="s">
        <v>29</v>
      </c>
    </row>
    <row r="2818" spans="1:25" x14ac:dyDescent="0.2">
      <c r="A2818" t="s">
        <v>10477</v>
      </c>
      <c r="B2818" t="s">
        <v>10478</v>
      </c>
      <c r="C2818" t="s">
        <v>10479</v>
      </c>
      <c r="D2818" t="s">
        <v>10480</v>
      </c>
      <c r="E2818" t="s">
        <v>10478</v>
      </c>
      <c r="F2818" t="s">
        <v>28</v>
      </c>
      <c r="G2818" t="s">
        <v>10478</v>
      </c>
      <c r="H2818" t="str">
        <f>"mrpl-47"</f>
        <v>mrpl-47</v>
      </c>
      <c r="I2818" t="s">
        <v>10480</v>
      </c>
      <c r="J2818">
        <v>13.234735896930101</v>
      </c>
      <c r="K2818" t="s">
        <v>29</v>
      </c>
      <c r="L2818" t="s">
        <v>29</v>
      </c>
      <c r="M2818" t="s">
        <v>29</v>
      </c>
      <c r="N2818" t="s">
        <v>29</v>
      </c>
      <c r="O2818" t="s">
        <v>29</v>
      </c>
      <c r="P2818" t="s">
        <v>29</v>
      </c>
      <c r="Q2818" t="s">
        <v>29</v>
      </c>
      <c r="R2818" t="s">
        <v>29</v>
      </c>
      <c r="S2818">
        <v>13.531420152023101</v>
      </c>
      <c r="T2818" t="s">
        <v>29</v>
      </c>
      <c r="U2818" t="s">
        <v>29</v>
      </c>
      <c r="V2818" t="s">
        <v>29</v>
      </c>
      <c r="W2818" t="s">
        <v>29</v>
      </c>
      <c r="X2818" t="s">
        <v>29</v>
      </c>
      <c r="Y2818" t="s">
        <v>29</v>
      </c>
    </row>
    <row r="2819" spans="1:25" x14ac:dyDescent="0.2">
      <c r="A2819" t="s">
        <v>10481</v>
      </c>
      <c r="B2819" t="s">
        <v>10482</v>
      </c>
      <c r="C2819" t="s">
        <v>14566</v>
      </c>
      <c r="D2819" t="s">
        <v>10483</v>
      </c>
      <c r="E2819" t="s">
        <v>10482</v>
      </c>
      <c r="F2819" t="s">
        <v>28</v>
      </c>
      <c r="G2819" t="s">
        <v>10482</v>
      </c>
      <c r="H2819" t="str">
        <f>"K11G12.6"</f>
        <v>K11G12.6</v>
      </c>
      <c r="I2819" t="s">
        <v>10483</v>
      </c>
      <c r="J2819">
        <v>12.1264306847202</v>
      </c>
      <c r="K2819">
        <v>12.7594286399988</v>
      </c>
      <c r="L2819">
        <v>12.196669912243401</v>
      </c>
      <c r="M2819" t="s">
        <v>29</v>
      </c>
      <c r="N2819">
        <v>12.2411365146198</v>
      </c>
      <c r="O2819">
        <v>12.272595432460299</v>
      </c>
      <c r="P2819">
        <v>-0.10397710544741701</v>
      </c>
      <c r="Q2819">
        <v>-0.69604181227178097</v>
      </c>
      <c r="R2819">
        <v>0.48808760137694801</v>
      </c>
      <c r="S2819">
        <v>12.8478748879918</v>
      </c>
      <c r="T2819">
        <v>-0.370696566046394</v>
      </c>
      <c r="U2819">
        <v>-6.9735361606404904</v>
      </c>
      <c r="V2819">
        <v>0.71547040405123496</v>
      </c>
      <c r="W2819">
        <v>0.81629550164111098</v>
      </c>
      <c r="X2819">
        <v>0</v>
      </c>
      <c r="Y2819">
        <v>0</v>
      </c>
    </row>
    <row r="2820" spans="1:25" x14ac:dyDescent="0.2">
      <c r="A2820" t="s">
        <v>10484</v>
      </c>
      <c r="B2820" t="s">
        <v>10485</v>
      </c>
      <c r="C2820" t="s">
        <v>10486</v>
      </c>
      <c r="D2820" t="s">
        <v>10487</v>
      </c>
      <c r="E2820" t="s">
        <v>10485</v>
      </c>
      <c r="F2820" t="s">
        <v>28</v>
      </c>
      <c r="G2820" t="s">
        <v>10485</v>
      </c>
      <c r="H2820" t="str">
        <f>"hsp-75"</f>
        <v>hsp-75</v>
      </c>
      <c r="I2820" t="s">
        <v>10487</v>
      </c>
      <c r="J2820">
        <v>15.209058630963799</v>
      </c>
      <c r="K2820">
        <v>15.055899300571401</v>
      </c>
      <c r="L2820">
        <v>15.205820862949301</v>
      </c>
      <c r="M2820">
        <v>14.929840758409799</v>
      </c>
      <c r="N2820">
        <v>15.2942601246528</v>
      </c>
      <c r="O2820">
        <v>15.447874563803</v>
      </c>
      <c r="P2820">
        <v>6.7065550793676806E-2</v>
      </c>
      <c r="Q2820">
        <v>-0.293060876970478</v>
      </c>
      <c r="R2820">
        <v>0.42719197855783198</v>
      </c>
      <c r="S2820">
        <v>15.135330478738</v>
      </c>
      <c r="T2820">
        <v>0.39141459520004901</v>
      </c>
      <c r="U2820">
        <v>-7.0762452139244001</v>
      </c>
      <c r="V2820">
        <v>0.70011234797086397</v>
      </c>
      <c r="W2820">
        <v>0.80626459143029905</v>
      </c>
      <c r="X2820">
        <v>0</v>
      </c>
      <c r="Y2820">
        <v>0</v>
      </c>
    </row>
    <row r="2821" spans="1:25" x14ac:dyDescent="0.2">
      <c r="A2821" t="s">
        <v>10488</v>
      </c>
      <c r="B2821" t="s">
        <v>10489</v>
      </c>
      <c r="C2821" t="s">
        <v>10490</v>
      </c>
      <c r="D2821" t="s">
        <v>10491</v>
      </c>
      <c r="E2821" t="s">
        <v>10489</v>
      </c>
      <c r="F2821" t="s">
        <v>28</v>
      </c>
      <c r="G2821" t="s">
        <v>10489</v>
      </c>
      <c r="H2821" t="str">
        <f>"sgk-1"</f>
        <v>sgk-1</v>
      </c>
      <c r="I2821" t="s">
        <v>10491</v>
      </c>
      <c r="J2821">
        <v>14.343324691573899</v>
      </c>
      <c r="K2821">
        <v>14.305497912659</v>
      </c>
      <c r="L2821">
        <v>14.052592893374801</v>
      </c>
      <c r="M2821">
        <v>14.224874593499701</v>
      </c>
      <c r="N2821">
        <v>14.353701665493899</v>
      </c>
      <c r="O2821">
        <v>14.4020099668362</v>
      </c>
      <c r="P2821">
        <v>9.3056909407378499E-2</v>
      </c>
      <c r="Q2821">
        <v>-0.278858488416101</v>
      </c>
      <c r="R2821">
        <v>0.46497230723085797</v>
      </c>
      <c r="S2821">
        <v>13.872602915875699</v>
      </c>
      <c r="T2821">
        <v>0.52589250187058001</v>
      </c>
      <c r="U2821">
        <v>-7.0122804970062598</v>
      </c>
      <c r="V2821">
        <v>0.60541948591295602</v>
      </c>
      <c r="W2821">
        <v>0.73695630937029399</v>
      </c>
      <c r="X2821">
        <v>0</v>
      </c>
      <c r="Y2821">
        <v>0</v>
      </c>
    </row>
    <row r="2822" spans="1:25" x14ac:dyDescent="0.2">
      <c r="A2822" t="s">
        <v>10492</v>
      </c>
      <c r="B2822" t="s">
        <v>10493</v>
      </c>
      <c r="C2822" t="s">
        <v>10494</v>
      </c>
      <c r="D2822" t="s">
        <v>10495</v>
      </c>
      <c r="E2822" t="s">
        <v>10493</v>
      </c>
      <c r="F2822" t="s">
        <v>28</v>
      </c>
      <c r="G2822" t="s">
        <v>10493</v>
      </c>
      <c r="H2822" t="str">
        <f>"yif-1"</f>
        <v>yif-1</v>
      </c>
      <c r="I2822" t="s">
        <v>10495</v>
      </c>
      <c r="J2822">
        <v>14.5515601163351</v>
      </c>
      <c r="K2822">
        <v>14.385544395838499</v>
      </c>
      <c r="L2822">
        <v>14.906971370015601</v>
      </c>
      <c r="M2822">
        <v>15.938583159138901</v>
      </c>
      <c r="N2822">
        <v>15.4129789592475</v>
      </c>
      <c r="O2822">
        <v>15.1927381122316</v>
      </c>
      <c r="P2822">
        <v>0.90007478280959496</v>
      </c>
      <c r="Q2822">
        <v>0.20211718396839401</v>
      </c>
      <c r="R2822">
        <v>1.5980323816508</v>
      </c>
      <c r="S2822">
        <v>15.080699738248001</v>
      </c>
      <c r="T2822">
        <v>2.7104541652504599</v>
      </c>
      <c r="U2822">
        <v>-3.9297342415743</v>
      </c>
      <c r="V2822">
        <v>1.43810742062748E-2</v>
      </c>
      <c r="W2822">
        <v>5.8780895542152399E-2</v>
      </c>
      <c r="X2822">
        <v>0</v>
      </c>
      <c r="Y2822">
        <v>0</v>
      </c>
    </row>
    <row r="2823" spans="1:25" x14ac:dyDescent="0.2">
      <c r="A2823" t="s">
        <v>10496</v>
      </c>
      <c r="B2823" t="s">
        <v>10497</v>
      </c>
      <c r="C2823" t="s">
        <v>10498</v>
      </c>
      <c r="D2823" t="s">
        <v>10499</v>
      </c>
      <c r="E2823" t="s">
        <v>10497</v>
      </c>
      <c r="F2823" t="s">
        <v>28</v>
      </c>
      <c r="G2823" t="s">
        <v>10497</v>
      </c>
      <c r="H2823" t="str">
        <f>"gdi-1"</f>
        <v>gdi-1</v>
      </c>
      <c r="I2823" t="s">
        <v>10499</v>
      </c>
      <c r="J2823">
        <v>14.8562581186179</v>
      </c>
      <c r="K2823">
        <v>15.171091802630601</v>
      </c>
      <c r="L2823">
        <v>14.8761588307268</v>
      </c>
      <c r="M2823">
        <v>13.993985548563</v>
      </c>
      <c r="N2823">
        <v>13.6856002136924</v>
      </c>
      <c r="O2823">
        <v>14.159979545633099</v>
      </c>
      <c r="P2823">
        <v>-1.0213144813622801</v>
      </c>
      <c r="Q2823">
        <v>-1.7684120405824499</v>
      </c>
      <c r="R2823">
        <v>-0.27421692214211502</v>
      </c>
      <c r="S2823">
        <v>14.536245445662299</v>
      </c>
      <c r="T2823">
        <v>-2.87325840277463</v>
      </c>
      <c r="U2823">
        <v>-3.5983281414039001</v>
      </c>
      <c r="V2823">
        <v>1.01549287266981E-2</v>
      </c>
      <c r="W2823">
        <v>4.6111825820615397E-2</v>
      </c>
      <c r="X2823">
        <v>-1</v>
      </c>
      <c r="Y2823">
        <v>-1</v>
      </c>
    </row>
    <row r="2824" spans="1:25" x14ac:dyDescent="0.2">
      <c r="A2824" t="s">
        <v>10500</v>
      </c>
      <c r="B2824" t="s">
        <v>10501</v>
      </c>
      <c r="C2824" t="s">
        <v>14567</v>
      </c>
      <c r="D2824" t="s">
        <v>2791</v>
      </c>
      <c r="E2824" t="s">
        <v>10501</v>
      </c>
      <c r="F2824" t="s">
        <v>28</v>
      </c>
      <c r="G2824" t="s">
        <v>10501</v>
      </c>
      <c r="H2824" t="str">
        <f>"H20J04.4"</f>
        <v>H20J04.4</v>
      </c>
      <c r="I2824" t="s">
        <v>2791</v>
      </c>
      <c r="J2824">
        <v>13.5249089059695</v>
      </c>
      <c r="K2824">
        <v>13.4641300945376</v>
      </c>
      <c r="L2824">
        <v>13.2937675160589</v>
      </c>
      <c r="M2824" t="s">
        <v>29</v>
      </c>
      <c r="N2824">
        <v>13.628353474972901</v>
      </c>
      <c r="O2824">
        <v>13.6051051682904</v>
      </c>
      <c r="P2824">
        <v>0.189127149442996</v>
      </c>
      <c r="Q2824">
        <v>-0.15012271324164</v>
      </c>
      <c r="R2824">
        <v>0.528377012127631</v>
      </c>
      <c r="S2824">
        <v>13.3347929458197</v>
      </c>
      <c r="T2824">
        <v>1.1767500066972101</v>
      </c>
      <c r="U2824">
        <v>-6.3460852968368</v>
      </c>
      <c r="V2824">
        <v>0.25560896125914201</v>
      </c>
      <c r="W2824">
        <v>0.42342867275474499</v>
      </c>
      <c r="X2824">
        <v>0</v>
      </c>
      <c r="Y2824">
        <v>0</v>
      </c>
    </row>
    <row r="2825" spans="1:25" x14ac:dyDescent="0.2">
      <c r="A2825" t="s">
        <v>10502</v>
      </c>
      <c r="B2825" t="s">
        <v>10503</v>
      </c>
      <c r="C2825" t="s">
        <v>14568</v>
      </c>
      <c r="D2825" t="s">
        <v>323</v>
      </c>
      <c r="E2825" t="s">
        <v>10503</v>
      </c>
      <c r="F2825" t="s">
        <v>28</v>
      </c>
      <c r="G2825" t="s">
        <v>10503</v>
      </c>
      <c r="H2825" t="str">
        <f>"F14B8.5"</f>
        <v>F14B8.5</v>
      </c>
      <c r="I2825" t="s">
        <v>323</v>
      </c>
      <c r="J2825" t="s">
        <v>29</v>
      </c>
      <c r="K2825" t="s">
        <v>29</v>
      </c>
      <c r="L2825">
        <v>10.9876089735679</v>
      </c>
      <c r="M2825" t="s">
        <v>29</v>
      </c>
      <c r="N2825" t="s">
        <v>29</v>
      </c>
      <c r="O2825">
        <v>9.5901233605489509</v>
      </c>
      <c r="P2825">
        <v>-1.3974856130189801</v>
      </c>
      <c r="Q2825">
        <v>-3.1496299442711799</v>
      </c>
      <c r="R2825">
        <v>0.35465871823322598</v>
      </c>
      <c r="S2825">
        <v>10.277601171975199</v>
      </c>
      <c r="T2825">
        <v>-1.73949217787683</v>
      </c>
      <c r="U2825">
        <v>-5.18058298489147</v>
      </c>
      <c r="V2825">
        <v>0.107732432739488</v>
      </c>
      <c r="W2825">
        <v>0.227916352680022</v>
      </c>
      <c r="X2825">
        <v>0</v>
      </c>
      <c r="Y2825">
        <v>0</v>
      </c>
    </row>
    <row r="2826" spans="1:25" x14ac:dyDescent="0.2">
      <c r="A2826" t="s">
        <v>10504</v>
      </c>
      <c r="B2826" t="s">
        <v>10505</v>
      </c>
      <c r="C2826" t="s">
        <v>10506</v>
      </c>
      <c r="D2826" t="s">
        <v>1912</v>
      </c>
      <c r="E2826" t="s">
        <v>10505</v>
      </c>
      <c r="F2826" t="s">
        <v>28</v>
      </c>
      <c r="G2826" t="s">
        <v>10505</v>
      </c>
      <c r="H2826" t="str">
        <f>"mrp-1"</f>
        <v>mrp-1</v>
      </c>
      <c r="I2826" t="s">
        <v>1912</v>
      </c>
      <c r="J2826">
        <v>12.9719682136339</v>
      </c>
      <c r="K2826">
        <v>12.8809814759825</v>
      </c>
      <c r="L2826">
        <v>12.082627197704801</v>
      </c>
      <c r="M2826" t="s">
        <v>29</v>
      </c>
      <c r="N2826" t="s">
        <v>29</v>
      </c>
      <c r="O2826">
        <v>12.336582952026101</v>
      </c>
      <c r="P2826">
        <v>-0.30860934374761201</v>
      </c>
      <c r="Q2826">
        <v>-1.20763061516673</v>
      </c>
      <c r="R2826">
        <v>0.59041192767150696</v>
      </c>
      <c r="S2826">
        <v>12.5368567555978</v>
      </c>
      <c r="T2826">
        <v>-0.72809598016438004</v>
      </c>
      <c r="U2826">
        <v>-6.5388980752496</v>
      </c>
      <c r="V2826">
        <v>0.47714475181808802</v>
      </c>
      <c r="W2826">
        <v>0.63741866890657495</v>
      </c>
      <c r="X2826">
        <v>0</v>
      </c>
      <c r="Y2826">
        <v>0</v>
      </c>
    </row>
    <row r="2827" spans="1:25" x14ac:dyDescent="0.2">
      <c r="A2827" t="s">
        <v>10507</v>
      </c>
      <c r="B2827" t="s">
        <v>10508</v>
      </c>
      <c r="C2827" t="s">
        <v>14569</v>
      </c>
      <c r="D2827" t="s">
        <v>3358</v>
      </c>
      <c r="E2827" t="s">
        <v>10508</v>
      </c>
      <c r="F2827" t="s">
        <v>28</v>
      </c>
      <c r="G2827" t="s">
        <v>10508</v>
      </c>
      <c r="H2827" t="str">
        <f>"Y82E9BR.19"</f>
        <v>Y82E9BR.19</v>
      </c>
      <c r="I2827" t="s">
        <v>3358</v>
      </c>
      <c r="J2827">
        <v>9.6096619629177908</v>
      </c>
      <c r="K2827">
        <v>9.4863515102059495</v>
      </c>
      <c r="L2827">
        <v>10.6912437593609</v>
      </c>
      <c r="M2827" t="s">
        <v>29</v>
      </c>
      <c r="N2827">
        <v>8.8528054775963305</v>
      </c>
      <c r="O2827">
        <v>9.7817049347562293</v>
      </c>
      <c r="P2827">
        <v>-0.611830537985254</v>
      </c>
      <c r="Q2827">
        <v>-1.4862858302095801</v>
      </c>
      <c r="R2827">
        <v>0.262624754239077</v>
      </c>
      <c r="S2827">
        <v>10.845399916144</v>
      </c>
      <c r="T2827">
        <v>-1.4840313288172999</v>
      </c>
      <c r="U2827">
        <v>-5.9580252436239203</v>
      </c>
      <c r="V2827">
        <v>0.15735937866324501</v>
      </c>
      <c r="W2827">
        <v>0.30448988110346897</v>
      </c>
      <c r="X2827">
        <v>0</v>
      </c>
      <c r="Y2827">
        <v>0</v>
      </c>
    </row>
    <row r="2828" spans="1:25" x14ac:dyDescent="0.2">
      <c r="A2828" t="s">
        <v>10509</v>
      </c>
      <c r="B2828" t="s">
        <v>10510</v>
      </c>
      <c r="C2828" t="s">
        <v>10511</v>
      </c>
      <c r="D2828" t="s">
        <v>10512</v>
      </c>
      <c r="E2828" t="s">
        <v>10510</v>
      </c>
      <c r="F2828" t="s">
        <v>28</v>
      </c>
      <c r="G2828" t="s">
        <v>10510</v>
      </c>
      <c r="H2828" t="str">
        <f>"C01B10.11"</f>
        <v>C01B10.11</v>
      </c>
      <c r="I2828" t="s">
        <v>10512</v>
      </c>
      <c r="J2828">
        <v>14.8507676211734</v>
      </c>
      <c r="K2828">
        <v>14.7747399144585</v>
      </c>
      <c r="L2828">
        <v>14.4103274338792</v>
      </c>
      <c r="M2828">
        <v>15.5499014461765</v>
      </c>
      <c r="N2828">
        <v>13.5158670948069</v>
      </c>
      <c r="O2828">
        <v>13.3196354398324</v>
      </c>
      <c r="P2828">
        <v>-0.55014366289845296</v>
      </c>
      <c r="Q2828">
        <v>-1.4444794448946101</v>
      </c>
      <c r="R2828">
        <v>0.34419211909770903</v>
      </c>
      <c r="S2828">
        <v>14.031253859007199</v>
      </c>
      <c r="T2828">
        <v>-1.29290918514644</v>
      </c>
      <c r="U2828">
        <v>-6.31786814639357</v>
      </c>
      <c r="V2828">
        <v>0.21248624999963001</v>
      </c>
      <c r="W2828">
        <v>0.37362588230841898</v>
      </c>
      <c r="X2828">
        <v>0</v>
      </c>
      <c r="Y2828">
        <v>0</v>
      </c>
    </row>
    <row r="2829" spans="1:25" x14ac:dyDescent="0.2">
      <c r="A2829" t="s">
        <v>10513</v>
      </c>
      <c r="B2829" t="s">
        <v>10514</v>
      </c>
      <c r="C2829" s="3">
        <v>45357</v>
      </c>
      <c r="D2829" t="s">
        <v>360</v>
      </c>
      <c r="E2829" t="s">
        <v>10514</v>
      </c>
      <c r="F2829" t="s">
        <v>28</v>
      </c>
      <c r="G2829" t="s">
        <v>10514</v>
      </c>
      <c r="H2829" t="str">
        <f>"marc-6"</f>
        <v>marc-6</v>
      </c>
      <c r="I2829" t="s">
        <v>360</v>
      </c>
      <c r="J2829">
        <v>12.937927782824</v>
      </c>
      <c r="K2829">
        <v>13.268456519794899</v>
      </c>
      <c r="L2829">
        <v>13.248299440956</v>
      </c>
      <c r="M2829" t="s">
        <v>29</v>
      </c>
      <c r="N2829">
        <v>12.2090363558217</v>
      </c>
      <c r="O2829">
        <v>12.805815696758399</v>
      </c>
      <c r="P2829">
        <v>-0.64413522156820802</v>
      </c>
      <c r="Q2829">
        <v>-1.15736592829055</v>
      </c>
      <c r="R2829">
        <v>-0.13090451484586901</v>
      </c>
      <c r="S2829">
        <v>13.2986257944905</v>
      </c>
      <c r="T2829">
        <v>-2.6491980574300702</v>
      </c>
      <c r="U2829">
        <v>-3.9645934928013098</v>
      </c>
      <c r="V2829">
        <v>1.6930867460045601E-2</v>
      </c>
      <c r="W2829">
        <v>6.5941244408449701E-2</v>
      </c>
      <c r="X2829">
        <v>0</v>
      </c>
      <c r="Y2829">
        <v>0</v>
      </c>
    </row>
    <row r="2830" spans="1:25" x14ac:dyDescent="0.2">
      <c r="A2830" t="s">
        <v>10515</v>
      </c>
      <c r="B2830" t="s">
        <v>10516</v>
      </c>
      <c r="C2830" t="s">
        <v>10517</v>
      </c>
      <c r="D2830" t="s">
        <v>10518</v>
      </c>
      <c r="E2830" t="s">
        <v>10516</v>
      </c>
      <c r="F2830" t="s">
        <v>28</v>
      </c>
      <c r="G2830" t="s">
        <v>10516</v>
      </c>
      <c r="H2830" t="str">
        <f>"C23G10.7"</f>
        <v>C23G10.7</v>
      </c>
      <c r="I2830" t="s">
        <v>10518</v>
      </c>
      <c r="J2830" t="s">
        <v>29</v>
      </c>
      <c r="K2830" t="s">
        <v>29</v>
      </c>
      <c r="L2830" t="s">
        <v>29</v>
      </c>
      <c r="M2830" t="s">
        <v>29</v>
      </c>
      <c r="N2830" t="s">
        <v>29</v>
      </c>
      <c r="O2830" t="s">
        <v>29</v>
      </c>
      <c r="P2830" t="s">
        <v>29</v>
      </c>
      <c r="Q2830" t="s">
        <v>29</v>
      </c>
      <c r="R2830" t="s">
        <v>29</v>
      </c>
      <c r="S2830">
        <v>11.4355136664374</v>
      </c>
      <c r="T2830" t="s">
        <v>29</v>
      </c>
      <c r="U2830" t="s">
        <v>29</v>
      </c>
      <c r="V2830" t="s">
        <v>29</v>
      </c>
      <c r="W2830" t="s">
        <v>29</v>
      </c>
      <c r="X2830" t="s">
        <v>29</v>
      </c>
      <c r="Y2830" t="s">
        <v>29</v>
      </c>
    </row>
    <row r="2831" spans="1:25" x14ac:dyDescent="0.2">
      <c r="A2831" t="s">
        <v>10519</v>
      </c>
      <c r="B2831" t="s">
        <v>10520</v>
      </c>
      <c r="C2831" t="s">
        <v>10521</v>
      </c>
      <c r="D2831" t="s">
        <v>10522</v>
      </c>
      <c r="E2831" t="s">
        <v>10520</v>
      </c>
      <c r="F2831" t="s">
        <v>28</v>
      </c>
      <c r="G2831" t="s">
        <v>10520</v>
      </c>
      <c r="H2831" t="str">
        <f>"toc-1"</f>
        <v>toc-1</v>
      </c>
      <c r="I2831" t="s">
        <v>10522</v>
      </c>
      <c r="J2831">
        <v>12.7248213001946</v>
      </c>
      <c r="K2831">
        <v>12.822639694774599</v>
      </c>
      <c r="L2831">
        <v>13.4865295285244</v>
      </c>
      <c r="M2831" t="s">
        <v>29</v>
      </c>
      <c r="N2831" t="s">
        <v>29</v>
      </c>
      <c r="O2831">
        <v>13.212124217832301</v>
      </c>
      <c r="P2831">
        <v>0.200794043334421</v>
      </c>
      <c r="Q2831">
        <v>-0.73238766132479605</v>
      </c>
      <c r="R2831">
        <v>1.1339757479936401</v>
      </c>
      <c r="S2831">
        <v>13.277274691267399</v>
      </c>
      <c r="T2831">
        <v>0.45638791841659199</v>
      </c>
      <c r="U2831">
        <v>-6.7040346274115103</v>
      </c>
      <c r="V2831">
        <v>0.65428528576515799</v>
      </c>
      <c r="W2831">
        <v>0.77065497088326196</v>
      </c>
      <c r="X2831">
        <v>0</v>
      </c>
      <c r="Y2831">
        <v>0</v>
      </c>
    </row>
    <row r="2832" spans="1:25" x14ac:dyDescent="0.2">
      <c r="A2832" t="s">
        <v>10523</v>
      </c>
      <c r="B2832" t="s">
        <v>10524</v>
      </c>
      <c r="C2832" t="s">
        <v>10525</v>
      </c>
      <c r="D2832" t="s">
        <v>10526</v>
      </c>
      <c r="E2832" t="s">
        <v>10524</v>
      </c>
      <c r="F2832" t="s">
        <v>28</v>
      </c>
      <c r="G2832" t="s">
        <v>10524</v>
      </c>
      <c r="H2832" t="str">
        <f>"vav-1"</f>
        <v>vav-1</v>
      </c>
      <c r="I2832" t="s">
        <v>10526</v>
      </c>
      <c r="J2832">
        <v>12.5972207386015</v>
      </c>
      <c r="K2832">
        <v>12.942989385991201</v>
      </c>
      <c r="L2832">
        <v>12.434788406823101</v>
      </c>
      <c r="M2832" t="s">
        <v>29</v>
      </c>
      <c r="N2832" t="s">
        <v>29</v>
      </c>
      <c r="O2832">
        <v>12.3896288879099</v>
      </c>
      <c r="P2832">
        <v>-0.26870395589534901</v>
      </c>
      <c r="Q2832">
        <v>-0.96535878323302904</v>
      </c>
      <c r="R2832">
        <v>0.42795087144233102</v>
      </c>
      <c r="S2832">
        <v>12.3113573876602</v>
      </c>
      <c r="T2832">
        <v>-0.82784361251854999</v>
      </c>
      <c r="U2832">
        <v>-6.4585012212847301</v>
      </c>
      <c r="V2832">
        <v>0.42175036118874898</v>
      </c>
      <c r="W2832">
        <v>0.58782072870406898</v>
      </c>
      <c r="X2832">
        <v>0</v>
      </c>
      <c r="Y2832">
        <v>0</v>
      </c>
    </row>
    <row r="2833" spans="1:25" x14ac:dyDescent="0.2">
      <c r="A2833" t="s">
        <v>10527</v>
      </c>
      <c r="B2833" t="s">
        <v>10528</v>
      </c>
      <c r="C2833" t="s">
        <v>14167</v>
      </c>
      <c r="D2833" t="s">
        <v>214</v>
      </c>
      <c r="E2833" t="s">
        <v>10528</v>
      </c>
      <c r="F2833" t="s">
        <v>28</v>
      </c>
      <c r="G2833" t="s">
        <v>10528</v>
      </c>
      <c r="H2833" t="str">
        <f>"Y54G2A.40"</f>
        <v>Y54G2A.40</v>
      </c>
      <c r="I2833" t="s">
        <v>214</v>
      </c>
      <c r="J2833" t="s">
        <v>29</v>
      </c>
      <c r="K2833" t="s">
        <v>29</v>
      </c>
      <c r="L2833" t="s">
        <v>29</v>
      </c>
      <c r="M2833">
        <v>16.559013879825599</v>
      </c>
      <c r="N2833">
        <v>16.994701746205401</v>
      </c>
      <c r="O2833">
        <v>17.334087011125501</v>
      </c>
      <c r="P2833" t="s">
        <v>29</v>
      </c>
      <c r="Q2833" t="s">
        <v>29</v>
      </c>
      <c r="R2833" t="s">
        <v>29</v>
      </c>
      <c r="S2833">
        <v>16.288998460089299</v>
      </c>
      <c r="T2833" t="s">
        <v>29</v>
      </c>
      <c r="U2833" t="s">
        <v>29</v>
      </c>
      <c r="V2833" t="s">
        <v>29</v>
      </c>
      <c r="W2833" t="s">
        <v>29</v>
      </c>
      <c r="X2833" t="s">
        <v>29</v>
      </c>
      <c r="Y2833" t="s">
        <v>29</v>
      </c>
    </row>
    <row r="2834" spans="1:25" x14ac:dyDescent="0.2">
      <c r="A2834" t="s">
        <v>10529</v>
      </c>
      <c r="B2834" t="s">
        <v>10530</v>
      </c>
      <c r="C2834" t="s">
        <v>10531</v>
      </c>
      <c r="D2834" t="s">
        <v>10532</v>
      </c>
      <c r="E2834" t="s">
        <v>10530</v>
      </c>
      <c r="F2834" t="s">
        <v>28</v>
      </c>
      <c r="G2834" t="s">
        <v>10530</v>
      </c>
      <c r="H2834" t="str">
        <f>"pam-1"</f>
        <v>pam-1</v>
      </c>
      <c r="I2834" t="s">
        <v>10532</v>
      </c>
      <c r="J2834">
        <v>12.832852217203</v>
      </c>
      <c r="K2834">
        <v>12.7629843910931</v>
      </c>
      <c r="L2834">
        <v>12.704422983942999</v>
      </c>
      <c r="M2834">
        <v>13.2698765170847</v>
      </c>
      <c r="N2834">
        <v>12.9906419034454</v>
      </c>
      <c r="O2834">
        <v>12.9326366305646</v>
      </c>
      <c r="P2834">
        <v>0.29763181961852297</v>
      </c>
      <c r="Q2834">
        <v>-0.25390774213703499</v>
      </c>
      <c r="R2834">
        <v>0.84917138137408099</v>
      </c>
      <c r="S2834">
        <v>12.759457455799399</v>
      </c>
      <c r="T2834">
        <v>1.1342145205223999</v>
      </c>
      <c r="U2834">
        <v>-6.5044866582261296</v>
      </c>
      <c r="V2834">
        <v>0.27167040453684299</v>
      </c>
      <c r="W2834">
        <v>0.43893239154061098</v>
      </c>
      <c r="X2834">
        <v>0</v>
      </c>
      <c r="Y2834">
        <v>0</v>
      </c>
    </row>
    <row r="2835" spans="1:25" x14ac:dyDescent="0.2">
      <c r="A2835" t="s">
        <v>10533</v>
      </c>
      <c r="B2835" t="s">
        <v>10534</v>
      </c>
      <c r="C2835" t="s">
        <v>10535</v>
      </c>
      <c r="D2835" t="s">
        <v>10536</v>
      </c>
      <c r="E2835" t="s">
        <v>10534</v>
      </c>
      <c r="F2835" t="s">
        <v>28</v>
      </c>
      <c r="G2835" t="s">
        <v>10534</v>
      </c>
      <c r="H2835" t="str">
        <f>"rad-8"</f>
        <v>rad-8</v>
      </c>
      <c r="I2835" t="s">
        <v>10536</v>
      </c>
      <c r="J2835">
        <v>12.4290828036776</v>
      </c>
      <c r="K2835">
        <v>12.5823093384865</v>
      </c>
      <c r="L2835">
        <v>12.9521013508925</v>
      </c>
      <c r="M2835" t="s">
        <v>29</v>
      </c>
      <c r="N2835" t="s">
        <v>29</v>
      </c>
      <c r="O2835">
        <v>12.276136361805399</v>
      </c>
      <c r="P2835">
        <v>-0.378361469213504</v>
      </c>
      <c r="Q2835">
        <v>-1.01083727311516</v>
      </c>
      <c r="R2835">
        <v>0.25411433468815398</v>
      </c>
      <c r="S2835">
        <v>12.4737363962656</v>
      </c>
      <c r="T2835">
        <v>-1.2758646164754699</v>
      </c>
      <c r="U2835">
        <v>-5.9986942620644799</v>
      </c>
      <c r="V2835">
        <v>0.221541315590154</v>
      </c>
      <c r="W2835">
        <v>0.385408652328326</v>
      </c>
      <c r="X2835">
        <v>0</v>
      </c>
      <c r="Y2835">
        <v>0</v>
      </c>
    </row>
    <row r="2836" spans="1:25" x14ac:dyDescent="0.2">
      <c r="A2836" t="s">
        <v>10537</v>
      </c>
      <c r="B2836" t="s">
        <v>10538</v>
      </c>
      <c r="C2836" t="s">
        <v>10539</v>
      </c>
      <c r="D2836" t="s">
        <v>93</v>
      </c>
      <c r="E2836" t="s">
        <v>10538</v>
      </c>
      <c r="F2836" t="s">
        <v>28</v>
      </c>
      <c r="G2836" t="s">
        <v>10538</v>
      </c>
      <c r="H2836" t="str">
        <f>"sqd-1"</f>
        <v>sqd-1</v>
      </c>
      <c r="I2836" t="s">
        <v>93</v>
      </c>
      <c r="J2836">
        <v>14.676503366626299</v>
      </c>
      <c r="K2836">
        <v>14.2606114600997</v>
      </c>
      <c r="L2836">
        <v>14.6581533834166</v>
      </c>
      <c r="M2836">
        <v>14.4042300051262</v>
      </c>
      <c r="N2836">
        <v>14.6666792040249</v>
      </c>
      <c r="O2836">
        <v>14.2943073115635</v>
      </c>
      <c r="P2836">
        <v>-7.6683896475996605E-2</v>
      </c>
      <c r="Q2836">
        <v>-0.50333708484338602</v>
      </c>
      <c r="R2836">
        <v>0.34996929189139298</v>
      </c>
      <c r="S2836">
        <v>14.468196170998899</v>
      </c>
      <c r="T2836">
        <v>-0.37776497558647498</v>
      </c>
      <c r="U2836">
        <v>-7.0817095709039597</v>
      </c>
      <c r="V2836">
        <v>0.710048542311433</v>
      </c>
      <c r="W2836">
        <v>0.81231096824215498</v>
      </c>
      <c r="X2836">
        <v>0</v>
      </c>
      <c r="Y2836">
        <v>0</v>
      </c>
    </row>
    <row r="2837" spans="1:25" x14ac:dyDescent="0.2">
      <c r="A2837" t="s">
        <v>10540</v>
      </c>
      <c r="B2837" t="s">
        <v>10541</v>
      </c>
      <c r="C2837" t="s">
        <v>10542</v>
      </c>
      <c r="D2837" t="s">
        <v>10543</v>
      </c>
      <c r="E2837" t="s">
        <v>10541</v>
      </c>
      <c r="F2837" t="s">
        <v>28</v>
      </c>
      <c r="G2837" t="s">
        <v>10541</v>
      </c>
      <c r="H2837" t="str">
        <f>"mrpl-39"</f>
        <v>mrpl-39</v>
      </c>
      <c r="I2837" t="s">
        <v>10543</v>
      </c>
      <c r="J2837">
        <v>13.138887287300401</v>
      </c>
      <c r="K2837">
        <v>13.769359251049799</v>
      </c>
      <c r="L2837">
        <v>13.788530575289</v>
      </c>
      <c r="M2837" t="s">
        <v>29</v>
      </c>
      <c r="N2837">
        <v>13.856770549655799</v>
      </c>
      <c r="O2837">
        <v>12.399531282865199</v>
      </c>
      <c r="P2837">
        <v>-0.43744145495258002</v>
      </c>
      <c r="Q2837">
        <v>-1.23633389321906</v>
      </c>
      <c r="R2837">
        <v>0.36145098331389702</v>
      </c>
      <c r="S2837">
        <v>13.498749704718801</v>
      </c>
      <c r="T2837">
        <v>-1.1557972054304599</v>
      </c>
      <c r="U2837">
        <v>-6.3698472179243897</v>
      </c>
      <c r="V2837">
        <v>0.26384796058161603</v>
      </c>
      <c r="W2837">
        <v>0.431211714978533</v>
      </c>
      <c r="X2837">
        <v>0</v>
      </c>
      <c r="Y2837">
        <v>0</v>
      </c>
    </row>
    <row r="2838" spans="1:25" x14ac:dyDescent="0.2">
      <c r="A2838" t="s">
        <v>10544</v>
      </c>
      <c r="B2838" t="s">
        <v>10545</v>
      </c>
      <c r="C2838" t="s">
        <v>10546</v>
      </c>
      <c r="D2838" t="s">
        <v>10547</v>
      </c>
      <c r="E2838" t="s">
        <v>10545</v>
      </c>
      <c r="F2838" t="s">
        <v>28</v>
      </c>
      <c r="G2838" t="s">
        <v>10545</v>
      </c>
      <c r="H2838" t="str">
        <f>"gale-1"</f>
        <v>gale-1</v>
      </c>
      <c r="I2838" t="s">
        <v>10547</v>
      </c>
      <c r="J2838">
        <v>15.450607960132</v>
      </c>
      <c r="K2838">
        <v>15.554072505308801</v>
      </c>
      <c r="L2838">
        <v>15.3696596153458</v>
      </c>
      <c r="M2838">
        <v>15.366718551891999</v>
      </c>
      <c r="N2838">
        <v>15.464915191722501</v>
      </c>
      <c r="O2838">
        <v>15.3926365931892</v>
      </c>
      <c r="P2838">
        <v>-5.0023247994307199E-2</v>
      </c>
      <c r="Q2838">
        <v>-0.38468765601633798</v>
      </c>
      <c r="R2838">
        <v>0.28464116002772399</v>
      </c>
      <c r="S2838">
        <v>15.505859005455401</v>
      </c>
      <c r="T2838">
        <v>-0.31416288250522301</v>
      </c>
      <c r="U2838">
        <v>-7.1046490543009897</v>
      </c>
      <c r="V2838">
        <v>0.757030343732915</v>
      </c>
      <c r="W2838">
        <v>0.84634613921885404</v>
      </c>
      <c r="X2838">
        <v>0</v>
      </c>
      <c r="Y2838">
        <v>0</v>
      </c>
    </row>
    <row r="2839" spans="1:25" x14ac:dyDescent="0.2">
      <c r="A2839" t="s">
        <v>10548</v>
      </c>
      <c r="B2839" t="s">
        <v>10549</v>
      </c>
      <c r="C2839" t="s">
        <v>10550</v>
      </c>
      <c r="D2839" t="s">
        <v>81</v>
      </c>
      <c r="E2839" t="s">
        <v>10549</v>
      </c>
      <c r="F2839" t="s">
        <v>28</v>
      </c>
      <c r="G2839" t="s">
        <v>10549</v>
      </c>
      <c r="H2839" t="str">
        <f>"imp-1"</f>
        <v>imp-1</v>
      </c>
      <c r="I2839" t="s">
        <v>81</v>
      </c>
      <c r="J2839" t="s">
        <v>29</v>
      </c>
      <c r="K2839" t="s">
        <v>29</v>
      </c>
      <c r="L2839">
        <v>11.0352820668184</v>
      </c>
      <c r="M2839" t="s">
        <v>29</v>
      </c>
      <c r="N2839" t="s">
        <v>29</v>
      </c>
      <c r="O2839" t="s">
        <v>29</v>
      </c>
      <c r="P2839" t="s">
        <v>29</v>
      </c>
      <c r="Q2839" t="s">
        <v>29</v>
      </c>
      <c r="R2839" t="s">
        <v>29</v>
      </c>
      <c r="S2839">
        <v>11.594346828686501</v>
      </c>
      <c r="T2839" t="s">
        <v>29</v>
      </c>
      <c r="U2839" t="s">
        <v>29</v>
      </c>
      <c r="V2839" t="s">
        <v>29</v>
      </c>
      <c r="W2839" t="s">
        <v>29</v>
      </c>
      <c r="X2839" t="s">
        <v>29</v>
      </c>
      <c r="Y2839" t="s">
        <v>29</v>
      </c>
    </row>
    <row r="2840" spans="1:25" x14ac:dyDescent="0.2">
      <c r="A2840" t="s">
        <v>10551</v>
      </c>
      <c r="B2840" t="s">
        <v>10552</v>
      </c>
      <c r="C2840" t="s">
        <v>10553</v>
      </c>
      <c r="D2840" t="s">
        <v>10554</v>
      </c>
      <c r="E2840" t="s">
        <v>10552</v>
      </c>
      <c r="F2840" t="s">
        <v>28</v>
      </c>
      <c r="G2840" t="s">
        <v>10552</v>
      </c>
      <c r="H2840" t="str">
        <f>"dolk-1"</f>
        <v>dolk-1</v>
      </c>
      <c r="I2840" t="s">
        <v>10554</v>
      </c>
      <c r="J2840">
        <v>12.619090700669201</v>
      </c>
      <c r="K2840">
        <v>12.658190983860999</v>
      </c>
      <c r="L2840">
        <v>12.7689700629718</v>
      </c>
      <c r="M2840" t="s">
        <v>29</v>
      </c>
      <c r="N2840">
        <v>12.131578984842699</v>
      </c>
      <c r="O2840">
        <v>13.1456797766573</v>
      </c>
      <c r="P2840">
        <v>-4.3454535083988298E-2</v>
      </c>
      <c r="Q2840">
        <v>-0.56394493313174998</v>
      </c>
      <c r="R2840">
        <v>0.47703586296377298</v>
      </c>
      <c r="S2840">
        <v>13.220807438490301</v>
      </c>
      <c r="T2840">
        <v>-0.17622698002840301</v>
      </c>
      <c r="U2840">
        <v>-7.0291654239967496</v>
      </c>
      <c r="V2840">
        <v>0.86221072657055997</v>
      </c>
      <c r="W2840">
        <v>0.91367673901598001</v>
      </c>
      <c r="X2840">
        <v>0</v>
      </c>
      <c r="Y2840">
        <v>0</v>
      </c>
    </row>
    <row r="2841" spans="1:25" x14ac:dyDescent="0.2">
      <c r="A2841" t="s">
        <v>10555</v>
      </c>
      <c r="B2841" t="s">
        <v>10556</v>
      </c>
      <c r="C2841" t="s">
        <v>14570</v>
      </c>
      <c r="D2841" t="s">
        <v>10557</v>
      </c>
      <c r="E2841" t="s">
        <v>10556</v>
      </c>
      <c r="F2841" t="s">
        <v>28</v>
      </c>
      <c r="G2841" t="s">
        <v>10556</v>
      </c>
      <c r="H2841" t="str">
        <f>"Y87G2A.19"</f>
        <v>Y87G2A.19</v>
      </c>
      <c r="I2841" t="s">
        <v>10557</v>
      </c>
      <c r="J2841">
        <v>14.151968362278399</v>
      </c>
      <c r="K2841">
        <v>14.3402572060486</v>
      </c>
      <c r="L2841">
        <v>14.162904909202499</v>
      </c>
      <c r="M2841" t="s">
        <v>29</v>
      </c>
      <c r="N2841" t="s">
        <v>29</v>
      </c>
      <c r="O2841">
        <v>13.0213593557497</v>
      </c>
      <c r="P2841">
        <v>-1.19701747009344</v>
      </c>
      <c r="Q2841">
        <v>-2.0310946872387801</v>
      </c>
      <c r="R2841">
        <v>-0.362940252948103</v>
      </c>
      <c r="S2841">
        <v>13.848683936184001</v>
      </c>
      <c r="T2841">
        <v>-3.0802511122016001</v>
      </c>
      <c r="U2841">
        <v>-2.9964736640517899</v>
      </c>
      <c r="V2841">
        <v>8.2064306898669507E-3</v>
      </c>
      <c r="W2841">
        <v>3.9516913795813603E-2</v>
      </c>
      <c r="X2841">
        <v>-1</v>
      </c>
      <c r="Y2841">
        <v>-1</v>
      </c>
    </row>
    <row r="2842" spans="1:25" x14ac:dyDescent="0.2">
      <c r="A2842" t="s">
        <v>10558</v>
      </c>
      <c r="B2842" t="s">
        <v>10559</v>
      </c>
      <c r="C2842" t="s">
        <v>10560</v>
      </c>
      <c r="D2842" t="s">
        <v>10561</v>
      </c>
      <c r="E2842" t="s">
        <v>10559</v>
      </c>
      <c r="F2842" t="s">
        <v>28</v>
      </c>
      <c r="G2842" t="s">
        <v>10559</v>
      </c>
      <c r="H2842" t="str">
        <f>"sek-4"</f>
        <v>sek-4</v>
      </c>
      <c r="I2842" t="s">
        <v>10561</v>
      </c>
      <c r="J2842">
        <v>13.274120942708</v>
      </c>
      <c r="K2842">
        <v>13.385155973954101</v>
      </c>
      <c r="L2842">
        <v>12.9275081996241</v>
      </c>
      <c r="M2842" t="s">
        <v>29</v>
      </c>
      <c r="N2842" t="s">
        <v>29</v>
      </c>
      <c r="O2842">
        <v>12.877379292011099</v>
      </c>
      <c r="P2842">
        <v>-0.318215746751003</v>
      </c>
      <c r="Q2842">
        <v>-1.05347828543556</v>
      </c>
      <c r="R2842">
        <v>0.41704679193355798</v>
      </c>
      <c r="S2842">
        <v>12.9094888566227</v>
      </c>
      <c r="T2842">
        <v>-0.92304066206475299</v>
      </c>
      <c r="U2842">
        <v>-6.37601126109218</v>
      </c>
      <c r="V2842">
        <v>0.37069725798164099</v>
      </c>
      <c r="W2842">
        <v>0.53798396210435395</v>
      </c>
      <c r="X2842">
        <v>0</v>
      </c>
      <c r="Y2842">
        <v>0</v>
      </c>
    </row>
    <row r="2843" spans="1:25" x14ac:dyDescent="0.2">
      <c r="A2843" t="s">
        <v>10562</v>
      </c>
      <c r="B2843" t="s">
        <v>10563</v>
      </c>
      <c r="C2843" t="s">
        <v>10564</v>
      </c>
      <c r="D2843" t="s">
        <v>660</v>
      </c>
      <c r="E2843" t="s">
        <v>10563</v>
      </c>
      <c r="F2843" t="s">
        <v>28</v>
      </c>
      <c r="G2843" t="s">
        <v>10563</v>
      </c>
      <c r="H2843" t="str">
        <f>"abts-4"</f>
        <v>abts-4</v>
      </c>
      <c r="I2843" t="s">
        <v>660</v>
      </c>
      <c r="J2843">
        <v>17.4880709808562</v>
      </c>
      <c r="K2843">
        <v>17.6924404977695</v>
      </c>
      <c r="L2843">
        <v>17.263434322545798</v>
      </c>
      <c r="M2843">
        <v>20.433746768166198</v>
      </c>
      <c r="N2843">
        <v>19.7747352259208</v>
      </c>
      <c r="O2843">
        <v>18.405934948527101</v>
      </c>
      <c r="P2843">
        <v>2.0568237138141798</v>
      </c>
      <c r="Q2843">
        <v>1.28763551026904</v>
      </c>
      <c r="R2843">
        <v>2.8260119173593301</v>
      </c>
      <c r="S2843">
        <v>17.263177197865598</v>
      </c>
      <c r="T2843">
        <v>5.6202672696663702</v>
      </c>
      <c r="U2843">
        <v>2.3538187127082399</v>
      </c>
      <c r="V2843" s="2">
        <v>2.52947296764588E-5</v>
      </c>
      <c r="W2843">
        <v>6.09175343609384E-4</v>
      </c>
      <c r="X2843">
        <v>1</v>
      </c>
      <c r="Y2843">
        <v>1</v>
      </c>
    </row>
    <row r="2844" spans="1:25" x14ac:dyDescent="0.2">
      <c r="A2844" t="s">
        <v>10565</v>
      </c>
      <c r="B2844" t="s">
        <v>10566</v>
      </c>
      <c r="C2844" t="s">
        <v>10567</v>
      </c>
      <c r="D2844" t="s">
        <v>10568</v>
      </c>
      <c r="E2844" t="s">
        <v>10566</v>
      </c>
      <c r="F2844" t="s">
        <v>28</v>
      </c>
      <c r="G2844" t="s">
        <v>10566</v>
      </c>
      <c r="H2844" t="str">
        <f>"fitm-2"</f>
        <v>fitm-2</v>
      </c>
      <c r="I2844" t="s">
        <v>10568</v>
      </c>
      <c r="J2844">
        <v>15.430998866867499</v>
      </c>
      <c r="K2844">
        <v>15.3602701254792</v>
      </c>
      <c r="L2844">
        <v>15.979311925363399</v>
      </c>
      <c r="M2844">
        <v>15.4933516230082</v>
      </c>
      <c r="N2844">
        <v>15.471172708540101</v>
      </c>
      <c r="O2844">
        <v>15.1138313431375</v>
      </c>
      <c r="P2844">
        <v>-0.230741747674754</v>
      </c>
      <c r="Q2844">
        <v>-0.71475625801248899</v>
      </c>
      <c r="R2844">
        <v>0.25327276266298099</v>
      </c>
      <c r="S2844">
        <v>15.832741252703601</v>
      </c>
      <c r="T2844">
        <v>-1.0019828986235999</v>
      </c>
      <c r="U2844">
        <v>-6.6437597934127304</v>
      </c>
      <c r="V2844">
        <v>0.32970904906278098</v>
      </c>
      <c r="W2844">
        <v>0.50154123822079999</v>
      </c>
      <c r="X2844">
        <v>0</v>
      </c>
      <c r="Y2844">
        <v>0</v>
      </c>
    </row>
    <row r="2845" spans="1:25" x14ac:dyDescent="0.2">
      <c r="A2845" t="s">
        <v>10569</v>
      </c>
      <c r="B2845" t="s">
        <v>10570</v>
      </c>
      <c r="C2845" t="s">
        <v>10571</v>
      </c>
      <c r="D2845" t="s">
        <v>10572</v>
      </c>
      <c r="E2845" t="s">
        <v>10570</v>
      </c>
      <c r="F2845" t="s">
        <v>28</v>
      </c>
      <c r="G2845" t="s">
        <v>10570</v>
      </c>
      <c r="H2845" t="str">
        <f>"glo-4"</f>
        <v>glo-4</v>
      </c>
      <c r="I2845" t="s">
        <v>10572</v>
      </c>
      <c r="J2845">
        <v>11.1965687485927</v>
      </c>
      <c r="K2845" t="s">
        <v>29</v>
      </c>
      <c r="L2845" t="s">
        <v>29</v>
      </c>
      <c r="M2845" t="s">
        <v>29</v>
      </c>
      <c r="N2845" t="s">
        <v>29</v>
      </c>
      <c r="O2845" t="s">
        <v>29</v>
      </c>
      <c r="P2845" t="s">
        <v>29</v>
      </c>
      <c r="Q2845" t="s">
        <v>29</v>
      </c>
      <c r="R2845" t="s">
        <v>29</v>
      </c>
      <c r="S2845">
        <v>11.285608786912199</v>
      </c>
      <c r="T2845" t="s">
        <v>29</v>
      </c>
      <c r="U2845" t="s">
        <v>29</v>
      </c>
      <c r="V2845" t="s">
        <v>29</v>
      </c>
      <c r="W2845" t="s">
        <v>29</v>
      </c>
      <c r="X2845" t="s">
        <v>29</v>
      </c>
      <c r="Y2845" t="s">
        <v>29</v>
      </c>
    </row>
    <row r="2846" spans="1:25" x14ac:dyDescent="0.2">
      <c r="A2846" t="s">
        <v>10573</v>
      </c>
      <c r="B2846" t="s">
        <v>10574</v>
      </c>
      <c r="C2846" t="s">
        <v>10575</v>
      </c>
      <c r="D2846" t="s">
        <v>10576</v>
      </c>
      <c r="E2846" t="s">
        <v>10574</v>
      </c>
      <c r="F2846" t="s">
        <v>28</v>
      </c>
      <c r="G2846" t="s">
        <v>10574</v>
      </c>
      <c r="H2846" t="str">
        <f>"sax-2"</f>
        <v>sax-2</v>
      </c>
      <c r="I2846" t="s">
        <v>10576</v>
      </c>
      <c r="J2846">
        <v>12.926471943800699</v>
      </c>
      <c r="K2846">
        <v>12.862907325944899</v>
      </c>
      <c r="L2846">
        <v>12.8846721869382</v>
      </c>
      <c r="M2846" t="s">
        <v>29</v>
      </c>
      <c r="N2846">
        <v>13.224936309113801</v>
      </c>
      <c r="O2846">
        <v>12.532408276935699</v>
      </c>
      <c r="P2846">
        <v>-1.2678192536546E-2</v>
      </c>
      <c r="Q2846">
        <v>-0.48710346278028099</v>
      </c>
      <c r="R2846">
        <v>0.46174707770718898</v>
      </c>
      <c r="S2846">
        <v>13.433867251804299</v>
      </c>
      <c r="T2846">
        <v>-5.6407849425599198E-2</v>
      </c>
      <c r="U2846">
        <v>-7.0438026075452296</v>
      </c>
      <c r="V2846">
        <v>0.95567863607130599</v>
      </c>
      <c r="W2846">
        <v>0.97351708970001305</v>
      </c>
      <c r="X2846">
        <v>0</v>
      </c>
      <c r="Y2846">
        <v>0</v>
      </c>
    </row>
    <row r="2847" spans="1:25" x14ac:dyDescent="0.2">
      <c r="A2847" t="s">
        <v>10577</v>
      </c>
      <c r="B2847" t="s">
        <v>10578</v>
      </c>
      <c r="C2847" t="s">
        <v>10579</v>
      </c>
      <c r="D2847" t="s">
        <v>10580</v>
      </c>
      <c r="E2847" t="s">
        <v>10578</v>
      </c>
      <c r="F2847" t="s">
        <v>28</v>
      </c>
      <c r="G2847" t="s">
        <v>10578</v>
      </c>
      <c r="H2847" t="str">
        <f>"sfxn-5"</f>
        <v>sfxn-5</v>
      </c>
      <c r="I2847" t="s">
        <v>10580</v>
      </c>
      <c r="J2847">
        <v>13.138639820598</v>
      </c>
      <c r="K2847">
        <v>13.036286469342601</v>
      </c>
      <c r="L2847">
        <v>13.1543843389143</v>
      </c>
      <c r="M2847">
        <v>12.1963113914657</v>
      </c>
      <c r="N2847">
        <v>13.4147944943933</v>
      </c>
      <c r="O2847">
        <v>13.356160032177501</v>
      </c>
      <c r="P2847">
        <v>-0.12068157027283299</v>
      </c>
      <c r="Q2847">
        <v>-0.69079505067327795</v>
      </c>
      <c r="R2847">
        <v>0.44943191012761202</v>
      </c>
      <c r="S2847">
        <v>13.3413547945151</v>
      </c>
      <c r="T2847">
        <v>-0.44490998798642101</v>
      </c>
      <c r="U2847">
        <v>-7.0529956963125402</v>
      </c>
      <c r="V2847">
        <v>0.66171938503929995</v>
      </c>
      <c r="W2847">
        <v>0.77579104511357899</v>
      </c>
      <c r="X2847">
        <v>0</v>
      </c>
      <c r="Y2847">
        <v>0</v>
      </c>
    </row>
    <row r="2848" spans="1:25" x14ac:dyDescent="0.2">
      <c r="A2848" t="s">
        <v>10581</v>
      </c>
      <c r="B2848" t="s">
        <v>10582</v>
      </c>
      <c r="C2848" t="s">
        <v>10583</v>
      </c>
      <c r="D2848" t="s">
        <v>10584</v>
      </c>
      <c r="E2848" t="s">
        <v>10582</v>
      </c>
      <c r="F2848" t="s">
        <v>28</v>
      </c>
      <c r="G2848" t="s">
        <v>10582</v>
      </c>
      <c r="H2848" t="str">
        <f>"nfi-1"</f>
        <v>nfi-1</v>
      </c>
      <c r="I2848" t="s">
        <v>10584</v>
      </c>
      <c r="J2848" t="s">
        <v>29</v>
      </c>
      <c r="K2848" t="s">
        <v>29</v>
      </c>
      <c r="L2848" t="s">
        <v>29</v>
      </c>
      <c r="M2848" t="s">
        <v>29</v>
      </c>
      <c r="N2848" t="s">
        <v>29</v>
      </c>
      <c r="O2848" t="s">
        <v>29</v>
      </c>
      <c r="P2848" t="s">
        <v>29</v>
      </c>
      <c r="Q2848" t="s">
        <v>29</v>
      </c>
      <c r="R2848" t="s">
        <v>29</v>
      </c>
      <c r="S2848">
        <v>12.256385785118001</v>
      </c>
      <c r="T2848" t="s">
        <v>29</v>
      </c>
      <c r="U2848" t="s">
        <v>29</v>
      </c>
      <c r="V2848" t="s">
        <v>29</v>
      </c>
      <c r="W2848" t="s">
        <v>29</v>
      </c>
      <c r="X2848" t="s">
        <v>29</v>
      </c>
      <c r="Y2848" t="s">
        <v>29</v>
      </c>
    </row>
    <row r="2849" spans="1:25" x14ac:dyDescent="0.2">
      <c r="A2849" t="s">
        <v>10585</v>
      </c>
      <c r="B2849" t="s">
        <v>10586</v>
      </c>
      <c r="C2849" t="s">
        <v>10587</v>
      </c>
      <c r="D2849" t="s">
        <v>2692</v>
      </c>
      <c r="E2849" t="s">
        <v>10586</v>
      </c>
      <c r="F2849" t="s">
        <v>28</v>
      </c>
      <c r="G2849" t="s">
        <v>10586</v>
      </c>
      <c r="H2849" t="str">
        <f>"C11H1.9"</f>
        <v>C11H1.9</v>
      </c>
      <c r="I2849" t="s">
        <v>2692</v>
      </c>
      <c r="J2849" t="s">
        <v>29</v>
      </c>
      <c r="K2849" t="s">
        <v>29</v>
      </c>
      <c r="L2849" t="s">
        <v>29</v>
      </c>
      <c r="M2849" t="s">
        <v>29</v>
      </c>
      <c r="N2849" t="s">
        <v>29</v>
      </c>
      <c r="O2849" t="s">
        <v>29</v>
      </c>
      <c r="P2849" t="s">
        <v>29</v>
      </c>
      <c r="Q2849" t="s">
        <v>29</v>
      </c>
      <c r="R2849" t="s">
        <v>29</v>
      </c>
      <c r="S2849">
        <v>13.3519206267194</v>
      </c>
      <c r="T2849" t="s">
        <v>29</v>
      </c>
      <c r="U2849" t="s">
        <v>29</v>
      </c>
      <c r="V2849" t="s">
        <v>29</v>
      </c>
      <c r="W2849" t="s">
        <v>29</v>
      </c>
      <c r="X2849" t="s">
        <v>29</v>
      </c>
      <c r="Y2849" t="s">
        <v>29</v>
      </c>
    </row>
    <row r="2850" spans="1:25" x14ac:dyDescent="0.2">
      <c r="A2850" t="s">
        <v>10588</v>
      </c>
      <c r="B2850" t="s">
        <v>10589</v>
      </c>
      <c r="C2850" t="s">
        <v>10590</v>
      </c>
      <c r="D2850" t="s">
        <v>10591</v>
      </c>
      <c r="E2850" t="s">
        <v>10589</v>
      </c>
      <c r="F2850" t="s">
        <v>28</v>
      </c>
      <c r="G2850" t="s">
        <v>10589</v>
      </c>
      <c r="H2850" t="str">
        <f>"R144.12"</f>
        <v>R144.12</v>
      </c>
      <c r="I2850" t="s">
        <v>10591</v>
      </c>
      <c r="J2850">
        <v>13.775872522690401</v>
      </c>
      <c r="K2850">
        <v>13.6444155656765</v>
      </c>
      <c r="L2850">
        <v>13.7459525618537</v>
      </c>
      <c r="M2850">
        <v>15.009196668589601</v>
      </c>
      <c r="N2850">
        <v>14.105899613107599</v>
      </c>
      <c r="O2850">
        <v>14.0924868779974</v>
      </c>
      <c r="P2850">
        <v>0.68044750315796099</v>
      </c>
      <c r="Q2850">
        <v>0.20249503860771301</v>
      </c>
      <c r="R2850">
        <v>1.15839996770821</v>
      </c>
      <c r="S2850">
        <v>13.850263145279399</v>
      </c>
      <c r="T2850">
        <v>2.99228139701555</v>
      </c>
      <c r="U2850">
        <v>-3.35161022275225</v>
      </c>
      <c r="V2850">
        <v>7.8522801789984702E-3</v>
      </c>
      <c r="W2850">
        <v>3.8312367032298802E-2</v>
      </c>
      <c r="X2850">
        <v>0</v>
      </c>
      <c r="Y2850">
        <v>0</v>
      </c>
    </row>
    <row r="2851" spans="1:25" x14ac:dyDescent="0.2">
      <c r="A2851" t="s">
        <v>10592</v>
      </c>
      <c r="B2851" t="s">
        <v>10593</v>
      </c>
      <c r="C2851" t="s">
        <v>10594</v>
      </c>
      <c r="D2851" t="s">
        <v>2791</v>
      </c>
      <c r="E2851" t="s">
        <v>10593</v>
      </c>
      <c r="F2851" t="s">
        <v>28</v>
      </c>
      <c r="G2851" t="s">
        <v>10593</v>
      </c>
      <c r="H2851" t="str">
        <f>"vbh-1"</f>
        <v>vbh-1</v>
      </c>
      <c r="I2851" t="s">
        <v>2791</v>
      </c>
      <c r="J2851">
        <v>17.510876330391302</v>
      </c>
      <c r="K2851">
        <v>17.6992779580285</v>
      </c>
      <c r="L2851">
        <v>18.133754313539701</v>
      </c>
      <c r="M2851">
        <v>17.8669838581236</v>
      </c>
      <c r="N2851">
        <v>18.152014040636001</v>
      </c>
      <c r="O2851">
        <v>17.490173076283501</v>
      </c>
      <c r="P2851">
        <v>5.5087457694522599E-2</v>
      </c>
      <c r="Q2851">
        <v>-0.36375463899539001</v>
      </c>
      <c r="R2851">
        <v>0.47392955438443501</v>
      </c>
      <c r="S2851">
        <v>18.2701621983237</v>
      </c>
      <c r="T2851">
        <v>0.27643620243113498</v>
      </c>
      <c r="U2851">
        <v>-7.1162848780904504</v>
      </c>
      <c r="V2851">
        <v>0.78538047097784702</v>
      </c>
      <c r="W2851">
        <v>0.86513992126446104</v>
      </c>
      <c r="X2851">
        <v>0</v>
      </c>
      <c r="Y2851">
        <v>0</v>
      </c>
    </row>
    <row r="2852" spans="1:25" x14ac:dyDescent="0.2">
      <c r="A2852" t="s">
        <v>10595</v>
      </c>
      <c r="B2852" t="s">
        <v>10596</v>
      </c>
      <c r="C2852" t="s">
        <v>10597</v>
      </c>
      <c r="D2852" t="s">
        <v>10598</v>
      </c>
      <c r="E2852" t="s">
        <v>10596</v>
      </c>
      <c r="F2852" t="s">
        <v>28</v>
      </c>
      <c r="G2852" t="s">
        <v>10596</v>
      </c>
      <c r="H2852" t="str">
        <f>"Y54E10A.11"</f>
        <v>Y54E10A.11</v>
      </c>
      <c r="I2852" t="s">
        <v>10598</v>
      </c>
      <c r="J2852">
        <v>13.1597711071548</v>
      </c>
      <c r="K2852">
        <v>13.0496863348737</v>
      </c>
      <c r="L2852">
        <v>13.2941722555171</v>
      </c>
      <c r="M2852" t="s">
        <v>29</v>
      </c>
      <c r="N2852">
        <v>12.3501817400936</v>
      </c>
      <c r="O2852">
        <v>12.956360675522401</v>
      </c>
      <c r="P2852">
        <v>-0.51460535804051399</v>
      </c>
      <c r="Q2852">
        <v>-0.935957724588525</v>
      </c>
      <c r="R2852">
        <v>-9.3252991492503406E-2</v>
      </c>
      <c r="S2852">
        <v>13.0145571354692</v>
      </c>
      <c r="T2852">
        <v>-2.5779760562669698</v>
      </c>
      <c r="U2852">
        <v>-4.1035243738274403</v>
      </c>
      <c r="V2852">
        <v>1.9616397536430401E-2</v>
      </c>
      <c r="W2852">
        <v>7.2194082755554806E-2</v>
      </c>
      <c r="X2852">
        <v>0</v>
      </c>
      <c r="Y2852">
        <v>0</v>
      </c>
    </row>
    <row r="2853" spans="1:25" x14ac:dyDescent="0.2">
      <c r="A2853" t="s">
        <v>10599</v>
      </c>
      <c r="B2853" t="s">
        <v>10600</v>
      </c>
      <c r="C2853" t="s">
        <v>14571</v>
      </c>
      <c r="D2853" t="s">
        <v>10601</v>
      </c>
      <c r="E2853" t="s">
        <v>10600</v>
      </c>
      <c r="F2853" t="s">
        <v>28</v>
      </c>
      <c r="G2853" t="s">
        <v>10600</v>
      </c>
      <c r="H2853" t="str">
        <f>"Y47G6A.15"</f>
        <v>Y47G6A.15</v>
      </c>
      <c r="I2853" t="s">
        <v>10601</v>
      </c>
      <c r="J2853">
        <v>12.6495699177225</v>
      </c>
      <c r="K2853">
        <v>12.7765386150573</v>
      </c>
      <c r="L2853">
        <v>15.0689714395654</v>
      </c>
      <c r="M2853">
        <v>15.2222289273831</v>
      </c>
      <c r="N2853">
        <v>15.276405053813299</v>
      </c>
      <c r="O2853">
        <v>13.8577653895937</v>
      </c>
      <c r="P2853">
        <v>1.28710646614832</v>
      </c>
      <c r="Q2853">
        <v>-6.2793804380310903E-2</v>
      </c>
      <c r="R2853">
        <v>2.6370067366769501</v>
      </c>
      <c r="S2853">
        <v>13.4494259016063</v>
      </c>
      <c r="T2853">
        <v>2.0040349943593299</v>
      </c>
      <c r="U2853">
        <v>-5.2560557315554499</v>
      </c>
      <c r="V2853">
        <v>6.0442416238736099E-2</v>
      </c>
      <c r="W2853">
        <v>0.15556663812712301</v>
      </c>
      <c r="X2853">
        <v>0</v>
      </c>
      <c r="Y2853">
        <v>0</v>
      </c>
    </row>
    <row r="2854" spans="1:25" x14ac:dyDescent="0.2">
      <c r="A2854" t="s">
        <v>10602</v>
      </c>
      <c r="B2854" t="s">
        <v>10603</v>
      </c>
      <c r="C2854" t="s">
        <v>10604</v>
      </c>
      <c r="D2854" t="s">
        <v>2602</v>
      </c>
      <c r="E2854" t="s">
        <v>10603</v>
      </c>
      <c r="F2854" t="s">
        <v>28</v>
      </c>
      <c r="G2854" t="s">
        <v>10603</v>
      </c>
      <c r="H2854" t="str">
        <f>"dhs-30"</f>
        <v>dhs-30</v>
      </c>
      <c r="I2854" t="s">
        <v>2602</v>
      </c>
      <c r="J2854">
        <v>15.352503411045699</v>
      </c>
      <c r="K2854">
        <v>15.3234129124251</v>
      </c>
      <c r="L2854">
        <v>14.885903283726099</v>
      </c>
      <c r="M2854">
        <v>13.6637862841703</v>
      </c>
      <c r="N2854">
        <v>13.9758643206121</v>
      </c>
      <c r="O2854">
        <v>14.592508710371501</v>
      </c>
      <c r="P2854">
        <v>-1.1098867640143499</v>
      </c>
      <c r="Q2854">
        <v>-1.5555525199745299</v>
      </c>
      <c r="R2854">
        <v>-0.66422100805415796</v>
      </c>
      <c r="S2854">
        <v>14.510009856245899</v>
      </c>
      <c r="T2854">
        <v>-5.2343398940325798</v>
      </c>
      <c r="U2854">
        <v>1.53116981488214</v>
      </c>
      <c r="V2854" s="2">
        <v>5.7118764737587299E-5</v>
      </c>
      <c r="W2854">
        <v>1.12219333121113E-3</v>
      </c>
      <c r="X2854">
        <v>-1</v>
      </c>
      <c r="Y2854">
        <v>-1</v>
      </c>
    </row>
    <row r="2855" spans="1:25" x14ac:dyDescent="0.2">
      <c r="A2855" t="s">
        <v>10605</v>
      </c>
      <c r="B2855" t="s">
        <v>10606</v>
      </c>
      <c r="C2855" t="s">
        <v>14572</v>
      </c>
      <c r="D2855" t="s">
        <v>2791</v>
      </c>
      <c r="E2855" t="s">
        <v>10606</v>
      </c>
      <c r="F2855" t="s">
        <v>28</v>
      </c>
      <c r="G2855" t="s">
        <v>10606</v>
      </c>
      <c r="H2855" t="str">
        <f>"Y94H6A.5"</f>
        <v>Y94H6A.5</v>
      </c>
      <c r="I2855" t="s">
        <v>2791</v>
      </c>
      <c r="J2855">
        <v>14.7525314108965</v>
      </c>
      <c r="K2855">
        <v>14.9494397650653</v>
      </c>
      <c r="L2855">
        <v>14.997857324298201</v>
      </c>
      <c r="M2855">
        <v>13.467759726514601</v>
      </c>
      <c r="N2855">
        <v>14.2851172497765</v>
      </c>
      <c r="O2855">
        <v>14.658944993092399</v>
      </c>
      <c r="P2855">
        <v>-0.76266884362549603</v>
      </c>
      <c r="Q2855">
        <v>-1.2617488763078399</v>
      </c>
      <c r="R2855">
        <v>-0.26358881094315401</v>
      </c>
      <c r="S2855">
        <v>15.162628433081901</v>
      </c>
      <c r="T2855">
        <v>-3.2118726949379499</v>
      </c>
      <c r="U2855">
        <v>-2.8882587842826402</v>
      </c>
      <c r="V2855">
        <v>4.8622238387903399E-3</v>
      </c>
      <c r="W2855">
        <v>2.7715616349932599E-2</v>
      </c>
      <c r="X2855">
        <v>0</v>
      </c>
      <c r="Y2855">
        <v>0</v>
      </c>
    </row>
    <row r="2856" spans="1:25" x14ac:dyDescent="0.2">
      <c r="A2856" t="s">
        <v>10607</v>
      </c>
      <c r="B2856" t="s">
        <v>10608</v>
      </c>
      <c r="C2856" t="s">
        <v>10609</v>
      </c>
      <c r="D2856" t="s">
        <v>10610</v>
      </c>
      <c r="E2856" t="s">
        <v>10608</v>
      </c>
      <c r="F2856" t="s">
        <v>28</v>
      </c>
      <c r="G2856" t="s">
        <v>10608</v>
      </c>
      <c r="H2856" t="str">
        <f>"daf-15"</f>
        <v>daf-15</v>
      </c>
      <c r="I2856" t="s">
        <v>10610</v>
      </c>
      <c r="J2856">
        <v>12.8396609559196</v>
      </c>
      <c r="K2856">
        <v>12.7371141303021</v>
      </c>
      <c r="L2856">
        <v>12.624344880300301</v>
      </c>
      <c r="M2856" t="s">
        <v>29</v>
      </c>
      <c r="N2856">
        <v>10.811694264514299</v>
      </c>
      <c r="O2856">
        <v>11.7881109583777</v>
      </c>
      <c r="P2856">
        <v>-1.43380404406134</v>
      </c>
      <c r="Q2856">
        <v>-1.92755111245588</v>
      </c>
      <c r="R2856">
        <v>-0.94005697566680302</v>
      </c>
      <c r="S2856">
        <v>12.4512666820834</v>
      </c>
      <c r="T2856">
        <v>-6.1296444514297104</v>
      </c>
      <c r="U2856">
        <v>3.2815120092378298</v>
      </c>
      <c r="V2856" s="2">
        <v>1.1425917838449E-5</v>
      </c>
      <c r="W2856">
        <v>3.1138298324948901E-4</v>
      </c>
      <c r="X2856">
        <v>-1</v>
      </c>
      <c r="Y2856">
        <v>-1</v>
      </c>
    </row>
    <row r="2857" spans="1:25" x14ac:dyDescent="0.2">
      <c r="A2857" t="s">
        <v>10611</v>
      </c>
      <c r="B2857" t="s">
        <v>10612</v>
      </c>
      <c r="C2857" t="s">
        <v>10613</v>
      </c>
      <c r="D2857" t="s">
        <v>10614</v>
      </c>
      <c r="E2857" t="s">
        <v>10612</v>
      </c>
      <c r="F2857" t="s">
        <v>28</v>
      </c>
      <c r="G2857" t="s">
        <v>10612</v>
      </c>
      <c r="H2857" t="str">
        <f>"mrpl-21"</f>
        <v>mrpl-21</v>
      </c>
      <c r="I2857" t="s">
        <v>10614</v>
      </c>
      <c r="J2857" t="s">
        <v>29</v>
      </c>
      <c r="K2857" t="s">
        <v>29</v>
      </c>
      <c r="L2857" t="s">
        <v>29</v>
      </c>
      <c r="M2857" t="s">
        <v>29</v>
      </c>
      <c r="N2857" t="s">
        <v>29</v>
      </c>
      <c r="O2857" t="s">
        <v>29</v>
      </c>
      <c r="P2857" t="s">
        <v>29</v>
      </c>
      <c r="Q2857" t="s">
        <v>29</v>
      </c>
      <c r="R2857" t="s">
        <v>29</v>
      </c>
      <c r="S2857">
        <v>10.7551354786444</v>
      </c>
      <c r="T2857" t="s">
        <v>29</v>
      </c>
      <c r="U2857" t="s">
        <v>29</v>
      </c>
      <c r="V2857" t="s">
        <v>29</v>
      </c>
      <c r="W2857" t="s">
        <v>29</v>
      </c>
      <c r="X2857" t="s">
        <v>29</v>
      </c>
      <c r="Y2857" t="s">
        <v>29</v>
      </c>
    </row>
    <row r="2858" spans="1:25" x14ac:dyDescent="0.2">
      <c r="A2858" t="s">
        <v>10615</v>
      </c>
      <c r="B2858" t="s">
        <v>10616</v>
      </c>
      <c r="C2858" t="s">
        <v>14573</v>
      </c>
      <c r="D2858" t="s">
        <v>10617</v>
      </c>
      <c r="E2858" t="s">
        <v>10616</v>
      </c>
      <c r="F2858" t="s">
        <v>28</v>
      </c>
      <c r="G2858" t="s">
        <v>10616</v>
      </c>
      <c r="H2858" t="str">
        <f>"D1069.3"</f>
        <v>D1069.3</v>
      </c>
      <c r="I2858" t="s">
        <v>10617</v>
      </c>
      <c r="J2858">
        <v>11.5787051020038</v>
      </c>
      <c r="K2858">
        <v>12.5077804995615</v>
      </c>
      <c r="L2858">
        <v>11.3190156050055</v>
      </c>
      <c r="M2858" t="s">
        <v>29</v>
      </c>
      <c r="N2858" t="s">
        <v>29</v>
      </c>
      <c r="O2858">
        <v>12.350472369813</v>
      </c>
      <c r="P2858">
        <v>0.548638634289356</v>
      </c>
      <c r="Q2858">
        <v>-0.28575252227548398</v>
      </c>
      <c r="R2858">
        <v>1.3830297908542</v>
      </c>
      <c r="S2858">
        <v>11.517663255742599</v>
      </c>
      <c r="T2858">
        <v>1.3946531883214699</v>
      </c>
      <c r="U2858">
        <v>-5.8497502571906796</v>
      </c>
      <c r="V2858">
        <v>0.18230712575428701</v>
      </c>
      <c r="W2858">
        <v>0.33641772047456697</v>
      </c>
      <c r="X2858">
        <v>0</v>
      </c>
      <c r="Y2858">
        <v>0</v>
      </c>
    </row>
    <row r="2859" spans="1:25" x14ac:dyDescent="0.2">
      <c r="A2859" t="s">
        <v>10618</v>
      </c>
      <c r="B2859" t="s">
        <v>10619</v>
      </c>
      <c r="C2859" t="s">
        <v>14574</v>
      </c>
      <c r="D2859" t="s">
        <v>3358</v>
      </c>
      <c r="E2859" t="s">
        <v>10619</v>
      </c>
      <c r="F2859" t="s">
        <v>28</v>
      </c>
      <c r="G2859" t="s">
        <v>10619</v>
      </c>
      <c r="H2859" t="str">
        <f>"T28B4.1"</f>
        <v>T28B4.1</v>
      </c>
      <c r="I2859" t="s">
        <v>3358</v>
      </c>
      <c r="J2859">
        <v>12.6410344191824</v>
      </c>
      <c r="K2859" t="s">
        <v>29</v>
      </c>
      <c r="L2859">
        <v>13.1969725371248</v>
      </c>
      <c r="M2859" t="s">
        <v>29</v>
      </c>
      <c r="N2859" t="s">
        <v>29</v>
      </c>
      <c r="O2859">
        <v>12.768880410262</v>
      </c>
      <c r="P2859">
        <v>-0.15012306789159499</v>
      </c>
      <c r="Q2859">
        <v>-1.18652999213452</v>
      </c>
      <c r="R2859">
        <v>0.88628385635133</v>
      </c>
      <c r="S2859">
        <v>12.893411448759601</v>
      </c>
      <c r="T2859">
        <v>-0.310891621465055</v>
      </c>
      <c r="U2859">
        <v>-6.70361367265774</v>
      </c>
      <c r="V2859">
        <v>0.76049787529956803</v>
      </c>
      <c r="W2859">
        <v>0.84839036102058896</v>
      </c>
      <c r="X2859">
        <v>0</v>
      </c>
      <c r="Y2859">
        <v>0</v>
      </c>
    </row>
    <row r="2860" spans="1:25" x14ac:dyDescent="0.2">
      <c r="A2860" t="s">
        <v>10620</v>
      </c>
      <c r="B2860" t="s">
        <v>10621</v>
      </c>
      <c r="C2860" t="s">
        <v>14575</v>
      </c>
      <c r="D2860" t="s">
        <v>10622</v>
      </c>
      <c r="E2860" t="s">
        <v>10621</v>
      </c>
      <c r="F2860" t="s">
        <v>28</v>
      </c>
      <c r="G2860" t="s">
        <v>10621</v>
      </c>
      <c r="H2860" t="str">
        <f>"R151.2"</f>
        <v>R151.2</v>
      </c>
      <c r="I2860" t="s">
        <v>10622</v>
      </c>
      <c r="J2860">
        <v>15.7802142953744</v>
      </c>
      <c r="K2860">
        <v>15.120128670270301</v>
      </c>
      <c r="L2860">
        <v>15.613134255504599</v>
      </c>
      <c r="M2860">
        <v>15.057822430654699</v>
      </c>
      <c r="N2860">
        <v>14.4463099125354</v>
      </c>
      <c r="O2860">
        <v>14.466540382604601</v>
      </c>
      <c r="P2860">
        <v>-0.84760149845148403</v>
      </c>
      <c r="Q2860">
        <v>-1.3251014695846299</v>
      </c>
      <c r="R2860">
        <v>-0.37010152731833601</v>
      </c>
      <c r="S2860">
        <v>15.438526831489</v>
      </c>
      <c r="T2860">
        <v>-3.7308765524101499</v>
      </c>
      <c r="U2860">
        <v>-1.76392765838205</v>
      </c>
      <c r="V2860">
        <v>1.5426938103755301E-3</v>
      </c>
      <c r="W2860">
        <v>1.2354126791241E-2</v>
      </c>
      <c r="X2860">
        <v>0</v>
      </c>
      <c r="Y2860">
        <v>0</v>
      </c>
    </row>
    <row r="2861" spans="1:25" x14ac:dyDescent="0.2">
      <c r="A2861" t="s">
        <v>10623</v>
      </c>
      <c r="B2861" t="s">
        <v>10624</v>
      </c>
      <c r="C2861" t="s">
        <v>10625</v>
      </c>
      <c r="D2861" t="s">
        <v>10626</v>
      </c>
      <c r="E2861" t="s">
        <v>10624</v>
      </c>
      <c r="F2861" t="s">
        <v>28</v>
      </c>
      <c r="G2861" t="s">
        <v>10624</v>
      </c>
      <c r="H2861" t="str">
        <f>"dot-1.1"</f>
        <v>dot-1.1</v>
      </c>
      <c r="I2861" t="s">
        <v>10626</v>
      </c>
      <c r="J2861" t="s">
        <v>29</v>
      </c>
      <c r="K2861">
        <v>11.2149380045869</v>
      </c>
      <c r="L2861">
        <v>10.1889305926252</v>
      </c>
      <c r="M2861" t="s">
        <v>29</v>
      </c>
      <c r="N2861" t="s">
        <v>29</v>
      </c>
      <c r="O2861" t="s">
        <v>29</v>
      </c>
      <c r="P2861" t="s">
        <v>29</v>
      </c>
      <c r="Q2861" t="s">
        <v>29</v>
      </c>
      <c r="R2861" t="s">
        <v>29</v>
      </c>
      <c r="S2861">
        <v>11.220192353825</v>
      </c>
      <c r="T2861" t="s">
        <v>29</v>
      </c>
      <c r="U2861" t="s">
        <v>29</v>
      </c>
      <c r="V2861" t="s">
        <v>29</v>
      </c>
      <c r="W2861" t="s">
        <v>29</v>
      </c>
      <c r="X2861" t="s">
        <v>29</v>
      </c>
      <c r="Y2861" t="s">
        <v>29</v>
      </c>
    </row>
    <row r="2862" spans="1:25" x14ac:dyDescent="0.2">
      <c r="A2862" t="s">
        <v>10627</v>
      </c>
      <c r="B2862" t="s">
        <v>10628</v>
      </c>
      <c r="C2862" t="s">
        <v>10629</v>
      </c>
      <c r="D2862" t="s">
        <v>10630</v>
      </c>
      <c r="E2862" t="s">
        <v>10628</v>
      </c>
      <c r="F2862" t="s">
        <v>28</v>
      </c>
      <c r="G2862" t="s">
        <v>10628</v>
      </c>
      <c r="H2862" t="str">
        <f>"cogc-3"</f>
        <v>cogc-3</v>
      </c>
      <c r="I2862" t="s">
        <v>10630</v>
      </c>
      <c r="J2862">
        <v>12.0167083843474</v>
      </c>
      <c r="K2862">
        <v>10.067343166696199</v>
      </c>
      <c r="L2862">
        <v>11.6866741377385</v>
      </c>
      <c r="M2862" t="s">
        <v>29</v>
      </c>
      <c r="N2862">
        <v>12.3170994152904</v>
      </c>
      <c r="O2862">
        <v>12.3502799233818</v>
      </c>
      <c r="P2862">
        <v>1.07678110640873</v>
      </c>
      <c r="Q2862">
        <v>5.6667198856658899E-2</v>
      </c>
      <c r="R2862">
        <v>2.0968950139608</v>
      </c>
      <c r="S2862">
        <v>12.0036567917243</v>
      </c>
      <c r="T2862">
        <v>2.2280696933878201</v>
      </c>
      <c r="U2862">
        <v>-4.7600647395962303</v>
      </c>
      <c r="V2862">
        <v>3.9757343498784799E-2</v>
      </c>
      <c r="W2862">
        <v>0.117753659588863</v>
      </c>
      <c r="X2862">
        <v>1</v>
      </c>
      <c r="Y2862">
        <v>0</v>
      </c>
    </row>
    <row r="2863" spans="1:25" x14ac:dyDescent="0.2">
      <c r="A2863" t="s">
        <v>10631</v>
      </c>
      <c r="B2863" t="s">
        <v>10632</v>
      </c>
      <c r="C2863" t="s">
        <v>10633</v>
      </c>
      <c r="D2863" t="s">
        <v>10634</v>
      </c>
      <c r="E2863" t="s">
        <v>10632</v>
      </c>
      <c r="F2863" t="s">
        <v>28</v>
      </c>
      <c r="G2863" t="s">
        <v>10632</v>
      </c>
      <c r="H2863" t="str">
        <f>"nurf-1"</f>
        <v>nurf-1</v>
      </c>
      <c r="I2863" t="s">
        <v>10634</v>
      </c>
      <c r="J2863">
        <v>13.827820372527199</v>
      </c>
      <c r="K2863">
        <v>14.3341733153507</v>
      </c>
      <c r="L2863">
        <v>14.1132255902415</v>
      </c>
      <c r="M2863" t="s">
        <v>29</v>
      </c>
      <c r="N2863">
        <v>13.6398673913094</v>
      </c>
      <c r="O2863">
        <v>13.0166151580195</v>
      </c>
      <c r="P2863">
        <v>-0.76349848470869797</v>
      </c>
      <c r="Q2863">
        <v>-1.2670260057081699</v>
      </c>
      <c r="R2863">
        <v>-0.25997096370922201</v>
      </c>
      <c r="S2863">
        <v>14.2450754704373</v>
      </c>
      <c r="T2863">
        <v>-3.2006263775866102</v>
      </c>
      <c r="U2863">
        <v>-2.8450448262335799</v>
      </c>
      <c r="V2863">
        <v>5.27282456957473E-3</v>
      </c>
      <c r="W2863">
        <v>2.9356637194350901E-2</v>
      </c>
      <c r="X2863">
        <v>0</v>
      </c>
      <c r="Y2863">
        <v>0</v>
      </c>
    </row>
    <row r="2864" spans="1:25" x14ac:dyDescent="0.2">
      <c r="A2864" t="s">
        <v>10635</v>
      </c>
      <c r="B2864" t="s">
        <v>10636</v>
      </c>
      <c r="C2864" t="s">
        <v>14576</v>
      </c>
      <c r="D2864" t="s">
        <v>10637</v>
      </c>
      <c r="E2864" t="s">
        <v>10636</v>
      </c>
      <c r="F2864" t="s">
        <v>28</v>
      </c>
      <c r="G2864" t="s">
        <v>10636</v>
      </c>
      <c r="H2864" t="str">
        <f>"F27C1.2"</f>
        <v>F27C1.2</v>
      </c>
      <c r="I2864" t="s">
        <v>10637</v>
      </c>
      <c r="J2864">
        <v>13.724728308660101</v>
      </c>
      <c r="K2864">
        <v>14.125371660715301</v>
      </c>
      <c r="L2864">
        <v>13.581553655558199</v>
      </c>
      <c r="M2864">
        <v>16.983570157077502</v>
      </c>
      <c r="N2864">
        <v>12.7611123908202</v>
      </c>
      <c r="O2864">
        <v>13.3587782275912</v>
      </c>
      <c r="P2864">
        <v>0.55726905018505801</v>
      </c>
      <c r="Q2864">
        <v>-0.81312317910277898</v>
      </c>
      <c r="R2864">
        <v>1.92766127947289</v>
      </c>
      <c r="S2864">
        <v>14.2039770209289</v>
      </c>
      <c r="T2864">
        <v>0.85469772808437605</v>
      </c>
      <c r="U2864">
        <v>-6.7806000108781799</v>
      </c>
      <c r="V2864">
        <v>0.40401626960554798</v>
      </c>
      <c r="W2864">
        <v>0.57269646297621501</v>
      </c>
      <c r="X2864">
        <v>0</v>
      </c>
      <c r="Y2864">
        <v>0</v>
      </c>
    </row>
    <row r="2865" spans="1:25" x14ac:dyDescent="0.2">
      <c r="A2865" t="s">
        <v>10638</v>
      </c>
      <c r="B2865" t="s">
        <v>10639</v>
      </c>
      <c r="C2865" t="s">
        <v>10640</v>
      </c>
      <c r="D2865" t="s">
        <v>10641</v>
      </c>
      <c r="E2865" t="s">
        <v>10639</v>
      </c>
      <c r="F2865" t="s">
        <v>28</v>
      </c>
      <c r="G2865" t="s">
        <v>10639</v>
      </c>
      <c r="H2865" t="str">
        <f>"math-33"</f>
        <v>math-33</v>
      </c>
      <c r="I2865" t="s">
        <v>10641</v>
      </c>
      <c r="J2865">
        <v>15.1093272264749</v>
      </c>
      <c r="K2865">
        <v>15.063056508224401</v>
      </c>
      <c r="L2865">
        <v>14.596321138378499</v>
      </c>
      <c r="M2865">
        <v>14.4817274553217</v>
      </c>
      <c r="N2865">
        <v>15.0556747967332</v>
      </c>
      <c r="O2865">
        <v>14.802424950119301</v>
      </c>
      <c r="P2865">
        <v>-0.142959223634545</v>
      </c>
      <c r="Q2865">
        <v>-0.58381753459200703</v>
      </c>
      <c r="R2865">
        <v>0.29789908732291698</v>
      </c>
      <c r="S2865">
        <v>14.6915687485552</v>
      </c>
      <c r="T2865">
        <v>-0.68156245991745001</v>
      </c>
      <c r="U2865">
        <v>-6.9156502186369799</v>
      </c>
      <c r="V2865">
        <v>0.50424155665177495</v>
      </c>
      <c r="W2865">
        <v>0.65774686978761998</v>
      </c>
      <c r="X2865">
        <v>0</v>
      </c>
      <c r="Y2865">
        <v>0</v>
      </c>
    </row>
    <row r="2866" spans="1:25" x14ac:dyDescent="0.2">
      <c r="A2866" t="s">
        <v>10642</v>
      </c>
      <c r="B2866" t="s">
        <v>10643</v>
      </c>
      <c r="C2866" t="s">
        <v>10644</v>
      </c>
      <c r="D2866" t="s">
        <v>10645</v>
      </c>
      <c r="E2866" t="s">
        <v>10643</v>
      </c>
      <c r="F2866" t="s">
        <v>28</v>
      </c>
      <c r="G2866" t="s">
        <v>10643</v>
      </c>
      <c r="H2866" t="str">
        <f>"hsr-9"</f>
        <v>hsr-9</v>
      </c>
      <c r="I2866" t="s">
        <v>10645</v>
      </c>
      <c r="J2866">
        <v>13.3718362349071</v>
      </c>
      <c r="K2866">
        <v>13.8494835916459</v>
      </c>
      <c r="L2866">
        <v>13.7391347687402</v>
      </c>
      <c r="M2866" t="s">
        <v>29</v>
      </c>
      <c r="N2866">
        <v>12.078356497639</v>
      </c>
      <c r="O2866">
        <v>12.286912329856399</v>
      </c>
      <c r="P2866">
        <v>-1.47085045135001</v>
      </c>
      <c r="Q2866">
        <v>-2.0930915262337799</v>
      </c>
      <c r="R2866">
        <v>-0.84860937646624901</v>
      </c>
      <c r="S2866">
        <v>13.294197106990101</v>
      </c>
      <c r="T2866">
        <v>-4.9895324933710299</v>
      </c>
      <c r="U2866">
        <v>0.96025952810346904</v>
      </c>
      <c r="V2866">
        <v>1.14036593658868E-4</v>
      </c>
      <c r="W2866">
        <v>1.9104040417674099E-3</v>
      </c>
      <c r="X2866">
        <v>-1</v>
      </c>
      <c r="Y2866">
        <v>-1</v>
      </c>
    </row>
    <row r="2867" spans="1:25" x14ac:dyDescent="0.2">
      <c r="A2867" t="s">
        <v>10646</v>
      </c>
      <c r="B2867" t="s">
        <v>10647</v>
      </c>
      <c r="C2867" t="s">
        <v>10648</v>
      </c>
      <c r="D2867" t="s">
        <v>1027</v>
      </c>
      <c r="E2867" t="s">
        <v>10647</v>
      </c>
      <c r="F2867" t="s">
        <v>28</v>
      </c>
      <c r="G2867" t="s">
        <v>10647</v>
      </c>
      <c r="H2867" t="str">
        <f>"duo-1"</f>
        <v>duo-1</v>
      </c>
      <c r="I2867" t="s">
        <v>1027</v>
      </c>
      <c r="J2867" t="s">
        <v>29</v>
      </c>
      <c r="K2867" t="s">
        <v>29</v>
      </c>
      <c r="L2867" t="s">
        <v>29</v>
      </c>
      <c r="M2867" t="s">
        <v>29</v>
      </c>
      <c r="N2867" t="s">
        <v>29</v>
      </c>
      <c r="O2867" t="s">
        <v>29</v>
      </c>
      <c r="P2867" t="s">
        <v>29</v>
      </c>
      <c r="Q2867" t="s">
        <v>29</v>
      </c>
      <c r="R2867" t="s">
        <v>29</v>
      </c>
      <c r="S2867">
        <v>11.507491645429701</v>
      </c>
      <c r="T2867" t="s">
        <v>29</v>
      </c>
      <c r="U2867" t="s">
        <v>29</v>
      </c>
      <c r="V2867" t="s">
        <v>29</v>
      </c>
      <c r="W2867" t="s">
        <v>29</v>
      </c>
      <c r="X2867" t="s">
        <v>29</v>
      </c>
      <c r="Y2867" t="s">
        <v>29</v>
      </c>
    </row>
    <row r="2868" spans="1:25" x14ac:dyDescent="0.2">
      <c r="A2868" t="s">
        <v>10649</v>
      </c>
      <c r="B2868" t="s">
        <v>10650</v>
      </c>
      <c r="C2868" t="s">
        <v>10651</v>
      </c>
      <c r="D2868" t="s">
        <v>10652</v>
      </c>
      <c r="E2868" t="s">
        <v>10650</v>
      </c>
      <c r="F2868" t="s">
        <v>28</v>
      </c>
      <c r="G2868" t="s">
        <v>10650</v>
      </c>
      <c r="H2868" t="str">
        <f>"sma-9"</f>
        <v>sma-9</v>
      </c>
      <c r="I2868" t="s">
        <v>10652</v>
      </c>
      <c r="J2868">
        <v>12.095199061275601</v>
      </c>
      <c r="K2868">
        <v>12.5648913308162</v>
      </c>
      <c r="L2868">
        <v>12.424513072205499</v>
      </c>
      <c r="M2868" t="s">
        <v>29</v>
      </c>
      <c r="N2868" t="s">
        <v>29</v>
      </c>
      <c r="O2868">
        <v>12.3099581026928</v>
      </c>
      <c r="P2868">
        <v>-5.1576385406285397E-2</v>
      </c>
      <c r="Q2868">
        <v>-0.88312001684058605</v>
      </c>
      <c r="R2868">
        <v>0.77996724602801504</v>
      </c>
      <c r="S2868">
        <v>12.3802831190057</v>
      </c>
      <c r="T2868">
        <v>-0.13155743293208599</v>
      </c>
      <c r="U2868">
        <v>-6.8036165279326601</v>
      </c>
      <c r="V2868">
        <v>0.89698516038544895</v>
      </c>
      <c r="W2868">
        <v>0.938737243529981</v>
      </c>
      <c r="X2868">
        <v>0</v>
      </c>
      <c r="Y2868">
        <v>0</v>
      </c>
    </row>
    <row r="2869" spans="1:25" x14ac:dyDescent="0.2">
      <c r="A2869" t="s">
        <v>10653</v>
      </c>
      <c r="B2869" t="s">
        <v>10654</v>
      </c>
      <c r="C2869" t="s">
        <v>10655</v>
      </c>
      <c r="D2869" t="s">
        <v>1027</v>
      </c>
      <c r="E2869" t="s">
        <v>10654</v>
      </c>
      <c r="F2869" t="s">
        <v>28</v>
      </c>
      <c r="G2869" t="s">
        <v>10654</v>
      </c>
      <c r="H2869" t="str">
        <f>"cyld-1"</f>
        <v>cyld-1</v>
      </c>
      <c r="I2869" t="s">
        <v>1027</v>
      </c>
      <c r="J2869">
        <v>11.902721820097501</v>
      </c>
      <c r="K2869">
        <v>12.785417005085799</v>
      </c>
      <c r="L2869">
        <v>12.5148487844714</v>
      </c>
      <c r="M2869" t="s">
        <v>29</v>
      </c>
      <c r="N2869" t="s">
        <v>29</v>
      </c>
      <c r="O2869">
        <v>11.7629960348648</v>
      </c>
      <c r="P2869">
        <v>-0.63799983502013902</v>
      </c>
      <c r="Q2869">
        <v>-1.2962855126428401</v>
      </c>
      <c r="R2869">
        <v>2.0285842602560299E-2</v>
      </c>
      <c r="S2869">
        <v>12.694872544216601</v>
      </c>
      <c r="T2869">
        <v>-2.05568084929318</v>
      </c>
      <c r="U2869">
        <v>-4.8477746544537403</v>
      </c>
      <c r="V2869">
        <v>5.66241375747129E-2</v>
      </c>
      <c r="W2869">
        <v>0.148726678638751</v>
      </c>
      <c r="X2869">
        <v>0</v>
      </c>
      <c r="Y2869">
        <v>0</v>
      </c>
    </row>
    <row r="2870" spans="1:25" x14ac:dyDescent="0.2">
      <c r="A2870" t="s">
        <v>10656</v>
      </c>
      <c r="B2870" t="s">
        <v>10657</v>
      </c>
      <c r="C2870" t="s">
        <v>10658</v>
      </c>
      <c r="D2870" t="s">
        <v>10659</v>
      </c>
      <c r="E2870" t="s">
        <v>10657</v>
      </c>
      <c r="F2870" t="s">
        <v>28</v>
      </c>
      <c r="G2870" t="s">
        <v>10657</v>
      </c>
      <c r="H2870" t="str">
        <f>"cbp-3"</f>
        <v>cbp-3</v>
      </c>
      <c r="I2870" t="s">
        <v>10659</v>
      </c>
      <c r="J2870" t="s">
        <v>29</v>
      </c>
      <c r="K2870" t="s">
        <v>29</v>
      </c>
      <c r="L2870" t="s">
        <v>29</v>
      </c>
      <c r="M2870" t="s">
        <v>29</v>
      </c>
      <c r="N2870" t="s">
        <v>29</v>
      </c>
      <c r="O2870" t="s">
        <v>29</v>
      </c>
      <c r="P2870" t="s">
        <v>29</v>
      </c>
      <c r="Q2870" t="s">
        <v>29</v>
      </c>
      <c r="R2870" t="s">
        <v>29</v>
      </c>
      <c r="S2870">
        <v>13.600043749210201</v>
      </c>
      <c r="T2870" t="s">
        <v>29</v>
      </c>
      <c r="U2870" t="s">
        <v>29</v>
      </c>
      <c r="V2870" t="s">
        <v>29</v>
      </c>
      <c r="W2870" t="s">
        <v>29</v>
      </c>
      <c r="X2870" t="s">
        <v>29</v>
      </c>
      <c r="Y2870" t="s">
        <v>29</v>
      </c>
    </row>
    <row r="2871" spans="1:25" x14ac:dyDescent="0.2">
      <c r="A2871" t="s">
        <v>10660</v>
      </c>
      <c r="B2871" t="s">
        <v>10661</v>
      </c>
      <c r="C2871" t="s">
        <v>10662</v>
      </c>
      <c r="D2871" t="s">
        <v>10663</v>
      </c>
      <c r="E2871" t="s">
        <v>10661</v>
      </c>
      <c r="F2871" t="s">
        <v>28</v>
      </c>
      <c r="G2871" t="s">
        <v>10661</v>
      </c>
      <c r="H2871" t="str">
        <f>"atp-3"</f>
        <v>atp-3</v>
      </c>
      <c r="I2871" t="s">
        <v>10663</v>
      </c>
      <c r="J2871">
        <v>14.2804894675829</v>
      </c>
      <c r="K2871">
        <v>14.5046574845923</v>
      </c>
      <c r="L2871">
        <v>14.558315188603901</v>
      </c>
      <c r="M2871">
        <v>14.1437383163736</v>
      </c>
      <c r="N2871">
        <v>15.3453344367416</v>
      </c>
      <c r="O2871">
        <v>14.4538856588331</v>
      </c>
      <c r="P2871">
        <v>0.19983209038974101</v>
      </c>
      <c r="Q2871">
        <v>-0.70719013024400701</v>
      </c>
      <c r="R2871">
        <v>1.1068543110234901</v>
      </c>
      <c r="S2871">
        <v>14.050853066475501</v>
      </c>
      <c r="T2871">
        <v>0.463062719360195</v>
      </c>
      <c r="U2871">
        <v>-7.0444450724255097</v>
      </c>
      <c r="V2871">
        <v>0.64890117225653898</v>
      </c>
      <c r="W2871">
        <v>0.76670814276018995</v>
      </c>
      <c r="X2871">
        <v>0</v>
      </c>
      <c r="Y2871">
        <v>0</v>
      </c>
    </row>
    <row r="2872" spans="1:25" x14ac:dyDescent="0.2">
      <c r="A2872" t="s">
        <v>10664</v>
      </c>
      <c r="B2872" t="s">
        <v>10665</v>
      </c>
      <c r="C2872" t="s">
        <v>10666</v>
      </c>
      <c r="D2872" t="s">
        <v>10667</v>
      </c>
      <c r="E2872" t="s">
        <v>10665</v>
      </c>
      <c r="F2872" t="s">
        <v>28</v>
      </c>
      <c r="G2872" t="s">
        <v>10665</v>
      </c>
      <c r="H2872" t="str">
        <f>"cyk-1"</f>
        <v>cyk-1</v>
      </c>
      <c r="I2872" t="s">
        <v>10667</v>
      </c>
      <c r="J2872">
        <v>9.8755064669620705</v>
      </c>
      <c r="K2872">
        <v>10.0731279277274</v>
      </c>
      <c r="L2872">
        <v>10.8611807514911</v>
      </c>
      <c r="M2872" t="s">
        <v>29</v>
      </c>
      <c r="N2872" t="s">
        <v>29</v>
      </c>
      <c r="O2872">
        <v>10.454022809168301</v>
      </c>
      <c r="P2872">
        <v>0.184084427108097</v>
      </c>
      <c r="Q2872">
        <v>-0.87736311958872404</v>
      </c>
      <c r="R2872">
        <v>1.24553197380492</v>
      </c>
      <c r="S2872">
        <v>10.510783397195</v>
      </c>
      <c r="T2872">
        <v>0.36987937789880099</v>
      </c>
      <c r="U2872">
        <v>-6.7409011502796297</v>
      </c>
      <c r="V2872">
        <v>0.71667856066094304</v>
      </c>
      <c r="W2872">
        <v>0.81704128366259099</v>
      </c>
      <c r="X2872">
        <v>0</v>
      </c>
      <c r="Y2872">
        <v>0</v>
      </c>
    </row>
    <row r="2873" spans="1:25" x14ac:dyDescent="0.2">
      <c r="A2873" t="s">
        <v>10668</v>
      </c>
      <c r="B2873" t="s">
        <v>10669</v>
      </c>
      <c r="C2873" t="s">
        <v>10670</v>
      </c>
      <c r="D2873" t="s">
        <v>3728</v>
      </c>
      <c r="E2873" t="s">
        <v>10669</v>
      </c>
      <c r="F2873" t="s">
        <v>28</v>
      </c>
      <c r="G2873" t="s">
        <v>10669</v>
      </c>
      <c r="H2873" t="str">
        <f>"gldi-2"</f>
        <v>gldi-2</v>
      </c>
      <c r="I2873" t="s">
        <v>3728</v>
      </c>
      <c r="J2873">
        <v>12.895489220332101</v>
      </c>
      <c r="K2873">
        <v>13.079814766019901</v>
      </c>
      <c r="L2873">
        <v>12.7381217670351</v>
      </c>
      <c r="M2873">
        <v>13.211624242807501</v>
      </c>
      <c r="N2873">
        <v>13.0222870439439</v>
      </c>
      <c r="O2873">
        <v>13.110574135010699</v>
      </c>
      <c r="P2873">
        <v>0.210353222791655</v>
      </c>
      <c r="Q2873">
        <v>-0.36753932606608802</v>
      </c>
      <c r="R2873">
        <v>0.78824577164939702</v>
      </c>
      <c r="S2873">
        <v>12.7410303254299</v>
      </c>
      <c r="T2873">
        <v>0.76505840102711897</v>
      </c>
      <c r="U2873">
        <v>-6.8540789874864698</v>
      </c>
      <c r="V2873">
        <v>0.45420889270590498</v>
      </c>
      <c r="W2873">
        <v>0.61810433889870997</v>
      </c>
      <c r="X2873">
        <v>0</v>
      </c>
      <c r="Y2873">
        <v>0</v>
      </c>
    </row>
    <row r="2874" spans="1:25" x14ac:dyDescent="0.2">
      <c r="A2874" t="s">
        <v>10671</v>
      </c>
      <c r="B2874" t="s">
        <v>10672</v>
      </c>
      <c r="C2874" t="s">
        <v>14577</v>
      </c>
      <c r="D2874" t="s">
        <v>10673</v>
      </c>
      <c r="E2874" t="s">
        <v>10672</v>
      </c>
      <c r="F2874" t="s">
        <v>28</v>
      </c>
      <c r="G2874" t="s">
        <v>10672</v>
      </c>
      <c r="H2874" t="str">
        <f>"T24H7.9"</f>
        <v>T24H7.9</v>
      </c>
      <c r="I2874" t="s">
        <v>10673</v>
      </c>
      <c r="J2874">
        <v>12.899561526782801</v>
      </c>
      <c r="K2874">
        <v>12.9273025717512</v>
      </c>
      <c r="L2874">
        <v>12.7008379792019</v>
      </c>
      <c r="M2874" t="s">
        <v>29</v>
      </c>
      <c r="N2874" t="s">
        <v>29</v>
      </c>
      <c r="O2874">
        <v>12.9946809735908</v>
      </c>
      <c r="P2874">
        <v>0.15211361434550599</v>
      </c>
      <c r="Q2874">
        <v>-0.55234502745843805</v>
      </c>
      <c r="R2874">
        <v>0.85657225614944998</v>
      </c>
      <c r="S2874">
        <v>12.598152127652799</v>
      </c>
      <c r="T2874">
        <v>0.45799645275832002</v>
      </c>
      <c r="U2874">
        <v>-6.7032723613133696</v>
      </c>
      <c r="V2874">
        <v>0.65315389149599101</v>
      </c>
      <c r="W2874">
        <v>0.76993780729547401</v>
      </c>
      <c r="X2874">
        <v>0</v>
      </c>
      <c r="Y2874">
        <v>0</v>
      </c>
    </row>
    <row r="2875" spans="1:25" x14ac:dyDescent="0.2">
      <c r="A2875" t="s">
        <v>10674</v>
      </c>
      <c r="B2875" t="s">
        <v>10675</v>
      </c>
      <c r="C2875" t="s">
        <v>10676</v>
      </c>
      <c r="D2875" t="s">
        <v>10677</v>
      </c>
      <c r="E2875" t="s">
        <v>10675</v>
      </c>
      <c r="F2875" t="s">
        <v>28</v>
      </c>
      <c r="G2875" t="s">
        <v>10675</v>
      </c>
      <c r="H2875" t="str">
        <f>"C35B8.3"</f>
        <v>C35B8.3</v>
      </c>
      <c r="I2875" t="s">
        <v>10677</v>
      </c>
      <c r="J2875" t="s">
        <v>29</v>
      </c>
      <c r="K2875" t="s">
        <v>29</v>
      </c>
      <c r="L2875">
        <v>11.5398460628123</v>
      </c>
      <c r="M2875" t="s">
        <v>29</v>
      </c>
      <c r="N2875" t="s">
        <v>29</v>
      </c>
      <c r="O2875">
        <v>12.1064376909563</v>
      </c>
      <c r="P2875">
        <v>0.56659162814398001</v>
      </c>
      <c r="Q2875">
        <v>-0.77970991199265205</v>
      </c>
      <c r="R2875">
        <v>1.9128931682806101</v>
      </c>
      <c r="S2875">
        <v>11.6670703367757</v>
      </c>
      <c r="T2875">
        <v>0.97273271458810595</v>
      </c>
      <c r="U2875">
        <v>-6.1189039217652503</v>
      </c>
      <c r="V2875">
        <v>0.35954155101844398</v>
      </c>
      <c r="W2875">
        <v>0.529255220205471</v>
      </c>
      <c r="X2875">
        <v>0</v>
      </c>
      <c r="Y2875">
        <v>0</v>
      </c>
    </row>
    <row r="2876" spans="1:25" x14ac:dyDescent="0.2">
      <c r="A2876" t="s">
        <v>10678</v>
      </c>
      <c r="B2876" t="s">
        <v>10679</v>
      </c>
      <c r="C2876" t="s">
        <v>10680</v>
      </c>
      <c r="D2876" t="s">
        <v>10681</v>
      </c>
      <c r="E2876" t="s">
        <v>10679</v>
      </c>
      <c r="F2876" t="s">
        <v>28</v>
      </c>
      <c r="G2876" t="s">
        <v>10679</v>
      </c>
      <c r="H2876" t="str">
        <f>"npp-16"</f>
        <v>npp-16</v>
      </c>
      <c r="I2876" t="s">
        <v>10681</v>
      </c>
      <c r="J2876">
        <v>12.7433499743667</v>
      </c>
      <c r="K2876">
        <v>12.8567813445945</v>
      </c>
      <c r="L2876">
        <v>12.5196204677237</v>
      </c>
      <c r="M2876" t="s">
        <v>29</v>
      </c>
      <c r="N2876" t="s">
        <v>29</v>
      </c>
      <c r="O2876">
        <v>13.130236956638001</v>
      </c>
      <c r="P2876">
        <v>0.423653027743013</v>
      </c>
      <c r="Q2876">
        <v>-0.269181946385391</v>
      </c>
      <c r="R2876">
        <v>1.1164880018714201</v>
      </c>
      <c r="S2876">
        <v>12.4973054016031</v>
      </c>
      <c r="T2876">
        <v>1.29697033184979</v>
      </c>
      <c r="U2876">
        <v>-5.9735214185694403</v>
      </c>
      <c r="V2876">
        <v>0.21315272514959299</v>
      </c>
      <c r="W2876">
        <v>0.37435106139204399</v>
      </c>
      <c r="X2876">
        <v>0</v>
      </c>
      <c r="Y2876">
        <v>0</v>
      </c>
    </row>
    <row r="2877" spans="1:25" x14ac:dyDescent="0.2">
      <c r="A2877" t="s">
        <v>10682</v>
      </c>
      <c r="B2877" t="s">
        <v>10683</v>
      </c>
      <c r="C2877" t="s">
        <v>10684</v>
      </c>
      <c r="D2877" t="s">
        <v>10685</v>
      </c>
      <c r="E2877" t="s">
        <v>10683</v>
      </c>
      <c r="F2877" t="s">
        <v>28</v>
      </c>
      <c r="G2877" t="s">
        <v>10683</v>
      </c>
      <c r="H2877" t="str">
        <f>"ceh-100"</f>
        <v>ceh-100</v>
      </c>
      <c r="I2877" t="s">
        <v>10685</v>
      </c>
      <c r="J2877">
        <v>11.8192534477805</v>
      </c>
      <c r="K2877" t="s">
        <v>29</v>
      </c>
      <c r="L2877">
        <v>11.6304173279728</v>
      </c>
      <c r="M2877" t="s">
        <v>29</v>
      </c>
      <c r="N2877" t="s">
        <v>29</v>
      </c>
      <c r="O2877">
        <v>11.232091941943199</v>
      </c>
      <c r="P2877">
        <v>-0.49274344593341701</v>
      </c>
      <c r="Q2877">
        <v>-1.41278155050844</v>
      </c>
      <c r="R2877">
        <v>0.42729465864160499</v>
      </c>
      <c r="S2877">
        <v>12.2930559891409</v>
      </c>
      <c r="T2877">
        <v>-1.15798327334551</v>
      </c>
      <c r="U2877">
        <v>-6.0768525726551603</v>
      </c>
      <c r="V2877">
        <v>0.26786903520313399</v>
      </c>
      <c r="W2877">
        <v>0.43517643150145402</v>
      </c>
      <c r="X2877">
        <v>0</v>
      </c>
      <c r="Y2877">
        <v>0</v>
      </c>
    </row>
    <row r="2878" spans="1:25" x14ac:dyDescent="0.2">
      <c r="A2878" t="s">
        <v>10686</v>
      </c>
      <c r="B2878" t="s">
        <v>10687</v>
      </c>
      <c r="C2878" t="s">
        <v>10688</v>
      </c>
      <c r="D2878" t="s">
        <v>10689</v>
      </c>
      <c r="E2878" t="s">
        <v>10687</v>
      </c>
      <c r="F2878" t="s">
        <v>28</v>
      </c>
      <c r="G2878" t="s">
        <v>10687</v>
      </c>
      <c r="H2878" t="str">
        <f>"gsa-1"</f>
        <v>gsa-1</v>
      </c>
      <c r="I2878" t="s">
        <v>10689</v>
      </c>
      <c r="J2878">
        <v>14.4057795664931</v>
      </c>
      <c r="K2878">
        <v>14.295885361750299</v>
      </c>
      <c r="L2878">
        <v>13.7542956043409</v>
      </c>
      <c r="M2878">
        <v>14.2366307494712</v>
      </c>
      <c r="N2878">
        <v>14.085039584193799</v>
      </c>
      <c r="O2878">
        <v>13.9705414596918</v>
      </c>
      <c r="P2878">
        <v>-5.4582913075790898E-2</v>
      </c>
      <c r="Q2878">
        <v>-0.50117452015242703</v>
      </c>
      <c r="R2878">
        <v>0.39200869400084498</v>
      </c>
      <c r="S2878">
        <v>13.6703594014499</v>
      </c>
      <c r="T2878">
        <v>-0.25688495301214398</v>
      </c>
      <c r="U2878">
        <v>-7.1217351299755096</v>
      </c>
      <c r="V2878">
        <v>0.80019788398964198</v>
      </c>
      <c r="W2878">
        <v>0.87534638608666504</v>
      </c>
      <c r="X2878">
        <v>0</v>
      </c>
      <c r="Y2878">
        <v>0</v>
      </c>
    </row>
    <row r="2879" spans="1:25" x14ac:dyDescent="0.2">
      <c r="A2879" t="s">
        <v>10690</v>
      </c>
      <c r="B2879" t="s">
        <v>10691</v>
      </c>
      <c r="C2879" t="s">
        <v>10692</v>
      </c>
      <c r="D2879" t="s">
        <v>10693</v>
      </c>
      <c r="E2879" t="s">
        <v>10691</v>
      </c>
      <c r="F2879" t="s">
        <v>28</v>
      </c>
      <c r="G2879" t="s">
        <v>10691</v>
      </c>
      <c r="H2879" t="str">
        <f>"emc-6"</f>
        <v>emc-6</v>
      </c>
      <c r="I2879" t="s">
        <v>10693</v>
      </c>
      <c r="J2879">
        <v>14.6627752532803</v>
      </c>
      <c r="K2879">
        <v>14.9921209770869</v>
      </c>
      <c r="L2879">
        <v>15.213606816497499</v>
      </c>
      <c r="M2879" t="s">
        <v>29</v>
      </c>
      <c r="N2879">
        <v>14.1327132997334</v>
      </c>
      <c r="O2879">
        <v>14.4280028094649</v>
      </c>
      <c r="P2879">
        <v>-0.67580962768910902</v>
      </c>
      <c r="Q2879">
        <v>-1.1377610895550501</v>
      </c>
      <c r="R2879">
        <v>-0.213858165823164</v>
      </c>
      <c r="S2879">
        <v>14.9384188305118</v>
      </c>
      <c r="T2879">
        <v>-3.0880053342487801</v>
      </c>
      <c r="U2879">
        <v>-3.0788651130303402</v>
      </c>
      <c r="V2879">
        <v>6.7112581657447603E-3</v>
      </c>
      <c r="W2879">
        <v>3.4336940650086502E-2</v>
      </c>
      <c r="X2879">
        <v>0</v>
      </c>
      <c r="Y2879">
        <v>0</v>
      </c>
    </row>
    <row r="2880" spans="1:25" x14ac:dyDescent="0.2">
      <c r="A2880" t="s">
        <v>10694</v>
      </c>
      <c r="B2880" t="s">
        <v>10695</v>
      </c>
      <c r="C2880" t="s">
        <v>10696</v>
      </c>
      <c r="D2880" t="s">
        <v>10697</v>
      </c>
      <c r="E2880" t="s">
        <v>10695</v>
      </c>
      <c r="F2880" t="s">
        <v>28</v>
      </c>
      <c r="G2880" t="s">
        <v>10695</v>
      </c>
      <c r="H2880" t="str">
        <f>"mrpl-1"</f>
        <v>mrpl-1</v>
      </c>
      <c r="I2880" t="s">
        <v>10697</v>
      </c>
      <c r="J2880">
        <v>15.419890655998399</v>
      </c>
      <c r="K2880">
        <v>15.237676559435799</v>
      </c>
      <c r="L2880">
        <v>15.4296416843444</v>
      </c>
      <c r="M2880">
        <v>13.8974456603279</v>
      </c>
      <c r="N2880">
        <v>15.1728012739806</v>
      </c>
      <c r="O2880">
        <v>15.2637838939399</v>
      </c>
      <c r="P2880">
        <v>-0.58439269051007903</v>
      </c>
      <c r="Q2880">
        <v>-1.14537423265315</v>
      </c>
      <c r="R2880">
        <v>-2.34111483670114E-2</v>
      </c>
      <c r="S2880">
        <v>15.1487384796757</v>
      </c>
      <c r="T2880">
        <v>-2.1895189906498498</v>
      </c>
      <c r="U2880">
        <v>-4.9289335558628604</v>
      </c>
      <c r="V2880">
        <v>4.2057258820901298E-2</v>
      </c>
      <c r="W2880">
        <v>0.120919748044094</v>
      </c>
      <c r="X2880">
        <v>0</v>
      </c>
      <c r="Y2880">
        <v>0</v>
      </c>
    </row>
    <row r="2881" spans="1:25" x14ac:dyDescent="0.2">
      <c r="A2881" t="s">
        <v>10698</v>
      </c>
      <c r="B2881" t="s">
        <v>10699</v>
      </c>
      <c r="C2881" t="s">
        <v>14578</v>
      </c>
      <c r="D2881" t="s">
        <v>10700</v>
      </c>
      <c r="E2881" t="s">
        <v>10699</v>
      </c>
      <c r="F2881" t="s">
        <v>28</v>
      </c>
      <c r="G2881" t="s">
        <v>10699</v>
      </c>
      <c r="H2881" t="str">
        <f>"T09F3.5"</f>
        <v>T09F3.5</v>
      </c>
      <c r="I2881" t="s">
        <v>10700</v>
      </c>
      <c r="J2881">
        <v>12.0441758516071</v>
      </c>
      <c r="K2881">
        <v>10.951040888551301</v>
      </c>
      <c r="L2881">
        <v>11.1291937413465</v>
      </c>
      <c r="M2881" t="s">
        <v>29</v>
      </c>
      <c r="N2881" t="s">
        <v>29</v>
      </c>
      <c r="O2881">
        <v>11.6420643302716</v>
      </c>
      <c r="P2881">
        <v>0.26726083643661103</v>
      </c>
      <c r="Q2881">
        <v>-0.55780355159334905</v>
      </c>
      <c r="R2881">
        <v>1.09232522446657</v>
      </c>
      <c r="S2881">
        <v>11.6317023828309</v>
      </c>
      <c r="T2881">
        <v>0.69524740069421798</v>
      </c>
      <c r="U2881">
        <v>-6.5610972713218603</v>
      </c>
      <c r="V2881">
        <v>0.49836315296537698</v>
      </c>
      <c r="W2881">
        <v>0.65449029045854101</v>
      </c>
      <c r="X2881">
        <v>0</v>
      </c>
      <c r="Y2881">
        <v>0</v>
      </c>
    </row>
    <row r="2882" spans="1:25" x14ac:dyDescent="0.2">
      <c r="A2882" t="s">
        <v>10701</v>
      </c>
      <c r="B2882" t="s">
        <v>10702</v>
      </c>
      <c r="C2882" t="s">
        <v>10703</v>
      </c>
      <c r="D2882" t="s">
        <v>10704</v>
      </c>
      <c r="E2882" t="s">
        <v>10702</v>
      </c>
      <c r="F2882" t="s">
        <v>28</v>
      </c>
      <c r="G2882" t="s">
        <v>10702</v>
      </c>
      <c r="H2882" t="str">
        <f>"mter-4"</f>
        <v>mter-4</v>
      </c>
      <c r="I2882" t="s">
        <v>10704</v>
      </c>
      <c r="J2882">
        <v>13.422918193083699</v>
      </c>
      <c r="K2882">
        <v>13.2933358466335</v>
      </c>
      <c r="L2882">
        <v>12.67006436494</v>
      </c>
      <c r="M2882" t="s">
        <v>29</v>
      </c>
      <c r="N2882">
        <v>13.6277056121559</v>
      </c>
      <c r="O2882">
        <v>13.546869416289301</v>
      </c>
      <c r="P2882">
        <v>0.45851471267014798</v>
      </c>
      <c r="Q2882">
        <v>-0.28708980645591903</v>
      </c>
      <c r="R2882">
        <v>1.2041192317962099</v>
      </c>
      <c r="S2882">
        <v>13.7185174249865</v>
      </c>
      <c r="T2882">
        <v>1.29805997014305</v>
      </c>
      <c r="U2882">
        <v>-6.2015111376985903</v>
      </c>
      <c r="V2882">
        <v>0.21170855632155799</v>
      </c>
      <c r="W2882">
        <v>0.373595877532714</v>
      </c>
      <c r="X2882">
        <v>0</v>
      </c>
      <c r="Y2882">
        <v>0</v>
      </c>
    </row>
    <row r="2883" spans="1:25" x14ac:dyDescent="0.2">
      <c r="A2883" t="s">
        <v>10705</v>
      </c>
      <c r="B2883" t="s">
        <v>10706</v>
      </c>
      <c r="C2883" t="s">
        <v>14579</v>
      </c>
      <c r="D2883" t="s">
        <v>10707</v>
      </c>
      <c r="E2883" t="s">
        <v>10706</v>
      </c>
      <c r="F2883" t="s">
        <v>28</v>
      </c>
      <c r="G2883" t="s">
        <v>10706</v>
      </c>
      <c r="H2883" t="str">
        <f>"Y26E6A.3"</f>
        <v>Y26E6A.3</v>
      </c>
      <c r="I2883" t="s">
        <v>10707</v>
      </c>
      <c r="J2883" t="s">
        <v>29</v>
      </c>
      <c r="K2883" t="s">
        <v>29</v>
      </c>
      <c r="L2883" t="s">
        <v>29</v>
      </c>
      <c r="M2883" t="s">
        <v>29</v>
      </c>
      <c r="N2883" t="s">
        <v>29</v>
      </c>
      <c r="O2883" t="s">
        <v>29</v>
      </c>
      <c r="P2883" t="s">
        <v>29</v>
      </c>
      <c r="Q2883" t="s">
        <v>29</v>
      </c>
      <c r="R2883" t="s">
        <v>29</v>
      </c>
      <c r="S2883">
        <v>11.528036521529</v>
      </c>
      <c r="T2883" t="s">
        <v>29</v>
      </c>
      <c r="U2883" t="s">
        <v>29</v>
      </c>
      <c r="V2883" t="s">
        <v>29</v>
      </c>
      <c r="W2883" t="s">
        <v>29</v>
      </c>
      <c r="X2883" t="s">
        <v>29</v>
      </c>
      <c r="Y2883" t="s">
        <v>29</v>
      </c>
    </row>
    <row r="2884" spans="1:25" x14ac:dyDescent="0.2">
      <c r="A2884" t="s">
        <v>10708</v>
      </c>
      <c r="B2884" t="s">
        <v>10709</v>
      </c>
      <c r="C2884" t="s">
        <v>10710</v>
      </c>
      <c r="D2884" t="s">
        <v>10711</v>
      </c>
      <c r="E2884" t="s">
        <v>10709</v>
      </c>
      <c r="F2884" t="s">
        <v>28</v>
      </c>
      <c r="G2884" t="s">
        <v>10709</v>
      </c>
      <c r="H2884" t="str">
        <f>"mig-14"</f>
        <v>mig-14</v>
      </c>
      <c r="I2884" t="s">
        <v>10711</v>
      </c>
      <c r="J2884">
        <v>12.917180349962599</v>
      </c>
      <c r="K2884">
        <v>12.5055002542337</v>
      </c>
      <c r="L2884">
        <v>12.452183115704401</v>
      </c>
      <c r="M2884" t="s">
        <v>29</v>
      </c>
      <c r="N2884">
        <v>12.6645175454865</v>
      </c>
      <c r="O2884">
        <v>12.724735091475599</v>
      </c>
      <c r="P2884">
        <v>6.9671745180853506E-2</v>
      </c>
      <c r="Q2884">
        <v>-0.58843437070277005</v>
      </c>
      <c r="R2884">
        <v>0.72777786106447695</v>
      </c>
      <c r="S2884">
        <v>12.874902845293001</v>
      </c>
      <c r="T2884">
        <v>0.223465650229658</v>
      </c>
      <c r="U2884">
        <v>-7.0192644939774098</v>
      </c>
      <c r="V2884">
        <v>0.82585277379125199</v>
      </c>
      <c r="W2884">
        <v>0.89019316911588098</v>
      </c>
      <c r="X2884">
        <v>0</v>
      </c>
      <c r="Y2884">
        <v>0</v>
      </c>
    </row>
    <row r="2885" spans="1:25" x14ac:dyDescent="0.2">
      <c r="A2885" t="s">
        <v>10712</v>
      </c>
      <c r="B2885" t="s">
        <v>10713</v>
      </c>
      <c r="C2885" t="s">
        <v>10714</v>
      </c>
      <c r="D2885" t="s">
        <v>10715</v>
      </c>
      <c r="E2885" t="s">
        <v>10713</v>
      </c>
      <c r="F2885" t="s">
        <v>28</v>
      </c>
      <c r="G2885" t="s">
        <v>10713</v>
      </c>
      <c r="H2885" t="str">
        <f>"C26C6.9"</f>
        <v>C26C6.9</v>
      </c>
      <c r="I2885" t="s">
        <v>10715</v>
      </c>
      <c r="J2885">
        <v>14.785211818146401</v>
      </c>
      <c r="K2885">
        <v>14.168895674886601</v>
      </c>
      <c r="L2885">
        <v>14.3206846894851</v>
      </c>
      <c r="M2885" t="s">
        <v>29</v>
      </c>
      <c r="N2885">
        <v>12.9230529490463</v>
      </c>
      <c r="O2885">
        <v>13.7675966622317</v>
      </c>
      <c r="P2885">
        <v>-1.0796059218670599</v>
      </c>
      <c r="Q2885">
        <v>-1.7330110915224199</v>
      </c>
      <c r="R2885">
        <v>-0.426200752211706</v>
      </c>
      <c r="S2885">
        <v>13.791009657701901</v>
      </c>
      <c r="T2885">
        <v>-3.5045496865119099</v>
      </c>
      <c r="U2885">
        <v>-2.2577371454067201</v>
      </c>
      <c r="V2885">
        <v>2.9602613583908401E-3</v>
      </c>
      <c r="W2885">
        <v>1.94295996061866E-2</v>
      </c>
      <c r="X2885">
        <v>-1</v>
      </c>
      <c r="Y2885">
        <v>-1</v>
      </c>
    </row>
    <row r="2886" spans="1:25" x14ac:dyDescent="0.2">
      <c r="A2886" t="s">
        <v>10716</v>
      </c>
      <c r="B2886" t="s">
        <v>10717</v>
      </c>
      <c r="C2886" t="s">
        <v>14580</v>
      </c>
      <c r="D2886" t="s">
        <v>3770</v>
      </c>
      <c r="E2886" t="s">
        <v>10717</v>
      </c>
      <c r="F2886" t="s">
        <v>28</v>
      </c>
      <c r="G2886" t="s">
        <v>10717</v>
      </c>
      <c r="H2886" t="str">
        <f>"Y48G9A.9"</f>
        <v>Y48G9A.9</v>
      </c>
      <c r="I2886" t="s">
        <v>3770</v>
      </c>
      <c r="J2886">
        <v>13.417924431628499</v>
      </c>
      <c r="K2886">
        <v>13.533908497716499</v>
      </c>
      <c r="L2886">
        <v>13.0248398642604</v>
      </c>
      <c r="M2886">
        <v>12.609900629773099</v>
      </c>
      <c r="N2886">
        <v>13.033529256092701</v>
      </c>
      <c r="O2886">
        <v>13.2236852046439</v>
      </c>
      <c r="P2886">
        <v>-0.36985256769855102</v>
      </c>
      <c r="Q2886">
        <v>-0.95074532529129296</v>
      </c>
      <c r="R2886">
        <v>0.21104018989419099</v>
      </c>
      <c r="S2886">
        <v>12.8001310053433</v>
      </c>
      <c r="T2886">
        <v>-1.33821283034506</v>
      </c>
      <c r="U2886">
        <v>-6.2608637278822403</v>
      </c>
      <c r="V2886">
        <v>0.19758385076538501</v>
      </c>
      <c r="W2886">
        <v>0.35678897561617001</v>
      </c>
      <c r="X2886">
        <v>0</v>
      </c>
      <c r="Y2886">
        <v>0</v>
      </c>
    </row>
    <row r="2887" spans="1:25" x14ac:dyDescent="0.2">
      <c r="A2887" t="s">
        <v>10718</v>
      </c>
      <c r="B2887" t="s">
        <v>10719</v>
      </c>
      <c r="C2887" t="s">
        <v>10720</v>
      </c>
      <c r="D2887" t="s">
        <v>10721</v>
      </c>
      <c r="E2887" t="s">
        <v>10719</v>
      </c>
      <c r="F2887" t="s">
        <v>28</v>
      </c>
      <c r="G2887" t="s">
        <v>10719</v>
      </c>
      <c r="H2887" t="str">
        <f>"tps-1"</f>
        <v>tps-1</v>
      </c>
      <c r="I2887" t="s">
        <v>10721</v>
      </c>
      <c r="J2887">
        <v>11.7701819910127</v>
      </c>
      <c r="K2887">
        <v>11.207715835361199</v>
      </c>
      <c r="L2887">
        <v>11.3418234565208</v>
      </c>
      <c r="M2887">
        <v>12.8908468595454</v>
      </c>
      <c r="N2887">
        <v>13.079398166891901</v>
      </c>
      <c r="O2887">
        <v>14.5109985219027</v>
      </c>
      <c r="P2887">
        <v>2.0538407551484501</v>
      </c>
      <c r="Q2887">
        <v>1.35582463538366</v>
      </c>
      <c r="R2887">
        <v>2.7518568749132499</v>
      </c>
      <c r="S2887">
        <v>12.340294943704199</v>
      </c>
      <c r="T2887">
        <v>6.1843466985861602</v>
      </c>
      <c r="U2887">
        <v>3.52586777101049</v>
      </c>
      <c r="V2887" s="2">
        <v>7.9478305411815193E-6</v>
      </c>
      <c r="W2887">
        <v>2.34222566048619E-4</v>
      </c>
      <c r="X2887">
        <v>1</v>
      </c>
      <c r="Y2887">
        <v>1</v>
      </c>
    </row>
    <row r="2888" spans="1:25" x14ac:dyDescent="0.2">
      <c r="A2888" t="s">
        <v>10722</v>
      </c>
      <c r="B2888" t="s">
        <v>10723</v>
      </c>
      <c r="C2888" t="s">
        <v>10724</v>
      </c>
      <c r="D2888" t="s">
        <v>10725</v>
      </c>
      <c r="E2888" t="s">
        <v>10723</v>
      </c>
      <c r="F2888" t="s">
        <v>28</v>
      </c>
      <c r="G2888" t="s">
        <v>10723</v>
      </c>
      <c r="H2888" t="str">
        <f>"tnt-2"</f>
        <v>tnt-2</v>
      </c>
      <c r="I2888" t="s">
        <v>10725</v>
      </c>
      <c r="J2888">
        <v>11.493148785921001</v>
      </c>
      <c r="K2888" t="s">
        <v>29</v>
      </c>
      <c r="L2888" t="s">
        <v>29</v>
      </c>
      <c r="M2888" t="s">
        <v>29</v>
      </c>
      <c r="N2888" t="s">
        <v>29</v>
      </c>
      <c r="O2888" t="s">
        <v>29</v>
      </c>
      <c r="P2888" t="s">
        <v>29</v>
      </c>
      <c r="Q2888" t="s">
        <v>29</v>
      </c>
      <c r="R2888" t="s">
        <v>29</v>
      </c>
      <c r="S2888">
        <v>10.736241098163701</v>
      </c>
      <c r="T2888" t="s">
        <v>29</v>
      </c>
      <c r="U2888" t="s">
        <v>29</v>
      </c>
      <c r="V2888" t="s">
        <v>29</v>
      </c>
      <c r="W2888" t="s">
        <v>29</v>
      </c>
      <c r="X2888" t="s">
        <v>29</v>
      </c>
      <c r="Y2888" t="s">
        <v>29</v>
      </c>
    </row>
    <row r="2889" spans="1:25" x14ac:dyDescent="0.2">
      <c r="A2889" t="s">
        <v>10726</v>
      </c>
      <c r="B2889" t="s">
        <v>10727</v>
      </c>
      <c r="C2889" t="s">
        <v>10728</v>
      </c>
      <c r="D2889" t="s">
        <v>379</v>
      </c>
      <c r="E2889" t="s">
        <v>10727</v>
      </c>
      <c r="F2889" t="s">
        <v>28</v>
      </c>
      <c r="G2889" t="s">
        <v>10727</v>
      </c>
      <c r="H2889" t="str">
        <f>"aqp-8"</f>
        <v>aqp-8</v>
      </c>
      <c r="I2889" t="s">
        <v>379</v>
      </c>
      <c r="J2889" t="s">
        <v>29</v>
      </c>
      <c r="K2889">
        <v>13.7318929669722</v>
      </c>
      <c r="L2889">
        <v>13.591242745554799</v>
      </c>
      <c r="M2889" t="s">
        <v>29</v>
      </c>
      <c r="N2889">
        <v>14.1658394990214</v>
      </c>
      <c r="O2889">
        <v>13.0314039843757</v>
      </c>
      <c r="P2889">
        <v>-6.2946114564919498E-2</v>
      </c>
      <c r="Q2889">
        <v>-1.34106279859626</v>
      </c>
      <c r="R2889">
        <v>1.2151705694664201</v>
      </c>
      <c r="S2889">
        <v>13.3964127527936</v>
      </c>
      <c r="T2889">
        <v>-0.10648432157431401</v>
      </c>
      <c r="U2889">
        <v>-6.9490058338898502</v>
      </c>
      <c r="V2889">
        <v>0.91683685660737702</v>
      </c>
      <c r="W2889">
        <v>0.95037573563909195</v>
      </c>
      <c r="X2889">
        <v>0</v>
      </c>
      <c r="Y2889">
        <v>0</v>
      </c>
    </row>
    <row r="2890" spans="1:25" x14ac:dyDescent="0.2">
      <c r="A2890" t="s">
        <v>10729</v>
      </c>
      <c r="B2890" t="s">
        <v>10730</v>
      </c>
      <c r="C2890" t="s">
        <v>10731</v>
      </c>
      <c r="D2890" t="s">
        <v>10732</v>
      </c>
      <c r="E2890" t="s">
        <v>10730</v>
      </c>
      <c r="F2890" t="s">
        <v>28</v>
      </c>
      <c r="G2890" t="s">
        <v>10730</v>
      </c>
      <c r="H2890" t="str">
        <f>"hyl-2"</f>
        <v>hyl-2</v>
      </c>
      <c r="I2890" t="s">
        <v>10732</v>
      </c>
      <c r="J2890">
        <v>13.179164539536799</v>
      </c>
      <c r="K2890">
        <v>13.009656923324499</v>
      </c>
      <c r="L2890">
        <v>13.3024548977038</v>
      </c>
      <c r="M2890" t="s">
        <v>29</v>
      </c>
      <c r="N2890">
        <v>13.260223322534801</v>
      </c>
      <c r="O2890">
        <v>12.666440122090499</v>
      </c>
      <c r="P2890">
        <v>-0.20042706454241499</v>
      </c>
      <c r="Q2890">
        <v>-0.99309647519376498</v>
      </c>
      <c r="R2890">
        <v>0.592242346108934</v>
      </c>
      <c r="S2890">
        <v>13.4408638414343</v>
      </c>
      <c r="T2890">
        <v>-0.53372098643237498</v>
      </c>
      <c r="U2890">
        <v>-6.89699591334226</v>
      </c>
      <c r="V2890">
        <v>0.60048685272822999</v>
      </c>
      <c r="W2890">
        <v>0.73337536468715003</v>
      </c>
      <c r="X2890">
        <v>0</v>
      </c>
      <c r="Y2890">
        <v>0</v>
      </c>
    </row>
    <row r="2891" spans="1:25" x14ac:dyDescent="0.2">
      <c r="A2891" t="s">
        <v>10733</v>
      </c>
      <c r="B2891" t="s">
        <v>10734</v>
      </c>
      <c r="C2891" t="s">
        <v>10735</v>
      </c>
      <c r="D2891" t="s">
        <v>10736</v>
      </c>
      <c r="E2891" t="s">
        <v>10734</v>
      </c>
      <c r="F2891" t="s">
        <v>28</v>
      </c>
      <c r="G2891" t="s">
        <v>10734</v>
      </c>
      <c r="H2891" t="str">
        <f>"fnci-1"</f>
        <v>fnci-1</v>
      </c>
      <c r="I2891" t="s">
        <v>10736</v>
      </c>
      <c r="J2891" t="s">
        <v>29</v>
      </c>
      <c r="K2891">
        <v>9.9630887249943303</v>
      </c>
      <c r="L2891" t="s">
        <v>29</v>
      </c>
      <c r="M2891" t="s">
        <v>29</v>
      </c>
      <c r="N2891" t="s">
        <v>29</v>
      </c>
      <c r="O2891" t="s">
        <v>29</v>
      </c>
      <c r="P2891" t="s">
        <v>29</v>
      </c>
      <c r="Q2891" t="s">
        <v>29</v>
      </c>
      <c r="R2891" t="s">
        <v>29</v>
      </c>
      <c r="S2891">
        <v>11.143022861171699</v>
      </c>
      <c r="T2891" t="s">
        <v>29</v>
      </c>
      <c r="U2891" t="s">
        <v>29</v>
      </c>
      <c r="V2891" t="s">
        <v>29</v>
      </c>
      <c r="W2891" t="s">
        <v>29</v>
      </c>
      <c r="X2891" t="s">
        <v>29</v>
      </c>
      <c r="Y2891" t="s">
        <v>29</v>
      </c>
    </row>
    <row r="2892" spans="1:25" x14ac:dyDescent="0.2">
      <c r="A2892" t="s">
        <v>10737</v>
      </c>
      <c r="B2892" t="s">
        <v>10738</v>
      </c>
      <c r="C2892" t="s">
        <v>10739</v>
      </c>
      <c r="D2892" t="s">
        <v>8948</v>
      </c>
      <c r="E2892" t="s">
        <v>10738</v>
      </c>
      <c r="F2892" t="s">
        <v>28</v>
      </c>
      <c r="G2892" t="s">
        <v>10738</v>
      </c>
      <c r="H2892" t="str">
        <f>"alh-12"</f>
        <v>alh-12</v>
      </c>
      <c r="I2892" t="s">
        <v>8948</v>
      </c>
      <c r="J2892">
        <v>11.7876249816356</v>
      </c>
      <c r="K2892">
        <v>11.3766512364865</v>
      </c>
      <c r="L2892" t="s">
        <v>29</v>
      </c>
      <c r="M2892" t="s">
        <v>29</v>
      </c>
      <c r="N2892" t="s">
        <v>29</v>
      </c>
      <c r="O2892" t="s">
        <v>29</v>
      </c>
      <c r="P2892" t="s">
        <v>29</v>
      </c>
      <c r="Q2892" t="s">
        <v>29</v>
      </c>
      <c r="R2892" t="s">
        <v>29</v>
      </c>
      <c r="S2892">
        <v>11.5000607905606</v>
      </c>
      <c r="T2892" t="s">
        <v>29</v>
      </c>
      <c r="U2892" t="s">
        <v>29</v>
      </c>
      <c r="V2892" t="s">
        <v>29</v>
      </c>
      <c r="W2892" t="s">
        <v>29</v>
      </c>
      <c r="X2892" t="s">
        <v>29</v>
      </c>
      <c r="Y2892" t="s">
        <v>29</v>
      </c>
    </row>
    <row r="2893" spans="1:25" x14ac:dyDescent="0.2">
      <c r="A2893" t="s">
        <v>10740</v>
      </c>
      <c r="B2893" t="s">
        <v>10741</v>
      </c>
      <c r="C2893" t="s">
        <v>10742</v>
      </c>
      <c r="D2893" t="s">
        <v>10743</v>
      </c>
      <c r="E2893" t="s">
        <v>10741</v>
      </c>
      <c r="F2893" t="s">
        <v>28</v>
      </c>
      <c r="G2893" t="s">
        <v>10741</v>
      </c>
      <c r="H2893" t="str">
        <f>"parg-1"</f>
        <v>parg-1</v>
      </c>
      <c r="I2893" t="s">
        <v>10743</v>
      </c>
      <c r="J2893" t="s">
        <v>29</v>
      </c>
      <c r="K2893">
        <v>14.799715742580499</v>
      </c>
      <c r="L2893">
        <v>10.927189402182799</v>
      </c>
      <c r="M2893" t="s">
        <v>29</v>
      </c>
      <c r="N2893" t="s">
        <v>29</v>
      </c>
      <c r="O2893" t="s">
        <v>29</v>
      </c>
      <c r="P2893" t="s">
        <v>29</v>
      </c>
      <c r="Q2893" t="s">
        <v>29</v>
      </c>
      <c r="R2893" t="s">
        <v>29</v>
      </c>
      <c r="S2893">
        <v>11.587064446899401</v>
      </c>
      <c r="T2893" t="s">
        <v>29</v>
      </c>
      <c r="U2893" t="s">
        <v>29</v>
      </c>
      <c r="V2893" t="s">
        <v>29</v>
      </c>
      <c r="W2893" t="s">
        <v>29</v>
      </c>
      <c r="X2893" t="s">
        <v>29</v>
      </c>
      <c r="Y2893" t="s">
        <v>29</v>
      </c>
    </row>
    <row r="2894" spans="1:25" x14ac:dyDescent="0.2">
      <c r="A2894" t="s">
        <v>10744</v>
      </c>
      <c r="B2894" t="s">
        <v>10745</v>
      </c>
      <c r="C2894" t="s">
        <v>14581</v>
      </c>
      <c r="D2894" t="s">
        <v>130</v>
      </c>
      <c r="E2894" t="s">
        <v>10745</v>
      </c>
      <c r="F2894" t="s">
        <v>28</v>
      </c>
      <c r="G2894" t="s">
        <v>10745</v>
      </c>
      <c r="H2894" t="str">
        <f>"Y67H2A.10"</f>
        <v>Y67H2A.10</v>
      </c>
      <c r="I2894" t="s">
        <v>130</v>
      </c>
      <c r="J2894" t="s">
        <v>29</v>
      </c>
      <c r="K2894" t="s">
        <v>29</v>
      </c>
      <c r="L2894" t="s">
        <v>29</v>
      </c>
      <c r="M2894" t="s">
        <v>29</v>
      </c>
      <c r="N2894" t="s">
        <v>29</v>
      </c>
      <c r="O2894" t="s">
        <v>29</v>
      </c>
      <c r="P2894" t="s">
        <v>29</v>
      </c>
      <c r="Q2894" t="s">
        <v>29</v>
      </c>
      <c r="R2894" t="s">
        <v>29</v>
      </c>
      <c r="S2894">
        <v>12.247573029766199</v>
      </c>
      <c r="T2894" t="s">
        <v>29</v>
      </c>
      <c r="U2894" t="s">
        <v>29</v>
      </c>
      <c r="V2894" t="s">
        <v>29</v>
      </c>
      <c r="W2894" t="s">
        <v>29</v>
      </c>
      <c r="X2894" t="s">
        <v>29</v>
      </c>
      <c r="Y2894" t="s">
        <v>29</v>
      </c>
    </row>
    <row r="2895" spans="1:25" x14ac:dyDescent="0.2">
      <c r="A2895" t="s">
        <v>10746</v>
      </c>
      <c r="B2895" t="s">
        <v>10747</v>
      </c>
      <c r="C2895" t="s">
        <v>10748</v>
      </c>
      <c r="D2895" t="s">
        <v>3312</v>
      </c>
      <c r="E2895" t="s">
        <v>10747</v>
      </c>
      <c r="F2895" t="s">
        <v>28</v>
      </c>
      <c r="G2895" t="s">
        <v>10747</v>
      </c>
      <c r="H2895" t="str">
        <f>"col-166"</f>
        <v>col-166</v>
      </c>
      <c r="I2895" t="s">
        <v>3312</v>
      </c>
      <c r="J2895">
        <v>14.9463344847447</v>
      </c>
      <c r="K2895">
        <v>14.7329052159387</v>
      </c>
      <c r="L2895">
        <v>14.302181789164001</v>
      </c>
      <c r="M2895">
        <v>16.037715642336099</v>
      </c>
      <c r="N2895">
        <v>15.8146174459975</v>
      </c>
      <c r="O2895">
        <v>14.006302183706399</v>
      </c>
      <c r="P2895">
        <v>0.62573792739753897</v>
      </c>
      <c r="Q2895">
        <v>-0.139460929520446</v>
      </c>
      <c r="R2895">
        <v>1.39093678431552</v>
      </c>
      <c r="S2895">
        <v>14.237089890542</v>
      </c>
      <c r="T2895">
        <v>1.7187419611533099</v>
      </c>
      <c r="U2895">
        <v>-5.7221290633671602</v>
      </c>
      <c r="V2895">
        <v>0.102912509766496</v>
      </c>
      <c r="W2895">
        <v>0.221442088788151</v>
      </c>
      <c r="X2895">
        <v>0</v>
      </c>
      <c r="Y2895">
        <v>0</v>
      </c>
    </row>
    <row r="2896" spans="1:25" x14ac:dyDescent="0.2">
      <c r="A2896" t="s">
        <v>10749</v>
      </c>
      <c r="B2896" t="s">
        <v>10750</v>
      </c>
      <c r="C2896" t="s">
        <v>10751</v>
      </c>
      <c r="D2896" t="s">
        <v>10752</v>
      </c>
      <c r="E2896" t="s">
        <v>10750</v>
      </c>
      <c r="F2896" t="s">
        <v>28</v>
      </c>
      <c r="G2896" t="s">
        <v>10750</v>
      </c>
      <c r="H2896" t="str">
        <f>"ulp-3"</f>
        <v>ulp-3</v>
      </c>
      <c r="I2896" t="s">
        <v>10752</v>
      </c>
      <c r="J2896">
        <v>12.262236072580301</v>
      </c>
      <c r="K2896">
        <v>12.292115963828801</v>
      </c>
      <c r="L2896" t="s">
        <v>29</v>
      </c>
      <c r="M2896" t="s">
        <v>29</v>
      </c>
      <c r="N2896">
        <v>12.735564703065499</v>
      </c>
      <c r="O2896">
        <v>11.1093734273332</v>
      </c>
      <c r="P2896">
        <v>-0.35470695300524302</v>
      </c>
      <c r="Q2896">
        <v>-1.4006762074769701</v>
      </c>
      <c r="R2896">
        <v>0.69126230146647905</v>
      </c>
      <c r="S2896">
        <v>12.2804857959692</v>
      </c>
      <c r="T2896">
        <v>-0.747271597901358</v>
      </c>
      <c r="U2896">
        <v>-6.6604956897504204</v>
      </c>
      <c r="V2896">
        <v>0.470720095242319</v>
      </c>
      <c r="W2896">
        <v>0.63136922797351502</v>
      </c>
      <c r="X2896">
        <v>0</v>
      </c>
      <c r="Y2896">
        <v>0</v>
      </c>
    </row>
    <row r="2897" spans="1:25" x14ac:dyDescent="0.2">
      <c r="A2897" t="s">
        <v>10753</v>
      </c>
      <c r="B2897" t="s">
        <v>10754</v>
      </c>
      <c r="C2897" t="s">
        <v>10755</v>
      </c>
      <c r="D2897" t="s">
        <v>9289</v>
      </c>
      <c r="E2897" t="s">
        <v>10754</v>
      </c>
      <c r="F2897" t="s">
        <v>28</v>
      </c>
      <c r="G2897" t="s">
        <v>10754</v>
      </c>
      <c r="H2897" t="str">
        <f>"npp-9"</f>
        <v>npp-9</v>
      </c>
      <c r="I2897" t="s">
        <v>9289</v>
      </c>
      <c r="J2897">
        <v>16.3160604826728</v>
      </c>
      <c r="K2897">
        <v>16.4924096969762</v>
      </c>
      <c r="L2897">
        <v>16.414644621794</v>
      </c>
      <c r="M2897">
        <v>17.5665483204351</v>
      </c>
      <c r="N2897">
        <v>16.848493210162999</v>
      </c>
      <c r="O2897">
        <v>16.342370861018502</v>
      </c>
      <c r="P2897">
        <v>0.51143253005786704</v>
      </c>
      <c r="Q2897">
        <v>-2.88577605506442E-2</v>
      </c>
      <c r="R2897">
        <v>1.05172282066638</v>
      </c>
      <c r="S2897">
        <v>16.223877008413499</v>
      </c>
      <c r="T2897">
        <v>1.9895446873290901</v>
      </c>
      <c r="U2897">
        <v>-5.2808580558256404</v>
      </c>
      <c r="V2897">
        <v>6.2147090989655797E-2</v>
      </c>
      <c r="W2897">
        <v>0.159192930079047</v>
      </c>
      <c r="X2897">
        <v>0</v>
      </c>
      <c r="Y2897">
        <v>0</v>
      </c>
    </row>
    <row r="2898" spans="1:25" x14ac:dyDescent="0.2">
      <c r="A2898" t="s">
        <v>10756</v>
      </c>
      <c r="B2898" t="s">
        <v>10757</v>
      </c>
      <c r="C2898" t="s">
        <v>10758</v>
      </c>
      <c r="D2898" t="s">
        <v>10759</v>
      </c>
      <c r="E2898" t="s">
        <v>10757</v>
      </c>
      <c r="F2898" t="s">
        <v>28</v>
      </c>
      <c r="G2898" t="s">
        <v>10757</v>
      </c>
      <c r="H2898" t="str">
        <f>"gcy-28"</f>
        <v>gcy-28</v>
      </c>
      <c r="I2898" t="s">
        <v>10759</v>
      </c>
      <c r="J2898">
        <v>12.195098508611499</v>
      </c>
      <c r="K2898">
        <v>10.5650604036482</v>
      </c>
      <c r="L2898">
        <v>11.359436901420001</v>
      </c>
      <c r="M2898" t="s">
        <v>29</v>
      </c>
      <c r="N2898" t="s">
        <v>29</v>
      </c>
      <c r="O2898" t="s">
        <v>29</v>
      </c>
      <c r="P2898" t="s">
        <v>29</v>
      </c>
      <c r="Q2898" t="s">
        <v>29</v>
      </c>
      <c r="R2898" t="s">
        <v>29</v>
      </c>
      <c r="S2898">
        <v>11.497389535034101</v>
      </c>
      <c r="T2898" t="s">
        <v>29</v>
      </c>
      <c r="U2898" t="s">
        <v>29</v>
      </c>
      <c r="V2898" t="s">
        <v>29</v>
      </c>
      <c r="W2898" t="s">
        <v>29</v>
      </c>
      <c r="X2898" t="s">
        <v>29</v>
      </c>
      <c r="Y2898" t="s">
        <v>29</v>
      </c>
    </row>
    <row r="2899" spans="1:25" x14ac:dyDescent="0.2">
      <c r="A2899" t="s">
        <v>10760</v>
      </c>
      <c r="B2899" t="s">
        <v>10761</v>
      </c>
      <c r="C2899" t="s">
        <v>14582</v>
      </c>
      <c r="D2899" t="s">
        <v>323</v>
      </c>
      <c r="E2899" t="s">
        <v>10761</v>
      </c>
      <c r="F2899" t="s">
        <v>28</v>
      </c>
      <c r="G2899" t="s">
        <v>10761</v>
      </c>
      <c r="H2899" t="str">
        <f>"D2096.12"</f>
        <v>D2096.12</v>
      </c>
      <c r="I2899" t="s">
        <v>323</v>
      </c>
      <c r="J2899" t="s">
        <v>29</v>
      </c>
      <c r="K2899" t="s">
        <v>29</v>
      </c>
      <c r="L2899" t="s">
        <v>29</v>
      </c>
      <c r="M2899" t="s">
        <v>29</v>
      </c>
      <c r="N2899" t="s">
        <v>29</v>
      </c>
      <c r="O2899" t="s">
        <v>29</v>
      </c>
      <c r="P2899" t="s">
        <v>29</v>
      </c>
      <c r="Q2899" t="s">
        <v>29</v>
      </c>
      <c r="R2899" t="s">
        <v>29</v>
      </c>
      <c r="S2899">
        <v>10.697775148784499</v>
      </c>
      <c r="T2899" t="s">
        <v>29</v>
      </c>
      <c r="U2899" t="s">
        <v>29</v>
      </c>
      <c r="V2899" t="s">
        <v>29</v>
      </c>
      <c r="W2899" t="s">
        <v>29</v>
      </c>
      <c r="X2899" t="s">
        <v>29</v>
      </c>
      <c r="Y2899" t="s">
        <v>29</v>
      </c>
    </row>
    <row r="2900" spans="1:25" x14ac:dyDescent="0.2">
      <c r="A2900" t="s">
        <v>10762</v>
      </c>
      <c r="B2900" t="s">
        <v>10763</v>
      </c>
      <c r="C2900" t="s">
        <v>10764</v>
      </c>
      <c r="D2900" t="s">
        <v>10765</v>
      </c>
      <c r="E2900" t="s">
        <v>10763</v>
      </c>
      <c r="F2900" t="s">
        <v>28</v>
      </c>
      <c r="G2900" t="s">
        <v>10763</v>
      </c>
      <c r="H2900" t="str">
        <f>"dve-1"</f>
        <v>dve-1</v>
      </c>
      <c r="I2900" t="s">
        <v>10765</v>
      </c>
      <c r="J2900">
        <v>12.148444492290601</v>
      </c>
      <c r="K2900">
        <v>9.6794220060157308</v>
      </c>
      <c r="L2900">
        <v>10.386754307438</v>
      </c>
      <c r="M2900" t="s">
        <v>29</v>
      </c>
      <c r="N2900" t="s">
        <v>29</v>
      </c>
      <c r="O2900" t="s">
        <v>29</v>
      </c>
      <c r="P2900" t="s">
        <v>29</v>
      </c>
      <c r="Q2900" t="s">
        <v>29</v>
      </c>
      <c r="R2900" t="s">
        <v>29</v>
      </c>
      <c r="S2900">
        <v>11.17445465125</v>
      </c>
      <c r="T2900" t="s">
        <v>29</v>
      </c>
      <c r="U2900" t="s">
        <v>29</v>
      </c>
      <c r="V2900" t="s">
        <v>29</v>
      </c>
      <c r="W2900" t="s">
        <v>29</v>
      </c>
      <c r="X2900" t="s">
        <v>29</v>
      </c>
      <c r="Y2900" t="s">
        <v>29</v>
      </c>
    </row>
    <row r="2901" spans="1:25" x14ac:dyDescent="0.2">
      <c r="A2901" t="s">
        <v>10766</v>
      </c>
      <c r="B2901" t="s">
        <v>10767</v>
      </c>
      <c r="C2901" t="s">
        <v>10768</v>
      </c>
      <c r="D2901" t="s">
        <v>3312</v>
      </c>
      <c r="E2901" t="s">
        <v>10767</v>
      </c>
      <c r="F2901" t="s">
        <v>28</v>
      </c>
      <c r="G2901" t="s">
        <v>10767</v>
      </c>
      <c r="H2901" t="str">
        <f>"col-95"</f>
        <v>col-95</v>
      </c>
      <c r="I2901" t="s">
        <v>3312</v>
      </c>
      <c r="J2901" t="s">
        <v>29</v>
      </c>
      <c r="K2901" t="s">
        <v>29</v>
      </c>
      <c r="L2901">
        <v>11.881055097065699</v>
      </c>
      <c r="M2901" t="s">
        <v>29</v>
      </c>
      <c r="N2901" t="s">
        <v>29</v>
      </c>
      <c r="O2901" t="s">
        <v>29</v>
      </c>
      <c r="P2901" t="s">
        <v>29</v>
      </c>
      <c r="Q2901" t="s">
        <v>29</v>
      </c>
      <c r="R2901" t="s">
        <v>29</v>
      </c>
      <c r="S2901">
        <v>13.244095869578</v>
      </c>
      <c r="T2901" t="s">
        <v>29</v>
      </c>
      <c r="U2901" t="s">
        <v>29</v>
      </c>
      <c r="V2901" t="s">
        <v>29</v>
      </c>
      <c r="W2901" t="s">
        <v>29</v>
      </c>
      <c r="X2901" t="s">
        <v>29</v>
      </c>
      <c r="Y2901" t="s">
        <v>29</v>
      </c>
    </row>
    <row r="2902" spans="1:25" x14ac:dyDescent="0.2">
      <c r="A2902" t="s">
        <v>10769</v>
      </c>
      <c r="B2902" t="s">
        <v>10770</v>
      </c>
      <c r="C2902" t="s">
        <v>10771</v>
      </c>
      <c r="D2902" t="s">
        <v>10772</v>
      </c>
      <c r="E2902" t="s">
        <v>10770</v>
      </c>
      <c r="F2902" t="s">
        <v>28</v>
      </c>
      <c r="G2902" t="s">
        <v>10770</v>
      </c>
      <c r="H2902" t="str">
        <f>"epg-6"</f>
        <v>epg-6</v>
      </c>
      <c r="I2902" t="s">
        <v>10772</v>
      </c>
      <c r="J2902">
        <v>11.583863336480499</v>
      </c>
      <c r="K2902" t="s">
        <v>29</v>
      </c>
      <c r="L2902">
        <v>11.053948689340601</v>
      </c>
      <c r="M2902" t="s">
        <v>29</v>
      </c>
      <c r="N2902" t="s">
        <v>29</v>
      </c>
      <c r="O2902" t="s">
        <v>29</v>
      </c>
      <c r="P2902" t="s">
        <v>29</v>
      </c>
      <c r="Q2902" t="s">
        <v>29</v>
      </c>
      <c r="R2902" t="s">
        <v>29</v>
      </c>
      <c r="S2902">
        <v>11.192850706981099</v>
      </c>
      <c r="T2902" t="s">
        <v>29</v>
      </c>
      <c r="U2902" t="s">
        <v>29</v>
      </c>
      <c r="V2902" t="s">
        <v>29</v>
      </c>
      <c r="W2902" t="s">
        <v>29</v>
      </c>
      <c r="X2902" t="s">
        <v>29</v>
      </c>
      <c r="Y2902" t="s">
        <v>29</v>
      </c>
    </row>
    <row r="2903" spans="1:25" x14ac:dyDescent="0.2">
      <c r="A2903" t="s">
        <v>10773</v>
      </c>
      <c r="B2903" t="s">
        <v>10774</v>
      </c>
      <c r="C2903" t="s">
        <v>10775</v>
      </c>
      <c r="D2903" t="s">
        <v>10776</v>
      </c>
      <c r="E2903" t="s">
        <v>10774</v>
      </c>
      <c r="F2903" t="s">
        <v>28</v>
      </c>
      <c r="G2903" t="s">
        <v>10774</v>
      </c>
      <c r="H2903" t="str">
        <f>"nuo-2"</f>
        <v>nuo-2</v>
      </c>
      <c r="I2903" t="s">
        <v>10776</v>
      </c>
      <c r="J2903">
        <v>13.1415821008229</v>
      </c>
      <c r="K2903">
        <v>13.256881439869</v>
      </c>
      <c r="L2903">
        <v>13.6291500329452</v>
      </c>
      <c r="M2903">
        <v>15.378710214523499</v>
      </c>
      <c r="N2903">
        <v>13.8676566323764</v>
      </c>
      <c r="O2903">
        <v>13.524135811670901</v>
      </c>
      <c r="P2903">
        <v>0.91429636164456696</v>
      </c>
      <c r="Q2903">
        <v>0.177746874156611</v>
      </c>
      <c r="R2903">
        <v>1.65084584913252</v>
      </c>
      <c r="S2903">
        <v>13.756392101778401</v>
      </c>
      <c r="T2903">
        <v>2.60902098969256</v>
      </c>
      <c r="U2903">
        <v>-4.1321824687534896</v>
      </c>
      <c r="V2903">
        <v>1.7816259340907699E-2</v>
      </c>
      <c r="W2903">
        <v>6.8320160314431597E-2</v>
      </c>
      <c r="X2903">
        <v>0</v>
      </c>
      <c r="Y2903">
        <v>0</v>
      </c>
    </row>
    <row r="2904" spans="1:25" x14ac:dyDescent="0.2">
      <c r="A2904" t="s">
        <v>10777</v>
      </c>
      <c r="B2904" t="s">
        <v>10778</v>
      </c>
      <c r="C2904" t="s">
        <v>10779</v>
      </c>
      <c r="D2904" t="s">
        <v>10780</v>
      </c>
      <c r="E2904" t="s">
        <v>10778</v>
      </c>
      <c r="F2904" t="s">
        <v>28</v>
      </c>
      <c r="G2904" t="s">
        <v>10778</v>
      </c>
      <c r="H2904" t="str">
        <f>"asp-2"</f>
        <v>asp-2</v>
      </c>
      <c r="I2904" t="s">
        <v>10780</v>
      </c>
      <c r="J2904">
        <v>12.690378922447101</v>
      </c>
      <c r="K2904">
        <v>12.9630319166234</v>
      </c>
      <c r="L2904">
        <v>12.528827627041499</v>
      </c>
      <c r="M2904" t="s">
        <v>29</v>
      </c>
      <c r="N2904" t="s">
        <v>29</v>
      </c>
      <c r="O2904">
        <v>12.3515271242676</v>
      </c>
      <c r="P2904">
        <v>-0.37588569776976</v>
      </c>
      <c r="Q2904">
        <v>-1.31261264186819</v>
      </c>
      <c r="R2904">
        <v>0.56084124632867105</v>
      </c>
      <c r="S2904">
        <v>12.674056246725501</v>
      </c>
      <c r="T2904">
        <v>-0.85582386879630801</v>
      </c>
      <c r="U2904">
        <v>-6.4358324615574398</v>
      </c>
      <c r="V2904">
        <v>0.40565250650463602</v>
      </c>
      <c r="W2904">
        <v>0.57391163546287205</v>
      </c>
      <c r="X2904">
        <v>0</v>
      </c>
      <c r="Y2904">
        <v>0</v>
      </c>
    </row>
    <row r="2905" spans="1:25" x14ac:dyDescent="0.2">
      <c r="A2905" t="s">
        <v>10781</v>
      </c>
      <c r="B2905" t="s">
        <v>10782</v>
      </c>
      <c r="C2905" t="s">
        <v>10783</v>
      </c>
      <c r="D2905" t="s">
        <v>10784</v>
      </c>
      <c r="E2905" t="s">
        <v>10782</v>
      </c>
      <c r="F2905" t="s">
        <v>28</v>
      </c>
      <c r="G2905" t="s">
        <v>10782</v>
      </c>
      <c r="H2905" t="str">
        <f>"syd-1"</f>
        <v>syd-1</v>
      </c>
      <c r="I2905" t="s">
        <v>10784</v>
      </c>
      <c r="J2905">
        <v>12.4845644752633</v>
      </c>
      <c r="K2905">
        <v>13.618418409948999</v>
      </c>
      <c r="L2905">
        <v>12.937441560606301</v>
      </c>
      <c r="M2905" t="s">
        <v>29</v>
      </c>
      <c r="N2905">
        <v>13.582124934825201</v>
      </c>
      <c r="O2905">
        <v>12.818311453222501</v>
      </c>
      <c r="P2905">
        <v>0.186743378750961</v>
      </c>
      <c r="Q2905">
        <v>-0.46625682961579001</v>
      </c>
      <c r="R2905">
        <v>0.83974358711771302</v>
      </c>
      <c r="S2905">
        <v>13.3518137017327</v>
      </c>
      <c r="T2905">
        <v>0.60364541395171101</v>
      </c>
      <c r="U2905">
        <v>-6.8559847384427597</v>
      </c>
      <c r="V2905">
        <v>0.55409843028689998</v>
      </c>
      <c r="W2905">
        <v>0.69783251028012605</v>
      </c>
      <c r="X2905">
        <v>0</v>
      </c>
      <c r="Y2905">
        <v>0</v>
      </c>
    </row>
    <row r="2906" spans="1:25" x14ac:dyDescent="0.2">
      <c r="A2906" t="s">
        <v>10785</v>
      </c>
      <c r="B2906" t="s">
        <v>10786</v>
      </c>
      <c r="C2906" t="s">
        <v>10787</v>
      </c>
      <c r="D2906" t="s">
        <v>458</v>
      </c>
      <c r="E2906" t="s">
        <v>10786</v>
      </c>
      <c r="F2906" t="s">
        <v>28</v>
      </c>
      <c r="G2906" t="s">
        <v>10786</v>
      </c>
      <c r="H2906" t="str">
        <f>"ttr-41"</f>
        <v>ttr-41</v>
      </c>
      <c r="I2906" t="s">
        <v>458</v>
      </c>
      <c r="J2906">
        <v>14.410945009423401</v>
      </c>
      <c r="K2906">
        <v>14.6236579431677</v>
      </c>
      <c r="L2906">
        <v>14.265102871303499</v>
      </c>
      <c r="M2906" t="s">
        <v>29</v>
      </c>
      <c r="N2906">
        <v>14.0319418960914</v>
      </c>
      <c r="O2906">
        <v>14.5084576140701</v>
      </c>
      <c r="P2906">
        <v>-0.16303551955078499</v>
      </c>
      <c r="Q2906">
        <v>-0.90615443722989197</v>
      </c>
      <c r="R2906">
        <v>0.58008339812832099</v>
      </c>
      <c r="S2906">
        <v>13.796805453224801</v>
      </c>
      <c r="T2906">
        <v>-0.46309909000778199</v>
      </c>
      <c r="U2906">
        <v>-6.9334577038330103</v>
      </c>
      <c r="V2906">
        <v>0.64920276759383599</v>
      </c>
      <c r="W2906">
        <v>0.76670814276018995</v>
      </c>
      <c r="X2906">
        <v>0</v>
      </c>
      <c r="Y2906">
        <v>0</v>
      </c>
    </row>
    <row r="2907" spans="1:25" x14ac:dyDescent="0.2">
      <c r="A2907" t="s">
        <v>10788</v>
      </c>
      <c r="B2907" t="s">
        <v>10789</v>
      </c>
      <c r="C2907" t="s">
        <v>10790</v>
      </c>
      <c r="D2907" t="s">
        <v>10791</v>
      </c>
      <c r="E2907" t="s">
        <v>10789</v>
      </c>
      <c r="F2907" t="s">
        <v>28</v>
      </c>
      <c r="G2907" t="s">
        <v>10789</v>
      </c>
      <c r="H2907" t="str">
        <f>"afd-1"</f>
        <v>afd-1</v>
      </c>
      <c r="I2907" t="s">
        <v>10791</v>
      </c>
      <c r="J2907">
        <v>13.833982635219501</v>
      </c>
      <c r="K2907">
        <v>14.285185037487199</v>
      </c>
      <c r="L2907">
        <v>14.2273635037097</v>
      </c>
      <c r="M2907" t="s">
        <v>29</v>
      </c>
      <c r="N2907" t="s">
        <v>29</v>
      </c>
      <c r="O2907">
        <v>13.403760626604299</v>
      </c>
      <c r="P2907">
        <v>-0.71174976553452896</v>
      </c>
      <c r="Q2907">
        <v>-1.27940176020788</v>
      </c>
      <c r="R2907">
        <v>-0.144097770861181</v>
      </c>
      <c r="S2907">
        <v>14.179329871632101</v>
      </c>
      <c r="T2907">
        <v>-2.6594675423010998</v>
      </c>
      <c r="U2907">
        <v>-3.7477197213153999</v>
      </c>
      <c r="V2907">
        <v>1.7205298764445799E-2</v>
      </c>
      <c r="W2907">
        <v>6.6715809814239205E-2</v>
      </c>
      <c r="X2907">
        <v>0</v>
      </c>
      <c r="Y2907">
        <v>0</v>
      </c>
    </row>
    <row r="2908" spans="1:25" x14ac:dyDescent="0.2">
      <c r="A2908" t="s">
        <v>10792</v>
      </c>
      <c r="B2908" t="s">
        <v>10793</v>
      </c>
      <c r="C2908" t="s">
        <v>10794</v>
      </c>
      <c r="D2908" t="s">
        <v>150</v>
      </c>
      <c r="E2908" t="s">
        <v>10793</v>
      </c>
      <c r="F2908" t="s">
        <v>28</v>
      </c>
      <c r="G2908" t="s">
        <v>10793</v>
      </c>
      <c r="H2908" t="str">
        <f>"ppw-1"</f>
        <v>ppw-1</v>
      </c>
      <c r="I2908" t="s">
        <v>150</v>
      </c>
      <c r="J2908">
        <v>14.677196262882401</v>
      </c>
      <c r="K2908">
        <v>14.402341099951601</v>
      </c>
      <c r="L2908">
        <v>14.629254209637001</v>
      </c>
      <c r="M2908">
        <v>13.6035227958525</v>
      </c>
      <c r="N2908">
        <v>14.4899656567493</v>
      </c>
      <c r="O2908">
        <v>14.442912793498</v>
      </c>
      <c r="P2908">
        <v>-0.39079677545701602</v>
      </c>
      <c r="Q2908">
        <v>-0.85632338172657696</v>
      </c>
      <c r="R2908">
        <v>7.4729830812545597E-2</v>
      </c>
      <c r="S2908">
        <v>14.8089623968905</v>
      </c>
      <c r="T2908">
        <v>-1.7644078343678899</v>
      </c>
      <c r="U2908">
        <v>-5.6508261756784703</v>
      </c>
      <c r="V2908">
        <v>9.4725448372189394E-2</v>
      </c>
      <c r="W2908">
        <v>0.20957649876339501</v>
      </c>
      <c r="X2908">
        <v>0</v>
      </c>
      <c r="Y2908">
        <v>0</v>
      </c>
    </row>
    <row r="2909" spans="1:25" x14ac:dyDescent="0.2">
      <c r="A2909" t="s">
        <v>10795</v>
      </c>
      <c r="B2909" t="s">
        <v>10796</v>
      </c>
      <c r="C2909" t="s">
        <v>10797</v>
      </c>
      <c r="D2909" t="s">
        <v>10798</v>
      </c>
      <c r="E2909" t="s">
        <v>10796</v>
      </c>
      <c r="F2909" t="s">
        <v>28</v>
      </c>
      <c r="G2909" t="s">
        <v>10796</v>
      </c>
      <c r="H2909" t="str">
        <f>"C50D2.7"</f>
        <v>C50D2.7</v>
      </c>
      <c r="I2909" t="s">
        <v>10798</v>
      </c>
      <c r="J2909">
        <v>14.012939749433</v>
      </c>
      <c r="K2909">
        <v>13.819491469673901</v>
      </c>
      <c r="L2909">
        <v>13.4646249365444</v>
      </c>
      <c r="M2909" t="s">
        <v>29</v>
      </c>
      <c r="N2909">
        <v>11.2816496922177</v>
      </c>
      <c r="O2909">
        <v>13.3740213481002</v>
      </c>
      <c r="P2909">
        <v>-1.4378498650581599</v>
      </c>
      <c r="Q2909">
        <v>-2.41956851453038</v>
      </c>
      <c r="R2909">
        <v>-0.45613121558594499</v>
      </c>
      <c r="S2909">
        <v>13.1138070035865</v>
      </c>
      <c r="T2909">
        <v>-3.09155169493329</v>
      </c>
      <c r="U2909">
        <v>-3.0715354084094502</v>
      </c>
      <c r="V2909">
        <v>6.6605908304410797E-3</v>
      </c>
      <c r="W2909">
        <v>3.4196448044093802E-2</v>
      </c>
      <c r="X2909">
        <v>-1</v>
      </c>
      <c r="Y2909">
        <v>-1</v>
      </c>
    </row>
    <row r="2910" spans="1:25" x14ac:dyDescent="0.2">
      <c r="A2910" t="s">
        <v>10799</v>
      </c>
      <c r="B2910" t="s">
        <v>10800</v>
      </c>
      <c r="C2910" t="s">
        <v>10801</v>
      </c>
      <c r="D2910" t="s">
        <v>10802</v>
      </c>
      <c r="E2910" t="s">
        <v>10800</v>
      </c>
      <c r="F2910" t="s">
        <v>28</v>
      </c>
      <c r="G2910" t="s">
        <v>10800</v>
      </c>
      <c r="H2910" t="str">
        <f>"icd-2"</f>
        <v>icd-2</v>
      </c>
      <c r="I2910" t="s">
        <v>10802</v>
      </c>
      <c r="J2910">
        <v>17.8993933230451</v>
      </c>
      <c r="K2910">
        <v>17.7490316107843</v>
      </c>
      <c r="L2910">
        <v>17.643880180226599</v>
      </c>
      <c r="M2910">
        <v>17.414869559953399</v>
      </c>
      <c r="N2910">
        <v>17.6020522743712</v>
      </c>
      <c r="O2910">
        <v>17.719246242069701</v>
      </c>
      <c r="P2910">
        <v>-0.18537901255383801</v>
      </c>
      <c r="Q2910">
        <v>-0.63444163045028301</v>
      </c>
      <c r="R2910">
        <v>0.26368360534260599</v>
      </c>
      <c r="S2910">
        <v>17.1218415224381</v>
      </c>
      <c r="T2910">
        <v>-0.867653201940634</v>
      </c>
      <c r="U2910">
        <v>-6.7693586366782403</v>
      </c>
      <c r="V2910">
        <v>0.397070551010336</v>
      </c>
      <c r="W2910">
        <v>0.56529802600360302</v>
      </c>
      <c r="X2910">
        <v>0</v>
      </c>
      <c r="Y2910">
        <v>0</v>
      </c>
    </row>
    <row r="2911" spans="1:25" x14ac:dyDescent="0.2">
      <c r="A2911" t="s">
        <v>10803</v>
      </c>
      <c r="B2911" t="s">
        <v>10804</v>
      </c>
      <c r="C2911" t="s">
        <v>14583</v>
      </c>
      <c r="D2911" t="s">
        <v>10805</v>
      </c>
      <c r="E2911" t="s">
        <v>10804</v>
      </c>
      <c r="F2911" t="s">
        <v>28</v>
      </c>
      <c r="G2911" t="s">
        <v>10804</v>
      </c>
      <c r="H2911" t="str">
        <f>"Y48E1C.4"</f>
        <v>Y48E1C.4</v>
      </c>
      <c r="I2911" t="s">
        <v>10805</v>
      </c>
      <c r="J2911">
        <v>13.449906177810099</v>
      </c>
      <c r="K2911">
        <v>13.4322712762942</v>
      </c>
      <c r="L2911">
        <v>12.8494259949584</v>
      </c>
      <c r="M2911" t="s">
        <v>29</v>
      </c>
      <c r="N2911">
        <v>10.542749324328</v>
      </c>
      <c r="O2911">
        <v>12.695174886367999</v>
      </c>
      <c r="P2911">
        <v>-1.6249057110062599</v>
      </c>
      <c r="Q2911">
        <v>-2.4904573684888902</v>
      </c>
      <c r="R2911">
        <v>-0.75935405352363206</v>
      </c>
      <c r="S2911">
        <v>12.8544695159756</v>
      </c>
      <c r="T2911">
        <v>-3.9626451712829098</v>
      </c>
      <c r="U2911">
        <v>-1.2266663407490399</v>
      </c>
      <c r="V2911">
        <v>1.0161026586786399E-3</v>
      </c>
      <c r="W2911">
        <v>9.2137062619260506E-3</v>
      </c>
      <c r="X2911">
        <v>-1</v>
      </c>
      <c r="Y2911">
        <v>-1</v>
      </c>
    </row>
    <row r="2912" spans="1:25" x14ac:dyDescent="0.2">
      <c r="A2912" t="s">
        <v>10806</v>
      </c>
      <c r="B2912" t="s">
        <v>10807</v>
      </c>
      <c r="C2912" t="s">
        <v>10808</v>
      </c>
      <c r="D2912" t="s">
        <v>10809</v>
      </c>
      <c r="E2912" t="s">
        <v>10807</v>
      </c>
      <c r="F2912" t="s">
        <v>28</v>
      </c>
      <c r="G2912" t="s">
        <v>10807</v>
      </c>
      <c r="H2912" t="str">
        <f>"zoo-1"</f>
        <v>zoo-1</v>
      </c>
      <c r="I2912" t="s">
        <v>10809</v>
      </c>
      <c r="J2912">
        <v>13.9460701854583</v>
      </c>
      <c r="K2912">
        <v>14.390522392809</v>
      </c>
      <c r="L2912">
        <v>14.2258058518368</v>
      </c>
      <c r="M2912" t="s">
        <v>29</v>
      </c>
      <c r="N2912">
        <v>13.818780023485999</v>
      </c>
      <c r="O2912">
        <v>13.4804729717179</v>
      </c>
      <c r="P2912">
        <v>-0.53783964576607501</v>
      </c>
      <c r="Q2912">
        <v>-0.99164298112378801</v>
      </c>
      <c r="R2912">
        <v>-8.4036310408362597E-2</v>
      </c>
      <c r="S2912">
        <v>14.189115952456</v>
      </c>
      <c r="T2912">
        <v>-2.5016995004134399</v>
      </c>
      <c r="U2912">
        <v>-4.2504939998799802</v>
      </c>
      <c r="V2912">
        <v>2.2939880671153701E-2</v>
      </c>
      <c r="W2912">
        <v>8.0385051531379204E-2</v>
      </c>
      <c r="X2912">
        <v>0</v>
      </c>
      <c r="Y2912">
        <v>0</v>
      </c>
    </row>
    <row r="2913" spans="1:25" x14ac:dyDescent="0.2">
      <c r="A2913" t="s">
        <v>10810</v>
      </c>
      <c r="B2913" t="s">
        <v>10811</v>
      </c>
      <c r="C2913" t="s">
        <v>10812</v>
      </c>
      <c r="D2913" t="s">
        <v>10813</v>
      </c>
      <c r="E2913" t="s">
        <v>10811</v>
      </c>
      <c r="F2913" t="s">
        <v>28</v>
      </c>
      <c r="G2913" t="s">
        <v>10811</v>
      </c>
      <c r="H2913" t="str">
        <f>"gly-4"</f>
        <v>gly-4</v>
      </c>
      <c r="I2913" t="s">
        <v>10813</v>
      </c>
      <c r="J2913">
        <v>12.5001989781159</v>
      </c>
      <c r="K2913" t="s">
        <v>29</v>
      </c>
      <c r="L2913">
        <v>11.7780457589015</v>
      </c>
      <c r="M2913" t="s">
        <v>29</v>
      </c>
      <c r="N2913" t="s">
        <v>29</v>
      </c>
      <c r="O2913" t="s">
        <v>29</v>
      </c>
      <c r="P2913" t="s">
        <v>29</v>
      </c>
      <c r="Q2913" t="s">
        <v>29</v>
      </c>
      <c r="R2913" t="s">
        <v>29</v>
      </c>
      <c r="S2913">
        <v>11.695290949700199</v>
      </c>
      <c r="T2913" t="s">
        <v>29</v>
      </c>
      <c r="U2913" t="s">
        <v>29</v>
      </c>
      <c r="V2913" t="s">
        <v>29</v>
      </c>
      <c r="W2913" t="s">
        <v>29</v>
      </c>
      <c r="X2913" t="s">
        <v>29</v>
      </c>
      <c r="Y2913" t="s">
        <v>29</v>
      </c>
    </row>
    <row r="2914" spans="1:25" x14ac:dyDescent="0.2">
      <c r="A2914" t="s">
        <v>10814</v>
      </c>
      <c r="B2914" t="s">
        <v>10815</v>
      </c>
      <c r="C2914" t="s">
        <v>10816</v>
      </c>
      <c r="D2914" t="s">
        <v>10817</v>
      </c>
      <c r="E2914" t="s">
        <v>10815</v>
      </c>
      <c r="F2914" t="s">
        <v>28</v>
      </c>
      <c r="G2914" t="s">
        <v>10815</v>
      </c>
      <c r="H2914" t="str">
        <f>"shk-1"</f>
        <v>shk-1</v>
      </c>
      <c r="I2914" t="s">
        <v>10817</v>
      </c>
      <c r="J2914" t="s">
        <v>29</v>
      </c>
      <c r="K2914" t="s">
        <v>29</v>
      </c>
      <c r="L2914" t="s">
        <v>29</v>
      </c>
      <c r="M2914" t="s">
        <v>29</v>
      </c>
      <c r="N2914" t="s">
        <v>29</v>
      </c>
      <c r="O2914" t="s">
        <v>29</v>
      </c>
      <c r="P2914" t="s">
        <v>29</v>
      </c>
      <c r="Q2914" t="s">
        <v>29</v>
      </c>
      <c r="R2914" t="s">
        <v>29</v>
      </c>
      <c r="S2914">
        <v>11.8905843923562</v>
      </c>
      <c r="T2914" t="s">
        <v>29</v>
      </c>
      <c r="U2914" t="s">
        <v>29</v>
      </c>
      <c r="V2914" t="s">
        <v>29</v>
      </c>
      <c r="W2914" t="s">
        <v>29</v>
      </c>
      <c r="X2914" t="s">
        <v>29</v>
      </c>
      <c r="Y2914" t="s">
        <v>29</v>
      </c>
    </row>
    <row r="2915" spans="1:25" x14ac:dyDescent="0.2">
      <c r="A2915" t="s">
        <v>10818</v>
      </c>
      <c r="B2915" t="s">
        <v>10819</v>
      </c>
      <c r="C2915" t="s">
        <v>10820</v>
      </c>
      <c r="D2915" t="s">
        <v>3312</v>
      </c>
      <c r="E2915" t="s">
        <v>10819</v>
      </c>
      <c r="F2915" t="s">
        <v>28</v>
      </c>
      <c r="G2915" t="s">
        <v>10819</v>
      </c>
      <c r="H2915" t="str">
        <f>"col-42"</f>
        <v>col-42</v>
      </c>
      <c r="I2915" t="s">
        <v>3312</v>
      </c>
      <c r="J2915">
        <v>10.298590775251901</v>
      </c>
      <c r="K2915">
        <v>12.964266096621101</v>
      </c>
      <c r="L2915" t="s">
        <v>29</v>
      </c>
      <c r="M2915" t="s">
        <v>29</v>
      </c>
      <c r="N2915" t="s">
        <v>29</v>
      </c>
      <c r="O2915" t="s">
        <v>29</v>
      </c>
      <c r="P2915" t="s">
        <v>29</v>
      </c>
      <c r="Q2915" t="s">
        <v>29</v>
      </c>
      <c r="R2915" t="s">
        <v>29</v>
      </c>
      <c r="S2915">
        <v>11.965043580013701</v>
      </c>
      <c r="T2915" t="s">
        <v>29</v>
      </c>
      <c r="U2915" t="s">
        <v>29</v>
      </c>
      <c r="V2915" t="s">
        <v>29</v>
      </c>
      <c r="W2915" t="s">
        <v>29</v>
      </c>
      <c r="X2915" t="s">
        <v>29</v>
      </c>
      <c r="Y2915" t="s">
        <v>29</v>
      </c>
    </row>
    <row r="2916" spans="1:25" x14ac:dyDescent="0.2">
      <c r="A2916" t="s">
        <v>10821</v>
      </c>
      <c r="B2916" t="s">
        <v>10822</v>
      </c>
      <c r="C2916" t="s">
        <v>10823</v>
      </c>
      <c r="D2916" t="s">
        <v>10824</v>
      </c>
      <c r="E2916" t="s">
        <v>10822</v>
      </c>
      <c r="F2916" t="s">
        <v>28</v>
      </c>
      <c r="G2916" t="s">
        <v>10822</v>
      </c>
      <c r="H2916" t="str">
        <f>"unc-61"</f>
        <v>unc-61</v>
      </c>
      <c r="I2916" t="s">
        <v>10824</v>
      </c>
      <c r="J2916">
        <v>11.796930608873099</v>
      </c>
      <c r="K2916">
        <v>12.0195050053989</v>
      </c>
      <c r="L2916">
        <v>12.2464557936327</v>
      </c>
      <c r="M2916" t="s">
        <v>29</v>
      </c>
      <c r="N2916">
        <v>11.309758110329099</v>
      </c>
      <c r="O2916">
        <v>11.6018918947758</v>
      </c>
      <c r="P2916">
        <v>-0.56513880008244599</v>
      </c>
      <c r="Q2916">
        <v>-1.25889116966971</v>
      </c>
      <c r="R2916">
        <v>0.12861356950481601</v>
      </c>
      <c r="S2916">
        <v>12.273219843954299</v>
      </c>
      <c r="T2916">
        <v>-1.71949397655847</v>
      </c>
      <c r="U2916">
        <v>-5.6141567928310696</v>
      </c>
      <c r="V2916">
        <v>0.10378932945505299</v>
      </c>
      <c r="W2916">
        <v>0.22261073792142699</v>
      </c>
      <c r="X2916">
        <v>0</v>
      </c>
      <c r="Y2916">
        <v>0</v>
      </c>
    </row>
    <row r="2917" spans="1:25" x14ac:dyDescent="0.2">
      <c r="A2917" t="s">
        <v>10825</v>
      </c>
      <c r="B2917" t="s">
        <v>10826</v>
      </c>
      <c r="C2917" t="s">
        <v>10827</v>
      </c>
      <c r="D2917" t="s">
        <v>107</v>
      </c>
      <c r="E2917" t="s">
        <v>10826</v>
      </c>
      <c r="F2917" t="s">
        <v>28</v>
      </c>
      <c r="G2917" t="s">
        <v>10826</v>
      </c>
      <c r="H2917" t="str">
        <f>"slc-17.4"</f>
        <v>slc-17.4</v>
      </c>
      <c r="I2917" t="s">
        <v>107</v>
      </c>
      <c r="J2917">
        <v>13.103574180291901</v>
      </c>
      <c r="K2917">
        <v>12.862527350455601</v>
      </c>
      <c r="L2917">
        <v>12.6513315488166</v>
      </c>
      <c r="M2917" t="s">
        <v>29</v>
      </c>
      <c r="N2917" t="s">
        <v>29</v>
      </c>
      <c r="O2917">
        <v>11.8070381220905</v>
      </c>
      <c r="P2917">
        <v>-1.0654395710975999</v>
      </c>
      <c r="Q2917">
        <v>-2.2398048759249098</v>
      </c>
      <c r="R2917">
        <v>0.10892573372971801</v>
      </c>
      <c r="S2917">
        <v>12.173120731464399</v>
      </c>
      <c r="T2917">
        <v>-1.96161085038399</v>
      </c>
      <c r="U2917">
        <v>-5.0229902021961896</v>
      </c>
      <c r="V2917">
        <v>7.1762831226724305E-2</v>
      </c>
      <c r="W2917">
        <v>0.17420515949353901</v>
      </c>
      <c r="X2917">
        <v>0</v>
      </c>
      <c r="Y2917">
        <v>0</v>
      </c>
    </row>
    <row r="2918" spans="1:25" x14ac:dyDescent="0.2">
      <c r="A2918" t="s">
        <v>10828</v>
      </c>
      <c r="B2918" t="s">
        <v>10829</v>
      </c>
      <c r="C2918" t="s">
        <v>10830</v>
      </c>
      <c r="D2918" t="s">
        <v>10831</v>
      </c>
      <c r="E2918" t="s">
        <v>10829</v>
      </c>
      <c r="F2918" t="s">
        <v>28</v>
      </c>
      <c r="G2918" t="s">
        <v>10829</v>
      </c>
      <c r="H2918" t="str">
        <f>"set-18"</f>
        <v>set-18</v>
      </c>
      <c r="I2918" t="s">
        <v>10831</v>
      </c>
      <c r="J2918">
        <v>10.9255215484147</v>
      </c>
      <c r="K2918">
        <v>11.375920122641199</v>
      </c>
      <c r="L2918">
        <v>11.5150854454947</v>
      </c>
      <c r="M2918" t="s">
        <v>29</v>
      </c>
      <c r="N2918" t="s">
        <v>29</v>
      </c>
      <c r="O2918" t="s">
        <v>29</v>
      </c>
      <c r="P2918" t="s">
        <v>29</v>
      </c>
      <c r="Q2918" t="s">
        <v>29</v>
      </c>
      <c r="R2918" t="s">
        <v>29</v>
      </c>
      <c r="S2918">
        <v>11.5919379526695</v>
      </c>
      <c r="T2918" t="s">
        <v>29</v>
      </c>
      <c r="U2918" t="s">
        <v>29</v>
      </c>
      <c r="V2918" t="s">
        <v>29</v>
      </c>
      <c r="W2918" t="s">
        <v>29</v>
      </c>
      <c r="X2918" t="s">
        <v>29</v>
      </c>
      <c r="Y2918" t="s">
        <v>29</v>
      </c>
    </row>
    <row r="2919" spans="1:25" x14ac:dyDescent="0.2">
      <c r="A2919" t="s">
        <v>10832</v>
      </c>
      <c r="B2919" t="s">
        <v>10833</v>
      </c>
      <c r="C2919" t="s">
        <v>14584</v>
      </c>
      <c r="D2919" t="s">
        <v>2692</v>
      </c>
      <c r="E2919" t="s">
        <v>10833</v>
      </c>
      <c r="F2919" t="s">
        <v>28</v>
      </c>
      <c r="G2919" t="s">
        <v>10833</v>
      </c>
      <c r="H2919" t="str">
        <f>"T03F7.7"</f>
        <v>T03F7.7</v>
      </c>
      <c r="I2919" t="s">
        <v>2692</v>
      </c>
      <c r="J2919">
        <v>14.6398642680122</v>
      </c>
      <c r="K2919">
        <v>14.4578407803552</v>
      </c>
      <c r="L2919">
        <v>14.2634484179521</v>
      </c>
      <c r="M2919" t="s">
        <v>29</v>
      </c>
      <c r="N2919" t="s">
        <v>29</v>
      </c>
      <c r="O2919" t="s">
        <v>29</v>
      </c>
      <c r="P2919" t="s">
        <v>29</v>
      </c>
      <c r="Q2919" t="s">
        <v>29</v>
      </c>
      <c r="R2919" t="s">
        <v>29</v>
      </c>
      <c r="S2919">
        <v>13.654138572773199</v>
      </c>
      <c r="T2919" t="s">
        <v>29</v>
      </c>
      <c r="U2919" t="s">
        <v>29</v>
      </c>
      <c r="V2919" t="s">
        <v>29</v>
      </c>
      <c r="W2919" t="s">
        <v>29</v>
      </c>
      <c r="X2919" t="s">
        <v>29</v>
      </c>
      <c r="Y2919" t="s">
        <v>29</v>
      </c>
    </row>
    <row r="2920" spans="1:25" x14ac:dyDescent="0.2">
      <c r="A2920" t="s">
        <v>10834</v>
      </c>
      <c r="B2920" t="s">
        <v>10835</v>
      </c>
      <c r="C2920" t="s">
        <v>14585</v>
      </c>
      <c r="D2920" t="s">
        <v>10836</v>
      </c>
      <c r="E2920" t="s">
        <v>10835</v>
      </c>
      <c r="F2920" t="s">
        <v>28</v>
      </c>
      <c r="G2920" t="s">
        <v>10835</v>
      </c>
      <c r="H2920" t="str">
        <f>"F32D8.12"</f>
        <v>F32D8.12</v>
      </c>
      <c r="I2920" t="s">
        <v>10836</v>
      </c>
      <c r="J2920">
        <v>14.2650591558732</v>
      </c>
      <c r="K2920">
        <v>14.3386008678279</v>
      </c>
      <c r="L2920">
        <v>14.2772324414934</v>
      </c>
      <c r="M2920">
        <v>15.069572523645601</v>
      </c>
      <c r="N2920">
        <v>14.7610176729483</v>
      </c>
      <c r="O2920">
        <v>14.98930654712</v>
      </c>
      <c r="P2920">
        <v>0.64633475950647001</v>
      </c>
      <c r="Q2920">
        <v>0.26230576975965297</v>
      </c>
      <c r="R2920">
        <v>1.03036374925329</v>
      </c>
      <c r="S2920">
        <v>14.365825056269401</v>
      </c>
      <c r="T2920">
        <v>3.53741502384608</v>
      </c>
      <c r="U2920">
        <v>-2.1865913598582098</v>
      </c>
      <c r="V2920">
        <v>2.3701890928458798E-3</v>
      </c>
      <c r="W2920">
        <v>1.6318903956196701E-2</v>
      </c>
      <c r="X2920">
        <v>0</v>
      </c>
      <c r="Y2920">
        <v>0</v>
      </c>
    </row>
    <row r="2921" spans="1:25" x14ac:dyDescent="0.2">
      <c r="A2921" t="s">
        <v>10837</v>
      </c>
      <c r="B2921" t="s">
        <v>10838</v>
      </c>
      <c r="C2921" t="s">
        <v>14586</v>
      </c>
      <c r="D2921" t="s">
        <v>10839</v>
      </c>
      <c r="E2921" t="s">
        <v>10838</v>
      </c>
      <c r="F2921" t="s">
        <v>28</v>
      </c>
      <c r="G2921" t="s">
        <v>10838</v>
      </c>
      <c r="H2921" t="str">
        <f>"F30F8.9"</f>
        <v>F30F8.9</v>
      </c>
      <c r="I2921" t="s">
        <v>10839</v>
      </c>
      <c r="J2921">
        <v>14.680953190826299</v>
      </c>
      <c r="K2921">
        <v>14.285429286141101</v>
      </c>
      <c r="L2921">
        <v>14.3599529047658</v>
      </c>
      <c r="M2921" t="s">
        <v>29</v>
      </c>
      <c r="N2921">
        <v>14.468785374979699</v>
      </c>
      <c r="O2921">
        <v>14.234548101055999</v>
      </c>
      <c r="P2921">
        <v>-9.0445055893184204E-2</v>
      </c>
      <c r="Q2921">
        <v>-0.68551096800737898</v>
      </c>
      <c r="R2921">
        <v>0.50462085622101005</v>
      </c>
      <c r="S2921">
        <v>14.3085467646218</v>
      </c>
      <c r="T2921">
        <v>-0.320826159019028</v>
      </c>
      <c r="U2921">
        <v>-6.9915351449760896</v>
      </c>
      <c r="V2921">
        <v>0.75227650120415002</v>
      </c>
      <c r="W2921">
        <v>0.84310895250844198</v>
      </c>
      <c r="X2921">
        <v>0</v>
      </c>
      <c r="Y2921">
        <v>0</v>
      </c>
    </row>
    <row r="2922" spans="1:25" x14ac:dyDescent="0.2">
      <c r="A2922" t="s">
        <v>10840</v>
      </c>
      <c r="B2922" t="s">
        <v>10841</v>
      </c>
      <c r="C2922" t="s">
        <v>10842</v>
      </c>
      <c r="D2922" t="s">
        <v>10843</v>
      </c>
      <c r="E2922" t="s">
        <v>10841</v>
      </c>
      <c r="F2922" t="s">
        <v>28</v>
      </c>
      <c r="G2922" t="s">
        <v>10841</v>
      </c>
      <c r="H2922" t="str">
        <f>"gls-1"</f>
        <v>gls-1</v>
      </c>
      <c r="I2922" t="s">
        <v>10843</v>
      </c>
      <c r="J2922">
        <v>14.0289615228358</v>
      </c>
      <c r="K2922">
        <v>13.742903177427101</v>
      </c>
      <c r="L2922">
        <v>14.472481971796</v>
      </c>
      <c r="M2922">
        <v>13.509070311654</v>
      </c>
      <c r="N2922">
        <v>13.377879710353801</v>
      </c>
      <c r="O2922">
        <v>12.6942574201403</v>
      </c>
      <c r="P2922">
        <v>-0.88771307663689403</v>
      </c>
      <c r="Q2922">
        <v>-1.3976969473049701</v>
      </c>
      <c r="R2922">
        <v>-0.37772920596881798</v>
      </c>
      <c r="S2922">
        <v>14.2672611449174</v>
      </c>
      <c r="T2922">
        <v>-3.6585474304096302</v>
      </c>
      <c r="U2922">
        <v>-1.92231595118815</v>
      </c>
      <c r="V2922">
        <v>1.8115768515814901E-3</v>
      </c>
      <c r="W2922">
        <v>1.37242081789477E-2</v>
      </c>
      <c r="X2922">
        <v>0</v>
      </c>
      <c r="Y2922">
        <v>0</v>
      </c>
    </row>
    <row r="2923" spans="1:25" x14ac:dyDescent="0.2">
      <c r="A2923" t="s">
        <v>10844</v>
      </c>
      <c r="B2923" t="s">
        <v>10845</v>
      </c>
      <c r="C2923" t="s">
        <v>10846</v>
      </c>
      <c r="D2923" t="s">
        <v>10847</v>
      </c>
      <c r="E2923" t="s">
        <v>10845</v>
      </c>
      <c r="F2923" t="s">
        <v>28</v>
      </c>
      <c r="G2923" t="s">
        <v>10845</v>
      </c>
      <c r="H2923" t="str">
        <f>"npp-22"</f>
        <v>npp-22</v>
      </c>
      <c r="I2923" t="s">
        <v>10847</v>
      </c>
      <c r="J2923">
        <v>15.537331000226899</v>
      </c>
      <c r="K2923">
        <v>15.562099471963</v>
      </c>
      <c r="L2923">
        <v>15.747428997354101</v>
      </c>
      <c r="M2923">
        <v>15.898514005801999</v>
      </c>
      <c r="N2923">
        <v>15.5440075207907</v>
      </c>
      <c r="O2923">
        <v>15.5145158321954</v>
      </c>
      <c r="P2923">
        <v>3.6725963081325502E-2</v>
      </c>
      <c r="Q2923">
        <v>-0.35279624407742899</v>
      </c>
      <c r="R2923">
        <v>0.42624817024007999</v>
      </c>
      <c r="S2923">
        <v>15.8754246427557</v>
      </c>
      <c r="T2923">
        <v>0.198167980723642</v>
      </c>
      <c r="U2923">
        <v>-7.1357158897084698</v>
      </c>
      <c r="V2923">
        <v>0.84514745116710599</v>
      </c>
      <c r="W2923">
        <v>0.90230127736583199</v>
      </c>
      <c r="X2923">
        <v>0</v>
      </c>
      <c r="Y2923">
        <v>0</v>
      </c>
    </row>
    <row r="2924" spans="1:25" x14ac:dyDescent="0.2">
      <c r="A2924" t="s">
        <v>10848</v>
      </c>
      <c r="B2924" t="s">
        <v>10849</v>
      </c>
      <c r="C2924" t="s">
        <v>10850</v>
      </c>
      <c r="D2924" t="s">
        <v>10851</v>
      </c>
      <c r="E2924" t="s">
        <v>10849</v>
      </c>
      <c r="F2924" t="s">
        <v>28</v>
      </c>
      <c r="G2924" t="s">
        <v>10849</v>
      </c>
      <c r="H2924" t="str">
        <f>"odr-4"</f>
        <v>odr-4</v>
      </c>
      <c r="I2924" t="s">
        <v>10851</v>
      </c>
      <c r="J2924" t="s">
        <v>29</v>
      </c>
      <c r="K2924" t="s">
        <v>29</v>
      </c>
      <c r="L2924" t="s">
        <v>29</v>
      </c>
      <c r="M2924" t="s">
        <v>29</v>
      </c>
      <c r="N2924" t="s">
        <v>29</v>
      </c>
      <c r="O2924">
        <v>11.5990288071308</v>
      </c>
      <c r="P2924" t="s">
        <v>29</v>
      </c>
      <c r="Q2924" t="s">
        <v>29</v>
      </c>
      <c r="R2924" t="s">
        <v>29</v>
      </c>
      <c r="S2924">
        <v>10.915848016232999</v>
      </c>
      <c r="T2924" t="s">
        <v>29</v>
      </c>
      <c r="U2924" t="s">
        <v>29</v>
      </c>
      <c r="V2924" t="s">
        <v>29</v>
      </c>
      <c r="W2924" t="s">
        <v>29</v>
      </c>
      <c r="X2924" t="s">
        <v>29</v>
      </c>
      <c r="Y2924" t="s">
        <v>29</v>
      </c>
    </row>
    <row r="2925" spans="1:25" x14ac:dyDescent="0.2">
      <c r="A2925" t="s">
        <v>10852</v>
      </c>
      <c r="B2925" t="s">
        <v>10853</v>
      </c>
      <c r="C2925" t="s">
        <v>10854</v>
      </c>
      <c r="D2925" t="s">
        <v>10855</v>
      </c>
      <c r="E2925" t="s">
        <v>10853</v>
      </c>
      <c r="F2925" t="s">
        <v>28</v>
      </c>
      <c r="G2925" t="s">
        <v>10853</v>
      </c>
      <c r="H2925" t="str">
        <f>"pct-1"</f>
        <v>pct-1</v>
      </c>
      <c r="I2925" t="s">
        <v>10855</v>
      </c>
      <c r="J2925">
        <v>12.123844091167999</v>
      </c>
      <c r="K2925">
        <v>12.4485012048813</v>
      </c>
      <c r="L2925">
        <v>12.5631918527799</v>
      </c>
      <c r="M2925" t="s">
        <v>29</v>
      </c>
      <c r="N2925" t="s">
        <v>29</v>
      </c>
      <c r="O2925">
        <v>12.392786615512099</v>
      </c>
      <c r="P2925">
        <v>1.4274232569018599E-2</v>
      </c>
      <c r="Q2925">
        <v>-0.67539974924620205</v>
      </c>
      <c r="R2925">
        <v>0.70394821438423905</v>
      </c>
      <c r="S2925">
        <v>12.363301778234</v>
      </c>
      <c r="T2925">
        <v>4.3899386992134901E-2</v>
      </c>
      <c r="U2925">
        <v>-6.8116886054073298</v>
      </c>
      <c r="V2925">
        <v>0.96553136300381104</v>
      </c>
      <c r="W2925">
        <v>0.97960582951599495</v>
      </c>
      <c r="X2925">
        <v>0</v>
      </c>
      <c r="Y2925">
        <v>0</v>
      </c>
    </row>
    <row r="2926" spans="1:25" x14ac:dyDescent="0.2">
      <c r="A2926" t="s">
        <v>10856</v>
      </c>
      <c r="B2926" t="s">
        <v>10857</v>
      </c>
      <c r="C2926" t="s">
        <v>10858</v>
      </c>
      <c r="D2926" t="s">
        <v>10859</v>
      </c>
      <c r="E2926" t="s">
        <v>10857</v>
      </c>
      <c r="F2926" t="s">
        <v>28</v>
      </c>
      <c r="G2926" t="s">
        <v>10857</v>
      </c>
      <c r="H2926" t="str">
        <f>"fpn-1.1"</f>
        <v>fpn-1.1</v>
      </c>
      <c r="I2926" t="s">
        <v>10859</v>
      </c>
      <c r="J2926">
        <v>12.446737244305099</v>
      </c>
      <c r="K2926">
        <v>12.9329826469043</v>
      </c>
      <c r="L2926">
        <v>12.5931392772943</v>
      </c>
      <c r="M2926" t="s">
        <v>29</v>
      </c>
      <c r="N2926" t="s">
        <v>29</v>
      </c>
      <c r="O2926">
        <v>12.196891802566199</v>
      </c>
      <c r="P2926">
        <v>-0.46072792026839499</v>
      </c>
      <c r="Q2926">
        <v>-1.28369284123993</v>
      </c>
      <c r="R2926">
        <v>0.36223700070314202</v>
      </c>
      <c r="S2926">
        <v>12.6246947479653</v>
      </c>
      <c r="T2926">
        <v>-1.2015866665327799</v>
      </c>
      <c r="U2926">
        <v>-6.0856287862402896</v>
      </c>
      <c r="V2926">
        <v>0.249604096411667</v>
      </c>
      <c r="W2926">
        <v>0.41676106069415497</v>
      </c>
      <c r="X2926">
        <v>0</v>
      </c>
      <c r="Y2926">
        <v>0</v>
      </c>
    </row>
    <row r="2927" spans="1:25" x14ac:dyDescent="0.2">
      <c r="A2927" t="s">
        <v>10860</v>
      </c>
      <c r="B2927" t="s">
        <v>10861</v>
      </c>
      <c r="C2927" t="s">
        <v>10862</v>
      </c>
      <c r="D2927" t="s">
        <v>10863</v>
      </c>
      <c r="E2927" t="s">
        <v>10861</v>
      </c>
      <c r="F2927" t="s">
        <v>28</v>
      </c>
      <c r="G2927" t="s">
        <v>10861</v>
      </c>
      <c r="H2927" t="str">
        <f>"let-611"</f>
        <v>let-611</v>
      </c>
      <c r="I2927" t="s">
        <v>10863</v>
      </c>
      <c r="J2927" t="s">
        <v>29</v>
      </c>
      <c r="K2927" t="s">
        <v>29</v>
      </c>
      <c r="L2927" t="s">
        <v>29</v>
      </c>
      <c r="M2927" t="s">
        <v>29</v>
      </c>
      <c r="N2927" t="s">
        <v>29</v>
      </c>
      <c r="O2927" t="s">
        <v>29</v>
      </c>
      <c r="P2927" t="s">
        <v>29</v>
      </c>
      <c r="Q2927" t="s">
        <v>29</v>
      </c>
      <c r="R2927" t="s">
        <v>29</v>
      </c>
      <c r="S2927">
        <v>10.074140373073</v>
      </c>
      <c r="T2927" t="s">
        <v>29</v>
      </c>
      <c r="U2927" t="s">
        <v>29</v>
      </c>
      <c r="V2927" t="s">
        <v>29</v>
      </c>
      <c r="W2927" t="s">
        <v>29</v>
      </c>
      <c r="X2927" t="s">
        <v>29</v>
      </c>
      <c r="Y2927" t="s">
        <v>29</v>
      </c>
    </row>
    <row r="2928" spans="1:25" x14ac:dyDescent="0.2">
      <c r="A2928" t="s">
        <v>10864</v>
      </c>
      <c r="B2928" t="s">
        <v>10865</v>
      </c>
      <c r="C2928" t="s">
        <v>10866</v>
      </c>
      <c r="D2928" t="s">
        <v>10867</v>
      </c>
      <c r="E2928" t="s">
        <v>10865</v>
      </c>
      <c r="F2928" t="s">
        <v>28</v>
      </c>
      <c r="G2928" t="s">
        <v>10865</v>
      </c>
      <c r="H2928" t="str">
        <f>"lpd-2"</f>
        <v>lpd-2</v>
      </c>
      <c r="I2928" t="s">
        <v>10867</v>
      </c>
      <c r="J2928" t="s">
        <v>29</v>
      </c>
      <c r="K2928" t="s">
        <v>29</v>
      </c>
      <c r="L2928" t="s">
        <v>29</v>
      </c>
      <c r="M2928" t="s">
        <v>29</v>
      </c>
      <c r="N2928" t="s">
        <v>29</v>
      </c>
      <c r="O2928" t="s">
        <v>29</v>
      </c>
      <c r="P2928" t="s">
        <v>29</v>
      </c>
      <c r="Q2928" t="s">
        <v>29</v>
      </c>
      <c r="R2928" t="s">
        <v>29</v>
      </c>
      <c r="S2928">
        <v>12.3123120799231</v>
      </c>
      <c r="T2928" t="s">
        <v>29</v>
      </c>
      <c r="U2928" t="s">
        <v>29</v>
      </c>
      <c r="V2928" t="s">
        <v>29</v>
      </c>
      <c r="W2928" t="s">
        <v>29</v>
      </c>
      <c r="X2928" t="s">
        <v>29</v>
      </c>
      <c r="Y2928" t="s">
        <v>29</v>
      </c>
    </row>
    <row r="2929" spans="1:25" x14ac:dyDescent="0.2">
      <c r="A2929" t="s">
        <v>10868</v>
      </c>
      <c r="B2929" t="s">
        <v>10869</v>
      </c>
      <c r="C2929" t="s">
        <v>10870</v>
      </c>
      <c r="D2929" t="s">
        <v>10871</v>
      </c>
      <c r="E2929" t="s">
        <v>10869</v>
      </c>
      <c r="F2929" t="s">
        <v>28</v>
      </c>
      <c r="G2929" t="s">
        <v>10869</v>
      </c>
      <c r="H2929" t="str">
        <f>"gip-1"</f>
        <v>gip-1</v>
      </c>
      <c r="I2929" t="s">
        <v>10871</v>
      </c>
      <c r="J2929">
        <v>13.172095603710501</v>
      </c>
      <c r="K2929">
        <v>13.439832269738201</v>
      </c>
      <c r="L2929">
        <v>13.7392431337156</v>
      </c>
      <c r="M2929" t="s">
        <v>29</v>
      </c>
      <c r="N2929">
        <v>13.5801982148683</v>
      </c>
      <c r="O2929">
        <v>13.6351882384729</v>
      </c>
      <c r="P2929">
        <v>0.157302890949161</v>
      </c>
      <c r="Q2929">
        <v>-0.282390888951286</v>
      </c>
      <c r="R2929">
        <v>0.59699667084960895</v>
      </c>
      <c r="S2929">
        <v>13.869075770386001</v>
      </c>
      <c r="T2929">
        <v>0.75515550981069701</v>
      </c>
      <c r="U2929">
        <v>-6.7507005481115199</v>
      </c>
      <c r="V2929">
        <v>0.46055417617620698</v>
      </c>
      <c r="W2929">
        <v>0.62409607231562103</v>
      </c>
      <c r="X2929">
        <v>0</v>
      </c>
      <c r="Y2929">
        <v>0</v>
      </c>
    </row>
    <row r="2930" spans="1:25" x14ac:dyDescent="0.2">
      <c r="A2930" t="s">
        <v>10872</v>
      </c>
      <c r="B2930" t="s">
        <v>10873</v>
      </c>
      <c r="C2930" t="s">
        <v>10874</v>
      </c>
      <c r="D2930" t="s">
        <v>10875</v>
      </c>
      <c r="E2930" t="s">
        <v>10873</v>
      </c>
      <c r="F2930" t="s">
        <v>28</v>
      </c>
      <c r="G2930" t="s">
        <v>10873</v>
      </c>
      <c r="H2930" t="str">
        <f>"C50D2.5"</f>
        <v>C50D2.5</v>
      </c>
      <c r="I2930" t="s">
        <v>10875</v>
      </c>
      <c r="J2930">
        <v>12.863177881416799</v>
      </c>
      <c r="K2930">
        <v>13.0804282852736</v>
      </c>
      <c r="L2930">
        <v>12.8551681790556</v>
      </c>
      <c r="M2930" t="s">
        <v>29</v>
      </c>
      <c r="N2930" t="s">
        <v>29</v>
      </c>
      <c r="O2930" t="s">
        <v>29</v>
      </c>
      <c r="P2930" t="s">
        <v>29</v>
      </c>
      <c r="Q2930" t="s">
        <v>29</v>
      </c>
      <c r="R2930" t="s">
        <v>29</v>
      </c>
      <c r="S2930">
        <v>12.7554693223653</v>
      </c>
      <c r="T2930" t="s">
        <v>29</v>
      </c>
      <c r="U2930" t="s">
        <v>29</v>
      </c>
      <c r="V2930" t="s">
        <v>29</v>
      </c>
      <c r="W2930" t="s">
        <v>29</v>
      </c>
      <c r="X2930" t="s">
        <v>29</v>
      </c>
      <c r="Y2930" t="s">
        <v>29</v>
      </c>
    </row>
    <row r="2931" spans="1:25" x14ac:dyDescent="0.2">
      <c r="A2931" t="s">
        <v>10876</v>
      </c>
      <c r="B2931" t="s">
        <v>10877</v>
      </c>
      <c r="C2931" t="s">
        <v>10878</v>
      </c>
      <c r="D2931" t="s">
        <v>10879</v>
      </c>
      <c r="E2931" t="s">
        <v>10877</v>
      </c>
      <c r="F2931" t="s">
        <v>28</v>
      </c>
      <c r="G2931" t="s">
        <v>10877</v>
      </c>
      <c r="H2931" t="str">
        <f>"luc-7l3"</f>
        <v>luc-7l3</v>
      </c>
      <c r="I2931" t="s">
        <v>10879</v>
      </c>
      <c r="J2931" t="s">
        <v>29</v>
      </c>
      <c r="K2931">
        <v>10.909665977476401</v>
      </c>
      <c r="L2931">
        <v>11.6388525877513</v>
      </c>
      <c r="M2931" t="s">
        <v>29</v>
      </c>
      <c r="N2931">
        <v>13.099624345274799</v>
      </c>
      <c r="O2931">
        <v>13.327108693981501</v>
      </c>
      <c r="P2931">
        <v>1.9391072370143501</v>
      </c>
      <c r="Q2931">
        <v>1.1252525319317901</v>
      </c>
      <c r="R2931">
        <v>2.7529619420969</v>
      </c>
      <c r="S2931">
        <v>12.6352450134292</v>
      </c>
      <c r="T2931">
        <v>5.0815541102626796</v>
      </c>
      <c r="U2931">
        <v>0.91524842060706901</v>
      </c>
      <c r="V2931">
        <v>1.3822072882368E-4</v>
      </c>
      <c r="W2931">
        <v>2.1899811174375598E-3</v>
      </c>
      <c r="X2931">
        <v>1</v>
      </c>
      <c r="Y2931">
        <v>1</v>
      </c>
    </row>
    <row r="2932" spans="1:25" x14ac:dyDescent="0.2">
      <c r="A2932" t="s">
        <v>10880</v>
      </c>
      <c r="B2932" t="s">
        <v>10881</v>
      </c>
      <c r="C2932" t="s">
        <v>10882</v>
      </c>
      <c r="D2932" t="s">
        <v>10883</v>
      </c>
      <c r="E2932" t="s">
        <v>10881</v>
      </c>
      <c r="F2932" t="s">
        <v>28</v>
      </c>
      <c r="G2932" t="s">
        <v>10881</v>
      </c>
      <c r="H2932" t="str">
        <f>"mcat-1"</f>
        <v>mcat-1</v>
      </c>
      <c r="I2932" t="s">
        <v>10883</v>
      </c>
      <c r="J2932">
        <v>12.151956740004101</v>
      </c>
      <c r="K2932">
        <v>12.8244223382948</v>
      </c>
      <c r="L2932">
        <v>12.7046380395568</v>
      </c>
      <c r="M2932" t="s">
        <v>29</v>
      </c>
      <c r="N2932" t="s">
        <v>29</v>
      </c>
      <c r="O2932" t="s">
        <v>29</v>
      </c>
      <c r="P2932" t="s">
        <v>29</v>
      </c>
      <c r="Q2932" t="s">
        <v>29</v>
      </c>
      <c r="R2932" t="s">
        <v>29</v>
      </c>
      <c r="S2932">
        <v>12.917559111019999</v>
      </c>
      <c r="T2932" t="s">
        <v>29</v>
      </c>
      <c r="U2932" t="s">
        <v>29</v>
      </c>
      <c r="V2932" t="s">
        <v>29</v>
      </c>
      <c r="W2932" t="s">
        <v>29</v>
      </c>
      <c r="X2932" t="s">
        <v>29</v>
      </c>
      <c r="Y2932" t="s">
        <v>29</v>
      </c>
    </row>
    <row r="2933" spans="1:25" x14ac:dyDescent="0.2">
      <c r="A2933" t="s">
        <v>10884</v>
      </c>
      <c r="B2933" t="s">
        <v>10885</v>
      </c>
      <c r="C2933" t="s">
        <v>14587</v>
      </c>
      <c r="D2933" t="s">
        <v>10886</v>
      </c>
      <c r="E2933" t="s">
        <v>10885</v>
      </c>
      <c r="F2933" t="s">
        <v>28</v>
      </c>
      <c r="G2933" t="s">
        <v>10885</v>
      </c>
      <c r="H2933" t="str">
        <f>"R148.3"</f>
        <v>R148.3</v>
      </c>
      <c r="I2933" t="s">
        <v>10886</v>
      </c>
      <c r="J2933">
        <v>12.329380433047699</v>
      </c>
      <c r="K2933">
        <v>12.531802686243999</v>
      </c>
      <c r="L2933">
        <v>12.384094515056599</v>
      </c>
      <c r="M2933" t="s">
        <v>29</v>
      </c>
      <c r="N2933">
        <v>13.2238653571223</v>
      </c>
      <c r="O2933">
        <v>11.4046409455753</v>
      </c>
      <c r="P2933">
        <v>-0.10083939343399401</v>
      </c>
      <c r="Q2933">
        <v>-0.97711507890728699</v>
      </c>
      <c r="R2933">
        <v>0.77543629203929998</v>
      </c>
      <c r="S2933">
        <v>12.6331977848651</v>
      </c>
      <c r="T2933">
        <v>-0.24290669028069101</v>
      </c>
      <c r="U2933">
        <v>-7.0145139475960301</v>
      </c>
      <c r="V2933">
        <v>0.81100217941182995</v>
      </c>
      <c r="W2933">
        <v>0.88257881193746801</v>
      </c>
      <c r="X2933">
        <v>0</v>
      </c>
      <c r="Y2933">
        <v>0</v>
      </c>
    </row>
    <row r="2934" spans="1:25" x14ac:dyDescent="0.2">
      <c r="A2934" t="s">
        <v>10887</v>
      </c>
      <c r="B2934" t="s">
        <v>10888</v>
      </c>
      <c r="C2934" t="s">
        <v>10889</v>
      </c>
      <c r="D2934" t="s">
        <v>6796</v>
      </c>
      <c r="E2934" t="s">
        <v>10888</v>
      </c>
      <c r="F2934" t="s">
        <v>28</v>
      </c>
      <c r="G2934" t="s">
        <v>10888</v>
      </c>
      <c r="H2934" t="str">
        <f>"puf-11"</f>
        <v>puf-11</v>
      </c>
      <c r="I2934" t="s">
        <v>6796</v>
      </c>
      <c r="J2934">
        <v>10.805341128983301</v>
      </c>
      <c r="K2934">
        <v>11.171644529280099</v>
      </c>
      <c r="L2934">
        <v>11.871526536858299</v>
      </c>
      <c r="M2934" t="s">
        <v>29</v>
      </c>
      <c r="N2934">
        <v>10.838353886131801</v>
      </c>
      <c r="O2934">
        <v>11.575267349205699</v>
      </c>
      <c r="P2934">
        <v>-7.6026780705193503E-2</v>
      </c>
      <c r="Q2934">
        <v>-1.0693917754647599</v>
      </c>
      <c r="R2934">
        <v>0.91733821405437199</v>
      </c>
      <c r="S2934">
        <v>12.3418214407512</v>
      </c>
      <c r="T2934">
        <v>-0.16233317355062801</v>
      </c>
      <c r="U2934">
        <v>-7.0315858402623501</v>
      </c>
      <c r="V2934">
        <v>0.87308921400086303</v>
      </c>
      <c r="W2934">
        <v>0.92089975435237703</v>
      </c>
      <c r="X2934">
        <v>0</v>
      </c>
      <c r="Y2934">
        <v>0</v>
      </c>
    </row>
    <row r="2935" spans="1:25" x14ac:dyDescent="0.2">
      <c r="A2935" t="s">
        <v>10890</v>
      </c>
      <c r="B2935" t="s">
        <v>10891</v>
      </c>
      <c r="C2935" t="s">
        <v>10892</v>
      </c>
      <c r="D2935" t="s">
        <v>10893</v>
      </c>
      <c r="E2935" t="s">
        <v>10891</v>
      </c>
      <c r="F2935" t="s">
        <v>28</v>
      </c>
      <c r="G2935" t="s">
        <v>10891</v>
      </c>
      <c r="H2935" t="str">
        <f>"gap-2"</f>
        <v>gap-2</v>
      </c>
      <c r="I2935" t="s">
        <v>10893</v>
      </c>
      <c r="J2935" t="s">
        <v>29</v>
      </c>
      <c r="K2935" t="s">
        <v>29</v>
      </c>
      <c r="L2935" t="s">
        <v>29</v>
      </c>
      <c r="M2935" t="s">
        <v>29</v>
      </c>
      <c r="N2935" t="s">
        <v>29</v>
      </c>
      <c r="O2935" t="s">
        <v>29</v>
      </c>
      <c r="P2935" t="s">
        <v>29</v>
      </c>
      <c r="Q2935" t="s">
        <v>29</v>
      </c>
      <c r="R2935" t="s">
        <v>29</v>
      </c>
      <c r="S2935">
        <v>10.0564893135349</v>
      </c>
      <c r="T2935" t="s">
        <v>29</v>
      </c>
      <c r="U2935" t="s">
        <v>29</v>
      </c>
      <c r="V2935" t="s">
        <v>29</v>
      </c>
      <c r="W2935" t="s">
        <v>29</v>
      </c>
      <c r="X2935" t="s">
        <v>29</v>
      </c>
      <c r="Y2935" t="s">
        <v>29</v>
      </c>
    </row>
    <row r="2936" spans="1:25" x14ac:dyDescent="0.2">
      <c r="A2936" t="s">
        <v>10894</v>
      </c>
      <c r="B2936" t="s">
        <v>10895</v>
      </c>
      <c r="C2936" t="s">
        <v>14588</v>
      </c>
      <c r="D2936" t="s">
        <v>3688</v>
      </c>
      <c r="E2936" t="s">
        <v>10895</v>
      </c>
      <c r="F2936" t="s">
        <v>28</v>
      </c>
      <c r="G2936" t="s">
        <v>10895</v>
      </c>
      <c r="H2936" t="str">
        <f>"F28F5.6"</f>
        <v>F28F5.6</v>
      </c>
      <c r="I2936" t="s">
        <v>3688</v>
      </c>
      <c r="J2936">
        <v>10.781951998395201</v>
      </c>
      <c r="K2936">
        <v>11.0586007509759</v>
      </c>
      <c r="L2936">
        <v>11.331766237932399</v>
      </c>
      <c r="M2936" t="s">
        <v>29</v>
      </c>
      <c r="N2936" t="s">
        <v>29</v>
      </c>
      <c r="O2936" t="s">
        <v>29</v>
      </c>
      <c r="P2936" t="s">
        <v>29</v>
      </c>
      <c r="Q2936" t="s">
        <v>29</v>
      </c>
      <c r="R2936" t="s">
        <v>29</v>
      </c>
      <c r="S2936">
        <v>11.4170949243252</v>
      </c>
      <c r="T2936" t="s">
        <v>29</v>
      </c>
      <c r="U2936" t="s">
        <v>29</v>
      </c>
      <c r="V2936" t="s">
        <v>29</v>
      </c>
      <c r="W2936" t="s">
        <v>29</v>
      </c>
      <c r="X2936" t="s">
        <v>29</v>
      </c>
      <c r="Y2936" t="s">
        <v>29</v>
      </c>
    </row>
    <row r="2937" spans="1:25" x14ac:dyDescent="0.2">
      <c r="A2937" t="s">
        <v>10896</v>
      </c>
      <c r="B2937" t="s">
        <v>10897</v>
      </c>
      <c r="C2937" t="s">
        <v>10898</v>
      </c>
      <c r="D2937" t="s">
        <v>1281</v>
      </c>
      <c r="E2937" t="s">
        <v>10897</v>
      </c>
      <c r="F2937" t="s">
        <v>28</v>
      </c>
      <c r="G2937" t="s">
        <v>10897</v>
      </c>
      <c r="H2937" t="str">
        <f>"lim-8"</f>
        <v>lim-8</v>
      </c>
      <c r="I2937" t="s">
        <v>1281</v>
      </c>
      <c r="J2937" t="s">
        <v>29</v>
      </c>
      <c r="K2937" t="s">
        <v>29</v>
      </c>
      <c r="L2937">
        <v>11.588326834924899</v>
      </c>
      <c r="M2937" t="s">
        <v>29</v>
      </c>
      <c r="N2937" t="s">
        <v>29</v>
      </c>
      <c r="O2937" t="s">
        <v>29</v>
      </c>
      <c r="P2937" t="s">
        <v>29</v>
      </c>
      <c r="Q2937" t="s">
        <v>29</v>
      </c>
      <c r="R2937" t="s">
        <v>29</v>
      </c>
      <c r="S2937">
        <v>11.0343830019943</v>
      </c>
      <c r="T2937" t="s">
        <v>29</v>
      </c>
      <c r="U2937" t="s">
        <v>29</v>
      </c>
      <c r="V2937" t="s">
        <v>29</v>
      </c>
      <c r="W2937" t="s">
        <v>29</v>
      </c>
      <c r="X2937" t="s">
        <v>29</v>
      </c>
      <c r="Y2937" t="s">
        <v>29</v>
      </c>
    </row>
    <row r="2938" spans="1:25" x14ac:dyDescent="0.2">
      <c r="A2938" t="s">
        <v>10899</v>
      </c>
      <c r="B2938" t="s">
        <v>10900</v>
      </c>
      <c r="C2938" t="s">
        <v>10901</v>
      </c>
      <c r="D2938" t="s">
        <v>10902</v>
      </c>
      <c r="E2938" t="s">
        <v>10900</v>
      </c>
      <c r="F2938" t="s">
        <v>28</v>
      </c>
      <c r="G2938" t="s">
        <v>10900</v>
      </c>
      <c r="H2938" t="str">
        <f>"spas-1"</f>
        <v>spas-1</v>
      </c>
      <c r="I2938" t="s">
        <v>10902</v>
      </c>
      <c r="J2938">
        <v>11.938860137841401</v>
      </c>
      <c r="K2938">
        <v>12.2310522993539</v>
      </c>
      <c r="L2938">
        <v>12.3558354396434</v>
      </c>
      <c r="M2938" t="s">
        <v>29</v>
      </c>
      <c r="N2938" t="s">
        <v>29</v>
      </c>
      <c r="O2938">
        <v>11.5590560638739</v>
      </c>
      <c r="P2938">
        <v>-0.61619322840570401</v>
      </c>
      <c r="Q2938">
        <v>-1.1937437877341399</v>
      </c>
      <c r="R2938">
        <v>-3.8642669077263402E-2</v>
      </c>
      <c r="S2938">
        <v>12.2822400687553</v>
      </c>
      <c r="T2938">
        <v>-2.2754564001027302</v>
      </c>
      <c r="U2938">
        <v>-4.4743598530652999</v>
      </c>
      <c r="V2938">
        <v>3.8094102808281703E-2</v>
      </c>
      <c r="W2938">
        <v>0.114604007718673</v>
      </c>
      <c r="X2938">
        <v>0</v>
      </c>
      <c r="Y2938">
        <v>0</v>
      </c>
    </row>
    <row r="2939" spans="1:25" x14ac:dyDescent="0.2">
      <c r="A2939" t="s">
        <v>10903</v>
      </c>
      <c r="B2939" t="s">
        <v>10904</v>
      </c>
      <c r="C2939" t="s">
        <v>10905</v>
      </c>
      <c r="D2939" t="s">
        <v>66</v>
      </c>
      <c r="E2939" t="s">
        <v>10904</v>
      </c>
      <c r="F2939" t="s">
        <v>28</v>
      </c>
      <c r="G2939" t="s">
        <v>10904</v>
      </c>
      <c r="H2939" t="str">
        <f>"obr-3"</f>
        <v>obr-3</v>
      </c>
      <c r="I2939" t="s">
        <v>66</v>
      </c>
      <c r="J2939">
        <v>13.4521904141754</v>
      </c>
      <c r="K2939">
        <v>13.4850377748513</v>
      </c>
      <c r="L2939">
        <v>13.067658603105</v>
      </c>
      <c r="M2939" t="s">
        <v>29</v>
      </c>
      <c r="N2939">
        <v>12.5311982085708</v>
      </c>
      <c r="O2939">
        <v>12.271100599309101</v>
      </c>
      <c r="P2939">
        <v>-0.93381286010396802</v>
      </c>
      <c r="Q2939">
        <v>-1.54143902206835</v>
      </c>
      <c r="R2939">
        <v>-0.326186698139591</v>
      </c>
      <c r="S2939">
        <v>12.7327707561517</v>
      </c>
      <c r="T2939">
        <v>-3.2439443789146898</v>
      </c>
      <c r="U2939">
        <v>-2.75457138990159</v>
      </c>
      <c r="V2939">
        <v>4.8042836376036499E-3</v>
      </c>
      <c r="W2939">
        <v>2.7520960019980702E-2</v>
      </c>
      <c r="X2939">
        <v>0</v>
      </c>
      <c r="Y2939">
        <v>0</v>
      </c>
    </row>
    <row r="2940" spans="1:25" x14ac:dyDescent="0.2">
      <c r="A2940" t="s">
        <v>10906</v>
      </c>
      <c r="B2940" t="s">
        <v>10907</v>
      </c>
      <c r="C2940" t="s">
        <v>10908</v>
      </c>
      <c r="D2940" t="s">
        <v>10561</v>
      </c>
      <c r="E2940" t="s">
        <v>10907</v>
      </c>
      <c r="F2940" t="s">
        <v>28</v>
      </c>
      <c r="G2940" t="s">
        <v>10907</v>
      </c>
      <c r="H2940" t="str">
        <f>"sek-3"</f>
        <v>sek-3</v>
      </c>
      <c r="I2940" t="s">
        <v>10561</v>
      </c>
      <c r="J2940">
        <v>10.967730796524799</v>
      </c>
      <c r="K2940">
        <v>11.5933380298119</v>
      </c>
      <c r="L2940">
        <v>11.500452669359801</v>
      </c>
      <c r="M2940" t="s">
        <v>29</v>
      </c>
      <c r="N2940" t="s">
        <v>29</v>
      </c>
      <c r="O2940" t="s">
        <v>29</v>
      </c>
      <c r="P2940" t="s">
        <v>29</v>
      </c>
      <c r="Q2940" t="s">
        <v>29</v>
      </c>
      <c r="R2940" t="s">
        <v>29</v>
      </c>
      <c r="S2940">
        <v>12.028039562862901</v>
      </c>
      <c r="T2940" t="s">
        <v>29</v>
      </c>
      <c r="U2940" t="s">
        <v>29</v>
      </c>
      <c r="V2940" t="s">
        <v>29</v>
      </c>
      <c r="W2940" t="s">
        <v>29</v>
      </c>
      <c r="X2940" t="s">
        <v>29</v>
      </c>
      <c r="Y2940" t="s">
        <v>29</v>
      </c>
    </row>
    <row r="2941" spans="1:25" x14ac:dyDescent="0.2">
      <c r="A2941" t="s">
        <v>10909</v>
      </c>
      <c r="B2941" t="s">
        <v>10910</v>
      </c>
      <c r="C2941" t="s">
        <v>14589</v>
      </c>
      <c r="D2941" t="s">
        <v>323</v>
      </c>
      <c r="E2941" t="s">
        <v>10910</v>
      </c>
      <c r="F2941" t="s">
        <v>28</v>
      </c>
      <c r="G2941" t="s">
        <v>10910</v>
      </c>
      <c r="H2941" t="str">
        <f>"ZK354.2"</f>
        <v>ZK354.2</v>
      </c>
      <c r="I2941" t="s">
        <v>323</v>
      </c>
      <c r="J2941">
        <v>13.341904221539901</v>
      </c>
      <c r="K2941">
        <v>12.725250124681301</v>
      </c>
      <c r="L2941">
        <v>13.6668928005714</v>
      </c>
      <c r="M2941" t="s">
        <v>29</v>
      </c>
      <c r="N2941">
        <v>13.6661931776503</v>
      </c>
      <c r="O2941">
        <v>11.1659524609722</v>
      </c>
      <c r="P2941">
        <v>-0.82860956295293098</v>
      </c>
      <c r="Q2941">
        <v>-2.0239455948803902</v>
      </c>
      <c r="R2941">
        <v>0.36672646897452699</v>
      </c>
      <c r="S2941">
        <v>12.926416902224201</v>
      </c>
      <c r="T2941">
        <v>-1.4632210602508799</v>
      </c>
      <c r="U2941">
        <v>-5.98633718608043</v>
      </c>
      <c r="V2941">
        <v>0.161762686285739</v>
      </c>
      <c r="W2941">
        <v>0.31015916492132301</v>
      </c>
      <c r="X2941">
        <v>0</v>
      </c>
      <c r="Y2941">
        <v>0</v>
      </c>
    </row>
    <row r="2942" spans="1:25" x14ac:dyDescent="0.2">
      <c r="A2942" t="s">
        <v>10911</v>
      </c>
      <c r="B2942" t="s">
        <v>10912</v>
      </c>
      <c r="C2942" t="s">
        <v>10913</v>
      </c>
      <c r="D2942" t="s">
        <v>10914</v>
      </c>
      <c r="E2942" t="s">
        <v>10912</v>
      </c>
      <c r="F2942" t="s">
        <v>28</v>
      </c>
      <c r="G2942" t="s">
        <v>10912</v>
      </c>
      <c r="H2942" t="str">
        <f>"del-6"</f>
        <v>del-6</v>
      </c>
      <c r="I2942" t="s">
        <v>10914</v>
      </c>
      <c r="J2942" t="s">
        <v>29</v>
      </c>
      <c r="K2942" t="s">
        <v>29</v>
      </c>
      <c r="L2942" t="s">
        <v>29</v>
      </c>
      <c r="M2942" t="s">
        <v>29</v>
      </c>
      <c r="N2942">
        <v>13.6433005672947</v>
      </c>
      <c r="O2942">
        <v>13.8343778966966</v>
      </c>
      <c r="P2942" t="s">
        <v>29</v>
      </c>
      <c r="Q2942" t="s">
        <v>29</v>
      </c>
      <c r="R2942" t="s">
        <v>29</v>
      </c>
      <c r="S2942">
        <v>13.077841514385099</v>
      </c>
      <c r="T2942" t="s">
        <v>29</v>
      </c>
      <c r="U2942" t="s">
        <v>29</v>
      </c>
      <c r="V2942" t="s">
        <v>29</v>
      </c>
      <c r="W2942" t="s">
        <v>29</v>
      </c>
      <c r="X2942" t="s">
        <v>29</v>
      </c>
      <c r="Y2942" t="s">
        <v>29</v>
      </c>
    </row>
    <row r="2943" spans="1:25" x14ac:dyDescent="0.2">
      <c r="A2943" t="s">
        <v>10915</v>
      </c>
      <c r="B2943" t="s">
        <v>10916</v>
      </c>
      <c r="C2943" t="s">
        <v>10917</v>
      </c>
      <c r="D2943" t="s">
        <v>1174</v>
      </c>
      <c r="E2943" t="s">
        <v>10916</v>
      </c>
      <c r="F2943" t="s">
        <v>28</v>
      </c>
      <c r="G2943" t="s">
        <v>10916</v>
      </c>
      <c r="H2943" t="str">
        <f>"zen-4"</f>
        <v>zen-4</v>
      </c>
      <c r="I2943" t="s">
        <v>1174</v>
      </c>
      <c r="J2943">
        <v>13.4952794046549</v>
      </c>
      <c r="K2943">
        <v>12.9363014342263</v>
      </c>
      <c r="L2943">
        <v>13.984485503062301</v>
      </c>
      <c r="M2943" t="s">
        <v>29</v>
      </c>
      <c r="N2943">
        <v>14.144281749659701</v>
      </c>
      <c r="O2943">
        <v>13.356713823583201</v>
      </c>
      <c r="P2943">
        <v>0.278475672640283</v>
      </c>
      <c r="Q2943">
        <v>-0.379420766673776</v>
      </c>
      <c r="R2943">
        <v>0.936372111954343</v>
      </c>
      <c r="S2943">
        <v>14.0424397348923</v>
      </c>
      <c r="T2943">
        <v>0.89346951463733304</v>
      </c>
      <c r="U2943">
        <v>-6.6355356143955602</v>
      </c>
      <c r="V2943">
        <v>0.38415650524825401</v>
      </c>
      <c r="W2943">
        <v>0.55171014666988505</v>
      </c>
      <c r="X2943">
        <v>0</v>
      </c>
      <c r="Y2943">
        <v>0</v>
      </c>
    </row>
    <row r="2944" spans="1:25" x14ac:dyDescent="0.2">
      <c r="A2944" t="s">
        <v>10918</v>
      </c>
      <c r="B2944" t="s">
        <v>10919</v>
      </c>
      <c r="C2944" t="s">
        <v>14590</v>
      </c>
      <c r="D2944" t="s">
        <v>130</v>
      </c>
      <c r="E2944" t="s">
        <v>10919</v>
      </c>
      <c r="F2944" t="s">
        <v>28</v>
      </c>
      <c r="G2944" t="s">
        <v>10919</v>
      </c>
      <c r="H2944" t="str">
        <f>"F54D8.6"</f>
        <v>F54D8.6</v>
      </c>
      <c r="I2944" t="s">
        <v>130</v>
      </c>
      <c r="J2944" t="s">
        <v>29</v>
      </c>
      <c r="K2944" t="s">
        <v>29</v>
      </c>
      <c r="L2944">
        <v>13.578791959785899</v>
      </c>
      <c r="M2944" t="s">
        <v>29</v>
      </c>
      <c r="N2944" t="s">
        <v>29</v>
      </c>
      <c r="O2944" t="s">
        <v>29</v>
      </c>
      <c r="P2944" t="s">
        <v>29</v>
      </c>
      <c r="Q2944" t="s">
        <v>29</v>
      </c>
      <c r="R2944" t="s">
        <v>29</v>
      </c>
      <c r="S2944">
        <v>12.030268123516899</v>
      </c>
      <c r="T2944" t="s">
        <v>29</v>
      </c>
      <c r="U2944" t="s">
        <v>29</v>
      </c>
      <c r="V2944" t="s">
        <v>29</v>
      </c>
      <c r="W2944" t="s">
        <v>29</v>
      </c>
      <c r="X2944" t="s">
        <v>29</v>
      </c>
      <c r="Y2944" t="s">
        <v>29</v>
      </c>
    </row>
    <row r="2945" spans="1:25" x14ac:dyDescent="0.2">
      <c r="A2945" t="s">
        <v>10920</v>
      </c>
      <c r="B2945" t="s">
        <v>10921</v>
      </c>
      <c r="C2945" t="s">
        <v>10922</v>
      </c>
      <c r="D2945" t="s">
        <v>10923</v>
      </c>
      <c r="E2945" t="s">
        <v>10921</v>
      </c>
      <c r="F2945" t="s">
        <v>28</v>
      </c>
      <c r="G2945" t="s">
        <v>10921</v>
      </c>
      <c r="H2945" t="str">
        <f>"hpk-1"</f>
        <v>hpk-1</v>
      </c>
      <c r="I2945" t="s">
        <v>10923</v>
      </c>
      <c r="J2945">
        <v>11.0444101428218</v>
      </c>
      <c r="K2945">
        <v>11.7762427232416</v>
      </c>
      <c r="L2945">
        <v>11.6352939063314</v>
      </c>
      <c r="M2945" t="s">
        <v>29</v>
      </c>
      <c r="N2945">
        <v>13.2405865356461</v>
      </c>
      <c r="O2945">
        <v>12.792068210075699</v>
      </c>
      <c r="P2945">
        <v>1.5310117820626299</v>
      </c>
      <c r="Q2945">
        <v>0.95816359999348899</v>
      </c>
      <c r="R2945">
        <v>2.1038599641317801</v>
      </c>
      <c r="S2945">
        <v>11.9510175475243</v>
      </c>
      <c r="T2945">
        <v>5.6414274425903699</v>
      </c>
      <c r="U2945">
        <v>2.3061621023940102</v>
      </c>
      <c r="V2945" s="2">
        <v>2.9999208749956701E-5</v>
      </c>
      <c r="W2945">
        <v>6.7486769607727004E-4</v>
      </c>
      <c r="X2945">
        <v>1</v>
      </c>
      <c r="Y2945">
        <v>1</v>
      </c>
    </row>
    <row r="2946" spans="1:25" x14ac:dyDescent="0.2">
      <c r="A2946" t="s">
        <v>10924</v>
      </c>
      <c r="B2946" t="s">
        <v>10925</v>
      </c>
      <c r="C2946" t="s">
        <v>10926</v>
      </c>
      <c r="D2946" t="s">
        <v>10927</v>
      </c>
      <c r="E2946" t="s">
        <v>10925</v>
      </c>
      <c r="F2946" t="s">
        <v>28</v>
      </c>
      <c r="G2946" t="s">
        <v>10925</v>
      </c>
      <c r="H2946" t="str">
        <f>"C51E3.9"</f>
        <v>C51E3.9</v>
      </c>
      <c r="I2946" t="s">
        <v>10927</v>
      </c>
      <c r="J2946">
        <v>13.3504452141482</v>
      </c>
      <c r="K2946">
        <v>13.1526290195666</v>
      </c>
      <c r="L2946">
        <v>13.095486755639801</v>
      </c>
      <c r="M2946" t="s">
        <v>29</v>
      </c>
      <c r="N2946">
        <v>12.1375609542247</v>
      </c>
      <c r="O2946">
        <v>12.4632121310329</v>
      </c>
      <c r="P2946">
        <v>-0.89913378715604297</v>
      </c>
      <c r="Q2946">
        <v>-1.38618951103474</v>
      </c>
      <c r="R2946">
        <v>-0.41207806327734597</v>
      </c>
      <c r="S2946">
        <v>12.7871924915982</v>
      </c>
      <c r="T2946">
        <v>-3.8966884052512301</v>
      </c>
      <c r="U2946">
        <v>-1.36806685598949</v>
      </c>
      <c r="V2946">
        <v>1.17185672093398E-3</v>
      </c>
      <c r="W2946">
        <v>1.01872028218066E-2</v>
      </c>
      <c r="X2946">
        <v>0</v>
      </c>
      <c r="Y2946">
        <v>0</v>
      </c>
    </row>
    <row r="2947" spans="1:25" x14ac:dyDescent="0.2">
      <c r="A2947" t="s">
        <v>10928</v>
      </c>
      <c r="B2947" t="s">
        <v>10929</v>
      </c>
      <c r="C2947" t="s">
        <v>10930</v>
      </c>
      <c r="D2947" t="s">
        <v>10931</v>
      </c>
      <c r="E2947" t="s">
        <v>10929</v>
      </c>
      <c r="F2947" t="s">
        <v>28</v>
      </c>
      <c r="G2947" t="s">
        <v>10929</v>
      </c>
      <c r="H2947" t="str">
        <f>"egl-19"</f>
        <v>egl-19</v>
      </c>
      <c r="I2947" t="s">
        <v>10931</v>
      </c>
      <c r="J2947" t="s">
        <v>29</v>
      </c>
      <c r="K2947" t="s">
        <v>29</v>
      </c>
      <c r="L2947" t="s">
        <v>29</v>
      </c>
      <c r="M2947" t="s">
        <v>29</v>
      </c>
      <c r="N2947" t="s">
        <v>29</v>
      </c>
      <c r="O2947" t="s">
        <v>29</v>
      </c>
      <c r="P2947" t="s">
        <v>29</v>
      </c>
      <c r="Q2947" t="s">
        <v>29</v>
      </c>
      <c r="R2947" t="s">
        <v>29</v>
      </c>
      <c r="S2947">
        <v>11.153301583649601</v>
      </c>
      <c r="T2947" t="s">
        <v>29</v>
      </c>
      <c r="U2947" t="s">
        <v>29</v>
      </c>
      <c r="V2947" t="s">
        <v>29</v>
      </c>
      <c r="W2947" t="s">
        <v>29</v>
      </c>
      <c r="X2947" t="s">
        <v>29</v>
      </c>
      <c r="Y2947" t="s">
        <v>29</v>
      </c>
    </row>
    <row r="2948" spans="1:25" x14ac:dyDescent="0.2">
      <c r="A2948" t="s">
        <v>10932</v>
      </c>
      <c r="B2948" t="s">
        <v>10933</v>
      </c>
      <c r="C2948" t="s">
        <v>10934</v>
      </c>
      <c r="D2948" t="s">
        <v>581</v>
      </c>
      <c r="E2948" t="s">
        <v>10933</v>
      </c>
      <c r="F2948" t="s">
        <v>28</v>
      </c>
      <c r="G2948" t="s">
        <v>10933</v>
      </c>
      <c r="H2948" t="str">
        <f>"rmd-2"</f>
        <v>rmd-2</v>
      </c>
      <c r="I2948" t="s">
        <v>581</v>
      </c>
      <c r="J2948">
        <v>13.367897796396401</v>
      </c>
      <c r="K2948">
        <v>13.3963096356441</v>
      </c>
      <c r="L2948">
        <v>13.563860727474401</v>
      </c>
      <c r="M2948">
        <v>14.5628940437905</v>
      </c>
      <c r="N2948">
        <v>13.9532008624727</v>
      </c>
      <c r="O2948">
        <v>14.399678285641601</v>
      </c>
      <c r="P2948">
        <v>0.86256834412999495</v>
      </c>
      <c r="Q2948">
        <v>0.287812010786758</v>
      </c>
      <c r="R2948">
        <v>1.43732467747323</v>
      </c>
      <c r="S2948">
        <v>13.443538798358301</v>
      </c>
      <c r="T2948">
        <v>3.1542946787530899</v>
      </c>
      <c r="U2948">
        <v>-3.01066627002603</v>
      </c>
      <c r="V2948">
        <v>5.5162516983403801E-3</v>
      </c>
      <c r="W2948">
        <v>2.9938280571776402E-2</v>
      </c>
      <c r="X2948">
        <v>0</v>
      </c>
      <c r="Y2948">
        <v>0</v>
      </c>
    </row>
    <row r="2949" spans="1:25" x14ac:dyDescent="0.2">
      <c r="A2949" t="s">
        <v>10935</v>
      </c>
      <c r="B2949" t="s">
        <v>10936</v>
      </c>
      <c r="C2949" t="s">
        <v>10937</v>
      </c>
      <c r="D2949" t="s">
        <v>603</v>
      </c>
      <c r="E2949" t="s">
        <v>10936</v>
      </c>
      <c r="F2949" t="s">
        <v>28</v>
      </c>
      <c r="G2949" t="s">
        <v>10936</v>
      </c>
      <c r="H2949" t="str">
        <f>"mek-5"</f>
        <v>mek-5</v>
      </c>
      <c r="I2949" t="s">
        <v>603</v>
      </c>
      <c r="J2949">
        <v>17.039049400104901</v>
      </c>
      <c r="K2949">
        <v>17.276431264122799</v>
      </c>
      <c r="L2949">
        <v>17.134145942029001</v>
      </c>
      <c r="M2949">
        <v>16.9166726144494</v>
      </c>
      <c r="N2949">
        <v>17.141416375820199</v>
      </c>
      <c r="O2949">
        <v>17.239729109395299</v>
      </c>
      <c r="P2949">
        <v>-5.0602835530558103E-2</v>
      </c>
      <c r="Q2949">
        <v>-0.39673661394167897</v>
      </c>
      <c r="R2949">
        <v>0.29553094288056297</v>
      </c>
      <c r="S2949">
        <v>16.817040102555399</v>
      </c>
      <c r="T2949">
        <v>-0.30727228017114</v>
      </c>
      <c r="U2949">
        <v>-7.1068841191944196</v>
      </c>
      <c r="V2949">
        <v>0.76218329168598697</v>
      </c>
      <c r="W2949">
        <v>0.849057141544588</v>
      </c>
      <c r="X2949">
        <v>0</v>
      </c>
      <c r="Y2949">
        <v>0</v>
      </c>
    </row>
    <row r="2950" spans="1:25" x14ac:dyDescent="0.2">
      <c r="A2950" t="s">
        <v>10938</v>
      </c>
      <c r="B2950" t="s">
        <v>10939</v>
      </c>
      <c r="C2950" t="s">
        <v>14591</v>
      </c>
      <c r="D2950" t="s">
        <v>1358</v>
      </c>
      <c r="E2950" t="s">
        <v>10939</v>
      </c>
      <c r="F2950" t="s">
        <v>28</v>
      </c>
      <c r="G2950" t="s">
        <v>10939</v>
      </c>
      <c r="H2950" t="str">
        <f>"F56F11.4"</f>
        <v>F56F11.4</v>
      </c>
      <c r="I2950" t="s">
        <v>1358</v>
      </c>
      <c r="J2950">
        <v>16.534087796103499</v>
      </c>
      <c r="K2950">
        <v>16.388517132530101</v>
      </c>
      <c r="L2950">
        <v>16.420399138101502</v>
      </c>
      <c r="M2950">
        <v>16.690629948184501</v>
      </c>
      <c r="N2950">
        <v>16.107393673970702</v>
      </c>
      <c r="O2950">
        <v>16.440770787983698</v>
      </c>
      <c r="P2950">
        <v>-3.4736552198722799E-2</v>
      </c>
      <c r="Q2950">
        <v>-0.45210271981158001</v>
      </c>
      <c r="R2950">
        <v>0.38262961541413498</v>
      </c>
      <c r="S2950">
        <v>16.338769853697499</v>
      </c>
      <c r="T2950">
        <v>-0.17492906774994901</v>
      </c>
      <c r="U2950">
        <v>-7.14025712180469</v>
      </c>
      <c r="V2950">
        <v>0.863099357034948</v>
      </c>
      <c r="W2950">
        <v>0.91396112295436305</v>
      </c>
      <c r="X2950">
        <v>0</v>
      </c>
      <c r="Y2950">
        <v>0</v>
      </c>
    </row>
    <row r="2951" spans="1:25" x14ac:dyDescent="0.2">
      <c r="A2951" t="s">
        <v>10940</v>
      </c>
      <c r="B2951" t="s">
        <v>10941</v>
      </c>
      <c r="C2951" t="s">
        <v>10942</v>
      </c>
      <c r="D2951" t="s">
        <v>10943</v>
      </c>
      <c r="E2951" t="s">
        <v>10941</v>
      </c>
      <c r="F2951" t="s">
        <v>28</v>
      </c>
      <c r="G2951" t="s">
        <v>10941</v>
      </c>
      <c r="H2951" t="str">
        <f>"ucr-11"</f>
        <v>ucr-11</v>
      </c>
      <c r="I2951" t="s">
        <v>10943</v>
      </c>
      <c r="J2951">
        <v>17.617829945089099</v>
      </c>
      <c r="K2951">
        <v>17.5790679294727</v>
      </c>
      <c r="L2951">
        <v>17.464243617637301</v>
      </c>
      <c r="M2951">
        <v>16.967472101382999</v>
      </c>
      <c r="N2951">
        <v>17.208088353915599</v>
      </c>
      <c r="O2951">
        <v>17.1851671391771</v>
      </c>
      <c r="P2951">
        <v>-0.43347129924111599</v>
      </c>
      <c r="Q2951">
        <v>-0.84590568683698897</v>
      </c>
      <c r="R2951">
        <v>-2.1036911645243499E-2</v>
      </c>
      <c r="S2951">
        <v>17.130124119323099</v>
      </c>
      <c r="T2951">
        <v>-2.20901157889439</v>
      </c>
      <c r="U2951">
        <v>-4.89356938182436</v>
      </c>
      <c r="V2951">
        <v>4.04571280948718E-2</v>
      </c>
      <c r="W2951">
        <v>0.11873416348898901</v>
      </c>
      <c r="X2951">
        <v>0</v>
      </c>
      <c r="Y2951">
        <v>0</v>
      </c>
    </row>
    <row r="2952" spans="1:25" x14ac:dyDescent="0.2">
      <c r="A2952" t="s">
        <v>10944</v>
      </c>
      <c r="B2952" t="s">
        <v>10945</v>
      </c>
      <c r="C2952" t="s">
        <v>10946</v>
      </c>
      <c r="D2952" t="s">
        <v>10947</v>
      </c>
      <c r="E2952" t="s">
        <v>10945</v>
      </c>
      <c r="F2952" t="s">
        <v>28</v>
      </c>
      <c r="G2952" t="s">
        <v>10945</v>
      </c>
      <c r="H2952" t="str">
        <f>"C08F1.10"</f>
        <v>C08F1.10</v>
      </c>
      <c r="I2952" t="s">
        <v>10947</v>
      </c>
      <c r="J2952" t="s">
        <v>29</v>
      </c>
      <c r="K2952" t="s">
        <v>29</v>
      </c>
      <c r="L2952" t="s">
        <v>29</v>
      </c>
      <c r="M2952" t="s">
        <v>29</v>
      </c>
      <c r="N2952" t="s">
        <v>29</v>
      </c>
      <c r="O2952" t="s">
        <v>29</v>
      </c>
      <c r="P2952" t="s">
        <v>29</v>
      </c>
      <c r="Q2952" t="s">
        <v>29</v>
      </c>
      <c r="R2952" t="s">
        <v>29</v>
      </c>
      <c r="S2952">
        <v>11.6453397634311</v>
      </c>
      <c r="T2952" t="s">
        <v>29</v>
      </c>
      <c r="U2952" t="s">
        <v>29</v>
      </c>
      <c r="V2952" t="s">
        <v>29</v>
      </c>
      <c r="W2952" t="s">
        <v>29</v>
      </c>
      <c r="X2952" t="s">
        <v>29</v>
      </c>
      <c r="Y2952" t="s">
        <v>29</v>
      </c>
    </row>
    <row r="2953" spans="1:25" x14ac:dyDescent="0.2">
      <c r="A2953" t="s">
        <v>10948</v>
      </c>
      <c r="B2953" t="s">
        <v>10949</v>
      </c>
      <c r="C2953" t="s">
        <v>10950</v>
      </c>
      <c r="D2953" t="s">
        <v>10951</v>
      </c>
      <c r="E2953" t="s">
        <v>10949</v>
      </c>
      <c r="F2953" t="s">
        <v>28</v>
      </c>
      <c r="G2953" t="s">
        <v>10949</v>
      </c>
      <c r="H2953" t="str">
        <f>"Y92H12BL.1"</f>
        <v>Y92H12BL.1</v>
      </c>
      <c r="I2953" t="s">
        <v>10951</v>
      </c>
      <c r="J2953">
        <v>13.5630934585256</v>
      </c>
      <c r="K2953">
        <v>13.5373630017748</v>
      </c>
      <c r="L2953">
        <v>13.730141305698099</v>
      </c>
      <c r="M2953">
        <v>13.5906763332745</v>
      </c>
      <c r="N2953">
        <v>13.4373736239734</v>
      </c>
      <c r="O2953">
        <v>14.319811706819999</v>
      </c>
      <c r="P2953">
        <v>0.17242129935646</v>
      </c>
      <c r="Q2953">
        <v>-0.254775365051846</v>
      </c>
      <c r="R2953">
        <v>0.59961796376476495</v>
      </c>
      <c r="S2953">
        <v>13.5677879918382</v>
      </c>
      <c r="T2953">
        <v>0.84831192822302603</v>
      </c>
      <c r="U2953">
        <v>-6.7860836151820401</v>
      </c>
      <c r="V2953">
        <v>0.40746872116746502</v>
      </c>
      <c r="W2953">
        <v>0.57549065412234401</v>
      </c>
      <c r="X2953">
        <v>0</v>
      </c>
      <c r="Y2953">
        <v>0</v>
      </c>
    </row>
    <row r="2954" spans="1:25" x14ac:dyDescent="0.2">
      <c r="A2954" t="s">
        <v>10952</v>
      </c>
      <c r="B2954" t="s">
        <v>10953</v>
      </c>
      <c r="C2954" t="s">
        <v>10954</v>
      </c>
      <c r="D2954" t="s">
        <v>93</v>
      </c>
      <c r="E2954" t="s">
        <v>10953</v>
      </c>
      <c r="F2954" t="s">
        <v>28</v>
      </c>
      <c r="G2954" t="s">
        <v>10953</v>
      </c>
      <c r="H2954" t="str">
        <f>"hrpf-2"</f>
        <v>hrpf-2</v>
      </c>
      <c r="I2954" t="s">
        <v>93</v>
      </c>
      <c r="J2954">
        <v>14.152154102298001</v>
      </c>
      <c r="K2954">
        <v>14.4620727042951</v>
      </c>
      <c r="L2954">
        <v>14.763005359188099</v>
      </c>
      <c r="M2954">
        <v>15.580477108055501</v>
      </c>
      <c r="N2954">
        <v>15.0653007235464</v>
      </c>
      <c r="O2954">
        <v>14.394802952634</v>
      </c>
      <c r="P2954">
        <v>0.55444953948488496</v>
      </c>
      <c r="Q2954">
        <v>-9.7890896603581995E-2</v>
      </c>
      <c r="R2954">
        <v>1.20678997557335</v>
      </c>
      <c r="S2954">
        <v>14.7720049076396</v>
      </c>
      <c r="T2954">
        <v>1.78640629576442</v>
      </c>
      <c r="U2954">
        <v>-5.6160092168875204</v>
      </c>
      <c r="V2954">
        <v>9.0987660937200898E-2</v>
      </c>
      <c r="W2954">
        <v>0.204064411553981</v>
      </c>
      <c r="X2954">
        <v>0</v>
      </c>
      <c r="Y2954">
        <v>0</v>
      </c>
    </row>
    <row r="2955" spans="1:25" x14ac:dyDescent="0.2">
      <c r="A2955" t="s">
        <v>10955</v>
      </c>
      <c r="B2955" t="s">
        <v>10956</v>
      </c>
      <c r="C2955" t="s">
        <v>10957</v>
      </c>
      <c r="D2955" t="s">
        <v>10958</v>
      </c>
      <c r="E2955" t="s">
        <v>10956</v>
      </c>
      <c r="F2955" t="s">
        <v>28</v>
      </c>
      <c r="G2955" t="s">
        <v>10956</v>
      </c>
      <c r="H2955" t="str">
        <f>"rab-18"</f>
        <v>rab-18</v>
      </c>
      <c r="I2955" t="s">
        <v>10958</v>
      </c>
      <c r="J2955">
        <v>15.635841748163999</v>
      </c>
      <c r="K2955">
        <v>15.644376284579099</v>
      </c>
      <c r="L2955">
        <v>15.546540535518</v>
      </c>
      <c r="M2955">
        <v>14.8960743548044</v>
      </c>
      <c r="N2955">
        <v>15.409544302124401</v>
      </c>
      <c r="O2955">
        <v>15.5617008879889</v>
      </c>
      <c r="P2955">
        <v>-0.31981300778111399</v>
      </c>
      <c r="Q2955">
        <v>-0.68357296605342499</v>
      </c>
      <c r="R2955">
        <v>4.3946950491196603E-2</v>
      </c>
      <c r="S2955">
        <v>15.272165614420199</v>
      </c>
      <c r="T2955">
        <v>-1.84787991749479</v>
      </c>
      <c r="U2955">
        <v>-5.5171401385845096</v>
      </c>
      <c r="V2955">
        <v>8.1217409613779906E-2</v>
      </c>
      <c r="W2955">
        <v>0.189357362446052</v>
      </c>
      <c r="X2955">
        <v>0</v>
      </c>
      <c r="Y2955">
        <v>0</v>
      </c>
    </row>
    <row r="2956" spans="1:25" x14ac:dyDescent="0.2">
      <c r="A2956" t="s">
        <v>10959</v>
      </c>
      <c r="B2956" t="s">
        <v>10960</v>
      </c>
      <c r="C2956" t="s">
        <v>14592</v>
      </c>
      <c r="D2956" t="s">
        <v>130</v>
      </c>
      <c r="E2956" t="s">
        <v>10960</v>
      </c>
      <c r="F2956" t="s">
        <v>28</v>
      </c>
      <c r="G2956" t="s">
        <v>10960</v>
      </c>
      <c r="H2956" t="str">
        <f>"Y61A9LA.3"</f>
        <v>Y61A9LA.3</v>
      </c>
      <c r="I2956" t="s">
        <v>130</v>
      </c>
      <c r="J2956" t="s">
        <v>29</v>
      </c>
      <c r="K2956" t="s">
        <v>29</v>
      </c>
      <c r="L2956" t="s">
        <v>29</v>
      </c>
      <c r="M2956" t="s">
        <v>29</v>
      </c>
      <c r="N2956" t="s">
        <v>29</v>
      </c>
      <c r="O2956">
        <v>11.8548818547078</v>
      </c>
      <c r="P2956" t="s">
        <v>29</v>
      </c>
      <c r="Q2956" t="s">
        <v>29</v>
      </c>
      <c r="R2956" t="s">
        <v>29</v>
      </c>
      <c r="S2956">
        <v>12.3769532645155</v>
      </c>
      <c r="T2956" t="s">
        <v>29</v>
      </c>
      <c r="U2956" t="s">
        <v>29</v>
      </c>
      <c r="V2956" t="s">
        <v>29</v>
      </c>
      <c r="W2956" t="s">
        <v>29</v>
      </c>
      <c r="X2956" t="s">
        <v>29</v>
      </c>
      <c r="Y2956" t="s">
        <v>29</v>
      </c>
    </row>
    <row r="2957" spans="1:25" x14ac:dyDescent="0.2">
      <c r="A2957" t="s">
        <v>10961</v>
      </c>
      <c r="B2957" t="s">
        <v>10962</v>
      </c>
      <c r="C2957" t="s">
        <v>14593</v>
      </c>
      <c r="D2957" t="s">
        <v>3246</v>
      </c>
      <c r="E2957" t="s">
        <v>10962</v>
      </c>
      <c r="F2957" t="s">
        <v>28</v>
      </c>
      <c r="G2957" t="s">
        <v>10962</v>
      </c>
      <c r="H2957" t="str">
        <f>"Y47G6A.22"</f>
        <v>Y47G6A.22</v>
      </c>
      <c r="I2957" t="s">
        <v>3246</v>
      </c>
      <c r="J2957">
        <v>14.1319483288879</v>
      </c>
      <c r="K2957">
        <v>14.0254215327691</v>
      </c>
      <c r="L2957">
        <v>14.1811733341824</v>
      </c>
      <c r="M2957" t="s">
        <v>29</v>
      </c>
      <c r="N2957">
        <v>13.6545359690707</v>
      </c>
      <c r="O2957">
        <v>14.121184613557499</v>
      </c>
      <c r="P2957">
        <v>-0.224987440632374</v>
      </c>
      <c r="Q2957">
        <v>-0.72389068856636796</v>
      </c>
      <c r="R2957">
        <v>0.27391580730162002</v>
      </c>
      <c r="S2957">
        <v>13.590583829891701</v>
      </c>
      <c r="T2957">
        <v>-0.95190138180344397</v>
      </c>
      <c r="U2957">
        <v>-6.5815969980840299</v>
      </c>
      <c r="V2957">
        <v>0.35456765887541802</v>
      </c>
      <c r="W2957">
        <v>0.52455365999290005</v>
      </c>
      <c r="X2957">
        <v>0</v>
      </c>
      <c r="Y2957">
        <v>0</v>
      </c>
    </row>
    <row r="2958" spans="1:25" x14ac:dyDescent="0.2">
      <c r="A2958" t="s">
        <v>10963</v>
      </c>
      <c r="B2958" t="s">
        <v>10964</v>
      </c>
      <c r="C2958" t="s">
        <v>10965</v>
      </c>
      <c r="D2958" t="s">
        <v>1128</v>
      </c>
      <c r="E2958" t="s">
        <v>10964</v>
      </c>
      <c r="F2958" t="s">
        <v>28</v>
      </c>
      <c r="G2958" t="s">
        <v>10964</v>
      </c>
      <c r="H2958" t="str">
        <f>"prdx-6"</f>
        <v>prdx-6</v>
      </c>
      <c r="I2958" t="s">
        <v>1128</v>
      </c>
      <c r="J2958">
        <v>14.2209200726614</v>
      </c>
      <c r="K2958">
        <v>14.086794511387</v>
      </c>
      <c r="L2958">
        <v>14.465268819252101</v>
      </c>
      <c r="M2958" t="s">
        <v>29</v>
      </c>
      <c r="N2958">
        <v>13.325228151595701</v>
      </c>
      <c r="O2958">
        <v>14.1967118434335</v>
      </c>
      <c r="P2958">
        <v>-0.49669113691887801</v>
      </c>
      <c r="Q2958">
        <v>-1.06927228444308</v>
      </c>
      <c r="R2958">
        <v>7.5890010605323494E-2</v>
      </c>
      <c r="S2958">
        <v>13.9421372045891</v>
      </c>
      <c r="T2958">
        <v>-1.83104652309214</v>
      </c>
      <c r="U2958">
        <v>-5.4389562314893496</v>
      </c>
      <c r="V2958">
        <v>8.4787986025913406E-2</v>
      </c>
      <c r="W2958">
        <v>0.195058700092402</v>
      </c>
      <c r="X2958">
        <v>0</v>
      </c>
      <c r="Y2958">
        <v>0</v>
      </c>
    </row>
    <row r="2959" spans="1:25" x14ac:dyDescent="0.2">
      <c r="A2959" t="s">
        <v>10966</v>
      </c>
      <c r="B2959" t="s">
        <v>10967</v>
      </c>
      <c r="C2959" t="s">
        <v>10968</v>
      </c>
      <c r="D2959" t="s">
        <v>3312</v>
      </c>
      <c r="E2959" t="s">
        <v>10967</v>
      </c>
      <c r="F2959" t="s">
        <v>28</v>
      </c>
      <c r="G2959" t="s">
        <v>10967</v>
      </c>
      <c r="H2959" t="str">
        <f>"col-106"</f>
        <v>col-106</v>
      </c>
      <c r="I2959" t="s">
        <v>3312</v>
      </c>
      <c r="J2959">
        <v>13.322417622689199</v>
      </c>
      <c r="K2959">
        <v>13.6251089292244</v>
      </c>
      <c r="L2959">
        <v>13.9385335507307</v>
      </c>
      <c r="M2959" t="s">
        <v>29</v>
      </c>
      <c r="N2959" t="s">
        <v>29</v>
      </c>
      <c r="O2959" t="s">
        <v>29</v>
      </c>
      <c r="P2959" t="s">
        <v>29</v>
      </c>
      <c r="Q2959" t="s">
        <v>29</v>
      </c>
      <c r="R2959" t="s">
        <v>29</v>
      </c>
      <c r="S2959">
        <v>13.551360115919501</v>
      </c>
      <c r="T2959" t="s">
        <v>29</v>
      </c>
      <c r="U2959" t="s">
        <v>29</v>
      </c>
      <c r="V2959" t="s">
        <v>29</v>
      </c>
      <c r="W2959" t="s">
        <v>29</v>
      </c>
      <c r="X2959" t="s">
        <v>29</v>
      </c>
      <c r="Y2959" t="s">
        <v>29</v>
      </c>
    </row>
    <row r="2960" spans="1:25" x14ac:dyDescent="0.2">
      <c r="A2960" t="s">
        <v>10969</v>
      </c>
      <c r="B2960" t="s">
        <v>10970</v>
      </c>
      <c r="C2960" t="s">
        <v>14594</v>
      </c>
      <c r="D2960" t="s">
        <v>2611</v>
      </c>
      <c r="E2960" t="s">
        <v>10970</v>
      </c>
      <c r="F2960" t="s">
        <v>28</v>
      </c>
      <c r="G2960" t="s">
        <v>10970</v>
      </c>
      <c r="H2960" t="str">
        <f>"Y39B6A.27"</f>
        <v>Y39B6A.27</v>
      </c>
      <c r="I2960" t="s">
        <v>2611</v>
      </c>
      <c r="J2960" t="s">
        <v>29</v>
      </c>
      <c r="K2960" t="s">
        <v>29</v>
      </c>
      <c r="L2960" t="s">
        <v>29</v>
      </c>
      <c r="M2960" t="s">
        <v>29</v>
      </c>
      <c r="N2960" t="s">
        <v>29</v>
      </c>
      <c r="O2960" t="s">
        <v>29</v>
      </c>
      <c r="P2960" t="s">
        <v>29</v>
      </c>
      <c r="Q2960" t="s">
        <v>29</v>
      </c>
      <c r="R2960" t="s">
        <v>29</v>
      </c>
      <c r="S2960">
        <v>11.462943693874699</v>
      </c>
      <c r="T2960" t="s">
        <v>29</v>
      </c>
      <c r="U2960" t="s">
        <v>29</v>
      </c>
      <c r="V2960" t="s">
        <v>29</v>
      </c>
      <c r="W2960" t="s">
        <v>29</v>
      </c>
      <c r="X2960" t="s">
        <v>29</v>
      </c>
      <c r="Y2960" t="s">
        <v>29</v>
      </c>
    </row>
    <row r="2961" spans="1:25" x14ac:dyDescent="0.2">
      <c r="A2961" t="s">
        <v>10971</v>
      </c>
      <c r="B2961" t="s">
        <v>10972</v>
      </c>
      <c r="C2961" t="s">
        <v>10973</v>
      </c>
      <c r="D2961" t="s">
        <v>10974</v>
      </c>
      <c r="E2961" t="s">
        <v>10972</v>
      </c>
      <c r="F2961" t="s">
        <v>28</v>
      </c>
      <c r="G2961" t="s">
        <v>10972</v>
      </c>
      <c r="H2961" t="str">
        <f>"ced-12"</f>
        <v>ced-12</v>
      </c>
      <c r="I2961" t="s">
        <v>10974</v>
      </c>
      <c r="J2961" t="s">
        <v>29</v>
      </c>
      <c r="K2961">
        <v>10.648103109445699</v>
      </c>
      <c r="L2961">
        <v>10.4551732840398</v>
      </c>
      <c r="M2961" t="s">
        <v>29</v>
      </c>
      <c r="N2961" t="s">
        <v>29</v>
      </c>
      <c r="O2961">
        <v>11.001676761237601</v>
      </c>
      <c r="P2961">
        <v>0.45003856449489499</v>
      </c>
      <c r="Q2961">
        <v>-0.63599627001785197</v>
      </c>
      <c r="R2961">
        <v>1.5360733990076401</v>
      </c>
      <c r="S2961">
        <v>12.081167658483499</v>
      </c>
      <c r="T2961">
        <v>0.88940152153640795</v>
      </c>
      <c r="U2961">
        <v>-6.3478395906382197</v>
      </c>
      <c r="V2961">
        <v>0.38892611127666399</v>
      </c>
      <c r="W2961">
        <v>0.55693160832474597</v>
      </c>
      <c r="X2961">
        <v>0</v>
      </c>
      <c r="Y2961">
        <v>0</v>
      </c>
    </row>
    <row r="2962" spans="1:25" x14ac:dyDescent="0.2">
      <c r="A2962" t="s">
        <v>10975</v>
      </c>
      <c r="B2962" t="s">
        <v>10976</v>
      </c>
      <c r="C2962" t="s">
        <v>10977</v>
      </c>
      <c r="D2962" t="s">
        <v>10978</v>
      </c>
      <c r="E2962" t="s">
        <v>10976</v>
      </c>
      <c r="F2962" t="s">
        <v>28</v>
      </c>
      <c r="G2962" t="s">
        <v>10976</v>
      </c>
      <c r="H2962" t="str">
        <f>"mrt-1"</f>
        <v>mrt-1</v>
      </c>
      <c r="I2962" t="s">
        <v>10978</v>
      </c>
      <c r="J2962" t="s">
        <v>29</v>
      </c>
      <c r="K2962" t="s">
        <v>29</v>
      </c>
      <c r="L2962">
        <v>12.059924005011</v>
      </c>
      <c r="M2962" t="s">
        <v>29</v>
      </c>
      <c r="N2962" t="s">
        <v>29</v>
      </c>
      <c r="O2962">
        <v>10.608398737796101</v>
      </c>
      <c r="P2962">
        <v>-1.4515252672148999</v>
      </c>
      <c r="Q2962">
        <v>-2.5936477625248302</v>
      </c>
      <c r="R2962">
        <v>-0.30940277190496401</v>
      </c>
      <c r="S2962">
        <v>11.6440956626392</v>
      </c>
      <c r="T2962">
        <v>-2.8005259932941602</v>
      </c>
      <c r="U2962">
        <v>-3.4631039464686801</v>
      </c>
      <c r="V2962">
        <v>1.74028149570385E-2</v>
      </c>
      <c r="W2962">
        <v>6.7139987703787499E-2</v>
      </c>
      <c r="X2962">
        <v>-1</v>
      </c>
      <c r="Y2962">
        <v>0</v>
      </c>
    </row>
    <row r="2963" spans="1:25" x14ac:dyDescent="0.2">
      <c r="A2963" t="s">
        <v>10979</v>
      </c>
      <c r="B2963" t="s">
        <v>10980</v>
      </c>
      <c r="C2963" t="s">
        <v>10981</v>
      </c>
      <c r="D2963" t="s">
        <v>10982</v>
      </c>
      <c r="E2963" t="s">
        <v>10980</v>
      </c>
      <c r="F2963" t="s">
        <v>28</v>
      </c>
      <c r="G2963" t="s">
        <v>10980</v>
      </c>
      <c r="H2963" t="str">
        <f>"nhx-2"</f>
        <v>nhx-2</v>
      </c>
      <c r="I2963" t="s">
        <v>10982</v>
      </c>
      <c r="J2963">
        <v>12.277512671354099</v>
      </c>
      <c r="K2963">
        <v>11.588096951789201</v>
      </c>
      <c r="L2963">
        <v>12.468576586240699</v>
      </c>
      <c r="M2963">
        <v>11.9207689777399</v>
      </c>
      <c r="N2963" t="s">
        <v>29</v>
      </c>
      <c r="O2963">
        <v>11.8034423202889</v>
      </c>
      <c r="P2963">
        <v>-0.24928975411363999</v>
      </c>
      <c r="Q2963">
        <v>-0.97397252860192896</v>
      </c>
      <c r="R2963">
        <v>0.47539302037464898</v>
      </c>
      <c r="S2963">
        <v>12.145527658382401</v>
      </c>
      <c r="T2963">
        <v>-0.72611683169463304</v>
      </c>
      <c r="U2963">
        <v>-6.7725945408924098</v>
      </c>
      <c r="V2963">
        <v>0.47770672505476902</v>
      </c>
      <c r="W2963">
        <v>0.63788025316556596</v>
      </c>
      <c r="X2963">
        <v>0</v>
      </c>
      <c r="Y2963">
        <v>0</v>
      </c>
    </row>
    <row r="2964" spans="1:25" x14ac:dyDescent="0.2">
      <c r="A2964" t="s">
        <v>10983</v>
      </c>
      <c r="B2964" t="s">
        <v>10984</v>
      </c>
      <c r="C2964" t="s">
        <v>10985</v>
      </c>
      <c r="D2964" t="s">
        <v>10986</v>
      </c>
      <c r="E2964" t="s">
        <v>10984</v>
      </c>
      <c r="F2964" t="s">
        <v>28</v>
      </c>
      <c r="G2964" t="s">
        <v>10984</v>
      </c>
      <c r="H2964" t="str">
        <f>"acsd-1"</f>
        <v>acsd-1</v>
      </c>
      <c r="I2964" t="s">
        <v>10986</v>
      </c>
      <c r="J2964" t="s">
        <v>29</v>
      </c>
      <c r="K2964" t="s">
        <v>29</v>
      </c>
      <c r="L2964" t="s">
        <v>29</v>
      </c>
      <c r="M2964" t="s">
        <v>29</v>
      </c>
      <c r="N2964">
        <v>14.4446049280234</v>
      </c>
      <c r="O2964">
        <v>15.1551062219039</v>
      </c>
      <c r="P2964" t="s">
        <v>29</v>
      </c>
      <c r="Q2964" t="s">
        <v>29</v>
      </c>
      <c r="R2964" t="s">
        <v>29</v>
      </c>
      <c r="S2964">
        <v>13.3452901426393</v>
      </c>
      <c r="T2964" t="s">
        <v>29</v>
      </c>
      <c r="U2964" t="s">
        <v>29</v>
      </c>
      <c r="V2964" t="s">
        <v>29</v>
      </c>
      <c r="W2964" t="s">
        <v>29</v>
      </c>
      <c r="X2964" t="s">
        <v>29</v>
      </c>
      <c r="Y2964" t="s">
        <v>29</v>
      </c>
    </row>
    <row r="2965" spans="1:25" x14ac:dyDescent="0.2">
      <c r="A2965" t="s">
        <v>10987</v>
      </c>
      <c r="B2965" t="s">
        <v>10988</v>
      </c>
      <c r="C2965" t="s">
        <v>10989</v>
      </c>
      <c r="D2965" t="s">
        <v>9289</v>
      </c>
      <c r="E2965" t="s">
        <v>10988</v>
      </c>
      <c r="F2965" t="s">
        <v>28</v>
      </c>
      <c r="G2965" t="s">
        <v>10988</v>
      </c>
      <c r="H2965" t="str">
        <f>"npp-6"</f>
        <v>npp-6</v>
      </c>
      <c r="I2965" t="s">
        <v>9289</v>
      </c>
      <c r="J2965">
        <v>15.0007126401881</v>
      </c>
      <c r="K2965">
        <v>15.019781211147301</v>
      </c>
      <c r="L2965">
        <v>14.790320293419301</v>
      </c>
      <c r="M2965">
        <v>14.7319755301846</v>
      </c>
      <c r="N2965">
        <v>14.672183575964601</v>
      </c>
      <c r="O2965">
        <v>15.0529161221893</v>
      </c>
      <c r="P2965">
        <v>-0.11791297213872</v>
      </c>
      <c r="Q2965">
        <v>-0.46181204619618399</v>
      </c>
      <c r="R2965">
        <v>0.22598610191874399</v>
      </c>
      <c r="S2965">
        <v>14.9152414036484</v>
      </c>
      <c r="T2965">
        <v>-0.72064784634006795</v>
      </c>
      <c r="U2965">
        <v>-6.8876625082310801</v>
      </c>
      <c r="V2965">
        <v>0.48043509329673101</v>
      </c>
      <c r="W2965">
        <v>0.63949513096001198</v>
      </c>
      <c r="X2965">
        <v>0</v>
      </c>
      <c r="Y2965">
        <v>0</v>
      </c>
    </row>
    <row r="2966" spans="1:25" x14ac:dyDescent="0.2">
      <c r="A2966" t="s">
        <v>10990</v>
      </c>
      <c r="B2966" t="s">
        <v>10991</v>
      </c>
      <c r="C2966" t="s">
        <v>10992</v>
      </c>
      <c r="D2966" t="s">
        <v>10993</v>
      </c>
      <c r="E2966" t="s">
        <v>10991</v>
      </c>
      <c r="F2966" t="s">
        <v>28</v>
      </c>
      <c r="G2966" t="s">
        <v>10991</v>
      </c>
      <c r="H2966" t="str">
        <f>"dnj-10"</f>
        <v>dnj-10</v>
      </c>
      <c r="I2966" t="s">
        <v>10993</v>
      </c>
      <c r="J2966">
        <v>12.3314720716275</v>
      </c>
      <c r="K2966">
        <v>12.187896354905</v>
      </c>
      <c r="L2966">
        <v>12.0738951670416</v>
      </c>
      <c r="M2966" t="s">
        <v>29</v>
      </c>
      <c r="N2966" t="s">
        <v>29</v>
      </c>
      <c r="O2966">
        <v>12.3535129089337</v>
      </c>
      <c r="P2966">
        <v>0.15575837774231399</v>
      </c>
      <c r="Q2966">
        <v>-0.53415795791311105</v>
      </c>
      <c r="R2966">
        <v>0.84567471339774003</v>
      </c>
      <c r="S2966">
        <v>11.614743995792001</v>
      </c>
      <c r="T2966">
        <v>0.47885554071809999</v>
      </c>
      <c r="U2966">
        <v>-6.6931512737328704</v>
      </c>
      <c r="V2966">
        <v>0.63856222898654402</v>
      </c>
      <c r="W2966">
        <v>0.75911371069921096</v>
      </c>
      <c r="X2966">
        <v>0</v>
      </c>
      <c r="Y2966">
        <v>0</v>
      </c>
    </row>
    <row r="2967" spans="1:25" x14ac:dyDescent="0.2">
      <c r="A2967" t="s">
        <v>10994</v>
      </c>
      <c r="B2967" t="s">
        <v>10995</v>
      </c>
      <c r="C2967" t="s">
        <v>10996</v>
      </c>
      <c r="D2967" t="s">
        <v>10997</v>
      </c>
      <c r="E2967" t="s">
        <v>10995</v>
      </c>
      <c r="F2967" t="s">
        <v>28</v>
      </c>
      <c r="G2967" t="s">
        <v>10995</v>
      </c>
      <c r="H2967" t="str">
        <f>"csnk-1"</f>
        <v>csnk-1</v>
      </c>
      <c r="I2967" t="s">
        <v>10997</v>
      </c>
      <c r="J2967">
        <v>15.2249162031681</v>
      </c>
      <c r="K2967">
        <v>15.040000278023101</v>
      </c>
      <c r="L2967">
        <v>14.5665851011657</v>
      </c>
      <c r="M2967">
        <v>14.855875937939199</v>
      </c>
      <c r="N2967">
        <v>14.637134366103099</v>
      </c>
      <c r="O2967">
        <v>14.5947633954345</v>
      </c>
      <c r="P2967">
        <v>-0.24790929429335101</v>
      </c>
      <c r="Q2967">
        <v>-0.72322920884889796</v>
      </c>
      <c r="R2967">
        <v>0.22741062026219699</v>
      </c>
      <c r="S2967">
        <v>14.4031795929289</v>
      </c>
      <c r="T2967">
        <v>-1.09622401476859</v>
      </c>
      <c r="U2967">
        <v>-6.5460475720104903</v>
      </c>
      <c r="V2967">
        <v>0.28751467758813398</v>
      </c>
      <c r="W2967">
        <v>0.455785774530517</v>
      </c>
      <c r="X2967">
        <v>0</v>
      </c>
      <c r="Y2967">
        <v>0</v>
      </c>
    </row>
    <row r="2968" spans="1:25" x14ac:dyDescent="0.2">
      <c r="A2968" t="s">
        <v>10998</v>
      </c>
      <c r="B2968" t="s">
        <v>10999</v>
      </c>
      <c r="C2968" t="s">
        <v>11000</v>
      </c>
      <c r="D2968" t="s">
        <v>11001</v>
      </c>
      <c r="E2968" t="s">
        <v>10999</v>
      </c>
      <c r="F2968" t="s">
        <v>28</v>
      </c>
      <c r="G2968" t="s">
        <v>10999</v>
      </c>
      <c r="H2968" t="str">
        <f>"rps-20"</f>
        <v>rps-20</v>
      </c>
      <c r="I2968" t="s">
        <v>11001</v>
      </c>
      <c r="J2968">
        <v>19.300728315093298</v>
      </c>
      <c r="K2968">
        <v>19.158949754551699</v>
      </c>
      <c r="L2968">
        <v>19.5521911866715</v>
      </c>
      <c r="M2968">
        <v>18.3077086333622</v>
      </c>
      <c r="N2968">
        <v>17.6396601359098</v>
      </c>
      <c r="O2968">
        <v>17.662128137890399</v>
      </c>
      <c r="P2968">
        <v>-1.4674574497180199</v>
      </c>
      <c r="Q2968">
        <v>-2.0437997539899402</v>
      </c>
      <c r="R2968">
        <v>-0.89111514544610104</v>
      </c>
      <c r="S2968">
        <v>18.846768719575</v>
      </c>
      <c r="T2968">
        <v>-5.3515246716367599</v>
      </c>
      <c r="U2968">
        <v>1.78257195837163</v>
      </c>
      <c r="V2968" s="2">
        <v>4.4522381710085603E-5</v>
      </c>
      <c r="W2968">
        <v>9.37196134997303E-4</v>
      </c>
      <c r="X2968">
        <v>-1</v>
      </c>
      <c r="Y2968">
        <v>-1</v>
      </c>
    </row>
    <row r="2969" spans="1:25" x14ac:dyDescent="0.2">
      <c r="A2969" t="s">
        <v>11002</v>
      </c>
      <c r="B2969" t="s">
        <v>11003</v>
      </c>
      <c r="C2969" t="s">
        <v>11004</v>
      </c>
      <c r="D2969" t="s">
        <v>11005</v>
      </c>
      <c r="E2969" t="s">
        <v>11003</v>
      </c>
      <c r="F2969" t="s">
        <v>28</v>
      </c>
      <c r="G2969" t="s">
        <v>11003</v>
      </c>
      <c r="H2969" t="str">
        <f>"hpo-13"</f>
        <v>hpo-13</v>
      </c>
      <c r="I2969" t="s">
        <v>11005</v>
      </c>
      <c r="J2969" t="s">
        <v>29</v>
      </c>
      <c r="K2969" t="s">
        <v>29</v>
      </c>
      <c r="L2969" t="s">
        <v>29</v>
      </c>
      <c r="M2969" t="s">
        <v>29</v>
      </c>
      <c r="N2969" t="s">
        <v>29</v>
      </c>
      <c r="O2969" t="s">
        <v>29</v>
      </c>
      <c r="P2969" t="s">
        <v>29</v>
      </c>
      <c r="Q2969" t="s">
        <v>29</v>
      </c>
      <c r="R2969" t="s">
        <v>29</v>
      </c>
      <c r="S2969">
        <v>12.461314550546501</v>
      </c>
      <c r="T2969" t="s">
        <v>29</v>
      </c>
      <c r="U2969" t="s">
        <v>29</v>
      </c>
      <c r="V2969" t="s">
        <v>29</v>
      </c>
      <c r="W2969" t="s">
        <v>29</v>
      </c>
      <c r="X2969" t="s">
        <v>29</v>
      </c>
      <c r="Y2969" t="s">
        <v>29</v>
      </c>
    </row>
    <row r="2970" spans="1:25" x14ac:dyDescent="0.2">
      <c r="A2970" t="s">
        <v>11006</v>
      </c>
      <c r="B2970" t="s">
        <v>11007</v>
      </c>
      <c r="C2970" t="s">
        <v>11008</v>
      </c>
      <c r="D2970" t="s">
        <v>11009</v>
      </c>
      <c r="E2970" t="s">
        <v>11007</v>
      </c>
      <c r="F2970" t="s">
        <v>28</v>
      </c>
      <c r="G2970" t="s">
        <v>11007</v>
      </c>
      <c r="H2970" t="str">
        <f>"apg-1"</f>
        <v>apg-1</v>
      </c>
      <c r="I2970" t="s">
        <v>11009</v>
      </c>
      <c r="J2970">
        <v>15.3814568748229</v>
      </c>
      <c r="K2970">
        <v>15.452933714694399</v>
      </c>
      <c r="L2970">
        <v>15.1526593733916</v>
      </c>
      <c r="M2970">
        <v>14.973086538583599</v>
      </c>
      <c r="N2970">
        <v>15.3436196705204</v>
      </c>
      <c r="O2970">
        <v>15.6620563143063</v>
      </c>
      <c r="P2970">
        <v>-2.7624798328709202E-3</v>
      </c>
      <c r="Q2970">
        <v>-0.37254962485161602</v>
      </c>
      <c r="R2970">
        <v>0.36702466518587401</v>
      </c>
      <c r="S2970">
        <v>15.090437575794599</v>
      </c>
      <c r="T2970">
        <v>-1.5701452139000701E-2</v>
      </c>
      <c r="U2970">
        <v>-7.1561727098525898</v>
      </c>
      <c r="V2970">
        <v>0.98764630292886202</v>
      </c>
      <c r="W2970">
        <v>0.99337667396974605</v>
      </c>
      <c r="X2970">
        <v>0</v>
      </c>
      <c r="Y2970">
        <v>0</v>
      </c>
    </row>
    <row r="2971" spans="1:25" x14ac:dyDescent="0.2">
      <c r="A2971" t="s">
        <v>11010</v>
      </c>
      <c r="B2971" t="s">
        <v>11011</v>
      </c>
      <c r="C2971" t="s">
        <v>11012</v>
      </c>
      <c r="D2971" t="s">
        <v>11013</v>
      </c>
      <c r="E2971" t="s">
        <v>11011</v>
      </c>
      <c r="F2971" t="s">
        <v>28</v>
      </c>
      <c r="G2971" t="s">
        <v>11011</v>
      </c>
      <c r="H2971" t="str">
        <f>"slc-30a5"</f>
        <v>slc-30a5</v>
      </c>
      <c r="I2971" t="s">
        <v>11013</v>
      </c>
      <c r="J2971">
        <v>14.016407473792899</v>
      </c>
      <c r="K2971">
        <v>14.2202089549872</v>
      </c>
      <c r="L2971">
        <v>14.4887245936658</v>
      </c>
      <c r="M2971">
        <v>14.4384915842637</v>
      </c>
      <c r="N2971">
        <v>14.245492584302699</v>
      </c>
      <c r="O2971">
        <v>14.298637794766099</v>
      </c>
      <c r="P2971">
        <v>8.5760313628877996E-2</v>
      </c>
      <c r="Q2971">
        <v>-0.266683523913327</v>
      </c>
      <c r="R2971">
        <v>0.43820415117108302</v>
      </c>
      <c r="S2971">
        <v>14.642260431909101</v>
      </c>
      <c r="T2971">
        <v>0.51143324154268799</v>
      </c>
      <c r="U2971">
        <v>-7.0200345575048004</v>
      </c>
      <c r="V2971">
        <v>0.61530044256753003</v>
      </c>
      <c r="W2971">
        <v>0.74345650030607202</v>
      </c>
      <c r="X2971">
        <v>0</v>
      </c>
      <c r="Y2971">
        <v>0</v>
      </c>
    </row>
    <row r="2972" spans="1:25" x14ac:dyDescent="0.2">
      <c r="A2972" t="s">
        <v>11014</v>
      </c>
      <c r="B2972" t="s">
        <v>11015</v>
      </c>
      <c r="C2972" t="s">
        <v>11016</v>
      </c>
      <c r="D2972" t="s">
        <v>11017</v>
      </c>
      <c r="E2972" t="s">
        <v>11015</v>
      </c>
      <c r="F2972" t="s">
        <v>28</v>
      </c>
      <c r="G2972" t="s">
        <v>11015</v>
      </c>
      <c r="H2972" t="str">
        <f>"drp-1"</f>
        <v>drp-1</v>
      </c>
      <c r="I2972" t="s">
        <v>11017</v>
      </c>
      <c r="J2972">
        <v>14.916965594070801</v>
      </c>
      <c r="K2972">
        <v>14.732919604323101</v>
      </c>
      <c r="L2972">
        <v>14.8670492627898</v>
      </c>
      <c r="M2972">
        <v>14.3099692717875</v>
      </c>
      <c r="N2972">
        <v>15.2326471796448</v>
      </c>
      <c r="O2972">
        <v>15.0633861304979</v>
      </c>
      <c r="P2972">
        <v>2.9689373582176201E-2</v>
      </c>
      <c r="Q2972">
        <v>-0.48896765936803599</v>
      </c>
      <c r="R2972">
        <v>0.54834640653238798</v>
      </c>
      <c r="S2972">
        <v>15.0624360195945</v>
      </c>
      <c r="T2972">
        <v>0.12031319955155401</v>
      </c>
      <c r="U2972">
        <v>-7.1487086580715999</v>
      </c>
      <c r="V2972">
        <v>0.90557557787787302</v>
      </c>
      <c r="W2972">
        <v>0.94364713369717501</v>
      </c>
      <c r="X2972">
        <v>0</v>
      </c>
      <c r="Y2972">
        <v>0</v>
      </c>
    </row>
    <row r="2973" spans="1:25" x14ac:dyDescent="0.2">
      <c r="A2973" t="s">
        <v>11018</v>
      </c>
      <c r="B2973" t="s">
        <v>11019</v>
      </c>
      <c r="C2973" t="s">
        <v>14595</v>
      </c>
      <c r="D2973" t="s">
        <v>11020</v>
      </c>
      <c r="E2973" t="s">
        <v>11019</v>
      </c>
      <c r="F2973" t="s">
        <v>28</v>
      </c>
      <c r="G2973" t="s">
        <v>11019</v>
      </c>
      <c r="H2973" t="str">
        <f>"R04F11.5"</f>
        <v>R04F11.5</v>
      </c>
      <c r="I2973" t="s">
        <v>11020</v>
      </c>
      <c r="J2973">
        <v>13.4228648133075</v>
      </c>
      <c r="K2973">
        <v>13.7421221802276</v>
      </c>
      <c r="L2973">
        <v>13.637975971449</v>
      </c>
      <c r="M2973">
        <v>12.9756330599736</v>
      </c>
      <c r="N2973" t="s">
        <v>29</v>
      </c>
      <c r="O2973">
        <v>13.6277034200765</v>
      </c>
      <c r="P2973">
        <v>-0.29931941496965597</v>
      </c>
      <c r="Q2973">
        <v>-1.15803489893167</v>
      </c>
      <c r="R2973">
        <v>0.55939606899236005</v>
      </c>
      <c r="S2973">
        <v>13.4704385977613</v>
      </c>
      <c r="T2973">
        <v>-0.73575904011957305</v>
      </c>
      <c r="U2973">
        <v>-6.7654139045663504</v>
      </c>
      <c r="V2973">
        <v>0.471969338831073</v>
      </c>
      <c r="W2973">
        <v>0.63251188791958701</v>
      </c>
      <c r="X2973">
        <v>0</v>
      </c>
      <c r="Y2973">
        <v>0</v>
      </c>
    </row>
    <row r="2974" spans="1:25" x14ac:dyDescent="0.2">
      <c r="A2974" t="s">
        <v>11021</v>
      </c>
      <c r="B2974" t="s">
        <v>11022</v>
      </c>
      <c r="C2974" t="s">
        <v>11023</v>
      </c>
      <c r="D2974" t="s">
        <v>11024</v>
      </c>
      <c r="E2974" t="s">
        <v>11022</v>
      </c>
      <c r="F2974" t="s">
        <v>28</v>
      </c>
      <c r="G2974" t="s">
        <v>11022</v>
      </c>
      <c r="H2974" t="str">
        <f>"lab-2"</f>
        <v>lab-2</v>
      </c>
      <c r="I2974" t="s">
        <v>11024</v>
      </c>
      <c r="J2974" t="s">
        <v>29</v>
      </c>
      <c r="K2974" t="s">
        <v>29</v>
      </c>
      <c r="L2974" t="s">
        <v>29</v>
      </c>
      <c r="M2974">
        <v>13.707970731430301</v>
      </c>
      <c r="N2974" t="s">
        <v>29</v>
      </c>
      <c r="O2974">
        <v>13.728463320168199</v>
      </c>
      <c r="P2974" t="s">
        <v>29</v>
      </c>
      <c r="Q2974" t="s">
        <v>29</v>
      </c>
      <c r="R2974" t="s">
        <v>29</v>
      </c>
      <c r="S2974">
        <v>12.702204603552699</v>
      </c>
      <c r="T2974" t="s">
        <v>29</v>
      </c>
      <c r="U2974" t="s">
        <v>29</v>
      </c>
      <c r="V2974" t="s">
        <v>29</v>
      </c>
      <c r="W2974" t="s">
        <v>29</v>
      </c>
      <c r="X2974" t="s">
        <v>29</v>
      </c>
      <c r="Y2974" t="s">
        <v>29</v>
      </c>
    </row>
    <row r="2975" spans="1:25" x14ac:dyDescent="0.2">
      <c r="A2975" t="s">
        <v>11025</v>
      </c>
      <c r="B2975" t="s">
        <v>11026</v>
      </c>
      <c r="C2975" t="s">
        <v>11027</v>
      </c>
      <c r="D2975" t="s">
        <v>11028</v>
      </c>
      <c r="E2975" t="s">
        <v>11026</v>
      </c>
      <c r="F2975" t="s">
        <v>28</v>
      </c>
      <c r="G2975" t="s">
        <v>11026</v>
      </c>
      <c r="H2975" t="str">
        <f>"smg-4"</f>
        <v>smg-4</v>
      </c>
      <c r="I2975" t="s">
        <v>11028</v>
      </c>
      <c r="J2975">
        <v>12.678957330222399</v>
      </c>
      <c r="K2975">
        <v>11.196106605250399</v>
      </c>
      <c r="L2975">
        <v>12.615140185989301</v>
      </c>
      <c r="M2975" t="s">
        <v>29</v>
      </c>
      <c r="N2975">
        <v>11.232078264403199</v>
      </c>
      <c r="O2975">
        <v>11.851556216077</v>
      </c>
      <c r="P2975">
        <v>-0.62158413358059905</v>
      </c>
      <c r="Q2975">
        <v>-1.44665635221892</v>
      </c>
      <c r="R2975">
        <v>0.20348808505772301</v>
      </c>
      <c r="S2975">
        <v>12.5724842649146</v>
      </c>
      <c r="T2975">
        <v>-1.5902227759138601</v>
      </c>
      <c r="U2975">
        <v>-5.8074213874953902</v>
      </c>
      <c r="V2975">
        <v>0.130321086827592</v>
      </c>
      <c r="W2975">
        <v>0.26377489208853999</v>
      </c>
      <c r="X2975">
        <v>0</v>
      </c>
      <c r="Y2975">
        <v>0</v>
      </c>
    </row>
    <row r="2976" spans="1:25" x14ac:dyDescent="0.2">
      <c r="A2976" t="s">
        <v>11029</v>
      </c>
      <c r="B2976" t="s">
        <v>11030</v>
      </c>
      <c r="C2976" t="s">
        <v>11031</v>
      </c>
      <c r="D2976" t="s">
        <v>11032</v>
      </c>
      <c r="E2976" t="s">
        <v>11030</v>
      </c>
      <c r="F2976" t="s">
        <v>28</v>
      </c>
      <c r="G2976" t="s">
        <v>11030</v>
      </c>
      <c r="H2976" t="str">
        <f>"jnk-1"</f>
        <v>jnk-1</v>
      </c>
      <c r="I2976" t="s">
        <v>11032</v>
      </c>
      <c r="J2976">
        <v>12.6387367552251</v>
      </c>
      <c r="K2976">
        <v>12.8665065189931</v>
      </c>
      <c r="L2976">
        <v>12.7664323011681</v>
      </c>
      <c r="M2976" t="s">
        <v>29</v>
      </c>
      <c r="N2976" t="s">
        <v>29</v>
      </c>
      <c r="O2976" t="s">
        <v>29</v>
      </c>
      <c r="P2976" t="s">
        <v>29</v>
      </c>
      <c r="Q2976" t="s">
        <v>29</v>
      </c>
      <c r="R2976" t="s">
        <v>29</v>
      </c>
      <c r="S2976">
        <v>12.5349189030537</v>
      </c>
      <c r="T2976" t="s">
        <v>29</v>
      </c>
      <c r="U2976" t="s">
        <v>29</v>
      </c>
      <c r="V2976" t="s">
        <v>29</v>
      </c>
      <c r="W2976" t="s">
        <v>29</v>
      </c>
      <c r="X2976" t="s">
        <v>29</v>
      </c>
      <c r="Y2976" t="s">
        <v>29</v>
      </c>
    </row>
    <row r="2977" spans="1:25" x14ac:dyDescent="0.2">
      <c r="A2977" t="s">
        <v>11033</v>
      </c>
      <c r="B2977" t="s">
        <v>11034</v>
      </c>
      <c r="C2977" t="s">
        <v>11035</v>
      </c>
      <c r="D2977" t="s">
        <v>11036</v>
      </c>
      <c r="E2977" t="s">
        <v>11034</v>
      </c>
      <c r="F2977" t="s">
        <v>28</v>
      </c>
      <c r="G2977" t="s">
        <v>11034</v>
      </c>
      <c r="H2977" t="str">
        <f>"mbk-1"</f>
        <v>mbk-1</v>
      </c>
      <c r="I2977" t="s">
        <v>11036</v>
      </c>
      <c r="J2977">
        <v>12.2802733984269</v>
      </c>
      <c r="K2977">
        <v>12.5960807625244</v>
      </c>
      <c r="L2977">
        <v>13.1001208095559</v>
      </c>
      <c r="M2977" t="s">
        <v>29</v>
      </c>
      <c r="N2977" t="s">
        <v>29</v>
      </c>
      <c r="O2977">
        <v>12.3558805614032</v>
      </c>
      <c r="P2977">
        <v>-0.302944428765825</v>
      </c>
      <c r="Q2977">
        <v>-1.4218960079081999</v>
      </c>
      <c r="R2977">
        <v>0.81600715037655402</v>
      </c>
      <c r="S2977">
        <v>12.7766533814195</v>
      </c>
      <c r="T2977">
        <v>-0.57425026778873001</v>
      </c>
      <c r="U2977">
        <v>-6.6413160310374204</v>
      </c>
      <c r="V2977">
        <v>0.573836019025177</v>
      </c>
      <c r="W2977">
        <v>0.71324114216246104</v>
      </c>
      <c r="X2977">
        <v>0</v>
      </c>
      <c r="Y2977">
        <v>0</v>
      </c>
    </row>
    <row r="2978" spans="1:25" x14ac:dyDescent="0.2">
      <c r="A2978" t="s">
        <v>11037</v>
      </c>
      <c r="B2978" t="s">
        <v>11038</v>
      </c>
      <c r="C2978" t="s">
        <v>11039</v>
      </c>
      <c r="D2978" t="s">
        <v>11040</v>
      </c>
      <c r="E2978" t="s">
        <v>11038</v>
      </c>
      <c r="F2978" t="s">
        <v>28</v>
      </c>
      <c r="G2978" t="s">
        <v>11038</v>
      </c>
      <c r="H2978" t="str">
        <f>"pad-2"</f>
        <v>pad-2</v>
      </c>
      <c r="I2978" t="s">
        <v>11040</v>
      </c>
      <c r="J2978">
        <v>12.992264375885499</v>
      </c>
      <c r="K2978">
        <v>12.731177415274701</v>
      </c>
      <c r="L2978">
        <v>12.967258604176999</v>
      </c>
      <c r="M2978" t="s">
        <v>29</v>
      </c>
      <c r="N2978" t="s">
        <v>29</v>
      </c>
      <c r="O2978" t="s">
        <v>29</v>
      </c>
      <c r="P2978" t="s">
        <v>29</v>
      </c>
      <c r="Q2978" t="s">
        <v>29</v>
      </c>
      <c r="R2978" t="s">
        <v>29</v>
      </c>
      <c r="S2978">
        <v>12.7919853724263</v>
      </c>
      <c r="T2978" t="s">
        <v>29</v>
      </c>
      <c r="U2978" t="s">
        <v>29</v>
      </c>
      <c r="V2978" t="s">
        <v>29</v>
      </c>
      <c r="W2978" t="s">
        <v>29</v>
      </c>
      <c r="X2978" t="s">
        <v>29</v>
      </c>
      <c r="Y2978" t="s">
        <v>29</v>
      </c>
    </row>
    <row r="2979" spans="1:25" x14ac:dyDescent="0.2">
      <c r="A2979" t="s">
        <v>11041</v>
      </c>
      <c r="B2979" t="s">
        <v>11042</v>
      </c>
      <c r="C2979" t="s">
        <v>11043</v>
      </c>
      <c r="D2979" t="s">
        <v>11044</v>
      </c>
      <c r="E2979" t="s">
        <v>11042</v>
      </c>
      <c r="F2979" t="s">
        <v>28</v>
      </c>
      <c r="G2979" t="s">
        <v>11042</v>
      </c>
      <c r="H2979" t="str">
        <f>"algn-5"</f>
        <v>algn-5</v>
      </c>
      <c r="I2979" t="s">
        <v>11044</v>
      </c>
      <c r="J2979">
        <v>15.4020299434306</v>
      </c>
      <c r="K2979">
        <v>15.3006503981881</v>
      </c>
      <c r="L2979">
        <v>15.224690317905401</v>
      </c>
      <c r="M2979">
        <v>14.786519085415099</v>
      </c>
      <c r="N2979">
        <v>15.085698614392999</v>
      </c>
      <c r="O2979">
        <v>15.434733928771401</v>
      </c>
      <c r="P2979">
        <v>-0.20680634364821099</v>
      </c>
      <c r="Q2979">
        <v>-0.54965112541127303</v>
      </c>
      <c r="R2979">
        <v>0.136038438114852</v>
      </c>
      <c r="S2979">
        <v>15.206394621939101</v>
      </c>
      <c r="T2979">
        <v>-1.2678235826045201</v>
      </c>
      <c r="U2979">
        <v>-6.3487333976176101</v>
      </c>
      <c r="V2979">
        <v>0.22110949778698999</v>
      </c>
      <c r="W2979">
        <v>0.38511210991622902</v>
      </c>
      <c r="X2979">
        <v>0</v>
      </c>
      <c r="Y2979">
        <v>0</v>
      </c>
    </row>
    <row r="2980" spans="1:25" x14ac:dyDescent="0.2">
      <c r="A2980" t="s">
        <v>11045</v>
      </c>
      <c r="B2980" t="s">
        <v>11046</v>
      </c>
      <c r="C2980" t="s">
        <v>11047</v>
      </c>
      <c r="D2980" t="s">
        <v>11048</v>
      </c>
      <c r="E2980" t="s">
        <v>11046</v>
      </c>
      <c r="F2980" t="s">
        <v>28</v>
      </c>
      <c r="G2980" t="s">
        <v>11046</v>
      </c>
      <c r="H2980" t="str">
        <f>"cyk-3"</f>
        <v>cyk-3</v>
      </c>
      <c r="I2980" t="s">
        <v>11048</v>
      </c>
      <c r="J2980">
        <v>12.0480626433806</v>
      </c>
      <c r="K2980">
        <v>11.4536712915798</v>
      </c>
      <c r="L2980">
        <v>11.3279560286266</v>
      </c>
      <c r="M2980" t="s">
        <v>29</v>
      </c>
      <c r="N2980" t="s">
        <v>29</v>
      </c>
      <c r="O2980">
        <v>12.193601109051301</v>
      </c>
      <c r="P2980">
        <v>0.58370445452233199</v>
      </c>
      <c r="Q2980">
        <v>-0.29482201701280297</v>
      </c>
      <c r="R2980">
        <v>1.46223092605747</v>
      </c>
      <c r="S2980">
        <v>11.8170916906926</v>
      </c>
      <c r="T2980">
        <v>1.4092488378952901</v>
      </c>
      <c r="U2980">
        <v>-5.83065145833665</v>
      </c>
      <c r="V2980">
        <v>0.17802533765477499</v>
      </c>
      <c r="W2980">
        <v>0.33112803594844997</v>
      </c>
      <c r="X2980">
        <v>0</v>
      </c>
      <c r="Y2980">
        <v>0</v>
      </c>
    </row>
    <row r="2981" spans="1:25" x14ac:dyDescent="0.2">
      <c r="A2981" t="s">
        <v>11049</v>
      </c>
      <c r="B2981" t="s">
        <v>11050</v>
      </c>
      <c r="C2981" t="s">
        <v>11051</v>
      </c>
      <c r="D2981" t="s">
        <v>11052</v>
      </c>
      <c r="E2981" t="s">
        <v>11050</v>
      </c>
      <c r="F2981" t="s">
        <v>28</v>
      </c>
      <c r="G2981" t="s">
        <v>11050</v>
      </c>
      <c r="H2981" t="str">
        <f>"ubxn-6"</f>
        <v>ubxn-6</v>
      </c>
      <c r="I2981" t="s">
        <v>11052</v>
      </c>
      <c r="J2981">
        <v>13.338836537677899</v>
      </c>
      <c r="K2981">
        <v>12.948852287246</v>
      </c>
      <c r="L2981">
        <v>12.9540052077887</v>
      </c>
      <c r="M2981" t="s">
        <v>29</v>
      </c>
      <c r="N2981">
        <v>13.544859084481301</v>
      </c>
      <c r="O2981">
        <v>13.2254089332933</v>
      </c>
      <c r="P2981">
        <v>0.30456933131647901</v>
      </c>
      <c r="Q2981">
        <v>-0.209076214094119</v>
      </c>
      <c r="R2981">
        <v>0.81821487672707705</v>
      </c>
      <c r="S2981">
        <v>12.7461362413842</v>
      </c>
      <c r="T2981">
        <v>1.25162046879851</v>
      </c>
      <c r="U2981">
        <v>-6.2582477186443599</v>
      </c>
      <c r="V2981">
        <v>0.22776081858418401</v>
      </c>
      <c r="W2981">
        <v>0.39252113003952699</v>
      </c>
      <c r="X2981">
        <v>0</v>
      </c>
      <c r="Y2981">
        <v>0</v>
      </c>
    </row>
    <row r="2982" spans="1:25" x14ac:dyDescent="0.2">
      <c r="A2982" t="s">
        <v>11053</v>
      </c>
      <c r="B2982" t="s">
        <v>11054</v>
      </c>
      <c r="C2982" t="s">
        <v>11055</v>
      </c>
      <c r="D2982" t="s">
        <v>11056</v>
      </c>
      <c r="E2982" t="s">
        <v>11054</v>
      </c>
      <c r="F2982" t="s">
        <v>28</v>
      </c>
      <c r="G2982" t="s">
        <v>11054</v>
      </c>
      <c r="H2982" t="str">
        <f>"hpo-29"</f>
        <v>hpo-29</v>
      </c>
      <c r="I2982" t="s">
        <v>11056</v>
      </c>
      <c r="J2982">
        <v>14.8052882967675</v>
      </c>
      <c r="K2982">
        <v>14.562407514795201</v>
      </c>
      <c r="L2982">
        <v>14.739251535176001</v>
      </c>
      <c r="M2982">
        <v>14.277581780526701</v>
      </c>
      <c r="N2982">
        <v>14.6063576755387</v>
      </c>
      <c r="O2982">
        <v>14.5304565874644</v>
      </c>
      <c r="P2982">
        <v>-0.230850434402988</v>
      </c>
      <c r="Q2982">
        <v>-0.62004014866828605</v>
      </c>
      <c r="R2982">
        <v>0.158339279862309</v>
      </c>
      <c r="S2982">
        <v>14.5766293883592</v>
      </c>
      <c r="T2982">
        <v>-1.2466997009862599</v>
      </c>
      <c r="U2982">
        <v>-6.3743325299793199</v>
      </c>
      <c r="V2982">
        <v>0.228580014564286</v>
      </c>
      <c r="W2982">
        <v>0.39324302563978503</v>
      </c>
      <c r="X2982">
        <v>0</v>
      </c>
      <c r="Y2982">
        <v>0</v>
      </c>
    </row>
    <row r="2983" spans="1:25" x14ac:dyDescent="0.2">
      <c r="A2983" t="s">
        <v>11057</v>
      </c>
      <c r="B2983" t="s">
        <v>11058</v>
      </c>
      <c r="C2983" t="s">
        <v>11059</v>
      </c>
      <c r="D2983" t="s">
        <v>11060</v>
      </c>
      <c r="E2983" t="s">
        <v>11058</v>
      </c>
      <c r="F2983" t="s">
        <v>28</v>
      </c>
      <c r="G2983" t="s">
        <v>11058</v>
      </c>
      <c r="H2983" t="str">
        <f>"arx-4"</f>
        <v>arx-4</v>
      </c>
      <c r="I2983" t="s">
        <v>11060</v>
      </c>
      <c r="J2983">
        <v>16.551439477892799</v>
      </c>
      <c r="K2983">
        <v>16.443011910045701</v>
      </c>
      <c r="L2983">
        <v>16.2944290589998</v>
      </c>
      <c r="M2983">
        <v>15.5363665267644</v>
      </c>
      <c r="N2983">
        <v>15.717768287498901</v>
      </c>
      <c r="O2983">
        <v>16.158855429622701</v>
      </c>
      <c r="P2983">
        <v>-0.62529673435076705</v>
      </c>
      <c r="Q2983">
        <v>-0.97331771444825899</v>
      </c>
      <c r="R2983">
        <v>-0.277275754253276</v>
      </c>
      <c r="S2983">
        <v>15.9166805085343</v>
      </c>
      <c r="T2983">
        <v>-3.7763587749640002</v>
      </c>
      <c r="U2983">
        <v>-1.6641429639876499</v>
      </c>
      <c r="V2983">
        <v>1.3943925114354E-3</v>
      </c>
      <c r="W2983">
        <v>1.14464477192204E-2</v>
      </c>
      <c r="X2983">
        <v>0</v>
      </c>
      <c r="Y2983">
        <v>0</v>
      </c>
    </row>
    <row r="2984" spans="1:25" x14ac:dyDescent="0.2">
      <c r="A2984" t="s">
        <v>11061</v>
      </c>
      <c r="B2984" t="s">
        <v>11062</v>
      </c>
      <c r="C2984" t="s">
        <v>11063</v>
      </c>
      <c r="D2984" t="s">
        <v>11064</v>
      </c>
      <c r="E2984" t="s">
        <v>11062</v>
      </c>
      <c r="F2984" t="s">
        <v>28</v>
      </c>
      <c r="G2984" t="s">
        <v>11062</v>
      </c>
      <c r="H2984" t="str">
        <f>"ahsa-1"</f>
        <v>ahsa-1</v>
      </c>
      <c r="I2984" t="s">
        <v>11064</v>
      </c>
      <c r="J2984">
        <v>12.88464317265</v>
      </c>
      <c r="K2984">
        <v>13.103893372837</v>
      </c>
      <c r="L2984">
        <v>13.4165838733849</v>
      </c>
      <c r="M2984" t="s">
        <v>29</v>
      </c>
      <c r="N2984">
        <v>13.4106037028643</v>
      </c>
      <c r="O2984">
        <v>13.113893537653199</v>
      </c>
      <c r="P2984">
        <v>0.12720848063481999</v>
      </c>
      <c r="Q2984">
        <v>-0.396502871805608</v>
      </c>
      <c r="R2984">
        <v>0.65091983307524903</v>
      </c>
      <c r="S2984">
        <v>13.700569851267201</v>
      </c>
      <c r="T2984">
        <v>0.51271271809743402</v>
      </c>
      <c r="U2984">
        <v>-6.9083660550746497</v>
      </c>
      <c r="V2984">
        <v>0.61479037020523497</v>
      </c>
      <c r="W2984">
        <v>0.74341495903241805</v>
      </c>
      <c r="X2984">
        <v>0</v>
      </c>
      <c r="Y2984">
        <v>0</v>
      </c>
    </row>
    <row r="2985" spans="1:25" x14ac:dyDescent="0.2">
      <c r="A2985" t="s">
        <v>11065</v>
      </c>
      <c r="B2985" t="s">
        <v>11066</v>
      </c>
      <c r="C2985" t="s">
        <v>11067</v>
      </c>
      <c r="D2985" t="s">
        <v>11068</v>
      </c>
      <c r="E2985" t="s">
        <v>11066</v>
      </c>
      <c r="F2985" t="s">
        <v>28</v>
      </c>
      <c r="G2985" t="s">
        <v>11066</v>
      </c>
      <c r="H2985" t="str">
        <f>"C01G10.9"</f>
        <v>C01G10.9</v>
      </c>
      <c r="I2985" t="s">
        <v>11068</v>
      </c>
      <c r="J2985" t="s">
        <v>29</v>
      </c>
      <c r="K2985" t="s">
        <v>29</v>
      </c>
      <c r="L2985" t="s">
        <v>29</v>
      </c>
      <c r="M2985" t="s">
        <v>29</v>
      </c>
      <c r="N2985" t="s">
        <v>29</v>
      </c>
      <c r="O2985" t="s">
        <v>29</v>
      </c>
      <c r="P2985" t="s">
        <v>29</v>
      </c>
      <c r="Q2985" t="s">
        <v>29</v>
      </c>
      <c r="R2985" t="s">
        <v>29</v>
      </c>
      <c r="S2985">
        <v>11.5736448104243</v>
      </c>
      <c r="T2985" t="s">
        <v>29</v>
      </c>
      <c r="U2985" t="s">
        <v>29</v>
      </c>
      <c r="V2985" t="s">
        <v>29</v>
      </c>
      <c r="W2985" t="s">
        <v>29</v>
      </c>
      <c r="X2985" t="s">
        <v>29</v>
      </c>
      <c r="Y2985" t="s">
        <v>29</v>
      </c>
    </row>
    <row r="2986" spans="1:25" x14ac:dyDescent="0.2">
      <c r="A2986" t="s">
        <v>11069</v>
      </c>
      <c r="B2986" t="s">
        <v>11070</v>
      </c>
      <c r="C2986" t="s">
        <v>11071</v>
      </c>
      <c r="D2986" t="s">
        <v>11072</v>
      </c>
      <c r="E2986" t="s">
        <v>11070</v>
      </c>
      <c r="F2986" t="s">
        <v>28</v>
      </c>
      <c r="G2986" t="s">
        <v>11070</v>
      </c>
      <c r="H2986" t="str">
        <f>"osgl-1"</f>
        <v>osgl-1</v>
      </c>
      <c r="I2986" t="s">
        <v>11072</v>
      </c>
      <c r="J2986" t="s">
        <v>29</v>
      </c>
      <c r="K2986" t="s">
        <v>29</v>
      </c>
      <c r="L2986" t="s">
        <v>29</v>
      </c>
      <c r="M2986" t="s">
        <v>29</v>
      </c>
      <c r="N2986" t="s">
        <v>29</v>
      </c>
      <c r="O2986" t="s">
        <v>29</v>
      </c>
      <c r="P2986" t="s">
        <v>29</v>
      </c>
      <c r="Q2986" t="s">
        <v>29</v>
      </c>
      <c r="R2986" t="s">
        <v>29</v>
      </c>
      <c r="S2986">
        <v>10.9318448221459</v>
      </c>
      <c r="T2986" t="s">
        <v>29</v>
      </c>
      <c r="U2986" t="s">
        <v>29</v>
      </c>
      <c r="V2986" t="s">
        <v>29</v>
      </c>
      <c r="W2986" t="s">
        <v>29</v>
      </c>
      <c r="X2986" t="s">
        <v>29</v>
      </c>
      <c r="Y2986" t="s">
        <v>29</v>
      </c>
    </row>
    <row r="2987" spans="1:25" x14ac:dyDescent="0.2">
      <c r="A2987" t="s">
        <v>11073</v>
      </c>
      <c r="B2987" t="s">
        <v>11074</v>
      </c>
      <c r="C2987" t="s">
        <v>11075</v>
      </c>
      <c r="D2987" t="s">
        <v>412</v>
      </c>
      <c r="E2987" t="s">
        <v>11074</v>
      </c>
      <c r="F2987" t="s">
        <v>28</v>
      </c>
      <c r="G2987" t="s">
        <v>11074</v>
      </c>
      <c r="H2987" t="str">
        <f>"C11E4.6"</f>
        <v>C11E4.6</v>
      </c>
      <c r="I2987" t="s">
        <v>412</v>
      </c>
      <c r="J2987">
        <v>13.2561875253663</v>
      </c>
      <c r="K2987">
        <v>13.677657606958499</v>
      </c>
      <c r="L2987">
        <v>11.9277468585934</v>
      </c>
      <c r="M2987">
        <v>12.6533567546713</v>
      </c>
      <c r="N2987">
        <v>11.364027584457</v>
      </c>
      <c r="O2987" t="s">
        <v>29</v>
      </c>
      <c r="P2987">
        <v>-0.94517182740859496</v>
      </c>
      <c r="Q2987">
        <v>-2.5348715312969898</v>
      </c>
      <c r="R2987">
        <v>0.64452787647979604</v>
      </c>
      <c r="S2987">
        <v>11.8619913656328</v>
      </c>
      <c r="T2987">
        <v>-1.3474106634208101</v>
      </c>
      <c r="U2987">
        <v>-6.1340513857290997</v>
      </c>
      <c r="V2987">
        <v>0.21116342739591301</v>
      </c>
      <c r="W2987">
        <v>0.37285717228026199</v>
      </c>
      <c r="X2987">
        <v>0</v>
      </c>
      <c r="Y2987">
        <v>0</v>
      </c>
    </row>
    <row r="2988" spans="1:25" x14ac:dyDescent="0.2">
      <c r="A2988" t="s">
        <v>11076</v>
      </c>
      <c r="B2988" t="s">
        <v>11077</v>
      </c>
      <c r="C2988" t="s">
        <v>11078</v>
      </c>
      <c r="D2988" t="s">
        <v>93</v>
      </c>
      <c r="E2988" t="s">
        <v>11077</v>
      </c>
      <c r="F2988" t="s">
        <v>28</v>
      </c>
      <c r="G2988" t="s">
        <v>11077</v>
      </c>
      <c r="H2988" t="str">
        <f>"pabp-2"</f>
        <v>pabp-2</v>
      </c>
      <c r="I2988" t="s">
        <v>93</v>
      </c>
      <c r="J2988">
        <v>13.727368268532899</v>
      </c>
      <c r="K2988">
        <v>14.2302146349782</v>
      </c>
      <c r="L2988">
        <v>13.6035640993556</v>
      </c>
      <c r="M2988" t="s">
        <v>29</v>
      </c>
      <c r="N2988">
        <v>13.903430007056601</v>
      </c>
      <c r="O2988">
        <v>13.011347864249</v>
      </c>
      <c r="P2988">
        <v>-0.396326731969465</v>
      </c>
      <c r="Q2988">
        <v>-1.09294276467816</v>
      </c>
      <c r="R2988">
        <v>0.30028930073922799</v>
      </c>
      <c r="S2988">
        <v>13.5593108727108</v>
      </c>
      <c r="T2988">
        <v>-1.2009084861708399</v>
      </c>
      <c r="U2988">
        <v>-6.3182397817509797</v>
      </c>
      <c r="V2988">
        <v>0.246353187830991</v>
      </c>
      <c r="W2988">
        <v>0.41326302461074899</v>
      </c>
      <c r="X2988">
        <v>0</v>
      </c>
      <c r="Y2988">
        <v>0</v>
      </c>
    </row>
    <row r="2989" spans="1:25" x14ac:dyDescent="0.2">
      <c r="A2989" t="s">
        <v>11079</v>
      </c>
      <c r="B2989" t="s">
        <v>11080</v>
      </c>
      <c r="C2989" t="s">
        <v>11081</v>
      </c>
      <c r="D2989" t="s">
        <v>11082</v>
      </c>
      <c r="E2989" t="s">
        <v>11080</v>
      </c>
      <c r="F2989" t="s">
        <v>28</v>
      </c>
      <c r="G2989" t="s">
        <v>11080</v>
      </c>
      <c r="H2989" t="str">
        <f>"nkb-1"</f>
        <v>nkb-1</v>
      </c>
      <c r="I2989" t="s">
        <v>11082</v>
      </c>
      <c r="J2989">
        <v>16.151913210138702</v>
      </c>
      <c r="K2989">
        <v>16.040954951164299</v>
      </c>
      <c r="L2989">
        <v>15.400209827916299</v>
      </c>
      <c r="M2989">
        <v>15.619499085455301</v>
      </c>
      <c r="N2989">
        <v>15.211273094047</v>
      </c>
      <c r="O2989">
        <v>15.3103825020039</v>
      </c>
      <c r="P2989">
        <v>-0.48397443590436701</v>
      </c>
      <c r="Q2989">
        <v>-1.0065410142662099</v>
      </c>
      <c r="R2989">
        <v>3.8592142457478003E-2</v>
      </c>
      <c r="S2989">
        <v>15.0563547329223</v>
      </c>
      <c r="T2989">
        <v>-1.9465846986169799</v>
      </c>
      <c r="U2989">
        <v>-5.3537135704296901</v>
      </c>
      <c r="V2989">
        <v>6.7457261705491794E-2</v>
      </c>
      <c r="W2989">
        <v>0.16761935096634401</v>
      </c>
      <c r="X2989">
        <v>0</v>
      </c>
      <c r="Y2989">
        <v>0</v>
      </c>
    </row>
    <row r="2990" spans="1:25" x14ac:dyDescent="0.2">
      <c r="A2990" t="s">
        <v>11083</v>
      </c>
      <c r="B2990" t="s">
        <v>11084</v>
      </c>
      <c r="C2990" t="s">
        <v>11085</v>
      </c>
      <c r="D2990" t="s">
        <v>49</v>
      </c>
      <c r="E2990" t="s">
        <v>11084</v>
      </c>
      <c r="F2990" t="s">
        <v>28</v>
      </c>
      <c r="G2990" t="s">
        <v>11084</v>
      </c>
      <c r="H2990" t="str">
        <f>"ugt-23"</f>
        <v>ugt-23</v>
      </c>
      <c r="I2990" t="s">
        <v>49</v>
      </c>
      <c r="J2990">
        <v>13.6133980191043</v>
      </c>
      <c r="K2990">
        <v>13.541872121361299</v>
      </c>
      <c r="L2990">
        <v>13.732030313176301</v>
      </c>
      <c r="M2990">
        <v>14.0650803922859</v>
      </c>
      <c r="N2990">
        <v>13.5576330272288</v>
      </c>
      <c r="O2990">
        <v>13.5290573780652</v>
      </c>
      <c r="P2990">
        <v>8.8156781312626706E-2</v>
      </c>
      <c r="Q2990">
        <v>-0.347589908155855</v>
      </c>
      <c r="R2990">
        <v>0.52390347078110799</v>
      </c>
      <c r="S2990">
        <v>13.6188402298329</v>
      </c>
      <c r="T2990">
        <v>0.42522044941411402</v>
      </c>
      <c r="U2990">
        <v>-7.0618919835985396</v>
      </c>
      <c r="V2990">
        <v>0.67574541795940402</v>
      </c>
      <c r="W2990">
        <v>0.78712322004994595</v>
      </c>
      <c r="X2990">
        <v>0</v>
      </c>
      <c r="Y2990">
        <v>0</v>
      </c>
    </row>
    <row r="2991" spans="1:25" x14ac:dyDescent="0.2">
      <c r="A2991" t="s">
        <v>11086</v>
      </c>
      <c r="B2991" t="s">
        <v>11087</v>
      </c>
      <c r="C2991" t="s">
        <v>11088</v>
      </c>
      <c r="D2991" t="s">
        <v>11089</v>
      </c>
      <c r="E2991" t="s">
        <v>11087</v>
      </c>
      <c r="F2991" t="s">
        <v>28</v>
      </c>
      <c r="G2991" t="s">
        <v>11087</v>
      </c>
      <c r="H2991" t="str">
        <f>"nas-37"</f>
        <v>nas-37</v>
      </c>
      <c r="I2991" t="s">
        <v>11089</v>
      </c>
      <c r="J2991" t="s">
        <v>29</v>
      </c>
      <c r="K2991" t="s">
        <v>29</v>
      </c>
      <c r="L2991" t="s">
        <v>29</v>
      </c>
      <c r="M2991" t="s">
        <v>29</v>
      </c>
      <c r="N2991" t="s">
        <v>29</v>
      </c>
      <c r="O2991" t="s">
        <v>29</v>
      </c>
      <c r="P2991" t="s">
        <v>29</v>
      </c>
      <c r="Q2991" t="s">
        <v>29</v>
      </c>
      <c r="R2991" t="s">
        <v>29</v>
      </c>
      <c r="S2991">
        <v>12.9463216984603</v>
      </c>
      <c r="T2991" t="s">
        <v>29</v>
      </c>
      <c r="U2991" t="s">
        <v>29</v>
      </c>
      <c r="V2991" t="s">
        <v>29</v>
      </c>
      <c r="W2991" t="s">
        <v>29</v>
      </c>
      <c r="X2991" t="s">
        <v>29</v>
      </c>
      <c r="Y2991" t="s">
        <v>29</v>
      </c>
    </row>
    <row r="2992" spans="1:25" x14ac:dyDescent="0.2">
      <c r="A2992" t="s">
        <v>11090</v>
      </c>
      <c r="B2992" t="s">
        <v>11091</v>
      </c>
      <c r="C2992" t="s">
        <v>11092</v>
      </c>
      <c r="D2992" t="s">
        <v>11093</v>
      </c>
      <c r="E2992" t="s">
        <v>11091</v>
      </c>
      <c r="F2992" t="s">
        <v>28</v>
      </c>
      <c r="G2992" t="s">
        <v>11091</v>
      </c>
      <c r="H2992" t="str">
        <f>"cysl-1"</f>
        <v>cysl-1</v>
      </c>
      <c r="I2992" t="s">
        <v>11093</v>
      </c>
      <c r="J2992">
        <v>12.0142311902946</v>
      </c>
      <c r="K2992">
        <v>12.139139441096599</v>
      </c>
      <c r="L2992">
        <v>11.226644936465499</v>
      </c>
      <c r="M2992" t="s">
        <v>29</v>
      </c>
      <c r="N2992" t="s">
        <v>29</v>
      </c>
      <c r="O2992">
        <v>12.6703049594457</v>
      </c>
      <c r="P2992">
        <v>0.87696643682680897</v>
      </c>
      <c r="Q2992">
        <v>6.5285009700961599E-2</v>
      </c>
      <c r="R2992">
        <v>1.6886478639526601</v>
      </c>
      <c r="S2992">
        <v>12.183816010130901</v>
      </c>
      <c r="T2992">
        <v>2.31893863706064</v>
      </c>
      <c r="U2992">
        <v>-4.4103436107190896</v>
      </c>
      <c r="V2992">
        <v>3.6157829563135402E-2</v>
      </c>
      <c r="W2992">
        <v>0.111112746321752</v>
      </c>
      <c r="X2992">
        <v>0</v>
      </c>
      <c r="Y2992">
        <v>0</v>
      </c>
    </row>
    <row r="2993" spans="1:25" x14ac:dyDescent="0.2">
      <c r="A2993" t="s">
        <v>11094</v>
      </c>
      <c r="B2993" t="s">
        <v>11095</v>
      </c>
      <c r="C2993" t="s">
        <v>11096</v>
      </c>
      <c r="D2993" t="s">
        <v>10002</v>
      </c>
      <c r="E2993" t="s">
        <v>11095</v>
      </c>
      <c r="F2993" t="s">
        <v>28</v>
      </c>
      <c r="G2993" t="s">
        <v>11095</v>
      </c>
      <c r="H2993" t="str">
        <f>"C27D8.4"</f>
        <v>C27D8.4</v>
      </c>
      <c r="I2993" t="s">
        <v>10002</v>
      </c>
      <c r="J2993">
        <v>12.2612989684485</v>
      </c>
      <c r="K2993">
        <v>12.0263404672709</v>
      </c>
      <c r="L2993">
        <v>11.412780344337399</v>
      </c>
      <c r="M2993" t="s">
        <v>29</v>
      </c>
      <c r="N2993" t="s">
        <v>29</v>
      </c>
      <c r="O2993" t="s">
        <v>29</v>
      </c>
      <c r="P2993" t="s">
        <v>29</v>
      </c>
      <c r="Q2993" t="s">
        <v>29</v>
      </c>
      <c r="R2993" t="s">
        <v>29</v>
      </c>
      <c r="S2993">
        <v>11.547345951705701</v>
      </c>
      <c r="T2993" t="s">
        <v>29</v>
      </c>
      <c r="U2993" t="s">
        <v>29</v>
      </c>
      <c r="V2993" t="s">
        <v>29</v>
      </c>
      <c r="W2993" t="s">
        <v>29</v>
      </c>
      <c r="X2993" t="s">
        <v>29</v>
      </c>
      <c r="Y2993" t="s">
        <v>29</v>
      </c>
    </row>
    <row r="2994" spans="1:25" x14ac:dyDescent="0.2">
      <c r="A2994" t="s">
        <v>11097</v>
      </c>
      <c r="B2994" t="s">
        <v>11098</v>
      </c>
      <c r="C2994" t="s">
        <v>11099</v>
      </c>
      <c r="D2994" t="s">
        <v>11100</v>
      </c>
      <c r="E2994" t="s">
        <v>11098</v>
      </c>
      <c r="F2994" t="s">
        <v>28</v>
      </c>
      <c r="G2994" t="s">
        <v>11098</v>
      </c>
      <c r="H2994" t="str">
        <f>"rpb-3"</f>
        <v>rpb-3</v>
      </c>
      <c r="I2994" t="s">
        <v>11100</v>
      </c>
      <c r="J2994">
        <v>11.374694233388601</v>
      </c>
      <c r="K2994">
        <v>10.5641274578339</v>
      </c>
      <c r="L2994">
        <v>11.0000660342077</v>
      </c>
      <c r="M2994" t="s">
        <v>29</v>
      </c>
      <c r="N2994" t="s">
        <v>29</v>
      </c>
      <c r="O2994" t="s">
        <v>29</v>
      </c>
      <c r="P2994" t="s">
        <v>29</v>
      </c>
      <c r="Q2994" t="s">
        <v>29</v>
      </c>
      <c r="R2994" t="s">
        <v>29</v>
      </c>
      <c r="S2994">
        <v>11.825963768755001</v>
      </c>
      <c r="T2994" t="s">
        <v>29</v>
      </c>
      <c r="U2994" t="s">
        <v>29</v>
      </c>
      <c r="V2994" t="s">
        <v>29</v>
      </c>
      <c r="W2994" t="s">
        <v>29</v>
      </c>
      <c r="X2994" t="s">
        <v>29</v>
      </c>
      <c r="Y2994" t="s">
        <v>29</v>
      </c>
    </row>
    <row r="2995" spans="1:25" x14ac:dyDescent="0.2">
      <c r="A2995" t="s">
        <v>11101</v>
      </c>
      <c r="B2995" t="s">
        <v>11102</v>
      </c>
      <c r="C2995" t="s">
        <v>11103</v>
      </c>
      <c r="D2995" t="s">
        <v>11104</v>
      </c>
      <c r="E2995" t="s">
        <v>11102</v>
      </c>
      <c r="F2995" t="s">
        <v>28</v>
      </c>
      <c r="G2995" t="s">
        <v>11102</v>
      </c>
      <c r="H2995" t="str">
        <f>"dhfr-1"</f>
        <v>dhfr-1</v>
      </c>
      <c r="I2995" t="s">
        <v>11104</v>
      </c>
      <c r="J2995">
        <v>13.5105604065356</v>
      </c>
      <c r="K2995">
        <v>13.380797600312301</v>
      </c>
      <c r="L2995">
        <v>12.8693368876593</v>
      </c>
      <c r="M2995" t="s">
        <v>29</v>
      </c>
      <c r="N2995">
        <v>11.602737975522199</v>
      </c>
      <c r="O2995">
        <v>12.8550966435671</v>
      </c>
      <c r="P2995">
        <v>-1.0246476552910699</v>
      </c>
      <c r="Q2995">
        <v>-2.1728045074872702</v>
      </c>
      <c r="R2995">
        <v>0.123509196905136</v>
      </c>
      <c r="S2995">
        <v>12.5082066351022</v>
      </c>
      <c r="T2995">
        <v>-1.88375033136179</v>
      </c>
      <c r="U2995">
        <v>-5.3536250006686803</v>
      </c>
      <c r="V2995">
        <v>7.6928048461155099E-2</v>
      </c>
      <c r="W2995">
        <v>0.18297575368444199</v>
      </c>
      <c r="X2995">
        <v>0</v>
      </c>
      <c r="Y2995">
        <v>0</v>
      </c>
    </row>
    <row r="2996" spans="1:25" x14ac:dyDescent="0.2">
      <c r="A2996" t="s">
        <v>11105</v>
      </c>
      <c r="B2996" t="s">
        <v>11106</v>
      </c>
      <c r="C2996" t="s">
        <v>11107</v>
      </c>
      <c r="D2996" t="s">
        <v>11108</v>
      </c>
      <c r="E2996" t="s">
        <v>11106</v>
      </c>
      <c r="F2996" t="s">
        <v>28</v>
      </c>
      <c r="G2996" t="s">
        <v>11106</v>
      </c>
      <c r="H2996" t="str">
        <f>"idhb-1"</f>
        <v>idhb-1</v>
      </c>
      <c r="I2996" t="s">
        <v>11108</v>
      </c>
      <c r="J2996">
        <v>17.120117886889901</v>
      </c>
      <c r="K2996">
        <v>17.0978709708473</v>
      </c>
      <c r="L2996">
        <v>16.915165774846599</v>
      </c>
      <c r="M2996">
        <v>17.088289992249599</v>
      </c>
      <c r="N2996">
        <v>17.120114035495799</v>
      </c>
      <c r="O2996">
        <v>17.125180243262999</v>
      </c>
      <c r="P2996">
        <v>6.6809879474877903E-2</v>
      </c>
      <c r="Q2996">
        <v>-0.30332603639272898</v>
      </c>
      <c r="R2996">
        <v>0.43694579534248501</v>
      </c>
      <c r="S2996">
        <v>16.704150456393101</v>
      </c>
      <c r="T2996">
        <v>0.37937785163209298</v>
      </c>
      <c r="U2996">
        <v>-7.0810738274312</v>
      </c>
      <c r="V2996">
        <v>0.70887161946508703</v>
      </c>
      <c r="W2996">
        <v>0.81162305930399004</v>
      </c>
      <c r="X2996">
        <v>0</v>
      </c>
      <c r="Y2996">
        <v>0</v>
      </c>
    </row>
    <row r="2997" spans="1:25" x14ac:dyDescent="0.2">
      <c r="A2997" t="s">
        <v>11109</v>
      </c>
      <c r="B2997" t="s">
        <v>11110</v>
      </c>
      <c r="C2997" t="s">
        <v>11111</v>
      </c>
      <c r="D2997" t="s">
        <v>11112</v>
      </c>
      <c r="E2997" t="s">
        <v>11110</v>
      </c>
      <c r="F2997" t="s">
        <v>28</v>
      </c>
      <c r="G2997" t="s">
        <v>11110</v>
      </c>
      <c r="H2997" t="str">
        <f>"mina-1"</f>
        <v>mina-1</v>
      </c>
      <c r="I2997" t="s">
        <v>11112</v>
      </c>
      <c r="J2997" t="s">
        <v>29</v>
      </c>
      <c r="K2997" t="s">
        <v>29</v>
      </c>
      <c r="L2997" t="s">
        <v>29</v>
      </c>
      <c r="M2997" t="s">
        <v>29</v>
      </c>
      <c r="N2997" t="s">
        <v>29</v>
      </c>
      <c r="O2997" t="s">
        <v>29</v>
      </c>
      <c r="P2997" t="s">
        <v>29</v>
      </c>
      <c r="Q2997" t="s">
        <v>29</v>
      </c>
      <c r="R2997" t="s">
        <v>29</v>
      </c>
      <c r="S2997">
        <v>12.343216747222099</v>
      </c>
      <c r="T2997" t="s">
        <v>29</v>
      </c>
      <c r="U2997" t="s">
        <v>29</v>
      </c>
      <c r="V2997" t="s">
        <v>29</v>
      </c>
      <c r="W2997" t="s">
        <v>29</v>
      </c>
      <c r="X2997" t="s">
        <v>29</v>
      </c>
      <c r="Y2997" t="s">
        <v>29</v>
      </c>
    </row>
    <row r="2998" spans="1:25" x14ac:dyDescent="0.2">
      <c r="A2998" t="s">
        <v>11113</v>
      </c>
      <c r="B2998" t="s">
        <v>11114</v>
      </c>
      <c r="C2998" t="s">
        <v>11115</v>
      </c>
      <c r="D2998" t="s">
        <v>2636</v>
      </c>
      <c r="E2998" t="s">
        <v>11114</v>
      </c>
      <c r="F2998" t="s">
        <v>28</v>
      </c>
      <c r="G2998" t="s">
        <v>11116</v>
      </c>
      <c r="H2998" t="str">
        <f>"set-32"</f>
        <v>set-32</v>
      </c>
      <c r="I2998" t="s">
        <v>2636</v>
      </c>
      <c r="J2998" t="s">
        <v>29</v>
      </c>
      <c r="K2998" t="s">
        <v>29</v>
      </c>
      <c r="L2998" t="s">
        <v>29</v>
      </c>
      <c r="M2998" t="s">
        <v>29</v>
      </c>
      <c r="N2998" t="s">
        <v>29</v>
      </c>
      <c r="O2998" t="s">
        <v>29</v>
      </c>
      <c r="P2998" t="s">
        <v>29</v>
      </c>
      <c r="Q2998" t="s">
        <v>29</v>
      </c>
      <c r="R2998" t="s">
        <v>29</v>
      </c>
      <c r="S2998">
        <v>10.059612125092301</v>
      </c>
      <c r="T2998" t="s">
        <v>29</v>
      </c>
      <c r="U2998" t="s">
        <v>29</v>
      </c>
      <c r="V2998" t="s">
        <v>29</v>
      </c>
      <c r="W2998" t="s">
        <v>29</v>
      </c>
      <c r="X2998" t="s">
        <v>29</v>
      </c>
      <c r="Y2998" t="s">
        <v>29</v>
      </c>
    </row>
    <row r="2999" spans="1:25" x14ac:dyDescent="0.2">
      <c r="A2999" t="s">
        <v>11117</v>
      </c>
      <c r="B2999" t="s">
        <v>11118</v>
      </c>
      <c r="C2999" t="s">
        <v>11119</v>
      </c>
      <c r="D2999" t="s">
        <v>2791</v>
      </c>
      <c r="E2999" t="s">
        <v>11118</v>
      </c>
      <c r="F2999" t="s">
        <v>28</v>
      </c>
      <c r="G2999" t="s">
        <v>11118</v>
      </c>
      <c r="H2999" t="str">
        <f>"C46F11.4"</f>
        <v>C46F11.4</v>
      </c>
      <c r="I2999" t="s">
        <v>2791</v>
      </c>
      <c r="J2999">
        <v>13.2341531738087</v>
      </c>
      <c r="K2999">
        <v>13.1683024111591</v>
      </c>
      <c r="L2999">
        <v>12.9666608616222</v>
      </c>
      <c r="M2999" t="s">
        <v>29</v>
      </c>
      <c r="N2999" t="s">
        <v>29</v>
      </c>
      <c r="O2999">
        <v>13.3358368348488</v>
      </c>
      <c r="P2999">
        <v>0.212798019318758</v>
      </c>
      <c r="Q2999">
        <v>-0.62083475171953095</v>
      </c>
      <c r="R2999">
        <v>1.04643079035705</v>
      </c>
      <c r="S2999">
        <v>12.906854915085701</v>
      </c>
      <c r="T2999">
        <v>0.54143002042927602</v>
      </c>
      <c r="U2999">
        <v>-6.6601717255960304</v>
      </c>
      <c r="V2999">
        <v>0.59571930447519605</v>
      </c>
      <c r="W2999">
        <v>0.73088459212672896</v>
      </c>
      <c r="X2999">
        <v>0</v>
      </c>
      <c r="Y2999">
        <v>0</v>
      </c>
    </row>
    <row r="3000" spans="1:25" x14ac:dyDescent="0.2">
      <c r="A3000" t="s">
        <v>11120</v>
      </c>
      <c r="B3000" t="s">
        <v>11121</v>
      </c>
      <c r="C3000" t="s">
        <v>14596</v>
      </c>
      <c r="D3000" t="s">
        <v>581</v>
      </c>
      <c r="E3000" t="s">
        <v>11121</v>
      </c>
      <c r="F3000" t="s">
        <v>28</v>
      </c>
      <c r="G3000" t="s">
        <v>11121</v>
      </c>
      <c r="H3000" t="str">
        <f>"D2005.4"</f>
        <v>D2005.4</v>
      </c>
      <c r="I3000" t="s">
        <v>581</v>
      </c>
      <c r="J3000" t="s">
        <v>29</v>
      </c>
      <c r="K3000">
        <v>10.384881206944399</v>
      </c>
      <c r="L3000">
        <v>12.3118086574041</v>
      </c>
      <c r="M3000" t="s">
        <v>29</v>
      </c>
      <c r="N3000" t="s">
        <v>29</v>
      </c>
      <c r="O3000">
        <v>10.503096438945599</v>
      </c>
      <c r="P3000">
        <v>-0.845248493228688</v>
      </c>
      <c r="Q3000">
        <v>-2.2592386183536299</v>
      </c>
      <c r="R3000">
        <v>0.56874163189625604</v>
      </c>
      <c r="S3000">
        <v>12.9293708181188</v>
      </c>
      <c r="T3000">
        <v>-1.2830096460901399</v>
      </c>
      <c r="U3000">
        <v>-5.93246619207848</v>
      </c>
      <c r="V3000">
        <v>0.22047660255572499</v>
      </c>
      <c r="W3000">
        <v>0.38446422942705399</v>
      </c>
      <c r="X3000">
        <v>0</v>
      </c>
      <c r="Y3000">
        <v>0</v>
      </c>
    </row>
    <row r="3001" spans="1:25" x14ac:dyDescent="0.2">
      <c r="A3001" t="s">
        <v>11122</v>
      </c>
      <c r="B3001" t="s">
        <v>11123</v>
      </c>
      <c r="C3001" t="s">
        <v>14597</v>
      </c>
      <c r="D3001" t="s">
        <v>11124</v>
      </c>
      <c r="E3001" t="s">
        <v>11123</v>
      </c>
      <c r="F3001" t="s">
        <v>28</v>
      </c>
      <c r="G3001" t="s">
        <v>11123</v>
      </c>
      <c r="H3001" t="str">
        <f>"D2005.6"</f>
        <v>D2005.6</v>
      </c>
      <c r="I3001" t="s">
        <v>11124</v>
      </c>
      <c r="J3001" t="s">
        <v>29</v>
      </c>
      <c r="K3001">
        <v>12.009145429378201</v>
      </c>
      <c r="L3001" t="s">
        <v>29</v>
      </c>
      <c r="M3001" t="s">
        <v>29</v>
      </c>
      <c r="N3001" t="s">
        <v>29</v>
      </c>
      <c r="O3001" t="s">
        <v>29</v>
      </c>
      <c r="P3001" t="s">
        <v>29</v>
      </c>
      <c r="Q3001" t="s">
        <v>29</v>
      </c>
      <c r="R3001" t="s">
        <v>29</v>
      </c>
      <c r="S3001">
        <v>12.044948846057499</v>
      </c>
      <c r="T3001" t="s">
        <v>29</v>
      </c>
      <c r="U3001" t="s">
        <v>29</v>
      </c>
      <c r="V3001" t="s">
        <v>29</v>
      </c>
      <c r="W3001" t="s">
        <v>29</v>
      </c>
      <c r="X3001" t="s">
        <v>29</v>
      </c>
      <c r="Y3001" t="s">
        <v>29</v>
      </c>
    </row>
    <row r="3002" spans="1:25" x14ac:dyDescent="0.2">
      <c r="A3002" t="s">
        <v>11125</v>
      </c>
      <c r="B3002" t="s">
        <v>11126</v>
      </c>
      <c r="C3002" t="s">
        <v>11127</v>
      </c>
      <c r="D3002" t="s">
        <v>11128</v>
      </c>
      <c r="E3002" t="s">
        <v>11126</v>
      </c>
      <c r="F3002" t="s">
        <v>28</v>
      </c>
      <c r="G3002" t="s">
        <v>11126</v>
      </c>
      <c r="H3002" t="str">
        <f>"drh-3"</f>
        <v>drh-3</v>
      </c>
      <c r="I3002" t="s">
        <v>11128</v>
      </c>
      <c r="J3002">
        <v>13.894827222365</v>
      </c>
      <c r="K3002">
        <v>13.6756539985759</v>
      </c>
      <c r="L3002">
        <v>13.7837271080351</v>
      </c>
      <c r="M3002">
        <v>14.3694424967718</v>
      </c>
      <c r="N3002">
        <v>13.1697454825735</v>
      </c>
      <c r="O3002">
        <v>13.759180594701499</v>
      </c>
      <c r="P3002">
        <v>-1.8613251643074601E-2</v>
      </c>
      <c r="Q3002">
        <v>-0.52852574999282897</v>
      </c>
      <c r="R3002">
        <v>0.49129924670668002</v>
      </c>
      <c r="S3002">
        <v>14.0811098174748</v>
      </c>
      <c r="T3002">
        <v>-7.6721856810411104E-2</v>
      </c>
      <c r="U3002">
        <v>-7.1532135400610199</v>
      </c>
      <c r="V3002">
        <v>0.939696094996742</v>
      </c>
      <c r="W3002">
        <v>0.96499999030741501</v>
      </c>
      <c r="X3002">
        <v>0</v>
      </c>
      <c r="Y3002">
        <v>0</v>
      </c>
    </row>
    <row r="3003" spans="1:25" x14ac:dyDescent="0.2">
      <c r="A3003" t="s">
        <v>11129</v>
      </c>
      <c r="B3003" t="s">
        <v>11130</v>
      </c>
      <c r="C3003" t="s">
        <v>11131</v>
      </c>
      <c r="D3003" t="s">
        <v>11132</v>
      </c>
      <c r="E3003" t="s">
        <v>11130</v>
      </c>
      <c r="F3003" t="s">
        <v>28</v>
      </c>
      <c r="G3003" t="s">
        <v>11130</v>
      </c>
      <c r="H3003" t="str">
        <f>"mrps-5"</f>
        <v>mrps-5</v>
      </c>
      <c r="I3003" t="s">
        <v>11132</v>
      </c>
      <c r="J3003">
        <v>15.939181907159799</v>
      </c>
      <c r="K3003">
        <v>16.026431999996301</v>
      </c>
      <c r="L3003">
        <v>16.019956415757299</v>
      </c>
      <c r="M3003">
        <v>14.308257768198301</v>
      </c>
      <c r="N3003">
        <v>15.447055044002999</v>
      </c>
      <c r="O3003">
        <v>15.1658281844232</v>
      </c>
      <c r="P3003">
        <v>-1.0214764420962501</v>
      </c>
      <c r="Q3003">
        <v>-1.5572829263228201</v>
      </c>
      <c r="R3003">
        <v>-0.48566995786966999</v>
      </c>
      <c r="S3003">
        <v>15.8076378430952</v>
      </c>
      <c r="T3003">
        <v>-4.0069405893316503</v>
      </c>
      <c r="U3003">
        <v>-1.15666678262265</v>
      </c>
      <c r="V3003">
        <v>8.3532160955754103E-4</v>
      </c>
      <c r="W3003">
        <v>8.0185432682933992E-3</v>
      </c>
      <c r="X3003">
        <v>-1</v>
      </c>
      <c r="Y3003">
        <v>-1</v>
      </c>
    </row>
    <row r="3004" spans="1:25" x14ac:dyDescent="0.2">
      <c r="A3004" t="s">
        <v>11133</v>
      </c>
      <c r="B3004" t="s">
        <v>11134</v>
      </c>
      <c r="C3004" t="s">
        <v>11135</v>
      </c>
      <c r="D3004" t="s">
        <v>11136</v>
      </c>
      <c r="E3004" t="s">
        <v>11134</v>
      </c>
      <c r="F3004" t="s">
        <v>28</v>
      </c>
      <c r="G3004" t="s">
        <v>11134</v>
      </c>
      <c r="H3004" t="str">
        <f>"let-19"</f>
        <v>let-19</v>
      </c>
      <c r="I3004" t="s">
        <v>11136</v>
      </c>
      <c r="J3004">
        <v>13.0605826473902</v>
      </c>
      <c r="K3004">
        <v>13.763946593159901</v>
      </c>
      <c r="L3004">
        <v>13.564714080646</v>
      </c>
      <c r="M3004">
        <v>14.316561963763499</v>
      </c>
      <c r="N3004">
        <v>13.929592001827499</v>
      </c>
      <c r="O3004">
        <v>12.870248628214901</v>
      </c>
      <c r="P3004">
        <v>0.242386424203309</v>
      </c>
      <c r="Q3004">
        <v>-0.363613671515579</v>
      </c>
      <c r="R3004">
        <v>0.84838651992219605</v>
      </c>
      <c r="S3004">
        <v>13.557309107997201</v>
      </c>
      <c r="T3004">
        <v>0.84067496060792102</v>
      </c>
      <c r="U3004">
        <v>-6.7925918016061404</v>
      </c>
      <c r="V3004">
        <v>0.41162260447892202</v>
      </c>
      <c r="W3004">
        <v>0.579101305591322</v>
      </c>
      <c r="X3004">
        <v>0</v>
      </c>
      <c r="Y3004">
        <v>0</v>
      </c>
    </row>
    <row r="3005" spans="1:25" x14ac:dyDescent="0.2">
      <c r="A3005" t="s">
        <v>11137</v>
      </c>
      <c r="B3005" t="s">
        <v>11138</v>
      </c>
      <c r="C3005" t="s">
        <v>11139</v>
      </c>
      <c r="D3005" t="s">
        <v>11140</v>
      </c>
      <c r="E3005" t="s">
        <v>11138</v>
      </c>
      <c r="F3005" t="s">
        <v>28</v>
      </c>
      <c r="G3005" t="s">
        <v>11138</v>
      </c>
      <c r="H3005" t="str">
        <f>"ercc-1"</f>
        <v>ercc-1</v>
      </c>
      <c r="I3005" t="s">
        <v>11140</v>
      </c>
      <c r="J3005">
        <v>11.016733182719101</v>
      </c>
      <c r="K3005" t="s">
        <v>29</v>
      </c>
      <c r="L3005" t="s">
        <v>29</v>
      </c>
      <c r="M3005" t="s">
        <v>29</v>
      </c>
      <c r="N3005" t="s">
        <v>29</v>
      </c>
      <c r="O3005" t="s">
        <v>29</v>
      </c>
      <c r="P3005" t="s">
        <v>29</v>
      </c>
      <c r="Q3005" t="s">
        <v>29</v>
      </c>
      <c r="R3005" t="s">
        <v>29</v>
      </c>
      <c r="S3005">
        <v>11.1715738426445</v>
      </c>
      <c r="T3005" t="s">
        <v>29</v>
      </c>
      <c r="U3005" t="s">
        <v>29</v>
      </c>
      <c r="V3005" t="s">
        <v>29</v>
      </c>
      <c r="W3005" t="s">
        <v>29</v>
      </c>
      <c r="X3005" t="s">
        <v>29</v>
      </c>
      <c r="Y3005" t="s">
        <v>29</v>
      </c>
    </row>
    <row r="3006" spans="1:25" x14ac:dyDescent="0.2">
      <c r="A3006" t="s">
        <v>11141</v>
      </c>
      <c r="B3006" t="s">
        <v>11142</v>
      </c>
      <c r="C3006" t="s">
        <v>11143</v>
      </c>
      <c r="D3006" t="s">
        <v>11144</v>
      </c>
      <c r="E3006" t="s">
        <v>11142</v>
      </c>
      <c r="F3006" t="s">
        <v>28</v>
      </c>
      <c r="G3006" t="s">
        <v>11142</v>
      </c>
      <c r="H3006" t="str">
        <f>"nubp-1"</f>
        <v>nubp-1</v>
      </c>
      <c r="I3006" t="s">
        <v>11144</v>
      </c>
      <c r="J3006">
        <v>13.4946628759125</v>
      </c>
      <c r="K3006">
        <v>13.385061046013201</v>
      </c>
      <c r="L3006">
        <v>13.618257658190601</v>
      </c>
      <c r="M3006">
        <v>11.464263532433</v>
      </c>
      <c r="N3006">
        <v>12.805600356887</v>
      </c>
      <c r="O3006">
        <v>13.2570106498451</v>
      </c>
      <c r="P3006">
        <v>-0.99036901365042396</v>
      </c>
      <c r="Q3006">
        <v>-1.6128115535421601</v>
      </c>
      <c r="R3006">
        <v>-0.36792647375869098</v>
      </c>
      <c r="S3006">
        <v>13.3913435970605</v>
      </c>
      <c r="T3006">
        <v>-3.3441849708670901</v>
      </c>
      <c r="U3006">
        <v>-2.6048601850929698</v>
      </c>
      <c r="V3006">
        <v>3.6340335915317598E-3</v>
      </c>
      <c r="W3006">
        <v>2.2498943265218702E-2</v>
      </c>
      <c r="X3006">
        <v>0</v>
      </c>
      <c r="Y3006">
        <v>0</v>
      </c>
    </row>
    <row r="3007" spans="1:25" x14ac:dyDescent="0.2">
      <c r="A3007" t="s">
        <v>11145</v>
      </c>
      <c r="B3007" t="s">
        <v>11146</v>
      </c>
      <c r="C3007" t="s">
        <v>14598</v>
      </c>
      <c r="D3007" t="s">
        <v>11147</v>
      </c>
      <c r="E3007" t="s">
        <v>11146</v>
      </c>
      <c r="F3007" t="s">
        <v>28</v>
      </c>
      <c r="G3007" t="s">
        <v>11146</v>
      </c>
      <c r="H3007" t="str">
        <f>"F16B12.6"</f>
        <v>F16B12.6</v>
      </c>
      <c r="I3007" t="s">
        <v>11147</v>
      </c>
      <c r="J3007">
        <v>11.737737442112101</v>
      </c>
      <c r="K3007">
        <v>11.677016924132399</v>
      </c>
      <c r="L3007">
        <v>11.3212979505077</v>
      </c>
      <c r="M3007" t="s">
        <v>29</v>
      </c>
      <c r="N3007">
        <v>11.5072741378826</v>
      </c>
      <c r="O3007">
        <v>12.099752407494201</v>
      </c>
      <c r="P3007">
        <v>0.22482916710435999</v>
      </c>
      <c r="Q3007">
        <v>-0.28964727461601197</v>
      </c>
      <c r="R3007">
        <v>0.73930560882473295</v>
      </c>
      <c r="S3007">
        <v>12.214076809650299</v>
      </c>
      <c r="T3007">
        <v>0.92243797110050496</v>
      </c>
      <c r="U3007">
        <v>-6.6091804381256196</v>
      </c>
      <c r="V3007">
        <v>0.36928636739417497</v>
      </c>
      <c r="W3007">
        <v>0.53708385902642197</v>
      </c>
      <c r="X3007">
        <v>0</v>
      </c>
      <c r="Y3007">
        <v>0</v>
      </c>
    </row>
    <row r="3008" spans="1:25" x14ac:dyDescent="0.2">
      <c r="A3008" t="s">
        <v>11148</v>
      </c>
      <c r="B3008" t="s">
        <v>11149</v>
      </c>
      <c r="C3008" t="s">
        <v>11150</v>
      </c>
      <c r="D3008" t="s">
        <v>11151</v>
      </c>
      <c r="E3008" t="s">
        <v>11149</v>
      </c>
      <c r="F3008" t="s">
        <v>28</v>
      </c>
      <c r="G3008" t="s">
        <v>11149</v>
      </c>
      <c r="H3008" t="str">
        <f>"tbc-1"</f>
        <v>tbc-1</v>
      </c>
      <c r="I3008" t="s">
        <v>11151</v>
      </c>
      <c r="J3008">
        <v>12.596132762559501</v>
      </c>
      <c r="K3008">
        <v>12.809184035522099</v>
      </c>
      <c r="L3008">
        <v>12.1891800877401</v>
      </c>
      <c r="M3008" t="s">
        <v>29</v>
      </c>
      <c r="N3008">
        <v>12.232570628847601</v>
      </c>
      <c r="O3008">
        <v>12.8355567899879</v>
      </c>
      <c r="P3008">
        <v>2.5647474771890401E-3</v>
      </c>
      <c r="Q3008">
        <v>-0.50881472080658896</v>
      </c>
      <c r="R3008">
        <v>0.51394421576096705</v>
      </c>
      <c r="S3008">
        <v>12.350078069620899</v>
      </c>
      <c r="T3008">
        <v>1.0586474047368699E-2</v>
      </c>
      <c r="U3008">
        <v>-7.0454160857312598</v>
      </c>
      <c r="V3008">
        <v>0.99167737757715901</v>
      </c>
      <c r="W3008">
        <v>0.99505387528767097</v>
      </c>
      <c r="X3008">
        <v>0</v>
      </c>
      <c r="Y3008">
        <v>0</v>
      </c>
    </row>
    <row r="3009" spans="1:25" x14ac:dyDescent="0.2">
      <c r="A3009" t="s">
        <v>11152</v>
      </c>
      <c r="B3009" t="s">
        <v>11153</v>
      </c>
      <c r="C3009" t="s">
        <v>11154</v>
      </c>
      <c r="D3009" t="s">
        <v>11155</v>
      </c>
      <c r="E3009" t="s">
        <v>11153</v>
      </c>
      <c r="F3009" t="s">
        <v>28</v>
      </c>
      <c r="G3009" t="s">
        <v>11153</v>
      </c>
      <c r="H3009" t="str">
        <f>"rbg-1"</f>
        <v>rbg-1</v>
      </c>
      <c r="I3009" t="s">
        <v>11155</v>
      </c>
      <c r="J3009">
        <v>12.8984918879397</v>
      </c>
      <c r="K3009">
        <v>12.981309592691501</v>
      </c>
      <c r="L3009">
        <v>11.927677604912599</v>
      </c>
      <c r="M3009" t="s">
        <v>29</v>
      </c>
      <c r="N3009" t="s">
        <v>29</v>
      </c>
      <c r="O3009">
        <v>12.3091799695207</v>
      </c>
      <c r="P3009">
        <v>-0.29331305899388799</v>
      </c>
      <c r="Q3009">
        <v>-1.3517528700691099</v>
      </c>
      <c r="R3009">
        <v>0.76512675208132896</v>
      </c>
      <c r="S3009">
        <v>12.5288503872641</v>
      </c>
      <c r="T3009">
        <v>-0.59102634294143597</v>
      </c>
      <c r="U3009">
        <v>-6.6306795632184699</v>
      </c>
      <c r="V3009">
        <v>0.56336469401862499</v>
      </c>
      <c r="W3009">
        <v>0.70558255557708804</v>
      </c>
      <c r="X3009">
        <v>0</v>
      </c>
      <c r="Y3009">
        <v>0</v>
      </c>
    </row>
    <row r="3010" spans="1:25" x14ac:dyDescent="0.2">
      <c r="A3010" t="s">
        <v>11156</v>
      </c>
      <c r="B3010" t="s">
        <v>11157</v>
      </c>
      <c r="C3010" t="s">
        <v>11158</v>
      </c>
      <c r="D3010" t="s">
        <v>11159</v>
      </c>
      <c r="E3010" t="s">
        <v>11157</v>
      </c>
      <c r="F3010" t="s">
        <v>28</v>
      </c>
      <c r="G3010" t="s">
        <v>11157</v>
      </c>
      <c r="H3010" t="str">
        <f>"slc-25a18.1"</f>
        <v>slc-25a18.1</v>
      </c>
      <c r="I3010" t="s">
        <v>11159</v>
      </c>
      <c r="J3010">
        <v>15.4332128045651</v>
      </c>
      <c r="K3010">
        <v>15.3721182824882</v>
      </c>
      <c r="L3010">
        <v>15.0982291844412</v>
      </c>
      <c r="M3010">
        <v>15.1522498319096</v>
      </c>
      <c r="N3010">
        <v>14.873261690922201</v>
      </c>
      <c r="O3010">
        <v>14.916358333032299</v>
      </c>
      <c r="P3010">
        <v>-0.32056347187678502</v>
      </c>
      <c r="Q3010">
        <v>-0.66241269137360304</v>
      </c>
      <c r="R3010">
        <v>2.1285747620033199E-2</v>
      </c>
      <c r="S3010">
        <v>15.087034265514101</v>
      </c>
      <c r="T3010">
        <v>-1.9709334196980699</v>
      </c>
      <c r="U3010">
        <v>-5.3125459476367798</v>
      </c>
      <c r="V3010">
        <v>6.4399806385365799E-2</v>
      </c>
      <c r="W3010">
        <v>0.162425583074498</v>
      </c>
      <c r="X3010">
        <v>0</v>
      </c>
      <c r="Y3010">
        <v>0</v>
      </c>
    </row>
    <row r="3011" spans="1:25" x14ac:dyDescent="0.2">
      <c r="A3011" t="s">
        <v>11160</v>
      </c>
      <c r="B3011" t="s">
        <v>11161</v>
      </c>
      <c r="C3011" t="s">
        <v>11162</v>
      </c>
      <c r="D3011" t="s">
        <v>11163</v>
      </c>
      <c r="E3011" t="s">
        <v>11161</v>
      </c>
      <c r="F3011" t="s">
        <v>28</v>
      </c>
      <c r="G3011" t="s">
        <v>11161</v>
      </c>
      <c r="H3011" t="str">
        <f>"cup-2"</f>
        <v>cup-2</v>
      </c>
      <c r="I3011" t="s">
        <v>11163</v>
      </c>
      <c r="J3011">
        <v>16.944934544802301</v>
      </c>
      <c r="K3011">
        <v>17.077814897424499</v>
      </c>
      <c r="L3011">
        <v>17.229437014410301</v>
      </c>
      <c r="M3011">
        <v>17.068748855296601</v>
      </c>
      <c r="N3011">
        <v>17.290156235754001</v>
      </c>
      <c r="O3011">
        <v>16.945519986666898</v>
      </c>
      <c r="P3011">
        <v>1.7412873693444901E-2</v>
      </c>
      <c r="Q3011">
        <v>-0.37922645442702102</v>
      </c>
      <c r="R3011">
        <v>0.414052201813911</v>
      </c>
      <c r="S3011">
        <v>17.428738564555399</v>
      </c>
      <c r="T3011">
        <v>9.2271416818460295E-2</v>
      </c>
      <c r="U3011">
        <v>-7.1518350618105702</v>
      </c>
      <c r="V3011">
        <v>0.92750752311768303</v>
      </c>
      <c r="W3011">
        <v>0.95907532302730203</v>
      </c>
      <c r="X3011">
        <v>0</v>
      </c>
      <c r="Y3011">
        <v>0</v>
      </c>
    </row>
    <row r="3012" spans="1:25" x14ac:dyDescent="0.2">
      <c r="A3012" t="s">
        <v>11164</v>
      </c>
      <c r="B3012" t="s">
        <v>11165</v>
      </c>
      <c r="C3012" t="s">
        <v>14599</v>
      </c>
      <c r="D3012" t="s">
        <v>4327</v>
      </c>
      <c r="E3012" t="s">
        <v>11165</v>
      </c>
      <c r="F3012" t="s">
        <v>28</v>
      </c>
      <c r="G3012" t="s">
        <v>11165</v>
      </c>
      <c r="H3012" t="str">
        <f>"F25H2.4"</f>
        <v>F25H2.4</v>
      </c>
      <c r="I3012" t="s">
        <v>4327</v>
      </c>
      <c r="J3012">
        <v>15.380563903350099</v>
      </c>
      <c r="K3012">
        <v>14.909482485532401</v>
      </c>
      <c r="L3012">
        <v>14.943814360927499</v>
      </c>
      <c r="M3012">
        <v>14.426562089228501</v>
      </c>
      <c r="N3012">
        <v>13.864025801165001</v>
      </c>
      <c r="O3012">
        <v>13.929185253477799</v>
      </c>
      <c r="P3012">
        <v>-1.00469586864621</v>
      </c>
      <c r="Q3012">
        <v>-1.4361538395589699</v>
      </c>
      <c r="R3012">
        <v>-0.57323789773345002</v>
      </c>
      <c r="S3012">
        <v>14.533097898509</v>
      </c>
      <c r="T3012">
        <v>-4.8942779861760499</v>
      </c>
      <c r="U3012">
        <v>0.79469070405860698</v>
      </c>
      <c r="V3012">
        <v>1.1866869468504301E-4</v>
      </c>
      <c r="W3012">
        <v>1.9758002442758398E-3</v>
      </c>
      <c r="X3012">
        <v>-1</v>
      </c>
      <c r="Y3012">
        <v>-1</v>
      </c>
    </row>
    <row r="3013" spans="1:25" x14ac:dyDescent="0.2">
      <c r="A3013" t="s">
        <v>11166</v>
      </c>
      <c r="B3013" t="s">
        <v>11167</v>
      </c>
      <c r="C3013" t="s">
        <v>14600</v>
      </c>
      <c r="D3013" t="s">
        <v>11168</v>
      </c>
      <c r="E3013" t="s">
        <v>11167</v>
      </c>
      <c r="F3013" t="s">
        <v>28</v>
      </c>
      <c r="G3013" t="s">
        <v>11167</v>
      </c>
      <c r="H3013" t="str">
        <f>"F25H2.6"</f>
        <v>F25H2.6</v>
      </c>
      <c r="I3013" t="s">
        <v>11168</v>
      </c>
      <c r="J3013">
        <v>12.0311255856943</v>
      </c>
      <c r="K3013">
        <v>12.521550853858701</v>
      </c>
      <c r="L3013">
        <v>12.3013838427688</v>
      </c>
      <c r="M3013" t="s">
        <v>29</v>
      </c>
      <c r="N3013" t="s">
        <v>29</v>
      </c>
      <c r="O3013" t="s">
        <v>29</v>
      </c>
      <c r="P3013" t="s">
        <v>29</v>
      </c>
      <c r="Q3013" t="s">
        <v>29</v>
      </c>
      <c r="R3013" t="s">
        <v>29</v>
      </c>
      <c r="S3013">
        <v>12.5472209067085</v>
      </c>
      <c r="T3013" t="s">
        <v>29</v>
      </c>
      <c r="U3013" t="s">
        <v>29</v>
      </c>
      <c r="V3013" t="s">
        <v>29</v>
      </c>
      <c r="W3013" t="s">
        <v>29</v>
      </c>
      <c r="X3013" t="s">
        <v>29</v>
      </c>
      <c r="Y3013" t="s">
        <v>29</v>
      </c>
    </row>
    <row r="3014" spans="1:25" x14ac:dyDescent="0.2">
      <c r="A3014" t="s">
        <v>11169</v>
      </c>
      <c r="B3014" t="s">
        <v>11170</v>
      </c>
      <c r="C3014" t="s">
        <v>11171</v>
      </c>
      <c r="D3014" t="s">
        <v>11172</v>
      </c>
      <c r="E3014" t="s">
        <v>11170</v>
      </c>
      <c r="F3014" t="s">
        <v>28</v>
      </c>
      <c r="G3014" t="s">
        <v>11170</v>
      </c>
      <c r="H3014" t="str">
        <f>"ubc-25"</f>
        <v>ubc-25</v>
      </c>
      <c r="I3014" t="s">
        <v>11172</v>
      </c>
      <c r="J3014" t="s">
        <v>29</v>
      </c>
      <c r="K3014" t="s">
        <v>29</v>
      </c>
      <c r="L3014" t="s">
        <v>29</v>
      </c>
      <c r="M3014" t="s">
        <v>29</v>
      </c>
      <c r="N3014" t="s">
        <v>29</v>
      </c>
      <c r="O3014" t="s">
        <v>29</v>
      </c>
      <c r="P3014" t="s">
        <v>29</v>
      </c>
      <c r="Q3014" t="s">
        <v>29</v>
      </c>
      <c r="R3014" t="s">
        <v>29</v>
      </c>
      <c r="S3014">
        <v>12.137695495264699</v>
      </c>
      <c r="T3014" t="s">
        <v>29</v>
      </c>
      <c r="U3014" t="s">
        <v>29</v>
      </c>
      <c r="V3014" t="s">
        <v>29</v>
      </c>
      <c r="W3014" t="s">
        <v>29</v>
      </c>
      <c r="X3014" t="s">
        <v>29</v>
      </c>
      <c r="Y3014" t="s">
        <v>29</v>
      </c>
    </row>
    <row r="3015" spans="1:25" x14ac:dyDescent="0.2">
      <c r="A3015" t="s">
        <v>11173</v>
      </c>
      <c r="B3015" t="s">
        <v>11174</v>
      </c>
      <c r="C3015" t="s">
        <v>11175</v>
      </c>
      <c r="D3015" t="s">
        <v>11176</v>
      </c>
      <c r="E3015" t="s">
        <v>11174</v>
      </c>
      <c r="F3015" t="s">
        <v>28</v>
      </c>
      <c r="G3015" t="s">
        <v>11174</v>
      </c>
      <c r="H3015" t="str">
        <f>"rla-0"</f>
        <v>rla-0</v>
      </c>
      <c r="I3015" t="s">
        <v>11176</v>
      </c>
      <c r="J3015">
        <v>12.717765756412501</v>
      </c>
      <c r="K3015">
        <v>13.129486731293699</v>
      </c>
      <c r="L3015">
        <v>13.6413247110927</v>
      </c>
      <c r="M3015">
        <v>15.693370106255101</v>
      </c>
      <c r="N3015">
        <v>15.1653669219261</v>
      </c>
      <c r="O3015">
        <v>14.4265033718791</v>
      </c>
      <c r="P3015">
        <v>1.93222106708716</v>
      </c>
      <c r="Q3015">
        <v>0.98710642542746296</v>
      </c>
      <c r="R3015">
        <v>2.8773357087468501</v>
      </c>
      <c r="S3015">
        <v>14.2630240730547</v>
      </c>
      <c r="T3015">
        <v>4.2969948660432804</v>
      </c>
      <c r="U3015">
        <v>-0.51666646566685503</v>
      </c>
      <c r="V3015">
        <v>4.39189275060539E-4</v>
      </c>
      <c r="W3015">
        <v>4.9400411969595798E-3</v>
      </c>
      <c r="X3015">
        <v>1</v>
      </c>
      <c r="Y3015">
        <v>1</v>
      </c>
    </row>
    <row r="3016" spans="1:25" x14ac:dyDescent="0.2">
      <c r="A3016" t="s">
        <v>11177</v>
      </c>
      <c r="B3016" t="s">
        <v>11178</v>
      </c>
      <c r="C3016" t="s">
        <v>11179</v>
      </c>
      <c r="D3016" t="s">
        <v>11180</v>
      </c>
      <c r="E3016" t="s">
        <v>11178</v>
      </c>
      <c r="F3016" t="s">
        <v>28</v>
      </c>
      <c r="G3016" t="s">
        <v>11178</v>
      </c>
      <c r="H3016" t="str">
        <f>"tct-1"</f>
        <v>tct-1</v>
      </c>
      <c r="I3016" t="s">
        <v>11180</v>
      </c>
      <c r="J3016">
        <v>11.758107510337</v>
      </c>
      <c r="K3016" t="s">
        <v>29</v>
      </c>
      <c r="L3016">
        <v>11.871954250876399</v>
      </c>
      <c r="M3016" t="s">
        <v>29</v>
      </c>
      <c r="N3016">
        <v>13.812668548497401</v>
      </c>
      <c r="O3016">
        <v>13.3064694757444</v>
      </c>
      <c r="P3016">
        <v>1.7445381315142301</v>
      </c>
      <c r="Q3016">
        <v>0.48499434337985098</v>
      </c>
      <c r="R3016">
        <v>3.0040819196486002</v>
      </c>
      <c r="S3016">
        <v>12.1989278209685</v>
      </c>
      <c r="T3016">
        <v>2.9727547996272499</v>
      </c>
      <c r="U3016">
        <v>-3.3310890372160902</v>
      </c>
      <c r="V3016">
        <v>1.01499181083967E-2</v>
      </c>
      <c r="W3016">
        <v>4.6111825820615397E-2</v>
      </c>
      <c r="X3016">
        <v>1</v>
      </c>
      <c r="Y3016">
        <v>1</v>
      </c>
    </row>
    <row r="3017" spans="1:25" x14ac:dyDescent="0.2">
      <c r="A3017" t="s">
        <v>11181</v>
      </c>
      <c r="B3017" t="s">
        <v>11182</v>
      </c>
      <c r="C3017" t="s">
        <v>11183</v>
      </c>
      <c r="D3017" t="s">
        <v>11184</v>
      </c>
      <c r="E3017" t="s">
        <v>11182</v>
      </c>
      <c r="F3017" t="s">
        <v>28</v>
      </c>
      <c r="G3017" t="s">
        <v>11182</v>
      </c>
      <c r="H3017" t="str">
        <f>"ndk-1"</f>
        <v>ndk-1</v>
      </c>
      <c r="I3017" t="s">
        <v>11184</v>
      </c>
      <c r="J3017" t="s">
        <v>29</v>
      </c>
      <c r="K3017">
        <v>12.298504900948799</v>
      </c>
      <c r="L3017">
        <v>13.1933157715919</v>
      </c>
      <c r="M3017">
        <v>15.235941589874701</v>
      </c>
      <c r="N3017">
        <v>14.0245602126094</v>
      </c>
      <c r="O3017">
        <v>14.2491839374704</v>
      </c>
      <c r="P3017">
        <v>1.7573182437145101</v>
      </c>
      <c r="Q3017">
        <v>-0.19651774084317999</v>
      </c>
      <c r="R3017">
        <v>3.7111542282721999</v>
      </c>
      <c r="S3017">
        <v>12.681325931028899</v>
      </c>
      <c r="T3017">
        <v>1.89850754286004</v>
      </c>
      <c r="U3017">
        <v>-5.3294491247039701</v>
      </c>
      <c r="V3017">
        <v>7.4846387801741507E-2</v>
      </c>
      <c r="W3017">
        <v>0.179181401179311</v>
      </c>
      <c r="X3017">
        <v>0</v>
      </c>
      <c r="Y3017">
        <v>0</v>
      </c>
    </row>
    <row r="3018" spans="1:25" x14ac:dyDescent="0.2">
      <c r="A3018" t="s">
        <v>11185</v>
      </c>
      <c r="B3018" t="s">
        <v>11186</v>
      </c>
      <c r="C3018" t="s">
        <v>11187</v>
      </c>
      <c r="D3018" t="s">
        <v>11188</v>
      </c>
      <c r="E3018" t="s">
        <v>11186</v>
      </c>
      <c r="F3018" t="s">
        <v>28</v>
      </c>
      <c r="G3018" t="s">
        <v>11186</v>
      </c>
      <c r="H3018" t="str">
        <f>"F27D4.1"</f>
        <v>F27D4.1</v>
      </c>
      <c r="I3018" t="s">
        <v>11188</v>
      </c>
      <c r="J3018">
        <v>15.2712599761528</v>
      </c>
      <c r="K3018">
        <v>15.540810564101101</v>
      </c>
      <c r="L3018">
        <v>15.4370039061979</v>
      </c>
      <c r="M3018">
        <v>14.9338192410396</v>
      </c>
      <c r="N3018">
        <v>15.7107634013332</v>
      </c>
      <c r="O3018">
        <v>15.493152213410999</v>
      </c>
      <c r="P3018">
        <v>-3.71131968893064E-2</v>
      </c>
      <c r="Q3018">
        <v>-0.54956123319036698</v>
      </c>
      <c r="R3018">
        <v>0.47533483941175397</v>
      </c>
      <c r="S3018">
        <v>15.1291700983301</v>
      </c>
      <c r="T3018">
        <v>-0.15221976442622201</v>
      </c>
      <c r="U3018">
        <v>-7.1441500953104597</v>
      </c>
      <c r="V3018">
        <v>0.88071668477917397</v>
      </c>
      <c r="W3018">
        <v>0.92695431073007994</v>
      </c>
      <c r="X3018">
        <v>0</v>
      </c>
      <c r="Y3018">
        <v>0</v>
      </c>
    </row>
    <row r="3019" spans="1:25" x14ac:dyDescent="0.2">
      <c r="A3019" t="s">
        <v>11189</v>
      </c>
      <c r="B3019" t="s">
        <v>11190</v>
      </c>
      <c r="C3019" t="s">
        <v>11191</v>
      </c>
      <c r="D3019" t="s">
        <v>1546</v>
      </c>
      <c r="E3019" t="s">
        <v>11190</v>
      </c>
      <c r="F3019" t="s">
        <v>28</v>
      </c>
      <c r="G3019" t="s">
        <v>11190</v>
      </c>
      <c r="H3019" t="str">
        <f>"lsy-22"</f>
        <v>lsy-22</v>
      </c>
      <c r="I3019" t="s">
        <v>1546</v>
      </c>
      <c r="J3019" t="s">
        <v>29</v>
      </c>
      <c r="K3019" t="s">
        <v>29</v>
      </c>
      <c r="L3019" t="s">
        <v>29</v>
      </c>
      <c r="M3019" t="s">
        <v>29</v>
      </c>
      <c r="N3019" t="s">
        <v>29</v>
      </c>
      <c r="O3019" t="s">
        <v>29</v>
      </c>
      <c r="P3019" t="s">
        <v>29</v>
      </c>
      <c r="Q3019" t="s">
        <v>29</v>
      </c>
      <c r="R3019" t="s">
        <v>29</v>
      </c>
      <c r="S3019">
        <v>12.380822127806001</v>
      </c>
      <c r="T3019" t="s">
        <v>29</v>
      </c>
      <c r="U3019" t="s">
        <v>29</v>
      </c>
      <c r="V3019" t="s">
        <v>29</v>
      </c>
      <c r="W3019" t="s">
        <v>29</v>
      </c>
      <c r="X3019" t="s">
        <v>29</v>
      </c>
      <c r="Y3019" t="s">
        <v>29</v>
      </c>
    </row>
    <row r="3020" spans="1:25" x14ac:dyDescent="0.2">
      <c r="A3020" t="s">
        <v>11192</v>
      </c>
      <c r="B3020" t="s">
        <v>11193</v>
      </c>
      <c r="C3020" t="s">
        <v>11194</v>
      </c>
      <c r="D3020" t="s">
        <v>11195</v>
      </c>
      <c r="E3020" t="s">
        <v>11193</v>
      </c>
      <c r="F3020" t="s">
        <v>28</v>
      </c>
      <c r="G3020" t="s">
        <v>11193</v>
      </c>
      <c r="H3020" t="str">
        <f>"F27D4.4"</f>
        <v>F27D4.4</v>
      </c>
      <c r="I3020" t="s">
        <v>11195</v>
      </c>
      <c r="J3020" t="s">
        <v>29</v>
      </c>
      <c r="K3020">
        <v>10.350681316322801</v>
      </c>
      <c r="L3020">
        <v>10.365021879637901</v>
      </c>
      <c r="M3020" t="s">
        <v>29</v>
      </c>
      <c r="N3020">
        <v>11.6142368346657</v>
      </c>
      <c r="O3020">
        <v>13.471411240589401</v>
      </c>
      <c r="P3020">
        <v>2.1849724396471801</v>
      </c>
      <c r="Q3020">
        <v>1.2638198962148901</v>
      </c>
      <c r="R3020">
        <v>3.1061249830794799</v>
      </c>
      <c r="S3020">
        <v>12.153022787925</v>
      </c>
      <c r="T3020">
        <v>5.0311114448740399</v>
      </c>
      <c r="U3020">
        <v>0.97298673220406096</v>
      </c>
      <c r="V3020">
        <v>1.2535083830402999E-4</v>
      </c>
      <c r="W3020">
        <v>2.05227178045542E-3</v>
      </c>
      <c r="X3020">
        <v>1</v>
      </c>
      <c r="Y3020">
        <v>1</v>
      </c>
    </row>
    <row r="3021" spans="1:25" x14ac:dyDescent="0.2">
      <c r="A3021" t="s">
        <v>11196</v>
      </c>
      <c r="B3021" t="s">
        <v>11197</v>
      </c>
      <c r="C3021" t="s">
        <v>11198</v>
      </c>
      <c r="D3021" t="s">
        <v>11199</v>
      </c>
      <c r="E3021" t="s">
        <v>11197</v>
      </c>
      <c r="F3021" t="s">
        <v>28</v>
      </c>
      <c r="G3021" t="s">
        <v>11197</v>
      </c>
      <c r="H3021" t="str">
        <f>"bckd-1b"</f>
        <v>bckd-1b</v>
      </c>
      <c r="I3021" t="s">
        <v>11199</v>
      </c>
      <c r="J3021">
        <v>15.3731209280303</v>
      </c>
      <c r="K3021">
        <v>15.6360358273865</v>
      </c>
      <c r="L3021">
        <v>15.729783685903399</v>
      </c>
      <c r="M3021" t="s">
        <v>29</v>
      </c>
      <c r="N3021">
        <v>14.744976765218601</v>
      </c>
      <c r="O3021">
        <v>14.7057384018402</v>
      </c>
      <c r="P3021">
        <v>-0.85428923024398895</v>
      </c>
      <c r="Q3021">
        <v>-1.25210154324527</v>
      </c>
      <c r="R3021">
        <v>-0.456476917242709</v>
      </c>
      <c r="S3021">
        <v>15.210493369923499</v>
      </c>
      <c r="T3021">
        <v>-4.5329061071775802</v>
      </c>
      <c r="U3021">
        <v>-5.8209668378523798E-3</v>
      </c>
      <c r="V3021">
        <v>2.98617377051186E-4</v>
      </c>
      <c r="W3021">
        <v>3.7447889794461498E-3</v>
      </c>
      <c r="X3021">
        <v>0</v>
      </c>
      <c r="Y3021">
        <v>0</v>
      </c>
    </row>
    <row r="3022" spans="1:25" x14ac:dyDescent="0.2">
      <c r="A3022" t="s">
        <v>11200</v>
      </c>
      <c r="B3022" t="s">
        <v>11201</v>
      </c>
      <c r="C3022" t="s">
        <v>14601</v>
      </c>
      <c r="D3022" t="s">
        <v>11202</v>
      </c>
      <c r="E3022" t="s">
        <v>11201</v>
      </c>
      <c r="F3022" t="s">
        <v>28</v>
      </c>
      <c r="G3022" t="s">
        <v>11201</v>
      </c>
      <c r="H3022" t="str">
        <f>"F30A10.9"</f>
        <v>F30A10.9</v>
      </c>
      <c r="I3022" t="s">
        <v>11202</v>
      </c>
      <c r="J3022">
        <v>13.779592340900299</v>
      </c>
      <c r="K3022">
        <v>13.848860114691499</v>
      </c>
      <c r="L3022">
        <v>14.5403774093867</v>
      </c>
      <c r="M3022" t="s">
        <v>29</v>
      </c>
      <c r="N3022">
        <v>14.409933518098599</v>
      </c>
      <c r="O3022">
        <v>13.757250267289299</v>
      </c>
      <c r="P3022">
        <v>2.7315271034458601E-2</v>
      </c>
      <c r="Q3022">
        <v>-0.50490363023233897</v>
      </c>
      <c r="R3022">
        <v>0.55953417230125602</v>
      </c>
      <c r="S3022">
        <v>14.628275029830901</v>
      </c>
      <c r="T3022">
        <v>0.10833411334838799</v>
      </c>
      <c r="U3022">
        <v>-7.0393079374751304</v>
      </c>
      <c r="V3022">
        <v>0.915006868336528</v>
      </c>
      <c r="W3022">
        <v>0.94948071865765704</v>
      </c>
      <c r="X3022">
        <v>0</v>
      </c>
      <c r="Y3022">
        <v>0</v>
      </c>
    </row>
    <row r="3023" spans="1:25" x14ac:dyDescent="0.2">
      <c r="A3023" t="s">
        <v>11203</v>
      </c>
      <c r="B3023" t="s">
        <v>11204</v>
      </c>
      <c r="C3023" t="s">
        <v>14602</v>
      </c>
      <c r="D3023" t="s">
        <v>214</v>
      </c>
      <c r="E3023" t="s">
        <v>11204</v>
      </c>
      <c r="F3023" t="s">
        <v>28</v>
      </c>
      <c r="G3023" t="s">
        <v>11204</v>
      </c>
      <c r="H3023" t="str">
        <f>"F30F8.1"</f>
        <v>F30F8.1</v>
      </c>
      <c r="I3023" t="s">
        <v>214</v>
      </c>
      <c r="J3023" t="s">
        <v>29</v>
      </c>
      <c r="K3023" t="s">
        <v>29</v>
      </c>
      <c r="L3023">
        <v>11.605473507201699</v>
      </c>
      <c r="M3023" t="s">
        <v>29</v>
      </c>
      <c r="N3023" t="s">
        <v>29</v>
      </c>
      <c r="O3023" t="s">
        <v>29</v>
      </c>
      <c r="P3023" t="s">
        <v>29</v>
      </c>
      <c r="Q3023" t="s">
        <v>29</v>
      </c>
      <c r="R3023" t="s">
        <v>29</v>
      </c>
      <c r="S3023">
        <v>12.609905360105</v>
      </c>
      <c r="T3023" t="s">
        <v>29</v>
      </c>
      <c r="U3023" t="s">
        <v>29</v>
      </c>
      <c r="V3023" t="s">
        <v>29</v>
      </c>
      <c r="W3023" t="s">
        <v>29</v>
      </c>
      <c r="X3023" t="s">
        <v>29</v>
      </c>
      <c r="Y3023" t="s">
        <v>29</v>
      </c>
    </row>
    <row r="3024" spans="1:25" x14ac:dyDescent="0.2">
      <c r="A3024" t="s">
        <v>11205</v>
      </c>
      <c r="B3024" t="s">
        <v>11206</v>
      </c>
      <c r="C3024" t="s">
        <v>11207</v>
      </c>
      <c r="D3024" t="s">
        <v>11208</v>
      </c>
      <c r="E3024" t="s">
        <v>11206</v>
      </c>
      <c r="F3024" t="s">
        <v>28</v>
      </c>
      <c r="G3024" t="s">
        <v>11206</v>
      </c>
      <c r="H3024" t="str">
        <f>"idha-1"</f>
        <v>idha-1</v>
      </c>
      <c r="I3024" t="s">
        <v>11208</v>
      </c>
      <c r="J3024">
        <v>17.374986499177901</v>
      </c>
      <c r="K3024">
        <v>17.208881989961501</v>
      </c>
      <c r="L3024">
        <v>17.148631048639899</v>
      </c>
      <c r="M3024">
        <v>17.386950679658799</v>
      </c>
      <c r="N3024">
        <v>17.331225646664802</v>
      </c>
      <c r="O3024">
        <v>17.301098667056699</v>
      </c>
      <c r="P3024">
        <v>9.5591818533716094E-2</v>
      </c>
      <c r="Q3024">
        <v>-0.261962218346384</v>
      </c>
      <c r="R3024">
        <v>0.45314585541381702</v>
      </c>
      <c r="S3024">
        <v>16.946571720849601</v>
      </c>
      <c r="T3024">
        <v>0.56191619763919198</v>
      </c>
      <c r="U3024">
        <v>-6.99205227664857</v>
      </c>
      <c r="V3024">
        <v>0.58114367033334102</v>
      </c>
      <c r="W3024">
        <v>0.719290380710775</v>
      </c>
      <c r="X3024">
        <v>0</v>
      </c>
      <c r="Y3024">
        <v>0</v>
      </c>
    </row>
    <row r="3025" spans="1:25" x14ac:dyDescent="0.2">
      <c r="A3025" t="s">
        <v>11209</v>
      </c>
      <c r="B3025" t="s">
        <v>11210</v>
      </c>
      <c r="C3025" t="s">
        <v>11211</v>
      </c>
      <c r="D3025" t="s">
        <v>11212</v>
      </c>
      <c r="E3025" t="s">
        <v>11210</v>
      </c>
      <c r="F3025" t="s">
        <v>28</v>
      </c>
      <c r="G3025" t="s">
        <v>11210</v>
      </c>
      <c r="H3025" t="str">
        <f>"slc-25a42"</f>
        <v>slc-25a42</v>
      </c>
      <c r="I3025" t="s">
        <v>11212</v>
      </c>
      <c r="J3025">
        <v>14.442863860486</v>
      </c>
      <c r="K3025">
        <v>13.928482910228499</v>
      </c>
      <c r="L3025">
        <v>13.658657282465599</v>
      </c>
      <c r="M3025" t="s">
        <v>29</v>
      </c>
      <c r="N3025">
        <v>13.334836604816401</v>
      </c>
      <c r="O3025">
        <v>13.768400948802901</v>
      </c>
      <c r="P3025">
        <v>-0.45838257425040202</v>
      </c>
      <c r="Q3025">
        <v>-1.0111290949147</v>
      </c>
      <c r="R3025">
        <v>9.4363946413897906E-2</v>
      </c>
      <c r="S3025">
        <v>13.857156436937499</v>
      </c>
      <c r="T3025">
        <v>-1.75045961214888</v>
      </c>
      <c r="U3025">
        <v>-5.5662809111534601</v>
      </c>
      <c r="V3025">
        <v>9.8174935869427604E-2</v>
      </c>
      <c r="W3025">
        <v>0.21463021958991299</v>
      </c>
      <c r="X3025">
        <v>0</v>
      </c>
      <c r="Y3025">
        <v>0</v>
      </c>
    </row>
    <row r="3026" spans="1:25" x14ac:dyDescent="0.2">
      <c r="A3026" t="s">
        <v>11213</v>
      </c>
      <c r="B3026" t="s">
        <v>11214</v>
      </c>
      <c r="C3026" t="s">
        <v>14603</v>
      </c>
      <c r="D3026" t="s">
        <v>11215</v>
      </c>
      <c r="E3026" t="s">
        <v>11214</v>
      </c>
      <c r="F3026" t="s">
        <v>28</v>
      </c>
      <c r="G3026" t="s">
        <v>11214</v>
      </c>
      <c r="H3026" t="str">
        <f>"F43G9.4"</f>
        <v>F43G9.4</v>
      </c>
      <c r="I3026" t="s">
        <v>11215</v>
      </c>
      <c r="J3026" t="s">
        <v>29</v>
      </c>
      <c r="K3026" t="s">
        <v>29</v>
      </c>
      <c r="L3026" t="s">
        <v>29</v>
      </c>
      <c r="M3026" t="s">
        <v>29</v>
      </c>
      <c r="N3026" t="s">
        <v>29</v>
      </c>
      <c r="O3026" t="s">
        <v>29</v>
      </c>
      <c r="P3026" t="s">
        <v>29</v>
      </c>
      <c r="Q3026" t="s">
        <v>29</v>
      </c>
      <c r="R3026" t="s">
        <v>29</v>
      </c>
      <c r="S3026">
        <v>11.368794360820701</v>
      </c>
      <c r="T3026" t="s">
        <v>29</v>
      </c>
      <c r="U3026" t="s">
        <v>29</v>
      </c>
      <c r="V3026" t="s">
        <v>29</v>
      </c>
      <c r="W3026" t="s">
        <v>29</v>
      </c>
      <c r="X3026" t="s">
        <v>29</v>
      </c>
      <c r="Y3026" t="s">
        <v>29</v>
      </c>
    </row>
    <row r="3027" spans="1:25" x14ac:dyDescent="0.2">
      <c r="A3027" t="s">
        <v>11216</v>
      </c>
      <c r="B3027" t="s">
        <v>11217</v>
      </c>
      <c r="C3027" t="s">
        <v>11218</v>
      </c>
      <c r="D3027" t="s">
        <v>11219</v>
      </c>
      <c r="E3027" t="s">
        <v>11217</v>
      </c>
      <c r="F3027" t="s">
        <v>28</v>
      </c>
      <c r="G3027" t="s">
        <v>11217</v>
      </c>
      <c r="H3027" t="str">
        <f>"ned-8"</f>
        <v>ned-8</v>
      </c>
      <c r="I3027" t="s">
        <v>11219</v>
      </c>
      <c r="J3027">
        <v>12.1514624444372</v>
      </c>
      <c r="K3027">
        <v>12.4967836619136</v>
      </c>
      <c r="L3027" t="s">
        <v>29</v>
      </c>
      <c r="M3027">
        <v>12.699705046011999</v>
      </c>
      <c r="N3027" t="s">
        <v>29</v>
      </c>
      <c r="O3027" t="s">
        <v>29</v>
      </c>
      <c r="P3027">
        <v>0.37558199283663801</v>
      </c>
      <c r="Q3027">
        <v>-0.66874493763561005</v>
      </c>
      <c r="R3027">
        <v>1.41990892330889</v>
      </c>
      <c r="S3027">
        <v>12.370755099638099</v>
      </c>
      <c r="T3027">
        <v>0.831254474593354</v>
      </c>
      <c r="U3027">
        <v>-6.3865777482720096</v>
      </c>
      <c r="V3027">
        <v>0.43025062802391201</v>
      </c>
      <c r="W3027">
        <v>0.59612063976796903</v>
      </c>
      <c r="X3027">
        <v>0</v>
      </c>
      <c r="Y3027">
        <v>0</v>
      </c>
    </row>
    <row r="3028" spans="1:25" x14ac:dyDescent="0.2">
      <c r="A3028" t="s">
        <v>11220</v>
      </c>
      <c r="B3028" t="s">
        <v>11221</v>
      </c>
      <c r="C3028" t="s">
        <v>11222</v>
      </c>
      <c r="D3028" t="s">
        <v>69</v>
      </c>
      <c r="E3028" t="s">
        <v>11221</v>
      </c>
      <c r="F3028" t="s">
        <v>28</v>
      </c>
      <c r="G3028" t="s">
        <v>11221</v>
      </c>
      <c r="H3028" t="str">
        <f>"hpo-35"</f>
        <v>hpo-35</v>
      </c>
      <c r="I3028" t="s">
        <v>69</v>
      </c>
      <c r="J3028" t="s">
        <v>29</v>
      </c>
      <c r="K3028" t="s">
        <v>29</v>
      </c>
      <c r="L3028" t="s">
        <v>29</v>
      </c>
      <c r="M3028" t="s">
        <v>29</v>
      </c>
      <c r="N3028" t="s">
        <v>29</v>
      </c>
      <c r="O3028">
        <v>10.420539084950001</v>
      </c>
      <c r="P3028" t="s">
        <v>29</v>
      </c>
      <c r="Q3028" t="s">
        <v>29</v>
      </c>
      <c r="R3028" t="s">
        <v>29</v>
      </c>
      <c r="S3028">
        <v>11.8023286216523</v>
      </c>
      <c r="T3028" t="s">
        <v>29</v>
      </c>
      <c r="U3028" t="s">
        <v>29</v>
      </c>
      <c r="V3028" t="s">
        <v>29</v>
      </c>
      <c r="W3028" t="s">
        <v>29</v>
      </c>
      <c r="X3028" t="s">
        <v>29</v>
      </c>
      <c r="Y3028" t="s">
        <v>29</v>
      </c>
    </row>
    <row r="3029" spans="1:25" x14ac:dyDescent="0.2">
      <c r="A3029" t="s">
        <v>11223</v>
      </c>
      <c r="B3029" t="s">
        <v>11224</v>
      </c>
      <c r="C3029" t="s">
        <v>11225</v>
      </c>
      <c r="D3029" t="s">
        <v>534</v>
      </c>
      <c r="E3029" t="s">
        <v>11224</v>
      </c>
      <c r="F3029" t="s">
        <v>28</v>
      </c>
      <c r="G3029" t="s">
        <v>11224</v>
      </c>
      <c r="H3029" t="str">
        <f>"swan-1"</f>
        <v>swan-1</v>
      </c>
      <c r="I3029" t="s">
        <v>534</v>
      </c>
      <c r="J3029">
        <v>10.8754027908114</v>
      </c>
      <c r="K3029">
        <v>9.9687783231425406</v>
      </c>
      <c r="L3029">
        <v>11.413694024771599</v>
      </c>
      <c r="M3029" t="s">
        <v>29</v>
      </c>
      <c r="N3029" t="s">
        <v>29</v>
      </c>
      <c r="O3029">
        <v>10.448767970500899</v>
      </c>
      <c r="P3029">
        <v>-0.30385707574091297</v>
      </c>
      <c r="Q3029">
        <v>-1.5497741377202401</v>
      </c>
      <c r="R3029">
        <v>0.94205998623841403</v>
      </c>
      <c r="S3029">
        <v>11.3964952874234</v>
      </c>
      <c r="T3029">
        <v>-0.51728483970844996</v>
      </c>
      <c r="U3029">
        <v>-6.6733607993381998</v>
      </c>
      <c r="V3029">
        <v>0.61208081640247902</v>
      </c>
      <c r="W3029">
        <v>0.74169496954691905</v>
      </c>
      <c r="X3029">
        <v>0</v>
      </c>
      <c r="Y3029">
        <v>0</v>
      </c>
    </row>
    <row r="3030" spans="1:25" x14ac:dyDescent="0.2">
      <c r="A3030" t="s">
        <v>11226</v>
      </c>
      <c r="B3030" t="s">
        <v>11227</v>
      </c>
      <c r="C3030" t="s">
        <v>11228</v>
      </c>
      <c r="D3030" t="s">
        <v>534</v>
      </c>
      <c r="E3030" t="s">
        <v>11227</v>
      </c>
      <c r="F3030" t="s">
        <v>28</v>
      </c>
      <c r="G3030" t="s">
        <v>11227</v>
      </c>
      <c r="H3030" t="str">
        <f>"swan-2"</f>
        <v>swan-2</v>
      </c>
      <c r="I3030" t="s">
        <v>534</v>
      </c>
      <c r="J3030">
        <v>12.244524950496301</v>
      </c>
      <c r="K3030">
        <v>12.0401100031529</v>
      </c>
      <c r="L3030">
        <v>12.008041265222801</v>
      </c>
      <c r="M3030" t="s">
        <v>29</v>
      </c>
      <c r="N3030" t="s">
        <v>29</v>
      </c>
      <c r="O3030">
        <v>12.5581635632255</v>
      </c>
      <c r="P3030">
        <v>0.46060482360150701</v>
      </c>
      <c r="Q3030">
        <v>-0.31294816922053098</v>
      </c>
      <c r="R3030">
        <v>1.2341578164235401</v>
      </c>
      <c r="S3030">
        <v>11.9481959635058</v>
      </c>
      <c r="T3030">
        <v>1.2779983814532301</v>
      </c>
      <c r="U3030">
        <v>-5.9954008058725403</v>
      </c>
      <c r="V3030">
        <v>0.22218777407360699</v>
      </c>
      <c r="W3030">
        <v>0.38584995297284502</v>
      </c>
      <c r="X3030">
        <v>0</v>
      </c>
      <c r="Y3030">
        <v>0</v>
      </c>
    </row>
    <row r="3031" spans="1:25" x14ac:dyDescent="0.2">
      <c r="A3031" t="s">
        <v>11229</v>
      </c>
      <c r="B3031" t="s">
        <v>11230</v>
      </c>
      <c r="C3031" t="s">
        <v>11231</v>
      </c>
      <c r="D3031" t="s">
        <v>11232</v>
      </c>
      <c r="E3031" t="s">
        <v>11230</v>
      </c>
      <c r="F3031" t="s">
        <v>28</v>
      </c>
      <c r="G3031" t="s">
        <v>11230</v>
      </c>
      <c r="H3031" t="str">
        <f>"F53C11.3"</f>
        <v>F53C11.3</v>
      </c>
      <c r="I3031" t="s">
        <v>11232</v>
      </c>
      <c r="J3031">
        <v>16.368555956650301</v>
      </c>
      <c r="K3031">
        <v>16.3732449190131</v>
      </c>
      <c r="L3031">
        <v>16.377096046479998</v>
      </c>
      <c r="M3031">
        <v>15.947054821497</v>
      </c>
      <c r="N3031">
        <v>16.365477122305698</v>
      </c>
      <c r="O3031">
        <v>16.596723738984799</v>
      </c>
      <c r="P3031">
        <v>-6.9880413118649898E-2</v>
      </c>
      <c r="Q3031">
        <v>-0.44572966086275001</v>
      </c>
      <c r="R3031">
        <v>0.30596883462544999</v>
      </c>
      <c r="S3031">
        <v>16.399102438857199</v>
      </c>
      <c r="T3031">
        <v>-0.39078176633863898</v>
      </c>
      <c r="U3031">
        <v>-7.0765027699565497</v>
      </c>
      <c r="V3031">
        <v>0.700571800715731</v>
      </c>
      <c r="W3031">
        <v>0.80647855340205499</v>
      </c>
      <c r="X3031">
        <v>0</v>
      </c>
      <c r="Y3031">
        <v>0</v>
      </c>
    </row>
    <row r="3032" spans="1:25" x14ac:dyDescent="0.2">
      <c r="A3032" t="s">
        <v>11233</v>
      </c>
      <c r="B3032" t="s">
        <v>11234</v>
      </c>
      <c r="C3032" t="s">
        <v>14168</v>
      </c>
      <c r="D3032" t="s">
        <v>11235</v>
      </c>
      <c r="E3032" t="s">
        <v>11234</v>
      </c>
      <c r="F3032" t="s">
        <v>28</v>
      </c>
      <c r="G3032" t="s">
        <v>11234</v>
      </c>
      <c r="H3032" t="str">
        <f>"F53C11.5"</f>
        <v>F53C11.5</v>
      </c>
      <c r="I3032" t="s">
        <v>11235</v>
      </c>
      <c r="J3032" t="s">
        <v>29</v>
      </c>
      <c r="K3032" t="s">
        <v>29</v>
      </c>
      <c r="L3032" t="s">
        <v>29</v>
      </c>
      <c r="M3032" t="s">
        <v>29</v>
      </c>
      <c r="N3032" t="s">
        <v>29</v>
      </c>
      <c r="O3032">
        <v>13.1111739591252</v>
      </c>
      <c r="P3032" t="s">
        <v>29</v>
      </c>
      <c r="Q3032" t="s">
        <v>29</v>
      </c>
      <c r="R3032" t="s">
        <v>29</v>
      </c>
      <c r="S3032">
        <v>11.830485914834201</v>
      </c>
      <c r="T3032" t="s">
        <v>29</v>
      </c>
      <c r="U3032" t="s">
        <v>29</v>
      </c>
      <c r="V3032" t="s">
        <v>29</v>
      </c>
      <c r="W3032" t="s">
        <v>29</v>
      </c>
      <c r="X3032" t="s">
        <v>29</v>
      </c>
      <c r="Y3032" t="s">
        <v>29</v>
      </c>
    </row>
    <row r="3033" spans="1:25" x14ac:dyDescent="0.2">
      <c r="A3033" t="s">
        <v>11236</v>
      </c>
      <c r="B3033" t="s">
        <v>11237</v>
      </c>
      <c r="C3033" t="s">
        <v>11238</v>
      </c>
      <c r="D3033" t="s">
        <v>458</v>
      </c>
      <c r="E3033" t="s">
        <v>11237</v>
      </c>
      <c r="F3033" t="s">
        <v>28</v>
      </c>
      <c r="G3033" t="s">
        <v>11237</v>
      </c>
      <c r="H3033" t="str">
        <f>"ttr-31"</f>
        <v>ttr-31</v>
      </c>
      <c r="I3033" t="s">
        <v>458</v>
      </c>
      <c r="J3033">
        <v>13.240381631490701</v>
      </c>
      <c r="K3033">
        <v>13.3829533868563</v>
      </c>
      <c r="L3033">
        <v>13.0669928694871</v>
      </c>
      <c r="M3033" t="s">
        <v>29</v>
      </c>
      <c r="N3033" t="s">
        <v>29</v>
      </c>
      <c r="O3033">
        <v>13.195227869348001</v>
      </c>
      <c r="P3033">
        <v>-3.4881426596708599E-2</v>
      </c>
      <c r="Q3033">
        <v>-1.28188760073335</v>
      </c>
      <c r="R3033">
        <v>1.2121247475399399</v>
      </c>
      <c r="S3033">
        <v>12.868953492762399</v>
      </c>
      <c r="T3033">
        <v>-6.0036798843931399E-2</v>
      </c>
      <c r="U3033">
        <v>-6.8107918424090697</v>
      </c>
      <c r="V3033">
        <v>0.95298127064318106</v>
      </c>
      <c r="W3033">
        <v>0.97312397941284001</v>
      </c>
      <c r="X3033">
        <v>0</v>
      </c>
      <c r="Y3033">
        <v>0</v>
      </c>
    </row>
    <row r="3034" spans="1:25" x14ac:dyDescent="0.2">
      <c r="A3034" t="s">
        <v>11239</v>
      </c>
      <c r="B3034" t="s">
        <v>11240</v>
      </c>
      <c r="C3034" t="s">
        <v>11241</v>
      </c>
      <c r="D3034" t="s">
        <v>11242</v>
      </c>
      <c r="E3034" t="s">
        <v>11240</v>
      </c>
      <c r="F3034" t="s">
        <v>28</v>
      </c>
      <c r="G3034" t="s">
        <v>11240</v>
      </c>
      <c r="H3034" t="str">
        <f>"ndub-10"</f>
        <v>ndub-10</v>
      </c>
      <c r="I3034" t="s">
        <v>11242</v>
      </c>
      <c r="J3034" t="s">
        <v>29</v>
      </c>
      <c r="K3034" t="s">
        <v>29</v>
      </c>
      <c r="L3034" t="s">
        <v>29</v>
      </c>
      <c r="M3034" t="s">
        <v>29</v>
      </c>
      <c r="N3034">
        <v>12.7716364206091</v>
      </c>
      <c r="O3034">
        <v>12.8371697787502</v>
      </c>
      <c r="P3034" t="s">
        <v>29</v>
      </c>
      <c r="Q3034" t="s">
        <v>29</v>
      </c>
      <c r="R3034" t="s">
        <v>29</v>
      </c>
      <c r="S3034">
        <v>12.144801574365699</v>
      </c>
      <c r="T3034" t="s">
        <v>29</v>
      </c>
      <c r="U3034" t="s">
        <v>29</v>
      </c>
      <c r="V3034" t="s">
        <v>29</v>
      </c>
      <c r="W3034" t="s">
        <v>29</v>
      </c>
      <c r="X3034" t="s">
        <v>29</v>
      </c>
      <c r="Y3034" t="s">
        <v>29</v>
      </c>
    </row>
    <row r="3035" spans="1:25" x14ac:dyDescent="0.2">
      <c r="A3035" t="s">
        <v>11243</v>
      </c>
      <c r="B3035" t="s">
        <v>11244</v>
      </c>
      <c r="C3035" t="s">
        <v>11245</v>
      </c>
      <c r="D3035" t="s">
        <v>11246</v>
      </c>
      <c r="E3035" t="s">
        <v>11244</v>
      </c>
      <c r="F3035" t="s">
        <v>28</v>
      </c>
      <c r="G3035" t="s">
        <v>11244</v>
      </c>
      <c r="H3035" t="str">
        <f>"acox-1.6"</f>
        <v>acox-1.6</v>
      </c>
      <c r="I3035" t="s">
        <v>11246</v>
      </c>
      <c r="J3035">
        <v>14.050841327108801</v>
      </c>
      <c r="K3035">
        <v>14.2745171368011</v>
      </c>
      <c r="L3035">
        <v>13.9262992163736</v>
      </c>
      <c r="M3035">
        <v>14.078493109011299</v>
      </c>
      <c r="N3035">
        <v>14.3439032922079</v>
      </c>
      <c r="O3035">
        <v>14.376416977995</v>
      </c>
      <c r="P3035">
        <v>0.18238523297689499</v>
      </c>
      <c r="Q3035">
        <v>-0.13155085604016201</v>
      </c>
      <c r="R3035">
        <v>0.49632132199395201</v>
      </c>
      <c r="S3035">
        <v>13.9265005641693</v>
      </c>
      <c r="T3035">
        <v>1.221071069812</v>
      </c>
      <c r="U3035">
        <v>-6.4049052403394304</v>
      </c>
      <c r="V3035">
        <v>0.23790377020694201</v>
      </c>
      <c r="W3035">
        <v>0.40318664899793999</v>
      </c>
      <c r="X3035">
        <v>0</v>
      </c>
      <c r="Y3035">
        <v>0</v>
      </c>
    </row>
    <row r="3036" spans="1:25" x14ac:dyDescent="0.2">
      <c r="A3036" t="s">
        <v>11247</v>
      </c>
      <c r="B3036" t="s">
        <v>11248</v>
      </c>
      <c r="C3036" t="s">
        <v>14604</v>
      </c>
      <c r="D3036" t="s">
        <v>11249</v>
      </c>
      <c r="E3036" t="s">
        <v>11248</v>
      </c>
      <c r="F3036" t="s">
        <v>28</v>
      </c>
      <c r="G3036" t="s">
        <v>11248</v>
      </c>
      <c r="H3036" t="str">
        <f>"F59F4.3"</f>
        <v>F59F4.3</v>
      </c>
      <c r="I3036" t="s">
        <v>11249</v>
      </c>
      <c r="J3036" t="s">
        <v>29</v>
      </c>
      <c r="K3036" t="s">
        <v>29</v>
      </c>
      <c r="L3036" t="s">
        <v>29</v>
      </c>
      <c r="M3036" t="s">
        <v>29</v>
      </c>
      <c r="N3036" t="s">
        <v>29</v>
      </c>
      <c r="O3036" t="s">
        <v>29</v>
      </c>
      <c r="P3036" t="s">
        <v>29</v>
      </c>
      <c r="Q3036" t="s">
        <v>29</v>
      </c>
      <c r="R3036" t="s">
        <v>29</v>
      </c>
      <c r="S3036">
        <v>9.8812305759035208</v>
      </c>
      <c r="T3036" t="s">
        <v>29</v>
      </c>
      <c r="U3036" t="s">
        <v>29</v>
      </c>
      <c r="V3036" t="s">
        <v>29</v>
      </c>
      <c r="W3036" t="s">
        <v>29</v>
      </c>
      <c r="X3036" t="s">
        <v>29</v>
      </c>
      <c r="Y3036" t="s">
        <v>29</v>
      </c>
    </row>
    <row r="3037" spans="1:25" x14ac:dyDescent="0.2">
      <c r="A3037" t="s">
        <v>11250</v>
      </c>
      <c r="B3037" t="s">
        <v>11251</v>
      </c>
      <c r="C3037" t="s">
        <v>11252</v>
      </c>
      <c r="D3037" t="s">
        <v>11253</v>
      </c>
      <c r="E3037" t="s">
        <v>11251</v>
      </c>
      <c r="F3037" t="s">
        <v>28</v>
      </c>
      <c r="G3037" t="s">
        <v>11251</v>
      </c>
      <c r="H3037" t="str">
        <f>"acl-1"</f>
        <v>acl-1</v>
      </c>
      <c r="I3037" t="s">
        <v>11253</v>
      </c>
      <c r="J3037">
        <v>14.6962771088415</v>
      </c>
      <c r="K3037">
        <v>14.5859974974937</v>
      </c>
      <c r="L3037">
        <v>14.5667086015397</v>
      </c>
      <c r="M3037" t="s">
        <v>29</v>
      </c>
      <c r="N3037">
        <v>14.690828249764399</v>
      </c>
      <c r="O3037">
        <v>14.3046884549313</v>
      </c>
      <c r="P3037">
        <v>-0.118569383610458</v>
      </c>
      <c r="Q3037">
        <v>-0.58548731544760402</v>
      </c>
      <c r="R3037">
        <v>0.34834854822668798</v>
      </c>
      <c r="S3037">
        <v>14.341648449983699</v>
      </c>
      <c r="T3037">
        <v>-0.53602126844083597</v>
      </c>
      <c r="U3037">
        <v>-6.8957241313132904</v>
      </c>
      <c r="V3037">
        <v>0.59893071034008505</v>
      </c>
      <c r="W3037">
        <v>0.73241633288723196</v>
      </c>
      <c r="X3037">
        <v>0</v>
      </c>
      <c r="Y3037">
        <v>0</v>
      </c>
    </row>
    <row r="3038" spans="1:25" x14ac:dyDescent="0.2">
      <c r="A3038" t="s">
        <v>11254</v>
      </c>
      <c r="B3038" t="s">
        <v>11255</v>
      </c>
      <c r="C3038" t="s">
        <v>11256</v>
      </c>
      <c r="D3038" t="s">
        <v>11257</v>
      </c>
      <c r="E3038" t="s">
        <v>11255</v>
      </c>
      <c r="F3038" t="s">
        <v>28</v>
      </c>
      <c r="G3038" t="s">
        <v>11255</v>
      </c>
      <c r="H3038" t="str">
        <f>"ent-2"</f>
        <v>ent-2</v>
      </c>
      <c r="I3038" t="s">
        <v>11257</v>
      </c>
      <c r="J3038">
        <v>14.503671889057999</v>
      </c>
      <c r="K3038">
        <v>14.706472862386899</v>
      </c>
      <c r="L3038">
        <v>14.396221832439201</v>
      </c>
      <c r="M3038">
        <v>14.9744533576203</v>
      </c>
      <c r="N3038">
        <v>14.608898476277099</v>
      </c>
      <c r="O3038">
        <v>13.4411958654449</v>
      </c>
      <c r="P3038">
        <v>-0.193939628180647</v>
      </c>
      <c r="Q3038">
        <v>-0.84291675537301902</v>
      </c>
      <c r="R3038">
        <v>0.45503749901172402</v>
      </c>
      <c r="S3038">
        <v>14.572763712852799</v>
      </c>
      <c r="T3038">
        <v>-0.62810128394618303</v>
      </c>
      <c r="U3038">
        <v>-6.9515278688039599</v>
      </c>
      <c r="V3038">
        <v>0.53787176725692898</v>
      </c>
      <c r="W3038">
        <v>0.68530397669959797</v>
      </c>
      <c r="X3038">
        <v>0</v>
      </c>
      <c r="Y3038">
        <v>0</v>
      </c>
    </row>
    <row r="3039" spans="1:25" x14ac:dyDescent="0.2">
      <c r="A3039" t="s">
        <v>11258</v>
      </c>
      <c r="B3039" t="s">
        <v>11259</v>
      </c>
      <c r="C3039" t="s">
        <v>11260</v>
      </c>
      <c r="D3039" t="s">
        <v>11261</v>
      </c>
      <c r="E3039" t="s">
        <v>11259</v>
      </c>
      <c r="F3039" t="s">
        <v>28</v>
      </c>
      <c r="G3039" t="s">
        <v>11259</v>
      </c>
      <c r="H3039" t="str">
        <f>"gas-1"</f>
        <v>gas-1</v>
      </c>
      <c r="I3039" t="s">
        <v>11261</v>
      </c>
      <c r="J3039">
        <v>15.7325913734753</v>
      </c>
      <c r="K3039">
        <v>15.901677744998899</v>
      </c>
      <c r="L3039">
        <v>16.109064614509901</v>
      </c>
      <c r="M3039">
        <v>14.6944718292179</v>
      </c>
      <c r="N3039">
        <v>15.208289069540101</v>
      </c>
      <c r="O3039">
        <v>15.652087189814299</v>
      </c>
      <c r="P3039">
        <v>-0.72949521480388801</v>
      </c>
      <c r="Q3039">
        <v>-1.2154086836658999</v>
      </c>
      <c r="R3039">
        <v>-0.24358174594187501</v>
      </c>
      <c r="S3039">
        <v>15.676657656512999</v>
      </c>
      <c r="T3039">
        <v>-3.1554116402821202</v>
      </c>
      <c r="U3039">
        <v>-3.0082974367223598</v>
      </c>
      <c r="V3039">
        <v>5.50278099714855E-3</v>
      </c>
      <c r="W3039">
        <v>2.9938280571776402E-2</v>
      </c>
      <c r="X3039">
        <v>0</v>
      </c>
      <c r="Y3039">
        <v>0</v>
      </c>
    </row>
    <row r="3040" spans="1:25" x14ac:dyDescent="0.2">
      <c r="A3040" t="s">
        <v>11262</v>
      </c>
      <c r="B3040" t="s">
        <v>11263</v>
      </c>
      <c r="C3040" t="s">
        <v>11264</v>
      </c>
      <c r="D3040" t="s">
        <v>11265</v>
      </c>
      <c r="E3040" t="s">
        <v>11263</v>
      </c>
      <c r="F3040" t="s">
        <v>28</v>
      </c>
      <c r="G3040" t="s">
        <v>11263</v>
      </c>
      <c r="H3040" t="str">
        <f>"rab-14"</f>
        <v>rab-14</v>
      </c>
      <c r="I3040" t="s">
        <v>11265</v>
      </c>
      <c r="J3040">
        <v>14.4914618365928</v>
      </c>
      <c r="K3040">
        <v>14.5596034969484</v>
      </c>
      <c r="L3040">
        <v>14.0210952478943</v>
      </c>
      <c r="M3040">
        <v>15.298044101865701</v>
      </c>
      <c r="N3040">
        <v>14.498736326540399</v>
      </c>
      <c r="O3040">
        <v>14.6004950338956</v>
      </c>
      <c r="P3040">
        <v>0.44170496028876199</v>
      </c>
      <c r="Q3040">
        <v>-7.0612409566118403E-2</v>
      </c>
      <c r="R3040">
        <v>0.95402233014364202</v>
      </c>
      <c r="S3040">
        <v>13.944016193627499</v>
      </c>
      <c r="T3040">
        <v>1.81211480616537</v>
      </c>
      <c r="U3040">
        <v>-5.5749413053466004</v>
      </c>
      <c r="V3040">
        <v>8.6783134869632197E-2</v>
      </c>
      <c r="W3040">
        <v>0.19777600865001799</v>
      </c>
      <c r="X3040">
        <v>0</v>
      </c>
      <c r="Y3040">
        <v>0</v>
      </c>
    </row>
    <row r="3041" spans="1:25" x14ac:dyDescent="0.2">
      <c r="A3041" t="s">
        <v>11266</v>
      </c>
      <c r="B3041" t="s">
        <v>11267</v>
      </c>
      <c r="C3041" t="s">
        <v>11268</v>
      </c>
      <c r="D3041" t="s">
        <v>11269</v>
      </c>
      <c r="E3041" t="s">
        <v>11267</v>
      </c>
      <c r="F3041" t="s">
        <v>28</v>
      </c>
      <c r="G3041" t="s">
        <v>11267</v>
      </c>
      <c r="H3041" t="str">
        <f>"erv-46"</f>
        <v>erv-46</v>
      </c>
      <c r="I3041" t="s">
        <v>11269</v>
      </c>
      <c r="J3041">
        <v>11.292756519167501</v>
      </c>
      <c r="K3041">
        <v>11.8061490347577</v>
      </c>
      <c r="L3041">
        <v>10.936837267315299</v>
      </c>
      <c r="M3041" t="s">
        <v>29</v>
      </c>
      <c r="N3041" t="s">
        <v>29</v>
      </c>
      <c r="O3041" t="s">
        <v>29</v>
      </c>
      <c r="P3041" t="s">
        <v>29</v>
      </c>
      <c r="Q3041" t="s">
        <v>29</v>
      </c>
      <c r="R3041" t="s">
        <v>29</v>
      </c>
      <c r="S3041">
        <v>11.0069420082223</v>
      </c>
      <c r="T3041" t="s">
        <v>29</v>
      </c>
      <c r="U3041" t="s">
        <v>29</v>
      </c>
      <c r="V3041" t="s">
        <v>29</v>
      </c>
      <c r="W3041" t="s">
        <v>29</v>
      </c>
      <c r="X3041" t="s">
        <v>29</v>
      </c>
      <c r="Y3041" t="s">
        <v>29</v>
      </c>
    </row>
    <row r="3042" spans="1:25" x14ac:dyDescent="0.2">
      <c r="A3042" t="s">
        <v>11270</v>
      </c>
      <c r="B3042" t="s">
        <v>11271</v>
      </c>
      <c r="C3042" t="s">
        <v>11272</v>
      </c>
      <c r="D3042" t="s">
        <v>11273</v>
      </c>
      <c r="E3042" t="s">
        <v>11271</v>
      </c>
      <c r="F3042" t="s">
        <v>28</v>
      </c>
      <c r="G3042" t="s">
        <v>11271</v>
      </c>
      <c r="H3042" t="str">
        <f>"srf-3"</f>
        <v>srf-3</v>
      </c>
      <c r="I3042" t="s">
        <v>11273</v>
      </c>
      <c r="J3042">
        <v>14.094987251787501</v>
      </c>
      <c r="K3042">
        <v>14.3850411010917</v>
      </c>
      <c r="L3042">
        <v>14.5995556470568</v>
      </c>
      <c r="M3042" t="s">
        <v>29</v>
      </c>
      <c r="N3042">
        <v>13.8342436857689</v>
      </c>
      <c r="O3042">
        <v>14.0682462982777</v>
      </c>
      <c r="P3042">
        <v>-0.40861634128872398</v>
      </c>
      <c r="Q3042">
        <v>-0.81339699619914096</v>
      </c>
      <c r="R3042">
        <v>-3.83568637830645E-3</v>
      </c>
      <c r="S3042">
        <v>14.3460554037142</v>
      </c>
      <c r="T3042">
        <v>-2.1308162261279899</v>
      </c>
      <c r="U3042">
        <v>-4.93362098605835</v>
      </c>
      <c r="V3042">
        <v>4.8097186066366503E-2</v>
      </c>
      <c r="W3042">
        <v>0.132469539567834</v>
      </c>
      <c r="X3042">
        <v>0</v>
      </c>
      <c r="Y3042">
        <v>0</v>
      </c>
    </row>
    <row r="3043" spans="1:25" x14ac:dyDescent="0.2">
      <c r="A3043" t="s">
        <v>11274</v>
      </c>
      <c r="B3043" t="s">
        <v>11275</v>
      </c>
      <c r="C3043" t="s">
        <v>11276</v>
      </c>
      <c r="D3043" t="s">
        <v>107</v>
      </c>
      <c r="E3043" t="s">
        <v>11275</v>
      </c>
      <c r="F3043" t="s">
        <v>28</v>
      </c>
      <c r="G3043" t="s">
        <v>11275</v>
      </c>
      <c r="H3043" t="str">
        <f>"mct-3"</f>
        <v>mct-3</v>
      </c>
      <c r="I3043" t="s">
        <v>107</v>
      </c>
      <c r="J3043">
        <v>14.262995817559601</v>
      </c>
      <c r="K3043">
        <v>14.018778874547399</v>
      </c>
      <c r="L3043">
        <v>14.205621539825099</v>
      </c>
      <c r="M3043" t="s">
        <v>29</v>
      </c>
      <c r="N3043">
        <v>14.778768677016799</v>
      </c>
      <c r="O3043">
        <v>15.3463614065315</v>
      </c>
      <c r="P3043">
        <v>0.90009963113013602</v>
      </c>
      <c r="Q3043">
        <v>0.34030645088015199</v>
      </c>
      <c r="R3043">
        <v>1.4598928113801199</v>
      </c>
      <c r="S3043">
        <v>14.6298249369407</v>
      </c>
      <c r="T3043">
        <v>3.39400903080793</v>
      </c>
      <c r="U3043">
        <v>-2.4391741995661902</v>
      </c>
      <c r="V3043">
        <v>3.4771066819322401E-3</v>
      </c>
      <c r="W3043">
        <v>2.19422556566473E-2</v>
      </c>
      <c r="X3043">
        <v>0</v>
      </c>
      <c r="Y3043">
        <v>0</v>
      </c>
    </row>
    <row r="3044" spans="1:25" x14ac:dyDescent="0.2">
      <c r="A3044" t="s">
        <v>11277</v>
      </c>
      <c r="B3044" t="s">
        <v>11278</v>
      </c>
      <c r="C3044" t="s">
        <v>11279</v>
      </c>
      <c r="D3044" t="s">
        <v>11280</v>
      </c>
      <c r="E3044" t="s">
        <v>11278</v>
      </c>
      <c r="F3044" t="s">
        <v>28</v>
      </c>
      <c r="G3044" t="s">
        <v>11278</v>
      </c>
      <c r="H3044" t="str">
        <f>"gfi-3"</f>
        <v>gfi-3</v>
      </c>
      <c r="I3044" t="s">
        <v>11280</v>
      </c>
      <c r="J3044">
        <v>12.2989965182337</v>
      </c>
      <c r="K3044" t="s">
        <v>29</v>
      </c>
      <c r="L3044">
        <v>12.4160391888284</v>
      </c>
      <c r="M3044" t="s">
        <v>29</v>
      </c>
      <c r="N3044">
        <v>12.1710573250772</v>
      </c>
      <c r="O3044" t="s">
        <v>29</v>
      </c>
      <c r="P3044">
        <v>-0.18646052845387801</v>
      </c>
      <c r="Q3044">
        <v>-0.78843055553079799</v>
      </c>
      <c r="R3044">
        <v>0.41550949862304198</v>
      </c>
      <c r="S3044">
        <v>12.422692100294499</v>
      </c>
      <c r="T3044">
        <v>-0.66972928178480895</v>
      </c>
      <c r="U3044">
        <v>-6.5202137913629903</v>
      </c>
      <c r="V3044">
        <v>0.514844422762742</v>
      </c>
      <c r="W3044">
        <v>0.66804779910508305</v>
      </c>
      <c r="X3044">
        <v>0</v>
      </c>
      <c r="Y3044">
        <v>0</v>
      </c>
    </row>
    <row r="3045" spans="1:25" x14ac:dyDescent="0.2">
      <c r="A3045" t="s">
        <v>11281</v>
      </c>
      <c r="B3045" t="s">
        <v>11282</v>
      </c>
      <c r="C3045" t="s">
        <v>11283</v>
      </c>
      <c r="D3045" t="s">
        <v>11284</v>
      </c>
      <c r="E3045" t="s">
        <v>11282</v>
      </c>
      <c r="F3045" t="s">
        <v>28</v>
      </c>
      <c r="G3045" t="s">
        <v>11282</v>
      </c>
      <c r="H3045" t="str">
        <f>"prx-14"</f>
        <v>prx-14</v>
      </c>
      <c r="I3045" t="s">
        <v>11284</v>
      </c>
      <c r="J3045" t="s">
        <v>29</v>
      </c>
      <c r="K3045" t="s">
        <v>29</v>
      </c>
      <c r="L3045" t="s">
        <v>29</v>
      </c>
      <c r="M3045" t="s">
        <v>29</v>
      </c>
      <c r="N3045" t="s">
        <v>29</v>
      </c>
      <c r="O3045">
        <v>13.818935386112701</v>
      </c>
      <c r="P3045" t="s">
        <v>29</v>
      </c>
      <c r="Q3045" t="s">
        <v>29</v>
      </c>
      <c r="R3045" t="s">
        <v>29</v>
      </c>
      <c r="S3045">
        <v>12.1389615928593</v>
      </c>
      <c r="T3045" t="s">
        <v>29</v>
      </c>
      <c r="U3045" t="s">
        <v>29</v>
      </c>
      <c r="V3045" t="s">
        <v>29</v>
      </c>
      <c r="W3045" t="s">
        <v>29</v>
      </c>
      <c r="X3045" t="s">
        <v>29</v>
      </c>
      <c r="Y3045" t="s">
        <v>29</v>
      </c>
    </row>
    <row r="3046" spans="1:25" x14ac:dyDescent="0.2">
      <c r="A3046" t="s">
        <v>11285</v>
      </c>
      <c r="B3046" t="s">
        <v>11286</v>
      </c>
      <c r="C3046" t="s">
        <v>11287</v>
      </c>
      <c r="D3046" t="s">
        <v>11288</v>
      </c>
      <c r="E3046" t="s">
        <v>11286</v>
      </c>
      <c r="F3046" t="s">
        <v>28</v>
      </c>
      <c r="G3046" t="s">
        <v>11286</v>
      </c>
      <c r="H3046" t="str">
        <f>"adk-1"</f>
        <v>adk-1</v>
      </c>
      <c r="I3046" t="s">
        <v>11288</v>
      </c>
      <c r="J3046">
        <v>13.2289558896077</v>
      </c>
      <c r="K3046">
        <v>12.923113914871101</v>
      </c>
      <c r="L3046">
        <v>13.228953775007099</v>
      </c>
      <c r="M3046">
        <v>12.8606404511519</v>
      </c>
      <c r="N3046">
        <v>13.4559145046055</v>
      </c>
      <c r="O3046">
        <v>12.877608364505599</v>
      </c>
      <c r="P3046">
        <v>-6.2286753074321403E-2</v>
      </c>
      <c r="Q3046">
        <v>-0.595647249990508</v>
      </c>
      <c r="R3046">
        <v>0.47107374384186501</v>
      </c>
      <c r="S3046">
        <v>13.312574682085099</v>
      </c>
      <c r="T3046">
        <v>-0.24545244281466799</v>
      </c>
      <c r="U3046">
        <v>-7.1247383489317402</v>
      </c>
      <c r="V3046">
        <v>0.80889902678884795</v>
      </c>
      <c r="W3046">
        <v>0.88130112412142703</v>
      </c>
      <c r="X3046">
        <v>0</v>
      </c>
      <c r="Y3046">
        <v>0</v>
      </c>
    </row>
    <row r="3047" spans="1:25" x14ac:dyDescent="0.2">
      <c r="A3047" t="s">
        <v>11289</v>
      </c>
      <c r="B3047" t="s">
        <v>11290</v>
      </c>
      <c r="C3047" t="s">
        <v>11291</v>
      </c>
      <c r="D3047" t="s">
        <v>11292</v>
      </c>
      <c r="E3047" t="s">
        <v>11290</v>
      </c>
      <c r="F3047" t="s">
        <v>28</v>
      </c>
      <c r="G3047" t="s">
        <v>11290</v>
      </c>
      <c r="H3047" t="str">
        <f>"serr-1"</f>
        <v>serr-1</v>
      </c>
      <c r="I3047" t="s">
        <v>11292</v>
      </c>
      <c r="J3047">
        <v>13.6382713814182</v>
      </c>
      <c r="K3047">
        <v>13.846285385358501</v>
      </c>
      <c r="L3047">
        <v>13.9243478287091</v>
      </c>
      <c r="M3047" t="s">
        <v>29</v>
      </c>
      <c r="N3047">
        <v>14.3268316612386</v>
      </c>
      <c r="O3047">
        <v>14.8158697660082</v>
      </c>
      <c r="P3047">
        <v>0.76838251512812195</v>
      </c>
      <c r="Q3047">
        <v>0.34488042252171502</v>
      </c>
      <c r="R3047">
        <v>1.19188460773453</v>
      </c>
      <c r="S3047">
        <v>14.1492748931294</v>
      </c>
      <c r="T3047">
        <v>3.8297632403073201</v>
      </c>
      <c r="U3047">
        <v>-1.51144513517333</v>
      </c>
      <c r="V3047">
        <v>1.35445667553366E-3</v>
      </c>
      <c r="W3047">
        <v>1.12438980923879E-2</v>
      </c>
      <c r="X3047">
        <v>0</v>
      </c>
      <c r="Y3047">
        <v>0</v>
      </c>
    </row>
    <row r="3048" spans="1:25" x14ac:dyDescent="0.2">
      <c r="A3048" t="s">
        <v>11293</v>
      </c>
      <c r="B3048" t="s">
        <v>11294</v>
      </c>
      <c r="C3048" t="s">
        <v>11295</v>
      </c>
      <c r="D3048" t="s">
        <v>11296</v>
      </c>
      <c r="E3048" t="s">
        <v>11294</v>
      </c>
      <c r="F3048" t="s">
        <v>28</v>
      </c>
      <c r="G3048" t="s">
        <v>11294</v>
      </c>
      <c r="H3048" t="str">
        <f>"gon-2"</f>
        <v>gon-2</v>
      </c>
      <c r="I3048" t="s">
        <v>11296</v>
      </c>
      <c r="J3048">
        <v>12.669252104812401</v>
      </c>
      <c r="K3048" t="s">
        <v>29</v>
      </c>
      <c r="L3048" t="s">
        <v>29</v>
      </c>
      <c r="M3048" t="s">
        <v>29</v>
      </c>
      <c r="N3048" t="s">
        <v>29</v>
      </c>
      <c r="O3048" t="s">
        <v>29</v>
      </c>
      <c r="P3048" t="s">
        <v>29</v>
      </c>
      <c r="Q3048" t="s">
        <v>29</v>
      </c>
      <c r="R3048" t="s">
        <v>29</v>
      </c>
      <c r="S3048">
        <v>12.062541716257901</v>
      </c>
      <c r="T3048" t="s">
        <v>29</v>
      </c>
      <c r="U3048" t="s">
        <v>29</v>
      </c>
      <c r="V3048" t="s">
        <v>29</v>
      </c>
      <c r="W3048" t="s">
        <v>29</v>
      </c>
      <c r="X3048" t="s">
        <v>29</v>
      </c>
      <c r="Y3048" t="s">
        <v>29</v>
      </c>
    </row>
    <row r="3049" spans="1:25" x14ac:dyDescent="0.2">
      <c r="A3049" t="s">
        <v>11297</v>
      </c>
      <c r="B3049" t="s">
        <v>11298</v>
      </c>
      <c r="C3049" t="s">
        <v>14605</v>
      </c>
      <c r="D3049" t="s">
        <v>11299</v>
      </c>
      <c r="E3049" t="s">
        <v>11298</v>
      </c>
      <c r="F3049" t="s">
        <v>28</v>
      </c>
      <c r="G3049" t="s">
        <v>11298</v>
      </c>
      <c r="H3049" t="str">
        <f>"T08G11.1"</f>
        <v>T08G11.1</v>
      </c>
      <c r="I3049" t="s">
        <v>11299</v>
      </c>
      <c r="J3049">
        <v>15.6489002427277</v>
      </c>
      <c r="K3049">
        <v>15.480667968433201</v>
      </c>
      <c r="L3049">
        <v>15.2982378713236</v>
      </c>
      <c r="M3049">
        <v>15.730420899543899</v>
      </c>
      <c r="N3049">
        <v>15.8771065253001</v>
      </c>
      <c r="O3049">
        <v>16.108021941988099</v>
      </c>
      <c r="P3049">
        <v>0.42924776144917898</v>
      </c>
      <c r="Q3049">
        <v>3.9325108527765398E-2</v>
      </c>
      <c r="R3049">
        <v>0.81917041437059301</v>
      </c>
      <c r="S3049">
        <v>15.369619695163401</v>
      </c>
      <c r="T3049">
        <v>2.3137801208484499</v>
      </c>
      <c r="U3049">
        <v>-4.7005123641904598</v>
      </c>
      <c r="V3049">
        <v>3.2776967663982699E-2</v>
      </c>
      <c r="W3049">
        <v>0.103088285705184</v>
      </c>
      <c r="X3049">
        <v>0</v>
      </c>
      <c r="Y3049">
        <v>0</v>
      </c>
    </row>
    <row r="3050" spans="1:25" x14ac:dyDescent="0.2">
      <c r="A3050" t="s">
        <v>11300</v>
      </c>
      <c r="B3050" t="s">
        <v>11301</v>
      </c>
      <c r="C3050" t="s">
        <v>11302</v>
      </c>
      <c r="D3050" t="s">
        <v>11303</v>
      </c>
      <c r="E3050" t="s">
        <v>11301</v>
      </c>
      <c r="F3050" t="s">
        <v>28</v>
      </c>
      <c r="G3050" t="s">
        <v>11301</v>
      </c>
      <c r="H3050" t="str">
        <f>"tgs-1"</f>
        <v>tgs-1</v>
      </c>
      <c r="I3050" t="s">
        <v>11303</v>
      </c>
      <c r="J3050">
        <v>13.209135574645099</v>
      </c>
      <c r="K3050">
        <v>13.498892456315</v>
      </c>
      <c r="L3050">
        <v>13.567334490666299</v>
      </c>
      <c r="M3050" t="s">
        <v>29</v>
      </c>
      <c r="N3050">
        <v>13.7279639790671</v>
      </c>
      <c r="O3050">
        <v>13.8575688836053</v>
      </c>
      <c r="P3050">
        <v>0.36764559079405501</v>
      </c>
      <c r="Q3050">
        <v>-0.13003727834938</v>
      </c>
      <c r="R3050">
        <v>0.86532845993748997</v>
      </c>
      <c r="S3050">
        <v>13.990796422754601</v>
      </c>
      <c r="T3050">
        <v>1.55928924319479</v>
      </c>
      <c r="U3050">
        <v>-5.8520294900684497</v>
      </c>
      <c r="V3050">
        <v>0.13746229527093101</v>
      </c>
      <c r="W3050">
        <v>0.27445893236004998</v>
      </c>
      <c r="X3050">
        <v>0</v>
      </c>
      <c r="Y3050">
        <v>0</v>
      </c>
    </row>
    <row r="3051" spans="1:25" x14ac:dyDescent="0.2">
      <c r="A3051" t="s">
        <v>11304</v>
      </c>
      <c r="B3051" t="s">
        <v>11305</v>
      </c>
      <c r="C3051" t="s">
        <v>14606</v>
      </c>
      <c r="D3051" t="s">
        <v>11306</v>
      </c>
      <c r="E3051" t="s">
        <v>11305</v>
      </c>
      <c r="F3051" t="s">
        <v>28</v>
      </c>
      <c r="G3051" t="s">
        <v>11305</v>
      </c>
      <c r="H3051" t="str">
        <f>"T13F2.6"</f>
        <v>T13F2.6</v>
      </c>
      <c r="I3051" t="s">
        <v>11306</v>
      </c>
      <c r="J3051" t="s">
        <v>29</v>
      </c>
      <c r="K3051" t="s">
        <v>29</v>
      </c>
      <c r="L3051" t="s">
        <v>29</v>
      </c>
      <c r="M3051" t="s">
        <v>29</v>
      </c>
      <c r="N3051" t="s">
        <v>29</v>
      </c>
      <c r="O3051" t="s">
        <v>29</v>
      </c>
      <c r="P3051" t="s">
        <v>29</v>
      </c>
      <c r="Q3051" t="s">
        <v>29</v>
      </c>
      <c r="R3051" t="s">
        <v>29</v>
      </c>
      <c r="S3051">
        <v>10.8126977314247</v>
      </c>
      <c r="T3051" t="s">
        <v>29</v>
      </c>
      <c r="U3051" t="s">
        <v>29</v>
      </c>
      <c r="V3051" t="s">
        <v>29</v>
      </c>
      <c r="W3051" t="s">
        <v>29</v>
      </c>
      <c r="X3051" t="s">
        <v>29</v>
      </c>
      <c r="Y3051" t="s">
        <v>29</v>
      </c>
    </row>
    <row r="3052" spans="1:25" x14ac:dyDescent="0.2">
      <c r="A3052" t="s">
        <v>11307</v>
      </c>
      <c r="B3052" t="s">
        <v>11308</v>
      </c>
      <c r="C3052" t="s">
        <v>11309</v>
      </c>
      <c r="D3052" t="s">
        <v>11310</v>
      </c>
      <c r="E3052" t="s">
        <v>11308</v>
      </c>
      <c r="F3052" t="s">
        <v>28</v>
      </c>
      <c r="G3052" t="s">
        <v>11308</v>
      </c>
      <c r="H3052" t="str">
        <f>"sna-2"</f>
        <v>sna-2</v>
      </c>
      <c r="I3052" t="s">
        <v>11310</v>
      </c>
      <c r="J3052" t="s">
        <v>29</v>
      </c>
      <c r="K3052" t="s">
        <v>29</v>
      </c>
      <c r="L3052">
        <v>11.0566742016485</v>
      </c>
      <c r="M3052" t="s">
        <v>29</v>
      </c>
      <c r="N3052">
        <v>14.950785077341999</v>
      </c>
      <c r="O3052">
        <v>15.423321419296</v>
      </c>
      <c r="P3052">
        <v>4.1303790466705301</v>
      </c>
      <c r="Q3052">
        <v>3.0906499528585001</v>
      </c>
      <c r="R3052">
        <v>5.1701081404825704</v>
      </c>
      <c r="S3052">
        <v>13.2609679868927</v>
      </c>
      <c r="T3052">
        <v>8.5263195485118608</v>
      </c>
      <c r="U3052">
        <v>6.370559311729</v>
      </c>
      <c r="V3052" s="2">
        <v>6.8378617207493398E-7</v>
      </c>
      <c r="W3052" s="2">
        <v>3.5352944721137402E-5</v>
      </c>
      <c r="X3052">
        <v>1</v>
      </c>
      <c r="Y3052">
        <v>1</v>
      </c>
    </row>
    <row r="3053" spans="1:25" x14ac:dyDescent="0.2">
      <c r="A3053" t="s">
        <v>11311</v>
      </c>
      <c r="B3053" t="s">
        <v>11312</v>
      </c>
      <c r="C3053" t="s">
        <v>11313</v>
      </c>
      <c r="D3053" t="s">
        <v>11314</v>
      </c>
      <c r="E3053" t="s">
        <v>11312</v>
      </c>
      <c r="F3053" t="s">
        <v>28</v>
      </c>
      <c r="G3053" t="s">
        <v>11312</v>
      </c>
      <c r="H3053" t="str">
        <f>"cav-1"</f>
        <v>cav-1</v>
      </c>
      <c r="I3053" t="s">
        <v>11314</v>
      </c>
      <c r="J3053">
        <v>12.2340365482001</v>
      </c>
      <c r="K3053">
        <v>13.376186423719901</v>
      </c>
      <c r="L3053">
        <v>13.282381936913801</v>
      </c>
      <c r="M3053" t="s">
        <v>29</v>
      </c>
      <c r="N3053">
        <v>13.7645981678615</v>
      </c>
      <c r="O3053">
        <v>14.115260389026799</v>
      </c>
      <c r="P3053">
        <v>0.97572764216624597</v>
      </c>
      <c r="Q3053">
        <v>3.3774758915775201E-2</v>
      </c>
      <c r="R3053">
        <v>1.91768052541672</v>
      </c>
      <c r="S3053">
        <v>13.793177380777699</v>
      </c>
      <c r="T3053">
        <v>2.1864998001520402</v>
      </c>
      <c r="U3053">
        <v>-4.8347762847366198</v>
      </c>
      <c r="V3053">
        <v>4.31440663660701E-2</v>
      </c>
      <c r="W3053">
        <v>0.122964761683567</v>
      </c>
      <c r="X3053">
        <v>0</v>
      </c>
      <c r="Y3053">
        <v>0</v>
      </c>
    </row>
    <row r="3054" spans="1:25" x14ac:dyDescent="0.2">
      <c r="A3054" t="s">
        <v>11315</v>
      </c>
      <c r="B3054" t="s">
        <v>11316</v>
      </c>
      <c r="C3054" t="s">
        <v>11317</v>
      </c>
      <c r="D3054" t="s">
        <v>11318</v>
      </c>
      <c r="E3054" t="s">
        <v>11316</v>
      </c>
      <c r="F3054" t="s">
        <v>28</v>
      </c>
      <c r="G3054" t="s">
        <v>11316</v>
      </c>
      <c r="H3054" t="str">
        <f>"msp-78"</f>
        <v>msp-78</v>
      </c>
      <c r="I3054" t="s">
        <v>11318</v>
      </c>
      <c r="J3054">
        <v>16.298217837373102</v>
      </c>
      <c r="K3054">
        <v>15.5652355313113</v>
      </c>
      <c r="L3054">
        <v>15.917336426961199</v>
      </c>
      <c r="M3054">
        <v>14.5924976227841</v>
      </c>
      <c r="N3054">
        <v>15.4660886281732</v>
      </c>
      <c r="O3054">
        <v>15.226083949681801</v>
      </c>
      <c r="P3054">
        <v>-0.83203986500218197</v>
      </c>
      <c r="Q3054">
        <v>-1.50396580647908</v>
      </c>
      <c r="R3054">
        <v>-0.160113923525285</v>
      </c>
      <c r="S3054">
        <v>15.1865162585724</v>
      </c>
      <c r="T3054">
        <v>-2.6026468278483699</v>
      </c>
      <c r="U3054">
        <v>-4.1447920001740197</v>
      </c>
      <c r="V3054">
        <v>1.8056369466593902E-2</v>
      </c>
      <c r="W3054">
        <v>6.8749510100842598E-2</v>
      </c>
      <c r="X3054">
        <v>0</v>
      </c>
      <c r="Y3054">
        <v>0</v>
      </c>
    </row>
    <row r="3055" spans="1:25" x14ac:dyDescent="0.2">
      <c r="A3055" t="s">
        <v>11319</v>
      </c>
      <c r="B3055" t="s">
        <v>11320</v>
      </c>
      <c r="C3055" t="s">
        <v>11321</v>
      </c>
      <c r="D3055" t="s">
        <v>11322</v>
      </c>
      <c r="E3055" t="s">
        <v>11320</v>
      </c>
      <c r="F3055" t="s">
        <v>28</v>
      </c>
      <c r="G3055" t="s">
        <v>11320</v>
      </c>
      <c r="H3055" t="str">
        <f>"hlb-1"</f>
        <v>hlb-1</v>
      </c>
      <c r="I3055" t="s">
        <v>11322</v>
      </c>
      <c r="J3055" t="s">
        <v>29</v>
      </c>
      <c r="K3055" t="s">
        <v>29</v>
      </c>
      <c r="L3055" t="s">
        <v>29</v>
      </c>
      <c r="M3055" t="s">
        <v>29</v>
      </c>
      <c r="N3055" t="s">
        <v>29</v>
      </c>
      <c r="O3055" t="s">
        <v>29</v>
      </c>
      <c r="P3055" t="s">
        <v>29</v>
      </c>
      <c r="Q3055" t="s">
        <v>29</v>
      </c>
      <c r="R3055" t="s">
        <v>29</v>
      </c>
      <c r="S3055">
        <v>11.482725949841999</v>
      </c>
      <c r="T3055" t="s">
        <v>29</v>
      </c>
      <c r="U3055" t="s">
        <v>29</v>
      </c>
      <c r="V3055" t="s">
        <v>29</v>
      </c>
      <c r="W3055" t="s">
        <v>29</v>
      </c>
      <c r="X3055" t="s">
        <v>29</v>
      </c>
      <c r="Y3055" t="s">
        <v>29</v>
      </c>
    </row>
    <row r="3056" spans="1:25" x14ac:dyDescent="0.2">
      <c r="A3056" t="s">
        <v>11323</v>
      </c>
      <c r="B3056" t="s">
        <v>11324</v>
      </c>
      <c r="C3056" t="s">
        <v>11325</v>
      </c>
      <c r="D3056" t="s">
        <v>11326</v>
      </c>
      <c r="E3056" t="s">
        <v>11324</v>
      </c>
      <c r="F3056" t="s">
        <v>28</v>
      </c>
      <c r="G3056" t="s">
        <v>11324</v>
      </c>
      <c r="H3056" t="str">
        <f>"age-1"</f>
        <v>age-1</v>
      </c>
      <c r="I3056" t="s">
        <v>11326</v>
      </c>
      <c r="J3056">
        <v>12.3381545919998</v>
      </c>
      <c r="K3056">
        <v>13.109984872688701</v>
      </c>
      <c r="L3056">
        <v>11.9714448230402</v>
      </c>
      <c r="M3056" t="s">
        <v>29</v>
      </c>
      <c r="N3056" t="s">
        <v>29</v>
      </c>
      <c r="O3056">
        <v>12.7112270525255</v>
      </c>
      <c r="P3056">
        <v>0.23803228994922199</v>
      </c>
      <c r="Q3056">
        <v>-0.59691585181603701</v>
      </c>
      <c r="R3056">
        <v>1.07298043171448</v>
      </c>
      <c r="S3056">
        <v>12.2878016675875</v>
      </c>
      <c r="T3056">
        <v>0.60468041435403797</v>
      </c>
      <c r="U3056">
        <v>-6.6228840812840399</v>
      </c>
      <c r="V3056">
        <v>0.55392595448766502</v>
      </c>
      <c r="W3056">
        <v>0.69783251028012605</v>
      </c>
      <c r="X3056">
        <v>0</v>
      </c>
      <c r="Y3056">
        <v>0</v>
      </c>
    </row>
    <row r="3057" spans="1:25" x14ac:dyDescent="0.2">
      <c r="A3057" t="s">
        <v>11327</v>
      </c>
      <c r="B3057" t="s">
        <v>11328</v>
      </c>
      <c r="C3057" t="s">
        <v>11329</v>
      </c>
      <c r="D3057" t="s">
        <v>11330</v>
      </c>
      <c r="E3057" t="s">
        <v>11328</v>
      </c>
      <c r="F3057" t="s">
        <v>28</v>
      </c>
      <c r="G3057" t="s">
        <v>11328</v>
      </c>
      <c r="H3057" t="str">
        <f>"pie-1"</f>
        <v>pie-1</v>
      </c>
      <c r="I3057" t="s">
        <v>11330</v>
      </c>
      <c r="J3057" t="s">
        <v>29</v>
      </c>
      <c r="K3057" t="s">
        <v>29</v>
      </c>
      <c r="L3057">
        <v>11.788634519929801</v>
      </c>
      <c r="M3057" t="s">
        <v>29</v>
      </c>
      <c r="N3057" t="s">
        <v>29</v>
      </c>
      <c r="O3057" t="s">
        <v>29</v>
      </c>
      <c r="P3057" t="s">
        <v>29</v>
      </c>
      <c r="Q3057" t="s">
        <v>29</v>
      </c>
      <c r="R3057" t="s">
        <v>29</v>
      </c>
      <c r="S3057">
        <v>13.2735284670082</v>
      </c>
      <c r="T3057" t="s">
        <v>29</v>
      </c>
      <c r="U3057" t="s">
        <v>29</v>
      </c>
      <c r="V3057" t="s">
        <v>29</v>
      </c>
      <c r="W3057" t="s">
        <v>29</v>
      </c>
      <c r="X3057" t="s">
        <v>29</v>
      </c>
      <c r="Y3057" t="s">
        <v>29</v>
      </c>
    </row>
    <row r="3058" spans="1:25" x14ac:dyDescent="0.2">
      <c r="A3058" t="s">
        <v>11331</v>
      </c>
      <c r="B3058" t="s">
        <v>11332</v>
      </c>
      <c r="C3058" t="s">
        <v>11333</v>
      </c>
      <c r="D3058" t="s">
        <v>11334</v>
      </c>
      <c r="E3058" t="s">
        <v>11332</v>
      </c>
      <c r="F3058" t="s">
        <v>28</v>
      </c>
      <c r="G3058" t="s">
        <v>11332</v>
      </c>
      <c r="H3058" t="str">
        <f>"rab-10"</f>
        <v>rab-10</v>
      </c>
      <c r="I3058" t="s">
        <v>11334</v>
      </c>
      <c r="J3058">
        <v>15.2322999884508</v>
      </c>
      <c r="K3058">
        <v>14.942052524662801</v>
      </c>
      <c r="L3058">
        <v>14.2360087181821</v>
      </c>
      <c r="M3058" t="s">
        <v>29</v>
      </c>
      <c r="N3058">
        <v>13.365623896255199</v>
      </c>
      <c r="O3058">
        <v>14.551273800406801</v>
      </c>
      <c r="P3058">
        <v>-0.84500489543426804</v>
      </c>
      <c r="Q3058">
        <v>-1.6227542216633</v>
      </c>
      <c r="R3058">
        <v>-6.7255569205234594E-2</v>
      </c>
      <c r="S3058">
        <v>14.1034184888381</v>
      </c>
      <c r="T3058">
        <v>-2.2933460652886399</v>
      </c>
      <c r="U3058">
        <v>-4.6412253700950501</v>
      </c>
      <c r="V3058">
        <v>3.4932143265566103E-2</v>
      </c>
      <c r="W3058">
        <v>0.108249238910224</v>
      </c>
      <c r="X3058">
        <v>0</v>
      </c>
      <c r="Y3058">
        <v>0</v>
      </c>
    </row>
    <row r="3059" spans="1:25" x14ac:dyDescent="0.2">
      <c r="A3059" t="s">
        <v>11335</v>
      </c>
      <c r="B3059" t="s">
        <v>11336</v>
      </c>
      <c r="C3059" t="s">
        <v>11337</v>
      </c>
      <c r="D3059" t="s">
        <v>11338</v>
      </c>
      <c r="E3059" t="s">
        <v>11336</v>
      </c>
      <c r="F3059" t="s">
        <v>28</v>
      </c>
      <c r="G3059" t="s">
        <v>11336</v>
      </c>
      <c r="H3059" t="str">
        <f>"paqr-1"</f>
        <v>paqr-1</v>
      </c>
      <c r="I3059" t="s">
        <v>11338</v>
      </c>
      <c r="J3059">
        <v>10.985375377654799</v>
      </c>
      <c r="K3059">
        <v>12.653857355268199</v>
      </c>
      <c r="L3059">
        <v>12.347408520007299</v>
      </c>
      <c r="M3059" t="s">
        <v>29</v>
      </c>
      <c r="N3059" t="s">
        <v>29</v>
      </c>
      <c r="O3059" t="s">
        <v>29</v>
      </c>
      <c r="P3059" t="s">
        <v>29</v>
      </c>
      <c r="Q3059" t="s">
        <v>29</v>
      </c>
      <c r="R3059" t="s">
        <v>29</v>
      </c>
      <c r="S3059">
        <v>12.725457395117401</v>
      </c>
      <c r="T3059" t="s">
        <v>29</v>
      </c>
      <c r="U3059" t="s">
        <v>29</v>
      </c>
      <c r="V3059" t="s">
        <v>29</v>
      </c>
      <c r="W3059" t="s">
        <v>29</v>
      </c>
      <c r="X3059" t="s">
        <v>29</v>
      </c>
      <c r="Y3059" t="s">
        <v>29</v>
      </c>
    </row>
    <row r="3060" spans="1:25" x14ac:dyDescent="0.2">
      <c r="A3060" t="s">
        <v>11339</v>
      </c>
      <c r="B3060" t="s">
        <v>11340</v>
      </c>
      <c r="C3060" t="s">
        <v>14607</v>
      </c>
      <c r="D3060" t="s">
        <v>11341</v>
      </c>
      <c r="E3060" t="s">
        <v>11340</v>
      </c>
      <c r="F3060" t="s">
        <v>28</v>
      </c>
      <c r="G3060" t="s">
        <v>11340</v>
      </c>
      <c r="H3060" t="str">
        <f>"F16F9.4"</f>
        <v>F16F9.4</v>
      </c>
      <c r="I3060" t="s">
        <v>11341</v>
      </c>
      <c r="J3060">
        <v>12.054219994918499</v>
      </c>
      <c r="K3060">
        <v>12.2122733584971</v>
      </c>
      <c r="L3060">
        <v>11.115811521612001</v>
      </c>
      <c r="M3060" t="s">
        <v>29</v>
      </c>
      <c r="N3060">
        <v>11.2790238270813</v>
      </c>
      <c r="O3060">
        <v>11.2253666262586</v>
      </c>
      <c r="P3060">
        <v>-0.54190639833927001</v>
      </c>
      <c r="Q3060">
        <v>-1.1419829523606699</v>
      </c>
      <c r="R3060">
        <v>5.8170155682126003E-2</v>
      </c>
      <c r="S3060">
        <v>11.666292185313999</v>
      </c>
      <c r="T3060">
        <v>-1.9260130531631601</v>
      </c>
      <c r="U3060">
        <v>-5.2928299043192801</v>
      </c>
      <c r="V3060">
        <v>7.3407605567961401E-2</v>
      </c>
      <c r="W3060">
        <v>0.177176260121853</v>
      </c>
      <c r="X3060">
        <v>0</v>
      </c>
      <c r="Y3060">
        <v>0</v>
      </c>
    </row>
    <row r="3061" spans="1:25" x14ac:dyDescent="0.2">
      <c r="A3061" t="s">
        <v>11342</v>
      </c>
      <c r="B3061" t="s">
        <v>11343</v>
      </c>
      <c r="C3061" t="s">
        <v>11344</v>
      </c>
      <c r="D3061" t="s">
        <v>11345</v>
      </c>
      <c r="E3061" t="s">
        <v>11343</v>
      </c>
      <c r="F3061" t="s">
        <v>28</v>
      </c>
      <c r="G3061" t="s">
        <v>11343</v>
      </c>
      <c r="H3061" t="str">
        <f>"dnj-11"</f>
        <v>dnj-11</v>
      </c>
      <c r="I3061" t="s">
        <v>11345</v>
      </c>
      <c r="J3061">
        <v>14.636660119851401</v>
      </c>
      <c r="K3061">
        <v>14.6274296761828</v>
      </c>
      <c r="L3061">
        <v>14.4428866773307</v>
      </c>
      <c r="M3061">
        <v>16.656514665190699</v>
      </c>
      <c r="N3061">
        <v>17.533711173062802</v>
      </c>
      <c r="O3061">
        <v>17.9918279114097</v>
      </c>
      <c r="P3061">
        <v>2.8250257587660901</v>
      </c>
      <c r="Q3061">
        <v>2.22334876215201</v>
      </c>
      <c r="R3061">
        <v>3.4267027553801701</v>
      </c>
      <c r="S3061">
        <v>16.404356366779801</v>
      </c>
      <c r="T3061">
        <v>9.8685084526397002</v>
      </c>
      <c r="U3061">
        <v>10.141474207015101</v>
      </c>
      <c r="V3061" s="2">
        <v>1.1571344522805501E-8</v>
      </c>
      <c r="W3061" s="2">
        <v>1.31156739648876E-6</v>
      </c>
      <c r="X3061">
        <v>1</v>
      </c>
      <c r="Y3061">
        <v>1</v>
      </c>
    </row>
    <row r="3062" spans="1:25" x14ac:dyDescent="0.2">
      <c r="A3062" t="s">
        <v>11346</v>
      </c>
      <c r="B3062" t="s">
        <v>11347</v>
      </c>
      <c r="C3062" t="s">
        <v>11348</v>
      </c>
      <c r="D3062" t="s">
        <v>11349</v>
      </c>
      <c r="E3062" t="s">
        <v>11347</v>
      </c>
      <c r="F3062" t="s">
        <v>28</v>
      </c>
      <c r="G3062" t="s">
        <v>11347</v>
      </c>
      <c r="H3062" t="str">
        <f>"odr-8"</f>
        <v>odr-8</v>
      </c>
      <c r="I3062" t="s">
        <v>11349</v>
      </c>
      <c r="J3062">
        <v>14.3922318318986</v>
      </c>
      <c r="K3062">
        <v>14.289820558726801</v>
      </c>
      <c r="L3062">
        <v>13.9668056053083</v>
      </c>
      <c r="M3062">
        <v>14.886442027026201</v>
      </c>
      <c r="N3062">
        <v>14.4875625911429</v>
      </c>
      <c r="O3062">
        <v>14.2812185964356</v>
      </c>
      <c r="P3062">
        <v>0.33545507289034898</v>
      </c>
      <c r="Q3062">
        <v>-0.16644063493973399</v>
      </c>
      <c r="R3062">
        <v>0.83735078072043301</v>
      </c>
      <c r="S3062">
        <v>14.2937310153214</v>
      </c>
      <c r="T3062">
        <v>1.4047964314591901</v>
      </c>
      <c r="U3062">
        <v>-6.17419107786551</v>
      </c>
      <c r="V3062">
        <v>0.17720271120438699</v>
      </c>
      <c r="W3062">
        <v>0.33039227526259701</v>
      </c>
      <c r="X3062">
        <v>0</v>
      </c>
      <c r="Y3062">
        <v>0</v>
      </c>
    </row>
    <row r="3063" spans="1:25" x14ac:dyDescent="0.2">
      <c r="A3063" t="s">
        <v>11350</v>
      </c>
      <c r="B3063" t="s">
        <v>11351</v>
      </c>
      <c r="C3063" t="s">
        <v>11352</v>
      </c>
      <c r="D3063" t="s">
        <v>11353</v>
      </c>
      <c r="E3063" t="s">
        <v>11351</v>
      </c>
      <c r="F3063" t="s">
        <v>28</v>
      </c>
      <c r="G3063" t="s">
        <v>11351</v>
      </c>
      <c r="H3063" t="str">
        <f>"plp-1"</f>
        <v>plp-1</v>
      </c>
      <c r="I3063" t="s">
        <v>11353</v>
      </c>
      <c r="J3063">
        <v>16.239386720570799</v>
      </c>
      <c r="K3063">
        <v>16.221145181528801</v>
      </c>
      <c r="L3063">
        <v>16.191816656289301</v>
      </c>
      <c r="M3063">
        <v>16.2591905624665</v>
      </c>
      <c r="N3063">
        <v>15.9682596730461</v>
      </c>
      <c r="O3063">
        <v>16.110645196155801</v>
      </c>
      <c r="P3063">
        <v>-0.10475104224016001</v>
      </c>
      <c r="Q3063">
        <v>-0.52909699847997604</v>
      </c>
      <c r="R3063">
        <v>0.31959491399965601</v>
      </c>
      <c r="S3063">
        <v>15.7043545667453</v>
      </c>
      <c r="T3063">
        <v>-0.51883683086999999</v>
      </c>
      <c r="U3063">
        <v>-7.0160904385693303</v>
      </c>
      <c r="V3063">
        <v>0.61023145596569905</v>
      </c>
      <c r="W3063">
        <v>0.74097737978200096</v>
      </c>
      <c r="X3063">
        <v>0</v>
      </c>
      <c r="Y3063">
        <v>0</v>
      </c>
    </row>
    <row r="3064" spans="1:25" x14ac:dyDescent="0.2">
      <c r="A3064" t="s">
        <v>11354</v>
      </c>
      <c r="B3064" t="s">
        <v>11355</v>
      </c>
      <c r="C3064" t="s">
        <v>11356</v>
      </c>
      <c r="D3064" t="s">
        <v>953</v>
      </c>
      <c r="E3064" t="s">
        <v>11355</v>
      </c>
      <c r="F3064" t="s">
        <v>28</v>
      </c>
      <c r="G3064" t="s">
        <v>11355</v>
      </c>
      <c r="H3064" t="str">
        <f>"stau-1"</f>
        <v>stau-1</v>
      </c>
      <c r="I3064" t="s">
        <v>953</v>
      </c>
      <c r="J3064">
        <v>12.068550995486699</v>
      </c>
      <c r="K3064">
        <v>12.546788140689401</v>
      </c>
      <c r="L3064">
        <v>11.8965991638132</v>
      </c>
      <c r="M3064" t="s">
        <v>29</v>
      </c>
      <c r="N3064" t="s">
        <v>29</v>
      </c>
      <c r="O3064">
        <v>12.8658021245793</v>
      </c>
      <c r="P3064">
        <v>0.69515602458284897</v>
      </c>
      <c r="Q3064">
        <v>2.7486121273791998E-2</v>
      </c>
      <c r="R3064">
        <v>1.3628259278919099</v>
      </c>
      <c r="S3064">
        <v>12.4775444241107</v>
      </c>
      <c r="T3064">
        <v>2.2083607560582701</v>
      </c>
      <c r="U3064">
        <v>-4.5828615266814596</v>
      </c>
      <c r="V3064">
        <v>4.2260006294408403E-2</v>
      </c>
      <c r="W3064">
        <v>0.12114809197434</v>
      </c>
      <c r="X3064">
        <v>0</v>
      </c>
      <c r="Y3064">
        <v>0</v>
      </c>
    </row>
    <row r="3065" spans="1:25" x14ac:dyDescent="0.2">
      <c r="A3065" t="s">
        <v>11357</v>
      </c>
      <c r="B3065" t="s">
        <v>11358</v>
      </c>
      <c r="C3065" t="s">
        <v>11359</v>
      </c>
      <c r="D3065" t="s">
        <v>11360</v>
      </c>
      <c r="E3065" t="s">
        <v>11358</v>
      </c>
      <c r="F3065" t="s">
        <v>28</v>
      </c>
      <c r="G3065" t="s">
        <v>11358</v>
      </c>
      <c r="H3065" t="str">
        <f>"sec-22"</f>
        <v>sec-22</v>
      </c>
      <c r="I3065" t="s">
        <v>11360</v>
      </c>
      <c r="J3065">
        <v>13.1028874130433</v>
      </c>
      <c r="K3065">
        <v>12.526729907678</v>
      </c>
      <c r="L3065">
        <v>12.695573712330599</v>
      </c>
      <c r="M3065" t="s">
        <v>29</v>
      </c>
      <c r="N3065">
        <v>12.5480664294024</v>
      </c>
      <c r="O3065">
        <v>13.3724824107094</v>
      </c>
      <c r="P3065">
        <v>0.18521074237190799</v>
      </c>
      <c r="Q3065">
        <v>-0.65040747627498996</v>
      </c>
      <c r="R3065">
        <v>1.0208289610187999</v>
      </c>
      <c r="S3065">
        <v>12.645536345985301</v>
      </c>
      <c r="T3065">
        <v>0.46785177930412403</v>
      </c>
      <c r="U3065">
        <v>-6.9311616074861897</v>
      </c>
      <c r="V3065">
        <v>0.64586896484940304</v>
      </c>
      <c r="W3065">
        <v>0.765022443493244</v>
      </c>
      <c r="X3065">
        <v>0</v>
      </c>
      <c r="Y3065">
        <v>0</v>
      </c>
    </row>
    <row r="3066" spans="1:25" x14ac:dyDescent="0.2">
      <c r="A3066" t="s">
        <v>11361</v>
      </c>
      <c r="B3066" t="s">
        <v>11362</v>
      </c>
      <c r="C3066" t="s">
        <v>11363</v>
      </c>
      <c r="D3066" t="s">
        <v>11364</v>
      </c>
      <c r="E3066" t="s">
        <v>11362</v>
      </c>
      <c r="F3066" t="s">
        <v>28</v>
      </c>
      <c r="G3066" t="s">
        <v>11362</v>
      </c>
      <c r="H3066" t="str">
        <f>"dre-1"</f>
        <v>dre-1</v>
      </c>
      <c r="I3066" t="s">
        <v>11364</v>
      </c>
      <c r="J3066">
        <v>10.2291535805827</v>
      </c>
      <c r="K3066">
        <v>11.268246515286799</v>
      </c>
      <c r="L3066">
        <v>11.5083030993235</v>
      </c>
      <c r="M3066" t="s">
        <v>29</v>
      </c>
      <c r="N3066" t="s">
        <v>29</v>
      </c>
      <c r="O3066">
        <v>10.7198392598817</v>
      </c>
      <c r="P3066">
        <v>-0.28206180518268897</v>
      </c>
      <c r="Q3066">
        <v>-1.45316896280361</v>
      </c>
      <c r="R3066">
        <v>0.88904535243822702</v>
      </c>
      <c r="S3066">
        <v>11.3669423606399</v>
      </c>
      <c r="T3066">
        <v>-0.51367597220042205</v>
      </c>
      <c r="U3066">
        <v>-6.6748128097413497</v>
      </c>
      <c r="V3066">
        <v>0.61501380051612997</v>
      </c>
      <c r="W3066">
        <v>0.74341495903241805</v>
      </c>
      <c r="X3066">
        <v>0</v>
      </c>
      <c r="Y3066">
        <v>0</v>
      </c>
    </row>
    <row r="3067" spans="1:25" x14ac:dyDescent="0.2">
      <c r="A3067" t="s">
        <v>11365</v>
      </c>
      <c r="B3067" t="s">
        <v>11366</v>
      </c>
      <c r="C3067" t="s">
        <v>11367</v>
      </c>
      <c r="D3067" t="s">
        <v>11368</v>
      </c>
      <c r="E3067" t="s">
        <v>11366</v>
      </c>
      <c r="F3067" t="s">
        <v>28</v>
      </c>
      <c r="G3067" t="s">
        <v>11366</v>
      </c>
      <c r="H3067" t="str">
        <f>"cif-1"</f>
        <v>cif-1</v>
      </c>
      <c r="I3067" t="s">
        <v>11368</v>
      </c>
      <c r="J3067">
        <v>13.6913628832295</v>
      </c>
      <c r="K3067">
        <v>13.3748752596773</v>
      </c>
      <c r="L3067">
        <v>13.799859062680399</v>
      </c>
      <c r="M3067">
        <v>12.837107980914899</v>
      </c>
      <c r="N3067">
        <v>13.477565095309901</v>
      </c>
      <c r="O3067">
        <v>13.675011693742</v>
      </c>
      <c r="P3067">
        <v>-0.292137478540138</v>
      </c>
      <c r="Q3067">
        <v>-0.85795618220473302</v>
      </c>
      <c r="R3067">
        <v>0.27368122512445803</v>
      </c>
      <c r="S3067">
        <v>13.700686787397199</v>
      </c>
      <c r="T3067">
        <v>-1.0851817721902399</v>
      </c>
      <c r="U3067">
        <v>-6.5578959021054901</v>
      </c>
      <c r="V3067">
        <v>0.29224462614208302</v>
      </c>
      <c r="W3067">
        <v>0.460558777134074</v>
      </c>
      <c r="X3067">
        <v>0</v>
      </c>
      <c r="Y3067">
        <v>0</v>
      </c>
    </row>
    <row r="3068" spans="1:25" x14ac:dyDescent="0.2">
      <c r="A3068" t="s">
        <v>11369</v>
      </c>
      <c r="B3068" t="s">
        <v>11370</v>
      </c>
      <c r="C3068" t="s">
        <v>11371</v>
      </c>
      <c r="D3068" t="s">
        <v>11372</v>
      </c>
      <c r="E3068" t="s">
        <v>11370</v>
      </c>
      <c r="F3068" t="s">
        <v>28</v>
      </c>
      <c r="G3068" t="s">
        <v>11370</v>
      </c>
      <c r="H3068" t="str">
        <f>"fah-1"</f>
        <v>fah-1</v>
      </c>
      <c r="I3068" t="s">
        <v>11372</v>
      </c>
      <c r="J3068" t="s">
        <v>29</v>
      </c>
      <c r="K3068">
        <v>10.947054000479399</v>
      </c>
      <c r="L3068" t="s">
        <v>29</v>
      </c>
      <c r="M3068">
        <v>14.4699206038465</v>
      </c>
      <c r="N3068">
        <v>14.7865618930691</v>
      </c>
      <c r="O3068">
        <v>15.019233681763</v>
      </c>
      <c r="P3068">
        <v>3.8115180590801701</v>
      </c>
      <c r="Q3068">
        <v>2.9652277492894998</v>
      </c>
      <c r="R3068">
        <v>4.6578083688708398</v>
      </c>
      <c r="S3068">
        <v>12.8575067535954</v>
      </c>
      <c r="T3068">
        <v>9.5527440893334195</v>
      </c>
      <c r="U3068">
        <v>8.7509185779074699</v>
      </c>
      <c r="V3068" s="2">
        <v>5.4809187306865903E-8</v>
      </c>
      <c r="W3068" s="2">
        <v>4.2505967103508899E-6</v>
      </c>
      <c r="X3068">
        <v>1</v>
      </c>
      <c r="Y3068">
        <v>1</v>
      </c>
    </row>
    <row r="3069" spans="1:25" x14ac:dyDescent="0.2">
      <c r="A3069" t="s">
        <v>11373</v>
      </c>
      <c r="B3069" t="s">
        <v>11374</v>
      </c>
      <c r="C3069" t="s">
        <v>14608</v>
      </c>
      <c r="D3069" t="s">
        <v>3182</v>
      </c>
      <c r="E3069" t="s">
        <v>11374</v>
      </c>
      <c r="F3069" t="s">
        <v>28</v>
      </c>
      <c r="G3069" t="s">
        <v>11374</v>
      </c>
      <c r="H3069" t="str">
        <f>"M02B7.2"</f>
        <v>M02B7.2</v>
      </c>
      <c r="I3069" t="s">
        <v>3182</v>
      </c>
      <c r="J3069" t="s">
        <v>29</v>
      </c>
      <c r="K3069" t="s">
        <v>29</v>
      </c>
      <c r="L3069" t="s">
        <v>29</v>
      </c>
      <c r="M3069" t="s">
        <v>29</v>
      </c>
      <c r="N3069" t="s">
        <v>29</v>
      </c>
      <c r="O3069" t="s">
        <v>29</v>
      </c>
      <c r="P3069" t="s">
        <v>29</v>
      </c>
      <c r="Q3069" t="s">
        <v>29</v>
      </c>
      <c r="R3069" t="s">
        <v>29</v>
      </c>
      <c r="S3069">
        <v>11.320958372426601</v>
      </c>
      <c r="T3069" t="s">
        <v>29</v>
      </c>
      <c r="U3069" t="s">
        <v>29</v>
      </c>
      <c r="V3069" t="s">
        <v>29</v>
      </c>
      <c r="W3069" t="s">
        <v>29</v>
      </c>
      <c r="X3069" t="s">
        <v>29</v>
      </c>
      <c r="Y3069" t="s">
        <v>29</v>
      </c>
    </row>
    <row r="3070" spans="1:25" x14ac:dyDescent="0.2">
      <c r="A3070" t="s">
        <v>11375</v>
      </c>
      <c r="B3070" t="s">
        <v>11376</v>
      </c>
      <c r="C3070" t="s">
        <v>11377</v>
      </c>
      <c r="D3070" t="s">
        <v>1873</v>
      </c>
      <c r="E3070" t="s">
        <v>11376</v>
      </c>
      <c r="F3070" t="s">
        <v>28</v>
      </c>
      <c r="G3070" t="s">
        <v>11376</v>
      </c>
      <c r="H3070" t="str">
        <f>"bris-1"</f>
        <v>bris-1</v>
      </c>
      <c r="I3070" t="s">
        <v>1873</v>
      </c>
      <c r="J3070" t="s">
        <v>29</v>
      </c>
      <c r="K3070" t="s">
        <v>29</v>
      </c>
      <c r="L3070">
        <v>10.4042656994563</v>
      </c>
      <c r="M3070" t="s">
        <v>29</v>
      </c>
      <c r="N3070" t="s">
        <v>29</v>
      </c>
      <c r="O3070" t="s">
        <v>29</v>
      </c>
      <c r="P3070" t="s">
        <v>29</v>
      </c>
      <c r="Q3070" t="s">
        <v>29</v>
      </c>
      <c r="R3070" t="s">
        <v>29</v>
      </c>
      <c r="S3070">
        <v>11.407623605925201</v>
      </c>
      <c r="T3070" t="s">
        <v>29</v>
      </c>
      <c r="U3070" t="s">
        <v>29</v>
      </c>
      <c r="V3070" t="s">
        <v>29</v>
      </c>
      <c r="W3070" t="s">
        <v>29</v>
      </c>
      <c r="X3070" t="s">
        <v>29</v>
      </c>
      <c r="Y3070" t="s">
        <v>29</v>
      </c>
    </row>
    <row r="3071" spans="1:25" x14ac:dyDescent="0.2">
      <c r="A3071" t="s">
        <v>11378</v>
      </c>
      <c r="B3071" t="s">
        <v>11379</v>
      </c>
      <c r="C3071" t="s">
        <v>11380</v>
      </c>
      <c r="D3071" t="s">
        <v>11381</v>
      </c>
      <c r="E3071" t="s">
        <v>11379</v>
      </c>
      <c r="F3071" t="s">
        <v>28</v>
      </c>
      <c r="G3071" t="s">
        <v>11379</v>
      </c>
      <c r="H3071" t="str">
        <f>"rpl-11.1"</f>
        <v>rpl-11.1</v>
      </c>
      <c r="I3071" t="s">
        <v>11381</v>
      </c>
      <c r="J3071">
        <v>15.791984052832801</v>
      </c>
      <c r="K3071">
        <v>15.574453590026501</v>
      </c>
      <c r="L3071">
        <v>16.135320133773298</v>
      </c>
      <c r="M3071" t="s">
        <v>29</v>
      </c>
      <c r="N3071">
        <v>15.311794252280899</v>
      </c>
      <c r="O3071">
        <v>15.339960651519901</v>
      </c>
      <c r="P3071">
        <v>-0.50804180697714696</v>
      </c>
      <c r="Q3071">
        <v>-1.0658624304767701</v>
      </c>
      <c r="R3071">
        <v>4.9778816522480798E-2</v>
      </c>
      <c r="S3071">
        <v>15.828244438986401</v>
      </c>
      <c r="T3071">
        <v>-1.9224493144502599</v>
      </c>
      <c r="U3071">
        <v>-5.28996868540011</v>
      </c>
      <c r="V3071">
        <v>7.1575705245615504E-2</v>
      </c>
      <c r="W3071">
        <v>0.17403762653368701</v>
      </c>
      <c r="X3071">
        <v>0</v>
      </c>
      <c r="Y3071">
        <v>0</v>
      </c>
    </row>
    <row r="3072" spans="1:25" x14ac:dyDescent="0.2">
      <c r="A3072" t="s">
        <v>11382</v>
      </c>
      <c r="B3072" t="s">
        <v>11383</v>
      </c>
      <c r="C3072" t="s">
        <v>14609</v>
      </c>
      <c r="D3072" t="s">
        <v>11384</v>
      </c>
      <c r="E3072" t="s">
        <v>11383</v>
      </c>
      <c r="F3072" t="s">
        <v>28</v>
      </c>
      <c r="G3072" t="s">
        <v>11383</v>
      </c>
      <c r="H3072" t="str">
        <f>"ZK154.5"</f>
        <v>ZK154.5</v>
      </c>
      <c r="I3072" t="s">
        <v>11384</v>
      </c>
      <c r="J3072" t="s">
        <v>29</v>
      </c>
      <c r="K3072" t="s">
        <v>29</v>
      </c>
      <c r="L3072" t="s">
        <v>29</v>
      </c>
      <c r="M3072" t="s">
        <v>29</v>
      </c>
      <c r="N3072" t="s">
        <v>29</v>
      </c>
      <c r="O3072" t="s">
        <v>29</v>
      </c>
      <c r="P3072" t="s">
        <v>29</v>
      </c>
      <c r="Q3072" t="s">
        <v>29</v>
      </c>
      <c r="R3072" t="s">
        <v>29</v>
      </c>
      <c r="S3072">
        <v>10.80321388932</v>
      </c>
      <c r="T3072" t="s">
        <v>29</v>
      </c>
      <c r="U3072" t="s">
        <v>29</v>
      </c>
      <c r="V3072" t="s">
        <v>29</v>
      </c>
      <c r="W3072" t="s">
        <v>29</v>
      </c>
      <c r="X3072" t="s">
        <v>29</v>
      </c>
      <c r="Y3072" t="s">
        <v>29</v>
      </c>
    </row>
    <row r="3073" spans="1:25" x14ac:dyDescent="0.2">
      <c r="A3073" t="s">
        <v>11385</v>
      </c>
      <c r="B3073" t="s">
        <v>11386</v>
      </c>
      <c r="C3073" t="s">
        <v>11387</v>
      </c>
      <c r="D3073" t="s">
        <v>11388</v>
      </c>
      <c r="E3073" t="s">
        <v>11386</v>
      </c>
      <c r="F3073" t="s">
        <v>28</v>
      </c>
      <c r="G3073" t="s">
        <v>11386</v>
      </c>
      <c r="H3073" t="str">
        <f>"nduf-7"</f>
        <v>nduf-7</v>
      </c>
      <c r="I3073" t="s">
        <v>11388</v>
      </c>
      <c r="J3073">
        <v>16.475774422365198</v>
      </c>
      <c r="K3073">
        <v>16.5026982585658</v>
      </c>
      <c r="L3073">
        <v>16.381772361778602</v>
      </c>
      <c r="M3073">
        <v>15.323001993376099</v>
      </c>
      <c r="N3073">
        <v>15.923144548985301</v>
      </c>
      <c r="O3073">
        <v>15.864182331518499</v>
      </c>
      <c r="P3073">
        <v>-0.74997205627657404</v>
      </c>
      <c r="Q3073">
        <v>-1.1705572118612899</v>
      </c>
      <c r="R3073">
        <v>-0.32938690069186299</v>
      </c>
      <c r="S3073">
        <v>16.116422327574899</v>
      </c>
      <c r="T3073">
        <v>-3.7478625477501</v>
      </c>
      <c r="U3073">
        <v>-1.7266772067779299</v>
      </c>
      <c r="V3073">
        <v>1.48555168722942E-3</v>
      </c>
      <c r="W3073">
        <v>1.21167219329117E-2</v>
      </c>
      <c r="X3073">
        <v>0</v>
      </c>
      <c r="Y3073">
        <v>0</v>
      </c>
    </row>
    <row r="3074" spans="1:25" x14ac:dyDescent="0.2">
      <c r="A3074" t="s">
        <v>11389</v>
      </c>
      <c r="B3074" t="s">
        <v>11390</v>
      </c>
      <c r="C3074" t="s">
        <v>11391</v>
      </c>
      <c r="D3074" t="s">
        <v>11392</v>
      </c>
      <c r="E3074" t="s">
        <v>11390</v>
      </c>
      <c r="F3074" t="s">
        <v>28</v>
      </c>
      <c r="G3074" t="s">
        <v>11390</v>
      </c>
      <c r="H3074" t="str">
        <f>"gei-17"</f>
        <v>gei-17</v>
      </c>
      <c r="I3074" t="s">
        <v>11392</v>
      </c>
      <c r="J3074" t="s">
        <v>29</v>
      </c>
      <c r="K3074" t="s">
        <v>29</v>
      </c>
      <c r="L3074" t="s">
        <v>29</v>
      </c>
      <c r="M3074" t="s">
        <v>29</v>
      </c>
      <c r="N3074" t="s">
        <v>29</v>
      </c>
      <c r="O3074" t="s">
        <v>29</v>
      </c>
      <c r="P3074" t="s">
        <v>29</v>
      </c>
      <c r="Q3074" t="s">
        <v>29</v>
      </c>
      <c r="R3074" t="s">
        <v>29</v>
      </c>
      <c r="S3074">
        <v>11.0367585001308</v>
      </c>
      <c r="T3074" t="s">
        <v>29</v>
      </c>
      <c r="U3074" t="s">
        <v>29</v>
      </c>
      <c r="V3074" t="s">
        <v>29</v>
      </c>
      <c r="W3074" t="s">
        <v>29</v>
      </c>
      <c r="X3074" t="s">
        <v>29</v>
      </c>
      <c r="Y3074" t="s">
        <v>29</v>
      </c>
    </row>
    <row r="3075" spans="1:25" x14ac:dyDescent="0.2">
      <c r="A3075" t="s">
        <v>11393</v>
      </c>
      <c r="B3075" t="s">
        <v>11394</v>
      </c>
      <c r="C3075" t="s">
        <v>11395</v>
      </c>
      <c r="D3075" t="s">
        <v>11396</v>
      </c>
      <c r="E3075" t="s">
        <v>11394</v>
      </c>
      <c r="F3075" t="s">
        <v>28</v>
      </c>
      <c r="G3075" t="s">
        <v>11394</v>
      </c>
      <c r="H3075" t="str">
        <f>"nsf-1"</f>
        <v>nsf-1</v>
      </c>
      <c r="I3075" t="s">
        <v>11396</v>
      </c>
      <c r="J3075">
        <v>14.6530982173976</v>
      </c>
      <c r="K3075">
        <v>14.603879974519</v>
      </c>
      <c r="L3075">
        <v>14.696087639423499</v>
      </c>
      <c r="M3075">
        <v>14.9842900281769</v>
      </c>
      <c r="N3075">
        <v>14.9860144775989</v>
      </c>
      <c r="O3075">
        <v>14.964108453547301</v>
      </c>
      <c r="P3075">
        <v>0.32711570932765399</v>
      </c>
      <c r="Q3075">
        <v>3.0161022520213601E-2</v>
      </c>
      <c r="R3075">
        <v>0.62407039613509396</v>
      </c>
      <c r="S3075">
        <v>14.6953101414845</v>
      </c>
      <c r="T3075">
        <v>2.3152811190083198</v>
      </c>
      <c r="U3075">
        <v>-4.6977110773190898</v>
      </c>
      <c r="V3075">
        <v>3.2677473923440697E-2</v>
      </c>
      <c r="W3075">
        <v>0.102995203906288</v>
      </c>
      <c r="X3075">
        <v>0</v>
      </c>
      <c r="Y3075">
        <v>0</v>
      </c>
    </row>
    <row r="3076" spans="1:25" x14ac:dyDescent="0.2">
      <c r="A3076" t="s">
        <v>11397</v>
      </c>
      <c r="B3076" t="s">
        <v>11398</v>
      </c>
      <c r="C3076" t="s">
        <v>11399</v>
      </c>
      <c r="D3076" t="s">
        <v>330</v>
      </c>
      <c r="E3076" t="s">
        <v>11398</v>
      </c>
      <c r="F3076" t="s">
        <v>28</v>
      </c>
      <c r="G3076" t="s">
        <v>11398</v>
      </c>
      <c r="H3076" t="str">
        <f>"nol-16"</f>
        <v>nol-16</v>
      </c>
      <c r="I3076" t="s">
        <v>330</v>
      </c>
      <c r="J3076">
        <v>11.7912039324383</v>
      </c>
      <c r="K3076" t="s">
        <v>29</v>
      </c>
      <c r="L3076">
        <v>11.955374366019001</v>
      </c>
      <c r="M3076" t="s">
        <v>29</v>
      </c>
      <c r="N3076" t="s">
        <v>29</v>
      </c>
      <c r="O3076">
        <v>12.094890679616899</v>
      </c>
      <c r="P3076">
        <v>0.22160153038825001</v>
      </c>
      <c r="Q3076">
        <v>-0.70532580874637496</v>
      </c>
      <c r="R3076">
        <v>1.1485288695228799</v>
      </c>
      <c r="S3076">
        <v>13.133492292196999</v>
      </c>
      <c r="T3076">
        <v>0.52140125988365404</v>
      </c>
      <c r="U3076">
        <v>-6.6108127772536198</v>
      </c>
      <c r="V3076">
        <v>0.61165743182670496</v>
      </c>
      <c r="W3076">
        <v>0.74169496954691905</v>
      </c>
      <c r="X3076">
        <v>0</v>
      </c>
      <c r="Y3076">
        <v>0</v>
      </c>
    </row>
    <row r="3077" spans="1:25" x14ac:dyDescent="0.2">
      <c r="A3077" t="s">
        <v>11400</v>
      </c>
      <c r="B3077" t="s">
        <v>11401</v>
      </c>
      <c r="C3077" t="s">
        <v>11402</v>
      </c>
      <c r="D3077" t="s">
        <v>11403</v>
      </c>
      <c r="E3077" t="s">
        <v>11401</v>
      </c>
      <c r="F3077" t="s">
        <v>28</v>
      </c>
      <c r="G3077" t="s">
        <v>11401</v>
      </c>
      <c r="H3077" t="str">
        <f>"trmt-6"</f>
        <v>trmt-6</v>
      </c>
      <c r="I3077" t="s">
        <v>11403</v>
      </c>
      <c r="J3077" t="s">
        <v>29</v>
      </c>
      <c r="K3077">
        <v>12.028336923436401</v>
      </c>
      <c r="L3077" t="s">
        <v>29</v>
      </c>
      <c r="M3077" t="s">
        <v>29</v>
      </c>
      <c r="N3077" t="s">
        <v>29</v>
      </c>
      <c r="O3077" t="s">
        <v>29</v>
      </c>
      <c r="P3077" t="s">
        <v>29</v>
      </c>
      <c r="Q3077" t="s">
        <v>29</v>
      </c>
      <c r="R3077" t="s">
        <v>29</v>
      </c>
      <c r="S3077">
        <v>11.0238331596434</v>
      </c>
      <c r="T3077" t="s">
        <v>29</v>
      </c>
      <c r="U3077" t="s">
        <v>29</v>
      </c>
      <c r="V3077" t="s">
        <v>29</v>
      </c>
      <c r="W3077" t="s">
        <v>29</v>
      </c>
      <c r="X3077" t="s">
        <v>29</v>
      </c>
      <c r="Y3077" t="s">
        <v>29</v>
      </c>
    </row>
    <row r="3078" spans="1:25" x14ac:dyDescent="0.2">
      <c r="A3078" t="s">
        <v>11404</v>
      </c>
      <c r="B3078" t="s">
        <v>11405</v>
      </c>
      <c r="C3078" t="s">
        <v>11406</v>
      </c>
      <c r="D3078" t="s">
        <v>11407</v>
      </c>
      <c r="E3078" t="s">
        <v>11405</v>
      </c>
      <c r="F3078" t="s">
        <v>28</v>
      </c>
      <c r="G3078" t="s">
        <v>11405</v>
      </c>
      <c r="H3078" t="str">
        <f>"mel-26"</f>
        <v>mel-26</v>
      </c>
      <c r="I3078" t="s">
        <v>11407</v>
      </c>
      <c r="J3078" t="s">
        <v>29</v>
      </c>
      <c r="K3078" t="s">
        <v>29</v>
      </c>
      <c r="L3078">
        <v>10.5354865375375</v>
      </c>
      <c r="M3078" t="s">
        <v>29</v>
      </c>
      <c r="N3078" t="s">
        <v>29</v>
      </c>
      <c r="O3078" t="s">
        <v>29</v>
      </c>
      <c r="P3078" t="s">
        <v>29</v>
      </c>
      <c r="Q3078" t="s">
        <v>29</v>
      </c>
      <c r="R3078" t="s">
        <v>29</v>
      </c>
      <c r="S3078">
        <v>10.698525830453301</v>
      </c>
      <c r="T3078" t="s">
        <v>29</v>
      </c>
      <c r="U3078" t="s">
        <v>29</v>
      </c>
      <c r="V3078" t="s">
        <v>29</v>
      </c>
      <c r="W3078" t="s">
        <v>29</v>
      </c>
      <c r="X3078" t="s">
        <v>29</v>
      </c>
      <c r="Y3078" t="s">
        <v>29</v>
      </c>
    </row>
    <row r="3079" spans="1:25" x14ac:dyDescent="0.2">
      <c r="A3079" t="s">
        <v>11408</v>
      </c>
      <c r="B3079" t="s">
        <v>11409</v>
      </c>
      <c r="C3079" t="s">
        <v>11410</v>
      </c>
      <c r="D3079" t="s">
        <v>11411</v>
      </c>
      <c r="E3079" t="s">
        <v>11409</v>
      </c>
      <c r="F3079" t="s">
        <v>28</v>
      </c>
      <c r="G3079" t="s">
        <v>11409</v>
      </c>
      <c r="H3079" t="str">
        <f>"rab-3"</f>
        <v>rab-3</v>
      </c>
      <c r="I3079" t="s">
        <v>11411</v>
      </c>
      <c r="J3079">
        <v>12.780367605147701</v>
      </c>
      <c r="K3079">
        <v>13.4510329052977</v>
      </c>
      <c r="L3079">
        <v>12.6672329811463</v>
      </c>
      <c r="M3079">
        <v>11.8374210527563</v>
      </c>
      <c r="N3079">
        <v>12.1006999664333</v>
      </c>
      <c r="O3079">
        <v>12.936864352894199</v>
      </c>
      <c r="P3079">
        <v>-0.67454937316931796</v>
      </c>
      <c r="Q3079">
        <v>-1.33431273647337</v>
      </c>
      <c r="R3079">
        <v>-1.4786009865271701E-2</v>
      </c>
      <c r="S3079">
        <v>12.436963376477401</v>
      </c>
      <c r="T3079">
        <v>-2.1489091778237901</v>
      </c>
      <c r="U3079">
        <v>-5.0020272070012304</v>
      </c>
      <c r="V3079">
        <v>4.5578896871825203E-2</v>
      </c>
      <c r="W3079">
        <v>0.12756031251782399</v>
      </c>
      <c r="X3079">
        <v>0</v>
      </c>
      <c r="Y3079">
        <v>0</v>
      </c>
    </row>
    <row r="3080" spans="1:25" x14ac:dyDescent="0.2">
      <c r="A3080" t="s">
        <v>11412</v>
      </c>
      <c r="B3080" t="s">
        <v>11413</v>
      </c>
      <c r="C3080" t="s">
        <v>11414</v>
      </c>
      <c r="D3080" t="s">
        <v>11415</v>
      </c>
      <c r="E3080" t="s">
        <v>11413</v>
      </c>
      <c r="F3080" t="s">
        <v>28</v>
      </c>
      <c r="G3080" t="s">
        <v>11413</v>
      </c>
      <c r="H3080" t="str">
        <f>"pas-4"</f>
        <v>pas-4</v>
      </c>
      <c r="I3080" t="s">
        <v>11415</v>
      </c>
      <c r="J3080">
        <v>13.291870267343899</v>
      </c>
      <c r="K3080">
        <v>13.061769951828101</v>
      </c>
      <c r="L3080">
        <v>13.1010923843975</v>
      </c>
      <c r="M3080" t="s">
        <v>29</v>
      </c>
      <c r="N3080" t="s">
        <v>29</v>
      </c>
      <c r="O3080">
        <v>13.0517111223533</v>
      </c>
      <c r="P3080">
        <v>-9.9866412169854299E-2</v>
      </c>
      <c r="Q3080">
        <v>-1.0240837879067399</v>
      </c>
      <c r="R3080">
        <v>0.82435096356703397</v>
      </c>
      <c r="S3080">
        <v>13.187632602123101</v>
      </c>
      <c r="T3080">
        <v>-0.22918956914321101</v>
      </c>
      <c r="U3080">
        <v>-6.7851612558654999</v>
      </c>
      <c r="V3080">
        <v>0.82164453307530105</v>
      </c>
      <c r="W3080">
        <v>0.88787321267388997</v>
      </c>
      <c r="X3080">
        <v>0</v>
      </c>
      <c r="Y3080">
        <v>0</v>
      </c>
    </row>
    <row r="3081" spans="1:25" x14ac:dyDescent="0.2">
      <c r="A3081" t="s">
        <v>11416</v>
      </c>
      <c r="B3081" t="s">
        <v>11417</v>
      </c>
      <c r="C3081" t="s">
        <v>11418</v>
      </c>
      <c r="D3081" t="s">
        <v>11419</v>
      </c>
      <c r="E3081" t="s">
        <v>11417</v>
      </c>
      <c r="F3081" t="s">
        <v>28</v>
      </c>
      <c r="G3081" t="s">
        <v>11417</v>
      </c>
      <c r="H3081" t="str">
        <f>"pas-5"</f>
        <v>pas-5</v>
      </c>
      <c r="I3081" t="s">
        <v>11419</v>
      </c>
      <c r="J3081">
        <v>13.7363431544733</v>
      </c>
      <c r="K3081">
        <v>13.3922966645043</v>
      </c>
      <c r="L3081">
        <v>13.856036394610101</v>
      </c>
      <c r="M3081">
        <v>13.2950897403051</v>
      </c>
      <c r="N3081">
        <v>12.118289213951</v>
      </c>
      <c r="O3081">
        <v>13.3496268953918</v>
      </c>
      <c r="P3081">
        <v>-0.74055678797992597</v>
      </c>
      <c r="Q3081">
        <v>-1.35795224844435</v>
      </c>
      <c r="R3081">
        <v>-0.123161327515503</v>
      </c>
      <c r="S3081">
        <v>13.497328236253299</v>
      </c>
      <c r="T3081">
        <v>-2.5210847669606902</v>
      </c>
      <c r="U3081">
        <v>-4.3048964544778903</v>
      </c>
      <c r="V3081">
        <v>2.1412522209558901E-2</v>
      </c>
      <c r="W3081">
        <v>7.6954515794597597E-2</v>
      </c>
      <c r="X3081">
        <v>0</v>
      </c>
      <c r="Y3081">
        <v>0</v>
      </c>
    </row>
    <row r="3082" spans="1:25" x14ac:dyDescent="0.2">
      <c r="A3082" t="s">
        <v>11420</v>
      </c>
      <c r="B3082" t="s">
        <v>11421</v>
      </c>
      <c r="C3082" t="s">
        <v>11422</v>
      </c>
      <c r="D3082" t="s">
        <v>581</v>
      </c>
      <c r="E3082" t="s">
        <v>11421</v>
      </c>
      <c r="F3082" t="s">
        <v>28</v>
      </c>
      <c r="G3082" t="s">
        <v>11421</v>
      </c>
      <c r="H3082" t="str">
        <f>"tftc-3"</f>
        <v>tftc-3</v>
      </c>
      <c r="I3082" t="s">
        <v>581</v>
      </c>
      <c r="J3082">
        <v>10.891648060135999</v>
      </c>
      <c r="K3082">
        <v>10.801315141984301</v>
      </c>
      <c r="L3082">
        <v>10.737350930656801</v>
      </c>
      <c r="M3082" t="s">
        <v>29</v>
      </c>
      <c r="N3082" t="s">
        <v>29</v>
      </c>
      <c r="O3082">
        <v>10.407615130492101</v>
      </c>
      <c r="P3082">
        <v>-0.40248958043358002</v>
      </c>
      <c r="Q3082">
        <v>-1.13108499514136</v>
      </c>
      <c r="R3082">
        <v>0.32610583427420298</v>
      </c>
      <c r="S3082">
        <v>11.1880021941901</v>
      </c>
      <c r="T3082">
        <v>-1.1717035290692299</v>
      </c>
      <c r="U3082">
        <v>-6.1215194202418202</v>
      </c>
      <c r="V3082">
        <v>0.25858044532336999</v>
      </c>
      <c r="W3082">
        <v>0.425718755512833</v>
      </c>
      <c r="X3082">
        <v>0</v>
      </c>
      <c r="Y3082">
        <v>0</v>
      </c>
    </row>
    <row r="3083" spans="1:25" x14ac:dyDescent="0.2">
      <c r="A3083" t="s">
        <v>11423</v>
      </c>
      <c r="B3083" t="s">
        <v>11424</v>
      </c>
      <c r="C3083" t="s">
        <v>11425</v>
      </c>
      <c r="D3083" t="s">
        <v>11426</v>
      </c>
      <c r="E3083" t="s">
        <v>11424</v>
      </c>
      <c r="F3083" t="s">
        <v>28</v>
      </c>
      <c r="G3083" t="s">
        <v>11424</v>
      </c>
      <c r="H3083" t="str">
        <f>"tag-307"</f>
        <v>tag-307</v>
      </c>
      <c r="I3083" t="s">
        <v>11426</v>
      </c>
      <c r="J3083">
        <v>12.8511856801834</v>
      </c>
      <c r="K3083">
        <v>12.7325545490562</v>
      </c>
      <c r="L3083">
        <v>12.260379923209801</v>
      </c>
      <c r="M3083" t="s">
        <v>29</v>
      </c>
      <c r="N3083">
        <v>12.565559058392299</v>
      </c>
      <c r="O3083">
        <v>12.418515805050699</v>
      </c>
      <c r="P3083">
        <v>-0.122669285761678</v>
      </c>
      <c r="Q3083">
        <v>-0.75429578854590196</v>
      </c>
      <c r="R3083">
        <v>0.50895721702254704</v>
      </c>
      <c r="S3083">
        <v>12.695704967927</v>
      </c>
      <c r="T3083">
        <v>-0.40994491640101</v>
      </c>
      <c r="U3083">
        <v>-6.95757608038301</v>
      </c>
      <c r="V3083">
        <v>0.68699753139678499</v>
      </c>
      <c r="W3083">
        <v>0.79582614977449895</v>
      </c>
      <c r="X3083">
        <v>0</v>
      </c>
      <c r="Y3083">
        <v>0</v>
      </c>
    </row>
    <row r="3084" spans="1:25" x14ac:dyDescent="0.2">
      <c r="A3084" t="s">
        <v>11427</v>
      </c>
      <c r="B3084" t="s">
        <v>11428</v>
      </c>
      <c r="C3084" t="s">
        <v>11429</v>
      </c>
      <c r="D3084" t="s">
        <v>11430</v>
      </c>
      <c r="E3084" t="s">
        <v>11428</v>
      </c>
      <c r="F3084" t="s">
        <v>28</v>
      </c>
      <c r="G3084" t="s">
        <v>11428</v>
      </c>
      <c r="H3084" t="str">
        <f>"mrps-18a"</f>
        <v>mrps-18a</v>
      </c>
      <c r="I3084" t="s">
        <v>11430</v>
      </c>
      <c r="J3084">
        <v>13.5442378557326</v>
      </c>
      <c r="K3084">
        <v>13.875139575873</v>
      </c>
      <c r="L3084">
        <v>13.908041389652601</v>
      </c>
      <c r="M3084" t="s">
        <v>29</v>
      </c>
      <c r="N3084">
        <v>13.0437489186805</v>
      </c>
      <c r="O3084">
        <v>12.8839071405586</v>
      </c>
      <c r="P3084">
        <v>-0.81197824413316899</v>
      </c>
      <c r="Q3084">
        <v>-1.42498961550995</v>
      </c>
      <c r="R3084">
        <v>-0.19896687275639099</v>
      </c>
      <c r="S3084">
        <v>13.6141786818537</v>
      </c>
      <c r="T3084">
        <v>-2.79592730511225</v>
      </c>
      <c r="U3084">
        <v>-3.6736744669977299</v>
      </c>
      <c r="V3084">
        <v>1.2464395122184399E-2</v>
      </c>
      <c r="W3084">
        <v>5.3005155014541797E-2</v>
      </c>
      <c r="X3084">
        <v>0</v>
      </c>
      <c r="Y3084">
        <v>0</v>
      </c>
    </row>
    <row r="3085" spans="1:25" x14ac:dyDescent="0.2">
      <c r="A3085" t="s">
        <v>11431</v>
      </c>
      <c r="B3085" t="s">
        <v>11432</v>
      </c>
      <c r="C3085" t="s">
        <v>11433</v>
      </c>
      <c r="D3085" t="s">
        <v>11434</v>
      </c>
      <c r="E3085" t="s">
        <v>11432</v>
      </c>
      <c r="F3085" t="s">
        <v>28</v>
      </c>
      <c r="G3085" t="s">
        <v>11432</v>
      </c>
      <c r="H3085" t="str">
        <f>"cpsf-3"</f>
        <v>cpsf-3</v>
      </c>
      <c r="I3085" t="s">
        <v>11434</v>
      </c>
      <c r="J3085">
        <v>13.055247818314101</v>
      </c>
      <c r="K3085">
        <v>13.001798169574201</v>
      </c>
      <c r="L3085">
        <v>12.7687070899012</v>
      </c>
      <c r="M3085" t="s">
        <v>29</v>
      </c>
      <c r="N3085" t="s">
        <v>29</v>
      </c>
      <c r="O3085">
        <v>13.098364923034501</v>
      </c>
      <c r="P3085">
        <v>0.156447230437957</v>
      </c>
      <c r="Q3085">
        <v>-0.37081750177908201</v>
      </c>
      <c r="R3085">
        <v>0.68371196265499501</v>
      </c>
      <c r="S3085">
        <v>13.123821951878799</v>
      </c>
      <c r="T3085">
        <v>0.63282082416993901</v>
      </c>
      <c r="U3085">
        <v>-6.6043809335291801</v>
      </c>
      <c r="V3085">
        <v>0.53644564775133796</v>
      </c>
      <c r="W3085">
        <v>0.68480983489328395</v>
      </c>
      <c r="X3085">
        <v>0</v>
      </c>
      <c r="Y3085">
        <v>0</v>
      </c>
    </row>
    <row r="3086" spans="1:25" x14ac:dyDescent="0.2">
      <c r="A3086" t="s">
        <v>11435</v>
      </c>
      <c r="B3086" t="s">
        <v>11436</v>
      </c>
      <c r="C3086" t="s">
        <v>11437</v>
      </c>
      <c r="D3086" t="s">
        <v>11438</v>
      </c>
      <c r="E3086" t="s">
        <v>11436</v>
      </c>
      <c r="F3086" t="s">
        <v>28</v>
      </c>
      <c r="G3086" t="s">
        <v>11436</v>
      </c>
      <c r="H3086" t="str">
        <f>"kdp-1"</f>
        <v>kdp-1</v>
      </c>
      <c r="I3086" t="s">
        <v>11438</v>
      </c>
      <c r="J3086">
        <v>14.6176594603411</v>
      </c>
      <c r="K3086">
        <v>14.332235079273699</v>
      </c>
      <c r="L3086">
        <v>14.3023836810326</v>
      </c>
      <c r="M3086">
        <v>15.011634328245799</v>
      </c>
      <c r="N3086">
        <v>15.1462951858817</v>
      </c>
      <c r="O3086">
        <v>15.224090928655301</v>
      </c>
      <c r="P3086">
        <v>0.70991407404513596</v>
      </c>
      <c r="Q3086">
        <v>0.30662018373042399</v>
      </c>
      <c r="R3086">
        <v>1.11320796435985</v>
      </c>
      <c r="S3086">
        <v>14.214881315088499</v>
      </c>
      <c r="T3086">
        <v>3.6997864419749402</v>
      </c>
      <c r="U3086">
        <v>-1.8320571277842199</v>
      </c>
      <c r="V3086">
        <v>1.6530194007024501E-3</v>
      </c>
      <c r="W3086">
        <v>1.29216131932894E-2</v>
      </c>
      <c r="X3086">
        <v>0</v>
      </c>
      <c r="Y3086">
        <v>0</v>
      </c>
    </row>
    <row r="3087" spans="1:25" x14ac:dyDescent="0.2">
      <c r="A3087" t="s">
        <v>11439</v>
      </c>
      <c r="B3087" t="s">
        <v>11440</v>
      </c>
      <c r="C3087" t="s">
        <v>11441</v>
      </c>
      <c r="D3087" t="s">
        <v>11442</v>
      </c>
      <c r="E3087" t="s">
        <v>11440</v>
      </c>
      <c r="F3087" t="s">
        <v>28</v>
      </c>
      <c r="G3087" t="s">
        <v>11440</v>
      </c>
      <c r="H3087" t="str">
        <f>"xpb-1"</f>
        <v>xpb-1</v>
      </c>
      <c r="I3087" t="s">
        <v>11442</v>
      </c>
      <c r="J3087">
        <v>13.935059381737499</v>
      </c>
      <c r="K3087">
        <v>13.9955393094292</v>
      </c>
      <c r="L3087">
        <v>13.7552822203495</v>
      </c>
      <c r="M3087">
        <v>14.116965514362001</v>
      </c>
      <c r="N3087">
        <v>13.553517386825099</v>
      </c>
      <c r="O3087">
        <v>14.2033376731006</v>
      </c>
      <c r="P3087">
        <v>6.2646554257197506E-2</v>
      </c>
      <c r="Q3087">
        <v>-0.30094655145304999</v>
      </c>
      <c r="R3087">
        <v>0.42623965996744501</v>
      </c>
      <c r="S3087">
        <v>13.6815444518452</v>
      </c>
      <c r="T3087">
        <v>0.36213796930393999</v>
      </c>
      <c r="U3087">
        <v>-7.0877311237967904</v>
      </c>
      <c r="V3087">
        <v>0.72149014384575705</v>
      </c>
      <c r="W3087">
        <v>0.82062194284579104</v>
      </c>
      <c r="X3087">
        <v>0</v>
      </c>
      <c r="Y3087">
        <v>0</v>
      </c>
    </row>
    <row r="3088" spans="1:25" x14ac:dyDescent="0.2">
      <c r="A3088" t="s">
        <v>11443</v>
      </c>
      <c r="B3088" t="s">
        <v>11444</v>
      </c>
      <c r="C3088" t="s">
        <v>14610</v>
      </c>
      <c r="D3088" t="s">
        <v>11124</v>
      </c>
      <c r="E3088" t="s">
        <v>11444</v>
      </c>
      <c r="F3088" t="s">
        <v>28</v>
      </c>
      <c r="G3088" t="s">
        <v>11444</v>
      </c>
      <c r="H3088" t="str">
        <f>"Y66D12A.24"</f>
        <v>Y66D12A.24</v>
      </c>
      <c r="I3088" t="s">
        <v>11124</v>
      </c>
      <c r="J3088">
        <v>12.3741181739701</v>
      </c>
      <c r="K3088">
        <v>13.390862136044699</v>
      </c>
      <c r="L3088">
        <v>13.2737412400793</v>
      </c>
      <c r="M3088" t="s">
        <v>29</v>
      </c>
      <c r="N3088">
        <v>11.648063419055999</v>
      </c>
      <c r="O3088">
        <v>12.8657961001374</v>
      </c>
      <c r="P3088">
        <v>-0.75597742376803001</v>
      </c>
      <c r="Q3088">
        <v>-1.5113912067145701</v>
      </c>
      <c r="R3088">
        <v>-5.6364082149285E-4</v>
      </c>
      <c r="S3088">
        <v>12.9731229269739</v>
      </c>
      <c r="T3088">
        <v>-2.1123891820912899</v>
      </c>
      <c r="U3088">
        <v>-4.9660109075782302</v>
      </c>
      <c r="V3088">
        <v>4.9847713622017502E-2</v>
      </c>
      <c r="W3088">
        <v>0.136145701616391</v>
      </c>
      <c r="X3088">
        <v>0</v>
      </c>
      <c r="Y3088">
        <v>0</v>
      </c>
    </row>
    <row r="3089" spans="1:25" x14ac:dyDescent="0.2">
      <c r="A3089" t="s">
        <v>11445</v>
      </c>
      <c r="B3089" t="s">
        <v>11446</v>
      </c>
      <c r="C3089" t="s">
        <v>14611</v>
      </c>
      <c r="D3089" t="s">
        <v>11447</v>
      </c>
      <c r="E3089" t="s">
        <v>11446</v>
      </c>
      <c r="F3089" t="s">
        <v>28</v>
      </c>
      <c r="G3089" t="s">
        <v>11446</v>
      </c>
      <c r="H3089" t="str">
        <f>"Y66D12A.19"</f>
        <v>Y66D12A.19</v>
      </c>
      <c r="I3089" t="s">
        <v>11447</v>
      </c>
      <c r="J3089">
        <v>12.3092519453939</v>
      </c>
      <c r="K3089">
        <v>12.883098648234901</v>
      </c>
      <c r="L3089">
        <v>12.928567275667399</v>
      </c>
      <c r="M3089" t="s">
        <v>29</v>
      </c>
      <c r="N3089" t="s">
        <v>29</v>
      </c>
      <c r="O3089">
        <v>11.7601256459746</v>
      </c>
      <c r="P3089">
        <v>-0.946846977124153</v>
      </c>
      <c r="Q3089">
        <v>-2.24310868688426</v>
      </c>
      <c r="R3089">
        <v>0.34941473263595302</v>
      </c>
      <c r="S3089">
        <v>12.911079058362199</v>
      </c>
      <c r="T3089">
        <v>-1.5793353230945699</v>
      </c>
      <c r="U3089">
        <v>-5.6000652683415204</v>
      </c>
      <c r="V3089">
        <v>0.13846649020478499</v>
      </c>
      <c r="W3089">
        <v>0.27569884385344101</v>
      </c>
      <c r="X3089">
        <v>0</v>
      </c>
      <c r="Y3089">
        <v>0</v>
      </c>
    </row>
    <row r="3090" spans="1:25" x14ac:dyDescent="0.2">
      <c r="A3090" t="s">
        <v>11448</v>
      </c>
      <c r="B3090" t="s">
        <v>11449</v>
      </c>
      <c r="C3090" t="s">
        <v>11450</v>
      </c>
      <c r="D3090" t="s">
        <v>11451</v>
      </c>
      <c r="E3090" t="s">
        <v>11449</v>
      </c>
      <c r="F3090" t="s">
        <v>28</v>
      </c>
      <c r="G3090" t="s">
        <v>11449</v>
      </c>
      <c r="H3090" t="str">
        <f>"psme-3"</f>
        <v>psme-3</v>
      </c>
      <c r="I3090" t="s">
        <v>11451</v>
      </c>
      <c r="J3090" t="s">
        <v>29</v>
      </c>
      <c r="K3090" t="s">
        <v>29</v>
      </c>
      <c r="L3090" t="s">
        <v>29</v>
      </c>
      <c r="M3090" t="s">
        <v>29</v>
      </c>
      <c r="N3090" t="s">
        <v>29</v>
      </c>
      <c r="O3090" t="s">
        <v>29</v>
      </c>
      <c r="P3090" t="s">
        <v>29</v>
      </c>
      <c r="Q3090" t="s">
        <v>29</v>
      </c>
      <c r="R3090" t="s">
        <v>29</v>
      </c>
      <c r="S3090">
        <v>10.6300715207437</v>
      </c>
      <c r="T3090" t="s">
        <v>29</v>
      </c>
      <c r="U3090" t="s">
        <v>29</v>
      </c>
      <c r="V3090" t="s">
        <v>29</v>
      </c>
      <c r="W3090" t="s">
        <v>29</v>
      </c>
      <c r="X3090" t="s">
        <v>29</v>
      </c>
      <c r="Y3090" t="s">
        <v>29</v>
      </c>
    </row>
    <row r="3091" spans="1:25" x14ac:dyDescent="0.2">
      <c r="A3091" t="s">
        <v>11452</v>
      </c>
      <c r="B3091" t="s">
        <v>11453</v>
      </c>
      <c r="C3091" t="s">
        <v>11454</v>
      </c>
      <c r="D3091" t="s">
        <v>11455</v>
      </c>
      <c r="E3091" t="s">
        <v>11453</v>
      </c>
      <c r="F3091" t="s">
        <v>28</v>
      </c>
      <c r="G3091" t="s">
        <v>11453</v>
      </c>
      <c r="H3091" t="str">
        <f>"such-1"</f>
        <v>such-1</v>
      </c>
      <c r="I3091" t="s">
        <v>11455</v>
      </c>
      <c r="J3091">
        <v>12.4767525398077</v>
      </c>
      <c r="K3091">
        <v>12.812030672175601</v>
      </c>
      <c r="L3091">
        <v>11.913073185734101</v>
      </c>
      <c r="M3091">
        <v>13.470617648118001</v>
      </c>
      <c r="N3091" t="s">
        <v>29</v>
      </c>
      <c r="O3091" t="s">
        <v>29</v>
      </c>
      <c r="P3091">
        <v>1.0699988488788601</v>
      </c>
      <c r="Q3091">
        <v>0.150717075485717</v>
      </c>
      <c r="R3091">
        <v>1.9892806222720001</v>
      </c>
      <c r="S3091">
        <v>13.302061719474599</v>
      </c>
      <c r="T3091">
        <v>2.4824257463575501</v>
      </c>
      <c r="U3091">
        <v>-4.0999294077890198</v>
      </c>
      <c r="V3091">
        <v>2.5465782183681101E-2</v>
      </c>
      <c r="W3091">
        <v>8.63609437230244E-2</v>
      </c>
      <c r="X3091">
        <v>1</v>
      </c>
      <c r="Y3091">
        <v>0</v>
      </c>
    </row>
    <row r="3092" spans="1:25" x14ac:dyDescent="0.2">
      <c r="A3092" t="s">
        <v>11456</v>
      </c>
      <c r="B3092" t="s">
        <v>11457</v>
      </c>
      <c r="C3092" t="s">
        <v>14612</v>
      </c>
      <c r="D3092" t="s">
        <v>11458</v>
      </c>
      <c r="E3092" t="s">
        <v>11457</v>
      </c>
      <c r="F3092" t="s">
        <v>28</v>
      </c>
      <c r="G3092" t="s">
        <v>11457</v>
      </c>
      <c r="H3092" t="str">
        <f>"Y66D12A.8"</f>
        <v>Y66D12A.8</v>
      </c>
      <c r="I3092" t="s">
        <v>11458</v>
      </c>
      <c r="J3092" t="s">
        <v>29</v>
      </c>
      <c r="K3092">
        <v>10.573093295231899</v>
      </c>
      <c r="L3092">
        <v>11.0490312069829</v>
      </c>
      <c r="M3092" t="s">
        <v>29</v>
      </c>
      <c r="N3092" t="s">
        <v>29</v>
      </c>
      <c r="O3092">
        <v>11.109009513694399</v>
      </c>
      <c r="P3092">
        <v>0.29794726258698001</v>
      </c>
      <c r="Q3092">
        <v>-0.53176957538160896</v>
      </c>
      <c r="R3092">
        <v>1.1276641005555701</v>
      </c>
      <c r="S3092">
        <v>12.1503887239923</v>
      </c>
      <c r="T3092">
        <v>0.77072844719679501</v>
      </c>
      <c r="U3092">
        <v>-6.4470186786422303</v>
      </c>
      <c r="V3092">
        <v>0.45377439331785702</v>
      </c>
      <c r="W3092">
        <v>0.61796355688896598</v>
      </c>
      <c r="X3092">
        <v>0</v>
      </c>
      <c r="Y3092">
        <v>0</v>
      </c>
    </row>
    <row r="3093" spans="1:25" x14ac:dyDescent="0.2">
      <c r="A3093" t="s">
        <v>11459</v>
      </c>
      <c r="B3093" t="s">
        <v>11460</v>
      </c>
      <c r="C3093" t="s">
        <v>11461</v>
      </c>
      <c r="D3093" t="s">
        <v>11462</v>
      </c>
      <c r="E3093" t="s">
        <v>11460</v>
      </c>
      <c r="F3093" t="s">
        <v>28</v>
      </c>
      <c r="G3093" t="s">
        <v>11460</v>
      </c>
      <c r="H3093" t="str">
        <f>"ceh-92"</f>
        <v>ceh-92</v>
      </c>
      <c r="I3093" t="s">
        <v>11462</v>
      </c>
      <c r="J3093" t="s">
        <v>29</v>
      </c>
      <c r="K3093" t="s">
        <v>29</v>
      </c>
      <c r="L3093">
        <v>11.989457281880901</v>
      </c>
      <c r="M3093" t="s">
        <v>29</v>
      </c>
      <c r="N3093" t="s">
        <v>29</v>
      </c>
      <c r="O3093" t="s">
        <v>29</v>
      </c>
      <c r="P3093" t="s">
        <v>29</v>
      </c>
      <c r="Q3093" t="s">
        <v>29</v>
      </c>
      <c r="R3093" t="s">
        <v>29</v>
      </c>
      <c r="S3093">
        <v>13.212777830540499</v>
      </c>
      <c r="T3093" t="s">
        <v>29</v>
      </c>
      <c r="U3093" t="s">
        <v>29</v>
      </c>
      <c r="V3093" t="s">
        <v>29</v>
      </c>
      <c r="W3093" t="s">
        <v>29</v>
      </c>
      <c r="X3093" t="s">
        <v>29</v>
      </c>
      <c r="Y3093" t="s">
        <v>29</v>
      </c>
    </row>
    <row r="3094" spans="1:25" x14ac:dyDescent="0.2">
      <c r="A3094" t="s">
        <v>11463</v>
      </c>
      <c r="B3094" t="s">
        <v>11464</v>
      </c>
      <c r="C3094" t="s">
        <v>11465</v>
      </c>
      <c r="D3094" t="s">
        <v>11466</v>
      </c>
      <c r="E3094" t="s">
        <v>11464</v>
      </c>
      <c r="F3094" t="s">
        <v>28</v>
      </c>
      <c r="G3094" t="s">
        <v>11464</v>
      </c>
      <c r="H3094" t="str">
        <f>"rad-51"</f>
        <v>rad-51</v>
      </c>
      <c r="I3094" t="s">
        <v>11466</v>
      </c>
      <c r="J3094">
        <v>12.2201073080589</v>
      </c>
      <c r="K3094" t="s">
        <v>29</v>
      </c>
      <c r="L3094">
        <v>12.432696617563201</v>
      </c>
      <c r="M3094" t="s">
        <v>29</v>
      </c>
      <c r="N3094" t="s">
        <v>29</v>
      </c>
      <c r="O3094" t="s">
        <v>29</v>
      </c>
      <c r="P3094" t="s">
        <v>29</v>
      </c>
      <c r="Q3094" t="s">
        <v>29</v>
      </c>
      <c r="R3094" t="s">
        <v>29</v>
      </c>
      <c r="S3094">
        <v>12.6133534337947</v>
      </c>
      <c r="T3094" t="s">
        <v>29</v>
      </c>
      <c r="U3094" t="s">
        <v>29</v>
      </c>
      <c r="V3094" t="s">
        <v>29</v>
      </c>
      <c r="W3094" t="s">
        <v>29</v>
      </c>
      <c r="X3094" t="s">
        <v>29</v>
      </c>
      <c r="Y3094" t="s">
        <v>29</v>
      </c>
    </row>
    <row r="3095" spans="1:25" x14ac:dyDescent="0.2">
      <c r="A3095" t="s">
        <v>11467</v>
      </c>
      <c r="B3095" t="s">
        <v>11468</v>
      </c>
      <c r="C3095" t="s">
        <v>11469</v>
      </c>
      <c r="D3095" t="s">
        <v>11470</v>
      </c>
      <c r="E3095" t="s">
        <v>11468</v>
      </c>
      <c r="F3095" t="s">
        <v>28</v>
      </c>
      <c r="G3095" t="s">
        <v>11468</v>
      </c>
      <c r="H3095" t="str">
        <f>"riok-2"</f>
        <v>riok-2</v>
      </c>
      <c r="I3095" t="s">
        <v>11470</v>
      </c>
      <c r="J3095">
        <v>14.1868889168557</v>
      </c>
      <c r="K3095">
        <v>14.049905319196499</v>
      </c>
      <c r="L3095">
        <v>14.1017888412545</v>
      </c>
      <c r="M3095">
        <v>14.8658352102617</v>
      </c>
      <c r="N3095">
        <v>13.5591335774184</v>
      </c>
      <c r="O3095">
        <v>12.7773089444721</v>
      </c>
      <c r="P3095">
        <v>-0.378768448384809</v>
      </c>
      <c r="Q3095">
        <v>-1.0891684314830199</v>
      </c>
      <c r="R3095">
        <v>0.33163153471340601</v>
      </c>
      <c r="S3095">
        <v>13.8094350186903</v>
      </c>
      <c r="T3095">
        <v>-1.1206328924469899</v>
      </c>
      <c r="U3095">
        <v>-6.5194859487099501</v>
      </c>
      <c r="V3095">
        <v>0.27725867776919899</v>
      </c>
      <c r="W3095">
        <v>0.44531618647706001</v>
      </c>
      <c r="X3095">
        <v>0</v>
      </c>
      <c r="Y3095">
        <v>0</v>
      </c>
    </row>
    <row r="3096" spans="1:25" x14ac:dyDescent="0.2">
      <c r="A3096" t="s">
        <v>11471</v>
      </c>
      <c r="B3096" t="s">
        <v>11472</v>
      </c>
      <c r="C3096" t="s">
        <v>11473</v>
      </c>
      <c r="D3096" t="s">
        <v>11474</v>
      </c>
      <c r="E3096" t="s">
        <v>11472</v>
      </c>
      <c r="F3096" t="s">
        <v>28</v>
      </c>
      <c r="G3096" t="s">
        <v>11472</v>
      </c>
      <c r="H3096" t="str">
        <f>"exoc-8"</f>
        <v>exoc-8</v>
      </c>
      <c r="I3096" t="s">
        <v>11474</v>
      </c>
      <c r="J3096">
        <v>14.300887610403199</v>
      </c>
      <c r="K3096">
        <v>14.2645239226486</v>
      </c>
      <c r="L3096">
        <v>13.9572787926288</v>
      </c>
      <c r="M3096">
        <v>15.984134961681701</v>
      </c>
      <c r="N3096">
        <v>14.5412760382755</v>
      </c>
      <c r="O3096">
        <v>14.5516731018845</v>
      </c>
      <c r="P3096">
        <v>0.85146459205372305</v>
      </c>
      <c r="Q3096">
        <v>0.265425110135668</v>
      </c>
      <c r="R3096">
        <v>1.4375040739717799</v>
      </c>
      <c r="S3096">
        <v>14.204482718591599</v>
      </c>
      <c r="T3096">
        <v>3.0537412110771802</v>
      </c>
      <c r="U3096">
        <v>-3.22291900999643</v>
      </c>
      <c r="V3096">
        <v>6.8704705958594504E-3</v>
      </c>
      <c r="W3096">
        <v>3.4909098010341102E-2</v>
      </c>
      <c r="X3096">
        <v>0</v>
      </c>
      <c r="Y3096">
        <v>0</v>
      </c>
    </row>
    <row r="3097" spans="1:25" x14ac:dyDescent="0.2">
      <c r="A3097" t="s">
        <v>11475</v>
      </c>
      <c r="B3097" t="s">
        <v>11476</v>
      </c>
      <c r="C3097" t="s">
        <v>11477</v>
      </c>
      <c r="D3097" t="s">
        <v>11478</v>
      </c>
      <c r="E3097" t="s">
        <v>11476</v>
      </c>
      <c r="F3097" t="s">
        <v>28</v>
      </c>
      <c r="G3097" t="s">
        <v>11476</v>
      </c>
      <c r="H3097" t="str">
        <f>"C37H5.13"</f>
        <v>C37H5.13</v>
      </c>
      <c r="I3097" t="s">
        <v>11478</v>
      </c>
      <c r="J3097" t="s">
        <v>29</v>
      </c>
      <c r="K3097" t="s">
        <v>29</v>
      </c>
      <c r="L3097">
        <v>10.448684645547999</v>
      </c>
      <c r="M3097" t="s">
        <v>29</v>
      </c>
      <c r="N3097">
        <v>11.232502112414901</v>
      </c>
      <c r="O3097" t="s">
        <v>29</v>
      </c>
      <c r="P3097">
        <v>0.78381746686689602</v>
      </c>
      <c r="Q3097">
        <v>-1.0214244657496501</v>
      </c>
      <c r="R3097">
        <v>2.5890593994834399</v>
      </c>
      <c r="S3097">
        <v>10.547632860873</v>
      </c>
      <c r="T3097">
        <v>1.02987149669305</v>
      </c>
      <c r="U3097">
        <v>-6.0588169942312504</v>
      </c>
      <c r="V3097">
        <v>0.33783578526201502</v>
      </c>
      <c r="W3097">
        <v>0.50873891628367796</v>
      </c>
      <c r="X3097">
        <v>0</v>
      </c>
      <c r="Y3097">
        <v>0</v>
      </c>
    </row>
    <row r="3098" spans="1:25" x14ac:dyDescent="0.2">
      <c r="A3098" t="s">
        <v>11479</v>
      </c>
      <c r="B3098" t="s">
        <v>11480</v>
      </c>
      <c r="C3098" t="s">
        <v>11481</v>
      </c>
      <c r="D3098" t="s">
        <v>11482</v>
      </c>
      <c r="E3098" t="s">
        <v>11480</v>
      </c>
      <c r="F3098" t="s">
        <v>28</v>
      </c>
      <c r="G3098" t="s">
        <v>11480</v>
      </c>
      <c r="H3098" t="str">
        <f>"sir-2.4"</f>
        <v>sir-2.4</v>
      </c>
      <c r="I3098" t="s">
        <v>11482</v>
      </c>
      <c r="J3098">
        <v>13.728683382417101</v>
      </c>
      <c r="K3098">
        <v>14.6228403620521</v>
      </c>
      <c r="L3098">
        <v>14.1107333650996</v>
      </c>
      <c r="M3098">
        <v>17.365494221979802</v>
      </c>
      <c r="N3098">
        <v>16.364299398825999</v>
      </c>
      <c r="O3098">
        <v>15.1077075702018</v>
      </c>
      <c r="P3098">
        <v>2.1250813604796099</v>
      </c>
      <c r="Q3098">
        <v>1.34562608104312</v>
      </c>
      <c r="R3098">
        <v>2.9045366399161101</v>
      </c>
      <c r="S3098">
        <v>14.345082686988301</v>
      </c>
      <c r="T3098">
        <v>5.7302935729265698</v>
      </c>
      <c r="U3098">
        <v>2.5854113392805802</v>
      </c>
      <c r="V3098" s="2">
        <v>2.01180878180194E-5</v>
      </c>
      <c r="W3098">
        <v>5.0244071864155105E-4</v>
      </c>
      <c r="X3098">
        <v>1</v>
      </c>
      <c r="Y3098">
        <v>1</v>
      </c>
    </row>
    <row r="3099" spans="1:25" x14ac:dyDescent="0.2">
      <c r="A3099" t="s">
        <v>11483</v>
      </c>
      <c r="B3099" t="s">
        <v>11484</v>
      </c>
      <c r="C3099" t="s">
        <v>11485</v>
      </c>
      <c r="D3099" t="s">
        <v>11486</v>
      </c>
      <c r="E3099" t="s">
        <v>11484</v>
      </c>
      <c r="F3099" t="s">
        <v>28</v>
      </c>
      <c r="G3099" t="s">
        <v>11484</v>
      </c>
      <c r="H3099" t="str">
        <f>"let-363"</f>
        <v>let-363</v>
      </c>
      <c r="I3099" t="s">
        <v>11486</v>
      </c>
      <c r="J3099">
        <v>14.0303113897569</v>
      </c>
      <c r="K3099">
        <v>14.186336016379901</v>
      </c>
      <c r="L3099">
        <v>13.7672310420672</v>
      </c>
      <c r="M3099">
        <v>14.013591341311701</v>
      </c>
      <c r="N3099">
        <v>14.480622320570101</v>
      </c>
      <c r="O3099">
        <v>14.395932580886001</v>
      </c>
      <c r="P3099">
        <v>0.30208926485464699</v>
      </c>
      <c r="Q3099">
        <v>-5.7928622379654703E-2</v>
      </c>
      <c r="R3099">
        <v>0.66210715208894899</v>
      </c>
      <c r="S3099">
        <v>14.3411522572601</v>
      </c>
      <c r="T3099">
        <v>1.7636147668633799</v>
      </c>
      <c r="U3099">
        <v>-5.6520757238792596</v>
      </c>
      <c r="V3099">
        <v>9.4862658515056805E-2</v>
      </c>
      <c r="W3099">
        <v>0.20964850108306901</v>
      </c>
      <c r="X3099">
        <v>0</v>
      </c>
      <c r="Y3099">
        <v>0</v>
      </c>
    </row>
    <row r="3100" spans="1:25" x14ac:dyDescent="0.2">
      <c r="A3100" t="s">
        <v>11487</v>
      </c>
      <c r="B3100" t="s">
        <v>11488</v>
      </c>
      <c r="C3100" t="s">
        <v>11489</v>
      </c>
      <c r="D3100" t="s">
        <v>11490</v>
      </c>
      <c r="E3100" t="s">
        <v>11488</v>
      </c>
      <c r="F3100" t="s">
        <v>28</v>
      </c>
      <c r="G3100" t="s">
        <v>11488</v>
      </c>
      <c r="H3100" t="str">
        <f>"jhdm-1"</f>
        <v>jhdm-1</v>
      </c>
      <c r="I3100" t="s">
        <v>11490</v>
      </c>
      <c r="J3100">
        <v>11.944869383035099</v>
      </c>
      <c r="K3100">
        <v>12.478401259235101</v>
      </c>
      <c r="L3100">
        <v>12.315686257858699</v>
      </c>
      <c r="M3100" t="s">
        <v>29</v>
      </c>
      <c r="N3100" t="s">
        <v>29</v>
      </c>
      <c r="O3100" t="s">
        <v>29</v>
      </c>
      <c r="P3100" t="s">
        <v>29</v>
      </c>
      <c r="Q3100" t="s">
        <v>29</v>
      </c>
      <c r="R3100" t="s">
        <v>29</v>
      </c>
      <c r="S3100">
        <v>11.9845623653041</v>
      </c>
      <c r="T3100" t="s">
        <v>29</v>
      </c>
      <c r="U3100" t="s">
        <v>29</v>
      </c>
      <c r="V3100" t="s">
        <v>29</v>
      </c>
      <c r="W3100" t="s">
        <v>29</v>
      </c>
      <c r="X3100" t="s">
        <v>29</v>
      </c>
      <c r="Y3100" t="s">
        <v>29</v>
      </c>
    </row>
    <row r="3101" spans="1:25" x14ac:dyDescent="0.2">
      <c r="A3101" t="s">
        <v>11491</v>
      </c>
      <c r="B3101" t="s">
        <v>11492</v>
      </c>
      <c r="C3101" t="s">
        <v>7089</v>
      </c>
      <c r="D3101" t="s">
        <v>11493</v>
      </c>
      <c r="E3101" t="s">
        <v>11492</v>
      </c>
      <c r="F3101" t="s">
        <v>28</v>
      </c>
      <c r="G3101" t="s">
        <v>11492</v>
      </c>
      <c r="H3101" t="str">
        <f>"pacs-1"</f>
        <v>pacs-1</v>
      </c>
      <c r="I3101" t="s">
        <v>11493</v>
      </c>
      <c r="J3101">
        <v>12.9815875326265</v>
      </c>
      <c r="K3101">
        <v>12.948065227323699</v>
      </c>
      <c r="L3101">
        <v>12.6172201782469</v>
      </c>
      <c r="M3101">
        <v>15.2076762499261</v>
      </c>
      <c r="N3101">
        <v>14.7622432149965</v>
      </c>
      <c r="O3101">
        <v>14.5652869205915</v>
      </c>
      <c r="P3101">
        <v>1.99611114910564</v>
      </c>
      <c r="Q3101">
        <v>1.5371025735905299</v>
      </c>
      <c r="R3101">
        <v>2.4551197246207499</v>
      </c>
      <c r="S3101">
        <v>13.170877187673099</v>
      </c>
      <c r="T3101">
        <v>9.1402154757183798</v>
      </c>
      <c r="U3101">
        <v>8.9751307351445195</v>
      </c>
      <c r="V3101" s="2">
        <v>3.6761131375215002E-8</v>
      </c>
      <c r="W3101" s="2">
        <v>3.1863251224340698E-6</v>
      </c>
      <c r="X3101">
        <v>1</v>
      </c>
      <c r="Y3101">
        <v>1</v>
      </c>
    </row>
    <row r="3102" spans="1:25" x14ac:dyDescent="0.2">
      <c r="A3102" t="s">
        <v>11494</v>
      </c>
      <c r="B3102" t="s">
        <v>11495</v>
      </c>
      <c r="C3102" t="s">
        <v>11496</v>
      </c>
      <c r="D3102" t="s">
        <v>11497</v>
      </c>
      <c r="E3102" t="s">
        <v>11495</v>
      </c>
      <c r="F3102" t="s">
        <v>28</v>
      </c>
      <c r="G3102" t="s">
        <v>11495</v>
      </c>
      <c r="H3102" t="str">
        <f>"pat-12"</f>
        <v>pat-12</v>
      </c>
      <c r="I3102" t="s">
        <v>11497</v>
      </c>
      <c r="J3102">
        <v>14.7352267327141</v>
      </c>
      <c r="K3102">
        <v>15.2730120835388</v>
      </c>
      <c r="L3102">
        <v>15.3416135816313</v>
      </c>
      <c r="M3102">
        <v>15.1782045883874</v>
      </c>
      <c r="N3102">
        <v>14.609917063689499</v>
      </c>
      <c r="O3102">
        <v>13.758216600477301</v>
      </c>
      <c r="P3102">
        <v>-0.60117138177663199</v>
      </c>
      <c r="Q3102">
        <v>-1.33448002744554</v>
      </c>
      <c r="R3102">
        <v>0.13213726389227501</v>
      </c>
      <c r="S3102">
        <v>15.2807493747497</v>
      </c>
      <c r="T3102">
        <v>-1.7230743044987</v>
      </c>
      <c r="U3102">
        <v>-5.7154215691980497</v>
      </c>
      <c r="V3102">
        <v>0.102110381406548</v>
      </c>
      <c r="W3102">
        <v>0.22013115874549899</v>
      </c>
      <c r="X3102">
        <v>0</v>
      </c>
      <c r="Y3102">
        <v>0</v>
      </c>
    </row>
    <row r="3103" spans="1:25" x14ac:dyDescent="0.2">
      <c r="A3103" t="s">
        <v>11498</v>
      </c>
      <c r="B3103" t="s">
        <v>11499</v>
      </c>
      <c r="C3103" t="s">
        <v>14613</v>
      </c>
      <c r="D3103" t="s">
        <v>11500</v>
      </c>
      <c r="E3103" t="s">
        <v>11499</v>
      </c>
      <c r="F3103" t="s">
        <v>28</v>
      </c>
      <c r="G3103" t="s">
        <v>11499</v>
      </c>
      <c r="H3103" t="str">
        <f>"T13H5.8"</f>
        <v>T13H5.8</v>
      </c>
      <c r="I3103" t="s">
        <v>11500</v>
      </c>
      <c r="J3103">
        <v>13.999600151146799</v>
      </c>
      <c r="K3103">
        <v>14.266947111972099</v>
      </c>
      <c r="L3103">
        <v>14.137869362039501</v>
      </c>
      <c r="M3103" t="s">
        <v>29</v>
      </c>
      <c r="N3103">
        <v>14.498923375439</v>
      </c>
      <c r="O3103">
        <v>13.81817232793</v>
      </c>
      <c r="P3103">
        <v>2.3742309965008701E-2</v>
      </c>
      <c r="Q3103">
        <v>-0.402962751608125</v>
      </c>
      <c r="R3103">
        <v>0.45044737153814302</v>
      </c>
      <c r="S3103">
        <v>13.9153332783312</v>
      </c>
      <c r="T3103">
        <v>0.117447881975424</v>
      </c>
      <c r="U3103">
        <v>-7.0382271097559599</v>
      </c>
      <c r="V3103">
        <v>0.90789008444752595</v>
      </c>
      <c r="W3103">
        <v>0.94496544133314397</v>
      </c>
      <c r="X3103">
        <v>0</v>
      </c>
      <c r="Y3103">
        <v>0</v>
      </c>
    </row>
    <row r="3104" spans="1:25" x14ac:dyDescent="0.2">
      <c r="A3104" t="s">
        <v>11501</v>
      </c>
      <c r="B3104" t="s">
        <v>11502</v>
      </c>
      <c r="C3104" t="s">
        <v>14614</v>
      </c>
      <c r="D3104" t="s">
        <v>11503</v>
      </c>
      <c r="E3104" t="s">
        <v>11502</v>
      </c>
      <c r="F3104" t="s">
        <v>28</v>
      </c>
      <c r="G3104" t="s">
        <v>11502</v>
      </c>
      <c r="H3104" t="str">
        <f>"R144.11"</f>
        <v>R144.11</v>
      </c>
      <c r="I3104" t="s">
        <v>11503</v>
      </c>
      <c r="J3104">
        <v>12.699146238652</v>
      </c>
      <c r="K3104">
        <v>12.488307769816201</v>
      </c>
      <c r="L3104">
        <v>12.5061542578608</v>
      </c>
      <c r="M3104" t="s">
        <v>29</v>
      </c>
      <c r="N3104" t="s">
        <v>29</v>
      </c>
      <c r="O3104">
        <v>13.1345318099713</v>
      </c>
      <c r="P3104">
        <v>0.56999572119492803</v>
      </c>
      <c r="Q3104">
        <v>-9.6425042036529796E-3</v>
      </c>
      <c r="R3104">
        <v>1.1496339465935099</v>
      </c>
      <c r="S3104">
        <v>12.259694960153899</v>
      </c>
      <c r="T3104">
        <v>2.1106026067629702</v>
      </c>
      <c r="U3104">
        <v>-4.7699383608485304</v>
      </c>
      <c r="V3104">
        <v>5.34211860163726E-2</v>
      </c>
      <c r="W3104">
        <v>0.14234379311957501</v>
      </c>
      <c r="X3104">
        <v>0</v>
      </c>
      <c r="Y3104">
        <v>0</v>
      </c>
    </row>
    <row r="3105" spans="1:25" x14ac:dyDescent="0.2">
      <c r="A3105" t="s">
        <v>11504</v>
      </c>
      <c r="B3105" t="s">
        <v>11505</v>
      </c>
      <c r="C3105" t="s">
        <v>11506</v>
      </c>
      <c r="D3105" t="s">
        <v>11507</v>
      </c>
      <c r="E3105" t="s">
        <v>11505</v>
      </c>
      <c r="F3105" t="s">
        <v>28</v>
      </c>
      <c r="G3105" t="s">
        <v>11505</v>
      </c>
      <c r="H3105" t="str">
        <f>"zyg-8"</f>
        <v>zyg-8</v>
      </c>
      <c r="I3105" t="s">
        <v>11507</v>
      </c>
      <c r="J3105" t="s">
        <v>29</v>
      </c>
      <c r="K3105" t="s">
        <v>29</v>
      </c>
      <c r="L3105">
        <v>10.4765419948275</v>
      </c>
      <c r="M3105" t="s">
        <v>29</v>
      </c>
      <c r="N3105" t="s">
        <v>29</v>
      </c>
      <c r="O3105">
        <v>11.0489259441329</v>
      </c>
      <c r="P3105">
        <v>0.57238394930534797</v>
      </c>
      <c r="Q3105">
        <v>-0.76719041814275202</v>
      </c>
      <c r="R3105">
        <v>1.91195831675345</v>
      </c>
      <c r="S3105">
        <v>12.100619679570899</v>
      </c>
      <c r="T3105">
        <v>0.95342713607080998</v>
      </c>
      <c r="U3105">
        <v>-6.1429855190406801</v>
      </c>
      <c r="V3105">
        <v>0.36308343620574202</v>
      </c>
      <c r="W3105">
        <v>0.53181256784210795</v>
      </c>
      <c r="X3105">
        <v>0</v>
      </c>
      <c r="Y3105">
        <v>0</v>
      </c>
    </row>
    <row r="3106" spans="1:25" x14ac:dyDescent="0.2">
      <c r="A3106" t="s">
        <v>11508</v>
      </c>
      <c r="B3106" t="s">
        <v>11509</v>
      </c>
      <c r="C3106" t="s">
        <v>11510</v>
      </c>
      <c r="D3106" t="s">
        <v>11511</v>
      </c>
      <c r="E3106" t="s">
        <v>11509</v>
      </c>
      <c r="F3106" t="s">
        <v>28</v>
      </c>
      <c r="G3106" t="s">
        <v>11509</v>
      </c>
      <c r="H3106" t="str">
        <f>"tmem-135"</f>
        <v>tmem-135</v>
      </c>
      <c r="I3106" t="s">
        <v>11511</v>
      </c>
      <c r="J3106">
        <v>12.0967625340192</v>
      </c>
      <c r="K3106">
        <v>12.7909592211989</v>
      </c>
      <c r="L3106">
        <v>13.349063471086399</v>
      </c>
      <c r="M3106" t="s">
        <v>29</v>
      </c>
      <c r="N3106" t="s">
        <v>29</v>
      </c>
      <c r="O3106">
        <v>12.6962443794359</v>
      </c>
      <c r="P3106">
        <v>-4.9350695998944302E-2</v>
      </c>
      <c r="Q3106">
        <v>-1.0274538555503201</v>
      </c>
      <c r="R3106">
        <v>0.92875246355243501</v>
      </c>
      <c r="S3106">
        <v>13.1990160239425</v>
      </c>
      <c r="T3106">
        <v>-0.107018325159285</v>
      </c>
      <c r="U3106">
        <v>-6.8066882134861997</v>
      </c>
      <c r="V3106">
        <v>0.91611355159455998</v>
      </c>
      <c r="W3106">
        <v>0.95019247133225404</v>
      </c>
      <c r="X3106">
        <v>0</v>
      </c>
      <c r="Y3106">
        <v>0</v>
      </c>
    </row>
    <row r="3107" spans="1:25" x14ac:dyDescent="0.2">
      <c r="A3107" t="s">
        <v>11512</v>
      </c>
      <c r="B3107" t="s">
        <v>11513</v>
      </c>
      <c r="C3107" t="s">
        <v>11514</v>
      </c>
      <c r="D3107" t="s">
        <v>11515</v>
      </c>
      <c r="E3107" t="s">
        <v>11513</v>
      </c>
      <c r="F3107" t="s">
        <v>28</v>
      </c>
      <c r="G3107" t="s">
        <v>11513</v>
      </c>
      <c r="H3107" t="str">
        <f>"cox-11"</f>
        <v>cox-11</v>
      </c>
      <c r="I3107" t="s">
        <v>11515</v>
      </c>
      <c r="J3107">
        <v>13.739051850187099</v>
      </c>
      <c r="K3107">
        <v>13.9382968499747</v>
      </c>
      <c r="L3107">
        <v>13.725891292069999</v>
      </c>
      <c r="M3107" t="s">
        <v>29</v>
      </c>
      <c r="N3107" t="s">
        <v>29</v>
      </c>
      <c r="O3107">
        <v>13.571206380572001</v>
      </c>
      <c r="P3107">
        <v>-0.22987361683856899</v>
      </c>
      <c r="Q3107">
        <v>-1.02803087749281</v>
      </c>
      <c r="R3107">
        <v>0.56828364381567298</v>
      </c>
      <c r="S3107">
        <v>13.6403663829004</v>
      </c>
      <c r="T3107">
        <v>-0.61087195921237403</v>
      </c>
      <c r="U3107">
        <v>-6.6190225049096396</v>
      </c>
      <c r="V3107">
        <v>0.54992070750528899</v>
      </c>
      <c r="W3107">
        <v>0.694649089163346</v>
      </c>
      <c r="X3107">
        <v>0</v>
      </c>
      <c r="Y3107">
        <v>0</v>
      </c>
    </row>
    <row r="3108" spans="1:25" x14ac:dyDescent="0.2">
      <c r="A3108" t="s">
        <v>11516</v>
      </c>
      <c r="B3108" t="s">
        <v>11517</v>
      </c>
      <c r="C3108" t="s">
        <v>14615</v>
      </c>
      <c r="D3108" t="s">
        <v>10637</v>
      </c>
      <c r="E3108" t="s">
        <v>11517</v>
      </c>
      <c r="F3108" t="s">
        <v>28</v>
      </c>
      <c r="G3108" t="s">
        <v>11517</v>
      </c>
      <c r="H3108" t="str">
        <f>"F58G6.7"</f>
        <v>F58G6.7</v>
      </c>
      <c r="I3108" t="s">
        <v>10637</v>
      </c>
      <c r="J3108">
        <v>13.0517942331764</v>
      </c>
      <c r="K3108">
        <v>13.0123814136706</v>
      </c>
      <c r="L3108">
        <v>13.7273865461884</v>
      </c>
      <c r="M3108">
        <v>12.800216717384201</v>
      </c>
      <c r="N3108" t="s">
        <v>29</v>
      </c>
      <c r="O3108">
        <v>13.027428710600599</v>
      </c>
      <c r="P3108">
        <v>-0.35003135035276101</v>
      </c>
      <c r="Q3108">
        <v>-1.4027339524732401</v>
      </c>
      <c r="R3108">
        <v>0.70267125176771605</v>
      </c>
      <c r="S3108">
        <v>13.497584538577801</v>
      </c>
      <c r="T3108">
        <v>-0.70526247483420401</v>
      </c>
      <c r="U3108">
        <v>-6.7871497082673899</v>
      </c>
      <c r="V3108">
        <v>0.490853810637778</v>
      </c>
      <c r="W3108">
        <v>0.64867541701772702</v>
      </c>
      <c r="X3108">
        <v>0</v>
      </c>
      <c r="Y3108">
        <v>0</v>
      </c>
    </row>
    <row r="3109" spans="1:25" x14ac:dyDescent="0.2">
      <c r="A3109" t="s">
        <v>11518</v>
      </c>
      <c r="B3109" t="s">
        <v>11519</v>
      </c>
      <c r="C3109" t="s">
        <v>14616</v>
      </c>
      <c r="D3109" t="s">
        <v>8692</v>
      </c>
      <c r="E3109" t="s">
        <v>11519</v>
      </c>
      <c r="F3109" t="s">
        <v>28</v>
      </c>
      <c r="G3109" t="s">
        <v>11519</v>
      </c>
      <c r="H3109" t="str">
        <f>"F54E7.9"</f>
        <v>F54E7.9</v>
      </c>
      <c r="I3109" t="s">
        <v>8692</v>
      </c>
      <c r="J3109" t="s">
        <v>29</v>
      </c>
      <c r="K3109" t="s">
        <v>29</v>
      </c>
      <c r="L3109" t="s">
        <v>29</v>
      </c>
      <c r="M3109" t="s">
        <v>29</v>
      </c>
      <c r="N3109" t="s">
        <v>29</v>
      </c>
      <c r="O3109" t="s">
        <v>29</v>
      </c>
      <c r="P3109" t="s">
        <v>29</v>
      </c>
      <c r="Q3109" t="s">
        <v>29</v>
      </c>
      <c r="R3109" t="s">
        <v>29</v>
      </c>
      <c r="S3109">
        <v>10.3733466091672</v>
      </c>
      <c r="T3109" t="s">
        <v>29</v>
      </c>
      <c r="U3109" t="s">
        <v>29</v>
      </c>
      <c r="V3109" t="s">
        <v>29</v>
      </c>
      <c r="W3109" t="s">
        <v>29</v>
      </c>
      <c r="X3109" t="s">
        <v>29</v>
      </c>
      <c r="Y3109" t="s">
        <v>29</v>
      </c>
    </row>
    <row r="3110" spans="1:25" x14ac:dyDescent="0.2">
      <c r="A3110" t="s">
        <v>11520</v>
      </c>
      <c r="B3110" t="s">
        <v>11521</v>
      </c>
      <c r="C3110" t="s">
        <v>11522</v>
      </c>
      <c r="D3110" t="s">
        <v>11523</v>
      </c>
      <c r="E3110" t="s">
        <v>11521</v>
      </c>
      <c r="F3110" t="s">
        <v>28</v>
      </c>
      <c r="G3110" t="s">
        <v>11521</v>
      </c>
      <c r="H3110" t="str">
        <f>"fcp-1"</f>
        <v>fcp-1</v>
      </c>
      <c r="I3110" t="s">
        <v>11523</v>
      </c>
      <c r="J3110">
        <v>13.770613588438</v>
      </c>
      <c r="K3110">
        <v>13.920752895785499</v>
      </c>
      <c r="L3110">
        <v>13.644991160480799</v>
      </c>
      <c r="M3110">
        <v>13.961044558752301</v>
      </c>
      <c r="N3110">
        <v>13.664104496291801</v>
      </c>
      <c r="O3110">
        <v>13.8726758577337</v>
      </c>
      <c r="P3110">
        <v>5.3822422691121502E-2</v>
      </c>
      <c r="Q3110">
        <v>-0.27024516980761099</v>
      </c>
      <c r="R3110">
        <v>0.37789001518985399</v>
      </c>
      <c r="S3110">
        <v>13.6516324469557</v>
      </c>
      <c r="T3110">
        <v>0.34907613036709401</v>
      </c>
      <c r="U3110">
        <v>-7.0925719036264603</v>
      </c>
      <c r="V3110">
        <v>0.73110594250221295</v>
      </c>
      <c r="W3110">
        <v>0.82827238962095395</v>
      </c>
      <c r="X3110">
        <v>0</v>
      </c>
      <c r="Y3110">
        <v>0</v>
      </c>
    </row>
    <row r="3111" spans="1:25" x14ac:dyDescent="0.2">
      <c r="A3111" t="s">
        <v>11524</v>
      </c>
      <c r="B3111" t="s">
        <v>11525</v>
      </c>
      <c r="C3111" t="s">
        <v>11526</v>
      </c>
      <c r="D3111" t="s">
        <v>11527</v>
      </c>
      <c r="E3111" t="s">
        <v>11525</v>
      </c>
      <c r="F3111" t="s">
        <v>28</v>
      </c>
      <c r="G3111" t="s">
        <v>11525</v>
      </c>
      <c r="H3111" t="str">
        <f>"daf-3"</f>
        <v>daf-3</v>
      </c>
      <c r="I3111" t="s">
        <v>11527</v>
      </c>
      <c r="J3111">
        <v>13.8846097887771</v>
      </c>
      <c r="K3111">
        <v>11.5375674504344</v>
      </c>
      <c r="L3111" t="s">
        <v>29</v>
      </c>
      <c r="M3111" t="s">
        <v>29</v>
      </c>
      <c r="N3111" t="s">
        <v>29</v>
      </c>
      <c r="O3111">
        <v>10.992554007815301</v>
      </c>
      <c r="P3111">
        <v>-1.7185346117904201</v>
      </c>
      <c r="Q3111">
        <v>-3.47621878986739</v>
      </c>
      <c r="R3111">
        <v>3.9149566286554E-2</v>
      </c>
      <c r="S3111">
        <v>12.056889896547499</v>
      </c>
      <c r="T3111">
        <v>-2.1323694530447002</v>
      </c>
      <c r="U3111">
        <v>-4.7000917911772797</v>
      </c>
      <c r="V3111">
        <v>5.4520844321822103E-2</v>
      </c>
      <c r="W3111">
        <v>0.144625473900067</v>
      </c>
      <c r="X3111">
        <v>-1</v>
      </c>
      <c r="Y3111">
        <v>0</v>
      </c>
    </row>
    <row r="3112" spans="1:25" x14ac:dyDescent="0.2">
      <c r="A3112" t="s">
        <v>11528</v>
      </c>
      <c r="B3112" t="s">
        <v>11529</v>
      </c>
      <c r="C3112" t="s">
        <v>11530</v>
      </c>
      <c r="D3112" t="s">
        <v>11531</v>
      </c>
      <c r="E3112" t="s">
        <v>11529</v>
      </c>
      <c r="F3112" t="s">
        <v>28</v>
      </c>
      <c r="G3112" t="s">
        <v>11529</v>
      </c>
      <c r="H3112" t="str">
        <f>"alfa-1"</f>
        <v>alfa-1</v>
      </c>
      <c r="I3112" t="s">
        <v>11531</v>
      </c>
      <c r="J3112">
        <v>12.4065620262368</v>
      </c>
      <c r="K3112">
        <v>12.247847300983899</v>
      </c>
      <c r="L3112" t="s">
        <v>29</v>
      </c>
      <c r="M3112">
        <v>15.1848563708556</v>
      </c>
      <c r="N3112">
        <v>15.663414547399301</v>
      </c>
      <c r="O3112">
        <v>16.346691040648398</v>
      </c>
      <c r="P3112">
        <v>3.4044493226907702</v>
      </c>
      <c r="Q3112">
        <v>2.6140912225084199</v>
      </c>
      <c r="R3112">
        <v>4.1948074228731196</v>
      </c>
      <c r="S3112">
        <v>14.6760319823118</v>
      </c>
      <c r="T3112">
        <v>9.0922837021819696</v>
      </c>
      <c r="U3112">
        <v>8.5055340266269805</v>
      </c>
      <c r="V3112" s="2">
        <v>6.4551926123041003E-8</v>
      </c>
      <c r="W3112" s="2">
        <v>4.8778083662718402E-6</v>
      </c>
      <c r="X3112">
        <v>1</v>
      </c>
      <c r="Y3112">
        <v>1</v>
      </c>
    </row>
    <row r="3113" spans="1:25" x14ac:dyDescent="0.2">
      <c r="A3113" t="s">
        <v>11532</v>
      </c>
      <c r="B3113" t="s">
        <v>11533</v>
      </c>
      <c r="C3113" t="s">
        <v>11534</v>
      </c>
      <c r="D3113" t="s">
        <v>11535</v>
      </c>
      <c r="E3113" t="s">
        <v>11533</v>
      </c>
      <c r="F3113" t="s">
        <v>28</v>
      </c>
      <c r="G3113" t="s">
        <v>11533</v>
      </c>
      <c r="H3113" t="str">
        <f>"mrpl-13"</f>
        <v>mrpl-13</v>
      </c>
      <c r="I3113" t="s">
        <v>11535</v>
      </c>
      <c r="J3113">
        <v>13.8965315673292</v>
      </c>
      <c r="K3113">
        <v>14.4663417173692</v>
      </c>
      <c r="L3113">
        <v>14.125427003784701</v>
      </c>
      <c r="M3113" t="s">
        <v>29</v>
      </c>
      <c r="N3113">
        <v>14.700860252073801</v>
      </c>
      <c r="O3113">
        <v>13.617883624420299</v>
      </c>
      <c r="P3113">
        <v>-3.3948245806705302E-3</v>
      </c>
      <c r="Q3113">
        <v>-0.84785492708712296</v>
      </c>
      <c r="R3113">
        <v>0.84106527792578201</v>
      </c>
      <c r="S3113">
        <v>14.1129143467227</v>
      </c>
      <c r="T3113">
        <v>-8.4857105853752904E-3</v>
      </c>
      <c r="U3113">
        <v>-7.0454371465297596</v>
      </c>
      <c r="V3113">
        <v>0.99332885865645204</v>
      </c>
      <c r="W3113">
        <v>0.99569392736753903</v>
      </c>
      <c r="X3113">
        <v>0</v>
      </c>
      <c r="Y3113">
        <v>0</v>
      </c>
    </row>
    <row r="3114" spans="1:25" x14ac:dyDescent="0.2">
      <c r="A3114" t="s">
        <v>11536</v>
      </c>
      <c r="B3114" t="s">
        <v>11537</v>
      </c>
      <c r="C3114" t="s">
        <v>11538</v>
      </c>
      <c r="D3114" t="s">
        <v>93</v>
      </c>
      <c r="E3114" t="s">
        <v>11537</v>
      </c>
      <c r="F3114" t="s">
        <v>28</v>
      </c>
      <c r="G3114" t="s">
        <v>11537</v>
      </c>
      <c r="H3114" t="str">
        <f>"rbm-34"</f>
        <v>rbm-34</v>
      </c>
      <c r="I3114" t="s">
        <v>93</v>
      </c>
      <c r="J3114">
        <v>15.6626161924097</v>
      </c>
      <c r="K3114">
        <v>15.4209690584048</v>
      </c>
      <c r="L3114">
        <v>14.804836135830399</v>
      </c>
      <c r="M3114">
        <v>13.031245294017801</v>
      </c>
      <c r="N3114">
        <v>14.9927267295403</v>
      </c>
      <c r="O3114">
        <v>14.437919261489499</v>
      </c>
      <c r="P3114">
        <v>-1.14217670053239</v>
      </c>
      <c r="Q3114">
        <v>-1.99401045922373</v>
      </c>
      <c r="R3114">
        <v>-0.29034294184105802</v>
      </c>
      <c r="S3114">
        <v>15.061507888712001</v>
      </c>
      <c r="T3114">
        <v>-2.8181944960269401</v>
      </c>
      <c r="U3114">
        <v>-3.7112489126486801</v>
      </c>
      <c r="V3114">
        <v>1.14292056867848E-2</v>
      </c>
      <c r="W3114">
        <v>4.9751653115147301E-2</v>
      </c>
      <c r="X3114">
        <v>-1</v>
      </c>
      <c r="Y3114">
        <v>-1</v>
      </c>
    </row>
    <row r="3115" spans="1:25" x14ac:dyDescent="0.2">
      <c r="A3115" t="s">
        <v>11539</v>
      </c>
      <c r="B3115" t="s">
        <v>11540</v>
      </c>
      <c r="C3115" t="s">
        <v>11541</v>
      </c>
      <c r="D3115" t="s">
        <v>2791</v>
      </c>
      <c r="E3115" t="s">
        <v>11540</v>
      </c>
      <c r="F3115" t="s">
        <v>28</v>
      </c>
      <c r="G3115" t="s">
        <v>11540</v>
      </c>
      <c r="H3115" t="str">
        <f>"ddx-23"</f>
        <v>ddx-23</v>
      </c>
      <c r="I3115" t="s">
        <v>2791</v>
      </c>
      <c r="J3115">
        <v>15.493150704157999</v>
      </c>
      <c r="K3115">
        <v>15.819590324932101</v>
      </c>
      <c r="L3115">
        <v>15.767002100633301</v>
      </c>
      <c r="M3115">
        <v>15.724922330643899</v>
      </c>
      <c r="N3115">
        <v>15.626189602909999</v>
      </c>
      <c r="O3115">
        <v>15.5714426088966</v>
      </c>
      <c r="P3115">
        <v>-5.2396195757621597E-2</v>
      </c>
      <c r="Q3115">
        <v>-0.41724442041390197</v>
      </c>
      <c r="R3115">
        <v>0.31245202889865897</v>
      </c>
      <c r="S3115">
        <v>15.8264580008236</v>
      </c>
      <c r="T3115">
        <v>-0.30184225161990302</v>
      </c>
      <c r="U3115">
        <v>-7.1086108727532498</v>
      </c>
      <c r="V3115">
        <v>0.76625208336263695</v>
      </c>
      <c r="W3115">
        <v>0.85110205688292095</v>
      </c>
      <c r="X3115">
        <v>0</v>
      </c>
      <c r="Y3115">
        <v>0</v>
      </c>
    </row>
    <row r="3116" spans="1:25" x14ac:dyDescent="0.2">
      <c r="A3116" t="s">
        <v>11542</v>
      </c>
      <c r="B3116" t="s">
        <v>11543</v>
      </c>
      <c r="C3116" t="s">
        <v>11544</v>
      </c>
      <c r="D3116" t="s">
        <v>11545</v>
      </c>
      <c r="E3116" t="s">
        <v>11543</v>
      </c>
      <c r="F3116" t="s">
        <v>28</v>
      </c>
      <c r="G3116" t="s">
        <v>11543</v>
      </c>
      <c r="H3116" t="str">
        <f>"brap-2"</f>
        <v>brap-2</v>
      </c>
      <c r="I3116" t="s">
        <v>11545</v>
      </c>
      <c r="J3116" t="s">
        <v>29</v>
      </c>
      <c r="K3116" t="s">
        <v>29</v>
      </c>
      <c r="L3116" t="s">
        <v>29</v>
      </c>
      <c r="M3116" t="s">
        <v>29</v>
      </c>
      <c r="N3116" t="s">
        <v>29</v>
      </c>
      <c r="O3116">
        <v>12.4435687316572</v>
      </c>
      <c r="P3116" t="s">
        <v>29</v>
      </c>
      <c r="Q3116" t="s">
        <v>29</v>
      </c>
      <c r="R3116" t="s">
        <v>29</v>
      </c>
      <c r="S3116">
        <v>11.5483636429245</v>
      </c>
      <c r="T3116" t="s">
        <v>29</v>
      </c>
      <c r="U3116" t="s">
        <v>29</v>
      </c>
      <c r="V3116" t="s">
        <v>29</v>
      </c>
      <c r="W3116" t="s">
        <v>29</v>
      </c>
      <c r="X3116" t="s">
        <v>29</v>
      </c>
      <c r="Y3116" t="s">
        <v>29</v>
      </c>
    </row>
    <row r="3117" spans="1:25" x14ac:dyDescent="0.2">
      <c r="A3117" t="s">
        <v>11546</v>
      </c>
      <c r="B3117" t="s">
        <v>11547</v>
      </c>
      <c r="C3117" t="s">
        <v>11548</v>
      </c>
      <c r="D3117" t="s">
        <v>11549</v>
      </c>
      <c r="E3117" t="s">
        <v>11547</v>
      </c>
      <c r="F3117" t="s">
        <v>28</v>
      </c>
      <c r="G3117" t="s">
        <v>11547</v>
      </c>
      <c r="H3117" t="str">
        <f>"dnj-8"</f>
        <v>dnj-8</v>
      </c>
      <c r="I3117" t="s">
        <v>11549</v>
      </c>
      <c r="J3117">
        <v>12.658507558841601</v>
      </c>
      <c r="K3117">
        <v>12.9003088366965</v>
      </c>
      <c r="L3117">
        <v>12.822835657737</v>
      </c>
      <c r="M3117">
        <v>12.641958769472501</v>
      </c>
      <c r="N3117">
        <v>12.4577249616485</v>
      </c>
      <c r="O3117">
        <v>12.5188279699164</v>
      </c>
      <c r="P3117">
        <v>-0.254380117412563</v>
      </c>
      <c r="Q3117">
        <v>-0.68482896549863204</v>
      </c>
      <c r="R3117">
        <v>0.17606873067350701</v>
      </c>
      <c r="S3117">
        <v>12.9919744620549</v>
      </c>
      <c r="T3117">
        <v>-1.2420930354150601</v>
      </c>
      <c r="U3117">
        <v>-6.3798672586949703</v>
      </c>
      <c r="V3117">
        <v>0.230234810347756</v>
      </c>
      <c r="W3117">
        <v>0.39470737992718802</v>
      </c>
      <c r="X3117">
        <v>0</v>
      </c>
      <c r="Y3117">
        <v>0</v>
      </c>
    </row>
    <row r="3118" spans="1:25" x14ac:dyDescent="0.2">
      <c r="A3118" t="s">
        <v>11550</v>
      </c>
      <c r="B3118" t="s">
        <v>11551</v>
      </c>
      <c r="C3118" t="s">
        <v>11552</v>
      </c>
      <c r="D3118" t="s">
        <v>11553</v>
      </c>
      <c r="E3118" t="s">
        <v>11551</v>
      </c>
      <c r="F3118" t="s">
        <v>28</v>
      </c>
      <c r="G3118" t="s">
        <v>11551</v>
      </c>
      <c r="H3118" t="str">
        <f>"atic-1"</f>
        <v>atic-1</v>
      </c>
      <c r="I3118" t="s">
        <v>11553</v>
      </c>
      <c r="J3118">
        <v>13.0488540052338</v>
      </c>
      <c r="K3118">
        <v>12.306593431397999</v>
      </c>
      <c r="L3118">
        <v>12.7960460317277</v>
      </c>
      <c r="M3118" t="s">
        <v>29</v>
      </c>
      <c r="N3118">
        <v>12.812215426268899</v>
      </c>
      <c r="O3118">
        <v>12.1813178067548</v>
      </c>
      <c r="P3118">
        <v>-0.22039787294136901</v>
      </c>
      <c r="Q3118">
        <v>-0.83599138135268303</v>
      </c>
      <c r="R3118">
        <v>0.39519563546994402</v>
      </c>
      <c r="S3118">
        <v>12.856079161856099</v>
      </c>
      <c r="T3118">
        <v>-0.75572428875479702</v>
      </c>
      <c r="U3118">
        <v>-6.7502636940165104</v>
      </c>
      <c r="V3118">
        <v>0.46022199839243999</v>
      </c>
      <c r="W3118">
        <v>0.62409607231562103</v>
      </c>
      <c r="X3118">
        <v>0</v>
      </c>
      <c r="Y3118">
        <v>0</v>
      </c>
    </row>
    <row r="3119" spans="1:25" x14ac:dyDescent="0.2">
      <c r="A3119" t="s">
        <v>11554</v>
      </c>
      <c r="B3119" t="s">
        <v>11555</v>
      </c>
      <c r="C3119" t="s">
        <v>11556</v>
      </c>
      <c r="D3119" t="s">
        <v>901</v>
      </c>
      <c r="E3119" t="s">
        <v>11555</v>
      </c>
      <c r="F3119" t="s">
        <v>28</v>
      </c>
      <c r="G3119" t="s">
        <v>11555</v>
      </c>
      <c r="H3119" t="str">
        <f>"nhr-46"</f>
        <v>nhr-46</v>
      </c>
      <c r="I3119" t="s">
        <v>901</v>
      </c>
      <c r="J3119" t="s">
        <v>29</v>
      </c>
      <c r="K3119" t="s">
        <v>29</v>
      </c>
      <c r="L3119" t="s">
        <v>29</v>
      </c>
      <c r="M3119" t="s">
        <v>29</v>
      </c>
      <c r="N3119" t="s">
        <v>29</v>
      </c>
      <c r="O3119">
        <v>12.4897958739445</v>
      </c>
      <c r="P3119" t="s">
        <v>29</v>
      </c>
      <c r="Q3119" t="s">
        <v>29</v>
      </c>
      <c r="R3119" t="s">
        <v>29</v>
      </c>
      <c r="S3119">
        <v>12.2765710043954</v>
      </c>
      <c r="T3119" t="s">
        <v>29</v>
      </c>
      <c r="U3119" t="s">
        <v>29</v>
      </c>
      <c r="V3119" t="s">
        <v>29</v>
      </c>
      <c r="W3119" t="s">
        <v>29</v>
      </c>
      <c r="X3119" t="s">
        <v>29</v>
      </c>
      <c r="Y3119" t="s">
        <v>29</v>
      </c>
    </row>
    <row r="3120" spans="1:25" x14ac:dyDescent="0.2">
      <c r="A3120" t="s">
        <v>11557</v>
      </c>
      <c r="B3120" t="s">
        <v>11558</v>
      </c>
      <c r="C3120" t="s">
        <v>11559</v>
      </c>
      <c r="D3120" t="s">
        <v>93</v>
      </c>
      <c r="E3120" t="s">
        <v>11558</v>
      </c>
      <c r="F3120" t="s">
        <v>28</v>
      </c>
      <c r="G3120" t="s">
        <v>11558</v>
      </c>
      <c r="H3120" t="str">
        <f>"hrpl-1"</f>
        <v>hrpl-1</v>
      </c>
      <c r="I3120" t="s">
        <v>93</v>
      </c>
      <c r="J3120">
        <v>15.565035352758599</v>
      </c>
      <c r="K3120">
        <v>16.040902100544798</v>
      </c>
      <c r="L3120">
        <v>15.8970411078396</v>
      </c>
      <c r="M3120">
        <v>15.6147981367212</v>
      </c>
      <c r="N3120">
        <v>15.8675854105211</v>
      </c>
      <c r="O3120">
        <v>15.1880169273451</v>
      </c>
      <c r="P3120">
        <v>-0.27752602885183802</v>
      </c>
      <c r="Q3120">
        <v>-0.71828571909036698</v>
      </c>
      <c r="R3120">
        <v>0.16323366138669099</v>
      </c>
      <c r="S3120">
        <v>16.308843073867301</v>
      </c>
      <c r="T3120">
        <v>-1.3234098579350499</v>
      </c>
      <c r="U3120">
        <v>-6.2796673200230302</v>
      </c>
      <c r="V3120">
        <v>0.20235932511190899</v>
      </c>
      <c r="W3120">
        <v>0.362497676111252</v>
      </c>
      <c r="X3120">
        <v>0</v>
      </c>
      <c r="Y3120">
        <v>0</v>
      </c>
    </row>
    <row r="3121" spans="1:25" x14ac:dyDescent="0.2">
      <c r="A3121" t="s">
        <v>11560</v>
      </c>
      <c r="B3121" t="s">
        <v>11561</v>
      </c>
      <c r="C3121" t="s">
        <v>11562</v>
      </c>
      <c r="D3121" t="s">
        <v>9491</v>
      </c>
      <c r="E3121" t="s">
        <v>11561</v>
      </c>
      <c r="F3121" t="s">
        <v>28</v>
      </c>
      <c r="G3121" t="s">
        <v>11561</v>
      </c>
      <c r="H3121" t="str">
        <f>"C39D10.8"</f>
        <v>C39D10.8</v>
      </c>
      <c r="I3121" t="s">
        <v>9491</v>
      </c>
      <c r="J3121">
        <v>11.3611765995254</v>
      </c>
      <c r="K3121">
        <v>10.9252943085566</v>
      </c>
      <c r="L3121">
        <v>11.3700435765974</v>
      </c>
      <c r="M3121">
        <v>17.557970508449198</v>
      </c>
      <c r="N3121">
        <v>17.6088300192866</v>
      </c>
      <c r="O3121">
        <v>17.6700783396325</v>
      </c>
      <c r="P3121">
        <v>6.39345479422962</v>
      </c>
      <c r="Q3121">
        <v>5.8463149638143497</v>
      </c>
      <c r="R3121">
        <v>6.9405946246449002</v>
      </c>
      <c r="S3121">
        <v>14.524357470213101</v>
      </c>
      <c r="T3121">
        <v>24.5600801892794</v>
      </c>
      <c r="U3121">
        <v>24.6236221227968</v>
      </c>
      <c r="V3121" s="2">
        <v>3.1061781108379299E-15</v>
      </c>
      <c r="W3121" s="2">
        <v>4.5769534463196903E-12</v>
      </c>
      <c r="X3121">
        <v>1</v>
      </c>
      <c r="Y3121">
        <v>1</v>
      </c>
    </row>
    <row r="3122" spans="1:25" x14ac:dyDescent="0.2">
      <c r="A3122" t="s">
        <v>11563</v>
      </c>
      <c r="B3122" t="s">
        <v>11564</v>
      </c>
      <c r="C3122" t="s">
        <v>11565</v>
      </c>
      <c r="D3122" t="s">
        <v>11566</v>
      </c>
      <c r="E3122" t="s">
        <v>11564</v>
      </c>
      <c r="F3122" t="s">
        <v>28</v>
      </c>
      <c r="G3122" t="s">
        <v>11564</v>
      </c>
      <c r="H3122" t="str">
        <f>"C34E10.10"</f>
        <v>C34E10.10</v>
      </c>
      <c r="I3122" t="s">
        <v>11566</v>
      </c>
      <c r="J3122">
        <v>13.743401349905101</v>
      </c>
      <c r="K3122">
        <v>13.9271642430923</v>
      </c>
      <c r="L3122">
        <v>14.132072693573701</v>
      </c>
      <c r="M3122" t="s">
        <v>29</v>
      </c>
      <c r="N3122">
        <v>13.790112865964799</v>
      </c>
      <c r="O3122">
        <v>13.959485389651899</v>
      </c>
      <c r="P3122">
        <v>-5.9413634381993298E-2</v>
      </c>
      <c r="Q3122">
        <v>-0.55103135149990001</v>
      </c>
      <c r="R3122">
        <v>0.43220408273591399</v>
      </c>
      <c r="S3122">
        <v>14.1019399190179</v>
      </c>
      <c r="T3122">
        <v>-0.25509891222304099</v>
      </c>
      <c r="U3122">
        <v>-7.01133405088052</v>
      </c>
      <c r="V3122">
        <v>0.80172612621253303</v>
      </c>
      <c r="W3122">
        <v>0.87636754226570301</v>
      </c>
      <c r="X3122">
        <v>0</v>
      </c>
      <c r="Y3122">
        <v>0</v>
      </c>
    </row>
    <row r="3123" spans="1:25" x14ac:dyDescent="0.2">
      <c r="A3123" t="s">
        <v>11567</v>
      </c>
      <c r="B3123" t="s">
        <v>11568</v>
      </c>
      <c r="C3123" t="s">
        <v>11569</v>
      </c>
      <c r="D3123" t="s">
        <v>11570</v>
      </c>
      <c r="E3123" t="s">
        <v>11568</v>
      </c>
      <c r="F3123" t="s">
        <v>28</v>
      </c>
      <c r="G3123" t="s">
        <v>11568</v>
      </c>
      <c r="H3123" t="str">
        <f>"C27F2.10"</f>
        <v>C27F2.10</v>
      </c>
      <c r="I3123" t="s">
        <v>11570</v>
      </c>
      <c r="J3123">
        <v>12.6440704052836</v>
      </c>
      <c r="K3123">
        <v>12.6619175316699</v>
      </c>
      <c r="L3123">
        <v>12.5127254589807</v>
      </c>
      <c r="M3123" t="s">
        <v>29</v>
      </c>
      <c r="N3123" t="s">
        <v>29</v>
      </c>
      <c r="O3123">
        <v>12.555835964189599</v>
      </c>
      <c r="P3123">
        <v>-5.0401834455159999E-2</v>
      </c>
      <c r="Q3123">
        <v>-0.86319405087725298</v>
      </c>
      <c r="R3123">
        <v>0.76239038196693298</v>
      </c>
      <c r="S3123">
        <v>12.1673826971984</v>
      </c>
      <c r="T3123">
        <v>-0.131527430952319</v>
      </c>
      <c r="U3123">
        <v>-6.8036206684700202</v>
      </c>
      <c r="V3123">
        <v>0.89700850959634404</v>
      </c>
      <c r="W3123">
        <v>0.938737243529981</v>
      </c>
      <c r="X3123">
        <v>0</v>
      </c>
      <c r="Y3123">
        <v>0</v>
      </c>
    </row>
    <row r="3124" spans="1:25" x14ac:dyDescent="0.2">
      <c r="A3124" t="s">
        <v>11571</v>
      </c>
      <c r="B3124" t="s">
        <v>11572</v>
      </c>
      <c r="C3124" t="s">
        <v>11573</v>
      </c>
      <c r="D3124" t="s">
        <v>11574</v>
      </c>
      <c r="E3124" t="s">
        <v>11572</v>
      </c>
      <c r="F3124" t="s">
        <v>28</v>
      </c>
      <c r="G3124" t="s">
        <v>11572</v>
      </c>
      <c r="H3124" t="str">
        <f>"tiar-1"</f>
        <v>tiar-1</v>
      </c>
      <c r="I3124" t="s">
        <v>11574</v>
      </c>
      <c r="J3124">
        <v>13.6782571981123</v>
      </c>
      <c r="K3124">
        <v>13.681417307426599</v>
      </c>
      <c r="L3124">
        <v>13.8608533673727</v>
      </c>
      <c r="M3124">
        <v>14.41150734625</v>
      </c>
      <c r="N3124">
        <v>14.8634088753605</v>
      </c>
      <c r="O3124">
        <v>15.211957600341499</v>
      </c>
      <c r="P3124">
        <v>1.08878198301347</v>
      </c>
      <c r="Q3124">
        <v>0.59481550050625498</v>
      </c>
      <c r="R3124">
        <v>1.58274846552069</v>
      </c>
      <c r="S3124">
        <v>14.4783167293002</v>
      </c>
      <c r="T3124">
        <v>4.63271898642253</v>
      </c>
      <c r="U3124">
        <v>0.222483841922888</v>
      </c>
      <c r="V3124">
        <v>2.0979386095257399E-4</v>
      </c>
      <c r="W3124">
        <v>2.9379828327214599E-3</v>
      </c>
      <c r="X3124">
        <v>1</v>
      </c>
      <c r="Y3124">
        <v>1</v>
      </c>
    </row>
    <row r="3125" spans="1:25" x14ac:dyDescent="0.2">
      <c r="A3125" t="s">
        <v>11575</v>
      </c>
      <c r="B3125" t="s">
        <v>11576</v>
      </c>
      <c r="C3125" t="s">
        <v>11577</v>
      </c>
      <c r="D3125" t="s">
        <v>11578</v>
      </c>
      <c r="E3125" t="s">
        <v>11576</v>
      </c>
      <c r="F3125" t="s">
        <v>28</v>
      </c>
      <c r="G3125" t="s">
        <v>11576</v>
      </c>
      <c r="H3125" t="str">
        <f>"eif-3.L"</f>
        <v>eif-3.L</v>
      </c>
      <c r="I3125" t="s">
        <v>11578</v>
      </c>
      <c r="J3125">
        <v>15.1941219739685</v>
      </c>
      <c r="K3125">
        <v>15.052027776212499</v>
      </c>
      <c r="L3125">
        <v>15.2882195078928</v>
      </c>
      <c r="M3125">
        <v>15.077197644693999</v>
      </c>
      <c r="N3125">
        <v>15.481454521693401</v>
      </c>
      <c r="O3125">
        <v>15.112568460580301</v>
      </c>
      <c r="P3125">
        <v>4.5617122964584297E-2</v>
      </c>
      <c r="Q3125">
        <v>-0.32876863265956702</v>
      </c>
      <c r="R3125">
        <v>0.42000287858873497</v>
      </c>
      <c r="S3125">
        <v>15.121896823606599</v>
      </c>
      <c r="T3125">
        <v>0.25609499311731698</v>
      </c>
      <c r="U3125">
        <v>-7.1219470101842299</v>
      </c>
      <c r="V3125">
        <v>0.80079826214137395</v>
      </c>
      <c r="W3125">
        <v>0.87567809964030696</v>
      </c>
      <c r="X3125">
        <v>0</v>
      </c>
      <c r="Y3125">
        <v>0</v>
      </c>
    </row>
    <row r="3126" spans="1:25" x14ac:dyDescent="0.2">
      <c r="A3126" t="s">
        <v>11579</v>
      </c>
      <c r="B3126" t="s">
        <v>11580</v>
      </c>
      <c r="C3126" t="s">
        <v>11581</v>
      </c>
      <c r="D3126" t="s">
        <v>11582</v>
      </c>
      <c r="E3126" t="s">
        <v>11580</v>
      </c>
      <c r="F3126" t="s">
        <v>28</v>
      </c>
      <c r="G3126" t="s">
        <v>11580</v>
      </c>
      <c r="H3126" t="str">
        <f>"cdf-1"</f>
        <v>cdf-1</v>
      </c>
      <c r="I3126" t="s">
        <v>11582</v>
      </c>
      <c r="J3126">
        <v>12.754042667041199</v>
      </c>
      <c r="K3126">
        <v>12.723506418883201</v>
      </c>
      <c r="L3126">
        <v>13.0121626714916</v>
      </c>
      <c r="M3126" t="s">
        <v>29</v>
      </c>
      <c r="N3126" t="s">
        <v>29</v>
      </c>
      <c r="O3126">
        <v>12.1233592609799</v>
      </c>
      <c r="P3126">
        <v>-0.70654465815878398</v>
      </c>
      <c r="Q3126">
        <v>-2.1500233517266998</v>
      </c>
      <c r="R3126">
        <v>0.73693403540913305</v>
      </c>
      <c r="S3126">
        <v>12.553098749685001</v>
      </c>
      <c r="T3126">
        <v>-1.03819460850247</v>
      </c>
      <c r="U3126">
        <v>-6.2652447667642699</v>
      </c>
      <c r="V3126">
        <v>0.31471574298514698</v>
      </c>
      <c r="W3126">
        <v>0.485330871050354</v>
      </c>
      <c r="X3126">
        <v>0</v>
      </c>
      <c r="Y3126">
        <v>0</v>
      </c>
    </row>
    <row r="3127" spans="1:25" x14ac:dyDescent="0.2">
      <c r="A3127" t="s">
        <v>11583</v>
      </c>
      <c r="B3127" t="s">
        <v>11584</v>
      </c>
      <c r="C3127" t="s">
        <v>11585</v>
      </c>
      <c r="D3127" t="s">
        <v>11586</v>
      </c>
      <c r="E3127" t="s">
        <v>11584</v>
      </c>
      <c r="F3127" t="s">
        <v>28</v>
      </c>
      <c r="G3127" t="s">
        <v>11584</v>
      </c>
      <c r="H3127" t="str">
        <f>"C07A12.7"</f>
        <v>C07A12.7</v>
      </c>
      <c r="I3127" t="s">
        <v>11586</v>
      </c>
      <c r="J3127" t="s">
        <v>29</v>
      </c>
      <c r="K3127" t="s">
        <v>29</v>
      </c>
      <c r="L3127" t="s">
        <v>29</v>
      </c>
      <c r="M3127" t="s">
        <v>29</v>
      </c>
      <c r="N3127" t="s">
        <v>29</v>
      </c>
      <c r="O3127">
        <v>13.3020451658381</v>
      </c>
      <c r="P3127" t="s">
        <v>29</v>
      </c>
      <c r="Q3127" t="s">
        <v>29</v>
      </c>
      <c r="R3127" t="s">
        <v>29</v>
      </c>
      <c r="S3127">
        <v>12.1283549782697</v>
      </c>
      <c r="T3127" t="s">
        <v>29</v>
      </c>
      <c r="U3127" t="s">
        <v>29</v>
      </c>
      <c r="V3127" t="s">
        <v>29</v>
      </c>
      <c r="W3127" t="s">
        <v>29</v>
      </c>
      <c r="X3127" t="s">
        <v>29</v>
      </c>
      <c r="Y3127" t="s">
        <v>29</v>
      </c>
    </row>
    <row r="3128" spans="1:25" x14ac:dyDescent="0.2">
      <c r="A3128" t="s">
        <v>11587</v>
      </c>
      <c r="B3128" t="s">
        <v>11588</v>
      </c>
      <c r="C3128" t="s">
        <v>11589</v>
      </c>
      <c r="D3128" t="s">
        <v>11590</v>
      </c>
      <c r="E3128" t="s">
        <v>11588</v>
      </c>
      <c r="F3128" t="s">
        <v>28</v>
      </c>
      <c r="G3128" t="s">
        <v>11588</v>
      </c>
      <c r="H3128" t="str">
        <f>"C02F5.12"</f>
        <v>C02F5.12</v>
      </c>
      <c r="I3128" t="s">
        <v>11590</v>
      </c>
      <c r="J3128" t="s">
        <v>29</v>
      </c>
      <c r="K3128" t="s">
        <v>29</v>
      </c>
      <c r="L3128" t="s">
        <v>29</v>
      </c>
      <c r="M3128" t="s">
        <v>29</v>
      </c>
      <c r="N3128" t="s">
        <v>29</v>
      </c>
      <c r="O3128">
        <v>10.8434988753308</v>
      </c>
      <c r="P3128" t="s">
        <v>29</v>
      </c>
      <c r="Q3128" t="s">
        <v>29</v>
      </c>
      <c r="R3128" t="s">
        <v>29</v>
      </c>
      <c r="S3128">
        <v>11.1588857190358</v>
      </c>
      <c r="T3128" t="s">
        <v>29</v>
      </c>
      <c r="U3128" t="s">
        <v>29</v>
      </c>
      <c r="V3128" t="s">
        <v>29</v>
      </c>
      <c r="W3128" t="s">
        <v>29</v>
      </c>
      <c r="X3128" t="s">
        <v>29</v>
      </c>
      <c r="Y3128" t="s">
        <v>29</v>
      </c>
    </row>
    <row r="3129" spans="1:25" x14ac:dyDescent="0.2">
      <c r="A3129" t="s">
        <v>11591</v>
      </c>
      <c r="B3129" t="s">
        <v>11592</v>
      </c>
      <c r="C3129" t="s">
        <v>14617</v>
      </c>
      <c r="D3129" t="s">
        <v>11593</v>
      </c>
      <c r="E3129" t="s">
        <v>11592</v>
      </c>
      <c r="F3129" t="s">
        <v>28</v>
      </c>
      <c r="G3129" t="s">
        <v>11592</v>
      </c>
      <c r="H3129" t="str">
        <f>"F28B3.10"</f>
        <v>F28B3.10</v>
      </c>
      <c r="I3129" t="s">
        <v>11593</v>
      </c>
      <c r="J3129">
        <v>15.263352926979</v>
      </c>
      <c r="K3129">
        <v>15.005565476125</v>
      </c>
      <c r="L3129">
        <v>14.6098132092818</v>
      </c>
      <c r="M3129">
        <v>13.790074035017099</v>
      </c>
      <c r="N3129">
        <v>14.660206157453599</v>
      </c>
      <c r="O3129">
        <v>14.9378887840485</v>
      </c>
      <c r="P3129">
        <v>-0.49685421195550999</v>
      </c>
      <c r="Q3129">
        <v>-1.0369810281934899</v>
      </c>
      <c r="R3129">
        <v>4.3272604282471802E-2</v>
      </c>
      <c r="S3129">
        <v>14.634857508639101</v>
      </c>
      <c r="T3129">
        <v>-1.9334179631700801</v>
      </c>
      <c r="U3129">
        <v>-5.3758371238664502</v>
      </c>
      <c r="V3129">
        <v>6.9164031451898297E-2</v>
      </c>
      <c r="W3129">
        <v>0.16918379010326801</v>
      </c>
      <c r="X3129">
        <v>0</v>
      </c>
      <c r="Y3129">
        <v>0</v>
      </c>
    </row>
    <row r="3130" spans="1:25" x14ac:dyDescent="0.2">
      <c r="A3130" t="s">
        <v>11594</v>
      </c>
      <c r="B3130" t="s">
        <v>11595</v>
      </c>
      <c r="C3130" t="s">
        <v>11596</v>
      </c>
      <c r="D3130" t="s">
        <v>312</v>
      </c>
      <c r="E3130" t="s">
        <v>11595</v>
      </c>
      <c r="F3130" t="s">
        <v>28</v>
      </c>
      <c r="G3130" t="s">
        <v>11595</v>
      </c>
      <c r="H3130" t="str">
        <f>"acl-11"</f>
        <v>acl-11</v>
      </c>
      <c r="I3130" t="s">
        <v>312</v>
      </c>
      <c r="J3130">
        <v>14.048306000345701</v>
      </c>
      <c r="K3130">
        <v>14.358197581022001</v>
      </c>
      <c r="L3130">
        <v>13.767006360111401</v>
      </c>
      <c r="M3130" t="s">
        <v>29</v>
      </c>
      <c r="N3130">
        <v>13.8248804029536</v>
      </c>
      <c r="O3130">
        <v>13.803050142567001</v>
      </c>
      <c r="P3130">
        <v>-0.24387137439939699</v>
      </c>
      <c r="Q3130">
        <v>-0.74981553515145904</v>
      </c>
      <c r="R3130">
        <v>0.26207278635266401</v>
      </c>
      <c r="S3130">
        <v>14.0766469816919</v>
      </c>
      <c r="T3130">
        <v>-1.01743869605987</v>
      </c>
      <c r="U3130">
        <v>-6.5174664800648401</v>
      </c>
      <c r="V3130">
        <v>0.32329432594919799</v>
      </c>
      <c r="W3130">
        <v>0.49390792046256499</v>
      </c>
      <c r="X3130">
        <v>0</v>
      </c>
      <c r="Y3130">
        <v>0</v>
      </c>
    </row>
    <row r="3131" spans="1:25" x14ac:dyDescent="0.2">
      <c r="A3131" t="s">
        <v>11597</v>
      </c>
      <c r="B3131" t="s">
        <v>11598</v>
      </c>
      <c r="C3131" t="s">
        <v>14618</v>
      </c>
      <c r="D3131" t="s">
        <v>11599</v>
      </c>
      <c r="E3131" t="s">
        <v>11598</v>
      </c>
      <c r="F3131" t="s">
        <v>28</v>
      </c>
      <c r="G3131" t="s">
        <v>11598</v>
      </c>
      <c r="H3131" t="str">
        <f>"Y38A10A.7"</f>
        <v>Y38A10A.7</v>
      </c>
      <c r="I3131" t="s">
        <v>11599</v>
      </c>
      <c r="J3131">
        <v>12.021344676400901</v>
      </c>
      <c r="K3131">
        <v>10.650381969712001</v>
      </c>
      <c r="L3131">
        <v>12.3412967558296</v>
      </c>
      <c r="M3131" t="s">
        <v>29</v>
      </c>
      <c r="N3131" t="s">
        <v>29</v>
      </c>
      <c r="O3131">
        <v>12.5906335721531</v>
      </c>
      <c r="P3131">
        <v>0.91962577150565705</v>
      </c>
      <c r="Q3131">
        <v>-0.30588750777889301</v>
      </c>
      <c r="R3131">
        <v>2.1451390507902102</v>
      </c>
      <c r="S3131">
        <v>11.9881529563804</v>
      </c>
      <c r="T3131">
        <v>1.60042275551567</v>
      </c>
      <c r="U3131">
        <v>-5.5677893125975402</v>
      </c>
      <c r="V3131">
        <v>0.130496175260295</v>
      </c>
      <c r="W3131">
        <v>0.26394799484700798</v>
      </c>
      <c r="X3131">
        <v>0</v>
      </c>
      <c r="Y3131">
        <v>0</v>
      </c>
    </row>
    <row r="3132" spans="1:25" x14ac:dyDescent="0.2">
      <c r="A3132" t="s">
        <v>11600</v>
      </c>
      <c r="B3132" t="s">
        <v>11601</v>
      </c>
      <c r="C3132" t="s">
        <v>14619</v>
      </c>
      <c r="D3132" t="s">
        <v>11602</v>
      </c>
      <c r="E3132" t="s">
        <v>11601</v>
      </c>
      <c r="F3132" t="s">
        <v>28</v>
      </c>
      <c r="G3132" t="s">
        <v>11601</v>
      </c>
      <c r="H3132" t="str">
        <f>"Y71H10B.1"</f>
        <v>Y71H10B.1</v>
      </c>
      <c r="I3132" t="s">
        <v>11602</v>
      </c>
      <c r="J3132">
        <v>17.349191872239299</v>
      </c>
      <c r="K3132">
        <v>17.175339526622199</v>
      </c>
      <c r="L3132">
        <v>17.113776499004199</v>
      </c>
      <c r="M3132">
        <v>16.483891945830301</v>
      </c>
      <c r="N3132">
        <v>16.752548100340199</v>
      </c>
      <c r="O3132">
        <v>16.722816076695199</v>
      </c>
      <c r="P3132">
        <v>-0.55968392499999098</v>
      </c>
      <c r="Q3132">
        <v>-0.88374143124957605</v>
      </c>
      <c r="R3132">
        <v>-0.23562641875040599</v>
      </c>
      <c r="S3132">
        <v>16.7997526928933</v>
      </c>
      <c r="T3132">
        <v>-3.6300554664205702</v>
      </c>
      <c r="U3132">
        <v>-1.9845960271071299</v>
      </c>
      <c r="V3132">
        <v>1.9298784497442001E-3</v>
      </c>
      <c r="W3132">
        <v>1.43076139298721E-2</v>
      </c>
      <c r="X3132">
        <v>0</v>
      </c>
      <c r="Y3132">
        <v>0</v>
      </c>
    </row>
    <row r="3133" spans="1:25" x14ac:dyDescent="0.2">
      <c r="A3133" t="s">
        <v>11603</v>
      </c>
      <c r="B3133" t="s">
        <v>11604</v>
      </c>
      <c r="C3133" t="s">
        <v>11605</v>
      </c>
      <c r="D3133" t="s">
        <v>11606</v>
      </c>
      <c r="E3133" t="s">
        <v>11604</v>
      </c>
      <c r="F3133" t="s">
        <v>28</v>
      </c>
      <c r="G3133" t="s">
        <v>11604</v>
      </c>
      <c r="H3133" t="str">
        <f>"mrpl-9"</f>
        <v>mrpl-9</v>
      </c>
      <c r="I3133" t="s">
        <v>11606</v>
      </c>
      <c r="J3133" t="s">
        <v>29</v>
      </c>
      <c r="K3133" t="s">
        <v>29</v>
      </c>
      <c r="L3133" t="s">
        <v>29</v>
      </c>
      <c r="M3133" t="s">
        <v>29</v>
      </c>
      <c r="N3133" t="s">
        <v>29</v>
      </c>
      <c r="O3133" t="s">
        <v>29</v>
      </c>
      <c r="P3133" t="s">
        <v>29</v>
      </c>
      <c r="Q3133" t="s">
        <v>29</v>
      </c>
      <c r="R3133" t="s">
        <v>29</v>
      </c>
      <c r="S3133">
        <v>13.0070781775763</v>
      </c>
      <c r="T3133" t="s">
        <v>29</v>
      </c>
      <c r="U3133" t="s">
        <v>29</v>
      </c>
      <c r="V3133" t="s">
        <v>29</v>
      </c>
      <c r="W3133" t="s">
        <v>29</v>
      </c>
      <c r="X3133" t="s">
        <v>29</v>
      </c>
      <c r="Y3133" t="s">
        <v>29</v>
      </c>
    </row>
    <row r="3134" spans="1:25" x14ac:dyDescent="0.2">
      <c r="A3134" t="s">
        <v>11607</v>
      </c>
      <c r="B3134" t="s">
        <v>11608</v>
      </c>
      <c r="C3134" t="s">
        <v>11609</v>
      </c>
      <c r="D3134" t="s">
        <v>11610</v>
      </c>
      <c r="E3134" t="s">
        <v>11608</v>
      </c>
      <c r="F3134" t="s">
        <v>28</v>
      </c>
      <c r="G3134" t="s">
        <v>11608</v>
      </c>
      <c r="H3134" t="str">
        <f>"gpaa-1"</f>
        <v>gpaa-1</v>
      </c>
      <c r="I3134" t="s">
        <v>11610</v>
      </c>
      <c r="J3134">
        <v>12.256937772111201</v>
      </c>
      <c r="K3134">
        <v>12.156846170125201</v>
      </c>
      <c r="L3134">
        <v>12.656663130681601</v>
      </c>
      <c r="M3134" t="s">
        <v>29</v>
      </c>
      <c r="N3134">
        <v>12.130040624309601</v>
      </c>
      <c r="O3134">
        <v>12.042309634532501</v>
      </c>
      <c r="P3134">
        <v>-0.27064056155166599</v>
      </c>
      <c r="Q3134">
        <v>-0.79729517930346305</v>
      </c>
      <c r="R3134">
        <v>0.25601405620013101</v>
      </c>
      <c r="S3134">
        <v>12.3505146606695</v>
      </c>
      <c r="T3134">
        <v>-1.0847183886480301</v>
      </c>
      <c r="U3134">
        <v>-6.4477229887897503</v>
      </c>
      <c r="V3134">
        <v>0.293282966250905</v>
      </c>
      <c r="W3134">
        <v>0.46128539171230998</v>
      </c>
      <c r="X3134">
        <v>0</v>
      </c>
      <c r="Y3134">
        <v>0</v>
      </c>
    </row>
    <row r="3135" spans="1:25" x14ac:dyDescent="0.2">
      <c r="A3135" t="s">
        <v>11611</v>
      </c>
      <c r="B3135" t="s">
        <v>11612</v>
      </c>
      <c r="C3135" t="s">
        <v>11613</v>
      </c>
      <c r="D3135" t="s">
        <v>11614</v>
      </c>
      <c r="E3135" t="s">
        <v>11612</v>
      </c>
      <c r="F3135" t="s">
        <v>28</v>
      </c>
      <c r="G3135" t="s">
        <v>11612</v>
      </c>
      <c r="H3135" t="str">
        <f>"rpoa-49"</f>
        <v>rpoa-49</v>
      </c>
      <c r="I3135" t="s">
        <v>11614</v>
      </c>
      <c r="J3135">
        <v>11.626999606866301</v>
      </c>
      <c r="K3135" t="s">
        <v>29</v>
      </c>
      <c r="L3135">
        <v>11.110751549426601</v>
      </c>
      <c r="M3135" t="s">
        <v>29</v>
      </c>
      <c r="N3135" t="s">
        <v>29</v>
      </c>
      <c r="O3135">
        <v>9.7696733298477998</v>
      </c>
      <c r="P3135">
        <v>-1.5992022482985999</v>
      </c>
      <c r="Q3135">
        <v>-3.0860502051202001</v>
      </c>
      <c r="R3135">
        <v>-0.112354291477009</v>
      </c>
      <c r="S3135">
        <v>11.3584876310174</v>
      </c>
      <c r="T3135">
        <v>-2.3084938616463901</v>
      </c>
      <c r="U3135">
        <v>-4.3747430627173998</v>
      </c>
      <c r="V3135">
        <v>3.6880544440238999E-2</v>
      </c>
      <c r="W3135">
        <v>0.112898674791201</v>
      </c>
      <c r="X3135">
        <v>-1</v>
      </c>
      <c r="Y3135">
        <v>0</v>
      </c>
    </row>
    <row r="3136" spans="1:25" x14ac:dyDescent="0.2">
      <c r="A3136" t="s">
        <v>11615</v>
      </c>
      <c r="B3136" t="s">
        <v>11616</v>
      </c>
      <c r="C3136" t="s">
        <v>14620</v>
      </c>
      <c r="D3136" t="s">
        <v>7755</v>
      </c>
      <c r="E3136" t="s">
        <v>11616</v>
      </c>
      <c r="F3136" t="s">
        <v>28</v>
      </c>
      <c r="G3136" t="s">
        <v>11616</v>
      </c>
      <c r="H3136" t="str">
        <f>"Y73B6BL.31"</f>
        <v>Y73B6BL.31</v>
      </c>
      <c r="I3136" t="s">
        <v>7755</v>
      </c>
      <c r="J3136">
        <v>12.862150402791301</v>
      </c>
      <c r="K3136">
        <v>13.114198775000901</v>
      </c>
      <c r="L3136">
        <v>13.2514875336767</v>
      </c>
      <c r="M3136" t="s">
        <v>29</v>
      </c>
      <c r="N3136" t="s">
        <v>29</v>
      </c>
      <c r="O3136">
        <v>13.2741151708125</v>
      </c>
      <c r="P3136">
        <v>0.19816960032283501</v>
      </c>
      <c r="Q3136">
        <v>-0.58673326296408601</v>
      </c>
      <c r="R3136">
        <v>0.98307246360975598</v>
      </c>
      <c r="S3136">
        <v>13.0286313055785</v>
      </c>
      <c r="T3136">
        <v>0.53847150479172701</v>
      </c>
      <c r="U3136">
        <v>-6.6613118003460503</v>
      </c>
      <c r="V3136">
        <v>0.59820721655300901</v>
      </c>
      <c r="W3136">
        <v>0.73241633288723196</v>
      </c>
      <c r="X3136">
        <v>0</v>
      </c>
      <c r="Y3136">
        <v>0</v>
      </c>
    </row>
    <row r="3137" spans="1:25" x14ac:dyDescent="0.2">
      <c r="A3137" t="s">
        <v>11617</v>
      </c>
      <c r="B3137" t="s">
        <v>11618</v>
      </c>
      <c r="C3137" t="s">
        <v>11619</v>
      </c>
      <c r="D3137" t="s">
        <v>11620</v>
      </c>
      <c r="E3137" t="s">
        <v>11618</v>
      </c>
      <c r="F3137" t="s">
        <v>28</v>
      </c>
      <c r="G3137" t="s">
        <v>11618</v>
      </c>
      <c r="H3137" t="str">
        <f>"exos-2"</f>
        <v>exos-2</v>
      </c>
      <c r="I3137" t="s">
        <v>11620</v>
      </c>
      <c r="J3137">
        <v>12.6876119887845</v>
      </c>
      <c r="K3137">
        <v>12.2512921998983</v>
      </c>
      <c r="L3137">
        <v>13.1246754115732</v>
      </c>
      <c r="M3137" t="s">
        <v>29</v>
      </c>
      <c r="N3137" t="s">
        <v>29</v>
      </c>
      <c r="O3137" t="s">
        <v>29</v>
      </c>
      <c r="P3137" t="s">
        <v>29</v>
      </c>
      <c r="Q3137" t="s">
        <v>29</v>
      </c>
      <c r="R3137" t="s">
        <v>29</v>
      </c>
      <c r="S3137">
        <v>12.7915406248562</v>
      </c>
      <c r="T3137" t="s">
        <v>29</v>
      </c>
      <c r="U3137" t="s">
        <v>29</v>
      </c>
      <c r="V3137" t="s">
        <v>29</v>
      </c>
      <c r="W3137" t="s">
        <v>29</v>
      </c>
      <c r="X3137" t="s">
        <v>29</v>
      </c>
      <c r="Y3137" t="s">
        <v>29</v>
      </c>
    </row>
    <row r="3138" spans="1:25" x14ac:dyDescent="0.2">
      <c r="A3138" t="s">
        <v>11621</v>
      </c>
      <c r="B3138" t="s">
        <v>11622</v>
      </c>
      <c r="C3138" t="s">
        <v>14621</v>
      </c>
      <c r="D3138" t="s">
        <v>3939</v>
      </c>
      <c r="E3138" t="s">
        <v>11622</v>
      </c>
      <c r="F3138" t="s">
        <v>28</v>
      </c>
      <c r="G3138" t="s">
        <v>11622</v>
      </c>
      <c r="H3138" t="str">
        <f>"Y69A2AR.1"</f>
        <v>Y69A2AR.1</v>
      </c>
      <c r="I3138" t="s">
        <v>3939</v>
      </c>
      <c r="J3138">
        <v>11.7153440295791</v>
      </c>
      <c r="K3138">
        <v>12.289487077074799</v>
      </c>
      <c r="L3138" t="s">
        <v>29</v>
      </c>
      <c r="M3138" t="s">
        <v>29</v>
      </c>
      <c r="N3138" t="s">
        <v>29</v>
      </c>
      <c r="O3138">
        <v>11.6395437831103</v>
      </c>
      <c r="P3138">
        <v>-0.362871770216673</v>
      </c>
      <c r="Q3138">
        <v>-1.35454831054865</v>
      </c>
      <c r="R3138">
        <v>0.628804770115305</v>
      </c>
      <c r="S3138">
        <v>11.5400258765759</v>
      </c>
      <c r="T3138">
        <v>-0.80632632191647702</v>
      </c>
      <c r="U3138">
        <v>-6.4145412841815199</v>
      </c>
      <c r="V3138">
        <v>0.43730137908056699</v>
      </c>
      <c r="W3138">
        <v>0.60195394327365503</v>
      </c>
      <c r="X3138">
        <v>0</v>
      </c>
      <c r="Y3138">
        <v>0</v>
      </c>
    </row>
    <row r="3139" spans="1:25" x14ac:dyDescent="0.2">
      <c r="A3139" t="s">
        <v>11623</v>
      </c>
      <c r="B3139" t="s">
        <v>11624</v>
      </c>
      <c r="C3139" t="s">
        <v>14622</v>
      </c>
      <c r="D3139" t="s">
        <v>11625</v>
      </c>
      <c r="E3139" t="s">
        <v>11624</v>
      </c>
      <c r="F3139" t="s">
        <v>28</v>
      </c>
      <c r="G3139" t="s">
        <v>11624</v>
      </c>
      <c r="H3139" t="str">
        <f>"Y69A2AR.16"</f>
        <v>Y69A2AR.16</v>
      </c>
      <c r="I3139" t="s">
        <v>11625</v>
      </c>
      <c r="J3139">
        <v>13.3819054904443</v>
      </c>
      <c r="K3139">
        <v>12.988009105552299</v>
      </c>
      <c r="L3139">
        <v>12.844341048125001</v>
      </c>
      <c r="M3139" t="s">
        <v>29</v>
      </c>
      <c r="N3139">
        <v>13.4281562622207</v>
      </c>
      <c r="O3139">
        <v>12.8252483355393</v>
      </c>
      <c r="P3139">
        <v>5.5283750839503702E-2</v>
      </c>
      <c r="Q3139">
        <v>-0.74662261620397996</v>
      </c>
      <c r="R3139">
        <v>0.85719011788298705</v>
      </c>
      <c r="S3139">
        <v>13.260780808459501</v>
      </c>
      <c r="T3139">
        <v>0.14552039080305301</v>
      </c>
      <c r="U3139">
        <v>-7.0343506825465401</v>
      </c>
      <c r="V3139">
        <v>0.88602205408205703</v>
      </c>
      <c r="W3139">
        <v>0.93154013320721496</v>
      </c>
      <c r="X3139">
        <v>0</v>
      </c>
      <c r="Y3139">
        <v>0</v>
      </c>
    </row>
    <row r="3140" spans="1:25" x14ac:dyDescent="0.2">
      <c r="A3140" t="s">
        <v>11626</v>
      </c>
      <c r="B3140" t="s">
        <v>11627</v>
      </c>
      <c r="C3140" t="s">
        <v>14623</v>
      </c>
      <c r="D3140" t="s">
        <v>11628</v>
      </c>
      <c r="E3140" t="s">
        <v>11627</v>
      </c>
      <c r="F3140" t="s">
        <v>28</v>
      </c>
      <c r="G3140" t="s">
        <v>11627</v>
      </c>
      <c r="H3140" t="str">
        <f>"Y69A2AR.18"</f>
        <v>Y69A2AR.18</v>
      </c>
      <c r="I3140" t="s">
        <v>11628</v>
      </c>
      <c r="J3140">
        <v>18.016728198075899</v>
      </c>
      <c r="K3140">
        <v>17.684651946310101</v>
      </c>
      <c r="L3140">
        <v>17.6216696460469</v>
      </c>
      <c r="M3140">
        <v>16.862046417382299</v>
      </c>
      <c r="N3140">
        <v>17.123841147993499</v>
      </c>
      <c r="O3140">
        <v>16.997781263029701</v>
      </c>
      <c r="P3140">
        <v>-0.77979365400913603</v>
      </c>
      <c r="Q3140">
        <v>-1.1908417748126401</v>
      </c>
      <c r="R3140">
        <v>-0.36874553320563003</v>
      </c>
      <c r="S3140">
        <v>17.460849221613898</v>
      </c>
      <c r="T3140">
        <v>-3.9873057833116499</v>
      </c>
      <c r="U3140">
        <v>-1.19995582154272</v>
      </c>
      <c r="V3140">
        <v>8.7255625539168905E-4</v>
      </c>
      <c r="W3140">
        <v>8.2647607786567202E-3</v>
      </c>
      <c r="X3140">
        <v>0</v>
      </c>
      <c r="Y3140">
        <v>0</v>
      </c>
    </row>
    <row r="3141" spans="1:25" x14ac:dyDescent="0.2">
      <c r="A3141" t="s">
        <v>11629</v>
      </c>
      <c r="B3141" t="s">
        <v>11630</v>
      </c>
      <c r="C3141" t="s">
        <v>11631</v>
      </c>
      <c r="D3141" t="s">
        <v>11632</v>
      </c>
      <c r="E3141" t="s">
        <v>11630</v>
      </c>
      <c r="F3141" t="s">
        <v>28</v>
      </c>
      <c r="G3141" t="s">
        <v>11630</v>
      </c>
      <c r="H3141" t="str">
        <f>"ppm-1.d"</f>
        <v>ppm-1.d</v>
      </c>
      <c r="I3141" t="s">
        <v>11632</v>
      </c>
      <c r="J3141">
        <v>11.8305495211878</v>
      </c>
      <c r="K3141">
        <v>11.7979498575846</v>
      </c>
      <c r="L3141">
        <v>12.131110792932001</v>
      </c>
      <c r="M3141" t="s">
        <v>29</v>
      </c>
      <c r="N3141" t="s">
        <v>29</v>
      </c>
      <c r="O3141">
        <v>12.551336359568401</v>
      </c>
      <c r="P3141">
        <v>0.63146630233359602</v>
      </c>
      <c r="Q3141">
        <v>-0.1178131257878</v>
      </c>
      <c r="R3141">
        <v>1.3807457304549899</v>
      </c>
      <c r="S3141">
        <v>12.751621202867801</v>
      </c>
      <c r="T3141">
        <v>1.8088321294660601</v>
      </c>
      <c r="U3141">
        <v>-5.25866535226631</v>
      </c>
      <c r="V3141">
        <v>9.2160125231743606E-2</v>
      </c>
      <c r="W3141">
        <v>0.205780352583392</v>
      </c>
      <c r="X3141">
        <v>0</v>
      </c>
      <c r="Y3141">
        <v>0</v>
      </c>
    </row>
    <row r="3142" spans="1:25" x14ac:dyDescent="0.2">
      <c r="A3142" t="s">
        <v>11633</v>
      </c>
      <c r="B3142" t="s">
        <v>11634</v>
      </c>
      <c r="C3142" t="s">
        <v>14624</v>
      </c>
      <c r="D3142" t="s">
        <v>11635</v>
      </c>
      <c r="E3142" t="s">
        <v>11634</v>
      </c>
      <c r="F3142" t="s">
        <v>28</v>
      </c>
      <c r="G3142" t="s">
        <v>11634</v>
      </c>
      <c r="H3142" t="str">
        <f>"Y54F10BM.13"</f>
        <v>Y54F10BM.13</v>
      </c>
      <c r="I3142" t="s">
        <v>11635</v>
      </c>
      <c r="J3142" t="s">
        <v>29</v>
      </c>
      <c r="K3142" t="s">
        <v>29</v>
      </c>
      <c r="L3142" t="s">
        <v>29</v>
      </c>
      <c r="M3142" t="s">
        <v>29</v>
      </c>
      <c r="N3142" t="s">
        <v>29</v>
      </c>
      <c r="O3142" t="s">
        <v>29</v>
      </c>
      <c r="P3142" t="s">
        <v>29</v>
      </c>
      <c r="Q3142" t="s">
        <v>29</v>
      </c>
      <c r="R3142" t="s">
        <v>29</v>
      </c>
      <c r="S3142">
        <v>10.8844818170188</v>
      </c>
      <c r="T3142" t="s">
        <v>29</v>
      </c>
      <c r="U3142" t="s">
        <v>29</v>
      </c>
      <c r="V3142" t="s">
        <v>29</v>
      </c>
      <c r="W3142" t="s">
        <v>29</v>
      </c>
      <c r="X3142" t="s">
        <v>29</v>
      </c>
      <c r="Y3142" t="s">
        <v>29</v>
      </c>
    </row>
    <row r="3143" spans="1:25" x14ac:dyDescent="0.2">
      <c r="A3143" t="s">
        <v>11636</v>
      </c>
      <c r="B3143" t="s">
        <v>11637</v>
      </c>
      <c r="C3143" t="s">
        <v>11638</v>
      </c>
      <c r="D3143" t="s">
        <v>534</v>
      </c>
      <c r="E3143" t="s">
        <v>11637</v>
      </c>
      <c r="F3143" t="s">
        <v>28</v>
      </c>
      <c r="G3143" t="s">
        <v>11637</v>
      </c>
      <c r="H3143" t="str">
        <f>"chaf-2"</f>
        <v>chaf-2</v>
      </c>
      <c r="I3143" t="s">
        <v>534</v>
      </c>
      <c r="J3143" t="s">
        <v>29</v>
      </c>
      <c r="K3143" t="s">
        <v>29</v>
      </c>
      <c r="L3143">
        <v>10.1816479755333</v>
      </c>
      <c r="M3143" t="s">
        <v>29</v>
      </c>
      <c r="N3143" t="s">
        <v>29</v>
      </c>
      <c r="O3143" t="s">
        <v>29</v>
      </c>
      <c r="P3143" t="s">
        <v>29</v>
      </c>
      <c r="Q3143" t="s">
        <v>29</v>
      </c>
      <c r="R3143" t="s">
        <v>29</v>
      </c>
      <c r="S3143">
        <v>11.573151692926301</v>
      </c>
      <c r="T3143" t="s">
        <v>29</v>
      </c>
      <c r="U3143" t="s">
        <v>29</v>
      </c>
      <c r="V3143" t="s">
        <v>29</v>
      </c>
      <c r="W3143" t="s">
        <v>29</v>
      </c>
      <c r="X3143" t="s">
        <v>29</v>
      </c>
      <c r="Y3143" t="s">
        <v>29</v>
      </c>
    </row>
    <row r="3144" spans="1:25" x14ac:dyDescent="0.2">
      <c r="A3144" t="s">
        <v>11639</v>
      </c>
      <c r="B3144" t="s">
        <v>11640</v>
      </c>
      <c r="C3144" t="s">
        <v>11641</v>
      </c>
      <c r="D3144" t="s">
        <v>7359</v>
      </c>
      <c r="E3144" t="s">
        <v>11640</v>
      </c>
      <c r="F3144" t="s">
        <v>28</v>
      </c>
      <c r="G3144" t="s">
        <v>11640</v>
      </c>
      <c r="H3144" t="str">
        <f>"rml-5"</f>
        <v>rml-5</v>
      </c>
      <c r="I3144" t="s">
        <v>7359</v>
      </c>
      <c r="J3144">
        <v>12.6357064377515</v>
      </c>
      <c r="K3144">
        <v>12.7558111840529</v>
      </c>
      <c r="L3144">
        <v>12.8357485730583</v>
      </c>
      <c r="M3144" t="s">
        <v>29</v>
      </c>
      <c r="N3144">
        <v>13.530485802504099</v>
      </c>
      <c r="O3144">
        <v>13.860098322643999</v>
      </c>
      <c r="P3144">
        <v>0.95286999761978597</v>
      </c>
      <c r="Q3144">
        <v>1.10090910274083E-2</v>
      </c>
      <c r="R3144">
        <v>1.8947309042121601</v>
      </c>
      <c r="S3144">
        <v>13.042746818931899</v>
      </c>
      <c r="T3144">
        <v>2.1354868171568899</v>
      </c>
      <c r="U3144">
        <v>-4.9253856890331296</v>
      </c>
      <c r="V3144">
        <v>4.7662519738072902E-2</v>
      </c>
      <c r="W3144">
        <v>0.13188868137849799</v>
      </c>
      <c r="X3144">
        <v>0</v>
      </c>
      <c r="Y3144">
        <v>0</v>
      </c>
    </row>
    <row r="3145" spans="1:25" x14ac:dyDescent="0.2">
      <c r="A3145" t="s">
        <v>11642</v>
      </c>
      <c r="B3145" t="s">
        <v>11643</v>
      </c>
      <c r="C3145" t="s">
        <v>14625</v>
      </c>
      <c r="D3145" t="s">
        <v>107</v>
      </c>
      <c r="E3145" t="s">
        <v>11643</v>
      </c>
      <c r="F3145" t="s">
        <v>28</v>
      </c>
      <c r="G3145" t="s">
        <v>11643</v>
      </c>
      <c r="H3145" t="str">
        <f>"Y71G12B.25"</f>
        <v>Y71G12B.25</v>
      </c>
      <c r="I3145" t="s">
        <v>107</v>
      </c>
      <c r="J3145">
        <v>14.930999999381401</v>
      </c>
      <c r="K3145">
        <v>14.6490034915688</v>
      </c>
      <c r="L3145">
        <v>15.5808908908866</v>
      </c>
      <c r="M3145">
        <v>13.738749759943101</v>
      </c>
      <c r="N3145" t="s">
        <v>29</v>
      </c>
      <c r="O3145">
        <v>14.3476973533798</v>
      </c>
      <c r="P3145">
        <v>-1.01040790395082</v>
      </c>
      <c r="Q3145">
        <v>-1.8518962215522401</v>
      </c>
      <c r="R3145">
        <v>-0.16891958634940199</v>
      </c>
      <c r="S3145">
        <v>15.380132501753501</v>
      </c>
      <c r="T3145">
        <v>-2.5345371247801598</v>
      </c>
      <c r="U3145">
        <v>-4.1874618942011699</v>
      </c>
      <c r="V3145">
        <v>2.14484387734361E-2</v>
      </c>
      <c r="W3145">
        <v>7.6989706535098998E-2</v>
      </c>
      <c r="X3145">
        <v>-1</v>
      </c>
      <c r="Y3145">
        <v>0</v>
      </c>
    </row>
    <row r="3146" spans="1:25" x14ac:dyDescent="0.2">
      <c r="A3146" t="s">
        <v>11644</v>
      </c>
      <c r="B3146" t="s">
        <v>11645</v>
      </c>
      <c r="C3146" t="s">
        <v>11646</v>
      </c>
      <c r="D3146" t="s">
        <v>2791</v>
      </c>
      <c r="E3146" t="s">
        <v>11645</v>
      </c>
      <c r="F3146" t="s">
        <v>28</v>
      </c>
      <c r="G3146" t="s">
        <v>11645</v>
      </c>
      <c r="H3146" t="str">
        <f>"ddx-27"</f>
        <v>ddx-27</v>
      </c>
      <c r="I3146" t="s">
        <v>2791</v>
      </c>
      <c r="J3146">
        <v>15.422141962016299</v>
      </c>
      <c r="K3146">
        <v>15.3839941587628</v>
      </c>
      <c r="L3146">
        <v>15.5501616331292</v>
      </c>
      <c r="M3146">
        <v>14.118897468759</v>
      </c>
      <c r="N3146">
        <v>15.542149620517399</v>
      </c>
      <c r="O3146">
        <v>15.4753491341424</v>
      </c>
      <c r="P3146">
        <v>-0.40663384349647202</v>
      </c>
      <c r="Q3146">
        <v>-0.99020872324671305</v>
      </c>
      <c r="R3146">
        <v>0.176941036253769</v>
      </c>
      <c r="S3146">
        <v>15.6423558191629</v>
      </c>
      <c r="T3146">
        <v>-1.4645339556760799</v>
      </c>
      <c r="U3146">
        <v>-6.0935754453236299</v>
      </c>
      <c r="V3146">
        <v>0.160395534747477</v>
      </c>
      <c r="W3146">
        <v>0.30793852827414597</v>
      </c>
      <c r="X3146">
        <v>0</v>
      </c>
      <c r="Y3146">
        <v>0</v>
      </c>
    </row>
    <row r="3147" spans="1:25" x14ac:dyDescent="0.2">
      <c r="A3147" t="s">
        <v>11647</v>
      </c>
      <c r="B3147" t="s">
        <v>11648</v>
      </c>
      <c r="C3147" t="s">
        <v>11649</v>
      </c>
      <c r="D3147" t="s">
        <v>11650</v>
      </c>
      <c r="E3147" t="s">
        <v>11648</v>
      </c>
      <c r="F3147" t="s">
        <v>28</v>
      </c>
      <c r="G3147" t="s">
        <v>11648</v>
      </c>
      <c r="H3147" t="str">
        <f>"lin-65"</f>
        <v>lin-65</v>
      </c>
      <c r="I3147" t="s">
        <v>11650</v>
      </c>
      <c r="J3147">
        <v>10.8266850978302</v>
      </c>
      <c r="K3147">
        <v>10.431421735351</v>
      </c>
      <c r="L3147">
        <v>10.637155435467699</v>
      </c>
      <c r="M3147" t="s">
        <v>29</v>
      </c>
      <c r="N3147" t="s">
        <v>29</v>
      </c>
      <c r="O3147" t="s">
        <v>29</v>
      </c>
      <c r="P3147" t="s">
        <v>29</v>
      </c>
      <c r="Q3147" t="s">
        <v>29</v>
      </c>
      <c r="R3147" t="s">
        <v>29</v>
      </c>
      <c r="S3147">
        <v>11.8131427809938</v>
      </c>
      <c r="T3147" t="s">
        <v>29</v>
      </c>
      <c r="U3147" t="s">
        <v>29</v>
      </c>
      <c r="V3147" t="s">
        <v>29</v>
      </c>
      <c r="W3147" t="s">
        <v>29</v>
      </c>
      <c r="X3147" t="s">
        <v>29</v>
      </c>
      <c r="Y3147" t="s">
        <v>29</v>
      </c>
    </row>
    <row r="3148" spans="1:25" x14ac:dyDescent="0.2">
      <c r="A3148" t="s">
        <v>11651</v>
      </c>
      <c r="B3148" t="s">
        <v>11652</v>
      </c>
      <c r="C3148" t="s">
        <v>14626</v>
      </c>
      <c r="D3148" t="s">
        <v>11653</v>
      </c>
      <c r="E3148" t="s">
        <v>11652</v>
      </c>
      <c r="F3148" t="s">
        <v>28</v>
      </c>
      <c r="G3148" t="s">
        <v>11652</v>
      </c>
      <c r="H3148" t="str">
        <f>"Y71G12B.10"</f>
        <v>Y71G12B.10</v>
      </c>
      <c r="I3148" t="s">
        <v>11653</v>
      </c>
      <c r="J3148" t="s">
        <v>29</v>
      </c>
      <c r="K3148" t="s">
        <v>29</v>
      </c>
      <c r="L3148" t="s">
        <v>29</v>
      </c>
      <c r="M3148" t="s">
        <v>29</v>
      </c>
      <c r="N3148" t="s">
        <v>29</v>
      </c>
      <c r="O3148">
        <v>11.305296391413901</v>
      </c>
      <c r="P3148" t="s">
        <v>29</v>
      </c>
      <c r="Q3148" t="s">
        <v>29</v>
      </c>
      <c r="R3148" t="s">
        <v>29</v>
      </c>
      <c r="S3148">
        <v>11.0744059313063</v>
      </c>
      <c r="T3148" t="s">
        <v>29</v>
      </c>
      <c r="U3148" t="s">
        <v>29</v>
      </c>
      <c r="V3148" t="s">
        <v>29</v>
      </c>
      <c r="W3148" t="s">
        <v>29</v>
      </c>
      <c r="X3148" t="s">
        <v>29</v>
      </c>
      <c r="Y3148" t="s">
        <v>29</v>
      </c>
    </row>
    <row r="3149" spans="1:25" x14ac:dyDescent="0.2">
      <c r="A3149" t="s">
        <v>11654</v>
      </c>
      <c r="B3149" t="s">
        <v>11655</v>
      </c>
      <c r="C3149" t="s">
        <v>11656</v>
      </c>
      <c r="D3149" t="s">
        <v>11657</v>
      </c>
      <c r="E3149" t="s">
        <v>11655</v>
      </c>
      <c r="F3149" t="s">
        <v>28</v>
      </c>
      <c r="G3149" t="s">
        <v>11655</v>
      </c>
      <c r="H3149" t="str">
        <f>"mppa-1"</f>
        <v>mppa-1</v>
      </c>
      <c r="I3149" t="s">
        <v>11657</v>
      </c>
      <c r="J3149">
        <v>9.8168843946107103</v>
      </c>
      <c r="K3149" t="s">
        <v>29</v>
      </c>
      <c r="L3149">
        <v>10.358557898939701</v>
      </c>
      <c r="M3149" t="s">
        <v>29</v>
      </c>
      <c r="N3149" t="s">
        <v>29</v>
      </c>
      <c r="O3149" t="s">
        <v>29</v>
      </c>
      <c r="P3149" t="s">
        <v>29</v>
      </c>
      <c r="Q3149" t="s">
        <v>29</v>
      </c>
      <c r="R3149" t="s">
        <v>29</v>
      </c>
      <c r="S3149">
        <v>10.263535775975001</v>
      </c>
      <c r="T3149" t="s">
        <v>29</v>
      </c>
      <c r="U3149" t="s">
        <v>29</v>
      </c>
      <c r="V3149" t="s">
        <v>29</v>
      </c>
      <c r="W3149" t="s">
        <v>29</v>
      </c>
      <c r="X3149" t="s">
        <v>29</v>
      </c>
      <c r="Y3149" t="s">
        <v>29</v>
      </c>
    </row>
    <row r="3150" spans="1:25" x14ac:dyDescent="0.2">
      <c r="A3150" t="s">
        <v>11658</v>
      </c>
      <c r="B3150" t="s">
        <v>11659</v>
      </c>
      <c r="C3150" t="s">
        <v>11660</v>
      </c>
      <c r="D3150" t="s">
        <v>11661</v>
      </c>
      <c r="E3150" t="s">
        <v>11659</v>
      </c>
      <c r="F3150" t="s">
        <v>28</v>
      </c>
      <c r="G3150" t="s">
        <v>11659</v>
      </c>
      <c r="H3150" t="str">
        <f>"ubc-3"</f>
        <v>ubc-3</v>
      </c>
      <c r="I3150" t="s">
        <v>11661</v>
      </c>
      <c r="J3150" t="s">
        <v>29</v>
      </c>
      <c r="K3150" t="s">
        <v>29</v>
      </c>
      <c r="L3150" t="s">
        <v>29</v>
      </c>
      <c r="M3150" t="s">
        <v>29</v>
      </c>
      <c r="N3150" t="s">
        <v>29</v>
      </c>
      <c r="O3150">
        <v>12.411248726387401</v>
      </c>
      <c r="P3150" t="s">
        <v>29</v>
      </c>
      <c r="Q3150" t="s">
        <v>29</v>
      </c>
      <c r="R3150" t="s">
        <v>29</v>
      </c>
      <c r="S3150">
        <v>13.352387437935301</v>
      </c>
      <c r="T3150" t="s">
        <v>29</v>
      </c>
      <c r="U3150" t="s">
        <v>29</v>
      </c>
      <c r="V3150" t="s">
        <v>29</v>
      </c>
      <c r="W3150" t="s">
        <v>29</v>
      </c>
      <c r="X3150" t="s">
        <v>29</v>
      </c>
      <c r="Y3150" t="s">
        <v>29</v>
      </c>
    </row>
    <row r="3151" spans="1:25" x14ac:dyDescent="0.2">
      <c r="A3151" t="s">
        <v>11662</v>
      </c>
      <c r="B3151" t="s">
        <v>11663</v>
      </c>
      <c r="C3151" t="s">
        <v>11664</v>
      </c>
      <c r="D3151" t="s">
        <v>1502</v>
      </c>
      <c r="E3151" t="s">
        <v>11663</v>
      </c>
      <c r="F3151" t="s">
        <v>28</v>
      </c>
      <c r="G3151" t="s">
        <v>11663</v>
      </c>
      <c r="H3151" t="str">
        <f>"mca-3"</f>
        <v>mca-3</v>
      </c>
      <c r="I3151" t="s">
        <v>1502</v>
      </c>
      <c r="J3151">
        <v>15.977868157846601</v>
      </c>
      <c r="K3151">
        <v>15.732905979164901</v>
      </c>
      <c r="L3151">
        <v>15.5863259697825</v>
      </c>
      <c r="M3151">
        <v>15.698779495927001</v>
      </c>
      <c r="N3151">
        <v>15.4610706887681</v>
      </c>
      <c r="O3151">
        <v>15.756900432703301</v>
      </c>
      <c r="P3151">
        <v>-0.126783163131895</v>
      </c>
      <c r="Q3151">
        <v>-0.53489908008667097</v>
      </c>
      <c r="R3151">
        <v>0.28133275382287998</v>
      </c>
      <c r="S3151">
        <v>15.655267483034899</v>
      </c>
      <c r="T3151">
        <v>-0.65293592273715695</v>
      </c>
      <c r="U3151">
        <v>-6.9352086057101898</v>
      </c>
      <c r="V3151">
        <v>0.52209842522133698</v>
      </c>
      <c r="W3151">
        <v>0.67276959297213801</v>
      </c>
      <c r="X3151">
        <v>0</v>
      </c>
      <c r="Y3151">
        <v>0</v>
      </c>
    </row>
    <row r="3152" spans="1:25" x14ac:dyDescent="0.2">
      <c r="A3152" t="s">
        <v>11665</v>
      </c>
      <c r="B3152" t="s">
        <v>11666</v>
      </c>
      <c r="C3152" t="s">
        <v>11667</v>
      </c>
      <c r="D3152" t="s">
        <v>11668</v>
      </c>
      <c r="E3152" t="s">
        <v>11666</v>
      </c>
      <c r="F3152" t="s">
        <v>28</v>
      </c>
      <c r="G3152" t="s">
        <v>11666</v>
      </c>
      <c r="H3152" t="str">
        <f>"zwl-1"</f>
        <v>zwl-1</v>
      </c>
      <c r="I3152" t="s">
        <v>11668</v>
      </c>
      <c r="J3152">
        <v>14.4899715697589</v>
      </c>
      <c r="K3152">
        <v>14.2836593293744</v>
      </c>
      <c r="L3152">
        <v>14.3529215688538</v>
      </c>
      <c r="M3152" t="s">
        <v>29</v>
      </c>
      <c r="N3152">
        <v>14.050283387101</v>
      </c>
      <c r="O3152">
        <v>14.0005275860912</v>
      </c>
      <c r="P3152">
        <v>-0.35011200273294202</v>
      </c>
      <c r="Q3152">
        <v>-0.72194497042058503</v>
      </c>
      <c r="R3152">
        <v>2.17209649547013E-2</v>
      </c>
      <c r="S3152">
        <v>14.158803992632199</v>
      </c>
      <c r="T3152">
        <v>-1.9875090737754999</v>
      </c>
      <c r="U3152">
        <v>-5.1811083423838697</v>
      </c>
      <c r="V3152">
        <v>6.3323903274659504E-2</v>
      </c>
      <c r="W3152">
        <v>0.16101427346887101</v>
      </c>
      <c r="X3152">
        <v>0</v>
      </c>
      <c r="Y3152">
        <v>0</v>
      </c>
    </row>
    <row r="3153" spans="1:25" x14ac:dyDescent="0.2">
      <c r="A3153" t="s">
        <v>11669</v>
      </c>
      <c r="B3153" t="s">
        <v>11670</v>
      </c>
      <c r="C3153" t="s">
        <v>11671</v>
      </c>
      <c r="D3153" t="s">
        <v>11672</v>
      </c>
      <c r="E3153" t="s">
        <v>11670</v>
      </c>
      <c r="F3153" t="s">
        <v>28</v>
      </c>
      <c r="G3153" t="s">
        <v>11670</v>
      </c>
      <c r="H3153" t="str">
        <f>"mcm-4"</f>
        <v>mcm-4</v>
      </c>
      <c r="I3153" t="s">
        <v>11672</v>
      </c>
      <c r="J3153">
        <v>14.289611585026799</v>
      </c>
      <c r="K3153">
        <v>14.047112709596499</v>
      </c>
      <c r="L3153">
        <v>14.2687589950872</v>
      </c>
      <c r="M3153">
        <v>14.977449010363401</v>
      </c>
      <c r="N3153">
        <v>12.970434258550499</v>
      </c>
      <c r="O3153">
        <v>14.0472892372707</v>
      </c>
      <c r="P3153">
        <v>-0.20343692784193099</v>
      </c>
      <c r="Q3153">
        <v>-0.89751148703461803</v>
      </c>
      <c r="R3153">
        <v>0.490637631350756</v>
      </c>
      <c r="S3153">
        <v>14.2412975498239</v>
      </c>
      <c r="T3153">
        <v>-0.61605030372474201</v>
      </c>
      <c r="U3153">
        <v>-6.9592286631959102</v>
      </c>
      <c r="V3153">
        <v>0.54561844564120598</v>
      </c>
      <c r="W3153">
        <v>0.69188363137032405</v>
      </c>
      <c r="X3153">
        <v>0</v>
      </c>
      <c r="Y3153">
        <v>0</v>
      </c>
    </row>
    <row r="3154" spans="1:25" x14ac:dyDescent="0.2">
      <c r="A3154" t="s">
        <v>11673</v>
      </c>
      <c r="B3154" t="s">
        <v>11674</v>
      </c>
      <c r="C3154" t="s">
        <v>11675</v>
      </c>
      <c r="D3154" t="s">
        <v>11676</v>
      </c>
      <c r="E3154" t="s">
        <v>11674</v>
      </c>
      <c r="F3154" t="s">
        <v>28</v>
      </c>
      <c r="G3154" t="s">
        <v>11674</v>
      </c>
      <c r="H3154" t="str">
        <f>"eif-2gamma"</f>
        <v>eif-2gamma</v>
      </c>
      <c r="I3154" t="s">
        <v>11676</v>
      </c>
      <c r="J3154">
        <v>18.8969821685589</v>
      </c>
      <c r="K3154">
        <v>18.7061655605312</v>
      </c>
      <c r="L3154">
        <v>18.557382233317099</v>
      </c>
      <c r="M3154">
        <v>18.3305020049566</v>
      </c>
      <c r="N3154">
        <v>18.5348203624199</v>
      </c>
      <c r="O3154">
        <v>18.672008488725499</v>
      </c>
      <c r="P3154">
        <v>-0.20773303543507299</v>
      </c>
      <c r="Q3154">
        <v>-0.52353052835186598</v>
      </c>
      <c r="R3154">
        <v>0.10806445748172</v>
      </c>
      <c r="S3154">
        <v>18.215209247819299</v>
      </c>
      <c r="T3154">
        <v>-1.38257723740761</v>
      </c>
      <c r="U3154">
        <v>-6.2034916594281899</v>
      </c>
      <c r="V3154">
        <v>0.183806853337213</v>
      </c>
      <c r="W3154">
        <v>0.338015525621155</v>
      </c>
      <c r="X3154">
        <v>0</v>
      </c>
      <c r="Y3154">
        <v>0</v>
      </c>
    </row>
    <row r="3155" spans="1:25" x14ac:dyDescent="0.2">
      <c r="A3155" t="s">
        <v>11677</v>
      </c>
      <c r="B3155" t="s">
        <v>11678</v>
      </c>
      <c r="C3155" t="s">
        <v>11679</v>
      </c>
      <c r="D3155" t="s">
        <v>11680</v>
      </c>
      <c r="E3155" t="s">
        <v>11678</v>
      </c>
      <c r="F3155" t="s">
        <v>28</v>
      </c>
      <c r="G3155" t="s">
        <v>11678</v>
      </c>
      <c r="H3155" t="str">
        <f>"nsun-4"</f>
        <v>nsun-4</v>
      </c>
      <c r="I3155" t="s">
        <v>11680</v>
      </c>
      <c r="J3155">
        <v>13.1714890261928</v>
      </c>
      <c r="K3155">
        <v>13.705030903340701</v>
      </c>
      <c r="L3155">
        <v>14.0888999366103</v>
      </c>
      <c r="M3155" t="s">
        <v>29</v>
      </c>
      <c r="N3155">
        <v>13.4225809491651</v>
      </c>
      <c r="O3155">
        <v>14.008072833684899</v>
      </c>
      <c r="P3155">
        <v>6.0186936043706403E-2</v>
      </c>
      <c r="Q3155">
        <v>-0.48455800481840899</v>
      </c>
      <c r="R3155">
        <v>0.60493187690582195</v>
      </c>
      <c r="S3155">
        <v>13.7334230346894</v>
      </c>
      <c r="T3155">
        <v>0.23321637611972601</v>
      </c>
      <c r="U3155">
        <v>-7.0169310268038103</v>
      </c>
      <c r="V3155">
        <v>0.81839551788648501</v>
      </c>
      <c r="W3155">
        <v>0.88568106322982898</v>
      </c>
      <c r="X3155">
        <v>0</v>
      </c>
      <c r="Y3155">
        <v>0</v>
      </c>
    </row>
    <row r="3156" spans="1:25" x14ac:dyDescent="0.2">
      <c r="A3156" t="s">
        <v>11681</v>
      </c>
      <c r="B3156" t="s">
        <v>11682</v>
      </c>
      <c r="C3156" t="s">
        <v>14627</v>
      </c>
      <c r="D3156" t="s">
        <v>534</v>
      </c>
      <c r="E3156" t="s">
        <v>11682</v>
      </c>
      <c r="F3156" t="s">
        <v>28</v>
      </c>
      <c r="G3156" t="s">
        <v>11682</v>
      </c>
      <c r="H3156" t="str">
        <f>"Y39G10AR.9"</f>
        <v>Y39G10AR.9</v>
      </c>
      <c r="I3156" t="s">
        <v>534</v>
      </c>
      <c r="J3156" t="s">
        <v>29</v>
      </c>
      <c r="K3156" t="s">
        <v>29</v>
      </c>
      <c r="L3156">
        <v>11.0567671663791</v>
      </c>
      <c r="M3156" t="s">
        <v>29</v>
      </c>
      <c r="N3156">
        <v>15.6203392787118</v>
      </c>
      <c r="O3156">
        <v>15.2590823973021</v>
      </c>
      <c r="P3156">
        <v>4.3829436716279302</v>
      </c>
      <c r="Q3156">
        <v>3.02956795052802</v>
      </c>
      <c r="R3156">
        <v>5.7363193927278298</v>
      </c>
      <c r="S3156">
        <v>12.687109754736399</v>
      </c>
      <c r="T3156">
        <v>7.0630539016154996</v>
      </c>
      <c r="U3156">
        <v>3.5173147948629802</v>
      </c>
      <c r="V3156" s="2">
        <v>1.37707670962111E-5</v>
      </c>
      <c r="W3156">
        <v>3.6560766335616302E-4</v>
      </c>
      <c r="X3156">
        <v>1</v>
      </c>
      <c r="Y3156">
        <v>1</v>
      </c>
    </row>
    <row r="3157" spans="1:25" x14ac:dyDescent="0.2">
      <c r="A3157" t="s">
        <v>11683</v>
      </c>
      <c r="B3157" t="s">
        <v>11684</v>
      </c>
      <c r="C3157" t="s">
        <v>11685</v>
      </c>
      <c r="D3157" t="s">
        <v>11686</v>
      </c>
      <c r="E3157" t="s">
        <v>11684</v>
      </c>
      <c r="F3157" t="s">
        <v>28</v>
      </c>
      <c r="G3157" t="s">
        <v>11684</v>
      </c>
      <c r="H3157" t="str">
        <f>"epg-2"</f>
        <v>epg-2</v>
      </c>
      <c r="I3157" t="s">
        <v>11686</v>
      </c>
      <c r="J3157" t="s">
        <v>29</v>
      </c>
      <c r="K3157" t="s">
        <v>29</v>
      </c>
      <c r="L3157" t="s">
        <v>29</v>
      </c>
      <c r="M3157" t="s">
        <v>29</v>
      </c>
      <c r="N3157" t="s">
        <v>29</v>
      </c>
      <c r="O3157">
        <v>10.276970713053901</v>
      </c>
      <c r="P3157" t="s">
        <v>29</v>
      </c>
      <c r="Q3157" t="s">
        <v>29</v>
      </c>
      <c r="R3157" t="s">
        <v>29</v>
      </c>
      <c r="S3157">
        <v>9.7882170386661205</v>
      </c>
      <c r="T3157" t="s">
        <v>29</v>
      </c>
      <c r="U3157" t="s">
        <v>29</v>
      </c>
      <c r="V3157" t="s">
        <v>29</v>
      </c>
      <c r="W3157" t="s">
        <v>29</v>
      </c>
      <c r="X3157" t="s">
        <v>29</v>
      </c>
      <c r="Y3157" t="s">
        <v>29</v>
      </c>
    </row>
    <row r="3158" spans="1:25" x14ac:dyDescent="0.2">
      <c r="A3158" t="s">
        <v>11687</v>
      </c>
      <c r="B3158" t="s">
        <v>11688</v>
      </c>
      <c r="C3158" t="s">
        <v>11689</v>
      </c>
      <c r="D3158" t="s">
        <v>11690</v>
      </c>
      <c r="E3158" t="s">
        <v>11688</v>
      </c>
      <c r="F3158" t="s">
        <v>28</v>
      </c>
      <c r="G3158" t="s">
        <v>11688</v>
      </c>
      <c r="H3158" t="str">
        <f>"trap-3"</f>
        <v>trap-3</v>
      </c>
      <c r="I3158" t="s">
        <v>11690</v>
      </c>
      <c r="J3158">
        <v>17.195177038426099</v>
      </c>
      <c r="K3158">
        <v>17.065517814496399</v>
      </c>
      <c r="L3158">
        <v>17.131977108065801</v>
      </c>
      <c r="M3158">
        <v>17.024306593376298</v>
      </c>
      <c r="N3158">
        <v>16.719796180387501</v>
      </c>
      <c r="O3158">
        <v>16.698422021171201</v>
      </c>
      <c r="P3158">
        <v>-0.316715722017815</v>
      </c>
      <c r="Q3158">
        <v>-0.66849659905053205</v>
      </c>
      <c r="R3158">
        <v>3.5065155014902601E-2</v>
      </c>
      <c r="S3158">
        <v>16.990661283040701</v>
      </c>
      <c r="T3158">
        <v>-1.89229964746192</v>
      </c>
      <c r="U3158">
        <v>-5.4442919615617296</v>
      </c>
      <c r="V3158">
        <v>7.4744262000417394E-2</v>
      </c>
      <c r="W3158">
        <v>0.179082390337585</v>
      </c>
      <c r="X3158">
        <v>0</v>
      </c>
      <c r="Y3158">
        <v>0</v>
      </c>
    </row>
    <row r="3159" spans="1:25" x14ac:dyDescent="0.2">
      <c r="A3159" t="s">
        <v>11691</v>
      </c>
      <c r="B3159" t="s">
        <v>11692</v>
      </c>
      <c r="C3159" t="s">
        <v>11693</v>
      </c>
      <c r="D3159" t="s">
        <v>11694</v>
      </c>
      <c r="E3159" t="s">
        <v>11692</v>
      </c>
      <c r="F3159" t="s">
        <v>28</v>
      </c>
      <c r="G3159" t="s">
        <v>11692</v>
      </c>
      <c r="H3159" t="str">
        <f>"sec-61.b"</f>
        <v>sec-61.b</v>
      </c>
      <c r="I3159" t="s">
        <v>11694</v>
      </c>
      <c r="J3159">
        <v>12.578072147899499</v>
      </c>
      <c r="K3159" t="s">
        <v>29</v>
      </c>
      <c r="L3159">
        <v>12.783907719356201</v>
      </c>
      <c r="M3159" t="s">
        <v>29</v>
      </c>
      <c r="N3159" t="s">
        <v>29</v>
      </c>
      <c r="O3159">
        <v>13.094931941435201</v>
      </c>
      <c r="P3159">
        <v>0.41394200780740498</v>
      </c>
      <c r="Q3159">
        <v>-1.0234799552536999</v>
      </c>
      <c r="R3159">
        <v>1.8513639708685099</v>
      </c>
      <c r="S3159">
        <v>12.677695366180901</v>
      </c>
      <c r="T3159">
        <v>0.62805870300095901</v>
      </c>
      <c r="U3159">
        <v>-6.5470546662824898</v>
      </c>
      <c r="V3159">
        <v>0.54183616887107799</v>
      </c>
      <c r="W3159">
        <v>0.68856886143297302</v>
      </c>
      <c r="X3159">
        <v>0</v>
      </c>
      <c r="Y3159">
        <v>0</v>
      </c>
    </row>
    <row r="3160" spans="1:25" x14ac:dyDescent="0.2">
      <c r="A3160" t="s">
        <v>11695</v>
      </c>
      <c r="B3160" t="s">
        <v>11696</v>
      </c>
      <c r="C3160" t="s">
        <v>11697</v>
      </c>
      <c r="D3160" t="s">
        <v>11698</v>
      </c>
      <c r="E3160" t="s">
        <v>11696</v>
      </c>
      <c r="F3160" t="s">
        <v>28</v>
      </c>
      <c r="G3160" t="s">
        <v>11696</v>
      </c>
      <c r="H3160" t="str">
        <f>"trap-1"</f>
        <v>trap-1</v>
      </c>
      <c r="I3160" t="s">
        <v>11698</v>
      </c>
      <c r="J3160">
        <v>16.061431295749699</v>
      </c>
      <c r="K3160">
        <v>16.070969047403899</v>
      </c>
      <c r="L3160">
        <v>16.1450324696198</v>
      </c>
      <c r="M3160">
        <v>15.601758551169601</v>
      </c>
      <c r="N3160">
        <v>15.2243689162233</v>
      </c>
      <c r="O3160">
        <v>15.3967730429351</v>
      </c>
      <c r="P3160">
        <v>-0.68484410081508396</v>
      </c>
      <c r="Q3160">
        <v>-1.0394722643726599</v>
      </c>
      <c r="R3160">
        <v>-0.33021593725751203</v>
      </c>
      <c r="S3160">
        <v>15.6242867081782</v>
      </c>
      <c r="T3160">
        <v>-4.05892483776306</v>
      </c>
      <c r="U3160">
        <v>-1.04201491728775</v>
      </c>
      <c r="V3160">
        <v>7.4426426598457303E-4</v>
      </c>
      <c r="W3160">
        <v>7.4603632376072596E-3</v>
      </c>
      <c r="X3160">
        <v>0</v>
      </c>
      <c r="Y3160">
        <v>0</v>
      </c>
    </row>
    <row r="3161" spans="1:25" x14ac:dyDescent="0.2">
      <c r="A3161" t="s">
        <v>11699</v>
      </c>
      <c r="B3161" t="s">
        <v>11700</v>
      </c>
      <c r="C3161" t="s">
        <v>11701</v>
      </c>
      <c r="D3161" t="s">
        <v>11702</v>
      </c>
      <c r="E3161" t="s">
        <v>11700</v>
      </c>
      <c r="F3161" t="s">
        <v>28</v>
      </c>
      <c r="G3161" t="s">
        <v>11700</v>
      </c>
      <c r="H3161" t="str">
        <f>"sut-2"</f>
        <v>sut-2</v>
      </c>
      <c r="I3161" t="s">
        <v>11702</v>
      </c>
      <c r="J3161" t="s">
        <v>29</v>
      </c>
      <c r="K3161" t="s">
        <v>29</v>
      </c>
      <c r="L3161" t="s">
        <v>29</v>
      </c>
      <c r="M3161" t="s">
        <v>29</v>
      </c>
      <c r="N3161" t="s">
        <v>29</v>
      </c>
      <c r="O3161" t="s">
        <v>29</v>
      </c>
      <c r="P3161" t="s">
        <v>29</v>
      </c>
      <c r="Q3161" t="s">
        <v>29</v>
      </c>
      <c r="R3161" t="s">
        <v>29</v>
      </c>
      <c r="S3161">
        <v>9.9822916356159404</v>
      </c>
      <c r="T3161" t="s">
        <v>29</v>
      </c>
      <c r="U3161" t="s">
        <v>29</v>
      </c>
      <c r="V3161" t="s">
        <v>29</v>
      </c>
      <c r="W3161" t="s">
        <v>29</v>
      </c>
      <c r="X3161" t="s">
        <v>29</v>
      </c>
      <c r="Y3161" t="s">
        <v>29</v>
      </c>
    </row>
    <row r="3162" spans="1:25" x14ac:dyDescent="0.2">
      <c r="A3162" t="s">
        <v>11703</v>
      </c>
      <c r="B3162" t="s">
        <v>11704</v>
      </c>
      <c r="C3162" t="s">
        <v>11705</v>
      </c>
      <c r="D3162" t="s">
        <v>11706</v>
      </c>
      <c r="E3162" t="s">
        <v>11704</v>
      </c>
      <c r="F3162" t="s">
        <v>28</v>
      </c>
      <c r="G3162" t="s">
        <v>11704</v>
      </c>
      <c r="H3162" t="str">
        <f>"ubc-13"</f>
        <v>ubc-13</v>
      </c>
      <c r="I3162" t="s">
        <v>11706</v>
      </c>
      <c r="J3162">
        <v>13.642812077030101</v>
      </c>
      <c r="K3162">
        <v>13.753354473126601</v>
      </c>
      <c r="L3162">
        <v>13.857990087398401</v>
      </c>
      <c r="M3162">
        <v>12.9835200180685</v>
      </c>
      <c r="N3162">
        <v>13.301222242203901</v>
      </c>
      <c r="O3162">
        <v>13.3703665187679</v>
      </c>
      <c r="P3162">
        <v>-0.53301595283830105</v>
      </c>
      <c r="Q3162">
        <v>-1.0298243087635801</v>
      </c>
      <c r="R3162">
        <v>-3.6207596913018301E-2</v>
      </c>
      <c r="S3162">
        <v>13.313317721790201</v>
      </c>
      <c r="T3162">
        <v>-2.2549858904194902</v>
      </c>
      <c r="U3162">
        <v>-4.8094615671852203</v>
      </c>
      <c r="V3162">
        <v>3.6902487258623301E-2</v>
      </c>
      <c r="W3162">
        <v>0.112898674791201</v>
      </c>
      <c r="X3162">
        <v>0</v>
      </c>
      <c r="Y3162">
        <v>0</v>
      </c>
    </row>
    <row r="3163" spans="1:25" x14ac:dyDescent="0.2">
      <c r="A3163" t="s">
        <v>11707</v>
      </c>
      <c r="B3163" t="s">
        <v>11708</v>
      </c>
      <c r="C3163" t="s">
        <v>11709</v>
      </c>
      <c r="D3163" t="s">
        <v>11710</v>
      </c>
      <c r="E3163" t="s">
        <v>11708</v>
      </c>
      <c r="F3163" t="s">
        <v>28</v>
      </c>
      <c r="G3163" t="s">
        <v>11708</v>
      </c>
      <c r="H3163" t="str">
        <f>"nprt-1"</f>
        <v>nprt-1</v>
      </c>
      <c r="I3163" t="s">
        <v>11710</v>
      </c>
      <c r="J3163">
        <v>13.456503355819599</v>
      </c>
      <c r="K3163">
        <v>13.278154456833899</v>
      </c>
      <c r="L3163">
        <v>12.6805740386596</v>
      </c>
      <c r="M3163" t="s">
        <v>29</v>
      </c>
      <c r="N3163" t="s">
        <v>29</v>
      </c>
      <c r="O3163">
        <v>12.279443815293</v>
      </c>
      <c r="P3163">
        <v>-0.85896680181141405</v>
      </c>
      <c r="Q3163">
        <v>-1.7064567114133</v>
      </c>
      <c r="R3163">
        <v>-1.14768922095292E-2</v>
      </c>
      <c r="S3163">
        <v>12.7042262461562</v>
      </c>
      <c r="T3163">
        <v>-2.1497669052839399</v>
      </c>
      <c r="U3163">
        <v>-4.6857518847124497</v>
      </c>
      <c r="V3163">
        <v>4.7320397467831503E-2</v>
      </c>
      <c r="W3163">
        <v>0.13118834556698</v>
      </c>
      <c r="X3163">
        <v>0</v>
      </c>
      <c r="Y3163">
        <v>0</v>
      </c>
    </row>
    <row r="3164" spans="1:25" x14ac:dyDescent="0.2">
      <c r="A3164" t="s">
        <v>11711</v>
      </c>
      <c r="B3164" t="s">
        <v>11712</v>
      </c>
      <c r="C3164" t="s">
        <v>11713</v>
      </c>
      <c r="D3164" t="s">
        <v>11714</v>
      </c>
      <c r="E3164" t="s">
        <v>11712</v>
      </c>
      <c r="F3164" t="s">
        <v>28</v>
      </c>
      <c r="G3164" t="s">
        <v>11712</v>
      </c>
      <c r="H3164" t="str">
        <f>"nol-6"</f>
        <v>nol-6</v>
      </c>
      <c r="I3164" t="s">
        <v>11714</v>
      </c>
      <c r="J3164">
        <v>14.1294573358385</v>
      </c>
      <c r="K3164">
        <v>14.310058270026801</v>
      </c>
      <c r="L3164">
        <v>14.2736642602946</v>
      </c>
      <c r="M3164">
        <v>14.289184677241099</v>
      </c>
      <c r="N3164">
        <v>14.5576862297705</v>
      </c>
      <c r="O3164">
        <v>14.390988494516201</v>
      </c>
      <c r="P3164">
        <v>0.174893178455962</v>
      </c>
      <c r="Q3164">
        <v>-0.17687203366556301</v>
      </c>
      <c r="R3164">
        <v>0.52665839057748698</v>
      </c>
      <c r="S3164">
        <v>14.1746029920458</v>
      </c>
      <c r="T3164">
        <v>1.0449908700539201</v>
      </c>
      <c r="U3164">
        <v>-6.6001301295405304</v>
      </c>
      <c r="V3164">
        <v>0.30993850846120802</v>
      </c>
      <c r="W3164">
        <v>0.479469178181196</v>
      </c>
      <c r="X3164">
        <v>0</v>
      </c>
      <c r="Y3164">
        <v>0</v>
      </c>
    </row>
    <row r="3165" spans="1:25" x14ac:dyDescent="0.2">
      <c r="A3165" t="s">
        <v>11715</v>
      </c>
      <c r="B3165" t="s">
        <v>11716</v>
      </c>
      <c r="C3165" t="s">
        <v>11717</v>
      </c>
      <c r="D3165" t="s">
        <v>11718</v>
      </c>
      <c r="E3165" t="s">
        <v>11716</v>
      </c>
      <c r="F3165" t="s">
        <v>28</v>
      </c>
      <c r="G3165" t="s">
        <v>11716</v>
      </c>
      <c r="H3165" t="str">
        <f>"scc-2"</f>
        <v>scc-2</v>
      </c>
      <c r="I3165" t="s">
        <v>11718</v>
      </c>
      <c r="J3165">
        <v>11.494733298737399</v>
      </c>
      <c r="K3165">
        <v>11.7957814434833</v>
      </c>
      <c r="L3165">
        <v>11.5340085093131</v>
      </c>
      <c r="M3165">
        <v>13.544444666402599</v>
      </c>
      <c r="N3165">
        <v>11.6753386522862</v>
      </c>
      <c r="O3165">
        <v>11.193588756284001</v>
      </c>
      <c r="P3165">
        <v>0.52961627447963999</v>
      </c>
      <c r="Q3165">
        <v>-0.314621695838597</v>
      </c>
      <c r="R3165">
        <v>1.3738542447978801</v>
      </c>
      <c r="S3165">
        <v>12.089604738137</v>
      </c>
      <c r="T3165">
        <v>1.3185267774003899</v>
      </c>
      <c r="U3165">
        <v>-6.2858324637980196</v>
      </c>
      <c r="V3165">
        <v>0.203954497930983</v>
      </c>
      <c r="W3165">
        <v>0.36383408317349097</v>
      </c>
      <c r="X3165">
        <v>0</v>
      </c>
      <c r="Y3165">
        <v>0</v>
      </c>
    </row>
    <row r="3166" spans="1:25" x14ac:dyDescent="0.2">
      <c r="A3166" t="s">
        <v>11719</v>
      </c>
      <c r="B3166" t="s">
        <v>11720</v>
      </c>
      <c r="C3166" t="s">
        <v>11721</v>
      </c>
      <c r="D3166" t="s">
        <v>11722</v>
      </c>
      <c r="E3166" t="s">
        <v>11720</v>
      </c>
      <c r="F3166" t="s">
        <v>28</v>
      </c>
      <c r="G3166" t="s">
        <v>11720</v>
      </c>
      <c r="H3166" t="str">
        <f>"laat-1"</f>
        <v>laat-1</v>
      </c>
      <c r="I3166" t="s">
        <v>11722</v>
      </c>
      <c r="J3166">
        <v>14.403050771636201</v>
      </c>
      <c r="K3166" t="s">
        <v>29</v>
      </c>
      <c r="L3166" t="s">
        <v>29</v>
      </c>
      <c r="M3166">
        <v>15.396561103123</v>
      </c>
      <c r="N3166" t="s">
        <v>29</v>
      </c>
      <c r="O3166">
        <v>8.7998507774358092</v>
      </c>
      <c r="P3166">
        <v>-2.3048448313568599</v>
      </c>
      <c r="Q3166">
        <v>-10.898116264747699</v>
      </c>
      <c r="R3166">
        <v>6.2884266020339403</v>
      </c>
      <c r="S3166">
        <v>13.017905946951901</v>
      </c>
      <c r="T3166">
        <v>-0.66648255512463594</v>
      </c>
      <c r="U3166">
        <v>-6.5063536436826199</v>
      </c>
      <c r="V3166">
        <v>0.53138582876157803</v>
      </c>
      <c r="W3166">
        <v>0.68145954628388605</v>
      </c>
      <c r="X3166">
        <v>0</v>
      </c>
      <c r="Y3166">
        <v>0</v>
      </c>
    </row>
    <row r="3167" spans="1:25" x14ac:dyDescent="0.2">
      <c r="A3167" t="s">
        <v>11723</v>
      </c>
      <c r="B3167" t="s">
        <v>11724</v>
      </c>
      <c r="C3167" t="s">
        <v>11725</v>
      </c>
      <c r="D3167" t="s">
        <v>11726</v>
      </c>
      <c r="E3167" t="s">
        <v>11724</v>
      </c>
      <c r="F3167" t="s">
        <v>28</v>
      </c>
      <c r="G3167" t="s">
        <v>11724</v>
      </c>
      <c r="H3167" t="str">
        <f>"rps-28"</f>
        <v>rps-28</v>
      </c>
      <c r="I3167" t="s">
        <v>11726</v>
      </c>
      <c r="J3167">
        <v>20.341782057180101</v>
      </c>
      <c r="K3167">
        <v>20.412074205998699</v>
      </c>
      <c r="L3167">
        <v>20.481214033903701</v>
      </c>
      <c r="M3167">
        <v>20.244511067928599</v>
      </c>
      <c r="N3167">
        <v>19.473500086550601</v>
      </c>
      <c r="O3167">
        <v>19.142183079399999</v>
      </c>
      <c r="P3167">
        <v>-0.79162535440108395</v>
      </c>
      <c r="Q3167">
        <v>-1.4422554773898</v>
      </c>
      <c r="R3167">
        <v>-0.140995231412364</v>
      </c>
      <c r="S3167">
        <v>20.061920811384901</v>
      </c>
      <c r="T3167">
        <v>-2.5572785870776298</v>
      </c>
      <c r="U3167">
        <v>-4.2341379571094198</v>
      </c>
      <c r="V3167">
        <v>1.9856195879699601E-2</v>
      </c>
      <c r="W3167">
        <v>7.2585950010761999E-2</v>
      </c>
      <c r="X3167">
        <v>0</v>
      </c>
      <c r="Y3167">
        <v>0</v>
      </c>
    </row>
    <row r="3168" spans="1:25" x14ac:dyDescent="0.2">
      <c r="A3168" t="s">
        <v>11727</v>
      </c>
      <c r="B3168" t="s">
        <v>11728</v>
      </c>
      <c r="C3168" t="s">
        <v>11729</v>
      </c>
      <c r="D3168" t="s">
        <v>11730</v>
      </c>
      <c r="E3168" t="s">
        <v>11728</v>
      </c>
      <c r="F3168" t="s">
        <v>28</v>
      </c>
      <c r="G3168" t="s">
        <v>11728</v>
      </c>
      <c r="H3168" t="str">
        <f>"npp-8"</f>
        <v>npp-8</v>
      </c>
      <c r="I3168" t="s">
        <v>11730</v>
      </c>
      <c r="J3168">
        <v>15.4889491695766</v>
      </c>
      <c r="K3168">
        <v>15.4657805481824</v>
      </c>
      <c r="L3168">
        <v>15.4549315962226</v>
      </c>
      <c r="M3168">
        <v>15.1057172561373</v>
      </c>
      <c r="N3168">
        <v>15.049445988282701</v>
      </c>
      <c r="O3168">
        <v>15.126359797472499</v>
      </c>
      <c r="P3168">
        <v>-0.376046090696327</v>
      </c>
      <c r="Q3168">
        <v>-0.66221295971754701</v>
      </c>
      <c r="R3168">
        <v>-8.9879221675107895E-2</v>
      </c>
      <c r="S3168">
        <v>15.282323667187701</v>
      </c>
      <c r="T3168">
        <v>-2.7619399979440602</v>
      </c>
      <c r="U3168">
        <v>-3.8257483070690799</v>
      </c>
      <c r="V3168">
        <v>1.28892801787536E-2</v>
      </c>
      <c r="W3168">
        <v>5.4419353419465501E-2</v>
      </c>
      <c r="X3168">
        <v>0</v>
      </c>
      <c r="Y3168">
        <v>0</v>
      </c>
    </row>
    <row r="3169" spans="1:25" x14ac:dyDescent="0.2">
      <c r="A3169" t="s">
        <v>11731</v>
      </c>
      <c r="B3169" t="s">
        <v>11732</v>
      </c>
      <c r="C3169" t="s">
        <v>11733</v>
      </c>
      <c r="D3169" t="s">
        <v>11734</v>
      </c>
      <c r="E3169" t="s">
        <v>11732</v>
      </c>
      <c r="F3169" t="s">
        <v>28</v>
      </c>
      <c r="G3169" t="s">
        <v>11732</v>
      </c>
      <c r="H3169" t="str">
        <f>"ptpn-22"</f>
        <v>ptpn-22</v>
      </c>
      <c r="I3169" t="s">
        <v>11734</v>
      </c>
      <c r="J3169">
        <v>11.170054578520199</v>
      </c>
      <c r="K3169" t="s">
        <v>29</v>
      </c>
      <c r="L3169">
        <v>12.2034177288505</v>
      </c>
      <c r="M3169" t="s">
        <v>29</v>
      </c>
      <c r="N3169" t="s">
        <v>29</v>
      </c>
      <c r="O3169">
        <v>11.939625605353401</v>
      </c>
      <c r="P3169">
        <v>0.25288945166802901</v>
      </c>
      <c r="Q3169">
        <v>-1.1249666003444301</v>
      </c>
      <c r="R3169">
        <v>1.6307455036804801</v>
      </c>
      <c r="S3169">
        <v>12.469896607388501</v>
      </c>
      <c r="T3169">
        <v>0.40444042672614</v>
      </c>
      <c r="U3169">
        <v>-6.6671091051347</v>
      </c>
      <c r="V3169">
        <v>0.69371514176764804</v>
      </c>
      <c r="W3169">
        <v>0.80150428628030901</v>
      </c>
      <c r="X3169">
        <v>0</v>
      </c>
      <c r="Y3169">
        <v>0</v>
      </c>
    </row>
    <row r="3170" spans="1:25" x14ac:dyDescent="0.2">
      <c r="A3170" t="s">
        <v>11735</v>
      </c>
      <c r="B3170" t="s">
        <v>11736</v>
      </c>
      <c r="C3170" t="s">
        <v>14628</v>
      </c>
      <c r="D3170" t="s">
        <v>8023</v>
      </c>
      <c r="E3170" t="s">
        <v>11736</v>
      </c>
      <c r="F3170" t="s">
        <v>28</v>
      </c>
      <c r="G3170" t="s">
        <v>11736</v>
      </c>
      <c r="H3170" t="str">
        <f>"Y108G3AL.2"</f>
        <v>Y108G3AL.2</v>
      </c>
      <c r="I3170" t="s">
        <v>8023</v>
      </c>
      <c r="J3170" t="s">
        <v>29</v>
      </c>
      <c r="K3170" t="s">
        <v>29</v>
      </c>
      <c r="L3170" t="s">
        <v>29</v>
      </c>
      <c r="M3170" t="s">
        <v>29</v>
      </c>
      <c r="N3170" t="s">
        <v>29</v>
      </c>
      <c r="O3170" t="s">
        <v>29</v>
      </c>
      <c r="P3170" t="s">
        <v>29</v>
      </c>
      <c r="Q3170" t="s">
        <v>29</v>
      </c>
      <c r="R3170" t="s">
        <v>29</v>
      </c>
      <c r="S3170">
        <v>10.1030145916615</v>
      </c>
      <c r="T3170" t="s">
        <v>29</v>
      </c>
      <c r="U3170" t="s">
        <v>29</v>
      </c>
      <c r="V3170" t="s">
        <v>29</v>
      </c>
      <c r="W3170" t="s">
        <v>29</v>
      </c>
      <c r="X3170" t="s">
        <v>29</v>
      </c>
      <c r="Y3170" t="s">
        <v>29</v>
      </c>
    </row>
    <row r="3171" spans="1:25" x14ac:dyDescent="0.2">
      <c r="A3171" t="s">
        <v>11737</v>
      </c>
      <c r="B3171" t="s">
        <v>11738</v>
      </c>
      <c r="C3171" t="s">
        <v>11739</v>
      </c>
      <c r="D3171" t="s">
        <v>11740</v>
      </c>
      <c r="E3171" t="s">
        <v>11738</v>
      </c>
      <c r="F3171" t="s">
        <v>28</v>
      </c>
      <c r="G3171" t="s">
        <v>11738</v>
      </c>
      <c r="H3171" t="str">
        <f>"rcor-1"</f>
        <v>rcor-1</v>
      </c>
      <c r="I3171" t="s">
        <v>11740</v>
      </c>
      <c r="J3171" t="s">
        <v>29</v>
      </c>
      <c r="K3171">
        <v>11.040102603717999</v>
      </c>
      <c r="L3171" t="s">
        <v>29</v>
      </c>
      <c r="M3171" t="s">
        <v>29</v>
      </c>
      <c r="N3171" t="s">
        <v>29</v>
      </c>
      <c r="O3171" t="s">
        <v>29</v>
      </c>
      <c r="P3171" t="s">
        <v>29</v>
      </c>
      <c r="Q3171" t="s">
        <v>29</v>
      </c>
      <c r="R3171" t="s">
        <v>29</v>
      </c>
      <c r="S3171">
        <v>11.754698766921701</v>
      </c>
      <c r="T3171" t="s">
        <v>29</v>
      </c>
      <c r="U3171" t="s">
        <v>29</v>
      </c>
      <c r="V3171" t="s">
        <v>29</v>
      </c>
      <c r="W3171" t="s">
        <v>29</v>
      </c>
      <c r="X3171" t="s">
        <v>29</v>
      </c>
      <c r="Y3171" t="s">
        <v>29</v>
      </c>
    </row>
    <row r="3172" spans="1:25" x14ac:dyDescent="0.2">
      <c r="A3172" t="s">
        <v>11741</v>
      </c>
      <c r="B3172" t="s">
        <v>11742</v>
      </c>
      <c r="C3172" t="s">
        <v>11743</v>
      </c>
      <c r="D3172" t="s">
        <v>8293</v>
      </c>
      <c r="E3172" t="s">
        <v>11742</v>
      </c>
      <c r="F3172" t="s">
        <v>28</v>
      </c>
      <c r="G3172" t="s">
        <v>11742</v>
      </c>
      <c r="H3172" t="str">
        <f>"smr-1"</f>
        <v>smr-1</v>
      </c>
      <c r="I3172" t="s">
        <v>8293</v>
      </c>
      <c r="J3172" t="s">
        <v>29</v>
      </c>
      <c r="K3172" t="s">
        <v>29</v>
      </c>
      <c r="L3172" t="s">
        <v>29</v>
      </c>
      <c r="M3172" t="s">
        <v>29</v>
      </c>
      <c r="N3172" t="s">
        <v>29</v>
      </c>
      <c r="O3172" t="s">
        <v>29</v>
      </c>
      <c r="P3172" t="s">
        <v>29</v>
      </c>
      <c r="Q3172" t="s">
        <v>29</v>
      </c>
      <c r="R3172" t="s">
        <v>29</v>
      </c>
      <c r="S3172">
        <v>11.4842416749058</v>
      </c>
      <c r="T3172" t="s">
        <v>29</v>
      </c>
      <c r="U3172" t="s">
        <v>29</v>
      </c>
      <c r="V3172" t="s">
        <v>29</v>
      </c>
      <c r="W3172" t="s">
        <v>29</v>
      </c>
      <c r="X3172" t="s">
        <v>29</v>
      </c>
      <c r="Y3172" t="s">
        <v>29</v>
      </c>
    </row>
    <row r="3173" spans="1:25" x14ac:dyDescent="0.2">
      <c r="A3173" t="s">
        <v>11744</v>
      </c>
      <c r="B3173" t="s">
        <v>11745</v>
      </c>
      <c r="C3173" t="s">
        <v>11746</v>
      </c>
      <c r="D3173" t="s">
        <v>3358</v>
      </c>
      <c r="E3173" t="s">
        <v>11745</v>
      </c>
      <c r="F3173" t="s">
        <v>28</v>
      </c>
      <c r="G3173" t="s">
        <v>11745</v>
      </c>
      <c r="H3173" t="str">
        <f>"fbxa-63"</f>
        <v>fbxa-63</v>
      </c>
      <c r="I3173" t="s">
        <v>3358</v>
      </c>
      <c r="J3173">
        <v>14.5270022058171</v>
      </c>
      <c r="K3173">
        <v>14.9724866401785</v>
      </c>
      <c r="L3173">
        <v>14.6385284178112</v>
      </c>
      <c r="M3173" t="s">
        <v>29</v>
      </c>
      <c r="N3173" t="s">
        <v>29</v>
      </c>
      <c r="O3173">
        <v>13.442075450651901</v>
      </c>
      <c r="P3173">
        <v>-1.2705969706170199</v>
      </c>
      <c r="Q3173">
        <v>-2.2949996258735399</v>
      </c>
      <c r="R3173">
        <v>-0.24619431536049599</v>
      </c>
      <c r="S3173">
        <v>13.644885736965501</v>
      </c>
      <c r="T3173">
        <v>-2.73315847202187</v>
      </c>
      <c r="U3173">
        <v>-3.75534461154527</v>
      </c>
      <c r="V3173">
        <v>1.9621332269853301E-2</v>
      </c>
      <c r="W3173">
        <v>7.2194082755554806E-2</v>
      </c>
      <c r="X3173">
        <v>-1</v>
      </c>
      <c r="Y3173">
        <v>0</v>
      </c>
    </row>
    <row r="3174" spans="1:25" x14ac:dyDescent="0.2">
      <c r="A3174" t="s">
        <v>11747</v>
      </c>
      <c r="B3174" t="s">
        <v>11748</v>
      </c>
      <c r="C3174" t="s">
        <v>11749</v>
      </c>
      <c r="D3174" t="s">
        <v>603</v>
      </c>
      <c r="E3174" t="s">
        <v>11748</v>
      </c>
      <c r="F3174" t="s">
        <v>28</v>
      </c>
      <c r="G3174" t="s">
        <v>11748</v>
      </c>
      <c r="H3174" t="str">
        <f>"pes-4"</f>
        <v>pes-4</v>
      </c>
      <c r="I3174" t="s">
        <v>603</v>
      </c>
      <c r="J3174">
        <v>13.578063481983801</v>
      </c>
      <c r="K3174">
        <v>13.736318199982099</v>
      </c>
      <c r="L3174">
        <v>13.255018077455199</v>
      </c>
      <c r="M3174" t="s">
        <v>29</v>
      </c>
      <c r="N3174" t="s">
        <v>29</v>
      </c>
      <c r="O3174">
        <v>13.8533509923311</v>
      </c>
      <c r="P3174">
        <v>0.33021773919073599</v>
      </c>
      <c r="Q3174">
        <v>-0.41334186363771103</v>
      </c>
      <c r="R3174">
        <v>1.0737773420191801</v>
      </c>
      <c r="S3174">
        <v>13.5834895822271</v>
      </c>
      <c r="T3174">
        <v>0.94196364759669804</v>
      </c>
      <c r="U3174">
        <v>-6.3594209363010696</v>
      </c>
      <c r="V3174">
        <v>0.36030848980761598</v>
      </c>
      <c r="W3174">
        <v>0.52981020951199198</v>
      </c>
      <c r="X3174">
        <v>0</v>
      </c>
      <c r="Y3174">
        <v>0</v>
      </c>
    </row>
    <row r="3175" spans="1:25" x14ac:dyDescent="0.2">
      <c r="A3175" t="s">
        <v>11750</v>
      </c>
      <c r="B3175" t="s">
        <v>11751</v>
      </c>
      <c r="C3175" t="s">
        <v>11752</v>
      </c>
      <c r="D3175" t="s">
        <v>11753</v>
      </c>
      <c r="E3175" t="s">
        <v>11751</v>
      </c>
      <c r="F3175" t="s">
        <v>28</v>
      </c>
      <c r="G3175" t="s">
        <v>11751</v>
      </c>
      <c r="H3175" t="str">
        <f>"orc-3"</f>
        <v>orc-3</v>
      </c>
      <c r="I3175" t="s">
        <v>11753</v>
      </c>
      <c r="J3175" t="s">
        <v>29</v>
      </c>
      <c r="K3175">
        <v>11.707631127622999</v>
      </c>
      <c r="L3175">
        <v>10.939134454981801</v>
      </c>
      <c r="M3175" t="s">
        <v>29</v>
      </c>
      <c r="N3175">
        <v>10.355948601829001</v>
      </c>
      <c r="O3175">
        <v>12.7068723396645</v>
      </c>
      <c r="P3175">
        <v>0.208027679444337</v>
      </c>
      <c r="Q3175">
        <v>-1.2754783287064599</v>
      </c>
      <c r="R3175">
        <v>1.6915336875951299</v>
      </c>
      <c r="S3175">
        <v>12.2439565581422</v>
      </c>
      <c r="T3175">
        <v>0.299070392603419</v>
      </c>
      <c r="U3175">
        <v>-6.9079020315628101</v>
      </c>
      <c r="V3175">
        <v>0.76901862936495102</v>
      </c>
      <c r="W3175">
        <v>0.85295366983007603</v>
      </c>
      <c r="X3175">
        <v>0</v>
      </c>
      <c r="Y3175">
        <v>0</v>
      </c>
    </row>
    <row r="3176" spans="1:25" x14ac:dyDescent="0.2">
      <c r="A3176" t="s">
        <v>11754</v>
      </c>
      <c r="B3176" t="s">
        <v>11755</v>
      </c>
      <c r="C3176" t="s">
        <v>11756</v>
      </c>
      <c r="D3176" t="s">
        <v>11757</v>
      </c>
      <c r="E3176" t="s">
        <v>11755</v>
      </c>
      <c r="F3176" t="s">
        <v>28</v>
      </c>
      <c r="G3176" t="s">
        <v>11755</v>
      </c>
      <c r="H3176" t="str">
        <f>"mrpl-45"</f>
        <v>mrpl-45</v>
      </c>
      <c r="I3176" t="s">
        <v>11757</v>
      </c>
      <c r="J3176">
        <v>14.906824053074001</v>
      </c>
      <c r="K3176">
        <v>15.0782771518766</v>
      </c>
      <c r="L3176">
        <v>15.1209291071784</v>
      </c>
      <c r="M3176">
        <v>14.6928743899651</v>
      </c>
      <c r="N3176">
        <v>13.748935053903701</v>
      </c>
      <c r="O3176">
        <v>14.122287522233099</v>
      </c>
      <c r="P3176">
        <v>-0.84731111534237002</v>
      </c>
      <c r="Q3176">
        <v>-1.3508987468584099</v>
      </c>
      <c r="R3176">
        <v>-0.343723483826327</v>
      </c>
      <c r="S3176">
        <v>15.031801912515199</v>
      </c>
      <c r="T3176">
        <v>-3.53639169396495</v>
      </c>
      <c r="U3176">
        <v>-2.1888179617374401</v>
      </c>
      <c r="V3176">
        <v>2.37557169908666E-3</v>
      </c>
      <c r="W3176">
        <v>1.6318903956196701E-2</v>
      </c>
      <c r="X3176">
        <v>0</v>
      </c>
      <c r="Y3176">
        <v>0</v>
      </c>
    </row>
    <row r="3177" spans="1:25" x14ac:dyDescent="0.2">
      <c r="A3177" t="s">
        <v>11758</v>
      </c>
      <c r="B3177" t="s">
        <v>11759</v>
      </c>
      <c r="C3177" t="s">
        <v>11760</v>
      </c>
      <c r="D3177" t="s">
        <v>11761</v>
      </c>
      <c r="E3177" t="s">
        <v>11759</v>
      </c>
      <c r="F3177" t="s">
        <v>28</v>
      </c>
      <c r="G3177" t="s">
        <v>11759</v>
      </c>
      <c r="H3177" t="str">
        <f>"fusm-2"</f>
        <v>fusm-2</v>
      </c>
      <c r="I3177" t="s">
        <v>11761</v>
      </c>
      <c r="J3177">
        <v>11.829439945643401</v>
      </c>
      <c r="K3177">
        <v>11.9031551033989</v>
      </c>
      <c r="L3177">
        <v>12.0042965220506</v>
      </c>
      <c r="M3177" t="s">
        <v>29</v>
      </c>
      <c r="N3177" t="s">
        <v>29</v>
      </c>
      <c r="O3177">
        <v>12.097822052129301</v>
      </c>
      <c r="P3177">
        <v>0.185524861765058</v>
      </c>
      <c r="Q3177">
        <v>-0.424228386498958</v>
      </c>
      <c r="R3177">
        <v>0.795278110029075</v>
      </c>
      <c r="S3177">
        <v>12.165651530342201</v>
      </c>
      <c r="T3177">
        <v>0.64535328331559005</v>
      </c>
      <c r="U3177">
        <v>-6.5968325136257899</v>
      </c>
      <c r="V3177">
        <v>0.52790474864265002</v>
      </c>
      <c r="W3177">
        <v>0.67847156312685997</v>
      </c>
      <c r="X3177">
        <v>0</v>
      </c>
      <c r="Y3177">
        <v>0</v>
      </c>
    </row>
    <row r="3178" spans="1:25" x14ac:dyDescent="0.2">
      <c r="A3178" t="s">
        <v>11762</v>
      </c>
      <c r="B3178" t="s">
        <v>11763</v>
      </c>
      <c r="C3178" t="s">
        <v>11764</v>
      </c>
      <c r="D3178" t="s">
        <v>1151</v>
      </c>
      <c r="E3178" t="s">
        <v>11763</v>
      </c>
      <c r="F3178" t="s">
        <v>28</v>
      </c>
      <c r="G3178" t="s">
        <v>11763</v>
      </c>
      <c r="H3178" t="str">
        <f>"zig-9"</f>
        <v>zig-9</v>
      </c>
      <c r="I3178" t="s">
        <v>1151</v>
      </c>
      <c r="J3178">
        <v>14.4893682758922</v>
      </c>
      <c r="K3178">
        <v>14.1731379086775</v>
      </c>
      <c r="L3178">
        <v>13.7687794429843</v>
      </c>
      <c r="M3178" t="s">
        <v>29</v>
      </c>
      <c r="N3178" t="s">
        <v>29</v>
      </c>
      <c r="O3178" t="s">
        <v>29</v>
      </c>
      <c r="P3178" t="s">
        <v>29</v>
      </c>
      <c r="Q3178" t="s">
        <v>29</v>
      </c>
      <c r="R3178" t="s">
        <v>29</v>
      </c>
      <c r="S3178">
        <v>13.627842042197299</v>
      </c>
      <c r="T3178" t="s">
        <v>29</v>
      </c>
      <c r="U3178" t="s">
        <v>29</v>
      </c>
      <c r="V3178" t="s">
        <v>29</v>
      </c>
      <c r="W3178" t="s">
        <v>29</v>
      </c>
      <c r="X3178" t="s">
        <v>29</v>
      </c>
      <c r="Y3178" t="s">
        <v>29</v>
      </c>
    </row>
    <row r="3179" spans="1:25" x14ac:dyDescent="0.2">
      <c r="A3179" t="s">
        <v>11765</v>
      </c>
      <c r="B3179" t="s">
        <v>11766</v>
      </c>
      <c r="C3179" t="s">
        <v>11767</v>
      </c>
      <c r="D3179" t="s">
        <v>11768</v>
      </c>
      <c r="E3179" t="s">
        <v>11766</v>
      </c>
      <c r="F3179" t="s">
        <v>28</v>
      </c>
      <c r="G3179" t="s">
        <v>11766</v>
      </c>
      <c r="H3179" t="str">
        <f>"bet-1"</f>
        <v>bet-1</v>
      </c>
      <c r="I3179" t="s">
        <v>11768</v>
      </c>
      <c r="J3179" t="s">
        <v>29</v>
      </c>
      <c r="K3179" t="s">
        <v>29</v>
      </c>
      <c r="L3179" t="s">
        <v>29</v>
      </c>
      <c r="M3179" t="s">
        <v>29</v>
      </c>
      <c r="N3179" t="s">
        <v>29</v>
      </c>
      <c r="O3179" t="s">
        <v>29</v>
      </c>
      <c r="P3179" t="s">
        <v>29</v>
      </c>
      <c r="Q3179" t="s">
        <v>29</v>
      </c>
      <c r="R3179" t="s">
        <v>29</v>
      </c>
      <c r="S3179">
        <v>11.1419772264139</v>
      </c>
      <c r="T3179" t="s">
        <v>29</v>
      </c>
      <c r="U3179" t="s">
        <v>29</v>
      </c>
      <c r="V3179" t="s">
        <v>29</v>
      </c>
      <c r="W3179" t="s">
        <v>29</v>
      </c>
      <c r="X3179" t="s">
        <v>29</v>
      </c>
      <c r="Y3179" t="s">
        <v>29</v>
      </c>
    </row>
    <row r="3180" spans="1:25" x14ac:dyDescent="0.2">
      <c r="A3180" t="s">
        <v>11769</v>
      </c>
      <c r="B3180" t="s">
        <v>11770</v>
      </c>
      <c r="C3180" t="s">
        <v>11771</v>
      </c>
      <c r="D3180" t="s">
        <v>11772</v>
      </c>
      <c r="E3180" t="s">
        <v>11770</v>
      </c>
      <c r="F3180" t="s">
        <v>28</v>
      </c>
      <c r="G3180" t="s">
        <v>11770</v>
      </c>
      <c r="H3180" t="str">
        <f>"rnf-145"</f>
        <v>rnf-145</v>
      </c>
      <c r="I3180" t="s">
        <v>11772</v>
      </c>
      <c r="J3180" t="s">
        <v>29</v>
      </c>
      <c r="K3180" t="s">
        <v>29</v>
      </c>
      <c r="L3180" t="s">
        <v>29</v>
      </c>
      <c r="M3180" t="s">
        <v>29</v>
      </c>
      <c r="N3180" t="s">
        <v>29</v>
      </c>
      <c r="O3180" t="s">
        <v>29</v>
      </c>
      <c r="P3180" t="s">
        <v>29</v>
      </c>
      <c r="Q3180" t="s">
        <v>29</v>
      </c>
      <c r="R3180" t="s">
        <v>29</v>
      </c>
      <c r="S3180">
        <v>10.6203061812196</v>
      </c>
      <c r="T3180" t="s">
        <v>29</v>
      </c>
      <c r="U3180" t="s">
        <v>29</v>
      </c>
      <c r="V3180" t="s">
        <v>29</v>
      </c>
      <c r="W3180" t="s">
        <v>29</v>
      </c>
      <c r="X3180" t="s">
        <v>29</v>
      </c>
      <c r="Y3180" t="s">
        <v>29</v>
      </c>
    </row>
    <row r="3181" spans="1:25" x14ac:dyDescent="0.2">
      <c r="A3181" t="s">
        <v>11773</v>
      </c>
      <c r="B3181" t="s">
        <v>11774</v>
      </c>
      <c r="C3181" t="s">
        <v>11775</v>
      </c>
      <c r="D3181" t="s">
        <v>11776</v>
      </c>
      <c r="E3181" t="s">
        <v>11774</v>
      </c>
      <c r="F3181" t="s">
        <v>28</v>
      </c>
      <c r="G3181" t="s">
        <v>11774</v>
      </c>
      <c r="H3181" t="str">
        <f>"mrpl-19"</f>
        <v>mrpl-19</v>
      </c>
      <c r="I3181" t="s">
        <v>11776</v>
      </c>
      <c r="J3181">
        <v>13.5540843768316</v>
      </c>
      <c r="K3181">
        <v>13.767852292796199</v>
      </c>
      <c r="L3181">
        <v>13.6291956780167</v>
      </c>
      <c r="M3181">
        <v>13.665167711211099</v>
      </c>
      <c r="N3181">
        <v>13.192633655677501</v>
      </c>
      <c r="O3181">
        <v>12.9635013630506</v>
      </c>
      <c r="P3181">
        <v>-0.37660987256842499</v>
      </c>
      <c r="Q3181">
        <v>-0.81170718645718998</v>
      </c>
      <c r="R3181">
        <v>5.8487441320339999E-2</v>
      </c>
      <c r="S3181">
        <v>13.537243961505499</v>
      </c>
      <c r="T3181">
        <v>-1.81927273779497</v>
      </c>
      <c r="U3181">
        <v>-5.5634349816294701</v>
      </c>
      <c r="V3181">
        <v>8.5643178565778397E-2</v>
      </c>
      <c r="W3181">
        <v>0.196107573607886</v>
      </c>
      <c r="X3181">
        <v>0</v>
      </c>
      <c r="Y3181">
        <v>0</v>
      </c>
    </row>
    <row r="3182" spans="1:25" x14ac:dyDescent="0.2">
      <c r="A3182" t="s">
        <v>11777</v>
      </c>
      <c r="B3182" t="s">
        <v>11778</v>
      </c>
      <c r="C3182" t="s">
        <v>11779</v>
      </c>
      <c r="D3182" t="s">
        <v>11780</v>
      </c>
      <c r="E3182" t="s">
        <v>11778</v>
      </c>
      <c r="F3182" t="s">
        <v>28</v>
      </c>
      <c r="G3182" t="s">
        <v>11778</v>
      </c>
      <c r="H3182" t="str">
        <f>"hcp-6"</f>
        <v>hcp-6</v>
      </c>
      <c r="I3182" t="s">
        <v>11780</v>
      </c>
      <c r="J3182" t="s">
        <v>29</v>
      </c>
      <c r="K3182" t="s">
        <v>29</v>
      </c>
      <c r="L3182" t="s">
        <v>29</v>
      </c>
      <c r="M3182" t="s">
        <v>29</v>
      </c>
      <c r="N3182" t="s">
        <v>29</v>
      </c>
      <c r="O3182" t="s">
        <v>29</v>
      </c>
      <c r="P3182" t="s">
        <v>29</v>
      </c>
      <c r="Q3182" t="s">
        <v>29</v>
      </c>
      <c r="R3182" t="s">
        <v>29</v>
      </c>
      <c r="S3182">
        <v>11.589944636262601</v>
      </c>
      <c r="T3182" t="s">
        <v>29</v>
      </c>
      <c r="U3182" t="s">
        <v>29</v>
      </c>
      <c r="V3182" t="s">
        <v>29</v>
      </c>
      <c r="W3182" t="s">
        <v>29</v>
      </c>
      <c r="X3182" t="s">
        <v>29</v>
      </c>
      <c r="Y3182" t="s">
        <v>29</v>
      </c>
    </row>
    <row r="3183" spans="1:25" x14ac:dyDescent="0.2">
      <c r="A3183" t="s">
        <v>11781</v>
      </c>
      <c r="B3183" t="s">
        <v>11782</v>
      </c>
      <c r="C3183" t="s">
        <v>11783</v>
      </c>
      <c r="D3183" t="s">
        <v>11784</v>
      </c>
      <c r="E3183" t="s">
        <v>11782</v>
      </c>
      <c r="F3183" t="s">
        <v>28</v>
      </c>
      <c r="G3183" t="s">
        <v>11782</v>
      </c>
      <c r="H3183" t="str">
        <f>"lpd-7"</f>
        <v>lpd-7</v>
      </c>
      <c r="I3183" t="s">
        <v>11784</v>
      </c>
      <c r="J3183">
        <v>15.915421097740399</v>
      </c>
      <c r="K3183">
        <v>15.915366224172001</v>
      </c>
      <c r="L3183">
        <v>15.8586147526849</v>
      </c>
      <c r="M3183">
        <v>15.2830504696835</v>
      </c>
      <c r="N3183">
        <v>15.1866167656611</v>
      </c>
      <c r="O3183">
        <v>15.392165895475101</v>
      </c>
      <c r="P3183">
        <v>-0.60918964792584196</v>
      </c>
      <c r="Q3183">
        <v>-0.96506909891297299</v>
      </c>
      <c r="R3183">
        <v>-0.25331019693871099</v>
      </c>
      <c r="S3183">
        <v>15.976036007395001</v>
      </c>
      <c r="T3183">
        <v>-3.5978422371193499</v>
      </c>
      <c r="U3183">
        <v>-2.0549259172872101</v>
      </c>
      <c r="V3183">
        <v>2.07290569939558E-3</v>
      </c>
      <c r="W3183">
        <v>1.49726791571538E-2</v>
      </c>
      <c r="X3183">
        <v>0</v>
      </c>
      <c r="Y3183">
        <v>0</v>
      </c>
    </row>
    <row r="3184" spans="1:25" x14ac:dyDescent="0.2">
      <c r="A3184" t="s">
        <v>11785</v>
      </c>
      <c r="B3184" t="s">
        <v>11786</v>
      </c>
      <c r="C3184" t="s">
        <v>11787</v>
      </c>
      <c r="D3184" t="s">
        <v>11788</v>
      </c>
      <c r="E3184" t="s">
        <v>11786</v>
      </c>
      <c r="F3184" t="s">
        <v>28</v>
      </c>
      <c r="G3184" t="s">
        <v>11786</v>
      </c>
      <c r="H3184" t="str">
        <f>"rpl-9"</f>
        <v>rpl-9</v>
      </c>
      <c r="I3184" t="s">
        <v>11788</v>
      </c>
      <c r="J3184">
        <v>21.399571618648199</v>
      </c>
      <c r="K3184">
        <v>21.518046792006999</v>
      </c>
      <c r="L3184">
        <v>21.435586056825802</v>
      </c>
      <c r="M3184">
        <v>19.2807525881739</v>
      </c>
      <c r="N3184">
        <v>19.868606131911399</v>
      </c>
      <c r="O3184">
        <v>19.745512865691399</v>
      </c>
      <c r="P3184">
        <v>-1.8194442939014599</v>
      </c>
      <c r="Q3184">
        <v>-2.3659836259608702</v>
      </c>
      <c r="R3184">
        <v>-1.2729049618420401</v>
      </c>
      <c r="S3184">
        <v>20.6660036601027</v>
      </c>
      <c r="T3184">
        <v>-6.9969674688943702</v>
      </c>
      <c r="U3184">
        <v>5.1423675895092398</v>
      </c>
      <c r="V3184" s="2">
        <v>1.61454141818931E-6</v>
      </c>
      <c r="W3184" s="2">
        <v>6.6084077213943003E-5</v>
      </c>
      <c r="X3184">
        <v>-1</v>
      </c>
      <c r="Y3184">
        <v>-1</v>
      </c>
    </row>
    <row r="3185" spans="1:25" x14ac:dyDescent="0.2">
      <c r="A3185" t="s">
        <v>11789</v>
      </c>
      <c r="B3185" t="s">
        <v>11790</v>
      </c>
      <c r="C3185" t="s">
        <v>11791</v>
      </c>
      <c r="D3185" t="s">
        <v>11792</v>
      </c>
      <c r="E3185" t="s">
        <v>11790</v>
      </c>
      <c r="F3185" t="s">
        <v>28</v>
      </c>
      <c r="G3185" t="s">
        <v>11790</v>
      </c>
      <c r="H3185" t="str">
        <f>"rpa-2"</f>
        <v>rpa-2</v>
      </c>
      <c r="I3185" t="s">
        <v>11792</v>
      </c>
      <c r="J3185">
        <v>12.1040186045407</v>
      </c>
      <c r="K3185">
        <v>12.2445391765623</v>
      </c>
      <c r="L3185">
        <v>12.6593661445287</v>
      </c>
      <c r="M3185">
        <v>14.677798998417</v>
      </c>
      <c r="N3185" t="s">
        <v>29</v>
      </c>
      <c r="O3185">
        <v>11.3821934483065</v>
      </c>
      <c r="P3185">
        <v>0.69402158148453297</v>
      </c>
      <c r="Q3185">
        <v>-0.73973180380305803</v>
      </c>
      <c r="R3185">
        <v>2.1277749667721202</v>
      </c>
      <c r="S3185">
        <v>12.999024289506901</v>
      </c>
      <c r="T3185">
        <v>1.02671060774287</v>
      </c>
      <c r="U3185">
        <v>-6.5072103980306997</v>
      </c>
      <c r="V3185">
        <v>0.31992857548328302</v>
      </c>
      <c r="W3185">
        <v>0.49104481747892897</v>
      </c>
      <c r="X3185">
        <v>0</v>
      </c>
      <c r="Y3185">
        <v>0</v>
      </c>
    </row>
    <row r="3186" spans="1:25" x14ac:dyDescent="0.2">
      <c r="A3186" t="s">
        <v>11793</v>
      </c>
      <c r="B3186" t="s">
        <v>11794</v>
      </c>
      <c r="C3186" t="s">
        <v>11795</v>
      </c>
      <c r="D3186" t="s">
        <v>3015</v>
      </c>
      <c r="E3186" t="s">
        <v>11794</v>
      </c>
      <c r="F3186" t="s">
        <v>28</v>
      </c>
      <c r="G3186" t="s">
        <v>11794</v>
      </c>
      <c r="H3186" t="str">
        <f>"cas-1"</f>
        <v>cas-1</v>
      </c>
      <c r="I3186" t="s">
        <v>3015</v>
      </c>
      <c r="J3186">
        <v>12.9517087802276</v>
      </c>
      <c r="K3186">
        <v>12.8508165567725</v>
      </c>
      <c r="L3186">
        <v>13.2594132509975</v>
      </c>
      <c r="M3186" t="s">
        <v>29</v>
      </c>
      <c r="N3186" t="s">
        <v>29</v>
      </c>
      <c r="O3186">
        <v>12.0426411795828</v>
      </c>
      <c r="P3186">
        <v>-0.97800501641637405</v>
      </c>
      <c r="Q3186">
        <v>-1.7986556955311099</v>
      </c>
      <c r="R3186">
        <v>-0.15735433730163401</v>
      </c>
      <c r="S3186">
        <v>12.851732240907101</v>
      </c>
      <c r="T3186">
        <v>-2.5277392900793898</v>
      </c>
      <c r="U3186">
        <v>-3.99856832213068</v>
      </c>
      <c r="V3186">
        <v>2.2467385898023402E-2</v>
      </c>
      <c r="W3186">
        <v>7.9580993078695997E-2</v>
      </c>
      <c r="X3186">
        <v>0</v>
      </c>
      <c r="Y3186">
        <v>0</v>
      </c>
    </row>
    <row r="3187" spans="1:25" x14ac:dyDescent="0.2">
      <c r="A3187" t="s">
        <v>11796</v>
      </c>
      <c r="B3187" t="s">
        <v>11797</v>
      </c>
      <c r="C3187" t="s">
        <v>11798</v>
      </c>
      <c r="D3187" t="s">
        <v>11799</v>
      </c>
      <c r="E3187" t="s">
        <v>11797</v>
      </c>
      <c r="F3187" t="s">
        <v>28</v>
      </c>
      <c r="G3187" t="s">
        <v>11797</v>
      </c>
      <c r="H3187" t="str">
        <f>"acdh-9"</f>
        <v>acdh-9</v>
      </c>
      <c r="I3187" t="s">
        <v>11799</v>
      </c>
      <c r="J3187">
        <v>16.382520421423401</v>
      </c>
      <c r="K3187">
        <v>16.173740800951698</v>
      </c>
      <c r="L3187">
        <v>16.349775557738401</v>
      </c>
      <c r="M3187">
        <v>15.6475572416388</v>
      </c>
      <c r="N3187">
        <v>16.170543804586099</v>
      </c>
      <c r="O3187">
        <v>16.235356392861199</v>
      </c>
      <c r="P3187">
        <v>-0.28419311367576899</v>
      </c>
      <c r="Q3187">
        <v>-0.70282391196953697</v>
      </c>
      <c r="R3187">
        <v>0.13443768461799799</v>
      </c>
      <c r="S3187">
        <v>16.112005058353901</v>
      </c>
      <c r="T3187">
        <v>-1.4268387244157399</v>
      </c>
      <c r="U3187">
        <v>-6.1447550777603004</v>
      </c>
      <c r="V3187">
        <v>0.170842006229808</v>
      </c>
      <c r="W3187">
        <v>0.32170695997395798</v>
      </c>
      <c r="X3187">
        <v>0</v>
      </c>
      <c r="Y3187">
        <v>0</v>
      </c>
    </row>
    <row r="3188" spans="1:25" x14ac:dyDescent="0.2">
      <c r="A3188" t="s">
        <v>11800</v>
      </c>
      <c r="B3188" t="s">
        <v>11801</v>
      </c>
      <c r="C3188" t="s">
        <v>11802</v>
      </c>
      <c r="D3188" t="s">
        <v>1170</v>
      </c>
      <c r="E3188" t="s">
        <v>11801</v>
      </c>
      <c r="F3188" t="s">
        <v>28</v>
      </c>
      <c r="G3188" t="s">
        <v>11801</v>
      </c>
      <c r="H3188" t="str">
        <f>"ptr-4"</f>
        <v>ptr-4</v>
      </c>
      <c r="I3188" t="s">
        <v>1170</v>
      </c>
      <c r="J3188" t="s">
        <v>29</v>
      </c>
      <c r="K3188">
        <v>12.5827533643103</v>
      </c>
      <c r="L3188">
        <v>11.848591010843601</v>
      </c>
      <c r="M3188" t="s">
        <v>29</v>
      </c>
      <c r="N3188" t="s">
        <v>29</v>
      </c>
      <c r="O3188">
        <v>10.8436639708885</v>
      </c>
      <c r="P3188">
        <v>-1.37200821668841</v>
      </c>
      <c r="Q3188">
        <v>-2.1884294253770902</v>
      </c>
      <c r="R3188">
        <v>-0.55558700799974203</v>
      </c>
      <c r="S3188">
        <v>11.9062446780774</v>
      </c>
      <c r="T3188">
        <v>-3.6069018696841</v>
      </c>
      <c r="U3188">
        <v>-1.92570652569984</v>
      </c>
      <c r="V3188">
        <v>2.8906217590459501E-3</v>
      </c>
      <c r="W3188">
        <v>1.9014871258724201E-2</v>
      </c>
      <c r="X3188">
        <v>-1</v>
      </c>
      <c r="Y3188">
        <v>-1</v>
      </c>
    </row>
    <row r="3189" spans="1:25" x14ac:dyDescent="0.2">
      <c r="A3189" t="s">
        <v>11803</v>
      </c>
      <c r="B3189" t="s">
        <v>11804</v>
      </c>
      <c r="C3189" t="s">
        <v>11805</v>
      </c>
      <c r="D3189" t="s">
        <v>11806</v>
      </c>
      <c r="E3189" t="s">
        <v>11804</v>
      </c>
      <c r="F3189" t="s">
        <v>28</v>
      </c>
      <c r="G3189" t="s">
        <v>11804</v>
      </c>
      <c r="H3189" t="str">
        <f>"vha-16"</f>
        <v>vha-16</v>
      </c>
      <c r="I3189" t="s">
        <v>11806</v>
      </c>
      <c r="J3189">
        <v>12.301362933516501</v>
      </c>
      <c r="K3189">
        <v>12.934559301794501</v>
      </c>
      <c r="L3189">
        <v>12.751940406238701</v>
      </c>
      <c r="M3189" t="s">
        <v>29</v>
      </c>
      <c r="N3189">
        <v>13.413967984258701</v>
      </c>
      <c r="O3189">
        <v>13.231979347339401</v>
      </c>
      <c r="P3189">
        <v>0.66035278528249297</v>
      </c>
      <c r="Q3189">
        <v>-4.6948229393563003E-2</v>
      </c>
      <c r="R3189">
        <v>1.3676537999585501</v>
      </c>
      <c r="S3189">
        <v>13.027353350101601</v>
      </c>
      <c r="T3189">
        <v>1.9707055788021699</v>
      </c>
      <c r="U3189">
        <v>-5.2094415918953798</v>
      </c>
      <c r="V3189">
        <v>6.5368970688622796E-2</v>
      </c>
      <c r="W3189">
        <v>0.16423048305146801</v>
      </c>
      <c r="X3189">
        <v>0</v>
      </c>
      <c r="Y3189">
        <v>0</v>
      </c>
    </row>
    <row r="3190" spans="1:25" x14ac:dyDescent="0.2">
      <c r="A3190" t="s">
        <v>11807</v>
      </c>
      <c r="B3190" t="s">
        <v>11808</v>
      </c>
      <c r="C3190" t="s">
        <v>11809</v>
      </c>
      <c r="D3190" t="s">
        <v>8596</v>
      </c>
      <c r="E3190" t="s">
        <v>11808</v>
      </c>
      <c r="F3190" t="s">
        <v>28</v>
      </c>
      <c r="G3190" t="s">
        <v>11808</v>
      </c>
      <c r="H3190" t="str">
        <f>"idhg-2"</f>
        <v>idhg-2</v>
      </c>
      <c r="I3190" t="s">
        <v>8596</v>
      </c>
      <c r="J3190">
        <v>13.680651379544599</v>
      </c>
      <c r="K3190">
        <v>13.627447430584199</v>
      </c>
      <c r="L3190">
        <v>13.1649051531961</v>
      </c>
      <c r="M3190">
        <v>12.877817061907001</v>
      </c>
      <c r="N3190">
        <v>14.310058051668101</v>
      </c>
      <c r="O3190">
        <v>14.059165494153699</v>
      </c>
      <c r="P3190">
        <v>0.25801221480130598</v>
      </c>
      <c r="Q3190">
        <v>-0.40121119696594099</v>
      </c>
      <c r="R3190">
        <v>0.91723562656855395</v>
      </c>
      <c r="S3190">
        <v>13.512337186843901</v>
      </c>
      <c r="T3190">
        <v>0.822621691985991</v>
      </c>
      <c r="U3190">
        <v>-6.8077603043858899</v>
      </c>
      <c r="V3190">
        <v>0.42155006372137599</v>
      </c>
      <c r="W3190">
        <v>0.58782072870406898</v>
      </c>
      <c r="X3190">
        <v>0</v>
      </c>
      <c r="Y3190">
        <v>0</v>
      </c>
    </row>
    <row r="3191" spans="1:25" x14ac:dyDescent="0.2">
      <c r="A3191" t="s">
        <v>11810</v>
      </c>
      <c r="B3191" t="s">
        <v>11811</v>
      </c>
      <c r="C3191" t="s">
        <v>11812</v>
      </c>
      <c r="D3191" t="s">
        <v>11813</v>
      </c>
      <c r="E3191" t="s">
        <v>11811</v>
      </c>
      <c r="F3191" t="s">
        <v>28</v>
      </c>
      <c r="G3191" t="s">
        <v>11811</v>
      </c>
      <c r="H3191" t="str">
        <f>"C30F12.2"</f>
        <v>C30F12.2</v>
      </c>
      <c r="I3191" t="s">
        <v>11813</v>
      </c>
      <c r="J3191">
        <v>14.1899123422894</v>
      </c>
      <c r="K3191">
        <v>13.986835216043399</v>
      </c>
      <c r="L3191">
        <v>14.328454217677301</v>
      </c>
      <c r="M3191" t="s">
        <v>29</v>
      </c>
      <c r="N3191">
        <v>14.6757872923496</v>
      </c>
      <c r="O3191">
        <v>14.0081228312247</v>
      </c>
      <c r="P3191">
        <v>0.17355446978380201</v>
      </c>
      <c r="Q3191">
        <v>-0.320550737202838</v>
      </c>
      <c r="R3191">
        <v>0.66765967677044202</v>
      </c>
      <c r="S3191">
        <v>14.4023789879828</v>
      </c>
      <c r="T3191">
        <v>0.741423565656813</v>
      </c>
      <c r="U3191">
        <v>-6.76115408007011</v>
      </c>
      <c r="V3191">
        <v>0.46861818096047902</v>
      </c>
      <c r="W3191">
        <v>0.63019499744380203</v>
      </c>
      <c r="X3191">
        <v>0</v>
      </c>
      <c r="Y3191">
        <v>0</v>
      </c>
    </row>
    <row r="3192" spans="1:25" x14ac:dyDescent="0.2">
      <c r="A3192" t="s">
        <v>11814</v>
      </c>
      <c r="B3192" t="s">
        <v>11815</v>
      </c>
      <c r="C3192" t="s">
        <v>11816</v>
      </c>
      <c r="D3192" t="s">
        <v>11817</v>
      </c>
      <c r="E3192" t="s">
        <v>11815</v>
      </c>
      <c r="F3192" t="s">
        <v>28</v>
      </c>
      <c r="G3192" t="s">
        <v>11815</v>
      </c>
      <c r="H3192" t="str">
        <f>"lig-4"</f>
        <v>lig-4</v>
      </c>
      <c r="I3192" t="s">
        <v>11817</v>
      </c>
      <c r="J3192">
        <v>11.2464747915531</v>
      </c>
      <c r="K3192" t="s">
        <v>29</v>
      </c>
      <c r="L3192">
        <v>11.7547292038594</v>
      </c>
      <c r="M3192" t="s">
        <v>29</v>
      </c>
      <c r="N3192" t="s">
        <v>29</v>
      </c>
      <c r="O3192">
        <v>10.4063129829392</v>
      </c>
      <c r="P3192">
        <v>-1.0942890147670601</v>
      </c>
      <c r="Q3192">
        <v>-2.6546323739392501</v>
      </c>
      <c r="R3192">
        <v>0.466054344405117</v>
      </c>
      <c r="S3192">
        <v>12.156887578053301</v>
      </c>
      <c r="T3192">
        <v>-1.5453951889122901</v>
      </c>
      <c r="U3192">
        <v>-5.5930911092458997</v>
      </c>
      <c r="V3192">
        <v>0.150785567389804</v>
      </c>
      <c r="W3192">
        <v>0.29467179515766001</v>
      </c>
      <c r="X3192">
        <v>0</v>
      </c>
      <c r="Y3192">
        <v>0</v>
      </c>
    </row>
    <row r="3193" spans="1:25" x14ac:dyDescent="0.2">
      <c r="A3193" t="s">
        <v>11818</v>
      </c>
      <c r="B3193" t="s">
        <v>11819</v>
      </c>
      <c r="C3193" t="s">
        <v>11820</v>
      </c>
      <c r="D3193" t="s">
        <v>93</v>
      </c>
      <c r="E3193" t="s">
        <v>11819</v>
      </c>
      <c r="F3193" t="s">
        <v>28</v>
      </c>
      <c r="G3193" t="s">
        <v>11819</v>
      </c>
      <c r="H3193" t="str">
        <f>"cux-7"</f>
        <v>cux-7</v>
      </c>
      <c r="I3193" t="s">
        <v>93</v>
      </c>
      <c r="J3193">
        <v>12.3809590966231</v>
      </c>
      <c r="K3193">
        <v>12.5902216970434</v>
      </c>
      <c r="L3193">
        <v>12.4246128616238</v>
      </c>
      <c r="M3193" t="s">
        <v>29</v>
      </c>
      <c r="N3193">
        <v>12.9117170974895</v>
      </c>
      <c r="O3193">
        <v>12.518963554933</v>
      </c>
      <c r="P3193">
        <v>0.25007577444786699</v>
      </c>
      <c r="Q3193">
        <v>-0.233524304789371</v>
      </c>
      <c r="R3193">
        <v>0.73367585368510402</v>
      </c>
      <c r="S3193">
        <v>12.508434095577099</v>
      </c>
      <c r="T3193">
        <v>1.09152898389445</v>
      </c>
      <c r="U3193">
        <v>-6.4404460309558003</v>
      </c>
      <c r="V3193">
        <v>0.29036218899331201</v>
      </c>
      <c r="W3193">
        <v>0.45857308197389601</v>
      </c>
      <c r="X3193">
        <v>0</v>
      </c>
      <c r="Y3193">
        <v>0</v>
      </c>
    </row>
    <row r="3194" spans="1:25" x14ac:dyDescent="0.2">
      <c r="A3194" t="s">
        <v>11821</v>
      </c>
      <c r="B3194" t="s">
        <v>11822</v>
      </c>
      <c r="C3194" t="s">
        <v>11823</v>
      </c>
      <c r="D3194" t="s">
        <v>11824</v>
      </c>
      <c r="E3194" t="s">
        <v>11822</v>
      </c>
      <c r="F3194" t="s">
        <v>28</v>
      </c>
      <c r="G3194" t="s">
        <v>11822</v>
      </c>
      <c r="H3194" t="str">
        <f>"clk-2"</f>
        <v>clk-2</v>
      </c>
      <c r="I3194" t="s">
        <v>11824</v>
      </c>
      <c r="J3194" t="s">
        <v>29</v>
      </c>
      <c r="K3194" t="s">
        <v>29</v>
      </c>
      <c r="L3194" t="s">
        <v>29</v>
      </c>
      <c r="M3194" t="s">
        <v>29</v>
      </c>
      <c r="N3194" t="s">
        <v>29</v>
      </c>
      <c r="O3194" t="s">
        <v>29</v>
      </c>
      <c r="P3194" t="s">
        <v>29</v>
      </c>
      <c r="Q3194" t="s">
        <v>29</v>
      </c>
      <c r="R3194" t="s">
        <v>29</v>
      </c>
      <c r="S3194">
        <v>10.6693165575959</v>
      </c>
      <c r="T3194" t="s">
        <v>29</v>
      </c>
      <c r="U3194" t="s">
        <v>29</v>
      </c>
      <c r="V3194" t="s">
        <v>29</v>
      </c>
      <c r="W3194" t="s">
        <v>29</v>
      </c>
      <c r="X3194" t="s">
        <v>29</v>
      </c>
      <c r="Y3194" t="s">
        <v>29</v>
      </c>
    </row>
    <row r="3195" spans="1:25" x14ac:dyDescent="0.2">
      <c r="A3195" t="s">
        <v>11825</v>
      </c>
      <c r="B3195" t="s">
        <v>11826</v>
      </c>
      <c r="C3195" t="s">
        <v>11827</v>
      </c>
      <c r="D3195" t="s">
        <v>11828</v>
      </c>
      <c r="E3195" t="s">
        <v>11826</v>
      </c>
      <c r="F3195" t="s">
        <v>28</v>
      </c>
      <c r="G3195" t="s">
        <v>11826</v>
      </c>
      <c r="H3195" t="str">
        <f>"sap-140"</f>
        <v>sap-140</v>
      </c>
      <c r="I3195" t="s">
        <v>11828</v>
      </c>
      <c r="J3195">
        <v>11.017599868294599</v>
      </c>
      <c r="K3195">
        <v>12.3633453416676</v>
      </c>
      <c r="L3195">
        <v>12.1513695089181</v>
      </c>
      <c r="M3195" t="s">
        <v>29</v>
      </c>
      <c r="N3195" t="s">
        <v>29</v>
      </c>
      <c r="O3195">
        <v>11.141355325946201</v>
      </c>
      <c r="P3195">
        <v>-0.70274958034720403</v>
      </c>
      <c r="Q3195">
        <v>-1.92253300997858</v>
      </c>
      <c r="R3195">
        <v>0.51703384928417295</v>
      </c>
      <c r="S3195">
        <v>12.4000432574875</v>
      </c>
      <c r="T3195">
        <v>-1.24567603708863</v>
      </c>
      <c r="U3195">
        <v>-6.0331796266881099</v>
      </c>
      <c r="V3195">
        <v>0.235042283275299</v>
      </c>
      <c r="W3195">
        <v>0.40000006701208601</v>
      </c>
      <c r="X3195">
        <v>0</v>
      </c>
      <c r="Y3195">
        <v>0</v>
      </c>
    </row>
    <row r="3196" spans="1:25" x14ac:dyDescent="0.2">
      <c r="A3196" t="s">
        <v>11829</v>
      </c>
      <c r="B3196" t="s">
        <v>11830</v>
      </c>
      <c r="C3196" t="s">
        <v>11831</v>
      </c>
      <c r="D3196" t="s">
        <v>11832</v>
      </c>
      <c r="E3196" t="s">
        <v>11830</v>
      </c>
      <c r="F3196" t="s">
        <v>28</v>
      </c>
      <c r="G3196" t="s">
        <v>11830</v>
      </c>
      <c r="H3196" t="str">
        <f>"cgh-1"</f>
        <v>cgh-1</v>
      </c>
      <c r="I3196" t="s">
        <v>11832</v>
      </c>
      <c r="J3196">
        <v>19.118457123387898</v>
      </c>
      <c r="K3196">
        <v>18.963540474172198</v>
      </c>
      <c r="L3196">
        <v>19.147715667708098</v>
      </c>
      <c r="M3196">
        <v>18.524688806163301</v>
      </c>
      <c r="N3196">
        <v>18.748797760492501</v>
      </c>
      <c r="O3196">
        <v>18.843571633665398</v>
      </c>
      <c r="P3196">
        <v>-0.370885021649006</v>
      </c>
      <c r="Q3196">
        <v>-0.75469109299205495</v>
      </c>
      <c r="R3196">
        <v>1.2921049694044E-2</v>
      </c>
      <c r="S3196">
        <v>18.749597629217899</v>
      </c>
      <c r="T3196">
        <v>-2.031046970867</v>
      </c>
      <c r="U3196">
        <v>-5.2095188754813</v>
      </c>
      <c r="V3196">
        <v>5.7376545066902901E-2</v>
      </c>
      <c r="W3196">
        <v>0.150167565108493</v>
      </c>
      <c r="X3196">
        <v>0</v>
      </c>
      <c r="Y3196">
        <v>0</v>
      </c>
    </row>
    <row r="3197" spans="1:25" x14ac:dyDescent="0.2">
      <c r="A3197" t="s">
        <v>11833</v>
      </c>
      <c r="B3197" t="s">
        <v>11834</v>
      </c>
      <c r="C3197" t="s">
        <v>11835</v>
      </c>
      <c r="D3197" t="s">
        <v>11836</v>
      </c>
      <c r="E3197" t="s">
        <v>11834</v>
      </c>
      <c r="F3197" t="s">
        <v>28</v>
      </c>
      <c r="G3197" t="s">
        <v>11834</v>
      </c>
      <c r="H3197" t="str">
        <f>"ZK353.9"</f>
        <v>ZK353.9</v>
      </c>
      <c r="I3197" t="s">
        <v>11836</v>
      </c>
      <c r="J3197" t="s">
        <v>29</v>
      </c>
      <c r="K3197" t="s">
        <v>29</v>
      </c>
      <c r="L3197" t="s">
        <v>29</v>
      </c>
      <c r="M3197" t="s">
        <v>29</v>
      </c>
      <c r="N3197" t="s">
        <v>29</v>
      </c>
      <c r="O3197" t="s">
        <v>29</v>
      </c>
      <c r="P3197" t="s">
        <v>29</v>
      </c>
      <c r="Q3197" t="s">
        <v>29</v>
      </c>
      <c r="R3197" t="s">
        <v>29</v>
      </c>
      <c r="S3197">
        <v>10.8025084278715</v>
      </c>
      <c r="T3197" t="s">
        <v>29</v>
      </c>
      <c r="U3197" t="s">
        <v>29</v>
      </c>
      <c r="V3197" t="s">
        <v>29</v>
      </c>
      <c r="W3197" t="s">
        <v>29</v>
      </c>
      <c r="X3197" t="s">
        <v>29</v>
      </c>
      <c r="Y3197" t="s">
        <v>29</v>
      </c>
    </row>
    <row r="3198" spans="1:25" x14ac:dyDescent="0.2">
      <c r="A3198" t="s">
        <v>11837</v>
      </c>
      <c r="B3198" t="s">
        <v>11838</v>
      </c>
      <c r="C3198" t="s">
        <v>14629</v>
      </c>
      <c r="D3198" t="s">
        <v>11839</v>
      </c>
      <c r="E3198" t="s">
        <v>11838</v>
      </c>
      <c r="F3198" t="s">
        <v>28</v>
      </c>
      <c r="G3198" t="s">
        <v>11838</v>
      </c>
      <c r="H3198" t="str">
        <f>"Y10G11A.1"</f>
        <v>Y10G11A.1</v>
      </c>
      <c r="I3198" t="s">
        <v>11839</v>
      </c>
      <c r="J3198">
        <v>13.9862202785168</v>
      </c>
      <c r="K3198">
        <v>13.194968023390301</v>
      </c>
      <c r="L3198">
        <v>12.8175116315767</v>
      </c>
      <c r="M3198">
        <v>13.0737408533678</v>
      </c>
      <c r="N3198" t="s">
        <v>29</v>
      </c>
      <c r="O3198">
        <v>11.6216288284327</v>
      </c>
      <c r="P3198">
        <v>-0.98521513692764495</v>
      </c>
      <c r="Q3198">
        <v>-1.9021529219620501</v>
      </c>
      <c r="R3198">
        <v>-6.82773518932389E-2</v>
      </c>
      <c r="S3198">
        <v>13.2706366771483</v>
      </c>
      <c r="T3198">
        <v>-2.2915683330919299</v>
      </c>
      <c r="U3198">
        <v>-4.6661968095030302</v>
      </c>
      <c r="V3198">
        <v>3.69305471661752E-2</v>
      </c>
      <c r="W3198">
        <v>0.112898674791201</v>
      </c>
      <c r="X3198">
        <v>0</v>
      </c>
      <c r="Y3198">
        <v>0</v>
      </c>
    </row>
    <row r="3199" spans="1:25" x14ac:dyDescent="0.2">
      <c r="A3199" t="s">
        <v>11840</v>
      </c>
      <c r="B3199" t="s">
        <v>11841</v>
      </c>
      <c r="C3199" t="s">
        <v>11842</v>
      </c>
      <c r="D3199" t="s">
        <v>11843</v>
      </c>
      <c r="E3199" t="s">
        <v>11841</v>
      </c>
      <c r="F3199" t="s">
        <v>28</v>
      </c>
      <c r="G3199" t="s">
        <v>11841</v>
      </c>
      <c r="H3199" t="str">
        <f>"gld-3"</f>
        <v>gld-3</v>
      </c>
      <c r="I3199" t="s">
        <v>11843</v>
      </c>
      <c r="J3199">
        <v>14.187160240648</v>
      </c>
      <c r="K3199">
        <v>11.9646516047459</v>
      </c>
      <c r="L3199">
        <v>12.9686340781645</v>
      </c>
      <c r="M3199" t="s">
        <v>29</v>
      </c>
      <c r="N3199" t="s">
        <v>29</v>
      </c>
      <c r="O3199" t="s">
        <v>29</v>
      </c>
      <c r="P3199" t="s">
        <v>29</v>
      </c>
      <c r="Q3199" t="s">
        <v>29</v>
      </c>
      <c r="R3199" t="s">
        <v>29</v>
      </c>
      <c r="S3199">
        <v>13.6705213039059</v>
      </c>
      <c r="T3199" t="s">
        <v>29</v>
      </c>
      <c r="U3199" t="s">
        <v>29</v>
      </c>
      <c r="V3199" t="s">
        <v>29</v>
      </c>
      <c r="W3199" t="s">
        <v>29</v>
      </c>
      <c r="X3199" t="s">
        <v>29</v>
      </c>
      <c r="Y3199" t="s">
        <v>29</v>
      </c>
    </row>
    <row r="3200" spans="1:25" x14ac:dyDescent="0.2">
      <c r="A3200" t="s">
        <v>11844</v>
      </c>
      <c r="B3200" t="s">
        <v>11845</v>
      </c>
      <c r="C3200" t="s">
        <v>11846</v>
      </c>
      <c r="D3200" t="s">
        <v>11847</v>
      </c>
      <c r="E3200" t="s">
        <v>11845</v>
      </c>
      <c r="F3200" t="s">
        <v>28</v>
      </c>
      <c r="G3200" t="s">
        <v>11845</v>
      </c>
      <c r="H3200" t="str">
        <f>"aak-2"</f>
        <v>aak-2</v>
      </c>
      <c r="I3200" t="s">
        <v>11847</v>
      </c>
      <c r="J3200">
        <v>14.8968919194471</v>
      </c>
      <c r="K3200">
        <v>14.7346790546483</v>
      </c>
      <c r="L3200">
        <v>14.649766923707</v>
      </c>
      <c r="M3200">
        <v>14.3779392952843</v>
      </c>
      <c r="N3200">
        <v>14.657146417921799</v>
      </c>
      <c r="O3200">
        <v>14.9365203830091</v>
      </c>
      <c r="P3200">
        <v>-0.103243933862375</v>
      </c>
      <c r="Q3200">
        <v>-0.45262934827484103</v>
      </c>
      <c r="R3200">
        <v>0.246141480550091</v>
      </c>
      <c r="S3200">
        <v>14.7285092750364</v>
      </c>
      <c r="T3200">
        <v>-0.62108678147219798</v>
      </c>
      <c r="U3200">
        <v>-6.9560276364398597</v>
      </c>
      <c r="V3200">
        <v>0.542373570573492</v>
      </c>
      <c r="W3200">
        <v>0.68895470365520795</v>
      </c>
      <c r="X3200">
        <v>0</v>
      </c>
      <c r="Y3200">
        <v>0</v>
      </c>
    </row>
    <row r="3201" spans="1:25" x14ac:dyDescent="0.2">
      <c r="A3201" t="s">
        <v>11848</v>
      </c>
      <c r="B3201" t="s">
        <v>11849</v>
      </c>
      <c r="C3201" t="s">
        <v>11850</v>
      </c>
      <c r="D3201" t="s">
        <v>11851</v>
      </c>
      <c r="E3201" t="s">
        <v>11849</v>
      </c>
      <c r="F3201" t="s">
        <v>28</v>
      </c>
      <c r="G3201" t="s">
        <v>11849</v>
      </c>
      <c r="H3201" t="str">
        <f>"pnn-1"</f>
        <v>pnn-1</v>
      </c>
      <c r="I3201" t="s">
        <v>11851</v>
      </c>
      <c r="J3201" t="s">
        <v>29</v>
      </c>
      <c r="K3201">
        <v>12.056410798539201</v>
      </c>
      <c r="L3201">
        <v>12.0823859429357</v>
      </c>
      <c r="M3201" t="s">
        <v>29</v>
      </c>
      <c r="N3201" t="s">
        <v>29</v>
      </c>
      <c r="O3201" t="s">
        <v>29</v>
      </c>
      <c r="P3201" t="s">
        <v>29</v>
      </c>
      <c r="Q3201" t="s">
        <v>29</v>
      </c>
      <c r="R3201" t="s">
        <v>29</v>
      </c>
      <c r="S3201">
        <v>12.645905870978099</v>
      </c>
      <c r="T3201" t="s">
        <v>29</v>
      </c>
      <c r="U3201" t="s">
        <v>29</v>
      </c>
      <c r="V3201" t="s">
        <v>29</v>
      </c>
      <c r="W3201" t="s">
        <v>29</v>
      </c>
      <c r="X3201" t="s">
        <v>29</v>
      </c>
      <c r="Y3201" t="s">
        <v>29</v>
      </c>
    </row>
    <row r="3202" spans="1:25" x14ac:dyDescent="0.2">
      <c r="A3202" t="s">
        <v>11852</v>
      </c>
      <c r="B3202" t="s">
        <v>11853</v>
      </c>
      <c r="C3202" t="s">
        <v>14630</v>
      </c>
      <c r="D3202" t="s">
        <v>11854</v>
      </c>
      <c r="E3202" t="s">
        <v>11853</v>
      </c>
      <c r="F3202" t="s">
        <v>28</v>
      </c>
      <c r="G3202" t="s">
        <v>11853</v>
      </c>
      <c r="H3202" t="str">
        <f>"R05D11.9"</f>
        <v>R05D11.9</v>
      </c>
      <c r="I3202" t="s">
        <v>11854</v>
      </c>
      <c r="J3202">
        <v>14.266574040703601</v>
      </c>
      <c r="K3202">
        <v>14.3449920030759</v>
      </c>
      <c r="L3202">
        <v>14.3136438190605</v>
      </c>
      <c r="M3202">
        <v>13.070604088684201</v>
      </c>
      <c r="N3202">
        <v>13.236821091792001</v>
      </c>
      <c r="O3202">
        <v>13.7479235603343</v>
      </c>
      <c r="P3202">
        <v>-0.95662037400982303</v>
      </c>
      <c r="Q3202">
        <v>-1.42433594324116</v>
      </c>
      <c r="R3202">
        <v>-0.48890480477848702</v>
      </c>
      <c r="S3202">
        <v>14.212789249586599</v>
      </c>
      <c r="T3202">
        <v>-4.2988304105917798</v>
      </c>
      <c r="U3202">
        <v>-0.51261697381875604</v>
      </c>
      <c r="V3202">
        <v>4.3741086612073199E-4</v>
      </c>
      <c r="W3202">
        <v>4.9388882086505697E-3</v>
      </c>
      <c r="X3202">
        <v>0</v>
      </c>
      <c r="Y3202">
        <v>0</v>
      </c>
    </row>
    <row r="3203" spans="1:25" x14ac:dyDescent="0.2">
      <c r="A3203" t="s">
        <v>11855</v>
      </c>
      <c r="B3203" t="s">
        <v>11856</v>
      </c>
      <c r="C3203" t="s">
        <v>11857</v>
      </c>
      <c r="D3203" t="s">
        <v>412</v>
      </c>
      <c r="E3203" t="s">
        <v>11856</v>
      </c>
      <c r="F3203" t="s">
        <v>28</v>
      </c>
      <c r="G3203" t="s">
        <v>11856</v>
      </c>
      <c r="H3203" t="str">
        <f>"gfi-2"</f>
        <v>gfi-2</v>
      </c>
      <c r="I3203" t="s">
        <v>412</v>
      </c>
      <c r="J3203">
        <v>12.2188414919629</v>
      </c>
      <c r="K3203">
        <v>12.86523772832</v>
      </c>
      <c r="L3203">
        <v>12.9287202452701</v>
      </c>
      <c r="M3203" t="s">
        <v>29</v>
      </c>
      <c r="N3203" t="s">
        <v>29</v>
      </c>
      <c r="O3203">
        <v>11.758090937279301</v>
      </c>
      <c r="P3203">
        <v>-0.91284221790508002</v>
      </c>
      <c r="Q3203">
        <v>-1.65463134572267</v>
      </c>
      <c r="R3203">
        <v>-0.17105309008748601</v>
      </c>
      <c r="S3203">
        <v>13.0098106479281</v>
      </c>
      <c r="T3203">
        <v>-2.6245621393774798</v>
      </c>
      <c r="U3203">
        <v>-3.83514748540061</v>
      </c>
      <c r="V3203">
        <v>1.9223104343660299E-2</v>
      </c>
      <c r="W3203">
        <v>7.1461148063460503E-2</v>
      </c>
      <c r="X3203">
        <v>0</v>
      </c>
      <c r="Y3203">
        <v>0</v>
      </c>
    </row>
    <row r="3204" spans="1:25" x14ac:dyDescent="0.2">
      <c r="A3204" t="s">
        <v>11858</v>
      </c>
      <c r="B3204" t="s">
        <v>11859</v>
      </c>
      <c r="C3204" t="s">
        <v>14631</v>
      </c>
      <c r="D3204" t="s">
        <v>11860</v>
      </c>
      <c r="E3204" t="s">
        <v>11859</v>
      </c>
      <c r="F3204" t="s">
        <v>28</v>
      </c>
      <c r="G3204" t="s">
        <v>11859</v>
      </c>
      <c r="H3204" t="str">
        <f>"F56A8.3"</f>
        <v>F56A8.3</v>
      </c>
      <c r="I3204" t="s">
        <v>11860</v>
      </c>
      <c r="J3204">
        <v>10.133435569509</v>
      </c>
      <c r="K3204" t="s">
        <v>29</v>
      </c>
      <c r="L3204">
        <v>11.167450532527001</v>
      </c>
      <c r="M3204" t="s">
        <v>29</v>
      </c>
      <c r="N3204" t="s">
        <v>29</v>
      </c>
      <c r="O3204" t="s">
        <v>29</v>
      </c>
      <c r="P3204" t="s">
        <v>29</v>
      </c>
      <c r="Q3204" t="s">
        <v>29</v>
      </c>
      <c r="R3204" t="s">
        <v>29</v>
      </c>
      <c r="S3204">
        <v>10.907846090245901</v>
      </c>
      <c r="T3204" t="s">
        <v>29</v>
      </c>
      <c r="U3204" t="s">
        <v>29</v>
      </c>
      <c r="V3204" t="s">
        <v>29</v>
      </c>
      <c r="W3204" t="s">
        <v>29</v>
      </c>
      <c r="X3204" t="s">
        <v>29</v>
      </c>
      <c r="Y3204" t="s">
        <v>29</v>
      </c>
    </row>
    <row r="3205" spans="1:25" x14ac:dyDescent="0.2">
      <c r="A3205" t="s">
        <v>11861</v>
      </c>
      <c r="B3205" t="s">
        <v>11862</v>
      </c>
      <c r="C3205" t="s">
        <v>14632</v>
      </c>
      <c r="D3205" t="s">
        <v>11863</v>
      </c>
      <c r="E3205" t="s">
        <v>11862</v>
      </c>
      <c r="F3205" t="s">
        <v>28</v>
      </c>
      <c r="G3205" t="s">
        <v>11862</v>
      </c>
      <c r="H3205" t="str">
        <f>"F43H9.4"</f>
        <v>F43H9.4</v>
      </c>
      <c r="I3205" t="s">
        <v>11863</v>
      </c>
      <c r="J3205" t="s">
        <v>29</v>
      </c>
      <c r="K3205" t="s">
        <v>29</v>
      </c>
      <c r="L3205" t="s">
        <v>29</v>
      </c>
      <c r="M3205" t="s">
        <v>29</v>
      </c>
      <c r="N3205" t="s">
        <v>29</v>
      </c>
      <c r="O3205" t="s">
        <v>29</v>
      </c>
      <c r="P3205" t="s">
        <v>29</v>
      </c>
      <c r="Q3205" t="s">
        <v>29</v>
      </c>
      <c r="R3205" t="s">
        <v>29</v>
      </c>
      <c r="S3205">
        <v>11.5770796094535</v>
      </c>
      <c r="T3205" t="s">
        <v>29</v>
      </c>
      <c r="U3205" t="s">
        <v>29</v>
      </c>
      <c r="V3205" t="s">
        <v>29</v>
      </c>
      <c r="W3205" t="s">
        <v>29</v>
      </c>
      <c r="X3205" t="s">
        <v>29</v>
      </c>
      <c r="Y3205" t="s">
        <v>29</v>
      </c>
    </row>
    <row r="3206" spans="1:25" x14ac:dyDescent="0.2">
      <c r="A3206" t="s">
        <v>11864</v>
      </c>
      <c r="B3206" t="s">
        <v>11865</v>
      </c>
      <c r="C3206" t="s">
        <v>14633</v>
      </c>
      <c r="D3206" t="s">
        <v>368</v>
      </c>
      <c r="E3206" t="s">
        <v>11865</v>
      </c>
      <c r="F3206" t="s">
        <v>28</v>
      </c>
      <c r="G3206" t="s">
        <v>11865</v>
      </c>
      <c r="H3206" t="str">
        <f>"F08F8.9"</f>
        <v>F08F8.9</v>
      </c>
      <c r="I3206" t="s">
        <v>368</v>
      </c>
      <c r="J3206">
        <v>13.342239553311201</v>
      </c>
      <c r="K3206">
        <v>13.2485457007108</v>
      </c>
      <c r="L3206">
        <v>12.9995974668938</v>
      </c>
      <c r="M3206" t="s">
        <v>29</v>
      </c>
      <c r="N3206" t="s">
        <v>29</v>
      </c>
      <c r="O3206">
        <v>11.8866606126102</v>
      </c>
      <c r="P3206">
        <v>-1.31013362769501</v>
      </c>
      <c r="Q3206">
        <v>-2.0913464807819699</v>
      </c>
      <c r="R3206">
        <v>-0.52892077460805698</v>
      </c>
      <c r="S3206">
        <v>13.761363804295801</v>
      </c>
      <c r="T3206">
        <v>-3.5570972906158902</v>
      </c>
      <c r="U3206">
        <v>-1.94534055643546</v>
      </c>
      <c r="V3206">
        <v>2.6501102359883098E-3</v>
      </c>
      <c r="W3206">
        <v>1.7790147757306501E-2</v>
      </c>
      <c r="X3206">
        <v>-1</v>
      </c>
      <c r="Y3206">
        <v>-1</v>
      </c>
    </row>
    <row r="3207" spans="1:25" x14ac:dyDescent="0.2">
      <c r="A3207" t="s">
        <v>11866</v>
      </c>
      <c r="B3207" t="s">
        <v>11867</v>
      </c>
      <c r="C3207" t="s">
        <v>11868</v>
      </c>
      <c r="D3207" t="s">
        <v>10659</v>
      </c>
      <c r="E3207" t="s">
        <v>11867</v>
      </c>
      <c r="F3207" t="s">
        <v>28</v>
      </c>
      <c r="G3207" t="s">
        <v>11867</v>
      </c>
      <c r="H3207" t="str">
        <f>"mys-4"</f>
        <v>mys-4</v>
      </c>
      <c r="I3207" t="s">
        <v>10659</v>
      </c>
      <c r="J3207" t="s">
        <v>29</v>
      </c>
      <c r="K3207">
        <v>11.051553364855501</v>
      </c>
      <c r="L3207" t="s">
        <v>29</v>
      </c>
      <c r="M3207" t="s">
        <v>29</v>
      </c>
      <c r="N3207" t="s">
        <v>29</v>
      </c>
      <c r="O3207" t="s">
        <v>29</v>
      </c>
      <c r="P3207" t="s">
        <v>29</v>
      </c>
      <c r="Q3207" t="s">
        <v>29</v>
      </c>
      <c r="R3207" t="s">
        <v>29</v>
      </c>
      <c r="S3207">
        <v>11.1715978229991</v>
      </c>
      <c r="T3207" t="s">
        <v>29</v>
      </c>
      <c r="U3207" t="s">
        <v>29</v>
      </c>
      <c r="V3207" t="s">
        <v>29</v>
      </c>
      <c r="W3207" t="s">
        <v>29</v>
      </c>
      <c r="X3207" t="s">
        <v>29</v>
      </c>
      <c r="Y3207" t="s">
        <v>29</v>
      </c>
    </row>
    <row r="3208" spans="1:25" x14ac:dyDescent="0.2">
      <c r="A3208" t="s">
        <v>11869</v>
      </c>
      <c r="B3208" t="s">
        <v>11870</v>
      </c>
      <c r="C3208" t="s">
        <v>11871</v>
      </c>
      <c r="D3208" t="s">
        <v>323</v>
      </c>
      <c r="E3208" t="s">
        <v>11870</v>
      </c>
      <c r="F3208" t="s">
        <v>28</v>
      </c>
      <c r="G3208" t="s">
        <v>11870</v>
      </c>
      <c r="H3208" t="str">
        <f>"mtk-1"</f>
        <v>mtk-1</v>
      </c>
      <c r="I3208" t="s">
        <v>323</v>
      </c>
      <c r="J3208">
        <v>12.452488948767501</v>
      </c>
      <c r="K3208" t="s">
        <v>29</v>
      </c>
      <c r="L3208">
        <v>11.1619494354526</v>
      </c>
      <c r="M3208" t="s">
        <v>29</v>
      </c>
      <c r="N3208" t="s">
        <v>29</v>
      </c>
      <c r="O3208">
        <v>10.8717560107495</v>
      </c>
      <c r="P3208">
        <v>-0.93546318136062601</v>
      </c>
      <c r="Q3208">
        <v>-2.2670187977309202</v>
      </c>
      <c r="R3208">
        <v>0.39609243500966901</v>
      </c>
      <c r="S3208">
        <v>11.242215642695699</v>
      </c>
      <c r="T3208">
        <v>-1.5189890129965</v>
      </c>
      <c r="U3208">
        <v>-5.6274615868036602</v>
      </c>
      <c r="V3208">
        <v>0.152897031240502</v>
      </c>
      <c r="W3208">
        <v>0.29781067486170398</v>
      </c>
      <c r="X3208">
        <v>0</v>
      </c>
      <c r="Y3208">
        <v>0</v>
      </c>
    </row>
    <row r="3209" spans="1:25" x14ac:dyDescent="0.2">
      <c r="A3209" t="s">
        <v>11872</v>
      </c>
      <c r="B3209" t="s">
        <v>11873</v>
      </c>
      <c r="C3209" t="s">
        <v>11874</v>
      </c>
      <c r="D3209" t="s">
        <v>11875</v>
      </c>
      <c r="E3209" t="s">
        <v>11873</v>
      </c>
      <c r="F3209" t="s">
        <v>28</v>
      </c>
      <c r="G3209" t="s">
        <v>11873</v>
      </c>
      <c r="H3209" t="str">
        <f>"mak-2"</f>
        <v>mak-2</v>
      </c>
      <c r="I3209" t="s">
        <v>11875</v>
      </c>
      <c r="J3209">
        <v>11.3868329864787</v>
      </c>
      <c r="K3209">
        <v>11.8386811054215</v>
      </c>
      <c r="L3209">
        <v>11.1329664230779</v>
      </c>
      <c r="M3209" t="s">
        <v>29</v>
      </c>
      <c r="N3209" t="s">
        <v>29</v>
      </c>
      <c r="O3209">
        <v>12.970235701435</v>
      </c>
      <c r="P3209">
        <v>1.5174088631090099</v>
      </c>
      <c r="Q3209">
        <v>0.57509725557038105</v>
      </c>
      <c r="R3209">
        <v>2.4597204706476301</v>
      </c>
      <c r="S3209">
        <v>11.911787942194501</v>
      </c>
      <c r="T3209">
        <v>3.4343905573887601</v>
      </c>
      <c r="U3209">
        <v>-2.2514491650395101</v>
      </c>
      <c r="V3209">
        <v>3.7209043391093401E-3</v>
      </c>
      <c r="W3209">
        <v>2.2892494963163298E-2</v>
      </c>
      <c r="X3209">
        <v>1</v>
      </c>
      <c r="Y3209">
        <v>1</v>
      </c>
    </row>
    <row r="3210" spans="1:25" x14ac:dyDescent="0.2">
      <c r="A3210" t="s">
        <v>11876</v>
      </c>
      <c r="B3210" t="s">
        <v>11877</v>
      </c>
      <c r="C3210" t="s">
        <v>14634</v>
      </c>
      <c r="D3210" t="s">
        <v>107</v>
      </c>
      <c r="E3210" t="s">
        <v>11877</v>
      </c>
      <c r="F3210" t="s">
        <v>28</v>
      </c>
      <c r="G3210" t="s">
        <v>11877</v>
      </c>
      <c r="H3210" t="str">
        <f>"T25D3.4"</f>
        <v>T25D3.4</v>
      </c>
      <c r="I3210" t="s">
        <v>107</v>
      </c>
      <c r="J3210">
        <v>11.6801107691266</v>
      </c>
      <c r="K3210">
        <v>11.475836129921699</v>
      </c>
      <c r="L3210">
        <v>12.604433638348601</v>
      </c>
      <c r="M3210" t="s">
        <v>29</v>
      </c>
      <c r="N3210" t="s">
        <v>29</v>
      </c>
      <c r="O3210">
        <v>12.3504527768948</v>
      </c>
      <c r="P3210">
        <v>0.43032593109585798</v>
      </c>
      <c r="Q3210">
        <v>-0.66542445288955598</v>
      </c>
      <c r="R3210">
        <v>1.52607631508127</v>
      </c>
      <c r="S3210">
        <v>12.017095584189899</v>
      </c>
      <c r="T3210">
        <v>0.84290334710622505</v>
      </c>
      <c r="U3210">
        <v>-6.4458200368726297</v>
      </c>
      <c r="V3210">
        <v>0.413557128901194</v>
      </c>
      <c r="W3210">
        <v>0.581188773901679</v>
      </c>
      <c r="X3210">
        <v>0</v>
      </c>
      <c r="Y3210">
        <v>0</v>
      </c>
    </row>
    <row r="3211" spans="1:25" x14ac:dyDescent="0.2">
      <c r="A3211" t="s">
        <v>11878</v>
      </c>
      <c r="B3211" t="s">
        <v>11879</v>
      </c>
      <c r="C3211" t="s">
        <v>11880</v>
      </c>
      <c r="D3211" t="s">
        <v>1296</v>
      </c>
      <c r="E3211" t="s">
        <v>11879</v>
      </c>
      <c r="F3211" t="s">
        <v>28</v>
      </c>
      <c r="G3211" t="s">
        <v>11879</v>
      </c>
      <c r="H3211" t="str">
        <f>"ddx-46"</f>
        <v>ddx-46</v>
      </c>
      <c r="I3211" t="s">
        <v>1296</v>
      </c>
      <c r="J3211">
        <v>12.5434799762947</v>
      </c>
      <c r="K3211">
        <v>12.620531217898399</v>
      </c>
      <c r="L3211">
        <v>12.4015596649432</v>
      </c>
      <c r="M3211" t="s">
        <v>29</v>
      </c>
      <c r="N3211">
        <v>13.962797738208</v>
      </c>
      <c r="O3211">
        <v>12.397285958055299</v>
      </c>
      <c r="P3211">
        <v>0.65818489508618905</v>
      </c>
      <c r="Q3211">
        <v>-3.5913768735096101E-2</v>
      </c>
      <c r="R3211">
        <v>1.35228355890747</v>
      </c>
      <c r="S3211">
        <v>12.4721545866774</v>
      </c>
      <c r="T3211">
        <v>2.0015973440893902</v>
      </c>
      <c r="U3211">
        <v>-5.1572390007447702</v>
      </c>
      <c r="V3211">
        <v>6.1653892609157199E-2</v>
      </c>
      <c r="W3211">
        <v>0.15843044555799399</v>
      </c>
      <c r="X3211">
        <v>0</v>
      </c>
      <c r="Y3211">
        <v>0</v>
      </c>
    </row>
    <row r="3212" spans="1:25" x14ac:dyDescent="0.2">
      <c r="A3212" t="s">
        <v>11881</v>
      </c>
      <c r="B3212" t="s">
        <v>11882</v>
      </c>
      <c r="C3212" t="s">
        <v>11883</v>
      </c>
      <c r="D3212" t="s">
        <v>11884</v>
      </c>
      <c r="E3212" t="s">
        <v>11882</v>
      </c>
      <c r="F3212" t="s">
        <v>28</v>
      </c>
      <c r="G3212" t="s">
        <v>11882</v>
      </c>
      <c r="H3212" t="str">
        <f>"dnc-3"</f>
        <v>dnc-3</v>
      </c>
      <c r="I3212" t="s">
        <v>11884</v>
      </c>
      <c r="J3212" t="s">
        <v>29</v>
      </c>
      <c r="K3212" t="s">
        <v>29</v>
      </c>
      <c r="L3212" t="s">
        <v>29</v>
      </c>
      <c r="M3212" t="s">
        <v>29</v>
      </c>
      <c r="N3212">
        <v>13.9779917001492</v>
      </c>
      <c r="O3212">
        <v>14.5955976758673</v>
      </c>
      <c r="P3212" t="s">
        <v>29</v>
      </c>
      <c r="Q3212" t="s">
        <v>29</v>
      </c>
      <c r="R3212" t="s">
        <v>29</v>
      </c>
      <c r="S3212">
        <v>13.3168373365252</v>
      </c>
      <c r="T3212" t="s">
        <v>29</v>
      </c>
      <c r="U3212" t="s">
        <v>29</v>
      </c>
      <c r="V3212" t="s">
        <v>29</v>
      </c>
      <c r="W3212" t="s">
        <v>29</v>
      </c>
      <c r="X3212" t="s">
        <v>29</v>
      </c>
      <c r="Y3212" t="s">
        <v>29</v>
      </c>
    </row>
    <row r="3213" spans="1:25" x14ac:dyDescent="0.2">
      <c r="A3213" t="s">
        <v>11885</v>
      </c>
      <c r="B3213" t="s">
        <v>11886</v>
      </c>
      <c r="C3213" t="s">
        <v>14635</v>
      </c>
      <c r="D3213" t="s">
        <v>11887</v>
      </c>
      <c r="E3213" t="s">
        <v>11886</v>
      </c>
      <c r="F3213" t="s">
        <v>28</v>
      </c>
      <c r="G3213" t="s">
        <v>11886</v>
      </c>
      <c r="H3213" t="str">
        <f>"M116.5"</f>
        <v>M116.5</v>
      </c>
      <c r="I3213" t="s">
        <v>11887</v>
      </c>
      <c r="J3213">
        <v>12.404606829744001</v>
      </c>
      <c r="K3213">
        <v>12.1900797601698</v>
      </c>
      <c r="L3213">
        <v>12.3726513099252</v>
      </c>
      <c r="M3213" t="s">
        <v>29</v>
      </c>
      <c r="N3213">
        <v>13.4447665640499</v>
      </c>
      <c r="O3213">
        <v>13.577941695695699</v>
      </c>
      <c r="P3213">
        <v>1.18890816325976</v>
      </c>
      <c r="Q3213">
        <v>0.27775156533127399</v>
      </c>
      <c r="R3213">
        <v>2.1000647611882401</v>
      </c>
      <c r="S3213">
        <v>12.620939092081199</v>
      </c>
      <c r="T3213">
        <v>2.75426230135783</v>
      </c>
      <c r="U3213">
        <v>-3.7568882618484598</v>
      </c>
      <c r="V3213">
        <v>1.3601997135982201E-2</v>
      </c>
      <c r="W3213">
        <v>5.6457866985548798E-2</v>
      </c>
      <c r="X3213">
        <v>1</v>
      </c>
      <c r="Y3213">
        <v>0</v>
      </c>
    </row>
    <row r="3214" spans="1:25" x14ac:dyDescent="0.2">
      <c r="A3214" t="s">
        <v>11888</v>
      </c>
      <c r="B3214" t="s">
        <v>11889</v>
      </c>
      <c r="C3214" t="s">
        <v>11890</v>
      </c>
      <c r="D3214" t="s">
        <v>11891</v>
      </c>
      <c r="E3214" t="s">
        <v>11889</v>
      </c>
      <c r="F3214" t="s">
        <v>28</v>
      </c>
      <c r="G3214" t="s">
        <v>11889</v>
      </c>
      <c r="H3214" t="str">
        <f>"BE0003N10.1"</f>
        <v>BE0003N10.1</v>
      </c>
      <c r="I3214" t="s">
        <v>11891</v>
      </c>
      <c r="J3214">
        <v>13.0990161433804</v>
      </c>
      <c r="K3214">
        <v>13.380327553355899</v>
      </c>
      <c r="L3214">
        <v>13.1184290040721</v>
      </c>
      <c r="M3214" t="s">
        <v>29</v>
      </c>
      <c r="N3214">
        <v>13.1301971876441</v>
      </c>
      <c r="O3214">
        <v>13.1063144202349</v>
      </c>
      <c r="P3214">
        <v>-8.1001762996608703E-2</v>
      </c>
      <c r="Q3214">
        <v>-0.63731212080405097</v>
      </c>
      <c r="R3214">
        <v>0.47530859481083299</v>
      </c>
      <c r="S3214">
        <v>13.1840688512551</v>
      </c>
      <c r="T3214">
        <v>-0.307345839475897</v>
      </c>
      <c r="U3214">
        <v>-6.9959603142209996</v>
      </c>
      <c r="V3214">
        <v>0.76233634086426205</v>
      </c>
      <c r="W3214">
        <v>0.849057141544588</v>
      </c>
      <c r="X3214">
        <v>0</v>
      </c>
      <c r="Y3214">
        <v>0</v>
      </c>
    </row>
    <row r="3215" spans="1:25" x14ac:dyDescent="0.2">
      <c r="A3215" t="s">
        <v>11892</v>
      </c>
      <c r="B3215" t="s">
        <v>11893</v>
      </c>
      <c r="C3215" t="s">
        <v>11894</v>
      </c>
      <c r="D3215" t="s">
        <v>11895</v>
      </c>
      <c r="E3215" t="s">
        <v>11893</v>
      </c>
      <c r="F3215" t="s">
        <v>28</v>
      </c>
      <c r="G3215" t="s">
        <v>11893</v>
      </c>
      <c r="H3215" t="str">
        <f>"chin-1"</f>
        <v>chin-1</v>
      </c>
      <c r="I3215" t="s">
        <v>11895</v>
      </c>
      <c r="J3215">
        <v>12.8790766791561</v>
      </c>
      <c r="K3215">
        <v>12.660509479174101</v>
      </c>
      <c r="L3215">
        <v>12.809545572261399</v>
      </c>
      <c r="M3215" t="s">
        <v>29</v>
      </c>
      <c r="N3215">
        <v>10.7865199007506</v>
      </c>
      <c r="O3215">
        <v>12.7000734885982</v>
      </c>
      <c r="P3215">
        <v>-1.03974721552285</v>
      </c>
      <c r="Q3215">
        <v>-1.84983838034395</v>
      </c>
      <c r="R3215">
        <v>-0.22965605070175299</v>
      </c>
      <c r="S3215">
        <v>12.7943033217208</v>
      </c>
      <c r="T3215">
        <v>-2.7092175704170298</v>
      </c>
      <c r="U3215">
        <v>-3.8463238171087899</v>
      </c>
      <c r="V3215">
        <v>1.49440945016292E-2</v>
      </c>
      <c r="W3215">
        <v>6.0000335826023501E-2</v>
      </c>
      <c r="X3215">
        <v>-1</v>
      </c>
      <c r="Y3215">
        <v>0</v>
      </c>
    </row>
    <row r="3216" spans="1:25" x14ac:dyDescent="0.2">
      <c r="A3216" t="s">
        <v>11896</v>
      </c>
      <c r="B3216" t="s">
        <v>11897</v>
      </c>
      <c r="C3216" t="s">
        <v>11898</v>
      </c>
      <c r="D3216" t="s">
        <v>11899</v>
      </c>
      <c r="E3216" t="s">
        <v>11897</v>
      </c>
      <c r="F3216" t="s">
        <v>28</v>
      </c>
      <c r="G3216" t="s">
        <v>11900</v>
      </c>
      <c r="H3216" t="str">
        <f>"spsb-1"</f>
        <v>spsb-1</v>
      </c>
      <c r="I3216" t="s">
        <v>689</v>
      </c>
      <c r="J3216" t="s">
        <v>29</v>
      </c>
      <c r="K3216" t="s">
        <v>29</v>
      </c>
      <c r="L3216" t="s">
        <v>29</v>
      </c>
      <c r="M3216" t="s">
        <v>29</v>
      </c>
      <c r="N3216" t="s">
        <v>29</v>
      </c>
      <c r="O3216" t="s">
        <v>29</v>
      </c>
      <c r="P3216" t="s">
        <v>29</v>
      </c>
      <c r="Q3216" t="s">
        <v>29</v>
      </c>
      <c r="R3216" t="s">
        <v>29</v>
      </c>
      <c r="S3216">
        <v>12.591548559785601</v>
      </c>
      <c r="T3216" t="s">
        <v>29</v>
      </c>
      <c r="U3216" t="s">
        <v>29</v>
      </c>
      <c r="V3216" t="s">
        <v>29</v>
      </c>
      <c r="W3216" t="s">
        <v>29</v>
      </c>
      <c r="X3216" t="s">
        <v>29</v>
      </c>
      <c r="Y3216" t="s">
        <v>29</v>
      </c>
    </row>
    <row r="3217" spans="1:25" x14ac:dyDescent="0.2">
      <c r="A3217" t="s">
        <v>11901</v>
      </c>
      <c r="B3217" t="s">
        <v>11902</v>
      </c>
      <c r="C3217" t="s">
        <v>14636</v>
      </c>
      <c r="D3217" t="s">
        <v>11903</v>
      </c>
      <c r="E3217" t="s">
        <v>11902</v>
      </c>
      <c r="F3217" t="s">
        <v>28</v>
      </c>
      <c r="G3217" t="s">
        <v>11902</v>
      </c>
      <c r="H3217" t="str">
        <f>"Y46E12BL.2"</f>
        <v>Y46E12BL.2</v>
      </c>
      <c r="I3217" t="s">
        <v>11903</v>
      </c>
      <c r="J3217">
        <v>15.262210238613701</v>
      </c>
      <c r="K3217">
        <v>15.287880744997301</v>
      </c>
      <c r="L3217">
        <v>15.4633849511701</v>
      </c>
      <c r="M3217">
        <v>14.8975141841523</v>
      </c>
      <c r="N3217">
        <v>14.616228812686099</v>
      </c>
      <c r="O3217">
        <v>14.944767597652699</v>
      </c>
      <c r="P3217">
        <v>-0.51832178009667396</v>
      </c>
      <c r="Q3217">
        <v>-0.96209761216402501</v>
      </c>
      <c r="R3217">
        <v>-7.4545948029322601E-2</v>
      </c>
      <c r="S3217">
        <v>15.554567208365899</v>
      </c>
      <c r="T3217">
        <v>-2.4548690168092899</v>
      </c>
      <c r="U3217">
        <v>-4.4331008500027096</v>
      </c>
      <c r="V3217">
        <v>2.4561975632798501E-2</v>
      </c>
      <c r="W3217">
        <v>8.4069851556163894E-2</v>
      </c>
      <c r="X3217">
        <v>0</v>
      </c>
      <c r="Y3217">
        <v>0</v>
      </c>
    </row>
    <row r="3218" spans="1:25" x14ac:dyDescent="0.2">
      <c r="A3218" t="s">
        <v>11904</v>
      </c>
      <c r="B3218" t="s">
        <v>11905</v>
      </c>
      <c r="C3218" t="s">
        <v>14637</v>
      </c>
      <c r="D3218" t="s">
        <v>11906</v>
      </c>
      <c r="E3218" t="s">
        <v>11905</v>
      </c>
      <c r="F3218" t="s">
        <v>28</v>
      </c>
      <c r="G3218" t="s">
        <v>11905</v>
      </c>
      <c r="H3218" t="str">
        <f>"Y22D7AL.10"</f>
        <v>Y22D7AL.10</v>
      </c>
      <c r="I3218" t="s">
        <v>11906</v>
      </c>
      <c r="J3218">
        <v>13.796418323808799</v>
      </c>
      <c r="K3218">
        <v>13.6110015468951</v>
      </c>
      <c r="L3218">
        <v>13.7552952279234</v>
      </c>
      <c r="M3218">
        <v>15.903707779991301</v>
      </c>
      <c r="N3218">
        <v>14.5711123806622</v>
      </c>
      <c r="O3218">
        <v>14.166205077806801</v>
      </c>
      <c r="P3218">
        <v>1.15943671327764</v>
      </c>
      <c r="Q3218">
        <v>0.133013703177187</v>
      </c>
      <c r="R3218">
        <v>2.1858597233780999</v>
      </c>
      <c r="S3218">
        <v>13.539082988708699</v>
      </c>
      <c r="T3218">
        <v>2.3959083357516602</v>
      </c>
      <c r="U3218">
        <v>-4.5698929548308698</v>
      </c>
      <c r="V3218">
        <v>2.9245336305698501E-2</v>
      </c>
      <c r="W3218">
        <v>9.5338502315147802E-2</v>
      </c>
      <c r="X3218">
        <v>1</v>
      </c>
      <c r="Y3218">
        <v>0</v>
      </c>
    </row>
    <row r="3219" spans="1:25" x14ac:dyDescent="0.2">
      <c r="A3219" t="s">
        <v>11907</v>
      </c>
      <c r="B3219" t="s">
        <v>11908</v>
      </c>
      <c r="C3219" t="s">
        <v>14638</v>
      </c>
      <c r="D3219" t="s">
        <v>11909</v>
      </c>
      <c r="E3219" t="s">
        <v>11908</v>
      </c>
      <c r="F3219" t="s">
        <v>28</v>
      </c>
      <c r="G3219" t="s">
        <v>11908</v>
      </c>
      <c r="H3219" t="str">
        <f>"Y22D7AL.9"</f>
        <v>Y22D7AL.9</v>
      </c>
      <c r="I3219" t="s">
        <v>11909</v>
      </c>
      <c r="J3219" t="s">
        <v>29</v>
      </c>
      <c r="K3219" t="s">
        <v>29</v>
      </c>
      <c r="L3219" t="s">
        <v>29</v>
      </c>
      <c r="M3219" t="s">
        <v>29</v>
      </c>
      <c r="N3219" t="s">
        <v>29</v>
      </c>
      <c r="O3219" t="s">
        <v>29</v>
      </c>
      <c r="P3219" t="s">
        <v>29</v>
      </c>
      <c r="Q3219" t="s">
        <v>29</v>
      </c>
      <c r="R3219" t="s">
        <v>29</v>
      </c>
      <c r="S3219">
        <v>11.0915050749068</v>
      </c>
      <c r="T3219" t="s">
        <v>29</v>
      </c>
      <c r="U3219" t="s">
        <v>29</v>
      </c>
      <c r="V3219" t="s">
        <v>29</v>
      </c>
      <c r="W3219" t="s">
        <v>29</v>
      </c>
      <c r="X3219" t="s">
        <v>29</v>
      </c>
      <c r="Y3219" t="s">
        <v>29</v>
      </c>
    </row>
    <row r="3220" spans="1:25" x14ac:dyDescent="0.2">
      <c r="A3220" t="s">
        <v>11910</v>
      </c>
      <c r="B3220" t="s">
        <v>11911</v>
      </c>
      <c r="C3220" t="s">
        <v>14639</v>
      </c>
      <c r="D3220" t="s">
        <v>11912</v>
      </c>
      <c r="E3220" t="s">
        <v>11911</v>
      </c>
      <c r="F3220" t="s">
        <v>28</v>
      </c>
      <c r="G3220" t="s">
        <v>11911</v>
      </c>
      <c r="H3220" t="str">
        <f>"Y50D4C.3"</f>
        <v>Y50D4C.3</v>
      </c>
      <c r="I3220" t="s">
        <v>11912</v>
      </c>
      <c r="J3220">
        <v>13.230442726333401</v>
      </c>
      <c r="K3220">
        <v>13.389937456449999</v>
      </c>
      <c r="L3220">
        <v>13.8241296060284</v>
      </c>
      <c r="M3220" t="s">
        <v>29</v>
      </c>
      <c r="N3220">
        <v>12.7300957799449</v>
      </c>
      <c r="O3220">
        <v>12.540363498778399</v>
      </c>
      <c r="P3220">
        <v>-0.84627362357562896</v>
      </c>
      <c r="Q3220">
        <v>-1.3329297635841999</v>
      </c>
      <c r="R3220">
        <v>-0.35961748356705903</v>
      </c>
      <c r="S3220">
        <v>13.4592131689746</v>
      </c>
      <c r="T3220">
        <v>-3.6706131077903401</v>
      </c>
      <c r="U3220">
        <v>-1.8517323235699501</v>
      </c>
      <c r="V3220">
        <v>1.91165690878177E-3</v>
      </c>
      <c r="W3220">
        <v>1.42263962378279E-2</v>
      </c>
      <c r="X3220">
        <v>0</v>
      </c>
      <c r="Y3220">
        <v>0</v>
      </c>
    </row>
    <row r="3221" spans="1:25" x14ac:dyDescent="0.2">
      <c r="A3221" t="s">
        <v>11913</v>
      </c>
      <c r="B3221" t="s">
        <v>11914</v>
      </c>
      <c r="C3221" t="s">
        <v>11915</v>
      </c>
      <c r="D3221" t="s">
        <v>11916</v>
      </c>
      <c r="E3221" t="s">
        <v>11914</v>
      </c>
      <c r="F3221" t="s">
        <v>28</v>
      </c>
      <c r="G3221" t="s">
        <v>11914</v>
      </c>
      <c r="H3221" t="str">
        <f>"eif-3.I"</f>
        <v>eif-3.I</v>
      </c>
      <c r="I3221" t="s">
        <v>11916</v>
      </c>
      <c r="J3221">
        <v>13.2002724401215</v>
      </c>
      <c r="K3221">
        <v>13.448976648532099</v>
      </c>
      <c r="L3221">
        <v>13.7000826763947</v>
      </c>
      <c r="M3221" t="s">
        <v>29</v>
      </c>
      <c r="N3221">
        <v>13.5186282960656</v>
      </c>
      <c r="O3221">
        <v>12.844777642268101</v>
      </c>
      <c r="P3221">
        <v>-0.268074285849208</v>
      </c>
      <c r="Q3221">
        <v>-1.09756476869644</v>
      </c>
      <c r="R3221">
        <v>0.56141619699802703</v>
      </c>
      <c r="S3221">
        <v>13.3557406812244</v>
      </c>
      <c r="T3221">
        <v>-0.68217180157448098</v>
      </c>
      <c r="U3221">
        <v>-6.8041905874832196</v>
      </c>
      <c r="V3221">
        <v>0.50437620615809198</v>
      </c>
      <c r="W3221">
        <v>0.65774686978761998</v>
      </c>
      <c r="X3221">
        <v>0</v>
      </c>
      <c r="Y3221">
        <v>0</v>
      </c>
    </row>
    <row r="3222" spans="1:25" x14ac:dyDescent="0.2">
      <c r="A3222" t="s">
        <v>11917</v>
      </c>
      <c r="B3222" t="s">
        <v>11918</v>
      </c>
      <c r="C3222" t="s">
        <v>11919</v>
      </c>
      <c r="D3222" t="s">
        <v>11920</v>
      </c>
      <c r="E3222" t="s">
        <v>11918</v>
      </c>
      <c r="F3222" t="s">
        <v>28</v>
      </c>
      <c r="G3222" t="s">
        <v>11918</v>
      </c>
      <c r="H3222" t="str">
        <f>"taco-1"</f>
        <v>taco-1</v>
      </c>
      <c r="I3222" t="s">
        <v>11920</v>
      </c>
      <c r="J3222" t="s">
        <v>29</v>
      </c>
      <c r="K3222" t="s">
        <v>29</v>
      </c>
      <c r="L3222">
        <v>12.028361060637</v>
      </c>
      <c r="M3222" t="s">
        <v>29</v>
      </c>
      <c r="N3222" t="s">
        <v>29</v>
      </c>
      <c r="O3222" t="s">
        <v>29</v>
      </c>
      <c r="P3222" t="s">
        <v>29</v>
      </c>
      <c r="Q3222" t="s">
        <v>29</v>
      </c>
      <c r="R3222" t="s">
        <v>29</v>
      </c>
      <c r="S3222">
        <v>12.9342576101216</v>
      </c>
      <c r="T3222" t="s">
        <v>29</v>
      </c>
      <c r="U3222" t="s">
        <v>29</v>
      </c>
      <c r="V3222" t="s">
        <v>29</v>
      </c>
      <c r="W3222" t="s">
        <v>29</v>
      </c>
      <c r="X3222" t="s">
        <v>29</v>
      </c>
      <c r="Y3222" t="s">
        <v>29</v>
      </c>
    </row>
    <row r="3223" spans="1:25" x14ac:dyDescent="0.2">
      <c r="A3223" t="s">
        <v>11921</v>
      </c>
      <c r="B3223" t="s">
        <v>11922</v>
      </c>
      <c r="C3223" t="s">
        <v>11923</v>
      </c>
      <c r="D3223" t="s">
        <v>11924</v>
      </c>
      <c r="E3223" t="s">
        <v>11922</v>
      </c>
      <c r="F3223" t="s">
        <v>28</v>
      </c>
      <c r="G3223" t="s">
        <v>11922</v>
      </c>
      <c r="H3223" t="str">
        <f>"xpo-2"</f>
        <v>xpo-2</v>
      </c>
      <c r="I3223" t="s">
        <v>11924</v>
      </c>
      <c r="J3223">
        <v>15.5816195837176</v>
      </c>
      <c r="K3223">
        <v>15.5674989486768</v>
      </c>
      <c r="L3223">
        <v>15.534206861518999</v>
      </c>
      <c r="M3223">
        <v>15.0661383433455</v>
      </c>
      <c r="N3223">
        <v>15.121486941774799</v>
      </c>
      <c r="O3223">
        <v>15.6949614492341</v>
      </c>
      <c r="P3223">
        <v>-0.26691288651967099</v>
      </c>
      <c r="Q3223">
        <v>-0.73513668146978695</v>
      </c>
      <c r="R3223">
        <v>0.201310908430444</v>
      </c>
      <c r="S3223">
        <v>15.5871954947327</v>
      </c>
      <c r="T3223">
        <v>-1.1981427785862</v>
      </c>
      <c r="U3223">
        <v>-6.4318012447420303</v>
      </c>
      <c r="V3223">
        <v>0.24648974911768001</v>
      </c>
      <c r="W3223">
        <v>0.41326302461074899</v>
      </c>
      <c r="X3223">
        <v>0</v>
      </c>
      <c r="Y3223">
        <v>0</v>
      </c>
    </row>
    <row r="3224" spans="1:25" x14ac:dyDescent="0.2">
      <c r="A3224" t="s">
        <v>11925</v>
      </c>
      <c r="B3224" t="s">
        <v>11926</v>
      </c>
      <c r="C3224" t="s">
        <v>11927</v>
      </c>
      <c r="D3224" t="s">
        <v>416</v>
      </c>
      <c r="E3224" t="s">
        <v>11926</v>
      </c>
      <c r="F3224" t="s">
        <v>28</v>
      </c>
      <c r="G3224" t="s">
        <v>11926</v>
      </c>
      <c r="H3224" t="str">
        <f>"ubh-3"</f>
        <v>ubh-3</v>
      </c>
      <c r="I3224" t="s">
        <v>416</v>
      </c>
      <c r="J3224">
        <v>11.998931217975899</v>
      </c>
      <c r="K3224">
        <v>10.886301405457999</v>
      </c>
      <c r="L3224">
        <v>12.1402304944903</v>
      </c>
      <c r="M3224" t="s">
        <v>29</v>
      </c>
      <c r="N3224" t="s">
        <v>29</v>
      </c>
      <c r="O3224" t="s">
        <v>29</v>
      </c>
      <c r="P3224" t="s">
        <v>29</v>
      </c>
      <c r="Q3224" t="s">
        <v>29</v>
      </c>
      <c r="R3224" t="s">
        <v>29</v>
      </c>
      <c r="S3224">
        <v>12.0921014647994</v>
      </c>
      <c r="T3224" t="s">
        <v>29</v>
      </c>
      <c r="U3224" t="s">
        <v>29</v>
      </c>
      <c r="V3224" t="s">
        <v>29</v>
      </c>
      <c r="W3224" t="s">
        <v>29</v>
      </c>
      <c r="X3224" t="s">
        <v>29</v>
      </c>
      <c r="Y3224" t="s">
        <v>29</v>
      </c>
    </row>
    <row r="3225" spans="1:25" x14ac:dyDescent="0.2">
      <c r="A3225" t="s">
        <v>11928</v>
      </c>
      <c r="B3225" t="s">
        <v>11929</v>
      </c>
      <c r="C3225" t="s">
        <v>11930</v>
      </c>
      <c r="D3225" t="s">
        <v>11931</v>
      </c>
      <c r="E3225" t="s">
        <v>11929</v>
      </c>
      <c r="F3225" t="s">
        <v>28</v>
      </c>
      <c r="G3225" t="s">
        <v>11929</v>
      </c>
      <c r="H3225" t="str">
        <f>"nhr-86"</f>
        <v>nhr-86</v>
      </c>
      <c r="I3225" t="s">
        <v>11931</v>
      </c>
      <c r="J3225">
        <v>11.194956188283401</v>
      </c>
      <c r="K3225" t="s">
        <v>29</v>
      </c>
      <c r="L3225">
        <v>10.817228303325299</v>
      </c>
      <c r="M3225" t="s">
        <v>29</v>
      </c>
      <c r="N3225" t="s">
        <v>29</v>
      </c>
      <c r="O3225" t="s">
        <v>29</v>
      </c>
      <c r="P3225" t="s">
        <v>29</v>
      </c>
      <c r="Q3225" t="s">
        <v>29</v>
      </c>
      <c r="R3225" t="s">
        <v>29</v>
      </c>
      <c r="S3225">
        <v>12.0479285496908</v>
      </c>
      <c r="T3225" t="s">
        <v>29</v>
      </c>
      <c r="U3225" t="s">
        <v>29</v>
      </c>
      <c r="V3225" t="s">
        <v>29</v>
      </c>
      <c r="W3225" t="s">
        <v>29</v>
      </c>
      <c r="X3225" t="s">
        <v>29</v>
      </c>
      <c r="Y3225" t="s">
        <v>29</v>
      </c>
    </row>
    <row r="3226" spans="1:25" x14ac:dyDescent="0.2">
      <c r="A3226" t="s">
        <v>11932</v>
      </c>
      <c r="B3226" t="s">
        <v>11933</v>
      </c>
      <c r="C3226" t="s">
        <v>11934</v>
      </c>
      <c r="D3226" t="s">
        <v>11935</v>
      </c>
      <c r="E3226" t="s">
        <v>11933</v>
      </c>
      <c r="F3226" t="s">
        <v>28</v>
      </c>
      <c r="G3226" t="s">
        <v>11933</v>
      </c>
      <c r="H3226" t="str">
        <f>"comt-3"</f>
        <v>comt-3</v>
      </c>
      <c r="I3226" t="s">
        <v>11935</v>
      </c>
      <c r="J3226" t="s">
        <v>29</v>
      </c>
      <c r="K3226" t="s">
        <v>29</v>
      </c>
      <c r="L3226" t="s">
        <v>29</v>
      </c>
      <c r="M3226">
        <v>15.510915310650001</v>
      </c>
      <c r="N3226">
        <v>15.347101919942901</v>
      </c>
      <c r="O3226">
        <v>16.404866349652099</v>
      </c>
      <c r="P3226" t="s">
        <v>29</v>
      </c>
      <c r="Q3226" t="s">
        <v>29</v>
      </c>
      <c r="R3226" t="s">
        <v>29</v>
      </c>
      <c r="S3226">
        <v>14.861672444082499</v>
      </c>
      <c r="T3226" t="s">
        <v>29</v>
      </c>
      <c r="U3226" t="s">
        <v>29</v>
      </c>
      <c r="V3226" t="s">
        <v>29</v>
      </c>
      <c r="W3226" t="s">
        <v>29</v>
      </c>
      <c r="X3226" t="s">
        <v>29</v>
      </c>
      <c r="Y3226" t="s">
        <v>29</v>
      </c>
    </row>
    <row r="3227" spans="1:25" x14ac:dyDescent="0.2">
      <c r="A3227" t="s">
        <v>11936</v>
      </c>
      <c r="B3227" t="s">
        <v>11937</v>
      </c>
      <c r="C3227" t="s">
        <v>14640</v>
      </c>
      <c r="D3227" t="s">
        <v>368</v>
      </c>
      <c r="E3227" t="s">
        <v>11937</v>
      </c>
      <c r="F3227" t="s">
        <v>28</v>
      </c>
      <c r="G3227" t="s">
        <v>11937</v>
      </c>
      <c r="H3227" t="str">
        <f>"Y39A3CL.7"</f>
        <v>Y39A3CL.7</v>
      </c>
      <c r="I3227" t="s">
        <v>368</v>
      </c>
      <c r="J3227" t="s">
        <v>29</v>
      </c>
      <c r="K3227" t="s">
        <v>29</v>
      </c>
      <c r="L3227" t="s">
        <v>29</v>
      </c>
      <c r="M3227" t="s">
        <v>29</v>
      </c>
      <c r="N3227" t="s">
        <v>29</v>
      </c>
      <c r="O3227" t="s">
        <v>29</v>
      </c>
      <c r="P3227" t="s">
        <v>29</v>
      </c>
      <c r="Q3227" t="s">
        <v>29</v>
      </c>
      <c r="R3227" t="s">
        <v>29</v>
      </c>
      <c r="S3227">
        <v>12.3783090390827</v>
      </c>
      <c r="T3227" t="s">
        <v>29</v>
      </c>
      <c r="U3227" t="s">
        <v>29</v>
      </c>
      <c r="V3227" t="s">
        <v>29</v>
      </c>
      <c r="W3227" t="s">
        <v>29</v>
      </c>
      <c r="X3227" t="s">
        <v>29</v>
      </c>
      <c r="Y3227" t="s">
        <v>29</v>
      </c>
    </row>
    <row r="3228" spans="1:25" x14ac:dyDescent="0.2">
      <c r="A3228" t="s">
        <v>11938</v>
      </c>
      <c r="B3228" t="s">
        <v>11939</v>
      </c>
      <c r="C3228" t="s">
        <v>11940</v>
      </c>
      <c r="D3228" t="s">
        <v>11941</v>
      </c>
      <c r="E3228" t="s">
        <v>11939</v>
      </c>
      <c r="F3228" t="s">
        <v>28</v>
      </c>
      <c r="G3228" t="s">
        <v>11939</v>
      </c>
      <c r="H3228" t="str">
        <f>"rpl-7A"</f>
        <v>rpl-7A</v>
      </c>
      <c r="I3228" t="s">
        <v>11941</v>
      </c>
      <c r="J3228">
        <v>20.009009546669301</v>
      </c>
      <c r="K3228">
        <v>19.760159544497402</v>
      </c>
      <c r="L3228">
        <v>19.845145839577999</v>
      </c>
      <c r="M3228">
        <v>19.479996220996199</v>
      </c>
      <c r="N3228">
        <v>18.870495846086101</v>
      </c>
      <c r="O3228">
        <v>18.979134373085401</v>
      </c>
      <c r="P3228">
        <v>-0.76156283019235704</v>
      </c>
      <c r="Q3228">
        <v>-1.25719477400499</v>
      </c>
      <c r="R3228">
        <v>-0.26593088637972601</v>
      </c>
      <c r="S3228">
        <v>19.404817416306201</v>
      </c>
      <c r="T3228">
        <v>-3.2295273226141501</v>
      </c>
      <c r="U3228">
        <v>-2.85060863485683</v>
      </c>
      <c r="V3228">
        <v>4.67736321375676E-3</v>
      </c>
      <c r="W3228">
        <v>2.7134231084529899E-2</v>
      </c>
      <c r="X3228">
        <v>0</v>
      </c>
      <c r="Y3228">
        <v>0</v>
      </c>
    </row>
    <row r="3229" spans="1:25" x14ac:dyDescent="0.2">
      <c r="A3229" t="s">
        <v>11942</v>
      </c>
      <c r="B3229" t="s">
        <v>11943</v>
      </c>
      <c r="C3229" t="s">
        <v>11944</v>
      </c>
      <c r="D3229" t="s">
        <v>11945</v>
      </c>
      <c r="E3229" t="s">
        <v>11943</v>
      </c>
      <c r="F3229" t="s">
        <v>28</v>
      </c>
      <c r="G3229" t="s">
        <v>11943</v>
      </c>
      <c r="H3229" t="str">
        <f>"tald-1"</f>
        <v>tald-1</v>
      </c>
      <c r="I3229" t="s">
        <v>11945</v>
      </c>
      <c r="J3229">
        <v>14.1607032482774</v>
      </c>
      <c r="K3229">
        <v>13.6526016968756</v>
      </c>
      <c r="L3229">
        <v>13.984644435886899</v>
      </c>
      <c r="M3229">
        <v>14.842932093350401</v>
      </c>
      <c r="N3229">
        <v>15.146164489952101</v>
      </c>
      <c r="O3229">
        <v>14.794383322397399</v>
      </c>
      <c r="P3229">
        <v>0.99517684155331299</v>
      </c>
      <c r="Q3229">
        <v>0.406062138185868</v>
      </c>
      <c r="R3229">
        <v>1.58429154492076</v>
      </c>
      <c r="S3229">
        <v>14.117034484436299</v>
      </c>
      <c r="T3229">
        <v>3.5505277563964301</v>
      </c>
      <c r="U3229">
        <v>-2.15805061124638</v>
      </c>
      <c r="V3229">
        <v>2.3022786519872702E-3</v>
      </c>
      <c r="W3229">
        <v>1.6077761107598301E-2</v>
      </c>
      <c r="X3229">
        <v>0</v>
      </c>
      <c r="Y3229">
        <v>0</v>
      </c>
    </row>
    <row r="3230" spans="1:25" x14ac:dyDescent="0.2">
      <c r="A3230" t="s">
        <v>11946</v>
      </c>
      <c r="B3230" t="s">
        <v>11947</v>
      </c>
      <c r="C3230" t="s">
        <v>11948</v>
      </c>
      <c r="D3230" t="s">
        <v>11949</v>
      </c>
      <c r="E3230" t="s">
        <v>11947</v>
      </c>
      <c r="F3230" t="s">
        <v>28</v>
      </c>
      <c r="G3230" t="s">
        <v>11947</v>
      </c>
      <c r="H3230" t="str">
        <f>"spl-3"</f>
        <v>spl-3</v>
      </c>
      <c r="I3230" t="s">
        <v>11949</v>
      </c>
      <c r="J3230">
        <v>13.2752137196942</v>
      </c>
      <c r="K3230">
        <v>13.012673504089101</v>
      </c>
      <c r="L3230">
        <v>12.663116789888599</v>
      </c>
      <c r="M3230">
        <v>12.311427334374599</v>
      </c>
      <c r="N3230">
        <v>13.1317625693066</v>
      </c>
      <c r="O3230">
        <v>12.4072123046309</v>
      </c>
      <c r="P3230">
        <v>-0.36686726845326401</v>
      </c>
      <c r="Q3230">
        <v>-0.853780846179785</v>
      </c>
      <c r="R3230">
        <v>0.120046309273256</v>
      </c>
      <c r="S3230">
        <v>12.793017602938299</v>
      </c>
      <c r="T3230">
        <v>-1.58361495411911</v>
      </c>
      <c r="U3230">
        <v>-5.9251282274109496</v>
      </c>
      <c r="V3230">
        <v>0.13079393863260499</v>
      </c>
      <c r="W3230">
        <v>0.26436881834724801</v>
      </c>
      <c r="X3230">
        <v>0</v>
      </c>
      <c r="Y3230">
        <v>0</v>
      </c>
    </row>
    <row r="3231" spans="1:25" x14ac:dyDescent="0.2">
      <c r="A3231" t="s">
        <v>11950</v>
      </c>
      <c r="B3231" t="s">
        <v>11951</v>
      </c>
      <c r="C3231" t="s">
        <v>14641</v>
      </c>
      <c r="D3231" t="s">
        <v>11952</v>
      </c>
      <c r="E3231" t="s">
        <v>11951</v>
      </c>
      <c r="F3231" t="s">
        <v>28</v>
      </c>
      <c r="G3231" t="s">
        <v>11951</v>
      </c>
      <c r="H3231" t="str">
        <f>"K08D12.3"</f>
        <v>K08D12.3</v>
      </c>
      <c r="I3231" t="s">
        <v>11952</v>
      </c>
      <c r="J3231">
        <v>12.4512228974718</v>
      </c>
      <c r="K3231">
        <v>12.4961490787241</v>
      </c>
      <c r="L3231">
        <v>11.759711530298601</v>
      </c>
      <c r="M3231" t="s">
        <v>29</v>
      </c>
      <c r="N3231">
        <v>12.945615340098801</v>
      </c>
      <c r="O3231">
        <v>13.449932035430701</v>
      </c>
      <c r="P3231">
        <v>0.96207918559991001</v>
      </c>
      <c r="Q3231">
        <v>-0.206037868572752</v>
      </c>
      <c r="R3231">
        <v>2.13019623977257</v>
      </c>
      <c r="S3231">
        <v>12.1921812509378</v>
      </c>
      <c r="T3231">
        <v>1.78078586075279</v>
      </c>
      <c r="U3231">
        <v>-5.5305750604306096</v>
      </c>
      <c r="V3231">
        <v>9.8503685406920005E-2</v>
      </c>
      <c r="W3231">
        <v>0.21518929643750401</v>
      </c>
      <c r="X3231">
        <v>0</v>
      </c>
      <c r="Y3231">
        <v>0</v>
      </c>
    </row>
    <row r="3232" spans="1:25" x14ac:dyDescent="0.2">
      <c r="A3232" t="s">
        <v>11953</v>
      </c>
      <c r="B3232" t="s">
        <v>11954</v>
      </c>
      <c r="C3232" t="s">
        <v>14642</v>
      </c>
      <c r="D3232" t="s">
        <v>2217</v>
      </c>
      <c r="E3232" t="s">
        <v>11954</v>
      </c>
      <c r="F3232" t="s">
        <v>28</v>
      </c>
      <c r="G3232" t="s">
        <v>11954</v>
      </c>
      <c r="H3232" t="str">
        <f>"F41B4.1"</f>
        <v>F41B4.1</v>
      </c>
      <c r="I3232" t="s">
        <v>2217</v>
      </c>
      <c r="J3232">
        <v>10.1733488684519</v>
      </c>
      <c r="K3232">
        <v>11.5407367274808</v>
      </c>
      <c r="L3232">
        <v>11.680704499841299</v>
      </c>
      <c r="M3232" t="s">
        <v>29</v>
      </c>
      <c r="N3232" t="s">
        <v>29</v>
      </c>
      <c r="O3232" t="s">
        <v>29</v>
      </c>
      <c r="P3232" t="s">
        <v>29</v>
      </c>
      <c r="Q3232" t="s">
        <v>29</v>
      </c>
      <c r="R3232" t="s">
        <v>29</v>
      </c>
      <c r="S3232">
        <v>11.2162100597033</v>
      </c>
      <c r="T3232" t="s">
        <v>29</v>
      </c>
      <c r="U3232" t="s">
        <v>29</v>
      </c>
      <c r="V3232" t="s">
        <v>29</v>
      </c>
      <c r="W3232" t="s">
        <v>29</v>
      </c>
      <c r="X3232" t="s">
        <v>29</v>
      </c>
      <c r="Y3232" t="s">
        <v>29</v>
      </c>
    </row>
    <row r="3233" spans="1:25" x14ac:dyDescent="0.2">
      <c r="A3233" t="s">
        <v>11955</v>
      </c>
      <c r="B3233" t="s">
        <v>11956</v>
      </c>
      <c r="C3233" t="s">
        <v>11957</v>
      </c>
      <c r="D3233" t="s">
        <v>11958</v>
      </c>
      <c r="E3233" t="s">
        <v>11956</v>
      </c>
      <c r="F3233" t="s">
        <v>28</v>
      </c>
      <c r="G3233" t="s">
        <v>11956</v>
      </c>
      <c r="H3233" t="str">
        <f>"E01A2.2"</f>
        <v>E01A2.2</v>
      </c>
      <c r="I3233" t="s">
        <v>11958</v>
      </c>
      <c r="J3233">
        <v>15.337054012490499</v>
      </c>
      <c r="K3233">
        <v>15.212086788960301</v>
      </c>
      <c r="L3233">
        <v>15.024533207392899</v>
      </c>
      <c r="M3233" t="s">
        <v>29</v>
      </c>
      <c r="N3233">
        <v>15.0438499403775</v>
      </c>
      <c r="O3233">
        <v>15.2235037005842</v>
      </c>
      <c r="P3233">
        <v>-5.7547849133717598E-2</v>
      </c>
      <c r="Q3233">
        <v>-0.50170555259906202</v>
      </c>
      <c r="R3233">
        <v>0.38660985433162598</v>
      </c>
      <c r="S3233">
        <v>15.007003364049099</v>
      </c>
      <c r="T3233">
        <v>-0.27349028929991798</v>
      </c>
      <c r="U3233">
        <v>-7.0062451409813704</v>
      </c>
      <c r="V3233">
        <v>0.787791574013472</v>
      </c>
      <c r="W3233">
        <v>0.86627677933496305</v>
      </c>
      <c r="X3233">
        <v>0</v>
      </c>
      <c r="Y3233">
        <v>0</v>
      </c>
    </row>
    <row r="3234" spans="1:25" x14ac:dyDescent="0.2">
      <c r="A3234" t="s">
        <v>11959</v>
      </c>
      <c r="B3234" t="s">
        <v>11960</v>
      </c>
      <c r="C3234" t="s">
        <v>11961</v>
      </c>
      <c r="D3234" t="s">
        <v>11962</v>
      </c>
      <c r="E3234" t="s">
        <v>11960</v>
      </c>
      <c r="F3234" t="s">
        <v>28</v>
      </c>
      <c r="G3234" t="s">
        <v>11960</v>
      </c>
      <c r="H3234" t="str">
        <f>"let-504"</f>
        <v>let-504</v>
      </c>
      <c r="I3234" t="s">
        <v>11962</v>
      </c>
      <c r="J3234" t="s">
        <v>29</v>
      </c>
      <c r="K3234" t="s">
        <v>29</v>
      </c>
      <c r="L3234">
        <v>12.390955300492999</v>
      </c>
      <c r="M3234" t="s">
        <v>29</v>
      </c>
      <c r="N3234" t="s">
        <v>29</v>
      </c>
      <c r="O3234">
        <v>11.645595783596301</v>
      </c>
      <c r="P3234">
        <v>-0.74535951689670898</v>
      </c>
      <c r="Q3234">
        <v>-1.74841476183182</v>
      </c>
      <c r="R3234">
        <v>0.25769572803840701</v>
      </c>
      <c r="S3234">
        <v>12.6500807082716</v>
      </c>
      <c r="T3234">
        <v>-1.6580890004381801</v>
      </c>
      <c r="U3234">
        <v>-5.3040251076321701</v>
      </c>
      <c r="V3234">
        <v>0.12861529362520499</v>
      </c>
      <c r="W3234">
        <v>0.261709040254412</v>
      </c>
      <c r="X3234">
        <v>0</v>
      </c>
      <c r="Y3234">
        <v>0</v>
      </c>
    </row>
    <row r="3235" spans="1:25" x14ac:dyDescent="0.2">
      <c r="A3235" t="s">
        <v>11963</v>
      </c>
      <c r="B3235" t="s">
        <v>11964</v>
      </c>
      <c r="C3235" t="s">
        <v>11965</v>
      </c>
      <c r="D3235" t="s">
        <v>11966</v>
      </c>
      <c r="E3235" t="s">
        <v>11964</v>
      </c>
      <c r="F3235" t="s">
        <v>28</v>
      </c>
      <c r="G3235" t="s">
        <v>11964</v>
      </c>
      <c r="H3235" t="str">
        <f>"glh-2"</f>
        <v>glh-2</v>
      </c>
      <c r="I3235" t="s">
        <v>11966</v>
      </c>
      <c r="J3235">
        <v>14.7304812432931</v>
      </c>
      <c r="K3235">
        <v>14.4526116716908</v>
      </c>
      <c r="L3235">
        <v>14.701622979492701</v>
      </c>
      <c r="M3235" t="s">
        <v>29</v>
      </c>
      <c r="N3235">
        <v>14.7893659209238</v>
      </c>
      <c r="O3235">
        <v>14.653894371015401</v>
      </c>
      <c r="P3235">
        <v>9.3391514477410495E-2</v>
      </c>
      <c r="Q3235">
        <v>-0.64562513053884096</v>
      </c>
      <c r="R3235">
        <v>0.83240815949366098</v>
      </c>
      <c r="S3235">
        <v>15.3661189112884</v>
      </c>
      <c r="T3235">
        <v>0.26674925251239201</v>
      </c>
      <c r="U3235">
        <v>-7.00815115850137</v>
      </c>
      <c r="V3235">
        <v>0.79289072193525301</v>
      </c>
      <c r="W3235">
        <v>0.86993632075323601</v>
      </c>
      <c r="X3235">
        <v>0</v>
      </c>
      <c r="Y3235">
        <v>0</v>
      </c>
    </row>
    <row r="3236" spans="1:25" x14ac:dyDescent="0.2">
      <c r="A3236" t="s">
        <v>11967</v>
      </c>
      <c r="B3236" t="s">
        <v>11968</v>
      </c>
      <c r="C3236" t="s">
        <v>11969</v>
      </c>
      <c r="D3236" t="s">
        <v>11970</v>
      </c>
      <c r="E3236" t="s">
        <v>11968</v>
      </c>
      <c r="F3236" t="s">
        <v>28</v>
      </c>
      <c r="G3236" t="s">
        <v>11968</v>
      </c>
      <c r="H3236" t="str">
        <f>"uri-1"</f>
        <v>uri-1</v>
      </c>
      <c r="I3236" t="s">
        <v>11970</v>
      </c>
      <c r="J3236" t="s">
        <v>29</v>
      </c>
      <c r="K3236">
        <v>13.8786773425606</v>
      </c>
      <c r="L3236" t="s">
        <v>29</v>
      </c>
      <c r="M3236" t="s">
        <v>29</v>
      </c>
      <c r="N3236" t="s">
        <v>29</v>
      </c>
      <c r="O3236" t="s">
        <v>29</v>
      </c>
      <c r="P3236" t="s">
        <v>29</v>
      </c>
      <c r="Q3236" t="s">
        <v>29</v>
      </c>
      <c r="R3236" t="s">
        <v>29</v>
      </c>
      <c r="S3236">
        <v>13.389017107367399</v>
      </c>
      <c r="T3236" t="s">
        <v>29</v>
      </c>
      <c r="U3236" t="s">
        <v>29</v>
      </c>
      <c r="V3236" t="s">
        <v>29</v>
      </c>
      <c r="W3236" t="s">
        <v>29</v>
      </c>
      <c r="X3236" t="s">
        <v>29</v>
      </c>
      <c r="Y3236" t="s">
        <v>29</v>
      </c>
    </row>
    <row r="3237" spans="1:25" x14ac:dyDescent="0.2">
      <c r="A3237" t="s">
        <v>11971</v>
      </c>
      <c r="B3237" t="s">
        <v>11972</v>
      </c>
      <c r="C3237" t="s">
        <v>11973</v>
      </c>
      <c r="D3237" t="s">
        <v>9565</v>
      </c>
      <c r="E3237" t="s">
        <v>11972</v>
      </c>
      <c r="F3237" t="s">
        <v>28</v>
      </c>
      <c r="G3237" t="s">
        <v>11972</v>
      </c>
      <c r="H3237" t="str">
        <f>"C36B7.6"</f>
        <v>C36B7.6</v>
      </c>
      <c r="I3237" t="s">
        <v>9565</v>
      </c>
      <c r="J3237">
        <v>14.2010593486694</v>
      </c>
      <c r="K3237">
        <v>14.378193987823</v>
      </c>
      <c r="L3237">
        <v>13.9885494294514</v>
      </c>
      <c r="M3237">
        <v>13.344959488132099</v>
      </c>
      <c r="N3237">
        <v>14.191696644596799</v>
      </c>
      <c r="O3237">
        <v>14.262754699444599</v>
      </c>
      <c r="P3237">
        <v>-0.25613064459004797</v>
      </c>
      <c r="Q3237">
        <v>-0.79353158268212398</v>
      </c>
      <c r="R3237">
        <v>0.28127029350202798</v>
      </c>
      <c r="S3237">
        <v>14.339783601296901</v>
      </c>
      <c r="T3237">
        <v>-1.0017414293648701</v>
      </c>
      <c r="U3237">
        <v>-6.6440001422209001</v>
      </c>
      <c r="V3237">
        <v>0.32982250413027198</v>
      </c>
      <c r="W3237">
        <v>0.50154123822079999</v>
      </c>
      <c r="X3237">
        <v>0</v>
      </c>
      <c r="Y3237">
        <v>0</v>
      </c>
    </row>
    <row r="3238" spans="1:25" x14ac:dyDescent="0.2">
      <c r="A3238" t="s">
        <v>11974</v>
      </c>
      <c r="B3238" t="s">
        <v>11975</v>
      </c>
      <c r="C3238" t="s">
        <v>11976</v>
      </c>
      <c r="D3238" t="s">
        <v>7680</v>
      </c>
      <c r="E3238" t="s">
        <v>11975</v>
      </c>
      <c r="F3238" t="s">
        <v>28</v>
      </c>
      <c r="G3238" t="s">
        <v>11975</v>
      </c>
      <c r="H3238" t="str">
        <f>"eif-1"</f>
        <v>eif-1</v>
      </c>
      <c r="I3238" t="s">
        <v>7680</v>
      </c>
      <c r="J3238">
        <v>15.319359978492701</v>
      </c>
      <c r="K3238">
        <v>14.979198552707301</v>
      </c>
      <c r="L3238">
        <v>15.3185446726996</v>
      </c>
      <c r="M3238">
        <v>15.2829496432471</v>
      </c>
      <c r="N3238">
        <v>15.9290599123182</v>
      </c>
      <c r="O3238">
        <v>15.5540414912578</v>
      </c>
      <c r="P3238">
        <v>0.38298261430784902</v>
      </c>
      <c r="Q3238">
        <v>-2.9609822144883099E-2</v>
      </c>
      <c r="R3238">
        <v>0.79557505076058099</v>
      </c>
      <c r="S3238">
        <v>14.8965986951773</v>
      </c>
      <c r="T3238">
        <v>1.9509687372473401</v>
      </c>
      <c r="U3238">
        <v>-5.3463256343487604</v>
      </c>
      <c r="V3238">
        <v>6.6897368545474803E-2</v>
      </c>
      <c r="W3238">
        <v>0.16693187561686201</v>
      </c>
      <c r="X3238">
        <v>0</v>
      </c>
      <c r="Y3238">
        <v>0</v>
      </c>
    </row>
    <row r="3239" spans="1:25" x14ac:dyDescent="0.2">
      <c r="A3239" t="s">
        <v>11977</v>
      </c>
      <c r="B3239" t="s">
        <v>11978</v>
      </c>
      <c r="C3239" t="s">
        <v>11979</v>
      </c>
      <c r="D3239" t="s">
        <v>11980</v>
      </c>
      <c r="E3239" t="s">
        <v>11978</v>
      </c>
      <c r="F3239" t="s">
        <v>28</v>
      </c>
      <c r="G3239" t="s">
        <v>11978</v>
      </c>
      <c r="H3239" t="str">
        <f>"hmr-1"</f>
        <v>hmr-1</v>
      </c>
      <c r="I3239" t="s">
        <v>11980</v>
      </c>
      <c r="J3239" t="s">
        <v>29</v>
      </c>
      <c r="K3239" t="s">
        <v>29</v>
      </c>
      <c r="L3239" t="s">
        <v>29</v>
      </c>
      <c r="M3239" t="s">
        <v>29</v>
      </c>
      <c r="N3239" t="s">
        <v>29</v>
      </c>
      <c r="O3239">
        <v>12.8534161404289</v>
      </c>
      <c r="P3239" t="s">
        <v>29</v>
      </c>
      <c r="Q3239" t="s">
        <v>29</v>
      </c>
      <c r="R3239" t="s">
        <v>29</v>
      </c>
      <c r="S3239">
        <v>12.7047404002709</v>
      </c>
      <c r="T3239" t="s">
        <v>29</v>
      </c>
      <c r="U3239" t="s">
        <v>29</v>
      </c>
      <c r="V3239" t="s">
        <v>29</v>
      </c>
      <c r="W3239" t="s">
        <v>29</v>
      </c>
      <c r="X3239" t="s">
        <v>29</v>
      </c>
      <c r="Y3239" t="s">
        <v>29</v>
      </c>
    </row>
    <row r="3240" spans="1:25" x14ac:dyDescent="0.2">
      <c r="A3240" t="s">
        <v>11981</v>
      </c>
      <c r="B3240" t="s">
        <v>11982</v>
      </c>
      <c r="C3240" t="s">
        <v>11983</v>
      </c>
      <c r="D3240" t="s">
        <v>11984</v>
      </c>
      <c r="E3240" t="s">
        <v>11982</v>
      </c>
      <c r="F3240" t="s">
        <v>28</v>
      </c>
      <c r="G3240" t="s">
        <v>11982</v>
      </c>
      <c r="H3240" t="str">
        <f>"nstp-10"</f>
        <v>nstp-10</v>
      </c>
      <c r="I3240" t="s">
        <v>11984</v>
      </c>
      <c r="J3240">
        <v>14.9027609255633</v>
      </c>
      <c r="K3240">
        <v>15.429706120637499</v>
      </c>
      <c r="L3240">
        <v>15.3117269845641</v>
      </c>
      <c r="M3240">
        <v>14.7356756842957</v>
      </c>
      <c r="N3240">
        <v>14.948447060009199</v>
      </c>
      <c r="O3240">
        <v>15.095336361048901</v>
      </c>
      <c r="P3240">
        <v>-0.28824497513700797</v>
      </c>
      <c r="Q3240">
        <v>-0.72109167493472703</v>
      </c>
      <c r="R3240">
        <v>0.14460172466071</v>
      </c>
      <c r="S3240">
        <v>15.4260717533686</v>
      </c>
      <c r="T3240">
        <v>-1.3996522533503299</v>
      </c>
      <c r="U3240">
        <v>-6.18100806948922</v>
      </c>
      <c r="V3240">
        <v>0.17871439710562601</v>
      </c>
      <c r="W3240">
        <v>0.33148453441202103</v>
      </c>
      <c r="X3240">
        <v>0</v>
      </c>
      <c r="Y3240">
        <v>0</v>
      </c>
    </row>
    <row r="3241" spans="1:25" x14ac:dyDescent="0.2">
      <c r="A3241" t="s">
        <v>11985</v>
      </c>
      <c r="B3241" t="s">
        <v>11986</v>
      </c>
      <c r="C3241" t="s">
        <v>11987</v>
      </c>
      <c r="D3241" t="s">
        <v>11988</v>
      </c>
      <c r="E3241" t="s">
        <v>11986</v>
      </c>
      <c r="F3241" t="s">
        <v>28</v>
      </c>
      <c r="G3241" t="s">
        <v>11986</v>
      </c>
      <c r="H3241" t="str">
        <f>"xrn-1"</f>
        <v>xrn-1</v>
      </c>
      <c r="I3241" t="s">
        <v>11988</v>
      </c>
      <c r="J3241">
        <v>13.4420261086255</v>
      </c>
      <c r="K3241">
        <v>13.9922892704029</v>
      </c>
      <c r="L3241">
        <v>12.752664925249499</v>
      </c>
      <c r="M3241">
        <v>16.633794246555901</v>
      </c>
      <c r="N3241">
        <v>18.393877251713</v>
      </c>
      <c r="O3241">
        <v>14.796555044142099</v>
      </c>
      <c r="P3241">
        <v>3.2124154127110098</v>
      </c>
      <c r="Q3241">
        <v>2.0660985417403901</v>
      </c>
      <c r="R3241">
        <v>4.35873228368163</v>
      </c>
      <c r="S3241">
        <v>16.0536476672643</v>
      </c>
      <c r="T3241">
        <v>5.8900574374212402</v>
      </c>
      <c r="U3241">
        <v>2.91918939593491</v>
      </c>
      <c r="V3241" s="2">
        <v>1.44662818995777E-5</v>
      </c>
      <c r="W3241">
        <v>3.8064404248263798E-4</v>
      </c>
      <c r="X3241">
        <v>1</v>
      </c>
      <c r="Y3241">
        <v>1</v>
      </c>
    </row>
    <row r="3242" spans="1:25" x14ac:dyDescent="0.2">
      <c r="A3242" t="s">
        <v>11989</v>
      </c>
      <c r="B3242" t="s">
        <v>11990</v>
      </c>
      <c r="C3242" t="s">
        <v>11991</v>
      </c>
      <c r="D3242" t="s">
        <v>11992</v>
      </c>
      <c r="E3242" t="s">
        <v>11990</v>
      </c>
      <c r="F3242" t="s">
        <v>28</v>
      </c>
      <c r="G3242" t="s">
        <v>11990</v>
      </c>
      <c r="H3242" t="str">
        <f>"hut-1"</f>
        <v>hut-1</v>
      </c>
      <c r="I3242" t="s">
        <v>11992</v>
      </c>
      <c r="J3242">
        <v>15.019566832082401</v>
      </c>
      <c r="K3242">
        <v>14.9865937501812</v>
      </c>
      <c r="L3242">
        <v>15.0105641355741</v>
      </c>
      <c r="M3242">
        <v>14.4456756629964</v>
      </c>
      <c r="N3242">
        <v>15.0875257435404</v>
      </c>
      <c r="O3242">
        <v>15.0438690461561</v>
      </c>
      <c r="P3242">
        <v>-0.146551421714957</v>
      </c>
      <c r="Q3242">
        <v>-0.53358412054926796</v>
      </c>
      <c r="R3242">
        <v>0.24048127711935399</v>
      </c>
      <c r="S3242">
        <v>15.1634957163413</v>
      </c>
      <c r="T3242">
        <v>-0.79585672556861498</v>
      </c>
      <c r="U3242">
        <v>-6.82968602753912</v>
      </c>
      <c r="V3242">
        <v>0.436545946496738</v>
      </c>
      <c r="W3242">
        <v>0.60189175277522899</v>
      </c>
      <c r="X3242">
        <v>0</v>
      </c>
      <c r="Y3242">
        <v>0</v>
      </c>
    </row>
    <row r="3243" spans="1:25" x14ac:dyDescent="0.2">
      <c r="A3243" t="s">
        <v>11993</v>
      </c>
      <c r="B3243" t="s">
        <v>11994</v>
      </c>
      <c r="C3243" t="s">
        <v>14643</v>
      </c>
      <c r="D3243" t="s">
        <v>323</v>
      </c>
      <c r="E3243" t="s">
        <v>11994</v>
      </c>
      <c r="F3243" t="s">
        <v>28</v>
      </c>
      <c r="G3243" t="s">
        <v>11994</v>
      </c>
      <c r="H3243" t="str">
        <f>"Y111B2A.1"</f>
        <v>Y111B2A.1</v>
      </c>
      <c r="I3243" t="s">
        <v>323</v>
      </c>
      <c r="J3243">
        <v>10.629059817335101</v>
      </c>
      <c r="K3243">
        <v>10.006469439898799</v>
      </c>
      <c r="L3243" t="s">
        <v>29</v>
      </c>
      <c r="M3243" t="s">
        <v>29</v>
      </c>
      <c r="N3243" t="s">
        <v>29</v>
      </c>
      <c r="O3243" t="s">
        <v>29</v>
      </c>
      <c r="P3243" t="s">
        <v>29</v>
      </c>
      <c r="Q3243" t="s">
        <v>29</v>
      </c>
      <c r="R3243" t="s">
        <v>29</v>
      </c>
      <c r="S3243">
        <v>11.4624397926237</v>
      </c>
      <c r="T3243" t="s">
        <v>29</v>
      </c>
      <c r="U3243" t="s">
        <v>29</v>
      </c>
      <c r="V3243" t="s">
        <v>29</v>
      </c>
      <c r="W3243" t="s">
        <v>29</v>
      </c>
      <c r="X3243" t="s">
        <v>29</v>
      </c>
      <c r="Y3243" t="s">
        <v>29</v>
      </c>
    </row>
    <row r="3244" spans="1:25" x14ac:dyDescent="0.2">
      <c r="A3244" t="s">
        <v>11995</v>
      </c>
      <c r="B3244" t="s">
        <v>11996</v>
      </c>
      <c r="C3244" t="s">
        <v>11997</v>
      </c>
      <c r="D3244" t="s">
        <v>11998</v>
      </c>
      <c r="E3244" t="s">
        <v>11996</v>
      </c>
      <c r="F3244" t="s">
        <v>28</v>
      </c>
      <c r="G3244" t="s">
        <v>11996</v>
      </c>
      <c r="H3244" t="str">
        <f>"Y66D12A.7"</f>
        <v>Y66D12A.7</v>
      </c>
      <c r="I3244" t="s">
        <v>11998</v>
      </c>
      <c r="J3244" t="s">
        <v>29</v>
      </c>
      <c r="K3244" t="s">
        <v>29</v>
      </c>
      <c r="L3244" t="s">
        <v>29</v>
      </c>
      <c r="M3244" t="s">
        <v>29</v>
      </c>
      <c r="N3244" t="s">
        <v>29</v>
      </c>
      <c r="O3244" t="s">
        <v>29</v>
      </c>
      <c r="P3244" t="s">
        <v>29</v>
      </c>
      <c r="Q3244" t="s">
        <v>29</v>
      </c>
      <c r="R3244" t="s">
        <v>29</v>
      </c>
      <c r="S3244">
        <v>11.630322434789999</v>
      </c>
      <c r="T3244" t="s">
        <v>29</v>
      </c>
      <c r="U3244" t="s">
        <v>29</v>
      </c>
      <c r="V3244" t="s">
        <v>29</v>
      </c>
      <c r="W3244" t="s">
        <v>29</v>
      </c>
      <c r="X3244" t="s">
        <v>29</v>
      </c>
      <c r="Y3244" t="s">
        <v>29</v>
      </c>
    </row>
    <row r="3245" spans="1:25" x14ac:dyDescent="0.2">
      <c r="A3245" t="s">
        <v>11999</v>
      </c>
      <c r="B3245" t="s">
        <v>12000</v>
      </c>
      <c r="C3245" t="s">
        <v>12001</v>
      </c>
      <c r="D3245" t="s">
        <v>12002</v>
      </c>
      <c r="E3245" t="s">
        <v>12000</v>
      </c>
      <c r="F3245" t="s">
        <v>28</v>
      </c>
      <c r="G3245" t="s">
        <v>12000</v>
      </c>
      <c r="H3245" t="str">
        <f>"trpp-8"</f>
        <v>trpp-8</v>
      </c>
      <c r="I3245" t="s">
        <v>12002</v>
      </c>
      <c r="J3245">
        <v>12.463629256345101</v>
      </c>
      <c r="K3245">
        <v>12.5688764238263</v>
      </c>
      <c r="L3245">
        <v>11.872427320639501</v>
      </c>
      <c r="M3245" t="s">
        <v>29</v>
      </c>
      <c r="N3245">
        <v>11.7967603074732</v>
      </c>
      <c r="O3245" t="s">
        <v>29</v>
      </c>
      <c r="P3245">
        <v>-0.50488402613039396</v>
      </c>
      <c r="Q3245">
        <v>-1.35673470067128</v>
      </c>
      <c r="R3245">
        <v>0.34696664841049102</v>
      </c>
      <c r="S3245">
        <v>11.957381442916301</v>
      </c>
      <c r="T3245">
        <v>-1.2571227579415301</v>
      </c>
      <c r="U3245">
        <v>-6.0219356172552798</v>
      </c>
      <c r="V3245">
        <v>0.226868061840341</v>
      </c>
      <c r="W3245">
        <v>0.39121380888415402</v>
      </c>
      <c r="X3245">
        <v>0</v>
      </c>
      <c r="Y3245">
        <v>0</v>
      </c>
    </row>
    <row r="3246" spans="1:25" x14ac:dyDescent="0.2">
      <c r="A3246" t="s">
        <v>12003</v>
      </c>
      <c r="B3246" t="s">
        <v>12004</v>
      </c>
      <c r="C3246" t="s">
        <v>12005</v>
      </c>
      <c r="D3246" t="s">
        <v>4036</v>
      </c>
      <c r="E3246" t="s">
        <v>12004</v>
      </c>
      <c r="F3246" t="s">
        <v>28</v>
      </c>
      <c r="G3246" t="s">
        <v>12004</v>
      </c>
      <c r="H3246" t="str">
        <f>"bpl-1"</f>
        <v>bpl-1</v>
      </c>
      <c r="I3246" t="s">
        <v>4036</v>
      </c>
      <c r="J3246">
        <v>12.8334065873391</v>
      </c>
      <c r="K3246">
        <v>13.0539742247318</v>
      </c>
      <c r="L3246">
        <v>13.0666289234619</v>
      </c>
      <c r="M3246">
        <v>12.4425496814839</v>
      </c>
      <c r="N3246">
        <v>13.318156851234599</v>
      </c>
      <c r="O3246">
        <v>13.491013421675101</v>
      </c>
      <c r="P3246">
        <v>9.9236739620245401E-2</v>
      </c>
      <c r="Q3246">
        <v>-0.66808931502705704</v>
      </c>
      <c r="R3246">
        <v>0.86656279426754801</v>
      </c>
      <c r="S3246">
        <v>12.639066915615301</v>
      </c>
      <c r="T3246">
        <v>0.27182228282674797</v>
      </c>
      <c r="U3246">
        <v>-7.1176068207168299</v>
      </c>
      <c r="V3246">
        <v>0.78886988017587301</v>
      </c>
      <c r="W3246">
        <v>0.86661181263771403</v>
      </c>
      <c r="X3246">
        <v>0</v>
      </c>
      <c r="Y3246">
        <v>0</v>
      </c>
    </row>
    <row r="3247" spans="1:25" x14ac:dyDescent="0.2">
      <c r="A3247" t="s">
        <v>12006</v>
      </c>
      <c r="B3247" t="s">
        <v>12007</v>
      </c>
      <c r="C3247" t="s">
        <v>12008</v>
      </c>
      <c r="D3247" t="s">
        <v>12009</v>
      </c>
      <c r="E3247" t="s">
        <v>12007</v>
      </c>
      <c r="F3247" t="s">
        <v>28</v>
      </c>
      <c r="G3247" t="s">
        <v>12007</v>
      </c>
      <c r="H3247" t="str">
        <f>"B0464.9"</f>
        <v>B0464.9</v>
      </c>
      <c r="I3247" t="s">
        <v>12009</v>
      </c>
      <c r="J3247">
        <v>14.051516398993201</v>
      </c>
      <c r="K3247">
        <v>13.813358133722801</v>
      </c>
      <c r="L3247">
        <v>13.914790583391</v>
      </c>
      <c r="M3247" t="s">
        <v>29</v>
      </c>
      <c r="N3247">
        <v>13.2678136262126</v>
      </c>
      <c r="O3247">
        <v>13.981387411033699</v>
      </c>
      <c r="P3247">
        <v>-0.301954520079178</v>
      </c>
      <c r="Q3247">
        <v>-0.73978226794096602</v>
      </c>
      <c r="R3247">
        <v>0.13587322778260899</v>
      </c>
      <c r="S3247">
        <v>13.567549522008299</v>
      </c>
      <c r="T3247">
        <v>-1.45575491889044</v>
      </c>
      <c r="U3247">
        <v>-5.9965008462384004</v>
      </c>
      <c r="V3247">
        <v>0.16379131397241101</v>
      </c>
      <c r="W3247">
        <v>0.31211921445674001</v>
      </c>
      <c r="X3247">
        <v>0</v>
      </c>
      <c r="Y3247">
        <v>0</v>
      </c>
    </row>
    <row r="3248" spans="1:25" x14ac:dyDescent="0.2">
      <c r="A3248" t="s">
        <v>12010</v>
      </c>
      <c r="B3248" t="s">
        <v>12011</v>
      </c>
      <c r="C3248" t="s">
        <v>12012</v>
      </c>
      <c r="D3248" t="s">
        <v>93</v>
      </c>
      <c r="E3248" t="s">
        <v>12011</v>
      </c>
      <c r="F3248" t="s">
        <v>28</v>
      </c>
      <c r="G3248" t="s">
        <v>12011</v>
      </c>
      <c r="H3248" t="str">
        <f>"hrpf-1"</f>
        <v>hrpf-1</v>
      </c>
      <c r="I3248" t="s">
        <v>93</v>
      </c>
      <c r="J3248">
        <v>15.9329112325319</v>
      </c>
      <c r="K3248">
        <v>16.5736966036703</v>
      </c>
      <c r="L3248">
        <v>16.493887335552799</v>
      </c>
      <c r="M3248">
        <v>16.571889670846801</v>
      </c>
      <c r="N3248">
        <v>16.651676836289599</v>
      </c>
      <c r="O3248">
        <v>16.2784799976179</v>
      </c>
      <c r="P3248">
        <v>0.16718377766643799</v>
      </c>
      <c r="Q3248">
        <v>-0.39555447172062702</v>
      </c>
      <c r="R3248">
        <v>0.72992202705350195</v>
      </c>
      <c r="S3248">
        <v>16.5761277458876</v>
      </c>
      <c r="T3248">
        <v>0.62442489893318098</v>
      </c>
      <c r="U3248">
        <v>-6.9538922827383898</v>
      </c>
      <c r="V3248">
        <v>0.54022867485916704</v>
      </c>
      <c r="W3248">
        <v>0.68741533022882795</v>
      </c>
      <c r="X3248">
        <v>0</v>
      </c>
      <c r="Y3248">
        <v>0</v>
      </c>
    </row>
    <row r="3249" spans="1:25" x14ac:dyDescent="0.2">
      <c r="A3249" t="s">
        <v>12013</v>
      </c>
      <c r="B3249" t="s">
        <v>12014</v>
      </c>
      <c r="C3249" t="s">
        <v>12015</v>
      </c>
      <c r="D3249" t="s">
        <v>158</v>
      </c>
      <c r="E3249" t="s">
        <v>12014</v>
      </c>
      <c r="F3249" t="s">
        <v>28</v>
      </c>
      <c r="G3249" t="s">
        <v>12014</v>
      </c>
      <c r="H3249" t="str">
        <f>"imb-1"</f>
        <v>imb-1</v>
      </c>
      <c r="I3249" t="s">
        <v>158</v>
      </c>
      <c r="J3249">
        <v>11.223710139376999</v>
      </c>
      <c r="K3249">
        <v>10.8922776646596</v>
      </c>
      <c r="L3249">
        <v>11.5128952395344</v>
      </c>
      <c r="M3249" t="s">
        <v>29</v>
      </c>
      <c r="N3249" t="s">
        <v>29</v>
      </c>
      <c r="O3249">
        <v>11.7313055476406</v>
      </c>
      <c r="P3249">
        <v>0.521677866450311</v>
      </c>
      <c r="Q3249">
        <v>-0.41285529524771403</v>
      </c>
      <c r="R3249">
        <v>1.45621102814834</v>
      </c>
      <c r="S3249">
        <v>12.228815574160199</v>
      </c>
      <c r="T3249">
        <v>1.18401505349447</v>
      </c>
      <c r="U3249">
        <v>-6.1075257327064403</v>
      </c>
      <c r="V3249">
        <v>0.25381146720442599</v>
      </c>
      <c r="W3249">
        <v>0.42187388260092801</v>
      </c>
      <c r="X3249">
        <v>0</v>
      </c>
      <c r="Y3249">
        <v>0</v>
      </c>
    </row>
    <row r="3250" spans="1:25" x14ac:dyDescent="0.2">
      <c r="A3250" t="s">
        <v>12016</v>
      </c>
      <c r="B3250" t="s">
        <v>12017</v>
      </c>
      <c r="C3250" t="s">
        <v>12018</v>
      </c>
      <c r="D3250" t="s">
        <v>12019</v>
      </c>
      <c r="E3250" t="s">
        <v>12017</v>
      </c>
      <c r="F3250" t="s">
        <v>28</v>
      </c>
      <c r="G3250" t="s">
        <v>12017</v>
      </c>
      <c r="H3250" t="str">
        <f>"rbm-5"</f>
        <v>rbm-5</v>
      </c>
      <c r="I3250" t="s">
        <v>12019</v>
      </c>
      <c r="J3250">
        <v>12.5844212409094</v>
      </c>
      <c r="K3250">
        <v>11.7191464942859</v>
      </c>
      <c r="L3250">
        <v>12.0170575735448</v>
      </c>
      <c r="M3250" t="s">
        <v>29</v>
      </c>
      <c r="N3250" t="s">
        <v>29</v>
      </c>
      <c r="O3250">
        <v>13.313315404155301</v>
      </c>
      <c r="P3250">
        <v>1.20644030124197</v>
      </c>
      <c r="Q3250">
        <v>0.37740297647989002</v>
      </c>
      <c r="R3250">
        <v>2.0354776260040399</v>
      </c>
      <c r="S3250">
        <v>12.971451931281701</v>
      </c>
      <c r="T3250">
        <v>3.1036544220226601</v>
      </c>
      <c r="U3250">
        <v>-2.9093624109565299</v>
      </c>
      <c r="V3250">
        <v>7.3126766611541502E-3</v>
      </c>
      <c r="W3250">
        <v>3.6588214126351902E-2</v>
      </c>
      <c r="X3250">
        <v>1</v>
      </c>
      <c r="Y3250">
        <v>1</v>
      </c>
    </row>
    <row r="3251" spans="1:25" x14ac:dyDescent="0.2">
      <c r="A3251" t="s">
        <v>12020</v>
      </c>
      <c r="B3251" t="s">
        <v>12021</v>
      </c>
      <c r="C3251" t="s">
        <v>12022</v>
      </c>
      <c r="D3251" t="s">
        <v>433</v>
      </c>
      <c r="E3251" t="s">
        <v>12021</v>
      </c>
      <c r="F3251" t="s">
        <v>28</v>
      </c>
      <c r="G3251" t="s">
        <v>12021</v>
      </c>
      <c r="H3251" t="str">
        <f>"C49A9.9"</f>
        <v>C49A9.9</v>
      </c>
      <c r="I3251" t="s">
        <v>433</v>
      </c>
      <c r="J3251">
        <v>14.9684195993653</v>
      </c>
      <c r="K3251">
        <v>15.005230058449699</v>
      </c>
      <c r="L3251">
        <v>14.47391313426</v>
      </c>
      <c r="M3251" t="s">
        <v>29</v>
      </c>
      <c r="N3251">
        <v>13.688468017583901</v>
      </c>
      <c r="O3251">
        <v>13.7528089973547</v>
      </c>
      <c r="P3251">
        <v>-1.0952157565557299</v>
      </c>
      <c r="Q3251">
        <v>-1.6471663306479001</v>
      </c>
      <c r="R3251">
        <v>-0.54326518246355904</v>
      </c>
      <c r="S3251">
        <v>14.467746446076699</v>
      </c>
      <c r="T3251">
        <v>-4.1884130782262803</v>
      </c>
      <c r="U3251">
        <v>-0.74248993277449205</v>
      </c>
      <c r="V3251">
        <v>6.2437041314872504E-4</v>
      </c>
      <c r="W3251">
        <v>6.5714985983903402E-3</v>
      </c>
      <c r="X3251">
        <v>-1</v>
      </c>
      <c r="Y3251">
        <v>-1</v>
      </c>
    </row>
    <row r="3252" spans="1:25" x14ac:dyDescent="0.2">
      <c r="A3252" t="s">
        <v>12023</v>
      </c>
      <c r="B3252" t="s">
        <v>12024</v>
      </c>
      <c r="C3252" t="s">
        <v>12025</v>
      </c>
      <c r="D3252" t="s">
        <v>12026</v>
      </c>
      <c r="E3252" t="s">
        <v>12024</v>
      </c>
      <c r="F3252" t="s">
        <v>28</v>
      </c>
      <c r="G3252" t="s">
        <v>12024</v>
      </c>
      <c r="H3252" t="str">
        <f>"ddx-35"</f>
        <v>ddx-35</v>
      </c>
      <c r="I3252" t="s">
        <v>12026</v>
      </c>
      <c r="J3252">
        <v>12.286140237493999</v>
      </c>
      <c r="K3252">
        <v>12.5587479395048</v>
      </c>
      <c r="L3252">
        <v>12.3333402519354</v>
      </c>
      <c r="M3252" t="s">
        <v>29</v>
      </c>
      <c r="N3252" t="s">
        <v>29</v>
      </c>
      <c r="O3252">
        <v>11.861059600030799</v>
      </c>
      <c r="P3252">
        <v>-0.53168320961399296</v>
      </c>
      <c r="Q3252">
        <v>-1.2728370102534801</v>
      </c>
      <c r="R3252">
        <v>0.20947059102548901</v>
      </c>
      <c r="S3252">
        <v>12.6362058436466</v>
      </c>
      <c r="T3252">
        <v>-1.5215777026570101</v>
      </c>
      <c r="U3252">
        <v>-5.6786049450342899</v>
      </c>
      <c r="V3252">
        <v>0.14775851155703201</v>
      </c>
      <c r="W3252">
        <v>0.29068380077341399</v>
      </c>
      <c r="X3252">
        <v>0</v>
      </c>
      <c r="Y3252">
        <v>0</v>
      </c>
    </row>
    <row r="3253" spans="1:25" x14ac:dyDescent="0.2">
      <c r="A3253" t="s">
        <v>12027</v>
      </c>
      <c r="B3253" t="s">
        <v>12028</v>
      </c>
      <c r="C3253" t="s">
        <v>12029</v>
      </c>
      <c r="D3253" t="s">
        <v>12030</v>
      </c>
      <c r="E3253" t="s">
        <v>12028</v>
      </c>
      <c r="F3253" t="s">
        <v>28</v>
      </c>
      <c r="G3253" t="s">
        <v>12028</v>
      </c>
      <c r="H3253" t="str">
        <f>"cisd-3.2"</f>
        <v>cisd-3.2</v>
      </c>
      <c r="I3253" t="s">
        <v>12030</v>
      </c>
      <c r="J3253">
        <v>15.326930483402901</v>
      </c>
      <c r="K3253">
        <v>15.3678216258247</v>
      </c>
      <c r="L3253">
        <v>15.2500714776324</v>
      </c>
      <c r="M3253" t="s">
        <v>29</v>
      </c>
      <c r="N3253">
        <v>12.962942433104701</v>
      </c>
      <c r="O3253">
        <v>13.6004669424375</v>
      </c>
      <c r="P3253">
        <v>-2.03323650784895</v>
      </c>
      <c r="Q3253">
        <v>-2.5769340630772901</v>
      </c>
      <c r="R3253">
        <v>-1.4895389526206</v>
      </c>
      <c r="S3253">
        <v>14.3219259874312</v>
      </c>
      <c r="T3253">
        <v>-7.8936984560157102</v>
      </c>
      <c r="U3253">
        <v>6.5364355208041003</v>
      </c>
      <c r="V3253" s="2">
        <v>4.5649076480387E-7</v>
      </c>
      <c r="W3253" s="2">
        <v>2.53826091297548E-5</v>
      </c>
      <c r="X3253">
        <v>-1</v>
      </c>
      <c r="Y3253">
        <v>-1</v>
      </c>
    </row>
    <row r="3254" spans="1:25" x14ac:dyDescent="0.2">
      <c r="A3254" t="s">
        <v>12031</v>
      </c>
      <c r="B3254" t="s">
        <v>12032</v>
      </c>
      <c r="C3254" t="s">
        <v>12033</v>
      </c>
      <c r="D3254" t="s">
        <v>581</v>
      </c>
      <c r="E3254" t="s">
        <v>12032</v>
      </c>
      <c r="F3254" t="s">
        <v>28</v>
      </c>
      <c r="G3254" t="s">
        <v>12032</v>
      </c>
      <c r="H3254" t="str">
        <f>"ttc-37"</f>
        <v>ttc-37</v>
      </c>
      <c r="I3254" t="s">
        <v>581</v>
      </c>
      <c r="J3254">
        <v>12.2850603081801</v>
      </c>
      <c r="K3254">
        <v>12.4006881325686</v>
      </c>
      <c r="L3254">
        <v>12.407690948359599</v>
      </c>
      <c r="M3254">
        <v>11.8644480214059</v>
      </c>
      <c r="N3254">
        <v>11.646166671777401</v>
      </c>
      <c r="O3254">
        <v>12.514636210053901</v>
      </c>
      <c r="P3254">
        <v>-0.35606282862369898</v>
      </c>
      <c r="Q3254">
        <v>-1.06463417902806</v>
      </c>
      <c r="R3254">
        <v>0.352508521780664</v>
      </c>
      <c r="S3254">
        <v>12.2676832975264</v>
      </c>
      <c r="T3254">
        <v>-1.05617421892932</v>
      </c>
      <c r="U3254">
        <v>-6.5885191936428003</v>
      </c>
      <c r="V3254">
        <v>0.30493952052755302</v>
      </c>
      <c r="W3254">
        <v>0.47447558975432802</v>
      </c>
      <c r="X3254">
        <v>0</v>
      </c>
      <c r="Y3254">
        <v>0</v>
      </c>
    </row>
    <row r="3255" spans="1:25" x14ac:dyDescent="0.2">
      <c r="A3255" t="s">
        <v>12034</v>
      </c>
      <c r="B3255" t="s">
        <v>12035</v>
      </c>
      <c r="C3255" t="s">
        <v>14644</v>
      </c>
      <c r="D3255" t="s">
        <v>12036</v>
      </c>
      <c r="E3255" t="s">
        <v>12035</v>
      </c>
      <c r="F3255" t="s">
        <v>28</v>
      </c>
      <c r="G3255" t="s">
        <v>12035</v>
      </c>
      <c r="H3255" t="str">
        <f>"Y82E9BR.18"</f>
        <v>Y82E9BR.18</v>
      </c>
      <c r="I3255" t="s">
        <v>12036</v>
      </c>
      <c r="J3255">
        <v>15.4900080676753</v>
      </c>
      <c r="K3255">
        <v>15.2325603811686</v>
      </c>
      <c r="L3255">
        <v>15.2037522357311</v>
      </c>
      <c r="M3255">
        <v>14.444417667948199</v>
      </c>
      <c r="N3255">
        <v>15.177122007545201</v>
      </c>
      <c r="O3255">
        <v>15.163042574287299</v>
      </c>
      <c r="P3255">
        <v>-0.38057947826474398</v>
      </c>
      <c r="Q3255">
        <v>-0.85682172184767702</v>
      </c>
      <c r="R3255">
        <v>9.56627653181885E-2</v>
      </c>
      <c r="S3255">
        <v>14.847063562617899</v>
      </c>
      <c r="T3255">
        <v>-1.67961584907185</v>
      </c>
      <c r="U3255">
        <v>-5.7821551521753598</v>
      </c>
      <c r="V3255">
        <v>0.110405944056111</v>
      </c>
      <c r="W3255">
        <v>0.23157744991698201</v>
      </c>
      <c r="X3255">
        <v>0</v>
      </c>
      <c r="Y3255">
        <v>0</v>
      </c>
    </row>
    <row r="3256" spans="1:25" x14ac:dyDescent="0.2">
      <c r="A3256" t="s">
        <v>12037</v>
      </c>
      <c r="B3256" t="s">
        <v>12038</v>
      </c>
      <c r="C3256" t="s">
        <v>14645</v>
      </c>
      <c r="D3256" t="s">
        <v>107</v>
      </c>
      <c r="E3256" t="s">
        <v>12038</v>
      </c>
      <c r="F3256" t="s">
        <v>28</v>
      </c>
      <c r="G3256" t="s">
        <v>12038</v>
      </c>
      <c r="H3256" t="str">
        <f>"Y82E9BR.16"</f>
        <v>Y82E9BR.16</v>
      </c>
      <c r="I3256" t="s">
        <v>107</v>
      </c>
      <c r="J3256">
        <v>12.7182743135512</v>
      </c>
      <c r="K3256">
        <v>12.1143064906097</v>
      </c>
      <c r="L3256">
        <v>12.325988391522699</v>
      </c>
      <c r="M3256" t="s">
        <v>29</v>
      </c>
      <c r="N3256" t="s">
        <v>29</v>
      </c>
      <c r="O3256">
        <v>11.7816550317125</v>
      </c>
      <c r="P3256">
        <v>-0.60453470018208799</v>
      </c>
      <c r="Q3256">
        <v>-1.41883265358912</v>
      </c>
      <c r="R3256">
        <v>0.20976325322494799</v>
      </c>
      <c r="S3256">
        <v>12.580915941401701</v>
      </c>
      <c r="T3256">
        <v>-1.5833593715629799</v>
      </c>
      <c r="U3256">
        <v>-5.5922184933754204</v>
      </c>
      <c r="V3256">
        <v>0.134337069807966</v>
      </c>
      <c r="W3256">
        <v>0.27023299981165599</v>
      </c>
      <c r="X3256">
        <v>0</v>
      </c>
      <c r="Y3256">
        <v>0</v>
      </c>
    </row>
    <row r="3257" spans="1:25" x14ac:dyDescent="0.2">
      <c r="A3257" t="s">
        <v>12039</v>
      </c>
      <c r="B3257" t="s">
        <v>12040</v>
      </c>
      <c r="C3257" t="s">
        <v>12041</v>
      </c>
      <c r="D3257" t="s">
        <v>12042</v>
      </c>
      <c r="E3257" t="s">
        <v>12040</v>
      </c>
      <c r="F3257" t="s">
        <v>28</v>
      </c>
      <c r="G3257" t="s">
        <v>12040</v>
      </c>
      <c r="H3257" t="str">
        <f>"elc-1"</f>
        <v>elc-1</v>
      </c>
      <c r="I3257" t="s">
        <v>12042</v>
      </c>
      <c r="J3257">
        <v>13.245550353696199</v>
      </c>
      <c r="K3257">
        <v>13.1799823211472</v>
      </c>
      <c r="L3257">
        <v>13.290480902589501</v>
      </c>
      <c r="M3257" t="s">
        <v>29</v>
      </c>
      <c r="N3257" t="s">
        <v>29</v>
      </c>
      <c r="O3257">
        <v>13.213333805414701</v>
      </c>
      <c r="P3257">
        <v>-2.5337387062942099E-2</v>
      </c>
      <c r="Q3257">
        <v>-0.71062903305800795</v>
      </c>
      <c r="R3257">
        <v>0.659954258932124</v>
      </c>
      <c r="S3257">
        <v>13.157519703194399</v>
      </c>
      <c r="T3257">
        <v>-7.8854774502449904E-2</v>
      </c>
      <c r="U3257">
        <v>-6.80942285375711</v>
      </c>
      <c r="V3257">
        <v>0.93819775596579202</v>
      </c>
      <c r="W3257">
        <v>0.96499999030741501</v>
      </c>
      <c r="X3257">
        <v>0</v>
      </c>
      <c r="Y3257">
        <v>0</v>
      </c>
    </row>
    <row r="3258" spans="1:25" x14ac:dyDescent="0.2">
      <c r="A3258" t="s">
        <v>12043</v>
      </c>
      <c r="B3258" t="s">
        <v>12044</v>
      </c>
      <c r="C3258" t="s">
        <v>12045</v>
      </c>
      <c r="D3258" t="s">
        <v>12046</v>
      </c>
      <c r="E3258" t="s">
        <v>12044</v>
      </c>
      <c r="F3258" t="s">
        <v>28</v>
      </c>
      <c r="G3258" t="s">
        <v>12044</v>
      </c>
      <c r="H3258" t="str">
        <f>"npp-13"</f>
        <v>npp-13</v>
      </c>
      <c r="I3258" t="s">
        <v>12046</v>
      </c>
      <c r="J3258">
        <v>14.780921010650999</v>
      </c>
      <c r="K3258">
        <v>14.777118640166499</v>
      </c>
      <c r="L3258">
        <v>14.844643818949899</v>
      </c>
      <c r="M3258">
        <v>14.3577117978827</v>
      </c>
      <c r="N3258">
        <v>14.3767508936157</v>
      </c>
      <c r="O3258">
        <v>14.9313047849936</v>
      </c>
      <c r="P3258">
        <v>-0.24563866442510701</v>
      </c>
      <c r="Q3258">
        <v>-0.62396195182848302</v>
      </c>
      <c r="R3258">
        <v>0.13268462297826999</v>
      </c>
      <c r="S3258">
        <v>14.7288636094605</v>
      </c>
      <c r="T3258">
        <v>-1.3646653536781901</v>
      </c>
      <c r="U3258">
        <v>-6.2268379139273797</v>
      </c>
      <c r="V3258">
        <v>0.18927357473505699</v>
      </c>
      <c r="W3258">
        <v>0.346237880039859</v>
      </c>
      <c r="X3258">
        <v>0</v>
      </c>
      <c r="Y3258">
        <v>0</v>
      </c>
    </row>
    <row r="3259" spans="1:25" x14ac:dyDescent="0.2">
      <c r="A3259" t="s">
        <v>12047</v>
      </c>
      <c r="B3259" t="s">
        <v>12048</v>
      </c>
      <c r="C3259" t="s">
        <v>12049</v>
      </c>
      <c r="D3259" t="s">
        <v>12050</v>
      </c>
      <c r="E3259" t="s">
        <v>12048</v>
      </c>
      <c r="F3259" t="s">
        <v>28</v>
      </c>
      <c r="G3259" t="s">
        <v>12048</v>
      </c>
      <c r="H3259" t="str">
        <f>"eif-2alpha"</f>
        <v>eif-2alpha</v>
      </c>
      <c r="I3259" t="s">
        <v>12050</v>
      </c>
      <c r="J3259">
        <v>16.944371691450701</v>
      </c>
      <c r="K3259">
        <v>16.7690532453434</v>
      </c>
      <c r="L3259">
        <v>16.822587529092701</v>
      </c>
      <c r="M3259">
        <v>16.632541087042799</v>
      </c>
      <c r="N3259">
        <v>16.843451499897601</v>
      </c>
      <c r="O3259">
        <v>16.898781264961301</v>
      </c>
      <c r="P3259">
        <v>-5.3746204661681701E-2</v>
      </c>
      <c r="Q3259">
        <v>-0.35371359004738101</v>
      </c>
      <c r="R3259">
        <v>0.246221180724018</v>
      </c>
      <c r="S3259">
        <v>16.687655569121599</v>
      </c>
      <c r="T3259">
        <v>-0.37658782654712503</v>
      </c>
      <c r="U3259">
        <v>-7.08217188231131</v>
      </c>
      <c r="V3259">
        <v>0.71090798770139196</v>
      </c>
      <c r="W3259">
        <v>0.812348134841412</v>
      </c>
      <c r="X3259">
        <v>0</v>
      </c>
      <c r="Y3259">
        <v>0</v>
      </c>
    </row>
    <row r="3260" spans="1:25" x14ac:dyDescent="0.2">
      <c r="A3260" t="s">
        <v>12051</v>
      </c>
      <c r="B3260" t="s">
        <v>12052</v>
      </c>
      <c r="C3260" t="s">
        <v>12053</v>
      </c>
      <c r="D3260" t="s">
        <v>12054</v>
      </c>
      <c r="E3260" t="s">
        <v>12052</v>
      </c>
      <c r="F3260" t="s">
        <v>28</v>
      </c>
      <c r="G3260" t="s">
        <v>12052</v>
      </c>
      <c r="H3260" t="str">
        <f>"phb-1"</f>
        <v>phb-1</v>
      </c>
      <c r="I3260" t="s">
        <v>12054</v>
      </c>
      <c r="J3260">
        <v>16.8359377875713</v>
      </c>
      <c r="K3260">
        <v>16.9412386819732</v>
      </c>
      <c r="L3260">
        <v>16.776224225387001</v>
      </c>
      <c r="M3260">
        <v>17.1332202016028</v>
      </c>
      <c r="N3260">
        <v>16.4532385208968</v>
      </c>
      <c r="O3260">
        <v>15.9906852519249</v>
      </c>
      <c r="P3260">
        <v>-0.32541890683567898</v>
      </c>
      <c r="Q3260">
        <v>-0.813351776959919</v>
      </c>
      <c r="R3260">
        <v>0.16251396328855999</v>
      </c>
      <c r="S3260">
        <v>16.217551655731999</v>
      </c>
      <c r="T3260">
        <v>-1.4017650228658201</v>
      </c>
      <c r="U3260">
        <v>-6.1782106807845301</v>
      </c>
      <c r="V3260">
        <v>0.178092275866404</v>
      </c>
      <c r="W3260">
        <v>0.33112803594844997</v>
      </c>
      <c r="X3260">
        <v>0</v>
      </c>
      <c r="Y3260">
        <v>0</v>
      </c>
    </row>
    <row r="3261" spans="1:25" x14ac:dyDescent="0.2">
      <c r="A3261" t="s">
        <v>12055</v>
      </c>
      <c r="B3261" t="s">
        <v>12056</v>
      </c>
      <c r="C3261" t="s">
        <v>14646</v>
      </c>
      <c r="D3261" t="s">
        <v>12057</v>
      </c>
      <c r="E3261" t="s">
        <v>12056</v>
      </c>
      <c r="F3261" t="s">
        <v>28</v>
      </c>
      <c r="G3261" t="s">
        <v>12056</v>
      </c>
      <c r="H3261" t="str">
        <f>"Y37E3.8"</f>
        <v>Y37E3.8</v>
      </c>
      <c r="I3261" t="s">
        <v>12057</v>
      </c>
      <c r="J3261">
        <v>20.229643513093301</v>
      </c>
      <c r="K3261">
        <v>20.2592826506893</v>
      </c>
      <c r="L3261">
        <v>20.4419526929175</v>
      </c>
      <c r="M3261">
        <v>20.413510550286201</v>
      </c>
      <c r="N3261">
        <v>20.404415260418698</v>
      </c>
      <c r="O3261">
        <v>19.855145126291699</v>
      </c>
      <c r="P3261">
        <v>-8.5935973234512603E-2</v>
      </c>
      <c r="Q3261">
        <v>-0.49203881710513903</v>
      </c>
      <c r="R3261">
        <v>0.32016687063611299</v>
      </c>
      <c r="S3261">
        <v>20.590374164328701</v>
      </c>
      <c r="T3261">
        <v>-0.444765899421732</v>
      </c>
      <c r="U3261">
        <v>-7.0530622304978303</v>
      </c>
      <c r="V3261">
        <v>0.66182156931041203</v>
      </c>
      <c r="W3261">
        <v>0.77579104511357899</v>
      </c>
      <c r="X3261">
        <v>0</v>
      </c>
      <c r="Y3261">
        <v>0</v>
      </c>
    </row>
    <row r="3262" spans="1:25" x14ac:dyDescent="0.2">
      <c r="A3262" t="s">
        <v>12058</v>
      </c>
      <c r="B3262" t="s">
        <v>12059</v>
      </c>
      <c r="C3262" t="s">
        <v>14647</v>
      </c>
      <c r="D3262" t="s">
        <v>12060</v>
      </c>
      <c r="E3262" t="s">
        <v>12059</v>
      </c>
      <c r="F3262" t="s">
        <v>28</v>
      </c>
      <c r="G3262" t="s">
        <v>12059</v>
      </c>
      <c r="H3262" t="str">
        <f>"Y92H12BL.4"</f>
        <v>Y92H12BL.4</v>
      </c>
      <c r="I3262" t="s">
        <v>12060</v>
      </c>
      <c r="J3262">
        <v>11.9068527709296</v>
      </c>
      <c r="K3262">
        <v>12.460049529938599</v>
      </c>
      <c r="L3262">
        <v>12.3948423772122</v>
      </c>
      <c r="M3262" t="s">
        <v>29</v>
      </c>
      <c r="N3262" t="s">
        <v>29</v>
      </c>
      <c r="O3262">
        <v>11.606544462676499</v>
      </c>
      <c r="P3262">
        <v>-0.64737043001692196</v>
      </c>
      <c r="Q3262">
        <v>-1.4052130800823199</v>
      </c>
      <c r="R3262">
        <v>0.11047222004847899</v>
      </c>
      <c r="S3262">
        <v>11.9623696628485</v>
      </c>
      <c r="T3262">
        <v>-1.82186176331955</v>
      </c>
      <c r="U3262">
        <v>-5.2348276954035002</v>
      </c>
      <c r="V3262">
        <v>8.8616019049154199E-2</v>
      </c>
      <c r="W3262">
        <v>0.19996279336742501</v>
      </c>
      <c r="X3262">
        <v>0</v>
      </c>
      <c r="Y3262">
        <v>0</v>
      </c>
    </row>
    <row r="3263" spans="1:25" x14ac:dyDescent="0.2">
      <c r="A3263" t="s">
        <v>12061</v>
      </c>
      <c r="B3263" t="s">
        <v>12062</v>
      </c>
      <c r="C3263" t="s">
        <v>14648</v>
      </c>
      <c r="D3263" t="s">
        <v>2432</v>
      </c>
      <c r="E3263" t="s">
        <v>12062</v>
      </c>
      <c r="F3263" t="s">
        <v>28</v>
      </c>
      <c r="G3263" t="s">
        <v>12062</v>
      </c>
      <c r="H3263" t="str">
        <f>"Y54F10AM.11"</f>
        <v>Y54F10AM.11</v>
      </c>
      <c r="I3263" t="s">
        <v>2432</v>
      </c>
      <c r="J3263" t="s">
        <v>29</v>
      </c>
      <c r="K3263" t="s">
        <v>29</v>
      </c>
      <c r="L3263" t="s">
        <v>29</v>
      </c>
      <c r="M3263" t="s">
        <v>29</v>
      </c>
      <c r="N3263" t="s">
        <v>29</v>
      </c>
      <c r="O3263" t="s">
        <v>29</v>
      </c>
      <c r="P3263" t="s">
        <v>29</v>
      </c>
      <c r="Q3263" t="s">
        <v>29</v>
      </c>
      <c r="R3263" t="s">
        <v>29</v>
      </c>
      <c r="S3263">
        <v>11.754876580695001</v>
      </c>
      <c r="T3263" t="s">
        <v>29</v>
      </c>
      <c r="U3263" t="s">
        <v>29</v>
      </c>
      <c r="V3263" t="s">
        <v>29</v>
      </c>
      <c r="W3263" t="s">
        <v>29</v>
      </c>
      <c r="X3263" t="s">
        <v>29</v>
      </c>
      <c r="Y3263" t="s">
        <v>29</v>
      </c>
    </row>
    <row r="3264" spans="1:25" x14ac:dyDescent="0.2">
      <c r="A3264" t="s">
        <v>12063</v>
      </c>
      <c r="B3264" t="s">
        <v>12064</v>
      </c>
      <c r="C3264" t="s">
        <v>12065</v>
      </c>
      <c r="D3264" t="s">
        <v>12066</v>
      </c>
      <c r="E3264" t="s">
        <v>12064</v>
      </c>
      <c r="F3264" t="s">
        <v>28</v>
      </c>
      <c r="G3264" t="s">
        <v>12064</v>
      </c>
      <c r="H3264" t="str">
        <f>"feh-1"</f>
        <v>feh-1</v>
      </c>
      <c r="I3264" t="s">
        <v>12066</v>
      </c>
      <c r="J3264">
        <v>13.252073650918501</v>
      </c>
      <c r="K3264">
        <v>13.475556473596299</v>
      </c>
      <c r="L3264">
        <v>13.540374271221699</v>
      </c>
      <c r="M3264" t="s">
        <v>29</v>
      </c>
      <c r="N3264">
        <v>13.724562942299899</v>
      </c>
      <c r="O3264">
        <v>13.6294360028747</v>
      </c>
      <c r="P3264">
        <v>0.25433134067514201</v>
      </c>
      <c r="Q3264">
        <v>-0.25773283582185802</v>
      </c>
      <c r="R3264">
        <v>0.76639551717214205</v>
      </c>
      <c r="S3264">
        <v>13.2372397544524</v>
      </c>
      <c r="T3264">
        <v>1.04839634851978</v>
      </c>
      <c r="U3264">
        <v>-6.4858612146473602</v>
      </c>
      <c r="V3264">
        <v>0.30922303018071801</v>
      </c>
      <c r="W3264">
        <v>0.47870581810998403</v>
      </c>
      <c r="X3264">
        <v>0</v>
      </c>
      <c r="Y3264">
        <v>0</v>
      </c>
    </row>
    <row r="3265" spans="1:25" x14ac:dyDescent="0.2">
      <c r="A3265" t="s">
        <v>12067</v>
      </c>
      <c r="B3265" t="s">
        <v>12068</v>
      </c>
      <c r="C3265" t="s">
        <v>12069</v>
      </c>
      <c r="D3265" t="s">
        <v>12070</v>
      </c>
      <c r="E3265" t="s">
        <v>12068</v>
      </c>
      <c r="F3265" t="s">
        <v>28</v>
      </c>
      <c r="G3265" t="s">
        <v>12068</v>
      </c>
      <c r="H3265" t="str">
        <f>"ceh-44"</f>
        <v>ceh-44</v>
      </c>
      <c r="I3265" t="s">
        <v>12070</v>
      </c>
      <c r="J3265" t="s">
        <v>29</v>
      </c>
      <c r="K3265" t="s">
        <v>29</v>
      </c>
      <c r="L3265" t="s">
        <v>29</v>
      </c>
      <c r="M3265" t="s">
        <v>29</v>
      </c>
      <c r="N3265" t="s">
        <v>29</v>
      </c>
      <c r="O3265" t="s">
        <v>29</v>
      </c>
      <c r="P3265" t="s">
        <v>29</v>
      </c>
      <c r="Q3265" t="s">
        <v>29</v>
      </c>
      <c r="R3265" t="s">
        <v>29</v>
      </c>
      <c r="S3265">
        <v>11.493939607660399</v>
      </c>
      <c r="T3265" t="s">
        <v>29</v>
      </c>
      <c r="U3265" t="s">
        <v>29</v>
      </c>
      <c r="V3265" t="s">
        <v>29</v>
      </c>
      <c r="W3265" t="s">
        <v>29</v>
      </c>
      <c r="X3265" t="s">
        <v>29</v>
      </c>
      <c r="Y3265" t="s">
        <v>29</v>
      </c>
    </row>
    <row r="3266" spans="1:25" x14ac:dyDescent="0.2">
      <c r="A3266" t="s">
        <v>12071</v>
      </c>
      <c r="B3266" t="s">
        <v>12072</v>
      </c>
      <c r="C3266" t="s">
        <v>12073</v>
      </c>
      <c r="D3266" t="s">
        <v>534</v>
      </c>
      <c r="E3266" t="s">
        <v>12072</v>
      </c>
      <c r="F3266" t="s">
        <v>28</v>
      </c>
      <c r="G3266" t="s">
        <v>12072</v>
      </c>
      <c r="H3266" t="str">
        <f>"rbc-2"</f>
        <v>rbc-2</v>
      </c>
      <c r="I3266" t="s">
        <v>534</v>
      </c>
      <c r="J3266">
        <v>13.351839896768301</v>
      </c>
      <c r="K3266">
        <v>13.424666790814699</v>
      </c>
      <c r="L3266">
        <v>13.1811895724832</v>
      </c>
      <c r="M3266" t="s">
        <v>29</v>
      </c>
      <c r="N3266">
        <v>12.5847008425959</v>
      </c>
      <c r="O3266">
        <v>13.293684165775201</v>
      </c>
      <c r="P3266">
        <v>-0.38003958250320302</v>
      </c>
      <c r="Q3266">
        <v>-0.80981154879433204</v>
      </c>
      <c r="R3266">
        <v>4.9732383787926403E-2</v>
      </c>
      <c r="S3266">
        <v>13.1071974113756</v>
      </c>
      <c r="T3266">
        <v>-1.86655487410604</v>
      </c>
      <c r="U3266">
        <v>-5.38164039122461</v>
      </c>
      <c r="V3266">
        <v>7.9418400246874396E-2</v>
      </c>
      <c r="W3266">
        <v>0.18649085699405499</v>
      </c>
      <c r="X3266">
        <v>0</v>
      </c>
      <c r="Y3266">
        <v>0</v>
      </c>
    </row>
    <row r="3267" spans="1:25" x14ac:dyDescent="0.2">
      <c r="A3267" t="s">
        <v>12074</v>
      </c>
      <c r="B3267" t="s">
        <v>12075</v>
      </c>
      <c r="C3267" t="s">
        <v>14649</v>
      </c>
      <c r="D3267" t="s">
        <v>12076</v>
      </c>
      <c r="E3267" t="s">
        <v>12075</v>
      </c>
      <c r="F3267" t="s">
        <v>28</v>
      </c>
      <c r="G3267" t="s">
        <v>12075</v>
      </c>
      <c r="H3267" t="str">
        <f>"Y48G8AL.13"</f>
        <v>Y48G8AL.13</v>
      </c>
      <c r="I3267" t="s">
        <v>12076</v>
      </c>
      <c r="J3267">
        <v>13.9878078889255</v>
      </c>
      <c r="K3267">
        <v>13.882182419149601</v>
      </c>
      <c r="L3267">
        <v>14.371641648646699</v>
      </c>
      <c r="M3267" t="s">
        <v>29</v>
      </c>
      <c r="N3267">
        <v>14.246978009236701</v>
      </c>
      <c r="O3267">
        <v>13.8572500971274</v>
      </c>
      <c r="P3267">
        <v>-2.8429932391849998E-2</v>
      </c>
      <c r="Q3267">
        <v>-0.536104994239059</v>
      </c>
      <c r="R3267">
        <v>0.47924512945535902</v>
      </c>
      <c r="S3267">
        <v>14.395252875113901</v>
      </c>
      <c r="T3267">
        <v>-0.118206132898558</v>
      </c>
      <c r="U3267">
        <v>-7.0381332611072196</v>
      </c>
      <c r="V3267">
        <v>0.90729833404873195</v>
      </c>
      <c r="W3267">
        <v>0.94480854785922697</v>
      </c>
      <c r="X3267">
        <v>0</v>
      </c>
      <c r="Y3267">
        <v>0</v>
      </c>
    </row>
    <row r="3268" spans="1:25" x14ac:dyDescent="0.2">
      <c r="A3268" t="s">
        <v>12077</v>
      </c>
      <c r="B3268" t="s">
        <v>12078</v>
      </c>
      <c r="C3268" t="s">
        <v>12079</v>
      </c>
      <c r="D3268" t="s">
        <v>12080</v>
      </c>
      <c r="E3268" t="s">
        <v>12078</v>
      </c>
      <c r="F3268" t="s">
        <v>28</v>
      </c>
      <c r="G3268" t="s">
        <v>12078</v>
      </c>
      <c r="H3268" t="str">
        <f>"herc-1"</f>
        <v>herc-1</v>
      </c>
      <c r="I3268" t="s">
        <v>12080</v>
      </c>
      <c r="J3268">
        <v>14.008111828659301</v>
      </c>
      <c r="K3268">
        <v>13.874469013356601</v>
      </c>
      <c r="L3268">
        <v>13.732096711576901</v>
      </c>
      <c r="M3268" t="s">
        <v>29</v>
      </c>
      <c r="N3268" t="s">
        <v>29</v>
      </c>
      <c r="O3268">
        <v>12.9854191460817</v>
      </c>
      <c r="P3268">
        <v>-0.88614003844925204</v>
      </c>
      <c r="Q3268">
        <v>-1.71369898521853</v>
      </c>
      <c r="R3268">
        <v>-5.8581091679968902E-2</v>
      </c>
      <c r="S3268">
        <v>13.223196091140601</v>
      </c>
      <c r="T3268">
        <v>-2.2711873014595398</v>
      </c>
      <c r="U3268">
        <v>-4.4709423264152903</v>
      </c>
      <c r="V3268">
        <v>3.7394369084537298E-2</v>
      </c>
      <c r="W3268">
        <v>0.11374356431768499</v>
      </c>
      <c r="X3268">
        <v>0</v>
      </c>
      <c r="Y3268">
        <v>0</v>
      </c>
    </row>
    <row r="3269" spans="1:25" x14ac:dyDescent="0.2">
      <c r="A3269" t="s">
        <v>12081</v>
      </c>
      <c r="B3269" t="s">
        <v>12082</v>
      </c>
      <c r="C3269" t="s">
        <v>12083</v>
      </c>
      <c r="D3269" t="s">
        <v>12084</v>
      </c>
      <c r="E3269" t="s">
        <v>12082</v>
      </c>
      <c r="F3269" t="s">
        <v>28</v>
      </c>
      <c r="G3269" t="s">
        <v>12082</v>
      </c>
      <c r="H3269" t="str">
        <f>"nsun-2"</f>
        <v>nsun-2</v>
      </c>
      <c r="I3269" t="s">
        <v>12084</v>
      </c>
      <c r="J3269">
        <v>16.093355223282799</v>
      </c>
      <c r="K3269">
        <v>15.7887211173369</v>
      </c>
      <c r="L3269">
        <v>16.011879275831699</v>
      </c>
      <c r="M3269">
        <v>15.651767069179799</v>
      </c>
      <c r="N3269">
        <v>15.805248424173699</v>
      </c>
      <c r="O3269">
        <v>15.694660857019899</v>
      </c>
      <c r="P3269">
        <v>-0.24742642202599699</v>
      </c>
      <c r="Q3269">
        <v>-0.57526929932622095</v>
      </c>
      <c r="R3269">
        <v>8.0416455274226403E-2</v>
      </c>
      <c r="S3269">
        <v>15.8176938407527</v>
      </c>
      <c r="T3269">
        <v>-1.5862543842785</v>
      </c>
      <c r="U3269">
        <v>-5.9212811698195402</v>
      </c>
      <c r="V3269">
        <v>0.13019355780768199</v>
      </c>
      <c r="W3269">
        <v>0.26369787962834201</v>
      </c>
      <c r="X3269">
        <v>0</v>
      </c>
      <c r="Y3269">
        <v>0</v>
      </c>
    </row>
    <row r="3270" spans="1:25" x14ac:dyDescent="0.2">
      <c r="A3270" t="s">
        <v>12085</v>
      </c>
      <c r="B3270" t="s">
        <v>12086</v>
      </c>
      <c r="C3270" t="s">
        <v>12087</v>
      </c>
      <c r="D3270" t="s">
        <v>12088</v>
      </c>
      <c r="E3270" t="s">
        <v>12086</v>
      </c>
      <c r="F3270" t="s">
        <v>28</v>
      </c>
      <c r="G3270" t="s">
        <v>12086</v>
      </c>
      <c r="H3270" t="str">
        <f>"haf-6"</f>
        <v>haf-6</v>
      </c>
      <c r="I3270" t="s">
        <v>12088</v>
      </c>
      <c r="J3270">
        <v>12.710344389628499</v>
      </c>
      <c r="K3270">
        <v>11.977685222191299</v>
      </c>
      <c r="L3270">
        <v>12.826916108606101</v>
      </c>
      <c r="M3270" t="s">
        <v>29</v>
      </c>
      <c r="N3270">
        <v>12.59909574496</v>
      </c>
      <c r="O3270">
        <v>12.865627318228601</v>
      </c>
      <c r="P3270">
        <v>0.22737962478566601</v>
      </c>
      <c r="Q3270">
        <v>-0.34696647914789303</v>
      </c>
      <c r="R3270">
        <v>0.80172572871922398</v>
      </c>
      <c r="S3270">
        <v>12.3761055152222</v>
      </c>
      <c r="T3270">
        <v>0.83565666095286795</v>
      </c>
      <c r="U3270">
        <v>-6.6858378279594399</v>
      </c>
      <c r="V3270">
        <v>0.41501030954729101</v>
      </c>
      <c r="W3270">
        <v>0.58212060077861305</v>
      </c>
      <c r="X3270">
        <v>0</v>
      </c>
      <c r="Y3270">
        <v>0</v>
      </c>
    </row>
    <row r="3271" spans="1:25" x14ac:dyDescent="0.2">
      <c r="A3271" t="s">
        <v>12089</v>
      </c>
      <c r="B3271" t="s">
        <v>12090</v>
      </c>
      <c r="C3271" t="s">
        <v>12091</v>
      </c>
      <c r="D3271" t="s">
        <v>12092</v>
      </c>
      <c r="E3271" t="s">
        <v>12090</v>
      </c>
      <c r="F3271" t="s">
        <v>28</v>
      </c>
      <c r="G3271" t="s">
        <v>12090</v>
      </c>
      <c r="H3271" t="str">
        <f>"rpl-17"</f>
        <v>rpl-17</v>
      </c>
      <c r="I3271" t="s">
        <v>12092</v>
      </c>
      <c r="J3271">
        <v>19.827766483746199</v>
      </c>
      <c r="K3271">
        <v>19.937473337978499</v>
      </c>
      <c r="L3271">
        <v>20.078392813493501</v>
      </c>
      <c r="M3271">
        <v>19.408816626026301</v>
      </c>
      <c r="N3271">
        <v>19.669911672118499</v>
      </c>
      <c r="O3271">
        <v>19.657220192781399</v>
      </c>
      <c r="P3271">
        <v>-0.36922804809735899</v>
      </c>
      <c r="Q3271">
        <v>-0.71996308358136696</v>
      </c>
      <c r="R3271">
        <v>-1.84930126133502E-2</v>
      </c>
      <c r="S3271">
        <v>20.0689737621781</v>
      </c>
      <c r="T3271">
        <v>-2.2126261823112299</v>
      </c>
      <c r="U3271">
        <v>-4.8869920196821202</v>
      </c>
      <c r="V3271">
        <v>4.0166631406791997E-2</v>
      </c>
      <c r="W3271">
        <v>0.11837106275581601</v>
      </c>
      <c r="X3271">
        <v>0</v>
      </c>
      <c r="Y3271">
        <v>0</v>
      </c>
    </row>
    <row r="3272" spans="1:25" x14ac:dyDescent="0.2">
      <c r="A3272" t="s">
        <v>12093</v>
      </c>
      <c r="B3272" t="s">
        <v>12094</v>
      </c>
      <c r="C3272" t="s">
        <v>14650</v>
      </c>
      <c r="D3272" t="s">
        <v>12095</v>
      </c>
      <c r="E3272" t="s">
        <v>12094</v>
      </c>
      <c r="F3272" t="s">
        <v>28</v>
      </c>
      <c r="G3272" t="s">
        <v>12094</v>
      </c>
      <c r="H3272" t="str">
        <f>"Y71H2AM.20"</f>
        <v>Y71H2AM.20</v>
      </c>
      <c r="I3272" t="s">
        <v>12095</v>
      </c>
      <c r="J3272">
        <v>9.8633436216404409</v>
      </c>
      <c r="K3272" t="s">
        <v>29</v>
      </c>
      <c r="L3272" t="s">
        <v>29</v>
      </c>
      <c r="M3272" t="s">
        <v>29</v>
      </c>
      <c r="N3272" t="s">
        <v>29</v>
      </c>
      <c r="O3272">
        <v>10.322551324997701</v>
      </c>
      <c r="P3272">
        <v>0.45920770335721001</v>
      </c>
      <c r="Q3272">
        <v>-1.1845845587100401</v>
      </c>
      <c r="R3272">
        <v>2.10299996542446</v>
      </c>
      <c r="S3272">
        <v>10.088693152860801</v>
      </c>
      <c r="T3272">
        <v>0.64569577508623799</v>
      </c>
      <c r="U3272">
        <v>-6.3881977239149803</v>
      </c>
      <c r="V3272">
        <v>0.53678680644841803</v>
      </c>
      <c r="W3272">
        <v>0.68480983489328395</v>
      </c>
      <c r="X3272">
        <v>0</v>
      </c>
      <c r="Y3272">
        <v>0</v>
      </c>
    </row>
    <row r="3273" spans="1:25" x14ac:dyDescent="0.2">
      <c r="A3273" t="s">
        <v>12096</v>
      </c>
      <c r="B3273" t="s">
        <v>12097</v>
      </c>
      <c r="C3273" t="s">
        <v>12098</v>
      </c>
      <c r="D3273" t="s">
        <v>12099</v>
      </c>
      <c r="E3273" t="s">
        <v>12097</v>
      </c>
      <c r="F3273" t="s">
        <v>28</v>
      </c>
      <c r="G3273" t="s">
        <v>12097</v>
      </c>
      <c r="H3273" t="str">
        <f>"set-27"</f>
        <v>set-27</v>
      </c>
      <c r="I3273" t="s">
        <v>12099</v>
      </c>
      <c r="J3273">
        <v>13.987819735876901</v>
      </c>
      <c r="K3273">
        <v>13.6312733134108</v>
      </c>
      <c r="L3273">
        <v>13.6526946392701</v>
      </c>
      <c r="M3273" t="s">
        <v>29</v>
      </c>
      <c r="N3273">
        <v>13.4987300472675</v>
      </c>
      <c r="O3273">
        <v>13.5530270931628</v>
      </c>
      <c r="P3273">
        <v>-0.231383992637374</v>
      </c>
      <c r="Q3273">
        <v>-0.65143255334953198</v>
      </c>
      <c r="R3273">
        <v>0.18866456807478299</v>
      </c>
      <c r="S3273">
        <v>13.298926178355799</v>
      </c>
      <c r="T3273">
        <v>-1.16274323915545</v>
      </c>
      <c r="U3273">
        <v>-6.3620101531931397</v>
      </c>
      <c r="V3273">
        <v>0.26109478266656599</v>
      </c>
      <c r="W3273">
        <v>0.42818381998796301</v>
      </c>
      <c r="X3273">
        <v>0</v>
      </c>
      <c r="Y3273">
        <v>0</v>
      </c>
    </row>
    <row r="3274" spans="1:25" x14ac:dyDescent="0.2">
      <c r="A3274" t="s">
        <v>12100</v>
      </c>
      <c r="B3274" t="s">
        <v>12101</v>
      </c>
      <c r="C3274" t="s">
        <v>14651</v>
      </c>
      <c r="D3274" t="s">
        <v>12102</v>
      </c>
      <c r="E3274" t="s">
        <v>12101</v>
      </c>
      <c r="F3274" t="s">
        <v>28</v>
      </c>
      <c r="G3274" t="s">
        <v>12101</v>
      </c>
      <c r="H3274" t="str">
        <f>"Y65B4A.8"</f>
        <v>Y65B4A.8</v>
      </c>
      <c r="I3274" t="s">
        <v>12102</v>
      </c>
      <c r="J3274">
        <v>12.810869433786401</v>
      </c>
      <c r="K3274">
        <v>12.719772270819799</v>
      </c>
      <c r="L3274">
        <v>12.734720115280499</v>
      </c>
      <c r="M3274" t="s">
        <v>29</v>
      </c>
      <c r="N3274" t="s">
        <v>29</v>
      </c>
      <c r="O3274">
        <v>13.016069734944701</v>
      </c>
      <c r="P3274">
        <v>0.26094912831579897</v>
      </c>
      <c r="Q3274">
        <v>-0.409420121289645</v>
      </c>
      <c r="R3274">
        <v>0.93131837792124295</v>
      </c>
      <c r="S3274">
        <v>12.827517901456799</v>
      </c>
      <c r="T3274">
        <v>0.83020122845308997</v>
      </c>
      <c r="U3274">
        <v>-6.4575598537002197</v>
      </c>
      <c r="V3274">
        <v>0.41953301310721502</v>
      </c>
      <c r="W3274">
        <v>0.58651033663518104</v>
      </c>
      <c r="X3274">
        <v>0</v>
      </c>
      <c r="Y3274">
        <v>0</v>
      </c>
    </row>
    <row r="3275" spans="1:25" x14ac:dyDescent="0.2">
      <c r="A3275" t="s">
        <v>12103</v>
      </c>
      <c r="B3275" t="s">
        <v>12104</v>
      </c>
      <c r="C3275" t="s">
        <v>12105</v>
      </c>
      <c r="D3275" t="s">
        <v>2791</v>
      </c>
      <c r="E3275" t="s">
        <v>12104</v>
      </c>
      <c r="F3275" t="s">
        <v>28</v>
      </c>
      <c r="G3275" t="s">
        <v>12104</v>
      </c>
      <c r="H3275" t="str">
        <f>"eif-4a3"</f>
        <v>eif-4a3</v>
      </c>
      <c r="I3275" t="s">
        <v>2791</v>
      </c>
      <c r="J3275">
        <v>16.6342125389193</v>
      </c>
      <c r="K3275">
        <v>16.451727505870501</v>
      </c>
      <c r="L3275">
        <v>16.621631526873401</v>
      </c>
      <c r="M3275">
        <v>16.619749231460901</v>
      </c>
      <c r="N3275">
        <v>16.394064581604201</v>
      </c>
      <c r="O3275">
        <v>16.790632145011799</v>
      </c>
      <c r="P3275">
        <v>3.2291462137902002E-2</v>
      </c>
      <c r="Q3275">
        <v>-0.31721696466188398</v>
      </c>
      <c r="R3275">
        <v>0.38179988893768801</v>
      </c>
      <c r="S3275">
        <v>16.476875511242799</v>
      </c>
      <c r="T3275">
        <v>0.194188081886386</v>
      </c>
      <c r="U3275">
        <v>-7.1365336045280099</v>
      </c>
      <c r="V3275">
        <v>0.84821600039198497</v>
      </c>
      <c r="W3275">
        <v>0.90437501923125196</v>
      </c>
      <c r="X3275">
        <v>0</v>
      </c>
      <c r="Y3275">
        <v>0</v>
      </c>
    </row>
    <row r="3276" spans="1:25" x14ac:dyDescent="0.2">
      <c r="A3276" t="s">
        <v>12106</v>
      </c>
      <c r="B3276" t="s">
        <v>12107</v>
      </c>
      <c r="C3276" t="s">
        <v>14652</v>
      </c>
      <c r="D3276" t="s">
        <v>12108</v>
      </c>
      <c r="E3276" t="s">
        <v>12107</v>
      </c>
      <c r="F3276" t="s">
        <v>28</v>
      </c>
      <c r="G3276" t="s">
        <v>12107</v>
      </c>
      <c r="H3276" t="str">
        <f>"Y54H5A.2"</f>
        <v>Y54H5A.2</v>
      </c>
      <c r="I3276" t="s">
        <v>12108</v>
      </c>
      <c r="J3276">
        <v>13.940851813369299</v>
      </c>
      <c r="K3276">
        <v>13.6279470911908</v>
      </c>
      <c r="L3276">
        <v>13.9709859163774</v>
      </c>
      <c r="M3276" t="s">
        <v>29</v>
      </c>
      <c r="N3276">
        <v>14.197544162835699</v>
      </c>
      <c r="O3276">
        <v>14.4566842020752</v>
      </c>
      <c r="P3276">
        <v>0.480519242142943</v>
      </c>
      <c r="Q3276">
        <v>5.9038372548516897E-2</v>
      </c>
      <c r="R3276">
        <v>0.90200011173736905</v>
      </c>
      <c r="S3276">
        <v>13.9657654098189</v>
      </c>
      <c r="T3276">
        <v>2.4064837266065</v>
      </c>
      <c r="U3276">
        <v>-4.4311035793034996</v>
      </c>
      <c r="V3276">
        <v>2.78379653169047E-2</v>
      </c>
      <c r="W3276">
        <v>9.1356886179196198E-2</v>
      </c>
      <c r="X3276">
        <v>0</v>
      </c>
      <c r="Y3276">
        <v>0</v>
      </c>
    </row>
    <row r="3277" spans="1:25" x14ac:dyDescent="0.2">
      <c r="A3277" t="s">
        <v>12109</v>
      </c>
      <c r="B3277" t="s">
        <v>12110</v>
      </c>
      <c r="C3277" t="s">
        <v>12111</v>
      </c>
      <c r="D3277" t="s">
        <v>11202</v>
      </c>
      <c r="E3277" t="s">
        <v>12110</v>
      </c>
      <c r="F3277" t="s">
        <v>28</v>
      </c>
      <c r="G3277" t="s">
        <v>12110</v>
      </c>
      <c r="H3277" t="str">
        <f>"smg-6"</f>
        <v>smg-6</v>
      </c>
      <c r="I3277" t="s">
        <v>11202</v>
      </c>
      <c r="J3277">
        <v>14.290051583601</v>
      </c>
      <c r="K3277">
        <v>14.647907480002001</v>
      </c>
      <c r="L3277">
        <v>14.4668242288116</v>
      </c>
      <c r="M3277">
        <v>14.4106910311239</v>
      </c>
      <c r="N3277">
        <v>13.9916215118217</v>
      </c>
      <c r="O3277">
        <v>13.7529960386388</v>
      </c>
      <c r="P3277">
        <v>-0.41649157027673001</v>
      </c>
      <c r="Q3277">
        <v>-0.83646741342895004</v>
      </c>
      <c r="R3277">
        <v>3.4842728754909701E-3</v>
      </c>
      <c r="S3277">
        <v>14.3744749203872</v>
      </c>
      <c r="T3277">
        <v>-2.08436810160855</v>
      </c>
      <c r="U3277">
        <v>-5.1165268870777298</v>
      </c>
      <c r="V3277">
        <v>5.1733241800573697E-2</v>
      </c>
      <c r="W3277">
        <v>0.13909642809730999</v>
      </c>
      <c r="X3277">
        <v>0</v>
      </c>
      <c r="Y3277">
        <v>0</v>
      </c>
    </row>
    <row r="3278" spans="1:25" x14ac:dyDescent="0.2">
      <c r="A3278" t="s">
        <v>12112</v>
      </c>
      <c r="B3278" t="s">
        <v>12113</v>
      </c>
      <c r="C3278" t="s">
        <v>12114</v>
      </c>
      <c r="D3278" t="s">
        <v>2845</v>
      </c>
      <c r="E3278" t="s">
        <v>12113</v>
      </c>
      <c r="F3278" t="s">
        <v>28</v>
      </c>
      <c r="G3278" t="s">
        <v>12113</v>
      </c>
      <c r="H3278" t="str">
        <f>"ppk-2"</f>
        <v>ppk-2</v>
      </c>
      <c r="I3278" t="s">
        <v>2845</v>
      </c>
      <c r="J3278">
        <v>17.9431310886715</v>
      </c>
      <c r="K3278">
        <v>17.251072864594502</v>
      </c>
      <c r="L3278">
        <v>17.323382199110501</v>
      </c>
      <c r="M3278">
        <v>18.106898717433701</v>
      </c>
      <c r="N3278">
        <v>18.1006397844993</v>
      </c>
      <c r="O3278">
        <v>17.4168849629459</v>
      </c>
      <c r="P3278">
        <v>0.36894577083412</v>
      </c>
      <c r="Q3278">
        <v>-0.171326510923697</v>
      </c>
      <c r="R3278">
        <v>0.909218052591938</v>
      </c>
      <c r="S3278">
        <v>16.487202630621798</v>
      </c>
      <c r="T3278">
        <v>1.4352989351099501</v>
      </c>
      <c r="U3278">
        <v>-6.1333603074937102</v>
      </c>
      <c r="V3278">
        <v>0.16845045707485301</v>
      </c>
      <c r="W3278">
        <v>0.31862868870320499</v>
      </c>
      <c r="X3278">
        <v>0</v>
      </c>
      <c r="Y3278">
        <v>0</v>
      </c>
    </row>
    <row r="3279" spans="1:25" x14ac:dyDescent="0.2">
      <c r="A3279" t="s">
        <v>12115</v>
      </c>
      <c r="B3279" t="s">
        <v>12116</v>
      </c>
      <c r="C3279" t="s">
        <v>12117</v>
      </c>
      <c r="D3279" t="s">
        <v>11396</v>
      </c>
      <c r="E3279" t="s">
        <v>12116</v>
      </c>
      <c r="F3279" t="s">
        <v>28</v>
      </c>
      <c r="G3279" t="s">
        <v>12116</v>
      </c>
      <c r="H3279" t="str">
        <f>"vps-4"</f>
        <v>vps-4</v>
      </c>
      <c r="I3279" t="s">
        <v>11396</v>
      </c>
      <c r="J3279">
        <v>14.001028592136199</v>
      </c>
      <c r="K3279">
        <v>13.677221626359501</v>
      </c>
      <c r="L3279">
        <v>13.781312779574399</v>
      </c>
      <c r="M3279" t="s">
        <v>29</v>
      </c>
      <c r="N3279">
        <v>13.422713505739001</v>
      </c>
      <c r="O3279">
        <v>14.3184186208307</v>
      </c>
      <c r="P3279">
        <v>5.0711730594793301E-2</v>
      </c>
      <c r="Q3279">
        <v>-0.46418219944956102</v>
      </c>
      <c r="R3279">
        <v>0.56560566063914797</v>
      </c>
      <c r="S3279">
        <v>13.833368764572599</v>
      </c>
      <c r="T3279">
        <v>0.20789338596658699</v>
      </c>
      <c r="U3279">
        <v>-7.0227856536112503</v>
      </c>
      <c r="V3279">
        <v>0.837797617583108</v>
      </c>
      <c r="W3279">
        <v>0.89716191098016695</v>
      </c>
      <c r="X3279">
        <v>0</v>
      </c>
      <c r="Y3279">
        <v>0</v>
      </c>
    </row>
    <row r="3280" spans="1:25" x14ac:dyDescent="0.2">
      <c r="A3280" t="s">
        <v>12118</v>
      </c>
      <c r="B3280" t="s">
        <v>12119</v>
      </c>
      <c r="C3280" t="s">
        <v>12120</v>
      </c>
      <c r="D3280" t="s">
        <v>12121</v>
      </c>
      <c r="E3280" t="s">
        <v>12119</v>
      </c>
      <c r="F3280" t="s">
        <v>28</v>
      </c>
      <c r="G3280" t="s">
        <v>12119</v>
      </c>
      <c r="H3280" t="str">
        <f>"mrpl-38"</f>
        <v>mrpl-38</v>
      </c>
      <c r="I3280" t="s">
        <v>12121</v>
      </c>
      <c r="J3280">
        <v>13.4660725846033</v>
      </c>
      <c r="K3280">
        <v>14.0194837198574</v>
      </c>
      <c r="L3280">
        <v>14.0867492669109</v>
      </c>
      <c r="M3280" t="s">
        <v>29</v>
      </c>
      <c r="N3280">
        <v>11.7803809738667</v>
      </c>
      <c r="O3280">
        <v>14.148833028095799</v>
      </c>
      <c r="P3280">
        <v>-0.892828189475944</v>
      </c>
      <c r="Q3280">
        <v>-1.8930689766367601</v>
      </c>
      <c r="R3280">
        <v>0.107412597684874</v>
      </c>
      <c r="S3280">
        <v>13.990408209871401</v>
      </c>
      <c r="T3280">
        <v>-1.8841407697356101</v>
      </c>
      <c r="U3280">
        <v>-5.3529869438294204</v>
      </c>
      <c r="V3280">
        <v>7.6872316991992304E-2</v>
      </c>
      <c r="W3280">
        <v>0.18297575368444199</v>
      </c>
      <c r="X3280">
        <v>0</v>
      </c>
      <c r="Y3280">
        <v>0</v>
      </c>
    </row>
    <row r="3281" spans="1:25" x14ac:dyDescent="0.2">
      <c r="A3281" t="s">
        <v>12122</v>
      </c>
      <c r="B3281" t="s">
        <v>12123</v>
      </c>
      <c r="C3281" t="s">
        <v>14653</v>
      </c>
      <c r="D3281" t="s">
        <v>12124</v>
      </c>
      <c r="E3281" t="s">
        <v>12123</v>
      </c>
      <c r="F3281" t="s">
        <v>28</v>
      </c>
      <c r="G3281" t="s">
        <v>12123</v>
      </c>
      <c r="H3281" t="str">
        <f>"Y18H1A.4"</f>
        <v>Y18H1A.4</v>
      </c>
      <c r="I3281" t="s">
        <v>12124</v>
      </c>
      <c r="J3281">
        <v>11.6775591019532</v>
      </c>
      <c r="K3281">
        <v>11.1808932125789</v>
      </c>
      <c r="L3281" t="s">
        <v>29</v>
      </c>
      <c r="M3281">
        <v>13.4595921016881</v>
      </c>
      <c r="N3281">
        <v>14.3336800796641</v>
      </c>
      <c r="O3281">
        <v>13.5251681713666</v>
      </c>
      <c r="P3281">
        <v>2.3435872936402098</v>
      </c>
      <c r="Q3281">
        <v>1.4462217894417799</v>
      </c>
      <c r="R3281">
        <v>3.2409527978386401</v>
      </c>
      <c r="S3281">
        <v>13.042444222842599</v>
      </c>
      <c r="T3281">
        <v>5.5126672284763298</v>
      </c>
      <c r="U3281">
        <v>2.0440220857175899</v>
      </c>
      <c r="V3281" s="2">
        <v>3.88954978632701E-5</v>
      </c>
      <c r="W3281">
        <v>8.4283111914012501E-4</v>
      </c>
      <c r="X3281">
        <v>1</v>
      </c>
      <c r="Y3281">
        <v>1</v>
      </c>
    </row>
    <row r="3282" spans="1:25" x14ac:dyDescent="0.2">
      <c r="A3282" t="s">
        <v>12125</v>
      </c>
      <c r="B3282" t="s">
        <v>12126</v>
      </c>
      <c r="C3282" t="s">
        <v>12127</v>
      </c>
      <c r="D3282" t="s">
        <v>603</v>
      </c>
      <c r="E3282" t="s">
        <v>12126</v>
      </c>
      <c r="F3282" t="s">
        <v>28</v>
      </c>
      <c r="G3282" t="s">
        <v>12126</v>
      </c>
      <c r="H3282" t="str">
        <f>"fubl-3"</f>
        <v>fubl-3</v>
      </c>
      <c r="I3282" t="s">
        <v>603</v>
      </c>
      <c r="J3282" t="s">
        <v>29</v>
      </c>
      <c r="K3282">
        <v>12.043416512748101</v>
      </c>
      <c r="L3282">
        <v>11.4177625346931</v>
      </c>
      <c r="M3282" t="s">
        <v>29</v>
      </c>
      <c r="N3282" t="s">
        <v>29</v>
      </c>
      <c r="O3282">
        <v>11.862815485094799</v>
      </c>
      <c r="P3282">
        <v>0.132225961374171</v>
      </c>
      <c r="Q3282">
        <v>-0.84597890059300196</v>
      </c>
      <c r="R3282">
        <v>1.11043082334134</v>
      </c>
      <c r="S3282">
        <v>11.9709833911198</v>
      </c>
      <c r="T3282">
        <v>0.29012076173127499</v>
      </c>
      <c r="U3282">
        <v>-6.7101723145992596</v>
      </c>
      <c r="V3282">
        <v>0.77600843677451703</v>
      </c>
      <c r="W3282">
        <v>0.85812265034690505</v>
      </c>
      <c r="X3282">
        <v>0</v>
      </c>
      <c r="Y3282">
        <v>0</v>
      </c>
    </row>
    <row r="3283" spans="1:25" x14ac:dyDescent="0.2">
      <c r="A3283" t="s">
        <v>12128</v>
      </c>
      <c r="B3283" t="s">
        <v>12129</v>
      </c>
      <c r="C3283" t="s">
        <v>12130</v>
      </c>
      <c r="D3283" t="s">
        <v>12131</v>
      </c>
      <c r="E3283" t="s">
        <v>12129</v>
      </c>
      <c r="F3283" t="s">
        <v>28</v>
      </c>
      <c r="G3283" t="s">
        <v>12129</v>
      </c>
      <c r="H3283" t="str">
        <f>"mog-2"</f>
        <v>mog-2</v>
      </c>
      <c r="I3283" t="s">
        <v>12131</v>
      </c>
      <c r="J3283">
        <v>12.4066455254126</v>
      </c>
      <c r="K3283">
        <v>11.784437680438799</v>
      </c>
      <c r="L3283">
        <v>12.653163523036101</v>
      </c>
      <c r="M3283" t="s">
        <v>29</v>
      </c>
      <c r="N3283" t="s">
        <v>29</v>
      </c>
      <c r="O3283">
        <v>12.180662928737901</v>
      </c>
      <c r="P3283">
        <v>-0.100752647557872</v>
      </c>
      <c r="Q3283">
        <v>-1.3577875481961901</v>
      </c>
      <c r="R3283">
        <v>1.15628225308045</v>
      </c>
      <c r="S3283">
        <v>12.5240315600801</v>
      </c>
      <c r="T3283">
        <v>-0.17000381265704201</v>
      </c>
      <c r="U3283">
        <v>-6.7975368334362898</v>
      </c>
      <c r="V3283">
        <v>0.86715208062374804</v>
      </c>
      <c r="W3283">
        <v>0.917490665558093</v>
      </c>
      <c r="X3283">
        <v>0</v>
      </c>
      <c r="Y3283">
        <v>0</v>
      </c>
    </row>
    <row r="3284" spans="1:25" x14ac:dyDescent="0.2">
      <c r="A3284" t="s">
        <v>12132</v>
      </c>
      <c r="B3284" t="s">
        <v>12133</v>
      </c>
      <c r="C3284" t="s">
        <v>12134</v>
      </c>
      <c r="D3284" t="s">
        <v>12135</v>
      </c>
      <c r="E3284" t="s">
        <v>12133</v>
      </c>
      <c r="F3284" t="s">
        <v>28</v>
      </c>
      <c r="G3284" t="s">
        <v>12133</v>
      </c>
      <c r="H3284" t="str">
        <f>"atln-1"</f>
        <v>atln-1</v>
      </c>
      <c r="I3284" t="s">
        <v>12135</v>
      </c>
      <c r="J3284">
        <v>14.5474433760749</v>
      </c>
      <c r="K3284">
        <v>14.132102450580501</v>
      </c>
      <c r="L3284">
        <v>14.265310018902101</v>
      </c>
      <c r="M3284" t="s">
        <v>29</v>
      </c>
      <c r="N3284">
        <v>14.228961852282399</v>
      </c>
      <c r="O3284">
        <v>14.133374204535601</v>
      </c>
      <c r="P3284">
        <v>-0.13378392011020401</v>
      </c>
      <c r="Q3284">
        <v>-0.58500632628052296</v>
      </c>
      <c r="R3284">
        <v>0.31743848606011399</v>
      </c>
      <c r="S3284">
        <v>14.130840142117799</v>
      </c>
      <c r="T3284">
        <v>-0.62583993692456097</v>
      </c>
      <c r="U3284">
        <v>-6.84195704578421</v>
      </c>
      <c r="V3284">
        <v>0.53978324596059102</v>
      </c>
      <c r="W3284">
        <v>0.68714523794637605</v>
      </c>
      <c r="X3284">
        <v>0</v>
      </c>
      <c r="Y3284">
        <v>0</v>
      </c>
    </row>
    <row r="3285" spans="1:25" x14ac:dyDescent="0.2">
      <c r="A3285" t="s">
        <v>12136</v>
      </c>
      <c r="B3285" t="s">
        <v>12137</v>
      </c>
      <c r="C3285" t="s">
        <v>12138</v>
      </c>
      <c r="D3285" t="s">
        <v>1151</v>
      </c>
      <c r="E3285" t="s">
        <v>12137</v>
      </c>
      <c r="F3285" t="s">
        <v>28</v>
      </c>
      <c r="G3285" t="s">
        <v>12137</v>
      </c>
      <c r="H3285" t="str">
        <f>"zig-11"</f>
        <v>zig-11</v>
      </c>
      <c r="I3285" t="s">
        <v>1151</v>
      </c>
      <c r="J3285">
        <v>13.802212393599101</v>
      </c>
      <c r="K3285">
        <v>13.688231320540501</v>
      </c>
      <c r="L3285">
        <v>13.280629846918201</v>
      </c>
      <c r="M3285" t="s">
        <v>29</v>
      </c>
      <c r="N3285">
        <v>12.8140018969646</v>
      </c>
      <c r="O3285">
        <v>12.7999701996591</v>
      </c>
      <c r="P3285">
        <v>-0.78337180537411999</v>
      </c>
      <c r="Q3285">
        <v>-1.3026072614111099</v>
      </c>
      <c r="R3285">
        <v>-0.26413634933713398</v>
      </c>
      <c r="S3285">
        <v>12.9113151554215</v>
      </c>
      <c r="T3285">
        <v>-3.1845906021437398</v>
      </c>
      <c r="U3285">
        <v>-2.8784647395330301</v>
      </c>
      <c r="V3285">
        <v>5.4574353669141398E-3</v>
      </c>
      <c r="W3285">
        <v>2.9838705058062999E-2</v>
      </c>
      <c r="X3285">
        <v>0</v>
      </c>
      <c r="Y3285">
        <v>0</v>
      </c>
    </row>
    <row r="3286" spans="1:25" x14ac:dyDescent="0.2">
      <c r="A3286" t="s">
        <v>12139</v>
      </c>
      <c r="B3286" t="s">
        <v>12140</v>
      </c>
      <c r="C3286" t="s">
        <v>12141</v>
      </c>
      <c r="D3286" t="s">
        <v>12142</v>
      </c>
      <c r="E3286" t="s">
        <v>12140</v>
      </c>
      <c r="F3286" t="s">
        <v>28</v>
      </c>
      <c r="G3286" t="s">
        <v>12140</v>
      </c>
      <c r="H3286" t="str">
        <f>"mrpl-15"</f>
        <v>mrpl-15</v>
      </c>
      <c r="I3286" t="s">
        <v>12142</v>
      </c>
      <c r="J3286">
        <v>14.441721214284099</v>
      </c>
      <c r="K3286">
        <v>14.520174540039701</v>
      </c>
      <c r="L3286">
        <v>14.7446776450782</v>
      </c>
      <c r="M3286" t="s">
        <v>29</v>
      </c>
      <c r="N3286">
        <v>13.167841591905599</v>
      </c>
      <c r="O3286">
        <v>13.803277831191</v>
      </c>
      <c r="P3286">
        <v>-1.08329808825237</v>
      </c>
      <c r="Q3286">
        <v>-1.62618297699093</v>
      </c>
      <c r="R3286">
        <v>-0.54041319951380695</v>
      </c>
      <c r="S3286">
        <v>14.7209333330701</v>
      </c>
      <c r="T3286">
        <v>-4.2120181767093596</v>
      </c>
      <c r="U3286">
        <v>-0.69189328298346398</v>
      </c>
      <c r="V3286">
        <v>5.9345644260195402E-4</v>
      </c>
      <c r="W3286">
        <v>6.2685166177346204E-3</v>
      </c>
      <c r="X3286">
        <v>-1</v>
      </c>
      <c r="Y3286">
        <v>-1</v>
      </c>
    </row>
    <row r="3287" spans="1:25" x14ac:dyDescent="0.2">
      <c r="A3287" t="s">
        <v>12143</v>
      </c>
      <c r="B3287" t="s">
        <v>12144</v>
      </c>
      <c r="C3287" t="s">
        <v>14654</v>
      </c>
      <c r="D3287" t="s">
        <v>4425</v>
      </c>
      <c r="E3287" t="s">
        <v>12144</v>
      </c>
      <c r="F3287" t="s">
        <v>28</v>
      </c>
      <c r="G3287" t="s">
        <v>12144</v>
      </c>
      <c r="H3287" t="str">
        <f>"Y92H12BR.2"</f>
        <v>Y92H12BR.2</v>
      </c>
      <c r="I3287" t="s">
        <v>4425</v>
      </c>
      <c r="J3287">
        <v>12.630107623142001</v>
      </c>
      <c r="K3287">
        <v>14.106763696655801</v>
      </c>
      <c r="L3287">
        <v>13.9143278892689</v>
      </c>
      <c r="M3287" t="s">
        <v>29</v>
      </c>
      <c r="N3287" t="s">
        <v>29</v>
      </c>
      <c r="O3287">
        <v>13.017931378570999</v>
      </c>
      <c r="P3287">
        <v>-0.53246835778452395</v>
      </c>
      <c r="Q3287">
        <v>-1.5113552060241899</v>
      </c>
      <c r="R3287">
        <v>0.44641849045514298</v>
      </c>
      <c r="S3287">
        <v>13.7175654969974</v>
      </c>
      <c r="T3287">
        <v>-1.16012000802173</v>
      </c>
      <c r="U3287">
        <v>-6.1337029249256299</v>
      </c>
      <c r="V3287">
        <v>0.264258010604422</v>
      </c>
      <c r="W3287">
        <v>0.431211714978533</v>
      </c>
      <c r="X3287">
        <v>0</v>
      </c>
      <c r="Y3287">
        <v>0</v>
      </c>
    </row>
    <row r="3288" spans="1:25" x14ac:dyDescent="0.2">
      <c r="A3288" t="s">
        <v>12145</v>
      </c>
      <c r="B3288" t="s">
        <v>12146</v>
      </c>
      <c r="C3288" t="s">
        <v>12147</v>
      </c>
      <c r="D3288" t="s">
        <v>12148</v>
      </c>
      <c r="E3288" t="s">
        <v>12146</v>
      </c>
      <c r="F3288" t="s">
        <v>28</v>
      </c>
      <c r="G3288" t="s">
        <v>12146</v>
      </c>
      <c r="H3288" t="str">
        <f>"uggt-1"</f>
        <v>uggt-1</v>
      </c>
      <c r="I3288" t="s">
        <v>12148</v>
      </c>
      <c r="J3288">
        <v>12.9458465166285</v>
      </c>
      <c r="K3288">
        <v>12.918703090112301</v>
      </c>
      <c r="L3288">
        <v>12.5371032377115</v>
      </c>
      <c r="M3288" t="s">
        <v>29</v>
      </c>
      <c r="N3288">
        <v>12.412101932252799</v>
      </c>
      <c r="O3288">
        <v>12.6663432781474</v>
      </c>
      <c r="P3288">
        <v>-0.26132834295067298</v>
      </c>
      <c r="Q3288">
        <v>-0.83274404179495998</v>
      </c>
      <c r="R3288">
        <v>0.31008735589361403</v>
      </c>
      <c r="S3288">
        <v>12.5341682162284</v>
      </c>
      <c r="T3288">
        <v>-0.96534901986130095</v>
      </c>
      <c r="U3288">
        <v>-6.5687487047425401</v>
      </c>
      <c r="V3288">
        <v>0.34798577520742502</v>
      </c>
      <c r="W3288">
        <v>0.51819812002844001</v>
      </c>
      <c r="X3288">
        <v>0</v>
      </c>
      <c r="Y3288">
        <v>0</v>
      </c>
    </row>
    <row r="3289" spans="1:25" x14ac:dyDescent="0.2">
      <c r="A3289" t="s">
        <v>12149</v>
      </c>
      <c r="B3289" t="s">
        <v>12150</v>
      </c>
      <c r="C3289" t="s">
        <v>12151</v>
      </c>
      <c r="D3289" t="s">
        <v>12152</v>
      </c>
      <c r="E3289" t="s">
        <v>12150</v>
      </c>
      <c r="F3289" t="s">
        <v>28</v>
      </c>
      <c r="G3289" t="s">
        <v>12150</v>
      </c>
      <c r="H3289" t="str">
        <f>"rpb-10"</f>
        <v>rpb-10</v>
      </c>
      <c r="I3289" t="s">
        <v>12152</v>
      </c>
      <c r="J3289" t="s">
        <v>29</v>
      </c>
      <c r="K3289" t="s">
        <v>29</v>
      </c>
      <c r="L3289" t="s">
        <v>29</v>
      </c>
      <c r="M3289" t="s">
        <v>29</v>
      </c>
      <c r="N3289" t="s">
        <v>29</v>
      </c>
      <c r="O3289" t="s">
        <v>29</v>
      </c>
      <c r="P3289" t="s">
        <v>29</v>
      </c>
      <c r="Q3289" t="s">
        <v>29</v>
      </c>
      <c r="R3289" t="s">
        <v>29</v>
      </c>
      <c r="S3289">
        <v>10.666302310768501</v>
      </c>
      <c r="T3289" t="s">
        <v>29</v>
      </c>
      <c r="U3289" t="s">
        <v>29</v>
      </c>
      <c r="V3289" t="s">
        <v>29</v>
      </c>
      <c r="W3289" t="s">
        <v>29</v>
      </c>
      <c r="X3289" t="s">
        <v>29</v>
      </c>
      <c r="Y3289" t="s">
        <v>29</v>
      </c>
    </row>
    <row r="3290" spans="1:25" x14ac:dyDescent="0.2">
      <c r="A3290" t="s">
        <v>12153</v>
      </c>
      <c r="B3290" t="s">
        <v>12154</v>
      </c>
      <c r="C3290" t="s">
        <v>12155</v>
      </c>
      <c r="D3290" t="s">
        <v>12156</v>
      </c>
      <c r="E3290" t="s">
        <v>12154</v>
      </c>
      <c r="F3290" t="s">
        <v>28</v>
      </c>
      <c r="G3290" t="s">
        <v>12154</v>
      </c>
      <c r="H3290" t="str">
        <f>"ebp-1"</f>
        <v>ebp-1</v>
      </c>
      <c r="I3290" t="s">
        <v>12156</v>
      </c>
      <c r="J3290">
        <v>12.289882518292799</v>
      </c>
      <c r="K3290">
        <v>12.8091824552885</v>
      </c>
      <c r="L3290">
        <v>12.7243370485758</v>
      </c>
      <c r="M3290" t="s">
        <v>29</v>
      </c>
      <c r="N3290" t="s">
        <v>29</v>
      </c>
      <c r="O3290">
        <v>10.657348829959</v>
      </c>
      <c r="P3290">
        <v>-1.95045184409339</v>
      </c>
      <c r="Q3290">
        <v>-2.67574619655253</v>
      </c>
      <c r="R3290">
        <v>-1.22515749163426</v>
      </c>
      <c r="S3290">
        <v>12.500836389233401</v>
      </c>
      <c r="T3290">
        <v>-5.7038811307055104</v>
      </c>
      <c r="U3290">
        <v>2.39616801715021</v>
      </c>
      <c r="V3290" s="2">
        <v>3.3440390074073599E-5</v>
      </c>
      <c r="W3290">
        <v>7.4096864322026302E-4</v>
      </c>
      <c r="X3290">
        <v>-1</v>
      </c>
      <c r="Y3290">
        <v>-1</v>
      </c>
    </row>
    <row r="3291" spans="1:25" x14ac:dyDescent="0.2">
      <c r="A3291" t="s">
        <v>12157</v>
      </c>
      <c r="B3291" t="s">
        <v>12158</v>
      </c>
      <c r="C3291" t="s">
        <v>12159</v>
      </c>
      <c r="D3291" t="s">
        <v>12160</v>
      </c>
      <c r="E3291" t="s">
        <v>12158</v>
      </c>
      <c r="F3291" t="s">
        <v>28</v>
      </c>
      <c r="G3291" t="s">
        <v>12158</v>
      </c>
      <c r="H3291" t="str">
        <f>"prp-6"</f>
        <v>prp-6</v>
      </c>
      <c r="I3291" t="s">
        <v>12160</v>
      </c>
      <c r="J3291">
        <v>13.166232995830599</v>
      </c>
      <c r="K3291">
        <v>12.8390179454542</v>
      </c>
      <c r="L3291">
        <v>12.924970214705001</v>
      </c>
      <c r="M3291" t="s">
        <v>29</v>
      </c>
      <c r="N3291">
        <v>13.7894617649855</v>
      </c>
      <c r="O3291">
        <v>13.912724922132799</v>
      </c>
      <c r="P3291">
        <v>0.87435295822919901</v>
      </c>
      <c r="Q3291">
        <v>0.28209301131216102</v>
      </c>
      <c r="R3291">
        <v>1.46661290514624</v>
      </c>
      <c r="S3291">
        <v>13.701327352236101</v>
      </c>
      <c r="T3291">
        <v>3.1161936160709498</v>
      </c>
      <c r="U3291">
        <v>-3.0205430174176802</v>
      </c>
      <c r="V3291">
        <v>6.3187236911220503E-3</v>
      </c>
      <c r="W3291">
        <v>3.3157540567137399E-2</v>
      </c>
      <c r="X3291">
        <v>0</v>
      </c>
      <c r="Y3291">
        <v>0</v>
      </c>
    </row>
    <row r="3292" spans="1:25" x14ac:dyDescent="0.2">
      <c r="A3292" t="s">
        <v>12161</v>
      </c>
      <c r="B3292" t="s">
        <v>12162</v>
      </c>
      <c r="C3292" t="s">
        <v>12163</v>
      </c>
      <c r="D3292" t="s">
        <v>844</v>
      </c>
      <c r="E3292" t="s">
        <v>12162</v>
      </c>
      <c r="F3292" t="s">
        <v>28</v>
      </c>
      <c r="G3292" t="s">
        <v>12162</v>
      </c>
      <c r="H3292" t="str">
        <f>"phf-14"</f>
        <v>phf-14</v>
      </c>
      <c r="I3292" t="s">
        <v>844</v>
      </c>
      <c r="J3292" t="s">
        <v>29</v>
      </c>
      <c r="K3292" t="s">
        <v>29</v>
      </c>
      <c r="L3292" t="s">
        <v>29</v>
      </c>
      <c r="M3292">
        <v>13.1180579244171</v>
      </c>
      <c r="N3292" t="s">
        <v>29</v>
      </c>
      <c r="O3292" t="s">
        <v>29</v>
      </c>
      <c r="P3292" t="s">
        <v>29</v>
      </c>
      <c r="Q3292" t="s">
        <v>29</v>
      </c>
      <c r="R3292" t="s">
        <v>29</v>
      </c>
      <c r="S3292">
        <v>12.1931349812289</v>
      </c>
      <c r="T3292" t="s">
        <v>29</v>
      </c>
      <c r="U3292" t="s">
        <v>29</v>
      </c>
      <c r="V3292" t="s">
        <v>29</v>
      </c>
      <c r="W3292" t="s">
        <v>29</v>
      </c>
      <c r="X3292" t="s">
        <v>29</v>
      </c>
      <c r="Y3292" t="s">
        <v>29</v>
      </c>
    </row>
    <row r="3293" spans="1:25" x14ac:dyDescent="0.2">
      <c r="A3293" t="s">
        <v>12164</v>
      </c>
      <c r="B3293" t="s">
        <v>12165</v>
      </c>
      <c r="C3293" t="s">
        <v>12166</v>
      </c>
      <c r="D3293" t="s">
        <v>12167</v>
      </c>
      <c r="E3293" t="s">
        <v>12165</v>
      </c>
      <c r="F3293" t="s">
        <v>28</v>
      </c>
      <c r="G3293" t="s">
        <v>12165</v>
      </c>
      <c r="H3293" t="str">
        <f>"tcc-1"</f>
        <v>tcc-1</v>
      </c>
      <c r="I3293" t="s">
        <v>12167</v>
      </c>
      <c r="J3293">
        <v>11.4934277802727</v>
      </c>
      <c r="K3293">
        <v>10.961193430925199</v>
      </c>
      <c r="L3293">
        <v>11.2350915497254</v>
      </c>
      <c r="M3293" t="s">
        <v>29</v>
      </c>
      <c r="N3293" t="s">
        <v>29</v>
      </c>
      <c r="O3293">
        <v>10.429188159812099</v>
      </c>
      <c r="P3293">
        <v>-0.80071609382897102</v>
      </c>
      <c r="Q3293">
        <v>-2.0747840502492298</v>
      </c>
      <c r="R3293">
        <v>0.47335186259128698</v>
      </c>
      <c r="S3293">
        <v>11.414854518408299</v>
      </c>
      <c r="T3293">
        <v>-1.34037886215267</v>
      </c>
      <c r="U3293">
        <v>-5.9189863721176801</v>
      </c>
      <c r="V3293">
        <v>0.20020998801734299</v>
      </c>
      <c r="W3293">
        <v>0.35921894311005398</v>
      </c>
      <c r="X3293">
        <v>0</v>
      </c>
      <c r="Y3293">
        <v>0</v>
      </c>
    </row>
    <row r="3294" spans="1:25" x14ac:dyDescent="0.2">
      <c r="A3294" t="s">
        <v>12168</v>
      </c>
      <c r="B3294" t="s">
        <v>12169</v>
      </c>
      <c r="C3294" t="s">
        <v>12170</v>
      </c>
      <c r="D3294" t="s">
        <v>12171</v>
      </c>
      <c r="E3294" t="s">
        <v>12169</v>
      </c>
      <c r="F3294" t="s">
        <v>28</v>
      </c>
      <c r="G3294" t="s">
        <v>12169</v>
      </c>
      <c r="H3294" t="str">
        <f>"csn-1"</f>
        <v>csn-1</v>
      </c>
      <c r="I3294" t="s">
        <v>12171</v>
      </c>
      <c r="J3294">
        <v>13.3819368363758</v>
      </c>
      <c r="K3294">
        <v>13.094198897416099</v>
      </c>
      <c r="L3294">
        <v>12.817733663077099</v>
      </c>
      <c r="M3294" t="s">
        <v>29</v>
      </c>
      <c r="N3294">
        <v>13.3770078663759</v>
      </c>
      <c r="O3294">
        <v>13.787518905308801</v>
      </c>
      <c r="P3294">
        <v>0.48430692021937599</v>
      </c>
      <c r="Q3294">
        <v>-2.7024603237593699E-3</v>
      </c>
      <c r="R3294">
        <v>0.97131630076251196</v>
      </c>
      <c r="S3294">
        <v>13.1651668475217</v>
      </c>
      <c r="T3294">
        <v>2.0991011248992599</v>
      </c>
      <c r="U3294">
        <v>-4.9892668343838604</v>
      </c>
      <c r="V3294">
        <v>5.1145970072637E-2</v>
      </c>
      <c r="W3294">
        <v>0.138155063065134</v>
      </c>
      <c r="X3294">
        <v>0</v>
      </c>
      <c r="Y3294">
        <v>0</v>
      </c>
    </row>
    <row r="3295" spans="1:25" x14ac:dyDescent="0.2">
      <c r="A3295" t="s">
        <v>12172</v>
      </c>
      <c r="B3295" t="s">
        <v>12173</v>
      </c>
      <c r="C3295" t="s">
        <v>12174</v>
      </c>
      <c r="D3295" t="s">
        <v>12175</v>
      </c>
      <c r="E3295" t="s">
        <v>12173</v>
      </c>
      <c r="F3295" t="s">
        <v>28</v>
      </c>
      <c r="G3295" t="s">
        <v>12173</v>
      </c>
      <c r="H3295" t="str">
        <f>"zyg-1"</f>
        <v>zyg-1</v>
      </c>
      <c r="I3295" t="s">
        <v>12175</v>
      </c>
      <c r="J3295" t="s">
        <v>29</v>
      </c>
      <c r="K3295" t="s">
        <v>29</v>
      </c>
      <c r="L3295" t="s">
        <v>29</v>
      </c>
      <c r="M3295" t="s">
        <v>29</v>
      </c>
      <c r="N3295" t="s">
        <v>29</v>
      </c>
      <c r="O3295" t="s">
        <v>29</v>
      </c>
      <c r="P3295" t="s">
        <v>29</v>
      </c>
      <c r="Q3295" t="s">
        <v>29</v>
      </c>
      <c r="R3295" t="s">
        <v>29</v>
      </c>
      <c r="S3295">
        <v>10.4601143270206</v>
      </c>
      <c r="T3295" t="s">
        <v>29</v>
      </c>
      <c r="U3295" t="s">
        <v>29</v>
      </c>
      <c r="V3295" t="s">
        <v>29</v>
      </c>
      <c r="W3295" t="s">
        <v>29</v>
      </c>
      <c r="X3295" t="s">
        <v>29</v>
      </c>
      <c r="Y3295" t="s">
        <v>29</v>
      </c>
    </row>
    <row r="3296" spans="1:25" x14ac:dyDescent="0.2">
      <c r="A3296" t="s">
        <v>12176</v>
      </c>
      <c r="B3296" t="s">
        <v>12177</v>
      </c>
      <c r="C3296" t="s">
        <v>12178</v>
      </c>
      <c r="D3296" t="s">
        <v>12124</v>
      </c>
      <c r="E3296" t="s">
        <v>12177</v>
      </c>
      <c r="F3296" t="s">
        <v>28</v>
      </c>
      <c r="G3296" t="s">
        <v>12177</v>
      </c>
      <c r="H3296" t="str">
        <f>"acp-6"</f>
        <v>acp-6</v>
      </c>
      <c r="I3296" t="s">
        <v>12124</v>
      </c>
      <c r="J3296">
        <v>13.319574620964399</v>
      </c>
      <c r="K3296">
        <v>13.3294704266584</v>
      </c>
      <c r="L3296">
        <v>12.8534570830208</v>
      </c>
      <c r="M3296">
        <v>13.7374736689847</v>
      </c>
      <c r="N3296">
        <v>13.762889368281099</v>
      </c>
      <c r="O3296">
        <v>13.205446259688699</v>
      </c>
      <c r="P3296">
        <v>0.40110238877029802</v>
      </c>
      <c r="Q3296">
        <v>-0.24498840422113499</v>
      </c>
      <c r="R3296">
        <v>1.0471931817617299</v>
      </c>
      <c r="S3296">
        <v>13.665038480169599</v>
      </c>
      <c r="T3296">
        <v>1.3048308295786799</v>
      </c>
      <c r="U3296">
        <v>-6.3030242250189303</v>
      </c>
      <c r="V3296">
        <v>0.20848160348619599</v>
      </c>
      <c r="W3296">
        <v>0.36967225359435602</v>
      </c>
      <c r="X3296">
        <v>0</v>
      </c>
      <c r="Y3296">
        <v>0</v>
      </c>
    </row>
    <row r="3297" spans="1:25" x14ac:dyDescent="0.2">
      <c r="A3297" t="s">
        <v>12179</v>
      </c>
      <c r="B3297" t="s">
        <v>12180</v>
      </c>
      <c r="C3297" t="s">
        <v>12181</v>
      </c>
      <c r="D3297" t="s">
        <v>12182</v>
      </c>
      <c r="E3297" t="s">
        <v>12180</v>
      </c>
      <c r="F3297" t="s">
        <v>28</v>
      </c>
      <c r="G3297" t="s">
        <v>12180</v>
      </c>
      <c r="H3297" t="str">
        <f>"aatf-1"</f>
        <v>aatf-1</v>
      </c>
      <c r="I3297" t="s">
        <v>12182</v>
      </c>
      <c r="J3297" t="s">
        <v>29</v>
      </c>
      <c r="K3297" t="s">
        <v>29</v>
      </c>
      <c r="L3297" t="s">
        <v>29</v>
      </c>
      <c r="M3297" t="s">
        <v>29</v>
      </c>
      <c r="N3297" t="s">
        <v>29</v>
      </c>
      <c r="O3297" t="s">
        <v>29</v>
      </c>
      <c r="P3297" t="s">
        <v>29</v>
      </c>
      <c r="Q3297" t="s">
        <v>29</v>
      </c>
      <c r="R3297" t="s">
        <v>29</v>
      </c>
      <c r="S3297">
        <v>10.0912659644897</v>
      </c>
      <c r="T3297" t="s">
        <v>29</v>
      </c>
      <c r="U3297" t="s">
        <v>29</v>
      </c>
      <c r="V3297" t="s">
        <v>29</v>
      </c>
      <c r="W3297" t="s">
        <v>29</v>
      </c>
      <c r="X3297" t="s">
        <v>29</v>
      </c>
      <c r="Y3297" t="s">
        <v>29</v>
      </c>
    </row>
    <row r="3298" spans="1:25" x14ac:dyDescent="0.2">
      <c r="A3298" t="s">
        <v>12183</v>
      </c>
      <c r="B3298" t="s">
        <v>12184</v>
      </c>
      <c r="C3298" t="s">
        <v>12185</v>
      </c>
      <c r="D3298" t="s">
        <v>12186</v>
      </c>
      <c r="E3298" t="s">
        <v>12184</v>
      </c>
      <c r="F3298" t="s">
        <v>28</v>
      </c>
      <c r="G3298" t="s">
        <v>12184</v>
      </c>
      <c r="H3298" t="str">
        <f>"unc-27"</f>
        <v>unc-27</v>
      </c>
      <c r="I3298" t="s">
        <v>12186</v>
      </c>
      <c r="J3298">
        <v>15.0508911206866</v>
      </c>
      <c r="K3298">
        <v>14.804436542842099</v>
      </c>
      <c r="L3298">
        <v>14.4982689951855</v>
      </c>
      <c r="M3298">
        <v>15.179959277862</v>
      </c>
      <c r="N3298">
        <v>15.200826030768299</v>
      </c>
      <c r="O3298">
        <v>14.8305244581935</v>
      </c>
      <c r="P3298">
        <v>0.28590436936988101</v>
      </c>
      <c r="Q3298">
        <v>-0.260181633633637</v>
      </c>
      <c r="R3298">
        <v>0.83199037237339801</v>
      </c>
      <c r="S3298">
        <v>14.3968483038988</v>
      </c>
      <c r="T3298">
        <v>1.10512081935465</v>
      </c>
      <c r="U3298">
        <v>-6.5356762662395704</v>
      </c>
      <c r="V3298">
        <v>0.28459716384013301</v>
      </c>
      <c r="W3298">
        <v>0.45244202833223102</v>
      </c>
      <c r="X3298">
        <v>0</v>
      </c>
      <c r="Y3298">
        <v>0</v>
      </c>
    </row>
    <row r="3299" spans="1:25" x14ac:dyDescent="0.2">
      <c r="A3299" t="s">
        <v>12187</v>
      </c>
      <c r="B3299" t="s">
        <v>12188</v>
      </c>
      <c r="C3299" t="s">
        <v>12189</v>
      </c>
      <c r="D3299" t="s">
        <v>130</v>
      </c>
      <c r="E3299" t="s">
        <v>12188</v>
      </c>
      <c r="F3299" t="s">
        <v>28</v>
      </c>
      <c r="G3299" t="s">
        <v>12188</v>
      </c>
      <c r="H3299" t="str">
        <f>"ztf-8"</f>
        <v>ztf-8</v>
      </c>
      <c r="I3299" t="s">
        <v>130</v>
      </c>
      <c r="J3299" t="s">
        <v>29</v>
      </c>
      <c r="K3299" t="s">
        <v>29</v>
      </c>
      <c r="L3299">
        <v>12.4746974246961</v>
      </c>
      <c r="M3299" t="s">
        <v>29</v>
      </c>
      <c r="N3299" t="s">
        <v>29</v>
      </c>
      <c r="O3299" t="s">
        <v>29</v>
      </c>
      <c r="P3299" t="s">
        <v>29</v>
      </c>
      <c r="Q3299" t="s">
        <v>29</v>
      </c>
      <c r="R3299" t="s">
        <v>29</v>
      </c>
      <c r="S3299">
        <v>12.3088578987093</v>
      </c>
      <c r="T3299" t="s">
        <v>29</v>
      </c>
      <c r="U3299" t="s">
        <v>29</v>
      </c>
      <c r="V3299" t="s">
        <v>29</v>
      </c>
      <c r="W3299" t="s">
        <v>29</v>
      </c>
      <c r="X3299" t="s">
        <v>29</v>
      </c>
      <c r="Y3299" t="s">
        <v>29</v>
      </c>
    </row>
    <row r="3300" spans="1:25" x14ac:dyDescent="0.2">
      <c r="A3300" t="s">
        <v>12190</v>
      </c>
      <c r="B3300" t="s">
        <v>12191</v>
      </c>
      <c r="C3300" t="s">
        <v>12192</v>
      </c>
      <c r="D3300" t="s">
        <v>12193</v>
      </c>
      <c r="E3300" t="s">
        <v>12191</v>
      </c>
      <c r="F3300" t="s">
        <v>28</v>
      </c>
      <c r="G3300" t="s">
        <v>12191</v>
      </c>
      <c r="H3300" t="str">
        <f>"rme-6"</f>
        <v>rme-6</v>
      </c>
      <c r="I3300" t="s">
        <v>12193</v>
      </c>
      <c r="J3300">
        <v>11.1803571777403</v>
      </c>
      <c r="K3300" t="s">
        <v>29</v>
      </c>
      <c r="L3300">
        <v>11.542550488261099</v>
      </c>
      <c r="M3300" t="s">
        <v>29</v>
      </c>
      <c r="N3300" t="s">
        <v>29</v>
      </c>
      <c r="O3300">
        <v>11.7087797565604</v>
      </c>
      <c r="P3300">
        <v>0.34732592355974901</v>
      </c>
      <c r="Q3300">
        <v>-0.50830309918706396</v>
      </c>
      <c r="R3300">
        <v>1.2029549463065601</v>
      </c>
      <c r="S3300">
        <v>11.5424299320778</v>
      </c>
      <c r="T3300">
        <v>0.86575158978546096</v>
      </c>
      <c r="U3300">
        <v>-6.3696863061484299</v>
      </c>
      <c r="V3300">
        <v>0.40035658978451899</v>
      </c>
      <c r="W3300">
        <v>0.56860282896143499</v>
      </c>
      <c r="X3300">
        <v>0</v>
      </c>
      <c r="Y3300">
        <v>0</v>
      </c>
    </row>
    <row r="3301" spans="1:25" x14ac:dyDescent="0.2">
      <c r="A3301" t="s">
        <v>12194</v>
      </c>
      <c r="B3301" t="s">
        <v>12195</v>
      </c>
      <c r="C3301" t="s">
        <v>12196</v>
      </c>
      <c r="D3301" t="s">
        <v>12197</v>
      </c>
      <c r="E3301" t="s">
        <v>12195</v>
      </c>
      <c r="F3301" t="s">
        <v>28</v>
      </c>
      <c r="G3301" t="s">
        <v>12195</v>
      </c>
      <c r="H3301" t="str">
        <f>"pigx-1"</f>
        <v>pigx-1</v>
      </c>
      <c r="I3301" t="s">
        <v>12197</v>
      </c>
      <c r="J3301">
        <v>12.8795836976677</v>
      </c>
      <c r="K3301">
        <v>12.917658105079701</v>
      </c>
      <c r="L3301">
        <v>12.206947610484599</v>
      </c>
      <c r="M3301" t="s">
        <v>29</v>
      </c>
      <c r="N3301" t="s">
        <v>29</v>
      </c>
      <c r="O3301">
        <v>13.159430784934999</v>
      </c>
      <c r="P3301">
        <v>0.49136764719098702</v>
      </c>
      <c r="Q3301">
        <v>-0.38837485302560798</v>
      </c>
      <c r="R3301">
        <v>1.37111014740758</v>
      </c>
      <c r="S3301">
        <v>12.489832682519999</v>
      </c>
      <c r="T3301">
        <v>1.1846785217226501</v>
      </c>
      <c r="U3301">
        <v>-6.1067681380262</v>
      </c>
      <c r="V3301">
        <v>0.25355638478046599</v>
      </c>
      <c r="W3301">
        <v>0.42168773473365401</v>
      </c>
      <c r="X3301">
        <v>0</v>
      </c>
      <c r="Y3301">
        <v>0</v>
      </c>
    </row>
    <row r="3302" spans="1:25" x14ac:dyDescent="0.2">
      <c r="A3302" t="s">
        <v>12198</v>
      </c>
      <c r="B3302" t="s">
        <v>12199</v>
      </c>
      <c r="C3302" t="s">
        <v>12200</v>
      </c>
      <c r="D3302" t="s">
        <v>12201</v>
      </c>
      <c r="E3302" t="s">
        <v>12199</v>
      </c>
      <c r="F3302" t="s">
        <v>28</v>
      </c>
      <c r="G3302" t="s">
        <v>12199</v>
      </c>
      <c r="H3302" t="str">
        <f>"jmjd-1.2"</f>
        <v>jmjd-1.2</v>
      </c>
      <c r="I3302" t="s">
        <v>12201</v>
      </c>
      <c r="J3302">
        <v>12.5057322807803</v>
      </c>
      <c r="K3302">
        <v>12.856097186476701</v>
      </c>
      <c r="L3302">
        <v>12.367071174527601</v>
      </c>
      <c r="M3302" t="s">
        <v>29</v>
      </c>
      <c r="N3302">
        <v>12.676787206267701</v>
      </c>
      <c r="O3302">
        <v>12.4843014889596</v>
      </c>
      <c r="P3302">
        <v>4.2441336854412998E-3</v>
      </c>
      <c r="Q3302">
        <v>-0.54185044898249701</v>
      </c>
      <c r="R3302">
        <v>0.55033871635337905</v>
      </c>
      <c r="S3302">
        <v>12.8255109957584</v>
      </c>
      <c r="T3302">
        <v>1.64048098232372E-2</v>
      </c>
      <c r="U3302">
        <v>-7.0453335357447298</v>
      </c>
      <c r="V3302">
        <v>0.98710361423838699</v>
      </c>
      <c r="W3302">
        <v>0.99337667396974605</v>
      </c>
      <c r="X3302">
        <v>0</v>
      </c>
      <c r="Y3302">
        <v>0</v>
      </c>
    </row>
    <row r="3303" spans="1:25" x14ac:dyDescent="0.2">
      <c r="A3303" t="s">
        <v>12202</v>
      </c>
      <c r="B3303" t="s">
        <v>12203</v>
      </c>
      <c r="C3303" t="s">
        <v>14655</v>
      </c>
      <c r="D3303" t="s">
        <v>12204</v>
      </c>
      <c r="E3303" t="s">
        <v>12203</v>
      </c>
      <c r="F3303" t="s">
        <v>28</v>
      </c>
      <c r="G3303" t="s">
        <v>12203</v>
      </c>
      <c r="H3303" t="str">
        <f>"F29B9.8"</f>
        <v>F29B9.8</v>
      </c>
      <c r="I3303" t="s">
        <v>12204</v>
      </c>
      <c r="J3303">
        <v>12.367584844772001</v>
      </c>
      <c r="K3303">
        <v>12.4551745815796</v>
      </c>
      <c r="L3303">
        <v>11.8758047004536</v>
      </c>
      <c r="M3303" t="s">
        <v>29</v>
      </c>
      <c r="N3303" t="s">
        <v>29</v>
      </c>
      <c r="O3303" t="s">
        <v>29</v>
      </c>
      <c r="P3303" t="s">
        <v>29</v>
      </c>
      <c r="Q3303" t="s">
        <v>29</v>
      </c>
      <c r="R3303" t="s">
        <v>29</v>
      </c>
      <c r="S3303">
        <v>11.921078013369</v>
      </c>
      <c r="T3303" t="s">
        <v>29</v>
      </c>
      <c r="U3303" t="s">
        <v>29</v>
      </c>
      <c r="V3303" t="s">
        <v>29</v>
      </c>
      <c r="W3303" t="s">
        <v>29</v>
      </c>
      <c r="X3303" t="s">
        <v>29</v>
      </c>
      <c r="Y3303" t="s">
        <v>29</v>
      </c>
    </row>
    <row r="3304" spans="1:25" x14ac:dyDescent="0.2">
      <c r="A3304" t="s">
        <v>12205</v>
      </c>
      <c r="B3304" t="s">
        <v>12206</v>
      </c>
      <c r="C3304" t="s">
        <v>12207</v>
      </c>
      <c r="D3304" t="s">
        <v>561</v>
      </c>
      <c r="E3304" t="s">
        <v>12206</v>
      </c>
      <c r="F3304" t="s">
        <v>28</v>
      </c>
      <c r="G3304" t="s">
        <v>12206</v>
      </c>
      <c r="H3304" t="str">
        <f>"phat-1"</f>
        <v>phat-1</v>
      </c>
      <c r="I3304" t="s">
        <v>561</v>
      </c>
      <c r="J3304" t="s">
        <v>29</v>
      </c>
      <c r="K3304">
        <v>12.592533257057299</v>
      </c>
      <c r="L3304">
        <v>13.144385379453899</v>
      </c>
      <c r="M3304" t="s">
        <v>29</v>
      </c>
      <c r="N3304">
        <v>13.488162828863199</v>
      </c>
      <c r="O3304">
        <v>12.064628593393801</v>
      </c>
      <c r="P3304">
        <v>-9.2063607127085903E-2</v>
      </c>
      <c r="Q3304">
        <v>-1.20064318192511</v>
      </c>
      <c r="R3304">
        <v>1.0165159676709401</v>
      </c>
      <c r="S3304">
        <v>11.7696527565453</v>
      </c>
      <c r="T3304">
        <v>-0.17955948814907499</v>
      </c>
      <c r="U3304">
        <v>-6.9378634003498902</v>
      </c>
      <c r="V3304">
        <v>0.86028919177605501</v>
      </c>
      <c r="W3304">
        <v>0.91289937496284002</v>
      </c>
      <c r="X3304">
        <v>0</v>
      </c>
      <c r="Y3304">
        <v>0</v>
      </c>
    </row>
    <row r="3305" spans="1:25" x14ac:dyDescent="0.2">
      <c r="A3305" t="s">
        <v>12208</v>
      </c>
      <c r="B3305" t="s">
        <v>12209</v>
      </c>
      <c r="C3305" t="s">
        <v>12210</v>
      </c>
      <c r="D3305" t="s">
        <v>806</v>
      </c>
      <c r="E3305" t="s">
        <v>12209</v>
      </c>
      <c r="F3305" t="s">
        <v>28</v>
      </c>
      <c r="G3305" t="s">
        <v>12209</v>
      </c>
      <c r="H3305" t="str">
        <f>"snx-1"</f>
        <v>snx-1</v>
      </c>
      <c r="I3305" t="s">
        <v>806</v>
      </c>
      <c r="J3305">
        <v>12.8364099340486</v>
      </c>
      <c r="K3305">
        <v>12.346991382719599</v>
      </c>
      <c r="L3305">
        <v>12.623337628458</v>
      </c>
      <c r="M3305" t="s">
        <v>29</v>
      </c>
      <c r="N3305">
        <v>13.072183411090601</v>
      </c>
      <c r="O3305">
        <v>13.831154854545799</v>
      </c>
      <c r="P3305">
        <v>0.84942281774274697</v>
      </c>
      <c r="Q3305">
        <v>0.15456574167774301</v>
      </c>
      <c r="R3305">
        <v>1.54427989380775</v>
      </c>
      <c r="S3305">
        <v>13.138783445661099</v>
      </c>
      <c r="T3305">
        <v>2.58034901294302</v>
      </c>
      <c r="U3305">
        <v>-4.0989212868159699</v>
      </c>
      <c r="V3305">
        <v>1.9520729497547198E-2</v>
      </c>
      <c r="W3305">
        <v>7.2089711565503201E-2</v>
      </c>
      <c r="X3305">
        <v>0</v>
      </c>
      <c r="Y3305">
        <v>0</v>
      </c>
    </row>
    <row r="3306" spans="1:25" x14ac:dyDescent="0.2">
      <c r="A3306" t="s">
        <v>12211</v>
      </c>
      <c r="B3306" t="s">
        <v>12212</v>
      </c>
      <c r="C3306" t="s">
        <v>14656</v>
      </c>
      <c r="D3306" t="s">
        <v>12213</v>
      </c>
      <c r="E3306" t="s">
        <v>12212</v>
      </c>
      <c r="F3306" t="s">
        <v>28</v>
      </c>
      <c r="G3306" t="s">
        <v>12212</v>
      </c>
      <c r="H3306" t="str">
        <f>"T05A12.3"</f>
        <v>T05A12.3</v>
      </c>
      <c r="I3306" t="s">
        <v>12213</v>
      </c>
      <c r="J3306">
        <v>12.0963229564864</v>
      </c>
      <c r="K3306">
        <v>11.9525939396719</v>
      </c>
      <c r="L3306">
        <v>12.8747642893277</v>
      </c>
      <c r="M3306" t="s">
        <v>29</v>
      </c>
      <c r="N3306" t="s">
        <v>29</v>
      </c>
      <c r="O3306" t="s">
        <v>29</v>
      </c>
      <c r="P3306" t="s">
        <v>29</v>
      </c>
      <c r="Q3306" t="s">
        <v>29</v>
      </c>
      <c r="R3306" t="s">
        <v>29</v>
      </c>
      <c r="S3306">
        <v>12.282315758809901</v>
      </c>
      <c r="T3306" t="s">
        <v>29</v>
      </c>
      <c r="U3306" t="s">
        <v>29</v>
      </c>
      <c r="V3306" t="s">
        <v>29</v>
      </c>
      <c r="W3306" t="s">
        <v>29</v>
      </c>
      <c r="X3306" t="s">
        <v>29</v>
      </c>
      <c r="Y3306" t="s">
        <v>29</v>
      </c>
    </row>
    <row r="3307" spans="1:25" x14ac:dyDescent="0.2">
      <c r="A3307" t="s">
        <v>12214</v>
      </c>
      <c r="B3307" t="s">
        <v>12215</v>
      </c>
      <c r="C3307" t="s">
        <v>14657</v>
      </c>
      <c r="D3307" t="s">
        <v>162</v>
      </c>
      <c r="E3307" t="s">
        <v>12215</v>
      </c>
      <c r="F3307" t="s">
        <v>28</v>
      </c>
      <c r="G3307" t="s">
        <v>12215</v>
      </c>
      <c r="H3307" t="str">
        <f>"R04E5.8"</f>
        <v>R04E5.8</v>
      </c>
      <c r="I3307" t="s">
        <v>162</v>
      </c>
      <c r="J3307" t="s">
        <v>29</v>
      </c>
      <c r="K3307" t="s">
        <v>29</v>
      </c>
      <c r="L3307" t="s">
        <v>29</v>
      </c>
      <c r="M3307" t="s">
        <v>29</v>
      </c>
      <c r="N3307" t="s">
        <v>29</v>
      </c>
      <c r="O3307" t="s">
        <v>29</v>
      </c>
      <c r="P3307" t="s">
        <v>29</v>
      </c>
      <c r="Q3307" t="s">
        <v>29</v>
      </c>
      <c r="R3307" t="s">
        <v>29</v>
      </c>
      <c r="S3307">
        <v>11.2797413631995</v>
      </c>
      <c r="T3307" t="s">
        <v>29</v>
      </c>
      <c r="U3307" t="s">
        <v>29</v>
      </c>
      <c r="V3307" t="s">
        <v>29</v>
      </c>
      <c r="W3307" t="s">
        <v>29</v>
      </c>
      <c r="X3307" t="s">
        <v>29</v>
      </c>
      <c r="Y3307" t="s">
        <v>29</v>
      </c>
    </row>
    <row r="3308" spans="1:25" x14ac:dyDescent="0.2">
      <c r="A3308" t="s">
        <v>12216</v>
      </c>
      <c r="B3308" t="s">
        <v>12217</v>
      </c>
      <c r="C3308" t="s">
        <v>12218</v>
      </c>
      <c r="D3308" t="s">
        <v>12219</v>
      </c>
      <c r="E3308" t="s">
        <v>12217</v>
      </c>
      <c r="F3308" t="s">
        <v>28</v>
      </c>
      <c r="G3308" t="s">
        <v>12217</v>
      </c>
      <c r="H3308" t="str">
        <f>"C49H3.3"</f>
        <v>C49H3.3</v>
      </c>
      <c r="I3308" t="s">
        <v>12219</v>
      </c>
      <c r="J3308">
        <v>17.576708101651899</v>
      </c>
      <c r="K3308">
        <v>17.207684194087602</v>
      </c>
      <c r="L3308">
        <v>16.8550376039538</v>
      </c>
      <c r="M3308">
        <v>14.9939657710032</v>
      </c>
      <c r="N3308">
        <v>16.123413400663299</v>
      </c>
      <c r="O3308" t="s">
        <v>29</v>
      </c>
      <c r="P3308">
        <v>-1.6544537140644999</v>
      </c>
      <c r="Q3308">
        <v>-2.2796852326595798</v>
      </c>
      <c r="R3308">
        <v>-1.0292221954694201</v>
      </c>
      <c r="S3308">
        <v>16.256502707806501</v>
      </c>
      <c r="T3308">
        <v>-5.6125896137732401</v>
      </c>
      <c r="U3308">
        <v>2.0600724201338001</v>
      </c>
      <c r="V3308" s="2">
        <v>3.9872553844394602E-5</v>
      </c>
      <c r="W3308">
        <v>8.5769646846299899E-4</v>
      </c>
      <c r="X3308">
        <v>-1</v>
      </c>
      <c r="Y3308">
        <v>-1</v>
      </c>
    </row>
    <row r="3309" spans="1:25" x14ac:dyDescent="0.2">
      <c r="A3309" t="s">
        <v>12220</v>
      </c>
      <c r="B3309" t="s">
        <v>12221</v>
      </c>
      <c r="C3309" t="s">
        <v>12222</v>
      </c>
      <c r="D3309" t="s">
        <v>12223</v>
      </c>
      <c r="E3309" t="s">
        <v>12221</v>
      </c>
      <c r="F3309" t="s">
        <v>28</v>
      </c>
      <c r="G3309" t="s">
        <v>12221</v>
      </c>
      <c r="H3309" t="str">
        <f>"npp-27"</f>
        <v>npp-27</v>
      </c>
      <c r="I3309" t="s">
        <v>12223</v>
      </c>
      <c r="J3309" t="s">
        <v>29</v>
      </c>
      <c r="K3309" t="s">
        <v>29</v>
      </c>
      <c r="L3309">
        <v>12.284205449696399</v>
      </c>
      <c r="M3309" t="s">
        <v>29</v>
      </c>
      <c r="N3309" t="s">
        <v>29</v>
      </c>
      <c r="O3309">
        <v>14.993300039053</v>
      </c>
      <c r="P3309">
        <v>2.7090945893565999</v>
      </c>
      <c r="Q3309">
        <v>1.21568374451162</v>
      </c>
      <c r="R3309">
        <v>4.20250543420158</v>
      </c>
      <c r="S3309">
        <v>13.341529291915</v>
      </c>
      <c r="T3309">
        <v>3.9973535488939902</v>
      </c>
      <c r="U3309">
        <v>-1.39542827753334</v>
      </c>
      <c r="V3309">
        <v>2.1353625243361401E-3</v>
      </c>
      <c r="W3309">
        <v>1.52207787812616E-2</v>
      </c>
      <c r="X3309">
        <v>1</v>
      </c>
      <c r="Y3309">
        <v>1</v>
      </c>
    </row>
    <row r="3310" spans="1:25" x14ac:dyDescent="0.2">
      <c r="A3310" t="s">
        <v>12224</v>
      </c>
      <c r="B3310" t="s">
        <v>12225</v>
      </c>
      <c r="C3310" t="s">
        <v>12226</v>
      </c>
      <c r="D3310" t="s">
        <v>2355</v>
      </c>
      <c r="E3310" t="s">
        <v>12225</v>
      </c>
      <c r="F3310" t="s">
        <v>28</v>
      </c>
      <c r="G3310" t="s">
        <v>12225</v>
      </c>
      <c r="H3310" t="str">
        <f>"sna-3"</f>
        <v>sna-3</v>
      </c>
      <c r="I3310" t="s">
        <v>2355</v>
      </c>
      <c r="J3310">
        <v>11.9776484870087</v>
      </c>
      <c r="K3310">
        <v>12.2989954159445</v>
      </c>
      <c r="L3310">
        <v>12.5326144828589</v>
      </c>
      <c r="M3310" t="s">
        <v>29</v>
      </c>
      <c r="N3310">
        <v>12.547850059518501</v>
      </c>
      <c r="O3310">
        <v>12.082108613735</v>
      </c>
      <c r="P3310">
        <v>4.5226541356036903E-2</v>
      </c>
      <c r="Q3310">
        <v>-0.82828741339869305</v>
      </c>
      <c r="R3310">
        <v>0.91874049611076702</v>
      </c>
      <c r="S3310">
        <v>13.4383871160623</v>
      </c>
      <c r="T3310">
        <v>0.10928826782388899</v>
      </c>
      <c r="U3310">
        <v>-7.0391988649529402</v>
      </c>
      <c r="V3310">
        <v>0.91426142625662299</v>
      </c>
      <c r="W3310">
        <v>0.94904136075317602</v>
      </c>
      <c r="X3310">
        <v>0</v>
      </c>
      <c r="Y3310">
        <v>0</v>
      </c>
    </row>
    <row r="3311" spans="1:25" x14ac:dyDescent="0.2">
      <c r="A3311" t="s">
        <v>12227</v>
      </c>
      <c r="B3311" t="s">
        <v>12228</v>
      </c>
      <c r="C3311" t="s">
        <v>12229</v>
      </c>
      <c r="D3311" t="s">
        <v>12230</v>
      </c>
      <c r="E3311" t="s">
        <v>12228</v>
      </c>
      <c r="F3311" t="s">
        <v>28</v>
      </c>
      <c r="G3311" t="s">
        <v>12228</v>
      </c>
      <c r="H3311" t="str">
        <f>"mes-6"</f>
        <v>mes-6</v>
      </c>
      <c r="I3311" t="s">
        <v>12230</v>
      </c>
      <c r="J3311" t="s">
        <v>29</v>
      </c>
      <c r="K3311" t="s">
        <v>29</v>
      </c>
      <c r="L3311">
        <v>11.037451870197501</v>
      </c>
      <c r="M3311" t="s">
        <v>29</v>
      </c>
      <c r="N3311" t="s">
        <v>29</v>
      </c>
      <c r="O3311" t="s">
        <v>29</v>
      </c>
      <c r="P3311" t="s">
        <v>29</v>
      </c>
      <c r="Q3311" t="s">
        <v>29</v>
      </c>
      <c r="R3311" t="s">
        <v>29</v>
      </c>
      <c r="S3311">
        <v>11.124190971597301</v>
      </c>
      <c r="T3311" t="s">
        <v>29</v>
      </c>
      <c r="U3311" t="s">
        <v>29</v>
      </c>
      <c r="V3311" t="s">
        <v>29</v>
      </c>
      <c r="W3311" t="s">
        <v>29</v>
      </c>
      <c r="X3311" t="s">
        <v>29</v>
      </c>
      <c r="Y3311" t="s">
        <v>29</v>
      </c>
    </row>
    <row r="3312" spans="1:25" x14ac:dyDescent="0.2">
      <c r="A3312" t="s">
        <v>12231</v>
      </c>
      <c r="B3312" t="s">
        <v>12232</v>
      </c>
      <c r="C3312" t="s">
        <v>12233</v>
      </c>
      <c r="D3312" t="s">
        <v>1198</v>
      </c>
      <c r="E3312" t="s">
        <v>12232</v>
      </c>
      <c r="F3312" t="s">
        <v>28</v>
      </c>
      <c r="G3312" t="s">
        <v>12232</v>
      </c>
      <c r="H3312" t="str">
        <f>"fars-1"</f>
        <v>fars-1</v>
      </c>
      <c r="I3312" t="s">
        <v>1198</v>
      </c>
      <c r="J3312">
        <v>16.584490424259499</v>
      </c>
      <c r="K3312">
        <v>16.6208403060728</v>
      </c>
      <c r="L3312">
        <v>16.5848740589093</v>
      </c>
      <c r="M3312">
        <v>16.023803042551499</v>
      </c>
      <c r="N3312">
        <v>16.105603443034401</v>
      </c>
      <c r="O3312">
        <v>16.262540314763601</v>
      </c>
      <c r="P3312">
        <v>-0.46608599629737701</v>
      </c>
      <c r="Q3312">
        <v>-0.87470420353658795</v>
      </c>
      <c r="R3312">
        <v>-5.7467789058165603E-2</v>
      </c>
      <c r="S3312">
        <v>16.056354255076201</v>
      </c>
      <c r="T3312">
        <v>-2.3974019470829901</v>
      </c>
      <c r="U3312">
        <v>-4.5429991003898103</v>
      </c>
      <c r="V3312">
        <v>2.7643165754842301E-2</v>
      </c>
      <c r="W3312">
        <v>9.1091792849772896E-2</v>
      </c>
      <c r="X3312">
        <v>0</v>
      </c>
      <c r="Y3312">
        <v>0</v>
      </c>
    </row>
    <row r="3313" spans="1:25" x14ac:dyDescent="0.2">
      <c r="A3313" t="s">
        <v>12234</v>
      </c>
      <c r="B3313" t="s">
        <v>12235</v>
      </c>
      <c r="C3313" t="s">
        <v>12236</v>
      </c>
      <c r="D3313" t="s">
        <v>12237</v>
      </c>
      <c r="E3313" t="s">
        <v>12235</v>
      </c>
      <c r="F3313" t="s">
        <v>28</v>
      </c>
      <c r="G3313" t="s">
        <v>12235</v>
      </c>
      <c r="H3313" t="str">
        <f>"mrpl-23"</f>
        <v>mrpl-23</v>
      </c>
      <c r="I3313" t="s">
        <v>12237</v>
      </c>
      <c r="J3313">
        <v>13.592088675017999</v>
      </c>
      <c r="K3313">
        <v>13.890109355547899</v>
      </c>
      <c r="L3313">
        <v>13.926240380729899</v>
      </c>
      <c r="M3313">
        <v>14.121826275788401</v>
      </c>
      <c r="N3313" t="s">
        <v>29</v>
      </c>
      <c r="O3313">
        <v>12.7192228952548</v>
      </c>
      <c r="P3313">
        <v>-0.38228821824368198</v>
      </c>
      <c r="Q3313">
        <v>-1.23675793222443</v>
      </c>
      <c r="R3313">
        <v>0.47218149573707002</v>
      </c>
      <c r="S3313">
        <v>13.804309110308999</v>
      </c>
      <c r="T3313">
        <v>-0.94437450216108598</v>
      </c>
      <c r="U3313">
        <v>-6.5887178081478002</v>
      </c>
      <c r="V3313">
        <v>0.35828886319466902</v>
      </c>
      <c r="W3313">
        <v>0.52834137350227195</v>
      </c>
      <c r="X3313">
        <v>0</v>
      </c>
      <c r="Y3313">
        <v>0</v>
      </c>
    </row>
    <row r="3314" spans="1:25" x14ac:dyDescent="0.2">
      <c r="A3314" t="s">
        <v>12238</v>
      </c>
      <c r="B3314" t="s">
        <v>12239</v>
      </c>
      <c r="C3314" t="s">
        <v>12240</v>
      </c>
      <c r="D3314" t="s">
        <v>3451</v>
      </c>
      <c r="E3314" t="s">
        <v>12239</v>
      </c>
      <c r="F3314" t="s">
        <v>28</v>
      </c>
      <c r="G3314" t="s">
        <v>12239</v>
      </c>
      <c r="H3314" t="str">
        <f>"ech-1.2"</f>
        <v>ech-1.2</v>
      </c>
      <c r="I3314" t="s">
        <v>3451</v>
      </c>
      <c r="J3314">
        <v>15.1213524689267</v>
      </c>
      <c r="K3314">
        <v>15.0955511086228</v>
      </c>
      <c r="L3314">
        <v>15.205308085932</v>
      </c>
      <c r="M3314">
        <v>15.4832029187711</v>
      </c>
      <c r="N3314">
        <v>15.5262446015661</v>
      </c>
      <c r="O3314">
        <v>15.5318604594598</v>
      </c>
      <c r="P3314">
        <v>0.37303210543850601</v>
      </c>
      <c r="Q3314">
        <v>-2.8570794876058101E-2</v>
      </c>
      <c r="R3314">
        <v>0.77463500575306998</v>
      </c>
      <c r="S3314">
        <v>15.371054146033201</v>
      </c>
      <c r="T3314">
        <v>1.9522790059305899</v>
      </c>
      <c r="U3314">
        <v>-5.3441154965520603</v>
      </c>
      <c r="V3314">
        <v>6.6730839294205202E-2</v>
      </c>
      <c r="W3314">
        <v>0.16675144088517199</v>
      </c>
      <c r="X3314">
        <v>0</v>
      </c>
      <c r="Y3314">
        <v>0</v>
      </c>
    </row>
    <row r="3315" spans="1:25" x14ac:dyDescent="0.2">
      <c r="A3315" t="s">
        <v>12241</v>
      </c>
      <c r="B3315" t="s">
        <v>12242</v>
      </c>
      <c r="C3315" t="s">
        <v>12243</v>
      </c>
      <c r="D3315" t="s">
        <v>12244</v>
      </c>
      <c r="E3315" t="s">
        <v>12242</v>
      </c>
      <c r="F3315" t="s">
        <v>28</v>
      </c>
      <c r="G3315" t="s">
        <v>12242</v>
      </c>
      <c r="H3315" t="str">
        <f>"ldp-1"</f>
        <v>ldp-1</v>
      </c>
      <c r="I3315" t="s">
        <v>12244</v>
      </c>
      <c r="J3315">
        <v>18.3107459374326</v>
      </c>
      <c r="K3315">
        <v>18.119611057359101</v>
      </c>
      <c r="L3315">
        <v>17.8608158778435</v>
      </c>
      <c r="M3315">
        <v>17.562772833103502</v>
      </c>
      <c r="N3315">
        <v>17.0835252599563</v>
      </c>
      <c r="O3315">
        <v>17.175073763650399</v>
      </c>
      <c r="P3315">
        <v>-0.82326700530833796</v>
      </c>
      <c r="Q3315">
        <v>-1.2535529848808999</v>
      </c>
      <c r="R3315">
        <v>-0.39298102573577598</v>
      </c>
      <c r="S3315">
        <v>17.485612197787599</v>
      </c>
      <c r="T3315">
        <v>-4.0213884671889701</v>
      </c>
      <c r="U3315">
        <v>-1.12480745065398</v>
      </c>
      <c r="V3315">
        <v>8.0894586510154003E-4</v>
      </c>
      <c r="W3315">
        <v>7.8915792196706507E-3</v>
      </c>
      <c r="X3315">
        <v>0</v>
      </c>
      <c r="Y3315">
        <v>0</v>
      </c>
    </row>
    <row r="3316" spans="1:25" x14ac:dyDescent="0.2">
      <c r="A3316" t="s">
        <v>12245</v>
      </c>
      <c r="B3316" t="s">
        <v>12246</v>
      </c>
      <c r="C3316" t="s">
        <v>12247</v>
      </c>
      <c r="D3316" t="s">
        <v>12248</v>
      </c>
      <c r="E3316" t="s">
        <v>12246</v>
      </c>
      <c r="F3316" t="s">
        <v>28</v>
      </c>
      <c r="G3316" t="s">
        <v>12246</v>
      </c>
      <c r="H3316" t="str">
        <f>"ruvb-2"</f>
        <v>ruvb-2</v>
      </c>
      <c r="I3316" t="s">
        <v>12248</v>
      </c>
      <c r="J3316">
        <v>12.1717920849963</v>
      </c>
      <c r="K3316">
        <v>12.2452978237427</v>
      </c>
      <c r="L3316">
        <v>11.7835361924996</v>
      </c>
      <c r="M3316" t="s">
        <v>29</v>
      </c>
      <c r="N3316">
        <v>12.433949824579701</v>
      </c>
      <c r="O3316">
        <v>12.2676873753776</v>
      </c>
      <c r="P3316">
        <v>0.28394323289915302</v>
      </c>
      <c r="Q3316">
        <v>-0.16027899218630301</v>
      </c>
      <c r="R3316">
        <v>0.72816545798460997</v>
      </c>
      <c r="S3316">
        <v>12.634949230061199</v>
      </c>
      <c r="T3316">
        <v>1.35575360980561</v>
      </c>
      <c r="U3316">
        <v>-6.1283602295864599</v>
      </c>
      <c r="V3316">
        <v>0.194128256446989</v>
      </c>
      <c r="W3316">
        <v>0.35249289694964703</v>
      </c>
      <c r="X3316">
        <v>0</v>
      </c>
      <c r="Y3316">
        <v>0</v>
      </c>
    </row>
    <row r="3317" spans="1:25" x14ac:dyDescent="0.2">
      <c r="A3317" t="s">
        <v>12249</v>
      </c>
      <c r="B3317" t="s">
        <v>12250</v>
      </c>
      <c r="C3317" t="s">
        <v>12251</v>
      </c>
      <c r="D3317" t="s">
        <v>12252</v>
      </c>
      <c r="E3317" t="s">
        <v>12250</v>
      </c>
      <c r="F3317" t="s">
        <v>28</v>
      </c>
      <c r="G3317" t="s">
        <v>12250</v>
      </c>
      <c r="H3317" t="str">
        <f>"T22D1.3"</f>
        <v>T22D1.3</v>
      </c>
      <c r="I3317" t="s">
        <v>12252</v>
      </c>
      <c r="J3317">
        <v>12.534607466923701</v>
      </c>
      <c r="K3317">
        <v>11.7707884573106</v>
      </c>
      <c r="L3317">
        <v>12.1430060373494</v>
      </c>
      <c r="M3317">
        <v>14.0673945997915</v>
      </c>
      <c r="N3317">
        <v>14.0950254639731</v>
      </c>
      <c r="O3317">
        <v>14.226604536439799</v>
      </c>
      <c r="P3317">
        <v>1.98020754620692</v>
      </c>
      <c r="Q3317">
        <v>1.5516992461644099</v>
      </c>
      <c r="R3317">
        <v>2.4087158462494398</v>
      </c>
      <c r="S3317">
        <v>12.727201940477901</v>
      </c>
      <c r="T3317">
        <v>9.7127897074643208</v>
      </c>
      <c r="U3317">
        <v>9.8975271107910494</v>
      </c>
      <c r="V3317" s="2">
        <v>1.4740399473143201E-8</v>
      </c>
      <c r="W3317" s="2">
        <v>1.49792956025355E-6</v>
      </c>
      <c r="X3317">
        <v>1</v>
      </c>
      <c r="Y3317">
        <v>1</v>
      </c>
    </row>
    <row r="3318" spans="1:25" x14ac:dyDescent="0.2">
      <c r="A3318" t="s">
        <v>12253</v>
      </c>
      <c r="B3318" t="s">
        <v>12254</v>
      </c>
      <c r="C3318" t="s">
        <v>12255</v>
      </c>
      <c r="D3318" t="s">
        <v>12256</v>
      </c>
      <c r="E3318" t="s">
        <v>12254</v>
      </c>
      <c r="F3318" t="s">
        <v>28</v>
      </c>
      <c r="G3318" t="s">
        <v>12254</v>
      </c>
      <c r="H3318" t="str">
        <f>"ribo-1"</f>
        <v>ribo-1</v>
      </c>
      <c r="I3318" t="s">
        <v>12256</v>
      </c>
      <c r="J3318">
        <v>16.642881418201501</v>
      </c>
      <c r="K3318">
        <v>16.546228621687401</v>
      </c>
      <c r="L3318">
        <v>16.335822000977402</v>
      </c>
      <c r="M3318">
        <v>15.9513788588818</v>
      </c>
      <c r="N3318">
        <v>16.065497507716302</v>
      </c>
      <c r="O3318">
        <v>16.251373154128</v>
      </c>
      <c r="P3318">
        <v>-0.41889417338006402</v>
      </c>
      <c r="Q3318">
        <v>-0.75201498189641502</v>
      </c>
      <c r="R3318">
        <v>-8.57733648637128E-2</v>
      </c>
      <c r="S3318">
        <v>15.906736933205799</v>
      </c>
      <c r="T3318">
        <v>-2.6429872667599499</v>
      </c>
      <c r="U3318">
        <v>-4.0647604801453596</v>
      </c>
      <c r="V3318">
        <v>1.6587104129621E-2</v>
      </c>
      <c r="W3318">
        <v>6.51762611599907E-2</v>
      </c>
      <c r="X3318">
        <v>0</v>
      </c>
      <c r="Y3318">
        <v>0</v>
      </c>
    </row>
    <row r="3319" spans="1:25" x14ac:dyDescent="0.2">
      <c r="A3319" t="s">
        <v>12257</v>
      </c>
      <c r="B3319" t="s">
        <v>12258</v>
      </c>
      <c r="C3319" t="s">
        <v>12259</v>
      </c>
      <c r="D3319" t="s">
        <v>12260</v>
      </c>
      <c r="E3319" t="s">
        <v>12258</v>
      </c>
      <c r="F3319" t="s">
        <v>28</v>
      </c>
      <c r="G3319" t="s">
        <v>12258</v>
      </c>
      <c r="H3319" t="str">
        <f>"rpn-1"</f>
        <v>rpn-1</v>
      </c>
      <c r="I3319" t="s">
        <v>12260</v>
      </c>
      <c r="J3319">
        <v>15.040139929064299</v>
      </c>
      <c r="K3319">
        <v>14.9363605011171</v>
      </c>
      <c r="L3319">
        <v>14.917817195096699</v>
      </c>
      <c r="M3319">
        <v>14.908461126557601</v>
      </c>
      <c r="N3319">
        <v>14.372205842482501</v>
      </c>
      <c r="O3319">
        <v>14.689104228323499</v>
      </c>
      <c r="P3319">
        <v>-0.30818214263813298</v>
      </c>
      <c r="Q3319">
        <v>-0.62841944104264202</v>
      </c>
      <c r="R3319">
        <v>1.2055155766376001E-2</v>
      </c>
      <c r="S3319">
        <v>14.714640318591201</v>
      </c>
      <c r="T3319">
        <v>-2.0226841445389399</v>
      </c>
      <c r="U3319">
        <v>-5.2239682271544599</v>
      </c>
      <c r="V3319">
        <v>5.8310407227786402E-2</v>
      </c>
      <c r="W3319">
        <v>0.15166881738772001</v>
      </c>
      <c r="X3319">
        <v>0</v>
      </c>
      <c r="Y3319">
        <v>0</v>
      </c>
    </row>
    <row r="3320" spans="1:25" x14ac:dyDescent="0.2">
      <c r="A3320" t="s">
        <v>12261</v>
      </c>
      <c r="B3320" t="s">
        <v>12262</v>
      </c>
      <c r="C3320" t="s">
        <v>14658</v>
      </c>
      <c r="D3320" t="s">
        <v>12263</v>
      </c>
      <c r="E3320" t="s">
        <v>12262</v>
      </c>
      <c r="F3320" t="s">
        <v>28</v>
      </c>
      <c r="G3320" t="s">
        <v>12262</v>
      </c>
      <c r="H3320" t="str">
        <f>"F52G3.1"</f>
        <v>F52G3.1</v>
      </c>
      <c r="I3320" t="s">
        <v>12263</v>
      </c>
      <c r="J3320">
        <v>11.2913126638422</v>
      </c>
      <c r="K3320">
        <v>12.1452961407589</v>
      </c>
      <c r="L3320">
        <v>12.400157634155301</v>
      </c>
      <c r="M3320" t="s">
        <v>29</v>
      </c>
      <c r="N3320" t="s">
        <v>29</v>
      </c>
      <c r="O3320">
        <v>12.370281085361199</v>
      </c>
      <c r="P3320">
        <v>0.42469227244243701</v>
      </c>
      <c r="Q3320">
        <v>-1.4535506924782</v>
      </c>
      <c r="R3320">
        <v>2.30293523736308</v>
      </c>
      <c r="S3320">
        <v>12.3397917101752</v>
      </c>
      <c r="T3320">
        <v>0.48224106948781198</v>
      </c>
      <c r="U3320">
        <v>-6.6910452445801196</v>
      </c>
      <c r="V3320">
        <v>0.63664441337004996</v>
      </c>
      <c r="W3320">
        <v>0.75805700452587299</v>
      </c>
      <c r="X3320">
        <v>0</v>
      </c>
      <c r="Y3320">
        <v>0</v>
      </c>
    </row>
    <row r="3321" spans="1:25" x14ac:dyDescent="0.2">
      <c r="A3321" t="s">
        <v>12264</v>
      </c>
      <c r="B3321" t="s">
        <v>12265</v>
      </c>
      <c r="C3321" t="s">
        <v>12266</v>
      </c>
      <c r="D3321" t="s">
        <v>12267</v>
      </c>
      <c r="E3321" t="s">
        <v>12265</v>
      </c>
      <c r="F3321" t="s">
        <v>28</v>
      </c>
      <c r="G3321" t="s">
        <v>12265</v>
      </c>
      <c r="H3321" t="str">
        <f>"plk-2"</f>
        <v>plk-2</v>
      </c>
      <c r="I3321" t="s">
        <v>12267</v>
      </c>
      <c r="J3321">
        <v>10.874619122063701</v>
      </c>
      <c r="K3321">
        <v>11.6656582288542</v>
      </c>
      <c r="L3321">
        <v>12.1368657749622</v>
      </c>
      <c r="M3321" t="s">
        <v>29</v>
      </c>
      <c r="N3321">
        <v>11.1304475040164</v>
      </c>
      <c r="O3321">
        <v>11.848137426704501</v>
      </c>
      <c r="P3321">
        <v>-6.9755243266259398E-2</v>
      </c>
      <c r="Q3321">
        <v>-0.97825286168805903</v>
      </c>
      <c r="R3321">
        <v>0.83874237515553995</v>
      </c>
      <c r="S3321">
        <v>12.2393344145603</v>
      </c>
      <c r="T3321">
        <v>-0.16285556150227801</v>
      </c>
      <c r="U3321">
        <v>-7.0314963810012996</v>
      </c>
      <c r="V3321">
        <v>0.87268462856647699</v>
      </c>
      <c r="W3321">
        <v>0.92089975435237703</v>
      </c>
      <c r="X3321">
        <v>0</v>
      </c>
      <c r="Y3321">
        <v>0</v>
      </c>
    </row>
    <row r="3322" spans="1:25" x14ac:dyDescent="0.2">
      <c r="A3322" t="s">
        <v>12268</v>
      </c>
      <c r="B3322" t="s">
        <v>12269</v>
      </c>
      <c r="C3322" t="s">
        <v>14659</v>
      </c>
      <c r="D3322" t="s">
        <v>3358</v>
      </c>
      <c r="E3322" t="s">
        <v>12269</v>
      </c>
      <c r="F3322" t="s">
        <v>28</v>
      </c>
      <c r="G3322" t="s">
        <v>12269</v>
      </c>
      <c r="H3322" t="str">
        <f>"Y9C9A.8"</f>
        <v>Y9C9A.8</v>
      </c>
      <c r="I3322" t="s">
        <v>3358</v>
      </c>
      <c r="J3322" t="s">
        <v>29</v>
      </c>
      <c r="K3322">
        <v>12.7801315046535</v>
      </c>
      <c r="L3322" t="s">
        <v>29</v>
      </c>
      <c r="M3322" t="s">
        <v>29</v>
      </c>
      <c r="N3322" t="s">
        <v>29</v>
      </c>
      <c r="O3322" t="s">
        <v>29</v>
      </c>
      <c r="P3322" t="s">
        <v>29</v>
      </c>
      <c r="Q3322" t="s">
        <v>29</v>
      </c>
      <c r="R3322" t="s">
        <v>29</v>
      </c>
      <c r="S3322">
        <v>12.891835165246301</v>
      </c>
      <c r="T3322" t="s">
        <v>29</v>
      </c>
      <c r="U3322" t="s">
        <v>29</v>
      </c>
      <c r="V3322" t="s">
        <v>29</v>
      </c>
      <c r="W3322" t="s">
        <v>29</v>
      </c>
      <c r="X3322" t="s">
        <v>29</v>
      </c>
      <c r="Y3322" t="s">
        <v>29</v>
      </c>
    </row>
    <row r="3323" spans="1:25" x14ac:dyDescent="0.2">
      <c r="A3323" t="s">
        <v>12270</v>
      </c>
      <c r="B3323" t="s">
        <v>12271</v>
      </c>
      <c r="C3323" t="s">
        <v>12272</v>
      </c>
      <c r="D3323" t="s">
        <v>12273</v>
      </c>
      <c r="E3323" t="s">
        <v>12271</v>
      </c>
      <c r="F3323" t="s">
        <v>28</v>
      </c>
      <c r="G3323" t="s">
        <v>12271</v>
      </c>
      <c r="H3323" t="str">
        <f>"gpa-16"</f>
        <v>gpa-16</v>
      </c>
      <c r="I3323" t="s">
        <v>12273</v>
      </c>
      <c r="J3323">
        <v>12.720309891230499</v>
      </c>
      <c r="K3323">
        <v>13.062870952821401</v>
      </c>
      <c r="L3323">
        <v>12.3734813742194</v>
      </c>
      <c r="M3323" t="s">
        <v>29</v>
      </c>
      <c r="N3323" t="s">
        <v>29</v>
      </c>
      <c r="O3323">
        <v>12.1162870116689</v>
      </c>
      <c r="P3323">
        <v>-0.60260039442159297</v>
      </c>
      <c r="Q3323">
        <v>-1.83454629300457</v>
      </c>
      <c r="R3323">
        <v>0.62934550416138202</v>
      </c>
      <c r="S3323">
        <v>12.1121132211281</v>
      </c>
      <c r="T3323">
        <v>-1.0374980888599801</v>
      </c>
      <c r="U3323">
        <v>-6.2659552620517198</v>
      </c>
      <c r="V3323">
        <v>0.31503015482937702</v>
      </c>
      <c r="W3323">
        <v>0.48556164554507097</v>
      </c>
      <c r="X3323">
        <v>0</v>
      </c>
      <c r="Y3323">
        <v>0</v>
      </c>
    </row>
    <row r="3324" spans="1:25" x14ac:dyDescent="0.2">
      <c r="A3324" t="s">
        <v>12274</v>
      </c>
      <c r="B3324" t="s">
        <v>12275</v>
      </c>
      <c r="C3324" t="s">
        <v>12276</v>
      </c>
      <c r="D3324" t="s">
        <v>12277</v>
      </c>
      <c r="E3324" t="s">
        <v>12275</v>
      </c>
      <c r="F3324" t="s">
        <v>28</v>
      </c>
      <c r="G3324" t="s">
        <v>12275</v>
      </c>
      <c r="H3324" t="str">
        <f>"pde-6"</f>
        <v>pde-6</v>
      </c>
      <c r="I3324" t="s">
        <v>12277</v>
      </c>
      <c r="J3324">
        <v>12.519698107897099</v>
      </c>
      <c r="K3324">
        <v>12.847138498575699</v>
      </c>
      <c r="L3324">
        <v>12.416396236792</v>
      </c>
      <c r="M3324" t="s">
        <v>29</v>
      </c>
      <c r="N3324">
        <v>11.886882614121101</v>
      </c>
      <c r="O3324">
        <v>13.0585903004507</v>
      </c>
      <c r="P3324">
        <v>-0.12167449046904701</v>
      </c>
      <c r="Q3324">
        <v>-0.754771915929351</v>
      </c>
      <c r="R3324">
        <v>0.51142293499125702</v>
      </c>
      <c r="S3324">
        <v>12.619097796483199</v>
      </c>
      <c r="T3324">
        <v>-0.40567570723401503</v>
      </c>
      <c r="U3324">
        <v>-6.9593884600554796</v>
      </c>
      <c r="V3324">
        <v>0.69007221564268995</v>
      </c>
      <c r="W3324">
        <v>0.79875994481500701</v>
      </c>
      <c r="X3324">
        <v>0</v>
      </c>
      <c r="Y3324">
        <v>0</v>
      </c>
    </row>
    <row r="3325" spans="1:25" x14ac:dyDescent="0.2">
      <c r="A3325" t="s">
        <v>12278</v>
      </c>
      <c r="B3325" t="s">
        <v>12279</v>
      </c>
      <c r="C3325" t="s">
        <v>14660</v>
      </c>
      <c r="D3325" t="s">
        <v>12280</v>
      </c>
      <c r="E3325" t="s">
        <v>12279</v>
      </c>
      <c r="F3325" t="s">
        <v>28</v>
      </c>
      <c r="G3325" t="s">
        <v>12279</v>
      </c>
      <c r="H3325" t="str">
        <f>"Y74C10AL.2"</f>
        <v>Y74C10AL.2</v>
      </c>
      <c r="I3325" t="s">
        <v>12280</v>
      </c>
      <c r="J3325">
        <v>11.9205361296753</v>
      </c>
      <c r="K3325">
        <v>11.892297610637099</v>
      </c>
      <c r="L3325">
        <v>12.5893261304397</v>
      </c>
      <c r="M3325" t="s">
        <v>29</v>
      </c>
      <c r="N3325" t="s">
        <v>29</v>
      </c>
      <c r="O3325" t="s">
        <v>29</v>
      </c>
      <c r="P3325" t="s">
        <v>29</v>
      </c>
      <c r="Q3325" t="s">
        <v>29</v>
      </c>
      <c r="R3325" t="s">
        <v>29</v>
      </c>
      <c r="S3325">
        <v>13.001809597421</v>
      </c>
      <c r="T3325" t="s">
        <v>29</v>
      </c>
      <c r="U3325" t="s">
        <v>29</v>
      </c>
      <c r="V3325" t="s">
        <v>29</v>
      </c>
      <c r="W3325" t="s">
        <v>29</v>
      </c>
      <c r="X3325" t="s">
        <v>29</v>
      </c>
      <c r="Y3325" t="s">
        <v>29</v>
      </c>
    </row>
    <row r="3326" spans="1:25" x14ac:dyDescent="0.2">
      <c r="A3326" t="s">
        <v>12281</v>
      </c>
      <c r="B3326" t="s">
        <v>12282</v>
      </c>
      <c r="C3326" t="s">
        <v>12283</v>
      </c>
      <c r="D3326" t="s">
        <v>12284</v>
      </c>
      <c r="E3326" t="s">
        <v>12282</v>
      </c>
      <c r="F3326" t="s">
        <v>28</v>
      </c>
      <c r="G3326" t="s">
        <v>12282</v>
      </c>
      <c r="H3326" t="str">
        <f>"wwp-1"</f>
        <v>wwp-1</v>
      </c>
      <c r="I3326" t="s">
        <v>12284</v>
      </c>
      <c r="J3326">
        <v>13.607078516671001</v>
      </c>
      <c r="K3326">
        <v>13.4856405900188</v>
      </c>
      <c r="L3326">
        <v>13.9146659644676</v>
      </c>
      <c r="M3326">
        <v>13.672638632871401</v>
      </c>
      <c r="N3326">
        <v>12.8761752841105</v>
      </c>
      <c r="O3326">
        <v>13.401655218293801</v>
      </c>
      <c r="P3326">
        <v>-0.35230531196055997</v>
      </c>
      <c r="Q3326">
        <v>-0.81294040258560996</v>
      </c>
      <c r="R3326">
        <v>0.10832977866449001</v>
      </c>
      <c r="S3326">
        <v>13.686106764966899</v>
      </c>
      <c r="T3326">
        <v>-1.6075137102029999</v>
      </c>
      <c r="U3326">
        <v>-5.8901199713682404</v>
      </c>
      <c r="V3326">
        <v>0.12544194753393501</v>
      </c>
      <c r="W3326">
        <v>0.25725638092032399</v>
      </c>
      <c r="X3326">
        <v>0</v>
      </c>
      <c r="Y3326">
        <v>0</v>
      </c>
    </row>
    <row r="3327" spans="1:25" x14ac:dyDescent="0.2">
      <c r="A3327" t="s">
        <v>12285</v>
      </c>
      <c r="B3327" t="s">
        <v>12286</v>
      </c>
      <c r="C3327" t="s">
        <v>12287</v>
      </c>
      <c r="D3327" t="s">
        <v>12288</v>
      </c>
      <c r="E3327" t="s">
        <v>12286</v>
      </c>
      <c r="F3327" t="s">
        <v>28</v>
      </c>
      <c r="G3327" t="s">
        <v>12286</v>
      </c>
      <c r="H3327" t="str">
        <f>"deps-1"</f>
        <v>deps-1</v>
      </c>
      <c r="I3327" t="s">
        <v>12288</v>
      </c>
      <c r="J3327">
        <v>14.5573135268539</v>
      </c>
      <c r="K3327">
        <v>14.3944146718105</v>
      </c>
      <c r="L3327">
        <v>14.3984164761139</v>
      </c>
      <c r="M3327" t="s">
        <v>29</v>
      </c>
      <c r="N3327" t="s">
        <v>29</v>
      </c>
      <c r="O3327">
        <v>15.4784338463874</v>
      </c>
      <c r="P3327">
        <v>1.0283856214612801</v>
      </c>
      <c r="Q3327">
        <v>0.43947754702866898</v>
      </c>
      <c r="R3327">
        <v>1.6172936958938799</v>
      </c>
      <c r="S3327">
        <v>14.567734573616001</v>
      </c>
      <c r="T3327">
        <v>3.70388945805567</v>
      </c>
      <c r="U3327">
        <v>-1.64234118332931</v>
      </c>
      <c r="V3327">
        <v>1.9453648923375901E-3</v>
      </c>
      <c r="W3327">
        <v>1.43076139298721E-2</v>
      </c>
      <c r="X3327">
        <v>1</v>
      </c>
      <c r="Y3327">
        <v>1</v>
      </c>
    </row>
    <row r="3328" spans="1:25" x14ac:dyDescent="0.2">
      <c r="A3328" t="s">
        <v>12289</v>
      </c>
      <c r="B3328" t="s">
        <v>12290</v>
      </c>
      <c r="C3328" t="s">
        <v>14661</v>
      </c>
      <c r="D3328" t="s">
        <v>12291</v>
      </c>
      <c r="E3328" t="s">
        <v>12290</v>
      </c>
      <c r="F3328" t="s">
        <v>28</v>
      </c>
      <c r="G3328" t="s">
        <v>12290</v>
      </c>
      <c r="H3328" t="str">
        <f>"Y61A9LA.10"</f>
        <v>Y61A9LA.10</v>
      </c>
      <c r="I3328" t="s">
        <v>12291</v>
      </c>
      <c r="J3328">
        <v>14.507632836791901</v>
      </c>
      <c r="K3328">
        <v>14.495560181134801</v>
      </c>
      <c r="L3328">
        <v>14.603942200093501</v>
      </c>
      <c r="M3328" t="s">
        <v>29</v>
      </c>
      <c r="N3328">
        <v>14.1325766793661</v>
      </c>
      <c r="O3328">
        <v>14.3827191353523</v>
      </c>
      <c r="P3328">
        <v>-0.27806383198092999</v>
      </c>
      <c r="Q3328">
        <v>-0.71419203951266896</v>
      </c>
      <c r="R3328">
        <v>0.15806437555080899</v>
      </c>
      <c r="S3328">
        <v>14.481145209264801</v>
      </c>
      <c r="T3328">
        <v>-1.34579943020285</v>
      </c>
      <c r="U3328">
        <v>-6.1414319739960499</v>
      </c>
      <c r="V3328">
        <v>0.19615032782320699</v>
      </c>
      <c r="W3328">
        <v>0.35507064870699701</v>
      </c>
      <c r="X3328">
        <v>0</v>
      </c>
      <c r="Y3328">
        <v>0</v>
      </c>
    </row>
    <row r="3329" spans="1:25" x14ac:dyDescent="0.2">
      <c r="A3329" t="s">
        <v>12292</v>
      </c>
      <c r="B3329" t="s">
        <v>12293</v>
      </c>
      <c r="C3329" t="s">
        <v>14662</v>
      </c>
      <c r="D3329" t="s">
        <v>107</v>
      </c>
      <c r="E3329" t="s">
        <v>12293</v>
      </c>
      <c r="F3329" t="s">
        <v>28</v>
      </c>
      <c r="G3329" t="s">
        <v>12293</v>
      </c>
      <c r="H3329" t="str">
        <f>"Y61A9LA.1"</f>
        <v>Y61A9LA.1</v>
      </c>
      <c r="I3329" t="s">
        <v>107</v>
      </c>
      <c r="J3329">
        <v>10.6206066489977</v>
      </c>
      <c r="K3329">
        <v>10.8110042783818</v>
      </c>
      <c r="L3329">
        <v>10.667930151764301</v>
      </c>
      <c r="M3329" t="s">
        <v>29</v>
      </c>
      <c r="N3329" t="s">
        <v>29</v>
      </c>
      <c r="O3329">
        <v>9.8414504636131497</v>
      </c>
      <c r="P3329">
        <v>-0.85839656276813003</v>
      </c>
      <c r="Q3329">
        <v>-1.71126151642972</v>
      </c>
      <c r="R3329">
        <v>-5.5316091065411603E-3</v>
      </c>
      <c r="S3329">
        <v>11.0609502042684</v>
      </c>
      <c r="T3329">
        <v>-2.1602280162789298</v>
      </c>
      <c r="U3329">
        <v>-4.6857525580188</v>
      </c>
      <c r="V3329">
        <v>4.8722181454816403E-2</v>
      </c>
      <c r="W3329">
        <v>0.13381572110656501</v>
      </c>
      <c r="X3329">
        <v>0</v>
      </c>
      <c r="Y3329">
        <v>0</v>
      </c>
    </row>
    <row r="3330" spans="1:25" x14ac:dyDescent="0.2">
      <c r="A3330" t="s">
        <v>12294</v>
      </c>
      <c r="B3330" t="s">
        <v>12295</v>
      </c>
      <c r="C3330" t="s">
        <v>12296</v>
      </c>
      <c r="D3330" t="s">
        <v>12297</v>
      </c>
      <c r="E3330" t="s">
        <v>12295</v>
      </c>
      <c r="F3330" t="s">
        <v>28</v>
      </c>
      <c r="G3330" t="s">
        <v>12295</v>
      </c>
      <c r="H3330" t="str">
        <f>"catp-7"</f>
        <v>catp-7</v>
      </c>
      <c r="I3330" t="s">
        <v>12297</v>
      </c>
      <c r="J3330">
        <v>11.561771614881399</v>
      </c>
      <c r="K3330">
        <v>12.5991125717874</v>
      </c>
      <c r="L3330">
        <v>12.668889581680901</v>
      </c>
      <c r="M3330" t="s">
        <v>29</v>
      </c>
      <c r="N3330">
        <v>13.2019427686052</v>
      </c>
      <c r="O3330">
        <v>12.9132701834604</v>
      </c>
      <c r="P3330">
        <v>0.78101521991621503</v>
      </c>
      <c r="Q3330">
        <v>-6.6960049212447498E-2</v>
      </c>
      <c r="R3330">
        <v>1.6289904890448801</v>
      </c>
      <c r="S3330">
        <v>12.410236318287801</v>
      </c>
      <c r="T3330">
        <v>1.9643456824719101</v>
      </c>
      <c r="U3330">
        <v>-5.2299703011353396</v>
      </c>
      <c r="V3330">
        <v>6.8430327817924005E-2</v>
      </c>
      <c r="W3330">
        <v>0.168334036794175</v>
      </c>
      <c r="X3330">
        <v>0</v>
      </c>
      <c r="Y3330">
        <v>0</v>
      </c>
    </row>
    <row r="3331" spans="1:25" x14ac:dyDescent="0.2">
      <c r="A3331" t="s">
        <v>12298</v>
      </c>
      <c r="B3331" t="s">
        <v>12299</v>
      </c>
      <c r="C3331" t="s">
        <v>12300</v>
      </c>
      <c r="D3331" t="s">
        <v>12301</v>
      </c>
      <c r="E3331" t="s">
        <v>12299</v>
      </c>
      <c r="F3331" t="s">
        <v>28</v>
      </c>
      <c r="G3331" t="s">
        <v>12299</v>
      </c>
      <c r="H3331" t="str">
        <f>"mdt-6"</f>
        <v>mdt-6</v>
      </c>
      <c r="I3331" t="s">
        <v>12301</v>
      </c>
      <c r="J3331">
        <v>12.270189890492199</v>
      </c>
      <c r="K3331">
        <v>12.6136441941117</v>
      </c>
      <c r="L3331">
        <v>12.5892429457534</v>
      </c>
      <c r="M3331">
        <v>13.380652391034801</v>
      </c>
      <c r="N3331">
        <v>13.106726782279701</v>
      </c>
      <c r="O3331">
        <v>14.357998515684899</v>
      </c>
      <c r="P3331">
        <v>1.1241002195473899</v>
      </c>
      <c r="Q3331">
        <v>0.44346242861882901</v>
      </c>
      <c r="R3331">
        <v>1.8047380104759501</v>
      </c>
      <c r="S3331">
        <v>13.0952580821571</v>
      </c>
      <c r="T3331">
        <v>3.5029868238609398</v>
      </c>
      <c r="U3331">
        <v>-2.3622071037538199</v>
      </c>
      <c r="V3331">
        <v>2.9700208236595302E-3</v>
      </c>
      <c r="W3331">
        <v>1.9450336371832602E-2</v>
      </c>
      <c r="X3331">
        <v>1</v>
      </c>
      <c r="Y3331">
        <v>1</v>
      </c>
    </row>
    <row r="3332" spans="1:25" x14ac:dyDescent="0.2">
      <c r="A3332" t="s">
        <v>12302</v>
      </c>
      <c r="B3332" t="s">
        <v>12303</v>
      </c>
      <c r="C3332" t="s">
        <v>14663</v>
      </c>
      <c r="D3332" t="s">
        <v>12304</v>
      </c>
      <c r="E3332" t="s">
        <v>12303</v>
      </c>
      <c r="F3332" t="s">
        <v>28</v>
      </c>
      <c r="G3332" t="s">
        <v>12303</v>
      </c>
      <c r="H3332" t="str">
        <f>"Y55F3BR.1"</f>
        <v>Y55F3BR.1</v>
      </c>
      <c r="I3332" t="s">
        <v>12304</v>
      </c>
      <c r="J3332">
        <v>12.4393634999587</v>
      </c>
      <c r="K3332" t="s">
        <v>29</v>
      </c>
      <c r="L3332" t="s">
        <v>29</v>
      </c>
      <c r="M3332" t="s">
        <v>29</v>
      </c>
      <c r="N3332" t="s">
        <v>29</v>
      </c>
      <c r="O3332" t="s">
        <v>29</v>
      </c>
      <c r="P3332" t="s">
        <v>29</v>
      </c>
      <c r="Q3332" t="s">
        <v>29</v>
      </c>
      <c r="R3332" t="s">
        <v>29</v>
      </c>
      <c r="S3332">
        <v>12.7911631773287</v>
      </c>
      <c r="T3332" t="s">
        <v>29</v>
      </c>
      <c r="U3332" t="s">
        <v>29</v>
      </c>
      <c r="V3332" t="s">
        <v>29</v>
      </c>
      <c r="W3332" t="s">
        <v>29</v>
      </c>
      <c r="X3332" t="s">
        <v>29</v>
      </c>
      <c r="Y3332" t="s">
        <v>29</v>
      </c>
    </row>
    <row r="3333" spans="1:25" x14ac:dyDescent="0.2">
      <c r="A3333" t="s">
        <v>12305</v>
      </c>
      <c r="B3333" t="s">
        <v>12306</v>
      </c>
      <c r="C3333" t="s">
        <v>12307</v>
      </c>
      <c r="D3333" t="s">
        <v>12308</v>
      </c>
      <c r="E3333" t="s">
        <v>12306</v>
      </c>
      <c r="F3333" t="s">
        <v>28</v>
      </c>
      <c r="G3333" t="s">
        <v>12306</v>
      </c>
      <c r="H3333" t="str">
        <f>"cox-18"</f>
        <v>cox-18</v>
      </c>
      <c r="I3333" t="s">
        <v>12308</v>
      </c>
      <c r="J3333">
        <v>14.4272818256321</v>
      </c>
      <c r="K3333">
        <v>14.4025815337412</v>
      </c>
      <c r="L3333">
        <v>14.42539052877</v>
      </c>
      <c r="M3333">
        <v>14.6550822614601</v>
      </c>
      <c r="N3333">
        <v>14.0774311429601</v>
      </c>
      <c r="O3333">
        <v>13.7707434185899</v>
      </c>
      <c r="P3333">
        <v>-0.25066568837775099</v>
      </c>
      <c r="Q3333">
        <v>-0.66884479128921104</v>
      </c>
      <c r="R3333">
        <v>0.16751341453370899</v>
      </c>
      <c r="S3333">
        <v>14.333487428845601</v>
      </c>
      <c r="T3333">
        <v>-1.2598680935162301</v>
      </c>
      <c r="U3333">
        <v>-6.3584165409621098</v>
      </c>
      <c r="V3333">
        <v>0.22390039332379499</v>
      </c>
      <c r="W3333">
        <v>0.38813791713248402</v>
      </c>
      <c r="X3333">
        <v>0</v>
      </c>
      <c r="Y3333">
        <v>0</v>
      </c>
    </row>
    <row r="3334" spans="1:25" x14ac:dyDescent="0.2">
      <c r="A3334" t="s">
        <v>12309</v>
      </c>
      <c r="B3334" t="s">
        <v>12310</v>
      </c>
      <c r="C3334" t="s">
        <v>12311</v>
      </c>
      <c r="D3334" t="s">
        <v>12312</v>
      </c>
      <c r="E3334" t="s">
        <v>12310</v>
      </c>
      <c r="F3334" t="s">
        <v>28</v>
      </c>
      <c r="G3334" t="s">
        <v>12310</v>
      </c>
      <c r="H3334" t="str">
        <f>"cct-8"</f>
        <v>cct-8</v>
      </c>
      <c r="I3334" t="s">
        <v>12312</v>
      </c>
      <c r="J3334">
        <v>15.3794687417157</v>
      </c>
      <c r="K3334">
        <v>15.0150819691587</v>
      </c>
      <c r="L3334">
        <v>15.2398280536234</v>
      </c>
      <c r="M3334">
        <v>15.8764384722842</v>
      </c>
      <c r="N3334">
        <v>15.5685053903261</v>
      </c>
      <c r="O3334">
        <v>15.531114231974399</v>
      </c>
      <c r="P3334">
        <v>0.447226443362293</v>
      </c>
      <c r="Q3334">
        <v>5.6077545552677702E-2</v>
      </c>
      <c r="R3334">
        <v>0.83837534117190904</v>
      </c>
      <c r="S3334">
        <v>15.3728180462269</v>
      </c>
      <c r="T3334">
        <v>2.40313338432329</v>
      </c>
      <c r="U3334">
        <v>-4.5320974060522596</v>
      </c>
      <c r="V3334">
        <v>2.7320343139265901E-2</v>
      </c>
      <c r="W3334">
        <v>9.0362571527964702E-2</v>
      </c>
      <c r="X3334">
        <v>0</v>
      </c>
      <c r="Y3334">
        <v>0</v>
      </c>
    </row>
    <row r="3335" spans="1:25" x14ac:dyDescent="0.2">
      <c r="A3335" t="s">
        <v>12313</v>
      </c>
      <c r="B3335" t="s">
        <v>12314</v>
      </c>
      <c r="C3335" t="s">
        <v>12315</v>
      </c>
      <c r="D3335" t="s">
        <v>12316</v>
      </c>
      <c r="E3335" t="s">
        <v>12314</v>
      </c>
      <c r="F3335" t="s">
        <v>28</v>
      </c>
      <c r="G3335" t="s">
        <v>12314</v>
      </c>
      <c r="H3335" t="str">
        <f>"csn-4"</f>
        <v>csn-4</v>
      </c>
      <c r="I3335" t="s">
        <v>12316</v>
      </c>
      <c r="J3335">
        <v>14.096500857192099</v>
      </c>
      <c r="K3335">
        <v>14.249569586523499</v>
      </c>
      <c r="L3335">
        <v>13.962261158127699</v>
      </c>
      <c r="M3335">
        <v>13.978905587037</v>
      </c>
      <c r="N3335">
        <v>14.080099289127199</v>
      </c>
      <c r="O3335">
        <v>13.899002502770401</v>
      </c>
      <c r="P3335">
        <v>-0.116774740969548</v>
      </c>
      <c r="Q3335">
        <v>-0.48283634193491298</v>
      </c>
      <c r="R3335">
        <v>0.24928685999581701</v>
      </c>
      <c r="S3335">
        <v>14.013235069032</v>
      </c>
      <c r="T3335">
        <v>-0.67048219742148496</v>
      </c>
      <c r="U3335">
        <v>-6.9233151910394604</v>
      </c>
      <c r="V3335">
        <v>0.51111156694788695</v>
      </c>
      <c r="W3335">
        <v>0.66412953606500102</v>
      </c>
      <c r="X3335">
        <v>0</v>
      </c>
      <c r="Y3335">
        <v>0</v>
      </c>
    </row>
    <row r="3336" spans="1:25" x14ac:dyDescent="0.2">
      <c r="A3336" t="s">
        <v>12317</v>
      </c>
      <c r="B3336" t="s">
        <v>12318</v>
      </c>
      <c r="C3336" t="s">
        <v>12319</v>
      </c>
      <c r="D3336" t="s">
        <v>12320</v>
      </c>
      <c r="E3336" t="s">
        <v>12318</v>
      </c>
      <c r="F3336" t="s">
        <v>28</v>
      </c>
      <c r="G3336" t="s">
        <v>12318</v>
      </c>
      <c r="H3336" t="str">
        <f>"mrps-25"</f>
        <v>mrps-25</v>
      </c>
      <c r="I3336" t="s">
        <v>12320</v>
      </c>
      <c r="J3336" t="s">
        <v>29</v>
      </c>
      <c r="K3336" t="s">
        <v>29</v>
      </c>
      <c r="L3336" t="s">
        <v>29</v>
      </c>
      <c r="M3336" t="s">
        <v>29</v>
      </c>
      <c r="N3336" t="s">
        <v>29</v>
      </c>
      <c r="O3336" t="s">
        <v>29</v>
      </c>
      <c r="P3336" t="s">
        <v>29</v>
      </c>
      <c r="Q3336" t="s">
        <v>29</v>
      </c>
      <c r="R3336" t="s">
        <v>29</v>
      </c>
      <c r="S3336">
        <v>11.934927455709399</v>
      </c>
      <c r="T3336" t="s">
        <v>29</v>
      </c>
      <c r="U3336" t="s">
        <v>29</v>
      </c>
      <c r="V3336" t="s">
        <v>29</v>
      </c>
      <c r="W3336" t="s">
        <v>29</v>
      </c>
      <c r="X3336" t="s">
        <v>29</v>
      </c>
      <c r="Y3336" t="s">
        <v>29</v>
      </c>
    </row>
    <row r="3337" spans="1:25" x14ac:dyDescent="0.2">
      <c r="A3337" t="s">
        <v>12321</v>
      </c>
      <c r="B3337" t="s">
        <v>12322</v>
      </c>
      <c r="C3337" t="s">
        <v>14664</v>
      </c>
      <c r="D3337" t="s">
        <v>12323</v>
      </c>
      <c r="E3337" t="s">
        <v>12322</v>
      </c>
      <c r="F3337" t="s">
        <v>28</v>
      </c>
      <c r="G3337" t="s">
        <v>12322</v>
      </c>
      <c r="H3337" t="str">
        <f>"Y55F3AM.13"</f>
        <v>Y55F3AM.13</v>
      </c>
      <c r="I3337" t="s">
        <v>12323</v>
      </c>
      <c r="J3337">
        <v>15.572218055152501</v>
      </c>
      <c r="K3337">
        <v>15.3483874261208</v>
      </c>
      <c r="L3337">
        <v>15.3952394884602</v>
      </c>
      <c r="M3337">
        <v>14.4462938052224</v>
      </c>
      <c r="N3337">
        <v>14.614484840638699</v>
      </c>
      <c r="O3337">
        <v>14.836300100648399</v>
      </c>
      <c r="P3337">
        <v>-0.80625540774133797</v>
      </c>
      <c r="Q3337">
        <v>-1.19662764390067</v>
      </c>
      <c r="R3337">
        <v>-0.415883171582005</v>
      </c>
      <c r="S3337">
        <v>15.2652175842295</v>
      </c>
      <c r="T3337">
        <v>-4.3409644704628798</v>
      </c>
      <c r="U3337">
        <v>-0.41967772543131299</v>
      </c>
      <c r="V3337">
        <v>3.98529605696346E-4</v>
      </c>
      <c r="W3337">
        <v>4.6114804057809898E-3</v>
      </c>
      <c r="X3337">
        <v>0</v>
      </c>
      <c r="Y3337">
        <v>0</v>
      </c>
    </row>
    <row r="3338" spans="1:25" x14ac:dyDescent="0.2">
      <c r="A3338" t="s">
        <v>12324</v>
      </c>
      <c r="B3338" t="s">
        <v>12325</v>
      </c>
      <c r="C3338" t="s">
        <v>12326</v>
      </c>
      <c r="D3338" t="s">
        <v>12327</v>
      </c>
      <c r="E3338" t="s">
        <v>12325</v>
      </c>
      <c r="F3338" t="s">
        <v>28</v>
      </c>
      <c r="G3338" t="s">
        <v>12325</v>
      </c>
      <c r="H3338" t="str">
        <f>"dcap-1"</f>
        <v>dcap-1</v>
      </c>
      <c r="I3338" t="s">
        <v>12327</v>
      </c>
      <c r="J3338">
        <v>13.5933391512183</v>
      </c>
      <c r="K3338">
        <v>13.831502248622099</v>
      </c>
      <c r="L3338">
        <v>13.6590754445411</v>
      </c>
      <c r="M3338">
        <v>13.0625792706713</v>
      </c>
      <c r="N3338">
        <v>14.702204871563</v>
      </c>
      <c r="O3338">
        <v>15.296091990160599</v>
      </c>
      <c r="P3338">
        <v>0.65898642933782803</v>
      </c>
      <c r="Q3338">
        <v>-0.14145682187637201</v>
      </c>
      <c r="R3338">
        <v>1.4594296805520299</v>
      </c>
      <c r="S3338">
        <v>14.816122265869801</v>
      </c>
      <c r="T3338">
        <v>1.7303678485429399</v>
      </c>
      <c r="U3338">
        <v>-5.7041022476330898</v>
      </c>
      <c r="V3338">
        <v>0.100772184288506</v>
      </c>
      <c r="W3338">
        <v>0.21836443168987299</v>
      </c>
      <c r="X3338">
        <v>0</v>
      </c>
      <c r="Y3338">
        <v>0</v>
      </c>
    </row>
    <row r="3339" spans="1:25" x14ac:dyDescent="0.2">
      <c r="A3339" t="s">
        <v>12328</v>
      </c>
      <c r="B3339" t="s">
        <v>12329</v>
      </c>
      <c r="C3339" t="s">
        <v>12330</v>
      </c>
      <c r="D3339" t="s">
        <v>93</v>
      </c>
      <c r="E3339" t="s">
        <v>12329</v>
      </c>
      <c r="F3339" t="s">
        <v>28</v>
      </c>
      <c r="G3339" t="s">
        <v>12329</v>
      </c>
      <c r="H3339" t="str">
        <f>"rbm-39"</f>
        <v>rbm-39</v>
      </c>
      <c r="I3339" t="s">
        <v>93</v>
      </c>
      <c r="J3339">
        <v>16.079845444456101</v>
      </c>
      <c r="K3339">
        <v>15.5890036156392</v>
      </c>
      <c r="L3339">
        <v>15.626531003328401</v>
      </c>
      <c r="M3339">
        <v>17.4594606493059</v>
      </c>
      <c r="N3339">
        <v>16.704119830297099</v>
      </c>
      <c r="O3339">
        <v>15.703221855100301</v>
      </c>
      <c r="P3339">
        <v>0.85714075709316595</v>
      </c>
      <c r="Q3339">
        <v>4.6059162278302902E-2</v>
      </c>
      <c r="R3339">
        <v>1.6682223519080299</v>
      </c>
      <c r="S3339">
        <v>15.841758179470199</v>
      </c>
      <c r="T3339">
        <v>2.2211613768143499</v>
      </c>
      <c r="U3339">
        <v>-4.8714366722348998</v>
      </c>
      <c r="V3339">
        <v>3.9488278270185397E-2</v>
      </c>
      <c r="W3339">
        <v>0.117192302177479</v>
      </c>
      <c r="X3339">
        <v>0</v>
      </c>
      <c r="Y3339">
        <v>0</v>
      </c>
    </row>
    <row r="3340" spans="1:25" x14ac:dyDescent="0.2">
      <c r="A3340" t="s">
        <v>12331</v>
      </c>
      <c r="B3340" t="s">
        <v>12332</v>
      </c>
      <c r="C3340" t="s">
        <v>12333</v>
      </c>
      <c r="D3340" t="s">
        <v>12334</v>
      </c>
      <c r="E3340" t="s">
        <v>12332</v>
      </c>
      <c r="F3340" t="s">
        <v>28</v>
      </c>
      <c r="G3340" t="s">
        <v>12332</v>
      </c>
      <c r="H3340" t="str">
        <f>"atg-3"</f>
        <v>atg-3</v>
      </c>
      <c r="I3340" t="s">
        <v>12334</v>
      </c>
      <c r="J3340" t="s">
        <v>29</v>
      </c>
      <c r="K3340" t="s">
        <v>29</v>
      </c>
      <c r="L3340">
        <v>11.544524448746699</v>
      </c>
      <c r="M3340" t="s">
        <v>29</v>
      </c>
      <c r="N3340" t="s">
        <v>29</v>
      </c>
      <c r="O3340" t="s">
        <v>29</v>
      </c>
      <c r="P3340" t="s">
        <v>29</v>
      </c>
      <c r="Q3340" t="s">
        <v>29</v>
      </c>
      <c r="R3340" t="s">
        <v>29</v>
      </c>
      <c r="S3340">
        <v>11.8317492686534</v>
      </c>
      <c r="T3340" t="s">
        <v>29</v>
      </c>
      <c r="U3340" t="s">
        <v>29</v>
      </c>
      <c r="V3340" t="s">
        <v>29</v>
      </c>
      <c r="W3340" t="s">
        <v>29</v>
      </c>
      <c r="X3340" t="s">
        <v>29</v>
      </c>
      <c r="Y3340" t="s">
        <v>29</v>
      </c>
    </row>
    <row r="3341" spans="1:25" x14ac:dyDescent="0.2">
      <c r="A3341" t="s">
        <v>12335</v>
      </c>
      <c r="B3341" t="s">
        <v>12336</v>
      </c>
      <c r="C3341" t="s">
        <v>14174</v>
      </c>
      <c r="D3341" t="s">
        <v>416</v>
      </c>
      <c r="E3341" t="s">
        <v>12336</v>
      </c>
      <c r="F3341" t="s">
        <v>28</v>
      </c>
      <c r="G3341" t="s">
        <v>12336</v>
      </c>
      <c r="H3341" t="str">
        <f>"Y55F3AM.9"</f>
        <v>Y55F3AM.9</v>
      </c>
      <c r="I3341" t="s">
        <v>416</v>
      </c>
      <c r="J3341">
        <v>11.632250062475901</v>
      </c>
      <c r="K3341" t="s">
        <v>29</v>
      </c>
      <c r="L3341">
        <v>11.243748697673</v>
      </c>
      <c r="M3341" t="s">
        <v>29</v>
      </c>
      <c r="N3341" t="s">
        <v>29</v>
      </c>
      <c r="O3341">
        <v>12.985054571461699</v>
      </c>
      <c r="P3341">
        <v>1.5470551913872299</v>
      </c>
      <c r="Q3341">
        <v>0.33941844220602102</v>
      </c>
      <c r="R3341">
        <v>2.7546919405684398</v>
      </c>
      <c r="S3341">
        <v>12.762657337754201</v>
      </c>
      <c r="T3341">
        <v>2.7939234291249999</v>
      </c>
      <c r="U3341">
        <v>-3.5575430236188801</v>
      </c>
      <c r="V3341">
        <v>1.6344681438017102E-2</v>
      </c>
      <c r="W3341">
        <v>6.4568064608359593E-2</v>
      </c>
      <c r="X3341">
        <v>1</v>
      </c>
      <c r="Y3341">
        <v>0</v>
      </c>
    </row>
    <row r="3342" spans="1:25" x14ac:dyDescent="0.2">
      <c r="A3342" t="s">
        <v>12337</v>
      </c>
      <c r="B3342" t="s">
        <v>12338</v>
      </c>
      <c r="C3342" t="s">
        <v>12339</v>
      </c>
      <c r="D3342" t="s">
        <v>12340</v>
      </c>
      <c r="E3342" t="s">
        <v>12338</v>
      </c>
      <c r="F3342" t="s">
        <v>28</v>
      </c>
      <c r="G3342" t="s">
        <v>12338</v>
      </c>
      <c r="H3342" t="str">
        <f>"lep-2"</f>
        <v>lep-2</v>
      </c>
      <c r="I3342" t="s">
        <v>12340</v>
      </c>
      <c r="J3342">
        <v>11.1441277245683</v>
      </c>
      <c r="K3342">
        <v>11.275980326547501</v>
      </c>
      <c r="L3342" t="s">
        <v>29</v>
      </c>
      <c r="M3342" t="s">
        <v>29</v>
      </c>
      <c r="N3342">
        <v>12.336352943593299</v>
      </c>
      <c r="O3342">
        <v>11.833574405672399</v>
      </c>
      <c r="P3342">
        <v>0.87490964907490099</v>
      </c>
      <c r="Q3342">
        <v>0.19088247776946399</v>
      </c>
      <c r="R3342">
        <v>1.55893682038034</v>
      </c>
      <c r="S3342">
        <v>12.216053614925499</v>
      </c>
      <c r="T3342">
        <v>2.7129349638092699</v>
      </c>
      <c r="U3342">
        <v>-3.7754497220686698</v>
      </c>
      <c r="V3342">
        <v>1.5426083075081899E-2</v>
      </c>
      <c r="W3342">
        <v>6.1683401387064199E-2</v>
      </c>
      <c r="X3342">
        <v>0</v>
      </c>
      <c r="Y3342">
        <v>0</v>
      </c>
    </row>
    <row r="3343" spans="1:25" x14ac:dyDescent="0.2">
      <c r="A3343" t="s">
        <v>12341</v>
      </c>
      <c r="B3343" t="s">
        <v>12342</v>
      </c>
      <c r="C3343" t="s">
        <v>14665</v>
      </c>
      <c r="D3343" t="s">
        <v>587</v>
      </c>
      <c r="E3343" t="s">
        <v>12342</v>
      </c>
      <c r="F3343" t="s">
        <v>28</v>
      </c>
      <c r="G3343" t="s">
        <v>12342</v>
      </c>
      <c r="H3343" t="str">
        <f>"Y54F10AR.2"</f>
        <v>Y54F10AR.2</v>
      </c>
      <c r="I3343" t="s">
        <v>587</v>
      </c>
      <c r="J3343">
        <v>13.5263252227448</v>
      </c>
      <c r="K3343">
        <v>13.1945453131005</v>
      </c>
      <c r="L3343">
        <v>13.472577156937399</v>
      </c>
      <c r="M3343" t="s">
        <v>29</v>
      </c>
      <c r="N3343">
        <v>12.554932207401601</v>
      </c>
      <c r="O3343">
        <v>13.8357176463266</v>
      </c>
      <c r="P3343">
        <v>-0.20249097073014399</v>
      </c>
      <c r="Q3343">
        <v>-0.78407710296184296</v>
      </c>
      <c r="R3343">
        <v>0.37909516150155498</v>
      </c>
      <c r="S3343">
        <v>13.4923410469797</v>
      </c>
      <c r="T3343">
        <v>-0.73492265139889901</v>
      </c>
      <c r="U3343">
        <v>-6.7660402894355096</v>
      </c>
      <c r="V3343">
        <v>0.47246536813621898</v>
      </c>
      <c r="W3343">
        <v>0.63288883631701698</v>
      </c>
      <c r="X3343">
        <v>0</v>
      </c>
      <c r="Y3343">
        <v>0</v>
      </c>
    </row>
    <row r="3344" spans="1:25" x14ac:dyDescent="0.2">
      <c r="A3344" t="s">
        <v>12343</v>
      </c>
      <c r="B3344" t="s">
        <v>12344</v>
      </c>
      <c r="C3344" t="s">
        <v>12345</v>
      </c>
      <c r="D3344" t="s">
        <v>12346</v>
      </c>
      <c r="E3344" t="s">
        <v>12344</v>
      </c>
      <c r="F3344" t="s">
        <v>28</v>
      </c>
      <c r="G3344" t="s">
        <v>12344</v>
      </c>
      <c r="H3344" t="str">
        <f>"rpb-7"</f>
        <v>rpb-7</v>
      </c>
      <c r="I3344" t="s">
        <v>12346</v>
      </c>
      <c r="J3344">
        <v>14.6071881246038</v>
      </c>
      <c r="K3344">
        <v>14.488820958945301</v>
      </c>
      <c r="L3344">
        <v>14.503235282617901</v>
      </c>
      <c r="M3344">
        <v>12.710042217986899</v>
      </c>
      <c r="N3344">
        <v>11.255924920954101</v>
      </c>
      <c r="O3344">
        <v>12.781541426379</v>
      </c>
      <c r="P3344">
        <v>-2.2839119336156499</v>
      </c>
      <c r="Q3344">
        <v>-3.0088973381189801</v>
      </c>
      <c r="R3344">
        <v>-1.55892652911232</v>
      </c>
      <c r="S3344">
        <v>13.5319196731811</v>
      </c>
      <c r="T3344">
        <v>-6.6212899074115601</v>
      </c>
      <c r="U3344">
        <v>4.4060656466927703</v>
      </c>
      <c r="V3344" s="2">
        <v>3.3361100586174599E-6</v>
      </c>
      <c r="W3344">
        <v>1.18452004129466E-4</v>
      </c>
      <c r="X3344">
        <v>-1</v>
      </c>
      <c r="Y3344">
        <v>-1</v>
      </c>
    </row>
    <row r="3345" spans="1:25" x14ac:dyDescent="0.2">
      <c r="A3345" t="s">
        <v>12347</v>
      </c>
      <c r="B3345" t="s">
        <v>12348</v>
      </c>
      <c r="C3345" t="s">
        <v>12349</v>
      </c>
      <c r="D3345" t="s">
        <v>12350</v>
      </c>
      <c r="E3345" t="s">
        <v>12348</v>
      </c>
      <c r="F3345" t="s">
        <v>28</v>
      </c>
      <c r="G3345" t="s">
        <v>12348</v>
      </c>
      <c r="H3345" t="str">
        <f>"sec-11"</f>
        <v>sec-11</v>
      </c>
      <c r="I3345" t="s">
        <v>12350</v>
      </c>
      <c r="J3345">
        <v>12.3567727787681</v>
      </c>
      <c r="K3345">
        <v>14.415372186775899</v>
      </c>
      <c r="L3345">
        <v>14.6049088881825</v>
      </c>
      <c r="M3345">
        <v>13.441228004225801</v>
      </c>
      <c r="N3345">
        <v>14.6277405446736</v>
      </c>
      <c r="O3345">
        <v>14.1380488903173</v>
      </c>
      <c r="P3345">
        <v>0.276654528496726</v>
      </c>
      <c r="Q3345">
        <v>-0.68316496982104402</v>
      </c>
      <c r="R3345">
        <v>1.2364740268145</v>
      </c>
      <c r="S3345">
        <v>14.2634901845343</v>
      </c>
      <c r="T3345">
        <v>0.60581598505553702</v>
      </c>
      <c r="U3345">
        <v>-6.96565629797598</v>
      </c>
      <c r="V3345">
        <v>0.552244226351567</v>
      </c>
      <c r="W3345">
        <v>0.69609227333535895</v>
      </c>
      <c r="X3345">
        <v>0</v>
      </c>
      <c r="Y3345">
        <v>0</v>
      </c>
    </row>
    <row r="3346" spans="1:25" x14ac:dyDescent="0.2">
      <c r="A3346" t="s">
        <v>12351</v>
      </c>
      <c r="B3346" t="s">
        <v>12352</v>
      </c>
      <c r="C3346" t="s">
        <v>14666</v>
      </c>
      <c r="D3346" t="s">
        <v>12353</v>
      </c>
      <c r="E3346" t="s">
        <v>12352</v>
      </c>
      <c r="F3346" t="s">
        <v>28</v>
      </c>
      <c r="G3346" t="s">
        <v>12352</v>
      </c>
      <c r="H3346" t="str">
        <f>"Y54E10BR.4"</f>
        <v>Y54E10BR.4</v>
      </c>
      <c r="I3346" t="s">
        <v>12353</v>
      </c>
      <c r="J3346" t="s">
        <v>29</v>
      </c>
      <c r="K3346" t="s">
        <v>29</v>
      </c>
      <c r="L3346" t="s">
        <v>29</v>
      </c>
      <c r="M3346" t="s">
        <v>29</v>
      </c>
      <c r="N3346" t="s">
        <v>29</v>
      </c>
      <c r="O3346" t="s">
        <v>29</v>
      </c>
      <c r="P3346" t="s">
        <v>29</v>
      </c>
      <c r="Q3346" t="s">
        <v>29</v>
      </c>
      <c r="R3346" t="s">
        <v>29</v>
      </c>
      <c r="S3346">
        <v>10.709771804039899</v>
      </c>
      <c r="T3346" t="s">
        <v>29</v>
      </c>
      <c r="U3346" t="s">
        <v>29</v>
      </c>
      <c r="V3346" t="s">
        <v>29</v>
      </c>
      <c r="W3346" t="s">
        <v>29</v>
      </c>
      <c r="X3346" t="s">
        <v>29</v>
      </c>
      <c r="Y3346" t="s">
        <v>29</v>
      </c>
    </row>
    <row r="3347" spans="1:25" x14ac:dyDescent="0.2">
      <c r="A3347" t="s">
        <v>12354</v>
      </c>
      <c r="B3347" t="s">
        <v>12355</v>
      </c>
      <c r="C3347" t="s">
        <v>12356</v>
      </c>
      <c r="D3347" t="s">
        <v>12357</v>
      </c>
      <c r="E3347" t="s">
        <v>12355</v>
      </c>
      <c r="F3347" t="s">
        <v>28</v>
      </c>
      <c r="G3347" t="s">
        <v>12355</v>
      </c>
      <c r="H3347" t="str">
        <f>"nduf-5"</f>
        <v>nduf-5</v>
      </c>
      <c r="I3347" t="s">
        <v>12357</v>
      </c>
      <c r="J3347">
        <v>13.261900024889099</v>
      </c>
      <c r="K3347">
        <v>13.185914859527401</v>
      </c>
      <c r="L3347">
        <v>12.582312818526701</v>
      </c>
      <c r="M3347" t="s">
        <v>29</v>
      </c>
      <c r="N3347" t="s">
        <v>29</v>
      </c>
      <c r="O3347">
        <v>11.776150415478901</v>
      </c>
      <c r="P3347">
        <v>-1.23389215216884</v>
      </c>
      <c r="Q3347">
        <v>-2.6684190858460601</v>
      </c>
      <c r="R3347">
        <v>0.20063478150837799</v>
      </c>
      <c r="S3347">
        <v>13.156512026489599</v>
      </c>
      <c r="T3347">
        <v>-1.8344678342709699</v>
      </c>
      <c r="U3347">
        <v>-5.2150322515029401</v>
      </c>
      <c r="V3347">
        <v>8.6636687096774898E-2</v>
      </c>
      <c r="W3347">
        <v>0.19765809393804301</v>
      </c>
      <c r="X3347">
        <v>0</v>
      </c>
      <c r="Y3347">
        <v>0</v>
      </c>
    </row>
    <row r="3348" spans="1:25" x14ac:dyDescent="0.2">
      <c r="A3348" t="s">
        <v>12358</v>
      </c>
      <c r="B3348" t="s">
        <v>12359</v>
      </c>
      <c r="C3348" t="s">
        <v>12360</v>
      </c>
      <c r="D3348" t="s">
        <v>12361</v>
      </c>
      <c r="E3348" t="s">
        <v>12359</v>
      </c>
      <c r="F3348" t="s">
        <v>28</v>
      </c>
      <c r="G3348" t="s">
        <v>12359</v>
      </c>
      <c r="H3348" t="str">
        <f>"mab-31"</f>
        <v>mab-31</v>
      </c>
      <c r="I3348" t="s">
        <v>12361</v>
      </c>
      <c r="J3348">
        <v>11.8813441025611</v>
      </c>
      <c r="K3348">
        <v>12.3914904673819</v>
      </c>
      <c r="L3348">
        <v>12.318444748912199</v>
      </c>
      <c r="M3348" t="s">
        <v>29</v>
      </c>
      <c r="N3348" t="s">
        <v>29</v>
      </c>
      <c r="O3348">
        <v>12.739568172198201</v>
      </c>
      <c r="P3348">
        <v>0.54247506591315497</v>
      </c>
      <c r="Q3348">
        <v>-0.43562220921636902</v>
      </c>
      <c r="R3348">
        <v>1.5205723410426799</v>
      </c>
      <c r="S3348">
        <v>12.986288234292701</v>
      </c>
      <c r="T3348">
        <v>1.17637899705917</v>
      </c>
      <c r="U3348">
        <v>-6.11621955618289</v>
      </c>
      <c r="V3348">
        <v>0.25676139761343098</v>
      </c>
      <c r="W3348">
        <v>0.42413634027762598</v>
      </c>
      <c r="X3348">
        <v>0</v>
      </c>
      <c r="Y3348">
        <v>0</v>
      </c>
    </row>
    <row r="3349" spans="1:25" x14ac:dyDescent="0.2">
      <c r="A3349" t="s">
        <v>12362</v>
      </c>
      <c r="B3349" t="s">
        <v>12363</v>
      </c>
      <c r="C3349" t="s">
        <v>12364</v>
      </c>
      <c r="D3349" t="s">
        <v>66</v>
      </c>
      <c r="E3349" t="s">
        <v>12363</v>
      </c>
      <c r="F3349" t="s">
        <v>28</v>
      </c>
      <c r="G3349" t="s">
        <v>12363</v>
      </c>
      <c r="H3349" t="str">
        <f>"syp-5"</f>
        <v>syp-5</v>
      </c>
      <c r="I3349" t="s">
        <v>66</v>
      </c>
      <c r="J3349" t="s">
        <v>29</v>
      </c>
      <c r="K3349" t="s">
        <v>29</v>
      </c>
      <c r="L3349" t="s">
        <v>29</v>
      </c>
      <c r="M3349" t="s">
        <v>29</v>
      </c>
      <c r="N3349" t="s">
        <v>29</v>
      </c>
      <c r="O3349" t="s">
        <v>29</v>
      </c>
      <c r="P3349" t="s">
        <v>29</v>
      </c>
      <c r="Q3349" t="s">
        <v>29</v>
      </c>
      <c r="R3349" t="s">
        <v>29</v>
      </c>
      <c r="S3349">
        <v>11.438599625527299</v>
      </c>
      <c r="T3349" t="s">
        <v>29</v>
      </c>
      <c r="U3349" t="s">
        <v>29</v>
      </c>
      <c r="V3349" t="s">
        <v>29</v>
      </c>
      <c r="W3349" t="s">
        <v>29</v>
      </c>
      <c r="X3349" t="s">
        <v>29</v>
      </c>
      <c r="Y3349" t="s">
        <v>29</v>
      </c>
    </row>
    <row r="3350" spans="1:25" x14ac:dyDescent="0.2">
      <c r="A3350" t="s">
        <v>12365</v>
      </c>
      <c r="B3350" t="s">
        <v>12366</v>
      </c>
      <c r="C3350" t="s">
        <v>12367</v>
      </c>
      <c r="D3350" t="s">
        <v>12368</v>
      </c>
      <c r="E3350" t="s">
        <v>12366</v>
      </c>
      <c r="F3350" t="s">
        <v>28</v>
      </c>
      <c r="G3350" t="s">
        <v>12366</v>
      </c>
      <c r="H3350" t="str">
        <f>"Y54E10A.10"</f>
        <v>Y54E10A.10</v>
      </c>
      <c r="I3350" t="s">
        <v>12368</v>
      </c>
      <c r="J3350">
        <v>11.246600883037701</v>
      </c>
      <c r="K3350">
        <v>11.625765081108501</v>
      </c>
      <c r="L3350">
        <v>12.467915619481699</v>
      </c>
      <c r="M3350" t="s">
        <v>29</v>
      </c>
      <c r="N3350" t="s">
        <v>29</v>
      </c>
      <c r="O3350">
        <v>12.082193986143899</v>
      </c>
      <c r="P3350">
        <v>0.30210012493459898</v>
      </c>
      <c r="Q3350">
        <v>-1.04119058037346</v>
      </c>
      <c r="R3350">
        <v>1.6453908302426601</v>
      </c>
      <c r="S3350">
        <v>13.193909366180399</v>
      </c>
      <c r="T3350">
        <v>0.47701323061946199</v>
      </c>
      <c r="U3350">
        <v>-6.6940628214787203</v>
      </c>
      <c r="V3350">
        <v>0.63984494415457605</v>
      </c>
      <c r="W3350">
        <v>0.76033187517078105</v>
      </c>
      <c r="X3350">
        <v>0</v>
      </c>
      <c r="Y3350">
        <v>0</v>
      </c>
    </row>
    <row r="3351" spans="1:25" x14ac:dyDescent="0.2">
      <c r="A3351" t="s">
        <v>12369</v>
      </c>
      <c r="B3351" t="s">
        <v>12370</v>
      </c>
      <c r="C3351" t="s">
        <v>14667</v>
      </c>
      <c r="D3351" t="s">
        <v>12371</v>
      </c>
      <c r="E3351" t="s">
        <v>12370</v>
      </c>
      <c r="F3351" t="s">
        <v>28</v>
      </c>
      <c r="G3351" t="s">
        <v>12370</v>
      </c>
      <c r="H3351" t="str">
        <f>"Y54E10A.6"</f>
        <v>Y54E10A.6</v>
      </c>
      <c r="I3351" t="s">
        <v>12371</v>
      </c>
      <c r="J3351">
        <v>13.523088517426499</v>
      </c>
      <c r="K3351">
        <v>13.414331438590599</v>
      </c>
      <c r="L3351">
        <v>13.3552623787496</v>
      </c>
      <c r="M3351" t="s">
        <v>29</v>
      </c>
      <c r="N3351">
        <v>13.1023437396891</v>
      </c>
      <c r="O3351">
        <v>13.197164544497699</v>
      </c>
      <c r="P3351">
        <v>-0.281139969495523</v>
      </c>
      <c r="Q3351">
        <v>-0.73323240672359502</v>
      </c>
      <c r="R3351">
        <v>0.17095246773254799</v>
      </c>
      <c r="S3351">
        <v>13.195486830835099</v>
      </c>
      <c r="T3351">
        <v>-1.3126391842941501</v>
      </c>
      <c r="U3351">
        <v>-6.1833503839216597</v>
      </c>
      <c r="V3351">
        <v>0.20685705685299299</v>
      </c>
      <c r="W3351">
        <v>0.36755631200720601</v>
      </c>
      <c r="X3351">
        <v>0</v>
      </c>
      <c r="Y3351">
        <v>0</v>
      </c>
    </row>
    <row r="3352" spans="1:25" x14ac:dyDescent="0.2">
      <c r="A3352" t="s">
        <v>12372</v>
      </c>
      <c r="B3352" t="s">
        <v>12373</v>
      </c>
      <c r="C3352" t="s">
        <v>12374</v>
      </c>
      <c r="D3352" t="s">
        <v>12375</v>
      </c>
      <c r="E3352" t="s">
        <v>12373</v>
      </c>
      <c r="F3352" t="s">
        <v>28</v>
      </c>
      <c r="G3352" t="s">
        <v>12373</v>
      </c>
      <c r="H3352" t="str">
        <f>"mrpl-17"</f>
        <v>mrpl-17</v>
      </c>
      <c r="I3352" t="s">
        <v>12375</v>
      </c>
      <c r="J3352" t="s">
        <v>29</v>
      </c>
      <c r="K3352" t="s">
        <v>29</v>
      </c>
      <c r="L3352" t="s">
        <v>29</v>
      </c>
      <c r="M3352" t="s">
        <v>29</v>
      </c>
      <c r="N3352" t="s">
        <v>29</v>
      </c>
      <c r="O3352" t="s">
        <v>29</v>
      </c>
      <c r="P3352" t="s">
        <v>29</v>
      </c>
      <c r="Q3352" t="s">
        <v>29</v>
      </c>
      <c r="R3352" t="s">
        <v>29</v>
      </c>
      <c r="S3352">
        <v>10.065829146078</v>
      </c>
      <c r="T3352" t="s">
        <v>29</v>
      </c>
      <c r="U3352" t="s">
        <v>29</v>
      </c>
      <c r="V3352" t="s">
        <v>29</v>
      </c>
      <c r="W3352" t="s">
        <v>29</v>
      </c>
      <c r="X3352" t="s">
        <v>29</v>
      </c>
      <c r="Y3352" t="s">
        <v>29</v>
      </c>
    </row>
    <row r="3353" spans="1:25" x14ac:dyDescent="0.2">
      <c r="A3353" t="s">
        <v>12376</v>
      </c>
      <c r="B3353" t="s">
        <v>12377</v>
      </c>
      <c r="C3353" t="s">
        <v>14668</v>
      </c>
      <c r="D3353" t="s">
        <v>252</v>
      </c>
      <c r="E3353" t="s">
        <v>12377</v>
      </c>
      <c r="F3353" t="s">
        <v>28</v>
      </c>
      <c r="G3353" t="s">
        <v>12377</v>
      </c>
      <c r="H3353" t="str">
        <f>"Y53G8AR.9"</f>
        <v>Y53G8AR.9</v>
      </c>
      <c r="I3353" t="s">
        <v>252</v>
      </c>
      <c r="J3353">
        <v>13.5182480219336</v>
      </c>
      <c r="K3353">
        <v>14.5111699180899</v>
      </c>
      <c r="L3353">
        <v>14.5134894862449</v>
      </c>
      <c r="M3353">
        <v>14.375611430816701</v>
      </c>
      <c r="N3353">
        <v>14.730076401565601</v>
      </c>
      <c r="O3353">
        <v>15.2672092633731</v>
      </c>
      <c r="P3353">
        <v>0.60999655649566997</v>
      </c>
      <c r="Q3353">
        <v>-0.10186065323025099</v>
      </c>
      <c r="R3353">
        <v>1.3218537662215899</v>
      </c>
      <c r="S3353">
        <v>14.8526699541887</v>
      </c>
      <c r="T3353">
        <v>1.8010551377361601</v>
      </c>
      <c r="U3353">
        <v>-5.5926582209812699</v>
      </c>
      <c r="V3353">
        <v>8.85706036523871E-2</v>
      </c>
      <c r="W3353">
        <v>0.19996279336742501</v>
      </c>
      <c r="X3353">
        <v>0</v>
      </c>
      <c r="Y3353">
        <v>0</v>
      </c>
    </row>
    <row r="3354" spans="1:25" x14ac:dyDescent="0.2">
      <c r="A3354" t="s">
        <v>12378</v>
      </c>
      <c r="B3354" t="s">
        <v>12379</v>
      </c>
      <c r="C3354" t="s">
        <v>14669</v>
      </c>
      <c r="D3354" t="s">
        <v>12380</v>
      </c>
      <c r="E3354" t="s">
        <v>12379</v>
      </c>
      <c r="F3354" t="s">
        <v>28</v>
      </c>
      <c r="G3354" t="s">
        <v>12379</v>
      </c>
      <c r="H3354" t="str">
        <f>"Y53G8AR.8"</f>
        <v>Y53G8AR.8</v>
      </c>
      <c r="I3354" t="s">
        <v>12380</v>
      </c>
      <c r="J3354">
        <v>13.3952377359576</v>
      </c>
      <c r="K3354">
        <v>13.6928869903182</v>
      </c>
      <c r="L3354">
        <v>13.6787063846739</v>
      </c>
      <c r="M3354">
        <v>12.966331122903799</v>
      </c>
      <c r="N3354">
        <v>12.434777695051</v>
      </c>
      <c r="O3354">
        <v>13.2527810335853</v>
      </c>
      <c r="P3354">
        <v>-0.70431375313651201</v>
      </c>
      <c r="Q3354">
        <v>-1.34096992231451</v>
      </c>
      <c r="R3354">
        <v>-6.7657583958509598E-2</v>
      </c>
      <c r="S3354">
        <v>13.5810138492054</v>
      </c>
      <c r="T3354">
        <v>-2.3251647501350101</v>
      </c>
      <c r="U3354">
        <v>-4.6792411946852601</v>
      </c>
      <c r="V3354">
        <v>3.2029310153142199E-2</v>
      </c>
      <c r="W3354">
        <v>0.101277228563637</v>
      </c>
      <c r="X3354">
        <v>0</v>
      </c>
      <c r="Y3354">
        <v>0</v>
      </c>
    </row>
    <row r="3355" spans="1:25" x14ac:dyDescent="0.2">
      <c r="A3355" t="s">
        <v>12381</v>
      </c>
      <c r="B3355" t="s">
        <v>12382</v>
      </c>
      <c r="C3355" t="s">
        <v>12383</v>
      </c>
      <c r="D3355" t="s">
        <v>107</v>
      </c>
      <c r="E3355" t="s">
        <v>12382</v>
      </c>
      <c r="F3355" t="s">
        <v>28</v>
      </c>
      <c r="G3355" t="s">
        <v>12382</v>
      </c>
      <c r="H3355" t="str">
        <f>"mfsd-8"</f>
        <v>mfsd-8</v>
      </c>
      <c r="I3355" t="s">
        <v>107</v>
      </c>
      <c r="J3355">
        <v>10.271101074097899</v>
      </c>
      <c r="K3355">
        <v>10.601248666748001</v>
      </c>
      <c r="L3355">
        <v>11.9401863170262</v>
      </c>
      <c r="M3355" t="s">
        <v>29</v>
      </c>
      <c r="N3355" t="s">
        <v>29</v>
      </c>
      <c r="O3355">
        <v>11.2096848217492</v>
      </c>
      <c r="P3355">
        <v>0.27217280245844599</v>
      </c>
      <c r="Q3355">
        <v>-0.927452408058837</v>
      </c>
      <c r="R3355">
        <v>1.47179801297573</v>
      </c>
      <c r="S3355">
        <v>11.2670851238009</v>
      </c>
      <c r="T3355">
        <v>0.50625116016690297</v>
      </c>
      <c r="U3355">
        <v>-6.675073541273</v>
      </c>
      <c r="V3355">
        <v>0.62376799957860996</v>
      </c>
      <c r="W3355">
        <v>0.74867254852695597</v>
      </c>
      <c r="X3355">
        <v>0</v>
      </c>
      <c r="Y3355">
        <v>0</v>
      </c>
    </row>
    <row r="3356" spans="1:25" x14ac:dyDescent="0.2">
      <c r="A3356" t="s">
        <v>12384</v>
      </c>
      <c r="B3356" t="s">
        <v>12385</v>
      </c>
      <c r="C3356" t="s">
        <v>12386</v>
      </c>
      <c r="D3356" t="s">
        <v>12387</v>
      </c>
      <c r="E3356" t="s">
        <v>12385</v>
      </c>
      <c r="F3356" t="s">
        <v>28</v>
      </c>
      <c r="G3356" t="s">
        <v>12385</v>
      </c>
      <c r="H3356" t="str">
        <f>"nduf-9"</f>
        <v>nduf-9</v>
      </c>
      <c r="I3356" t="s">
        <v>12387</v>
      </c>
      <c r="J3356">
        <v>15.868065849777601</v>
      </c>
      <c r="K3356">
        <v>15.939336198620399</v>
      </c>
      <c r="L3356">
        <v>15.9285268141956</v>
      </c>
      <c r="M3356">
        <v>15.427827743219</v>
      </c>
      <c r="N3356">
        <v>15.754214826348999</v>
      </c>
      <c r="O3356">
        <v>15.478548387131299</v>
      </c>
      <c r="P3356">
        <v>-0.35844596863141798</v>
      </c>
      <c r="Q3356">
        <v>-0.88242974342567104</v>
      </c>
      <c r="R3356">
        <v>0.16553780616283501</v>
      </c>
      <c r="S3356">
        <v>16.224025730779701</v>
      </c>
      <c r="T3356">
        <v>-1.43779965231428</v>
      </c>
      <c r="U3356">
        <v>-6.1299819553396704</v>
      </c>
      <c r="V3356">
        <v>0.16774879278562599</v>
      </c>
      <c r="W3356">
        <v>0.31770931384269802</v>
      </c>
      <c r="X3356">
        <v>0</v>
      </c>
      <c r="Y3356">
        <v>0</v>
      </c>
    </row>
    <row r="3357" spans="1:25" x14ac:dyDescent="0.2">
      <c r="A3357" t="s">
        <v>12388</v>
      </c>
      <c r="B3357" t="s">
        <v>12389</v>
      </c>
      <c r="C3357" t="s">
        <v>12390</v>
      </c>
      <c r="D3357" t="s">
        <v>12391</v>
      </c>
      <c r="E3357" t="s">
        <v>12389</v>
      </c>
      <c r="F3357" t="s">
        <v>28</v>
      </c>
      <c r="G3357" t="s">
        <v>12389</v>
      </c>
      <c r="H3357" t="str">
        <f>"xpd-1"</f>
        <v>xpd-1</v>
      </c>
      <c r="I3357" t="s">
        <v>12391</v>
      </c>
      <c r="J3357">
        <v>13.6767833719928</v>
      </c>
      <c r="K3357">
        <v>14.511713363378799</v>
      </c>
      <c r="L3357">
        <v>13.5127878204078</v>
      </c>
      <c r="M3357" t="s">
        <v>29</v>
      </c>
      <c r="N3357" t="s">
        <v>29</v>
      </c>
      <c r="O3357">
        <v>14.136231099562</v>
      </c>
      <c r="P3357">
        <v>0.23580291430223499</v>
      </c>
      <c r="Q3357">
        <v>-1.2432339611802401</v>
      </c>
      <c r="R3357">
        <v>1.7148397897847101</v>
      </c>
      <c r="S3357">
        <v>13.7522842608057</v>
      </c>
      <c r="T3357">
        <v>0.34002572250757301</v>
      </c>
      <c r="U3357">
        <v>-6.7519801653310996</v>
      </c>
      <c r="V3357">
        <v>0.73858474021242304</v>
      </c>
      <c r="W3357">
        <v>0.83108408912027898</v>
      </c>
      <c r="X3357">
        <v>0</v>
      </c>
      <c r="Y3357">
        <v>0</v>
      </c>
    </row>
    <row r="3358" spans="1:25" x14ac:dyDescent="0.2">
      <c r="A3358" t="s">
        <v>12392</v>
      </c>
      <c r="B3358" t="s">
        <v>12393</v>
      </c>
      <c r="C3358" t="s">
        <v>14670</v>
      </c>
      <c r="D3358" t="s">
        <v>12394</v>
      </c>
      <c r="E3358" t="s">
        <v>12393</v>
      </c>
      <c r="F3358" t="s">
        <v>28</v>
      </c>
      <c r="G3358" t="s">
        <v>12393</v>
      </c>
      <c r="H3358" t="str">
        <f>"Y50D7A.3"</f>
        <v>Y50D7A.3</v>
      </c>
      <c r="I3358" t="s">
        <v>12394</v>
      </c>
      <c r="J3358">
        <v>12.855035327928899</v>
      </c>
      <c r="K3358">
        <v>13.144878615639</v>
      </c>
      <c r="L3358">
        <v>12.917619167845301</v>
      </c>
      <c r="M3358" t="s">
        <v>29</v>
      </c>
      <c r="N3358">
        <v>13.4609918312433</v>
      </c>
      <c r="O3358">
        <v>13.541710305811501</v>
      </c>
      <c r="P3358">
        <v>0.52884003138964197</v>
      </c>
      <c r="Q3358">
        <v>6.20882173268422E-2</v>
      </c>
      <c r="R3358">
        <v>0.99559184545244095</v>
      </c>
      <c r="S3358">
        <v>13.063726737145499</v>
      </c>
      <c r="T3358">
        <v>2.39159876755487</v>
      </c>
      <c r="U3358">
        <v>-4.4590352894094796</v>
      </c>
      <c r="V3358">
        <v>2.86873469034442E-2</v>
      </c>
      <c r="W3358">
        <v>9.3726841823115498E-2</v>
      </c>
      <c r="X3358">
        <v>0</v>
      </c>
      <c r="Y3358">
        <v>0</v>
      </c>
    </row>
    <row r="3359" spans="1:25" x14ac:dyDescent="0.2">
      <c r="A3359" t="s">
        <v>12395</v>
      </c>
      <c r="B3359" t="s">
        <v>12396</v>
      </c>
      <c r="C3359" t="s">
        <v>14671</v>
      </c>
      <c r="D3359" t="s">
        <v>2432</v>
      </c>
      <c r="E3359" t="s">
        <v>12396</v>
      </c>
      <c r="F3359" t="s">
        <v>28</v>
      </c>
      <c r="G3359" t="s">
        <v>12396</v>
      </c>
      <c r="H3359" t="str">
        <f>"Y48G1A.1"</f>
        <v>Y48G1A.1</v>
      </c>
      <c r="I3359" t="s">
        <v>2432</v>
      </c>
      <c r="J3359">
        <v>12.5907737154121</v>
      </c>
      <c r="K3359">
        <v>12.558245007465599</v>
      </c>
      <c r="L3359">
        <v>12.4350444048196</v>
      </c>
      <c r="M3359" t="s">
        <v>29</v>
      </c>
      <c r="N3359">
        <v>13.559114499145901</v>
      </c>
      <c r="O3359">
        <v>13.5809065731308</v>
      </c>
      <c r="P3359">
        <v>1.04198949357258</v>
      </c>
      <c r="Q3359">
        <v>0.58842769806747397</v>
      </c>
      <c r="R3359">
        <v>1.4955512890776901</v>
      </c>
      <c r="S3359">
        <v>12.714680061706501</v>
      </c>
      <c r="T3359">
        <v>5.0623779684913703</v>
      </c>
      <c r="U3359">
        <v>4.5606558087947703E-2</v>
      </c>
      <c r="V3359">
        <v>3.7592241226277302E-4</v>
      </c>
      <c r="W3359">
        <v>4.41485190443808E-3</v>
      </c>
      <c r="X3359">
        <v>1</v>
      </c>
      <c r="Y3359">
        <v>1</v>
      </c>
    </row>
    <row r="3360" spans="1:25" x14ac:dyDescent="0.2">
      <c r="A3360" t="s">
        <v>12397</v>
      </c>
      <c r="B3360" t="s">
        <v>12398</v>
      </c>
      <c r="C3360" t="s">
        <v>12399</v>
      </c>
      <c r="D3360" t="s">
        <v>12400</v>
      </c>
      <c r="E3360" t="s">
        <v>12398</v>
      </c>
      <c r="F3360" t="s">
        <v>28</v>
      </c>
      <c r="G3360" t="s">
        <v>12398</v>
      </c>
      <c r="H3360" t="str">
        <f>"nol-14"</f>
        <v>nol-14</v>
      </c>
      <c r="I3360" t="s">
        <v>12400</v>
      </c>
      <c r="J3360" t="s">
        <v>29</v>
      </c>
      <c r="K3360" t="s">
        <v>29</v>
      </c>
      <c r="L3360">
        <v>11.2621060153073</v>
      </c>
      <c r="M3360" t="s">
        <v>29</v>
      </c>
      <c r="N3360" t="s">
        <v>29</v>
      </c>
      <c r="O3360">
        <v>12.093395465017499</v>
      </c>
      <c r="P3360">
        <v>0.83128944971024099</v>
      </c>
      <c r="Q3360">
        <v>-0.37309156454962</v>
      </c>
      <c r="R3360">
        <v>2.0356704639701002</v>
      </c>
      <c r="S3360">
        <v>12.3884071409604</v>
      </c>
      <c r="T3360">
        <v>1.5053357664073199</v>
      </c>
      <c r="U3360">
        <v>-5.5103058794981701</v>
      </c>
      <c r="V3360">
        <v>0.15832175301926699</v>
      </c>
      <c r="W3360">
        <v>0.30554957835480001</v>
      </c>
      <c r="X3360">
        <v>0</v>
      </c>
      <c r="Y3360">
        <v>0</v>
      </c>
    </row>
    <row r="3361" spans="1:25" x14ac:dyDescent="0.2">
      <c r="A3361" t="s">
        <v>12401</v>
      </c>
      <c r="B3361" t="s">
        <v>12402</v>
      </c>
      <c r="C3361" t="s">
        <v>12403</v>
      </c>
      <c r="D3361" t="s">
        <v>3898</v>
      </c>
      <c r="E3361" t="s">
        <v>12402</v>
      </c>
      <c r="F3361" t="s">
        <v>28</v>
      </c>
      <c r="G3361" t="s">
        <v>12402</v>
      </c>
      <c r="H3361" t="str">
        <f>"inx-22"</f>
        <v>inx-22</v>
      </c>
      <c r="I3361" t="s">
        <v>3898</v>
      </c>
      <c r="J3361" t="s">
        <v>29</v>
      </c>
      <c r="K3361" t="s">
        <v>29</v>
      </c>
      <c r="L3361" t="s">
        <v>29</v>
      </c>
      <c r="M3361" t="s">
        <v>29</v>
      </c>
      <c r="N3361" t="s">
        <v>29</v>
      </c>
      <c r="O3361" t="s">
        <v>29</v>
      </c>
      <c r="P3361" t="s">
        <v>29</v>
      </c>
      <c r="Q3361" t="s">
        <v>29</v>
      </c>
      <c r="R3361" t="s">
        <v>29</v>
      </c>
      <c r="S3361">
        <v>11.447136714162699</v>
      </c>
      <c r="T3361" t="s">
        <v>29</v>
      </c>
      <c r="U3361" t="s">
        <v>29</v>
      </c>
      <c r="V3361" t="s">
        <v>29</v>
      </c>
      <c r="W3361" t="s">
        <v>29</v>
      </c>
      <c r="X3361" t="s">
        <v>29</v>
      </c>
      <c r="Y3361" t="s">
        <v>29</v>
      </c>
    </row>
    <row r="3362" spans="1:25" x14ac:dyDescent="0.2">
      <c r="A3362" t="s">
        <v>12404</v>
      </c>
      <c r="B3362" t="s">
        <v>12405</v>
      </c>
      <c r="C3362" t="s">
        <v>12406</v>
      </c>
      <c r="D3362" t="s">
        <v>12407</v>
      </c>
      <c r="E3362" t="s">
        <v>12405</v>
      </c>
      <c r="F3362" t="s">
        <v>28</v>
      </c>
      <c r="G3362" t="s">
        <v>12405</v>
      </c>
      <c r="H3362" t="str">
        <f>"rnp-6"</f>
        <v>rnp-6</v>
      </c>
      <c r="I3362" t="s">
        <v>12407</v>
      </c>
      <c r="J3362">
        <v>13.3284581335329</v>
      </c>
      <c r="K3362">
        <v>13.1265569748986</v>
      </c>
      <c r="L3362">
        <v>12.954273881711099</v>
      </c>
      <c r="M3362">
        <v>14.0398910839836</v>
      </c>
      <c r="N3362">
        <v>13.6270658794895</v>
      </c>
      <c r="O3362">
        <v>13.2199421038931</v>
      </c>
      <c r="P3362">
        <v>0.49253669240783399</v>
      </c>
      <c r="Q3362">
        <v>-0.107057574839236</v>
      </c>
      <c r="R3362">
        <v>1.0921309596549</v>
      </c>
      <c r="S3362">
        <v>13.391295567035099</v>
      </c>
      <c r="T3362">
        <v>1.72652801961541</v>
      </c>
      <c r="U3362">
        <v>-5.7100657716380301</v>
      </c>
      <c r="V3362">
        <v>0.10147480286237399</v>
      </c>
      <c r="W3362">
        <v>0.21892111569210601</v>
      </c>
      <c r="X3362">
        <v>0</v>
      </c>
      <c r="Y3362">
        <v>0</v>
      </c>
    </row>
    <row r="3363" spans="1:25" x14ac:dyDescent="0.2">
      <c r="A3363" t="s">
        <v>12408</v>
      </c>
      <c r="B3363" t="s">
        <v>12409</v>
      </c>
      <c r="C3363" t="s">
        <v>14672</v>
      </c>
      <c r="D3363" t="s">
        <v>9943</v>
      </c>
      <c r="E3363" t="s">
        <v>12409</v>
      </c>
      <c r="F3363" t="s">
        <v>28</v>
      </c>
      <c r="G3363" t="s">
        <v>12409</v>
      </c>
      <c r="H3363" t="str">
        <f>"Y47G6A.5"</f>
        <v>Y47G6A.5</v>
      </c>
      <c r="I3363" t="s">
        <v>9943</v>
      </c>
      <c r="J3363">
        <v>11.9016296012508</v>
      </c>
      <c r="K3363">
        <v>12.3224106593056</v>
      </c>
      <c r="L3363">
        <v>11.8557893844236</v>
      </c>
      <c r="M3363" t="s">
        <v>29</v>
      </c>
      <c r="N3363" t="s">
        <v>29</v>
      </c>
      <c r="O3363">
        <v>10.616654305533601</v>
      </c>
      <c r="P3363">
        <v>-1.40995557612638</v>
      </c>
      <c r="Q3363">
        <v>-1.99619225645817</v>
      </c>
      <c r="R3363">
        <v>-0.823718895794599</v>
      </c>
      <c r="S3363">
        <v>11.6561058803891</v>
      </c>
      <c r="T3363">
        <v>-5.1013129953649603</v>
      </c>
      <c r="U3363">
        <v>1.21665819847611</v>
      </c>
      <c r="V3363">
        <v>1.0892238302921501E-4</v>
      </c>
      <c r="W3363">
        <v>1.8662457138784699E-3</v>
      </c>
      <c r="X3363">
        <v>-1</v>
      </c>
      <c r="Y3363">
        <v>-1</v>
      </c>
    </row>
    <row r="3364" spans="1:25" x14ac:dyDescent="0.2">
      <c r="A3364" t="s">
        <v>12410</v>
      </c>
      <c r="B3364" t="s">
        <v>12411</v>
      </c>
      <c r="C3364" t="s">
        <v>12412</v>
      </c>
      <c r="D3364" t="s">
        <v>12413</v>
      </c>
      <c r="E3364" t="s">
        <v>12411</v>
      </c>
      <c r="F3364" t="s">
        <v>28</v>
      </c>
      <c r="G3364" t="s">
        <v>12411</v>
      </c>
      <c r="H3364" t="str">
        <f>"pcaf-1"</f>
        <v>pcaf-1</v>
      </c>
      <c r="I3364" t="s">
        <v>12413</v>
      </c>
      <c r="J3364">
        <v>12.0046015556431</v>
      </c>
      <c r="K3364">
        <v>11.620687356072899</v>
      </c>
      <c r="L3364">
        <v>11.823513507664</v>
      </c>
      <c r="M3364" t="s">
        <v>29</v>
      </c>
      <c r="N3364">
        <v>11.475286974394701</v>
      </c>
      <c r="O3364">
        <v>11.822008351434</v>
      </c>
      <c r="P3364">
        <v>-0.167619810212363</v>
      </c>
      <c r="Q3364">
        <v>-0.70980220491583101</v>
      </c>
      <c r="R3364">
        <v>0.37456258449110502</v>
      </c>
      <c r="S3364">
        <v>12.2643881091503</v>
      </c>
      <c r="T3364">
        <v>-0.65935839344800395</v>
      </c>
      <c r="U3364">
        <v>-6.8185512359351099</v>
      </c>
      <c r="V3364">
        <v>0.51973044774628196</v>
      </c>
      <c r="W3364">
        <v>0.67089164674038204</v>
      </c>
      <c r="X3364">
        <v>0</v>
      </c>
      <c r="Y3364">
        <v>0</v>
      </c>
    </row>
    <row r="3365" spans="1:25" x14ac:dyDescent="0.2">
      <c r="A3365" t="s">
        <v>12414</v>
      </c>
      <c r="B3365" t="s">
        <v>12415</v>
      </c>
      <c r="C3365" t="s">
        <v>14158</v>
      </c>
      <c r="D3365" t="s">
        <v>12416</v>
      </c>
      <c r="E3365" t="s">
        <v>12415</v>
      </c>
      <c r="F3365" t="s">
        <v>28</v>
      </c>
      <c r="G3365" t="s">
        <v>12415</v>
      </c>
      <c r="H3365" t="str">
        <f>"Y47G6A.18"</f>
        <v>Y47G6A.18</v>
      </c>
      <c r="I3365" t="s">
        <v>12416</v>
      </c>
      <c r="J3365" t="s">
        <v>29</v>
      </c>
      <c r="K3365" t="s">
        <v>29</v>
      </c>
      <c r="L3365" t="s">
        <v>29</v>
      </c>
      <c r="M3365" t="s">
        <v>29</v>
      </c>
      <c r="N3365" t="s">
        <v>29</v>
      </c>
      <c r="O3365">
        <v>14.4891525788441</v>
      </c>
      <c r="P3365" t="s">
        <v>29</v>
      </c>
      <c r="Q3365" t="s">
        <v>29</v>
      </c>
      <c r="R3365" t="s">
        <v>29</v>
      </c>
      <c r="S3365">
        <v>12.643570893039501</v>
      </c>
      <c r="T3365" t="s">
        <v>29</v>
      </c>
      <c r="U3365" t="s">
        <v>29</v>
      </c>
      <c r="V3365" t="s">
        <v>29</v>
      </c>
      <c r="W3365" t="s">
        <v>29</v>
      </c>
      <c r="X3365" t="s">
        <v>29</v>
      </c>
      <c r="Y3365" t="s">
        <v>29</v>
      </c>
    </row>
    <row r="3366" spans="1:25" x14ac:dyDescent="0.2">
      <c r="A3366" t="s">
        <v>12417</v>
      </c>
      <c r="B3366" t="s">
        <v>12418</v>
      </c>
      <c r="C3366" t="s">
        <v>12419</v>
      </c>
      <c r="D3366" t="s">
        <v>12420</v>
      </c>
      <c r="E3366" t="s">
        <v>12418</v>
      </c>
      <c r="F3366" t="s">
        <v>28</v>
      </c>
      <c r="G3366" t="s">
        <v>12418</v>
      </c>
      <c r="H3366" t="str">
        <f>"crn-1"</f>
        <v>crn-1</v>
      </c>
      <c r="I3366" t="s">
        <v>12420</v>
      </c>
      <c r="J3366">
        <v>11.4129962076947</v>
      </c>
      <c r="K3366">
        <v>11.745200484247601</v>
      </c>
      <c r="L3366">
        <v>11.7622138317628</v>
      </c>
      <c r="M3366" t="s">
        <v>29</v>
      </c>
      <c r="N3366" t="s">
        <v>29</v>
      </c>
      <c r="O3366">
        <v>11.678122698769499</v>
      </c>
      <c r="P3366">
        <v>3.7985857534465602E-2</v>
      </c>
      <c r="Q3366">
        <v>-1.39840509928572</v>
      </c>
      <c r="R3366">
        <v>1.4743768143546501</v>
      </c>
      <c r="S3366">
        <v>12.2851649942807</v>
      </c>
      <c r="T3366">
        <v>5.7178994936356399E-2</v>
      </c>
      <c r="U3366">
        <v>-6.8109602154763804</v>
      </c>
      <c r="V3366">
        <v>0.95527912880773103</v>
      </c>
      <c r="W3366">
        <v>0.97351708970001305</v>
      </c>
      <c r="X3366">
        <v>0</v>
      </c>
      <c r="Y3366">
        <v>0</v>
      </c>
    </row>
    <row r="3367" spans="1:25" x14ac:dyDescent="0.2">
      <c r="A3367" t="s">
        <v>12421</v>
      </c>
      <c r="B3367" t="s">
        <v>12422</v>
      </c>
      <c r="C3367" t="s">
        <v>12423</v>
      </c>
      <c r="D3367" t="s">
        <v>12424</v>
      </c>
      <c r="E3367" t="s">
        <v>12422</v>
      </c>
      <c r="F3367" t="s">
        <v>28</v>
      </c>
      <c r="G3367" t="s">
        <v>12422</v>
      </c>
      <c r="H3367" t="str">
        <f>"spg-7"</f>
        <v>spg-7</v>
      </c>
      <c r="I3367" t="s">
        <v>12424</v>
      </c>
      <c r="J3367">
        <v>16.576785714381</v>
      </c>
      <c r="K3367">
        <v>16.455905528743902</v>
      </c>
      <c r="L3367">
        <v>16.4739429961509</v>
      </c>
      <c r="M3367">
        <v>16.461927740669999</v>
      </c>
      <c r="N3367">
        <v>16.314618541351098</v>
      </c>
      <c r="O3367">
        <v>16.457048613057001</v>
      </c>
      <c r="P3367">
        <v>-9.1013114732543698E-2</v>
      </c>
      <c r="Q3367">
        <v>-0.41454718329865597</v>
      </c>
      <c r="R3367">
        <v>0.23252095383356799</v>
      </c>
      <c r="S3367">
        <v>16.5666191091276</v>
      </c>
      <c r="T3367">
        <v>-0.59125723950455</v>
      </c>
      <c r="U3367">
        <v>-6.9746217330844198</v>
      </c>
      <c r="V3367">
        <v>0.56174304685397503</v>
      </c>
      <c r="W3367">
        <v>0.70429198242463198</v>
      </c>
      <c r="X3367">
        <v>0</v>
      </c>
      <c r="Y3367">
        <v>0</v>
      </c>
    </row>
    <row r="3368" spans="1:25" x14ac:dyDescent="0.2">
      <c r="A3368" t="s">
        <v>12425</v>
      </c>
      <c r="B3368" t="s">
        <v>12426</v>
      </c>
      <c r="C3368" t="s">
        <v>12427</v>
      </c>
      <c r="D3368" t="s">
        <v>12428</v>
      </c>
      <c r="E3368" t="s">
        <v>12426</v>
      </c>
      <c r="F3368" t="s">
        <v>28</v>
      </c>
      <c r="G3368" t="s">
        <v>12426</v>
      </c>
      <c r="H3368" t="str">
        <f>"msh-6"</f>
        <v>msh-6</v>
      </c>
      <c r="I3368" t="s">
        <v>12428</v>
      </c>
      <c r="J3368">
        <v>13.190447465792399</v>
      </c>
      <c r="K3368">
        <v>12.992574703391799</v>
      </c>
      <c r="L3368">
        <v>12.9726695151356</v>
      </c>
      <c r="M3368" t="s">
        <v>29</v>
      </c>
      <c r="N3368" t="s">
        <v>29</v>
      </c>
      <c r="O3368">
        <v>13.392564350309399</v>
      </c>
      <c r="P3368">
        <v>0.34066712220279199</v>
      </c>
      <c r="Q3368">
        <v>-0.152205123241374</v>
      </c>
      <c r="R3368">
        <v>0.83353936764695702</v>
      </c>
      <c r="S3368">
        <v>13.0252918819663</v>
      </c>
      <c r="T3368">
        <v>1.4660385443739401</v>
      </c>
      <c r="U3368">
        <v>-5.7548871292121397</v>
      </c>
      <c r="V3368">
        <v>0.16214089661909301</v>
      </c>
      <c r="W3368">
        <v>0.310327851594906</v>
      </c>
      <c r="X3368">
        <v>0</v>
      </c>
      <c r="Y3368">
        <v>0</v>
      </c>
    </row>
    <row r="3369" spans="1:25" x14ac:dyDescent="0.2">
      <c r="A3369" t="s">
        <v>12429</v>
      </c>
      <c r="B3369" t="s">
        <v>12430</v>
      </c>
      <c r="C3369" t="s">
        <v>12431</v>
      </c>
      <c r="D3369" t="s">
        <v>12432</v>
      </c>
      <c r="E3369" t="s">
        <v>12430</v>
      </c>
      <c r="F3369" t="s">
        <v>28</v>
      </c>
      <c r="G3369" t="s">
        <v>12430</v>
      </c>
      <c r="H3369" t="str">
        <f>"rps-4"</f>
        <v>rps-4</v>
      </c>
      <c r="I3369" t="s">
        <v>12432</v>
      </c>
      <c r="J3369">
        <v>22.759870684209599</v>
      </c>
      <c r="K3369">
        <v>22.759521430041001</v>
      </c>
      <c r="L3369">
        <v>22.687695786139201</v>
      </c>
      <c r="M3369">
        <v>21.920210608868</v>
      </c>
      <c r="N3369">
        <v>21.933378037131199</v>
      </c>
      <c r="O3369">
        <v>21.674892858895099</v>
      </c>
      <c r="P3369">
        <v>-0.89286879849852996</v>
      </c>
      <c r="Q3369">
        <v>-1.2552387969159799</v>
      </c>
      <c r="R3369">
        <v>-0.53049880008107497</v>
      </c>
      <c r="S3369">
        <v>22.435523184724499</v>
      </c>
      <c r="T3369">
        <v>-5.1787855287942497</v>
      </c>
      <c r="U3369">
        <v>1.41153168506275</v>
      </c>
      <c r="V3369" s="2">
        <v>6.4313566386527406E-5</v>
      </c>
      <c r="W3369">
        <v>1.2307277931240001E-3</v>
      </c>
      <c r="X3369">
        <v>0</v>
      </c>
      <c r="Y3369">
        <v>0</v>
      </c>
    </row>
    <row r="3370" spans="1:25" x14ac:dyDescent="0.2">
      <c r="A3370" t="s">
        <v>12433</v>
      </c>
      <c r="B3370" t="s">
        <v>12434</v>
      </c>
      <c r="C3370" t="s">
        <v>14673</v>
      </c>
      <c r="D3370" t="s">
        <v>12435</v>
      </c>
      <c r="E3370" t="s">
        <v>12434</v>
      </c>
      <c r="F3370" t="s">
        <v>28</v>
      </c>
      <c r="G3370" t="s">
        <v>12434</v>
      </c>
      <c r="H3370" t="str">
        <f>"Y43B11AR.3"</f>
        <v>Y43B11AR.3</v>
      </c>
      <c r="I3370" t="s">
        <v>12435</v>
      </c>
      <c r="J3370" t="s">
        <v>29</v>
      </c>
      <c r="K3370" t="s">
        <v>29</v>
      </c>
      <c r="L3370" t="s">
        <v>29</v>
      </c>
      <c r="M3370" t="s">
        <v>29</v>
      </c>
      <c r="N3370" t="s">
        <v>29</v>
      </c>
      <c r="O3370" t="s">
        <v>29</v>
      </c>
      <c r="P3370" t="s">
        <v>29</v>
      </c>
      <c r="Q3370" t="s">
        <v>29</v>
      </c>
      <c r="R3370" t="s">
        <v>29</v>
      </c>
      <c r="S3370">
        <v>11.116432712701</v>
      </c>
      <c r="T3370" t="s">
        <v>29</v>
      </c>
      <c r="U3370" t="s">
        <v>29</v>
      </c>
      <c r="V3370" t="s">
        <v>29</v>
      </c>
      <c r="W3370" t="s">
        <v>29</v>
      </c>
      <c r="X3370" t="s">
        <v>29</v>
      </c>
      <c r="Y3370" t="s">
        <v>29</v>
      </c>
    </row>
    <row r="3371" spans="1:25" x14ac:dyDescent="0.2">
      <c r="A3371" t="s">
        <v>12436</v>
      </c>
      <c r="B3371" t="s">
        <v>12437</v>
      </c>
      <c r="C3371" t="s">
        <v>14674</v>
      </c>
      <c r="D3371" t="s">
        <v>12438</v>
      </c>
      <c r="E3371" t="s">
        <v>12437</v>
      </c>
      <c r="F3371" t="s">
        <v>28</v>
      </c>
      <c r="G3371" t="s">
        <v>12437</v>
      </c>
      <c r="H3371" t="str">
        <f>"Y39A3CL.1"</f>
        <v>Y39A3CL.1</v>
      </c>
      <c r="I3371" t="s">
        <v>12438</v>
      </c>
      <c r="J3371">
        <v>10.7962803055525</v>
      </c>
      <c r="K3371">
        <v>11.661462392521001</v>
      </c>
      <c r="L3371">
        <v>11.517177097733899</v>
      </c>
      <c r="M3371" t="s">
        <v>29</v>
      </c>
      <c r="N3371">
        <v>13.5994776943411</v>
      </c>
      <c r="O3371">
        <v>13.133263714961499</v>
      </c>
      <c r="P3371">
        <v>2.0413974393821199</v>
      </c>
      <c r="Q3371">
        <v>1.24408205224746</v>
      </c>
      <c r="R3371">
        <v>2.8387128265167698</v>
      </c>
      <c r="S3371">
        <v>12.4110709859244</v>
      </c>
      <c r="T3371">
        <v>5.4305891803084396</v>
      </c>
      <c r="U3371">
        <v>1.7018695794027101</v>
      </c>
      <c r="V3371" s="2">
        <v>5.6806492034547401E-5</v>
      </c>
      <c r="W3371">
        <v>1.12219333121113E-3</v>
      </c>
      <c r="X3371">
        <v>1</v>
      </c>
      <c r="Y3371">
        <v>1</v>
      </c>
    </row>
    <row r="3372" spans="1:25" x14ac:dyDescent="0.2">
      <c r="A3372" t="s">
        <v>12439</v>
      </c>
      <c r="B3372" t="s">
        <v>12440</v>
      </c>
      <c r="C3372" t="s">
        <v>12441</v>
      </c>
      <c r="D3372" t="s">
        <v>12442</v>
      </c>
      <c r="E3372" t="s">
        <v>12440</v>
      </c>
      <c r="F3372" t="s">
        <v>28</v>
      </c>
      <c r="G3372" t="s">
        <v>12440</v>
      </c>
      <c r="H3372" t="str">
        <f>"rimb-1"</f>
        <v>rimb-1</v>
      </c>
      <c r="I3372" t="s">
        <v>12442</v>
      </c>
      <c r="J3372">
        <v>11.644894804402799</v>
      </c>
      <c r="K3372">
        <v>12.6566448445407</v>
      </c>
      <c r="L3372">
        <v>12.1375715894298</v>
      </c>
      <c r="M3372" t="s">
        <v>29</v>
      </c>
      <c r="N3372" t="s">
        <v>29</v>
      </c>
      <c r="O3372" t="s">
        <v>29</v>
      </c>
      <c r="P3372" t="s">
        <v>29</v>
      </c>
      <c r="Q3372" t="s">
        <v>29</v>
      </c>
      <c r="R3372" t="s">
        <v>29</v>
      </c>
      <c r="S3372">
        <v>12.2595891028257</v>
      </c>
      <c r="T3372" t="s">
        <v>29</v>
      </c>
      <c r="U3372" t="s">
        <v>29</v>
      </c>
      <c r="V3372" t="s">
        <v>29</v>
      </c>
      <c r="W3372" t="s">
        <v>29</v>
      </c>
      <c r="X3372" t="s">
        <v>29</v>
      </c>
      <c r="Y3372" t="s">
        <v>29</v>
      </c>
    </row>
    <row r="3373" spans="1:25" x14ac:dyDescent="0.2">
      <c r="A3373" t="s">
        <v>12443</v>
      </c>
      <c r="B3373" t="s">
        <v>12444</v>
      </c>
      <c r="C3373" t="s">
        <v>12445</v>
      </c>
      <c r="D3373" t="s">
        <v>12446</v>
      </c>
      <c r="E3373" t="s">
        <v>12444</v>
      </c>
      <c r="F3373" t="s">
        <v>28</v>
      </c>
      <c r="G3373" t="s">
        <v>12444</v>
      </c>
      <c r="H3373" t="str">
        <f>"csn-3"</f>
        <v>csn-3</v>
      </c>
      <c r="I3373" t="s">
        <v>12446</v>
      </c>
      <c r="J3373">
        <v>14.410321525718301</v>
      </c>
      <c r="K3373">
        <v>14.437753011763499</v>
      </c>
      <c r="L3373">
        <v>14.596213665664999</v>
      </c>
      <c r="M3373">
        <v>13.643251965617599</v>
      </c>
      <c r="N3373">
        <v>14.2544114715514</v>
      </c>
      <c r="O3373">
        <v>14.8486897011152</v>
      </c>
      <c r="P3373">
        <v>-0.23264502162091999</v>
      </c>
      <c r="Q3373">
        <v>-0.72888325921414299</v>
      </c>
      <c r="R3373">
        <v>0.26359321597230301</v>
      </c>
      <c r="S3373">
        <v>14.5850057737031</v>
      </c>
      <c r="T3373">
        <v>-0.985362546752238</v>
      </c>
      <c r="U3373">
        <v>-6.6601820304721402</v>
      </c>
      <c r="V3373">
        <v>0.33758226658798202</v>
      </c>
      <c r="W3373">
        <v>0.50861704480305903</v>
      </c>
      <c r="X3373">
        <v>0</v>
      </c>
      <c r="Y3373">
        <v>0</v>
      </c>
    </row>
    <row r="3374" spans="1:25" x14ac:dyDescent="0.2">
      <c r="A3374" t="s">
        <v>12447</v>
      </c>
      <c r="B3374" t="s">
        <v>12448</v>
      </c>
      <c r="C3374" t="s">
        <v>14675</v>
      </c>
      <c r="D3374" t="s">
        <v>368</v>
      </c>
      <c r="E3374" t="s">
        <v>12448</v>
      </c>
      <c r="F3374" t="s">
        <v>28</v>
      </c>
      <c r="G3374" t="s">
        <v>12448</v>
      </c>
      <c r="H3374" t="str">
        <f>"Y38C1AA.7"</f>
        <v>Y38C1AA.7</v>
      </c>
      <c r="I3374" t="s">
        <v>368</v>
      </c>
      <c r="J3374">
        <v>15.3146518344494</v>
      </c>
      <c r="K3374">
        <v>14.5239711478266</v>
      </c>
      <c r="L3374">
        <v>14.7858998792655</v>
      </c>
      <c r="M3374" t="s">
        <v>29</v>
      </c>
      <c r="N3374">
        <v>14.8903356102657</v>
      </c>
      <c r="O3374">
        <v>14.8988791796358</v>
      </c>
      <c r="P3374">
        <v>1.9766441103600499E-2</v>
      </c>
      <c r="Q3374">
        <v>-0.84896405516937301</v>
      </c>
      <c r="R3374">
        <v>0.88849693737657398</v>
      </c>
      <c r="S3374">
        <v>14.446420539892699</v>
      </c>
      <c r="T3374">
        <v>4.8027881284902103E-2</v>
      </c>
      <c r="U3374">
        <v>-7.04426256751292</v>
      </c>
      <c r="V3374">
        <v>0.96225720427795003</v>
      </c>
      <c r="W3374">
        <v>0.97785240724383404</v>
      </c>
      <c r="X3374">
        <v>0</v>
      </c>
      <c r="Y3374">
        <v>0</v>
      </c>
    </row>
    <row r="3375" spans="1:25" x14ac:dyDescent="0.2">
      <c r="A3375" t="s">
        <v>12449</v>
      </c>
      <c r="B3375" t="s">
        <v>12450</v>
      </c>
      <c r="C3375" t="s">
        <v>14676</v>
      </c>
      <c r="D3375" t="s">
        <v>3296</v>
      </c>
      <c r="E3375" t="s">
        <v>12450</v>
      </c>
      <c r="F3375" t="s">
        <v>28</v>
      </c>
      <c r="G3375" t="s">
        <v>12450</v>
      </c>
      <c r="H3375" t="str">
        <f>"Y34D9A.7"</f>
        <v>Y34D9A.7</v>
      </c>
      <c r="I3375" t="s">
        <v>3296</v>
      </c>
      <c r="J3375" t="s">
        <v>29</v>
      </c>
      <c r="K3375" t="s">
        <v>29</v>
      </c>
      <c r="L3375" t="s">
        <v>29</v>
      </c>
      <c r="M3375" t="s">
        <v>29</v>
      </c>
      <c r="N3375" t="s">
        <v>29</v>
      </c>
      <c r="O3375" t="s">
        <v>29</v>
      </c>
      <c r="P3375" t="s">
        <v>29</v>
      </c>
      <c r="Q3375" t="s">
        <v>29</v>
      </c>
      <c r="R3375" t="s">
        <v>29</v>
      </c>
      <c r="S3375">
        <v>9.5699929060022697</v>
      </c>
      <c r="T3375" t="s">
        <v>29</v>
      </c>
      <c r="U3375" t="s">
        <v>29</v>
      </c>
      <c r="V3375" t="s">
        <v>29</v>
      </c>
      <c r="W3375" t="s">
        <v>29</v>
      </c>
      <c r="X3375" t="s">
        <v>29</v>
      </c>
      <c r="Y3375" t="s">
        <v>29</v>
      </c>
    </row>
    <row r="3376" spans="1:25" x14ac:dyDescent="0.2">
      <c r="A3376" t="s">
        <v>12451</v>
      </c>
      <c r="B3376" t="s">
        <v>12452</v>
      </c>
      <c r="C3376" t="s">
        <v>12453</v>
      </c>
      <c r="D3376" t="s">
        <v>1296</v>
      </c>
      <c r="E3376" t="s">
        <v>12452</v>
      </c>
      <c r="F3376" t="s">
        <v>28</v>
      </c>
      <c r="G3376" t="s">
        <v>12452</v>
      </c>
      <c r="H3376" t="str">
        <f>"ddx-10"</f>
        <v>ddx-10</v>
      </c>
      <c r="I3376" t="s">
        <v>1296</v>
      </c>
      <c r="J3376">
        <v>13.634287209878501</v>
      </c>
      <c r="K3376">
        <v>13.244541375587399</v>
      </c>
      <c r="L3376">
        <v>13.0102333823842</v>
      </c>
      <c r="M3376" t="s">
        <v>29</v>
      </c>
      <c r="N3376" t="s">
        <v>29</v>
      </c>
      <c r="O3376">
        <v>12.650341850131801</v>
      </c>
      <c r="P3376">
        <v>-0.64601213915157096</v>
      </c>
      <c r="Q3376">
        <v>-1.3986976350895299</v>
      </c>
      <c r="R3376">
        <v>0.106673356786393</v>
      </c>
      <c r="S3376">
        <v>13.624424743428801</v>
      </c>
      <c r="T3376">
        <v>-1.82044122287413</v>
      </c>
      <c r="U3376">
        <v>-5.2338086536913098</v>
      </c>
      <c r="V3376">
        <v>8.7572042154635404E-2</v>
      </c>
      <c r="W3376">
        <v>0.198671907798084</v>
      </c>
      <c r="X3376">
        <v>0</v>
      </c>
      <c r="Y3376">
        <v>0</v>
      </c>
    </row>
    <row r="3377" spans="1:25" x14ac:dyDescent="0.2">
      <c r="A3377" t="s">
        <v>12454</v>
      </c>
      <c r="B3377" t="s">
        <v>12455</v>
      </c>
      <c r="C3377" t="s">
        <v>12456</v>
      </c>
      <c r="D3377" t="s">
        <v>12457</v>
      </c>
      <c r="E3377" t="s">
        <v>12455</v>
      </c>
      <c r="F3377" t="s">
        <v>28</v>
      </c>
      <c r="G3377" t="s">
        <v>12455</v>
      </c>
      <c r="H3377" t="str">
        <f>"sqv-2"</f>
        <v>sqv-2</v>
      </c>
      <c r="I3377" t="s">
        <v>12457</v>
      </c>
      <c r="J3377">
        <v>12.3716924029175</v>
      </c>
      <c r="K3377">
        <v>11.9233209207471</v>
      </c>
      <c r="L3377">
        <v>12.461975813690801</v>
      </c>
      <c r="M3377">
        <v>13.5445644407201</v>
      </c>
      <c r="N3377">
        <v>11.906905412776201</v>
      </c>
      <c r="O3377">
        <v>12.615392604294</v>
      </c>
      <c r="P3377">
        <v>0.43662444014497098</v>
      </c>
      <c r="Q3377">
        <v>-0.24172747835658701</v>
      </c>
      <c r="R3377">
        <v>1.11497635864653</v>
      </c>
      <c r="S3377">
        <v>12.695587075330099</v>
      </c>
      <c r="T3377">
        <v>1.3528370767883799</v>
      </c>
      <c r="U3377">
        <v>-6.2421195565130496</v>
      </c>
      <c r="V3377">
        <v>0.19295435527111299</v>
      </c>
      <c r="W3377">
        <v>0.35101017591603101</v>
      </c>
      <c r="X3377">
        <v>0</v>
      </c>
      <c r="Y3377">
        <v>0</v>
      </c>
    </row>
    <row r="3378" spans="1:25" x14ac:dyDescent="0.2">
      <c r="A3378" t="s">
        <v>12458</v>
      </c>
      <c r="B3378" t="s">
        <v>12459</v>
      </c>
      <c r="C3378" t="s">
        <v>12460</v>
      </c>
      <c r="D3378" t="s">
        <v>12461</v>
      </c>
      <c r="E3378" t="s">
        <v>12459</v>
      </c>
      <c r="F3378" t="s">
        <v>28</v>
      </c>
      <c r="G3378" t="s">
        <v>12459</v>
      </c>
      <c r="H3378" t="str">
        <f>"pinn-1"</f>
        <v>pinn-1</v>
      </c>
      <c r="I3378" t="s">
        <v>12461</v>
      </c>
      <c r="J3378">
        <v>12.542227990639001</v>
      </c>
      <c r="K3378">
        <v>11.7339443872023</v>
      </c>
      <c r="L3378">
        <v>12.3861790914621</v>
      </c>
      <c r="M3378" t="s">
        <v>29</v>
      </c>
      <c r="N3378">
        <v>13.4434727623422</v>
      </c>
      <c r="O3378" t="s">
        <v>29</v>
      </c>
      <c r="P3378">
        <v>1.2226889392410301</v>
      </c>
      <c r="Q3378">
        <v>7.9905647117040304E-2</v>
      </c>
      <c r="R3378">
        <v>2.3654722313650201</v>
      </c>
      <c r="S3378">
        <v>12.691205675294899</v>
      </c>
      <c r="T3378">
        <v>2.2963812598928799</v>
      </c>
      <c r="U3378">
        <v>-4.4500255189936997</v>
      </c>
      <c r="V3378">
        <v>3.7735744561094797E-2</v>
      </c>
      <c r="W3378">
        <v>0.114293154390079</v>
      </c>
      <c r="X3378">
        <v>1</v>
      </c>
      <c r="Y3378">
        <v>0</v>
      </c>
    </row>
    <row r="3379" spans="1:25" x14ac:dyDescent="0.2">
      <c r="A3379" t="s">
        <v>12462</v>
      </c>
      <c r="B3379" t="s">
        <v>12463</v>
      </c>
      <c r="C3379" t="s">
        <v>12464</v>
      </c>
      <c r="D3379" t="s">
        <v>12465</v>
      </c>
      <c r="E3379" t="s">
        <v>12463</v>
      </c>
      <c r="F3379" t="s">
        <v>28</v>
      </c>
      <c r="G3379" t="s">
        <v>12463</v>
      </c>
      <c r="H3379" t="str">
        <f>"hxk-3"</f>
        <v>hxk-3</v>
      </c>
      <c r="I3379" t="s">
        <v>12465</v>
      </c>
      <c r="J3379">
        <v>14.8133576913909</v>
      </c>
      <c r="K3379">
        <v>14.7110582891438</v>
      </c>
      <c r="L3379">
        <v>14.504253498456199</v>
      </c>
      <c r="M3379">
        <v>14.3030970413113</v>
      </c>
      <c r="N3379">
        <v>14.769947970849</v>
      </c>
      <c r="O3379">
        <v>14.9258176863099</v>
      </c>
      <c r="P3379">
        <v>-9.9355935068938805E-3</v>
      </c>
      <c r="Q3379">
        <v>-0.483796628504368</v>
      </c>
      <c r="R3379">
        <v>0.46392544149058002</v>
      </c>
      <c r="S3379">
        <v>14.5378308081577</v>
      </c>
      <c r="T3379">
        <v>-4.4069216514303802E-2</v>
      </c>
      <c r="U3379">
        <v>-7.1552829462211403</v>
      </c>
      <c r="V3379">
        <v>0.96533725955778005</v>
      </c>
      <c r="W3379">
        <v>0.97960582951599495</v>
      </c>
      <c r="X3379">
        <v>0</v>
      </c>
      <c r="Y3379">
        <v>0</v>
      </c>
    </row>
    <row r="3380" spans="1:25" x14ac:dyDescent="0.2">
      <c r="A3380" t="s">
        <v>12466</v>
      </c>
      <c r="B3380" t="s">
        <v>12467</v>
      </c>
      <c r="C3380" t="s">
        <v>12468</v>
      </c>
      <c r="D3380" t="s">
        <v>12469</v>
      </c>
      <c r="E3380" t="s">
        <v>12467</v>
      </c>
      <c r="F3380" t="s">
        <v>28</v>
      </c>
      <c r="G3380" t="s">
        <v>12467</v>
      </c>
      <c r="H3380" t="str">
        <f>"npp-20"</f>
        <v>npp-20</v>
      </c>
      <c r="I3380" t="s">
        <v>12469</v>
      </c>
      <c r="J3380">
        <v>13.9636808890154</v>
      </c>
      <c r="K3380">
        <v>13.6794622977713</v>
      </c>
      <c r="L3380">
        <v>13.745711144888199</v>
      </c>
      <c r="M3380">
        <v>11.899416380734699</v>
      </c>
      <c r="N3380">
        <v>13.2673398121578</v>
      </c>
      <c r="O3380">
        <v>13.8765525303196</v>
      </c>
      <c r="P3380">
        <v>-0.78184853615428695</v>
      </c>
      <c r="Q3380">
        <v>-1.4580281693511199</v>
      </c>
      <c r="R3380">
        <v>-0.105668902957456</v>
      </c>
      <c r="S3380">
        <v>13.597971905802099</v>
      </c>
      <c r="T3380">
        <v>-2.4302617693689998</v>
      </c>
      <c r="U3380">
        <v>-4.48031849417643</v>
      </c>
      <c r="V3380">
        <v>2.58396583934348E-2</v>
      </c>
      <c r="W3380">
        <v>8.7427638674457506E-2</v>
      </c>
      <c r="X3380">
        <v>0</v>
      </c>
      <c r="Y3380">
        <v>0</v>
      </c>
    </row>
    <row r="3381" spans="1:25" x14ac:dyDescent="0.2">
      <c r="A3381" t="s">
        <v>12470</v>
      </c>
      <c r="B3381" t="s">
        <v>12471</v>
      </c>
      <c r="C3381" t="s">
        <v>12472</v>
      </c>
      <c r="D3381" t="s">
        <v>12473</v>
      </c>
      <c r="E3381" t="s">
        <v>12471</v>
      </c>
      <c r="F3381" t="s">
        <v>28</v>
      </c>
      <c r="G3381" t="s">
        <v>12471</v>
      </c>
      <c r="H3381" t="str">
        <f>"clp-7"</f>
        <v>clp-7</v>
      </c>
      <c r="I3381" t="s">
        <v>12473</v>
      </c>
      <c r="J3381">
        <v>11.961174344982</v>
      </c>
      <c r="K3381" t="s">
        <v>29</v>
      </c>
      <c r="L3381" t="s">
        <v>29</v>
      </c>
      <c r="M3381">
        <v>13.660010370090401</v>
      </c>
      <c r="N3381">
        <v>13.905893119515399</v>
      </c>
      <c r="O3381">
        <v>14.669399435301299</v>
      </c>
      <c r="P3381">
        <v>2.1172599633203402</v>
      </c>
      <c r="Q3381">
        <v>1.30280916975098</v>
      </c>
      <c r="R3381">
        <v>2.9317107568897098</v>
      </c>
      <c r="S3381">
        <v>13.465341963474801</v>
      </c>
      <c r="T3381">
        <v>5.5138997303543702</v>
      </c>
      <c r="U3381">
        <v>2.0291176568596399</v>
      </c>
      <c r="V3381" s="2">
        <v>4.8283709399986601E-5</v>
      </c>
      <c r="W3381">
        <v>9.8847522386977704E-4</v>
      </c>
      <c r="X3381">
        <v>1</v>
      </c>
      <c r="Y3381">
        <v>1</v>
      </c>
    </row>
    <row r="3382" spans="1:25" x14ac:dyDescent="0.2">
      <c r="A3382" t="s">
        <v>12474</v>
      </c>
      <c r="B3382" t="s">
        <v>12475</v>
      </c>
      <c r="C3382" t="s">
        <v>12476</v>
      </c>
      <c r="D3382" t="s">
        <v>12477</v>
      </c>
      <c r="E3382" t="s">
        <v>12475</v>
      </c>
      <c r="F3382" t="s">
        <v>28</v>
      </c>
      <c r="G3382" t="s">
        <v>12475</v>
      </c>
      <c r="H3382" t="str">
        <f>"cpsf-1"</f>
        <v>cpsf-1</v>
      </c>
      <c r="I3382" t="s">
        <v>12477</v>
      </c>
      <c r="J3382" t="s">
        <v>29</v>
      </c>
      <c r="K3382">
        <v>11.4013149215703</v>
      </c>
      <c r="L3382">
        <v>11.589475335598999</v>
      </c>
      <c r="M3382" t="s">
        <v>29</v>
      </c>
      <c r="N3382" t="s">
        <v>29</v>
      </c>
      <c r="O3382" t="s">
        <v>29</v>
      </c>
      <c r="P3382" t="s">
        <v>29</v>
      </c>
      <c r="Q3382" t="s">
        <v>29</v>
      </c>
      <c r="R3382" t="s">
        <v>29</v>
      </c>
      <c r="S3382">
        <v>11.7920580828418</v>
      </c>
      <c r="T3382" t="s">
        <v>29</v>
      </c>
      <c r="U3382" t="s">
        <v>29</v>
      </c>
      <c r="V3382" t="s">
        <v>29</v>
      </c>
      <c r="W3382" t="s">
        <v>29</v>
      </c>
      <c r="X3382" t="s">
        <v>29</v>
      </c>
      <c r="Y3382" t="s">
        <v>29</v>
      </c>
    </row>
    <row r="3383" spans="1:25" x14ac:dyDescent="0.2">
      <c r="A3383" t="s">
        <v>12478</v>
      </c>
      <c r="B3383" t="s">
        <v>12479</v>
      </c>
      <c r="C3383" t="s">
        <v>12480</v>
      </c>
      <c r="D3383" t="s">
        <v>12481</v>
      </c>
      <c r="E3383" t="s">
        <v>12479</v>
      </c>
      <c r="F3383" t="s">
        <v>28</v>
      </c>
      <c r="G3383" t="s">
        <v>12479</v>
      </c>
      <c r="H3383" t="str">
        <f>"xpc-1"</f>
        <v>xpc-1</v>
      </c>
      <c r="I3383" t="s">
        <v>12481</v>
      </c>
      <c r="J3383">
        <v>12.8734941542752</v>
      </c>
      <c r="K3383">
        <v>13.9140719640284</v>
      </c>
      <c r="L3383">
        <v>12.9258873231583</v>
      </c>
      <c r="M3383" t="s">
        <v>29</v>
      </c>
      <c r="N3383">
        <v>13.263412183222499</v>
      </c>
      <c r="O3383">
        <v>13.155252533374</v>
      </c>
      <c r="P3383">
        <v>-2.8485455522421401E-2</v>
      </c>
      <c r="Q3383">
        <v>-0.78146777066768702</v>
      </c>
      <c r="R3383">
        <v>0.72449685962284405</v>
      </c>
      <c r="S3383">
        <v>13.5680988914289</v>
      </c>
      <c r="T3383">
        <v>-8.0239446153494501E-2</v>
      </c>
      <c r="U3383">
        <v>-7.0420794404303999</v>
      </c>
      <c r="V3383">
        <v>0.937048401594331</v>
      </c>
      <c r="W3383">
        <v>0.96454126423279596</v>
      </c>
      <c r="X3383">
        <v>0</v>
      </c>
      <c r="Y3383">
        <v>0</v>
      </c>
    </row>
    <row r="3384" spans="1:25" x14ac:dyDescent="0.2">
      <c r="A3384" t="s">
        <v>12482</v>
      </c>
      <c r="B3384" t="s">
        <v>12483</v>
      </c>
      <c r="C3384" t="s">
        <v>14677</v>
      </c>
      <c r="D3384" t="s">
        <v>141</v>
      </c>
      <c r="E3384" t="s">
        <v>12483</v>
      </c>
      <c r="F3384" t="s">
        <v>28</v>
      </c>
      <c r="G3384" t="s">
        <v>12483</v>
      </c>
      <c r="H3384" t="str">
        <f>"Y73C8B.3"</f>
        <v>Y73C8B.3</v>
      </c>
      <c r="I3384" t="s">
        <v>141</v>
      </c>
      <c r="J3384" t="s">
        <v>29</v>
      </c>
      <c r="K3384" t="s">
        <v>29</v>
      </c>
      <c r="L3384">
        <v>11.8340385233</v>
      </c>
      <c r="M3384" t="s">
        <v>29</v>
      </c>
      <c r="N3384">
        <v>13.3404233636413</v>
      </c>
      <c r="O3384">
        <v>12.4440604998269</v>
      </c>
      <c r="P3384">
        <v>1.0582034084340901</v>
      </c>
      <c r="Q3384">
        <v>-6.4923715334939097E-2</v>
      </c>
      <c r="R3384">
        <v>2.1813305322031198</v>
      </c>
      <c r="S3384">
        <v>12.5251170038611</v>
      </c>
      <c r="T3384">
        <v>2.0548742637799</v>
      </c>
      <c r="U3384">
        <v>-4.8262785286758003</v>
      </c>
      <c r="V3384">
        <v>6.2536291318731493E-2</v>
      </c>
      <c r="W3384">
        <v>0.159926480708763</v>
      </c>
      <c r="X3384">
        <v>0</v>
      </c>
      <c r="Y3384">
        <v>0</v>
      </c>
    </row>
    <row r="3385" spans="1:25" x14ac:dyDescent="0.2">
      <c r="A3385" t="s">
        <v>12484</v>
      </c>
      <c r="B3385" t="s">
        <v>12485</v>
      </c>
      <c r="C3385" t="s">
        <v>12486</v>
      </c>
      <c r="D3385" t="s">
        <v>12487</v>
      </c>
      <c r="E3385" t="s">
        <v>12485</v>
      </c>
      <c r="F3385" t="s">
        <v>28</v>
      </c>
      <c r="G3385" t="s">
        <v>12485</v>
      </c>
      <c r="H3385" t="str">
        <f>"ppfr-4"</f>
        <v>ppfr-4</v>
      </c>
      <c r="I3385" t="s">
        <v>12487</v>
      </c>
      <c r="J3385" t="s">
        <v>29</v>
      </c>
      <c r="K3385" t="s">
        <v>29</v>
      </c>
      <c r="L3385" t="s">
        <v>29</v>
      </c>
      <c r="M3385">
        <v>14.435043910733</v>
      </c>
      <c r="N3385">
        <v>14.3604625690642</v>
      </c>
      <c r="O3385">
        <v>15.5665468809367</v>
      </c>
      <c r="P3385" t="s">
        <v>29</v>
      </c>
      <c r="Q3385" t="s">
        <v>29</v>
      </c>
      <c r="R3385" t="s">
        <v>29</v>
      </c>
      <c r="S3385">
        <v>13.2803256311861</v>
      </c>
      <c r="T3385" t="s">
        <v>29</v>
      </c>
      <c r="U3385" t="s">
        <v>29</v>
      </c>
      <c r="V3385" t="s">
        <v>29</v>
      </c>
      <c r="W3385" t="s">
        <v>29</v>
      </c>
      <c r="X3385" t="s">
        <v>29</v>
      </c>
      <c r="Y3385" t="s">
        <v>29</v>
      </c>
    </row>
    <row r="3386" spans="1:25" x14ac:dyDescent="0.2">
      <c r="A3386" t="s">
        <v>12488</v>
      </c>
      <c r="B3386" t="s">
        <v>12489</v>
      </c>
      <c r="C3386" t="s">
        <v>14678</v>
      </c>
      <c r="D3386" t="s">
        <v>12490</v>
      </c>
      <c r="E3386" t="s">
        <v>12489</v>
      </c>
      <c r="F3386" t="s">
        <v>28</v>
      </c>
      <c r="G3386" t="s">
        <v>12489</v>
      </c>
      <c r="H3386" t="str">
        <f>"Y71H2B.5"</f>
        <v>Y71H2B.5</v>
      </c>
      <c r="I3386" t="s">
        <v>12490</v>
      </c>
      <c r="J3386">
        <v>13.1326390901729</v>
      </c>
      <c r="K3386">
        <v>13.0838988664516</v>
      </c>
      <c r="L3386">
        <v>12.8646772281253</v>
      </c>
      <c r="M3386" t="s">
        <v>29</v>
      </c>
      <c r="N3386">
        <v>11.9184546851726</v>
      </c>
      <c r="O3386">
        <v>12.7282251257204</v>
      </c>
      <c r="P3386">
        <v>-0.70373182280342805</v>
      </c>
      <c r="Q3386">
        <v>-1.2571973772078899</v>
      </c>
      <c r="R3386">
        <v>-0.150266268398971</v>
      </c>
      <c r="S3386">
        <v>12.769876018354401</v>
      </c>
      <c r="T3386">
        <v>-2.6839017050741099</v>
      </c>
      <c r="U3386">
        <v>-3.89633742049369</v>
      </c>
      <c r="V3386">
        <v>1.5753236021661701E-2</v>
      </c>
      <c r="W3386">
        <v>6.2567097784146805E-2</v>
      </c>
      <c r="X3386">
        <v>0</v>
      </c>
      <c r="Y3386">
        <v>0</v>
      </c>
    </row>
    <row r="3387" spans="1:25" x14ac:dyDescent="0.2">
      <c r="A3387" t="s">
        <v>12491</v>
      </c>
      <c r="B3387" t="s">
        <v>12492</v>
      </c>
      <c r="C3387" t="s">
        <v>12493</v>
      </c>
      <c r="D3387" t="s">
        <v>12494</v>
      </c>
      <c r="E3387" t="s">
        <v>12492</v>
      </c>
      <c r="F3387" t="s">
        <v>28</v>
      </c>
      <c r="G3387" t="s">
        <v>12492</v>
      </c>
      <c r="H3387" t="str">
        <f>"apb-1"</f>
        <v>apb-1</v>
      </c>
      <c r="I3387" t="s">
        <v>12494</v>
      </c>
      <c r="J3387">
        <v>14.386372988454401</v>
      </c>
      <c r="K3387">
        <v>14.1943750536438</v>
      </c>
      <c r="L3387">
        <v>14.055255623673601</v>
      </c>
      <c r="M3387">
        <v>14.321292196579799</v>
      </c>
      <c r="N3387">
        <v>14.1322742124868</v>
      </c>
      <c r="O3387">
        <v>14.117211136533999</v>
      </c>
      <c r="P3387">
        <v>-2.1742040057064899E-2</v>
      </c>
      <c r="Q3387">
        <v>-0.384836507954323</v>
      </c>
      <c r="R3387">
        <v>0.34135242784019298</v>
      </c>
      <c r="S3387">
        <v>14.0256630592137</v>
      </c>
      <c r="T3387">
        <v>-0.12585578204749501</v>
      </c>
      <c r="U3387">
        <v>-7.1479932336817997</v>
      </c>
      <c r="V3387">
        <v>0.90124928956278305</v>
      </c>
      <c r="W3387">
        <v>0.94183746678777402</v>
      </c>
      <c r="X3387">
        <v>0</v>
      </c>
      <c r="Y3387">
        <v>0</v>
      </c>
    </row>
    <row r="3388" spans="1:25" x14ac:dyDescent="0.2">
      <c r="A3388" t="s">
        <v>12495</v>
      </c>
      <c r="B3388" t="s">
        <v>12496</v>
      </c>
      <c r="C3388" t="s">
        <v>12497</v>
      </c>
      <c r="D3388" t="s">
        <v>12498</v>
      </c>
      <c r="E3388" t="s">
        <v>12496</v>
      </c>
      <c r="F3388" t="s">
        <v>28</v>
      </c>
      <c r="G3388" t="s">
        <v>12496</v>
      </c>
      <c r="H3388" t="str">
        <f>"gpa-17"</f>
        <v>gpa-17</v>
      </c>
      <c r="I3388" t="s">
        <v>12498</v>
      </c>
      <c r="J3388">
        <v>12.7024376636793</v>
      </c>
      <c r="K3388">
        <v>13.2792781652076</v>
      </c>
      <c r="L3388">
        <v>11.9488265492929</v>
      </c>
      <c r="M3388" t="s">
        <v>29</v>
      </c>
      <c r="N3388">
        <v>11.0973830645503</v>
      </c>
      <c r="O3388" t="s">
        <v>29</v>
      </c>
      <c r="P3388">
        <v>-1.54613106150963</v>
      </c>
      <c r="Q3388">
        <v>-2.4260080934989898</v>
      </c>
      <c r="R3388">
        <v>-0.66625402952027202</v>
      </c>
      <c r="S3388">
        <v>11.5938500865112</v>
      </c>
      <c r="T3388">
        <v>-3.7477095881229698</v>
      </c>
      <c r="U3388">
        <v>-1.62221975144291</v>
      </c>
      <c r="V3388">
        <v>1.9614102570981798E-3</v>
      </c>
      <c r="W3388">
        <v>1.43076139298721E-2</v>
      </c>
      <c r="X3388">
        <v>-1</v>
      </c>
      <c r="Y3388">
        <v>-1</v>
      </c>
    </row>
    <row r="3389" spans="1:25" x14ac:dyDescent="0.2">
      <c r="A3389" t="s">
        <v>12499</v>
      </c>
      <c r="B3389" t="s">
        <v>12500</v>
      </c>
      <c r="C3389" t="s">
        <v>14679</v>
      </c>
      <c r="D3389" t="s">
        <v>2641</v>
      </c>
      <c r="E3389" t="s">
        <v>12500</v>
      </c>
      <c r="F3389" t="s">
        <v>28</v>
      </c>
      <c r="G3389" t="s">
        <v>12500</v>
      </c>
      <c r="H3389" t="str">
        <f>"Y71F9B.1"</f>
        <v>Y71F9B.1</v>
      </c>
      <c r="I3389" t="s">
        <v>2641</v>
      </c>
      <c r="J3389" t="s">
        <v>29</v>
      </c>
      <c r="K3389" t="s">
        <v>29</v>
      </c>
      <c r="L3389" t="s">
        <v>29</v>
      </c>
      <c r="M3389" t="s">
        <v>29</v>
      </c>
      <c r="N3389" t="s">
        <v>29</v>
      </c>
      <c r="O3389" t="s">
        <v>29</v>
      </c>
      <c r="P3389" t="s">
        <v>29</v>
      </c>
      <c r="Q3389" t="s">
        <v>29</v>
      </c>
      <c r="R3389" t="s">
        <v>29</v>
      </c>
      <c r="S3389">
        <v>10.4019961639589</v>
      </c>
      <c r="T3389" t="s">
        <v>29</v>
      </c>
      <c r="U3389" t="s">
        <v>29</v>
      </c>
      <c r="V3389" t="s">
        <v>29</v>
      </c>
      <c r="W3389" t="s">
        <v>29</v>
      </c>
      <c r="X3389" t="s">
        <v>29</v>
      </c>
      <c r="Y3389" t="s">
        <v>29</v>
      </c>
    </row>
    <row r="3390" spans="1:25" x14ac:dyDescent="0.2">
      <c r="A3390" t="s">
        <v>12501</v>
      </c>
      <c r="B3390" t="s">
        <v>12502</v>
      </c>
      <c r="C3390" t="s">
        <v>12503</v>
      </c>
      <c r="D3390" t="s">
        <v>12504</v>
      </c>
      <c r="E3390" t="s">
        <v>12502</v>
      </c>
      <c r="F3390" t="s">
        <v>28</v>
      </c>
      <c r="G3390" t="s">
        <v>12502</v>
      </c>
      <c r="H3390" t="str">
        <f>"sop-3"</f>
        <v>sop-3</v>
      </c>
      <c r="I3390" t="s">
        <v>12504</v>
      </c>
      <c r="J3390">
        <v>12.282291010868599</v>
      </c>
      <c r="K3390">
        <v>12.8280065542292</v>
      </c>
      <c r="L3390">
        <v>12.593189546677699</v>
      </c>
      <c r="M3390" t="s">
        <v>29</v>
      </c>
      <c r="N3390" t="s">
        <v>29</v>
      </c>
      <c r="O3390" t="s">
        <v>29</v>
      </c>
      <c r="P3390" t="s">
        <v>29</v>
      </c>
      <c r="Q3390" t="s">
        <v>29</v>
      </c>
      <c r="R3390" t="s">
        <v>29</v>
      </c>
      <c r="S3390">
        <v>12.3756773525044</v>
      </c>
      <c r="T3390" t="s">
        <v>29</v>
      </c>
      <c r="U3390" t="s">
        <v>29</v>
      </c>
      <c r="V3390" t="s">
        <v>29</v>
      </c>
      <c r="W3390" t="s">
        <v>29</v>
      </c>
      <c r="X3390" t="s">
        <v>29</v>
      </c>
      <c r="Y3390" t="s">
        <v>29</v>
      </c>
    </row>
    <row r="3391" spans="1:25" x14ac:dyDescent="0.2">
      <c r="A3391" t="s">
        <v>12505</v>
      </c>
      <c r="B3391" t="s">
        <v>12506</v>
      </c>
      <c r="C3391" t="s">
        <v>12507</v>
      </c>
      <c r="D3391" t="s">
        <v>12508</v>
      </c>
      <c r="E3391" t="s">
        <v>12506</v>
      </c>
      <c r="F3391" t="s">
        <v>28</v>
      </c>
      <c r="G3391" t="s">
        <v>12506</v>
      </c>
      <c r="H3391" t="str">
        <f>"parp-1"</f>
        <v>parp-1</v>
      </c>
      <c r="I3391" t="s">
        <v>12508</v>
      </c>
      <c r="J3391">
        <v>13.395160867584201</v>
      </c>
      <c r="K3391">
        <v>12.914527147512599</v>
      </c>
      <c r="L3391">
        <v>13.220723975191101</v>
      </c>
      <c r="M3391" t="s">
        <v>29</v>
      </c>
      <c r="N3391">
        <v>13.8511523624228</v>
      </c>
      <c r="O3391">
        <v>13.579052694510001</v>
      </c>
      <c r="P3391">
        <v>0.53829853170374298</v>
      </c>
      <c r="Q3391">
        <v>1.1617116686496499E-3</v>
      </c>
      <c r="R3391">
        <v>1.07543535173884</v>
      </c>
      <c r="S3391">
        <v>13.769330188241501</v>
      </c>
      <c r="T3391">
        <v>2.1153794674566302</v>
      </c>
      <c r="U3391">
        <v>-4.9607657862888104</v>
      </c>
      <c r="V3391">
        <v>4.9559740683570198E-2</v>
      </c>
      <c r="W3391">
        <v>0.135630171118858</v>
      </c>
      <c r="X3391">
        <v>0</v>
      </c>
      <c r="Y3391">
        <v>0</v>
      </c>
    </row>
    <row r="3392" spans="1:25" x14ac:dyDescent="0.2">
      <c r="A3392" t="s">
        <v>12509</v>
      </c>
      <c r="B3392" t="s">
        <v>12510</v>
      </c>
      <c r="C3392" t="s">
        <v>12511</v>
      </c>
      <c r="D3392" t="s">
        <v>12512</v>
      </c>
      <c r="E3392" t="s">
        <v>12510</v>
      </c>
      <c r="F3392" t="s">
        <v>28</v>
      </c>
      <c r="G3392" t="s">
        <v>12510</v>
      </c>
      <c r="H3392" t="str">
        <f>"gst-43"</f>
        <v>gst-43</v>
      </c>
      <c r="I3392" t="s">
        <v>12512</v>
      </c>
      <c r="J3392">
        <v>11.864714234487099</v>
      </c>
      <c r="K3392">
        <v>11.8865902228405</v>
      </c>
      <c r="L3392">
        <v>11.7065664142355</v>
      </c>
      <c r="M3392" t="s">
        <v>29</v>
      </c>
      <c r="N3392" t="s">
        <v>29</v>
      </c>
      <c r="O3392">
        <v>11.8828213975809</v>
      </c>
      <c r="P3392">
        <v>6.3531107059906902E-2</v>
      </c>
      <c r="Q3392">
        <v>-0.76963221873493504</v>
      </c>
      <c r="R3392">
        <v>0.89669443285474804</v>
      </c>
      <c r="S3392">
        <v>11.7102652304257</v>
      </c>
      <c r="T3392">
        <v>0.16487071551353</v>
      </c>
      <c r="U3392">
        <v>-6.7982444467049401</v>
      </c>
      <c r="V3392">
        <v>0.87160221041452102</v>
      </c>
      <c r="W3392">
        <v>0.92031949627072496</v>
      </c>
      <c r="X3392">
        <v>0</v>
      </c>
      <c r="Y3392">
        <v>0</v>
      </c>
    </row>
    <row r="3393" spans="1:25" x14ac:dyDescent="0.2">
      <c r="A3393" t="s">
        <v>12513</v>
      </c>
      <c r="B3393" t="s">
        <v>12514</v>
      </c>
      <c r="C3393" t="s">
        <v>12515</v>
      </c>
      <c r="D3393" t="s">
        <v>12516</v>
      </c>
      <c r="E3393" t="s">
        <v>12514</v>
      </c>
      <c r="F3393" t="s">
        <v>28</v>
      </c>
      <c r="G3393" t="s">
        <v>12514</v>
      </c>
      <c r="H3393" t="str">
        <f>"copa-1"</f>
        <v>copa-1</v>
      </c>
      <c r="I3393" t="s">
        <v>12516</v>
      </c>
      <c r="J3393">
        <v>17.658957886212399</v>
      </c>
      <c r="K3393">
        <v>17.607678604832699</v>
      </c>
      <c r="L3393">
        <v>17.459149389659999</v>
      </c>
      <c r="M3393">
        <v>16.741974559579401</v>
      </c>
      <c r="N3393">
        <v>16.9334059473838</v>
      </c>
      <c r="O3393">
        <v>17.3109945827232</v>
      </c>
      <c r="P3393">
        <v>-0.57980359700622897</v>
      </c>
      <c r="Q3393">
        <v>-0.91313351265035003</v>
      </c>
      <c r="R3393">
        <v>-0.24647368136210901</v>
      </c>
      <c r="S3393">
        <v>17.225611244654001</v>
      </c>
      <c r="T3393">
        <v>-3.65594055921926</v>
      </c>
      <c r="U3393">
        <v>-1.9280170573831501</v>
      </c>
      <c r="V3393">
        <v>1.8220940439994001E-3</v>
      </c>
      <c r="W3393">
        <v>1.3758405000941E-2</v>
      </c>
      <c r="X3393">
        <v>0</v>
      </c>
      <c r="Y3393">
        <v>0</v>
      </c>
    </row>
    <row r="3394" spans="1:25" x14ac:dyDescent="0.2">
      <c r="A3394" t="s">
        <v>12517</v>
      </c>
      <c r="B3394" t="s">
        <v>12518</v>
      </c>
      <c r="C3394" t="s">
        <v>12519</v>
      </c>
      <c r="D3394" t="s">
        <v>12520</v>
      </c>
      <c r="E3394" t="s">
        <v>12518</v>
      </c>
      <c r="F3394" t="s">
        <v>28</v>
      </c>
      <c r="G3394" t="s">
        <v>12518</v>
      </c>
      <c r="H3394" t="str">
        <f>"arx-1"</f>
        <v>arx-1</v>
      </c>
      <c r="I3394" t="s">
        <v>12520</v>
      </c>
      <c r="J3394">
        <v>12.3385111672484</v>
      </c>
      <c r="K3394">
        <v>11.8935540814321</v>
      </c>
      <c r="L3394">
        <v>12.412263328516</v>
      </c>
      <c r="M3394" t="s">
        <v>29</v>
      </c>
      <c r="N3394" t="s">
        <v>29</v>
      </c>
      <c r="O3394">
        <v>12.813533318704501</v>
      </c>
      <c r="P3394">
        <v>0.59875712630568001</v>
      </c>
      <c r="Q3394">
        <v>-0.12527700917370699</v>
      </c>
      <c r="R3394">
        <v>1.3227912617850699</v>
      </c>
      <c r="S3394">
        <v>12.219576476207701</v>
      </c>
      <c r="T3394">
        <v>1.75404682614661</v>
      </c>
      <c r="U3394">
        <v>-5.3373356205172602</v>
      </c>
      <c r="V3394">
        <v>9.8678713468550894E-2</v>
      </c>
      <c r="W3394">
        <v>0.21541197673468099</v>
      </c>
      <c r="X3394">
        <v>0</v>
      </c>
      <c r="Y3394">
        <v>0</v>
      </c>
    </row>
    <row r="3395" spans="1:25" x14ac:dyDescent="0.2">
      <c r="A3395" t="s">
        <v>12521</v>
      </c>
      <c r="B3395" t="s">
        <v>12522</v>
      </c>
      <c r="C3395" t="s">
        <v>14177</v>
      </c>
      <c r="D3395" t="s">
        <v>12523</v>
      </c>
      <c r="E3395" t="s">
        <v>12522</v>
      </c>
      <c r="F3395" t="s">
        <v>28</v>
      </c>
      <c r="G3395" t="s">
        <v>12522</v>
      </c>
      <c r="H3395" t="str">
        <f>"Y71F9AL.9"</f>
        <v>Y71F9AL.9</v>
      </c>
      <c r="I3395" t="s">
        <v>12523</v>
      </c>
      <c r="J3395">
        <v>11.959196759862399</v>
      </c>
      <c r="K3395">
        <v>11.9998554340238</v>
      </c>
      <c r="L3395">
        <v>12.4098824652992</v>
      </c>
      <c r="M3395" t="s">
        <v>29</v>
      </c>
      <c r="N3395">
        <v>13.1758932473199</v>
      </c>
      <c r="O3395">
        <v>12.557886356129799</v>
      </c>
      <c r="P3395">
        <v>0.74391158199636798</v>
      </c>
      <c r="Q3395">
        <v>0.211584738515185</v>
      </c>
      <c r="R3395">
        <v>1.2762384254775501</v>
      </c>
      <c r="S3395">
        <v>12.8956411435794</v>
      </c>
      <c r="T3395">
        <v>2.9498026857528701</v>
      </c>
      <c r="U3395">
        <v>-3.3626251919912198</v>
      </c>
      <c r="V3395">
        <v>9.0075749597703907E-3</v>
      </c>
      <c r="W3395">
        <v>4.2558144229318001E-2</v>
      </c>
      <c r="X3395">
        <v>0</v>
      </c>
      <c r="Y3395">
        <v>0</v>
      </c>
    </row>
    <row r="3396" spans="1:25" x14ac:dyDescent="0.2">
      <c r="A3396" t="s">
        <v>12524</v>
      </c>
      <c r="B3396" t="s">
        <v>12525</v>
      </c>
      <c r="C3396" t="s">
        <v>12526</v>
      </c>
      <c r="D3396" t="s">
        <v>12527</v>
      </c>
      <c r="E3396" t="s">
        <v>12525</v>
      </c>
      <c r="F3396" t="s">
        <v>28</v>
      </c>
      <c r="G3396" t="s">
        <v>12525</v>
      </c>
      <c r="H3396" t="str">
        <f>"rpl-1"</f>
        <v>rpl-1</v>
      </c>
      <c r="I3396" t="s">
        <v>12527</v>
      </c>
      <c r="J3396">
        <v>17.719273514033901</v>
      </c>
      <c r="K3396">
        <v>17.505817173686001</v>
      </c>
      <c r="L3396">
        <v>17.490101362193901</v>
      </c>
      <c r="M3396">
        <v>16.556657094275</v>
      </c>
      <c r="N3396">
        <v>16.938214887456699</v>
      </c>
      <c r="O3396">
        <v>17.041669074619399</v>
      </c>
      <c r="P3396">
        <v>-0.72621699785421301</v>
      </c>
      <c r="Q3396">
        <v>-1.20041676433348</v>
      </c>
      <c r="R3396">
        <v>-0.25201723137493998</v>
      </c>
      <c r="S3396">
        <v>17.121587876153999</v>
      </c>
      <c r="T3396">
        <v>-3.2188266411630302</v>
      </c>
      <c r="U3396">
        <v>-2.8734352331766</v>
      </c>
      <c r="V3396">
        <v>4.7885697038530196E-3</v>
      </c>
      <c r="W3396">
        <v>2.7520960019980702E-2</v>
      </c>
      <c r="X3396">
        <v>0</v>
      </c>
      <c r="Y3396">
        <v>0</v>
      </c>
    </row>
    <row r="3397" spans="1:25" x14ac:dyDescent="0.2">
      <c r="A3397" t="s">
        <v>12528</v>
      </c>
      <c r="B3397" t="s">
        <v>12529</v>
      </c>
      <c r="C3397" t="s">
        <v>12530</v>
      </c>
      <c r="D3397" t="s">
        <v>12531</v>
      </c>
      <c r="E3397" t="s">
        <v>12529</v>
      </c>
      <c r="F3397" t="s">
        <v>28</v>
      </c>
      <c r="G3397" t="s">
        <v>12529</v>
      </c>
      <c r="H3397" t="str">
        <f>"vit-3"</f>
        <v>vit-3</v>
      </c>
      <c r="I3397" t="s">
        <v>12531</v>
      </c>
      <c r="J3397">
        <v>18.795656758004601</v>
      </c>
      <c r="K3397">
        <v>18.542328873176</v>
      </c>
      <c r="L3397">
        <v>19.094522904954999</v>
      </c>
      <c r="M3397">
        <v>18.579821088134199</v>
      </c>
      <c r="N3397">
        <v>18.4164066631811</v>
      </c>
      <c r="O3397">
        <v>19.094105752618798</v>
      </c>
      <c r="P3397">
        <v>-0.114058344067182</v>
      </c>
      <c r="Q3397">
        <v>-0.52245791184886003</v>
      </c>
      <c r="R3397">
        <v>0.294341223714497</v>
      </c>
      <c r="S3397">
        <v>19.218920101366301</v>
      </c>
      <c r="T3397">
        <v>-0.58699486413326196</v>
      </c>
      <c r="U3397">
        <v>-6.9772068808022301</v>
      </c>
      <c r="V3397">
        <v>0.564540176618476</v>
      </c>
      <c r="W3397">
        <v>0.706454310188811</v>
      </c>
      <c r="X3397">
        <v>0</v>
      </c>
      <c r="Y3397">
        <v>0</v>
      </c>
    </row>
    <row r="3398" spans="1:25" x14ac:dyDescent="0.2">
      <c r="A3398" t="s">
        <v>12532</v>
      </c>
      <c r="B3398" t="s">
        <v>12533</v>
      </c>
      <c r="C3398" t="s">
        <v>14680</v>
      </c>
      <c r="D3398" t="s">
        <v>649</v>
      </c>
      <c r="E3398" t="s">
        <v>12533</v>
      </c>
      <c r="F3398" t="s">
        <v>28</v>
      </c>
      <c r="G3398" t="s">
        <v>12533</v>
      </c>
      <c r="H3398" t="str">
        <f>"F54A3.2"</f>
        <v>F54A3.2</v>
      </c>
      <c r="I3398" t="s">
        <v>649</v>
      </c>
      <c r="J3398">
        <v>10.6760585757049</v>
      </c>
      <c r="K3398">
        <v>10.9881733337753</v>
      </c>
      <c r="L3398">
        <v>11.5824929796687</v>
      </c>
      <c r="M3398" t="s">
        <v>29</v>
      </c>
      <c r="N3398" t="s">
        <v>29</v>
      </c>
      <c r="O3398" t="s">
        <v>29</v>
      </c>
      <c r="P3398" t="s">
        <v>29</v>
      </c>
      <c r="Q3398" t="s">
        <v>29</v>
      </c>
      <c r="R3398" t="s">
        <v>29</v>
      </c>
      <c r="S3398">
        <v>11.633707807175201</v>
      </c>
      <c r="T3398" t="s">
        <v>29</v>
      </c>
      <c r="U3398" t="s">
        <v>29</v>
      </c>
      <c r="V3398" t="s">
        <v>29</v>
      </c>
      <c r="W3398" t="s">
        <v>29</v>
      </c>
      <c r="X3398" t="s">
        <v>29</v>
      </c>
      <c r="Y3398" t="s">
        <v>29</v>
      </c>
    </row>
    <row r="3399" spans="1:25" x14ac:dyDescent="0.2">
      <c r="A3399" t="s">
        <v>12534</v>
      </c>
      <c r="B3399" t="s">
        <v>12535</v>
      </c>
      <c r="C3399" t="s">
        <v>12536</v>
      </c>
      <c r="D3399" t="s">
        <v>12537</v>
      </c>
      <c r="E3399" t="s">
        <v>12535</v>
      </c>
      <c r="F3399" t="s">
        <v>28</v>
      </c>
      <c r="G3399" t="s">
        <v>12535</v>
      </c>
      <c r="H3399" t="str">
        <f>"cct-3"</f>
        <v>cct-3</v>
      </c>
      <c r="I3399" t="s">
        <v>12537</v>
      </c>
      <c r="J3399">
        <v>18.466031267958002</v>
      </c>
      <c r="K3399">
        <v>18.270094321803299</v>
      </c>
      <c r="L3399">
        <v>18.290040655899102</v>
      </c>
      <c r="M3399">
        <v>17.686502842970999</v>
      </c>
      <c r="N3399">
        <v>17.738697716666501</v>
      </c>
      <c r="O3399">
        <v>17.880401302058502</v>
      </c>
      <c r="P3399">
        <v>-0.57352146132147996</v>
      </c>
      <c r="Q3399">
        <v>-0.91418630607011098</v>
      </c>
      <c r="R3399">
        <v>-0.23285661657284901</v>
      </c>
      <c r="S3399">
        <v>17.931919577686099</v>
      </c>
      <c r="T3399">
        <v>-3.5384647103660298</v>
      </c>
      <c r="U3399">
        <v>-2.1843072972695801</v>
      </c>
      <c r="V3399">
        <v>2.3646804182460399E-3</v>
      </c>
      <c r="W3399">
        <v>1.6318903956196701E-2</v>
      </c>
      <c r="X3399">
        <v>0</v>
      </c>
      <c r="Y3399">
        <v>0</v>
      </c>
    </row>
    <row r="3400" spans="1:25" x14ac:dyDescent="0.2">
      <c r="A3400" t="s">
        <v>12538</v>
      </c>
      <c r="B3400" t="s">
        <v>12539</v>
      </c>
      <c r="C3400" t="s">
        <v>14681</v>
      </c>
      <c r="D3400" t="s">
        <v>7638</v>
      </c>
      <c r="E3400" t="s">
        <v>12539</v>
      </c>
      <c r="F3400" t="s">
        <v>28</v>
      </c>
      <c r="G3400" t="s">
        <v>12539</v>
      </c>
      <c r="H3400" t="str">
        <f>"ZK973.1"</f>
        <v>ZK973.1</v>
      </c>
      <c r="I3400" t="s">
        <v>7638</v>
      </c>
      <c r="J3400">
        <v>15.7096019161614</v>
      </c>
      <c r="K3400">
        <v>15.3016762657708</v>
      </c>
      <c r="L3400">
        <v>14.7279906419956</v>
      </c>
      <c r="M3400">
        <v>15.5425895149165</v>
      </c>
      <c r="N3400">
        <v>15.036160995334599</v>
      </c>
      <c r="O3400">
        <v>15.2820479879644</v>
      </c>
      <c r="P3400">
        <v>4.0509891429266497E-2</v>
      </c>
      <c r="Q3400">
        <v>-0.56272503526866902</v>
      </c>
      <c r="R3400">
        <v>0.64374481812720197</v>
      </c>
      <c r="S3400">
        <v>14.8511340427569</v>
      </c>
      <c r="T3400">
        <v>0.14114552504008099</v>
      </c>
      <c r="U3400">
        <v>-7.1458529793028402</v>
      </c>
      <c r="V3400">
        <v>0.88933172638522295</v>
      </c>
      <c r="W3400">
        <v>0.93335491369560297</v>
      </c>
      <c r="X3400">
        <v>0</v>
      </c>
      <c r="Y3400">
        <v>0</v>
      </c>
    </row>
    <row r="3401" spans="1:25" x14ac:dyDescent="0.2">
      <c r="A3401" t="s">
        <v>12540</v>
      </c>
      <c r="B3401" t="s">
        <v>12541</v>
      </c>
      <c r="C3401" t="s">
        <v>12542</v>
      </c>
      <c r="D3401" t="s">
        <v>3680</v>
      </c>
      <c r="E3401" t="s">
        <v>12541</v>
      </c>
      <c r="F3401" t="s">
        <v>28</v>
      </c>
      <c r="G3401" t="s">
        <v>12541</v>
      </c>
      <c r="H3401" t="str">
        <f>"cec-10"</f>
        <v>cec-10</v>
      </c>
      <c r="I3401" t="s">
        <v>3680</v>
      </c>
      <c r="J3401" t="s">
        <v>29</v>
      </c>
      <c r="K3401">
        <v>11.949671822298599</v>
      </c>
      <c r="L3401" t="s">
        <v>29</v>
      </c>
      <c r="M3401" t="s">
        <v>29</v>
      </c>
      <c r="N3401" t="s">
        <v>29</v>
      </c>
      <c r="O3401" t="s">
        <v>29</v>
      </c>
      <c r="P3401" t="s">
        <v>29</v>
      </c>
      <c r="Q3401" t="s">
        <v>29</v>
      </c>
      <c r="R3401" t="s">
        <v>29</v>
      </c>
      <c r="S3401">
        <v>12.229301182297601</v>
      </c>
      <c r="T3401" t="s">
        <v>29</v>
      </c>
      <c r="U3401" t="s">
        <v>29</v>
      </c>
      <c r="V3401" t="s">
        <v>29</v>
      </c>
      <c r="W3401" t="s">
        <v>29</v>
      </c>
      <c r="X3401" t="s">
        <v>29</v>
      </c>
      <c r="Y3401" t="s">
        <v>29</v>
      </c>
    </row>
    <row r="3402" spans="1:25" x14ac:dyDescent="0.2">
      <c r="A3402" t="s">
        <v>12543</v>
      </c>
      <c r="B3402" t="s">
        <v>12544</v>
      </c>
      <c r="C3402" t="s">
        <v>12545</v>
      </c>
      <c r="D3402" t="s">
        <v>11632</v>
      </c>
      <c r="E3402" t="s">
        <v>12544</v>
      </c>
      <c r="F3402" t="s">
        <v>28</v>
      </c>
      <c r="G3402" t="s">
        <v>12544</v>
      </c>
      <c r="H3402" t="str">
        <f>"pdp-1"</f>
        <v>pdp-1</v>
      </c>
      <c r="I3402" t="s">
        <v>11632</v>
      </c>
      <c r="J3402">
        <v>12.7561999571407</v>
      </c>
      <c r="K3402">
        <v>12.7788188721326</v>
      </c>
      <c r="L3402">
        <v>12.9406946596878</v>
      </c>
      <c r="M3402" t="s">
        <v>29</v>
      </c>
      <c r="N3402" t="s">
        <v>29</v>
      </c>
      <c r="O3402">
        <v>12.4940538855569</v>
      </c>
      <c r="P3402">
        <v>-0.33118394409681301</v>
      </c>
      <c r="Q3402">
        <v>-0.89248411467642497</v>
      </c>
      <c r="R3402">
        <v>0.2301162264828</v>
      </c>
      <c r="S3402">
        <v>12.8843008672444</v>
      </c>
      <c r="T3402">
        <v>-1.2514791815950901</v>
      </c>
      <c r="U3402">
        <v>-6.0286929699857899</v>
      </c>
      <c r="V3402">
        <v>0.228865212681826</v>
      </c>
      <c r="W3402">
        <v>0.39350395669389798</v>
      </c>
      <c r="X3402">
        <v>0</v>
      </c>
      <c r="Y3402">
        <v>0</v>
      </c>
    </row>
    <row r="3403" spans="1:25" x14ac:dyDescent="0.2">
      <c r="A3403" t="s">
        <v>12546</v>
      </c>
      <c r="B3403" t="s">
        <v>12547</v>
      </c>
      <c r="C3403" t="s">
        <v>12548</v>
      </c>
      <c r="D3403" t="s">
        <v>12549</v>
      </c>
      <c r="E3403" t="s">
        <v>12547</v>
      </c>
      <c r="F3403" t="s">
        <v>28</v>
      </c>
      <c r="G3403" t="s">
        <v>12547</v>
      </c>
      <c r="H3403" t="str">
        <f>"anc-1"</f>
        <v>anc-1</v>
      </c>
      <c r="I3403" t="s">
        <v>12549</v>
      </c>
      <c r="J3403">
        <v>13.298059752452099</v>
      </c>
      <c r="K3403">
        <v>13.2842664327124</v>
      </c>
      <c r="L3403">
        <v>12.9388944649831</v>
      </c>
      <c r="M3403" t="s">
        <v>29</v>
      </c>
      <c r="N3403">
        <v>14.6569515261366</v>
      </c>
      <c r="O3403">
        <v>14.8168950943531</v>
      </c>
      <c r="P3403">
        <v>1.5631830935289499</v>
      </c>
      <c r="Q3403">
        <v>1.0791056715291401</v>
      </c>
      <c r="R3403">
        <v>2.0472605155287602</v>
      </c>
      <c r="S3403">
        <v>13.9538920508211</v>
      </c>
      <c r="T3403">
        <v>6.8162425406025697</v>
      </c>
      <c r="U3403">
        <v>4.5996917703947799</v>
      </c>
      <c r="V3403" s="2">
        <v>3.1033286597513198E-6</v>
      </c>
      <c r="W3403">
        <v>1.11530604393746E-4</v>
      </c>
      <c r="X3403">
        <v>1</v>
      </c>
      <c r="Y3403">
        <v>1</v>
      </c>
    </row>
    <row r="3404" spans="1:25" x14ac:dyDescent="0.2">
      <c r="A3404" t="s">
        <v>12550</v>
      </c>
      <c r="B3404" t="s">
        <v>12551</v>
      </c>
      <c r="C3404" t="s">
        <v>12552</v>
      </c>
      <c r="D3404" t="s">
        <v>12553</v>
      </c>
      <c r="E3404" t="s">
        <v>12551</v>
      </c>
      <c r="F3404" t="s">
        <v>28</v>
      </c>
      <c r="G3404" t="s">
        <v>12551</v>
      </c>
      <c r="H3404" t="str">
        <f>"perm-3"</f>
        <v>perm-3</v>
      </c>
      <c r="I3404" t="s">
        <v>12553</v>
      </c>
      <c r="J3404">
        <v>14.9808613052582</v>
      </c>
      <c r="K3404">
        <v>15.352051095497099</v>
      </c>
      <c r="L3404">
        <v>14.944385571071299</v>
      </c>
      <c r="M3404" t="s">
        <v>29</v>
      </c>
      <c r="N3404" t="s">
        <v>29</v>
      </c>
      <c r="O3404">
        <v>14.6038718620634</v>
      </c>
      <c r="P3404">
        <v>-0.48856079521213402</v>
      </c>
      <c r="Q3404">
        <v>-1.0617725595698899</v>
      </c>
      <c r="R3404">
        <v>8.4650969145618399E-2</v>
      </c>
      <c r="S3404">
        <v>14.8443575706575</v>
      </c>
      <c r="T3404">
        <v>-1.80781109978563</v>
      </c>
      <c r="U3404">
        <v>-5.25369724680949</v>
      </c>
      <c r="V3404">
        <v>8.9595779319803795E-2</v>
      </c>
      <c r="W3404">
        <v>0.20171028392319501</v>
      </c>
      <c r="X3404">
        <v>0</v>
      </c>
      <c r="Y3404">
        <v>0</v>
      </c>
    </row>
    <row r="3405" spans="1:25" x14ac:dyDescent="0.2">
      <c r="A3405" t="s">
        <v>12554</v>
      </c>
      <c r="B3405" t="s">
        <v>12555</v>
      </c>
      <c r="C3405" t="s">
        <v>12556</v>
      </c>
      <c r="D3405" t="s">
        <v>12557</v>
      </c>
      <c r="E3405" t="s">
        <v>12555</v>
      </c>
      <c r="F3405" t="s">
        <v>28</v>
      </c>
      <c r="G3405" t="s">
        <v>12555</v>
      </c>
      <c r="H3405" t="str">
        <f>"swsn-6"</f>
        <v>swsn-6</v>
      </c>
      <c r="I3405" t="s">
        <v>12557</v>
      </c>
      <c r="J3405">
        <v>13.8686163689854</v>
      </c>
      <c r="K3405">
        <v>13.7072433225034</v>
      </c>
      <c r="L3405">
        <v>13.758261791557899</v>
      </c>
      <c r="M3405">
        <v>13.8263359539676</v>
      </c>
      <c r="N3405">
        <v>13.8494201831175</v>
      </c>
      <c r="O3405">
        <v>13.6457358913958</v>
      </c>
      <c r="P3405">
        <v>-4.2098181886061096E-3</v>
      </c>
      <c r="Q3405">
        <v>-0.45634313918698599</v>
      </c>
      <c r="R3405">
        <v>0.447923502809774</v>
      </c>
      <c r="S3405">
        <v>14.1088774648588</v>
      </c>
      <c r="T3405">
        <v>-1.95699329987329E-2</v>
      </c>
      <c r="U3405">
        <v>-7.15610110484036</v>
      </c>
      <c r="V3405">
        <v>0.98460300250758503</v>
      </c>
      <c r="W3405">
        <v>0.99133073057391696</v>
      </c>
      <c r="X3405">
        <v>0</v>
      </c>
      <c r="Y3405">
        <v>0</v>
      </c>
    </row>
    <row r="3406" spans="1:25" x14ac:dyDescent="0.2">
      <c r="A3406" t="s">
        <v>12558</v>
      </c>
      <c r="B3406" t="s">
        <v>12559</v>
      </c>
      <c r="C3406" t="s">
        <v>14682</v>
      </c>
      <c r="D3406" t="s">
        <v>12560</v>
      </c>
      <c r="E3406" t="s">
        <v>12559</v>
      </c>
      <c r="F3406" t="s">
        <v>28</v>
      </c>
      <c r="G3406" t="s">
        <v>12559</v>
      </c>
      <c r="H3406" t="str">
        <f>"ZK121.2"</f>
        <v>ZK121.2</v>
      </c>
      <c r="I3406" t="s">
        <v>12560</v>
      </c>
      <c r="J3406">
        <v>12.503316476319</v>
      </c>
      <c r="K3406" t="s">
        <v>29</v>
      </c>
      <c r="L3406" t="s">
        <v>29</v>
      </c>
      <c r="M3406" t="s">
        <v>29</v>
      </c>
      <c r="N3406" t="s">
        <v>29</v>
      </c>
      <c r="O3406">
        <v>12.807526355818901</v>
      </c>
      <c r="P3406">
        <v>0.30420987949988298</v>
      </c>
      <c r="Q3406">
        <v>-0.88703681036703297</v>
      </c>
      <c r="R3406">
        <v>1.4954565693668</v>
      </c>
      <c r="S3406">
        <v>12.927158468563499</v>
      </c>
      <c r="T3406">
        <v>0.56272900466535902</v>
      </c>
      <c r="U3406">
        <v>-6.4455772691608999</v>
      </c>
      <c r="V3406">
        <v>0.585012522918538</v>
      </c>
      <c r="W3406">
        <v>0.722258862606172</v>
      </c>
      <c r="X3406">
        <v>0</v>
      </c>
      <c r="Y3406">
        <v>0</v>
      </c>
    </row>
    <row r="3407" spans="1:25" x14ac:dyDescent="0.2">
      <c r="A3407" t="s">
        <v>12561</v>
      </c>
      <c r="B3407" t="s">
        <v>12562</v>
      </c>
      <c r="C3407" t="s">
        <v>14683</v>
      </c>
      <c r="D3407" t="s">
        <v>12563</v>
      </c>
      <c r="E3407" t="s">
        <v>12562</v>
      </c>
      <c r="F3407" t="s">
        <v>28</v>
      </c>
      <c r="G3407" t="s">
        <v>12562</v>
      </c>
      <c r="H3407" t="str">
        <f>"Y53G8B.2"</f>
        <v>Y53G8B.2</v>
      </c>
      <c r="I3407" t="s">
        <v>12563</v>
      </c>
      <c r="J3407">
        <v>12.3520815842571</v>
      </c>
      <c r="K3407">
        <v>12.9613020045359</v>
      </c>
      <c r="L3407">
        <v>13.107472618185801</v>
      </c>
      <c r="M3407" t="s">
        <v>29</v>
      </c>
      <c r="N3407" t="s">
        <v>29</v>
      </c>
      <c r="O3407">
        <v>13.0612981981331</v>
      </c>
      <c r="P3407">
        <v>0.254346129140121</v>
      </c>
      <c r="Q3407">
        <v>-0.45694817195926202</v>
      </c>
      <c r="R3407">
        <v>0.96564043023950397</v>
      </c>
      <c r="S3407">
        <v>13.245867590501501</v>
      </c>
      <c r="T3407">
        <v>0.75844716656984801</v>
      </c>
      <c r="U3407">
        <v>-6.5160094646004296</v>
      </c>
      <c r="V3407">
        <v>0.45928241052220198</v>
      </c>
      <c r="W3407">
        <v>0.62316080285862296</v>
      </c>
      <c r="X3407">
        <v>0</v>
      </c>
      <c r="Y3407">
        <v>0</v>
      </c>
    </row>
    <row r="3408" spans="1:25" x14ac:dyDescent="0.2">
      <c r="A3408" t="s">
        <v>12564</v>
      </c>
      <c r="B3408" t="s">
        <v>12565</v>
      </c>
      <c r="C3408" t="s">
        <v>14684</v>
      </c>
      <c r="D3408" t="s">
        <v>12566</v>
      </c>
      <c r="E3408" t="s">
        <v>12565</v>
      </c>
      <c r="F3408" t="s">
        <v>28</v>
      </c>
      <c r="G3408" t="s">
        <v>12565</v>
      </c>
      <c r="H3408" t="str">
        <f>"Y47D9A.1"</f>
        <v>Y47D9A.1</v>
      </c>
      <c r="I3408" t="s">
        <v>12566</v>
      </c>
      <c r="J3408">
        <v>13.7151478047219</v>
      </c>
      <c r="K3408">
        <v>14.1300891539557</v>
      </c>
      <c r="L3408">
        <v>13.944365467968501</v>
      </c>
      <c r="M3408" t="s">
        <v>29</v>
      </c>
      <c r="N3408" t="s">
        <v>29</v>
      </c>
      <c r="O3408">
        <v>13.8344158203082</v>
      </c>
      <c r="P3408">
        <v>-9.5451655240548702E-2</v>
      </c>
      <c r="Q3408">
        <v>-0.62483427307566797</v>
      </c>
      <c r="R3408">
        <v>0.43393096259457098</v>
      </c>
      <c r="S3408">
        <v>13.468709218549799</v>
      </c>
      <c r="T3408">
        <v>-0.38244000617712198</v>
      </c>
      <c r="U3408">
        <v>-6.7362463670074701</v>
      </c>
      <c r="V3408">
        <v>0.70720033961644402</v>
      </c>
      <c r="W3408">
        <v>0.81056753139402304</v>
      </c>
      <c r="X3408">
        <v>0</v>
      </c>
      <c r="Y3408">
        <v>0</v>
      </c>
    </row>
    <row r="3409" spans="1:25" x14ac:dyDescent="0.2">
      <c r="A3409" t="s">
        <v>12567</v>
      </c>
      <c r="B3409" t="s">
        <v>12568</v>
      </c>
      <c r="C3409" t="s">
        <v>12569</v>
      </c>
      <c r="D3409" t="s">
        <v>2051</v>
      </c>
      <c r="E3409" t="s">
        <v>12568</v>
      </c>
      <c r="F3409" t="s">
        <v>28</v>
      </c>
      <c r="G3409" t="s">
        <v>12568</v>
      </c>
      <c r="H3409" t="str">
        <f>"fbxc-51"</f>
        <v>fbxc-51</v>
      </c>
      <c r="I3409" t="s">
        <v>2051</v>
      </c>
      <c r="J3409">
        <v>13.1002106683903</v>
      </c>
      <c r="K3409">
        <v>13.1623768153533</v>
      </c>
      <c r="L3409">
        <v>12.672080386973599</v>
      </c>
      <c r="M3409" t="s">
        <v>29</v>
      </c>
      <c r="N3409" t="s">
        <v>29</v>
      </c>
      <c r="O3409">
        <v>12.4447176446531</v>
      </c>
      <c r="P3409">
        <v>-0.53350497891933202</v>
      </c>
      <c r="Q3409">
        <v>-1.67030118195588</v>
      </c>
      <c r="R3409">
        <v>0.60329122411722103</v>
      </c>
      <c r="S3409">
        <v>12.754453864668401</v>
      </c>
      <c r="T3409">
        <v>-1.00091562352536</v>
      </c>
      <c r="U3409">
        <v>-6.3016975427289399</v>
      </c>
      <c r="V3409">
        <v>0.33285147219633299</v>
      </c>
      <c r="W3409">
        <v>0.50409680240986798</v>
      </c>
      <c r="X3409">
        <v>0</v>
      </c>
      <c r="Y3409">
        <v>0</v>
      </c>
    </row>
    <row r="3410" spans="1:25" x14ac:dyDescent="0.2">
      <c r="A3410" t="s">
        <v>12570</v>
      </c>
      <c r="B3410" t="s">
        <v>12571</v>
      </c>
      <c r="C3410" t="s">
        <v>12572</v>
      </c>
      <c r="D3410" t="s">
        <v>12573</v>
      </c>
      <c r="E3410" t="s">
        <v>12571</v>
      </c>
      <c r="F3410" t="s">
        <v>28</v>
      </c>
      <c r="G3410" t="s">
        <v>12571</v>
      </c>
      <c r="H3410" t="str">
        <f>"nuo-5"</f>
        <v>nuo-5</v>
      </c>
      <c r="I3410" t="s">
        <v>12573</v>
      </c>
      <c r="J3410">
        <v>14.7958667605006</v>
      </c>
      <c r="K3410">
        <v>15.0344003011555</v>
      </c>
      <c r="L3410">
        <v>15.059474099555199</v>
      </c>
      <c r="M3410">
        <v>14.3948861881527</v>
      </c>
      <c r="N3410">
        <v>14.948371401640699</v>
      </c>
      <c r="O3410">
        <v>14.716411855706699</v>
      </c>
      <c r="P3410">
        <v>-0.27669057190372298</v>
      </c>
      <c r="Q3410">
        <v>-0.87875216470079698</v>
      </c>
      <c r="R3410">
        <v>0.32537102089335102</v>
      </c>
      <c r="S3410">
        <v>15.228153136306</v>
      </c>
      <c r="T3410">
        <v>-0.96593065898167596</v>
      </c>
      <c r="U3410">
        <v>-6.6790696876427704</v>
      </c>
      <c r="V3410">
        <v>0.346952445984202</v>
      </c>
      <c r="W3410">
        <v>0.51744375420822097</v>
      </c>
      <c r="X3410">
        <v>0</v>
      </c>
      <c r="Y3410">
        <v>0</v>
      </c>
    </row>
    <row r="3411" spans="1:25" x14ac:dyDescent="0.2">
      <c r="A3411" t="s">
        <v>12574</v>
      </c>
      <c r="B3411" t="s">
        <v>12575</v>
      </c>
      <c r="C3411" t="s">
        <v>12576</v>
      </c>
      <c r="D3411" t="s">
        <v>12577</v>
      </c>
      <c r="E3411" t="s">
        <v>12575</v>
      </c>
      <c r="F3411" t="s">
        <v>28</v>
      </c>
      <c r="G3411" t="s">
        <v>12575</v>
      </c>
      <c r="H3411" t="str">
        <f>"Y45G12B.3"</f>
        <v>Y45G12B.3</v>
      </c>
      <c r="I3411" t="s">
        <v>12577</v>
      </c>
      <c r="J3411">
        <v>16.0136891995257</v>
      </c>
      <c r="K3411">
        <v>15.808921414194</v>
      </c>
      <c r="L3411">
        <v>15.564683599431101</v>
      </c>
      <c r="M3411">
        <v>16.191842941938098</v>
      </c>
      <c r="N3411">
        <v>15.016375272803501</v>
      </c>
      <c r="O3411">
        <v>15.093671038722499</v>
      </c>
      <c r="P3411">
        <v>-0.36180165322890001</v>
      </c>
      <c r="Q3411">
        <v>-0.86348066673911095</v>
      </c>
      <c r="R3411">
        <v>0.13987736028131101</v>
      </c>
      <c r="S3411">
        <v>15.442810231447201</v>
      </c>
      <c r="T3411">
        <v>-1.5157833293866101</v>
      </c>
      <c r="U3411">
        <v>-6.0223220876647101</v>
      </c>
      <c r="V3411">
        <v>0.147039325094281</v>
      </c>
      <c r="W3411">
        <v>0.28965567583746299</v>
      </c>
      <c r="X3411">
        <v>0</v>
      </c>
      <c r="Y3411">
        <v>0</v>
      </c>
    </row>
    <row r="3412" spans="1:25" x14ac:dyDescent="0.2">
      <c r="A3412" t="s">
        <v>12578</v>
      </c>
      <c r="B3412" t="s">
        <v>12579</v>
      </c>
      <c r="C3412" t="s">
        <v>14685</v>
      </c>
      <c r="D3412" t="s">
        <v>12580</v>
      </c>
      <c r="E3412" t="s">
        <v>12579</v>
      </c>
      <c r="F3412" t="s">
        <v>28</v>
      </c>
      <c r="G3412" t="s">
        <v>12579</v>
      </c>
      <c r="H3412" t="str">
        <f>"Y32H12A.8"</f>
        <v>Y32H12A.8</v>
      </c>
      <c r="I3412" t="s">
        <v>12580</v>
      </c>
      <c r="J3412">
        <v>12.051420541932499</v>
      </c>
      <c r="K3412">
        <v>12.5887535817592</v>
      </c>
      <c r="L3412">
        <v>13.803138298352399</v>
      </c>
      <c r="M3412" t="s">
        <v>29</v>
      </c>
      <c r="N3412" t="s">
        <v>29</v>
      </c>
      <c r="O3412">
        <v>12.4153055041188</v>
      </c>
      <c r="P3412">
        <v>-0.39913196989590799</v>
      </c>
      <c r="Q3412">
        <v>-1.6273042370804001</v>
      </c>
      <c r="R3412">
        <v>0.82904029728858397</v>
      </c>
      <c r="S3412">
        <v>12.851632141945601</v>
      </c>
      <c r="T3412">
        <v>-0.69750788552130005</v>
      </c>
      <c r="U3412">
        <v>-6.5594867311657596</v>
      </c>
      <c r="V3412">
        <v>0.49699107951021598</v>
      </c>
      <c r="W3412">
        <v>0.65356212017697801</v>
      </c>
      <c r="X3412">
        <v>0</v>
      </c>
      <c r="Y3412">
        <v>0</v>
      </c>
    </row>
    <row r="3413" spans="1:25" x14ac:dyDescent="0.2">
      <c r="A3413" t="s">
        <v>12581</v>
      </c>
      <c r="B3413" t="s">
        <v>12582</v>
      </c>
      <c r="C3413" t="s">
        <v>12583</v>
      </c>
      <c r="D3413" t="s">
        <v>12584</v>
      </c>
      <c r="E3413" t="s">
        <v>12582</v>
      </c>
      <c r="F3413" t="s">
        <v>28</v>
      </c>
      <c r="G3413" t="s">
        <v>12582</v>
      </c>
      <c r="H3413" t="str">
        <f>"dhs-9"</f>
        <v>dhs-9</v>
      </c>
      <c r="I3413" t="s">
        <v>12584</v>
      </c>
      <c r="J3413">
        <v>14.989204354407899</v>
      </c>
      <c r="K3413">
        <v>15.042745217704899</v>
      </c>
      <c r="L3413">
        <v>14.8039502729587</v>
      </c>
      <c r="M3413">
        <v>14.6929546499937</v>
      </c>
      <c r="N3413">
        <v>14.9976110230372</v>
      </c>
      <c r="O3413">
        <v>15.0124534353707</v>
      </c>
      <c r="P3413">
        <v>-4.42935788899632E-2</v>
      </c>
      <c r="Q3413">
        <v>-0.35403875530039802</v>
      </c>
      <c r="R3413">
        <v>0.26545159752047098</v>
      </c>
      <c r="S3413">
        <v>14.630380893470701</v>
      </c>
      <c r="T3413">
        <v>-0.30055830551963703</v>
      </c>
      <c r="U3413">
        <v>-7.1090147143079001</v>
      </c>
      <c r="V3413">
        <v>0.76721519022406903</v>
      </c>
      <c r="W3413">
        <v>0.85143193839327402</v>
      </c>
      <c r="X3413">
        <v>0</v>
      </c>
      <c r="Y3413">
        <v>0</v>
      </c>
    </row>
    <row r="3414" spans="1:25" x14ac:dyDescent="0.2">
      <c r="A3414" t="s">
        <v>12585</v>
      </c>
      <c r="B3414" t="s">
        <v>12586</v>
      </c>
      <c r="C3414" t="s">
        <v>14686</v>
      </c>
      <c r="D3414" t="s">
        <v>12587</v>
      </c>
      <c r="E3414" t="s">
        <v>12586</v>
      </c>
      <c r="F3414" t="s">
        <v>28</v>
      </c>
      <c r="G3414" t="s">
        <v>12586</v>
      </c>
      <c r="H3414" t="str">
        <f>"Y17G9B.5"</f>
        <v>Y17G9B.5</v>
      </c>
      <c r="I3414" t="s">
        <v>12587</v>
      </c>
      <c r="J3414">
        <v>11.4971925979572</v>
      </c>
      <c r="K3414">
        <v>12.2039134101096</v>
      </c>
      <c r="L3414">
        <v>12.6311153017281</v>
      </c>
      <c r="M3414" t="s">
        <v>29</v>
      </c>
      <c r="N3414" t="s">
        <v>29</v>
      </c>
      <c r="O3414">
        <v>12.0092333176423</v>
      </c>
      <c r="P3414">
        <v>-0.101507118955961</v>
      </c>
      <c r="Q3414">
        <v>-1.0562133509963501</v>
      </c>
      <c r="R3414">
        <v>0.85319911308442697</v>
      </c>
      <c r="S3414">
        <v>12.8279836735007</v>
      </c>
      <c r="T3414">
        <v>-0.225515436070857</v>
      </c>
      <c r="U3414">
        <v>-6.7860357297528502</v>
      </c>
      <c r="V3414">
        <v>0.82445227762086704</v>
      </c>
      <c r="W3414">
        <v>0.88956083603512703</v>
      </c>
      <c r="X3414">
        <v>0</v>
      </c>
      <c r="Y3414">
        <v>0</v>
      </c>
    </row>
    <row r="3415" spans="1:25" x14ac:dyDescent="0.2">
      <c r="A3415" t="s">
        <v>12588</v>
      </c>
      <c r="B3415" t="s">
        <v>12589</v>
      </c>
      <c r="C3415" t="s">
        <v>12590</v>
      </c>
      <c r="D3415" t="s">
        <v>12591</v>
      </c>
      <c r="E3415" t="s">
        <v>12589</v>
      </c>
      <c r="F3415" t="s">
        <v>28</v>
      </c>
      <c r="G3415" t="s">
        <v>12589</v>
      </c>
      <c r="H3415" t="str">
        <f>"let-630"</f>
        <v>let-630</v>
      </c>
      <c r="I3415" t="s">
        <v>12591</v>
      </c>
      <c r="J3415">
        <v>13.450448591530799</v>
      </c>
      <c r="K3415">
        <v>13.384642035592201</v>
      </c>
      <c r="L3415">
        <v>13.386360102363</v>
      </c>
      <c r="M3415">
        <v>12.648861040476801</v>
      </c>
      <c r="N3415">
        <v>13.5852307846845</v>
      </c>
      <c r="O3415">
        <v>13.304632847054799</v>
      </c>
      <c r="P3415">
        <v>-0.227575352423246</v>
      </c>
      <c r="Q3415">
        <v>-0.70773032639207401</v>
      </c>
      <c r="R3415">
        <v>0.252579621545582</v>
      </c>
      <c r="S3415">
        <v>13.7025017012606</v>
      </c>
      <c r="T3415">
        <v>-0.99617652880778096</v>
      </c>
      <c r="U3415">
        <v>-6.6495248764546702</v>
      </c>
      <c r="V3415">
        <v>0.33244479471427602</v>
      </c>
      <c r="W3415">
        <v>0.50409680240986798</v>
      </c>
      <c r="X3415">
        <v>0</v>
      </c>
      <c r="Y3415">
        <v>0</v>
      </c>
    </row>
    <row r="3416" spans="1:25" x14ac:dyDescent="0.2">
      <c r="A3416" t="s">
        <v>12592</v>
      </c>
      <c r="B3416" t="s">
        <v>12593</v>
      </c>
      <c r="C3416" t="s">
        <v>12594</v>
      </c>
      <c r="D3416" t="s">
        <v>12595</v>
      </c>
      <c r="E3416" t="s">
        <v>12593</v>
      </c>
      <c r="F3416" t="s">
        <v>28</v>
      </c>
      <c r="G3416" t="s">
        <v>12593</v>
      </c>
      <c r="H3416" t="str">
        <f>"mtm-1"</f>
        <v>mtm-1</v>
      </c>
      <c r="I3416" t="s">
        <v>12595</v>
      </c>
      <c r="J3416">
        <v>12.5912807013475</v>
      </c>
      <c r="K3416">
        <v>12.939670348845</v>
      </c>
      <c r="L3416">
        <v>12.000966414279301</v>
      </c>
      <c r="M3416" t="s">
        <v>29</v>
      </c>
      <c r="N3416" t="s">
        <v>29</v>
      </c>
      <c r="O3416">
        <v>13.4675931790348</v>
      </c>
      <c r="P3416">
        <v>0.95695402421088505</v>
      </c>
      <c r="Q3416">
        <v>0.31266427757364701</v>
      </c>
      <c r="R3416">
        <v>1.60124377084812</v>
      </c>
      <c r="S3416">
        <v>12.8503483438715</v>
      </c>
      <c r="T3416">
        <v>3.1503541847888501</v>
      </c>
      <c r="U3416">
        <v>-2.7768152676796198</v>
      </c>
      <c r="V3416">
        <v>6.2307290452508803E-3</v>
      </c>
      <c r="W3416">
        <v>3.2847868508684E-2</v>
      </c>
      <c r="X3416">
        <v>0</v>
      </c>
      <c r="Y3416">
        <v>0</v>
      </c>
    </row>
    <row r="3417" spans="1:25" x14ac:dyDescent="0.2">
      <c r="A3417" t="s">
        <v>12596</v>
      </c>
      <c r="B3417" t="s">
        <v>12597</v>
      </c>
      <c r="C3417" t="s">
        <v>12598</v>
      </c>
      <c r="D3417" t="s">
        <v>12599</v>
      </c>
      <c r="E3417" t="s">
        <v>12597</v>
      </c>
      <c r="F3417" t="s">
        <v>28</v>
      </c>
      <c r="G3417" t="s">
        <v>12597</v>
      </c>
      <c r="H3417" t="str">
        <f>"pfkb-1.1"</f>
        <v>pfkb-1.1</v>
      </c>
      <c r="I3417" t="s">
        <v>12599</v>
      </c>
      <c r="J3417">
        <v>11.6895300372028</v>
      </c>
      <c r="K3417" t="s">
        <v>29</v>
      </c>
      <c r="L3417" t="s">
        <v>29</v>
      </c>
      <c r="M3417" t="s">
        <v>29</v>
      </c>
      <c r="N3417">
        <v>13.655943082082601</v>
      </c>
      <c r="O3417">
        <v>15.261263750583501</v>
      </c>
      <c r="P3417">
        <v>2.7690733791302602</v>
      </c>
      <c r="Q3417">
        <v>1.54198559434612</v>
      </c>
      <c r="R3417">
        <v>3.9961611639144001</v>
      </c>
      <c r="S3417">
        <v>12.950795678508401</v>
      </c>
      <c r="T3417">
        <v>4.8128290664896598</v>
      </c>
      <c r="U3417">
        <v>0.53808084842049497</v>
      </c>
      <c r="V3417">
        <v>2.32513420115648E-4</v>
      </c>
      <c r="W3417">
        <v>3.12884497297175E-3</v>
      </c>
      <c r="X3417">
        <v>1</v>
      </c>
      <c r="Y3417">
        <v>1</v>
      </c>
    </row>
    <row r="3418" spans="1:25" x14ac:dyDescent="0.2">
      <c r="A3418" t="s">
        <v>12600</v>
      </c>
      <c r="B3418" t="s">
        <v>12601</v>
      </c>
      <c r="C3418" t="s">
        <v>12602</v>
      </c>
      <c r="D3418" t="s">
        <v>12603</v>
      </c>
      <c r="E3418" t="s">
        <v>12601</v>
      </c>
      <c r="F3418" t="s">
        <v>28</v>
      </c>
      <c r="G3418" t="s">
        <v>12601</v>
      </c>
      <c r="H3418" t="str">
        <f>"prp-31"</f>
        <v>prp-31</v>
      </c>
      <c r="I3418" t="s">
        <v>12603</v>
      </c>
      <c r="J3418">
        <v>14.4372472642732</v>
      </c>
      <c r="K3418">
        <v>14.396370172303801</v>
      </c>
      <c r="L3418">
        <v>14.274591376259201</v>
      </c>
      <c r="M3418">
        <v>14.049885537200201</v>
      </c>
      <c r="N3418">
        <v>13.874674901760701</v>
      </c>
      <c r="O3418">
        <v>14.2172225485052</v>
      </c>
      <c r="P3418">
        <v>-0.322141941790061</v>
      </c>
      <c r="Q3418">
        <v>-0.69123923532544995</v>
      </c>
      <c r="R3418">
        <v>4.6955351745327799E-2</v>
      </c>
      <c r="S3418">
        <v>14.214620772958799</v>
      </c>
      <c r="T3418">
        <v>-1.83442062492458</v>
      </c>
      <c r="U3418">
        <v>-5.5389825387308296</v>
      </c>
      <c r="V3418">
        <v>8.3273980809865894E-2</v>
      </c>
      <c r="W3418">
        <v>0.19232634909613999</v>
      </c>
      <c r="X3418">
        <v>0</v>
      </c>
      <c r="Y3418">
        <v>0</v>
      </c>
    </row>
    <row r="3419" spans="1:25" x14ac:dyDescent="0.2">
      <c r="A3419" t="s">
        <v>12604</v>
      </c>
      <c r="B3419" t="s">
        <v>12605</v>
      </c>
      <c r="C3419" t="s">
        <v>12606</v>
      </c>
      <c r="D3419" t="s">
        <v>12607</v>
      </c>
      <c r="E3419" t="s">
        <v>12605</v>
      </c>
      <c r="F3419" t="s">
        <v>28</v>
      </c>
      <c r="G3419" t="s">
        <v>12605</v>
      </c>
      <c r="H3419" t="str">
        <f>"mat-1"</f>
        <v>mat-1</v>
      </c>
      <c r="I3419" t="s">
        <v>12607</v>
      </c>
      <c r="J3419">
        <v>14.0103387986776</v>
      </c>
      <c r="K3419">
        <v>14.4548957305734</v>
      </c>
      <c r="L3419">
        <v>14.7489740596424</v>
      </c>
      <c r="M3419">
        <v>12.289682616339499</v>
      </c>
      <c r="N3419" t="s">
        <v>29</v>
      </c>
      <c r="O3419">
        <v>13.851749038588199</v>
      </c>
      <c r="P3419">
        <v>-1.33402036883397</v>
      </c>
      <c r="Q3419">
        <v>-2.0286162417286402</v>
      </c>
      <c r="R3419">
        <v>-0.63942449593930895</v>
      </c>
      <c r="S3419">
        <v>14.425542121054599</v>
      </c>
      <c r="T3419">
        <v>-4.0539676185236804</v>
      </c>
      <c r="U3419">
        <v>-1.0308054638348201</v>
      </c>
      <c r="V3419">
        <v>8.3421555379400503E-4</v>
      </c>
      <c r="W3419">
        <v>8.0185432682933992E-3</v>
      </c>
      <c r="X3419">
        <v>-1</v>
      </c>
      <c r="Y3419">
        <v>-1</v>
      </c>
    </row>
    <row r="3420" spans="1:25" x14ac:dyDescent="0.2">
      <c r="A3420" t="s">
        <v>12608</v>
      </c>
      <c r="B3420" t="s">
        <v>12609</v>
      </c>
      <c r="C3420" t="s">
        <v>12610</v>
      </c>
      <c r="D3420" t="s">
        <v>12611</v>
      </c>
      <c r="E3420" t="s">
        <v>12609</v>
      </c>
      <c r="F3420" t="s">
        <v>28</v>
      </c>
      <c r="G3420" t="s">
        <v>12609</v>
      </c>
      <c r="H3420" t="str">
        <f>"elpc-1"</f>
        <v>elpc-1</v>
      </c>
      <c r="I3420" t="s">
        <v>12611</v>
      </c>
      <c r="J3420" t="s">
        <v>29</v>
      </c>
      <c r="K3420" t="s">
        <v>29</v>
      </c>
      <c r="L3420" t="s">
        <v>29</v>
      </c>
      <c r="M3420" t="s">
        <v>29</v>
      </c>
      <c r="N3420" t="s">
        <v>29</v>
      </c>
      <c r="O3420" t="s">
        <v>29</v>
      </c>
      <c r="P3420" t="s">
        <v>29</v>
      </c>
      <c r="Q3420" t="s">
        <v>29</v>
      </c>
      <c r="R3420" t="s">
        <v>29</v>
      </c>
      <c r="S3420">
        <v>13.2593718837668</v>
      </c>
      <c r="T3420" t="s">
        <v>29</v>
      </c>
      <c r="U3420" t="s">
        <v>29</v>
      </c>
      <c r="V3420" t="s">
        <v>29</v>
      </c>
      <c r="W3420" t="s">
        <v>29</v>
      </c>
      <c r="X3420" t="s">
        <v>29</v>
      </c>
      <c r="Y3420" t="s">
        <v>29</v>
      </c>
    </row>
    <row r="3421" spans="1:25" x14ac:dyDescent="0.2">
      <c r="A3421" t="s">
        <v>12612</v>
      </c>
      <c r="B3421" t="s">
        <v>12613</v>
      </c>
      <c r="C3421" t="s">
        <v>12614</v>
      </c>
      <c r="D3421" t="s">
        <v>12615</v>
      </c>
      <c r="E3421" t="s">
        <v>12613</v>
      </c>
      <c r="F3421" t="s">
        <v>28</v>
      </c>
      <c r="G3421" t="s">
        <v>12613</v>
      </c>
      <c r="H3421" t="str">
        <f>"pas-3"</f>
        <v>pas-3</v>
      </c>
      <c r="I3421" t="s">
        <v>12615</v>
      </c>
      <c r="J3421">
        <v>13.416245712152</v>
      </c>
      <c r="K3421">
        <v>13.3751554434358</v>
      </c>
      <c r="L3421">
        <v>13.4718628560195</v>
      </c>
      <c r="M3421" t="s">
        <v>29</v>
      </c>
      <c r="N3421" t="s">
        <v>29</v>
      </c>
      <c r="O3421">
        <v>13.2326510228327</v>
      </c>
      <c r="P3421">
        <v>-0.18843698103640499</v>
      </c>
      <c r="Q3421">
        <v>-1.2179614443289599</v>
      </c>
      <c r="R3421">
        <v>0.84108748225615304</v>
      </c>
      <c r="S3421">
        <v>13.330943178804899</v>
      </c>
      <c r="T3421">
        <v>-0.38822097583175302</v>
      </c>
      <c r="U3421">
        <v>-6.7339286159589902</v>
      </c>
      <c r="V3421">
        <v>0.7030027229236</v>
      </c>
      <c r="W3421">
        <v>0.80712917180875099</v>
      </c>
      <c r="X3421">
        <v>0</v>
      </c>
      <c r="Y3421">
        <v>0</v>
      </c>
    </row>
    <row r="3422" spans="1:25" x14ac:dyDescent="0.2">
      <c r="A3422" t="s">
        <v>12616</v>
      </c>
      <c r="B3422" t="s">
        <v>12617</v>
      </c>
      <c r="C3422" t="s">
        <v>12618</v>
      </c>
      <c r="D3422" t="s">
        <v>12619</v>
      </c>
      <c r="E3422" t="s">
        <v>12617</v>
      </c>
      <c r="F3422" t="s">
        <v>28</v>
      </c>
      <c r="G3422" t="s">
        <v>12617</v>
      </c>
      <c r="H3422" t="str">
        <f>"spe-5"</f>
        <v>spe-5</v>
      </c>
      <c r="I3422" t="s">
        <v>12619</v>
      </c>
      <c r="J3422">
        <v>15.0066635252564</v>
      </c>
      <c r="K3422">
        <v>14.7319682990149</v>
      </c>
      <c r="L3422">
        <v>14.5434458057625</v>
      </c>
      <c r="M3422">
        <v>16.580874400863301</v>
      </c>
      <c r="N3422">
        <v>16.411925500887801</v>
      </c>
      <c r="O3422">
        <v>15.863435930775299</v>
      </c>
      <c r="P3422">
        <v>1.52471940083087</v>
      </c>
      <c r="Q3422">
        <v>1.0055908999744001</v>
      </c>
      <c r="R3422">
        <v>2.0438479016873399</v>
      </c>
      <c r="S3422">
        <v>15.242268063079999</v>
      </c>
      <c r="T3422">
        <v>6.1731604719636</v>
      </c>
      <c r="U3422">
        <v>3.5030064982580198</v>
      </c>
      <c r="V3422" s="2">
        <v>8.1291600270772892E-6</v>
      </c>
      <c r="W3422">
        <v>2.3719440197818599E-4</v>
      </c>
      <c r="X3422">
        <v>1</v>
      </c>
      <c r="Y3422">
        <v>1</v>
      </c>
    </row>
    <row r="3423" spans="1:25" x14ac:dyDescent="0.2">
      <c r="A3423" t="s">
        <v>12620</v>
      </c>
      <c r="B3423" t="s">
        <v>12621</v>
      </c>
      <c r="C3423" t="s">
        <v>14687</v>
      </c>
      <c r="D3423" t="s">
        <v>150</v>
      </c>
      <c r="E3423" t="s">
        <v>12621</v>
      </c>
      <c r="F3423" t="s">
        <v>28</v>
      </c>
      <c r="G3423" t="s">
        <v>12621</v>
      </c>
      <c r="H3423" t="str">
        <f>"Y104H12D.2"</f>
        <v>Y104H12D.2</v>
      </c>
      <c r="I3423" t="s">
        <v>150</v>
      </c>
      <c r="J3423">
        <v>12.2955642952716</v>
      </c>
      <c r="K3423">
        <v>11.256091487175899</v>
      </c>
      <c r="L3423">
        <v>12.1637297840784</v>
      </c>
      <c r="M3423" t="s">
        <v>29</v>
      </c>
      <c r="N3423" t="s">
        <v>29</v>
      </c>
      <c r="O3423" t="s">
        <v>29</v>
      </c>
      <c r="P3423" t="s">
        <v>29</v>
      </c>
      <c r="Q3423" t="s">
        <v>29</v>
      </c>
      <c r="R3423" t="s">
        <v>29</v>
      </c>
      <c r="S3423">
        <v>11.8807414749025</v>
      </c>
      <c r="T3423" t="s">
        <v>29</v>
      </c>
      <c r="U3423" t="s">
        <v>29</v>
      </c>
      <c r="V3423" t="s">
        <v>29</v>
      </c>
      <c r="W3423" t="s">
        <v>29</v>
      </c>
      <c r="X3423" t="s">
        <v>29</v>
      </c>
      <c r="Y3423" t="s">
        <v>29</v>
      </c>
    </row>
    <row r="3424" spans="1:25" x14ac:dyDescent="0.2">
      <c r="A3424" t="s">
        <v>12622</v>
      </c>
      <c r="B3424" t="s">
        <v>12623</v>
      </c>
      <c r="C3424" t="s">
        <v>14688</v>
      </c>
      <c r="D3424" t="s">
        <v>12624</v>
      </c>
      <c r="E3424" t="s">
        <v>12623</v>
      </c>
      <c r="F3424" t="s">
        <v>28</v>
      </c>
      <c r="G3424" t="s">
        <v>12623</v>
      </c>
      <c r="H3424" t="str">
        <f>"W08E12.7"</f>
        <v>W08E12.7</v>
      </c>
      <c r="I3424" t="s">
        <v>12624</v>
      </c>
      <c r="J3424">
        <v>13.754261074120601</v>
      </c>
      <c r="K3424">
        <v>13.881500913047001</v>
      </c>
      <c r="L3424">
        <v>14.048446664462199</v>
      </c>
      <c r="M3424">
        <v>15.3341115380611</v>
      </c>
      <c r="N3424">
        <v>15.625898050467001</v>
      </c>
      <c r="O3424">
        <v>14.757499765886701</v>
      </c>
      <c r="P3424">
        <v>1.3444335675950101</v>
      </c>
      <c r="Q3424">
        <v>0.77297952433464501</v>
      </c>
      <c r="R3424">
        <v>1.91588761085537</v>
      </c>
      <c r="S3424">
        <v>13.7921577560326</v>
      </c>
      <c r="T3424">
        <v>4.9448207225498102</v>
      </c>
      <c r="U3424">
        <v>0.90474189580254805</v>
      </c>
      <c r="V3424">
        <v>1.0637073594957E-4</v>
      </c>
      <c r="W3424">
        <v>1.83318455463967E-3</v>
      </c>
      <c r="X3424">
        <v>1</v>
      </c>
      <c r="Y3424">
        <v>1</v>
      </c>
    </row>
    <row r="3425" spans="1:25" x14ac:dyDescent="0.2">
      <c r="A3425" t="s">
        <v>12625</v>
      </c>
      <c r="B3425" t="s">
        <v>12626</v>
      </c>
      <c r="C3425" t="s">
        <v>12627</v>
      </c>
      <c r="D3425" t="s">
        <v>12628</v>
      </c>
      <c r="E3425" t="s">
        <v>12626</v>
      </c>
      <c r="F3425" t="s">
        <v>28</v>
      </c>
      <c r="G3425" t="s">
        <v>12626</v>
      </c>
      <c r="H3425" t="str">
        <f>"sos-1"</f>
        <v>sos-1</v>
      </c>
      <c r="I3425" t="s">
        <v>12628</v>
      </c>
      <c r="J3425">
        <v>12.1264420387066</v>
      </c>
      <c r="K3425">
        <v>12.7602523425182</v>
      </c>
      <c r="L3425">
        <v>12.2093428718171</v>
      </c>
      <c r="M3425" t="s">
        <v>29</v>
      </c>
      <c r="N3425" t="s">
        <v>29</v>
      </c>
      <c r="O3425">
        <v>13.643713833002799</v>
      </c>
      <c r="P3425">
        <v>1.2783680819888601</v>
      </c>
      <c r="Q3425">
        <v>0.60631045801230798</v>
      </c>
      <c r="R3425">
        <v>1.95042570596541</v>
      </c>
      <c r="S3425">
        <v>12.8629131851437</v>
      </c>
      <c r="T3425">
        <v>4.0345856206542399</v>
      </c>
      <c r="U3425">
        <v>-0.95812384639007497</v>
      </c>
      <c r="V3425">
        <v>9.7125488434488005E-4</v>
      </c>
      <c r="W3425">
        <v>8.8892537427601292E-3</v>
      </c>
      <c r="X3425">
        <v>1</v>
      </c>
      <c r="Y3425">
        <v>1</v>
      </c>
    </row>
    <row r="3426" spans="1:25" x14ac:dyDescent="0.2">
      <c r="A3426" t="s">
        <v>12629</v>
      </c>
      <c r="B3426" t="s">
        <v>12630</v>
      </c>
      <c r="C3426" t="s">
        <v>12631</v>
      </c>
      <c r="D3426" t="s">
        <v>12632</v>
      </c>
      <c r="E3426" t="s">
        <v>12630</v>
      </c>
      <c r="F3426" t="s">
        <v>28</v>
      </c>
      <c r="G3426" t="s">
        <v>12630</v>
      </c>
      <c r="H3426" t="str">
        <f>"lido-7"</f>
        <v>lido-7</v>
      </c>
      <c r="I3426" t="s">
        <v>12632</v>
      </c>
      <c r="J3426" t="s">
        <v>29</v>
      </c>
      <c r="K3426" t="s">
        <v>29</v>
      </c>
      <c r="L3426">
        <v>10.520751574727001</v>
      </c>
      <c r="M3426" t="s">
        <v>29</v>
      </c>
      <c r="N3426" t="s">
        <v>29</v>
      </c>
      <c r="O3426" t="s">
        <v>29</v>
      </c>
      <c r="P3426" t="s">
        <v>29</v>
      </c>
      <c r="Q3426" t="s">
        <v>29</v>
      </c>
      <c r="R3426" t="s">
        <v>29</v>
      </c>
      <c r="S3426">
        <v>11.749826385762301</v>
      </c>
      <c r="T3426" t="s">
        <v>29</v>
      </c>
      <c r="U3426" t="s">
        <v>29</v>
      </c>
      <c r="V3426" t="s">
        <v>29</v>
      </c>
      <c r="W3426" t="s">
        <v>29</v>
      </c>
      <c r="X3426" t="s">
        <v>29</v>
      </c>
      <c r="Y3426" t="s">
        <v>29</v>
      </c>
    </row>
    <row r="3427" spans="1:25" x14ac:dyDescent="0.2">
      <c r="A3427" t="s">
        <v>12633</v>
      </c>
      <c r="B3427" t="s">
        <v>12634</v>
      </c>
      <c r="C3427" t="s">
        <v>12635</v>
      </c>
      <c r="D3427" t="s">
        <v>2791</v>
      </c>
      <c r="E3427" t="s">
        <v>12634</v>
      </c>
      <c r="F3427" t="s">
        <v>28</v>
      </c>
      <c r="G3427" t="s">
        <v>12634</v>
      </c>
      <c r="H3427" t="str">
        <f>"sacy-1"</f>
        <v>sacy-1</v>
      </c>
      <c r="I3427" t="s">
        <v>2791</v>
      </c>
      <c r="J3427">
        <v>10.4235048072068</v>
      </c>
      <c r="K3427">
        <v>11.7552816740348</v>
      </c>
      <c r="L3427">
        <v>11.7523384076172</v>
      </c>
      <c r="M3427" t="s">
        <v>29</v>
      </c>
      <c r="N3427" t="s">
        <v>29</v>
      </c>
      <c r="O3427">
        <v>10.6082645188455</v>
      </c>
      <c r="P3427">
        <v>-0.70211044410742396</v>
      </c>
      <c r="Q3427">
        <v>-1.77320218085805</v>
      </c>
      <c r="R3427">
        <v>0.36898129264319801</v>
      </c>
      <c r="S3427">
        <v>12.220094800316</v>
      </c>
      <c r="T3427">
        <v>-1.39036329583254</v>
      </c>
      <c r="U3427">
        <v>-5.8553342600874103</v>
      </c>
      <c r="V3427">
        <v>0.183581417229046</v>
      </c>
      <c r="W3427">
        <v>0.33792282109556498</v>
      </c>
      <c r="X3427">
        <v>0</v>
      </c>
      <c r="Y3427">
        <v>0</v>
      </c>
    </row>
    <row r="3428" spans="1:25" x14ac:dyDescent="0.2">
      <c r="A3428" t="s">
        <v>12636</v>
      </c>
      <c r="B3428" t="s">
        <v>12637</v>
      </c>
      <c r="C3428" t="s">
        <v>12638</v>
      </c>
      <c r="D3428" t="s">
        <v>12639</v>
      </c>
      <c r="E3428" t="s">
        <v>12637</v>
      </c>
      <c r="F3428" t="s">
        <v>28</v>
      </c>
      <c r="G3428" t="s">
        <v>12637</v>
      </c>
      <c r="H3428" t="str">
        <f>"rpb-5"</f>
        <v>rpb-5</v>
      </c>
      <c r="I3428" t="s">
        <v>12639</v>
      </c>
      <c r="J3428">
        <v>14.3349859549268</v>
      </c>
      <c r="K3428">
        <v>14.3737687497427</v>
      </c>
      <c r="L3428">
        <v>14.114210696581001</v>
      </c>
      <c r="M3428" t="s">
        <v>29</v>
      </c>
      <c r="N3428">
        <v>13.9538933401489</v>
      </c>
      <c r="O3428">
        <v>13.9127960832969</v>
      </c>
      <c r="P3428">
        <v>-0.34097708869397703</v>
      </c>
      <c r="Q3428">
        <v>-0.83132546801426599</v>
      </c>
      <c r="R3428">
        <v>0.14937129062631199</v>
      </c>
      <c r="S3428">
        <v>13.8695381806083</v>
      </c>
      <c r="T3428">
        <v>-1.46781211282704</v>
      </c>
      <c r="U3428">
        <v>-5.9800674268725</v>
      </c>
      <c r="V3428">
        <v>0.16052554955092899</v>
      </c>
      <c r="W3428">
        <v>0.30798749643658102</v>
      </c>
      <c r="X3428">
        <v>0</v>
      </c>
      <c r="Y3428">
        <v>0</v>
      </c>
    </row>
    <row r="3429" spans="1:25" x14ac:dyDescent="0.2">
      <c r="A3429" t="s">
        <v>12640</v>
      </c>
      <c r="B3429" t="s">
        <v>12641</v>
      </c>
      <c r="C3429" t="s">
        <v>12642</v>
      </c>
      <c r="D3429" t="s">
        <v>12643</v>
      </c>
      <c r="E3429" t="s">
        <v>12641</v>
      </c>
      <c r="F3429" t="s">
        <v>28</v>
      </c>
      <c r="G3429" t="s">
        <v>12641</v>
      </c>
      <c r="H3429" t="str">
        <f>"trm-2a"</f>
        <v>trm-2a</v>
      </c>
      <c r="I3429" t="s">
        <v>12643</v>
      </c>
      <c r="J3429">
        <v>14.182139026176801</v>
      </c>
      <c r="K3429">
        <v>14.154701356608699</v>
      </c>
      <c r="L3429">
        <v>14.001597198299899</v>
      </c>
      <c r="M3429" t="s">
        <v>29</v>
      </c>
      <c r="N3429">
        <v>14.159103842440301</v>
      </c>
      <c r="O3429">
        <v>13.8206126407747</v>
      </c>
      <c r="P3429">
        <v>-0.12295428542102201</v>
      </c>
      <c r="Q3429">
        <v>-0.51698126758999596</v>
      </c>
      <c r="R3429">
        <v>0.27107269674795198</v>
      </c>
      <c r="S3429">
        <v>13.794562815504101</v>
      </c>
      <c r="T3429">
        <v>-0.65866975349806101</v>
      </c>
      <c r="U3429">
        <v>-6.8203226842048101</v>
      </c>
      <c r="V3429">
        <v>0.51898426908821305</v>
      </c>
      <c r="W3429">
        <v>0.67069149234062098</v>
      </c>
      <c r="X3429">
        <v>0</v>
      </c>
      <c r="Y3429">
        <v>0</v>
      </c>
    </row>
    <row r="3430" spans="1:25" x14ac:dyDescent="0.2">
      <c r="A3430" t="s">
        <v>12644</v>
      </c>
      <c r="B3430" t="s">
        <v>12645</v>
      </c>
      <c r="C3430" t="s">
        <v>12646</v>
      </c>
      <c r="D3430" t="s">
        <v>12647</v>
      </c>
      <c r="E3430" t="s">
        <v>12645</v>
      </c>
      <c r="F3430" t="s">
        <v>28</v>
      </c>
      <c r="G3430" t="s">
        <v>12645</v>
      </c>
      <c r="H3430" t="str">
        <f>"athp-2"</f>
        <v>athp-2</v>
      </c>
      <c r="I3430" t="s">
        <v>12647</v>
      </c>
      <c r="J3430">
        <v>11.652226891400799</v>
      </c>
      <c r="K3430">
        <v>11.8161799117694</v>
      </c>
      <c r="L3430">
        <v>11.725172833280601</v>
      </c>
      <c r="M3430" t="s">
        <v>29</v>
      </c>
      <c r="N3430" t="s">
        <v>29</v>
      </c>
      <c r="O3430">
        <v>11.9399242961687</v>
      </c>
      <c r="P3430">
        <v>0.208731084018451</v>
      </c>
      <c r="Q3430">
        <v>-0.81658582692382298</v>
      </c>
      <c r="R3430">
        <v>1.2340479949607199</v>
      </c>
      <c r="S3430">
        <v>12.123551621197199</v>
      </c>
      <c r="T3430">
        <v>0.43179592353532598</v>
      </c>
      <c r="U3430">
        <v>-6.7153628665643801</v>
      </c>
      <c r="V3430">
        <v>0.67168969916588706</v>
      </c>
      <c r="W3430">
        <v>0.78301801560200601</v>
      </c>
      <c r="X3430">
        <v>0</v>
      </c>
      <c r="Y3430">
        <v>0</v>
      </c>
    </row>
    <row r="3431" spans="1:25" x14ac:dyDescent="0.2">
      <c r="A3431" t="s">
        <v>12648</v>
      </c>
      <c r="B3431" t="s">
        <v>12649</v>
      </c>
      <c r="C3431" t="s">
        <v>12650</v>
      </c>
      <c r="D3431" t="s">
        <v>12651</v>
      </c>
      <c r="E3431" t="s">
        <v>12649</v>
      </c>
      <c r="F3431" t="s">
        <v>28</v>
      </c>
      <c r="G3431" t="s">
        <v>12649</v>
      </c>
      <c r="H3431" t="str">
        <f>"pfd-2"</f>
        <v>pfd-2</v>
      </c>
      <c r="I3431" t="s">
        <v>12651</v>
      </c>
      <c r="J3431" t="s">
        <v>29</v>
      </c>
      <c r="K3431" t="s">
        <v>29</v>
      </c>
      <c r="L3431" t="s">
        <v>29</v>
      </c>
      <c r="M3431" t="s">
        <v>29</v>
      </c>
      <c r="N3431">
        <v>13.8115439252235</v>
      </c>
      <c r="O3431">
        <v>14.4631601697709</v>
      </c>
      <c r="P3431" t="s">
        <v>29</v>
      </c>
      <c r="Q3431" t="s">
        <v>29</v>
      </c>
      <c r="R3431" t="s">
        <v>29</v>
      </c>
      <c r="S3431">
        <v>12.706655590856901</v>
      </c>
      <c r="T3431" t="s">
        <v>29</v>
      </c>
      <c r="U3431" t="s">
        <v>29</v>
      </c>
      <c r="V3431" t="s">
        <v>29</v>
      </c>
      <c r="W3431" t="s">
        <v>29</v>
      </c>
      <c r="X3431" t="s">
        <v>29</v>
      </c>
      <c r="Y3431" t="s">
        <v>29</v>
      </c>
    </row>
    <row r="3432" spans="1:25" x14ac:dyDescent="0.2">
      <c r="A3432" t="s">
        <v>12652</v>
      </c>
      <c r="B3432" t="s">
        <v>12653</v>
      </c>
      <c r="C3432" t="s">
        <v>14689</v>
      </c>
      <c r="D3432" t="s">
        <v>12654</v>
      </c>
      <c r="E3432" t="s">
        <v>12653</v>
      </c>
      <c r="F3432" t="s">
        <v>28</v>
      </c>
      <c r="G3432" t="s">
        <v>12653</v>
      </c>
      <c r="H3432" t="str">
        <f>"H20J04.6"</f>
        <v>H20J04.6</v>
      </c>
      <c r="I3432" t="s">
        <v>12654</v>
      </c>
      <c r="J3432">
        <v>13.8311778975021</v>
      </c>
      <c r="K3432">
        <v>13.5586239401516</v>
      </c>
      <c r="L3432">
        <v>13.925486325535999</v>
      </c>
      <c r="M3432" t="s">
        <v>29</v>
      </c>
      <c r="N3432">
        <v>13.616247519514999</v>
      </c>
      <c r="O3432">
        <v>14.337617528412499</v>
      </c>
      <c r="P3432">
        <v>0.20516980290051201</v>
      </c>
      <c r="Q3432">
        <v>-0.31530332904790498</v>
      </c>
      <c r="R3432">
        <v>0.72564293484892906</v>
      </c>
      <c r="S3432">
        <v>13.7438477381683</v>
      </c>
      <c r="T3432">
        <v>0.83208010711015801</v>
      </c>
      <c r="U3432">
        <v>-6.6888483578654299</v>
      </c>
      <c r="V3432">
        <v>0.41697031922224498</v>
      </c>
      <c r="W3432">
        <v>0.58375844691114298</v>
      </c>
      <c r="X3432">
        <v>0</v>
      </c>
      <c r="Y3432">
        <v>0</v>
      </c>
    </row>
    <row r="3433" spans="1:25" x14ac:dyDescent="0.2">
      <c r="A3433" t="s">
        <v>12655</v>
      </c>
      <c r="B3433" t="s">
        <v>12656</v>
      </c>
      <c r="C3433" t="s">
        <v>12657</v>
      </c>
      <c r="D3433" t="s">
        <v>12658</v>
      </c>
      <c r="E3433" t="s">
        <v>12656</v>
      </c>
      <c r="F3433" t="s">
        <v>28</v>
      </c>
      <c r="G3433" t="s">
        <v>12656</v>
      </c>
      <c r="H3433" t="str">
        <f>"fbf-1"</f>
        <v>fbf-1</v>
      </c>
      <c r="I3433" t="s">
        <v>12658</v>
      </c>
      <c r="J3433" t="s">
        <v>29</v>
      </c>
      <c r="K3433" t="s">
        <v>29</v>
      </c>
      <c r="L3433" t="s">
        <v>29</v>
      </c>
      <c r="M3433" t="s">
        <v>29</v>
      </c>
      <c r="N3433" t="s">
        <v>29</v>
      </c>
      <c r="O3433" t="s">
        <v>29</v>
      </c>
      <c r="P3433" t="s">
        <v>29</v>
      </c>
      <c r="Q3433" t="s">
        <v>29</v>
      </c>
      <c r="R3433" t="s">
        <v>29</v>
      </c>
      <c r="S3433">
        <v>12.217902854162499</v>
      </c>
      <c r="T3433" t="s">
        <v>29</v>
      </c>
      <c r="U3433" t="s">
        <v>29</v>
      </c>
      <c r="V3433" t="s">
        <v>29</v>
      </c>
      <c r="W3433" t="s">
        <v>29</v>
      </c>
      <c r="X3433" t="s">
        <v>29</v>
      </c>
      <c r="Y3433" t="s">
        <v>29</v>
      </c>
    </row>
    <row r="3434" spans="1:25" x14ac:dyDescent="0.2">
      <c r="A3434" t="s">
        <v>12659</v>
      </c>
      <c r="B3434" t="s">
        <v>12660</v>
      </c>
      <c r="C3434" t="s">
        <v>14690</v>
      </c>
      <c r="D3434" t="s">
        <v>12661</v>
      </c>
      <c r="E3434" t="s">
        <v>12660</v>
      </c>
      <c r="F3434" t="s">
        <v>28</v>
      </c>
      <c r="G3434" t="s">
        <v>12660</v>
      </c>
      <c r="H3434" t="str">
        <f>"H06I04.3"</f>
        <v>H06I04.3</v>
      </c>
      <c r="I3434" t="s">
        <v>12661</v>
      </c>
      <c r="J3434">
        <v>15.3388259485537</v>
      </c>
      <c r="K3434">
        <v>15.6306603640214</v>
      </c>
      <c r="L3434">
        <v>15.9875182595355</v>
      </c>
      <c r="M3434">
        <v>15.1796021329132</v>
      </c>
      <c r="N3434">
        <v>15.0754235874139</v>
      </c>
      <c r="O3434">
        <v>14.4427000990524</v>
      </c>
      <c r="P3434">
        <v>-0.75309291757702501</v>
      </c>
      <c r="Q3434">
        <v>-1.16761788356</v>
      </c>
      <c r="R3434">
        <v>-0.33856795159405201</v>
      </c>
      <c r="S3434">
        <v>15.8000175632194</v>
      </c>
      <c r="T3434">
        <v>-3.8184788032774102</v>
      </c>
      <c r="U3434">
        <v>-1.57162322805967</v>
      </c>
      <c r="V3434">
        <v>1.2697814299788301E-3</v>
      </c>
      <c r="W3434">
        <v>1.07255240226658E-2</v>
      </c>
      <c r="X3434">
        <v>0</v>
      </c>
      <c r="Y3434">
        <v>0</v>
      </c>
    </row>
    <row r="3435" spans="1:25" x14ac:dyDescent="0.2">
      <c r="A3435" t="s">
        <v>12662</v>
      </c>
      <c r="B3435" t="s">
        <v>12663</v>
      </c>
      <c r="C3435" t="s">
        <v>12664</v>
      </c>
      <c r="D3435" t="s">
        <v>12665</v>
      </c>
      <c r="E3435" t="s">
        <v>12663</v>
      </c>
      <c r="F3435" t="s">
        <v>28</v>
      </c>
      <c r="G3435" t="s">
        <v>12663</v>
      </c>
      <c r="H3435" t="str">
        <f>"spt-16"</f>
        <v>spt-16</v>
      </c>
      <c r="I3435" t="s">
        <v>12665</v>
      </c>
      <c r="J3435">
        <v>14.670557278156799</v>
      </c>
      <c r="K3435">
        <v>14.4345596216373</v>
      </c>
      <c r="L3435">
        <v>14.5630696342782</v>
      </c>
      <c r="M3435">
        <v>13.966946255553401</v>
      </c>
      <c r="N3435">
        <v>14.2012366864932</v>
      </c>
      <c r="O3435">
        <v>14.3646333373506</v>
      </c>
      <c r="P3435">
        <v>-0.37845675155839398</v>
      </c>
      <c r="Q3435">
        <v>-0.85061380567717304</v>
      </c>
      <c r="R3435">
        <v>9.3700302560385099E-2</v>
      </c>
      <c r="S3435">
        <v>14.5760054872796</v>
      </c>
      <c r="T3435">
        <v>-1.68469888319419</v>
      </c>
      <c r="U3435">
        <v>-5.7744133318597699</v>
      </c>
      <c r="V3435">
        <v>0.109406705998718</v>
      </c>
      <c r="W3435">
        <v>0.230301116127302</v>
      </c>
      <c r="X3435">
        <v>0</v>
      </c>
      <c r="Y3435">
        <v>0</v>
      </c>
    </row>
    <row r="3436" spans="1:25" x14ac:dyDescent="0.2">
      <c r="A3436" t="s">
        <v>12666</v>
      </c>
      <c r="B3436" t="s">
        <v>12667</v>
      </c>
      <c r="C3436" t="s">
        <v>12668</v>
      </c>
      <c r="D3436" t="s">
        <v>1128</v>
      </c>
      <c r="E3436" t="s">
        <v>12667</v>
      </c>
      <c r="F3436" t="s">
        <v>28</v>
      </c>
      <c r="G3436" t="s">
        <v>12667</v>
      </c>
      <c r="H3436" t="str">
        <f>"txdc-12.2"</f>
        <v>txdc-12.2</v>
      </c>
      <c r="I3436" t="s">
        <v>1128</v>
      </c>
      <c r="J3436">
        <v>15.505746906862599</v>
      </c>
      <c r="K3436">
        <v>12.7459654669803</v>
      </c>
      <c r="L3436">
        <v>14.728674491625499</v>
      </c>
      <c r="M3436">
        <v>17.145781559195399</v>
      </c>
      <c r="N3436">
        <v>14.6720263848744</v>
      </c>
      <c r="O3436">
        <v>14.0719953387052</v>
      </c>
      <c r="P3436">
        <v>0.96980547243556203</v>
      </c>
      <c r="Q3436">
        <v>-0.60822019408078198</v>
      </c>
      <c r="R3436">
        <v>2.5478311389519099</v>
      </c>
      <c r="S3436">
        <v>15.267647899321499</v>
      </c>
      <c r="T3436">
        <v>1.29170422728628</v>
      </c>
      <c r="U3436">
        <v>-6.3193621950557999</v>
      </c>
      <c r="V3436">
        <v>0.21289434647549599</v>
      </c>
      <c r="W3436">
        <v>0.37412023796260402</v>
      </c>
      <c r="X3436">
        <v>0</v>
      </c>
      <c r="Y3436">
        <v>0</v>
      </c>
    </row>
    <row r="3437" spans="1:25" x14ac:dyDescent="0.2">
      <c r="A3437" t="s">
        <v>12669</v>
      </c>
      <c r="B3437" t="s">
        <v>12670</v>
      </c>
      <c r="C3437" t="s">
        <v>12671</v>
      </c>
      <c r="D3437" t="s">
        <v>12672</v>
      </c>
      <c r="E3437" t="s">
        <v>12670</v>
      </c>
      <c r="F3437" t="s">
        <v>28</v>
      </c>
      <c r="G3437" t="s">
        <v>12670</v>
      </c>
      <c r="H3437" t="str">
        <f>"pygl-1"</f>
        <v>pygl-1</v>
      </c>
      <c r="I3437" t="s">
        <v>12672</v>
      </c>
      <c r="J3437">
        <v>18.768229004077099</v>
      </c>
      <c r="K3437">
        <v>18.532396813358201</v>
      </c>
      <c r="L3437">
        <v>18.268771956469401</v>
      </c>
      <c r="M3437">
        <v>18.437763666908399</v>
      </c>
      <c r="N3437">
        <v>18.502540497689498</v>
      </c>
      <c r="O3437">
        <v>18.820570607970701</v>
      </c>
      <c r="P3437">
        <v>6.3825666221294597E-2</v>
      </c>
      <c r="Q3437">
        <v>-0.31609255532111802</v>
      </c>
      <c r="R3437">
        <v>0.44374388776370699</v>
      </c>
      <c r="S3437">
        <v>18.193111023721201</v>
      </c>
      <c r="T3437">
        <v>0.35310002336451601</v>
      </c>
      <c r="U3437">
        <v>-7.0910993147887096</v>
      </c>
      <c r="V3437">
        <v>0.72813867223159801</v>
      </c>
      <c r="W3437">
        <v>0.82595252773923</v>
      </c>
      <c r="X3437">
        <v>0</v>
      </c>
      <c r="Y3437">
        <v>0</v>
      </c>
    </row>
    <row r="3438" spans="1:25" x14ac:dyDescent="0.2">
      <c r="A3438" t="s">
        <v>12673</v>
      </c>
      <c r="B3438" t="s">
        <v>12674</v>
      </c>
      <c r="C3438" t="s">
        <v>12675</v>
      </c>
      <c r="D3438" t="s">
        <v>12676</v>
      </c>
      <c r="E3438" t="s">
        <v>12674</v>
      </c>
      <c r="F3438" t="s">
        <v>28</v>
      </c>
      <c r="G3438" t="s">
        <v>12674</v>
      </c>
      <c r="H3438" t="str">
        <f>"cdc-73"</f>
        <v>cdc-73</v>
      </c>
      <c r="I3438" t="s">
        <v>12676</v>
      </c>
      <c r="J3438">
        <v>12.260856407774099</v>
      </c>
      <c r="K3438">
        <v>12.604752569480601</v>
      </c>
      <c r="L3438">
        <v>12.563038099184</v>
      </c>
      <c r="M3438" t="s">
        <v>29</v>
      </c>
      <c r="N3438">
        <v>11.2486693995879</v>
      </c>
      <c r="O3438">
        <v>11.6032615595831</v>
      </c>
      <c r="P3438">
        <v>-1.05025021256077</v>
      </c>
      <c r="Q3438">
        <v>-1.55442288730066</v>
      </c>
      <c r="R3438">
        <v>-0.54607753782089297</v>
      </c>
      <c r="S3438">
        <v>12.4570460009715</v>
      </c>
      <c r="T3438">
        <v>-4.39707109099942</v>
      </c>
      <c r="U3438">
        <v>-0.29575134043542001</v>
      </c>
      <c r="V3438">
        <v>3.9902528112458499E-4</v>
      </c>
      <c r="W3438">
        <v>4.6114804057809898E-3</v>
      </c>
      <c r="X3438">
        <v>-1</v>
      </c>
      <c r="Y3438">
        <v>-1</v>
      </c>
    </row>
    <row r="3439" spans="1:25" x14ac:dyDescent="0.2">
      <c r="A3439" t="s">
        <v>12677</v>
      </c>
      <c r="B3439" t="s">
        <v>12678</v>
      </c>
      <c r="C3439" t="s">
        <v>12679</v>
      </c>
      <c r="D3439" t="s">
        <v>158</v>
      </c>
      <c r="E3439" t="s">
        <v>12678</v>
      </c>
      <c r="F3439" t="s">
        <v>28</v>
      </c>
      <c r="G3439" t="s">
        <v>12678</v>
      </c>
      <c r="H3439" t="str">
        <f>"imb-3"</f>
        <v>imb-3</v>
      </c>
      <c r="I3439" t="s">
        <v>158</v>
      </c>
      <c r="J3439">
        <v>15.4178664095908</v>
      </c>
      <c r="K3439">
        <v>15.286227124698</v>
      </c>
      <c r="L3439">
        <v>15.6802503839561</v>
      </c>
      <c r="M3439">
        <v>15.332107130641999</v>
      </c>
      <c r="N3439">
        <v>15.7949610862008</v>
      </c>
      <c r="O3439">
        <v>15.5408482087451</v>
      </c>
      <c r="P3439">
        <v>9.4524169114343706E-2</v>
      </c>
      <c r="Q3439">
        <v>-0.33818558576136298</v>
      </c>
      <c r="R3439">
        <v>0.52723392399004998</v>
      </c>
      <c r="S3439">
        <v>15.8612761801767</v>
      </c>
      <c r="T3439">
        <v>0.459133197832512</v>
      </c>
      <c r="U3439">
        <v>-7.0463243490502698</v>
      </c>
      <c r="V3439">
        <v>0.65166655243237903</v>
      </c>
      <c r="W3439">
        <v>0.76849192877879902</v>
      </c>
      <c r="X3439">
        <v>0</v>
      </c>
      <c r="Y3439">
        <v>0</v>
      </c>
    </row>
    <row r="3440" spans="1:25" x14ac:dyDescent="0.2">
      <c r="A3440" t="s">
        <v>12680</v>
      </c>
      <c r="B3440" t="s">
        <v>12681</v>
      </c>
      <c r="C3440" t="s">
        <v>12682</v>
      </c>
      <c r="D3440" t="s">
        <v>12683</v>
      </c>
      <c r="E3440" t="s">
        <v>12681</v>
      </c>
      <c r="F3440" t="s">
        <v>28</v>
      </c>
      <c r="G3440" t="s">
        <v>12681</v>
      </c>
      <c r="H3440" t="str">
        <f>"C39B5.6"</f>
        <v>C39B5.6</v>
      </c>
      <c r="I3440" t="s">
        <v>12683</v>
      </c>
      <c r="J3440">
        <v>13.169013000614999</v>
      </c>
      <c r="K3440">
        <v>13.6654084817346</v>
      </c>
      <c r="L3440">
        <v>13.080636240893799</v>
      </c>
      <c r="M3440">
        <v>12.202958757908</v>
      </c>
      <c r="N3440" t="s">
        <v>29</v>
      </c>
      <c r="O3440">
        <v>13.115957135040301</v>
      </c>
      <c r="P3440">
        <v>-0.64556129460699196</v>
      </c>
      <c r="Q3440">
        <v>-1.1883363551320101</v>
      </c>
      <c r="R3440">
        <v>-0.102786234081971</v>
      </c>
      <c r="S3440">
        <v>13.187256910919499</v>
      </c>
      <c r="T3440">
        <v>-2.5105427010711199</v>
      </c>
      <c r="U3440">
        <v>-4.2335557685395697</v>
      </c>
      <c r="V3440">
        <v>2.2528848500915601E-2</v>
      </c>
      <c r="W3440">
        <v>7.9702900999037402E-2</v>
      </c>
      <c r="X3440">
        <v>0</v>
      </c>
      <c r="Y3440">
        <v>0</v>
      </c>
    </row>
    <row r="3441" spans="1:25" x14ac:dyDescent="0.2">
      <c r="A3441" t="s">
        <v>12684</v>
      </c>
      <c r="B3441" t="s">
        <v>12685</v>
      </c>
      <c r="C3441" t="s">
        <v>12686</v>
      </c>
      <c r="D3441" t="s">
        <v>12687</v>
      </c>
      <c r="E3441" t="s">
        <v>12685</v>
      </c>
      <c r="F3441" t="s">
        <v>28</v>
      </c>
      <c r="G3441" t="s">
        <v>12685</v>
      </c>
      <c r="H3441" t="str">
        <f>"art-1"</f>
        <v>art-1</v>
      </c>
      <c r="I3441" t="s">
        <v>12687</v>
      </c>
      <c r="J3441">
        <v>18.114196186012801</v>
      </c>
      <c r="K3441">
        <v>18.214543744021999</v>
      </c>
      <c r="L3441">
        <v>18.147942611786199</v>
      </c>
      <c r="M3441">
        <v>17.416568041171701</v>
      </c>
      <c r="N3441">
        <v>17.520747254722401</v>
      </c>
      <c r="O3441">
        <v>17.509559555282699</v>
      </c>
      <c r="P3441">
        <v>-0.67660256354801296</v>
      </c>
      <c r="Q3441">
        <v>-1.0153195796782499</v>
      </c>
      <c r="R3441">
        <v>-0.33788554741777599</v>
      </c>
      <c r="S3441">
        <v>18.155952176165801</v>
      </c>
      <c r="T3441">
        <v>-4.1984514671392201</v>
      </c>
      <c r="U3441">
        <v>-0.73411975976034805</v>
      </c>
      <c r="V3441">
        <v>5.4620496537312899E-4</v>
      </c>
      <c r="W3441">
        <v>5.9178898270390102E-3</v>
      </c>
      <c r="X3441">
        <v>0</v>
      </c>
      <c r="Y3441">
        <v>0</v>
      </c>
    </row>
    <row r="3442" spans="1:25" x14ac:dyDescent="0.2">
      <c r="A3442" t="s">
        <v>12688</v>
      </c>
      <c r="B3442" t="s">
        <v>12689</v>
      </c>
      <c r="C3442" t="s">
        <v>12690</v>
      </c>
      <c r="D3442" t="s">
        <v>214</v>
      </c>
      <c r="E3442" t="s">
        <v>12689</v>
      </c>
      <c r="F3442" t="s">
        <v>28</v>
      </c>
      <c r="G3442" t="s">
        <v>12689</v>
      </c>
      <c r="H3442" t="str">
        <f>"C09E7.7"</f>
        <v>C09E7.7</v>
      </c>
      <c r="I3442" t="s">
        <v>214</v>
      </c>
      <c r="J3442" t="s">
        <v>29</v>
      </c>
      <c r="K3442">
        <v>10.7556283963818</v>
      </c>
      <c r="L3442" t="s">
        <v>29</v>
      </c>
      <c r="M3442" t="s">
        <v>29</v>
      </c>
      <c r="N3442" t="s">
        <v>29</v>
      </c>
      <c r="O3442" t="s">
        <v>29</v>
      </c>
      <c r="P3442" t="s">
        <v>29</v>
      </c>
      <c r="Q3442" t="s">
        <v>29</v>
      </c>
      <c r="R3442" t="s">
        <v>29</v>
      </c>
      <c r="S3442">
        <v>9.5090862279930306</v>
      </c>
      <c r="T3442" t="s">
        <v>29</v>
      </c>
      <c r="U3442" t="s">
        <v>29</v>
      </c>
      <c r="V3442" t="s">
        <v>29</v>
      </c>
      <c r="W3442" t="s">
        <v>29</v>
      </c>
      <c r="X3442" t="s">
        <v>29</v>
      </c>
      <c r="Y3442" t="s">
        <v>29</v>
      </c>
    </row>
    <row r="3443" spans="1:25" x14ac:dyDescent="0.2">
      <c r="A3443" t="s">
        <v>12691</v>
      </c>
      <c r="B3443" t="s">
        <v>12692</v>
      </c>
      <c r="C3443" t="s">
        <v>12693</v>
      </c>
      <c r="D3443" t="s">
        <v>12694</v>
      </c>
      <c r="E3443" t="s">
        <v>12692</v>
      </c>
      <c r="F3443" t="s">
        <v>28</v>
      </c>
      <c r="G3443" t="s">
        <v>12692</v>
      </c>
      <c r="H3443" t="str">
        <f>"ntl-11"</f>
        <v>ntl-11</v>
      </c>
      <c r="I3443" t="s">
        <v>12694</v>
      </c>
      <c r="J3443">
        <v>12.784049329159201</v>
      </c>
      <c r="K3443">
        <v>12.8885492876071</v>
      </c>
      <c r="L3443">
        <v>13.015072334618401</v>
      </c>
      <c r="M3443" t="s">
        <v>29</v>
      </c>
      <c r="N3443">
        <v>12.4698534820006</v>
      </c>
      <c r="O3443">
        <v>12.751815959921499</v>
      </c>
      <c r="P3443">
        <v>-0.28505559616721299</v>
      </c>
      <c r="Q3443">
        <v>-0.77779748331812004</v>
      </c>
      <c r="R3443">
        <v>0.20768629098369301</v>
      </c>
      <c r="S3443">
        <v>12.984568574760001</v>
      </c>
      <c r="T3443">
        <v>-1.2211249423158099</v>
      </c>
      <c r="U3443">
        <v>-6.2945723634151003</v>
      </c>
      <c r="V3443">
        <v>0.238806403246658</v>
      </c>
      <c r="W3443">
        <v>0.404461189866611</v>
      </c>
      <c r="X3443">
        <v>0</v>
      </c>
      <c r="Y3443">
        <v>0</v>
      </c>
    </row>
    <row r="3444" spans="1:25" x14ac:dyDescent="0.2">
      <c r="A3444" t="s">
        <v>12695</v>
      </c>
      <c r="B3444" t="s">
        <v>12696</v>
      </c>
      <c r="C3444" t="s">
        <v>14691</v>
      </c>
      <c r="D3444" t="s">
        <v>12697</v>
      </c>
      <c r="E3444" t="s">
        <v>12696</v>
      </c>
      <c r="F3444" t="s">
        <v>28</v>
      </c>
      <c r="G3444" t="s">
        <v>12696</v>
      </c>
      <c r="H3444" t="str">
        <f>"Y57A10A.13"</f>
        <v>Y57A10A.13</v>
      </c>
      <c r="I3444" t="s">
        <v>12697</v>
      </c>
      <c r="J3444">
        <v>12.842916324892499</v>
      </c>
      <c r="K3444">
        <v>12.8617751330061</v>
      </c>
      <c r="L3444">
        <v>12.864992550781601</v>
      </c>
      <c r="M3444" t="s">
        <v>29</v>
      </c>
      <c r="N3444">
        <v>12.9087027663647</v>
      </c>
      <c r="O3444">
        <v>13.024664091200099</v>
      </c>
      <c r="P3444">
        <v>0.110122092555621</v>
      </c>
      <c r="Q3444">
        <v>-0.340791663828512</v>
      </c>
      <c r="R3444">
        <v>0.561035848939753</v>
      </c>
      <c r="S3444">
        <v>13.043226859812799</v>
      </c>
      <c r="T3444">
        <v>0.51550274666212104</v>
      </c>
      <c r="U3444">
        <v>-6.9068814864378902</v>
      </c>
      <c r="V3444">
        <v>0.61288136963679896</v>
      </c>
      <c r="W3444">
        <v>0.742054805390158</v>
      </c>
      <c r="X3444">
        <v>0</v>
      </c>
      <c r="Y3444">
        <v>0</v>
      </c>
    </row>
    <row r="3445" spans="1:25" x14ac:dyDescent="0.2">
      <c r="A3445" t="s">
        <v>12698</v>
      </c>
      <c r="B3445" t="s">
        <v>12699</v>
      </c>
      <c r="C3445" t="s">
        <v>14692</v>
      </c>
      <c r="D3445" t="s">
        <v>214</v>
      </c>
      <c r="E3445" t="s">
        <v>12699</v>
      </c>
      <c r="F3445" t="s">
        <v>28</v>
      </c>
      <c r="G3445" t="s">
        <v>12699</v>
      </c>
      <c r="H3445" t="str">
        <f>"Y57A10A.31"</f>
        <v>Y57A10A.31</v>
      </c>
      <c r="I3445" t="s">
        <v>214</v>
      </c>
      <c r="J3445" t="s">
        <v>29</v>
      </c>
      <c r="K3445" t="s">
        <v>29</v>
      </c>
      <c r="L3445">
        <v>11.186468346544</v>
      </c>
      <c r="M3445" t="s">
        <v>29</v>
      </c>
      <c r="N3445" t="s">
        <v>29</v>
      </c>
      <c r="O3445" t="s">
        <v>29</v>
      </c>
      <c r="P3445" t="s">
        <v>29</v>
      </c>
      <c r="Q3445" t="s">
        <v>29</v>
      </c>
      <c r="R3445" t="s">
        <v>29</v>
      </c>
      <c r="S3445">
        <v>12.7081394359433</v>
      </c>
      <c r="T3445" t="s">
        <v>29</v>
      </c>
      <c r="U3445" t="s">
        <v>29</v>
      </c>
      <c r="V3445" t="s">
        <v>29</v>
      </c>
      <c r="W3445" t="s">
        <v>29</v>
      </c>
      <c r="X3445" t="s">
        <v>29</v>
      </c>
      <c r="Y3445" t="s">
        <v>29</v>
      </c>
    </row>
    <row r="3446" spans="1:25" x14ac:dyDescent="0.2">
      <c r="A3446" t="s">
        <v>12700</v>
      </c>
      <c r="B3446" t="s">
        <v>12701</v>
      </c>
      <c r="C3446" t="s">
        <v>12702</v>
      </c>
      <c r="D3446" t="s">
        <v>12703</v>
      </c>
      <c r="E3446" t="s">
        <v>12701</v>
      </c>
      <c r="F3446" t="s">
        <v>28</v>
      </c>
      <c r="G3446" t="s">
        <v>12701</v>
      </c>
      <c r="H3446" t="str">
        <f>"tric-1B.2"</f>
        <v>tric-1B.2</v>
      </c>
      <c r="I3446" t="s">
        <v>12703</v>
      </c>
      <c r="J3446">
        <v>10.482407637624</v>
      </c>
      <c r="K3446" t="s">
        <v>29</v>
      </c>
      <c r="L3446">
        <v>10.4457310850879</v>
      </c>
      <c r="M3446" t="s">
        <v>29</v>
      </c>
      <c r="N3446" t="s">
        <v>29</v>
      </c>
      <c r="O3446" t="s">
        <v>29</v>
      </c>
      <c r="P3446" t="s">
        <v>29</v>
      </c>
      <c r="Q3446" t="s">
        <v>29</v>
      </c>
      <c r="R3446" t="s">
        <v>29</v>
      </c>
      <c r="S3446">
        <v>11.072829167714699</v>
      </c>
      <c r="T3446" t="s">
        <v>29</v>
      </c>
      <c r="U3446" t="s">
        <v>29</v>
      </c>
      <c r="V3446" t="s">
        <v>29</v>
      </c>
      <c r="W3446" t="s">
        <v>29</v>
      </c>
      <c r="X3446" t="s">
        <v>29</v>
      </c>
      <c r="Y3446" t="s">
        <v>29</v>
      </c>
    </row>
    <row r="3447" spans="1:25" x14ac:dyDescent="0.2">
      <c r="A3447" t="s">
        <v>12704</v>
      </c>
      <c r="B3447" t="s">
        <v>12705</v>
      </c>
      <c r="C3447" t="s">
        <v>12706</v>
      </c>
      <c r="D3447" t="s">
        <v>12707</v>
      </c>
      <c r="E3447" t="s">
        <v>12705</v>
      </c>
      <c r="F3447" t="s">
        <v>28</v>
      </c>
      <c r="G3447" t="s">
        <v>12705</v>
      </c>
      <c r="H3447" t="str">
        <f>"tric-1B.1"</f>
        <v>tric-1B.1</v>
      </c>
      <c r="I3447" t="s">
        <v>12707</v>
      </c>
      <c r="J3447">
        <v>13.900250817824601</v>
      </c>
      <c r="K3447">
        <v>14.1535082837035</v>
      </c>
      <c r="L3447">
        <v>14.1878346103715</v>
      </c>
      <c r="M3447">
        <v>12.730937577521001</v>
      </c>
      <c r="N3447">
        <v>13.0635155858619</v>
      </c>
      <c r="O3447">
        <v>13.2431639669279</v>
      </c>
      <c r="P3447">
        <v>-1.06799219386293</v>
      </c>
      <c r="Q3447">
        <v>-1.4714312742856801</v>
      </c>
      <c r="R3447">
        <v>-0.66455311344018497</v>
      </c>
      <c r="S3447">
        <v>13.9399789414383</v>
      </c>
      <c r="T3447">
        <v>-5.5639424116846099</v>
      </c>
      <c r="U3447">
        <v>2.23473471151754</v>
      </c>
      <c r="V3447" s="2">
        <v>2.8456774879003E-5</v>
      </c>
      <c r="W3447">
        <v>6.5921753272863402E-4</v>
      </c>
      <c r="X3447">
        <v>-1</v>
      </c>
      <c r="Y3447">
        <v>-1</v>
      </c>
    </row>
    <row r="3448" spans="1:25" x14ac:dyDescent="0.2">
      <c r="A3448" t="s">
        <v>12708</v>
      </c>
      <c r="B3448" t="s">
        <v>12709</v>
      </c>
      <c r="C3448" t="s">
        <v>12710</v>
      </c>
      <c r="D3448" t="s">
        <v>12711</v>
      </c>
      <c r="E3448" t="s">
        <v>12709</v>
      </c>
      <c r="F3448" t="s">
        <v>28</v>
      </c>
      <c r="G3448" t="s">
        <v>12709</v>
      </c>
      <c r="H3448" t="str">
        <f>"parn-2"</f>
        <v>parn-2</v>
      </c>
      <c r="I3448" t="s">
        <v>12711</v>
      </c>
      <c r="J3448">
        <v>12.571361827879199</v>
      </c>
      <c r="K3448">
        <v>12.8572377329979</v>
      </c>
      <c r="L3448">
        <v>12.743072073759199</v>
      </c>
      <c r="M3448">
        <v>12.2384415333213</v>
      </c>
      <c r="N3448">
        <v>12.0307811408862</v>
      </c>
      <c r="O3448">
        <v>13.0083272912831</v>
      </c>
      <c r="P3448">
        <v>-0.29804055638186899</v>
      </c>
      <c r="Q3448">
        <v>-0.99935921520284499</v>
      </c>
      <c r="R3448">
        <v>0.403278102439107</v>
      </c>
      <c r="S3448">
        <v>13.283137028596</v>
      </c>
      <c r="T3448">
        <v>-0.89320775493738502</v>
      </c>
      <c r="U3448">
        <v>-6.7467304621316302</v>
      </c>
      <c r="V3448">
        <v>0.38360094703077202</v>
      </c>
      <c r="W3448">
        <v>0.551180882935</v>
      </c>
      <c r="X3448">
        <v>0</v>
      </c>
      <c r="Y3448">
        <v>0</v>
      </c>
    </row>
    <row r="3449" spans="1:25" x14ac:dyDescent="0.2">
      <c r="A3449" t="s">
        <v>12712</v>
      </c>
      <c r="B3449" t="s">
        <v>12713</v>
      </c>
      <c r="C3449" t="s">
        <v>12714</v>
      </c>
      <c r="D3449" t="s">
        <v>12715</v>
      </c>
      <c r="E3449" t="s">
        <v>12713</v>
      </c>
      <c r="F3449" t="s">
        <v>28</v>
      </c>
      <c r="G3449" t="s">
        <v>12713</v>
      </c>
      <c r="H3449" t="str">
        <f>"sinh-1"</f>
        <v>sinh-1</v>
      </c>
      <c r="I3449" t="s">
        <v>12715</v>
      </c>
      <c r="J3449">
        <v>12.7987822319648</v>
      </c>
      <c r="K3449">
        <v>12.567722038464201</v>
      </c>
      <c r="L3449">
        <v>12.600259160708999</v>
      </c>
      <c r="M3449" t="s">
        <v>29</v>
      </c>
      <c r="N3449">
        <v>11.5585969355035</v>
      </c>
      <c r="O3449">
        <v>12.1217545078648</v>
      </c>
      <c r="P3449">
        <v>-0.81541208869517101</v>
      </c>
      <c r="Q3449">
        <v>-1.8246004450783599</v>
      </c>
      <c r="R3449">
        <v>0.19377626768801701</v>
      </c>
      <c r="S3449">
        <v>12.312756478888801</v>
      </c>
      <c r="T3449">
        <v>-1.70551258211871</v>
      </c>
      <c r="U3449">
        <v>-5.6355776508813298</v>
      </c>
      <c r="V3449">
        <v>0.106414168428874</v>
      </c>
      <c r="W3449">
        <v>0.226427837082953</v>
      </c>
      <c r="X3449">
        <v>0</v>
      </c>
      <c r="Y3449">
        <v>0</v>
      </c>
    </row>
    <row r="3450" spans="1:25" x14ac:dyDescent="0.2">
      <c r="A3450" t="s">
        <v>12716</v>
      </c>
      <c r="B3450" t="s">
        <v>12717</v>
      </c>
      <c r="C3450" t="s">
        <v>12718</v>
      </c>
      <c r="D3450" t="s">
        <v>3312</v>
      </c>
      <c r="E3450" t="s">
        <v>12717</v>
      </c>
      <c r="F3450" t="s">
        <v>28</v>
      </c>
      <c r="G3450" t="s">
        <v>12717</v>
      </c>
      <c r="H3450" t="str">
        <f>"rol-1"</f>
        <v>rol-1</v>
      </c>
      <c r="I3450" t="s">
        <v>3312</v>
      </c>
      <c r="J3450">
        <v>13.0506079348757</v>
      </c>
      <c r="K3450">
        <v>12.887731751735201</v>
      </c>
      <c r="L3450">
        <v>13.9528626482021</v>
      </c>
      <c r="M3450">
        <v>13.6049900920559</v>
      </c>
      <c r="N3450">
        <v>12.892116273870201</v>
      </c>
      <c r="O3450">
        <v>12.4577239262667</v>
      </c>
      <c r="P3450">
        <v>-0.31212401420674102</v>
      </c>
      <c r="Q3450">
        <v>-0.94062632979120897</v>
      </c>
      <c r="R3450">
        <v>0.31637830137772599</v>
      </c>
      <c r="S3450">
        <v>12.9338424152869</v>
      </c>
      <c r="T3450">
        <v>-1.0482631394489199</v>
      </c>
      <c r="U3450">
        <v>-6.5959655345578501</v>
      </c>
      <c r="V3450">
        <v>0.30928261882640301</v>
      </c>
      <c r="W3450">
        <v>0.47870581810998403</v>
      </c>
      <c r="X3450">
        <v>0</v>
      </c>
      <c r="Y3450">
        <v>0</v>
      </c>
    </row>
    <row r="3451" spans="1:25" x14ac:dyDescent="0.2">
      <c r="A3451" t="s">
        <v>12719</v>
      </c>
      <c r="B3451" t="s">
        <v>12720</v>
      </c>
      <c r="C3451" t="s">
        <v>14693</v>
      </c>
      <c r="D3451" t="s">
        <v>4609</v>
      </c>
      <c r="E3451" t="s">
        <v>12720</v>
      </c>
      <c r="F3451" t="s">
        <v>28</v>
      </c>
      <c r="G3451" t="s">
        <v>12720</v>
      </c>
      <c r="H3451" t="str">
        <f>"Y57A10A.5"</f>
        <v>Y57A10A.5</v>
      </c>
      <c r="I3451" t="s">
        <v>4609</v>
      </c>
      <c r="J3451" t="s">
        <v>29</v>
      </c>
      <c r="K3451" t="s">
        <v>29</v>
      </c>
      <c r="L3451" t="s">
        <v>29</v>
      </c>
      <c r="M3451" t="s">
        <v>29</v>
      </c>
      <c r="N3451" t="s">
        <v>29</v>
      </c>
      <c r="O3451" t="s">
        <v>29</v>
      </c>
      <c r="P3451" t="s">
        <v>29</v>
      </c>
      <c r="Q3451" t="s">
        <v>29</v>
      </c>
      <c r="R3451" t="s">
        <v>29</v>
      </c>
      <c r="S3451">
        <v>11.7113673290358</v>
      </c>
      <c r="T3451" t="s">
        <v>29</v>
      </c>
      <c r="U3451" t="s">
        <v>29</v>
      </c>
      <c r="V3451" t="s">
        <v>29</v>
      </c>
      <c r="W3451" t="s">
        <v>29</v>
      </c>
      <c r="X3451" t="s">
        <v>29</v>
      </c>
      <c r="Y3451" t="s">
        <v>29</v>
      </c>
    </row>
    <row r="3452" spans="1:25" x14ac:dyDescent="0.2">
      <c r="A3452" t="s">
        <v>12721</v>
      </c>
      <c r="B3452" t="s">
        <v>12722</v>
      </c>
      <c r="C3452" t="s">
        <v>12723</v>
      </c>
      <c r="D3452" t="s">
        <v>12724</v>
      </c>
      <c r="E3452" t="s">
        <v>12722</v>
      </c>
      <c r="F3452" t="s">
        <v>28</v>
      </c>
      <c r="G3452" t="s">
        <v>12722</v>
      </c>
      <c r="H3452" t="str">
        <f>"aat-9"</f>
        <v>aat-9</v>
      </c>
      <c r="I3452" t="s">
        <v>12724</v>
      </c>
      <c r="J3452">
        <v>13.4627497601802</v>
      </c>
      <c r="K3452">
        <v>13.484216174172399</v>
      </c>
      <c r="L3452">
        <v>13.0550079629342</v>
      </c>
      <c r="M3452" t="s">
        <v>29</v>
      </c>
      <c r="N3452">
        <v>13.188010292667601</v>
      </c>
      <c r="O3452">
        <v>13.1636263753721</v>
      </c>
      <c r="P3452">
        <v>-0.15817296507575501</v>
      </c>
      <c r="Q3452">
        <v>-0.62912686609028801</v>
      </c>
      <c r="R3452">
        <v>0.31278093593877898</v>
      </c>
      <c r="S3452">
        <v>13.0835962234513</v>
      </c>
      <c r="T3452">
        <v>-0.70893084153038599</v>
      </c>
      <c r="U3452">
        <v>-6.7851723126721897</v>
      </c>
      <c r="V3452">
        <v>0.48803540518799599</v>
      </c>
      <c r="W3452">
        <v>0.64610976598788195</v>
      </c>
      <c r="X3452">
        <v>0</v>
      </c>
      <c r="Y3452">
        <v>0</v>
      </c>
    </row>
    <row r="3453" spans="1:25" x14ac:dyDescent="0.2">
      <c r="A3453" t="s">
        <v>12725</v>
      </c>
      <c r="B3453" t="s">
        <v>12726</v>
      </c>
      <c r="C3453" t="s">
        <v>12727</v>
      </c>
      <c r="D3453" t="s">
        <v>4173</v>
      </c>
      <c r="E3453" t="s">
        <v>12726</v>
      </c>
      <c r="F3453" t="s">
        <v>28</v>
      </c>
      <c r="G3453" t="s">
        <v>12726</v>
      </c>
      <c r="H3453" t="str">
        <f>"arp-1"</f>
        <v>arp-1</v>
      </c>
      <c r="I3453" t="s">
        <v>4173</v>
      </c>
      <c r="J3453">
        <v>12.7498041416678</v>
      </c>
      <c r="K3453">
        <v>12.529680704637601</v>
      </c>
      <c r="L3453">
        <v>12.687207608304</v>
      </c>
      <c r="M3453">
        <v>12.6658792180655</v>
      </c>
      <c r="N3453">
        <v>13.435458571921499</v>
      </c>
      <c r="O3453">
        <v>12.9791340734934</v>
      </c>
      <c r="P3453">
        <v>0.37125980295698602</v>
      </c>
      <c r="Q3453">
        <v>-0.249913297294833</v>
      </c>
      <c r="R3453">
        <v>0.99243290320880595</v>
      </c>
      <c r="S3453">
        <v>13.017560822486899</v>
      </c>
      <c r="T3453">
        <v>1.2561971464633099</v>
      </c>
      <c r="U3453">
        <v>-6.3628675094712497</v>
      </c>
      <c r="V3453">
        <v>0.22519739707174</v>
      </c>
      <c r="W3453">
        <v>0.389698607851097</v>
      </c>
      <c r="X3453">
        <v>0</v>
      </c>
      <c r="Y3453">
        <v>0</v>
      </c>
    </row>
    <row r="3454" spans="1:25" x14ac:dyDescent="0.2">
      <c r="A3454" t="s">
        <v>12728</v>
      </c>
      <c r="B3454" t="s">
        <v>12729</v>
      </c>
      <c r="C3454" t="s">
        <v>14694</v>
      </c>
      <c r="D3454" t="s">
        <v>12730</v>
      </c>
      <c r="E3454" t="s">
        <v>12729</v>
      </c>
      <c r="F3454" t="s">
        <v>28</v>
      </c>
      <c r="G3454" t="s">
        <v>12729</v>
      </c>
      <c r="H3454" t="str">
        <f>"Y53F4B.21"</f>
        <v>Y53F4B.21</v>
      </c>
      <c r="I3454" t="s">
        <v>12730</v>
      </c>
      <c r="J3454">
        <v>9.6840755058425998</v>
      </c>
      <c r="K3454">
        <v>10.1365328490851</v>
      </c>
      <c r="L3454">
        <v>10.873911834567201</v>
      </c>
      <c r="M3454" t="s">
        <v>29</v>
      </c>
      <c r="N3454" t="s">
        <v>29</v>
      </c>
      <c r="O3454">
        <v>10.8900339483012</v>
      </c>
      <c r="P3454">
        <v>0.65852721846953899</v>
      </c>
      <c r="Q3454">
        <v>-0.29086183657525</v>
      </c>
      <c r="R3454">
        <v>1.60791627351433</v>
      </c>
      <c r="S3454">
        <v>10.9910721152525</v>
      </c>
      <c r="T3454">
        <v>1.4793506103363401</v>
      </c>
      <c r="U3454">
        <v>-5.7370367324636504</v>
      </c>
      <c r="V3454">
        <v>0.15988376507959901</v>
      </c>
      <c r="W3454">
        <v>0.307757972364192</v>
      </c>
      <c r="X3454">
        <v>0</v>
      </c>
      <c r="Y3454">
        <v>0</v>
      </c>
    </row>
    <row r="3455" spans="1:25" x14ac:dyDescent="0.2">
      <c r="A3455" t="s">
        <v>12731</v>
      </c>
      <c r="B3455" t="s">
        <v>12732</v>
      </c>
      <c r="C3455" t="s">
        <v>12733</v>
      </c>
      <c r="D3455" t="s">
        <v>12734</v>
      </c>
      <c r="E3455" t="s">
        <v>12732</v>
      </c>
      <c r="F3455" t="s">
        <v>28</v>
      </c>
      <c r="G3455" t="s">
        <v>12732</v>
      </c>
      <c r="H3455" t="str">
        <f>"Y53F4B.13"</f>
        <v>Y53F4B.13</v>
      </c>
      <c r="I3455" t="s">
        <v>12734</v>
      </c>
      <c r="J3455">
        <v>14.5418485033438</v>
      </c>
      <c r="K3455">
        <v>14.414219715903499</v>
      </c>
      <c r="L3455">
        <v>14.154709663245701</v>
      </c>
      <c r="M3455">
        <v>13.635508639486799</v>
      </c>
      <c r="N3455">
        <v>13.694480598714501</v>
      </c>
      <c r="O3455">
        <v>13.7895748769897</v>
      </c>
      <c r="P3455">
        <v>-0.66373792243401297</v>
      </c>
      <c r="Q3455">
        <v>-0.96316292680070004</v>
      </c>
      <c r="R3455">
        <v>-0.36431291806732602</v>
      </c>
      <c r="S3455">
        <v>14.130167404377501</v>
      </c>
      <c r="T3455">
        <v>-4.6590897894597001</v>
      </c>
      <c r="U3455">
        <v>0.28035485695951601</v>
      </c>
      <c r="V3455">
        <v>1.9803058629024899E-4</v>
      </c>
      <c r="W3455">
        <v>2.81930501351384E-3</v>
      </c>
      <c r="X3455">
        <v>0</v>
      </c>
      <c r="Y3455">
        <v>0</v>
      </c>
    </row>
    <row r="3456" spans="1:25" x14ac:dyDescent="0.2">
      <c r="A3456" t="s">
        <v>12735</v>
      </c>
      <c r="B3456" t="s">
        <v>12736</v>
      </c>
      <c r="C3456" t="s">
        <v>12737</v>
      </c>
      <c r="D3456" t="s">
        <v>12738</v>
      </c>
      <c r="E3456" t="s">
        <v>12736</v>
      </c>
      <c r="F3456" t="s">
        <v>28</v>
      </c>
      <c r="G3456" t="s">
        <v>12736</v>
      </c>
      <c r="H3456" t="str">
        <f>"nsun-5"</f>
        <v>nsun-5</v>
      </c>
      <c r="I3456" t="s">
        <v>12738</v>
      </c>
      <c r="J3456">
        <v>12.020049950177301</v>
      </c>
      <c r="K3456">
        <v>10.880588248972201</v>
      </c>
      <c r="L3456">
        <v>12.4634195134695</v>
      </c>
      <c r="M3456" t="s">
        <v>29</v>
      </c>
      <c r="N3456">
        <v>11.5934453026096</v>
      </c>
      <c r="O3456">
        <v>12.444777614675299</v>
      </c>
      <c r="P3456">
        <v>0.23109222110275801</v>
      </c>
      <c r="Q3456">
        <v>-0.67727451399573302</v>
      </c>
      <c r="R3456">
        <v>1.13945895620125</v>
      </c>
      <c r="S3456">
        <v>12.812281031992899</v>
      </c>
      <c r="T3456">
        <v>0.536999792848185</v>
      </c>
      <c r="U3456">
        <v>-6.8951815214860499</v>
      </c>
      <c r="V3456">
        <v>0.59826934301228796</v>
      </c>
      <c r="W3456">
        <v>0.73241633288723196</v>
      </c>
      <c r="X3456">
        <v>0</v>
      </c>
      <c r="Y3456">
        <v>0</v>
      </c>
    </row>
    <row r="3457" spans="1:25" x14ac:dyDescent="0.2">
      <c r="A3457" t="s">
        <v>12739</v>
      </c>
      <c r="B3457" t="s">
        <v>12740</v>
      </c>
      <c r="C3457" t="s">
        <v>12741</v>
      </c>
      <c r="D3457" t="s">
        <v>12742</v>
      </c>
      <c r="E3457" t="s">
        <v>12740</v>
      </c>
      <c r="F3457" t="s">
        <v>28</v>
      </c>
      <c r="G3457" t="s">
        <v>12740</v>
      </c>
      <c r="H3457" t="str">
        <f>"gst-27"</f>
        <v>gst-27</v>
      </c>
      <c r="I3457" t="s">
        <v>12742</v>
      </c>
      <c r="J3457">
        <v>13.212027186203199</v>
      </c>
      <c r="K3457">
        <v>13.3416897805311</v>
      </c>
      <c r="L3457">
        <v>13.1231792656694</v>
      </c>
      <c r="M3457" t="s">
        <v>29</v>
      </c>
      <c r="N3457">
        <v>13.229760135146201</v>
      </c>
      <c r="O3457">
        <v>12.841030731989401</v>
      </c>
      <c r="P3457">
        <v>-0.19023664390012099</v>
      </c>
      <c r="Q3457">
        <v>-0.63416675664892597</v>
      </c>
      <c r="R3457">
        <v>0.25369346884868299</v>
      </c>
      <c r="S3457">
        <v>12.8270773234774</v>
      </c>
      <c r="T3457">
        <v>-0.90454376340266496</v>
      </c>
      <c r="U3457">
        <v>-6.6255503932436497</v>
      </c>
      <c r="V3457">
        <v>0.37842522169075299</v>
      </c>
      <c r="W3457">
        <v>0.54507288774323004</v>
      </c>
      <c r="X3457">
        <v>0</v>
      </c>
      <c r="Y3457">
        <v>0</v>
      </c>
    </row>
    <row r="3458" spans="1:25" x14ac:dyDescent="0.2">
      <c r="A3458" t="s">
        <v>12743</v>
      </c>
      <c r="B3458" t="s">
        <v>12744</v>
      </c>
      <c r="C3458" t="s">
        <v>12745</v>
      </c>
      <c r="D3458" t="s">
        <v>12742</v>
      </c>
      <c r="E3458" t="s">
        <v>12744</v>
      </c>
      <c r="F3458" t="s">
        <v>28</v>
      </c>
      <c r="G3458" t="s">
        <v>12744</v>
      </c>
      <c r="H3458" t="str">
        <f>"gst-26"</f>
        <v>gst-26</v>
      </c>
      <c r="I3458" t="s">
        <v>12742</v>
      </c>
      <c r="J3458">
        <v>13.9124182910464</v>
      </c>
      <c r="K3458">
        <v>13.745884708852</v>
      </c>
      <c r="L3458">
        <v>13.895177120193001</v>
      </c>
      <c r="M3458">
        <v>13.5614888490149</v>
      </c>
      <c r="N3458">
        <v>13.2672919690261</v>
      </c>
      <c r="O3458">
        <v>13.8458857918445</v>
      </c>
      <c r="P3458">
        <v>-0.29293783673525697</v>
      </c>
      <c r="Q3458">
        <v>-0.69315100150517805</v>
      </c>
      <c r="R3458">
        <v>0.107275328034664</v>
      </c>
      <c r="S3458">
        <v>13.5850757698222</v>
      </c>
      <c r="T3458">
        <v>-1.5384260064231201</v>
      </c>
      <c r="U3458">
        <v>-5.9902391266682899</v>
      </c>
      <c r="V3458">
        <v>0.14143915489161399</v>
      </c>
      <c r="W3458">
        <v>0.28031014758950001</v>
      </c>
      <c r="X3458">
        <v>0</v>
      </c>
      <c r="Y3458">
        <v>0</v>
      </c>
    </row>
    <row r="3459" spans="1:25" x14ac:dyDescent="0.2">
      <c r="A3459" t="s">
        <v>12746</v>
      </c>
      <c r="B3459" t="s">
        <v>12747</v>
      </c>
      <c r="C3459" t="s">
        <v>14695</v>
      </c>
      <c r="D3459" t="s">
        <v>12748</v>
      </c>
      <c r="E3459" t="s">
        <v>12747</v>
      </c>
      <c r="F3459" t="s">
        <v>28</v>
      </c>
      <c r="G3459" t="s">
        <v>12747</v>
      </c>
      <c r="H3459" t="str">
        <f>"Y53F4B.18"</f>
        <v>Y53F4B.18</v>
      </c>
      <c r="I3459" t="s">
        <v>12748</v>
      </c>
      <c r="J3459">
        <v>14.554347514831999</v>
      </c>
      <c r="K3459">
        <v>14.3756729709156</v>
      </c>
      <c r="L3459">
        <v>14.245819063610501</v>
      </c>
      <c r="M3459">
        <v>15.7258454967156</v>
      </c>
      <c r="N3459">
        <v>14.7765258750399</v>
      </c>
      <c r="O3459">
        <v>14.666234884943799</v>
      </c>
      <c r="P3459">
        <v>0.66425556911375205</v>
      </c>
      <c r="Q3459">
        <v>0.17524347732680201</v>
      </c>
      <c r="R3459">
        <v>1.1532676609007</v>
      </c>
      <c r="S3459">
        <v>14.367522538905799</v>
      </c>
      <c r="T3459">
        <v>2.85501319213382</v>
      </c>
      <c r="U3459">
        <v>-3.6358336382909302</v>
      </c>
      <c r="V3459">
        <v>1.0561176895106101E-2</v>
      </c>
      <c r="W3459">
        <v>4.7157255014966197E-2</v>
      </c>
      <c r="X3459">
        <v>0</v>
      </c>
      <c r="Y3459">
        <v>0</v>
      </c>
    </row>
    <row r="3460" spans="1:25" x14ac:dyDescent="0.2">
      <c r="A3460" t="s">
        <v>12749</v>
      </c>
      <c r="B3460" t="s">
        <v>12750</v>
      </c>
      <c r="C3460" t="s">
        <v>14696</v>
      </c>
      <c r="D3460" t="s">
        <v>1358</v>
      </c>
      <c r="E3460" t="s">
        <v>12750</v>
      </c>
      <c r="F3460" t="s">
        <v>28</v>
      </c>
      <c r="G3460" t="s">
        <v>12750</v>
      </c>
      <c r="H3460" t="str">
        <f>"Y53F4B.9"</f>
        <v>Y53F4B.9</v>
      </c>
      <c r="I3460" t="s">
        <v>1358</v>
      </c>
      <c r="J3460" t="s">
        <v>29</v>
      </c>
      <c r="K3460" t="s">
        <v>29</v>
      </c>
      <c r="L3460">
        <v>10.3475043949051</v>
      </c>
      <c r="M3460" t="s">
        <v>29</v>
      </c>
      <c r="N3460" t="s">
        <v>29</v>
      </c>
      <c r="O3460" t="s">
        <v>29</v>
      </c>
      <c r="P3460" t="s">
        <v>29</v>
      </c>
      <c r="Q3460" t="s">
        <v>29</v>
      </c>
      <c r="R3460" t="s">
        <v>29</v>
      </c>
      <c r="S3460">
        <v>11.6055706932645</v>
      </c>
      <c r="T3460" t="s">
        <v>29</v>
      </c>
      <c r="U3460" t="s">
        <v>29</v>
      </c>
      <c r="V3460" t="s">
        <v>29</v>
      </c>
      <c r="W3460" t="s">
        <v>29</v>
      </c>
      <c r="X3460" t="s">
        <v>29</v>
      </c>
      <c r="Y3460" t="s">
        <v>29</v>
      </c>
    </row>
    <row r="3461" spans="1:25" x14ac:dyDescent="0.2">
      <c r="A3461" t="s">
        <v>12751</v>
      </c>
      <c r="B3461" t="s">
        <v>12752</v>
      </c>
      <c r="C3461" t="s">
        <v>12753</v>
      </c>
      <c r="D3461" t="s">
        <v>12754</v>
      </c>
      <c r="E3461" t="s">
        <v>12752</v>
      </c>
      <c r="F3461" t="s">
        <v>28</v>
      </c>
      <c r="G3461" t="s">
        <v>12752</v>
      </c>
      <c r="H3461" t="str">
        <f>"elo-9"</f>
        <v>elo-9</v>
      </c>
      <c r="I3461" t="s">
        <v>12754</v>
      </c>
      <c r="J3461" t="s">
        <v>29</v>
      </c>
      <c r="K3461" t="s">
        <v>29</v>
      </c>
      <c r="L3461">
        <v>13.6162041743413</v>
      </c>
      <c r="M3461" t="s">
        <v>29</v>
      </c>
      <c r="N3461" t="s">
        <v>29</v>
      </c>
      <c r="O3461" t="s">
        <v>29</v>
      </c>
      <c r="P3461" t="s">
        <v>29</v>
      </c>
      <c r="Q3461" t="s">
        <v>29</v>
      </c>
      <c r="R3461" t="s">
        <v>29</v>
      </c>
      <c r="S3461">
        <v>13.917212349737699</v>
      </c>
      <c r="T3461" t="s">
        <v>29</v>
      </c>
      <c r="U3461" t="s">
        <v>29</v>
      </c>
      <c r="V3461" t="s">
        <v>29</v>
      </c>
      <c r="W3461" t="s">
        <v>29</v>
      </c>
      <c r="X3461" t="s">
        <v>29</v>
      </c>
      <c r="Y3461" t="s">
        <v>29</v>
      </c>
    </row>
    <row r="3462" spans="1:25" x14ac:dyDescent="0.2">
      <c r="A3462" t="s">
        <v>12755</v>
      </c>
      <c r="B3462" t="s">
        <v>12756</v>
      </c>
      <c r="C3462" t="s">
        <v>12757</v>
      </c>
      <c r="D3462" t="s">
        <v>12758</v>
      </c>
      <c r="E3462" t="s">
        <v>12756</v>
      </c>
      <c r="F3462" t="s">
        <v>28</v>
      </c>
      <c r="G3462" t="s">
        <v>12756</v>
      </c>
      <c r="H3462" t="str">
        <f>"sta-1"</f>
        <v>sta-1</v>
      </c>
      <c r="I3462" t="s">
        <v>12758</v>
      </c>
      <c r="J3462">
        <v>12.2843060711051</v>
      </c>
      <c r="K3462">
        <v>11.658493885239199</v>
      </c>
      <c r="L3462" t="s">
        <v>29</v>
      </c>
      <c r="M3462">
        <v>14.3484075368512</v>
      </c>
      <c r="N3462">
        <v>14.9500149906471</v>
      </c>
      <c r="O3462">
        <v>15.0521841585825</v>
      </c>
      <c r="P3462">
        <v>2.8121355838548099</v>
      </c>
      <c r="Q3462">
        <v>1.9819143761320701</v>
      </c>
      <c r="R3462">
        <v>3.6423567915775599</v>
      </c>
      <c r="S3462">
        <v>12.575243872316101</v>
      </c>
      <c r="T3462">
        <v>7.3236853485133899</v>
      </c>
      <c r="U3462">
        <v>4.1424666353791197</v>
      </c>
      <c r="V3462" s="2">
        <v>6.0783612189115597E-6</v>
      </c>
      <c r="W3462">
        <v>2.01268882158791E-4</v>
      </c>
      <c r="X3462">
        <v>1</v>
      </c>
      <c r="Y3462">
        <v>1</v>
      </c>
    </row>
    <row r="3463" spans="1:25" x14ac:dyDescent="0.2">
      <c r="A3463" t="s">
        <v>12759</v>
      </c>
      <c r="B3463" t="s">
        <v>12760</v>
      </c>
      <c r="C3463" t="s">
        <v>12761</v>
      </c>
      <c r="D3463" t="s">
        <v>10543</v>
      </c>
      <c r="E3463" t="s">
        <v>12760</v>
      </c>
      <c r="F3463" t="s">
        <v>28</v>
      </c>
      <c r="G3463" t="s">
        <v>12760</v>
      </c>
      <c r="H3463" t="str">
        <f>"mrpl-20"</f>
        <v>mrpl-20</v>
      </c>
      <c r="I3463" t="s">
        <v>10543</v>
      </c>
      <c r="J3463">
        <v>11.9907344229581</v>
      </c>
      <c r="K3463">
        <v>11.4657160004323</v>
      </c>
      <c r="L3463">
        <v>12.340473704878701</v>
      </c>
      <c r="M3463" t="s">
        <v>29</v>
      </c>
      <c r="N3463">
        <v>11.6365029938753</v>
      </c>
      <c r="O3463">
        <v>13.3423285382898</v>
      </c>
      <c r="P3463">
        <v>0.55710772332617298</v>
      </c>
      <c r="Q3463">
        <v>-0.38040553787363701</v>
      </c>
      <c r="R3463">
        <v>1.4946209845259799</v>
      </c>
      <c r="S3463">
        <v>13.0050380257782</v>
      </c>
      <c r="T3463">
        <v>1.26040840175716</v>
      </c>
      <c r="U3463">
        <v>-6.2470432148777997</v>
      </c>
      <c r="V3463">
        <v>0.22571162734431399</v>
      </c>
      <c r="W3463">
        <v>0.39005186296966099</v>
      </c>
      <c r="X3463">
        <v>0</v>
      </c>
      <c r="Y3463">
        <v>0</v>
      </c>
    </row>
    <row r="3464" spans="1:25" x14ac:dyDescent="0.2">
      <c r="A3464" t="s">
        <v>12762</v>
      </c>
      <c r="B3464" t="s">
        <v>12763</v>
      </c>
      <c r="C3464" t="s">
        <v>12764</v>
      </c>
      <c r="D3464" t="s">
        <v>12765</v>
      </c>
      <c r="E3464" t="s">
        <v>12763</v>
      </c>
      <c r="F3464" t="s">
        <v>28</v>
      </c>
      <c r="G3464" t="s">
        <v>12763</v>
      </c>
      <c r="H3464" t="str">
        <f>"mac-1"</f>
        <v>mac-1</v>
      </c>
      <c r="I3464" t="s">
        <v>12765</v>
      </c>
      <c r="J3464">
        <v>11.974319371315101</v>
      </c>
      <c r="K3464" t="s">
        <v>29</v>
      </c>
      <c r="L3464" t="s">
        <v>29</v>
      </c>
      <c r="M3464" t="s">
        <v>29</v>
      </c>
      <c r="N3464" t="s">
        <v>29</v>
      </c>
      <c r="O3464" t="s">
        <v>29</v>
      </c>
      <c r="P3464" t="s">
        <v>29</v>
      </c>
      <c r="Q3464" t="s">
        <v>29</v>
      </c>
      <c r="R3464" t="s">
        <v>29</v>
      </c>
      <c r="S3464">
        <v>12.547070882397501</v>
      </c>
      <c r="T3464" t="s">
        <v>29</v>
      </c>
      <c r="U3464" t="s">
        <v>29</v>
      </c>
      <c r="V3464" t="s">
        <v>29</v>
      </c>
      <c r="W3464" t="s">
        <v>29</v>
      </c>
      <c r="X3464" t="s">
        <v>29</v>
      </c>
      <c r="Y3464" t="s">
        <v>29</v>
      </c>
    </row>
    <row r="3465" spans="1:25" x14ac:dyDescent="0.2">
      <c r="A3465" t="s">
        <v>12766</v>
      </c>
      <c r="B3465" t="s">
        <v>12767</v>
      </c>
      <c r="C3465" t="s">
        <v>12768</v>
      </c>
      <c r="D3465" t="s">
        <v>12769</v>
      </c>
      <c r="E3465" t="s">
        <v>12767</v>
      </c>
      <c r="F3465" t="s">
        <v>28</v>
      </c>
      <c r="G3465" t="s">
        <v>12767</v>
      </c>
      <c r="H3465" t="str">
        <f>"rsks-1"</f>
        <v>rsks-1</v>
      </c>
      <c r="I3465" t="s">
        <v>12769</v>
      </c>
      <c r="J3465">
        <v>13.615671794832</v>
      </c>
      <c r="K3465">
        <v>13.4624059668343</v>
      </c>
      <c r="L3465">
        <v>13.5003564959556</v>
      </c>
      <c r="M3465">
        <v>14.135573038984401</v>
      </c>
      <c r="N3465">
        <v>14.0653754711942</v>
      </c>
      <c r="O3465">
        <v>14.123262211427599</v>
      </c>
      <c r="P3465">
        <v>0.58192548799478105</v>
      </c>
      <c r="Q3465">
        <v>0.11554808017469</v>
      </c>
      <c r="R3465">
        <v>1.0483028958148699</v>
      </c>
      <c r="S3465">
        <v>14.1751546066602</v>
      </c>
      <c r="T3465">
        <v>2.6225416148659901</v>
      </c>
      <c r="U3465">
        <v>-4.1053903791778099</v>
      </c>
      <c r="V3465">
        <v>1.73169503898617E-2</v>
      </c>
      <c r="W3465">
        <v>6.7060516161527403E-2</v>
      </c>
      <c r="X3465">
        <v>0</v>
      </c>
      <c r="Y3465">
        <v>0</v>
      </c>
    </row>
    <row r="3466" spans="1:25" x14ac:dyDescent="0.2">
      <c r="A3466" t="s">
        <v>12770</v>
      </c>
      <c r="B3466" t="s">
        <v>12771</v>
      </c>
      <c r="C3466" t="s">
        <v>14697</v>
      </c>
      <c r="D3466" t="s">
        <v>6170</v>
      </c>
      <c r="E3466" t="s">
        <v>12771</v>
      </c>
      <c r="F3466" t="s">
        <v>28</v>
      </c>
      <c r="G3466" t="s">
        <v>12771</v>
      </c>
      <c r="H3466" t="str">
        <f>"Y39G8B.1"</f>
        <v>Y39G8B.1</v>
      </c>
      <c r="I3466" t="s">
        <v>6170</v>
      </c>
      <c r="J3466" t="s">
        <v>29</v>
      </c>
      <c r="K3466" t="s">
        <v>29</v>
      </c>
      <c r="L3466">
        <v>11.916663491358401</v>
      </c>
      <c r="M3466" t="s">
        <v>29</v>
      </c>
      <c r="N3466">
        <v>12.0249106563389</v>
      </c>
      <c r="O3466">
        <v>13.028465716582</v>
      </c>
      <c r="P3466">
        <v>0.61002469510205204</v>
      </c>
      <c r="Q3466">
        <v>-1.2860694664014301</v>
      </c>
      <c r="R3466">
        <v>2.5061188566055299</v>
      </c>
      <c r="S3466">
        <v>12.0915163864471</v>
      </c>
      <c r="T3466">
        <v>0.74362370768532704</v>
      </c>
      <c r="U3466">
        <v>-6.4576117977789904</v>
      </c>
      <c r="V3466">
        <v>0.478647182395466</v>
      </c>
      <c r="W3466">
        <v>0.63855737732885398</v>
      </c>
      <c r="X3466">
        <v>0</v>
      </c>
      <c r="Y3466">
        <v>0</v>
      </c>
    </row>
    <row r="3467" spans="1:25" x14ac:dyDescent="0.2">
      <c r="A3467" t="s">
        <v>12772</v>
      </c>
      <c r="B3467" t="s">
        <v>12773</v>
      </c>
      <c r="C3467" t="s">
        <v>12774</v>
      </c>
      <c r="D3467" t="s">
        <v>12775</v>
      </c>
      <c r="E3467" t="s">
        <v>12773</v>
      </c>
      <c r="F3467" t="s">
        <v>28</v>
      </c>
      <c r="G3467" t="s">
        <v>12773</v>
      </c>
      <c r="H3467" t="str">
        <f>"mdt-17"</f>
        <v>mdt-17</v>
      </c>
      <c r="I3467" t="s">
        <v>12775</v>
      </c>
      <c r="J3467">
        <v>13.4520618475264</v>
      </c>
      <c r="K3467">
        <v>13.565247682485399</v>
      </c>
      <c r="L3467">
        <v>13.257677809114099</v>
      </c>
      <c r="M3467">
        <v>13.347434033245801</v>
      </c>
      <c r="N3467">
        <v>13.0663791648758</v>
      </c>
      <c r="O3467">
        <v>13.4010978113613</v>
      </c>
      <c r="P3467">
        <v>-0.15335877654763799</v>
      </c>
      <c r="Q3467">
        <v>-0.48722534738833101</v>
      </c>
      <c r="R3467">
        <v>0.180507794293056</v>
      </c>
      <c r="S3467">
        <v>13.5092583925647</v>
      </c>
      <c r="T3467">
        <v>-0.96544649868828802</v>
      </c>
      <c r="U3467">
        <v>-6.6795359682561299</v>
      </c>
      <c r="V3467">
        <v>0.34718818552867398</v>
      </c>
      <c r="W3467">
        <v>0.51753342577288897</v>
      </c>
      <c r="X3467">
        <v>0</v>
      </c>
      <c r="Y3467">
        <v>0</v>
      </c>
    </row>
    <row r="3468" spans="1:25" x14ac:dyDescent="0.2">
      <c r="A3468" t="s">
        <v>12776</v>
      </c>
      <c r="B3468" t="s">
        <v>12777</v>
      </c>
      <c r="C3468" t="s">
        <v>12778</v>
      </c>
      <c r="D3468" t="s">
        <v>12779</v>
      </c>
      <c r="E3468" t="s">
        <v>12777</v>
      </c>
      <c r="F3468" t="s">
        <v>28</v>
      </c>
      <c r="G3468" t="s">
        <v>12777</v>
      </c>
      <c r="H3468" t="str">
        <f>"uba-2"</f>
        <v>uba-2</v>
      </c>
      <c r="I3468" t="s">
        <v>12779</v>
      </c>
      <c r="J3468">
        <v>13.5859895805636</v>
      </c>
      <c r="K3468">
        <v>13.668461086320701</v>
      </c>
      <c r="L3468">
        <v>13.3084367470091</v>
      </c>
      <c r="M3468" t="s">
        <v>29</v>
      </c>
      <c r="N3468">
        <v>12.9047932395428</v>
      </c>
      <c r="O3468">
        <v>13.588750386241299</v>
      </c>
      <c r="P3468">
        <v>-0.27419065840579299</v>
      </c>
      <c r="Q3468">
        <v>-0.718558235437324</v>
      </c>
      <c r="R3468">
        <v>0.170176918625738</v>
      </c>
      <c r="S3468">
        <v>13.1608834122648</v>
      </c>
      <c r="T3468">
        <v>-1.3024477329400099</v>
      </c>
      <c r="U3468">
        <v>-6.1960628768357804</v>
      </c>
      <c r="V3468">
        <v>0.210239098010397</v>
      </c>
      <c r="W3468">
        <v>0.371893530514189</v>
      </c>
      <c r="X3468">
        <v>0</v>
      </c>
      <c r="Y3468">
        <v>0</v>
      </c>
    </row>
    <row r="3469" spans="1:25" x14ac:dyDescent="0.2">
      <c r="A3469" t="s">
        <v>12780</v>
      </c>
      <c r="B3469" t="s">
        <v>12781</v>
      </c>
      <c r="C3469" t="s">
        <v>12782</v>
      </c>
      <c r="D3469" t="s">
        <v>12783</v>
      </c>
      <c r="E3469" t="s">
        <v>12781</v>
      </c>
      <c r="F3469" t="s">
        <v>28</v>
      </c>
      <c r="G3469" t="s">
        <v>12781</v>
      </c>
      <c r="H3469" t="str">
        <f>"par-6"</f>
        <v>par-6</v>
      </c>
      <c r="I3469" t="s">
        <v>12783</v>
      </c>
      <c r="J3469" t="s">
        <v>29</v>
      </c>
      <c r="K3469" t="s">
        <v>29</v>
      </c>
      <c r="L3469">
        <v>11.7378739762707</v>
      </c>
      <c r="M3469" t="s">
        <v>29</v>
      </c>
      <c r="N3469" t="s">
        <v>29</v>
      </c>
      <c r="O3469" t="s">
        <v>29</v>
      </c>
      <c r="P3469" t="s">
        <v>29</v>
      </c>
      <c r="Q3469" t="s">
        <v>29</v>
      </c>
      <c r="R3469" t="s">
        <v>29</v>
      </c>
      <c r="S3469">
        <v>11.874054681979301</v>
      </c>
      <c r="T3469" t="s">
        <v>29</v>
      </c>
      <c r="U3469" t="s">
        <v>29</v>
      </c>
      <c r="V3469" t="s">
        <v>29</v>
      </c>
      <c r="W3469" t="s">
        <v>29</v>
      </c>
      <c r="X3469" t="s">
        <v>29</v>
      </c>
      <c r="Y3469" t="s">
        <v>29</v>
      </c>
    </row>
    <row r="3470" spans="1:25" x14ac:dyDescent="0.2">
      <c r="A3470" t="s">
        <v>12784</v>
      </c>
      <c r="B3470" t="s">
        <v>12785</v>
      </c>
      <c r="C3470" t="s">
        <v>14698</v>
      </c>
      <c r="D3470" t="s">
        <v>12786</v>
      </c>
      <c r="E3470" t="s">
        <v>12785</v>
      </c>
      <c r="F3470" t="s">
        <v>28</v>
      </c>
      <c r="G3470" t="s">
        <v>12785</v>
      </c>
      <c r="H3470" t="str">
        <f>"K09E4.4"</f>
        <v>K09E4.4</v>
      </c>
      <c r="I3470" t="s">
        <v>12786</v>
      </c>
      <c r="J3470">
        <v>14.332573623310701</v>
      </c>
      <c r="K3470">
        <v>14.2313480989684</v>
      </c>
      <c r="L3470">
        <v>13.834448793391401</v>
      </c>
      <c r="M3470" t="s">
        <v>29</v>
      </c>
      <c r="N3470">
        <v>13.673177629281099</v>
      </c>
      <c r="O3470">
        <v>13.7616185017934</v>
      </c>
      <c r="P3470">
        <v>-0.415392106352932</v>
      </c>
      <c r="Q3470">
        <v>-1.28143019845678</v>
      </c>
      <c r="R3470">
        <v>0.45064598575091602</v>
      </c>
      <c r="S3470">
        <v>13.7610611560699</v>
      </c>
      <c r="T3470">
        <v>-1.0173509024240699</v>
      </c>
      <c r="U3470">
        <v>-6.5166755134565397</v>
      </c>
      <c r="V3470">
        <v>0.32422272188326001</v>
      </c>
      <c r="W3470">
        <v>0.49481323738475802</v>
      </c>
      <c r="X3470">
        <v>0</v>
      </c>
      <c r="Y3470">
        <v>0</v>
      </c>
    </row>
    <row r="3471" spans="1:25" x14ac:dyDescent="0.2">
      <c r="A3471" t="s">
        <v>12787</v>
      </c>
      <c r="B3471" t="s">
        <v>12788</v>
      </c>
      <c r="C3471" t="s">
        <v>12789</v>
      </c>
      <c r="D3471" t="s">
        <v>12790</v>
      </c>
      <c r="E3471" t="s">
        <v>12788</v>
      </c>
      <c r="F3471" t="s">
        <v>28</v>
      </c>
      <c r="G3471" t="s">
        <v>12788</v>
      </c>
      <c r="H3471" t="str">
        <f>"mrps-15"</f>
        <v>mrps-15</v>
      </c>
      <c r="I3471" t="s">
        <v>12790</v>
      </c>
      <c r="J3471" t="s">
        <v>29</v>
      </c>
      <c r="K3471">
        <v>11.3522500722849</v>
      </c>
      <c r="L3471">
        <v>11.7819034652162</v>
      </c>
      <c r="M3471" t="s">
        <v>29</v>
      </c>
      <c r="N3471" t="s">
        <v>29</v>
      </c>
      <c r="O3471">
        <v>11.4198839258137</v>
      </c>
      <c r="P3471">
        <v>-0.147192842936857</v>
      </c>
      <c r="Q3471">
        <v>-0.92445984498269296</v>
      </c>
      <c r="R3471">
        <v>0.63007415910897902</v>
      </c>
      <c r="S3471">
        <v>12.237346323914</v>
      </c>
      <c r="T3471">
        <v>-0.40945266985895201</v>
      </c>
      <c r="U3471">
        <v>-6.6660077409600902</v>
      </c>
      <c r="V3471">
        <v>0.68892734788691901</v>
      </c>
      <c r="W3471">
        <v>0.79774809203251495</v>
      </c>
      <c r="X3471">
        <v>0</v>
      </c>
      <c r="Y3471">
        <v>0</v>
      </c>
    </row>
    <row r="3472" spans="1:25" x14ac:dyDescent="0.2">
      <c r="A3472" t="s">
        <v>12791</v>
      </c>
      <c r="B3472" t="s">
        <v>12792</v>
      </c>
      <c r="C3472" t="s">
        <v>12793</v>
      </c>
      <c r="D3472" t="s">
        <v>12794</v>
      </c>
      <c r="E3472" t="s">
        <v>12792</v>
      </c>
      <c r="F3472" t="s">
        <v>28</v>
      </c>
      <c r="G3472" t="s">
        <v>12792</v>
      </c>
      <c r="H3472" t="str">
        <f>"C47G2.3"</f>
        <v>C47G2.3</v>
      </c>
      <c r="I3472" t="s">
        <v>12794</v>
      </c>
      <c r="J3472">
        <v>15.0123781981754</v>
      </c>
      <c r="K3472">
        <v>14.9619569316853</v>
      </c>
      <c r="L3472">
        <v>14.5038400093822</v>
      </c>
      <c r="M3472" t="s">
        <v>29</v>
      </c>
      <c r="N3472" t="s">
        <v>29</v>
      </c>
      <c r="O3472" t="s">
        <v>29</v>
      </c>
      <c r="P3472" t="s">
        <v>29</v>
      </c>
      <c r="Q3472" t="s">
        <v>29</v>
      </c>
      <c r="R3472" t="s">
        <v>29</v>
      </c>
      <c r="S3472">
        <v>14.522700411215901</v>
      </c>
      <c r="T3472" t="s">
        <v>29</v>
      </c>
      <c r="U3472" t="s">
        <v>29</v>
      </c>
      <c r="V3472" t="s">
        <v>29</v>
      </c>
      <c r="W3472" t="s">
        <v>29</v>
      </c>
      <c r="X3472" t="s">
        <v>29</v>
      </c>
      <c r="Y3472" t="s">
        <v>29</v>
      </c>
    </row>
    <row r="3473" spans="1:25" x14ac:dyDescent="0.2">
      <c r="A3473" t="s">
        <v>12795</v>
      </c>
      <c r="B3473" t="s">
        <v>12796</v>
      </c>
      <c r="C3473" t="s">
        <v>12797</v>
      </c>
      <c r="D3473" t="s">
        <v>3312</v>
      </c>
      <c r="E3473" t="s">
        <v>12796</v>
      </c>
      <c r="F3473" t="s">
        <v>28</v>
      </c>
      <c r="G3473" t="s">
        <v>12796</v>
      </c>
      <c r="H3473" t="str">
        <f>"col-124"</f>
        <v>col-124</v>
      </c>
      <c r="I3473" t="s">
        <v>3312</v>
      </c>
      <c r="J3473">
        <v>13.8636012063072</v>
      </c>
      <c r="K3473">
        <v>13.595054426842999</v>
      </c>
      <c r="L3473">
        <v>14.426214561777201</v>
      </c>
      <c r="M3473">
        <v>13.158101408141301</v>
      </c>
      <c r="N3473">
        <v>13.7035006667011</v>
      </c>
      <c r="O3473">
        <v>12.6829984267754</v>
      </c>
      <c r="P3473">
        <v>-0.78008989776988202</v>
      </c>
      <c r="Q3473">
        <v>-1.5953583854609801</v>
      </c>
      <c r="R3473">
        <v>3.5178589921219597E-2</v>
      </c>
      <c r="S3473">
        <v>13.6557159656306</v>
      </c>
      <c r="T3473">
        <v>-2.01973323044581</v>
      </c>
      <c r="U3473">
        <v>-5.2339962772458497</v>
      </c>
      <c r="V3473">
        <v>5.9562617739009699E-2</v>
      </c>
      <c r="W3473">
        <v>0.154112552943203</v>
      </c>
      <c r="X3473">
        <v>0</v>
      </c>
      <c r="Y3473">
        <v>0</v>
      </c>
    </row>
    <row r="3474" spans="1:25" x14ac:dyDescent="0.2">
      <c r="A3474" t="s">
        <v>12798</v>
      </c>
      <c r="B3474" t="s">
        <v>12799</v>
      </c>
      <c r="C3474" t="s">
        <v>12800</v>
      </c>
      <c r="D3474" t="s">
        <v>12801</v>
      </c>
      <c r="E3474" t="s">
        <v>12799</v>
      </c>
      <c r="F3474" t="s">
        <v>28</v>
      </c>
      <c r="G3474" t="s">
        <v>12799</v>
      </c>
      <c r="H3474" t="str">
        <f>"cst-1"</f>
        <v>cst-1</v>
      </c>
      <c r="I3474" t="s">
        <v>12801</v>
      </c>
      <c r="J3474">
        <v>11.8324370268608</v>
      </c>
      <c r="K3474">
        <v>11.9417970730352</v>
      </c>
      <c r="L3474">
        <v>11.4361823409571</v>
      </c>
      <c r="M3474" t="s">
        <v>29</v>
      </c>
      <c r="N3474" t="s">
        <v>29</v>
      </c>
      <c r="O3474">
        <v>12.5773768489923</v>
      </c>
      <c r="P3474">
        <v>0.84057136870798399</v>
      </c>
      <c r="Q3474">
        <v>5.5169077221449002E-2</v>
      </c>
      <c r="R3474">
        <v>1.6259736601945201</v>
      </c>
      <c r="S3474">
        <v>12.292847276721799</v>
      </c>
      <c r="T3474">
        <v>2.2700318930017001</v>
      </c>
      <c r="U3474">
        <v>-4.4730149748263104</v>
      </c>
      <c r="V3474">
        <v>3.7478937663937402E-2</v>
      </c>
      <c r="W3474">
        <v>0.11374356431768499</v>
      </c>
      <c r="X3474">
        <v>0</v>
      </c>
      <c r="Y3474">
        <v>0</v>
      </c>
    </row>
    <row r="3475" spans="1:25" x14ac:dyDescent="0.2">
      <c r="A3475" t="s">
        <v>12802</v>
      </c>
      <c r="B3475" t="s">
        <v>12803</v>
      </c>
      <c r="C3475" t="s">
        <v>12804</v>
      </c>
      <c r="D3475" t="s">
        <v>12805</v>
      </c>
      <c r="E3475" t="s">
        <v>12803</v>
      </c>
      <c r="F3475" t="s">
        <v>28</v>
      </c>
      <c r="G3475" t="s">
        <v>12803</v>
      </c>
      <c r="H3475" t="str">
        <f>"mboa-2"</f>
        <v>mboa-2</v>
      </c>
      <c r="I3475" t="s">
        <v>12805</v>
      </c>
      <c r="J3475">
        <v>13.3720943186014</v>
      </c>
      <c r="K3475">
        <v>13.270221524988401</v>
      </c>
      <c r="L3475">
        <v>13.529590194864801</v>
      </c>
      <c r="M3475">
        <v>12.4005297695974</v>
      </c>
      <c r="N3475">
        <v>12.966562038856701</v>
      </c>
      <c r="O3475">
        <v>13.1704476829066</v>
      </c>
      <c r="P3475">
        <v>-0.54478884903133995</v>
      </c>
      <c r="Q3475">
        <v>-0.99583940105817803</v>
      </c>
      <c r="R3475">
        <v>-9.3738297004501897E-2</v>
      </c>
      <c r="S3475">
        <v>13.7745158657668</v>
      </c>
      <c r="T3475">
        <v>-2.5386071806156698</v>
      </c>
      <c r="U3475">
        <v>-4.27069904043781</v>
      </c>
      <c r="V3475">
        <v>2.0645195334662199E-2</v>
      </c>
      <c r="W3475">
        <v>7.5112827964505399E-2</v>
      </c>
      <c r="X3475">
        <v>0</v>
      </c>
      <c r="Y3475">
        <v>0</v>
      </c>
    </row>
    <row r="3476" spans="1:25" x14ac:dyDescent="0.2">
      <c r="A3476" t="s">
        <v>12806</v>
      </c>
      <c r="B3476" t="s">
        <v>12807</v>
      </c>
      <c r="C3476" t="s">
        <v>12808</v>
      </c>
      <c r="D3476" t="s">
        <v>12809</v>
      </c>
      <c r="E3476" t="s">
        <v>12807</v>
      </c>
      <c r="F3476" t="s">
        <v>28</v>
      </c>
      <c r="G3476" t="s">
        <v>12807</v>
      </c>
      <c r="H3476" t="str">
        <f>"mrps-35"</f>
        <v>mrps-35</v>
      </c>
      <c r="I3476" t="s">
        <v>12809</v>
      </c>
      <c r="J3476">
        <v>12.552947943312599</v>
      </c>
      <c r="K3476">
        <v>12.192894339392399</v>
      </c>
      <c r="L3476">
        <v>12.659553913903601</v>
      </c>
      <c r="M3476">
        <v>13.2923970713759</v>
      </c>
      <c r="N3476">
        <v>12.389100583114301</v>
      </c>
      <c r="O3476">
        <v>12.184874999774101</v>
      </c>
      <c r="P3476">
        <v>0.15365881921859201</v>
      </c>
      <c r="Q3476">
        <v>-0.48130309630135998</v>
      </c>
      <c r="R3476">
        <v>0.78862073473854399</v>
      </c>
      <c r="S3476">
        <v>12.9108403449022</v>
      </c>
      <c r="T3476">
        <v>0.508630415893217</v>
      </c>
      <c r="U3476">
        <v>-7.0215133461886401</v>
      </c>
      <c r="V3476">
        <v>0.61722467566744299</v>
      </c>
      <c r="W3476">
        <v>0.74477621677511896</v>
      </c>
      <c r="X3476">
        <v>0</v>
      </c>
      <c r="Y3476">
        <v>0</v>
      </c>
    </row>
    <row r="3477" spans="1:25" x14ac:dyDescent="0.2">
      <c r="A3477" t="s">
        <v>12810</v>
      </c>
      <c r="B3477" t="s">
        <v>12811</v>
      </c>
      <c r="C3477" t="s">
        <v>12812</v>
      </c>
      <c r="D3477" t="s">
        <v>12813</v>
      </c>
      <c r="E3477" t="s">
        <v>12811</v>
      </c>
      <c r="F3477" t="s">
        <v>28</v>
      </c>
      <c r="G3477" t="s">
        <v>12811</v>
      </c>
      <c r="H3477" t="str">
        <f>"ssl-1"</f>
        <v>ssl-1</v>
      </c>
      <c r="I3477" t="s">
        <v>12813</v>
      </c>
      <c r="J3477">
        <v>13.5628706631136</v>
      </c>
      <c r="K3477">
        <v>14.227144084787</v>
      </c>
      <c r="L3477">
        <v>14.034887045522799</v>
      </c>
      <c r="M3477">
        <v>14.1403418728807</v>
      </c>
      <c r="N3477">
        <v>13.5889981177635</v>
      </c>
      <c r="O3477">
        <v>13.875404490353</v>
      </c>
      <c r="P3477">
        <v>-7.3385770808737802E-2</v>
      </c>
      <c r="Q3477">
        <v>-0.48579065099721702</v>
      </c>
      <c r="R3477">
        <v>0.339019109379742</v>
      </c>
      <c r="S3477">
        <v>14.2194644349265</v>
      </c>
      <c r="T3477">
        <v>-0.37400772931119802</v>
      </c>
      <c r="U3477">
        <v>-7.0831802174968104</v>
      </c>
      <c r="V3477">
        <v>0.712793131119562</v>
      </c>
      <c r="W3477">
        <v>0.81355590914382303</v>
      </c>
      <c r="X3477">
        <v>0</v>
      </c>
      <c r="Y3477">
        <v>0</v>
      </c>
    </row>
    <row r="3478" spans="1:25" x14ac:dyDescent="0.2">
      <c r="A3478" t="s">
        <v>12814</v>
      </c>
      <c r="B3478" t="s">
        <v>12815</v>
      </c>
      <c r="C3478" t="s">
        <v>14699</v>
      </c>
      <c r="D3478" t="s">
        <v>12816</v>
      </c>
      <c r="E3478" t="s">
        <v>12815</v>
      </c>
      <c r="F3478" t="s">
        <v>28</v>
      </c>
      <c r="G3478" t="s">
        <v>12815</v>
      </c>
      <c r="H3478" t="str">
        <f>"Y111B2A.3"</f>
        <v>Y111B2A.3</v>
      </c>
      <c r="I3478" t="s">
        <v>12816</v>
      </c>
      <c r="J3478">
        <v>10.971621619392099</v>
      </c>
      <c r="K3478" t="s">
        <v>29</v>
      </c>
      <c r="L3478">
        <v>11.632841448422299</v>
      </c>
      <c r="M3478" t="s">
        <v>29</v>
      </c>
      <c r="N3478" t="s">
        <v>29</v>
      </c>
      <c r="O3478">
        <v>11.4787378907695</v>
      </c>
      <c r="P3478">
        <v>0.17650635686227101</v>
      </c>
      <c r="Q3478">
        <v>-0.91845851774620801</v>
      </c>
      <c r="R3478">
        <v>1.2714712314707499</v>
      </c>
      <c r="S3478">
        <v>12.4251347133258</v>
      </c>
      <c r="T3478">
        <v>0.34853581155230601</v>
      </c>
      <c r="U3478">
        <v>-6.6902782885513403</v>
      </c>
      <c r="V3478">
        <v>0.73306242193729299</v>
      </c>
      <c r="W3478">
        <v>0.82837993596097803</v>
      </c>
      <c r="X3478">
        <v>0</v>
      </c>
      <c r="Y3478">
        <v>0</v>
      </c>
    </row>
    <row r="3479" spans="1:25" x14ac:dyDescent="0.2">
      <c r="A3479" t="s">
        <v>12817</v>
      </c>
      <c r="B3479" t="s">
        <v>12818</v>
      </c>
      <c r="C3479" t="s">
        <v>12819</v>
      </c>
      <c r="D3479" t="s">
        <v>12820</v>
      </c>
      <c r="E3479" t="s">
        <v>12818</v>
      </c>
      <c r="F3479" t="s">
        <v>28</v>
      </c>
      <c r="G3479" t="s">
        <v>12818</v>
      </c>
      <c r="H3479" t="str">
        <f>"rps-6"</f>
        <v>rps-6</v>
      </c>
      <c r="I3479" t="s">
        <v>12820</v>
      </c>
      <c r="J3479">
        <v>18.355763186537299</v>
      </c>
      <c r="K3479">
        <v>18.402665238516001</v>
      </c>
      <c r="L3479">
        <v>18.592548153445399</v>
      </c>
      <c r="M3479">
        <v>17.802440252197901</v>
      </c>
      <c r="N3479">
        <v>17.9096358262424</v>
      </c>
      <c r="O3479">
        <v>18.071761263939301</v>
      </c>
      <c r="P3479">
        <v>-0.52237974537303</v>
      </c>
      <c r="Q3479">
        <v>-0.84213447319503998</v>
      </c>
      <c r="R3479">
        <v>-0.20262501755102</v>
      </c>
      <c r="S3479">
        <v>18.426186318480099</v>
      </c>
      <c r="T3479">
        <v>-3.4336962006780101</v>
      </c>
      <c r="U3479">
        <v>-2.4116773795448201</v>
      </c>
      <c r="V3479">
        <v>2.9821121018141698E-3</v>
      </c>
      <c r="W3479">
        <v>1.94525524674929E-2</v>
      </c>
      <c r="X3479">
        <v>0</v>
      </c>
      <c r="Y3479">
        <v>0</v>
      </c>
    </row>
    <row r="3480" spans="1:25" x14ac:dyDescent="0.2">
      <c r="A3480" t="s">
        <v>12821</v>
      </c>
      <c r="B3480" t="s">
        <v>12822</v>
      </c>
      <c r="C3480" t="s">
        <v>12823</v>
      </c>
      <c r="D3480" t="s">
        <v>12824</v>
      </c>
      <c r="E3480" t="s">
        <v>12822</v>
      </c>
      <c r="F3480" t="s">
        <v>28</v>
      </c>
      <c r="G3480" t="s">
        <v>12822</v>
      </c>
      <c r="H3480" t="str">
        <f>"fat-1"</f>
        <v>fat-1</v>
      </c>
      <c r="I3480" t="s">
        <v>12824</v>
      </c>
      <c r="J3480">
        <v>15.6847459285264</v>
      </c>
      <c r="K3480">
        <v>15.5020962166071</v>
      </c>
      <c r="L3480">
        <v>16.117840702265699</v>
      </c>
      <c r="M3480">
        <v>15.562920508174001</v>
      </c>
      <c r="N3480">
        <v>15.683691025179</v>
      </c>
      <c r="O3480">
        <v>14.854958005557799</v>
      </c>
      <c r="P3480">
        <v>-0.40103776949610997</v>
      </c>
      <c r="Q3480">
        <v>-0.98143879340557305</v>
      </c>
      <c r="R3480">
        <v>0.17936325441335299</v>
      </c>
      <c r="S3480">
        <v>16.0766624896</v>
      </c>
      <c r="T3480">
        <v>-1.4522775349052299</v>
      </c>
      <c r="U3480">
        <v>-6.1103317165152697</v>
      </c>
      <c r="V3480">
        <v>0.163733214126629</v>
      </c>
      <c r="W3480">
        <v>0.31211921445674001</v>
      </c>
      <c r="X3480">
        <v>0</v>
      </c>
      <c r="Y3480">
        <v>0</v>
      </c>
    </row>
    <row r="3481" spans="1:25" x14ac:dyDescent="0.2">
      <c r="A3481" t="s">
        <v>12825</v>
      </c>
      <c r="B3481" t="s">
        <v>12826</v>
      </c>
      <c r="C3481" t="s">
        <v>14700</v>
      </c>
      <c r="D3481" t="s">
        <v>12827</v>
      </c>
      <c r="E3481" t="s">
        <v>12826</v>
      </c>
      <c r="F3481" t="s">
        <v>28</v>
      </c>
      <c r="G3481" t="s">
        <v>12826</v>
      </c>
      <c r="H3481" t="str">
        <f>"Y39B6A.1"</f>
        <v>Y39B6A.1</v>
      </c>
      <c r="I3481" t="s">
        <v>12827</v>
      </c>
      <c r="J3481" t="s">
        <v>29</v>
      </c>
      <c r="K3481" t="s">
        <v>29</v>
      </c>
      <c r="L3481">
        <v>9.30054879835191</v>
      </c>
      <c r="M3481" t="s">
        <v>29</v>
      </c>
      <c r="N3481">
        <v>11.829882189852899</v>
      </c>
      <c r="O3481" t="s">
        <v>29</v>
      </c>
      <c r="P3481">
        <v>2.5293333915009901</v>
      </c>
      <c r="Q3481">
        <v>1.22666687994562</v>
      </c>
      <c r="R3481">
        <v>3.8319999030563601</v>
      </c>
      <c r="S3481">
        <v>9.9112208708024099</v>
      </c>
      <c r="T3481">
        <v>4.3325114515445202</v>
      </c>
      <c r="U3481">
        <v>-0.99822281877397001</v>
      </c>
      <c r="V3481">
        <v>1.52061486761636E-3</v>
      </c>
      <c r="W3481">
        <v>1.22774027804532E-2</v>
      </c>
      <c r="X3481">
        <v>1</v>
      </c>
      <c r="Y3481">
        <v>1</v>
      </c>
    </row>
    <row r="3482" spans="1:25" x14ac:dyDescent="0.2">
      <c r="A3482" t="s">
        <v>12828</v>
      </c>
      <c r="B3482" t="s">
        <v>12829</v>
      </c>
      <c r="C3482" t="s">
        <v>14701</v>
      </c>
      <c r="D3482" t="s">
        <v>368</v>
      </c>
      <c r="E3482" t="s">
        <v>12829</v>
      </c>
      <c r="F3482" t="s">
        <v>28</v>
      </c>
      <c r="G3482" t="s">
        <v>12829</v>
      </c>
      <c r="H3482" t="str">
        <f>"Y39B6A.10"</f>
        <v>Y39B6A.10</v>
      </c>
      <c r="I3482" t="s">
        <v>368</v>
      </c>
      <c r="J3482">
        <v>13.3584688809404</v>
      </c>
      <c r="K3482">
        <v>13.507994769308601</v>
      </c>
      <c r="L3482">
        <v>13.713425243157101</v>
      </c>
      <c r="M3482" t="s">
        <v>29</v>
      </c>
      <c r="N3482" t="s">
        <v>29</v>
      </c>
      <c r="O3482">
        <v>13.154392297831199</v>
      </c>
      <c r="P3482">
        <v>-0.37223733330421999</v>
      </c>
      <c r="Q3482">
        <v>-0.98002442787733401</v>
      </c>
      <c r="R3482">
        <v>0.23554976126889399</v>
      </c>
      <c r="S3482">
        <v>13.557729256631299</v>
      </c>
      <c r="T3482">
        <v>-1.29902641950757</v>
      </c>
      <c r="U3482">
        <v>-5.9709901613204099</v>
      </c>
      <c r="V3482">
        <v>0.21246320205486999</v>
      </c>
      <c r="W3482">
        <v>0.37362588230841898</v>
      </c>
      <c r="X3482">
        <v>0</v>
      </c>
      <c r="Y3482">
        <v>0</v>
      </c>
    </row>
    <row r="3483" spans="1:25" x14ac:dyDescent="0.2">
      <c r="A3483" t="s">
        <v>12830</v>
      </c>
      <c r="B3483" t="s">
        <v>12831</v>
      </c>
      <c r="C3483" t="s">
        <v>12832</v>
      </c>
      <c r="D3483" t="s">
        <v>12833</v>
      </c>
      <c r="E3483" t="s">
        <v>12831</v>
      </c>
      <c r="F3483" t="s">
        <v>28</v>
      </c>
      <c r="G3483" t="s">
        <v>12831</v>
      </c>
      <c r="H3483" t="str">
        <f>"pro-3"</f>
        <v>pro-3</v>
      </c>
      <c r="I3483" t="s">
        <v>12833</v>
      </c>
      <c r="J3483">
        <v>13.652791481522801</v>
      </c>
      <c r="K3483">
        <v>13.151574512442499</v>
      </c>
      <c r="L3483">
        <v>13.5155584031857</v>
      </c>
      <c r="M3483" t="s">
        <v>29</v>
      </c>
      <c r="N3483">
        <v>12.962993979766599</v>
      </c>
      <c r="O3483">
        <v>13.2915175216904</v>
      </c>
      <c r="P3483">
        <v>-0.31271904832184</v>
      </c>
      <c r="Q3483">
        <v>-0.98959052850349005</v>
      </c>
      <c r="R3483">
        <v>0.36415243185981</v>
      </c>
      <c r="S3483">
        <v>14.3133606501878</v>
      </c>
      <c r="T3483">
        <v>-0.975209971596671</v>
      </c>
      <c r="U3483">
        <v>-6.5592248062982899</v>
      </c>
      <c r="V3483">
        <v>0.34321353346139799</v>
      </c>
      <c r="W3483">
        <v>0.51368729462201101</v>
      </c>
      <c r="X3483">
        <v>0</v>
      </c>
      <c r="Y3483">
        <v>0</v>
      </c>
    </row>
    <row r="3484" spans="1:25" x14ac:dyDescent="0.2">
      <c r="A3484" t="s">
        <v>12834</v>
      </c>
      <c r="B3484" t="s">
        <v>12835</v>
      </c>
      <c r="C3484" t="s">
        <v>12836</v>
      </c>
      <c r="D3484" t="s">
        <v>12837</v>
      </c>
      <c r="E3484" t="s">
        <v>12835</v>
      </c>
      <c r="F3484" t="s">
        <v>28</v>
      </c>
      <c r="G3484" t="s">
        <v>12835</v>
      </c>
      <c r="H3484" t="str">
        <f>"tgt-2"</f>
        <v>tgt-2</v>
      </c>
      <c r="I3484" t="s">
        <v>12837</v>
      </c>
      <c r="J3484">
        <v>12.749770942063501</v>
      </c>
      <c r="K3484">
        <v>13.1583493241132</v>
      </c>
      <c r="L3484">
        <v>13.186724925117099</v>
      </c>
      <c r="M3484" t="s">
        <v>29</v>
      </c>
      <c r="N3484" t="s">
        <v>29</v>
      </c>
      <c r="O3484" t="s">
        <v>29</v>
      </c>
      <c r="P3484" t="s">
        <v>29</v>
      </c>
      <c r="Q3484" t="s">
        <v>29</v>
      </c>
      <c r="R3484" t="s">
        <v>29</v>
      </c>
      <c r="S3484">
        <v>13.1831904793905</v>
      </c>
      <c r="T3484" t="s">
        <v>29</v>
      </c>
      <c r="U3484" t="s">
        <v>29</v>
      </c>
      <c r="V3484" t="s">
        <v>29</v>
      </c>
      <c r="W3484" t="s">
        <v>29</v>
      </c>
      <c r="X3484" t="s">
        <v>29</v>
      </c>
      <c r="Y3484" t="s">
        <v>29</v>
      </c>
    </row>
    <row r="3485" spans="1:25" x14ac:dyDescent="0.2">
      <c r="A3485" t="s">
        <v>12838</v>
      </c>
      <c r="B3485" t="s">
        <v>12839</v>
      </c>
      <c r="C3485" t="s">
        <v>12840</v>
      </c>
      <c r="D3485" t="s">
        <v>12841</v>
      </c>
      <c r="E3485" t="s">
        <v>12839</v>
      </c>
      <c r="F3485" t="s">
        <v>28</v>
      </c>
      <c r="G3485" t="s">
        <v>12839</v>
      </c>
      <c r="H3485" t="str">
        <f>"Y39B6A.33"</f>
        <v>Y39B6A.33</v>
      </c>
      <c r="I3485" t="s">
        <v>12841</v>
      </c>
      <c r="J3485" t="s">
        <v>29</v>
      </c>
      <c r="K3485" t="s">
        <v>29</v>
      </c>
      <c r="L3485" t="s">
        <v>29</v>
      </c>
      <c r="M3485" t="s">
        <v>29</v>
      </c>
      <c r="N3485" t="s">
        <v>29</v>
      </c>
      <c r="O3485" t="s">
        <v>29</v>
      </c>
      <c r="P3485" t="s">
        <v>29</v>
      </c>
      <c r="Q3485" t="s">
        <v>29</v>
      </c>
      <c r="R3485" t="s">
        <v>29</v>
      </c>
      <c r="S3485">
        <v>12.5236820245066</v>
      </c>
      <c r="T3485" t="s">
        <v>29</v>
      </c>
      <c r="U3485" t="s">
        <v>29</v>
      </c>
      <c r="V3485" t="s">
        <v>29</v>
      </c>
      <c r="W3485" t="s">
        <v>29</v>
      </c>
      <c r="X3485" t="s">
        <v>29</v>
      </c>
      <c r="Y3485" t="s">
        <v>29</v>
      </c>
    </row>
    <row r="3486" spans="1:25" x14ac:dyDescent="0.2">
      <c r="A3486" t="s">
        <v>12842</v>
      </c>
      <c r="B3486" t="s">
        <v>12843</v>
      </c>
      <c r="C3486" t="s">
        <v>12844</v>
      </c>
      <c r="D3486" t="s">
        <v>12845</v>
      </c>
      <c r="E3486" t="s">
        <v>12843</v>
      </c>
      <c r="F3486" t="s">
        <v>28</v>
      </c>
      <c r="G3486" t="s">
        <v>12843</v>
      </c>
      <c r="H3486" t="str">
        <f>"rsp-3"</f>
        <v>rsp-3</v>
      </c>
      <c r="I3486" t="s">
        <v>12845</v>
      </c>
      <c r="J3486">
        <v>18.342158144337599</v>
      </c>
      <c r="K3486">
        <v>18.4362796743685</v>
      </c>
      <c r="L3486">
        <v>18.245303846996499</v>
      </c>
      <c r="M3486">
        <v>18.812989933760999</v>
      </c>
      <c r="N3486">
        <v>18.4659145359498</v>
      </c>
      <c r="O3486">
        <v>18.708354190818799</v>
      </c>
      <c r="P3486">
        <v>0.32117233160902697</v>
      </c>
      <c r="Q3486">
        <v>-9.1567022046724095E-2</v>
      </c>
      <c r="R3486">
        <v>0.73391168526477801</v>
      </c>
      <c r="S3486">
        <v>18.071661403619199</v>
      </c>
      <c r="T3486">
        <v>1.63551585262332</v>
      </c>
      <c r="U3486">
        <v>-5.8486045055208402</v>
      </c>
      <c r="V3486">
        <v>0.11940781900615199</v>
      </c>
      <c r="W3486">
        <v>0.246424959811716</v>
      </c>
      <c r="X3486">
        <v>0</v>
      </c>
      <c r="Y3486">
        <v>0</v>
      </c>
    </row>
    <row r="3487" spans="1:25" x14ac:dyDescent="0.2">
      <c r="A3487" t="s">
        <v>12846</v>
      </c>
      <c r="B3487" t="s">
        <v>12847</v>
      </c>
      <c r="C3487" t="s">
        <v>12848</v>
      </c>
      <c r="D3487" t="s">
        <v>12849</v>
      </c>
      <c r="E3487" t="s">
        <v>12847</v>
      </c>
      <c r="F3487" t="s">
        <v>28</v>
      </c>
      <c r="G3487" t="s">
        <v>12847</v>
      </c>
      <c r="H3487" t="str">
        <f>"elpc-2"</f>
        <v>elpc-2</v>
      </c>
      <c r="I3487" t="s">
        <v>12849</v>
      </c>
      <c r="J3487">
        <v>13.5298692742603</v>
      </c>
      <c r="K3487">
        <v>13.282330819125001</v>
      </c>
      <c r="L3487">
        <v>13.138890099833599</v>
      </c>
      <c r="M3487" t="s">
        <v>29</v>
      </c>
      <c r="N3487">
        <v>13.180169474757699</v>
      </c>
      <c r="O3487">
        <v>13.2798678429746</v>
      </c>
      <c r="P3487">
        <v>-8.7011405540129899E-2</v>
      </c>
      <c r="Q3487">
        <v>-0.89651900843839605</v>
      </c>
      <c r="R3487">
        <v>0.72249619735813597</v>
      </c>
      <c r="S3487">
        <v>13.184209435383201</v>
      </c>
      <c r="T3487">
        <v>-0.226884728772902</v>
      </c>
      <c r="U3487">
        <v>-7.0184575413427801</v>
      </c>
      <c r="V3487">
        <v>0.823235905331972</v>
      </c>
      <c r="W3487">
        <v>0.88899824588249299</v>
      </c>
      <c r="X3487">
        <v>0</v>
      </c>
      <c r="Y3487">
        <v>0</v>
      </c>
    </row>
    <row r="3488" spans="1:25" x14ac:dyDescent="0.2">
      <c r="A3488" t="s">
        <v>12850</v>
      </c>
      <c r="B3488" t="s">
        <v>12851</v>
      </c>
      <c r="C3488" t="s">
        <v>14702</v>
      </c>
      <c r="D3488" t="s">
        <v>130</v>
      </c>
      <c r="E3488" t="s">
        <v>12851</v>
      </c>
      <c r="F3488" t="s">
        <v>28</v>
      </c>
      <c r="G3488" t="s">
        <v>12851</v>
      </c>
      <c r="H3488" t="str">
        <f>"Y105E8A.21"</f>
        <v>Y105E8A.21</v>
      </c>
      <c r="I3488" t="s">
        <v>130</v>
      </c>
      <c r="J3488">
        <v>13.5131058005909</v>
      </c>
      <c r="K3488">
        <v>13.750824469487</v>
      </c>
      <c r="L3488">
        <v>13.267384070481301</v>
      </c>
      <c r="M3488" t="s">
        <v>29</v>
      </c>
      <c r="N3488" t="s">
        <v>29</v>
      </c>
      <c r="O3488" t="s">
        <v>29</v>
      </c>
      <c r="P3488" t="s">
        <v>29</v>
      </c>
      <c r="Q3488" t="s">
        <v>29</v>
      </c>
      <c r="R3488" t="s">
        <v>29</v>
      </c>
      <c r="S3488">
        <v>13.601227446823399</v>
      </c>
      <c r="T3488" t="s">
        <v>29</v>
      </c>
      <c r="U3488" t="s">
        <v>29</v>
      </c>
      <c r="V3488" t="s">
        <v>29</v>
      </c>
      <c r="W3488" t="s">
        <v>29</v>
      </c>
      <c r="X3488" t="s">
        <v>29</v>
      </c>
      <c r="Y3488" t="s">
        <v>29</v>
      </c>
    </row>
    <row r="3489" spans="1:25" x14ac:dyDescent="0.2">
      <c r="A3489" t="s">
        <v>12852</v>
      </c>
      <c r="B3489" t="s">
        <v>12853</v>
      </c>
      <c r="C3489" t="s">
        <v>12854</v>
      </c>
      <c r="D3489" t="s">
        <v>3982</v>
      </c>
      <c r="E3489" t="s">
        <v>12853</v>
      </c>
      <c r="F3489" t="s">
        <v>28</v>
      </c>
      <c r="G3489" t="s">
        <v>12853</v>
      </c>
      <c r="H3489" t="str">
        <f>"ech-7"</f>
        <v>ech-7</v>
      </c>
      <c r="I3489" t="s">
        <v>3982</v>
      </c>
      <c r="J3489" t="s">
        <v>29</v>
      </c>
      <c r="K3489" t="s">
        <v>29</v>
      </c>
      <c r="L3489">
        <v>9.8657584617808407</v>
      </c>
      <c r="M3489" t="s">
        <v>29</v>
      </c>
      <c r="N3489" t="s">
        <v>29</v>
      </c>
      <c r="O3489" t="s">
        <v>29</v>
      </c>
      <c r="P3489" t="s">
        <v>29</v>
      </c>
      <c r="Q3489" t="s">
        <v>29</v>
      </c>
      <c r="R3489" t="s">
        <v>29</v>
      </c>
      <c r="S3489">
        <v>10.266522593626</v>
      </c>
      <c r="T3489" t="s">
        <v>29</v>
      </c>
      <c r="U3489" t="s">
        <v>29</v>
      </c>
      <c r="V3489" t="s">
        <v>29</v>
      </c>
      <c r="W3489" t="s">
        <v>29</v>
      </c>
      <c r="X3489" t="s">
        <v>29</v>
      </c>
      <c r="Y3489" t="s">
        <v>29</v>
      </c>
    </row>
    <row r="3490" spans="1:25" x14ac:dyDescent="0.2">
      <c r="A3490" t="s">
        <v>12855</v>
      </c>
      <c r="B3490" t="s">
        <v>12856</v>
      </c>
      <c r="C3490" t="s">
        <v>12857</v>
      </c>
      <c r="D3490" t="s">
        <v>12858</v>
      </c>
      <c r="E3490" t="s">
        <v>12856</v>
      </c>
      <c r="F3490" t="s">
        <v>28</v>
      </c>
      <c r="G3490" t="s">
        <v>12856</v>
      </c>
      <c r="H3490" t="str">
        <f>"hprt-1"</f>
        <v>hprt-1</v>
      </c>
      <c r="I3490" t="s">
        <v>12858</v>
      </c>
      <c r="J3490" t="s">
        <v>29</v>
      </c>
      <c r="K3490" t="s">
        <v>29</v>
      </c>
      <c r="L3490">
        <v>13.579618560034699</v>
      </c>
      <c r="M3490">
        <v>15.4493483737905</v>
      </c>
      <c r="N3490">
        <v>15.013302210046101</v>
      </c>
      <c r="O3490">
        <v>15.3884432754753</v>
      </c>
      <c r="P3490">
        <v>1.7040793930692499</v>
      </c>
      <c r="Q3490">
        <v>0.77377202744229601</v>
      </c>
      <c r="R3490">
        <v>2.6343867586962002</v>
      </c>
      <c r="S3490">
        <v>13.740815634421701</v>
      </c>
      <c r="T3490">
        <v>3.8851956609615299</v>
      </c>
      <c r="U3490">
        <v>-1.26726457778305</v>
      </c>
      <c r="V3490">
        <v>1.3286124285443099E-3</v>
      </c>
      <c r="W3490">
        <v>1.1060510810508699E-2</v>
      </c>
      <c r="X3490">
        <v>1</v>
      </c>
      <c r="Y3490">
        <v>1</v>
      </c>
    </row>
    <row r="3491" spans="1:25" x14ac:dyDescent="0.2">
      <c r="A3491" t="s">
        <v>12859</v>
      </c>
      <c r="B3491" t="s">
        <v>12860</v>
      </c>
      <c r="C3491" t="s">
        <v>12861</v>
      </c>
      <c r="D3491" t="s">
        <v>12862</v>
      </c>
      <c r="E3491" t="s">
        <v>12860</v>
      </c>
      <c r="F3491" t="s">
        <v>28</v>
      </c>
      <c r="G3491" t="s">
        <v>12860</v>
      </c>
      <c r="H3491" t="str">
        <f>"bath-40"</f>
        <v>bath-40</v>
      </c>
      <c r="I3491" t="s">
        <v>12862</v>
      </c>
      <c r="J3491">
        <v>11.9638918961308</v>
      </c>
      <c r="K3491" t="s">
        <v>29</v>
      </c>
      <c r="L3491">
        <v>11.3599126008878</v>
      </c>
      <c r="M3491" t="s">
        <v>29</v>
      </c>
      <c r="N3491" t="s">
        <v>29</v>
      </c>
      <c r="O3491">
        <v>12.4226376988707</v>
      </c>
      <c r="P3491">
        <v>0.76073545036138202</v>
      </c>
      <c r="Q3491">
        <v>-0.184148646246558</v>
      </c>
      <c r="R3491">
        <v>1.7056195469693201</v>
      </c>
      <c r="S3491">
        <v>12.527820087464301</v>
      </c>
      <c r="T3491">
        <v>1.7407738734254199</v>
      </c>
      <c r="U3491">
        <v>-5.3098520989200102</v>
      </c>
      <c r="V3491">
        <v>0.105513033039052</v>
      </c>
      <c r="W3491">
        <v>0.225487243195132</v>
      </c>
      <c r="X3491">
        <v>0</v>
      </c>
      <c r="Y3491">
        <v>0</v>
      </c>
    </row>
    <row r="3492" spans="1:25" x14ac:dyDescent="0.2">
      <c r="A3492" t="s">
        <v>12863</v>
      </c>
      <c r="B3492" t="s">
        <v>12864</v>
      </c>
      <c r="C3492" t="s">
        <v>12865</v>
      </c>
      <c r="D3492" t="s">
        <v>12866</v>
      </c>
      <c r="E3492" t="s">
        <v>12864</v>
      </c>
      <c r="F3492" t="s">
        <v>28</v>
      </c>
      <c r="G3492" t="s">
        <v>12864</v>
      </c>
      <c r="H3492" t="str">
        <f>"ced-2"</f>
        <v>ced-2</v>
      </c>
      <c r="I3492" t="s">
        <v>12866</v>
      </c>
      <c r="J3492">
        <v>11.7556394345584</v>
      </c>
      <c r="K3492">
        <v>12.1412821267069</v>
      </c>
      <c r="L3492">
        <v>11.936972739859</v>
      </c>
      <c r="M3492" t="s">
        <v>29</v>
      </c>
      <c r="N3492" t="s">
        <v>29</v>
      </c>
      <c r="O3492" t="s">
        <v>29</v>
      </c>
      <c r="P3492" t="s">
        <v>29</v>
      </c>
      <c r="Q3492" t="s">
        <v>29</v>
      </c>
      <c r="R3492" t="s">
        <v>29</v>
      </c>
      <c r="S3492">
        <v>12.218921512590899</v>
      </c>
      <c r="T3492" t="s">
        <v>29</v>
      </c>
      <c r="U3492" t="s">
        <v>29</v>
      </c>
      <c r="V3492" t="s">
        <v>29</v>
      </c>
      <c r="W3492" t="s">
        <v>29</v>
      </c>
      <c r="X3492" t="s">
        <v>29</v>
      </c>
      <c r="Y3492" t="s">
        <v>29</v>
      </c>
    </row>
    <row r="3493" spans="1:25" x14ac:dyDescent="0.2">
      <c r="A3493" t="s">
        <v>12867</v>
      </c>
      <c r="B3493" t="s">
        <v>12868</v>
      </c>
      <c r="C3493" t="s">
        <v>12869</v>
      </c>
      <c r="D3493" t="s">
        <v>93</v>
      </c>
      <c r="E3493" t="s">
        <v>12868</v>
      </c>
      <c r="F3493" t="s">
        <v>28</v>
      </c>
      <c r="G3493" t="s">
        <v>12868</v>
      </c>
      <c r="H3493" t="str">
        <f>"hrpr-1"</f>
        <v>hrpr-1</v>
      </c>
      <c r="I3493" t="s">
        <v>93</v>
      </c>
      <c r="J3493">
        <v>16.6107849426424</v>
      </c>
      <c r="K3493">
        <v>16.7724894560113</v>
      </c>
      <c r="L3493">
        <v>16.947347421685699</v>
      </c>
      <c r="M3493">
        <v>17.378402757824201</v>
      </c>
      <c r="N3493">
        <v>17.6408269021303</v>
      </c>
      <c r="O3493">
        <v>17.448156974062002</v>
      </c>
      <c r="P3493">
        <v>0.71225493789236105</v>
      </c>
      <c r="Q3493">
        <v>0.24052409747304301</v>
      </c>
      <c r="R3493">
        <v>1.1839857783116801</v>
      </c>
      <c r="S3493">
        <v>17.370229475030001</v>
      </c>
      <c r="T3493">
        <v>3.1734649923907701</v>
      </c>
      <c r="U3493">
        <v>-2.9699780427622899</v>
      </c>
      <c r="V3493">
        <v>5.2894661505153004E-3</v>
      </c>
      <c r="W3493">
        <v>2.9356637194350901E-2</v>
      </c>
      <c r="X3493">
        <v>0</v>
      </c>
      <c r="Y3493">
        <v>0</v>
      </c>
    </row>
    <row r="3494" spans="1:25" x14ac:dyDescent="0.2">
      <c r="A3494" t="s">
        <v>12870</v>
      </c>
      <c r="B3494" t="s">
        <v>12871</v>
      </c>
      <c r="C3494" t="s">
        <v>12872</v>
      </c>
      <c r="D3494" t="s">
        <v>12873</v>
      </c>
      <c r="E3494" t="s">
        <v>12871</v>
      </c>
      <c r="F3494" t="s">
        <v>28</v>
      </c>
      <c r="G3494" t="s">
        <v>12871</v>
      </c>
      <c r="H3494" t="str">
        <f>"cdk-9"</f>
        <v>cdk-9</v>
      </c>
      <c r="I3494" t="s">
        <v>12873</v>
      </c>
      <c r="J3494">
        <v>11.6914445206514</v>
      </c>
      <c r="K3494" t="s">
        <v>29</v>
      </c>
      <c r="L3494">
        <v>12.3496185871991</v>
      </c>
      <c r="M3494" t="s">
        <v>29</v>
      </c>
      <c r="N3494" t="s">
        <v>29</v>
      </c>
      <c r="O3494" t="s">
        <v>29</v>
      </c>
      <c r="P3494" t="s">
        <v>29</v>
      </c>
      <c r="Q3494" t="s">
        <v>29</v>
      </c>
      <c r="R3494" t="s">
        <v>29</v>
      </c>
      <c r="S3494">
        <v>12.404076928855</v>
      </c>
      <c r="T3494" t="s">
        <v>29</v>
      </c>
      <c r="U3494" t="s">
        <v>29</v>
      </c>
      <c r="V3494" t="s">
        <v>29</v>
      </c>
      <c r="W3494" t="s">
        <v>29</v>
      </c>
      <c r="X3494" t="s">
        <v>29</v>
      </c>
      <c r="Y3494" t="s">
        <v>29</v>
      </c>
    </row>
    <row r="3495" spans="1:25" x14ac:dyDescent="0.2">
      <c r="A3495" t="s">
        <v>12874</v>
      </c>
      <c r="B3495" t="s">
        <v>12875</v>
      </c>
      <c r="C3495" t="s">
        <v>12876</v>
      </c>
      <c r="D3495" t="s">
        <v>12877</v>
      </c>
      <c r="E3495" t="s">
        <v>12875</v>
      </c>
      <c r="F3495" t="s">
        <v>28</v>
      </c>
      <c r="G3495" t="s">
        <v>12875</v>
      </c>
      <c r="H3495" t="str">
        <f>"msp-79"</f>
        <v>msp-79</v>
      </c>
      <c r="I3495" t="s">
        <v>12877</v>
      </c>
      <c r="J3495">
        <v>18.9737748844131</v>
      </c>
      <c r="K3495">
        <v>18.313647410418302</v>
      </c>
      <c r="L3495">
        <v>18.525617702303201</v>
      </c>
      <c r="M3495">
        <v>17.682292764709999</v>
      </c>
      <c r="N3495">
        <v>18.1389890975383</v>
      </c>
      <c r="O3495">
        <v>17.707223762264899</v>
      </c>
      <c r="P3495">
        <v>-0.76151145754043303</v>
      </c>
      <c r="Q3495">
        <v>-1.2658666728509</v>
      </c>
      <c r="R3495">
        <v>-0.25715624222996603</v>
      </c>
      <c r="S3495">
        <v>17.914863839374799</v>
      </c>
      <c r="T3495">
        <v>-3.17345569272715</v>
      </c>
      <c r="U3495">
        <v>-2.9699977973509002</v>
      </c>
      <c r="V3495">
        <v>5.2895739227011599E-3</v>
      </c>
      <c r="W3495">
        <v>2.9356637194350901E-2</v>
      </c>
      <c r="X3495">
        <v>0</v>
      </c>
      <c r="Y3495">
        <v>0</v>
      </c>
    </row>
    <row r="3496" spans="1:25" x14ac:dyDescent="0.2">
      <c r="A3496" t="s">
        <v>12878</v>
      </c>
      <c r="B3496" t="s">
        <v>12879</v>
      </c>
      <c r="C3496" t="s">
        <v>12880</v>
      </c>
      <c r="D3496" t="s">
        <v>12881</v>
      </c>
      <c r="E3496" t="s">
        <v>12879</v>
      </c>
      <c r="F3496" t="s">
        <v>28</v>
      </c>
      <c r="G3496" t="s">
        <v>12879</v>
      </c>
      <c r="H3496" t="str">
        <f>"par-1"</f>
        <v>par-1</v>
      </c>
      <c r="I3496" t="s">
        <v>12881</v>
      </c>
      <c r="J3496">
        <v>15.0020761643292</v>
      </c>
      <c r="K3496">
        <v>15.3108963828039</v>
      </c>
      <c r="L3496">
        <v>15.2438170291808</v>
      </c>
      <c r="M3496">
        <v>15.2426479920804</v>
      </c>
      <c r="N3496">
        <v>15.0227137096881</v>
      </c>
      <c r="O3496">
        <v>14.520992455783601</v>
      </c>
      <c r="P3496">
        <v>-0.25681180625397299</v>
      </c>
      <c r="Q3496">
        <v>-0.698029935473372</v>
      </c>
      <c r="R3496">
        <v>0.184406322965427</v>
      </c>
      <c r="S3496">
        <v>15.314086408071001</v>
      </c>
      <c r="T3496">
        <v>-1.22335964326002</v>
      </c>
      <c r="U3496">
        <v>-6.4021969496429598</v>
      </c>
      <c r="V3496">
        <v>0.23705949498408599</v>
      </c>
      <c r="W3496">
        <v>0.40220621084819203</v>
      </c>
      <c r="X3496">
        <v>0</v>
      </c>
      <c r="Y3496">
        <v>0</v>
      </c>
    </row>
    <row r="3497" spans="1:25" x14ac:dyDescent="0.2">
      <c r="A3497" t="s">
        <v>12882</v>
      </c>
      <c r="B3497" t="s">
        <v>12883</v>
      </c>
      <c r="C3497" t="s">
        <v>12884</v>
      </c>
      <c r="D3497" t="s">
        <v>12885</v>
      </c>
      <c r="E3497" t="s">
        <v>12883</v>
      </c>
      <c r="F3497" t="s">
        <v>28</v>
      </c>
      <c r="G3497" t="s">
        <v>12883</v>
      </c>
      <c r="H3497" t="str">
        <f>"dys-1"</f>
        <v>dys-1</v>
      </c>
      <c r="I3497" t="s">
        <v>12885</v>
      </c>
      <c r="J3497" t="s">
        <v>29</v>
      </c>
      <c r="K3497" t="s">
        <v>29</v>
      </c>
      <c r="L3497" t="s">
        <v>29</v>
      </c>
      <c r="M3497" t="s">
        <v>29</v>
      </c>
      <c r="N3497" t="s">
        <v>29</v>
      </c>
      <c r="O3497" t="s">
        <v>29</v>
      </c>
      <c r="P3497" t="s">
        <v>29</v>
      </c>
      <c r="Q3497" t="s">
        <v>29</v>
      </c>
      <c r="R3497" t="s">
        <v>29</v>
      </c>
      <c r="S3497">
        <v>10.9028045131569</v>
      </c>
      <c r="T3497" t="s">
        <v>29</v>
      </c>
      <c r="U3497" t="s">
        <v>29</v>
      </c>
      <c r="V3497" t="s">
        <v>29</v>
      </c>
      <c r="W3497" t="s">
        <v>29</v>
      </c>
      <c r="X3497" t="s">
        <v>29</v>
      </c>
      <c r="Y3497" t="s">
        <v>29</v>
      </c>
    </row>
    <row r="3498" spans="1:25" x14ac:dyDescent="0.2">
      <c r="A3498" t="s">
        <v>12886</v>
      </c>
      <c r="B3498" t="s">
        <v>12887</v>
      </c>
      <c r="C3498" t="s">
        <v>12888</v>
      </c>
      <c r="D3498" t="s">
        <v>12889</v>
      </c>
      <c r="E3498" t="s">
        <v>12887</v>
      </c>
      <c r="F3498" t="s">
        <v>28</v>
      </c>
      <c r="G3498" t="s">
        <v>12887</v>
      </c>
      <c r="H3498" t="str">
        <f>"png-1"</f>
        <v>png-1</v>
      </c>
      <c r="I3498" t="s">
        <v>12889</v>
      </c>
      <c r="J3498">
        <v>12.834132197464299</v>
      </c>
      <c r="K3498">
        <v>12.085239918338599</v>
      </c>
      <c r="L3498">
        <v>12.5292319105241</v>
      </c>
      <c r="M3498" t="s">
        <v>29</v>
      </c>
      <c r="N3498">
        <v>12.471282133327</v>
      </c>
      <c r="O3498">
        <v>12.2169036504927</v>
      </c>
      <c r="P3498">
        <v>-0.13877511686579599</v>
      </c>
      <c r="Q3498">
        <v>-0.65565269751571698</v>
      </c>
      <c r="R3498">
        <v>0.37810246378412399</v>
      </c>
      <c r="S3498">
        <v>12.446345827639201</v>
      </c>
      <c r="T3498">
        <v>-0.56672702070199898</v>
      </c>
      <c r="U3498">
        <v>-6.8782423195642801</v>
      </c>
      <c r="V3498">
        <v>0.57835171051801204</v>
      </c>
      <c r="W3498">
        <v>0.71771998107870505</v>
      </c>
      <c r="X3498">
        <v>0</v>
      </c>
      <c r="Y3498">
        <v>0</v>
      </c>
    </row>
    <row r="3499" spans="1:25" x14ac:dyDescent="0.2">
      <c r="A3499" t="s">
        <v>12890</v>
      </c>
      <c r="B3499" t="s">
        <v>12891</v>
      </c>
      <c r="C3499" t="s">
        <v>12892</v>
      </c>
      <c r="D3499" t="s">
        <v>12893</v>
      </c>
      <c r="E3499" t="s">
        <v>12891</v>
      </c>
      <c r="F3499" t="s">
        <v>28</v>
      </c>
      <c r="G3499" t="s">
        <v>12891</v>
      </c>
      <c r="H3499" t="str">
        <f>"did-2"</f>
        <v>did-2</v>
      </c>
      <c r="I3499" t="s">
        <v>12893</v>
      </c>
      <c r="J3499">
        <v>13.969615800347601</v>
      </c>
      <c r="K3499">
        <v>13.7969576824601</v>
      </c>
      <c r="L3499">
        <v>14.2448715556775</v>
      </c>
      <c r="M3499">
        <v>14.237695043356499</v>
      </c>
      <c r="N3499">
        <v>15.2762293344396</v>
      </c>
      <c r="O3499">
        <v>15.2836630269903</v>
      </c>
      <c r="P3499">
        <v>0.92871412210038595</v>
      </c>
      <c r="Q3499">
        <v>0.18046224936795299</v>
      </c>
      <c r="R3499">
        <v>1.6769659948328199</v>
      </c>
      <c r="S3499">
        <v>14.5135077408006</v>
      </c>
      <c r="T3499">
        <v>2.6087156897188999</v>
      </c>
      <c r="U3499">
        <v>-4.1327867339633597</v>
      </c>
      <c r="V3499">
        <v>1.7827690289039001E-2</v>
      </c>
      <c r="W3499">
        <v>6.8320160314431597E-2</v>
      </c>
      <c r="X3499">
        <v>0</v>
      </c>
      <c r="Y3499">
        <v>0</v>
      </c>
    </row>
    <row r="3500" spans="1:25" x14ac:dyDescent="0.2">
      <c r="A3500" t="s">
        <v>12894</v>
      </c>
      <c r="B3500" t="s">
        <v>12895</v>
      </c>
      <c r="C3500" t="s">
        <v>14703</v>
      </c>
      <c r="D3500" t="s">
        <v>12896</v>
      </c>
      <c r="E3500" t="s">
        <v>12895</v>
      </c>
      <c r="F3500" t="s">
        <v>28</v>
      </c>
      <c r="G3500" t="s">
        <v>12895</v>
      </c>
      <c r="H3500" t="str">
        <f>"F23C8.5"</f>
        <v>F23C8.5</v>
      </c>
      <c r="I3500" t="s">
        <v>12896</v>
      </c>
      <c r="J3500">
        <v>13.414418194081801</v>
      </c>
      <c r="K3500">
        <v>14.264653313894501</v>
      </c>
      <c r="L3500">
        <v>14.325719668266199</v>
      </c>
      <c r="M3500">
        <v>11.1780842303386</v>
      </c>
      <c r="N3500">
        <v>13.7548947701976</v>
      </c>
      <c r="O3500">
        <v>13.2689255015146</v>
      </c>
      <c r="P3500">
        <v>-1.26762889139724</v>
      </c>
      <c r="Q3500">
        <v>-2.4424957746423601</v>
      </c>
      <c r="R3500">
        <v>-9.2762008152123002E-2</v>
      </c>
      <c r="S3500">
        <v>13.755772171384701</v>
      </c>
      <c r="T3500">
        <v>-2.2677541995013302</v>
      </c>
      <c r="U3500">
        <v>-4.7859315891156902</v>
      </c>
      <c r="V3500">
        <v>3.5967709393726399E-2</v>
      </c>
      <c r="W3500">
        <v>0.110875355212669</v>
      </c>
      <c r="X3500">
        <v>-1</v>
      </c>
      <c r="Y3500">
        <v>0</v>
      </c>
    </row>
    <row r="3501" spans="1:25" x14ac:dyDescent="0.2">
      <c r="A3501" t="s">
        <v>12897</v>
      </c>
      <c r="B3501" t="s">
        <v>12898</v>
      </c>
      <c r="C3501" t="s">
        <v>12899</v>
      </c>
      <c r="D3501" t="s">
        <v>12900</v>
      </c>
      <c r="E3501" t="s">
        <v>12898</v>
      </c>
      <c r="F3501" t="s">
        <v>28</v>
      </c>
      <c r="G3501" t="s">
        <v>12898</v>
      </c>
      <c r="H3501" t="str">
        <f>"vps-34"</f>
        <v>vps-34</v>
      </c>
      <c r="I3501" t="s">
        <v>12900</v>
      </c>
      <c r="J3501">
        <v>13.093689005996399</v>
      </c>
      <c r="K3501">
        <v>13.3464562159034</v>
      </c>
      <c r="L3501">
        <v>12.9764370624302</v>
      </c>
      <c r="M3501" t="s">
        <v>29</v>
      </c>
      <c r="N3501">
        <v>11.935371470014699</v>
      </c>
      <c r="O3501">
        <v>12.868631615663601</v>
      </c>
      <c r="P3501">
        <v>-0.73685921860419501</v>
      </c>
      <c r="Q3501">
        <v>-1.2682980477335499</v>
      </c>
      <c r="R3501">
        <v>-0.20542038947483701</v>
      </c>
      <c r="S3501">
        <v>12.999917355589201</v>
      </c>
      <c r="T3501">
        <v>-2.9267205148503401</v>
      </c>
      <c r="U3501">
        <v>-3.4096343728520102</v>
      </c>
      <c r="V3501">
        <v>9.4592828993401191E-3</v>
      </c>
      <c r="W3501">
        <v>4.41043907449786E-2</v>
      </c>
      <c r="X3501">
        <v>0</v>
      </c>
      <c r="Y3501">
        <v>0</v>
      </c>
    </row>
    <row r="3502" spans="1:25" x14ac:dyDescent="0.2">
      <c r="A3502" t="s">
        <v>12901</v>
      </c>
      <c r="B3502" t="s">
        <v>12902</v>
      </c>
      <c r="C3502" t="s">
        <v>12903</v>
      </c>
      <c r="D3502" t="s">
        <v>12904</v>
      </c>
      <c r="E3502" t="s">
        <v>12902</v>
      </c>
      <c r="F3502" t="s">
        <v>28</v>
      </c>
      <c r="G3502" t="s">
        <v>12902</v>
      </c>
      <c r="H3502" t="str">
        <f>"K02F3.12"</f>
        <v>K02F3.12</v>
      </c>
      <c r="I3502" t="s">
        <v>12904</v>
      </c>
      <c r="J3502">
        <v>11.313463609813599</v>
      </c>
      <c r="K3502" t="s">
        <v>29</v>
      </c>
      <c r="L3502">
        <v>12.5357757272371</v>
      </c>
      <c r="M3502" t="s">
        <v>29</v>
      </c>
      <c r="N3502" t="s">
        <v>29</v>
      </c>
      <c r="O3502" t="s">
        <v>29</v>
      </c>
      <c r="P3502" t="s">
        <v>29</v>
      </c>
      <c r="Q3502" t="s">
        <v>29</v>
      </c>
      <c r="R3502" t="s">
        <v>29</v>
      </c>
      <c r="S3502">
        <v>12.6669901549567</v>
      </c>
      <c r="T3502" t="s">
        <v>29</v>
      </c>
      <c r="U3502" t="s">
        <v>29</v>
      </c>
      <c r="V3502" t="s">
        <v>29</v>
      </c>
      <c r="W3502" t="s">
        <v>29</v>
      </c>
      <c r="X3502" t="s">
        <v>29</v>
      </c>
      <c r="Y3502" t="s">
        <v>29</v>
      </c>
    </row>
    <row r="3503" spans="1:25" x14ac:dyDescent="0.2">
      <c r="A3503" t="s">
        <v>12905</v>
      </c>
      <c r="B3503" t="s">
        <v>12906</v>
      </c>
      <c r="C3503" t="s">
        <v>12907</v>
      </c>
      <c r="D3503" t="s">
        <v>368</v>
      </c>
      <c r="E3503" t="s">
        <v>12906</v>
      </c>
      <c r="F3503" t="s">
        <v>28</v>
      </c>
      <c r="G3503" t="s">
        <v>12906</v>
      </c>
      <c r="H3503" t="str">
        <f>"meg-3"</f>
        <v>meg-3</v>
      </c>
      <c r="I3503" t="s">
        <v>368</v>
      </c>
      <c r="J3503" t="s">
        <v>29</v>
      </c>
      <c r="K3503" t="s">
        <v>29</v>
      </c>
      <c r="L3503">
        <v>11.723996901080101</v>
      </c>
      <c r="M3503" t="s">
        <v>29</v>
      </c>
      <c r="N3503" t="s">
        <v>29</v>
      </c>
      <c r="O3503" t="s">
        <v>29</v>
      </c>
      <c r="P3503" t="s">
        <v>29</v>
      </c>
      <c r="Q3503" t="s">
        <v>29</v>
      </c>
      <c r="R3503" t="s">
        <v>29</v>
      </c>
      <c r="S3503">
        <v>12.119102831435701</v>
      </c>
      <c r="T3503" t="s">
        <v>29</v>
      </c>
      <c r="U3503" t="s">
        <v>29</v>
      </c>
      <c r="V3503" t="s">
        <v>29</v>
      </c>
      <c r="W3503" t="s">
        <v>29</v>
      </c>
      <c r="X3503" t="s">
        <v>29</v>
      </c>
      <c r="Y3503" t="s">
        <v>29</v>
      </c>
    </row>
    <row r="3504" spans="1:25" x14ac:dyDescent="0.2">
      <c r="A3504" t="s">
        <v>12908</v>
      </c>
      <c r="B3504" t="s">
        <v>12909</v>
      </c>
      <c r="C3504" t="s">
        <v>14704</v>
      </c>
      <c r="D3504" t="s">
        <v>368</v>
      </c>
      <c r="E3504" t="s">
        <v>12909</v>
      </c>
      <c r="F3504" t="s">
        <v>28</v>
      </c>
      <c r="G3504" t="s">
        <v>12909</v>
      </c>
      <c r="H3504" t="str">
        <f>"F52D2.7"</f>
        <v>F52D2.7</v>
      </c>
      <c r="I3504" t="s">
        <v>368</v>
      </c>
      <c r="J3504" t="s">
        <v>29</v>
      </c>
      <c r="K3504" t="s">
        <v>29</v>
      </c>
      <c r="L3504" t="s">
        <v>29</v>
      </c>
      <c r="M3504" t="s">
        <v>29</v>
      </c>
      <c r="N3504" t="s">
        <v>29</v>
      </c>
      <c r="O3504" t="s">
        <v>29</v>
      </c>
      <c r="P3504" t="s">
        <v>29</v>
      </c>
      <c r="Q3504" t="s">
        <v>29</v>
      </c>
      <c r="R3504" t="s">
        <v>29</v>
      </c>
      <c r="S3504">
        <v>11.4651013239463</v>
      </c>
      <c r="T3504" t="s">
        <v>29</v>
      </c>
      <c r="U3504" t="s">
        <v>29</v>
      </c>
      <c r="V3504" t="s">
        <v>29</v>
      </c>
      <c r="W3504" t="s">
        <v>29</v>
      </c>
      <c r="X3504" t="s">
        <v>29</v>
      </c>
      <c r="Y3504" t="s">
        <v>29</v>
      </c>
    </row>
    <row r="3505" spans="1:25" x14ac:dyDescent="0.2">
      <c r="A3505" t="s">
        <v>12910</v>
      </c>
      <c r="B3505" t="s">
        <v>12911</v>
      </c>
      <c r="C3505" t="s">
        <v>12912</v>
      </c>
      <c r="D3505" t="s">
        <v>12913</v>
      </c>
      <c r="E3505" t="s">
        <v>12911</v>
      </c>
      <c r="F3505" t="s">
        <v>28</v>
      </c>
      <c r="G3505" t="s">
        <v>12911</v>
      </c>
      <c r="H3505" t="str">
        <f>"rps-27"</f>
        <v>rps-27</v>
      </c>
      <c r="I3505" t="s">
        <v>12913</v>
      </c>
      <c r="J3505">
        <v>16.147292688664301</v>
      </c>
      <c r="K3505">
        <v>16.210269728816399</v>
      </c>
      <c r="L3505">
        <v>16.151647960454</v>
      </c>
      <c r="M3505">
        <v>15.022363241048501</v>
      </c>
      <c r="N3505">
        <v>14.9919407440629</v>
      </c>
      <c r="O3505">
        <v>14.959200355577501</v>
      </c>
      <c r="P3505">
        <v>-1.1785686790819101</v>
      </c>
      <c r="Q3505">
        <v>-1.54852858267795</v>
      </c>
      <c r="R3505">
        <v>-0.80860877548586696</v>
      </c>
      <c r="S3505">
        <v>15.4925436877419</v>
      </c>
      <c r="T3505">
        <v>-6.6956501094513898</v>
      </c>
      <c r="U3505">
        <v>4.5533295199442501</v>
      </c>
      <c r="V3505" s="2">
        <v>2.8853076225946701E-6</v>
      </c>
      <c r="W3505">
        <v>1.05555032805218E-4</v>
      </c>
      <c r="X3505">
        <v>-1</v>
      </c>
      <c r="Y3505">
        <v>-1</v>
      </c>
    </row>
    <row r="3506" spans="1:25" x14ac:dyDescent="0.2">
      <c r="A3506" t="s">
        <v>12914</v>
      </c>
      <c r="B3506" t="s">
        <v>12915</v>
      </c>
      <c r="C3506" t="s">
        <v>12916</v>
      </c>
      <c r="D3506" t="s">
        <v>12917</v>
      </c>
      <c r="E3506" t="s">
        <v>12915</v>
      </c>
      <c r="F3506" t="s">
        <v>28</v>
      </c>
      <c r="G3506" t="s">
        <v>12915</v>
      </c>
      <c r="H3506" t="str">
        <f>"tank-1"</f>
        <v>tank-1</v>
      </c>
      <c r="I3506" t="s">
        <v>12917</v>
      </c>
      <c r="J3506">
        <v>15.132282949302301</v>
      </c>
      <c r="K3506">
        <v>15.608947206814101</v>
      </c>
      <c r="L3506">
        <v>15.2503901272419</v>
      </c>
      <c r="M3506">
        <v>15.3919490481697</v>
      </c>
      <c r="N3506">
        <v>15.160091344261501</v>
      </c>
      <c r="O3506">
        <v>15.0357033411358</v>
      </c>
      <c r="P3506">
        <v>-0.13462551659711999</v>
      </c>
      <c r="Q3506">
        <v>-0.58210507341168805</v>
      </c>
      <c r="R3506">
        <v>0.312854040217447</v>
      </c>
      <c r="S3506">
        <v>15.448826511116</v>
      </c>
      <c r="T3506">
        <v>-0.63233423681521805</v>
      </c>
      <c r="U3506">
        <v>-6.9487890642392802</v>
      </c>
      <c r="V3506">
        <v>0.53516500412538603</v>
      </c>
      <c r="W3506">
        <v>0.68451877914822601</v>
      </c>
      <c r="X3506">
        <v>0</v>
      </c>
      <c r="Y3506">
        <v>0</v>
      </c>
    </row>
    <row r="3507" spans="1:25" x14ac:dyDescent="0.2">
      <c r="A3507" t="s">
        <v>12918</v>
      </c>
      <c r="B3507" t="s">
        <v>12919</v>
      </c>
      <c r="C3507" t="s">
        <v>12920</v>
      </c>
      <c r="D3507" t="s">
        <v>12921</v>
      </c>
      <c r="E3507" t="s">
        <v>12919</v>
      </c>
      <c r="F3507" t="s">
        <v>28</v>
      </c>
      <c r="G3507" t="s">
        <v>12919</v>
      </c>
      <c r="H3507" t="str">
        <f>"msh-2"</f>
        <v>msh-2</v>
      </c>
      <c r="I3507" t="s">
        <v>12921</v>
      </c>
      <c r="J3507">
        <v>13.8962441560298</v>
      </c>
      <c r="K3507">
        <v>13.493606772634701</v>
      </c>
      <c r="L3507">
        <v>13.5505177701707</v>
      </c>
      <c r="M3507">
        <v>13.129721274053599</v>
      </c>
      <c r="N3507">
        <v>13.5158552113528</v>
      </c>
      <c r="O3507">
        <v>13.377290681959501</v>
      </c>
      <c r="P3507">
        <v>-0.30583384382307699</v>
      </c>
      <c r="Q3507">
        <v>-0.63730906957275402</v>
      </c>
      <c r="R3507">
        <v>2.5641381926599701E-2</v>
      </c>
      <c r="S3507">
        <v>13.502568712314</v>
      </c>
      <c r="T3507">
        <v>-1.93921955186555</v>
      </c>
      <c r="U3507">
        <v>-5.3661009690864301</v>
      </c>
      <c r="V3507">
        <v>6.8407297766895706E-2</v>
      </c>
      <c r="W3507">
        <v>0.168334036794175</v>
      </c>
      <c r="X3507">
        <v>0</v>
      </c>
      <c r="Y3507">
        <v>0</v>
      </c>
    </row>
    <row r="3508" spans="1:25" x14ac:dyDescent="0.2">
      <c r="A3508" t="s">
        <v>12922</v>
      </c>
      <c r="B3508" t="s">
        <v>12923</v>
      </c>
      <c r="C3508" t="s">
        <v>14705</v>
      </c>
      <c r="D3508" t="s">
        <v>4432</v>
      </c>
      <c r="E3508" t="s">
        <v>12923</v>
      </c>
      <c r="F3508" t="s">
        <v>28</v>
      </c>
      <c r="G3508" t="s">
        <v>12923</v>
      </c>
      <c r="H3508" t="str">
        <f>"F56B3.11"</f>
        <v>F56B3.11</v>
      </c>
      <c r="I3508" t="s">
        <v>4432</v>
      </c>
      <c r="J3508">
        <v>13.3386249354171</v>
      </c>
      <c r="K3508">
        <v>13.3533722111084</v>
      </c>
      <c r="L3508">
        <v>13.0921889471014</v>
      </c>
      <c r="M3508">
        <v>12.7606311670068</v>
      </c>
      <c r="N3508">
        <v>13.289905815703101</v>
      </c>
      <c r="O3508">
        <v>13.3980989140298</v>
      </c>
      <c r="P3508">
        <v>-0.11185006562906</v>
      </c>
      <c r="Q3508">
        <v>-0.59845658712342498</v>
      </c>
      <c r="R3508">
        <v>0.37475645586530498</v>
      </c>
      <c r="S3508">
        <v>12.743295264120199</v>
      </c>
      <c r="T3508">
        <v>-0.48311534426431901</v>
      </c>
      <c r="U3508">
        <v>-7.0346117687135399</v>
      </c>
      <c r="V3508">
        <v>0.63487162865472202</v>
      </c>
      <c r="W3508">
        <v>0.75716984607262905</v>
      </c>
      <c r="X3508">
        <v>0</v>
      </c>
      <c r="Y3508">
        <v>0</v>
      </c>
    </row>
    <row r="3509" spans="1:25" x14ac:dyDescent="0.2">
      <c r="A3509" t="s">
        <v>12924</v>
      </c>
      <c r="B3509" t="s">
        <v>12925</v>
      </c>
      <c r="C3509" t="s">
        <v>12926</v>
      </c>
      <c r="D3509" t="s">
        <v>2795</v>
      </c>
      <c r="E3509" t="s">
        <v>12925</v>
      </c>
      <c r="F3509" t="s">
        <v>28</v>
      </c>
      <c r="G3509" t="s">
        <v>12925</v>
      </c>
      <c r="H3509" t="str">
        <f>"ugt-13"</f>
        <v>ugt-13</v>
      </c>
      <c r="I3509" t="s">
        <v>2795</v>
      </c>
      <c r="J3509">
        <v>12.907729837642901</v>
      </c>
      <c r="K3509">
        <v>12.558088750909899</v>
      </c>
      <c r="L3509">
        <v>12.692726275729299</v>
      </c>
      <c r="M3509" t="s">
        <v>29</v>
      </c>
      <c r="N3509" t="s">
        <v>29</v>
      </c>
      <c r="O3509">
        <v>11.983792974283</v>
      </c>
      <c r="P3509">
        <v>-0.73572198047769199</v>
      </c>
      <c r="Q3509">
        <v>-1.66915596060771</v>
      </c>
      <c r="R3509">
        <v>0.197711999652329</v>
      </c>
      <c r="S3509">
        <v>12.126918723135599</v>
      </c>
      <c r="T3509">
        <v>-1.6916948119723001</v>
      </c>
      <c r="U3509">
        <v>-5.43611469999931</v>
      </c>
      <c r="V3509">
        <v>0.112998612810793</v>
      </c>
      <c r="W3509">
        <v>0.23617511486057299</v>
      </c>
      <c r="X3509">
        <v>0</v>
      </c>
      <c r="Y3509">
        <v>0</v>
      </c>
    </row>
    <row r="3510" spans="1:25" x14ac:dyDescent="0.2">
      <c r="A3510" t="s">
        <v>12927</v>
      </c>
      <c r="B3510" t="s">
        <v>12928</v>
      </c>
      <c r="C3510" t="s">
        <v>12929</v>
      </c>
      <c r="D3510" t="s">
        <v>12930</v>
      </c>
      <c r="E3510" t="s">
        <v>12928</v>
      </c>
      <c r="F3510" t="s">
        <v>28</v>
      </c>
      <c r="G3510" t="s">
        <v>12928</v>
      </c>
      <c r="H3510" t="str">
        <f>"ykt-6"</f>
        <v>ykt-6</v>
      </c>
      <c r="I3510" t="s">
        <v>12930</v>
      </c>
      <c r="J3510">
        <v>14.0957367898316</v>
      </c>
      <c r="K3510">
        <v>14.127944970915101</v>
      </c>
      <c r="L3510">
        <v>13.775173908783</v>
      </c>
      <c r="M3510" t="s">
        <v>29</v>
      </c>
      <c r="N3510">
        <v>14.6069548685578</v>
      </c>
      <c r="O3510">
        <v>14.716684036618499</v>
      </c>
      <c r="P3510">
        <v>0.66220089607822696</v>
      </c>
      <c r="Q3510">
        <v>6.9444664672080894E-2</v>
      </c>
      <c r="R3510">
        <v>1.25495712748437</v>
      </c>
      <c r="S3510">
        <v>13.687023385092701</v>
      </c>
      <c r="T3510">
        <v>2.35810776845585</v>
      </c>
      <c r="U3510">
        <v>-4.5215692347785401</v>
      </c>
      <c r="V3510">
        <v>3.06881077661539E-2</v>
      </c>
      <c r="W3510">
        <v>9.7770652526330298E-2</v>
      </c>
      <c r="X3510">
        <v>0</v>
      </c>
      <c r="Y3510">
        <v>0</v>
      </c>
    </row>
    <row r="3511" spans="1:25" x14ac:dyDescent="0.2">
      <c r="A3511" t="s">
        <v>12931</v>
      </c>
      <c r="B3511" t="s">
        <v>12932</v>
      </c>
      <c r="C3511" t="s">
        <v>12933</v>
      </c>
      <c r="D3511" t="s">
        <v>12934</v>
      </c>
      <c r="E3511" t="s">
        <v>12932</v>
      </c>
      <c r="F3511" t="s">
        <v>28</v>
      </c>
      <c r="G3511" t="s">
        <v>12932</v>
      </c>
      <c r="H3511" t="str">
        <f>"dpm-1"</f>
        <v>dpm-1</v>
      </c>
      <c r="I3511" t="s">
        <v>12934</v>
      </c>
      <c r="J3511">
        <v>16.208110102704101</v>
      </c>
      <c r="K3511">
        <v>16.145558176487601</v>
      </c>
      <c r="L3511">
        <v>16.136073120875601</v>
      </c>
      <c r="M3511">
        <v>15.6669303103392</v>
      </c>
      <c r="N3511">
        <v>15.5919417720739</v>
      </c>
      <c r="O3511">
        <v>16.146988197188499</v>
      </c>
      <c r="P3511">
        <v>-0.361293706821945</v>
      </c>
      <c r="Q3511">
        <v>-0.73314430289902499</v>
      </c>
      <c r="R3511">
        <v>1.05568892551351E-2</v>
      </c>
      <c r="S3511">
        <v>15.7787347497315</v>
      </c>
      <c r="T3511">
        <v>-2.0421349027492699</v>
      </c>
      <c r="U3511">
        <v>-5.1903039156392703</v>
      </c>
      <c r="V3511">
        <v>5.6159181958571301E-2</v>
      </c>
      <c r="W3511">
        <v>0.14816571999275699</v>
      </c>
      <c r="X3511">
        <v>0</v>
      </c>
      <c r="Y3511">
        <v>0</v>
      </c>
    </row>
    <row r="3512" spans="1:25" x14ac:dyDescent="0.2">
      <c r="A3512" t="s">
        <v>12935</v>
      </c>
      <c r="B3512" t="s">
        <v>12936</v>
      </c>
      <c r="C3512" t="s">
        <v>12937</v>
      </c>
      <c r="D3512" t="s">
        <v>12938</v>
      </c>
      <c r="E3512" t="s">
        <v>12936</v>
      </c>
      <c r="F3512" t="s">
        <v>28</v>
      </c>
      <c r="G3512" t="s">
        <v>12936</v>
      </c>
      <c r="H3512" t="str">
        <f>"Y66H1A.4"</f>
        <v>Y66H1A.4</v>
      </c>
      <c r="I3512" t="s">
        <v>12938</v>
      </c>
      <c r="J3512">
        <v>15.504098689325</v>
      </c>
      <c r="K3512">
        <v>15.3818592462887</v>
      </c>
      <c r="L3512">
        <v>15.732810131729901</v>
      </c>
      <c r="M3512">
        <v>17.409119218370702</v>
      </c>
      <c r="N3512">
        <v>16.638254827888201</v>
      </c>
      <c r="O3512">
        <v>14.982525572042199</v>
      </c>
      <c r="P3512">
        <v>0.80371051698585705</v>
      </c>
      <c r="Q3512">
        <v>-0.111150460455974</v>
      </c>
      <c r="R3512">
        <v>1.71857149442769</v>
      </c>
      <c r="S3512">
        <v>14.970132049293801</v>
      </c>
      <c r="T3512">
        <v>1.8464479126601301</v>
      </c>
      <c r="U3512">
        <v>-5.5194692164158496</v>
      </c>
      <c r="V3512">
        <v>8.1434073202593701E-2</v>
      </c>
      <c r="W3512">
        <v>0.189562570085343</v>
      </c>
      <c r="X3512">
        <v>0</v>
      </c>
      <c r="Y3512">
        <v>0</v>
      </c>
    </row>
    <row r="3513" spans="1:25" x14ac:dyDescent="0.2">
      <c r="A3513" t="s">
        <v>12939</v>
      </c>
      <c r="B3513" t="s">
        <v>12940</v>
      </c>
      <c r="C3513" t="s">
        <v>12941</v>
      </c>
      <c r="D3513" t="s">
        <v>12942</v>
      </c>
      <c r="E3513" t="s">
        <v>12940</v>
      </c>
      <c r="F3513" t="s">
        <v>28</v>
      </c>
      <c r="G3513" t="s">
        <v>12940</v>
      </c>
      <c r="H3513" t="str">
        <f>"copb-1"</f>
        <v>copb-1</v>
      </c>
      <c r="I3513" t="s">
        <v>12942</v>
      </c>
      <c r="J3513">
        <v>16.5579745379681</v>
      </c>
      <c r="K3513">
        <v>16.515620412714501</v>
      </c>
      <c r="L3513">
        <v>16.519562784799199</v>
      </c>
      <c r="M3513">
        <v>15.381682112243899</v>
      </c>
      <c r="N3513">
        <v>16.222456266606301</v>
      </c>
      <c r="O3513">
        <v>16.817230379387802</v>
      </c>
      <c r="P3513">
        <v>-0.39059632574791397</v>
      </c>
      <c r="Q3513">
        <v>-0.91629983644183199</v>
      </c>
      <c r="R3513">
        <v>0.13510718494600299</v>
      </c>
      <c r="S3513">
        <v>16.501407064058501</v>
      </c>
      <c r="T3513">
        <v>-1.5616359187609099</v>
      </c>
      <c r="U3513">
        <v>-5.9569755179964101</v>
      </c>
      <c r="V3513">
        <v>0.135884428248119</v>
      </c>
      <c r="W3513">
        <v>0.272230734226518</v>
      </c>
      <c r="X3513">
        <v>0</v>
      </c>
      <c r="Y3513">
        <v>0</v>
      </c>
    </row>
    <row r="3514" spans="1:25" x14ac:dyDescent="0.2">
      <c r="A3514" t="s">
        <v>12943</v>
      </c>
      <c r="B3514" t="s">
        <v>12944</v>
      </c>
      <c r="C3514" t="s">
        <v>14706</v>
      </c>
      <c r="D3514" t="s">
        <v>4609</v>
      </c>
      <c r="E3514" t="s">
        <v>12944</v>
      </c>
      <c r="F3514" t="s">
        <v>28</v>
      </c>
      <c r="G3514" t="s">
        <v>12944</v>
      </c>
      <c r="H3514" t="str">
        <f>"Y14H12B.2"</f>
        <v>Y14H12B.2</v>
      </c>
      <c r="I3514" t="s">
        <v>4609</v>
      </c>
      <c r="J3514">
        <v>11.799558222114801</v>
      </c>
      <c r="K3514">
        <v>11.3309656013856</v>
      </c>
      <c r="L3514">
        <v>12.4553612079298</v>
      </c>
      <c r="M3514" t="s">
        <v>29</v>
      </c>
      <c r="N3514" t="s">
        <v>29</v>
      </c>
      <c r="O3514">
        <v>10.9517417368869</v>
      </c>
      <c r="P3514">
        <v>-0.91021994025646802</v>
      </c>
      <c r="Q3514">
        <v>-2.0390107347745698</v>
      </c>
      <c r="R3514">
        <v>0.218570854261637</v>
      </c>
      <c r="S3514">
        <v>12.956666121444901</v>
      </c>
      <c r="T3514">
        <v>-1.71033985600226</v>
      </c>
      <c r="U3514">
        <v>-5.4040760905173402</v>
      </c>
      <c r="V3514">
        <v>0.106646513576885</v>
      </c>
      <c r="W3514">
        <v>0.22646694055816</v>
      </c>
      <c r="X3514">
        <v>0</v>
      </c>
      <c r="Y3514">
        <v>0</v>
      </c>
    </row>
    <row r="3515" spans="1:25" x14ac:dyDescent="0.2">
      <c r="A3515" t="s">
        <v>12945</v>
      </c>
      <c r="B3515" t="s">
        <v>12946</v>
      </c>
      <c r="C3515" t="s">
        <v>12947</v>
      </c>
      <c r="D3515" t="s">
        <v>1502</v>
      </c>
      <c r="E3515" t="s">
        <v>12946</v>
      </c>
      <c r="F3515" t="s">
        <v>28</v>
      </c>
      <c r="G3515" t="s">
        <v>12946</v>
      </c>
      <c r="H3515" t="str">
        <f>"mca-2"</f>
        <v>mca-2</v>
      </c>
      <c r="I3515" t="s">
        <v>1502</v>
      </c>
      <c r="J3515">
        <v>16.1163358974852</v>
      </c>
      <c r="K3515">
        <v>15.9268565785075</v>
      </c>
      <c r="L3515">
        <v>15.736162141544099</v>
      </c>
      <c r="M3515">
        <v>15.5168791607166</v>
      </c>
      <c r="N3515">
        <v>15.817739239186899</v>
      </c>
      <c r="O3515">
        <v>16.1260337064064</v>
      </c>
      <c r="P3515">
        <v>-0.106234170408975</v>
      </c>
      <c r="Q3515">
        <v>-0.54033415880437397</v>
      </c>
      <c r="R3515">
        <v>0.327865817986425</v>
      </c>
      <c r="S3515">
        <v>15.934667606399101</v>
      </c>
      <c r="T3515">
        <v>-0.51435974190342104</v>
      </c>
      <c r="U3515">
        <v>-7.0184820970489898</v>
      </c>
      <c r="V3515">
        <v>0.61329436382164204</v>
      </c>
      <c r="W3515">
        <v>0.74224989329871804</v>
      </c>
      <c r="X3515">
        <v>0</v>
      </c>
      <c r="Y3515">
        <v>0</v>
      </c>
    </row>
    <row r="3516" spans="1:25" x14ac:dyDescent="0.2">
      <c r="A3516" t="s">
        <v>12948</v>
      </c>
      <c r="B3516" t="s">
        <v>12949</v>
      </c>
      <c r="C3516" t="s">
        <v>12950</v>
      </c>
      <c r="D3516" t="s">
        <v>12951</v>
      </c>
      <c r="E3516" t="s">
        <v>12949</v>
      </c>
      <c r="F3516" t="s">
        <v>28</v>
      </c>
      <c r="G3516" t="s">
        <v>12949</v>
      </c>
      <c r="H3516" t="str">
        <f>"lin-33"</f>
        <v>lin-33</v>
      </c>
      <c r="I3516" t="s">
        <v>12951</v>
      </c>
      <c r="J3516">
        <v>12.9046610419568</v>
      </c>
      <c r="K3516">
        <v>12.9228947292205</v>
      </c>
      <c r="L3516">
        <v>13.0637156612816</v>
      </c>
      <c r="M3516">
        <v>11.309453113811401</v>
      </c>
      <c r="N3516">
        <v>13.9118962183165</v>
      </c>
      <c r="O3516">
        <v>12.8359140111254</v>
      </c>
      <c r="P3516">
        <v>-0.27800269640185399</v>
      </c>
      <c r="Q3516">
        <v>-1.1592587673627299</v>
      </c>
      <c r="R3516">
        <v>0.60325337455902595</v>
      </c>
      <c r="S3516">
        <v>12.9195236500685</v>
      </c>
      <c r="T3516">
        <v>-0.66303949640636795</v>
      </c>
      <c r="U3516">
        <v>-6.92839674745208</v>
      </c>
      <c r="V3516">
        <v>0.51575586219383396</v>
      </c>
      <c r="W3516">
        <v>0.668690068581271</v>
      </c>
      <c r="X3516">
        <v>0</v>
      </c>
      <c r="Y3516">
        <v>0</v>
      </c>
    </row>
    <row r="3517" spans="1:25" x14ac:dyDescent="0.2">
      <c r="A3517" t="s">
        <v>12952</v>
      </c>
      <c r="B3517" t="s">
        <v>12953</v>
      </c>
      <c r="C3517" t="s">
        <v>14707</v>
      </c>
      <c r="D3517" t="s">
        <v>3246</v>
      </c>
      <c r="E3517" t="s">
        <v>12953</v>
      </c>
      <c r="F3517" t="s">
        <v>28</v>
      </c>
      <c r="G3517" t="s">
        <v>12953</v>
      </c>
      <c r="H3517" t="str">
        <f>"H04M03.3"</f>
        <v>H04M03.3</v>
      </c>
      <c r="I3517" t="s">
        <v>3246</v>
      </c>
      <c r="J3517">
        <v>13.950813407178501</v>
      </c>
      <c r="K3517">
        <v>13.7445034194991</v>
      </c>
      <c r="L3517">
        <v>13.9557642727244</v>
      </c>
      <c r="M3517" t="s">
        <v>29</v>
      </c>
      <c r="N3517">
        <v>13.999067432957</v>
      </c>
      <c r="O3517">
        <v>13.9005924118525</v>
      </c>
      <c r="P3517">
        <v>6.6136222604086498E-2</v>
      </c>
      <c r="Q3517">
        <v>-0.51236259713580701</v>
      </c>
      <c r="R3517">
        <v>0.64463504234397995</v>
      </c>
      <c r="S3517">
        <v>13.997419057867999</v>
      </c>
      <c r="T3517">
        <v>0.24131644694773899</v>
      </c>
      <c r="U3517">
        <v>-7.0149173080519596</v>
      </c>
      <c r="V3517">
        <v>0.812214234002541</v>
      </c>
      <c r="W3517">
        <v>0.88259415472178804</v>
      </c>
      <c r="X3517">
        <v>0</v>
      </c>
      <c r="Y3517">
        <v>0</v>
      </c>
    </row>
    <row r="3518" spans="1:25" x14ac:dyDescent="0.2">
      <c r="A3518" t="s">
        <v>12954</v>
      </c>
      <c r="B3518" t="s">
        <v>12955</v>
      </c>
      <c r="C3518" t="s">
        <v>12956</v>
      </c>
      <c r="D3518" t="s">
        <v>12957</v>
      </c>
      <c r="E3518" t="s">
        <v>12955</v>
      </c>
      <c r="F3518" t="s">
        <v>28</v>
      </c>
      <c r="G3518" t="s">
        <v>12955</v>
      </c>
      <c r="H3518" t="str">
        <f>"shc-1"</f>
        <v>shc-1</v>
      </c>
      <c r="I3518" t="s">
        <v>12957</v>
      </c>
      <c r="J3518">
        <v>13.7129460828533</v>
      </c>
      <c r="K3518">
        <v>13.30601588074</v>
      </c>
      <c r="L3518">
        <v>13.791540204362001</v>
      </c>
      <c r="M3518" t="s">
        <v>29</v>
      </c>
      <c r="N3518">
        <v>10.436250043039299</v>
      </c>
      <c r="O3518">
        <v>12.9663790737184</v>
      </c>
      <c r="P3518">
        <v>-1.9021861642729501</v>
      </c>
      <c r="Q3518">
        <v>-3.39055553177946</v>
      </c>
      <c r="R3518">
        <v>-0.41381679676643401</v>
      </c>
      <c r="S3518">
        <v>13.311862294811499</v>
      </c>
      <c r="T3518">
        <v>-2.7257366970427701</v>
      </c>
      <c r="U3518">
        <v>-3.8588391136998399</v>
      </c>
      <c r="V3518">
        <v>1.5706324631490898E-2</v>
      </c>
      <c r="W3518">
        <v>6.2464964492582598E-2</v>
      </c>
      <c r="X3518">
        <v>-1</v>
      </c>
      <c r="Y3518">
        <v>0</v>
      </c>
    </row>
    <row r="3519" spans="1:25" x14ac:dyDescent="0.2">
      <c r="A3519" t="s">
        <v>12958</v>
      </c>
      <c r="B3519" t="s">
        <v>12959</v>
      </c>
      <c r="C3519" t="s">
        <v>14708</v>
      </c>
      <c r="D3519" t="s">
        <v>93</v>
      </c>
      <c r="E3519" t="s">
        <v>12959</v>
      </c>
      <c r="F3519" t="s">
        <v>28</v>
      </c>
      <c r="G3519" t="s">
        <v>12959</v>
      </c>
      <c r="H3519" t="str">
        <f>"W05F2.6"</f>
        <v>W05F2.6</v>
      </c>
      <c r="I3519" t="s">
        <v>93</v>
      </c>
      <c r="J3519">
        <v>11.8234152245758</v>
      </c>
      <c r="K3519">
        <v>11.887054021047501</v>
      </c>
      <c r="L3519">
        <v>12.2174608896393</v>
      </c>
      <c r="M3519" t="s">
        <v>29</v>
      </c>
      <c r="N3519" t="s">
        <v>29</v>
      </c>
      <c r="O3519">
        <v>12.0904262328624</v>
      </c>
      <c r="P3519">
        <v>0.11444952110821099</v>
      </c>
      <c r="Q3519">
        <v>-0.73144092518568904</v>
      </c>
      <c r="R3519">
        <v>0.96033996740211203</v>
      </c>
      <c r="S3519">
        <v>12.565831923281999</v>
      </c>
      <c r="T3519">
        <v>0.29039675068743698</v>
      </c>
      <c r="U3519">
        <v>-6.7681732730872097</v>
      </c>
      <c r="V3519">
        <v>0.77580167391050503</v>
      </c>
      <c r="W3519">
        <v>0.85812265034690505</v>
      </c>
      <c r="X3519">
        <v>0</v>
      </c>
      <c r="Y3519">
        <v>0</v>
      </c>
    </row>
    <row r="3520" spans="1:25" x14ac:dyDescent="0.2">
      <c r="A3520" t="s">
        <v>12960</v>
      </c>
      <c r="B3520" t="s">
        <v>12961</v>
      </c>
      <c r="C3520" t="s">
        <v>12962</v>
      </c>
      <c r="D3520" t="s">
        <v>12963</v>
      </c>
      <c r="E3520" t="s">
        <v>12961</v>
      </c>
      <c r="F3520" t="s">
        <v>28</v>
      </c>
      <c r="G3520" t="s">
        <v>12961</v>
      </c>
      <c r="H3520" t="str">
        <f>"mys-1"</f>
        <v>mys-1</v>
      </c>
      <c r="I3520" t="s">
        <v>12963</v>
      </c>
      <c r="J3520" t="s">
        <v>29</v>
      </c>
      <c r="K3520" t="s">
        <v>29</v>
      </c>
      <c r="L3520">
        <v>10.1254501223725</v>
      </c>
      <c r="M3520" t="s">
        <v>29</v>
      </c>
      <c r="N3520" t="s">
        <v>29</v>
      </c>
      <c r="O3520" t="s">
        <v>29</v>
      </c>
      <c r="P3520" t="s">
        <v>29</v>
      </c>
      <c r="Q3520" t="s">
        <v>29</v>
      </c>
      <c r="R3520" t="s">
        <v>29</v>
      </c>
      <c r="S3520">
        <v>10.4950088522064</v>
      </c>
      <c r="T3520" t="s">
        <v>29</v>
      </c>
      <c r="U3520" t="s">
        <v>29</v>
      </c>
      <c r="V3520" t="s">
        <v>29</v>
      </c>
      <c r="W3520" t="s">
        <v>29</v>
      </c>
      <c r="X3520" t="s">
        <v>29</v>
      </c>
      <c r="Y3520" t="s">
        <v>29</v>
      </c>
    </row>
    <row r="3521" spans="1:25" x14ac:dyDescent="0.2">
      <c r="A3521" t="s">
        <v>12964</v>
      </c>
      <c r="B3521" t="s">
        <v>12965</v>
      </c>
      <c r="C3521" t="s">
        <v>12966</v>
      </c>
      <c r="D3521" t="s">
        <v>12967</v>
      </c>
      <c r="E3521" t="s">
        <v>12965</v>
      </c>
      <c r="F3521" t="s">
        <v>28</v>
      </c>
      <c r="G3521" t="s">
        <v>12965</v>
      </c>
      <c r="H3521" t="str">
        <f>"gldi-1"</f>
        <v>gldi-1</v>
      </c>
      <c r="I3521" t="s">
        <v>12967</v>
      </c>
      <c r="J3521">
        <v>10.8494743467077</v>
      </c>
      <c r="K3521" t="s">
        <v>29</v>
      </c>
      <c r="L3521" t="s">
        <v>29</v>
      </c>
      <c r="M3521" t="s">
        <v>29</v>
      </c>
      <c r="N3521" t="s">
        <v>29</v>
      </c>
      <c r="O3521">
        <v>11.451220524384</v>
      </c>
      <c r="P3521">
        <v>0.60174617767631</v>
      </c>
      <c r="Q3521">
        <v>-1.02133490626093</v>
      </c>
      <c r="R3521">
        <v>2.2248272616135498</v>
      </c>
      <c r="S3521">
        <v>11.926149649498999</v>
      </c>
      <c r="T3521">
        <v>0.81696004543951195</v>
      </c>
      <c r="U3521">
        <v>-6.2657411967672196</v>
      </c>
      <c r="V3521">
        <v>0.43145301556326998</v>
      </c>
      <c r="W3521">
        <v>0.59694461824645795</v>
      </c>
      <c r="X3521">
        <v>0</v>
      </c>
      <c r="Y3521">
        <v>0</v>
      </c>
    </row>
    <row r="3522" spans="1:25" x14ac:dyDescent="0.2">
      <c r="A3522" t="s">
        <v>12968</v>
      </c>
      <c r="B3522" t="s">
        <v>12969</v>
      </c>
      <c r="C3522" t="s">
        <v>12970</v>
      </c>
      <c r="D3522" t="s">
        <v>12971</v>
      </c>
      <c r="E3522" t="s">
        <v>12969</v>
      </c>
      <c r="F3522" t="s">
        <v>28</v>
      </c>
      <c r="G3522" t="s">
        <v>12969</v>
      </c>
      <c r="H3522" t="str">
        <f>"nsun-1"</f>
        <v>nsun-1</v>
      </c>
      <c r="I3522" t="s">
        <v>12971</v>
      </c>
      <c r="J3522">
        <v>13.599744450737999</v>
      </c>
      <c r="K3522">
        <v>13.347632732583801</v>
      </c>
      <c r="L3522">
        <v>13.4389111767749</v>
      </c>
      <c r="M3522">
        <v>14.0392566702075</v>
      </c>
      <c r="N3522">
        <v>13.302342689903501</v>
      </c>
      <c r="O3522">
        <v>10.843770093771401</v>
      </c>
      <c r="P3522">
        <v>-0.73363963540474197</v>
      </c>
      <c r="Q3522">
        <v>-1.87412468567334</v>
      </c>
      <c r="R3522">
        <v>0.40684541486385301</v>
      </c>
      <c r="S3522">
        <v>13.096208264827601</v>
      </c>
      <c r="T3522">
        <v>-1.35202805266602</v>
      </c>
      <c r="U3522">
        <v>-6.2431608325806804</v>
      </c>
      <c r="V3522">
        <v>0.19320818334606901</v>
      </c>
      <c r="W3522">
        <v>0.35125509951934902</v>
      </c>
      <c r="X3522">
        <v>0</v>
      </c>
      <c r="Y3522">
        <v>0</v>
      </c>
    </row>
    <row r="3523" spans="1:25" x14ac:dyDescent="0.2">
      <c r="A3523" t="s">
        <v>12972</v>
      </c>
      <c r="B3523" t="s">
        <v>12973</v>
      </c>
      <c r="C3523" t="s">
        <v>12974</v>
      </c>
      <c r="D3523" t="s">
        <v>12975</v>
      </c>
      <c r="E3523" t="s">
        <v>12973</v>
      </c>
      <c r="F3523" t="s">
        <v>28</v>
      </c>
      <c r="G3523" t="s">
        <v>12973</v>
      </c>
      <c r="H3523" t="str">
        <f>"dpf-5"</f>
        <v>dpf-5</v>
      </c>
      <c r="I3523" t="s">
        <v>12975</v>
      </c>
      <c r="J3523">
        <v>12.139383491076201</v>
      </c>
      <c r="K3523">
        <v>12.212712411136</v>
      </c>
      <c r="L3523">
        <v>12.9450384084088</v>
      </c>
      <c r="M3523" t="s">
        <v>29</v>
      </c>
      <c r="N3523" t="s">
        <v>29</v>
      </c>
      <c r="O3523">
        <v>13.0475499570222</v>
      </c>
      <c r="P3523">
        <v>0.615171853481845</v>
      </c>
      <c r="Q3523">
        <v>-0.11230857451241601</v>
      </c>
      <c r="R3523">
        <v>1.3426522814761099</v>
      </c>
      <c r="S3523">
        <v>12.700325213612199</v>
      </c>
      <c r="T3523">
        <v>1.80350250047697</v>
      </c>
      <c r="U3523">
        <v>-5.2635031364302796</v>
      </c>
      <c r="V3523">
        <v>9.1570528618587999E-2</v>
      </c>
      <c r="W3523">
        <v>0.20493015133189799</v>
      </c>
      <c r="X3523">
        <v>0</v>
      </c>
      <c r="Y3523">
        <v>0</v>
      </c>
    </row>
    <row r="3524" spans="1:25" x14ac:dyDescent="0.2">
      <c r="A3524" t="s">
        <v>12976</v>
      </c>
      <c r="B3524" t="s">
        <v>12977</v>
      </c>
      <c r="C3524" t="s">
        <v>12978</v>
      </c>
      <c r="D3524" t="s">
        <v>2636</v>
      </c>
      <c r="E3524" t="s">
        <v>12977</v>
      </c>
      <c r="F3524" t="s">
        <v>28</v>
      </c>
      <c r="G3524" t="s">
        <v>12977</v>
      </c>
      <c r="H3524" t="str">
        <f>"set-15"</f>
        <v>set-15</v>
      </c>
      <c r="I3524" t="s">
        <v>2636</v>
      </c>
      <c r="J3524" t="s">
        <v>29</v>
      </c>
      <c r="K3524">
        <v>9.05271890969148</v>
      </c>
      <c r="L3524">
        <v>9.6733477303207192</v>
      </c>
      <c r="M3524" t="s">
        <v>29</v>
      </c>
      <c r="N3524" t="s">
        <v>29</v>
      </c>
      <c r="O3524" t="s">
        <v>29</v>
      </c>
      <c r="P3524" t="s">
        <v>29</v>
      </c>
      <c r="Q3524" t="s">
        <v>29</v>
      </c>
      <c r="R3524" t="s">
        <v>29</v>
      </c>
      <c r="S3524">
        <v>10.456112862824201</v>
      </c>
      <c r="T3524" t="s">
        <v>29</v>
      </c>
      <c r="U3524" t="s">
        <v>29</v>
      </c>
      <c r="V3524" t="s">
        <v>29</v>
      </c>
      <c r="W3524" t="s">
        <v>29</v>
      </c>
      <c r="X3524" t="s">
        <v>29</v>
      </c>
      <c r="Y3524" t="s">
        <v>29</v>
      </c>
    </row>
    <row r="3525" spans="1:25" x14ac:dyDescent="0.2">
      <c r="A3525" t="s">
        <v>12979</v>
      </c>
      <c r="B3525" t="s">
        <v>12980</v>
      </c>
      <c r="C3525" t="s">
        <v>14709</v>
      </c>
      <c r="D3525" t="s">
        <v>12981</v>
      </c>
      <c r="E3525" t="s">
        <v>12980</v>
      </c>
      <c r="F3525" t="s">
        <v>28</v>
      </c>
      <c r="G3525" t="s">
        <v>12980</v>
      </c>
      <c r="H3525" t="str">
        <f>"M57.2"</f>
        <v>M57.2</v>
      </c>
      <c r="I3525" t="s">
        <v>12981</v>
      </c>
      <c r="J3525">
        <v>14.5166041749276</v>
      </c>
      <c r="K3525">
        <v>14.549183960805401</v>
      </c>
      <c r="L3525">
        <v>14.3191186562577</v>
      </c>
      <c r="M3525" t="s">
        <v>29</v>
      </c>
      <c r="N3525">
        <v>13.527290409717599</v>
      </c>
      <c r="O3525">
        <v>14.1468790460235</v>
      </c>
      <c r="P3525">
        <v>-0.62455086945969096</v>
      </c>
      <c r="Q3525">
        <v>-1.0799065046155101</v>
      </c>
      <c r="R3525">
        <v>-0.16919523430386699</v>
      </c>
      <c r="S3525">
        <v>13.9783561178994</v>
      </c>
      <c r="T3525">
        <v>-2.8951236360771002</v>
      </c>
      <c r="U3525">
        <v>-3.4737920617818498</v>
      </c>
      <c r="V3525">
        <v>1.0113431865688E-2</v>
      </c>
      <c r="W3525">
        <v>4.6065353490235598E-2</v>
      </c>
      <c r="X3525">
        <v>0</v>
      </c>
      <c r="Y3525">
        <v>0</v>
      </c>
    </row>
    <row r="3526" spans="1:25" x14ac:dyDescent="0.2">
      <c r="A3526" t="s">
        <v>12982</v>
      </c>
      <c r="B3526" t="s">
        <v>12983</v>
      </c>
      <c r="C3526" t="s">
        <v>14175</v>
      </c>
      <c r="D3526" t="s">
        <v>7751</v>
      </c>
      <c r="E3526" t="s">
        <v>12983</v>
      </c>
      <c r="F3526" t="s">
        <v>28</v>
      </c>
      <c r="G3526" t="s">
        <v>12983</v>
      </c>
      <c r="H3526" t="str">
        <f>"H35B03.1"</f>
        <v>H35B03.1</v>
      </c>
      <c r="I3526" t="s">
        <v>7751</v>
      </c>
      <c r="J3526">
        <v>12.5294164066057</v>
      </c>
      <c r="K3526">
        <v>12.5712014024871</v>
      </c>
      <c r="L3526">
        <v>12.4921529596801</v>
      </c>
      <c r="M3526" t="s">
        <v>29</v>
      </c>
      <c r="N3526" t="s">
        <v>29</v>
      </c>
      <c r="O3526">
        <v>13.0474067745781</v>
      </c>
      <c r="P3526">
        <v>0.51648318498715395</v>
      </c>
      <c r="Q3526">
        <v>-1.73844121857725E-2</v>
      </c>
      <c r="R3526">
        <v>1.0503507821600799</v>
      </c>
      <c r="S3526">
        <v>13.2368847277023</v>
      </c>
      <c r="T3526">
        <v>2.0633087994968702</v>
      </c>
      <c r="U3526">
        <v>-4.8416235241748202</v>
      </c>
      <c r="V3526">
        <v>5.6964671014434497E-2</v>
      </c>
      <c r="W3526">
        <v>0.149487876651414</v>
      </c>
      <c r="X3526">
        <v>0</v>
      </c>
      <c r="Y3526">
        <v>0</v>
      </c>
    </row>
    <row r="3527" spans="1:25" x14ac:dyDescent="0.2">
      <c r="A3527" t="s">
        <v>12984</v>
      </c>
      <c r="B3527" t="s">
        <v>12985</v>
      </c>
      <c r="C3527" t="s">
        <v>12986</v>
      </c>
      <c r="D3527" t="s">
        <v>9775</v>
      </c>
      <c r="E3527" t="s">
        <v>12985</v>
      </c>
      <c r="F3527" t="s">
        <v>28</v>
      </c>
      <c r="G3527" t="s">
        <v>12985</v>
      </c>
      <c r="H3527" t="str">
        <f>"ucr-2.3"</f>
        <v>ucr-2.3</v>
      </c>
      <c r="I3527" t="s">
        <v>9775</v>
      </c>
      <c r="J3527">
        <v>16.0443149807449</v>
      </c>
      <c r="K3527">
        <v>16.141106689488598</v>
      </c>
      <c r="L3527">
        <v>16.173238563960901</v>
      </c>
      <c r="M3527">
        <v>15.6262349907258</v>
      </c>
      <c r="N3527">
        <v>15.712578939528299</v>
      </c>
      <c r="O3527">
        <v>15.617659871559001</v>
      </c>
      <c r="P3527">
        <v>-0.46739547746041599</v>
      </c>
      <c r="Q3527">
        <v>-0.95176290390013196</v>
      </c>
      <c r="R3527">
        <v>1.6971948979299802E-2</v>
      </c>
      <c r="S3527">
        <v>16.3025337032708</v>
      </c>
      <c r="T3527">
        <v>-2.0281594233338498</v>
      </c>
      <c r="U3527">
        <v>-5.21451220366857</v>
      </c>
      <c r="V3527">
        <v>5.7697456935219202E-2</v>
      </c>
      <c r="W3527">
        <v>0.15062814178565601</v>
      </c>
      <c r="X3527">
        <v>0</v>
      </c>
      <c r="Y3527">
        <v>0</v>
      </c>
    </row>
    <row r="3528" spans="1:25" x14ac:dyDescent="0.2">
      <c r="A3528" t="s">
        <v>12987</v>
      </c>
      <c r="B3528" t="s">
        <v>12988</v>
      </c>
      <c r="C3528" t="s">
        <v>14710</v>
      </c>
      <c r="D3528" t="s">
        <v>141</v>
      </c>
      <c r="E3528" t="s">
        <v>12988</v>
      </c>
      <c r="F3528" t="s">
        <v>28</v>
      </c>
      <c r="G3528" t="s">
        <v>12988</v>
      </c>
      <c r="H3528" t="str">
        <f>"K01A2.5"</f>
        <v>K01A2.5</v>
      </c>
      <c r="I3528" t="s">
        <v>141</v>
      </c>
      <c r="J3528">
        <v>12.6381477096462</v>
      </c>
      <c r="K3528">
        <v>12.832321311196299</v>
      </c>
      <c r="L3528">
        <v>11.6897716555386</v>
      </c>
      <c r="M3528" t="s">
        <v>29</v>
      </c>
      <c r="N3528">
        <v>13.491440449556499</v>
      </c>
      <c r="O3528">
        <v>12.4589226316715</v>
      </c>
      <c r="P3528">
        <v>0.58843464848693605</v>
      </c>
      <c r="Q3528">
        <v>-0.46417503187367298</v>
      </c>
      <c r="R3528">
        <v>1.64104432884755</v>
      </c>
      <c r="S3528">
        <v>12.3197543750038</v>
      </c>
      <c r="T3528">
        <v>1.19226414412187</v>
      </c>
      <c r="U3528">
        <v>-6.3266952381189903</v>
      </c>
      <c r="V3528">
        <v>0.25180664478327303</v>
      </c>
      <c r="W3528">
        <v>0.41972521616306901</v>
      </c>
      <c r="X3528">
        <v>0</v>
      </c>
      <c r="Y3528">
        <v>0</v>
      </c>
    </row>
    <row r="3529" spans="1:25" x14ac:dyDescent="0.2">
      <c r="A3529" t="s">
        <v>12989</v>
      </c>
      <c r="B3529" t="s">
        <v>12990</v>
      </c>
      <c r="C3529" t="s">
        <v>12991</v>
      </c>
      <c r="D3529" t="s">
        <v>218</v>
      </c>
      <c r="E3529" t="s">
        <v>12990</v>
      </c>
      <c r="F3529" t="s">
        <v>28</v>
      </c>
      <c r="G3529" t="s">
        <v>12990</v>
      </c>
      <c r="H3529" t="str">
        <f>"ubc-20"</f>
        <v>ubc-20</v>
      </c>
      <c r="I3529" t="s">
        <v>218</v>
      </c>
      <c r="J3529">
        <v>14.6960230039553</v>
      </c>
      <c r="K3529">
        <v>14.4687144823816</v>
      </c>
      <c r="L3529">
        <v>14.359397966056299</v>
      </c>
      <c r="M3529" t="s">
        <v>29</v>
      </c>
      <c r="N3529">
        <v>13.456170798847999</v>
      </c>
      <c r="O3529">
        <v>13.665826584700699</v>
      </c>
      <c r="P3529">
        <v>-0.94704645902342</v>
      </c>
      <c r="Q3529">
        <v>-1.54568668898085</v>
      </c>
      <c r="R3529">
        <v>-0.348406229065992</v>
      </c>
      <c r="S3529">
        <v>14.1795978960872</v>
      </c>
      <c r="T3529">
        <v>-3.33929970197907</v>
      </c>
      <c r="U3529">
        <v>-2.5544874663249302</v>
      </c>
      <c r="V3529">
        <v>3.9126548828054501E-3</v>
      </c>
      <c r="W3529">
        <v>2.36615612034023E-2</v>
      </c>
      <c r="X3529">
        <v>0</v>
      </c>
      <c r="Y3529">
        <v>0</v>
      </c>
    </row>
    <row r="3530" spans="1:25" x14ac:dyDescent="0.2">
      <c r="A3530" t="s">
        <v>12992</v>
      </c>
      <c r="B3530" t="s">
        <v>12993</v>
      </c>
      <c r="C3530" t="s">
        <v>12994</v>
      </c>
      <c r="D3530" t="s">
        <v>12995</v>
      </c>
      <c r="E3530" t="s">
        <v>12993</v>
      </c>
      <c r="F3530" t="s">
        <v>28</v>
      </c>
      <c r="G3530" t="s">
        <v>12993</v>
      </c>
      <c r="H3530" t="str">
        <f>"pat-4"</f>
        <v>pat-4</v>
      </c>
      <c r="I3530" t="s">
        <v>12995</v>
      </c>
      <c r="J3530">
        <v>16.497846885905201</v>
      </c>
      <c r="K3530">
        <v>16.352024771545</v>
      </c>
      <c r="L3530">
        <v>16.243581739788901</v>
      </c>
      <c r="M3530">
        <v>16.3477090096811</v>
      </c>
      <c r="N3530">
        <v>15.9702034247236</v>
      </c>
      <c r="O3530">
        <v>16.315854236318401</v>
      </c>
      <c r="P3530">
        <v>-0.153228908838656</v>
      </c>
      <c r="Q3530">
        <v>-0.482565315553248</v>
      </c>
      <c r="R3530">
        <v>0.17610749787593499</v>
      </c>
      <c r="S3530">
        <v>16.038632851741401</v>
      </c>
      <c r="T3530">
        <v>-0.97789782308588002</v>
      </c>
      <c r="U3530">
        <v>-6.6674776547525401</v>
      </c>
      <c r="V3530">
        <v>0.34116073766163801</v>
      </c>
      <c r="W3530">
        <v>0.51165429714445099</v>
      </c>
      <c r="X3530">
        <v>0</v>
      </c>
      <c r="Y3530">
        <v>0</v>
      </c>
    </row>
    <row r="3531" spans="1:25" x14ac:dyDescent="0.2">
      <c r="A3531" t="s">
        <v>12996</v>
      </c>
      <c r="B3531" t="s">
        <v>12997</v>
      </c>
      <c r="C3531" t="s">
        <v>12998</v>
      </c>
      <c r="D3531" t="s">
        <v>3003</v>
      </c>
      <c r="E3531" t="s">
        <v>12997</v>
      </c>
      <c r="F3531" t="s">
        <v>28</v>
      </c>
      <c r="G3531" t="s">
        <v>12997</v>
      </c>
      <c r="H3531" t="str">
        <f>"haf-4"</f>
        <v>haf-4</v>
      </c>
      <c r="I3531" t="s">
        <v>3003</v>
      </c>
      <c r="J3531">
        <v>17.1140377632724</v>
      </c>
      <c r="K3531">
        <v>17.110441740130099</v>
      </c>
      <c r="L3531">
        <v>16.866737869455498</v>
      </c>
      <c r="M3531">
        <v>16.504960882231199</v>
      </c>
      <c r="N3531">
        <v>16.7495265421271</v>
      </c>
      <c r="O3531">
        <v>16.7485826650856</v>
      </c>
      <c r="P3531">
        <v>-0.362715761138038</v>
      </c>
      <c r="Q3531">
        <v>-0.72564449815934395</v>
      </c>
      <c r="R3531">
        <v>2.1297588326868501E-4</v>
      </c>
      <c r="S3531">
        <v>16.826587940205702</v>
      </c>
      <c r="T3531">
        <v>-2.1005720534040799</v>
      </c>
      <c r="U3531">
        <v>-5.0879766823401802</v>
      </c>
      <c r="V3531">
        <v>5.0120840247582503E-2</v>
      </c>
      <c r="W3531">
        <v>0.13640647309868201</v>
      </c>
      <c r="X3531">
        <v>0</v>
      </c>
      <c r="Y3531">
        <v>0</v>
      </c>
    </row>
    <row r="3532" spans="1:25" x14ac:dyDescent="0.2">
      <c r="A3532" t="s">
        <v>12999</v>
      </c>
      <c r="B3532" t="s">
        <v>13000</v>
      </c>
      <c r="C3532" t="s">
        <v>14711</v>
      </c>
      <c r="D3532" t="s">
        <v>7527</v>
      </c>
      <c r="E3532" t="s">
        <v>13000</v>
      </c>
      <c r="F3532" t="s">
        <v>28</v>
      </c>
      <c r="G3532" t="s">
        <v>13000</v>
      </c>
      <c r="H3532" t="str">
        <f>"T10B11.6"</f>
        <v>T10B11.6</v>
      </c>
      <c r="I3532" t="s">
        <v>7527</v>
      </c>
      <c r="J3532">
        <v>13.1648546814304</v>
      </c>
      <c r="K3532">
        <v>13.065556645204801</v>
      </c>
      <c r="L3532">
        <v>13.177780138344801</v>
      </c>
      <c r="M3532" t="s">
        <v>29</v>
      </c>
      <c r="N3532">
        <v>13.0315696009443</v>
      </c>
      <c r="O3532">
        <v>12.986196051313501</v>
      </c>
      <c r="P3532">
        <v>-0.12718099553110401</v>
      </c>
      <c r="Q3532">
        <v>-0.68414967064158205</v>
      </c>
      <c r="R3532">
        <v>0.42978767957937503</v>
      </c>
      <c r="S3532">
        <v>13.1995292171919</v>
      </c>
      <c r="T3532">
        <v>-0.48199381232157701</v>
      </c>
      <c r="U3532">
        <v>-6.9241943711267098</v>
      </c>
      <c r="V3532">
        <v>0.63599497073495803</v>
      </c>
      <c r="W3532">
        <v>0.75786473052964998</v>
      </c>
      <c r="X3532">
        <v>0</v>
      </c>
      <c r="Y3532">
        <v>0</v>
      </c>
    </row>
    <row r="3533" spans="1:25" x14ac:dyDescent="0.2">
      <c r="A3533" t="s">
        <v>13001</v>
      </c>
      <c r="B3533" t="s">
        <v>13002</v>
      </c>
      <c r="C3533" t="s">
        <v>13003</v>
      </c>
      <c r="D3533" t="s">
        <v>13004</v>
      </c>
      <c r="E3533" t="s">
        <v>13002</v>
      </c>
      <c r="F3533" t="s">
        <v>28</v>
      </c>
      <c r="G3533" t="s">
        <v>13002</v>
      </c>
      <c r="H3533" t="str">
        <f>"cerk-1"</f>
        <v>cerk-1</v>
      </c>
      <c r="I3533" t="s">
        <v>13004</v>
      </c>
      <c r="J3533">
        <v>12.4290623115083</v>
      </c>
      <c r="K3533">
        <v>12.448273930951601</v>
      </c>
      <c r="L3533">
        <v>12.2284566943085</v>
      </c>
      <c r="M3533" t="s">
        <v>29</v>
      </c>
      <c r="N3533">
        <v>12.320709007528601</v>
      </c>
      <c r="O3533">
        <v>12.0407072261614</v>
      </c>
      <c r="P3533">
        <v>-0.18788952874448001</v>
      </c>
      <c r="Q3533">
        <v>-0.61154074186374296</v>
      </c>
      <c r="R3533">
        <v>0.23576168437478401</v>
      </c>
      <c r="S3533">
        <v>12.1729828808606</v>
      </c>
      <c r="T3533">
        <v>-0.93614718552370402</v>
      </c>
      <c r="U3533">
        <v>-6.5964431098917498</v>
      </c>
      <c r="V3533">
        <v>0.36238690632373199</v>
      </c>
      <c r="W3533">
        <v>0.53132050394827701</v>
      </c>
      <c r="X3533">
        <v>0</v>
      </c>
      <c r="Y3533">
        <v>0</v>
      </c>
    </row>
    <row r="3534" spans="1:25" x14ac:dyDescent="0.2">
      <c r="A3534" t="s">
        <v>13005</v>
      </c>
      <c r="B3534" t="s">
        <v>13006</v>
      </c>
      <c r="C3534" t="s">
        <v>13007</v>
      </c>
      <c r="D3534" t="s">
        <v>93</v>
      </c>
      <c r="E3534" t="s">
        <v>13006</v>
      </c>
      <c r="F3534" t="s">
        <v>28</v>
      </c>
      <c r="G3534" t="s">
        <v>13006</v>
      </c>
      <c r="H3534" t="str">
        <f>"ztf-4"</f>
        <v>ztf-4</v>
      </c>
      <c r="I3534" t="s">
        <v>93</v>
      </c>
      <c r="J3534">
        <v>12.1839590596198</v>
      </c>
      <c r="K3534">
        <v>12.127102002457001</v>
      </c>
      <c r="L3534">
        <v>11.4253955125453</v>
      </c>
      <c r="M3534">
        <v>11.9377728279254</v>
      </c>
      <c r="N3534" t="s">
        <v>29</v>
      </c>
      <c r="O3534">
        <v>11.893737875608601</v>
      </c>
      <c r="P3534">
        <v>3.60316022627494E-3</v>
      </c>
      <c r="Q3534">
        <v>-0.69116612493184704</v>
      </c>
      <c r="R3534">
        <v>0.69837244538439702</v>
      </c>
      <c r="S3534">
        <v>12.2753150729589</v>
      </c>
      <c r="T3534">
        <v>1.1060749841747101E-2</v>
      </c>
      <c r="U3534">
        <v>-7.0454102065178299</v>
      </c>
      <c r="V3534">
        <v>0.99132176523920701</v>
      </c>
      <c r="W3534">
        <v>0.99505387528767097</v>
      </c>
      <c r="X3534">
        <v>0</v>
      </c>
      <c r="Y3534">
        <v>0</v>
      </c>
    </row>
    <row r="3535" spans="1:25" x14ac:dyDescent="0.2">
      <c r="A3535" t="s">
        <v>13008</v>
      </c>
      <c r="B3535" t="s">
        <v>13009</v>
      </c>
      <c r="C3535" t="s">
        <v>13010</v>
      </c>
      <c r="D3535" t="s">
        <v>13011</v>
      </c>
      <c r="E3535" t="s">
        <v>13009</v>
      </c>
      <c r="F3535" t="s">
        <v>28</v>
      </c>
      <c r="G3535" t="s">
        <v>13009</v>
      </c>
      <c r="H3535" t="str">
        <f>"gbas-1"</f>
        <v>gbas-1</v>
      </c>
      <c r="I3535" t="s">
        <v>13011</v>
      </c>
      <c r="J3535" t="s">
        <v>29</v>
      </c>
      <c r="K3535">
        <v>10.912454208656801</v>
      </c>
      <c r="L3535" t="s">
        <v>29</v>
      </c>
      <c r="M3535" t="s">
        <v>29</v>
      </c>
      <c r="N3535" t="s">
        <v>29</v>
      </c>
      <c r="O3535">
        <v>10.4722760737192</v>
      </c>
      <c r="P3535">
        <v>-0.44017813493760399</v>
      </c>
      <c r="Q3535">
        <v>-2.4825469340465398</v>
      </c>
      <c r="R3535">
        <v>1.6021906641713299</v>
      </c>
      <c r="S3535">
        <v>12.345709502490401</v>
      </c>
      <c r="T3535">
        <v>-0.47492167632438897</v>
      </c>
      <c r="U3535">
        <v>-6.4932292690784399</v>
      </c>
      <c r="V3535">
        <v>0.64422039239485895</v>
      </c>
      <c r="W3535">
        <v>0.76429850901274099</v>
      </c>
      <c r="X3535">
        <v>0</v>
      </c>
      <c r="Y3535">
        <v>0</v>
      </c>
    </row>
    <row r="3536" spans="1:25" x14ac:dyDescent="0.2">
      <c r="A3536" t="s">
        <v>13012</v>
      </c>
      <c r="B3536" t="s">
        <v>13013</v>
      </c>
      <c r="C3536" t="s">
        <v>13014</v>
      </c>
      <c r="D3536" t="s">
        <v>2180</v>
      </c>
      <c r="E3536" t="s">
        <v>13013</v>
      </c>
      <c r="F3536" t="s">
        <v>28</v>
      </c>
      <c r="G3536" t="s">
        <v>13013</v>
      </c>
      <c r="H3536" t="str">
        <f>"spe-15"</f>
        <v>spe-15</v>
      </c>
      <c r="I3536" t="s">
        <v>2180</v>
      </c>
      <c r="J3536">
        <v>14.035528347405901</v>
      </c>
      <c r="K3536">
        <v>13.6732806535506</v>
      </c>
      <c r="L3536">
        <v>14.2324370395049</v>
      </c>
      <c r="M3536" t="s">
        <v>29</v>
      </c>
      <c r="N3536">
        <v>14.9212572503631</v>
      </c>
      <c r="O3536">
        <v>14.4442659521208</v>
      </c>
      <c r="P3536">
        <v>0.70234625442149601</v>
      </c>
      <c r="Q3536">
        <v>3.1758931396630101E-2</v>
      </c>
      <c r="R3536">
        <v>1.37293357744636</v>
      </c>
      <c r="S3536">
        <v>13.837964225963299</v>
      </c>
      <c r="T3536">
        <v>2.2337652856002799</v>
      </c>
      <c r="U3536">
        <v>-4.7690265576940201</v>
      </c>
      <c r="V3536">
        <v>4.1266182283438702E-2</v>
      </c>
      <c r="W3536">
        <v>0.120169406313531</v>
      </c>
      <c r="X3536">
        <v>0</v>
      </c>
      <c r="Y3536">
        <v>0</v>
      </c>
    </row>
    <row r="3537" spans="1:25" x14ac:dyDescent="0.2">
      <c r="A3537" t="s">
        <v>13015</v>
      </c>
      <c r="B3537" t="s">
        <v>13016</v>
      </c>
      <c r="C3537" t="s">
        <v>13017</v>
      </c>
      <c r="D3537" t="s">
        <v>13018</v>
      </c>
      <c r="E3537" t="s">
        <v>13016</v>
      </c>
      <c r="F3537" t="s">
        <v>28</v>
      </c>
      <c r="G3537" t="s">
        <v>13016</v>
      </c>
      <c r="H3537" t="str">
        <f>"pfk-1.1"</f>
        <v>pfk-1.1</v>
      </c>
      <c r="I3537" t="s">
        <v>13018</v>
      </c>
      <c r="J3537">
        <v>15.4771973687758</v>
      </c>
      <c r="K3537">
        <v>15.341122475232901</v>
      </c>
      <c r="L3537">
        <v>15.213622838091799</v>
      </c>
      <c r="M3537">
        <v>14.708289401250999</v>
      </c>
      <c r="N3537">
        <v>15.157475644212701</v>
      </c>
      <c r="O3537">
        <v>15.086489290709601</v>
      </c>
      <c r="P3537">
        <v>-0.359896115309086</v>
      </c>
      <c r="Q3537">
        <v>-0.75285781434969601</v>
      </c>
      <c r="R3537">
        <v>3.3065583731524698E-2</v>
      </c>
      <c r="S3537">
        <v>15.0852237584874</v>
      </c>
      <c r="T3537">
        <v>-1.9249499817664499</v>
      </c>
      <c r="U3537">
        <v>-5.3900138122741499</v>
      </c>
      <c r="V3537">
        <v>7.0281947049668794E-2</v>
      </c>
      <c r="W3537">
        <v>0.17131587920212901</v>
      </c>
      <c r="X3537">
        <v>0</v>
      </c>
      <c r="Y3537">
        <v>0</v>
      </c>
    </row>
    <row r="3538" spans="1:25" x14ac:dyDescent="0.2">
      <c r="A3538" t="s">
        <v>13019</v>
      </c>
      <c r="B3538" t="s">
        <v>13020</v>
      </c>
      <c r="C3538" t="s">
        <v>13021</v>
      </c>
      <c r="D3538" t="s">
        <v>13022</v>
      </c>
      <c r="E3538" t="s">
        <v>13020</v>
      </c>
      <c r="F3538" t="s">
        <v>28</v>
      </c>
      <c r="G3538" t="s">
        <v>13020</v>
      </c>
      <c r="H3538" t="str">
        <f>"fard-1"</f>
        <v>fard-1</v>
      </c>
      <c r="I3538" t="s">
        <v>13022</v>
      </c>
      <c r="J3538">
        <v>15.8758409545625</v>
      </c>
      <c r="K3538">
        <v>15.8648039166986</v>
      </c>
      <c r="L3538">
        <v>15.800468677319399</v>
      </c>
      <c r="M3538">
        <v>14.954355379591799</v>
      </c>
      <c r="N3538">
        <v>15.387106020932499</v>
      </c>
      <c r="O3538">
        <v>15.5290064416183</v>
      </c>
      <c r="P3538">
        <v>-0.55688190214598299</v>
      </c>
      <c r="Q3538">
        <v>-0.93002984810724398</v>
      </c>
      <c r="R3538">
        <v>-0.18373395618472299</v>
      </c>
      <c r="S3538">
        <v>15.657488053481799</v>
      </c>
      <c r="T3538">
        <v>-3.1367113976318302</v>
      </c>
      <c r="U3538">
        <v>-3.04792556961586</v>
      </c>
      <c r="V3538">
        <v>5.7326056704397098E-3</v>
      </c>
      <c r="W3538">
        <v>3.08284469174924E-2</v>
      </c>
      <c r="X3538">
        <v>0</v>
      </c>
      <c r="Y3538">
        <v>0</v>
      </c>
    </row>
    <row r="3539" spans="1:25" x14ac:dyDescent="0.2">
      <c r="A3539" t="s">
        <v>13023</v>
      </c>
      <c r="B3539" t="s">
        <v>13024</v>
      </c>
      <c r="C3539" t="s">
        <v>13025</v>
      </c>
      <c r="D3539" t="s">
        <v>13026</v>
      </c>
      <c r="E3539" t="s">
        <v>13024</v>
      </c>
      <c r="F3539" t="s">
        <v>28</v>
      </c>
      <c r="G3539" t="s">
        <v>13024</v>
      </c>
      <c r="H3539" t="str">
        <f>"mop-25.3"</f>
        <v>mop-25.3</v>
      </c>
      <c r="I3539" t="s">
        <v>13026</v>
      </c>
      <c r="J3539" t="s">
        <v>29</v>
      </c>
      <c r="K3539" t="s">
        <v>29</v>
      </c>
      <c r="L3539">
        <v>10.060936787008</v>
      </c>
      <c r="M3539" t="s">
        <v>29</v>
      </c>
      <c r="N3539" t="s">
        <v>29</v>
      </c>
      <c r="O3539" t="s">
        <v>29</v>
      </c>
      <c r="P3539" t="s">
        <v>29</v>
      </c>
      <c r="Q3539" t="s">
        <v>29</v>
      </c>
      <c r="R3539" t="s">
        <v>29</v>
      </c>
      <c r="S3539">
        <v>10.648356239389599</v>
      </c>
      <c r="T3539" t="s">
        <v>29</v>
      </c>
      <c r="U3539" t="s">
        <v>29</v>
      </c>
      <c r="V3539" t="s">
        <v>29</v>
      </c>
      <c r="W3539" t="s">
        <v>29</v>
      </c>
      <c r="X3539" t="s">
        <v>29</v>
      </c>
      <c r="Y3539" t="s">
        <v>29</v>
      </c>
    </row>
    <row r="3540" spans="1:25" x14ac:dyDescent="0.2">
      <c r="A3540" t="s">
        <v>13027</v>
      </c>
      <c r="B3540" t="s">
        <v>13028</v>
      </c>
      <c r="C3540" t="s">
        <v>13029</v>
      </c>
      <c r="D3540" t="s">
        <v>13030</v>
      </c>
      <c r="E3540" t="s">
        <v>13028</v>
      </c>
      <c r="F3540" t="s">
        <v>28</v>
      </c>
      <c r="G3540" t="s">
        <v>13028</v>
      </c>
      <c r="H3540" t="str">
        <f>"lrk-1"</f>
        <v>lrk-1</v>
      </c>
      <c r="I3540" t="s">
        <v>13030</v>
      </c>
      <c r="J3540" t="s">
        <v>29</v>
      </c>
      <c r="K3540">
        <v>10.757384880088701</v>
      </c>
      <c r="L3540">
        <v>13.252925450373599</v>
      </c>
      <c r="M3540" t="s">
        <v>29</v>
      </c>
      <c r="N3540" t="s">
        <v>29</v>
      </c>
      <c r="O3540">
        <v>12.5285104564141</v>
      </c>
      <c r="P3540">
        <v>0.52335529118296797</v>
      </c>
      <c r="Q3540">
        <v>-0.83701132147771296</v>
      </c>
      <c r="R3540">
        <v>1.8837219038436499</v>
      </c>
      <c r="S3540">
        <v>11.886795160323899</v>
      </c>
      <c r="T3540">
        <v>0.82571951260910104</v>
      </c>
      <c r="U3540">
        <v>-6.4026558742486799</v>
      </c>
      <c r="V3540">
        <v>0.42291443505097198</v>
      </c>
      <c r="W3540">
        <v>0.58855027911693703</v>
      </c>
      <c r="X3540">
        <v>0</v>
      </c>
      <c r="Y3540">
        <v>0</v>
      </c>
    </row>
    <row r="3541" spans="1:25" x14ac:dyDescent="0.2">
      <c r="A3541" t="s">
        <v>13031</v>
      </c>
      <c r="B3541" t="s">
        <v>13032</v>
      </c>
      <c r="C3541" t="s">
        <v>13033</v>
      </c>
      <c r="D3541" t="s">
        <v>6042</v>
      </c>
      <c r="E3541" t="s">
        <v>13032</v>
      </c>
      <c r="F3541" t="s">
        <v>28</v>
      </c>
      <c r="G3541" t="s">
        <v>13032</v>
      </c>
      <c r="H3541" t="str">
        <f>"tag-343"</f>
        <v>tag-343</v>
      </c>
      <c r="I3541" t="s">
        <v>6042</v>
      </c>
      <c r="J3541" t="s">
        <v>29</v>
      </c>
      <c r="K3541">
        <v>12.620420862134001</v>
      </c>
      <c r="L3541">
        <v>12.2027387156882</v>
      </c>
      <c r="M3541" t="s">
        <v>29</v>
      </c>
      <c r="N3541">
        <v>12.344256016653199</v>
      </c>
      <c r="O3541">
        <v>12.2788712202049</v>
      </c>
      <c r="P3541">
        <v>-0.100016170482016</v>
      </c>
      <c r="Q3541">
        <v>-0.78531904600329805</v>
      </c>
      <c r="R3541">
        <v>0.58528670503926605</v>
      </c>
      <c r="S3541">
        <v>12.137896808212499</v>
      </c>
      <c r="T3541">
        <v>-0.30955455402057203</v>
      </c>
      <c r="U3541">
        <v>-6.9047384672981504</v>
      </c>
      <c r="V3541">
        <v>0.76092085367987805</v>
      </c>
      <c r="W3541">
        <v>0.84844258637707104</v>
      </c>
      <c r="X3541">
        <v>0</v>
      </c>
      <c r="Y3541">
        <v>0</v>
      </c>
    </row>
    <row r="3542" spans="1:25" x14ac:dyDescent="0.2">
      <c r="A3542" t="s">
        <v>13034</v>
      </c>
      <c r="B3542" t="s">
        <v>13035</v>
      </c>
      <c r="C3542" t="s">
        <v>13036</v>
      </c>
      <c r="D3542" t="s">
        <v>13037</v>
      </c>
      <c r="E3542" t="s">
        <v>13035</v>
      </c>
      <c r="F3542" t="s">
        <v>28</v>
      </c>
      <c r="G3542" t="s">
        <v>13035</v>
      </c>
      <c r="H3542" t="str">
        <f>"pgl-1"</f>
        <v>pgl-1</v>
      </c>
      <c r="I3542" t="s">
        <v>13037</v>
      </c>
      <c r="J3542">
        <v>12.596097542499599</v>
      </c>
      <c r="K3542">
        <v>13.668194039158401</v>
      </c>
      <c r="L3542">
        <v>12.319694074389901</v>
      </c>
      <c r="M3542">
        <v>14.2689411556109</v>
      </c>
      <c r="N3542">
        <v>14.019026437009501</v>
      </c>
      <c r="O3542">
        <v>14.813980922727501</v>
      </c>
      <c r="P3542">
        <v>1.5059876197666799</v>
      </c>
      <c r="Q3542">
        <v>0.65759494935819096</v>
      </c>
      <c r="R3542">
        <v>2.35438029017517</v>
      </c>
      <c r="S3542">
        <v>14.2182870855874</v>
      </c>
      <c r="T3542">
        <v>3.73092919386692</v>
      </c>
      <c r="U3542">
        <v>-1.76381224503161</v>
      </c>
      <c r="V3542">
        <v>1.54251337703498E-3</v>
      </c>
      <c r="W3542">
        <v>1.2354126791241E-2</v>
      </c>
      <c r="X3542">
        <v>1</v>
      </c>
      <c r="Y3542">
        <v>1</v>
      </c>
    </row>
    <row r="3543" spans="1:25" x14ac:dyDescent="0.2">
      <c r="A3543" t="s">
        <v>13038</v>
      </c>
      <c r="B3543" t="s">
        <v>13039</v>
      </c>
      <c r="C3543" t="s">
        <v>13040</v>
      </c>
      <c r="D3543" t="s">
        <v>13041</v>
      </c>
      <c r="E3543" t="s">
        <v>13039</v>
      </c>
      <c r="F3543" t="s">
        <v>28</v>
      </c>
      <c r="G3543" t="s">
        <v>13039</v>
      </c>
      <c r="H3543" t="str">
        <f>"cct-7"</f>
        <v>cct-7</v>
      </c>
      <c r="I3543" t="s">
        <v>13041</v>
      </c>
      <c r="J3543">
        <v>16.004615855463101</v>
      </c>
      <c r="K3543">
        <v>15.7190936494179</v>
      </c>
      <c r="L3543">
        <v>15.988008821128799</v>
      </c>
      <c r="M3543">
        <v>16.2197695362938</v>
      </c>
      <c r="N3543">
        <v>15.9231046128189</v>
      </c>
      <c r="O3543">
        <v>15.843818163074999</v>
      </c>
      <c r="P3543">
        <v>9.1657995392619498E-2</v>
      </c>
      <c r="Q3543">
        <v>-0.28373160158810001</v>
      </c>
      <c r="R3543">
        <v>0.46704759237333898</v>
      </c>
      <c r="S3543">
        <v>16.034707330343199</v>
      </c>
      <c r="T3543">
        <v>0.51319289479348396</v>
      </c>
      <c r="U3543">
        <v>-7.0191021211643401</v>
      </c>
      <c r="V3543">
        <v>0.61409384701937697</v>
      </c>
      <c r="W3543">
        <v>0.74291238389413095</v>
      </c>
      <c r="X3543">
        <v>0</v>
      </c>
      <c r="Y3543">
        <v>0</v>
      </c>
    </row>
    <row r="3544" spans="1:25" x14ac:dyDescent="0.2">
      <c r="A3544" t="s">
        <v>13042</v>
      </c>
      <c r="B3544" t="s">
        <v>13043</v>
      </c>
      <c r="C3544" t="s">
        <v>14712</v>
      </c>
      <c r="D3544" t="s">
        <v>13044</v>
      </c>
      <c r="E3544" t="s">
        <v>13043</v>
      </c>
      <c r="F3544" t="s">
        <v>28</v>
      </c>
      <c r="G3544" t="s">
        <v>13043</v>
      </c>
      <c r="H3544" t="str">
        <f>"Y87G2A.13"</f>
        <v>Y87G2A.13</v>
      </c>
      <c r="I3544" t="s">
        <v>13044</v>
      </c>
      <c r="J3544">
        <v>12.827639054694099</v>
      </c>
      <c r="K3544">
        <v>12.9954515631507</v>
      </c>
      <c r="L3544">
        <v>13.7507316853136</v>
      </c>
      <c r="M3544" t="s">
        <v>29</v>
      </c>
      <c r="N3544">
        <v>13.7119392040522</v>
      </c>
      <c r="O3544">
        <v>13.206785126096699</v>
      </c>
      <c r="P3544">
        <v>0.26808806402167201</v>
      </c>
      <c r="Q3544">
        <v>-0.52462887665619296</v>
      </c>
      <c r="R3544">
        <v>1.0608050046995401</v>
      </c>
      <c r="S3544">
        <v>14.2215482071107</v>
      </c>
      <c r="T3544">
        <v>0.71385392590623697</v>
      </c>
      <c r="U3544">
        <v>-6.7815982576910399</v>
      </c>
      <c r="V3544">
        <v>0.48506329006266602</v>
      </c>
      <c r="W3544">
        <v>0.64294827516511799</v>
      </c>
      <c r="X3544">
        <v>0</v>
      </c>
      <c r="Y3544">
        <v>0</v>
      </c>
    </row>
    <row r="3545" spans="1:25" x14ac:dyDescent="0.2">
      <c r="A3545" t="s">
        <v>13045</v>
      </c>
      <c r="B3545" t="s">
        <v>13046</v>
      </c>
      <c r="C3545" t="s">
        <v>13047</v>
      </c>
      <c r="D3545" t="s">
        <v>13048</v>
      </c>
      <c r="E3545" t="s">
        <v>13046</v>
      </c>
      <c r="F3545" t="s">
        <v>28</v>
      </c>
      <c r="G3545" t="s">
        <v>13046</v>
      </c>
      <c r="H3545" t="str">
        <f>"ubc-14"</f>
        <v>ubc-14</v>
      </c>
      <c r="I3545" t="s">
        <v>13048</v>
      </c>
      <c r="J3545">
        <v>11.5034380931719</v>
      </c>
      <c r="K3545">
        <v>11.6112148430713</v>
      </c>
      <c r="L3545">
        <v>11.9443007727391</v>
      </c>
      <c r="M3545" t="s">
        <v>29</v>
      </c>
      <c r="N3545" t="s">
        <v>29</v>
      </c>
      <c r="O3545">
        <v>11.549174168338499</v>
      </c>
      <c r="P3545">
        <v>-0.13714373465555399</v>
      </c>
      <c r="Q3545">
        <v>-1.21357660489115</v>
      </c>
      <c r="R3545">
        <v>0.93928913558004301</v>
      </c>
      <c r="S3545">
        <v>12.037756964426601</v>
      </c>
      <c r="T3545">
        <v>-0.27547124084188002</v>
      </c>
      <c r="U3545">
        <v>-6.7724204413206497</v>
      </c>
      <c r="V3545">
        <v>0.78731898961841795</v>
      </c>
      <c r="W3545">
        <v>0.86608027712037206</v>
      </c>
      <c r="X3545">
        <v>0</v>
      </c>
      <c r="Y3545">
        <v>0</v>
      </c>
    </row>
    <row r="3546" spans="1:25" x14ac:dyDescent="0.2">
      <c r="A3546" t="s">
        <v>13049</v>
      </c>
      <c r="B3546" t="s">
        <v>13050</v>
      </c>
      <c r="C3546" t="s">
        <v>13051</v>
      </c>
      <c r="D3546" t="s">
        <v>13052</v>
      </c>
      <c r="E3546" t="s">
        <v>13050</v>
      </c>
      <c r="F3546" t="s">
        <v>28</v>
      </c>
      <c r="G3546" t="s">
        <v>13050</v>
      </c>
      <c r="H3546" t="str">
        <f>"cyn-15"</f>
        <v>cyn-15</v>
      </c>
      <c r="I3546" t="s">
        <v>13052</v>
      </c>
      <c r="J3546">
        <v>11.9818046738067</v>
      </c>
      <c r="K3546">
        <v>12.3810337486596</v>
      </c>
      <c r="L3546">
        <v>11.7580279320314</v>
      </c>
      <c r="M3546" t="s">
        <v>29</v>
      </c>
      <c r="N3546" t="s">
        <v>29</v>
      </c>
      <c r="O3546">
        <v>12.5286035522291</v>
      </c>
      <c r="P3546">
        <v>0.48831476739651197</v>
      </c>
      <c r="Q3546">
        <v>-0.42245896951383399</v>
      </c>
      <c r="R3546">
        <v>1.3990885043068599</v>
      </c>
      <c r="S3546">
        <v>12.5591787937033</v>
      </c>
      <c r="T3546">
        <v>1.1372053370828601</v>
      </c>
      <c r="U3546">
        <v>-6.1600748619319603</v>
      </c>
      <c r="V3546">
        <v>0.27230582548853299</v>
      </c>
      <c r="W3546">
        <v>0.43971795491216897</v>
      </c>
      <c r="X3546">
        <v>0</v>
      </c>
      <c r="Y3546">
        <v>0</v>
      </c>
    </row>
    <row r="3547" spans="1:25" x14ac:dyDescent="0.2">
      <c r="A3547" t="s">
        <v>13053</v>
      </c>
      <c r="B3547" t="s">
        <v>13054</v>
      </c>
      <c r="C3547" t="s">
        <v>13055</v>
      </c>
      <c r="D3547" t="s">
        <v>13056</v>
      </c>
      <c r="E3547" t="s">
        <v>13054</v>
      </c>
      <c r="F3547" t="s">
        <v>28</v>
      </c>
      <c r="G3547" t="s">
        <v>13054</v>
      </c>
      <c r="H3547" t="str">
        <f>"glp-4"</f>
        <v>glp-4</v>
      </c>
      <c r="I3547" t="s">
        <v>13056</v>
      </c>
      <c r="J3547">
        <v>16.859729161869499</v>
      </c>
      <c r="K3547">
        <v>16.546230517861598</v>
      </c>
      <c r="L3547">
        <v>16.7748933702219</v>
      </c>
      <c r="M3547">
        <v>16.401129341605301</v>
      </c>
      <c r="N3547">
        <v>16.8022041301437</v>
      </c>
      <c r="O3547">
        <v>16.598615377089299</v>
      </c>
      <c r="P3547">
        <v>-0.126301400371577</v>
      </c>
      <c r="Q3547">
        <v>-0.45540186920499398</v>
      </c>
      <c r="R3547">
        <v>0.20279906846183901</v>
      </c>
      <c r="S3547">
        <v>16.516315612238198</v>
      </c>
      <c r="T3547">
        <v>-0.80662592845257997</v>
      </c>
      <c r="U3547">
        <v>-6.8209449675185398</v>
      </c>
      <c r="V3547">
        <v>0.430472408612882</v>
      </c>
      <c r="W3547">
        <v>0.59614764482244498</v>
      </c>
      <c r="X3547">
        <v>0</v>
      </c>
      <c r="Y3547">
        <v>0</v>
      </c>
    </row>
    <row r="3548" spans="1:25" x14ac:dyDescent="0.2">
      <c r="A3548" t="s">
        <v>13057</v>
      </c>
      <c r="B3548" t="s">
        <v>13058</v>
      </c>
      <c r="C3548" t="s">
        <v>14713</v>
      </c>
      <c r="D3548" t="s">
        <v>11478</v>
      </c>
      <c r="E3548" t="s">
        <v>13058</v>
      </c>
      <c r="F3548" t="s">
        <v>28</v>
      </c>
      <c r="G3548" t="s">
        <v>13058</v>
      </c>
      <c r="H3548" t="str">
        <f>"Y87G2A.2"</f>
        <v>Y87G2A.2</v>
      </c>
      <c r="I3548" t="s">
        <v>11478</v>
      </c>
      <c r="J3548">
        <v>12.577658567560301</v>
      </c>
      <c r="K3548">
        <v>12.092715059240099</v>
      </c>
      <c r="L3548">
        <v>11.7880924675272</v>
      </c>
      <c r="M3548" t="s">
        <v>29</v>
      </c>
      <c r="N3548" t="s">
        <v>29</v>
      </c>
      <c r="O3548" t="s">
        <v>29</v>
      </c>
      <c r="P3548" t="s">
        <v>29</v>
      </c>
      <c r="Q3548" t="s">
        <v>29</v>
      </c>
      <c r="R3548" t="s">
        <v>29</v>
      </c>
      <c r="S3548">
        <v>11.3937215495242</v>
      </c>
      <c r="T3548" t="s">
        <v>29</v>
      </c>
      <c r="U3548" t="s">
        <v>29</v>
      </c>
      <c r="V3548" t="s">
        <v>29</v>
      </c>
      <c r="W3548" t="s">
        <v>29</v>
      </c>
      <c r="X3548" t="s">
        <v>29</v>
      </c>
      <c r="Y3548" t="s">
        <v>29</v>
      </c>
    </row>
    <row r="3549" spans="1:25" x14ac:dyDescent="0.2">
      <c r="A3549" t="s">
        <v>13059</v>
      </c>
      <c r="B3549" t="s">
        <v>13060</v>
      </c>
      <c r="C3549" t="s">
        <v>14714</v>
      </c>
      <c r="D3549" t="s">
        <v>368</v>
      </c>
      <c r="E3549" t="s">
        <v>13060</v>
      </c>
      <c r="F3549" t="s">
        <v>28</v>
      </c>
      <c r="G3549" t="s">
        <v>13060</v>
      </c>
      <c r="H3549" t="str">
        <f>"Y87G2A.1"</f>
        <v>Y87G2A.1</v>
      </c>
      <c r="I3549" t="s">
        <v>368</v>
      </c>
      <c r="J3549">
        <v>11.7497622991821</v>
      </c>
      <c r="K3549">
        <v>11.302444972603</v>
      </c>
      <c r="L3549">
        <v>11.760422686314399</v>
      </c>
      <c r="M3549" t="s">
        <v>29</v>
      </c>
      <c r="N3549" t="s">
        <v>29</v>
      </c>
      <c r="O3549">
        <v>11.340567674462999</v>
      </c>
      <c r="P3549">
        <v>-0.263642311570223</v>
      </c>
      <c r="Q3549">
        <v>-1.3610819251581101</v>
      </c>
      <c r="R3549">
        <v>0.833797302017669</v>
      </c>
      <c r="S3549">
        <v>12.1634508829196</v>
      </c>
      <c r="T3549">
        <v>-0.50954671727573597</v>
      </c>
      <c r="U3549">
        <v>-6.6774646830242803</v>
      </c>
      <c r="V3549">
        <v>0.61737022990603196</v>
      </c>
      <c r="W3549">
        <v>0.74477621677511896</v>
      </c>
      <c r="X3549">
        <v>0</v>
      </c>
      <c r="Y3549">
        <v>0</v>
      </c>
    </row>
    <row r="3550" spans="1:25" x14ac:dyDescent="0.2">
      <c r="A3550" t="s">
        <v>13061</v>
      </c>
      <c r="B3550" t="s">
        <v>13062</v>
      </c>
      <c r="C3550" t="s">
        <v>13063</v>
      </c>
      <c r="D3550" t="s">
        <v>13064</v>
      </c>
      <c r="E3550" t="s">
        <v>13062</v>
      </c>
      <c r="F3550" t="s">
        <v>28</v>
      </c>
      <c r="G3550" t="s">
        <v>13062</v>
      </c>
      <c r="H3550" t="str">
        <f>"emb-4"</f>
        <v>emb-4</v>
      </c>
      <c r="I3550" t="s">
        <v>13064</v>
      </c>
      <c r="J3550">
        <v>14.8535333753576</v>
      </c>
      <c r="K3550">
        <v>14.7840034876905</v>
      </c>
      <c r="L3550">
        <v>14.4782199470064</v>
      </c>
      <c r="M3550">
        <v>15.1344581250872</v>
      </c>
      <c r="N3550">
        <v>14.1338100033642</v>
      </c>
      <c r="O3550">
        <v>14.637859431228399</v>
      </c>
      <c r="P3550">
        <v>-6.9876416791592205E-2</v>
      </c>
      <c r="Q3550">
        <v>-0.50925803940624104</v>
      </c>
      <c r="R3550">
        <v>0.36950520582305701</v>
      </c>
      <c r="S3550">
        <v>14.5887842939926</v>
      </c>
      <c r="T3550">
        <v>-0.33425756984223698</v>
      </c>
      <c r="U3550">
        <v>-7.0978513079303296</v>
      </c>
      <c r="V3550">
        <v>0.74207071997167295</v>
      </c>
      <c r="W3550">
        <v>0.83436948178425097</v>
      </c>
      <c r="X3550">
        <v>0</v>
      </c>
      <c r="Y3550">
        <v>0</v>
      </c>
    </row>
    <row r="3551" spans="1:25" x14ac:dyDescent="0.2">
      <c r="A3551" t="s">
        <v>13065</v>
      </c>
      <c r="B3551" t="s">
        <v>13066</v>
      </c>
      <c r="C3551" t="s">
        <v>13067</v>
      </c>
      <c r="D3551" t="s">
        <v>13068</v>
      </c>
      <c r="E3551" t="s">
        <v>13066</v>
      </c>
      <c r="F3551" t="s">
        <v>28</v>
      </c>
      <c r="G3551" t="s">
        <v>13066</v>
      </c>
      <c r="H3551" t="str">
        <f>"cyp-42a1"</f>
        <v>cyp-42a1</v>
      </c>
      <c r="I3551" t="s">
        <v>13068</v>
      </c>
      <c r="J3551" t="s">
        <v>29</v>
      </c>
      <c r="K3551" t="s">
        <v>29</v>
      </c>
      <c r="L3551" t="s">
        <v>29</v>
      </c>
      <c r="M3551" t="s">
        <v>29</v>
      </c>
      <c r="N3551" t="s">
        <v>29</v>
      </c>
      <c r="O3551" t="s">
        <v>29</v>
      </c>
      <c r="P3551" t="s">
        <v>29</v>
      </c>
      <c r="Q3551" t="s">
        <v>29</v>
      </c>
      <c r="R3551" t="s">
        <v>29</v>
      </c>
      <c r="S3551">
        <v>10.2150788698501</v>
      </c>
      <c r="T3551" t="s">
        <v>29</v>
      </c>
      <c r="U3551" t="s">
        <v>29</v>
      </c>
      <c r="V3551" t="s">
        <v>29</v>
      </c>
      <c r="W3551" t="s">
        <v>29</v>
      </c>
      <c r="X3551" t="s">
        <v>29</v>
      </c>
      <c r="Y3551" t="s">
        <v>29</v>
      </c>
    </row>
    <row r="3552" spans="1:25" x14ac:dyDescent="0.2">
      <c r="A3552" t="s">
        <v>13069</v>
      </c>
      <c r="B3552" t="s">
        <v>13070</v>
      </c>
      <c r="C3552" t="s">
        <v>14715</v>
      </c>
      <c r="D3552" t="s">
        <v>130</v>
      </c>
      <c r="E3552" t="s">
        <v>13070</v>
      </c>
      <c r="F3552" t="s">
        <v>28</v>
      </c>
      <c r="G3552" t="s">
        <v>13070</v>
      </c>
      <c r="H3552" t="str">
        <f>"Y79H2A.3"</f>
        <v>Y79H2A.3</v>
      </c>
      <c r="I3552" t="s">
        <v>130</v>
      </c>
      <c r="J3552">
        <v>13.080170133727799</v>
      </c>
      <c r="K3552">
        <v>12.6974651380136</v>
      </c>
      <c r="L3552" t="s">
        <v>29</v>
      </c>
      <c r="M3552" t="s">
        <v>29</v>
      </c>
      <c r="N3552" t="s">
        <v>29</v>
      </c>
      <c r="O3552">
        <v>14.3504697166978</v>
      </c>
      <c r="P3552">
        <v>1.4616520808270901</v>
      </c>
      <c r="Q3552">
        <v>0.67974978202149305</v>
      </c>
      <c r="R3552">
        <v>2.2435543796326902</v>
      </c>
      <c r="S3552">
        <v>13.1520717967271</v>
      </c>
      <c r="T3552">
        <v>3.9868796410751699</v>
      </c>
      <c r="U3552">
        <v>-1.09543088420634</v>
      </c>
      <c r="V3552">
        <v>1.2058849313286799E-3</v>
      </c>
      <c r="W3552">
        <v>1.0415414770165299E-2</v>
      </c>
      <c r="X3552">
        <v>1</v>
      </c>
      <c r="Y3552">
        <v>1</v>
      </c>
    </row>
    <row r="3553" spans="1:25" x14ac:dyDescent="0.2">
      <c r="A3553" t="s">
        <v>13071</v>
      </c>
      <c r="B3553" t="s">
        <v>13072</v>
      </c>
      <c r="C3553" t="s">
        <v>13073</v>
      </c>
      <c r="D3553" t="s">
        <v>13074</v>
      </c>
      <c r="E3553" t="s">
        <v>13072</v>
      </c>
      <c r="F3553" t="s">
        <v>28</v>
      </c>
      <c r="G3553" t="s">
        <v>13072</v>
      </c>
      <c r="H3553" t="str">
        <f>"brp-1"</f>
        <v>brp-1</v>
      </c>
      <c r="I3553" t="s">
        <v>13074</v>
      </c>
      <c r="J3553">
        <v>11.8769797445753</v>
      </c>
      <c r="K3553">
        <v>10.0263839319379</v>
      </c>
      <c r="L3553">
        <v>10.0524235175419</v>
      </c>
      <c r="M3553">
        <v>11.4831546446865</v>
      </c>
      <c r="N3553">
        <v>11.090250130917401</v>
      </c>
      <c r="O3553">
        <v>10.570016825269001</v>
      </c>
      <c r="P3553">
        <v>0.39587813560590701</v>
      </c>
      <c r="Q3553">
        <v>-0.77048604690381295</v>
      </c>
      <c r="R3553">
        <v>1.56224231811563</v>
      </c>
      <c r="S3553">
        <v>11.1251388827438</v>
      </c>
      <c r="T3553">
        <v>0.71990778752004003</v>
      </c>
      <c r="U3553">
        <v>-6.8869027693321403</v>
      </c>
      <c r="V3553">
        <v>0.48203429868346698</v>
      </c>
      <c r="W3553">
        <v>0.64017804336195505</v>
      </c>
      <c r="X3553">
        <v>0</v>
      </c>
      <c r="Y3553">
        <v>0</v>
      </c>
    </row>
    <row r="3554" spans="1:25" x14ac:dyDescent="0.2">
      <c r="A3554" t="s">
        <v>13075</v>
      </c>
      <c r="B3554" t="s">
        <v>13076</v>
      </c>
      <c r="C3554" t="s">
        <v>13077</v>
      </c>
      <c r="D3554" t="s">
        <v>13078</v>
      </c>
      <c r="E3554" t="s">
        <v>13076</v>
      </c>
      <c r="F3554" t="s">
        <v>28</v>
      </c>
      <c r="G3554" t="s">
        <v>13076</v>
      </c>
      <c r="H3554" t="str">
        <f>"gphr-1"</f>
        <v>gphr-1</v>
      </c>
      <c r="I3554" t="s">
        <v>13078</v>
      </c>
      <c r="J3554">
        <v>10.587332355293499</v>
      </c>
      <c r="K3554">
        <v>10.184750237527799</v>
      </c>
      <c r="L3554">
        <v>11.1793275590019</v>
      </c>
      <c r="M3554" t="s">
        <v>29</v>
      </c>
      <c r="N3554" t="s">
        <v>29</v>
      </c>
      <c r="O3554" t="s">
        <v>29</v>
      </c>
      <c r="P3554" t="s">
        <v>29</v>
      </c>
      <c r="Q3554" t="s">
        <v>29</v>
      </c>
      <c r="R3554" t="s">
        <v>29</v>
      </c>
      <c r="S3554">
        <v>11.3864701406105</v>
      </c>
      <c r="T3554" t="s">
        <v>29</v>
      </c>
      <c r="U3554" t="s">
        <v>29</v>
      </c>
      <c r="V3554" t="s">
        <v>29</v>
      </c>
      <c r="W3554" t="s">
        <v>29</v>
      </c>
      <c r="X3554" t="s">
        <v>29</v>
      </c>
      <c r="Y3554" t="s">
        <v>29</v>
      </c>
    </row>
    <row r="3555" spans="1:25" x14ac:dyDescent="0.2">
      <c r="A3555" t="s">
        <v>13079</v>
      </c>
      <c r="B3555" t="s">
        <v>13080</v>
      </c>
      <c r="C3555" t="s">
        <v>14716</v>
      </c>
      <c r="D3555" t="s">
        <v>13081</v>
      </c>
      <c r="E3555" t="s">
        <v>13080</v>
      </c>
      <c r="F3555" t="s">
        <v>28</v>
      </c>
      <c r="G3555" t="s">
        <v>13080</v>
      </c>
      <c r="H3555" t="str">
        <f>"Y6D1A.1"</f>
        <v>Y6D1A.1</v>
      </c>
      <c r="I3555" t="s">
        <v>13081</v>
      </c>
      <c r="J3555">
        <v>11.967925645450199</v>
      </c>
      <c r="K3555">
        <v>11.951747493970799</v>
      </c>
      <c r="L3555">
        <v>12.5871236555565</v>
      </c>
      <c r="M3555" t="s">
        <v>29</v>
      </c>
      <c r="N3555">
        <v>12.3006902443464</v>
      </c>
      <c r="O3555">
        <v>11.4445886741272</v>
      </c>
      <c r="P3555">
        <v>-0.29629280575567501</v>
      </c>
      <c r="Q3555">
        <v>-0.936821063433109</v>
      </c>
      <c r="R3555">
        <v>0.34423545192175897</v>
      </c>
      <c r="S3555">
        <v>12.735961021547199</v>
      </c>
      <c r="T3555">
        <v>-0.97641136503199299</v>
      </c>
      <c r="U3555">
        <v>-6.5580585705222596</v>
      </c>
      <c r="V3555">
        <v>0.342635245174506</v>
      </c>
      <c r="W3555">
        <v>0.51327418683516701</v>
      </c>
      <c r="X3555">
        <v>0</v>
      </c>
      <c r="Y3555">
        <v>0</v>
      </c>
    </row>
    <row r="3556" spans="1:25" x14ac:dyDescent="0.2">
      <c r="A3556" t="s">
        <v>13082</v>
      </c>
      <c r="B3556" t="s">
        <v>13083</v>
      </c>
      <c r="C3556" t="s">
        <v>14717</v>
      </c>
      <c r="D3556" t="s">
        <v>130</v>
      </c>
      <c r="E3556" t="s">
        <v>13083</v>
      </c>
      <c r="F3556" t="s">
        <v>28</v>
      </c>
      <c r="G3556" t="s">
        <v>13083</v>
      </c>
      <c r="H3556" t="str">
        <f>"Y6B3B.9"</f>
        <v>Y6B3B.9</v>
      </c>
      <c r="I3556" t="s">
        <v>130</v>
      </c>
      <c r="J3556" t="s">
        <v>29</v>
      </c>
      <c r="K3556" t="s">
        <v>29</v>
      </c>
      <c r="L3556">
        <v>9.8075942913161605</v>
      </c>
      <c r="M3556" t="s">
        <v>29</v>
      </c>
      <c r="N3556" t="s">
        <v>29</v>
      </c>
      <c r="O3556">
        <v>10.2630475922532</v>
      </c>
      <c r="P3556">
        <v>0.45545330093699798</v>
      </c>
      <c r="Q3556">
        <v>-0.78532192143342705</v>
      </c>
      <c r="R3556">
        <v>1.6962285233074199</v>
      </c>
      <c r="S3556">
        <v>11.5371500321575</v>
      </c>
      <c r="T3556">
        <v>0.81906361187451804</v>
      </c>
      <c r="U3556">
        <v>-6.2620964055521604</v>
      </c>
      <c r="V3556">
        <v>0.43203438620165902</v>
      </c>
      <c r="W3556">
        <v>0.59721279476375</v>
      </c>
      <c r="X3556">
        <v>0</v>
      </c>
      <c r="Y3556">
        <v>0</v>
      </c>
    </row>
    <row r="3557" spans="1:25" x14ac:dyDescent="0.2">
      <c r="A3557" t="s">
        <v>13084</v>
      </c>
      <c r="B3557" t="s">
        <v>13085</v>
      </c>
      <c r="C3557" t="s">
        <v>13086</v>
      </c>
      <c r="D3557" t="s">
        <v>308</v>
      </c>
      <c r="E3557" t="s">
        <v>13085</v>
      </c>
      <c r="F3557" t="s">
        <v>28</v>
      </c>
      <c r="G3557" t="s">
        <v>13085</v>
      </c>
      <c r="H3557" t="str">
        <f>"dnj-29"</f>
        <v>dnj-29</v>
      </c>
      <c r="I3557" t="s">
        <v>308</v>
      </c>
      <c r="J3557">
        <v>15.2849782708899</v>
      </c>
      <c r="K3557">
        <v>15.230844656639</v>
      </c>
      <c r="L3557">
        <v>14.8992304408132</v>
      </c>
      <c r="M3557">
        <v>15.0630371283179</v>
      </c>
      <c r="N3557">
        <v>15.033086576481899</v>
      </c>
      <c r="O3557">
        <v>15.252570967138301</v>
      </c>
      <c r="P3557">
        <v>-2.2119565467999501E-2</v>
      </c>
      <c r="Q3557">
        <v>-0.47250916465468001</v>
      </c>
      <c r="R3557">
        <v>0.428270033718681</v>
      </c>
      <c r="S3557">
        <v>14.875618538686799</v>
      </c>
      <c r="T3557">
        <v>-0.103224015970291</v>
      </c>
      <c r="U3557">
        <v>-7.1507119887316799</v>
      </c>
      <c r="V3557">
        <v>0.91893318148042202</v>
      </c>
      <c r="W3557">
        <v>0.95187911628218103</v>
      </c>
      <c r="X3557">
        <v>0</v>
      </c>
      <c r="Y3557">
        <v>0</v>
      </c>
    </row>
    <row r="3558" spans="1:25" x14ac:dyDescent="0.2">
      <c r="A3558" t="s">
        <v>13087</v>
      </c>
      <c r="B3558" t="s">
        <v>13088</v>
      </c>
      <c r="C3558" t="s">
        <v>13089</v>
      </c>
      <c r="D3558" t="s">
        <v>13090</v>
      </c>
      <c r="E3558" t="s">
        <v>13088</v>
      </c>
      <c r="F3558" t="s">
        <v>28</v>
      </c>
      <c r="G3558" t="s">
        <v>13088</v>
      </c>
      <c r="H3558" t="str">
        <f>"emc-3"</f>
        <v>emc-3</v>
      </c>
      <c r="I3558" t="s">
        <v>13090</v>
      </c>
      <c r="J3558">
        <v>14.1504966307992</v>
      </c>
      <c r="K3558">
        <v>14.0609170462617</v>
      </c>
      <c r="L3558">
        <v>14.0020866226993</v>
      </c>
      <c r="M3558">
        <v>13.549663246104901</v>
      </c>
      <c r="N3558">
        <v>13.572713047277301</v>
      </c>
      <c r="O3558">
        <v>13.7104699967988</v>
      </c>
      <c r="P3558">
        <v>-0.46021800319306799</v>
      </c>
      <c r="Q3558">
        <v>-0.75136082265066895</v>
      </c>
      <c r="R3558">
        <v>-0.16907518373546701</v>
      </c>
      <c r="S3558">
        <v>13.9869679358432</v>
      </c>
      <c r="T3558">
        <v>-3.3223855823855302</v>
      </c>
      <c r="U3558">
        <v>-2.6517390417525202</v>
      </c>
      <c r="V3558">
        <v>3.8129774776275299E-3</v>
      </c>
      <c r="W3558">
        <v>2.33129556567808E-2</v>
      </c>
      <c r="X3558">
        <v>0</v>
      </c>
      <c r="Y3558">
        <v>0</v>
      </c>
    </row>
    <row r="3559" spans="1:25" x14ac:dyDescent="0.2">
      <c r="A3559" t="s">
        <v>13091</v>
      </c>
      <c r="B3559" t="s">
        <v>13092</v>
      </c>
      <c r="C3559" t="s">
        <v>13093</v>
      </c>
      <c r="D3559" t="s">
        <v>13094</v>
      </c>
      <c r="E3559" t="s">
        <v>13092</v>
      </c>
      <c r="F3559" t="s">
        <v>28</v>
      </c>
      <c r="G3559" t="s">
        <v>13092</v>
      </c>
      <c r="H3559" t="str">
        <f>"agt-1"</f>
        <v>agt-1</v>
      </c>
      <c r="I3559" t="s">
        <v>13094</v>
      </c>
      <c r="J3559" t="s">
        <v>29</v>
      </c>
      <c r="K3559" t="s">
        <v>29</v>
      </c>
      <c r="L3559" t="s">
        <v>29</v>
      </c>
      <c r="M3559" t="s">
        <v>29</v>
      </c>
      <c r="N3559" t="s">
        <v>29</v>
      </c>
      <c r="O3559" t="s">
        <v>29</v>
      </c>
      <c r="P3559" t="s">
        <v>29</v>
      </c>
      <c r="Q3559" t="s">
        <v>29</v>
      </c>
      <c r="R3559" t="s">
        <v>29</v>
      </c>
      <c r="S3559">
        <v>13.4907157972316</v>
      </c>
      <c r="T3559" t="s">
        <v>29</v>
      </c>
      <c r="U3559" t="s">
        <v>29</v>
      </c>
      <c r="V3559" t="s">
        <v>29</v>
      </c>
      <c r="W3559" t="s">
        <v>29</v>
      </c>
      <c r="X3559" t="s">
        <v>29</v>
      </c>
      <c r="Y3559" t="s">
        <v>29</v>
      </c>
    </row>
    <row r="3560" spans="1:25" x14ac:dyDescent="0.2">
      <c r="A3560" t="s">
        <v>13095</v>
      </c>
      <c r="B3560" t="s">
        <v>13096</v>
      </c>
      <c r="C3560" t="s">
        <v>13097</v>
      </c>
      <c r="D3560" t="s">
        <v>13098</v>
      </c>
      <c r="E3560" t="s">
        <v>13096</v>
      </c>
      <c r="F3560" t="s">
        <v>28</v>
      </c>
      <c r="G3560" t="s">
        <v>13096</v>
      </c>
      <c r="H3560" t="str">
        <f>"chk-2"</f>
        <v>chk-2</v>
      </c>
      <c r="I3560" t="s">
        <v>13098</v>
      </c>
      <c r="J3560">
        <v>11.802208005517301</v>
      </c>
      <c r="K3560" t="s">
        <v>29</v>
      </c>
      <c r="L3560">
        <v>11.090092729661601</v>
      </c>
      <c r="M3560" t="s">
        <v>29</v>
      </c>
      <c r="N3560">
        <v>12.169116640222301</v>
      </c>
      <c r="O3560">
        <v>12.238795337295899</v>
      </c>
      <c r="P3560">
        <v>0.75780562116961803</v>
      </c>
      <c r="Q3560">
        <v>-0.26117977701426998</v>
      </c>
      <c r="R3560">
        <v>1.7767910193535099</v>
      </c>
      <c r="S3560">
        <v>11.1007868636948</v>
      </c>
      <c r="T3560">
        <v>1.6079669058521699</v>
      </c>
      <c r="U3560">
        <v>-5.6978446870237498</v>
      </c>
      <c r="V3560">
        <v>0.13204032334454399</v>
      </c>
      <c r="W3560">
        <v>0.26652248828518599</v>
      </c>
      <c r="X3560">
        <v>0</v>
      </c>
      <c r="Y3560">
        <v>0</v>
      </c>
    </row>
    <row r="3561" spans="1:25" x14ac:dyDescent="0.2">
      <c r="A3561" t="s">
        <v>13099</v>
      </c>
      <c r="B3561" t="s">
        <v>13100</v>
      </c>
      <c r="C3561" t="s">
        <v>13101</v>
      </c>
      <c r="D3561" t="s">
        <v>13102</v>
      </c>
      <c r="E3561" t="s">
        <v>13100</v>
      </c>
      <c r="F3561" t="s">
        <v>28</v>
      </c>
      <c r="G3561" t="s">
        <v>13100</v>
      </c>
      <c r="H3561" t="str">
        <f>"dhs-24"</f>
        <v>dhs-24</v>
      </c>
      <c r="I3561" t="s">
        <v>13102</v>
      </c>
      <c r="J3561">
        <v>14.878922164163701</v>
      </c>
      <c r="K3561">
        <v>14.934816495497399</v>
      </c>
      <c r="L3561">
        <v>15.0115535113055</v>
      </c>
      <c r="M3561">
        <v>15.876399981218899</v>
      </c>
      <c r="N3561">
        <v>15.3478009887144</v>
      </c>
      <c r="O3561">
        <v>15.0191558059259</v>
      </c>
      <c r="P3561">
        <v>0.47268820163089298</v>
      </c>
      <c r="Q3561">
        <v>4.9894500335675503E-2</v>
      </c>
      <c r="R3561">
        <v>0.89548190292611096</v>
      </c>
      <c r="S3561">
        <v>15.1683526656072</v>
      </c>
      <c r="T3561">
        <v>2.3498425679841302</v>
      </c>
      <c r="U3561">
        <v>-4.6329429391590002</v>
      </c>
      <c r="V3561">
        <v>3.0462768927866101E-2</v>
      </c>
      <c r="W3561">
        <v>9.73261220897991E-2</v>
      </c>
      <c r="X3561">
        <v>0</v>
      </c>
      <c r="Y3561">
        <v>0</v>
      </c>
    </row>
    <row r="3562" spans="1:25" x14ac:dyDescent="0.2">
      <c r="A3562" t="s">
        <v>13103</v>
      </c>
      <c r="B3562" t="s">
        <v>13104</v>
      </c>
      <c r="C3562" t="s">
        <v>13105</v>
      </c>
      <c r="D3562" t="s">
        <v>13106</v>
      </c>
      <c r="E3562" t="s">
        <v>13104</v>
      </c>
      <c r="F3562" t="s">
        <v>28</v>
      </c>
      <c r="G3562" t="s">
        <v>13104</v>
      </c>
      <c r="H3562" t="str">
        <f>"algn-7"</f>
        <v>algn-7</v>
      </c>
      <c r="I3562" t="s">
        <v>13106</v>
      </c>
      <c r="J3562">
        <v>13.137023194936701</v>
      </c>
      <c r="K3562">
        <v>13.551994026865099</v>
      </c>
      <c r="L3562">
        <v>13.5439795826136</v>
      </c>
      <c r="M3562" t="s">
        <v>29</v>
      </c>
      <c r="N3562">
        <v>12.647680145230201</v>
      </c>
      <c r="O3562">
        <v>12.3924834931461</v>
      </c>
      <c r="P3562">
        <v>-0.89091711561694498</v>
      </c>
      <c r="Q3562">
        <v>-1.4966107855678299</v>
      </c>
      <c r="R3562">
        <v>-0.285223445666063</v>
      </c>
      <c r="S3562">
        <v>13.313779756015901</v>
      </c>
      <c r="T3562">
        <v>-3.1198505982001401</v>
      </c>
      <c r="U3562">
        <v>-3.0485146442867301</v>
      </c>
      <c r="V3562">
        <v>6.64127836283858E-3</v>
      </c>
      <c r="W3562">
        <v>3.4196448044093802E-2</v>
      </c>
      <c r="X3562">
        <v>0</v>
      </c>
      <c r="Y3562">
        <v>0</v>
      </c>
    </row>
    <row r="3563" spans="1:25" x14ac:dyDescent="0.2">
      <c r="A3563" t="s">
        <v>13107</v>
      </c>
      <c r="B3563" t="s">
        <v>13108</v>
      </c>
      <c r="C3563" t="s">
        <v>13109</v>
      </c>
      <c r="D3563" t="s">
        <v>13110</v>
      </c>
      <c r="E3563" t="s">
        <v>13108</v>
      </c>
      <c r="F3563" t="s">
        <v>28</v>
      </c>
      <c r="G3563" t="s">
        <v>13108</v>
      </c>
      <c r="H3563" t="str">
        <f>"abhd-3.1"</f>
        <v>abhd-3.1</v>
      </c>
      <c r="I3563" t="s">
        <v>13110</v>
      </c>
      <c r="J3563">
        <v>12.4930852597225</v>
      </c>
      <c r="K3563">
        <v>12.014734351571301</v>
      </c>
      <c r="L3563">
        <v>12.5469535410663</v>
      </c>
      <c r="M3563" t="s">
        <v>29</v>
      </c>
      <c r="N3563" t="s">
        <v>29</v>
      </c>
      <c r="O3563">
        <v>12.508113094249101</v>
      </c>
      <c r="P3563">
        <v>0.15652204346242399</v>
      </c>
      <c r="Q3563">
        <v>-0.711968156157888</v>
      </c>
      <c r="R3563">
        <v>1.02501224308274</v>
      </c>
      <c r="S3563">
        <v>12.679043408724301</v>
      </c>
      <c r="T3563">
        <v>0.38226111031218302</v>
      </c>
      <c r="U3563">
        <v>-6.7363175469525096</v>
      </c>
      <c r="V3563">
        <v>0.70733039432280997</v>
      </c>
      <c r="W3563">
        <v>0.81056753139402304</v>
      </c>
      <c r="X3563">
        <v>0</v>
      </c>
      <c r="Y3563">
        <v>0</v>
      </c>
    </row>
    <row r="3564" spans="1:25" x14ac:dyDescent="0.2">
      <c r="A3564" t="s">
        <v>13111</v>
      </c>
      <c r="B3564" t="s">
        <v>13112</v>
      </c>
      <c r="C3564" t="s">
        <v>13113</v>
      </c>
      <c r="D3564" t="s">
        <v>93</v>
      </c>
      <c r="E3564" t="s">
        <v>13112</v>
      </c>
      <c r="F3564" t="s">
        <v>28</v>
      </c>
      <c r="G3564" t="s">
        <v>13112</v>
      </c>
      <c r="H3564" t="str">
        <f>"melo-1"</f>
        <v>melo-1</v>
      </c>
      <c r="I3564" t="s">
        <v>93</v>
      </c>
      <c r="J3564">
        <v>12.133956318950201</v>
      </c>
      <c r="K3564">
        <v>11.7349946650906</v>
      </c>
      <c r="L3564">
        <v>11.338320850971201</v>
      </c>
      <c r="M3564" t="s">
        <v>29</v>
      </c>
      <c r="N3564" t="s">
        <v>29</v>
      </c>
      <c r="O3564">
        <v>11.761448926768701</v>
      </c>
      <c r="P3564">
        <v>2.5691648431310599E-2</v>
      </c>
      <c r="Q3564">
        <v>-0.86255012058649805</v>
      </c>
      <c r="R3564">
        <v>0.91393341744911905</v>
      </c>
      <c r="S3564">
        <v>11.792131361933899</v>
      </c>
      <c r="T3564">
        <v>6.2538581033768206E-2</v>
      </c>
      <c r="U3564">
        <v>-6.8106187118077504</v>
      </c>
      <c r="V3564">
        <v>0.95109291814809105</v>
      </c>
      <c r="W3564">
        <v>0.97220632319889899</v>
      </c>
      <c r="X3564">
        <v>0</v>
      </c>
      <c r="Y3564">
        <v>0</v>
      </c>
    </row>
    <row r="3565" spans="1:25" x14ac:dyDescent="0.2">
      <c r="A3565" t="s">
        <v>13114</v>
      </c>
      <c r="B3565" t="s">
        <v>13115</v>
      </c>
      <c r="C3565" t="s">
        <v>13116</v>
      </c>
      <c r="D3565" t="s">
        <v>13117</v>
      </c>
      <c r="E3565" t="s">
        <v>13115</v>
      </c>
      <c r="F3565" t="s">
        <v>28</v>
      </c>
      <c r="G3565" t="s">
        <v>13115</v>
      </c>
      <c r="H3565" t="str">
        <f>"polg-1"</f>
        <v>polg-1</v>
      </c>
      <c r="I3565" t="s">
        <v>13117</v>
      </c>
      <c r="J3565">
        <v>11.977719631746201</v>
      </c>
      <c r="K3565">
        <v>11.4187411315272</v>
      </c>
      <c r="L3565">
        <v>11.7850642607153</v>
      </c>
      <c r="M3565" t="s">
        <v>29</v>
      </c>
      <c r="N3565" t="s">
        <v>29</v>
      </c>
      <c r="O3565">
        <v>12.332688899786699</v>
      </c>
      <c r="P3565">
        <v>0.60551389179052395</v>
      </c>
      <c r="Q3565">
        <v>-0.17188525868002899</v>
      </c>
      <c r="R3565">
        <v>1.38291304226108</v>
      </c>
      <c r="S3565">
        <v>12.295810130564201</v>
      </c>
      <c r="T3565">
        <v>1.65207431547684</v>
      </c>
      <c r="U3565">
        <v>-5.4912412317131798</v>
      </c>
      <c r="V3565">
        <v>0.118133006828177</v>
      </c>
      <c r="W3565">
        <v>0.244307348156236</v>
      </c>
      <c r="X3565">
        <v>0</v>
      </c>
      <c r="Y3565">
        <v>0</v>
      </c>
    </row>
    <row r="3566" spans="1:25" x14ac:dyDescent="0.2">
      <c r="A3566" t="s">
        <v>13118</v>
      </c>
      <c r="B3566" t="s">
        <v>13119</v>
      </c>
      <c r="C3566" t="s">
        <v>14718</v>
      </c>
      <c r="D3566" t="s">
        <v>13120</v>
      </c>
      <c r="E3566" t="s">
        <v>13119</v>
      </c>
      <c r="F3566" t="s">
        <v>28</v>
      </c>
      <c r="G3566" t="s">
        <v>13119</v>
      </c>
      <c r="H3566" t="str">
        <f>"Y57A10A.27"</f>
        <v>Y57A10A.27</v>
      </c>
      <c r="I3566" t="s">
        <v>13120</v>
      </c>
      <c r="J3566">
        <v>11.766331609582499</v>
      </c>
      <c r="K3566">
        <v>11.9534116813906</v>
      </c>
      <c r="L3566">
        <v>11.102504436175</v>
      </c>
      <c r="M3566" t="s">
        <v>29</v>
      </c>
      <c r="N3566" t="s">
        <v>29</v>
      </c>
      <c r="O3566">
        <v>11.790101126245499</v>
      </c>
      <c r="P3566">
        <v>0.18268521719614</v>
      </c>
      <c r="Q3566">
        <v>-0.60027873939508702</v>
      </c>
      <c r="R3566">
        <v>0.96564917378736603</v>
      </c>
      <c r="S3566">
        <v>11.9690968786797</v>
      </c>
      <c r="T3566">
        <v>0.49762620443924799</v>
      </c>
      <c r="U3566">
        <v>-6.6832244218826302</v>
      </c>
      <c r="V3566">
        <v>0.62601337930507595</v>
      </c>
      <c r="W3566">
        <v>0.74896483297869498</v>
      </c>
      <c r="X3566">
        <v>0</v>
      </c>
      <c r="Y3566">
        <v>0</v>
      </c>
    </row>
    <row r="3567" spans="1:25" x14ac:dyDescent="0.2">
      <c r="A3567" t="s">
        <v>13121</v>
      </c>
      <c r="B3567" t="s">
        <v>13122</v>
      </c>
      <c r="C3567" t="s">
        <v>13123</v>
      </c>
      <c r="D3567" t="s">
        <v>13124</v>
      </c>
      <c r="E3567" t="s">
        <v>13122</v>
      </c>
      <c r="F3567" t="s">
        <v>28</v>
      </c>
      <c r="G3567" t="s">
        <v>13122</v>
      </c>
      <c r="H3567" t="str">
        <f>"ung-1"</f>
        <v>ung-1</v>
      </c>
      <c r="I3567" t="s">
        <v>13124</v>
      </c>
      <c r="J3567">
        <v>12.216952505600601</v>
      </c>
      <c r="K3567">
        <v>12.745694824783399</v>
      </c>
      <c r="L3567">
        <v>12.6046873396851</v>
      </c>
      <c r="M3567" t="s">
        <v>29</v>
      </c>
      <c r="N3567" t="s">
        <v>29</v>
      </c>
      <c r="O3567">
        <v>11.953324867954199</v>
      </c>
      <c r="P3567">
        <v>-0.56912002206881096</v>
      </c>
      <c r="Q3567">
        <v>-1.1465675689274299</v>
      </c>
      <c r="R3567">
        <v>8.3275247898045909E-3</v>
      </c>
      <c r="S3567">
        <v>12.7655055365019</v>
      </c>
      <c r="T3567">
        <v>-2.0904551473677002</v>
      </c>
      <c r="U3567">
        <v>-4.7883638977723297</v>
      </c>
      <c r="V3567">
        <v>5.30061898181702E-2</v>
      </c>
      <c r="W3567">
        <v>0.141750672771459</v>
      </c>
      <c r="X3567">
        <v>0</v>
      </c>
      <c r="Y3567">
        <v>0</v>
      </c>
    </row>
    <row r="3568" spans="1:25" x14ac:dyDescent="0.2">
      <c r="A3568" t="s">
        <v>13125</v>
      </c>
      <c r="B3568" t="s">
        <v>13126</v>
      </c>
      <c r="C3568" t="s">
        <v>13127</v>
      </c>
      <c r="D3568" t="s">
        <v>13128</v>
      </c>
      <c r="E3568" t="s">
        <v>13126</v>
      </c>
      <c r="F3568" t="s">
        <v>28</v>
      </c>
      <c r="G3568" t="s">
        <v>13126</v>
      </c>
      <c r="H3568" t="str">
        <f>"wah-1"</f>
        <v>wah-1</v>
      </c>
      <c r="I3568" t="s">
        <v>13128</v>
      </c>
      <c r="J3568">
        <v>13.2274955027613</v>
      </c>
      <c r="K3568">
        <v>11.9599580749104</v>
      </c>
      <c r="L3568" t="s">
        <v>29</v>
      </c>
      <c r="M3568" t="s">
        <v>29</v>
      </c>
      <c r="N3568" t="s">
        <v>29</v>
      </c>
      <c r="O3568" t="s">
        <v>29</v>
      </c>
      <c r="P3568" t="s">
        <v>29</v>
      </c>
      <c r="Q3568" t="s">
        <v>29</v>
      </c>
      <c r="R3568" t="s">
        <v>29</v>
      </c>
      <c r="S3568">
        <v>12.066740245209401</v>
      </c>
      <c r="T3568" t="s">
        <v>29</v>
      </c>
      <c r="U3568" t="s">
        <v>29</v>
      </c>
      <c r="V3568" t="s">
        <v>29</v>
      </c>
      <c r="W3568" t="s">
        <v>29</v>
      </c>
      <c r="X3568" t="s">
        <v>29</v>
      </c>
      <c r="Y3568" t="s">
        <v>29</v>
      </c>
    </row>
    <row r="3569" spans="1:25" x14ac:dyDescent="0.2">
      <c r="A3569" t="s">
        <v>13129</v>
      </c>
      <c r="B3569" t="s">
        <v>13130</v>
      </c>
      <c r="C3569" t="s">
        <v>13131</v>
      </c>
      <c r="D3569" t="s">
        <v>13132</v>
      </c>
      <c r="E3569" t="s">
        <v>13130</v>
      </c>
      <c r="F3569" t="s">
        <v>28</v>
      </c>
      <c r="G3569" t="s">
        <v>13130</v>
      </c>
      <c r="H3569" t="str">
        <f>"trap-4"</f>
        <v>trap-4</v>
      </c>
      <c r="I3569" t="s">
        <v>13132</v>
      </c>
      <c r="J3569">
        <v>17.311982111236301</v>
      </c>
      <c r="K3569">
        <v>17.2191036960653</v>
      </c>
      <c r="L3569">
        <v>17.2792979006386</v>
      </c>
      <c r="M3569">
        <v>16.342930107687199</v>
      </c>
      <c r="N3569">
        <v>16.1555716005177</v>
      </c>
      <c r="O3569">
        <v>16.312441607360501</v>
      </c>
      <c r="P3569">
        <v>-0.99981346412497596</v>
      </c>
      <c r="Q3569">
        <v>-1.3464794509722799</v>
      </c>
      <c r="R3569">
        <v>-0.65314747727767097</v>
      </c>
      <c r="S3569">
        <v>16.673678103924399</v>
      </c>
      <c r="T3569">
        <v>-6.0617812658626402</v>
      </c>
      <c r="U3569">
        <v>3.27451332714333</v>
      </c>
      <c r="V3569" s="2">
        <v>1.0185521215616199E-5</v>
      </c>
      <c r="W3569">
        <v>2.83176707758689E-4</v>
      </c>
      <c r="X3569">
        <v>0</v>
      </c>
      <c r="Y3569">
        <v>0</v>
      </c>
    </row>
    <row r="3570" spans="1:25" x14ac:dyDescent="0.2">
      <c r="A3570" t="s">
        <v>13133</v>
      </c>
      <c r="B3570" t="s">
        <v>13134</v>
      </c>
      <c r="C3570" t="s">
        <v>13135</v>
      </c>
      <c r="D3570" t="s">
        <v>13136</v>
      </c>
      <c r="E3570" t="s">
        <v>13134</v>
      </c>
      <c r="F3570" t="s">
        <v>28</v>
      </c>
      <c r="G3570" t="s">
        <v>13134</v>
      </c>
      <c r="H3570" t="str">
        <f>"rsy-1"</f>
        <v>rsy-1</v>
      </c>
      <c r="I3570" t="s">
        <v>13136</v>
      </c>
      <c r="J3570" t="s">
        <v>29</v>
      </c>
      <c r="K3570" t="s">
        <v>29</v>
      </c>
      <c r="L3570">
        <v>11.1623603691647</v>
      </c>
      <c r="M3570" t="s">
        <v>29</v>
      </c>
      <c r="N3570" t="s">
        <v>29</v>
      </c>
      <c r="O3570" t="s">
        <v>29</v>
      </c>
      <c r="P3570" t="s">
        <v>29</v>
      </c>
      <c r="Q3570" t="s">
        <v>29</v>
      </c>
      <c r="R3570" t="s">
        <v>29</v>
      </c>
      <c r="S3570">
        <v>11.877881711918199</v>
      </c>
      <c r="T3570" t="s">
        <v>29</v>
      </c>
      <c r="U3570" t="s">
        <v>29</v>
      </c>
      <c r="V3570" t="s">
        <v>29</v>
      </c>
      <c r="W3570" t="s">
        <v>29</v>
      </c>
      <c r="X3570" t="s">
        <v>29</v>
      </c>
      <c r="Y3570" t="s">
        <v>29</v>
      </c>
    </row>
    <row r="3571" spans="1:25" x14ac:dyDescent="0.2">
      <c r="A3571" t="s">
        <v>13137</v>
      </c>
      <c r="B3571" t="s">
        <v>13138</v>
      </c>
      <c r="C3571" t="s">
        <v>14719</v>
      </c>
      <c r="D3571" t="s">
        <v>13139</v>
      </c>
      <c r="E3571" t="s">
        <v>13138</v>
      </c>
      <c r="F3571" t="s">
        <v>28</v>
      </c>
      <c r="G3571" t="s">
        <v>13138</v>
      </c>
      <c r="H3571" t="str">
        <f>"Y52B11A.10"</f>
        <v>Y52B11A.10</v>
      </c>
      <c r="I3571" t="s">
        <v>13139</v>
      </c>
      <c r="J3571">
        <v>11.8597427173318</v>
      </c>
      <c r="K3571">
        <v>11.752628065887301</v>
      </c>
      <c r="L3571">
        <v>12.9546027255812</v>
      </c>
      <c r="M3571" t="s">
        <v>29</v>
      </c>
      <c r="N3571" t="s">
        <v>29</v>
      </c>
      <c r="O3571">
        <v>12.6724572431591</v>
      </c>
      <c r="P3571">
        <v>0.48346607355897803</v>
      </c>
      <c r="Q3571">
        <v>-0.74826990382126302</v>
      </c>
      <c r="R3571">
        <v>1.7152020509392201</v>
      </c>
      <c r="S3571">
        <v>13.6544066162243</v>
      </c>
      <c r="T3571">
        <v>0.83252619380624604</v>
      </c>
      <c r="U3571">
        <v>-6.4565181879140603</v>
      </c>
      <c r="V3571">
        <v>0.41744565116476301</v>
      </c>
      <c r="W3571">
        <v>0.58414640739912405</v>
      </c>
      <c r="X3571">
        <v>0</v>
      </c>
      <c r="Y3571">
        <v>0</v>
      </c>
    </row>
    <row r="3572" spans="1:25" x14ac:dyDescent="0.2">
      <c r="A3572" t="s">
        <v>13140</v>
      </c>
      <c r="B3572" t="s">
        <v>13141</v>
      </c>
      <c r="C3572" t="s">
        <v>13142</v>
      </c>
      <c r="D3572" t="s">
        <v>13143</v>
      </c>
      <c r="E3572" t="s">
        <v>13141</v>
      </c>
      <c r="F3572" t="s">
        <v>28</v>
      </c>
      <c r="G3572" t="s">
        <v>13141</v>
      </c>
      <c r="H3572" t="str">
        <f>"set-26"</f>
        <v>set-26</v>
      </c>
      <c r="I3572" t="s">
        <v>13143</v>
      </c>
      <c r="J3572">
        <v>15.7461475225883</v>
      </c>
      <c r="K3572">
        <v>16.0927480748108</v>
      </c>
      <c r="L3572">
        <v>15.892609593205099</v>
      </c>
      <c r="M3572" t="s">
        <v>29</v>
      </c>
      <c r="N3572">
        <v>14.380729796228801</v>
      </c>
      <c r="O3572">
        <v>13.8993877756737</v>
      </c>
      <c r="P3572">
        <v>-1.7704429442501399</v>
      </c>
      <c r="Q3572">
        <v>-2.2624146325960801</v>
      </c>
      <c r="R3572">
        <v>-1.2784712559042</v>
      </c>
      <c r="S3572">
        <v>15.546456216957299</v>
      </c>
      <c r="T3572">
        <v>-7.5961203609178698</v>
      </c>
      <c r="U3572">
        <v>6.0176577341275896</v>
      </c>
      <c r="V3572" s="2">
        <v>7.6313595380955399E-7</v>
      </c>
      <c r="W3572" s="2">
        <v>3.8117994167402598E-5</v>
      </c>
      <c r="X3572">
        <v>-1</v>
      </c>
      <c r="Y3572">
        <v>-1</v>
      </c>
    </row>
    <row r="3573" spans="1:25" x14ac:dyDescent="0.2">
      <c r="A3573" t="s">
        <v>13144</v>
      </c>
      <c r="B3573" t="s">
        <v>13145</v>
      </c>
      <c r="C3573" t="s">
        <v>13146</v>
      </c>
      <c r="D3573" t="s">
        <v>13147</v>
      </c>
      <c r="E3573" t="s">
        <v>13145</v>
      </c>
      <c r="F3573" t="s">
        <v>28</v>
      </c>
      <c r="G3573" t="s">
        <v>13145</v>
      </c>
      <c r="H3573" t="str">
        <f>"ints-5"</f>
        <v>ints-5</v>
      </c>
      <c r="I3573" t="s">
        <v>13147</v>
      </c>
      <c r="J3573">
        <v>13.7762184186252</v>
      </c>
      <c r="K3573">
        <v>14.2006270425348</v>
      </c>
      <c r="L3573">
        <v>13.7297925380858</v>
      </c>
      <c r="M3573" t="s">
        <v>29</v>
      </c>
      <c r="N3573">
        <v>13.5513831572079</v>
      </c>
      <c r="O3573">
        <v>13.724829942007499</v>
      </c>
      <c r="P3573">
        <v>-0.26410611680754698</v>
      </c>
      <c r="Q3573">
        <v>-0.74517565791338802</v>
      </c>
      <c r="R3573">
        <v>0.21696342429829499</v>
      </c>
      <c r="S3573">
        <v>14.2102049726775</v>
      </c>
      <c r="T3573">
        <v>-1.1588323553264199</v>
      </c>
      <c r="U3573">
        <v>-6.3664276403170597</v>
      </c>
      <c r="V3573">
        <v>0.26264225173345201</v>
      </c>
      <c r="W3573">
        <v>0.43004545353105</v>
      </c>
      <c r="X3573">
        <v>0</v>
      </c>
      <c r="Y3573">
        <v>0</v>
      </c>
    </row>
    <row r="3574" spans="1:25" x14ac:dyDescent="0.2">
      <c r="A3574" t="s">
        <v>13148</v>
      </c>
      <c r="B3574" t="s">
        <v>13149</v>
      </c>
      <c r="C3574" t="s">
        <v>13150</v>
      </c>
      <c r="D3574" t="s">
        <v>13151</v>
      </c>
      <c r="E3574" t="s">
        <v>13149</v>
      </c>
      <c r="F3574" t="s">
        <v>28</v>
      </c>
      <c r="G3574" t="s">
        <v>13149</v>
      </c>
      <c r="H3574" t="str">
        <f>"haf-7"</f>
        <v>haf-7</v>
      </c>
      <c r="I3574" t="s">
        <v>13151</v>
      </c>
      <c r="J3574">
        <v>11.8481322065646</v>
      </c>
      <c r="K3574" t="s">
        <v>29</v>
      </c>
      <c r="L3574" t="s">
        <v>29</v>
      </c>
      <c r="M3574" t="s">
        <v>29</v>
      </c>
      <c r="N3574" t="s">
        <v>29</v>
      </c>
      <c r="O3574" t="s">
        <v>29</v>
      </c>
      <c r="P3574" t="s">
        <v>29</v>
      </c>
      <c r="Q3574" t="s">
        <v>29</v>
      </c>
      <c r="R3574" t="s">
        <v>29</v>
      </c>
      <c r="S3574">
        <v>12.007688692355501</v>
      </c>
      <c r="T3574" t="s">
        <v>29</v>
      </c>
      <c r="U3574" t="s">
        <v>29</v>
      </c>
      <c r="V3574" t="s">
        <v>29</v>
      </c>
      <c r="W3574" t="s">
        <v>29</v>
      </c>
      <c r="X3574" t="s">
        <v>29</v>
      </c>
      <c r="Y3574" t="s">
        <v>29</v>
      </c>
    </row>
    <row r="3575" spans="1:25" x14ac:dyDescent="0.2">
      <c r="A3575" t="s">
        <v>13152</v>
      </c>
      <c r="B3575" t="s">
        <v>13153</v>
      </c>
      <c r="C3575" t="s">
        <v>13154</v>
      </c>
      <c r="D3575" t="s">
        <v>13155</v>
      </c>
      <c r="E3575" t="s">
        <v>13153</v>
      </c>
      <c r="F3575" t="s">
        <v>28</v>
      </c>
      <c r="G3575" t="s">
        <v>13153</v>
      </c>
      <c r="H3575" t="str">
        <f>"tat-1"</f>
        <v>tat-1</v>
      </c>
      <c r="I3575" t="s">
        <v>13155</v>
      </c>
      <c r="J3575">
        <v>10.6683006926442</v>
      </c>
      <c r="K3575">
        <v>10.9173672326228</v>
      </c>
      <c r="L3575">
        <v>11.599556353082001</v>
      </c>
      <c r="M3575" t="s">
        <v>29</v>
      </c>
      <c r="N3575">
        <v>11.567143974086299</v>
      </c>
      <c r="O3575">
        <v>12.119404813501101</v>
      </c>
      <c r="P3575">
        <v>0.78153296767737102</v>
      </c>
      <c r="Q3575">
        <v>0.186797392328831</v>
      </c>
      <c r="R3575">
        <v>1.3762685430259101</v>
      </c>
      <c r="S3575">
        <v>11.905699757100701</v>
      </c>
      <c r="T3575">
        <v>2.7872306880979201</v>
      </c>
      <c r="U3575">
        <v>-3.7145784724267701</v>
      </c>
      <c r="V3575">
        <v>1.3245535915673101E-2</v>
      </c>
      <c r="W3575">
        <v>5.5604835247134998E-2</v>
      </c>
      <c r="X3575">
        <v>0</v>
      </c>
      <c r="Y3575">
        <v>0</v>
      </c>
    </row>
    <row r="3576" spans="1:25" x14ac:dyDescent="0.2">
      <c r="A3576" t="s">
        <v>13156</v>
      </c>
      <c r="B3576" t="s">
        <v>13157</v>
      </c>
      <c r="C3576" t="s">
        <v>14720</v>
      </c>
      <c r="D3576" t="s">
        <v>13158</v>
      </c>
      <c r="E3576" t="s">
        <v>13157</v>
      </c>
      <c r="F3576" t="s">
        <v>28</v>
      </c>
      <c r="G3576" t="s">
        <v>13157</v>
      </c>
      <c r="H3576" t="str">
        <f>"Y48G10A.3"</f>
        <v>Y48G10A.3</v>
      </c>
      <c r="I3576" t="s">
        <v>13158</v>
      </c>
      <c r="J3576">
        <v>13.216674463859199</v>
      </c>
      <c r="K3576">
        <v>12.1484092374507</v>
      </c>
      <c r="L3576">
        <v>12.6942403122312</v>
      </c>
      <c r="M3576" t="s">
        <v>29</v>
      </c>
      <c r="N3576" t="s">
        <v>29</v>
      </c>
      <c r="O3576" t="s">
        <v>29</v>
      </c>
      <c r="P3576" t="s">
        <v>29</v>
      </c>
      <c r="Q3576" t="s">
        <v>29</v>
      </c>
      <c r="R3576" t="s">
        <v>29</v>
      </c>
      <c r="S3576">
        <v>12.8493631927553</v>
      </c>
      <c r="T3576" t="s">
        <v>29</v>
      </c>
      <c r="U3576" t="s">
        <v>29</v>
      </c>
      <c r="V3576" t="s">
        <v>29</v>
      </c>
      <c r="W3576" t="s">
        <v>29</v>
      </c>
      <c r="X3576" t="s">
        <v>29</v>
      </c>
      <c r="Y3576" t="s">
        <v>29</v>
      </c>
    </row>
    <row r="3577" spans="1:25" x14ac:dyDescent="0.2">
      <c r="A3577" t="s">
        <v>13159</v>
      </c>
      <c r="B3577" t="s">
        <v>13160</v>
      </c>
      <c r="C3577" t="s">
        <v>14721</v>
      </c>
      <c r="D3577" t="s">
        <v>13161</v>
      </c>
      <c r="E3577" t="s">
        <v>13160</v>
      </c>
      <c r="F3577" t="s">
        <v>28</v>
      </c>
      <c r="G3577" t="s">
        <v>13160</v>
      </c>
      <c r="H3577" t="str">
        <f>"Y48C3A.20"</f>
        <v>Y48C3A.20</v>
      </c>
      <c r="I3577" t="s">
        <v>13161</v>
      </c>
      <c r="J3577">
        <v>14.0826726253771</v>
      </c>
      <c r="K3577">
        <v>13.290491348282201</v>
      </c>
      <c r="L3577">
        <v>14.047445668901499</v>
      </c>
      <c r="M3577" t="s">
        <v>29</v>
      </c>
      <c r="N3577" t="s">
        <v>29</v>
      </c>
      <c r="O3577">
        <v>14.086569554865401</v>
      </c>
      <c r="P3577">
        <v>0.27969967401180701</v>
      </c>
      <c r="Q3577">
        <v>-0.43938416186009999</v>
      </c>
      <c r="R3577">
        <v>0.998783509883715</v>
      </c>
      <c r="S3577">
        <v>14.096463262615</v>
      </c>
      <c r="T3577">
        <v>0.82957191293726296</v>
      </c>
      <c r="U3577">
        <v>-6.4580859440066201</v>
      </c>
      <c r="V3577">
        <v>0.41987776935916399</v>
      </c>
      <c r="W3577">
        <v>0.58671398117660301</v>
      </c>
      <c r="X3577">
        <v>0</v>
      </c>
      <c r="Y3577">
        <v>0</v>
      </c>
    </row>
    <row r="3578" spans="1:25" x14ac:dyDescent="0.2">
      <c r="A3578" t="s">
        <v>13162</v>
      </c>
      <c r="B3578" t="s">
        <v>13163</v>
      </c>
      <c r="C3578" t="s">
        <v>14722</v>
      </c>
      <c r="D3578" t="s">
        <v>13164</v>
      </c>
      <c r="E3578" t="s">
        <v>13163</v>
      </c>
      <c r="F3578" t="s">
        <v>28</v>
      </c>
      <c r="G3578" t="s">
        <v>13163</v>
      </c>
      <c r="H3578" t="str">
        <f>"Y48B6A.13"</f>
        <v>Y48B6A.13</v>
      </c>
      <c r="I3578" t="s">
        <v>13164</v>
      </c>
      <c r="J3578">
        <v>13.420654411360999</v>
      </c>
      <c r="K3578">
        <v>13.3601184268531</v>
      </c>
      <c r="L3578">
        <v>13.3280632884992</v>
      </c>
      <c r="M3578" t="s">
        <v>29</v>
      </c>
      <c r="N3578">
        <v>13.0306921748839</v>
      </c>
      <c r="O3578">
        <v>12.656541220476599</v>
      </c>
      <c r="P3578">
        <v>-0.52599534455752395</v>
      </c>
      <c r="Q3578">
        <v>-1.0326251667666999</v>
      </c>
      <c r="R3578">
        <v>-1.9365522348350799E-2</v>
      </c>
      <c r="S3578">
        <v>13.250354672900301</v>
      </c>
      <c r="T3578">
        <v>-2.1914984257778798</v>
      </c>
      <c r="U3578">
        <v>-4.8258334567828296</v>
      </c>
      <c r="V3578">
        <v>4.2723202726431701E-2</v>
      </c>
      <c r="W3578">
        <v>0.122119571711731</v>
      </c>
      <c r="X3578">
        <v>0</v>
      </c>
      <c r="Y3578">
        <v>0</v>
      </c>
    </row>
    <row r="3579" spans="1:25" x14ac:dyDescent="0.2">
      <c r="A3579" t="s">
        <v>13165</v>
      </c>
      <c r="B3579" t="s">
        <v>13166</v>
      </c>
      <c r="C3579" t="s">
        <v>13167</v>
      </c>
      <c r="D3579" t="s">
        <v>13168</v>
      </c>
      <c r="E3579" t="s">
        <v>13166</v>
      </c>
      <c r="F3579" t="s">
        <v>28</v>
      </c>
      <c r="G3579" t="s">
        <v>13166</v>
      </c>
      <c r="H3579" t="str">
        <f>"men-1"</f>
        <v>men-1</v>
      </c>
      <c r="I3579" t="s">
        <v>13168</v>
      </c>
      <c r="J3579">
        <v>13.6806663063182</v>
      </c>
      <c r="K3579">
        <v>14.022220593439799</v>
      </c>
      <c r="L3579">
        <v>14.6035825539219</v>
      </c>
      <c r="M3579" t="s">
        <v>29</v>
      </c>
      <c r="N3579">
        <v>13.7290574486026</v>
      </c>
      <c r="O3579">
        <v>15.003739152885499</v>
      </c>
      <c r="P3579">
        <v>0.26424181618407699</v>
      </c>
      <c r="Q3579">
        <v>-0.53330720011090604</v>
      </c>
      <c r="R3579">
        <v>1.0617908324790599</v>
      </c>
      <c r="S3579">
        <v>14.264912346677599</v>
      </c>
      <c r="T3579">
        <v>0.699349349286981</v>
      </c>
      <c r="U3579">
        <v>-6.7920614494721798</v>
      </c>
      <c r="V3579">
        <v>0.49385046389061898</v>
      </c>
      <c r="W3579">
        <v>0.65030264391673598</v>
      </c>
      <c r="X3579">
        <v>0</v>
      </c>
      <c r="Y3579">
        <v>0</v>
      </c>
    </row>
    <row r="3580" spans="1:25" x14ac:dyDescent="0.2">
      <c r="A3580" t="s">
        <v>13169</v>
      </c>
      <c r="B3580" t="s">
        <v>13170</v>
      </c>
      <c r="C3580" t="s">
        <v>13171</v>
      </c>
      <c r="D3580" t="s">
        <v>13172</v>
      </c>
      <c r="E3580" t="s">
        <v>13170</v>
      </c>
      <c r="F3580" t="s">
        <v>28</v>
      </c>
      <c r="G3580" t="s">
        <v>13170</v>
      </c>
      <c r="H3580" t="str">
        <f>"xrn-2"</f>
        <v>xrn-2</v>
      </c>
      <c r="I3580" t="s">
        <v>13172</v>
      </c>
      <c r="J3580">
        <v>13.982426063870101</v>
      </c>
      <c r="K3580">
        <v>14.4713453709353</v>
      </c>
      <c r="L3580">
        <v>14.7882653778864</v>
      </c>
      <c r="M3580">
        <v>13.996444399645201</v>
      </c>
      <c r="N3580">
        <v>14.498053689246399</v>
      </c>
      <c r="O3580">
        <v>14.090834994400099</v>
      </c>
      <c r="P3580">
        <v>-0.21890124313336501</v>
      </c>
      <c r="Q3580">
        <v>-0.70694896351069703</v>
      </c>
      <c r="R3580">
        <v>0.26914647724396801</v>
      </c>
      <c r="S3580">
        <v>15.1326845519639</v>
      </c>
      <c r="T3580">
        <v>-0.94271073482648604</v>
      </c>
      <c r="U3580">
        <v>-6.7011945319031101</v>
      </c>
      <c r="V3580">
        <v>0.35838289977300403</v>
      </c>
      <c r="W3580">
        <v>0.52834137350227195</v>
      </c>
      <c r="X3580">
        <v>0</v>
      </c>
      <c r="Y3580">
        <v>0</v>
      </c>
    </row>
    <row r="3581" spans="1:25" x14ac:dyDescent="0.2">
      <c r="A3581" t="s">
        <v>13173</v>
      </c>
      <c r="B3581" t="s">
        <v>13174</v>
      </c>
      <c r="C3581" t="s">
        <v>13175</v>
      </c>
      <c r="D3581" t="s">
        <v>13176</v>
      </c>
      <c r="E3581" t="s">
        <v>13174</v>
      </c>
      <c r="F3581" t="s">
        <v>28</v>
      </c>
      <c r="G3581" t="s">
        <v>13174</v>
      </c>
      <c r="H3581" t="str">
        <f>"rpl-43"</f>
        <v>rpl-43</v>
      </c>
      <c r="I3581" t="s">
        <v>13176</v>
      </c>
      <c r="J3581">
        <v>16.757068925772199</v>
      </c>
      <c r="K3581">
        <v>16.6057576345736</v>
      </c>
      <c r="L3581">
        <v>16.694880609598101</v>
      </c>
      <c r="M3581">
        <v>16.3513663340085</v>
      </c>
      <c r="N3581">
        <v>16.124420015544899</v>
      </c>
      <c r="O3581">
        <v>15.077761772474</v>
      </c>
      <c r="P3581">
        <v>-0.83471968263881502</v>
      </c>
      <c r="Q3581">
        <v>-1.4845849810641201</v>
      </c>
      <c r="R3581">
        <v>-0.184854384213504</v>
      </c>
      <c r="S3581">
        <v>16.186613809175899</v>
      </c>
      <c r="T3581">
        <v>-2.6996646531055801</v>
      </c>
      <c r="U3581">
        <v>-3.95142415845898</v>
      </c>
      <c r="V3581">
        <v>1.47139840909728E-2</v>
      </c>
      <c r="W3581">
        <v>5.9482935017272497E-2</v>
      </c>
      <c r="X3581">
        <v>0</v>
      </c>
      <c r="Y3581">
        <v>0</v>
      </c>
    </row>
    <row r="3582" spans="1:25" x14ac:dyDescent="0.2">
      <c r="A3582" t="s">
        <v>13177</v>
      </c>
      <c r="B3582" t="s">
        <v>13178</v>
      </c>
      <c r="C3582" t="s">
        <v>13179</v>
      </c>
      <c r="D3582" t="s">
        <v>13180</v>
      </c>
      <c r="E3582" t="s">
        <v>13178</v>
      </c>
      <c r="F3582" t="s">
        <v>28</v>
      </c>
      <c r="G3582" t="s">
        <v>13178</v>
      </c>
      <c r="H3582" t="str">
        <f>"Y48B6A.1"</f>
        <v>Y48B6A.1</v>
      </c>
      <c r="I3582" t="s">
        <v>13180</v>
      </c>
      <c r="J3582">
        <v>12.6073817464243</v>
      </c>
      <c r="K3582">
        <v>12.9265059153342</v>
      </c>
      <c r="L3582">
        <v>12.3348018804272</v>
      </c>
      <c r="M3582" t="s">
        <v>29</v>
      </c>
      <c r="N3582">
        <v>13.452598916669601</v>
      </c>
      <c r="O3582">
        <v>13.2875793882745</v>
      </c>
      <c r="P3582">
        <v>0.74719263841013195</v>
      </c>
      <c r="Q3582">
        <v>0.237310504585449</v>
      </c>
      <c r="R3582">
        <v>1.2570747722348099</v>
      </c>
      <c r="S3582">
        <v>12.8938007527292</v>
      </c>
      <c r="T3582">
        <v>3.0932341977423801</v>
      </c>
      <c r="U3582">
        <v>-3.0680571787945601</v>
      </c>
      <c r="V3582">
        <v>6.6366837982898301E-3</v>
      </c>
      <c r="W3582">
        <v>3.4196448044093802E-2</v>
      </c>
      <c r="X3582">
        <v>0</v>
      </c>
      <c r="Y3582">
        <v>0</v>
      </c>
    </row>
    <row r="3583" spans="1:25" x14ac:dyDescent="0.2">
      <c r="A3583" t="s">
        <v>13181</v>
      </c>
      <c r="B3583" t="s">
        <v>13182</v>
      </c>
      <c r="C3583" t="s">
        <v>14723</v>
      </c>
      <c r="D3583" t="s">
        <v>13183</v>
      </c>
      <c r="E3583" t="s">
        <v>13182</v>
      </c>
      <c r="F3583" t="s">
        <v>28</v>
      </c>
      <c r="G3583" t="s">
        <v>13182</v>
      </c>
      <c r="H3583" t="str">
        <f>"Y47H9C.8"</f>
        <v>Y47H9C.8</v>
      </c>
      <c r="I3583" t="s">
        <v>13183</v>
      </c>
      <c r="J3583">
        <v>14.5879501343989</v>
      </c>
      <c r="K3583">
        <v>14.6747619353755</v>
      </c>
      <c r="L3583">
        <v>15.070366567524699</v>
      </c>
      <c r="M3583">
        <v>13.4890311116297</v>
      </c>
      <c r="N3583">
        <v>14.4805247486153</v>
      </c>
      <c r="O3583">
        <v>14.8811916159858</v>
      </c>
      <c r="P3583">
        <v>-0.49411038702277899</v>
      </c>
      <c r="Q3583">
        <v>-1.10248612989712</v>
      </c>
      <c r="R3583">
        <v>0.114265355851561</v>
      </c>
      <c r="S3583">
        <v>15.141358200296599</v>
      </c>
      <c r="T3583">
        <v>-1.70704357443535</v>
      </c>
      <c r="U3583">
        <v>-5.74018054540851</v>
      </c>
      <c r="V3583">
        <v>0.105105662143546</v>
      </c>
      <c r="W3583">
        <v>0.22477967078159</v>
      </c>
      <c r="X3583">
        <v>0</v>
      </c>
      <c r="Y3583">
        <v>0</v>
      </c>
    </row>
    <row r="3584" spans="1:25" x14ac:dyDescent="0.2">
      <c r="A3584" t="s">
        <v>13184</v>
      </c>
      <c r="B3584" t="s">
        <v>13185</v>
      </c>
      <c r="C3584" t="s">
        <v>13186</v>
      </c>
      <c r="D3584" t="s">
        <v>13187</v>
      </c>
      <c r="E3584" t="s">
        <v>13185</v>
      </c>
      <c r="F3584" t="s">
        <v>28</v>
      </c>
      <c r="G3584" t="s">
        <v>13185</v>
      </c>
      <c r="H3584" t="str">
        <f>"rab-35"</f>
        <v>rab-35</v>
      </c>
      <c r="I3584" t="s">
        <v>13187</v>
      </c>
      <c r="J3584">
        <v>15.327831677736899</v>
      </c>
      <c r="K3584">
        <v>15.533401451342501</v>
      </c>
      <c r="L3584">
        <v>14.9868161897748</v>
      </c>
      <c r="M3584">
        <v>15.411570383932199</v>
      </c>
      <c r="N3584">
        <v>14.653496843804801</v>
      </c>
      <c r="O3584">
        <v>15.2738365981592</v>
      </c>
      <c r="P3584">
        <v>-0.169715164319335</v>
      </c>
      <c r="Q3584">
        <v>-0.61542064199030599</v>
      </c>
      <c r="R3584">
        <v>0.27599031335163499</v>
      </c>
      <c r="S3584">
        <v>14.694801456626299</v>
      </c>
      <c r="T3584">
        <v>-0.800322801994927</v>
      </c>
      <c r="U3584">
        <v>-6.8260743042731002</v>
      </c>
      <c r="V3584">
        <v>0.43402071834761902</v>
      </c>
      <c r="W3584">
        <v>0.59965262867812197</v>
      </c>
      <c r="X3584">
        <v>0</v>
      </c>
      <c r="Y3584">
        <v>0</v>
      </c>
    </row>
    <row r="3585" spans="1:25" x14ac:dyDescent="0.2">
      <c r="A3585" t="s">
        <v>13188</v>
      </c>
      <c r="B3585" t="s">
        <v>13189</v>
      </c>
      <c r="C3585" t="s">
        <v>13190</v>
      </c>
      <c r="D3585" t="s">
        <v>13191</v>
      </c>
      <c r="E3585" t="s">
        <v>13189</v>
      </c>
      <c r="F3585" t="s">
        <v>28</v>
      </c>
      <c r="G3585" t="s">
        <v>13189</v>
      </c>
      <c r="H3585" t="str">
        <f>"cku-70"</f>
        <v>cku-70</v>
      </c>
      <c r="I3585" t="s">
        <v>13191</v>
      </c>
      <c r="J3585" t="s">
        <v>29</v>
      </c>
      <c r="K3585" t="s">
        <v>29</v>
      </c>
      <c r="L3585">
        <v>11.671017687278599</v>
      </c>
      <c r="M3585" t="s">
        <v>29</v>
      </c>
      <c r="N3585" t="s">
        <v>29</v>
      </c>
      <c r="O3585">
        <v>12.032040137571</v>
      </c>
      <c r="P3585">
        <v>0.36102245029240398</v>
      </c>
      <c r="Q3585">
        <v>-0.97383973255713296</v>
      </c>
      <c r="R3585">
        <v>1.6958846331419399</v>
      </c>
      <c r="S3585">
        <v>13.400799974922201</v>
      </c>
      <c r="T3585">
        <v>0.58985164167049298</v>
      </c>
      <c r="U3585">
        <v>-6.4303731787638201</v>
      </c>
      <c r="V3585">
        <v>0.56632629748781105</v>
      </c>
      <c r="W3585">
        <v>0.70808807751233804</v>
      </c>
      <c r="X3585">
        <v>0</v>
      </c>
      <c r="Y3585">
        <v>0</v>
      </c>
    </row>
    <row r="3586" spans="1:25" x14ac:dyDescent="0.2">
      <c r="A3586" t="s">
        <v>13192</v>
      </c>
      <c r="B3586" t="s">
        <v>13193</v>
      </c>
      <c r="C3586" t="s">
        <v>13194</v>
      </c>
      <c r="D3586" t="s">
        <v>13195</v>
      </c>
      <c r="E3586" t="s">
        <v>13193</v>
      </c>
      <c r="F3586" t="s">
        <v>28</v>
      </c>
      <c r="G3586" t="s">
        <v>13193</v>
      </c>
      <c r="H3586" t="str">
        <f>"cnp-2"</f>
        <v>cnp-2</v>
      </c>
      <c r="I3586" t="s">
        <v>13195</v>
      </c>
      <c r="J3586">
        <v>12.837971126628601</v>
      </c>
      <c r="K3586">
        <v>10.9918029313468</v>
      </c>
      <c r="L3586" t="s">
        <v>29</v>
      </c>
      <c r="M3586" t="s">
        <v>29</v>
      </c>
      <c r="N3586" t="s">
        <v>29</v>
      </c>
      <c r="O3586" t="s">
        <v>29</v>
      </c>
      <c r="P3586" t="s">
        <v>29</v>
      </c>
      <c r="Q3586" t="s">
        <v>29</v>
      </c>
      <c r="R3586" t="s">
        <v>29</v>
      </c>
      <c r="S3586">
        <v>11.3696602590172</v>
      </c>
      <c r="T3586" t="s">
        <v>29</v>
      </c>
      <c r="U3586" t="s">
        <v>29</v>
      </c>
      <c r="V3586" t="s">
        <v>29</v>
      </c>
      <c r="W3586" t="s">
        <v>29</v>
      </c>
      <c r="X3586" t="s">
        <v>29</v>
      </c>
      <c r="Y3586" t="s">
        <v>29</v>
      </c>
    </row>
    <row r="3587" spans="1:25" x14ac:dyDescent="0.2">
      <c r="A3587" t="s">
        <v>13196</v>
      </c>
      <c r="B3587" t="s">
        <v>13197</v>
      </c>
      <c r="C3587" t="s">
        <v>13198</v>
      </c>
      <c r="D3587" t="s">
        <v>178</v>
      </c>
      <c r="E3587" t="s">
        <v>13197</v>
      </c>
      <c r="F3587" t="s">
        <v>28</v>
      </c>
      <c r="G3587" t="s">
        <v>13197</v>
      </c>
      <c r="H3587" t="str">
        <f>"tbc-17"</f>
        <v>tbc-17</v>
      </c>
      <c r="I3587" t="s">
        <v>178</v>
      </c>
      <c r="J3587">
        <v>13.7765861253166</v>
      </c>
      <c r="K3587">
        <v>14.092415907389301</v>
      </c>
      <c r="L3587">
        <v>13.9139921549802</v>
      </c>
      <c r="M3587">
        <v>12.3528762732183</v>
      </c>
      <c r="N3587">
        <v>14.1696611453232</v>
      </c>
      <c r="O3587">
        <v>13.1226879042694</v>
      </c>
      <c r="P3587">
        <v>-0.71258962162507999</v>
      </c>
      <c r="Q3587">
        <v>-1.3485506772329601</v>
      </c>
      <c r="R3587">
        <v>-7.6628566017202096E-2</v>
      </c>
      <c r="S3587">
        <v>13.923778252780201</v>
      </c>
      <c r="T3587">
        <v>-2.3550573337585101</v>
      </c>
      <c r="U3587">
        <v>-4.62312656252967</v>
      </c>
      <c r="V3587">
        <v>3.0141001113462601E-2</v>
      </c>
      <c r="W3587">
        <v>9.7077082274725904E-2</v>
      </c>
      <c r="X3587">
        <v>0</v>
      </c>
      <c r="Y3587">
        <v>0</v>
      </c>
    </row>
    <row r="3588" spans="1:25" x14ac:dyDescent="0.2">
      <c r="A3588" t="s">
        <v>13199</v>
      </c>
      <c r="B3588" t="s">
        <v>13200</v>
      </c>
      <c r="C3588" t="s">
        <v>13201</v>
      </c>
      <c r="D3588" t="s">
        <v>13202</v>
      </c>
      <c r="E3588" t="s">
        <v>13200</v>
      </c>
      <c r="F3588" t="s">
        <v>28</v>
      </c>
      <c r="G3588" t="s">
        <v>13200</v>
      </c>
      <c r="H3588" t="str">
        <f>"gsy-1"</f>
        <v>gsy-1</v>
      </c>
      <c r="I3588" t="s">
        <v>13202</v>
      </c>
      <c r="J3588">
        <v>15.784522844039399</v>
      </c>
      <c r="K3588">
        <v>15.4276588008535</v>
      </c>
      <c r="L3588">
        <v>15.3094658242092</v>
      </c>
      <c r="M3588">
        <v>15.3094289594043</v>
      </c>
      <c r="N3588">
        <v>15.3494037755506</v>
      </c>
      <c r="O3588">
        <v>15.392953860802301</v>
      </c>
      <c r="P3588">
        <v>-0.15662029111496201</v>
      </c>
      <c r="Q3588">
        <v>-0.57076488492978195</v>
      </c>
      <c r="R3588">
        <v>0.25752430269985799</v>
      </c>
      <c r="S3588">
        <v>15.343362991584099</v>
      </c>
      <c r="T3588">
        <v>-0.79485615856306502</v>
      </c>
      <c r="U3588">
        <v>-6.8304926073974999</v>
      </c>
      <c r="V3588">
        <v>0.437112949229227</v>
      </c>
      <c r="W3588">
        <v>0.60195394327365503</v>
      </c>
      <c r="X3588">
        <v>0</v>
      </c>
      <c r="Y3588">
        <v>0</v>
      </c>
    </row>
    <row r="3589" spans="1:25" x14ac:dyDescent="0.2">
      <c r="A3589" t="s">
        <v>13203</v>
      </c>
      <c r="B3589" t="s">
        <v>13204</v>
      </c>
      <c r="C3589" t="s">
        <v>14724</v>
      </c>
      <c r="D3589" t="s">
        <v>11249</v>
      </c>
      <c r="E3589" t="s">
        <v>13204</v>
      </c>
      <c r="F3589" t="s">
        <v>28</v>
      </c>
      <c r="G3589" t="s">
        <v>13204</v>
      </c>
      <c r="H3589" t="str">
        <f>"Y46G5A.22"</f>
        <v>Y46G5A.22</v>
      </c>
      <c r="I3589" t="s">
        <v>11249</v>
      </c>
      <c r="J3589">
        <v>12.258615891239799</v>
      </c>
      <c r="K3589">
        <v>10.977119718551601</v>
      </c>
      <c r="L3589">
        <v>12.7185122064491</v>
      </c>
      <c r="M3589" t="s">
        <v>29</v>
      </c>
      <c r="N3589" t="s">
        <v>29</v>
      </c>
      <c r="O3589">
        <v>12.217860814281799</v>
      </c>
      <c r="P3589">
        <v>0.23311154220163199</v>
      </c>
      <c r="Q3589">
        <v>-1.48827289555324</v>
      </c>
      <c r="R3589">
        <v>1.9544959799565</v>
      </c>
      <c r="S3589">
        <v>11.955443226525601</v>
      </c>
      <c r="T3589">
        <v>0.290654999762127</v>
      </c>
      <c r="U3589">
        <v>-6.7680942842902798</v>
      </c>
      <c r="V3589">
        <v>0.77560821723731499</v>
      </c>
      <c r="W3589">
        <v>0.85812265034690505</v>
      </c>
      <c r="X3589">
        <v>0</v>
      </c>
      <c r="Y3589">
        <v>0</v>
      </c>
    </row>
    <row r="3590" spans="1:25" x14ac:dyDescent="0.2">
      <c r="A3590" t="s">
        <v>13205</v>
      </c>
      <c r="B3590" t="s">
        <v>13206</v>
      </c>
      <c r="C3590" t="s">
        <v>14725</v>
      </c>
      <c r="D3590" t="s">
        <v>13207</v>
      </c>
      <c r="E3590" t="s">
        <v>13206</v>
      </c>
      <c r="F3590" t="s">
        <v>28</v>
      </c>
      <c r="G3590" t="s">
        <v>13206</v>
      </c>
      <c r="H3590" t="str">
        <f>"Y46G5A.18"</f>
        <v>Y46G5A.18</v>
      </c>
      <c r="I3590" t="s">
        <v>13207</v>
      </c>
      <c r="J3590" t="s">
        <v>29</v>
      </c>
      <c r="K3590" t="s">
        <v>29</v>
      </c>
      <c r="L3590" t="s">
        <v>29</v>
      </c>
      <c r="M3590" t="s">
        <v>29</v>
      </c>
      <c r="N3590" t="s">
        <v>29</v>
      </c>
      <c r="O3590" t="s">
        <v>29</v>
      </c>
      <c r="P3590" t="s">
        <v>29</v>
      </c>
      <c r="Q3590" t="s">
        <v>29</v>
      </c>
      <c r="R3590" t="s">
        <v>29</v>
      </c>
      <c r="S3590">
        <v>10.919046441846801</v>
      </c>
      <c r="T3590" t="s">
        <v>29</v>
      </c>
      <c r="U3590" t="s">
        <v>29</v>
      </c>
      <c r="V3590" t="s">
        <v>29</v>
      </c>
      <c r="W3590" t="s">
        <v>29</v>
      </c>
      <c r="X3590" t="s">
        <v>29</v>
      </c>
      <c r="Y3590" t="s">
        <v>29</v>
      </c>
    </row>
    <row r="3591" spans="1:25" x14ac:dyDescent="0.2">
      <c r="A3591" t="s">
        <v>13208</v>
      </c>
      <c r="B3591" t="s">
        <v>13209</v>
      </c>
      <c r="C3591" t="s">
        <v>13210</v>
      </c>
      <c r="D3591" t="s">
        <v>13211</v>
      </c>
      <c r="E3591" t="s">
        <v>13209</v>
      </c>
      <c r="F3591" t="s">
        <v>28</v>
      </c>
      <c r="G3591" t="s">
        <v>13209</v>
      </c>
      <c r="H3591" t="str">
        <f>"cpt-1"</f>
        <v>cpt-1</v>
      </c>
      <c r="I3591" t="s">
        <v>13211</v>
      </c>
      <c r="J3591">
        <v>16.138531884678901</v>
      </c>
      <c r="K3591">
        <v>16.0128308294817</v>
      </c>
      <c r="L3591">
        <v>15.4570882466105</v>
      </c>
      <c r="M3591">
        <v>15.987393480152599</v>
      </c>
      <c r="N3591">
        <v>15.479582391825399</v>
      </c>
      <c r="O3591">
        <v>15.5823960883525</v>
      </c>
      <c r="P3591">
        <v>-0.18635966681352301</v>
      </c>
      <c r="Q3591">
        <v>-0.68547393187406103</v>
      </c>
      <c r="R3591">
        <v>0.31275459824701501</v>
      </c>
      <c r="S3591">
        <v>15.2169245512841</v>
      </c>
      <c r="T3591">
        <v>-0.78477372852992</v>
      </c>
      <c r="U3591">
        <v>-6.8385674973649202</v>
      </c>
      <c r="V3591">
        <v>0.44285212330651702</v>
      </c>
      <c r="W3591">
        <v>0.60758767437078398</v>
      </c>
      <c r="X3591">
        <v>0</v>
      </c>
      <c r="Y3591">
        <v>0</v>
      </c>
    </row>
    <row r="3592" spans="1:25" x14ac:dyDescent="0.2">
      <c r="A3592" t="s">
        <v>13212</v>
      </c>
      <c r="B3592" t="s">
        <v>13213</v>
      </c>
      <c r="C3592" t="s">
        <v>13214</v>
      </c>
      <c r="D3592" t="s">
        <v>93</v>
      </c>
      <c r="E3592" t="s">
        <v>13213</v>
      </c>
      <c r="F3592" t="s">
        <v>28</v>
      </c>
      <c r="G3592" t="s">
        <v>13213</v>
      </c>
      <c r="H3592" t="str">
        <f>"tiar-2"</f>
        <v>tiar-2</v>
      </c>
      <c r="I3592" t="s">
        <v>93</v>
      </c>
      <c r="J3592" t="s">
        <v>29</v>
      </c>
      <c r="K3592">
        <v>13.1417493265613</v>
      </c>
      <c r="L3592">
        <v>12.747511092577</v>
      </c>
      <c r="M3592" t="s">
        <v>29</v>
      </c>
      <c r="N3592" t="s">
        <v>29</v>
      </c>
      <c r="O3592">
        <v>12.483676015591</v>
      </c>
      <c r="P3592">
        <v>-0.46095419397815901</v>
      </c>
      <c r="Q3592">
        <v>-1.3950169674275299</v>
      </c>
      <c r="R3592">
        <v>0.47310857947120899</v>
      </c>
      <c r="S3592">
        <v>13.514016547964101</v>
      </c>
      <c r="T3592">
        <v>-1.05918933618783</v>
      </c>
      <c r="U3592">
        <v>-6.18428323283708</v>
      </c>
      <c r="V3592">
        <v>0.30757947856450002</v>
      </c>
      <c r="W3592">
        <v>0.47757466982591301</v>
      </c>
      <c r="X3592">
        <v>0</v>
      </c>
      <c r="Y3592">
        <v>0</v>
      </c>
    </row>
    <row r="3593" spans="1:25" x14ac:dyDescent="0.2">
      <c r="A3593" t="s">
        <v>13215</v>
      </c>
      <c r="B3593" t="s">
        <v>13216</v>
      </c>
      <c r="C3593" t="s">
        <v>13217</v>
      </c>
      <c r="D3593" t="s">
        <v>13218</v>
      </c>
      <c r="E3593" t="s">
        <v>13216</v>
      </c>
      <c r="F3593" t="s">
        <v>28</v>
      </c>
      <c r="G3593" t="s">
        <v>13216</v>
      </c>
      <c r="H3593" t="str">
        <f>"vps-2"</f>
        <v>vps-2</v>
      </c>
      <c r="I3593" t="s">
        <v>13218</v>
      </c>
      <c r="J3593">
        <v>10.4529164811795</v>
      </c>
      <c r="K3593">
        <v>10.4668708270918</v>
      </c>
      <c r="L3593">
        <v>10.508034698921399</v>
      </c>
      <c r="M3593" t="s">
        <v>29</v>
      </c>
      <c r="N3593" t="s">
        <v>29</v>
      </c>
      <c r="O3593">
        <v>10.8344084073833</v>
      </c>
      <c r="P3593">
        <v>0.35846773831901602</v>
      </c>
      <c r="Q3593">
        <v>-0.26390621006242498</v>
      </c>
      <c r="R3593">
        <v>0.98084168670045702</v>
      </c>
      <c r="S3593">
        <v>10.808822878744699</v>
      </c>
      <c r="T3593">
        <v>1.2362051915027701</v>
      </c>
      <c r="U3593">
        <v>-6.0453010909458103</v>
      </c>
      <c r="V3593">
        <v>0.23687235496113601</v>
      </c>
      <c r="W3593">
        <v>0.40220621084819203</v>
      </c>
      <c r="X3593">
        <v>0</v>
      </c>
      <c r="Y3593">
        <v>0</v>
      </c>
    </row>
    <row r="3594" spans="1:25" x14ac:dyDescent="0.2">
      <c r="A3594" t="s">
        <v>13219</v>
      </c>
      <c r="B3594" t="s">
        <v>13220</v>
      </c>
      <c r="C3594" t="s">
        <v>13221</v>
      </c>
      <c r="D3594" t="s">
        <v>13222</v>
      </c>
      <c r="E3594" t="s">
        <v>13220</v>
      </c>
      <c r="F3594" t="s">
        <v>28</v>
      </c>
      <c r="G3594" t="s">
        <v>13220</v>
      </c>
      <c r="H3594" t="str">
        <f>"snrp-200"</f>
        <v>snrp-200</v>
      </c>
      <c r="I3594" t="s">
        <v>13222</v>
      </c>
      <c r="J3594">
        <v>16.659833906279601</v>
      </c>
      <c r="K3594">
        <v>16.508587732659901</v>
      </c>
      <c r="L3594">
        <v>16.314335839035898</v>
      </c>
      <c r="M3594">
        <v>16.3088042913332</v>
      </c>
      <c r="N3594">
        <v>16.258030525730199</v>
      </c>
      <c r="O3594">
        <v>16.4058129157604</v>
      </c>
      <c r="P3594">
        <v>-0.170036581717216</v>
      </c>
      <c r="Q3594">
        <v>-0.46776222804117101</v>
      </c>
      <c r="R3594">
        <v>0.12768906460673801</v>
      </c>
      <c r="S3594">
        <v>16.370066540486398</v>
      </c>
      <c r="T3594">
        <v>-1.20037967170212</v>
      </c>
      <c r="U3594">
        <v>-6.4291963117922997</v>
      </c>
      <c r="V3594">
        <v>0.245641851179903</v>
      </c>
      <c r="W3594">
        <v>0.41248235636876002</v>
      </c>
      <c r="X3594">
        <v>0</v>
      </c>
      <c r="Y3594">
        <v>0</v>
      </c>
    </row>
    <row r="3595" spans="1:25" x14ac:dyDescent="0.2">
      <c r="A3595" t="s">
        <v>13223</v>
      </c>
      <c r="B3595" t="s">
        <v>13224</v>
      </c>
      <c r="C3595" t="s">
        <v>13225</v>
      </c>
      <c r="D3595" t="s">
        <v>13226</v>
      </c>
      <c r="E3595" t="s">
        <v>13224</v>
      </c>
      <c r="F3595" t="s">
        <v>28</v>
      </c>
      <c r="G3595" t="s">
        <v>13224</v>
      </c>
      <c r="H3595" t="str">
        <f>"pisy-1"</f>
        <v>pisy-1</v>
      </c>
      <c r="I3595" t="s">
        <v>13226</v>
      </c>
      <c r="J3595">
        <v>13.4692579277842</v>
      </c>
      <c r="K3595">
        <v>15.305521444575101</v>
      </c>
      <c r="L3595">
        <v>14.631689549741401</v>
      </c>
      <c r="M3595" t="s">
        <v>29</v>
      </c>
      <c r="N3595" t="s">
        <v>29</v>
      </c>
      <c r="O3595" t="s">
        <v>29</v>
      </c>
      <c r="P3595" t="s">
        <v>29</v>
      </c>
      <c r="Q3595" t="s">
        <v>29</v>
      </c>
      <c r="R3595" t="s">
        <v>29</v>
      </c>
      <c r="S3595">
        <v>15.0793282280219</v>
      </c>
      <c r="T3595" t="s">
        <v>29</v>
      </c>
      <c r="U3595" t="s">
        <v>29</v>
      </c>
      <c r="V3595" t="s">
        <v>29</v>
      </c>
      <c r="W3595" t="s">
        <v>29</v>
      </c>
      <c r="X3595" t="s">
        <v>29</v>
      </c>
      <c r="Y3595" t="s">
        <v>29</v>
      </c>
    </row>
    <row r="3596" spans="1:25" x14ac:dyDescent="0.2">
      <c r="A3596" t="s">
        <v>13227</v>
      </c>
      <c r="B3596" t="s">
        <v>13228</v>
      </c>
      <c r="C3596" t="s">
        <v>13229</v>
      </c>
      <c r="D3596" t="s">
        <v>6796</v>
      </c>
      <c r="E3596" t="s">
        <v>13228</v>
      </c>
      <c r="F3596" t="s">
        <v>28</v>
      </c>
      <c r="G3596" t="s">
        <v>13228</v>
      </c>
      <c r="H3596" t="str">
        <f>"puf-3"</f>
        <v>puf-3</v>
      </c>
      <c r="I3596" t="s">
        <v>6796</v>
      </c>
      <c r="J3596">
        <v>12.8945672925273</v>
      </c>
      <c r="K3596">
        <v>12.8709860039279</v>
      </c>
      <c r="L3596">
        <v>13.36764355957</v>
      </c>
      <c r="M3596" t="s">
        <v>29</v>
      </c>
      <c r="N3596">
        <v>11.945999056874999</v>
      </c>
      <c r="O3596">
        <v>12.527321412322101</v>
      </c>
      <c r="P3596">
        <v>-0.80773871740992198</v>
      </c>
      <c r="Q3596">
        <v>-1.6155338398296399</v>
      </c>
      <c r="R3596" s="2">
        <v>5.6405009800308798E-5</v>
      </c>
      <c r="S3596">
        <v>13.540116646724501</v>
      </c>
      <c r="T3596">
        <v>-2.11066683980042</v>
      </c>
      <c r="U3596">
        <v>-4.9690300414130304</v>
      </c>
      <c r="V3596">
        <v>5.00142732082135E-2</v>
      </c>
      <c r="W3596">
        <v>0.13640647309868201</v>
      </c>
      <c r="X3596">
        <v>0</v>
      </c>
      <c r="Y3596">
        <v>0</v>
      </c>
    </row>
    <row r="3597" spans="1:25" x14ac:dyDescent="0.2">
      <c r="A3597" t="s">
        <v>13230</v>
      </c>
      <c r="B3597" t="s">
        <v>13231</v>
      </c>
      <c r="C3597" t="s">
        <v>13232</v>
      </c>
      <c r="D3597" t="s">
        <v>13233</v>
      </c>
      <c r="E3597" t="s">
        <v>13231</v>
      </c>
      <c r="F3597" t="s">
        <v>28</v>
      </c>
      <c r="G3597" t="s">
        <v>13231</v>
      </c>
      <c r="H3597" t="str">
        <f>"mrp-7"</f>
        <v>mrp-7</v>
      </c>
      <c r="I3597" t="s">
        <v>13233</v>
      </c>
      <c r="J3597">
        <v>13.269530104831301</v>
      </c>
      <c r="K3597">
        <v>13.191703651455899</v>
      </c>
      <c r="L3597">
        <v>12.9335657870727</v>
      </c>
      <c r="M3597" t="s">
        <v>29</v>
      </c>
      <c r="N3597">
        <v>11.352554613343299</v>
      </c>
      <c r="O3597">
        <v>12.698308526235399</v>
      </c>
      <c r="P3597">
        <v>-1.1061682779973101</v>
      </c>
      <c r="Q3597">
        <v>-1.9263090744409701</v>
      </c>
      <c r="R3597">
        <v>-0.28602748155364</v>
      </c>
      <c r="S3597">
        <v>13.327697417756999</v>
      </c>
      <c r="T3597">
        <v>-2.8469693878078299</v>
      </c>
      <c r="U3597">
        <v>-3.57112380620412</v>
      </c>
      <c r="V3597">
        <v>1.11954582591745E-2</v>
      </c>
      <c r="W3597">
        <v>4.9390741751178399E-2</v>
      </c>
      <c r="X3597">
        <v>-1</v>
      </c>
      <c r="Y3597">
        <v>-1</v>
      </c>
    </row>
    <row r="3598" spans="1:25" x14ac:dyDescent="0.2">
      <c r="A3598" t="s">
        <v>13234</v>
      </c>
      <c r="B3598" t="s">
        <v>13235</v>
      </c>
      <c r="C3598" t="s">
        <v>13236</v>
      </c>
      <c r="D3598" t="s">
        <v>4609</v>
      </c>
      <c r="E3598" t="s">
        <v>13235</v>
      </c>
      <c r="F3598" t="s">
        <v>28</v>
      </c>
      <c r="G3598" t="s">
        <v>13235</v>
      </c>
      <c r="H3598" t="str">
        <f>"set-24"</f>
        <v>set-24</v>
      </c>
      <c r="I3598" t="s">
        <v>4609</v>
      </c>
      <c r="J3598">
        <v>16.1018061338983</v>
      </c>
      <c r="K3598">
        <v>12.1589451518728</v>
      </c>
      <c r="L3598" t="s">
        <v>29</v>
      </c>
      <c r="M3598" t="s">
        <v>29</v>
      </c>
      <c r="N3598" t="s">
        <v>29</v>
      </c>
      <c r="O3598" t="s">
        <v>29</v>
      </c>
      <c r="P3598" t="s">
        <v>29</v>
      </c>
      <c r="Q3598" t="s">
        <v>29</v>
      </c>
      <c r="R3598" t="s">
        <v>29</v>
      </c>
      <c r="S3598">
        <v>12.0061690178561</v>
      </c>
      <c r="T3598" t="s">
        <v>29</v>
      </c>
      <c r="U3598" t="s">
        <v>29</v>
      </c>
      <c r="V3598" t="s">
        <v>29</v>
      </c>
      <c r="W3598" t="s">
        <v>29</v>
      </c>
      <c r="X3598" t="s">
        <v>29</v>
      </c>
      <c r="Y3598" t="s">
        <v>29</v>
      </c>
    </row>
    <row r="3599" spans="1:25" x14ac:dyDescent="0.2">
      <c r="A3599" t="s">
        <v>13237</v>
      </c>
      <c r="B3599" t="s">
        <v>13238</v>
      </c>
      <c r="C3599" t="s">
        <v>13239</v>
      </c>
      <c r="D3599" t="s">
        <v>13240</v>
      </c>
      <c r="E3599" t="s">
        <v>13238</v>
      </c>
      <c r="F3599" t="s">
        <v>28</v>
      </c>
      <c r="G3599" t="s">
        <v>13238</v>
      </c>
      <c r="H3599" t="str">
        <f>"fcd-2"</f>
        <v>fcd-2</v>
      </c>
      <c r="I3599" t="s">
        <v>13240</v>
      </c>
      <c r="J3599">
        <v>12.538249408221899</v>
      </c>
      <c r="K3599">
        <v>11.520679046114701</v>
      </c>
      <c r="L3599">
        <v>11.5559968601448</v>
      </c>
      <c r="M3599" t="s">
        <v>29</v>
      </c>
      <c r="N3599" t="s">
        <v>29</v>
      </c>
      <c r="O3599">
        <v>12.3899576244745</v>
      </c>
      <c r="P3599">
        <v>0.51831585298073601</v>
      </c>
      <c r="Q3599">
        <v>-0.73937438493540497</v>
      </c>
      <c r="R3599">
        <v>1.77600609089688</v>
      </c>
      <c r="S3599">
        <v>12.2521626479632</v>
      </c>
      <c r="T3599">
        <v>0.89880569332050697</v>
      </c>
      <c r="U3599">
        <v>-6.3942342289688696</v>
      </c>
      <c r="V3599">
        <v>0.38658893401886402</v>
      </c>
      <c r="W3599">
        <v>0.55439298713070195</v>
      </c>
      <c r="X3599">
        <v>0</v>
      </c>
      <c r="Y3599">
        <v>0</v>
      </c>
    </row>
    <row r="3600" spans="1:25" x14ac:dyDescent="0.2">
      <c r="A3600" t="s">
        <v>13241</v>
      </c>
      <c r="B3600" t="s">
        <v>13242</v>
      </c>
      <c r="C3600" t="s">
        <v>13243</v>
      </c>
      <c r="D3600" t="s">
        <v>13244</v>
      </c>
      <c r="E3600" t="s">
        <v>13242</v>
      </c>
      <c r="F3600" t="s">
        <v>28</v>
      </c>
      <c r="G3600" t="s">
        <v>13242</v>
      </c>
      <c r="H3600" t="str">
        <f>"eef-1B.2"</f>
        <v>eef-1B.2</v>
      </c>
      <c r="I3600" t="s">
        <v>13244</v>
      </c>
      <c r="J3600">
        <v>12.6896394093905</v>
      </c>
      <c r="K3600">
        <v>12.4268030200898</v>
      </c>
      <c r="L3600">
        <v>12.531103317463399</v>
      </c>
      <c r="M3600">
        <v>14.763289635230599</v>
      </c>
      <c r="N3600">
        <v>14.2763671807087</v>
      </c>
      <c r="O3600">
        <v>14.2954292038192</v>
      </c>
      <c r="P3600">
        <v>1.8958467576049101</v>
      </c>
      <c r="Q3600">
        <v>1.3444633722447701</v>
      </c>
      <c r="R3600">
        <v>2.4472301429650498</v>
      </c>
      <c r="S3600">
        <v>13.243866146573399</v>
      </c>
      <c r="T3600">
        <v>7.2267339695802297</v>
      </c>
      <c r="U3600">
        <v>5.5831658728519296</v>
      </c>
      <c r="V3600" s="2">
        <v>1.0456323517365201E-6</v>
      </c>
      <c r="W3600" s="2">
        <v>4.97012667833471E-5</v>
      </c>
      <c r="X3600">
        <v>1</v>
      </c>
      <c r="Y3600">
        <v>1</v>
      </c>
    </row>
    <row r="3601" spans="1:25" x14ac:dyDescent="0.2">
      <c r="A3601" t="s">
        <v>13245</v>
      </c>
      <c r="B3601" t="s">
        <v>13246</v>
      </c>
      <c r="C3601" t="s">
        <v>14726</v>
      </c>
      <c r="D3601" t="s">
        <v>13247</v>
      </c>
      <c r="E3601" t="s">
        <v>13246</v>
      </c>
      <c r="F3601" t="s">
        <v>28</v>
      </c>
      <c r="G3601" t="s">
        <v>13246</v>
      </c>
      <c r="H3601" t="str">
        <f>"Y41C4A.9"</f>
        <v>Y41C4A.9</v>
      </c>
      <c r="I3601" t="s">
        <v>13247</v>
      </c>
      <c r="J3601">
        <v>12.774993560738601</v>
      </c>
      <c r="K3601">
        <v>12.856530575261599</v>
      </c>
      <c r="L3601">
        <v>12.6783278742036</v>
      </c>
      <c r="M3601" t="s">
        <v>29</v>
      </c>
      <c r="N3601">
        <v>12.2131149926402</v>
      </c>
      <c r="O3601">
        <v>12.8451317021155</v>
      </c>
      <c r="P3601">
        <v>-0.24082732269010201</v>
      </c>
      <c r="Q3601">
        <v>-0.775640513607185</v>
      </c>
      <c r="R3601">
        <v>0.29398586822698197</v>
      </c>
      <c r="S3601">
        <v>12.565988455726901</v>
      </c>
      <c r="T3601">
        <v>-0.950503368588136</v>
      </c>
      <c r="U3601">
        <v>-6.5829234278947499</v>
      </c>
      <c r="V3601">
        <v>0.35525680126442499</v>
      </c>
      <c r="W3601">
        <v>0.52530947984258003</v>
      </c>
      <c r="X3601">
        <v>0</v>
      </c>
      <c r="Y3601">
        <v>0</v>
      </c>
    </row>
    <row r="3602" spans="1:25" x14ac:dyDescent="0.2">
      <c r="A3602" t="s">
        <v>13248</v>
      </c>
      <c r="B3602" t="s">
        <v>13249</v>
      </c>
      <c r="C3602" t="s">
        <v>13250</v>
      </c>
      <c r="D3602" t="s">
        <v>13251</v>
      </c>
      <c r="E3602" t="s">
        <v>13249</v>
      </c>
      <c r="F3602" t="s">
        <v>28</v>
      </c>
      <c r="G3602" t="s">
        <v>13249</v>
      </c>
      <c r="H3602" t="str">
        <f>"slc-25a46"</f>
        <v>slc-25a46</v>
      </c>
      <c r="I3602" t="s">
        <v>13251</v>
      </c>
      <c r="J3602">
        <v>12.427121521140201</v>
      </c>
      <c r="K3602">
        <v>12.098347454457899</v>
      </c>
      <c r="L3602">
        <v>12.1852030117666</v>
      </c>
      <c r="M3602">
        <v>11.9994197273952</v>
      </c>
      <c r="N3602" t="s">
        <v>29</v>
      </c>
      <c r="O3602">
        <v>11.399885614719</v>
      </c>
      <c r="P3602">
        <v>-0.53723799139782402</v>
      </c>
      <c r="Q3602">
        <v>-1.03413647381508</v>
      </c>
      <c r="R3602">
        <v>-4.0339508980562502E-2</v>
      </c>
      <c r="S3602">
        <v>12.428655626111899</v>
      </c>
      <c r="T3602">
        <v>-2.2932350775302699</v>
      </c>
      <c r="U3602">
        <v>-4.6517736599099999</v>
      </c>
      <c r="V3602">
        <v>3.5814321787061398E-2</v>
      </c>
      <c r="W3602">
        <v>0.11051812178688</v>
      </c>
      <c r="X3602">
        <v>0</v>
      </c>
      <c r="Y3602">
        <v>0</v>
      </c>
    </row>
    <row r="3603" spans="1:25" x14ac:dyDescent="0.2">
      <c r="A3603" t="s">
        <v>13252</v>
      </c>
      <c r="B3603" t="s">
        <v>13253</v>
      </c>
      <c r="C3603" t="s">
        <v>14727</v>
      </c>
      <c r="D3603" t="s">
        <v>107</v>
      </c>
      <c r="E3603" t="s">
        <v>13253</v>
      </c>
      <c r="F3603" t="s">
        <v>28</v>
      </c>
      <c r="G3603" t="s">
        <v>13253</v>
      </c>
      <c r="H3603" t="str">
        <f>"Y39E4B.5"</f>
        <v>Y39E4B.5</v>
      </c>
      <c r="I3603" t="s">
        <v>107</v>
      </c>
      <c r="J3603">
        <v>11.819632698401101</v>
      </c>
      <c r="K3603">
        <v>11.846860791118999</v>
      </c>
      <c r="L3603">
        <v>12.560809977379799</v>
      </c>
      <c r="M3603" t="s">
        <v>29</v>
      </c>
      <c r="N3603">
        <v>10.912161372093401</v>
      </c>
      <c r="O3603">
        <v>11.999963467587801</v>
      </c>
      <c r="P3603">
        <v>-0.61970540245931705</v>
      </c>
      <c r="Q3603">
        <v>-1.32893689489302</v>
      </c>
      <c r="R3603">
        <v>8.95260899743828E-2</v>
      </c>
      <c r="S3603">
        <v>12.5118045377322</v>
      </c>
      <c r="T3603">
        <v>-1.8443667482672299</v>
      </c>
      <c r="U3603">
        <v>-5.4175406712733301</v>
      </c>
      <c r="V3603">
        <v>8.2737235244594406E-2</v>
      </c>
      <c r="W3603">
        <v>0.19183842035076301</v>
      </c>
      <c r="X3603">
        <v>0</v>
      </c>
      <c r="Y3603">
        <v>0</v>
      </c>
    </row>
    <row r="3604" spans="1:25" x14ac:dyDescent="0.2">
      <c r="A3604" t="s">
        <v>13254</v>
      </c>
      <c r="B3604" t="s">
        <v>13255</v>
      </c>
      <c r="C3604" t="s">
        <v>13256</v>
      </c>
      <c r="D3604" t="s">
        <v>13257</v>
      </c>
      <c r="E3604" t="s">
        <v>13255</v>
      </c>
      <c r="F3604" t="s">
        <v>28</v>
      </c>
      <c r="G3604" t="s">
        <v>13255</v>
      </c>
      <c r="H3604" t="str">
        <f>"snpc-1.2"</f>
        <v>snpc-1.2</v>
      </c>
      <c r="I3604" t="s">
        <v>13257</v>
      </c>
      <c r="J3604" t="s">
        <v>29</v>
      </c>
      <c r="K3604">
        <v>12.6383691473771</v>
      </c>
      <c r="L3604" t="s">
        <v>29</v>
      </c>
      <c r="M3604" t="s">
        <v>29</v>
      </c>
      <c r="N3604" t="s">
        <v>29</v>
      </c>
      <c r="O3604" t="s">
        <v>29</v>
      </c>
      <c r="P3604" t="s">
        <v>29</v>
      </c>
      <c r="Q3604" t="s">
        <v>29</v>
      </c>
      <c r="R3604" t="s">
        <v>29</v>
      </c>
      <c r="S3604">
        <v>12.1815080228632</v>
      </c>
      <c r="T3604" t="s">
        <v>29</v>
      </c>
      <c r="U3604" t="s">
        <v>29</v>
      </c>
      <c r="V3604" t="s">
        <v>29</v>
      </c>
      <c r="W3604" t="s">
        <v>29</v>
      </c>
      <c r="X3604" t="s">
        <v>29</v>
      </c>
      <c r="Y3604" t="s">
        <v>29</v>
      </c>
    </row>
    <row r="3605" spans="1:25" x14ac:dyDescent="0.2">
      <c r="A3605" t="s">
        <v>13258</v>
      </c>
      <c r="B3605" t="s">
        <v>13259</v>
      </c>
      <c r="C3605" t="s">
        <v>13260</v>
      </c>
      <c r="D3605" t="s">
        <v>13261</v>
      </c>
      <c r="E3605" t="s">
        <v>13259</v>
      </c>
      <c r="F3605" t="s">
        <v>28</v>
      </c>
      <c r="G3605" t="s">
        <v>13259</v>
      </c>
      <c r="H3605" t="str">
        <f>"abce-1"</f>
        <v>abce-1</v>
      </c>
      <c r="I3605" t="s">
        <v>13261</v>
      </c>
      <c r="J3605">
        <v>14.490643645944999</v>
      </c>
      <c r="K3605">
        <v>14.6081676415993</v>
      </c>
      <c r="L3605">
        <v>14.601208374818899</v>
      </c>
      <c r="M3605" t="s">
        <v>29</v>
      </c>
      <c r="N3605">
        <v>15.0484970208405</v>
      </c>
      <c r="O3605">
        <v>14.8416001449998</v>
      </c>
      <c r="P3605">
        <v>0.37837536213239498</v>
      </c>
      <c r="Q3605">
        <v>-3.83390413263658E-2</v>
      </c>
      <c r="R3605">
        <v>0.79508976559115596</v>
      </c>
      <c r="S3605">
        <v>14.432556626328701</v>
      </c>
      <c r="T3605">
        <v>1.9166126530937999</v>
      </c>
      <c r="U3605">
        <v>-5.29962266686801</v>
      </c>
      <c r="V3605">
        <v>7.2361072690071998E-2</v>
      </c>
      <c r="W3605">
        <v>0.17508052645126601</v>
      </c>
      <c r="X3605">
        <v>0</v>
      </c>
      <c r="Y3605">
        <v>0</v>
      </c>
    </row>
    <row r="3606" spans="1:25" s="28" customFormat="1" x14ac:dyDescent="0.2">
      <c r="A3606" s="28" t="s">
        <v>13262</v>
      </c>
      <c r="B3606" s="28" t="s">
        <v>13263</v>
      </c>
      <c r="C3606" s="28" t="s">
        <v>13264</v>
      </c>
      <c r="D3606" s="28" t="s">
        <v>4483</v>
      </c>
      <c r="E3606" s="28" t="s">
        <v>13263</v>
      </c>
      <c r="F3606" s="28" t="s">
        <v>28</v>
      </c>
      <c r="G3606" s="28" t="s">
        <v>13263</v>
      </c>
      <c r="H3606" s="28" t="str">
        <f>"mlt-3"</f>
        <v>mlt-3</v>
      </c>
      <c r="I3606" s="28" t="s">
        <v>4483</v>
      </c>
      <c r="J3606" s="28">
        <v>12.0313594007247</v>
      </c>
      <c r="K3606" s="28">
        <v>10.1472465554517</v>
      </c>
      <c r="L3606" s="28">
        <v>11.3353312261752</v>
      </c>
      <c r="M3606" s="28">
        <v>14.1624945534264</v>
      </c>
      <c r="N3606" s="28">
        <v>14.712963276319501</v>
      </c>
      <c r="O3606" s="28">
        <v>15.4000560321628</v>
      </c>
      <c r="P3606" s="28">
        <v>3.5871922265189902</v>
      </c>
      <c r="Q3606" s="28">
        <v>2.7139053773870598</v>
      </c>
      <c r="R3606" s="28">
        <v>4.4604790756509196</v>
      </c>
      <c r="S3606" s="28">
        <v>14.367618206001501</v>
      </c>
      <c r="T3606" s="28">
        <v>8.6335665853153891</v>
      </c>
      <c r="U3606" s="28">
        <v>8.1244681583582992</v>
      </c>
      <c r="V3606" s="33">
        <v>8.5246220534215605E-8</v>
      </c>
      <c r="W3606" s="33">
        <v>5.7095593616893897E-6</v>
      </c>
      <c r="X3606" s="28">
        <v>1</v>
      </c>
      <c r="Y3606" s="28">
        <v>1</v>
      </c>
    </row>
    <row r="3607" spans="1:25" x14ac:dyDescent="0.2">
      <c r="A3607" t="s">
        <v>13265</v>
      </c>
      <c r="B3607" t="s">
        <v>13266</v>
      </c>
      <c r="C3607" t="s">
        <v>13267</v>
      </c>
      <c r="D3607" t="s">
        <v>13268</v>
      </c>
      <c r="E3607" t="s">
        <v>13266</v>
      </c>
      <c r="F3607" t="s">
        <v>28</v>
      </c>
      <c r="G3607" t="s">
        <v>13266</v>
      </c>
      <c r="H3607" t="str">
        <f>"dpy-28"</f>
        <v>dpy-28</v>
      </c>
      <c r="I3607" t="s">
        <v>13268</v>
      </c>
      <c r="J3607">
        <v>11.8319361695316</v>
      </c>
      <c r="K3607">
        <v>12.241761503006501</v>
      </c>
      <c r="L3607">
        <v>12.2088309069571</v>
      </c>
      <c r="M3607" t="s">
        <v>29</v>
      </c>
      <c r="N3607">
        <v>12.794608129236799</v>
      </c>
      <c r="O3607">
        <v>12.5289268039626</v>
      </c>
      <c r="P3607">
        <v>0.56759127343464599</v>
      </c>
      <c r="Q3607">
        <v>8.9061977603442505E-2</v>
      </c>
      <c r="R3607">
        <v>1.04612056926585</v>
      </c>
      <c r="S3607">
        <v>12.7699787378175</v>
      </c>
      <c r="T3607">
        <v>2.5036706149748702</v>
      </c>
      <c r="U3607">
        <v>-4.2467208788831199</v>
      </c>
      <c r="V3607">
        <v>2.2847653181602999E-2</v>
      </c>
      <c r="W3607">
        <v>8.0252722200457802E-2</v>
      </c>
      <c r="X3607">
        <v>0</v>
      </c>
      <c r="Y3607">
        <v>0</v>
      </c>
    </row>
    <row r="3608" spans="1:25" x14ac:dyDescent="0.2">
      <c r="A3608" t="s">
        <v>13269</v>
      </c>
      <c r="B3608" t="s">
        <v>13270</v>
      </c>
      <c r="C3608" t="s">
        <v>13271</v>
      </c>
      <c r="D3608" t="s">
        <v>13272</v>
      </c>
      <c r="E3608" t="s">
        <v>13270</v>
      </c>
      <c r="F3608" t="s">
        <v>28</v>
      </c>
      <c r="G3608" t="s">
        <v>13270</v>
      </c>
      <c r="H3608" t="str">
        <f>"hphd-1"</f>
        <v>hphd-1</v>
      </c>
      <c r="I3608" t="s">
        <v>13272</v>
      </c>
      <c r="J3608">
        <v>15.9256726985444</v>
      </c>
      <c r="K3608">
        <v>15.8529895875197</v>
      </c>
      <c r="L3608">
        <v>16.160857709263901</v>
      </c>
      <c r="M3608">
        <v>15.264375314353501</v>
      </c>
      <c r="N3608">
        <v>15.569625964944001</v>
      </c>
      <c r="O3608">
        <v>16.206086292226502</v>
      </c>
      <c r="P3608">
        <v>-0.299810807934696</v>
      </c>
      <c r="Q3608">
        <v>-0.85060037753905704</v>
      </c>
      <c r="R3608">
        <v>0.25097876166966498</v>
      </c>
      <c r="S3608">
        <v>15.5658314008229</v>
      </c>
      <c r="T3608">
        <v>-1.14407393289888</v>
      </c>
      <c r="U3608">
        <v>-6.4935002296039199</v>
      </c>
      <c r="V3608">
        <v>0.26766641245074702</v>
      </c>
      <c r="W3608">
        <v>0.43508710286395602</v>
      </c>
      <c r="X3608">
        <v>0</v>
      </c>
      <c r="Y3608">
        <v>0</v>
      </c>
    </row>
    <row r="3609" spans="1:25" x14ac:dyDescent="0.2">
      <c r="A3609" t="s">
        <v>13273</v>
      </c>
      <c r="B3609" t="s">
        <v>13274</v>
      </c>
      <c r="C3609" t="s">
        <v>13275</v>
      </c>
      <c r="D3609" t="s">
        <v>13276</v>
      </c>
      <c r="E3609" t="s">
        <v>13274</v>
      </c>
      <c r="F3609" t="s">
        <v>28</v>
      </c>
      <c r="G3609" t="s">
        <v>13274</v>
      </c>
      <c r="H3609" t="str">
        <f>"Y37H9A.3"</f>
        <v>Y37H9A.3</v>
      </c>
      <c r="I3609" t="s">
        <v>13276</v>
      </c>
      <c r="J3609">
        <v>13.0559677963301</v>
      </c>
      <c r="K3609">
        <v>12.5626741772827</v>
      </c>
      <c r="L3609">
        <v>12.6837291451721</v>
      </c>
      <c r="M3609" t="s">
        <v>29</v>
      </c>
      <c r="N3609">
        <v>12.0044248084331</v>
      </c>
      <c r="O3609">
        <v>11.656131907966699</v>
      </c>
      <c r="P3609">
        <v>-0.93717868139508698</v>
      </c>
      <c r="Q3609">
        <v>-1.5867659685358</v>
      </c>
      <c r="R3609">
        <v>-0.28759139425437702</v>
      </c>
      <c r="S3609">
        <v>11.9962410314777</v>
      </c>
      <c r="T3609">
        <v>-3.0453337607141702</v>
      </c>
      <c r="U3609">
        <v>-3.16687835609553</v>
      </c>
      <c r="V3609">
        <v>7.3512643053837796E-3</v>
      </c>
      <c r="W3609">
        <v>3.6718942216891502E-2</v>
      </c>
      <c r="X3609">
        <v>0</v>
      </c>
      <c r="Y3609">
        <v>0</v>
      </c>
    </row>
    <row r="3610" spans="1:25" x14ac:dyDescent="0.2">
      <c r="A3610" t="s">
        <v>13277</v>
      </c>
      <c r="B3610" t="s">
        <v>13278</v>
      </c>
      <c r="C3610" t="s">
        <v>14728</v>
      </c>
      <c r="D3610" t="s">
        <v>13279</v>
      </c>
      <c r="E3610" t="s">
        <v>13278</v>
      </c>
      <c r="F3610" t="s">
        <v>28</v>
      </c>
      <c r="G3610" t="s">
        <v>13278</v>
      </c>
      <c r="H3610" t="str">
        <f>"Y37H9A.1"</f>
        <v>Y37H9A.1</v>
      </c>
      <c r="I3610" t="s">
        <v>13279</v>
      </c>
      <c r="J3610">
        <v>12.993349446606199</v>
      </c>
      <c r="K3610" t="s">
        <v>29</v>
      </c>
      <c r="L3610">
        <v>12.807015890576301</v>
      </c>
      <c r="M3610" t="s">
        <v>29</v>
      </c>
      <c r="N3610" t="s">
        <v>29</v>
      </c>
      <c r="O3610" t="s">
        <v>29</v>
      </c>
      <c r="P3610" t="s">
        <v>29</v>
      </c>
      <c r="Q3610" t="s">
        <v>29</v>
      </c>
      <c r="R3610" t="s">
        <v>29</v>
      </c>
      <c r="S3610">
        <v>13.050174046488699</v>
      </c>
      <c r="T3610" t="s">
        <v>29</v>
      </c>
      <c r="U3610" t="s">
        <v>29</v>
      </c>
      <c r="V3610" t="s">
        <v>29</v>
      </c>
      <c r="W3610" t="s">
        <v>29</v>
      </c>
      <c r="X3610" t="s">
        <v>29</v>
      </c>
      <c r="Y3610" t="s">
        <v>29</v>
      </c>
    </row>
    <row r="3611" spans="1:25" x14ac:dyDescent="0.2">
      <c r="A3611" t="s">
        <v>13280</v>
      </c>
      <c r="B3611" t="s">
        <v>13281</v>
      </c>
      <c r="C3611" t="s">
        <v>14729</v>
      </c>
      <c r="D3611" t="s">
        <v>13282</v>
      </c>
      <c r="E3611" t="s">
        <v>13281</v>
      </c>
      <c r="F3611" t="s">
        <v>28</v>
      </c>
      <c r="G3611" t="s">
        <v>13281</v>
      </c>
      <c r="H3611" t="str">
        <f>"Y37H2A.1"</f>
        <v>Y37H2A.1</v>
      </c>
      <c r="I3611" t="s">
        <v>13282</v>
      </c>
      <c r="J3611" t="s">
        <v>29</v>
      </c>
      <c r="K3611">
        <v>10.382513792029499</v>
      </c>
      <c r="L3611">
        <v>11.949915386084401</v>
      </c>
      <c r="M3611" t="s">
        <v>29</v>
      </c>
      <c r="N3611">
        <v>12.1983628835122</v>
      </c>
      <c r="O3611">
        <v>10.839692897532601</v>
      </c>
      <c r="P3611">
        <v>0.352813301465421</v>
      </c>
      <c r="Q3611">
        <v>-0.79795997063228796</v>
      </c>
      <c r="R3611">
        <v>1.50358657356313</v>
      </c>
      <c r="S3611">
        <v>12.4272044510684</v>
      </c>
      <c r="T3611">
        <v>0.66865207439155105</v>
      </c>
      <c r="U3611">
        <v>-6.7193204906436401</v>
      </c>
      <c r="V3611">
        <v>0.51648392775219998</v>
      </c>
      <c r="W3611">
        <v>0.66904533410361799</v>
      </c>
      <c r="X3611">
        <v>0</v>
      </c>
      <c r="Y3611">
        <v>0</v>
      </c>
    </row>
    <row r="3612" spans="1:25" x14ac:dyDescent="0.2">
      <c r="A3612" t="s">
        <v>13283</v>
      </c>
      <c r="B3612" t="s">
        <v>13284</v>
      </c>
      <c r="C3612" t="s">
        <v>13285</v>
      </c>
      <c r="D3612" t="s">
        <v>13286</v>
      </c>
      <c r="E3612" t="s">
        <v>13284</v>
      </c>
      <c r="F3612" t="s">
        <v>28</v>
      </c>
      <c r="G3612" t="s">
        <v>13284</v>
      </c>
      <c r="H3612" t="str">
        <f>"pap-1"</f>
        <v>pap-1</v>
      </c>
      <c r="I3612" t="s">
        <v>13286</v>
      </c>
      <c r="J3612">
        <v>14.403702659947699</v>
      </c>
      <c r="K3612">
        <v>14.390267745001401</v>
      </c>
      <c r="L3612">
        <v>14.097356559086601</v>
      </c>
      <c r="M3612">
        <v>14.2666714488061</v>
      </c>
      <c r="N3612">
        <v>13.299878395659899</v>
      </c>
      <c r="O3612">
        <v>14.552063068664999</v>
      </c>
      <c r="P3612">
        <v>-0.25757135030158201</v>
      </c>
      <c r="Q3612">
        <v>-0.82304242421608198</v>
      </c>
      <c r="R3612">
        <v>0.30789972361291801</v>
      </c>
      <c r="S3612">
        <v>14.226283415149</v>
      </c>
      <c r="T3612">
        <v>-0.95736969042527698</v>
      </c>
      <c r="U3612">
        <v>-6.6872834364295697</v>
      </c>
      <c r="V3612">
        <v>0.35113713077949199</v>
      </c>
      <c r="W3612">
        <v>0.52131039012955305</v>
      </c>
      <c r="X3612">
        <v>0</v>
      </c>
      <c r="Y3612">
        <v>0</v>
      </c>
    </row>
    <row r="3613" spans="1:25" x14ac:dyDescent="0.2">
      <c r="A3613" t="s">
        <v>13287</v>
      </c>
      <c r="B3613" t="s">
        <v>13288</v>
      </c>
      <c r="C3613" t="s">
        <v>14730</v>
      </c>
      <c r="D3613" t="s">
        <v>13282</v>
      </c>
      <c r="E3613" t="s">
        <v>13288</v>
      </c>
      <c r="F3613" t="s">
        <v>28</v>
      </c>
      <c r="G3613" t="s">
        <v>13288</v>
      </c>
      <c r="H3613" t="str">
        <f>"Y24F12A.1"</f>
        <v>Y24F12A.1</v>
      </c>
      <c r="I3613" t="s">
        <v>13282</v>
      </c>
      <c r="J3613" t="s">
        <v>29</v>
      </c>
      <c r="K3613" t="s">
        <v>29</v>
      </c>
      <c r="L3613" t="s">
        <v>29</v>
      </c>
      <c r="M3613" t="s">
        <v>29</v>
      </c>
      <c r="N3613" t="s">
        <v>29</v>
      </c>
      <c r="O3613" t="s">
        <v>29</v>
      </c>
      <c r="P3613" t="s">
        <v>29</v>
      </c>
      <c r="Q3613" t="s">
        <v>29</v>
      </c>
      <c r="R3613" t="s">
        <v>29</v>
      </c>
      <c r="S3613">
        <v>12.2044492171224</v>
      </c>
      <c r="T3613" t="s">
        <v>29</v>
      </c>
      <c r="U3613" t="s">
        <v>29</v>
      </c>
      <c r="V3613" t="s">
        <v>29</v>
      </c>
      <c r="W3613" t="s">
        <v>29</v>
      </c>
      <c r="X3613" t="s">
        <v>29</v>
      </c>
      <c r="Y3613" t="s">
        <v>29</v>
      </c>
    </row>
    <row r="3614" spans="1:25" x14ac:dyDescent="0.2">
      <c r="A3614" t="s">
        <v>13289</v>
      </c>
      <c r="B3614" t="s">
        <v>13290</v>
      </c>
      <c r="C3614" t="s">
        <v>13291</v>
      </c>
      <c r="D3614" t="s">
        <v>13292</v>
      </c>
      <c r="E3614" t="s">
        <v>13290</v>
      </c>
      <c r="F3614" t="s">
        <v>28</v>
      </c>
      <c r="G3614" t="s">
        <v>13290</v>
      </c>
      <c r="H3614" t="str">
        <f>"gsk-3"</f>
        <v>gsk-3</v>
      </c>
      <c r="I3614" t="s">
        <v>13292</v>
      </c>
      <c r="J3614">
        <v>16.757155776864099</v>
      </c>
      <c r="K3614">
        <v>16.660067495682998</v>
      </c>
      <c r="L3614">
        <v>16.410401594512798</v>
      </c>
      <c r="M3614">
        <v>16.4303730222565</v>
      </c>
      <c r="N3614">
        <v>16.321988273415698</v>
      </c>
      <c r="O3614">
        <v>16.401272783676699</v>
      </c>
      <c r="P3614">
        <v>-0.22466359590368201</v>
      </c>
      <c r="Q3614">
        <v>-0.52623683458210702</v>
      </c>
      <c r="R3614">
        <v>7.6909642774743506E-2</v>
      </c>
      <c r="S3614">
        <v>16.2249916080414</v>
      </c>
      <c r="T3614">
        <v>-1.5657860479101999</v>
      </c>
      <c r="U3614">
        <v>-5.9509878273752301</v>
      </c>
      <c r="V3614">
        <v>0.13491070298132701</v>
      </c>
      <c r="W3614">
        <v>0.271150672077416</v>
      </c>
      <c r="X3614">
        <v>0</v>
      </c>
      <c r="Y3614">
        <v>0</v>
      </c>
    </row>
    <row r="3615" spans="1:25" x14ac:dyDescent="0.2">
      <c r="A3615" t="s">
        <v>13293</v>
      </c>
      <c r="B3615" t="s">
        <v>13294</v>
      </c>
      <c r="C3615" t="s">
        <v>13295</v>
      </c>
      <c r="D3615" t="s">
        <v>13296</v>
      </c>
      <c r="E3615" t="s">
        <v>13294</v>
      </c>
      <c r="F3615" t="s">
        <v>28</v>
      </c>
      <c r="G3615" t="s">
        <v>13294</v>
      </c>
      <c r="H3615" t="str">
        <f>"Y17G7B.18"</f>
        <v>Y17G7B.18</v>
      </c>
      <c r="I3615" t="s">
        <v>13296</v>
      </c>
      <c r="J3615">
        <v>13.187405855401099</v>
      </c>
      <c r="K3615">
        <v>13.2122937480177</v>
      </c>
      <c r="L3615">
        <v>12.6662598183357</v>
      </c>
      <c r="M3615" t="s">
        <v>29</v>
      </c>
      <c r="N3615" t="s">
        <v>29</v>
      </c>
      <c r="O3615">
        <v>12.5868928848657</v>
      </c>
      <c r="P3615">
        <v>-0.435093589052443</v>
      </c>
      <c r="Q3615">
        <v>-1.23931035881098</v>
      </c>
      <c r="R3615">
        <v>0.36912318070609801</v>
      </c>
      <c r="S3615">
        <v>12.6465418557465</v>
      </c>
      <c r="T3615">
        <v>-1.16118509363797</v>
      </c>
      <c r="U3615">
        <v>-6.1315167135906696</v>
      </c>
      <c r="V3615">
        <v>0.265126853939334</v>
      </c>
      <c r="W3615">
        <v>0.43189032495375201</v>
      </c>
      <c r="X3615">
        <v>0</v>
      </c>
      <c r="Y3615">
        <v>0</v>
      </c>
    </row>
    <row r="3616" spans="1:25" x14ac:dyDescent="0.2">
      <c r="A3616" t="s">
        <v>13297</v>
      </c>
      <c r="B3616" t="s">
        <v>13298</v>
      </c>
      <c r="C3616" t="s">
        <v>14731</v>
      </c>
      <c r="D3616" t="s">
        <v>107</v>
      </c>
      <c r="E3616" t="s">
        <v>13298</v>
      </c>
      <c r="F3616" t="s">
        <v>28</v>
      </c>
      <c r="G3616" t="s">
        <v>13298</v>
      </c>
      <c r="H3616" t="str">
        <f>"Y15E3A.4"</f>
        <v>Y15E3A.4</v>
      </c>
      <c r="I3616" t="s">
        <v>107</v>
      </c>
      <c r="J3616">
        <v>14.515835399708401</v>
      </c>
      <c r="K3616">
        <v>14.608414663099101</v>
      </c>
      <c r="L3616">
        <v>14.2654877711133</v>
      </c>
      <c r="M3616">
        <v>13.7810034990361</v>
      </c>
      <c r="N3616">
        <v>13.323463992288699</v>
      </c>
      <c r="O3616">
        <v>14.395558636145401</v>
      </c>
      <c r="P3616">
        <v>-0.62990390215018299</v>
      </c>
      <c r="Q3616">
        <v>-1.1845791709717799</v>
      </c>
      <c r="R3616">
        <v>-7.5228633328587993E-2</v>
      </c>
      <c r="S3616">
        <v>14.3442322188546</v>
      </c>
      <c r="T3616">
        <v>-2.3868658417926301</v>
      </c>
      <c r="U3616">
        <v>-4.5630049944420703</v>
      </c>
      <c r="V3616">
        <v>2.82459355875808E-2</v>
      </c>
      <c r="W3616">
        <v>9.2489746862889702E-2</v>
      </c>
      <c r="X3616">
        <v>0</v>
      </c>
      <c r="Y3616">
        <v>0</v>
      </c>
    </row>
    <row r="3617" spans="1:25" x14ac:dyDescent="0.2">
      <c r="A3617" t="s">
        <v>13299</v>
      </c>
      <c r="B3617" t="s">
        <v>13300</v>
      </c>
      <c r="C3617" t="s">
        <v>13301</v>
      </c>
      <c r="D3617" t="s">
        <v>13302</v>
      </c>
      <c r="E3617" t="s">
        <v>13300</v>
      </c>
      <c r="F3617" t="s">
        <v>28</v>
      </c>
      <c r="G3617" t="s">
        <v>13300</v>
      </c>
      <c r="H3617" t="str">
        <f>"arf-6"</f>
        <v>arf-6</v>
      </c>
      <c r="I3617" t="s">
        <v>13302</v>
      </c>
      <c r="J3617">
        <v>14.004349469390601</v>
      </c>
      <c r="K3617">
        <v>13.8244672526274</v>
      </c>
      <c r="L3617">
        <v>13.627406686653501</v>
      </c>
      <c r="M3617" t="s">
        <v>29</v>
      </c>
      <c r="N3617">
        <v>13.94825624103</v>
      </c>
      <c r="O3617">
        <v>13.900880717079099</v>
      </c>
      <c r="P3617">
        <v>0.105827342830688</v>
      </c>
      <c r="Q3617">
        <v>-0.29472219900365798</v>
      </c>
      <c r="R3617">
        <v>0.50637688466503405</v>
      </c>
      <c r="S3617">
        <v>13.6897732071858</v>
      </c>
      <c r="T3617">
        <v>0.56039103930866396</v>
      </c>
      <c r="U3617">
        <v>-6.8814465983391804</v>
      </c>
      <c r="V3617">
        <v>0.58302582679941795</v>
      </c>
      <c r="W3617">
        <v>0.721014314552196</v>
      </c>
      <c r="X3617">
        <v>0</v>
      </c>
      <c r="Y3617">
        <v>0</v>
      </c>
    </row>
    <row r="3618" spans="1:25" x14ac:dyDescent="0.2">
      <c r="A3618" t="s">
        <v>13303</v>
      </c>
      <c r="B3618" t="s">
        <v>13304</v>
      </c>
      <c r="C3618" t="s">
        <v>13305</v>
      </c>
      <c r="D3618" t="s">
        <v>13306</v>
      </c>
      <c r="E3618" t="s">
        <v>13304</v>
      </c>
      <c r="F3618" t="s">
        <v>28</v>
      </c>
      <c r="G3618" t="s">
        <v>13304</v>
      </c>
      <c r="H3618" t="str">
        <f>"cyn-13"</f>
        <v>cyn-13</v>
      </c>
      <c r="I3618" t="s">
        <v>13306</v>
      </c>
      <c r="J3618">
        <v>12.2081102623545</v>
      </c>
      <c r="K3618">
        <v>13.0016453065953</v>
      </c>
      <c r="L3618">
        <v>12.9782798614578</v>
      </c>
      <c r="M3618" t="s">
        <v>29</v>
      </c>
      <c r="N3618" t="s">
        <v>29</v>
      </c>
      <c r="O3618">
        <v>12.9916049407529</v>
      </c>
      <c r="P3618">
        <v>0.26225979728372001</v>
      </c>
      <c r="Q3618">
        <v>-0.401969466264956</v>
      </c>
      <c r="R3618">
        <v>0.92648906083239602</v>
      </c>
      <c r="S3618">
        <v>12.934369866387099</v>
      </c>
      <c r="T3618">
        <v>0.84208381823835099</v>
      </c>
      <c r="U3618">
        <v>-6.4475582500130804</v>
      </c>
      <c r="V3618">
        <v>0.41305791091891397</v>
      </c>
      <c r="W3618">
        <v>0.58076415242272905</v>
      </c>
      <c r="X3618">
        <v>0</v>
      </c>
      <c r="Y3618">
        <v>0</v>
      </c>
    </row>
    <row r="3619" spans="1:25" x14ac:dyDescent="0.2">
      <c r="A3619" t="s">
        <v>13307</v>
      </c>
      <c r="B3619" t="s">
        <v>13308</v>
      </c>
      <c r="C3619" t="s">
        <v>13309</v>
      </c>
      <c r="D3619" t="s">
        <v>13310</v>
      </c>
      <c r="E3619" t="s">
        <v>13308</v>
      </c>
      <c r="F3619" t="s">
        <v>28</v>
      </c>
      <c r="G3619" t="s">
        <v>13308</v>
      </c>
      <c r="H3619" t="str">
        <f>"uaf-2"</f>
        <v>uaf-2</v>
      </c>
      <c r="I3619" t="s">
        <v>13310</v>
      </c>
      <c r="J3619" t="s">
        <v>29</v>
      </c>
      <c r="K3619">
        <v>10.2742564855961</v>
      </c>
      <c r="L3619">
        <v>10.5678194494217</v>
      </c>
      <c r="M3619" t="s">
        <v>29</v>
      </c>
      <c r="N3619" t="s">
        <v>29</v>
      </c>
      <c r="O3619">
        <v>11.220888401370299</v>
      </c>
      <c r="P3619">
        <v>0.79985043386138499</v>
      </c>
      <c r="Q3619">
        <v>-6.4990081185049E-3</v>
      </c>
      <c r="R3619">
        <v>1.6061998758412801</v>
      </c>
      <c r="S3619">
        <v>11.136572920254901</v>
      </c>
      <c r="T3619">
        <v>2.1290084628689998</v>
      </c>
      <c r="U3619">
        <v>-4.6842139955531197</v>
      </c>
      <c r="V3619">
        <v>5.1631316315919301E-2</v>
      </c>
      <c r="W3619">
        <v>0.13908362813803901</v>
      </c>
      <c r="X3619">
        <v>0</v>
      </c>
      <c r="Y3619">
        <v>0</v>
      </c>
    </row>
    <row r="3620" spans="1:25" x14ac:dyDescent="0.2">
      <c r="A3620" t="s">
        <v>13311</v>
      </c>
      <c r="B3620" t="s">
        <v>13312</v>
      </c>
      <c r="C3620" t="s">
        <v>14732</v>
      </c>
      <c r="D3620" t="s">
        <v>13313</v>
      </c>
      <c r="E3620" t="s">
        <v>13312</v>
      </c>
      <c r="F3620" t="s">
        <v>28</v>
      </c>
      <c r="G3620" t="s">
        <v>13312</v>
      </c>
      <c r="H3620" t="str">
        <f>"Y116A8C.27"</f>
        <v>Y116A8C.27</v>
      </c>
      <c r="I3620" t="s">
        <v>13313</v>
      </c>
      <c r="J3620">
        <v>12.949066189671299</v>
      </c>
      <c r="K3620">
        <v>12.3431304886952</v>
      </c>
      <c r="L3620">
        <v>12.8586213659331</v>
      </c>
      <c r="M3620" t="s">
        <v>29</v>
      </c>
      <c r="N3620">
        <v>14.2750491188608</v>
      </c>
      <c r="O3620">
        <v>13.6425264911322</v>
      </c>
      <c r="P3620">
        <v>1.2418484568966099</v>
      </c>
      <c r="Q3620">
        <v>0.60828101263311896</v>
      </c>
      <c r="R3620">
        <v>1.8754159011600999</v>
      </c>
      <c r="S3620">
        <v>13.0181238641668</v>
      </c>
      <c r="T3620">
        <v>4.1373833475071802</v>
      </c>
      <c r="U3620">
        <v>-0.85190139421468203</v>
      </c>
      <c r="V3620">
        <v>6.9688441025643499E-4</v>
      </c>
      <c r="W3620">
        <v>7.1309665174504001E-3</v>
      </c>
      <c r="X3620">
        <v>1</v>
      </c>
      <c r="Y3620">
        <v>1</v>
      </c>
    </row>
    <row r="3621" spans="1:25" x14ac:dyDescent="0.2">
      <c r="A3621" t="s">
        <v>13314</v>
      </c>
      <c r="B3621" t="s">
        <v>13315</v>
      </c>
      <c r="C3621" t="s">
        <v>13316</v>
      </c>
      <c r="D3621" t="s">
        <v>13317</v>
      </c>
      <c r="E3621" t="s">
        <v>13315</v>
      </c>
      <c r="F3621" t="s">
        <v>28</v>
      </c>
      <c r="G3621" t="s">
        <v>13315</v>
      </c>
      <c r="H3621" t="str">
        <f>"prmt-1"</f>
        <v>prmt-1</v>
      </c>
      <c r="I3621" t="s">
        <v>13317</v>
      </c>
      <c r="J3621">
        <v>16.362504410542002</v>
      </c>
      <c r="K3621">
        <v>16.115344867291999</v>
      </c>
      <c r="L3621">
        <v>15.640407163426501</v>
      </c>
      <c r="M3621">
        <v>15.286566594962</v>
      </c>
      <c r="N3621">
        <v>14.6944015653331</v>
      </c>
      <c r="O3621">
        <v>14.8337515855919</v>
      </c>
      <c r="P3621">
        <v>-1.1011788984578099</v>
      </c>
      <c r="Q3621">
        <v>-1.91449717504214</v>
      </c>
      <c r="R3621">
        <v>-0.287860621873478</v>
      </c>
      <c r="S3621">
        <v>15.029723963556499</v>
      </c>
      <c r="T3621">
        <v>-2.8457049020104601</v>
      </c>
      <c r="U3621">
        <v>-3.6549341908223001</v>
      </c>
      <c r="V3621">
        <v>1.0774427431914599E-2</v>
      </c>
      <c r="W3621">
        <v>4.7891761149098398E-2</v>
      </c>
      <c r="X3621">
        <v>-1</v>
      </c>
      <c r="Y3621">
        <v>-1</v>
      </c>
    </row>
    <row r="3622" spans="1:25" x14ac:dyDescent="0.2">
      <c r="A3622" t="s">
        <v>13318</v>
      </c>
      <c r="B3622" t="s">
        <v>13319</v>
      </c>
      <c r="C3622" t="s">
        <v>13320</v>
      </c>
      <c r="D3622" t="s">
        <v>13321</v>
      </c>
      <c r="E3622" t="s">
        <v>13319</v>
      </c>
      <c r="F3622" t="s">
        <v>28</v>
      </c>
      <c r="G3622" t="s">
        <v>13319</v>
      </c>
      <c r="H3622" t="str">
        <f>"cdkr-3"</f>
        <v>cdkr-3</v>
      </c>
      <c r="I3622" t="s">
        <v>13321</v>
      </c>
      <c r="J3622">
        <v>9.3746290607799398</v>
      </c>
      <c r="K3622">
        <v>9.0076505403956606</v>
      </c>
      <c r="L3622" t="s">
        <v>29</v>
      </c>
      <c r="M3622">
        <v>12.5725574172832</v>
      </c>
      <c r="N3622">
        <v>13.287926952583801</v>
      </c>
      <c r="O3622">
        <v>13.7207195968727</v>
      </c>
      <c r="P3622">
        <v>4.0025948549921004</v>
      </c>
      <c r="Q3622">
        <v>3.41678970548144</v>
      </c>
      <c r="R3622">
        <v>4.58840000450276</v>
      </c>
      <c r="S3622">
        <v>12.4822228021123</v>
      </c>
      <c r="T3622">
        <v>14.422430702411701</v>
      </c>
      <c r="U3622">
        <v>15.3321541346064</v>
      </c>
      <c r="V3622" s="2">
        <v>6.3060005409465799E-11</v>
      </c>
      <c r="W3622" s="2">
        <v>1.8583783594169601E-8</v>
      </c>
      <c r="X3622">
        <v>1</v>
      </c>
      <c r="Y3622">
        <v>1</v>
      </c>
    </row>
    <row r="3623" spans="1:25" x14ac:dyDescent="0.2">
      <c r="A3623" t="s">
        <v>13322</v>
      </c>
      <c r="B3623" t="s">
        <v>13323</v>
      </c>
      <c r="C3623" t="s">
        <v>13324</v>
      </c>
      <c r="D3623" t="s">
        <v>13325</v>
      </c>
      <c r="E3623" t="s">
        <v>13323</v>
      </c>
      <c r="F3623" t="s">
        <v>28</v>
      </c>
      <c r="G3623" t="s">
        <v>13323</v>
      </c>
      <c r="H3623" t="str">
        <f>"sec-23"</f>
        <v>sec-23</v>
      </c>
      <c r="I3623" t="s">
        <v>13325</v>
      </c>
      <c r="J3623">
        <v>17.257412123265699</v>
      </c>
      <c r="K3623">
        <v>17.273665548645798</v>
      </c>
      <c r="L3623">
        <v>16.9374091550456</v>
      </c>
      <c r="M3623">
        <v>16.147295031927701</v>
      </c>
      <c r="N3623">
        <v>16.312288678285199</v>
      </c>
      <c r="O3623">
        <v>16.789163114349801</v>
      </c>
      <c r="P3623">
        <v>-0.73991333413146898</v>
      </c>
      <c r="Q3623">
        <v>-1.1421878475137801</v>
      </c>
      <c r="R3623">
        <v>-0.33763882074915702</v>
      </c>
      <c r="S3623">
        <v>16.474921958910301</v>
      </c>
      <c r="T3623">
        <v>-3.8659020744030399</v>
      </c>
      <c r="U3623">
        <v>-1.46734221276662</v>
      </c>
      <c r="V3623">
        <v>1.14275249847402E-3</v>
      </c>
      <c r="W3623">
        <v>9.9931501869523001E-3</v>
      </c>
      <c r="X3623">
        <v>0</v>
      </c>
      <c r="Y3623">
        <v>0</v>
      </c>
    </row>
    <row r="3624" spans="1:25" x14ac:dyDescent="0.2">
      <c r="A3624" t="s">
        <v>13326</v>
      </c>
      <c r="B3624" t="s">
        <v>13327</v>
      </c>
      <c r="C3624" t="s">
        <v>13328</v>
      </c>
      <c r="D3624" t="s">
        <v>8346</v>
      </c>
      <c r="E3624" t="s">
        <v>13327</v>
      </c>
      <c r="F3624" t="s">
        <v>28</v>
      </c>
      <c r="G3624" t="s">
        <v>13327</v>
      </c>
      <c r="H3624" t="str">
        <f>"pab-1"</f>
        <v>pab-1</v>
      </c>
      <c r="I3624" t="s">
        <v>8346</v>
      </c>
      <c r="J3624">
        <v>19.3802103415114</v>
      </c>
      <c r="K3624">
        <v>19.658292677531101</v>
      </c>
      <c r="L3624">
        <v>20.096733521561301</v>
      </c>
      <c r="M3624">
        <v>19.0968425513481</v>
      </c>
      <c r="N3624">
        <v>19.4584900389311</v>
      </c>
      <c r="O3624">
        <v>19.200853884490201</v>
      </c>
      <c r="P3624">
        <v>-0.45968335527812698</v>
      </c>
      <c r="Q3624">
        <v>-0.90121446000514105</v>
      </c>
      <c r="R3624">
        <v>-1.81522505511134E-2</v>
      </c>
      <c r="S3624">
        <v>20.059904085126199</v>
      </c>
      <c r="T3624">
        <v>-2.1882149853942199</v>
      </c>
      <c r="U3624">
        <v>-4.9312929235402603</v>
      </c>
      <c r="V3624">
        <v>4.2166350054152403E-2</v>
      </c>
      <c r="W3624">
        <v>0.121115237436245</v>
      </c>
      <c r="X3624">
        <v>0</v>
      </c>
      <c r="Y3624">
        <v>0</v>
      </c>
    </row>
    <row r="3625" spans="1:25" x14ac:dyDescent="0.2">
      <c r="A3625" t="s">
        <v>13329</v>
      </c>
      <c r="B3625" t="s">
        <v>13330</v>
      </c>
      <c r="C3625" t="s">
        <v>13331</v>
      </c>
      <c r="D3625" t="s">
        <v>93</v>
      </c>
      <c r="E3625" t="s">
        <v>13330</v>
      </c>
      <c r="F3625" t="s">
        <v>28</v>
      </c>
      <c r="G3625" t="s">
        <v>13330</v>
      </c>
      <c r="H3625" t="str">
        <f>"rbm-12"</f>
        <v>rbm-12</v>
      </c>
      <c r="I3625" t="s">
        <v>93</v>
      </c>
      <c r="J3625">
        <v>12.993851846635</v>
      </c>
      <c r="K3625">
        <v>13.4400643098699</v>
      </c>
      <c r="L3625">
        <v>13.5001248462282</v>
      </c>
      <c r="M3625">
        <v>16.115082668132199</v>
      </c>
      <c r="N3625">
        <v>12.5842142811894</v>
      </c>
      <c r="O3625">
        <v>12.780646353801099</v>
      </c>
      <c r="P3625">
        <v>0.51530076679653203</v>
      </c>
      <c r="Q3625">
        <v>-0.73112390822473206</v>
      </c>
      <c r="R3625">
        <v>1.7617254418178001</v>
      </c>
      <c r="S3625">
        <v>13.537763972106299</v>
      </c>
      <c r="T3625">
        <v>0.868934946529063</v>
      </c>
      <c r="U3625">
        <v>-6.7682380250494898</v>
      </c>
      <c r="V3625">
        <v>0.39638765224216799</v>
      </c>
      <c r="W3625">
        <v>0.56473260247142298</v>
      </c>
      <c r="X3625">
        <v>0</v>
      </c>
      <c r="Y3625">
        <v>0</v>
      </c>
    </row>
    <row r="3626" spans="1:25" x14ac:dyDescent="0.2">
      <c r="A3626" t="s">
        <v>13332</v>
      </c>
      <c r="B3626" t="s">
        <v>13333</v>
      </c>
      <c r="C3626" t="s">
        <v>13334</v>
      </c>
      <c r="D3626" t="s">
        <v>13335</v>
      </c>
      <c r="E3626" t="s">
        <v>13333</v>
      </c>
      <c r="F3626" t="s">
        <v>28</v>
      </c>
      <c r="G3626" t="s">
        <v>13333</v>
      </c>
      <c r="H3626" t="str">
        <f>"gln-3"</f>
        <v>gln-3</v>
      </c>
      <c r="I3626" t="s">
        <v>13335</v>
      </c>
      <c r="J3626">
        <v>13.192061486307001</v>
      </c>
      <c r="K3626">
        <v>12.7365333560926</v>
      </c>
      <c r="L3626">
        <v>12.352994465150299</v>
      </c>
      <c r="M3626">
        <v>16.661127148173598</v>
      </c>
      <c r="N3626">
        <v>16.380630910110899</v>
      </c>
      <c r="O3626">
        <v>17.1041425785162</v>
      </c>
      <c r="P3626">
        <v>3.9547704430835902</v>
      </c>
      <c r="Q3626">
        <v>2.9321399533934298</v>
      </c>
      <c r="R3626">
        <v>4.9774009327737501</v>
      </c>
      <c r="S3626">
        <v>14.990659521668899</v>
      </c>
      <c r="T3626">
        <v>8.1282126256995504</v>
      </c>
      <c r="U3626">
        <v>7.2424721885045402</v>
      </c>
      <c r="V3626" s="2">
        <v>2.0363477675618299E-7</v>
      </c>
      <c r="W3626" s="2">
        <v>1.2247177287764699E-5</v>
      </c>
      <c r="X3626">
        <v>1</v>
      </c>
      <c r="Y3626">
        <v>1</v>
      </c>
    </row>
    <row r="3627" spans="1:25" x14ac:dyDescent="0.2">
      <c r="A3627" t="s">
        <v>13336</v>
      </c>
      <c r="B3627" t="s">
        <v>13337</v>
      </c>
      <c r="C3627" t="s">
        <v>13338</v>
      </c>
      <c r="D3627" t="s">
        <v>13339</v>
      </c>
      <c r="E3627" t="s">
        <v>13337</v>
      </c>
      <c r="F3627" t="s">
        <v>28</v>
      </c>
      <c r="G3627" t="s">
        <v>13337</v>
      </c>
      <c r="H3627" t="str">
        <f>"jac-1"</f>
        <v>jac-1</v>
      </c>
      <c r="I3627" t="s">
        <v>13339</v>
      </c>
      <c r="J3627">
        <v>11.2235361568433</v>
      </c>
      <c r="K3627">
        <v>12.8176147483868</v>
      </c>
      <c r="L3627">
        <v>11.792906791478</v>
      </c>
      <c r="M3627" t="s">
        <v>29</v>
      </c>
      <c r="N3627" t="s">
        <v>29</v>
      </c>
      <c r="O3627">
        <v>13.079351429851</v>
      </c>
      <c r="P3627">
        <v>1.13466553094832</v>
      </c>
      <c r="Q3627">
        <v>0.15276797999824099</v>
      </c>
      <c r="R3627">
        <v>2.1165630818983998</v>
      </c>
      <c r="S3627">
        <v>13.2365121741379</v>
      </c>
      <c r="T3627">
        <v>2.45104460626587</v>
      </c>
      <c r="U3627">
        <v>-4.14217724526676</v>
      </c>
      <c r="V3627">
        <v>2.6203666929462001E-2</v>
      </c>
      <c r="W3627">
        <v>8.8153203699913807E-2</v>
      </c>
      <c r="X3627">
        <v>1</v>
      </c>
      <c r="Y3627">
        <v>0</v>
      </c>
    </row>
    <row r="3628" spans="1:25" x14ac:dyDescent="0.2">
      <c r="A3628" t="s">
        <v>13340</v>
      </c>
      <c r="B3628" t="s">
        <v>13341</v>
      </c>
      <c r="C3628" t="s">
        <v>13342</v>
      </c>
      <c r="D3628" t="s">
        <v>6078</v>
      </c>
      <c r="E3628" t="s">
        <v>13341</v>
      </c>
      <c r="F3628" t="s">
        <v>28</v>
      </c>
      <c r="G3628" t="s">
        <v>13341</v>
      </c>
      <c r="H3628" t="str">
        <f>"cox-4"</f>
        <v>cox-4</v>
      </c>
      <c r="I3628" t="s">
        <v>6078</v>
      </c>
      <c r="J3628">
        <v>13.000827393392299</v>
      </c>
      <c r="K3628">
        <v>12.708017700087501</v>
      </c>
      <c r="L3628">
        <v>13.7373400490576</v>
      </c>
      <c r="M3628" t="s">
        <v>29</v>
      </c>
      <c r="N3628">
        <v>14.482501360109801</v>
      </c>
      <c r="O3628">
        <v>13.7610045054438</v>
      </c>
      <c r="P3628">
        <v>0.973024551931024</v>
      </c>
      <c r="Q3628">
        <v>0.124957739480935</v>
      </c>
      <c r="R3628">
        <v>1.82109136438111</v>
      </c>
      <c r="S3628">
        <v>13.2331280370183</v>
      </c>
      <c r="T3628">
        <v>2.4218304967206299</v>
      </c>
      <c r="U3628">
        <v>-4.4022175397777099</v>
      </c>
      <c r="V3628">
        <v>2.6987001071042498E-2</v>
      </c>
      <c r="W3628">
        <v>8.9561590266173594E-2</v>
      </c>
      <c r="X3628">
        <v>0</v>
      </c>
      <c r="Y3628">
        <v>0</v>
      </c>
    </row>
    <row r="3629" spans="1:25" x14ac:dyDescent="0.2">
      <c r="A3629" t="s">
        <v>13343</v>
      </c>
      <c r="B3629" t="s">
        <v>13344</v>
      </c>
      <c r="C3629" t="s">
        <v>13345</v>
      </c>
      <c r="D3629" t="s">
        <v>13346</v>
      </c>
      <c r="E3629" t="s">
        <v>13344</v>
      </c>
      <c r="F3629" t="s">
        <v>28</v>
      </c>
      <c r="G3629" t="s">
        <v>13344</v>
      </c>
      <c r="H3629" t="str">
        <f>"rpl-31"</f>
        <v>rpl-31</v>
      </c>
      <c r="I3629" t="s">
        <v>13346</v>
      </c>
      <c r="J3629">
        <v>15.9041016552695</v>
      </c>
      <c r="K3629">
        <v>16.121858333380999</v>
      </c>
      <c r="L3629">
        <v>16.399878772830299</v>
      </c>
      <c r="M3629">
        <v>15.0892963242901</v>
      </c>
      <c r="N3629">
        <v>15.3961748051616</v>
      </c>
      <c r="O3629">
        <v>15.7487157896584</v>
      </c>
      <c r="P3629">
        <v>-0.73055061412353195</v>
      </c>
      <c r="Q3629">
        <v>-1.5930868537346701</v>
      </c>
      <c r="R3629">
        <v>0.13198562548760501</v>
      </c>
      <c r="S3629">
        <v>15.4783907457048</v>
      </c>
      <c r="T3629">
        <v>-1.7801863728621801</v>
      </c>
      <c r="U3629">
        <v>-5.6258840089479101</v>
      </c>
      <c r="V3629">
        <v>9.20312328747145E-2</v>
      </c>
      <c r="W3629">
        <v>0.205778485039289</v>
      </c>
      <c r="X3629">
        <v>0</v>
      </c>
      <c r="Y3629">
        <v>0</v>
      </c>
    </row>
    <row r="3630" spans="1:25" x14ac:dyDescent="0.2">
      <c r="A3630" t="s">
        <v>13347</v>
      </c>
      <c r="B3630" t="s">
        <v>13348</v>
      </c>
      <c r="C3630" t="s">
        <v>13349</v>
      </c>
      <c r="D3630" t="s">
        <v>13350</v>
      </c>
      <c r="E3630" t="s">
        <v>13348</v>
      </c>
      <c r="F3630" t="s">
        <v>28</v>
      </c>
      <c r="G3630" t="s">
        <v>13348</v>
      </c>
      <c r="H3630" t="str">
        <f>"unc-59"</f>
        <v>unc-59</v>
      </c>
      <c r="I3630" t="s">
        <v>13350</v>
      </c>
      <c r="J3630">
        <v>14.3584996580244</v>
      </c>
      <c r="K3630">
        <v>14.2180392207885</v>
      </c>
      <c r="L3630">
        <v>14.6552580737336</v>
      </c>
      <c r="M3630">
        <v>16.009435976751401</v>
      </c>
      <c r="N3630">
        <v>14.817237384962301</v>
      </c>
      <c r="O3630">
        <v>14.6034911497909</v>
      </c>
      <c r="P3630">
        <v>0.73278918631936196</v>
      </c>
      <c r="Q3630">
        <v>8.0996465139151402E-2</v>
      </c>
      <c r="R3630">
        <v>1.38458190749957</v>
      </c>
      <c r="S3630">
        <v>14.7523670189667</v>
      </c>
      <c r="T3630">
        <v>2.3629909525542701</v>
      </c>
      <c r="U3630">
        <v>-4.6081703589827603</v>
      </c>
      <c r="V3630">
        <v>2.9657541236217101E-2</v>
      </c>
      <c r="W3630">
        <v>9.6049382736588501E-2</v>
      </c>
      <c r="X3630">
        <v>0</v>
      </c>
      <c r="Y3630">
        <v>0</v>
      </c>
    </row>
    <row r="3631" spans="1:25" x14ac:dyDescent="0.2">
      <c r="A3631" t="s">
        <v>13351</v>
      </c>
      <c r="B3631" t="s">
        <v>13352</v>
      </c>
      <c r="C3631" t="s">
        <v>13353</v>
      </c>
      <c r="D3631" t="s">
        <v>3312</v>
      </c>
      <c r="E3631" t="s">
        <v>13352</v>
      </c>
      <c r="F3631" t="s">
        <v>28</v>
      </c>
      <c r="G3631" t="s">
        <v>13354</v>
      </c>
      <c r="H3631" t="str">
        <f>"col-93"</f>
        <v>col-93</v>
      </c>
      <c r="I3631" t="s">
        <v>3312</v>
      </c>
      <c r="J3631">
        <v>13.735222383847701</v>
      </c>
      <c r="K3631">
        <v>13.8188310620069</v>
      </c>
      <c r="L3631">
        <v>14.2656962683247</v>
      </c>
      <c r="M3631">
        <v>12.7658615439654</v>
      </c>
      <c r="N3631">
        <v>14.4461835096843</v>
      </c>
      <c r="O3631">
        <v>13.541070091149599</v>
      </c>
      <c r="P3631">
        <v>-0.35554485646</v>
      </c>
      <c r="Q3631">
        <v>-0.977119213397873</v>
      </c>
      <c r="R3631">
        <v>0.26602950047787299</v>
      </c>
      <c r="S3631">
        <v>14.262027801527701</v>
      </c>
      <c r="T3631">
        <v>-1.2022473377691401</v>
      </c>
      <c r="U3631">
        <v>-6.4270181920529499</v>
      </c>
      <c r="V3631">
        <v>0.24493561146895099</v>
      </c>
      <c r="W3631">
        <v>0.41153092759350102</v>
      </c>
      <c r="X3631">
        <v>0</v>
      </c>
      <c r="Y3631">
        <v>0</v>
      </c>
    </row>
    <row r="3632" spans="1:25" x14ac:dyDescent="0.2">
      <c r="A3632" t="s">
        <v>13355</v>
      </c>
      <c r="B3632" t="s">
        <v>13356</v>
      </c>
      <c r="C3632" t="s">
        <v>14733</v>
      </c>
      <c r="D3632" t="s">
        <v>13357</v>
      </c>
      <c r="E3632" t="s">
        <v>13356</v>
      </c>
      <c r="F3632" t="s">
        <v>28</v>
      </c>
      <c r="G3632" t="s">
        <v>13356</v>
      </c>
      <c r="H3632" t="str">
        <f>"W03H9.1"</f>
        <v>W03H9.1</v>
      </c>
      <c r="I3632" t="s">
        <v>13357</v>
      </c>
      <c r="J3632" t="s">
        <v>29</v>
      </c>
      <c r="K3632">
        <v>9.3544004788133694</v>
      </c>
      <c r="L3632" t="s">
        <v>29</v>
      </c>
      <c r="M3632" t="s">
        <v>29</v>
      </c>
      <c r="N3632" t="s">
        <v>29</v>
      </c>
      <c r="O3632" t="s">
        <v>29</v>
      </c>
      <c r="P3632" t="s">
        <v>29</v>
      </c>
      <c r="Q3632" t="s">
        <v>29</v>
      </c>
      <c r="R3632" t="s">
        <v>29</v>
      </c>
      <c r="S3632">
        <v>9.3344479956175093</v>
      </c>
      <c r="T3632" t="s">
        <v>29</v>
      </c>
      <c r="U3632" t="s">
        <v>29</v>
      </c>
      <c r="V3632" t="s">
        <v>29</v>
      </c>
      <c r="W3632" t="s">
        <v>29</v>
      </c>
      <c r="X3632" t="s">
        <v>29</v>
      </c>
      <c r="Y3632" t="s">
        <v>29</v>
      </c>
    </row>
    <row r="3633" spans="1:25" x14ac:dyDescent="0.2">
      <c r="A3633" t="s">
        <v>13358</v>
      </c>
      <c r="B3633" t="s">
        <v>13359</v>
      </c>
      <c r="C3633" t="s">
        <v>13360</v>
      </c>
      <c r="D3633" t="s">
        <v>13361</v>
      </c>
      <c r="E3633" t="s">
        <v>13359</v>
      </c>
      <c r="F3633" t="s">
        <v>28</v>
      </c>
      <c r="G3633" t="s">
        <v>13359</v>
      </c>
      <c r="H3633" t="str">
        <f>"ect-2"</f>
        <v>ect-2</v>
      </c>
      <c r="I3633" t="s">
        <v>13361</v>
      </c>
      <c r="J3633" t="s">
        <v>29</v>
      </c>
      <c r="K3633">
        <v>11.848130038704699</v>
      </c>
      <c r="L3633" t="s">
        <v>29</v>
      </c>
      <c r="M3633" t="s">
        <v>29</v>
      </c>
      <c r="N3633" t="s">
        <v>29</v>
      </c>
      <c r="O3633" t="s">
        <v>29</v>
      </c>
      <c r="P3633" t="s">
        <v>29</v>
      </c>
      <c r="Q3633" t="s">
        <v>29</v>
      </c>
      <c r="R3633" t="s">
        <v>29</v>
      </c>
      <c r="S3633">
        <v>10.977799021749799</v>
      </c>
      <c r="T3633" t="s">
        <v>29</v>
      </c>
      <c r="U3633" t="s">
        <v>29</v>
      </c>
      <c r="V3633" t="s">
        <v>29</v>
      </c>
      <c r="W3633" t="s">
        <v>29</v>
      </c>
      <c r="X3633" t="s">
        <v>29</v>
      </c>
      <c r="Y3633" t="s">
        <v>29</v>
      </c>
    </row>
    <row r="3634" spans="1:25" x14ac:dyDescent="0.2">
      <c r="A3634" t="s">
        <v>13362</v>
      </c>
      <c r="B3634" t="s">
        <v>13363</v>
      </c>
      <c r="C3634" t="s">
        <v>14734</v>
      </c>
      <c r="D3634" t="s">
        <v>13364</v>
      </c>
      <c r="E3634" t="s">
        <v>13363</v>
      </c>
      <c r="F3634" t="s">
        <v>28</v>
      </c>
      <c r="G3634" t="s">
        <v>13363</v>
      </c>
      <c r="H3634" t="str">
        <f>"T16G1.9"</f>
        <v>T16G1.9</v>
      </c>
      <c r="I3634" t="s">
        <v>13364</v>
      </c>
      <c r="J3634">
        <v>13.6218678496497</v>
      </c>
      <c r="K3634">
        <v>13.416315696691299</v>
      </c>
      <c r="L3634">
        <v>13.413339394042699</v>
      </c>
      <c r="M3634" t="s">
        <v>29</v>
      </c>
      <c r="N3634">
        <v>13.0864205509931</v>
      </c>
      <c r="O3634">
        <v>13.6712409952792</v>
      </c>
      <c r="P3634">
        <v>-0.105010206991777</v>
      </c>
      <c r="Q3634">
        <v>-0.56141672157626399</v>
      </c>
      <c r="R3634">
        <v>0.35139630759271001</v>
      </c>
      <c r="S3634">
        <v>13.2735275261384</v>
      </c>
      <c r="T3634">
        <v>-0.485657044880205</v>
      </c>
      <c r="U3634">
        <v>-6.9223567247625404</v>
      </c>
      <c r="V3634">
        <v>0.63344866046174397</v>
      </c>
      <c r="W3634">
        <v>0.756084731624447</v>
      </c>
      <c r="X3634">
        <v>0</v>
      </c>
      <c r="Y3634">
        <v>0</v>
      </c>
    </row>
    <row r="3635" spans="1:25" x14ac:dyDescent="0.2">
      <c r="A3635" t="s">
        <v>13365</v>
      </c>
      <c r="B3635" t="s">
        <v>13366</v>
      </c>
      <c r="C3635" t="s">
        <v>13367</v>
      </c>
      <c r="D3635" t="s">
        <v>13368</v>
      </c>
      <c r="E3635" t="s">
        <v>13366</v>
      </c>
      <c r="F3635" t="s">
        <v>28</v>
      </c>
      <c r="G3635" t="s">
        <v>13366</v>
      </c>
      <c r="H3635" t="str">
        <f>"gldi-7"</f>
        <v>gldi-7</v>
      </c>
      <c r="I3635" t="s">
        <v>13368</v>
      </c>
      <c r="J3635" t="s">
        <v>29</v>
      </c>
      <c r="K3635" t="s">
        <v>29</v>
      </c>
      <c r="L3635" t="s">
        <v>29</v>
      </c>
      <c r="M3635" t="s">
        <v>29</v>
      </c>
      <c r="N3635" t="s">
        <v>29</v>
      </c>
      <c r="O3635">
        <v>13.042916730087001</v>
      </c>
      <c r="P3635" t="s">
        <v>29</v>
      </c>
      <c r="Q3635" t="s">
        <v>29</v>
      </c>
      <c r="R3635" t="s">
        <v>29</v>
      </c>
      <c r="S3635">
        <v>13.408481249397401</v>
      </c>
      <c r="T3635" t="s">
        <v>29</v>
      </c>
      <c r="U3635" t="s">
        <v>29</v>
      </c>
      <c r="V3635" t="s">
        <v>29</v>
      </c>
      <c r="W3635" t="s">
        <v>29</v>
      </c>
      <c r="X3635" t="s">
        <v>29</v>
      </c>
      <c r="Y3635" t="s">
        <v>29</v>
      </c>
    </row>
    <row r="3636" spans="1:25" x14ac:dyDescent="0.2">
      <c r="A3636" t="s">
        <v>13369</v>
      </c>
      <c r="B3636" t="s">
        <v>13370</v>
      </c>
      <c r="C3636" t="s">
        <v>13371</v>
      </c>
      <c r="D3636" t="s">
        <v>8655</v>
      </c>
      <c r="E3636" t="s">
        <v>13370</v>
      </c>
      <c r="F3636" t="s">
        <v>28</v>
      </c>
      <c r="G3636" t="s">
        <v>13370</v>
      </c>
      <c r="H3636" t="str">
        <f>"pis-1"</f>
        <v>pis-1</v>
      </c>
      <c r="I3636" t="s">
        <v>8655</v>
      </c>
      <c r="J3636">
        <v>12.038377067917301</v>
      </c>
      <c r="K3636">
        <v>12.5929570421301</v>
      </c>
      <c r="L3636">
        <v>12.477719024907699</v>
      </c>
      <c r="M3636" t="s">
        <v>29</v>
      </c>
      <c r="N3636">
        <v>12.5378574674326</v>
      </c>
      <c r="O3636">
        <v>12.052982082662799</v>
      </c>
      <c r="P3636">
        <v>-7.4264603270645296E-2</v>
      </c>
      <c r="Q3636">
        <v>-0.675926108058296</v>
      </c>
      <c r="R3636">
        <v>0.52739690151700502</v>
      </c>
      <c r="S3636">
        <v>13.0804721508354</v>
      </c>
      <c r="T3636">
        <v>-0.260543146050769</v>
      </c>
      <c r="U3636">
        <v>-7.0098642229755104</v>
      </c>
      <c r="V3636">
        <v>0.79759379419106202</v>
      </c>
      <c r="W3636">
        <v>0.87314595523070604</v>
      </c>
      <c r="X3636">
        <v>0</v>
      </c>
      <c r="Y3636">
        <v>0</v>
      </c>
    </row>
    <row r="3637" spans="1:25" x14ac:dyDescent="0.2">
      <c r="A3637" t="s">
        <v>13372</v>
      </c>
      <c r="B3637" t="s">
        <v>13373</v>
      </c>
      <c r="C3637" t="s">
        <v>13374</v>
      </c>
      <c r="D3637" t="s">
        <v>13375</v>
      </c>
      <c r="E3637" t="s">
        <v>13373</v>
      </c>
      <c r="F3637" t="s">
        <v>28</v>
      </c>
      <c r="G3637" t="s">
        <v>13373</v>
      </c>
      <c r="H3637" t="str">
        <f>"rsbp-1"</f>
        <v>rsbp-1</v>
      </c>
      <c r="I3637" t="s">
        <v>13375</v>
      </c>
      <c r="J3637" t="s">
        <v>29</v>
      </c>
      <c r="K3637" t="s">
        <v>29</v>
      </c>
      <c r="L3637" t="s">
        <v>29</v>
      </c>
      <c r="M3637" t="s">
        <v>29</v>
      </c>
      <c r="N3637" t="s">
        <v>29</v>
      </c>
      <c r="O3637">
        <v>12.3597150786543</v>
      </c>
      <c r="P3637" t="s">
        <v>29</v>
      </c>
      <c r="Q3637" t="s">
        <v>29</v>
      </c>
      <c r="R3637" t="s">
        <v>29</v>
      </c>
      <c r="S3637">
        <v>11.653045481277401</v>
      </c>
      <c r="T3637" t="s">
        <v>29</v>
      </c>
      <c r="U3637" t="s">
        <v>29</v>
      </c>
      <c r="V3637" t="s">
        <v>29</v>
      </c>
      <c r="W3637" t="s">
        <v>29</v>
      </c>
      <c r="X3637" t="s">
        <v>29</v>
      </c>
      <c r="Y3637" t="s">
        <v>29</v>
      </c>
    </row>
    <row r="3638" spans="1:25" x14ac:dyDescent="0.2">
      <c r="A3638" t="s">
        <v>13376</v>
      </c>
      <c r="B3638" t="s">
        <v>13377</v>
      </c>
      <c r="C3638" t="s">
        <v>13378</v>
      </c>
      <c r="D3638" t="s">
        <v>13379</v>
      </c>
      <c r="E3638" t="s">
        <v>13377</v>
      </c>
      <c r="F3638" t="s">
        <v>28</v>
      </c>
      <c r="G3638" t="s">
        <v>13377</v>
      </c>
      <c r="H3638" t="str">
        <f>"chaf-1"</f>
        <v>chaf-1</v>
      </c>
      <c r="I3638" t="s">
        <v>13379</v>
      </c>
      <c r="J3638" t="s">
        <v>29</v>
      </c>
      <c r="K3638" t="s">
        <v>29</v>
      </c>
      <c r="L3638" t="s">
        <v>29</v>
      </c>
      <c r="M3638" t="s">
        <v>29</v>
      </c>
      <c r="N3638" t="s">
        <v>29</v>
      </c>
      <c r="O3638" t="s">
        <v>29</v>
      </c>
      <c r="P3638" t="s">
        <v>29</v>
      </c>
      <c r="Q3638" t="s">
        <v>29</v>
      </c>
      <c r="R3638" t="s">
        <v>29</v>
      </c>
      <c r="S3638">
        <v>13.143955990008401</v>
      </c>
      <c r="T3638" t="s">
        <v>29</v>
      </c>
      <c r="U3638" t="s">
        <v>29</v>
      </c>
      <c r="V3638" t="s">
        <v>29</v>
      </c>
      <c r="W3638" t="s">
        <v>29</v>
      </c>
      <c r="X3638" t="s">
        <v>29</v>
      </c>
      <c r="Y3638" t="s">
        <v>29</v>
      </c>
    </row>
    <row r="3639" spans="1:25" x14ac:dyDescent="0.2">
      <c r="A3639" t="s">
        <v>13380</v>
      </c>
      <c r="B3639" t="s">
        <v>13381</v>
      </c>
      <c r="C3639" t="s">
        <v>13382</v>
      </c>
      <c r="D3639" t="s">
        <v>13383</v>
      </c>
      <c r="E3639" t="s">
        <v>13381</v>
      </c>
      <c r="F3639" t="s">
        <v>28</v>
      </c>
      <c r="G3639" t="s">
        <v>13381</v>
      </c>
      <c r="H3639" t="str">
        <f>"nol-9"</f>
        <v>nol-9</v>
      </c>
      <c r="I3639" t="s">
        <v>13383</v>
      </c>
      <c r="J3639">
        <v>13.474060658828099</v>
      </c>
      <c r="K3639">
        <v>13.3631557926673</v>
      </c>
      <c r="L3639">
        <v>13.5349457407918</v>
      </c>
      <c r="M3639">
        <v>12.3303433718938</v>
      </c>
      <c r="N3639">
        <v>13.065176430085</v>
      </c>
      <c r="O3639">
        <v>13.234362320402401</v>
      </c>
      <c r="P3639">
        <v>-0.58076002330198395</v>
      </c>
      <c r="Q3639">
        <v>-0.98938298371111999</v>
      </c>
      <c r="R3639">
        <v>-0.172137062892848</v>
      </c>
      <c r="S3639">
        <v>13.4310826193335</v>
      </c>
      <c r="T3639">
        <v>-2.9872148617886798</v>
      </c>
      <c r="U3639">
        <v>-3.3621814580765599</v>
      </c>
      <c r="V3639">
        <v>7.9390417928503609E-3</v>
      </c>
      <c r="W3639">
        <v>3.8607848454670003E-2</v>
      </c>
      <c r="X3639">
        <v>0</v>
      </c>
      <c r="Y3639">
        <v>0</v>
      </c>
    </row>
    <row r="3640" spans="1:25" x14ac:dyDescent="0.2">
      <c r="A3640" t="s">
        <v>13384</v>
      </c>
      <c r="B3640" t="s">
        <v>13385</v>
      </c>
      <c r="C3640" t="s">
        <v>13386</v>
      </c>
      <c r="D3640" t="s">
        <v>13387</v>
      </c>
      <c r="E3640" t="s">
        <v>13385</v>
      </c>
      <c r="F3640" t="s">
        <v>28</v>
      </c>
      <c r="G3640" t="s">
        <v>13385</v>
      </c>
      <c r="H3640" t="str">
        <f>"dcn-1"</f>
        <v>dcn-1</v>
      </c>
      <c r="I3640" t="s">
        <v>13387</v>
      </c>
      <c r="J3640">
        <v>15.4890708050377</v>
      </c>
      <c r="K3640">
        <v>15.3614259323071</v>
      </c>
      <c r="L3640">
        <v>15.206220734746701</v>
      </c>
      <c r="M3640">
        <v>14.8649632748625</v>
      </c>
      <c r="N3640">
        <v>15.09127921328</v>
      </c>
      <c r="O3640">
        <v>15.100137066450401</v>
      </c>
      <c r="P3640">
        <v>-0.333445972499543</v>
      </c>
      <c r="Q3640">
        <v>-0.64629059454332805</v>
      </c>
      <c r="R3640">
        <v>-2.06013504557589E-2</v>
      </c>
      <c r="S3640">
        <v>14.960390782845</v>
      </c>
      <c r="T3640">
        <v>-2.2402129101709001</v>
      </c>
      <c r="U3640">
        <v>-4.8365938209259003</v>
      </c>
      <c r="V3640">
        <v>3.8012002645702099E-2</v>
      </c>
      <c r="W3640">
        <v>0.114604007718673</v>
      </c>
      <c r="X3640">
        <v>0</v>
      </c>
      <c r="Y3640">
        <v>0</v>
      </c>
    </row>
    <row r="3641" spans="1:25" x14ac:dyDescent="0.2">
      <c r="A3641" t="s">
        <v>13388</v>
      </c>
      <c r="B3641" t="s">
        <v>13389</v>
      </c>
      <c r="C3641" t="s">
        <v>13390</v>
      </c>
      <c r="D3641" t="s">
        <v>13391</v>
      </c>
      <c r="E3641" t="s">
        <v>13389</v>
      </c>
      <c r="F3641" t="s">
        <v>28</v>
      </c>
      <c r="G3641" t="s">
        <v>13389</v>
      </c>
      <c r="H3641" t="str">
        <f>"sms-1"</f>
        <v>sms-1</v>
      </c>
      <c r="I3641" t="s">
        <v>13391</v>
      </c>
      <c r="J3641">
        <v>12.125886279641101</v>
      </c>
      <c r="K3641">
        <v>12.5721858284432</v>
      </c>
      <c r="L3641">
        <v>12.0400718638311</v>
      </c>
      <c r="M3641" t="s">
        <v>29</v>
      </c>
      <c r="N3641" t="s">
        <v>29</v>
      </c>
      <c r="O3641" t="s">
        <v>29</v>
      </c>
      <c r="P3641" t="s">
        <v>29</v>
      </c>
      <c r="Q3641" t="s">
        <v>29</v>
      </c>
      <c r="R3641" t="s">
        <v>29</v>
      </c>
      <c r="S3641">
        <v>11.7849154644053</v>
      </c>
      <c r="T3641" t="s">
        <v>29</v>
      </c>
      <c r="U3641" t="s">
        <v>29</v>
      </c>
      <c r="V3641" t="s">
        <v>29</v>
      </c>
      <c r="W3641" t="s">
        <v>29</v>
      </c>
      <c r="X3641" t="s">
        <v>29</v>
      </c>
      <c r="Y3641" t="s">
        <v>29</v>
      </c>
    </row>
    <row r="3642" spans="1:25" x14ac:dyDescent="0.2">
      <c r="A3642" t="s">
        <v>13392</v>
      </c>
      <c r="B3642" t="s">
        <v>13393</v>
      </c>
      <c r="C3642" t="s">
        <v>13394</v>
      </c>
      <c r="D3642" t="s">
        <v>13395</v>
      </c>
      <c r="E3642" t="s">
        <v>13393</v>
      </c>
      <c r="F3642" t="s">
        <v>28</v>
      </c>
      <c r="G3642" t="s">
        <v>13393</v>
      </c>
      <c r="H3642" t="str">
        <f>"adr-1"</f>
        <v>adr-1</v>
      </c>
      <c r="I3642" t="s">
        <v>13395</v>
      </c>
      <c r="J3642">
        <v>14.928651670491201</v>
      </c>
      <c r="K3642">
        <v>14.911680040639499</v>
      </c>
      <c r="L3642">
        <v>14.787441495476999</v>
      </c>
      <c r="M3642">
        <v>13.887129765973301</v>
      </c>
      <c r="N3642">
        <v>14.325922715972199</v>
      </c>
      <c r="O3642">
        <v>14.645222701780201</v>
      </c>
      <c r="P3642">
        <v>-0.58983267429398401</v>
      </c>
      <c r="Q3642">
        <v>-1.0345288608721801</v>
      </c>
      <c r="R3642">
        <v>-0.145136487715785</v>
      </c>
      <c r="S3642">
        <v>14.829967849289799</v>
      </c>
      <c r="T3642">
        <v>-2.7877763850697201</v>
      </c>
      <c r="U3642">
        <v>-3.7732728606658901</v>
      </c>
      <c r="V3642">
        <v>1.2197739995666E-2</v>
      </c>
      <c r="W3642">
        <v>5.2172336382043202E-2</v>
      </c>
      <c r="X3642">
        <v>0</v>
      </c>
      <c r="Y3642">
        <v>0</v>
      </c>
    </row>
    <row r="3643" spans="1:25" x14ac:dyDescent="0.2">
      <c r="A3643" t="s">
        <v>13396</v>
      </c>
      <c r="B3643" t="s">
        <v>13397</v>
      </c>
      <c r="C3643" t="s">
        <v>13398</v>
      </c>
      <c r="D3643" t="s">
        <v>13399</v>
      </c>
      <c r="E3643" t="s">
        <v>13397</v>
      </c>
      <c r="F3643" t="s">
        <v>28</v>
      </c>
      <c r="G3643" t="s">
        <v>13397</v>
      </c>
      <c r="H3643" t="str">
        <f>"ndua-1"</f>
        <v>ndua-1</v>
      </c>
      <c r="I3643" t="s">
        <v>13399</v>
      </c>
      <c r="J3643">
        <v>14.087214842226301</v>
      </c>
      <c r="K3643">
        <v>14.236895943531</v>
      </c>
      <c r="L3643">
        <v>14.693591623357801</v>
      </c>
      <c r="M3643">
        <v>16.858472055360401</v>
      </c>
      <c r="N3643" t="s">
        <v>29</v>
      </c>
      <c r="O3643">
        <v>13.5319022713322</v>
      </c>
      <c r="P3643">
        <v>0.85595302697463005</v>
      </c>
      <c r="Q3643">
        <v>-0.86511715546774104</v>
      </c>
      <c r="R3643">
        <v>2.5770232094169998</v>
      </c>
      <c r="S3643">
        <v>13.6343745645742</v>
      </c>
      <c r="T3643">
        <v>1.08466684202813</v>
      </c>
      <c r="U3643">
        <v>-6.4421143035228301</v>
      </c>
      <c r="V3643">
        <v>0.29956395401022301</v>
      </c>
      <c r="W3643">
        <v>0.46833685542075698</v>
      </c>
      <c r="X3643">
        <v>0</v>
      </c>
      <c r="Y3643">
        <v>0</v>
      </c>
    </row>
    <row r="3644" spans="1:25" x14ac:dyDescent="0.2">
      <c r="A3644" t="s">
        <v>13400</v>
      </c>
      <c r="B3644" t="s">
        <v>13401</v>
      </c>
      <c r="C3644" t="s">
        <v>14735</v>
      </c>
      <c r="D3644" t="s">
        <v>4609</v>
      </c>
      <c r="E3644" t="s">
        <v>13401</v>
      </c>
      <c r="F3644" t="s">
        <v>28</v>
      </c>
      <c r="G3644" t="s">
        <v>13401</v>
      </c>
      <c r="H3644" t="str">
        <f>"F28H6.4"</f>
        <v>F28H6.4</v>
      </c>
      <c r="I3644" t="s">
        <v>4609</v>
      </c>
      <c r="J3644" t="s">
        <v>29</v>
      </c>
      <c r="K3644" t="s">
        <v>29</v>
      </c>
      <c r="L3644" t="s">
        <v>29</v>
      </c>
      <c r="M3644" t="s">
        <v>29</v>
      </c>
      <c r="N3644" t="s">
        <v>29</v>
      </c>
      <c r="O3644" t="s">
        <v>29</v>
      </c>
      <c r="P3644" t="s">
        <v>29</v>
      </c>
      <c r="Q3644" t="s">
        <v>29</v>
      </c>
      <c r="R3644" t="s">
        <v>29</v>
      </c>
      <c r="S3644">
        <v>10.7083937241994</v>
      </c>
      <c r="T3644" t="s">
        <v>29</v>
      </c>
      <c r="U3644" t="s">
        <v>29</v>
      </c>
      <c r="V3644" t="s">
        <v>29</v>
      </c>
      <c r="W3644" t="s">
        <v>29</v>
      </c>
      <c r="X3644" t="s">
        <v>29</v>
      </c>
      <c r="Y3644" t="s">
        <v>29</v>
      </c>
    </row>
    <row r="3645" spans="1:25" x14ac:dyDescent="0.2">
      <c r="A3645" t="s">
        <v>13402</v>
      </c>
      <c r="B3645" t="s">
        <v>13403</v>
      </c>
      <c r="C3645" t="s">
        <v>13404</v>
      </c>
      <c r="D3645" t="s">
        <v>13405</v>
      </c>
      <c r="E3645" t="s">
        <v>13403</v>
      </c>
      <c r="F3645" t="s">
        <v>28</v>
      </c>
      <c r="G3645" t="s">
        <v>13403</v>
      </c>
      <c r="H3645" t="str">
        <f>"F26F2.7"</f>
        <v>F26F2.7</v>
      </c>
      <c r="I3645" t="s">
        <v>13405</v>
      </c>
      <c r="J3645">
        <v>12.2472071877463</v>
      </c>
      <c r="K3645" t="s">
        <v>29</v>
      </c>
      <c r="L3645">
        <v>12.000988102624399</v>
      </c>
      <c r="M3645" t="s">
        <v>29</v>
      </c>
      <c r="N3645" t="s">
        <v>29</v>
      </c>
      <c r="O3645" t="s">
        <v>29</v>
      </c>
      <c r="P3645" t="s">
        <v>29</v>
      </c>
      <c r="Q3645" t="s">
        <v>29</v>
      </c>
      <c r="R3645" t="s">
        <v>29</v>
      </c>
      <c r="S3645">
        <v>11.9738355523709</v>
      </c>
      <c r="T3645" t="s">
        <v>29</v>
      </c>
      <c r="U3645" t="s">
        <v>29</v>
      </c>
      <c r="V3645" t="s">
        <v>29</v>
      </c>
      <c r="W3645" t="s">
        <v>29</v>
      </c>
      <c r="X3645" t="s">
        <v>29</v>
      </c>
      <c r="Y3645" t="s">
        <v>29</v>
      </c>
    </row>
    <row r="3646" spans="1:25" x14ac:dyDescent="0.2">
      <c r="A3646" t="s">
        <v>13406</v>
      </c>
      <c r="B3646" t="s">
        <v>13407</v>
      </c>
      <c r="C3646" t="s">
        <v>14736</v>
      </c>
      <c r="D3646" t="s">
        <v>13408</v>
      </c>
      <c r="E3646" t="s">
        <v>13407</v>
      </c>
      <c r="F3646" t="s">
        <v>28</v>
      </c>
      <c r="G3646" t="s">
        <v>13407</v>
      </c>
      <c r="H3646" t="str">
        <f>"F11A10.6"</f>
        <v>F11A10.6</v>
      </c>
      <c r="I3646" t="s">
        <v>13408</v>
      </c>
      <c r="J3646">
        <v>13.2863944795034</v>
      </c>
      <c r="K3646">
        <v>13.0171419323083</v>
      </c>
      <c r="L3646">
        <v>13.365246720391401</v>
      </c>
      <c r="M3646" t="s">
        <v>29</v>
      </c>
      <c r="N3646" t="s">
        <v>29</v>
      </c>
      <c r="O3646">
        <v>13.1799203927837</v>
      </c>
      <c r="P3646">
        <v>-4.3007317950701597E-2</v>
      </c>
      <c r="Q3646">
        <v>-1.0679440228633501</v>
      </c>
      <c r="R3646">
        <v>0.98192938696194598</v>
      </c>
      <c r="S3646">
        <v>13.3258406015199</v>
      </c>
      <c r="T3646">
        <v>-8.94925574472549E-2</v>
      </c>
      <c r="U3646">
        <v>-6.8084790994537299</v>
      </c>
      <c r="V3646">
        <v>0.92988272637756597</v>
      </c>
      <c r="W3646">
        <v>0.95951134265920401</v>
      </c>
      <c r="X3646">
        <v>0</v>
      </c>
      <c r="Y3646">
        <v>0</v>
      </c>
    </row>
    <row r="3647" spans="1:25" x14ac:dyDescent="0.2">
      <c r="A3647" t="s">
        <v>13409</v>
      </c>
      <c r="B3647" t="s">
        <v>13410</v>
      </c>
      <c r="C3647" t="s">
        <v>13411</v>
      </c>
      <c r="D3647" t="s">
        <v>13412</v>
      </c>
      <c r="E3647" t="s">
        <v>13410</v>
      </c>
      <c r="F3647" t="s">
        <v>28</v>
      </c>
      <c r="G3647" t="s">
        <v>13410</v>
      </c>
      <c r="H3647" t="str">
        <f>"ints-11"</f>
        <v>ints-11</v>
      </c>
      <c r="I3647" t="s">
        <v>13412</v>
      </c>
      <c r="J3647">
        <v>13.750057282109299</v>
      </c>
      <c r="K3647">
        <v>13.2630057694161</v>
      </c>
      <c r="L3647">
        <v>13.2342391328828</v>
      </c>
      <c r="M3647" t="s">
        <v>29</v>
      </c>
      <c r="N3647">
        <v>12.5495451401222</v>
      </c>
      <c r="O3647">
        <v>13.116565145760999</v>
      </c>
      <c r="P3647">
        <v>-0.58271225186114295</v>
      </c>
      <c r="Q3647">
        <v>-1.26941292759762</v>
      </c>
      <c r="R3647">
        <v>0.10398842387533699</v>
      </c>
      <c r="S3647">
        <v>13.0423116323563</v>
      </c>
      <c r="T3647">
        <v>-1.7911695098905001</v>
      </c>
      <c r="U3647">
        <v>-5.5024462372442198</v>
      </c>
      <c r="V3647">
        <v>9.1197464343342E-2</v>
      </c>
      <c r="W3647">
        <v>0.204379412486562</v>
      </c>
      <c r="X3647">
        <v>0</v>
      </c>
      <c r="Y3647">
        <v>0</v>
      </c>
    </row>
    <row r="3648" spans="1:25" x14ac:dyDescent="0.2">
      <c r="A3648" t="s">
        <v>13413</v>
      </c>
      <c r="B3648" t="s">
        <v>13414</v>
      </c>
      <c r="C3648" t="s">
        <v>13415</v>
      </c>
      <c r="D3648" t="s">
        <v>323</v>
      </c>
      <c r="E3648" t="s">
        <v>13414</v>
      </c>
      <c r="F3648" t="s">
        <v>28</v>
      </c>
      <c r="G3648" t="s">
        <v>13414</v>
      </c>
      <c r="H3648" t="str">
        <f>"C49C3.10"</f>
        <v>C49C3.10</v>
      </c>
      <c r="I3648" t="s">
        <v>323</v>
      </c>
      <c r="J3648" t="s">
        <v>29</v>
      </c>
      <c r="K3648">
        <v>11.9756113599059</v>
      </c>
      <c r="L3648" t="s">
        <v>29</v>
      </c>
      <c r="M3648" t="s">
        <v>29</v>
      </c>
      <c r="N3648" t="s">
        <v>29</v>
      </c>
      <c r="O3648" t="s">
        <v>29</v>
      </c>
      <c r="P3648" t="s">
        <v>29</v>
      </c>
      <c r="Q3648" t="s">
        <v>29</v>
      </c>
      <c r="R3648" t="s">
        <v>29</v>
      </c>
      <c r="S3648">
        <v>12.007937598155801</v>
      </c>
      <c r="T3648" t="s">
        <v>29</v>
      </c>
      <c r="U3648" t="s">
        <v>29</v>
      </c>
      <c r="V3648" t="s">
        <v>29</v>
      </c>
      <c r="W3648" t="s">
        <v>29</v>
      </c>
      <c r="X3648" t="s">
        <v>29</v>
      </c>
      <c r="Y3648" t="s">
        <v>29</v>
      </c>
    </row>
    <row r="3649" spans="1:25" x14ac:dyDescent="0.2">
      <c r="A3649" t="s">
        <v>13416</v>
      </c>
      <c r="B3649" t="s">
        <v>13417</v>
      </c>
      <c r="C3649" t="s">
        <v>13418</v>
      </c>
      <c r="D3649" t="s">
        <v>13419</v>
      </c>
      <c r="E3649" t="s">
        <v>13417</v>
      </c>
      <c r="F3649" t="s">
        <v>28</v>
      </c>
      <c r="G3649" t="s">
        <v>13417</v>
      </c>
      <c r="H3649" t="str">
        <f>"C47B2.2"</f>
        <v>C47B2.2</v>
      </c>
      <c r="I3649" t="s">
        <v>13419</v>
      </c>
      <c r="J3649">
        <v>15.0574309808117</v>
      </c>
      <c r="K3649">
        <v>14.7986752349225</v>
      </c>
      <c r="L3649">
        <v>14.993386718191701</v>
      </c>
      <c r="M3649">
        <v>14.652802138246599</v>
      </c>
      <c r="N3649">
        <v>14.858253417867401</v>
      </c>
      <c r="O3649">
        <v>15.021674903614301</v>
      </c>
      <c r="P3649">
        <v>-0.105587491399209</v>
      </c>
      <c r="Q3649">
        <v>-0.44393103574064802</v>
      </c>
      <c r="R3649">
        <v>0.23275605294223001</v>
      </c>
      <c r="S3649">
        <v>14.8518252364237</v>
      </c>
      <c r="T3649">
        <v>-0.65591428664112195</v>
      </c>
      <c r="U3649">
        <v>-6.9332109412663403</v>
      </c>
      <c r="V3649">
        <v>0.52022422812784397</v>
      </c>
      <c r="W3649">
        <v>0.67123502639787902</v>
      </c>
      <c r="X3649">
        <v>0</v>
      </c>
      <c r="Y3649">
        <v>0</v>
      </c>
    </row>
    <row r="3650" spans="1:25" x14ac:dyDescent="0.2">
      <c r="A3650" t="s">
        <v>13420</v>
      </c>
      <c r="B3650" t="s">
        <v>13421</v>
      </c>
      <c r="C3650" t="s">
        <v>13422</v>
      </c>
      <c r="D3650" t="s">
        <v>3358</v>
      </c>
      <c r="E3650" t="s">
        <v>13421</v>
      </c>
      <c r="F3650" t="s">
        <v>28</v>
      </c>
      <c r="G3650" t="s">
        <v>13421</v>
      </c>
      <c r="H3650" t="str">
        <f>"fbxa-174"</f>
        <v>fbxa-174</v>
      </c>
      <c r="I3650" t="s">
        <v>3358</v>
      </c>
      <c r="J3650">
        <v>17.078555029903502</v>
      </c>
      <c r="K3650">
        <v>16.7549584015409</v>
      </c>
      <c r="L3650">
        <v>17.854261669673001</v>
      </c>
      <c r="M3650">
        <v>18.4985058854725</v>
      </c>
      <c r="N3650" t="s">
        <v>29</v>
      </c>
      <c r="O3650">
        <v>15.873272541264299</v>
      </c>
      <c r="P3650">
        <v>-4.3369153670766998E-2</v>
      </c>
      <c r="Q3650">
        <v>-1.1487344656396301</v>
      </c>
      <c r="R3650">
        <v>1.0619961582980899</v>
      </c>
      <c r="S3650">
        <v>16.3755929374178</v>
      </c>
      <c r="T3650">
        <v>-8.2818074430740102E-2</v>
      </c>
      <c r="U3650">
        <v>-7.0418703641147902</v>
      </c>
      <c r="V3650">
        <v>0.93496950636231302</v>
      </c>
      <c r="W3650">
        <v>0.962931103873362</v>
      </c>
      <c r="X3650">
        <v>0</v>
      </c>
      <c r="Y3650">
        <v>0</v>
      </c>
    </row>
    <row r="3651" spans="1:25" x14ac:dyDescent="0.2">
      <c r="A3651" t="s">
        <v>13423</v>
      </c>
      <c r="B3651" t="s">
        <v>13424</v>
      </c>
      <c r="C3651" t="s">
        <v>13425</v>
      </c>
      <c r="D3651" t="s">
        <v>13426</v>
      </c>
      <c r="E3651" t="s">
        <v>13424</v>
      </c>
      <c r="F3651" t="s">
        <v>28</v>
      </c>
      <c r="G3651" t="s">
        <v>13424</v>
      </c>
      <c r="H3651" t="str">
        <f>"C27A7.5"</f>
        <v>C27A7.5</v>
      </c>
      <c r="I3651" t="s">
        <v>13426</v>
      </c>
      <c r="J3651">
        <v>12.937265049830099</v>
      </c>
      <c r="K3651">
        <v>13.0789847366324</v>
      </c>
      <c r="L3651">
        <v>12.98678874843</v>
      </c>
      <c r="M3651" t="s">
        <v>29</v>
      </c>
      <c r="N3651">
        <v>15.189626870344799</v>
      </c>
      <c r="O3651">
        <v>14.097262552197099</v>
      </c>
      <c r="P3651">
        <v>1.6424318663067701</v>
      </c>
      <c r="Q3651">
        <v>1.05527682475389</v>
      </c>
      <c r="R3651">
        <v>2.2295869078596602</v>
      </c>
      <c r="S3651">
        <v>13.271065166150001</v>
      </c>
      <c r="T3651">
        <v>5.90451977529339</v>
      </c>
      <c r="U3651">
        <v>2.83552638816733</v>
      </c>
      <c r="V3651" s="2">
        <v>1.7762791805401201E-5</v>
      </c>
      <c r="W3651">
        <v>4.5519084739580301E-4</v>
      </c>
      <c r="X3651">
        <v>1</v>
      </c>
      <c r="Y3651">
        <v>1</v>
      </c>
    </row>
    <row r="3652" spans="1:25" x14ac:dyDescent="0.2">
      <c r="A3652" t="s">
        <v>13427</v>
      </c>
      <c r="B3652" t="s">
        <v>13428</v>
      </c>
      <c r="C3652" t="s">
        <v>13429</v>
      </c>
      <c r="D3652" t="s">
        <v>9133</v>
      </c>
      <c r="E3652" t="s">
        <v>13428</v>
      </c>
      <c r="F3652" t="s">
        <v>28</v>
      </c>
      <c r="G3652" t="s">
        <v>13428</v>
      </c>
      <c r="H3652" t="str">
        <f>"dhhc-7"</f>
        <v>dhhc-7</v>
      </c>
      <c r="I3652" t="s">
        <v>9133</v>
      </c>
      <c r="J3652">
        <v>12.831826760791399</v>
      </c>
      <c r="K3652">
        <v>13.094744809813101</v>
      </c>
      <c r="L3652">
        <v>13.214234725983101</v>
      </c>
      <c r="M3652" t="s">
        <v>29</v>
      </c>
      <c r="N3652" t="s">
        <v>29</v>
      </c>
      <c r="O3652">
        <v>12.423175099443601</v>
      </c>
      <c r="P3652">
        <v>-0.62376033275232101</v>
      </c>
      <c r="Q3652">
        <v>-1.3934796726224199</v>
      </c>
      <c r="R3652">
        <v>0.14595900711778101</v>
      </c>
      <c r="S3652">
        <v>13.0444535102898</v>
      </c>
      <c r="T3652">
        <v>-1.7188377526307199</v>
      </c>
      <c r="U3652">
        <v>-5.3911894843386996</v>
      </c>
      <c r="V3652">
        <v>0.10505489175749</v>
      </c>
      <c r="W3652">
        <v>0.22477967078159</v>
      </c>
      <c r="X3652">
        <v>0</v>
      </c>
      <c r="Y3652">
        <v>0</v>
      </c>
    </row>
    <row r="3653" spans="1:25" x14ac:dyDescent="0.2">
      <c r="A3653" t="s">
        <v>13430</v>
      </c>
      <c r="B3653" t="s">
        <v>13431</v>
      </c>
      <c r="C3653" t="s">
        <v>13432</v>
      </c>
      <c r="D3653" t="s">
        <v>13433</v>
      </c>
      <c r="E3653" t="s">
        <v>13431</v>
      </c>
      <c r="F3653" t="s">
        <v>28</v>
      </c>
      <c r="G3653" t="s">
        <v>13431</v>
      </c>
      <c r="H3653" t="str">
        <f>"alkb-8"</f>
        <v>alkb-8</v>
      </c>
      <c r="I3653" t="s">
        <v>13433</v>
      </c>
      <c r="J3653">
        <v>12.829477849808001</v>
      </c>
      <c r="K3653" t="s">
        <v>29</v>
      </c>
      <c r="L3653">
        <v>11.990381238974299</v>
      </c>
      <c r="M3653" t="s">
        <v>29</v>
      </c>
      <c r="N3653" t="s">
        <v>29</v>
      </c>
      <c r="O3653">
        <v>12.3863991119432</v>
      </c>
      <c r="P3653">
        <v>-2.3530432447906001E-2</v>
      </c>
      <c r="Q3653">
        <v>-0.90382489536569699</v>
      </c>
      <c r="R3653">
        <v>0.85676403046988503</v>
      </c>
      <c r="S3653">
        <v>12.092833602353901</v>
      </c>
      <c r="T3653">
        <v>-5.70090159422003E-2</v>
      </c>
      <c r="U3653">
        <v>-6.7528385260189401</v>
      </c>
      <c r="V3653">
        <v>0.95529574573735998</v>
      </c>
      <c r="W3653">
        <v>0.97351708970001305</v>
      </c>
      <c r="X3653">
        <v>0</v>
      </c>
      <c r="Y3653">
        <v>0</v>
      </c>
    </row>
    <row r="3654" spans="1:25" x14ac:dyDescent="0.2">
      <c r="A3654" t="s">
        <v>13434</v>
      </c>
      <c r="B3654" t="s">
        <v>13435</v>
      </c>
      <c r="C3654" t="s">
        <v>13436</v>
      </c>
      <c r="D3654" t="s">
        <v>4334</v>
      </c>
      <c r="E3654" t="s">
        <v>13435</v>
      </c>
      <c r="F3654" t="s">
        <v>28</v>
      </c>
      <c r="G3654" t="s">
        <v>13435</v>
      </c>
      <c r="H3654" t="str">
        <f>"mrps-22"</f>
        <v>mrps-22</v>
      </c>
      <c r="I3654" t="s">
        <v>4334</v>
      </c>
      <c r="J3654">
        <v>13.211969032962401</v>
      </c>
      <c r="K3654">
        <v>13.0126847323566</v>
      </c>
      <c r="L3654">
        <v>13.269379196851901</v>
      </c>
      <c r="M3654" t="s">
        <v>29</v>
      </c>
      <c r="N3654">
        <v>11.7813337767435</v>
      </c>
      <c r="O3654">
        <v>12.2374182465113</v>
      </c>
      <c r="P3654">
        <v>-1.1553016424295901</v>
      </c>
      <c r="Q3654">
        <v>-1.62853773599442</v>
      </c>
      <c r="R3654">
        <v>-0.68206554886475801</v>
      </c>
      <c r="S3654">
        <v>13.2360797387215</v>
      </c>
      <c r="T3654">
        <v>-5.1530878119910497</v>
      </c>
      <c r="U3654">
        <v>1.3021006912472699</v>
      </c>
      <c r="V3654" s="2">
        <v>8.1194197106649506E-5</v>
      </c>
      <c r="W3654">
        <v>1.4679711587318801E-3</v>
      </c>
      <c r="X3654">
        <v>-1</v>
      </c>
      <c r="Y3654">
        <v>-1</v>
      </c>
    </row>
    <row r="3655" spans="1:25" x14ac:dyDescent="0.2">
      <c r="A3655" t="s">
        <v>13437</v>
      </c>
      <c r="B3655" t="s">
        <v>13438</v>
      </c>
      <c r="C3655" t="s">
        <v>13439</v>
      </c>
      <c r="D3655" t="s">
        <v>49</v>
      </c>
      <c r="E3655" t="s">
        <v>13438</v>
      </c>
      <c r="F3655" t="s">
        <v>28</v>
      </c>
      <c r="G3655" t="s">
        <v>13438</v>
      </c>
      <c r="H3655" t="str">
        <f>"ugt-22"</f>
        <v>ugt-22</v>
      </c>
      <c r="I3655" t="s">
        <v>49</v>
      </c>
      <c r="J3655">
        <v>14.476378667186401</v>
      </c>
      <c r="K3655">
        <v>14.205186473622801</v>
      </c>
      <c r="L3655">
        <v>14.4217644265765</v>
      </c>
      <c r="M3655">
        <v>15.388793925739099</v>
      </c>
      <c r="N3655">
        <v>14.8393595124481</v>
      </c>
      <c r="O3655">
        <v>14.041670210470301</v>
      </c>
      <c r="P3655">
        <v>0.38883136042390398</v>
      </c>
      <c r="Q3655">
        <v>-0.15480911102470199</v>
      </c>
      <c r="R3655">
        <v>0.93247183187250904</v>
      </c>
      <c r="S3655">
        <v>14.199348995864399</v>
      </c>
      <c r="T3655">
        <v>1.50328740060396</v>
      </c>
      <c r="U3655">
        <v>-6.0398708325766099</v>
      </c>
      <c r="V3655">
        <v>0.150207943268823</v>
      </c>
      <c r="W3655">
        <v>0.29412811216825402</v>
      </c>
      <c r="X3655">
        <v>0</v>
      </c>
      <c r="Y3655">
        <v>0</v>
      </c>
    </row>
    <row r="3656" spans="1:25" x14ac:dyDescent="0.2">
      <c r="A3656" t="s">
        <v>13440</v>
      </c>
      <c r="B3656" t="s">
        <v>13441</v>
      </c>
      <c r="C3656" t="s">
        <v>13442</v>
      </c>
      <c r="D3656" t="s">
        <v>13443</v>
      </c>
      <c r="E3656" t="s">
        <v>13441</v>
      </c>
      <c r="F3656" t="s">
        <v>28</v>
      </c>
      <c r="G3656" t="s">
        <v>13441</v>
      </c>
      <c r="H3656" t="str">
        <f>"thoc-7"</f>
        <v>thoc-7</v>
      </c>
      <c r="I3656" t="s">
        <v>13443</v>
      </c>
      <c r="J3656" t="s">
        <v>29</v>
      </c>
      <c r="K3656" t="s">
        <v>29</v>
      </c>
      <c r="L3656" t="s">
        <v>29</v>
      </c>
      <c r="M3656" t="s">
        <v>29</v>
      </c>
      <c r="N3656" t="s">
        <v>29</v>
      </c>
      <c r="O3656" t="s">
        <v>29</v>
      </c>
      <c r="P3656" t="s">
        <v>29</v>
      </c>
      <c r="Q3656" t="s">
        <v>29</v>
      </c>
      <c r="R3656" t="s">
        <v>29</v>
      </c>
      <c r="S3656">
        <v>11.1368065613859</v>
      </c>
      <c r="T3656" t="s">
        <v>29</v>
      </c>
      <c r="U3656" t="s">
        <v>29</v>
      </c>
      <c r="V3656" t="s">
        <v>29</v>
      </c>
      <c r="W3656" t="s">
        <v>29</v>
      </c>
      <c r="X3656" t="s">
        <v>29</v>
      </c>
      <c r="Y3656" t="s">
        <v>29</v>
      </c>
    </row>
    <row r="3657" spans="1:25" x14ac:dyDescent="0.2">
      <c r="A3657" t="s">
        <v>13444</v>
      </c>
      <c r="B3657" t="s">
        <v>13445</v>
      </c>
      <c r="C3657" t="s">
        <v>13446</v>
      </c>
      <c r="D3657" t="s">
        <v>356</v>
      </c>
      <c r="E3657" t="s">
        <v>13445</v>
      </c>
      <c r="F3657" t="s">
        <v>28</v>
      </c>
      <c r="G3657" t="s">
        <v>13445</v>
      </c>
      <c r="H3657" t="str">
        <f>"znf-207"</f>
        <v>znf-207</v>
      </c>
      <c r="I3657" t="s">
        <v>356</v>
      </c>
      <c r="J3657">
        <v>14.289845662284099</v>
      </c>
      <c r="K3657">
        <v>14.4913843126189</v>
      </c>
      <c r="L3657">
        <v>14.617402600079</v>
      </c>
      <c r="M3657">
        <v>14.828655760643599</v>
      </c>
      <c r="N3657">
        <v>13.718354577674701</v>
      </c>
      <c r="O3657">
        <v>12.4192809463872</v>
      </c>
      <c r="P3657">
        <v>-0.81078043009213896</v>
      </c>
      <c r="Q3657">
        <v>-1.62851625111665</v>
      </c>
      <c r="R3657">
        <v>6.9553909323730699E-3</v>
      </c>
      <c r="S3657">
        <v>14.6607481134821</v>
      </c>
      <c r="T3657">
        <v>-2.0839281834457899</v>
      </c>
      <c r="U3657">
        <v>-5.1173001260239097</v>
      </c>
      <c r="V3657">
        <v>5.1777665973107997E-2</v>
      </c>
      <c r="W3657">
        <v>0.13909642809730999</v>
      </c>
      <c r="X3657">
        <v>0</v>
      </c>
      <c r="Y3657">
        <v>0</v>
      </c>
    </row>
    <row r="3658" spans="1:25" x14ac:dyDescent="0.2">
      <c r="A3658" t="s">
        <v>13447</v>
      </c>
      <c r="B3658" t="s">
        <v>13448</v>
      </c>
      <c r="C3658" t="s">
        <v>13449</v>
      </c>
      <c r="D3658" t="s">
        <v>13450</v>
      </c>
      <c r="E3658" t="s">
        <v>13448</v>
      </c>
      <c r="F3658" t="s">
        <v>28</v>
      </c>
      <c r="G3658" t="s">
        <v>13448</v>
      </c>
      <c r="H3658" t="str">
        <f>"lin-41"</f>
        <v>lin-41</v>
      </c>
      <c r="I3658" t="s">
        <v>13450</v>
      </c>
      <c r="J3658">
        <v>12.4812187032651</v>
      </c>
      <c r="K3658">
        <v>12.5304359570712</v>
      </c>
      <c r="L3658">
        <v>12.559623522177599</v>
      </c>
      <c r="M3658" t="s">
        <v>29</v>
      </c>
      <c r="N3658">
        <v>13.6354108655355</v>
      </c>
      <c r="O3658">
        <v>12.815482961687</v>
      </c>
      <c r="P3658">
        <v>0.70168751943991103</v>
      </c>
      <c r="Q3658">
        <v>6.3864815747596299E-3</v>
      </c>
      <c r="R3658">
        <v>1.39698855730506</v>
      </c>
      <c r="S3658">
        <v>13.3767479068344</v>
      </c>
      <c r="T3658">
        <v>2.1302024876662098</v>
      </c>
      <c r="U3658">
        <v>-4.9347023775105701</v>
      </c>
      <c r="V3658">
        <v>4.8154572368537901E-2</v>
      </c>
      <c r="W3658">
        <v>0.13250375795525801</v>
      </c>
      <c r="X3658">
        <v>0</v>
      </c>
      <c r="Y3658">
        <v>0</v>
      </c>
    </row>
    <row r="3659" spans="1:25" x14ac:dyDescent="0.2">
      <c r="A3659" t="s">
        <v>13451</v>
      </c>
      <c r="B3659" t="s">
        <v>13452</v>
      </c>
      <c r="C3659" t="s">
        <v>13453</v>
      </c>
      <c r="D3659" t="s">
        <v>13454</v>
      </c>
      <c r="E3659" t="s">
        <v>13452</v>
      </c>
      <c r="F3659" t="s">
        <v>28</v>
      </c>
      <c r="G3659" t="s">
        <v>13452</v>
      </c>
      <c r="H3659" t="str">
        <f>"xnp-1"</f>
        <v>xnp-1</v>
      </c>
      <c r="I3659" t="s">
        <v>13454</v>
      </c>
      <c r="J3659">
        <v>13.6069689823304</v>
      </c>
      <c r="K3659">
        <v>13.870752969038</v>
      </c>
      <c r="L3659">
        <v>14.2665233569107</v>
      </c>
      <c r="M3659">
        <v>14.1840089322337</v>
      </c>
      <c r="N3659">
        <v>13.913731193735901</v>
      </c>
      <c r="O3659">
        <v>13.1639590193088</v>
      </c>
      <c r="P3659">
        <v>-0.160848721000209</v>
      </c>
      <c r="Q3659">
        <v>-0.75969177788921505</v>
      </c>
      <c r="R3659">
        <v>0.43799433588879799</v>
      </c>
      <c r="S3659">
        <v>14.218921156298601</v>
      </c>
      <c r="T3659">
        <v>-0.56454310357943105</v>
      </c>
      <c r="U3659">
        <v>-6.9905265705191404</v>
      </c>
      <c r="V3659">
        <v>0.57939292459102398</v>
      </c>
      <c r="W3659">
        <v>0.71858977650303701</v>
      </c>
      <c r="X3659">
        <v>0</v>
      </c>
      <c r="Y3659">
        <v>0</v>
      </c>
    </row>
    <row r="3660" spans="1:25" x14ac:dyDescent="0.2">
      <c r="A3660" t="s">
        <v>13455</v>
      </c>
      <c r="B3660" t="s">
        <v>13456</v>
      </c>
      <c r="C3660" t="s">
        <v>13457</v>
      </c>
      <c r="D3660" t="s">
        <v>13458</v>
      </c>
      <c r="E3660" t="s">
        <v>13456</v>
      </c>
      <c r="F3660" t="s">
        <v>28</v>
      </c>
      <c r="G3660" t="s">
        <v>13456</v>
      </c>
      <c r="H3660" t="str">
        <f>"lit-1"</f>
        <v>lit-1</v>
      </c>
      <c r="I3660" t="s">
        <v>13458</v>
      </c>
      <c r="J3660">
        <v>11.6779349116344</v>
      </c>
      <c r="K3660" t="s">
        <v>29</v>
      </c>
      <c r="L3660" t="s">
        <v>29</v>
      </c>
      <c r="M3660" t="s">
        <v>29</v>
      </c>
      <c r="N3660" t="s">
        <v>29</v>
      </c>
      <c r="O3660" t="s">
        <v>29</v>
      </c>
      <c r="P3660" t="s">
        <v>29</v>
      </c>
      <c r="Q3660" t="s">
        <v>29</v>
      </c>
      <c r="R3660" t="s">
        <v>29</v>
      </c>
      <c r="S3660">
        <v>11.584518821533599</v>
      </c>
      <c r="T3660" t="s">
        <v>29</v>
      </c>
      <c r="U3660" t="s">
        <v>29</v>
      </c>
      <c r="V3660" t="s">
        <v>29</v>
      </c>
      <c r="W3660" t="s">
        <v>29</v>
      </c>
      <c r="X3660" t="s">
        <v>29</v>
      </c>
      <c r="Y3660" t="s">
        <v>29</v>
      </c>
    </row>
    <row r="3661" spans="1:25" x14ac:dyDescent="0.2">
      <c r="A3661" t="s">
        <v>13459</v>
      </c>
      <c r="B3661" t="s">
        <v>13460</v>
      </c>
      <c r="C3661" t="s">
        <v>14737</v>
      </c>
      <c r="D3661" t="s">
        <v>2221</v>
      </c>
      <c r="E3661" t="s">
        <v>13460</v>
      </c>
      <c r="F3661" t="s">
        <v>28</v>
      </c>
      <c r="G3661" t="s">
        <v>13460</v>
      </c>
      <c r="H3661" t="str">
        <f>"W04B5.5"</f>
        <v>W04B5.5</v>
      </c>
      <c r="I3661" t="s">
        <v>2221</v>
      </c>
      <c r="J3661">
        <v>12.2071473102365</v>
      </c>
      <c r="K3661" t="s">
        <v>29</v>
      </c>
      <c r="L3661">
        <v>12.0837534232599</v>
      </c>
      <c r="M3661" t="s">
        <v>29</v>
      </c>
      <c r="N3661" t="s">
        <v>29</v>
      </c>
      <c r="O3661">
        <v>11.836424445210399</v>
      </c>
      <c r="P3661">
        <v>-0.30902592153777803</v>
      </c>
      <c r="Q3661">
        <v>-0.90046326006303501</v>
      </c>
      <c r="R3661">
        <v>0.28241141698747901</v>
      </c>
      <c r="S3661">
        <v>12.175693253312501</v>
      </c>
      <c r="T3661">
        <v>-1.1513672304334599</v>
      </c>
      <c r="U3661">
        <v>-6.0812681329195302</v>
      </c>
      <c r="V3661">
        <v>0.274221916021964</v>
      </c>
      <c r="W3661">
        <v>0.44184362302718899</v>
      </c>
      <c r="X3661">
        <v>0</v>
      </c>
      <c r="Y3661">
        <v>0</v>
      </c>
    </row>
    <row r="3662" spans="1:25" x14ac:dyDescent="0.2">
      <c r="A3662" t="s">
        <v>13461</v>
      </c>
      <c r="B3662" t="s">
        <v>13462</v>
      </c>
      <c r="C3662" t="s">
        <v>13463</v>
      </c>
      <c r="D3662" t="s">
        <v>13464</v>
      </c>
      <c r="E3662" t="s">
        <v>13462</v>
      </c>
      <c r="F3662" t="s">
        <v>28</v>
      </c>
      <c r="G3662" t="s">
        <v>13462</v>
      </c>
      <c r="H3662" t="str">
        <f>"rab-1"</f>
        <v>rab-1</v>
      </c>
      <c r="I3662" t="s">
        <v>13464</v>
      </c>
      <c r="J3662">
        <v>14.671231513787699</v>
      </c>
      <c r="K3662">
        <v>14.7276449113429</v>
      </c>
      <c r="L3662">
        <v>14.9593356728343</v>
      </c>
      <c r="M3662">
        <v>15.252940013333699</v>
      </c>
      <c r="N3662">
        <v>15.0691694744116</v>
      </c>
      <c r="O3662">
        <v>15.2750352677732</v>
      </c>
      <c r="P3662">
        <v>0.412977552517859</v>
      </c>
      <c r="Q3662">
        <v>2.52912244462354E-2</v>
      </c>
      <c r="R3662">
        <v>0.80066388058948201</v>
      </c>
      <c r="S3662">
        <v>14.619457274750101</v>
      </c>
      <c r="T3662">
        <v>2.2389194727725599</v>
      </c>
      <c r="U3662">
        <v>-4.8389646314897004</v>
      </c>
      <c r="V3662">
        <v>3.8110596391007702E-2</v>
      </c>
      <c r="W3662">
        <v>0.114604007718673</v>
      </c>
      <c r="X3662">
        <v>0</v>
      </c>
      <c r="Y3662">
        <v>0</v>
      </c>
    </row>
    <row r="3663" spans="1:25" x14ac:dyDescent="0.2">
      <c r="A3663" t="s">
        <v>13465</v>
      </c>
      <c r="B3663" t="s">
        <v>13466</v>
      </c>
      <c r="C3663" t="s">
        <v>13467</v>
      </c>
      <c r="D3663" t="s">
        <v>107</v>
      </c>
      <c r="E3663" t="s">
        <v>13466</v>
      </c>
      <c r="F3663" t="s">
        <v>28</v>
      </c>
      <c r="G3663" t="s">
        <v>13466</v>
      </c>
      <c r="H3663" t="str">
        <f>"mct-2"</f>
        <v>mct-2</v>
      </c>
      <c r="I3663" t="s">
        <v>107</v>
      </c>
      <c r="J3663">
        <v>14.318133521617201</v>
      </c>
      <c r="K3663">
        <v>14.2985164413506</v>
      </c>
      <c r="L3663">
        <v>14.3132218054674</v>
      </c>
      <c r="M3663">
        <v>15.119996621927401</v>
      </c>
      <c r="N3663">
        <v>13.517349704452799</v>
      </c>
      <c r="O3663">
        <v>13.4722214477469</v>
      </c>
      <c r="P3663">
        <v>-0.27343466476933997</v>
      </c>
      <c r="Q3663">
        <v>-0.97633873866320298</v>
      </c>
      <c r="R3663">
        <v>0.42946940912452303</v>
      </c>
      <c r="S3663">
        <v>14.4772377432621</v>
      </c>
      <c r="T3663">
        <v>-0.81761720990653397</v>
      </c>
      <c r="U3663">
        <v>-6.8119111160077903</v>
      </c>
      <c r="V3663">
        <v>0.42432880765476699</v>
      </c>
      <c r="W3663">
        <v>0.58957897037180396</v>
      </c>
      <c r="X3663">
        <v>0</v>
      </c>
      <c r="Y3663">
        <v>0</v>
      </c>
    </row>
    <row r="3664" spans="1:25" x14ac:dyDescent="0.2">
      <c r="A3664" t="s">
        <v>13468</v>
      </c>
      <c r="B3664" t="s">
        <v>13469</v>
      </c>
      <c r="C3664" t="s">
        <v>13470</v>
      </c>
      <c r="D3664" t="s">
        <v>13471</v>
      </c>
      <c r="E3664" t="s">
        <v>13469</v>
      </c>
      <c r="F3664" t="s">
        <v>28</v>
      </c>
      <c r="G3664" t="s">
        <v>13469</v>
      </c>
      <c r="H3664" t="str">
        <f>"mdh-1"</f>
        <v>mdh-1</v>
      </c>
      <c r="I3664" t="s">
        <v>13471</v>
      </c>
      <c r="J3664">
        <v>12.477069101314401</v>
      </c>
      <c r="K3664">
        <v>12.4645533888876</v>
      </c>
      <c r="L3664">
        <v>12.2542288700231</v>
      </c>
      <c r="M3664">
        <v>15.1028058871066</v>
      </c>
      <c r="N3664" t="s">
        <v>29</v>
      </c>
      <c r="O3664" t="s">
        <v>29</v>
      </c>
      <c r="P3664">
        <v>2.7041887670315399</v>
      </c>
      <c r="Q3664">
        <v>1.6409506710967601</v>
      </c>
      <c r="R3664">
        <v>3.7674268629663299</v>
      </c>
      <c r="S3664">
        <v>12.072704386507301</v>
      </c>
      <c r="T3664">
        <v>5.4991266226021196</v>
      </c>
      <c r="U3664">
        <v>1.3859646688046201</v>
      </c>
      <c r="V3664">
        <v>1.0532753426655E-4</v>
      </c>
      <c r="W3664">
        <v>1.82588378519719E-3</v>
      </c>
      <c r="X3664">
        <v>1</v>
      </c>
      <c r="Y3664">
        <v>1</v>
      </c>
    </row>
    <row r="3665" spans="1:25" x14ac:dyDescent="0.2">
      <c r="A3665" t="s">
        <v>13472</v>
      </c>
      <c r="B3665" t="s">
        <v>13473</v>
      </c>
      <c r="C3665" t="s">
        <v>13474</v>
      </c>
      <c r="D3665" t="s">
        <v>13475</v>
      </c>
      <c r="E3665" t="s">
        <v>13473</v>
      </c>
      <c r="F3665" t="s">
        <v>28</v>
      </c>
      <c r="G3665" t="s">
        <v>13473</v>
      </c>
      <c r="H3665" t="str">
        <f>"acs-1"</f>
        <v>acs-1</v>
      </c>
      <c r="I3665" t="s">
        <v>13475</v>
      </c>
      <c r="J3665">
        <v>14.842726278124299</v>
      </c>
      <c r="K3665">
        <v>14.6819287572853</v>
      </c>
      <c r="L3665">
        <v>15.0085694110698</v>
      </c>
      <c r="M3665">
        <v>12.561239660181799</v>
      </c>
      <c r="N3665">
        <v>13.909182768044699</v>
      </c>
      <c r="O3665">
        <v>13.9351428010687</v>
      </c>
      <c r="P3665">
        <v>-1.3758864057280999</v>
      </c>
      <c r="Q3665">
        <v>-1.9447591239666</v>
      </c>
      <c r="R3665">
        <v>-0.80701368748960001</v>
      </c>
      <c r="S3665">
        <v>14.3566523507857</v>
      </c>
      <c r="T3665">
        <v>-5.0834667384922101</v>
      </c>
      <c r="U3665">
        <v>1.2056148627905801</v>
      </c>
      <c r="V3665" s="2">
        <v>7.8892743840706996E-5</v>
      </c>
      <c r="W3665">
        <v>1.44408022421468E-3</v>
      </c>
      <c r="X3665">
        <v>-1</v>
      </c>
      <c r="Y3665">
        <v>-1</v>
      </c>
    </row>
    <row r="3666" spans="1:25" x14ac:dyDescent="0.2">
      <c r="A3666" t="s">
        <v>13476</v>
      </c>
      <c r="B3666" t="s">
        <v>13477</v>
      </c>
      <c r="C3666" t="s">
        <v>14738</v>
      </c>
      <c r="D3666" t="s">
        <v>3246</v>
      </c>
      <c r="E3666" t="s">
        <v>13477</v>
      </c>
      <c r="F3666" t="s">
        <v>28</v>
      </c>
      <c r="G3666" t="s">
        <v>13477</v>
      </c>
      <c r="H3666" t="str">
        <f>"DC2.5"</f>
        <v>DC2.5</v>
      </c>
      <c r="I3666" t="s">
        <v>3246</v>
      </c>
      <c r="J3666">
        <v>14.1222589929216</v>
      </c>
      <c r="K3666">
        <v>14.2812236801715</v>
      </c>
      <c r="L3666">
        <v>14.0817702420222</v>
      </c>
      <c r="M3666" t="s">
        <v>29</v>
      </c>
      <c r="N3666">
        <v>14.659821024040999</v>
      </c>
      <c r="O3666">
        <v>14.147693502925801</v>
      </c>
      <c r="P3666">
        <v>0.24200629177834701</v>
      </c>
      <c r="Q3666">
        <v>-0.23221398279913</v>
      </c>
      <c r="R3666">
        <v>0.71622656635582405</v>
      </c>
      <c r="S3666">
        <v>14.4507893931958</v>
      </c>
      <c r="T3666">
        <v>1.0772005155505899</v>
      </c>
      <c r="U3666">
        <v>-6.4557096872655997</v>
      </c>
      <c r="V3666">
        <v>0.29653196778544699</v>
      </c>
      <c r="W3666">
        <v>0.46482963248069697</v>
      </c>
      <c r="X3666">
        <v>0</v>
      </c>
      <c r="Y3666">
        <v>0</v>
      </c>
    </row>
    <row r="3667" spans="1:25" x14ac:dyDescent="0.2">
      <c r="A3667" t="s">
        <v>13478</v>
      </c>
      <c r="B3667" t="s">
        <v>13479</v>
      </c>
      <c r="C3667" t="s">
        <v>14739</v>
      </c>
      <c r="D3667" t="s">
        <v>107</v>
      </c>
      <c r="E3667" t="s">
        <v>13479</v>
      </c>
      <c r="F3667" t="s">
        <v>28</v>
      </c>
      <c r="G3667" t="s">
        <v>13479</v>
      </c>
      <c r="H3667" t="str">
        <f>"T12B3.2"</f>
        <v>T12B3.2</v>
      </c>
      <c r="I3667" t="s">
        <v>107</v>
      </c>
      <c r="J3667">
        <v>13.370491854350099</v>
      </c>
      <c r="K3667">
        <v>13.352308918897499</v>
      </c>
      <c r="L3667">
        <v>13.452495018300599</v>
      </c>
      <c r="M3667" t="s">
        <v>29</v>
      </c>
      <c r="N3667">
        <v>12.4201777360833</v>
      </c>
      <c r="O3667">
        <v>12.9123428360463</v>
      </c>
      <c r="P3667">
        <v>-0.725504977784595</v>
      </c>
      <c r="Q3667">
        <v>-1.13615657116931</v>
      </c>
      <c r="R3667">
        <v>-0.31485338439987598</v>
      </c>
      <c r="S3667">
        <v>13.4979839094326</v>
      </c>
      <c r="T3667">
        <v>-3.7292104917796598</v>
      </c>
      <c r="U3667">
        <v>-1.72657873355944</v>
      </c>
      <c r="V3667">
        <v>1.6838622562153501E-3</v>
      </c>
      <c r="W3667">
        <v>1.29904242645723E-2</v>
      </c>
      <c r="X3667">
        <v>0</v>
      </c>
      <c r="Y3667">
        <v>0</v>
      </c>
    </row>
    <row r="3668" spans="1:25" x14ac:dyDescent="0.2">
      <c r="A3668" t="s">
        <v>13480</v>
      </c>
      <c r="B3668" t="s">
        <v>13481</v>
      </c>
      <c r="C3668" t="s">
        <v>13482</v>
      </c>
      <c r="D3668" t="s">
        <v>11100</v>
      </c>
      <c r="E3668" t="s">
        <v>13481</v>
      </c>
      <c r="F3668" t="s">
        <v>28</v>
      </c>
      <c r="G3668" t="s">
        <v>13481</v>
      </c>
      <c r="H3668" t="str">
        <f>"rpac-40"</f>
        <v>rpac-40</v>
      </c>
      <c r="I3668" t="s">
        <v>11100</v>
      </c>
      <c r="J3668">
        <v>13.2073067353422</v>
      </c>
      <c r="K3668">
        <v>13.275904410919599</v>
      </c>
      <c r="L3668">
        <v>13.0803597490893</v>
      </c>
      <c r="M3668">
        <v>13.018776243494401</v>
      </c>
      <c r="N3668">
        <v>12.4066848738427</v>
      </c>
      <c r="O3668">
        <v>13.4767064042294</v>
      </c>
      <c r="P3668">
        <v>-0.220467791261544</v>
      </c>
      <c r="Q3668">
        <v>-0.73716357022247803</v>
      </c>
      <c r="R3668">
        <v>0.29622798769938902</v>
      </c>
      <c r="S3668">
        <v>13.3547587783544</v>
      </c>
      <c r="T3668">
        <v>-0.89681476676175698</v>
      </c>
      <c r="U3668">
        <v>-6.7434881093585304</v>
      </c>
      <c r="V3668">
        <v>0.38172443849050203</v>
      </c>
      <c r="W3668">
        <v>0.54928804698804201</v>
      </c>
      <c r="X3668">
        <v>0</v>
      </c>
      <c r="Y3668">
        <v>0</v>
      </c>
    </row>
    <row r="3669" spans="1:25" x14ac:dyDescent="0.2">
      <c r="A3669" t="s">
        <v>13483</v>
      </c>
      <c r="B3669" t="s">
        <v>13484</v>
      </c>
      <c r="C3669" t="s">
        <v>13485</v>
      </c>
      <c r="D3669" t="s">
        <v>297</v>
      </c>
      <c r="E3669" t="s">
        <v>13484</v>
      </c>
      <c r="F3669" t="s">
        <v>28</v>
      </c>
      <c r="G3669" t="s">
        <v>13484</v>
      </c>
      <c r="H3669" t="str">
        <f>"let-805"</f>
        <v>let-805</v>
      </c>
      <c r="I3669" t="s">
        <v>297</v>
      </c>
      <c r="J3669">
        <v>14.348509767977999</v>
      </c>
      <c r="K3669">
        <v>14.38411895041</v>
      </c>
      <c r="L3669">
        <v>14.9965314538996</v>
      </c>
      <c r="M3669">
        <v>16.375727506280501</v>
      </c>
      <c r="N3669">
        <v>15.6189012248787</v>
      </c>
      <c r="O3669">
        <v>15.470523650116601</v>
      </c>
      <c r="P3669">
        <v>1.2453307363294299</v>
      </c>
      <c r="Q3669">
        <v>0.669577350927408</v>
      </c>
      <c r="R3669">
        <v>1.82108412173144</v>
      </c>
      <c r="S3669">
        <v>15.0407816409268</v>
      </c>
      <c r="T3669">
        <v>4.54611816608534</v>
      </c>
      <c r="U3669">
        <v>3.2203665919556798E-2</v>
      </c>
      <c r="V3669">
        <v>2.5365889154822297E-4</v>
      </c>
      <c r="W3669">
        <v>3.2930958299234102E-3</v>
      </c>
      <c r="X3669">
        <v>1</v>
      </c>
      <c r="Y3669">
        <v>1</v>
      </c>
    </row>
    <row r="3670" spans="1:25" x14ac:dyDescent="0.2">
      <c r="A3670" t="s">
        <v>13486</v>
      </c>
      <c r="B3670" t="s">
        <v>13487</v>
      </c>
      <c r="C3670" t="s">
        <v>13488</v>
      </c>
      <c r="D3670" t="s">
        <v>13489</v>
      </c>
      <c r="E3670" t="s">
        <v>13487</v>
      </c>
      <c r="F3670" t="s">
        <v>28</v>
      </c>
      <c r="G3670" t="s">
        <v>13487</v>
      </c>
      <c r="H3670" t="str">
        <f>"lem-2"</f>
        <v>lem-2</v>
      </c>
      <c r="I3670" t="s">
        <v>13489</v>
      </c>
      <c r="J3670">
        <v>12.983076548310599</v>
      </c>
      <c r="K3670">
        <v>13.457299932843901</v>
      </c>
      <c r="L3670">
        <v>13.384585282528199</v>
      </c>
      <c r="M3670">
        <v>13.772218214052</v>
      </c>
      <c r="N3670">
        <v>13.336105089095501</v>
      </c>
      <c r="O3670">
        <v>13.6285740367224</v>
      </c>
      <c r="P3670">
        <v>0.30397852539571202</v>
      </c>
      <c r="Q3670">
        <v>-0.20930247905623001</v>
      </c>
      <c r="R3670">
        <v>0.81725952984765304</v>
      </c>
      <c r="S3670">
        <v>13.808337071804401</v>
      </c>
      <c r="T3670">
        <v>1.2447445255431</v>
      </c>
      <c r="U3670">
        <v>-6.3766836982129798</v>
      </c>
      <c r="V3670">
        <v>0.229281222260203</v>
      </c>
      <c r="W3670">
        <v>0.39387738126037097</v>
      </c>
      <c r="X3670">
        <v>0</v>
      </c>
      <c r="Y3670">
        <v>0</v>
      </c>
    </row>
    <row r="3671" spans="1:25" x14ac:dyDescent="0.2">
      <c r="A3671" t="s">
        <v>13490</v>
      </c>
      <c r="B3671" t="s">
        <v>13491</v>
      </c>
      <c r="C3671" t="s">
        <v>13492</v>
      </c>
      <c r="D3671" t="s">
        <v>13493</v>
      </c>
      <c r="E3671" t="s">
        <v>13491</v>
      </c>
      <c r="F3671" t="s">
        <v>28</v>
      </c>
      <c r="G3671" t="s">
        <v>13491</v>
      </c>
      <c r="H3671" t="str">
        <f>"mom-4"</f>
        <v>mom-4</v>
      </c>
      <c r="I3671" t="s">
        <v>13493</v>
      </c>
      <c r="J3671" t="s">
        <v>29</v>
      </c>
      <c r="K3671" t="s">
        <v>29</v>
      </c>
      <c r="L3671" t="s">
        <v>29</v>
      </c>
      <c r="M3671" t="s">
        <v>29</v>
      </c>
      <c r="N3671" t="s">
        <v>29</v>
      </c>
      <c r="O3671" t="s">
        <v>29</v>
      </c>
      <c r="P3671" t="s">
        <v>29</v>
      </c>
      <c r="Q3671" t="s">
        <v>29</v>
      </c>
      <c r="R3671" t="s">
        <v>29</v>
      </c>
      <c r="S3671">
        <v>12.6098304709614</v>
      </c>
      <c r="T3671" t="s">
        <v>29</v>
      </c>
      <c r="U3671" t="s">
        <v>29</v>
      </c>
      <c r="V3671" t="s">
        <v>29</v>
      </c>
      <c r="W3671" t="s">
        <v>29</v>
      </c>
      <c r="X3671" t="s">
        <v>29</v>
      </c>
      <c r="Y3671" t="s">
        <v>29</v>
      </c>
    </row>
    <row r="3672" spans="1:25" x14ac:dyDescent="0.2">
      <c r="A3672" t="s">
        <v>13494</v>
      </c>
      <c r="B3672" t="s">
        <v>13495</v>
      </c>
      <c r="C3672" t="s">
        <v>13496</v>
      </c>
      <c r="D3672" t="s">
        <v>13497</v>
      </c>
      <c r="E3672" t="s">
        <v>13495</v>
      </c>
      <c r="F3672" t="s">
        <v>28</v>
      </c>
      <c r="G3672" t="s">
        <v>13495</v>
      </c>
      <c r="H3672" t="str">
        <f>"mbk-2"</f>
        <v>mbk-2</v>
      </c>
      <c r="I3672" t="s">
        <v>13497</v>
      </c>
      <c r="J3672">
        <v>12.6067569676045</v>
      </c>
      <c r="K3672">
        <v>12.911019687671899</v>
      </c>
      <c r="L3672">
        <v>12.6260020814789</v>
      </c>
      <c r="M3672" t="s">
        <v>29</v>
      </c>
      <c r="N3672" t="s">
        <v>29</v>
      </c>
      <c r="O3672">
        <v>12.338671058371199</v>
      </c>
      <c r="P3672">
        <v>-0.37592185388056398</v>
      </c>
      <c r="Q3672">
        <v>-1.67817544746325</v>
      </c>
      <c r="R3672">
        <v>0.92633173970211702</v>
      </c>
      <c r="S3672">
        <v>12.5580124208764</v>
      </c>
      <c r="T3672">
        <v>-0.61228206611460501</v>
      </c>
      <c r="U3672">
        <v>-6.6181377965726904</v>
      </c>
      <c r="V3672">
        <v>0.54901071575204596</v>
      </c>
      <c r="W3672">
        <v>0.69439252331385304</v>
      </c>
      <c r="X3672">
        <v>0</v>
      </c>
      <c r="Y3672">
        <v>0</v>
      </c>
    </row>
    <row r="3673" spans="1:25" x14ac:dyDescent="0.2">
      <c r="A3673" t="s">
        <v>13498</v>
      </c>
      <c r="B3673" t="s">
        <v>13499</v>
      </c>
      <c r="C3673" t="s">
        <v>13500</v>
      </c>
      <c r="D3673" t="s">
        <v>13501</v>
      </c>
      <c r="E3673" t="s">
        <v>13499</v>
      </c>
      <c r="F3673" t="s">
        <v>28</v>
      </c>
      <c r="G3673" t="s">
        <v>13499</v>
      </c>
      <c r="H3673" t="str">
        <f>"akt-2"</f>
        <v>akt-2</v>
      </c>
      <c r="I3673" t="s">
        <v>13501</v>
      </c>
      <c r="J3673">
        <v>12.3354439398487</v>
      </c>
      <c r="K3673">
        <v>12.0577846008914</v>
      </c>
      <c r="L3673">
        <v>12.001807716803199</v>
      </c>
      <c r="M3673">
        <v>13.993532827163101</v>
      </c>
      <c r="N3673">
        <v>14.476898785720699</v>
      </c>
      <c r="O3673">
        <v>14.996607564123201</v>
      </c>
      <c r="P3673">
        <v>2.3573343064879202</v>
      </c>
      <c r="Q3673">
        <v>1.8337140499557401</v>
      </c>
      <c r="R3673">
        <v>2.8809545630200999</v>
      </c>
      <c r="S3673">
        <v>13.483808340810301</v>
      </c>
      <c r="T3673">
        <v>9.4623117101786995</v>
      </c>
      <c r="U3673">
        <v>9.4989893981295594</v>
      </c>
      <c r="V3673" s="2">
        <v>2.1882721721262E-8</v>
      </c>
      <c r="W3673" s="2">
        <v>2.0205672476126399E-6</v>
      </c>
      <c r="X3673">
        <v>1</v>
      </c>
      <c r="Y3673">
        <v>1</v>
      </c>
    </row>
    <row r="3674" spans="1:25" x14ac:dyDescent="0.2">
      <c r="A3674" t="s">
        <v>13502</v>
      </c>
      <c r="B3674" t="s">
        <v>13503</v>
      </c>
      <c r="C3674" t="s">
        <v>13504</v>
      </c>
      <c r="D3674" t="s">
        <v>13505</v>
      </c>
      <c r="E3674" t="s">
        <v>13503</v>
      </c>
      <c r="F3674" t="s">
        <v>28</v>
      </c>
      <c r="G3674" t="s">
        <v>13503</v>
      </c>
      <c r="H3674" t="str">
        <f>"B0250.5"</f>
        <v>B0250.5</v>
      </c>
      <c r="I3674" t="s">
        <v>13505</v>
      </c>
      <c r="J3674">
        <v>16.940284817366901</v>
      </c>
      <c r="K3674">
        <v>16.669979607260501</v>
      </c>
      <c r="L3674">
        <v>16.914867322442898</v>
      </c>
      <c r="M3674">
        <v>16.6247601426778</v>
      </c>
      <c r="N3674">
        <v>16.841548624697001</v>
      </c>
      <c r="O3674">
        <v>16.582436913339301</v>
      </c>
      <c r="P3674">
        <v>-0.15879535545205301</v>
      </c>
      <c r="Q3674">
        <v>-0.51994022841980303</v>
      </c>
      <c r="R3674">
        <v>0.20234951751569699</v>
      </c>
      <c r="S3674">
        <v>16.4935325470896</v>
      </c>
      <c r="T3674">
        <v>-0.92416359190495001</v>
      </c>
      <c r="U3674">
        <v>-6.7185168225303897</v>
      </c>
      <c r="V3674">
        <v>0.36769590107050498</v>
      </c>
      <c r="W3674">
        <v>0.53538603939784701</v>
      </c>
      <c r="X3674">
        <v>0</v>
      </c>
      <c r="Y3674">
        <v>0</v>
      </c>
    </row>
    <row r="3675" spans="1:25" x14ac:dyDescent="0.2">
      <c r="A3675" t="s">
        <v>13506</v>
      </c>
      <c r="B3675" t="s">
        <v>13507</v>
      </c>
      <c r="C3675" t="s">
        <v>13508</v>
      </c>
      <c r="D3675" t="s">
        <v>13509</v>
      </c>
      <c r="E3675" t="s">
        <v>13507</v>
      </c>
      <c r="F3675" t="s">
        <v>28</v>
      </c>
      <c r="G3675" t="s">
        <v>13507</v>
      </c>
      <c r="H3675" t="str">
        <f>"gob-1"</f>
        <v>gob-1</v>
      </c>
      <c r="I3675" t="s">
        <v>13509</v>
      </c>
      <c r="J3675" t="s">
        <v>29</v>
      </c>
      <c r="K3675" t="s">
        <v>29</v>
      </c>
      <c r="L3675">
        <v>11.363465509932199</v>
      </c>
      <c r="M3675" t="s">
        <v>29</v>
      </c>
      <c r="N3675" t="s">
        <v>29</v>
      </c>
      <c r="O3675" t="s">
        <v>29</v>
      </c>
      <c r="P3675" t="s">
        <v>29</v>
      </c>
      <c r="Q3675" t="s">
        <v>29</v>
      </c>
      <c r="R3675" t="s">
        <v>29</v>
      </c>
      <c r="S3675">
        <v>11.657757312942501</v>
      </c>
      <c r="T3675" t="s">
        <v>29</v>
      </c>
      <c r="U3675" t="s">
        <v>29</v>
      </c>
      <c r="V3675" t="s">
        <v>29</v>
      </c>
      <c r="W3675" t="s">
        <v>29</v>
      </c>
      <c r="X3675" t="s">
        <v>29</v>
      </c>
      <c r="Y3675" t="s">
        <v>29</v>
      </c>
    </row>
    <row r="3676" spans="1:25" x14ac:dyDescent="0.2">
      <c r="A3676" t="s">
        <v>13510</v>
      </c>
      <c r="B3676" t="s">
        <v>13511</v>
      </c>
      <c r="C3676" t="s">
        <v>14740</v>
      </c>
      <c r="D3676" t="s">
        <v>534</v>
      </c>
      <c r="E3676" t="s">
        <v>13511</v>
      </c>
      <c r="F3676" t="s">
        <v>28</v>
      </c>
      <c r="G3676" t="s">
        <v>13511</v>
      </c>
      <c r="H3676" t="str">
        <f>"F47G4.4"</f>
        <v>F47G4.4</v>
      </c>
      <c r="I3676" t="s">
        <v>534</v>
      </c>
      <c r="J3676" t="s">
        <v>29</v>
      </c>
      <c r="K3676" t="s">
        <v>29</v>
      </c>
      <c r="L3676" t="s">
        <v>29</v>
      </c>
      <c r="M3676" t="s">
        <v>29</v>
      </c>
      <c r="N3676" t="s">
        <v>29</v>
      </c>
      <c r="O3676" t="s">
        <v>29</v>
      </c>
      <c r="P3676" t="s">
        <v>29</v>
      </c>
      <c r="Q3676" t="s">
        <v>29</v>
      </c>
      <c r="R3676" t="s">
        <v>29</v>
      </c>
      <c r="S3676">
        <v>9.3669392140089904</v>
      </c>
      <c r="T3676" t="s">
        <v>29</v>
      </c>
      <c r="U3676" t="s">
        <v>29</v>
      </c>
      <c r="V3676" t="s">
        <v>29</v>
      </c>
      <c r="W3676" t="s">
        <v>29</v>
      </c>
      <c r="X3676" t="s">
        <v>29</v>
      </c>
      <c r="Y3676" t="s">
        <v>29</v>
      </c>
    </row>
    <row r="3677" spans="1:25" x14ac:dyDescent="0.2">
      <c r="A3677" t="s">
        <v>13512</v>
      </c>
      <c r="B3677" t="s">
        <v>13513</v>
      </c>
      <c r="C3677" t="s">
        <v>13514</v>
      </c>
      <c r="D3677" t="s">
        <v>13515</v>
      </c>
      <c r="E3677" t="s">
        <v>13513</v>
      </c>
      <c r="F3677" t="s">
        <v>28</v>
      </c>
      <c r="G3677" t="s">
        <v>13513</v>
      </c>
      <c r="H3677" t="str">
        <f>"ani-1"</f>
        <v>ani-1</v>
      </c>
      <c r="I3677" t="s">
        <v>13515</v>
      </c>
      <c r="J3677">
        <v>13.028760695578301</v>
      </c>
      <c r="K3677">
        <v>12.9554298702573</v>
      </c>
      <c r="L3677">
        <v>13.3510697508099</v>
      </c>
      <c r="M3677" t="s">
        <v>29</v>
      </c>
      <c r="N3677" t="s">
        <v>29</v>
      </c>
      <c r="O3677">
        <v>12.1347713859049</v>
      </c>
      <c r="P3677">
        <v>-0.97698205297697505</v>
      </c>
      <c r="Q3677">
        <v>-1.68657617149895</v>
      </c>
      <c r="R3677">
        <v>-0.26738793445500098</v>
      </c>
      <c r="S3677">
        <v>13.1736850894344</v>
      </c>
      <c r="T3677">
        <v>-2.9202908553118898</v>
      </c>
      <c r="U3677">
        <v>-3.2378403752934601</v>
      </c>
      <c r="V3677">
        <v>1.0063237230344401E-2</v>
      </c>
      <c r="W3677">
        <v>4.5907678200967597E-2</v>
      </c>
      <c r="X3677">
        <v>0</v>
      </c>
      <c r="Y3677">
        <v>0</v>
      </c>
    </row>
    <row r="3678" spans="1:25" x14ac:dyDescent="0.2">
      <c r="A3678" t="s">
        <v>13516</v>
      </c>
      <c r="B3678" t="s">
        <v>13517</v>
      </c>
      <c r="C3678" t="s">
        <v>13518</v>
      </c>
      <c r="D3678" t="s">
        <v>13519</v>
      </c>
      <c r="E3678" t="s">
        <v>13517</v>
      </c>
      <c r="F3678" t="s">
        <v>28</v>
      </c>
      <c r="G3678" t="s">
        <v>13517</v>
      </c>
      <c r="H3678" t="str">
        <f>"rpt-6"</f>
        <v>rpt-6</v>
      </c>
      <c r="I3678" t="s">
        <v>13519</v>
      </c>
      <c r="J3678">
        <v>16.006480050510898</v>
      </c>
      <c r="K3678">
        <v>15.877008105906899</v>
      </c>
      <c r="L3678">
        <v>15.8369286076568</v>
      </c>
      <c r="M3678">
        <v>15.389835164558599</v>
      </c>
      <c r="N3678">
        <v>15.9273248674195</v>
      </c>
      <c r="O3678">
        <v>15.9428105647736</v>
      </c>
      <c r="P3678">
        <v>-0.15348205577431501</v>
      </c>
      <c r="Q3678">
        <v>-0.55060655933297398</v>
      </c>
      <c r="R3678">
        <v>0.24364244778434399</v>
      </c>
      <c r="S3678">
        <v>15.6735611535836</v>
      </c>
      <c r="T3678">
        <v>-0.81231306027848704</v>
      </c>
      <c r="U3678">
        <v>-6.8162848255657096</v>
      </c>
      <c r="V3678">
        <v>0.42728660143022601</v>
      </c>
      <c r="W3678">
        <v>0.59291352961257004</v>
      </c>
      <c r="X3678">
        <v>0</v>
      </c>
      <c r="Y3678">
        <v>0</v>
      </c>
    </row>
    <row r="3679" spans="1:25" x14ac:dyDescent="0.2">
      <c r="A3679" t="s">
        <v>13520</v>
      </c>
      <c r="B3679" t="s">
        <v>13521</v>
      </c>
      <c r="C3679" t="s">
        <v>13522</v>
      </c>
      <c r="D3679" t="s">
        <v>13523</v>
      </c>
      <c r="E3679" t="s">
        <v>13521</v>
      </c>
      <c r="F3679" t="s">
        <v>28</v>
      </c>
      <c r="G3679" t="s">
        <v>13521</v>
      </c>
      <c r="H3679" t="str">
        <f>"snr-6"</f>
        <v>snr-6</v>
      </c>
      <c r="I3679" t="s">
        <v>13523</v>
      </c>
      <c r="J3679" t="s">
        <v>29</v>
      </c>
      <c r="K3679" t="s">
        <v>29</v>
      </c>
      <c r="L3679" t="s">
        <v>29</v>
      </c>
      <c r="M3679" t="s">
        <v>29</v>
      </c>
      <c r="N3679" t="s">
        <v>29</v>
      </c>
      <c r="O3679" t="s">
        <v>29</v>
      </c>
      <c r="P3679" t="s">
        <v>29</v>
      </c>
      <c r="Q3679" t="s">
        <v>29</v>
      </c>
      <c r="R3679" t="s">
        <v>29</v>
      </c>
      <c r="S3679">
        <v>10.1259535328022</v>
      </c>
      <c r="T3679" t="s">
        <v>29</v>
      </c>
      <c r="U3679" t="s">
        <v>29</v>
      </c>
      <c r="V3679" t="s">
        <v>29</v>
      </c>
      <c r="W3679" t="s">
        <v>29</v>
      </c>
      <c r="X3679" t="s">
        <v>29</v>
      </c>
      <c r="Y3679" t="s">
        <v>29</v>
      </c>
    </row>
    <row r="3680" spans="1:25" x14ac:dyDescent="0.2">
      <c r="A3680" t="s">
        <v>13524</v>
      </c>
      <c r="B3680" t="s">
        <v>13525</v>
      </c>
      <c r="C3680" t="s">
        <v>14741</v>
      </c>
      <c r="D3680" t="s">
        <v>1285</v>
      </c>
      <c r="E3680" t="s">
        <v>13525</v>
      </c>
      <c r="F3680" t="s">
        <v>28</v>
      </c>
      <c r="G3680" t="s">
        <v>13525</v>
      </c>
      <c r="H3680" t="str">
        <f>"Y49E10.4"</f>
        <v>Y49E10.4</v>
      </c>
      <c r="I3680" t="s">
        <v>1285</v>
      </c>
      <c r="J3680">
        <v>12.510443601234099</v>
      </c>
      <c r="K3680">
        <v>12.309202431074199</v>
      </c>
      <c r="L3680">
        <v>12.859934353409599</v>
      </c>
      <c r="M3680" t="s">
        <v>29</v>
      </c>
      <c r="N3680" t="s">
        <v>29</v>
      </c>
      <c r="O3680">
        <v>13.0026524512077</v>
      </c>
      <c r="P3680">
        <v>0.442792322635082</v>
      </c>
      <c r="Q3680">
        <v>-0.103547650407532</v>
      </c>
      <c r="R3680">
        <v>0.98913229567769601</v>
      </c>
      <c r="S3680">
        <v>12.6507792077328</v>
      </c>
      <c r="T3680">
        <v>1.7190425841278101</v>
      </c>
      <c r="U3680">
        <v>-5.3908783300635204</v>
      </c>
      <c r="V3680">
        <v>0.10501678395675</v>
      </c>
      <c r="W3680">
        <v>0.22477967078159</v>
      </c>
      <c r="X3680">
        <v>0</v>
      </c>
      <c r="Y3680">
        <v>0</v>
      </c>
    </row>
    <row r="3681" spans="1:25" x14ac:dyDescent="0.2">
      <c r="A3681" t="s">
        <v>13526</v>
      </c>
      <c r="B3681" t="s">
        <v>13527</v>
      </c>
      <c r="C3681" t="s">
        <v>13528</v>
      </c>
      <c r="D3681" t="s">
        <v>13529</v>
      </c>
      <c r="E3681" t="s">
        <v>13527</v>
      </c>
      <c r="F3681" t="s">
        <v>28</v>
      </c>
      <c r="G3681" t="s">
        <v>13527</v>
      </c>
      <c r="H3681" t="str">
        <f>"glrx-5"</f>
        <v>glrx-5</v>
      </c>
      <c r="I3681" t="s">
        <v>13529</v>
      </c>
      <c r="J3681">
        <v>13.7561721394462</v>
      </c>
      <c r="K3681">
        <v>14.5697048833437</v>
      </c>
      <c r="L3681">
        <v>14.217901651998099</v>
      </c>
      <c r="M3681" t="s">
        <v>29</v>
      </c>
      <c r="N3681">
        <v>14.352645553419499</v>
      </c>
      <c r="O3681">
        <v>14.649971976881799</v>
      </c>
      <c r="P3681">
        <v>0.32004920688802202</v>
      </c>
      <c r="Q3681">
        <v>-0.565930429491451</v>
      </c>
      <c r="R3681">
        <v>1.2060288432674999</v>
      </c>
      <c r="S3681">
        <v>14.7963768048588</v>
      </c>
      <c r="T3681">
        <v>0.76250558390658096</v>
      </c>
      <c r="U3681">
        <v>-6.7450316252022402</v>
      </c>
      <c r="V3681">
        <v>0.45627286988735599</v>
      </c>
      <c r="W3681">
        <v>0.61993367798895205</v>
      </c>
      <c r="X3681">
        <v>0</v>
      </c>
      <c r="Y3681">
        <v>0</v>
      </c>
    </row>
    <row r="3682" spans="1:25" x14ac:dyDescent="0.2">
      <c r="A3682" t="s">
        <v>13530</v>
      </c>
      <c r="B3682" t="s">
        <v>13531</v>
      </c>
      <c r="C3682" t="s">
        <v>13532</v>
      </c>
      <c r="D3682" t="s">
        <v>13533</v>
      </c>
      <c r="E3682" t="s">
        <v>13531</v>
      </c>
      <c r="F3682" t="s">
        <v>28</v>
      </c>
      <c r="G3682" t="s">
        <v>13531</v>
      </c>
      <c r="H3682" t="str">
        <f>"mbf-1"</f>
        <v>mbf-1</v>
      </c>
      <c r="I3682" t="s">
        <v>13533</v>
      </c>
      <c r="J3682">
        <v>12.2707352825933</v>
      </c>
      <c r="K3682">
        <v>11.0853303711976</v>
      </c>
      <c r="L3682">
        <v>12.617595264706299</v>
      </c>
      <c r="M3682" t="s">
        <v>29</v>
      </c>
      <c r="N3682">
        <v>12.2688306353065</v>
      </c>
      <c r="O3682">
        <v>12.2972131326457</v>
      </c>
      <c r="P3682">
        <v>0.29180157781038002</v>
      </c>
      <c r="Q3682">
        <v>-0.60623873609103396</v>
      </c>
      <c r="R3682">
        <v>1.1898418917117899</v>
      </c>
      <c r="S3682">
        <v>12.191414588530399</v>
      </c>
      <c r="T3682">
        <v>0.68587001388688895</v>
      </c>
      <c r="U3682">
        <v>-6.8016033420887201</v>
      </c>
      <c r="V3682">
        <v>0.50209922789155503</v>
      </c>
      <c r="W3682">
        <v>0.65654220635205396</v>
      </c>
      <c r="X3682">
        <v>0</v>
      </c>
      <c r="Y3682">
        <v>0</v>
      </c>
    </row>
    <row r="3683" spans="1:25" x14ac:dyDescent="0.2">
      <c r="A3683" t="s">
        <v>13534</v>
      </c>
      <c r="B3683" t="s">
        <v>13535</v>
      </c>
      <c r="C3683" t="s">
        <v>13536</v>
      </c>
      <c r="D3683" t="s">
        <v>13537</v>
      </c>
      <c r="E3683" t="s">
        <v>13535</v>
      </c>
      <c r="F3683" t="s">
        <v>28</v>
      </c>
      <c r="G3683" t="s">
        <v>13535</v>
      </c>
      <c r="H3683" t="str">
        <f>"num-1"</f>
        <v>num-1</v>
      </c>
      <c r="I3683" t="s">
        <v>13537</v>
      </c>
      <c r="J3683">
        <v>11.7615039142218</v>
      </c>
      <c r="K3683">
        <v>11.9155415064532</v>
      </c>
      <c r="L3683">
        <v>12.510223379601699</v>
      </c>
      <c r="M3683" t="s">
        <v>29</v>
      </c>
      <c r="N3683" t="s">
        <v>29</v>
      </c>
      <c r="O3683">
        <v>13.506793135693099</v>
      </c>
      <c r="P3683">
        <v>1.4443702022675899</v>
      </c>
      <c r="Q3683">
        <v>0.77273849928583305</v>
      </c>
      <c r="R3683">
        <v>2.1160019052493499</v>
      </c>
      <c r="S3683">
        <v>12.2069822555091</v>
      </c>
      <c r="T3683">
        <v>4.5613863871307903</v>
      </c>
      <c r="U3683">
        <v>0.12616551356831199</v>
      </c>
      <c r="V3683">
        <v>3.2538629660929902E-4</v>
      </c>
      <c r="W3683">
        <v>3.9139323106432899E-3</v>
      </c>
      <c r="X3683">
        <v>1</v>
      </c>
      <c r="Y3683">
        <v>1</v>
      </c>
    </row>
    <row r="3684" spans="1:25" x14ac:dyDescent="0.2">
      <c r="A3684" t="s">
        <v>13538</v>
      </c>
      <c r="B3684" t="s">
        <v>13539</v>
      </c>
      <c r="C3684" t="s">
        <v>13540</v>
      </c>
      <c r="D3684" t="s">
        <v>13541</v>
      </c>
      <c r="E3684" t="s">
        <v>13539</v>
      </c>
      <c r="F3684" t="s">
        <v>28</v>
      </c>
      <c r="G3684" t="s">
        <v>13539</v>
      </c>
      <c r="H3684" t="str">
        <f>"vha-20"</f>
        <v>vha-20</v>
      </c>
      <c r="I3684" t="s">
        <v>13541</v>
      </c>
      <c r="J3684" t="s">
        <v>29</v>
      </c>
      <c r="K3684">
        <v>12.5569955930291</v>
      </c>
      <c r="L3684">
        <v>13.041426875687799</v>
      </c>
      <c r="M3684" t="s">
        <v>29</v>
      </c>
      <c r="N3684" t="s">
        <v>29</v>
      </c>
      <c r="O3684" t="s">
        <v>29</v>
      </c>
      <c r="P3684" t="s">
        <v>29</v>
      </c>
      <c r="Q3684" t="s">
        <v>29</v>
      </c>
      <c r="R3684" t="s">
        <v>29</v>
      </c>
      <c r="S3684">
        <v>12.8906205134645</v>
      </c>
      <c r="T3684" t="s">
        <v>29</v>
      </c>
      <c r="U3684" t="s">
        <v>29</v>
      </c>
      <c r="V3684" t="s">
        <v>29</v>
      </c>
      <c r="W3684" t="s">
        <v>29</v>
      </c>
      <c r="X3684" t="s">
        <v>29</v>
      </c>
      <c r="Y3684" t="s">
        <v>29</v>
      </c>
    </row>
    <row r="3685" spans="1:25" x14ac:dyDescent="0.2">
      <c r="A3685" t="s">
        <v>13542</v>
      </c>
      <c r="B3685" t="s">
        <v>13543</v>
      </c>
      <c r="C3685" t="s">
        <v>13544</v>
      </c>
      <c r="D3685" t="s">
        <v>93</v>
      </c>
      <c r="E3685" t="s">
        <v>13543</v>
      </c>
      <c r="F3685" t="s">
        <v>28</v>
      </c>
      <c r="G3685" t="s">
        <v>13543</v>
      </c>
      <c r="H3685" t="str">
        <f>"rsp-8"</f>
        <v>rsp-8</v>
      </c>
      <c r="I3685" t="s">
        <v>93</v>
      </c>
      <c r="J3685">
        <v>16.718303833646001</v>
      </c>
      <c r="K3685">
        <v>17.0774513742445</v>
      </c>
      <c r="L3685">
        <v>17.106772592672801</v>
      </c>
      <c r="M3685">
        <v>17.249561735136901</v>
      </c>
      <c r="N3685">
        <v>16.9013465595486</v>
      </c>
      <c r="O3685">
        <v>16.537408466588801</v>
      </c>
      <c r="P3685">
        <v>-7.1403679763001507E-2</v>
      </c>
      <c r="Q3685">
        <v>-0.50859194815669895</v>
      </c>
      <c r="R3685">
        <v>0.36578458863069602</v>
      </c>
      <c r="S3685">
        <v>17.168102144979201</v>
      </c>
      <c r="T3685">
        <v>-0.34327692184369601</v>
      </c>
      <c r="U3685">
        <v>-7.0946648990702004</v>
      </c>
      <c r="V3685">
        <v>0.73539003691174498</v>
      </c>
      <c r="W3685">
        <v>0.829986204112932</v>
      </c>
      <c r="X3685">
        <v>0</v>
      </c>
      <c r="Y3685">
        <v>0</v>
      </c>
    </row>
    <row r="3686" spans="1:25" x14ac:dyDescent="0.2">
      <c r="A3686" t="s">
        <v>13545</v>
      </c>
      <c r="B3686" t="s">
        <v>13546</v>
      </c>
      <c r="C3686" t="s">
        <v>14742</v>
      </c>
      <c r="D3686" t="s">
        <v>4609</v>
      </c>
      <c r="E3686" t="s">
        <v>13546</v>
      </c>
      <c r="F3686" t="s">
        <v>28</v>
      </c>
      <c r="G3686" t="s">
        <v>13546</v>
      </c>
      <c r="H3686" t="str">
        <f>"T28A8.4"</f>
        <v>T28A8.4</v>
      </c>
      <c r="I3686" t="s">
        <v>4609</v>
      </c>
      <c r="J3686">
        <v>10.5685513317858</v>
      </c>
      <c r="K3686" t="s">
        <v>29</v>
      </c>
      <c r="L3686">
        <v>10.063238763639299</v>
      </c>
      <c r="M3686" t="s">
        <v>29</v>
      </c>
      <c r="N3686" t="s">
        <v>29</v>
      </c>
      <c r="O3686" t="s">
        <v>29</v>
      </c>
      <c r="P3686" t="s">
        <v>29</v>
      </c>
      <c r="Q3686" t="s">
        <v>29</v>
      </c>
      <c r="R3686" t="s">
        <v>29</v>
      </c>
      <c r="S3686">
        <v>12.321353396701401</v>
      </c>
      <c r="T3686" t="s">
        <v>29</v>
      </c>
      <c r="U3686" t="s">
        <v>29</v>
      </c>
      <c r="V3686" t="s">
        <v>29</v>
      </c>
      <c r="W3686" t="s">
        <v>29</v>
      </c>
      <c r="X3686" t="s">
        <v>29</v>
      </c>
      <c r="Y3686" t="s">
        <v>29</v>
      </c>
    </row>
    <row r="3687" spans="1:25" x14ac:dyDescent="0.2">
      <c r="A3687" t="s">
        <v>13547</v>
      </c>
      <c r="B3687" t="s">
        <v>13548</v>
      </c>
      <c r="C3687" t="s">
        <v>13549</v>
      </c>
      <c r="D3687" t="s">
        <v>1174</v>
      </c>
      <c r="E3687" t="s">
        <v>13548</v>
      </c>
      <c r="F3687" t="s">
        <v>28</v>
      </c>
      <c r="G3687" t="s">
        <v>13548</v>
      </c>
      <c r="H3687" t="str">
        <f>"klp-7"</f>
        <v>klp-7</v>
      </c>
      <c r="I3687" t="s">
        <v>1174</v>
      </c>
      <c r="J3687">
        <v>14.129181836986801</v>
      </c>
      <c r="K3687">
        <v>13.835947321068399</v>
      </c>
      <c r="L3687">
        <v>14.576724633304099</v>
      </c>
      <c r="M3687" t="s">
        <v>29</v>
      </c>
      <c r="N3687">
        <v>14.211515845718299</v>
      </c>
      <c r="O3687">
        <v>14.5778322960859</v>
      </c>
      <c r="P3687">
        <v>0.21405614044904001</v>
      </c>
      <c r="Q3687">
        <v>-0.28425067602592602</v>
      </c>
      <c r="R3687">
        <v>0.71236295692400597</v>
      </c>
      <c r="S3687">
        <v>14.211618393091999</v>
      </c>
      <c r="T3687">
        <v>0.90673603527929303</v>
      </c>
      <c r="U3687">
        <v>-6.6235604746715904</v>
      </c>
      <c r="V3687">
        <v>0.37729749059047601</v>
      </c>
      <c r="W3687">
        <v>0.54371428106119002</v>
      </c>
      <c r="X3687">
        <v>0</v>
      </c>
      <c r="Y3687">
        <v>0</v>
      </c>
    </row>
    <row r="3688" spans="1:25" x14ac:dyDescent="0.2">
      <c r="A3688" t="s">
        <v>13550</v>
      </c>
      <c r="B3688" t="s">
        <v>13551</v>
      </c>
      <c r="C3688" t="s">
        <v>13552</v>
      </c>
      <c r="D3688" t="s">
        <v>12465</v>
      </c>
      <c r="E3688" t="s">
        <v>13551</v>
      </c>
      <c r="F3688" t="s">
        <v>28</v>
      </c>
      <c r="G3688" t="s">
        <v>13551</v>
      </c>
      <c r="H3688" t="str">
        <f>"hxk-2"</f>
        <v>hxk-2</v>
      </c>
      <c r="I3688" t="s">
        <v>12465</v>
      </c>
      <c r="J3688">
        <v>15.180777695872001</v>
      </c>
      <c r="K3688">
        <v>14.8076105616334</v>
      </c>
      <c r="L3688">
        <v>14.923023082206701</v>
      </c>
      <c r="M3688">
        <v>16.816429837821801</v>
      </c>
      <c r="N3688">
        <v>15.1354054981713</v>
      </c>
      <c r="O3688">
        <v>15.0166494460975</v>
      </c>
      <c r="P3688">
        <v>0.685691147459499</v>
      </c>
      <c r="Q3688">
        <v>1.0303077363530399E-2</v>
      </c>
      <c r="R3688">
        <v>1.36107921755547</v>
      </c>
      <c r="S3688">
        <v>14.8428631050313</v>
      </c>
      <c r="T3688">
        <v>2.1338685894765499</v>
      </c>
      <c r="U3688">
        <v>-5.0288954888746504</v>
      </c>
      <c r="V3688">
        <v>4.6950218328176398E-2</v>
      </c>
      <c r="W3688">
        <v>0.130530465484091</v>
      </c>
      <c r="X3688">
        <v>0</v>
      </c>
      <c r="Y3688">
        <v>0</v>
      </c>
    </row>
    <row r="3689" spans="1:25" x14ac:dyDescent="0.2">
      <c r="A3689" t="s">
        <v>13553</v>
      </c>
      <c r="B3689" t="s">
        <v>13554</v>
      </c>
      <c r="C3689" t="s">
        <v>13555</v>
      </c>
      <c r="D3689" t="s">
        <v>368</v>
      </c>
      <c r="E3689" t="s">
        <v>13554</v>
      </c>
      <c r="F3689" t="s">
        <v>28</v>
      </c>
      <c r="G3689" t="s">
        <v>13554</v>
      </c>
      <c r="H3689" t="str">
        <f>"B0379.1"</f>
        <v>B0379.1</v>
      </c>
      <c r="I3689" t="s">
        <v>368</v>
      </c>
      <c r="J3689">
        <v>13.7926256005344</v>
      </c>
      <c r="K3689">
        <v>13.5242840269047</v>
      </c>
      <c r="L3689">
        <v>13.9413282282712</v>
      </c>
      <c r="M3689">
        <v>12.8062842222249</v>
      </c>
      <c r="N3689">
        <v>13.441930279857401</v>
      </c>
      <c r="O3689">
        <v>13.4633355160022</v>
      </c>
      <c r="P3689">
        <v>-0.51556261254193503</v>
      </c>
      <c r="Q3689">
        <v>-0.93435922041795505</v>
      </c>
      <c r="R3689">
        <v>-9.6766004665914507E-2</v>
      </c>
      <c r="S3689">
        <v>13.7897957073335</v>
      </c>
      <c r="T3689">
        <v>-2.58744289418118</v>
      </c>
      <c r="U3689">
        <v>-4.1748130481442702</v>
      </c>
      <c r="V3689">
        <v>1.86415542035509E-2</v>
      </c>
      <c r="W3689">
        <v>7.0251483680133703E-2</v>
      </c>
      <c r="X3689">
        <v>0</v>
      </c>
      <c r="Y3689">
        <v>0</v>
      </c>
    </row>
    <row r="3690" spans="1:25" x14ac:dyDescent="0.2">
      <c r="A3690" t="s">
        <v>13556</v>
      </c>
      <c r="B3690" t="s">
        <v>13557</v>
      </c>
      <c r="C3690" t="s">
        <v>13558</v>
      </c>
      <c r="D3690" t="s">
        <v>93</v>
      </c>
      <c r="E3690" t="s">
        <v>13557</v>
      </c>
      <c r="F3690" t="s">
        <v>28</v>
      </c>
      <c r="G3690" t="s">
        <v>13557</v>
      </c>
      <c r="H3690" t="str">
        <f>"rbd-1"</f>
        <v>rbd-1</v>
      </c>
      <c r="I3690" t="s">
        <v>93</v>
      </c>
      <c r="J3690">
        <v>13.405992108761</v>
      </c>
      <c r="K3690">
        <v>13.0034222181609</v>
      </c>
      <c r="L3690">
        <v>13.267296647001601</v>
      </c>
      <c r="M3690" t="s">
        <v>29</v>
      </c>
      <c r="N3690">
        <v>13.669193048792399</v>
      </c>
      <c r="O3690">
        <v>13.3120208713705</v>
      </c>
      <c r="P3690">
        <v>0.26503663544026201</v>
      </c>
      <c r="Q3690">
        <v>-0.15799085982207101</v>
      </c>
      <c r="R3690">
        <v>0.68806413070259598</v>
      </c>
      <c r="S3690">
        <v>13.610948398986601</v>
      </c>
      <c r="T3690">
        <v>1.32247456165726</v>
      </c>
      <c r="U3690">
        <v>-6.1710056766419497</v>
      </c>
      <c r="V3690">
        <v>0.203634152314595</v>
      </c>
      <c r="W3690">
        <v>0.36383408317349097</v>
      </c>
      <c r="X3690">
        <v>0</v>
      </c>
      <c r="Y3690">
        <v>0</v>
      </c>
    </row>
    <row r="3691" spans="1:25" x14ac:dyDescent="0.2">
      <c r="A3691" t="s">
        <v>13559</v>
      </c>
      <c r="B3691" t="s">
        <v>13560</v>
      </c>
      <c r="C3691" t="s">
        <v>14743</v>
      </c>
      <c r="D3691" t="s">
        <v>13561</v>
      </c>
      <c r="E3691" t="s">
        <v>13560</v>
      </c>
      <c r="F3691" t="s">
        <v>28</v>
      </c>
      <c r="G3691" t="s">
        <v>13560</v>
      </c>
      <c r="H3691" t="str">
        <f>"F44E5.1"</f>
        <v>F44E5.1</v>
      </c>
      <c r="I3691" t="s">
        <v>13561</v>
      </c>
      <c r="J3691">
        <v>14.592767085022301</v>
      </c>
      <c r="K3691">
        <v>14.1214840947555</v>
      </c>
      <c r="L3691">
        <v>13.659178976828301</v>
      </c>
      <c r="M3691" t="s">
        <v>29</v>
      </c>
      <c r="N3691">
        <v>12.694019391395001</v>
      </c>
      <c r="O3691">
        <v>12.7155741833013</v>
      </c>
      <c r="P3691">
        <v>-1.41967993152054</v>
      </c>
      <c r="Q3691">
        <v>-2.08192938609844</v>
      </c>
      <c r="R3691">
        <v>-0.75743047694263499</v>
      </c>
      <c r="S3691">
        <v>13.6132955369894</v>
      </c>
      <c r="T3691">
        <v>-4.5250027459475799</v>
      </c>
      <c r="U3691">
        <v>-2.2665011619086999E-2</v>
      </c>
      <c r="V3691">
        <v>3.03684501333568E-4</v>
      </c>
      <c r="W3691">
        <v>3.7536489672363601E-3</v>
      </c>
      <c r="X3691">
        <v>-1</v>
      </c>
      <c r="Y3691">
        <v>-1</v>
      </c>
    </row>
    <row r="3692" spans="1:25" x14ac:dyDescent="0.2">
      <c r="A3692" t="s">
        <v>13562</v>
      </c>
      <c r="B3692" t="s">
        <v>13563</v>
      </c>
      <c r="C3692" t="s">
        <v>13564</v>
      </c>
      <c r="D3692" t="s">
        <v>13565</v>
      </c>
      <c r="E3692" t="s">
        <v>13563</v>
      </c>
      <c r="F3692" t="s">
        <v>28</v>
      </c>
      <c r="G3692" t="s">
        <v>13563</v>
      </c>
      <c r="H3692" t="str">
        <f>"mex-5"</f>
        <v>mex-5</v>
      </c>
      <c r="I3692" t="s">
        <v>13565</v>
      </c>
      <c r="J3692">
        <v>12.4784257808383</v>
      </c>
      <c r="K3692">
        <v>11.8912551662438</v>
      </c>
      <c r="L3692">
        <v>13.7521256193626</v>
      </c>
      <c r="M3692">
        <v>14.3675721167946</v>
      </c>
      <c r="N3692">
        <v>13.144141613499899</v>
      </c>
      <c r="O3692">
        <v>12.929187488635</v>
      </c>
      <c r="P3692">
        <v>0.77303155082825503</v>
      </c>
      <c r="Q3692">
        <v>-0.165774236169038</v>
      </c>
      <c r="R3692">
        <v>1.71183733782555</v>
      </c>
      <c r="S3692">
        <v>13.993389597435399</v>
      </c>
      <c r="T3692">
        <v>1.73808685434764</v>
      </c>
      <c r="U3692">
        <v>-5.6939446707640302</v>
      </c>
      <c r="V3692">
        <v>0.10038575877085</v>
      </c>
      <c r="W3692">
        <v>0.21800798164900101</v>
      </c>
      <c r="X3692">
        <v>0</v>
      </c>
      <c r="Y3692">
        <v>0</v>
      </c>
    </row>
    <row r="3693" spans="1:25" x14ac:dyDescent="0.2">
      <c r="A3693" t="s">
        <v>13566</v>
      </c>
      <c r="B3693" t="s">
        <v>13567</v>
      </c>
      <c r="C3693" t="s">
        <v>13568</v>
      </c>
      <c r="D3693" t="s">
        <v>13569</v>
      </c>
      <c r="E3693" t="s">
        <v>13567</v>
      </c>
      <c r="F3693" t="s">
        <v>28</v>
      </c>
      <c r="G3693" t="s">
        <v>13567</v>
      </c>
      <c r="H3693" t="str">
        <f>"rsd-2"</f>
        <v>rsd-2</v>
      </c>
      <c r="I3693" t="s">
        <v>13569</v>
      </c>
      <c r="J3693">
        <v>13.2134531143658</v>
      </c>
      <c r="K3693">
        <v>13.5149474533738</v>
      </c>
      <c r="L3693">
        <v>13.6617752278959</v>
      </c>
      <c r="M3693" t="s">
        <v>29</v>
      </c>
      <c r="N3693">
        <v>13.778069949658599</v>
      </c>
      <c r="O3693">
        <v>13.5783588334406</v>
      </c>
      <c r="P3693">
        <v>0.21482245967108099</v>
      </c>
      <c r="Q3693">
        <v>-0.28022906257067298</v>
      </c>
      <c r="R3693">
        <v>0.70987398191283602</v>
      </c>
      <c r="S3693">
        <v>13.9984676656505</v>
      </c>
      <c r="T3693">
        <v>0.9159658828799</v>
      </c>
      <c r="U3693">
        <v>-6.6151347209386202</v>
      </c>
      <c r="V3693">
        <v>0.37257435899306401</v>
      </c>
      <c r="W3693">
        <v>0.53928125537945004</v>
      </c>
      <c r="X3693">
        <v>0</v>
      </c>
      <c r="Y3693">
        <v>0</v>
      </c>
    </row>
    <row r="3694" spans="1:25" x14ac:dyDescent="0.2">
      <c r="A3694" t="s">
        <v>13570</v>
      </c>
      <c r="B3694" t="s">
        <v>13571</v>
      </c>
      <c r="C3694" t="s">
        <v>14744</v>
      </c>
      <c r="D3694" t="s">
        <v>3455</v>
      </c>
      <c r="E3694" t="s">
        <v>13571</v>
      </c>
      <c r="F3694" t="s">
        <v>28</v>
      </c>
      <c r="G3694" t="s">
        <v>13571</v>
      </c>
      <c r="H3694" t="str">
        <f>"T16G1.6"</f>
        <v>T16G1.6</v>
      </c>
      <c r="I3694" t="s">
        <v>3455</v>
      </c>
      <c r="J3694" t="s">
        <v>29</v>
      </c>
      <c r="K3694" t="s">
        <v>29</v>
      </c>
      <c r="L3694" t="s">
        <v>29</v>
      </c>
      <c r="M3694" t="s">
        <v>29</v>
      </c>
      <c r="N3694" t="s">
        <v>29</v>
      </c>
      <c r="O3694" t="s">
        <v>29</v>
      </c>
      <c r="P3694" t="s">
        <v>29</v>
      </c>
      <c r="Q3694" t="s">
        <v>29</v>
      </c>
      <c r="R3694" t="s">
        <v>29</v>
      </c>
      <c r="S3694">
        <v>11.3964646268858</v>
      </c>
      <c r="T3694" t="s">
        <v>29</v>
      </c>
      <c r="U3694" t="s">
        <v>29</v>
      </c>
      <c r="V3694" t="s">
        <v>29</v>
      </c>
      <c r="W3694" t="s">
        <v>29</v>
      </c>
      <c r="X3694" t="s">
        <v>29</v>
      </c>
      <c r="Y3694" t="s">
        <v>29</v>
      </c>
    </row>
    <row r="3695" spans="1:25" x14ac:dyDescent="0.2">
      <c r="A3695" t="s">
        <v>13572</v>
      </c>
      <c r="B3695" t="s">
        <v>13573</v>
      </c>
      <c r="C3695" t="s">
        <v>13574</v>
      </c>
      <c r="D3695" t="s">
        <v>13575</v>
      </c>
      <c r="E3695" t="s">
        <v>13573</v>
      </c>
      <c r="F3695" t="s">
        <v>28</v>
      </c>
      <c r="G3695" t="s">
        <v>13573</v>
      </c>
      <c r="H3695" t="str">
        <f>"eif-3.K"</f>
        <v>eif-3.K</v>
      </c>
      <c r="I3695" t="s">
        <v>13575</v>
      </c>
      <c r="J3695">
        <v>13.4339779976395</v>
      </c>
      <c r="K3695">
        <v>13.0723350345756</v>
      </c>
      <c r="L3695">
        <v>14.120147654965599</v>
      </c>
      <c r="M3695" t="s">
        <v>29</v>
      </c>
      <c r="N3695" t="s">
        <v>29</v>
      </c>
      <c r="O3695">
        <v>14.4198389582769</v>
      </c>
      <c r="P3695">
        <v>0.87768539588334304</v>
      </c>
      <c r="Q3695">
        <v>-8.92871633670691E-2</v>
      </c>
      <c r="R3695">
        <v>1.8446579551337601</v>
      </c>
      <c r="S3695">
        <v>13.6841556916812</v>
      </c>
      <c r="T3695">
        <v>1.9251929028680199</v>
      </c>
      <c r="U3695">
        <v>-5.0654644685339401</v>
      </c>
      <c r="V3695">
        <v>7.2290284675442296E-2</v>
      </c>
      <c r="W3695">
        <v>0.17508052645126601</v>
      </c>
      <c r="X3695">
        <v>0</v>
      </c>
      <c r="Y3695">
        <v>0</v>
      </c>
    </row>
    <row r="3696" spans="1:25" x14ac:dyDescent="0.2">
      <c r="A3696" t="s">
        <v>13576</v>
      </c>
      <c r="B3696" t="s">
        <v>13577</v>
      </c>
      <c r="C3696" t="s">
        <v>14745</v>
      </c>
      <c r="D3696" t="s">
        <v>4039</v>
      </c>
      <c r="E3696" t="s">
        <v>13577</v>
      </c>
      <c r="F3696" t="s">
        <v>28</v>
      </c>
      <c r="G3696" t="s">
        <v>13577</v>
      </c>
      <c r="H3696" t="str">
        <f>"T05F1.11"</f>
        <v>T05F1.11</v>
      </c>
      <c r="I3696" t="s">
        <v>4039</v>
      </c>
      <c r="J3696">
        <v>13.5875332690955</v>
      </c>
      <c r="K3696">
        <v>13.403090639663899</v>
      </c>
      <c r="L3696">
        <v>13.0368870638328</v>
      </c>
      <c r="M3696" t="s">
        <v>29</v>
      </c>
      <c r="N3696">
        <v>13.610334259275101</v>
      </c>
      <c r="O3696">
        <v>13.0914166999495</v>
      </c>
      <c r="P3696">
        <v>8.3718220815534004E-3</v>
      </c>
      <c r="Q3696">
        <v>-0.65547041518365501</v>
      </c>
      <c r="R3696">
        <v>0.67221405934676104</v>
      </c>
      <c r="S3696">
        <v>12.827626758320401</v>
      </c>
      <c r="T3696">
        <v>2.6619820467415501E-2</v>
      </c>
      <c r="U3696">
        <v>-7.0451025192819596</v>
      </c>
      <c r="V3696">
        <v>0.97907486610491601</v>
      </c>
      <c r="W3696">
        <v>0.98749083161060003</v>
      </c>
      <c r="X3696">
        <v>0</v>
      </c>
      <c r="Y3696">
        <v>0</v>
      </c>
    </row>
    <row r="3697" spans="1:25" x14ac:dyDescent="0.2">
      <c r="A3697" t="s">
        <v>13578</v>
      </c>
      <c r="B3697" t="s">
        <v>13579</v>
      </c>
      <c r="C3697" t="s">
        <v>14746</v>
      </c>
      <c r="D3697" t="s">
        <v>13580</v>
      </c>
      <c r="E3697" t="s">
        <v>13579</v>
      </c>
      <c r="F3697" t="s">
        <v>28</v>
      </c>
      <c r="G3697" t="s">
        <v>13579</v>
      </c>
      <c r="H3697" t="str">
        <f>"T05F1.2"</f>
        <v>T05F1.2</v>
      </c>
      <c r="I3697" t="s">
        <v>13580</v>
      </c>
      <c r="J3697">
        <v>12.092136383715999</v>
      </c>
      <c r="K3697">
        <v>11.617033340786501</v>
      </c>
      <c r="L3697">
        <v>12.419257274541399</v>
      </c>
      <c r="M3697" t="s">
        <v>29</v>
      </c>
      <c r="N3697">
        <v>11.4996350151686</v>
      </c>
      <c r="O3697">
        <v>12.559046596292699</v>
      </c>
      <c r="P3697">
        <v>-1.3468193950627601E-2</v>
      </c>
      <c r="Q3697">
        <v>-0.68803163376304699</v>
      </c>
      <c r="R3697">
        <v>0.66109524586179202</v>
      </c>
      <c r="S3697">
        <v>12.8893672153898</v>
      </c>
      <c r="T3697">
        <v>-4.2144079794040799E-2</v>
      </c>
      <c r="U3697">
        <v>-7.0445414211308703</v>
      </c>
      <c r="V3697">
        <v>0.96687789918479194</v>
      </c>
      <c r="W3697">
        <v>0.98051932859517699</v>
      </c>
      <c r="X3697">
        <v>0</v>
      </c>
      <c r="Y3697">
        <v>0</v>
      </c>
    </row>
    <row r="3698" spans="1:25" x14ac:dyDescent="0.2">
      <c r="A3698" t="s">
        <v>13581</v>
      </c>
      <c r="B3698" t="s">
        <v>13582</v>
      </c>
      <c r="C3698" t="s">
        <v>13583</v>
      </c>
      <c r="D3698" t="s">
        <v>13584</v>
      </c>
      <c r="E3698" t="s">
        <v>13582</v>
      </c>
      <c r="F3698" t="s">
        <v>28</v>
      </c>
      <c r="G3698" t="s">
        <v>13582</v>
      </c>
      <c r="H3698" t="str">
        <f>"pdr-1"</f>
        <v>pdr-1</v>
      </c>
      <c r="I3698" t="s">
        <v>13584</v>
      </c>
      <c r="J3698" t="s">
        <v>29</v>
      </c>
      <c r="K3698" t="s">
        <v>29</v>
      </c>
      <c r="L3698" t="s">
        <v>29</v>
      </c>
      <c r="M3698" t="s">
        <v>29</v>
      </c>
      <c r="N3698" t="s">
        <v>29</v>
      </c>
      <c r="O3698" t="s">
        <v>29</v>
      </c>
      <c r="P3698" t="s">
        <v>29</v>
      </c>
      <c r="Q3698" t="s">
        <v>29</v>
      </c>
      <c r="R3698" t="s">
        <v>29</v>
      </c>
      <c r="S3698">
        <v>11.2715182993939</v>
      </c>
      <c r="T3698" t="s">
        <v>29</v>
      </c>
      <c r="U3698" t="s">
        <v>29</v>
      </c>
      <c r="V3698" t="s">
        <v>29</v>
      </c>
      <c r="W3698" t="s">
        <v>29</v>
      </c>
      <c r="X3698" t="s">
        <v>29</v>
      </c>
      <c r="Y3698" t="s">
        <v>29</v>
      </c>
    </row>
    <row r="3699" spans="1:25" x14ac:dyDescent="0.2">
      <c r="A3699" t="s">
        <v>13585</v>
      </c>
      <c r="B3699" t="s">
        <v>13586</v>
      </c>
      <c r="C3699" t="s">
        <v>13587</v>
      </c>
      <c r="D3699" t="s">
        <v>13588</v>
      </c>
      <c r="E3699" t="s">
        <v>13586</v>
      </c>
      <c r="F3699" t="s">
        <v>28</v>
      </c>
      <c r="G3699" t="s">
        <v>13586</v>
      </c>
      <c r="H3699" t="str">
        <f>"rml-1"</f>
        <v>rml-1</v>
      </c>
      <c r="I3699" t="s">
        <v>13588</v>
      </c>
      <c r="J3699">
        <v>18.246521306073099</v>
      </c>
      <c r="K3699">
        <v>18.157843676857102</v>
      </c>
      <c r="L3699">
        <v>17.974298779222</v>
      </c>
      <c r="M3699">
        <v>17.834142382553001</v>
      </c>
      <c r="N3699">
        <v>17.867016451318701</v>
      </c>
      <c r="O3699">
        <v>18.056526828590599</v>
      </c>
      <c r="P3699">
        <v>-0.20699269989659899</v>
      </c>
      <c r="Q3699">
        <v>-0.580500916767417</v>
      </c>
      <c r="R3699">
        <v>0.16651551697421901</v>
      </c>
      <c r="S3699">
        <v>17.668939455738499</v>
      </c>
      <c r="T3699">
        <v>-1.1647893256936499</v>
      </c>
      <c r="U3699">
        <v>-6.4701501308529297</v>
      </c>
      <c r="V3699">
        <v>0.25939748503122201</v>
      </c>
      <c r="W3699">
        <v>0.42628782406159899</v>
      </c>
      <c r="X3699">
        <v>0</v>
      </c>
      <c r="Y3699">
        <v>0</v>
      </c>
    </row>
    <row r="3700" spans="1:25" x14ac:dyDescent="0.2">
      <c r="A3700" t="s">
        <v>13589</v>
      </c>
      <c r="B3700" t="s">
        <v>13590</v>
      </c>
      <c r="C3700" t="s">
        <v>13591</v>
      </c>
      <c r="D3700" t="s">
        <v>561</v>
      </c>
      <c r="E3700" t="s">
        <v>13590</v>
      </c>
      <c r="F3700" t="s">
        <v>28</v>
      </c>
      <c r="G3700" t="s">
        <v>13590</v>
      </c>
      <c r="H3700" t="str">
        <f>"tyr-2"</f>
        <v>tyr-2</v>
      </c>
      <c r="I3700" t="s">
        <v>561</v>
      </c>
      <c r="J3700" t="s">
        <v>29</v>
      </c>
      <c r="K3700" t="s">
        <v>29</v>
      </c>
      <c r="L3700">
        <v>11.3442673435462</v>
      </c>
      <c r="M3700" t="s">
        <v>29</v>
      </c>
      <c r="N3700" t="s">
        <v>29</v>
      </c>
      <c r="O3700" t="s">
        <v>29</v>
      </c>
      <c r="P3700" t="s">
        <v>29</v>
      </c>
      <c r="Q3700" t="s">
        <v>29</v>
      </c>
      <c r="R3700" t="s">
        <v>29</v>
      </c>
      <c r="S3700">
        <v>11.2159211354004</v>
      </c>
      <c r="T3700" t="s">
        <v>29</v>
      </c>
      <c r="U3700" t="s">
        <v>29</v>
      </c>
      <c r="V3700" t="s">
        <v>29</v>
      </c>
      <c r="W3700" t="s">
        <v>29</v>
      </c>
      <c r="X3700" t="s">
        <v>29</v>
      </c>
      <c r="Y3700" t="s">
        <v>29</v>
      </c>
    </row>
    <row r="3701" spans="1:25" x14ac:dyDescent="0.2">
      <c r="A3701" t="s">
        <v>13592</v>
      </c>
      <c r="B3701" t="s">
        <v>13593</v>
      </c>
      <c r="C3701" t="s">
        <v>13594</v>
      </c>
      <c r="D3701" t="s">
        <v>13595</v>
      </c>
      <c r="E3701" t="s">
        <v>13593</v>
      </c>
      <c r="F3701" t="s">
        <v>28</v>
      </c>
      <c r="G3701" t="s">
        <v>13593</v>
      </c>
      <c r="H3701" t="str">
        <f>"cyk-4"</f>
        <v>cyk-4</v>
      </c>
      <c r="I3701" t="s">
        <v>13595</v>
      </c>
      <c r="J3701">
        <v>12.5186464931882</v>
      </c>
      <c r="K3701">
        <v>12.8202717602014</v>
      </c>
      <c r="L3701">
        <v>13.4358032343094</v>
      </c>
      <c r="M3701" t="s">
        <v>29</v>
      </c>
      <c r="N3701">
        <v>13.621439619979601</v>
      </c>
      <c r="O3701">
        <v>13.329243729536801</v>
      </c>
      <c r="P3701">
        <v>0.550434512191879</v>
      </c>
      <c r="Q3701">
        <v>-0.108920821015591</v>
      </c>
      <c r="R3701">
        <v>1.2097898453993501</v>
      </c>
      <c r="S3701">
        <v>13.7833040991722</v>
      </c>
      <c r="T3701">
        <v>1.76212270092026</v>
      </c>
      <c r="U3701">
        <v>-5.5480955443123801</v>
      </c>
      <c r="V3701">
        <v>9.61298584857396E-2</v>
      </c>
      <c r="W3701">
        <v>0.210942658803666</v>
      </c>
      <c r="X3701">
        <v>0</v>
      </c>
      <c r="Y3701">
        <v>0</v>
      </c>
    </row>
    <row r="3702" spans="1:25" x14ac:dyDescent="0.2">
      <c r="A3702" t="s">
        <v>13596</v>
      </c>
      <c r="B3702" t="s">
        <v>13597</v>
      </c>
      <c r="C3702" t="s">
        <v>13598</v>
      </c>
      <c r="D3702" t="s">
        <v>13599</v>
      </c>
      <c r="E3702" t="s">
        <v>13597</v>
      </c>
      <c r="F3702" t="s">
        <v>28</v>
      </c>
      <c r="G3702" t="s">
        <v>13597</v>
      </c>
      <c r="H3702" t="str">
        <f>"dbn-1"</f>
        <v>dbn-1</v>
      </c>
      <c r="I3702" t="s">
        <v>13599</v>
      </c>
      <c r="J3702">
        <v>12.541720643455401</v>
      </c>
      <c r="K3702">
        <v>12.793634804074401</v>
      </c>
      <c r="L3702" t="s">
        <v>29</v>
      </c>
      <c r="M3702" t="s">
        <v>29</v>
      </c>
      <c r="N3702" t="s">
        <v>29</v>
      </c>
      <c r="O3702">
        <v>13.2168364329164</v>
      </c>
      <c r="P3702">
        <v>0.54915870915147003</v>
      </c>
      <c r="Q3702">
        <v>-0.31363716191197599</v>
      </c>
      <c r="R3702">
        <v>1.41195458021492</v>
      </c>
      <c r="S3702">
        <v>12.6160837122309</v>
      </c>
      <c r="T3702">
        <v>1.3881449896842699</v>
      </c>
      <c r="U3702">
        <v>-5.8004171104138402</v>
      </c>
      <c r="V3702">
        <v>0.19054275767958501</v>
      </c>
      <c r="W3702">
        <v>0.34779890078609199</v>
      </c>
      <c r="X3702">
        <v>0</v>
      </c>
      <c r="Y3702">
        <v>0</v>
      </c>
    </row>
    <row r="3703" spans="1:25" x14ac:dyDescent="0.2">
      <c r="A3703" t="s">
        <v>13600</v>
      </c>
      <c r="B3703" t="s">
        <v>13601</v>
      </c>
      <c r="C3703" t="s">
        <v>14170</v>
      </c>
      <c r="D3703" t="s">
        <v>13602</v>
      </c>
      <c r="E3703" t="s">
        <v>13601</v>
      </c>
      <c r="F3703" t="s">
        <v>28</v>
      </c>
      <c r="G3703" t="s">
        <v>13601</v>
      </c>
      <c r="H3703" t="str">
        <f>"K05C4.7"</f>
        <v>K05C4.7</v>
      </c>
      <c r="I3703" t="s">
        <v>13602</v>
      </c>
      <c r="J3703" t="s">
        <v>29</v>
      </c>
      <c r="K3703" t="s">
        <v>29</v>
      </c>
      <c r="L3703" t="s">
        <v>29</v>
      </c>
      <c r="M3703" t="s">
        <v>29</v>
      </c>
      <c r="N3703" t="s">
        <v>29</v>
      </c>
      <c r="O3703" t="s">
        <v>29</v>
      </c>
      <c r="P3703" t="s">
        <v>29</v>
      </c>
      <c r="Q3703" t="s">
        <v>29</v>
      </c>
      <c r="R3703" t="s">
        <v>29</v>
      </c>
      <c r="S3703">
        <v>10.344533358997399</v>
      </c>
      <c r="T3703" t="s">
        <v>29</v>
      </c>
      <c r="U3703" t="s">
        <v>29</v>
      </c>
      <c r="V3703" t="s">
        <v>29</v>
      </c>
      <c r="W3703" t="s">
        <v>29</v>
      </c>
      <c r="X3703" t="s">
        <v>29</v>
      </c>
      <c r="Y3703" t="s">
        <v>29</v>
      </c>
    </row>
    <row r="3704" spans="1:25" x14ac:dyDescent="0.2">
      <c r="A3704" t="s">
        <v>13603</v>
      </c>
      <c r="B3704" t="s">
        <v>13604</v>
      </c>
      <c r="C3704" t="s">
        <v>14747</v>
      </c>
      <c r="D3704" t="s">
        <v>534</v>
      </c>
      <c r="E3704" t="s">
        <v>13604</v>
      </c>
      <c r="F3704" t="s">
        <v>28</v>
      </c>
      <c r="G3704" t="s">
        <v>13604</v>
      </c>
      <c r="H3704" t="str">
        <f>"K05C4.5"</f>
        <v>K05C4.5</v>
      </c>
      <c r="I3704" t="s">
        <v>534</v>
      </c>
      <c r="J3704">
        <v>14.160733039559799</v>
      </c>
      <c r="K3704">
        <v>14.0116993068595</v>
      </c>
      <c r="L3704">
        <v>13.953951234339</v>
      </c>
      <c r="M3704">
        <v>13.5733644728694</v>
      </c>
      <c r="N3704">
        <v>13.504812602001</v>
      </c>
      <c r="O3704">
        <v>13.6632637595368</v>
      </c>
      <c r="P3704">
        <v>-0.46164758211706702</v>
      </c>
      <c r="Q3704">
        <v>-0.79971305315484098</v>
      </c>
      <c r="R3704">
        <v>-0.123582111079292</v>
      </c>
      <c r="S3704">
        <v>13.874702501082</v>
      </c>
      <c r="T3704">
        <v>-2.87013459130092</v>
      </c>
      <c r="U3704">
        <v>-3.6047557476533201</v>
      </c>
      <c r="V3704">
        <v>1.02233973470971E-2</v>
      </c>
      <c r="W3704">
        <v>4.6209128806587597E-2</v>
      </c>
      <c r="X3704">
        <v>0</v>
      </c>
      <c r="Y3704">
        <v>0</v>
      </c>
    </row>
    <row r="3705" spans="1:25" x14ac:dyDescent="0.2">
      <c r="A3705" t="s">
        <v>13605</v>
      </c>
      <c r="B3705" t="s">
        <v>13606</v>
      </c>
      <c r="C3705" t="s">
        <v>13607</v>
      </c>
      <c r="D3705" t="s">
        <v>13608</v>
      </c>
      <c r="E3705" t="s">
        <v>13606</v>
      </c>
      <c r="F3705" t="s">
        <v>28</v>
      </c>
      <c r="G3705" t="s">
        <v>13606</v>
      </c>
      <c r="H3705" t="str">
        <f>"K05C4.2"</f>
        <v>K05C4.2</v>
      </c>
      <c r="I3705" t="s">
        <v>13608</v>
      </c>
      <c r="J3705">
        <v>15.586842916341499</v>
      </c>
      <c r="K3705">
        <v>15.2000671856346</v>
      </c>
      <c r="L3705">
        <v>14.6615623387128</v>
      </c>
      <c r="M3705">
        <v>16.5808133787244</v>
      </c>
      <c r="N3705">
        <v>12.716487388389201</v>
      </c>
      <c r="O3705">
        <v>15.320797057011299</v>
      </c>
      <c r="P3705">
        <v>-0.27679153885467001</v>
      </c>
      <c r="Q3705">
        <v>-2.5934906549962098</v>
      </c>
      <c r="R3705">
        <v>2.03990757728686</v>
      </c>
      <c r="S3705">
        <v>14.8277650764326</v>
      </c>
      <c r="T3705">
        <v>-0.25341522710141201</v>
      </c>
      <c r="U3705">
        <v>-7.1224445857830796</v>
      </c>
      <c r="V3705">
        <v>0.80319589509928602</v>
      </c>
      <c r="W3705">
        <v>0.87764861062573096</v>
      </c>
      <c r="X3705">
        <v>0</v>
      </c>
      <c r="Y3705">
        <v>0</v>
      </c>
    </row>
    <row r="3706" spans="1:25" x14ac:dyDescent="0.2">
      <c r="A3706" t="s">
        <v>13609</v>
      </c>
      <c r="B3706" t="s">
        <v>13610</v>
      </c>
      <c r="C3706" t="s">
        <v>13611</v>
      </c>
      <c r="D3706" t="s">
        <v>13612</v>
      </c>
      <c r="E3706" t="s">
        <v>13610</v>
      </c>
      <c r="F3706" t="s">
        <v>28</v>
      </c>
      <c r="G3706" t="s">
        <v>13610</v>
      </c>
      <c r="H3706" t="str">
        <f>"pbs-5"</f>
        <v>pbs-5</v>
      </c>
      <c r="I3706" t="s">
        <v>13612</v>
      </c>
      <c r="J3706">
        <v>12.1457798187138</v>
      </c>
      <c r="K3706" t="s">
        <v>29</v>
      </c>
      <c r="L3706">
        <v>13.2536741876746</v>
      </c>
      <c r="M3706" t="s">
        <v>29</v>
      </c>
      <c r="N3706" t="s">
        <v>29</v>
      </c>
      <c r="O3706" t="s">
        <v>29</v>
      </c>
      <c r="P3706" t="s">
        <v>29</v>
      </c>
      <c r="Q3706" t="s">
        <v>29</v>
      </c>
      <c r="R3706" t="s">
        <v>29</v>
      </c>
      <c r="S3706">
        <v>12.7280246098564</v>
      </c>
      <c r="T3706" t="s">
        <v>29</v>
      </c>
      <c r="U3706" t="s">
        <v>29</v>
      </c>
      <c r="V3706" t="s">
        <v>29</v>
      </c>
      <c r="W3706" t="s">
        <v>29</v>
      </c>
      <c r="X3706" t="s">
        <v>29</v>
      </c>
      <c r="Y3706" t="s">
        <v>29</v>
      </c>
    </row>
    <row r="3707" spans="1:25" x14ac:dyDescent="0.2">
      <c r="A3707" t="s">
        <v>13613</v>
      </c>
      <c r="B3707" t="s">
        <v>13614</v>
      </c>
      <c r="C3707" t="s">
        <v>13615</v>
      </c>
      <c r="D3707" t="s">
        <v>2791</v>
      </c>
      <c r="E3707" t="s">
        <v>13614</v>
      </c>
      <c r="F3707" t="s">
        <v>28</v>
      </c>
      <c r="G3707" t="s">
        <v>13614</v>
      </c>
      <c r="H3707" t="str">
        <f>"ddx-17"</f>
        <v>ddx-17</v>
      </c>
      <c r="I3707" t="s">
        <v>2791</v>
      </c>
      <c r="J3707">
        <v>17.390289366810102</v>
      </c>
      <c r="K3707">
        <v>17.6357959265872</v>
      </c>
      <c r="L3707">
        <v>18.071119562790599</v>
      </c>
      <c r="M3707">
        <v>17.801054942614801</v>
      </c>
      <c r="N3707">
        <v>18.1361528281261</v>
      </c>
      <c r="O3707">
        <v>17.732251302221599</v>
      </c>
      <c r="P3707">
        <v>0.19075140559156301</v>
      </c>
      <c r="Q3707">
        <v>-0.244590882123881</v>
      </c>
      <c r="R3707">
        <v>0.62609369330700604</v>
      </c>
      <c r="S3707">
        <v>18.1564396514751</v>
      </c>
      <c r="T3707">
        <v>0.92093590388871005</v>
      </c>
      <c r="U3707">
        <v>-6.72149943745538</v>
      </c>
      <c r="V3707">
        <v>0.36933318770283802</v>
      </c>
      <c r="W3707">
        <v>0.53708385902642197</v>
      </c>
      <c r="X3707">
        <v>0</v>
      </c>
      <c r="Y3707">
        <v>0</v>
      </c>
    </row>
    <row r="3708" spans="1:25" x14ac:dyDescent="0.2">
      <c r="A3708" t="s">
        <v>13616</v>
      </c>
      <c r="B3708" t="s">
        <v>13617</v>
      </c>
      <c r="C3708" t="s">
        <v>14748</v>
      </c>
      <c r="D3708" t="s">
        <v>13618</v>
      </c>
      <c r="E3708" t="s">
        <v>13617</v>
      </c>
      <c r="F3708" t="s">
        <v>28</v>
      </c>
      <c r="G3708" t="s">
        <v>13617</v>
      </c>
      <c r="H3708" t="str">
        <f>"F56G4.6"</f>
        <v>F56G4.6</v>
      </c>
      <c r="I3708" t="s">
        <v>13618</v>
      </c>
      <c r="J3708" t="s">
        <v>29</v>
      </c>
      <c r="K3708" t="s">
        <v>29</v>
      </c>
      <c r="L3708" t="s">
        <v>29</v>
      </c>
      <c r="M3708" t="s">
        <v>29</v>
      </c>
      <c r="N3708" t="s">
        <v>29</v>
      </c>
      <c r="O3708" t="s">
        <v>29</v>
      </c>
      <c r="P3708" t="s">
        <v>29</v>
      </c>
      <c r="Q3708" t="s">
        <v>29</v>
      </c>
      <c r="R3708" t="s">
        <v>29</v>
      </c>
      <c r="S3708">
        <v>11.0553154699529</v>
      </c>
      <c r="T3708" t="s">
        <v>29</v>
      </c>
      <c r="U3708" t="s">
        <v>29</v>
      </c>
      <c r="V3708" t="s">
        <v>29</v>
      </c>
      <c r="W3708" t="s">
        <v>29</v>
      </c>
      <c r="X3708" t="s">
        <v>29</v>
      </c>
      <c r="Y3708" t="s">
        <v>29</v>
      </c>
    </row>
    <row r="3709" spans="1:25" x14ac:dyDescent="0.2">
      <c r="A3709" t="s">
        <v>13619</v>
      </c>
      <c r="B3709" t="s">
        <v>13620</v>
      </c>
      <c r="C3709" t="s">
        <v>13621</v>
      </c>
      <c r="D3709" t="s">
        <v>13622</v>
      </c>
      <c r="E3709" t="s">
        <v>13620</v>
      </c>
      <c r="F3709" t="s">
        <v>28</v>
      </c>
      <c r="G3709" t="s">
        <v>13620</v>
      </c>
      <c r="H3709" t="str">
        <f>"aakb-1"</f>
        <v>aakb-1</v>
      </c>
      <c r="I3709" t="s">
        <v>13622</v>
      </c>
      <c r="J3709">
        <v>12.518478572968201</v>
      </c>
      <c r="K3709">
        <v>13.5986248368106</v>
      </c>
      <c r="L3709">
        <v>13.089891634790201</v>
      </c>
      <c r="M3709" t="s">
        <v>29</v>
      </c>
      <c r="N3709" t="s">
        <v>29</v>
      </c>
      <c r="O3709">
        <v>14.515083058330401</v>
      </c>
      <c r="P3709">
        <v>1.4460847101408001</v>
      </c>
      <c r="Q3709">
        <v>0.26339752570831199</v>
      </c>
      <c r="R3709">
        <v>2.6287718945732901</v>
      </c>
      <c r="S3709">
        <v>12.5343852229249</v>
      </c>
      <c r="T3709">
        <v>2.6077469686350998</v>
      </c>
      <c r="U3709">
        <v>-3.8667587980014</v>
      </c>
      <c r="V3709">
        <v>1.98767769456006E-2</v>
      </c>
      <c r="W3709">
        <v>7.2585950010761999E-2</v>
      </c>
      <c r="X3709">
        <v>1</v>
      </c>
      <c r="Y3709">
        <v>0</v>
      </c>
    </row>
    <row r="3710" spans="1:25" x14ac:dyDescent="0.2">
      <c r="A3710" t="s">
        <v>13623</v>
      </c>
      <c r="B3710" t="s">
        <v>13624</v>
      </c>
      <c r="C3710" t="s">
        <v>13625</v>
      </c>
      <c r="D3710" t="s">
        <v>13626</v>
      </c>
      <c r="E3710" t="s">
        <v>13624</v>
      </c>
      <c r="F3710" t="s">
        <v>28</v>
      </c>
      <c r="G3710" t="s">
        <v>13624</v>
      </c>
      <c r="H3710" t="str">
        <f>"nkb-3"</f>
        <v>nkb-3</v>
      </c>
      <c r="I3710" t="s">
        <v>13626</v>
      </c>
      <c r="J3710">
        <v>14.959809186993899</v>
      </c>
      <c r="K3710">
        <v>14.7430944949642</v>
      </c>
      <c r="L3710">
        <v>14.5480452088514</v>
      </c>
      <c r="M3710">
        <v>13.9392745204566</v>
      </c>
      <c r="N3710">
        <v>13.7720541908173</v>
      </c>
      <c r="O3710">
        <v>13.714372913700799</v>
      </c>
      <c r="P3710">
        <v>-0.94174908861161899</v>
      </c>
      <c r="Q3710">
        <v>-1.4586283432804801</v>
      </c>
      <c r="R3710">
        <v>-0.42486983394275801</v>
      </c>
      <c r="S3710">
        <v>13.743509603966499</v>
      </c>
      <c r="T3710">
        <v>-3.8294695443669999</v>
      </c>
      <c r="U3710">
        <v>-1.5474652363213599</v>
      </c>
      <c r="V3710">
        <v>1.2391383280818699E-3</v>
      </c>
      <c r="W3710">
        <v>1.0573848086456099E-2</v>
      </c>
      <c r="X3710">
        <v>0</v>
      </c>
      <c r="Y3710">
        <v>0</v>
      </c>
    </row>
    <row r="3711" spans="1:25" x14ac:dyDescent="0.2">
      <c r="A3711" t="s">
        <v>13627</v>
      </c>
      <c r="B3711" t="s">
        <v>13628</v>
      </c>
      <c r="C3711" t="s">
        <v>13629</v>
      </c>
      <c r="D3711" t="s">
        <v>13630</v>
      </c>
      <c r="E3711" t="s">
        <v>13628</v>
      </c>
      <c r="F3711" t="s">
        <v>28</v>
      </c>
      <c r="G3711" t="s">
        <v>13628</v>
      </c>
      <c r="H3711" t="str">
        <f>"gfm-1"</f>
        <v>gfm-1</v>
      </c>
      <c r="I3711" t="s">
        <v>13630</v>
      </c>
      <c r="J3711">
        <v>16.897717583453499</v>
      </c>
      <c r="K3711">
        <v>16.9700585167814</v>
      </c>
      <c r="L3711">
        <v>16.845203544197599</v>
      </c>
      <c r="M3711">
        <v>16.457571473206801</v>
      </c>
      <c r="N3711">
        <v>16.4036329376132</v>
      </c>
      <c r="O3711">
        <v>16.6361956603671</v>
      </c>
      <c r="P3711">
        <v>-0.40519319108177498</v>
      </c>
      <c r="Q3711">
        <v>-0.81529783976590697</v>
      </c>
      <c r="R3711">
        <v>4.9114576023571201E-3</v>
      </c>
      <c r="S3711">
        <v>16.916504867860699</v>
      </c>
      <c r="T3711">
        <v>-2.0766339974793602</v>
      </c>
      <c r="U3711">
        <v>-5.1301065782625903</v>
      </c>
      <c r="V3711">
        <v>5.2519316038114799E-2</v>
      </c>
      <c r="W3711">
        <v>0.14057622558067601</v>
      </c>
      <c r="X3711">
        <v>0</v>
      </c>
      <c r="Y3711">
        <v>0</v>
      </c>
    </row>
    <row r="3712" spans="1:25" x14ac:dyDescent="0.2">
      <c r="A3712" t="s">
        <v>13631</v>
      </c>
      <c r="B3712" t="s">
        <v>13632</v>
      </c>
      <c r="C3712" t="s">
        <v>13633</v>
      </c>
      <c r="D3712" t="s">
        <v>3118</v>
      </c>
      <c r="E3712" t="s">
        <v>13632</v>
      </c>
      <c r="F3712" t="s">
        <v>28</v>
      </c>
      <c r="G3712" t="s">
        <v>13632</v>
      </c>
      <c r="H3712" t="str">
        <f>"cyp-37a1"</f>
        <v>cyp-37a1</v>
      </c>
      <c r="I3712" t="s">
        <v>3118</v>
      </c>
      <c r="J3712">
        <v>11.9730719893151</v>
      </c>
      <c r="K3712" t="s">
        <v>29</v>
      </c>
      <c r="L3712">
        <v>10.9552085481108</v>
      </c>
      <c r="M3712" t="s">
        <v>29</v>
      </c>
      <c r="N3712" t="s">
        <v>29</v>
      </c>
      <c r="O3712">
        <v>10.893320558327</v>
      </c>
      <c r="P3712">
        <v>-0.57081971038590695</v>
      </c>
      <c r="Q3712">
        <v>-2.2655612856323999</v>
      </c>
      <c r="R3712">
        <v>1.12392186486058</v>
      </c>
      <c r="S3712">
        <v>11.105855213571701</v>
      </c>
      <c r="T3712">
        <v>-0.72825373663612902</v>
      </c>
      <c r="U3712">
        <v>-6.4783317534293898</v>
      </c>
      <c r="V3712">
        <v>0.47947497700205299</v>
      </c>
      <c r="W3712">
        <v>0.63887713257030299</v>
      </c>
      <c r="X3712">
        <v>0</v>
      </c>
      <c r="Y3712">
        <v>0</v>
      </c>
    </row>
    <row r="3713" spans="1:25" x14ac:dyDescent="0.2">
      <c r="A3713" t="s">
        <v>13634</v>
      </c>
      <c r="B3713" t="s">
        <v>13635</v>
      </c>
      <c r="C3713" t="s">
        <v>13636</v>
      </c>
      <c r="D3713" t="s">
        <v>13637</v>
      </c>
      <c r="E3713" t="s">
        <v>13635</v>
      </c>
      <c r="F3713" t="s">
        <v>28</v>
      </c>
      <c r="G3713" t="s">
        <v>13635</v>
      </c>
      <c r="H3713" t="str">
        <f>"immp-1"</f>
        <v>immp-1</v>
      </c>
      <c r="I3713" t="s">
        <v>13637</v>
      </c>
      <c r="J3713">
        <v>12.3721167306664</v>
      </c>
      <c r="K3713">
        <v>12.7758401620853</v>
      </c>
      <c r="L3713">
        <v>12.7407186695423</v>
      </c>
      <c r="M3713" t="s">
        <v>29</v>
      </c>
      <c r="N3713" t="s">
        <v>29</v>
      </c>
      <c r="O3713" t="s">
        <v>29</v>
      </c>
      <c r="P3713" t="s">
        <v>29</v>
      </c>
      <c r="Q3713" t="s">
        <v>29</v>
      </c>
      <c r="R3713" t="s">
        <v>29</v>
      </c>
      <c r="S3713">
        <v>12.2440373094629</v>
      </c>
      <c r="T3713" t="s">
        <v>29</v>
      </c>
      <c r="U3713" t="s">
        <v>29</v>
      </c>
      <c r="V3713" t="s">
        <v>29</v>
      </c>
      <c r="W3713" t="s">
        <v>29</v>
      </c>
      <c r="X3713" t="s">
        <v>29</v>
      </c>
      <c r="Y3713" t="s">
        <v>29</v>
      </c>
    </row>
    <row r="3714" spans="1:25" x14ac:dyDescent="0.2">
      <c r="A3714" t="s">
        <v>13638</v>
      </c>
      <c r="B3714" t="s">
        <v>13639</v>
      </c>
      <c r="C3714" t="s">
        <v>13640</v>
      </c>
      <c r="D3714" t="s">
        <v>13641</v>
      </c>
      <c r="E3714" t="s">
        <v>13639</v>
      </c>
      <c r="F3714" t="s">
        <v>28</v>
      </c>
      <c r="G3714" t="s">
        <v>13639</v>
      </c>
      <c r="H3714" t="str">
        <f>"rpl-14"</f>
        <v>rpl-14</v>
      </c>
      <c r="I3714" t="s">
        <v>13641</v>
      </c>
      <c r="J3714">
        <v>20.892498843585798</v>
      </c>
      <c r="K3714">
        <v>21.005723796470299</v>
      </c>
      <c r="L3714">
        <v>21.0789417539441</v>
      </c>
      <c r="M3714">
        <v>20.536959933813399</v>
      </c>
      <c r="N3714">
        <v>20.249921870257801</v>
      </c>
      <c r="O3714">
        <v>20.5958185680363</v>
      </c>
      <c r="P3714">
        <v>-0.53148800729755397</v>
      </c>
      <c r="Q3714">
        <v>-0.98556536039720599</v>
      </c>
      <c r="R3714">
        <v>-7.7410654197901996E-2</v>
      </c>
      <c r="S3714">
        <v>20.732094486402701</v>
      </c>
      <c r="T3714">
        <v>-2.4601191426277902</v>
      </c>
      <c r="U3714">
        <v>-4.4229962508070004</v>
      </c>
      <c r="V3714">
        <v>2.4297165045308902E-2</v>
      </c>
      <c r="W3714">
        <v>8.3454248704575101E-2</v>
      </c>
      <c r="X3714">
        <v>0</v>
      </c>
      <c r="Y3714">
        <v>0</v>
      </c>
    </row>
    <row r="3715" spans="1:25" x14ac:dyDescent="0.2">
      <c r="A3715" t="s">
        <v>13642</v>
      </c>
      <c r="B3715" t="s">
        <v>13643</v>
      </c>
      <c r="C3715" t="s">
        <v>13644</v>
      </c>
      <c r="D3715" t="s">
        <v>150</v>
      </c>
      <c r="E3715" t="s">
        <v>13643</v>
      </c>
      <c r="F3715" t="s">
        <v>28</v>
      </c>
      <c r="G3715" t="s">
        <v>13643</v>
      </c>
      <c r="H3715" t="str">
        <f>"vsra-1"</f>
        <v>vsra-1</v>
      </c>
      <c r="I3715" t="s">
        <v>150</v>
      </c>
      <c r="J3715">
        <v>12.583147325001599</v>
      </c>
      <c r="K3715">
        <v>12.543382757395801</v>
      </c>
      <c r="L3715">
        <v>12.407317348566</v>
      </c>
      <c r="M3715" t="s">
        <v>29</v>
      </c>
      <c r="N3715">
        <v>12.7520778648283</v>
      </c>
      <c r="O3715">
        <v>12.6984306045129</v>
      </c>
      <c r="P3715">
        <v>0.213971757682794</v>
      </c>
      <c r="Q3715">
        <v>-0.31492612715900198</v>
      </c>
      <c r="R3715">
        <v>0.74286964252458998</v>
      </c>
      <c r="S3715">
        <v>12.647045954178299</v>
      </c>
      <c r="T3715">
        <v>0.85395431466805305</v>
      </c>
      <c r="U3715">
        <v>-6.6702504041785504</v>
      </c>
      <c r="V3715">
        <v>0.40507608464169098</v>
      </c>
      <c r="W3715">
        <v>0.57357189255330898</v>
      </c>
      <c r="X3715">
        <v>0</v>
      </c>
      <c r="Y3715">
        <v>0</v>
      </c>
    </row>
    <row r="3716" spans="1:25" x14ac:dyDescent="0.2">
      <c r="A3716" t="s">
        <v>13645</v>
      </c>
      <c r="B3716" t="s">
        <v>13646</v>
      </c>
      <c r="C3716" t="s">
        <v>13647</v>
      </c>
      <c r="D3716" t="s">
        <v>13648</v>
      </c>
      <c r="E3716" t="s">
        <v>13646</v>
      </c>
      <c r="F3716" t="s">
        <v>28</v>
      </c>
      <c r="G3716" t="s">
        <v>13646</v>
      </c>
      <c r="H3716" t="str">
        <f>"rpl-2"</f>
        <v>rpl-2</v>
      </c>
      <c r="I3716" t="s">
        <v>13648</v>
      </c>
      <c r="J3716">
        <v>20.613320627132801</v>
      </c>
      <c r="K3716">
        <v>20.7672503233591</v>
      </c>
      <c r="L3716">
        <v>20.8742602354592</v>
      </c>
      <c r="M3716">
        <v>20.300109993129801</v>
      </c>
      <c r="N3716">
        <v>20.467701806362001</v>
      </c>
      <c r="O3716">
        <v>19.969283825787301</v>
      </c>
      <c r="P3716">
        <v>-0.50591185355733603</v>
      </c>
      <c r="Q3716">
        <v>-0.91957830933687101</v>
      </c>
      <c r="R3716">
        <v>-9.2245397777800803E-2</v>
      </c>
      <c r="S3716">
        <v>20.7986675161346</v>
      </c>
      <c r="T3716">
        <v>-2.57049677222092</v>
      </c>
      <c r="U3716">
        <v>-4.2081804602198201</v>
      </c>
      <c r="V3716">
        <v>1.93149804817365E-2</v>
      </c>
      <c r="W3716">
        <v>7.1689228563825494E-2</v>
      </c>
      <c r="X3716">
        <v>0</v>
      </c>
      <c r="Y3716">
        <v>0</v>
      </c>
    </row>
    <row r="3717" spans="1:25" x14ac:dyDescent="0.2">
      <c r="A3717" t="s">
        <v>13649</v>
      </c>
      <c r="B3717" t="s">
        <v>13650</v>
      </c>
      <c r="C3717" t="s">
        <v>13651</v>
      </c>
      <c r="D3717" t="s">
        <v>13652</v>
      </c>
      <c r="E3717" t="s">
        <v>13650</v>
      </c>
      <c r="F3717" t="s">
        <v>28</v>
      </c>
      <c r="G3717" t="s">
        <v>13650</v>
      </c>
      <c r="H3717" t="str">
        <f>"hmg-20"</f>
        <v>hmg-20</v>
      </c>
      <c r="I3717" t="s">
        <v>13652</v>
      </c>
      <c r="J3717" t="s">
        <v>29</v>
      </c>
      <c r="K3717" t="s">
        <v>29</v>
      </c>
      <c r="L3717" t="s">
        <v>29</v>
      </c>
      <c r="M3717" t="s">
        <v>29</v>
      </c>
      <c r="N3717" t="s">
        <v>29</v>
      </c>
      <c r="O3717" t="s">
        <v>29</v>
      </c>
      <c r="P3717" t="s">
        <v>29</v>
      </c>
      <c r="Q3717" t="s">
        <v>29</v>
      </c>
      <c r="R3717" t="s">
        <v>29</v>
      </c>
      <c r="S3717">
        <v>11.543719204389999</v>
      </c>
      <c r="T3717" t="s">
        <v>29</v>
      </c>
      <c r="U3717" t="s">
        <v>29</v>
      </c>
      <c r="V3717" t="s">
        <v>29</v>
      </c>
      <c r="W3717" t="s">
        <v>29</v>
      </c>
      <c r="X3717" t="s">
        <v>29</v>
      </c>
      <c r="Y3717" t="s">
        <v>29</v>
      </c>
    </row>
    <row r="3718" spans="1:25" x14ac:dyDescent="0.2">
      <c r="A3718" t="s">
        <v>13653</v>
      </c>
      <c r="B3718" t="s">
        <v>13654</v>
      </c>
      <c r="C3718" t="s">
        <v>13655</v>
      </c>
      <c r="D3718" t="s">
        <v>2221</v>
      </c>
      <c r="E3718" t="s">
        <v>13654</v>
      </c>
      <c r="F3718" t="s">
        <v>28</v>
      </c>
      <c r="G3718" t="s">
        <v>13654</v>
      </c>
      <c r="H3718" t="str">
        <f>"citk-1"</f>
        <v>citk-1</v>
      </c>
      <c r="I3718" t="s">
        <v>2221</v>
      </c>
      <c r="J3718" t="s">
        <v>29</v>
      </c>
      <c r="K3718">
        <v>11.060378082884</v>
      </c>
      <c r="L3718">
        <v>11.668735122199401</v>
      </c>
      <c r="M3718" t="s">
        <v>29</v>
      </c>
      <c r="N3718">
        <v>11.7327169822718</v>
      </c>
      <c r="O3718">
        <v>10.934974398036401</v>
      </c>
      <c r="P3718">
        <v>-3.0710912387618802E-2</v>
      </c>
      <c r="Q3718">
        <v>-1.4688509796478999</v>
      </c>
      <c r="R3718">
        <v>1.4074291548726601</v>
      </c>
      <c r="S3718">
        <v>11.5715070898446</v>
      </c>
      <c r="T3718">
        <v>-4.5833542536299697E-2</v>
      </c>
      <c r="U3718">
        <v>-6.9539419708210399</v>
      </c>
      <c r="V3718">
        <v>0.96409512662219599</v>
      </c>
      <c r="W3718">
        <v>0.97938239853692199</v>
      </c>
      <c r="X3718">
        <v>0</v>
      </c>
      <c r="Y3718">
        <v>0</v>
      </c>
    </row>
    <row r="3719" spans="1:25" x14ac:dyDescent="0.2">
      <c r="A3719" t="s">
        <v>13656</v>
      </c>
      <c r="B3719" t="s">
        <v>13657</v>
      </c>
      <c r="C3719" t="s">
        <v>13658</v>
      </c>
      <c r="D3719" t="s">
        <v>13659</v>
      </c>
      <c r="E3719" t="s">
        <v>13657</v>
      </c>
      <c r="F3719" t="s">
        <v>28</v>
      </c>
      <c r="G3719" t="s">
        <v>13657</v>
      </c>
      <c r="H3719" t="str">
        <f>"sptl-3"</f>
        <v>sptl-3</v>
      </c>
      <c r="I3719" t="s">
        <v>13659</v>
      </c>
      <c r="J3719">
        <v>13.2249355024514</v>
      </c>
      <c r="K3719">
        <v>13.0857537247125</v>
      </c>
      <c r="L3719">
        <v>12.9873823002231</v>
      </c>
      <c r="M3719" t="s">
        <v>29</v>
      </c>
      <c r="N3719">
        <v>12.6793883490403</v>
      </c>
      <c r="O3719">
        <v>13.048743668527001</v>
      </c>
      <c r="P3719">
        <v>-0.235291167011974</v>
      </c>
      <c r="Q3719">
        <v>-0.69503973045485201</v>
      </c>
      <c r="R3719">
        <v>0.22445739643090401</v>
      </c>
      <c r="S3719">
        <v>13.0381570787961</v>
      </c>
      <c r="T3719">
        <v>-1.0802773142605</v>
      </c>
      <c r="U3719">
        <v>-6.4524468544690103</v>
      </c>
      <c r="V3719">
        <v>0.29519910462867499</v>
      </c>
      <c r="W3719">
        <v>0.46323309975543497</v>
      </c>
      <c r="X3719">
        <v>0</v>
      </c>
      <c r="Y3719">
        <v>0</v>
      </c>
    </row>
    <row r="3720" spans="1:25" x14ac:dyDescent="0.2">
      <c r="A3720" t="s">
        <v>13660</v>
      </c>
      <c r="B3720" t="s">
        <v>13661</v>
      </c>
      <c r="C3720" t="s">
        <v>13662</v>
      </c>
      <c r="D3720" t="s">
        <v>13663</v>
      </c>
      <c r="E3720" t="s">
        <v>13661</v>
      </c>
      <c r="F3720" t="s">
        <v>28</v>
      </c>
      <c r="G3720" t="s">
        <v>13661</v>
      </c>
      <c r="H3720" t="str">
        <f>"acbp-5"</f>
        <v>acbp-5</v>
      </c>
      <c r="I3720" t="s">
        <v>13663</v>
      </c>
      <c r="J3720" t="s">
        <v>29</v>
      </c>
      <c r="K3720" t="s">
        <v>29</v>
      </c>
      <c r="L3720" t="s">
        <v>29</v>
      </c>
      <c r="M3720" t="s">
        <v>29</v>
      </c>
      <c r="N3720" t="s">
        <v>29</v>
      </c>
      <c r="O3720" t="s">
        <v>29</v>
      </c>
      <c r="P3720" t="s">
        <v>29</v>
      </c>
      <c r="Q3720" t="s">
        <v>29</v>
      </c>
      <c r="R3720" t="s">
        <v>29</v>
      </c>
      <c r="S3720">
        <v>11.1592158373592</v>
      </c>
      <c r="T3720" t="s">
        <v>29</v>
      </c>
      <c r="U3720" t="s">
        <v>29</v>
      </c>
      <c r="V3720" t="s">
        <v>29</v>
      </c>
      <c r="W3720" t="s">
        <v>29</v>
      </c>
      <c r="X3720" t="s">
        <v>29</v>
      </c>
      <c r="Y3720" t="s">
        <v>29</v>
      </c>
    </row>
    <row r="3721" spans="1:25" x14ac:dyDescent="0.2">
      <c r="A3721" t="s">
        <v>13664</v>
      </c>
      <c r="B3721" t="s">
        <v>13665</v>
      </c>
      <c r="C3721" t="s">
        <v>13666</v>
      </c>
      <c r="D3721" t="s">
        <v>13667</v>
      </c>
      <c r="E3721" t="s">
        <v>13665</v>
      </c>
      <c r="F3721" t="s">
        <v>28</v>
      </c>
      <c r="G3721" t="s">
        <v>13665</v>
      </c>
      <c r="H3721" t="str">
        <f>"ubc-12"</f>
        <v>ubc-12</v>
      </c>
      <c r="I3721" t="s">
        <v>13667</v>
      </c>
      <c r="J3721">
        <v>11.662430755092901</v>
      </c>
      <c r="K3721">
        <v>11.892912766027001</v>
      </c>
      <c r="L3721">
        <v>12.7979704234032</v>
      </c>
      <c r="M3721" t="s">
        <v>29</v>
      </c>
      <c r="N3721" t="s">
        <v>29</v>
      </c>
      <c r="O3721">
        <v>12.5432572870165</v>
      </c>
      <c r="P3721">
        <v>0.42548597217543699</v>
      </c>
      <c r="Q3721">
        <v>-0.77818923375799998</v>
      </c>
      <c r="R3721">
        <v>1.62916117810887</v>
      </c>
      <c r="S3721">
        <v>12.699833013943101</v>
      </c>
      <c r="T3721">
        <v>0.74976551509031697</v>
      </c>
      <c r="U3721">
        <v>-6.52264541527604</v>
      </c>
      <c r="V3721">
        <v>0.464349444420802</v>
      </c>
      <c r="W3721">
        <v>0.62686111438758696</v>
      </c>
      <c r="X3721">
        <v>0</v>
      </c>
      <c r="Y3721">
        <v>0</v>
      </c>
    </row>
    <row r="3722" spans="1:25" x14ac:dyDescent="0.2">
      <c r="A3722" t="s">
        <v>13668</v>
      </c>
      <c r="B3722" t="s">
        <v>13669</v>
      </c>
      <c r="C3722" t="s">
        <v>13670</v>
      </c>
      <c r="D3722" t="s">
        <v>13671</v>
      </c>
      <c r="E3722" t="s">
        <v>13669</v>
      </c>
      <c r="F3722" t="s">
        <v>28</v>
      </c>
      <c r="G3722" t="s">
        <v>13669</v>
      </c>
      <c r="H3722" t="str">
        <f>"letm-1"</f>
        <v>letm-1</v>
      </c>
      <c r="I3722" t="s">
        <v>13671</v>
      </c>
      <c r="J3722">
        <v>12.798138408611401</v>
      </c>
      <c r="K3722">
        <v>12.6837588326269</v>
      </c>
      <c r="L3722">
        <v>12.5730282415213</v>
      </c>
      <c r="M3722" t="s">
        <v>29</v>
      </c>
      <c r="N3722">
        <v>12.545448586760299</v>
      </c>
      <c r="O3722">
        <v>12.8731350941454</v>
      </c>
      <c r="P3722">
        <v>2.4316679533042101E-2</v>
      </c>
      <c r="Q3722">
        <v>-0.45704414735948701</v>
      </c>
      <c r="R3722">
        <v>0.50567750642557097</v>
      </c>
      <c r="S3722">
        <v>12.4120928696788</v>
      </c>
      <c r="T3722">
        <v>0.106631014198593</v>
      </c>
      <c r="U3722">
        <v>-7.0395002504009003</v>
      </c>
      <c r="V3722">
        <v>0.91633763268621204</v>
      </c>
      <c r="W3722">
        <v>0.95019247133225404</v>
      </c>
      <c r="X3722">
        <v>0</v>
      </c>
      <c r="Y3722">
        <v>0</v>
      </c>
    </row>
    <row r="3723" spans="1:25" x14ac:dyDescent="0.2">
      <c r="A3723" t="s">
        <v>13672</v>
      </c>
      <c r="B3723" t="s">
        <v>13673</v>
      </c>
      <c r="C3723" t="s">
        <v>14749</v>
      </c>
      <c r="D3723" t="s">
        <v>3883</v>
      </c>
      <c r="E3723" t="s">
        <v>13673</v>
      </c>
      <c r="F3723" t="s">
        <v>28</v>
      </c>
      <c r="G3723" t="s">
        <v>13673</v>
      </c>
      <c r="H3723" t="str">
        <f>"F53B6.4"</f>
        <v>F53B6.4</v>
      </c>
      <c r="I3723" t="s">
        <v>3883</v>
      </c>
      <c r="J3723">
        <v>16.142344199424699</v>
      </c>
      <c r="K3723">
        <v>15.506773079441301</v>
      </c>
      <c r="L3723">
        <v>16.760379562079098</v>
      </c>
      <c r="M3723">
        <v>15.768097400450801</v>
      </c>
      <c r="N3723">
        <v>16.419182680876901</v>
      </c>
      <c r="O3723">
        <v>14.0294980239228</v>
      </c>
      <c r="P3723">
        <v>-0.730906245231564</v>
      </c>
      <c r="Q3723">
        <v>-1.6440542122650601</v>
      </c>
      <c r="R3723">
        <v>0.18224172180192999</v>
      </c>
      <c r="S3723">
        <v>14.844606604413601</v>
      </c>
      <c r="T3723">
        <v>-1.68233712685807</v>
      </c>
      <c r="U3723">
        <v>-5.7780125632402104</v>
      </c>
      <c r="V3723">
        <v>0.109870018355799</v>
      </c>
      <c r="W3723">
        <v>0.230946465117361</v>
      </c>
      <c r="X3723">
        <v>0</v>
      </c>
      <c r="Y3723">
        <v>0</v>
      </c>
    </row>
    <row r="3724" spans="1:25" x14ac:dyDescent="0.2">
      <c r="A3724" t="s">
        <v>13674</v>
      </c>
      <c r="B3724" t="s">
        <v>13675</v>
      </c>
      <c r="C3724" t="s">
        <v>13676</v>
      </c>
      <c r="D3724" t="s">
        <v>13677</v>
      </c>
      <c r="E3724" t="s">
        <v>13675</v>
      </c>
      <c r="F3724" t="s">
        <v>28</v>
      </c>
      <c r="G3724" t="s">
        <v>13675</v>
      </c>
      <c r="H3724" t="str">
        <f>"ape-1"</f>
        <v>ape-1</v>
      </c>
      <c r="I3724" t="s">
        <v>13677</v>
      </c>
      <c r="J3724">
        <v>11.4575527231469</v>
      </c>
      <c r="K3724" t="s">
        <v>29</v>
      </c>
      <c r="L3724" t="s">
        <v>29</v>
      </c>
      <c r="M3724" t="s">
        <v>29</v>
      </c>
      <c r="N3724" t="s">
        <v>29</v>
      </c>
      <c r="O3724" t="s">
        <v>29</v>
      </c>
      <c r="P3724" t="s">
        <v>29</v>
      </c>
      <c r="Q3724" t="s">
        <v>29</v>
      </c>
      <c r="R3724" t="s">
        <v>29</v>
      </c>
      <c r="S3724">
        <v>12.5027332540496</v>
      </c>
      <c r="T3724" t="s">
        <v>29</v>
      </c>
      <c r="U3724" t="s">
        <v>29</v>
      </c>
      <c r="V3724" t="s">
        <v>29</v>
      </c>
      <c r="W3724" t="s">
        <v>29</v>
      </c>
      <c r="X3724" t="s">
        <v>29</v>
      </c>
      <c r="Y3724" t="s">
        <v>29</v>
      </c>
    </row>
    <row r="3725" spans="1:25" x14ac:dyDescent="0.2">
      <c r="A3725" t="s">
        <v>13678</v>
      </c>
      <c r="B3725" t="s">
        <v>13679</v>
      </c>
      <c r="C3725" t="s">
        <v>14750</v>
      </c>
      <c r="D3725" t="s">
        <v>13680</v>
      </c>
      <c r="E3725" t="s">
        <v>13679</v>
      </c>
      <c r="F3725" t="s">
        <v>28</v>
      </c>
      <c r="G3725" t="s">
        <v>13679</v>
      </c>
      <c r="H3725" t="str">
        <f>"F36A2.2"</f>
        <v>F36A2.2</v>
      </c>
      <c r="I3725" t="s">
        <v>13680</v>
      </c>
      <c r="J3725">
        <v>12.8638893856414</v>
      </c>
      <c r="K3725" t="s">
        <v>29</v>
      </c>
      <c r="L3725">
        <v>11.453878268584001</v>
      </c>
      <c r="M3725" t="s">
        <v>29</v>
      </c>
      <c r="N3725" t="s">
        <v>29</v>
      </c>
      <c r="O3725">
        <v>13.0152700271667</v>
      </c>
      <c r="P3725">
        <v>0.85638620005404298</v>
      </c>
      <c r="Q3725">
        <v>-0.50300567126547202</v>
      </c>
      <c r="R3725">
        <v>2.2157780713735602</v>
      </c>
      <c r="S3725">
        <v>13.0833740026715</v>
      </c>
      <c r="T3725">
        <v>1.3435894886767701</v>
      </c>
      <c r="U3725">
        <v>-5.8581936221180602</v>
      </c>
      <c r="V3725">
        <v>0.199193061521238</v>
      </c>
      <c r="W3725">
        <v>0.35817680518162698</v>
      </c>
      <c r="X3725">
        <v>0</v>
      </c>
      <c r="Y3725">
        <v>0</v>
      </c>
    </row>
    <row r="3726" spans="1:25" x14ac:dyDescent="0.2">
      <c r="A3726" t="s">
        <v>13681</v>
      </c>
      <c r="B3726" t="s">
        <v>13682</v>
      </c>
      <c r="C3726" t="s">
        <v>13683</v>
      </c>
      <c r="D3726" t="s">
        <v>13684</v>
      </c>
      <c r="E3726" t="s">
        <v>13682</v>
      </c>
      <c r="F3726" t="s">
        <v>28</v>
      </c>
      <c r="G3726" t="s">
        <v>13682</v>
      </c>
      <c r="H3726" t="str">
        <f>"rps-15"</f>
        <v>rps-15</v>
      </c>
      <c r="I3726" t="s">
        <v>13684</v>
      </c>
      <c r="J3726">
        <v>18.146545116175101</v>
      </c>
      <c r="K3726">
        <v>18.1548858784824</v>
      </c>
      <c r="L3726">
        <v>18.579077060544101</v>
      </c>
      <c r="M3726">
        <v>17.631207070815499</v>
      </c>
      <c r="N3726">
        <v>17.3487817745558</v>
      </c>
      <c r="O3726">
        <v>17.020429911870298</v>
      </c>
      <c r="P3726">
        <v>-0.960029765986675</v>
      </c>
      <c r="Q3726">
        <v>-1.4684506130170201</v>
      </c>
      <c r="R3726">
        <v>-0.45160891895633198</v>
      </c>
      <c r="S3726">
        <v>18.3410087720227</v>
      </c>
      <c r="T3726">
        <v>-3.96875109062035</v>
      </c>
      <c r="U3726">
        <v>-1.2408540343098899</v>
      </c>
      <c r="V3726">
        <v>9.0927254179820605E-4</v>
      </c>
      <c r="W3726">
        <v>8.4530794343195999E-3</v>
      </c>
      <c r="X3726">
        <v>0</v>
      </c>
      <c r="Y3726">
        <v>0</v>
      </c>
    </row>
    <row r="3727" spans="1:25" x14ac:dyDescent="0.2">
      <c r="A3727" t="s">
        <v>13685</v>
      </c>
      <c r="B3727" t="s">
        <v>13686</v>
      </c>
      <c r="C3727" t="s">
        <v>14751</v>
      </c>
      <c r="D3727" t="s">
        <v>13687</v>
      </c>
      <c r="E3727" t="s">
        <v>13686</v>
      </c>
      <c r="F3727" t="s">
        <v>28</v>
      </c>
      <c r="G3727" t="s">
        <v>13686</v>
      </c>
      <c r="H3727" t="str">
        <f>"F36A2.10"</f>
        <v>F36A2.10</v>
      </c>
      <c r="I3727" t="s">
        <v>13687</v>
      </c>
      <c r="J3727">
        <v>14.019031977844399</v>
      </c>
      <c r="K3727">
        <v>13.1520957459702</v>
      </c>
      <c r="L3727">
        <v>13.656864305510799</v>
      </c>
      <c r="M3727">
        <v>14.2507709852921</v>
      </c>
      <c r="N3727">
        <v>15.3673822335609</v>
      </c>
      <c r="O3727">
        <v>13.347542217582999</v>
      </c>
      <c r="P3727">
        <v>0.71256780237023198</v>
      </c>
      <c r="Q3727">
        <v>-0.51136888664450098</v>
      </c>
      <c r="R3727">
        <v>1.9365044913849701</v>
      </c>
      <c r="S3727">
        <v>12.5252575376145</v>
      </c>
      <c r="T3727">
        <v>1.24167760166862</v>
      </c>
      <c r="U3727">
        <v>-6.3784168716774401</v>
      </c>
      <c r="V3727">
        <v>0.23355311130421599</v>
      </c>
      <c r="W3727">
        <v>0.39854141228345402</v>
      </c>
      <c r="X3727">
        <v>0</v>
      </c>
      <c r="Y3727">
        <v>0</v>
      </c>
    </row>
    <row r="3728" spans="1:25" x14ac:dyDescent="0.2">
      <c r="A3728" t="s">
        <v>13688</v>
      </c>
      <c r="B3728" t="s">
        <v>13689</v>
      </c>
      <c r="C3728" t="s">
        <v>13690</v>
      </c>
      <c r="D3728" t="s">
        <v>13691</v>
      </c>
      <c r="E3728" t="s">
        <v>13689</v>
      </c>
      <c r="F3728" t="s">
        <v>28</v>
      </c>
      <c r="G3728" t="s">
        <v>13689</v>
      </c>
      <c r="H3728" t="str">
        <f>"timm-23"</f>
        <v>timm-23</v>
      </c>
      <c r="I3728" t="s">
        <v>13691</v>
      </c>
      <c r="J3728">
        <v>14.9698293808598</v>
      </c>
      <c r="K3728">
        <v>15.26901314467</v>
      </c>
      <c r="L3728">
        <v>15.334954909975799</v>
      </c>
      <c r="M3728" t="s">
        <v>29</v>
      </c>
      <c r="N3728">
        <v>14.847576849339401</v>
      </c>
      <c r="O3728">
        <v>15.1601877861044</v>
      </c>
      <c r="P3728">
        <v>-0.18738349411327901</v>
      </c>
      <c r="Q3728">
        <v>-0.70473769321298496</v>
      </c>
      <c r="R3728">
        <v>0.329970704986428</v>
      </c>
      <c r="S3728">
        <v>14.904789651501501</v>
      </c>
      <c r="T3728">
        <v>-0.76452795085756997</v>
      </c>
      <c r="U3728">
        <v>-6.7434628374195604</v>
      </c>
      <c r="V3728">
        <v>0.455099166299405</v>
      </c>
      <c r="W3728">
        <v>0.61890966455207597</v>
      </c>
      <c r="X3728">
        <v>0</v>
      </c>
      <c r="Y3728">
        <v>0</v>
      </c>
    </row>
    <row r="3729" spans="1:25" x14ac:dyDescent="0.2">
      <c r="A3729" t="s">
        <v>13692</v>
      </c>
      <c r="B3729" t="s">
        <v>13693</v>
      </c>
      <c r="C3729" t="s">
        <v>13694</v>
      </c>
      <c r="D3729" t="s">
        <v>13695</v>
      </c>
      <c r="E3729" t="s">
        <v>13693</v>
      </c>
      <c r="F3729" t="s">
        <v>28</v>
      </c>
      <c r="G3729" t="s">
        <v>13693</v>
      </c>
      <c r="H3729" t="str">
        <f>"elo-2"</f>
        <v>elo-2</v>
      </c>
      <c r="I3729" t="s">
        <v>13695</v>
      </c>
      <c r="J3729">
        <v>14.8653105893138</v>
      </c>
      <c r="K3729">
        <v>14.924739580877301</v>
      </c>
      <c r="L3729">
        <v>15.3005907359458</v>
      </c>
      <c r="M3729">
        <v>12.803964144891699</v>
      </c>
      <c r="N3729">
        <v>14.715912635212799</v>
      </c>
      <c r="O3729">
        <v>14.550785977190801</v>
      </c>
      <c r="P3729">
        <v>-1.0066593829471999</v>
      </c>
      <c r="Q3729">
        <v>-1.7719185048968999</v>
      </c>
      <c r="R3729">
        <v>-0.24140026099749901</v>
      </c>
      <c r="S3729">
        <v>15.2837218446448</v>
      </c>
      <c r="T3729">
        <v>-2.7648179725848099</v>
      </c>
      <c r="U3729">
        <v>-3.8199124866678602</v>
      </c>
      <c r="V3729">
        <v>1.28104250223655E-2</v>
      </c>
      <c r="W3729">
        <v>5.4164020862139499E-2</v>
      </c>
      <c r="X3729">
        <v>-1</v>
      </c>
      <c r="Y3729">
        <v>-1</v>
      </c>
    </row>
    <row r="3730" spans="1:25" x14ac:dyDescent="0.2">
      <c r="A3730" t="s">
        <v>13696</v>
      </c>
      <c r="B3730" t="s">
        <v>13697</v>
      </c>
      <c r="C3730" t="s">
        <v>13698</v>
      </c>
      <c r="D3730" t="s">
        <v>13699</v>
      </c>
      <c r="E3730" t="s">
        <v>13697</v>
      </c>
      <c r="F3730" t="s">
        <v>28</v>
      </c>
      <c r="G3730" t="s">
        <v>13697</v>
      </c>
      <c r="H3730" t="str">
        <f>"otub-1"</f>
        <v>otub-1</v>
      </c>
      <c r="I3730" t="s">
        <v>13699</v>
      </c>
      <c r="J3730" t="s">
        <v>29</v>
      </c>
      <c r="K3730" t="s">
        <v>29</v>
      </c>
      <c r="L3730">
        <v>10.647710390880899</v>
      </c>
      <c r="M3730" t="s">
        <v>29</v>
      </c>
      <c r="N3730" t="s">
        <v>29</v>
      </c>
      <c r="O3730" t="s">
        <v>29</v>
      </c>
      <c r="P3730" t="s">
        <v>29</v>
      </c>
      <c r="Q3730" t="s">
        <v>29</v>
      </c>
      <c r="R3730" t="s">
        <v>29</v>
      </c>
      <c r="S3730">
        <v>11.4406221071714</v>
      </c>
      <c r="T3730" t="s">
        <v>29</v>
      </c>
      <c r="U3730" t="s">
        <v>29</v>
      </c>
      <c r="V3730" t="s">
        <v>29</v>
      </c>
      <c r="W3730" t="s">
        <v>29</v>
      </c>
      <c r="X3730" t="s">
        <v>29</v>
      </c>
      <c r="Y3730" t="s">
        <v>29</v>
      </c>
    </row>
    <row r="3731" spans="1:25" x14ac:dyDescent="0.2">
      <c r="A3731" t="s">
        <v>13700</v>
      </c>
      <c r="B3731" t="s">
        <v>13701</v>
      </c>
      <c r="C3731" t="s">
        <v>13702</v>
      </c>
      <c r="D3731" t="s">
        <v>13703</v>
      </c>
      <c r="E3731" t="s">
        <v>13701</v>
      </c>
      <c r="F3731" t="s">
        <v>28</v>
      </c>
      <c r="G3731" t="s">
        <v>13701</v>
      </c>
      <c r="H3731" t="str">
        <f>"mcm-3"</f>
        <v>mcm-3</v>
      </c>
      <c r="I3731" t="s">
        <v>13703</v>
      </c>
      <c r="J3731">
        <v>15.160148247225999</v>
      </c>
      <c r="K3731">
        <v>14.9700315232037</v>
      </c>
      <c r="L3731">
        <v>15.2068713327503</v>
      </c>
      <c r="M3731" t="s">
        <v>29</v>
      </c>
      <c r="N3731">
        <v>14.689594595539001</v>
      </c>
      <c r="O3731">
        <v>15.086260298243101</v>
      </c>
      <c r="P3731">
        <v>-0.224422920835638</v>
      </c>
      <c r="Q3731">
        <v>-0.708436159240875</v>
      </c>
      <c r="R3731">
        <v>0.25959031756959899</v>
      </c>
      <c r="S3731">
        <v>15.0478704158754</v>
      </c>
      <c r="T3731">
        <v>-0.97872342549094304</v>
      </c>
      <c r="U3731">
        <v>-6.5558105655648102</v>
      </c>
      <c r="V3731">
        <v>0.34152425234288702</v>
      </c>
      <c r="W3731">
        <v>0.51193894794226202</v>
      </c>
      <c r="X3731">
        <v>0</v>
      </c>
      <c r="Y3731">
        <v>0</v>
      </c>
    </row>
    <row r="3732" spans="1:25" x14ac:dyDescent="0.2">
      <c r="A3732" t="s">
        <v>13704</v>
      </c>
      <c r="B3732" t="s">
        <v>13705</v>
      </c>
      <c r="C3732" t="s">
        <v>13706</v>
      </c>
      <c r="D3732" t="s">
        <v>13707</v>
      </c>
      <c r="E3732" t="s">
        <v>13705</v>
      </c>
      <c r="F3732" t="s">
        <v>28</v>
      </c>
      <c r="G3732" t="s">
        <v>13705</v>
      </c>
      <c r="H3732" t="str">
        <f>"nola-3"</f>
        <v>nola-3</v>
      </c>
      <c r="I3732" t="s">
        <v>13707</v>
      </c>
      <c r="J3732">
        <v>15.7804838628523</v>
      </c>
      <c r="K3732">
        <v>14.870432202585899</v>
      </c>
      <c r="L3732">
        <v>15.7343742758136</v>
      </c>
      <c r="M3732">
        <v>17.345261287740101</v>
      </c>
      <c r="N3732">
        <v>16.1594124302019</v>
      </c>
      <c r="O3732">
        <v>14.9659837514122</v>
      </c>
      <c r="P3732">
        <v>0.69512237603412996</v>
      </c>
      <c r="Q3732">
        <v>-0.25256257161384899</v>
      </c>
      <c r="R3732">
        <v>1.6428073236821099</v>
      </c>
      <c r="S3732">
        <v>14.7908831712435</v>
      </c>
      <c r="T3732">
        <v>1.54166424157969</v>
      </c>
      <c r="U3732">
        <v>-5.9856210099760396</v>
      </c>
      <c r="V3732">
        <v>0.14065296635763999</v>
      </c>
      <c r="W3732">
        <v>0.27912746926327597</v>
      </c>
      <c r="X3732">
        <v>0</v>
      </c>
      <c r="Y3732">
        <v>0</v>
      </c>
    </row>
    <row r="3733" spans="1:25" x14ac:dyDescent="0.2">
      <c r="A3733" t="s">
        <v>13708</v>
      </c>
      <c r="B3733" t="s">
        <v>13709</v>
      </c>
      <c r="C3733" t="s">
        <v>13710</v>
      </c>
      <c r="D3733" t="s">
        <v>13711</v>
      </c>
      <c r="E3733" t="s">
        <v>13709</v>
      </c>
      <c r="F3733" t="s">
        <v>28</v>
      </c>
      <c r="G3733" t="s">
        <v>13709</v>
      </c>
      <c r="H3733" t="str">
        <f>"tag-72"</f>
        <v>tag-72</v>
      </c>
      <c r="I3733" t="s">
        <v>13711</v>
      </c>
      <c r="J3733" t="s">
        <v>29</v>
      </c>
      <c r="K3733" t="s">
        <v>29</v>
      </c>
      <c r="L3733" t="s">
        <v>29</v>
      </c>
      <c r="M3733" t="s">
        <v>29</v>
      </c>
      <c r="N3733" t="s">
        <v>29</v>
      </c>
      <c r="O3733">
        <v>11.272709110229901</v>
      </c>
      <c r="P3733" t="s">
        <v>29</v>
      </c>
      <c r="Q3733" t="s">
        <v>29</v>
      </c>
      <c r="R3733" t="s">
        <v>29</v>
      </c>
      <c r="S3733">
        <v>10.1459124747942</v>
      </c>
      <c r="T3733" t="s">
        <v>29</v>
      </c>
      <c r="U3733" t="s">
        <v>29</v>
      </c>
      <c r="V3733" t="s">
        <v>29</v>
      </c>
      <c r="W3733" t="s">
        <v>29</v>
      </c>
      <c r="X3733" t="s">
        <v>29</v>
      </c>
      <c r="Y3733" t="s">
        <v>29</v>
      </c>
    </row>
    <row r="3734" spans="1:25" x14ac:dyDescent="0.2">
      <c r="A3734" t="s">
        <v>13712</v>
      </c>
      <c r="B3734" t="s">
        <v>13713</v>
      </c>
      <c r="C3734" t="s">
        <v>13714</v>
      </c>
      <c r="D3734" t="s">
        <v>93</v>
      </c>
      <c r="E3734" t="s">
        <v>13713</v>
      </c>
      <c r="F3734" t="s">
        <v>28</v>
      </c>
      <c r="G3734" t="s">
        <v>13713</v>
      </c>
      <c r="H3734" t="str">
        <f>"sup-46"</f>
        <v>sup-46</v>
      </c>
      <c r="I3734" t="s">
        <v>93</v>
      </c>
      <c r="J3734">
        <v>16.243117519604599</v>
      </c>
      <c r="K3734">
        <v>16.623797956093799</v>
      </c>
      <c r="L3734">
        <v>16.768189577494599</v>
      </c>
      <c r="M3734">
        <v>15.8092537637657</v>
      </c>
      <c r="N3734">
        <v>16.619032637280998</v>
      </c>
      <c r="O3734">
        <v>16.402835607720402</v>
      </c>
      <c r="P3734">
        <v>-0.26799434814200801</v>
      </c>
      <c r="Q3734">
        <v>-0.79649836964522802</v>
      </c>
      <c r="R3734">
        <v>0.260509673361213</v>
      </c>
      <c r="S3734">
        <v>16.9648679716251</v>
      </c>
      <c r="T3734">
        <v>-1.06578560936551</v>
      </c>
      <c r="U3734">
        <v>-6.5784532619142002</v>
      </c>
      <c r="V3734">
        <v>0.300689826038536</v>
      </c>
      <c r="W3734">
        <v>0.46959879032091401</v>
      </c>
      <c r="X3734">
        <v>0</v>
      </c>
      <c r="Y3734">
        <v>0</v>
      </c>
    </row>
    <row r="3735" spans="1:25" x14ac:dyDescent="0.2">
      <c r="A3735" t="s">
        <v>13715</v>
      </c>
      <c r="B3735" t="s">
        <v>13716</v>
      </c>
      <c r="C3735" t="s">
        <v>13717</v>
      </c>
      <c r="D3735" t="s">
        <v>13718</v>
      </c>
      <c r="E3735" t="s">
        <v>13716</v>
      </c>
      <c r="F3735" t="s">
        <v>28</v>
      </c>
      <c r="G3735" t="s">
        <v>13716</v>
      </c>
      <c r="H3735" t="str">
        <f>"clec-87"</f>
        <v>clec-87</v>
      </c>
      <c r="I3735" t="s">
        <v>13718</v>
      </c>
      <c r="J3735" t="s">
        <v>29</v>
      </c>
      <c r="K3735" t="s">
        <v>29</v>
      </c>
      <c r="L3735" t="s">
        <v>29</v>
      </c>
      <c r="M3735" t="s">
        <v>29</v>
      </c>
      <c r="N3735" t="s">
        <v>29</v>
      </c>
      <c r="O3735" t="s">
        <v>29</v>
      </c>
      <c r="P3735" t="s">
        <v>29</v>
      </c>
      <c r="Q3735" t="s">
        <v>29</v>
      </c>
      <c r="R3735" t="s">
        <v>29</v>
      </c>
      <c r="S3735">
        <v>12.1699613490151</v>
      </c>
      <c r="T3735" t="s">
        <v>29</v>
      </c>
      <c r="U3735" t="s">
        <v>29</v>
      </c>
      <c r="V3735" t="s">
        <v>29</v>
      </c>
      <c r="W3735" t="s">
        <v>29</v>
      </c>
      <c r="X3735" t="s">
        <v>29</v>
      </c>
      <c r="Y3735" t="s">
        <v>29</v>
      </c>
    </row>
    <row r="3736" spans="1:25" x14ac:dyDescent="0.2">
      <c r="A3736" t="s">
        <v>13719</v>
      </c>
      <c r="B3736" t="s">
        <v>13720</v>
      </c>
      <c r="C3736" t="s">
        <v>13721</v>
      </c>
      <c r="D3736" t="s">
        <v>13722</v>
      </c>
      <c r="E3736" t="s">
        <v>13720</v>
      </c>
      <c r="F3736" t="s">
        <v>28</v>
      </c>
      <c r="G3736" t="s">
        <v>13720</v>
      </c>
      <c r="H3736" t="str">
        <f>"nxf-1"</f>
        <v>nxf-1</v>
      </c>
      <c r="I3736" t="s">
        <v>13722</v>
      </c>
      <c r="J3736">
        <v>15.3396499957376</v>
      </c>
      <c r="K3736">
        <v>15.099006577949</v>
      </c>
      <c r="L3736">
        <v>14.984451277522499</v>
      </c>
      <c r="M3736">
        <v>14.924488069590801</v>
      </c>
      <c r="N3736">
        <v>15.209821348922199</v>
      </c>
      <c r="O3736">
        <v>14.9230513544596</v>
      </c>
      <c r="P3736">
        <v>-0.121915692745503</v>
      </c>
      <c r="Q3736">
        <v>-0.51023976564950202</v>
      </c>
      <c r="R3736">
        <v>0.26640838015849599</v>
      </c>
      <c r="S3736">
        <v>15.0548864626293</v>
      </c>
      <c r="T3736">
        <v>-0.65986912718172297</v>
      </c>
      <c r="U3736">
        <v>-6.9305449439462103</v>
      </c>
      <c r="V3736">
        <v>0.51774139315734102</v>
      </c>
      <c r="W3736">
        <v>0.67037956310838398</v>
      </c>
      <c r="X3736">
        <v>0</v>
      </c>
      <c r="Y3736">
        <v>0</v>
      </c>
    </row>
    <row r="3737" spans="1:25" x14ac:dyDescent="0.2">
      <c r="A3737" t="s">
        <v>13723</v>
      </c>
      <c r="B3737" t="s">
        <v>13724</v>
      </c>
      <c r="C3737" t="s">
        <v>13725</v>
      </c>
      <c r="D3737" t="s">
        <v>368</v>
      </c>
      <c r="E3737" t="s">
        <v>13724</v>
      </c>
      <c r="F3737" t="s">
        <v>28</v>
      </c>
      <c r="G3737" t="s">
        <v>13724</v>
      </c>
      <c r="H3737" t="str">
        <f>"C15C6.1"</f>
        <v>C15C6.1</v>
      </c>
      <c r="I3737" t="s">
        <v>368</v>
      </c>
      <c r="J3737" t="s">
        <v>29</v>
      </c>
      <c r="K3737" t="s">
        <v>29</v>
      </c>
      <c r="L3737" t="s">
        <v>29</v>
      </c>
      <c r="M3737" t="s">
        <v>29</v>
      </c>
      <c r="N3737" t="s">
        <v>29</v>
      </c>
      <c r="O3737">
        <v>14.5170189304777</v>
      </c>
      <c r="P3737" t="s">
        <v>29</v>
      </c>
      <c r="Q3737" t="s">
        <v>29</v>
      </c>
      <c r="R3737" t="s">
        <v>29</v>
      </c>
      <c r="S3737">
        <v>12.664752254868301</v>
      </c>
      <c r="T3737" t="s">
        <v>29</v>
      </c>
      <c r="U3737" t="s">
        <v>29</v>
      </c>
      <c r="V3737" t="s">
        <v>29</v>
      </c>
      <c r="W3737" t="s">
        <v>29</v>
      </c>
      <c r="X3737" t="s">
        <v>29</v>
      </c>
      <c r="Y3737" t="s">
        <v>29</v>
      </c>
    </row>
    <row r="3738" spans="1:25" x14ac:dyDescent="0.2">
      <c r="A3738" t="s">
        <v>13726</v>
      </c>
      <c r="B3738" t="s">
        <v>13727</v>
      </c>
      <c r="C3738" t="s">
        <v>13728</v>
      </c>
      <c r="D3738" t="s">
        <v>13729</v>
      </c>
      <c r="E3738" t="s">
        <v>13727</v>
      </c>
      <c r="F3738" t="s">
        <v>28</v>
      </c>
      <c r="G3738" t="s">
        <v>13727</v>
      </c>
      <c r="H3738" t="str">
        <f>"atgp-1"</f>
        <v>atgp-1</v>
      </c>
      <c r="I3738" t="s">
        <v>13729</v>
      </c>
      <c r="J3738">
        <v>12.2440356262079</v>
      </c>
      <c r="K3738">
        <v>12.7043581344447</v>
      </c>
      <c r="L3738">
        <v>12.194385022264299</v>
      </c>
      <c r="M3738" t="s">
        <v>29</v>
      </c>
      <c r="N3738">
        <v>13.9509898159485</v>
      </c>
      <c r="O3738">
        <v>13.4455955653623</v>
      </c>
      <c r="P3738">
        <v>1.31736642968312</v>
      </c>
      <c r="Q3738">
        <v>0.35032448408232503</v>
      </c>
      <c r="R3738">
        <v>2.2844083752839199</v>
      </c>
      <c r="S3738">
        <v>12.572401534165801</v>
      </c>
      <c r="T3738">
        <v>2.9454287697273398</v>
      </c>
      <c r="U3738">
        <v>-3.5057526593907702</v>
      </c>
      <c r="V3738">
        <v>1.1455692707253299E-2</v>
      </c>
      <c r="W3738">
        <v>4.9793401782116997E-2</v>
      </c>
      <c r="X3738">
        <v>1</v>
      </c>
      <c r="Y3738">
        <v>1</v>
      </c>
    </row>
    <row r="3739" spans="1:25" x14ac:dyDescent="0.2">
      <c r="A3739" t="s">
        <v>13730</v>
      </c>
      <c r="B3739" t="s">
        <v>13731</v>
      </c>
      <c r="C3739" t="s">
        <v>14752</v>
      </c>
      <c r="D3739" t="s">
        <v>13732</v>
      </c>
      <c r="E3739" t="s">
        <v>13731</v>
      </c>
      <c r="F3739" t="s">
        <v>28</v>
      </c>
      <c r="G3739" t="s">
        <v>13731</v>
      </c>
      <c r="H3739" t="str">
        <f>"R03G8.6"</f>
        <v>R03G8.6</v>
      </c>
      <c r="I3739" t="s">
        <v>13732</v>
      </c>
      <c r="J3739" t="s">
        <v>29</v>
      </c>
      <c r="K3739">
        <v>13.086535183863999</v>
      </c>
      <c r="L3739">
        <v>13.146355747115701</v>
      </c>
      <c r="M3739">
        <v>13.9887363830806</v>
      </c>
      <c r="N3739">
        <v>13.6520157484109</v>
      </c>
      <c r="O3739">
        <v>13.724129772466799</v>
      </c>
      <c r="P3739">
        <v>0.67184850249623695</v>
      </c>
      <c r="Q3739">
        <v>7.9757474002993003E-2</v>
      </c>
      <c r="R3739">
        <v>1.2639395309894801</v>
      </c>
      <c r="S3739">
        <v>13.063551987394</v>
      </c>
      <c r="T3739">
        <v>2.4747303549605499</v>
      </c>
      <c r="U3739">
        <v>-4.3923220336356099</v>
      </c>
      <c r="V3739">
        <v>2.9395406854900299E-2</v>
      </c>
      <c r="W3739">
        <v>9.56206521105816E-2</v>
      </c>
      <c r="X3739">
        <v>0</v>
      </c>
      <c r="Y3739">
        <v>0</v>
      </c>
    </row>
    <row r="3740" spans="1:25" x14ac:dyDescent="0.2">
      <c r="A3740" t="s">
        <v>13733</v>
      </c>
      <c r="B3740" t="s">
        <v>13734</v>
      </c>
      <c r="C3740" t="s">
        <v>13735</v>
      </c>
      <c r="D3740" t="s">
        <v>13736</v>
      </c>
      <c r="E3740" t="s">
        <v>13734</v>
      </c>
      <c r="F3740" t="s">
        <v>28</v>
      </c>
      <c r="G3740" t="s">
        <v>13734</v>
      </c>
      <c r="H3740" t="str">
        <f>"rhy-1"</f>
        <v>rhy-1</v>
      </c>
      <c r="I3740" t="s">
        <v>13736</v>
      </c>
      <c r="J3740" t="s">
        <v>29</v>
      </c>
      <c r="K3740" t="s">
        <v>29</v>
      </c>
      <c r="L3740" t="s">
        <v>29</v>
      </c>
      <c r="M3740" t="s">
        <v>29</v>
      </c>
      <c r="N3740" t="s">
        <v>29</v>
      </c>
      <c r="O3740" t="s">
        <v>29</v>
      </c>
      <c r="P3740" t="s">
        <v>29</v>
      </c>
      <c r="Q3740" t="s">
        <v>29</v>
      </c>
      <c r="R3740" t="s">
        <v>29</v>
      </c>
      <c r="S3740">
        <v>11.231899292309301</v>
      </c>
      <c r="T3740" t="s">
        <v>29</v>
      </c>
      <c r="U3740" t="s">
        <v>29</v>
      </c>
      <c r="V3740" t="s">
        <v>29</v>
      </c>
      <c r="W3740" t="s">
        <v>29</v>
      </c>
      <c r="X3740" t="s">
        <v>29</v>
      </c>
      <c r="Y3740" t="s">
        <v>29</v>
      </c>
    </row>
    <row r="3741" spans="1:25" x14ac:dyDescent="0.2">
      <c r="A3741" t="s">
        <v>13737</v>
      </c>
      <c r="B3741" t="s">
        <v>13738</v>
      </c>
      <c r="C3741" t="s">
        <v>14753</v>
      </c>
      <c r="D3741" t="s">
        <v>2217</v>
      </c>
      <c r="E3741" t="s">
        <v>13738</v>
      </c>
      <c r="F3741" t="s">
        <v>28</v>
      </c>
      <c r="G3741" t="s">
        <v>13738</v>
      </c>
      <c r="H3741" t="str">
        <f>"F54D5.15"</f>
        <v>F54D5.15</v>
      </c>
      <c r="I3741" t="s">
        <v>2217</v>
      </c>
      <c r="J3741">
        <v>11.0194305708256</v>
      </c>
      <c r="K3741">
        <v>12.284647672807299</v>
      </c>
      <c r="L3741" t="s">
        <v>29</v>
      </c>
      <c r="M3741" t="s">
        <v>29</v>
      </c>
      <c r="N3741" t="s">
        <v>29</v>
      </c>
      <c r="O3741" t="s">
        <v>29</v>
      </c>
      <c r="P3741" t="s">
        <v>29</v>
      </c>
      <c r="Q3741" t="s">
        <v>29</v>
      </c>
      <c r="R3741" t="s">
        <v>29</v>
      </c>
      <c r="S3741">
        <v>11.6896021697496</v>
      </c>
      <c r="T3741" t="s">
        <v>29</v>
      </c>
      <c r="U3741" t="s">
        <v>29</v>
      </c>
      <c r="V3741" t="s">
        <v>29</v>
      </c>
      <c r="W3741" t="s">
        <v>29</v>
      </c>
      <c r="X3741" t="s">
        <v>29</v>
      </c>
      <c r="Y3741" t="s">
        <v>29</v>
      </c>
    </row>
    <row r="3742" spans="1:25" x14ac:dyDescent="0.2">
      <c r="A3742" t="s">
        <v>13739</v>
      </c>
      <c r="B3742" t="s">
        <v>13740</v>
      </c>
      <c r="C3742" t="s">
        <v>14754</v>
      </c>
      <c r="D3742" t="s">
        <v>368</v>
      </c>
      <c r="E3742" t="s">
        <v>13740</v>
      </c>
      <c r="F3742" t="s">
        <v>28</v>
      </c>
      <c r="G3742" t="s">
        <v>13740</v>
      </c>
      <c r="H3742" t="str">
        <f>"Y7A5A.2"</f>
        <v>Y7A5A.2</v>
      </c>
      <c r="I3742" t="s">
        <v>368</v>
      </c>
      <c r="J3742">
        <v>11.013516423499199</v>
      </c>
      <c r="K3742">
        <v>10.8445900719113</v>
      </c>
      <c r="L3742">
        <v>11.348880841367199</v>
      </c>
      <c r="M3742" t="s">
        <v>29</v>
      </c>
      <c r="N3742" t="s">
        <v>29</v>
      </c>
      <c r="O3742" t="s">
        <v>29</v>
      </c>
      <c r="P3742" t="s">
        <v>29</v>
      </c>
      <c r="Q3742" t="s">
        <v>29</v>
      </c>
      <c r="R3742" t="s">
        <v>29</v>
      </c>
      <c r="S3742">
        <v>11.4239007347515</v>
      </c>
      <c r="T3742" t="s">
        <v>29</v>
      </c>
      <c r="U3742" t="s">
        <v>29</v>
      </c>
      <c r="V3742" t="s">
        <v>29</v>
      </c>
      <c r="W3742" t="s">
        <v>29</v>
      </c>
      <c r="X3742" t="s">
        <v>29</v>
      </c>
      <c r="Y3742" t="s">
        <v>29</v>
      </c>
    </row>
    <row r="3743" spans="1:25" x14ac:dyDescent="0.2">
      <c r="A3743" t="s">
        <v>13741</v>
      </c>
      <c r="B3743" t="s">
        <v>13742</v>
      </c>
      <c r="C3743" t="s">
        <v>14755</v>
      </c>
      <c r="D3743" t="s">
        <v>13743</v>
      </c>
      <c r="E3743" t="s">
        <v>13742</v>
      </c>
      <c r="F3743" t="s">
        <v>28</v>
      </c>
      <c r="G3743" t="s">
        <v>13742</v>
      </c>
      <c r="H3743" t="str">
        <f>"Y7A5A.1"</f>
        <v>Y7A5A.1</v>
      </c>
      <c r="I3743" t="s">
        <v>13743</v>
      </c>
      <c r="J3743">
        <v>14.7827082787264</v>
      </c>
      <c r="K3743">
        <v>14.812641033872399</v>
      </c>
      <c r="L3743">
        <v>14.913219476528299</v>
      </c>
      <c r="M3743">
        <v>14.224150695537499</v>
      </c>
      <c r="N3743">
        <v>14.3374380868758</v>
      </c>
      <c r="O3743">
        <v>14.6185937341755</v>
      </c>
      <c r="P3743">
        <v>-0.44279542417944401</v>
      </c>
      <c r="Q3743">
        <v>-0.81757367310634099</v>
      </c>
      <c r="R3743">
        <v>-6.8017175252547205E-2</v>
      </c>
      <c r="S3743">
        <v>14.615079370638499</v>
      </c>
      <c r="T3743">
        <v>-2.4832546632025299</v>
      </c>
      <c r="U3743">
        <v>-4.3783432725522102</v>
      </c>
      <c r="V3743">
        <v>2.31618909598671E-2</v>
      </c>
      <c r="W3743">
        <v>8.0874517368161397E-2</v>
      </c>
      <c r="X3743">
        <v>0</v>
      </c>
      <c r="Y3743">
        <v>0</v>
      </c>
    </row>
    <row r="3744" spans="1:25" x14ac:dyDescent="0.2">
      <c r="A3744" t="s">
        <v>13744</v>
      </c>
      <c r="B3744" t="s">
        <v>13745</v>
      </c>
      <c r="C3744" t="s">
        <v>14756</v>
      </c>
      <c r="D3744" t="s">
        <v>2791</v>
      </c>
      <c r="E3744" t="s">
        <v>13745</v>
      </c>
      <c r="F3744" t="s">
        <v>28</v>
      </c>
      <c r="G3744" t="s">
        <v>13745</v>
      </c>
      <c r="H3744" t="str">
        <f>"Y54G11A.3"</f>
        <v>Y54G11A.3</v>
      </c>
      <c r="I3744" t="s">
        <v>2791</v>
      </c>
      <c r="J3744">
        <v>13.8301615551101</v>
      </c>
      <c r="K3744">
        <v>13.528200504125399</v>
      </c>
      <c r="L3744">
        <v>13.812832396110601</v>
      </c>
      <c r="M3744" t="s">
        <v>29</v>
      </c>
      <c r="N3744">
        <v>12.6299707845925</v>
      </c>
      <c r="O3744">
        <v>14.544628742359</v>
      </c>
      <c r="P3744">
        <v>-0.13643172163963299</v>
      </c>
      <c r="Q3744">
        <v>-1.14668677387547</v>
      </c>
      <c r="R3744">
        <v>0.87382333059620698</v>
      </c>
      <c r="S3744">
        <v>14.646330731256</v>
      </c>
      <c r="T3744">
        <v>-0.28644012749543202</v>
      </c>
      <c r="U3744">
        <v>-7.0023067248453001</v>
      </c>
      <c r="V3744">
        <v>0.778240880484668</v>
      </c>
      <c r="W3744">
        <v>0.85962364122500601</v>
      </c>
      <c r="X3744">
        <v>0</v>
      </c>
      <c r="Y3744">
        <v>0</v>
      </c>
    </row>
    <row r="3745" spans="1:25" x14ac:dyDescent="0.2">
      <c r="A3745" t="s">
        <v>13746</v>
      </c>
      <c r="B3745" t="s">
        <v>13747</v>
      </c>
      <c r="C3745" t="s">
        <v>14757</v>
      </c>
      <c r="D3745" t="s">
        <v>13748</v>
      </c>
      <c r="E3745" t="s">
        <v>13747</v>
      </c>
      <c r="F3745" t="s">
        <v>28</v>
      </c>
      <c r="G3745" t="s">
        <v>13747</v>
      </c>
      <c r="H3745" t="str">
        <f>"Y54G11A.7"</f>
        <v>Y54G11A.7</v>
      </c>
      <c r="I3745" t="s">
        <v>13748</v>
      </c>
      <c r="J3745">
        <v>12.738324728742899</v>
      </c>
      <c r="K3745">
        <v>13.070172980820001</v>
      </c>
      <c r="L3745">
        <v>12.9948251530639</v>
      </c>
      <c r="M3745" t="s">
        <v>29</v>
      </c>
      <c r="N3745">
        <v>12.0529524193361</v>
      </c>
      <c r="O3745">
        <v>13.0412928854836</v>
      </c>
      <c r="P3745">
        <v>-0.387318301799148</v>
      </c>
      <c r="Q3745">
        <v>-0.93970342054164702</v>
      </c>
      <c r="R3745">
        <v>0.16506681694335101</v>
      </c>
      <c r="S3745">
        <v>13.087809616362099</v>
      </c>
      <c r="T3745">
        <v>-1.48004889153563</v>
      </c>
      <c r="U3745">
        <v>-5.9632823654734297</v>
      </c>
      <c r="V3745">
        <v>0.15726619397800701</v>
      </c>
      <c r="W3745">
        <v>0.30448988110346897</v>
      </c>
      <c r="X3745">
        <v>0</v>
      </c>
      <c r="Y3745">
        <v>0</v>
      </c>
    </row>
    <row r="3746" spans="1:25" x14ac:dyDescent="0.2">
      <c r="A3746" t="s">
        <v>13749</v>
      </c>
      <c r="B3746" t="s">
        <v>13750</v>
      </c>
      <c r="C3746" t="s">
        <v>13751</v>
      </c>
      <c r="D3746" t="s">
        <v>13752</v>
      </c>
      <c r="E3746" t="s">
        <v>13750</v>
      </c>
      <c r="F3746" t="s">
        <v>28</v>
      </c>
      <c r="G3746" t="s">
        <v>13750</v>
      </c>
      <c r="H3746" t="str">
        <f>"pad-1"</f>
        <v>pad-1</v>
      </c>
      <c r="I3746" t="s">
        <v>13752</v>
      </c>
      <c r="J3746">
        <v>12.479195262770199</v>
      </c>
      <c r="K3746">
        <v>13.0411825893613</v>
      </c>
      <c r="L3746">
        <v>12.5447355014465</v>
      </c>
      <c r="M3746" t="s">
        <v>29</v>
      </c>
      <c r="N3746">
        <v>12.656569681742299</v>
      </c>
      <c r="O3746">
        <v>13.457819399213401</v>
      </c>
      <c r="P3746">
        <v>0.36882342261850598</v>
      </c>
      <c r="Q3746">
        <v>-0.20325446073303899</v>
      </c>
      <c r="R3746">
        <v>0.94090130597005195</v>
      </c>
      <c r="S3746">
        <v>13.049611561647399</v>
      </c>
      <c r="T3746">
        <v>1.36745443888623</v>
      </c>
      <c r="U3746">
        <v>-6.1133207990435601</v>
      </c>
      <c r="V3746">
        <v>0.19050922896448499</v>
      </c>
      <c r="W3746">
        <v>0.34779890078609199</v>
      </c>
      <c r="X3746">
        <v>0</v>
      </c>
      <c r="Y3746">
        <v>0</v>
      </c>
    </row>
    <row r="3747" spans="1:25" x14ac:dyDescent="0.2">
      <c r="A3747" t="s">
        <v>13753</v>
      </c>
      <c r="B3747" t="s">
        <v>13754</v>
      </c>
      <c r="C3747" t="s">
        <v>13755</v>
      </c>
      <c r="D3747" t="s">
        <v>13756</v>
      </c>
      <c r="E3747" t="s">
        <v>13754</v>
      </c>
      <c r="F3747" t="s">
        <v>28</v>
      </c>
      <c r="G3747" t="s">
        <v>13754</v>
      </c>
      <c r="H3747" t="str">
        <f>"pfn-1"</f>
        <v>pfn-1</v>
      </c>
      <c r="I3747" t="s">
        <v>13756</v>
      </c>
      <c r="J3747">
        <v>17.277265046392401</v>
      </c>
      <c r="K3747">
        <v>17.154517972849298</v>
      </c>
      <c r="L3747">
        <v>17.347108151526498</v>
      </c>
      <c r="M3747">
        <v>17.293765503580001</v>
      </c>
      <c r="N3747">
        <v>17.619876213296902</v>
      </c>
      <c r="O3747">
        <v>17.857986307328702</v>
      </c>
      <c r="P3747">
        <v>0.33091228447911197</v>
      </c>
      <c r="Q3747">
        <v>-0.14200338016846401</v>
      </c>
      <c r="R3747">
        <v>0.80382794912668798</v>
      </c>
      <c r="S3747">
        <v>17.273242285235099</v>
      </c>
      <c r="T3747">
        <v>1.47069190955378</v>
      </c>
      <c r="U3747">
        <v>-6.0851149463349303</v>
      </c>
      <c r="V3747">
        <v>0.15873977237165399</v>
      </c>
      <c r="W3747">
        <v>0.30615583061470197</v>
      </c>
      <c r="X3747">
        <v>0</v>
      </c>
      <c r="Y3747">
        <v>0</v>
      </c>
    </row>
    <row r="3748" spans="1:25" x14ac:dyDescent="0.2">
      <c r="A3748" t="s">
        <v>13757</v>
      </c>
      <c r="B3748" t="s">
        <v>13758</v>
      </c>
      <c r="C3748" t="s">
        <v>13759</v>
      </c>
      <c r="D3748" t="s">
        <v>13760</v>
      </c>
      <c r="E3748" t="s">
        <v>13758</v>
      </c>
      <c r="F3748" t="s">
        <v>28</v>
      </c>
      <c r="G3748" t="s">
        <v>13758</v>
      </c>
      <c r="H3748" t="str">
        <f>"car-1"</f>
        <v>car-1</v>
      </c>
      <c r="I3748" t="s">
        <v>13760</v>
      </c>
      <c r="J3748">
        <v>18.3153055556187</v>
      </c>
      <c r="K3748">
        <v>18.290149165197501</v>
      </c>
      <c r="L3748">
        <v>19.09759094612</v>
      </c>
      <c r="M3748">
        <v>18.462221175573699</v>
      </c>
      <c r="N3748">
        <v>18.681775799832199</v>
      </c>
      <c r="O3748">
        <v>18.0018567636704</v>
      </c>
      <c r="P3748">
        <v>-0.18573064261997599</v>
      </c>
      <c r="Q3748">
        <v>-0.72186402942195704</v>
      </c>
      <c r="R3748">
        <v>0.35040274418200401</v>
      </c>
      <c r="S3748">
        <v>18.952917740402199</v>
      </c>
      <c r="T3748">
        <v>-0.728120437726271</v>
      </c>
      <c r="U3748">
        <v>-6.8821438880878398</v>
      </c>
      <c r="V3748">
        <v>0.475960377740834</v>
      </c>
      <c r="W3748">
        <v>0.63670233009634103</v>
      </c>
      <c r="X3748">
        <v>0</v>
      </c>
      <c r="Y3748">
        <v>0</v>
      </c>
    </row>
    <row r="3749" spans="1:25" x14ac:dyDescent="0.2">
      <c r="A3749" t="s">
        <v>13761</v>
      </c>
      <c r="B3749" t="s">
        <v>13762</v>
      </c>
      <c r="C3749" t="s">
        <v>13763</v>
      </c>
      <c r="D3749" t="s">
        <v>13764</v>
      </c>
      <c r="E3749" t="s">
        <v>13762</v>
      </c>
      <c r="F3749" t="s">
        <v>28</v>
      </c>
      <c r="G3749" t="s">
        <v>13762</v>
      </c>
      <c r="H3749" t="str">
        <f>"attf-6"</f>
        <v>attf-6</v>
      </c>
      <c r="I3749" t="s">
        <v>13764</v>
      </c>
      <c r="J3749">
        <v>10.0150990111064</v>
      </c>
      <c r="K3749" t="s">
        <v>29</v>
      </c>
      <c r="L3749">
        <v>10.7990609048218</v>
      </c>
      <c r="M3749" t="s">
        <v>29</v>
      </c>
      <c r="N3749" t="s">
        <v>29</v>
      </c>
      <c r="O3749" t="s">
        <v>29</v>
      </c>
      <c r="P3749" t="s">
        <v>29</v>
      </c>
      <c r="Q3749" t="s">
        <v>29</v>
      </c>
      <c r="R3749" t="s">
        <v>29</v>
      </c>
      <c r="S3749">
        <v>10.9631376200029</v>
      </c>
      <c r="T3749" t="s">
        <v>29</v>
      </c>
      <c r="U3749" t="s">
        <v>29</v>
      </c>
      <c r="V3749" t="s">
        <v>29</v>
      </c>
      <c r="W3749" t="s">
        <v>29</v>
      </c>
      <c r="X3749" t="s">
        <v>29</v>
      </c>
      <c r="Y3749" t="s">
        <v>29</v>
      </c>
    </row>
    <row r="3750" spans="1:25" x14ac:dyDescent="0.2">
      <c r="A3750" t="s">
        <v>13765</v>
      </c>
      <c r="B3750" t="s">
        <v>13766</v>
      </c>
      <c r="C3750" t="s">
        <v>13767</v>
      </c>
      <c r="D3750" t="s">
        <v>13768</v>
      </c>
      <c r="E3750" t="s">
        <v>13766</v>
      </c>
      <c r="F3750" t="s">
        <v>28</v>
      </c>
      <c r="G3750" t="s">
        <v>13766</v>
      </c>
      <c r="H3750" t="str">
        <f>"tmem-189"</f>
        <v>tmem-189</v>
      </c>
      <c r="I3750" t="s">
        <v>13768</v>
      </c>
      <c r="J3750">
        <v>11.9836960521975</v>
      </c>
      <c r="K3750">
        <v>11.887675633427</v>
      </c>
      <c r="L3750">
        <v>12.3421149406285</v>
      </c>
      <c r="M3750" t="s">
        <v>29</v>
      </c>
      <c r="N3750" t="s">
        <v>29</v>
      </c>
      <c r="O3750">
        <v>12.139353579750599</v>
      </c>
      <c r="P3750">
        <v>6.8191370999558701E-2</v>
      </c>
      <c r="Q3750">
        <v>-0.74187737946687604</v>
      </c>
      <c r="R3750">
        <v>0.87826012146599297</v>
      </c>
      <c r="S3750">
        <v>12.8112180418464</v>
      </c>
      <c r="T3750">
        <v>0.178548856415918</v>
      </c>
      <c r="U3750">
        <v>-6.7959757275528698</v>
      </c>
      <c r="V3750">
        <v>0.86054783293069903</v>
      </c>
      <c r="W3750">
        <v>0.91289937496284002</v>
      </c>
      <c r="X3750">
        <v>0</v>
      </c>
      <c r="Y3750">
        <v>0</v>
      </c>
    </row>
    <row r="3751" spans="1:25" x14ac:dyDescent="0.2">
      <c r="A3751" t="s">
        <v>13769</v>
      </c>
      <c r="B3751" t="s">
        <v>13770</v>
      </c>
      <c r="C3751" t="s">
        <v>14758</v>
      </c>
      <c r="D3751" t="s">
        <v>13771</v>
      </c>
      <c r="E3751" t="s">
        <v>13770</v>
      </c>
      <c r="F3751" t="s">
        <v>28</v>
      </c>
      <c r="G3751" t="s">
        <v>13770</v>
      </c>
      <c r="H3751" t="str">
        <f>"Y75B8A.7"</f>
        <v>Y75B8A.7</v>
      </c>
      <c r="I3751" t="s">
        <v>13771</v>
      </c>
      <c r="J3751" t="s">
        <v>29</v>
      </c>
      <c r="K3751" t="s">
        <v>29</v>
      </c>
      <c r="L3751">
        <v>10.5525894072093</v>
      </c>
      <c r="M3751" t="s">
        <v>29</v>
      </c>
      <c r="N3751" t="s">
        <v>29</v>
      </c>
      <c r="O3751" t="s">
        <v>29</v>
      </c>
      <c r="P3751" t="s">
        <v>29</v>
      </c>
      <c r="Q3751" t="s">
        <v>29</v>
      </c>
      <c r="R3751" t="s">
        <v>29</v>
      </c>
      <c r="S3751">
        <v>12.342037893971</v>
      </c>
      <c r="T3751" t="s">
        <v>29</v>
      </c>
      <c r="U3751" t="s">
        <v>29</v>
      </c>
      <c r="V3751" t="s">
        <v>29</v>
      </c>
      <c r="W3751" t="s">
        <v>29</v>
      </c>
      <c r="X3751" t="s">
        <v>29</v>
      </c>
      <c r="Y3751" t="s">
        <v>29</v>
      </c>
    </row>
    <row r="3752" spans="1:25" x14ac:dyDescent="0.2">
      <c r="A3752" t="s">
        <v>13772</v>
      </c>
      <c r="B3752" t="s">
        <v>13773</v>
      </c>
      <c r="C3752" t="s">
        <v>14759</v>
      </c>
      <c r="D3752" t="s">
        <v>9542</v>
      </c>
      <c r="E3752" t="s">
        <v>13773</v>
      </c>
      <c r="F3752" t="s">
        <v>28</v>
      </c>
      <c r="G3752" t="s">
        <v>13773</v>
      </c>
      <c r="H3752" t="str">
        <f>"Y75B8A.25"</f>
        <v>Y75B8A.25</v>
      </c>
      <c r="I3752" t="s">
        <v>9542</v>
      </c>
      <c r="J3752">
        <v>12.3266836507392</v>
      </c>
      <c r="K3752">
        <v>12.636253828094301</v>
      </c>
      <c r="L3752">
        <v>12.1620745294129</v>
      </c>
      <c r="M3752" t="s">
        <v>29</v>
      </c>
      <c r="N3752" t="s">
        <v>29</v>
      </c>
      <c r="O3752" t="s">
        <v>29</v>
      </c>
      <c r="P3752" t="s">
        <v>29</v>
      </c>
      <c r="Q3752" t="s">
        <v>29</v>
      </c>
      <c r="R3752" t="s">
        <v>29</v>
      </c>
      <c r="S3752">
        <v>12.4529992740213</v>
      </c>
      <c r="T3752" t="s">
        <v>29</v>
      </c>
      <c r="U3752" t="s">
        <v>29</v>
      </c>
      <c r="V3752" t="s">
        <v>29</v>
      </c>
      <c r="W3752" t="s">
        <v>29</v>
      </c>
      <c r="X3752" t="s">
        <v>29</v>
      </c>
      <c r="Y3752" t="s">
        <v>29</v>
      </c>
    </row>
    <row r="3753" spans="1:25" x14ac:dyDescent="0.2">
      <c r="A3753" t="s">
        <v>13774</v>
      </c>
      <c r="B3753" t="s">
        <v>13775</v>
      </c>
      <c r="C3753" t="s">
        <v>14760</v>
      </c>
      <c r="D3753" t="s">
        <v>13776</v>
      </c>
      <c r="E3753" t="s">
        <v>13775</v>
      </c>
      <c r="F3753" t="s">
        <v>28</v>
      </c>
      <c r="G3753" t="s">
        <v>13775</v>
      </c>
      <c r="H3753" t="str">
        <f>"Y75B8A.24"</f>
        <v>Y75B8A.24</v>
      </c>
      <c r="I3753" t="s">
        <v>13776</v>
      </c>
      <c r="J3753">
        <v>13.571576641262499</v>
      </c>
      <c r="K3753">
        <v>13.551339559895601</v>
      </c>
      <c r="L3753">
        <v>13.2091117067084</v>
      </c>
      <c r="M3753" t="s">
        <v>29</v>
      </c>
      <c r="N3753">
        <v>13.677935807113901</v>
      </c>
      <c r="O3753">
        <v>13.471931124199299</v>
      </c>
      <c r="P3753">
        <v>0.13092416303441801</v>
      </c>
      <c r="Q3753">
        <v>-0.35856417774455601</v>
      </c>
      <c r="R3753">
        <v>0.62041250381339297</v>
      </c>
      <c r="S3753">
        <v>13.1228521578595</v>
      </c>
      <c r="T3753">
        <v>0.56458257177065996</v>
      </c>
      <c r="U3753">
        <v>-6.8794936950523304</v>
      </c>
      <c r="V3753">
        <v>0.57977708595705801</v>
      </c>
      <c r="W3753">
        <v>0.71858977650303701</v>
      </c>
      <c r="X3753">
        <v>0</v>
      </c>
      <c r="Y3753">
        <v>0</v>
      </c>
    </row>
    <row r="3754" spans="1:25" x14ac:dyDescent="0.2">
      <c r="A3754" t="s">
        <v>13777</v>
      </c>
      <c r="B3754" t="s">
        <v>13778</v>
      </c>
      <c r="C3754" t="s">
        <v>13779</v>
      </c>
      <c r="D3754" t="s">
        <v>13780</v>
      </c>
      <c r="E3754" t="s">
        <v>13778</v>
      </c>
      <c r="F3754" t="s">
        <v>28</v>
      </c>
      <c r="G3754" t="s">
        <v>13778</v>
      </c>
      <c r="H3754" t="str">
        <f>"gex-4"</f>
        <v>gex-4</v>
      </c>
      <c r="I3754" t="s">
        <v>13780</v>
      </c>
      <c r="J3754">
        <v>13.3322745482825</v>
      </c>
      <c r="K3754" t="s">
        <v>29</v>
      </c>
      <c r="L3754">
        <v>13.6296854526506</v>
      </c>
      <c r="M3754" t="s">
        <v>29</v>
      </c>
      <c r="N3754" t="s">
        <v>29</v>
      </c>
      <c r="O3754">
        <v>12.381013553404101</v>
      </c>
      <c r="P3754">
        <v>-1.09996644706238</v>
      </c>
      <c r="Q3754">
        <v>-1.9357063695286501</v>
      </c>
      <c r="R3754">
        <v>-0.26422652459611101</v>
      </c>
      <c r="S3754">
        <v>13.176789871609699</v>
      </c>
      <c r="T3754">
        <v>-2.8248811596163201</v>
      </c>
      <c r="U3754">
        <v>-3.4315067443732499</v>
      </c>
      <c r="V3754">
        <v>1.3582709705795301E-2</v>
      </c>
      <c r="W3754">
        <v>5.6457327930858399E-2</v>
      </c>
      <c r="X3754">
        <v>-1</v>
      </c>
      <c r="Y3754">
        <v>0</v>
      </c>
    </row>
    <row r="3755" spans="1:25" x14ac:dyDescent="0.2">
      <c r="A3755" t="s">
        <v>13781</v>
      </c>
      <c r="B3755" t="s">
        <v>13782</v>
      </c>
      <c r="C3755" t="s">
        <v>13783</v>
      </c>
      <c r="D3755" t="s">
        <v>13784</v>
      </c>
      <c r="E3755" t="s">
        <v>13782</v>
      </c>
      <c r="F3755" t="s">
        <v>28</v>
      </c>
      <c r="G3755" t="s">
        <v>13782</v>
      </c>
      <c r="H3755" t="str">
        <f>"Y75B8A.31"</f>
        <v>Y75B8A.31</v>
      </c>
      <c r="I3755" t="s">
        <v>13784</v>
      </c>
      <c r="J3755" t="s">
        <v>29</v>
      </c>
      <c r="K3755" t="s">
        <v>29</v>
      </c>
      <c r="L3755" t="s">
        <v>29</v>
      </c>
      <c r="M3755" t="s">
        <v>29</v>
      </c>
      <c r="N3755" t="s">
        <v>29</v>
      </c>
      <c r="O3755" t="s">
        <v>29</v>
      </c>
      <c r="P3755" t="s">
        <v>29</v>
      </c>
      <c r="Q3755" t="s">
        <v>29</v>
      </c>
      <c r="R3755" t="s">
        <v>29</v>
      </c>
      <c r="S3755">
        <v>11.532907047054101</v>
      </c>
      <c r="T3755" t="s">
        <v>29</v>
      </c>
      <c r="U3755" t="s">
        <v>29</v>
      </c>
      <c r="V3755" t="s">
        <v>29</v>
      </c>
      <c r="W3755" t="s">
        <v>29</v>
      </c>
      <c r="X3755" t="s">
        <v>29</v>
      </c>
      <c r="Y3755" t="s">
        <v>29</v>
      </c>
    </row>
    <row r="3756" spans="1:25" x14ac:dyDescent="0.2">
      <c r="A3756" t="s">
        <v>13785</v>
      </c>
      <c r="B3756" t="s">
        <v>13786</v>
      </c>
      <c r="C3756" t="s">
        <v>13787</v>
      </c>
      <c r="D3756" t="s">
        <v>270</v>
      </c>
      <c r="E3756" t="s">
        <v>13786</v>
      </c>
      <c r="F3756" t="s">
        <v>28</v>
      </c>
      <c r="G3756" t="s">
        <v>13786</v>
      </c>
      <c r="H3756" t="str">
        <f>"grl-15"</f>
        <v>grl-15</v>
      </c>
      <c r="I3756" t="s">
        <v>270</v>
      </c>
      <c r="J3756">
        <v>14.320170129946799</v>
      </c>
      <c r="K3756">
        <v>14.5040959330519</v>
      </c>
      <c r="L3756">
        <v>15.525639357399999</v>
      </c>
      <c r="M3756">
        <v>16.5404050862453</v>
      </c>
      <c r="N3756">
        <v>16.151710132462402</v>
      </c>
      <c r="O3756">
        <v>15.5817260531746</v>
      </c>
      <c r="P3756">
        <v>1.30797861716124</v>
      </c>
      <c r="Q3756">
        <v>0.54066213455665901</v>
      </c>
      <c r="R3756">
        <v>2.0752950997658299</v>
      </c>
      <c r="S3756">
        <v>14.528152669796301</v>
      </c>
      <c r="T3756">
        <v>3.5827675333992599</v>
      </c>
      <c r="U3756">
        <v>-2.0878054723707402</v>
      </c>
      <c r="V3756">
        <v>2.1434079383181402E-3</v>
      </c>
      <c r="W3756">
        <v>1.52207787812616E-2</v>
      </c>
      <c r="X3756">
        <v>1</v>
      </c>
      <c r="Y3756">
        <v>1</v>
      </c>
    </row>
    <row r="3757" spans="1:25" x14ac:dyDescent="0.2">
      <c r="A3757" t="s">
        <v>13788</v>
      </c>
      <c r="B3757" t="s">
        <v>13789</v>
      </c>
      <c r="C3757" t="s">
        <v>13790</v>
      </c>
      <c r="D3757" t="s">
        <v>13791</v>
      </c>
      <c r="E3757" t="s">
        <v>13789</v>
      </c>
      <c r="F3757" t="s">
        <v>28</v>
      </c>
      <c r="G3757" t="s">
        <v>13789</v>
      </c>
      <c r="H3757" t="str">
        <f>"lonp-2"</f>
        <v>lonp-2</v>
      </c>
      <c r="I3757" t="s">
        <v>13791</v>
      </c>
      <c r="J3757" t="s">
        <v>29</v>
      </c>
      <c r="K3757">
        <v>11.220957330257599</v>
      </c>
      <c r="L3757" t="s">
        <v>29</v>
      </c>
      <c r="M3757" t="s">
        <v>29</v>
      </c>
      <c r="N3757" t="s">
        <v>29</v>
      </c>
      <c r="O3757" t="s">
        <v>29</v>
      </c>
      <c r="P3757" t="s">
        <v>29</v>
      </c>
      <c r="Q3757" t="s">
        <v>29</v>
      </c>
      <c r="R3757" t="s">
        <v>29</v>
      </c>
      <c r="S3757">
        <v>11.0676243038768</v>
      </c>
      <c r="T3757" t="s">
        <v>29</v>
      </c>
      <c r="U3757" t="s">
        <v>29</v>
      </c>
      <c r="V3757" t="s">
        <v>29</v>
      </c>
      <c r="W3757" t="s">
        <v>29</v>
      </c>
      <c r="X3757" t="s">
        <v>29</v>
      </c>
      <c r="Y3757" t="s">
        <v>29</v>
      </c>
    </row>
    <row r="3758" spans="1:25" x14ac:dyDescent="0.2">
      <c r="A3758" t="s">
        <v>13792</v>
      </c>
      <c r="B3758" t="s">
        <v>13793</v>
      </c>
      <c r="C3758" t="s">
        <v>13794</v>
      </c>
      <c r="D3758" t="s">
        <v>13795</v>
      </c>
      <c r="E3758" t="s">
        <v>13793</v>
      </c>
      <c r="F3758" t="s">
        <v>28</v>
      </c>
      <c r="G3758" t="s">
        <v>13793</v>
      </c>
      <c r="H3758" t="str">
        <f>"vha-13"</f>
        <v>vha-13</v>
      </c>
      <c r="I3758" t="s">
        <v>13795</v>
      </c>
      <c r="J3758">
        <v>15.477765994254799</v>
      </c>
      <c r="K3758">
        <v>15.3542527949662</v>
      </c>
      <c r="L3758">
        <v>15.655798905828901</v>
      </c>
      <c r="M3758">
        <v>16.580009482788899</v>
      </c>
      <c r="N3758">
        <v>16.5290241337662</v>
      </c>
      <c r="O3758">
        <v>16.3430169033801</v>
      </c>
      <c r="P3758">
        <v>0.98807760829511604</v>
      </c>
      <c r="Q3758">
        <v>0.61117598304902498</v>
      </c>
      <c r="R3758">
        <v>1.3649792335412101</v>
      </c>
      <c r="S3758">
        <v>16.047482842824301</v>
      </c>
      <c r="T3758">
        <v>5.51005026184726</v>
      </c>
      <c r="U3758">
        <v>2.1204686891987499</v>
      </c>
      <c r="V3758" s="2">
        <v>3.1863011560505201E-5</v>
      </c>
      <c r="W3758">
        <v>7.11365871733401E-4</v>
      </c>
      <c r="X3758">
        <v>0</v>
      </c>
      <c r="Y3758">
        <v>0</v>
      </c>
    </row>
    <row r="3759" spans="1:25" x14ac:dyDescent="0.2">
      <c r="A3759" t="s">
        <v>13796</v>
      </c>
      <c r="B3759" t="s">
        <v>13797</v>
      </c>
      <c r="C3759" t="s">
        <v>14761</v>
      </c>
      <c r="D3759" t="s">
        <v>13798</v>
      </c>
      <c r="E3759" t="s">
        <v>13797</v>
      </c>
      <c r="F3759" t="s">
        <v>28</v>
      </c>
      <c r="G3759" t="s">
        <v>13797</v>
      </c>
      <c r="H3759" t="str">
        <f>"Y76A2B.5"</f>
        <v>Y76A2B.5</v>
      </c>
      <c r="I3759" t="s">
        <v>13798</v>
      </c>
      <c r="J3759" t="s">
        <v>29</v>
      </c>
      <c r="K3759" t="s">
        <v>29</v>
      </c>
      <c r="L3759" t="s">
        <v>29</v>
      </c>
      <c r="M3759" t="s">
        <v>29</v>
      </c>
      <c r="N3759" t="s">
        <v>29</v>
      </c>
      <c r="O3759">
        <v>12.760909843158601</v>
      </c>
      <c r="P3759" t="s">
        <v>29</v>
      </c>
      <c r="Q3759" t="s">
        <v>29</v>
      </c>
      <c r="R3759" t="s">
        <v>29</v>
      </c>
      <c r="S3759">
        <v>13.6768352645893</v>
      </c>
      <c r="T3759" t="s">
        <v>29</v>
      </c>
      <c r="U3759" t="s">
        <v>29</v>
      </c>
      <c r="V3759" t="s">
        <v>29</v>
      </c>
      <c r="W3759" t="s">
        <v>29</v>
      </c>
      <c r="X3759" t="s">
        <v>29</v>
      </c>
      <c r="Y3759" t="s">
        <v>29</v>
      </c>
    </row>
    <row r="3760" spans="1:25" x14ac:dyDescent="0.2">
      <c r="A3760" t="s">
        <v>13799</v>
      </c>
      <c r="B3760" t="s">
        <v>13800</v>
      </c>
      <c r="C3760" t="s">
        <v>13801</v>
      </c>
      <c r="D3760" t="s">
        <v>8008</v>
      </c>
      <c r="E3760" t="s">
        <v>13800</v>
      </c>
      <c r="F3760" t="s">
        <v>28</v>
      </c>
      <c r="G3760" t="s">
        <v>13800</v>
      </c>
      <c r="H3760" t="str">
        <f>"acs-5"</f>
        <v>acs-5</v>
      </c>
      <c r="I3760" t="s">
        <v>8008</v>
      </c>
      <c r="J3760">
        <v>15.9434467608778</v>
      </c>
      <c r="K3760">
        <v>15.8931886765528</v>
      </c>
      <c r="L3760">
        <v>15.6673889890212</v>
      </c>
      <c r="M3760">
        <v>15.314401867644699</v>
      </c>
      <c r="N3760">
        <v>15.652263828172901</v>
      </c>
      <c r="O3760">
        <v>15.4340605603628</v>
      </c>
      <c r="P3760">
        <v>-0.36776605675715002</v>
      </c>
      <c r="Q3760">
        <v>-0.68709439415270301</v>
      </c>
      <c r="R3760">
        <v>-4.8437719361595903E-2</v>
      </c>
      <c r="S3760">
        <v>15.548037213054601</v>
      </c>
      <c r="T3760">
        <v>-2.4206204419822801</v>
      </c>
      <c r="U3760">
        <v>-4.4987540462323503</v>
      </c>
      <c r="V3760">
        <v>2.6357056782809501E-2</v>
      </c>
      <c r="W3760">
        <v>8.8467250955512097E-2</v>
      </c>
      <c r="X3760">
        <v>0</v>
      </c>
      <c r="Y3760">
        <v>0</v>
      </c>
    </row>
    <row r="3761" spans="1:25" x14ac:dyDescent="0.2">
      <c r="A3761" t="s">
        <v>13802</v>
      </c>
      <c r="B3761" t="s">
        <v>13803</v>
      </c>
      <c r="C3761" t="s">
        <v>13804</v>
      </c>
      <c r="D3761" t="s">
        <v>13805</v>
      </c>
      <c r="E3761" t="s">
        <v>13803</v>
      </c>
      <c r="F3761" t="s">
        <v>28</v>
      </c>
      <c r="G3761" t="s">
        <v>13803</v>
      </c>
      <c r="H3761" t="str">
        <f>"eif-2bbeta"</f>
        <v>eif-2bbeta</v>
      </c>
      <c r="I3761" t="s">
        <v>13805</v>
      </c>
      <c r="J3761">
        <v>14.006185892898101</v>
      </c>
      <c r="K3761">
        <v>13.9649065191093</v>
      </c>
      <c r="L3761">
        <v>13.813654785633</v>
      </c>
      <c r="M3761" t="s">
        <v>29</v>
      </c>
      <c r="N3761">
        <v>13.623771065093299</v>
      </c>
      <c r="O3761">
        <v>14.2952270682548</v>
      </c>
      <c r="P3761">
        <v>3.1250000793963999E-2</v>
      </c>
      <c r="Q3761">
        <v>-0.43511762616687599</v>
      </c>
      <c r="R3761">
        <v>0.497617627754804</v>
      </c>
      <c r="S3761">
        <v>14.008493811671499</v>
      </c>
      <c r="T3761">
        <v>0.14143980526812999</v>
      </c>
      <c r="U3761">
        <v>-7.0349654499848802</v>
      </c>
      <c r="V3761">
        <v>0.88919532828827497</v>
      </c>
      <c r="W3761">
        <v>0.93335491369560297</v>
      </c>
      <c r="X3761">
        <v>0</v>
      </c>
      <c r="Y3761">
        <v>0</v>
      </c>
    </row>
    <row r="3762" spans="1:25" x14ac:dyDescent="0.2">
      <c r="A3762" t="s">
        <v>13806</v>
      </c>
      <c r="B3762" t="s">
        <v>13807</v>
      </c>
      <c r="C3762" t="s">
        <v>13808</v>
      </c>
      <c r="D3762" t="s">
        <v>13809</v>
      </c>
      <c r="E3762" t="s">
        <v>13807</v>
      </c>
      <c r="F3762" t="s">
        <v>28</v>
      </c>
      <c r="G3762" t="s">
        <v>13807</v>
      </c>
      <c r="H3762" t="str">
        <f>"dxbp-1"</f>
        <v>dxbp-1</v>
      </c>
      <c r="I3762" t="s">
        <v>13809</v>
      </c>
      <c r="J3762">
        <v>11.199953050854401</v>
      </c>
      <c r="K3762">
        <v>10.793253097176301</v>
      </c>
      <c r="L3762">
        <v>10.9082348420273</v>
      </c>
      <c r="M3762" t="s">
        <v>29</v>
      </c>
      <c r="N3762" t="s">
        <v>29</v>
      </c>
      <c r="O3762">
        <v>10.3028620586685</v>
      </c>
      <c r="P3762">
        <v>-0.66428493801747601</v>
      </c>
      <c r="Q3762">
        <v>-1.5612485692045199</v>
      </c>
      <c r="R3762">
        <v>0.23267869316957199</v>
      </c>
      <c r="S3762">
        <v>11.6738028748219</v>
      </c>
      <c r="T3762">
        <v>-1.5795056253503399</v>
      </c>
      <c r="U3762">
        <v>-5.5977101678371204</v>
      </c>
      <c r="V3762">
        <v>0.13521775707648701</v>
      </c>
      <c r="W3762">
        <v>0.27119652979659198</v>
      </c>
      <c r="X3762">
        <v>0</v>
      </c>
      <c r="Y3762">
        <v>0</v>
      </c>
    </row>
    <row r="3763" spans="1:25" x14ac:dyDescent="0.2">
      <c r="A3763" t="s">
        <v>13810</v>
      </c>
      <c r="B3763" t="s">
        <v>13811</v>
      </c>
      <c r="C3763" t="s">
        <v>13812</v>
      </c>
      <c r="D3763" t="s">
        <v>13813</v>
      </c>
      <c r="E3763" t="s">
        <v>13811</v>
      </c>
      <c r="F3763" t="s">
        <v>28</v>
      </c>
      <c r="G3763" t="s">
        <v>13811</v>
      </c>
      <c r="H3763" t="str">
        <f>"ndua-2"</f>
        <v>ndua-2</v>
      </c>
      <c r="I3763" t="s">
        <v>13813</v>
      </c>
      <c r="J3763">
        <v>13.0701092770882</v>
      </c>
      <c r="K3763">
        <v>12.8945697490039</v>
      </c>
      <c r="L3763">
        <v>13.4746623960961</v>
      </c>
      <c r="M3763" t="s">
        <v>29</v>
      </c>
      <c r="N3763" t="s">
        <v>29</v>
      </c>
      <c r="O3763" t="s">
        <v>29</v>
      </c>
      <c r="P3763" t="s">
        <v>29</v>
      </c>
      <c r="Q3763" t="s">
        <v>29</v>
      </c>
      <c r="R3763" t="s">
        <v>29</v>
      </c>
      <c r="S3763">
        <v>13.500344162804099</v>
      </c>
      <c r="T3763" t="s">
        <v>29</v>
      </c>
      <c r="U3763" t="s">
        <v>29</v>
      </c>
      <c r="V3763" t="s">
        <v>29</v>
      </c>
      <c r="W3763" t="s">
        <v>29</v>
      </c>
      <c r="X3763" t="s">
        <v>29</v>
      </c>
      <c r="Y3763" t="s">
        <v>29</v>
      </c>
    </row>
    <row r="3764" spans="1:25" x14ac:dyDescent="0.2">
      <c r="A3764" t="s">
        <v>13814</v>
      </c>
      <c r="B3764" t="s">
        <v>13815</v>
      </c>
      <c r="C3764" t="s">
        <v>13816</v>
      </c>
      <c r="D3764" t="s">
        <v>13817</v>
      </c>
      <c r="E3764" t="s">
        <v>13815</v>
      </c>
      <c r="F3764" t="s">
        <v>28</v>
      </c>
      <c r="G3764" t="s">
        <v>13815</v>
      </c>
      <c r="H3764" t="str">
        <f>"bub-3"</f>
        <v>bub-3</v>
      </c>
      <c r="I3764" t="s">
        <v>13817</v>
      </c>
      <c r="J3764">
        <v>13.587966255736401</v>
      </c>
      <c r="K3764">
        <v>13.705102703223799</v>
      </c>
      <c r="L3764">
        <v>13.5244022323277</v>
      </c>
      <c r="M3764" t="s">
        <v>29</v>
      </c>
      <c r="N3764">
        <v>12.291260634424701</v>
      </c>
      <c r="O3764">
        <v>13.830167984164101</v>
      </c>
      <c r="P3764">
        <v>-0.54510942113494198</v>
      </c>
      <c r="Q3764">
        <v>-1.3014624283146199</v>
      </c>
      <c r="R3764">
        <v>0.211243586044737</v>
      </c>
      <c r="S3764">
        <v>13.2729017954391</v>
      </c>
      <c r="T3764">
        <v>-1.52128002628437</v>
      </c>
      <c r="U3764">
        <v>-5.9059423839350504</v>
      </c>
      <c r="V3764">
        <v>0.146684562927691</v>
      </c>
      <c r="W3764">
        <v>0.28915010498187699</v>
      </c>
      <c r="X3764">
        <v>0</v>
      </c>
      <c r="Y3764">
        <v>0</v>
      </c>
    </row>
    <row r="3765" spans="1:25" x14ac:dyDescent="0.2">
      <c r="A3765" t="s">
        <v>13818</v>
      </c>
      <c r="B3765" t="s">
        <v>13819</v>
      </c>
      <c r="C3765" t="s">
        <v>14762</v>
      </c>
      <c r="D3765" t="s">
        <v>13820</v>
      </c>
      <c r="E3765" t="s">
        <v>13819</v>
      </c>
      <c r="F3765" t="s">
        <v>28</v>
      </c>
      <c r="G3765" t="s">
        <v>13819</v>
      </c>
      <c r="H3765" t="str">
        <f>"Y54E2A.4"</f>
        <v>Y54E2A.4</v>
      </c>
      <c r="I3765" t="s">
        <v>13820</v>
      </c>
      <c r="J3765">
        <v>13.024820421470301</v>
      </c>
      <c r="K3765">
        <v>13.2954301907925</v>
      </c>
      <c r="L3765">
        <v>13.293840261812701</v>
      </c>
      <c r="M3765">
        <v>13.724816575213399</v>
      </c>
      <c r="N3765">
        <v>13.2668034251158</v>
      </c>
      <c r="O3765">
        <v>13.124117167376999</v>
      </c>
      <c r="P3765">
        <v>0.16721543121023999</v>
      </c>
      <c r="Q3765">
        <v>-0.235214832288029</v>
      </c>
      <c r="R3765">
        <v>0.56964569470850801</v>
      </c>
      <c r="S3765">
        <v>13.4739437589191</v>
      </c>
      <c r="T3765">
        <v>0.87332970695340095</v>
      </c>
      <c r="U3765">
        <v>-6.7643842144820798</v>
      </c>
      <c r="V3765">
        <v>0.39405202274733703</v>
      </c>
      <c r="W3765">
        <v>0.562224384619044</v>
      </c>
      <c r="X3765">
        <v>0</v>
      </c>
      <c r="Y3765">
        <v>0</v>
      </c>
    </row>
    <row r="3766" spans="1:25" x14ac:dyDescent="0.2">
      <c r="A3766" t="s">
        <v>13821</v>
      </c>
      <c r="B3766" t="s">
        <v>13822</v>
      </c>
      <c r="C3766" t="s">
        <v>13823</v>
      </c>
      <c r="D3766" t="s">
        <v>178</v>
      </c>
      <c r="E3766" t="s">
        <v>13822</v>
      </c>
      <c r="F3766" t="s">
        <v>28</v>
      </c>
      <c r="G3766" t="s">
        <v>13822</v>
      </c>
      <c r="H3766" t="str">
        <f>"tbc-20"</f>
        <v>tbc-20</v>
      </c>
      <c r="I3766" t="s">
        <v>178</v>
      </c>
      <c r="J3766">
        <v>11.6539265731101</v>
      </c>
      <c r="K3766">
        <v>11.576197153080299</v>
      </c>
      <c r="L3766">
        <v>12.087396150702601</v>
      </c>
      <c r="M3766" t="s">
        <v>29</v>
      </c>
      <c r="N3766" t="s">
        <v>29</v>
      </c>
      <c r="O3766" t="s">
        <v>29</v>
      </c>
      <c r="P3766" t="s">
        <v>29</v>
      </c>
      <c r="Q3766" t="s">
        <v>29</v>
      </c>
      <c r="R3766" t="s">
        <v>29</v>
      </c>
      <c r="S3766">
        <v>11.864937036010399</v>
      </c>
      <c r="T3766" t="s">
        <v>29</v>
      </c>
      <c r="U3766" t="s">
        <v>29</v>
      </c>
      <c r="V3766" t="s">
        <v>29</v>
      </c>
      <c r="W3766" t="s">
        <v>29</v>
      </c>
      <c r="X3766" t="s">
        <v>29</v>
      </c>
      <c r="Y3766" t="s">
        <v>29</v>
      </c>
    </row>
    <row r="3767" spans="1:25" x14ac:dyDescent="0.2">
      <c r="A3767" t="s">
        <v>13824</v>
      </c>
      <c r="B3767" t="s">
        <v>13825</v>
      </c>
      <c r="C3767" t="s">
        <v>13826</v>
      </c>
      <c r="D3767" t="s">
        <v>13827</v>
      </c>
      <c r="E3767" t="s">
        <v>13825</v>
      </c>
      <c r="F3767" t="s">
        <v>28</v>
      </c>
      <c r="G3767" t="s">
        <v>13825</v>
      </c>
      <c r="H3767" t="str">
        <f>"eif-3.B"</f>
        <v>eif-3.B</v>
      </c>
      <c r="I3767" t="s">
        <v>13827</v>
      </c>
      <c r="J3767">
        <v>15.9313654330929</v>
      </c>
      <c r="K3767">
        <v>15.7129358155362</v>
      </c>
      <c r="L3767">
        <v>15.8782872704454</v>
      </c>
      <c r="M3767">
        <v>14.8313805657055</v>
      </c>
      <c r="N3767">
        <v>15.2928880282566</v>
      </c>
      <c r="O3767">
        <v>15.485245121296799</v>
      </c>
      <c r="P3767">
        <v>-0.63769160127189795</v>
      </c>
      <c r="Q3767">
        <v>-1.0421629280526601</v>
      </c>
      <c r="R3767">
        <v>-0.233220274491135</v>
      </c>
      <c r="S3767">
        <v>15.686472399761101</v>
      </c>
      <c r="T3767">
        <v>-3.3137174185778302</v>
      </c>
      <c r="U3767">
        <v>-2.67036015120877</v>
      </c>
      <c r="V3767">
        <v>3.8865176409829199E-3</v>
      </c>
      <c r="W3767">
        <v>2.3567011292133101E-2</v>
      </c>
      <c r="X3767">
        <v>0</v>
      </c>
      <c r="Y3767">
        <v>0</v>
      </c>
    </row>
    <row r="3768" spans="1:25" x14ac:dyDescent="0.2">
      <c r="A3768" t="s">
        <v>13828</v>
      </c>
      <c r="B3768" t="s">
        <v>13829</v>
      </c>
      <c r="C3768" t="s">
        <v>14763</v>
      </c>
      <c r="D3768" t="s">
        <v>368</v>
      </c>
      <c r="E3768" t="s">
        <v>13829</v>
      </c>
      <c r="F3768" t="s">
        <v>28</v>
      </c>
      <c r="G3768" t="s">
        <v>13829</v>
      </c>
      <c r="H3768" t="str">
        <f>"Y54E2A.7"</f>
        <v>Y54E2A.7</v>
      </c>
      <c r="I3768" t="s">
        <v>368</v>
      </c>
      <c r="J3768">
        <v>13.5160694103709</v>
      </c>
      <c r="K3768">
        <v>11.802297285414401</v>
      </c>
      <c r="L3768">
        <v>13.1409876132213</v>
      </c>
      <c r="M3768" t="s">
        <v>29</v>
      </c>
      <c r="N3768" t="s">
        <v>29</v>
      </c>
      <c r="O3768" t="s">
        <v>29</v>
      </c>
      <c r="P3768" t="s">
        <v>29</v>
      </c>
      <c r="Q3768" t="s">
        <v>29</v>
      </c>
      <c r="R3768" t="s">
        <v>29</v>
      </c>
      <c r="S3768">
        <v>12.604022076045601</v>
      </c>
      <c r="T3768" t="s">
        <v>29</v>
      </c>
      <c r="U3768" t="s">
        <v>29</v>
      </c>
      <c r="V3768" t="s">
        <v>29</v>
      </c>
      <c r="W3768" t="s">
        <v>29</v>
      </c>
      <c r="X3768" t="s">
        <v>29</v>
      </c>
      <c r="Y3768" t="s">
        <v>29</v>
      </c>
    </row>
    <row r="3769" spans="1:25" x14ac:dyDescent="0.2">
      <c r="A3769" t="s">
        <v>13830</v>
      </c>
      <c r="B3769" t="s">
        <v>13831</v>
      </c>
      <c r="C3769" t="s">
        <v>13832</v>
      </c>
      <c r="D3769" t="s">
        <v>13833</v>
      </c>
      <c r="E3769" t="s">
        <v>13831</v>
      </c>
      <c r="F3769" t="s">
        <v>28</v>
      </c>
      <c r="G3769" t="s">
        <v>13831</v>
      </c>
      <c r="H3769" t="str">
        <f>"smg-9"</f>
        <v>smg-9</v>
      </c>
      <c r="I3769" t="s">
        <v>13833</v>
      </c>
      <c r="J3769">
        <v>14.3636001714786</v>
      </c>
      <c r="K3769">
        <v>14.2111746760004</v>
      </c>
      <c r="L3769">
        <v>12.852237543828</v>
      </c>
      <c r="M3769" t="s">
        <v>29</v>
      </c>
      <c r="N3769">
        <v>13.232707889044599</v>
      </c>
      <c r="O3769">
        <v>13.918224229285199</v>
      </c>
      <c r="P3769">
        <v>-0.23353807127078399</v>
      </c>
      <c r="Q3769">
        <v>-1.1313618007522599</v>
      </c>
      <c r="R3769">
        <v>0.66428565821069196</v>
      </c>
      <c r="S3769">
        <v>13.6247798784356</v>
      </c>
      <c r="T3769">
        <v>-0.55828826897857697</v>
      </c>
      <c r="U3769">
        <v>-6.8815055525561899</v>
      </c>
      <c r="V3769">
        <v>0.58553181674008303</v>
      </c>
      <c r="W3769">
        <v>0.72229479444664102</v>
      </c>
      <c r="X3769">
        <v>0</v>
      </c>
      <c r="Y3769">
        <v>0</v>
      </c>
    </row>
    <row r="3770" spans="1:25" x14ac:dyDescent="0.2">
      <c r="A3770" t="s">
        <v>13834</v>
      </c>
      <c r="B3770" t="s">
        <v>13835</v>
      </c>
      <c r="C3770" t="s">
        <v>13836</v>
      </c>
      <c r="D3770" t="s">
        <v>953</v>
      </c>
      <c r="E3770" t="s">
        <v>13835</v>
      </c>
      <c r="F3770" t="s">
        <v>28</v>
      </c>
      <c r="G3770" t="s">
        <v>13835</v>
      </c>
      <c r="H3770" t="str">
        <f>"dus-2"</f>
        <v>dus-2</v>
      </c>
      <c r="I3770" t="s">
        <v>953</v>
      </c>
      <c r="J3770" t="s">
        <v>29</v>
      </c>
      <c r="K3770" t="s">
        <v>29</v>
      </c>
      <c r="L3770" t="s">
        <v>29</v>
      </c>
      <c r="M3770" t="s">
        <v>29</v>
      </c>
      <c r="N3770" t="s">
        <v>29</v>
      </c>
      <c r="O3770" t="s">
        <v>29</v>
      </c>
      <c r="P3770" t="s">
        <v>29</v>
      </c>
      <c r="Q3770" t="s">
        <v>29</v>
      </c>
      <c r="R3770" t="s">
        <v>29</v>
      </c>
      <c r="S3770">
        <v>12.0361545473076</v>
      </c>
      <c r="T3770" t="s">
        <v>29</v>
      </c>
      <c r="U3770" t="s">
        <v>29</v>
      </c>
      <c r="V3770" t="s">
        <v>29</v>
      </c>
      <c r="W3770" t="s">
        <v>29</v>
      </c>
      <c r="X3770" t="s">
        <v>29</v>
      </c>
      <c r="Y3770" t="s">
        <v>29</v>
      </c>
    </row>
    <row r="3771" spans="1:25" x14ac:dyDescent="0.2">
      <c r="A3771" t="s">
        <v>13837</v>
      </c>
      <c r="B3771" t="s">
        <v>13838</v>
      </c>
      <c r="C3771" t="s">
        <v>14764</v>
      </c>
      <c r="D3771" t="s">
        <v>13839</v>
      </c>
      <c r="E3771" t="s">
        <v>13838</v>
      </c>
      <c r="F3771" t="s">
        <v>28</v>
      </c>
      <c r="G3771" t="s">
        <v>13838</v>
      </c>
      <c r="H3771" t="str">
        <f>"Y54E5A.5"</f>
        <v>Y54E5A.5</v>
      </c>
      <c r="I3771" t="s">
        <v>13839</v>
      </c>
      <c r="J3771">
        <v>11.419921763470899</v>
      </c>
      <c r="K3771">
        <v>10.6068612421028</v>
      </c>
      <c r="L3771">
        <v>11.7415083493027</v>
      </c>
      <c r="M3771" t="s">
        <v>29</v>
      </c>
      <c r="N3771" t="s">
        <v>29</v>
      </c>
      <c r="O3771">
        <v>11.9828994161089</v>
      </c>
      <c r="P3771">
        <v>0.72680229781678596</v>
      </c>
      <c r="Q3771">
        <v>-0.21552556898417199</v>
      </c>
      <c r="R3771">
        <v>1.6691301646177401</v>
      </c>
      <c r="S3771">
        <v>12.1041221524614</v>
      </c>
      <c r="T3771">
        <v>1.64496197458432</v>
      </c>
      <c r="U3771">
        <v>-5.5031634493957799</v>
      </c>
      <c r="V3771">
        <v>0.120910900814931</v>
      </c>
      <c r="W3771">
        <v>0.24917791937174999</v>
      </c>
      <c r="X3771">
        <v>0</v>
      </c>
      <c r="Y3771">
        <v>0</v>
      </c>
    </row>
    <row r="3772" spans="1:25" x14ac:dyDescent="0.2">
      <c r="A3772" t="s">
        <v>13840</v>
      </c>
      <c r="B3772" t="s">
        <v>13841</v>
      </c>
      <c r="C3772" t="s">
        <v>13842</v>
      </c>
      <c r="D3772" t="s">
        <v>689</v>
      </c>
      <c r="E3772" t="s">
        <v>13841</v>
      </c>
      <c r="F3772" t="s">
        <v>28</v>
      </c>
      <c r="G3772" t="s">
        <v>13841</v>
      </c>
      <c r="H3772" t="str">
        <f>"gid-1"</f>
        <v>gid-1</v>
      </c>
      <c r="I3772" t="s">
        <v>689</v>
      </c>
      <c r="J3772" t="s">
        <v>29</v>
      </c>
      <c r="K3772" t="s">
        <v>29</v>
      </c>
      <c r="L3772" t="s">
        <v>29</v>
      </c>
      <c r="M3772" t="s">
        <v>29</v>
      </c>
      <c r="N3772" t="s">
        <v>29</v>
      </c>
      <c r="O3772" t="s">
        <v>29</v>
      </c>
      <c r="P3772" t="s">
        <v>29</v>
      </c>
      <c r="Q3772" t="s">
        <v>29</v>
      </c>
      <c r="R3772" t="s">
        <v>29</v>
      </c>
      <c r="S3772">
        <v>11.207380069359401</v>
      </c>
      <c r="T3772" t="s">
        <v>29</v>
      </c>
      <c r="U3772" t="s">
        <v>29</v>
      </c>
      <c r="V3772" t="s">
        <v>29</v>
      </c>
      <c r="W3772" t="s">
        <v>29</v>
      </c>
      <c r="X3772" t="s">
        <v>29</v>
      </c>
      <c r="Y3772" t="s">
        <v>29</v>
      </c>
    </row>
    <row r="3773" spans="1:25" x14ac:dyDescent="0.2">
      <c r="A3773" t="s">
        <v>13843</v>
      </c>
      <c r="B3773" t="s">
        <v>13844</v>
      </c>
      <c r="C3773" t="s">
        <v>14765</v>
      </c>
      <c r="D3773" t="s">
        <v>13845</v>
      </c>
      <c r="E3773" t="s">
        <v>13844</v>
      </c>
      <c r="F3773" t="s">
        <v>28</v>
      </c>
      <c r="G3773" t="s">
        <v>13844</v>
      </c>
      <c r="H3773" t="str">
        <f>"Y48A6C.4"</f>
        <v>Y48A6C.4</v>
      </c>
      <c r="I3773" t="s">
        <v>13845</v>
      </c>
      <c r="J3773">
        <v>12.739308557832</v>
      </c>
      <c r="K3773" t="s">
        <v>29</v>
      </c>
      <c r="L3773">
        <v>12.948661011279199</v>
      </c>
      <c r="M3773" t="s">
        <v>29</v>
      </c>
      <c r="N3773" t="s">
        <v>29</v>
      </c>
      <c r="O3773">
        <v>12.2185957050581</v>
      </c>
      <c r="P3773">
        <v>-0.62538907949744005</v>
      </c>
      <c r="Q3773">
        <v>-1.3763612780561301</v>
      </c>
      <c r="R3773">
        <v>0.125583119061253</v>
      </c>
      <c r="S3773">
        <v>12.904275199924401</v>
      </c>
      <c r="T3773">
        <v>-1.7873858961359901</v>
      </c>
      <c r="U3773">
        <v>-5.2360562038252496</v>
      </c>
      <c r="V3773">
        <v>9.5699050963878193E-2</v>
      </c>
      <c r="W3773">
        <v>0.21046649491832001</v>
      </c>
      <c r="X3773">
        <v>0</v>
      </c>
      <c r="Y3773">
        <v>0</v>
      </c>
    </row>
    <row r="3774" spans="1:25" x14ac:dyDescent="0.2">
      <c r="A3774" t="s">
        <v>13846</v>
      </c>
      <c r="B3774" t="s">
        <v>13847</v>
      </c>
      <c r="C3774" t="s">
        <v>13848</v>
      </c>
      <c r="D3774" t="s">
        <v>130</v>
      </c>
      <c r="E3774" t="s">
        <v>13847</v>
      </c>
      <c r="F3774" t="s">
        <v>28</v>
      </c>
      <c r="G3774" t="s">
        <v>13847</v>
      </c>
      <c r="H3774" t="str">
        <f>"sup-35"</f>
        <v>sup-35</v>
      </c>
      <c r="I3774" t="s">
        <v>130</v>
      </c>
      <c r="J3774">
        <v>10.5316201057394</v>
      </c>
      <c r="K3774">
        <v>11.902569346431701</v>
      </c>
      <c r="L3774">
        <v>12.6154974037903</v>
      </c>
      <c r="M3774" t="s">
        <v>29</v>
      </c>
      <c r="N3774" t="s">
        <v>29</v>
      </c>
      <c r="O3774" t="s">
        <v>29</v>
      </c>
      <c r="P3774" t="s">
        <v>29</v>
      </c>
      <c r="Q3774" t="s">
        <v>29</v>
      </c>
      <c r="R3774" t="s">
        <v>29</v>
      </c>
      <c r="S3774">
        <v>13.5468355650469</v>
      </c>
      <c r="T3774" t="s">
        <v>29</v>
      </c>
      <c r="U3774" t="s">
        <v>29</v>
      </c>
      <c r="V3774" t="s">
        <v>29</v>
      </c>
      <c r="W3774" t="s">
        <v>29</v>
      </c>
      <c r="X3774" t="s">
        <v>29</v>
      </c>
      <c r="Y3774" t="s">
        <v>29</v>
      </c>
    </row>
    <row r="3775" spans="1:25" x14ac:dyDescent="0.2">
      <c r="A3775" t="s">
        <v>13849</v>
      </c>
      <c r="B3775" t="s">
        <v>13850</v>
      </c>
      <c r="C3775" t="s">
        <v>14766</v>
      </c>
      <c r="D3775" t="s">
        <v>130</v>
      </c>
      <c r="E3775" t="s">
        <v>13850</v>
      </c>
      <c r="F3775" t="s">
        <v>28</v>
      </c>
      <c r="G3775" t="s">
        <v>13850</v>
      </c>
      <c r="H3775" t="str">
        <f>"Y5F2A.4"</f>
        <v>Y5F2A.4</v>
      </c>
      <c r="I3775" t="s">
        <v>130</v>
      </c>
      <c r="J3775" t="s">
        <v>29</v>
      </c>
      <c r="K3775" t="s">
        <v>29</v>
      </c>
      <c r="L3775">
        <v>10.211325425222601</v>
      </c>
      <c r="M3775" t="s">
        <v>29</v>
      </c>
      <c r="N3775" t="s">
        <v>29</v>
      </c>
      <c r="O3775" t="s">
        <v>29</v>
      </c>
      <c r="P3775" t="s">
        <v>29</v>
      </c>
      <c r="Q3775" t="s">
        <v>29</v>
      </c>
      <c r="R3775" t="s">
        <v>29</v>
      </c>
      <c r="S3775">
        <v>11.137058345496101</v>
      </c>
      <c r="T3775" t="s">
        <v>29</v>
      </c>
      <c r="U3775" t="s">
        <v>29</v>
      </c>
      <c r="V3775" t="s">
        <v>29</v>
      </c>
      <c r="W3775" t="s">
        <v>29</v>
      </c>
      <c r="X3775" t="s">
        <v>29</v>
      </c>
      <c r="Y3775" t="s">
        <v>29</v>
      </c>
    </row>
    <row r="3776" spans="1:25" x14ac:dyDescent="0.2">
      <c r="A3776" t="s">
        <v>13851</v>
      </c>
      <c r="B3776" t="s">
        <v>13852</v>
      </c>
      <c r="C3776" t="s">
        <v>14767</v>
      </c>
      <c r="D3776" t="s">
        <v>13853</v>
      </c>
      <c r="E3776" t="s">
        <v>13852</v>
      </c>
      <c r="F3776" t="s">
        <v>28</v>
      </c>
      <c r="G3776" t="s">
        <v>13852</v>
      </c>
      <c r="H3776" t="str">
        <f>"Y38F1A.1"</f>
        <v>Y38F1A.1</v>
      </c>
      <c r="I3776" t="s">
        <v>13853</v>
      </c>
      <c r="J3776">
        <v>14.2268407890439</v>
      </c>
      <c r="K3776">
        <v>12.006841654271399</v>
      </c>
      <c r="L3776">
        <v>11.127544124781201</v>
      </c>
      <c r="M3776">
        <v>13.4031727936657</v>
      </c>
      <c r="N3776" t="s">
        <v>29</v>
      </c>
      <c r="O3776">
        <v>11.1464994114666</v>
      </c>
      <c r="P3776">
        <v>-0.17890608679938</v>
      </c>
      <c r="Q3776">
        <v>-2.26829057303557</v>
      </c>
      <c r="R3776">
        <v>1.91047839943681</v>
      </c>
      <c r="S3776">
        <v>12.3627378479007</v>
      </c>
      <c r="T3776">
        <v>-0.18674619567969</v>
      </c>
      <c r="U3776">
        <v>-7.02674033572612</v>
      </c>
      <c r="V3776">
        <v>0.85500679254871903</v>
      </c>
      <c r="W3776">
        <v>0.90800180815894604</v>
      </c>
      <c r="X3776">
        <v>0</v>
      </c>
      <c r="Y3776">
        <v>0</v>
      </c>
    </row>
    <row r="3777" spans="1:25" x14ac:dyDescent="0.2">
      <c r="A3777" t="s">
        <v>13854</v>
      </c>
      <c r="B3777" t="s">
        <v>13855</v>
      </c>
      <c r="C3777" t="s">
        <v>13856</v>
      </c>
      <c r="D3777" t="s">
        <v>13857</v>
      </c>
      <c r="E3777" t="s">
        <v>13855</v>
      </c>
      <c r="F3777" t="s">
        <v>28</v>
      </c>
      <c r="G3777" t="s">
        <v>13855</v>
      </c>
      <c r="H3777" t="str">
        <f>"nlp-26"</f>
        <v>nlp-26</v>
      </c>
      <c r="I3777" t="s">
        <v>13857</v>
      </c>
      <c r="J3777">
        <v>11.858911155689601</v>
      </c>
      <c r="K3777">
        <v>13.0380382876096</v>
      </c>
      <c r="L3777">
        <v>12.944622874152</v>
      </c>
      <c r="M3777" t="s">
        <v>29</v>
      </c>
      <c r="N3777" t="s">
        <v>29</v>
      </c>
      <c r="O3777" t="s">
        <v>29</v>
      </c>
      <c r="P3777" t="s">
        <v>29</v>
      </c>
      <c r="Q3777" t="s">
        <v>29</v>
      </c>
      <c r="R3777" t="s">
        <v>29</v>
      </c>
      <c r="S3777">
        <v>13.116402588147601</v>
      </c>
      <c r="T3777" t="s">
        <v>29</v>
      </c>
      <c r="U3777" t="s">
        <v>29</v>
      </c>
      <c r="V3777" t="s">
        <v>29</v>
      </c>
      <c r="W3777" t="s">
        <v>29</v>
      </c>
      <c r="X3777" t="s">
        <v>29</v>
      </c>
      <c r="Y3777" t="s">
        <v>29</v>
      </c>
    </row>
    <row r="3778" spans="1:25" x14ac:dyDescent="0.2">
      <c r="A3778" t="s">
        <v>13858</v>
      </c>
      <c r="B3778" t="s">
        <v>13859</v>
      </c>
      <c r="C3778" t="s">
        <v>13860</v>
      </c>
      <c r="D3778" t="s">
        <v>13861</v>
      </c>
      <c r="E3778" t="s">
        <v>13859</v>
      </c>
      <c r="F3778" t="s">
        <v>28</v>
      </c>
      <c r="G3778" t="s">
        <v>13859</v>
      </c>
      <c r="H3778" t="str">
        <f>"ani-3"</f>
        <v>ani-3</v>
      </c>
      <c r="I3778" t="s">
        <v>13861</v>
      </c>
      <c r="J3778" t="s">
        <v>29</v>
      </c>
      <c r="K3778" t="s">
        <v>29</v>
      </c>
      <c r="L3778" t="s">
        <v>29</v>
      </c>
      <c r="M3778" t="s">
        <v>29</v>
      </c>
      <c r="N3778" t="s">
        <v>29</v>
      </c>
      <c r="O3778" t="s">
        <v>29</v>
      </c>
      <c r="P3778" t="s">
        <v>29</v>
      </c>
      <c r="Q3778" t="s">
        <v>29</v>
      </c>
      <c r="R3778" t="s">
        <v>29</v>
      </c>
      <c r="S3778">
        <v>11.607224080393401</v>
      </c>
      <c r="T3778" t="s">
        <v>29</v>
      </c>
      <c r="U3778" t="s">
        <v>29</v>
      </c>
      <c r="V3778" t="s">
        <v>29</v>
      </c>
      <c r="W3778" t="s">
        <v>29</v>
      </c>
      <c r="X3778" t="s">
        <v>29</v>
      </c>
      <c r="Y3778" t="s">
        <v>29</v>
      </c>
    </row>
    <row r="3779" spans="1:25" x14ac:dyDescent="0.2">
      <c r="A3779" t="s">
        <v>13862</v>
      </c>
      <c r="B3779" t="s">
        <v>13863</v>
      </c>
      <c r="C3779" t="s">
        <v>13864</v>
      </c>
      <c r="D3779" t="s">
        <v>4334</v>
      </c>
      <c r="E3779" t="s">
        <v>13863</v>
      </c>
      <c r="F3779" t="s">
        <v>28</v>
      </c>
      <c r="G3779" t="s">
        <v>13863</v>
      </c>
      <c r="H3779" t="str">
        <f>"mrps-28"</f>
        <v>mrps-28</v>
      </c>
      <c r="I3779" t="s">
        <v>4334</v>
      </c>
      <c r="J3779">
        <v>12.912629671047901</v>
      </c>
      <c r="K3779">
        <v>13.053620044723299</v>
      </c>
      <c r="L3779">
        <v>13.4418651056481</v>
      </c>
      <c r="M3779" t="s">
        <v>29</v>
      </c>
      <c r="N3779" t="s">
        <v>29</v>
      </c>
      <c r="O3779">
        <v>12.6098813629327</v>
      </c>
      <c r="P3779">
        <v>-0.526156910873675</v>
      </c>
      <c r="Q3779">
        <v>-1.6986441902474401</v>
      </c>
      <c r="R3779">
        <v>0.64633036850008496</v>
      </c>
      <c r="S3779">
        <v>12.921895396457201</v>
      </c>
      <c r="T3779">
        <v>-0.95708111147256103</v>
      </c>
      <c r="U3779">
        <v>-6.3441803636085998</v>
      </c>
      <c r="V3779">
        <v>0.353803864763304</v>
      </c>
      <c r="W3779">
        <v>0.52368658435834103</v>
      </c>
      <c r="X3779">
        <v>0</v>
      </c>
      <c r="Y3779">
        <v>0</v>
      </c>
    </row>
    <row r="3780" spans="1:25" x14ac:dyDescent="0.2">
      <c r="A3780" t="s">
        <v>13865</v>
      </c>
      <c r="B3780" t="s">
        <v>13866</v>
      </c>
      <c r="C3780" t="s">
        <v>13867</v>
      </c>
      <c r="D3780" t="s">
        <v>13868</v>
      </c>
      <c r="E3780" t="s">
        <v>13866</v>
      </c>
      <c r="F3780" t="s">
        <v>28</v>
      </c>
      <c r="G3780" t="s">
        <v>13866</v>
      </c>
      <c r="H3780" t="str">
        <f>"spr-5"</f>
        <v>spr-5</v>
      </c>
      <c r="I3780" t="s">
        <v>13868</v>
      </c>
      <c r="J3780">
        <v>12.6505443376623</v>
      </c>
      <c r="K3780">
        <v>12.8773020598112</v>
      </c>
      <c r="L3780">
        <v>12.4602239094224</v>
      </c>
      <c r="M3780" t="s">
        <v>29</v>
      </c>
      <c r="N3780" t="s">
        <v>29</v>
      </c>
      <c r="O3780">
        <v>12.804546173440601</v>
      </c>
      <c r="P3780">
        <v>0.14185607114194501</v>
      </c>
      <c r="Q3780">
        <v>-0.45114032092640299</v>
      </c>
      <c r="R3780">
        <v>0.73485246321029196</v>
      </c>
      <c r="S3780">
        <v>12.767958613045399</v>
      </c>
      <c r="T3780">
        <v>0.50739409216357301</v>
      </c>
      <c r="U3780">
        <v>-6.6785956818859704</v>
      </c>
      <c r="V3780">
        <v>0.618845558010227</v>
      </c>
      <c r="W3780">
        <v>0.74560010607364602</v>
      </c>
      <c r="X3780">
        <v>0</v>
      </c>
      <c r="Y3780">
        <v>0</v>
      </c>
    </row>
    <row r="3781" spans="1:25" x14ac:dyDescent="0.2">
      <c r="A3781" t="s">
        <v>13869</v>
      </c>
      <c r="B3781" t="s">
        <v>13870</v>
      </c>
      <c r="C3781" t="s">
        <v>13871</v>
      </c>
      <c r="D3781" t="s">
        <v>13872</v>
      </c>
      <c r="E3781" t="s">
        <v>13870</v>
      </c>
      <c r="F3781" t="s">
        <v>28</v>
      </c>
      <c r="G3781" t="s">
        <v>13870</v>
      </c>
      <c r="H3781" t="str">
        <f>"eif-3.j"</f>
        <v>eif-3.j</v>
      </c>
      <c r="I3781" t="s">
        <v>13872</v>
      </c>
      <c r="J3781" t="s">
        <v>29</v>
      </c>
      <c r="K3781" t="s">
        <v>29</v>
      </c>
      <c r="L3781">
        <v>12.9093909402731</v>
      </c>
      <c r="M3781" t="s">
        <v>29</v>
      </c>
      <c r="N3781">
        <v>13.8822379032223</v>
      </c>
      <c r="O3781">
        <v>16.711489667325601</v>
      </c>
      <c r="P3781">
        <v>2.3874728450008398</v>
      </c>
      <c r="Q3781">
        <v>0.73124344112689998</v>
      </c>
      <c r="R3781">
        <v>4.04370224887478</v>
      </c>
      <c r="S3781">
        <v>13.884050055004201</v>
      </c>
      <c r="T3781">
        <v>3.1438582944770102</v>
      </c>
      <c r="U3781">
        <v>-2.9259048219951702</v>
      </c>
      <c r="V3781">
        <v>8.5540083937476995E-3</v>
      </c>
      <c r="W3781">
        <v>4.0989695506299897E-2</v>
      </c>
      <c r="X3781">
        <v>1</v>
      </c>
      <c r="Y3781">
        <v>1</v>
      </c>
    </row>
    <row r="3782" spans="1:25" x14ac:dyDescent="0.2">
      <c r="A3782" t="s">
        <v>13873</v>
      </c>
      <c r="B3782" t="s">
        <v>13874</v>
      </c>
      <c r="C3782" t="s">
        <v>14768</v>
      </c>
      <c r="D3782" t="s">
        <v>2611</v>
      </c>
      <c r="E3782" t="s">
        <v>13874</v>
      </c>
      <c r="F3782" t="s">
        <v>28</v>
      </c>
      <c r="G3782" t="s">
        <v>13874</v>
      </c>
      <c r="H3782" t="str">
        <f>"Y11D7A.3"</f>
        <v>Y11D7A.3</v>
      </c>
      <c r="I3782" t="s">
        <v>2611</v>
      </c>
      <c r="J3782" t="s">
        <v>29</v>
      </c>
      <c r="K3782" t="s">
        <v>29</v>
      </c>
      <c r="L3782" t="s">
        <v>29</v>
      </c>
      <c r="M3782" t="s">
        <v>29</v>
      </c>
      <c r="N3782" t="s">
        <v>29</v>
      </c>
      <c r="O3782" t="s">
        <v>29</v>
      </c>
      <c r="P3782" t="s">
        <v>29</v>
      </c>
      <c r="Q3782" t="s">
        <v>29</v>
      </c>
      <c r="R3782" t="s">
        <v>29</v>
      </c>
      <c r="S3782">
        <v>12.5440718298366</v>
      </c>
      <c r="T3782" t="s">
        <v>29</v>
      </c>
      <c r="U3782" t="s">
        <v>29</v>
      </c>
      <c r="V3782" t="s">
        <v>29</v>
      </c>
      <c r="W3782" t="s">
        <v>29</v>
      </c>
      <c r="X3782" t="s">
        <v>29</v>
      </c>
      <c r="Y3782" t="s">
        <v>29</v>
      </c>
    </row>
    <row r="3783" spans="1:25" x14ac:dyDescent="0.2">
      <c r="A3783" t="s">
        <v>13875</v>
      </c>
      <c r="B3783" t="s">
        <v>13876</v>
      </c>
      <c r="C3783" t="s">
        <v>13877</v>
      </c>
      <c r="D3783" t="s">
        <v>13878</v>
      </c>
      <c r="E3783" t="s">
        <v>13876</v>
      </c>
      <c r="F3783" t="s">
        <v>28</v>
      </c>
      <c r="G3783" t="s">
        <v>13876</v>
      </c>
      <c r="H3783" t="str">
        <f>"sec-8"</f>
        <v>sec-8</v>
      </c>
      <c r="I3783" t="s">
        <v>13878</v>
      </c>
      <c r="J3783">
        <v>13.367431040219399</v>
      </c>
      <c r="K3783">
        <v>12.4680722631626</v>
      </c>
      <c r="L3783">
        <v>12.879313860893699</v>
      </c>
      <c r="M3783" t="s">
        <v>29</v>
      </c>
      <c r="N3783">
        <v>13.926158749678301</v>
      </c>
      <c r="O3783">
        <v>13.530522274510901</v>
      </c>
      <c r="P3783">
        <v>0.82340145733603398</v>
      </c>
      <c r="Q3783">
        <v>0.33763789855770698</v>
      </c>
      <c r="R3783">
        <v>1.30916501611436</v>
      </c>
      <c r="S3783">
        <v>13.051203502019099</v>
      </c>
      <c r="T3783">
        <v>3.57797014852324</v>
      </c>
      <c r="U3783">
        <v>-2.0491760099945702</v>
      </c>
      <c r="V3783">
        <v>2.3361958724259901E-3</v>
      </c>
      <c r="W3783">
        <v>1.6237663292545799E-2</v>
      </c>
      <c r="X3783">
        <v>0</v>
      </c>
      <c r="Y3783">
        <v>0</v>
      </c>
    </row>
    <row r="3784" spans="1:25" x14ac:dyDescent="0.2">
      <c r="A3784" t="s">
        <v>13879</v>
      </c>
      <c r="B3784" t="s">
        <v>13880</v>
      </c>
      <c r="C3784" t="s">
        <v>13881</v>
      </c>
      <c r="D3784" t="s">
        <v>13882</v>
      </c>
      <c r="E3784" t="s">
        <v>13880</v>
      </c>
      <c r="F3784" t="s">
        <v>28</v>
      </c>
      <c r="G3784" t="s">
        <v>13880</v>
      </c>
      <c r="H3784" t="str">
        <f>"rpl-30"</f>
        <v>rpl-30</v>
      </c>
      <c r="I3784" t="s">
        <v>13882</v>
      </c>
      <c r="J3784">
        <v>17.799642523922302</v>
      </c>
      <c r="K3784">
        <v>17.476068818290301</v>
      </c>
      <c r="L3784">
        <v>17.870106889279899</v>
      </c>
      <c r="M3784">
        <v>17.034154000605898</v>
      </c>
      <c r="N3784">
        <v>17.539379441863598</v>
      </c>
      <c r="O3784">
        <v>17.089832109604899</v>
      </c>
      <c r="P3784">
        <v>-0.49415089313934502</v>
      </c>
      <c r="Q3784">
        <v>-0.92332422211874399</v>
      </c>
      <c r="R3784">
        <v>-6.4977564159945905E-2</v>
      </c>
      <c r="S3784">
        <v>17.332335314340501</v>
      </c>
      <c r="T3784">
        <v>-2.4200223279537698</v>
      </c>
      <c r="U3784">
        <v>-4.4998965110698999</v>
      </c>
      <c r="V3784">
        <v>2.63894720683382E-2</v>
      </c>
      <c r="W3784">
        <v>8.8475283487363596E-2</v>
      </c>
      <c r="X3784">
        <v>0</v>
      </c>
      <c r="Y3784">
        <v>0</v>
      </c>
    </row>
    <row r="3785" spans="1:25" x14ac:dyDescent="0.2">
      <c r="A3785" t="s">
        <v>13883</v>
      </c>
      <c r="B3785" t="s">
        <v>13884</v>
      </c>
      <c r="C3785" t="s">
        <v>14769</v>
      </c>
      <c r="D3785" t="s">
        <v>13885</v>
      </c>
      <c r="E3785" t="s">
        <v>13884</v>
      </c>
      <c r="F3785" t="s">
        <v>28</v>
      </c>
      <c r="G3785" t="s">
        <v>13884</v>
      </c>
      <c r="H3785" t="str">
        <f>"Y62H9A.5"</f>
        <v>Y62H9A.5</v>
      </c>
      <c r="I3785" t="s">
        <v>13885</v>
      </c>
      <c r="J3785">
        <v>15.162815901431101</v>
      </c>
      <c r="K3785">
        <v>14.173107880833999</v>
      </c>
      <c r="L3785">
        <v>15.585455593338899</v>
      </c>
      <c r="M3785">
        <v>18.728042455211899</v>
      </c>
      <c r="N3785">
        <v>17.4506692321381</v>
      </c>
      <c r="O3785">
        <v>16.432800838536298</v>
      </c>
      <c r="P3785">
        <v>2.5633777167607201</v>
      </c>
      <c r="Q3785">
        <v>1.5805704329169901</v>
      </c>
      <c r="R3785">
        <v>3.5461850006044502</v>
      </c>
      <c r="S3785">
        <v>15.097280169555001</v>
      </c>
      <c r="T3785">
        <v>5.4819712222402304</v>
      </c>
      <c r="U3785">
        <v>2.0608096311807702</v>
      </c>
      <c r="V3785" s="2">
        <v>3.3800958692549197E-5</v>
      </c>
      <c r="W3785">
        <v>7.4336884527569005E-4</v>
      </c>
      <c r="X3785">
        <v>1</v>
      </c>
      <c r="Y3785">
        <v>1</v>
      </c>
    </row>
    <row r="3786" spans="1:25" x14ac:dyDescent="0.2">
      <c r="A3786" t="s">
        <v>13886</v>
      </c>
      <c r="B3786" t="s">
        <v>13887</v>
      </c>
      <c r="C3786" t="s">
        <v>13888</v>
      </c>
      <c r="D3786" t="s">
        <v>8032</v>
      </c>
      <c r="E3786" t="s">
        <v>13887</v>
      </c>
      <c r="F3786" t="s">
        <v>28</v>
      </c>
      <c r="G3786" t="s">
        <v>13887</v>
      </c>
      <c r="H3786" t="str">
        <f>"ule-5"</f>
        <v>ule-5</v>
      </c>
      <c r="I3786" t="s">
        <v>8032</v>
      </c>
      <c r="J3786">
        <v>14.351963029499201</v>
      </c>
      <c r="K3786">
        <v>14.127970309983301</v>
      </c>
      <c r="L3786">
        <v>15.0862210066387</v>
      </c>
      <c r="M3786">
        <v>18.706791091258001</v>
      </c>
      <c r="N3786">
        <v>16.873097495286601</v>
      </c>
      <c r="O3786">
        <v>16.0736325692083</v>
      </c>
      <c r="P3786">
        <v>2.6957889365438401</v>
      </c>
      <c r="Q3786">
        <v>1.62800153661498</v>
      </c>
      <c r="R3786">
        <v>3.7635763364727</v>
      </c>
      <c r="S3786">
        <v>14.801037906915299</v>
      </c>
      <c r="T3786">
        <v>5.3063220921705998</v>
      </c>
      <c r="U3786">
        <v>1.68575460418727</v>
      </c>
      <c r="V3786" s="2">
        <v>4.9004578759649899E-5</v>
      </c>
      <c r="W3786">
        <v>9.8915406578553599E-4</v>
      </c>
      <c r="X3786">
        <v>1</v>
      </c>
      <c r="Y3786">
        <v>1</v>
      </c>
    </row>
    <row r="3787" spans="1:25" x14ac:dyDescent="0.2">
      <c r="A3787" t="s">
        <v>13889</v>
      </c>
      <c r="B3787" t="s">
        <v>13890</v>
      </c>
      <c r="C3787" t="s">
        <v>14770</v>
      </c>
      <c r="D3787" t="s">
        <v>13891</v>
      </c>
      <c r="E3787" t="s">
        <v>13890</v>
      </c>
      <c r="F3787" t="s">
        <v>28</v>
      </c>
      <c r="G3787" t="s">
        <v>13890</v>
      </c>
      <c r="H3787" t="str">
        <f>"Y62H9A.3"</f>
        <v>Y62H9A.3</v>
      </c>
      <c r="I3787" t="s">
        <v>13891</v>
      </c>
      <c r="J3787">
        <v>15.7295624577444</v>
      </c>
      <c r="K3787">
        <v>15.142768752868101</v>
      </c>
      <c r="L3787">
        <v>15.820283662281</v>
      </c>
      <c r="M3787">
        <v>18.580726673188</v>
      </c>
      <c r="N3787">
        <v>18.0049485468844</v>
      </c>
      <c r="O3787">
        <v>16.2370038697612</v>
      </c>
      <c r="P3787">
        <v>2.0433547389800699</v>
      </c>
      <c r="Q3787">
        <v>1.19959751802335</v>
      </c>
      <c r="R3787">
        <v>2.8871119599367998</v>
      </c>
      <c r="S3787">
        <v>15.2242755485518</v>
      </c>
      <c r="T3787">
        <v>5.0900116920607603</v>
      </c>
      <c r="U3787">
        <v>1.2197791038611201</v>
      </c>
      <c r="V3787" s="2">
        <v>7.7791311779761501E-5</v>
      </c>
      <c r="W3787">
        <v>1.4328187238434799E-3</v>
      </c>
      <c r="X3787">
        <v>1</v>
      </c>
      <c r="Y3787">
        <v>1</v>
      </c>
    </row>
    <row r="3788" spans="1:25" x14ac:dyDescent="0.2">
      <c r="A3788" t="s">
        <v>13892</v>
      </c>
      <c r="B3788" t="s">
        <v>13893</v>
      </c>
      <c r="C3788" t="s">
        <v>13894</v>
      </c>
      <c r="D3788" t="s">
        <v>13895</v>
      </c>
      <c r="E3788" t="s">
        <v>13893</v>
      </c>
      <c r="F3788" t="s">
        <v>28</v>
      </c>
      <c r="G3788" t="s">
        <v>13893</v>
      </c>
      <c r="H3788" t="str">
        <f>"epg-3"</f>
        <v>epg-3</v>
      </c>
      <c r="I3788" t="s">
        <v>13895</v>
      </c>
      <c r="J3788">
        <v>15.9467604678778</v>
      </c>
      <c r="K3788">
        <v>16.061049532766599</v>
      </c>
      <c r="L3788">
        <v>15.993368736939299</v>
      </c>
      <c r="M3788">
        <v>15.4834192889506</v>
      </c>
      <c r="N3788">
        <v>15.913056872403001</v>
      </c>
      <c r="O3788">
        <v>15.975543825592601</v>
      </c>
      <c r="P3788">
        <v>-0.20971958354581399</v>
      </c>
      <c r="Q3788">
        <v>-0.61205743288208103</v>
      </c>
      <c r="R3788">
        <v>0.19261826579045199</v>
      </c>
      <c r="S3788">
        <v>15.973459378030601</v>
      </c>
      <c r="T3788">
        <v>-1.0955712063968299</v>
      </c>
      <c r="U3788">
        <v>-6.5467509514696696</v>
      </c>
      <c r="V3788">
        <v>0.28779274039309</v>
      </c>
      <c r="W3788">
        <v>0.45598129351528899</v>
      </c>
      <c r="X3788">
        <v>0</v>
      </c>
      <c r="Y3788">
        <v>0</v>
      </c>
    </row>
    <row r="3789" spans="1:25" x14ac:dyDescent="0.2">
      <c r="A3789" t="s">
        <v>13896</v>
      </c>
      <c r="B3789" t="s">
        <v>13897</v>
      </c>
      <c r="C3789" t="s">
        <v>13898</v>
      </c>
      <c r="D3789" t="s">
        <v>13899</v>
      </c>
      <c r="E3789" t="s">
        <v>13897</v>
      </c>
      <c r="F3789" t="s">
        <v>28</v>
      </c>
      <c r="G3789" t="s">
        <v>13897</v>
      </c>
      <c r="H3789" t="str">
        <f>"npp-25"</f>
        <v>npp-25</v>
      </c>
      <c r="I3789" t="s">
        <v>13899</v>
      </c>
      <c r="J3789">
        <v>16.067380784717201</v>
      </c>
      <c r="K3789">
        <v>16.1284535219575</v>
      </c>
      <c r="L3789">
        <v>16.2807652042552</v>
      </c>
      <c r="M3789">
        <v>16.4011120993319</v>
      </c>
      <c r="N3789">
        <v>16.145208901292001</v>
      </c>
      <c r="O3789">
        <v>15.844820017063601</v>
      </c>
      <c r="P3789">
        <v>-2.8486164414211101E-2</v>
      </c>
      <c r="Q3789">
        <v>-0.38826849636933197</v>
      </c>
      <c r="R3789">
        <v>0.33129616754090901</v>
      </c>
      <c r="S3789">
        <v>16.155331526098699</v>
      </c>
      <c r="T3789">
        <v>-0.16641277295649701</v>
      </c>
      <c r="U3789">
        <v>-7.1417801829950598</v>
      </c>
      <c r="V3789">
        <v>0.86969796158236101</v>
      </c>
      <c r="W3789">
        <v>0.91896733337512304</v>
      </c>
      <c r="X3789">
        <v>0</v>
      </c>
      <c r="Y3789">
        <v>0</v>
      </c>
    </row>
    <row r="3790" spans="1:25" x14ac:dyDescent="0.2">
      <c r="A3790" t="s">
        <v>13900</v>
      </c>
      <c r="B3790" t="s">
        <v>13901</v>
      </c>
      <c r="C3790" t="s">
        <v>13902</v>
      </c>
      <c r="D3790" t="s">
        <v>13903</v>
      </c>
      <c r="E3790" t="s">
        <v>13901</v>
      </c>
      <c r="F3790" t="s">
        <v>28</v>
      </c>
      <c r="G3790" t="s">
        <v>13901</v>
      </c>
      <c r="H3790" t="str">
        <f>"Y37D8A.2"</f>
        <v>Y37D8A.2</v>
      </c>
      <c r="I3790" t="s">
        <v>13903</v>
      </c>
      <c r="J3790">
        <v>14.372880953955301</v>
      </c>
      <c r="K3790">
        <v>15.0379210998918</v>
      </c>
      <c r="L3790">
        <v>14.3187789488489</v>
      </c>
      <c r="M3790" t="s">
        <v>29</v>
      </c>
      <c r="N3790">
        <v>13.072592997253899</v>
      </c>
      <c r="O3790">
        <v>14.1816759488083</v>
      </c>
      <c r="P3790">
        <v>-0.949392527867575</v>
      </c>
      <c r="Q3790">
        <v>-1.7448677520729099</v>
      </c>
      <c r="R3790">
        <v>-0.15391730366224299</v>
      </c>
      <c r="S3790">
        <v>13.5109611048213</v>
      </c>
      <c r="T3790">
        <v>-2.5192378040316399</v>
      </c>
      <c r="U3790">
        <v>-4.2168749407326702</v>
      </c>
      <c r="V3790">
        <v>2.2131505626210701E-2</v>
      </c>
      <c r="W3790">
        <v>7.8769984396670198E-2</v>
      </c>
      <c r="X3790">
        <v>0</v>
      </c>
      <c r="Y3790">
        <v>0</v>
      </c>
    </row>
    <row r="3791" spans="1:25" x14ac:dyDescent="0.2">
      <c r="A3791" t="s">
        <v>13904</v>
      </c>
      <c r="B3791" t="s">
        <v>13905</v>
      </c>
      <c r="C3791" t="s">
        <v>13906</v>
      </c>
      <c r="D3791" t="s">
        <v>93</v>
      </c>
      <c r="E3791" t="s">
        <v>13905</v>
      </c>
      <c r="F3791" t="s">
        <v>28</v>
      </c>
      <c r="G3791" t="s">
        <v>13905</v>
      </c>
      <c r="H3791" t="str">
        <f>"rbm-7"</f>
        <v>rbm-7</v>
      </c>
      <c r="I3791" t="s">
        <v>93</v>
      </c>
      <c r="J3791">
        <v>13.2995235832816</v>
      </c>
      <c r="K3791">
        <v>13.524346945822799</v>
      </c>
      <c r="L3791">
        <v>14.1768699306546</v>
      </c>
      <c r="M3791" t="s">
        <v>29</v>
      </c>
      <c r="N3791">
        <v>12.3196844274072</v>
      </c>
      <c r="O3791">
        <v>13.137060175606001</v>
      </c>
      <c r="P3791">
        <v>-0.93854118507972695</v>
      </c>
      <c r="Q3791">
        <v>-1.73898819359285</v>
      </c>
      <c r="R3791">
        <v>-0.138094176566608</v>
      </c>
      <c r="S3791">
        <v>14.2274505264987</v>
      </c>
      <c r="T3791">
        <v>-2.4749746918353801</v>
      </c>
      <c r="U3791">
        <v>-4.3015166470190698</v>
      </c>
      <c r="V3791">
        <v>2.4225584249228101E-2</v>
      </c>
      <c r="W3791">
        <v>8.3316329415592E-2</v>
      </c>
      <c r="X3791">
        <v>0</v>
      </c>
      <c r="Y3791">
        <v>0</v>
      </c>
    </row>
    <row r="3792" spans="1:25" x14ac:dyDescent="0.2">
      <c r="A3792" t="s">
        <v>13907</v>
      </c>
      <c r="B3792" t="s">
        <v>13908</v>
      </c>
      <c r="C3792" t="s">
        <v>13909</v>
      </c>
      <c r="D3792" t="s">
        <v>3680</v>
      </c>
      <c r="E3792" t="s">
        <v>13908</v>
      </c>
      <c r="F3792" t="s">
        <v>28</v>
      </c>
      <c r="G3792" t="s">
        <v>13908</v>
      </c>
      <c r="H3792" t="str">
        <f>"cec-7"</f>
        <v>cec-7</v>
      </c>
      <c r="I3792" t="s">
        <v>3680</v>
      </c>
      <c r="J3792" t="s">
        <v>29</v>
      </c>
      <c r="K3792" t="s">
        <v>29</v>
      </c>
      <c r="L3792" t="s">
        <v>29</v>
      </c>
      <c r="M3792" t="s">
        <v>29</v>
      </c>
      <c r="N3792">
        <v>18.764565341658098</v>
      </c>
      <c r="O3792" t="s">
        <v>29</v>
      </c>
      <c r="P3792" t="s">
        <v>29</v>
      </c>
      <c r="Q3792" t="s">
        <v>29</v>
      </c>
      <c r="R3792" t="s">
        <v>29</v>
      </c>
      <c r="S3792">
        <v>15.216069002962699</v>
      </c>
      <c r="T3792" t="s">
        <v>29</v>
      </c>
      <c r="U3792" t="s">
        <v>29</v>
      </c>
      <c r="V3792" t="s">
        <v>29</v>
      </c>
      <c r="W3792" t="s">
        <v>29</v>
      </c>
      <c r="X3792" t="s">
        <v>29</v>
      </c>
      <c r="Y3792" t="s">
        <v>29</v>
      </c>
    </row>
    <row r="3793" spans="1:25" x14ac:dyDescent="0.2">
      <c r="A3793" t="s">
        <v>13910</v>
      </c>
      <c r="B3793" t="s">
        <v>13911</v>
      </c>
      <c r="C3793" t="s">
        <v>13912</v>
      </c>
      <c r="D3793" t="s">
        <v>2783</v>
      </c>
      <c r="E3793" t="s">
        <v>13911</v>
      </c>
      <c r="F3793" t="s">
        <v>28</v>
      </c>
      <c r="G3793" t="s">
        <v>13911</v>
      </c>
      <c r="H3793" t="str">
        <f>"acdh-11"</f>
        <v>acdh-11</v>
      </c>
      <c r="I3793" t="s">
        <v>2783</v>
      </c>
      <c r="J3793">
        <v>11.7107368600391</v>
      </c>
      <c r="K3793">
        <v>11.738140164395</v>
      </c>
      <c r="L3793">
        <v>12.7087209106488</v>
      </c>
      <c r="M3793" t="s">
        <v>29</v>
      </c>
      <c r="N3793" t="s">
        <v>29</v>
      </c>
      <c r="O3793" t="s">
        <v>29</v>
      </c>
      <c r="P3793" t="s">
        <v>29</v>
      </c>
      <c r="Q3793" t="s">
        <v>29</v>
      </c>
      <c r="R3793" t="s">
        <v>29</v>
      </c>
      <c r="S3793">
        <v>12.141538798494301</v>
      </c>
      <c r="T3793" t="s">
        <v>29</v>
      </c>
      <c r="U3793" t="s">
        <v>29</v>
      </c>
      <c r="V3793" t="s">
        <v>29</v>
      </c>
      <c r="W3793" t="s">
        <v>29</v>
      </c>
      <c r="X3793" t="s">
        <v>29</v>
      </c>
      <c r="Y3793" t="s">
        <v>29</v>
      </c>
    </row>
    <row r="3794" spans="1:25" x14ac:dyDescent="0.2">
      <c r="A3794" t="s">
        <v>13913</v>
      </c>
      <c r="B3794" t="s">
        <v>13914</v>
      </c>
      <c r="C3794" t="s">
        <v>13915</v>
      </c>
      <c r="D3794" t="s">
        <v>13916</v>
      </c>
      <c r="E3794" t="s">
        <v>13914</v>
      </c>
      <c r="F3794" t="s">
        <v>28</v>
      </c>
      <c r="G3794" t="s">
        <v>13914</v>
      </c>
      <c r="H3794" t="str">
        <f>"sbp-1"</f>
        <v>sbp-1</v>
      </c>
      <c r="I3794" t="s">
        <v>13916</v>
      </c>
      <c r="J3794">
        <v>14.1184257245121</v>
      </c>
      <c r="K3794">
        <v>14.054243713131999</v>
      </c>
      <c r="L3794">
        <v>13.7595637768237</v>
      </c>
      <c r="M3794">
        <v>13.7543815992614</v>
      </c>
      <c r="N3794">
        <v>13.8092882145353</v>
      </c>
      <c r="O3794">
        <v>13.760053191616599</v>
      </c>
      <c r="P3794">
        <v>-0.20283673635145</v>
      </c>
      <c r="Q3794">
        <v>-0.56800371332113897</v>
      </c>
      <c r="R3794">
        <v>0.162330240618238</v>
      </c>
      <c r="S3794">
        <v>13.974016768112101</v>
      </c>
      <c r="T3794">
        <v>-1.16747511177579</v>
      </c>
      <c r="U3794">
        <v>-6.4670963916065096</v>
      </c>
      <c r="V3794">
        <v>0.25833961040162801</v>
      </c>
      <c r="W3794">
        <v>0.425559995446394</v>
      </c>
      <c r="X3794">
        <v>0</v>
      </c>
      <c r="Y3794">
        <v>0</v>
      </c>
    </row>
    <row r="3795" spans="1:25" x14ac:dyDescent="0.2">
      <c r="A3795" t="s">
        <v>13917</v>
      </c>
      <c r="B3795" t="s">
        <v>13918</v>
      </c>
      <c r="C3795" t="s">
        <v>14771</v>
      </c>
      <c r="D3795" t="s">
        <v>13919</v>
      </c>
      <c r="E3795" t="s">
        <v>13918</v>
      </c>
      <c r="F3795" t="s">
        <v>28</v>
      </c>
      <c r="G3795" t="s">
        <v>13918</v>
      </c>
      <c r="H3795" t="str">
        <f>"Y39A1A.22"</f>
        <v>Y39A1A.22</v>
      </c>
      <c r="I3795" t="s">
        <v>13919</v>
      </c>
      <c r="J3795">
        <v>12.9398061781989</v>
      </c>
      <c r="K3795">
        <v>12.7826316004675</v>
      </c>
      <c r="L3795">
        <v>12.791251070250899</v>
      </c>
      <c r="M3795" t="s">
        <v>29</v>
      </c>
      <c r="N3795">
        <v>11.258042865873801</v>
      </c>
      <c r="O3795">
        <v>12.457467982339599</v>
      </c>
      <c r="P3795">
        <v>-0.98014085886574698</v>
      </c>
      <c r="Q3795">
        <v>-1.73501534768792</v>
      </c>
      <c r="R3795">
        <v>-0.225266370043577</v>
      </c>
      <c r="S3795">
        <v>12.4899843437654</v>
      </c>
      <c r="T3795">
        <v>-2.7407142541193301</v>
      </c>
      <c r="U3795">
        <v>-3.78384653487069</v>
      </c>
      <c r="V3795">
        <v>1.39929731124416E-2</v>
      </c>
      <c r="W3795">
        <v>5.7755310591548301E-2</v>
      </c>
      <c r="X3795">
        <v>0</v>
      </c>
      <c r="Y3795">
        <v>0</v>
      </c>
    </row>
    <row r="3796" spans="1:25" x14ac:dyDescent="0.2">
      <c r="A3796" t="s">
        <v>13920</v>
      </c>
      <c r="B3796" t="s">
        <v>13921</v>
      </c>
      <c r="C3796" t="s">
        <v>13922</v>
      </c>
      <c r="D3796" t="s">
        <v>13923</v>
      </c>
      <c r="E3796" t="s">
        <v>13921</v>
      </c>
      <c r="F3796" t="s">
        <v>28</v>
      </c>
      <c r="G3796" t="s">
        <v>13921</v>
      </c>
      <c r="H3796" t="str">
        <f>"cnt-2"</f>
        <v>cnt-2</v>
      </c>
      <c r="I3796" t="s">
        <v>13923</v>
      </c>
      <c r="J3796">
        <v>12.785266272621699</v>
      </c>
      <c r="K3796">
        <v>12.9785410599317</v>
      </c>
      <c r="L3796">
        <v>13.1822814937786</v>
      </c>
      <c r="M3796" t="s">
        <v>29</v>
      </c>
      <c r="N3796">
        <v>12.643179359450301</v>
      </c>
      <c r="O3796">
        <v>12.3396400488037</v>
      </c>
      <c r="P3796">
        <v>-0.49061990465034799</v>
      </c>
      <c r="Q3796">
        <v>-1.02380022833316</v>
      </c>
      <c r="R3796">
        <v>4.2560419032459697E-2</v>
      </c>
      <c r="S3796">
        <v>13.1988802829402</v>
      </c>
      <c r="T3796">
        <v>-1.94232125586981</v>
      </c>
      <c r="U3796">
        <v>-5.2569601456261204</v>
      </c>
      <c r="V3796">
        <v>6.8958574181762794E-2</v>
      </c>
      <c r="W3796">
        <v>0.168936088934382</v>
      </c>
      <c r="X3796">
        <v>0</v>
      </c>
      <c r="Y3796">
        <v>0</v>
      </c>
    </row>
    <row r="3797" spans="1:25" x14ac:dyDescent="0.2">
      <c r="A3797" t="s">
        <v>13924</v>
      </c>
      <c r="B3797" t="s">
        <v>13925</v>
      </c>
      <c r="C3797" t="s">
        <v>13926</v>
      </c>
      <c r="D3797" t="s">
        <v>13927</v>
      </c>
      <c r="E3797" t="s">
        <v>13925</v>
      </c>
      <c r="F3797" t="s">
        <v>28</v>
      </c>
      <c r="G3797" t="s">
        <v>13925</v>
      </c>
      <c r="H3797" t="str">
        <f>"Y39A1A.14"</f>
        <v>Y39A1A.14</v>
      </c>
      <c r="I3797" t="s">
        <v>13927</v>
      </c>
      <c r="J3797">
        <v>15.304536260876301</v>
      </c>
      <c r="K3797">
        <v>15.214794600547901</v>
      </c>
      <c r="L3797">
        <v>15.039621801652</v>
      </c>
      <c r="M3797">
        <v>14.6301424374874</v>
      </c>
      <c r="N3797">
        <v>14.6126762018893</v>
      </c>
      <c r="O3797">
        <v>14.9422106404263</v>
      </c>
      <c r="P3797">
        <v>-0.457974461091046</v>
      </c>
      <c r="Q3797">
        <v>-0.80931036439960602</v>
      </c>
      <c r="R3797">
        <v>-0.106638557782487</v>
      </c>
      <c r="S3797">
        <v>14.835104775088199</v>
      </c>
      <c r="T3797">
        <v>-2.7397519231779102</v>
      </c>
      <c r="U3797">
        <v>-3.8706586411653299</v>
      </c>
      <c r="V3797">
        <v>1.35130408372697E-2</v>
      </c>
      <c r="W3797">
        <v>5.6326635569213399E-2</v>
      </c>
      <c r="X3797">
        <v>0</v>
      </c>
      <c r="Y3797">
        <v>0</v>
      </c>
    </row>
    <row r="3798" spans="1:25" x14ac:dyDescent="0.2">
      <c r="A3798" t="s">
        <v>13928</v>
      </c>
      <c r="B3798" t="s">
        <v>13929</v>
      </c>
      <c r="C3798" t="s">
        <v>13930</v>
      </c>
      <c r="D3798" t="s">
        <v>13931</v>
      </c>
      <c r="E3798" t="s">
        <v>13929</v>
      </c>
      <c r="F3798" t="s">
        <v>28</v>
      </c>
      <c r="G3798" t="s">
        <v>13929</v>
      </c>
      <c r="H3798" t="str">
        <f>"orc-1"</f>
        <v>orc-1</v>
      </c>
      <c r="I3798" t="s">
        <v>13931</v>
      </c>
      <c r="J3798" t="s">
        <v>29</v>
      </c>
      <c r="K3798" t="s">
        <v>29</v>
      </c>
      <c r="L3798" t="s">
        <v>29</v>
      </c>
      <c r="M3798" t="s">
        <v>29</v>
      </c>
      <c r="N3798" t="s">
        <v>29</v>
      </c>
      <c r="O3798" t="s">
        <v>29</v>
      </c>
      <c r="P3798" t="s">
        <v>29</v>
      </c>
      <c r="Q3798" t="s">
        <v>29</v>
      </c>
      <c r="R3798" t="s">
        <v>29</v>
      </c>
      <c r="S3798">
        <v>10.779063099665199</v>
      </c>
      <c r="T3798" t="s">
        <v>29</v>
      </c>
      <c r="U3798" t="s">
        <v>29</v>
      </c>
      <c r="V3798" t="s">
        <v>29</v>
      </c>
      <c r="W3798" t="s">
        <v>29</v>
      </c>
      <c r="X3798" t="s">
        <v>29</v>
      </c>
      <c r="Y3798" t="s">
        <v>29</v>
      </c>
    </row>
    <row r="3799" spans="1:25" x14ac:dyDescent="0.2">
      <c r="A3799" t="s">
        <v>13932</v>
      </c>
      <c r="B3799" t="s">
        <v>13933</v>
      </c>
      <c r="C3799" t="s">
        <v>13934</v>
      </c>
      <c r="D3799" t="s">
        <v>13935</v>
      </c>
      <c r="E3799" t="s">
        <v>13933</v>
      </c>
      <c r="F3799" t="s">
        <v>28</v>
      </c>
      <c r="G3799" t="s">
        <v>13933</v>
      </c>
      <c r="H3799" t="str">
        <f>"mrpl-22"</f>
        <v>mrpl-22</v>
      </c>
      <c r="I3799" t="s">
        <v>13935</v>
      </c>
      <c r="J3799">
        <v>12.710917462088601</v>
      </c>
      <c r="K3799">
        <v>12.677276100201301</v>
      </c>
      <c r="L3799">
        <v>12.9137897515683</v>
      </c>
      <c r="M3799" t="s">
        <v>29</v>
      </c>
      <c r="N3799">
        <v>10.4461455471285</v>
      </c>
      <c r="O3799">
        <v>12.1833609504442</v>
      </c>
      <c r="P3799">
        <v>-1.4525745224997</v>
      </c>
      <c r="Q3799">
        <v>-2.1881085482109501</v>
      </c>
      <c r="R3799">
        <v>-0.71704049678845405</v>
      </c>
      <c r="S3799">
        <v>12.636676624654701</v>
      </c>
      <c r="T3799">
        <v>-4.1887571719589998</v>
      </c>
      <c r="U3799">
        <v>-0.83158747952091805</v>
      </c>
      <c r="V3799">
        <v>7.0379436547719505E-4</v>
      </c>
      <c r="W3799">
        <v>7.1767543081705703E-3</v>
      </c>
      <c r="X3799">
        <v>-1</v>
      </c>
      <c r="Y3799">
        <v>-1</v>
      </c>
    </row>
    <row r="3800" spans="1:25" x14ac:dyDescent="0.2">
      <c r="A3800" t="s">
        <v>13936</v>
      </c>
      <c r="B3800" t="s">
        <v>13937</v>
      </c>
      <c r="C3800" t="s">
        <v>14772</v>
      </c>
      <c r="D3800" t="s">
        <v>368</v>
      </c>
      <c r="E3800" t="s">
        <v>13937</v>
      </c>
      <c r="F3800" t="s">
        <v>28</v>
      </c>
      <c r="G3800" t="s">
        <v>13937</v>
      </c>
      <c r="H3800" t="str">
        <f>"Y39A1A.20"</f>
        <v>Y39A1A.20</v>
      </c>
      <c r="I3800" t="s">
        <v>368</v>
      </c>
      <c r="J3800">
        <v>9.6680691105133008</v>
      </c>
      <c r="K3800" t="s">
        <v>29</v>
      </c>
      <c r="L3800">
        <v>10.730568718456199</v>
      </c>
      <c r="M3800" t="s">
        <v>29</v>
      </c>
      <c r="N3800" t="s">
        <v>29</v>
      </c>
      <c r="O3800" t="s">
        <v>29</v>
      </c>
      <c r="P3800" t="s">
        <v>29</v>
      </c>
      <c r="Q3800" t="s">
        <v>29</v>
      </c>
      <c r="R3800" t="s">
        <v>29</v>
      </c>
      <c r="S3800">
        <v>10.847603266339499</v>
      </c>
      <c r="T3800" t="s">
        <v>29</v>
      </c>
      <c r="U3800" t="s">
        <v>29</v>
      </c>
      <c r="V3800" t="s">
        <v>29</v>
      </c>
      <c r="W3800" t="s">
        <v>29</v>
      </c>
      <c r="X3800" t="s">
        <v>29</v>
      </c>
      <c r="Y3800" t="s">
        <v>29</v>
      </c>
    </row>
    <row r="3801" spans="1:25" x14ac:dyDescent="0.2">
      <c r="A3801" t="s">
        <v>13938</v>
      </c>
      <c r="B3801" t="s">
        <v>13939</v>
      </c>
      <c r="C3801" t="s">
        <v>14773</v>
      </c>
      <c r="D3801" t="s">
        <v>3358</v>
      </c>
      <c r="E3801" t="s">
        <v>13939</v>
      </c>
      <c r="F3801" t="s">
        <v>28</v>
      </c>
      <c r="G3801" t="s">
        <v>13939</v>
      </c>
      <c r="H3801" t="str">
        <f>"Y32B12B.2"</f>
        <v>Y32B12B.2</v>
      </c>
      <c r="I3801" t="s">
        <v>3358</v>
      </c>
      <c r="J3801">
        <v>12.178352580731101</v>
      </c>
      <c r="K3801">
        <v>12.212138313710501</v>
      </c>
      <c r="L3801">
        <v>12.7114479719007</v>
      </c>
      <c r="M3801" t="s">
        <v>29</v>
      </c>
      <c r="N3801" t="s">
        <v>29</v>
      </c>
      <c r="O3801">
        <v>12.8191326058357</v>
      </c>
      <c r="P3801">
        <v>0.45181965038824001</v>
      </c>
      <c r="Q3801">
        <v>-0.27713158005710598</v>
      </c>
      <c r="R3801">
        <v>1.1807708808335899</v>
      </c>
      <c r="S3801">
        <v>13.161170286561299</v>
      </c>
      <c r="T3801">
        <v>1.31466824101102</v>
      </c>
      <c r="U3801">
        <v>-5.9516279539961197</v>
      </c>
      <c r="V3801">
        <v>0.20727531105141001</v>
      </c>
      <c r="W3801">
        <v>0.367976109438859</v>
      </c>
      <c r="X3801">
        <v>0</v>
      </c>
      <c r="Y3801">
        <v>0</v>
      </c>
    </row>
    <row r="3802" spans="1:25" x14ac:dyDescent="0.2">
      <c r="A3802" t="s">
        <v>13940</v>
      </c>
      <c r="B3802" t="s">
        <v>13941</v>
      </c>
      <c r="C3802" t="s">
        <v>13942</v>
      </c>
      <c r="D3802" t="s">
        <v>11887</v>
      </c>
      <c r="E3802" t="s">
        <v>13941</v>
      </c>
      <c r="F3802" t="s">
        <v>28</v>
      </c>
      <c r="G3802" t="s">
        <v>13941</v>
      </c>
      <c r="H3802" t="str">
        <f>"ebp-2"</f>
        <v>ebp-2</v>
      </c>
      <c r="I3802" t="s">
        <v>11887</v>
      </c>
      <c r="J3802">
        <v>12.397434139368499</v>
      </c>
      <c r="K3802" t="s">
        <v>29</v>
      </c>
      <c r="L3802">
        <v>12.6083232260464</v>
      </c>
      <c r="M3802" t="s">
        <v>29</v>
      </c>
      <c r="N3802" t="s">
        <v>29</v>
      </c>
      <c r="O3802">
        <v>13.241312739606901</v>
      </c>
      <c r="P3802">
        <v>0.73843405689951103</v>
      </c>
      <c r="Q3802">
        <v>-0.110749211449095</v>
      </c>
      <c r="R3802">
        <v>1.58761732524812</v>
      </c>
      <c r="S3802">
        <v>12.387172123084801</v>
      </c>
      <c r="T3802">
        <v>1.86638907037875</v>
      </c>
      <c r="U3802">
        <v>-5.1133658345319697</v>
      </c>
      <c r="V3802">
        <v>8.3232941543688294E-2</v>
      </c>
      <c r="W3802">
        <v>0.19232634909613999</v>
      </c>
      <c r="X3802">
        <v>0</v>
      </c>
      <c r="Y3802">
        <v>0</v>
      </c>
    </row>
    <row r="3803" spans="1:25" x14ac:dyDescent="0.2">
      <c r="A3803" t="s">
        <v>13943</v>
      </c>
      <c r="B3803" t="s">
        <v>13944</v>
      </c>
      <c r="C3803" t="s">
        <v>13945</v>
      </c>
      <c r="D3803" t="s">
        <v>13946</v>
      </c>
      <c r="E3803" t="s">
        <v>13944</v>
      </c>
      <c r="F3803" t="s">
        <v>28</v>
      </c>
      <c r="G3803" t="s">
        <v>13944</v>
      </c>
      <c r="H3803" t="str">
        <f>"exos-1"</f>
        <v>exos-1</v>
      </c>
      <c r="I3803" t="s">
        <v>13946</v>
      </c>
      <c r="J3803">
        <v>14.3121346076758</v>
      </c>
      <c r="K3803">
        <v>14.239170927059901</v>
      </c>
      <c r="L3803">
        <v>14.0998776531603</v>
      </c>
      <c r="M3803">
        <v>13.408571729002301</v>
      </c>
      <c r="N3803">
        <v>13.952031680927799</v>
      </c>
      <c r="O3803">
        <v>13.9861012113036</v>
      </c>
      <c r="P3803">
        <v>-0.43482618888742403</v>
      </c>
      <c r="Q3803">
        <v>-0.82569929317708701</v>
      </c>
      <c r="R3803">
        <v>-4.39530845977609E-2</v>
      </c>
      <c r="S3803">
        <v>13.967339031047301</v>
      </c>
      <c r="T3803">
        <v>-2.3381502644769099</v>
      </c>
      <c r="U3803">
        <v>-4.6549111644400902</v>
      </c>
      <c r="V3803">
        <v>3.1195885009130699E-2</v>
      </c>
      <c r="W3803">
        <v>9.9173973162791904E-2</v>
      </c>
      <c r="X3803">
        <v>0</v>
      </c>
      <c r="Y3803">
        <v>0</v>
      </c>
    </row>
    <row r="3804" spans="1:25" x14ac:dyDescent="0.2">
      <c r="A3804" t="s">
        <v>13947</v>
      </c>
      <c r="B3804" t="s">
        <v>13948</v>
      </c>
      <c r="C3804" t="s">
        <v>13949</v>
      </c>
      <c r="D3804" t="s">
        <v>13950</v>
      </c>
      <c r="E3804" t="s">
        <v>13948</v>
      </c>
      <c r="F3804" t="s">
        <v>28</v>
      </c>
      <c r="G3804" t="s">
        <v>13948</v>
      </c>
      <c r="H3804" t="str">
        <f>"Y48A6B.3"</f>
        <v>Y48A6B.3</v>
      </c>
      <c r="I3804" t="s">
        <v>13950</v>
      </c>
      <c r="J3804">
        <v>14.9633314452939</v>
      </c>
      <c r="K3804">
        <v>14.434426351986399</v>
      </c>
      <c r="L3804">
        <v>15.121882272838</v>
      </c>
      <c r="M3804">
        <v>15.350764618056701</v>
      </c>
      <c r="N3804">
        <v>15.3026201912506</v>
      </c>
      <c r="O3804">
        <v>14.789587000345101</v>
      </c>
      <c r="P3804">
        <v>0.307777246511375</v>
      </c>
      <c r="Q3804">
        <v>-9.8874691092073003E-2</v>
      </c>
      <c r="R3804">
        <v>0.71442918411482204</v>
      </c>
      <c r="S3804">
        <v>14.7348951069187</v>
      </c>
      <c r="T3804">
        <v>1.59076554977352</v>
      </c>
      <c r="U3804">
        <v>-5.9146948508735102</v>
      </c>
      <c r="V3804">
        <v>0.12917279419677799</v>
      </c>
      <c r="W3804">
        <v>0.26230264277952497</v>
      </c>
      <c r="X3804">
        <v>0</v>
      </c>
      <c r="Y3804">
        <v>0</v>
      </c>
    </row>
    <row r="3805" spans="1:25" x14ac:dyDescent="0.2">
      <c r="A3805" t="s">
        <v>13951</v>
      </c>
      <c r="B3805" t="s">
        <v>13952</v>
      </c>
      <c r="C3805" t="s">
        <v>13953</v>
      </c>
      <c r="D3805" t="s">
        <v>13954</v>
      </c>
      <c r="E3805" t="s">
        <v>13952</v>
      </c>
      <c r="F3805" t="s">
        <v>28</v>
      </c>
      <c r="G3805" t="s">
        <v>13952</v>
      </c>
      <c r="H3805" t="str">
        <f>"oxi-1"</f>
        <v>oxi-1</v>
      </c>
      <c r="I3805" t="s">
        <v>13954</v>
      </c>
      <c r="J3805" t="s">
        <v>29</v>
      </c>
      <c r="K3805" t="s">
        <v>29</v>
      </c>
      <c r="L3805">
        <v>11.5328536150083</v>
      </c>
      <c r="M3805" t="s">
        <v>29</v>
      </c>
      <c r="N3805" t="s">
        <v>29</v>
      </c>
      <c r="O3805" t="s">
        <v>29</v>
      </c>
      <c r="P3805" t="s">
        <v>29</v>
      </c>
      <c r="Q3805" t="s">
        <v>29</v>
      </c>
      <c r="R3805" t="s">
        <v>29</v>
      </c>
      <c r="S3805">
        <v>12.291236915736301</v>
      </c>
      <c r="T3805" t="s">
        <v>29</v>
      </c>
      <c r="U3805" t="s">
        <v>29</v>
      </c>
      <c r="V3805" t="s">
        <v>29</v>
      </c>
      <c r="W3805" t="s">
        <v>29</v>
      </c>
      <c r="X3805" t="s">
        <v>29</v>
      </c>
      <c r="Y3805" t="s">
        <v>29</v>
      </c>
    </row>
    <row r="3806" spans="1:25" x14ac:dyDescent="0.2">
      <c r="A3806" t="s">
        <v>13955</v>
      </c>
      <c r="B3806" t="s">
        <v>13956</v>
      </c>
      <c r="C3806" t="s">
        <v>14774</v>
      </c>
      <c r="D3806" t="s">
        <v>13957</v>
      </c>
      <c r="E3806" t="s">
        <v>13956</v>
      </c>
      <c r="F3806" t="s">
        <v>28</v>
      </c>
      <c r="G3806" t="s">
        <v>13956</v>
      </c>
      <c r="H3806" t="str">
        <f>"Y17G7B.17"</f>
        <v>Y17G7B.17</v>
      </c>
      <c r="I3806" t="s">
        <v>13957</v>
      </c>
      <c r="J3806">
        <v>13.276190424464801</v>
      </c>
      <c r="K3806">
        <v>12.953578128775201</v>
      </c>
      <c r="L3806">
        <v>12.135557815695201</v>
      </c>
      <c r="M3806" t="s">
        <v>29</v>
      </c>
      <c r="N3806" t="s">
        <v>29</v>
      </c>
      <c r="O3806" t="s">
        <v>29</v>
      </c>
      <c r="P3806" t="s">
        <v>29</v>
      </c>
      <c r="Q3806" t="s">
        <v>29</v>
      </c>
      <c r="R3806" t="s">
        <v>29</v>
      </c>
      <c r="S3806">
        <v>12.858592343952401</v>
      </c>
      <c r="T3806" t="s">
        <v>29</v>
      </c>
      <c r="U3806" t="s">
        <v>29</v>
      </c>
      <c r="V3806" t="s">
        <v>29</v>
      </c>
      <c r="W3806" t="s">
        <v>29</v>
      </c>
      <c r="X3806" t="s">
        <v>29</v>
      </c>
      <c r="Y3806" t="s">
        <v>29</v>
      </c>
    </row>
    <row r="3807" spans="1:25" x14ac:dyDescent="0.2">
      <c r="A3807" t="s">
        <v>13958</v>
      </c>
      <c r="B3807" t="s">
        <v>13959</v>
      </c>
      <c r="C3807" t="s">
        <v>13960</v>
      </c>
      <c r="D3807" t="s">
        <v>13961</v>
      </c>
      <c r="E3807" t="s">
        <v>13959</v>
      </c>
      <c r="F3807" t="s">
        <v>28</v>
      </c>
      <c r="G3807" t="s">
        <v>13959</v>
      </c>
      <c r="H3807" t="str">
        <f>"cnt-1"</f>
        <v>cnt-1</v>
      </c>
      <c r="I3807" t="s">
        <v>13961</v>
      </c>
      <c r="J3807">
        <v>11.490376201206701</v>
      </c>
      <c r="K3807">
        <v>11.9478749160194</v>
      </c>
      <c r="L3807">
        <v>11.6996731371656</v>
      </c>
      <c r="M3807" t="s">
        <v>29</v>
      </c>
      <c r="N3807" t="s">
        <v>29</v>
      </c>
      <c r="O3807">
        <v>12.440679896222701</v>
      </c>
      <c r="P3807">
        <v>0.72803847809209199</v>
      </c>
      <c r="Q3807">
        <v>0.117310537398069</v>
      </c>
      <c r="R3807">
        <v>1.3387664187861099</v>
      </c>
      <c r="S3807">
        <v>11.9781937134148</v>
      </c>
      <c r="T3807">
        <v>2.54242499572671</v>
      </c>
      <c r="U3807">
        <v>-3.9888460270692998</v>
      </c>
      <c r="V3807">
        <v>2.2624510870098001E-2</v>
      </c>
      <c r="W3807">
        <v>7.9849620999016505E-2</v>
      </c>
      <c r="X3807">
        <v>0</v>
      </c>
      <c r="Y3807">
        <v>0</v>
      </c>
    </row>
    <row r="3808" spans="1:25" x14ac:dyDescent="0.2">
      <c r="A3808" t="s">
        <v>13962</v>
      </c>
      <c r="B3808" t="s">
        <v>13963</v>
      </c>
      <c r="C3808" t="s">
        <v>14775</v>
      </c>
      <c r="D3808" t="s">
        <v>13964</v>
      </c>
      <c r="E3808" t="s">
        <v>13963</v>
      </c>
      <c r="F3808" t="s">
        <v>28</v>
      </c>
      <c r="G3808" t="s">
        <v>13963</v>
      </c>
      <c r="H3808" t="str">
        <f>"Y17G7B.12"</f>
        <v>Y17G7B.12</v>
      </c>
      <c r="I3808" t="s">
        <v>13964</v>
      </c>
      <c r="J3808">
        <v>10.9750029049047</v>
      </c>
      <c r="K3808">
        <v>11.027454577831</v>
      </c>
      <c r="L3808">
        <v>11.134318280758199</v>
      </c>
      <c r="M3808" t="s">
        <v>29</v>
      </c>
      <c r="N3808">
        <v>11.717964673518599</v>
      </c>
      <c r="O3808">
        <v>10.6841292699346</v>
      </c>
      <c r="P3808">
        <v>0.15545505056193501</v>
      </c>
      <c r="Q3808">
        <v>-1.2031800565952799</v>
      </c>
      <c r="R3808">
        <v>1.5140901577191499</v>
      </c>
      <c r="S3808">
        <v>11.345416241392501</v>
      </c>
      <c r="T3808">
        <v>0.245580509796925</v>
      </c>
      <c r="U3808">
        <v>-7.01346040249254</v>
      </c>
      <c r="V3808">
        <v>0.80959715421455902</v>
      </c>
      <c r="W3808">
        <v>0.88161066977430702</v>
      </c>
      <c r="X3808">
        <v>0</v>
      </c>
      <c r="Y3808">
        <v>0</v>
      </c>
    </row>
    <row r="3809" spans="1:25" x14ac:dyDescent="0.2">
      <c r="A3809" t="s">
        <v>13965</v>
      </c>
      <c r="B3809" t="s">
        <v>13966</v>
      </c>
      <c r="C3809" t="s">
        <v>13967</v>
      </c>
      <c r="D3809" t="s">
        <v>13968</v>
      </c>
      <c r="E3809" t="s">
        <v>13966</v>
      </c>
      <c r="F3809" t="s">
        <v>28</v>
      </c>
      <c r="G3809" t="s">
        <v>13966</v>
      </c>
      <c r="H3809" t="str">
        <f>"mcm-2"</f>
        <v>mcm-2</v>
      </c>
      <c r="I3809" t="s">
        <v>13968</v>
      </c>
      <c r="J3809">
        <v>15.371256251876099</v>
      </c>
      <c r="K3809">
        <v>15.4351198593773</v>
      </c>
      <c r="L3809">
        <v>15.534679479992199</v>
      </c>
      <c r="M3809">
        <v>15.057815830582999</v>
      </c>
      <c r="N3809">
        <v>15.159592153130401</v>
      </c>
      <c r="O3809">
        <v>15.6377142603535</v>
      </c>
      <c r="P3809">
        <v>-0.16197778239291499</v>
      </c>
      <c r="Q3809">
        <v>-0.56096644273280505</v>
      </c>
      <c r="R3809">
        <v>0.23701087794697501</v>
      </c>
      <c r="S3809">
        <v>15.4553352014665</v>
      </c>
      <c r="T3809">
        <v>-0.85327183230707704</v>
      </c>
      <c r="U3809">
        <v>-6.7818277400351397</v>
      </c>
      <c r="V3809">
        <v>0.404785521049076</v>
      </c>
      <c r="W3809">
        <v>0.57351102429405099</v>
      </c>
      <c r="X3809">
        <v>0</v>
      </c>
      <c r="Y3809">
        <v>0</v>
      </c>
    </row>
    <row r="3810" spans="1:25" x14ac:dyDescent="0.2">
      <c r="A3810" t="s">
        <v>13969</v>
      </c>
      <c r="B3810" t="s">
        <v>13970</v>
      </c>
      <c r="C3810" t="s">
        <v>13971</v>
      </c>
      <c r="D3810" t="s">
        <v>13972</v>
      </c>
      <c r="E3810" t="s">
        <v>13970</v>
      </c>
      <c r="F3810" t="s">
        <v>28</v>
      </c>
      <c r="G3810" t="s">
        <v>13970</v>
      </c>
      <c r="H3810" t="str">
        <f>"atp-1"</f>
        <v>atp-1</v>
      </c>
      <c r="I3810" t="s">
        <v>13972</v>
      </c>
      <c r="J3810">
        <v>20.716976783114301</v>
      </c>
      <c r="K3810">
        <v>20.524841077926698</v>
      </c>
      <c r="L3810">
        <v>20.446142249478999</v>
      </c>
      <c r="M3810">
        <v>20.709809109489299</v>
      </c>
      <c r="N3810">
        <v>20.126002672989902</v>
      </c>
      <c r="O3810">
        <v>20.182328543721699</v>
      </c>
      <c r="P3810">
        <v>-0.22327326143972601</v>
      </c>
      <c r="Q3810">
        <v>-0.60033767626369505</v>
      </c>
      <c r="R3810">
        <v>0.15379115338424301</v>
      </c>
      <c r="S3810">
        <v>20.3160625490328</v>
      </c>
      <c r="T3810">
        <v>-1.2445538177230899</v>
      </c>
      <c r="U3810">
        <v>-6.3769128653482703</v>
      </c>
      <c r="V3810">
        <v>0.229349706902883</v>
      </c>
      <c r="W3810">
        <v>0.39387738126037097</v>
      </c>
      <c r="X3810">
        <v>0</v>
      </c>
      <c r="Y3810">
        <v>0</v>
      </c>
    </row>
    <row r="3811" spans="1:25" x14ac:dyDescent="0.2">
      <c r="A3811" t="s">
        <v>13973</v>
      </c>
      <c r="B3811" t="s">
        <v>13974</v>
      </c>
      <c r="C3811" t="s">
        <v>13975</v>
      </c>
      <c r="D3811" t="s">
        <v>13976</v>
      </c>
      <c r="E3811" t="s">
        <v>13974</v>
      </c>
      <c r="F3811" t="s">
        <v>28</v>
      </c>
      <c r="G3811" t="s">
        <v>13974</v>
      </c>
      <c r="H3811" t="str">
        <f>"tram-1"</f>
        <v>tram-1</v>
      </c>
      <c r="I3811" t="s">
        <v>13976</v>
      </c>
      <c r="J3811">
        <v>15.2289719559804</v>
      </c>
      <c r="K3811">
        <v>15.517232802418</v>
      </c>
      <c r="L3811">
        <v>16.005146595171901</v>
      </c>
      <c r="M3811">
        <v>15.8388265753374</v>
      </c>
      <c r="N3811">
        <v>15.4485273457184</v>
      </c>
      <c r="O3811">
        <v>15.338285885596401</v>
      </c>
      <c r="P3811">
        <v>-4.1903848972662402E-2</v>
      </c>
      <c r="Q3811">
        <v>-0.52697871550025699</v>
      </c>
      <c r="R3811">
        <v>0.44317101755493199</v>
      </c>
      <c r="S3811">
        <v>16.0961982679001</v>
      </c>
      <c r="T3811">
        <v>-0.18156730864855899</v>
      </c>
      <c r="U3811">
        <v>-7.13901740923649</v>
      </c>
      <c r="V3811">
        <v>0.85796306398762201</v>
      </c>
      <c r="W3811">
        <v>0.91081309422605305</v>
      </c>
      <c r="X3811">
        <v>0</v>
      </c>
      <c r="Y3811">
        <v>0</v>
      </c>
    </row>
    <row r="3812" spans="1:25" x14ac:dyDescent="0.2">
      <c r="A3812" t="s">
        <v>13977</v>
      </c>
      <c r="B3812" t="s">
        <v>13978</v>
      </c>
      <c r="C3812" t="s">
        <v>14776</v>
      </c>
      <c r="D3812" t="s">
        <v>13979</v>
      </c>
      <c r="E3812" t="s">
        <v>13978</v>
      </c>
      <c r="F3812" t="s">
        <v>28</v>
      </c>
      <c r="G3812" t="s">
        <v>13978</v>
      </c>
      <c r="H3812" t="str">
        <f>"ZK1025.3"</f>
        <v>ZK1025.3</v>
      </c>
      <c r="I3812" t="s">
        <v>13979</v>
      </c>
      <c r="J3812">
        <v>11.5895583588897</v>
      </c>
      <c r="K3812" t="s">
        <v>29</v>
      </c>
      <c r="L3812">
        <v>11.784714111048499</v>
      </c>
      <c r="M3812" t="s">
        <v>29</v>
      </c>
      <c r="N3812" t="s">
        <v>29</v>
      </c>
      <c r="O3812">
        <v>11.987429175963101</v>
      </c>
      <c r="P3812">
        <v>0.30029294099398601</v>
      </c>
      <c r="Q3812">
        <v>-0.95284442721193796</v>
      </c>
      <c r="R3812">
        <v>1.55343030919991</v>
      </c>
      <c r="S3812">
        <v>11.638564581637199</v>
      </c>
      <c r="T3812">
        <v>0.53470387696635502</v>
      </c>
      <c r="U3812">
        <v>-6.6014747341185904</v>
      </c>
      <c r="V3812">
        <v>0.60466063219924804</v>
      </c>
      <c r="W3812">
        <v>0.73633672855007604</v>
      </c>
      <c r="X3812">
        <v>0</v>
      </c>
      <c r="Y3812">
        <v>0</v>
      </c>
    </row>
    <row r="3813" spans="1:25" x14ac:dyDescent="0.2">
      <c r="A3813" t="s">
        <v>13980</v>
      </c>
      <c r="B3813" t="s">
        <v>13981</v>
      </c>
      <c r="C3813" t="s">
        <v>13982</v>
      </c>
      <c r="D3813" t="s">
        <v>13983</v>
      </c>
      <c r="E3813" t="s">
        <v>13981</v>
      </c>
      <c r="F3813" t="s">
        <v>28</v>
      </c>
      <c r="G3813" t="s">
        <v>13981</v>
      </c>
      <c r="H3813" t="str">
        <f>"pus-1"</f>
        <v>pus-1</v>
      </c>
      <c r="I3813" t="s">
        <v>13983</v>
      </c>
      <c r="J3813" t="s">
        <v>29</v>
      </c>
      <c r="K3813">
        <v>11.0049286819161</v>
      </c>
      <c r="L3813">
        <v>10.816839278202</v>
      </c>
      <c r="M3813" t="s">
        <v>29</v>
      </c>
      <c r="N3813" t="s">
        <v>29</v>
      </c>
      <c r="O3813" t="s">
        <v>29</v>
      </c>
      <c r="P3813" t="s">
        <v>29</v>
      </c>
      <c r="Q3813" t="s">
        <v>29</v>
      </c>
      <c r="R3813" t="s">
        <v>29</v>
      </c>
      <c r="S3813">
        <v>12.0126027228875</v>
      </c>
      <c r="T3813" t="s">
        <v>29</v>
      </c>
      <c r="U3813" t="s">
        <v>29</v>
      </c>
      <c r="V3813" t="s">
        <v>29</v>
      </c>
      <c r="W3813" t="s">
        <v>29</v>
      </c>
      <c r="X3813" t="s">
        <v>29</v>
      </c>
      <c r="Y3813" t="s">
        <v>29</v>
      </c>
    </row>
    <row r="3814" spans="1:25" x14ac:dyDescent="0.2">
      <c r="A3814" t="s">
        <v>13984</v>
      </c>
      <c r="B3814" t="s">
        <v>13985</v>
      </c>
      <c r="C3814" t="s">
        <v>13986</v>
      </c>
      <c r="D3814" t="s">
        <v>13987</v>
      </c>
      <c r="E3814" t="s">
        <v>13985</v>
      </c>
      <c r="F3814" t="s">
        <v>28</v>
      </c>
      <c r="G3814" t="s">
        <v>13985</v>
      </c>
      <c r="H3814" t="str">
        <f>"immt-2"</f>
        <v>immt-2</v>
      </c>
      <c r="I3814" t="s">
        <v>13987</v>
      </c>
      <c r="J3814">
        <v>12.2795031576649</v>
      </c>
      <c r="K3814">
        <v>12.067175803219801</v>
      </c>
      <c r="L3814">
        <v>12.4753333035047</v>
      </c>
      <c r="M3814" t="s">
        <v>29</v>
      </c>
      <c r="N3814" t="s">
        <v>29</v>
      </c>
      <c r="O3814" t="s">
        <v>29</v>
      </c>
      <c r="P3814" t="s">
        <v>29</v>
      </c>
      <c r="Q3814" t="s">
        <v>29</v>
      </c>
      <c r="R3814" t="s">
        <v>29</v>
      </c>
      <c r="S3814">
        <v>12.291076247971899</v>
      </c>
      <c r="T3814" t="s">
        <v>29</v>
      </c>
      <c r="U3814" t="s">
        <v>29</v>
      </c>
      <c r="V3814" t="s">
        <v>29</v>
      </c>
      <c r="W3814" t="s">
        <v>29</v>
      </c>
      <c r="X3814" t="s">
        <v>29</v>
      </c>
      <c r="Y3814" t="s">
        <v>29</v>
      </c>
    </row>
    <row r="3815" spans="1:25" x14ac:dyDescent="0.2">
      <c r="A3815" t="s">
        <v>13988</v>
      </c>
      <c r="B3815" t="s">
        <v>13989</v>
      </c>
      <c r="C3815" t="s">
        <v>13990</v>
      </c>
      <c r="D3815" t="s">
        <v>13991</v>
      </c>
      <c r="E3815" t="s">
        <v>13989</v>
      </c>
      <c r="F3815" t="s">
        <v>28</v>
      </c>
      <c r="G3815" t="s">
        <v>13989</v>
      </c>
      <c r="H3815" t="str">
        <f>"ngp-1"</f>
        <v>ngp-1</v>
      </c>
      <c r="I3815" t="s">
        <v>13991</v>
      </c>
      <c r="J3815">
        <v>15.179381807164701</v>
      </c>
      <c r="K3815">
        <v>15.1532913549224</v>
      </c>
      <c r="L3815">
        <v>15.402759368481799</v>
      </c>
      <c r="M3815">
        <v>14.745364782229601</v>
      </c>
      <c r="N3815">
        <v>15.248102099765401</v>
      </c>
      <c r="O3815">
        <v>14.685738051721099</v>
      </c>
      <c r="P3815">
        <v>-0.35207586561759102</v>
      </c>
      <c r="Q3815">
        <v>-0.75318347346326597</v>
      </c>
      <c r="R3815">
        <v>4.90317422280835E-2</v>
      </c>
      <c r="S3815">
        <v>15.815034015561</v>
      </c>
      <c r="T3815">
        <v>-1.8448789240908701</v>
      </c>
      <c r="U3815">
        <v>-5.5220196858384796</v>
      </c>
      <c r="V3815">
        <v>8.1672046595515704E-2</v>
      </c>
      <c r="W3815">
        <v>0.189816657190051</v>
      </c>
      <c r="X3815">
        <v>0</v>
      </c>
      <c r="Y3815">
        <v>0</v>
      </c>
    </row>
    <row r="3816" spans="1:25" x14ac:dyDescent="0.2">
      <c r="A3816" t="s">
        <v>13992</v>
      </c>
      <c r="B3816" t="s">
        <v>13993</v>
      </c>
      <c r="C3816" t="s">
        <v>14777</v>
      </c>
      <c r="D3816" t="s">
        <v>107</v>
      </c>
      <c r="E3816" t="s">
        <v>13993</v>
      </c>
      <c r="F3816" t="s">
        <v>28</v>
      </c>
      <c r="G3816" t="s">
        <v>13993</v>
      </c>
      <c r="H3816" t="str">
        <f>"Y51A2D.18"</f>
        <v>Y51A2D.18</v>
      </c>
      <c r="I3816" t="s">
        <v>107</v>
      </c>
      <c r="J3816">
        <v>13.094477072337201</v>
      </c>
      <c r="K3816">
        <v>13.3238149808243</v>
      </c>
      <c r="L3816">
        <v>12.9516020920861</v>
      </c>
      <c r="M3816">
        <v>13.2804726763695</v>
      </c>
      <c r="N3816">
        <v>12.453144450470599</v>
      </c>
      <c r="O3816">
        <v>12.749657735322799</v>
      </c>
      <c r="P3816">
        <v>-0.29553976102825902</v>
      </c>
      <c r="Q3816">
        <v>-0.75639208602538399</v>
      </c>
      <c r="R3816">
        <v>0.16531256396886701</v>
      </c>
      <c r="S3816">
        <v>12.989113016284</v>
      </c>
      <c r="T3816">
        <v>-1.34786578205883</v>
      </c>
      <c r="U3816">
        <v>-6.2485099806145996</v>
      </c>
      <c r="V3816">
        <v>0.194518288958238</v>
      </c>
      <c r="W3816">
        <v>0.35276639849841701</v>
      </c>
      <c r="X3816">
        <v>0</v>
      </c>
      <c r="Y3816">
        <v>0</v>
      </c>
    </row>
    <row r="3817" spans="1:25" x14ac:dyDescent="0.2">
      <c r="A3817" t="s">
        <v>13994</v>
      </c>
      <c r="B3817" t="s">
        <v>13995</v>
      </c>
      <c r="C3817" t="s">
        <v>13996</v>
      </c>
      <c r="D3817" t="s">
        <v>13997</v>
      </c>
      <c r="E3817" t="s">
        <v>13995</v>
      </c>
      <c r="F3817" t="s">
        <v>28</v>
      </c>
      <c r="G3817" t="s">
        <v>13995</v>
      </c>
      <c r="H3817" t="str">
        <f>"lpin-1"</f>
        <v>lpin-1</v>
      </c>
      <c r="I3817" t="s">
        <v>13997</v>
      </c>
      <c r="J3817">
        <v>15.504855970078101</v>
      </c>
      <c r="K3817">
        <v>15.602164722361101</v>
      </c>
      <c r="L3817">
        <v>15.179679060566199</v>
      </c>
      <c r="M3817">
        <v>14.0745522443484</v>
      </c>
      <c r="N3817">
        <v>14.9731638737025</v>
      </c>
      <c r="O3817">
        <v>15.1504801178808</v>
      </c>
      <c r="P3817">
        <v>-0.69616783902450896</v>
      </c>
      <c r="Q3817">
        <v>-1.17530382003676</v>
      </c>
      <c r="R3817">
        <v>-0.21703185801226199</v>
      </c>
      <c r="S3817">
        <v>14.837831972332699</v>
      </c>
      <c r="T3817">
        <v>-3.0538498753286398</v>
      </c>
      <c r="U3817">
        <v>-3.2226907493541201</v>
      </c>
      <c r="V3817">
        <v>6.86884527724777E-3</v>
      </c>
      <c r="W3817">
        <v>3.4909098010341102E-2</v>
      </c>
      <c r="X3817">
        <v>0</v>
      </c>
      <c r="Y3817">
        <v>0</v>
      </c>
    </row>
    <row r="3818" spans="1:25" x14ac:dyDescent="0.2">
      <c r="A3818" t="s">
        <v>13998</v>
      </c>
      <c r="B3818" t="s">
        <v>13999</v>
      </c>
      <c r="C3818" t="s">
        <v>14000</v>
      </c>
      <c r="D3818" t="s">
        <v>14001</v>
      </c>
      <c r="E3818" t="s">
        <v>13999</v>
      </c>
      <c r="F3818" t="s">
        <v>28</v>
      </c>
      <c r="G3818" t="s">
        <v>13999</v>
      </c>
      <c r="H3818" t="str">
        <f>"vha-11"</f>
        <v>vha-11</v>
      </c>
      <c r="I3818" t="s">
        <v>14001</v>
      </c>
      <c r="J3818">
        <v>16.544223413708</v>
      </c>
      <c r="K3818">
        <v>16.379108910973098</v>
      </c>
      <c r="L3818">
        <v>16.327277554965299</v>
      </c>
      <c r="M3818">
        <v>16.752453964013601</v>
      </c>
      <c r="N3818">
        <v>17.2002840742872</v>
      </c>
      <c r="O3818">
        <v>17.423277671663001</v>
      </c>
      <c r="P3818">
        <v>0.708468610105779</v>
      </c>
      <c r="Q3818">
        <v>0.276642437442913</v>
      </c>
      <c r="R3818">
        <v>1.14029478276865</v>
      </c>
      <c r="S3818">
        <v>16.473797861732798</v>
      </c>
      <c r="T3818">
        <v>3.4482930350298302</v>
      </c>
      <c r="U3818">
        <v>-2.3800758186195998</v>
      </c>
      <c r="V3818">
        <v>2.8873632511547502E-3</v>
      </c>
      <c r="W3818">
        <v>1.9014871258724201E-2</v>
      </c>
      <c r="X3818">
        <v>0</v>
      </c>
      <c r="Y3818">
        <v>0</v>
      </c>
    </row>
    <row r="3819" spans="1:25" x14ac:dyDescent="0.2">
      <c r="A3819" t="s">
        <v>14002</v>
      </c>
      <c r="B3819" t="s">
        <v>14003</v>
      </c>
      <c r="C3819" t="s">
        <v>14004</v>
      </c>
      <c r="D3819" t="s">
        <v>14005</v>
      </c>
      <c r="E3819" t="s">
        <v>14003</v>
      </c>
      <c r="F3819" t="s">
        <v>28</v>
      </c>
      <c r="G3819" t="s">
        <v>14003</v>
      </c>
      <c r="H3819" t="str">
        <f>"nhr-8"</f>
        <v>nhr-8</v>
      </c>
      <c r="I3819" t="s">
        <v>14005</v>
      </c>
      <c r="J3819" t="s">
        <v>29</v>
      </c>
      <c r="K3819">
        <v>11.171049044591401</v>
      </c>
      <c r="L3819">
        <v>11.2660258023091</v>
      </c>
      <c r="M3819" t="s">
        <v>29</v>
      </c>
      <c r="N3819" t="s">
        <v>29</v>
      </c>
      <c r="O3819" t="s">
        <v>29</v>
      </c>
      <c r="P3819" t="s">
        <v>29</v>
      </c>
      <c r="Q3819" t="s">
        <v>29</v>
      </c>
      <c r="R3819" t="s">
        <v>29</v>
      </c>
      <c r="S3819">
        <v>12.1323546618781</v>
      </c>
      <c r="T3819" t="s">
        <v>29</v>
      </c>
      <c r="U3819" t="s">
        <v>29</v>
      </c>
      <c r="V3819" t="s">
        <v>29</v>
      </c>
      <c r="W3819" t="s">
        <v>29</v>
      </c>
      <c r="X3819" t="s">
        <v>29</v>
      </c>
      <c r="Y3819" t="s">
        <v>29</v>
      </c>
    </row>
    <row r="3820" spans="1:25" x14ac:dyDescent="0.2">
      <c r="A3820" t="s">
        <v>14006</v>
      </c>
      <c r="B3820" t="s">
        <v>14007</v>
      </c>
      <c r="C3820" t="s">
        <v>14008</v>
      </c>
      <c r="D3820" t="s">
        <v>14009</v>
      </c>
      <c r="E3820" t="s">
        <v>14007</v>
      </c>
      <c r="F3820" t="s">
        <v>28</v>
      </c>
      <c r="G3820" t="s">
        <v>14007</v>
      </c>
      <c r="H3820" t="str">
        <f>"unc-11"</f>
        <v>unc-11</v>
      </c>
      <c r="I3820" t="s">
        <v>14009</v>
      </c>
      <c r="J3820" t="s">
        <v>29</v>
      </c>
      <c r="K3820" t="s">
        <v>29</v>
      </c>
      <c r="L3820" t="s">
        <v>29</v>
      </c>
      <c r="M3820" t="s">
        <v>29</v>
      </c>
      <c r="N3820">
        <v>12.098212942300499</v>
      </c>
      <c r="O3820">
        <v>13.7457030421158</v>
      </c>
      <c r="P3820" t="s">
        <v>29</v>
      </c>
      <c r="Q3820" t="s">
        <v>29</v>
      </c>
      <c r="R3820" t="s">
        <v>29</v>
      </c>
      <c r="S3820">
        <v>13.0705914222728</v>
      </c>
      <c r="T3820" t="s">
        <v>29</v>
      </c>
      <c r="U3820" t="s">
        <v>29</v>
      </c>
      <c r="V3820" t="s">
        <v>29</v>
      </c>
      <c r="W3820" t="s">
        <v>29</v>
      </c>
      <c r="X3820" t="s">
        <v>29</v>
      </c>
      <c r="Y3820" t="s">
        <v>29</v>
      </c>
    </row>
    <row r="3821" spans="1:25" x14ac:dyDescent="0.2">
      <c r="A3821" t="s">
        <v>14010</v>
      </c>
      <c r="B3821" t="s">
        <v>14011</v>
      </c>
      <c r="C3821" t="s">
        <v>14012</v>
      </c>
      <c r="D3821" t="s">
        <v>14013</v>
      </c>
      <c r="E3821" t="s">
        <v>14011</v>
      </c>
      <c r="F3821" t="s">
        <v>28</v>
      </c>
      <c r="G3821" t="s">
        <v>14011</v>
      </c>
      <c r="H3821" t="str">
        <f>"itr-1"</f>
        <v>itr-1</v>
      </c>
      <c r="I3821" t="s">
        <v>14013</v>
      </c>
      <c r="J3821">
        <v>13.094026599480101</v>
      </c>
      <c r="K3821">
        <v>12.738115171412799</v>
      </c>
      <c r="L3821">
        <v>12.6936737137032</v>
      </c>
      <c r="M3821" t="s">
        <v>29</v>
      </c>
      <c r="N3821">
        <v>12.2932258601986</v>
      </c>
      <c r="O3821">
        <v>12.401116958854301</v>
      </c>
      <c r="P3821">
        <v>-0.49476708533888702</v>
      </c>
      <c r="Q3821">
        <v>-0.98984467625238703</v>
      </c>
      <c r="R3821">
        <v>3.1050557461231903E-4</v>
      </c>
      <c r="S3821">
        <v>12.782597446788801</v>
      </c>
      <c r="T3821">
        <v>-2.1094903568193799</v>
      </c>
      <c r="U3821">
        <v>-4.97109150644655</v>
      </c>
      <c r="V3821">
        <v>5.0128337416312299E-2</v>
      </c>
      <c r="W3821">
        <v>0.13640647309868201</v>
      </c>
      <c r="X3821">
        <v>0</v>
      </c>
      <c r="Y3821">
        <v>0</v>
      </c>
    </row>
    <row r="3822" spans="1:25" x14ac:dyDescent="0.2">
      <c r="A3822" t="s">
        <v>14014</v>
      </c>
      <c r="B3822" t="s">
        <v>14015</v>
      </c>
      <c r="C3822" t="s">
        <v>14016</v>
      </c>
      <c r="D3822" t="s">
        <v>14017</v>
      </c>
      <c r="E3822" t="s">
        <v>14015</v>
      </c>
      <c r="F3822" t="s">
        <v>28</v>
      </c>
      <c r="G3822" t="s">
        <v>14015</v>
      </c>
      <c r="H3822" t="str">
        <f>"spl-1"</f>
        <v>spl-1</v>
      </c>
      <c r="I3822" t="s">
        <v>14017</v>
      </c>
      <c r="J3822">
        <v>13.948541474986699</v>
      </c>
      <c r="K3822">
        <v>12.861288586223401</v>
      </c>
      <c r="L3822">
        <v>13.180434438053201</v>
      </c>
      <c r="M3822" t="s">
        <v>29</v>
      </c>
      <c r="N3822" t="s">
        <v>29</v>
      </c>
      <c r="O3822">
        <v>11.8771975921332</v>
      </c>
      <c r="P3822">
        <v>-1.4528905742879401</v>
      </c>
      <c r="Q3822">
        <v>-2.27443796739683</v>
      </c>
      <c r="R3822">
        <v>-0.63134318117905996</v>
      </c>
      <c r="S3822">
        <v>13.592340064533699</v>
      </c>
      <c r="T3822">
        <v>-3.75102375199199</v>
      </c>
      <c r="U3822">
        <v>-1.54488813589218</v>
      </c>
      <c r="V3822">
        <v>1.7616280080925599E-3</v>
      </c>
      <c r="W3822">
        <v>1.34147745215731E-2</v>
      </c>
      <c r="X3822">
        <v>-1</v>
      </c>
      <c r="Y3822">
        <v>-1</v>
      </c>
    </row>
    <row r="3823" spans="1:25" x14ac:dyDescent="0.2">
      <c r="A3823" t="s">
        <v>14018</v>
      </c>
      <c r="B3823" t="s">
        <v>14019</v>
      </c>
      <c r="C3823" t="s">
        <v>14020</v>
      </c>
      <c r="D3823" t="s">
        <v>55</v>
      </c>
      <c r="E3823" t="s">
        <v>14019</v>
      </c>
      <c r="F3823" t="s">
        <v>28</v>
      </c>
      <c r="G3823" t="s">
        <v>14019</v>
      </c>
      <c r="H3823" t="str">
        <f>"rhgf-2"</f>
        <v>rhgf-2</v>
      </c>
      <c r="I3823" t="s">
        <v>55</v>
      </c>
      <c r="J3823" t="s">
        <v>29</v>
      </c>
      <c r="K3823" t="s">
        <v>29</v>
      </c>
      <c r="L3823">
        <v>10.1049599802417</v>
      </c>
      <c r="M3823" t="s">
        <v>29</v>
      </c>
      <c r="N3823" t="s">
        <v>29</v>
      </c>
      <c r="O3823">
        <v>12.4139621549967</v>
      </c>
      <c r="P3823">
        <v>2.3090021747549798</v>
      </c>
      <c r="Q3823">
        <v>1.3816543455118899</v>
      </c>
      <c r="R3823">
        <v>3.2363500039980702</v>
      </c>
      <c r="S3823">
        <v>11.2356297488886</v>
      </c>
      <c r="T3823">
        <v>5.4303359067401997</v>
      </c>
      <c r="U3823">
        <v>1.1491131436684301</v>
      </c>
      <c r="V3823">
        <v>1.5720350151688601E-4</v>
      </c>
      <c r="W3823">
        <v>2.41290999463678E-3</v>
      </c>
      <c r="X3823">
        <v>1</v>
      </c>
      <c r="Y3823">
        <v>1</v>
      </c>
    </row>
    <row r="3824" spans="1:25" x14ac:dyDescent="0.2">
      <c r="A3824" t="s">
        <v>14021</v>
      </c>
      <c r="B3824" t="s">
        <v>14022</v>
      </c>
      <c r="C3824" t="s">
        <v>14023</v>
      </c>
      <c r="D3824" t="s">
        <v>368</v>
      </c>
      <c r="E3824" t="s">
        <v>14022</v>
      </c>
      <c r="F3824" t="s">
        <v>28</v>
      </c>
      <c r="G3824" t="s">
        <v>14022</v>
      </c>
      <c r="H3824" t="str">
        <f>"C08F8.3"</f>
        <v>C08F8.3</v>
      </c>
      <c r="I3824" t="s">
        <v>368</v>
      </c>
      <c r="J3824" t="s">
        <v>29</v>
      </c>
      <c r="K3824">
        <v>10.889394821261099</v>
      </c>
      <c r="L3824">
        <v>10.385831802550699</v>
      </c>
      <c r="M3824" t="s">
        <v>29</v>
      </c>
      <c r="N3824" t="s">
        <v>29</v>
      </c>
      <c r="O3824" t="s">
        <v>29</v>
      </c>
      <c r="P3824" t="s">
        <v>29</v>
      </c>
      <c r="Q3824" t="s">
        <v>29</v>
      </c>
      <c r="R3824" t="s">
        <v>29</v>
      </c>
      <c r="S3824">
        <v>12.6421726338277</v>
      </c>
      <c r="T3824" t="s">
        <v>29</v>
      </c>
      <c r="U3824" t="s">
        <v>29</v>
      </c>
      <c r="V3824" t="s">
        <v>29</v>
      </c>
      <c r="W3824" t="s">
        <v>29</v>
      </c>
      <c r="X3824" t="s">
        <v>29</v>
      </c>
      <c r="Y3824" t="s">
        <v>29</v>
      </c>
    </row>
    <row r="3825" spans="1:25" x14ac:dyDescent="0.2">
      <c r="A3825" t="s">
        <v>14024</v>
      </c>
      <c r="B3825" t="s">
        <v>14025</v>
      </c>
      <c r="C3825" t="s">
        <v>14026</v>
      </c>
      <c r="D3825" t="s">
        <v>2378</v>
      </c>
      <c r="E3825" t="s">
        <v>14025</v>
      </c>
      <c r="F3825" t="s">
        <v>28</v>
      </c>
      <c r="G3825" t="s">
        <v>14025</v>
      </c>
      <c r="H3825" t="str">
        <f>"kcc-1"</f>
        <v>kcc-1</v>
      </c>
      <c r="I3825" t="s">
        <v>2378</v>
      </c>
      <c r="J3825">
        <v>15.7034509504364</v>
      </c>
      <c r="K3825">
        <v>15.6088679824372</v>
      </c>
      <c r="L3825">
        <v>14.8544879402357</v>
      </c>
      <c r="M3825">
        <v>14.614898987090699</v>
      </c>
      <c r="N3825">
        <v>14.857454883398701</v>
      </c>
      <c r="O3825">
        <v>15.416701974690801</v>
      </c>
      <c r="P3825">
        <v>-0.425917009309703</v>
      </c>
      <c r="Q3825">
        <v>-0.94402628395798804</v>
      </c>
      <c r="R3825">
        <v>9.21922653385812E-2</v>
      </c>
      <c r="S3825">
        <v>14.791652250023899</v>
      </c>
      <c r="T3825">
        <v>-1.72781058709554</v>
      </c>
      <c r="U3825">
        <v>-5.7080749033768896</v>
      </c>
      <c r="V3825">
        <v>0.10123964701749399</v>
      </c>
      <c r="W3825">
        <v>0.21888013957106001</v>
      </c>
      <c r="X3825">
        <v>0</v>
      </c>
      <c r="Y3825">
        <v>0</v>
      </c>
    </row>
    <row r="3826" spans="1:25" x14ac:dyDescent="0.2">
      <c r="A3826" t="s">
        <v>14027</v>
      </c>
      <c r="B3826" t="s">
        <v>14028</v>
      </c>
      <c r="C3826" t="s">
        <v>14029</v>
      </c>
      <c r="D3826" t="s">
        <v>14030</v>
      </c>
      <c r="E3826" t="s">
        <v>14028</v>
      </c>
      <c r="F3826" t="s">
        <v>28</v>
      </c>
      <c r="G3826" t="s">
        <v>14028</v>
      </c>
      <c r="H3826" t="str">
        <f>"ptrn-1"</f>
        <v>ptrn-1</v>
      </c>
      <c r="I3826" t="s">
        <v>14030</v>
      </c>
      <c r="J3826">
        <v>14.1471381057417</v>
      </c>
      <c r="K3826">
        <v>14.442798018662801</v>
      </c>
      <c r="L3826">
        <v>14.4625752604718</v>
      </c>
      <c r="M3826">
        <v>14.464424661353201</v>
      </c>
      <c r="N3826">
        <v>14.103203811982301</v>
      </c>
      <c r="O3826">
        <v>13.400753525786699</v>
      </c>
      <c r="P3826">
        <v>-0.36137646191804002</v>
      </c>
      <c r="Q3826">
        <v>-0.818889618953208</v>
      </c>
      <c r="R3826">
        <v>9.6136695117128607E-2</v>
      </c>
      <c r="S3826">
        <v>14.4783816917897</v>
      </c>
      <c r="T3826">
        <v>-1.6601555699314099</v>
      </c>
      <c r="U3826">
        <v>-5.8116371241528402</v>
      </c>
      <c r="V3826">
        <v>0.11430408448162301</v>
      </c>
      <c r="W3826">
        <v>0.23847986273407801</v>
      </c>
      <c r="X3826">
        <v>0</v>
      </c>
      <c r="Y3826">
        <v>0</v>
      </c>
    </row>
    <row r="3827" spans="1:25" x14ac:dyDescent="0.2">
      <c r="A3827" t="s">
        <v>14031</v>
      </c>
      <c r="B3827" t="s">
        <v>14032</v>
      </c>
      <c r="C3827" t="s">
        <v>14033</v>
      </c>
      <c r="D3827" t="s">
        <v>758</v>
      </c>
      <c r="E3827" t="s">
        <v>14032</v>
      </c>
      <c r="F3827" t="s">
        <v>28</v>
      </c>
      <c r="G3827" t="s">
        <v>14032</v>
      </c>
      <c r="H3827" t="str">
        <f>"fln-1"</f>
        <v>fln-1</v>
      </c>
      <c r="I3827" t="s">
        <v>758</v>
      </c>
      <c r="J3827">
        <v>17.2445739130034</v>
      </c>
      <c r="K3827">
        <v>17.0915831914492</v>
      </c>
      <c r="L3827">
        <v>17.153126622775002</v>
      </c>
      <c r="M3827">
        <v>17.052075386886699</v>
      </c>
      <c r="N3827">
        <v>17.0501148858181</v>
      </c>
      <c r="O3827">
        <v>17.0268752247033</v>
      </c>
      <c r="P3827">
        <v>-0.12007274327317</v>
      </c>
      <c r="Q3827">
        <v>-0.42010349291288002</v>
      </c>
      <c r="R3827">
        <v>0.179958006366541</v>
      </c>
      <c r="S3827">
        <v>16.932299273038002</v>
      </c>
      <c r="T3827">
        <v>-0.84114560295877605</v>
      </c>
      <c r="U3827">
        <v>-6.7921922935094203</v>
      </c>
      <c r="V3827">
        <v>0.411365827337839</v>
      </c>
      <c r="W3827">
        <v>0.579101305591322</v>
      </c>
      <c r="X3827">
        <v>0</v>
      </c>
      <c r="Y3827">
        <v>0</v>
      </c>
    </row>
    <row r="3828" spans="1:25" x14ac:dyDescent="0.2">
      <c r="A3828" t="s">
        <v>14034</v>
      </c>
      <c r="B3828" t="s">
        <v>14035</v>
      </c>
      <c r="C3828" t="s">
        <v>14778</v>
      </c>
      <c r="D3828" t="s">
        <v>14036</v>
      </c>
      <c r="E3828" t="s">
        <v>14035</v>
      </c>
      <c r="F3828" t="s">
        <v>28</v>
      </c>
      <c r="G3828" t="s">
        <v>14035</v>
      </c>
      <c r="H3828" t="str">
        <f>"Y37E11AM.3"</f>
        <v>Y37E11AM.3</v>
      </c>
      <c r="I3828" t="s">
        <v>14036</v>
      </c>
      <c r="J3828">
        <v>13.1037110933284</v>
      </c>
      <c r="K3828">
        <v>13.0131416487057</v>
      </c>
      <c r="L3828">
        <v>12.904995993577099</v>
      </c>
      <c r="M3828" t="s">
        <v>29</v>
      </c>
      <c r="N3828" t="s">
        <v>29</v>
      </c>
      <c r="O3828">
        <v>12.8742125487476</v>
      </c>
      <c r="P3828">
        <v>-0.13307036312281001</v>
      </c>
      <c r="Q3828">
        <v>-0.69024310467915495</v>
      </c>
      <c r="R3828">
        <v>0.42410237843353499</v>
      </c>
      <c r="S3828">
        <v>12.532935450847001</v>
      </c>
      <c r="T3828">
        <v>-0.50657180086187603</v>
      </c>
      <c r="U3828">
        <v>-6.6790264943492401</v>
      </c>
      <c r="V3828">
        <v>0.61940957088969395</v>
      </c>
      <c r="W3828">
        <v>0.74597466506413102</v>
      </c>
      <c r="X3828">
        <v>0</v>
      </c>
      <c r="Y3828">
        <v>0</v>
      </c>
    </row>
    <row r="3829" spans="1:25" x14ac:dyDescent="0.2">
      <c r="A3829" t="s">
        <v>14037</v>
      </c>
      <c r="B3829" t="s">
        <v>14038</v>
      </c>
      <c r="C3829" t="s">
        <v>14039</v>
      </c>
      <c r="D3829" t="s">
        <v>14040</v>
      </c>
      <c r="E3829" t="s">
        <v>14038</v>
      </c>
      <c r="F3829" t="s">
        <v>28</v>
      </c>
      <c r="G3829" t="s">
        <v>14038</v>
      </c>
      <c r="H3829" t="str">
        <f>"denn-4"</f>
        <v>denn-4</v>
      </c>
      <c r="I3829" t="s">
        <v>14040</v>
      </c>
      <c r="J3829">
        <v>13.970529509683301</v>
      </c>
      <c r="K3829">
        <v>13.650815977637</v>
      </c>
      <c r="L3829">
        <v>13.5067947074477</v>
      </c>
      <c r="M3829" t="s">
        <v>29</v>
      </c>
      <c r="N3829">
        <v>13.8684990624348</v>
      </c>
      <c r="O3829">
        <v>13.9779061498265</v>
      </c>
      <c r="P3829">
        <v>0.213822541207978</v>
      </c>
      <c r="Q3829">
        <v>-0.28293537455477202</v>
      </c>
      <c r="R3829">
        <v>0.71058045697072902</v>
      </c>
      <c r="S3829">
        <v>13.791184702143999</v>
      </c>
      <c r="T3829">
        <v>0.90857065020929395</v>
      </c>
      <c r="U3829">
        <v>-6.6218918444891299</v>
      </c>
      <c r="V3829">
        <v>0.37635548103241701</v>
      </c>
      <c r="W3829">
        <v>0.54262211477619005</v>
      </c>
      <c r="X3829">
        <v>0</v>
      </c>
      <c r="Y3829">
        <v>0</v>
      </c>
    </row>
    <row r="3830" spans="1:25" x14ac:dyDescent="0.2">
      <c r="A3830" t="s">
        <v>14041</v>
      </c>
      <c r="B3830" t="s">
        <v>14042</v>
      </c>
      <c r="C3830" t="s">
        <v>14043</v>
      </c>
      <c r="D3830" t="s">
        <v>14044</v>
      </c>
      <c r="E3830" t="s">
        <v>14042</v>
      </c>
      <c r="F3830" t="s">
        <v>28</v>
      </c>
      <c r="G3830" t="s">
        <v>14042</v>
      </c>
      <c r="H3830" t="str">
        <f>"tftc-1"</f>
        <v>tftc-1</v>
      </c>
      <c r="I3830" t="s">
        <v>14044</v>
      </c>
      <c r="J3830">
        <v>12.2279304914282</v>
      </c>
      <c r="K3830">
        <v>12.5958127160113</v>
      </c>
      <c r="L3830">
        <v>12.3891350585293</v>
      </c>
      <c r="M3830">
        <v>11.8679457864136</v>
      </c>
      <c r="N3830">
        <v>12.3469627556877</v>
      </c>
      <c r="O3830">
        <v>12.3987204718758</v>
      </c>
      <c r="P3830">
        <v>-0.199749750663859</v>
      </c>
      <c r="Q3830">
        <v>-0.64532705366847198</v>
      </c>
      <c r="R3830">
        <v>0.24582755234075401</v>
      </c>
      <c r="S3830">
        <v>12.801848261961499</v>
      </c>
      <c r="T3830">
        <v>-0.94222733315054197</v>
      </c>
      <c r="U3830">
        <v>-6.7016499664420301</v>
      </c>
      <c r="V3830">
        <v>0.35862356775224702</v>
      </c>
      <c r="W3830">
        <v>0.52843182708293601</v>
      </c>
      <c r="X3830">
        <v>0</v>
      </c>
      <c r="Y3830">
        <v>0</v>
      </c>
    </row>
    <row r="3831" spans="1:25" x14ac:dyDescent="0.2">
      <c r="A3831" t="s">
        <v>14045</v>
      </c>
      <c r="B3831" t="s">
        <v>14046</v>
      </c>
      <c r="C3831" t="s">
        <v>14047</v>
      </c>
      <c r="D3831" t="s">
        <v>13954</v>
      </c>
      <c r="E3831" t="s">
        <v>14046</v>
      </c>
      <c r="F3831" t="s">
        <v>28</v>
      </c>
      <c r="G3831" t="s">
        <v>14046</v>
      </c>
      <c r="H3831" t="str">
        <f>"eel-1"</f>
        <v>eel-1</v>
      </c>
      <c r="I3831" t="s">
        <v>13954</v>
      </c>
      <c r="J3831">
        <v>13.7701216368829</v>
      </c>
      <c r="K3831">
        <v>13.5672111700194</v>
      </c>
      <c r="L3831">
        <v>13.813988087041199</v>
      </c>
      <c r="M3831">
        <v>19.001783168850601</v>
      </c>
      <c r="N3831">
        <v>13.7464438040291</v>
      </c>
      <c r="O3831">
        <v>13.871405058774</v>
      </c>
      <c r="P3831">
        <v>1.82277037923676</v>
      </c>
      <c r="Q3831">
        <v>6.3367766864724298E-2</v>
      </c>
      <c r="R3831">
        <v>3.5821729916087901</v>
      </c>
      <c r="S3831">
        <v>14.197384734129599</v>
      </c>
      <c r="T3831">
        <v>2.1775054124762199</v>
      </c>
      <c r="U3831">
        <v>-4.9506393781720099</v>
      </c>
      <c r="V3831">
        <v>4.3072167272895603E-2</v>
      </c>
      <c r="W3831">
        <v>0.122878680496828</v>
      </c>
      <c r="X3831">
        <v>1</v>
      </c>
      <c r="Y3831">
        <v>0</v>
      </c>
    </row>
    <row r="3832" spans="1:25" x14ac:dyDescent="0.2">
      <c r="A3832" t="s">
        <v>14048</v>
      </c>
      <c r="B3832" t="s">
        <v>14049</v>
      </c>
      <c r="C3832" t="s">
        <v>14050</v>
      </c>
      <c r="D3832" t="s">
        <v>2180</v>
      </c>
      <c r="E3832" t="s">
        <v>14049</v>
      </c>
      <c r="F3832" t="s">
        <v>28</v>
      </c>
      <c r="G3832" t="s">
        <v>14049</v>
      </c>
      <c r="H3832" t="str">
        <f>"hum-8"</f>
        <v>hum-8</v>
      </c>
      <c r="I3832" t="s">
        <v>2180</v>
      </c>
      <c r="J3832">
        <v>13.7265332401834</v>
      </c>
      <c r="K3832">
        <v>13.6854602727696</v>
      </c>
      <c r="L3832">
        <v>13.5455140107844</v>
      </c>
      <c r="M3832" t="s">
        <v>29</v>
      </c>
      <c r="N3832">
        <v>13.147966569051899</v>
      </c>
      <c r="O3832">
        <v>13.173747543228</v>
      </c>
      <c r="P3832">
        <v>-0.49164545177255198</v>
      </c>
      <c r="Q3832">
        <v>-0.96319901049101497</v>
      </c>
      <c r="R3832">
        <v>-2.00918930540889E-2</v>
      </c>
      <c r="S3832">
        <v>13.344100105670201</v>
      </c>
      <c r="T3832">
        <v>-2.2007515290083801</v>
      </c>
      <c r="U3832">
        <v>-4.8092493667392704</v>
      </c>
      <c r="V3832">
        <v>4.1954096529864503E-2</v>
      </c>
      <c r="W3832">
        <v>0.120883913229484</v>
      </c>
      <c r="X3832">
        <v>0</v>
      </c>
      <c r="Y3832">
        <v>0</v>
      </c>
    </row>
    <row r="3833" spans="1:25" x14ac:dyDescent="0.2">
      <c r="A3833" t="s">
        <v>14051</v>
      </c>
      <c r="B3833" t="s">
        <v>14052</v>
      </c>
      <c r="C3833" t="s">
        <v>14779</v>
      </c>
      <c r="D3833" t="s">
        <v>581</v>
      </c>
      <c r="E3833" t="s">
        <v>14052</v>
      </c>
      <c r="F3833" t="s">
        <v>28</v>
      </c>
      <c r="G3833" t="s">
        <v>14052</v>
      </c>
      <c r="H3833" t="str">
        <f>"Y76B12C.6"</f>
        <v>Y76B12C.6</v>
      </c>
      <c r="I3833" t="s">
        <v>581</v>
      </c>
      <c r="J3833">
        <v>11.1592733698904</v>
      </c>
      <c r="K3833" t="s">
        <v>29</v>
      </c>
      <c r="L3833">
        <v>11.1643901506073</v>
      </c>
      <c r="M3833" t="s">
        <v>29</v>
      </c>
      <c r="N3833" t="s">
        <v>29</v>
      </c>
      <c r="O3833" t="s">
        <v>29</v>
      </c>
      <c r="P3833" t="s">
        <v>29</v>
      </c>
      <c r="Q3833" t="s">
        <v>29</v>
      </c>
      <c r="R3833" t="s">
        <v>29</v>
      </c>
      <c r="S3833">
        <v>12.310289819498401</v>
      </c>
      <c r="T3833" t="s">
        <v>29</v>
      </c>
      <c r="U3833" t="s">
        <v>29</v>
      </c>
      <c r="V3833" t="s">
        <v>29</v>
      </c>
      <c r="W3833" t="s">
        <v>29</v>
      </c>
      <c r="X3833" t="s">
        <v>29</v>
      </c>
      <c r="Y3833" t="s">
        <v>29</v>
      </c>
    </row>
    <row r="3834" spans="1:25" x14ac:dyDescent="0.2">
      <c r="A3834" t="s">
        <v>14053</v>
      </c>
      <c r="B3834" t="s">
        <v>14054</v>
      </c>
      <c r="C3834" t="s">
        <v>14780</v>
      </c>
      <c r="D3834" t="s">
        <v>4052</v>
      </c>
      <c r="E3834" t="s">
        <v>14054</v>
      </c>
      <c r="F3834" t="s">
        <v>28</v>
      </c>
      <c r="G3834" t="s">
        <v>14054</v>
      </c>
      <c r="H3834" t="str">
        <f>"F56A11.5"</f>
        <v>F56A11.5</v>
      </c>
      <c r="I3834" t="s">
        <v>4052</v>
      </c>
      <c r="J3834">
        <v>14.640225408245101</v>
      </c>
      <c r="K3834">
        <v>14.142307993483101</v>
      </c>
      <c r="L3834">
        <v>14.3688487939908</v>
      </c>
      <c r="M3834" t="s">
        <v>29</v>
      </c>
      <c r="N3834">
        <v>14.5291950485028</v>
      </c>
      <c r="O3834">
        <v>14.225971668950599</v>
      </c>
      <c r="P3834">
        <v>-6.2107065129790601E-3</v>
      </c>
      <c r="Q3834">
        <v>-0.41837383520877103</v>
      </c>
      <c r="R3834">
        <v>0.40595242218281302</v>
      </c>
      <c r="S3834">
        <v>14.514205973773301</v>
      </c>
      <c r="T3834">
        <v>-3.1806939458459998E-2</v>
      </c>
      <c r="U3834">
        <v>-7.0449432194351003</v>
      </c>
      <c r="V3834">
        <v>0.97499874704573997</v>
      </c>
      <c r="W3834">
        <v>0.98541901704189905</v>
      </c>
      <c r="X3834">
        <v>0</v>
      </c>
      <c r="Y3834">
        <v>0</v>
      </c>
    </row>
    <row r="3835" spans="1:25" x14ac:dyDescent="0.2">
      <c r="A3835" t="s">
        <v>14055</v>
      </c>
      <c r="B3835" t="s">
        <v>14056</v>
      </c>
      <c r="C3835" t="s">
        <v>14781</v>
      </c>
      <c r="D3835" t="s">
        <v>14057</v>
      </c>
      <c r="E3835" t="s">
        <v>14056</v>
      </c>
      <c r="F3835" t="s">
        <v>28</v>
      </c>
      <c r="G3835" t="s">
        <v>14056</v>
      </c>
      <c r="H3835" t="str">
        <f>"Y41D4A.6"</f>
        <v>Y41D4A.6</v>
      </c>
      <c r="I3835" t="s">
        <v>14057</v>
      </c>
      <c r="J3835">
        <v>12.698793443712299</v>
      </c>
      <c r="K3835">
        <v>12.811452757837801</v>
      </c>
      <c r="L3835">
        <v>12.7968901950121</v>
      </c>
      <c r="M3835" t="s">
        <v>29</v>
      </c>
      <c r="N3835">
        <v>11.5169849514715</v>
      </c>
      <c r="O3835">
        <v>12.563883200120699</v>
      </c>
      <c r="P3835">
        <v>-0.72861138972466599</v>
      </c>
      <c r="Q3835">
        <v>-1.3670243813170999</v>
      </c>
      <c r="R3835">
        <v>-9.0198398132235597E-2</v>
      </c>
      <c r="S3835">
        <v>12.9749792528364</v>
      </c>
      <c r="T3835">
        <v>-2.4090413404733302</v>
      </c>
      <c r="U3835">
        <v>-4.4262957345369403</v>
      </c>
      <c r="V3835">
        <v>2.7694418887004701E-2</v>
      </c>
      <c r="W3835">
        <v>9.1091792849772896E-2</v>
      </c>
      <c r="X3835">
        <v>0</v>
      </c>
      <c r="Y3835">
        <v>0</v>
      </c>
    </row>
    <row r="3836" spans="1:25" x14ac:dyDescent="0.2">
      <c r="A3836" t="s">
        <v>14058</v>
      </c>
      <c r="B3836" t="s">
        <v>14059</v>
      </c>
      <c r="C3836" t="s">
        <v>14060</v>
      </c>
      <c r="D3836" t="s">
        <v>14061</v>
      </c>
      <c r="E3836" t="s">
        <v>14059</v>
      </c>
      <c r="F3836" t="s">
        <v>28</v>
      </c>
      <c r="G3836" t="s">
        <v>14059</v>
      </c>
      <c r="H3836" t="str">
        <f>"pfs-2"</f>
        <v>pfs-2</v>
      </c>
      <c r="I3836" t="s">
        <v>14061</v>
      </c>
      <c r="J3836">
        <v>12.6902624425617</v>
      </c>
      <c r="K3836">
        <v>12.929174048687401</v>
      </c>
      <c r="L3836">
        <v>12.9063282925094</v>
      </c>
      <c r="M3836" t="s">
        <v>29</v>
      </c>
      <c r="N3836">
        <v>9.3717563414038505</v>
      </c>
      <c r="O3836">
        <v>9.9135932659928105</v>
      </c>
      <c r="P3836">
        <v>-3.1992467908878202</v>
      </c>
      <c r="Q3836">
        <v>-3.6928075795413799</v>
      </c>
      <c r="R3836">
        <v>-2.7056860022342599</v>
      </c>
      <c r="S3836">
        <v>12.6145045929115</v>
      </c>
      <c r="T3836">
        <v>-13.682236928880201</v>
      </c>
      <c r="U3836">
        <v>14.5391310788015</v>
      </c>
      <c r="V3836" s="2">
        <v>1.4369406774649599E-10</v>
      </c>
      <c r="W3836" s="2">
        <v>3.52888681374104E-8</v>
      </c>
      <c r="X3836">
        <v>-1</v>
      </c>
      <c r="Y3836">
        <v>-1</v>
      </c>
    </row>
    <row r="3837" spans="1:25" x14ac:dyDescent="0.2">
      <c r="A3837" t="s">
        <v>14062</v>
      </c>
      <c r="B3837" t="s">
        <v>14063</v>
      </c>
      <c r="C3837" t="s">
        <v>14064</v>
      </c>
      <c r="D3837" t="s">
        <v>433</v>
      </c>
      <c r="E3837" t="s">
        <v>14063</v>
      </c>
      <c r="F3837" t="s">
        <v>28</v>
      </c>
      <c r="G3837" t="s">
        <v>14063</v>
      </c>
      <c r="H3837" t="str">
        <f>"slmp-1"</f>
        <v>slmp-1</v>
      </c>
      <c r="I3837" t="s">
        <v>433</v>
      </c>
      <c r="J3837" t="s">
        <v>29</v>
      </c>
      <c r="K3837">
        <v>12.3724522924285</v>
      </c>
      <c r="L3837">
        <v>11.8029670667171</v>
      </c>
      <c r="M3837" t="s">
        <v>29</v>
      </c>
      <c r="N3837" t="s">
        <v>29</v>
      </c>
      <c r="O3837" t="s">
        <v>29</v>
      </c>
      <c r="P3837" t="s">
        <v>29</v>
      </c>
      <c r="Q3837" t="s">
        <v>29</v>
      </c>
      <c r="R3837" t="s">
        <v>29</v>
      </c>
      <c r="S3837">
        <v>11.603771638340501</v>
      </c>
      <c r="T3837" t="s">
        <v>29</v>
      </c>
      <c r="U3837" t="s">
        <v>29</v>
      </c>
      <c r="V3837" t="s">
        <v>29</v>
      </c>
      <c r="W3837" t="s">
        <v>29</v>
      </c>
      <c r="X3837" t="s">
        <v>29</v>
      </c>
      <c r="Y3837" t="s">
        <v>29</v>
      </c>
    </row>
    <row r="3838" spans="1:25" x14ac:dyDescent="0.2">
      <c r="A3838" t="s">
        <v>14065</v>
      </c>
      <c r="B3838" t="s">
        <v>14066</v>
      </c>
      <c r="C3838" t="s">
        <v>14782</v>
      </c>
      <c r="D3838" t="s">
        <v>14067</v>
      </c>
      <c r="E3838" t="s">
        <v>14066</v>
      </c>
      <c r="F3838" t="s">
        <v>28</v>
      </c>
      <c r="G3838" t="s">
        <v>14066</v>
      </c>
      <c r="H3838" t="str">
        <f>"Y77E11A.7"</f>
        <v>Y77E11A.7</v>
      </c>
      <c r="I3838" t="s">
        <v>14067</v>
      </c>
      <c r="J3838">
        <v>13.1885998736039</v>
      </c>
      <c r="K3838">
        <v>13.148004539446299</v>
      </c>
      <c r="L3838">
        <v>12.975714467110601</v>
      </c>
      <c r="M3838">
        <v>12.4951977002869</v>
      </c>
      <c r="N3838">
        <v>12.464426658388801</v>
      </c>
      <c r="O3838">
        <v>13.330697637646001</v>
      </c>
      <c r="P3838">
        <v>-0.34066562794633098</v>
      </c>
      <c r="Q3838">
        <v>-0.93595227507649703</v>
      </c>
      <c r="R3838">
        <v>0.25462101918383601</v>
      </c>
      <c r="S3838">
        <v>13.4897779627504</v>
      </c>
      <c r="T3838">
        <v>-1.2028035162106001</v>
      </c>
      <c r="U3838">
        <v>-6.4263690066346504</v>
      </c>
      <c r="V3838">
        <v>0.24472559712379299</v>
      </c>
      <c r="W3838">
        <v>0.411412626767722</v>
      </c>
      <c r="X3838">
        <v>0</v>
      </c>
      <c r="Y3838">
        <v>0</v>
      </c>
    </row>
    <row r="3839" spans="1:25" x14ac:dyDescent="0.2">
      <c r="A3839" t="s">
        <v>14068</v>
      </c>
      <c r="B3839" t="s">
        <v>14069</v>
      </c>
      <c r="C3839" t="s">
        <v>14070</v>
      </c>
      <c r="D3839" t="s">
        <v>14071</v>
      </c>
      <c r="E3839" t="s">
        <v>14069</v>
      </c>
      <c r="F3839" t="s">
        <v>28</v>
      </c>
      <c r="G3839" t="s">
        <v>14069</v>
      </c>
      <c r="H3839" t="str">
        <f>"aass-1"</f>
        <v>aass-1</v>
      </c>
      <c r="I3839" t="s">
        <v>14071</v>
      </c>
      <c r="J3839">
        <v>16.630912425574099</v>
      </c>
      <c r="K3839">
        <v>16.672803100484401</v>
      </c>
      <c r="L3839">
        <v>16.671981959461199</v>
      </c>
      <c r="M3839">
        <v>16.685024437674699</v>
      </c>
      <c r="N3839">
        <v>17.025522021137899</v>
      </c>
      <c r="O3839">
        <v>16.848241117338802</v>
      </c>
      <c r="P3839">
        <v>0.19436336354387199</v>
      </c>
      <c r="Q3839">
        <v>-0.37902674754597798</v>
      </c>
      <c r="R3839">
        <v>0.76775347463372101</v>
      </c>
      <c r="S3839">
        <v>17.0038728388134</v>
      </c>
      <c r="T3839">
        <v>0.71245382198718199</v>
      </c>
      <c r="U3839">
        <v>-6.8936521709160301</v>
      </c>
      <c r="V3839">
        <v>0.48537031154565302</v>
      </c>
      <c r="W3839">
        <v>0.64294827516511799</v>
      </c>
      <c r="X3839">
        <v>0</v>
      </c>
      <c r="Y3839">
        <v>0</v>
      </c>
    </row>
    <row r="3840" spans="1:25" x14ac:dyDescent="0.2">
      <c r="A3840" t="s">
        <v>14072</v>
      </c>
      <c r="B3840" t="s">
        <v>14073</v>
      </c>
      <c r="C3840" t="s">
        <v>14074</v>
      </c>
      <c r="D3840" t="s">
        <v>2432</v>
      </c>
      <c r="E3840" t="s">
        <v>14073</v>
      </c>
      <c r="F3840" t="s">
        <v>28</v>
      </c>
      <c r="G3840" t="s">
        <v>14073</v>
      </c>
      <c r="H3840" t="str">
        <f>"kvs-5"</f>
        <v>kvs-5</v>
      </c>
      <c r="I3840" t="s">
        <v>2432</v>
      </c>
      <c r="J3840" t="s">
        <v>29</v>
      </c>
      <c r="K3840" t="s">
        <v>29</v>
      </c>
      <c r="L3840" t="s">
        <v>29</v>
      </c>
      <c r="M3840" t="s">
        <v>29</v>
      </c>
      <c r="N3840" t="s">
        <v>29</v>
      </c>
      <c r="O3840" t="s">
        <v>29</v>
      </c>
      <c r="P3840" t="s">
        <v>29</v>
      </c>
      <c r="Q3840" t="s">
        <v>29</v>
      </c>
      <c r="R3840" t="s">
        <v>29</v>
      </c>
      <c r="S3840">
        <v>11.563302626930099</v>
      </c>
      <c r="T3840" t="s">
        <v>29</v>
      </c>
      <c r="U3840" t="s">
        <v>29</v>
      </c>
      <c r="V3840" t="s">
        <v>29</v>
      </c>
      <c r="W3840" t="s">
        <v>29</v>
      </c>
      <c r="X3840" t="s">
        <v>29</v>
      </c>
      <c r="Y3840" t="s">
        <v>29</v>
      </c>
    </row>
    <row r="3841" spans="1:25" x14ac:dyDescent="0.2">
      <c r="A3841" t="s">
        <v>14075</v>
      </c>
      <c r="B3841" t="s">
        <v>14076</v>
      </c>
      <c r="C3841" t="s">
        <v>14077</v>
      </c>
      <c r="D3841" t="s">
        <v>758</v>
      </c>
      <c r="E3841" t="s">
        <v>14076</v>
      </c>
      <c r="F3841" t="s">
        <v>28</v>
      </c>
      <c r="G3841" t="s">
        <v>14076</v>
      </c>
      <c r="H3841" t="str">
        <f>"plst-1"</f>
        <v>plst-1</v>
      </c>
      <c r="I3841" t="s">
        <v>758</v>
      </c>
      <c r="J3841">
        <v>13.145511484487701</v>
      </c>
      <c r="K3841">
        <v>13.240409780230101</v>
      </c>
      <c r="L3841">
        <v>13.396180891832399</v>
      </c>
      <c r="M3841">
        <v>11.8427952901675</v>
      </c>
      <c r="N3841">
        <v>12.9237432381241</v>
      </c>
      <c r="O3841">
        <v>13.400770036980999</v>
      </c>
      <c r="P3841">
        <v>-0.53826453042589195</v>
      </c>
      <c r="Q3841">
        <v>-1.18106142285146</v>
      </c>
      <c r="R3841">
        <v>0.104532361999673</v>
      </c>
      <c r="S3841">
        <v>12.978844339665001</v>
      </c>
      <c r="T3841">
        <v>-1.7600074535924299</v>
      </c>
      <c r="U3841">
        <v>-5.65775438792675</v>
      </c>
      <c r="V3841">
        <v>9.5488948979050595E-2</v>
      </c>
      <c r="W3841">
        <v>0.21040932994806399</v>
      </c>
      <c r="X3841">
        <v>0</v>
      </c>
      <c r="Y3841">
        <v>0</v>
      </c>
    </row>
    <row r="3842" spans="1:25" x14ac:dyDescent="0.2">
      <c r="A3842" t="s">
        <v>14078</v>
      </c>
      <c r="B3842" t="s">
        <v>14079</v>
      </c>
      <c r="C3842" t="s">
        <v>14080</v>
      </c>
      <c r="D3842" t="s">
        <v>14081</v>
      </c>
      <c r="E3842" t="s">
        <v>14079</v>
      </c>
      <c r="F3842" t="s">
        <v>28</v>
      </c>
      <c r="G3842" t="s">
        <v>14079</v>
      </c>
      <c r="H3842" t="str">
        <f>"pig-1"</f>
        <v>pig-1</v>
      </c>
      <c r="I3842" t="s">
        <v>14081</v>
      </c>
      <c r="J3842">
        <v>13.158043359435</v>
      </c>
      <c r="K3842">
        <v>13.4232656080446</v>
      </c>
      <c r="L3842">
        <v>13.410188521018799</v>
      </c>
      <c r="M3842" t="s">
        <v>29</v>
      </c>
      <c r="N3842" t="s">
        <v>29</v>
      </c>
      <c r="O3842">
        <v>11.469018311438401</v>
      </c>
      <c r="P3842">
        <v>-1.8614808513943799</v>
      </c>
      <c r="Q3842">
        <v>-2.66541532492819</v>
      </c>
      <c r="R3842">
        <v>-1.05754637786057</v>
      </c>
      <c r="S3842">
        <v>13.0971132847713</v>
      </c>
      <c r="T3842">
        <v>-4.91119808300241</v>
      </c>
      <c r="U3842">
        <v>0.83584192352446696</v>
      </c>
      <c r="V3842">
        <v>1.59554395475871E-4</v>
      </c>
      <c r="W3842">
        <v>2.4363046811782E-3</v>
      </c>
      <c r="X3842">
        <v>-1</v>
      </c>
      <c r="Y3842">
        <v>-1</v>
      </c>
    </row>
    <row r="3843" spans="1:25" x14ac:dyDescent="0.2">
      <c r="A3843" t="s">
        <v>14082</v>
      </c>
      <c r="B3843" t="s">
        <v>14083</v>
      </c>
      <c r="C3843" t="s">
        <v>14084</v>
      </c>
      <c r="D3843" t="s">
        <v>14085</v>
      </c>
      <c r="E3843" t="s">
        <v>14083</v>
      </c>
      <c r="F3843" t="s">
        <v>28</v>
      </c>
      <c r="G3843" t="s">
        <v>14083</v>
      </c>
      <c r="H3843" t="str">
        <f>"smgl-2"</f>
        <v>smgl-2</v>
      </c>
      <c r="I3843" t="s">
        <v>14085</v>
      </c>
      <c r="J3843" t="s">
        <v>29</v>
      </c>
      <c r="K3843" t="s">
        <v>29</v>
      </c>
      <c r="L3843" t="s">
        <v>29</v>
      </c>
      <c r="M3843" t="s">
        <v>29</v>
      </c>
      <c r="N3843" t="s">
        <v>29</v>
      </c>
      <c r="O3843" t="s">
        <v>29</v>
      </c>
      <c r="P3843" t="s">
        <v>29</v>
      </c>
      <c r="Q3843" t="s">
        <v>29</v>
      </c>
      <c r="R3843" t="s">
        <v>29</v>
      </c>
      <c r="S3843">
        <v>11.822937074320601</v>
      </c>
      <c r="T3843" t="s">
        <v>29</v>
      </c>
      <c r="U3843" t="s">
        <v>29</v>
      </c>
      <c r="V3843" t="s">
        <v>29</v>
      </c>
      <c r="W3843" t="s">
        <v>29</v>
      </c>
      <c r="X3843" t="s">
        <v>29</v>
      </c>
      <c r="Y3843" t="s">
        <v>29</v>
      </c>
    </row>
    <row r="3844" spans="1:25" x14ac:dyDescent="0.2">
      <c r="A3844" t="s">
        <v>14086</v>
      </c>
      <c r="B3844" t="s">
        <v>14087</v>
      </c>
      <c r="C3844" t="s">
        <v>14088</v>
      </c>
      <c r="D3844" t="s">
        <v>14089</v>
      </c>
      <c r="E3844" t="s">
        <v>14087</v>
      </c>
      <c r="F3844" t="s">
        <v>28</v>
      </c>
      <c r="G3844" t="s">
        <v>14087</v>
      </c>
      <c r="H3844" t="str">
        <f>"glna-1"</f>
        <v>glna-1</v>
      </c>
      <c r="I3844" t="s">
        <v>14089</v>
      </c>
      <c r="J3844">
        <v>12.3697535659718</v>
      </c>
      <c r="K3844">
        <v>12.1749784944752</v>
      </c>
      <c r="L3844">
        <v>12.224633985691099</v>
      </c>
      <c r="M3844">
        <v>14.5932705228352</v>
      </c>
      <c r="N3844">
        <v>16.011982214470098</v>
      </c>
      <c r="O3844">
        <v>16.218440665658999</v>
      </c>
      <c r="P3844">
        <v>3.35144245227541</v>
      </c>
      <c r="Q3844">
        <v>2.6571207509387</v>
      </c>
      <c r="R3844">
        <v>4.0457641536121098</v>
      </c>
      <c r="S3844">
        <v>13.8693984177694</v>
      </c>
      <c r="T3844">
        <v>10.1452683776639</v>
      </c>
      <c r="U3844">
        <v>10.5679633362607</v>
      </c>
      <c r="V3844" s="2">
        <v>7.5755010972726293E-9</v>
      </c>
      <c r="W3844" s="2">
        <v>1.11625008668312E-6</v>
      </c>
      <c r="X3844">
        <v>1</v>
      </c>
      <c r="Y3844">
        <v>1</v>
      </c>
    </row>
    <row r="3845" spans="1:25" x14ac:dyDescent="0.2">
      <c r="A3845" t="s">
        <v>14090</v>
      </c>
      <c r="B3845" t="s">
        <v>14091</v>
      </c>
      <c r="C3845" t="s">
        <v>14783</v>
      </c>
      <c r="D3845" t="s">
        <v>663</v>
      </c>
      <c r="E3845" t="s">
        <v>14091</v>
      </c>
      <c r="F3845" t="s">
        <v>28</v>
      </c>
      <c r="G3845" t="s">
        <v>14091</v>
      </c>
      <c r="H3845" t="str">
        <f>"Y41D4A.4"</f>
        <v>Y41D4A.4</v>
      </c>
      <c r="I3845" t="s">
        <v>663</v>
      </c>
      <c r="J3845">
        <v>14.2118126220688</v>
      </c>
      <c r="K3845">
        <v>14.0802811518307</v>
      </c>
      <c r="L3845">
        <v>14.405936301719599</v>
      </c>
      <c r="M3845">
        <v>14.179736932249099</v>
      </c>
      <c r="N3845">
        <v>14.1368531270282</v>
      </c>
      <c r="O3845">
        <v>14.4209068505189</v>
      </c>
      <c r="P3845">
        <v>1.31556113923388E-2</v>
      </c>
      <c r="Q3845">
        <v>-0.42269803217045399</v>
      </c>
      <c r="R3845">
        <v>0.449009254955132</v>
      </c>
      <c r="S3845">
        <v>14.502064930116401</v>
      </c>
      <c r="T3845">
        <v>6.3439955332424802E-2</v>
      </c>
      <c r="U3845">
        <v>-7.1541902309470196</v>
      </c>
      <c r="V3845">
        <v>0.95011943607411498</v>
      </c>
      <c r="W3845">
        <v>0.97154822280028397</v>
      </c>
      <c r="X3845">
        <v>0</v>
      </c>
      <c r="Y3845">
        <v>0</v>
      </c>
    </row>
    <row r="3846" spans="1:25" x14ac:dyDescent="0.2">
      <c r="A3846" t="s">
        <v>14092</v>
      </c>
      <c r="B3846" t="s">
        <v>14093</v>
      </c>
      <c r="C3846" t="s">
        <v>14094</v>
      </c>
      <c r="D3846" t="s">
        <v>14095</v>
      </c>
      <c r="E3846" t="s">
        <v>14093</v>
      </c>
      <c r="F3846" t="s">
        <v>28</v>
      </c>
      <c r="G3846" t="s">
        <v>14093</v>
      </c>
      <c r="H3846" t="str">
        <f>"plx-1"</f>
        <v>plx-1</v>
      </c>
      <c r="I3846" t="s">
        <v>14095</v>
      </c>
      <c r="J3846">
        <v>13.6001160579216</v>
      </c>
      <c r="K3846" t="s">
        <v>29</v>
      </c>
      <c r="L3846">
        <v>13.4527622085598</v>
      </c>
      <c r="M3846" t="s">
        <v>29</v>
      </c>
      <c r="N3846" t="s">
        <v>29</v>
      </c>
      <c r="O3846" t="s">
        <v>29</v>
      </c>
      <c r="P3846" t="s">
        <v>29</v>
      </c>
      <c r="Q3846" t="s">
        <v>29</v>
      </c>
      <c r="R3846" t="s">
        <v>29</v>
      </c>
      <c r="S3846">
        <v>13.038459152465199</v>
      </c>
      <c r="T3846" t="s">
        <v>29</v>
      </c>
      <c r="U3846" t="s">
        <v>29</v>
      </c>
      <c r="V3846" t="s">
        <v>29</v>
      </c>
      <c r="W3846" t="s">
        <v>29</v>
      </c>
      <c r="X3846" t="s">
        <v>29</v>
      </c>
      <c r="Y3846" t="s">
        <v>29</v>
      </c>
    </row>
    <row r="3847" spans="1:25" x14ac:dyDescent="0.2">
      <c r="A3847" t="s">
        <v>14096</v>
      </c>
      <c r="B3847" t="s">
        <v>14097</v>
      </c>
      <c r="C3847" t="s">
        <v>14784</v>
      </c>
      <c r="D3847" t="s">
        <v>14098</v>
      </c>
      <c r="E3847" t="s">
        <v>14097</v>
      </c>
      <c r="F3847" t="s">
        <v>28</v>
      </c>
      <c r="G3847" t="s">
        <v>14097</v>
      </c>
      <c r="H3847" t="str">
        <f>"H35B03.2"</f>
        <v>H35B03.2</v>
      </c>
      <c r="I3847" t="s">
        <v>14098</v>
      </c>
      <c r="J3847" t="s">
        <v>29</v>
      </c>
      <c r="K3847">
        <v>11.6777049294913</v>
      </c>
      <c r="L3847" t="s">
        <v>29</v>
      </c>
      <c r="M3847" t="s">
        <v>29</v>
      </c>
      <c r="N3847">
        <v>13.3784804415316</v>
      </c>
      <c r="O3847" t="s">
        <v>29</v>
      </c>
      <c r="P3847">
        <v>1.7007755120402199</v>
      </c>
      <c r="Q3847">
        <v>0.42673358674975798</v>
      </c>
      <c r="R3847">
        <v>2.9748174373306799</v>
      </c>
      <c r="S3847">
        <v>11.8732518996704</v>
      </c>
      <c r="T3847">
        <v>2.9787233164160498</v>
      </c>
      <c r="U3847">
        <v>-3.21156557343072</v>
      </c>
      <c r="V3847">
        <v>1.3991599526660001E-2</v>
      </c>
      <c r="W3847">
        <v>5.7755310591548301E-2</v>
      </c>
      <c r="X3847">
        <v>1</v>
      </c>
      <c r="Y3847">
        <v>0</v>
      </c>
    </row>
    <row r="3848" spans="1:25" x14ac:dyDescent="0.2">
      <c r="A3848" t="s">
        <v>14099</v>
      </c>
      <c r="B3848" t="s">
        <v>14100</v>
      </c>
      <c r="C3848" t="s">
        <v>14101</v>
      </c>
      <c r="D3848" t="s">
        <v>14102</v>
      </c>
      <c r="E3848" t="s">
        <v>14100</v>
      </c>
      <c r="F3848" t="s">
        <v>28</v>
      </c>
      <c r="G3848" t="s">
        <v>14100</v>
      </c>
      <c r="H3848" t="str">
        <f>"mtm-10"</f>
        <v>mtm-10</v>
      </c>
      <c r="I3848" t="s">
        <v>14102</v>
      </c>
      <c r="J3848" t="s">
        <v>29</v>
      </c>
      <c r="K3848" t="s">
        <v>29</v>
      </c>
      <c r="L3848" t="s">
        <v>29</v>
      </c>
      <c r="M3848" t="s">
        <v>29</v>
      </c>
      <c r="N3848" t="s">
        <v>29</v>
      </c>
      <c r="O3848" t="s">
        <v>29</v>
      </c>
      <c r="P3848" t="s">
        <v>29</v>
      </c>
      <c r="Q3848" t="s">
        <v>29</v>
      </c>
      <c r="R3848" t="s">
        <v>29</v>
      </c>
      <c r="S3848">
        <v>11.2113334236528</v>
      </c>
      <c r="T3848" t="s">
        <v>29</v>
      </c>
      <c r="U3848" t="s">
        <v>29</v>
      </c>
      <c r="V3848" t="s">
        <v>29</v>
      </c>
      <c r="W3848" t="s">
        <v>29</v>
      </c>
      <c r="X3848" t="s">
        <v>29</v>
      </c>
      <c r="Y3848" t="s">
        <v>29</v>
      </c>
    </row>
    <row r="3849" spans="1:25" x14ac:dyDescent="0.2">
      <c r="A3849" t="s">
        <v>14103</v>
      </c>
      <c r="B3849" t="s">
        <v>14104</v>
      </c>
      <c r="C3849" t="s">
        <v>14105</v>
      </c>
      <c r="D3849" t="s">
        <v>416</v>
      </c>
      <c r="E3849" t="s">
        <v>14104</v>
      </c>
      <c r="F3849" t="s">
        <v>28</v>
      </c>
      <c r="G3849" t="s">
        <v>14104</v>
      </c>
      <c r="H3849" t="str">
        <f>"usp-4"</f>
        <v>usp-4</v>
      </c>
      <c r="I3849" t="s">
        <v>416</v>
      </c>
      <c r="J3849">
        <v>14.7036867028428</v>
      </c>
      <c r="K3849">
        <v>14.7420827574038</v>
      </c>
      <c r="L3849">
        <v>14.5123457499707</v>
      </c>
      <c r="M3849">
        <v>13.482597940620501</v>
      </c>
      <c r="N3849">
        <v>14.310599571976899</v>
      </c>
      <c r="O3849">
        <v>14.679631852287899</v>
      </c>
      <c r="P3849">
        <v>-0.49509528177733297</v>
      </c>
      <c r="Q3849">
        <v>-1.0215707321678</v>
      </c>
      <c r="R3849">
        <v>3.1380168613136597E-2</v>
      </c>
      <c r="S3849">
        <v>14.1783388236802</v>
      </c>
      <c r="T3849">
        <v>-1.9765289323628401</v>
      </c>
      <c r="U3849">
        <v>-5.3030389121154</v>
      </c>
      <c r="V3849">
        <v>6.3714950955436306E-2</v>
      </c>
      <c r="W3849">
        <v>0.161679016507073</v>
      </c>
      <c r="X3849">
        <v>0</v>
      </c>
      <c r="Y3849">
        <v>0</v>
      </c>
    </row>
    <row r="3850" spans="1:25" x14ac:dyDescent="0.2">
      <c r="A3850" t="s">
        <v>14106</v>
      </c>
      <c r="B3850" t="s">
        <v>14107</v>
      </c>
      <c r="C3850" t="s">
        <v>14785</v>
      </c>
      <c r="D3850" t="s">
        <v>865</v>
      </c>
      <c r="E3850" t="s">
        <v>14107</v>
      </c>
      <c r="F3850" t="s">
        <v>28</v>
      </c>
      <c r="G3850" t="s">
        <v>14107</v>
      </c>
      <c r="H3850" t="str">
        <f>"Y48G1C.8"</f>
        <v>Y48G1C.8</v>
      </c>
      <c r="I3850" t="s">
        <v>865</v>
      </c>
      <c r="J3850">
        <v>11.5591710238653</v>
      </c>
      <c r="K3850">
        <v>11.6055759491</v>
      </c>
      <c r="L3850">
        <v>11.991369001550099</v>
      </c>
      <c r="M3850" t="s">
        <v>29</v>
      </c>
      <c r="N3850" t="s">
        <v>29</v>
      </c>
      <c r="O3850">
        <v>11.9479021523094</v>
      </c>
      <c r="P3850">
        <v>0.22919682747092401</v>
      </c>
      <c r="Q3850">
        <v>-0.52124750186436497</v>
      </c>
      <c r="R3850">
        <v>0.979641156806212</v>
      </c>
      <c r="S3850">
        <v>12.5468145946534</v>
      </c>
      <c r="T3850">
        <v>0.65551406480655094</v>
      </c>
      <c r="U3850">
        <v>-6.5886077858674703</v>
      </c>
      <c r="V3850">
        <v>0.52284262498907896</v>
      </c>
      <c r="W3850">
        <v>0.67343409783339903</v>
      </c>
      <c r="X3850">
        <v>0</v>
      </c>
      <c r="Y3850">
        <v>0</v>
      </c>
    </row>
    <row r="3851" spans="1:25" x14ac:dyDescent="0.2">
      <c r="A3851" t="s">
        <v>14108</v>
      </c>
      <c r="B3851" t="s">
        <v>14109</v>
      </c>
      <c r="C3851" t="s">
        <v>14110</v>
      </c>
      <c r="D3851" t="s">
        <v>14111</v>
      </c>
      <c r="E3851" t="s">
        <v>14109</v>
      </c>
      <c r="F3851" t="s">
        <v>28</v>
      </c>
      <c r="G3851" t="s">
        <v>14109</v>
      </c>
      <c r="H3851" t="str">
        <f>"hecd-1"</f>
        <v>hecd-1</v>
      </c>
      <c r="I3851" t="s">
        <v>14111</v>
      </c>
      <c r="J3851">
        <v>15.023197289479301</v>
      </c>
      <c r="K3851">
        <v>14.8810006162396</v>
      </c>
      <c r="L3851">
        <v>14.836561689770701</v>
      </c>
      <c r="M3851" t="s">
        <v>29</v>
      </c>
      <c r="N3851">
        <v>14.816634740134299</v>
      </c>
      <c r="O3851">
        <v>14.7638289863614</v>
      </c>
      <c r="P3851">
        <v>-0.123354668582044</v>
      </c>
      <c r="Q3851">
        <v>-0.64806812823706605</v>
      </c>
      <c r="R3851">
        <v>0.40135879107297801</v>
      </c>
      <c r="S3851">
        <v>15.3699245343053</v>
      </c>
      <c r="T3851">
        <v>-0.49623043758294</v>
      </c>
      <c r="U3851">
        <v>-6.9169767899072596</v>
      </c>
      <c r="V3851">
        <v>0.62612571023126096</v>
      </c>
      <c r="W3851">
        <v>0.74896483297869498</v>
      </c>
      <c r="X3851">
        <v>0</v>
      </c>
      <c r="Y3851">
        <v>0</v>
      </c>
    </row>
    <row r="3852" spans="1:25" x14ac:dyDescent="0.2">
      <c r="A3852" t="s">
        <v>14112</v>
      </c>
      <c r="B3852" t="s">
        <v>14113</v>
      </c>
      <c r="C3852" t="s">
        <v>14114</v>
      </c>
      <c r="D3852" t="s">
        <v>2477</v>
      </c>
      <c r="E3852" t="s">
        <v>14113</v>
      </c>
      <c r="F3852" t="s">
        <v>28</v>
      </c>
      <c r="G3852" t="s">
        <v>14113</v>
      </c>
      <c r="H3852" t="str">
        <f>"hgap-1"</f>
        <v>hgap-1</v>
      </c>
      <c r="I3852" t="s">
        <v>2477</v>
      </c>
      <c r="J3852">
        <v>12.7543106519368</v>
      </c>
      <c r="K3852">
        <v>12.393767725779499</v>
      </c>
      <c r="L3852">
        <v>12.5686201000221</v>
      </c>
      <c r="M3852">
        <v>11.2310131547751</v>
      </c>
      <c r="N3852">
        <v>12.885215934266499</v>
      </c>
      <c r="O3852">
        <v>11.794055351130799</v>
      </c>
      <c r="P3852">
        <v>-0.60213801252202304</v>
      </c>
      <c r="Q3852">
        <v>-1.27749608823071</v>
      </c>
      <c r="R3852">
        <v>7.3220063186663104E-2</v>
      </c>
      <c r="S3852">
        <v>12.3502918651995</v>
      </c>
      <c r="T3852">
        <v>-1.87393473167019</v>
      </c>
      <c r="U3852">
        <v>-5.4745509627789604</v>
      </c>
      <c r="V3852">
        <v>7.7363038067738907E-2</v>
      </c>
      <c r="W3852">
        <v>0.183565920439313</v>
      </c>
      <c r="X3852">
        <v>0</v>
      </c>
      <c r="Y3852">
        <v>0</v>
      </c>
    </row>
    <row r="3853" spans="1:25" x14ac:dyDescent="0.2">
      <c r="A3853" t="s">
        <v>14115</v>
      </c>
      <c r="B3853" t="s">
        <v>14116</v>
      </c>
      <c r="C3853" t="s">
        <v>14117</v>
      </c>
      <c r="D3853" t="s">
        <v>8008</v>
      </c>
      <c r="E3853" t="s">
        <v>14116</v>
      </c>
      <c r="F3853" t="s">
        <v>28</v>
      </c>
      <c r="G3853" t="s">
        <v>14116</v>
      </c>
      <c r="H3853" t="str">
        <f>"acs-13"</f>
        <v>acs-13</v>
      </c>
      <c r="I3853" t="s">
        <v>8008</v>
      </c>
      <c r="J3853">
        <v>12.0246740500295</v>
      </c>
      <c r="K3853">
        <v>11.523625947593301</v>
      </c>
      <c r="L3853">
        <v>12.036403026662301</v>
      </c>
      <c r="M3853" t="s">
        <v>29</v>
      </c>
      <c r="N3853">
        <v>11.573685679129399</v>
      </c>
      <c r="O3853">
        <v>11.6917249969769</v>
      </c>
      <c r="P3853">
        <v>-0.22886233670853401</v>
      </c>
      <c r="Q3853">
        <v>-0.81413372117903204</v>
      </c>
      <c r="R3853">
        <v>0.35640904776196403</v>
      </c>
      <c r="S3853">
        <v>11.853248471573099</v>
      </c>
      <c r="T3853">
        <v>-0.82540491417697404</v>
      </c>
      <c r="U3853">
        <v>-6.6944353236694703</v>
      </c>
      <c r="V3853">
        <v>0.42064432848750399</v>
      </c>
      <c r="W3853">
        <v>0.58722825014337898</v>
      </c>
      <c r="X3853">
        <v>0</v>
      </c>
      <c r="Y3853">
        <v>0</v>
      </c>
    </row>
    <row r="3854" spans="1:25" x14ac:dyDescent="0.2">
      <c r="A3854" t="s">
        <v>14118</v>
      </c>
      <c r="B3854" t="s">
        <v>14119</v>
      </c>
      <c r="C3854" t="s">
        <v>14786</v>
      </c>
      <c r="D3854" t="s">
        <v>1007</v>
      </c>
      <c r="E3854" t="s">
        <v>14119</v>
      </c>
      <c r="F3854" t="s">
        <v>28</v>
      </c>
      <c r="G3854" t="s">
        <v>14119</v>
      </c>
      <c r="H3854" t="str">
        <f>"F41H10.3"</f>
        <v>F41H10.3</v>
      </c>
      <c r="I3854" t="s">
        <v>1007</v>
      </c>
      <c r="J3854">
        <v>12.5273362666865</v>
      </c>
      <c r="K3854">
        <v>11.4620497537463</v>
      </c>
      <c r="L3854">
        <v>10.6052267004205</v>
      </c>
      <c r="M3854" t="s">
        <v>29</v>
      </c>
      <c r="N3854" t="s">
        <v>29</v>
      </c>
      <c r="O3854">
        <v>9.8666978816014801</v>
      </c>
      <c r="P3854">
        <v>-1.66483969201627</v>
      </c>
      <c r="Q3854">
        <v>-2.92688105755775</v>
      </c>
      <c r="R3854">
        <v>-0.40279832647478803</v>
      </c>
      <c r="S3854">
        <v>11.9811980416994</v>
      </c>
      <c r="T3854">
        <v>-2.8522400649189001</v>
      </c>
      <c r="U3854">
        <v>-3.4662737540107802</v>
      </c>
      <c r="V3854">
        <v>1.3691401669768E-2</v>
      </c>
      <c r="W3854">
        <v>5.6749030549657201E-2</v>
      </c>
      <c r="X3854">
        <v>-1</v>
      </c>
      <c r="Y3854">
        <v>0</v>
      </c>
    </row>
    <row r="3855" spans="1:25" x14ac:dyDescent="0.2">
      <c r="A3855" t="s">
        <v>14120</v>
      </c>
      <c r="B3855" t="s">
        <v>14121</v>
      </c>
      <c r="C3855" t="s">
        <v>14122</v>
      </c>
      <c r="D3855" t="s">
        <v>14123</v>
      </c>
      <c r="E3855" t="s">
        <v>14121</v>
      </c>
      <c r="F3855" t="s">
        <v>28</v>
      </c>
      <c r="G3855" t="s">
        <v>14121</v>
      </c>
      <c r="H3855" t="str">
        <f>"ketn-1"</f>
        <v>ketn-1</v>
      </c>
      <c r="I3855" t="s">
        <v>14123</v>
      </c>
      <c r="J3855">
        <v>15.103716979833401</v>
      </c>
      <c r="K3855">
        <v>15.4623022978016</v>
      </c>
      <c r="L3855">
        <v>16.544478261426001</v>
      </c>
      <c r="M3855">
        <v>15.751755288136</v>
      </c>
      <c r="N3855">
        <v>16.526065591114499</v>
      </c>
      <c r="O3855">
        <v>16.407570326371999</v>
      </c>
      <c r="P3855">
        <v>0.52496455552048704</v>
      </c>
      <c r="Q3855">
        <v>-0.522150639725389</v>
      </c>
      <c r="R3855">
        <v>1.57207975076636</v>
      </c>
      <c r="S3855">
        <v>16.2373429852775</v>
      </c>
      <c r="T3855">
        <v>1.05372681738115</v>
      </c>
      <c r="U3855">
        <v>-6.5910694956530396</v>
      </c>
      <c r="V3855">
        <v>0.30602852405769498</v>
      </c>
      <c r="W3855">
        <v>0.47591876538154498</v>
      </c>
      <c r="X3855">
        <v>0</v>
      </c>
      <c r="Y3855">
        <v>0</v>
      </c>
    </row>
    <row r="3856" spans="1:25" x14ac:dyDescent="0.2">
      <c r="A3856" t="s">
        <v>14124</v>
      </c>
      <c r="B3856" t="s">
        <v>14125</v>
      </c>
      <c r="C3856" t="s">
        <v>14126</v>
      </c>
      <c r="D3856" t="s">
        <v>9836</v>
      </c>
      <c r="E3856" t="s">
        <v>14125</v>
      </c>
      <c r="F3856" t="s">
        <v>28</v>
      </c>
      <c r="G3856" t="s">
        <v>14125</v>
      </c>
      <c r="H3856" t="str">
        <f>"xpo-3"</f>
        <v>xpo-3</v>
      </c>
      <c r="I3856" t="s">
        <v>9836</v>
      </c>
      <c r="J3856">
        <v>14.0061367430209</v>
      </c>
      <c r="K3856">
        <v>14.1326029824982</v>
      </c>
      <c r="L3856">
        <v>14.0312373769861</v>
      </c>
      <c r="M3856" t="s">
        <v>29</v>
      </c>
      <c r="N3856">
        <v>14.495039811984601</v>
      </c>
      <c r="O3856">
        <v>14.461322234968099</v>
      </c>
      <c r="P3856">
        <v>0.42152198930796902</v>
      </c>
      <c r="Q3856">
        <v>-4.8304885035088001E-2</v>
      </c>
      <c r="R3856">
        <v>0.89134886365102595</v>
      </c>
      <c r="S3856">
        <v>14.190975708205601</v>
      </c>
      <c r="T3856">
        <v>1.8937925043708099</v>
      </c>
      <c r="U3856">
        <v>-5.3371867670269797</v>
      </c>
      <c r="V3856">
        <v>7.5505979611302801E-2</v>
      </c>
      <c r="W3856">
        <v>0.18032100641370299</v>
      </c>
      <c r="X3856">
        <v>0</v>
      </c>
      <c r="Y3856">
        <v>0</v>
      </c>
    </row>
    <row r="3857" spans="1:25" x14ac:dyDescent="0.2">
      <c r="A3857" t="s">
        <v>14127</v>
      </c>
      <c r="B3857" t="s">
        <v>14128</v>
      </c>
      <c r="C3857" t="s">
        <v>14129</v>
      </c>
      <c r="D3857" t="s">
        <v>189</v>
      </c>
      <c r="E3857" t="s">
        <v>14128</v>
      </c>
      <c r="F3857" t="s">
        <v>28</v>
      </c>
      <c r="G3857" t="s">
        <v>14128</v>
      </c>
      <c r="H3857" t="str">
        <f>"ints-3"</f>
        <v>ints-3</v>
      </c>
      <c r="I3857" t="s">
        <v>189</v>
      </c>
      <c r="J3857">
        <v>13.1110882620951</v>
      </c>
      <c r="K3857">
        <v>13.186789000538001</v>
      </c>
      <c r="L3857">
        <v>12.993529659673801</v>
      </c>
      <c r="M3857" t="s">
        <v>29</v>
      </c>
      <c r="N3857">
        <v>12.180742233370699</v>
      </c>
      <c r="O3857">
        <v>12.444564493518699</v>
      </c>
      <c r="P3857">
        <v>-0.784482277324271</v>
      </c>
      <c r="Q3857">
        <v>-1.3484306604127101</v>
      </c>
      <c r="R3857">
        <v>-0.220533894235834</v>
      </c>
      <c r="S3857">
        <v>13.2624246091407</v>
      </c>
      <c r="T3857">
        <v>-2.9362551666880399</v>
      </c>
      <c r="U3857">
        <v>-3.3902302478560502</v>
      </c>
      <c r="V3857">
        <v>9.2700874442903699E-3</v>
      </c>
      <c r="W3857">
        <v>4.33634090449583E-2</v>
      </c>
      <c r="X3857">
        <v>0</v>
      </c>
      <c r="Y3857">
        <v>0</v>
      </c>
    </row>
    <row r="3858" spans="1:25" x14ac:dyDescent="0.2">
      <c r="A3858" t="s">
        <v>14130</v>
      </c>
      <c r="B3858" t="s">
        <v>14131</v>
      </c>
      <c r="C3858" t="s">
        <v>14132</v>
      </c>
      <c r="D3858" t="s">
        <v>14133</v>
      </c>
      <c r="E3858" t="s">
        <v>14131</v>
      </c>
      <c r="F3858" t="s">
        <v>28</v>
      </c>
      <c r="G3858" t="s">
        <v>14131</v>
      </c>
      <c r="H3858" t="str">
        <f>"nprl-2"</f>
        <v>nprl-2</v>
      </c>
      <c r="I3858" t="s">
        <v>14133</v>
      </c>
      <c r="J3858" t="s">
        <v>29</v>
      </c>
      <c r="K3858">
        <v>10.987030692826099</v>
      </c>
      <c r="L3858" t="s">
        <v>29</v>
      </c>
      <c r="M3858" t="s">
        <v>29</v>
      </c>
      <c r="N3858" t="s">
        <v>29</v>
      </c>
      <c r="O3858" t="s">
        <v>29</v>
      </c>
      <c r="P3858" t="s">
        <v>29</v>
      </c>
      <c r="Q3858" t="s">
        <v>29</v>
      </c>
      <c r="R3858" t="s">
        <v>29</v>
      </c>
      <c r="S3858">
        <v>11.6463863207898</v>
      </c>
      <c r="T3858" t="s">
        <v>29</v>
      </c>
      <c r="U3858" t="s">
        <v>29</v>
      </c>
      <c r="V3858" t="s">
        <v>29</v>
      </c>
      <c r="W3858" t="s">
        <v>29</v>
      </c>
      <c r="X3858" t="s">
        <v>29</v>
      </c>
      <c r="Y3858" t="s">
        <v>29</v>
      </c>
    </row>
    <row r="3859" spans="1:25" x14ac:dyDescent="0.2">
      <c r="A3859" t="s">
        <v>14134</v>
      </c>
      <c r="B3859" t="s">
        <v>14135</v>
      </c>
      <c r="C3859" t="s">
        <v>14136</v>
      </c>
      <c r="D3859" t="s">
        <v>14137</v>
      </c>
      <c r="E3859" t="s">
        <v>14135</v>
      </c>
      <c r="F3859" t="s">
        <v>28</v>
      </c>
      <c r="G3859" t="s">
        <v>14135</v>
      </c>
      <c r="H3859" t="str">
        <f>"cla-1"</f>
        <v>cla-1</v>
      </c>
      <c r="I3859" t="s">
        <v>14137</v>
      </c>
      <c r="J3859">
        <v>13.163096150151199</v>
      </c>
      <c r="K3859">
        <v>13.177639803832299</v>
      </c>
      <c r="L3859">
        <v>12.996499794554801</v>
      </c>
      <c r="M3859" t="s">
        <v>29</v>
      </c>
      <c r="N3859" t="s">
        <v>29</v>
      </c>
      <c r="O3859">
        <v>12.488250675067</v>
      </c>
      <c r="P3859">
        <v>-0.62416124111245397</v>
      </c>
      <c r="Q3859">
        <v>-1.17850270415647</v>
      </c>
      <c r="R3859">
        <v>-6.9819778068441599E-2</v>
      </c>
      <c r="S3859">
        <v>13.137214085788001</v>
      </c>
      <c r="T3859">
        <v>-2.38819047922382</v>
      </c>
      <c r="U3859">
        <v>-4.2584038530681303</v>
      </c>
      <c r="V3859">
        <v>2.96967705702697E-2</v>
      </c>
      <c r="W3859">
        <v>9.6066281965515796E-2</v>
      </c>
      <c r="X3859">
        <v>0</v>
      </c>
      <c r="Y3859">
        <v>0</v>
      </c>
    </row>
    <row r="3860" spans="1:25" x14ac:dyDescent="0.2">
      <c r="A3860" t="s">
        <v>14138</v>
      </c>
      <c r="B3860" t="s">
        <v>14139</v>
      </c>
      <c r="C3860" t="s">
        <v>14140</v>
      </c>
      <c r="D3860" t="s">
        <v>14141</v>
      </c>
      <c r="E3860" t="s">
        <v>14139</v>
      </c>
      <c r="F3860" t="s">
        <v>28</v>
      </c>
      <c r="G3860" t="s">
        <v>14139</v>
      </c>
      <c r="H3860" t="str">
        <f>"ntl-4"</f>
        <v>ntl-4</v>
      </c>
      <c r="I3860" t="s">
        <v>14141</v>
      </c>
      <c r="J3860">
        <v>12.679758853756301</v>
      </c>
      <c r="K3860">
        <v>13.427957067507601</v>
      </c>
      <c r="L3860">
        <v>13.576919959004201</v>
      </c>
      <c r="M3860">
        <v>13.844973133456801</v>
      </c>
      <c r="N3860">
        <v>14.661048419480499</v>
      </c>
      <c r="O3860">
        <v>13.2348023688188</v>
      </c>
      <c r="P3860">
        <v>0.68539601382939896</v>
      </c>
      <c r="Q3860">
        <v>1.24152825011427E-2</v>
      </c>
      <c r="R3860">
        <v>1.3583767451576501</v>
      </c>
      <c r="S3860">
        <v>13.996576188774499</v>
      </c>
      <c r="T3860">
        <v>2.1405799719859502</v>
      </c>
      <c r="U3860">
        <v>-5.0169201116198998</v>
      </c>
      <c r="V3860">
        <v>4.6333721443791998E-2</v>
      </c>
      <c r="W3860">
        <v>0.12893812756832401</v>
      </c>
      <c r="X3860">
        <v>0</v>
      </c>
      <c r="Y3860">
        <v>0</v>
      </c>
    </row>
    <row r="3861" spans="1:25" x14ac:dyDescent="0.2">
      <c r="A3861" t="s">
        <v>14142</v>
      </c>
      <c r="B3861" t="s">
        <v>14143</v>
      </c>
      <c r="C3861" t="s">
        <v>14787</v>
      </c>
      <c r="D3861" t="s">
        <v>14144</v>
      </c>
      <c r="E3861" t="s">
        <v>14143</v>
      </c>
      <c r="F3861" t="s">
        <v>28</v>
      </c>
      <c r="G3861" t="s">
        <v>14143</v>
      </c>
      <c r="H3861" t="str">
        <f>"Y92H12A.5"</f>
        <v>Y92H12A.5</v>
      </c>
      <c r="I3861" t="s">
        <v>14144</v>
      </c>
      <c r="J3861">
        <v>14.8403718267454</v>
      </c>
      <c r="K3861">
        <v>14.369067679178</v>
      </c>
      <c r="L3861">
        <v>14.474696429838099</v>
      </c>
      <c r="M3861">
        <v>14.761295759066501</v>
      </c>
      <c r="N3861">
        <v>14.662193913246901</v>
      </c>
      <c r="O3861">
        <v>14.5078818042272</v>
      </c>
      <c r="P3861">
        <v>8.2411846926367702E-2</v>
      </c>
      <c r="Q3861">
        <v>-0.301160697630041</v>
      </c>
      <c r="R3861">
        <v>0.46598439148277698</v>
      </c>
      <c r="S3861">
        <v>14.355855322877099</v>
      </c>
      <c r="T3861">
        <v>0.45157994543858199</v>
      </c>
      <c r="U3861">
        <v>-7.0498927214781801</v>
      </c>
      <c r="V3861">
        <v>0.656996721621248</v>
      </c>
      <c r="W3861">
        <v>0.77291969645081904</v>
      </c>
      <c r="X3861">
        <v>0</v>
      </c>
      <c r="Y3861">
        <v>0</v>
      </c>
    </row>
    <row r="3862" spans="1:25" x14ac:dyDescent="0.2">
      <c r="A3862" t="s">
        <v>14145</v>
      </c>
      <c r="B3862" t="s">
        <v>14146</v>
      </c>
      <c r="C3862" t="s">
        <v>14147</v>
      </c>
      <c r="D3862" t="s">
        <v>1151</v>
      </c>
      <c r="E3862" t="s">
        <v>14146</v>
      </c>
      <c r="F3862" t="s">
        <v>28</v>
      </c>
      <c r="G3862" t="s">
        <v>14146</v>
      </c>
      <c r="H3862" t="str">
        <f>"iglr-3"</f>
        <v>iglr-3</v>
      </c>
      <c r="I3862" t="s">
        <v>1151</v>
      </c>
      <c r="J3862" t="s">
        <v>29</v>
      </c>
      <c r="K3862" t="s">
        <v>29</v>
      </c>
      <c r="L3862" t="s">
        <v>29</v>
      </c>
      <c r="M3862" t="s">
        <v>29</v>
      </c>
      <c r="N3862" t="s">
        <v>29</v>
      </c>
      <c r="O3862" t="s">
        <v>29</v>
      </c>
      <c r="P3862" t="s">
        <v>29</v>
      </c>
      <c r="Q3862" t="s">
        <v>29</v>
      </c>
      <c r="R3862" t="s">
        <v>29</v>
      </c>
      <c r="S3862">
        <v>11.0407316476605</v>
      </c>
      <c r="T3862" t="s">
        <v>29</v>
      </c>
      <c r="U3862" t="s">
        <v>29</v>
      </c>
      <c r="V3862" t="s">
        <v>29</v>
      </c>
      <c r="W3862" t="s">
        <v>29</v>
      </c>
      <c r="X3862" t="s">
        <v>29</v>
      </c>
      <c r="Y3862" t="s">
        <v>29</v>
      </c>
    </row>
    <row r="3863" spans="1:25" x14ac:dyDescent="0.2">
      <c r="A3863" t="s">
        <v>14148</v>
      </c>
      <c r="B3863" t="s">
        <v>14149</v>
      </c>
      <c r="C3863" t="s">
        <v>14150</v>
      </c>
      <c r="D3863" t="s">
        <v>14151</v>
      </c>
      <c r="E3863" t="s">
        <v>14149</v>
      </c>
      <c r="F3863" t="s">
        <v>28</v>
      </c>
      <c r="G3863" t="s">
        <v>14149</v>
      </c>
      <c r="H3863" t="str">
        <f>"wnk-1"</f>
        <v>wnk-1</v>
      </c>
      <c r="I3863" t="s">
        <v>14151</v>
      </c>
      <c r="J3863" t="s">
        <v>29</v>
      </c>
      <c r="K3863" t="s">
        <v>29</v>
      </c>
      <c r="L3863" t="s">
        <v>29</v>
      </c>
      <c r="M3863" t="s">
        <v>29</v>
      </c>
      <c r="N3863" t="s">
        <v>29</v>
      </c>
      <c r="O3863" t="s">
        <v>29</v>
      </c>
      <c r="P3863" t="s">
        <v>29</v>
      </c>
      <c r="Q3863" t="s">
        <v>29</v>
      </c>
      <c r="R3863" t="s">
        <v>29</v>
      </c>
      <c r="S3863">
        <v>10.963162393276299</v>
      </c>
      <c r="T3863" t="s">
        <v>29</v>
      </c>
      <c r="U3863" t="s">
        <v>29</v>
      </c>
      <c r="V3863" t="s">
        <v>29</v>
      </c>
      <c r="W3863" t="s">
        <v>29</v>
      </c>
      <c r="X3863" t="s">
        <v>29</v>
      </c>
      <c r="Y3863" t="s">
        <v>29</v>
      </c>
    </row>
    <row r="3864" spans="1:25" x14ac:dyDescent="0.2">
      <c r="A3864" t="s">
        <v>14152</v>
      </c>
      <c r="B3864" t="s">
        <v>14153</v>
      </c>
      <c r="C3864" t="s">
        <v>14788</v>
      </c>
      <c r="D3864" t="s">
        <v>1035</v>
      </c>
      <c r="E3864" t="s">
        <v>14153</v>
      </c>
      <c r="F3864" t="s">
        <v>28</v>
      </c>
      <c r="G3864" t="s">
        <v>14153</v>
      </c>
      <c r="H3864" t="str">
        <f>"T28C6.7"</f>
        <v>T28C6.7</v>
      </c>
      <c r="I3864" t="s">
        <v>1035</v>
      </c>
      <c r="J3864">
        <v>13.7311123951244</v>
      </c>
      <c r="K3864">
        <v>14.155434717512501</v>
      </c>
      <c r="L3864">
        <v>13.346143614368</v>
      </c>
      <c r="M3864">
        <v>16.324300173419399</v>
      </c>
      <c r="N3864">
        <v>15.3289161013076</v>
      </c>
      <c r="O3864">
        <v>13.734049159643099</v>
      </c>
      <c r="P3864">
        <v>1.38485823578843</v>
      </c>
      <c r="Q3864">
        <v>0.46406272630970102</v>
      </c>
      <c r="R3864">
        <v>2.3056537452671599</v>
      </c>
      <c r="S3864">
        <v>13.6117209010065</v>
      </c>
      <c r="T3864">
        <v>3.1610738246720098</v>
      </c>
      <c r="U3864">
        <v>-2.9962855863729398</v>
      </c>
      <c r="V3864">
        <v>5.4349876812770396E-3</v>
      </c>
      <c r="W3864">
        <v>2.9771205755991501E-2</v>
      </c>
      <c r="X3864">
        <v>1</v>
      </c>
      <c r="Y3864">
        <v>1</v>
      </c>
    </row>
    <row r="3865" spans="1:25" x14ac:dyDescent="0.2">
      <c r="A3865" t="s">
        <v>14154</v>
      </c>
      <c r="B3865" t="s">
        <v>14155</v>
      </c>
      <c r="C3865" t="s">
        <v>14156</v>
      </c>
      <c r="D3865" t="s">
        <v>14157</v>
      </c>
      <c r="E3865" t="s">
        <v>14155</v>
      </c>
      <c r="F3865" t="s">
        <v>28</v>
      </c>
      <c r="G3865" t="s">
        <v>14155</v>
      </c>
      <c r="H3865" t="str">
        <f>"ekl-7"</f>
        <v>ekl-7</v>
      </c>
      <c r="I3865" t="s">
        <v>14157</v>
      </c>
      <c r="J3865">
        <v>10.789319970122699</v>
      </c>
      <c r="K3865" t="s">
        <v>29</v>
      </c>
      <c r="L3865">
        <v>11.220726006493001</v>
      </c>
      <c r="M3865" t="s">
        <v>29</v>
      </c>
      <c r="N3865">
        <v>13.121682953988399</v>
      </c>
      <c r="O3865" t="s">
        <v>29</v>
      </c>
      <c r="P3865">
        <v>2.1166599656805398</v>
      </c>
      <c r="Q3865">
        <v>1.3663087403110801</v>
      </c>
      <c r="R3865">
        <v>2.8670111910500098</v>
      </c>
      <c r="S3865">
        <v>12.615949878611399</v>
      </c>
      <c r="T3865">
        <v>6.2160456165760598</v>
      </c>
      <c r="U3865">
        <v>1.9777042762656301</v>
      </c>
      <c r="V3865" s="2">
        <v>6.8471187237067595E-5</v>
      </c>
      <c r="W3865">
        <v>1.2954139048434201E-3</v>
      </c>
      <c r="X3865">
        <v>1</v>
      </c>
      <c r="Y386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793E-107E-874B-8B12-D4574FD8A136}">
  <dimension ref="A1:Q2695"/>
  <sheetViews>
    <sheetView workbookViewId="0">
      <pane ySplit="1" topLeftCell="A2" activePane="bottomLeft" state="frozen"/>
      <selection pane="bottomLeft" activeCell="E14" sqref="E14"/>
    </sheetView>
  </sheetViews>
  <sheetFormatPr baseColWidth="10" defaultRowHeight="16" x14ac:dyDescent="0.2"/>
  <cols>
    <col min="5" max="5" width="24.33203125" customWidth="1"/>
    <col min="17" max="17" width="27.5" customWidth="1"/>
  </cols>
  <sheetData>
    <row r="1" spans="1:17" x14ac:dyDescent="0.2">
      <c r="A1" s="1" t="s">
        <v>14922</v>
      </c>
      <c r="B1" s="1" t="s">
        <v>14789</v>
      </c>
      <c r="C1" s="1" t="s">
        <v>22</v>
      </c>
      <c r="E1" s="7" t="s">
        <v>14913</v>
      </c>
      <c r="G1" s="1" t="s">
        <v>14922</v>
      </c>
      <c r="H1" s="1" t="s">
        <v>9</v>
      </c>
      <c r="I1" s="1" t="s">
        <v>10</v>
      </c>
      <c r="J1" s="1" t="s">
        <v>11</v>
      </c>
      <c r="K1" s="1" t="s">
        <v>14792</v>
      </c>
      <c r="L1" s="1" t="s">
        <v>14869</v>
      </c>
      <c r="M1" s="1" t="s">
        <v>14870</v>
      </c>
      <c r="N1" s="1" t="s">
        <v>14871</v>
      </c>
      <c r="O1" s="1" t="s">
        <v>14872</v>
      </c>
      <c r="Q1" s="7" t="s">
        <v>14874</v>
      </c>
    </row>
    <row r="2" spans="1:17" x14ac:dyDescent="0.2">
      <c r="A2" s="4" t="str">
        <f>"nekl-3"</f>
        <v>nekl-3</v>
      </c>
      <c r="B2" s="4">
        <v>8.0570554533880703</v>
      </c>
      <c r="C2" s="5">
        <v>3.48406879672705E-10</v>
      </c>
      <c r="E2" s="8" t="s">
        <v>14867</v>
      </c>
      <c r="G2" s="4" t="str">
        <f>"R102.2"</f>
        <v>R102.2</v>
      </c>
      <c r="H2" s="4" t="s">
        <v>14849</v>
      </c>
      <c r="I2" s="4" t="s">
        <v>14849</v>
      </c>
      <c r="J2" s="4" t="s">
        <v>14849</v>
      </c>
      <c r="K2" s="4" t="s">
        <v>14849</v>
      </c>
      <c r="L2" s="4">
        <v>19.1732182076275</v>
      </c>
      <c r="M2" s="4">
        <v>19.517289305666399</v>
      </c>
      <c r="N2" s="4">
        <v>19.9588000546938</v>
      </c>
      <c r="O2" s="4">
        <f t="shared" ref="O2:O17" si="0">(L2+M2+N2)/3</f>
        <v>19.549769189329229</v>
      </c>
      <c r="Q2" s="8" t="s">
        <v>14873</v>
      </c>
    </row>
    <row r="3" spans="1:17" x14ac:dyDescent="0.2">
      <c r="A3" s="4" t="str">
        <f>"aldo-2"</f>
        <v>aldo-2</v>
      </c>
      <c r="B3" s="4">
        <v>7.5454079166684602</v>
      </c>
      <c r="C3" s="5">
        <v>4.5769534463196903E-12</v>
      </c>
      <c r="E3" s="9" t="s">
        <v>14868</v>
      </c>
      <c r="G3" s="4" t="str">
        <f>"tap-1"</f>
        <v>tap-1</v>
      </c>
      <c r="H3" s="4" t="s">
        <v>14849</v>
      </c>
      <c r="I3" s="4" t="s">
        <v>14849</v>
      </c>
      <c r="J3" s="4" t="s">
        <v>14849</v>
      </c>
      <c r="K3" s="4" t="s">
        <v>14849</v>
      </c>
      <c r="L3" s="4">
        <v>16.9161737474716</v>
      </c>
      <c r="M3" s="4">
        <v>17.8237898696113</v>
      </c>
      <c r="N3" s="4">
        <v>17.868127131254301</v>
      </c>
      <c r="O3" s="4">
        <f t="shared" si="0"/>
        <v>17.536030249445734</v>
      </c>
      <c r="Q3" s="9" t="s">
        <v>14875</v>
      </c>
    </row>
    <row r="4" spans="1:17" x14ac:dyDescent="0.2">
      <c r="A4" s="4" t="str">
        <f>"C39D10.8"</f>
        <v>C39D10.8</v>
      </c>
      <c r="B4" s="4">
        <v>6.39345479422962</v>
      </c>
      <c r="C4" s="5">
        <v>4.5769534463196903E-12</v>
      </c>
      <c r="E4" s="10">
        <f>278/(278+147)*100</f>
        <v>65.411764705882362</v>
      </c>
      <c r="G4" s="4" t="str">
        <f>"Y54G2A.40"</f>
        <v>Y54G2A.40</v>
      </c>
      <c r="H4" s="4" t="s">
        <v>14849</v>
      </c>
      <c r="I4" s="4" t="s">
        <v>14849</v>
      </c>
      <c r="J4" s="4" t="s">
        <v>14849</v>
      </c>
      <c r="K4" s="4" t="s">
        <v>14849</v>
      </c>
      <c r="L4" s="4">
        <v>16.559013879825599</v>
      </c>
      <c r="M4" s="4">
        <v>16.994701746205401</v>
      </c>
      <c r="N4" s="4">
        <v>17.334087011125501</v>
      </c>
      <c r="O4" s="4">
        <f t="shared" si="0"/>
        <v>16.962600879052165</v>
      </c>
      <c r="Q4" s="11">
        <f>16/(16+181)*100</f>
        <v>8.1218274111675122</v>
      </c>
    </row>
    <row r="5" spans="1:17" x14ac:dyDescent="0.2">
      <c r="A5" s="4" t="str">
        <f>"ampd-1"</f>
        <v>ampd-1</v>
      </c>
      <c r="B5" s="4">
        <v>5.23773956190192</v>
      </c>
      <c r="C5" s="5">
        <v>2.4806522159814098E-8</v>
      </c>
      <c r="G5" s="4" t="str">
        <f>"M01H9.3"</f>
        <v>M01H9.3</v>
      </c>
      <c r="H5" s="4" t="s">
        <v>14849</v>
      </c>
      <c r="I5" s="4" t="s">
        <v>14849</v>
      </c>
      <c r="J5" s="4" t="s">
        <v>14849</v>
      </c>
      <c r="K5" s="4" t="s">
        <v>14849</v>
      </c>
      <c r="L5" s="4">
        <v>16.939065543609601</v>
      </c>
      <c r="M5" s="4">
        <v>17.400783030521101</v>
      </c>
      <c r="N5" s="4">
        <v>16.470549623908902</v>
      </c>
      <c r="O5" s="4">
        <f t="shared" si="0"/>
        <v>16.936799399346533</v>
      </c>
    </row>
    <row r="6" spans="1:17" x14ac:dyDescent="0.2">
      <c r="A6" s="4" t="str">
        <f>"Y92H12BM.1"</f>
        <v>Y92H12BM.1</v>
      </c>
      <c r="B6" s="4">
        <v>4.8121867914789904</v>
      </c>
      <c r="C6" s="5">
        <v>8.1053984682129794E-9</v>
      </c>
      <c r="G6" s="4" t="str">
        <f>"acbp-3"</f>
        <v>acbp-3</v>
      </c>
      <c r="H6" s="4" t="s">
        <v>14849</v>
      </c>
      <c r="I6" s="4" t="s">
        <v>14849</v>
      </c>
      <c r="J6" s="4" t="s">
        <v>14849</v>
      </c>
      <c r="K6" s="4" t="s">
        <v>14849</v>
      </c>
      <c r="L6" s="4">
        <v>15.755270352942301</v>
      </c>
      <c r="M6" s="4">
        <v>16.697952767546699</v>
      </c>
      <c r="N6" s="4">
        <v>17.990282143780899</v>
      </c>
      <c r="O6" s="4">
        <f t="shared" si="0"/>
        <v>16.814501754756634</v>
      </c>
    </row>
    <row r="7" spans="1:17" x14ac:dyDescent="0.2">
      <c r="A7" s="4" t="str">
        <f>"Y39G10AR.9"</f>
        <v>Y39G10AR.9</v>
      </c>
      <c r="B7" s="4">
        <v>4.3829436716279302</v>
      </c>
      <c r="C7" s="4">
        <v>3.6560766335616302E-4</v>
      </c>
      <c r="G7" s="4" t="str">
        <f>"comt-3"</f>
        <v>comt-3</v>
      </c>
      <c r="H7" s="4" t="s">
        <v>14849</v>
      </c>
      <c r="I7" s="4" t="s">
        <v>14849</v>
      </c>
      <c r="J7" s="4" t="s">
        <v>14849</v>
      </c>
      <c r="K7" s="4" t="s">
        <v>14849</v>
      </c>
      <c r="L7" s="4">
        <v>15.510915310650001</v>
      </c>
      <c r="M7" s="4">
        <v>15.347101919942901</v>
      </c>
      <c r="N7" s="4">
        <v>16.404866349652099</v>
      </c>
      <c r="O7" s="4">
        <f t="shared" si="0"/>
        <v>15.754294526748334</v>
      </c>
    </row>
    <row r="8" spans="1:17" x14ac:dyDescent="0.2">
      <c r="A8" s="4" t="str">
        <f>"rsd-3"</f>
        <v>rsd-3</v>
      </c>
      <c r="B8" s="4">
        <v>4.3358157967729101</v>
      </c>
      <c r="C8" s="4">
        <v>1.6982692818617501E-4</v>
      </c>
      <c r="G8" s="4" t="str">
        <f>"clic-1"</f>
        <v>clic-1</v>
      </c>
      <c r="H8" s="4" t="s">
        <v>14849</v>
      </c>
      <c r="I8" s="4" t="s">
        <v>14849</v>
      </c>
      <c r="J8" s="4" t="s">
        <v>14849</v>
      </c>
      <c r="K8" s="4" t="s">
        <v>14849</v>
      </c>
      <c r="L8" s="4">
        <v>14.8358364944442</v>
      </c>
      <c r="M8" s="4">
        <v>15.751488609104999</v>
      </c>
      <c r="N8" s="4">
        <v>15.7895321741636</v>
      </c>
      <c r="O8" s="4">
        <f t="shared" si="0"/>
        <v>15.458952425904267</v>
      </c>
    </row>
    <row r="9" spans="1:17" x14ac:dyDescent="0.2">
      <c r="A9" s="4" t="str">
        <f>"sna-2"</f>
        <v>sna-2</v>
      </c>
      <c r="B9" s="4">
        <v>4.1303790466705301</v>
      </c>
      <c r="C9" s="5">
        <v>3.5352944721137402E-5</v>
      </c>
      <c r="G9" s="4" t="str">
        <f>"Y62E10A.13"</f>
        <v>Y62E10A.13</v>
      </c>
      <c r="H9" s="4" t="s">
        <v>14849</v>
      </c>
      <c r="I9" s="4" t="s">
        <v>14849</v>
      </c>
      <c r="J9" s="4" t="s">
        <v>14849</v>
      </c>
      <c r="K9" s="4" t="s">
        <v>14849</v>
      </c>
      <c r="L9" s="4">
        <v>14.1484987859003</v>
      </c>
      <c r="M9" s="4">
        <v>16.062091862567101</v>
      </c>
      <c r="N9" s="4">
        <v>15.267704565716199</v>
      </c>
      <c r="O9" s="4">
        <f t="shared" si="0"/>
        <v>15.159431738061201</v>
      </c>
    </row>
    <row r="10" spans="1:17" x14ac:dyDescent="0.2">
      <c r="A10" s="4" t="str">
        <f>"C05C8.7"</f>
        <v>C05C8.7</v>
      </c>
      <c r="B10" s="4">
        <v>4.1232527948666799</v>
      </c>
      <c r="C10" s="5">
        <v>1.4285328298076999E-8</v>
      </c>
      <c r="G10" s="4" t="str">
        <f>"F25H8.2"</f>
        <v>F25H8.2</v>
      </c>
      <c r="H10" s="4" t="s">
        <v>14849</v>
      </c>
      <c r="I10" s="4" t="s">
        <v>14849</v>
      </c>
      <c r="J10" s="4" t="s">
        <v>14849</v>
      </c>
      <c r="K10" s="4" t="s">
        <v>14849</v>
      </c>
      <c r="L10" s="4">
        <v>14.930697119774001</v>
      </c>
      <c r="M10" s="4">
        <v>15.2975395124759</v>
      </c>
      <c r="N10" s="4">
        <v>15.0750976187866</v>
      </c>
      <c r="O10" s="4">
        <f t="shared" si="0"/>
        <v>15.101111417012168</v>
      </c>
    </row>
    <row r="11" spans="1:17" x14ac:dyDescent="0.2">
      <c r="A11" s="4" t="str">
        <f>"nap-1"</f>
        <v>nap-1</v>
      </c>
      <c r="B11" s="4">
        <v>4.0195984135021998</v>
      </c>
      <c r="C11" s="5">
        <v>1.4576233940960101E-7</v>
      </c>
      <c r="G11" s="4" t="str">
        <f>"mdt-4"</f>
        <v>mdt-4</v>
      </c>
      <c r="H11" s="4" t="s">
        <v>14849</v>
      </c>
      <c r="I11" s="4" t="s">
        <v>14849</v>
      </c>
      <c r="J11" s="4" t="s">
        <v>14849</v>
      </c>
      <c r="K11" s="4" t="s">
        <v>14849</v>
      </c>
      <c r="L11" s="4">
        <v>14.3439817304806</v>
      </c>
      <c r="M11" s="4">
        <v>14.6220737153887</v>
      </c>
      <c r="N11" s="4">
        <v>15.524145444242899</v>
      </c>
      <c r="O11" s="4">
        <f t="shared" si="0"/>
        <v>14.830066963370733</v>
      </c>
    </row>
    <row r="12" spans="1:17" x14ac:dyDescent="0.2">
      <c r="A12" s="4" t="str">
        <f>"cdkr-3"</f>
        <v>cdkr-3</v>
      </c>
      <c r="B12" s="4">
        <v>4.0025948549921004</v>
      </c>
      <c r="C12" s="5">
        <v>1.8583783594169601E-8</v>
      </c>
      <c r="G12" s="4" t="str">
        <f>"ppfr-4"</f>
        <v>ppfr-4</v>
      </c>
      <c r="H12" s="4" t="s">
        <v>14849</v>
      </c>
      <c r="I12" s="4" t="s">
        <v>14849</v>
      </c>
      <c r="J12" s="4" t="s">
        <v>14849</v>
      </c>
      <c r="K12" s="4" t="s">
        <v>14849</v>
      </c>
      <c r="L12" s="4">
        <v>14.435043910733</v>
      </c>
      <c r="M12" s="4">
        <v>14.3604625690642</v>
      </c>
      <c r="N12" s="4">
        <v>15.5665468809367</v>
      </c>
      <c r="O12" s="4">
        <f t="shared" si="0"/>
        <v>14.787351120244635</v>
      </c>
    </row>
    <row r="13" spans="1:17" x14ac:dyDescent="0.2">
      <c r="A13" s="4" t="str">
        <f>"cogc-8"</f>
        <v>cogc-8</v>
      </c>
      <c r="B13" s="4">
        <v>3.9952042443280602</v>
      </c>
      <c r="C13" s="5">
        <v>2.0205672476126399E-6</v>
      </c>
      <c r="G13" s="4" t="str">
        <f>"eef-1B.1"</f>
        <v>eef-1B.1</v>
      </c>
      <c r="H13" s="4" t="s">
        <v>14849</v>
      </c>
      <c r="I13" s="4" t="s">
        <v>14849</v>
      </c>
      <c r="J13" s="4" t="s">
        <v>14849</v>
      </c>
      <c r="K13" s="4" t="s">
        <v>14849</v>
      </c>
      <c r="L13" s="4">
        <v>13.7681919672631</v>
      </c>
      <c r="M13" s="4">
        <v>14.4320340562751</v>
      </c>
      <c r="N13" s="4">
        <v>14.7526835693403</v>
      </c>
      <c r="O13" s="4">
        <f t="shared" si="0"/>
        <v>14.317636530959499</v>
      </c>
    </row>
    <row r="14" spans="1:17" x14ac:dyDescent="0.2">
      <c r="A14" s="4" t="str">
        <f>"pck-2"</f>
        <v>pck-2</v>
      </c>
      <c r="B14" s="4">
        <v>3.9611257227021599</v>
      </c>
      <c r="C14" s="5">
        <v>1.58363383871426E-9</v>
      </c>
      <c r="G14" s="4" t="str">
        <f>"T28F4.5"</f>
        <v>T28F4.5</v>
      </c>
      <c r="H14" s="4" t="s">
        <v>14849</v>
      </c>
      <c r="I14" s="4" t="s">
        <v>14849</v>
      </c>
      <c r="J14" s="4" t="s">
        <v>14849</v>
      </c>
      <c r="K14" s="4" t="s">
        <v>14849</v>
      </c>
      <c r="L14" s="4">
        <v>13.3105331055887</v>
      </c>
      <c r="M14" s="4">
        <v>14.2610041578008</v>
      </c>
      <c r="N14" s="4">
        <v>13.132200092098699</v>
      </c>
      <c r="O14" s="4">
        <f t="shared" si="0"/>
        <v>13.5679124518294</v>
      </c>
    </row>
    <row r="15" spans="1:17" x14ac:dyDescent="0.2">
      <c r="A15" s="4" t="str">
        <f>"gln-3"</f>
        <v>gln-3</v>
      </c>
      <c r="B15" s="4">
        <v>3.9547704430835902</v>
      </c>
      <c r="C15" s="5">
        <v>1.2247177287764699E-5</v>
      </c>
      <c r="G15" s="4" t="str">
        <f>"srp-2"</f>
        <v>srp-2</v>
      </c>
      <c r="H15" s="4" t="s">
        <v>14849</v>
      </c>
      <c r="I15" s="4" t="s">
        <v>14849</v>
      </c>
      <c r="J15" s="4" t="s">
        <v>14849</v>
      </c>
      <c r="K15" s="4" t="s">
        <v>14849</v>
      </c>
      <c r="L15" s="4">
        <v>13.5461395567501</v>
      </c>
      <c r="M15" s="4">
        <v>13.909913440962001</v>
      </c>
      <c r="N15" s="4">
        <v>12.8441820020969</v>
      </c>
      <c r="O15" s="4">
        <f t="shared" si="0"/>
        <v>13.433411666603</v>
      </c>
    </row>
    <row r="16" spans="1:17" x14ac:dyDescent="0.2">
      <c r="A16" s="4" t="str">
        <f>"fah-1"</f>
        <v>fah-1</v>
      </c>
      <c r="B16" s="4">
        <v>3.8115180590801701</v>
      </c>
      <c r="C16" s="5">
        <v>4.2505967103508899E-6</v>
      </c>
      <c r="G16" s="4" t="str">
        <f>"clp-1"</f>
        <v>clp-1</v>
      </c>
      <c r="H16" s="4" t="s">
        <v>14849</v>
      </c>
      <c r="I16" s="4" t="s">
        <v>14849</v>
      </c>
      <c r="J16" s="4" t="s">
        <v>14849</v>
      </c>
      <c r="K16" s="4" t="s">
        <v>14849</v>
      </c>
      <c r="L16" s="4">
        <v>12.173784977444599</v>
      </c>
      <c r="M16" s="4">
        <v>13.645877874236801</v>
      </c>
      <c r="N16" s="4">
        <v>14.098814535978899</v>
      </c>
      <c r="O16" s="4">
        <f t="shared" si="0"/>
        <v>13.3061591292201</v>
      </c>
    </row>
    <row r="17" spans="1:15" x14ac:dyDescent="0.2">
      <c r="A17" s="4" t="str">
        <f>"natc-1"</f>
        <v>natc-1</v>
      </c>
      <c r="B17" s="4">
        <v>3.73597724678014</v>
      </c>
      <c r="C17" s="5">
        <v>3.9161654776410802E-6</v>
      </c>
      <c r="G17" s="4" t="str">
        <f>"vha-7"</f>
        <v>vha-7</v>
      </c>
      <c r="H17" s="4" t="s">
        <v>14849</v>
      </c>
      <c r="I17" s="4" t="s">
        <v>14849</v>
      </c>
      <c r="J17" s="4" t="s">
        <v>14849</v>
      </c>
      <c r="K17" s="4" t="s">
        <v>14849</v>
      </c>
      <c r="L17" s="4">
        <v>12.6861351329736</v>
      </c>
      <c r="M17" s="4">
        <v>13.0619734034616</v>
      </c>
      <c r="N17" s="4">
        <v>13.4600761710948</v>
      </c>
      <c r="O17" s="4">
        <f t="shared" si="0"/>
        <v>13.06939490251</v>
      </c>
    </row>
    <row r="18" spans="1:15" x14ac:dyDescent="0.2">
      <c r="A18" s="4" t="str">
        <f>"erfa-3"</f>
        <v>erfa-3</v>
      </c>
      <c r="B18" s="4">
        <v>3.68596756086606</v>
      </c>
      <c r="C18" s="5">
        <v>1.1631114247878599E-6</v>
      </c>
      <c r="G18" s="6" t="str">
        <f>"wrm-1"</f>
        <v>wrm-1</v>
      </c>
      <c r="H18" s="6">
        <v>9.88061967931292</v>
      </c>
      <c r="I18" s="6">
        <v>9.7598688446794899</v>
      </c>
      <c r="J18" s="6">
        <v>10.607441639100101</v>
      </c>
      <c r="K18" s="6">
        <f t="shared" ref="K18:K33" si="1">(H18+I18+J18)/3</f>
        <v>10.082643387697503</v>
      </c>
      <c r="L18" s="6" t="s">
        <v>14849</v>
      </c>
      <c r="M18" s="6" t="s">
        <v>14849</v>
      </c>
      <c r="N18" s="6" t="s">
        <v>14849</v>
      </c>
      <c r="O18" s="6" t="s">
        <v>14849</v>
      </c>
    </row>
    <row r="19" spans="1:15" x14ac:dyDescent="0.2">
      <c r="A19" s="4" t="str">
        <f>"exc-15"</f>
        <v>exc-15</v>
      </c>
      <c r="B19" s="4">
        <v>3.6525134321669901</v>
      </c>
      <c r="C19" s="5">
        <v>2.8095992531541701E-5</v>
      </c>
      <c r="G19" s="6" t="str">
        <f>"EEED8.2"</f>
        <v>EEED8.2</v>
      </c>
      <c r="H19" s="6">
        <v>10.1524930149574</v>
      </c>
      <c r="I19" s="6">
        <v>10.0604851167577</v>
      </c>
      <c r="J19" s="6">
        <v>10.046570889634401</v>
      </c>
      <c r="K19" s="6">
        <f t="shared" si="1"/>
        <v>10.086516340449833</v>
      </c>
      <c r="L19" s="6" t="s">
        <v>14849</v>
      </c>
      <c r="M19" s="6" t="s">
        <v>14849</v>
      </c>
      <c r="N19" s="6" t="s">
        <v>14849</v>
      </c>
      <c r="O19" s="6" t="s">
        <v>14849</v>
      </c>
    </row>
    <row r="20" spans="1:15" x14ac:dyDescent="0.2">
      <c r="A20" s="4" t="str">
        <f>"rpap-2"</f>
        <v>rpap-2</v>
      </c>
      <c r="B20" s="4">
        <v>3.6226447461101299</v>
      </c>
      <c r="C20" s="4">
        <v>1.4131340298346401E-3</v>
      </c>
      <c r="G20" s="6" t="str">
        <f>"B0205.10"</f>
        <v>B0205.10</v>
      </c>
      <c r="H20" s="6">
        <v>9.5059963692155396</v>
      </c>
      <c r="I20" s="6">
        <v>9.5615439099764394</v>
      </c>
      <c r="J20" s="6">
        <v>11.380879369163701</v>
      </c>
      <c r="K20" s="6">
        <f t="shared" si="1"/>
        <v>10.14947321611856</v>
      </c>
      <c r="L20" s="6" t="s">
        <v>14849</v>
      </c>
      <c r="M20" s="6" t="s">
        <v>14849</v>
      </c>
      <c r="N20" s="6" t="s">
        <v>14849</v>
      </c>
      <c r="O20" s="6" t="s">
        <v>14849</v>
      </c>
    </row>
    <row r="21" spans="1:15" x14ac:dyDescent="0.2">
      <c r="A21" s="4" t="str">
        <f>"mlt-3"</f>
        <v>mlt-3</v>
      </c>
      <c r="B21" s="4">
        <v>3.5871922265189902</v>
      </c>
      <c r="C21" s="5">
        <v>5.7095593616893897E-6</v>
      </c>
      <c r="G21" s="6" t="str">
        <f>"elli-1"</f>
        <v>elli-1</v>
      </c>
      <c r="H21" s="6">
        <v>9.8611278675839902</v>
      </c>
      <c r="I21" s="6">
        <v>9.8964021774208604</v>
      </c>
      <c r="J21" s="6">
        <v>11.0593323334183</v>
      </c>
      <c r="K21" s="6">
        <f t="shared" si="1"/>
        <v>10.272287459474382</v>
      </c>
      <c r="L21" s="6" t="s">
        <v>14849</v>
      </c>
      <c r="M21" s="6" t="s">
        <v>14849</v>
      </c>
      <c r="N21" s="6" t="s">
        <v>14849</v>
      </c>
      <c r="O21" s="6" t="s">
        <v>14849</v>
      </c>
    </row>
    <row r="22" spans="1:15" x14ac:dyDescent="0.2">
      <c r="A22" s="4" t="str">
        <f>"hpd-1"</f>
        <v>hpd-1</v>
      </c>
      <c r="B22" s="4">
        <v>3.5737848657373199</v>
      </c>
      <c r="C22" s="5">
        <v>1.4285328298076999E-8</v>
      </c>
      <c r="G22" s="6" t="str">
        <f>"C25H3.11"</f>
        <v>C25H3.11</v>
      </c>
      <c r="H22" s="6">
        <v>10.949068131483701</v>
      </c>
      <c r="I22" s="6">
        <v>9.1988829662563703</v>
      </c>
      <c r="J22" s="6">
        <v>11.292826433694101</v>
      </c>
      <c r="K22" s="6">
        <f t="shared" si="1"/>
        <v>10.480259177144724</v>
      </c>
      <c r="L22" s="6" t="s">
        <v>14849</v>
      </c>
      <c r="M22" s="6" t="s">
        <v>14849</v>
      </c>
      <c r="N22" s="6" t="s">
        <v>14849</v>
      </c>
      <c r="O22" s="6" t="s">
        <v>14849</v>
      </c>
    </row>
    <row r="23" spans="1:15" x14ac:dyDescent="0.2">
      <c r="A23" s="4" t="str">
        <f>"tdo-2"</f>
        <v>tdo-2</v>
      </c>
      <c r="B23" s="4">
        <v>3.5226346679321101</v>
      </c>
      <c r="C23" s="5">
        <v>1.09639867603329E-5</v>
      </c>
      <c r="G23" s="6" t="str">
        <f>"T20F7.1"</f>
        <v>T20F7.1</v>
      </c>
      <c r="H23" s="6">
        <v>10.8965751651701</v>
      </c>
      <c r="I23" s="6">
        <v>10.7912070718292</v>
      </c>
      <c r="J23" s="6">
        <v>9.9277746912911002</v>
      </c>
      <c r="K23" s="6">
        <f t="shared" si="1"/>
        <v>10.538518976096801</v>
      </c>
      <c r="L23" s="6" t="s">
        <v>14849</v>
      </c>
      <c r="M23" s="6" t="s">
        <v>14849</v>
      </c>
      <c r="N23" s="6" t="s">
        <v>14849</v>
      </c>
      <c r="O23" s="6" t="s">
        <v>14849</v>
      </c>
    </row>
    <row r="24" spans="1:15" x14ac:dyDescent="0.2">
      <c r="A24" s="4" t="str">
        <f>"eif-2A"</f>
        <v>eif-2A</v>
      </c>
      <c r="B24" s="4">
        <v>3.4713331075555001</v>
      </c>
      <c r="C24" s="5">
        <v>2.96040376938995E-9</v>
      </c>
      <c r="G24" s="6" t="str">
        <f>"lin-65"</f>
        <v>lin-65</v>
      </c>
      <c r="H24" s="6">
        <v>10.8266850978302</v>
      </c>
      <c r="I24" s="6">
        <v>10.431421735351</v>
      </c>
      <c r="J24" s="6">
        <v>10.637155435467699</v>
      </c>
      <c r="K24" s="6">
        <f t="shared" si="1"/>
        <v>10.631754089549633</v>
      </c>
      <c r="L24" s="6" t="s">
        <v>14849</v>
      </c>
      <c r="M24" s="6" t="s">
        <v>14849</v>
      </c>
      <c r="N24" s="6" t="s">
        <v>14849</v>
      </c>
      <c r="O24" s="6" t="s">
        <v>14849</v>
      </c>
    </row>
    <row r="25" spans="1:15" x14ac:dyDescent="0.2">
      <c r="A25" s="4" t="str">
        <f>"bcc-1"</f>
        <v>bcc-1</v>
      </c>
      <c r="B25" s="4">
        <v>3.4678320268324598</v>
      </c>
      <c r="C25" s="5">
        <v>5.7095593616893897E-6</v>
      </c>
      <c r="G25" s="6" t="str">
        <f>"efa-6"</f>
        <v>efa-6</v>
      </c>
      <c r="H25" s="6">
        <v>10.697092645768199</v>
      </c>
      <c r="I25" s="6">
        <v>10.6134227384302</v>
      </c>
      <c r="J25" s="6">
        <v>10.5977058621901</v>
      </c>
      <c r="K25" s="6">
        <f t="shared" si="1"/>
        <v>10.636073748796166</v>
      </c>
      <c r="L25" s="6" t="s">
        <v>14849</v>
      </c>
      <c r="M25" s="6" t="s">
        <v>14849</v>
      </c>
      <c r="N25" s="6" t="s">
        <v>14849</v>
      </c>
      <c r="O25" s="6" t="s">
        <v>14849</v>
      </c>
    </row>
    <row r="26" spans="1:15" x14ac:dyDescent="0.2">
      <c r="A26" s="4" t="str">
        <f>"sec-6"</f>
        <v>sec-6</v>
      </c>
      <c r="B26" s="4">
        <v>3.46195367864649</v>
      </c>
      <c r="C26" s="4">
        <v>1.9104040417674099E-3</v>
      </c>
      <c r="G26" s="6" t="str">
        <f>"eri-12"</f>
        <v>eri-12</v>
      </c>
      <c r="H26" s="6">
        <v>10.4399149218153</v>
      </c>
      <c r="I26" s="6">
        <v>10.803306937276099</v>
      </c>
      <c r="J26" s="6">
        <v>10.6687671604057</v>
      </c>
      <c r="K26" s="6">
        <f t="shared" si="1"/>
        <v>10.6373296731657</v>
      </c>
      <c r="L26" s="6" t="s">
        <v>14849</v>
      </c>
      <c r="M26" s="6" t="s">
        <v>14849</v>
      </c>
      <c r="N26" s="6" t="s">
        <v>14849</v>
      </c>
      <c r="O26" s="6" t="s">
        <v>14849</v>
      </c>
    </row>
    <row r="27" spans="1:15" x14ac:dyDescent="0.2">
      <c r="A27" s="4" t="str">
        <f>"unk-1"</f>
        <v>unk-1</v>
      </c>
      <c r="B27" s="4">
        <v>3.43885407359824</v>
      </c>
      <c r="C27" s="5">
        <v>3.3718671760664901E-5</v>
      </c>
      <c r="G27" s="6" t="str">
        <f>"gphr-1"</f>
        <v>gphr-1</v>
      </c>
      <c r="H27" s="6">
        <v>10.587332355293499</v>
      </c>
      <c r="I27" s="6">
        <v>10.184750237527799</v>
      </c>
      <c r="J27" s="6">
        <v>11.1793275590019</v>
      </c>
      <c r="K27" s="6">
        <f t="shared" si="1"/>
        <v>10.650470050607732</v>
      </c>
      <c r="L27" s="6" t="s">
        <v>14849</v>
      </c>
      <c r="M27" s="6" t="s">
        <v>14849</v>
      </c>
      <c r="N27" s="6" t="s">
        <v>14849</v>
      </c>
      <c r="O27" s="6" t="s">
        <v>14849</v>
      </c>
    </row>
    <row r="28" spans="1:15" x14ac:dyDescent="0.2">
      <c r="A28" s="4" t="str">
        <f>"saps-1"</f>
        <v>saps-1</v>
      </c>
      <c r="B28" s="4">
        <v>3.4106942098460702</v>
      </c>
      <c r="C28" s="5">
        <v>1.46547035585966E-6</v>
      </c>
      <c r="G28" s="6" t="str">
        <f>"vars-1"</f>
        <v>vars-1</v>
      </c>
      <c r="H28" s="6">
        <v>10.643463271397801</v>
      </c>
      <c r="I28" s="6">
        <v>10.828096966938601</v>
      </c>
      <c r="J28" s="6">
        <v>10.6102489936782</v>
      </c>
      <c r="K28" s="6">
        <f t="shared" si="1"/>
        <v>10.693936410671533</v>
      </c>
      <c r="L28" s="6" t="s">
        <v>14849</v>
      </c>
      <c r="M28" s="6" t="s">
        <v>14849</v>
      </c>
      <c r="N28" s="6" t="s">
        <v>14849</v>
      </c>
      <c r="O28" s="6" t="s">
        <v>14849</v>
      </c>
    </row>
    <row r="29" spans="1:15" x14ac:dyDescent="0.2">
      <c r="A29" s="4" t="str">
        <f>"alfa-1"</f>
        <v>alfa-1</v>
      </c>
      <c r="B29" s="4">
        <v>3.4044493226907702</v>
      </c>
      <c r="C29" s="5">
        <v>4.8778083662718402E-6</v>
      </c>
      <c r="G29" s="6" t="str">
        <f>"dve-1"</f>
        <v>dve-1</v>
      </c>
      <c r="H29" s="6">
        <v>12.148444492290601</v>
      </c>
      <c r="I29" s="6">
        <v>9.6794220060157308</v>
      </c>
      <c r="J29" s="6">
        <v>10.386754307438</v>
      </c>
      <c r="K29" s="6">
        <f t="shared" si="1"/>
        <v>10.73820693524811</v>
      </c>
      <c r="L29" s="6" t="s">
        <v>14849</v>
      </c>
      <c r="M29" s="6" t="s">
        <v>14849</v>
      </c>
      <c r="N29" s="6" t="s">
        <v>14849</v>
      </c>
      <c r="O29" s="6" t="s">
        <v>14849</v>
      </c>
    </row>
    <row r="30" spans="1:15" x14ac:dyDescent="0.2">
      <c r="A30" s="4" t="str">
        <f>"glna-1"</f>
        <v>glna-1</v>
      </c>
      <c r="B30" s="4">
        <v>3.35144245227541</v>
      </c>
      <c r="C30" s="5">
        <v>1.11625008668312E-6</v>
      </c>
      <c r="G30" s="6" t="str">
        <f>"rbr-2"</f>
        <v>rbr-2</v>
      </c>
      <c r="H30" s="6">
        <v>10.320905739700899</v>
      </c>
      <c r="I30" s="6">
        <v>11.139836239744</v>
      </c>
      <c r="J30" s="6">
        <v>11.447627898862001</v>
      </c>
      <c r="K30" s="6">
        <f t="shared" si="1"/>
        <v>10.9694566261023</v>
      </c>
      <c r="L30" s="6" t="s">
        <v>14849</v>
      </c>
      <c r="M30" s="6" t="s">
        <v>14849</v>
      </c>
      <c r="N30" s="6" t="s">
        <v>14849</v>
      </c>
      <c r="O30" s="6" t="s">
        <v>14849</v>
      </c>
    </row>
    <row r="31" spans="1:15" x14ac:dyDescent="0.2">
      <c r="A31" s="4" t="str">
        <f>"edc-4"</f>
        <v>edc-4</v>
      </c>
      <c r="B31" s="4">
        <v>3.2947502515062901</v>
      </c>
      <c r="C31" s="5">
        <v>1.4285328298076999E-8</v>
      </c>
      <c r="G31" s="6" t="str">
        <f>"rpb-3"</f>
        <v>rpb-3</v>
      </c>
      <c r="H31" s="6">
        <v>11.374694233388601</v>
      </c>
      <c r="I31" s="6">
        <v>10.5641274578339</v>
      </c>
      <c r="J31" s="6">
        <v>11.0000660342077</v>
      </c>
      <c r="K31" s="6">
        <f t="shared" si="1"/>
        <v>10.979629241810066</v>
      </c>
      <c r="L31" s="6" t="s">
        <v>14849</v>
      </c>
      <c r="M31" s="6" t="s">
        <v>14849</v>
      </c>
      <c r="N31" s="6" t="s">
        <v>14849</v>
      </c>
      <c r="O31" s="6" t="s">
        <v>14849</v>
      </c>
    </row>
    <row r="32" spans="1:15" x14ac:dyDescent="0.2">
      <c r="A32" s="4" t="str">
        <f>"mlt-2"</f>
        <v>mlt-2</v>
      </c>
      <c r="B32" s="4">
        <v>3.26762429625194</v>
      </c>
      <c r="C32" s="5">
        <v>3.2192859626033601E-7</v>
      </c>
      <c r="G32" s="6" t="str">
        <f>"F01F1.11"</f>
        <v>F01F1.11</v>
      </c>
      <c r="H32" s="6">
        <v>10.926912749450199</v>
      </c>
      <c r="I32" s="6">
        <v>10.872295335958</v>
      </c>
      <c r="J32" s="6">
        <v>11.2238903703653</v>
      </c>
      <c r="K32" s="6">
        <f t="shared" si="1"/>
        <v>11.007699485257833</v>
      </c>
      <c r="L32" s="6" t="s">
        <v>14849</v>
      </c>
      <c r="M32" s="6" t="s">
        <v>14849</v>
      </c>
      <c r="N32" s="6" t="s">
        <v>14849</v>
      </c>
      <c r="O32" s="6" t="s">
        <v>14849</v>
      </c>
    </row>
    <row r="33" spans="1:15" x14ac:dyDescent="0.2">
      <c r="A33" s="4" t="str">
        <f>"pmt-2"</f>
        <v>pmt-2</v>
      </c>
      <c r="B33" s="4">
        <v>3.2329503631764398</v>
      </c>
      <c r="C33" s="5">
        <v>1.3146726438996701E-7</v>
      </c>
      <c r="G33" s="6" t="str">
        <f>"Y43F8B.1"</f>
        <v>Y43F8B.1</v>
      </c>
      <c r="H33" s="6">
        <v>10.7182511004692</v>
      </c>
      <c r="I33" s="6">
        <v>11.082651441038299</v>
      </c>
      <c r="J33" s="6">
        <v>11.2344068270087</v>
      </c>
      <c r="K33" s="6">
        <f t="shared" si="1"/>
        <v>11.011769789505399</v>
      </c>
      <c r="L33" s="6" t="s">
        <v>14849</v>
      </c>
      <c r="M33" s="6" t="s">
        <v>14849</v>
      </c>
      <c r="N33" s="6" t="s">
        <v>14849</v>
      </c>
      <c r="O33" s="6" t="s">
        <v>14849</v>
      </c>
    </row>
    <row r="34" spans="1:15" x14ac:dyDescent="0.2">
      <c r="A34" s="4" t="str">
        <f>"xrn-1"</f>
        <v>xrn-1</v>
      </c>
      <c r="B34" s="4">
        <v>3.2124154127110098</v>
      </c>
      <c r="C34" s="4">
        <v>3.8064404248263798E-4</v>
      </c>
      <c r="G34" s="6" t="str">
        <f>"mtg-1"</f>
        <v>mtg-1</v>
      </c>
      <c r="H34" s="6">
        <v>10.892559198808399</v>
      </c>
      <c r="I34" s="6">
        <v>11.00562227132</v>
      </c>
      <c r="J34" s="6">
        <v>11.165406456319801</v>
      </c>
      <c r="K34" s="6">
        <f t="shared" ref="K34:K65" si="2">(H34+I34+J34)/3</f>
        <v>11.021195975482733</v>
      </c>
      <c r="L34" s="6" t="s">
        <v>14849</v>
      </c>
      <c r="M34" s="6" t="s">
        <v>14849</v>
      </c>
      <c r="N34" s="6" t="s">
        <v>14849</v>
      </c>
      <c r="O34" s="6" t="s">
        <v>14849</v>
      </c>
    </row>
    <row r="35" spans="1:15" x14ac:dyDescent="0.2">
      <c r="A35" s="4" t="str">
        <f>"upp-1"</f>
        <v>upp-1</v>
      </c>
      <c r="B35" s="4">
        <v>3.0538922405664102</v>
      </c>
      <c r="C35" s="5">
        <v>5.1772244287897499E-5</v>
      </c>
      <c r="G35" s="6" t="str">
        <f>"pcf-11"</f>
        <v>pcf-11</v>
      </c>
      <c r="H35" s="6">
        <v>10.965180903619901</v>
      </c>
      <c r="I35" s="6">
        <v>10.840473298108799</v>
      </c>
      <c r="J35" s="6">
        <v>11.314138638813199</v>
      </c>
      <c r="K35" s="6">
        <f t="shared" si="2"/>
        <v>11.039930946847299</v>
      </c>
      <c r="L35" s="6" t="s">
        <v>14849</v>
      </c>
      <c r="M35" s="6" t="s">
        <v>14849</v>
      </c>
      <c r="N35" s="6" t="s">
        <v>14849</v>
      </c>
      <c r="O35" s="6" t="s">
        <v>14849</v>
      </c>
    </row>
    <row r="36" spans="1:15" x14ac:dyDescent="0.2">
      <c r="A36" s="4" t="str">
        <f>"inx-12"</f>
        <v>inx-12</v>
      </c>
      <c r="B36" s="4">
        <v>2.9872737009556798</v>
      </c>
      <c r="C36" s="5">
        <v>1.46547035585966E-6</v>
      </c>
      <c r="G36" s="6" t="str">
        <f>"slcr-46.3"</f>
        <v>slcr-46.3</v>
      </c>
      <c r="H36" s="6">
        <v>10.809563587745901</v>
      </c>
      <c r="I36" s="6">
        <v>11.0178937008508</v>
      </c>
      <c r="J36" s="6">
        <v>11.296899269520001</v>
      </c>
      <c r="K36" s="6">
        <f t="shared" si="2"/>
        <v>11.041452186038901</v>
      </c>
      <c r="L36" s="6" t="s">
        <v>14849</v>
      </c>
      <c r="M36" s="6" t="s">
        <v>14849</v>
      </c>
      <c r="N36" s="6" t="s">
        <v>14849</v>
      </c>
      <c r="O36" s="6" t="s">
        <v>14849</v>
      </c>
    </row>
    <row r="37" spans="1:15" x14ac:dyDescent="0.2">
      <c r="A37" s="4" t="str">
        <f>"K07E3.4"</f>
        <v>K07E3.4</v>
      </c>
      <c r="B37" s="4">
        <v>2.96147610515029</v>
      </c>
      <c r="C37" s="5">
        <v>1.3998010240408301E-7</v>
      </c>
      <c r="G37" s="6" t="str">
        <f>"ZK1098.3"</f>
        <v>ZK1098.3</v>
      </c>
      <c r="H37" s="6">
        <v>10.381484453453</v>
      </c>
      <c r="I37" s="6">
        <v>11.308186372548199</v>
      </c>
      <c r="J37" s="6">
        <v>11.481880316404901</v>
      </c>
      <c r="K37" s="6">
        <f t="shared" si="2"/>
        <v>11.057183714135368</v>
      </c>
      <c r="L37" s="6" t="s">
        <v>14849</v>
      </c>
      <c r="M37" s="6" t="s">
        <v>14849</v>
      </c>
      <c r="N37" s="6" t="s">
        <v>14849</v>
      </c>
      <c r="O37" s="6" t="s">
        <v>14849</v>
      </c>
    </row>
    <row r="38" spans="1:15" x14ac:dyDescent="0.2">
      <c r="A38" s="4" t="str">
        <f>"cash-1"</f>
        <v>cash-1</v>
      </c>
      <c r="B38" s="4">
        <v>2.9475693726015399</v>
      </c>
      <c r="C38" s="5">
        <v>2.0180356027576301E-6</v>
      </c>
      <c r="G38" s="6" t="str">
        <f>"F28F5.6"</f>
        <v>F28F5.6</v>
      </c>
      <c r="H38" s="6">
        <v>10.781951998395201</v>
      </c>
      <c r="I38" s="6">
        <v>11.0586007509759</v>
      </c>
      <c r="J38" s="6">
        <v>11.331766237932399</v>
      </c>
      <c r="K38" s="6">
        <f t="shared" si="2"/>
        <v>11.057439662434499</v>
      </c>
      <c r="L38" s="6" t="s">
        <v>14849</v>
      </c>
      <c r="M38" s="6" t="s">
        <v>14849</v>
      </c>
      <c r="N38" s="6" t="s">
        <v>14849</v>
      </c>
      <c r="O38" s="6" t="s">
        <v>14849</v>
      </c>
    </row>
    <row r="39" spans="1:15" x14ac:dyDescent="0.2">
      <c r="A39" s="4" t="str">
        <f>"pud-2.1"</f>
        <v>pud-2.1</v>
      </c>
      <c r="B39" s="4">
        <v>2.93467323371739</v>
      </c>
      <c r="C39" s="4">
        <v>2.2313502331048299E-2</v>
      </c>
      <c r="G39" s="6" t="str">
        <f>"swt-7"</f>
        <v>swt-7</v>
      </c>
      <c r="H39" s="6">
        <v>10.358988406614399</v>
      </c>
      <c r="I39" s="6">
        <v>11.3471930255619</v>
      </c>
      <c r="J39" s="6">
        <v>11.500284678541799</v>
      </c>
      <c r="K39" s="6">
        <f t="shared" si="2"/>
        <v>11.068822036906033</v>
      </c>
      <c r="L39" s="6" t="s">
        <v>14849</v>
      </c>
      <c r="M39" s="6" t="s">
        <v>14849</v>
      </c>
      <c r="N39" s="6" t="s">
        <v>14849</v>
      </c>
      <c r="O39" s="6" t="s">
        <v>14849</v>
      </c>
    </row>
    <row r="40" spans="1:15" x14ac:dyDescent="0.2">
      <c r="A40" s="4" t="str">
        <f>"usp-5"</f>
        <v>usp-5</v>
      </c>
      <c r="B40" s="4">
        <v>2.9138016961544899</v>
      </c>
      <c r="C40" s="5">
        <v>5.26051720291108E-5</v>
      </c>
      <c r="G40" s="6" t="str">
        <f>"Y7A5A.2"</f>
        <v>Y7A5A.2</v>
      </c>
      <c r="H40" s="6">
        <v>11.013516423499199</v>
      </c>
      <c r="I40" s="6">
        <v>10.8445900719113</v>
      </c>
      <c r="J40" s="6">
        <v>11.348880841367199</v>
      </c>
      <c r="K40" s="6">
        <f t="shared" si="2"/>
        <v>11.068995778925901</v>
      </c>
      <c r="L40" s="6" t="s">
        <v>14849</v>
      </c>
      <c r="M40" s="6" t="s">
        <v>14849</v>
      </c>
      <c r="N40" s="6" t="s">
        <v>14849</v>
      </c>
      <c r="O40" s="6" t="s">
        <v>14849</v>
      </c>
    </row>
    <row r="41" spans="1:15" x14ac:dyDescent="0.2">
      <c r="A41" s="4" t="str">
        <f>"rpn-11"</f>
        <v>rpn-11</v>
      </c>
      <c r="B41" s="4">
        <v>2.9087615761957299</v>
      </c>
      <c r="C41" s="5">
        <v>1.0241811254148699E-5</v>
      </c>
      <c r="G41" s="6" t="str">
        <f>"mpz-1"</f>
        <v>mpz-1</v>
      </c>
      <c r="H41" s="6">
        <v>10.9126122127937</v>
      </c>
      <c r="I41" s="6">
        <v>11.033509032961399</v>
      </c>
      <c r="J41" s="6">
        <v>11.2616513230259</v>
      </c>
      <c r="K41" s="6">
        <f t="shared" si="2"/>
        <v>11.069257522927002</v>
      </c>
      <c r="L41" s="6" t="s">
        <v>14849</v>
      </c>
      <c r="M41" s="6" t="s">
        <v>14849</v>
      </c>
      <c r="N41" s="6" t="s">
        <v>14849</v>
      </c>
      <c r="O41" s="6" t="s">
        <v>14849</v>
      </c>
    </row>
    <row r="42" spans="1:15" x14ac:dyDescent="0.2">
      <c r="A42" s="4" t="str">
        <f>"cpg-1"</f>
        <v>cpg-1</v>
      </c>
      <c r="B42" s="4">
        <v>2.90008425475422</v>
      </c>
      <c r="C42" s="4">
        <v>1.0419322092238699E-2</v>
      </c>
      <c r="G42" s="6" t="str">
        <f>"rfp-1"</f>
        <v>rfp-1</v>
      </c>
      <c r="H42" s="6">
        <v>11.248834907491201</v>
      </c>
      <c r="I42" s="6">
        <v>11.0183464851442</v>
      </c>
      <c r="J42" s="6">
        <v>10.9646998386904</v>
      </c>
      <c r="K42" s="6">
        <f t="shared" si="2"/>
        <v>11.077293743775266</v>
      </c>
      <c r="L42" s="6" t="s">
        <v>14849</v>
      </c>
      <c r="M42" s="6" t="s">
        <v>14849</v>
      </c>
      <c r="N42" s="6" t="s">
        <v>14849</v>
      </c>
      <c r="O42" s="6" t="s">
        <v>14849</v>
      </c>
    </row>
    <row r="43" spans="1:15" x14ac:dyDescent="0.2">
      <c r="A43" s="4" t="str">
        <f>"phdh-1"</f>
        <v>phdh-1</v>
      </c>
      <c r="B43" s="4">
        <v>2.89927291922554</v>
      </c>
      <c r="C43" s="5">
        <v>3.6517408886922099E-5</v>
      </c>
      <c r="G43" s="6" t="str">
        <f>"F54A3.2"</f>
        <v>F54A3.2</v>
      </c>
      <c r="H43" s="6">
        <v>10.6760585757049</v>
      </c>
      <c r="I43" s="6">
        <v>10.9881733337753</v>
      </c>
      <c r="J43" s="6">
        <v>11.5824929796687</v>
      </c>
      <c r="K43" s="6">
        <f t="shared" si="2"/>
        <v>11.0822416297163</v>
      </c>
      <c r="L43" s="6" t="s">
        <v>14849</v>
      </c>
      <c r="M43" s="6" t="s">
        <v>14849</v>
      </c>
      <c r="N43" s="6" t="s">
        <v>14849</v>
      </c>
      <c r="O43" s="6" t="s">
        <v>14849</v>
      </c>
    </row>
    <row r="44" spans="1:15" x14ac:dyDescent="0.2">
      <c r="A44" s="4" t="str">
        <f>"prdx-2"</f>
        <v>prdx-2</v>
      </c>
      <c r="B44" s="4">
        <v>2.8989456405998402</v>
      </c>
      <c r="C44" s="5">
        <v>3.8883576084623902E-7</v>
      </c>
      <c r="G44" s="6" t="str">
        <f>"git-1"</f>
        <v>git-1</v>
      </c>
      <c r="H44" s="6">
        <v>11.769247454296901</v>
      </c>
      <c r="I44" s="6">
        <v>10.804567942790399</v>
      </c>
      <c r="J44" s="6">
        <v>10.6752071033831</v>
      </c>
      <c r="K44" s="6">
        <f t="shared" si="2"/>
        <v>11.083007500156802</v>
      </c>
      <c r="L44" s="6" t="s">
        <v>14849</v>
      </c>
      <c r="M44" s="6" t="s">
        <v>14849</v>
      </c>
      <c r="N44" s="6" t="s">
        <v>14849</v>
      </c>
      <c r="O44" s="6" t="s">
        <v>14849</v>
      </c>
    </row>
    <row r="45" spans="1:15" x14ac:dyDescent="0.2">
      <c r="A45" s="4" t="str">
        <f>"ZC247.1"</f>
        <v>ZC247.1</v>
      </c>
      <c r="B45" s="4">
        <v>2.89789789894076</v>
      </c>
      <c r="C45" s="5">
        <v>5.7095593616893897E-6</v>
      </c>
      <c r="G45" s="6" t="str">
        <f>"F41B4.1"</f>
        <v>F41B4.1</v>
      </c>
      <c r="H45" s="6">
        <v>10.1733488684519</v>
      </c>
      <c r="I45" s="6">
        <v>11.5407367274808</v>
      </c>
      <c r="J45" s="6">
        <v>11.680704499841299</v>
      </c>
      <c r="K45" s="6">
        <f t="shared" si="2"/>
        <v>11.131596698591332</v>
      </c>
      <c r="L45" s="6" t="s">
        <v>14849</v>
      </c>
      <c r="M45" s="6" t="s">
        <v>14849</v>
      </c>
      <c r="N45" s="6" t="s">
        <v>14849</v>
      </c>
      <c r="O45" s="6" t="s">
        <v>14849</v>
      </c>
    </row>
    <row r="46" spans="1:15" x14ac:dyDescent="0.2">
      <c r="A46" s="4" t="str">
        <f>"ZK813.3"</f>
        <v>ZK813.3</v>
      </c>
      <c r="B46" s="4">
        <v>2.8510464641191802</v>
      </c>
      <c r="C46" s="4">
        <v>2.8043615794078598E-3</v>
      </c>
      <c r="G46" s="6" t="str">
        <f>"inx-14"</f>
        <v>inx-14</v>
      </c>
      <c r="H46" s="6">
        <v>10.993192361299601</v>
      </c>
      <c r="I46" s="6">
        <v>10.7514156631311</v>
      </c>
      <c r="J46" s="6">
        <v>11.7515774107223</v>
      </c>
      <c r="K46" s="6">
        <f t="shared" si="2"/>
        <v>11.165395145051001</v>
      </c>
      <c r="L46" s="6" t="s">
        <v>14849</v>
      </c>
      <c r="M46" s="6" t="s">
        <v>14849</v>
      </c>
      <c r="N46" s="6" t="s">
        <v>14849</v>
      </c>
      <c r="O46" s="6" t="s">
        <v>14849</v>
      </c>
    </row>
    <row r="47" spans="1:15" x14ac:dyDescent="0.2">
      <c r="A47" s="4" t="str">
        <f>"T20B12.7"</f>
        <v>T20B12.7</v>
      </c>
      <c r="B47" s="4">
        <v>2.8387004974844001</v>
      </c>
      <c r="C47" s="5">
        <v>2.3494364923348099E-7</v>
      </c>
      <c r="G47" s="6" t="str">
        <f>"sqst-1"</f>
        <v>sqst-1</v>
      </c>
      <c r="H47" s="6">
        <v>10.1296427632373</v>
      </c>
      <c r="I47" s="6">
        <v>12.1239599765162</v>
      </c>
      <c r="J47" s="6">
        <v>11.3562568510447</v>
      </c>
      <c r="K47" s="6">
        <f t="shared" si="2"/>
        <v>11.203286530266068</v>
      </c>
      <c r="L47" s="6" t="s">
        <v>14849</v>
      </c>
      <c r="M47" s="6" t="s">
        <v>14849</v>
      </c>
      <c r="N47" s="6" t="s">
        <v>14849</v>
      </c>
      <c r="O47" s="6" t="s">
        <v>14849</v>
      </c>
    </row>
    <row r="48" spans="1:15" x14ac:dyDescent="0.2">
      <c r="A48" s="4" t="str">
        <f>"dnj-11"</f>
        <v>dnj-11</v>
      </c>
      <c r="B48" s="4">
        <v>2.8250257587660901</v>
      </c>
      <c r="C48" s="5">
        <v>1.31156739648876E-6</v>
      </c>
      <c r="G48" s="6" t="str">
        <f>"C01G6.5"</f>
        <v>C01G6.5</v>
      </c>
      <c r="H48" s="6">
        <v>11.212604078759901</v>
      </c>
      <c r="I48" s="6">
        <v>10.9465123171529</v>
      </c>
      <c r="J48" s="6">
        <v>11.5419069045385</v>
      </c>
      <c r="K48" s="6">
        <f t="shared" si="2"/>
        <v>11.233674433483765</v>
      </c>
      <c r="L48" s="6" t="s">
        <v>14849</v>
      </c>
      <c r="M48" s="6" t="s">
        <v>14849</v>
      </c>
      <c r="N48" s="6" t="s">
        <v>14849</v>
      </c>
      <c r="O48" s="6" t="s">
        <v>14849</v>
      </c>
    </row>
    <row r="49" spans="1:15" x14ac:dyDescent="0.2">
      <c r="A49" s="4" t="str">
        <f>"sta-1"</f>
        <v>sta-1</v>
      </c>
      <c r="B49" s="4">
        <v>2.8121355838548099</v>
      </c>
      <c r="C49" s="4">
        <v>2.01268882158791E-4</v>
      </c>
      <c r="G49" s="6" t="str">
        <f>"set-18"</f>
        <v>set-18</v>
      </c>
      <c r="H49" s="6">
        <v>10.9255215484147</v>
      </c>
      <c r="I49" s="6">
        <v>11.375920122641199</v>
      </c>
      <c r="J49" s="6">
        <v>11.5150854454947</v>
      </c>
      <c r="K49" s="6">
        <f t="shared" si="2"/>
        <v>11.272175705516865</v>
      </c>
      <c r="L49" s="6" t="s">
        <v>14849</v>
      </c>
      <c r="M49" s="6" t="s">
        <v>14849</v>
      </c>
      <c r="N49" s="6" t="s">
        <v>14849</v>
      </c>
      <c r="O49" s="6" t="s">
        <v>14849</v>
      </c>
    </row>
    <row r="50" spans="1:15" x14ac:dyDescent="0.2">
      <c r="A50" s="4" t="str">
        <f>"pfkb-1.1"</f>
        <v>pfkb-1.1</v>
      </c>
      <c r="B50" s="4">
        <v>2.7690733791302602</v>
      </c>
      <c r="C50" s="4">
        <v>3.12884497297175E-3</v>
      </c>
      <c r="G50" s="6" t="str">
        <f>"ndfl-4"</f>
        <v>ndfl-4</v>
      </c>
      <c r="H50" s="6">
        <v>10.798124275160999</v>
      </c>
      <c r="I50" s="6">
        <v>11.611913947323799</v>
      </c>
      <c r="J50" s="6">
        <v>11.409835484614501</v>
      </c>
      <c r="K50" s="6">
        <f t="shared" si="2"/>
        <v>11.273291235699768</v>
      </c>
      <c r="L50" s="6" t="s">
        <v>14849</v>
      </c>
      <c r="M50" s="6" t="s">
        <v>14849</v>
      </c>
      <c r="N50" s="6" t="s">
        <v>14849</v>
      </c>
      <c r="O50" s="6" t="s">
        <v>14849</v>
      </c>
    </row>
    <row r="51" spans="1:15" x14ac:dyDescent="0.2">
      <c r="A51" s="4" t="str">
        <f>"brc-2"</f>
        <v>brc-2</v>
      </c>
      <c r="B51" s="4">
        <v>2.7593689972489601</v>
      </c>
      <c r="C51" s="5">
        <v>6.3685562850468894E-5</v>
      </c>
      <c r="G51" s="6" t="str">
        <f>"samp-1"</f>
        <v>samp-1</v>
      </c>
      <c r="H51" s="6">
        <v>11.324142463898101</v>
      </c>
      <c r="I51" s="6">
        <v>11.0142351459631</v>
      </c>
      <c r="J51" s="6">
        <v>11.5698942178411</v>
      </c>
      <c r="K51" s="6">
        <f t="shared" si="2"/>
        <v>11.302757275900767</v>
      </c>
      <c r="L51" s="6" t="s">
        <v>14849</v>
      </c>
      <c r="M51" s="6" t="s">
        <v>14849</v>
      </c>
      <c r="N51" s="6" t="s">
        <v>14849</v>
      </c>
      <c r="O51" s="6" t="s">
        <v>14849</v>
      </c>
    </row>
    <row r="52" spans="1:15" x14ac:dyDescent="0.2">
      <c r="A52" s="4" t="str">
        <f>"pah-1"</f>
        <v>pah-1</v>
      </c>
      <c r="B52" s="4">
        <v>2.7505533331788401</v>
      </c>
      <c r="C52" s="5">
        <v>1.1772471986998199E-6</v>
      </c>
      <c r="G52" s="6" t="str">
        <f>"Y39A1A.3"</f>
        <v>Y39A1A.3</v>
      </c>
      <c r="H52" s="6">
        <v>10.761835547939301</v>
      </c>
      <c r="I52" s="6">
        <v>11.9478501226502</v>
      </c>
      <c r="J52" s="6">
        <v>11.2482936056675</v>
      </c>
      <c r="K52" s="6">
        <f t="shared" si="2"/>
        <v>11.319326425419</v>
      </c>
      <c r="L52" s="6" t="s">
        <v>14849</v>
      </c>
      <c r="M52" s="6" t="s">
        <v>14849</v>
      </c>
      <c r="N52" s="6" t="s">
        <v>14849</v>
      </c>
      <c r="O52" s="6" t="s">
        <v>14849</v>
      </c>
    </row>
    <row r="53" spans="1:15" x14ac:dyDescent="0.2">
      <c r="A53" s="4" t="str">
        <f>"nbet-1"</f>
        <v>nbet-1</v>
      </c>
      <c r="B53" s="4">
        <v>2.74302545271473</v>
      </c>
      <c r="C53" s="4">
        <v>2.0083347174271399E-3</v>
      </c>
      <c r="G53" s="6" t="str">
        <f>"lys-1"</f>
        <v>lys-1</v>
      </c>
      <c r="H53" s="6">
        <v>11.132533775497899</v>
      </c>
      <c r="I53" s="6">
        <v>11.091356229388699</v>
      </c>
      <c r="J53" s="6">
        <v>11.809329116249399</v>
      </c>
      <c r="K53" s="6">
        <f t="shared" si="2"/>
        <v>11.344406373711999</v>
      </c>
      <c r="L53" s="6" t="s">
        <v>14849</v>
      </c>
      <c r="M53" s="6" t="s">
        <v>14849</v>
      </c>
      <c r="N53" s="6" t="s">
        <v>14849</v>
      </c>
      <c r="O53" s="6" t="s">
        <v>14849</v>
      </c>
    </row>
    <row r="54" spans="1:15" x14ac:dyDescent="0.2">
      <c r="A54" s="4" t="str">
        <f>"npp-27"</f>
        <v>npp-27</v>
      </c>
      <c r="B54" s="4">
        <v>2.7090945893565999</v>
      </c>
      <c r="C54" s="4">
        <v>1.52207787812616E-2</v>
      </c>
      <c r="G54" s="6" t="str">
        <f>"erv-46"</f>
        <v>erv-46</v>
      </c>
      <c r="H54" s="6">
        <v>11.292756519167501</v>
      </c>
      <c r="I54" s="6">
        <v>11.8061490347577</v>
      </c>
      <c r="J54" s="6">
        <v>10.936837267315299</v>
      </c>
      <c r="K54" s="6">
        <f t="shared" si="2"/>
        <v>11.345247607080166</v>
      </c>
      <c r="L54" s="6" t="s">
        <v>14849</v>
      </c>
      <c r="M54" s="6" t="s">
        <v>14849</v>
      </c>
      <c r="N54" s="6" t="s">
        <v>14849</v>
      </c>
      <c r="O54" s="6" t="s">
        <v>14849</v>
      </c>
    </row>
    <row r="55" spans="1:15" x14ac:dyDescent="0.2">
      <c r="A55" s="4" t="str">
        <f>"mdh-1"</f>
        <v>mdh-1</v>
      </c>
      <c r="B55" s="4">
        <v>2.7041887670315399</v>
      </c>
      <c r="C55" s="4">
        <v>1.82588378519719E-3</v>
      </c>
      <c r="G55" s="6" t="str">
        <f>"sek-3"</f>
        <v>sek-3</v>
      </c>
      <c r="H55" s="6">
        <v>10.967730796524799</v>
      </c>
      <c r="I55" s="6">
        <v>11.5933380298119</v>
      </c>
      <c r="J55" s="6">
        <v>11.500452669359801</v>
      </c>
      <c r="K55" s="6">
        <f t="shared" si="2"/>
        <v>11.353840498565502</v>
      </c>
      <c r="L55" s="6" t="s">
        <v>14849</v>
      </c>
      <c r="M55" s="6" t="s">
        <v>14849</v>
      </c>
      <c r="N55" s="6" t="s">
        <v>14849</v>
      </c>
      <c r="O55" s="6" t="s">
        <v>14849</v>
      </c>
    </row>
    <row r="56" spans="1:15" x14ac:dyDescent="0.2">
      <c r="A56" s="4" t="str">
        <f>"hip-1"</f>
        <v>hip-1</v>
      </c>
      <c r="B56" s="4">
        <v>2.70061495711334</v>
      </c>
      <c r="C56" s="5">
        <v>6.9257926716971395E-5</v>
      </c>
      <c r="G56" s="6" t="str">
        <f>"gcy-28"</f>
        <v>gcy-28</v>
      </c>
      <c r="H56" s="6">
        <v>12.195098508611499</v>
      </c>
      <c r="I56" s="6">
        <v>10.5650604036482</v>
      </c>
      <c r="J56" s="6">
        <v>11.359436901420001</v>
      </c>
      <c r="K56" s="6">
        <f t="shared" si="2"/>
        <v>11.373198604559898</v>
      </c>
      <c r="L56" s="6" t="s">
        <v>14849</v>
      </c>
      <c r="M56" s="6" t="s">
        <v>14849</v>
      </c>
      <c r="N56" s="6" t="s">
        <v>14849</v>
      </c>
      <c r="O56" s="6" t="s">
        <v>14849</v>
      </c>
    </row>
    <row r="57" spans="1:15" x14ac:dyDescent="0.2">
      <c r="A57" s="4" t="str">
        <f>"ule-5"</f>
        <v>ule-5</v>
      </c>
      <c r="B57" s="4">
        <v>2.6957889365438401</v>
      </c>
      <c r="C57" s="4">
        <v>9.8915406578553599E-4</v>
      </c>
      <c r="G57" s="6" t="str">
        <f>"snx-17"</f>
        <v>snx-17</v>
      </c>
      <c r="H57" s="6">
        <v>11.322031025862501</v>
      </c>
      <c r="I57" s="6">
        <v>11.5091986159043</v>
      </c>
      <c r="J57" s="6">
        <v>11.4547738132819</v>
      </c>
      <c r="K57" s="6">
        <f t="shared" si="2"/>
        <v>11.428667818349567</v>
      </c>
      <c r="L57" s="6" t="s">
        <v>14849</v>
      </c>
      <c r="M57" s="6" t="s">
        <v>14849</v>
      </c>
      <c r="N57" s="6" t="s">
        <v>14849</v>
      </c>
      <c r="O57" s="6" t="s">
        <v>14849</v>
      </c>
    </row>
    <row r="58" spans="1:15" x14ac:dyDescent="0.2">
      <c r="A58" s="4" t="str">
        <f>"ttll-5"</f>
        <v>ttll-5</v>
      </c>
      <c r="B58" s="4">
        <v>2.67286327635107</v>
      </c>
      <c r="C58" s="4">
        <v>2.27758964562204E-4</v>
      </c>
      <c r="G58" s="6" t="str">
        <f>"mip-1"</f>
        <v>mip-1</v>
      </c>
      <c r="H58" s="6">
        <v>10.0033074843442</v>
      </c>
      <c r="I58" s="6">
        <v>13.5031469415605</v>
      </c>
      <c r="J58" s="6">
        <v>10.8325749351255</v>
      </c>
      <c r="K58" s="6">
        <f t="shared" si="2"/>
        <v>11.4463431203434</v>
      </c>
      <c r="L58" s="6" t="s">
        <v>14849</v>
      </c>
      <c r="M58" s="6" t="s">
        <v>14849</v>
      </c>
      <c r="N58" s="6" t="s">
        <v>14849</v>
      </c>
      <c r="O58" s="6" t="s">
        <v>14849</v>
      </c>
    </row>
    <row r="59" spans="1:15" x14ac:dyDescent="0.2">
      <c r="A59" s="4" t="str">
        <f>"dnbp-1"</f>
        <v>dnbp-1</v>
      </c>
      <c r="B59" s="4">
        <v>2.66555619597094</v>
      </c>
      <c r="C59" s="5">
        <v>8.8251491905470695E-5</v>
      </c>
      <c r="G59" s="6" t="str">
        <f>"rict-1"</f>
        <v>rict-1</v>
      </c>
      <c r="H59" s="6">
        <v>12.092804639028</v>
      </c>
      <c r="I59" s="6">
        <v>11.431969871197699</v>
      </c>
      <c r="J59" s="6">
        <v>10.845277078160301</v>
      </c>
      <c r="K59" s="6">
        <f t="shared" si="2"/>
        <v>11.456683862795332</v>
      </c>
      <c r="L59" s="6" t="s">
        <v>14849</v>
      </c>
      <c r="M59" s="6" t="s">
        <v>14849</v>
      </c>
      <c r="N59" s="6" t="s">
        <v>14849</v>
      </c>
      <c r="O59" s="6" t="s">
        <v>14849</v>
      </c>
    </row>
    <row r="60" spans="1:15" x14ac:dyDescent="0.2">
      <c r="A60" s="4" t="str">
        <f>"teg-4"</f>
        <v>teg-4</v>
      </c>
      <c r="B60" s="4">
        <v>2.6039283984682702</v>
      </c>
      <c r="C60" s="5">
        <v>1.1772471986998199E-6</v>
      </c>
      <c r="G60" s="6" t="str">
        <f>"otub-3"</f>
        <v>otub-3</v>
      </c>
      <c r="H60" s="6">
        <v>11.4370952069295</v>
      </c>
      <c r="I60" s="6">
        <v>11.964136231009601</v>
      </c>
      <c r="J60" s="6">
        <v>11.0927154716552</v>
      </c>
      <c r="K60" s="6">
        <f t="shared" si="2"/>
        <v>11.4979823031981</v>
      </c>
      <c r="L60" s="6" t="s">
        <v>14849</v>
      </c>
      <c r="M60" s="6" t="s">
        <v>14849</v>
      </c>
      <c r="N60" s="6" t="s">
        <v>14849</v>
      </c>
      <c r="O60" s="6" t="s">
        <v>14849</v>
      </c>
    </row>
    <row r="61" spans="1:15" x14ac:dyDescent="0.2">
      <c r="A61" s="4" t="str">
        <f>"ekl-1"</f>
        <v>ekl-1</v>
      </c>
      <c r="B61" s="4">
        <v>2.5679653796089101</v>
      </c>
      <c r="C61" s="5">
        <v>1.58997858574141E-5</v>
      </c>
      <c r="G61" s="6" t="str">
        <f>"T16G12.6"</f>
        <v>T16G12.6</v>
      </c>
      <c r="H61" s="6">
        <v>11.6497836574045</v>
      </c>
      <c r="I61" s="6">
        <v>11.629737208256801</v>
      </c>
      <c r="J61" s="6">
        <v>11.3663842243421</v>
      </c>
      <c r="K61" s="6">
        <f t="shared" si="2"/>
        <v>11.548635030001135</v>
      </c>
      <c r="L61" s="6" t="s">
        <v>14849</v>
      </c>
      <c r="M61" s="6" t="s">
        <v>14849</v>
      </c>
      <c r="N61" s="6" t="s">
        <v>14849</v>
      </c>
      <c r="O61" s="6" t="s">
        <v>14849</v>
      </c>
    </row>
    <row r="62" spans="1:15" x14ac:dyDescent="0.2">
      <c r="A62" s="4" t="str">
        <f>"Y62H9A.5"</f>
        <v>Y62H9A.5</v>
      </c>
      <c r="B62" s="4">
        <v>2.5633777167607201</v>
      </c>
      <c r="C62" s="4">
        <v>7.4336884527569005E-4</v>
      </c>
      <c r="G62" s="6" t="str">
        <f>"nhr-70"</f>
        <v>nhr-70</v>
      </c>
      <c r="H62" s="6">
        <v>11.431458861905901</v>
      </c>
      <c r="I62" s="6">
        <v>11.7398203100374</v>
      </c>
      <c r="J62" s="6">
        <v>11.561287381933299</v>
      </c>
      <c r="K62" s="6">
        <f t="shared" si="2"/>
        <v>11.577522184625535</v>
      </c>
      <c r="L62" s="6" t="s">
        <v>14849</v>
      </c>
      <c r="M62" s="6" t="s">
        <v>14849</v>
      </c>
      <c r="N62" s="6" t="s">
        <v>14849</v>
      </c>
      <c r="O62" s="6" t="s">
        <v>14849</v>
      </c>
    </row>
    <row r="63" spans="1:15" x14ac:dyDescent="0.2">
      <c r="A63" s="4" t="str">
        <f>"ZK1307.1"</f>
        <v>ZK1307.1</v>
      </c>
      <c r="B63" s="4">
        <v>2.5308126818346199</v>
      </c>
      <c r="C63" s="4">
        <v>2.2598888721531E-3</v>
      </c>
      <c r="G63" s="6" t="str">
        <f>"gld-4"</f>
        <v>gld-4</v>
      </c>
      <c r="H63" s="6">
        <v>11.253988126139699</v>
      </c>
      <c r="I63" s="6">
        <v>11.616233918751099</v>
      </c>
      <c r="J63" s="6">
        <v>11.961821930329799</v>
      </c>
      <c r="K63" s="6">
        <f t="shared" si="2"/>
        <v>11.610681325073534</v>
      </c>
      <c r="L63" s="6" t="s">
        <v>14849</v>
      </c>
      <c r="M63" s="6" t="s">
        <v>14849</v>
      </c>
      <c r="N63" s="6" t="s">
        <v>14849</v>
      </c>
      <c r="O63" s="6" t="s">
        <v>14849</v>
      </c>
    </row>
    <row r="64" spans="1:15" x14ac:dyDescent="0.2">
      <c r="A64" s="4" t="str">
        <f>"Y39B6A.1"</f>
        <v>Y39B6A.1</v>
      </c>
      <c r="B64" s="4">
        <v>2.5293333915009901</v>
      </c>
      <c r="C64" s="4">
        <v>1.22774027804532E-2</v>
      </c>
      <c r="G64" s="6" t="str">
        <f>"B0024.13"</f>
        <v>B0024.13</v>
      </c>
      <c r="H64" s="6">
        <v>11.234825325599299</v>
      </c>
      <c r="I64" s="6">
        <v>11.7291307526763</v>
      </c>
      <c r="J64" s="6">
        <v>11.892217249845899</v>
      </c>
      <c r="K64" s="6">
        <f t="shared" si="2"/>
        <v>11.618724442707167</v>
      </c>
      <c r="L64" s="6" t="s">
        <v>14849</v>
      </c>
      <c r="M64" s="6" t="s">
        <v>14849</v>
      </c>
      <c r="N64" s="6" t="s">
        <v>14849</v>
      </c>
      <c r="O64" s="6" t="s">
        <v>14849</v>
      </c>
    </row>
    <row r="65" spans="1:15" x14ac:dyDescent="0.2">
      <c r="A65" s="4" t="str">
        <f>"ztf-18"</f>
        <v>ztf-18</v>
      </c>
      <c r="B65" s="4">
        <v>2.5052747371402599</v>
      </c>
      <c r="C65" s="4">
        <v>1.43076139298721E-2</v>
      </c>
      <c r="G65" s="6" t="str">
        <f>"ubh-3"</f>
        <v>ubh-3</v>
      </c>
      <c r="H65" s="6">
        <v>11.998931217975899</v>
      </c>
      <c r="I65" s="6">
        <v>10.886301405457999</v>
      </c>
      <c r="J65" s="6">
        <v>12.1402304944903</v>
      </c>
      <c r="K65" s="6">
        <f t="shared" si="2"/>
        <v>11.675154372641401</v>
      </c>
      <c r="L65" s="6" t="s">
        <v>14849</v>
      </c>
      <c r="M65" s="6" t="s">
        <v>14849</v>
      </c>
      <c r="N65" s="6" t="s">
        <v>14849</v>
      </c>
      <c r="O65" s="6" t="s">
        <v>14849</v>
      </c>
    </row>
    <row r="66" spans="1:15" x14ac:dyDescent="0.2">
      <c r="A66" s="4" t="str">
        <f>"cpn-2"</f>
        <v>cpn-2</v>
      </c>
      <c r="B66" s="4">
        <v>2.4817170695151098</v>
      </c>
      <c r="C66" s="4">
        <v>9.37196134997303E-4</v>
      </c>
      <c r="G66" s="6" t="str">
        <f>"sup-35"</f>
        <v>sup-35</v>
      </c>
      <c r="H66" s="6">
        <v>10.5316201057394</v>
      </c>
      <c r="I66" s="6">
        <v>11.902569346431701</v>
      </c>
      <c r="J66" s="6">
        <v>12.6154974037903</v>
      </c>
      <c r="K66" s="6">
        <f t="shared" ref="K66:K97" si="3">(H66+I66+J66)/3</f>
        <v>11.683228951987132</v>
      </c>
      <c r="L66" s="6" t="s">
        <v>14849</v>
      </c>
      <c r="M66" s="6" t="s">
        <v>14849</v>
      </c>
      <c r="N66" s="6" t="s">
        <v>14849</v>
      </c>
      <c r="O66" s="6" t="s">
        <v>14849</v>
      </c>
    </row>
    <row r="67" spans="1:15" x14ac:dyDescent="0.2">
      <c r="A67" s="4" t="str">
        <f>"aakg-2"</f>
        <v>aakg-2</v>
      </c>
      <c r="B67" s="4">
        <v>2.4743651115869598</v>
      </c>
      <c r="C67" s="4">
        <v>1.3305484764572001E-3</v>
      </c>
      <c r="G67" s="6" t="str">
        <f>"taf-3"</f>
        <v>taf-3</v>
      </c>
      <c r="H67" s="6">
        <v>11.7687791997842</v>
      </c>
      <c r="I67" s="6">
        <v>11.154428807336799</v>
      </c>
      <c r="J67" s="6">
        <v>12.192931411879201</v>
      </c>
      <c r="K67" s="6">
        <f t="shared" si="3"/>
        <v>11.705379806333399</v>
      </c>
      <c r="L67" s="6" t="s">
        <v>14849</v>
      </c>
      <c r="M67" s="6" t="s">
        <v>14849</v>
      </c>
      <c r="N67" s="6" t="s">
        <v>14849</v>
      </c>
      <c r="O67" s="6" t="s">
        <v>14849</v>
      </c>
    </row>
    <row r="68" spans="1:15" x14ac:dyDescent="0.2">
      <c r="A68" s="4" t="str">
        <f>"got-2.2"</f>
        <v>got-2.2</v>
      </c>
      <c r="B68" s="4">
        <v>2.4584864969310498</v>
      </c>
      <c r="C68" s="4">
        <v>1.2954139048434201E-3</v>
      </c>
      <c r="G68" s="6" t="str">
        <f>"sup-17"</f>
        <v>sup-17</v>
      </c>
      <c r="H68" s="6">
        <v>11.9979163930964</v>
      </c>
      <c r="I68" s="6">
        <v>11.2565053961887</v>
      </c>
      <c r="J68" s="6">
        <v>11.8717135504306</v>
      </c>
      <c r="K68" s="6">
        <f t="shared" si="3"/>
        <v>11.708711779905235</v>
      </c>
      <c r="L68" s="6" t="s">
        <v>14849</v>
      </c>
      <c r="M68" s="6" t="s">
        <v>14849</v>
      </c>
      <c r="N68" s="6" t="s">
        <v>14849</v>
      </c>
      <c r="O68" s="6" t="s">
        <v>14849</v>
      </c>
    </row>
    <row r="69" spans="1:15" x14ac:dyDescent="0.2">
      <c r="A69" s="4" t="str">
        <f>"pptr-2"</f>
        <v>pptr-2</v>
      </c>
      <c r="B69" s="4">
        <v>2.4496611270818298</v>
      </c>
      <c r="C69" s="4">
        <v>6.5100709227660205E-4</v>
      </c>
      <c r="G69" s="6" t="str">
        <f>"K07E3.1"</f>
        <v>K07E3.1</v>
      </c>
      <c r="H69" s="6">
        <v>10.026678517033</v>
      </c>
      <c r="I69" s="6">
        <v>13.352472469918499</v>
      </c>
      <c r="J69" s="6">
        <v>11.7865907121503</v>
      </c>
      <c r="K69" s="6">
        <f t="shared" si="3"/>
        <v>11.721913899700601</v>
      </c>
      <c r="L69" s="6" t="s">
        <v>14849</v>
      </c>
      <c r="M69" s="6" t="s">
        <v>14849</v>
      </c>
      <c r="N69" s="6" t="s">
        <v>14849</v>
      </c>
      <c r="O69" s="6" t="s">
        <v>14849</v>
      </c>
    </row>
    <row r="70" spans="1:15" x14ac:dyDescent="0.2">
      <c r="A70" s="4" t="str">
        <f>"dnc-4"</f>
        <v>dnc-4</v>
      </c>
      <c r="B70" s="4">
        <v>2.43933226895376</v>
      </c>
      <c r="C70" s="4">
        <v>3.8601191277038102E-3</v>
      </c>
      <c r="G70" s="6" t="str">
        <f>"D2021.4"</f>
        <v>D2021.4</v>
      </c>
      <c r="H70" s="6">
        <v>11.8389992757988</v>
      </c>
      <c r="I70" s="6">
        <v>11.483928298671399</v>
      </c>
      <c r="J70" s="6">
        <v>11.9611481926468</v>
      </c>
      <c r="K70" s="6">
        <f t="shared" si="3"/>
        <v>11.761358589039</v>
      </c>
      <c r="L70" s="6" t="s">
        <v>14849</v>
      </c>
      <c r="M70" s="6" t="s">
        <v>14849</v>
      </c>
      <c r="N70" s="6" t="s">
        <v>14849</v>
      </c>
      <c r="O70" s="6" t="s">
        <v>14849</v>
      </c>
    </row>
    <row r="71" spans="1:15" x14ac:dyDescent="0.2">
      <c r="A71" s="4" t="str">
        <f>"flor-1"</f>
        <v>flor-1</v>
      </c>
      <c r="B71" s="4">
        <v>2.4312521286024702</v>
      </c>
      <c r="C71" s="5">
        <v>1.7381321019442899E-5</v>
      </c>
      <c r="G71" s="6" t="str">
        <f>"prx-3"</f>
        <v>prx-3</v>
      </c>
      <c r="H71" s="6">
        <v>11.9380314500737</v>
      </c>
      <c r="I71" s="6">
        <v>11.201480658116999</v>
      </c>
      <c r="J71" s="6">
        <v>12.1515726634888</v>
      </c>
      <c r="K71" s="6">
        <f t="shared" si="3"/>
        <v>11.763694923893167</v>
      </c>
      <c r="L71" s="6" t="s">
        <v>14849</v>
      </c>
      <c r="M71" s="6" t="s">
        <v>14849</v>
      </c>
      <c r="N71" s="6" t="s">
        <v>14849</v>
      </c>
      <c r="O71" s="6" t="s">
        <v>14849</v>
      </c>
    </row>
    <row r="72" spans="1:15" x14ac:dyDescent="0.2">
      <c r="A72" s="4" t="str">
        <f>"T04B8.5"</f>
        <v>T04B8.5</v>
      </c>
      <c r="B72" s="4">
        <v>2.4199989944492799</v>
      </c>
      <c r="C72" s="4">
        <v>8.9033313205437404E-4</v>
      </c>
      <c r="G72" s="6" t="str">
        <f>"tbc-20"</f>
        <v>tbc-20</v>
      </c>
      <c r="H72" s="6">
        <v>11.6539265731101</v>
      </c>
      <c r="I72" s="6">
        <v>11.576197153080299</v>
      </c>
      <c r="J72" s="6">
        <v>12.087396150702601</v>
      </c>
      <c r="K72" s="6">
        <f t="shared" si="3"/>
        <v>11.772506625631001</v>
      </c>
      <c r="L72" s="6" t="s">
        <v>14849</v>
      </c>
      <c r="M72" s="6" t="s">
        <v>14849</v>
      </c>
      <c r="N72" s="6" t="s">
        <v>14849</v>
      </c>
      <c r="O72" s="6" t="s">
        <v>14849</v>
      </c>
    </row>
    <row r="73" spans="1:15" x14ac:dyDescent="0.2">
      <c r="A73" s="4" t="str">
        <f>"eif-3.j"</f>
        <v>eif-3.j</v>
      </c>
      <c r="B73" s="4">
        <v>2.3874728450008398</v>
      </c>
      <c r="C73" s="4">
        <v>4.0989695506299897E-2</v>
      </c>
      <c r="G73" s="6" t="str">
        <f>"nhr-10"</f>
        <v>nhr-10</v>
      </c>
      <c r="H73" s="6">
        <v>11.1984246727708</v>
      </c>
      <c r="I73" s="6">
        <v>12.161810945608799</v>
      </c>
      <c r="J73" s="6">
        <v>12.2536959016906</v>
      </c>
      <c r="K73" s="6">
        <f t="shared" si="3"/>
        <v>11.871310506690065</v>
      </c>
      <c r="L73" s="6" t="s">
        <v>14849</v>
      </c>
      <c r="M73" s="6" t="s">
        <v>14849</v>
      </c>
      <c r="N73" s="6" t="s">
        <v>14849</v>
      </c>
      <c r="O73" s="6" t="s">
        <v>14849</v>
      </c>
    </row>
    <row r="74" spans="1:15" x14ac:dyDescent="0.2">
      <c r="A74" s="4" t="str">
        <f>"shn-1"</f>
        <v>shn-1</v>
      </c>
      <c r="B74" s="4">
        <v>2.3859966896548999</v>
      </c>
      <c r="C74" s="4">
        <v>2.9771205755991501E-2</v>
      </c>
      <c r="G74" s="6" t="str">
        <f>"C27D8.4"</f>
        <v>C27D8.4</v>
      </c>
      <c r="H74" s="6">
        <v>12.2612989684485</v>
      </c>
      <c r="I74" s="6">
        <v>12.0263404672709</v>
      </c>
      <c r="J74" s="6">
        <v>11.412780344337399</v>
      </c>
      <c r="K74" s="6">
        <f t="shared" si="3"/>
        <v>11.900139926685599</v>
      </c>
      <c r="L74" s="6" t="s">
        <v>14849</v>
      </c>
      <c r="M74" s="6" t="s">
        <v>14849</v>
      </c>
      <c r="N74" s="6" t="s">
        <v>14849</v>
      </c>
      <c r="O74" s="6" t="s">
        <v>14849</v>
      </c>
    </row>
    <row r="75" spans="1:15" x14ac:dyDescent="0.2">
      <c r="A75" s="4" t="str">
        <f>"copz-1"</f>
        <v>copz-1</v>
      </c>
      <c r="B75" s="4">
        <v>2.3801310747072502</v>
      </c>
      <c r="C75" s="5">
        <v>3.8883576084623902E-7</v>
      </c>
      <c r="G75" s="6" t="str">
        <f>"Y104H12D.2"</f>
        <v>Y104H12D.2</v>
      </c>
      <c r="H75" s="6">
        <v>12.2955642952716</v>
      </c>
      <c r="I75" s="6">
        <v>11.256091487175899</v>
      </c>
      <c r="J75" s="6">
        <v>12.1637297840784</v>
      </c>
      <c r="K75" s="6">
        <f t="shared" si="3"/>
        <v>11.905128522175298</v>
      </c>
      <c r="L75" s="6" t="s">
        <v>14849</v>
      </c>
      <c r="M75" s="6" t="s">
        <v>14849</v>
      </c>
      <c r="N75" s="6" t="s">
        <v>14849</v>
      </c>
      <c r="O75" s="6" t="s">
        <v>14849</v>
      </c>
    </row>
    <row r="76" spans="1:15" x14ac:dyDescent="0.2">
      <c r="A76" s="4" t="str">
        <f>"mua-6"</f>
        <v>mua-6</v>
      </c>
      <c r="B76" s="4">
        <v>2.3729123322863601</v>
      </c>
      <c r="C76" s="5">
        <v>3.6441195344597999E-6</v>
      </c>
      <c r="G76" s="6" t="str">
        <f>"tag-153"</f>
        <v>tag-153</v>
      </c>
      <c r="H76" s="6">
        <v>12.236531524980601</v>
      </c>
      <c r="I76" s="6">
        <v>11.7398447286068</v>
      </c>
      <c r="J76" s="6">
        <v>11.7652289216866</v>
      </c>
      <c r="K76" s="6">
        <f t="shared" si="3"/>
        <v>11.913868391758001</v>
      </c>
      <c r="L76" s="6" t="s">
        <v>14849</v>
      </c>
      <c r="M76" s="6" t="s">
        <v>14849</v>
      </c>
      <c r="N76" s="6" t="s">
        <v>14849</v>
      </c>
      <c r="O76" s="6" t="s">
        <v>14849</v>
      </c>
    </row>
    <row r="77" spans="1:15" x14ac:dyDescent="0.2">
      <c r="A77" s="4" t="str">
        <f>"C39D10.7"</f>
        <v>C39D10.7</v>
      </c>
      <c r="B77" s="4">
        <v>2.3611703592153401</v>
      </c>
      <c r="C77" s="4">
        <v>5.4051903837439297E-3</v>
      </c>
      <c r="G77" s="6" t="str">
        <f>"cpr-5"</f>
        <v>cpr-5</v>
      </c>
      <c r="H77" s="6">
        <v>12.0436093282456</v>
      </c>
      <c r="I77" s="6">
        <v>11.781250585805401</v>
      </c>
      <c r="J77" s="6">
        <v>11.9911329790366</v>
      </c>
      <c r="K77" s="6">
        <f t="shared" si="3"/>
        <v>11.938664297695865</v>
      </c>
      <c r="L77" s="6" t="s">
        <v>14849</v>
      </c>
      <c r="M77" s="6" t="s">
        <v>14849</v>
      </c>
      <c r="N77" s="6" t="s">
        <v>14849</v>
      </c>
      <c r="O77" s="6" t="s">
        <v>14849</v>
      </c>
    </row>
    <row r="78" spans="1:15" x14ac:dyDescent="0.2">
      <c r="A78" s="4" t="str">
        <f>"akt-2"</f>
        <v>akt-2</v>
      </c>
      <c r="B78" s="4">
        <v>2.3573343064879202</v>
      </c>
      <c r="C78" s="5">
        <v>2.0205672476126399E-6</v>
      </c>
      <c r="G78" s="6" t="str">
        <f>"ced-2"</f>
        <v>ced-2</v>
      </c>
      <c r="H78" s="6">
        <v>11.7556394345584</v>
      </c>
      <c r="I78" s="6">
        <v>12.1412821267069</v>
      </c>
      <c r="J78" s="6">
        <v>11.936972739859</v>
      </c>
      <c r="K78" s="6">
        <f t="shared" si="3"/>
        <v>11.944631433708102</v>
      </c>
      <c r="L78" s="6" t="s">
        <v>14849</v>
      </c>
      <c r="M78" s="6" t="s">
        <v>14849</v>
      </c>
      <c r="N78" s="6" t="s">
        <v>14849</v>
      </c>
      <c r="O78" s="6" t="s">
        <v>14849</v>
      </c>
    </row>
    <row r="79" spans="1:15" x14ac:dyDescent="0.2">
      <c r="A79" s="4" t="str">
        <f>"cpg-2"</f>
        <v>cpg-2</v>
      </c>
      <c r="B79" s="4">
        <v>2.34748696233035</v>
      </c>
      <c r="C79" s="4">
        <v>7.8915792196706507E-3</v>
      </c>
      <c r="G79" s="6" t="str">
        <f>"aak-1"</f>
        <v>aak-1</v>
      </c>
      <c r="H79" s="6">
        <v>11.7625829885986</v>
      </c>
      <c r="I79" s="6">
        <v>12.214545169029</v>
      </c>
      <c r="J79" s="6">
        <v>11.898708095339099</v>
      </c>
      <c r="K79" s="6">
        <f t="shared" si="3"/>
        <v>11.958612084322233</v>
      </c>
      <c r="L79" s="6" t="s">
        <v>14849</v>
      </c>
      <c r="M79" s="6" t="s">
        <v>14849</v>
      </c>
      <c r="N79" s="6" t="s">
        <v>14849</v>
      </c>
      <c r="O79" s="6" t="s">
        <v>14849</v>
      </c>
    </row>
    <row r="80" spans="1:15" x14ac:dyDescent="0.2">
      <c r="A80" s="4" t="str">
        <f>"Y18H1A.4"</f>
        <v>Y18H1A.4</v>
      </c>
      <c r="B80" s="4">
        <v>2.3435872936402098</v>
      </c>
      <c r="C80" s="4">
        <v>8.4283111914012501E-4</v>
      </c>
      <c r="G80" s="6" t="str">
        <f>"C03A3.2"</f>
        <v>C03A3.2</v>
      </c>
      <c r="H80" s="6">
        <v>11.4177179786731</v>
      </c>
      <c r="I80" s="6">
        <v>11.993357892055201</v>
      </c>
      <c r="J80" s="6">
        <v>12.5440623118213</v>
      </c>
      <c r="K80" s="6">
        <f t="shared" si="3"/>
        <v>11.985046060849868</v>
      </c>
      <c r="L80" s="6" t="s">
        <v>14849</v>
      </c>
      <c r="M80" s="6" t="s">
        <v>14849</v>
      </c>
      <c r="N80" s="6" t="s">
        <v>14849</v>
      </c>
      <c r="O80" s="6" t="s">
        <v>14849</v>
      </c>
    </row>
    <row r="81" spans="1:15" x14ac:dyDescent="0.2">
      <c r="A81" s="4" t="str">
        <f>"skr-1"</f>
        <v>skr-1</v>
      </c>
      <c r="B81" s="4">
        <v>2.3407961064033</v>
      </c>
      <c r="C81" s="4">
        <v>2.0459700211018E-4</v>
      </c>
      <c r="G81" s="6" t="str">
        <f>"paqr-1"</f>
        <v>paqr-1</v>
      </c>
      <c r="H81" s="6">
        <v>10.985375377654799</v>
      </c>
      <c r="I81" s="6">
        <v>12.653857355268199</v>
      </c>
      <c r="J81" s="6">
        <v>12.347408520007299</v>
      </c>
      <c r="K81" s="6">
        <f t="shared" si="3"/>
        <v>11.995547084310099</v>
      </c>
      <c r="L81" s="6" t="s">
        <v>14849</v>
      </c>
      <c r="M81" s="6" t="s">
        <v>14849</v>
      </c>
      <c r="N81" s="6" t="s">
        <v>14849</v>
      </c>
      <c r="O81" s="6" t="s">
        <v>14849</v>
      </c>
    </row>
    <row r="82" spans="1:15" x14ac:dyDescent="0.2">
      <c r="A82" s="4" t="str">
        <f>"snap-29"</f>
        <v>snap-29</v>
      </c>
      <c r="B82" s="4">
        <v>2.3321476341652998</v>
      </c>
      <c r="C82" s="4">
        <v>2.9379828327214599E-3</v>
      </c>
      <c r="G82" s="6" t="str">
        <f>"kle-2"</f>
        <v>kle-2</v>
      </c>
      <c r="H82" s="6">
        <v>12.361450026740799</v>
      </c>
      <c r="I82" s="6">
        <v>11.595607125856001</v>
      </c>
      <c r="J82" s="6">
        <v>12.1473281534638</v>
      </c>
      <c r="K82" s="6">
        <f t="shared" si="3"/>
        <v>12.034795102020199</v>
      </c>
      <c r="L82" s="6" t="s">
        <v>14849</v>
      </c>
      <c r="M82" s="6" t="s">
        <v>14849</v>
      </c>
      <c r="N82" s="6" t="s">
        <v>14849</v>
      </c>
      <c r="O82" s="6" t="s">
        <v>14849</v>
      </c>
    </row>
    <row r="83" spans="1:15" x14ac:dyDescent="0.2">
      <c r="A83" s="4" t="str">
        <f>"lec-2"</f>
        <v>lec-2</v>
      </c>
      <c r="B83" s="4">
        <v>2.3174692522390798</v>
      </c>
      <c r="C83" s="4">
        <v>3.0295392177224898E-4</v>
      </c>
      <c r="G83" s="6" t="str">
        <f>"figo-1"</f>
        <v>figo-1</v>
      </c>
      <c r="H83" s="6">
        <v>12.2447063349993</v>
      </c>
      <c r="I83" s="6">
        <v>12.1598183201237</v>
      </c>
      <c r="J83" s="6">
        <v>11.7178385206801</v>
      </c>
      <c r="K83" s="6">
        <f t="shared" si="3"/>
        <v>12.0407877252677</v>
      </c>
      <c r="L83" s="6" t="s">
        <v>14849</v>
      </c>
      <c r="M83" s="6" t="s">
        <v>14849</v>
      </c>
      <c r="N83" s="6" t="s">
        <v>14849</v>
      </c>
      <c r="O83" s="6" t="s">
        <v>14849</v>
      </c>
    </row>
    <row r="84" spans="1:15" x14ac:dyDescent="0.2">
      <c r="A84" s="4" t="str">
        <f>"ivns-1"</f>
        <v>ivns-1</v>
      </c>
      <c r="B84" s="4">
        <v>2.3101586046800699</v>
      </c>
      <c r="C84" s="5">
        <v>6.5872429518513904E-5</v>
      </c>
      <c r="G84" s="6" t="str">
        <f>"F53B1.2"</f>
        <v>F53B1.2</v>
      </c>
      <c r="H84" s="6">
        <v>12.026276015356</v>
      </c>
      <c r="I84" s="6">
        <v>12.071327533015101</v>
      </c>
      <c r="J84" s="6">
        <v>12.0451049712869</v>
      </c>
      <c r="K84" s="6">
        <f t="shared" si="3"/>
        <v>12.047569506552668</v>
      </c>
      <c r="L84" s="6" t="s">
        <v>14849</v>
      </c>
      <c r="M84" s="6" t="s">
        <v>14849</v>
      </c>
      <c r="N84" s="6" t="s">
        <v>14849</v>
      </c>
      <c r="O84" s="6" t="s">
        <v>14849</v>
      </c>
    </row>
    <row r="85" spans="1:15" x14ac:dyDescent="0.2">
      <c r="A85" s="4" t="str">
        <f>"rhgf-2"</f>
        <v>rhgf-2</v>
      </c>
      <c r="B85" s="4">
        <v>2.3090021747549798</v>
      </c>
      <c r="C85" s="4">
        <v>2.41290999463678E-3</v>
      </c>
      <c r="G85" s="6" t="str">
        <f>"acdh-11"</f>
        <v>acdh-11</v>
      </c>
      <c r="H85" s="6">
        <v>11.7107368600391</v>
      </c>
      <c r="I85" s="6">
        <v>11.738140164395</v>
      </c>
      <c r="J85" s="6">
        <v>12.7087209106488</v>
      </c>
      <c r="K85" s="6">
        <f t="shared" si="3"/>
        <v>12.052532645027634</v>
      </c>
      <c r="L85" s="6" t="s">
        <v>14849</v>
      </c>
      <c r="M85" s="6" t="s">
        <v>14849</v>
      </c>
      <c r="N85" s="6" t="s">
        <v>14849</v>
      </c>
      <c r="O85" s="6" t="s">
        <v>14849</v>
      </c>
    </row>
    <row r="86" spans="1:15" x14ac:dyDescent="0.2">
      <c r="A86" s="4" t="str">
        <f>"ufd-3"</f>
        <v>ufd-3</v>
      </c>
      <c r="B86" s="4">
        <v>2.2815225349501</v>
      </c>
      <c r="C86" s="5">
        <v>1.1592068805037301E-6</v>
      </c>
      <c r="G86" s="6" t="str">
        <f>"R02F2.7"</f>
        <v>R02F2.7</v>
      </c>
      <c r="H86" s="6">
        <v>11.416770161316601</v>
      </c>
      <c r="I86" s="6">
        <v>12.4128686758553</v>
      </c>
      <c r="J86" s="6">
        <v>12.3523415917397</v>
      </c>
      <c r="K86" s="6">
        <f t="shared" si="3"/>
        <v>12.060660142970534</v>
      </c>
      <c r="L86" s="6" t="s">
        <v>14849</v>
      </c>
      <c r="M86" s="6" t="s">
        <v>14849</v>
      </c>
      <c r="N86" s="6" t="s">
        <v>14849</v>
      </c>
      <c r="O86" s="6" t="s">
        <v>14849</v>
      </c>
    </row>
    <row r="87" spans="1:15" x14ac:dyDescent="0.2">
      <c r="A87" s="4" t="str">
        <f>"col-122"</f>
        <v>col-122</v>
      </c>
      <c r="B87" s="4">
        <v>2.2674220784946599</v>
      </c>
      <c r="C87" s="4">
        <v>9.9137960856258492E-3</v>
      </c>
      <c r="G87" s="6" t="str">
        <f>"seu-1"</f>
        <v>seu-1</v>
      </c>
      <c r="H87" s="6">
        <v>12.069990629684099</v>
      </c>
      <c r="I87" s="6">
        <v>12.3992420778953</v>
      </c>
      <c r="J87" s="6">
        <v>11.7172524547167</v>
      </c>
      <c r="K87" s="6">
        <f t="shared" si="3"/>
        <v>12.062161720765367</v>
      </c>
      <c r="L87" s="6" t="s">
        <v>14849</v>
      </c>
      <c r="M87" s="6" t="s">
        <v>14849</v>
      </c>
      <c r="N87" s="6" t="s">
        <v>14849</v>
      </c>
      <c r="O87" s="6" t="s">
        <v>14849</v>
      </c>
    </row>
    <row r="88" spans="1:15" x14ac:dyDescent="0.2">
      <c r="A88" s="4" t="str">
        <f>"rle-1"</f>
        <v>rle-1</v>
      </c>
      <c r="B88" s="4">
        <v>2.2642334743374501</v>
      </c>
      <c r="C88" s="4">
        <v>3.6764684737698797E-2</v>
      </c>
      <c r="G88" s="6" t="str">
        <f>"cids-2"</f>
        <v>cids-2</v>
      </c>
      <c r="H88" s="6">
        <v>12.3583946646957</v>
      </c>
      <c r="I88" s="6">
        <v>11.2701599846822</v>
      </c>
      <c r="J88" s="6">
        <v>12.5814340346547</v>
      </c>
      <c r="K88" s="6">
        <f t="shared" si="3"/>
        <v>12.069996228010867</v>
      </c>
      <c r="L88" s="6" t="s">
        <v>14849</v>
      </c>
      <c r="M88" s="6" t="s">
        <v>14849</v>
      </c>
      <c r="N88" s="6" t="s">
        <v>14849</v>
      </c>
      <c r="O88" s="6" t="s">
        <v>14849</v>
      </c>
    </row>
    <row r="89" spans="1:15" x14ac:dyDescent="0.2">
      <c r="A89" s="4" t="str">
        <f>"perm-4"</f>
        <v>perm-4</v>
      </c>
      <c r="B89" s="4">
        <v>2.2621402054372601</v>
      </c>
      <c r="C89" s="4">
        <v>3.2338585839858901E-4</v>
      </c>
      <c r="G89" s="6" t="str">
        <f>"M01B12.4"</f>
        <v>M01B12.4</v>
      </c>
      <c r="H89" s="6">
        <v>12.0793676140041</v>
      </c>
      <c r="I89" s="6">
        <v>11.397912145151899</v>
      </c>
      <c r="J89" s="6">
        <v>12.9046583509969</v>
      </c>
      <c r="K89" s="6">
        <f t="shared" si="3"/>
        <v>12.1273127033843</v>
      </c>
      <c r="L89" s="6" t="s">
        <v>14849</v>
      </c>
      <c r="M89" s="6" t="s">
        <v>14849</v>
      </c>
      <c r="N89" s="6" t="s">
        <v>14849</v>
      </c>
      <c r="O89" s="6" t="s">
        <v>14849</v>
      </c>
    </row>
    <row r="90" spans="1:15" x14ac:dyDescent="0.2">
      <c r="A90" s="4" t="str">
        <f>"C37A5.7"</f>
        <v>C37A5.7</v>
      </c>
      <c r="B90" s="4">
        <v>2.2581253515910999</v>
      </c>
      <c r="C90" s="5">
        <v>5.0200556036523798E-5</v>
      </c>
      <c r="G90" s="6" t="str">
        <f>"Y74C10AL.2"</f>
        <v>Y74C10AL.2</v>
      </c>
      <c r="H90" s="6">
        <v>11.9205361296753</v>
      </c>
      <c r="I90" s="6">
        <v>11.892297610637099</v>
      </c>
      <c r="J90" s="6">
        <v>12.5893261304397</v>
      </c>
      <c r="K90" s="6">
        <f t="shared" si="3"/>
        <v>12.1340532902507</v>
      </c>
      <c r="L90" s="6" t="s">
        <v>14849</v>
      </c>
      <c r="M90" s="6" t="s">
        <v>14849</v>
      </c>
      <c r="N90" s="6" t="s">
        <v>14849</v>
      </c>
      <c r="O90" s="6" t="s">
        <v>14849</v>
      </c>
    </row>
    <row r="91" spans="1:15" x14ac:dyDescent="0.2">
      <c r="A91" s="4" t="str">
        <f>"deb-1"</f>
        <v>deb-1</v>
      </c>
      <c r="B91" s="4">
        <v>2.2456482824439599</v>
      </c>
      <c r="C91" s="5">
        <v>5.29059906154463E-6</v>
      </c>
      <c r="G91" s="6" t="str">
        <f>"vpat-1"</f>
        <v>vpat-1</v>
      </c>
      <c r="H91" s="6">
        <v>11.9478726904851</v>
      </c>
      <c r="I91" s="6">
        <v>11.7406518160857</v>
      </c>
      <c r="J91" s="6">
        <v>12.731378483223301</v>
      </c>
      <c r="K91" s="6">
        <f t="shared" si="3"/>
        <v>12.1399676632647</v>
      </c>
      <c r="L91" s="6" t="s">
        <v>14849</v>
      </c>
      <c r="M91" s="6" t="s">
        <v>14849</v>
      </c>
      <c r="N91" s="6" t="s">
        <v>14849</v>
      </c>
      <c r="O91" s="6" t="s">
        <v>14849</v>
      </c>
    </row>
    <row r="92" spans="1:15" x14ac:dyDescent="0.2">
      <c r="A92" s="4" t="str">
        <f>"pgl-3"</f>
        <v>pgl-3</v>
      </c>
      <c r="B92" s="4">
        <v>2.2435777860209201</v>
      </c>
      <c r="C92" s="4">
        <v>4.5019943163979503E-2</v>
      </c>
      <c r="G92" s="6" t="str">
        <f>"rimb-1"</f>
        <v>rimb-1</v>
      </c>
      <c r="H92" s="6">
        <v>11.644894804402799</v>
      </c>
      <c r="I92" s="6">
        <v>12.6566448445407</v>
      </c>
      <c r="J92" s="6">
        <v>12.1375715894298</v>
      </c>
      <c r="K92" s="6">
        <f t="shared" si="3"/>
        <v>12.1463704127911</v>
      </c>
      <c r="L92" s="6" t="s">
        <v>14849</v>
      </c>
      <c r="M92" s="6" t="s">
        <v>14849</v>
      </c>
      <c r="N92" s="6" t="s">
        <v>14849</v>
      </c>
      <c r="O92" s="6" t="s">
        <v>14849</v>
      </c>
    </row>
    <row r="93" spans="1:15" x14ac:dyDescent="0.2">
      <c r="A93" s="4" t="str">
        <f>"elo-6"</f>
        <v>elo-6</v>
      </c>
      <c r="B93" s="4">
        <v>2.23421973784906</v>
      </c>
      <c r="C93" s="4">
        <v>4.4542806536037802E-2</v>
      </c>
      <c r="G93" s="6" t="str">
        <f>"cpt-5"</f>
        <v>cpt-5</v>
      </c>
      <c r="H93" s="6">
        <v>11.850603137558201</v>
      </c>
      <c r="I93" s="6">
        <v>12.013847436618001</v>
      </c>
      <c r="J93" s="6">
        <v>12.5807042418121</v>
      </c>
      <c r="K93" s="6">
        <f t="shared" si="3"/>
        <v>12.148384938662767</v>
      </c>
      <c r="L93" s="6" t="s">
        <v>14849</v>
      </c>
      <c r="M93" s="6" t="s">
        <v>14849</v>
      </c>
      <c r="N93" s="6" t="s">
        <v>14849</v>
      </c>
      <c r="O93" s="6" t="s">
        <v>14849</v>
      </c>
    </row>
    <row r="94" spans="1:15" x14ac:dyDescent="0.2">
      <c r="A94" s="4" t="str">
        <f>"cbd-1"</f>
        <v>cbd-1</v>
      </c>
      <c r="B94" s="4">
        <v>2.21968071631759</v>
      </c>
      <c r="C94" s="4">
        <v>5.3450126093235496E-3</v>
      </c>
      <c r="G94" s="6" t="str">
        <f>"Y87G2A.2"</f>
        <v>Y87G2A.2</v>
      </c>
      <c r="H94" s="6">
        <v>12.577658567560301</v>
      </c>
      <c r="I94" s="6">
        <v>12.092715059240099</v>
      </c>
      <c r="J94" s="6">
        <v>11.7880924675272</v>
      </c>
      <c r="K94" s="6">
        <f t="shared" si="3"/>
        <v>12.152822031442533</v>
      </c>
      <c r="L94" s="6" t="s">
        <v>14849</v>
      </c>
      <c r="M94" s="6" t="s">
        <v>14849</v>
      </c>
      <c r="N94" s="6" t="s">
        <v>14849</v>
      </c>
      <c r="O94" s="6" t="s">
        <v>14849</v>
      </c>
    </row>
    <row r="95" spans="1:15" x14ac:dyDescent="0.2">
      <c r="A95" s="4" t="str">
        <f>"dpyd-1"</f>
        <v>dpyd-1</v>
      </c>
      <c r="B95" s="4">
        <v>2.2101105224192201</v>
      </c>
      <c r="C95" s="4">
        <v>7.3921081721406998E-3</v>
      </c>
      <c r="G95" s="6" t="str">
        <f>"catp-3"</f>
        <v>catp-3</v>
      </c>
      <c r="H95" s="6">
        <v>12.045424992089799</v>
      </c>
      <c r="I95" s="6">
        <v>12.2189427033888</v>
      </c>
      <c r="J95" s="6">
        <v>12.216744855545601</v>
      </c>
      <c r="K95" s="6">
        <f t="shared" si="3"/>
        <v>12.160370850341399</v>
      </c>
      <c r="L95" s="6" t="s">
        <v>14849</v>
      </c>
      <c r="M95" s="6" t="s">
        <v>14849</v>
      </c>
      <c r="N95" s="6" t="s">
        <v>14849</v>
      </c>
      <c r="O95" s="6" t="s">
        <v>14849</v>
      </c>
    </row>
    <row r="96" spans="1:15" x14ac:dyDescent="0.2">
      <c r="A96" s="4" t="str">
        <f>"ifb-1"</f>
        <v>ifb-1</v>
      </c>
      <c r="B96" s="4">
        <v>2.2084613662888799</v>
      </c>
      <c r="C96" s="4">
        <v>2.2338574349161299E-4</v>
      </c>
      <c r="G96" s="6" t="str">
        <f>"F59E12.9"</f>
        <v>F59E12.9</v>
      </c>
      <c r="H96" s="6">
        <v>11.888994507927</v>
      </c>
      <c r="I96" s="6">
        <v>12.2610273571914</v>
      </c>
      <c r="J96" s="6">
        <v>12.3878537255829</v>
      </c>
      <c r="K96" s="6">
        <f t="shared" si="3"/>
        <v>12.179291863567101</v>
      </c>
      <c r="L96" s="6" t="s">
        <v>14849</v>
      </c>
      <c r="M96" s="6" t="s">
        <v>14849</v>
      </c>
      <c r="N96" s="6" t="s">
        <v>14849</v>
      </c>
      <c r="O96" s="6" t="s">
        <v>14849</v>
      </c>
    </row>
    <row r="97" spans="1:15" x14ac:dyDescent="0.2">
      <c r="A97" s="4" t="str">
        <f>"rga-4"</f>
        <v>rga-4</v>
      </c>
      <c r="B97" s="4">
        <v>2.2058176268176499</v>
      </c>
      <c r="C97" s="4">
        <v>1.05555032805218E-4</v>
      </c>
      <c r="G97" s="6" t="str">
        <f>"sumv-2"</f>
        <v>sumv-2</v>
      </c>
      <c r="H97" s="6">
        <v>11.1403517114951</v>
      </c>
      <c r="I97" s="6">
        <v>12.627407030373501</v>
      </c>
      <c r="J97" s="6">
        <v>12.8440301172968</v>
      </c>
      <c r="K97" s="6">
        <f t="shared" si="3"/>
        <v>12.2039296197218</v>
      </c>
      <c r="L97" s="6" t="s">
        <v>14849</v>
      </c>
      <c r="M97" s="6" t="s">
        <v>14849</v>
      </c>
      <c r="N97" s="6" t="s">
        <v>14849</v>
      </c>
      <c r="O97" s="6" t="s">
        <v>14849</v>
      </c>
    </row>
    <row r="98" spans="1:15" x14ac:dyDescent="0.2">
      <c r="A98" s="4" t="str">
        <f>"W04D2.4"</f>
        <v>W04D2.4</v>
      </c>
      <c r="B98" s="4">
        <v>2.20386002871507</v>
      </c>
      <c r="C98" s="4">
        <v>4.5172339307242796E-3</v>
      </c>
      <c r="G98" s="6" t="str">
        <f>"F29B9.8"</f>
        <v>F29B9.8</v>
      </c>
      <c r="H98" s="6">
        <v>12.367584844772001</v>
      </c>
      <c r="I98" s="6">
        <v>12.4551745815796</v>
      </c>
      <c r="J98" s="6">
        <v>11.8758047004536</v>
      </c>
      <c r="K98" s="6">
        <f t="shared" ref="K98:K129" si="4">(H98+I98+J98)/3</f>
        <v>12.232854708935067</v>
      </c>
      <c r="L98" s="6" t="s">
        <v>14849</v>
      </c>
      <c r="M98" s="6" t="s">
        <v>14849</v>
      </c>
      <c r="N98" s="6" t="s">
        <v>14849</v>
      </c>
      <c r="O98" s="6" t="s">
        <v>14849</v>
      </c>
    </row>
    <row r="99" spans="1:15" x14ac:dyDescent="0.2">
      <c r="A99" s="4" t="str">
        <f>"itsn-1"</f>
        <v>itsn-1</v>
      </c>
      <c r="B99" s="4">
        <v>2.1998620432338498</v>
      </c>
      <c r="C99" s="4">
        <v>3.1838418862921701E-3</v>
      </c>
      <c r="G99" s="6" t="str">
        <f>"bli-3"</f>
        <v>bli-3</v>
      </c>
      <c r="H99" s="6">
        <v>11.7494846215225</v>
      </c>
      <c r="I99" s="6">
        <v>12.5894951031374</v>
      </c>
      <c r="J99" s="6">
        <v>12.365204399669601</v>
      </c>
      <c r="K99" s="6">
        <f t="shared" si="4"/>
        <v>12.234728041443168</v>
      </c>
      <c r="L99" s="6" t="s">
        <v>14849</v>
      </c>
      <c r="M99" s="6" t="s">
        <v>14849</v>
      </c>
      <c r="N99" s="6" t="s">
        <v>14849</v>
      </c>
      <c r="O99" s="6" t="s">
        <v>14849</v>
      </c>
    </row>
    <row r="100" spans="1:15" x14ac:dyDescent="0.2">
      <c r="A100" s="4" t="str">
        <f>"F27D4.4"</f>
        <v>F27D4.4</v>
      </c>
      <c r="B100" s="4">
        <v>2.1849724396471801</v>
      </c>
      <c r="C100" s="4">
        <v>2.05227178045542E-3</v>
      </c>
      <c r="G100" s="6" t="str">
        <f>"B0001.8"</f>
        <v>B0001.8</v>
      </c>
      <c r="H100" s="6">
        <v>12.407906206403799</v>
      </c>
      <c r="I100" s="6">
        <v>12.0935570456856</v>
      </c>
      <c r="J100" s="6">
        <v>12.2078049694912</v>
      </c>
      <c r="K100" s="6">
        <f t="shared" si="4"/>
        <v>12.236422740526868</v>
      </c>
      <c r="L100" s="6" t="s">
        <v>14849</v>
      </c>
      <c r="M100" s="6" t="s">
        <v>14849</v>
      </c>
      <c r="N100" s="6" t="s">
        <v>14849</v>
      </c>
      <c r="O100" s="6" t="s">
        <v>14849</v>
      </c>
    </row>
    <row r="101" spans="1:15" x14ac:dyDescent="0.2">
      <c r="A101" s="4" t="str">
        <f>"D1054.10"</f>
        <v>D1054.10</v>
      </c>
      <c r="B101" s="4">
        <v>2.1812367310719698</v>
      </c>
      <c r="C101" s="4">
        <v>9.3972256592685603E-3</v>
      </c>
      <c r="G101" s="6" t="str">
        <f>"sms-1"</f>
        <v>sms-1</v>
      </c>
      <c r="H101" s="6">
        <v>12.125886279641101</v>
      </c>
      <c r="I101" s="6">
        <v>12.5721858284432</v>
      </c>
      <c r="J101" s="6">
        <v>12.0400718638311</v>
      </c>
      <c r="K101" s="6">
        <f t="shared" si="4"/>
        <v>12.246047990638466</v>
      </c>
      <c r="L101" s="6" t="s">
        <v>14849</v>
      </c>
      <c r="M101" s="6" t="s">
        <v>14849</v>
      </c>
      <c r="N101" s="6" t="s">
        <v>14849</v>
      </c>
      <c r="O101" s="6" t="s">
        <v>14849</v>
      </c>
    </row>
    <row r="102" spans="1:15" x14ac:dyDescent="0.2">
      <c r="A102" s="4" t="str">
        <f>"rsp-7"</f>
        <v>rsp-7</v>
      </c>
      <c r="B102" s="4">
        <v>2.1713383738128398</v>
      </c>
      <c r="C102" s="4">
        <v>1.07759034205769E-2</v>
      </c>
      <c r="G102" s="6" t="str">
        <f>"jhdm-1"</f>
        <v>jhdm-1</v>
      </c>
      <c r="H102" s="6">
        <v>11.944869383035099</v>
      </c>
      <c r="I102" s="6">
        <v>12.478401259235101</v>
      </c>
      <c r="J102" s="6">
        <v>12.315686257858699</v>
      </c>
      <c r="K102" s="6">
        <f t="shared" si="4"/>
        <v>12.246318966709632</v>
      </c>
      <c r="L102" s="6" t="s">
        <v>14849</v>
      </c>
      <c r="M102" s="6" t="s">
        <v>14849</v>
      </c>
      <c r="N102" s="6" t="s">
        <v>14849</v>
      </c>
      <c r="O102" s="6" t="s">
        <v>14849</v>
      </c>
    </row>
    <row r="103" spans="1:15" x14ac:dyDescent="0.2">
      <c r="A103" s="4" t="str">
        <f>"F20D6.6"</f>
        <v>F20D6.6</v>
      </c>
      <c r="B103" s="4">
        <v>2.1588179495734701</v>
      </c>
      <c r="C103" s="4">
        <v>4.3722550959606702E-3</v>
      </c>
      <c r="G103" s="6" t="str">
        <f>"immt-2"</f>
        <v>immt-2</v>
      </c>
      <c r="H103" s="6">
        <v>12.2795031576649</v>
      </c>
      <c r="I103" s="6">
        <v>12.067175803219801</v>
      </c>
      <c r="J103" s="6">
        <v>12.4753333035047</v>
      </c>
      <c r="K103" s="6">
        <f t="shared" si="4"/>
        <v>12.2740040881298</v>
      </c>
      <c r="L103" s="6" t="s">
        <v>14849</v>
      </c>
      <c r="M103" s="6" t="s">
        <v>14849</v>
      </c>
      <c r="N103" s="6" t="s">
        <v>14849</v>
      </c>
      <c r="O103" s="6" t="s">
        <v>14849</v>
      </c>
    </row>
    <row r="104" spans="1:15" x14ac:dyDescent="0.2">
      <c r="A104" s="4" t="str">
        <f>"F25B5.6"</f>
        <v>F25B5.6</v>
      </c>
      <c r="B104" s="4">
        <v>2.1403475145136199</v>
      </c>
      <c r="C104" s="5">
        <v>2.45709270611038E-6</v>
      </c>
      <c r="G104" s="6" t="str">
        <f>"F25H2.6"</f>
        <v>F25H2.6</v>
      </c>
      <c r="H104" s="6">
        <v>12.0311255856943</v>
      </c>
      <c r="I104" s="6">
        <v>12.521550853858701</v>
      </c>
      <c r="J104" s="6">
        <v>12.3013838427688</v>
      </c>
      <c r="K104" s="6">
        <f t="shared" si="4"/>
        <v>12.284686760773932</v>
      </c>
      <c r="L104" s="6" t="s">
        <v>14849</v>
      </c>
      <c r="M104" s="6" t="s">
        <v>14849</v>
      </c>
      <c r="N104" s="6" t="s">
        <v>14849</v>
      </c>
      <c r="O104" s="6" t="s">
        <v>14849</v>
      </c>
    </row>
    <row r="105" spans="1:15" x14ac:dyDescent="0.2">
      <c r="A105" s="4" t="str">
        <f>"ifa-1"</f>
        <v>ifa-1</v>
      </c>
      <c r="B105" s="4">
        <v>2.13242501150396</v>
      </c>
      <c r="C105" s="4">
        <v>1.34147745215731E-2</v>
      </c>
      <c r="G105" s="6" t="str">
        <f>"ntl-3"</f>
        <v>ntl-3</v>
      </c>
      <c r="H105" s="6">
        <v>11.6488954690195</v>
      </c>
      <c r="I105" s="6">
        <v>12.784666291009399</v>
      </c>
      <c r="J105" s="6">
        <v>12.447509080989301</v>
      </c>
      <c r="K105" s="6">
        <f t="shared" si="4"/>
        <v>12.293690280339399</v>
      </c>
      <c r="L105" s="6" t="s">
        <v>14849</v>
      </c>
      <c r="M105" s="6" t="s">
        <v>14849</v>
      </c>
      <c r="N105" s="6" t="s">
        <v>14849</v>
      </c>
      <c r="O105" s="6" t="s">
        <v>14849</v>
      </c>
    </row>
    <row r="106" spans="1:15" x14ac:dyDescent="0.2">
      <c r="A106" s="4" t="str">
        <f>"sir-2.4"</f>
        <v>sir-2.4</v>
      </c>
      <c r="B106" s="4">
        <v>2.1250813604796099</v>
      </c>
      <c r="C106" s="4">
        <v>5.0244071864155105E-4</v>
      </c>
      <c r="G106" s="6" t="str">
        <f>"F49C12.15"</f>
        <v>F49C12.15</v>
      </c>
      <c r="H106" s="6">
        <v>12.367652087197699</v>
      </c>
      <c r="I106" s="6">
        <v>12.1129444121269</v>
      </c>
      <c r="J106" s="6">
        <v>12.4273808066961</v>
      </c>
      <c r="K106" s="6">
        <f t="shared" si="4"/>
        <v>12.302659102006899</v>
      </c>
      <c r="L106" s="6" t="s">
        <v>14849</v>
      </c>
      <c r="M106" s="6" t="s">
        <v>14849</v>
      </c>
      <c r="N106" s="6" t="s">
        <v>14849</v>
      </c>
      <c r="O106" s="6" t="s">
        <v>14849</v>
      </c>
    </row>
    <row r="107" spans="1:15" x14ac:dyDescent="0.2">
      <c r="A107" s="4" t="str">
        <f>"clp-7"</f>
        <v>clp-7</v>
      </c>
      <c r="B107" s="4">
        <v>2.1172599633203402</v>
      </c>
      <c r="C107" s="4">
        <v>9.8847522386977704E-4</v>
      </c>
      <c r="G107" s="6" t="str">
        <f>"T05A12.3"</f>
        <v>T05A12.3</v>
      </c>
      <c r="H107" s="6">
        <v>12.0963229564864</v>
      </c>
      <c r="I107" s="6">
        <v>11.9525939396719</v>
      </c>
      <c r="J107" s="6">
        <v>12.8747642893277</v>
      </c>
      <c r="K107" s="6">
        <f t="shared" si="4"/>
        <v>12.307893728495335</v>
      </c>
      <c r="L107" s="6" t="s">
        <v>14849</v>
      </c>
      <c r="M107" s="6" t="s">
        <v>14849</v>
      </c>
      <c r="N107" s="6" t="s">
        <v>14849</v>
      </c>
      <c r="O107" s="6" t="s">
        <v>14849</v>
      </c>
    </row>
    <row r="108" spans="1:15" x14ac:dyDescent="0.2">
      <c r="A108" s="4" t="str">
        <f>"ekl-7"</f>
        <v>ekl-7</v>
      </c>
      <c r="B108" s="4">
        <v>2.1166599656805398</v>
      </c>
      <c r="C108" s="4">
        <v>1.2954139048434201E-3</v>
      </c>
      <c r="G108" s="6" t="str">
        <f>"B0285.6"</f>
        <v>B0285.6</v>
      </c>
      <c r="H108" s="6">
        <v>12.7719258568538</v>
      </c>
      <c r="I108" s="6">
        <v>11.9099840568239</v>
      </c>
      <c r="J108" s="6">
        <v>12.2427503440239</v>
      </c>
      <c r="K108" s="6">
        <f t="shared" si="4"/>
        <v>12.308220085900535</v>
      </c>
      <c r="L108" s="6" t="s">
        <v>14849</v>
      </c>
      <c r="M108" s="6" t="s">
        <v>14849</v>
      </c>
      <c r="N108" s="6" t="s">
        <v>14849</v>
      </c>
      <c r="O108" s="6" t="s">
        <v>14849</v>
      </c>
    </row>
    <row r="109" spans="1:15" x14ac:dyDescent="0.2">
      <c r="A109" s="4" t="str">
        <f>"C06E1.9"</f>
        <v>C06E1.9</v>
      </c>
      <c r="B109" s="4">
        <v>2.0942923127831401</v>
      </c>
      <c r="C109" s="4">
        <v>3.0059109719698701E-3</v>
      </c>
      <c r="G109" s="6" t="str">
        <f>"C46C2.2"</f>
        <v>C46C2.2</v>
      </c>
      <c r="H109" s="6">
        <v>11.9893727264483</v>
      </c>
      <c r="I109" s="6">
        <v>12.4164965004711</v>
      </c>
      <c r="J109" s="6">
        <v>12.521605089193001</v>
      </c>
      <c r="K109" s="6">
        <f t="shared" si="4"/>
        <v>12.3091581053708</v>
      </c>
      <c r="L109" s="6" t="s">
        <v>14849</v>
      </c>
      <c r="M109" s="6" t="s">
        <v>14849</v>
      </c>
      <c r="N109" s="6" t="s">
        <v>14849</v>
      </c>
      <c r="O109" s="6" t="s">
        <v>14849</v>
      </c>
    </row>
    <row r="110" spans="1:15" x14ac:dyDescent="0.2">
      <c r="A110" s="4" t="str">
        <f>"Y38E10A.22"</f>
        <v>Y38E10A.22</v>
      </c>
      <c r="B110" s="4">
        <v>2.0667490787743401</v>
      </c>
      <c r="C110" s="4">
        <v>1.2950907400329399E-2</v>
      </c>
      <c r="G110" s="6" t="str">
        <f>"mip-2"</f>
        <v>mip-2</v>
      </c>
      <c r="H110" s="6">
        <v>11.178177646133401</v>
      </c>
      <c r="I110" s="6">
        <v>13.769119696879599</v>
      </c>
      <c r="J110" s="6">
        <v>12.009181239338499</v>
      </c>
      <c r="K110" s="6">
        <f t="shared" si="4"/>
        <v>12.318826194117165</v>
      </c>
      <c r="L110" s="6" t="s">
        <v>14849</v>
      </c>
      <c r="M110" s="6" t="s">
        <v>14849</v>
      </c>
      <c r="N110" s="6" t="s">
        <v>14849</v>
      </c>
      <c r="O110" s="6" t="s">
        <v>14849</v>
      </c>
    </row>
    <row r="111" spans="1:15" x14ac:dyDescent="0.2">
      <c r="A111" s="4" t="str">
        <f>"lea-1"</f>
        <v>lea-1</v>
      </c>
      <c r="B111" s="4">
        <v>2.0584984380001301</v>
      </c>
      <c r="C111" s="4">
        <v>1.5907729636296601E-3</v>
      </c>
      <c r="G111" s="6" t="str">
        <f>"lin-10"</f>
        <v>lin-10</v>
      </c>
      <c r="H111" s="6">
        <v>12.782114446374001</v>
      </c>
      <c r="I111" s="6">
        <v>12.7042992747591</v>
      </c>
      <c r="J111" s="6">
        <v>11.513155972431001</v>
      </c>
      <c r="K111" s="6">
        <f t="shared" si="4"/>
        <v>12.3331898978547</v>
      </c>
      <c r="L111" s="6" t="s">
        <v>14849</v>
      </c>
      <c r="M111" s="6" t="s">
        <v>14849</v>
      </c>
      <c r="N111" s="6" t="s">
        <v>14849</v>
      </c>
      <c r="O111" s="6" t="s">
        <v>14849</v>
      </c>
    </row>
    <row r="112" spans="1:15" x14ac:dyDescent="0.2">
      <c r="A112" s="4" t="str">
        <f>"abts-4"</f>
        <v>abts-4</v>
      </c>
      <c r="B112" s="4">
        <v>2.0568237138141798</v>
      </c>
      <c r="C112" s="4">
        <v>6.09175343609384E-4</v>
      </c>
      <c r="G112" s="6" t="str">
        <f>"simr-1"</f>
        <v>simr-1</v>
      </c>
      <c r="H112" s="6">
        <v>11.8979437525922</v>
      </c>
      <c r="I112" s="6">
        <v>12.235962018034</v>
      </c>
      <c r="J112" s="6">
        <v>12.877760510751701</v>
      </c>
      <c r="K112" s="6">
        <f t="shared" si="4"/>
        <v>12.337222093792633</v>
      </c>
      <c r="L112" s="6" t="s">
        <v>14849</v>
      </c>
      <c r="M112" s="6" t="s">
        <v>14849</v>
      </c>
      <c r="N112" s="6" t="s">
        <v>14849</v>
      </c>
      <c r="O112" s="6" t="s">
        <v>14849</v>
      </c>
    </row>
    <row r="113" spans="1:15" x14ac:dyDescent="0.2">
      <c r="A113" s="4" t="str">
        <f>"tps-1"</f>
        <v>tps-1</v>
      </c>
      <c r="B113" s="4">
        <v>2.0538407551484501</v>
      </c>
      <c r="C113" s="4">
        <v>2.34222566048619E-4</v>
      </c>
      <c r="G113" s="6" t="str">
        <f>"erd-2.1"</f>
        <v>erd-2.1</v>
      </c>
      <c r="H113" s="6">
        <v>12.1902214637621</v>
      </c>
      <c r="I113" s="6">
        <v>12.079261790757</v>
      </c>
      <c r="J113" s="6">
        <v>12.7766289412516</v>
      </c>
      <c r="K113" s="6">
        <f t="shared" si="4"/>
        <v>12.348704065256902</v>
      </c>
      <c r="L113" s="6" t="s">
        <v>14849</v>
      </c>
      <c r="M113" s="6" t="s">
        <v>14849</v>
      </c>
      <c r="N113" s="6" t="s">
        <v>14849</v>
      </c>
      <c r="O113" s="6" t="s">
        <v>14849</v>
      </c>
    </row>
    <row r="114" spans="1:15" x14ac:dyDescent="0.2">
      <c r="A114" s="4" t="str">
        <f>"ZK813.1"</f>
        <v>ZK813.1</v>
      </c>
      <c r="B114" s="4">
        <v>2.0511703356981399</v>
      </c>
      <c r="C114" s="4">
        <v>1.87912956129119E-3</v>
      </c>
      <c r="G114" s="6" t="str">
        <f>"ZC434.4"</f>
        <v>ZC434.4</v>
      </c>
      <c r="H114" s="6">
        <v>12.0911579549969</v>
      </c>
      <c r="I114" s="6">
        <v>12.519918353425</v>
      </c>
      <c r="J114" s="6">
        <v>12.4635055015964</v>
      </c>
      <c r="K114" s="6">
        <f t="shared" si="4"/>
        <v>12.358193936672768</v>
      </c>
      <c r="L114" s="6" t="s">
        <v>14849</v>
      </c>
      <c r="M114" s="6" t="s">
        <v>14849</v>
      </c>
      <c r="N114" s="6" t="s">
        <v>14849</v>
      </c>
      <c r="O114" s="6" t="s">
        <v>14849</v>
      </c>
    </row>
    <row r="115" spans="1:15" x14ac:dyDescent="0.2">
      <c r="A115" s="4" t="str">
        <f>"pept-3"</f>
        <v>pept-3</v>
      </c>
      <c r="B115" s="4">
        <v>2.05100544538133</v>
      </c>
      <c r="C115" s="4">
        <v>1.7478949345005101E-2</v>
      </c>
      <c r="G115" s="6" t="str">
        <f>"C29E4.15"</f>
        <v>C29E4.15</v>
      </c>
      <c r="H115" s="6">
        <v>12.6521910036065</v>
      </c>
      <c r="I115" s="6">
        <v>11.845547701575599</v>
      </c>
      <c r="J115" s="6">
        <v>12.600294699841101</v>
      </c>
      <c r="K115" s="6">
        <f t="shared" si="4"/>
        <v>12.366011135007733</v>
      </c>
      <c r="L115" s="6" t="s">
        <v>14849</v>
      </c>
      <c r="M115" s="6" t="s">
        <v>14849</v>
      </c>
      <c r="N115" s="6" t="s">
        <v>14849</v>
      </c>
      <c r="O115" s="6" t="s">
        <v>14849</v>
      </c>
    </row>
    <row r="116" spans="1:15" x14ac:dyDescent="0.2">
      <c r="A116" s="4" t="str">
        <f>"Y62H9A.3"</f>
        <v>Y62H9A.3</v>
      </c>
      <c r="B116" s="4">
        <v>2.0433547389800699</v>
      </c>
      <c r="C116" s="4">
        <v>1.4328187238434799E-3</v>
      </c>
      <c r="G116" s="6" t="str">
        <f>"Y75B8A.25"</f>
        <v>Y75B8A.25</v>
      </c>
      <c r="H116" s="6">
        <v>12.3266836507392</v>
      </c>
      <c r="I116" s="6">
        <v>12.636253828094301</v>
      </c>
      <c r="J116" s="6">
        <v>12.1620745294129</v>
      </c>
      <c r="K116" s="6">
        <f t="shared" si="4"/>
        <v>12.375004002748801</v>
      </c>
      <c r="L116" s="6" t="s">
        <v>14849</v>
      </c>
      <c r="M116" s="6" t="s">
        <v>14849</v>
      </c>
      <c r="N116" s="6" t="s">
        <v>14849</v>
      </c>
      <c r="O116" s="6" t="s">
        <v>14849</v>
      </c>
    </row>
    <row r="117" spans="1:15" x14ac:dyDescent="0.2">
      <c r="A117" s="4" t="str">
        <f>"Y39A3CL.1"</f>
        <v>Y39A3CL.1</v>
      </c>
      <c r="B117" s="4">
        <v>2.0413974393821199</v>
      </c>
      <c r="C117" s="4">
        <v>1.12219333121113E-3</v>
      </c>
      <c r="G117" s="6" t="str">
        <f>"set-9"</f>
        <v>set-9</v>
      </c>
      <c r="H117" s="6">
        <v>12.471112187057599</v>
      </c>
      <c r="I117" s="6">
        <v>11.9973061549522</v>
      </c>
      <c r="J117" s="6">
        <v>12.724647686349799</v>
      </c>
      <c r="K117" s="6">
        <f t="shared" si="4"/>
        <v>12.397688676119865</v>
      </c>
      <c r="L117" s="6" t="s">
        <v>14849</v>
      </c>
      <c r="M117" s="6" t="s">
        <v>14849</v>
      </c>
      <c r="N117" s="6" t="s">
        <v>14849</v>
      </c>
      <c r="O117" s="6" t="s">
        <v>14849</v>
      </c>
    </row>
    <row r="118" spans="1:15" x14ac:dyDescent="0.2">
      <c r="A118" s="4" t="str">
        <f>"catp-4"</f>
        <v>catp-4</v>
      </c>
      <c r="B118" s="4">
        <v>2.0389683690781699</v>
      </c>
      <c r="C118" s="4">
        <v>5.9876955129832305E-4</v>
      </c>
      <c r="G118" s="6" t="str">
        <f>"par-3"</f>
        <v>par-3</v>
      </c>
      <c r="H118" s="6">
        <v>12.0330060007266</v>
      </c>
      <c r="I118" s="6">
        <v>12.288258855572</v>
      </c>
      <c r="J118" s="6">
        <v>12.8928534718526</v>
      </c>
      <c r="K118" s="6">
        <f t="shared" si="4"/>
        <v>12.404706109383733</v>
      </c>
      <c r="L118" s="6" t="s">
        <v>14849</v>
      </c>
      <c r="M118" s="6" t="s">
        <v>14849</v>
      </c>
      <c r="N118" s="6" t="s">
        <v>14849</v>
      </c>
      <c r="O118" s="6" t="s">
        <v>14849</v>
      </c>
    </row>
    <row r="119" spans="1:15" x14ac:dyDescent="0.2">
      <c r="A119" s="4" t="str">
        <f>"rips-1"</f>
        <v>rips-1</v>
      </c>
      <c r="B119" s="4">
        <v>2.0341670241300802</v>
      </c>
      <c r="C119" s="4">
        <v>9.7883413301770392E-3</v>
      </c>
      <c r="G119" s="6" t="str">
        <f>"rbm-25"</f>
        <v>rbm-25</v>
      </c>
      <c r="H119" s="6">
        <v>11.7038115024974</v>
      </c>
      <c r="I119" s="6">
        <v>12.745187327638099</v>
      </c>
      <c r="J119" s="6">
        <v>12.7990038322394</v>
      </c>
      <c r="K119" s="6">
        <f t="shared" si="4"/>
        <v>12.416000887458301</v>
      </c>
      <c r="L119" s="6" t="s">
        <v>14849</v>
      </c>
      <c r="M119" s="6" t="s">
        <v>14849</v>
      </c>
      <c r="N119" s="6" t="s">
        <v>14849</v>
      </c>
      <c r="O119" s="6" t="s">
        <v>14849</v>
      </c>
    </row>
    <row r="120" spans="1:15" x14ac:dyDescent="0.2">
      <c r="A120" s="4" t="str">
        <f>"nhr-7"</f>
        <v>nhr-7</v>
      </c>
      <c r="B120" s="4">
        <v>2.0002620210675701</v>
      </c>
      <c r="C120" s="4">
        <v>4.1610357319942998E-3</v>
      </c>
      <c r="G120" s="6" t="str">
        <f>"icp-1"</f>
        <v>icp-1</v>
      </c>
      <c r="H120" s="6">
        <v>12.1700197711471</v>
      </c>
      <c r="I120" s="6">
        <v>12.251146588160401</v>
      </c>
      <c r="J120" s="6">
        <v>12.8572569321272</v>
      </c>
      <c r="K120" s="6">
        <f t="shared" si="4"/>
        <v>12.4261410971449</v>
      </c>
      <c r="L120" s="6" t="s">
        <v>14849</v>
      </c>
      <c r="M120" s="6" t="s">
        <v>14849</v>
      </c>
      <c r="N120" s="6" t="s">
        <v>14849</v>
      </c>
      <c r="O120" s="6" t="s">
        <v>14849</v>
      </c>
    </row>
    <row r="121" spans="1:15" x14ac:dyDescent="0.2">
      <c r="A121" s="4" t="str">
        <f>"pacs-1"</f>
        <v>pacs-1</v>
      </c>
      <c r="B121" s="4">
        <v>1.99611114910564</v>
      </c>
      <c r="C121" s="5">
        <v>3.1863251224340698E-6</v>
      </c>
      <c r="G121" s="6" t="str">
        <f>"tpxl-1"</f>
        <v>tpxl-1</v>
      </c>
      <c r="H121" s="6">
        <v>12.213339452384099</v>
      </c>
      <c r="I121" s="6">
        <v>12.3314088027214</v>
      </c>
      <c r="J121" s="6">
        <v>12.761935878460299</v>
      </c>
      <c r="K121" s="6">
        <f t="shared" si="4"/>
        <v>12.435561377855265</v>
      </c>
      <c r="L121" s="6" t="s">
        <v>14849</v>
      </c>
      <c r="M121" s="6" t="s">
        <v>14849</v>
      </c>
      <c r="N121" s="6" t="s">
        <v>14849</v>
      </c>
      <c r="O121" s="6" t="s">
        <v>14849</v>
      </c>
    </row>
    <row r="122" spans="1:15" x14ac:dyDescent="0.2">
      <c r="A122" s="4" t="str">
        <f>"enol-1"</f>
        <v>enol-1</v>
      </c>
      <c r="B122" s="4">
        <v>1.9910863421125</v>
      </c>
      <c r="C122" s="4">
        <v>2.6928041096162402E-3</v>
      </c>
      <c r="G122" s="6" t="str">
        <f>"pgp-5"</f>
        <v>pgp-5</v>
      </c>
      <c r="H122" s="6">
        <v>12.528210891629699</v>
      </c>
      <c r="I122" s="6">
        <v>12.757812126829499</v>
      </c>
      <c r="J122" s="6">
        <v>12.0520076393975</v>
      </c>
      <c r="K122" s="6">
        <f t="shared" si="4"/>
        <v>12.446010219285567</v>
      </c>
      <c r="L122" s="6" t="s">
        <v>14849</v>
      </c>
      <c r="M122" s="6" t="s">
        <v>14849</v>
      </c>
      <c r="N122" s="6" t="s">
        <v>14849</v>
      </c>
      <c r="O122" s="6" t="s">
        <v>14849</v>
      </c>
    </row>
    <row r="123" spans="1:15" x14ac:dyDescent="0.2">
      <c r="A123" s="4" t="str">
        <f>"T22D1.3"</f>
        <v>T22D1.3</v>
      </c>
      <c r="B123" s="4">
        <v>1.98020754620692</v>
      </c>
      <c r="C123" s="5">
        <v>1.49792956025355E-6</v>
      </c>
      <c r="G123" s="6" t="str">
        <f>"scp-1"</f>
        <v>scp-1</v>
      </c>
      <c r="H123" s="6">
        <v>12.7786500578025</v>
      </c>
      <c r="I123" s="6">
        <v>12.2700268024252</v>
      </c>
      <c r="J123" s="6">
        <v>12.355016814104101</v>
      </c>
      <c r="K123" s="6">
        <f t="shared" si="4"/>
        <v>12.467897891443934</v>
      </c>
      <c r="L123" s="6" t="s">
        <v>14849</v>
      </c>
      <c r="M123" s="6" t="s">
        <v>14849</v>
      </c>
      <c r="N123" s="6" t="s">
        <v>14849</v>
      </c>
      <c r="O123" s="6" t="s">
        <v>14849</v>
      </c>
    </row>
    <row r="124" spans="1:15" x14ac:dyDescent="0.2">
      <c r="A124" s="4" t="str">
        <f>"ints-6"</f>
        <v>ints-6</v>
      </c>
      <c r="B124" s="4">
        <v>1.9790877597685901</v>
      </c>
      <c r="C124" s="4">
        <v>5.9589856656118798E-3</v>
      </c>
      <c r="G124" s="6" t="str">
        <f>"cpna-2"</f>
        <v>cpna-2</v>
      </c>
      <c r="H124" s="6">
        <v>11.790709234765499</v>
      </c>
      <c r="I124" s="6">
        <v>12.7399557203192</v>
      </c>
      <c r="J124" s="6">
        <v>12.877516824141599</v>
      </c>
      <c r="K124" s="6">
        <f t="shared" si="4"/>
        <v>12.469393926408765</v>
      </c>
      <c r="L124" s="6" t="s">
        <v>14849</v>
      </c>
      <c r="M124" s="6" t="s">
        <v>14849</v>
      </c>
      <c r="N124" s="6" t="s">
        <v>14849</v>
      </c>
      <c r="O124" s="6" t="s">
        <v>14849</v>
      </c>
    </row>
    <row r="125" spans="1:15" x14ac:dyDescent="0.2">
      <c r="A125" s="4" t="str">
        <f>"txl-1"</f>
        <v>txl-1</v>
      </c>
      <c r="B125" s="4">
        <v>1.96069158943657</v>
      </c>
      <c r="C125" s="4">
        <v>9.7246511596639496E-4</v>
      </c>
      <c r="G125" s="6" t="str">
        <f>"emc-5"</f>
        <v>emc-5</v>
      </c>
      <c r="H125" s="6">
        <v>12.3990893561718</v>
      </c>
      <c r="I125" s="6">
        <v>12.7433069818329</v>
      </c>
      <c r="J125" s="6">
        <v>12.2790541193344</v>
      </c>
      <c r="K125" s="6">
        <f t="shared" si="4"/>
        <v>12.473816819113035</v>
      </c>
      <c r="L125" s="6" t="s">
        <v>14849</v>
      </c>
      <c r="M125" s="6" t="s">
        <v>14849</v>
      </c>
      <c r="N125" s="6" t="s">
        <v>14849</v>
      </c>
      <c r="O125" s="6" t="s">
        <v>14849</v>
      </c>
    </row>
    <row r="126" spans="1:15" x14ac:dyDescent="0.2">
      <c r="A126" s="4" t="str">
        <f>"rpn-8"</f>
        <v>rpn-8</v>
      </c>
      <c r="B126" s="4">
        <v>1.95711447067769</v>
      </c>
      <c r="C126" s="5">
        <v>8.0389331040175895E-5</v>
      </c>
      <c r="G126" s="6" t="str">
        <f>"nduo-4"</f>
        <v>nduo-4</v>
      </c>
      <c r="H126" s="6">
        <v>12.4254258698158</v>
      </c>
      <c r="I126" s="6">
        <v>12.667689437775399</v>
      </c>
      <c r="J126" s="6">
        <v>12.3988809340189</v>
      </c>
      <c r="K126" s="6">
        <f t="shared" si="4"/>
        <v>12.497332080536699</v>
      </c>
      <c r="L126" s="6" t="s">
        <v>14849</v>
      </c>
      <c r="M126" s="6" t="s">
        <v>14849</v>
      </c>
      <c r="N126" s="6" t="s">
        <v>14849</v>
      </c>
      <c r="O126" s="6" t="s">
        <v>14849</v>
      </c>
    </row>
    <row r="127" spans="1:15" x14ac:dyDescent="0.2">
      <c r="A127" s="4" t="str">
        <f>"piki-1"</f>
        <v>piki-1</v>
      </c>
      <c r="B127" s="4">
        <v>1.95665000198411</v>
      </c>
      <c r="C127" s="4">
        <v>2.9356637194350901E-2</v>
      </c>
      <c r="G127" s="6" t="str">
        <f>"mttu-1"</f>
        <v>mttu-1</v>
      </c>
      <c r="H127" s="6">
        <v>12.3989618539949</v>
      </c>
      <c r="I127" s="6">
        <v>12.7261106119517</v>
      </c>
      <c r="J127" s="6">
        <v>12.4159131061192</v>
      </c>
      <c r="K127" s="6">
        <f t="shared" si="4"/>
        <v>12.513661857355267</v>
      </c>
      <c r="L127" s="6" t="s">
        <v>14849</v>
      </c>
      <c r="M127" s="6" t="s">
        <v>14849</v>
      </c>
      <c r="N127" s="6" t="s">
        <v>14849</v>
      </c>
      <c r="O127" s="6" t="s">
        <v>14849</v>
      </c>
    </row>
    <row r="128" spans="1:15" x14ac:dyDescent="0.2">
      <c r="A128" s="4" t="str">
        <f>"luc-7l3"</f>
        <v>luc-7l3</v>
      </c>
      <c r="B128" s="4">
        <v>1.9391072370143501</v>
      </c>
      <c r="C128" s="4">
        <v>2.1899811174375598E-3</v>
      </c>
      <c r="G128" s="6" t="str">
        <f>"F44B9.2"</f>
        <v>F44B9.2</v>
      </c>
      <c r="H128" s="6">
        <v>13.217739885288699</v>
      </c>
      <c r="I128" s="6">
        <v>12.6302541773812</v>
      </c>
      <c r="J128" s="6">
        <v>11.7338582711018</v>
      </c>
      <c r="K128" s="6">
        <f t="shared" si="4"/>
        <v>12.527284111257233</v>
      </c>
      <c r="L128" s="6" t="s">
        <v>14849</v>
      </c>
      <c r="M128" s="6" t="s">
        <v>14849</v>
      </c>
      <c r="N128" s="6" t="s">
        <v>14849</v>
      </c>
      <c r="O128" s="6" t="s">
        <v>14849</v>
      </c>
    </row>
    <row r="129" spans="1:15" x14ac:dyDescent="0.2">
      <c r="A129" s="4" t="str">
        <f>"rla-0"</f>
        <v>rla-0</v>
      </c>
      <c r="B129" s="4">
        <v>1.93222106708716</v>
      </c>
      <c r="C129" s="4">
        <v>4.9400411969595798E-3</v>
      </c>
      <c r="G129" s="6" t="str">
        <f>"trpp-1"</f>
        <v>trpp-1</v>
      </c>
      <c r="H129" s="6">
        <v>12.5250822255478</v>
      </c>
      <c r="I129" s="6">
        <v>12.4569775124834</v>
      </c>
      <c r="J129" s="6">
        <v>12.6001029564002</v>
      </c>
      <c r="K129" s="6">
        <f t="shared" si="4"/>
        <v>12.527387564810468</v>
      </c>
      <c r="L129" s="6" t="s">
        <v>14849</v>
      </c>
      <c r="M129" s="6" t="s">
        <v>14849</v>
      </c>
      <c r="N129" s="6" t="s">
        <v>14849</v>
      </c>
      <c r="O129" s="6" t="s">
        <v>14849</v>
      </c>
    </row>
    <row r="130" spans="1:15" x14ac:dyDescent="0.2">
      <c r="A130" s="4" t="str">
        <f>"hmp-1"</f>
        <v>hmp-1</v>
      </c>
      <c r="B130" s="4">
        <v>1.9276815576399899</v>
      </c>
      <c r="C130" s="4">
        <v>3.6817114089041101E-3</v>
      </c>
      <c r="G130" s="6" t="str">
        <f>"ZK484.3"</f>
        <v>ZK484.3</v>
      </c>
      <c r="H130" s="6">
        <v>12.6265595156018</v>
      </c>
      <c r="I130" s="6">
        <v>12.6645656436829</v>
      </c>
      <c r="J130" s="6">
        <v>12.3390216864829</v>
      </c>
      <c r="K130" s="6">
        <f t="shared" ref="K130:K161" si="5">(H130+I130+J130)/3</f>
        <v>12.543382281922533</v>
      </c>
      <c r="L130" s="6" t="s">
        <v>14849</v>
      </c>
      <c r="M130" s="6" t="s">
        <v>14849</v>
      </c>
      <c r="N130" s="6" t="s">
        <v>14849</v>
      </c>
      <c r="O130" s="6" t="s">
        <v>14849</v>
      </c>
    </row>
    <row r="131" spans="1:15" x14ac:dyDescent="0.2">
      <c r="A131" s="4" t="str">
        <f>"efk-1"</f>
        <v>efk-1</v>
      </c>
      <c r="B131" s="4">
        <v>1.8968905738258</v>
      </c>
      <c r="C131" s="5">
        <v>3.6682849602217602E-6</v>
      </c>
      <c r="G131" s="6" t="str">
        <f>"mcat-1"</f>
        <v>mcat-1</v>
      </c>
      <c r="H131" s="6">
        <v>12.151956740004101</v>
      </c>
      <c r="I131" s="6">
        <v>12.8244223382948</v>
      </c>
      <c r="J131" s="6">
        <v>12.7046380395568</v>
      </c>
      <c r="K131" s="6">
        <f t="shared" si="5"/>
        <v>12.560339039285234</v>
      </c>
      <c r="L131" s="6" t="s">
        <v>14849</v>
      </c>
      <c r="M131" s="6" t="s">
        <v>14849</v>
      </c>
      <c r="N131" s="6" t="s">
        <v>14849</v>
      </c>
      <c r="O131" s="6" t="s">
        <v>14849</v>
      </c>
    </row>
    <row r="132" spans="1:15" x14ac:dyDescent="0.2">
      <c r="A132" s="4" t="str">
        <f>"eef-1B.2"</f>
        <v>eef-1B.2</v>
      </c>
      <c r="B132" s="4">
        <v>1.8958467576049101</v>
      </c>
      <c r="C132" s="5">
        <v>4.97012667833471E-5</v>
      </c>
      <c r="G132" s="6" t="str">
        <f>"sop-3"</f>
        <v>sop-3</v>
      </c>
      <c r="H132" s="6">
        <v>12.282291010868599</v>
      </c>
      <c r="I132" s="6">
        <v>12.8280065542292</v>
      </c>
      <c r="J132" s="6">
        <v>12.593189546677699</v>
      </c>
      <c r="K132" s="6">
        <f t="shared" si="5"/>
        <v>12.5678290372585</v>
      </c>
      <c r="L132" s="6" t="s">
        <v>14849</v>
      </c>
      <c r="M132" s="6" t="s">
        <v>14849</v>
      </c>
      <c r="N132" s="6" t="s">
        <v>14849</v>
      </c>
      <c r="O132" s="6" t="s">
        <v>14849</v>
      </c>
    </row>
    <row r="133" spans="1:15" x14ac:dyDescent="0.2">
      <c r="A133" s="4" t="str">
        <f>"znf-622"</f>
        <v>znf-622</v>
      </c>
      <c r="B133" s="4">
        <v>1.89561263845757</v>
      </c>
      <c r="C133" s="4">
        <v>8.1689554165744402E-3</v>
      </c>
      <c r="G133" s="6" t="str">
        <f>"M04C3.1"</f>
        <v>M04C3.1</v>
      </c>
      <c r="H133" s="6">
        <v>12.653483524706401</v>
      </c>
      <c r="I133" s="6">
        <v>12.692915338473499</v>
      </c>
      <c r="J133" s="6">
        <v>12.3709192222566</v>
      </c>
      <c r="K133" s="6">
        <f t="shared" si="5"/>
        <v>12.572439361812167</v>
      </c>
      <c r="L133" s="6" t="s">
        <v>14849</v>
      </c>
      <c r="M133" s="6" t="s">
        <v>14849</v>
      </c>
      <c r="N133" s="6" t="s">
        <v>14849</v>
      </c>
      <c r="O133" s="6" t="s">
        <v>14849</v>
      </c>
    </row>
    <row r="134" spans="1:15" x14ac:dyDescent="0.2">
      <c r="A134" s="4" t="str">
        <f>"fkb-6"</f>
        <v>fkb-6</v>
      </c>
      <c r="B134" s="4">
        <v>1.8909832995867299</v>
      </c>
      <c r="C134" s="4">
        <v>2.1031055668083301E-4</v>
      </c>
      <c r="G134" s="6" t="str">
        <f>"clh-1"</f>
        <v>clh-1</v>
      </c>
      <c r="H134" s="6">
        <v>12.7532538866521</v>
      </c>
      <c r="I134" s="6">
        <v>12.226948512995801</v>
      </c>
      <c r="J134" s="6">
        <v>12.7468976092416</v>
      </c>
      <c r="K134" s="6">
        <f t="shared" si="5"/>
        <v>12.575700002963167</v>
      </c>
      <c r="L134" s="6" t="s">
        <v>14849</v>
      </c>
      <c r="M134" s="6" t="s">
        <v>14849</v>
      </c>
      <c r="N134" s="6" t="s">
        <v>14849</v>
      </c>
      <c r="O134" s="6" t="s">
        <v>14849</v>
      </c>
    </row>
    <row r="135" spans="1:15" x14ac:dyDescent="0.2">
      <c r="A135" s="4" t="str">
        <f>"klp-19"</f>
        <v>klp-19</v>
      </c>
      <c r="B135" s="4">
        <v>1.8894530019529701</v>
      </c>
      <c r="C135" s="4">
        <v>8.4530794343195999E-3</v>
      </c>
      <c r="G135" s="6" t="str">
        <f>"nlp-26"</f>
        <v>nlp-26</v>
      </c>
      <c r="H135" s="6">
        <v>11.858911155689601</v>
      </c>
      <c r="I135" s="6">
        <v>13.0380382876096</v>
      </c>
      <c r="J135" s="6">
        <v>12.944622874152</v>
      </c>
      <c r="K135" s="6">
        <f t="shared" si="5"/>
        <v>12.613857439150399</v>
      </c>
      <c r="L135" s="6" t="s">
        <v>14849</v>
      </c>
      <c r="M135" s="6" t="s">
        <v>14849</v>
      </c>
      <c r="N135" s="6" t="s">
        <v>14849</v>
      </c>
      <c r="O135" s="6" t="s">
        <v>14849</v>
      </c>
    </row>
    <row r="136" spans="1:15" x14ac:dyDescent="0.2">
      <c r="A136" s="4" t="str">
        <f>"icd-1"</f>
        <v>icd-1</v>
      </c>
      <c r="B136" s="4">
        <v>1.88306247005584</v>
      </c>
      <c r="C136" s="4">
        <v>9.9931501869523001E-3</v>
      </c>
      <c r="G136" s="6" t="str">
        <f>"immp-1"</f>
        <v>immp-1</v>
      </c>
      <c r="H136" s="6">
        <v>12.3721167306664</v>
      </c>
      <c r="I136" s="6">
        <v>12.7758401620853</v>
      </c>
      <c r="J136" s="6">
        <v>12.7407186695423</v>
      </c>
      <c r="K136" s="6">
        <f t="shared" si="5"/>
        <v>12.629558520764666</v>
      </c>
      <c r="L136" s="6" t="s">
        <v>14849</v>
      </c>
      <c r="M136" s="6" t="s">
        <v>14849</v>
      </c>
      <c r="N136" s="6" t="s">
        <v>14849</v>
      </c>
      <c r="O136" s="6" t="s">
        <v>14849</v>
      </c>
    </row>
    <row r="137" spans="1:15" x14ac:dyDescent="0.2">
      <c r="A137" s="4" t="str">
        <f>"pck-1"</f>
        <v>pck-1</v>
      </c>
      <c r="B137" s="4">
        <v>1.8821926782377401</v>
      </c>
      <c r="C137" s="5">
        <v>1.1772471986998199E-6</v>
      </c>
      <c r="G137" s="6" t="str">
        <f>"F08G12.1"</f>
        <v>F08G12.1</v>
      </c>
      <c r="H137" s="6">
        <v>13.042089379358099</v>
      </c>
      <c r="I137" s="6">
        <v>12.474340606517201</v>
      </c>
      <c r="J137" s="6">
        <v>12.4176302257143</v>
      </c>
      <c r="K137" s="6">
        <f t="shared" si="5"/>
        <v>12.644686737196531</v>
      </c>
      <c r="L137" s="6" t="s">
        <v>14849</v>
      </c>
      <c r="M137" s="6" t="s">
        <v>14849</v>
      </c>
      <c r="N137" s="6" t="s">
        <v>14849</v>
      </c>
      <c r="O137" s="6" t="s">
        <v>14849</v>
      </c>
    </row>
    <row r="138" spans="1:15" x14ac:dyDescent="0.2">
      <c r="A138" s="4" t="str">
        <f>"ule-3"</f>
        <v>ule-3</v>
      </c>
      <c r="B138" s="4">
        <v>1.85035621195344</v>
      </c>
      <c r="C138" s="4">
        <v>1.43076139298721E-2</v>
      </c>
      <c r="G138" s="6" t="str">
        <f>"rbpl-1"</f>
        <v>rbpl-1</v>
      </c>
      <c r="H138" s="6">
        <v>13.250742019596901</v>
      </c>
      <c r="I138" s="6">
        <v>12.5172843367413</v>
      </c>
      <c r="J138" s="6">
        <v>12.1907453608969</v>
      </c>
      <c r="K138" s="6">
        <f t="shared" si="5"/>
        <v>12.652923905745034</v>
      </c>
      <c r="L138" s="6" t="s">
        <v>14849</v>
      </c>
      <c r="M138" s="6" t="s">
        <v>14849</v>
      </c>
      <c r="N138" s="6" t="s">
        <v>14849</v>
      </c>
      <c r="O138" s="6" t="s">
        <v>14849</v>
      </c>
    </row>
    <row r="139" spans="1:15" x14ac:dyDescent="0.2">
      <c r="A139" s="4" t="str">
        <f>"djr-1.1"</f>
        <v>djr-1.1</v>
      </c>
      <c r="B139" s="4">
        <v>1.8200718178009401</v>
      </c>
      <c r="C139" s="4">
        <v>2.42224928981832E-4</v>
      </c>
      <c r="G139" s="6" t="str">
        <f>"M01G12.9"</f>
        <v>M01G12.9</v>
      </c>
      <c r="H139" s="6">
        <v>12.950405658084</v>
      </c>
      <c r="I139" s="6">
        <v>12.8745682814869</v>
      </c>
      <c r="J139" s="6">
        <v>12.144840732485299</v>
      </c>
      <c r="K139" s="6">
        <f t="shared" si="5"/>
        <v>12.656604890685401</v>
      </c>
      <c r="L139" s="6" t="s">
        <v>14849</v>
      </c>
      <c r="M139" s="6" t="s">
        <v>14849</v>
      </c>
      <c r="N139" s="6" t="s">
        <v>14849</v>
      </c>
      <c r="O139" s="6" t="s">
        <v>14849</v>
      </c>
    </row>
    <row r="140" spans="1:15" x14ac:dyDescent="0.2">
      <c r="A140" s="4" t="str">
        <f>"C09G9.1"</f>
        <v>C09G9.1</v>
      </c>
      <c r="B140" s="4">
        <v>1.8050192315537399</v>
      </c>
      <c r="C140" s="4">
        <v>1.3305484764572001E-3</v>
      </c>
      <c r="G140" s="6" t="str">
        <f>"Y48G10A.3"</f>
        <v>Y48G10A.3</v>
      </c>
      <c r="H140" s="6">
        <v>13.216674463859199</v>
      </c>
      <c r="I140" s="6">
        <v>12.1484092374507</v>
      </c>
      <c r="J140" s="6">
        <v>12.6942403122312</v>
      </c>
      <c r="K140" s="6">
        <f t="shared" si="5"/>
        <v>12.686441337847034</v>
      </c>
      <c r="L140" s="6" t="s">
        <v>14849</v>
      </c>
      <c r="M140" s="6" t="s">
        <v>14849</v>
      </c>
      <c r="N140" s="6" t="s">
        <v>14849</v>
      </c>
      <c r="O140" s="6" t="s">
        <v>14849</v>
      </c>
    </row>
    <row r="141" spans="1:15" x14ac:dyDescent="0.2">
      <c r="A141" s="4" t="str">
        <f>"fust-1"</f>
        <v>fust-1</v>
      </c>
      <c r="B141" s="4">
        <v>1.80188880517887</v>
      </c>
      <c r="C141" s="4">
        <v>2.12809022636017E-2</v>
      </c>
      <c r="G141" s="6" t="str">
        <f>"exos-2"</f>
        <v>exos-2</v>
      </c>
      <c r="H141" s="6">
        <v>12.6876119887845</v>
      </c>
      <c r="I141" s="6">
        <v>12.2512921998983</v>
      </c>
      <c r="J141" s="6">
        <v>13.1246754115732</v>
      </c>
      <c r="K141" s="6">
        <f t="shared" si="5"/>
        <v>12.687859866752</v>
      </c>
      <c r="L141" s="6" t="s">
        <v>14849</v>
      </c>
      <c r="M141" s="6" t="s">
        <v>14849</v>
      </c>
      <c r="N141" s="6" t="s">
        <v>14849</v>
      </c>
      <c r="O141" s="6" t="s">
        <v>14849</v>
      </c>
    </row>
    <row r="142" spans="1:15" x14ac:dyDescent="0.2">
      <c r="A142" s="4" t="str">
        <f>"vha-9"</f>
        <v>vha-9</v>
      </c>
      <c r="B142" s="4">
        <v>1.7796131552833601</v>
      </c>
      <c r="C142" s="4">
        <v>9.7894950294510601E-3</v>
      </c>
      <c r="G142" s="6" t="str">
        <f>"mfn-1"</f>
        <v>mfn-1</v>
      </c>
      <c r="H142" s="6">
        <v>12.7016250537134</v>
      </c>
      <c r="I142" s="6">
        <v>12.501031732775701</v>
      </c>
      <c r="J142" s="6">
        <v>12.903562971980801</v>
      </c>
      <c r="K142" s="6">
        <f t="shared" si="5"/>
        <v>12.702073252823302</v>
      </c>
      <c r="L142" s="6" t="s">
        <v>14849</v>
      </c>
      <c r="M142" s="6" t="s">
        <v>14849</v>
      </c>
      <c r="N142" s="6" t="s">
        <v>14849</v>
      </c>
      <c r="O142" s="6" t="s">
        <v>14849</v>
      </c>
    </row>
    <row r="143" spans="1:15" x14ac:dyDescent="0.2">
      <c r="A143" s="4" t="str">
        <f>"nud-1"</f>
        <v>nud-1</v>
      </c>
      <c r="B143" s="4">
        <v>1.7685757883234701</v>
      </c>
      <c r="C143" s="4">
        <v>2.4931577684464401E-4</v>
      </c>
      <c r="G143" s="6" t="str">
        <f>"F11D5.1"</f>
        <v>F11D5.1</v>
      </c>
      <c r="H143" s="6">
        <v>12.3578200382712</v>
      </c>
      <c r="I143" s="6">
        <v>13.3354726010643</v>
      </c>
      <c r="J143" s="6">
        <v>12.4156167177243</v>
      </c>
      <c r="K143" s="6">
        <f t="shared" si="5"/>
        <v>12.7029697856866</v>
      </c>
      <c r="L143" s="6" t="s">
        <v>14849</v>
      </c>
      <c r="M143" s="6" t="s">
        <v>14849</v>
      </c>
      <c r="N143" s="6" t="s">
        <v>14849</v>
      </c>
      <c r="O143" s="6" t="s">
        <v>14849</v>
      </c>
    </row>
    <row r="144" spans="1:15" x14ac:dyDescent="0.2">
      <c r="A144" s="4" t="str">
        <f>"Y45F10C.2"</f>
        <v>Y45F10C.2</v>
      </c>
      <c r="B144" s="4">
        <v>1.7661332779018599</v>
      </c>
      <c r="C144" s="4">
        <v>1.03624941546083E-3</v>
      </c>
      <c r="G144" s="6" t="str">
        <f>"M03C11.3"</f>
        <v>M03C11.3</v>
      </c>
      <c r="H144" s="6">
        <v>12.352400208264401</v>
      </c>
      <c r="I144" s="6">
        <v>13.0179778511029</v>
      </c>
      <c r="J144" s="6">
        <v>12.7770815913736</v>
      </c>
      <c r="K144" s="6">
        <f t="shared" si="5"/>
        <v>12.7158198835803</v>
      </c>
      <c r="L144" s="6" t="s">
        <v>14849</v>
      </c>
      <c r="M144" s="6" t="s">
        <v>14849</v>
      </c>
      <c r="N144" s="6" t="s">
        <v>14849</v>
      </c>
      <c r="O144" s="6" t="s">
        <v>14849</v>
      </c>
    </row>
    <row r="145" spans="1:15" x14ac:dyDescent="0.2">
      <c r="A145" s="4" t="str">
        <f>"ssb-1"</f>
        <v>ssb-1</v>
      </c>
      <c r="B145" s="4">
        <v>1.7566009677171699</v>
      </c>
      <c r="C145" s="4">
        <v>1.0573848086456099E-2</v>
      </c>
      <c r="G145" s="6" t="str">
        <f>"jnk-1"</f>
        <v>jnk-1</v>
      </c>
      <c r="H145" s="6">
        <v>12.6387367552251</v>
      </c>
      <c r="I145" s="6">
        <v>12.8665065189931</v>
      </c>
      <c r="J145" s="6">
        <v>12.7664323011681</v>
      </c>
      <c r="K145" s="6">
        <f t="shared" si="5"/>
        <v>12.757225191795435</v>
      </c>
      <c r="L145" s="6" t="s">
        <v>14849</v>
      </c>
      <c r="M145" s="6" t="s">
        <v>14849</v>
      </c>
      <c r="N145" s="6" t="s">
        <v>14849</v>
      </c>
      <c r="O145" s="6" t="s">
        <v>14849</v>
      </c>
    </row>
    <row r="146" spans="1:15" x14ac:dyDescent="0.2">
      <c r="A146" s="4" t="str">
        <f>"F36A2.3"</f>
        <v>F36A2.3</v>
      </c>
      <c r="B146" s="4">
        <v>1.74824227023223</v>
      </c>
      <c r="C146" s="4">
        <v>3.12884497297175E-3</v>
      </c>
      <c r="G146" s="6" t="str">
        <f>"cnk-1"</f>
        <v>cnk-1</v>
      </c>
      <c r="H146" s="6">
        <v>12.5564470590884</v>
      </c>
      <c r="I146" s="6">
        <v>13.6029291216265</v>
      </c>
      <c r="J146" s="6">
        <v>12.119215711239001</v>
      </c>
      <c r="K146" s="6">
        <f t="shared" si="5"/>
        <v>12.7595306306513</v>
      </c>
      <c r="L146" s="6" t="s">
        <v>14849</v>
      </c>
      <c r="M146" s="6" t="s">
        <v>14849</v>
      </c>
      <c r="N146" s="6" t="s">
        <v>14849</v>
      </c>
      <c r="O146" s="6" t="s">
        <v>14849</v>
      </c>
    </row>
    <row r="147" spans="1:15" x14ac:dyDescent="0.2">
      <c r="A147" s="4" t="str">
        <f>"tct-1"</f>
        <v>tct-1</v>
      </c>
      <c r="B147" s="4">
        <v>1.7445381315142301</v>
      </c>
      <c r="C147" s="4">
        <v>4.6111825820615397E-2</v>
      </c>
      <c r="G147" s="6" t="str">
        <f>"Y50D4A.1"</f>
        <v>Y50D4A.1</v>
      </c>
      <c r="H147" s="6">
        <v>11.959115936977399</v>
      </c>
      <c r="I147" s="6">
        <v>13.3807630915841</v>
      </c>
      <c r="J147" s="6">
        <v>12.9641653475742</v>
      </c>
      <c r="K147" s="6">
        <f t="shared" si="5"/>
        <v>12.768014792045234</v>
      </c>
      <c r="L147" s="6" t="s">
        <v>14849</v>
      </c>
      <c r="M147" s="6" t="s">
        <v>14849</v>
      </c>
      <c r="N147" s="6" t="s">
        <v>14849</v>
      </c>
      <c r="O147" s="6" t="s">
        <v>14849</v>
      </c>
    </row>
    <row r="148" spans="1:15" x14ac:dyDescent="0.2">
      <c r="A148" s="4" t="str">
        <f>"ctl-1"</f>
        <v>ctl-1</v>
      </c>
      <c r="B148" s="4">
        <v>1.7436626894957099</v>
      </c>
      <c r="C148" s="4">
        <v>2.91179952999998E-2</v>
      </c>
      <c r="G148" s="6" t="str">
        <f>"Y17G7B.17"</f>
        <v>Y17G7B.17</v>
      </c>
      <c r="H148" s="6">
        <v>13.276190424464801</v>
      </c>
      <c r="I148" s="6">
        <v>12.953578128775201</v>
      </c>
      <c r="J148" s="6">
        <v>12.135557815695201</v>
      </c>
      <c r="K148" s="6">
        <f t="shared" si="5"/>
        <v>12.788442122978401</v>
      </c>
      <c r="L148" s="6" t="s">
        <v>14849</v>
      </c>
      <c r="M148" s="6" t="s">
        <v>14849</v>
      </c>
      <c r="N148" s="6" t="s">
        <v>14849</v>
      </c>
      <c r="O148" s="6" t="s">
        <v>14849</v>
      </c>
    </row>
    <row r="149" spans="1:15" x14ac:dyDescent="0.2">
      <c r="A149" s="4" t="str">
        <f>"cyc-2.1"</f>
        <v>cyc-2.1</v>
      </c>
      <c r="B149" s="4">
        <v>1.7182844153774399</v>
      </c>
      <c r="C149" s="4">
        <v>3.90391294041332E-3</v>
      </c>
      <c r="G149" s="6" t="str">
        <f>"Y54E2A.7"</f>
        <v>Y54E2A.7</v>
      </c>
      <c r="H149" s="6">
        <v>13.5160694103709</v>
      </c>
      <c r="I149" s="6">
        <v>11.802297285414401</v>
      </c>
      <c r="J149" s="6">
        <v>13.1409876132213</v>
      </c>
      <c r="K149" s="6">
        <f t="shared" si="5"/>
        <v>12.819784769668866</v>
      </c>
      <c r="L149" s="6" t="s">
        <v>14849</v>
      </c>
      <c r="M149" s="6" t="s">
        <v>14849</v>
      </c>
      <c r="N149" s="6" t="s">
        <v>14849</v>
      </c>
      <c r="O149" s="6" t="s">
        <v>14849</v>
      </c>
    </row>
    <row r="150" spans="1:15" x14ac:dyDescent="0.2">
      <c r="A150" s="4" t="str">
        <f>"F42A10.5"</f>
        <v>F42A10.5</v>
      </c>
      <c r="B150" s="4">
        <v>1.70475811864392</v>
      </c>
      <c r="C150" s="4">
        <v>3.5229733381452397E-2</v>
      </c>
      <c r="G150" s="6" t="str">
        <f>"cir-1"</f>
        <v>cir-1</v>
      </c>
      <c r="H150" s="6">
        <v>12.702419251531699</v>
      </c>
      <c r="I150" s="6">
        <v>12.5906853584743</v>
      </c>
      <c r="J150" s="6">
        <v>13.176833625487999</v>
      </c>
      <c r="K150" s="6">
        <f t="shared" si="5"/>
        <v>12.823312745164666</v>
      </c>
      <c r="L150" s="6" t="s">
        <v>14849</v>
      </c>
      <c r="M150" s="6" t="s">
        <v>14849</v>
      </c>
      <c r="N150" s="6" t="s">
        <v>14849</v>
      </c>
      <c r="O150" s="6" t="s">
        <v>14849</v>
      </c>
    </row>
    <row r="151" spans="1:15" x14ac:dyDescent="0.2">
      <c r="A151" s="4" t="str">
        <f>"hprt-1"</f>
        <v>hprt-1</v>
      </c>
      <c r="B151" s="4">
        <v>1.7040793930692499</v>
      </c>
      <c r="C151" s="4">
        <v>1.1060510810508699E-2</v>
      </c>
      <c r="G151" s="6" t="str">
        <f>"pad-2"</f>
        <v>pad-2</v>
      </c>
      <c r="H151" s="6">
        <v>12.992264375885499</v>
      </c>
      <c r="I151" s="6">
        <v>12.731177415274701</v>
      </c>
      <c r="J151" s="6">
        <v>12.967258604176999</v>
      </c>
      <c r="K151" s="6">
        <f t="shared" si="5"/>
        <v>12.896900131779065</v>
      </c>
      <c r="L151" s="6" t="s">
        <v>14849</v>
      </c>
      <c r="M151" s="6" t="s">
        <v>14849</v>
      </c>
      <c r="N151" s="6" t="s">
        <v>14849</v>
      </c>
      <c r="O151" s="6" t="s">
        <v>14849</v>
      </c>
    </row>
    <row r="152" spans="1:15" x14ac:dyDescent="0.2">
      <c r="A152" s="4" t="str">
        <f>"frm-4"</f>
        <v>frm-4</v>
      </c>
      <c r="B152" s="4">
        <v>1.69616036497213</v>
      </c>
      <c r="C152" s="4">
        <v>2.51297144625177E-4</v>
      </c>
      <c r="G152" s="6" t="str">
        <f>"C50D2.5"</f>
        <v>C50D2.5</v>
      </c>
      <c r="H152" s="6">
        <v>12.863177881416799</v>
      </c>
      <c r="I152" s="6">
        <v>13.0804282852736</v>
      </c>
      <c r="J152" s="6">
        <v>12.8551681790556</v>
      </c>
      <c r="K152" s="6">
        <f t="shared" si="5"/>
        <v>12.932924781915332</v>
      </c>
      <c r="L152" s="6" t="s">
        <v>14849</v>
      </c>
      <c r="M152" s="6" t="s">
        <v>14849</v>
      </c>
      <c r="N152" s="6" t="s">
        <v>14849</v>
      </c>
      <c r="O152" s="6" t="s">
        <v>14849</v>
      </c>
    </row>
    <row r="153" spans="1:15" x14ac:dyDescent="0.2">
      <c r="A153" s="4" t="str">
        <f>"pgl-2"</f>
        <v>pgl-2</v>
      </c>
      <c r="B153" s="4">
        <v>1.6920990037966701</v>
      </c>
      <c r="C153" s="4">
        <v>3.8962573817284702E-3</v>
      </c>
      <c r="G153" s="6" t="str">
        <f>"Y60A3A.19"</f>
        <v>Y60A3A.19</v>
      </c>
      <c r="H153" s="6">
        <v>13.087548164005</v>
      </c>
      <c r="I153" s="6">
        <v>13.121127937564101</v>
      </c>
      <c r="J153" s="6">
        <v>12.616455501356</v>
      </c>
      <c r="K153" s="6">
        <f t="shared" si="5"/>
        <v>12.941710534308365</v>
      </c>
      <c r="L153" s="6" t="s">
        <v>14849</v>
      </c>
      <c r="M153" s="6" t="s">
        <v>14849</v>
      </c>
      <c r="N153" s="6" t="s">
        <v>14849</v>
      </c>
      <c r="O153" s="6" t="s">
        <v>14849</v>
      </c>
    </row>
    <row r="154" spans="1:15" x14ac:dyDescent="0.2">
      <c r="A154" s="4" t="str">
        <f>"T04F3.1"</f>
        <v>T04F3.1</v>
      </c>
      <c r="B154" s="4">
        <v>1.6846643737078399</v>
      </c>
      <c r="C154" s="4">
        <v>5.9166594632654795E-4</v>
      </c>
      <c r="G154" s="6" t="str">
        <f>"pqe-1"</f>
        <v>pqe-1</v>
      </c>
      <c r="H154" s="6">
        <v>12.6393252836298</v>
      </c>
      <c r="I154" s="6">
        <v>13.429319869489101</v>
      </c>
      <c r="J154" s="6">
        <v>12.7620584787642</v>
      </c>
      <c r="K154" s="6">
        <f t="shared" si="5"/>
        <v>12.943567877294365</v>
      </c>
      <c r="L154" s="6" t="s">
        <v>14849</v>
      </c>
      <c r="M154" s="6" t="s">
        <v>14849</v>
      </c>
      <c r="N154" s="6" t="s">
        <v>14849</v>
      </c>
      <c r="O154" s="6" t="s">
        <v>14849</v>
      </c>
    </row>
    <row r="155" spans="1:15" x14ac:dyDescent="0.2">
      <c r="A155" s="4" t="str">
        <f>"alh-9"</f>
        <v>alh-9</v>
      </c>
      <c r="B155" s="4">
        <v>1.67773488253839</v>
      </c>
      <c r="C155" s="4">
        <v>2.5521495453489202E-3</v>
      </c>
      <c r="G155" s="6" t="str">
        <f>"mboa-3"</f>
        <v>mboa-3</v>
      </c>
      <c r="H155" s="6">
        <v>12.456619126785601</v>
      </c>
      <c r="I155" s="6">
        <v>13.4499960219214</v>
      </c>
      <c r="J155" s="6">
        <v>12.938266254362601</v>
      </c>
      <c r="K155" s="6">
        <f t="shared" si="5"/>
        <v>12.948293801023199</v>
      </c>
      <c r="L155" s="6" t="s">
        <v>14849</v>
      </c>
      <c r="M155" s="6" t="s">
        <v>14849</v>
      </c>
      <c r="N155" s="6" t="s">
        <v>14849</v>
      </c>
      <c r="O155" s="6" t="s">
        <v>14849</v>
      </c>
    </row>
    <row r="156" spans="1:15" x14ac:dyDescent="0.2">
      <c r="A156" s="4" t="str">
        <f>"rga-3"</f>
        <v>rga-3</v>
      </c>
      <c r="B156" s="4">
        <v>1.6718610437763299</v>
      </c>
      <c r="C156" s="4">
        <v>3.1646371586554901E-2</v>
      </c>
      <c r="G156" s="6" t="str">
        <f>"F58B3.6"</f>
        <v>F58B3.6</v>
      </c>
      <c r="H156" s="6">
        <v>12.886762867759799</v>
      </c>
      <c r="I156" s="6">
        <v>13.333328643312701</v>
      </c>
      <c r="J156" s="6">
        <v>12.648284789562499</v>
      </c>
      <c r="K156" s="6">
        <f t="shared" si="5"/>
        <v>12.956125433544999</v>
      </c>
      <c r="L156" s="6" t="s">
        <v>14849</v>
      </c>
      <c r="M156" s="6" t="s">
        <v>14849</v>
      </c>
      <c r="N156" s="6" t="s">
        <v>14849</v>
      </c>
      <c r="O156" s="6" t="s">
        <v>14849</v>
      </c>
    </row>
    <row r="157" spans="1:15" x14ac:dyDescent="0.2">
      <c r="A157" s="4" t="str">
        <f>"far-2"</f>
        <v>far-2</v>
      </c>
      <c r="B157" s="4">
        <v>1.6703590686768499</v>
      </c>
      <c r="C157" s="4">
        <v>2.7520960019980702E-2</v>
      </c>
      <c r="G157" s="6" t="str">
        <f>"B0261.6"</f>
        <v>B0261.6</v>
      </c>
      <c r="H157" s="6">
        <v>14.0431305243852</v>
      </c>
      <c r="I157" s="6">
        <v>10.9711115760407</v>
      </c>
      <c r="J157" s="6">
        <v>13.899173746685801</v>
      </c>
      <c r="K157" s="6">
        <f t="shared" si="5"/>
        <v>12.9711386157039</v>
      </c>
      <c r="L157" s="6" t="s">
        <v>14849</v>
      </c>
      <c r="M157" s="6" t="s">
        <v>14849</v>
      </c>
      <c r="N157" s="6" t="s">
        <v>14849</v>
      </c>
      <c r="O157" s="6" t="s">
        <v>14849</v>
      </c>
    </row>
    <row r="158" spans="1:15" x14ac:dyDescent="0.2">
      <c r="A158" s="4" t="str">
        <f>"coel-1"</f>
        <v>coel-1</v>
      </c>
      <c r="B158" s="4">
        <v>1.6489693805046599</v>
      </c>
      <c r="C158" s="4">
        <v>2.27758964562204E-4</v>
      </c>
      <c r="G158" s="6" t="str">
        <f>"vps-16"</f>
        <v>vps-16</v>
      </c>
      <c r="H158" s="6">
        <v>13.126964394053999</v>
      </c>
      <c r="I158" s="6">
        <v>13.122594689309</v>
      </c>
      <c r="J158" s="6">
        <v>12.787581033880899</v>
      </c>
      <c r="K158" s="6">
        <f t="shared" si="5"/>
        <v>13.0123800390813</v>
      </c>
      <c r="L158" s="6" t="s">
        <v>14849</v>
      </c>
      <c r="M158" s="6" t="s">
        <v>14849</v>
      </c>
      <c r="N158" s="6" t="s">
        <v>14849</v>
      </c>
      <c r="O158" s="6" t="s">
        <v>14849</v>
      </c>
    </row>
    <row r="159" spans="1:15" x14ac:dyDescent="0.2">
      <c r="A159" s="4" t="str">
        <f>"czw-1"</f>
        <v>czw-1</v>
      </c>
      <c r="B159" s="4">
        <v>1.64762914768278</v>
      </c>
      <c r="C159" s="4">
        <v>1.20310848388858E-4</v>
      </c>
      <c r="G159" s="6" t="str">
        <f>"etr-1"</f>
        <v>etr-1</v>
      </c>
      <c r="H159" s="6">
        <v>12.823249130698599</v>
      </c>
      <c r="I159" s="6">
        <v>12.8472568723456</v>
      </c>
      <c r="J159" s="6">
        <v>13.3802198277168</v>
      </c>
      <c r="K159" s="6">
        <f t="shared" si="5"/>
        <v>13.016908610253665</v>
      </c>
      <c r="L159" s="6" t="s">
        <v>14849</v>
      </c>
      <c r="M159" s="6" t="s">
        <v>14849</v>
      </c>
      <c r="N159" s="6" t="s">
        <v>14849</v>
      </c>
      <c r="O159" s="6" t="s">
        <v>14849</v>
      </c>
    </row>
    <row r="160" spans="1:15" x14ac:dyDescent="0.2">
      <c r="A160" s="4" t="str">
        <f>"C27A7.5"</f>
        <v>C27A7.5</v>
      </c>
      <c r="B160" s="4">
        <v>1.6424318663067701</v>
      </c>
      <c r="C160" s="4">
        <v>4.5519084739580301E-4</v>
      </c>
      <c r="G160" s="6" t="str">
        <f>"ZK512.4"</f>
        <v>ZK512.4</v>
      </c>
      <c r="H160" s="6">
        <v>12.9403941778247</v>
      </c>
      <c r="I160" s="6">
        <v>12.943970656505501</v>
      </c>
      <c r="J160" s="6">
        <v>13.2046260012202</v>
      </c>
      <c r="K160" s="6">
        <f t="shared" si="5"/>
        <v>13.029663611850133</v>
      </c>
      <c r="L160" s="6" t="s">
        <v>14849</v>
      </c>
      <c r="M160" s="6" t="s">
        <v>14849</v>
      </c>
      <c r="N160" s="6" t="s">
        <v>14849</v>
      </c>
      <c r="O160" s="6" t="s">
        <v>14849</v>
      </c>
    </row>
    <row r="161" spans="1:15" x14ac:dyDescent="0.2">
      <c r="A161" s="4" t="str">
        <f>"F55A12.5"</f>
        <v>F55A12.5</v>
      </c>
      <c r="B161" s="4">
        <v>1.6333574881056201</v>
      </c>
      <c r="C161" s="4">
        <v>3.5923936297197902E-2</v>
      </c>
      <c r="G161" s="6" t="str">
        <f>"tgt-2"</f>
        <v>tgt-2</v>
      </c>
      <c r="H161" s="6">
        <v>12.749770942063501</v>
      </c>
      <c r="I161" s="6">
        <v>13.1583493241132</v>
      </c>
      <c r="J161" s="6">
        <v>13.186724925117099</v>
      </c>
      <c r="K161" s="6">
        <f t="shared" si="5"/>
        <v>13.031615063764599</v>
      </c>
      <c r="L161" s="6" t="s">
        <v>14849</v>
      </c>
      <c r="M161" s="6" t="s">
        <v>14849</v>
      </c>
      <c r="N161" s="6" t="s">
        <v>14849</v>
      </c>
      <c r="O161" s="6" t="s">
        <v>14849</v>
      </c>
    </row>
    <row r="162" spans="1:15" x14ac:dyDescent="0.2">
      <c r="A162" s="4" t="str">
        <f>"mrps-31"</f>
        <v>mrps-31</v>
      </c>
      <c r="B162" s="4">
        <v>1.6146171585912901</v>
      </c>
      <c r="C162" s="4">
        <v>2.8755914651036399E-2</v>
      </c>
      <c r="G162" s="6" t="str">
        <f>"gld-3"</f>
        <v>gld-3</v>
      </c>
      <c r="H162" s="6">
        <v>14.187160240648</v>
      </c>
      <c r="I162" s="6">
        <v>11.9646516047459</v>
      </c>
      <c r="J162" s="6">
        <v>12.9686340781645</v>
      </c>
      <c r="K162" s="6">
        <f t="shared" ref="K162:K193" si="6">(H162+I162+J162)/3</f>
        <v>13.040148641186134</v>
      </c>
      <c r="L162" s="6" t="s">
        <v>14849</v>
      </c>
      <c r="M162" s="6" t="s">
        <v>14849</v>
      </c>
      <c r="N162" s="6" t="s">
        <v>14849</v>
      </c>
      <c r="O162" s="6" t="s">
        <v>14849</v>
      </c>
    </row>
    <row r="163" spans="1:15" x14ac:dyDescent="0.2">
      <c r="A163" s="4" t="str">
        <f>"C33F10.12"</f>
        <v>C33F10.12</v>
      </c>
      <c r="B163" s="4">
        <v>1.5980356171641401</v>
      </c>
      <c r="C163" s="4">
        <v>4.27661796925164E-2</v>
      </c>
      <c r="G163" s="6" t="str">
        <f>"col-144"</f>
        <v>col-144</v>
      </c>
      <c r="H163" s="6">
        <v>13.2678271346528</v>
      </c>
      <c r="I163" s="6">
        <v>13.0300977470582</v>
      </c>
      <c r="J163" s="6">
        <v>13.131607485937099</v>
      </c>
      <c r="K163" s="6">
        <f t="shared" si="6"/>
        <v>13.143177455882698</v>
      </c>
      <c r="L163" s="6" t="s">
        <v>14849</v>
      </c>
      <c r="M163" s="6" t="s">
        <v>14849</v>
      </c>
      <c r="N163" s="6" t="s">
        <v>14849</v>
      </c>
      <c r="O163" s="6" t="s">
        <v>14849</v>
      </c>
    </row>
    <row r="164" spans="1:15" x14ac:dyDescent="0.2">
      <c r="A164" s="4" t="str">
        <f>"lmd-3"</f>
        <v>lmd-3</v>
      </c>
      <c r="B164" s="4">
        <v>1.59445981367153</v>
      </c>
      <c r="C164" s="4">
        <v>6.1572926617370002E-3</v>
      </c>
      <c r="G164" s="6" t="str">
        <f>"ndua-2"</f>
        <v>ndua-2</v>
      </c>
      <c r="H164" s="6">
        <v>13.0701092770882</v>
      </c>
      <c r="I164" s="6">
        <v>12.8945697490039</v>
      </c>
      <c r="J164" s="6">
        <v>13.4746623960961</v>
      </c>
      <c r="K164" s="6">
        <f t="shared" si="6"/>
        <v>13.1464471407294</v>
      </c>
      <c r="L164" s="6" t="s">
        <v>14849</v>
      </c>
      <c r="M164" s="6" t="s">
        <v>14849</v>
      </c>
      <c r="N164" s="6" t="s">
        <v>14849</v>
      </c>
      <c r="O164" s="6" t="s">
        <v>14849</v>
      </c>
    </row>
    <row r="165" spans="1:15" x14ac:dyDescent="0.2">
      <c r="A165" s="4" t="str">
        <f>"arrd-25"</f>
        <v>arrd-25</v>
      </c>
      <c r="B165" s="4">
        <v>1.5918663299395699</v>
      </c>
      <c r="C165" s="4">
        <v>6.09175343609384E-4</v>
      </c>
      <c r="G165" s="6" t="str">
        <f>"F33H2.8"</f>
        <v>F33H2.8</v>
      </c>
      <c r="H165" s="6">
        <v>13.3035959659239</v>
      </c>
      <c r="I165" s="6">
        <v>13.249124556482</v>
      </c>
      <c r="J165" s="6">
        <v>12.9553514743083</v>
      </c>
      <c r="K165" s="6">
        <f t="shared" si="6"/>
        <v>13.169357332238066</v>
      </c>
      <c r="L165" s="6" t="s">
        <v>14849</v>
      </c>
      <c r="M165" s="6" t="s">
        <v>14849</v>
      </c>
      <c r="N165" s="6" t="s">
        <v>14849</v>
      </c>
      <c r="O165" s="6" t="s">
        <v>14849</v>
      </c>
    </row>
    <row r="166" spans="1:15" x14ac:dyDescent="0.2">
      <c r="A166" s="4" t="str">
        <f>"ten-1"</f>
        <v>ten-1</v>
      </c>
      <c r="B166" s="4">
        <v>1.5915079925578</v>
      </c>
      <c r="C166" s="4">
        <v>1.52207787812616E-2</v>
      </c>
      <c r="G166" s="6" t="str">
        <f>"sqv-3"</f>
        <v>sqv-3</v>
      </c>
      <c r="H166" s="6">
        <v>13.005401326404799</v>
      </c>
      <c r="I166" s="6">
        <v>13.323869782933601</v>
      </c>
      <c r="J166" s="6">
        <v>13.2235468624354</v>
      </c>
      <c r="K166" s="6">
        <f t="shared" si="6"/>
        <v>13.184272657257933</v>
      </c>
      <c r="L166" s="6" t="s">
        <v>14849</v>
      </c>
      <c r="M166" s="6" t="s">
        <v>14849</v>
      </c>
      <c r="N166" s="6" t="s">
        <v>14849</v>
      </c>
      <c r="O166" s="6" t="s">
        <v>14849</v>
      </c>
    </row>
    <row r="167" spans="1:15" x14ac:dyDescent="0.2">
      <c r="A167" s="4" t="str">
        <f>"moma-1"</f>
        <v>moma-1</v>
      </c>
      <c r="B167" s="4">
        <v>1.5785610730714299</v>
      </c>
      <c r="C167" s="4">
        <v>1.22921511633585E-2</v>
      </c>
      <c r="G167" s="6" t="str">
        <f>"usp-46"</f>
        <v>usp-46</v>
      </c>
      <c r="H167" s="6">
        <v>13.3591026563076</v>
      </c>
      <c r="I167" s="6">
        <v>13.007645823341701</v>
      </c>
      <c r="J167" s="6">
        <v>13.2555780041695</v>
      </c>
      <c r="K167" s="6">
        <f t="shared" si="6"/>
        <v>13.207442161272935</v>
      </c>
      <c r="L167" s="6" t="s">
        <v>14849</v>
      </c>
      <c r="M167" s="6" t="s">
        <v>14849</v>
      </c>
      <c r="N167" s="6" t="s">
        <v>14849</v>
      </c>
      <c r="O167" s="6" t="s">
        <v>14849</v>
      </c>
    </row>
    <row r="168" spans="1:15" x14ac:dyDescent="0.2">
      <c r="A168" s="4" t="str">
        <f>"ints-2"</f>
        <v>ints-2</v>
      </c>
      <c r="B168" s="4">
        <v>1.57316052361902</v>
      </c>
      <c r="C168" s="4">
        <v>1.3213981353903699E-2</v>
      </c>
      <c r="G168" s="6" t="str">
        <f>"mog-3"</f>
        <v>mog-3</v>
      </c>
      <c r="H168" s="6">
        <v>12.7392851872394</v>
      </c>
      <c r="I168" s="6">
        <v>13.276121445714599</v>
      </c>
      <c r="J168" s="6">
        <v>13.701992012826</v>
      </c>
      <c r="K168" s="6">
        <f t="shared" si="6"/>
        <v>13.239132881926665</v>
      </c>
      <c r="L168" s="6" t="s">
        <v>14849</v>
      </c>
      <c r="M168" s="6" t="s">
        <v>14849</v>
      </c>
      <c r="N168" s="6" t="s">
        <v>14849</v>
      </c>
      <c r="O168" s="6" t="s">
        <v>14849</v>
      </c>
    </row>
    <row r="169" spans="1:15" x14ac:dyDescent="0.2">
      <c r="A169" s="4" t="str">
        <f>"anc-1"</f>
        <v>anc-1</v>
      </c>
      <c r="B169" s="4">
        <v>1.5631830935289499</v>
      </c>
      <c r="C169" s="4">
        <v>1.11530604393746E-4</v>
      </c>
      <c r="G169" s="6" t="str">
        <f>"mrpl-35"</f>
        <v>mrpl-35</v>
      </c>
      <c r="H169" s="6">
        <v>13.3318404776718</v>
      </c>
      <c r="I169" s="6">
        <v>13.3310673398961</v>
      </c>
      <c r="J169" s="6">
        <v>13.1435076746676</v>
      </c>
      <c r="K169" s="6">
        <f t="shared" si="6"/>
        <v>13.268805164078501</v>
      </c>
      <c r="L169" s="6" t="s">
        <v>14849</v>
      </c>
      <c r="M169" s="6" t="s">
        <v>14849</v>
      </c>
      <c r="N169" s="6" t="s">
        <v>14849</v>
      </c>
      <c r="O169" s="6" t="s">
        <v>14849</v>
      </c>
    </row>
    <row r="170" spans="1:15" x14ac:dyDescent="0.2">
      <c r="A170" s="4" t="str">
        <f>"smcr-8"</f>
        <v>smcr-8</v>
      </c>
      <c r="B170" s="4">
        <v>1.5619706710011201</v>
      </c>
      <c r="C170" s="4">
        <v>4.2558144229318001E-2</v>
      </c>
      <c r="G170" s="6" t="str">
        <f>"C32E12.1"</f>
        <v>C32E12.1</v>
      </c>
      <c r="H170" s="6">
        <v>14.3877815722782</v>
      </c>
      <c r="I170" s="6">
        <v>12.105102823490499</v>
      </c>
      <c r="J170" s="6">
        <v>13.4196915320623</v>
      </c>
      <c r="K170" s="6">
        <f t="shared" si="6"/>
        <v>13.304191975943667</v>
      </c>
      <c r="L170" s="6" t="s">
        <v>14849</v>
      </c>
      <c r="M170" s="6" t="s">
        <v>14849</v>
      </c>
      <c r="N170" s="6" t="s">
        <v>14849</v>
      </c>
      <c r="O170" s="6" t="s">
        <v>14849</v>
      </c>
    </row>
    <row r="171" spans="1:15" x14ac:dyDescent="0.2">
      <c r="A171" s="4" t="str">
        <f>"R09F10.1"</f>
        <v>R09F10.1</v>
      </c>
      <c r="B171" s="4">
        <v>1.56143112738068</v>
      </c>
      <c r="C171" s="4">
        <v>2.0356715334636601E-2</v>
      </c>
      <c r="G171" s="6" t="str">
        <f>"eif-6"</f>
        <v>eif-6</v>
      </c>
      <c r="H171" s="6">
        <v>13.350831132112001</v>
      </c>
      <c r="I171" s="6">
        <v>13.3643077265071</v>
      </c>
      <c r="J171" s="6">
        <v>13.413391770017901</v>
      </c>
      <c r="K171" s="6">
        <f t="shared" si="6"/>
        <v>13.376176876212334</v>
      </c>
      <c r="L171" s="6" t="s">
        <v>14849</v>
      </c>
      <c r="M171" s="6" t="s">
        <v>14849</v>
      </c>
      <c r="N171" s="6" t="s">
        <v>14849</v>
      </c>
      <c r="O171" s="6" t="s">
        <v>14849</v>
      </c>
    </row>
    <row r="172" spans="1:15" x14ac:dyDescent="0.2">
      <c r="A172" s="4" t="str">
        <f>"W07E11.1"</f>
        <v>W07E11.1</v>
      </c>
      <c r="B172" s="4">
        <v>1.5582355996219299</v>
      </c>
      <c r="C172" s="5">
        <v>5.1271691586740699E-5</v>
      </c>
      <c r="G172" s="6" t="str">
        <f>"knl-2"</f>
        <v>knl-2</v>
      </c>
      <c r="H172" s="6">
        <v>13.099377341055501</v>
      </c>
      <c r="I172" s="6">
        <v>13.4243573268256</v>
      </c>
      <c r="J172" s="6">
        <v>13.7519297633705</v>
      </c>
      <c r="K172" s="6">
        <f t="shared" si="6"/>
        <v>13.425221477083866</v>
      </c>
      <c r="L172" s="6" t="s">
        <v>14849</v>
      </c>
      <c r="M172" s="6" t="s">
        <v>14849</v>
      </c>
      <c r="N172" s="6" t="s">
        <v>14849</v>
      </c>
      <c r="O172" s="6" t="s">
        <v>14849</v>
      </c>
    </row>
    <row r="173" spans="1:15" x14ac:dyDescent="0.2">
      <c r="A173" s="4" t="str">
        <f>"panl-3"</f>
        <v>panl-3</v>
      </c>
      <c r="B173" s="4">
        <v>1.55578743633932</v>
      </c>
      <c r="C173" s="4">
        <v>3.15817508937313E-3</v>
      </c>
      <c r="G173" s="6" t="str">
        <f>"maph-1.3"</f>
        <v>maph-1.3</v>
      </c>
      <c r="H173" s="6">
        <v>12.9173693556068</v>
      </c>
      <c r="I173" s="6">
        <v>13.489522416460501</v>
      </c>
      <c r="J173" s="6">
        <v>13.871862240606299</v>
      </c>
      <c r="K173" s="6">
        <f t="shared" si="6"/>
        <v>13.426251337557867</v>
      </c>
      <c r="L173" s="6" t="s">
        <v>14849</v>
      </c>
      <c r="M173" s="6" t="s">
        <v>14849</v>
      </c>
      <c r="N173" s="6" t="s">
        <v>14849</v>
      </c>
      <c r="O173" s="6" t="s">
        <v>14849</v>
      </c>
    </row>
    <row r="174" spans="1:15" x14ac:dyDescent="0.2">
      <c r="A174" s="4" t="str">
        <f>"inx-13"</f>
        <v>inx-13</v>
      </c>
      <c r="B174" s="4">
        <v>1.5521729886823199</v>
      </c>
      <c r="C174" s="4">
        <v>1.0206945702084E-4</v>
      </c>
      <c r="G174" s="6" t="str">
        <f>"Y105E8A.21"</f>
        <v>Y105E8A.21</v>
      </c>
      <c r="H174" s="6">
        <v>13.5131058005909</v>
      </c>
      <c r="I174" s="6">
        <v>13.750824469487</v>
      </c>
      <c r="J174" s="6">
        <v>13.267384070481301</v>
      </c>
      <c r="K174" s="6">
        <f t="shared" si="6"/>
        <v>13.510438113519733</v>
      </c>
      <c r="L174" s="6" t="s">
        <v>14849</v>
      </c>
      <c r="M174" s="6" t="s">
        <v>14849</v>
      </c>
      <c r="N174" s="6" t="s">
        <v>14849</v>
      </c>
      <c r="O174" s="6" t="s">
        <v>14849</v>
      </c>
    </row>
    <row r="175" spans="1:15" x14ac:dyDescent="0.2">
      <c r="A175" s="4" t="str">
        <f>"sti-1"</f>
        <v>sti-1</v>
      </c>
      <c r="B175" s="4">
        <v>1.53244085463068</v>
      </c>
      <c r="C175" s="4">
        <v>1.2708807088191099E-4</v>
      </c>
      <c r="G175" s="6" t="str">
        <f>"W09H1.5"</f>
        <v>W09H1.5</v>
      </c>
      <c r="H175" s="6">
        <v>13.716885810015601</v>
      </c>
      <c r="I175" s="6">
        <v>13.530277777597901</v>
      </c>
      <c r="J175" s="6">
        <v>13.377267623989701</v>
      </c>
      <c r="K175" s="6">
        <f t="shared" si="6"/>
        <v>13.5414770705344</v>
      </c>
      <c r="L175" s="6" t="s">
        <v>14849</v>
      </c>
      <c r="M175" s="6" t="s">
        <v>14849</v>
      </c>
      <c r="N175" s="6" t="s">
        <v>14849</v>
      </c>
      <c r="O175" s="6" t="s">
        <v>14849</v>
      </c>
    </row>
    <row r="176" spans="1:15" x14ac:dyDescent="0.2">
      <c r="A176" s="4" t="str">
        <f>"hpk-1"</f>
        <v>hpk-1</v>
      </c>
      <c r="B176" s="4">
        <v>1.5310117820626299</v>
      </c>
      <c r="C176" s="4">
        <v>6.7486769607727004E-4</v>
      </c>
      <c r="G176" s="6" t="str">
        <f>"T24H10.1"</f>
        <v>T24H10.1</v>
      </c>
      <c r="H176" s="6">
        <v>13.8819634992181</v>
      </c>
      <c r="I176" s="6">
        <v>13.296928345672899</v>
      </c>
      <c r="J176" s="6">
        <v>13.5117903006944</v>
      </c>
      <c r="K176" s="6">
        <f t="shared" si="6"/>
        <v>13.563560715195132</v>
      </c>
      <c r="L176" s="6" t="s">
        <v>14849</v>
      </c>
      <c r="M176" s="6" t="s">
        <v>14849</v>
      </c>
      <c r="N176" s="6" t="s">
        <v>14849</v>
      </c>
      <c r="O176" s="6" t="s">
        <v>14849</v>
      </c>
    </row>
    <row r="177" spans="1:15" x14ac:dyDescent="0.2">
      <c r="A177" s="4" t="str">
        <f>"T14B4.1"</f>
        <v>T14B4.1</v>
      </c>
      <c r="B177" s="4">
        <v>1.52853500391343</v>
      </c>
      <c r="C177" s="4">
        <v>2.1023759702520298E-3</v>
      </c>
      <c r="G177" s="6" t="str">
        <f>"K08F4.3"</f>
        <v>K08F4.3</v>
      </c>
      <c r="H177" s="6">
        <v>13.517377122648799</v>
      </c>
      <c r="I177" s="6">
        <v>13.075298516293801</v>
      </c>
      <c r="J177" s="6">
        <v>14.108529020261299</v>
      </c>
      <c r="K177" s="6">
        <f t="shared" si="6"/>
        <v>13.567068219734635</v>
      </c>
      <c r="L177" s="6" t="s">
        <v>14849</v>
      </c>
      <c r="M177" s="6" t="s">
        <v>14849</v>
      </c>
      <c r="N177" s="6" t="s">
        <v>14849</v>
      </c>
      <c r="O177" s="6" t="s">
        <v>14849</v>
      </c>
    </row>
    <row r="178" spans="1:15" x14ac:dyDescent="0.2">
      <c r="A178" s="4" t="str">
        <f>"spe-5"</f>
        <v>spe-5</v>
      </c>
      <c r="B178" s="4">
        <v>1.52471940083087</v>
      </c>
      <c r="C178" s="4">
        <v>2.3719440197818599E-4</v>
      </c>
      <c r="G178" s="6" t="str">
        <f>"Y55F3C.17"</f>
        <v>Y55F3C.17</v>
      </c>
      <c r="H178" s="6">
        <v>13.3713843315209</v>
      </c>
      <c r="I178" s="6">
        <v>13.8938146839377</v>
      </c>
      <c r="J178" s="6">
        <v>13.449076791245799</v>
      </c>
      <c r="K178" s="6">
        <f t="shared" si="6"/>
        <v>13.571425268901466</v>
      </c>
      <c r="L178" s="6" t="s">
        <v>14849</v>
      </c>
      <c r="M178" s="6" t="s">
        <v>14849</v>
      </c>
      <c r="N178" s="6" t="s">
        <v>14849</v>
      </c>
      <c r="O178" s="6" t="s">
        <v>14849</v>
      </c>
    </row>
    <row r="179" spans="1:15" x14ac:dyDescent="0.2">
      <c r="A179" s="4" t="str">
        <f>"D1014.4"</f>
        <v>D1014.4</v>
      </c>
      <c r="B179" s="4">
        <v>1.52221335781686</v>
      </c>
      <c r="C179" s="4">
        <v>6.8799090564753704E-3</v>
      </c>
      <c r="G179" s="6" t="str">
        <f>"B0001.7"</f>
        <v>B0001.7</v>
      </c>
      <c r="H179" s="6">
        <v>13.500331396279799</v>
      </c>
      <c r="I179" s="6">
        <v>14.3053328188163</v>
      </c>
      <c r="J179" s="6">
        <v>12.9979306477696</v>
      </c>
      <c r="K179" s="6">
        <f t="shared" si="6"/>
        <v>13.6011982876219</v>
      </c>
      <c r="L179" s="6" t="s">
        <v>14849</v>
      </c>
      <c r="M179" s="6" t="s">
        <v>14849</v>
      </c>
      <c r="N179" s="6" t="s">
        <v>14849</v>
      </c>
      <c r="O179" s="6" t="s">
        <v>14849</v>
      </c>
    </row>
    <row r="180" spans="1:15" x14ac:dyDescent="0.2">
      <c r="A180" s="4" t="str">
        <f>"mak-2"</f>
        <v>mak-2</v>
      </c>
      <c r="B180" s="4">
        <v>1.5174088631090099</v>
      </c>
      <c r="C180" s="4">
        <v>2.2892494963163298E-2</v>
      </c>
      <c r="G180" s="6" t="str">
        <f>"col-106"</f>
        <v>col-106</v>
      </c>
      <c r="H180" s="6">
        <v>13.322417622689199</v>
      </c>
      <c r="I180" s="6">
        <v>13.6251089292244</v>
      </c>
      <c r="J180" s="6">
        <v>13.9385335507307</v>
      </c>
      <c r="K180" s="6">
        <f t="shared" si="6"/>
        <v>13.628686700881431</v>
      </c>
      <c r="L180" s="6" t="s">
        <v>14849</v>
      </c>
      <c r="M180" s="6" t="s">
        <v>14849</v>
      </c>
      <c r="N180" s="6" t="s">
        <v>14849</v>
      </c>
      <c r="O180" s="6" t="s">
        <v>14849</v>
      </c>
    </row>
    <row r="181" spans="1:15" x14ac:dyDescent="0.2">
      <c r="A181" s="4" t="str">
        <f>"pqn-52"</f>
        <v>pqn-52</v>
      </c>
      <c r="B181" s="4">
        <v>1.51712228800717</v>
      </c>
      <c r="C181" s="4">
        <v>9.4870077686104292E-3</v>
      </c>
      <c r="G181" s="6" t="str">
        <f>"umps-1"</f>
        <v>umps-1</v>
      </c>
      <c r="H181" s="6">
        <v>13.9392052428133</v>
      </c>
      <c r="I181" s="6">
        <v>13.373800604247</v>
      </c>
      <c r="J181" s="6">
        <v>13.835720836753699</v>
      </c>
      <c r="K181" s="6">
        <f t="shared" si="6"/>
        <v>13.716242227937999</v>
      </c>
      <c r="L181" s="6" t="s">
        <v>14849</v>
      </c>
      <c r="M181" s="6" t="s">
        <v>14849</v>
      </c>
      <c r="N181" s="6" t="s">
        <v>14849</v>
      </c>
      <c r="O181" s="6" t="s">
        <v>14849</v>
      </c>
    </row>
    <row r="182" spans="1:15" x14ac:dyDescent="0.2">
      <c r="A182" s="4" t="str">
        <f>"hmg-4"</f>
        <v>hmg-4</v>
      </c>
      <c r="B182" s="4">
        <v>1.5126669395330601</v>
      </c>
      <c r="C182" s="4">
        <v>4.9846065360026402E-4</v>
      </c>
      <c r="G182" s="6" t="str">
        <f>"hil-3"</f>
        <v>hil-3</v>
      </c>
      <c r="H182" s="6">
        <v>13.4250853190703</v>
      </c>
      <c r="I182" s="6">
        <v>14.223307977350199</v>
      </c>
      <c r="J182" s="6">
        <v>13.839870461746299</v>
      </c>
      <c r="K182" s="6">
        <f t="shared" si="6"/>
        <v>13.829421252722268</v>
      </c>
      <c r="L182" s="6" t="s">
        <v>14849</v>
      </c>
      <c r="M182" s="6" t="s">
        <v>14849</v>
      </c>
      <c r="N182" s="6" t="s">
        <v>14849</v>
      </c>
      <c r="O182" s="6" t="s">
        <v>14849</v>
      </c>
    </row>
    <row r="183" spans="1:15" x14ac:dyDescent="0.2">
      <c r="A183" s="4" t="str">
        <f>"snx-6"</f>
        <v>snx-6</v>
      </c>
      <c r="B183" s="4">
        <v>1.51243827307409</v>
      </c>
      <c r="C183" s="4">
        <v>1.07255240226658E-2</v>
      </c>
      <c r="G183" s="6" t="str">
        <f>"elo-4"</f>
        <v>elo-4</v>
      </c>
      <c r="H183" s="6">
        <v>13.8916771556366</v>
      </c>
      <c r="I183" s="6">
        <v>13.7371518774886</v>
      </c>
      <c r="J183" s="6">
        <v>13.8602467982167</v>
      </c>
      <c r="K183" s="6">
        <f t="shared" si="6"/>
        <v>13.829691943780633</v>
      </c>
      <c r="L183" s="6" t="s">
        <v>14849</v>
      </c>
      <c r="M183" s="6" t="s">
        <v>14849</v>
      </c>
      <c r="N183" s="6" t="s">
        <v>14849</v>
      </c>
      <c r="O183" s="6" t="s">
        <v>14849</v>
      </c>
    </row>
    <row r="184" spans="1:15" x14ac:dyDescent="0.2">
      <c r="A184" s="4" t="str">
        <f>"pgl-1"</f>
        <v>pgl-1</v>
      </c>
      <c r="B184" s="4">
        <v>1.5059876197666799</v>
      </c>
      <c r="C184" s="4">
        <v>1.2354126791241E-2</v>
      </c>
      <c r="G184" s="6" t="str">
        <f>"hil-2"</f>
        <v>hil-2</v>
      </c>
      <c r="H184" s="6">
        <v>13.2545598792482</v>
      </c>
      <c r="I184" s="6">
        <v>14.1183797691933</v>
      </c>
      <c r="J184" s="6">
        <v>14.158669902344499</v>
      </c>
      <c r="K184" s="6">
        <f t="shared" si="6"/>
        <v>13.843869850262001</v>
      </c>
      <c r="L184" s="6" t="s">
        <v>14849</v>
      </c>
      <c r="M184" s="6" t="s">
        <v>14849</v>
      </c>
      <c r="N184" s="6" t="s">
        <v>14849</v>
      </c>
      <c r="O184" s="6" t="s">
        <v>14849</v>
      </c>
    </row>
    <row r="185" spans="1:15" x14ac:dyDescent="0.2">
      <c r="A185" s="4" t="str">
        <f>"unc-23"</f>
        <v>unc-23</v>
      </c>
      <c r="B185" s="4">
        <v>1.5032972747828499</v>
      </c>
      <c r="C185" s="4">
        <v>1.5283991927514E-2</v>
      </c>
      <c r="G185" s="6" t="str">
        <f>"ipla-1"</f>
        <v>ipla-1</v>
      </c>
      <c r="H185" s="6">
        <v>14.219416626884</v>
      </c>
      <c r="I185" s="6">
        <v>13.752667560429799</v>
      </c>
      <c r="J185" s="6">
        <v>13.8241970493644</v>
      </c>
      <c r="K185" s="6">
        <f t="shared" si="6"/>
        <v>13.932093745559399</v>
      </c>
      <c r="L185" s="6" t="s">
        <v>14849</v>
      </c>
      <c r="M185" s="6" t="s">
        <v>14849</v>
      </c>
      <c r="N185" s="6" t="s">
        <v>14849</v>
      </c>
      <c r="O185" s="6" t="s">
        <v>14849</v>
      </c>
    </row>
    <row r="186" spans="1:15" x14ac:dyDescent="0.2">
      <c r="A186" s="4" t="str">
        <f>"rps-19"</f>
        <v>rps-19</v>
      </c>
      <c r="B186" s="4">
        <v>1.5009237991451601</v>
      </c>
      <c r="C186" s="4">
        <v>2.2313502331048299E-2</v>
      </c>
      <c r="G186" s="6" t="str">
        <f>"hil-5"</f>
        <v>hil-5</v>
      </c>
      <c r="H186" s="6">
        <v>13.696129895246999</v>
      </c>
      <c r="I186" s="6">
        <v>13.774018797230999</v>
      </c>
      <c r="J186" s="6">
        <v>14.3570513338771</v>
      </c>
      <c r="K186" s="6">
        <f t="shared" si="6"/>
        <v>13.942400008785034</v>
      </c>
      <c r="L186" s="6" t="s">
        <v>14849</v>
      </c>
      <c r="M186" s="6" t="s">
        <v>14849</v>
      </c>
      <c r="N186" s="6" t="s">
        <v>14849</v>
      </c>
      <c r="O186" s="6" t="s">
        <v>14849</v>
      </c>
    </row>
    <row r="187" spans="1:15" x14ac:dyDescent="0.2">
      <c r="A187" s="4" t="str">
        <f>"R09E10.5"</f>
        <v>R09E10.5</v>
      </c>
      <c r="B187" s="4">
        <v>1.49986291254391</v>
      </c>
      <c r="C187" s="4">
        <v>7.4868416853665302E-3</v>
      </c>
      <c r="G187" s="6" t="str">
        <f>"obr-4"</f>
        <v>obr-4</v>
      </c>
      <c r="H187" s="6">
        <v>14.238656589754999</v>
      </c>
      <c r="I187" s="6">
        <v>14.1059048252129</v>
      </c>
      <c r="J187" s="6">
        <v>13.7250251732953</v>
      </c>
      <c r="K187" s="6">
        <f t="shared" si="6"/>
        <v>14.023195529421066</v>
      </c>
      <c r="L187" s="6" t="s">
        <v>14849</v>
      </c>
      <c r="M187" s="6" t="s">
        <v>14849</v>
      </c>
      <c r="N187" s="6" t="s">
        <v>14849</v>
      </c>
      <c r="O187" s="6" t="s">
        <v>14849</v>
      </c>
    </row>
    <row r="188" spans="1:15" x14ac:dyDescent="0.2">
      <c r="A188" s="4" t="str">
        <f>"sma-1"</f>
        <v>sma-1</v>
      </c>
      <c r="B188" s="4">
        <v>1.4747276573877199</v>
      </c>
      <c r="C188" s="4">
        <v>8.3360821581173507E-3</v>
      </c>
      <c r="G188" s="6" t="str">
        <f>"Y53C12A.10"</f>
        <v>Y53C12A.10</v>
      </c>
      <c r="H188" s="6">
        <v>13.8661493989676</v>
      </c>
      <c r="I188" s="6">
        <v>14.1896947576281</v>
      </c>
      <c r="J188" s="6">
        <v>14.114637559579901</v>
      </c>
      <c r="K188" s="6">
        <f t="shared" si="6"/>
        <v>14.0568272387252</v>
      </c>
      <c r="L188" s="6" t="s">
        <v>14849</v>
      </c>
      <c r="M188" s="6" t="s">
        <v>14849</v>
      </c>
      <c r="N188" s="6" t="s">
        <v>14849</v>
      </c>
      <c r="O188" s="6" t="s">
        <v>14849</v>
      </c>
    </row>
    <row r="189" spans="1:15" x14ac:dyDescent="0.2">
      <c r="A189" s="4" t="str">
        <f>"col-176"</f>
        <v>col-176</v>
      </c>
      <c r="B189" s="4">
        <v>1.4679829007545</v>
      </c>
      <c r="C189" s="4">
        <v>6.2112297882375104E-3</v>
      </c>
      <c r="G189" s="6" t="str">
        <f>"C25D7.10"</f>
        <v>C25D7.10</v>
      </c>
      <c r="H189" s="6">
        <v>14.0966888376011</v>
      </c>
      <c r="I189" s="6">
        <v>13.993154252472699</v>
      </c>
      <c r="J189" s="6">
        <v>14.210128684617599</v>
      </c>
      <c r="K189" s="6">
        <f t="shared" si="6"/>
        <v>14.099990591563801</v>
      </c>
      <c r="L189" s="6" t="s">
        <v>14849</v>
      </c>
      <c r="M189" s="6" t="s">
        <v>14849</v>
      </c>
      <c r="N189" s="6" t="s">
        <v>14849</v>
      </c>
      <c r="O189" s="6" t="s">
        <v>14849</v>
      </c>
    </row>
    <row r="190" spans="1:15" x14ac:dyDescent="0.2">
      <c r="A190" s="4" t="str">
        <f>"cey-1"</f>
        <v>cey-1</v>
      </c>
      <c r="B190" s="4">
        <v>1.4658222402271199</v>
      </c>
      <c r="C190" s="4">
        <v>2.1506947926814301E-2</v>
      </c>
      <c r="G190" s="6" t="str">
        <f>"asg-1"</f>
        <v>asg-1</v>
      </c>
      <c r="H190" s="6">
        <v>14.539394741397899</v>
      </c>
      <c r="I190" s="6">
        <v>13.9519922057837</v>
      </c>
      <c r="J190" s="6">
        <v>13.809588540418799</v>
      </c>
      <c r="K190" s="6">
        <f t="shared" si="6"/>
        <v>14.100325162533466</v>
      </c>
      <c r="L190" s="6" t="s">
        <v>14849</v>
      </c>
      <c r="M190" s="6" t="s">
        <v>14849</v>
      </c>
      <c r="N190" s="6" t="s">
        <v>14849</v>
      </c>
      <c r="O190" s="6" t="s">
        <v>14849</v>
      </c>
    </row>
    <row r="191" spans="1:15" x14ac:dyDescent="0.2">
      <c r="A191" s="4" t="str">
        <f>"Y79H2A.3"</f>
        <v>Y79H2A.3</v>
      </c>
      <c r="B191" s="4">
        <v>1.4616520808270901</v>
      </c>
      <c r="C191" s="4">
        <v>1.0415414770165299E-2</v>
      </c>
      <c r="G191" s="6" t="str">
        <f>"zig-9"</f>
        <v>zig-9</v>
      </c>
      <c r="H191" s="6">
        <v>14.4893682758922</v>
      </c>
      <c r="I191" s="6">
        <v>14.1731379086775</v>
      </c>
      <c r="J191" s="6">
        <v>13.7687794429843</v>
      </c>
      <c r="K191" s="6">
        <f t="shared" si="6"/>
        <v>14.143761875851334</v>
      </c>
      <c r="L191" s="6" t="s">
        <v>14849</v>
      </c>
      <c r="M191" s="6" t="s">
        <v>14849</v>
      </c>
      <c r="N191" s="6" t="s">
        <v>14849</v>
      </c>
      <c r="O191" s="6" t="s">
        <v>14849</v>
      </c>
    </row>
    <row r="192" spans="1:15" x14ac:dyDescent="0.2">
      <c r="A192" s="4" t="str">
        <f>"num-1"</f>
        <v>num-1</v>
      </c>
      <c r="B192" s="4">
        <v>1.4443702022675899</v>
      </c>
      <c r="C192" s="4">
        <v>3.9139323106432899E-3</v>
      </c>
      <c r="G192" s="6" t="str">
        <f>"npp-19"</f>
        <v>npp-19</v>
      </c>
      <c r="H192" s="6">
        <v>14.3258560269625</v>
      </c>
      <c r="I192" s="6">
        <v>14.248531402427</v>
      </c>
      <c r="J192" s="6">
        <v>14.2096501526634</v>
      </c>
      <c r="K192" s="6">
        <f t="shared" si="6"/>
        <v>14.261345860684301</v>
      </c>
      <c r="L192" s="6" t="s">
        <v>14849</v>
      </c>
      <c r="M192" s="6" t="s">
        <v>14849</v>
      </c>
      <c r="N192" s="6" t="s">
        <v>14849</v>
      </c>
      <c r="O192" s="6" t="s">
        <v>14849</v>
      </c>
    </row>
    <row r="193" spans="1:15" x14ac:dyDescent="0.2">
      <c r="A193" s="4" t="str">
        <f>"mthf-1"</f>
        <v>mthf-1</v>
      </c>
      <c r="B193" s="4">
        <v>1.4381616165877</v>
      </c>
      <c r="C193" s="5">
        <v>9.0036584918886604E-5</v>
      </c>
      <c r="G193" s="6" t="str">
        <f>"str-176"</f>
        <v>str-176</v>
      </c>
      <c r="H193" s="6">
        <v>14.691667800415299</v>
      </c>
      <c r="I193" s="6">
        <v>14.019044334253</v>
      </c>
      <c r="J193" s="6">
        <v>14.1799997720278</v>
      </c>
      <c r="K193" s="6">
        <f t="shared" si="6"/>
        <v>14.296903968898699</v>
      </c>
      <c r="L193" s="6" t="s">
        <v>14849</v>
      </c>
      <c r="M193" s="6" t="s">
        <v>14849</v>
      </c>
      <c r="N193" s="6" t="s">
        <v>14849</v>
      </c>
      <c r="O193" s="6" t="s">
        <v>14849</v>
      </c>
    </row>
    <row r="194" spans="1:15" x14ac:dyDescent="0.2">
      <c r="A194" s="4" t="str">
        <f>"smc-4"</f>
        <v>smc-4</v>
      </c>
      <c r="B194" s="4">
        <v>1.4336982823106199</v>
      </c>
      <c r="C194" s="4">
        <v>3.3582410732508297E-2</v>
      </c>
      <c r="G194" s="6" t="str">
        <f>"T03F7.7"</f>
        <v>T03F7.7</v>
      </c>
      <c r="H194" s="6">
        <v>14.6398642680122</v>
      </c>
      <c r="I194" s="6">
        <v>14.4578407803552</v>
      </c>
      <c r="J194" s="6">
        <v>14.2634484179521</v>
      </c>
      <c r="K194" s="6">
        <f t="shared" ref="K194:K198" si="7">(H194+I194+J194)/3</f>
        <v>14.453717822106499</v>
      </c>
      <c r="L194" s="6" t="s">
        <v>14849</v>
      </c>
      <c r="M194" s="6" t="s">
        <v>14849</v>
      </c>
      <c r="N194" s="6" t="s">
        <v>14849</v>
      </c>
      <c r="O194" s="6" t="s">
        <v>14849</v>
      </c>
    </row>
    <row r="195" spans="1:15" x14ac:dyDescent="0.2">
      <c r="A195" s="4" t="str">
        <f>"frm-5.1"</f>
        <v>frm-5.1</v>
      </c>
      <c r="B195" s="4">
        <v>1.4199418722027699</v>
      </c>
      <c r="C195" s="4">
        <v>1.76141908464054E-3</v>
      </c>
      <c r="G195" s="6" t="str">
        <f>"pisy-1"</f>
        <v>pisy-1</v>
      </c>
      <c r="H195" s="6">
        <v>13.4692579277842</v>
      </c>
      <c r="I195" s="6">
        <v>15.305521444575101</v>
      </c>
      <c r="J195" s="6">
        <v>14.631689549741401</v>
      </c>
      <c r="K195" s="6">
        <f t="shared" si="7"/>
        <v>14.468822974033566</v>
      </c>
      <c r="L195" s="6" t="s">
        <v>14849</v>
      </c>
      <c r="M195" s="6" t="s">
        <v>14849</v>
      </c>
      <c r="N195" s="6" t="s">
        <v>14849</v>
      </c>
      <c r="O195" s="6" t="s">
        <v>14849</v>
      </c>
    </row>
    <row r="196" spans="1:15" x14ac:dyDescent="0.2">
      <c r="A196" s="4" t="str">
        <f>"T19C3.4"</f>
        <v>T19C3.4</v>
      </c>
      <c r="B196" s="4">
        <v>1.4182839842656301</v>
      </c>
      <c r="C196" s="4">
        <v>2.4855178509634898E-3</v>
      </c>
      <c r="G196" s="6" t="str">
        <f>"C47G2.3"</f>
        <v>C47G2.3</v>
      </c>
      <c r="H196" s="6">
        <v>15.0123781981754</v>
      </c>
      <c r="I196" s="6">
        <v>14.9619569316853</v>
      </c>
      <c r="J196" s="6">
        <v>14.5038400093822</v>
      </c>
      <c r="K196" s="6">
        <f t="shared" si="7"/>
        <v>14.826058379747634</v>
      </c>
      <c r="L196" s="6" t="s">
        <v>14849</v>
      </c>
      <c r="M196" s="6" t="s">
        <v>14849</v>
      </c>
      <c r="N196" s="6" t="s">
        <v>14849</v>
      </c>
      <c r="O196" s="6" t="s">
        <v>14849</v>
      </c>
    </row>
    <row r="197" spans="1:15" x14ac:dyDescent="0.2">
      <c r="A197" s="4" t="str">
        <f>"F09E5.3"</f>
        <v>F09E5.3</v>
      </c>
      <c r="B197" s="4">
        <v>1.4150791130239799</v>
      </c>
      <c r="C197" s="4">
        <v>2.9379828327214599E-3</v>
      </c>
      <c r="G197" s="6" t="str">
        <f>"elo-3"</f>
        <v>elo-3</v>
      </c>
      <c r="H197" s="6">
        <v>14.74854248199</v>
      </c>
      <c r="I197" s="6">
        <v>15.0510377691306</v>
      </c>
      <c r="J197" s="6">
        <v>15.186858919414</v>
      </c>
      <c r="K197" s="6">
        <f t="shared" si="7"/>
        <v>14.995479723511535</v>
      </c>
      <c r="L197" s="6" t="s">
        <v>14849</v>
      </c>
      <c r="M197" s="6" t="s">
        <v>14849</v>
      </c>
      <c r="N197" s="6" t="s">
        <v>14849</v>
      </c>
      <c r="O197" s="6" t="s">
        <v>14849</v>
      </c>
    </row>
    <row r="198" spans="1:15" x14ac:dyDescent="0.2">
      <c r="A198" s="4" t="str">
        <f>"pes-7"</f>
        <v>pes-7</v>
      </c>
      <c r="B198" s="4">
        <v>1.4124944504786501</v>
      </c>
      <c r="C198" s="4">
        <v>8.1587955389013905E-3</v>
      </c>
      <c r="G198" s="6" t="str">
        <f>"dhs-18"</f>
        <v>dhs-18</v>
      </c>
      <c r="H198" s="6">
        <v>15.113764310856901</v>
      </c>
      <c r="I198" s="6">
        <v>15.3892834014681</v>
      </c>
      <c r="J198" s="6">
        <v>14.700271461320799</v>
      </c>
      <c r="K198" s="6">
        <f t="shared" si="7"/>
        <v>15.067773057881931</v>
      </c>
      <c r="L198" s="6" t="s">
        <v>14849</v>
      </c>
      <c r="M198" s="6" t="s">
        <v>14849</v>
      </c>
      <c r="N198" s="6" t="s">
        <v>14849</v>
      </c>
      <c r="O198" s="6" t="s">
        <v>14849</v>
      </c>
    </row>
    <row r="199" spans="1:15" x14ac:dyDescent="0.2">
      <c r="A199" s="4" t="str">
        <f>"ZK524.4"</f>
        <v>ZK524.4</v>
      </c>
      <c r="B199" s="4">
        <v>1.41192757783422</v>
      </c>
      <c r="C199" s="4">
        <v>1.20310848388858E-4</v>
      </c>
    </row>
    <row r="200" spans="1:15" x14ac:dyDescent="0.2">
      <c r="A200" s="4" t="str">
        <f>"rin-1"</f>
        <v>rin-1</v>
      </c>
      <c r="B200" s="4">
        <v>1.41045426870207</v>
      </c>
      <c r="C200" s="4">
        <v>3.2847868508684E-2</v>
      </c>
    </row>
    <row r="201" spans="1:15" x14ac:dyDescent="0.2">
      <c r="A201" s="4" t="str">
        <f>"ubr-4"</f>
        <v>ubr-4</v>
      </c>
      <c r="B201" s="4">
        <v>1.40959887592862</v>
      </c>
      <c r="C201" s="4">
        <v>4.6656563179251202E-2</v>
      </c>
    </row>
    <row r="202" spans="1:15" x14ac:dyDescent="0.2">
      <c r="A202" s="4" t="str">
        <f>"ras-1"</f>
        <v>ras-1</v>
      </c>
      <c r="B202" s="4">
        <v>1.3859797657958399</v>
      </c>
      <c r="C202" s="4">
        <v>4.9312540965299897E-2</v>
      </c>
    </row>
    <row r="203" spans="1:15" x14ac:dyDescent="0.2">
      <c r="A203" s="4" t="str">
        <f>"T28C6.7"</f>
        <v>T28C6.7</v>
      </c>
      <c r="B203" s="4">
        <v>1.38485823578843</v>
      </c>
      <c r="C203" s="4">
        <v>2.9771205755991501E-2</v>
      </c>
    </row>
    <row r="204" spans="1:15" x14ac:dyDescent="0.2">
      <c r="A204" s="4" t="str">
        <f>"pxf-1"</f>
        <v>pxf-1</v>
      </c>
      <c r="B204" s="4">
        <v>1.37857299762846</v>
      </c>
      <c r="C204" s="4">
        <v>3.92511744638981E-2</v>
      </c>
    </row>
    <row r="205" spans="1:15" x14ac:dyDescent="0.2">
      <c r="A205" s="4" t="str">
        <f>"T19C4.1"</f>
        <v>T19C4.1</v>
      </c>
      <c r="B205" s="4">
        <v>1.37319567275257</v>
      </c>
      <c r="C205" s="4">
        <v>1.2105665963993699E-3</v>
      </c>
    </row>
    <row r="206" spans="1:15" x14ac:dyDescent="0.2">
      <c r="A206" s="4" t="str">
        <f>"cey-2"</f>
        <v>cey-2</v>
      </c>
      <c r="B206" s="4">
        <v>1.3692927927067999</v>
      </c>
      <c r="C206" s="4">
        <v>3.08284469174924E-2</v>
      </c>
    </row>
    <row r="207" spans="1:15" x14ac:dyDescent="0.2">
      <c r="A207" s="4" t="str">
        <f>"gld-1"</f>
        <v>gld-1</v>
      </c>
      <c r="B207" s="4">
        <v>1.36692749840439</v>
      </c>
      <c r="C207" s="4">
        <v>2.0509121015841601E-2</v>
      </c>
    </row>
    <row r="208" spans="1:15" x14ac:dyDescent="0.2">
      <c r="A208" s="4" t="str">
        <f>"rab-11.1"</f>
        <v>rab-11.1</v>
      </c>
      <c r="B208" s="4">
        <v>1.3622698631429599</v>
      </c>
      <c r="C208" s="4">
        <v>1.22774027804532E-2</v>
      </c>
    </row>
    <row r="209" spans="1:3" x14ac:dyDescent="0.2">
      <c r="A209" s="4" t="str">
        <f>"M04C9.3"</f>
        <v>M04C9.3</v>
      </c>
      <c r="B209" s="4">
        <v>1.35850367934564</v>
      </c>
      <c r="C209" s="4">
        <v>2.6978866767457901E-3</v>
      </c>
    </row>
    <row r="210" spans="1:3" x14ac:dyDescent="0.2">
      <c r="A210" s="4" t="str">
        <f>"rpl-36"</f>
        <v>rpl-36</v>
      </c>
      <c r="B210" s="4">
        <v>1.35657580595132</v>
      </c>
      <c r="C210" s="4">
        <v>1.8444667439040999E-2</v>
      </c>
    </row>
    <row r="211" spans="1:3" x14ac:dyDescent="0.2">
      <c r="A211" s="4" t="str">
        <f>"tni-1"</f>
        <v>tni-1</v>
      </c>
      <c r="B211" s="4">
        <v>1.3552287786052899</v>
      </c>
      <c r="C211" s="4">
        <v>3.0560182199990699E-2</v>
      </c>
    </row>
    <row r="212" spans="1:3" x14ac:dyDescent="0.2">
      <c r="A212" s="4" t="str">
        <f>"sftb-2"</f>
        <v>sftb-2</v>
      </c>
      <c r="B212" s="4">
        <v>1.34978205312474</v>
      </c>
      <c r="C212" s="4">
        <v>3.3157540567137399E-2</v>
      </c>
    </row>
    <row r="213" spans="1:3" x14ac:dyDescent="0.2">
      <c r="A213" s="4" t="str">
        <f>"spk-1"</f>
        <v>spk-1</v>
      </c>
      <c r="B213" s="4">
        <v>1.3497665046862299</v>
      </c>
      <c r="C213" s="4">
        <v>3.3582410732508297E-2</v>
      </c>
    </row>
    <row r="214" spans="1:3" x14ac:dyDescent="0.2">
      <c r="A214" s="4" t="str">
        <f>"W08E12.7"</f>
        <v>W08E12.7</v>
      </c>
      <c r="B214" s="4">
        <v>1.3444335675950101</v>
      </c>
      <c r="C214" s="4">
        <v>1.83318455463967E-3</v>
      </c>
    </row>
    <row r="215" spans="1:3" x14ac:dyDescent="0.2">
      <c r="A215" s="4" t="str">
        <f>"vps-52"</f>
        <v>vps-52</v>
      </c>
      <c r="B215" s="4">
        <v>1.33607877791198</v>
      </c>
      <c r="C215" s="4">
        <v>9.23023099805588E-3</v>
      </c>
    </row>
    <row r="216" spans="1:3" x14ac:dyDescent="0.2">
      <c r="A216" s="4" t="str">
        <f>"ppm-1.G"</f>
        <v>ppm-1.G</v>
      </c>
      <c r="B216" s="4">
        <v>1.3221419399182099</v>
      </c>
      <c r="C216" s="4">
        <v>7.7651251182720496E-3</v>
      </c>
    </row>
    <row r="217" spans="1:3" x14ac:dyDescent="0.2">
      <c r="A217" s="4" t="str">
        <f>"atgp-1"</f>
        <v>atgp-1</v>
      </c>
      <c r="B217" s="4">
        <v>1.31736642968312</v>
      </c>
      <c r="C217" s="4">
        <v>4.9793401782116997E-2</v>
      </c>
    </row>
    <row r="218" spans="1:3" x14ac:dyDescent="0.2">
      <c r="A218" s="4" t="str">
        <f>"chd-3"</f>
        <v>chd-3</v>
      </c>
      <c r="B218" s="4">
        <v>1.3169272277153099</v>
      </c>
      <c r="C218" s="4">
        <v>2.3990022235804799E-2</v>
      </c>
    </row>
    <row r="219" spans="1:3" x14ac:dyDescent="0.2">
      <c r="A219" s="4" t="str">
        <f>"perm-2"</f>
        <v>perm-2</v>
      </c>
      <c r="B219" s="4">
        <v>1.31668707682759</v>
      </c>
      <c r="C219" s="4">
        <v>3.2270398790157397E-2</v>
      </c>
    </row>
    <row r="220" spans="1:3" x14ac:dyDescent="0.2">
      <c r="A220" s="4" t="str">
        <f>"grl-15"</f>
        <v>grl-15</v>
      </c>
      <c r="B220" s="4">
        <v>1.30797861716124</v>
      </c>
      <c r="C220" s="4">
        <v>1.52207787812616E-2</v>
      </c>
    </row>
    <row r="221" spans="1:3" x14ac:dyDescent="0.2">
      <c r="A221" s="4" t="str">
        <f>"ifd-2"</f>
        <v>ifd-2</v>
      </c>
      <c r="B221" s="4">
        <v>1.30636360085101</v>
      </c>
      <c r="C221" s="4">
        <v>4.8924535422264298E-2</v>
      </c>
    </row>
    <row r="222" spans="1:3" x14ac:dyDescent="0.2">
      <c r="A222" s="4" t="str">
        <f>"aco-1"</f>
        <v>aco-1</v>
      </c>
      <c r="B222" s="4">
        <v>1.29972042411893</v>
      </c>
      <c r="C222" s="4">
        <v>9.9045522594653698E-4</v>
      </c>
    </row>
    <row r="223" spans="1:3" x14ac:dyDescent="0.2">
      <c r="A223" s="4" t="str">
        <f>"R08F11.4"</f>
        <v>R08F11.4</v>
      </c>
      <c r="B223" s="4">
        <v>1.2949323030236599</v>
      </c>
      <c r="C223" s="4">
        <v>4.7525143609719697E-2</v>
      </c>
    </row>
    <row r="224" spans="1:3" x14ac:dyDescent="0.2">
      <c r="A224" s="4" t="str">
        <f>"fli-1"</f>
        <v>fli-1</v>
      </c>
      <c r="B224" s="4">
        <v>1.28873093567393</v>
      </c>
      <c r="C224" s="4">
        <v>1.6432260327866401E-2</v>
      </c>
    </row>
    <row r="225" spans="1:3" x14ac:dyDescent="0.2">
      <c r="A225" s="4" t="str">
        <f>"F21C10.9"</f>
        <v>F21C10.9</v>
      </c>
      <c r="B225" s="4">
        <v>1.2830170128704299</v>
      </c>
      <c r="C225" s="4">
        <v>2.2338574349161299E-4</v>
      </c>
    </row>
    <row r="226" spans="1:3" x14ac:dyDescent="0.2">
      <c r="A226" s="4" t="str">
        <f>"sos-1"</f>
        <v>sos-1</v>
      </c>
      <c r="B226" s="4">
        <v>1.2783680819888601</v>
      </c>
      <c r="C226" s="4">
        <v>8.8892537427601292E-3</v>
      </c>
    </row>
    <row r="227" spans="1:3" x14ac:dyDescent="0.2">
      <c r="A227" s="4" t="str">
        <f>"C29F7.3"</f>
        <v>C29F7.3</v>
      </c>
      <c r="B227" s="4">
        <v>1.27669724680552</v>
      </c>
      <c r="C227" s="4">
        <v>4.41485190443808E-3</v>
      </c>
    </row>
    <row r="228" spans="1:3" x14ac:dyDescent="0.2">
      <c r="A228" s="4" t="str">
        <f>"eif-3.H"</f>
        <v>eif-3.H</v>
      </c>
      <c r="B228" s="4">
        <v>1.27055238994048</v>
      </c>
      <c r="C228" s="4">
        <v>4.5167109949895201E-2</v>
      </c>
    </row>
    <row r="229" spans="1:3" x14ac:dyDescent="0.2">
      <c r="A229" s="4" t="str">
        <f>"cmd-1"</f>
        <v>cmd-1</v>
      </c>
      <c r="B229" s="4">
        <v>1.2699432643481701</v>
      </c>
      <c r="C229" s="4">
        <v>5.1900633223088896E-3</v>
      </c>
    </row>
    <row r="230" spans="1:3" x14ac:dyDescent="0.2">
      <c r="A230" s="4" t="str">
        <f>"rde-4"</f>
        <v>rde-4</v>
      </c>
      <c r="B230" s="4">
        <v>1.26836176540683</v>
      </c>
      <c r="C230" s="4">
        <v>3.7536489672363601E-3</v>
      </c>
    </row>
    <row r="231" spans="1:3" x14ac:dyDescent="0.2">
      <c r="A231" s="4" t="str">
        <f>"met-1"</f>
        <v>met-1</v>
      </c>
      <c r="B231" s="4">
        <v>1.26386414675833</v>
      </c>
      <c r="C231" s="4">
        <v>2.9938280571776402E-2</v>
      </c>
    </row>
    <row r="232" spans="1:3" x14ac:dyDescent="0.2">
      <c r="A232" s="4" t="str">
        <f>"gakh-1"</f>
        <v>gakh-1</v>
      </c>
      <c r="B232" s="4">
        <v>1.2599904328885301</v>
      </c>
      <c r="C232" s="4">
        <v>3.8312367032298802E-2</v>
      </c>
    </row>
    <row r="233" spans="1:3" x14ac:dyDescent="0.2">
      <c r="A233" s="4" t="str">
        <f>"sec-61.G"</f>
        <v>sec-61.G</v>
      </c>
      <c r="B233" s="4">
        <v>1.2545897072877901</v>
      </c>
      <c r="C233" s="4">
        <v>1.3758405000941E-2</v>
      </c>
    </row>
    <row r="234" spans="1:3" x14ac:dyDescent="0.2">
      <c r="A234" s="4" t="str">
        <f>"let-805"</f>
        <v>let-805</v>
      </c>
      <c r="B234" s="4">
        <v>1.2453307363294299</v>
      </c>
      <c r="C234" s="4">
        <v>3.2930958299234102E-3</v>
      </c>
    </row>
    <row r="235" spans="1:3" x14ac:dyDescent="0.2">
      <c r="A235" s="4" t="str">
        <f>"Y116A8C.27"</f>
        <v>Y116A8C.27</v>
      </c>
      <c r="B235" s="4">
        <v>1.2418484568966099</v>
      </c>
      <c r="C235" s="4">
        <v>7.1309665174504001E-3</v>
      </c>
    </row>
    <row r="236" spans="1:3" x14ac:dyDescent="0.2">
      <c r="A236" s="4" t="str">
        <f>"vha-2"</f>
        <v>vha-2</v>
      </c>
      <c r="B236" s="4">
        <v>1.2370830037509499</v>
      </c>
      <c r="C236" s="4">
        <v>2.5521495453489202E-3</v>
      </c>
    </row>
    <row r="237" spans="1:3" x14ac:dyDescent="0.2">
      <c r="A237" s="4" t="str">
        <f>"dlg-1"</f>
        <v>dlg-1</v>
      </c>
      <c r="B237" s="4">
        <v>1.23156648657645</v>
      </c>
      <c r="C237" s="4">
        <v>2.36615612034023E-2</v>
      </c>
    </row>
    <row r="238" spans="1:3" x14ac:dyDescent="0.2">
      <c r="A238" s="4" t="str">
        <f>"rbm-5"</f>
        <v>rbm-5</v>
      </c>
      <c r="B238" s="4">
        <v>1.20644030124197</v>
      </c>
      <c r="C238" s="4">
        <v>3.6588214126351902E-2</v>
      </c>
    </row>
    <row r="239" spans="1:3" x14ac:dyDescent="0.2">
      <c r="A239" s="4" t="str">
        <f>"his-67"</f>
        <v>his-67</v>
      </c>
      <c r="B239" s="4">
        <v>1.2013279987380301</v>
      </c>
      <c r="C239" s="4">
        <v>2.9771205755991501E-2</v>
      </c>
    </row>
    <row r="240" spans="1:3" x14ac:dyDescent="0.2">
      <c r="A240" s="4" t="str">
        <f>"mog-4"</f>
        <v>mog-4</v>
      </c>
      <c r="B240" s="4">
        <v>1.19768389514638</v>
      </c>
      <c r="C240" s="4">
        <v>9.8891153635162596E-4</v>
      </c>
    </row>
    <row r="241" spans="1:3" x14ac:dyDescent="0.2">
      <c r="A241" s="4" t="str">
        <f>"unc-52"</f>
        <v>unc-52</v>
      </c>
      <c r="B241" s="4">
        <v>1.1856131721662699</v>
      </c>
      <c r="C241" s="4">
        <v>4.95232633494989E-2</v>
      </c>
    </row>
    <row r="242" spans="1:3" x14ac:dyDescent="0.2">
      <c r="A242" s="4" t="str">
        <f>"vha-12"</f>
        <v>vha-12</v>
      </c>
      <c r="B242" s="4">
        <v>1.1703906883489601</v>
      </c>
      <c r="C242" s="4">
        <v>1.48848611179401E-3</v>
      </c>
    </row>
    <row r="243" spans="1:3" x14ac:dyDescent="0.2">
      <c r="A243" s="4" t="str">
        <f>"T27F2.1"</f>
        <v>T27F2.1</v>
      </c>
      <c r="B243" s="4">
        <v>1.1678256745607201</v>
      </c>
      <c r="C243" s="4">
        <v>4.1608920827989497E-2</v>
      </c>
    </row>
    <row r="244" spans="1:3" x14ac:dyDescent="0.2">
      <c r="A244" s="4" t="str">
        <f>"Y39A3CL.4"</f>
        <v>Y39A3CL.4</v>
      </c>
      <c r="B244" s="4">
        <v>1.16474935818967</v>
      </c>
      <c r="C244" s="4">
        <v>2.8043615794078598E-3</v>
      </c>
    </row>
    <row r="245" spans="1:3" x14ac:dyDescent="0.2">
      <c r="A245" s="4" t="str">
        <f>"tbg-1"</f>
        <v>tbg-1</v>
      </c>
      <c r="B245" s="4">
        <v>1.1645306633515899</v>
      </c>
      <c r="C245" s="4">
        <v>3.1471092896417502E-2</v>
      </c>
    </row>
    <row r="246" spans="1:3" x14ac:dyDescent="0.2">
      <c r="A246" s="4" t="str">
        <f>"F40F8.11"</f>
        <v>F40F8.11</v>
      </c>
      <c r="B246" s="4">
        <v>1.1633349416730101</v>
      </c>
      <c r="C246" s="4">
        <v>6.7486769607727004E-4</v>
      </c>
    </row>
    <row r="247" spans="1:3" x14ac:dyDescent="0.2">
      <c r="A247" s="4" t="str">
        <f>"bca-1"</f>
        <v>bca-1</v>
      </c>
      <c r="B247" s="4">
        <v>1.1582575418913601</v>
      </c>
      <c r="C247" s="4">
        <v>4.7003724886708403E-3</v>
      </c>
    </row>
    <row r="248" spans="1:3" x14ac:dyDescent="0.2">
      <c r="A248" s="4" t="str">
        <f>"cisd-1"</f>
        <v>cisd-1</v>
      </c>
      <c r="B248" s="4">
        <v>1.1531105181590999</v>
      </c>
      <c r="C248" s="4">
        <v>8.3503243497168693E-3</v>
      </c>
    </row>
    <row r="249" spans="1:3" x14ac:dyDescent="0.2">
      <c r="A249" s="4" t="str">
        <f>"lmn-1"</f>
        <v>lmn-1</v>
      </c>
      <c r="B249" s="4">
        <v>1.14410149612611</v>
      </c>
      <c r="C249" s="4">
        <v>1.7478949345005101E-2</v>
      </c>
    </row>
    <row r="250" spans="1:3" x14ac:dyDescent="0.2">
      <c r="A250" s="4" t="str">
        <f>"ctg-1"</f>
        <v>ctg-1</v>
      </c>
      <c r="B250" s="4">
        <v>1.14370329529319</v>
      </c>
      <c r="C250" s="4">
        <v>1.12824414329752E-2</v>
      </c>
    </row>
    <row r="251" spans="1:3" x14ac:dyDescent="0.2">
      <c r="A251" s="4" t="str">
        <f>"F10G7.10"</f>
        <v>F10G7.10</v>
      </c>
      <c r="B251" s="4">
        <v>1.14267934110081</v>
      </c>
      <c r="C251" s="4">
        <v>9.2137062619260506E-3</v>
      </c>
    </row>
    <row r="252" spans="1:3" x14ac:dyDescent="0.2">
      <c r="A252" s="4" t="str">
        <f>"mup-4"</f>
        <v>mup-4</v>
      </c>
      <c r="B252" s="4">
        <v>1.1372109901505301</v>
      </c>
      <c r="C252" s="4">
        <v>8.0185432682933992E-3</v>
      </c>
    </row>
    <row r="253" spans="1:3" x14ac:dyDescent="0.2">
      <c r="A253" s="4" t="str">
        <f>"dpy-11"</f>
        <v>dpy-11</v>
      </c>
      <c r="B253" s="4">
        <v>1.1283948026727899</v>
      </c>
      <c r="C253" s="4">
        <v>2.7131327332198099E-2</v>
      </c>
    </row>
    <row r="254" spans="1:3" x14ac:dyDescent="0.2">
      <c r="A254" s="4" t="str">
        <f>"uaf-1"</f>
        <v>uaf-1</v>
      </c>
      <c r="B254" s="4">
        <v>1.12816208220056</v>
      </c>
      <c r="C254" s="4">
        <v>2.76914968730997E-2</v>
      </c>
    </row>
    <row r="255" spans="1:3" x14ac:dyDescent="0.2">
      <c r="A255" s="4" t="str">
        <f>"mdt-6"</f>
        <v>mdt-6</v>
      </c>
      <c r="B255" s="4">
        <v>1.1241002195473899</v>
      </c>
      <c r="C255" s="4">
        <v>1.9450336371832602E-2</v>
      </c>
    </row>
    <row r="256" spans="1:3" x14ac:dyDescent="0.2">
      <c r="A256" s="4" t="str">
        <f>"cyn-7"</f>
        <v>cyn-7</v>
      </c>
      <c r="B256" s="4">
        <v>1.1139746596139299</v>
      </c>
      <c r="C256" s="4">
        <v>1.9457398206253598E-2</v>
      </c>
    </row>
    <row r="257" spans="1:3" x14ac:dyDescent="0.2">
      <c r="A257" s="4" t="str">
        <f>"R07E4.1"</f>
        <v>R07E4.1</v>
      </c>
      <c r="B257" s="4">
        <v>1.1090230798840801</v>
      </c>
      <c r="C257" s="4">
        <v>4.5183143788345002E-2</v>
      </c>
    </row>
    <row r="258" spans="1:3" x14ac:dyDescent="0.2">
      <c r="A258" s="4" t="str">
        <f>"uba-1"</f>
        <v>uba-1</v>
      </c>
      <c r="B258" s="4">
        <v>1.1049654347134401</v>
      </c>
      <c r="C258" s="4">
        <v>5.1955277365305598E-3</v>
      </c>
    </row>
    <row r="259" spans="1:3" x14ac:dyDescent="0.2">
      <c r="A259" s="4" t="str">
        <f>"F25E5.5"</f>
        <v>F25E5.5</v>
      </c>
      <c r="B259" s="4">
        <v>1.09076090823918</v>
      </c>
      <c r="C259" s="4">
        <v>5.5678240760066002E-3</v>
      </c>
    </row>
    <row r="260" spans="1:3" x14ac:dyDescent="0.2">
      <c r="A260" s="4" t="str">
        <f>"prdx-3"</f>
        <v>prdx-3</v>
      </c>
      <c r="B260" s="4">
        <v>1.0893174325759201</v>
      </c>
      <c r="C260" s="4">
        <v>2.9938280571776402E-2</v>
      </c>
    </row>
    <row r="261" spans="1:3" x14ac:dyDescent="0.2">
      <c r="A261" s="4" t="str">
        <f>"tiar-1"</f>
        <v>tiar-1</v>
      </c>
      <c r="B261" s="4">
        <v>1.08878198301347</v>
      </c>
      <c r="C261" s="4">
        <v>2.9379828327214599E-3</v>
      </c>
    </row>
    <row r="262" spans="1:3" x14ac:dyDescent="0.2">
      <c r="A262" s="4" t="str">
        <f>"ctc-2"</f>
        <v>ctc-2</v>
      </c>
      <c r="B262" s="4">
        <v>1.08442540590976</v>
      </c>
      <c r="C262" s="4">
        <v>4.1579800614096399E-3</v>
      </c>
    </row>
    <row r="263" spans="1:3" x14ac:dyDescent="0.2">
      <c r="A263" s="4" t="str">
        <f>"urb-1"</f>
        <v>urb-1</v>
      </c>
      <c r="B263" s="4">
        <v>1.0818421265928599</v>
      </c>
      <c r="C263" s="4">
        <v>2.8690833456212299E-2</v>
      </c>
    </row>
    <row r="264" spans="1:3" x14ac:dyDescent="0.2">
      <c r="A264" s="4" t="str">
        <f>"hum-2"</f>
        <v>hum-2</v>
      </c>
      <c r="B264" s="4">
        <v>1.08113546291978</v>
      </c>
      <c r="C264" s="4">
        <v>2.0766344536925999E-2</v>
      </c>
    </row>
    <row r="265" spans="1:3" x14ac:dyDescent="0.2">
      <c r="A265" s="4" t="str">
        <f>"ppm-1.A"</f>
        <v>ppm-1.A</v>
      </c>
      <c r="B265" s="4">
        <v>1.0797162785907799</v>
      </c>
      <c r="C265" s="4">
        <v>4.7966827892662302E-2</v>
      </c>
    </row>
    <row r="266" spans="1:3" x14ac:dyDescent="0.2">
      <c r="A266" s="4" t="str">
        <f>"F38A1.8"</f>
        <v>F38A1.8</v>
      </c>
      <c r="B266" s="4">
        <v>1.06281332385542</v>
      </c>
      <c r="C266" s="4">
        <v>1.6976415843154499E-3</v>
      </c>
    </row>
    <row r="267" spans="1:3" x14ac:dyDescent="0.2">
      <c r="A267" s="4" t="str">
        <f>"emb-9"</f>
        <v>emb-9</v>
      </c>
      <c r="B267" s="4">
        <v>1.0621766859544399</v>
      </c>
      <c r="C267" s="4">
        <v>4.6130897971393497E-2</v>
      </c>
    </row>
    <row r="268" spans="1:3" x14ac:dyDescent="0.2">
      <c r="A268" s="4" t="str">
        <f>"mel-32"</f>
        <v>mel-32</v>
      </c>
      <c r="B268" s="4">
        <v>1.0619546045641699</v>
      </c>
      <c r="C268" s="4">
        <v>1.6555976426806299E-2</v>
      </c>
    </row>
    <row r="269" spans="1:3" x14ac:dyDescent="0.2">
      <c r="A269" s="4" t="str">
        <f>"cts-1"</f>
        <v>cts-1</v>
      </c>
      <c r="B269" s="4">
        <v>1.06141256066004</v>
      </c>
      <c r="C269" s="4">
        <v>1.43076139298721E-2</v>
      </c>
    </row>
    <row r="270" spans="1:3" x14ac:dyDescent="0.2">
      <c r="A270" s="4" t="str">
        <f>"Y48G1A.1"</f>
        <v>Y48G1A.1</v>
      </c>
      <c r="B270" s="4">
        <v>1.04198949357258</v>
      </c>
      <c r="C270" s="4">
        <v>4.41485190443808E-3</v>
      </c>
    </row>
    <row r="271" spans="1:3" x14ac:dyDescent="0.2">
      <c r="A271" s="4" t="str">
        <f>"gsp-1"</f>
        <v>gsp-1</v>
      </c>
      <c r="B271" s="4">
        <v>1.0385404671906699</v>
      </c>
      <c r="C271" s="4">
        <v>1.87912956129119E-3</v>
      </c>
    </row>
    <row r="272" spans="1:3" x14ac:dyDescent="0.2">
      <c r="A272" s="4" t="str">
        <f>"ints-8"</f>
        <v>ints-8</v>
      </c>
      <c r="B272" s="4">
        <v>1.03251975956917</v>
      </c>
      <c r="C272" s="4">
        <v>2.1023759702520298E-3</v>
      </c>
    </row>
    <row r="273" spans="1:3" x14ac:dyDescent="0.2">
      <c r="A273" s="4" t="str">
        <f>"deps-1"</f>
        <v>deps-1</v>
      </c>
      <c r="B273" s="4">
        <v>1.0283856214612801</v>
      </c>
      <c r="C273" s="4">
        <v>1.43076139298721E-2</v>
      </c>
    </row>
    <row r="274" spans="1:3" x14ac:dyDescent="0.2">
      <c r="A274" s="4" t="str">
        <f>"praf-3"</f>
        <v>praf-3</v>
      </c>
      <c r="B274" s="4">
        <v>1.02717763176203</v>
      </c>
      <c r="C274" s="4">
        <v>4.6247671852228202E-2</v>
      </c>
    </row>
    <row r="275" spans="1:3" x14ac:dyDescent="0.2">
      <c r="A275" s="4" t="str">
        <f>"hsp-60"</f>
        <v>hsp-60</v>
      </c>
      <c r="B275" s="4">
        <v>1.0218838053822801</v>
      </c>
      <c r="C275" s="4">
        <v>3.72826902231305E-2</v>
      </c>
    </row>
    <row r="276" spans="1:3" x14ac:dyDescent="0.2">
      <c r="A276" s="4" t="str">
        <f>"pmk-3"</f>
        <v>pmk-3</v>
      </c>
      <c r="B276" s="4">
        <v>1.01554749641325</v>
      </c>
      <c r="C276" s="4">
        <v>1.47379306113989E-2</v>
      </c>
    </row>
    <row r="277" spans="1:3" x14ac:dyDescent="0.2">
      <c r="A277" s="4" t="str">
        <f>"lam-1"</f>
        <v>lam-1</v>
      </c>
      <c r="B277" s="4">
        <v>1.0073853271686799</v>
      </c>
      <c r="C277" s="4">
        <v>4.2734197988310903E-3</v>
      </c>
    </row>
    <row r="278" spans="1:3" x14ac:dyDescent="0.2">
      <c r="A278" s="4" t="str">
        <f>"daf-22"</f>
        <v>daf-22</v>
      </c>
      <c r="B278" s="4">
        <v>1.0037916362613499</v>
      </c>
      <c r="C278" s="4">
        <v>3.1838418862921701E-3</v>
      </c>
    </row>
    <row r="279" spans="1:3" x14ac:dyDescent="0.2">
      <c r="A279" s="4" t="str">
        <f>"aakg-1"</f>
        <v>aakg-1</v>
      </c>
      <c r="B279" s="4">
        <v>1.00121645737886</v>
      </c>
      <c r="C279" s="4">
        <v>2.9418509131211301E-2</v>
      </c>
    </row>
    <row r="280" spans="1:3" x14ac:dyDescent="0.2">
      <c r="A280" s="6" t="str">
        <f>"pnk-1"</f>
        <v>pnk-1</v>
      </c>
      <c r="B280" s="6">
        <v>-1.00299029632017</v>
      </c>
      <c r="C280" s="6">
        <v>1.83178890249368E-2</v>
      </c>
    </row>
    <row r="281" spans="1:3" x14ac:dyDescent="0.2">
      <c r="A281" s="6" t="str">
        <f>"arx-3"</f>
        <v>arx-3</v>
      </c>
      <c r="B281" s="6">
        <v>-1.0043408334958801</v>
      </c>
      <c r="C281" s="6">
        <v>2.52661558351416E-3</v>
      </c>
    </row>
    <row r="282" spans="1:3" x14ac:dyDescent="0.2">
      <c r="A282" s="6" t="str">
        <f>"E02H9.3"</f>
        <v>E02H9.3</v>
      </c>
      <c r="B282" s="6">
        <v>-1.00453886357483</v>
      </c>
      <c r="C282" s="6">
        <v>3.4491205203267199E-2</v>
      </c>
    </row>
    <row r="283" spans="1:3" x14ac:dyDescent="0.2">
      <c r="A283" s="6" t="str">
        <f>"F25H2.4"</f>
        <v>F25H2.4</v>
      </c>
      <c r="B283" s="6">
        <v>-1.00469586864621</v>
      </c>
      <c r="C283" s="6">
        <v>1.9758002442758398E-3</v>
      </c>
    </row>
    <row r="284" spans="1:3" x14ac:dyDescent="0.2">
      <c r="A284" s="6" t="str">
        <f>"mcu-1"</f>
        <v>mcu-1</v>
      </c>
      <c r="B284" s="6">
        <v>-1.00951289595442</v>
      </c>
      <c r="C284" s="6">
        <v>3.3709898414176202E-2</v>
      </c>
    </row>
    <row r="285" spans="1:3" x14ac:dyDescent="0.2">
      <c r="A285" s="6" t="str">
        <f>"pqn-53"</f>
        <v>pqn-53</v>
      </c>
      <c r="B285" s="6">
        <v>-1.0103415746036899</v>
      </c>
      <c r="C285" s="6">
        <v>1.12824414329752E-2</v>
      </c>
    </row>
    <row r="286" spans="1:3" x14ac:dyDescent="0.2">
      <c r="A286" s="6" t="str">
        <f>"gdi-1"</f>
        <v>gdi-1</v>
      </c>
      <c r="B286" s="6">
        <v>-1.0213144813622801</v>
      </c>
      <c r="C286" s="6">
        <v>4.6111825820615397E-2</v>
      </c>
    </row>
    <row r="287" spans="1:3" x14ac:dyDescent="0.2">
      <c r="A287" s="6" t="str">
        <f>"mrps-5"</f>
        <v>mrps-5</v>
      </c>
      <c r="B287" s="6">
        <v>-1.0214764420962501</v>
      </c>
      <c r="C287" s="6">
        <v>8.0185432682933992E-3</v>
      </c>
    </row>
    <row r="288" spans="1:3" x14ac:dyDescent="0.2">
      <c r="A288" s="6" t="str">
        <f>"tba-7"</f>
        <v>tba-7</v>
      </c>
      <c r="B288" s="6">
        <v>-1.0262419384570001</v>
      </c>
      <c r="C288" s="6">
        <v>1.5283991927514E-2</v>
      </c>
    </row>
    <row r="289" spans="1:3" x14ac:dyDescent="0.2">
      <c r="A289" s="6" t="str">
        <f>"henn-1"</f>
        <v>henn-1</v>
      </c>
      <c r="B289" s="6">
        <v>-1.0296311580781801</v>
      </c>
      <c r="C289" s="6">
        <v>4.5479154824887499E-2</v>
      </c>
    </row>
    <row r="290" spans="1:3" x14ac:dyDescent="0.2">
      <c r="A290" s="6" t="str">
        <f>"sago-2"</f>
        <v>sago-2</v>
      </c>
      <c r="B290" s="6">
        <v>-1.0373561873734101</v>
      </c>
      <c r="C290" s="6">
        <v>4.1778474063090501E-2</v>
      </c>
    </row>
    <row r="291" spans="1:3" x14ac:dyDescent="0.2">
      <c r="A291" s="6" t="str">
        <f>"rpl-20"</f>
        <v>rpl-20</v>
      </c>
      <c r="B291" s="6">
        <v>-1.03929580401082</v>
      </c>
      <c r="C291" s="6">
        <v>4.5519084739580301E-4</v>
      </c>
    </row>
    <row r="292" spans="1:3" x14ac:dyDescent="0.2">
      <c r="A292" s="6" t="str">
        <f>"cdc-73"</f>
        <v>cdc-73</v>
      </c>
      <c r="B292" s="6">
        <v>-1.05025021256077</v>
      </c>
      <c r="C292" s="6">
        <v>4.6114804057809898E-3</v>
      </c>
    </row>
    <row r="293" spans="1:3" x14ac:dyDescent="0.2">
      <c r="A293" s="6" t="str">
        <f>"rpl-23"</f>
        <v>rpl-23</v>
      </c>
      <c r="B293" s="6">
        <v>-1.05320288485238</v>
      </c>
      <c r="C293" s="6">
        <v>9.5143674049397305E-4</v>
      </c>
    </row>
    <row r="294" spans="1:3" x14ac:dyDescent="0.2">
      <c r="A294" s="6" t="str">
        <f>"R07E4.5"</f>
        <v>R07E4.5</v>
      </c>
      <c r="B294" s="6">
        <v>-1.0565131400236101</v>
      </c>
      <c r="C294" s="6">
        <v>2.9356637194350901E-2</v>
      </c>
    </row>
    <row r="295" spans="1:3" x14ac:dyDescent="0.2">
      <c r="A295" s="6" t="str">
        <f>"C53D6.7"</f>
        <v>C53D6.7</v>
      </c>
      <c r="B295" s="6">
        <v>-1.05890009177361</v>
      </c>
      <c r="C295" s="6">
        <v>3.0934683204116601E-3</v>
      </c>
    </row>
    <row r="296" spans="1:3" x14ac:dyDescent="0.2">
      <c r="A296" s="6" t="str">
        <f>"T02H6.1"</f>
        <v>T02H6.1</v>
      </c>
      <c r="B296" s="6">
        <v>-1.0636814227664</v>
      </c>
      <c r="C296" s="6">
        <v>6.9407962854094504E-3</v>
      </c>
    </row>
    <row r="297" spans="1:3" x14ac:dyDescent="0.2">
      <c r="A297" s="6" t="str">
        <f>"aho-3"</f>
        <v>aho-3</v>
      </c>
      <c r="B297" s="6">
        <v>-1.06403280081471</v>
      </c>
      <c r="C297" s="6">
        <v>3.6089022582793298E-2</v>
      </c>
    </row>
    <row r="298" spans="1:3" x14ac:dyDescent="0.2">
      <c r="A298" s="6" t="str">
        <f>"dpy-22"</f>
        <v>dpy-22</v>
      </c>
      <c r="B298" s="6">
        <v>-1.06433043861184</v>
      </c>
      <c r="C298" s="6">
        <v>2.2313502331048299E-2</v>
      </c>
    </row>
    <row r="299" spans="1:3" x14ac:dyDescent="0.2">
      <c r="A299" s="6" t="str">
        <f>"tric-1B.1"</f>
        <v>tric-1B.1</v>
      </c>
      <c r="B299" s="6">
        <v>-1.06799219386293</v>
      </c>
      <c r="C299" s="6">
        <v>6.5921753272863402E-4</v>
      </c>
    </row>
    <row r="300" spans="1:3" x14ac:dyDescent="0.2">
      <c r="A300" s="6" t="str">
        <f>"F54E12.2"</f>
        <v>F54E12.2</v>
      </c>
      <c r="B300" s="6">
        <v>-1.0695775694960901</v>
      </c>
      <c r="C300" s="6">
        <v>1.61330220430329E-2</v>
      </c>
    </row>
    <row r="301" spans="1:3" x14ac:dyDescent="0.2">
      <c r="A301" s="6" t="str">
        <f>"aqp-7"</f>
        <v>aqp-7</v>
      </c>
      <c r="B301" s="6">
        <v>-1.07181728432387</v>
      </c>
      <c r="C301" s="6">
        <v>2.1224777643733499E-4</v>
      </c>
    </row>
    <row r="302" spans="1:3" x14ac:dyDescent="0.2">
      <c r="A302" s="6" t="str">
        <f>"C35D10.10"</f>
        <v>C35D10.10</v>
      </c>
      <c r="B302" s="6">
        <v>-1.07317249151618</v>
      </c>
      <c r="C302" s="6">
        <v>1.0706068511671401E-2</v>
      </c>
    </row>
    <row r="303" spans="1:3" x14ac:dyDescent="0.2">
      <c r="A303" s="6" t="str">
        <f>"gei-1"</f>
        <v>gei-1</v>
      </c>
      <c r="B303" s="6">
        <v>-1.0731889727148101</v>
      </c>
      <c r="C303" s="6">
        <v>8.7231982858021698E-3</v>
      </c>
    </row>
    <row r="304" spans="1:3" x14ac:dyDescent="0.2">
      <c r="A304" s="6" t="str">
        <f>"rps-22"</f>
        <v>rps-22</v>
      </c>
      <c r="B304" s="6">
        <v>-1.0763501815307399</v>
      </c>
      <c r="C304" s="6">
        <v>7.1207578400265797E-3</v>
      </c>
    </row>
    <row r="305" spans="1:3" x14ac:dyDescent="0.2">
      <c r="A305" s="6" t="str">
        <f>"C26C6.9"</f>
        <v>C26C6.9</v>
      </c>
      <c r="B305" s="6">
        <v>-1.0796059218670599</v>
      </c>
      <c r="C305" s="6">
        <v>1.94295996061866E-2</v>
      </c>
    </row>
    <row r="306" spans="1:3" x14ac:dyDescent="0.2">
      <c r="A306" s="6" t="str">
        <f>"F53F8.5"</f>
        <v>F53F8.5</v>
      </c>
      <c r="B306" s="6">
        <v>-1.0797291113277301</v>
      </c>
      <c r="C306" s="6">
        <v>2.9124440742554999E-3</v>
      </c>
    </row>
    <row r="307" spans="1:3" x14ac:dyDescent="0.2">
      <c r="A307" s="6" t="str">
        <f>"mrpl-15"</f>
        <v>mrpl-15</v>
      </c>
      <c r="B307" s="6">
        <v>-1.08329808825237</v>
      </c>
      <c r="C307" s="6">
        <v>6.2685166177346204E-3</v>
      </c>
    </row>
    <row r="308" spans="1:3" x14ac:dyDescent="0.2">
      <c r="A308" s="6" t="str">
        <f>"gtbp-1"</f>
        <v>gtbp-1</v>
      </c>
      <c r="B308" s="6">
        <v>-1.0835138403912099</v>
      </c>
      <c r="C308" s="6">
        <v>2.3122158409843999E-2</v>
      </c>
    </row>
    <row r="309" spans="1:3" x14ac:dyDescent="0.2">
      <c r="A309" s="6" t="str">
        <f>"F07A11.4"</f>
        <v>F07A11.4</v>
      </c>
      <c r="B309" s="6">
        <v>-1.0925238294302499</v>
      </c>
      <c r="C309" s="6">
        <v>3.5385329024913998E-3</v>
      </c>
    </row>
    <row r="310" spans="1:3" x14ac:dyDescent="0.2">
      <c r="A310" s="6" t="str">
        <f>"C49A9.9"</f>
        <v>C49A9.9</v>
      </c>
      <c r="B310" s="6">
        <v>-1.0952157565557299</v>
      </c>
      <c r="C310" s="6">
        <v>6.5714985983903402E-3</v>
      </c>
    </row>
    <row r="311" spans="1:3" x14ac:dyDescent="0.2">
      <c r="A311" s="6" t="str">
        <f>"Y54F10AL.1"</f>
        <v>Y54F10AL.1</v>
      </c>
      <c r="B311" s="6">
        <v>-1.1010300041755201</v>
      </c>
      <c r="C311" s="6">
        <v>1.2294247382540801E-3</v>
      </c>
    </row>
    <row r="312" spans="1:3" x14ac:dyDescent="0.2">
      <c r="A312" s="6" t="str">
        <f>"prmt-1"</f>
        <v>prmt-1</v>
      </c>
      <c r="B312" s="6">
        <v>-1.1011788984578099</v>
      </c>
      <c r="C312" s="6">
        <v>4.7891761149098398E-2</v>
      </c>
    </row>
    <row r="313" spans="1:3" x14ac:dyDescent="0.2">
      <c r="A313" s="6" t="str">
        <f>"hpo-8"</f>
        <v>hpo-8</v>
      </c>
      <c r="B313" s="6">
        <v>-1.1019893219036201</v>
      </c>
      <c r="C313" s="6">
        <v>1.9014871258724201E-2</v>
      </c>
    </row>
    <row r="314" spans="1:3" x14ac:dyDescent="0.2">
      <c r="A314" s="6" t="str">
        <f>"F53B3.6"</f>
        <v>F53B3.6</v>
      </c>
      <c r="B314" s="6">
        <v>-1.1029521657424199</v>
      </c>
      <c r="C314" s="6">
        <v>4.8187283335833697E-3</v>
      </c>
    </row>
    <row r="315" spans="1:3" x14ac:dyDescent="0.2">
      <c r="A315" s="6" t="str">
        <f>"pigm-1"</f>
        <v>pigm-1</v>
      </c>
      <c r="B315" s="6">
        <v>-1.10302749714618</v>
      </c>
      <c r="C315" s="6">
        <v>3.7522230675578097E-2</v>
      </c>
    </row>
    <row r="316" spans="1:3" x14ac:dyDescent="0.2">
      <c r="A316" s="6" t="str">
        <f>"mrp-7"</f>
        <v>mrp-7</v>
      </c>
      <c r="B316" s="6">
        <v>-1.1061682779973101</v>
      </c>
      <c r="C316" s="6">
        <v>4.9390741751178399E-2</v>
      </c>
    </row>
    <row r="317" spans="1:3" x14ac:dyDescent="0.2">
      <c r="A317" s="6" t="str">
        <f>"dhs-30"</f>
        <v>dhs-30</v>
      </c>
      <c r="B317" s="6">
        <v>-1.1098867640143499</v>
      </c>
      <c r="C317" s="6">
        <v>1.12219333121113E-3</v>
      </c>
    </row>
    <row r="318" spans="1:3" x14ac:dyDescent="0.2">
      <c r="A318" s="6" t="str">
        <f>"sel-11"</f>
        <v>sel-11</v>
      </c>
      <c r="B318" s="6">
        <v>-1.11255481492799</v>
      </c>
      <c r="C318" s="6">
        <v>7.6407070542254098E-3</v>
      </c>
    </row>
    <row r="319" spans="1:3" x14ac:dyDescent="0.2">
      <c r="A319" s="6" t="str">
        <f>"folt-2"</f>
        <v>folt-2</v>
      </c>
      <c r="B319" s="6">
        <v>-1.1220597741140701</v>
      </c>
      <c r="C319" s="6">
        <v>6.2156645229130504E-4</v>
      </c>
    </row>
    <row r="320" spans="1:3" x14ac:dyDescent="0.2">
      <c r="A320" s="6" t="str">
        <f>"rbm-34"</f>
        <v>rbm-34</v>
      </c>
      <c r="B320" s="6">
        <v>-1.14217670053239</v>
      </c>
      <c r="C320" s="6">
        <v>4.9751653115147301E-2</v>
      </c>
    </row>
    <row r="321" spans="1:3" x14ac:dyDescent="0.2">
      <c r="A321" s="6" t="str">
        <f>"hrpk-1"</f>
        <v>hrpk-1</v>
      </c>
      <c r="B321" s="6">
        <v>-1.14264175609712</v>
      </c>
      <c r="C321" s="6">
        <v>3.7536489672363601E-3</v>
      </c>
    </row>
    <row r="322" spans="1:3" x14ac:dyDescent="0.2">
      <c r="A322" s="6" t="str">
        <f>"mrps-22"</f>
        <v>mrps-22</v>
      </c>
      <c r="B322" s="6">
        <v>-1.1553016424295901</v>
      </c>
      <c r="C322" s="6">
        <v>1.4679711587318801E-3</v>
      </c>
    </row>
    <row r="323" spans="1:3" x14ac:dyDescent="0.2">
      <c r="A323" s="6" t="str">
        <f>"T12D8.9"</f>
        <v>T12D8.9</v>
      </c>
      <c r="B323" s="6">
        <v>-1.16480005682236</v>
      </c>
      <c r="C323" s="6">
        <v>2.1211465069209599E-2</v>
      </c>
    </row>
    <row r="324" spans="1:3" x14ac:dyDescent="0.2">
      <c r="A324" s="6" t="str">
        <f>"maph-1.1"</f>
        <v>maph-1.1</v>
      </c>
      <c r="B324" s="6">
        <v>-1.1669778725784099</v>
      </c>
      <c r="C324" s="6">
        <v>1.12824414329752E-2</v>
      </c>
    </row>
    <row r="325" spans="1:3" x14ac:dyDescent="0.2">
      <c r="A325" s="6" t="str">
        <f>"rps-27"</f>
        <v>rps-27</v>
      </c>
      <c r="B325" s="6">
        <v>-1.1785686790819101</v>
      </c>
      <c r="C325" s="6">
        <v>1.05555032805218E-4</v>
      </c>
    </row>
    <row r="326" spans="1:3" x14ac:dyDescent="0.2">
      <c r="A326" s="6" t="str">
        <f>"daz-1"</f>
        <v>daz-1</v>
      </c>
      <c r="B326" s="6">
        <v>-1.19191796323266</v>
      </c>
      <c r="C326" s="6">
        <v>1.21167219329117E-2</v>
      </c>
    </row>
    <row r="327" spans="1:3" x14ac:dyDescent="0.2">
      <c r="A327" s="6" t="str">
        <f>"Y71H2AM.3"</f>
        <v>Y71H2AM.3</v>
      </c>
      <c r="B327" s="6">
        <v>-1.1943808764914901</v>
      </c>
      <c r="C327" s="6">
        <v>2.01184071145136E-3</v>
      </c>
    </row>
    <row r="328" spans="1:3" x14ac:dyDescent="0.2">
      <c r="A328" s="6" t="str">
        <f>"Y87G2A.19"</f>
        <v>Y87G2A.19</v>
      </c>
      <c r="B328" s="6">
        <v>-1.19701747009344</v>
      </c>
      <c r="C328" s="6">
        <v>3.9516913795813603E-2</v>
      </c>
    </row>
    <row r="329" spans="1:3" x14ac:dyDescent="0.2">
      <c r="A329" s="6" t="str">
        <f>"gtf-2h3"</f>
        <v>gtf-2h3</v>
      </c>
      <c r="B329" s="6">
        <v>-1.1984113170703901</v>
      </c>
      <c r="C329" s="6">
        <v>3.4196448044093802E-2</v>
      </c>
    </row>
    <row r="330" spans="1:3" x14ac:dyDescent="0.2">
      <c r="A330" s="6" t="str">
        <f>"ZK1010.2"</f>
        <v>ZK1010.2</v>
      </c>
      <c r="B330" s="6">
        <v>-1.19860371705902</v>
      </c>
      <c r="C330" s="6">
        <v>2.2313502331048299E-2</v>
      </c>
    </row>
    <row r="331" spans="1:3" x14ac:dyDescent="0.2">
      <c r="A331" s="6" t="str">
        <f>"mpc-2"</f>
        <v>mpc-2</v>
      </c>
      <c r="B331" s="6">
        <v>-1.2000518734911501</v>
      </c>
      <c r="C331" s="34">
        <v>6.4713441451260897E-5</v>
      </c>
    </row>
    <row r="332" spans="1:3" x14ac:dyDescent="0.2">
      <c r="A332" s="6" t="str">
        <f>"pri-1"</f>
        <v>pri-1</v>
      </c>
      <c r="B332" s="6">
        <v>-1.21067946022599</v>
      </c>
      <c r="C332" s="6">
        <v>3.26256770206814E-2</v>
      </c>
    </row>
    <row r="333" spans="1:3" x14ac:dyDescent="0.2">
      <c r="A333" s="6" t="str">
        <f>"sart-3"</f>
        <v>sart-3</v>
      </c>
      <c r="B333" s="6">
        <v>-1.2144176417877699</v>
      </c>
      <c r="C333" s="6">
        <v>4.63445023744019E-4</v>
      </c>
    </row>
    <row r="334" spans="1:3" x14ac:dyDescent="0.2">
      <c r="A334" s="6" t="str">
        <f>"tin-44"</f>
        <v>tin-44</v>
      </c>
      <c r="B334" s="6">
        <v>-1.2153817817224399</v>
      </c>
      <c r="C334" s="6">
        <v>3.4795121776420401E-3</v>
      </c>
    </row>
    <row r="335" spans="1:3" x14ac:dyDescent="0.2">
      <c r="A335" s="6" t="str">
        <f>"rpl-34"</f>
        <v>rpl-34</v>
      </c>
      <c r="B335" s="6">
        <v>-1.22173487537929</v>
      </c>
      <c r="C335" s="6">
        <v>6.7201945373657397E-4</v>
      </c>
    </row>
    <row r="336" spans="1:3" x14ac:dyDescent="0.2">
      <c r="A336" s="6" t="str">
        <f>"mec-17"</f>
        <v>mec-17</v>
      </c>
      <c r="B336" s="6">
        <v>-1.2303791804114099</v>
      </c>
      <c r="C336" s="6">
        <v>3.7961864253117602E-3</v>
      </c>
    </row>
    <row r="337" spans="1:3" x14ac:dyDescent="0.2">
      <c r="A337" s="6" t="str">
        <f>"C27B7.5"</f>
        <v>C27B7.5</v>
      </c>
      <c r="B337" s="6">
        <v>-1.2462562851858701</v>
      </c>
      <c r="C337" s="6">
        <v>3.2794193216957399E-3</v>
      </c>
    </row>
    <row r="338" spans="1:3" x14ac:dyDescent="0.2">
      <c r="A338" s="6" t="str">
        <f>"C34D4.4"</f>
        <v>C34D4.4</v>
      </c>
      <c r="B338" s="6">
        <v>-1.2485123864258501</v>
      </c>
      <c r="C338" s="6">
        <v>2.9371766724173E-2</v>
      </c>
    </row>
    <row r="339" spans="1:3" x14ac:dyDescent="0.2">
      <c r="A339" s="6" t="str">
        <f>"F34D10.4"</f>
        <v>F34D10.4</v>
      </c>
      <c r="B339" s="6">
        <v>-1.2498470219372799</v>
      </c>
      <c r="C339" s="6">
        <v>1.24578097549996E-2</v>
      </c>
    </row>
    <row r="340" spans="1:3" x14ac:dyDescent="0.2">
      <c r="A340" s="6" t="str">
        <f>"tlf-1"</f>
        <v>tlf-1</v>
      </c>
      <c r="B340" s="6">
        <v>-1.2566922324391401</v>
      </c>
      <c r="C340" s="6">
        <v>2.9384211065213001E-3</v>
      </c>
    </row>
    <row r="341" spans="1:3" x14ac:dyDescent="0.2">
      <c r="A341" s="6" t="str">
        <f>"cpz-1"</f>
        <v>cpz-1</v>
      </c>
      <c r="B341" s="6">
        <v>-1.26289856264335</v>
      </c>
      <c r="C341" s="6">
        <v>1.72446328204942E-2</v>
      </c>
    </row>
    <row r="342" spans="1:3" x14ac:dyDescent="0.2">
      <c r="A342" s="6" t="str">
        <f>"nifk-1"</f>
        <v>nifk-1</v>
      </c>
      <c r="B342" s="6">
        <v>-1.28160834732382</v>
      </c>
      <c r="C342" s="34">
        <v>6.3991535562879693E-5</v>
      </c>
    </row>
    <row r="343" spans="1:3" x14ac:dyDescent="0.2">
      <c r="A343" s="6" t="str">
        <f>"sucg-1"</f>
        <v>sucg-1</v>
      </c>
      <c r="B343" s="6">
        <v>-1.2836966112677299</v>
      </c>
      <c r="C343" s="6">
        <v>1.4679711587318801E-3</v>
      </c>
    </row>
    <row r="344" spans="1:3" x14ac:dyDescent="0.2">
      <c r="A344" s="6" t="str">
        <f>"idpp-1"</f>
        <v>idpp-1</v>
      </c>
      <c r="B344" s="6">
        <v>-1.2932470826361799</v>
      </c>
      <c r="C344" s="6">
        <v>2.5311879169768899E-2</v>
      </c>
    </row>
    <row r="345" spans="1:3" x14ac:dyDescent="0.2">
      <c r="A345" s="6" t="str">
        <f>"F08F8.9"</f>
        <v>F08F8.9</v>
      </c>
      <c r="B345" s="6">
        <v>-1.31013362769501</v>
      </c>
      <c r="C345" s="6">
        <v>1.7790147757306501E-2</v>
      </c>
    </row>
    <row r="346" spans="1:3" x14ac:dyDescent="0.2">
      <c r="A346" s="6" t="str">
        <f>"ldh-1"</f>
        <v>ldh-1</v>
      </c>
      <c r="B346" s="6">
        <v>-1.3101860362619899</v>
      </c>
      <c r="C346" s="6">
        <v>1.51670231344385E-2</v>
      </c>
    </row>
    <row r="347" spans="1:3" x14ac:dyDescent="0.2">
      <c r="A347" s="6" t="str">
        <f>"asg-2"</f>
        <v>asg-2</v>
      </c>
      <c r="B347" s="6">
        <v>-1.31258627662509</v>
      </c>
      <c r="C347" s="6">
        <v>3.7536489672363601E-3</v>
      </c>
    </row>
    <row r="348" spans="1:3" x14ac:dyDescent="0.2">
      <c r="A348" s="6" t="str">
        <f>"sbds-1"</f>
        <v>sbds-1</v>
      </c>
      <c r="B348" s="6">
        <v>-1.3239427569540201</v>
      </c>
      <c r="C348" s="6">
        <v>5.8830796059850896E-3</v>
      </c>
    </row>
    <row r="349" spans="1:3" x14ac:dyDescent="0.2">
      <c r="A349" s="6" t="str">
        <f>"emc-1"</f>
        <v>emc-1</v>
      </c>
      <c r="B349" s="6">
        <v>-1.3287908827473001</v>
      </c>
      <c r="C349" s="6">
        <v>2.4855178509634898E-3</v>
      </c>
    </row>
    <row r="350" spans="1:3" x14ac:dyDescent="0.2">
      <c r="A350" s="6" t="str">
        <f>"mat-1"</f>
        <v>mat-1</v>
      </c>
      <c r="B350" s="6">
        <v>-1.33402036883397</v>
      </c>
      <c r="C350" s="6">
        <v>8.0185432682933992E-3</v>
      </c>
    </row>
    <row r="351" spans="1:3" x14ac:dyDescent="0.2">
      <c r="A351" s="6" t="str">
        <f>"kin-3"</f>
        <v>kin-3</v>
      </c>
      <c r="B351" s="6">
        <v>-1.3552773531639599</v>
      </c>
      <c r="C351" s="6">
        <v>3.79927722515939E-2</v>
      </c>
    </row>
    <row r="352" spans="1:3" x14ac:dyDescent="0.2">
      <c r="A352" s="6" t="str">
        <f>"ptr-4"</f>
        <v>ptr-4</v>
      </c>
      <c r="B352" s="6">
        <v>-1.37200821668841</v>
      </c>
      <c r="C352" s="6">
        <v>1.9014871258724201E-2</v>
      </c>
    </row>
    <row r="353" spans="1:3" x14ac:dyDescent="0.2">
      <c r="A353" s="6" t="str">
        <f>"let-70"</f>
        <v>let-70</v>
      </c>
      <c r="B353" s="6">
        <v>-1.3738470089497099</v>
      </c>
      <c r="C353" s="6">
        <v>3.12884497297175E-3</v>
      </c>
    </row>
    <row r="354" spans="1:3" x14ac:dyDescent="0.2">
      <c r="A354" s="6" t="str">
        <f>"acs-1"</f>
        <v>acs-1</v>
      </c>
      <c r="B354" s="6">
        <v>-1.3758864057280999</v>
      </c>
      <c r="C354" s="6">
        <v>1.44408022421468E-3</v>
      </c>
    </row>
    <row r="355" spans="1:3" x14ac:dyDescent="0.2">
      <c r="A355" s="6" t="str">
        <f>"sumv-1"</f>
        <v>sumv-1</v>
      </c>
      <c r="B355" s="6">
        <v>-1.4022200316270801</v>
      </c>
      <c r="C355" s="6">
        <v>1.0415414770165299E-2</v>
      </c>
    </row>
    <row r="356" spans="1:3" x14ac:dyDescent="0.2">
      <c r="A356" s="6" t="str">
        <f>"jmjd-5"</f>
        <v>jmjd-5</v>
      </c>
      <c r="B356" s="6">
        <v>-1.4024098047679201</v>
      </c>
      <c r="C356" s="6">
        <v>4.8124412244494701E-3</v>
      </c>
    </row>
    <row r="357" spans="1:3" x14ac:dyDescent="0.2">
      <c r="A357" s="6" t="str">
        <f>"F52G2.3"</f>
        <v>F52G2.3</v>
      </c>
      <c r="B357" s="6">
        <v>-1.40658174394821</v>
      </c>
      <c r="C357" s="6">
        <v>3.6820412651489901E-2</v>
      </c>
    </row>
    <row r="358" spans="1:3" x14ac:dyDescent="0.2">
      <c r="A358" s="6" t="str">
        <f>"Y47G6A.5"</f>
        <v>Y47G6A.5</v>
      </c>
      <c r="B358" s="6">
        <v>-1.40995557612638</v>
      </c>
      <c r="C358" s="6">
        <v>1.8662457138784699E-3</v>
      </c>
    </row>
    <row r="359" spans="1:3" x14ac:dyDescent="0.2">
      <c r="A359" s="6" t="str">
        <f>"T26C5.3"</f>
        <v>T26C5.3</v>
      </c>
      <c r="B359" s="6">
        <v>-1.41951323037802</v>
      </c>
      <c r="C359" s="6">
        <v>8.4283111914012501E-4</v>
      </c>
    </row>
    <row r="360" spans="1:3" x14ac:dyDescent="0.2">
      <c r="A360" s="6" t="str">
        <f>"F44E5.1"</f>
        <v>F44E5.1</v>
      </c>
      <c r="B360" s="6">
        <v>-1.41967993152054</v>
      </c>
      <c r="C360" s="6">
        <v>3.7536489672363601E-3</v>
      </c>
    </row>
    <row r="361" spans="1:3" x14ac:dyDescent="0.2">
      <c r="A361" s="6" t="str">
        <f>"daf-15"</f>
        <v>daf-15</v>
      </c>
      <c r="B361" s="6">
        <v>-1.43380404406134</v>
      </c>
      <c r="C361" s="6">
        <v>3.1138298324948901E-4</v>
      </c>
    </row>
    <row r="362" spans="1:3" x14ac:dyDescent="0.2">
      <c r="A362" s="6" t="str">
        <f>"C50D2.7"</f>
        <v>C50D2.7</v>
      </c>
      <c r="B362" s="6">
        <v>-1.4378498650581599</v>
      </c>
      <c r="C362" s="6">
        <v>3.4196448044093802E-2</v>
      </c>
    </row>
    <row r="363" spans="1:3" x14ac:dyDescent="0.2">
      <c r="A363" s="6" t="str">
        <f>"cgp-1"</f>
        <v>cgp-1</v>
      </c>
      <c r="B363" s="6">
        <v>-1.4517465513275301</v>
      </c>
      <c r="C363" s="6">
        <v>9.8847522386977704E-4</v>
      </c>
    </row>
    <row r="364" spans="1:3" x14ac:dyDescent="0.2">
      <c r="A364" s="6" t="str">
        <f>"mrpl-22"</f>
        <v>mrpl-22</v>
      </c>
      <c r="B364" s="6">
        <v>-1.4525745224997</v>
      </c>
      <c r="C364" s="6">
        <v>7.1767543081705703E-3</v>
      </c>
    </row>
    <row r="365" spans="1:3" x14ac:dyDescent="0.2">
      <c r="A365" s="6" t="str">
        <f>"rbmx-2"</f>
        <v>rbmx-2</v>
      </c>
      <c r="B365" s="6">
        <v>-1.4528113587345599</v>
      </c>
      <c r="C365" s="6">
        <v>3.6387953706033299E-3</v>
      </c>
    </row>
    <row r="366" spans="1:3" x14ac:dyDescent="0.2">
      <c r="A366" s="6" t="str">
        <f>"spl-1"</f>
        <v>spl-1</v>
      </c>
      <c r="B366" s="6">
        <v>-1.4528905742879401</v>
      </c>
      <c r="C366" s="6">
        <v>1.34147745215731E-2</v>
      </c>
    </row>
    <row r="367" spans="1:3" x14ac:dyDescent="0.2">
      <c r="A367" s="6" t="str">
        <f>"rps-20"</f>
        <v>rps-20</v>
      </c>
      <c r="B367" s="6">
        <v>-1.4674574497180199</v>
      </c>
      <c r="C367" s="6">
        <v>9.37196134997303E-4</v>
      </c>
    </row>
    <row r="368" spans="1:3" x14ac:dyDescent="0.2">
      <c r="A368" s="6" t="str">
        <f>"dhs-4"</f>
        <v>dhs-4</v>
      </c>
      <c r="B368" s="6">
        <v>-1.4691104543215301</v>
      </c>
      <c r="C368" s="6">
        <v>1.2294247382540801E-3</v>
      </c>
    </row>
    <row r="369" spans="1:3" x14ac:dyDescent="0.2">
      <c r="A369" s="6" t="str">
        <f>"C27F2.4"</f>
        <v>C27F2.4</v>
      </c>
      <c r="B369" s="6">
        <v>-1.47036883878453</v>
      </c>
      <c r="C369" s="6">
        <v>1.34147745215731E-2</v>
      </c>
    </row>
    <row r="370" spans="1:3" x14ac:dyDescent="0.2">
      <c r="A370" s="6" t="str">
        <f>"hsr-9"</f>
        <v>hsr-9</v>
      </c>
      <c r="B370" s="6">
        <v>-1.47085045135001</v>
      </c>
      <c r="C370" s="6">
        <v>1.9104040417674099E-3</v>
      </c>
    </row>
    <row r="371" spans="1:3" x14ac:dyDescent="0.2">
      <c r="A371" s="6" t="str">
        <f>"lys-4"</f>
        <v>lys-4</v>
      </c>
      <c r="B371" s="6">
        <v>-1.47432914548252</v>
      </c>
      <c r="C371" s="6">
        <v>3.4862597623712701E-3</v>
      </c>
    </row>
    <row r="372" spans="1:3" x14ac:dyDescent="0.2">
      <c r="A372" s="6" t="str">
        <f>"R10E4.9"</f>
        <v>R10E4.9</v>
      </c>
      <c r="B372" s="6">
        <v>-1.47989471575633</v>
      </c>
      <c r="C372" s="6">
        <v>6.2451944699474802E-3</v>
      </c>
    </row>
    <row r="373" spans="1:3" x14ac:dyDescent="0.2">
      <c r="A373" s="6" t="str">
        <f>"lec-9"</f>
        <v>lec-9</v>
      </c>
      <c r="B373" s="6">
        <v>-1.48316975072768</v>
      </c>
      <c r="C373" s="6">
        <v>1.51670231344385E-2</v>
      </c>
    </row>
    <row r="374" spans="1:3" x14ac:dyDescent="0.2">
      <c r="A374" s="6" t="str">
        <f>"dylt-1"</f>
        <v>dylt-1</v>
      </c>
      <c r="B374" s="6">
        <v>-1.4976827308815199</v>
      </c>
      <c r="C374" s="6">
        <v>4.1361285973848999E-2</v>
      </c>
    </row>
    <row r="375" spans="1:3" x14ac:dyDescent="0.2">
      <c r="A375" s="6" t="str">
        <f>"tra-3"</f>
        <v>tra-3</v>
      </c>
      <c r="B375" s="6">
        <v>-1.50387460713501</v>
      </c>
      <c r="C375" s="34">
        <v>1.00403434415135E-5</v>
      </c>
    </row>
    <row r="376" spans="1:3" x14ac:dyDescent="0.2">
      <c r="A376" s="6" t="str">
        <f>"M106.3"</f>
        <v>M106.3</v>
      </c>
      <c r="B376" s="6">
        <v>-1.5121322875596701</v>
      </c>
      <c r="C376" s="6">
        <v>2.9356637194350901E-2</v>
      </c>
    </row>
    <row r="377" spans="1:3" x14ac:dyDescent="0.2">
      <c r="A377" s="6" t="str">
        <f>"F40E10.6"</f>
        <v>F40E10.6</v>
      </c>
      <c r="B377" s="6">
        <v>-1.51249721845847</v>
      </c>
      <c r="C377" s="6">
        <v>2.2313502331048299E-2</v>
      </c>
    </row>
    <row r="378" spans="1:3" x14ac:dyDescent="0.2">
      <c r="A378" s="6" t="str">
        <f>"hrpu-2"</f>
        <v>hrpu-2</v>
      </c>
      <c r="B378" s="6">
        <v>-1.51828352030751</v>
      </c>
      <c r="C378" s="34">
        <v>4.8066683132510998E-5</v>
      </c>
    </row>
    <row r="379" spans="1:3" x14ac:dyDescent="0.2">
      <c r="A379" s="6" t="str">
        <f>"Y45F10B.13"</f>
        <v>Y45F10B.13</v>
      </c>
      <c r="B379" s="6">
        <v>-1.51881109848669</v>
      </c>
      <c r="C379" s="6">
        <v>3.12884497297175E-3</v>
      </c>
    </row>
    <row r="380" spans="1:3" x14ac:dyDescent="0.2">
      <c r="A380" s="6" t="str">
        <f>"mrg-1"</f>
        <v>mrg-1</v>
      </c>
      <c r="B380" s="6">
        <v>-1.53691585779997</v>
      </c>
      <c r="C380" s="6">
        <v>1.7070839021659299E-3</v>
      </c>
    </row>
    <row r="381" spans="1:3" x14ac:dyDescent="0.2">
      <c r="A381" s="6" t="str">
        <f>"gpa-17"</f>
        <v>gpa-17</v>
      </c>
      <c r="B381" s="6">
        <v>-1.54613106150963</v>
      </c>
      <c r="C381" s="6">
        <v>1.43076139298721E-2</v>
      </c>
    </row>
    <row r="382" spans="1:3" x14ac:dyDescent="0.2">
      <c r="A382" s="6" t="str">
        <f>"C18B2.5"</f>
        <v>C18B2.5</v>
      </c>
      <c r="B382" s="6">
        <v>-1.55305804454416</v>
      </c>
      <c r="C382" s="6">
        <v>1.03794116489873E-2</v>
      </c>
    </row>
    <row r="383" spans="1:3" x14ac:dyDescent="0.2">
      <c r="A383" s="6" t="str">
        <f>"ZK688.5"</f>
        <v>ZK688.5</v>
      </c>
      <c r="B383" s="6">
        <v>-1.55346419476261</v>
      </c>
      <c r="C383" s="6">
        <v>2.31157893686994E-3</v>
      </c>
    </row>
    <row r="384" spans="1:3" x14ac:dyDescent="0.2">
      <c r="A384" s="6" t="str">
        <f>"pbo-4"</f>
        <v>pbo-4</v>
      </c>
      <c r="B384" s="6">
        <v>-1.5561472656303099</v>
      </c>
      <c r="C384" s="6">
        <v>1.1884457052392199E-2</v>
      </c>
    </row>
    <row r="385" spans="1:3" x14ac:dyDescent="0.2">
      <c r="A385" s="6" t="str">
        <f>"ctb-1"</f>
        <v>ctb-1</v>
      </c>
      <c r="B385" s="6">
        <v>-1.58935229034429</v>
      </c>
      <c r="C385" s="6">
        <v>2.4562633132397801E-2</v>
      </c>
    </row>
    <row r="386" spans="1:3" x14ac:dyDescent="0.2">
      <c r="A386" s="6" t="str">
        <f>"atp-6"</f>
        <v>atp-6</v>
      </c>
      <c r="B386" s="6">
        <v>-1.59543620377402</v>
      </c>
      <c r="C386" s="6">
        <v>2.4725033602085601E-3</v>
      </c>
    </row>
    <row r="387" spans="1:3" x14ac:dyDescent="0.2">
      <c r="A387" s="6" t="str">
        <f>"pyc-1"</f>
        <v>pyc-1</v>
      </c>
      <c r="B387" s="6">
        <v>-1.60006917877646</v>
      </c>
      <c r="C387" s="6">
        <v>7.2543048702124399E-3</v>
      </c>
    </row>
    <row r="388" spans="1:3" x14ac:dyDescent="0.2">
      <c r="A388" s="6" t="str">
        <f>"coq-6"</f>
        <v>coq-6</v>
      </c>
      <c r="B388" s="6">
        <v>-1.6128493518806699</v>
      </c>
      <c r="C388" s="6">
        <v>2.31157893686994E-3</v>
      </c>
    </row>
    <row r="389" spans="1:3" x14ac:dyDescent="0.2">
      <c r="A389" s="6" t="str">
        <f>"Y48E1C.4"</f>
        <v>Y48E1C.4</v>
      </c>
      <c r="B389" s="6">
        <v>-1.6249057110062599</v>
      </c>
      <c r="C389" s="6">
        <v>9.2137062619260506E-3</v>
      </c>
    </row>
    <row r="390" spans="1:3" x14ac:dyDescent="0.2">
      <c r="A390" s="6" t="str">
        <f>"cth-1"</f>
        <v>cth-1</v>
      </c>
      <c r="B390" s="6">
        <v>-1.6432504743790399</v>
      </c>
      <c r="C390" s="34">
        <v>9.2312589356469206E-5</v>
      </c>
    </row>
    <row r="391" spans="1:3" x14ac:dyDescent="0.2">
      <c r="A391" s="6" t="str">
        <f>"fat-4"</f>
        <v>fat-4</v>
      </c>
      <c r="B391" s="6">
        <v>-1.65163831107801</v>
      </c>
      <c r="C391" s="6">
        <v>9.8215317212277803E-3</v>
      </c>
    </row>
    <row r="392" spans="1:3" x14ac:dyDescent="0.2">
      <c r="A392" s="6" t="str">
        <f>"C49H3.3"</f>
        <v>C49H3.3</v>
      </c>
      <c r="B392" s="6">
        <v>-1.6544537140644999</v>
      </c>
      <c r="C392" s="6">
        <v>8.5769646846299899E-4</v>
      </c>
    </row>
    <row r="393" spans="1:3" x14ac:dyDescent="0.2">
      <c r="A393" s="6" t="str">
        <f>"cdc-14"</f>
        <v>cdc-14</v>
      </c>
      <c r="B393" s="6">
        <v>-1.68942559931063</v>
      </c>
      <c r="C393" s="6">
        <v>2.1224777643733499E-4</v>
      </c>
    </row>
    <row r="394" spans="1:3" x14ac:dyDescent="0.2">
      <c r="A394" s="6" t="str">
        <f>"mpdu-1"</f>
        <v>mpdu-1</v>
      </c>
      <c r="B394" s="6">
        <v>-1.69165341894099</v>
      </c>
      <c r="C394" s="6">
        <v>4.0858627974605898E-2</v>
      </c>
    </row>
    <row r="395" spans="1:3" x14ac:dyDescent="0.2">
      <c r="A395" s="6" t="str">
        <f>"eas-1"</f>
        <v>eas-1</v>
      </c>
      <c r="B395" s="6">
        <v>-1.74530857005463</v>
      </c>
      <c r="C395" s="6">
        <v>1.22083064685529E-2</v>
      </c>
    </row>
    <row r="396" spans="1:3" x14ac:dyDescent="0.2">
      <c r="A396" s="6" t="str">
        <f>"vig-1"</f>
        <v>vig-1</v>
      </c>
      <c r="B396" s="6">
        <v>-1.75978161283678</v>
      </c>
      <c r="C396" s="34">
        <v>8.0389331040175895E-5</v>
      </c>
    </row>
    <row r="397" spans="1:3" x14ac:dyDescent="0.2">
      <c r="A397" s="6" t="str">
        <f>"C53C9.2"</f>
        <v>C53C9.2</v>
      </c>
      <c r="B397" s="6">
        <v>-1.7653047046747501</v>
      </c>
      <c r="C397" s="34">
        <v>2.8095992531541701E-5</v>
      </c>
    </row>
    <row r="398" spans="1:3" x14ac:dyDescent="0.2">
      <c r="A398" s="6" t="str">
        <f>"set-26"</f>
        <v>set-26</v>
      </c>
      <c r="B398" s="6">
        <v>-1.7704429442501399</v>
      </c>
      <c r="C398" s="34">
        <v>3.8117994167402598E-5</v>
      </c>
    </row>
    <row r="399" spans="1:3" x14ac:dyDescent="0.2">
      <c r="A399" s="6" t="str">
        <f>"C17G10.1"</f>
        <v>C17G10.1</v>
      </c>
      <c r="B399" s="6">
        <v>-1.77340229885307</v>
      </c>
      <c r="C399" s="34">
        <v>5.12714130429146E-5</v>
      </c>
    </row>
    <row r="400" spans="1:3" x14ac:dyDescent="0.2">
      <c r="A400" s="6" t="str">
        <f>"M106.2"</f>
        <v>M106.2</v>
      </c>
      <c r="B400" s="6">
        <v>-1.7934379987614599</v>
      </c>
      <c r="C400" s="6">
        <v>1.54231905218764E-2</v>
      </c>
    </row>
    <row r="401" spans="1:3" x14ac:dyDescent="0.2">
      <c r="A401" s="6" t="str">
        <f>"casc-3"</f>
        <v>casc-3</v>
      </c>
      <c r="B401" s="6">
        <v>-1.8024143047606001</v>
      </c>
      <c r="C401" s="6">
        <v>6.5921753272863402E-4</v>
      </c>
    </row>
    <row r="402" spans="1:3" x14ac:dyDescent="0.2">
      <c r="A402" s="6" t="str">
        <f>"imp-3"</f>
        <v>imp-3</v>
      </c>
      <c r="B402" s="6">
        <v>-1.81717127764077</v>
      </c>
      <c r="C402" s="6">
        <v>3.8536668259909999E-3</v>
      </c>
    </row>
    <row r="403" spans="1:3" x14ac:dyDescent="0.2">
      <c r="A403" s="6" t="str">
        <f>"rpl-9"</f>
        <v>rpl-9</v>
      </c>
      <c r="B403" s="6">
        <v>-1.8194442939014599</v>
      </c>
      <c r="C403" s="34">
        <v>6.6084077213943003E-5</v>
      </c>
    </row>
    <row r="404" spans="1:3" x14ac:dyDescent="0.2">
      <c r="A404" s="6" t="str">
        <f>"ttm-5"</f>
        <v>ttm-5</v>
      </c>
      <c r="B404" s="6">
        <v>-1.8518842310247099</v>
      </c>
      <c r="C404" s="6">
        <v>2.2338574349161299E-4</v>
      </c>
    </row>
    <row r="405" spans="1:3" x14ac:dyDescent="0.2">
      <c r="A405" s="6" t="str">
        <f>"rde-2"</f>
        <v>rde-2</v>
      </c>
      <c r="B405" s="6">
        <v>-1.85523533986508</v>
      </c>
      <c r="C405" s="6">
        <v>7.2083668242037902E-3</v>
      </c>
    </row>
    <row r="406" spans="1:3" x14ac:dyDescent="0.2">
      <c r="A406" s="6" t="str">
        <f>"pig-1"</f>
        <v>pig-1</v>
      </c>
      <c r="B406" s="6">
        <v>-1.8614808513943799</v>
      </c>
      <c r="C406" s="6">
        <v>2.4363046811782E-3</v>
      </c>
    </row>
    <row r="407" spans="1:3" x14ac:dyDescent="0.2">
      <c r="A407" s="6" t="str">
        <f>"gpd-1"</f>
        <v>gpd-1</v>
      </c>
      <c r="B407" s="6">
        <v>-1.88471427018486</v>
      </c>
      <c r="C407" s="6">
        <v>1.43076139298721E-2</v>
      </c>
    </row>
    <row r="408" spans="1:3" x14ac:dyDescent="0.2">
      <c r="A408" s="6" t="str">
        <f>"zmp-4"</f>
        <v>zmp-4</v>
      </c>
      <c r="B408" s="6">
        <v>-1.9453505345586299</v>
      </c>
      <c r="C408" s="6">
        <v>1.25731702942476E-2</v>
      </c>
    </row>
    <row r="409" spans="1:3" x14ac:dyDescent="0.2">
      <c r="A409" s="6" t="str">
        <f>"ebp-1"</f>
        <v>ebp-1</v>
      </c>
      <c r="B409" s="6">
        <v>-1.95045184409339</v>
      </c>
      <c r="C409" s="6">
        <v>7.4096864322026302E-4</v>
      </c>
    </row>
    <row r="410" spans="1:3" x14ac:dyDescent="0.2">
      <c r="A410" s="6" t="str">
        <f>"cisd-3.2"</f>
        <v>cisd-3.2</v>
      </c>
      <c r="B410" s="6">
        <v>-2.03323650784895</v>
      </c>
      <c r="C410" s="34">
        <v>2.53826091297548E-5</v>
      </c>
    </row>
    <row r="411" spans="1:3" x14ac:dyDescent="0.2">
      <c r="A411" s="6" t="str">
        <f>"Y43C5B.3"</f>
        <v>Y43C5B.3</v>
      </c>
      <c r="B411" s="6">
        <v>-2.0478043393821102</v>
      </c>
      <c r="C411" s="6">
        <v>2.2338574349161299E-4</v>
      </c>
    </row>
    <row r="412" spans="1:3" x14ac:dyDescent="0.2">
      <c r="A412" s="6" t="str">
        <f>"mrpl-4"</f>
        <v>mrpl-4</v>
      </c>
      <c r="B412" s="6">
        <v>-2.0530349937313002</v>
      </c>
      <c r="C412" s="6">
        <v>6.8799090564753704E-3</v>
      </c>
    </row>
    <row r="413" spans="1:3" x14ac:dyDescent="0.2">
      <c r="A413" s="6" t="str">
        <f>"hsp-16.2"</f>
        <v>hsp-16.2</v>
      </c>
      <c r="B413" s="6">
        <v>-2.08767208283829</v>
      </c>
      <c r="C413" s="6">
        <v>1.7070839021659299E-3</v>
      </c>
    </row>
    <row r="414" spans="1:3" x14ac:dyDescent="0.2">
      <c r="A414" s="6" t="str">
        <f>"ccar-1"</f>
        <v>ccar-1</v>
      </c>
      <c r="B414" s="6">
        <v>-2.1023149188948098</v>
      </c>
      <c r="C414" s="34">
        <v>6.2629969550209497E-6</v>
      </c>
    </row>
    <row r="415" spans="1:3" x14ac:dyDescent="0.2">
      <c r="A415" s="6" t="str">
        <f>"asah-1"</f>
        <v>asah-1</v>
      </c>
      <c r="B415" s="6">
        <v>-2.1250780345656302</v>
      </c>
      <c r="C415" s="6">
        <v>9.4870077686104292E-3</v>
      </c>
    </row>
    <row r="416" spans="1:3" x14ac:dyDescent="0.2">
      <c r="A416" s="6" t="str">
        <f>"ZK418.5"</f>
        <v>ZK418.5</v>
      </c>
      <c r="B416" s="6">
        <v>-2.2200350682958701</v>
      </c>
      <c r="C416" s="34">
        <v>4.5401549560792599E-5</v>
      </c>
    </row>
    <row r="417" spans="1:3" x14ac:dyDescent="0.2">
      <c r="A417" s="6" t="str">
        <f>"his-24"</f>
        <v>his-24</v>
      </c>
      <c r="B417" s="6">
        <v>-2.2409819949057099</v>
      </c>
      <c r="C417" s="6">
        <v>3.0713344677070799E-2</v>
      </c>
    </row>
    <row r="418" spans="1:3" x14ac:dyDescent="0.2">
      <c r="A418" s="6" t="str">
        <f>"rpb-7"</f>
        <v>rpb-7</v>
      </c>
      <c r="B418" s="6">
        <v>-2.2839119336156499</v>
      </c>
      <c r="C418" s="6">
        <v>1.18452004129466E-4</v>
      </c>
    </row>
    <row r="419" spans="1:3" x14ac:dyDescent="0.2">
      <c r="A419" s="6" t="str">
        <f>"hsp-16.11"</f>
        <v>hsp-16.11</v>
      </c>
      <c r="B419" s="6">
        <v>-2.4606615168729999</v>
      </c>
      <c r="C419" s="6">
        <v>6.5921753272863402E-4</v>
      </c>
    </row>
    <row r="420" spans="1:3" x14ac:dyDescent="0.2">
      <c r="A420" s="6" t="str">
        <f>"fbxa-101"</f>
        <v>fbxa-101</v>
      </c>
      <c r="B420" s="6">
        <v>-2.48860586286593</v>
      </c>
      <c r="C420" s="6">
        <v>2.4503856161397501E-3</v>
      </c>
    </row>
    <row r="421" spans="1:3" x14ac:dyDescent="0.2">
      <c r="A421" s="6" t="str">
        <f>"cacn-1"</f>
        <v>cacn-1</v>
      </c>
      <c r="B421" s="6">
        <v>-2.5426136579549099</v>
      </c>
      <c r="C421" s="34">
        <v>5.7095593616893897E-6</v>
      </c>
    </row>
    <row r="422" spans="1:3" x14ac:dyDescent="0.2">
      <c r="A422" s="6" t="str">
        <f>"rsr-1"</f>
        <v>rsr-1</v>
      </c>
      <c r="B422" s="6">
        <v>-2.5855776343146499</v>
      </c>
      <c r="C422" s="6">
        <v>2.7897003169782098E-4</v>
      </c>
    </row>
    <row r="423" spans="1:3" x14ac:dyDescent="0.2">
      <c r="A423" s="6" t="str">
        <f>"hmg-12"</f>
        <v>hmg-12</v>
      </c>
      <c r="B423" s="6">
        <v>-2.7707214204240902</v>
      </c>
      <c r="C423" s="6">
        <v>1.35799059635934E-4</v>
      </c>
    </row>
    <row r="424" spans="1:3" x14ac:dyDescent="0.2">
      <c r="A424" s="6" t="str">
        <f>"acin-1"</f>
        <v>acin-1</v>
      </c>
      <c r="B424" s="6">
        <v>-2.8971489243745299</v>
      </c>
      <c r="C424" s="34">
        <v>1.51060304197377E-5</v>
      </c>
    </row>
    <row r="425" spans="1:3" x14ac:dyDescent="0.2">
      <c r="A425" s="6" t="str">
        <f>"pfs-2"</f>
        <v>pfs-2</v>
      </c>
      <c r="B425" s="6">
        <v>-3.1992467908878202</v>
      </c>
      <c r="C425" s="34">
        <v>3.52888681374104E-8</v>
      </c>
    </row>
    <row r="426" spans="1:3" x14ac:dyDescent="0.2">
      <c r="A426" s="6" t="str">
        <f>"H03A11.2"</f>
        <v>H03A11.2</v>
      </c>
      <c r="B426" s="6">
        <v>-3.2752218570606502</v>
      </c>
      <c r="C426" s="6">
        <v>3.1138298324948901E-4</v>
      </c>
    </row>
    <row r="2695" spans="2:2" x14ac:dyDescent="0.2">
      <c r="B2695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79E1-3559-754D-A88F-F71CD17C61EC}">
  <dimension ref="A1:V289"/>
  <sheetViews>
    <sheetView topLeftCell="G1" workbookViewId="0">
      <pane ySplit="1" topLeftCell="A2" activePane="bottomLeft" state="frozen"/>
      <selection pane="bottomLeft" activeCell="P23" sqref="P23"/>
    </sheetView>
  </sheetViews>
  <sheetFormatPr baseColWidth="10" defaultRowHeight="16" x14ac:dyDescent="0.2"/>
  <cols>
    <col min="1" max="1" width="12.33203125" style="24" customWidth="1"/>
    <col min="2" max="2" width="11.6640625" style="24" customWidth="1"/>
    <col min="3" max="12" width="10.83203125" style="24"/>
    <col min="13" max="13" width="12.6640625" style="24" customWidth="1"/>
    <col min="14" max="15" width="10.83203125" style="24"/>
    <col min="16" max="16" width="21.83203125" style="24" customWidth="1"/>
    <col min="17" max="18" width="10.83203125" style="24"/>
    <col min="19" max="19" width="30.83203125" style="24" customWidth="1"/>
    <col min="20" max="20" width="10.5" style="24" customWidth="1"/>
    <col min="21" max="21" width="28" style="24" customWidth="1"/>
    <col min="22" max="22" width="73" style="24" customWidth="1"/>
    <col min="23" max="16384" width="10.83203125" style="24"/>
  </cols>
  <sheetData>
    <row r="1" spans="1:22" x14ac:dyDescent="0.2">
      <c r="A1" s="7" t="s">
        <v>14893</v>
      </c>
      <c r="B1" s="7" t="s">
        <v>14890</v>
      </c>
      <c r="C1" s="7" t="s">
        <v>14892</v>
      </c>
      <c r="D1" s="7" t="s">
        <v>14789</v>
      </c>
      <c r="E1" s="7" t="s">
        <v>14800</v>
      </c>
      <c r="F1" s="7" t="s">
        <v>14889</v>
      </c>
      <c r="G1" s="7" t="s">
        <v>9</v>
      </c>
      <c r="H1" s="7" t="s">
        <v>10</v>
      </c>
      <c r="I1" s="7" t="s">
        <v>11</v>
      </c>
      <c r="J1" s="7" t="s">
        <v>14792</v>
      </c>
      <c r="K1" s="7" t="s">
        <v>14864</v>
      </c>
      <c r="L1" s="7" t="s">
        <v>14865</v>
      </c>
      <c r="M1" s="7" t="s">
        <v>14866</v>
      </c>
      <c r="N1" s="7" t="s">
        <v>14872</v>
      </c>
      <c r="O1" s="7" t="s">
        <v>14923</v>
      </c>
      <c r="P1" s="7" t="s">
        <v>14932</v>
      </c>
      <c r="Q1" s="7" t="s">
        <v>14803</v>
      </c>
      <c r="S1" s="7" t="s">
        <v>14925</v>
      </c>
      <c r="T1" s="7" t="s">
        <v>14804</v>
      </c>
      <c r="U1" s="7"/>
      <c r="V1" s="7" t="s">
        <v>14915</v>
      </c>
    </row>
    <row r="2" spans="1:22" x14ac:dyDescent="0.2">
      <c r="A2" s="22" t="str">
        <f>"R102.2"</f>
        <v>R102.2</v>
      </c>
      <c r="B2" s="22" t="s">
        <v>9490</v>
      </c>
      <c r="C2" s="22" t="s">
        <v>9491</v>
      </c>
      <c r="D2" s="22" t="s">
        <v>29</v>
      </c>
      <c r="E2" s="22" t="str">
        <f>IFERROR(2^D2, "NA")</f>
        <v>NA</v>
      </c>
      <c r="F2" s="22" t="s">
        <v>29</v>
      </c>
      <c r="G2" s="22" t="s">
        <v>14849</v>
      </c>
      <c r="H2" s="22" t="s">
        <v>14849</v>
      </c>
      <c r="I2" s="22" t="s">
        <v>14849</v>
      </c>
      <c r="J2" s="22" t="s">
        <v>14849</v>
      </c>
      <c r="K2" s="22">
        <v>19.1732182076275</v>
      </c>
      <c r="L2" s="22">
        <v>19.517289305666399</v>
      </c>
      <c r="M2" s="22">
        <v>19.9588000546938</v>
      </c>
      <c r="N2" s="22">
        <f t="shared" ref="N2:N33" si="0">(K2+L2+M2)/3</f>
        <v>19.549769189329229</v>
      </c>
      <c r="O2" s="22" t="str">
        <f t="shared" ref="O2:O33" si="1">IFERROR(INDEX(T:T, MATCH(A2, S:S, 0)), "ND")</f>
        <v>ND</v>
      </c>
      <c r="P2" s="22" t="str">
        <f t="shared" ref="P2:P33" si="2">IFERROR(E2/O2, "NA")</f>
        <v>NA</v>
      </c>
      <c r="S2" s="12" t="s">
        <v>5634</v>
      </c>
      <c r="T2" s="13">
        <v>131.944345</v>
      </c>
      <c r="U2" s="39" t="s">
        <v>14926</v>
      </c>
      <c r="V2" s="24" t="s">
        <v>14916</v>
      </c>
    </row>
    <row r="3" spans="1:22" x14ac:dyDescent="0.2">
      <c r="A3" s="10" t="str">
        <f>"tap-1"</f>
        <v>tap-1</v>
      </c>
      <c r="B3" s="10" t="s">
        <v>1669</v>
      </c>
      <c r="C3" s="10" t="s">
        <v>1671</v>
      </c>
      <c r="D3" s="10" t="s">
        <v>29</v>
      </c>
      <c r="E3" s="10" t="str">
        <f t="shared" ref="E3:E66" si="3">IFERROR(2^D3, "NA")</f>
        <v>NA</v>
      </c>
      <c r="F3" s="10" t="s">
        <v>29</v>
      </c>
      <c r="G3" s="10" t="s">
        <v>14849</v>
      </c>
      <c r="H3" s="10" t="s">
        <v>14849</v>
      </c>
      <c r="I3" s="10" t="s">
        <v>14849</v>
      </c>
      <c r="J3" s="10" t="s">
        <v>14849</v>
      </c>
      <c r="K3" s="10">
        <v>16.9161737474716</v>
      </c>
      <c r="L3" s="10">
        <v>17.8237898696113</v>
      </c>
      <c r="M3" s="10">
        <v>17.868127131254301</v>
      </c>
      <c r="N3" s="10">
        <f t="shared" si="0"/>
        <v>17.536030249445734</v>
      </c>
      <c r="O3" s="10">
        <f t="shared" si="1"/>
        <v>2.7583972946551407</v>
      </c>
      <c r="P3" s="10" t="str">
        <f t="shared" si="2"/>
        <v>NA</v>
      </c>
      <c r="S3" s="12" t="s">
        <v>8063</v>
      </c>
      <c r="T3" s="13">
        <v>58.276928099999999</v>
      </c>
      <c r="U3" s="39" t="s">
        <v>14917</v>
      </c>
      <c r="V3" s="24" t="s">
        <v>14918</v>
      </c>
    </row>
    <row r="4" spans="1:22" x14ac:dyDescent="0.2">
      <c r="A4" s="24" t="str">
        <f>"Y54G2A.40"</f>
        <v>Y54G2A.40</v>
      </c>
      <c r="B4" s="24" t="s">
        <v>10528</v>
      </c>
      <c r="C4" s="24" t="s">
        <v>214</v>
      </c>
      <c r="D4" s="24" t="s">
        <v>29</v>
      </c>
      <c r="E4" s="24" t="str">
        <f t="shared" si="3"/>
        <v>NA</v>
      </c>
      <c r="F4" s="24" t="s">
        <v>29</v>
      </c>
      <c r="G4" s="24" t="s">
        <v>14849</v>
      </c>
      <c r="H4" s="24" t="s">
        <v>14849</v>
      </c>
      <c r="I4" s="24" t="s">
        <v>14849</v>
      </c>
      <c r="J4" s="24" t="s">
        <v>14849</v>
      </c>
      <c r="K4" s="24">
        <v>16.559013879825599</v>
      </c>
      <c r="L4" s="24">
        <v>16.994701746205401</v>
      </c>
      <c r="M4" s="24">
        <v>17.334087011125501</v>
      </c>
      <c r="N4" s="24">
        <f t="shared" si="0"/>
        <v>16.962600879052165</v>
      </c>
      <c r="O4" s="24" t="str">
        <f t="shared" si="1"/>
        <v>ND</v>
      </c>
      <c r="P4" s="24" t="str">
        <f t="shared" si="2"/>
        <v>NA</v>
      </c>
      <c r="S4" s="12" t="s">
        <v>14173</v>
      </c>
      <c r="T4" s="13">
        <v>45.449789099999997</v>
      </c>
      <c r="U4" s="39"/>
    </row>
    <row r="5" spans="1:22" x14ac:dyDescent="0.2">
      <c r="A5" s="24" t="str">
        <f>"M01H9.3"</f>
        <v>M01H9.3</v>
      </c>
      <c r="B5" s="24" t="s">
        <v>2517</v>
      </c>
      <c r="C5" s="24" t="s">
        <v>2518</v>
      </c>
      <c r="D5" s="24" t="s">
        <v>29</v>
      </c>
      <c r="E5" s="24" t="str">
        <f t="shared" si="3"/>
        <v>NA</v>
      </c>
      <c r="F5" s="24" t="s">
        <v>29</v>
      </c>
      <c r="G5" s="24" t="s">
        <v>14849</v>
      </c>
      <c r="H5" s="24" t="s">
        <v>14849</v>
      </c>
      <c r="I5" s="24" t="s">
        <v>14849</v>
      </c>
      <c r="J5" s="24" t="s">
        <v>14849</v>
      </c>
      <c r="K5" s="24">
        <v>16.939065543609601</v>
      </c>
      <c r="L5" s="24">
        <v>17.400783030521101</v>
      </c>
      <c r="M5" s="24">
        <v>16.470549623908902</v>
      </c>
      <c r="N5" s="24">
        <f t="shared" si="0"/>
        <v>16.936799399346533</v>
      </c>
      <c r="O5" s="24" t="str">
        <f t="shared" si="1"/>
        <v>ND</v>
      </c>
      <c r="P5" s="24" t="str">
        <f t="shared" si="2"/>
        <v>NA</v>
      </c>
      <c r="S5" s="12" t="s">
        <v>3109</v>
      </c>
      <c r="T5" s="13">
        <v>28.1004726</v>
      </c>
      <c r="U5" s="39"/>
    </row>
    <row r="6" spans="1:22" x14ac:dyDescent="0.2">
      <c r="A6" s="14" t="str">
        <f>"acbp-3"</f>
        <v>acbp-3</v>
      </c>
      <c r="B6" s="14" t="s">
        <v>8818</v>
      </c>
      <c r="C6" s="14" t="s">
        <v>8820</v>
      </c>
      <c r="D6" s="14" t="s">
        <v>29</v>
      </c>
      <c r="E6" s="14" t="str">
        <f t="shared" si="3"/>
        <v>NA</v>
      </c>
      <c r="F6" s="14" t="s">
        <v>29</v>
      </c>
      <c r="G6" s="14" t="s">
        <v>14849</v>
      </c>
      <c r="H6" s="14" t="s">
        <v>14849</v>
      </c>
      <c r="I6" s="14" t="s">
        <v>14849</v>
      </c>
      <c r="J6" s="14" t="s">
        <v>14849</v>
      </c>
      <c r="K6" s="14">
        <v>15.755270352942301</v>
      </c>
      <c r="L6" s="14">
        <v>16.697952767546699</v>
      </c>
      <c r="M6" s="14">
        <v>17.990282143780899</v>
      </c>
      <c r="N6" s="14">
        <f t="shared" si="0"/>
        <v>16.814501754756634</v>
      </c>
      <c r="O6" s="14">
        <f t="shared" si="1"/>
        <v>11.9608679</v>
      </c>
      <c r="P6" s="14" t="str">
        <f t="shared" si="2"/>
        <v>NA</v>
      </c>
      <c r="S6" s="12" t="s">
        <v>4604</v>
      </c>
      <c r="T6" s="13">
        <v>27.4262218</v>
      </c>
      <c r="U6" s="39"/>
    </row>
    <row r="7" spans="1:22" x14ac:dyDescent="0.2">
      <c r="A7" s="16" t="str">
        <f>"comt-3"</f>
        <v>comt-3</v>
      </c>
      <c r="B7" s="16" t="s">
        <v>11933</v>
      </c>
      <c r="C7" s="16" t="s">
        <v>11935</v>
      </c>
      <c r="D7" s="16" t="s">
        <v>29</v>
      </c>
      <c r="E7" s="16" t="str">
        <f t="shared" si="3"/>
        <v>NA</v>
      </c>
      <c r="F7" s="16" t="s">
        <v>29</v>
      </c>
      <c r="G7" s="16" t="s">
        <v>14849</v>
      </c>
      <c r="H7" s="16" t="s">
        <v>14849</v>
      </c>
      <c r="I7" s="16" t="s">
        <v>14849</v>
      </c>
      <c r="J7" s="16" t="s">
        <v>14849</v>
      </c>
      <c r="K7" s="16">
        <v>15.510915310650001</v>
      </c>
      <c r="L7" s="16">
        <v>15.347101919942901</v>
      </c>
      <c r="M7" s="16">
        <v>16.404866349652099</v>
      </c>
      <c r="N7" s="16">
        <f t="shared" si="0"/>
        <v>15.754294526748334</v>
      </c>
      <c r="O7" s="16">
        <f t="shared" si="1"/>
        <v>9.9269247280034332</v>
      </c>
      <c r="P7" s="16" t="str">
        <f t="shared" si="2"/>
        <v>NA</v>
      </c>
      <c r="S7" s="12" t="s">
        <v>14303</v>
      </c>
      <c r="T7" s="13">
        <v>25.5388345</v>
      </c>
      <c r="U7" s="39"/>
    </row>
    <row r="8" spans="1:22" x14ac:dyDescent="0.2">
      <c r="A8" s="16" t="str">
        <f>"clic-1"</f>
        <v>clic-1</v>
      </c>
      <c r="B8" s="16" t="s">
        <v>6132</v>
      </c>
      <c r="C8" s="16" t="s">
        <v>6134</v>
      </c>
      <c r="D8" s="16" t="s">
        <v>29</v>
      </c>
      <c r="E8" s="16" t="str">
        <f t="shared" si="3"/>
        <v>NA</v>
      </c>
      <c r="F8" s="16" t="s">
        <v>29</v>
      </c>
      <c r="G8" s="16" t="s">
        <v>14849</v>
      </c>
      <c r="H8" s="16" t="s">
        <v>14849</v>
      </c>
      <c r="I8" s="16" t="s">
        <v>14849</v>
      </c>
      <c r="J8" s="16" t="s">
        <v>14849</v>
      </c>
      <c r="K8" s="16">
        <v>14.8358364944442</v>
      </c>
      <c r="L8" s="16">
        <v>15.751488609104999</v>
      </c>
      <c r="M8" s="16">
        <v>15.7895321741636</v>
      </c>
      <c r="N8" s="16">
        <f t="shared" si="0"/>
        <v>15.458952425904267</v>
      </c>
      <c r="O8" s="16">
        <f t="shared" si="1"/>
        <v>9.8103186667543536</v>
      </c>
      <c r="P8" s="16" t="str">
        <f t="shared" si="2"/>
        <v>NA</v>
      </c>
      <c r="S8" s="12" t="s">
        <v>1545</v>
      </c>
      <c r="T8" s="13">
        <v>19.488423999999998</v>
      </c>
      <c r="U8" s="39"/>
    </row>
    <row r="9" spans="1:22" x14ac:dyDescent="0.2">
      <c r="A9" s="22" t="str">
        <f>"Y62E10A.13"</f>
        <v>Y62E10A.13</v>
      </c>
      <c r="B9" s="22" t="s">
        <v>26</v>
      </c>
      <c r="C9" s="22" t="s">
        <v>27</v>
      </c>
      <c r="D9" s="22" t="s">
        <v>29</v>
      </c>
      <c r="E9" s="22" t="str">
        <f t="shared" si="3"/>
        <v>NA</v>
      </c>
      <c r="F9" s="22" t="s">
        <v>29</v>
      </c>
      <c r="G9" s="22" t="s">
        <v>14849</v>
      </c>
      <c r="H9" s="22" t="s">
        <v>14849</v>
      </c>
      <c r="I9" s="22" t="s">
        <v>14849</v>
      </c>
      <c r="J9" s="22" t="s">
        <v>14849</v>
      </c>
      <c r="K9" s="22">
        <v>14.1484987859003</v>
      </c>
      <c r="L9" s="22">
        <v>16.062091862567101</v>
      </c>
      <c r="M9" s="22">
        <v>15.267704565716199</v>
      </c>
      <c r="N9" s="22">
        <f t="shared" si="0"/>
        <v>15.159431738061201</v>
      </c>
      <c r="O9" s="22" t="str">
        <f t="shared" si="1"/>
        <v>ND</v>
      </c>
      <c r="P9" s="22" t="str">
        <f t="shared" si="2"/>
        <v>NA</v>
      </c>
      <c r="S9" s="12" t="s">
        <v>7421</v>
      </c>
      <c r="T9" s="13">
        <v>16.838587100000002</v>
      </c>
      <c r="U9" s="39"/>
    </row>
    <row r="10" spans="1:22" x14ac:dyDescent="0.2">
      <c r="A10" s="10" t="str">
        <f>"F25H8.2"</f>
        <v>F25H8.2</v>
      </c>
      <c r="B10" s="10" t="s">
        <v>8431</v>
      </c>
      <c r="C10" s="10" t="s">
        <v>8432</v>
      </c>
      <c r="D10" s="10" t="s">
        <v>29</v>
      </c>
      <c r="E10" s="10" t="str">
        <f t="shared" si="3"/>
        <v>NA</v>
      </c>
      <c r="F10" s="10" t="s">
        <v>29</v>
      </c>
      <c r="G10" s="10" t="s">
        <v>14849</v>
      </c>
      <c r="H10" s="10" t="s">
        <v>14849</v>
      </c>
      <c r="I10" s="10" t="s">
        <v>14849</v>
      </c>
      <c r="J10" s="10" t="s">
        <v>14849</v>
      </c>
      <c r="K10" s="10">
        <v>14.930697119774001</v>
      </c>
      <c r="L10" s="10">
        <v>15.2975395124759</v>
      </c>
      <c r="M10" s="10">
        <v>15.0750976187866</v>
      </c>
      <c r="N10" s="10">
        <f t="shared" si="0"/>
        <v>15.101111417012168</v>
      </c>
      <c r="O10" s="10">
        <f t="shared" si="1"/>
        <v>2.7286739180665229</v>
      </c>
      <c r="P10" s="10" t="str">
        <f t="shared" si="2"/>
        <v>NA</v>
      </c>
      <c r="S10" s="12" t="s">
        <v>13243</v>
      </c>
      <c r="T10" s="13">
        <v>15.862799600000001</v>
      </c>
      <c r="U10" s="39"/>
    </row>
    <row r="11" spans="1:22" x14ac:dyDescent="0.2">
      <c r="A11" s="10" t="str">
        <f>"mdt-4"</f>
        <v>mdt-4</v>
      </c>
      <c r="B11" s="10" t="s">
        <v>10297</v>
      </c>
      <c r="C11" s="10" t="s">
        <v>10299</v>
      </c>
      <c r="D11" s="10" t="s">
        <v>29</v>
      </c>
      <c r="E11" s="10" t="str">
        <f t="shared" si="3"/>
        <v>NA</v>
      </c>
      <c r="F11" s="10" t="s">
        <v>29</v>
      </c>
      <c r="G11" s="10" t="s">
        <v>14849</v>
      </c>
      <c r="H11" s="10" t="s">
        <v>14849</v>
      </c>
      <c r="I11" s="10" t="s">
        <v>14849</v>
      </c>
      <c r="J11" s="10" t="s">
        <v>14849</v>
      </c>
      <c r="K11" s="10">
        <v>14.3439817304806</v>
      </c>
      <c r="L11" s="10">
        <v>14.6220737153887</v>
      </c>
      <c r="M11" s="10">
        <v>15.524145444242899</v>
      </c>
      <c r="N11" s="10">
        <f t="shared" si="0"/>
        <v>14.830066963370733</v>
      </c>
      <c r="O11" s="10">
        <f t="shared" si="1"/>
        <v>2.9140060499999998</v>
      </c>
      <c r="P11" s="10" t="str">
        <f t="shared" si="2"/>
        <v>NA</v>
      </c>
      <c r="S11" s="12" t="s">
        <v>236</v>
      </c>
      <c r="T11" s="13">
        <v>15.711251000000001</v>
      </c>
      <c r="U11" s="39"/>
    </row>
    <row r="12" spans="1:22" x14ac:dyDescent="0.2">
      <c r="A12" s="10" t="str">
        <f>"ppfr-4"</f>
        <v>ppfr-4</v>
      </c>
      <c r="B12" s="10" t="s">
        <v>12485</v>
      </c>
      <c r="C12" s="10" t="s">
        <v>12487</v>
      </c>
      <c r="D12" s="10" t="s">
        <v>29</v>
      </c>
      <c r="E12" s="10" t="str">
        <f t="shared" si="3"/>
        <v>NA</v>
      </c>
      <c r="F12" s="10" t="s">
        <v>29</v>
      </c>
      <c r="G12" s="10" t="s">
        <v>14849</v>
      </c>
      <c r="H12" s="10" t="s">
        <v>14849</v>
      </c>
      <c r="I12" s="10" t="s">
        <v>14849</v>
      </c>
      <c r="J12" s="10" t="s">
        <v>14849</v>
      </c>
      <c r="K12" s="10">
        <v>14.435043910733</v>
      </c>
      <c r="L12" s="10">
        <v>14.3604625690642</v>
      </c>
      <c r="M12" s="10">
        <v>15.5665468809367</v>
      </c>
      <c r="N12" s="10">
        <f t="shared" si="0"/>
        <v>14.787351120244635</v>
      </c>
      <c r="O12" s="10">
        <f t="shared" si="1"/>
        <v>3.69990569</v>
      </c>
      <c r="P12" s="10" t="str">
        <f t="shared" si="2"/>
        <v>NA</v>
      </c>
      <c r="S12" s="12" t="s">
        <v>2802</v>
      </c>
      <c r="T12" s="13">
        <v>15.4569776</v>
      </c>
      <c r="U12" s="39"/>
    </row>
    <row r="13" spans="1:22" x14ac:dyDescent="0.2">
      <c r="A13" s="10" t="str">
        <f>"eef-1B.1"</f>
        <v>eef-1B.1</v>
      </c>
      <c r="B13" s="10" t="s">
        <v>5146</v>
      </c>
      <c r="C13" s="10" t="s">
        <v>5148</v>
      </c>
      <c r="D13" s="10" t="s">
        <v>29</v>
      </c>
      <c r="E13" s="10" t="str">
        <f t="shared" si="3"/>
        <v>NA</v>
      </c>
      <c r="F13" s="10" t="s">
        <v>29</v>
      </c>
      <c r="G13" s="10" t="s">
        <v>14849</v>
      </c>
      <c r="H13" s="10" t="s">
        <v>14849</v>
      </c>
      <c r="I13" s="10" t="s">
        <v>14849</v>
      </c>
      <c r="J13" s="10" t="s">
        <v>14849</v>
      </c>
      <c r="K13" s="10">
        <v>13.7681919672631</v>
      </c>
      <c r="L13" s="10">
        <v>14.4320340562751</v>
      </c>
      <c r="M13" s="10">
        <v>14.7526835693403</v>
      </c>
      <c r="N13" s="10">
        <f t="shared" si="0"/>
        <v>14.317636530959499</v>
      </c>
      <c r="O13" s="10">
        <f t="shared" si="1"/>
        <v>3.4624468677270763</v>
      </c>
      <c r="P13" s="10" t="str">
        <f t="shared" si="2"/>
        <v>NA</v>
      </c>
      <c r="S13" s="12" t="s">
        <v>11562</v>
      </c>
      <c r="T13" s="13">
        <v>14.660895399999999</v>
      </c>
      <c r="U13" s="39"/>
    </row>
    <row r="14" spans="1:22" x14ac:dyDescent="0.2">
      <c r="A14" s="22" t="str">
        <f>"T28F4.5"</f>
        <v>T28F4.5</v>
      </c>
      <c r="B14" s="22" t="s">
        <v>9987</v>
      </c>
      <c r="C14" s="22" t="s">
        <v>368</v>
      </c>
      <c r="D14" s="22" t="s">
        <v>29</v>
      </c>
      <c r="E14" s="22" t="str">
        <f t="shared" si="3"/>
        <v>NA</v>
      </c>
      <c r="F14" s="22" t="s">
        <v>29</v>
      </c>
      <c r="G14" s="22" t="s">
        <v>14849</v>
      </c>
      <c r="H14" s="22" t="s">
        <v>14849</v>
      </c>
      <c r="I14" s="22" t="s">
        <v>14849</v>
      </c>
      <c r="J14" s="22" t="s">
        <v>14849</v>
      </c>
      <c r="K14" s="22">
        <v>13.3105331055887</v>
      </c>
      <c r="L14" s="22">
        <v>14.2610041578008</v>
      </c>
      <c r="M14" s="22">
        <v>13.132200092098699</v>
      </c>
      <c r="N14" s="22">
        <f t="shared" si="0"/>
        <v>13.5679124518294</v>
      </c>
      <c r="O14" s="22" t="str">
        <f t="shared" si="1"/>
        <v>ND</v>
      </c>
      <c r="P14" s="22" t="str">
        <f t="shared" si="2"/>
        <v>NA</v>
      </c>
      <c r="S14" s="12" t="s">
        <v>8188</v>
      </c>
      <c r="T14" s="13">
        <v>14.6257997</v>
      </c>
      <c r="U14" s="39"/>
    </row>
    <row r="15" spans="1:22" x14ac:dyDescent="0.2">
      <c r="A15" s="24" t="str">
        <f>"srp-2"</f>
        <v>srp-2</v>
      </c>
      <c r="B15" s="24" t="s">
        <v>3363</v>
      </c>
      <c r="C15" s="24" t="s">
        <v>599</v>
      </c>
      <c r="D15" s="24" t="s">
        <v>29</v>
      </c>
      <c r="E15" s="24" t="str">
        <f t="shared" si="3"/>
        <v>NA</v>
      </c>
      <c r="F15" s="24" t="s">
        <v>29</v>
      </c>
      <c r="G15" s="24" t="s">
        <v>14849</v>
      </c>
      <c r="H15" s="24" t="s">
        <v>14849</v>
      </c>
      <c r="I15" s="24" t="s">
        <v>14849</v>
      </c>
      <c r="J15" s="24" t="s">
        <v>14849</v>
      </c>
      <c r="K15" s="24">
        <v>13.5461395567501</v>
      </c>
      <c r="L15" s="24">
        <v>13.909913440962001</v>
      </c>
      <c r="M15" s="24">
        <v>12.8441820020969</v>
      </c>
      <c r="N15" s="24">
        <f t="shared" si="0"/>
        <v>13.433411666603</v>
      </c>
      <c r="O15" s="24" t="str">
        <f t="shared" si="1"/>
        <v>ND</v>
      </c>
      <c r="P15" s="24" t="str">
        <f t="shared" si="2"/>
        <v>NA</v>
      </c>
      <c r="S15" s="12" t="s">
        <v>3189</v>
      </c>
      <c r="T15" s="13">
        <v>13.513067700000001</v>
      </c>
      <c r="U15" s="39"/>
    </row>
    <row r="16" spans="1:22" x14ac:dyDescent="0.2">
      <c r="A16" s="10" t="str">
        <f>"clp-1"</f>
        <v>clp-1</v>
      </c>
      <c r="B16" s="10" t="s">
        <v>4978</v>
      </c>
      <c r="C16" s="10" t="s">
        <v>4980</v>
      </c>
      <c r="D16" s="10" t="s">
        <v>29</v>
      </c>
      <c r="E16" s="10" t="str">
        <f t="shared" si="3"/>
        <v>NA</v>
      </c>
      <c r="F16" s="10" t="s">
        <v>29</v>
      </c>
      <c r="G16" s="10" t="s">
        <v>14849</v>
      </c>
      <c r="H16" s="10" t="s">
        <v>14849</v>
      </c>
      <c r="I16" s="10" t="s">
        <v>14849</v>
      </c>
      <c r="J16" s="10" t="s">
        <v>14849</v>
      </c>
      <c r="K16" s="10">
        <v>12.173784977444599</v>
      </c>
      <c r="L16" s="10">
        <v>13.645877874236801</v>
      </c>
      <c r="M16" s="10">
        <v>14.098814535978899</v>
      </c>
      <c r="N16" s="10">
        <f t="shared" si="0"/>
        <v>13.3061591292201</v>
      </c>
      <c r="O16" s="10">
        <f t="shared" si="1"/>
        <v>2.3367719299999998</v>
      </c>
      <c r="P16" s="10" t="str">
        <f t="shared" si="2"/>
        <v>NA</v>
      </c>
      <c r="S16" s="12" t="s">
        <v>76</v>
      </c>
      <c r="T16" s="13">
        <v>13.279445000000001</v>
      </c>
      <c r="U16" s="39"/>
    </row>
    <row r="17" spans="1:21" x14ac:dyDescent="0.2">
      <c r="A17" s="16" t="str">
        <f>"vha-7"</f>
        <v>vha-7</v>
      </c>
      <c r="B17" s="16" t="s">
        <v>643</v>
      </c>
      <c r="C17" s="16" t="s">
        <v>645</v>
      </c>
      <c r="D17" s="16" t="s">
        <v>29</v>
      </c>
      <c r="E17" s="16" t="str">
        <f t="shared" si="3"/>
        <v>NA</v>
      </c>
      <c r="F17" s="16" t="s">
        <v>29</v>
      </c>
      <c r="G17" s="16" t="s">
        <v>14849</v>
      </c>
      <c r="H17" s="16" t="s">
        <v>14849</v>
      </c>
      <c r="I17" s="16" t="s">
        <v>14849</v>
      </c>
      <c r="J17" s="16" t="s">
        <v>14849</v>
      </c>
      <c r="K17" s="16">
        <v>12.6861351329736</v>
      </c>
      <c r="L17" s="16">
        <v>13.0619734034616</v>
      </c>
      <c r="M17" s="16">
        <v>13.4600761710948</v>
      </c>
      <c r="N17" s="16">
        <f t="shared" si="0"/>
        <v>13.06939490251</v>
      </c>
      <c r="O17" s="16">
        <f t="shared" si="1"/>
        <v>5.4147697799611878</v>
      </c>
      <c r="P17" s="16" t="str">
        <f t="shared" si="2"/>
        <v>NA</v>
      </c>
      <c r="S17" s="12" t="s">
        <v>10385</v>
      </c>
      <c r="T17" s="13">
        <v>12.7803343</v>
      </c>
      <c r="U17" s="39"/>
    </row>
    <row r="18" spans="1:21" x14ac:dyDescent="0.2">
      <c r="A18" s="27" t="str">
        <f>"nekl-3"</f>
        <v>nekl-3</v>
      </c>
      <c r="B18" s="27" t="s">
        <v>1902</v>
      </c>
      <c r="C18" s="27" t="s">
        <v>1904</v>
      </c>
      <c r="D18" s="27">
        <v>8.0570554533880703</v>
      </c>
      <c r="E18" s="27">
        <f t="shared" si="3"/>
        <v>266.32710494359321</v>
      </c>
      <c r="F18" s="35">
        <v>3.48406879672705E-10</v>
      </c>
      <c r="G18" s="27">
        <v>12.2544733498094</v>
      </c>
      <c r="H18" s="27">
        <v>12.578076886291599</v>
      </c>
      <c r="I18" s="27">
        <v>12.269706398230401</v>
      </c>
      <c r="J18" s="27">
        <f t="shared" ref="J18:J49" si="4">AVERAGEIF(G18:I18, "&gt;0")</f>
        <v>12.367418878110465</v>
      </c>
      <c r="K18" s="27">
        <v>19.917264719319</v>
      </c>
      <c r="L18" s="27">
        <v>20.6675147884791</v>
      </c>
      <c r="M18" s="27">
        <v>20.688643486697501</v>
      </c>
      <c r="N18" s="27">
        <f t="shared" si="0"/>
        <v>20.424474331498534</v>
      </c>
      <c r="O18" s="27" t="str">
        <f t="shared" si="1"/>
        <v>ND</v>
      </c>
      <c r="P18" s="27" t="str">
        <f t="shared" si="2"/>
        <v>NA</v>
      </c>
      <c r="S18" s="12" t="s">
        <v>11175</v>
      </c>
      <c r="T18" s="13">
        <v>12.709663600000001</v>
      </c>
      <c r="U18" s="39"/>
    </row>
    <row r="19" spans="1:21" x14ac:dyDescent="0.2">
      <c r="A19" s="14" t="str">
        <f>"aldo-2"</f>
        <v>aldo-2</v>
      </c>
      <c r="B19" s="14" t="s">
        <v>5633</v>
      </c>
      <c r="C19" s="14" t="s">
        <v>5635</v>
      </c>
      <c r="D19" s="14">
        <v>7.5454079166684602</v>
      </c>
      <c r="E19" s="14">
        <f t="shared" si="3"/>
        <v>186.80741569972423</v>
      </c>
      <c r="F19" s="30">
        <v>4.5769534463196903E-12</v>
      </c>
      <c r="G19" s="14">
        <v>14.4703821797707</v>
      </c>
      <c r="H19" s="14">
        <v>13.5247751416188</v>
      </c>
      <c r="I19" s="14">
        <v>13.9129046498284</v>
      </c>
      <c r="J19" s="14">
        <f t="shared" si="4"/>
        <v>13.969353990405965</v>
      </c>
      <c r="K19" s="14">
        <v>21.3508721025506</v>
      </c>
      <c r="L19" s="14">
        <v>21.903685286551099</v>
      </c>
      <c r="M19" s="14">
        <v>21.289728332121602</v>
      </c>
      <c r="N19" s="14">
        <f t="shared" si="0"/>
        <v>21.514761907074433</v>
      </c>
      <c r="O19" s="14">
        <f t="shared" si="1"/>
        <v>131.944345</v>
      </c>
      <c r="P19" s="14">
        <f t="shared" si="2"/>
        <v>1.4158046386885639</v>
      </c>
      <c r="S19" s="12" t="s">
        <v>2196</v>
      </c>
      <c r="T19" s="13">
        <v>12.573299199999999</v>
      </c>
      <c r="U19" s="39"/>
    </row>
    <row r="20" spans="1:21" x14ac:dyDescent="0.2">
      <c r="A20" s="14" t="str">
        <f>"C39D10.8"</f>
        <v>C39D10.8</v>
      </c>
      <c r="B20" s="14" t="s">
        <v>11561</v>
      </c>
      <c r="C20" s="14" t="s">
        <v>9491</v>
      </c>
      <c r="D20" s="14">
        <v>6.39345479422962</v>
      </c>
      <c r="E20" s="14">
        <f t="shared" si="3"/>
        <v>84.066248839139391</v>
      </c>
      <c r="F20" s="30">
        <v>4.5769534463196903E-12</v>
      </c>
      <c r="G20" s="14">
        <v>11.3611765995254</v>
      </c>
      <c r="H20" s="14">
        <v>10.9252943085566</v>
      </c>
      <c r="I20" s="14">
        <v>11.3700435765974</v>
      </c>
      <c r="J20" s="14">
        <f t="shared" si="4"/>
        <v>11.218838161559802</v>
      </c>
      <c r="K20" s="14">
        <v>17.557970508449198</v>
      </c>
      <c r="L20" s="14">
        <v>17.6088300192866</v>
      </c>
      <c r="M20" s="14">
        <v>17.6700783396325</v>
      </c>
      <c r="N20" s="14">
        <f t="shared" si="0"/>
        <v>17.612292955789432</v>
      </c>
      <c r="O20" s="14">
        <f t="shared" si="1"/>
        <v>14.660895399999999</v>
      </c>
      <c r="P20" s="14">
        <f t="shared" si="2"/>
        <v>5.7340460146205938</v>
      </c>
      <c r="S20" s="12" t="s">
        <v>8819</v>
      </c>
      <c r="T20" s="13">
        <v>11.9608679</v>
      </c>
      <c r="U20" s="39"/>
    </row>
    <row r="21" spans="1:21" x14ac:dyDescent="0.2">
      <c r="A21" s="14" t="str">
        <f>"ampd-1"</f>
        <v>ampd-1</v>
      </c>
      <c r="B21" s="14" t="s">
        <v>235</v>
      </c>
      <c r="C21" s="14" t="s">
        <v>237</v>
      </c>
      <c r="D21" s="14">
        <v>5.23773956190192</v>
      </c>
      <c r="E21" s="14">
        <f t="shared" si="3"/>
        <v>37.732598775820762</v>
      </c>
      <c r="F21" s="30">
        <v>2.4806522159814098E-8</v>
      </c>
      <c r="G21" s="14">
        <v>12.726094433296501</v>
      </c>
      <c r="H21" s="14">
        <v>11.783712190855301</v>
      </c>
      <c r="I21" s="14">
        <v>12.351551426175501</v>
      </c>
      <c r="J21" s="14">
        <f t="shared" si="4"/>
        <v>12.2871193501091</v>
      </c>
      <c r="K21" s="14">
        <v>17.014835789690299</v>
      </c>
      <c r="L21" s="14">
        <v>17.546786394579499</v>
      </c>
      <c r="M21" s="14">
        <v>18.012954551763301</v>
      </c>
      <c r="N21" s="14">
        <f t="shared" si="0"/>
        <v>17.52485891201103</v>
      </c>
      <c r="O21" s="14">
        <f t="shared" si="1"/>
        <v>15.711251000000001</v>
      </c>
      <c r="P21" s="14">
        <f t="shared" si="2"/>
        <v>2.4016291749027978</v>
      </c>
      <c r="S21" s="12" t="s">
        <v>6701</v>
      </c>
      <c r="T21" s="13">
        <v>11.410588000000001</v>
      </c>
      <c r="U21" s="39"/>
    </row>
    <row r="22" spans="1:21" x14ac:dyDescent="0.2">
      <c r="A22" s="14" t="str">
        <f>"C05C8.7"</f>
        <v>C05C8.7</v>
      </c>
      <c r="B22" s="14" t="s">
        <v>3188</v>
      </c>
      <c r="C22" s="14" t="s">
        <v>3190</v>
      </c>
      <c r="D22" s="14">
        <v>4.1232527948666799</v>
      </c>
      <c r="E22" s="14">
        <f t="shared" si="3"/>
        <v>17.427005608344949</v>
      </c>
      <c r="F22" s="30">
        <v>1.4285328298076999E-8</v>
      </c>
      <c r="G22" s="14">
        <v>12.4041123835161</v>
      </c>
      <c r="H22" s="14">
        <v>12.782009873755401</v>
      </c>
      <c r="I22" s="14">
        <v>12.6895545720184</v>
      </c>
      <c r="J22" s="14">
        <f t="shared" si="4"/>
        <v>12.6252256097633</v>
      </c>
      <c r="K22" s="14">
        <v>16.302419515345999</v>
      </c>
      <c r="L22" s="14">
        <v>16.768706953071401</v>
      </c>
      <c r="M22" s="14">
        <v>17.174308745472601</v>
      </c>
      <c r="N22" s="14">
        <f t="shared" si="0"/>
        <v>16.748478404630003</v>
      </c>
      <c r="O22" s="14">
        <f t="shared" si="1"/>
        <v>13.513067700000001</v>
      </c>
      <c r="P22" s="14">
        <f t="shared" si="2"/>
        <v>1.2896409605307422</v>
      </c>
      <c r="S22" s="12" t="s">
        <v>4114</v>
      </c>
      <c r="T22" s="13">
        <v>11.1537191</v>
      </c>
      <c r="U22" s="39"/>
    </row>
    <row r="23" spans="1:21" x14ac:dyDescent="0.2">
      <c r="A23" s="14" t="str">
        <f>"nap-1"</f>
        <v>nap-1</v>
      </c>
      <c r="B23" s="14" t="s">
        <v>8062</v>
      </c>
      <c r="C23" s="14" t="s">
        <v>8064</v>
      </c>
      <c r="D23" s="14">
        <v>4.0195984135021998</v>
      </c>
      <c r="E23" s="14">
        <f t="shared" si="3"/>
        <v>16.218836396475261</v>
      </c>
      <c r="F23" s="30">
        <v>1.4576233940960101E-7</v>
      </c>
      <c r="G23" s="14">
        <v>12.6789625809438</v>
      </c>
      <c r="H23" s="14">
        <v>12.5725581685767</v>
      </c>
      <c r="I23" s="14">
        <v>12.714227230652901</v>
      </c>
      <c r="J23" s="14">
        <f t="shared" si="4"/>
        <v>12.655249326724467</v>
      </c>
      <c r="K23" s="14">
        <v>16.021453755034202</v>
      </c>
      <c r="L23" s="14">
        <v>16.6952911184869</v>
      </c>
      <c r="M23" s="14">
        <v>17.307798347158801</v>
      </c>
      <c r="N23" s="14">
        <f t="shared" si="0"/>
        <v>16.674847740226635</v>
      </c>
      <c r="O23" s="14">
        <f t="shared" si="1"/>
        <v>58.276928099999999</v>
      </c>
      <c r="P23" s="14">
        <f t="shared" si="2"/>
        <v>0.27830630277293666</v>
      </c>
      <c r="S23" s="12" t="s">
        <v>14177</v>
      </c>
      <c r="T23" s="13">
        <v>11.1474306</v>
      </c>
      <c r="U23" s="39"/>
    </row>
    <row r="24" spans="1:21" x14ac:dyDescent="0.2">
      <c r="A24" s="24" t="str">
        <f>"cdkr-3"</f>
        <v>cdkr-3</v>
      </c>
      <c r="B24" s="24" t="s">
        <v>13319</v>
      </c>
      <c r="C24" s="24" t="s">
        <v>13321</v>
      </c>
      <c r="D24" s="24">
        <v>4.0025948549921004</v>
      </c>
      <c r="E24" s="24">
        <f t="shared" si="3"/>
        <v>16.028803758439185</v>
      </c>
      <c r="F24" s="29">
        <v>1.8583783594169601E-8</v>
      </c>
      <c r="G24" s="24">
        <v>9.3746290607799398</v>
      </c>
      <c r="H24" s="24">
        <v>9.0076505403956606</v>
      </c>
      <c r="I24" s="24" t="s">
        <v>14849</v>
      </c>
      <c r="J24" s="24">
        <f t="shared" si="4"/>
        <v>9.1911398005878002</v>
      </c>
      <c r="K24" s="24">
        <v>12.5725574172832</v>
      </c>
      <c r="L24" s="24">
        <v>13.287926952583801</v>
      </c>
      <c r="M24" s="24">
        <v>13.7207195968727</v>
      </c>
      <c r="N24" s="24">
        <f t="shared" si="0"/>
        <v>13.193734655579901</v>
      </c>
      <c r="O24" s="24" t="str">
        <f t="shared" si="1"/>
        <v>ND</v>
      </c>
      <c r="P24" s="24" t="str">
        <f t="shared" si="2"/>
        <v>NA</v>
      </c>
      <c r="S24" s="14" t="s">
        <v>7065</v>
      </c>
      <c r="T24" s="15">
        <v>10.739022063060709</v>
      </c>
      <c r="U24" s="40"/>
    </row>
    <row r="25" spans="1:21" x14ac:dyDescent="0.2">
      <c r="A25" s="16" t="str">
        <f>"cogc-8"</f>
        <v>cogc-8</v>
      </c>
      <c r="B25" s="16" t="s">
        <v>3804</v>
      </c>
      <c r="C25" s="16" t="s">
        <v>3806</v>
      </c>
      <c r="D25" s="16">
        <v>3.9952042443280602</v>
      </c>
      <c r="E25" s="16">
        <f t="shared" si="3"/>
        <v>15.946901670324317</v>
      </c>
      <c r="F25" s="31">
        <v>2.0205672476126399E-6</v>
      </c>
      <c r="G25" s="16">
        <v>11.5378934767988</v>
      </c>
      <c r="H25" s="16">
        <v>12.455456303284601</v>
      </c>
      <c r="I25" s="16">
        <v>11.5320095853906</v>
      </c>
      <c r="J25" s="16">
        <f t="shared" si="4"/>
        <v>11.841786455158001</v>
      </c>
      <c r="K25" s="16">
        <v>15.551780495257301</v>
      </c>
      <c r="L25" s="16">
        <v>15.799663346123401</v>
      </c>
      <c r="M25" s="16">
        <v>16.159528257077501</v>
      </c>
      <c r="N25" s="16">
        <f t="shared" si="0"/>
        <v>15.836990699486066</v>
      </c>
      <c r="O25" s="16">
        <f t="shared" si="1"/>
        <v>5.0381587100000003</v>
      </c>
      <c r="P25" s="16">
        <f t="shared" si="2"/>
        <v>3.1652241599043069</v>
      </c>
      <c r="S25" s="12" t="s">
        <v>6784</v>
      </c>
      <c r="T25" s="13">
        <v>10.478298199999999</v>
      </c>
      <c r="U25" s="39"/>
    </row>
    <row r="26" spans="1:21" x14ac:dyDescent="0.2">
      <c r="A26" s="16" t="str">
        <f>"pck-2"</f>
        <v>pck-2</v>
      </c>
      <c r="B26" s="16" t="s">
        <v>3077</v>
      </c>
      <c r="C26" s="16" t="s">
        <v>3079</v>
      </c>
      <c r="D26" s="16">
        <v>3.9611257227021599</v>
      </c>
      <c r="E26" s="16">
        <f t="shared" si="3"/>
        <v>15.574627167946938</v>
      </c>
      <c r="F26" s="31">
        <v>1.58363383871426E-9</v>
      </c>
      <c r="G26" s="16">
        <v>14.2351025874752</v>
      </c>
      <c r="H26" s="16">
        <v>14.0989692015164</v>
      </c>
      <c r="I26" s="16">
        <v>14.274739648371099</v>
      </c>
      <c r="J26" s="16">
        <f t="shared" si="4"/>
        <v>14.202937145787567</v>
      </c>
      <c r="K26" s="16">
        <v>17.699680458703099</v>
      </c>
      <c r="L26" s="16">
        <v>18.305666084782001</v>
      </c>
      <c r="M26" s="16">
        <v>18.486842061984099</v>
      </c>
      <c r="N26" s="16">
        <f t="shared" si="0"/>
        <v>18.164062868489733</v>
      </c>
      <c r="O26" s="16">
        <f t="shared" si="1"/>
        <v>6.2592155700000003</v>
      </c>
      <c r="P26" s="16">
        <f t="shared" si="2"/>
        <v>2.4882714125704632</v>
      </c>
      <c r="S26" s="12" t="s">
        <v>4012</v>
      </c>
      <c r="T26" s="13">
        <v>10.26802</v>
      </c>
      <c r="U26" s="39"/>
    </row>
    <row r="27" spans="1:21" x14ac:dyDescent="0.2">
      <c r="A27" s="16" t="str">
        <f>"gln-3"</f>
        <v>gln-3</v>
      </c>
      <c r="B27" s="16" t="s">
        <v>13333</v>
      </c>
      <c r="C27" s="16" t="s">
        <v>13335</v>
      </c>
      <c r="D27" s="16">
        <v>3.9547704430835902</v>
      </c>
      <c r="E27" s="16">
        <f t="shared" si="3"/>
        <v>15.506169583667511</v>
      </c>
      <c r="F27" s="31">
        <v>1.2247177287764699E-5</v>
      </c>
      <c r="G27" s="16">
        <v>13.192061486307001</v>
      </c>
      <c r="H27" s="16">
        <v>12.7365333560926</v>
      </c>
      <c r="I27" s="16">
        <v>12.352994465150299</v>
      </c>
      <c r="J27" s="16">
        <f t="shared" si="4"/>
        <v>12.7605297691833</v>
      </c>
      <c r="K27" s="16">
        <v>16.661127148173598</v>
      </c>
      <c r="L27" s="16">
        <v>16.380630910110899</v>
      </c>
      <c r="M27" s="16">
        <v>17.1041425785162</v>
      </c>
      <c r="N27" s="16">
        <f t="shared" si="0"/>
        <v>16.7153002122669</v>
      </c>
      <c r="O27" s="16">
        <f t="shared" si="1"/>
        <v>8.4615092599999997</v>
      </c>
      <c r="P27" s="16">
        <f t="shared" si="2"/>
        <v>1.8325536387426362</v>
      </c>
      <c r="S27" s="16" t="s">
        <v>11934</v>
      </c>
      <c r="T27" s="17">
        <v>9.9269247280034332</v>
      </c>
      <c r="U27" s="39" t="s">
        <v>14927</v>
      </c>
    </row>
    <row r="28" spans="1:21" x14ac:dyDescent="0.2">
      <c r="A28" s="10" t="str">
        <f>"fah-1"</f>
        <v>fah-1</v>
      </c>
      <c r="B28" s="10" t="s">
        <v>11370</v>
      </c>
      <c r="C28" s="10" t="s">
        <v>11372</v>
      </c>
      <c r="D28" s="10">
        <v>3.8115180590801701</v>
      </c>
      <c r="E28" s="10">
        <f t="shared" si="3"/>
        <v>14.040457679266868</v>
      </c>
      <c r="F28" s="32">
        <v>4.2505967103508899E-6</v>
      </c>
      <c r="G28" s="10" t="s">
        <v>14849</v>
      </c>
      <c r="H28" s="10">
        <v>10.947054000479399</v>
      </c>
      <c r="I28" s="10" t="s">
        <v>14849</v>
      </c>
      <c r="J28" s="10">
        <f t="shared" si="4"/>
        <v>10.947054000479399</v>
      </c>
      <c r="K28" s="10">
        <v>14.4699206038465</v>
      </c>
      <c r="L28" s="10">
        <v>14.7865618930691</v>
      </c>
      <c r="M28" s="10">
        <v>15.019233681763</v>
      </c>
      <c r="N28" s="10">
        <f t="shared" si="0"/>
        <v>14.758572059559533</v>
      </c>
      <c r="O28" s="10">
        <f t="shared" si="1"/>
        <v>2.7911792396759152</v>
      </c>
      <c r="P28" s="10">
        <f t="shared" si="2"/>
        <v>5.0302959694186855</v>
      </c>
      <c r="S28" s="16" t="s">
        <v>6133</v>
      </c>
      <c r="T28" s="17">
        <v>9.8103186667543536</v>
      </c>
      <c r="U28" s="39" t="s">
        <v>14917</v>
      </c>
    </row>
    <row r="29" spans="1:21" x14ac:dyDescent="0.2">
      <c r="A29" s="10" t="str">
        <f>"natc-1"</f>
        <v>natc-1</v>
      </c>
      <c r="B29" s="10" t="s">
        <v>3298</v>
      </c>
      <c r="C29" s="10" t="s">
        <v>3300</v>
      </c>
      <c r="D29" s="10">
        <v>3.73597724678014</v>
      </c>
      <c r="E29" s="10">
        <f t="shared" si="3"/>
        <v>13.324202192039323</v>
      </c>
      <c r="F29" s="32">
        <v>3.9161654776410802E-6</v>
      </c>
      <c r="G29" s="10">
        <v>12.171743768465101</v>
      </c>
      <c r="H29" s="10">
        <v>11.878978978488099</v>
      </c>
      <c r="I29" s="10">
        <v>12.415713199401001</v>
      </c>
      <c r="J29" s="10">
        <f t="shared" si="4"/>
        <v>12.155478648784731</v>
      </c>
      <c r="K29" s="10">
        <v>16.023242154385301</v>
      </c>
      <c r="L29" s="10">
        <v>15.7701545254564</v>
      </c>
      <c r="M29" s="10">
        <v>15.8809710068527</v>
      </c>
      <c r="N29" s="10">
        <f t="shared" si="0"/>
        <v>15.891455895564798</v>
      </c>
      <c r="O29" s="10">
        <f t="shared" si="1"/>
        <v>4.4027046299999997</v>
      </c>
      <c r="P29" s="10">
        <f t="shared" si="2"/>
        <v>3.0263674972080339</v>
      </c>
      <c r="S29" s="18" t="s">
        <v>5490</v>
      </c>
      <c r="T29" s="19">
        <v>8.9708627199999995</v>
      </c>
      <c r="U29" s="39"/>
    </row>
    <row r="30" spans="1:21" x14ac:dyDescent="0.2">
      <c r="A30" s="14" t="str">
        <f>"erfa-3"</f>
        <v>erfa-3</v>
      </c>
      <c r="B30" s="14" t="s">
        <v>4113</v>
      </c>
      <c r="C30" s="14" t="s">
        <v>4115</v>
      </c>
      <c r="D30" s="14">
        <v>3.68596756086606</v>
      </c>
      <c r="E30" s="14">
        <f t="shared" si="3"/>
        <v>12.870244543155842</v>
      </c>
      <c r="F30" s="30">
        <v>1.1631114247878599E-6</v>
      </c>
      <c r="G30" s="14">
        <v>14.868496968503599</v>
      </c>
      <c r="H30" s="14">
        <v>14.5904233236647</v>
      </c>
      <c r="I30" s="14">
        <v>14.616835287969201</v>
      </c>
      <c r="J30" s="14">
        <f t="shared" si="4"/>
        <v>14.691918526712501</v>
      </c>
      <c r="K30" s="14">
        <v>17.845330434927</v>
      </c>
      <c r="L30" s="14">
        <v>18.319307456019899</v>
      </c>
      <c r="M30" s="14">
        <v>18.969020371788702</v>
      </c>
      <c r="N30" s="14">
        <f t="shared" si="0"/>
        <v>18.377886087578535</v>
      </c>
      <c r="O30" s="14">
        <f t="shared" si="1"/>
        <v>11.1537191</v>
      </c>
      <c r="P30" s="14">
        <f t="shared" si="2"/>
        <v>1.1538971376064009</v>
      </c>
      <c r="S30" s="16" t="s">
        <v>12650</v>
      </c>
      <c r="T30" s="19">
        <v>8.5325504999825288</v>
      </c>
      <c r="U30" s="39"/>
    </row>
    <row r="31" spans="1:21" x14ac:dyDescent="0.2">
      <c r="A31" s="10" t="str">
        <f>"exc-15"</f>
        <v>exc-15</v>
      </c>
      <c r="B31" s="10" t="s">
        <v>9758</v>
      </c>
      <c r="C31" s="10" t="s">
        <v>6170</v>
      </c>
      <c r="D31" s="10">
        <v>3.6525134321669901</v>
      </c>
      <c r="E31" s="10">
        <f t="shared" si="3"/>
        <v>12.575234796028784</v>
      </c>
      <c r="F31" s="32">
        <v>2.8095992531541701E-5</v>
      </c>
      <c r="G31" s="10">
        <v>10.441976319323301</v>
      </c>
      <c r="H31" s="10" t="s">
        <v>14849</v>
      </c>
      <c r="I31" s="10" t="s">
        <v>14849</v>
      </c>
      <c r="J31" s="10">
        <f t="shared" si="4"/>
        <v>10.441976319323301</v>
      </c>
      <c r="K31" s="10">
        <v>13.967470937966601</v>
      </c>
      <c r="L31" s="10">
        <v>14.4653166480014</v>
      </c>
      <c r="M31" s="10">
        <v>13.8506816685028</v>
      </c>
      <c r="N31" s="10">
        <f t="shared" si="0"/>
        <v>14.094489751490267</v>
      </c>
      <c r="O31" s="10">
        <f t="shared" si="1"/>
        <v>4.2269197700000003</v>
      </c>
      <c r="P31" s="10">
        <f t="shared" si="2"/>
        <v>2.9750351272999875</v>
      </c>
      <c r="S31" s="18" t="s">
        <v>13334</v>
      </c>
      <c r="T31" s="19">
        <v>8.4615092599999997</v>
      </c>
      <c r="U31" s="39"/>
    </row>
    <row r="32" spans="1:21" x14ac:dyDescent="0.2">
      <c r="A32" s="25" t="str">
        <f>"mlt-3"</f>
        <v>mlt-3</v>
      </c>
      <c r="B32" s="25" t="s">
        <v>13263</v>
      </c>
      <c r="C32" s="25" t="s">
        <v>4483</v>
      </c>
      <c r="D32" s="25">
        <v>3.5871922265189902</v>
      </c>
      <c r="E32" s="25">
        <f t="shared" si="3"/>
        <v>12.018560677132191</v>
      </c>
      <c r="F32" s="26">
        <v>5.7095593616893897E-6</v>
      </c>
      <c r="G32" s="25">
        <v>12.0313594007247</v>
      </c>
      <c r="H32" s="25">
        <v>10.1472465554517</v>
      </c>
      <c r="I32" s="25">
        <v>11.3353312261752</v>
      </c>
      <c r="J32" s="25">
        <f t="shared" si="4"/>
        <v>11.1713123941172</v>
      </c>
      <c r="K32" s="25">
        <v>14.1624945534264</v>
      </c>
      <c r="L32" s="25">
        <v>14.712963276319501</v>
      </c>
      <c r="M32" s="25">
        <v>15.4000560321628</v>
      </c>
      <c r="N32" s="25">
        <f t="shared" si="0"/>
        <v>14.758504620636232</v>
      </c>
      <c r="O32" s="25" t="str">
        <f t="shared" si="1"/>
        <v>ND</v>
      </c>
      <c r="P32" s="25" t="str">
        <f t="shared" si="2"/>
        <v>NA</v>
      </c>
      <c r="S32" s="16" t="s">
        <v>1727</v>
      </c>
      <c r="T32" s="17">
        <v>8.2716725536539464</v>
      </c>
      <c r="U32" s="40"/>
    </row>
    <row r="33" spans="1:21" x14ac:dyDescent="0.2">
      <c r="A33" s="16" t="str">
        <f>"hpd-1"</f>
        <v>hpd-1</v>
      </c>
      <c r="B33" s="16" t="s">
        <v>9883</v>
      </c>
      <c r="C33" s="16" t="s">
        <v>9885</v>
      </c>
      <c r="D33" s="16">
        <v>3.5737848657373199</v>
      </c>
      <c r="E33" s="16">
        <f t="shared" si="3"/>
        <v>11.907386282974304</v>
      </c>
      <c r="F33" s="31">
        <v>1.4285328298076999E-8</v>
      </c>
      <c r="G33" s="16">
        <v>12.0996727023833</v>
      </c>
      <c r="H33" s="16">
        <v>12.4119483496578</v>
      </c>
      <c r="I33" s="16">
        <v>11.8867566762215</v>
      </c>
      <c r="J33" s="16">
        <f t="shared" si="4"/>
        <v>12.132792576087533</v>
      </c>
      <c r="K33" s="16">
        <v>15.284363634759</v>
      </c>
      <c r="L33" s="16">
        <v>15.976485614620801</v>
      </c>
      <c r="M33" s="16">
        <v>15.8588830760948</v>
      </c>
      <c r="N33" s="16">
        <f t="shared" si="0"/>
        <v>15.706577441824868</v>
      </c>
      <c r="O33" s="16">
        <f t="shared" si="1"/>
        <v>5.3329647099999997</v>
      </c>
      <c r="P33" s="16">
        <f t="shared" si="2"/>
        <v>2.2327892514732777</v>
      </c>
      <c r="S33" s="18" t="s">
        <v>7354</v>
      </c>
      <c r="T33" s="19">
        <v>7.2656431499999998</v>
      </c>
      <c r="U33" s="39"/>
    </row>
    <row r="34" spans="1:21" x14ac:dyDescent="0.2">
      <c r="A34" s="14" t="str">
        <f>"tdo-2"</f>
        <v>tdo-2</v>
      </c>
      <c r="B34" s="14" t="s">
        <v>6783</v>
      </c>
      <c r="C34" s="14" t="s">
        <v>6785</v>
      </c>
      <c r="D34" s="14">
        <v>3.5226346679321101</v>
      </c>
      <c r="E34" s="14">
        <f t="shared" si="3"/>
        <v>11.49261078273611</v>
      </c>
      <c r="F34" s="30">
        <v>1.09639867603329E-5</v>
      </c>
      <c r="G34" s="14">
        <v>12.4614333638552</v>
      </c>
      <c r="H34" s="14">
        <v>12.601271399343601</v>
      </c>
      <c r="I34" s="14">
        <v>13.832710655138801</v>
      </c>
      <c r="J34" s="14">
        <f t="shared" si="4"/>
        <v>12.965138472779202</v>
      </c>
      <c r="K34" s="14">
        <v>15.7023987263254</v>
      </c>
      <c r="L34" s="14">
        <v>16.673338453384801</v>
      </c>
      <c r="M34" s="14">
        <v>17.0875822424238</v>
      </c>
      <c r="N34" s="14">
        <f t="shared" ref="N34:N65" si="5">(K34+L34+M34)/3</f>
        <v>16.487773140711333</v>
      </c>
      <c r="O34" s="14">
        <f t="shared" ref="O34:O65" si="6">IFERROR(INDEX(T:T, MATCH(A34, S:S, 0)), "ND")</f>
        <v>10.478298199999999</v>
      </c>
      <c r="P34" s="14">
        <f t="shared" ref="P34:P65" si="7">IFERROR(E34/O34, "NA")</f>
        <v>1.0968012709102046</v>
      </c>
      <c r="S34" s="18" t="s">
        <v>8815</v>
      </c>
      <c r="T34" s="19">
        <v>7.2562335100000004</v>
      </c>
      <c r="U34" s="39"/>
    </row>
    <row r="35" spans="1:21" x14ac:dyDescent="0.2">
      <c r="A35" s="10" t="str">
        <f>"eif-2A"</f>
        <v>eif-2A</v>
      </c>
      <c r="B35" s="10" t="s">
        <v>8079</v>
      </c>
      <c r="C35" s="10" t="s">
        <v>8081</v>
      </c>
      <c r="D35" s="10">
        <v>3.4713331075555001</v>
      </c>
      <c r="E35" s="10">
        <f t="shared" si="3"/>
        <v>11.091119646625488</v>
      </c>
      <c r="F35" s="32">
        <v>2.96040376938995E-9</v>
      </c>
      <c r="G35" s="10">
        <v>12.369600254961799</v>
      </c>
      <c r="H35" s="10">
        <v>12.343046050931701</v>
      </c>
      <c r="I35" s="10">
        <v>12.295926181980001</v>
      </c>
      <c r="J35" s="10">
        <f t="shared" si="4"/>
        <v>12.336190829291168</v>
      </c>
      <c r="K35" s="10">
        <v>15.525778895549401</v>
      </c>
      <c r="L35" s="10">
        <v>16.2135234354378</v>
      </c>
      <c r="M35" s="10">
        <v>15.6832694795529</v>
      </c>
      <c r="N35" s="10">
        <f t="shared" si="5"/>
        <v>15.8075239368467</v>
      </c>
      <c r="O35" s="10">
        <f t="shared" si="6"/>
        <v>3.0728087799999999</v>
      </c>
      <c r="P35" s="10">
        <f t="shared" si="7"/>
        <v>3.6094402355311836</v>
      </c>
      <c r="S35" s="16" t="s">
        <v>4318</v>
      </c>
      <c r="T35" s="19">
        <v>7.0566296503743651</v>
      </c>
      <c r="U35" s="39"/>
    </row>
    <row r="36" spans="1:21" x14ac:dyDescent="0.2">
      <c r="A36" s="24" t="str">
        <f>"bcc-1"</f>
        <v>bcc-1</v>
      </c>
      <c r="B36" s="24" t="s">
        <v>9356</v>
      </c>
      <c r="C36" s="24" t="s">
        <v>4483</v>
      </c>
      <c r="D36" s="24">
        <v>3.4678320268324598</v>
      </c>
      <c r="E36" s="24">
        <f t="shared" si="3"/>
        <v>11.064236746596562</v>
      </c>
      <c r="F36" s="29">
        <v>5.7095593616893897E-6</v>
      </c>
      <c r="G36" s="24">
        <v>12.1590463259011</v>
      </c>
      <c r="H36" s="24">
        <v>12.1598157288987</v>
      </c>
      <c r="I36" s="24">
        <v>12.947951243612399</v>
      </c>
      <c r="J36" s="24">
        <f t="shared" si="4"/>
        <v>12.422271099470734</v>
      </c>
      <c r="K36" s="24">
        <v>15.194334236669899</v>
      </c>
      <c r="L36" s="24">
        <v>16.043264597012801</v>
      </c>
      <c r="M36" s="24">
        <v>16.432710545226801</v>
      </c>
      <c r="N36" s="24">
        <f t="shared" si="5"/>
        <v>15.890103126303167</v>
      </c>
      <c r="O36" s="24" t="str">
        <f t="shared" si="6"/>
        <v>ND</v>
      </c>
      <c r="P36" s="24" t="str">
        <f t="shared" si="7"/>
        <v>NA</v>
      </c>
      <c r="S36" s="18" t="s">
        <v>9471</v>
      </c>
      <c r="T36" s="19">
        <v>6.7355698300000002</v>
      </c>
      <c r="U36" s="39"/>
    </row>
    <row r="37" spans="1:21" x14ac:dyDescent="0.2">
      <c r="A37" s="10" t="str">
        <f>"sec-6"</f>
        <v>sec-6</v>
      </c>
      <c r="B37" s="10" t="s">
        <v>8164</v>
      </c>
      <c r="C37" s="10" t="s">
        <v>8166</v>
      </c>
      <c r="D37" s="10">
        <v>3.46195367864649</v>
      </c>
      <c r="E37" s="10">
        <f t="shared" si="3"/>
        <v>11.019246564754397</v>
      </c>
      <c r="F37" s="10">
        <v>1.9104040417674099E-3</v>
      </c>
      <c r="G37" s="10" t="s">
        <v>14849</v>
      </c>
      <c r="H37" s="10">
        <v>12.834371302891901</v>
      </c>
      <c r="I37" s="10" t="s">
        <v>14849</v>
      </c>
      <c r="J37" s="10">
        <f t="shared" si="4"/>
        <v>12.834371302891901</v>
      </c>
      <c r="K37" s="10">
        <v>16.1212411076833</v>
      </c>
      <c r="L37" s="10">
        <v>16.417010488631401</v>
      </c>
      <c r="M37" s="10">
        <v>16.350723348300502</v>
      </c>
      <c r="N37" s="10">
        <f t="shared" si="5"/>
        <v>16.296324981538401</v>
      </c>
      <c r="O37" s="10">
        <f t="shared" si="6"/>
        <v>3.2135458099999998</v>
      </c>
      <c r="P37" s="10">
        <f t="shared" si="7"/>
        <v>3.4289993721155003</v>
      </c>
      <c r="S37" s="16" t="s">
        <v>7800</v>
      </c>
      <c r="T37" s="17">
        <v>6.5615682544325828</v>
      </c>
      <c r="U37" s="40"/>
    </row>
    <row r="38" spans="1:21" x14ac:dyDescent="0.2">
      <c r="A38" s="10" t="str">
        <f>"saps-1"</f>
        <v>saps-1</v>
      </c>
      <c r="B38" s="10" t="s">
        <v>627</v>
      </c>
      <c r="C38" s="10" t="s">
        <v>629</v>
      </c>
      <c r="D38" s="10">
        <v>3.4106942098460702</v>
      </c>
      <c r="E38" s="10">
        <f t="shared" si="3"/>
        <v>10.634602541900309</v>
      </c>
      <c r="F38" s="32">
        <v>1.46547035585966E-6</v>
      </c>
      <c r="G38" s="10">
        <v>10.2053593211016</v>
      </c>
      <c r="H38" s="10" t="s">
        <v>14849</v>
      </c>
      <c r="I38" s="10">
        <v>10.379090651613501</v>
      </c>
      <c r="J38" s="10">
        <f t="shared" si="4"/>
        <v>10.292224986357549</v>
      </c>
      <c r="K38" s="10">
        <v>12.8752027210306</v>
      </c>
      <c r="L38" s="10">
        <v>13.7281203844797</v>
      </c>
      <c r="M38" s="10">
        <v>14.505434483100499</v>
      </c>
      <c r="N38" s="10">
        <f t="shared" si="5"/>
        <v>13.702919196203601</v>
      </c>
      <c r="O38" s="10">
        <f t="shared" si="6"/>
        <v>3.7304220099999998</v>
      </c>
      <c r="P38" s="10">
        <f t="shared" si="7"/>
        <v>2.8507773419180285</v>
      </c>
      <c r="S38" s="18" t="s">
        <v>5135</v>
      </c>
      <c r="T38" s="19">
        <v>6.4278586200000003</v>
      </c>
      <c r="U38" s="39"/>
    </row>
    <row r="39" spans="1:21" x14ac:dyDescent="0.2">
      <c r="A39" s="10" t="str">
        <f>"alfa-1"</f>
        <v>alfa-1</v>
      </c>
      <c r="B39" s="10" t="s">
        <v>11529</v>
      </c>
      <c r="C39" s="10" t="s">
        <v>11531</v>
      </c>
      <c r="D39" s="10">
        <v>3.4044493226907702</v>
      </c>
      <c r="E39" s="10">
        <f t="shared" si="3"/>
        <v>10.5886688123275</v>
      </c>
      <c r="F39" s="32">
        <v>4.8778083662718402E-6</v>
      </c>
      <c r="G39" s="10">
        <v>12.4065620262368</v>
      </c>
      <c r="H39" s="10">
        <v>12.247847300983899</v>
      </c>
      <c r="I39" s="10" t="s">
        <v>14849</v>
      </c>
      <c r="J39" s="10">
        <f t="shared" si="4"/>
        <v>12.327204663610349</v>
      </c>
      <c r="K39" s="10">
        <v>15.1848563708556</v>
      </c>
      <c r="L39" s="10">
        <v>15.663414547399301</v>
      </c>
      <c r="M39" s="10">
        <v>16.346691040648398</v>
      </c>
      <c r="N39" s="10">
        <f t="shared" si="5"/>
        <v>15.731653986301099</v>
      </c>
      <c r="O39" s="10">
        <f t="shared" si="6"/>
        <v>3.1386884199999998</v>
      </c>
      <c r="P39" s="10">
        <f t="shared" si="7"/>
        <v>3.3735966733287595</v>
      </c>
      <c r="S39" s="18" t="s">
        <v>6122</v>
      </c>
      <c r="T39" s="19">
        <v>6.3154922200000003</v>
      </c>
      <c r="U39" s="39"/>
    </row>
    <row r="40" spans="1:21" x14ac:dyDescent="0.2">
      <c r="A40" s="10" t="str">
        <f>"glna-1"</f>
        <v>glna-1</v>
      </c>
      <c r="B40" s="10" t="s">
        <v>14087</v>
      </c>
      <c r="C40" s="10" t="s">
        <v>14089</v>
      </c>
      <c r="D40" s="10">
        <v>3.35144245227541</v>
      </c>
      <c r="E40" s="10">
        <f t="shared" si="3"/>
        <v>10.206684886013457</v>
      </c>
      <c r="F40" s="32">
        <v>1.11625008668312E-6</v>
      </c>
      <c r="G40" s="10">
        <v>12.3697535659718</v>
      </c>
      <c r="H40" s="10">
        <v>12.1749784944752</v>
      </c>
      <c r="I40" s="10">
        <v>12.224633985691099</v>
      </c>
      <c r="J40" s="10">
        <f t="shared" si="4"/>
        <v>12.2564553487127</v>
      </c>
      <c r="K40" s="10">
        <v>14.5932705228352</v>
      </c>
      <c r="L40" s="10">
        <v>16.011982214470098</v>
      </c>
      <c r="M40" s="10">
        <v>16.218440665658999</v>
      </c>
      <c r="N40" s="10">
        <f t="shared" si="5"/>
        <v>15.607897800988098</v>
      </c>
      <c r="O40" s="10">
        <f t="shared" si="6"/>
        <v>4.0005771499999998</v>
      </c>
      <c r="P40" s="10">
        <f t="shared" si="7"/>
        <v>2.5513031003572717</v>
      </c>
      <c r="S40" s="18" t="s">
        <v>3078</v>
      </c>
      <c r="T40" s="19">
        <v>6.2592155700000003</v>
      </c>
      <c r="U40" s="39"/>
    </row>
    <row r="41" spans="1:21" x14ac:dyDescent="0.2">
      <c r="A41" s="24" t="str">
        <f>"edc-4"</f>
        <v>edc-4</v>
      </c>
      <c r="B41" s="24" t="s">
        <v>431</v>
      </c>
      <c r="C41" s="24" t="s">
        <v>433</v>
      </c>
      <c r="D41" s="24">
        <v>3.2947502515062901</v>
      </c>
      <c r="E41" s="24">
        <f t="shared" si="3"/>
        <v>9.8133808524364863</v>
      </c>
      <c r="F41" s="29">
        <v>1.4285328298076999E-8</v>
      </c>
      <c r="G41" s="24">
        <v>11.920371341518599</v>
      </c>
      <c r="H41" s="24">
        <v>11.454727761420401</v>
      </c>
      <c r="I41" s="24">
        <v>11.7757898023814</v>
      </c>
      <c r="J41" s="24">
        <f t="shared" si="4"/>
        <v>11.716962968440134</v>
      </c>
      <c r="K41" s="24">
        <v>14.8303826861244</v>
      </c>
      <c r="L41" s="24">
        <v>14.931973980028999</v>
      </c>
      <c r="M41" s="24">
        <v>15.2727829936858</v>
      </c>
      <c r="N41" s="24">
        <f t="shared" si="5"/>
        <v>15.011713219946401</v>
      </c>
      <c r="O41" s="24" t="str">
        <f t="shared" si="6"/>
        <v>ND</v>
      </c>
      <c r="P41" s="24" t="str">
        <f t="shared" si="7"/>
        <v>NA</v>
      </c>
      <c r="S41" s="16" t="s">
        <v>5987</v>
      </c>
      <c r="T41" s="17">
        <v>6.2273672773130739</v>
      </c>
      <c r="U41" s="40"/>
    </row>
    <row r="42" spans="1:21" x14ac:dyDescent="0.2">
      <c r="A42" s="16" t="str">
        <f>"pmt-2"</f>
        <v>pmt-2</v>
      </c>
      <c r="B42" s="16" t="s">
        <v>10022</v>
      </c>
      <c r="C42" s="16" t="s">
        <v>10024</v>
      </c>
      <c r="D42" s="16">
        <v>3.2329503631764398</v>
      </c>
      <c r="E42" s="16">
        <f t="shared" si="3"/>
        <v>9.4018871439965608</v>
      </c>
      <c r="F42" s="31">
        <v>1.3146726438996701E-7</v>
      </c>
      <c r="G42" s="16">
        <v>11.9114440255166</v>
      </c>
      <c r="H42" s="16">
        <v>12.139434846171101</v>
      </c>
      <c r="I42" s="16">
        <v>12.773812559739</v>
      </c>
      <c r="J42" s="16">
        <f t="shared" si="4"/>
        <v>12.2748971438089</v>
      </c>
      <c r="K42" s="16">
        <v>15.493872179934501</v>
      </c>
      <c r="L42" s="16">
        <v>15.441187846991101</v>
      </c>
      <c r="M42" s="16">
        <v>15.5884824940304</v>
      </c>
      <c r="N42" s="16">
        <f t="shared" si="5"/>
        <v>15.507847506985334</v>
      </c>
      <c r="O42" s="16">
        <f t="shared" si="6"/>
        <v>6.1614871899999999</v>
      </c>
      <c r="P42" s="16">
        <f t="shared" si="7"/>
        <v>1.52591198424557</v>
      </c>
      <c r="S42" s="18" t="s">
        <v>12892</v>
      </c>
      <c r="T42" s="19">
        <v>6.1756567000000002</v>
      </c>
      <c r="U42" s="39"/>
    </row>
    <row r="43" spans="1:21" x14ac:dyDescent="0.2">
      <c r="A43" s="16" t="str">
        <f>"xrn-1"</f>
        <v>xrn-1</v>
      </c>
      <c r="B43" s="16" t="s">
        <v>11986</v>
      </c>
      <c r="C43" s="16" t="s">
        <v>11988</v>
      </c>
      <c r="D43" s="16">
        <v>3.2124154127110098</v>
      </c>
      <c r="E43" s="16">
        <f t="shared" si="3"/>
        <v>9.2690110042954501</v>
      </c>
      <c r="F43" s="16">
        <v>3.8064404248263798E-4</v>
      </c>
      <c r="G43" s="16">
        <v>13.4420261086255</v>
      </c>
      <c r="H43" s="16">
        <v>13.9922892704029</v>
      </c>
      <c r="I43" s="16">
        <v>12.752664925249499</v>
      </c>
      <c r="J43" s="16">
        <f t="shared" si="4"/>
        <v>13.395660101425966</v>
      </c>
      <c r="K43" s="16">
        <v>16.633794246555901</v>
      </c>
      <c r="L43" s="16">
        <v>18.393877251713</v>
      </c>
      <c r="M43" s="16">
        <v>14.796555044142099</v>
      </c>
      <c r="N43" s="16">
        <f t="shared" si="5"/>
        <v>16.608075514136999</v>
      </c>
      <c r="O43" s="16">
        <f t="shared" si="6"/>
        <v>5.4986622599999997</v>
      </c>
      <c r="P43" s="16">
        <f t="shared" si="7"/>
        <v>1.6856847294882684</v>
      </c>
      <c r="S43" s="18" t="s">
        <v>10023</v>
      </c>
      <c r="T43" s="19">
        <v>6.1614871899999999</v>
      </c>
      <c r="U43" s="39"/>
    </row>
    <row r="44" spans="1:21" x14ac:dyDescent="0.2">
      <c r="A44" s="14" t="str">
        <f>"inx-12"</f>
        <v>inx-12</v>
      </c>
      <c r="B44" s="14" t="s">
        <v>2801</v>
      </c>
      <c r="C44" s="14" t="s">
        <v>2803</v>
      </c>
      <c r="D44" s="14">
        <v>2.9872737009556798</v>
      </c>
      <c r="E44" s="14">
        <f t="shared" si="3"/>
        <v>7.9297407545488436</v>
      </c>
      <c r="F44" s="30">
        <v>1.46547035585966E-6</v>
      </c>
      <c r="G44" s="14">
        <v>12.963163882755699</v>
      </c>
      <c r="H44" s="14">
        <v>12.538082881378701</v>
      </c>
      <c r="I44" s="14">
        <v>12.879152531426501</v>
      </c>
      <c r="J44" s="14">
        <f t="shared" si="4"/>
        <v>12.793466431853632</v>
      </c>
      <c r="K44" s="14">
        <v>15.671911239382901</v>
      </c>
      <c r="L44" s="14">
        <v>15.6890963852371</v>
      </c>
      <c r="M44" s="14">
        <v>15.981212773807799</v>
      </c>
      <c r="N44" s="14">
        <f t="shared" si="5"/>
        <v>15.780740132809266</v>
      </c>
      <c r="O44" s="14">
        <f t="shared" si="6"/>
        <v>15.4569776</v>
      </c>
      <c r="P44" s="14">
        <f t="shared" si="7"/>
        <v>0.51302013626188103</v>
      </c>
      <c r="S44" s="18" t="s">
        <v>32</v>
      </c>
      <c r="T44" s="19">
        <v>6.0233030899999997</v>
      </c>
      <c r="U44" s="39"/>
    </row>
    <row r="45" spans="1:21" x14ac:dyDescent="0.2">
      <c r="A45" s="10" t="str">
        <f>"K07E3.4"</f>
        <v>K07E3.4</v>
      </c>
      <c r="B45" s="10" t="s">
        <v>9212</v>
      </c>
      <c r="C45" s="10" t="s">
        <v>9213</v>
      </c>
      <c r="D45" s="10">
        <v>2.96147610515029</v>
      </c>
      <c r="E45" s="10">
        <f t="shared" si="3"/>
        <v>7.789205092076549</v>
      </c>
      <c r="F45" s="32">
        <v>1.3998010240408301E-7</v>
      </c>
      <c r="G45" s="10">
        <v>11.489625096168201</v>
      </c>
      <c r="H45" s="10">
        <v>11.257303900766599</v>
      </c>
      <c r="I45" s="10">
        <v>11.596108234036</v>
      </c>
      <c r="J45" s="10">
        <f t="shared" si="4"/>
        <v>11.447679076990267</v>
      </c>
      <c r="K45" s="10">
        <v>13.7607880774551</v>
      </c>
      <c r="L45" s="10">
        <v>14.5466150273674</v>
      </c>
      <c r="M45" s="10">
        <v>14.9200624415992</v>
      </c>
      <c r="N45" s="10">
        <f t="shared" si="5"/>
        <v>14.409155182140566</v>
      </c>
      <c r="O45" s="10">
        <f t="shared" si="6"/>
        <v>2.7277159700000002</v>
      </c>
      <c r="P45" s="10">
        <f t="shared" si="7"/>
        <v>2.8555777719322251</v>
      </c>
      <c r="S45" s="18" t="s">
        <v>2062</v>
      </c>
      <c r="T45" s="19">
        <v>6.0027472199999998</v>
      </c>
      <c r="U45" s="39"/>
    </row>
    <row r="46" spans="1:21" x14ac:dyDescent="0.2">
      <c r="A46" s="16" t="str">
        <f>"cash-1"</f>
        <v>cash-1</v>
      </c>
      <c r="B46" s="16" t="s">
        <v>314</v>
      </c>
      <c r="C46" s="16" t="s">
        <v>316</v>
      </c>
      <c r="D46" s="16">
        <v>2.9475693726015399</v>
      </c>
      <c r="E46" s="16">
        <f t="shared" si="3"/>
        <v>7.7144824512501762</v>
      </c>
      <c r="F46" s="31">
        <v>2.0180356027576301E-6</v>
      </c>
      <c r="G46" s="16">
        <v>12.816555692430599</v>
      </c>
      <c r="H46" s="16" t="s">
        <v>14849</v>
      </c>
      <c r="I46" s="16">
        <v>13.1805658848872</v>
      </c>
      <c r="J46" s="16">
        <f t="shared" si="4"/>
        <v>12.998560788658899</v>
      </c>
      <c r="K46" s="16">
        <v>15.451361961402</v>
      </c>
      <c r="L46" s="16">
        <v>15.8522590315619</v>
      </c>
      <c r="M46" s="16">
        <v>16.5347694908174</v>
      </c>
      <c r="N46" s="16">
        <f t="shared" si="5"/>
        <v>15.946130161260433</v>
      </c>
      <c r="O46" s="16">
        <f t="shared" si="6"/>
        <v>5.0101333800000001</v>
      </c>
      <c r="P46" s="16">
        <f t="shared" si="7"/>
        <v>1.5397758634621772</v>
      </c>
      <c r="S46" s="18" t="s">
        <v>10275</v>
      </c>
      <c r="T46" s="19">
        <v>5.9248670499999996</v>
      </c>
      <c r="U46" s="39"/>
    </row>
    <row r="47" spans="1:21" x14ac:dyDescent="0.2">
      <c r="A47" s="14" t="str">
        <f>"rpn-11"</f>
        <v>rpn-11</v>
      </c>
      <c r="B47" s="14" t="s">
        <v>4603</v>
      </c>
      <c r="C47" s="14" t="s">
        <v>4605</v>
      </c>
      <c r="D47" s="14">
        <v>2.9087615761957299</v>
      </c>
      <c r="E47" s="14">
        <f t="shared" si="3"/>
        <v>7.5097327965889402</v>
      </c>
      <c r="F47" s="30">
        <v>1.0241811254148699E-5</v>
      </c>
      <c r="G47" s="14">
        <v>14.565381076797101</v>
      </c>
      <c r="H47" s="14">
        <v>14.626223376635499</v>
      </c>
      <c r="I47" s="14">
        <v>14.6899224052148</v>
      </c>
      <c r="J47" s="14">
        <f t="shared" si="4"/>
        <v>14.627175619549133</v>
      </c>
      <c r="K47" s="14">
        <v>17.426464355751399</v>
      </c>
      <c r="L47" s="14">
        <v>17.118497600794701</v>
      </c>
      <c r="M47" s="14">
        <v>18.0628496306885</v>
      </c>
      <c r="N47" s="14">
        <f t="shared" si="5"/>
        <v>17.535937195744868</v>
      </c>
      <c r="O47" s="14">
        <f t="shared" si="6"/>
        <v>27.4262218</v>
      </c>
      <c r="P47" s="14">
        <f t="shared" si="7"/>
        <v>0.2738157975732895</v>
      </c>
      <c r="S47" s="18" t="s">
        <v>757</v>
      </c>
      <c r="T47" s="19">
        <v>5.9086830800000003</v>
      </c>
      <c r="U47" s="39"/>
    </row>
    <row r="48" spans="1:21" x14ac:dyDescent="0.2">
      <c r="A48" s="24" t="str">
        <f>"phdh-1"</f>
        <v>phdh-1</v>
      </c>
      <c r="B48" s="24" t="s">
        <v>3461</v>
      </c>
      <c r="C48" s="24" t="s">
        <v>3463</v>
      </c>
      <c r="D48" s="24">
        <v>2.89927291922554</v>
      </c>
      <c r="E48" s="24">
        <f t="shared" si="3"/>
        <v>7.4605030851907825</v>
      </c>
      <c r="F48" s="29">
        <v>3.6517408886922099E-5</v>
      </c>
      <c r="G48" s="24" t="s">
        <v>14849</v>
      </c>
      <c r="H48" s="24">
        <v>10.4433294662648</v>
      </c>
      <c r="I48" s="24">
        <v>10.9825491723435</v>
      </c>
      <c r="J48" s="24">
        <f t="shared" si="4"/>
        <v>10.71293931930415</v>
      </c>
      <c r="K48" s="24">
        <v>13.091873489342801</v>
      </c>
      <c r="L48" s="24">
        <v>13.8128021833438</v>
      </c>
      <c r="M48" s="24">
        <v>13.9319610429023</v>
      </c>
      <c r="N48" s="24">
        <f t="shared" si="5"/>
        <v>13.612212238529635</v>
      </c>
      <c r="O48" s="24" t="str">
        <f t="shared" si="6"/>
        <v>ND</v>
      </c>
      <c r="P48" s="24" t="str">
        <f t="shared" si="7"/>
        <v>NA</v>
      </c>
      <c r="S48" s="18" t="s">
        <v>10417</v>
      </c>
      <c r="T48" s="19">
        <v>5.8160155800000002</v>
      </c>
      <c r="U48" s="39"/>
    </row>
    <row r="49" spans="1:21" x14ac:dyDescent="0.2">
      <c r="A49" s="10" t="str">
        <f>"prdx-2"</f>
        <v>prdx-2</v>
      </c>
      <c r="B49" s="10" t="s">
        <v>87</v>
      </c>
      <c r="C49" s="10" t="s">
        <v>89</v>
      </c>
      <c r="D49" s="10">
        <v>2.8989456405998402</v>
      </c>
      <c r="E49" s="10">
        <f t="shared" si="3"/>
        <v>7.458810845181568</v>
      </c>
      <c r="F49" s="32">
        <v>3.8883576084623902E-7</v>
      </c>
      <c r="G49" s="10">
        <v>15.0014972762035</v>
      </c>
      <c r="H49" s="10">
        <v>14.877990213328401</v>
      </c>
      <c r="I49" s="10">
        <v>15.334473720984899</v>
      </c>
      <c r="J49" s="10">
        <f t="shared" si="4"/>
        <v>15.071320403505601</v>
      </c>
      <c r="K49" s="10">
        <v>17.576467686931402</v>
      </c>
      <c r="L49" s="10">
        <v>17.971505202371802</v>
      </c>
      <c r="M49" s="10">
        <v>18.362825243013202</v>
      </c>
      <c r="N49" s="10">
        <f t="shared" si="5"/>
        <v>17.970266044105468</v>
      </c>
      <c r="O49" s="10">
        <f t="shared" si="6"/>
        <v>4.8081449999999997</v>
      </c>
      <c r="P49" s="10">
        <f t="shared" si="7"/>
        <v>1.551286586652767</v>
      </c>
      <c r="S49" s="18" t="s">
        <v>12548</v>
      </c>
      <c r="T49" s="19">
        <v>5.7997844399999998</v>
      </c>
      <c r="U49" s="39"/>
    </row>
    <row r="50" spans="1:21" x14ac:dyDescent="0.2">
      <c r="A50" s="14" t="str">
        <f>"ZC247.1"</f>
        <v>ZC247.1</v>
      </c>
      <c r="B50" s="14" t="s">
        <v>1002</v>
      </c>
      <c r="C50" s="14" t="s">
        <v>1003</v>
      </c>
      <c r="D50" s="14">
        <v>2.89789789894076</v>
      </c>
      <c r="E50" s="14">
        <f t="shared" si="3"/>
        <v>7.453395931031757</v>
      </c>
      <c r="F50" s="30">
        <v>5.7095593616893897E-6</v>
      </c>
      <c r="G50" s="14">
        <v>13.829354127713399</v>
      </c>
      <c r="H50" s="14">
        <v>14.1692928373669</v>
      </c>
      <c r="I50" s="14">
        <v>14.048621893857399</v>
      </c>
      <c r="J50" s="14">
        <f t="shared" ref="J50:J81" si="8">AVERAGEIF(G50:I50, "&gt;0")</f>
        <v>14.015756286312566</v>
      </c>
      <c r="K50" s="14">
        <v>16.399495315503302</v>
      </c>
      <c r="L50" s="14">
        <v>17.0264081574323</v>
      </c>
      <c r="M50" s="14">
        <v>17.315059082824298</v>
      </c>
      <c r="N50" s="14">
        <f t="shared" si="5"/>
        <v>16.9136541852533</v>
      </c>
      <c r="O50" s="14">
        <f t="shared" si="6"/>
        <v>45.449789099999997</v>
      </c>
      <c r="P50" s="14">
        <f t="shared" si="7"/>
        <v>0.16399187055923561</v>
      </c>
      <c r="S50" s="18" t="s">
        <v>4027</v>
      </c>
      <c r="T50" s="19">
        <v>5.79721084</v>
      </c>
      <c r="U50" s="39"/>
    </row>
    <row r="51" spans="1:21" x14ac:dyDescent="0.2">
      <c r="A51" s="24" t="str">
        <f>"ZK813.3"</f>
        <v>ZK813.3</v>
      </c>
      <c r="B51" s="24" t="s">
        <v>10338</v>
      </c>
      <c r="C51" s="24" t="s">
        <v>8716</v>
      </c>
      <c r="D51" s="24">
        <v>2.8510464641191802</v>
      </c>
      <c r="E51" s="24">
        <f t="shared" si="3"/>
        <v>7.2152354006016211</v>
      </c>
      <c r="F51" s="24">
        <v>2.8043615794078598E-3</v>
      </c>
      <c r="G51" s="24">
        <v>16.178501935439801</v>
      </c>
      <c r="H51" s="24">
        <v>14.4193990237658</v>
      </c>
      <c r="I51" s="24">
        <v>16.6690597003189</v>
      </c>
      <c r="J51" s="24">
        <f t="shared" si="8"/>
        <v>15.755653553174833</v>
      </c>
      <c r="K51" s="24">
        <v>20.238858133608002</v>
      </c>
      <c r="L51" s="24">
        <v>18.0371862200031</v>
      </c>
      <c r="M51" s="24">
        <v>17.544055698270899</v>
      </c>
      <c r="N51" s="24">
        <f t="shared" si="5"/>
        <v>18.606700017293999</v>
      </c>
      <c r="O51" s="24" t="str">
        <f t="shared" si="6"/>
        <v>ND</v>
      </c>
      <c r="P51" s="24" t="str">
        <f t="shared" si="7"/>
        <v>NA</v>
      </c>
      <c r="S51" s="18" t="s">
        <v>4326</v>
      </c>
      <c r="T51" s="19">
        <v>5.6978899700000003</v>
      </c>
      <c r="U51" s="39"/>
    </row>
    <row r="52" spans="1:21" x14ac:dyDescent="0.2">
      <c r="A52" s="16" t="str">
        <f>"T20B12.7"</f>
        <v>T20B12.7</v>
      </c>
      <c r="B52" s="16" t="s">
        <v>5489</v>
      </c>
      <c r="C52" s="16" t="s">
        <v>5491</v>
      </c>
      <c r="D52" s="16">
        <v>2.8387004974844001</v>
      </c>
      <c r="E52" s="16">
        <f t="shared" si="3"/>
        <v>7.1537539456107728</v>
      </c>
      <c r="F52" s="31">
        <v>2.3494364923348099E-7</v>
      </c>
      <c r="G52" s="16">
        <v>12.7392208838763</v>
      </c>
      <c r="H52" s="16">
        <v>12.3115623343392</v>
      </c>
      <c r="I52" s="16">
        <v>12.281807489023</v>
      </c>
      <c r="J52" s="16">
        <f t="shared" si="8"/>
        <v>12.444196902412834</v>
      </c>
      <c r="K52" s="16">
        <v>14.865084836577299</v>
      </c>
      <c r="L52" s="16">
        <v>15.4706063398087</v>
      </c>
      <c r="M52" s="16">
        <v>15.5130010233056</v>
      </c>
      <c r="N52" s="16">
        <f t="shared" si="5"/>
        <v>15.2828973998972</v>
      </c>
      <c r="O52" s="16">
        <f t="shared" si="6"/>
        <v>8.9708627199999995</v>
      </c>
      <c r="P52" s="16">
        <f t="shared" si="7"/>
        <v>0.79744325254937942</v>
      </c>
      <c r="S52" s="18" t="s">
        <v>11344</v>
      </c>
      <c r="T52" s="19">
        <v>5.5413512200000001</v>
      </c>
      <c r="U52" s="39"/>
    </row>
    <row r="53" spans="1:21" x14ac:dyDescent="0.2">
      <c r="A53" s="16" t="str">
        <f>"dnj-11"</f>
        <v>dnj-11</v>
      </c>
      <c r="B53" s="16" t="s">
        <v>11343</v>
      </c>
      <c r="C53" s="16" t="s">
        <v>11345</v>
      </c>
      <c r="D53" s="16">
        <v>2.8250257587660901</v>
      </c>
      <c r="E53" s="16">
        <f t="shared" si="3"/>
        <v>7.0862666742603659</v>
      </c>
      <c r="F53" s="31">
        <v>1.31156739648876E-6</v>
      </c>
      <c r="G53" s="16">
        <v>14.636660119851401</v>
      </c>
      <c r="H53" s="16">
        <v>14.6274296761828</v>
      </c>
      <c r="I53" s="16">
        <v>14.4428866773307</v>
      </c>
      <c r="J53" s="16">
        <f t="shared" si="8"/>
        <v>14.568992157788299</v>
      </c>
      <c r="K53" s="16">
        <v>16.656514665190699</v>
      </c>
      <c r="L53" s="16">
        <v>17.533711173062802</v>
      </c>
      <c r="M53" s="16">
        <v>17.9918279114097</v>
      </c>
      <c r="N53" s="16">
        <f t="shared" si="5"/>
        <v>17.3940179165544</v>
      </c>
      <c r="O53" s="16">
        <f t="shared" si="6"/>
        <v>5.5413512200000001</v>
      </c>
      <c r="P53" s="16">
        <f t="shared" si="7"/>
        <v>1.2787976060215085</v>
      </c>
      <c r="S53" s="18" t="s">
        <v>11987</v>
      </c>
      <c r="T53" s="19">
        <v>5.4986622599999997</v>
      </c>
      <c r="U53" s="39"/>
    </row>
    <row r="54" spans="1:21" x14ac:dyDescent="0.2">
      <c r="A54" s="10" t="str">
        <f>"sta-1"</f>
        <v>sta-1</v>
      </c>
      <c r="B54" s="10" t="s">
        <v>12756</v>
      </c>
      <c r="C54" s="10" t="s">
        <v>12758</v>
      </c>
      <c r="D54" s="10">
        <v>2.8121355838548099</v>
      </c>
      <c r="E54" s="10">
        <f t="shared" si="3"/>
        <v>7.0232343903867411</v>
      </c>
      <c r="F54" s="10">
        <v>2.01268882158791E-4</v>
      </c>
      <c r="G54" s="10">
        <v>12.2843060711051</v>
      </c>
      <c r="H54" s="10">
        <v>11.658493885239199</v>
      </c>
      <c r="I54" s="10" t="s">
        <v>14849</v>
      </c>
      <c r="J54" s="10">
        <f t="shared" si="8"/>
        <v>11.971399978172149</v>
      </c>
      <c r="K54" s="10">
        <v>14.3484075368512</v>
      </c>
      <c r="L54" s="10">
        <v>14.9500149906471</v>
      </c>
      <c r="M54" s="10">
        <v>15.0521841585825</v>
      </c>
      <c r="N54" s="10">
        <f t="shared" si="5"/>
        <v>14.783535562026934</v>
      </c>
      <c r="O54" s="10">
        <f t="shared" si="6"/>
        <v>2.57074034</v>
      </c>
      <c r="P54" s="10">
        <f t="shared" si="7"/>
        <v>2.7319890232036199</v>
      </c>
      <c r="S54" s="18" t="s">
        <v>10985</v>
      </c>
      <c r="T54" s="19">
        <v>5.4897413400000001</v>
      </c>
      <c r="U54" s="39"/>
    </row>
    <row r="55" spans="1:21" x14ac:dyDescent="0.2">
      <c r="A55" s="24" t="str">
        <f>"brc-2"</f>
        <v>brc-2</v>
      </c>
      <c r="B55" s="24" t="s">
        <v>2045</v>
      </c>
      <c r="C55" s="24" t="s">
        <v>2047</v>
      </c>
      <c r="D55" s="24">
        <v>2.7593689972489601</v>
      </c>
      <c r="E55" s="24">
        <f t="shared" si="3"/>
        <v>6.7710003660682458</v>
      </c>
      <c r="F55" s="29">
        <v>6.3685562850468894E-5</v>
      </c>
      <c r="G55" s="24">
        <v>13.890232003537299</v>
      </c>
      <c r="H55" s="24" t="s">
        <v>14849</v>
      </c>
      <c r="I55" s="24">
        <v>13.3530568476966</v>
      </c>
      <c r="J55" s="24">
        <f t="shared" si="8"/>
        <v>13.62164442561695</v>
      </c>
      <c r="K55" s="24">
        <v>17.316106518047999</v>
      </c>
      <c r="L55" s="24">
        <v>16.338375357550799</v>
      </c>
      <c r="M55" s="24">
        <v>15.4885583929989</v>
      </c>
      <c r="N55" s="24">
        <f t="shared" si="5"/>
        <v>16.381013422865902</v>
      </c>
      <c r="O55" s="24" t="str">
        <f t="shared" si="6"/>
        <v>ND</v>
      </c>
      <c r="P55" s="24" t="str">
        <f t="shared" si="7"/>
        <v>NA</v>
      </c>
      <c r="S55" s="16" t="s">
        <v>14805</v>
      </c>
      <c r="T55" s="19">
        <v>5.4884546661773141</v>
      </c>
      <c r="U55" s="39"/>
    </row>
    <row r="56" spans="1:21" x14ac:dyDescent="0.2">
      <c r="A56" s="16" t="str">
        <f>"pah-1"</f>
        <v>pah-1</v>
      </c>
      <c r="B56" s="16" t="s">
        <v>6121</v>
      </c>
      <c r="C56" s="16" t="s">
        <v>6123</v>
      </c>
      <c r="D56" s="16">
        <v>2.7505533331788401</v>
      </c>
      <c r="E56" s="16">
        <f t="shared" si="3"/>
        <v>6.7297519651447129</v>
      </c>
      <c r="F56" s="31">
        <v>1.1772471986998199E-6</v>
      </c>
      <c r="G56" s="16">
        <v>14.1130694635717</v>
      </c>
      <c r="H56" s="16">
        <v>13.960931823667</v>
      </c>
      <c r="I56" s="16">
        <v>14.1483473511094</v>
      </c>
      <c r="J56" s="16">
        <f t="shared" si="8"/>
        <v>14.0741162127827</v>
      </c>
      <c r="K56" s="16">
        <v>16.4059664221469</v>
      </c>
      <c r="L56" s="16">
        <v>16.987137431866</v>
      </c>
      <c r="M56" s="16">
        <v>17.080904783871699</v>
      </c>
      <c r="N56" s="16">
        <f t="shared" si="5"/>
        <v>16.82466954596153</v>
      </c>
      <c r="O56" s="16">
        <f t="shared" si="6"/>
        <v>6.3154922200000003</v>
      </c>
      <c r="P56" s="16">
        <f t="shared" si="7"/>
        <v>1.065594213517171</v>
      </c>
      <c r="S56" s="16" t="s">
        <v>644</v>
      </c>
      <c r="T56" s="19">
        <v>5.4147697799611878</v>
      </c>
      <c r="U56" s="39"/>
    </row>
    <row r="57" spans="1:21" x14ac:dyDescent="0.2">
      <c r="A57" s="16" t="str">
        <f>"nbet-1"</f>
        <v>nbet-1</v>
      </c>
      <c r="B57" s="16" t="s">
        <v>1726</v>
      </c>
      <c r="C57" s="16" t="s">
        <v>1728</v>
      </c>
      <c r="D57" s="16">
        <v>2.74302545271473</v>
      </c>
      <c r="E57" s="16">
        <f t="shared" si="3"/>
        <v>6.6947280520139563</v>
      </c>
      <c r="F57" s="16">
        <v>2.0083347174271399E-3</v>
      </c>
      <c r="G57" s="16">
        <v>11.492436891521001</v>
      </c>
      <c r="H57" s="16" t="s">
        <v>14849</v>
      </c>
      <c r="I57" s="16" t="s">
        <v>14849</v>
      </c>
      <c r="J57" s="16">
        <f t="shared" si="8"/>
        <v>11.492436891521001</v>
      </c>
      <c r="K57" s="16">
        <v>13.895900069881501</v>
      </c>
      <c r="L57" s="16">
        <v>13.749488289223001</v>
      </c>
      <c r="M57" s="16">
        <v>15.060998673602599</v>
      </c>
      <c r="N57" s="16">
        <f t="shared" si="5"/>
        <v>14.2354623442357</v>
      </c>
      <c r="O57" s="16">
        <f t="shared" si="6"/>
        <v>8.2716725536539464</v>
      </c>
      <c r="P57" s="16">
        <f t="shared" si="7"/>
        <v>0.80935602909675297</v>
      </c>
      <c r="S57" s="18" t="s">
        <v>14806</v>
      </c>
      <c r="T57" s="19">
        <v>5.3912494400000002</v>
      </c>
      <c r="U57" s="39"/>
    </row>
    <row r="58" spans="1:21" x14ac:dyDescent="0.2">
      <c r="A58" s="14" t="str">
        <f>"hip-1"</f>
        <v>hip-1</v>
      </c>
      <c r="B58" s="14" t="s">
        <v>1544</v>
      </c>
      <c r="C58" s="14" t="s">
        <v>1546</v>
      </c>
      <c r="D58" s="14">
        <v>2.70061495711334</v>
      </c>
      <c r="E58" s="14">
        <f t="shared" si="3"/>
        <v>6.5007895795497177</v>
      </c>
      <c r="F58" s="30">
        <v>6.9257926716971395E-5</v>
      </c>
      <c r="G58" s="14">
        <v>13.258814409724</v>
      </c>
      <c r="H58" s="14">
        <v>12.7055243277456</v>
      </c>
      <c r="I58" s="14">
        <v>12.940731087664799</v>
      </c>
      <c r="J58" s="14">
        <f t="shared" si="8"/>
        <v>12.968356608378132</v>
      </c>
      <c r="K58" s="14">
        <v>15.370116827186401</v>
      </c>
      <c r="L58" s="14">
        <v>15.614869825915999</v>
      </c>
      <c r="M58" s="14">
        <v>16.021928043372</v>
      </c>
      <c r="N58" s="14">
        <f t="shared" si="5"/>
        <v>15.668971565491466</v>
      </c>
      <c r="O58" s="14">
        <f t="shared" si="6"/>
        <v>19.488423999999998</v>
      </c>
      <c r="P58" s="14">
        <f t="shared" si="7"/>
        <v>0.33357184652538957</v>
      </c>
      <c r="S58" s="18" t="s">
        <v>14807</v>
      </c>
      <c r="T58" s="19">
        <v>5.35563623</v>
      </c>
      <c r="U58" s="39"/>
    </row>
    <row r="59" spans="1:21" x14ac:dyDescent="0.2">
      <c r="A59" s="24" t="str">
        <f>"ule-5"</f>
        <v>ule-5</v>
      </c>
      <c r="B59" s="24" t="s">
        <v>13887</v>
      </c>
      <c r="C59" s="24" t="s">
        <v>8032</v>
      </c>
      <c r="D59" s="24">
        <v>2.6957889365438401</v>
      </c>
      <c r="E59" s="24">
        <f t="shared" si="3"/>
        <v>6.4790798430375682</v>
      </c>
      <c r="F59" s="24">
        <v>9.8915406578553599E-4</v>
      </c>
      <c r="G59" s="24">
        <v>14.351963029499201</v>
      </c>
      <c r="H59" s="24">
        <v>14.127970309983301</v>
      </c>
      <c r="I59" s="24">
        <v>15.0862210066387</v>
      </c>
      <c r="J59" s="24">
        <f t="shared" si="8"/>
        <v>14.522051448707067</v>
      </c>
      <c r="K59" s="24">
        <v>18.706791091258001</v>
      </c>
      <c r="L59" s="24">
        <v>16.873097495286601</v>
      </c>
      <c r="M59" s="24">
        <v>16.0736325692083</v>
      </c>
      <c r="N59" s="24">
        <f t="shared" si="5"/>
        <v>17.217840385250966</v>
      </c>
      <c r="O59" s="24" t="str">
        <f t="shared" si="6"/>
        <v>ND</v>
      </c>
      <c r="P59" s="24" t="str">
        <f t="shared" si="7"/>
        <v>NA</v>
      </c>
      <c r="S59" s="18" t="s">
        <v>9884</v>
      </c>
      <c r="T59" s="19">
        <v>5.3329647099999997</v>
      </c>
      <c r="U59" s="39"/>
    </row>
    <row r="60" spans="1:21" x14ac:dyDescent="0.2">
      <c r="A60" s="24" t="str">
        <f>"ttll-5"</f>
        <v>ttll-5</v>
      </c>
      <c r="B60" s="24" t="s">
        <v>846</v>
      </c>
      <c r="C60" s="24" t="s">
        <v>848</v>
      </c>
      <c r="D60" s="24">
        <v>2.67286327635107</v>
      </c>
      <c r="E60" s="24">
        <f t="shared" si="3"/>
        <v>6.3769354439905443</v>
      </c>
      <c r="F60" s="24">
        <v>2.27758964562204E-4</v>
      </c>
      <c r="G60" s="24">
        <v>13.103535762065199</v>
      </c>
      <c r="H60" s="24">
        <v>13.0934947178756</v>
      </c>
      <c r="I60" s="24">
        <v>12.5409057265725</v>
      </c>
      <c r="J60" s="24">
        <f t="shared" si="8"/>
        <v>12.912645402171099</v>
      </c>
      <c r="K60" s="24">
        <v>16.625328788608702</v>
      </c>
      <c r="L60" s="24">
        <v>15.522788973356899</v>
      </c>
      <c r="M60" s="24">
        <v>14.6084082736008</v>
      </c>
      <c r="N60" s="24">
        <f t="shared" si="5"/>
        <v>15.585508678522134</v>
      </c>
      <c r="O60" s="24" t="str">
        <f t="shared" si="6"/>
        <v>ND</v>
      </c>
      <c r="P60" s="24" t="str">
        <f t="shared" si="7"/>
        <v>NA</v>
      </c>
      <c r="S60" s="18" t="s">
        <v>11276</v>
      </c>
      <c r="T60" s="19">
        <v>5.3056272399999997</v>
      </c>
      <c r="U60" s="39"/>
    </row>
    <row r="61" spans="1:21" x14ac:dyDescent="0.2">
      <c r="A61" s="10" t="str">
        <f>"dnbp-1"</f>
        <v>dnbp-1</v>
      </c>
      <c r="B61" s="10" t="s">
        <v>1212</v>
      </c>
      <c r="C61" s="10" t="s">
        <v>1214</v>
      </c>
      <c r="D61" s="10">
        <v>2.66555619597094</v>
      </c>
      <c r="E61" s="10">
        <f t="shared" si="3"/>
        <v>6.3447186733467298</v>
      </c>
      <c r="F61" s="32">
        <v>8.8251491905470695E-5</v>
      </c>
      <c r="G61" s="10">
        <v>12.9426890590256</v>
      </c>
      <c r="H61" s="10">
        <v>12.5556007278111</v>
      </c>
      <c r="I61" s="10">
        <v>12.2689083270746</v>
      </c>
      <c r="J61" s="10">
        <f t="shared" si="8"/>
        <v>12.589066037970433</v>
      </c>
      <c r="K61" s="10">
        <v>14.4586701990933</v>
      </c>
      <c r="L61" s="10">
        <v>15.296975650924701</v>
      </c>
      <c r="M61" s="10">
        <v>16.0082208518063</v>
      </c>
      <c r="N61" s="10">
        <f t="shared" si="5"/>
        <v>15.254622233941433</v>
      </c>
      <c r="O61" s="10">
        <f t="shared" si="6"/>
        <v>3.7943776300000001</v>
      </c>
      <c r="P61" s="10">
        <f t="shared" si="7"/>
        <v>1.672136854060762</v>
      </c>
      <c r="S61" s="18" t="s">
        <v>2875</v>
      </c>
      <c r="T61" s="19">
        <v>5.3045302100000002</v>
      </c>
      <c r="U61" s="39"/>
    </row>
    <row r="62" spans="1:21" x14ac:dyDescent="0.2">
      <c r="A62" s="10" t="str">
        <f>"teg-4"</f>
        <v>teg-4</v>
      </c>
      <c r="B62" s="10" t="s">
        <v>3929</v>
      </c>
      <c r="C62" s="10" t="s">
        <v>3931</v>
      </c>
      <c r="D62" s="10">
        <v>2.6039283984682702</v>
      </c>
      <c r="E62" s="10">
        <f t="shared" si="3"/>
        <v>6.0793976951802113</v>
      </c>
      <c r="F62" s="32">
        <v>1.1772471986998199E-6</v>
      </c>
      <c r="G62" s="10">
        <v>12.262026411874301</v>
      </c>
      <c r="H62" s="10">
        <v>12.6534248439328</v>
      </c>
      <c r="I62" s="10">
        <v>11.566603277590501</v>
      </c>
      <c r="J62" s="10">
        <f t="shared" si="8"/>
        <v>12.160684844465868</v>
      </c>
      <c r="K62" s="10">
        <v>14.453094729723899</v>
      </c>
      <c r="L62" s="10">
        <v>14.687816950109699</v>
      </c>
      <c r="M62" s="10">
        <v>15.1529280489687</v>
      </c>
      <c r="N62" s="10">
        <f t="shared" si="5"/>
        <v>14.764613242934098</v>
      </c>
      <c r="O62" s="10">
        <f t="shared" si="6"/>
        <v>4.51665078</v>
      </c>
      <c r="P62" s="10">
        <f t="shared" si="7"/>
        <v>1.3459968439668057</v>
      </c>
      <c r="S62" s="18" t="s">
        <v>12857</v>
      </c>
      <c r="T62" s="19">
        <v>5.2960393799999999</v>
      </c>
      <c r="U62" s="39"/>
    </row>
    <row r="63" spans="1:21" x14ac:dyDescent="0.2">
      <c r="A63" s="24" t="str">
        <f>"Y62H9A.5"</f>
        <v>Y62H9A.5</v>
      </c>
      <c r="B63" s="24" t="s">
        <v>13884</v>
      </c>
      <c r="C63" s="24" t="s">
        <v>13885</v>
      </c>
      <c r="D63" s="24">
        <v>2.5633777167607201</v>
      </c>
      <c r="E63" s="24">
        <f t="shared" si="3"/>
        <v>5.9108996039400896</v>
      </c>
      <c r="F63" s="24">
        <v>7.4336884527569005E-4</v>
      </c>
      <c r="G63" s="24">
        <v>15.162815901431101</v>
      </c>
      <c r="H63" s="24">
        <v>14.173107880833999</v>
      </c>
      <c r="I63" s="24">
        <v>15.585455593338899</v>
      </c>
      <c r="J63" s="24">
        <f t="shared" si="8"/>
        <v>14.973793125201333</v>
      </c>
      <c r="K63" s="24">
        <v>18.728042455211899</v>
      </c>
      <c r="L63" s="24">
        <v>17.4506692321381</v>
      </c>
      <c r="M63" s="24">
        <v>16.432800838536298</v>
      </c>
      <c r="N63" s="24">
        <f t="shared" si="5"/>
        <v>17.537170841962098</v>
      </c>
      <c r="O63" s="24" t="str">
        <f t="shared" si="6"/>
        <v>ND</v>
      </c>
      <c r="P63" s="24" t="str">
        <f t="shared" si="7"/>
        <v>NA</v>
      </c>
      <c r="S63" s="18" t="s">
        <v>11641</v>
      </c>
      <c r="T63" s="19">
        <v>5.2188431199999998</v>
      </c>
      <c r="U63" s="39"/>
    </row>
    <row r="64" spans="1:21" x14ac:dyDescent="0.2">
      <c r="A64" s="24" t="str">
        <f>"got-2.2"</f>
        <v>got-2.2</v>
      </c>
      <c r="B64" s="24" t="s">
        <v>7601</v>
      </c>
      <c r="C64" s="24" t="s">
        <v>7603</v>
      </c>
      <c r="D64" s="24">
        <v>2.4584864969310498</v>
      </c>
      <c r="E64" s="24">
        <f t="shared" si="3"/>
        <v>5.4963980834989359</v>
      </c>
      <c r="F64" s="24">
        <v>1.2954139048434201E-3</v>
      </c>
      <c r="G64" s="24">
        <v>13.461934210153</v>
      </c>
      <c r="H64" s="24">
        <v>13.2478450434438</v>
      </c>
      <c r="I64" s="24">
        <v>12.912370288251299</v>
      </c>
      <c r="J64" s="24">
        <f t="shared" si="8"/>
        <v>13.207383180616034</v>
      </c>
      <c r="K64" s="24">
        <v>16.115250210353601</v>
      </c>
      <c r="L64" s="24">
        <v>15.5240599839422</v>
      </c>
      <c r="M64" s="24">
        <v>15.358298838345499</v>
      </c>
      <c r="N64" s="24">
        <f t="shared" si="5"/>
        <v>15.6658696775471</v>
      </c>
      <c r="O64" s="24" t="str">
        <f t="shared" si="6"/>
        <v>ND</v>
      </c>
      <c r="P64" s="24" t="str">
        <f t="shared" si="7"/>
        <v>NA</v>
      </c>
      <c r="S64" s="18" t="s">
        <v>3454</v>
      </c>
      <c r="T64" s="19">
        <v>5.1872334499999999</v>
      </c>
      <c r="U64" s="39"/>
    </row>
    <row r="65" spans="1:21" x14ac:dyDescent="0.2">
      <c r="A65" s="24" t="str">
        <f>"flor-1"</f>
        <v>flor-1</v>
      </c>
      <c r="B65" s="24" t="s">
        <v>3576</v>
      </c>
      <c r="C65" s="24" t="s">
        <v>323</v>
      </c>
      <c r="D65" s="24">
        <v>2.4312521286024702</v>
      </c>
      <c r="E65" s="24">
        <f t="shared" si="3"/>
        <v>5.3936134445005912</v>
      </c>
      <c r="F65" s="29">
        <v>1.7381321019442899E-5</v>
      </c>
      <c r="G65" s="24">
        <v>12.6938185838924</v>
      </c>
      <c r="H65" s="24">
        <v>13.0475693247812</v>
      </c>
      <c r="I65" s="24">
        <v>12.3123496955462</v>
      </c>
      <c r="J65" s="24">
        <f t="shared" si="8"/>
        <v>12.684579201406601</v>
      </c>
      <c r="K65" s="24">
        <v>15.4008269638255</v>
      </c>
      <c r="L65" s="24">
        <v>14.9606137924367</v>
      </c>
      <c r="M65" s="24">
        <v>14.9860532337651</v>
      </c>
      <c r="N65" s="24">
        <f t="shared" si="5"/>
        <v>15.115831330009099</v>
      </c>
      <c r="O65" s="24" t="str">
        <f t="shared" si="6"/>
        <v>ND</v>
      </c>
      <c r="P65" s="24" t="str">
        <f t="shared" si="7"/>
        <v>NA</v>
      </c>
      <c r="S65" s="18" t="s">
        <v>7683</v>
      </c>
      <c r="T65" s="19">
        <v>5.1493989300000003</v>
      </c>
      <c r="U65" s="39"/>
    </row>
    <row r="66" spans="1:21" x14ac:dyDescent="0.2">
      <c r="A66" s="24" t="str">
        <f>"T04B8.5"</f>
        <v>T04B8.5</v>
      </c>
      <c r="B66" s="24" t="s">
        <v>3893</v>
      </c>
      <c r="C66" s="24" t="s">
        <v>3894</v>
      </c>
      <c r="D66" s="24">
        <v>2.4199989944492799</v>
      </c>
      <c r="E66" s="24">
        <f t="shared" si="3"/>
        <v>5.3517064890323756</v>
      </c>
      <c r="F66" s="24">
        <v>8.9033313205437404E-4</v>
      </c>
      <c r="G66" s="24">
        <v>18.648688642001499</v>
      </c>
      <c r="H66" s="24">
        <v>18.824124948883199</v>
      </c>
      <c r="I66" s="24">
        <v>18.511102326069501</v>
      </c>
      <c r="J66" s="24">
        <f t="shared" si="8"/>
        <v>18.6613053056514</v>
      </c>
      <c r="K66" s="24">
        <v>22.287716383094001</v>
      </c>
      <c r="L66" s="24">
        <v>21.1966268816245</v>
      </c>
      <c r="M66" s="24">
        <v>19.759569635583599</v>
      </c>
      <c r="N66" s="24">
        <f t="shared" ref="N66:N97" si="9">(K66+L66+M66)/3</f>
        <v>21.081304300100701</v>
      </c>
      <c r="O66" s="24" t="str">
        <f t="shared" ref="O66:O97" si="10">IFERROR(INDEX(T:T, MATCH(A66, S:S, 0)), "ND")</f>
        <v>ND</v>
      </c>
      <c r="P66" s="24" t="str">
        <f t="shared" ref="P66:P97" si="11">IFERROR(E66/O66, "NA")</f>
        <v>NA</v>
      </c>
      <c r="S66" s="18" t="s">
        <v>11194</v>
      </c>
      <c r="T66" s="19">
        <v>5.1442231500000002</v>
      </c>
      <c r="U66" s="39"/>
    </row>
    <row r="67" spans="1:21" x14ac:dyDescent="0.2">
      <c r="A67" s="10" t="str">
        <f>"copz-1"</f>
        <v>copz-1</v>
      </c>
      <c r="B67" s="10" t="s">
        <v>3538</v>
      </c>
      <c r="C67" s="10" t="s">
        <v>3540</v>
      </c>
      <c r="D67" s="10">
        <v>2.3801310747072502</v>
      </c>
      <c r="E67" s="10">
        <f t="shared" ref="E67:E122" si="12">IFERROR(2^D67, "NA")</f>
        <v>5.2058403720358353</v>
      </c>
      <c r="F67" s="32">
        <v>3.8883576084623902E-7</v>
      </c>
      <c r="G67" s="10">
        <v>14.403088752210801</v>
      </c>
      <c r="H67" s="10">
        <v>14.4403774779888</v>
      </c>
      <c r="I67" s="10">
        <v>14.6020221230508</v>
      </c>
      <c r="J67" s="10">
        <f t="shared" si="8"/>
        <v>14.481829451083469</v>
      </c>
      <c r="K67" s="10">
        <v>16.610434017865199</v>
      </c>
      <c r="L67" s="10">
        <v>17.115061639391602</v>
      </c>
      <c r="M67" s="10">
        <v>16.860385920115299</v>
      </c>
      <c r="N67" s="10">
        <f t="shared" si="9"/>
        <v>16.8619605257907</v>
      </c>
      <c r="O67" s="10">
        <f t="shared" si="10"/>
        <v>2.4944524299999999</v>
      </c>
      <c r="P67" s="10">
        <f t="shared" si="11"/>
        <v>2.0869671874383409</v>
      </c>
      <c r="S67" s="18" t="s">
        <v>3805</v>
      </c>
      <c r="T67" s="19">
        <v>5.0381587100000003</v>
      </c>
      <c r="U67" s="39"/>
    </row>
    <row r="68" spans="1:21" x14ac:dyDescent="0.2">
      <c r="A68" s="14" t="str">
        <f>"mua-6"</f>
        <v>mua-6</v>
      </c>
      <c r="B68" s="14" t="s">
        <v>3108</v>
      </c>
      <c r="C68" s="14" t="s">
        <v>3110</v>
      </c>
      <c r="D68" s="14">
        <v>2.3729123322863601</v>
      </c>
      <c r="E68" s="14">
        <f t="shared" si="12"/>
        <v>5.1798572233942179</v>
      </c>
      <c r="F68" s="30">
        <v>3.6441195344597999E-6</v>
      </c>
      <c r="G68" s="14">
        <v>11.471459656273099</v>
      </c>
      <c r="H68" s="14">
        <v>12.201083918468999</v>
      </c>
      <c r="I68" s="14">
        <v>11.753658568921299</v>
      </c>
      <c r="J68" s="14">
        <f t="shared" si="8"/>
        <v>11.808734047887802</v>
      </c>
      <c r="K68" s="14">
        <v>13.7962485717312</v>
      </c>
      <c r="L68" s="14">
        <v>14.287592085575101</v>
      </c>
      <c r="M68" s="14">
        <v>14.461098483216199</v>
      </c>
      <c r="N68" s="14">
        <f t="shared" si="9"/>
        <v>14.181646380174167</v>
      </c>
      <c r="O68" s="14">
        <f t="shared" si="10"/>
        <v>28.1004726</v>
      </c>
      <c r="P68" s="14">
        <f t="shared" si="11"/>
        <v>0.18433345577946678</v>
      </c>
      <c r="S68" s="18" t="s">
        <v>315</v>
      </c>
      <c r="T68" s="19">
        <v>5.0101333800000001</v>
      </c>
      <c r="U68" s="39"/>
    </row>
    <row r="69" spans="1:21" x14ac:dyDescent="0.2">
      <c r="A69" s="24" t="str">
        <f>"akt-2"</f>
        <v>akt-2</v>
      </c>
      <c r="B69" s="24" t="s">
        <v>13499</v>
      </c>
      <c r="C69" s="24" t="s">
        <v>13501</v>
      </c>
      <c r="D69" s="24">
        <v>2.3573343064879202</v>
      </c>
      <c r="E69" s="24">
        <f t="shared" si="12"/>
        <v>5.1242267120135034</v>
      </c>
      <c r="F69" s="29">
        <v>2.0205672476126399E-6</v>
      </c>
      <c r="G69" s="24">
        <v>12.3354439398487</v>
      </c>
      <c r="H69" s="24">
        <v>12.0577846008914</v>
      </c>
      <c r="I69" s="24">
        <v>12.001807716803199</v>
      </c>
      <c r="J69" s="24">
        <f t="shared" si="8"/>
        <v>12.131678752514432</v>
      </c>
      <c r="K69" s="24">
        <v>13.993532827163101</v>
      </c>
      <c r="L69" s="24">
        <v>14.476898785720699</v>
      </c>
      <c r="M69" s="24">
        <v>14.996607564123201</v>
      </c>
      <c r="N69" s="24">
        <f t="shared" si="9"/>
        <v>14.489013059002334</v>
      </c>
      <c r="O69" s="24" t="str">
        <f t="shared" si="10"/>
        <v>ND</v>
      </c>
      <c r="P69" s="24" t="str">
        <f t="shared" si="11"/>
        <v>NA</v>
      </c>
      <c r="S69" s="11" t="s">
        <v>5251</v>
      </c>
      <c r="T69" s="20">
        <v>4.9786246800000002</v>
      </c>
      <c r="U69" s="41" t="s">
        <v>14928</v>
      </c>
    </row>
    <row r="70" spans="1:21" x14ac:dyDescent="0.2">
      <c r="A70" s="10" t="str">
        <f>"Y18H1A.4"</f>
        <v>Y18H1A.4</v>
      </c>
      <c r="B70" s="10" t="s">
        <v>12123</v>
      </c>
      <c r="C70" s="10" t="s">
        <v>12124</v>
      </c>
      <c r="D70" s="10">
        <v>2.3435872936402098</v>
      </c>
      <c r="E70" s="10">
        <f t="shared" si="12"/>
        <v>5.0756313695493773</v>
      </c>
      <c r="F70" s="10">
        <v>8.4283111914012501E-4</v>
      </c>
      <c r="G70" s="10">
        <v>11.6775591019532</v>
      </c>
      <c r="H70" s="10">
        <v>11.1808932125789</v>
      </c>
      <c r="I70" s="10" t="s">
        <v>14849</v>
      </c>
      <c r="J70" s="10">
        <f t="shared" si="8"/>
        <v>11.429226157266051</v>
      </c>
      <c r="K70" s="10">
        <v>13.4595921016881</v>
      </c>
      <c r="L70" s="10">
        <v>14.3336800796641</v>
      </c>
      <c r="M70" s="10">
        <v>13.5251681713666</v>
      </c>
      <c r="N70" s="10">
        <f t="shared" si="9"/>
        <v>13.772813450906268</v>
      </c>
      <c r="O70" s="10">
        <f t="shared" si="10"/>
        <v>2.2795263866027669</v>
      </c>
      <c r="P70" s="10">
        <f t="shared" si="11"/>
        <v>2.2266166337796656</v>
      </c>
      <c r="S70" s="11" t="s">
        <v>8357</v>
      </c>
      <c r="T70" s="20">
        <v>4.8608899699999997</v>
      </c>
      <c r="U70" s="39" t="s">
        <v>14917</v>
      </c>
    </row>
    <row r="71" spans="1:21" x14ac:dyDescent="0.2">
      <c r="A71" s="24" t="str">
        <f>"lec-2"</f>
        <v>lec-2</v>
      </c>
      <c r="B71" s="24" t="s">
        <v>8875</v>
      </c>
      <c r="C71" s="24" t="s">
        <v>8877</v>
      </c>
      <c r="D71" s="24">
        <v>2.3174692522390798</v>
      </c>
      <c r="E71" s="24">
        <f t="shared" si="12"/>
        <v>4.9845706844159627</v>
      </c>
      <c r="F71" s="24">
        <v>3.0295392177224898E-4</v>
      </c>
      <c r="G71" s="24">
        <v>12.8190894392477</v>
      </c>
      <c r="H71" s="24">
        <v>12.002261491499199</v>
      </c>
      <c r="I71" s="24">
        <v>12.582329626200501</v>
      </c>
      <c r="J71" s="24">
        <f t="shared" si="8"/>
        <v>12.467893518982466</v>
      </c>
      <c r="K71" s="24">
        <v>15.514641397385899</v>
      </c>
      <c r="L71" s="24">
        <v>14.400334997945199</v>
      </c>
      <c r="M71" s="24">
        <v>14.441111918333601</v>
      </c>
      <c r="N71" s="24">
        <f t="shared" si="9"/>
        <v>14.785362771221566</v>
      </c>
      <c r="O71" s="24" t="str">
        <f t="shared" si="10"/>
        <v>ND</v>
      </c>
      <c r="P71" s="24" t="str">
        <f t="shared" si="11"/>
        <v>NA</v>
      </c>
      <c r="S71" s="11" t="s">
        <v>6434</v>
      </c>
      <c r="T71" s="20">
        <v>4.8303157299999997</v>
      </c>
      <c r="U71" s="39"/>
    </row>
    <row r="72" spans="1:21" x14ac:dyDescent="0.2">
      <c r="A72" s="16" t="str">
        <f>"ivns-1"</f>
        <v>ivns-1</v>
      </c>
      <c r="B72" s="16" t="s">
        <v>9470</v>
      </c>
      <c r="C72" s="16" t="s">
        <v>2432</v>
      </c>
      <c r="D72" s="16">
        <v>2.3101586046800699</v>
      </c>
      <c r="E72" s="16">
        <f t="shared" si="12"/>
        <v>4.959375985664229</v>
      </c>
      <c r="F72" s="31">
        <v>6.5872429518513904E-5</v>
      </c>
      <c r="G72" s="16">
        <v>12.767921153455299</v>
      </c>
      <c r="H72" s="16">
        <v>12.8428017920839</v>
      </c>
      <c r="I72" s="16">
        <v>13.0138894181816</v>
      </c>
      <c r="J72" s="16">
        <f t="shared" si="8"/>
        <v>12.874870787906934</v>
      </c>
      <c r="K72" s="16">
        <v>14.548352020664399</v>
      </c>
      <c r="L72" s="16">
        <v>15.413311359028</v>
      </c>
      <c r="M72" s="16">
        <v>15.593424798068501</v>
      </c>
      <c r="N72" s="16">
        <f t="shared" si="9"/>
        <v>15.185029392586967</v>
      </c>
      <c r="O72" s="16">
        <f t="shared" si="10"/>
        <v>6.7355698300000002</v>
      </c>
      <c r="P72" s="16">
        <f t="shared" si="11"/>
        <v>0.73629642492537695</v>
      </c>
      <c r="S72" s="11" t="s">
        <v>88</v>
      </c>
      <c r="T72" s="20">
        <v>4.8081449999999997</v>
      </c>
      <c r="U72" s="39"/>
    </row>
    <row r="73" spans="1:21" x14ac:dyDescent="0.2">
      <c r="A73" s="10" t="str">
        <f>"ufd-3"</f>
        <v>ufd-3</v>
      </c>
      <c r="B73" s="10" t="s">
        <v>1704</v>
      </c>
      <c r="C73" s="10" t="s">
        <v>1706</v>
      </c>
      <c r="D73" s="10">
        <v>2.2815225349501</v>
      </c>
      <c r="E73" s="10">
        <f t="shared" si="12"/>
        <v>4.8619078007782379</v>
      </c>
      <c r="F73" s="32">
        <v>1.1592068805037301E-6</v>
      </c>
      <c r="G73" s="10">
        <v>12.7102140961687</v>
      </c>
      <c r="H73" s="10">
        <v>12.6811677271367</v>
      </c>
      <c r="I73" s="10">
        <v>12.6025783971059</v>
      </c>
      <c r="J73" s="10">
        <f t="shared" si="8"/>
        <v>12.664653406803767</v>
      </c>
      <c r="K73" s="10">
        <v>14.777473050246799</v>
      </c>
      <c r="L73" s="10">
        <v>15.3669139958079</v>
      </c>
      <c r="M73" s="10">
        <v>14.6941407792068</v>
      </c>
      <c r="N73" s="10">
        <f t="shared" si="9"/>
        <v>14.946175941753834</v>
      </c>
      <c r="O73" s="10">
        <f t="shared" si="10"/>
        <v>3.4104602499999999</v>
      </c>
      <c r="P73" s="10">
        <f t="shared" si="11"/>
        <v>1.4255870012788561</v>
      </c>
      <c r="S73" s="11" t="s">
        <v>465</v>
      </c>
      <c r="T73" s="20">
        <v>4.7841150700000004</v>
      </c>
      <c r="U73" s="39"/>
    </row>
    <row r="74" spans="1:21" x14ac:dyDescent="0.2">
      <c r="A74" s="24" t="str">
        <f>"perm-4"</f>
        <v>perm-4</v>
      </c>
      <c r="B74" s="24" t="s">
        <v>3682</v>
      </c>
      <c r="C74" s="24" t="s">
        <v>3684</v>
      </c>
      <c r="D74" s="24">
        <v>2.2621402054372601</v>
      </c>
      <c r="E74" s="24">
        <f t="shared" si="12"/>
        <v>4.7970258218897541</v>
      </c>
      <c r="F74" s="24">
        <v>3.2338585839858901E-4</v>
      </c>
      <c r="G74" s="24">
        <v>13.6117150530633</v>
      </c>
      <c r="H74" s="24">
        <v>14.311393143573699</v>
      </c>
      <c r="I74" s="24">
        <v>15.1034931551065</v>
      </c>
      <c r="J74" s="24">
        <f t="shared" si="8"/>
        <v>14.342200450581167</v>
      </c>
      <c r="K74" s="24">
        <v>17.3651800285249</v>
      </c>
      <c r="L74" s="24">
        <v>16.596627361123598</v>
      </c>
      <c r="M74" s="24">
        <v>15.8512145784068</v>
      </c>
      <c r="N74" s="24">
        <f t="shared" si="9"/>
        <v>16.604340656018433</v>
      </c>
      <c r="O74" s="24" t="str">
        <f t="shared" si="10"/>
        <v>ND</v>
      </c>
      <c r="P74" s="24" t="str">
        <f t="shared" si="11"/>
        <v>NA</v>
      </c>
      <c r="S74" s="11" t="s">
        <v>944</v>
      </c>
      <c r="T74" s="20">
        <v>4.7641000399999998</v>
      </c>
      <c r="U74" s="39"/>
    </row>
    <row r="75" spans="1:21" x14ac:dyDescent="0.2">
      <c r="A75" s="24" t="str">
        <f>"deb-1"</f>
        <v>deb-1</v>
      </c>
      <c r="B75" s="24" t="s">
        <v>4794</v>
      </c>
      <c r="C75" s="24" t="s">
        <v>4796</v>
      </c>
      <c r="D75" s="24">
        <v>2.2456482824439599</v>
      </c>
      <c r="E75" s="24">
        <f t="shared" si="12"/>
        <v>4.7425016725770481</v>
      </c>
      <c r="F75" s="29">
        <v>5.29059906154463E-6</v>
      </c>
      <c r="G75" s="24">
        <v>11.2059148503439</v>
      </c>
      <c r="H75" s="24">
        <v>11.9431731353147</v>
      </c>
      <c r="I75" s="24">
        <v>11.845601764268601</v>
      </c>
      <c r="J75" s="24">
        <f t="shared" si="8"/>
        <v>11.664896583309067</v>
      </c>
      <c r="K75" s="24">
        <v>13.550176212047001</v>
      </c>
      <c r="L75" s="24">
        <v>13.8578921914578</v>
      </c>
      <c r="M75" s="24">
        <v>14.3235661937542</v>
      </c>
      <c r="N75" s="24">
        <f t="shared" si="9"/>
        <v>13.910544865753002</v>
      </c>
      <c r="O75" s="24" t="str">
        <f t="shared" si="10"/>
        <v>ND</v>
      </c>
      <c r="P75" s="24" t="str">
        <f t="shared" si="11"/>
        <v>NA</v>
      </c>
      <c r="S75" s="11" t="s">
        <v>1209</v>
      </c>
      <c r="T75" s="20">
        <v>4.5818628099999996</v>
      </c>
      <c r="U75" s="39"/>
    </row>
    <row r="76" spans="1:21" x14ac:dyDescent="0.2">
      <c r="A76" s="14" t="str">
        <f>"ifb-1"</f>
        <v>ifb-1</v>
      </c>
      <c r="B76" s="14" t="s">
        <v>8187</v>
      </c>
      <c r="C76" s="14" t="s">
        <v>8189</v>
      </c>
      <c r="D76" s="14">
        <v>2.2084613662888799</v>
      </c>
      <c r="E76" s="14">
        <f t="shared" si="12"/>
        <v>4.6218209359411331</v>
      </c>
      <c r="F76" s="14">
        <v>2.2338574349161299E-4</v>
      </c>
      <c r="G76" s="14">
        <v>14.315746940918601</v>
      </c>
      <c r="H76" s="14">
        <v>14.547533623940501</v>
      </c>
      <c r="I76" s="14">
        <v>15.135385251682999</v>
      </c>
      <c r="J76" s="14">
        <f t="shared" si="8"/>
        <v>14.666221938847366</v>
      </c>
      <c r="K76" s="14">
        <v>16.752773174543702</v>
      </c>
      <c r="L76" s="14">
        <v>17.030050921818798</v>
      </c>
      <c r="M76" s="14">
        <v>16.841225819046301</v>
      </c>
      <c r="N76" s="14">
        <f t="shared" si="9"/>
        <v>16.874683305136269</v>
      </c>
      <c r="O76" s="14">
        <f t="shared" si="10"/>
        <v>14.6257997</v>
      </c>
      <c r="P76" s="14">
        <f t="shared" si="11"/>
        <v>0.31600466509473207</v>
      </c>
      <c r="S76" s="11" t="s">
        <v>9440</v>
      </c>
      <c r="T76" s="20">
        <v>4.5629360500000002</v>
      </c>
      <c r="U76" s="39"/>
    </row>
    <row r="77" spans="1:21" x14ac:dyDescent="0.2">
      <c r="A77" s="24" t="str">
        <f>"F20D6.6"</f>
        <v>F20D6.6</v>
      </c>
      <c r="B77" s="24" t="s">
        <v>8360</v>
      </c>
      <c r="C77" s="24" t="s">
        <v>8361</v>
      </c>
      <c r="D77" s="24">
        <v>2.1588179495734701</v>
      </c>
      <c r="E77" s="24">
        <f t="shared" si="12"/>
        <v>4.4654883224972091</v>
      </c>
      <c r="F77" s="24">
        <v>4.3722550959606702E-3</v>
      </c>
      <c r="G77" s="24">
        <v>12.1492482125441</v>
      </c>
      <c r="H77" s="24" t="s">
        <v>14849</v>
      </c>
      <c r="I77" s="24">
        <v>12.2745950446779</v>
      </c>
      <c r="J77" s="24">
        <f t="shared" si="8"/>
        <v>12.211921628611</v>
      </c>
      <c r="K77" s="24">
        <v>14.9576663170846</v>
      </c>
      <c r="L77" s="24">
        <v>14.676413136306</v>
      </c>
      <c r="M77" s="24">
        <v>13.4781392811628</v>
      </c>
      <c r="N77" s="24">
        <f t="shared" si="9"/>
        <v>14.370739578184464</v>
      </c>
      <c r="O77" s="24" t="str">
        <f t="shared" si="10"/>
        <v>ND</v>
      </c>
      <c r="P77" s="24" t="str">
        <f t="shared" si="11"/>
        <v>NA</v>
      </c>
      <c r="S77" s="11" t="s">
        <v>3930</v>
      </c>
      <c r="T77" s="20">
        <v>4.51665078</v>
      </c>
      <c r="U77" s="39"/>
    </row>
    <row r="78" spans="1:21" x14ac:dyDescent="0.2">
      <c r="A78" s="24" t="str">
        <f>"F25B5.6"</f>
        <v>F25B5.6</v>
      </c>
      <c r="B78" s="24" t="s">
        <v>6820</v>
      </c>
      <c r="C78" s="24" t="s">
        <v>6822</v>
      </c>
      <c r="D78" s="24">
        <v>2.1403475145136199</v>
      </c>
      <c r="E78" s="24">
        <f t="shared" si="12"/>
        <v>4.4086822932981899</v>
      </c>
      <c r="F78" s="29">
        <v>2.45709270611038E-6</v>
      </c>
      <c r="G78" s="24">
        <v>13.306788826489001</v>
      </c>
      <c r="H78" s="24">
        <v>13.457426981523099</v>
      </c>
      <c r="I78" s="24">
        <v>13.2610998181603</v>
      </c>
      <c r="J78" s="24">
        <f t="shared" si="8"/>
        <v>13.341771875390799</v>
      </c>
      <c r="K78" s="24">
        <v>15.092369279120399</v>
      </c>
      <c r="L78" s="24">
        <v>15.667533039593099</v>
      </c>
      <c r="M78" s="24">
        <v>15.6864558509997</v>
      </c>
      <c r="N78" s="24">
        <f t="shared" si="9"/>
        <v>15.482119389904399</v>
      </c>
      <c r="O78" s="24" t="str">
        <f t="shared" si="10"/>
        <v>ND</v>
      </c>
      <c r="P78" s="24" t="str">
        <f t="shared" si="11"/>
        <v>NA</v>
      </c>
      <c r="S78" s="10" t="s">
        <v>14808</v>
      </c>
      <c r="T78" s="21">
        <v>4.4289296021776599</v>
      </c>
      <c r="U78" s="40"/>
    </row>
    <row r="79" spans="1:21" x14ac:dyDescent="0.2">
      <c r="A79" s="24" t="str">
        <f>"sir-2.4"</f>
        <v>sir-2.4</v>
      </c>
      <c r="B79" s="24" t="s">
        <v>11480</v>
      </c>
      <c r="C79" s="24" t="s">
        <v>11482</v>
      </c>
      <c r="D79" s="24">
        <v>2.1250813604796099</v>
      </c>
      <c r="E79" s="24">
        <f t="shared" si="12"/>
        <v>4.3622769334030442</v>
      </c>
      <c r="F79" s="24">
        <v>5.0244071864155105E-4</v>
      </c>
      <c r="G79" s="24">
        <v>13.728683382417101</v>
      </c>
      <c r="H79" s="24">
        <v>14.6228403620521</v>
      </c>
      <c r="I79" s="24">
        <v>14.1107333650996</v>
      </c>
      <c r="J79" s="24">
        <f t="shared" si="8"/>
        <v>14.154085703189601</v>
      </c>
      <c r="K79" s="24">
        <v>17.365494221979802</v>
      </c>
      <c r="L79" s="24">
        <v>16.364299398825999</v>
      </c>
      <c r="M79" s="24">
        <v>15.1077075702018</v>
      </c>
      <c r="N79" s="24">
        <f t="shared" si="9"/>
        <v>16.279167063669203</v>
      </c>
      <c r="O79" s="24" t="str">
        <f t="shared" si="10"/>
        <v>ND</v>
      </c>
      <c r="P79" s="24" t="str">
        <f t="shared" si="11"/>
        <v>NA</v>
      </c>
      <c r="S79" s="11" t="s">
        <v>3299</v>
      </c>
      <c r="T79" s="20">
        <v>4.4027046299999997</v>
      </c>
      <c r="U79" s="39"/>
    </row>
    <row r="80" spans="1:21" x14ac:dyDescent="0.2">
      <c r="A80" s="24" t="str">
        <f>"clp-7"</f>
        <v>clp-7</v>
      </c>
      <c r="B80" s="24" t="s">
        <v>12471</v>
      </c>
      <c r="C80" s="24" t="s">
        <v>12473</v>
      </c>
      <c r="D80" s="24">
        <v>2.1172599633203402</v>
      </c>
      <c r="E80" s="24">
        <f t="shared" si="12"/>
        <v>4.3386913660691677</v>
      </c>
      <c r="F80" s="24">
        <v>9.8847522386977704E-4</v>
      </c>
      <c r="G80" s="24">
        <v>11.961174344982</v>
      </c>
      <c r="H80" s="24" t="s">
        <v>14849</v>
      </c>
      <c r="I80" s="24" t="s">
        <v>14849</v>
      </c>
      <c r="J80" s="24">
        <f t="shared" si="8"/>
        <v>11.961174344982</v>
      </c>
      <c r="K80" s="24">
        <v>13.660010370090401</v>
      </c>
      <c r="L80" s="24">
        <v>13.905893119515399</v>
      </c>
      <c r="M80" s="24">
        <v>14.669399435301299</v>
      </c>
      <c r="N80" s="24">
        <f t="shared" si="9"/>
        <v>14.078434308302368</v>
      </c>
      <c r="O80" s="24" t="str">
        <f t="shared" si="10"/>
        <v>ND</v>
      </c>
      <c r="P80" s="24" t="str">
        <f t="shared" si="11"/>
        <v>NA</v>
      </c>
      <c r="S80" s="11" t="s">
        <v>14809</v>
      </c>
      <c r="T80" s="20">
        <v>4.39401449</v>
      </c>
      <c r="U80" s="39"/>
    </row>
    <row r="81" spans="1:21" x14ac:dyDescent="0.2">
      <c r="A81" s="14" t="str">
        <f>"lea-1"</f>
        <v>lea-1</v>
      </c>
      <c r="B81" s="14" t="s">
        <v>2195</v>
      </c>
      <c r="C81" s="14" t="s">
        <v>2197</v>
      </c>
      <c r="D81" s="14">
        <v>2.0584984380001301</v>
      </c>
      <c r="E81" s="14">
        <f t="shared" si="12"/>
        <v>4.1655252932177884</v>
      </c>
      <c r="F81" s="14">
        <v>1.5907729636296601E-3</v>
      </c>
      <c r="G81" s="14">
        <v>12.3888086287417</v>
      </c>
      <c r="H81" s="14">
        <v>12.778827821609999</v>
      </c>
      <c r="I81" s="14">
        <v>12.302385086334599</v>
      </c>
      <c r="J81" s="14">
        <f t="shared" si="8"/>
        <v>12.490007178895434</v>
      </c>
      <c r="K81" s="14">
        <v>13.810844789089201</v>
      </c>
      <c r="L81" s="14">
        <v>14.7621951038031</v>
      </c>
      <c r="M81" s="14">
        <v>15.0724769577945</v>
      </c>
      <c r="N81" s="14">
        <f t="shared" si="9"/>
        <v>14.548505616895602</v>
      </c>
      <c r="O81" s="14">
        <f t="shared" si="10"/>
        <v>12.573299199999999</v>
      </c>
      <c r="P81" s="14">
        <f t="shared" si="11"/>
        <v>0.33129930553293352</v>
      </c>
      <c r="S81" s="11" t="s">
        <v>9759</v>
      </c>
      <c r="T81" s="20">
        <v>4.2269197700000003</v>
      </c>
      <c r="U81" s="39"/>
    </row>
    <row r="82" spans="1:21" x14ac:dyDescent="0.2">
      <c r="A82" s="24" t="str">
        <f>"abts-4"</f>
        <v>abts-4</v>
      </c>
      <c r="B82" s="24" t="s">
        <v>10563</v>
      </c>
      <c r="C82" s="24" t="s">
        <v>660</v>
      </c>
      <c r="D82" s="24">
        <v>2.0568237138141798</v>
      </c>
      <c r="E82" s="24">
        <f t="shared" si="12"/>
        <v>4.1606926305367091</v>
      </c>
      <c r="F82" s="24">
        <v>6.09175343609384E-4</v>
      </c>
      <c r="G82" s="24">
        <v>17.4880709808562</v>
      </c>
      <c r="H82" s="24">
        <v>17.6924404977695</v>
      </c>
      <c r="I82" s="24">
        <v>17.263434322545798</v>
      </c>
      <c r="J82" s="24">
        <f t="shared" ref="J82:J113" si="13">AVERAGEIF(G82:I82, "&gt;0")</f>
        <v>17.481315267057166</v>
      </c>
      <c r="K82" s="24">
        <v>20.433746768166198</v>
      </c>
      <c r="L82" s="24">
        <v>19.7747352259208</v>
      </c>
      <c r="M82" s="24">
        <v>18.405934948527101</v>
      </c>
      <c r="N82" s="24">
        <f t="shared" si="9"/>
        <v>19.538138980871366</v>
      </c>
      <c r="O82" s="24" t="str">
        <f t="shared" si="10"/>
        <v>ND</v>
      </c>
      <c r="P82" s="24" t="str">
        <f t="shared" si="11"/>
        <v>NA</v>
      </c>
      <c r="S82" s="10" t="s">
        <v>7987</v>
      </c>
      <c r="T82" s="20">
        <v>4.1515668901613356</v>
      </c>
      <c r="U82" s="39"/>
    </row>
    <row r="83" spans="1:21" x14ac:dyDescent="0.2">
      <c r="A83" s="24" t="str">
        <f>"tps-1"</f>
        <v>tps-1</v>
      </c>
      <c r="B83" s="24" t="s">
        <v>10719</v>
      </c>
      <c r="C83" s="24" t="s">
        <v>10721</v>
      </c>
      <c r="D83" s="24">
        <v>2.0538407551484501</v>
      </c>
      <c r="E83" s="24">
        <f t="shared" si="12"/>
        <v>4.1520987477197009</v>
      </c>
      <c r="F83" s="24">
        <v>2.34222566048619E-4</v>
      </c>
      <c r="G83" s="24">
        <v>11.7701819910127</v>
      </c>
      <c r="H83" s="24">
        <v>11.207715835361199</v>
      </c>
      <c r="I83" s="24">
        <v>11.3418234565208</v>
      </c>
      <c r="J83" s="24">
        <f t="shared" si="13"/>
        <v>11.439907094298233</v>
      </c>
      <c r="K83" s="24">
        <v>12.8908468595454</v>
      </c>
      <c r="L83" s="24">
        <v>13.079398166891901</v>
      </c>
      <c r="M83" s="24">
        <v>14.5109985219027</v>
      </c>
      <c r="N83" s="24">
        <f t="shared" si="9"/>
        <v>13.493747849446668</v>
      </c>
      <c r="O83" s="24" t="str">
        <f t="shared" si="10"/>
        <v>ND</v>
      </c>
      <c r="P83" s="24" t="str">
        <f t="shared" si="11"/>
        <v>NA</v>
      </c>
      <c r="S83" s="11" t="s">
        <v>14172</v>
      </c>
      <c r="T83" s="20">
        <v>4.1223131100000003</v>
      </c>
      <c r="U83" s="39"/>
    </row>
    <row r="84" spans="1:21" x14ac:dyDescent="0.2">
      <c r="A84" s="24" t="str">
        <f>"ZK813.1"</f>
        <v>ZK813.1</v>
      </c>
      <c r="B84" s="24" t="s">
        <v>10340</v>
      </c>
      <c r="C84" s="24" t="s">
        <v>8716</v>
      </c>
      <c r="D84" s="24">
        <v>2.0511703356981399</v>
      </c>
      <c r="E84" s="24">
        <f t="shared" si="12"/>
        <v>4.1444203475698504</v>
      </c>
      <c r="F84" s="24">
        <v>1.87912956129119E-3</v>
      </c>
      <c r="G84" s="24">
        <v>15.334934143095801</v>
      </c>
      <c r="H84" s="24">
        <v>15.0132871955007</v>
      </c>
      <c r="I84" s="24">
        <v>16.081460216115801</v>
      </c>
      <c r="J84" s="24">
        <f t="shared" si="13"/>
        <v>15.476560518237434</v>
      </c>
      <c r="K84" s="24">
        <v>18.538299148995598</v>
      </c>
      <c r="L84" s="24">
        <v>17.578038990343501</v>
      </c>
      <c r="M84" s="24">
        <v>16.466854422467701</v>
      </c>
      <c r="N84" s="24">
        <f t="shared" si="9"/>
        <v>17.527730853935598</v>
      </c>
      <c r="O84" s="24" t="str">
        <f t="shared" si="10"/>
        <v>ND</v>
      </c>
      <c r="P84" s="24" t="str">
        <f t="shared" si="11"/>
        <v>NA</v>
      </c>
      <c r="S84" s="10" t="s">
        <v>13532</v>
      </c>
      <c r="T84" s="21">
        <v>4.0876309905636603</v>
      </c>
      <c r="U84" s="40"/>
    </row>
    <row r="85" spans="1:21" x14ac:dyDescent="0.2">
      <c r="A85" s="24" t="str">
        <f>"Y62H9A.3"</f>
        <v>Y62H9A.3</v>
      </c>
      <c r="B85" s="24" t="s">
        <v>13890</v>
      </c>
      <c r="C85" s="24" t="s">
        <v>13891</v>
      </c>
      <c r="D85" s="24">
        <v>2.0433547389800699</v>
      </c>
      <c r="E85" s="24">
        <f t="shared" si="12"/>
        <v>4.1220292404982235</v>
      </c>
      <c r="F85" s="24">
        <v>1.4328187238434799E-3</v>
      </c>
      <c r="G85" s="24">
        <v>15.7295624577444</v>
      </c>
      <c r="H85" s="24">
        <v>15.142768752868101</v>
      </c>
      <c r="I85" s="24">
        <v>15.820283662281</v>
      </c>
      <c r="J85" s="24">
        <f t="shared" si="13"/>
        <v>15.564204957631167</v>
      </c>
      <c r="K85" s="24">
        <v>18.580726673188</v>
      </c>
      <c r="L85" s="24">
        <v>18.0049485468844</v>
      </c>
      <c r="M85" s="24">
        <v>16.2370038697612</v>
      </c>
      <c r="N85" s="24">
        <f t="shared" si="9"/>
        <v>17.607559696611201</v>
      </c>
      <c r="O85" s="24" t="str">
        <f t="shared" si="10"/>
        <v>ND</v>
      </c>
      <c r="P85" s="24" t="str">
        <f t="shared" si="11"/>
        <v>NA</v>
      </c>
      <c r="S85" s="11" t="s">
        <v>14213</v>
      </c>
      <c r="T85" s="20">
        <v>4.0803284199999998</v>
      </c>
      <c r="U85" s="39"/>
    </row>
    <row r="86" spans="1:21" x14ac:dyDescent="0.2">
      <c r="A86" s="24" t="str">
        <f>"catp-4"</f>
        <v>catp-4</v>
      </c>
      <c r="B86" s="24" t="s">
        <v>1963</v>
      </c>
      <c r="C86" s="24" t="s">
        <v>1965</v>
      </c>
      <c r="D86" s="24">
        <v>2.0389683690781699</v>
      </c>
      <c r="E86" s="24">
        <f t="shared" si="12"/>
        <v>4.1095156558729018</v>
      </c>
      <c r="F86" s="24">
        <v>5.9876955129832305E-4</v>
      </c>
      <c r="G86" s="24">
        <v>14.251786216585799</v>
      </c>
      <c r="H86" s="24">
        <v>14.0552744036892</v>
      </c>
      <c r="I86" s="24">
        <v>13.7213498042242</v>
      </c>
      <c r="J86" s="24">
        <f t="shared" si="13"/>
        <v>14.009470141499733</v>
      </c>
      <c r="K86" s="24">
        <v>17.047460108036098</v>
      </c>
      <c r="L86" s="24">
        <v>16.1665743344549</v>
      </c>
      <c r="M86" s="24">
        <v>14.931281089242701</v>
      </c>
      <c r="N86" s="24">
        <f t="shared" si="9"/>
        <v>16.048438510577899</v>
      </c>
      <c r="O86" s="24" t="str">
        <f t="shared" si="10"/>
        <v>ND</v>
      </c>
      <c r="P86" s="24" t="str">
        <f t="shared" si="11"/>
        <v>NA</v>
      </c>
      <c r="S86" s="11" t="s">
        <v>1422</v>
      </c>
      <c r="T86" s="20">
        <v>4.0776110599999997</v>
      </c>
      <c r="U86" s="39"/>
    </row>
    <row r="87" spans="1:21" x14ac:dyDescent="0.2">
      <c r="A87" s="24" t="str">
        <f>"nhr-7"</f>
        <v>nhr-7</v>
      </c>
      <c r="B87" s="24" t="s">
        <v>8935</v>
      </c>
      <c r="C87" s="24" t="s">
        <v>8937</v>
      </c>
      <c r="D87" s="24">
        <v>2.0002620210675701</v>
      </c>
      <c r="E87" s="24">
        <f t="shared" si="12"/>
        <v>4.0007265426319689</v>
      </c>
      <c r="F87" s="24">
        <v>4.1610357319942998E-3</v>
      </c>
      <c r="G87" s="24">
        <v>16.344902990318801</v>
      </c>
      <c r="H87" s="24">
        <v>16.684040257113899</v>
      </c>
      <c r="I87" s="24">
        <v>16.075252067787002</v>
      </c>
      <c r="J87" s="24">
        <f t="shared" si="13"/>
        <v>16.368065105073232</v>
      </c>
      <c r="K87" s="24">
        <v>19.698815508448199</v>
      </c>
      <c r="L87" s="24">
        <v>18.436394577719302</v>
      </c>
      <c r="M87" s="24">
        <v>16.969771292255</v>
      </c>
      <c r="N87" s="24">
        <f t="shared" si="9"/>
        <v>18.368327126140837</v>
      </c>
      <c r="O87" s="24" t="str">
        <f t="shared" si="10"/>
        <v>ND</v>
      </c>
      <c r="P87" s="24" t="str">
        <f t="shared" si="11"/>
        <v>NA</v>
      </c>
      <c r="S87" s="11" t="s">
        <v>12679</v>
      </c>
      <c r="T87" s="20">
        <v>4.0673590600000002</v>
      </c>
      <c r="U87" s="39"/>
    </row>
    <row r="88" spans="1:21" x14ac:dyDescent="0.2">
      <c r="A88" s="24" t="str">
        <f>"pacs-1"</f>
        <v>pacs-1</v>
      </c>
      <c r="B88" s="24" t="s">
        <v>11492</v>
      </c>
      <c r="C88" s="24" t="s">
        <v>11493</v>
      </c>
      <c r="D88" s="24">
        <v>1.99611114910564</v>
      </c>
      <c r="E88" s="24">
        <f t="shared" si="12"/>
        <v>3.9892323347562844</v>
      </c>
      <c r="F88" s="29">
        <v>3.1863251224340698E-6</v>
      </c>
      <c r="G88" s="24">
        <v>12.9815875326265</v>
      </c>
      <c r="H88" s="24">
        <v>12.948065227323699</v>
      </c>
      <c r="I88" s="24">
        <v>12.6172201782469</v>
      </c>
      <c r="J88" s="24">
        <f t="shared" si="13"/>
        <v>12.848957646065699</v>
      </c>
      <c r="K88" s="24">
        <v>15.2076762499261</v>
      </c>
      <c r="L88" s="24">
        <v>14.7622432149965</v>
      </c>
      <c r="M88" s="24">
        <v>14.5652869205915</v>
      </c>
      <c r="N88" s="24">
        <f t="shared" si="9"/>
        <v>14.845068795171366</v>
      </c>
      <c r="O88" s="24" t="str">
        <f t="shared" si="10"/>
        <v>ND</v>
      </c>
      <c r="P88" s="24" t="str">
        <f t="shared" si="11"/>
        <v>NA</v>
      </c>
      <c r="S88" s="11" t="s">
        <v>12300</v>
      </c>
      <c r="T88" s="20">
        <v>4.0429665400000001</v>
      </c>
      <c r="U88" s="39"/>
    </row>
    <row r="89" spans="1:21" x14ac:dyDescent="0.2">
      <c r="A89" s="24" t="str">
        <f>"enol-1"</f>
        <v>enol-1</v>
      </c>
      <c r="B89" s="24" t="s">
        <v>10444</v>
      </c>
      <c r="C89" s="24" t="s">
        <v>10446</v>
      </c>
      <c r="D89" s="24">
        <v>1.9910863421125</v>
      </c>
      <c r="E89" s="24">
        <f t="shared" si="12"/>
        <v>3.9753622828253712</v>
      </c>
      <c r="F89" s="24">
        <v>2.6928041096162402E-3</v>
      </c>
      <c r="G89" s="24">
        <v>11.807169937222399</v>
      </c>
      <c r="H89" s="24">
        <v>11.9018386680407</v>
      </c>
      <c r="I89" s="24">
        <v>12.3720372897989</v>
      </c>
      <c r="J89" s="24">
        <f t="shared" si="13"/>
        <v>12.027015298354002</v>
      </c>
      <c r="K89" s="24">
        <v>14.401886719119201</v>
      </c>
      <c r="L89" s="24">
        <v>13.577705691226599</v>
      </c>
      <c r="M89" s="24">
        <v>14.0747125110538</v>
      </c>
      <c r="N89" s="24">
        <f t="shared" si="9"/>
        <v>14.018101640466535</v>
      </c>
      <c r="O89" s="24" t="str">
        <f t="shared" si="10"/>
        <v>ND</v>
      </c>
      <c r="P89" s="24" t="str">
        <f t="shared" si="11"/>
        <v>NA</v>
      </c>
      <c r="S89" s="11" t="s">
        <v>7671</v>
      </c>
      <c r="T89" s="20">
        <v>4.0404980300000002</v>
      </c>
      <c r="U89" s="39"/>
    </row>
    <row r="90" spans="1:21" x14ac:dyDescent="0.2">
      <c r="A90" s="10" t="str">
        <f>"T22D1.3"</f>
        <v>T22D1.3</v>
      </c>
      <c r="B90" s="10" t="s">
        <v>12250</v>
      </c>
      <c r="C90" s="10" t="s">
        <v>12252</v>
      </c>
      <c r="D90" s="10">
        <v>1.98020754620692</v>
      </c>
      <c r="E90" s="10">
        <f t="shared" si="12"/>
        <v>3.945498376813354</v>
      </c>
      <c r="F90" s="32">
        <v>1.49792956025355E-6</v>
      </c>
      <c r="G90" s="10">
        <v>12.534607466923701</v>
      </c>
      <c r="H90" s="10">
        <v>11.7707884573106</v>
      </c>
      <c r="I90" s="10">
        <v>12.1430060373494</v>
      </c>
      <c r="J90" s="10">
        <f t="shared" si="13"/>
        <v>12.149467320527899</v>
      </c>
      <c r="K90" s="10">
        <v>14.0673945997915</v>
      </c>
      <c r="L90" s="10">
        <v>14.0950254639731</v>
      </c>
      <c r="M90" s="10">
        <v>14.226604536439799</v>
      </c>
      <c r="N90" s="10">
        <f t="shared" si="9"/>
        <v>14.129674866734801</v>
      </c>
      <c r="O90" s="10">
        <f t="shared" si="10"/>
        <v>3.1719083800000001</v>
      </c>
      <c r="P90" s="10">
        <f t="shared" si="11"/>
        <v>1.2438878757315663</v>
      </c>
      <c r="S90" s="11" t="s">
        <v>3897</v>
      </c>
      <c r="T90" s="20">
        <v>4.0345622900000002</v>
      </c>
      <c r="U90" s="39"/>
    </row>
    <row r="91" spans="1:21" x14ac:dyDescent="0.2">
      <c r="A91" s="16" t="str">
        <f>"rpn-8"</f>
        <v>rpn-8</v>
      </c>
      <c r="B91" s="16" t="s">
        <v>4325</v>
      </c>
      <c r="C91" s="16" t="s">
        <v>4327</v>
      </c>
      <c r="D91" s="16">
        <v>1.95711447067769</v>
      </c>
      <c r="E91" s="16">
        <f t="shared" si="12"/>
        <v>3.882845951374803</v>
      </c>
      <c r="F91" s="31">
        <v>8.0389331040175895E-5</v>
      </c>
      <c r="G91" s="16">
        <v>11.412944807020301</v>
      </c>
      <c r="H91" s="16">
        <v>12.213950098172599</v>
      </c>
      <c r="I91" s="16">
        <v>11.839812903120199</v>
      </c>
      <c r="J91" s="16">
        <f t="shared" si="13"/>
        <v>11.822235936104365</v>
      </c>
      <c r="K91" s="16">
        <v>14.3455568618675</v>
      </c>
      <c r="L91" s="16">
        <v>13.264681984952199</v>
      </c>
      <c r="M91" s="16">
        <v>13.727812373526399</v>
      </c>
      <c r="N91" s="16">
        <f t="shared" si="9"/>
        <v>13.779350406782031</v>
      </c>
      <c r="O91" s="16">
        <f t="shared" si="10"/>
        <v>5.6978899700000003</v>
      </c>
      <c r="P91" s="16">
        <f t="shared" si="11"/>
        <v>0.68145330496348688</v>
      </c>
      <c r="S91" s="10" t="s">
        <v>4967</v>
      </c>
      <c r="T91" s="20">
        <v>4.0339140586133171</v>
      </c>
      <c r="U91" s="39"/>
    </row>
    <row r="92" spans="1:21" x14ac:dyDescent="0.2">
      <c r="A92" s="14" t="str">
        <f>"rla-0"</f>
        <v>rla-0</v>
      </c>
      <c r="B92" s="14" t="s">
        <v>11174</v>
      </c>
      <c r="C92" s="14" t="s">
        <v>11176</v>
      </c>
      <c r="D92" s="14">
        <v>1.93222106708716</v>
      </c>
      <c r="E92" s="14">
        <f t="shared" si="12"/>
        <v>3.816422955617492</v>
      </c>
      <c r="F92" s="14">
        <v>4.9400411969595798E-3</v>
      </c>
      <c r="G92" s="14">
        <v>12.717765756412501</v>
      </c>
      <c r="H92" s="14">
        <v>13.129486731293699</v>
      </c>
      <c r="I92" s="14">
        <v>13.6413247110927</v>
      </c>
      <c r="J92" s="14">
        <f t="shared" si="13"/>
        <v>13.1628590662663</v>
      </c>
      <c r="K92" s="14">
        <v>15.693370106255101</v>
      </c>
      <c r="L92" s="14">
        <v>15.1653669219261</v>
      </c>
      <c r="M92" s="14">
        <v>14.4265033718791</v>
      </c>
      <c r="N92" s="14">
        <f t="shared" si="9"/>
        <v>15.095080133353434</v>
      </c>
      <c r="O92" s="14">
        <f t="shared" si="10"/>
        <v>12.709663600000001</v>
      </c>
      <c r="P92" s="14">
        <f t="shared" si="11"/>
        <v>0.30027725955055895</v>
      </c>
      <c r="S92" s="11" t="s">
        <v>6169</v>
      </c>
      <c r="T92" s="20">
        <v>4.02411809</v>
      </c>
      <c r="U92" s="39"/>
    </row>
    <row r="93" spans="1:21" x14ac:dyDescent="0.2">
      <c r="A93" s="24" t="str">
        <f>"efk-1"</f>
        <v>efk-1</v>
      </c>
      <c r="B93" s="24" t="s">
        <v>2984</v>
      </c>
      <c r="C93" s="24" t="s">
        <v>2986</v>
      </c>
      <c r="D93" s="24">
        <v>1.8968905738258</v>
      </c>
      <c r="E93" s="24">
        <f t="shared" si="12"/>
        <v>3.7240968016601248</v>
      </c>
      <c r="F93" s="29">
        <v>3.6682849602217602E-6</v>
      </c>
      <c r="G93" s="24">
        <v>13.346379964293501</v>
      </c>
      <c r="H93" s="24">
        <v>13.580914837422499</v>
      </c>
      <c r="I93" s="24">
        <v>12.884244750239199</v>
      </c>
      <c r="J93" s="24">
        <f t="shared" si="13"/>
        <v>13.270513183985067</v>
      </c>
      <c r="K93" s="24">
        <v>15.003805434207299</v>
      </c>
      <c r="L93" s="24">
        <v>15.210243354025801</v>
      </c>
      <c r="M93" s="24">
        <v>15.2881624851995</v>
      </c>
      <c r="N93" s="24">
        <f t="shared" si="9"/>
        <v>15.167403757810867</v>
      </c>
      <c r="O93" s="24" t="str">
        <f t="shared" si="10"/>
        <v>ND</v>
      </c>
      <c r="P93" s="24" t="str">
        <f t="shared" si="11"/>
        <v>NA</v>
      </c>
      <c r="S93" s="10" t="s">
        <v>14162</v>
      </c>
      <c r="T93" s="20">
        <v>4.0086542005910042</v>
      </c>
      <c r="U93" s="39"/>
    </row>
    <row r="94" spans="1:21" x14ac:dyDescent="0.2">
      <c r="A94" s="14" t="str">
        <f>"eef-1B.2"</f>
        <v>eef-1B.2</v>
      </c>
      <c r="B94" s="14" t="s">
        <v>13242</v>
      </c>
      <c r="C94" s="14" t="s">
        <v>13244</v>
      </c>
      <c r="D94" s="14">
        <v>1.8958467576049101</v>
      </c>
      <c r="E94" s="14">
        <f t="shared" si="12"/>
        <v>3.721403324090506</v>
      </c>
      <c r="F94" s="30">
        <v>4.97012667833471E-5</v>
      </c>
      <c r="G94" s="14">
        <v>12.6896394093905</v>
      </c>
      <c r="H94" s="14">
        <v>12.4268030200898</v>
      </c>
      <c r="I94" s="14">
        <v>12.531103317463399</v>
      </c>
      <c r="J94" s="14">
        <f t="shared" si="13"/>
        <v>12.5491819156479</v>
      </c>
      <c r="K94" s="14">
        <v>14.763289635230599</v>
      </c>
      <c r="L94" s="14">
        <v>14.2763671807087</v>
      </c>
      <c r="M94" s="14">
        <v>14.2954292038192</v>
      </c>
      <c r="N94" s="14">
        <f t="shared" si="9"/>
        <v>14.445028673252834</v>
      </c>
      <c r="O94" s="14">
        <f t="shared" si="10"/>
        <v>15.862799600000001</v>
      </c>
      <c r="P94" s="14">
        <f t="shared" si="11"/>
        <v>0.2345994035057031</v>
      </c>
      <c r="S94" s="10" t="s">
        <v>14810</v>
      </c>
      <c r="T94" s="20">
        <v>4.0059125255190766</v>
      </c>
      <c r="U94" s="39"/>
    </row>
    <row r="95" spans="1:21" x14ac:dyDescent="0.2">
      <c r="A95" s="10" t="str">
        <f>"fkb-6"</f>
        <v>fkb-6</v>
      </c>
      <c r="B95" s="10" t="s">
        <v>4060</v>
      </c>
      <c r="C95" s="10" t="s">
        <v>4062</v>
      </c>
      <c r="D95" s="10">
        <v>1.8909832995867299</v>
      </c>
      <c r="E95" s="10">
        <f t="shared" si="12"/>
        <v>3.7088792520843357</v>
      </c>
      <c r="F95" s="10">
        <v>2.1031055668083301E-4</v>
      </c>
      <c r="G95" s="10">
        <v>14.9038452614476</v>
      </c>
      <c r="H95" s="10">
        <v>14.740748436036201</v>
      </c>
      <c r="I95" s="10">
        <v>14.7215673740747</v>
      </c>
      <c r="J95" s="10">
        <f t="shared" si="13"/>
        <v>14.788720357186167</v>
      </c>
      <c r="K95" s="10">
        <v>16.054331133674399</v>
      </c>
      <c r="L95" s="10">
        <v>16.767020766804499</v>
      </c>
      <c r="M95" s="10">
        <v>17.2177590698399</v>
      </c>
      <c r="N95" s="10">
        <f t="shared" si="9"/>
        <v>16.679703656772933</v>
      </c>
      <c r="O95" s="10">
        <f t="shared" si="10"/>
        <v>3.90200031</v>
      </c>
      <c r="P95" s="10">
        <f t="shared" si="11"/>
        <v>0.95050716489674902</v>
      </c>
      <c r="S95" s="11" t="s">
        <v>14088</v>
      </c>
      <c r="T95" s="20">
        <v>4.0005771499999998</v>
      </c>
      <c r="U95" s="39"/>
    </row>
    <row r="96" spans="1:21" x14ac:dyDescent="0.2">
      <c r="A96" s="24" t="str">
        <f>"pck-1"</f>
        <v>pck-1</v>
      </c>
      <c r="B96" s="24" t="s">
        <v>3906</v>
      </c>
      <c r="C96" s="24" t="s">
        <v>3079</v>
      </c>
      <c r="D96" s="24">
        <v>1.8821926782377401</v>
      </c>
      <c r="E96" s="24">
        <f t="shared" si="12"/>
        <v>3.6863490399703362</v>
      </c>
      <c r="F96" s="29">
        <v>1.1772471986998199E-6</v>
      </c>
      <c r="G96" s="24">
        <v>13.0937306161621</v>
      </c>
      <c r="H96" s="24">
        <v>13.016597323665099</v>
      </c>
      <c r="I96" s="24">
        <v>13.092986790629499</v>
      </c>
      <c r="J96" s="24">
        <f t="shared" si="13"/>
        <v>13.067771576818899</v>
      </c>
      <c r="K96" s="24">
        <v>15.064676218033</v>
      </c>
      <c r="L96" s="24">
        <v>14.6828664335293</v>
      </c>
      <c r="M96" s="24">
        <v>15.102350113607599</v>
      </c>
      <c r="N96" s="24">
        <f t="shared" si="9"/>
        <v>14.949964255056633</v>
      </c>
      <c r="O96" s="24" t="str">
        <f t="shared" si="10"/>
        <v>ND</v>
      </c>
      <c r="P96" s="24" t="str">
        <f t="shared" si="11"/>
        <v>NA</v>
      </c>
      <c r="S96" s="11" t="s">
        <v>4061</v>
      </c>
      <c r="T96" s="20">
        <v>3.90200031</v>
      </c>
      <c r="U96" s="39"/>
    </row>
    <row r="97" spans="1:21" x14ac:dyDescent="0.2">
      <c r="A97" s="10" t="str">
        <f>"nud-1"</f>
        <v>nud-1</v>
      </c>
      <c r="B97" s="10" t="s">
        <v>1584</v>
      </c>
      <c r="C97" s="10" t="s">
        <v>1586</v>
      </c>
      <c r="D97" s="10">
        <v>1.7685757883234701</v>
      </c>
      <c r="E97" s="10">
        <f t="shared" si="12"/>
        <v>3.4071743835950596</v>
      </c>
      <c r="F97" s="10">
        <v>2.4931577684464401E-4</v>
      </c>
      <c r="G97" s="10">
        <v>13.0852069342123</v>
      </c>
      <c r="H97" s="10">
        <v>13.2539630210937</v>
      </c>
      <c r="I97" s="10">
        <v>13.115148196417</v>
      </c>
      <c r="J97" s="10">
        <f t="shared" si="13"/>
        <v>13.151439383907666</v>
      </c>
      <c r="K97" s="10">
        <v>14.3490296398636</v>
      </c>
      <c r="L97" s="10">
        <v>15.129648894435499</v>
      </c>
      <c r="M97" s="10">
        <v>15.281366982394299</v>
      </c>
      <c r="N97" s="10">
        <f t="shared" si="9"/>
        <v>14.920015172231132</v>
      </c>
      <c r="O97" s="10">
        <f t="shared" si="10"/>
        <v>3.6120241900000001</v>
      </c>
      <c r="P97" s="10">
        <f t="shared" si="11"/>
        <v>0.94328670140912307</v>
      </c>
      <c r="S97" s="10" t="s">
        <v>14166</v>
      </c>
      <c r="T97" s="21">
        <v>3.7979094356966026</v>
      </c>
      <c r="U97" s="40"/>
    </row>
    <row r="98" spans="1:21" x14ac:dyDescent="0.2">
      <c r="A98" s="24" t="str">
        <f>"Y45F10C.2"</f>
        <v>Y45F10C.2</v>
      </c>
      <c r="B98" s="24" t="s">
        <v>4215</v>
      </c>
      <c r="C98" s="24" t="s">
        <v>4216</v>
      </c>
      <c r="D98" s="24">
        <v>1.7661332779018599</v>
      </c>
      <c r="E98" s="24">
        <f t="shared" si="12"/>
        <v>3.4014108521656188</v>
      </c>
      <c r="F98" s="24">
        <v>1.03624941546083E-3</v>
      </c>
      <c r="G98" s="24">
        <v>12.865464084893601</v>
      </c>
      <c r="H98" s="24">
        <v>12.0154542496304</v>
      </c>
      <c r="I98" s="24">
        <v>12.834292891697</v>
      </c>
      <c r="J98" s="24">
        <f t="shared" si="13"/>
        <v>12.571737075407</v>
      </c>
      <c r="K98" s="24">
        <v>14.8896745386782</v>
      </c>
      <c r="L98" s="24">
        <v>14.8303417939056</v>
      </c>
      <c r="M98" s="24">
        <v>13.2935947273428</v>
      </c>
      <c r="N98" s="24">
        <f t="shared" ref="N98:N122" si="14">(K98+L98+M98)/3</f>
        <v>14.337870353308867</v>
      </c>
      <c r="O98" s="24" t="str">
        <f t="shared" ref="O98:O122" si="15">IFERROR(INDEX(T:T, MATCH(A98, S:S, 0)), "ND")</f>
        <v>ND</v>
      </c>
      <c r="P98" s="24" t="str">
        <f t="shared" ref="P98:P122" si="16">IFERROR(E98/O98, "NA")</f>
        <v>NA</v>
      </c>
      <c r="S98" s="11" t="s">
        <v>1213</v>
      </c>
      <c r="T98" s="20">
        <v>3.7943776300000001</v>
      </c>
      <c r="U98" s="39"/>
    </row>
    <row r="99" spans="1:21" x14ac:dyDescent="0.2">
      <c r="A99" s="24" t="str">
        <f>"cyc-2.1"</f>
        <v>cyc-2.1</v>
      </c>
      <c r="B99" s="24" t="s">
        <v>4798</v>
      </c>
      <c r="C99" s="24" t="s">
        <v>4800</v>
      </c>
      <c r="D99" s="24">
        <v>1.7182844153774399</v>
      </c>
      <c r="E99" s="24">
        <f t="shared" si="12"/>
        <v>3.2904488956575721</v>
      </c>
      <c r="F99" s="24">
        <v>3.90391294041332E-3</v>
      </c>
      <c r="G99" s="24">
        <v>12.6641053176995</v>
      </c>
      <c r="H99" s="24">
        <v>11.9699593555221</v>
      </c>
      <c r="I99" s="24">
        <v>11.1249161580023</v>
      </c>
      <c r="J99" s="24">
        <f t="shared" si="13"/>
        <v>11.919660277074634</v>
      </c>
      <c r="K99" s="24">
        <v>13.963839332599401</v>
      </c>
      <c r="L99" s="24">
        <v>13.6800803815667</v>
      </c>
      <c r="M99" s="24">
        <v>13.2699143631901</v>
      </c>
      <c r="N99" s="24">
        <f t="shared" si="14"/>
        <v>13.637944692452066</v>
      </c>
      <c r="O99" s="24" t="str">
        <f t="shared" si="15"/>
        <v>ND</v>
      </c>
      <c r="P99" s="24" t="str">
        <f t="shared" si="16"/>
        <v>NA</v>
      </c>
      <c r="S99" s="11" t="s">
        <v>2882</v>
      </c>
      <c r="T99" s="20">
        <v>3.7548965700000001</v>
      </c>
      <c r="U99" s="39"/>
    </row>
    <row r="100" spans="1:21" x14ac:dyDescent="0.2">
      <c r="A100" s="24" t="str">
        <f>"frm-4"</f>
        <v>frm-4</v>
      </c>
      <c r="B100" s="24" t="s">
        <v>2329</v>
      </c>
      <c r="C100" s="24" t="s">
        <v>2110</v>
      </c>
      <c r="D100" s="24">
        <v>1.69616036497213</v>
      </c>
      <c r="E100" s="24">
        <f t="shared" si="12"/>
        <v>3.2403740632414992</v>
      </c>
      <c r="F100" s="24">
        <v>2.51297144625177E-4</v>
      </c>
      <c r="G100" s="24">
        <v>14.40201398858</v>
      </c>
      <c r="H100" s="24">
        <v>14.549888840563099</v>
      </c>
      <c r="I100" s="24">
        <v>13.893359466934999</v>
      </c>
      <c r="J100" s="24">
        <f t="shared" si="13"/>
        <v>14.281754098692701</v>
      </c>
      <c r="K100" s="24">
        <v>15.8075282611135</v>
      </c>
      <c r="L100" s="24">
        <v>15.7286319693567</v>
      </c>
      <c r="M100" s="24">
        <v>16.397583160524199</v>
      </c>
      <c r="N100" s="24">
        <f t="shared" si="14"/>
        <v>15.977914463664801</v>
      </c>
      <c r="O100" s="24" t="str">
        <f t="shared" si="15"/>
        <v>ND</v>
      </c>
      <c r="P100" s="24" t="str">
        <f t="shared" si="16"/>
        <v>NA</v>
      </c>
      <c r="S100" s="11" t="s">
        <v>12326</v>
      </c>
      <c r="T100" s="20">
        <v>3.7477500199999998</v>
      </c>
      <c r="U100" s="39"/>
    </row>
    <row r="101" spans="1:21" x14ac:dyDescent="0.2">
      <c r="A101" s="10" t="str">
        <f>"czw-1"</f>
        <v>czw-1</v>
      </c>
      <c r="B101" s="10" t="s">
        <v>8356</v>
      </c>
      <c r="C101" s="10" t="s">
        <v>8358</v>
      </c>
      <c r="D101" s="10">
        <v>1.64762914768278</v>
      </c>
      <c r="E101" s="10">
        <f t="shared" si="12"/>
        <v>3.1331832431076769</v>
      </c>
      <c r="F101" s="10">
        <v>1.20310848388858E-4</v>
      </c>
      <c r="G101" s="10">
        <v>13.887751776217399</v>
      </c>
      <c r="H101" s="10">
        <v>13.907398466590999</v>
      </c>
      <c r="I101" s="10">
        <v>13.848803057645901</v>
      </c>
      <c r="J101" s="10">
        <f t="shared" si="13"/>
        <v>13.8813177668181</v>
      </c>
      <c r="K101" s="10">
        <v>15.438117440092901</v>
      </c>
      <c r="L101" s="10">
        <v>15.305384379713599</v>
      </c>
      <c r="M101" s="10">
        <v>15.8433389236961</v>
      </c>
      <c r="N101" s="10">
        <f t="shared" si="14"/>
        <v>15.528946914500866</v>
      </c>
      <c r="O101" s="10">
        <f t="shared" si="15"/>
        <v>4.8608899699999997</v>
      </c>
      <c r="P101" s="10">
        <f t="shared" si="16"/>
        <v>0.6445698755669792</v>
      </c>
      <c r="S101" s="11" t="s">
        <v>628</v>
      </c>
      <c r="T101" s="20">
        <v>3.7304220099999998</v>
      </c>
      <c r="U101" s="39"/>
    </row>
    <row r="102" spans="1:21" x14ac:dyDescent="0.2">
      <c r="A102" s="10" t="str">
        <f>"W07E11.1"</f>
        <v>W07E11.1</v>
      </c>
      <c r="B102" s="10" t="s">
        <v>2647</v>
      </c>
      <c r="C102" s="10" t="s">
        <v>2648</v>
      </c>
      <c r="D102" s="10">
        <v>1.5582355996219299</v>
      </c>
      <c r="E102" s="10">
        <f t="shared" si="12"/>
        <v>2.9449346082453411</v>
      </c>
      <c r="F102" s="32">
        <v>5.1271691586740699E-5</v>
      </c>
      <c r="G102" s="10">
        <v>14.0249808061071</v>
      </c>
      <c r="H102" s="10">
        <v>13.7473651449453</v>
      </c>
      <c r="I102" s="10">
        <v>13.3542312515386</v>
      </c>
      <c r="J102" s="10">
        <f t="shared" si="13"/>
        <v>13.708859067530334</v>
      </c>
      <c r="K102" s="10">
        <v>15.5511202128523</v>
      </c>
      <c r="L102" s="10">
        <v>14.9956702094305</v>
      </c>
      <c r="M102" s="10">
        <v>15.254493579174101</v>
      </c>
      <c r="N102" s="10">
        <f t="shared" si="14"/>
        <v>15.2670946671523</v>
      </c>
      <c r="O102" s="10">
        <f t="shared" si="15"/>
        <v>2.44814482</v>
      </c>
      <c r="P102" s="10">
        <f t="shared" si="16"/>
        <v>1.2029250002642169</v>
      </c>
      <c r="S102" s="11" t="s">
        <v>12486</v>
      </c>
      <c r="T102" s="20">
        <v>3.69990569</v>
      </c>
      <c r="U102" s="39"/>
    </row>
    <row r="103" spans="1:21" x14ac:dyDescent="0.2">
      <c r="A103" s="24" t="str">
        <f>"sti-1"</f>
        <v>sti-1</v>
      </c>
      <c r="B103" s="24" t="s">
        <v>3149</v>
      </c>
      <c r="C103" s="24" t="s">
        <v>3151</v>
      </c>
      <c r="D103" s="24">
        <v>1.53244085463068</v>
      </c>
      <c r="E103" s="24">
        <f t="shared" si="12"/>
        <v>2.8927484118454494</v>
      </c>
      <c r="F103" s="24">
        <v>1.2708807088191099E-4</v>
      </c>
      <c r="G103" s="24">
        <v>12.906328630416199</v>
      </c>
      <c r="H103" s="24">
        <v>13.1691466537061</v>
      </c>
      <c r="I103" s="24">
        <v>13.4082213568679</v>
      </c>
      <c r="J103" s="24">
        <f t="shared" si="13"/>
        <v>13.161232213663398</v>
      </c>
      <c r="K103" s="24">
        <v>14.941687034767099</v>
      </c>
      <c r="L103" s="24">
        <v>14.4970523887835</v>
      </c>
      <c r="M103" s="24">
        <v>14.642279781331601</v>
      </c>
      <c r="N103" s="24">
        <f t="shared" si="14"/>
        <v>14.693673068294068</v>
      </c>
      <c r="O103" s="24" t="str">
        <f t="shared" si="15"/>
        <v>ND</v>
      </c>
      <c r="P103" s="24" t="str">
        <f t="shared" si="16"/>
        <v>NA</v>
      </c>
      <c r="S103" s="11" t="s">
        <v>624</v>
      </c>
      <c r="T103" s="20">
        <v>3.6879316499999999</v>
      </c>
      <c r="U103" s="39"/>
    </row>
    <row r="104" spans="1:21" x14ac:dyDescent="0.2">
      <c r="A104" s="24" t="str">
        <f>"spe-5"</f>
        <v>spe-5</v>
      </c>
      <c r="B104" s="24" t="s">
        <v>12617</v>
      </c>
      <c r="C104" s="24" t="s">
        <v>12619</v>
      </c>
      <c r="D104" s="24">
        <v>1.52471940083087</v>
      </c>
      <c r="E104" s="24">
        <f t="shared" si="12"/>
        <v>2.8773074792952458</v>
      </c>
      <c r="F104" s="24">
        <v>2.3719440197818599E-4</v>
      </c>
      <c r="G104" s="24">
        <v>15.0066635252564</v>
      </c>
      <c r="H104" s="24">
        <v>14.7319682990149</v>
      </c>
      <c r="I104" s="24">
        <v>14.5434458057625</v>
      </c>
      <c r="J104" s="24">
        <f t="shared" si="13"/>
        <v>14.760692543344602</v>
      </c>
      <c r="K104" s="24">
        <v>16.580874400863301</v>
      </c>
      <c r="L104" s="24">
        <v>16.411925500887801</v>
      </c>
      <c r="M104" s="24">
        <v>15.863435930775299</v>
      </c>
      <c r="N104" s="24">
        <f t="shared" si="14"/>
        <v>16.285411944175465</v>
      </c>
      <c r="O104" s="24" t="str">
        <f t="shared" si="15"/>
        <v>ND</v>
      </c>
      <c r="P104" s="24" t="str">
        <f t="shared" si="16"/>
        <v>NA</v>
      </c>
      <c r="S104" s="11" t="s">
        <v>348</v>
      </c>
      <c r="T104" s="20">
        <v>3.6495920599999998</v>
      </c>
      <c r="U104" s="39"/>
    </row>
    <row r="105" spans="1:21" x14ac:dyDescent="0.2">
      <c r="A105" s="24" t="str">
        <f>"mthf-1"</f>
        <v>mthf-1</v>
      </c>
      <c r="B105" s="24" t="s">
        <v>7452</v>
      </c>
      <c r="C105" s="24" t="s">
        <v>7454</v>
      </c>
      <c r="D105" s="24">
        <v>1.4381616165877</v>
      </c>
      <c r="E105" s="24">
        <f t="shared" si="12"/>
        <v>2.7097534956165394</v>
      </c>
      <c r="F105" s="29">
        <v>9.0036584918886604E-5</v>
      </c>
      <c r="G105" s="24">
        <v>13.465907171226601</v>
      </c>
      <c r="H105" s="24">
        <v>13.127124894258801</v>
      </c>
      <c r="I105" s="24">
        <v>13.307128624552099</v>
      </c>
      <c r="J105" s="24">
        <f t="shared" si="13"/>
        <v>13.300053563345834</v>
      </c>
      <c r="K105" s="24">
        <v>14.4322619352393</v>
      </c>
      <c r="L105" s="24">
        <v>14.8140877789277</v>
      </c>
      <c r="M105" s="24">
        <v>14.9682958256336</v>
      </c>
      <c r="N105" s="24">
        <f t="shared" si="14"/>
        <v>14.738215179933533</v>
      </c>
      <c r="O105" s="24" t="str">
        <f t="shared" si="15"/>
        <v>ND</v>
      </c>
      <c r="P105" s="24" t="str">
        <f t="shared" si="16"/>
        <v>NA</v>
      </c>
      <c r="S105" s="11" t="s">
        <v>14664</v>
      </c>
      <c r="T105" s="20">
        <v>3.6442160499999998</v>
      </c>
      <c r="U105" s="39"/>
    </row>
    <row r="106" spans="1:21" x14ac:dyDescent="0.2">
      <c r="A106" s="24" t="str">
        <f>"F09E5.3"</f>
        <v>F09E5.3</v>
      </c>
      <c r="B106" s="24" t="s">
        <v>8168</v>
      </c>
      <c r="C106" s="24" t="s">
        <v>8170</v>
      </c>
      <c r="D106" s="24">
        <v>1.4150791130239799</v>
      </c>
      <c r="E106" s="24">
        <f t="shared" si="12"/>
        <v>2.66674358630965</v>
      </c>
      <c r="F106" s="24">
        <v>2.9379828327214599E-3</v>
      </c>
      <c r="G106" s="24">
        <v>12.485211819350701</v>
      </c>
      <c r="H106" s="24">
        <v>12.2322828231237</v>
      </c>
      <c r="I106" s="24">
        <v>12.487547817792301</v>
      </c>
      <c r="J106" s="24">
        <f t="shared" si="13"/>
        <v>12.401680820088899</v>
      </c>
      <c r="K106" s="24">
        <v>14.157928260028999</v>
      </c>
      <c r="L106" s="24">
        <v>13.9609617659835</v>
      </c>
      <c r="M106" s="24">
        <v>13.331389773326199</v>
      </c>
      <c r="N106" s="24">
        <f t="shared" si="14"/>
        <v>13.8167599331129</v>
      </c>
      <c r="O106" s="24" t="str">
        <f t="shared" si="15"/>
        <v>ND</v>
      </c>
      <c r="P106" s="24" t="str">
        <f t="shared" si="16"/>
        <v>NA</v>
      </c>
      <c r="S106" s="11" t="s">
        <v>1585</v>
      </c>
      <c r="T106" s="20">
        <v>3.6120241900000001</v>
      </c>
      <c r="U106" s="39"/>
    </row>
    <row r="107" spans="1:21" x14ac:dyDescent="0.2">
      <c r="A107" s="24" t="str">
        <f>"T19C4.1"</f>
        <v>T19C4.1</v>
      </c>
      <c r="B107" s="24" t="s">
        <v>9857</v>
      </c>
      <c r="C107" s="24" t="s">
        <v>9858</v>
      </c>
      <c r="D107" s="24">
        <v>1.37319567275257</v>
      </c>
      <c r="E107" s="24">
        <f t="shared" si="12"/>
        <v>2.5904373149401621</v>
      </c>
      <c r="F107" s="24">
        <v>1.2105665963993699E-3</v>
      </c>
      <c r="G107" s="24">
        <v>14.1399730832894</v>
      </c>
      <c r="H107" s="24">
        <v>14.683828250162399</v>
      </c>
      <c r="I107" s="24">
        <v>14.664771716772499</v>
      </c>
      <c r="J107" s="24">
        <f t="shared" si="13"/>
        <v>14.496191016741433</v>
      </c>
      <c r="K107" s="24">
        <v>16.211306476196</v>
      </c>
      <c r="L107" s="24">
        <v>16.091751641078201</v>
      </c>
      <c r="M107" s="24">
        <v>15.305101951207799</v>
      </c>
      <c r="N107" s="24">
        <f t="shared" si="14"/>
        <v>15.869386689494002</v>
      </c>
      <c r="O107" s="24" t="str">
        <f t="shared" si="15"/>
        <v>ND</v>
      </c>
      <c r="P107" s="24" t="str">
        <f t="shared" si="16"/>
        <v>NA</v>
      </c>
      <c r="S107" s="11" t="s">
        <v>10263</v>
      </c>
      <c r="T107" s="20">
        <v>3.60346374</v>
      </c>
      <c r="U107" s="39"/>
    </row>
    <row r="108" spans="1:21" x14ac:dyDescent="0.2">
      <c r="A108" s="24" t="str">
        <f>"W08E12.7"</f>
        <v>W08E12.7</v>
      </c>
      <c r="B108" s="24" t="s">
        <v>12623</v>
      </c>
      <c r="C108" s="24" t="s">
        <v>12624</v>
      </c>
      <c r="D108" s="24">
        <v>1.3444335675950101</v>
      </c>
      <c r="E108" s="24">
        <f t="shared" si="12"/>
        <v>2.5393047848872836</v>
      </c>
      <c r="F108" s="24">
        <v>1.83318455463967E-3</v>
      </c>
      <c r="G108" s="24">
        <v>13.754261074120601</v>
      </c>
      <c r="H108" s="24">
        <v>13.881500913047001</v>
      </c>
      <c r="I108" s="24">
        <v>14.048446664462199</v>
      </c>
      <c r="J108" s="24">
        <f t="shared" si="13"/>
        <v>13.894736217209934</v>
      </c>
      <c r="K108" s="24">
        <v>15.3341115380611</v>
      </c>
      <c r="L108" s="24">
        <v>15.625898050467001</v>
      </c>
      <c r="M108" s="24">
        <v>14.757499765886701</v>
      </c>
      <c r="N108" s="24">
        <f t="shared" si="14"/>
        <v>15.239169784804934</v>
      </c>
      <c r="O108" s="24" t="str">
        <f t="shared" si="15"/>
        <v>ND</v>
      </c>
      <c r="P108" s="24" t="str">
        <f t="shared" si="16"/>
        <v>NA</v>
      </c>
      <c r="S108" s="11" t="s">
        <v>6019</v>
      </c>
      <c r="T108" s="20">
        <v>3.5951703799999999</v>
      </c>
      <c r="U108" s="39"/>
    </row>
    <row r="109" spans="1:21" x14ac:dyDescent="0.2">
      <c r="A109" s="24" t="str">
        <f>"aco-1"</f>
        <v>aco-1</v>
      </c>
      <c r="B109" s="24" t="s">
        <v>10286</v>
      </c>
      <c r="C109" s="24" t="s">
        <v>10288</v>
      </c>
      <c r="D109" s="24">
        <v>1.29972042411893</v>
      </c>
      <c r="E109" s="24">
        <f t="shared" si="12"/>
        <v>2.4618117127802832</v>
      </c>
      <c r="F109" s="24">
        <v>9.9045522594653698E-4</v>
      </c>
      <c r="G109" s="24">
        <v>14.7522454361123</v>
      </c>
      <c r="H109" s="24">
        <v>14.5179210229617</v>
      </c>
      <c r="I109" s="24">
        <v>14.612232615031299</v>
      </c>
      <c r="J109" s="24">
        <f t="shared" si="13"/>
        <v>14.627466358035099</v>
      </c>
      <c r="K109" s="24">
        <v>16.239198846014499</v>
      </c>
      <c r="L109" s="24">
        <v>15.909966749643299</v>
      </c>
      <c r="M109" s="24">
        <v>15.6323947508043</v>
      </c>
      <c r="N109" s="24">
        <f t="shared" si="14"/>
        <v>15.927186782154033</v>
      </c>
      <c r="O109" s="24" t="str">
        <f t="shared" si="15"/>
        <v>ND</v>
      </c>
      <c r="P109" s="24" t="str">
        <f t="shared" si="16"/>
        <v>NA</v>
      </c>
      <c r="S109" s="11" t="s">
        <v>14245</v>
      </c>
      <c r="T109" s="20">
        <v>3.5934479100000001</v>
      </c>
      <c r="U109" s="39"/>
    </row>
    <row r="110" spans="1:21" x14ac:dyDescent="0.2">
      <c r="A110" s="10" t="str">
        <f>"F21C10.9"</f>
        <v>F21C10.9</v>
      </c>
      <c r="B110" s="10" t="s">
        <v>8363</v>
      </c>
      <c r="C110" s="10" t="s">
        <v>531</v>
      </c>
      <c r="D110" s="10">
        <v>1.2830170128704299</v>
      </c>
      <c r="E110" s="10">
        <f t="shared" si="12"/>
        <v>2.433473413647206</v>
      </c>
      <c r="F110" s="10">
        <v>2.2338574349161299E-4</v>
      </c>
      <c r="G110" s="10">
        <v>14.714428053293901</v>
      </c>
      <c r="H110" s="10">
        <v>14.5677453834713</v>
      </c>
      <c r="I110" s="10">
        <v>14.474898536895999</v>
      </c>
      <c r="J110" s="10">
        <f t="shared" si="13"/>
        <v>14.585690657887065</v>
      </c>
      <c r="K110" s="10">
        <v>15.7222657657592</v>
      </c>
      <c r="L110" s="10">
        <v>15.830835573057101</v>
      </c>
      <c r="M110" s="10">
        <v>16.053021673456101</v>
      </c>
      <c r="N110" s="10">
        <f t="shared" si="14"/>
        <v>15.868707670757468</v>
      </c>
      <c r="O110" s="10">
        <f t="shared" si="15"/>
        <v>2.11454648</v>
      </c>
      <c r="P110" s="10">
        <f t="shared" si="16"/>
        <v>1.1508252179196392</v>
      </c>
      <c r="S110" s="11" t="s">
        <v>6023</v>
      </c>
      <c r="T110" s="20">
        <v>3.5795412899999999</v>
      </c>
      <c r="U110" s="39"/>
    </row>
    <row r="111" spans="1:21" x14ac:dyDescent="0.2">
      <c r="A111" s="24" t="str">
        <f>"C29F7.3"</f>
        <v>C29F7.3</v>
      </c>
      <c r="B111" s="24" t="s">
        <v>3457</v>
      </c>
      <c r="C111" s="24" t="s">
        <v>3459</v>
      </c>
      <c r="D111" s="24">
        <v>1.27669724680552</v>
      </c>
      <c r="E111" s="24">
        <f t="shared" si="12"/>
        <v>2.4228368290864242</v>
      </c>
      <c r="F111" s="24">
        <v>4.41485190443808E-3</v>
      </c>
      <c r="G111" s="24">
        <v>13.3997683500922</v>
      </c>
      <c r="H111" s="24">
        <v>12.284811224796099</v>
      </c>
      <c r="I111" s="24">
        <v>13.2622093948406</v>
      </c>
      <c r="J111" s="24">
        <f t="shared" si="13"/>
        <v>12.982262989909634</v>
      </c>
      <c r="K111" s="24">
        <v>14.336652591980901</v>
      </c>
      <c r="L111" s="24">
        <v>14.2149324673191</v>
      </c>
      <c r="M111" s="24">
        <v>14.225295650845601</v>
      </c>
      <c r="N111" s="24">
        <f t="shared" si="14"/>
        <v>14.258960236715202</v>
      </c>
      <c r="O111" s="24" t="str">
        <f t="shared" si="15"/>
        <v>ND</v>
      </c>
      <c r="P111" s="24" t="str">
        <f t="shared" si="16"/>
        <v>NA</v>
      </c>
      <c r="S111" s="11" t="s">
        <v>3739</v>
      </c>
      <c r="T111" s="20">
        <v>3.5748882000000002</v>
      </c>
      <c r="U111" s="39"/>
    </row>
    <row r="112" spans="1:21" x14ac:dyDescent="0.2">
      <c r="A112" s="10" t="str">
        <f>"rde-4"</f>
        <v>rde-4</v>
      </c>
      <c r="B112" s="10" t="s">
        <v>951</v>
      </c>
      <c r="C112" s="10" t="s">
        <v>953</v>
      </c>
      <c r="D112" s="10">
        <v>1.26836176540683</v>
      </c>
      <c r="E112" s="10">
        <f t="shared" si="12"/>
        <v>2.4088787291481433</v>
      </c>
      <c r="F112" s="10">
        <v>3.7536489672363601E-3</v>
      </c>
      <c r="G112" s="10">
        <v>13.9415403978082</v>
      </c>
      <c r="H112" s="10">
        <v>13.631220333598799</v>
      </c>
      <c r="I112" s="10">
        <v>13.6145439469664</v>
      </c>
      <c r="J112" s="10">
        <f t="shared" si="13"/>
        <v>13.729101559457801</v>
      </c>
      <c r="K112" s="10">
        <v>14.1292383701497</v>
      </c>
      <c r="L112" s="10">
        <v>15.1613670314636</v>
      </c>
      <c r="M112" s="10">
        <v>15.7017845729805</v>
      </c>
      <c r="N112" s="10">
        <f t="shared" si="14"/>
        <v>14.997463324864599</v>
      </c>
      <c r="O112" s="10">
        <f t="shared" si="15"/>
        <v>2.44797508</v>
      </c>
      <c r="P112" s="10">
        <f t="shared" si="16"/>
        <v>0.98402910586334214</v>
      </c>
      <c r="S112" s="10" t="s">
        <v>14811</v>
      </c>
      <c r="T112" s="20">
        <v>3.5724707499043444</v>
      </c>
      <c r="U112" s="39"/>
    </row>
    <row r="113" spans="1:21" x14ac:dyDescent="0.2">
      <c r="A113" s="24" t="str">
        <f>"let-805"</f>
        <v>let-805</v>
      </c>
      <c r="B113" s="24" t="s">
        <v>13484</v>
      </c>
      <c r="C113" s="24" t="s">
        <v>297</v>
      </c>
      <c r="D113" s="24">
        <v>1.2453307363294299</v>
      </c>
      <c r="E113" s="24">
        <f t="shared" si="12"/>
        <v>2.3707289667274356</v>
      </c>
      <c r="F113" s="24">
        <v>3.2930958299234102E-3</v>
      </c>
      <c r="G113" s="24">
        <v>14.348509767977999</v>
      </c>
      <c r="H113" s="24">
        <v>14.38411895041</v>
      </c>
      <c r="I113" s="24">
        <v>14.9965314538996</v>
      </c>
      <c r="J113" s="24">
        <f t="shared" si="13"/>
        <v>14.576386724095867</v>
      </c>
      <c r="K113" s="24">
        <v>16.375727506280501</v>
      </c>
      <c r="L113" s="24">
        <v>15.6189012248787</v>
      </c>
      <c r="M113" s="24">
        <v>15.470523650116601</v>
      </c>
      <c r="N113" s="24">
        <f t="shared" si="14"/>
        <v>15.821717460425267</v>
      </c>
      <c r="O113" s="24" t="str">
        <f t="shared" si="15"/>
        <v>ND</v>
      </c>
      <c r="P113" s="24" t="str">
        <f t="shared" si="16"/>
        <v>NA</v>
      </c>
      <c r="S113" s="10" t="s">
        <v>10680</v>
      </c>
      <c r="T113" s="20">
        <v>3.5699404279015292</v>
      </c>
      <c r="U113" s="39"/>
    </row>
    <row r="114" spans="1:21" x14ac:dyDescent="0.2">
      <c r="A114" s="24" t="str">
        <f>"vha-2"</f>
        <v>vha-2</v>
      </c>
      <c r="B114" s="24" t="s">
        <v>701</v>
      </c>
      <c r="C114" s="24" t="s">
        <v>702</v>
      </c>
      <c r="D114" s="24">
        <v>1.2370830037509499</v>
      </c>
      <c r="E114" s="24">
        <f t="shared" si="12"/>
        <v>2.3572144312633196</v>
      </c>
      <c r="F114" s="24">
        <v>2.5521495453489202E-3</v>
      </c>
      <c r="G114" s="24">
        <v>15.292373885452101</v>
      </c>
      <c r="H114" s="24">
        <v>15.6223166964692</v>
      </c>
      <c r="I114" s="24">
        <v>16.1259357773319</v>
      </c>
      <c r="J114" s="24">
        <f t="shared" ref="J114:J122" si="17">AVERAGEIF(G114:I114, "&gt;0")</f>
        <v>15.680208786417731</v>
      </c>
      <c r="K114" s="24">
        <v>17.344150718035301</v>
      </c>
      <c r="L114" s="24">
        <v>16.956299488475501</v>
      </c>
      <c r="M114" s="24">
        <v>16.4514251639952</v>
      </c>
      <c r="N114" s="24">
        <f t="shared" si="14"/>
        <v>16.917291790168665</v>
      </c>
      <c r="O114" s="24" t="str">
        <f t="shared" si="15"/>
        <v>ND</v>
      </c>
      <c r="P114" s="24" t="str">
        <f t="shared" si="16"/>
        <v>NA</v>
      </c>
      <c r="S114" s="10" t="s">
        <v>7340</v>
      </c>
      <c r="T114" s="20">
        <v>3.5329462735661892</v>
      </c>
      <c r="U114" s="39"/>
    </row>
    <row r="115" spans="1:21" x14ac:dyDescent="0.2">
      <c r="A115" s="16" t="str">
        <f>"mog-4"</f>
        <v>mog-4</v>
      </c>
      <c r="B115" s="16" t="s">
        <v>4026</v>
      </c>
      <c r="C115" s="16" t="s">
        <v>4028</v>
      </c>
      <c r="D115" s="16">
        <v>1.19768389514638</v>
      </c>
      <c r="E115" s="16">
        <f t="shared" si="12"/>
        <v>2.29371142472964</v>
      </c>
      <c r="F115" s="16">
        <v>9.8891153635162596E-4</v>
      </c>
      <c r="G115" s="16">
        <v>13.3330787319897</v>
      </c>
      <c r="H115" s="16">
        <v>13.0650063110684</v>
      </c>
      <c r="I115" s="16">
        <v>13.371328057368601</v>
      </c>
      <c r="J115" s="16">
        <f t="shared" si="17"/>
        <v>13.256471033475568</v>
      </c>
      <c r="K115" s="16">
        <v>14.388425210495001</v>
      </c>
      <c r="L115" s="16">
        <v>14.320902422854999</v>
      </c>
      <c r="M115" s="16">
        <v>14.653137152516001</v>
      </c>
      <c r="N115" s="16">
        <f t="shared" si="14"/>
        <v>14.454154928622001</v>
      </c>
      <c r="O115" s="16">
        <f t="shared" si="15"/>
        <v>5.79721084</v>
      </c>
      <c r="P115" s="16">
        <f t="shared" si="16"/>
        <v>0.39565775474359666</v>
      </c>
      <c r="S115" s="11" t="s">
        <v>14697</v>
      </c>
      <c r="T115" s="20">
        <v>3.5275356200000001</v>
      </c>
      <c r="U115" s="39"/>
    </row>
    <row r="116" spans="1:21" x14ac:dyDescent="0.2">
      <c r="A116" s="10" t="str">
        <f>"vha-12"</f>
        <v>vha-12</v>
      </c>
      <c r="B116" s="10" t="s">
        <v>8352</v>
      </c>
      <c r="C116" s="10" t="s">
        <v>8354</v>
      </c>
      <c r="D116" s="10">
        <v>1.1703906883489601</v>
      </c>
      <c r="E116" s="10">
        <f t="shared" si="12"/>
        <v>2.2507263937541802</v>
      </c>
      <c r="F116" s="10">
        <v>1.48848611179401E-3</v>
      </c>
      <c r="G116" s="10">
        <v>14.7498243439261</v>
      </c>
      <c r="H116" s="10">
        <v>14.7225572743531</v>
      </c>
      <c r="I116" s="10">
        <v>14.951628725478001</v>
      </c>
      <c r="J116" s="10">
        <f t="shared" si="17"/>
        <v>14.808003447919068</v>
      </c>
      <c r="K116" s="10">
        <v>16.1292055730035</v>
      </c>
      <c r="L116" s="10">
        <v>15.974388468213601</v>
      </c>
      <c r="M116" s="10">
        <v>15.831588367587001</v>
      </c>
      <c r="N116" s="10">
        <f t="shared" si="14"/>
        <v>15.978394136268035</v>
      </c>
      <c r="O116" s="10">
        <f t="shared" si="15"/>
        <v>2.6655700100000002</v>
      </c>
      <c r="P116" s="10">
        <f t="shared" si="16"/>
        <v>0.84436964150650096</v>
      </c>
      <c r="S116" s="10" t="s">
        <v>14485</v>
      </c>
      <c r="T116" s="20">
        <v>3.5094892716802968</v>
      </c>
      <c r="U116" s="39"/>
    </row>
    <row r="117" spans="1:21" x14ac:dyDescent="0.2">
      <c r="A117" s="10" t="str">
        <f>"Y39A3CL.4"</f>
        <v>Y39A3CL.4</v>
      </c>
      <c r="B117" s="10" t="s">
        <v>435</v>
      </c>
      <c r="C117" s="10" t="s">
        <v>436</v>
      </c>
      <c r="D117" s="10">
        <v>1.16474935818967</v>
      </c>
      <c r="E117" s="10">
        <f t="shared" si="12"/>
        <v>2.2419426257977948</v>
      </c>
      <c r="F117" s="10">
        <v>2.8043615794078598E-3</v>
      </c>
      <c r="G117" s="10">
        <v>14.1356381697272</v>
      </c>
      <c r="H117" s="10">
        <v>14.264659704578399</v>
      </c>
      <c r="I117" s="10">
        <v>13.9579323421415</v>
      </c>
      <c r="J117" s="10">
        <f t="shared" si="17"/>
        <v>14.119410072149032</v>
      </c>
      <c r="K117" s="10">
        <v>14.8887707843362</v>
      </c>
      <c r="L117" s="10">
        <v>15.2633463736016</v>
      </c>
      <c r="M117" s="10">
        <v>15.7003611330783</v>
      </c>
      <c r="N117" s="10">
        <f t="shared" si="14"/>
        <v>15.284159430338699</v>
      </c>
      <c r="O117" s="10">
        <f t="shared" si="15"/>
        <v>4.0803284199999998</v>
      </c>
      <c r="P117" s="10">
        <f t="shared" si="16"/>
        <v>0.5494515134636625</v>
      </c>
      <c r="S117" s="11" t="s">
        <v>1709</v>
      </c>
      <c r="T117" s="20">
        <v>3.4727308099999998</v>
      </c>
      <c r="U117" s="39"/>
    </row>
    <row r="118" spans="1:21" x14ac:dyDescent="0.2">
      <c r="A118" s="10" t="str">
        <f>"tiar-1"</f>
        <v>tiar-1</v>
      </c>
      <c r="B118" s="10" t="s">
        <v>11572</v>
      </c>
      <c r="C118" s="10" t="s">
        <v>11574</v>
      </c>
      <c r="D118" s="10">
        <v>1.08878198301347</v>
      </c>
      <c r="E118" s="10">
        <f t="shared" si="12"/>
        <v>2.1269439022892054</v>
      </c>
      <c r="F118" s="10">
        <v>2.9379828327214599E-3</v>
      </c>
      <c r="G118" s="10">
        <v>13.6782571981123</v>
      </c>
      <c r="H118" s="10">
        <v>13.681417307426599</v>
      </c>
      <c r="I118" s="10">
        <v>13.8608533673727</v>
      </c>
      <c r="J118" s="10">
        <f t="shared" si="17"/>
        <v>13.740175957637199</v>
      </c>
      <c r="K118" s="10">
        <v>14.41150734625</v>
      </c>
      <c r="L118" s="10">
        <v>14.8634088753605</v>
      </c>
      <c r="M118" s="10">
        <v>15.211957600341499</v>
      </c>
      <c r="N118" s="10">
        <f t="shared" si="14"/>
        <v>14.828957940650668</v>
      </c>
      <c r="O118" s="10">
        <f t="shared" si="15"/>
        <v>2.054189</v>
      </c>
      <c r="P118" s="10">
        <f t="shared" si="16"/>
        <v>1.0354178229409297</v>
      </c>
      <c r="S118" s="10" t="s">
        <v>5147</v>
      </c>
      <c r="T118" s="20">
        <v>3.4624468677270763</v>
      </c>
      <c r="U118" s="39"/>
    </row>
    <row r="119" spans="1:21" x14ac:dyDescent="0.2">
      <c r="A119" s="24" t="str">
        <f>"ctc-2"</f>
        <v>ctc-2</v>
      </c>
      <c r="B119" s="24" t="s">
        <v>4850</v>
      </c>
      <c r="C119" s="24" t="s">
        <v>4852</v>
      </c>
      <c r="D119" s="24">
        <v>1.08442540590976</v>
      </c>
      <c r="E119" s="24">
        <f t="shared" si="12"/>
        <v>2.1205307532013546</v>
      </c>
      <c r="F119" s="24">
        <v>4.1579800614096399E-3</v>
      </c>
      <c r="G119" s="24">
        <v>16.297654768060799</v>
      </c>
      <c r="H119" s="24">
        <v>16.262992149885498</v>
      </c>
      <c r="I119" s="24">
        <v>16.3835626836991</v>
      </c>
      <c r="J119" s="24">
        <f t="shared" si="17"/>
        <v>16.314736533881799</v>
      </c>
      <c r="K119" s="24">
        <v>17.070902282614998</v>
      </c>
      <c r="L119" s="24">
        <v>17.532430946448098</v>
      </c>
      <c r="M119" s="24">
        <v>17.594152590311499</v>
      </c>
      <c r="N119" s="24">
        <f t="shared" si="14"/>
        <v>17.399161939791529</v>
      </c>
      <c r="O119" s="24" t="str">
        <f t="shared" si="15"/>
        <v>ND</v>
      </c>
      <c r="P119" s="24" t="str">
        <f t="shared" si="16"/>
        <v>NA</v>
      </c>
      <c r="S119" s="11" t="s">
        <v>14812</v>
      </c>
      <c r="T119" s="20">
        <v>3.4324472699999999</v>
      </c>
      <c r="U119" s="39"/>
    </row>
    <row r="120" spans="1:21" x14ac:dyDescent="0.2">
      <c r="A120" s="24" t="str">
        <f>"gsp-1"</f>
        <v>gsp-1</v>
      </c>
      <c r="B120" s="24" t="s">
        <v>10432</v>
      </c>
      <c r="C120" s="24" t="s">
        <v>10434</v>
      </c>
      <c r="D120" s="24">
        <v>1.0385404671906699</v>
      </c>
      <c r="E120" s="24">
        <f t="shared" si="12"/>
        <v>2.0541484792169813</v>
      </c>
      <c r="F120" s="24">
        <v>1.87912956129119E-3</v>
      </c>
      <c r="G120" s="24">
        <v>12.7611260390839</v>
      </c>
      <c r="H120" s="24">
        <v>13.0697420517422</v>
      </c>
      <c r="I120" s="24">
        <v>12.957939651490101</v>
      </c>
      <c r="J120" s="24">
        <f t="shared" si="17"/>
        <v>12.929602580772068</v>
      </c>
      <c r="K120" s="24">
        <v>14.364509692168401</v>
      </c>
      <c r="L120" s="24">
        <v>13.858996770325</v>
      </c>
      <c r="M120" s="24">
        <v>13.680922681394801</v>
      </c>
      <c r="N120" s="24">
        <f t="shared" si="14"/>
        <v>13.968143047962734</v>
      </c>
      <c r="O120" s="24" t="str">
        <f t="shared" si="15"/>
        <v>ND</v>
      </c>
      <c r="P120" s="24" t="str">
        <f t="shared" si="16"/>
        <v>NA</v>
      </c>
      <c r="S120" s="10" t="s">
        <v>14813</v>
      </c>
      <c r="T120" s="20">
        <v>3.4226173322639637</v>
      </c>
      <c r="U120" s="39"/>
    </row>
    <row r="121" spans="1:21" x14ac:dyDescent="0.2">
      <c r="A121" s="24" t="str">
        <f>"lam-1"</f>
        <v>lam-1</v>
      </c>
      <c r="B121" s="24" t="s">
        <v>3841</v>
      </c>
      <c r="C121" s="24" t="s">
        <v>3843</v>
      </c>
      <c r="D121" s="24">
        <v>1.0073853271686799</v>
      </c>
      <c r="E121" s="24">
        <f t="shared" si="12"/>
        <v>2.0102644875587066</v>
      </c>
      <c r="F121" s="24">
        <v>4.2734197988310903E-3</v>
      </c>
      <c r="G121" s="24">
        <v>13.5894287579011</v>
      </c>
      <c r="H121" s="24">
        <v>13.6688674226884</v>
      </c>
      <c r="I121" s="24">
        <v>14.2842547871984</v>
      </c>
      <c r="J121" s="24">
        <f t="shared" si="17"/>
        <v>13.847516989262635</v>
      </c>
      <c r="K121" s="24">
        <v>15.060234148737299</v>
      </c>
      <c r="L121" s="24">
        <v>14.9449986197936</v>
      </c>
      <c r="M121" s="24">
        <v>14.559474180763001</v>
      </c>
      <c r="N121" s="24">
        <f t="shared" si="14"/>
        <v>14.8549023164313</v>
      </c>
      <c r="O121" s="24" t="str">
        <f t="shared" si="15"/>
        <v>ND</v>
      </c>
      <c r="P121" s="24" t="str">
        <f t="shared" si="16"/>
        <v>NA</v>
      </c>
      <c r="S121" s="11" t="s">
        <v>1705</v>
      </c>
      <c r="T121" s="20">
        <v>3.4104602499999999</v>
      </c>
      <c r="U121" s="39"/>
    </row>
    <row r="122" spans="1:21" x14ac:dyDescent="0.2">
      <c r="A122" s="10" t="str">
        <f>"daf-22"</f>
        <v>daf-22</v>
      </c>
      <c r="B122" s="10" t="s">
        <v>1470</v>
      </c>
      <c r="C122" s="10" t="s">
        <v>1472</v>
      </c>
      <c r="D122" s="10">
        <v>1.0037916362613499</v>
      </c>
      <c r="E122" s="10">
        <f t="shared" si="12"/>
        <v>2.0052632372590318</v>
      </c>
      <c r="F122" s="10">
        <v>3.1838418862921701E-3</v>
      </c>
      <c r="G122" s="10">
        <v>13.5870087495341</v>
      </c>
      <c r="H122" s="10">
        <v>13.4481702251207</v>
      </c>
      <c r="I122" s="10">
        <v>13.4957307932799</v>
      </c>
      <c r="J122" s="10">
        <f t="shared" si="17"/>
        <v>13.510303255978235</v>
      </c>
      <c r="K122" s="10">
        <v>13.909727103579399</v>
      </c>
      <c r="L122" s="10">
        <v>14.640175692274701</v>
      </c>
      <c r="M122" s="10">
        <v>14.992381880864601</v>
      </c>
      <c r="N122" s="10">
        <f t="shared" si="14"/>
        <v>14.514094892239568</v>
      </c>
      <c r="O122" s="10">
        <f t="shared" si="15"/>
        <v>2.9108313400000001</v>
      </c>
      <c r="P122" s="10">
        <f t="shared" si="16"/>
        <v>0.68889708919343695</v>
      </c>
      <c r="S122" s="10" t="s">
        <v>14814</v>
      </c>
      <c r="T122" s="20">
        <v>3.3905045955362612</v>
      </c>
      <c r="U122" s="39"/>
    </row>
    <row r="123" spans="1:21" x14ac:dyDescent="0.2">
      <c r="S123" s="11" t="s">
        <v>14171</v>
      </c>
      <c r="T123" s="20">
        <v>3.3613502799999999</v>
      </c>
      <c r="U123" s="39"/>
    </row>
    <row r="124" spans="1:21" x14ac:dyDescent="0.2">
      <c r="S124" s="11" t="s">
        <v>5322</v>
      </c>
      <c r="T124" s="20">
        <v>3.3128137099999999</v>
      </c>
      <c r="U124" s="39"/>
    </row>
    <row r="125" spans="1:21" x14ac:dyDescent="0.2">
      <c r="S125" s="11" t="s">
        <v>14815</v>
      </c>
      <c r="T125" s="20">
        <v>3.2988511900000002</v>
      </c>
      <c r="U125" s="39"/>
    </row>
    <row r="126" spans="1:21" x14ac:dyDescent="0.2">
      <c r="S126" s="11" t="s">
        <v>14816</v>
      </c>
      <c r="T126" s="20">
        <v>3.26683769</v>
      </c>
      <c r="U126" s="39"/>
    </row>
    <row r="127" spans="1:21" x14ac:dyDescent="0.2">
      <c r="S127" s="11" t="s">
        <v>4256</v>
      </c>
      <c r="T127" s="20">
        <v>3.2404884100000002</v>
      </c>
      <c r="U127" s="39"/>
    </row>
    <row r="128" spans="1:21" x14ac:dyDescent="0.2">
      <c r="S128" s="11" t="s">
        <v>12598</v>
      </c>
      <c r="T128" s="20">
        <v>3.2164031500000001</v>
      </c>
      <c r="U128" s="39"/>
    </row>
    <row r="129" spans="19:21" x14ac:dyDescent="0.2">
      <c r="S129" s="11" t="s">
        <v>8165</v>
      </c>
      <c r="T129" s="20">
        <v>3.2135458099999998</v>
      </c>
      <c r="U129" s="39"/>
    </row>
    <row r="130" spans="19:21" x14ac:dyDescent="0.2">
      <c r="S130" s="11" t="s">
        <v>396</v>
      </c>
      <c r="T130" s="20">
        <v>3.2054233700000001</v>
      </c>
      <c r="U130" s="39"/>
    </row>
    <row r="131" spans="19:21" x14ac:dyDescent="0.2">
      <c r="S131" s="11" t="s">
        <v>14817</v>
      </c>
      <c r="T131" s="20">
        <v>3.1978355700000001</v>
      </c>
      <c r="U131" s="39"/>
    </row>
    <row r="132" spans="19:21" x14ac:dyDescent="0.2">
      <c r="S132" s="11" t="s">
        <v>12251</v>
      </c>
      <c r="T132" s="20">
        <v>3.1719083800000001</v>
      </c>
      <c r="U132" s="39"/>
    </row>
    <row r="133" spans="19:21" x14ac:dyDescent="0.2">
      <c r="S133" s="11" t="s">
        <v>14818</v>
      </c>
      <c r="T133" s="20">
        <v>3.1679403800000001</v>
      </c>
      <c r="U133" s="39"/>
    </row>
    <row r="134" spans="19:21" x14ac:dyDescent="0.2">
      <c r="S134" s="11" t="s">
        <v>11530</v>
      </c>
      <c r="T134" s="20">
        <v>3.1386884199999998</v>
      </c>
      <c r="U134" s="39"/>
    </row>
    <row r="135" spans="19:21" x14ac:dyDescent="0.2">
      <c r="S135" s="11" t="s">
        <v>9426</v>
      </c>
      <c r="T135" s="20">
        <v>3.13809</v>
      </c>
      <c r="U135" s="39"/>
    </row>
    <row r="136" spans="19:21" x14ac:dyDescent="0.2">
      <c r="S136" s="11" t="s">
        <v>983</v>
      </c>
      <c r="T136" s="20">
        <v>3.1329182800000002</v>
      </c>
      <c r="U136" s="39"/>
    </row>
    <row r="137" spans="19:21" x14ac:dyDescent="0.2">
      <c r="S137" s="11" t="s">
        <v>5398</v>
      </c>
      <c r="T137" s="20">
        <v>3.1192659200000001</v>
      </c>
      <c r="U137" s="39"/>
    </row>
    <row r="138" spans="19:21" x14ac:dyDescent="0.2">
      <c r="S138" s="11" t="s">
        <v>13338</v>
      </c>
      <c r="T138" s="20">
        <v>3.0909888400000001</v>
      </c>
      <c r="U138" s="39"/>
    </row>
    <row r="139" spans="19:21" x14ac:dyDescent="0.2">
      <c r="S139" s="11" t="s">
        <v>8080</v>
      </c>
      <c r="T139" s="20">
        <v>3.0728087799999999</v>
      </c>
      <c r="U139" s="39"/>
    </row>
    <row r="140" spans="19:21" x14ac:dyDescent="0.2">
      <c r="S140" s="11" t="s">
        <v>11874</v>
      </c>
      <c r="T140" s="20">
        <v>3.04240968</v>
      </c>
      <c r="U140" s="39"/>
    </row>
    <row r="141" spans="19:21" x14ac:dyDescent="0.2">
      <c r="S141" s="11" t="s">
        <v>7358</v>
      </c>
      <c r="T141" s="20">
        <v>3.0399567200000002</v>
      </c>
      <c r="U141" s="39"/>
    </row>
    <row r="142" spans="19:21" x14ac:dyDescent="0.2">
      <c r="S142" s="11" t="s">
        <v>5031</v>
      </c>
      <c r="T142" s="20">
        <v>3.0350834999999998</v>
      </c>
      <c r="U142" s="39"/>
    </row>
    <row r="143" spans="19:21" x14ac:dyDescent="0.2">
      <c r="S143" s="11" t="s">
        <v>14819</v>
      </c>
      <c r="T143" s="20">
        <v>3.0216343399999999</v>
      </c>
      <c r="U143" s="39"/>
    </row>
    <row r="144" spans="19:21" x14ac:dyDescent="0.2">
      <c r="S144" s="11" t="s">
        <v>7523</v>
      </c>
      <c r="T144" s="20">
        <v>2.9844003699999999</v>
      </c>
      <c r="U144" s="39"/>
    </row>
    <row r="145" spans="1:21" x14ac:dyDescent="0.2">
      <c r="S145" s="11" t="s">
        <v>1972</v>
      </c>
      <c r="T145" s="20">
        <v>2.9604292000000001</v>
      </c>
      <c r="U145" s="39"/>
    </row>
    <row r="146" spans="1:21" x14ac:dyDescent="0.2">
      <c r="S146" s="11" t="s">
        <v>8753</v>
      </c>
      <c r="T146" s="20">
        <v>2.93598567</v>
      </c>
      <c r="U146" s="39"/>
    </row>
    <row r="147" spans="1:21" x14ac:dyDescent="0.2">
      <c r="A147" s="42"/>
      <c r="S147" s="11" t="s">
        <v>10298</v>
      </c>
      <c r="T147" s="20">
        <v>2.9140060499999998</v>
      </c>
      <c r="U147" s="39"/>
    </row>
    <row r="148" spans="1:21" x14ac:dyDescent="0.2">
      <c r="A148" s="42"/>
      <c r="S148" s="11" t="s">
        <v>1471</v>
      </c>
      <c r="T148" s="20">
        <v>2.9108313400000001</v>
      </c>
      <c r="U148" s="39"/>
    </row>
    <row r="149" spans="1:21" x14ac:dyDescent="0.2">
      <c r="A149" s="42"/>
      <c r="S149" s="11" t="s">
        <v>14820</v>
      </c>
      <c r="T149" s="20">
        <v>2.9063408000000002</v>
      </c>
      <c r="U149" s="39"/>
    </row>
    <row r="150" spans="1:21" x14ac:dyDescent="0.2">
      <c r="A150" s="42"/>
      <c r="S150" s="11" t="s">
        <v>5630</v>
      </c>
      <c r="T150" s="20">
        <v>2.8936961499999998</v>
      </c>
      <c r="U150" s="39"/>
    </row>
    <row r="151" spans="1:21" x14ac:dyDescent="0.2">
      <c r="S151" s="11" t="s">
        <v>6905</v>
      </c>
      <c r="T151" s="20">
        <v>2.8920846600000001</v>
      </c>
      <c r="U151" s="39"/>
    </row>
    <row r="152" spans="1:21" x14ac:dyDescent="0.2">
      <c r="S152" s="10" t="s">
        <v>10913</v>
      </c>
      <c r="T152" s="21">
        <v>2.8898607958470506</v>
      </c>
      <c r="U152" s="40"/>
    </row>
    <row r="153" spans="1:21" x14ac:dyDescent="0.2">
      <c r="S153" s="11" t="s">
        <v>11309</v>
      </c>
      <c r="T153" s="20">
        <v>2.8844428600000001</v>
      </c>
      <c r="U153" s="39"/>
    </row>
    <row r="154" spans="1:21" x14ac:dyDescent="0.2">
      <c r="A154" s="42"/>
      <c r="S154" s="11" t="s">
        <v>1299</v>
      </c>
      <c r="T154" s="20">
        <v>2.8723567499999998</v>
      </c>
      <c r="U154" s="39"/>
    </row>
    <row r="155" spans="1:21" x14ac:dyDescent="0.2">
      <c r="S155" s="11" t="s">
        <v>11585</v>
      </c>
      <c r="T155" s="20">
        <v>2.85350839</v>
      </c>
      <c r="U155" s="39"/>
    </row>
    <row r="156" spans="1:21" x14ac:dyDescent="0.2">
      <c r="A156" s="42"/>
      <c r="S156" s="11" t="s">
        <v>5622</v>
      </c>
      <c r="T156" s="20">
        <v>2.8418008499999998</v>
      </c>
      <c r="U156" s="39"/>
    </row>
    <row r="157" spans="1:21" x14ac:dyDescent="0.2">
      <c r="A157" s="42"/>
      <c r="S157" s="11" t="s">
        <v>4439</v>
      </c>
      <c r="T157" s="20">
        <v>2.83839576</v>
      </c>
      <c r="U157" s="39"/>
    </row>
    <row r="158" spans="1:21" x14ac:dyDescent="0.2">
      <c r="S158" s="11" t="s">
        <v>13488</v>
      </c>
      <c r="T158" s="20">
        <v>2.8256087999999999</v>
      </c>
      <c r="U158" s="39"/>
    </row>
    <row r="159" spans="1:21" x14ac:dyDescent="0.2">
      <c r="S159" s="11" t="s">
        <v>14821</v>
      </c>
      <c r="T159" s="20">
        <v>2.8244664199999998</v>
      </c>
      <c r="U159" s="39"/>
    </row>
    <row r="160" spans="1:21" x14ac:dyDescent="0.2">
      <c r="A160" s="42"/>
      <c r="S160" s="11" t="s">
        <v>1146</v>
      </c>
      <c r="T160" s="20">
        <v>2.8244629099999998</v>
      </c>
      <c r="U160" s="39"/>
    </row>
    <row r="161" spans="1:21" x14ac:dyDescent="0.2">
      <c r="A161" s="42"/>
      <c r="S161" s="11" t="s">
        <v>14822</v>
      </c>
      <c r="T161" s="20">
        <v>2.824373</v>
      </c>
      <c r="U161" s="39"/>
    </row>
    <row r="162" spans="1:21" x14ac:dyDescent="0.2">
      <c r="A162" s="42"/>
      <c r="S162" s="11" t="s">
        <v>14823</v>
      </c>
      <c r="T162" s="20">
        <v>2.7984265100000001</v>
      </c>
      <c r="U162" s="39"/>
    </row>
    <row r="163" spans="1:21" x14ac:dyDescent="0.2">
      <c r="A163" s="42"/>
      <c r="S163" s="10" t="s">
        <v>11371</v>
      </c>
      <c r="T163" s="20">
        <v>2.7911792396759152</v>
      </c>
      <c r="U163" s="39"/>
    </row>
    <row r="164" spans="1:21" x14ac:dyDescent="0.2">
      <c r="A164" s="42"/>
      <c r="S164" s="10" t="s">
        <v>1670</v>
      </c>
      <c r="T164" s="20">
        <v>2.7583972946551407</v>
      </c>
      <c r="U164" s="39"/>
    </row>
    <row r="165" spans="1:21" x14ac:dyDescent="0.2">
      <c r="A165" s="42"/>
      <c r="S165" s="11" t="s">
        <v>12210</v>
      </c>
      <c r="T165" s="20">
        <v>2.7508854500000002</v>
      </c>
      <c r="U165" s="39"/>
    </row>
    <row r="166" spans="1:21" x14ac:dyDescent="0.2">
      <c r="A166" s="42"/>
      <c r="S166" s="11" t="s">
        <v>10728</v>
      </c>
      <c r="T166" s="20">
        <v>2.7414156099999998</v>
      </c>
      <c r="U166" s="39"/>
    </row>
    <row r="167" spans="1:21" x14ac:dyDescent="0.2">
      <c r="A167" s="42"/>
      <c r="S167" s="10" t="s">
        <v>14164</v>
      </c>
      <c r="T167" s="21">
        <v>2.7286739180665229</v>
      </c>
      <c r="U167" s="40"/>
    </row>
    <row r="168" spans="1:21" x14ac:dyDescent="0.2">
      <c r="A168" s="42"/>
      <c r="S168" s="11" t="s">
        <v>14178</v>
      </c>
      <c r="T168" s="20">
        <v>2.7277159700000002</v>
      </c>
      <c r="U168" s="39"/>
    </row>
    <row r="169" spans="1:21" x14ac:dyDescent="0.2">
      <c r="A169" s="42"/>
      <c r="S169" s="11" t="s">
        <v>13036</v>
      </c>
      <c r="T169" s="20">
        <v>2.7237521500000001</v>
      </c>
      <c r="U169" s="39"/>
    </row>
    <row r="170" spans="1:21" x14ac:dyDescent="0.2">
      <c r="A170" s="42"/>
      <c r="S170" s="11" t="s">
        <v>14824</v>
      </c>
      <c r="T170" s="20">
        <v>2.7062234200000002</v>
      </c>
      <c r="U170" s="39"/>
    </row>
    <row r="171" spans="1:21" x14ac:dyDescent="0.2">
      <c r="A171" s="42"/>
      <c r="S171" s="11" t="s">
        <v>3478</v>
      </c>
      <c r="T171" s="20">
        <v>2.6950409099999999</v>
      </c>
      <c r="U171" s="39"/>
    </row>
    <row r="172" spans="1:21" x14ac:dyDescent="0.2">
      <c r="A172" s="42"/>
      <c r="S172" s="10" t="s">
        <v>14825</v>
      </c>
      <c r="T172" s="20">
        <v>2.6926505093943405</v>
      </c>
      <c r="U172" s="39"/>
    </row>
    <row r="173" spans="1:21" x14ac:dyDescent="0.2">
      <c r="A173" s="42"/>
      <c r="S173" s="11" t="s">
        <v>9998</v>
      </c>
      <c r="T173" s="20">
        <v>2.6827469499999999</v>
      </c>
      <c r="U173" s="39"/>
    </row>
    <row r="174" spans="1:21" x14ac:dyDescent="0.2">
      <c r="A174" s="42"/>
      <c r="S174" s="10" t="s">
        <v>7499</v>
      </c>
      <c r="T174" s="20">
        <v>2.6806548415707212</v>
      </c>
      <c r="U174" s="39"/>
    </row>
    <row r="175" spans="1:21" x14ac:dyDescent="0.2">
      <c r="A175" s="42"/>
      <c r="S175" s="11" t="s">
        <v>14826</v>
      </c>
      <c r="T175" s="20">
        <v>2.6793032800000001</v>
      </c>
      <c r="U175" s="39"/>
    </row>
    <row r="176" spans="1:21" x14ac:dyDescent="0.2">
      <c r="A176" s="42"/>
      <c r="S176" s="11" t="s">
        <v>8353</v>
      </c>
      <c r="T176" s="20">
        <v>2.6655700100000002</v>
      </c>
      <c r="U176" s="39"/>
    </row>
    <row r="177" spans="1:21" x14ac:dyDescent="0.2">
      <c r="A177" s="42"/>
      <c r="S177" s="11" t="s">
        <v>5394</v>
      </c>
      <c r="T177" s="20">
        <v>2.6556687499999998</v>
      </c>
      <c r="U177" s="39"/>
    </row>
    <row r="178" spans="1:21" x14ac:dyDescent="0.2">
      <c r="A178" s="42"/>
      <c r="S178" s="11" t="s">
        <v>5983</v>
      </c>
      <c r="T178" s="20">
        <v>2.6459550300000001</v>
      </c>
      <c r="U178" s="39"/>
    </row>
    <row r="179" spans="1:21" x14ac:dyDescent="0.2">
      <c r="A179" s="42"/>
      <c r="S179" s="11" t="s">
        <v>13871</v>
      </c>
      <c r="T179" s="20">
        <v>2.63493887</v>
      </c>
      <c r="U179" s="39"/>
    </row>
    <row r="180" spans="1:21" x14ac:dyDescent="0.2">
      <c r="A180" s="42"/>
      <c r="S180" s="11" t="s">
        <v>14827</v>
      </c>
      <c r="T180" s="20">
        <v>2.6260325600000001</v>
      </c>
      <c r="U180" s="39"/>
    </row>
    <row r="181" spans="1:21" x14ac:dyDescent="0.2">
      <c r="A181" s="42"/>
      <c r="S181" s="11" t="s">
        <v>14174</v>
      </c>
      <c r="T181" s="20">
        <v>2.6250738600000001</v>
      </c>
      <c r="U181" s="39"/>
    </row>
    <row r="182" spans="1:21" x14ac:dyDescent="0.2">
      <c r="A182" s="42"/>
      <c r="S182" s="11" t="s">
        <v>7323</v>
      </c>
      <c r="T182" s="20">
        <v>2.6221794300000001</v>
      </c>
      <c r="U182" s="39"/>
    </row>
    <row r="183" spans="1:21" x14ac:dyDescent="0.2">
      <c r="S183" s="11" t="s">
        <v>14353</v>
      </c>
      <c r="T183" s="20">
        <v>2.6156528899999998</v>
      </c>
      <c r="U183" s="39"/>
    </row>
    <row r="184" spans="1:21" x14ac:dyDescent="0.2">
      <c r="A184" s="42"/>
      <c r="S184" s="10" t="s">
        <v>14828</v>
      </c>
      <c r="T184" s="20">
        <v>2.6129819099335019</v>
      </c>
      <c r="U184" s="39"/>
    </row>
    <row r="185" spans="1:21" x14ac:dyDescent="0.2">
      <c r="A185" s="42"/>
      <c r="S185" s="11" t="s">
        <v>8401</v>
      </c>
      <c r="T185" s="20">
        <v>2.60958449</v>
      </c>
      <c r="U185" s="39"/>
    </row>
    <row r="186" spans="1:21" x14ac:dyDescent="0.2">
      <c r="A186" s="42"/>
      <c r="S186" s="11" t="s">
        <v>11795</v>
      </c>
      <c r="T186" s="20">
        <v>2.6003555899999999</v>
      </c>
      <c r="U186" s="39"/>
    </row>
    <row r="187" spans="1:21" x14ac:dyDescent="0.2">
      <c r="A187" s="42"/>
      <c r="S187" s="11" t="s">
        <v>5726</v>
      </c>
      <c r="T187" s="20">
        <v>2.59333298</v>
      </c>
      <c r="U187" s="39"/>
    </row>
    <row r="188" spans="1:21" x14ac:dyDescent="0.2">
      <c r="A188" s="42"/>
      <c r="S188" s="11" t="s">
        <v>7991</v>
      </c>
      <c r="T188" s="20">
        <v>2.5931230799999998</v>
      </c>
      <c r="U188" s="39"/>
    </row>
    <row r="189" spans="1:21" x14ac:dyDescent="0.2">
      <c r="A189" s="42"/>
      <c r="S189" s="11" t="s">
        <v>14829</v>
      </c>
      <c r="T189" s="20">
        <v>2.5739457699999999</v>
      </c>
      <c r="U189" s="39"/>
    </row>
    <row r="190" spans="1:21" x14ac:dyDescent="0.2">
      <c r="A190" s="42"/>
      <c r="S190" s="11" t="s">
        <v>12757</v>
      </c>
      <c r="T190" s="20">
        <v>2.57074034</v>
      </c>
      <c r="U190" s="39"/>
    </row>
    <row r="191" spans="1:21" x14ac:dyDescent="0.2">
      <c r="A191" s="42"/>
      <c r="S191" s="10" t="s">
        <v>14830</v>
      </c>
      <c r="T191" s="20">
        <v>2.5360633189098243</v>
      </c>
      <c r="U191" s="39"/>
    </row>
    <row r="192" spans="1:21" x14ac:dyDescent="0.2">
      <c r="A192" s="42"/>
      <c r="S192" s="11" t="s">
        <v>14515</v>
      </c>
      <c r="T192" s="20">
        <v>2.52863543</v>
      </c>
      <c r="U192" s="39"/>
    </row>
    <row r="193" spans="1:21" x14ac:dyDescent="0.2">
      <c r="A193" s="42"/>
      <c r="S193" s="10" t="s">
        <v>10155</v>
      </c>
      <c r="T193" s="20">
        <v>2.5136782550893848</v>
      </c>
      <c r="U193" s="39"/>
    </row>
    <row r="194" spans="1:21" x14ac:dyDescent="0.2">
      <c r="A194" s="42"/>
      <c r="S194" s="11" t="s">
        <v>14524</v>
      </c>
      <c r="T194" s="20">
        <v>2.5135381300000001</v>
      </c>
      <c r="U194" s="39"/>
    </row>
    <row r="195" spans="1:21" x14ac:dyDescent="0.2">
      <c r="A195" s="42"/>
      <c r="S195" s="11" t="s">
        <v>14831</v>
      </c>
      <c r="T195" s="20">
        <v>2.5104880199999999</v>
      </c>
      <c r="U195" s="39"/>
    </row>
    <row r="196" spans="1:21" x14ac:dyDescent="0.2">
      <c r="A196" s="42"/>
      <c r="S196" s="11" t="s">
        <v>9285</v>
      </c>
      <c r="T196" s="20">
        <v>2.4946958399999999</v>
      </c>
      <c r="U196" s="39"/>
    </row>
    <row r="197" spans="1:21" x14ac:dyDescent="0.2">
      <c r="A197" s="42"/>
      <c r="S197" s="11" t="s">
        <v>3539</v>
      </c>
      <c r="T197" s="20">
        <v>2.4944524299999999</v>
      </c>
      <c r="U197" s="39"/>
    </row>
    <row r="198" spans="1:21" x14ac:dyDescent="0.2">
      <c r="A198" s="42"/>
      <c r="S198" s="10" t="s">
        <v>14264</v>
      </c>
      <c r="T198" s="21">
        <v>2.4658827188051093</v>
      </c>
      <c r="U198" s="40"/>
    </row>
    <row r="199" spans="1:21" x14ac:dyDescent="0.2">
      <c r="S199" s="11" t="s">
        <v>5920</v>
      </c>
      <c r="T199" s="20">
        <v>2.4633087200000001</v>
      </c>
      <c r="U199" s="39"/>
    </row>
    <row r="200" spans="1:21" x14ac:dyDescent="0.2">
      <c r="A200" s="42"/>
      <c r="S200" s="10" t="s">
        <v>14832</v>
      </c>
      <c r="T200" s="21">
        <v>2.4557334764799923</v>
      </c>
      <c r="U200" s="40"/>
    </row>
    <row r="201" spans="1:21" x14ac:dyDescent="0.2">
      <c r="S201" s="11" t="s">
        <v>14320</v>
      </c>
      <c r="T201" s="20">
        <v>2.44814482</v>
      </c>
      <c r="U201" s="39"/>
    </row>
    <row r="202" spans="1:21" x14ac:dyDescent="0.2">
      <c r="A202" s="42"/>
      <c r="S202" s="11" t="s">
        <v>952</v>
      </c>
      <c r="T202" s="20">
        <v>2.44797508</v>
      </c>
      <c r="U202" s="39"/>
    </row>
    <row r="203" spans="1:21" x14ac:dyDescent="0.2">
      <c r="A203" s="42"/>
      <c r="S203" s="11" t="s">
        <v>13794</v>
      </c>
      <c r="T203" s="20">
        <v>2.4469431199999998</v>
      </c>
      <c r="U203" s="39"/>
    </row>
    <row r="204" spans="1:21" x14ac:dyDescent="0.2">
      <c r="A204" s="42"/>
      <c r="S204" s="11" t="s">
        <v>11944</v>
      </c>
      <c r="T204" s="20">
        <v>2.4374346600000001</v>
      </c>
      <c r="U204" s="39"/>
    </row>
    <row r="205" spans="1:21" x14ac:dyDescent="0.2">
      <c r="A205" s="42"/>
      <c r="S205" s="11" t="s">
        <v>10180</v>
      </c>
      <c r="T205" s="20">
        <v>2.4317500999999999</v>
      </c>
      <c r="U205" s="39"/>
    </row>
    <row r="206" spans="1:21" x14ac:dyDescent="0.2">
      <c r="A206" s="42"/>
      <c r="S206" s="11" t="s">
        <v>6557</v>
      </c>
      <c r="T206" s="20">
        <v>2.42257934</v>
      </c>
      <c r="U206" s="39"/>
    </row>
    <row r="207" spans="1:21" x14ac:dyDescent="0.2">
      <c r="A207" s="42"/>
      <c r="S207" s="10" t="s">
        <v>14833</v>
      </c>
      <c r="T207" s="20">
        <v>2.4043285577118638</v>
      </c>
      <c r="U207" s="39"/>
    </row>
    <row r="208" spans="1:21" x14ac:dyDescent="0.2">
      <c r="A208" s="42"/>
      <c r="S208" s="10" t="s">
        <v>14834</v>
      </c>
      <c r="T208" s="20">
        <v>2.3896511107642122</v>
      </c>
      <c r="U208" s="39"/>
    </row>
    <row r="209" spans="1:21" x14ac:dyDescent="0.2">
      <c r="A209" s="42"/>
      <c r="S209" s="11" t="s">
        <v>5754</v>
      </c>
      <c r="T209" s="20">
        <v>2.3840881299999999</v>
      </c>
      <c r="U209" s="39"/>
    </row>
    <row r="210" spans="1:21" x14ac:dyDescent="0.2">
      <c r="S210" s="11" t="s">
        <v>5654</v>
      </c>
      <c r="T210" s="20">
        <v>2.3740384899999998</v>
      </c>
      <c r="U210" s="39"/>
    </row>
    <row r="211" spans="1:21" x14ac:dyDescent="0.2">
      <c r="A211" s="42"/>
      <c r="S211" s="11" t="s">
        <v>7382</v>
      </c>
      <c r="T211" s="20">
        <v>2.3732021699999999</v>
      </c>
      <c r="U211" s="39"/>
    </row>
    <row r="212" spans="1:21" x14ac:dyDescent="0.2">
      <c r="A212" s="42"/>
      <c r="S212" s="10" t="s">
        <v>14835</v>
      </c>
      <c r="T212" s="20">
        <v>2.3613504247647152</v>
      </c>
      <c r="U212" s="39"/>
    </row>
    <row r="213" spans="1:21" x14ac:dyDescent="0.2">
      <c r="A213" s="42"/>
      <c r="S213" s="11" t="s">
        <v>5943</v>
      </c>
      <c r="T213" s="20">
        <v>2.3589548100000002</v>
      </c>
      <c r="U213" s="39"/>
    </row>
    <row r="214" spans="1:21" x14ac:dyDescent="0.2">
      <c r="A214" s="42"/>
      <c r="S214" s="11" t="s">
        <v>14836</v>
      </c>
      <c r="T214" s="20">
        <v>2.34472418</v>
      </c>
      <c r="U214" s="39"/>
    </row>
    <row r="215" spans="1:21" x14ac:dyDescent="0.2">
      <c r="A215" s="42"/>
      <c r="S215" s="11" t="s">
        <v>4979</v>
      </c>
      <c r="T215" s="20">
        <v>2.3367719299999998</v>
      </c>
      <c r="U215" s="39"/>
    </row>
    <row r="216" spans="1:21" x14ac:dyDescent="0.2">
      <c r="S216" s="11" t="s">
        <v>5171</v>
      </c>
      <c r="T216" s="20">
        <v>2.3200671100000001</v>
      </c>
      <c r="U216" s="39"/>
    </row>
    <row r="217" spans="1:21" x14ac:dyDescent="0.2">
      <c r="A217" s="42"/>
      <c r="S217" s="11" t="s">
        <v>14435</v>
      </c>
      <c r="T217" s="20">
        <v>2.31945413</v>
      </c>
      <c r="U217" s="39"/>
    </row>
    <row r="218" spans="1:21" x14ac:dyDescent="0.2">
      <c r="S218" s="10" t="s">
        <v>14837</v>
      </c>
      <c r="T218" s="20">
        <v>2.3074640686789936</v>
      </c>
      <c r="U218" s="39"/>
    </row>
    <row r="219" spans="1:21" x14ac:dyDescent="0.2">
      <c r="A219" s="42"/>
      <c r="S219" s="10" t="s">
        <v>14838</v>
      </c>
      <c r="T219" s="20">
        <v>2.2942140484523303</v>
      </c>
      <c r="U219" s="39"/>
    </row>
    <row r="220" spans="1:21" x14ac:dyDescent="0.2">
      <c r="A220" s="42"/>
      <c r="S220" s="10" t="s">
        <v>14394</v>
      </c>
      <c r="T220" s="20">
        <v>2.2870691712641826</v>
      </c>
      <c r="U220" s="39"/>
    </row>
    <row r="221" spans="1:21" x14ac:dyDescent="0.2">
      <c r="A221" s="42"/>
      <c r="S221" s="10" t="s">
        <v>6213</v>
      </c>
      <c r="T221" s="20">
        <v>2.2845523517470934</v>
      </c>
      <c r="U221" s="39"/>
    </row>
    <row r="222" spans="1:21" x14ac:dyDescent="0.2">
      <c r="S222" s="11" t="s">
        <v>14839</v>
      </c>
      <c r="T222" s="20">
        <v>2.28333005</v>
      </c>
      <c r="U222" s="39"/>
    </row>
    <row r="223" spans="1:21" x14ac:dyDescent="0.2">
      <c r="A223" s="42"/>
      <c r="S223" s="10" t="s">
        <v>14653</v>
      </c>
      <c r="T223" s="20">
        <v>2.2795263866027669</v>
      </c>
      <c r="U223" s="39"/>
    </row>
    <row r="224" spans="1:21" x14ac:dyDescent="0.2">
      <c r="S224" s="10" t="s">
        <v>6272</v>
      </c>
      <c r="T224" s="20">
        <v>2.2777352857525219</v>
      </c>
      <c r="U224" s="39"/>
    </row>
    <row r="225" spans="1:21" x14ac:dyDescent="0.2">
      <c r="A225" s="42"/>
      <c r="S225" s="11" t="s">
        <v>11496</v>
      </c>
      <c r="T225" s="20">
        <v>2.2734654299999999</v>
      </c>
      <c r="U225" s="39"/>
    </row>
    <row r="226" spans="1:21" x14ac:dyDescent="0.2">
      <c r="A226" s="42"/>
      <c r="S226" s="11" t="s">
        <v>14179</v>
      </c>
      <c r="T226" s="20">
        <v>2.2527639000000002</v>
      </c>
      <c r="U226" s="39"/>
    </row>
    <row r="227" spans="1:21" x14ac:dyDescent="0.2">
      <c r="A227" s="42"/>
      <c r="S227" s="11" t="s">
        <v>6609</v>
      </c>
      <c r="T227" s="20">
        <v>2.2526991999999999</v>
      </c>
      <c r="U227" s="39"/>
    </row>
    <row r="228" spans="1:21" x14ac:dyDescent="0.2">
      <c r="A228" s="42"/>
      <c r="S228" s="11" t="s">
        <v>14840</v>
      </c>
      <c r="T228" s="20">
        <v>2.2416322900000001</v>
      </c>
      <c r="U228" s="39"/>
    </row>
    <row r="229" spans="1:21" x14ac:dyDescent="0.2">
      <c r="S229" s="10" t="s">
        <v>14841</v>
      </c>
      <c r="T229" s="20">
        <v>2.2353488547905687</v>
      </c>
      <c r="U229" s="39"/>
    </row>
    <row r="230" spans="1:21" x14ac:dyDescent="0.2">
      <c r="S230" s="11" t="s">
        <v>14842</v>
      </c>
      <c r="T230" s="20">
        <v>2.2325585999999999</v>
      </c>
      <c r="U230" s="39"/>
    </row>
    <row r="231" spans="1:21" x14ac:dyDescent="0.2">
      <c r="A231" s="42"/>
      <c r="S231" s="11" t="s">
        <v>11179</v>
      </c>
      <c r="T231" s="20">
        <v>2.2288679600000001</v>
      </c>
      <c r="U231" s="39"/>
    </row>
    <row r="232" spans="1:21" x14ac:dyDescent="0.2">
      <c r="A232" s="42"/>
      <c r="S232" s="10" t="s">
        <v>14843</v>
      </c>
      <c r="T232" s="20">
        <v>2.2273063436391891</v>
      </c>
      <c r="U232" s="39"/>
    </row>
    <row r="233" spans="1:21" x14ac:dyDescent="0.2">
      <c r="A233" s="42"/>
      <c r="S233" s="11" t="s">
        <v>7634</v>
      </c>
      <c r="T233" s="20">
        <v>2.2172895499999998</v>
      </c>
      <c r="U233" s="39"/>
    </row>
    <row r="234" spans="1:21" x14ac:dyDescent="0.2">
      <c r="S234" s="10" t="s">
        <v>14844</v>
      </c>
      <c r="T234" s="20">
        <v>2.2010617794804963</v>
      </c>
      <c r="U234" s="39"/>
    </row>
    <row r="235" spans="1:21" x14ac:dyDescent="0.2">
      <c r="A235" s="42"/>
      <c r="S235" s="11" t="s">
        <v>207</v>
      </c>
      <c r="T235" s="20">
        <v>2.1934022799999999</v>
      </c>
      <c r="U235" s="39"/>
    </row>
    <row r="236" spans="1:21" x14ac:dyDescent="0.2">
      <c r="A236" s="42"/>
      <c r="S236" s="11" t="s">
        <v>14845</v>
      </c>
      <c r="T236" s="20">
        <v>2.1915128199999998</v>
      </c>
      <c r="U236" s="39"/>
    </row>
    <row r="237" spans="1:21" x14ac:dyDescent="0.2">
      <c r="A237" s="42"/>
      <c r="S237" s="11" t="s">
        <v>303</v>
      </c>
      <c r="T237" s="20">
        <v>2.1821675200000001</v>
      </c>
      <c r="U237" s="39"/>
    </row>
    <row r="238" spans="1:21" x14ac:dyDescent="0.2">
      <c r="A238" s="42"/>
      <c r="S238" s="11" t="s">
        <v>14306</v>
      </c>
      <c r="T238" s="20">
        <v>2.1758025600000002</v>
      </c>
      <c r="U238" s="39"/>
    </row>
    <row r="239" spans="1:21" x14ac:dyDescent="0.2">
      <c r="S239" s="11" t="s">
        <v>14259</v>
      </c>
      <c r="T239" s="20">
        <v>2.17545952</v>
      </c>
      <c r="U239" s="39"/>
    </row>
    <row r="240" spans="1:21" x14ac:dyDescent="0.2">
      <c r="S240" s="11" t="s">
        <v>4539</v>
      </c>
      <c r="T240" s="20">
        <v>2.1642393700000002</v>
      </c>
      <c r="U240" s="39"/>
    </row>
    <row r="241" spans="1:21" x14ac:dyDescent="0.2">
      <c r="S241" s="11" t="s">
        <v>415</v>
      </c>
      <c r="T241" s="20">
        <v>2.15698086</v>
      </c>
      <c r="U241" s="39"/>
    </row>
    <row r="242" spans="1:21" x14ac:dyDescent="0.2">
      <c r="S242" s="11" t="s">
        <v>2405</v>
      </c>
      <c r="T242" s="20">
        <v>2.1461375500000002</v>
      </c>
      <c r="U242" s="39"/>
    </row>
    <row r="243" spans="1:21" x14ac:dyDescent="0.2">
      <c r="A243" s="42"/>
      <c r="S243" s="11" t="s">
        <v>711</v>
      </c>
      <c r="T243" s="20">
        <v>2.1460555700000001</v>
      </c>
      <c r="U243" s="39"/>
    </row>
    <row r="244" spans="1:21" x14ac:dyDescent="0.2">
      <c r="S244" s="11" t="s">
        <v>5151</v>
      </c>
      <c r="T244" s="20">
        <v>2.1402167599999999</v>
      </c>
      <c r="U244" s="39"/>
    </row>
    <row r="245" spans="1:21" x14ac:dyDescent="0.2">
      <c r="A245" s="42"/>
      <c r="S245" s="11" t="s">
        <v>14846</v>
      </c>
      <c r="T245" s="20">
        <v>2.1308901699999998</v>
      </c>
      <c r="U245" s="39"/>
    </row>
    <row r="246" spans="1:21" x14ac:dyDescent="0.2">
      <c r="A246" s="42"/>
      <c r="S246" s="11" t="s">
        <v>5800</v>
      </c>
      <c r="T246" s="20">
        <v>2.1268589100000002</v>
      </c>
      <c r="U246" s="39"/>
    </row>
    <row r="247" spans="1:21" x14ac:dyDescent="0.2">
      <c r="A247" s="42"/>
      <c r="S247" s="11" t="s">
        <v>14452</v>
      </c>
      <c r="T247" s="20">
        <v>2.11454648</v>
      </c>
      <c r="U247" s="39"/>
    </row>
    <row r="248" spans="1:21" x14ac:dyDescent="0.2">
      <c r="A248" s="42"/>
      <c r="S248" s="11" t="s">
        <v>14732</v>
      </c>
      <c r="T248" s="20">
        <v>2.1104118999999999</v>
      </c>
      <c r="U248" s="39"/>
    </row>
    <row r="249" spans="1:21" x14ac:dyDescent="0.2">
      <c r="S249" s="11" t="s">
        <v>1123</v>
      </c>
      <c r="T249" s="20">
        <v>2.1018122699999999</v>
      </c>
      <c r="U249" s="39"/>
    </row>
    <row r="250" spans="1:21" x14ac:dyDescent="0.2">
      <c r="A250" s="42"/>
      <c r="S250" s="11" t="s">
        <v>2511</v>
      </c>
      <c r="T250" s="20">
        <v>2.0950321299999999</v>
      </c>
      <c r="U250" s="39"/>
    </row>
    <row r="251" spans="1:21" x14ac:dyDescent="0.2">
      <c r="A251" s="42"/>
      <c r="S251" s="11" t="s">
        <v>1295</v>
      </c>
      <c r="T251" s="20">
        <v>2.0911383699999999</v>
      </c>
      <c r="U251" s="39"/>
    </row>
    <row r="252" spans="1:21" x14ac:dyDescent="0.2">
      <c r="S252" s="10" t="s">
        <v>8887</v>
      </c>
      <c r="T252" s="20">
        <v>2.0871557869853428</v>
      </c>
      <c r="U252" s="39"/>
    </row>
    <row r="253" spans="1:21" x14ac:dyDescent="0.2">
      <c r="A253" s="42"/>
      <c r="S253" s="11" t="s">
        <v>14029</v>
      </c>
      <c r="T253" s="20">
        <v>2.07907866</v>
      </c>
      <c r="U253" s="39"/>
    </row>
    <row r="254" spans="1:21" x14ac:dyDescent="0.2">
      <c r="S254" s="11" t="s">
        <v>10801</v>
      </c>
      <c r="T254" s="20">
        <v>2.0747279999999999</v>
      </c>
      <c r="U254" s="39"/>
    </row>
    <row r="255" spans="1:21" x14ac:dyDescent="0.2">
      <c r="A255" s="42"/>
      <c r="S255" s="11" t="s">
        <v>14000</v>
      </c>
      <c r="T255" s="20">
        <v>2.0621125600000001</v>
      </c>
      <c r="U255" s="39"/>
    </row>
    <row r="256" spans="1:21" x14ac:dyDescent="0.2">
      <c r="A256" s="42"/>
      <c r="S256" s="11" t="s">
        <v>11573</v>
      </c>
      <c r="T256" s="20">
        <v>2.054189</v>
      </c>
      <c r="U256" s="39"/>
    </row>
    <row r="257" spans="1:21" x14ac:dyDescent="0.2">
      <c r="A257" s="42"/>
      <c r="S257" s="11" t="s">
        <v>14425</v>
      </c>
      <c r="T257" s="20">
        <v>2.0410746</v>
      </c>
      <c r="U257" s="39"/>
    </row>
    <row r="258" spans="1:21" x14ac:dyDescent="0.2">
      <c r="A258" s="42"/>
      <c r="S258" s="11" t="s">
        <v>6070</v>
      </c>
      <c r="T258" s="20">
        <v>2.0385904099999999</v>
      </c>
      <c r="U258" s="39"/>
    </row>
    <row r="259" spans="1:21" x14ac:dyDescent="0.2">
      <c r="A259" s="42"/>
      <c r="S259" s="11" t="s">
        <v>3546</v>
      </c>
      <c r="T259" s="20">
        <v>2.0302970400000002</v>
      </c>
      <c r="U259" s="39"/>
    </row>
    <row r="260" spans="1:21" x14ac:dyDescent="0.2">
      <c r="A260" s="42"/>
      <c r="S260" s="11" t="s">
        <v>1674</v>
      </c>
      <c r="T260" s="20">
        <v>2.0183022500000001</v>
      </c>
      <c r="U260" s="39"/>
    </row>
    <row r="261" spans="1:21" x14ac:dyDescent="0.2">
      <c r="A261" s="42"/>
      <c r="S261" s="11" t="s">
        <v>14117</v>
      </c>
      <c r="T261" s="20">
        <v>2.0162053499999999</v>
      </c>
      <c r="U261" s="39"/>
    </row>
    <row r="262" spans="1:21" x14ac:dyDescent="0.2">
      <c r="A262" s="42"/>
      <c r="S262" s="10" t="s">
        <v>14847</v>
      </c>
      <c r="T262" s="21">
        <v>2.0051368904255464</v>
      </c>
      <c r="U262" s="40"/>
    </row>
    <row r="263" spans="1:21" x14ac:dyDescent="0.2">
      <c r="A263" s="42"/>
      <c r="S263" s="22" t="s">
        <v>14848</v>
      </c>
      <c r="T263" s="23" t="s">
        <v>14849</v>
      </c>
      <c r="U263" s="39" t="s">
        <v>14929</v>
      </c>
    </row>
    <row r="264" spans="1:21" x14ac:dyDescent="0.2">
      <c r="A264" s="42"/>
      <c r="S264" s="22" t="s">
        <v>6225</v>
      </c>
      <c r="T264" s="23" t="s">
        <v>14849</v>
      </c>
      <c r="U264" s="39" t="s">
        <v>14888</v>
      </c>
    </row>
    <row r="265" spans="1:21" x14ac:dyDescent="0.2">
      <c r="A265" s="42"/>
      <c r="S265" s="22" t="s">
        <v>14850</v>
      </c>
      <c r="T265" s="23" t="s">
        <v>14849</v>
      </c>
      <c r="U265" s="39"/>
    </row>
    <row r="266" spans="1:21" x14ac:dyDescent="0.2">
      <c r="A266" s="42"/>
      <c r="S266" s="22" t="s">
        <v>14851</v>
      </c>
      <c r="T266" s="23" t="s">
        <v>14849</v>
      </c>
      <c r="U266" s="39"/>
    </row>
    <row r="267" spans="1:21" x14ac:dyDescent="0.2">
      <c r="A267" s="42"/>
      <c r="S267" s="22" t="s">
        <v>14163</v>
      </c>
      <c r="T267" s="23" t="s">
        <v>14849</v>
      </c>
      <c r="U267" s="39"/>
    </row>
    <row r="268" spans="1:21" x14ac:dyDescent="0.2">
      <c r="A268" s="42"/>
      <c r="S268" s="22" t="s">
        <v>14852</v>
      </c>
      <c r="T268" s="23" t="s">
        <v>14849</v>
      </c>
      <c r="U268" s="39"/>
    </row>
    <row r="269" spans="1:21" x14ac:dyDescent="0.2">
      <c r="A269" s="42"/>
      <c r="S269" s="22" t="s">
        <v>14853</v>
      </c>
      <c r="T269" s="23" t="s">
        <v>14849</v>
      </c>
      <c r="U269" s="39"/>
    </row>
    <row r="270" spans="1:21" x14ac:dyDescent="0.2">
      <c r="A270" s="42"/>
      <c r="S270" s="22" t="s">
        <v>14183</v>
      </c>
      <c r="T270" s="23" t="s">
        <v>14849</v>
      </c>
      <c r="U270" s="39"/>
    </row>
    <row r="271" spans="1:21" x14ac:dyDescent="0.2">
      <c r="S271" s="22" t="s">
        <v>14165</v>
      </c>
      <c r="T271" s="23" t="s">
        <v>14849</v>
      </c>
      <c r="U271" s="39"/>
    </row>
    <row r="272" spans="1:21" x14ac:dyDescent="0.2">
      <c r="A272" s="42"/>
      <c r="S272" s="22" t="s">
        <v>14854</v>
      </c>
      <c r="T272" s="23" t="s">
        <v>14849</v>
      </c>
      <c r="U272" s="39"/>
    </row>
    <row r="273" spans="1:21" x14ac:dyDescent="0.2">
      <c r="A273" s="42"/>
      <c r="S273" s="22" t="s">
        <v>14855</v>
      </c>
      <c r="T273" s="23" t="s">
        <v>14849</v>
      </c>
      <c r="U273" s="39"/>
    </row>
    <row r="274" spans="1:21" x14ac:dyDescent="0.2">
      <c r="A274" s="42"/>
      <c r="S274" s="22" t="s">
        <v>11544</v>
      </c>
      <c r="T274" s="23" t="s">
        <v>14849</v>
      </c>
      <c r="U274" s="39"/>
    </row>
    <row r="275" spans="1:21" x14ac:dyDescent="0.2">
      <c r="A275" s="42"/>
      <c r="S275" s="22" t="s">
        <v>10878</v>
      </c>
      <c r="T275" s="23" t="s">
        <v>14849</v>
      </c>
      <c r="U275" s="39"/>
    </row>
    <row r="276" spans="1:21" x14ac:dyDescent="0.2">
      <c r="A276" s="42"/>
      <c r="S276" s="22" t="s">
        <v>14856</v>
      </c>
      <c r="T276" s="23" t="s">
        <v>14849</v>
      </c>
      <c r="U276" s="39"/>
    </row>
    <row r="277" spans="1:21" x14ac:dyDescent="0.2">
      <c r="A277" s="42"/>
      <c r="S277" s="22" t="s">
        <v>14857</v>
      </c>
      <c r="T277" s="23" t="s">
        <v>14849</v>
      </c>
      <c r="U277" s="39"/>
    </row>
    <row r="278" spans="1:21" x14ac:dyDescent="0.2">
      <c r="A278" s="42"/>
      <c r="S278" s="22" t="s">
        <v>14858</v>
      </c>
      <c r="T278" s="23" t="s">
        <v>14849</v>
      </c>
      <c r="U278" s="39"/>
    </row>
    <row r="279" spans="1:21" x14ac:dyDescent="0.2">
      <c r="A279" s="42"/>
      <c r="S279" s="22" t="s">
        <v>14859</v>
      </c>
      <c r="T279" s="23" t="s">
        <v>14849</v>
      </c>
      <c r="U279" s="39"/>
    </row>
    <row r="280" spans="1:21" x14ac:dyDescent="0.2">
      <c r="S280" s="22" t="s">
        <v>14860</v>
      </c>
      <c r="T280" s="23" t="s">
        <v>14849</v>
      </c>
      <c r="U280" s="39"/>
    </row>
    <row r="281" spans="1:21" x14ac:dyDescent="0.2">
      <c r="S281" s="22" t="s">
        <v>14516</v>
      </c>
      <c r="T281" s="23" t="s">
        <v>14849</v>
      </c>
      <c r="U281" s="39"/>
    </row>
    <row r="282" spans="1:21" x14ac:dyDescent="0.2">
      <c r="S282" s="22" t="s">
        <v>14861</v>
      </c>
      <c r="T282" s="23" t="s">
        <v>14849</v>
      </c>
      <c r="U282" s="39"/>
    </row>
    <row r="283" spans="1:21" x14ac:dyDescent="0.2">
      <c r="S283" s="22" t="s">
        <v>13446</v>
      </c>
      <c r="T283" s="23" t="s">
        <v>14849</v>
      </c>
      <c r="U283" s="39"/>
    </row>
    <row r="284" spans="1:21" x14ac:dyDescent="0.2">
      <c r="S284" s="22" t="s">
        <v>14160</v>
      </c>
      <c r="T284" s="23" t="s">
        <v>14849</v>
      </c>
      <c r="U284" s="39"/>
    </row>
    <row r="285" spans="1:21" x14ac:dyDescent="0.2">
      <c r="S285" s="22" t="s">
        <v>4118</v>
      </c>
      <c r="T285" s="23" t="s">
        <v>14849</v>
      </c>
      <c r="U285" s="39"/>
    </row>
    <row r="286" spans="1:21" x14ac:dyDescent="0.2">
      <c r="S286" s="22" t="s">
        <v>14862</v>
      </c>
      <c r="T286" s="23" t="s">
        <v>14849</v>
      </c>
      <c r="U286" s="39"/>
    </row>
    <row r="287" spans="1:21" x14ac:dyDescent="0.2">
      <c r="S287" s="22" t="s">
        <v>8872</v>
      </c>
      <c r="T287" s="23" t="s">
        <v>14849</v>
      </c>
      <c r="U287" s="39"/>
    </row>
    <row r="288" spans="1:21" x14ac:dyDescent="0.2">
      <c r="S288" s="22" t="s">
        <v>11283</v>
      </c>
      <c r="T288" s="23" t="s">
        <v>14849</v>
      </c>
      <c r="U288" s="39"/>
    </row>
    <row r="289" spans="19:21" x14ac:dyDescent="0.2">
      <c r="S289" s="22" t="s">
        <v>14863</v>
      </c>
      <c r="T289" s="23" t="s">
        <v>14849</v>
      </c>
      <c r="U289" s="39"/>
    </row>
  </sheetData>
  <autoFilter ref="A1:A154" xr:uid="{7EDF79E1-3559-754D-A88F-F71CD17C61EC}">
    <sortState xmlns:xlrd2="http://schemas.microsoft.com/office/spreadsheetml/2017/richdata2" ref="A2:Q283">
      <sortCondition sortBy="fontColor" ref="A1:A283" dxfId="166"/>
    </sortState>
  </autoFilter>
  <sortState xmlns:xlrd2="http://schemas.microsoft.com/office/spreadsheetml/2017/richdata2" ref="A2:Q318">
    <sortCondition descending="1" ref="E1:E318"/>
  </sortState>
  <conditionalFormatting sqref="A1">
    <cfRule type="duplicateValues" dxfId="127" priority="9"/>
    <cfRule type="duplicateValues" dxfId="126" priority="13"/>
    <cfRule type="duplicateValues" dxfId="125" priority="12"/>
    <cfRule type="duplicateValues" dxfId="124" priority="11"/>
    <cfRule type="duplicateValues" dxfId="123" priority="10"/>
  </conditionalFormatting>
  <conditionalFormatting sqref="A1:A1048576">
    <cfRule type="duplicateValues" dxfId="122" priority="1"/>
  </conditionalFormatting>
  <conditionalFormatting sqref="A50:A52">
    <cfRule type="duplicateValues" dxfId="121" priority="21"/>
    <cfRule type="duplicateValues" dxfId="120" priority="22"/>
  </conditionalFormatting>
  <conditionalFormatting sqref="A120:A146">
    <cfRule type="duplicateValues" dxfId="119" priority="3"/>
    <cfRule type="duplicateValues" dxfId="118" priority="2"/>
  </conditionalFormatting>
  <conditionalFormatting sqref="A147:A1048576 A1:A119">
    <cfRule type="duplicateValues" dxfId="117" priority="4"/>
  </conditionalFormatting>
  <conditionalFormatting sqref="A246:A280">
    <cfRule type="duplicateValues" dxfId="116" priority="6"/>
    <cfRule type="duplicateValues" dxfId="115" priority="5"/>
  </conditionalFormatting>
  <conditionalFormatting sqref="A281:A1048576 A1:A69">
    <cfRule type="duplicateValues" dxfId="114" priority="8"/>
  </conditionalFormatting>
  <conditionalFormatting sqref="A281:A1048576 A1:A86">
    <cfRule type="duplicateValues" dxfId="113" priority="7"/>
  </conditionalFormatting>
  <conditionalFormatting sqref="A281:A1048576 A2:A31">
    <cfRule type="duplicateValues" dxfId="112" priority="27"/>
  </conditionalFormatting>
  <conditionalFormatting sqref="A281:A1048576 A2:A49">
    <cfRule type="duplicateValues" dxfId="111" priority="23"/>
  </conditionalFormatting>
  <conditionalFormatting sqref="A281:A1048576 A2:A52">
    <cfRule type="duplicateValues" dxfId="110" priority="20"/>
  </conditionalFormatting>
  <conditionalFormatting sqref="A281:A1048576">
    <cfRule type="duplicateValues" dxfId="109" priority="18"/>
    <cfRule type="duplicateValues" dxfId="108" priority="26"/>
  </conditionalFormatting>
  <conditionalFormatting sqref="S228:S262">
    <cfRule type="duplicateValues" dxfId="107" priority="16"/>
    <cfRule type="duplicateValues" dxfId="106" priority="17"/>
  </conditionalFormatting>
  <conditionalFormatting sqref="S263:S289">
    <cfRule type="duplicateValues" dxfId="105" priority="14"/>
    <cfRule type="duplicateValues" dxfId="104" priority="15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7CC2-0F4B-B74D-9102-0C0066A7415A}">
  <dimension ref="A1:V11640"/>
  <sheetViews>
    <sheetView workbookViewId="0">
      <pane ySplit="1" topLeftCell="A2" activePane="bottomLeft" state="frozen"/>
      <selection pane="bottomLeft" activeCell="P11" sqref="P11"/>
    </sheetView>
  </sheetViews>
  <sheetFormatPr baseColWidth="10" defaultRowHeight="16" x14ac:dyDescent="0.2"/>
  <cols>
    <col min="1" max="1" width="12.33203125" style="24" customWidth="1"/>
    <col min="2" max="2" width="11.6640625" style="24" customWidth="1"/>
    <col min="3" max="12" width="10.83203125" style="24"/>
    <col min="13" max="13" width="12.6640625" style="24" customWidth="1"/>
    <col min="14" max="15" width="10.83203125" style="24"/>
    <col min="16" max="16" width="18.83203125" style="24" customWidth="1"/>
    <col min="17" max="18" width="10.83203125" style="24"/>
    <col min="19" max="19" width="30.83203125" style="24" customWidth="1"/>
    <col min="20" max="20" width="10.5" style="24" customWidth="1"/>
    <col min="21" max="21" width="28" style="24" customWidth="1"/>
    <col min="22" max="22" width="89.83203125" style="24" customWidth="1"/>
    <col min="23" max="16384" width="10.83203125" style="24"/>
  </cols>
  <sheetData>
    <row r="1" spans="1:22" x14ac:dyDescent="0.2">
      <c r="A1" s="7" t="s">
        <v>14896</v>
      </c>
      <c r="B1" s="7" t="s">
        <v>14890</v>
      </c>
      <c r="C1" s="7" t="s">
        <v>14892</v>
      </c>
      <c r="D1" s="7" t="s">
        <v>14789</v>
      </c>
      <c r="E1" s="7" t="s">
        <v>14800</v>
      </c>
      <c r="F1" s="7" t="s">
        <v>14889</v>
      </c>
      <c r="G1" s="7" t="s">
        <v>9</v>
      </c>
      <c r="H1" s="7" t="s">
        <v>10</v>
      </c>
      <c r="I1" s="7" t="s">
        <v>11</v>
      </c>
      <c r="J1" s="7" t="s">
        <v>14792</v>
      </c>
      <c r="K1" s="7" t="s">
        <v>14864</v>
      </c>
      <c r="L1" s="7" t="s">
        <v>14865</v>
      </c>
      <c r="M1" s="7" t="s">
        <v>14866</v>
      </c>
      <c r="N1" s="7" t="s">
        <v>14872</v>
      </c>
      <c r="O1" s="7" t="s">
        <v>14923</v>
      </c>
      <c r="P1" s="7" t="s">
        <v>14932</v>
      </c>
      <c r="Q1" s="7" t="s">
        <v>14803</v>
      </c>
      <c r="S1" s="7" t="s">
        <v>14925</v>
      </c>
      <c r="T1" s="7" t="s">
        <v>14804</v>
      </c>
      <c r="U1" s="7"/>
      <c r="V1" s="7" t="s">
        <v>14919</v>
      </c>
    </row>
    <row r="2" spans="1:22" x14ac:dyDescent="0.2">
      <c r="A2" s="22" t="str">
        <f>"R102.2"</f>
        <v>R102.2</v>
      </c>
      <c r="B2" s="22" t="s">
        <v>9490</v>
      </c>
      <c r="C2" s="22" t="s">
        <v>9491</v>
      </c>
      <c r="D2" s="22" t="s">
        <v>29</v>
      </c>
      <c r="E2" s="22" t="str">
        <f t="shared" ref="E2:E33" si="0">IFERROR(2^D2, "NA")</f>
        <v>NA</v>
      </c>
      <c r="F2" s="22" t="s">
        <v>29</v>
      </c>
      <c r="G2" s="22" t="s">
        <v>14849</v>
      </c>
      <c r="H2" s="22" t="s">
        <v>14849</v>
      </c>
      <c r="I2" s="22" t="s">
        <v>14849</v>
      </c>
      <c r="J2" s="22" t="s">
        <v>14849</v>
      </c>
      <c r="K2" s="22">
        <v>19.1732182076275</v>
      </c>
      <c r="L2" s="22">
        <v>19.517289305666399</v>
      </c>
      <c r="M2" s="22">
        <v>19.9588000546938</v>
      </c>
      <c r="N2" s="22">
        <f t="shared" ref="N2:N33" si="1">(K2+L2+M2)/3</f>
        <v>19.549769189329229</v>
      </c>
      <c r="O2" s="22" t="str">
        <f t="shared" ref="O2:O33" si="2">IFERROR(INDEX(T:T, MATCH(A2, S:S, 0)), "ND")</f>
        <v>ND</v>
      </c>
      <c r="P2" s="22" t="str">
        <f t="shared" ref="P2:P33" si="3">IFERROR(E2/O2, "NA")</f>
        <v>NA</v>
      </c>
      <c r="Q2" s="24" t="s">
        <v>14920</v>
      </c>
      <c r="S2" s="12" t="s">
        <v>5634</v>
      </c>
      <c r="T2" s="13">
        <v>131.944345</v>
      </c>
      <c r="U2" s="39" t="s">
        <v>14926</v>
      </c>
      <c r="V2" s="24" t="s">
        <v>14916</v>
      </c>
    </row>
    <row r="3" spans="1:22" x14ac:dyDescent="0.2">
      <c r="A3" s="10" t="str">
        <f>"tap-1"</f>
        <v>tap-1</v>
      </c>
      <c r="B3" s="10" t="s">
        <v>1669</v>
      </c>
      <c r="C3" s="10" t="s">
        <v>1671</v>
      </c>
      <c r="D3" s="10" t="s">
        <v>29</v>
      </c>
      <c r="E3" s="10" t="str">
        <f t="shared" si="0"/>
        <v>NA</v>
      </c>
      <c r="F3" s="10" t="s">
        <v>29</v>
      </c>
      <c r="G3" s="10" t="s">
        <v>14849</v>
      </c>
      <c r="H3" s="10" t="s">
        <v>14849</v>
      </c>
      <c r="I3" s="10" t="s">
        <v>14849</v>
      </c>
      <c r="J3" s="10" t="s">
        <v>14849</v>
      </c>
      <c r="K3" s="10">
        <v>16.9161737474716</v>
      </c>
      <c r="L3" s="10">
        <v>17.8237898696113</v>
      </c>
      <c r="M3" s="10">
        <v>17.868127131254301</v>
      </c>
      <c r="N3" s="10">
        <f t="shared" si="1"/>
        <v>17.536030249445734</v>
      </c>
      <c r="O3" s="10">
        <f t="shared" si="2"/>
        <v>2.7583972946551407</v>
      </c>
      <c r="P3" s="10" t="str">
        <f t="shared" si="3"/>
        <v>NA</v>
      </c>
      <c r="Q3" s="60" t="s">
        <v>14921</v>
      </c>
      <c r="S3" s="12" t="s">
        <v>8063</v>
      </c>
      <c r="T3" s="13">
        <v>58.276928099999999</v>
      </c>
      <c r="U3" s="39" t="s">
        <v>14917</v>
      </c>
      <c r="V3" s="24" t="s">
        <v>14918</v>
      </c>
    </row>
    <row r="4" spans="1:22" x14ac:dyDescent="0.2">
      <c r="A4" s="60" t="str">
        <f>"Y54G2A.40"</f>
        <v>Y54G2A.40</v>
      </c>
      <c r="B4" s="24" t="s">
        <v>10528</v>
      </c>
      <c r="C4" s="24" t="s">
        <v>214</v>
      </c>
      <c r="D4" s="24" t="s">
        <v>29</v>
      </c>
      <c r="E4" s="24" t="str">
        <f t="shared" si="0"/>
        <v>NA</v>
      </c>
      <c r="F4" s="24" t="s">
        <v>29</v>
      </c>
      <c r="G4" s="24" t="s">
        <v>14849</v>
      </c>
      <c r="H4" s="24" t="s">
        <v>14849</v>
      </c>
      <c r="I4" s="24" t="s">
        <v>14849</v>
      </c>
      <c r="J4" s="24" t="s">
        <v>14849</v>
      </c>
      <c r="K4" s="24">
        <v>16.559013879825599</v>
      </c>
      <c r="L4" s="24">
        <v>16.994701746205401</v>
      </c>
      <c r="M4" s="24">
        <v>17.334087011125501</v>
      </c>
      <c r="N4" s="24">
        <f t="shared" si="1"/>
        <v>16.962600879052165</v>
      </c>
      <c r="O4" s="24" t="str">
        <f t="shared" si="2"/>
        <v>ND</v>
      </c>
      <c r="P4" s="24" t="str">
        <f t="shared" si="3"/>
        <v>NA</v>
      </c>
      <c r="S4" s="12" t="s">
        <v>14173</v>
      </c>
      <c r="T4" s="13">
        <v>45.449789099999997</v>
      </c>
      <c r="U4" s="39"/>
      <c r="V4" s="24" t="s">
        <v>14930</v>
      </c>
    </row>
    <row r="5" spans="1:22" x14ac:dyDescent="0.2">
      <c r="A5" s="24" t="str">
        <f>"M01H9.3"</f>
        <v>M01H9.3</v>
      </c>
      <c r="B5" s="24" t="s">
        <v>2517</v>
      </c>
      <c r="C5" s="24" t="s">
        <v>2518</v>
      </c>
      <c r="D5" s="24" t="s">
        <v>29</v>
      </c>
      <c r="E5" s="24" t="str">
        <f t="shared" si="0"/>
        <v>NA</v>
      </c>
      <c r="F5" s="24" t="s">
        <v>29</v>
      </c>
      <c r="G5" s="24" t="s">
        <v>14849</v>
      </c>
      <c r="H5" s="24" t="s">
        <v>14849</v>
      </c>
      <c r="I5" s="24" t="s">
        <v>14849</v>
      </c>
      <c r="J5" s="24" t="s">
        <v>14849</v>
      </c>
      <c r="K5" s="24">
        <v>16.939065543609601</v>
      </c>
      <c r="L5" s="24">
        <v>17.400783030521101</v>
      </c>
      <c r="M5" s="24">
        <v>16.470549623908902</v>
      </c>
      <c r="N5" s="24">
        <f t="shared" si="1"/>
        <v>16.936799399346533</v>
      </c>
      <c r="O5" s="24" t="str">
        <f t="shared" si="2"/>
        <v>ND</v>
      </c>
      <c r="P5" s="24" t="str">
        <f t="shared" si="3"/>
        <v>NA</v>
      </c>
      <c r="S5" s="12" t="s">
        <v>3109</v>
      </c>
      <c r="T5" s="13">
        <v>28.1004726</v>
      </c>
      <c r="U5" s="39"/>
      <c r="V5" s="24" t="s">
        <v>14931</v>
      </c>
    </row>
    <row r="6" spans="1:22" x14ac:dyDescent="0.2">
      <c r="A6" s="22" t="str">
        <f>"Y62E10A.13"</f>
        <v>Y62E10A.13</v>
      </c>
      <c r="B6" s="22" t="s">
        <v>26</v>
      </c>
      <c r="C6" s="22" t="s">
        <v>27</v>
      </c>
      <c r="D6" s="22" t="s">
        <v>29</v>
      </c>
      <c r="E6" s="22" t="str">
        <f t="shared" si="0"/>
        <v>NA</v>
      </c>
      <c r="F6" s="22" t="s">
        <v>29</v>
      </c>
      <c r="G6" s="22" t="s">
        <v>14849</v>
      </c>
      <c r="H6" s="22" t="s">
        <v>14849</v>
      </c>
      <c r="I6" s="22" t="s">
        <v>14849</v>
      </c>
      <c r="J6" s="22" t="s">
        <v>14849</v>
      </c>
      <c r="K6" s="22">
        <v>14.1484987859003</v>
      </c>
      <c r="L6" s="22">
        <v>16.062091862567101</v>
      </c>
      <c r="M6" s="22">
        <v>15.267704565716199</v>
      </c>
      <c r="N6" s="22">
        <f t="shared" si="1"/>
        <v>15.159431738061201</v>
      </c>
      <c r="O6" s="22" t="str">
        <f t="shared" si="2"/>
        <v>ND</v>
      </c>
      <c r="P6" s="22" t="str">
        <f t="shared" si="3"/>
        <v>NA</v>
      </c>
      <c r="S6" s="12" t="s">
        <v>4604</v>
      </c>
      <c r="T6" s="13">
        <v>27.4262218</v>
      </c>
      <c r="U6" s="39"/>
    </row>
    <row r="7" spans="1:22" x14ac:dyDescent="0.2">
      <c r="A7" s="10" t="str">
        <f>"F25H8.2"</f>
        <v>F25H8.2</v>
      </c>
      <c r="B7" s="10" t="s">
        <v>8431</v>
      </c>
      <c r="C7" s="10" t="s">
        <v>8432</v>
      </c>
      <c r="D7" s="10" t="s">
        <v>29</v>
      </c>
      <c r="E7" s="10" t="str">
        <f t="shared" si="0"/>
        <v>NA</v>
      </c>
      <c r="F7" s="10" t="s">
        <v>29</v>
      </c>
      <c r="G7" s="10" t="s">
        <v>14849</v>
      </c>
      <c r="H7" s="10" t="s">
        <v>14849</v>
      </c>
      <c r="I7" s="10" t="s">
        <v>14849</v>
      </c>
      <c r="J7" s="10" t="s">
        <v>14849</v>
      </c>
      <c r="K7" s="10">
        <v>14.930697119774001</v>
      </c>
      <c r="L7" s="10">
        <v>15.2975395124759</v>
      </c>
      <c r="M7" s="10">
        <v>15.0750976187866</v>
      </c>
      <c r="N7" s="10">
        <f t="shared" si="1"/>
        <v>15.101111417012168</v>
      </c>
      <c r="O7" s="10">
        <f t="shared" si="2"/>
        <v>2.7286739180665229</v>
      </c>
      <c r="P7" s="10" t="str">
        <f t="shared" si="3"/>
        <v>NA</v>
      </c>
      <c r="S7" s="12" t="s">
        <v>14303</v>
      </c>
      <c r="T7" s="13">
        <v>25.5388345</v>
      </c>
      <c r="U7" s="39"/>
    </row>
    <row r="8" spans="1:22" x14ac:dyDescent="0.2">
      <c r="A8" s="10" t="str">
        <f>"mdt-4"</f>
        <v>mdt-4</v>
      </c>
      <c r="B8" s="10" t="s">
        <v>10297</v>
      </c>
      <c r="C8" s="10" t="s">
        <v>10299</v>
      </c>
      <c r="D8" s="10" t="s">
        <v>29</v>
      </c>
      <c r="E8" s="10" t="str">
        <f t="shared" si="0"/>
        <v>NA</v>
      </c>
      <c r="F8" s="10" t="s">
        <v>29</v>
      </c>
      <c r="G8" s="10" t="s">
        <v>14849</v>
      </c>
      <c r="H8" s="10" t="s">
        <v>14849</v>
      </c>
      <c r="I8" s="10" t="s">
        <v>14849</v>
      </c>
      <c r="J8" s="10" t="s">
        <v>14849</v>
      </c>
      <c r="K8" s="10">
        <v>14.3439817304806</v>
      </c>
      <c r="L8" s="10">
        <v>14.6220737153887</v>
      </c>
      <c r="M8" s="10">
        <v>15.524145444242899</v>
      </c>
      <c r="N8" s="10">
        <f t="shared" si="1"/>
        <v>14.830066963370733</v>
      </c>
      <c r="O8" s="10">
        <f t="shared" si="2"/>
        <v>2.9140060499999998</v>
      </c>
      <c r="P8" s="10" t="str">
        <f t="shared" si="3"/>
        <v>NA</v>
      </c>
      <c r="S8" s="12" t="s">
        <v>1545</v>
      </c>
      <c r="T8" s="13">
        <v>19.488423999999998</v>
      </c>
      <c r="U8" s="39"/>
    </row>
    <row r="9" spans="1:22" x14ac:dyDescent="0.2">
      <c r="A9" s="10" t="str">
        <f>"ppfr-4"</f>
        <v>ppfr-4</v>
      </c>
      <c r="B9" s="10" t="s">
        <v>12485</v>
      </c>
      <c r="C9" s="10" t="s">
        <v>12487</v>
      </c>
      <c r="D9" s="10" t="s">
        <v>29</v>
      </c>
      <c r="E9" s="10" t="str">
        <f t="shared" si="0"/>
        <v>NA</v>
      </c>
      <c r="F9" s="10" t="s">
        <v>29</v>
      </c>
      <c r="G9" s="10" t="s">
        <v>14849</v>
      </c>
      <c r="H9" s="10" t="s">
        <v>14849</v>
      </c>
      <c r="I9" s="10" t="s">
        <v>14849</v>
      </c>
      <c r="J9" s="10" t="s">
        <v>14849</v>
      </c>
      <c r="K9" s="10">
        <v>14.435043910733</v>
      </c>
      <c r="L9" s="10">
        <v>14.3604625690642</v>
      </c>
      <c r="M9" s="10">
        <v>15.5665468809367</v>
      </c>
      <c r="N9" s="10">
        <f t="shared" si="1"/>
        <v>14.787351120244635</v>
      </c>
      <c r="O9" s="10">
        <f t="shared" si="2"/>
        <v>3.69990569</v>
      </c>
      <c r="P9" s="10" t="str">
        <f t="shared" si="3"/>
        <v>NA</v>
      </c>
      <c r="S9" s="12" t="s">
        <v>7421</v>
      </c>
      <c r="T9" s="13">
        <v>16.838587100000002</v>
      </c>
      <c r="U9" s="39"/>
    </row>
    <row r="10" spans="1:22" x14ac:dyDescent="0.2">
      <c r="A10" s="10" t="str">
        <f>"eef-1B.1"</f>
        <v>eef-1B.1</v>
      </c>
      <c r="B10" s="10" t="s">
        <v>5146</v>
      </c>
      <c r="C10" s="10" t="s">
        <v>5148</v>
      </c>
      <c r="D10" s="10" t="s">
        <v>29</v>
      </c>
      <c r="E10" s="10" t="str">
        <f t="shared" si="0"/>
        <v>NA</v>
      </c>
      <c r="F10" s="10" t="s">
        <v>29</v>
      </c>
      <c r="G10" s="10" t="s">
        <v>14849</v>
      </c>
      <c r="H10" s="10" t="s">
        <v>14849</v>
      </c>
      <c r="I10" s="10" t="s">
        <v>14849</v>
      </c>
      <c r="J10" s="10" t="s">
        <v>14849</v>
      </c>
      <c r="K10" s="10">
        <v>13.7681919672631</v>
      </c>
      <c r="L10" s="10">
        <v>14.4320340562751</v>
      </c>
      <c r="M10" s="10">
        <v>14.7526835693403</v>
      </c>
      <c r="N10" s="10">
        <f t="shared" si="1"/>
        <v>14.317636530959499</v>
      </c>
      <c r="O10" s="10">
        <f t="shared" si="2"/>
        <v>3.4624468677270763</v>
      </c>
      <c r="P10" s="10" t="str">
        <f t="shared" si="3"/>
        <v>NA</v>
      </c>
      <c r="S10" s="12" t="s">
        <v>13243</v>
      </c>
      <c r="T10" s="13">
        <v>15.862799600000001</v>
      </c>
      <c r="U10" s="39"/>
    </row>
    <row r="11" spans="1:22" x14ac:dyDescent="0.2">
      <c r="A11" s="22" t="str">
        <f>"T28F4.5"</f>
        <v>T28F4.5</v>
      </c>
      <c r="B11" s="22" t="s">
        <v>9987</v>
      </c>
      <c r="C11" s="22" t="s">
        <v>368</v>
      </c>
      <c r="D11" s="22" t="s">
        <v>29</v>
      </c>
      <c r="E11" s="22" t="str">
        <f t="shared" si="0"/>
        <v>NA</v>
      </c>
      <c r="F11" s="22" t="s">
        <v>29</v>
      </c>
      <c r="G11" s="22" t="s">
        <v>14849</v>
      </c>
      <c r="H11" s="22" t="s">
        <v>14849</v>
      </c>
      <c r="I11" s="22" t="s">
        <v>14849</v>
      </c>
      <c r="J11" s="22" t="s">
        <v>14849</v>
      </c>
      <c r="K11" s="22">
        <v>13.3105331055887</v>
      </c>
      <c r="L11" s="22">
        <v>14.2610041578008</v>
      </c>
      <c r="M11" s="22">
        <v>13.132200092098699</v>
      </c>
      <c r="N11" s="22">
        <f t="shared" si="1"/>
        <v>13.5679124518294</v>
      </c>
      <c r="O11" s="22" t="str">
        <f t="shared" si="2"/>
        <v>ND</v>
      </c>
      <c r="P11" s="22" t="str">
        <f t="shared" si="3"/>
        <v>NA</v>
      </c>
      <c r="S11" s="12" t="s">
        <v>236</v>
      </c>
      <c r="T11" s="13">
        <v>15.711251000000001</v>
      </c>
      <c r="U11" s="39"/>
    </row>
    <row r="12" spans="1:22" x14ac:dyDescent="0.2">
      <c r="A12" s="24" t="str">
        <f>"srp-2"</f>
        <v>srp-2</v>
      </c>
      <c r="B12" s="24" t="s">
        <v>3363</v>
      </c>
      <c r="C12" s="24" t="s">
        <v>599</v>
      </c>
      <c r="D12" s="24" t="s">
        <v>29</v>
      </c>
      <c r="E12" s="24" t="str">
        <f t="shared" si="0"/>
        <v>NA</v>
      </c>
      <c r="F12" s="24" t="s">
        <v>29</v>
      </c>
      <c r="G12" s="24" t="s">
        <v>14849</v>
      </c>
      <c r="H12" s="24" t="s">
        <v>14849</v>
      </c>
      <c r="I12" s="24" t="s">
        <v>14849</v>
      </c>
      <c r="J12" s="24" t="s">
        <v>14849</v>
      </c>
      <c r="K12" s="24">
        <v>13.5461395567501</v>
      </c>
      <c r="L12" s="24">
        <v>13.909913440962001</v>
      </c>
      <c r="M12" s="24">
        <v>12.8441820020969</v>
      </c>
      <c r="N12" s="24">
        <f t="shared" si="1"/>
        <v>13.433411666603</v>
      </c>
      <c r="O12" s="24" t="str">
        <f t="shared" si="2"/>
        <v>ND</v>
      </c>
      <c r="P12" s="24" t="str">
        <f t="shared" si="3"/>
        <v>NA</v>
      </c>
      <c r="S12" s="12" t="s">
        <v>2802</v>
      </c>
      <c r="T12" s="13">
        <v>15.4569776</v>
      </c>
      <c r="U12" s="39"/>
    </row>
    <row r="13" spans="1:22" x14ac:dyDescent="0.2">
      <c r="A13" s="10" t="str">
        <f>"clp-1"</f>
        <v>clp-1</v>
      </c>
      <c r="B13" s="10" t="s">
        <v>4978</v>
      </c>
      <c r="C13" s="10" t="s">
        <v>4980</v>
      </c>
      <c r="D13" s="10" t="s">
        <v>29</v>
      </c>
      <c r="E13" s="10" t="str">
        <f t="shared" si="0"/>
        <v>NA</v>
      </c>
      <c r="F13" s="10" t="s">
        <v>29</v>
      </c>
      <c r="G13" s="10" t="s">
        <v>14849</v>
      </c>
      <c r="H13" s="10" t="s">
        <v>14849</v>
      </c>
      <c r="I13" s="10" t="s">
        <v>14849</v>
      </c>
      <c r="J13" s="10" t="s">
        <v>14849</v>
      </c>
      <c r="K13" s="10">
        <v>12.173784977444599</v>
      </c>
      <c r="L13" s="10">
        <v>13.645877874236801</v>
      </c>
      <c r="M13" s="10">
        <v>14.098814535978899</v>
      </c>
      <c r="N13" s="10">
        <f t="shared" si="1"/>
        <v>13.3061591292201</v>
      </c>
      <c r="O13" s="10">
        <f t="shared" si="2"/>
        <v>2.3367719299999998</v>
      </c>
      <c r="P13" s="10" t="str">
        <f t="shared" si="3"/>
        <v>NA</v>
      </c>
      <c r="S13" s="12" t="s">
        <v>11562</v>
      </c>
      <c r="T13" s="13">
        <v>14.660895399999999</v>
      </c>
      <c r="U13" s="39"/>
    </row>
    <row r="14" spans="1:22" x14ac:dyDescent="0.2">
      <c r="A14" s="27" t="str">
        <f>"nekl-3"</f>
        <v>nekl-3</v>
      </c>
      <c r="B14" s="27" t="s">
        <v>1902</v>
      </c>
      <c r="C14" s="27" t="s">
        <v>1904</v>
      </c>
      <c r="D14" s="27">
        <v>8.0570554533880703</v>
      </c>
      <c r="E14" s="27">
        <f t="shared" si="0"/>
        <v>266.32710494359321</v>
      </c>
      <c r="F14" s="35">
        <v>3.48406879672705E-10</v>
      </c>
      <c r="G14" s="27">
        <v>12.2544733498094</v>
      </c>
      <c r="H14" s="27">
        <v>12.578076886291599</v>
      </c>
      <c r="I14" s="27">
        <v>12.269706398230401</v>
      </c>
      <c r="J14" s="27">
        <f t="shared" ref="J14:J45" si="4">AVERAGEIF(G14:I14, "&gt;0")</f>
        <v>12.367418878110465</v>
      </c>
      <c r="K14" s="27">
        <v>19.917264719319</v>
      </c>
      <c r="L14" s="27">
        <v>20.6675147884791</v>
      </c>
      <c r="M14" s="27">
        <v>20.688643486697501</v>
      </c>
      <c r="N14" s="27">
        <f t="shared" si="1"/>
        <v>20.424474331498534</v>
      </c>
      <c r="O14" s="27" t="str">
        <f t="shared" si="2"/>
        <v>ND</v>
      </c>
      <c r="P14" s="27" t="str">
        <f t="shared" si="3"/>
        <v>NA</v>
      </c>
      <c r="S14" s="12" t="s">
        <v>8188</v>
      </c>
      <c r="T14" s="13">
        <v>14.6257997</v>
      </c>
      <c r="U14" s="39"/>
    </row>
    <row r="15" spans="1:22" x14ac:dyDescent="0.2">
      <c r="A15" s="24" t="str">
        <f>"cdkr-3"</f>
        <v>cdkr-3</v>
      </c>
      <c r="B15" s="24" t="s">
        <v>13319</v>
      </c>
      <c r="C15" s="24" t="s">
        <v>13321</v>
      </c>
      <c r="D15" s="24">
        <v>4.0025948549921004</v>
      </c>
      <c r="E15" s="24">
        <f t="shared" si="0"/>
        <v>16.028803758439185</v>
      </c>
      <c r="F15" s="29">
        <v>1.8583783594169601E-8</v>
      </c>
      <c r="G15" s="24">
        <v>9.3746290607799398</v>
      </c>
      <c r="H15" s="24">
        <v>9.0076505403956606</v>
      </c>
      <c r="I15" s="24" t="s">
        <v>14849</v>
      </c>
      <c r="J15" s="24">
        <f t="shared" si="4"/>
        <v>9.1911398005878002</v>
      </c>
      <c r="K15" s="24">
        <v>12.5725574172832</v>
      </c>
      <c r="L15" s="24">
        <v>13.287926952583801</v>
      </c>
      <c r="M15" s="24">
        <v>13.7207195968727</v>
      </c>
      <c r="N15" s="24">
        <f t="shared" si="1"/>
        <v>13.193734655579901</v>
      </c>
      <c r="O15" s="24" t="str">
        <f t="shared" si="2"/>
        <v>ND</v>
      </c>
      <c r="P15" s="24" t="str">
        <f t="shared" si="3"/>
        <v>NA</v>
      </c>
      <c r="S15" s="12" t="s">
        <v>3189</v>
      </c>
      <c r="T15" s="13">
        <v>13.513067700000001</v>
      </c>
      <c r="U15" s="39"/>
    </row>
    <row r="16" spans="1:22" x14ac:dyDescent="0.2">
      <c r="A16" s="10" t="str">
        <f>"fah-1"</f>
        <v>fah-1</v>
      </c>
      <c r="B16" s="10" t="s">
        <v>11370</v>
      </c>
      <c r="C16" s="10" t="s">
        <v>11372</v>
      </c>
      <c r="D16" s="10">
        <v>3.8115180590801701</v>
      </c>
      <c r="E16" s="10">
        <f t="shared" si="0"/>
        <v>14.040457679266868</v>
      </c>
      <c r="F16" s="32">
        <v>4.2505967103508899E-6</v>
      </c>
      <c r="G16" s="10" t="s">
        <v>14849</v>
      </c>
      <c r="H16" s="10">
        <v>10.947054000479399</v>
      </c>
      <c r="I16" s="10" t="s">
        <v>14849</v>
      </c>
      <c r="J16" s="10">
        <f t="shared" si="4"/>
        <v>10.947054000479399</v>
      </c>
      <c r="K16" s="10">
        <v>14.4699206038465</v>
      </c>
      <c r="L16" s="10">
        <v>14.7865618930691</v>
      </c>
      <c r="M16" s="10">
        <v>15.019233681763</v>
      </c>
      <c r="N16" s="10">
        <f t="shared" si="1"/>
        <v>14.758572059559533</v>
      </c>
      <c r="O16" s="10">
        <f t="shared" si="2"/>
        <v>2.7911792396759152</v>
      </c>
      <c r="P16" s="10">
        <f t="shared" si="3"/>
        <v>5.0302959694186855</v>
      </c>
      <c r="S16" s="12" t="s">
        <v>76</v>
      </c>
      <c r="T16" s="13">
        <v>13.279445000000001</v>
      </c>
      <c r="U16" s="39"/>
    </row>
    <row r="17" spans="1:21" x14ac:dyDescent="0.2">
      <c r="A17" s="10" t="str">
        <f>"natc-1"</f>
        <v>natc-1</v>
      </c>
      <c r="B17" s="10" t="s">
        <v>3298</v>
      </c>
      <c r="C17" s="10" t="s">
        <v>3300</v>
      </c>
      <c r="D17" s="10">
        <v>3.73597724678014</v>
      </c>
      <c r="E17" s="10">
        <f t="shared" si="0"/>
        <v>13.324202192039323</v>
      </c>
      <c r="F17" s="32">
        <v>3.9161654776410802E-6</v>
      </c>
      <c r="G17" s="10">
        <v>12.171743768465101</v>
      </c>
      <c r="H17" s="10">
        <v>11.878978978488099</v>
      </c>
      <c r="I17" s="10">
        <v>12.415713199401001</v>
      </c>
      <c r="J17" s="10">
        <f t="shared" si="4"/>
        <v>12.155478648784731</v>
      </c>
      <c r="K17" s="10">
        <v>16.023242154385301</v>
      </c>
      <c r="L17" s="10">
        <v>15.7701545254564</v>
      </c>
      <c r="M17" s="10">
        <v>15.8809710068527</v>
      </c>
      <c r="N17" s="10">
        <f t="shared" si="1"/>
        <v>15.891455895564798</v>
      </c>
      <c r="O17" s="10">
        <f t="shared" si="2"/>
        <v>4.4027046299999997</v>
      </c>
      <c r="P17" s="10">
        <f t="shared" si="3"/>
        <v>3.0263674972080339</v>
      </c>
      <c r="S17" s="12" t="s">
        <v>10385</v>
      </c>
      <c r="T17" s="13">
        <v>12.7803343</v>
      </c>
      <c r="U17" s="39"/>
    </row>
    <row r="18" spans="1:21" x14ac:dyDescent="0.2">
      <c r="A18" s="10" t="str">
        <f>"exc-15"</f>
        <v>exc-15</v>
      </c>
      <c r="B18" s="10" t="s">
        <v>9758</v>
      </c>
      <c r="C18" s="10" t="s">
        <v>6170</v>
      </c>
      <c r="D18" s="10">
        <v>3.6525134321669901</v>
      </c>
      <c r="E18" s="10">
        <f t="shared" si="0"/>
        <v>12.575234796028784</v>
      </c>
      <c r="F18" s="32">
        <v>2.8095992531541701E-5</v>
      </c>
      <c r="G18" s="10">
        <v>10.441976319323301</v>
      </c>
      <c r="H18" s="10" t="s">
        <v>14849</v>
      </c>
      <c r="I18" s="10" t="s">
        <v>14849</v>
      </c>
      <c r="J18" s="10">
        <f t="shared" si="4"/>
        <v>10.441976319323301</v>
      </c>
      <c r="K18" s="10">
        <v>13.967470937966601</v>
      </c>
      <c r="L18" s="10">
        <v>14.4653166480014</v>
      </c>
      <c r="M18" s="10">
        <v>13.8506816685028</v>
      </c>
      <c r="N18" s="10">
        <f t="shared" si="1"/>
        <v>14.094489751490267</v>
      </c>
      <c r="O18" s="10">
        <f t="shared" si="2"/>
        <v>4.2269197700000003</v>
      </c>
      <c r="P18" s="10">
        <f t="shared" si="3"/>
        <v>2.9750351272999875</v>
      </c>
      <c r="S18" s="12" t="s">
        <v>11175</v>
      </c>
      <c r="T18" s="13">
        <v>12.709663600000001</v>
      </c>
      <c r="U18" s="39"/>
    </row>
    <row r="19" spans="1:21" x14ac:dyDescent="0.2">
      <c r="A19" s="25" t="str">
        <f>"mlt-3"</f>
        <v>mlt-3</v>
      </c>
      <c r="B19" s="25" t="s">
        <v>13263</v>
      </c>
      <c r="C19" s="25" t="s">
        <v>4483</v>
      </c>
      <c r="D19" s="25">
        <v>3.5871922265189902</v>
      </c>
      <c r="E19" s="25">
        <f t="shared" si="0"/>
        <v>12.018560677132191</v>
      </c>
      <c r="F19" s="26">
        <v>5.7095593616893897E-6</v>
      </c>
      <c r="G19" s="25">
        <v>12.0313594007247</v>
      </c>
      <c r="H19" s="25">
        <v>10.1472465554517</v>
      </c>
      <c r="I19" s="25">
        <v>11.3353312261752</v>
      </c>
      <c r="J19" s="25">
        <f t="shared" si="4"/>
        <v>11.1713123941172</v>
      </c>
      <c r="K19" s="25">
        <v>14.1624945534264</v>
      </c>
      <c r="L19" s="25">
        <v>14.712963276319501</v>
      </c>
      <c r="M19" s="25">
        <v>15.4000560321628</v>
      </c>
      <c r="N19" s="25">
        <f t="shared" si="1"/>
        <v>14.758504620636232</v>
      </c>
      <c r="O19" s="25" t="str">
        <f t="shared" si="2"/>
        <v>ND</v>
      </c>
      <c r="P19" s="25" t="str">
        <f t="shared" si="3"/>
        <v>NA</v>
      </c>
      <c r="S19" s="12" t="s">
        <v>2196</v>
      </c>
      <c r="T19" s="13">
        <v>12.573299199999999</v>
      </c>
      <c r="U19" s="39"/>
    </row>
    <row r="20" spans="1:21" x14ac:dyDescent="0.2">
      <c r="A20" s="10" t="str">
        <f>"eif-2A"</f>
        <v>eif-2A</v>
      </c>
      <c r="B20" s="10" t="s">
        <v>8079</v>
      </c>
      <c r="C20" s="10" t="s">
        <v>8081</v>
      </c>
      <c r="D20" s="10">
        <v>3.4713331075555001</v>
      </c>
      <c r="E20" s="10">
        <f t="shared" si="0"/>
        <v>11.091119646625488</v>
      </c>
      <c r="F20" s="32">
        <v>2.96040376938995E-9</v>
      </c>
      <c r="G20" s="10">
        <v>12.369600254961799</v>
      </c>
      <c r="H20" s="10">
        <v>12.343046050931701</v>
      </c>
      <c r="I20" s="10">
        <v>12.295926181980001</v>
      </c>
      <c r="J20" s="10">
        <f t="shared" si="4"/>
        <v>12.336190829291168</v>
      </c>
      <c r="K20" s="10">
        <v>15.525778895549401</v>
      </c>
      <c r="L20" s="10">
        <v>16.2135234354378</v>
      </c>
      <c r="M20" s="10">
        <v>15.6832694795529</v>
      </c>
      <c r="N20" s="10">
        <f t="shared" si="1"/>
        <v>15.8075239368467</v>
      </c>
      <c r="O20" s="10">
        <f t="shared" si="2"/>
        <v>3.0728087799999999</v>
      </c>
      <c r="P20" s="10">
        <f t="shared" si="3"/>
        <v>3.6094402355311836</v>
      </c>
      <c r="S20" s="12" t="s">
        <v>8819</v>
      </c>
      <c r="T20" s="13">
        <v>11.9608679</v>
      </c>
      <c r="U20" s="39"/>
    </row>
    <row r="21" spans="1:21" x14ac:dyDescent="0.2">
      <c r="A21" s="24" t="str">
        <f>"bcc-1"</f>
        <v>bcc-1</v>
      </c>
      <c r="B21" s="24" t="s">
        <v>9356</v>
      </c>
      <c r="C21" s="24" t="s">
        <v>4483</v>
      </c>
      <c r="D21" s="24">
        <v>3.4678320268324598</v>
      </c>
      <c r="E21" s="24">
        <f t="shared" si="0"/>
        <v>11.064236746596562</v>
      </c>
      <c r="F21" s="29">
        <v>5.7095593616893897E-6</v>
      </c>
      <c r="G21" s="24">
        <v>12.1590463259011</v>
      </c>
      <c r="H21" s="24">
        <v>12.1598157288987</v>
      </c>
      <c r="I21" s="24">
        <v>12.947951243612399</v>
      </c>
      <c r="J21" s="24">
        <f t="shared" si="4"/>
        <v>12.422271099470734</v>
      </c>
      <c r="K21" s="24">
        <v>15.194334236669899</v>
      </c>
      <c r="L21" s="24">
        <v>16.043264597012801</v>
      </c>
      <c r="M21" s="24">
        <v>16.432710545226801</v>
      </c>
      <c r="N21" s="24">
        <f t="shared" si="1"/>
        <v>15.890103126303167</v>
      </c>
      <c r="O21" s="24" t="str">
        <f t="shared" si="2"/>
        <v>ND</v>
      </c>
      <c r="P21" s="24" t="str">
        <f t="shared" si="3"/>
        <v>NA</v>
      </c>
      <c r="S21" s="12" t="s">
        <v>6701</v>
      </c>
      <c r="T21" s="13">
        <v>11.410588000000001</v>
      </c>
      <c r="U21" s="39"/>
    </row>
    <row r="22" spans="1:21" x14ac:dyDescent="0.2">
      <c r="A22" s="10" t="str">
        <f>"sec-6"</f>
        <v>sec-6</v>
      </c>
      <c r="B22" s="10" t="s">
        <v>8164</v>
      </c>
      <c r="C22" s="10" t="s">
        <v>8166</v>
      </c>
      <c r="D22" s="10">
        <v>3.46195367864649</v>
      </c>
      <c r="E22" s="10">
        <f t="shared" si="0"/>
        <v>11.019246564754397</v>
      </c>
      <c r="F22" s="10">
        <v>1.9104040417674099E-3</v>
      </c>
      <c r="G22" s="10" t="s">
        <v>14849</v>
      </c>
      <c r="H22" s="10">
        <v>12.834371302891901</v>
      </c>
      <c r="I22" s="10" t="s">
        <v>14849</v>
      </c>
      <c r="J22" s="10">
        <f t="shared" si="4"/>
        <v>12.834371302891901</v>
      </c>
      <c r="K22" s="10">
        <v>16.1212411076833</v>
      </c>
      <c r="L22" s="10">
        <v>16.417010488631401</v>
      </c>
      <c r="M22" s="10">
        <v>16.350723348300502</v>
      </c>
      <c r="N22" s="10">
        <f t="shared" si="1"/>
        <v>16.296324981538401</v>
      </c>
      <c r="O22" s="10">
        <f t="shared" si="2"/>
        <v>3.2135458099999998</v>
      </c>
      <c r="P22" s="10">
        <f t="shared" si="3"/>
        <v>3.4289993721155003</v>
      </c>
      <c r="S22" s="12" t="s">
        <v>4114</v>
      </c>
      <c r="T22" s="13">
        <v>11.1537191</v>
      </c>
      <c r="U22" s="39"/>
    </row>
    <row r="23" spans="1:21" x14ac:dyDescent="0.2">
      <c r="A23" s="10" t="str">
        <f>"saps-1"</f>
        <v>saps-1</v>
      </c>
      <c r="B23" s="10" t="s">
        <v>627</v>
      </c>
      <c r="C23" s="10" t="s">
        <v>629</v>
      </c>
      <c r="D23" s="10">
        <v>3.4106942098460702</v>
      </c>
      <c r="E23" s="10">
        <f t="shared" si="0"/>
        <v>10.634602541900309</v>
      </c>
      <c r="F23" s="32">
        <v>1.46547035585966E-6</v>
      </c>
      <c r="G23" s="10">
        <v>10.2053593211016</v>
      </c>
      <c r="H23" s="10" t="s">
        <v>14849</v>
      </c>
      <c r="I23" s="10">
        <v>10.379090651613501</v>
      </c>
      <c r="J23" s="10">
        <f t="shared" si="4"/>
        <v>10.292224986357549</v>
      </c>
      <c r="K23" s="10">
        <v>12.8752027210306</v>
      </c>
      <c r="L23" s="10">
        <v>13.7281203844797</v>
      </c>
      <c r="M23" s="10">
        <v>14.505434483100499</v>
      </c>
      <c r="N23" s="10">
        <f t="shared" si="1"/>
        <v>13.702919196203601</v>
      </c>
      <c r="O23" s="10">
        <f t="shared" si="2"/>
        <v>3.7304220099999998</v>
      </c>
      <c r="P23" s="10">
        <f t="shared" si="3"/>
        <v>2.8507773419180285</v>
      </c>
      <c r="S23" s="12" t="s">
        <v>14177</v>
      </c>
      <c r="T23" s="13">
        <v>11.1474306</v>
      </c>
      <c r="U23" s="39"/>
    </row>
    <row r="24" spans="1:21" x14ac:dyDescent="0.2">
      <c r="A24" s="10" t="str">
        <f>"alfa-1"</f>
        <v>alfa-1</v>
      </c>
      <c r="B24" s="10" t="s">
        <v>11529</v>
      </c>
      <c r="C24" s="10" t="s">
        <v>11531</v>
      </c>
      <c r="D24" s="10">
        <v>3.4044493226907702</v>
      </c>
      <c r="E24" s="10">
        <f t="shared" si="0"/>
        <v>10.5886688123275</v>
      </c>
      <c r="F24" s="32">
        <v>4.8778083662718402E-6</v>
      </c>
      <c r="G24" s="10">
        <v>12.4065620262368</v>
      </c>
      <c r="H24" s="10">
        <v>12.247847300983899</v>
      </c>
      <c r="I24" s="10" t="s">
        <v>14849</v>
      </c>
      <c r="J24" s="10">
        <f t="shared" si="4"/>
        <v>12.327204663610349</v>
      </c>
      <c r="K24" s="10">
        <v>15.1848563708556</v>
      </c>
      <c r="L24" s="10">
        <v>15.663414547399301</v>
      </c>
      <c r="M24" s="10">
        <v>16.346691040648398</v>
      </c>
      <c r="N24" s="10">
        <f t="shared" si="1"/>
        <v>15.731653986301099</v>
      </c>
      <c r="O24" s="10">
        <f t="shared" si="2"/>
        <v>3.1386884199999998</v>
      </c>
      <c r="P24" s="10">
        <f t="shared" si="3"/>
        <v>3.3735966733287595</v>
      </c>
      <c r="S24" s="14" t="s">
        <v>7065</v>
      </c>
      <c r="T24" s="15">
        <v>10.739022063060709</v>
      </c>
      <c r="U24" s="40"/>
    </row>
    <row r="25" spans="1:21" x14ac:dyDescent="0.2">
      <c r="A25" s="10" t="str">
        <f>"glna-1"</f>
        <v>glna-1</v>
      </c>
      <c r="B25" s="10" t="s">
        <v>14087</v>
      </c>
      <c r="C25" s="10" t="s">
        <v>14089</v>
      </c>
      <c r="D25" s="10">
        <v>3.35144245227541</v>
      </c>
      <c r="E25" s="10">
        <f t="shared" si="0"/>
        <v>10.206684886013457</v>
      </c>
      <c r="F25" s="32">
        <v>1.11625008668312E-6</v>
      </c>
      <c r="G25" s="10">
        <v>12.3697535659718</v>
      </c>
      <c r="H25" s="10">
        <v>12.1749784944752</v>
      </c>
      <c r="I25" s="10">
        <v>12.224633985691099</v>
      </c>
      <c r="J25" s="10">
        <f t="shared" si="4"/>
        <v>12.2564553487127</v>
      </c>
      <c r="K25" s="10">
        <v>14.5932705228352</v>
      </c>
      <c r="L25" s="10">
        <v>16.011982214470098</v>
      </c>
      <c r="M25" s="10">
        <v>16.218440665658999</v>
      </c>
      <c r="N25" s="10">
        <f t="shared" si="1"/>
        <v>15.607897800988098</v>
      </c>
      <c r="O25" s="10">
        <f t="shared" si="2"/>
        <v>4.0005771499999998</v>
      </c>
      <c r="P25" s="10">
        <f t="shared" si="3"/>
        <v>2.5513031003572717</v>
      </c>
      <c r="S25" s="12" t="s">
        <v>6784</v>
      </c>
      <c r="T25" s="13">
        <v>10.478298199999999</v>
      </c>
      <c r="U25" s="39"/>
    </row>
    <row r="26" spans="1:21" x14ac:dyDescent="0.2">
      <c r="A26" s="24" t="str">
        <f>"edc-4"</f>
        <v>edc-4</v>
      </c>
      <c r="B26" s="24" t="s">
        <v>431</v>
      </c>
      <c r="C26" s="24" t="s">
        <v>433</v>
      </c>
      <c r="D26" s="24">
        <v>3.2947502515062901</v>
      </c>
      <c r="E26" s="24">
        <f t="shared" si="0"/>
        <v>9.8133808524364863</v>
      </c>
      <c r="F26" s="29">
        <v>1.4285328298076999E-8</v>
      </c>
      <c r="G26" s="24">
        <v>11.920371341518599</v>
      </c>
      <c r="H26" s="24">
        <v>11.454727761420401</v>
      </c>
      <c r="I26" s="24">
        <v>11.7757898023814</v>
      </c>
      <c r="J26" s="24">
        <f t="shared" si="4"/>
        <v>11.716962968440134</v>
      </c>
      <c r="K26" s="24">
        <v>14.8303826861244</v>
      </c>
      <c r="L26" s="24">
        <v>14.931973980028999</v>
      </c>
      <c r="M26" s="24">
        <v>15.2727829936858</v>
      </c>
      <c r="N26" s="24">
        <f t="shared" si="1"/>
        <v>15.011713219946401</v>
      </c>
      <c r="O26" s="24" t="str">
        <f t="shared" si="2"/>
        <v>ND</v>
      </c>
      <c r="P26" s="24" t="str">
        <f t="shared" si="3"/>
        <v>NA</v>
      </c>
      <c r="S26" s="12" t="s">
        <v>4012</v>
      </c>
      <c r="T26" s="13">
        <v>10.26802</v>
      </c>
      <c r="U26" s="39"/>
    </row>
    <row r="27" spans="1:21" x14ac:dyDescent="0.2">
      <c r="A27" s="10" t="str">
        <f>"K07E3.4"</f>
        <v>K07E3.4</v>
      </c>
      <c r="B27" s="10" t="s">
        <v>9212</v>
      </c>
      <c r="C27" s="10" t="s">
        <v>9213</v>
      </c>
      <c r="D27" s="10">
        <v>2.96147610515029</v>
      </c>
      <c r="E27" s="10">
        <f t="shared" si="0"/>
        <v>7.789205092076549</v>
      </c>
      <c r="F27" s="32">
        <v>1.3998010240408301E-7</v>
      </c>
      <c r="G27" s="10">
        <v>11.489625096168201</v>
      </c>
      <c r="H27" s="10">
        <v>11.257303900766599</v>
      </c>
      <c r="I27" s="10">
        <v>11.596108234036</v>
      </c>
      <c r="J27" s="10">
        <f t="shared" si="4"/>
        <v>11.447679076990267</v>
      </c>
      <c r="K27" s="10">
        <v>13.7607880774551</v>
      </c>
      <c r="L27" s="10">
        <v>14.5466150273674</v>
      </c>
      <c r="M27" s="10">
        <v>14.9200624415992</v>
      </c>
      <c r="N27" s="10">
        <f t="shared" si="1"/>
        <v>14.409155182140566</v>
      </c>
      <c r="O27" s="10">
        <f t="shared" si="2"/>
        <v>2.7277159700000002</v>
      </c>
      <c r="P27" s="10">
        <f t="shared" si="3"/>
        <v>2.8555777719322251</v>
      </c>
      <c r="S27" s="16" t="s">
        <v>11934</v>
      </c>
      <c r="T27" s="17">
        <v>9.9269247280034332</v>
      </c>
      <c r="U27" s="39" t="s">
        <v>14927</v>
      </c>
    </row>
    <row r="28" spans="1:21" x14ac:dyDescent="0.2">
      <c r="A28" s="60" t="str">
        <f>"phdh-1"</f>
        <v>phdh-1</v>
      </c>
      <c r="B28" s="24" t="s">
        <v>3461</v>
      </c>
      <c r="C28" s="24" t="s">
        <v>3463</v>
      </c>
      <c r="D28" s="24">
        <v>2.89927291922554</v>
      </c>
      <c r="E28" s="24">
        <f t="shared" si="0"/>
        <v>7.4605030851907825</v>
      </c>
      <c r="F28" s="29">
        <v>3.6517408886922099E-5</v>
      </c>
      <c r="G28" s="24" t="s">
        <v>14849</v>
      </c>
      <c r="H28" s="24">
        <v>10.4433294662648</v>
      </c>
      <c r="I28" s="24">
        <v>10.9825491723435</v>
      </c>
      <c r="J28" s="24">
        <f t="shared" si="4"/>
        <v>10.71293931930415</v>
      </c>
      <c r="K28" s="24">
        <v>13.091873489342801</v>
      </c>
      <c r="L28" s="24">
        <v>13.8128021833438</v>
      </c>
      <c r="M28" s="24">
        <v>13.9319610429023</v>
      </c>
      <c r="N28" s="24">
        <f t="shared" si="1"/>
        <v>13.612212238529635</v>
      </c>
      <c r="O28" s="24" t="str">
        <f t="shared" si="2"/>
        <v>ND</v>
      </c>
      <c r="P28" s="24" t="str">
        <f t="shared" si="3"/>
        <v>NA</v>
      </c>
      <c r="S28" s="16" t="s">
        <v>6133</v>
      </c>
      <c r="T28" s="17">
        <v>9.8103186667543536</v>
      </c>
      <c r="U28" s="39" t="s">
        <v>14917</v>
      </c>
    </row>
    <row r="29" spans="1:21" x14ac:dyDescent="0.2">
      <c r="A29" s="10" t="str">
        <f>"prdx-2"</f>
        <v>prdx-2</v>
      </c>
      <c r="B29" s="10" t="s">
        <v>87</v>
      </c>
      <c r="C29" s="10" t="s">
        <v>89</v>
      </c>
      <c r="D29" s="10">
        <v>2.8989456405998402</v>
      </c>
      <c r="E29" s="10">
        <f t="shared" si="0"/>
        <v>7.458810845181568</v>
      </c>
      <c r="F29" s="32">
        <v>3.8883576084623902E-7</v>
      </c>
      <c r="G29" s="10">
        <v>15.0014972762035</v>
      </c>
      <c r="H29" s="10">
        <v>14.877990213328401</v>
      </c>
      <c r="I29" s="10">
        <v>15.334473720984899</v>
      </c>
      <c r="J29" s="10">
        <f t="shared" si="4"/>
        <v>15.071320403505601</v>
      </c>
      <c r="K29" s="10">
        <v>17.576467686931402</v>
      </c>
      <c r="L29" s="10">
        <v>17.971505202371802</v>
      </c>
      <c r="M29" s="10">
        <v>18.362825243013202</v>
      </c>
      <c r="N29" s="10">
        <f t="shared" si="1"/>
        <v>17.970266044105468</v>
      </c>
      <c r="O29" s="10">
        <f t="shared" si="2"/>
        <v>4.8081449999999997</v>
      </c>
      <c r="P29" s="10">
        <f t="shared" si="3"/>
        <v>1.551286586652767</v>
      </c>
      <c r="S29" s="18" t="s">
        <v>5490</v>
      </c>
      <c r="T29" s="19">
        <v>8.9708627199999995</v>
      </c>
      <c r="U29" s="39"/>
    </row>
    <row r="30" spans="1:21" x14ac:dyDescent="0.2">
      <c r="A30" s="24" t="str">
        <f>"ZK813.3"</f>
        <v>ZK813.3</v>
      </c>
      <c r="B30" s="24" t="s">
        <v>10338</v>
      </c>
      <c r="C30" s="24" t="s">
        <v>8716</v>
      </c>
      <c r="D30" s="24">
        <v>2.8510464641191802</v>
      </c>
      <c r="E30" s="24">
        <f t="shared" si="0"/>
        <v>7.2152354006016211</v>
      </c>
      <c r="F30" s="24">
        <v>2.8043615794078598E-3</v>
      </c>
      <c r="G30" s="24">
        <v>16.178501935439801</v>
      </c>
      <c r="H30" s="24">
        <v>14.4193990237658</v>
      </c>
      <c r="I30" s="24">
        <v>16.6690597003189</v>
      </c>
      <c r="J30" s="24">
        <f t="shared" si="4"/>
        <v>15.755653553174833</v>
      </c>
      <c r="K30" s="24">
        <v>20.238858133608002</v>
      </c>
      <c r="L30" s="24">
        <v>18.0371862200031</v>
      </c>
      <c r="M30" s="24">
        <v>17.544055698270899</v>
      </c>
      <c r="N30" s="24">
        <f t="shared" si="1"/>
        <v>18.606700017293999</v>
      </c>
      <c r="O30" s="24" t="str">
        <f t="shared" si="2"/>
        <v>ND</v>
      </c>
      <c r="P30" s="24" t="str">
        <f t="shared" si="3"/>
        <v>NA</v>
      </c>
      <c r="S30" s="16" t="s">
        <v>12650</v>
      </c>
      <c r="T30" s="19">
        <v>8.5325504999825288</v>
      </c>
      <c r="U30" s="39"/>
    </row>
    <row r="31" spans="1:21" x14ac:dyDescent="0.2">
      <c r="A31" s="10" t="str">
        <f>"sta-1"</f>
        <v>sta-1</v>
      </c>
      <c r="B31" s="10" t="s">
        <v>12756</v>
      </c>
      <c r="C31" s="10" t="s">
        <v>12758</v>
      </c>
      <c r="D31" s="10">
        <v>2.8121355838548099</v>
      </c>
      <c r="E31" s="10">
        <f t="shared" si="0"/>
        <v>7.0232343903867411</v>
      </c>
      <c r="F31" s="10">
        <v>2.01268882158791E-4</v>
      </c>
      <c r="G31" s="10">
        <v>12.2843060711051</v>
      </c>
      <c r="H31" s="10">
        <v>11.658493885239199</v>
      </c>
      <c r="I31" s="10" t="s">
        <v>14849</v>
      </c>
      <c r="J31" s="10">
        <f t="shared" si="4"/>
        <v>11.971399978172149</v>
      </c>
      <c r="K31" s="10">
        <v>14.3484075368512</v>
      </c>
      <c r="L31" s="10">
        <v>14.9500149906471</v>
      </c>
      <c r="M31" s="10">
        <v>15.0521841585825</v>
      </c>
      <c r="N31" s="10">
        <f t="shared" si="1"/>
        <v>14.783535562026934</v>
      </c>
      <c r="O31" s="10">
        <f t="shared" si="2"/>
        <v>2.57074034</v>
      </c>
      <c r="P31" s="10">
        <f t="shared" si="3"/>
        <v>2.7319890232036199</v>
      </c>
      <c r="S31" s="18" t="s">
        <v>13334</v>
      </c>
      <c r="T31" s="19">
        <v>8.4615092599999997</v>
      </c>
      <c r="U31" s="39"/>
    </row>
    <row r="32" spans="1:21" x14ac:dyDescent="0.2">
      <c r="A32" s="24" t="str">
        <f>"brc-2"</f>
        <v>brc-2</v>
      </c>
      <c r="B32" s="24" t="s">
        <v>2045</v>
      </c>
      <c r="C32" s="24" t="s">
        <v>2047</v>
      </c>
      <c r="D32" s="24">
        <v>2.7593689972489601</v>
      </c>
      <c r="E32" s="24">
        <f t="shared" si="0"/>
        <v>6.7710003660682458</v>
      </c>
      <c r="F32" s="29">
        <v>6.3685562850468894E-5</v>
      </c>
      <c r="G32" s="24">
        <v>13.890232003537299</v>
      </c>
      <c r="H32" s="24" t="s">
        <v>14849</v>
      </c>
      <c r="I32" s="24">
        <v>13.3530568476966</v>
      </c>
      <c r="J32" s="24">
        <f t="shared" si="4"/>
        <v>13.62164442561695</v>
      </c>
      <c r="K32" s="24">
        <v>17.316106518047999</v>
      </c>
      <c r="L32" s="24">
        <v>16.338375357550799</v>
      </c>
      <c r="M32" s="24">
        <v>15.4885583929989</v>
      </c>
      <c r="N32" s="24">
        <f t="shared" si="1"/>
        <v>16.381013422865902</v>
      </c>
      <c r="O32" s="24" t="str">
        <f t="shared" si="2"/>
        <v>ND</v>
      </c>
      <c r="P32" s="24" t="str">
        <f t="shared" si="3"/>
        <v>NA</v>
      </c>
      <c r="S32" s="16" t="s">
        <v>1727</v>
      </c>
      <c r="T32" s="17">
        <v>8.2716725536539464</v>
      </c>
      <c r="U32" s="40"/>
    </row>
    <row r="33" spans="1:21" x14ac:dyDescent="0.2">
      <c r="A33" s="24" t="str">
        <f>"ule-5"</f>
        <v>ule-5</v>
      </c>
      <c r="B33" s="24" t="s">
        <v>13887</v>
      </c>
      <c r="C33" s="24" t="s">
        <v>8032</v>
      </c>
      <c r="D33" s="24">
        <v>2.6957889365438401</v>
      </c>
      <c r="E33" s="24">
        <f t="shared" si="0"/>
        <v>6.4790798430375682</v>
      </c>
      <c r="F33" s="24">
        <v>9.8915406578553599E-4</v>
      </c>
      <c r="G33" s="24">
        <v>14.351963029499201</v>
      </c>
      <c r="H33" s="24">
        <v>14.127970309983301</v>
      </c>
      <c r="I33" s="24">
        <v>15.0862210066387</v>
      </c>
      <c r="J33" s="24">
        <f t="shared" si="4"/>
        <v>14.522051448707067</v>
      </c>
      <c r="K33" s="24">
        <v>18.706791091258001</v>
      </c>
      <c r="L33" s="24">
        <v>16.873097495286601</v>
      </c>
      <c r="M33" s="24">
        <v>16.0736325692083</v>
      </c>
      <c r="N33" s="24">
        <f t="shared" si="1"/>
        <v>17.217840385250966</v>
      </c>
      <c r="O33" s="24" t="str">
        <f t="shared" si="2"/>
        <v>ND</v>
      </c>
      <c r="P33" s="24" t="str">
        <f t="shared" si="3"/>
        <v>NA</v>
      </c>
      <c r="S33" s="18" t="s">
        <v>7354</v>
      </c>
      <c r="T33" s="19">
        <v>7.2656431499999998</v>
      </c>
      <c r="U33" s="39"/>
    </row>
    <row r="34" spans="1:21" x14ac:dyDescent="0.2">
      <c r="A34" s="24" t="str">
        <f>"ttll-5"</f>
        <v>ttll-5</v>
      </c>
      <c r="B34" s="24" t="s">
        <v>846</v>
      </c>
      <c r="C34" s="24" t="s">
        <v>848</v>
      </c>
      <c r="D34" s="24">
        <v>2.67286327635107</v>
      </c>
      <c r="E34" s="24">
        <f t="shared" ref="E34:E65" si="5">IFERROR(2^D34, "NA")</f>
        <v>6.3769354439905443</v>
      </c>
      <c r="F34" s="24">
        <v>2.27758964562204E-4</v>
      </c>
      <c r="G34" s="24">
        <v>13.103535762065199</v>
      </c>
      <c r="H34" s="24">
        <v>13.0934947178756</v>
      </c>
      <c r="I34" s="24">
        <v>12.5409057265725</v>
      </c>
      <c r="J34" s="24">
        <f t="shared" si="4"/>
        <v>12.912645402171099</v>
      </c>
      <c r="K34" s="24">
        <v>16.625328788608702</v>
      </c>
      <c r="L34" s="24">
        <v>15.522788973356899</v>
      </c>
      <c r="M34" s="24">
        <v>14.6084082736008</v>
      </c>
      <c r="N34" s="24">
        <f t="shared" ref="N34:N65" si="6">(K34+L34+M34)/3</f>
        <v>15.585508678522134</v>
      </c>
      <c r="O34" s="24" t="str">
        <f t="shared" ref="O34:O65" si="7">IFERROR(INDEX(T:T, MATCH(A34, S:S, 0)), "ND")</f>
        <v>ND</v>
      </c>
      <c r="P34" s="24" t="str">
        <f t="shared" ref="P34:P65" si="8">IFERROR(E34/O34, "NA")</f>
        <v>NA</v>
      </c>
      <c r="S34" s="18" t="s">
        <v>8815</v>
      </c>
      <c r="T34" s="19">
        <v>7.2562335100000004</v>
      </c>
      <c r="U34" s="39"/>
    </row>
    <row r="35" spans="1:21" x14ac:dyDescent="0.2">
      <c r="A35" s="61" t="str">
        <f>"dnbp-1"</f>
        <v>dnbp-1</v>
      </c>
      <c r="B35" s="10" t="s">
        <v>1212</v>
      </c>
      <c r="C35" s="10" t="s">
        <v>1214</v>
      </c>
      <c r="D35" s="10">
        <v>2.66555619597094</v>
      </c>
      <c r="E35" s="10">
        <f t="shared" si="5"/>
        <v>6.3447186733467298</v>
      </c>
      <c r="F35" s="32">
        <v>8.8251491905470695E-5</v>
      </c>
      <c r="G35" s="10">
        <v>12.9426890590256</v>
      </c>
      <c r="H35" s="10">
        <v>12.5556007278111</v>
      </c>
      <c r="I35" s="10">
        <v>12.2689083270746</v>
      </c>
      <c r="J35" s="10">
        <f t="shared" si="4"/>
        <v>12.589066037970433</v>
      </c>
      <c r="K35" s="10">
        <v>14.4586701990933</v>
      </c>
      <c r="L35" s="10">
        <v>15.296975650924701</v>
      </c>
      <c r="M35" s="10">
        <v>16.0082208518063</v>
      </c>
      <c r="N35" s="10">
        <f t="shared" si="6"/>
        <v>15.254622233941433</v>
      </c>
      <c r="O35" s="10">
        <f t="shared" si="7"/>
        <v>3.7943776300000001</v>
      </c>
      <c r="P35" s="10">
        <f t="shared" si="8"/>
        <v>1.672136854060762</v>
      </c>
      <c r="S35" s="16" t="s">
        <v>4318</v>
      </c>
      <c r="T35" s="19">
        <v>7.0566296503743651</v>
      </c>
      <c r="U35" s="39"/>
    </row>
    <row r="36" spans="1:21" x14ac:dyDescent="0.2">
      <c r="A36" s="24" t="str">
        <f>"Y62H9A.5"</f>
        <v>Y62H9A.5</v>
      </c>
      <c r="B36" s="24" t="s">
        <v>13884</v>
      </c>
      <c r="C36" s="24" t="s">
        <v>13885</v>
      </c>
      <c r="D36" s="24">
        <v>2.5633777167607201</v>
      </c>
      <c r="E36" s="24">
        <f t="shared" si="5"/>
        <v>5.9108996039400896</v>
      </c>
      <c r="F36" s="24">
        <v>7.4336884527569005E-4</v>
      </c>
      <c r="G36" s="24">
        <v>15.162815901431101</v>
      </c>
      <c r="H36" s="24">
        <v>14.173107880833999</v>
      </c>
      <c r="I36" s="24">
        <v>15.585455593338899</v>
      </c>
      <c r="J36" s="24">
        <f t="shared" si="4"/>
        <v>14.973793125201333</v>
      </c>
      <c r="K36" s="24">
        <v>18.728042455211899</v>
      </c>
      <c r="L36" s="24">
        <v>17.4506692321381</v>
      </c>
      <c r="M36" s="24">
        <v>16.432800838536298</v>
      </c>
      <c r="N36" s="24">
        <f t="shared" si="6"/>
        <v>17.537170841962098</v>
      </c>
      <c r="O36" s="24" t="str">
        <f t="shared" si="7"/>
        <v>ND</v>
      </c>
      <c r="P36" s="24" t="str">
        <f t="shared" si="8"/>
        <v>NA</v>
      </c>
      <c r="S36" s="18" t="s">
        <v>9471</v>
      </c>
      <c r="T36" s="19">
        <v>6.7355698300000002</v>
      </c>
      <c r="U36" s="39"/>
    </row>
    <row r="37" spans="1:21" x14ac:dyDescent="0.2">
      <c r="A37" s="24" t="str">
        <f>"got-2.2"</f>
        <v>got-2.2</v>
      </c>
      <c r="B37" s="24" t="s">
        <v>7601</v>
      </c>
      <c r="C37" s="24" t="s">
        <v>7603</v>
      </c>
      <c r="D37" s="24">
        <v>2.4584864969310498</v>
      </c>
      <c r="E37" s="24">
        <f t="shared" si="5"/>
        <v>5.4963980834989359</v>
      </c>
      <c r="F37" s="24">
        <v>1.2954139048434201E-3</v>
      </c>
      <c r="G37" s="24">
        <v>13.461934210153</v>
      </c>
      <c r="H37" s="24">
        <v>13.2478450434438</v>
      </c>
      <c r="I37" s="24">
        <v>12.912370288251299</v>
      </c>
      <c r="J37" s="24">
        <f t="shared" si="4"/>
        <v>13.207383180616034</v>
      </c>
      <c r="K37" s="24">
        <v>16.115250210353601</v>
      </c>
      <c r="L37" s="24">
        <v>15.5240599839422</v>
      </c>
      <c r="M37" s="24">
        <v>15.358298838345499</v>
      </c>
      <c r="N37" s="24">
        <f t="shared" si="6"/>
        <v>15.6658696775471</v>
      </c>
      <c r="O37" s="24" t="str">
        <f t="shared" si="7"/>
        <v>ND</v>
      </c>
      <c r="P37" s="24" t="str">
        <f t="shared" si="8"/>
        <v>NA</v>
      </c>
      <c r="S37" s="16" t="s">
        <v>7800</v>
      </c>
      <c r="T37" s="17">
        <v>6.5615682544325828</v>
      </c>
      <c r="U37" s="40"/>
    </row>
    <row r="38" spans="1:21" x14ac:dyDescent="0.2">
      <c r="A38" s="60" t="str">
        <f>"flor-1"</f>
        <v>flor-1</v>
      </c>
      <c r="B38" s="24" t="s">
        <v>3576</v>
      </c>
      <c r="C38" s="24" t="s">
        <v>323</v>
      </c>
      <c r="D38" s="24">
        <v>2.4312521286024702</v>
      </c>
      <c r="E38" s="24">
        <f t="shared" si="5"/>
        <v>5.3936134445005912</v>
      </c>
      <c r="F38" s="29">
        <v>1.7381321019442899E-5</v>
      </c>
      <c r="G38" s="24">
        <v>12.6938185838924</v>
      </c>
      <c r="H38" s="24">
        <v>13.0475693247812</v>
      </c>
      <c r="I38" s="24">
        <v>12.3123496955462</v>
      </c>
      <c r="J38" s="24">
        <f t="shared" si="4"/>
        <v>12.684579201406601</v>
      </c>
      <c r="K38" s="24">
        <v>15.4008269638255</v>
      </c>
      <c r="L38" s="24">
        <v>14.9606137924367</v>
      </c>
      <c r="M38" s="24">
        <v>14.9860532337651</v>
      </c>
      <c r="N38" s="24">
        <f t="shared" si="6"/>
        <v>15.115831330009099</v>
      </c>
      <c r="O38" s="24" t="str">
        <f t="shared" si="7"/>
        <v>ND</v>
      </c>
      <c r="P38" s="24" t="str">
        <f t="shared" si="8"/>
        <v>NA</v>
      </c>
      <c r="S38" s="18" t="s">
        <v>5135</v>
      </c>
      <c r="T38" s="19">
        <v>6.4278586200000003</v>
      </c>
      <c r="U38" s="39"/>
    </row>
    <row r="39" spans="1:21" x14ac:dyDescent="0.2">
      <c r="A39" s="24" t="str">
        <f>"T04B8.5"</f>
        <v>T04B8.5</v>
      </c>
      <c r="B39" s="24" t="s">
        <v>3893</v>
      </c>
      <c r="C39" s="24" t="s">
        <v>3894</v>
      </c>
      <c r="D39" s="24">
        <v>2.4199989944492799</v>
      </c>
      <c r="E39" s="24">
        <f t="shared" si="5"/>
        <v>5.3517064890323756</v>
      </c>
      <c r="F39" s="24">
        <v>8.9033313205437404E-4</v>
      </c>
      <c r="G39" s="24">
        <v>18.648688642001499</v>
      </c>
      <c r="H39" s="24">
        <v>18.824124948883199</v>
      </c>
      <c r="I39" s="24">
        <v>18.511102326069501</v>
      </c>
      <c r="J39" s="24">
        <f t="shared" si="4"/>
        <v>18.6613053056514</v>
      </c>
      <c r="K39" s="24">
        <v>22.287716383094001</v>
      </c>
      <c r="L39" s="24">
        <v>21.1966268816245</v>
      </c>
      <c r="M39" s="24">
        <v>19.759569635583599</v>
      </c>
      <c r="N39" s="24">
        <f t="shared" si="6"/>
        <v>21.081304300100701</v>
      </c>
      <c r="O39" s="24" t="str">
        <f t="shared" si="7"/>
        <v>ND</v>
      </c>
      <c r="P39" s="24" t="str">
        <f t="shared" si="8"/>
        <v>NA</v>
      </c>
      <c r="S39" s="18" t="s">
        <v>6122</v>
      </c>
      <c r="T39" s="19">
        <v>6.3154922200000003</v>
      </c>
      <c r="U39" s="39"/>
    </row>
    <row r="40" spans="1:21" x14ac:dyDescent="0.2">
      <c r="A40" s="10" t="str">
        <f>"copz-1"</f>
        <v>copz-1</v>
      </c>
      <c r="B40" s="10" t="s">
        <v>3538</v>
      </c>
      <c r="C40" s="10" t="s">
        <v>3540</v>
      </c>
      <c r="D40" s="10">
        <v>2.3801310747072502</v>
      </c>
      <c r="E40" s="10">
        <f t="shared" si="5"/>
        <v>5.2058403720358353</v>
      </c>
      <c r="F40" s="32">
        <v>3.8883576084623902E-7</v>
      </c>
      <c r="G40" s="10">
        <v>14.403088752210801</v>
      </c>
      <c r="H40" s="10">
        <v>14.4403774779888</v>
      </c>
      <c r="I40" s="10">
        <v>14.6020221230508</v>
      </c>
      <c r="J40" s="10">
        <f t="shared" si="4"/>
        <v>14.481829451083469</v>
      </c>
      <c r="K40" s="10">
        <v>16.610434017865199</v>
      </c>
      <c r="L40" s="10">
        <v>17.115061639391602</v>
      </c>
      <c r="M40" s="10">
        <v>16.860385920115299</v>
      </c>
      <c r="N40" s="10">
        <f t="shared" si="6"/>
        <v>16.8619605257907</v>
      </c>
      <c r="O40" s="10">
        <f t="shared" si="7"/>
        <v>2.4944524299999999</v>
      </c>
      <c r="P40" s="10">
        <f t="shared" si="8"/>
        <v>2.0869671874383409</v>
      </c>
      <c r="S40" s="18" t="s">
        <v>3078</v>
      </c>
      <c r="T40" s="19">
        <v>6.2592155700000003</v>
      </c>
      <c r="U40" s="39"/>
    </row>
    <row r="41" spans="1:21" x14ac:dyDescent="0.2">
      <c r="A41" s="24" t="str">
        <f>"akt-2"</f>
        <v>akt-2</v>
      </c>
      <c r="B41" s="24" t="s">
        <v>13499</v>
      </c>
      <c r="C41" s="24" t="s">
        <v>13501</v>
      </c>
      <c r="D41" s="24">
        <v>2.3573343064879202</v>
      </c>
      <c r="E41" s="24">
        <f t="shared" si="5"/>
        <v>5.1242267120135034</v>
      </c>
      <c r="F41" s="29">
        <v>2.0205672476126399E-6</v>
      </c>
      <c r="G41" s="24">
        <v>12.3354439398487</v>
      </c>
      <c r="H41" s="24">
        <v>12.0577846008914</v>
      </c>
      <c r="I41" s="24">
        <v>12.001807716803199</v>
      </c>
      <c r="J41" s="24">
        <f t="shared" si="4"/>
        <v>12.131678752514432</v>
      </c>
      <c r="K41" s="24">
        <v>13.993532827163101</v>
      </c>
      <c r="L41" s="24">
        <v>14.476898785720699</v>
      </c>
      <c r="M41" s="24">
        <v>14.996607564123201</v>
      </c>
      <c r="N41" s="24">
        <f t="shared" si="6"/>
        <v>14.489013059002334</v>
      </c>
      <c r="O41" s="24" t="str">
        <f t="shared" si="7"/>
        <v>ND</v>
      </c>
      <c r="P41" s="24" t="str">
        <f t="shared" si="8"/>
        <v>NA</v>
      </c>
      <c r="S41" s="16" t="s">
        <v>5987</v>
      </c>
      <c r="T41" s="17">
        <v>6.2273672773130739</v>
      </c>
      <c r="U41" s="40"/>
    </row>
    <row r="42" spans="1:21" x14ac:dyDescent="0.2">
      <c r="A42" s="10" t="str">
        <f>"Y18H1A.4"</f>
        <v>Y18H1A.4</v>
      </c>
      <c r="B42" s="10" t="s">
        <v>12123</v>
      </c>
      <c r="C42" s="10" t="s">
        <v>12124</v>
      </c>
      <c r="D42" s="10">
        <v>2.3435872936402098</v>
      </c>
      <c r="E42" s="10">
        <f t="shared" si="5"/>
        <v>5.0756313695493773</v>
      </c>
      <c r="F42" s="10">
        <v>8.4283111914012501E-4</v>
      </c>
      <c r="G42" s="10">
        <v>11.6775591019532</v>
      </c>
      <c r="H42" s="10">
        <v>11.1808932125789</v>
      </c>
      <c r="I42" s="10" t="s">
        <v>14849</v>
      </c>
      <c r="J42" s="10">
        <f t="shared" si="4"/>
        <v>11.429226157266051</v>
      </c>
      <c r="K42" s="10">
        <v>13.4595921016881</v>
      </c>
      <c r="L42" s="10">
        <v>14.3336800796641</v>
      </c>
      <c r="M42" s="10">
        <v>13.5251681713666</v>
      </c>
      <c r="N42" s="10">
        <f t="shared" si="6"/>
        <v>13.772813450906268</v>
      </c>
      <c r="O42" s="10">
        <f t="shared" si="7"/>
        <v>2.2795263866027669</v>
      </c>
      <c r="P42" s="10">
        <f t="shared" si="8"/>
        <v>2.2266166337796656</v>
      </c>
      <c r="S42" s="18" t="s">
        <v>12892</v>
      </c>
      <c r="T42" s="19">
        <v>6.1756567000000002</v>
      </c>
      <c r="U42" s="39"/>
    </row>
    <row r="43" spans="1:21" x14ac:dyDescent="0.2">
      <c r="A43" s="24" t="str">
        <f>"lec-2"</f>
        <v>lec-2</v>
      </c>
      <c r="B43" s="24" t="s">
        <v>8875</v>
      </c>
      <c r="C43" s="24" t="s">
        <v>8877</v>
      </c>
      <c r="D43" s="24">
        <v>2.3174692522390798</v>
      </c>
      <c r="E43" s="24">
        <f t="shared" si="5"/>
        <v>4.9845706844159627</v>
      </c>
      <c r="F43" s="24">
        <v>3.0295392177224898E-4</v>
      </c>
      <c r="G43" s="24">
        <v>12.8190894392477</v>
      </c>
      <c r="H43" s="24">
        <v>12.002261491499199</v>
      </c>
      <c r="I43" s="24">
        <v>12.582329626200501</v>
      </c>
      <c r="J43" s="24">
        <f t="shared" si="4"/>
        <v>12.467893518982466</v>
      </c>
      <c r="K43" s="24">
        <v>15.514641397385899</v>
      </c>
      <c r="L43" s="24">
        <v>14.400334997945199</v>
      </c>
      <c r="M43" s="24">
        <v>14.441111918333601</v>
      </c>
      <c r="N43" s="24">
        <f t="shared" si="6"/>
        <v>14.785362771221566</v>
      </c>
      <c r="O43" s="24" t="str">
        <f t="shared" si="7"/>
        <v>ND</v>
      </c>
      <c r="P43" s="24" t="str">
        <f t="shared" si="8"/>
        <v>NA</v>
      </c>
      <c r="S43" s="18" t="s">
        <v>10023</v>
      </c>
      <c r="T43" s="19">
        <v>6.1614871899999999</v>
      </c>
      <c r="U43" s="39"/>
    </row>
    <row r="44" spans="1:21" x14ac:dyDescent="0.2">
      <c r="A44" s="24" t="str">
        <f>"perm-4"</f>
        <v>perm-4</v>
      </c>
      <c r="B44" s="24" t="s">
        <v>3682</v>
      </c>
      <c r="C44" s="24" t="s">
        <v>3684</v>
      </c>
      <c r="D44" s="24">
        <v>2.2621402054372601</v>
      </c>
      <c r="E44" s="24">
        <f t="shared" si="5"/>
        <v>4.7970258218897541</v>
      </c>
      <c r="F44" s="24">
        <v>3.2338585839858901E-4</v>
      </c>
      <c r="G44" s="24">
        <v>13.6117150530633</v>
      </c>
      <c r="H44" s="24">
        <v>14.311393143573699</v>
      </c>
      <c r="I44" s="24">
        <v>15.1034931551065</v>
      </c>
      <c r="J44" s="24">
        <f t="shared" si="4"/>
        <v>14.342200450581167</v>
      </c>
      <c r="K44" s="24">
        <v>17.3651800285249</v>
      </c>
      <c r="L44" s="24">
        <v>16.596627361123598</v>
      </c>
      <c r="M44" s="24">
        <v>15.8512145784068</v>
      </c>
      <c r="N44" s="24">
        <f t="shared" si="6"/>
        <v>16.604340656018433</v>
      </c>
      <c r="O44" s="24" t="str">
        <f t="shared" si="7"/>
        <v>ND</v>
      </c>
      <c r="P44" s="24" t="str">
        <f t="shared" si="8"/>
        <v>NA</v>
      </c>
      <c r="S44" s="18" t="s">
        <v>32</v>
      </c>
      <c r="T44" s="19">
        <v>6.0233030899999997</v>
      </c>
      <c r="U44" s="39"/>
    </row>
    <row r="45" spans="1:21" x14ac:dyDescent="0.2">
      <c r="A45" s="24" t="str">
        <f>"deb-1"</f>
        <v>deb-1</v>
      </c>
      <c r="B45" s="24" t="s">
        <v>4794</v>
      </c>
      <c r="C45" s="24" t="s">
        <v>4796</v>
      </c>
      <c r="D45" s="24">
        <v>2.2456482824439599</v>
      </c>
      <c r="E45" s="24">
        <f t="shared" si="5"/>
        <v>4.7425016725770481</v>
      </c>
      <c r="F45" s="29">
        <v>5.29059906154463E-6</v>
      </c>
      <c r="G45" s="24">
        <v>11.2059148503439</v>
      </c>
      <c r="H45" s="24">
        <v>11.9431731353147</v>
      </c>
      <c r="I45" s="24">
        <v>11.845601764268601</v>
      </c>
      <c r="J45" s="24">
        <f t="shared" si="4"/>
        <v>11.664896583309067</v>
      </c>
      <c r="K45" s="24">
        <v>13.550176212047001</v>
      </c>
      <c r="L45" s="24">
        <v>13.8578921914578</v>
      </c>
      <c r="M45" s="24">
        <v>14.3235661937542</v>
      </c>
      <c r="N45" s="24">
        <f t="shared" si="6"/>
        <v>13.910544865753002</v>
      </c>
      <c r="O45" s="24" t="str">
        <f t="shared" si="7"/>
        <v>ND</v>
      </c>
      <c r="P45" s="24" t="str">
        <f t="shared" si="8"/>
        <v>NA</v>
      </c>
      <c r="S45" s="18" t="s">
        <v>2062</v>
      </c>
      <c r="T45" s="19">
        <v>6.0027472199999998</v>
      </c>
      <c r="U45" s="39"/>
    </row>
    <row r="46" spans="1:21" x14ac:dyDescent="0.2">
      <c r="A46" s="60" t="str">
        <f>"F20D6.6"</f>
        <v>F20D6.6</v>
      </c>
      <c r="B46" s="24" t="s">
        <v>8360</v>
      </c>
      <c r="C46" s="24" t="s">
        <v>8361</v>
      </c>
      <c r="D46" s="24">
        <v>2.1588179495734701</v>
      </c>
      <c r="E46" s="24">
        <f t="shared" si="5"/>
        <v>4.4654883224972091</v>
      </c>
      <c r="F46" s="24">
        <v>4.3722550959606702E-3</v>
      </c>
      <c r="G46" s="24">
        <v>12.1492482125441</v>
      </c>
      <c r="H46" s="24" t="s">
        <v>14849</v>
      </c>
      <c r="I46" s="24">
        <v>12.2745950446779</v>
      </c>
      <c r="J46" s="24">
        <f t="shared" ref="J46:J75" si="9">AVERAGEIF(G46:I46, "&gt;0")</f>
        <v>12.211921628611</v>
      </c>
      <c r="K46" s="24">
        <v>14.9576663170846</v>
      </c>
      <c r="L46" s="24">
        <v>14.676413136306</v>
      </c>
      <c r="M46" s="24">
        <v>13.4781392811628</v>
      </c>
      <c r="N46" s="24">
        <f t="shared" si="6"/>
        <v>14.370739578184464</v>
      </c>
      <c r="O46" s="24" t="str">
        <f t="shared" si="7"/>
        <v>ND</v>
      </c>
      <c r="P46" s="24" t="str">
        <f t="shared" si="8"/>
        <v>NA</v>
      </c>
      <c r="S46" s="18" t="s">
        <v>10275</v>
      </c>
      <c r="T46" s="19">
        <v>5.9248670499999996</v>
      </c>
      <c r="U46" s="39"/>
    </row>
    <row r="47" spans="1:21" x14ac:dyDescent="0.2">
      <c r="A47" s="24" t="str">
        <f>"F25B5.6"</f>
        <v>F25B5.6</v>
      </c>
      <c r="B47" s="24" t="s">
        <v>6820</v>
      </c>
      <c r="C47" s="24" t="s">
        <v>6822</v>
      </c>
      <c r="D47" s="24">
        <v>2.1403475145136199</v>
      </c>
      <c r="E47" s="24">
        <f t="shared" si="5"/>
        <v>4.4086822932981899</v>
      </c>
      <c r="F47" s="29">
        <v>2.45709270611038E-6</v>
      </c>
      <c r="G47" s="24">
        <v>13.306788826489001</v>
      </c>
      <c r="H47" s="24">
        <v>13.457426981523099</v>
      </c>
      <c r="I47" s="24">
        <v>13.2610998181603</v>
      </c>
      <c r="J47" s="24">
        <f t="shared" si="9"/>
        <v>13.341771875390799</v>
      </c>
      <c r="K47" s="24">
        <v>15.092369279120399</v>
      </c>
      <c r="L47" s="24">
        <v>15.667533039593099</v>
      </c>
      <c r="M47" s="24">
        <v>15.6864558509997</v>
      </c>
      <c r="N47" s="24">
        <f t="shared" si="6"/>
        <v>15.482119389904399</v>
      </c>
      <c r="O47" s="24" t="str">
        <f t="shared" si="7"/>
        <v>ND</v>
      </c>
      <c r="P47" s="24" t="str">
        <f t="shared" si="8"/>
        <v>NA</v>
      </c>
      <c r="S47" s="18" t="s">
        <v>757</v>
      </c>
      <c r="T47" s="19">
        <v>5.9086830800000003</v>
      </c>
      <c r="U47" s="39"/>
    </row>
    <row r="48" spans="1:21" x14ac:dyDescent="0.2">
      <c r="A48" s="24" t="str">
        <f>"sir-2.4"</f>
        <v>sir-2.4</v>
      </c>
      <c r="B48" s="24" t="s">
        <v>11480</v>
      </c>
      <c r="C48" s="24" t="s">
        <v>11482</v>
      </c>
      <c r="D48" s="24">
        <v>2.1250813604796099</v>
      </c>
      <c r="E48" s="24">
        <f t="shared" si="5"/>
        <v>4.3622769334030442</v>
      </c>
      <c r="F48" s="24">
        <v>5.0244071864155105E-4</v>
      </c>
      <c r="G48" s="24">
        <v>13.728683382417101</v>
      </c>
      <c r="H48" s="24">
        <v>14.6228403620521</v>
      </c>
      <c r="I48" s="24">
        <v>14.1107333650996</v>
      </c>
      <c r="J48" s="24">
        <f t="shared" si="9"/>
        <v>14.154085703189601</v>
      </c>
      <c r="K48" s="24">
        <v>17.365494221979802</v>
      </c>
      <c r="L48" s="24">
        <v>16.364299398825999</v>
      </c>
      <c r="M48" s="24">
        <v>15.1077075702018</v>
      </c>
      <c r="N48" s="24">
        <f t="shared" si="6"/>
        <v>16.279167063669203</v>
      </c>
      <c r="O48" s="24" t="str">
        <f t="shared" si="7"/>
        <v>ND</v>
      </c>
      <c r="P48" s="24" t="str">
        <f t="shared" si="8"/>
        <v>NA</v>
      </c>
      <c r="S48" s="18" t="s">
        <v>10417</v>
      </c>
      <c r="T48" s="19">
        <v>5.8160155800000002</v>
      </c>
      <c r="U48" s="39"/>
    </row>
    <row r="49" spans="1:21" x14ac:dyDescent="0.2">
      <c r="A49" s="24" t="str">
        <f>"clp-7"</f>
        <v>clp-7</v>
      </c>
      <c r="B49" s="24" t="s">
        <v>12471</v>
      </c>
      <c r="C49" s="24" t="s">
        <v>12473</v>
      </c>
      <c r="D49" s="24">
        <v>2.1172599633203402</v>
      </c>
      <c r="E49" s="24">
        <f t="shared" si="5"/>
        <v>4.3386913660691677</v>
      </c>
      <c r="F49" s="24">
        <v>9.8847522386977704E-4</v>
      </c>
      <c r="G49" s="24">
        <v>11.961174344982</v>
      </c>
      <c r="H49" s="24" t="s">
        <v>14849</v>
      </c>
      <c r="I49" s="24" t="s">
        <v>14849</v>
      </c>
      <c r="J49" s="24">
        <f t="shared" si="9"/>
        <v>11.961174344982</v>
      </c>
      <c r="K49" s="24">
        <v>13.660010370090401</v>
      </c>
      <c r="L49" s="24">
        <v>13.905893119515399</v>
      </c>
      <c r="M49" s="24">
        <v>14.669399435301299</v>
      </c>
      <c r="N49" s="24">
        <f t="shared" si="6"/>
        <v>14.078434308302368</v>
      </c>
      <c r="O49" s="24" t="str">
        <f t="shared" si="7"/>
        <v>ND</v>
      </c>
      <c r="P49" s="24" t="str">
        <f t="shared" si="8"/>
        <v>NA</v>
      </c>
      <c r="S49" s="18" t="s">
        <v>12548</v>
      </c>
      <c r="T49" s="19">
        <v>5.7997844399999998</v>
      </c>
      <c r="U49" s="39"/>
    </row>
    <row r="50" spans="1:21" x14ac:dyDescent="0.2">
      <c r="A50" s="24" t="str">
        <f>"abts-4"</f>
        <v>abts-4</v>
      </c>
      <c r="B50" s="24" t="s">
        <v>10563</v>
      </c>
      <c r="C50" s="24" t="s">
        <v>660</v>
      </c>
      <c r="D50" s="24">
        <v>2.0568237138141798</v>
      </c>
      <c r="E50" s="24">
        <f t="shared" si="5"/>
        <v>4.1606926305367091</v>
      </c>
      <c r="F50" s="24">
        <v>6.09175343609384E-4</v>
      </c>
      <c r="G50" s="24">
        <v>17.4880709808562</v>
      </c>
      <c r="H50" s="24">
        <v>17.6924404977695</v>
      </c>
      <c r="I50" s="24">
        <v>17.263434322545798</v>
      </c>
      <c r="J50" s="24">
        <f t="shared" si="9"/>
        <v>17.481315267057166</v>
      </c>
      <c r="K50" s="24">
        <v>20.433746768166198</v>
      </c>
      <c r="L50" s="24">
        <v>19.7747352259208</v>
      </c>
      <c r="M50" s="24">
        <v>18.405934948527101</v>
      </c>
      <c r="N50" s="24">
        <f t="shared" si="6"/>
        <v>19.538138980871366</v>
      </c>
      <c r="O50" s="24" t="str">
        <f t="shared" si="7"/>
        <v>ND</v>
      </c>
      <c r="P50" s="24" t="str">
        <f t="shared" si="8"/>
        <v>NA</v>
      </c>
      <c r="S50" s="18" t="s">
        <v>4027</v>
      </c>
      <c r="T50" s="19">
        <v>5.79721084</v>
      </c>
      <c r="U50" s="39"/>
    </row>
    <row r="51" spans="1:21" x14ac:dyDescent="0.2">
      <c r="A51" s="24" t="str">
        <f>"tps-1"</f>
        <v>tps-1</v>
      </c>
      <c r="B51" s="24" t="s">
        <v>10719</v>
      </c>
      <c r="C51" s="24" t="s">
        <v>10721</v>
      </c>
      <c r="D51" s="24">
        <v>2.0538407551484501</v>
      </c>
      <c r="E51" s="24">
        <f t="shared" si="5"/>
        <v>4.1520987477197009</v>
      </c>
      <c r="F51" s="24">
        <v>2.34222566048619E-4</v>
      </c>
      <c r="G51" s="24">
        <v>11.7701819910127</v>
      </c>
      <c r="H51" s="24">
        <v>11.207715835361199</v>
      </c>
      <c r="I51" s="24">
        <v>11.3418234565208</v>
      </c>
      <c r="J51" s="24">
        <f t="shared" si="9"/>
        <v>11.439907094298233</v>
      </c>
      <c r="K51" s="24">
        <v>12.8908468595454</v>
      </c>
      <c r="L51" s="24">
        <v>13.079398166891901</v>
      </c>
      <c r="M51" s="24">
        <v>14.5109985219027</v>
      </c>
      <c r="N51" s="24">
        <f t="shared" si="6"/>
        <v>13.493747849446668</v>
      </c>
      <c r="O51" s="24" t="str">
        <f t="shared" si="7"/>
        <v>ND</v>
      </c>
      <c r="P51" s="24" t="str">
        <f t="shared" si="8"/>
        <v>NA</v>
      </c>
      <c r="S51" s="18" t="s">
        <v>4326</v>
      </c>
      <c r="T51" s="19">
        <v>5.6978899700000003</v>
      </c>
      <c r="U51" s="39"/>
    </row>
    <row r="52" spans="1:21" x14ac:dyDescent="0.2">
      <c r="A52" s="24" t="str">
        <f>"ZK813.1"</f>
        <v>ZK813.1</v>
      </c>
      <c r="B52" s="24" t="s">
        <v>10340</v>
      </c>
      <c r="C52" s="24" t="s">
        <v>8716</v>
      </c>
      <c r="D52" s="24">
        <v>2.0511703356981399</v>
      </c>
      <c r="E52" s="24">
        <f t="shared" si="5"/>
        <v>4.1444203475698504</v>
      </c>
      <c r="F52" s="24">
        <v>1.87912956129119E-3</v>
      </c>
      <c r="G52" s="24">
        <v>15.334934143095801</v>
      </c>
      <c r="H52" s="24">
        <v>15.0132871955007</v>
      </c>
      <c r="I52" s="24">
        <v>16.081460216115801</v>
      </c>
      <c r="J52" s="24">
        <f t="shared" si="9"/>
        <v>15.476560518237434</v>
      </c>
      <c r="K52" s="24">
        <v>18.538299148995598</v>
      </c>
      <c r="L52" s="24">
        <v>17.578038990343501</v>
      </c>
      <c r="M52" s="24">
        <v>16.466854422467701</v>
      </c>
      <c r="N52" s="24">
        <f t="shared" si="6"/>
        <v>17.527730853935598</v>
      </c>
      <c r="O52" s="24" t="str">
        <f t="shared" si="7"/>
        <v>ND</v>
      </c>
      <c r="P52" s="24" t="str">
        <f t="shared" si="8"/>
        <v>NA</v>
      </c>
      <c r="S52" s="18" t="s">
        <v>11344</v>
      </c>
      <c r="T52" s="19">
        <v>5.5413512200000001</v>
      </c>
      <c r="U52" s="39"/>
    </row>
    <row r="53" spans="1:21" x14ac:dyDescent="0.2">
      <c r="A53" s="24" t="str">
        <f>"Y62H9A.3"</f>
        <v>Y62H9A.3</v>
      </c>
      <c r="B53" s="24" t="s">
        <v>13890</v>
      </c>
      <c r="C53" s="24" t="s">
        <v>13891</v>
      </c>
      <c r="D53" s="24">
        <v>2.0433547389800699</v>
      </c>
      <c r="E53" s="24">
        <f t="shared" si="5"/>
        <v>4.1220292404982235</v>
      </c>
      <c r="F53" s="24">
        <v>1.4328187238434799E-3</v>
      </c>
      <c r="G53" s="24">
        <v>15.7295624577444</v>
      </c>
      <c r="H53" s="24">
        <v>15.142768752868101</v>
      </c>
      <c r="I53" s="24">
        <v>15.820283662281</v>
      </c>
      <c r="J53" s="24">
        <f t="shared" si="9"/>
        <v>15.564204957631167</v>
      </c>
      <c r="K53" s="24">
        <v>18.580726673188</v>
      </c>
      <c r="L53" s="24">
        <v>18.0049485468844</v>
      </c>
      <c r="M53" s="24">
        <v>16.2370038697612</v>
      </c>
      <c r="N53" s="24">
        <f t="shared" si="6"/>
        <v>17.607559696611201</v>
      </c>
      <c r="O53" s="24" t="str">
        <f t="shared" si="7"/>
        <v>ND</v>
      </c>
      <c r="P53" s="24" t="str">
        <f t="shared" si="8"/>
        <v>NA</v>
      </c>
      <c r="S53" s="18" t="s">
        <v>11987</v>
      </c>
      <c r="T53" s="19">
        <v>5.4986622599999997</v>
      </c>
      <c r="U53" s="39"/>
    </row>
    <row r="54" spans="1:21" x14ac:dyDescent="0.2">
      <c r="A54" s="60" t="str">
        <f>"catp-4"</f>
        <v>catp-4</v>
      </c>
      <c r="B54" s="24" t="s">
        <v>1963</v>
      </c>
      <c r="C54" s="24" t="s">
        <v>1965</v>
      </c>
      <c r="D54" s="24">
        <v>2.0389683690781699</v>
      </c>
      <c r="E54" s="24">
        <f t="shared" si="5"/>
        <v>4.1095156558729018</v>
      </c>
      <c r="F54" s="24">
        <v>5.9876955129832305E-4</v>
      </c>
      <c r="G54" s="24">
        <v>14.251786216585799</v>
      </c>
      <c r="H54" s="24">
        <v>14.0552744036892</v>
      </c>
      <c r="I54" s="24">
        <v>13.7213498042242</v>
      </c>
      <c r="J54" s="24">
        <f t="shared" si="9"/>
        <v>14.009470141499733</v>
      </c>
      <c r="K54" s="24">
        <v>17.047460108036098</v>
      </c>
      <c r="L54" s="24">
        <v>16.1665743344549</v>
      </c>
      <c r="M54" s="24">
        <v>14.931281089242701</v>
      </c>
      <c r="N54" s="24">
        <f t="shared" si="6"/>
        <v>16.048438510577899</v>
      </c>
      <c r="O54" s="24" t="str">
        <f t="shared" si="7"/>
        <v>ND</v>
      </c>
      <c r="P54" s="24" t="str">
        <f t="shared" si="8"/>
        <v>NA</v>
      </c>
      <c r="S54" s="18" t="s">
        <v>10985</v>
      </c>
      <c r="T54" s="19">
        <v>5.4897413400000001</v>
      </c>
      <c r="U54" s="39"/>
    </row>
    <row r="55" spans="1:21" x14ac:dyDescent="0.2">
      <c r="A55" s="60" t="str">
        <f>"nhr-7"</f>
        <v>nhr-7</v>
      </c>
      <c r="B55" s="24" t="s">
        <v>8935</v>
      </c>
      <c r="C55" s="24" t="s">
        <v>8937</v>
      </c>
      <c r="D55" s="24">
        <v>2.0002620210675701</v>
      </c>
      <c r="E55" s="24">
        <f t="shared" si="5"/>
        <v>4.0007265426319689</v>
      </c>
      <c r="F55" s="24">
        <v>4.1610357319942998E-3</v>
      </c>
      <c r="G55" s="24">
        <v>16.344902990318801</v>
      </c>
      <c r="H55" s="24">
        <v>16.684040257113899</v>
      </c>
      <c r="I55" s="24">
        <v>16.075252067787002</v>
      </c>
      <c r="J55" s="24">
        <f t="shared" si="9"/>
        <v>16.368065105073232</v>
      </c>
      <c r="K55" s="24">
        <v>19.698815508448199</v>
      </c>
      <c r="L55" s="24">
        <v>18.436394577719302</v>
      </c>
      <c r="M55" s="24">
        <v>16.969771292255</v>
      </c>
      <c r="N55" s="24">
        <f t="shared" si="6"/>
        <v>18.368327126140837</v>
      </c>
      <c r="O55" s="24" t="str">
        <f t="shared" si="7"/>
        <v>ND</v>
      </c>
      <c r="P55" s="24" t="str">
        <f t="shared" si="8"/>
        <v>NA</v>
      </c>
      <c r="S55" s="16" t="s">
        <v>14805</v>
      </c>
      <c r="T55" s="19">
        <v>5.4884546661773141</v>
      </c>
      <c r="U55" s="39"/>
    </row>
    <row r="56" spans="1:21" x14ac:dyDescent="0.2">
      <c r="A56" s="24" t="str">
        <f>"pacs-1"</f>
        <v>pacs-1</v>
      </c>
      <c r="B56" s="24" t="s">
        <v>11492</v>
      </c>
      <c r="C56" s="24" t="s">
        <v>11493</v>
      </c>
      <c r="D56" s="24">
        <v>1.99611114910564</v>
      </c>
      <c r="E56" s="24">
        <f t="shared" si="5"/>
        <v>3.9892323347562844</v>
      </c>
      <c r="F56" s="29">
        <v>3.1863251224340698E-6</v>
      </c>
      <c r="G56" s="24">
        <v>12.9815875326265</v>
      </c>
      <c r="H56" s="24">
        <v>12.948065227323699</v>
      </c>
      <c r="I56" s="24">
        <v>12.6172201782469</v>
      </c>
      <c r="J56" s="24">
        <f t="shared" si="9"/>
        <v>12.848957646065699</v>
      </c>
      <c r="K56" s="24">
        <v>15.2076762499261</v>
      </c>
      <c r="L56" s="24">
        <v>14.7622432149965</v>
      </c>
      <c r="M56" s="24">
        <v>14.5652869205915</v>
      </c>
      <c r="N56" s="24">
        <f t="shared" si="6"/>
        <v>14.845068795171366</v>
      </c>
      <c r="O56" s="24" t="str">
        <f t="shared" si="7"/>
        <v>ND</v>
      </c>
      <c r="P56" s="24" t="str">
        <f t="shared" si="8"/>
        <v>NA</v>
      </c>
      <c r="S56" s="16" t="s">
        <v>644</v>
      </c>
      <c r="T56" s="19">
        <v>5.4147697799611878</v>
      </c>
      <c r="U56" s="39"/>
    </row>
    <row r="57" spans="1:21" x14ac:dyDescent="0.2">
      <c r="A57" s="24" t="str">
        <f>"enol-1"</f>
        <v>enol-1</v>
      </c>
      <c r="B57" s="24" t="s">
        <v>10444</v>
      </c>
      <c r="C57" s="24" t="s">
        <v>10446</v>
      </c>
      <c r="D57" s="24">
        <v>1.9910863421125</v>
      </c>
      <c r="E57" s="24">
        <f t="shared" si="5"/>
        <v>3.9753622828253712</v>
      </c>
      <c r="F57" s="24">
        <v>2.6928041096162402E-3</v>
      </c>
      <c r="G57" s="24">
        <v>11.807169937222399</v>
      </c>
      <c r="H57" s="24">
        <v>11.9018386680407</v>
      </c>
      <c r="I57" s="24">
        <v>12.3720372897989</v>
      </c>
      <c r="J57" s="24">
        <f t="shared" si="9"/>
        <v>12.027015298354002</v>
      </c>
      <c r="K57" s="24">
        <v>14.401886719119201</v>
      </c>
      <c r="L57" s="24">
        <v>13.577705691226599</v>
      </c>
      <c r="M57" s="24">
        <v>14.0747125110538</v>
      </c>
      <c r="N57" s="24">
        <f t="shared" si="6"/>
        <v>14.018101640466535</v>
      </c>
      <c r="O57" s="24" t="str">
        <f t="shared" si="7"/>
        <v>ND</v>
      </c>
      <c r="P57" s="24" t="str">
        <f t="shared" si="8"/>
        <v>NA</v>
      </c>
      <c r="S57" s="18" t="s">
        <v>14806</v>
      </c>
      <c r="T57" s="19">
        <v>5.3912494400000002</v>
      </c>
      <c r="U57" s="39"/>
    </row>
    <row r="58" spans="1:21" x14ac:dyDescent="0.2">
      <c r="A58" s="24" t="str">
        <f>"efk-1"</f>
        <v>efk-1</v>
      </c>
      <c r="B58" s="24" t="s">
        <v>2984</v>
      </c>
      <c r="C58" s="24" t="s">
        <v>2986</v>
      </c>
      <c r="D58" s="24">
        <v>1.8968905738258</v>
      </c>
      <c r="E58" s="24">
        <f t="shared" si="5"/>
        <v>3.7240968016601248</v>
      </c>
      <c r="F58" s="29">
        <v>3.6682849602217602E-6</v>
      </c>
      <c r="G58" s="24">
        <v>13.346379964293501</v>
      </c>
      <c r="H58" s="24">
        <v>13.580914837422499</v>
      </c>
      <c r="I58" s="24">
        <v>12.884244750239199</v>
      </c>
      <c r="J58" s="24">
        <f t="shared" si="9"/>
        <v>13.270513183985067</v>
      </c>
      <c r="K58" s="24">
        <v>15.003805434207299</v>
      </c>
      <c r="L58" s="24">
        <v>15.210243354025801</v>
      </c>
      <c r="M58" s="24">
        <v>15.2881624851995</v>
      </c>
      <c r="N58" s="24">
        <f t="shared" si="6"/>
        <v>15.167403757810867</v>
      </c>
      <c r="O58" s="24" t="str">
        <f t="shared" si="7"/>
        <v>ND</v>
      </c>
      <c r="P58" s="24" t="str">
        <f t="shared" si="8"/>
        <v>NA</v>
      </c>
      <c r="S58" s="18" t="s">
        <v>14807</v>
      </c>
      <c r="T58" s="19">
        <v>5.35563623</v>
      </c>
      <c r="U58" s="39"/>
    </row>
    <row r="59" spans="1:21" x14ac:dyDescent="0.2">
      <c r="A59" s="24" t="str">
        <f>"pck-1"</f>
        <v>pck-1</v>
      </c>
      <c r="B59" s="24" t="s">
        <v>3906</v>
      </c>
      <c r="C59" s="24" t="s">
        <v>3079</v>
      </c>
      <c r="D59" s="24">
        <v>1.8821926782377401</v>
      </c>
      <c r="E59" s="24">
        <f t="shared" si="5"/>
        <v>3.6863490399703362</v>
      </c>
      <c r="F59" s="29">
        <v>1.1772471986998199E-6</v>
      </c>
      <c r="G59" s="24">
        <v>13.0937306161621</v>
      </c>
      <c r="H59" s="24">
        <v>13.016597323665099</v>
      </c>
      <c r="I59" s="24">
        <v>13.092986790629499</v>
      </c>
      <c r="J59" s="24">
        <f t="shared" si="9"/>
        <v>13.067771576818899</v>
      </c>
      <c r="K59" s="24">
        <v>15.064676218033</v>
      </c>
      <c r="L59" s="24">
        <v>14.6828664335293</v>
      </c>
      <c r="M59" s="24">
        <v>15.102350113607599</v>
      </c>
      <c r="N59" s="24">
        <f t="shared" si="6"/>
        <v>14.949964255056633</v>
      </c>
      <c r="O59" s="24" t="str">
        <f t="shared" si="7"/>
        <v>ND</v>
      </c>
      <c r="P59" s="24" t="str">
        <f t="shared" si="8"/>
        <v>NA</v>
      </c>
      <c r="S59" s="18" t="s">
        <v>9884</v>
      </c>
      <c r="T59" s="19">
        <v>5.3329647099999997</v>
      </c>
      <c r="U59" s="39"/>
    </row>
    <row r="60" spans="1:21" x14ac:dyDescent="0.2">
      <c r="A60" s="60" t="str">
        <f>"Y45F10C.2"</f>
        <v>Y45F10C.2</v>
      </c>
      <c r="B60" s="24" t="s">
        <v>4215</v>
      </c>
      <c r="C60" s="24" t="s">
        <v>4216</v>
      </c>
      <c r="D60" s="24">
        <v>1.7661332779018599</v>
      </c>
      <c r="E60" s="24">
        <f t="shared" si="5"/>
        <v>3.4014108521656188</v>
      </c>
      <c r="F60" s="24">
        <v>1.03624941546083E-3</v>
      </c>
      <c r="G60" s="24">
        <v>12.865464084893601</v>
      </c>
      <c r="H60" s="24">
        <v>12.0154542496304</v>
      </c>
      <c r="I60" s="24">
        <v>12.834292891697</v>
      </c>
      <c r="J60" s="24">
        <f t="shared" si="9"/>
        <v>12.571737075407</v>
      </c>
      <c r="K60" s="24">
        <v>14.8896745386782</v>
      </c>
      <c r="L60" s="24">
        <v>14.8303417939056</v>
      </c>
      <c r="M60" s="24">
        <v>13.2935947273428</v>
      </c>
      <c r="N60" s="24">
        <f t="shared" si="6"/>
        <v>14.337870353308867</v>
      </c>
      <c r="O60" s="24" t="str">
        <f t="shared" si="7"/>
        <v>ND</v>
      </c>
      <c r="P60" s="24" t="str">
        <f t="shared" si="8"/>
        <v>NA</v>
      </c>
      <c r="S60" s="18" t="s">
        <v>11276</v>
      </c>
      <c r="T60" s="19">
        <v>5.3056272399999997</v>
      </c>
      <c r="U60" s="39"/>
    </row>
    <row r="61" spans="1:21" x14ac:dyDescent="0.2">
      <c r="A61" s="24" t="str">
        <f>"cyc-2.1"</f>
        <v>cyc-2.1</v>
      </c>
      <c r="B61" s="24" t="s">
        <v>4798</v>
      </c>
      <c r="C61" s="24" t="s">
        <v>4800</v>
      </c>
      <c r="D61" s="24">
        <v>1.7182844153774399</v>
      </c>
      <c r="E61" s="24">
        <f t="shared" si="5"/>
        <v>3.2904488956575721</v>
      </c>
      <c r="F61" s="24">
        <v>3.90391294041332E-3</v>
      </c>
      <c r="G61" s="24">
        <v>12.6641053176995</v>
      </c>
      <c r="H61" s="24">
        <v>11.9699593555221</v>
      </c>
      <c r="I61" s="24">
        <v>11.1249161580023</v>
      </c>
      <c r="J61" s="24">
        <f t="shared" si="9"/>
        <v>11.919660277074634</v>
      </c>
      <c r="K61" s="24">
        <v>13.963839332599401</v>
      </c>
      <c r="L61" s="24">
        <v>13.6800803815667</v>
      </c>
      <c r="M61" s="24">
        <v>13.2699143631901</v>
      </c>
      <c r="N61" s="24">
        <f t="shared" si="6"/>
        <v>13.637944692452066</v>
      </c>
      <c r="O61" s="24" t="str">
        <f t="shared" si="7"/>
        <v>ND</v>
      </c>
      <c r="P61" s="24" t="str">
        <f t="shared" si="8"/>
        <v>NA</v>
      </c>
      <c r="S61" s="18" t="s">
        <v>2875</v>
      </c>
      <c r="T61" s="19">
        <v>5.3045302100000002</v>
      </c>
      <c r="U61" s="39"/>
    </row>
    <row r="62" spans="1:21" x14ac:dyDescent="0.2">
      <c r="A62" s="24" t="str">
        <f>"frm-4"</f>
        <v>frm-4</v>
      </c>
      <c r="B62" s="24" t="s">
        <v>2329</v>
      </c>
      <c r="C62" s="24" t="s">
        <v>2110</v>
      </c>
      <c r="D62" s="24">
        <v>1.69616036497213</v>
      </c>
      <c r="E62" s="24">
        <f t="shared" si="5"/>
        <v>3.2403740632414992</v>
      </c>
      <c r="F62" s="24">
        <v>2.51297144625177E-4</v>
      </c>
      <c r="G62" s="24">
        <v>14.40201398858</v>
      </c>
      <c r="H62" s="24">
        <v>14.549888840563099</v>
      </c>
      <c r="I62" s="24">
        <v>13.893359466934999</v>
      </c>
      <c r="J62" s="24">
        <f t="shared" si="9"/>
        <v>14.281754098692701</v>
      </c>
      <c r="K62" s="24">
        <v>15.8075282611135</v>
      </c>
      <c r="L62" s="24">
        <v>15.7286319693567</v>
      </c>
      <c r="M62" s="24">
        <v>16.397583160524199</v>
      </c>
      <c r="N62" s="24">
        <f t="shared" si="6"/>
        <v>15.977914463664801</v>
      </c>
      <c r="O62" s="24" t="str">
        <f t="shared" si="7"/>
        <v>ND</v>
      </c>
      <c r="P62" s="24" t="str">
        <f t="shared" si="8"/>
        <v>NA</v>
      </c>
      <c r="S62" s="18" t="s">
        <v>12857</v>
      </c>
      <c r="T62" s="19">
        <v>5.2960393799999999</v>
      </c>
      <c r="U62" s="39"/>
    </row>
    <row r="63" spans="1:21" x14ac:dyDescent="0.2">
      <c r="A63" s="24" t="str">
        <f>"sti-1"</f>
        <v>sti-1</v>
      </c>
      <c r="B63" s="24" t="s">
        <v>3149</v>
      </c>
      <c r="C63" s="24" t="s">
        <v>3151</v>
      </c>
      <c r="D63" s="24">
        <v>1.53244085463068</v>
      </c>
      <c r="E63" s="24">
        <f t="shared" si="5"/>
        <v>2.8927484118454494</v>
      </c>
      <c r="F63" s="24">
        <v>1.2708807088191099E-4</v>
      </c>
      <c r="G63" s="24">
        <v>12.906328630416199</v>
      </c>
      <c r="H63" s="24">
        <v>13.1691466537061</v>
      </c>
      <c r="I63" s="24">
        <v>13.4082213568679</v>
      </c>
      <c r="J63" s="24">
        <f t="shared" si="9"/>
        <v>13.161232213663398</v>
      </c>
      <c r="K63" s="24">
        <v>14.941687034767099</v>
      </c>
      <c r="L63" s="24">
        <v>14.4970523887835</v>
      </c>
      <c r="M63" s="24">
        <v>14.642279781331601</v>
      </c>
      <c r="N63" s="24">
        <f t="shared" si="6"/>
        <v>14.693673068294068</v>
      </c>
      <c r="O63" s="24" t="str">
        <f t="shared" si="7"/>
        <v>ND</v>
      </c>
      <c r="P63" s="24" t="str">
        <f t="shared" si="8"/>
        <v>NA</v>
      </c>
      <c r="S63" s="18" t="s">
        <v>11641</v>
      </c>
      <c r="T63" s="19">
        <v>5.2188431199999998</v>
      </c>
      <c r="U63" s="39"/>
    </row>
    <row r="64" spans="1:21" x14ac:dyDescent="0.2">
      <c r="A64" s="24" t="str">
        <f>"spe-5"</f>
        <v>spe-5</v>
      </c>
      <c r="B64" s="24" t="s">
        <v>12617</v>
      </c>
      <c r="C64" s="24" t="s">
        <v>12619</v>
      </c>
      <c r="D64" s="24">
        <v>1.52471940083087</v>
      </c>
      <c r="E64" s="24">
        <f t="shared" si="5"/>
        <v>2.8773074792952458</v>
      </c>
      <c r="F64" s="24">
        <v>2.3719440197818599E-4</v>
      </c>
      <c r="G64" s="24">
        <v>15.0066635252564</v>
      </c>
      <c r="H64" s="24">
        <v>14.7319682990149</v>
      </c>
      <c r="I64" s="24">
        <v>14.5434458057625</v>
      </c>
      <c r="J64" s="24">
        <f t="shared" si="9"/>
        <v>14.760692543344602</v>
      </c>
      <c r="K64" s="24">
        <v>16.580874400863301</v>
      </c>
      <c r="L64" s="24">
        <v>16.411925500887801</v>
      </c>
      <c r="M64" s="24">
        <v>15.863435930775299</v>
      </c>
      <c r="N64" s="24">
        <f t="shared" si="6"/>
        <v>16.285411944175465</v>
      </c>
      <c r="O64" s="24" t="str">
        <f t="shared" si="7"/>
        <v>ND</v>
      </c>
      <c r="P64" s="24" t="str">
        <f t="shared" si="8"/>
        <v>NA</v>
      </c>
      <c r="S64" s="18" t="s">
        <v>3454</v>
      </c>
      <c r="T64" s="19">
        <v>5.1872334499999999</v>
      </c>
      <c r="U64" s="39"/>
    </row>
    <row r="65" spans="1:21" x14ac:dyDescent="0.2">
      <c r="A65" s="24" t="str">
        <f>"mthf-1"</f>
        <v>mthf-1</v>
      </c>
      <c r="B65" s="24" t="s">
        <v>7452</v>
      </c>
      <c r="C65" s="24" t="s">
        <v>7454</v>
      </c>
      <c r="D65" s="24">
        <v>1.4381616165877</v>
      </c>
      <c r="E65" s="24">
        <f t="shared" si="5"/>
        <v>2.7097534956165394</v>
      </c>
      <c r="F65" s="29">
        <v>9.0036584918886604E-5</v>
      </c>
      <c r="G65" s="24">
        <v>13.465907171226601</v>
      </c>
      <c r="H65" s="24">
        <v>13.127124894258801</v>
      </c>
      <c r="I65" s="24">
        <v>13.307128624552099</v>
      </c>
      <c r="J65" s="24">
        <f t="shared" si="9"/>
        <v>13.300053563345834</v>
      </c>
      <c r="K65" s="24">
        <v>14.4322619352393</v>
      </c>
      <c r="L65" s="24">
        <v>14.8140877789277</v>
      </c>
      <c r="M65" s="24">
        <v>14.9682958256336</v>
      </c>
      <c r="N65" s="24">
        <f t="shared" si="6"/>
        <v>14.738215179933533</v>
      </c>
      <c r="O65" s="24" t="str">
        <f t="shared" si="7"/>
        <v>ND</v>
      </c>
      <c r="P65" s="24" t="str">
        <f t="shared" si="8"/>
        <v>NA</v>
      </c>
      <c r="S65" s="18" t="s">
        <v>7683</v>
      </c>
      <c r="T65" s="19">
        <v>5.1493989300000003</v>
      </c>
      <c r="U65" s="39"/>
    </row>
    <row r="66" spans="1:21" x14ac:dyDescent="0.2">
      <c r="A66" s="24" t="str">
        <f>"F09E5.3"</f>
        <v>F09E5.3</v>
      </c>
      <c r="B66" s="24" t="s">
        <v>8168</v>
      </c>
      <c r="C66" s="24" t="s">
        <v>8170</v>
      </c>
      <c r="D66" s="24">
        <v>1.4150791130239799</v>
      </c>
      <c r="E66" s="24">
        <f t="shared" ref="E66:E75" si="10">IFERROR(2^D66, "NA")</f>
        <v>2.66674358630965</v>
      </c>
      <c r="F66" s="24">
        <v>2.9379828327214599E-3</v>
      </c>
      <c r="G66" s="24">
        <v>12.485211819350701</v>
      </c>
      <c r="H66" s="24">
        <v>12.2322828231237</v>
      </c>
      <c r="I66" s="24">
        <v>12.487547817792301</v>
      </c>
      <c r="J66" s="24">
        <f t="shared" si="9"/>
        <v>12.401680820088899</v>
      </c>
      <c r="K66" s="24">
        <v>14.157928260028999</v>
      </c>
      <c r="L66" s="24">
        <v>13.9609617659835</v>
      </c>
      <c r="M66" s="24">
        <v>13.331389773326199</v>
      </c>
      <c r="N66" s="24">
        <f t="shared" ref="N66:N75" si="11">(K66+L66+M66)/3</f>
        <v>13.8167599331129</v>
      </c>
      <c r="O66" s="24" t="str">
        <f t="shared" ref="O66:O75" si="12">IFERROR(INDEX(T:T, MATCH(A66, S:S, 0)), "ND")</f>
        <v>ND</v>
      </c>
      <c r="P66" s="24" t="str">
        <f t="shared" ref="P66:P75" si="13">IFERROR(E66/O66, "NA")</f>
        <v>NA</v>
      </c>
      <c r="S66" s="18" t="s">
        <v>11194</v>
      </c>
      <c r="T66" s="19">
        <v>5.1442231500000002</v>
      </c>
      <c r="U66" s="39"/>
    </row>
    <row r="67" spans="1:21" x14ac:dyDescent="0.2">
      <c r="A67" s="56" t="str">
        <f>"T19C4.1"</f>
        <v>T19C4.1</v>
      </c>
      <c r="B67" s="24" t="s">
        <v>9857</v>
      </c>
      <c r="C67" s="24" t="s">
        <v>9858</v>
      </c>
      <c r="D67" s="24">
        <v>1.37319567275257</v>
      </c>
      <c r="E67" s="24">
        <f t="shared" si="10"/>
        <v>2.5904373149401621</v>
      </c>
      <c r="F67" s="24">
        <v>1.2105665963993699E-3</v>
      </c>
      <c r="G67" s="24">
        <v>14.1399730832894</v>
      </c>
      <c r="H67" s="24">
        <v>14.683828250162399</v>
      </c>
      <c r="I67" s="24">
        <v>14.664771716772499</v>
      </c>
      <c r="J67" s="24">
        <f t="shared" si="9"/>
        <v>14.496191016741433</v>
      </c>
      <c r="K67" s="24">
        <v>16.211306476196</v>
      </c>
      <c r="L67" s="24">
        <v>16.091751641078201</v>
      </c>
      <c r="M67" s="24">
        <v>15.305101951207799</v>
      </c>
      <c r="N67" s="24">
        <f t="shared" si="11"/>
        <v>15.869386689494002</v>
      </c>
      <c r="O67" s="24" t="str">
        <f t="shared" si="12"/>
        <v>ND</v>
      </c>
      <c r="P67" s="24" t="str">
        <f t="shared" si="13"/>
        <v>NA</v>
      </c>
      <c r="S67" s="18" t="s">
        <v>3805</v>
      </c>
      <c r="T67" s="19">
        <v>5.0381587100000003</v>
      </c>
      <c r="U67" s="39"/>
    </row>
    <row r="68" spans="1:21" x14ac:dyDescent="0.2">
      <c r="A68" s="56" t="str">
        <f>"W08E12.7"</f>
        <v>W08E12.7</v>
      </c>
      <c r="B68" s="24" t="s">
        <v>12623</v>
      </c>
      <c r="C68" s="24" t="s">
        <v>12624</v>
      </c>
      <c r="D68" s="24">
        <v>1.3444335675950101</v>
      </c>
      <c r="E68" s="24">
        <f t="shared" si="10"/>
        <v>2.5393047848872836</v>
      </c>
      <c r="F68" s="24">
        <v>1.83318455463967E-3</v>
      </c>
      <c r="G68" s="24">
        <v>13.754261074120601</v>
      </c>
      <c r="H68" s="24">
        <v>13.881500913047001</v>
      </c>
      <c r="I68" s="24">
        <v>14.048446664462199</v>
      </c>
      <c r="J68" s="24">
        <f t="shared" si="9"/>
        <v>13.894736217209934</v>
      </c>
      <c r="K68" s="24">
        <v>15.3341115380611</v>
      </c>
      <c r="L68" s="24">
        <v>15.625898050467001</v>
      </c>
      <c r="M68" s="24">
        <v>14.757499765886701</v>
      </c>
      <c r="N68" s="24">
        <f t="shared" si="11"/>
        <v>15.239169784804934</v>
      </c>
      <c r="O68" s="24" t="str">
        <f t="shared" si="12"/>
        <v>ND</v>
      </c>
      <c r="P68" s="24" t="str">
        <f t="shared" si="13"/>
        <v>NA</v>
      </c>
      <c r="S68" s="18" t="s">
        <v>315</v>
      </c>
      <c r="T68" s="19">
        <v>5.0101333800000001</v>
      </c>
      <c r="U68" s="39"/>
    </row>
    <row r="69" spans="1:21" x14ac:dyDescent="0.2">
      <c r="A69" s="56" t="str">
        <f>"aco-1"</f>
        <v>aco-1</v>
      </c>
      <c r="B69" s="24" t="s">
        <v>10286</v>
      </c>
      <c r="C69" s="24" t="s">
        <v>10288</v>
      </c>
      <c r="D69" s="24">
        <v>1.29972042411893</v>
      </c>
      <c r="E69" s="24">
        <f t="shared" si="10"/>
        <v>2.4618117127802832</v>
      </c>
      <c r="F69" s="24">
        <v>9.9045522594653698E-4</v>
      </c>
      <c r="G69" s="24">
        <v>14.7522454361123</v>
      </c>
      <c r="H69" s="24">
        <v>14.5179210229617</v>
      </c>
      <c r="I69" s="24">
        <v>14.612232615031299</v>
      </c>
      <c r="J69" s="24">
        <f t="shared" si="9"/>
        <v>14.627466358035099</v>
      </c>
      <c r="K69" s="24">
        <v>16.239198846014499</v>
      </c>
      <c r="L69" s="24">
        <v>15.909966749643299</v>
      </c>
      <c r="M69" s="24">
        <v>15.6323947508043</v>
      </c>
      <c r="N69" s="24">
        <f t="shared" si="11"/>
        <v>15.927186782154033</v>
      </c>
      <c r="O69" s="24" t="str">
        <f t="shared" si="12"/>
        <v>ND</v>
      </c>
      <c r="P69" s="24" t="str">
        <f t="shared" si="13"/>
        <v>NA</v>
      </c>
      <c r="S69" s="11" t="s">
        <v>5251</v>
      </c>
      <c r="T69" s="20">
        <v>4.9786246800000002</v>
      </c>
      <c r="U69" s="41" t="s">
        <v>14928</v>
      </c>
    </row>
    <row r="70" spans="1:21" x14ac:dyDescent="0.2">
      <c r="A70" s="56" t="str">
        <f>"C29F7.3"</f>
        <v>C29F7.3</v>
      </c>
      <c r="B70" s="24" t="s">
        <v>3457</v>
      </c>
      <c r="C70" s="24" t="s">
        <v>3459</v>
      </c>
      <c r="D70" s="24">
        <v>1.27669724680552</v>
      </c>
      <c r="E70" s="24">
        <f t="shared" si="10"/>
        <v>2.4228368290864242</v>
      </c>
      <c r="F70" s="24">
        <v>4.41485190443808E-3</v>
      </c>
      <c r="G70" s="24">
        <v>13.3997683500922</v>
      </c>
      <c r="H70" s="24">
        <v>12.284811224796099</v>
      </c>
      <c r="I70" s="24">
        <v>13.2622093948406</v>
      </c>
      <c r="J70" s="24">
        <f t="shared" si="9"/>
        <v>12.982262989909634</v>
      </c>
      <c r="K70" s="24">
        <v>14.336652591980901</v>
      </c>
      <c r="L70" s="24">
        <v>14.2149324673191</v>
      </c>
      <c r="M70" s="24">
        <v>14.225295650845601</v>
      </c>
      <c r="N70" s="24">
        <f t="shared" si="11"/>
        <v>14.258960236715202</v>
      </c>
      <c r="O70" s="24" t="str">
        <f t="shared" si="12"/>
        <v>ND</v>
      </c>
      <c r="P70" s="24" t="str">
        <f t="shared" si="13"/>
        <v>NA</v>
      </c>
      <c r="S70" s="11" t="s">
        <v>8357</v>
      </c>
      <c r="T70" s="20">
        <v>4.8608899699999997</v>
      </c>
      <c r="U70" s="39" t="s">
        <v>14917</v>
      </c>
    </row>
    <row r="71" spans="1:21" x14ac:dyDescent="0.2">
      <c r="A71" s="56" t="str">
        <f>"let-805"</f>
        <v>let-805</v>
      </c>
      <c r="B71" s="24" t="s">
        <v>13484</v>
      </c>
      <c r="C71" s="24" t="s">
        <v>297</v>
      </c>
      <c r="D71" s="24">
        <v>1.2453307363294299</v>
      </c>
      <c r="E71" s="24">
        <f t="shared" si="10"/>
        <v>2.3707289667274356</v>
      </c>
      <c r="F71" s="24">
        <v>3.2930958299234102E-3</v>
      </c>
      <c r="G71" s="24">
        <v>14.348509767977999</v>
      </c>
      <c r="H71" s="24">
        <v>14.38411895041</v>
      </c>
      <c r="I71" s="24">
        <v>14.9965314538996</v>
      </c>
      <c r="J71" s="24">
        <f t="shared" si="9"/>
        <v>14.576386724095867</v>
      </c>
      <c r="K71" s="24">
        <v>16.375727506280501</v>
      </c>
      <c r="L71" s="24">
        <v>15.6189012248787</v>
      </c>
      <c r="M71" s="24">
        <v>15.470523650116601</v>
      </c>
      <c r="N71" s="24">
        <f t="shared" si="11"/>
        <v>15.821717460425267</v>
      </c>
      <c r="O71" s="24" t="str">
        <f t="shared" si="12"/>
        <v>ND</v>
      </c>
      <c r="P71" s="24" t="str">
        <f t="shared" si="13"/>
        <v>NA</v>
      </c>
      <c r="S71" s="11" t="s">
        <v>6434</v>
      </c>
      <c r="T71" s="20">
        <v>4.8303157299999997</v>
      </c>
      <c r="U71" s="39"/>
    </row>
    <row r="72" spans="1:21" x14ac:dyDescent="0.2">
      <c r="A72" s="56" t="str">
        <f>"vha-2"</f>
        <v>vha-2</v>
      </c>
      <c r="B72" s="24" t="s">
        <v>701</v>
      </c>
      <c r="C72" s="24" t="s">
        <v>702</v>
      </c>
      <c r="D72" s="24">
        <v>1.2370830037509499</v>
      </c>
      <c r="E72" s="24">
        <f t="shared" si="10"/>
        <v>2.3572144312633196</v>
      </c>
      <c r="F72" s="24">
        <v>2.5521495453489202E-3</v>
      </c>
      <c r="G72" s="24">
        <v>15.292373885452101</v>
      </c>
      <c r="H72" s="24">
        <v>15.6223166964692</v>
      </c>
      <c r="I72" s="24">
        <v>16.1259357773319</v>
      </c>
      <c r="J72" s="24">
        <f t="shared" si="9"/>
        <v>15.680208786417731</v>
      </c>
      <c r="K72" s="24">
        <v>17.344150718035301</v>
      </c>
      <c r="L72" s="24">
        <v>16.956299488475501</v>
      </c>
      <c r="M72" s="24">
        <v>16.4514251639952</v>
      </c>
      <c r="N72" s="24">
        <f t="shared" si="11"/>
        <v>16.917291790168665</v>
      </c>
      <c r="O72" s="24" t="str">
        <f t="shared" si="12"/>
        <v>ND</v>
      </c>
      <c r="P72" s="24" t="str">
        <f t="shared" si="13"/>
        <v>NA</v>
      </c>
      <c r="S72" s="11" t="s">
        <v>88</v>
      </c>
      <c r="T72" s="20">
        <v>4.8081449999999997</v>
      </c>
      <c r="U72" s="39"/>
    </row>
    <row r="73" spans="1:21" x14ac:dyDescent="0.2">
      <c r="A73" s="57" t="str">
        <f>"ctc-2"</f>
        <v>ctc-2</v>
      </c>
      <c r="B73" s="24" t="s">
        <v>4850</v>
      </c>
      <c r="C73" s="24" t="s">
        <v>4852</v>
      </c>
      <c r="D73" s="24">
        <v>1.08442540590976</v>
      </c>
      <c r="E73" s="24">
        <f t="shared" si="10"/>
        <v>2.1205307532013546</v>
      </c>
      <c r="F73" s="24">
        <v>4.1579800614096399E-3</v>
      </c>
      <c r="G73" s="24">
        <v>16.297654768060799</v>
      </c>
      <c r="H73" s="24">
        <v>16.262992149885498</v>
      </c>
      <c r="I73" s="24">
        <v>16.3835626836991</v>
      </c>
      <c r="J73" s="24">
        <f t="shared" si="9"/>
        <v>16.314736533881799</v>
      </c>
      <c r="K73" s="24">
        <v>17.070902282614998</v>
      </c>
      <c r="L73" s="24">
        <v>17.532430946448098</v>
      </c>
      <c r="M73" s="24">
        <v>17.594152590311499</v>
      </c>
      <c r="N73" s="24">
        <f t="shared" si="11"/>
        <v>17.399161939791529</v>
      </c>
      <c r="O73" s="24" t="str">
        <f t="shared" si="12"/>
        <v>ND</v>
      </c>
      <c r="P73" s="24" t="str">
        <f t="shared" si="13"/>
        <v>NA</v>
      </c>
      <c r="S73" s="11" t="s">
        <v>465</v>
      </c>
      <c r="T73" s="20">
        <v>4.7841150700000004</v>
      </c>
      <c r="U73" s="39"/>
    </row>
    <row r="74" spans="1:21" x14ac:dyDescent="0.2">
      <c r="A74" s="56" t="str">
        <f>"gsp-1"</f>
        <v>gsp-1</v>
      </c>
      <c r="B74" s="24" t="s">
        <v>10432</v>
      </c>
      <c r="C74" s="24" t="s">
        <v>10434</v>
      </c>
      <c r="D74" s="24">
        <v>1.0385404671906699</v>
      </c>
      <c r="E74" s="24">
        <f t="shared" si="10"/>
        <v>2.0541484792169813</v>
      </c>
      <c r="F74" s="24">
        <v>1.87912956129119E-3</v>
      </c>
      <c r="G74" s="24">
        <v>12.7611260390839</v>
      </c>
      <c r="H74" s="24">
        <v>13.0697420517422</v>
      </c>
      <c r="I74" s="24">
        <v>12.957939651490101</v>
      </c>
      <c r="J74" s="24">
        <f t="shared" si="9"/>
        <v>12.929602580772068</v>
      </c>
      <c r="K74" s="24">
        <v>14.364509692168401</v>
      </c>
      <c r="L74" s="24">
        <v>13.858996770325</v>
      </c>
      <c r="M74" s="24">
        <v>13.680922681394801</v>
      </c>
      <c r="N74" s="24">
        <f t="shared" si="11"/>
        <v>13.968143047962734</v>
      </c>
      <c r="O74" s="24" t="str">
        <f t="shared" si="12"/>
        <v>ND</v>
      </c>
      <c r="P74" s="24" t="str">
        <f t="shared" si="13"/>
        <v>NA</v>
      </c>
      <c r="S74" s="11" t="s">
        <v>944</v>
      </c>
      <c r="T74" s="20">
        <v>4.7641000399999998</v>
      </c>
      <c r="U74" s="39"/>
    </row>
    <row r="75" spans="1:21" x14ac:dyDescent="0.2">
      <c r="A75" s="56" t="str">
        <f>"lam-1"</f>
        <v>lam-1</v>
      </c>
      <c r="B75" s="24" t="s">
        <v>3841</v>
      </c>
      <c r="C75" s="24" t="s">
        <v>3843</v>
      </c>
      <c r="D75" s="24">
        <v>1.0073853271686799</v>
      </c>
      <c r="E75" s="24">
        <f t="shared" si="10"/>
        <v>2.0102644875587066</v>
      </c>
      <c r="F75" s="24">
        <v>4.2734197988310903E-3</v>
      </c>
      <c r="G75" s="24">
        <v>13.5894287579011</v>
      </c>
      <c r="H75" s="24">
        <v>13.6688674226884</v>
      </c>
      <c r="I75" s="24">
        <v>14.2842547871984</v>
      </c>
      <c r="J75" s="24">
        <f t="shared" si="9"/>
        <v>13.847516989262635</v>
      </c>
      <c r="K75" s="24">
        <v>15.060234148737299</v>
      </c>
      <c r="L75" s="24">
        <v>14.9449986197936</v>
      </c>
      <c r="M75" s="24">
        <v>14.559474180763001</v>
      </c>
      <c r="N75" s="24">
        <f t="shared" si="11"/>
        <v>14.8549023164313</v>
      </c>
      <c r="O75" s="24" t="str">
        <f t="shared" si="12"/>
        <v>ND</v>
      </c>
      <c r="P75" s="24" t="str">
        <f t="shared" si="13"/>
        <v>NA</v>
      </c>
      <c r="S75" s="11" t="s">
        <v>1209</v>
      </c>
      <c r="T75" s="20">
        <v>4.5818628099999996</v>
      </c>
      <c r="U75" s="39"/>
    </row>
    <row r="76" spans="1:21" x14ac:dyDescent="0.2">
      <c r="A76" s="52"/>
      <c r="S76" s="11" t="s">
        <v>9440</v>
      </c>
      <c r="T76" s="20">
        <v>4.5629360500000002</v>
      </c>
      <c r="U76" s="39"/>
    </row>
    <row r="77" spans="1:21" x14ac:dyDescent="0.2">
      <c r="A77" s="52"/>
      <c r="S77" s="11" t="s">
        <v>3930</v>
      </c>
      <c r="T77" s="20">
        <v>4.51665078</v>
      </c>
      <c r="U77" s="39"/>
    </row>
    <row r="78" spans="1:21" x14ac:dyDescent="0.2">
      <c r="A78" s="52"/>
      <c r="S78" s="10" t="s">
        <v>14808</v>
      </c>
      <c r="T78" s="21">
        <v>4.4289296021776599</v>
      </c>
      <c r="U78" s="40"/>
    </row>
    <row r="79" spans="1:21" x14ac:dyDescent="0.2">
      <c r="A79" s="52"/>
      <c r="S79" s="11" t="s">
        <v>3299</v>
      </c>
      <c r="T79" s="20">
        <v>4.4027046299999997</v>
      </c>
      <c r="U79" s="39"/>
    </row>
    <row r="80" spans="1:21" x14ac:dyDescent="0.2">
      <c r="A80" s="52"/>
      <c r="S80" s="11" t="s">
        <v>14809</v>
      </c>
      <c r="T80" s="20">
        <v>4.39401449</v>
      </c>
      <c r="U80" s="39"/>
    </row>
    <row r="81" spans="1:21" x14ac:dyDescent="0.2">
      <c r="A81" s="52"/>
      <c r="S81" s="11" t="s">
        <v>9759</v>
      </c>
      <c r="T81" s="20">
        <v>4.2269197700000003</v>
      </c>
      <c r="U81" s="39"/>
    </row>
    <row r="82" spans="1:21" x14ac:dyDescent="0.2">
      <c r="A82" s="52"/>
      <c r="S82" s="10" t="s">
        <v>7987</v>
      </c>
      <c r="T82" s="20">
        <v>4.1515668901613356</v>
      </c>
      <c r="U82" s="39"/>
    </row>
    <row r="83" spans="1:21" x14ac:dyDescent="0.2">
      <c r="A83" s="52"/>
      <c r="S83" s="11" t="s">
        <v>14172</v>
      </c>
      <c r="T83" s="20">
        <v>4.1223131100000003</v>
      </c>
      <c r="U83" s="39"/>
    </row>
    <row r="84" spans="1:21" x14ac:dyDescent="0.2">
      <c r="A84" s="52"/>
      <c r="S84" s="10" t="s">
        <v>13532</v>
      </c>
      <c r="T84" s="21">
        <v>4.0876309905636603</v>
      </c>
      <c r="U84" s="40"/>
    </row>
    <row r="85" spans="1:21" x14ac:dyDescent="0.2">
      <c r="A85" s="52"/>
      <c r="S85" s="11" t="s">
        <v>14213</v>
      </c>
      <c r="T85" s="20">
        <v>4.0803284199999998</v>
      </c>
      <c r="U85" s="39"/>
    </row>
    <row r="86" spans="1:21" x14ac:dyDescent="0.2">
      <c r="A86" s="52"/>
      <c r="S86" s="11" t="s">
        <v>1422</v>
      </c>
      <c r="T86" s="20">
        <v>4.0776110599999997</v>
      </c>
      <c r="U86" s="39"/>
    </row>
    <row r="87" spans="1:21" x14ac:dyDescent="0.2">
      <c r="A87" s="52"/>
      <c r="S87" s="11" t="s">
        <v>12679</v>
      </c>
      <c r="T87" s="20">
        <v>4.0673590600000002</v>
      </c>
      <c r="U87" s="39"/>
    </row>
    <row r="88" spans="1:21" x14ac:dyDescent="0.2">
      <c r="A88" s="52"/>
      <c r="S88" s="11" t="s">
        <v>12300</v>
      </c>
      <c r="T88" s="20">
        <v>4.0429665400000001</v>
      </c>
      <c r="U88" s="39"/>
    </row>
    <row r="89" spans="1:21" x14ac:dyDescent="0.2">
      <c r="A89" s="52"/>
      <c r="S89" s="11" t="s">
        <v>7671</v>
      </c>
      <c r="T89" s="20">
        <v>4.0404980300000002</v>
      </c>
      <c r="U89" s="39"/>
    </row>
    <row r="90" spans="1:21" x14ac:dyDescent="0.2">
      <c r="A90" s="52"/>
      <c r="S90" s="11" t="s">
        <v>3897</v>
      </c>
      <c r="T90" s="20">
        <v>4.0345622900000002</v>
      </c>
      <c r="U90" s="39"/>
    </row>
    <row r="91" spans="1:21" x14ac:dyDescent="0.2">
      <c r="A91" s="52"/>
      <c r="S91" s="10" t="s">
        <v>4967</v>
      </c>
      <c r="T91" s="20">
        <v>4.0339140586133171</v>
      </c>
      <c r="U91" s="39"/>
    </row>
    <row r="92" spans="1:21" x14ac:dyDescent="0.2">
      <c r="A92" s="52"/>
      <c r="S92" s="11" t="s">
        <v>6169</v>
      </c>
      <c r="T92" s="20">
        <v>4.02411809</v>
      </c>
      <c r="U92" s="39"/>
    </row>
    <row r="93" spans="1:21" x14ac:dyDescent="0.2">
      <c r="A93" s="52"/>
      <c r="S93" s="10" t="s">
        <v>14162</v>
      </c>
      <c r="T93" s="20">
        <v>4.0086542005910042</v>
      </c>
      <c r="U93" s="39"/>
    </row>
    <row r="94" spans="1:21" x14ac:dyDescent="0.2">
      <c r="A94" s="52"/>
      <c r="S94" s="10" t="s">
        <v>14810</v>
      </c>
      <c r="T94" s="20">
        <v>4.0059125255190766</v>
      </c>
      <c r="U94" s="39"/>
    </row>
    <row r="95" spans="1:21" x14ac:dyDescent="0.2">
      <c r="A95" s="52"/>
      <c r="S95" s="11" t="s">
        <v>14088</v>
      </c>
      <c r="T95" s="20">
        <v>4.0005771499999998</v>
      </c>
      <c r="U95" s="39"/>
    </row>
    <row r="96" spans="1:21" x14ac:dyDescent="0.2">
      <c r="A96" s="52"/>
      <c r="S96" s="11" t="s">
        <v>4061</v>
      </c>
      <c r="T96" s="20">
        <v>3.90200031</v>
      </c>
      <c r="U96" s="39"/>
    </row>
    <row r="97" spans="1:21" x14ac:dyDescent="0.2">
      <c r="A97" s="52"/>
      <c r="S97" s="10" t="s">
        <v>14166</v>
      </c>
      <c r="T97" s="21">
        <v>3.7979094356966026</v>
      </c>
      <c r="U97" s="40"/>
    </row>
    <row r="98" spans="1:21" x14ac:dyDescent="0.2">
      <c r="A98" s="52"/>
      <c r="S98" s="11" t="s">
        <v>1213</v>
      </c>
      <c r="T98" s="20">
        <v>3.7943776300000001</v>
      </c>
      <c r="U98" s="39"/>
    </row>
    <row r="99" spans="1:21" x14ac:dyDescent="0.2">
      <c r="A99" s="52"/>
      <c r="S99" s="11" t="s">
        <v>2882</v>
      </c>
      <c r="T99" s="20">
        <v>3.7548965700000001</v>
      </c>
      <c r="U99" s="39"/>
    </row>
    <row r="100" spans="1:21" x14ac:dyDescent="0.2">
      <c r="A100" s="52"/>
      <c r="S100" s="11" t="s">
        <v>12326</v>
      </c>
      <c r="T100" s="20">
        <v>3.7477500199999998</v>
      </c>
      <c r="U100" s="39"/>
    </row>
    <row r="101" spans="1:21" x14ac:dyDescent="0.2">
      <c r="A101" s="53"/>
      <c r="S101" s="11" t="s">
        <v>628</v>
      </c>
      <c r="T101" s="20">
        <v>3.7304220099999998</v>
      </c>
      <c r="U101" s="39"/>
    </row>
    <row r="102" spans="1:21" x14ac:dyDescent="0.2">
      <c r="A102" s="52"/>
      <c r="S102" s="11" t="s">
        <v>12486</v>
      </c>
      <c r="T102" s="20">
        <v>3.69990569</v>
      </c>
      <c r="U102" s="39"/>
    </row>
    <row r="103" spans="1:21" x14ac:dyDescent="0.2">
      <c r="A103" s="52"/>
      <c r="S103" s="11" t="s">
        <v>624</v>
      </c>
      <c r="T103" s="20">
        <v>3.6879316499999999</v>
      </c>
      <c r="U103" s="39"/>
    </row>
    <row r="104" spans="1:21" x14ac:dyDescent="0.2">
      <c r="A104" s="52"/>
      <c r="S104" s="11" t="s">
        <v>348</v>
      </c>
      <c r="T104" s="20">
        <v>3.6495920599999998</v>
      </c>
      <c r="U104" s="39"/>
    </row>
    <row r="105" spans="1:21" x14ac:dyDescent="0.2">
      <c r="A105" s="52"/>
      <c r="S105" s="11" t="s">
        <v>14664</v>
      </c>
      <c r="T105" s="20">
        <v>3.6442160499999998</v>
      </c>
      <c r="U105" s="39"/>
    </row>
    <row r="106" spans="1:21" x14ac:dyDescent="0.2">
      <c r="A106" s="52"/>
      <c r="S106" s="11" t="s">
        <v>1585</v>
      </c>
      <c r="T106" s="20">
        <v>3.6120241900000001</v>
      </c>
      <c r="U106" s="39"/>
    </row>
    <row r="107" spans="1:21" x14ac:dyDescent="0.2">
      <c r="A107" s="52"/>
      <c r="S107" s="11" t="s">
        <v>10263</v>
      </c>
      <c r="T107" s="20">
        <v>3.60346374</v>
      </c>
      <c r="U107" s="39"/>
    </row>
    <row r="108" spans="1:21" x14ac:dyDescent="0.2">
      <c r="A108" s="52"/>
      <c r="S108" s="11" t="s">
        <v>6019</v>
      </c>
      <c r="T108" s="20">
        <v>3.5951703799999999</v>
      </c>
      <c r="U108" s="39"/>
    </row>
    <row r="109" spans="1:21" x14ac:dyDescent="0.2">
      <c r="A109" s="52"/>
      <c r="S109" s="11" t="s">
        <v>14245</v>
      </c>
      <c r="T109" s="20">
        <v>3.5934479100000001</v>
      </c>
      <c r="U109" s="39"/>
    </row>
    <row r="110" spans="1:21" x14ac:dyDescent="0.2">
      <c r="A110" s="52"/>
      <c r="S110" s="11" t="s">
        <v>6023</v>
      </c>
      <c r="T110" s="20">
        <v>3.5795412899999999</v>
      </c>
      <c r="U110" s="39"/>
    </row>
    <row r="111" spans="1:21" x14ac:dyDescent="0.2">
      <c r="A111" s="52"/>
      <c r="S111" s="11" t="s">
        <v>3739</v>
      </c>
      <c r="T111" s="20">
        <v>3.5748882000000002</v>
      </c>
      <c r="U111" s="39"/>
    </row>
    <row r="112" spans="1:21" x14ac:dyDescent="0.2">
      <c r="A112" s="52"/>
      <c r="S112" s="10" t="s">
        <v>14811</v>
      </c>
      <c r="T112" s="20">
        <v>3.5724707499043444</v>
      </c>
      <c r="U112" s="39"/>
    </row>
    <row r="113" spans="1:21" x14ac:dyDescent="0.2">
      <c r="A113" s="52"/>
      <c r="S113" s="10" t="s">
        <v>10680</v>
      </c>
      <c r="T113" s="20">
        <v>3.5699404279015292</v>
      </c>
      <c r="U113" s="39"/>
    </row>
    <row r="114" spans="1:21" x14ac:dyDescent="0.2">
      <c r="A114" s="52"/>
      <c r="S114" s="10" t="s">
        <v>7340</v>
      </c>
      <c r="T114" s="20">
        <v>3.5329462735661892</v>
      </c>
      <c r="U114" s="39"/>
    </row>
    <row r="115" spans="1:21" x14ac:dyDescent="0.2">
      <c r="A115" s="52"/>
      <c r="S115" s="11" t="s">
        <v>14697</v>
      </c>
      <c r="T115" s="20">
        <v>3.5275356200000001</v>
      </c>
      <c r="U115" s="39"/>
    </row>
    <row r="116" spans="1:21" x14ac:dyDescent="0.2">
      <c r="A116" s="52"/>
      <c r="S116" s="10" t="s">
        <v>14485</v>
      </c>
      <c r="T116" s="20">
        <v>3.5094892716802968</v>
      </c>
      <c r="U116" s="39"/>
    </row>
    <row r="117" spans="1:21" x14ac:dyDescent="0.2">
      <c r="A117" s="52"/>
      <c r="S117" s="11" t="s">
        <v>1709</v>
      </c>
      <c r="T117" s="20">
        <v>3.4727308099999998</v>
      </c>
      <c r="U117" s="39"/>
    </row>
    <row r="118" spans="1:21" x14ac:dyDescent="0.2">
      <c r="A118" s="52"/>
      <c r="S118" s="10" t="s">
        <v>5147</v>
      </c>
      <c r="T118" s="20">
        <v>3.4624468677270763</v>
      </c>
      <c r="U118" s="39"/>
    </row>
    <row r="119" spans="1:21" x14ac:dyDescent="0.2">
      <c r="A119" s="52"/>
      <c r="S119" s="11" t="s">
        <v>14812</v>
      </c>
      <c r="T119" s="20">
        <v>3.4324472699999999</v>
      </c>
      <c r="U119" s="39"/>
    </row>
    <row r="120" spans="1:21" x14ac:dyDescent="0.2">
      <c r="A120" s="52"/>
      <c r="S120" s="10" t="s">
        <v>14813</v>
      </c>
      <c r="T120" s="20">
        <v>3.4226173322639637</v>
      </c>
      <c r="U120" s="39"/>
    </row>
    <row r="121" spans="1:21" x14ac:dyDescent="0.2">
      <c r="A121" s="52"/>
      <c r="S121" s="11" t="s">
        <v>1705</v>
      </c>
      <c r="T121" s="20">
        <v>3.4104602499999999</v>
      </c>
      <c r="U121" s="39"/>
    </row>
    <row r="122" spans="1:21" x14ac:dyDescent="0.2">
      <c r="A122" s="52"/>
      <c r="S122" s="10" t="s">
        <v>14814</v>
      </c>
      <c r="T122" s="20">
        <v>3.3905045955362612</v>
      </c>
      <c r="U122" s="39"/>
    </row>
    <row r="123" spans="1:21" x14ac:dyDescent="0.2">
      <c r="A123" s="52"/>
      <c r="S123" s="11" t="s">
        <v>14171</v>
      </c>
      <c r="T123" s="20">
        <v>3.3613502799999999</v>
      </c>
      <c r="U123" s="39"/>
    </row>
    <row r="124" spans="1:21" x14ac:dyDescent="0.2">
      <c r="A124" s="52"/>
      <c r="S124" s="11" t="s">
        <v>5322</v>
      </c>
      <c r="T124" s="20">
        <v>3.3128137099999999</v>
      </c>
      <c r="U124" s="39"/>
    </row>
    <row r="125" spans="1:21" x14ac:dyDescent="0.2">
      <c r="A125" s="52"/>
      <c r="S125" s="11" t="s">
        <v>14815</v>
      </c>
      <c r="T125" s="20">
        <v>3.2988511900000002</v>
      </c>
      <c r="U125" s="39"/>
    </row>
    <row r="126" spans="1:21" x14ac:dyDescent="0.2">
      <c r="A126" s="52"/>
      <c r="S126" s="11" t="s">
        <v>14816</v>
      </c>
      <c r="T126" s="20">
        <v>3.26683769</v>
      </c>
      <c r="U126" s="39"/>
    </row>
    <row r="127" spans="1:21" x14ac:dyDescent="0.2">
      <c r="A127" s="52"/>
      <c r="S127" s="11" t="s">
        <v>4256</v>
      </c>
      <c r="T127" s="20">
        <v>3.2404884100000002</v>
      </c>
      <c r="U127" s="39"/>
    </row>
    <row r="128" spans="1:21" x14ac:dyDescent="0.2">
      <c r="A128" s="52"/>
      <c r="S128" s="11" t="s">
        <v>12598</v>
      </c>
      <c r="T128" s="20">
        <v>3.2164031500000001</v>
      </c>
      <c r="U128" s="39"/>
    </row>
    <row r="129" spans="1:21" x14ac:dyDescent="0.2">
      <c r="A129" s="52"/>
      <c r="S129" s="11" t="s">
        <v>8165</v>
      </c>
      <c r="T129" s="20">
        <v>3.2135458099999998</v>
      </c>
      <c r="U129" s="39"/>
    </row>
    <row r="130" spans="1:21" x14ac:dyDescent="0.2">
      <c r="A130" s="52"/>
      <c r="S130" s="11" t="s">
        <v>396</v>
      </c>
      <c r="T130" s="20">
        <v>3.2054233700000001</v>
      </c>
      <c r="U130" s="39"/>
    </row>
    <row r="131" spans="1:21" x14ac:dyDescent="0.2">
      <c r="A131" s="52"/>
      <c r="S131" s="11" t="s">
        <v>14817</v>
      </c>
      <c r="T131" s="20">
        <v>3.1978355700000001</v>
      </c>
      <c r="U131" s="39"/>
    </row>
    <row r="132" spans="1:21" x14ac:dyDescent="0.2">
      <c r="A132" s="52"/>
      <c r="S132" s="11" t="s">
        <v>12251</v>
      </c>
      <c r="T132" s="20">
        <v>3.1719083800000001</v>
      </c>
      <c r="U132" s="39"/>
    </row>
    <row r="133" spans="1:21" x14ac:dyDescent="0.2">
      <c r="A133" s="52"/>
      <c r="S133" s="11" t="s">
        <v>14818</v>
      </c>
      <c r="T133" s="20">
        <v>3.1679403800000001</v>
      </c>
      <c r="U133" s="39"/>
    </row>
    <row r="134" spans="1:21" x14ac:dyDescent="0.2">
      <c r="A134" s="52"/>
      <c r="S134" s="11" t="s">
        <v>11530</v>
      </c>
      <c r="T134" s="20">
        <v>3.1386884199999998</v>
      </c>
      <c r="U134" s="39"/>
    </row>
    <row r="135" spans="1:21" x14ac:dyDescent="0.2">
      <c r="A135" s="52"/>
      <c r="S135" s="11" t="s">
        <v>9426</v>
      </c>
      <c r="T135" s="20">
        <v>3.13809</v>
      </c>
      <c r="U135" s="39"/>
    </row>
    <row r="136" spans="1:21" x14ac:dyDescent="0.2">
      <c r="A136" s="52"/>
      <c r="S136" s="11" t="s">
        <v>983</v>
      </c>
      <c r="T136" s="20">
        <v>3.1329182800000002</v>
      </c>
      <c r="U136" s="39"/>
    </row>
    <row r="137" spans="1:21" x14ac:dyDescent="0.2">
      <c r="A137" s="52"/>
      <c r="S137" s="11" t="s">
        <v>5398</v>
      </c>
      <c r="T137" s="20">
        <v>3.1192659200000001</v>
      </c>
      <c r="U137" s="39"/>
    </row>
    <row r="138" spans="1:21" x14ac:dyDescent="0.2">
      <c r="A138" s="52"/>
      <c r="S138" s="11" t="s">
        <v>13338</v>
      </c>
      <c r="T138" s="20">
        <v>3.0909888400000001</v>
      </c>
      <c r="U138" s="39"/>
    </row>
    <row r="139" spans="1:21" x14ac:dyDescent="0.2">
      <c r="A139" s="53"/>
      <c r="S139" s="11" t="s">
        <v>8080</v>
      </c>
      <c r="T139" s="20">
        <v>3.0728087799999999</v>
      </c>
      <c r="U139" s="39"/>
    </row>
    <row r="140" spans="1:21" x14ac:dyDescent="0.2">
      <c r="A140" s="52"/>
      <c r="S140" s="11" t="s">
        <v>11874</v>
      </c>
      <c r="T140" s="20">
        <v>3.04240968</v>
      </c>
      <c r="U140" s="39"/>
    </row>
    <row r="141" spans="1:21" x14ac:dyDescent="0.2">
      <c r="A141" s="52"/>
      <c r="S141" s="11" t="s">
        <v>7358</v>
      </c>
      <c r="T141" s="20">
        <v>3.0399567200000002</v>
      </c>
      <c r="U141" s="39"/>
    </row>
    <row r="142" spans="1:21" x14ac:dyDescent="0.2">
      <c r="A142" s="52"/>
      <c r="S142" s="11" t="s">
        <v>5031</v>
      </c>
      <c r="T142" s="20">
        <v>3.0350834999999998</v>
      </c>
      <c r="U142" s="39"/>
    </row>
    <row r="143" spans="1:21" x14ac:dyDescent="0.2">
      <c r="A143" s="52"/>
      <c r="S143" s="11" t="s">
        <v>14819</v>
      </c>
      <c r="T143" s="20">
        <v>3.0216343399999999</v>
      </c>
      <c r="U143" s="39"/>
    </row>
    <row r="144" spans="1:21" x14ac:dyDescent="0.2">
      <c r="A144" s="52"/>
      <c r="S144" s="11" t="s">
        <v>7523</v>
      </c>
      <c r="T144" s="20">
        <v>2.9844003699999999</v>
      </c>
      <c r="U144" s="39"/>
    </row>
    <row r="145" spans="1:21" x14ac:dyDescent="0.2">
      <c r="A145" s="52"/>
      <c r="S145" s="11" t="s">
        <v>1972</v>
      </c>
      <c r="T145" s="20">
        <v>2.9604292000000001</v>
      </c>
      <c r="U145" s="39"/>
    </row>
    <row r="146" spans="1:21" x14ac:dyDescent="0.2">
      <c r="A146" s="52"/>
      <c r="S146" s="11" t="s">
        <v>8753</v>
      </c>
      <c r="T146" s="20">
        <v>2.93598567</v>
      </c>
      <c r="U146" s="39"/>
    </row>
    <row r="147" spans="1:21" x14ac:dyDescent="0.2">
      <c r="A147" s="52"/>
      <c r="S147" s="11" t="s">
        <v>10298</v>
      </c>
      <c r="T147" s="20">
        <v>2.9140060499999998</v>
      </c>
      <c r="U147" s="39"/>
    </row>
    <row r="148" spans="1:21" x14ac:dyDescent="0.2">
      <c r="A148" s="52"/>
      <c r="S148" s="11" t="s">
        <v>1471</v>
      </c>
      <c r="T148" s="20">
        <v>2.9108313400000001</v>
      </c>
      <c r="U148" s="39"/>
    </row>
    <row r="149" spans="1:21" x14ac:dyDescent="0.2">
      <c r="A149" s="52"/>
      <c r="S149" s="11" t="s">
        <v>14820</v>
      </c>
      <c r="T149" s="20">
        <v>2.9063408000000002</v>
      </c>
      <c r="U149" s="39"/>
    </row>
    <row r="150" spans="1:21" x14ac:dyDescent="0.2">
      <c r="A150" s="52"/>
      <c r="S150" s="11" t="s">
        <v>5630</v>
      </c>
      <c r="T150" s="20">
        <v>2.8936961499999998</v>
      </c>
      <c r="U150" s="39"/>
    </row>
    <row r="151" spans="1:21" x14ac:dyDescent="0.2">
      <c r="A151" s="52"/>
      <c r="S151" s="11" t="s">
        <v>6905</v>
      </c>
      <c r="T151" s="20">
        <v>2.8920846600000001</v>
      </c>
      <c r="U151" s="39"/>
    </row>
    <row r="152" spans="1:21" x14ac:dyDescent="0.2">
      <c r="A152" s="52"/>
      <c r="S152" s="10" t="s">
        <v>10913</v>
      </c>
      <c r="T152" s="21">
        <v>2.8898607958470506</v>
      </c>
      <c r="U152" s="40"/>
    </row>
    <row r="153" spans="1:21" x14ac:dyDescent="0.2">
      <c r="A153" s="52"/>
      <c r="S153" s="11" t="s">
        <v>11309</v>
      </c>
      <c r="T153" s="20">
        <v>2.8844428600000001</v>
      </c>
      <c r="U153" s="39"/>
    </row>
    <row r="154" spans="1:21" x14ac:dyDescent="0.2">
      <c r="A154" s="52"/>
      <c r="S154" s="11" t="s">
        <v>1299</v>
      </c>
      <c r="T154" s="20">
        <v>2.8723567499999998</v>
      </c>
      <c r="U154" s="39"/>
    </row>
    <row r="155" spans="1:21" x14ac:dyDescent="0.2">
      <c r="A155" s="52"/>
      <c r="S155" s="11" t="s">
        <v>11585</v>
      </c>
      <c r="T155" s="20">
        <v>2.85350839</v>
      </c>
      <c r="U155" s="39"/>
    </row>
    <row r="156" spans="1:21" x14ac:dyDescent="0.2">
      <c r="A156" s="52"/>
      <c r="S156" s="11" t="s">
        <v>5622</v>
      </c>
      <c r="T156" s="20">
        <v>2.8418008499999998</v>
      </c>
      <c r="U156" s="39"/>
    </row>
    <row r="157" spans="1:21" x14ac:dyDescent="0.2">
      <c r="A157" s="52"/>
      <c r="S157" s="11" t="s">
        <v>4439</v>
      </c>
      <c r="T157" s="20">
        <v>2.83839576</v>
      </c>
      <c r="U157" s="39"/>
    </row>
    <row r="158" spans="1:21" x14ac:dyDescent="0.2">
      <c r="A158" s="52"/>
      <c r="S158" s="11" t="s">
        <v>13488</v>
      </c>
      <c r="T158" s="20">
        <v>2.8256087999999999</v>
      </c>
      <c r="U158" s="39"/>
    </row>
    <row r="159" spans="1:21" x14ac:dyDescent="0.2">
      <c r="A159" s="52"/>
      <c r="S159" s="11" t="s">
        <v>14821</v>
      </c>
      <c r="T159" s="20">
        <v>2.8244664199999998</v>
      </c>
      <c r="U159" s="39"/>
    </row>
    <row r="160" spans="1:21" x14ac:dyDescent="0.2">
      <c r="A160" s="52"/>
      <c r="S160" s="11" t="s">
        <v>1146</v>
      </c>
      <c r="T160" s="20">
        <v>2.8244629099999998</v>
      </c>
      <c r="U160" s="39"/>
    </row>
    <row r="161" spans="1:21" x14ac:dyDescent="0.2">
      <c r="A161" s="52"/>
      <c r="S161" s="11" t="s">
        <v>14822</v>
      </c>
      <c r="T161" s="20">
        <v>2.824373</v>
      </c>
      <c r="U161" s="39"/>
    </row>
    <row r="162" spans="1:21" x14ac:dyDescent="0.2">
      <c r="A162" s="52"/>
      <c r="S162" s="11" t="s">
        <v>14823</v>
      </c>
      <c r="T162" s="20">
        <v>2.7984265100000001</v>
      </c>
      <c r="U162" s="39"/>
    </row>
    <row r="163" spans="1:21" x14ac:dyDescent="0.2">
      <c r="A163" s="52"/>
      <c r="S163" s="10" t="s">
        <v>11371</v>
      </c>
      <c r="T163" s="20">
        <v>2.7911792396759152</v>
      </c>
      <c r="U163" s="39"/>
    </row>
    <row r="164" spans="1:21" x14ac:dyDescent="0.2">
      <c r="A164" s="52"/>
      <c r="S164" s="10" t="s">
        <v>1670</v>
      </c>
      <c r="T164" s="20">
        <v>2.7583972946551407</v>
      </c>
      <c r="U164" s="39"/>
    </row>
    <row r="165" spans="1:21" x14ac:dyDescent="0.2">
      <c r="A165" s="52"/>
      <c r="S165" s="11" t="s">
        <v>12210</v>
      </c>
      <c r="T165" s="20">
        <v>2.7508854500000002</v>
      </c>
      <c r="U165" s="39"/>
    </row>
    <row r="166" spans="1:21" x14ac:dyDescent="0.2">
      <c r="A166" s="52"/>
      <c r="S166" s="11" t="s">
        <v>10728</v>
      </c>
      <c r="T166" s="20">
        <v>2.7414156099999998</v>
      </c>
      <c r="U166" s="39"/>
    </row>
    <row r="167" spans="1:21" x14ac:dyDescent="0.2">
      <c r="A167" s="52"/>
      <c r="S167" s="10" t="s">
        <v>14164</v>
      </c>
      <c r="T167" s="21">
        <v>2.7286739180665229</v>
      </c>
      <c r="U167" s="40"/>
    </row>
    <row r="168" spans="1:21" x14ac:dyDescent="0.2">
      <c r="A168" s="52"/>
      <c r="S168" s="11" t="s">
        <v>14178</v>
      </c>
      <c r="T168" s="20">
        <v>2.7277159700000002</v>
      </c>
      <c r="U168" s="39"/>
    </row>
    <row r="169" spans="1:21" x14ac:dyDescent="0.2">
      <c r="A169" s="52"/>
      <c r="S169" s="11" t="s">
        <v>13036</v>
      </c>
      <c r="T169" s="20">
        <v>2.7237521500000001</v>
      </c>
      <c r="U169" s="39"/>
    </row>
    <row r="170" spans="1:21" x14ac:dyDescent="0.2">
      <c r="A170" s="52"/>
      <c r="S170" s="11" t="s">
        <v>14824</v>
      </c>
      <c r="T170" s="20">
        <v>2.7062234200000002</v>
      </c>
      <c r="U170" s="39"/>
    </row>
    <row r="171" spans="1:21" x14ac:dyDescent="0.2">
      <c r="A171" s="52"/>
      <c r="S171" s="11" t="s">
        <v>3478</v>
      </c>
      <c r="T171" s="20">
        <v>2.6950409099999999</v>
      </c>
      <c r="U171" s="39"/>
    </row>
    <row r="172" spans="1:21" x14ac:dyDescent="0.2">
      <c r="A172" s="52"/>
      <c r="S172" s="10" t="s">
        <v>14825</v>
      </c>
      <c r="T172" s="20">
        <v>2.6926505093943405</v>
      </c>
      <c r="U172" s="39"/>
    </row>
    <row r="173" spans="1:21" x14ac:dyDescent="0.2">
      <c r="A173" s="52"/>
      <c r="S173" s="11" t="s">
        <v>9998</v>
      </c>
      <c r="T173" s="20">
        <v>2.6827469499999999</v>
      </c>
      <c r="U173" s="39"/>
    </row>
    <row r="174" spans="1:21" x14ac:dyDescent="0.2">
      <c r="A174" s="52"/>
      <c r="S174" s="10" t="s">
        <v>7499</v>
      </c>
      <c r="T174" s="20">
        <v>2.6806548415707212</v>
      </c>
      <c r="U174" s="39"/>
    </row>
    <row r="175" spans="1:21" x14ac:dyDescent="0.2">
      <c r="A175" s="52"/>
      <c r="S175" s="11" t="s">
        <v>14826</v>
      </c>
      <c r="T175" s="20">
        <v>2.6793032800000001</v>
      </c>
      <c r="U175" s="39"/>
    </row>
    <row r="176" spans="1:21" x14ac:dyDescent="0.2">
      <c r="A176" s="52"/>
      <c r="S176" s="11" t="s">
        <v>8353</v>
      </c>
      <c r="T176" s="20">
        <v>2.6655700100000002</v>
      </c>
      <c r="U176" s="39"/>
    </row>
    <row r="177" spans="1:21" x14ac:dyDescent="0.2">
      <c r="A177" s="52"/>
      <c r="S177" s="11" t="s">
        <v>5394</v>
      </c>
      <c r="T177" s="20">
        <v>2.6556687499999998</v>
      </c>
      <c r="U177" s="39"/>
    </row>
    <row r="178" spans="1:21" x14ac:dyDescent="0.2">
      <c r="A178" s="52"/>
      <c r="S178" s="11" t="s">
        <v>5983</v>
      </c>
      <c r="T178" s="20">
        <v>2.6459550300000001</v>
      </c>
      <c r="U178" s="39"/>
    </row>
    <row r="179" spans="1:21" x14ac:dyDescent="0.2">
      <c r="A179" s="52"/>
      <c r="S179" s="11" t="s">
        <v>13871</v>
      </c>
      <c r="T179" s="20">
        <v>2.63493887</v>
      </c>
      <c r="U179" s="39"/>
    </row>
    <row r="180" spans="1:21" x14ac:dyDescent="0.2">
      <c r="A180" s="52"/>
      <c r="S180" s="11" t="s">
        <v>14827</v>
      </c>
      <c r="T180" s="20">
        <v>2.6260325600000001</v>
      </c>
      <c r="U180" s="39"/>
    </row>
    <row r="181" spans="1:21" x14ac:dyDescent="0.2">
      <c r="A181" s="52"/>
      <c r="S181" s="11" t="s">
        <v>14174</v>
      </c>
      <c r="T181" s="20">
        <v>2.6250738600000001</v>
      </c>
      <c r="U181" s="39"/>
    </row>
    <row r="182" spans="1:21" x14ac:dyDescent="0.2">
      <c r="A182" s="52"/>
      <c r="S182" s="11" t="s">
        <v>7323</v>
      </c>
      <c r="T182" s="20">
        <v>2.6221794300000001</v>
      </c>
      <c r="U182" s="39"/>
    </row>
    <row r="183" spans="1:21" x14ac:dyDescent="0.2">
      <c r="A183" s="52"/>
      <c r="S183" s="11" t="s">
        <v>14353</v>
      </c>
      <c r="T183" s="20">
        <v>2.6156528899999998</v>
      </c>
      <c r="U183" s="39"/>
    </row>
    <row r="184" spans="1:21" x14ac:dyDescent="0.2">
      <c r="A184" s="52"/>
      <c r="S184" s="10" t="s">
        <v>14828</v>
      </c>
      <c r="T184" s="20">
        <v>2.6129819099335019</v>
      </c>
      <c r="U184" s="39"/>
    </row>
    <row r="185" spans="1:21" x14ac:dyDescent="0.2">
      <c r="A185" s="52"/>
      <c r="S185" s="11" t="s">
        <v>8401</v>
      </c>
      <c r="T185" s="20">
        <v>2.60958449</v>
      </c>
      <c r="U185" s="39"/>
    </row>
    <row r="186" spans="1:21" x14ac:dyDescent="0.2">
      <c r="A186" s="52"/>
      <c r="S186" s="11" t="s">
        <v>11795</v>
      </c>
      <c r="T186" s="20">
        <v>2.6003555899999999</v>
      </c>
      <c r="U186" s="39"/>
    </row>
    <row r="187" spans="1:21" x14ac:dyDescent="0.2">
      <c r="A187" s="52"/>
      <c r="S187" s="11" t="s">
        <v>5726</v>
      </c>
      <c r="T187" s="20">
        <v>2.59333298</v>
      </c>
      <c r="U187" s="39"/>
    </row>
    <row r="188" spans="1:21" x14ac:dyDescent="0.2">
      <c r="A188" s="53"/>
      <c r="S188" s="11" t="s">
        <v>7991</v>
      </c>
      <c r="T188" s="20">
        <v>2.5931230799999998</v>
      </c>
      <c r="U188" s="39"/>
    </row>
    <row r="189" spans="1:21" x14ac:dyDescent="0.2">
      <c r="A189" s="52"/>
      <c r="S189" s="11" t="s">
        <v>14829</v>
      </c>
      <c r="T189" s="20">
        <v>2.5739457699999999</v>
      </c>
      <c r="U189" s="39"/>
    </row>
    <row r="190" spans="1:21" x14ac:dyDescent="0.2">
      <c r="A190" s="52"/>
      <c r="S190" s="11" t="s">
        <v>12757</v>
      </c>
      <c r="T190" s="20">
        <v>2.57074034</v>
      </c>
      <c r="U190" s="39"/>
    </row>
    <row r="191" spans="1:21" x14ac:dyDescent="0.2">
      <c r="A191" s="52"/>
      <c r="S191" s="10" t="s">
        <v>14830</v>
      </c>
      <c r="T191" s="20">
        <v>2.5360633189098243</v>
      </c>
      <c r="U191" s="39"/>
    </row>
    <row r="192" spans="1:21" x14ac:dyDescent="0.2">
      <c r="A192" s="52"/>
      <c r="S192" s="11" t="s">
        <v>14515</v>
      </c>
      <c r="T192" s="20">
        <v>2.52863543</v>
      </c>
      <c r="U192" s="39"/>
    </row>
    <row r="193" spans="1:21" x14ac:dyDescent="0.2">
      <c r="A193" s="52"/>
      <c r="S193" s="10" t="s">
        <v>10155</v>
      </c>
      <c r="T193" s="20">
        <v>2.5136782550893848</v>
      </c>
      <c r="U193" s="39"/>
    </row>
    <row r="194" spans="1:21" x14ac:dyDescent="0.2">
      <c r="A194" s="52"/>
      <c r="S194" s="11" t="s">
        <v>14524</v>
      </c>
      <c r="T194" s="20">
        <v>2.5135381300000001</v>
      </c>
      <c r="U194" s="39"/>
    </row>
    <row r="195" spans="1:21" x14ac:dyDescent="0.2">
      <c r="A195" s="52"/>
      <c r="S195" s="11" t="s">
        <v>14831</v>
      </c>
      <c r="T195" s="20">
        <v>2.5104880199999999</v>
      </c>
      <c r="U195" s="39"/>
    </row>
    <row r="196" spans="1:21" x14ac:dyDescent="0.2">
      <c r="A196" s="53"/>
      <c r="S196" s="11" t="s">
        <v>9285</v>
      </c>
      <c r="T196" s="20">
        <v>2.4946958399999999</v>
      </c>
      <c r="U196" s="39"/>
    </row>
    <row r="197" spans="1:21" x14ac:dyDescent="0.2">
      <c r="A197" s="52"/>
      <c r="S197" s="11" t="s">
        <v>3539</v>
      </c>
      <c r="T197" s="20">
        <v>2.4944524299999999</v>
      </c>
      <c r="U197" s="39"/>
    </row>
    <row r="198" spans="1:21" x14ac:dyDescent="0.2">
      <c r="A198" s="52"/>
      <c r="S198" s="10" t="s">
        <v>14264</v>
      </c>
      <c r="T198" s="21">
        <v>2.4658827188051093</v>
      </c>
      <c r="U198" s="40"/>
    </row>
    <row r="199" spans="1:21" x14ac:dyDescent="0.2">
      <c r="A199" s="52"/>
      <c r="S199" s="11" t="s">
        <v>5920</v>
      </c>
      <c r="T199" s="20">
        <v>2.4633087200000001</v>
      </c>
      <c r="U199" s="39"/>
    </row>
    <row r="200" spans="1:21" x14ac:dyDescent="0.2">
      <c r="A200" s="52"/>
      <c r="S200" s="10" t="s">
        <v>14832</v>
      </c>
      <c r="T200" s="21">
        <v>2.4557334764799923</v>
      </c>
      <c r="U200" s="40"/>
    </row>
    <row r="201" spans="1:21" x14ac:dyDescent="0.2">
      <c r="A201" s="52"/>
      <c r="S201" s="11" t="s">
        <v>14320</v>
      </c>
      <c r="T201" s="20">
        <v>2.44814482</v>
      </c>
      <c r="U201" s="39"/>
    </row>
    <row r="202" spans="1:21" x14ac:dyDescent="0.2">
      <c r="A202" s="52"/>
      <c r="S202" s="11" t="s">
        <v>952</v>
      </c>
      <c r="T202" s="20">
        <v>2.44797508</v>
      </c>
      <c r="U202" s="39"/>
    </row>
    <row r="203" spans="1:21" x14ac:dyDescent="0.2">
      <c r="A203" s="52"/>
      <c r="S203" s="11" t="s">
        <v>13794</v>
      </c>
      <c r="T203" s="20">
        <v>2.4469431199999998</v>
      </c>
      <c r="U203" s="39"/>
    </row>
    <row r="204" spans="1:21" x14ac:dyDescent="0.2">
      <c r="A204" s="52"/>
      <c r="S204" s="11" t="s">
        <v>11944</v>
      </c>
      <c r="T204" s="20">
        <v>2.4374346600000001</v>
      </c>
      <c r="U204" s="39"/>
    </row>
    <row r="205" spans="1:21" x14ac:dyDescent="0.2">
      <c r="A205" s="52"/>
      <c r="S205" s="11" t="s">
        <v>10180</v>
      </c>
      <c r="T205" s="20">
        <v>2.4317500999999999</v>
      </c>
      <c r="U205" s="39"/>
    </row>
    <row r="206" spans="1:21" x14ac:dyDescent="0.2">
      <c r="A206" s="52"/>
      <c r="S206" s="11" t="s">
        <v>6557</v>
      </c>
      <c r="T206" s="20">
        <v>2.42257934</v>
      </c>
      <c r="U206" s="39"/>
    </row>
    <row r="207" spans="1:21" x14ac:dyDescent="0.2">
      <c r="A207" s="52"/>
      <c r="S207" s="10" t="s">
        <v>14833</v>
      </c>
      <c r="T207" s="20">
        <v>2.4043285577118638</v>
      </c>
      <c r="U207" s="39"/>
    </row>
    <row r="208" spans="1:21" x14ac:dyDescent="0.2">
      <c r="A208" s="52"/>
      <c r="S208" s="10" t="s">
        <v>14834</v>
      </c>
      <c r="T208" s="20">
        <v>2.3896511107642122</v>
      </c>
      <c r="U208" s="39"/>
    </row>
    <row r="209" spans="1:21" x14ac:dyDescent="0.2">
      <c r="A209" s="52"/>
      <c r="S209" s="11" t="s">
        <v>5754</v>
      </c>
      <c r="T209" s="20">
        <v>2.3840881299999999</v>
      </c>
      <c r="U209" s="39"/>
    </row>
    <row r="210" spans="1:21" x14ac:dyDescent="0.2">
      <c r="A210" s="52"/>
      <c r="S210" s="11" t="s">
        <v>5654</v>
      </c>
      <c r="T210" s="20">
        <v>2.3740384899999998</v>
      </c>
      <c r="U210" s="39"/>
    </row>
    <row r="211" spans="1:21" x14ac:dyDescent="0.2">
      <c r="A211" s="52"/>
      <c r="S211" s="11" t="s">
        <v>7382</v>
      </c>
      <c r="T211" s="20">
        <v>2.3732021699999999</v>
      </c>
      <c r="U211" s="39"/>
    </row>
    <row r="212" spans="1:21" x14ac:dyDescent="0.2">
      <c r="A212" s="52"/>
      <c r="S212" s="10" t="s">
        <v>14835</v>
      </c>
      <c r="T212" s="20">
        <v>2.3613504247647152</v>
      </c>
      <c r="U212" s="39"/>
    </row>
    <row r="213" spans="1:21" x14ac:dyDescent="0.2">
      <c r="A213" s="52"/>
      <c r="S213" s="11" t="s">
        <v>5943</v>
      </c>
      <c r="T213" s="20">
        <v>2.3589548100000002</v>
      </c>
      <c r="U213" s="39"/>
    </row>
    <row r="214" spans="1:21" x14ac:dyDescent="0.2">
      <c r="A214" s="52"/>
      <c r="S214" s="11" t="s">
        <v>14836</v>
      </c>
      <c r="T214" s="20">
        <v>2.34472418</v>
      </c>
      <c r="U214" s="39"/>
    </row>
    <row r="215" spans="1:21" x14ac:dyDescent="0.2">
      <c r="A215" s="52"/>
      <c r="S215" s="11" t="s">
        <v>4979</v>
      </c>
      <c r="T215" s="20">
        <v>2.3367719299999998</v>
      </c>
      <c r="U215" s="39"/>
    </row>
    <row r="216" spans="1:21" x14ac:dyDescent="0.2">
      <c r="A216" s="52"/>
      <c r="S216" s="11" t="s">
        <v>5171</v>
      </c>
      <c r="T216" s="20">
        <v>2.3200671100000001</v>
      </c>
      <c r="U216" s="39"/>
    </row>
    <row r="217" spans="1:21" x14ac:dyDescent="0.2">
      <c r="A217" s="52"/>
      <c r="S217" s="11" t="s">
        <v>14435</v>
      </c>
      <c r="T217" s="20">
        <v>2.31945413</v>
      </c>
      <c r="U217" s="39"/>
    </row>
    <row r="218" spans="1:21" x14ac:dyDescent="0.2">
      <c r="A218" s="52"/>
      <c r="S218" s="10" t="s">
        <v>14837</v>
      </c>
      <c r="T218" s="20">
        <v>2.3074640686789936</v>
      </c>
      <c r="U218" s="39"/>
    </row>
    <row r="219" spans="1:21" x14ac:dyDescent="0.2">
      <c r="A219" s="52"/>
      <c r="S219" s="10" t="s">
        <v>14838</v>
      </c>
      <c r="T219" s="20">
        <v>2.2942140484523303</v>
      </c>
      <c r="U219" s="39"/>
    </row>
    <row r="220" spans="1:21" x14ac:dyDescent="0.2">
      <c r="A220" s="52"/>
      <c r="S220" s="10" t="s">
        <v>14394</v>
      </c>
      <c r="T220" s="20">
        <v>2.2870691712641826</v>
      </c>
      <c r="U220" s="39"/>
    </row>
    <row r="221" spans="1:21" x14ac:dyDescent="0.2">
      <c r="A221" s="52"/>
      <c r="S221" s="10" t="s">
        <v>6213</v>
      </c>
      <c r="T221" s="20">
        <v>2.2845523517470934</v>
      </c>
      <c r="U221" s="39"/>
    </row>
    <row r="222" spans="1:21" x14ac:dyDescent="0.2">
      <c r="A222" s="52"/>
      <c r="S222" s="11" t="s">
        <v>14839</v>
      </c>
      <c r="T222" s="20">
        <v>2.28333005</v>
      </c>
      <c r="U222" s="39"/>
    </row>
    <row r="223" spans="1:21" x14ac:dyDescent="0.2">
      <c r="A223" s="52"/>
      <c r="S223" s="10" t="s">
        <v>14653</v>
      </c>
      <c r="T223" s="20">
        <v>2.2795263866027669</v>
      </c>
      <c r="U223" s="39"/>
    </row>
    <row r="224" spans="1:21" x14ac:dyDescent="0.2">
      <c r="A224" s="52"/>
      <c r="S224" s="10" t="s">
        <v>6272</v>
      </c>
      <c r="T224" s="20">
        <v>2.2777352857525219</v>
      </c>
      <c r="U224" s="39"/>
    </row>
    <row r="225" spans="1:21" x14ac:dyDescent="0.2">
      <c r="A225" s="52"/>
      <c r="S225" s="11" t="s">
        <v>11496</v>
      </c>
      <c r="T225" s="20">
        <v>2.2734654299999999</v>
      </c>
      <c r="U225" s="39"/>
    </row>
    <row r="226" spans="1:21" x14ac:dyDescent="0.2">
      <c r="A226" s="52"/>
      <c r="S226" s="11" t="s">
        <v>14179</v>
      </c>
      <c r="T226" s="20">
        <v>2.2527639000000002</v>
      </c>
      <c r="U226" s="39"/>
    </row>
    <row r="227" spans="1:21" x14ac:dyDescent="0.2">
      <c r="A227" s="52"/>
      <c r="S227" s="11" t="s">
        <v>6609</v>
      </c>
      <c r="T227" s="20">
        <v>2.2526991999999999</v>
      </c>
      <c r="U227" s="39"/>
    </row>
    <row r="228" spans="1:21" x14ac:dyDescent="0.2">
      <c r="A228" s="52"/>
      <c r="S228" s="11" t="s">
        <v>14840</v>
      </c>
      <c r="T228" s="20">
        <v>2.2416322900000001</v>
      </c>
      <c r="U228" s="39"/>
    </row>
    <row r="229" spans="1:21" x14ac:dyDescent="0.2">
      <c r="A229" s="52"/>
      <c r="S229" s="10" t="s">
        <v>14841</v>
      </c>
      <c r="T229" s="20">
        <v>2.2353488547905687</v>
      </c>
      <c r="U229" s="39"/>
    </row>
    <row r="230" spans="1:21" x14ac:dyDescent="0.2">
      <c r="A230" s="52"/>
      <c r="S230" s="11" t="s">
        <v>14842</v>
      </c>
      <c r="T230" s="20">
        <v>2.2325585999999999</v>
      </c>
      <c r="U230" s="39"/>
    </row>
    <row r="231" spans="1:21" x14ac:dyDescent="0.2">
      <c r="A231" s="52"/>
      <c r="S231" s="11" t="s">
        <v>11179</v>
      </c>
      <c r="T231" s="20">
        <v>2.2288679600000001</v>
      </c>
      <c r="U231" s="39"/>
    </row>
    <row r="232" spans="1:21" x14ac:dyDescent="0.2">
      <c r="A232" s="52"/>
      <c r="S232" s="10" t="s">
        <v>14843</v>
      </c>
      <c r="T232" s="20">
        <v>2.2273063436391891</v>
      </c>
      <c r="U232" s="39"/>
    </row>
    <row r="233" spans="1:21" x14ac:dyDescent="0.2">
      <c r="A233" s="52"/>
      <c r="S233" s="11" t="s">
        <v>7634</v>
      </c>
      <c r="T233" s="20">
        <v>2.2172895499999998</v>
      </c>
      <c r="U233" s="39"/>
    </row>
    <row r="234" spans="1:21" x14ac:dyDescent="0.2">
      <c r="A234" s="52"/>
      <c r="S234" s="10" t="s">
        <v>14844</v>
      </c>
      <c r="T234" s="20">
        <v>2.2010617794804963</v>
      </c>
      <c r="U234" s="39"/>
    </row>
    <row r="235" spans="1:21" x14ac:dyDescent="0.2">
      <c r="A235" s="53"/>
      <c r="S235" s="11" t="s">
        <v>207</v>
      </c>
      <c r="T235" s="20">
        <v>2.1934022799999999</v>
      </c>
      <c r="U235" s="39"/>
    </row>
    <row r="236" spans="1:21" x14ac:dyDescent="0.2">
      <c r="A236" s="53"/>
      <c r="S236" s="11" t="s">
        <v>14845</v>
      </c>
      <c r="T236" s="20">
        <v>2.1915128199999998</v>
      </c>
      <c r="U236" s="39"/>
    </row>
    <row r="237" spans="1:21" x14ac:dyDescent="0.2">
      <c r="A237" s="52"/>
      <c r="S237" s="11" t="s">
        <v>303</v>
      </c>
      <c r="T237" s="20">
        <v>2.1821675200000001</v>
      </c>
      <c r="U237" s="39"/>
    </row>
    <row r="238" spans="1:21" x14ac:dyDescent="0.2">
      <c r="A238" s="52"/>
      <c r="S238" s="11" t="s">
        <v>14306</v>
      </c>
      <c r="T238" s="20">
        <v>2.1758025600000002</v>
      </c>
      <c r="U238" s="39"/>
    </row>
    <row r="239" spans="1:21" x14ac:dyDescent="0.2">
      <c r="A239" s="53"/>
      <c r="S239" s="11" t="s">
        <v>14259</v>
      </c>
      <c r="T239" s="20">
        <v>2.17545952</v>
      </c>
      <c r="U239" s="39"/>
    </row>
    <row r="240" spans="1:21" x14ac:dyDescent="0.2">
      <c r="A240" s="52"/>
      <c r="S240" s="11" t="s">
        <v>4539</v>
      </c>
      <c r="T240" s="20">
        <v>2.1642393700000002</v>
      </c>
      <c r="U240" s="39"/>
    </row>
    <row r="241" spans="1:21" x14ac:dyDescent="0.2">
      <c r="A241" s="52"/>
      <c r="S241" s="11" t="s">
        <v>415</v>
      </c>
      <c r="T241" s="20">
        <v>2.15698086</v>
      </c>
      <c r="U241" s="39"/>
    </row>
    <row r="242" spans="1:21" x14ac:dyDescent="0.2">
      <c r="A242" s="52"/>
      <c r="S242" s="11" t="s">
        <v>2405</v>
      </c>
      <c r="T242" s="20">
        <v>2.1461375500000002</v>
      </c>
      <c r="U242" s="39"/>
    </row>
    <row r="243" spans="1:21" x14ac:dyDescent="0.2">
      <c r="A243" s="52"/>
      <c r="S243" s="11" t="s">
        <v>711</v>
      </c>
      <c r="T243" s="20">
        <v>2.1460555700000001</v>
      </c>
      <c r="U243" s="39"/>
    </row>
    <row r="244" spans="1:21" x14ac:dyDescent="0.2">
      <c r="A244" s="52"/>
      <c r="S244" s="11" t="s">
        <v>5151</v>
      </c>
      <c r="T244" s="20">
        <v>2.1402167599999999</v>
      </c>
      <c r="U244" s="39"/>
    </row>
    <row r="245" spans="1:21" x14ac:dyDescent="0.2">
      <c r="A245" s="52"/>
      <c r="S245" s="11" t="s">
        <v>14846</v>
      </c>
      <c r="T245" s="20">
        <v>2.1308901699999998</v>
      </c>
      <c r="U245" s="39"/>
    </row>
    <row r="246" spans="1:21" x14ac:dyDescent="0.2">
      <c r="A246" s="52"/>
      <c r="S246" s="11" t="s">
        <v>5800</v>
      </c>
      <c r="T246" s="20">
        <v>2.1268589100000002</v>
      </c>
      <c r="U246" s="39"/>
    </row>
    <row r="247" spans="1:21" x14ac:dyDescent="0.2">
      <c r="A247" s="52"/>
      <c r="S247" s="11" t="s">
        <v>14452</v>
      </c>
      <c r="T247" s="20">
        <v>2.11454648</v>
      </c>
      <c r="U247" s="39"/>
    </row>
    <row r="248" spans="1:21" x14ac:dyDescent="0.2">
      <c r="A248" s="52"/>
      <c r="S248" s="11" t="s">
        <v>14732</v>
      </c>
      <c r="T248" s="20">
        <v>2.1104118999999999</v>
      </c>
      <c r="U248" s="39"/>
    </row>
    <row r="249" spans="1:21" x14ac:dyDescent="0.2">
      <c r="A249" s="52"/>
      <c r="S249" s="11" t="s">
        <v>1123</v>
      </c>
      <c r="T249" s="20">
        <v>2.1018122699999999</v>
      </c>
      <c r="U249" s="39"/>
    </row>
    <row r="250" spans="1:21" x14ac:dyDescent="0.2">
      <c r="A250" s="52"/>
      <c r="S250" s="11" t="s">
        <v>2511</v>
      </c>
      <c r="T250" s="20">
        <v>2.0950321299999999</v>
      </c>
      <c r="U250" s="39"/>
    </row>
    <row r="251" spans="1:21" x14ac:dyDescent="0.2">
      <c r="A251" s="52"/>
      <c r="S251" s="11" t="s">
        <v>1295</v>
      </c>
      <c r="T251" s="20">
        <v>2.0911383699999999</v>
      </c>
      <c r="U251" s="39"/>
    </row>
    <row r="252" spans="1:21" x14ac:dyDescent="0.2">
      <c r="A252" s="53"/>
      <c r="S252" s="10" t="s">
        <v>8887</v>
      </c>
      <c r="T252" s="20">
        <v>2.0871557869853428</v>
      </c>
      <c r="U252" s="39"/>
    </row>
    <row r="253" spans="1:21" x14ac:dyDescent="0.2">
      <c r="A253" s="52"/>
      <c r="S253" s="11" t="s">
        <v>14029</v>
      </c>
      <c r="T253" s="20">
        <v>2.07907866</v>
      </c>
      <c r="U253" s="39"/>
    </row>
    <row r="254" spans="1:21" x14ac:dyDescent="0.2">
      <c r="A254" s="52"/>
      <c r="S254" s="11" t="s">
        <v>10801</v>
      </c>
      <c r="T254" s="20">
        <v>2.0747279999999999</v>
      </c>
      <c r="U254" s="39"/>
    </row>
    <row r="255" spans="1:21" x14ac:dyDescent="0.2">
      <c r="A255" s="52"/>
      <c r="S255" s="11" t="s">
        <v>14000</v>
      </c>
      <c r="T255" s="20">
        <v>2.0621125600000001</v>
      </c>
      <c r="U255" s="39"/>
    </row>
    <row r="256" spans="1:21" x14ac:dyDescent="0.2">
      <c r="A256" s="53"/>
      <c r="S256" s="11" t="s">
        <v>11573</v>
      </c>
      <c r="T256" s="20">
        <v>2.054189</v>
      </c>
      <c r="U256" s="39"/>
    </row>
    <row r="257" spans="1:21" x14ac:dyDescent="0.2">
      <c r="A257" s="52"/>
      <c r="S257" s="11" t="s">
        <v>14425</v>
      </c>
      <c r="T257" s="20">
        <v>2.0410746</v>
      </c>
      <c r="U257" s="39"/>
    </row>
    <row r="258" spans="1:21" x14ac:dyDescent="0.2">
      <c r="A258" s="52"/>
      <c r="S258" s="11" t="s">
        <v>6070</v>
      </c>
      <c r="T258" s="20">
        <v>2.0385904099999999</v>
      </c>
      <c r="U258" s="39"/>
    </row>
    <row r="259" spans="1:21" x14ac:dyDescent="0.2">
      <c r="A259" s="52"/>
      <c r="S259" s="11" t="s">
        <v>3546</v>
      </c>
      <c r="T259" s="20">
        <v>2.0302970400000002</v>
      </c>
      <c r="U259" s="39"/>
    </row>
    <row r="260" spans="1:21" x14ac:dyDescent="0.2">
      <c r="A260" s="52"/>
      <c r="S260" s="11" t="s">
        <v>1674</v>
      </c>
      <c r="T260" s="20">
        <v>2.0183022500000001</v>
      </c>
      <c r="U260" s="39"/>
    </row>
    <row r="261" spans="1:21" x14ac:dyDescent="0.2">
      <c r="A261" s="52"/>
      <c r="S261" s="11" t="s">
        <v>14117</v>
      </c>
      <c r="T261" s="20">
        <v>2.0162053499999999</v>
      </c>
      <c r="U261" s="39"/>
    </row>
    <row r="262" spans="1:21" x14ac:dyDescent="0.2">
      <c r="A262" s="52"/>
      <c r="S262" s="10" t="s">
        <v>14847</v>
      </c>
      <c r="T262" s="21">
        <v>2.0051368904255464</v>
      </c>
      <c r="U262" s="40"/>
    </row>
    <row r="263" spans="1:21" x14ac:dyDescent="0.2">
      <c r="A263" s="52"/>
      <c r="S263" s="22" t="s">
        <v>14848</v>
      </c>
      <c r="T263" s="23" t="s">
        <v>14849</v>
      </c>
      <c r="U263" s="39" t="s">
        <v>14929</v>
      </c>
    </row>
    <row r="264" spans="1:21" x14ac:dyDescent="0.2">
      <c r="A264" s="52"/>
      <c r="S264" s="22" t="s">
        <v>6225</v>
      </c>
      <c r="T264" s="23" t="s">
        <v>14849</v>
      </c>
      <c r="U264" s="39" t="s">
        <v>14888</v>
      </c>
    </row>
    <row r="265" spans="1:21" x14ac:dyDescent="0.2">
      <c r="A265" s="52"/>
      <c r="S265" s="22" t="s">
        <v>14850</v>
      </c>
      <c r="T265" s="23" t="s">
        <v>14849</v>
      </c>
      <c r="U265" s="39"/>
    </row>
    <row r="266" spans="1:21" x14ac:dyDescent="0.2">
      <c r="A266" s="53"/>
      <c r="S266" s="22" t="s">
        <v>14851</v>
      </c>
      <c r="T266" s="23" t="s">
        <v>14849</v>
      </c>
      <c r="U266" s="39"/>
    </row>
    <row r="267" spans="1:21" x14ac:dyDescent="0.2">
      <c r="A267" s="52"/>
      <c r="S267" s="22" t="s">
        <v>14163</v>
      </c>
      <c r="T267" s="23" t="s">
        <v>14849</v>
      </c>
      <c r="U267" s="39"/>
    </row>
    <row r="268" spans="1:21" x14ac:dyDescent="0.2">
      <c r="A268" s="52"/>
      <c r="S268" s="22" t="s">
        <v>14852</v>
      </c>
      <c r="T268" s="23" t="s">
        <v>14849</v>
      </c>
      <c r="U268" s="39"/>
    </row>
    <row r="269" spans="1:21" x14ac:dyDescent="0.2">
      <c r="A269" s="52"/>
      <c r="S269" s="22" t="s">
        <v>14853</v>
      </c>
      <c r="T269" s="23" t="s">
        <v>14849</v>
      </c>
      <c r="U269" s="39"/>
    </row>
    <row r="270" spans="1:21" x14ac:dyDescent="0.2">
      <c r="A270" s="52"/>
      <c r="S270" s="22" t="s">
        <v>14183</v>
      </c>
      <c r="T270" s="23" t="s">
        <v>14849</v>
      </c>
      <c r="U270" s="39"/>
    </row>
    <row r="271" spans="1:21" x14ac:dyDescent="0.2">
      <c r="A271" s="52"/>
      <c r="S271" s="22" t="s">
        <v>14165</v>
      </c>
      <c r="T271" s="23" t="s">
        <v>14849</v>
      </c>
      <c r="U271" s="39"/>
    </row>
    <row r="272" spans="1:21" x14ac:dyDescent="0.2">
      <c r="A272" s="52"/>
      <c r="S272" s="22" t="s">
        <v>14854</v>
      </c>
      <c r="T272" s="23" t="s">
        <v>14849</v>
      </c>
      <c r="U272" s="39"/>
    </row>
    <row r="273" spans="1:21" x14ac:dyDescent="0.2">
      <c r="A273" s="52"/>
      <c r="S273" s="22" t="s">
        <v>14855</v>
      </c>
      <c r="T273" s="23" t="s">
        <v>14849</v>
      </c>
      <c r="U273" s="39"/>
    </row>
    <row r="274" spans="1:21" x14ac:dyDescent="0.2">
      <c r="A274" s="52"/>
      <c r="S274" s="22" t="s">
        <v>11544</v>
      </c>
      <c r="T274" s="23" t="s">
        <v>14849</v>
      </c>
      <c r="U274" s="39"/>
    </row>
    <row r="275" spans="1:21" x14ac:dyDescent="0.2">
      <c r="A275" s="52"/>
      <c r="S275" s="22" t="s">
        <v>10878</v>
      </c>
      <c r="T275" s="23" t="s">
        <v>14849</v>
      </c>
      <c r="U275" s="39"/>
    </row>
    <row r="276" spans="1:21" x14ac:dyDescent="0.2">
      <c r="A276" s="52"/>
      <c r="S276" s="22" t="s">
        <v>14856</v>
      </c>
      <c r="T276" s="23" t="s">
        <v>14849</v>
      </c>
      <c r="U276" s="39"/>
    </row>
    <row r="277" spans="1:21" x14ac:dyDescent="0.2">
      <c r="A277" s="52"/>
      <c r="S277" s="22" t="s">
        <v>14857</v>
      </c>
      <c r="T277" s="23" t="s">
        <v>14849</v>
      </c>
      <c r="U277" s="39"/>
    </row>
    <row r="278" spans="1:21" x14ac:dyDescent="0.2">
      <c r="A278" s="52"/>
      <c r="S278" s="22" t="s">
        <v>14858</v>
      </c>
      <c r="T278" s="23" t="s">
        <v>14849</v>
      </c>
      <c r="U278" s="39"/>
    </row>
    <row r="279" spans="1:21" x14ac:dyDescent="0.2">
      <c r="A279" s="52"/>
      <c r="S279" s="22" t="s">
        <v>14859</v>
      </c>
      <c r="T279" s="23" t="s">
        <v>14849</v>
      </c>
      <c r="U279" s="39"/>
    </row>
    <row r="280" spans="1:21" x14ac:dyDescent="0.2">
      <c r="A280" s="52"/>
      <c r="S280" s="22" t="s">
        <v>14860</v>
      </c>
      <c r="T280" s="23" t="s">
        <v>14849</v>
      </c>
      <c r="U280" s="39"/>
    </row>
    <row r="281" spans="1:21" x14ac:dyDescent="0.2">
      <c r="A281" s="53"/>
      <c r="S281" s="22" t="s">
        <v>14516</v>
      </c>
      <c r="T281" s="23" t="s">
        <v>14849</v>
      </c>
      <c r="U281" s="39"/>
    </row>
    <row r="282" spans="1:21" x14ac:dyDescent="0.2">
      <c r="A282" s="52"/>
      <c r="S282" s="22" t="s">
        <v>14861</v>
      </c>
      <c r="T282" s="23" t="s">
        <v>14849</v>
      </c>
      <c r="U282" s="39"/>
    </row>
    <row r="283" spans="1:21" x14ac:dyDescent="0.2">
      <c r="A283" s="52"/>
      <c r="S283" s="22" t="s">
        <v>13446</v>
      </c>
      <c r="T283" s="23" t="s">
        <v>14849</v>
      </c>
      <c r="U283" s="39"/>
    </row>
    <row r="284" spans="1:21" x14ac:dyDescent="0.2">
      <c r="A284" s="52"/>
      <c r="S284" s="22" t="s">
        <v>14160</v>
      </c>
      <c r="T284" s="23" t="s">
        <v>14849</v>
      </c>
      <c r="U284" s="39"/>
    </row>
    <row r="285" spans="1:21" x14ac:dyDescent="0.2">
      <c r="A285" s="52"/>
      <c r="S285" s="22" t="s">
        <v>4118</v>
      </c>
      <c r="T285" s="23" t="s">
        <v>14849</v>
      </c>
      <c r="U285" s="39"/>
    </row>
    <row r="286" spans="1:21" x14ac:dyDescent="0.2">
      <c r="A286" s="52"/>
      <c r="S286" s="22" t="s">
        <v>14862</v>
      </c>
      <c r="T286" s="23" t="s">
        <v>14849</v>
      </c>
      <c r="U286" s="39"/>
    </row>
    <row r="287" spans="1:21" x14ac:dyDescent="0.2">
      <c r="A287" s="52"/>
      <c r="S287" s="22" t="s">
        <v>8872</v>
      </c>
      <c r="T287" s="23" t="s">
        <v>14849</v>
      </c>
      <c r="U287" s="39"/>
    </row>
    <row r="288" spans="1:21" x14ac:dyDescent="0.2">
      <c r="A288" s="52"/>
      <c r="S288" s="22" t="s">
        <v>11283</v>
      </c>
      <c r="T288" s="23" t="s">
        <v>14849</v>
      </c>
      <c r="U288" s="39"/>
    </row>
    <row r="289" spans="1:21" x14ac:dyDescent="0.2">
      <c r="A289" s="52"/>
      <c r="S289" s="22" t="s">
        <v>14863</v>
      </c>
      <c r="T289" s="23" t="s">
        <v>14849</v>
      </c>
      <c r="U289" s="39"/>
    </row>
    <row r="290" spans="1:21" x14ac:dyDescent="0.2">
      <c r="A290" s="52"/>
    </row>
    <row r="291" spans="1:21" x14ac:dyDescent="0.2">
      <c r="A291" s="52"/>
    </row>
    <row r="292" spans="1:21" x14ac:dyDescent="0.2">
      <c r="A292" s="52"/>
    </row>
    <row r="293" spans="1:21" x14ac:dyDescent="0.2">
      <c r="A293" s="52"/>
    </row>
    <row r="294" spans="1:21" x14ac:dyDescent="0.2">
      <c r="A294" s="52"/>
    </row>
    <row r="295" spans="1:21" x14ac:dyDescent="0.2">
      <c r="A295" s="52"/>
    </row>
    <row r="296" spans="1:21" x14ac:dyDescent="0.2">
      <c r="A296" s="52"/>
    </row>
    <row r="297" spans="1:21" x14ac:dyDescent="0.2">
      <c r="A297" s="52"/>
    </row>
    <row r="298" spans="1:21" x14ac:dyDescent="0.2">
      <c r="A298" s="52"/>
    </row>
    <row r="299" spans="1:21" x14ac:dyDescent="0.2">
      <c r="A299" s="52"/>
    </row>
    <row r="300" spans="1:21" x14ac:dyDescent="0.2">
      <c r="A300" s="52"/>
    </row>
    <row r="301" spans="1:21" x14ac:dyDescent="0.2">
      <c r="A301" s="52"/>
    </row>
    <row r="302" spans="1:21" x14ac:dyDescent="0.2">
      <c r="A302" s="53"/>
    </row>
    <row r="303" spans="1:21" x14ac:dyDescent="0.2">
      <c r="A303" s="52"/>
    </row>
    <row r="304" spans="1:21" x14ac:dyDescent="0.2">
      <c r="A304" s="52"/>
    </row>
    <row r="305" spans="1:1" x14ac:dyDescent="0.2">
      <c r="A305" s="52"/>
    </row>
    <row r="306" spans="1:1" x14ac:dyDescent="0.2">
      <c r="A306" s="52"/>
    </row>
    <row r="307" spans="1:1" x14ac:dyDescent="0.2">
      <c r="A307" s="52"/>
    </row>
    <row r="308" spans="1:1" x14ac:dyDescent="0.2">
      <c r="A308" s="52"/>
    </row>
    <row r="309" spans="1:1" x14ac:dyDescent="0.2">
      <c r="A309" s="52"/>
    </row>
    <row r="310" spans="1:1" x14ac:dyDescent="0.2">
      <c r="A310" s="52"/>
    </row>
    <row r="311" spans="1:1" x14ac:dyDescent="0.2">
      <c r="A311" s="52"/>
    </row>
    <row r="312" spans="1:1" x14ac:dyDescent="0.2">
      <c r="A312" s="52"/>
    </row>
    <row r="313" spans="1:1" x14ac:dyDescent="0.2">
      <c r="A313" s="52"/>
    </row>
    <row r="314" spans="1:1" x14ac:dyDescent="0.2">
      <c r="A314" s="52"/>
    </row>
    <row r="315" spans="1:1" x14ac:dyDescent="0.2">
      <c r="A315" s="52"/>
    </row>
    <row r="316" spans="1:1" x14ac:dyDescent="0.2">
      <c r="A316" s="52"/>
    </row>
    <row r="317" spans="1:1" x14ac:dyDescent="0.2">
      <c r="A317" s="52"/>
    </row>
    <row r="318" spans="1:1" x14ac:dyDescent="0.2">
      <c r="A318" s="52"/>
    </row>
    <row r="319" spans="1:1" x14ac:dyDescent="0.2">
      <c r="A319" s="52"/>
    </row>
    <row r="320" spans="1:1" x14ac:dyDescent="0.2">
      <c r="A320" s="52"/>
    </row>
    <row r="321" spans="1:1" x14ac:dyDescent="0.2">
      <c r="A321" s="52"/>
    </row>
    <row r="322" spans="1:1" x14ac:dyDescent="0.2">
      <c r="A322" s="52"/>
    </row>
    <row r="323" spans="1:1" x14ac:dyDescent="0.2">
      <c r="A323" s="52"/>
    </row>
    <row r="324" spans="1:1" x14ac:dyDescent="0.2">
      <c r="A324" s="52"/>
    </row>
    <row r="325" spans="1:1" x14ac:dyDescent="0.2">
      <c r="A325" s="52"/>
    </row>
    <row r="326" spans="1:1" x14ac:dyDescent="0.2">
      <c r="A326" s="52"/>
    </row>
    <row r="327" spans="1:1" x14ac:dyDescent="0.2">
      <c r="A327" s="52"/>
    </row>
    <row r="328" spans="1:1" x14ac:dyDescent="0.2">
      <c r="A328" s="52"/>
    </row>
    <row r="329" spans="1:1" x14ac:dyDescent="0.2">
      <c r="A329" s="53"/>
    </row>
    <row r="330" spans="1:1" x14ac:dyDescent="0.2">
      <c r="A330" s="53"/>
    </row>
    <row r="331" spans="1:1" x14ac:dyDescent="0.2">
      <c r="A331" s="52"/>
    </row>
    <row r="332" spans="1:1" x14ac:dyDescent="0.2">
      <c r="A332" s="52"/>
    </row>
    <row r="333" spans="1:1" x14ac:dyDescent="0.2">
      <c r="A333" s="52"/>
    </row>
    <row r="334" spans="1:1" x14ac:dyDescent="0.2">
      <c r="A334" s="53"/>
    </row>
    <row r="335" spans="1:1" x14ac:dyDescent="0.2">
      <c r="A335" s="52"/>
    </row>
    <row r="336" spans="1:1" x14ac:dyDescent="0.2">
      <c r="A336" s="52"/>
    </row>
    <row r="337" spans="1:1" x14ac:dyDescent="0.2">
      <c r="A337" s="52"/>
    </row>
    <row r="338" spans="1:1" x14ac:dyDescent="0.2">
      <c r="A338" s="52"/>
    </row>
    <row r="339" spans="1:1" x14ac:dyDescent="0.2">
      <c r="A339" s="52"/>
    </row>
    <row r="340" spans="1:1" x14ac:dyDescent="0.2">
      <c r="A340" s="52"/>
    </row>
    <row r="341" spans="1:1" x14ac:dyDescent="0.2">
      <c r="A341" s="52"/>
    </row>
    <row r="342" spans="1:1" x14ac:dyDescent="0.2">
      <c r="A342" s="52"/>
    </row>
    <row r="343" spans="1:1" x14ac:dyDescent="0.2">
      <c r="A343" s="52"/>
    </row>
    <row r="344" spans="1:1" x14ac:dyDescent="0.2">
      <c r="A344" s="52"/>
    </row>
    <row r="345" spans="1:1" x14ac:dyDescent="0.2">
      <c r="A345" s="53"/>
    </row>
    <row r="346" spans="1:1" x14ac:dyDescent="0.2">
      <c r="A346" s="52"/>
    </row>
    <row r="347" spans="1:1" x14ac:dyDescent="0.2">
      <c r="A347" s="52"/>
    </row>
    <row r="348" spans="1:1" x14ac:dyDescent="0.2">
      <c r="A348" s="52"/>
    </row>
    <row r="349" spans="1:1" x14ac:dyDescent="0.2">
      <c r="A349" s="52"/>
    </row>
    <row r="350" spans="1:1" x14ac:dyDescent="0.2">
      <c r="A350" s="52"/>
    </row>
    <row r="351" spans="1:1" x14ac:dyDescent="0.2">
      <c r="A351" s="52"/>
    </row>
    <row r="352" spans="1:1" x14ac:dyDescent="0.2">
      <c r="A352" s="52"/>
    </row>
    <row r="353" spans="1:1" x14ac:dyDescent="0.2">
      <c r="A353" s="52"/>
    </row>
    <row r="354" spans="1:1" x14ac:dyDescent="0.2">
      <c r="A354" s="52"/>
    </row>
    <row r="355" spans="1:1" x14ac:dyDescent="0.2">
      <c r="A355" s="52"/>
    </row>
    <row r="356" spans="1:1" x14ac:dyDescent="0.2">
      <c r="A356" s="52"/>
    </row>
    <row r="357" spans="1:1" x14ac:dyDescent="0.2">
      <c r="A357" s="52"/>
    </row>
    <row r="358" spans="1:1" x14ac:dyDescent="0.2">
      <c r="A358" s="52"/>
    </row>
    <row r="359" spans="1:1" x14ac:dyDescent="0.2">
      <c r="A359" s="52"/>
    </row>
    <row r="360" spans="1:1" x14ac:dyDescent="0.2">
      <c r="A360" s="52"/>
    </row>
    <row r="361" spans="1:1" x14ac:dyDescent="0.2">
      <c r="A361" s="52"/>
    </row>
    <row r="362" spans="1:1" x14ac:dyDescent="0.2">
      <c r="A362" s="52"/>
    </row>
    <row r="363" spans="1:1" x14ac:dyDescent="0.2">
      <c r="A363" s="52"/>
    </row>
    <row r="364" spans="1:1" x14ac:dyDescent="0.2">
      <c r="A364" s="52"/>
    </row>
    <row r="365" spans="1:1" x14ac:dyDescent="0.2">
      <c r="A365" s="53"/>
    </row>
    <row r="366" spans="1:1" x14ac:dyDescent="0.2">
      <c r="A366" s="52"/>
    </row>
    <row r="367" spans="1:1" x14ac:dyDescent="0.2">
      <c r="A367" s="52"/>
    </row>
    <row r="368" spans="1:1" x14ac:dyDescent="0.2">
      <c r="A368" s="52"/>
    </row>
    <row r="369" spans="1:1" x14ac:dyDescent="0.2">
      <c r="A369" s="52"/>
    </row>
    <row r="370" spans="1:1" x14ac:dyDescent="0.2">
      <c r="A370" s="52"/>
    </row>
    <row r="371" spans="1:1" x14ac:dyDescent="0.2">
      <c r="A371" s="52"/>
    </row>
    <row r="372" spans="1:1" x14ac:dyDescent="0.2">
      <c r="A372" s="52"/>
    </row>
    <row r="373" spans="1:1" x14ac:dyDescent="0.2">
      <c r="A373" s="52"/>
    </row>
    <row r="374" spans="1:1" x14ac:dyDescent="0.2">
      <c r="A374" s="52"/>
    </row>
    <row r="375" spans="1:1" x14ac:dyDescent="0.2">
      <c r="A375" s="52"/>
    </row>
    <row r="376" spans="1:1" x14ac:dyDescent="0.2">
      <c r="A376" s="52"/>
    </row>
    <row r="377" spans="1:1" x14ac:dyDescent="0.2">
      <c r="A377" s="52"/>
    </row>
    <row r="378" spans="1:1" x14ac:dyDescent="0.2">
      <c r="A378" s="52"/>
    </row>
    <row r="379" spans="1:1" x14ac:dyDescent="0.2">
      <c r="A379" s="52"/>
    </row>
    <row r="380" spans="1:1" x14ac:dyDescent="0.2">
      <c r="A380" s="52"/>
    </row>
    <row r="381" spans="1:1" x14ac:dyDescent="0.2">
      <c r="A381" s="52"/>
    </row>
    <row r="382" spans="1:1" x14ac:dyDescent="0.2">
      <c r="A382" s="52"/>
    </row>
    <row r="383" spans="1:1" x14ac:dyDescent="0.2">
      <c r="A383" s="52"/>
    </row>
    <row r="384" spans="1:1" x14ac:dyDescent="0.2">
      <c r="A384" s="52"/>
    </row>
    <row r="385" spans="1:1" x14ac:dyDescent="0.2">
      <c r="A385" s="52"/>
    </row>
    <row r="386" spans="1:1" x14ac:dyDescent="0.2">
      <c r="A386" s="52"/>
    </row>
    <row r="387" spans="1:1" x14ac:dyDescent="0.2">
      <c r="A387" s="52"/>
    </row>
    <row r="388" spans="1:1" x14ac:dyDescent="0.2">
      <c r="A388" s="52"/>
    </row>
    <row r="389" spans="1:1" x14ac:dyDescent="0.2">
      <c r="A389" s="52"/>
    </row>
    <row r="390" spans="1:1" x14ac:dyDescent="0.2">
      <c r="A390" s="52"/>
    </row>
    <row r="391" spans="1:1" x14ac:dyDescent="0.2">
      <c r="A391" s="52"/>
    </row>
    <row r="392" spans="1:1" x14ac:dyDescent="0.2">
      <c r="A392" s="52"/>
    </row>
    <row r="393" spans="1:1" x14ac:dyDescent="0.2">
      <c r="A393" s="52"/>
    </row>
    <row r="394" spans="1:1" x14ac:dyDescent="0.2">
      <c r="A394" s="52"/>
    </row>
    <row r="395" spans="1:1" x14ac:dyDescent="0.2">
      <c r="A395" s="52"/>
    </row>
    <row r="396" spans="1:1" x14ac:dyDescent="0.2">
      <c r="A396" s="52"/>
    </row>
    <row r="397" spans="1:1" x14ac:dyDescent="0.2">
      <c r="A397" s="52"/>
    </row>
    <row r="398" spans="1:1" x14ac:dyDescent="0.2">
      <c r="A398" s="52"/>
    </row>
    <row r="399" spans="1:1" x14ac:dyDescent="0.2">
      <c r="A399" s="52"/>
    </row>
    <row r="400" spans="1:1" x14ac:dyDescent="0.2">
      <c r="A400" s="52"/>
    </row>
    <row r="401" spans="1:1" x14ac:dyDescent="0.2">
      <c r="A401" s="52"/>
    </row>
    <row r="402" spans="1:1" x14ac:dyDescent="0.2">
      <c r="A402" s="52"/>
    </row>
    <row r="403" spans="1:1" x14ac:dyDescent="0.2">
      <c r="A403" s="52"/>
    </row>
    <row r="404" spans="1:1" x14ac:dyDescent="0.2">
      <c r="A404" s="52"/>
    </row>
    <row r="405" spans="1:1" x14ac:dyDescent="0.2">
      <c r="A405" s="52"/>
    </row>
    <row r="406" spans="1:1" x14ac:dyDescent="0.2">
      <c r="A406" s="52"/>
    </row>
    <row r="407" spans="1:1" x14ac:dyDescent="0.2">
      <c r="A407" s="52"/>
    </row>
    <row r="408" spans="1:1" x14ac:dyDescent="0.2">
      <c r="A408" s="52"/>
    </row>
    <row r="409" spans="1:1" x14ac:dyDescent="0.2">
      <c r="A409" s="53"/>
    </row>
    <row r="410" spans="1:1" x14ac:dyDescent="0.2">
      <c r="A410" s="52"/>
    </row>
    <row r="411" spans="1:1" x14ac:dyDescent="0.2">
      <c r="A411" s="52"/>
    </row>
    <row r="412" spans="1:1" x14ac:dyDescent="0.2">
      <c r="A412" s="52"/>
    </row>
    <row r="413" spans="1:1" x14ac:dyDescent="0.2">
      <c r="A413" s="52"/>
    </row>
    <row r="414" spans="1:1" x14ac:dyDescent="0.2">
      <c r="A414" s="52"/>
    </row>
    <row r="415" spans="1:1" x14ac:dyDescent="0.2">
      <c r="A415" s="52"/>
    </row>
    <row r="416" spans="1:1" x14ac:dyDescent="0.2">
      <c r="A416" s="53"/>
    </row>
    <row r="417" spans="1:1" x14ac:dyDescent="0.2">
      <c r="A417" s="53"/>
    </row>
    <row r="418" spans="1:1" x14ac:dyDescent="0.2">
      <c r="A418" s="52"/>
    </row>
    <row r="419" spans="1:1" x14ac:dyDescent="0.2">
      <c r="A419" s="52"/>
    </row>
    <row r="420" spans="1:1" x14ac:dyDescent="0.2">
      <c r="A420" s="52"/>
    </row>
    <row r="421" spans="1:1" x14ac:dyDescent="0.2">
      <c r="A421" s="52"/>
    </row>
    <row r="422" spans="1:1" x14ac:dyDescent="0.2">
      <c r="A422" s="52"/>
    </row>
    <row r="423" spans="1:1" x14ac:dyDescent="0.2">
      <c r="A423" s="52"/>
    </row>
    <row r="424" spans="1:1" x14ac:dyDescent="0.2">
      <c r="A424" s="52"/>
    </row>
    <row r="425" spans="1:1" x14ac:dyDescent="0.2">
      <c r="A425" s="52"/>
    </row>
    <row r="426" spans="1:1" x14ac:dyDescent="0.2">
      <c r="A426" s="52"/>
    </row>
    <row r="427" spans="1:1" x14ac:dyDescent="0.2">
      <c r="A427" s="53"/>
    </row>
    <row r="428" spans="1:1" x14ac:dyDescent="0.2">
      <c r="A428" s="52"/>
    </row>
    <row r="429" spans="1:1" x14ac:dyDescent="0.2">
      <c r="A429" s="52"/>
    </row>
    <row r="430" spans="1:1" x14ac:dyDescent="0.2">
      <c r="A430" s="52"/>
    </row>
    <row r="431" spans="1:1" x14ac:dyDescent="0.2">
      <c r="A431" s="52"/>
    </row>
    <row r="432" spans="1:1" x14ac:dyDescent="0.2">
      <c r="A432" s="52"/>
    </row>
    <row r="433" spans="1:1" x14ac:dyDescent="0.2">
      <c r="A433" s="52"/>
    </row>
    <row r="434" spans="1:1" x14ac:dyDescent="0.2">
      <c r="A434" s="52"/>
    </row>
    <row r="435" spans="1:1" x14ac:dyDescent="0.2">
      <c r="A435" s="52"/>
    </row>
    <row r="436" spans="1:1" x14ac:dyDescent="0.2">
      <c r="A436" s="52"/>
    </row>
    <row r="437" spans="1:1" x14ac:dyDescent="0.2">
      <c r="A437" s="52"/>
    </row>
    <row r="438" spans="1:1" x14ac:dyDescent="0.2">
      <c r="A438" s="52"/>
    </row>
    <row r="439" spans="1:1" x14ac:dyDescent="0.2">
      <c r="A439" s="52"/>
    </row>
    <row r="440" spans="1:1" x14ac:dyDescent="0.2">
      <c r="A440" s="52"/>
    </row>
    <row r="441" spans="1:1" x14ac:dyDescent="0.2">
      <c r="A441" s="52"/>
    </row>
    <row r="442" spans="1:1" x14ac:dyDescent="0.2">
      <c r="A442" s="52"/>
    </row>
    <row r="443" spans="1:1" x14ac:dyDescent="0.2">
      <c r="A443" s="52"/>
    </row>
    <row r="444" spans="1:1" x14ac:dyDescent="0.2">
      <c r="A444" s="52"/>
    </row>
    <row r="445" spans="1:1" x14ac:dyDescent="0.2">
      <c r="A445" s="52"/>
    </row>
    <row r="446" spans="1:1" x14ac:dyDescent="0.2">
      <c r="A446" s="52"/>
    </row>
    <row r="447" spans="1:1" x14ac:dyDescent="0.2">
      <c r="A447" s="52"/>
    </row>
    <row r="448" spans="1:1" x14ac:dyDescent="0.2">
      <c r="A448" s="52"/>
    </row>
    <row r="449" spans="1:1" x14ac:dyDescent="0.2">
      <c r="A449" s="52"/>
    </row>
    <row r="450" spans="1:1" x14ac:dyDescent="0.2">
      <c r="A450" s="52"/>
    </row>
    <row r="451" spans="1:1" x14ac:dyDescent="0.2">
      <c r="A451" s="52"/>
    </row>
    <row r="452" spans="1:1" x14ac:dyDescent="0.2">
      <c r="A452" s="52"/>
    </row>
    <row r="453" spans="1:1" x14ac:dyDescent="0.2">
      <c r="A453" s="52"/>
    </row>
    <row r="454" spans="1:1" x14ac:dyDescent="0.2">
      <c r="A454" s="52"/>
    </row>
    <row r="455" spans="1:1" x14ac:dyDescent="0.2">
      <c r="A455" s="52"/>
    </row>
    <row r="456" spans="1:1" x14ac:dyDescent="0.2">
      <c r="A456" s="52"/>
    </row>
    <row r="457" spans="1:1" x14ac:dyDescent="0.2">
      <c r="A457" s="52"/>
    </row>
    <row r="458" spans="1:1" x14ac:dyDescent="0.2">
      <c r="A458" s="52"/>
    </row>
    <row r="459" spans="1:1" x14ac:dyDescent="0.2">
      <c r="A459" s="52"/>
    </row>
    <row r="460" spans="1:1" x14ac:dyDescent="0.2">
      <c r="A460" s="52"/>
    </row>
    <row r="461" spans="1:1" x14ac:dyDescent="0.2">
      <c r="A461" s="52"/>
    </row>
    <row r="462" spans="1:1" x14ac:dyDescent="0.2">
      <c r="A462" s="52"/>
    </row>
    <row r="463" spans="1:1" x14ac:dyDescent="0.2">
      <c r="A463" s="53"/>
    </row>
    <row r="464" spans="1:1" x14ac:dyDescent="0.2">
      <c r="A464" s="52"/>
    </row>
    <row r="465" spans="1:1" x14ac:dyDescent="0.2">
      <c r="A465" s="52"/>
    </row>
    <row r="466" spans="1:1" x14ac:dyDescent="0.2">
      <c r="A466" s="52"/>
    </row>
    <row r="467" spans="1:1" x14ac:dyDescent="0.2">
      <c r="A467" s="52"/>
    </row>
    <row r="468" spans="1:1" x14ac:dyDescent="0.2">
      <c r="A468" s="52"/>
    </row>
    <row r="469" spans="1:1" x14ac:dyDescent="0.2">
      <c r="A469" s="52"/>
    </row>
    <row r="470" spans="1:1" x14ac:dyDescent="0.2">
      <c r="A470" s="52"/>
    </row>
    <row r="471" spans="1:1" x14ac:dyDescent="0.2">
      <c r="A471" s="52"/>
    </row>
    <row r="472" spans="1:1" x14ac:dyDescent="0.2">
      <c r="A472" s="52"/>
    </row>
    <row r="473" spans="1:1" x14ac:dyDescent="0.2">
      <c r="A473" s="52"/>
    </row>
    <row r="474" spans="1:1" x14ac:dyDescent="0.2">
      <c r="A474" s="52"/>
    </row>
    <row r="475" spans="1:1" x14ac:dyDescent="0.2">
      <c r="A475" s="52"/>
    </row>
    <row r="476" spans="1:1" x14ac:dyDescent="0.2">
      <c r="A476" s="53"/>
    </row>
    <row r="477" spans="1:1" x14ac:dyDescent="0.2">
      <c r="A477" s="52"/>
    </row>
    <row r="478" spans="1:1" x14ac:dyDescent="0.2">
      <c r="A478" s="52"/>
    </row>
    <row r="479" spans="1:1" x14ac:dyDescent="0.2">
      <c r="A479" s="52"/>
    </row>
    <row r="480" spans="1:1" x14ac:dyDescent="0.2">
      <c r="A480" s="52"/>
    </row>
    <row r="481" spans="1:1" x14ac:dyDescent="0.2">
      <c r="A481" s="52"/>
    </row>
    <row r="482" spans="1:1" x14ac:dyDescent="0.2">
      <c r="A482" s="53"/>
    </row>
    <row r="483" spans="1:1" x14ac:dyDescent="0.2">
      <c r="A483" s="52"/>
    </row>
    <row r="484" spans="1:1" x14ac:dyDescent="0.2">
      <c r="A484" s="52"/>
    </row>
    <row r="485" spans="1:1" x14ac:dyDescent="0.2">
      <c r="A485" s="52"/>
    </row>
    <row r="486" spans="1:1" x14ac:dyDescent="0.2">
      <c r="A486" s="52"/>
    </row>
    <row r="487" spans="1:1" x14ac:dyDescent="0.2">
      <c r="A487" s="52"/>
    </row>
    <row r="488" spans="1:1" x14ac:dyDescent="0.2">
      <c r="A488" s="52"/>
    </row>
    <row r="489" spans="1:1" x14ac:dyDescent="0.2">
      <c r="A489" s="52"/>
    </row>
    <row r="490" spans="1:1" x14ac:dyDescent="0.2">
      <c r="A490" s="52"/>
    </row>
    <row r="491" spans="1:1" x14ac:dyDescent="0.2">
      <c r="A491" s="53"/>
    </row>
    <row r="492" spans="1:1" x14ac:dyDescent="0.2">
      <c r="A492" s="52"/>
    </row>
    <row r="493" spans="1:1" x14ac:dyDescent="0.2">
      <c r="A493" s="52"/>
    </row>
    <row r="494" spans="1:1" x14ac:dyDescent="0.2">
      <c r="A494" s="52"/>
    </row>
    <row r="495" spans="1:1" x14ac:dyDescent="0.2">
      <c r="A495" s="52"/>
    </row>
    <row r="496" spans="1:1" x14ac:dyDescent="0.2">
      <c r="A496" s="52"/>
    </row>
    <row r="497" spans="1:1" x14ac:dyDescent="0.2">
      <c r="A497" s="52"/>
    </row>
    <row r="498" spans="1:1" x14ac:dyDescent="0.2">
      <c r="A498" s="52"/>
    </row>
    <row r="499" spans="1:1" x14ac:dyDescent="0.2">
      <c r="A499" s="52"/>
    </row>
    <row r="500" spans="1:1" x14ac:dyDescent="0.2">
      <c r="A500" s="52"/>
    </row>
    <row r="501" spans="1:1" x14ac:dyDescent="0.2">
      <c r="A501" s="52"/>
    </row>
    <row r="502" spans="1:1" x14ac:dyDescent="0.2">
      <c r="A502" s="52"/>
    </row>
    <row r="503" spans="1:1" x14ac:dyDescent="0.2">
      <c r="A503" s="52"/>
    </row>
    <row r="504" spans="1:1" x14ac:dyDescent="0.2">
      <c r="A504" s="52"/>
    </row>
    <row r="505" spans="1:1" x14ac:dyDescent="0.2">
      <c r="A505" s="52"/>
    </row>
    <row r="506" spans="1:1" x14ac:dyDescent="0.2">
      <c r="A506" s="52"/>
    </row>
    <row r="507" spans="1:1" x14ac:dyDescent="0.2">
      <c r="A507" s="52"/>
    </row>
    <row r="508" spans="1:1" x14ac:dyDescent="0.2">
      <c r="A508" s="52"/>
    </row>
    <row r="509" spans="1:1" x14ac:dyDescent="0.2">
      <c r="A509" s="52"/>
    </row>
    <row r="510" spans="1:1" x14ac:dyDescent="0.2">
      <c r="A510" s="52"/>
    </row>
    <row r="511" spans="1:1" x14ac:dyDescent="0.2">
      <c r="A511" s="53"/>
    </row>
    <row r="512" spans="1:1" x14ac:dyDescent="0.2">
      <c r="A512" s="52"/>
    </row>
    <row r="513" spans="1:1" x14ac:dyDescent="0.2">
      <c r="A513" s="52"/>
    </row>
    <row r="514" spans="1:1" x14ac:dyDescent="0.2">
      <c r="A514" s="52"/>
    </row>
    <row r="515" spans="1:1" x14ac:dyDescent="0.2">
      <c r="A515" s="52"/>
    </row>
    <row r="516" spans="1:1" x14ac:dyDescent="0.2">
      <c r="A516" s="52"/>
    </row>
    <row r="517" spans="1:1" x14ac:dyDescent="0.2">
      <c r="A517" s="52"/>
    </row>
    <row r="518" spans="1:1" x14ac:dyDescent="0.2">
      <c r="A518" s="52"/>
    </row>
    <row r="519" spans="1:1" x14ac:dyDescent="0.2">
      <c r="A519" s="52"/>
    </row>
    <row r="520" spans="1:1" x14ac:dyDescent="0.2">
      <c r="A520" s="52"/>
    </row>
    <row r="521" spans="1:1" x14ac:dyDescent="0.2">
      <c r="A521" s="53"/>
    </row>
    <row r="522" spans="1:1" x14ac:dyDescent="0.2">
      <c r="A522" s="52"/>
    </row>
    <row r="523" spans="1:1" x14ac:dyDescent="0.2">
      <c r="A523" s="52"/>
    </row>
    <row r="524" spans="1:1" x14ac:dyDescent="0.2">
      <c r="A524" s="52"/>
    </row>
    <row r="525" spans="1:1" x14ac:dyDescent="0.2">
      <c r="A525" s="53"/>
    </row>
    <row r="526" spans="1:1" x14ac:dyDescent="0.2">
      <c r="A526" s="52"/>
    </row>
    <row r="527" spans="1:1" x14ac:dyDescent="0.2">
      <c r="A527" s="52"/>
    </row>
    <row r="528" spans="1:1" x14ac:dyDescent="0.2">
      <c r="A528" s="52"/>
    </row>
    <row r="529" spans="1:1" x14ac:dyDescent="0.2">
      <c r="A529" s="52"/>
    </row>
    <row r="530" spans="1:1" x14ac:dyDescent="0.2">
      <c r="A530" s="52"/>
    </row>
    <row r="531" spans="1:1" x14ac:dyDescent="0.2">
      <c r="A531" s="52"/>
    </row>
    <row r="532" spans="1:1" x14ac:dyDescent="0.2">
      <c r="A532" s="52"/>
    </row>
    <row r="533" spans="1:1" x14ac:dyDescent="0.2">
      <c r="A533" s="52"/>
    </row>
    <row r="534" spans="1:1" x14ac:dyDescent="0.2">
      <c r="A534" s="52"/>
    </row>
    <row r="535" spans="1:1" x14ac:dyDescent="0.2">
      <c r="A535" s="52"/>
    </row>
    <row r="536" spans="1:1" x14ac:dyDescent="0.2">
      <c r="A536" s="52"/>
    </row>
    <row r="537" spans="1:1" x14ac:dyDescent="0.2">
      <c r="A537" s="52"/>
    </row>
    <row r="538" spans="1:1" x14ac:dyDescent="0.2">
      <c r="A538" s="52"/>
    </row>
    <row r="539" spans="1:1" x14ac:dyDescent="0.2">
      <c r="A539" s="52"/>
    </row>
    <row r="540" spans="1:1" x14ac:dyDescent="0.2">
      <c r="A540" s="52"/>
    </row>
    <row r="541" spans="1:1" x14ac:dyDescent="0.2">
      <c r="A541" s="52"/>
    </row>
    <row r="542" spans="1:1" x14ac:dyDescent="0.2">
      <c r="A542" s="52"/>
    </row>
    <row r="543" spans="1:1" x14ac:dyDescent="0.2">
      <c r="A543" s="52"/>
    </row>
    <row r="544" spans="1:1" x14ac:dyDescent="0.2">
      <c r="A544" s="52"/>
    </row>
    <row r="545" spans="1:1" x14ac:dyDescent="0.2">
      <c r="A545" s="52"/>
    </row>
    <row r="546" spans="1:1" x14ac:dyDescent="0.2">
      <c r="A546" s="52"/>
    </row>
    <row r="547" spans="1:1" x14ac:dyDescent="0.2">
      <c r="A547" s="52"/>
    </row>
    <row r="548" spans="1:1" x14ac:dyDescent="0.2">
      <c r="A548" s="52"/>
    </row>
    <row r="549" spans="1:1" x14ac:dyDescent="0.2">
      <c r="A549" s="53"/>
    </row>
    <row r="550" spans="1:1" x14ac:dyDescent="0.2">
      <c r="A550" s="52"/>
    </row>
    <row r="551" spans="1:1" x14ac:dyDescent="0.2">
      <c r="A551" s="52"/>
    </row>
    <row r="552" spans="1:1" x14ac:dyDescent="0.2">
      <c r="A552" s="52"/>
    </row>
    <row r="553" spans="1:1" x14ac:dyDescent="0.2">
      <c r="A553" s="52"/>
    </row>
    <row r="554" spans="1:1" x14ac:dyDescent="0.2">
      <c r="A554" s="52"/>
    </row>
    <row r="555" spans="1:1" x14ac:dyDescent="0.2">
      <c r="A555" s="52"/>
    </row>
    <row r="556" spans="1:1" x14ac:dyDescent="0.2">
      <c r="A556" s="52"/>
    </row>
    <row r="557" spans="1:1" x14ac:dyDescent="0.2">
      <c r="A557" s="52"/>
    </row>
    <row r="558" spans="1:1" x14ac:dyDescent="0.2">
      <c r="A558" s="52"/>
    </row>
    <row r="559" spans="1:1" x14ac:dyDescent="0.2">
      <c r="A559" s="52"/>
    </row>
    <row r="560" spans="1:1" x14ac:dyDescent="0.2">
      <c r="A560" s="52"/>
    </row>
    <row r="561" spans="1:1" x14ac:dyDescent="0.2">
      <c r="A561" s="52"/>
    </row>
    <row r="562" spans="1:1" x14ac:dyDescent="0.2">
      <c r="A562" s="52"/>
    </row>
    <row r="563" spans="1:1" x14ac:dyDescent="0.2">
      <c r="A563" s="52"/>
    </row>
    <row r="564" spans="1:1" x14ac:dyDescent="0.2">
      <c r="A564" s="52"/>
    </row>
    <row r="565" spans="1:1" x14ac:dyDescent="0.2">
      <c r="A565" s="52"/>
    </row>
    <row r="566" spans="1:1" x14ac:dyDescent="0.2">
      <c r="A566" s="52"/>
    </row>
    <row r="567" spans="1:1" x14ac:dyDescent="0.2">
      <c r="A567" s="52"/>
    </row>
    <row r="568" spans="1:1" x14ac:dyDescent="0.2">
      <c r="A568" s="52"/>
    </row>
    <row r="569" spans="1:1" x14ac:dyDescent="0.2">
      <c r="A569" s="52"/>
    </row>
    <row r="570" spans="1:1" x14ac:dyDescent="0.2">
      <c r="A570" s="52"/>
    </row>
    <row r="571" spans="1:1" x14ac:dyDescent="0.2">
      <c r="A571" s="52"/>
    </row>
    <row r="572" spans="1:1" x14ac:dyDescent="0.2">
      <c r="A572" s="52"/>
    </row>
    <row r="573" spans="1:1" x14ac:dyDescent="0.2">
      <c r="A573" s="52"/>
    </row>
    <row r="574" spans="1:1" x14ac:dyDescent="0.2">
      <c r="A574" s="52"/>
    </row>
    <row r="575" spans="1:1" x14ac:dyDescent="0.2">
      <c r="A575" s="53"/>
    </row>
    <row r="576" spans="1:1" x14ac:dyDescent="0.2">
      <c r="A576" s="52"/>
    </row>
    <row r="577" spans="1:1" x14ac:dyDescent="0.2">
      <c r="A577" s="53"/>
    </row>
    <row r="578" spans="1:1" x14ac:dyDescent="0.2">
      <c r="A578" s="52"/>
    </row>
    <row r="579" spans="1:1" x14ac:dyDescent="0.2">
      <c r="A579" s="52"/>
    </row>
    <row r="580" spans="1:1" x14ac:dyDescent="0.2">
      <c r="A580" s="52"/>
    </row>
    <row r="581" spans="1:1" x14ac:dyDescent="0.2">
      <c r="A581" s="52"/>
    </row>
    <row r="582" spans="1:1" x14ac:dyDescent="0.2">
      <c r="A582" s="52"/>
    </row>
    <row r="583" spans="1:1" x14ac:dyDescent="0.2">
      <c r="A583" s="53"/>
    </row>
    <row r="584" spans="1:1" x14ac:dyDescent="0.2">
      <c r="A584" s="52"/>
    </row>
    <row r="585" spans="1:1" x14ac:dyDescent="0.2">
      <c r="A585" s="52"/>
    </row>
    <row r="586" spans="1:1" x14ac:dyDescent="0.2">
      <c r="A586" s="52"/>
    </row>
    <row r="587" spans="1:1" x14ac:dyDescent="0.2">
      <c r="A587" s="52"/>
    </row>
    <row r="588" spans="1:1" x14ac:dyDescent="0.2">
      <c r="A588" s="52"/>
    </row>
    <row r="589" spans="1:1" x14ac:dyDescent="0.2">
      <c r="A589" s="52"/>
    </row>
    <row r="590" spans="1:1" x14ac:dyDescent="0.2">
      <c r="A590" s="52"/>
    </row>
    <row r="591" spans="1:1" x14ac:dyDescent="0.2">
      <c r="A591" s="52"/>
    </row>
    <row r="592" spans="1:1" x14ac:dyDescent="0.2">
      <c r="A592" s="52"/>
    </row>
    <row r="593" spans="1:1" x14ac:dyDescent="0.2">
      <c r="A593" s="52"/>
    </row>
    <row r="594" spans="1:1" x14ac:dyDescent="0.2">
      <c r="A594" s="52"/>
    </row>
    <row r="595" spans="1:1" x14ac:dyDescent="0.2">
      <c r="A595" s="53"/>
    </row>
    <row r="596" spans="1:1" x14ac:dyDescent="0.2">
      <c r="A596" s="52"/>
    </row>
    <row r="597" spans="1:1" x14ac:dyDescent="0.2">
      <c r="A597" s="52"/>
    </row>
    <row r="598" spans="1:1" x14ac:dyDescent="0.2">
      <c r="A598" s="53"/>
    </row>
    <row r="599" spans="1:1" x14ac:dyDescent="0.2">
      <c r="A599" s="52"/>
    </row>
    <row r="600" spans="1:1" x14ac:dyDescent="0.2">
      <c r="A600" s="52"/>
    </row>
    <row r="601" spans="1:1" x14ac:dyDescent="0.2">
      <c r="A601" s="52"/>
    </row>
    <row r="602" spans="1:1" x14ac:dyDescent="0.2">
      <c r="A602" s="52"/>
    </row>
    <row r="603" spans="1:1" x14ac:dyDescent="0.2">
      <c r="A603" s="52"/>
    </row>
    <row r="604" spans="1:1" x14ac:dyDescent="0.2">
      <c r="A604" s="52"/>
    </row>
    <row r="605" spans="1:1" x14ac:dyDescent="0.2">
      <c r="A605" s="52"/>
    </row>
    <row r="606" spans="1:1" x14ac:dyDescent="0.2">
      <c r="A606" s="52"/>
    </row>
    <row r="607" spans="1:1" x14ac:dyDescent="0.2">
      <c r="A607" s="52"/>
    </row>
    <row r="608" spans="1:1" x14ac:dyDescent="0.2">
      <c r="A608" s="52"/>
    </row>
    <row r="609" spans="1:1" x14ac:dyDescent="0.2">
      <c r="A609" s="52"/>
    </row>
    <row r="610" spans="1:1" x14ac:dyDescent="0.2">
      <c r="A610" s="52"/>
    </row>
    <row r="611" spans="1:1" x14ac:dyDescent="0.2">
      <c r="A611" s="52"/>
    </row>
    <row r="612" spans="1:1" x14ac:dyDescent="0.2">
      <c r="A612" s="52"/>
    </row>
    <row r="613" spans="1:1" x14ac:dyDescent="0.2">
      <c r="A613" s="52"/>
    </row>
    <row r="614" spans="1:1" x14ac:dyDescent="0.2">
      <c r="A614" s="52"/>
    </row>
    <row r="615" spans="1:1" x14ac:dyDescent="0.2">
      <c r="A615" s="52"/>
    </row>
    <row r="616" spans="1:1" x14ac:dyDescent="0.2">
      <c r="A616" s="52"/>
    </row>
    <row r="617" spans="1:1" x14ac:dyDescent="0.2">
      <c r="A617" s="52"/>
    </row>
    <row r="618" spans="1:1" x14ac:dyDescent="0.2">
      <c r="A618" s="52"/>
    </row>
    <row r="619" spans="1:1" x14ac:dyDescent="0.2">
      <c r="A619" s="52"/>
    </row>
    <row r="620" spans="1:1" x14ac:dyDescent="0.2">
      <c r="A620" s="52"/>
    </row>
    <row r="621" spans="1:1" x14ac:dyDescent="0.2">
      <c r="A621" s="52"/>
    </row>
    <row r="622" spans="1:1" x14ac:dyDescent="0.2">
      <c r="A622" s="53"/>
    </row>
    <row r="623" spans="1:1" x14ac:dyDescent="0.2">
      <c r="A623" s="52"/>
    </row>
    <row r="624" spans="1:1" x14ac:dyDescent="0.2">
      <c r="A624" s="52"/>
    </row>
    <row r="625" spans="1:1" x14ac:dyDescent="0.2">
      <c r="A625" s="52"/>
    </row>
    <row r="626" spans="1:1" x14ac:dyDescent="0.2">
      <c r="A626" s="52"/>
    </row>
    <row r="627" spans="1:1" x14ac:dyDescent="0.2">
      <c r="A627" s="52"/>
    </row>
    <row r="628" spans="1:1" x14ac:dyDescent="0.2">
      <c r="A628" s="52"/>
    </row>
    <row r="629" spans="1:1" x14ac:dyDescent="0.2">
      <c r="A629" s="52"/>
    </row>
    <row r="630" spans="1:1" x14ac:dyDescent="0.2">
      <c r="A630" s="52"/>
    </row>
    <row r="631" spans="1:1" x14ac:dyDescent="0.2">
      <c r="A631" s="52"/>
    </row>
    <row r="632" spans="1:1" x14ac:dyDescent="0.2">
      <c r="A632" s="52"/>
    </row>
    <row r="633" spans="1:1" x14ac:dyDescent="0.2">
      <c r="A633" s="52"/>
    </row>
    <row r="634" spans="1:1" x14ac:dyDescent="0.2">
      <c r="A634" s="52"/>
    </row>
    <row r="635" spans="1:1" x14ac:dyDescent="0.2">
      <c r="A635" s="52"/>
    </row>
    <row r="636" spans="1:1" x14ac:dyDescent="0.2">
      <c r="A636" s="52"/>
    </row>
    <row r="637" spans="1:1" x14ac:dyDescent="0.2">
      <c r="A637" s="52"/>
    </row>
    <row r="638" spans="1:1" x14ac:dyDescent="0.2">
      <c r="A638" s="53"/>
    </row>
    <row r="639" spans="1:1" x14ac:dyDescent="0.2">
      <c r="A639" s="52"/>
    </row>
    <row r="640" spans="1:1" x14ac:dyDescent="0.2">
      <c r="A640" s="52"/>
    </row>
    <row r="641" spans="1:1" x14ac:dyDescent="0.2">
      <c r="A641" s="52"/>
    </row>
    <row r="642" spans="1:1" x14ac:dyDescent="0.2">
      <c r="A642" s="52"/>
    </row>
    <row r="643" spans="1:1" x14ac:dyDescent="0.2">
      <c r="A643" s="52"/>
    </row>
    <row r="644" spans="1:1" x14ac:dyDescent="0.2">
      <c r="A644" s="52"/>
    </row>
    <row r="645" spans="1:1" x14ac:dyDescent="0.2">
      <c r="A645" s="52"/>
    </row>
    <row r="646" spans="1:1" x14ac:dyDescent="0.2">
      <c r="A646" s="52"/>
    </row>
    <row r="647" spans="1:1" x14ac:dyDescent="0.2">
      <c r="A647" s="52"/>
    </row>
    <row r="648" spans="1:1" x14ac:dyDescent="0.2">
      <c r="A648" s="52"/>
    </row>
    <row r="649" spans="1:1" x14ac:dyDescent="0.2">
      <c r="A649" s="53"/>
    </row>
    <row r="650" spans="1:1" x14ac:dyDescent="0.2">
      <c r="A650" s="52"/>
    </row>
    <row r="651" spans="1:1" x14ac:dyDescent="0.2">
      <c r="A651" s="52"/>
    </row>
    <row r="652" spans="1:1" x14ac:dyDescent="0.2">
      <c r="A652" s="52"/>
    </row>
    <row r="653" spans="1:1" x14ac:dyDescent="0.2">
      <c r="A653" s="52"/>
    </row>
    <row r="654" spans="1:1" x14ac:dyDescent="0.2">
      <c r="A654" s="52"/>
    </row>
    <row r="655" spans="1:1" x14ac:dyDescent="0.2">
      <c r="A655" s="52"/>
    </row>
    <row r="656" spans="1:1" x14ac:dyDescent="0.2">
      <c r="A656" s="52"/>
    </row>
    <row r="657" spans="1:1" x14ac:dyDescent="0.2">
      <c r="A657" s="52"/>
    </row>
    <row r="658" spans="1:1" x14ac:dyDescent="0.2">
      <c r="A658" s="52"/>
    </row>
    <row r="659" spans="1:1" x14ac:dyDescent="0.2">
      <c r="A659" s="52"/>
    </row>
    <row r="660" spans="1:1" x14ac:dyDescent="0.2">
      <c r="A660" s="52"/>
    </row>
    <row r="661" spans="1:1" x14ac:dyDescent="0.2">
      <c r="A661" s="52"/>
    </row>
    <row r="662" spans="1:1" x14ac:dyDescent="0.2">
      <c r="A662" s="53"/>
    </row>
    <row r="663" spans="1:1" x14ac:dyDescent="0.2">
      <c r="A663" s="52"/>
    </row>
    <row r="664" spans="1:1" x14ac:dyDescent="0.2">
      <c r="A664" s="52"/>
    </row>
    <row r="665" spans="1:1" x14ac:dyDescent="0.2">
      <c r="A665" s="53"/>
    </row>
    <row r="666" spans="1:1" x14ac:dyDescent="0.2">
      <c r="A666" s="52"/>
    </row>
    <row r="667" spans="1:1" x14ac:dyDescent="0.2">
      <c r="A667" s="52"/>
    </row>
    <row r="668" spans="1:1" x14ac:dyDescent="0.2">
      <c r="A668" s="52"/>
    </row>
    <row r="669" spans="1:1" x14ac:dyDescent="0.2">
      <c r="A669" s="52"/>
    </row>
    <row r="670" spans="1:1" x14ac:dyDescent="0.2">
      <c r="A670" s="52"/>
    </row>
    <row r="671" spans="1:1" x14ac:dyDescent="0.2">
      <c r="A671" s="52"/>
    </row>
    <row r="672" spans="1:1" x14ac:dyDescent="0.2">
      <c r="A672" s="52"/>
    </row>
    <row r="673" spans="1:1" x14ac:dyDescent="0.2">
      <c r="A673" s="52"/>
    </row>
    <row r="674" spans="1:1" x14ac:dyDescent="0.2">
      <c r="A674" s="52"/>
    </row>
    <row r="675" spans="1:1" x14ac:dyDescent="0.2">
      <c r="A675" s="52"/>
    </row>
    <row r="676" spans="1:1" x14ac:dyDescent="0.2">
      <c r="A676" s="52"/>
    </row>
    <row r="677" spans="1:1" x14ac:dyDescent="0.2">
      <c r="A677" s="52"/>
    </row>
    <row r="678" spans="1:1" x14ac:dyDescent="0.2">
      <c r="A678" s="52"/>
    </row>
    <row r="679" spans="1:1" x14ac:dyDescent="0.2">
      <c r="A679" s="52"/>
    </row>
    <row r="680" spans="1:1" x14ac:dyDescent="0.2">
      <c r="A680" s="52"/>
    </row>
    <row r="681" spans="1:1" x14ac:dyDescent="0.2">
      <c r="A681" s="52"/>
    </row>
    <row r="682" spans="1:1" x14ac:dyDescent="0.2">
      <c r="A682" s="52"/>
    </row>
    <row r="683" spans="1:1" x14ac:dyDescent="0.2">
      <c r="A683" s="52"/>
    </row>
    <row r="684" spans="1:1" x14ac:dyDescent="0.2">
      <c r="A684" s="52"/>
    </row>
    <row r="685" spans="1:1" x14ac:dyDescent="0.2">
      <c r="A685" s="52"/>
    </row>
    <row r="686" spans="1:1" x14ac:dyDescent="0.2">
      <c r="A686" s="52"/>
    </row>
    <row r="687" spans="1:1" x14ac:dyDescent="0.2">
      <c r="A687" s="52"/>
    </row>
    <row r="688" spans="1:1" x14ac:dyDescent="0.2">
      <c r="A688" s="52"/>
    </row>
    <row r="689" spans="1:1" x14ac:dyDescent="0.2">
      <c r="A689" s="52"/>
    </row>
    <row r="690" spans="1:1" x14ac:dyDescent="0.2">
      <c r="A690" s="52"/>
    </row>
    <row r="691" spans="1:1" x14ac:dyDescent="0.2">
      <c r="A691" s="52"/>
    </row>
    <row r="692" spans="1:1" x14ac:dyDescent="0.2">
      <c r="A692" s="52"/>
    </row>
    <row r="693" spans="1:1" x14ac:dyDescent="0.2">
      <c r="A693" s="52"/>
    </row>
    <row r="694" spans="1:1" x14ac:dyDescent="0.2">
      <c r="A694" s="52"/>
    </row>
    <row r="695" spans="1:1" x14ac:dyDescent="0.2">
      <c r="A695" s="52"/>
    </row>
    <row r="696" spans="1:1" x14ac:dyDescent="0.2">
      <c r="A696" s="52"/>
    </row>
    <row r="697" spans="1:1" x14ac:dyDescent="0.2">
      <c r="A697" s="52"/>
    </row>
    <row r="698" spans="1:1" x14ac:dyDescent="0.2">
      <c r="A698" s="52"/>
    </row>
    <row r="699" spans="1:1" x14ac:dyDescent="0.2">
      <c r="A699" s="52"/>
    </row>
    <row r="700" spans="1:1" x14ac:dyDescent="0.2">
      <c r="A700" s="52"/>
    </row>
    <row r="701" spans="1:1" x14ac:dyDescent="0.2">
      <c r="A701" s="52"/>
    </row>
    <row r="702" spans="1:1" x14ac:dyDescent="0.2">
      <c r="A702" s="52"/>
    </row>
    <row r="703" spans="1:1" x14ac:dyDescent="0.2">
      <c r="A703" s="52"/>
    </row>
    <row r="704" spans="1:1" x14ac:dyDescent="0.2">
      <c r="A704" s="52"/>
    </row>
    <row r="705" spans="1:1" x14ac:dyDescent="0.2">
      <c r="A705" s="52"/>
    </row>
    <row r="706" spans="1:1" x14ac:dyDescent="0.2">
      <c r="A706" s="52"/>
    </row>
    <row r="707" spans="1:1" x14ac:dyDescent="0.2">
      <c r="A707" s="52"/>
    </row>
    <row r="708" spans="1:1" x14ac:dyDescent="0.2">
      <c r="A708" s="52"/>
    </row>
    <row r="709" spans="1:1" x14ac:dyDescent="0.2">
      <c r="A709" s="52"/>
    </row>
    <row r="710" spans="1:1" x14ac:dyDescent="0.2">
      <c r="A710" s="52"/>
    </row>
    <row r="711" spans="1:1" x14ac:dyDescent="0.2">
      <c r="A711" s="52"/>
    </row>
    <row r="712" spans="1:1" x14ac:dyDescent="0.2">
      <c r="A712" s="52"/>
    </row>
    <row r="713" spans="1:1" x14ac:dyDescent="0.2">
      <c r="A713" s="52"/>
    </row>
    <row r="714" spans="1:1" x14ac:dyDescent="0.2">
      <c r="A714" s="52"/>
    </row>
    <row r="715" spans="1:1" x14ac:dyDescent="0.2">
      <c r="A715" s="53"/>
    </row>
    <row r="716" spans="1:1" x14ac:dyDescent="0.2">
      <c r="A716" s="52"/>
    </row>
    <row r="717" spans="1:1" x14ac:dyDescent="0.2">
      <c r="A717" s="53"/>
    </row>
    <row r="718" spans="1:1" x14ac:dyDescent="0.2">
      <c r="A718" s="52"/>
    </row>
    <row r="719" spans="1:1" x14ac:dyDescent="0.2">
      <c r="A719" s="52"/>
    </row>
    <row r="720" spans="1:1" x14ac:dyDescent="0.2">
      <c r="A720" s="52"/>
    </row>
    <row r="721" spans="1:1" x14ac:dyDescent="0.2">
      <c r="A721" s="52"/>
    </row>
    <row r="722" spans="1:1" x14ac:dyDescent="0.2">
      <c r="A722" s="52"/>
    </row>
    <row r="723" spans="1:1" x14ac:dyDescent="0.2">
      <c r="A723" s="53"/>
    </row>
    <row r="724" spans="1:1" x14ac:dyDescent="0.2">
      <c r="A724" s="52"/>
    </row>
    <row r="725" spans="1:1" x14ac:dyDescent="0.2">
      <c r="A725" s="52"/>
    </row>
    <row r="726" spans="1:1" x14ac:dyDescent="0.2">
      <c r="A726" s="52"/>
    </row>
    <row r="727" spans="1:1" x14ac:dyDescent="0.2">
      <c r="A727" s="52"/>
    </row>
    <row r="728" spans="1:1" x14ac:dyDescent="0.2">
      <c r="A728" s="52"/>
    </row>
    <row r="729" spans="1:1" x14ac:dyDescent="0.2">
      <c r="A729" s="52"/>
    </row>
    <row r="730" spans="1:1" x14ac:dyDescent="0.2">
      <c r="A730" s="52"/>
    </row>
    <row r="731" spans="1:1" x14ac:dyDescent="0.2">
      <c r="A731" s="52"/>
    </row>
    <row r="732" spans="1:1" x14ac:dyDescent="0.2">
      <c r="A732" s="52"/>
    </row>
    <row r="733" spans="1:1" x14ac:dyDescent="0.2">
      <c r="A733" s="52"/>
    </row>
    <row r="734" spans="1:1" x14ac:dyDescent="0.2">
      <c r="A734" s="52"/>
    </row>
    <row r="735" spans="1:1" x14ac:dyDescent="0.2">
      <c r="A735" s="52"/>
    </row>
    <row r="736" spans="1:1" x14ac:dyDescent="0.2">
      <c r="A736" s="52"/>
    </row>
    <row r="737" spans="1:1" x14ac:dyDescent="0.2">
      <c r="A737" s="52"/>
    </row>
    <row r="738" spans="1:1" x14ac:dyDescent="0.2">
      <c r="A738" s="52"/>
    </row>
    <row r="739" spans="1:1" x14ac:dyDescent="0.2">
      <c r="A739" s="52"/>
    </row>
    <row r="740" spans="1:1" x14ac:dyDescent="0.2">
      <c r="A740" s="52"/>
    </row>
    <row r="741" spans="1:1" x14ac:dyDescent="0.2">
      <c r="A741" s="52"/>
    </row>
    <row r="742" spans="1:1" x14ac:dyDescent="0.2">
      <c r="A742" s="52"/>
    </row>
    <row r="743" spans="1:1" x14ac:dyDescent="0.2">
      <c r="A743" s="52"/>
    </row>
    <row r="744" spans="1:1" x14ac:dyDescent="0.2">
      <c r="A744" s="52"/>
    </row>
    <row r="745" spans="1:1" x14ac:dyDescent="0.2">
      <c r="A745" s="53"/>
    </row>
    <row r="746" spans="1:1" x14ac:dyDescent="0.2">
      <c r="A746" s="52"/>
    </row>
    <row r="747" spans="1:1" x14ac:dyDescent="0.2">
      <c r="A747" s="52"/>
    </row>
    <row r="748" spans="1:1" x14ac:dyDescent="0.2">
      <c r="A748" s="52"/>
    </row>
    <row r="749" spans="1:1" x14ac:dyDescent="0.2">
      <c r="A749" s="52"/>
    </row>
    <row r="750" spans="1:1" x14ac:dyDescent="0.2">
      <c r="A750" s="52"/>
    </row>
    <row r="751" spans="1:1" x14ac:dyDescent="0.2">
      <c r="A751" s="52"/>
    </row>
    <row r="752" spans="1:1" x14ac:dyDescent="0.2">
      <c r="A752" s="52"/>
    </row>
    <row r="753" spans="1:1" x14ac:dyDescent="0.2">
      <c r="A753" s="52"/>
    </row>
    <row r="754" spans="1:1" x14ac:dyDescent="0.2">
      <c r="A754" s="52"/>
    </row>
    <row r="755" spans="1:1" x14ac:dyDescent="0.2">
      <c r="A755" s="52"/>
    </row>
    <row r="756" spans="1:1" x14ac:dyDescent="0.2">
      <c r="A756" s="52"/>
    </row>
    <row r="757" spans="1:1" x14ac:dyDescent="0.2">
      <c r="A757" s="52"/>
    </row>
    <row r="758" spans="1:1" x14ac:dyDescent="0.2">
      <c r="A758" s="52"/>
    </row>
    <row r="759" spans="1:1" x14ac:dyDescent="0.2">
      <c r="A759" s="52"/>
    </row>
    <row r="760" spans="1:1" x14ac:dyDescent="0.2">
      <c r="A760" s="52"/>
    </row>
    <row r="761" spans="1:1" x14ac:dyDescent="0.2">
      <c r="A761" s="52"/>
    </row>
    <row r="762" spans="1:1" x14ac:dyDescent="0.2">
      <c r="A762" s="52"/>
    </row>
    <row r="763" spans="1:1" x14ac:dyDescent="0.2">
      <c r="A763" s="52"/>
    </row>
    <row r="764" spans="1:1" x14ac:dyDescent="0.2">
      <c r="A764" s="52"/>
    </row>
    <row r="765" spans="1:1" x14ac:dyDescent="0.2">
      <c r="A765" s="53"/>
    </row>
    <row r="766" spans="1:1" x14ac:dyDescent="0.2">
      <c r="A766" s="52"/>
    </row>
    <row r="767" spans="1:1" x14ac:dyDescent="0.2">
      <c r="A767" s="52"/>
    </row>
    <row r="768" spans="1:1" x14ac:dyDescent="0.2">
      <c r="A768" s="52"/>
    </row>
    <row r="769" spans="1:1" x14ac:dyDescent="0.2">
      <c r="A769" s="53"/>
    </row>
    <row r="770" spans="1:1" x14ac:dyDescent="0.2">
      <c r="A770" s="53"/>
    </row>
    <row r="771" spans="1:1" x14ac:dyDescent="0.2">
      <c r="A771" s="52"/>
    </row>
    <row r="772" spans="1:1" x14ac:dyDescent="0.2">
      <c r="A772" s="53"/>
    </row>
    <row r="773" spans="1:1" x14ac:dyDescent="0.2">
      <c r="A773" s="52"/>
    </row>
    <row r="774" spans="1:1" x14ac:dyDescent="0.2">
      <c r="A774" s="53"/>
    </row>
    <row r="775" spans="1:1" x14ac:dyDescent="0.2">
      <c r="A775" s="52"/>
    </row>
    <row r="776" spans="1:1" x14ac:dyDescent="0.2">
      <c r="A776" s="52"/>
    </row>
    <row r="777" spans="1:1" x14ac:dyDescent="0.2">
      <c r="A777" s="52"/>
    </row>
    <row r="778" spans="1:1" x14ac:dyDescent="0.2">
      <c r="A778" s="52"/>
    </row>
    <row r="779" spans="1:1" x14ac:dyDescent="0.2">
      <c r="A779" s="52"/>
    </row>
    <row r="780" spans="1:1" x14ac:dyDescent="0.2">
      <c r="A780" s="52"/>
    </row>
    <row r="781" spans="1:1" x14ac:dyDescent="0.2">
      <c r="A781" s="52"/>
    </row>
    <row r="782" spans="1:1" x14ac:dyDescent="0.2">
      <c r="A782" s="52"/>
    </row>
    <row r="783" spans="1:1" x14ac:dyDescent="0.2">
      <c r="A783" s="52"/>
    </row>
    <row r="784" spans="1:1" x14ac:dyDescent="0.2">
      <c r="A784" s="53"/>
    </row>
    <row r="785" spans="1:1" x14ac:dyDescent="0.2">
      <c r="A785" s="52"/>
    </row>
    <row r="786" spans="1:1" x14ac:dyDescent="0.2">
      <c r="A786" s="52"/>
    </row>
    <row r="787" spans="1:1" x14ac:dyDescent="0.2">
      <c r="A787" s="52"/>
    </row>
    <row r="788" spans="1:1" x14ac:dyDescent="0.2">
      <c r="A788" s="52"/>
    </row>
    <row r="789" spans="1:1" x14ac:dyDescent="0.2">
      <c r="A789" s="52"/>
    </row>
    <row r="790" spans="1:1" x14ac:dyDescent="0.2">
      <c r="A790" s="53"/>
    </row>
    <row r="791" spans="1:1" x14ac:dyDescent="0.2">
      <c r="A791" s="52"/>
    </row>
    <row r="792" spans="1:1" x14ac:dyDescent="0.2">
      <c r="A792" s="52"/>
    </row>
    <row r="793" spans="1:1" x14ac:dyDescent="0.2">
      <c r="A793" s="52"/>
    </row>
    <row r="794" spans="1:1" x14ac:dyDescent="0.2">
      <c r="A794" s="53"/>
    </row>
    <row r="795" spans="1:1" x14ac:dyDescent="0.2">
      <c r="A795" s="52"/>
    </row>
    <row r="796" spans="1:1" x14ac:dyDescent="0.2">
      <c r="A796" s="52"/>
    </row>
    <row r="797" spans="1:1" x14ac:dyDescent="0.2">
      <c r="A797" s="52"/>
    </row>
    <row r="798" spans="1:1" x14ac:dyDescent="0.2">
      <c r="A798" s="52"/>
    </row>
    <row r="799" spans="1:1" x14ac:dyDescent="0.2">
      <c r="A799" s="52"/>
    </row>
    <row r="800" spans="1:1" x14ac:dyDescent="0.2">
      <c r="A800" s="52"/>
    </row>
    <row r="801" spans="1:1" x14ac:dyDescent="0.2">
      <c r="A801" s="52"/>
    </row>
    <row r="802" spans="1:1" x14ac:dyDescent="0.2">
      <c r="A802" s="52"/>
    </row>
    <row r="803" spans="1:1" x14ac:dyDescent="0.2">
      <c r="A803" s="52"/>
    </row>
    <row r="804" spans="1:1" x14ac:dyDescent="0.2">
      <c r="A804" s="52"/>
    </row>
    <row r="805" spans="1:1" x14ac:dyDescent="0.2">
      <c r="A805" s="52"/>
    </row>
    <row r="806" spans="1:1" x14ac:dyDescent="0.2">
      <c r="A806" s="52"/>
    </row>
    <row r="807" spans="1:1" x14ac:dyDescent="0.2">
      <c r="A807" s="52"/>
    </row>
    <row r="808" spans="1:1" x14ac:dyDescent="0.2">
      <c r="A808" s="52"/>
    </row>
    <row r="809" spans="1:1" x14ac:dyDescent="0.2">
      <c r="A809" s="52"/>
    </row>
    <row r="810" spans="1:1" x14ac:dyDescent="0.2">
      <c r="A810" s="52"/>
    </row>
    <row r="811" spans="1:1" x14ac:dyDescent="0.2">
      <c r="A811" s="52"/>
    </row>
    <row r="812" spans="1:1" x14ac:dyDescent="0.2">
      <c r="A812" s="52"/>
    </row>
    <row r="813" spans="1:1" x14ac:dyDescent="0.2">
      <c r="A813" s="52"/>
    </row>
    <row r="814" spans="1:1" x14ac:dyDescent="0.2">
      <c r="A814" s="52"/>
    </row>
    <row r="815" spans="1:1" x14ac:dyDescent="0.2">
      <c r="A815" s="52"/>
    </row>
    <row r="816" spans="1:1" x14ac:dyDescent="0.2">
      <c r="A816" s="52"/>
    </row>
    <row r="817" spans="1:1" x14ac:dyDescent="0.2">
      <c r="A817" s="52"/>
    </row>
    <row r="818" spans="1:1" x14ac:dyDescent="0.2">
      <c r="A818" s="53"/>
    </row>
    <row r="819" spans="1:1" x14ac:dyDescent="0.2">
      <c r="A819" s="52"/>
    </row>
    <row r="820" spans="1:1" x14ac:dyDescent="0.2">
      <c r="A820" s="52"/>
    </row>
    <row r="821" spans="1:1" x14ac:dyDescent="0.2">
      <c r="A821" s="52"/>
    </row>
    <row r="822" spans="1:1" x14ac:dyDescent="0.2">
      <c r="A822" s="52"/>
    </row>
    <row r="823" spans="1:1" x14ac:dyDescent="0.2">
      <c r="A823" s="52"/>
    </row>
    <row r="824" spans="1:1" x14ac:dyDescent="0.2">
      <c r="A824" s="52"/>
    </row>
    <row r="825" spans="1:1" x14ac:dyDescent="0.2">
      <c r="A825" s="53"/>
    </row>
    <row r="826" spans="1:1" x14ac:dyDescent="0.2">
      <c r="A826" s="52"/>
    </row>
    <row r="827" spans="1:1" x14ac:dyDescent="0.2">
      <c r="A827" s="52"/>
    </row>
    <row r="828" spans="1:1" x14ac:dyDescent="0.2">
      <c r="A828" s="52"/>
    </row>
    <row r="829" spans="1:1" x14ac:dyDescent="0.2">
      <c r="A829" s="52"/>
    </row>
    <row r="830" spans="1:1" x14ac:dyDescent="0.2">
      <c r="A830" s="52"/>
    </row>
    <row r="831" spans="1:1" x14ac:dyDescent="0.2">
      <c r="A831" s="53"/>
    </row>
    <row r="832" spans="1:1" x14ac:dyDescent="0.2">
      <c r="A832" s="53"/>
    </row>
    <row r="833" spans="1:1" x14ac:dyDescent="0.2">
      <c r="A833" s="52"/>
    </row>
    <row r="834" spans="1:1" x14ac:dyDescent="0.2">
      <c r="A834" s="52"/>
    </row>
    <row r="835" spans="1:1" x14ac:dyDescent="0.2">
      <c r="A835" s="52"/>
    </row>
    <row r="836" spans="1:1" x14ac:dyDescent="0.2">
      <c r="A836" s="52"/>
    </row>
    <row r="837" spans="1:1" x14ac:dyDescent="0.2">
      <c r="A837" s="52"/>
    </row>
    <row r="838" spans="1:1" x14ac:dyDescent="0.2">
      <c r="A838" s="52"/>
    </row>
    <row r="839" spans="1:1" x14ac:dyDescent="0.2">
      <c r="A839" s="52"/>
    </row>
    <row r="840" spans="1:1" x14ac:dyDescent="0.2">
      <c r="A840" s="53"/>
    </row>
    <row r="841" spans="1:1" x14ac:dyDescent="0.2">
      <c r="A841" s="52"/>
    </row>
    <row r="842" spans="1:1" x14ac:dyDescent="0.2">
      <c r="A842" s="52"/>
    </row>
    <row r="843" spans="1:1" x14ac:dyDescent="0.2">
      <c r="A843" s="52"/>
    </row>
    <row r="844" spans="1:1" x14ac:dyDescent="0.2">
      <c r="A844" s="53"/>
    </row>
    <row r="845" spans="1:1" x14ac:dyDescent="0.2">
      <c r="A845" s="52"/>
    </row>
    <row r="846" spans="1:1" x14ac:dyDescent="0.2">
      <c r="A846" s="52"/>
    </row>
    <row r="847" spans="1:1" x14ac:dyDescent="0.2">
      <c r="A847" s="53"/>
    </row>
    <row r="848" spans="1:1" x14ac:dyDescent="0.2">
      <c r="A848" s="52"/>
    </row>
    <row r="849" spans="1:1" x14ac:dyDescent="0.2">
      <c r="A849" s="52"/>
    </row>
    <row r="850" spans="1:1" x14ac:dyDescent="0.2">
      <c r="A850" s="52"/>
    </row>
    <row r="851" spans="1:1" x14ac:dyDescent="0.2">
      <c r="A851" s="52"/>
    </row>
    <row r="852" spans="1:1" x14ac:dyDescent="0.2">
      <c r="A852" s="52"/>
    </row>
    <row r="853" spans="1:1" x14ac:dyDescent="0.2">
      <c r="A853" s="52"/>
    </row>
    <row r="854" spans="1:1" x14ac:dyDescent="0.2">
      <c r="A854" s="52"/>
    </row>
    <row r="855" spans="1:1" x14ac:dyDescent="0.2">
      <c r="A855" s="52"/>
    </row>
    <row r="856" spans="1:1" x14ac:dyDescent="0.2">
      <c r="A856" s="52"/>
    </row>
    <row r="857" spans="1:1" x14ac:dyDescent="0.2">
      <c r="A857" s="52"/>
    </row>
    <row r="858" spans="1:1" x14ac:dyDescent="0.2">
      <c r="A858" s="52"/>
    </row>
    <row r="859" spans="1:1" x14ac:dyDescent="0.2">
      <c r="A859" s="52"/>
    </row>
    <row r="860" spans="1:1" x14ac:dyDescent="0.2">
      <c r="A860" s="53"/>
    </row>
    <row r="861" spans="1:1" x14ac:dyDescent="0.2">
      <c r="A861" s="52"/>
    </row>
    <row r="862" spans="1:1" x14ac:dyDescent="0.2">
      <c r="A862" s="52"/>
    </row>
    <row r="863" spans="1:1" x14ac:dyDescent="0.2">
      <c r="A863" s="52"/>
    </row>
    <row r="864" spans="1:1" x14ac:dyDescent="0.2">
      <c r="A864" s="52"/>
    </row>
    <row r="865" spans="1:1" x14ac:dyDescent="0.2">
      <c r="A865" s="52"/>
    </row>
    <row r="866" spans="1:1" x14ac:dyDescent="0.2">
      <c r="A866" s="53"/>
    </row>
    <row r="867" spans="1:1" x14ac:dyDescent="0.2">
      <c r="A867" s="52"/>
    </row>
    <row r="868" spans="1:1" x14ac:dyDescent="0.2">
      <c r="A868" s="52"/>
    </row>
    <row r="869" spans="1:1" x14ac:dyDescent="0.2">
      <c r="A869" s="52"/>
    </row>
    <row r="870" spans="1:1" x14ac:dyDescent="0.2">
      <c r="A870" s="52"/>
    </row>
    <row r="871" spans="1:1" x14ac:dyDescent="0.2">
      <c r="A871" s="52"/>
    </row>
    <row r="872" spans="1:1" x14ac:dyDescent="0.2">
      <c r="A872" s="52"/>
    </row>
    <row r="873" spans="1:1" x14ac:dyDescent="0.2">
      <c r="A873" s="52"/>
    </row>
    <row r="874" spans="1:1" x14ac:dyDescent="0.2">
      <c r="A874" s="53"/>
    </row>
    <row r="875" spans="1:1" x14ac:dyDescent="0.2">
      <c r="A875" s="52"/>
    </row>
    <row r="876" spans="1:1" x14ac:dyDescent="0.2">
      <c r="A876" s="52"/>
    </row>
    <row r="877" spans="1:1" x14ac:dyDescent="0.2">
      <c r="A877" s="52"/>
    </row>
    <row r="878" spans="1:1" x14ac:dyDescent="0.2">
      <c r="A878" s="52"/>
    </row>
    <row r="879" spans="1:1" x14ac:dyDescent="0.2">
      <c r="A879" s="52"/>
    </row>
    <row r="880" spans="1:1" x14ac:dyDescent="0.2">
      <c r="A880" s="52"/>
    </row>
    <row r="881" spans="1:1" x14ac:dyDescent="0.2">
      <c r="A881" s="52"/>
    </row>
    <row r="882" spans="1:1" x14ac:dyDescent="0.2">
      <c r="A882" s="52"/>
    </row>
    <row r="883" spans="1:1" x14ac:dyDescent="0.2">
      <c r="A883" s="52"/>
    </row>
    <row r="884" spans="1:1" x14ac:dyDescent="0.2">
      <c r="A884" s="52"/>
    </row>
    <row r="885" spans="1:1" x14ac:dyDescent="0.2">
      <c r="A885" s="52"/>
    </row>
    <row r="886" spans="1:1" x14ac:dyDescent="0.2">
      <c r="A886" s="52"/>
    </row>
    <row r="887" spans="1:1" x14ac:dyDescent="0.2">
      <c r="A887" s="52"/>
    </row>
    <row r="888" spans="1:1" x14ac:dyDescent="0.2">
      <c r="A888" s="52"/>
    </row>
    <row r="889" spans="1:1" x14ac:dyDescent="0.2">
      <c r="A889" s="52"/>
    </row>
    <row r="890" spans="1:1" x14ac:dyDescent="0.2">
      <c r="A890" s="52"/>
    </row>
    <row r="891" spans="1:1" x14ac:dyDescent="0.2">
      <c r="A891" s="52"/>
    </row>
    <row r="892" spans="1:1" x14ac:dyDescent="0.2">
      <c r="A892" s="52"/>
    </row>
    <row r="893" spans="1:1" x14ac:dyDescent="0.2">
      <c r="A893" s="52"/>
    </row>
    <row r="894" spans="1:1" x14ac:dyDescent="0.2">
      <c r="A894" s="52"/>
    </row>
    <row r="895" spans="1:1" x14ac:dyDescent="0.2">
      <c r="A895" s="52"/>
    </row>
    <row r="896" spans="1:1" x14ac:dyDescent="0.2">
      <c r="A896" s="52"/>
    </row>
    <row r="897" spans="1:1" x14ac:dyDescent="0.2">
      <c r="A897" s="52"/>
    </row>
    <row r="898" spans="1:1" x14ac:dyDescent="0.2">
      <c r="A898" s="52"/>
    </row>
    <row r="899" spans="1:1" x14ac:dyDescent="0.2">
      <c r="A899" s="52"/>
    </row>
    <row r="900" spans="1:1" x14ac:dyDescent="0.2">
      <c r="A900" s="52"/>
    </row>
    <row r="901" spans="1:1" x14ac:dyDescent="0.2">
      <c r="A901" s="52"/>
    </row>
    <row r="902" spans="1:1" x14ac:dyDescent="0.2">
      <c r="A902" s="52"/>
    </row>
    <row r="903" spans="1:1" x14ac:dyDescent="0.2">
      <c r="A903" s="52"/>
    </row>
    <row r="904" spans="1:1" x14ac:dyDescent="0.2">
      <c r="A904" s="52"/>
    </row>
    <row r="905" spans="1:1" x14ac:dyDescent="0.2">
      <c r="A905" s="52"/>
    </row>
    <row r="906" spans="1:1" x14ac:dyDescent="0.2">
      <c r="A906" s="52"/>
    </row>
    <row r="907" spans="1:1" x14ac:dyDescent="0.2">
      <c r="A907" s="52"/>
    </row>
    <row r="908" spans="1:1" x14ac:dyDescent="0.2">
      <c r="A908" s="52"/>
    </row>
    <row r="909" spans="1:1" x14ac:dyDescent="0.2">
      <c r="A909" s="52"/>
    </row>
    <row r="910" spans="1:1" x14ac:dyDescent="0.2">
      <c r="A910" s="52"/>
    </row>
    <row r="911" spans="1:1" x14ac:dyDescent="0.2">
      <c r="A911" s="52"/>
    </row>
    <row r="912" spans="1:1" x14ac:dyDescent="0.2">
      <c r="A912" s="52"/>
    </row>
    <row r="913" spans="1:1" x14ac:dyDescent="0.2">
      <c r="A913" s="52"/>
    </row>
    <row r="914" spans="1:1" x14ac:dyDescent="0.2">
      <c r="A914" s="52"/>
    </row>
    <row r="915" spans="1:1" x14ac:dyDescent="0.2">
      <c r="A915" s="52"/>
    </row>
    <row r="916" spans="1:1" x14ac:dyDescent="0.2">
      <c r="A916" s="52"/>
    </row>
    <row r="917" spans="1:1" x14ac:dyDescent="0.2">
      <c r="A917" s="52"/>
    </row>
    <row r="918" spans="1:1" x14ac:dyDescent="0.2">
      <c r="A918" s="52"/>
    </row>
    <row r="919" spans="1:1" x14ac:dyDescent="0.2">
      <c r="A919" s="53"/>
    </row>
    <row r="920" spans="1:1" x14ac:dyDescent="0.2">
      <c r="A920" s="52"/>
    </row>
    <row r="921" spans="1:1" x14ac:dyDescent="0.2">
      <c r="A921" s="52"/>
    </row>
    <row r="922" spans="1:1" x14ac:dyDescent="0.2">
      <c r="A922" s="52"/>
    </row>
    <row r="923" spans="1:1" x14ac:dyDescent="0.2">
      <c r="A923" s="52"/>
    </row>
    <row r="924" spans="1:1" x14ac:dyDescent="0.2">
      <c r="A924" s="53"/>
    </row>
    <row r="925" spans="1:1" x14ac:dyDescent="0.2">
      <c r="A925" s="52"/>
    </row>
    <row r="926" spans="1:1" x14ac:dyDescent="0.2">
      <c r="A926" s="52"/>
    </row>
    <row r="927" spans="1:1" x14ac:dyDescent="0.2">
      <c r="A927" s="52"/>
    </row>
    <row r="928" spans="1:1" x14ac:dyDescent="0.2">
      <c r="A928" s="52"/>
    </row>
    <row r="929" spans="1:1" x14ac:dyDescent="0.2">
      <c r="A929" s="52"/>
    </row>
    <row r="930" spans="1:1" x14ac:dyDescent="0.2">
      <c r="A930" s="52"/>
    </row>
    <row r="931" spans="1:1" x14ac:dyDescent="0.2">
      <c r="A931" s="52"/>
    </row>
    <row r="932" spans="1:1" x14ac:dyDescent="0.2">
      <c r="A932" s="52"/>
    </row>
    <row r="933" spans="1:1" x14ac:dyDescent="0.2">
      <c r="A933" s="52"/>
    </row>
    <row r="934" spans="1:1" x14ac:dyDescent="0.2">
      <c r="A934" s="52"/>
    </row>
    <row r="935" spans="1:1" x14ac:dyDescent="0.2">
      <c r="A935" s="52"/>
    </row>
    <row r="936" spans="1:1" x14ac:dyDescent="0.2">
      <c r="A936" s="52"/>
    </row>
    <row r="937" spans="1:1" x14ac:dyDescent="0.2">
      <c r="A937" s="52"/>
    </row>
    <row r="938" spans="1:1" x14ac:dyDescent="0.2">
      <c r="A938" s="52"/>
    </row>
    <row r="939" spans="1:1" x14ac:dyDescent="0.2">
      <c r="A939" s="52"/>
    </row>
    <row r="940" spans="1:1" x14ac:dyDescent="0.2">
      <c r="A940" s="52"/>
    </row>
    <row r="941" spans="1:1" x14ac:dyDescent="0.2">
      <c r="A941" s="52"/>
    </row>
    <row r="942" spans="1:1" x14ac:dyDescent="0.2">
      <c r="A942" s="52"/>
    </row>
    <row r="943" spans="1:1" x14ac:dyDescent="0.2">
      <c r="A943" s="52"/>
    </row>
    <row r="944" spans="1:1" x14ac:dyDescent="0.2">
      <c r="A944" s="52"/>
    </row>
    <row r="945" spans="1:1" x14ac:dyDescent="0.2">
      <c r="A945" s="52"/>
    </row>
    <row r="946" spans="1:1" x14ac:dyDescent="0.2">
      <c r="A946" s="53"/>
    </row>
    <row r="947" spans="1:1" x14ac:dyDescent="0.2">
      <c r="A947" s="52"/>
    </row>
    <row r="948" spans="1:1" x14ac:dyDescent="0.2">
      <c r="A948" s="52"/>
    </row>
    <row r="949" spans="1:1" x14ac:dyDescent="0.2">
      <c r="A949" s="52"/>
    </row>
    <row r="950" spans="1:1" x14ac:dyDescent="0.2">
      <c r="A950" s="52"/>
    </row>
    <row r="951" spans="1:1" x14ac:dyDescent="0.2">
      <c r="A951" s="53"/>
    </row>
    <row r="952" spans="1:1" x14ac:dyDescent="0.2">
      <c r="A952" s="52"/>
    </row>
    <row r="953" spans="1:1" x14ac:dyDescent="0.2">
      <c r="A953" s="52"/>
    </row>
    <row r="954" spans="1:1" x14ac:dyDescent="0.2">
      <c r="A954" s="52"/>
    </row>
    <row r="955" spans="1:1" x14ac:dyDescent="0.2">
      <c r="A955" s="52"/>
    </row>
    <row r="956" spans="1:1" x14ac:dyDescent="0.2">
      <c r="A956" s="53"/>
    </row>
    <row r="957" spans="1:1" x14ac:dyDescent="0.2">
      <c r="A957" s="52"/>
    </row>
    <row r="958" spans="1:1" x14ac:dyDescent="0.2">
      <c r="A958" s="52"/>
    </row>
    <row r="959" spans="1:1" x14ac:dyDescent="0.2">
      <c r="A959" s="52"/>
    </row>
    <row r="960" spans="1:1" x14ac:dyDescent="0.2">
      <c r="A960" s="52"/>
    </row>
    <row r="961" spans="1:1" x14ac:dyDescent="0.2">
      <c r="A961" s="52"/>
    </row>
    <row r="962" spans="1:1" x14ac:dyDescent="0.2">
      <c r="A962" s="52"/>
    </row>
    <row r="963" spans="1:1" x14ac:dyDescent="0.2">
      <c r="A963" s="53"/>
    </row>
    <row r="964" spans="1:1" x14ac:dyDescent="0.2">
      <c r="A964" s="52"/>
    </row>
    <row r="965" spans="1:1" x14ac:dyDescent="0.2">
      <c r="A965" s="52"/>
    </row>
    <row r="966" spans="1:1" x14ac:dyDescent="0.2">
      <c r="A966" s="52"/>
    </row>
    <row r="967" spans="1:1" x14ac:dyDescent="0.2">
      <c r="A967" s="52"/>
    </row>
    <row r="968" spans="1:1" x14ac:dyDescent="0.2">
      <c r="A968" s="52"/>
    </row>
    <row r="969" spans="1:1" x14ac:dyDescent="0.2">
      <c r="A969" s="52"/>
    </row>
    <row r="970" spans="1:1" x14ac:dyDescent="0.2">
      <c r="A970" s="53"/>
    </row>
    <row r="971" spans="1:1" x14ac:dyDescent="0.2">
      <c r="A971" s="52"/>
    </row>
    <row r="972" spans="1:1" x14ac:dyDescent="0.2">
      <c r="A972" s="52"/>
    </row>
    <row r="973" spans="1:1" x14ac:dyDescent="0.2">
      <c r="A973" s="52"/>
    </row>
    <row r="974" spans="1:1" x14ac:dyDescent="0.2">
      <c r="A974" s="52"/>
    </row>
    <row r="975" spans="1:1" x14ac:dyDescent="0.2">
      <c r="A975" s="52"/>
    </row>
    <row r="976" spans="1:1" x14ac:dyDescent="0.2">
      <c r="A976" s="52"/>
    </row>
    <row r="977" spans="1:1" x14ac:dyDescent="0.2">
      <c r="A977" s="53"/>
    </row>
    <row r="978" spans="1:1" x14ac:dyDescent="0.2">
      <c r="A978" s="52"/>
    </row>
    <row r="979" spans="1:1" x14ac:dyDescent="0.2">
      <c r="A979" s="52"/>
    </row>
    <row r="980" spans="1:1" x14ac:dyDescent="0.2">
      <c r="A980" s="52"/>
    </row>
    <row r="981" spans="1:1" x14ac:dyDescent="0.2">
      <c r="A981" s="52"/>
    </row>
    <row r="982" spans="1:1" x14ac:dyDescent="0.2">
      <c r="A982" s="52"/>
    </row>
    <row r="983" spans="1:1" x14ac:dyDescent="0.2">
      <c r="A983" s="52"/>
    </row>
    <row r="984" spans="1:1" x14ac:dyDescent="0.2">
      <c r="A984" s="52"/>
    </row>
    <row r="985" spans="1:1" x14ac:dyDescent="0.2">
      <c r="A985" s="52"/>
    </row>
    <row r="986" spans="1:1" x14ac:dyDescent="0.2">
      <c r="A986" s="53"/>
    </row>
    <row r="987" spans="1:1" x14ac:dyDescent="0.2">
      <c r="A987" s="53"/>
    </row>
    <row r="988" spans="1:1" x14ac:dyDescent="0.2">
      <c r="A988" s="53"/>
    </row>
    <row r="989" spans="1:1" x14ac:dyDescent="0.2">
      <c r="A989" s="52"/>
    </row>
    <row r="990" spans="1:1" x14ac:dyDescent="0.2">
      <c r="A990" s="53"/>
    </row>
    <row r="991" spans="1:1" x14ac:dyDescent="0.2">
      <c r="A991" s="52"/>
    </row>
    <row r="992" spans="1:1" x14ac:dyDescent="0.2">
      <c r="A992" s="52"/>
    </row>
    <row r="993" spans="1:1" x14ac:dyDescent="0.2">
      <c r="A993" s="52"/>
    </row>
    <row r="994" spans="1:1" x14ac:dyDescent="0.2">
      <c r="A994" s="52"/>
    </row>
    <row r="995" spans="1:1" x14ac:dyDescent="0.2">
      <c r="A995" s="52"/>
    </row>
    <row r="996" spans="1:1" x14ac:dyDescent="0.2">
      <c r="A996" s="52"/>
    </row>
    <row r="997" spans="1:1" x14ac:dyDescent="0.2">
      <c r="A997" s="52"/>
    </row>
    <row r="998" spans="1:1" x14ac:dyDescent="0.2">
      <c r="A998" s="52"/>
    </row>
    <row r="999" spans="1:1" x14ac:dyDescent="0.2">
      <c r="A999" s="52"/>
    </row>
    <row r="1000" spans="1:1" x14ac:dyDescent="0.2">
      <c r="A1000" s="52"/>
    </row>
    <row r="1001" spans="1:1" x14ac:dyDescent="0.2">
      <c r="A1001" s="52"/>
    </row>
    <row r="1002" spans="1:1" x14ac:dyDescent="0.2">
      <c r="A1002" s="52"/>
    </row>
    <row r="1003" spans="1:1" x14ac:dyDescent="0.2">
      <c r="A1003" s="52"/>
    </row>
    <row r="1004" spans="1:1" x14ac:dyDescent="0.2">
      <c r="A1004" s="53"/>
    </row>
    <row r="1005" spans="1:1" x14ac:dyDescent="0.2">
      <c r="A1005" s="52"/>
    </row>
    <row r="1006" spans="1:1" x14ac:dyDescent="0.2">
      <c r="A1006" s="52"/>
    </row>
    <row r="1007" spans="1:1" x14ac:dyDescent="0.2">
      <c r="A1007" s="52"/>
    </row>
    <row r="1008" spans="1:1" x14ac:dyDescent="0.2">
      <c r="A1008" s="52"/>
    </row>
    <row r="1009" spans="1:1" x14ac:dyDescent="0.2">
      <c r="A1009" s="52"/>
    </row>
    <row r="1010" spans="1:1" x14ac:dyDescent="0.2">
      <c r="A1010" s="52"/>
    </row>
    <row r="1011" spans="1:1" x14ac:dyDescent="0.2">
      <c r="A1011" s="52"/>
    </row>
    <row r="1012" spans="1:1" x14ac:dyDescent="0.2">
      <c r="A1012" s="52"/>
    </row>
    <row r="1013" spans="1:1" x14ac:dyDescent="0.2">
      <c r="A1013" s="52"/>
    </row>
    <row r="1014" spans="1:1" x14ac:dyDescent="0.2">
      <c r="A1014" s="52"/>
    </row>
    <row r="1015" spans="1:1" x14ac:dyDescent="0.2">
      <c r="A1015" s="52"/>
    </row>
    <row r="1016" spans="1:1" x14ac:dyDescent="0.2">
      <c r="A1016" s="52"/>
    </row>
    <row r="1017" spans="1:1" x14ac:dyDescent="0.2">
      <c r="A1017" s="52"/>
    </row>
    <row r="1018" spans="1:1" x14ac:dyDescent="0.2">
      <c r="A1018" s="52"/>
    </row>
    <row r="1019" spans="1:1" x14ac:dyDescent="0.2">
      <c r="A1019" s="52"/>
    </row>
    <row r="1020" spans="1:1" x14ac:dyDescent="0.2">
      <c r="A1020" s="52"/>
    </row>
    <row r="1021" spans="1:1" x14ac:dyDescent="0.2">
      <c r="A1021" s="52"/>
    </row>
    <row r="1022" spans="1:1" x14ac:dyDescent="0.2">
      <c r="A1022" s="52"/>
    </row>
    <row r="1023" spans="1:1" x14ac:dyDescent="0.2">
      <c r="A1023" s="52"/>
    </row>
    <row r="1024" spans="1:1" x14ac:dyDescent="0.2">
      <c r="A1024" s="52"/>
    </row>
    <row r="1025" spans="1:1" x14ac:dyDescent="0.2">
      <c r="A1025" s="52"/>
    </row>
    <row r="1026" spans="1:1" x14ac:dyDescent="0.2">
      <c r="A1026" s="52"/>
    </row>
    <row r="1027" spans="1:1" x14ac:dyDescent="0.2">
      <c r="A1027" s="52"/>
    </row>
    <row r="1028" spans="1:1" x14ac:dyDescent="0.2">
      <c r="A1028" s="52"/>
    </row>
    <row r="1029" spans="1:1" x14ac:dyDescent="0.2">
      <c r="A1029" s="52"/>
    </row>
    <row r="1030" spans="1:1" x14ac:dyDescent="0.2">
      <c r="A1030" s="53"/>
    </row>
    <row r="1031" spans="1:1" x14ac:dyDescent="0.2">
      <c r="A1031" s="52"/>
    </row>
    <row r="1032" spans="1:1" x14ac:dyDescent="0.2">
      <c r="A1032" s="52"/>
    </row>
    <row r="1033" spans="1:1" x14ac:dyDescent="0.2">
      <c r="A1033" s="52"/>
    </row>
    <row r="1034" spans="1:1" x14ac:dyDescent="0.2">
      <c r="A1034" s="52"/>
    </row>
    <row r="1035" spans="1:1" x14ac:dyDescent="0.2">
      <c r="A1035" s="52"/>
    </row>
    <row r="1036" spans="1:1" x14ac:dyDescent="0.2">
      <c r="A1036" s="53"/>
    </row>
    <row r="1037" spans="1:1" x14ac:dyDescent="0.2">
      <c r="A1037" s="52"/>
    </row>
    <row r="1038" spans="1:1" x14ac:dyDescent="0.2">
      <c r="A1038" s="52"/>
    </row>
    <row r="1039" spans="1:1" x14ac:dyDescent="0.2">
      <c r="A1039" s="52"/>
    </row>
    <row r="1040" spans="1:1" x14ac:dyDescent="0.2">
      <c r="A1040" s="52"/>
    </row>
    <row r="1041" spans="1:1" x14ac:dyDescent="0.2">
      <c r="A1041" s="52"/>
    </row>
    <row r="1042" spans="1:1" x14ac:dyDescent="0.2">
      <c r="A1042" s="52"/>
    </row>
    <row r="1043" spans="1:1" x14ac:dyDescent="0.2">
      <c r="A1043" s="52"/>
    </row>
    <row r="1044" spans="1:1" x14ac:dyDescent="0.2">
      <c r="A1044" s="52"/>
    </row>
    <row r="1045" spans="1:1" x14ac:dyDescent="0.2">
      <c r="A1045" s="52"/>
    </row>
    <row r="1046" spans="1:1" x14ac:dyDescent="0.2">
      <c r="A1046" s="52"/>
    </row>
    <row r="1047" spans="1:1" x14ac:dyDescent="0.2">
      <c r="A1047" s="52"/>
    </row>
    <row r="1048" spans="1:1" x14ac:dyDescent="0.2">
      <c r="A1048" s="52"/>
    </row>
    <row r="1049" spans="1:1" x14ac:dyDescent="0.2">
      <c r="A1049" s="52"/>
    </row>
    <row r="1050" spans="1:1" x14ac:dyDescent="0.2">
      <c r="A1050" s="52"/>
    </row>
    <row r="1051" spans="1:1" x14ac:dyDescent="0.2">
      <c r="A1051" s="52"/>
    </row>
    <row r="1052" spans="1:1" x14ac:dyDescent="0.2">
      <c r="A1052" s="52"/>
    </row>
    <row r="1053" spans="1:1" x14ac:dyDescent="0.2">
      <c r="A1053" s="52"/>
    </row>
    <row r="1054" spans="1:1" x14ac:dyDescent="0.2">
      <c r="A1054" s="52"/>
    </row>
    <row r="1055" spans="1:1" x14ac:dyDescent="0.2">
      <c r="A1055" s="52"/>
    </row>
    <row r="1056" spans="1:1" x14ac:dyDescent="0.2">
      <c r="A1056" s="52"/>
    </row>
    <row r="1057" spans="1:1" x14ac:dyDescent="0.2">
      <c r="A1057" s="52"/>
    </row>
    <row r="1058" spans="1:1" x14ac:dyDescent="0.2">
      <c r="A1058" s="52"/>
    </row>
    <row r="1059" spans="1:1" x14ac:dyDescent="0.2">
      <c r="A1059" s="53"/>
    </row>
    <row r="1060" spans="1:1" x14ac:dyDescent="0.2">
      <c r="A1060" s="52"/>
    </row>
    <row r="1061" spans="1:1" x14ac:dyDescent="0.2">
      <c r="A1061" s="53"/>
    </row>
    <row r="1062" spans="1:1" x14ac:dyDescent="0.2">
      <c r="A1062" s="53"/>
    </row>
    <row r="1063" spans="1:1" x14ac:dyDescent="0.2">
      <c r="A1063" s="52"/>
    </row>
    <row r="1064" spans="1:1" x14ac:dyDescent="0.2">
      <c r="A1064" s="52"/>
    </row>
    <row r="1065" spans="1:1" x14ac:dyDescent="0.2">
      <c r="A1065" s="52"/>
    </row>
    <row r="1066" spans="1:1" x14ac:dyDescent="0.2">
      <c r="A1066" s="52"/>
    </row>
    <row r="1067" spans="1:1" x14ac:dyDescent="0.2">
      <c r="A1067" s="52"/>
    </row>
    <row r="1068" spans="1:1" x14ac:dyDescent="0.2">
      <c r="A1068" s="52"/>
    </row>
    <row r="1069" spans="1:1" x14ac:dyDescent="0.2">
      <c r="A1069" s="52"/>
    </row>
    <row r="1070" spans="1:1" x14ac:dyDescent="0.2">
      <c r="A1070" s="52"/>
    </row>
    <row r="1071" spans="1:1" x14ac:dyDescent="0.2">
      <c r="A1071" s="52"/>
    </row>
    <row r="1072" spans="1:1" x14ac:dyDescent="0.2">
      <c r="A1072" s="52"/>
    </row>
    <row r="1073" spans="1:1" x14ac:dyDescent="0.2">
      <c r="A1073" s="52"/>
    </row>
    <row r="1074" spans="1:1" x14ac:dyDescent="0.2">
      <c r="A1074" s="52"/>
    </row>
    <row r="1075" spans="1:1" x14ac:dyDescent="0.2">
      <c r="A1075" s="52"/>
    </row>
    <row r="1076" spans="1:1" x14ac:dyDescent="0.2">
      <c r="A1076" s="52"/>
    </row>
    <row r="1077" spans="1:1" x14ac:dyDescent="0.2">
      <c r="A1077" s="52"/>
    </row>
    <row r="1078" spans="1:1" x14ac:dyDescent="0.2">
      <c r="A1078" s="52"/>
    </row>
    <row r="1079" spans="1:1" x14ac:dyDescent="0.2">
      <c r="A1079" s="52"/>
    </row>
    <row r="1080" spans="1:1" x14ac:dyDescent="0.2">
      <c r="A1080" s="52"/>
    </row>
    <row r="1081" spans="1:1" x14ac:dyDescent="0.2">
      <c r="A1081" s="52"/>
    </row>
    <row r="1082" spans="1:1" x14ac:dyDescent="0.2">
      <c r="A1082" s="52"/>
    </row>
    <row r="1083" spans="1:1" x14ac:dyDescent="0.2">
      <c r="A1083" s="52"/>
    </row>
    <row r="1084" spans="1:1" x14ac:dyDescent="0.2">
      <c r="A1084" s="52"/>
    </row>
    <row r="1085" spans="1:1" x14ac:dyDescent="0.2">
      <c r="A1085" s="52"/>
    </row>
    <row r="1086" spans="1:1" x14ac:dyDescent="0.2">
      <c r="A1086" s="52"/>
    </row>
    <row r="1087" spans="1:1" x14ac:dyDescent="0.2">
      <c r="A1087" s="52"/>
    </row>
    <row r="1088" spans="1:1" x14ac:dyDescent="0.2">
      <c r="A1088" s="52"/>
    </row>
    <row r="1089" spans="1:1" x14ac:dyDescent="0.2">
      <c r="A1089" s="52"/>
    </row>
    <row r="1090" spans="1:1" x14ac:dyDescent="0.2">
      <c r="A1090" s="52"/>
    </row>
    <row r="1091" spans="1:1" x14ac:dyDescent="0.2">
      <c r="A1091" s="52"/>
    </row>
    <row r="1092" spans="1:1" x14ac:dyDescent="0.2">
      <c r="A1092" s="52"/>
    </row>
    <row r="1093" spans="1:1" x14ac:dyDescent="0.2">
      <c r="A1093" s="52"/>
    </row>
    <row r="1094" spans="1:1" x14ac:dyDescent="0.2">
      <c r="A1094" s="52"/>
    </row>
    <row r="1095" spans="1:1" x14ac:dyDescent="0.2">
      <c r="A1095" s="52"/>
    </row>
    <row r="1096" spans="1:1" x14ac:dyDescent="0.2">
      <c r="A1096" s="52"/>
    </row>
    <row r="1097" spans="1:1" x14ac:dyDescent="0.2">
      <c r="A1097" s="52"/>
    </row>
    <row r="1098" spans="1:1" x14ac:dyDescent="0.2">
      <c r="A1098" s="52"/>
    </row>
    <row r="1099" spans="1:1" x14ac:dyDescent="0.2">
      <c r="A1099" s="52"/>
    </row>
    <row r="1100" spans="1:1" x14ac:dyDescent="0.2">
      <c r="A1100" s="52"/>
    </row>
    <row r="1101" spans="1:1" x14ac:dyDescent="0.2">
      <c r="A1101" s="52"/>
    </row>
    <row r="1102" spans="1:1" x14ac:dyDescent="0.2">
      <c r="A1102" s="52"/>
    </row>
    <row r="1103" spans="1:1" x14ac:dyDescent="0.2">
      <c r="A1103" s="52"/>
    </row>
    <row r="1104" spans="1:1" x14ac:dyDescent="0.2">
      <c r="A1104" s="52"/>
    </row>
    <row r="1105" spans="1:1" x14ac:dyDescent="0.2">
      <c r="A1105" s="52"/>
    </row>
    <row r="1106" spans="1:1" x14ac:dyDescent="0.2">
      <c r="A1106" s="52"/>
    </row>
    <row r="1107" spans="1:1" x14ac:dyDescent="0.2">
      <c r="A1107" s="52"/>
    </row>
    <row r="1108" spans="1:1" x14ac:dyDescent="0.2">
      <c r="A1108" s="52"/>
    </row>
    <row r="1109" spans="1:1" x14ac:dyDescent="0.2">
      <c r="A1109" s="53"/>
    </row>
    <row r="1110" spans="1:1" x14ac:dyDescent="0.2">
      <c r="A1110" s="52"/>
    </row>
    <row r="1111" spans="1:1" x14ac:dyDescent="0.2">
      <c r="A1111" s="52"/>
    </row>
    <row r="1112" spans="1:1" x14ac:dyDescent="0.2">
      <c r="A1112" s="52"/>
    </row>
    <row r="1113" spans="1:1" x14ac:dyDescent="0.2">
      <c r="A1113" s="52"/>
    </row>
    <row r="1114" spans="1:1" x14ac:dyDescent="0.2">
      <c r="A1114" s="52"/>
    </row>
    <row r="1115" spans="1:1" x14ac:dyDescent="0.2">
      <c r="A1115" s="52"/>
    </row>
    <row r="1116" spans="1:1" x14ac:dyDescent="0.2">
      <c r="A1116" s="52"/>
    </row>
    <row r="1117" spans="1:1" x14ac:dyDescent="0.2">
      <c r="A1117" s="53"/>
    </row>
    <row r="1118" spans="1:1" x14ac:dyDescent="0.2">
      <c r="A1118" s="52"/>
    </row>
    <row r="1119" spans="1:1" x14ac:dyDescent="0.2">
      <c r="A1119" s="52"/>
    </row>
    <row r="1120" spans="1:1" x14ac:dyDescent="0.2">
      <c r="A1120" s="52"/>
    </row>
    <row r="1121" spans="1:1" x14ac:dyDescent="0.2">
      <c r="A1121" s="52"/>
    </row>
    <row r="1122" spans="1:1" x14ac:dyDescent="0.2">
      <c r="A1122" s="52"/>
    </row>
    <row r="1123" spans="1:1" x14ac:dyDescent="0.2">
      <c r="A1123" s="52"/>
    </row>
    <row r="1124" spans="1:1" x14ac:dyDescent="0.2">
      <c r="A1124" s="52"/>
    </row>
    <row r="1125" spans="1:1" x14ac:dyDescent="0.2">
      <c r="A1125" s="52"/>
    </row>
    <row r="1126" spans="1:1" x14ac:dyDescent="0.2">
      <c r="A1126" s="52"/>
    </row>
    <row r="1127" spans="1:1" x14ac:dyDescent="0.2">
      <c r="A1127" s="52"/>
    </row>
    <row r="1128" spans="1:1" x14ac:dyDescent="0.2">
      <c r="A1128" s="52"/>
    </row>
    <row r="1129" spans="1:1" x14ac:dyDescent="0.2">
      <c r="A1129" s="52"/>
    </row>
    <row r="1130" spans="1:1" x14ac:dyDescent="0.2">
      <c r="A1130" s="52"/>
    </row>
    <row r="1131" spans="1:1" x14ac:dyDescent="0.2">
      <c r="A1131" s="52"/>
    </row>
    <row r="1132" spans="1:1" x14ac:dyDescent="0.2">
      <c r="A1132" s="52"/>
    </row>
    <row r="1133" spans="1:1" x14ac:dyDescent="0.2">
      <c r="A1133" s="52"/>
    </row>
    <row r="1134" spans="1:1" x14ac:dyDescent="0.2">
      <c r="A1134" s="52"/>
    </row>
    <row r="1135" spans="1:1" x14ac:dyDescent="0.2">
      <c r="A1135" s="52"/>
    </row>
    <row r="1136" spans="1:1" x14ac:dyDescent="0.2">
      <c r="A1136" s="53"/>
    </row>
    <row r="1137" spans="1:1" x14ac:dyDescent="0.2">
      <c r="A1137" s="52"/>
    </row>
    <row r="1138" spans="1:1" x14ac:dyDescent="0.2">
      <c r="A1138" s="52"/>
    </row>
    <row r="1139" spans="1:1" x14ac:dyDescent="0.2">
      <c r="A1139" s="52"/>
    </row>
    <row r="1140" spans="1:1" x14ac:dyDescent="0.2">
      <c r="A1140" s="52"/>
    </row>
    <row r="1141" spans="1:1" x14ac:dyDescent="0.2">
      <c r="A1141" s="53"/>
    </row>
    <row r="1142" spans="1:1" x14ac:dyDescent="0.2">
      <c r="A1142" s="52"/>
    </row>
    <row r="1143" spans="1:1" x14ac:dyDescent="0.2">
      <c r="A1143" s="52"/>
    </row>
    <row r="1144" spans="1:1" x14ac:dyDescent="0.2">
      <c r="A1144" s="52"/>
    </row>
    <row r="1145" spans="1:1" x14ac:dyDescent="0.2">
      <c r="A1145" s="52"/>
    </row>
    <row r="1146" spans="1:1" x14ac:dyDescent="0.2">
      <c r="A1146" s="52"/>
    </row>
    <row r="1147" spans="1:1" x14ac:dyDescent="0.2">
      <c r="A1147" s="52"/>
    </row>
    <row r="1148" spans="1:1" x14ac:dyDescent="0.2">
      <c r="A1148" s="52"/>
    </row>
    <row r="1149" spans="1:1" x14ac:dyDescent="0.2">
      <c r="A1149" s="52"/>
    </row>
    <row r="1150" spans="1:1" x14ac:dyDescent="0.2">
      <c r="A1150" s="52"/>
    </row>
    <row r="1151" spans="1:1" x14ac:dyDescent="0.2">
      <c r="A1151" s="52"/>
    </row>
    <row r="1152" spans="1:1" x14ac:dyDescent="0.2">
      <c r="A1152" s="52"/>
    </row>
    <row r="1153" spans="1:1" x14ac:dyDescent="0.2">
      <c r="A1153" s="52"/>
    </row>
    <row r="1154" spans="1:1" x14ac:dyDescent="0.2">
      <c r="A1154" s="52"/>
    </row>
    <row r="1155" spans="1:1" x14ac:dyDescent="0.2">
      <c r="A1155" s="52"/>
    </row>
    <row r="1156" spans="1:1" x14ac:dyDescent="0.2">
      <c r="A1156" s="52"/>
    </row>
    <row r="1157" spans="1:1" x14ac:dyDescent="0.2">
      <c r="A1157" s="52"/>
    </row>
    <row r="1158" spans="1:1" x14ac:dyDescent="0.2">
      <c r="A1158" s="52"/>
    </row>
    <row r="1159" spans="1:1" x14ac:dyDescent="0.2">
      <c r="A1159" s="52"/>
    </row>
    <row r="1160" spans="1:1" x14ac:dyDescent="0.2">
      <c r="A1160" s="52"/>
    </row>
    <row r="1161" spans="1:1" x14ac:dyDescent="0.2">
      <c r="A1161" s="52"/>
    </row>
    <row r="1162" spans="1:1" x14ac:dyDescent="0.2">
      <c r="A1162" s="52"/>
    </row>
    <row r="1163" spans="1:1" x14ac:dyDescent="0.2">
      <c r="A1163" s="52"/>
    </row>
    <row r="1164" spans="1:1" x14ac:dyDescent="0.2">
      <c r="A1164" s="52"/>
    </row>
    <row r="1165" spans="1:1" x14ac:dyDescent="0.2">
      <c r="A1165" s="52"/>
    </row>
    <row r="1166" spans="1:1" x14ac:dyDescent="0.2">
      <c r="A1166" s="52"/>
    </row>
    <row r="1167" spans="1:1" x14ac:dyDescent="0.2">
      <c r="A1167" s="52"/>
    </row>
    <row r="1168" spans="1:1" x14ac:dyDescent="0.2">
      <c r="A1168" s="52"/>
    </row>
    <row r="1169" spans="1:1" x14ac:dyDescent="0.2">
      <c r="A1169" s="52"/>
    </row>
    <row r="1170" spans="1:1" x14ac:dyDescent="0.2">
      <c r="A1170" s="52"/>
    </row>
    <row r="1171" spans="1:1" x14ac:dyDescent="0.2">
      <c r="A1171" s="52"/>
    </row>
    <row r="1172" spans="1:1" x14ac:dyDescent="0.2">
      <c r="A1172" s="52"/>
    </row>
    <row r="1173" spans="1:1" x14ac:dyDescent="0.2">
      <c r="A1173" s="52"/>
    </row>
    <row r="1174" spans="1:1" x14ac:dyDescent="0.2">
      <c r="A1174" s="52"/>
    </row>
    <row r="1175" spans="1:1" x14ac:dyDescent="0.2">
      <c r="A1175" s="52"/>
    </row>
    <row r="1176" spans="1:1" x14ac:dyDescent="0.2">
      <c r="A1176" s="53"/>
    </row>
    <row r="1177" spans="1:1" x14ac:dyDescent="0.2">
      <c r="A1177" s="52"/>
    </row>
    <row r="1178" spans="1:1" x14ac:dyDescent="0.2">
      <c r="A1178" s="52"/>
    </row>
    <row r="1179" spans="1:1" x14ac:dyDescent="0.2">
      <c r="A1179" s="52"/>
    </row>
    <row r="1180" spans="1:1" x14ac:dyDescent="0.2">
      <c r="A1180" s="52"/>
    </row>
    <row r="1181" spans="1:1" x14ac:dyDescent="0.2">
      <c r="A1181" s="52"/>
    </row>
    <row r="1182" spans="1:1" x14ac:dyDescent="0.2">
      <c r="A1182" s="52"/>
    </row>
    <row r="1183" spans="1:1" x14ac:dyDescent="0.2">
      <c r="A1183" s="52"/>
    </row>
    <row r="1184" spans="1:1" x14ac:dyDescent="0.2">
      <c r="A1184" s="52"/>
    </row>
    <row r="1185" spans="1:1" x14ac:dyDescent="0.2">
      <c r="A1185" s="52"/>
    </row>
    <row r="1186" spans="1:1" x14ac:dyDescent="0.2">
      <c r="A1186" s="52"/>
    </row>
    <row r="1187" spans="1:1" x14ac:dyDescent="0.2">
      <c r="A1187" s="52"/>
    </row>
    <row r="1188" spans="1:1" x14ac:dyDescent="0.2">
      <c r="A1188" s="52"/>
    </row>
    <row r="1189" spans="1:1" x14ac:dyDescent="0.2">
      <c r="A1189" s="52"/>
    </row>
    <row r="1190" spans="1:1" x14ac:dyDescent="0.2">
      <c r="A1190" s="52"/>
    </row>
    <row r="1191" spans="1:1" x14ac:dyDescent="0.2">
      <c r="A1191" s="52"/>
    </row>
    <row r="1192" spans="1:1" x14ac:dyDescent="0.2">
      <c r="A1192" s="52"/>
    </row>
    <row r="1193" spans="1:1" x14ac:dyDescent="0.2">
      <c r="A1193" s="52"/>
    </row>
    <row r="1194" spans="1:1" x14ac:dyDescent="0.2">
      <c r="A1194" s="52"/>
    </row>
    <row r="1195" spans="1:1" x14ac:dyDescent="0.2">
      <c r="A1195" s="52"/>
    </row>
    <row r="1196" spans="1:1" x14ac:dyDescent="0.2">
      <c r="A1196" s="52"/>
    </row>
    <row r="1197" spans="1:1" x14ac:dyDescent="0.2">
      <c r="A1197" s="52"/>
    </row>
    <row r="1198" spans="1:1" x14ac:dyDescent="0.2">
      <c r="A1198" s="52"/>
    </row>
    <row r="1199" spans="1:1" x14ac:dyDescent="0.2">
      <c r="A1199" s="52"/>
    </row>
    <row r="1200" spans="1:1" x14ac:dyDescent="0.2">
      <c r="A1200" s="52"/>
    </row>
    <row r="1201" spans="1:1" x14ac:dyDescent="0.2">
      <c r="A1201" s="52"/>
    </row>
    <row r="1202" spans="1:1" x14ac:dyDescent="0.2">
      <c r="A1202" s="52"/>
    </row>
    <row r="1203" spans="1:1" x14ac:dyDescent="0.2">
      <c r="A1203" s="52"/>
    </row>
    <row r="1204" spans="1:1" x14ac:dyDescent="0.2">
      <c r="A1204" s="52"/>
    </row>
    <row r="1205" spans="1:1" x14ac:dyDescent="0.2">
      <c r="A1205" s="52"/>
    </row>
    <row r="1206" spans="1:1" x14ac:dyDescent="0.2">
      <c r="A1206" s="52"/>
    </row>
    <row r="1207" spans="1:1" x14ac:dyDescent="0.2">
      <c r="A1207" s="52"/>
    </row>
    <row r="1208" spans="1:1" x14ac:dyDescent="0.2">
      <c r="A1208" s="52"/>
    </row>
    <row r="1209" spans="1:1" x14ac:dyDescent="0.2">
      <c r="A1209" s="52"/>
    </row>
    <row r="1210" spans="1:1" x14ac:dyDescent="0.2">
      <c r="A1210" s="52"/>
    </row>
    <row r="1211" spans="1:1" x14ac:dyDescent="0.2">
      <c r="A1211" s="52"/>
    </row>
    <row r="1212" spans="1:1" x14ac:dyDescent="0.2">
      <c r="A1212" s="52"/>
    </row>
    <row r="1213" spans="1:1" x14ac:dyDescent="0.2">
      <c r="A1213" s="52"/>
    </row>
    <row r="1214" spans="1:1" x14ac:dyDescent="0.2">
      <c r="A1214" s="52"/>
    </row>
    <row r="1215" spans="1:1" x14ac:dyDescent="0.2">
      <c r="A1215" s="52"/>
    </row>
    <row r="1216" spans="1:1" x14ac:dyDescent="0.2">
      <c r="A1216" s="52"/>
    </row>
    <row r="1217" spans="1:1" x14ac:dyDescent="0.2">
      <c r="A1217" s="52"/>
    </row>
    <row r="1218" spans="1:1" x14ac:dyDescent="0.2">
      <c r="A1218" s="52"/>
    </row>
    <row r="1219" spans="1:1" x14ac:dyDescent="0.2">
      <c r="A1219" s="52"/>
    </row>
    <row r="1220" spans="1:1" x14ac:dyDescent="0.2">
      <c r="A1220" s="52"/>
    </row>
    <row r="1221" spans="1:1" x14ac:dyDescent="0.2">
      <c r="A1221" s="52"/>
    </row>
    <row r="1222" spans="1:1" x14ac:dyDescent="0.2">
      <c r="A1222" s="52"/>
    </row>
    <row r="1223" spans="1:1" x14ac:dyDescent="0.2">
      <c r="A1223" s="52"/>
    </row>
    <row r="1224" spans="1:1" x14ac:dyDescent="0.2">
      <c r="A1224" s="52"/>
    </row>
    <row r="1225" spans="1:1" x14ac:dyDescent="0.2">
      <c r="A1225" s="52"/>
    </row>
    <row r="1226" spans="1:1" x14ac:dyDescent="0.2">
      <c r="A1226" s="52"/>
    </row>
    <row r="1227" spans="1:1" x14ac:dyDescent="0.2">
      <c r="A1227" s="52"/>
    </row>
    <row r="1228" spans="1:1" x14ac:dyDescent="0.2">
      <c r="A1228" s="52"/>
    </row>
    <row r="1229" spans="1:1" x14ac:dyDescent="0.2">
      <c r="A1229" s="52"/>
    </row>
    <row r="1230" spans="1:1" x14ac:dyDescent="0.2">
      <c r="A1230" s="52"/>
    </row>
    <row r="1231" spans="1:1" x14ac:dyDescent="0.2">
      <c r="A1231" s="52"/>
    </row>
    <row r="1232" spans="1:1" x14ac:dyDescent="0.2">
      <c r="A1232" s="52"/>
    </row>
    <row r="1233" spans="1:1" x14ac:dyDescent="0.2">
      <c r="A1233" s="52"/>
    </row>
    <row r="1234" spans="1:1" x14ac:dyDescent="0.2">
      <c r="A1234" s="52"/>
    </row>
    <row r="1235" spans="1:1" x14ac:dyDescent="0.2">
      <c r="A1235" s="52"/>
    </row>
    <row r="1236" spans="1:1" x14ac:dyDescent="0.2">
      <c r="A1236" s="52"/>
    </row>
    <row r="1237" spans="1:1" x14ac:dyDescent="0.2">
      <c r="A1237" s="52"/>
    </row>
    <row r="1238" spans="1:1" x14ac:dyDescent="0.2">
      <c r="A1238" s="52"/>
    </row>
    <row r="1239" spans="1:1" x14ac:dyDescent="0.2">
      <c r="A1239" s="52"/>
    </row>
    <row r="1240" spans="1:1" x14ac:dyDescent="0.2">
      <c r="A1240" s="52"/>
    </row>
    <row r="1241" spans="1:1" x14ac:dyDescent="0.2">
      <c r="A1241" s="52"/>
    </row>
    <row r="1242" spans="1:1" x14ac:dyDescent="0.2">
      <c r="A1242" s="52"/>
    </row>
    <row r="1243" spans="1:1" x14ac:dyDescent="0.2">
      <c r="A1243" s="52"/>
    </row>
    <row r="1244" spans="1:1" x14ac:dyDescent="0.2">
      <c r="A1244" s="52"/>
    </row>
    <row r="1245" spans="1:1" x14ac:dyDescent="0.2">
      <c r="A1245" s="52"/>
    </row>
    <row r="1246" spans="1:1" x14ac:dyDescent="0.2">
      <c r="A1246" s="52"/>
    </row>
    <row r="1247" spans="1:1" x14ac:dyDescent="0.2">
      <c r="A1247" s="52"/>
    </row>
    <row r="1248" spans="1:1" x14ac:dyDescent="0.2">
      <c r="A1248" s="52"/>
    </row>
    <row r="1249" spans="1:1" x14ac:dyDescent="0.2">
      <c r="A1249" s="52"/>
    </row>
    <row r="1250" spans="1:1" x14ac:dyDescent="0.2">
      <c r="A1250" s="52"/>
    </row>
    <row r="1251" spans="1:1" x14ac:dyDescent="0.2">
      <c r="A1251" s="52"/>
    </row>
    <row r="1252" spans="1:1" x14ac:dyDescent="0.2">
      <c r="A1252" s="52"/>
    </row>
    <row r="1253" spans="1:1" x14ac:dyDescent="0.2">
      <c r="A1253" s="52"/>
    </row>
    <row r="1254" spans="1:1" x14ac:dyDescent="0.2">
      <c r="A1254" s="52"/>
    </row>
    <row r="1255" spans="1:1" x14ac:dyDescent="0.2">
      <c r="A1255" s="52"/>
    </row>
    <row r="1256" spans="1:1" x14ac:dyDescent="0.2">
      <c r="A1256" s="52"/>
    </row>
    <row r="1257" spans="1:1" x14ac:dyDescent="0.2">
      <c r="A1257" s="52"/>
    </row>
    <row r="1258" spans="1:1" x14ac:dyDescent="0.2">
      <c r="A1258" s="52"/>
    </row>
    <row r="1259" spans="1:1" x14ac:dyDescent="0.2">
      <c r="A1259" s="52"/>
    </row>
    <row r="1260" spans="1:1" x14ac:dyDescent="0.2">
      <c r="A1260" s="52"/>
    </row>
    <row r="1261" spans="1:1" x14ac:dyDescent="0.2">
      <c r="A1261" s="52"/>
    </row>
    <row r="1262" spans="1:1" x14ac:dyDescent="0.2">
      <c r="A1262" s="52"/>
    </row>
    <row r="1263" spans="1:1" x14ac:dyDescent="0.2">
      <c r="A1263" s="52"/>
    </row>
    <row r="1264" spans="1:1" x14ac:dyDescent="0.2">
      <c r="A1264" s="52"/>
    </row>
    <row r="1265" spans="1:1" x14ac:dyDescent="0.2">
      <c r="A1265" s="52"/>
    </row>
    <row r="1266" spans="1:1" x14ac:dyDescent="0.2">
      <c r="A1266" s="52"/>
    </row>
    <row r="1267" spans="1:1" x14ac:dyDescent="0.2">
      <c r="A1267" s="52"/>
    </row>
    <row r="1268" spans="1:1" x14ac:dyDescent="0.2">
      <c r="A1268" s="52"/>
    </row>
    <row r="1269" spans="1:1" x14ac:dyDescent="0.2">
      <c r="A1269" s="52"/>
    </row>
    <row r="1270" spans="1:1" x14ac:dyDescent="0.2">
      <c r="A1270" s="52"/>
    </row>
    <row r="1271" spans="1:1" x14ac:dyDescent="0.2">
      <c r="A1271" s="52"/>
    </row>
    <row r="1272" spans="1:1" x14ac:dyDescent="0.2">
      <c r="A1272" s="52"/>
    </row>
    <row r="1273" spans="1:1" x14ac:dyDescent="0.2">
      <c r="A1273" s="52"/>
    </row>
    <row r="1274" spans="1:1" x14ac:dyDescent="0.2">
      <c r="A1274" s="52"/>
    </row>
    <row r="1275" spans="1:1" x14ac:dyDescent="0.2">
      <c r="A1275" s="52"/>
    </row>
    <row r="1276" spans="1:1" x14ac:dyDescent="0.2">
      <c r="A1276" s="52"/>
    </row>
    <row r="1277" spans="1:1" x14ac:dyDescent="0.2">
      <c r="A1277" s="52"/>
    </row>
    <row r="1278" spans="1:1" x14ac:dyDescent="0.2">
      <c r="A1278" s="52"/>
    </row>
    <row r="1279" spans="1:1" x14ac:dyDescent="0.2">
      <c r="A1279" s="52"/>
    </row>
    <row r="1280" spans="1:1" x14ac:dyDescent="0.2">
      <c r="A1280" s="52"/>
    </row>
    <row r="1281" spans="1:1" x14ac:dyDescent="0.2">
      <c r="A1281" s="52"/>
    </row>
    <row r="1282" spans="1:1" x14ac:dyDescent="0.2">
      <c r="A1282" s="52"/>
    </row>
    <row r="1283" spans="1:1" x14ac:dyDescent="0.2">
      <c r="A1283" s="53"/>
    </row>
    <row r="1284" spans="1:1" x14ac:dyDescent="0.2">
      <c r="A1284" s="52"/>
    </row>
    <row r="1285" spans="1:1" x14ac:dyDescent="0.2">
      <c r="A1285" s="52"/>
    </row>
    <row r="1286" spans="1:1" x14ac:dyDescent="0.2">
      <c r="A1286" s="52"/>
    </row>
    <row r="1287" spans="1:1" x14ac:dyDescent="0.2">
      <c r="A1287" s="52"/>
    </row>
    <row r="1288" spans="1:1" x14ac:dyDescent="0.2">
      <c r="A1288" s="52"/>
    </row>
    <row r="1289" spans="1:1" x14ac:dyDescent="0.2">
      <c r="A1289" s="52"/>
    </row>
    <row r="1290" spans="1:1" x14ac:dyDescent="0.2">
      <c r="A1290" s="52"/>
    </row>
    <row r="1291" spans="1:1" x14ac:dyDescent="0.2">
      <c r="A1291" s="52"/>
    </row>
    <row r="1292" spans="1:1" x14ac:dyDescent="0.2">
      <c r="A1292" s="52"/>
    </row>
    <row r="1293" spans="1:1" x14ac:dyDescent="0.2">
      <c r="A1293" s="52"/>
    </row>
    <row r="1294" spans="1:1" x14ac:dyDescent="0.2">
      <c r="A1294" s="52"/>
    </row>
    <row r="1295" spans="1:1" x14ac:dyDescent="0.2">
      <c r="A1295" s="52"/>
    </row>
    <row r="1296" spans="1:1" x14ac:dyDescent="0.2">
      <c r="A1296" s="52"/>
    </row>
    <row r="1297" spans="1:1" x14ac:dyDescent="0.2">
      <c r="A1297" s="52"/>
    </row>
    <row r="1298" spans="1:1" x14ac:dyDescent="0.2">
      <c r="A1298" s="53"/>
    </row>
    <row r="1299" spans="1:1" x14ac:dyDescent="0.2">
      <c r="A1299" s="52"/>
    </row>
    <row r="1300" spans="1:1" x14ac:dyDescent="0.2">
      <c r="A1300" s="52"/>
    </row>
    <row r="1301" spans="1:1" x14ac:dyDescent="0.2">
      <c r="A1301" s="52"/>
    </row>
    <row r="1302" spans="1:1" x14ac:dyDescent="0.2">
      <c r="A1302" s="52"/>
    </row>
    <row r="1303" spans="1:1" x14ac:dyDescent="0.2">
      <c r="A1303" s="52"/>
    </row>
    <row r="1304" spans="1:1" x14ac:dyDescent="0.2">
      <c r="A1304" s="52"/>
    </row>
    <row r="1305" spans="1:1" x14ac:dyDescent="0.2">
      <c r="A1305" s="52"/>
    </row>
    <row r="1306" spans="1:1" x14ac:dyDescent="0.2">
      <c r="A1306" s="52"/>
    </row>
    <row r="1307" spans="1:1" x14ac:dyDescent="0.2">
      <c r="A1307" s="52"/>
    </row>
    <row r="1308" spans="1:1" x14ac:dyDescent="0.2">
      <c r="A1308" s="52"/>
    </row>
    <row r="1309" spans="1:1" x14ac:dyDescent="0.2">
      <c r="A1309" s="52"/>
    </row>
    <row r="1310" spans="1:1" x14ac:dyDescent="0.2">
      <c r="A1310" s="52"/>
    </row>
    <row r="1311" spans="1:1" x14ac:dyDescent="0.2">
      <c r="A1311" s="53"/>
    </row>
    <row r="1312" spans="1:1" x14ac:dyDescent="0.2">
      <c r="A1312" s="52"/>
    </row>
    <row r="1313" spans="1:1" x14ac:dyDescent="0.2">
      <c r="A1313" s="52"/>
    </row>
    <row r="1314" spans="1:1" x14ac:dyDescent="0.2">
      <c r="A1314" s="53"/>
    </row>
    <row r="1315" spans="1:1" x14ac:dyDescent="0.2">
      <c r="A1315" s="52"/>
    </row>
    <row r="1316" spans="1:1" x14ac:dyDescent="0.2">
      <c r="A1316" s="52"/>
    </row>
    <row r="1317" spans="1:1" x14ac:dyDescent="0.2">
      <c r="A1317" s="52"/>
    </row>
    <row r="1318" spans="1:1" x14ac:dyDescent="0.2">
      <c r="A1318" s="52"/>
    </row>
    <row r="1319" spans="1:1" x14ac:dyDescent="0.2">
      <c r="A1319" s="52"/>
    </row>
    <row r="1320" spans="1:1" x14ac:dyDescent="0.2">
      <c r="A1320" s="52"/>
    </row>
    <row r="1321" spans="1:1" x14ac:dyDescent="0.2">
      <c r="A1321" s="52"/>
    </row>
    <row r="1322" spans="1:1" x14ac:dyDescent="0.2">
      <c r="A1322" s="52"/>
    </row>
    <row r="1323" spans="1:1" x14ac:dyDescent="0.2">
      <c r="A1323" s="52"/>
    </row>
    <row r="1324" spans="1:1" x14ac:dyDescent="0.2">
      <c r="A1324" s="52"/>
    </row>
    <row r="1325" spans="1:1" x14ac:dyDescent="0.2">
      <c r="A1325" s="52"/>
    </row>
    <row r="1326" spans="1:1" x14ac:dyDescent="0.2">
      <c r="A1326" s="52"/>
    </row>
    <row r="1327" spans="1:1" x14ac:dyDescent="0.2">
      <c r="A1327" s="52"/>
    </row>
    <row r="1328" spans="1:1" x14ac:dyDescent="0.2">
      <c r="A1328" s="52"/>
    </row>
    <row r="1329" spans="1:1" x14ac:dyDescent="0.2">
      <c r="A1329" s="53"/>
    </row>
    <row r="1330" spans="1:1" x14ac:dyDescent="0.2">
      <c r="A1330" s="52"/>
    </row>
    <row r="1331" spans="1:1" x14ac:dyDescent="0.2">
      <c r="A1331" s="52"/>
    </row>
    <row r="1332" spans="1:1" x14ac:dyDescent="0.2">
      <c r="A1332" s="52"/>
    </row>
    <row r="1333" spans="1:1" x14ac:dyDescent="0.2">
      <c r="A1333" s="52"/>
    </row>
    <row r="1334" spans="1:1" x14ac:dyDescent="0.2">
      <c r="A1334" s="52"/>
    </row>
    <row r="1335" spans="1:1" x14ac:dyDescent="0.2">
      <c r="A1335" s="52"/>
    </row>
    <row r="1336" spans="1:1" x14ac:dyDescent="0.2">
      <c r="A1336" s="52"/>
    </row>
    <row r="1337" spans="1:1" x14ac:dyDescent="0.2">
      <c r="A1337" s="52"/>
    </row>
    <row r="1338" spans="1:1" x14ac:dyDescent="0.2">
      <c r="A1338" s="52"/>
    </row>
    <row r="1339" spans="1:1" x14ac:dyDescent="0.2">
      <c r="A1339" s="52"/>
    </row>
    <row r="1340" spans="1:1" x14ac:dyDescent="0.2">
      <c r="A1340" s="52"/>
    </row>
    <row r="1341" spans="1:1" x14ac:dyDescent="0.2">
      <c r="A1341" s="52"/>
    </row>
    <row r="1342" spans="1:1" x14ac:dyDescent="0.2">
      <c r="A1342" s="52"/>
    </row>
    <row r="1343" spans="1:1" x14ac:dyDescent="0.2">
      <c r="A1343" s="53"/>
    </row>
    <row r="1344" spans="1:1" x14ac:dyDescent="0.2">
      <c r="A1344" s="52"/>
    </row>
    <row r="1345" spans="1:1" x14ac:dyDescent="0.2">
      <c r="A1345" s="52"/>
    </row>
    <row r="1346" spans="1:1" x14ac:dyDescent="0.2">
      <c r="A1346" s="53"/>
    </row>
    <row r="1347" spans="1:1" x14ac:dyDescent="0.2">
      <c r="A1347" s="52"/>
    </row>
    <row r="1348" spans="1:1" x14ac:dyDescent="0.2">
      <c r="A1348" s="52"/>
    </row>
    <row r="1349" spans="1:1" x14ac:dyDescent="0.2">
      <c r="A1349" s="52"/>
    </row>
    <row r="1350" spans="1:1" x14ac:dyDescent="0.2">
      <c r="A1350" s="53"/>
    </row>
    <row r="1351" spans="1:1" x14ac:dyDescent="0.2">
      <c r="A1351" s="53"/>
    </row>
    <row r="1352" spans="1:1" x14ac:dyDescent="0.2">
      <c r="A1352" s="52"/>
    </row>
    <row r="1353" spans="1:1" x14ac:dyDescent="0.2">
      <c r="A1353" s="52"/>
    </row>
    <row r="1354" spans="1:1" x14ac:dyDescent="0.2">
      <c r="A1354" s="52"/>
    </row>
    <row r="1355" spans="1:1" x14ac:dyDescent="0.2">
      <c r="A1355" s="52"/>
    </row>
    <row r="1356" spans="1:1" x14ac:dyDescent="0.2">
      <c r="A1356" s="52"/>
    </row>
    <row r="1357" spans="1:1" x14ac:dyDescent="0.2">
      <c r="A1357" s="52"/>
    </row>
    <row r="1358" spans="1:1" x14ac:dyDescent="0.2">
      <c r="A1358" s="52"/>
    </row>
    <row r="1359" spans="1:1" x14ac:dyDescent="0.2">
      <c r="A1359" s="52"/>
    </row>
    <row r="1360" spans="1:1" x14ac:dyDescent="0.2">
      <c r="A1360" s="52"/>
    </row>
    <row r="1361" spans="1:1" x14ac:dyDescent="0.2">
      <c r="A1361" s="52"/>
    </row>
    <row r="1362" spans="1:1" x14ac:dyDescent="0.2">
      <c r="A1362" s="53"/>
    </row>
    <row r="1363" spans="1:1" x14ac:dyDescent="0.2">
      <c r="A1363" s="52"/>
    </row>
    <row r="1364" spans="1:1" x14ac:dyDescent="0.2">
      <c r="A1364" s="52"/>
    </row>
    <row r="1365" spans="1:1" x14ac:dyDescent="0.2">
      <c r="A1365" s="52"/>
    </row>
    <row r="1366" spans="1:1" x14ac:dyDescent="0.2">
      <c r="A1366" s="52"/>
    </row>
    <row r="1367" spans="1:1" x14ac:dyDescent="0.2">
      <c r="A1367" s="52"/>
    </row>
    <row r="1368" spans="1:1" x14ac:dyDescent="0.2">
      <c r="A1368" s="52"/>
    </row>
    <row r="1369" spans="1:1" x14ac:dyDescent="0.2">
      <c r="A1369" s="52"/>
    </row>
    <row r="1370" spans="1:1" x14ac:dyDescent="0.2">
      <c r="A1370" s="52"/>
    </row>
    <row r="1371" spans="1:1" x14ac:dyDescent="0.2">
      <c r="A1371" s="52"/>
    </row>
    <row r="1372" spans="1:1" x14ac:dyDescent="0.2">
      <c r="A1372" s="52"/>
    </row>
    <row r="1373" spans="1:1" x14ac:dyDescent="0.2">
      <c r="A1373" s="52"/>
    </row>
    <row r="1374" spans="1:1" x14ac:dyDescent="0.2">
      <c r="A1374" s="52"/>
    </row>
    <row r="1375" spans="1:1" x14ac:dyDescent="0.2">
      <c r="A1375" s="52"/>
    </row>
    <row r="1376" spans="1:1" x14ac:dyDescent="0.2">
      <c r="A1376" s="52"/>
    </row>
    <row r="1377" spans="1:1" x14ac:dyDescent="0.2">
      <c r="A1377" s="53"/>
    </row>
    <row r="1378" spans="1:1" x14ac:dyDescent="0.2">
      <c r="A1378" s="52"/>
    </row>
    <row r="1379" spans="1:1" x14ac:dyDescent="0.2">
      <c r="A1379" s="52"/>
    </row>
    <row r="1380" spans="1:1" x14ac:dyDescent="0.2">
      <c r="A1380" s="52"/>
    </row>
    <row r="1381" spans="1:1" x14ac:dyDescent="0.2">
      <c r="A1381" s="52"/>
    </row>
    <row r="1382" spans="1:1" x14ac:dyDescent="0.2">
      <c r="A1382" s="52"/>
    </row>
    <row r="1383" spans="1:1" x14ac:dyDescent="0.2">
      <c r="A1383" s="52"/>
    </row>
    <row r="1384" spans="1:1" x14ac:dyDescent="0.2">
      <c r="A1384" s="52"/>
    </row>
    <row r="1385" spans="1:1" x14ac:dyDescent="0.2">
      <c r="A1385" s="52"/>
    </row>
    <row r="1386" spans="1:1" x14ac:dyDescent="0.2">
      <c r="A1386" s="52"/>
    </row>
    <row r="1387" spans="1:1" x14ac:dyDescent="0.2">
      <c r="A1387" s="52"/>
    </row>
    <row r="1388" spans="1:1" x14ac:dyDescent="0.2">
      <c r="A1388" s="52"/>
    </row>
    <row r="1389" spans="1:1" x14ac:dyDescent="0.2">
      <c r="A1389" s="52"/>
    </row>
    <row r="1390" spans="1:1" x14ac:dyDescent="0.2">
      <c r="A1390" s="52"/>
    </row>
    <row r="1391" spans="1:1" x14ac:dyDescent="0.2">
      <c r="A1391" s="52"/>
    </row>
    <row r="1392" spans="1:1" x14ac:dyDescent="0.2">
      <c r="A1392" s="52"/>
    </row>
    <row r="1393" spans="1:1" x14ac:dyDescent="0.2">
      <c r="A1393" s="52"/>
    </row>
    <row r="1394" spans="1:1" x14ac:dyDescent="0.2">
      <c r="A1394" s="52"/>
    </row>
    <row r="1395" spans="1:1" x14ac:dyDescent="0.2">
      <c r="A1395" s="52"/>
    </row>
    <row r="1396" spans="1:1" x14ac:dyDescent="0.2">
      <c r="A1396" s="52"/>
    </row>
    <row r="1397" spans="1:1" x14ac:dyDescent="0.2">
      <c r="A1397" s="52"/>
    </row>
    <row r="1398" spans="1:1" x14ac:dyDescent="0.2">
      <c r="A1398" s="52"/>
    </row>
    <row r="1399" spans="1:1" x14ac:dyDescent="0.2">
      <c r="A1399" s="52"/>
    </row>
    <row r="1400" spans="1:1" x14ac:dyDescent="0.2">
      <c r="A1400" s="52"/>
    </row>
    <row r="1401" spans="1:1" x14ac:dyDescent="0.2">
      <c r="A1401" s="52"/>
    </row>
    <row r="1402" spans="1:1" x14ac:dyDescent="0.2">
      <c r="A1402" s="52"/>
    </row>
    <row r="1403" spans="1:1" x14ac:dyDescent="0.2">
      <c r="A1403" s="52"/>
    </row>
    <row r="1404" spans="1:1" x14ac:dyDescent="0.2">
      <c r="A1404" s="52"/>
    </row>
    <row r="1405" spans="1:1" x14ac:dyDescent="0.2">
      <c r="A1405" s="52"/>
    </row>
    <row r="1406" spans="1:1" x14ac:dyDescent="0.2">
      <c r="A1406" s="52"/>
    </row>
    <row r="1407" spans="1:1" x14ac:dyDescent="0.2">
      <c r="A1407" s="53"/>
    </row>
    <row r="1408" spans="1:1" x14ac:dyDescent="0.2">
      <c r="A1408" s="52"/>
    </row>
    <row r="1409" spans="1:1" x14ac:dyDescent="0.2">
      <c r="A1409" s="52"/>
    </row>
    <row r="1410" spans="1:1" x14ac:dyDescent="0.2">
      <c r="A1410" s="52"/>
    </row>
    <row r="1411" spans="1:1" x14ac:dyDescent="0.2">
      <c r="A1411" s="52"/>
    </row>
    <row r="1412" spans="1:1" x14ac:dyDescent="0.2">
      <c r="A1412" s="52"/>
    </row>
    <row r="1413" spans="1:1" x14ac:dyDescent="0.2">
      <c r="A1413" s="52"/>
    </row>
    <row r="1414" spans="1:1" x14ac:dyDescent="0.2">
      <c r="A1414" s="52"/>
    </row>
    <row r="1415" spans="1:1" x14ac:dyDescent="0.2">
      <c r="A1415" s="52"/>
    </row>
    <row r="1416" spans="1:1" x14ac:dyDescent="0.2">
      <c r="A1416" s="52"/>
    </row>
    <row r="1417" spans="1:1" x14ac:dyDescent="0.2">
      <c r="A1417" s="52"/>
    </row>
    <row r="1418" spans="1:1" x14ac:dyDescent="0.2">
      <c r="A1418" s="52"/>
    </row>
    <row r="1419" spans="1:1" x14ac:dyDescent="0.2">
      <c r="A1419" s="52"/>
    </row>
    <row r="1420" spans="1:1" x14ac:dyDescent="0.2">
      <c r="A1420" s="52"/>
    </row>
    <row r="1421" spans="1:1" x14ac:dyDescent="0.2">
      <c r="A1421" s="52"/>
    </row>
    <row r="1422" spans="1:1" x14ac:dyDescent="0.2">
      <c r="A1422" s="52"/>
    </row>
    <row r="1423" spans="1:1" x14ac:dyDescent="0.2">
      <c r="A1423" s="52"/>
    </row>
    <row r="1424" spans="1:1" x14ac:dyDescent="0.2">
      <c r="A1424" s="53"/>
    </row>
    <row r="1425" spans="1:1" x14ac:dyDescent="0.2">
      <c r="A1425" s="52"/>
    </row>
    <row r="1426" spans="1:1" x14ac:dyDescent="0.2">
      <c r="A1426" s="53"/>
    </row>
    <row r="1427" spans="1:1" x14ac:dyDescent="0.2">
      <c r="A1427" s="52"/>
    </row>
    <row r="1428" spans="1:1" x14ac:dyDescent="0.2">
      <c r="A1428" s="52"/>
    </row>
    <row r="1429" spans="1:1" x14ac:dyDescent="0.2">
      <c r="A1429" s="52"/>
    </row>
    <row r="1430" spans="1:1" x14ac:dyDescent="0.2">
      <c r="A1430" s="52"/>
    </row>
    <row r="1431" spans="1:1" x14ac:dyDescent="0.2">
      <c r="A1431" s="53"/>
    </row>
    <row r="1432" spans="1:1" x14ac:dyDescent="0.2">
      <c r="A1432" s="52"/>
    </row>
    <row r="1433" spans="1:1" x14ac:dyDescent="0.2">
      <c r="A1433" s="52"/>
    </row>
    <row r="1434" spans="1:1" x14ac:dyDescent="0.2">
      <c r="A1434" s="52"/>
    </row>
    <row r="1435" spans="1:1" x14ac:dyDescent="0.2">
      <c r="A1435" s="52"/>
    </row>
    <row r="1436" spans="1:1" x14ac:dyDescent="0.2">
      <c r="A1436" s="52"/>
    </row>
    <row r="1437" spans="1:1" x14ac:dyDescent="0.2">
      <c r="A1437" s="52"/>
    </row>
    <row r="1438" spans="1:1" x14ac:dyDescent="0.2">
      <c r="A1438" s="52"/>
    </row>
    <row r="1439" spans="1:1" x14ac:dyDescent="0.2">
      <c r="A1439" s="53"/>
    </row>
    <row r="1440" spans="1:1" x14ac:dyDescent="0.2">
      <c r="A1440" s="52"/>
    </row>
    <row r="1441" spans="1:1" x14ac:dyDescent="0.2">
      <c r="A1441" s="52"/>
    </row>
    <row r="1442" spans="1:1" x14ac:dyDescent="0.2">
      <c r="A1442" s="52"/>
    </row>
    <row r="1443" spans="1:1" x14ac:dyDescent="0.2">
      <c r="A1443" s="53"/>
    </row>
    <row r="1444" spans="1:1" x14ac:dyDescent="0.2">
      <c r="A1444" s="52"/>
    </row>
    <row r="1445" spans="1:1" x14ac:dyDescent="0.2">
      <c r="A1445" s="52"/>
    </row>
    <row r="1446" spans="1:1" x14ac:dyDescent="0.2">
      <c r="A1446" s="52"/>
    </row>
    <row r="1447" spans="1:1" x14ac:dyDescent="0.2">
      <c r="A1447" s="52"/>
    </row>
    <row r="1448" spans="1:1" x14ac:dyDescent="0.2">
      <c r="A1448" s="52"/>
    </row>
    <row r="1449" spans="1:1" x14ac:dyDescent="0.2">
      <c r="A1449" s="52"/>
    </row>
    <row r="1450" spans="1:1" x14ac:dyDescent="0.2">
      <c r="A1450" s="52"/>
    </row>
    <row r="1451" spans="1:1" x14ac:dyDescent="0.2">
      <c r="A1451" s="52"/>
    </row>
    <row r="1452" spans="1:1" x14ac:dyDescent="0.2">
      <c r="A1452" s="52"/>
    </row>
    <row r="1453" spans="1:1" x14ac:dyDescent="0.2">
      <c r="A1453" s="52"/>
    </row>
    <row r="1454" spans="1:1" x14ac:dyDescent="0.2">
      <c r="A1454" s="52"/>
    </row>
    <row r="1455" spans="1:1" x14ac:dyDescent="0.2">
      <c r="A1455" s="52"/>
    </row>
    <row r="1456" spans="1:1" x14ac:dyDescent="0.2">
      <c r="A1456" s="52"/>
    </row>
    <row r="1457" spans="1:1" x14ac:dyDescent="0.2">
      <c r="A1457" s="52"/>
    </row>
    <row r="1458" spans="1:1" x14ac:dyDescent="0.2">
      <c r="A1458" s="52"/>
    </row>
    <row r="1459" spans="1:1" x14ac:dyDescent="0.2">
      <c r="A1459" s="52"/>
    </row>
    <row r="1460" spans="1:1" x14ac:dyDescent="0.2">
      <c r="A1460" s="52"/>
    </row>
    <row r="1461" spans="1:1" x14ac:dyDescent="0.2">
      <c r="A1461" s="52"/>
    </row>
    <row r="1462" spans="1:1" x14ac:dyDescent="0.2">
      <c r="A1462" s="52"/>
    </row>
    <row r="1463" spans="1:1" x14ac:dyDescent="0.2">
      <c r="A1463" s="53"/>
    </row>
    <row r="1464" spans="1:1" x14ac:dyDescent="0.2">
      <c r="A1464" s="52"/>
    </row>
    <row r="1465" spans="1:1" x14ac:dyDescent="0.2">
      <c r="A1465" s="52"/>
    </row>
    <row r="1466" spans="1:1" x14ac:dyDescent="0.2">
      <c r="A1466" s="52"/>
    </row>
    <row r="1467" spans="1:1" x14ac:dyDescent="0.2">
      <c r="A1467" s="52"/>
    </row>
    <row r="1468" spans="1:1" x14ac:dyDescent="0.2">
      <c r="A1468" s="52"/>
    </row>
    <row r="1469" spans="1:1" x14ac:dyDescent="0.2">
      <c r="A1469" s="52"/>
    </row>
    <row r="1470" spans="1:1" x14ac:dyDescent="0.2">
      <c r="A1470" s="52"/>
    </row>
    <row r="1471" spans="1:1" x14ac:dyDescent="0.2">
      <c r="A1471" s="52"/>
    </row>
    <row r="1472" spans="1:1" x14ac:dyDescent="0.2">
      <c r="A1472" s="52"/>
    </row>
    <row r="1473" spans="1:1" x14ac:dyDescent="0.2">
      <c r="A1473" s="52"/>
    </row>
    <row r="1474" spans="1:1" x14ac:dyDescent="0.2">
      <c r="A1474" s="52"/>
    </row>
    <row r="1475" spans="1:1" x14ac:dyDescent="0.2">
      <c r="A1475" s="53"/>
    </row>
    <row r="1476" spans="1:1" x14ac:dyDescent="0.2">
      <c r="A1476" s="52"/>
    </row>
    <row r="1477" spans="1:1" x14ac:dyDescent="0.2">
      <c r="A1477" s="52"/>
    </row>
    <row r="1478" spans="1:1" x14ac:dyDescent="0.2">
      <c r="A1478" s="52"/>
    </row>
    <row r="1479" spans="1:1" x14ac:dyDescent="0.2">
      <c r="A1479" s="52"/>
    </row>
    <row r="1480" spans="1:1" x14ac:dyDescent="0.2">
      <c r="A1480" s="53"/>
    </row>
    <row r="1481" spans="1:1" x14ac:dyDescent="0.2">
      <c r="A1481" s="52"/>
    </row>
    <row r="1482" spans="1:1" x14ac:dyDescent="0.2">
      <c r="A1482" s="52"/>
    </row>
    <row r="1483" spans="1:1" x14ac:dyDescent="0.2">
      <c r="A1483" s="52"/>
    </row>
    <row r="1484" spans="1:1" x14ac:dyDescent="0.2">
      <c r="A1484" s="52"/>
    </row>
    <row r="1485" spans="1:1" x14ac:dyDescent="0.2">
      <c r="A1485" s="53"/>
    </row>
    <row r="1486" spans="1:1" x14ac:dyDescent="0.2">
      <c r="A1486" s="52"/>
    </row>
    <row r="1487" spans="1:1" x14ac:dyDescent="0.2">
      <c r="A1487" s="52"/>
    </row>
    <row r="1488" spans="1:1" x14ac:dyDescent="0.2">
      <c r="A1488" s="52"/>
    </row>
    <row r="1489" spans="1:1" x14ac:dyDescent="0.2">
      <c r="A1489" s="52"/>
    </row>
    <row r="1490" spans="1:1" x14ac:dyDescent="0.2">
      <c r="A1490" s="52"/>
    </row>
    <row r="1491" spans="1:1" x14ac:dyDescent="0.2">
      <c r="A1491" s="52"/>
    </row>
    <row r="1492" spans="1:1" x14ac:dyDescent="0.2">
      <c r="A1492" s="52"/>
    </row>
    <row r="1493" spans="1:1" x14ac:dyDescent="0.2">
      <c r="A1493" s="52"/>
    </row>
    <row r="1494" spans="1:1" x14ac:dyDescent="0.2">
      <c r="A1494" s="52"/>
    </row>
    <row r="1495" spans="1:1" x14ac:dyDescent="0.2">
      <c r="A1495" s="52"/>
    </row>
    <row r="1496" spans="1:1" x14ac:dyDescent="0.2">
      <c r="A1496" s="52"/>
    </row>
    <row r="1497" spans="1:1" x14ac:dyDescent="0.2">
      <c r="A1497" s="52"/>
    </row>
    <row r="1498" spans="1:1" x14ac:dyDescent="0.2">
      <c r="A1498" s="53"/>
    </row>
    <row r="1499" spans="1:1" x14ac:dyDescent="0.2">
      <c r="A1499" s="52"/>
    </row>
    <row r="1500" spans="1:1" x14ac:dyDescent="0.2">
      <c r="A1500" s="52"/>
    </row>
    <row r="1501" spans="1:1" x14ac:dyDescent="0.2">
      <c r="A1501" s="52"/>
    </row>
    <row r="1502" spans="1:1" x14ac:dyDescent="0.2">
      <c r="A1502" s="52"/>
    </row>
    <row r="1503" spans="1:1" x14ac:dyDescent="0.2">
      <c r="A1503" s="52"/>
    </row>
    <row r="1504" spans="1:1" x14ac:dyDescent="0.2">
      <c r="A1504" s="53"/>
    </row>
    <row r="1505" spans="1:1" x14ac:dyDescent="0.2">
      <c r="A1505" s="52"/>
    </row>
    <row r="1506" spans="1:1" x14ac:dyDescent="0.2">
      <c r="A1506" s="53"/>
    </row>
    <row r="1507" spans="1:1" x14ac:dyDescent="0.2">
      <c r="A1507" s="52"/>
    </row>
    <row r="1508" spans="1:1" x14ac:dyDescent="0.2">
      <c r="A1508" s="52"/>
    </row>
    <row r="1509" spans="1:1" x14ac:dyDescent="0.2">
      <c r="A1509" s="52"/>
    </row>
    <row r="1510" spans="1:1" x14ac:dyDescent="0.2">
      <c r="A1510" s="52"/>
    </row>
    <row r="1511" spans="1:1" x14ac:dyDescent="0.2">
      <c r="A1511" s="52"/>
    </row>
    <row r="1512" spans="1:1" x14ac:dyDescent="0.2">
      <c r="A1512" s="52"/>
    </row>
    <row r="1513" spans="1:1" x14ac:dyDescent="0.2">
      <c r="A1513" s="52"/>
    </row>
    <row r="1514" spans="1:1" x14ac:dyDescent="0.2">
      <c r="A1514" s="52"/>
    </row>
    <row r="1515" spans="1:1" x14ac:dyDescent="0.2">
      <c r="A1515" s="52"/>
    </row>
    <row r="1516" spans="1:1" x14ac:dyDescent="0.2">
      <c r="A1516" s="52"/>
    </row>
    <row r="1517" spans="1:1" x14ac:dyDescent="0.2">
      <c r="A1517" s="53"/>
    </row>
    <row r="1518" spans="1:1" x14ac:dyDescent="0.2">
      <c r="A1518" s="52"/>
    </row>
    <row r="1519" spans="1:1" x14ac:dyDescent="0.2">
      <c r="A1519" s="52"/>
    </row>
    <row r="1520" spans="1:1" x14ac:dyDescent="0.2">
      <c r="A1520" s="52"/>
    </row>
    <row r="1521" spans="1:1" x14ac:dyDescent="0.2">
      <c r="A1521" s="52"/>
    </row>
    <row r="1522" spans="1:1" x14ac:dyDescent="0.2">
      <c r="A1522" s="52"/>
    </row>
    <row r="1523" spans="1:1" x14ac:dyDescent="0.2">
      <c r="A1523" s="52"/>
    </row>
    <row r="1524" spans="1:1" x14ac:dyDescent="0.2">
      <c r="A1524" s="53"/>
    </row>
    <row r="1525" spans="1:1" x14ac:dyDescent="0.2">
      <c r="A1525" s="52"/>
    </row>
    <row r="1526" spans="1:1" x14ac:dyDescent="0.2">
      <c r="A1526" s="52"/>
    </row>
    <row r="1527" spans="1:1" x14ac:dyDescent="0.2">
      <c r="A1527" s="52"/>
    </row>
    <row r="1528" spans="1:1" x14ac:dyDescent="0.2">
      <c r="A1528" s="52"/>
    </row>
    <row r="1529" spans="1:1" x14ac:dyDescent="0.2">
      <c r="A1529" s="53"/>
    </row>
    <row r="1530" spans="1:1" x14ac:dyDescent="0.2">
      <c r="A1530" s="52"/>
    </row>
    <row r="1531" spans="1:1" x14ac:dyDescent="0.2">
      <c r="A1531" s="52"/>
    </row>
    <row r="1532" spans="1:1" x14ac:dyDescent="0.2">
      <c r="A1532" s="52"/>
    </row>
    <row r="1533" spans="1:1" x14ac:dyDescent="0.2">
      <c r="A1533" s="52"/>
    </row>
    <row r="1534" spans="1:1" x14ac:dyDescent="0.2">
      <c r="A1534" s="52"/>
    </row>
    <row r="1535" spans="1:1" x14ac:dyDescent="0.2">
      <c r="A1535" s="52"/>
    </row>
    <row r="1536" spans="1:1" x14ac:dyDescent="0.2">
      <c r="A1536" s="52"/>
    </row>
    <row r="1537" spans="1:1" x14ac:dyDescent="0.2">
      <c r="A1537" s="52"/>
    </row>
    <row r="1538" spans="1:1" x14ac:dyDescent="0.2">
      <c r="A1538" s="52"/>
    </row>
    <row r="1539" spans="1:1" x14ac:dyDescent="0.2">
      <c r="A1539" s="52"/>
    </row>
    <row r="1540" spans="1:1" x14ac:dyDescent="0.2">
      <c r="A1540" s="52"/>
    </row>
    <row r="1541" spans="1:1" x14ac:dyDescent="0.2">
      <c r="A1541" s="52"/>
    </row>
    <row r="1542" spans="1:1" x14ac:dyDescent="0.2">
      <c r="A1542" s="52"/>
    </row>
    <row r="1543" spans="1:1" x14ac:dyDescent="0.2">
      <c r="A1543" s="52"/>
    </row>
    <row r="1544" spans="1:1" x14ac:dyDescent="0.2">
      <c r="A1544" s="52"/>
    </row>
    <row r="1545" spans="1:1" x14ac:dyDescent="0.2">
      <c r="A1545" s="52"/>
    </row>
    <row r="1546" spans="1:1" x14ac:dyDescent="0.2">
      <c r="A1546" s="52"/>
    </row>
    <row r="1547" spans="1:1" x14ac:dyDescent="0.2">
      <c r="A1547" s="52"/>
    </row>
    <row r="1548" spans="1:1" x14ac:dyDescent="0.2">
      <c r="A1548" s="52"/>
    </row>
    <row r="1549" spans="1:1" x14ac:dyDescent="0.2">
      <c r="A1549" s="52"/>
    </row>
    <row r="1550" spans="1:1" x14ac:dyDescent="0.2">
      <c r="A1550" s="52"/>
    </row>
    <row r="1551" spans="1:1" x14ac:dyDescent="0.2">
      <c r="A1551" s="52"/>
    </row>
    <row r="1552" spans="1:1" x14ac:dyDescent="0.2">
      <c r="A1552" s="52"/>
    </row>
    <row r="1553" spans="1:1" x14ac:dyDescent="0.2">
      <c r="A1553" s="52"/>
    </row>
    <row r="1554" spans="1:1" x14ac:dyDescent="0.2">
      <c r="A1554" s="52"/>
    </row>
    <row r="1555" spans="1:1" x14ac:dyDescent="0.2">
      <c r="A1555" s="52"/>
    </row>
    <row r="1556" spans="1:1" x14ac:dyDescent="0.2">
      <c r="A1556" s="52"/>
    </row>
    <row r="1557" spans="1:1" x14ac:dyDescent="0.2">
      <c r="A1557" s="52"/>
    </row>
    <row r="1558" spans="1:1" x14ac:dyDescent="0.2">
      <c r="A1558" s="52"/>
    </row>
    <row r="1559" spans="1:1" x14ac:dyDescent="0.2">
      <c r="A1559" s="52"/>
    </row>
    <row r="1560" spans="1:1" x14ac:dyDescent="0.2">
      <c r="A1560" s="52"/>
    </row>
    <row r="1561" spans="1:1" x14ac:dyDescent="0.2">
      <c r="A1561" s="53"/>
    </row>
    <row r="1562" spans="1:1" x14ac:dyDescent="0.2">
      <c r="A1562" s="52"/>
    </row>
    <row r="1563" spans="1:1" x14ac:dyDescent="0.2">
      <c r="A1563" s="52"/>
    </row>
    <row r="1564" spans="1:1" x14ac:dyDescent="0.2">
      <c r="A1564" s="53"/>
    </row>
    <row r="1565" spans="1:1" x14ac:dyDescent="0.2">
      <c r="A1565" s="53"/>
    </row>
    <row r="1566" spans="1:1" x14ac:dyDescent="0.2">
      <c r="A1566" s="52"/>
    </row>
    <row r="1567" spans="1:1" x14ac:dyDescent="0.2">
      <c r="A1567" s="52"/>
    </row>
    <row r="1568" spans="1:1" x14ac:dyDescent="0.2">
      <c r="A1568" s="52"/>
    </row>
    <row r="1569" spans="1:1" x14ac:dyDescent="0.2">
      <c r="A1569" s="52"/>
    </row>
    <row r="1570" spans="1:1" x14ac:dyDescent="0.2">
      <c r="A1570" s="52"/>
    </row>
    <row r="1571" spans="1:1" x14ac:dyDescent="0.2">
      <c r="A1571" s="52"/>
    </row>
    <row r="1572" spans="1:1" x14ac:dyDescent="0.2">
      <c r="A1572" s="52"/>
    </row>
    <row r="1573" spans="1:1" x14ac:dyDescent="0.2">
      <c r="A1573" s="52"/>
    </row>
    <row r="1574" spans="1:1" x14ac:dyDescent="0.2">
      <c r="A1574" s="52"/>
    </row>
    <row r="1575" spans="1:1" x14ac:dyDescent="0.2">
      <c r="A1575" s="52"/>
    </row>
    <row r="1576" spans="1:1" x14ac:dyDescent="0.2">
      <c r="A1576" s="52"/>
    </row>
    <row r="1577" spans="1:1" x14ac:dyDescent="0.2">
      <c r="A1577" s="52"/>
    </row>
    <row r="1578" spans="1:1" x14ac:dyDescent="0.2">
      <c r="A1578" s="52"/>
    </row>
    <row r="1579" spans="1:1" x14ac:dyDescent="0.2">
      <c r="A1579" s="52"/>
    </row>
    <row r="1580" spans="1:1" x14ac:dyDescent="0.2">
      <c r="A1580" s="53"/>
    </row>
    <row r="1581" spans="1:1" x14ac:dyDescent="0.2">
      <c r="A1581" s="52"/>
    </row>
    <row r="1582" spans="1:1" x14ac:dyDescent="0.2">
      <c r="A1582" s="52"/>
    </row>
    <row r="1583" spans="1:1" x14ac:dyDescent="0.2">
      <c r="A1583" s="52"/>
    </row>
    <row r="1584" spans="1:1" x14ac:dyDescent="0.2">
      <c r="A1584" s="52"/>
    </row>
    <row r="1585" spans="1:1" x14ac:dyDescent="0.2">
      <c r="A1585" s="52"/>
    </row>
    <row r="1586" spans="1:1" x14ac:dyDescent="0.2">
      <c r="A1586" s="52"/>
    </row>
    <row r="1587" spans="1:1" x14ac:dyDescent="0.2">
      <c r="A1587" s="52"/>
    </row>
    <row r="1588" spans="1:1" x14ac:dyDescent="0.2">
      <c r="A1588" s="52"/>
    </row>
    <row r="1589" spans="1:1" x14ac:dyDescent="0.2">
      <c r="A1589" s="52"/>
    </row>
    <row r="1590" spans="1:1" x14ac:dyDescent="0.2">
      <c r="A1590" s="52"/>
    </row>
    <row r="1591" spans="1:1" x14ac:dyDescent="0.2">
      <c r="A1591" s="52"/>
    </row>
    <row r="1592" spans="1:1" x14ac:dyDescent="0.2">
      <c r="A1592" s="52"/>
    </row>
    <row r="1593" spans="1:1" x14ac:dyDescent="0.2">
      <c r="A1593" s="52"/>
    </row>
    <row r="1594" spans="1:1" x14ac:dyDescent="0.2">
      <c r="A1594" s="52"/>
    </row>
    <row r="1595" spans="1:1" x14ac:dyDescent="0.2">
      <c r="A1595" s="52"/>
    </row>
    <row r="1596" spans="1:1" x14ac:dyDescent="0.2">
      <c r="A1596" s="52"/>
    </row>
    <row r="1597" spans="1:1" x14ac:dyDescent="0.2">
      <c r="A1597" s="52"/>
    </row>
    <row r="1598" spans="1:1" x14ac:dyDescent="0.2">
      <c r="A1598" s="52"/>
    </row>
    <row r="1599" spans="1:1" x14ac:dyDescent="0.2">
      <c r="A1599" s="52"/>
    </row>
    <row r="1600" spans="1:1" x14ac:dyDescent="0.2">
      <c r="A1600" s="52"/>
    </row>
    <row r="1601" spans="1:1" x14ac:dyDescent="0.2">
      <c r="A1601" s="52"/>
    </row>
    <row r="1602" spans="1:1" x14ac:dyDescent="0.2">
      <c r="A1602" s="52"/>
    </row>
    <row r="1603" spans="1:1" x14ac:dyDescent="0.2">
      <c r="A1603" s="52"/>
    </row>
    <row r="1604" spans="1:1" x14ac:dyDescent="0.2">
      <c r="A1604" s="52"/>
    </row>
    <row r="1605" spans="1:1" x14ac:dyDescent="0.2">
      <c r="A1605" s="52"/>
    </row>
    <row r="1606" spans="1:1" x14ac:dyDescent="0.2">
      <c r="A1606" s="52"/>
    </row>
    <row r="1607" spans="1:1" x14ac:dyDescent="0.2">
      <c r="A1607" s="52"/>
    </row>
    <row r="1608" spans="1:1" x14ac:dyDescent="0.2">
      <c r="A1608" s="52"/>
    </row>
    <row r="1609" spans="1:1" x14ac:dyDescent="0.2">
      <c r="A1609" s="52"/>
    </row>
    <row r="1610" spans="1:1" x14ac:dyDescent="0.2">
      <c r="A1610" s="52"/>
    </row>
    <row r="1611" spans="1:1" x14ac:dyDescent="0.2">
      <c r="A1611" s="52"/>
    </row>
    <row r="1612" spans="1:1" x14ac:dyDescent="0.2">
      <c r="A1612" s="52"/>
    </row>
    <row r="1613" spans="1:1" x14ac:dyDescent="0.2">
      <c r="A1613" s="52"/>
    </row>
    <row r="1614" spans="1:1" x14ac:dyDescent="0.2">
      <c r="A1614" s="52"/>
    </row>
    <row r="1615" spans="1:1" x14ac:dyDescent="0.2">
      <c r="A1615" s="52"/>
    </row>
    <row r="1616" spans="1:1" x14ac:dyDescent="0.2">
      <c r="A1616" s="52"/>
    </row>
    <row r="1617" spans="1:1" x14ac:dyDescent="0.2">
      <c r="A1617" s="52"/>
    </row>
    <row r="1618" spans="1:1" x14ac:dyDescent="0.2">
      <c r="A1618" s="52"/>
    </row>
    <row r="1619" spans="1:1" x14ac:dyDescent="0.2">
      <c r="A1619" s="52"/>
    </row>
    <row r="1620" spans="1:1" x14ac:dyDescent="0.2">
      <c r="A1620" s="52"/>
    </row>
    <row r="1621" spans="1:1" x14ac:dyDescent="0.2">
      <c r="A1621" s="52"/>
    </row>
    <row r="1622" spans="1:1" x14ac:dyDescent="0.2">
      <c r="A1622" s="52"/>
    </row>
    <row r="1623" spans="1:1" x14ac:dyDescent="0.2">
      <c r="A1623" s="52"/>
    </row>
    <row r="1624" spans="1:1" x14ac:dyDescent="0.2">
      <c r="A1624" s="52"/>
    </row>
    <row r="1625" spans="1:1" x14ac:dyDescent="0.2">
      <c r="A1625" s="52"/>
    </row>
    <row r="1626" spans="1:1" x14ac:dyDescent="0.2">
      <c r="A1626" s="52"/>
    </row>
    <row r="1627" spans="1:1" x14ac:dyDescent="0.2">
      <c r="A1627" s="52"/>
    </row>
    <row r="1628" spans="1:1" x14ac:dyDescent="0.2">
      <c r="A1628" s="52"/>
    </row>
    <row r="1629" spans="1:1" x14ac:dyDescent="0.2">
      <c r="A1629" s="52"/>
    </row>
    <row r="1630" spans="1:1" x14ac:dyDescent="0.2">
      <c r="A1630" s="52"/>
    </row>
    <row r="1631" spans="1:1" x14ac:dyDescent="0.2">
      <c r="A1631" s="52"/>
    </row>
    <row r="1632" spans="1:1" x14ac:dyDescent="0.2">
      <c r="A1632" s="52"/>
    </row>
    <row r="1633" spans="1:1" x14ac:dyDescent="0.2">
      <c r="A1633" s="52"/>
    </row>
    <row r="1634" spans="1:1" x14ac:dyDescent="0.2">
      <c r="A1634" s="52"/>
    </row>
    <row r="1635" spans="1:1" x14ac:dyDescent="0.2">
      <c r="A1635" s="52"/>
    </row>
    <row r="1636" spans="1:1" x14ac:dyDescent="0.2">
      <c r="A1636" s="52"/>
    </row>
    <row r="1637" spans="1:1" x14ac:dyDescent="0.2">
      <c r="A1637" s="52"/>
    </row>
    <row r="1638" spans="1:1" x14ac:dyDescent="0.2">
      <c r="A1638" s="52"/>
    </row>
    <row r="1639" spans="1:1" x14ac:dyDescent="0.2">
      <c r="A1639" s="52"/>
    </row>
    <row r="1640" spans="1:1" x14ac:dyDescent="0.2">
      <c r="A1640" s="52"/>
    </row>
    <row r="1641" spans="1:1" x14ac:dyDescent="0.2">
      <c r="A1641" s="52"/>
    </row>
    <row r="1642" spans="1:1" x14ac:dyDescent="0.2">
      <c r="A1642" s="52"/>
    </row>
    <row r="1643" spans="1:1" x14ac:dyDescent="0.2">
      <c r="A1643" s="52"/>
    </row>
    <row r="1644" spans="1:1" x14ac:dyDescent="0.2">
      <c r="A1644" s="52"/>
    </row>
    <row r="1645" spans="1:1" x14ac:dyDescent="0.2">
      <c r="A1645" s="52"/>
    </row>
    <row r="1646" spans="1:1" x14ac:dyDescent="0.2">
      <c r="A1646" s="52"/>
    </row>
    <row r="1647" spans="1:1" x14ac:dyDescent="0.2">
      <c r="A1647" s="52"/>
    </row>
    <row r="1648" spans="1:1" x14ac:dyDescent="0.2">
      <c r="A1648" s="52"/>
    </row>
    <row r="1649" spans="1:1" x14ac:dyDescent="0.2">
      <c r="A1649" s="52"/>
    </row>
    <row r="1650" spans="1:1" x14ac:dyDescent="0.2">
      <c r="A1650" s="52"/>
    </row>
    <row r="1651" spans="1:1" x14ac:dyDescent="0.2">
      <c r="A1651" s="52"/>
    </row>
    <row r="1652" spans="1:1" x14ac:dyDescent="0.2">
      <c r="A1652" s="52"/>
    </row>
    <row r="1653" spans="1:1" x14ac:dyDescent="0.2">
      <c r="A1653" s="52"/>
    </row>
    <row r="1654" spans="1:1" x14ac:dyDescent="0.2">
      <c r="A1654" s="52"/>
    </row>
    <row r="1655" spans="1:1" x14ac:dyDescent="0.2">
      <c r="A1655" s="52"/>
    </row>
    <row r="1656" spans="1:1" x14ac:dyDescent="0.2">
      <c r="A1656" s="52"/>
    </row>
    <row r="1657" spans="1:1" x14ac:dyDescent="0.2">
      <c r="A1657" s="52"/>
    </row>
    <row r="1658" spans="1:1" x14ac:dyDescent="0.2">
      <c r="A1658" s="52"/>
    </row>
    <row r="1659" spans="1:1" x14ac:dyDescent="0.2">
      <c r="A1659" s="52"/>
    </row>
    <row r="1660" spans="1:1" x14ac:dyDescent="0.2">
      <c r="A1660" s="52"/>
    </row>
    <row r="1661" spans="1:1" x14ac:dyDescent="0.2">
      <c r="A1661" s="52"/>
    </row>
    <row r="1662" spans="1:1" x14ac:dyDescent="0.2">
      <c r="A1662" s="52"/>
    </row>
    <row r="1663" spans="1:1" x14ac:dyDescent="0.2">
      <c r="A1663" s="52"/>
    </row>
    <row r="1664" spans="1:1" x14ac:dyDescent="0.2">
      <c r="A1664" s="52"/>
    </row>
    <row r="1665" spans="1:1" x14ac:dyDescent="0.2">
      <c r="A1665" s="53"/>
    </row>
    <row r="1666" spans="1:1" x14ac:dyDescent="0.2">
      <c r="A1666" s="52"/>
    </row>
    <row r="1667" spans="1:1" x14ac:dyDescent="0.2">
      <c r="A1667" s="52"/>
    </row>
    <row r="1668" spans="1:1" x14ac:dyDescent="0.2">
      <c r="A1668" s="52"/>
    </row>
    <row r="1669" spans="1:1" x14ac:dyDescent="0.2">
      <c r="A1669" s="52"/>
    </row>
    <row r="1670" spans="1:1" x14ac:dyDescent="0.2">
      <c r="A1670" s="52"/>
    </row>
    <row r="1671" spans="1:1" x14ac:dyDescent="0.2">
      <c r="A1671" s="52"/>
    </row>
    <row r="1672" spans="1:1" x14ac:dyDescent="0.2">
      <c r="A1672" s="53"/>
    </row>
    <row r="1673" spans="1:1" x14ac:dyDescent="0.2">
      <c r="A1673" s="52"/>
    </row>
    <row r="1674" spans="1:1" x14ac:dyDescent="0.2">
      <c r="A1674" s="52"/>
    </row>
    <row r="1675" spans="1:1" x14ac:dyDescent="0.2">
      <c r="A1675" s="52"/>
    </row>
    <row r="1676" spans="1:1" x14ac:dyDescent="0.2">
      <c r="A1676" s="52"/>
    </row>
    <row r="1677" spans="1:1" x14ac:dyDescent="0.2">
      <c r="A1677" s="52"/>
    </row>
    <row r="1678" spans="1:1" x14ac:dyDescent="0.2">
      <c r="A1678" s="52"/>
    </row>
    <row r="1679" spans="1:1" x14ac:dyDescent="0.2">
      <c r="A1679" s="52"/>
    </row>
    <row r="1680" spans="1:1" x14ac:dyDescent="0.2">
      <c r="A1680" s="52"/>
    </row>
    <row r="1681" spans="1:1" x14ac:dyDescent="0.2">
      <c r="A1681" s="52"/>
    </row>
    <row r="1682" spans="1:1" x14ac:dyDescent="0.2">
      <c r="A1682" s="52"/>
    </row>
    <row r="1683" spans="1:1" x14ac:dyDescent="0.2">
      <c r="A1683" s="52"/>
    </row>
    <row r="1684" spans="1:1" x14ac:dyDescent="0.2">
      <c r="A1684" s="52"/>
    </row>
    <row r="1685" spans="1:1" x14ac:dyDescent="0.2">
      <c r="A1685" s="52"/>
    </row>
    <row r="1686" spans="1:1" x14ac:dyDescent="0.2">
      <c r="A1686" s="52"/>
    </row>
    <row r="1687" spans="1:1" x14ac:dyDescent="0.2">
      <c r="A1687" s="53"/>
    </row>
    <row r="1688" spans="1:1" x14ac:dyDescent="0.2">
      <c r="A1688" s="52"/>
    </row>
    <row r="1689" spans="1:1" x14ac:dyDescent="0.2">
      <c r="A1689" s="52"/>
    </row>
    <row r="1690" spans="1:1" x14ac:dyDescent="0.2">
      <c r="A1690" s="52"/>
    </row>
    <row r="1691" spans="1:1" x14ac:dyDescent="0.2">
      <c r="A1691" s="52"/>
    </row>
    <row r="1692" spans="1:1" x14ac:dyDescent="0.2">
      <c r="A1692" s="52"/>
    </row>
    <row r="1693" spans="1:1" x14ac:dyDescent="0.2">
      <c r="A1693" s="52"/>
    </row>
    <row r="1694" spans="1:1" x14ac:dyDescent="0.2">
      <c r="A1694" s="52"/>
    </row>
    <row r="1695" spans="1:1" x14ac:dyDescent="0.2">
      <c r="A1695" s="52"/>
    </row>
    <row r="1696" spans="1:1" x14ac:dyDescent="0.2">
      <c r="A1696" s="52"/>
    </row>
    <row r="1697" spans="1:1" x14ac:dyDescent="0.2">
      <c r="A1697" s="52"/>
    </row>
    <row r="1698" spans="1:1" x14ac:dyDescent="0.2">
      <c r="A1698" s="52"/>
    </row>
    <row r="1699" spans="1:1" x14ac:dyDescent="0.2">
      <c r="A1699" s="52"/>
    </row>
    <row r="1700" spans="1:1" x14ac:dyDescent="0.2">
      <c r="A1700" s="52"/>
    </row>
    <row r="1701" spans="1:1" x14ac:dyDescent="0.2">
      <c r="A1701" s="52"/>
    </row>
    <row r="1702" spans="1:1" x14ac:dyDescent="0.2">
      <c r="A1702" s="52"/>
    </row>
    <row r="1703" spans="1:1" x14ac:dyDescent="0.2">
      <c r="A1703" s="52"/>
    </row>
    <row r="1704" spans="1:1" x14ac:dyDescent="0.2">
      <c r="A1704" s="52"/>
    </row>
    <row r="1705" spans="1:1" x14ac:dyDescent="0.2">
      <c r="A1705" s="52"/>
    </row>
    <row r="1706" spans="1:1" x14ac:dyDescent="0.2">
      <c r="A1706" s="52"/>
    </row>
    <row r="1707" spans="1:1" x14ac:dyDescent="0.2">
      <c r="A1707" s="52"/>
    </row>
    <row r="1708" spans="1:1" x14ac:dyDescent="0.2">
      <c r="A1708" s="52"/>
    </row>
    <row r="1709" spans="1:1" x14ac:dyDescent="0.2">
      <c r="A1709" s="52"/>
    </row>
    <row r="1710" spans="1:1" x14ac:dyDescent="0.2">
      <c r="A1710" s="52"/>
    </row>
    <row r="1711" spans="1:1" x14ac:dyDescent="0.2">
      <c r="A1711" s="53"/>
    </row>
    <row r="1712" spans="1:1" x14ac:dyDescent="0.2">
      <c r="A1712" s="52"/>
    </row>
    <row r="1713" spans="1:1" x14ac:dyDescent="0.2">
      <c r="A1713" s="52"/>
    </row>
    <row r="1714" spans="1:1" x14ac:dyDescent="0.2">
      <c r="A1714" s="52"/>
    </row>
    <row r="1715" spans="1:1" x14ac:dyDescent="0.2">
      <c r="A1715" s="52"/>
    </row>
    <row r="1716" spans="1:1" x14ac:dyDescent="0.2">
      <c r="A1716" s="52"/>
    </row>
    <row r="1717" spans="1:1" x14ac:dyDescent="0.2">
      <c r="A1717" s="52"/>
    </row>
    <row r="1718" spans="1:1" x14ac:dyDescent="0.2">
      <c r="A1718" s="52"/>
    </row>
    <row r="1719" spans="1:1" x14ac:dyDescent="0.2">
      <c r="A1719" s="52"/>
    </row>
    <row r="1720" spans="1:1" x14ac:dyDescent="0.2">
      <c r="A1720" s="52"/>
    </row>
    <row r="1721" spans="1:1" x14ac:dyDescent="0.2">
      <c r="A1721" s="52"/>
    </row>
    <row r="1722" spans="1:1" x14ac:dyDescent="0.2">
      <c r="A1722" s="52"/>
    </row>
    <row r="1723" spans="1:1" x14ac:dyDescent="0.2">
      <c r="A1723" s="52"/>
    </row>
    <row r="1724" spans="1:1" x14ac:dyDescent="0.2">
      <c r="A1724" s="52"/>
    </row>
    <row r="1725" spans="1:1" x14ac:dyDescent="0.2">
      <c r="A1725" s="52"/>
    </row>
    <row r="1726" spans="1:1" x14ac:dyDescent="0.2">
      <c r="A1726" s="52"/>
    </row>
    <row r="1727" spans="1:1" x14ac:dyDescent="0.2">
      <c r="A1727" s="53"/>
    </row>
    <row r="1728" spans="1:1" x14ac:dyDescent="0.2">
      <c r="A1728" s="52"/>
    </row>
    <row r="1729" spans="1:1" x14ac:dyDescent="0.2">
      <c r="A1729" s="52"/>
    </row>
    <row r="1730" spans="1:1" x14ac:dyDescent="0.2">
      <c r="A1730" s="52"/>
    </row>
    <row r="1731" spans="1:1" x14ac:dyDescent="0.2">
      <c r="A1731" s="52"/>
    </row>
    <row r="1732" spans="1:1" x14ac:dyDescent="0.2">
      <c r="A1732" s="52"/>
    </row>
    <row r="1733" spans="1:1" x14ac:dyDescent="0.2">
      <c r="A1733" s="52"/>
    </row>
    <row r="1734" spans="1:1" x14ac:dyDescent="0.2">
      <c r="A1734" s="52"/>
    </row>
    <row r="1735" spans="1:1" x14ac:dyDescent="0.2">
      <c r="A1735" s="52"/>
    </row>
    <row r="1736" spans="1:1" x14ac:dyDescent="0.2">
      <c r="A1736" s="52"/>
    </row>
    <row r="1737" spans="1:1" x14ac:dyDescent="0.2">
      <c r="A1737" s="52"/>
    </row>
    <row r="1738" spans="1:1" x14ac:dyDescent="0.2">
      <c r="A1738" s="52"/>
    </row>
    <row r="1739" spans="1:1" x14ac:dyDescent="0.2">
      <c r="A1739" s="52"/>
    </row>
    <row r="1740" spans="1:1" x14ac:dyDescent="0.2">
      <c r="A1740" s="52"/>
    </row>
    <row r="1741" spans="1:1" x14ac:dyDescent="0.2">
      <c r="A1741" s="52"/>
    </row>
    <row r="1742" spans="1:1" x14ac:dyDescent="0.2">
      <c r="A1742" s="52"/>
    </row>
    <row r="1743" spans="1:1" x14ac:dyDescent="0.2">
      <c r="A1743" s="52"/>
    </row>
    <row r="1744" spans="1:1" x14ac:dyDescent="0.2">
      <c r="A1744" s="52"/>
    </row>
    <row r="1745" spans="1:1" x14ac:dyDescent="0.2">
      <c r="A1745" s="52"/>
    </row>
    <row r="1746" spans="1:1" x14ac:dyDescent="0.2">
      <c r="A1746" s="52"/>
    </row>
    <row r="1747" spans="1:1" x14ac:dyDescent="0.2">
      <c r="A1747" s="52"/>
    </row>
    <row r="1748" spans="1:1" x14ac:dyDescent="0.2">
      <c r="A1748" s="52"/>
    </row>
    <row r="1749" spans="1:1" x14ac:dyDescent="0.2">
      <c r="A1749" s="52"/>
    </row>
    <row r="1750" spans="1:1" x14ac:dyDescent="0.2">
      <c r="A1750" s="52"/>
    </row>
    <row r="1751" spans="1:1" x14ac:dyDescent="0.2">
      <c r="A1751" s="52"/>
    </row>
    <row r="1752" spans="1:1" x14ac:dyDescent="0.2">
      <c r="A1752" s="52"/>
    </row>
    <row r="1753" spans="1:1" x14ac:dyDescent="0.2">
      <c r="A1753" s="52"/>
    </row>
    <row r="1754" spans="1:1" x14ac:dyDescent="0.2">
      <c r="A1754" s="52"/>
    </row>
    <row r="1755" spans="1:1" x14ac:dyDescent="0.2">
      <c r="A1755" s="52"/>
    </row>
    <row r="1756" spans="1:1" x14ac:dyDescent="0.2">
      <c r="A1756" s="52"/>
    </row>
    <row r="1757" spans="1:1" x14ac:dyDescent="0.2">
      <c r="A1757" s="52"/>
    </row>
    <row r="1758" spans="1:1" x14ac:dyDescent="0.2">
      <c r="A1758" s="52"/>
    </row>
    <row r="1759" spans="1:1" x14ac:dyDescent="0.2">
      <c r="A1759" s="52"/>
    </row>
    <row r="1760" spans="1:1" x14ac:dyDescent="0.2">
      <c r="A1760" s="52"/>
    </row>
    <row r="1761" spans="1:1" x14ac:dyDescent="0.2">
      <c r="A1761" s="52"/>
    </row>
    <row r="1762" spans="1:1" x14ac:dyDescent="0.2">
      <c r="A1762" s="52"/>
    </row>
    <row r="1763" spans="1:1" x14ac:dyDescent="0.2">
      <c r="A1763" s="52"/>
    </row>
    <row r="1764" spans="1:1" x14ac:dyDescent="0.2">
      <c r="A1764" s="52"/>
    </row>
    <row r="1765" spans="1:1" x14ac:dyDescent="0.2">
      <c r="A1765" s="52"/>
    </row>
    <row r="1766" spans="1:1" x14ac:dyDescent="0.2">
      <c r="A1766" s="52"/>
    </row>
    <row r="1767" spans="1:1" x14ac:dyDescent="0.2">
      <c r="A1767" s="52"/>
    </row>
    <row r="1768" spans="1:1" x14ac:dyDescent="0.2">
      <c r="A1768" s="52"/>
    </row>
    <row r="1769" spans="1:1" x14ac:dyDescent="0.2">
      <c r="A1769" s="52"/>
    </row>
    <row r="1770" spans="1:1" x14ac:dyDescent="0.2">
      <c r="A1770" s="52"/>
    </row>
    <row r="1771" spans="1:1" x14ac:dyDescent="0.2">
      <c r="A1771" s="53"/>
    </row>
    <row r="1772" spans="1:1" x14ac:dyDescent="0.2">
      <c r="A1772" s="52"/>
    </row>
    <row r="1773" spans="1:1" x14ac:dyDescent="0.2">
      <c r="A1773" s="52"/>
    </row>
    <row r="1774" spans="1:1" x14ac:dyDescent="0.2">
      <c r="A1774" s="52"/>
    </row>
    <row r="1775" spans="1:1" x14ac:dyDescent="0.2">
      <c r="A1775" s="53"/>
    </row>
    <row r="1776" spans="1:1" x14ac:dyDescent="0.2">
      <c r="A1776" s="52"/>
    </row>
    <row r="1777" spans="1:1" x14ac:dyDescent="0.2">
      <c r="A1777" s="52"/>
    </row>
    <row r="1778" spans="1:1" x14ac:dyDescent="0.2">
      <c r="A1778" s="52"/>
    </row>
    <row r="1779" spans="1:1" x14ac:dyDescent="0.2">
      <c r="A1779" s="52"/>
    </row>
    <row r="1780" spans="1:1" x14ac:dyDescent="0.2">
      <c r="A1780" s="52"/>
    </row>
    <row r="1781" spans="1:1" x14ac:dyDescent="0.2">
      <c r="A1781" s="52"/>
    </row>
    <row r="1782" spans="1:1" x14ac:dyDescent="0.2">
      <c r="A1782" s="52"/>
    </row>
    <row r="1783" spans="1:1" x14ac:dyDescent="0.2">
      <c r="A1783" s="52"/>
    </row>
    <row r="1784" spans="1:1" x14ac:dyDescent="0.2">
      <c r="A1784" s="52"/>
    </row>
    <row r="1785" spans="1:1" x14ac:dyDescent="0.2">
      <c r="A1785" s="52"/>
    </row>
    <row r="1786" spans="1:1" x14ac:dyDescent="0.2">
      <c r="A1786" s="52"/>
    </row>
    <row r="1787" spans="1:1" x14ac:dyDescent="0.2">
      <c r="A1787" s="52"/>
    </row>
    <row r="1788" spans="1:1" x14ac:dyDescent="0.2">
      <c r="A1788" s="52"/>
    </row>
    <row r="1789" spans="1:1" x14ac:dyDescent="0.2">
      <c r="A1789" s="52"/>
    </row>
    <row r="1790" spans="1:1" x14ac:dyDescent="0.2">
      <c r="A1790" s="52"/>
    </row>
    <row r="1791" spans="1:1" x14ac:dyDescent="0.2">
      <c r="A1791" s="52"/>
    </row>
    <row r="1792" spans="1:1" x14ac:dyDescent="0.2">
      <c r="A1792" s="52"/>
    </row>
    <row r="1793" spans="1:1" x14ac:dyDescent="0.2">
      <c r="A1793" s="53"/>
    </row>
    <row r="1794" spans="1:1" x14ac:dyDescent="0.2">
      <c r="A1794" s="52"/>
    </row>
    <row r="1795" spans="1:1" x14ac:dyDescent="0.2">
      <c r="A1795" s="52"/>
    </row>
    <row r="1796" spans="1:1" x14ac:dyDescent="0.2">
      <c r="A1796" s="52"/>
    </row>
    <row r="1797" spans="1:1" x14ac:dyDescent="0.2">
      <c r="A1797" s="52"/>
    </row>
    <row r="1798" spans="1:1" x14ac:dyDescent="0.2">
      <c r="A1798" s="52"/>
    </row>
    <row r="1799" spans="1:1" x14ac:dyDescent="0.2">
      <c r="A1799" s="53"/>
    </row>
    <row r="1800" spans="1:1" x14ac:dyDescent="0.2">
      <c r="A1800" s="52"/>
    </row>
    <row r="1801" spans="1:1" x14ac:dyDescent="0.2">
      <c r="A1801" s="52"/>
    </row>
    <row r="1802" spans="1:1" x14ac:dyDescent="0.2">
      <c r="A1802" s="52"/>
    </row>
    <row r="1803" spans="1:1" x14ac:dyDescent="0.2">
      <c r="A1803" s="52"/>
    </row>
    <row r="1804" spans="1:1" x14ac:dyDescent="0.2">
      <c r="A1804" s="53"/>
    </row>
    <row r="1805" spans="1:1" x14ac:dyDescent="0.2">
      <c r="A1805" s="53"/>
    </row>
    <row r="1806" spans="1:1" x14ac:dyDescent="0.2">
      <c r="A1806" s="52"/>
    </row>
    <row r="1807" spans="1:1" x14ac:dyDescent="0.2">
      <c r="A1807" s="52"/>
    </row>
    <row r="1808" spans="1:1" x14ac:dyDescent="0.2">
      <c r="A1808" s="53"/>
    </row>
    <row r="1809" spans="1:1" x14ac:dyDescent="0.2">
      <c r="A1809" s="52"/>
    </row>
    <row r="1810" spans="1:1" x14ac:dyDescent="0.2">
      <c r="A1810" s="52"/>
    </row>
    <row r="1811" spans="1:1" x14ac:dyDescent="0.2">
      <c r="A1811" s="52"/>
    </row>
    <row r="1812" spans="1:1" x14ac:dyDescent="0.2">
      <c r="A1812" s="52"/>
    </row>
    <row r="1813" spans="1:1" x14ac:dyDescent="0.2">
      <c r="A1813" s="52"/>
    </row>
    <row r="1814" spans="1:1" x14ac:dyDescent="0.2">
      <c r="A1814" s="52"/>
    </row>
    <row r="1815" spans="1:1" x14ac:dyDescent="0.2">
      <c r="A1815" s="52"/>
    </row>
    <row r="1816" spans="1:1" x14ac:dyDescent="0.2">
      <c r="A1816" s="52"/>
    </row>
    <row r="1817" spans="1:1" x14ac:dyDescent="0.2">
      <c r="A1817" s="52"/>
    </row>
    <row r="1818" spans="1:1" x14ac:dyDescent="0.2">
      <c r="A1818" s="52"/>
    </row>
    <row r="1819" spans="1:1" x14ac:dyDescent="0.2">
      <c r="A1819" s="52"/>
    </row>
    <row r="1820" spans="1:1" x14ac:dyDescent="0.2">
      <c r="A1820" s="52"/>
    </row>
    <row r="1821" spans="1:1" x14ac:dyDescent="0.2">
      <c r="A1821" s="52"/>
    </row>
    <row r="1822" spans="1:1" x14ac:dyDescent="0.2">
      <c r="A1822" s="52"/>
    </row>
    <row r="1823" spans="1:1" x14ac:dyDescent="0.2">
      <c r="A1823" s="53"/>
    </row>
    <row r="1824" spans="1:1" x14ac:dyDescent="0.2">
      <c r="A1824" s="52"/>
    </row>
    <row r="1825" spans="1:1" x14ac:dyDescent="0.2">
      <c r="A1825" s="52"/>
    </row>
    <row r="1826" spans="1:1" x14ac:dyDescent="0.2">
      <c r="A1826" s="52"/>
    </row>
    <row r="1827" spans="1:1" x14ac:dyDescent="0.2">
      <c r="A1827" s="52"/>
    </row>
    <row r="1828" spans="1:1" x14ac:dyDescent="0.2">
      <c r="A1828" s="52"/>
    </row>
    <row r="1829" spans="1:1" x14ac:dyDescent="0.2">
      <c r="A1829" s="52"/>
    </row>
    <row r="1830" spans="1:1" x14ac:dyDescent="0.2">
      <c r="A1830" s="52"/>
    </row>
    <row r="1831" spans="1:1" x14ac:dyDescent="0.2">
      <c r="A1831" s="52"/>
    </row>
    <row r="1832" spans="1:1" x14ac:dyDescent="0.2">
      <c r="A1832" s="53"/>
    </row>
    <row r="1833" spans="1:1" x14ac:dyDescent="0.2">
      <c r="A1833" s="52"/>
    </row>
    <row r="1834" spans="1:1" x14ac:dyDescent="0.2">
      <c r="A1834" s="52"/>
    </row>
    <row r="1835" spans="1:1" x14ac:dyDescent="0.2">
      <c r="A1835" s="52"/>
    </row>
    <row r="1836" spans="1:1" x14ac:dyDescent="0.2">
      <c r="A1836" s="53"/>
    </row>
    <row r="1837" spans="1:1" x14ac:dyDescent="0.2">
      <c r="A1837" s="52"/>
    </row>
    <row r="1838" spans="1:1" x14ac:dyDescent="0.2">
      <c r="A1838" s="52"/>
    </row>
    <row r="1839" spans="1:1" x14ac:dyDescent="0.2">
      <c r="A1839" s="52"/>
    </row>
    <row r="1840" spans="1:1" x14ac:dyDescent="0.2">
      <c r="A1840" s="52"/>
    </row>
    <row r="1841" spans="1:1" x14ac:dyDescent="0.2">
      <c r="A1841" s="52"/>
    </row>
    <row r="1842" spans="1:1" x14ac:dyDescent="0.2">
      <c r="A1842" s="52"/>
    </row>
    <row r="1843" spans="1:1" x14ac:dyDescent="0.2">
      <c r="A1843" s="52"/>
    </row>
    <row r="1844" spans="1:1" x14ac:dyDescent="0.2">
      <c r="A1844" s="52"/>
    </row>
    <row r="1845" spans="1:1" x14ac:dyDescent="0.2">
      <c r="A1845" s="52"/>
    </row>
    <row r="1846" spans="1:1" x14ac:dyDescent="0.2">
      <c r="A1846" s="52"/>
    </row>
    <row r="1847" spans="1:1" x14ac:dyDescent="0.2">
      <c r="A1847" s="52"/>
    </row>
    <row r="1848" spans="1:1" x14ac:dyDescent="0.2">
      <c r="A1848" s="52"/>
    </row>
    <row r="1849" spans="1:1" x14ac:dyDescent="0.2">
      <c r="A1849" s="52"/>
    </row>
    <row r="1850" spans="1:1" x14ac:dyDescent="0.2">
      <c r="A1850" s="52"/>
    </row>
    <row r="1851" spans="1:1" x14ac:dyDescent="0.2">
      <c r="A1851" s="52"/>
    </row>
    <row r="1852" spans="1:1" x14ac:dyDescent="0.2">
      <c r="A1852" s="52"/>
    </row>
    <row r="1853" spans="1:1" x14ac:dyDescent="0.2">
      <c r="A1853" s="52"/>
    </row>
    <row r="1854" spans="1:1" x14ac:dyDescent="0.2">
      <c r="A1854" s="52"/>
    </row>
    <row r="1855" spans="1:1" x14ac:dyDescent="0.2">
      <c r="A1855" s="52"/>
    </row>
    <row r="1856" spans="1:1" x14ac:dyDescent="0.2">
      <c r="A1856" s="52"/>
    </row>
    <row r="1857" spans="1:1" x14ac:dyDescent="0.2">
      <c r="A1857" s="53"/>
    </row>
    <row r="1858" spans="1:1" x14ac:dyDescent="0.2">
      <c r="A1858" s="52"/>
    </row>
    <row r="1859" spans="1:1" x14ac:dyDescent="0.2">
      <c r="A1859" s="52"/>
    </row>
    <row r="1860" spans="1:1" x14ac:dyDescent="0.2">
      <c r="A1860" s="52"/>
    </row>
    <row r="1861" spans="1:1" x14ac:dyDescent="0.2">
      <c r="A1861" s="52"/>
    </row>
    <row r="1862" spans="1:1" x14ac:dyDescent="0.2">
      <c r="A1862" s="53"/>
    </row>
    <row r="1863" spans="1:1" x14ac:dyDescent="0.2">
      <c r="A1863" s="52"/>
    </row>
    <row r="1864" spans="1:1" x14ac:dyDescent="0.2">
      <c r="A1864" s="52"/>
    </row>
    <row r="1865" spans="1:1" x14ac:dyDescent="0.2">
      <c r="A1865" s="52"/>
    </row>
    <row r="1866" spans="1:1" x14ac:dyDescent="0.2">
      <c r="A1866" s="52"/>
    </row>
    <row r="1867" spans="1:1" x14ac:dyDescent="0.2">
      <c r="A1867" s="53"/>
    </row>
    <row r="1868" spans="1:1" x14ac:dyDescent="0.2">
      <c r="A1868" s="52"/>
    </row>
    <row r="1869" spans="1:1" x14ac:dyDescent="0.2">
      <c r="A1869" s="53"/>
    </row>
    <row r="1870" spans="1:1" x14ac:dyDescent="0.2">
      <c r="A1870" s="53"/>
    </row>
    <row r="1871" spans="1:1" x14ac:dyDescent="0.2">
      <c r="A1871" s="52"/>
    </row>
    <row r="1872" spans="1:1" x14ac:dyDescent="0.2">
      <c r="A1872" s="52"/>
    </row>
    <row r="1873" spans="1:1" x14ac:dyDescent="0.2">
      <c r="A1873" s="52"/>
    </row>
    <row r="1874" spans="1:1" x14ac:dyDescent="0.2">
      <c r="A1874" s="52"/>
    </row>
    <row r="1875" spans="1:1" x14ac:dyDescent="0.2">
      <c r="A1875" s="52"/>
    </row>
    <row r="1876" spans="1:1" x14ac:dyDescent="0.2">
      <c r="A1876" s="52"/>
    </row>
    <row r="1877" spans="1:1" x14ac:dyDescent="0.2">
      <c r="A1877" s="53"/>
    </row>
    <row r="1878" spans="1:1" x14ac:dyDescent="0.2">
      <c r="A1878" s="53"/>
    </row>
    <row r="1879" spans="1:1" x14ac:dyDescent="0.2">
      <c r="A1879" s="53"/>
    </row>
    <row r="1880" spans="1:1" x14ac:dyDescent="0.2">
      <c r="A1880" s="52"/>
    </row>
    <row r="1881" spans="1:1" x14ac:dyDescent="0.2">
      <c r="A1881" s="52"/>
    </row>
    <row r="1882" spans="1:1" x14ac:dyDescent="0.2">
      <c r="A1882" s="52"/>
    </row>
    <row r="1883" spans="1:1" x14ac:dyDescent="0.2">
      <c r="A1883" s="52"/>
    </row>
    <row r="1884" spans="1:1" x14ac:dyDescent="0.2">
      <c r="A1884" s="52"/>
    </row>
    <row r="1885" spans="1:1" x14ac:dyDescent="0.2">
      <c r="A1885" s="52"/>
    </row>
    <row r="1886" spans="1:1" x14ac:dyDescent="0.2">
      <c r="A1886" s="52"/>
    </row>
    <row r="1887" spans="1:1" x14ac:dyDescent="0.2">
      <c r="A1887" s="52"/>
    </row>
    <row r="1888" spans="1:1" x14ac:dyDescent="0.2">
      <c r="A1888" s="53"/>
    </row>
    <row r="1889" spans="1:1" x14ac:dyDescent="0.2">
      <c r="A1889" s="52"/>
    </row>
    <row r="1890" spans="1:1" x14ac:dyDescent="0.2">
      <c r="A1890" s="52"/>
    </row>
    <row r="1891" spans="1:1" x14ac:dyDescent="0.2">
      <c r="A1891" s="52"/>
    </row>
    <row r="1892" spans="1:1" x14ac:dyDescent="0.2">
      <c r="A1892" s="52"/>
    </row>
    <row r="1893" spans="1:1" x14ac:dyDescent="0.2">
      <c r="A1893" s="52"/>
    </row>
    <row r="1894" spans="1:1" x14ac:dyDescent="0.2">
      <c r="A1894" s="53"/>
    </row>
    <row r="1895" spans="1:1" x14ac:dyDescent="0.2">
      <c r="A1895" s="52"/>
    </row>
    <row r="1896" spans="1:1" x14ac:dyDescent="0.2">
      <c r="A1896" s="52"/>
    </row>
    <row r="1897" spans="1:1" x14ac:dyDescent="0.2">
      <c r="A1897" s="52"/>
    </row>
    <row r="1898" spans="1:1" x14ac:dyDescent="0.2">
      <c r="A1898" s="52"/>
    </row>
    <row r="1899" spans="1:1" x14ac:dyDescent="0.2">
      <c r="A1899" s="52"/>
    </row>
    <row r="1900" spans="1:1" x14ac:dyDescent="0.2">
      <c r="A1900" s="52"/>
    </row>
    <row r="1901" spans="1:1" x14ac:dyDescent="0.2">
      <c r="A1901" s="52"/>
    </row>
    <row r="1902" spans="1:1" x14ac:dyDescent="0.2">
      <c r="A1902" s="52"/>
    </row>
    <row r="1903" spans="1:1" x14ac:dyDescent="0.2">
      <c r="A1903" s="52"/>
    </row>
    <row r="1904" spans="1:1" x14ac:dyDescent="0.2">
      <c r="A1904" s="52"/>
    </row>
    <row r="1905" spans="1:1" x14ac:dyDescent="0.2">
      <c r="A1905" s="52"/>
    </row>
    <row r="1906" spans="1:1" x14ac:dyDescent="0.2">
      <c r="A1906" s="52"/>
    </row>
    <row r="1907" spans="1:1" x14ac:dyDescent="0.2">
      <c r="A1907" s="52"/>
    </row>
    <row r="1908" spans="1:1" x14ac:dyDescent="0.2">
      <c r="A1908" s="52"/>
    </row>
    <row r="1909" spans="1:1" x14ac:dyDescent="0.2">
      <c r="A1909" s="52"/>
    </row>
    <row r="1910" spans="1:1" x14ac:dyDescent="0.2">
      <c r="A1910" s="52"/>
    </row>
    <row r="1911" spans="1:1" x14ac:dyDescent="0.2">
      <c r="A1911" s="52"/>
    </row>
    <row r="1912" spans="1:1" x14ac:dyDescent="0.2">
      <c r="A1912" s="52"/>
    </row>
    <row r="1913" spans="1:1" x14ac:dyDescent="0.2">
      <c r="A1913" s="52"/>
    </row>
    <row r="1914" spans="1:1" x14ac:dyDescent="0.2">
      <c r="A1914" s="52"/>
    </row>
    <row r="1915" spans="1:1" x14ac:dyDescent="0.2">
      <c r="A1915" s="52"/>
    </row>
    <row r="1916" spans="1:1" x14ac:dyDescent="0.2">
      <c r="A1916" s="52"/>
    </row>
    <row r="1917" spans="1:1" x14ac:dyDescent="0.2">
      <c r="A1917" s="52"/>
    </row>
    <row r="1918" spans="1:1" x14ac:dyDescent="0.2">
      <c r="A1918" s="52"/>
    </row>
    <row r="1919" spans="1:1" x14ac:dyDescent="0.2">
      <c r="A1919" s="52"/>
    </row>
    <row r="1920" spans="1:1" x14ac:dyDescent="0.2">
      <c r="A1920" s="52"/>
    </row>
    <row r="1921" spans="1:1" x14ac:dyDescent="0.2">
      <c r="A1921" s="53"/>
    </row>
    <row r="1922" spans="1:1" x14ac:dyDescent="0.2">
      <c r="A1922" s="52"/>
    </row>
    <row r="1923" spans="1:1" x14ac:dyDescent="0.2">
      <c r="A1923" s="52"/>
    </row>
    <row r="1924" spans="1:1" x14ac:dyDescent="0.2">
      <c r="A1924" s="52"/>
    </row>
    <row r="1925" spans="1:1" x14ac:dyDescent="0.2">
      <c r="A1925" s="52"/>
    </row>
    <row r="1926" spans="1:1" x14ac:dyDescent="0.2">
      <c r="A1926" s="52"/>
    </row>
    <row r="1927" spans="1:1" x14ac:dyDescent="0.2">
      <c r="A1927" s="52"/>
    </row>
    <row r="1928" spans="1:1" x14ac:dyDescent="0.2">
      <c r="A1928" s="52"/>
    </row>
    <row r="1929" spans="1:1" x14ac:dyDescent="0.2">
      <c r="A1929" s="52"/>
    </row>
    <row r="1930" spans="1:1" x14ac:dyDescent="0.2">
      <c r="A1930" s="52"/>
    </row>
    <row r="1931" spans="1:1" x14ac:dyDescent="0.2">
      <c r="A1931" s="52"/>
    </row>
    <row r="1932" spans="1:1" x14ac:dyDescent="0.2">
      <c r="A1932" s="52"/>
    </row>
    <row r="1933" spans="1:1" x14ac:dyDescent="0.2">
      <c r="A1933" s="52"/>
    </row>
    <row r="1934" spans="1:1" x14ac:dyDescent="0.2">
      <c r="A1934" s="52"/>
    </row>
    <row r="1935" spans="1:1" x14ac:dyDescent="0.2">
      <c r="A1935" s="52"/>
    </row>
    <row r="1936" spans="1:1" x14ac:dyDescent="0.2">
      <c r="A1936" s="52"/>
    </row>
    <row r="1937" spans="1:1" x14ac:dyDescent="0.2">
      <c r="A1937" s="52"/>
    </row>
    <row r="1938" spans="1:1" x14ac:dyDescent="0.2">
      <c r="A1938" s="52"/>
    </row>
    <row r="1939" spans="1:1" x14ac:dyDescent="0.2">
      <c r="A1939" s="53"/>
    </row>
    <row r="1940" spans="1:1" x14ac:dyDescent="0.2">
      <c r="A1940" s="52"/>
    </row>
    <row r="1941" spans="1:1" x14ac:dyDescent="0.2">
      <c r="A1941" s="52"/>
    </row>
    <row r="1942" spans="1:1" x14ac:dyDescent="0.2">
      <c r="A1942" s="52"/>
    </row>
    <row r="1943" spans="1:1" x14ac:dyDescent="0.2">
      <c r="A1943" s="52"/>
    </row>
    <row r="1944" spans="1:1" x14ac:dyDescent="0.2">
      <c r="A1944" s="52"/>
    </row>
    <row r="1945" spans="1:1" x14ac:dyDescent="0.2">
      <c r="A1945" s="52"/>
    </row>
    <row r="1946" spans="1:1" x14ac:dyDescent="0.2">
      <c r="A1946" s="52"/>
    </row>
    <row r="1947" spans="1:1" x14ac:dyDescent="0.2">
      <c r="A1947" s="52"/>
    </row>
    <row r="1948" spans="1:1" x14ac:dyDescent="0.2">
      <c r="A1948" s="53"/>
    </row>
    <row r="1949" spans="1:1" x14ac:dyDescent="0.2">
      <c r="A1949" s="52"/>
    </row>
    <row r="1950" spans="1:1" x14ac:dyDescent="0.2">
      <c r="A1950" s="52"/>
    </row>
    <row r="1951" spans="1:1" x14ac:dyDescent="0.2">
      <c r="A1951" s="52"/>
    </row>
    <row r="1952" spans="1:1" x14ac:dyDescent="0.2">
      <c r="A1952" s="52"/>
    </row>
    <row r="1953" spans="1:1" x14ac:dyDescent="0.2">
      <c r="A1953" s="52"/>
    </row>
    <row r="1954" spans="1:1" x14ac:dyDescent="0.2">
      <c r="A1954" s="52"/>
    </row>
    <row r="1955" spans="1:1" x14ac:dyDescent="0.2">
      <c r="A1955" s="52"/>
    </row>
    <row r="1956" spans="1:1" x14ac:dyDescent="0.2">
      <c r="A1956" s="52"/>
    </row>
    <row r="1957" spans="1:1" x14ac:dyDescent="0.2">
      <c r="A1957" s="53"/>
    </row>
    <row r="1958" spans="1:1" x14ac:dyDescent="0.2">
      <c r="A1958" s="53"/>
    </row>
    <row r="1959" spans="1:1" x14ac:dyDescent="0.2">
      <c r="A1959" s="52"/>
    </row>
    <row r="1960" spans="1:1" x14ac:dyDescent="0.2">
      <c r="A1960" s="52"/>
    </row>
    <row r="1961" spans="1:1" x14ac:dyDescent="0.2">
      <c r="A1961" s="52"/>
    </row>
    <row r="1962" spans="1:1" x14ac:dyDescent="0.2">
      <c r="A1962" s="52"/>
    </row>
    <row r="1963" spans="1:1" x14ac:dyDescent="0.2">
      <c r="A1963" s="52"/>
    </row>
    <row r="1964" spans="1:1" x14ac:dyDescent="0.2">
      <c r="A1964" s="52"/>
    </row>
    <row r="1965" spans="1:1" x14ac:dyDescent="0.2">
      <c r="A1965" s="52"/>
    </row>
    <row r="1966" spans="1:1" x14ac:dyDescent="0.2">
      <c r="A1966" s="52"/>
    </row>
    <row r="1967" spans="1:1" x14ac:dyDescent="0.2">
      <c r="A1967" s="52"/>
    </row>
    <row r="1968" spans="1:1" x14ac:dyDescent="0.2">
      <c r="A1968" s="52"/>
    </row>
    <row r="1969" spans="1:1" x14ac:dyDescent="0.2">
      <c r="A1969" s="52"/>
    </row>
    <row r="1970" spans="1:1" x14ac:dyDescent="0.2">
      <c r="A1970" s="52"/>
    </row>
    <row r="1971" spans="1:1" x14ac:dyDescent="0.2">
      <c r="A1971" s="52"/>
    </row>
    <row r="1972" spans="1:1" x14ac:dyDescent="0.2">
      <c r="A1972" s="52"/>
    </row>
    <row r="1973" spans="1:1" x14ac:dyDescent="0.2">
      <c r="A1973" s="52"/>
    </row>
    <row r="1974" spans="1:1" x14ac:dyDescent="0.2">
      <c r="A1974" s="52"/>
    </row>
    <row r="1975" spans="1:1" x14ac:dyDescent="0.2">
      <c r="A1975" s="52"/>
    </row>
    <row r="1976" spans="1:1" x14ac:dyDescent="0.2">
      <c r="A1976" s="52"/>
    </row>
    <row r="1977" spans="1:1" x14ac:dyDescent="0.2">
      <c r="A1977" s="52"/>
    </row>
    <row r="1978" spans="1:1" x14ac:dyDescent="0.2">
      <c r="A1978" s="52"/>
    </row>
    <row r="1979" spans="1:1" x14ac:dyDescent="0.2">
      <c r="A1979" s="52"/>
    </row>
    <row r="1980" spans="1:1" x14ac:dyDescent="0.2">
      <c r="A1980" s="52"/>
    </row>
    <row r="1981" spans="1:1" x14ac:dyDescent="0.2">
      <c r="A1981" s="52"/>
    </row>
    <row r="1982" spans="1:1" x14ac:dyDescent="0.2">
      <c r="A1982" s="52"/>
    </row>
    <row r="1983" spans="1:1" x14ac:dyDescent="0.2">
      <c r="A1983" s="52"/>
    </row>
    <row r="1984" spans="1:1" x14ac:dyDescent="0.2">
      <c r="A1984" s="52"/>
    </row>
    <row r="1985" spans="1:1" x14ac:dyDescent="0.2">
      <c r="A1985" s="53"/>
    </row>
    <row r="1986" spans="1:1" x14ac:dyDescent="0.2">
      <c r="A1986" s="52"/>
    </row>
    <row r="1987" spans="1:1" x14ac:dyDescent="0.2">
      <c r="A1987" s="52"/>
    </row>
    <row r="1988" spans="1:1" x14ac:dyDescent="0.2">
      <c r="A1988" s="52"/>
    </row>
    <row r="1989" spans="1:1" x14ac:dyDescent="0.2">
      <c r="A1989" s="52"/>
    </row>
    <row r="1990" spans="1:1" x14ac:dyDescent="0.2">
      <c r="A1990" s="52"/>
    </row>
    <row r="1991" spans="1:1" x14ac:dyDescent="0.2">
      <c r="A1991" s="52"/>
    </row>
    <row r="1992" spans="1:1" x14ac:dyDescent="0.2">
      <c r="A1992" s="52"/>
    </row>
    <row r="1993" spans="1:1" x14ac:dyDescent="0.2">
      <c r="A1993" s="52"/>
    </row>
    <row r="1994" spans="1:1" x14ac:dyDescent="0.2">
      <c r="A1994" s="52"/>
    </row>
    <row r="1995" spans="1:1" x14ac:dyDescent="0.2">
      <c r="A1995" s="52"/>
    </row>
    <row r="1996" spans="1:1" x14ac:dyDescent="0.2">
      <c r="A1996" s="52"/>
    </row>
    <row r="1997" spans="1:1" x14ac:dyDescent="0.2">
      <c r="A1997" s="52"/>
    </row>
    <row r="1998" spans="1:1" x14ac:dyDescent="0.2">
      <c r="A1998" s="52"/>
    </row>
    <row r="1999" spans="1:1" x14ac:dyDescent="0.2">
      <c r="A1999" s="52"/>
    </row>
    <row r="2000" spans="1:1" x14ac:dyDescent="0.2">
      <c r="A2000" s="52"/>
    </row>
    <row r="2001" spans="1:1" x14ac:dyDescent="0.2">
      <c r="A2001" s="52"/>
    </row>
    <row r="2002" spans="1:1" x14ac:dyDescent="0.2">
      <c r="A2002" s="52"/>
    </row>
    <row r="2003" spans="1:1" x14ac:dyDescent="0.2">
      <c r="A2003" s="52"/>
    </row>
    <row r="2004" spans="1:1" x14ac:dyDescent="0.2">
      <c r="A2004" s="53"/>
    </row>
    <row r="2005" spans="1:1" x14ac:dyDescent="0.2">
      <c r="A2005" s="52"/>
    </row>
    <row r="2006" spans="1:1" x14ac:dyDescent="0.2">
      <c r="A2006" s="52"/>
    </row>
    <row r="2007" spans="1:1" x14ac:dyDescent="0.2">
      <c r="A2007" s="52"/>
    </row>
    <row r="2008" spans="1:1" x14ac:dyDescent="0.2">
      <c r="A2008" s="52"/>
    </row>
    <row r="2009" spans="1:1" x14ac:dyDescent="0.2">
      <c r="A2009" s="53"/>
    </row>
    <row r="2010" spans="1:1" x14ac:dyDescent="0.2">
      <c r="A2010" s="53"/>
    </row>
    <row r="2011" spans="1:1" x14ac:dyDescent="0.2">
      <c r="A2011" s="52"/>
    </row>
    <row r="2012" spans="1:1" x14ac:dyDescent="0.2">
      <c r="A2012" s="52"/>
    </row>
    <row r="2013" spans="1:1" x14ac:dyDescent="0.2">
      <c r="A2013" s="52"/>
    </row>
    <row r="2014" spans="1:1" x14ac:dyDescent="0.2">
      <c r="A2014" s="52"/>
    </row>
    <row r="2015" spans="1:1" x14ac:dyDescent="0.2">
      <c r="A2015" s="52"/>
    </row>
    <row r="2016" spans="1:1" x14ac:dyDescent="0.2">
      <c r="A2016" s="52"/>
    </row>
    <row r="2017" spans="1:1" x14ac:dyDescent="0.2">
      <c r="A2017" s="52"/>
    </row>
    <row r="2018" spans="1:1" x14ac:dyDescent="0.2">
      <c r="A2018" s="52"/>
    </row>
    <row r="2019" spans="1:1" x14ac:dyDescent="0.2">
      <c r="A2019" s="52"/>
    </row>
    <row r="2020" spans="1:1" x14ac:dyDescent="0.2">
      <c r="A2020" s="52"/>
    </row>
    <row r="2021" spans="1:1" x14ac:dyDescent="0.2">
      <c r="A2021" s="52"/>
    </row>
    <row r="2022" spans="1:1" x14ac:dyDescent="0.2">
      <c r="A2022" s="52"/>
    </row>
    <row r="2023" spans="1:1" x14ac:dyDescent="0.2">
      <c r="A2023" s="52"/>
    </row>
    <row r="2024" spans="1:1" x14ac:dyDescent="0.2">
      <c r="A2024" s="52"/>
    </row>
    <row r="2025" spans="1:1" x14ac:dyDescent="0.2">
      <c r="A2025" s="52"/>
    </row>
    <row r="2026" spans="1:1" x14ac:dyDescent="0.2">
      <c r="A2026" s="52"/>
    </row>
    <row r="2027" spans="1:1" x14ac:dyDescent="0.2">
      <c r="A2027" s="52"/>
    </row>
    <row r="2028" spans="1:1" x14ac:dyDescent="0.2">
      <c r="A2028" s="52"/>
    </row>
    <row r="2029" spans="1:1" x14ac:dyDescent="0.2">
      <c r="A2029" s="52"/>
    </row>
    <row r="2030" spans="1:1" x14ac:dyDescent="0.2">
      <c r="A2030" s="52"/>
    </row>
    <row r="2031" spans="1:1" x14ac:dyDescent="0.2">
      <c r="A2031" s="52"/>
    </row>
    <row r="2032" spans="1:1" x14ac:dyDescent="0.2">
      <c r="A2032" s="52"/>
    </row>
    <row r="2033" spans="1:1" x14ac:dyDescent="0.2">
      <c r="A2033" s="52"/>
    </row>
    <row r="2034" spans="1:1" x14ac:dyDescent="0.2">
      <c r="A2034" s="52"/>
    </row>
    <row r="2035" spans="1:1" x14ac:dyDescent="0.2">
      <c r="A2035" s="52"/>
    </row>
    <row r="2036" spans="1:1" x14ac:dyDescent="0.2">
      <c r="A2036" s="52"/>
    </row>
    <row r="2037" spans="1:1" x14ac:dyDescent="0.2">
      <c r="A2037" s="52"/>
    </row>
    <row r="2038" spans="1:1" x14ac:dyDescent="0.2">
      <c r="A2038" s="52"/>
    </row>
    <row r="2039" spans="1:1" x14ac:dyDescent="0.2">
      <c r="A2039" s="52"/>
    </row>
    <row r="2040" spans="1:1" x14ac:dyDescent="0.2">
      <c r="A2040" s="52"/>
    </row>
    <row r="2041" spans="1:1" x14ac:dyDescent="0.2">
      <c r="A2041" s="52"/>
    </row>
    <row r="2042" spans="1:1" x14ac:dyDescent="0.2">
      <c r="A2042" s="52"/>
    </row>
    <row r="2043" spans="1:1" x14ac:dyDescent="0.2">
      <c r="A2043" s="52"/>
    </row>
    <row r="2044" spans="1:1" x14ac:dyDescent="0.2">
      <c r="A2044" s="52"/>
    </row>
    <row r="2045" spans="1:1" x14ac:dyDescent="0.2">
      <c r="A2045" s="52"/>
    </row>
    <row r="2046" spans="1:1" x14ac:dyDescent="0.2">
      <c r="A2046" s="53"/>
    </row>
    <row r="2047" spans="1:1" x14ac:dyDescent="0.2">
      <c r="A2047" s="52"/>
    </row>
    <row r="2048" spans="1:1" x14ac:dyDescent="0.2">
      <c r="A2048" s="52"/>
    </row>
    <row r="2049" spans="1:1" x14ac:dyDescent="0.2">
      <c r="A2049" s="52"/>
    </row>
    <row r="2050" spans="1:1" x14ac:dyDescent="0.2">
      <c r="A2050" s="52"/>
    </row>
    <row r="2051" spans="1:1" x14ac:dyDescent="0.2">
      <c r="A2051" s="52"/>
    </row>
    <row r="2052" spans="1:1" x14ac:dyDescent="0.2">
      <c r="A2052" s="52"/>
    </row>
    <row r="2053" spans="1:1" x14ac:dyDescent="0.2">
      <c r="A2053" s="52"/>
    </row>
    <row r="2054" spans="1:1" x14ac:dyDescent="0.2">
      <c r="A2054" s="52"/>
    </row>
    <row r="2055" spans="1:1" x14ac:dyDescent="0.2">
      <c r="A2055" s="52"/>
    </row>
    <row r="2056" spans="1:1" x14ac:dyDescent="0.2">
      <c r="A2056" s="52"/>
    </row>
    <row r="2057" spans="1:1" x14ac:dyDescent="0.2">
      <c r="A2057" s="52"/>
    </row>
    <row r="2058" spans="1:1" x14ac:dyDescent="0.2">
      <c r="A2058" s="52"/>
    </row>
    <row r="2059" spans="1:1" x14ac:dyDescent="0.2">
      <c r="A2059" s="52"/>
    </row>
    <row r="2060" spans="1:1" x14ac:dyDescent="0.2">
      <c r="A2060" s="52"/>
    </row>
    <row r="2061" spans="1:1" x14ac:dyDescent="0.2">
      <c r="A2061" s="52"/>
    </row>
    <row r="2062" spans="1:1" x14ac:dyDescent="0.2">
      <c r="A2062" s="52"/>
    </row>
    <row r="2063" spans="1:1" x14ac:dyDescent="0.2">
      <c r="A2063" s="52"/>
    </row>
    <row r="2064" spans="1:1" x14ac:dyDescent="0.2">
      <c r="A2064" s="52"/>
    </row>
    <row r="2065" spans="1:1" x14ac:dyDescent="0.2">
      <c r="A2065" s="52"/>
    </row>
    <row r="2066" spans="1:1" x14ac:dyDescent="0.2">
      <c r="A2066" s="52"/>
    </row>
    <row r="2067" spans="1:1" x14ac:dyDescent="0.2">
      <c r="A2067" s="52"/>
    </row>
    <row r="2068" spans="1:1" x14ac:dyDescent="0.2">
      <c r="A2068" s="52"/>
    </row>
    <row r="2069" spans="1:1" x14ac:dyDescent="0.2">
      <c r="A2069" s="52"/>
    </row>
    <row r="2070" spans="1:1" x14ac:dyDescent="0.2">
      <c r="A2070" s="52"/>
    </row>
    <row r="2071" spans="1:1" x14ac:dyDescent="0.2">
      <c r="A2071" s="52"/>
    </row>
    <row r="2072" spans="1:1" x14ac:dyDescent="0.2">
      <c r="A2072" s="52"/>
    </row>
    <row r="2073" spans="1:1" x14ac:dyDescent="0.2">
      <c r="A2073" s="52"/>
    </row>
    <row r="2074" spans="1:1" x14ac:dyDescent="0.2">
      <c r="A2074" s="52"/>
    </row>
    <row r="2075" spans="1:1" x14ac:dyDescent="0.2">
      <c r="A2075" s="52"/>
    </row>
    <row r="2076" spans="1:1" x14ac:dyDescent="0.2">
      <c r="A2076" s="52"/>
    </row>
    <row r="2077" spans="1:1" x14ac:dyDescent="0.2">
      <c r="A2077" s="52"/>
    </row>
    <row r="2078" spans="1:1" x14ac:dyDescent="0.2">
      <c r="A2078" s="52"/>
    </row>
    <row r="2079" spans="1:1" x14ac:dyDescent="0.2">
      <c r="A2079" s="52"/>
    </row>
    <row r="2080" spans="1:1" x14ac:dyDescent="0.2">
      <c r="A2080" s="52"/>
    </row>
    <row r="2081" spans="1:1" x14ac:dyDescent="0.2">
      <c r="A2081" s="52"/>
    </row>
    <row r="2082" spans="1:1" x14ac:dyDescent="0.2">
      <c r="A2082" s="52"/>
    </row>
    <row r="2083" spans="1:1" x14ac:dyDescent="0.2">
      <c r="A2083" s="52"/>
    </row>
    <row r="2084" spans="1:1" x14ac:dyDescent="0.2">
      <c r="A2084" s="52"/>
    </row>
    <row r="2085" spans="1:1" x14ac:dyDescent="0.2">
      <c r="A2085" s="52"/>
    </row>
    <row r="2086" spans="1:1" x14ac:dyDescent="0.2">
      <c r="A2086" s="52"/>
    </row>
    <row r="2087" spans="1:1" x14ac:dyDescent="0.2">
      <c r="A2087" s="52"/>
    </row>
    <row r="2088" spans="1:1" x14ac:dyDescent="0.2">
      <c r="A2088" s="52"/>
    </row>
    <row r="2089" spans="1:1" x14ac:dyDescent="0.2">
      <c r="A2089" s="52"/>
    </row>
    <row r="2090" spans="1:1" x14ac:dyDescent="0.2">
      <c r="A2090" s="52"/>
    </row>
    <row r="2091" spans="1:1" x14ac:dyDescent="0.2">
      <c r="A2091" s="52"/>
    </row>
    <row r="2092" spans="1:1" x14ac:dyDescent="0.2">
      <c r="A2092" s="52"/>
    </row>
    <row r="2093" spans="1:1" x14ac:dyDescent="0.2">
      <c r="A2093" s="52"/>
    </row>
    <row r="2094" spans="1:1" x14ac:dyDescent="0.2">
      <c r="A2094" s="52"/>
    </row>
    <row r="2095" spans="1:1" x14ac:dyDescent="0.2">
      <c r="A2095" s="52"/>
    </row>
    <row r="2096" spans="1:1" x14ac:dyDescent="0.2">
      <c r="A2096" s="52"/>
    </row>
    <row r="2097" spans="1:1" x14ac:dyDescent="0.2">
      <c r="A2097" s="52"/>
    </row>
    <row r="2098" spans="1:1" x14ac:dyDescent="0.2">
      <c r="A2098" s="52"/>
    </row>
    <row r="2099" spans="1:1" x14ac:dyDescent="0.2">
      <c r="A2099" s="52"/>
    </row>
    <row r="2100" spans="1:1" x14ac:dyDescent="0.2">
      <c r="A2100" s="52"/>
    </row>
    <row r="2101" spans="1:1" x14ac:dyDescent="0.2">
      <c r="A2101" s="52"/>
    </row>
    <row r="2102" spans="1:1" x14ac:dyDescent="0.2">
      <c r="A2102" s="52"/>
    </row>
    <row r="2103" spans="1:1" x14ac:dyDescent="0.2">
      <c r="A2103" s="52"/>
    </row>
    <row r="2104" spans="1:1" x14ac:dyDescent="0.2">
      <c r="A2104" s="52"/>
    </row>
    <row r="2105" spans="1:1" x14ac:dyDescent="0.2">
      <c r="A2105" s="52"/>
    </row>
    <row r="2106" spans="1:1" x14ac:dyDescent="0.2">
      <c r="A2106" s="52"/>
    </row>
    <row r="2107" spans="1:1" x14ac:dyDescent="0.2">
      <c r="A2107" s="52"/>
    </row>
    <row r="2108" spans="1:1" x14ac:dyDescent="0.2">
      <c r="A2108" s="52"/>
    </row>
    <row r="2109" spans="1:1" x14ac:dyDescent="0.2">
      <c r="A2109" s="52"/>
    </row>
    <row r="2110" spans="1:1" x14ac:dyDescent="0.2">
      <c r="A2110" s="52"/>
    </row>
    <row r="2111" spans="1:1" x14ac:dyDescent="0.2">
      <c r="A2111" s="52"/>
    </row>
    <row r="2112" spans="1:1" x14ac:dyDescent="0.2">
      <c r="A2112" s="52"/>
    </row>
    <row r="2113" spans="1:1" x14ac:dyDescent="0.2">
      <c r="A2113" s="52"/>
    </row>
    <row r="2114" spans="1:1" x14ac:dyDescent="0.2">
      <c r="A2114" s="52"/>
    </row>
    <row r="2115" spans="1:1" x14ac:dyDescent="0.2">
      <c r="A2115" s="52"/>
    </row>
    <row r="2116" spans="1:1" x14ac:dyDescent="0.2">
      <c r="A2116" s="52"/>
    </row>
    <row r="2117" spans="1:1" x14ac:dyDescent="0.2">
      <c r="A2117" s="52"/>
    </row>
    <row r="2118" spans="1:1" x14ac:dyDescent="0.2">
      <c r="A2118" s="52"/>
    </row>
    <row r="2119" spans="1:1" x14ac:dyDescent="0.2">
      <c r="A2119" s="52"/>
    </row>
    <row r="2120" spans="1:1" x14ac:dyDescent="0.2">
      <c r="A2120" s="52"/>
    </row>
    <row r="2121" spans="1:1" x14ac:dyDescent="0.2">
      <c r="A2121" s="52"/>
    </row>
    <row r="2122" spans="1:1" x14ac:dyDescent="0.2">
      <c r="A2122" s="52"/>
    </row>
    <row r="2123" spans="1:1" x14ac:dyDescent="0.2">
      <c r="A2123" s="52"/>
    </row>
    <row r="2124" spans="1:1" x14ac:dyDescent="0.2">
      <c r="A2124" s="52"/>
    </row>
    <row r="2125" spans="1:1" x14ac:dyDescent="0.2">
      <c r="A2125" s="52"/>
    </row>
    <row r="2126" spans="1:1" x14ac:dyDescent="0.2">
      <c r="A2126" s="52"/>
    </row>
    <row r="2127" spans="1:1" x14ac:dyDescent="0.2">
      <c r="A2127" s="52"/>
    </row>
    <row r="2128" spans="1:1" x14ac:dyDescent="0.2">
      <c r="A2128" s="52"/>
    </row>
    <row r="2129" spans="1:1" x14ac:dyDescent="0.2">
      <c r="A2129" s="52"/>
    </row>
    <row r="2130" spans="1:1" x14ac:dyDescent="0.2">
      <c r="A2130" s="52"/>
    </row>
    <row r="2131" spans="1:1" x14ac:dyDescent="0.2">
      <c r="A2131" s="52"/>
    </row>
    <row r="2132" spans="1:1" x14ac:dyDescent="0.2">
      <c r="A2132" s="52"/>
    </row>
    <row r="2133" spans="1:1" x14ac:dyDescent="0.2">
      <c r="A2133" s="52"/>
    </row>
    <row r="2134" spans="1:1" x14ac:dyDescent="0.2">
      <c r="A2134" s="52"/>
    </row>
    <row r="2135" spans="1:1" x14ac:dyDescent="0.2">
      <c r="A2135" s="52"/>
    </row>
    <row r="2136" spans="1:1" x14ac:dyDescent="0.2">
      <c r="A2136" s="52"/>
    </row>
    <row r="2137" spans="1:1" x14ac:dyDescent="0.2">
      <c r="A2137" s="53"/>
    </row>
    <row r="2138" spans="1:1" x14ac:dyDescent="0.2">
      <c r="A2138" s="52"/>
    </row>
    <row r="2139" spans="1:1" x14ac:dyDescent="0.2">
      <c r="A2139" s="52"/>
    </row>
    <row r="2140" spans="1:1" x14ac:dyDescent="0.2">
      <c r="A2140" s="52"/>
    </row>
    <row r="2141" spans="1:1" x14ac:dyDescent="0.2">
      <c r="A2141" s="52"/>
    </row>
    <row r="2142" spans="1:1" x14ac:dyDescent="0.2">
      <c r="A2142" s="52"/>
    </row>
    <row r="2143" spans="1:1" x14ac:dyDescent="0.2">
      <c r="A2143" s="52"/>
    </row>
    <row r="2144" spans="1:1" x14ac:dyDescent="0.2">
      <c r="A2144" s="52"/>
    </row>
    <row r="2145" spans="1:1" x14ac:dyDescent="0.2">
      <c r="A2145" s="52"/>
    </row>
    <row r="2146" spans="1:1" x14ac:dyDescent="0.2">
      <c r="A2146" s="52"/>
    </row>
    <row r="2147" spans="1:1" x14ac:dyDescent="0.2">
      <c r="A2147" s="53"/>
    </row>
    <row r="2148" spans="1:1" x14ac:dyDescent="0.2">
      <c r="A2148" s="52"/>
    </row>
    <row r="2149" spans="1:1" x14ac:dyDescent="0.2">
      <c r="A2149" s="52"/>
    </row>
    <row r="2150" spans="1:1" x14ac:dyDescent="0.2">
      <c r="A2150" s="52"/>
    </row>
    <row r="2151" spans="1:1" x14ac:dyDescent="0.2">
      <c r="A2151" s="52"/>
    </row>
    <row r="2152" spans="1:1" x14ac:dyDescent="0.2">
      <c r="A2152" s="52"/>
    </row>
    <row r="2153" spans="1:1" x14ac:dyDescent="0.2">
      <c r="A2153" s="52"/>
    </row>
    <row r="2154" spans="1:1" x14ac:dyDescent="0.2">
      <c r="A2154" s="52"/>
    </row>
    <row r="2155" spans="1:1" x14ac:dyDescent="0.2">
      <c r="A2155" s="52"/>
    </row>
    <row r="2156" spans="1:1" x14ac:dyDescent="0.2">
      <c r="A2156" s="52"/>
    </row>
    <row r="2157" spans="1:1" x14ac:dyDescent="0.2">
      <c r="A2157" s="52"/>
    </row>
    <row r="2158" spans="1:1" x14ac:dyDescent="0.2">
      <c r="A2158" s="52"/>
    </row>
    <row r="2159" spans="1:1" x14ac:dyDescent="0.2">
      <c r="A2159" s="52"/>
    </row>
    <row r="2160" spans="1:1" x14ac:dyDescent="0.2">
      <c r="A2160" s="52"/>
    </row>
    <row r="2161" spans="1:1" x14ac:dyDescent="0.2">
      <c r="A2161" s="52"/>
    </row>
    <row r="2162" spans="1:1" x14ac:dyDescent="0.2">
      <c r="A2162" s="52"/>
    </row>
    <row r="2163" spans="1:1" x14ac:dyDescent="0.2">
      <c r="A2163" s="52"/>
    </row>
    <row r="2164" spans="1:1" x14ac:dyDescent="0.2">
      <c r="A2164" s="52"/>
    </row>
    <row r="2165" spans="1:1" x14ac:dyDescent="0.2">
      <c r="A2165" s="52"/>
    </row>
    <row r="2166" spans="1:1" x14ac:dyDescent="0.2">
      <c r="A2166" s="52"/>
    </row>
    <row r="2167" spans="1:1" x14ac:dyDescent="0.2">
      <c r="A2167" s="52"/>
    </row>
    <row r="2168" spans="1:1" x14ac:dyDescent="0.2">
      <c r="A2168" s="52"/>
    </row>
    <row r="2169" spans="1:1" x14ac:dyDescent="0.2">
      <c r="A2169" s="52"/>
    </row>
    <row r="2170" spans="1:1" x14ac:dyDescent="0.2">
      <c r="A2170" s="52"/>
    </row>
    <row r="2171" spans="1:1" x14ac:dyDescent="0.2">
      <c r="A2171" s="52"/>
    </row>
    <row r="2172" spans="1:1" x14ac:dyDescent="0.2">
      <c r="A2172" s="52"/>
    </row>
    <row r="2173" spans="1:1" x14ac:dyDescent="0.2">
      <c r="A2173" s="52"/>
    </row>
    <row r="2174" spans="1:1" x14ac:dyDescent="0.2">
      <c r="A2174" s="52"/>
    </row>
    <row r="2175" spans="1:1" x14ac:dyDescent="0.2">
      <c r="A2175" s="52"/>
    </row>
    <row r="2176" spans="1:1" x14ac:dyDescent="0.2">
      <c r="A2176" s="52"/>
    </row>
    <row r="2177" spans="1:1" x14ac:dyDescent="0.2">
      <c r="A2177" s="52"/>
    </row>
    <row r="2178" spans="1:1" x14ac:dyDescent="0.2">
      <c r="A2178" s="52"/>
    </row>
    <row r="2179" spans="1:1" x14ac:dyDescent="0.2">
      <c r="A2179" s="52"/>
    </row>
    <row r="2180" spans="1:1" x14ac:dyDescent="0.2">
      <c r="A2180" s="52"/>
    </row>
    <row r="2181" spans="1:1" x14ac:dyDescent="0.2">
      <c r="A2181" s="52"/>
    </row>
    <row r="2182" spans="1:1" x14ac:dyDescent="0.2">
      <c r="A2182" s="52"/>
    </row>
    <row r="2183" spans="1:1" x14ac:dyDescent="0.2">
      <c r="A2183" s="52"/>
    </row>
    <row r="2184" spans="1:1" x14ac:dyDescent="0.2">
      <c r="A2184" s="52"/>
    </row>
    <row r="2185" spans="1:1" x14ac:dyDescent="0.2">
      <c r="A2185" s="52"/>
    </row>
    <row r="2186" spans="1:1" x14ac:dyDescent="0.2">
      <c r="A2186" s="52"/>
    </row>
    <row r="2187" spans="1:1" x14ac:dyDescent="0.2">
      <c r="A2187" s="53"/>
    </row>
    <row r="2188" spans="1:1" x14ac:dyDescent="0.2">
      <c r="A2188" s="52"/>
    </row>
    <row r="2189" spans="1:1" x14ac:dyDescent="0.2">
      <c r="A2189" s="52"/>
    </row>
    <row r="2190" spans="1:1" x14ac:dyDescent="0.2">
      <c r="A2190" s="52"/>
    </row>
    <row r="2191" spans="1:1" x14ac:dyDescent="0.2">
      <c r="A2191" s="52"/>
    </row>
    <row r="2192" spans="1:1" x14ac:dyDescent="0.2">
      <c r="A2192" s="52"/>
    </row>
    <row r="2193" spans="1:1" x14ac:dyDescent="0.2">
      <c r="A2193" s="52"/>
    </row>
    <row r="2194" spans="1:1" x14ac:dyDescent="0.2">
      <c r="A2194" s="53"/>
    </row>
    <row r="2195" spans="1:1" x14ac:dyDescent="0.2">
      <c r="A2195" s="52"/>
    </row>
    <row r="2196" spans="1:1" x14ac:dyDescent="0.2">
      <c r="A2196" s="52"/>
    </row>
    <row r="2197" spans="1:1" x14ac:dyDescent="0.2">
      <c r="A2197" s="52"/>
    </row>
    <row r="2198" spans="1:1" x14ac:dyDescent="0.2">
      <c r="A2198" s="52"/>
    </row>
    <row r="2199" spans="1:1" x14ac:dyDescent="0.2">
      <c r="A2199" s="52"/>
    </row>
    <row r="2200" spans="1:1" x14ac:dyDescent="0.2">
      <c r="A2200" s="52"/>
    </row>
    <row r="2201" spans="1:1" x14ac:dyDescent="0.2">
      <c r="A2201" s="52"/>
    </row>
    <row r="2202" spans="1:1" x14ac:dyDescent="0.2">
      <c r="A2202" s="52"/>
    </row>
    <row r="2203" spans="1:1" x14ac:dyDescent="0.2">
      <c r="A2203" s="52"/>
    </row>
    <row r="2204" spans="1:1" x14ac:dyDescent="0.2">
      <c r="A2204" s="53"/>
    </row>
    <row r="2205" spans="1:1" x14ac:dyDescent="0.2">
      <c r="A2205" s="52"/>
    </row>
    <row r="2206" spans="1:1" x14ac:dyDescent="0.2">
      <c r="A2206" s="52"/>
    </row>
    <row r="2207" spans="1:1" x14ac:dyDescent="0.2">
      <c r="A2207" s="52"/>
    </row>
    <row r="2208" spans="1:1" x14ac:dyDescent="0.2">
      <c r="A2208" s="53"/>
    </row>
    <row r="2209" spans="1:1" x14ac:dyDescent="0.2">
      <c r="A2209" s="52"/>
    </row>
    <row r="2210" spans="1:1" x14ac:dyDescent="0.2">
      <c r="A2210" s="52"/>
    </row>
    <row r="2211" spans="1:1" x14ac:dyDescent="0.2">
      <c r="A2211" s="53"/>
    </row>
    <row r="2212" spans="1:1" x14ac:dyDescent="0.2">
      <c r="A2212" s="53"/>
    </row>
    <row r="2213" spans="1:1" x14ac:dyDescent="0.2">
      <c r="A2213" s="53"/>
    </row>
    <row r="2214" spans="1:1" x14ac:dyDescent="0.2">
      <c r="A2214" s="52"/>
    </row>
    <row r="2215" spans="1:1" x14ac:dyDescent="0.2">
      <c r="A2215" s="52"/>
    </row>
    <row r="2216" spans="1:1" x14ac:dyDescent="0.2">
      <c r="A2216" s="52"/>
    </row>
    <row r="2217" spans="1:1" x14ac:dyDescent="0.2">
      <c r="A2217" s="52"/>
    </row>
    <row r="2218" spans="1:1" x14ac:dyDescent="0.2">
      <c r="A2218" s="52"/>
    </row>
    <row r="2219" spans="1:1" x14ac:dyDescent="0.2">
      <c r="A2219" s="52"/>
    </row>
    <row r="2220" spans="1:1" x14ac:dyDescent="0.2">
      <c r="A2220" s="52"/>
    </row>
    <row r="2221" spans="1:1" x14ac:dyDescent="0.2">
      <c r="A2221" s="52"/>
    </row>
    <row r="2222" spans="1:1" x14ac:dyDescent="0.2">
      <c r="A2222" s="52"/>
    </row>
    <row r="2223" spans="1:1" x14ac:dyDescent="0.2">
      <c r="A2223" s="52"/>
    </row>
    <row r="2224" spans="1:1" x14ac:dyDescent="0.2">
      <c r="A2224" s="52"/>
    </row>
    <row r="2225" spans="1:1" x14ac:dyDescent="0.2">
      <c r="A2225" s="52"/>
    </row>
    <row r="2226" spans="1:1" x14ac:dyDescent="0.2">
      <c r="A2226" s="52"/>
    </row>
    <row r="2227" spans="1:1" x14ac:dyDescent="0.2">
      <c r="A2227" s="52"/>
    </row>
    <row r="2228" spans="1:1" x14ac:dyDescent="0.2">
      <c r="A2228" s="52"/>
    </row>
    <row r="2229" spans="1:1" x14ac:dyDescent="0.2">
      <c r="A2229" s="52"/>
    </row>
    <row r="2230" spans="1:1" x14ac:dyDescent="0.2">
      <c r="A2230" s="52"/>
    </row>
    <row r="2231" spans="1:1" x14ac:dyDescent="0.2">
      <c r="A2231" s="52"/>
    </row>
    <row r="2232" spans="1:1" x14ac:dyDescent="0.2">
      <c r="A2232" s="52"/>
    </row>
    <row r="2233" spans="1:1" x14ac:dyDescent="0.2">
      <c r="A2233" s="52"/>
    </row>
    <row r="2234" spans="1:1" x14ac:dyDescent="0.2">
      <c r="A2234" s="52"/>
    </row>
    <row r="2235" spans="1:1" x14ac:dyDescent="0.2">
      <c r="A2235" s="52"/>
    </row>
    <row r="2236" spans="1:1" x14ac:dyDescent="0.2">
      <c r="A2236" s="52"/>
    </row>
    <row r="2237" spans="1:1" x14ac:dyDescent="0.2">
      <c r="A2237" s="52"/>
    </row>
    <row r="2238" spans="1:1" x14ac:dyDescent="0.2">
      <c r="A2238" s="52"/>
    </row>
    <row r="2239" spans="1:1" x14ac:dyDescent="0.2">
      <c r="A2239" s="52"/>
    </row>
    <row r="2240" spans="1:1" x14ac:dyDescent="0.2">
      <c r="A2240" s="52"/>
    </row>
    <row r="2241" spans="1:1" x14ac:dyDescent="0.2">
      <c r="A2241" s="52"/>
    </row>
    <row r="2242" spans="1:1" x14ac:dyDescent="0.2">
      <c r="A2242" s="52"/>
    </row>
    <row r="2243" spans="1:1" x14ac:dyDescent="0.2">
      <c r="A2243" s="52"/>
    </row>
    <row r="2244" spans="1:1" x14ac:dyDescent="0.2">
      <c r="A2244" s="52"/>
    </row>
    <row r="2245" spans="1:1" x14ac:dyDescent="0.2">
      <c r="A2245" s="52"/>
    </row>
    <row r="2246" spans="1:1" x14ac:dyDescent="0.2">
      <c r="A2246" s="52"/>
    </row>
    <row r="2247" spans="1:1" x14ac:dyDescent="0.2">
      <c r="A2247" s="52"/>
    </row>
    <row r="2248" spans="1:1" x14ac:dyDescent="0.2">
      <c r="A2248" s="52"/>
    </row>
    <row r="2249" spans="1:1" x14ac:dyDescent="0.2">
      <c r="A2249" s="52"/>
    </row>
    <row r="2250" spans="1:1" x14ac:dyDescent="0.2">
      <c r="A2250" s="52"/>
    </row>
    <row r="2251" spans="1:1" x14ac:dyDescent="0.2">
      <c r="A2251" s="52"/>
    </row>
    <row r="2252" spans="1:1" x14ac:dyDescent="0.2">
      <c r="A2252" s="52"/>
    </row>
    <row r="2253" spans="1:1" x14ac:dyDescent="0.2">
      <c r="A2253" s="52"/>
    </row>
    <row r="2254" spans="1:1" x14ac:dyDescent="0.2">
      <c r="A2254" s="52"/>
    </row>
    <row r="2255" spans="1:1" x14ac:dyDescent="0.2">
      <c r="A2255" s="52"/>
    </row>
    <row r="2256" spans="1:1" x14ac:dyDescent="0.2">
      <c r="A2256" s="52"/>
    </row>
    <row r="2257" spans="1:1" x14ac:dyDescent="0.2">
      <c r="A2257" s="52"/>
    </row>
    <row r="2258" spans="1:1" x14ac:dyDescent="0.2">
      <c r="A2258" s="52"/>
    </row>
    <row r="2259" spans="1:1" x14ac:dyDescent="0.2">
      <c r="A2259" s="52"/>
    </row>
    <row r="2260" spans="1:1" x14ac:dyDescent="0.2">
      <c r="A2260" s="52"/>
    </row>
    <row r="2261" spans="1:1" x14ac:dyDescent="0.2">
      <c r="A2261" s="52"/>
    </row>
    <row r="2262" spans="1:1" x14ac:dyDescent="0.2">
      <c r="A2262" s="52"/>
    </row>
    <row r="2263" spans="1:1" x14ac:dyDescent="0.2">
      <c r="A2263" s="52"/>
    </row>
    <row r="2264" spans="1:1" x14ac:dyDescent="0.2">
      <c r="A2264" s="52"/>
    </row>
    <row r="2265" spans="1:1" x14ac:dyDescent="0.2">
      <c r="A2265" s="52"/>
    </row>
    <row r="2266" spans="1:1" x14ac:dyDescent="0.2">
      <c r="A2266" s="52"/>
    </row>
    <row r="2267" spans="1:1" x14ac:dyDescent="0.2">
      <c r="A2267" s="52"/>
    </row>
    <row r="2268" spans="1:1" x14ac:dyDescent="0.2">
      <c r="A2268" s="52"/>
    </row>
    <row r="2269" spans="1:1" x14ac:dyDescent="0.2">
      <c r="A2269" s="52"/>
    </row>
    <row r="2270" spans="1:1" x14ac:dyDescent="0.2">
      <c r="A2270" s="52"/>
    </row>
    <row r="2271" spans="1:1" x14ac:dyDescent="0.2">
      <c r="A2271" s="52"/>
    </row>
    <row r="2272" spans="1:1" x14ac:dyDescent="0.2">
      <c r="A2272" s="52"/>
    </row>
    <row r="2273" spans="1:1" x14ac:dyDescent="0.2">
      <c r="A2273" s="52"/>
    </row>
    <row r="2274" spans="1:1" x14ac:dyDescent="0.2">
      <c r="A2274" s="52"/>
    </row>
    <row r="2275" spans="1:1" x14ac:dyDescent="0.2">
      <c r="A2275" s="52"/>
    </row>
    <row r="2276" spans="1:1" x14ac:dyDescent="0.2">
      <c r="A2276" s="52"/>
    </row>
    <row r="2277" spans="1:1" x14ac:dyDescent="0.2">
      <c r="A2277" s="52"/>
    </row>
    <row r="2278" spans="1:1" x14ac:dyDescent="0.2">
      <c r="A2278" s="52"/>
    </row>
    <row r="2279" spans="1:1" x14ac:dyDescent="0.2">
      <c r="A2279" s="52"/>
    </row>
    <row r="2280" spans="1:1" x14ac:dyDescent="0.2">
      <c r="A2280" s="52"/>
    </row>
    <row r="2281" spans="1:1" x14ac:dyDescent="0.2">
      <c r="A2281" s="52"/>
    </row>
    <row r="2282" spans="1:1" x14ac:dyDescent="0.2">
      <c r="A2282" s="52"/>
    </row>
    <row r="2283" spans="1:1" x14ac:dyDescent="0.2">
      <c r="A2283" s="52"/>
    </row>
    <row r="2284" spans="1:1" x14ac:dyDescent="0.2">
      <c r="A2284" s="52"/>
    </row>
    <row r="2285" spans="1:1" x14ac:dyDescent="0.2">
      <c r="A2285" s="52"/>
    </row>
    <row r="2286" spans="1:1" x14ac:dyDescent="0.2">
      <c r="A2286" s="52"/>
    </row>
    <row r="2287" spans="1:1" x14ac:dyDescent="0.2">
      <c r="A2287" s="52"/>
    </row>
    <row r="2288" spans="1:1" x14ac:dyDescent="0.2">
      <c r="A2288" s="52"/>
    </row>
    <row r="2289" spans="1:1" x14ac:dyDescent="0.2">
      <c r="A2289" s="52"/>
    </row>
    <row r="2290" spans="1:1" x14ac:dyDescent="0.2">
      <c r="A2290" s="52"/>
    </row>
    <row r="2291" spans="1:1" x14ac:dyDescent="0.2">
      <c r="A2291" s="52"/>
    </row>
    <row r="2292" spans="1:1" x14ac:dyDescent="0.2">
      <c r="A2292" s="52"/>
    </row>
    <row r="2293" spans="1:1" x14ac:dyDescent="0.2">
      <c r="A2293" s="52"/>
    </row>
    <row r="2294" spans="1:1" x14ac:dyDescent="0.2">
      <c r="A2294" s="52"/>
    </row>
    <row r="2295" spans="1:1" x14ac:dyDescent="0.2">
      <c r="A2295" s="52"/>
    </row>
    <row r="2296" spans="1:1" x14ac:dyDescent="0.2">
      <c r="A2296" s="52"/>
    </row>
    <row r="2297" spans="1:1" x14ac:dyDescent="0.2">
      <c r="A2297" s="52"/>
    </row>
    <row r="2298" spans="1:1" x14ac:dyDescent="0.2">
      <c r="A2298" s="52"/>
    </row>
    <row r="2299" spans="1:1" x14ac:dyDescent="0.2">
      <c r="A2299" s="52"/>
    </row>
    <row r="2300" spans="1:1" x14ac:dyDescent="0.2">
      <c r="A2300" s="52"/>
    </row>
    <row r="2301" spans="1:1" x14ac:dyDescent="0.2">
      <c r="A2301" s="52"/>
    </row>
    <row r="2302" spans="1:1" x14ac:dyDescent="0.2">
      <c r="A2302" s="52"/>
    </row>
    <row r="2303" spans="1:1" x14ac:dyDescent="0.2">
      <c r="A2303" s="52"/>
    </row>
    <row r="2304" spans="1:1" x14ac:dyDescent="0.2">
      <c r="A2304" s="52"/>
    </row>
    <row r="2305" spans="1:1" x14ac:dyDescent="0.2">
      <c r="A2305" s="52"/>
    </row>
    <row r="2306" spans="1:1" x14ac:dyDescent="0.2">
      <c r="A2306" s="52"/>
    </row>
    <row r="2307" spans="1:1" x14ac:dyDescent="0.2">
      <c r="A2307" s="52"/>
    </row>
    <row r="2308" spans="1:1" x14ac:dyDescent="0.2">
      <c r="A2308" s="52"/>
    </row>
    <row r="2309" spans="1:1" x14ac:dyDescent="0.2">
      <c r="A2309" s="52"/>
    </row>
    <row r="2310" spans="1:1" x14ac:dyDescent="0.2">
      <c r="A2310" s="52"/>
    </row>
    <row r="2311" spans="1:1" x14ac:dyDescent="0.2">
      <c r="A2311" s="52"/>
    </row>
    <row r="2312" spans="1:1" x14ac:dyDescent="0.2">
      <c r="A2312" s="52"/>
    </row>
    <row r="2313" spans="1:1" x14ac:dyDescent="0.2">
      <c r="A2313" s="52"/>
    </row>
    <row r="2314" spans="1:1" x14ac:dyDescent="0.2">
      <c r="A2314" s="53"/>
    </row>
    <row r="2315" spans="1:1" x14ac:dyDescent="0.2">
      <c r="A2315" s="53"/>
    </row>
    <row r="2316" spans="1:1" x14ac:dyDescent="0.2">
      <c r="A2316" s="52"/>
    </row>
    <row r="2317" spans="1:1" x14ac:dyDescent="0.2">
      <c r="A2317" s="53"/>
    </row>
    <row r="2318" spans="1:1" x14ac:dyDescent="0.2">
      <c r="A2318" s="53"/>
    </row>
    <row r="2319" spans="1:1" x14ac:dyDescent="0.2">
      <c r="A2319" s="52"/>
    </row>
    <row r="2320" spans="1:1" x14ac:dyDescent="0.2">
      <c r="A2320" s="52"/>
    </row>
    <row r="2321" spans="1:1" x14ac:dyDescent="0.2">
      <c r="A2321" s="52"/>
    </row>
    <row r="2322" spans="1:1" x14ac:dyDescent="0.2">
      <c r="A2322" s="52"/>
    </row>
    <row r="2323" spans="1:1" x14ac:dyDescent="0.2">
      <c r="A2323" s="52"/>
    </row>
    <row r="2324" spans="1:1" x14ac:dyDescent="0.2">
      <c r="A2324" s="52"/>
    </row>
    <row r="2325" spans="1:1" x14ac:dyDescent="0.2">
      <c r="A2325" s="52"/>
    </row>
    <row r="2326" spans="1:1" x14ac:dyDescent="0.2">
      <c r="A2326" s="53"/>
    </row>
    <row r="2327" spans="1:1" x14ac:dyDescent="0.2">
      <c r="A2327" s="52"/>
    </row>
    <row r="2328" spans="1:1" x14ac:dyDescent="0.2">
      <c r="A2328" s="52"/>
    </row>
    <row r="2329" spans="1:1" x14ac:dyDescent="0.2">
      <c r="A2329" s="52"/>
    </row>
    <row r="2330" spans="1:1" x14ac:dyDescent="0.2">
      <c r="A2330" s="52"/>
    </row>
    <row r="2331" spans="1:1" x14ac:dyDescent="0.2">
      <c r="A2331" s="53"/>
    </row>
    <row r="2332" spans="1:1" x14ac:dyDescent="0.2">
      <c r="A2332" s="52"/>
    </row>
    <row r="2333" spans="1:1" x14ac:dyDescent="0.2">
      <c r="A2333" s="52"/>
    </row>
    <row r="2334" spans="1:1" x14ac:dyDescent="0.2">
      <c r="A2334" s="52"/>
    </row>
    <row r="2335" spans="1:1" x14ac:dyDescent="0.2">
      <c r="A2335" s="52"/>
    </row>
    <row r="2336" spans="1:1" x14ac:dyDescent="0.2">
      <c r="A2336" s="52"/>
    </row>
    <row r="2337" spans="1:1" x14ac:dyDescent="0.2">
      <c r="A2337" s="53"/>
    </row>
    <row r="2338" spans="1:1" x14ac:dyDescent="0.2">
      <c r="A2338" s="53"/>
    </row>
    <row r="2339" spans="1:1" x14ac:dyDescent="0.2">
      <c r="A2339" s="53"/>
    </row>
    <row r="2340" spans="1:1" x14ac:dyDescent="0.2">
      <c r="A2340" s="52"/>
    </row>
    <row r="2341" spans="1:1" x14ac:dyDescent="0.2">
      <c r="A2341" s="52"/>
    </row>
    <row r="2342" spans="1:1" x14ac:dyDescent="0.2">
      <c r="A2342" s="53"/>
    </row>
    <row r="2343" spans="1:1" x14ac:dyDescent="0.2">
      <c r="A2343" s="52"/>
    </row>
    <row r="2344" spans="1:1" x14ac:dyDescent="0.2">
      <c r="A2344" s="52"/>
    </row>
    <row r="2345" spans="1:1" x14ac:dyDescent="0.2">
      <c r="A2345" s="52"/>
    </row>
    <row r="2346" spans="1:1" x14ac:dyDescent="0.2">
      <c r="A2346" s="52"/>
    </row>
    <row r="2347" spans="1:1" x14ac:dyDescent="0.2">
      <c r="A2347" s="52"/>
    </row>
    <row r="2348" spans="1:1" x14ac:dyDescent="0.2">
      <c r="A2348" s="52"/>
    </row>
    <row r="2349" spans="1:1" x14ac:dyDescent="0.2">
      <c r="A2349" s="52"/>
    </row>
    <row r="2350" spans="1:1" x14ac:dyDescent="0.2">
      <c r="A2350" s="52"/>
    </row>
    <row r="2351" spans="1:1" x14ac:dyDescent="0.2">
      <c r="A2351" s="52"/>
    </row>
    <row r="2352" spans="1:1" x14ac:dyDescent="0.2">
      <c r="A2352" s="53"/>
    </row>
    <row r="2353" spans="1:1" x14ac:dyDescent="0.2">
      <c r="A2353" s="52"/>
    </row>
    <row r="2354" spans="1:1" x14ac:dyDescent="0.2">
      <c r="A2354" s="52"/>
    </row>
    <row r="2355" spans="1:1" x14ac:dyDescent="0.2">
      <c r="A2355" s="52"/>
    </row>
    <row r="2356" spans="1:1" x14ac:dyDescent="0.2">
      <c r="A2356" s="53"/>
    </row>
    <row r="2357" spans="1:1" x14ac:dyDescent="0.2">
      <c r="A2357" s="52"/>
    </row>
    <row r="2358" spans="1:1" x14ac:dyDescent="0.2">
      <c r="A2358" s="52"/>
    </row>
    <row r="2359" spans="1:1" x14ac:dyDescent="0.2">
      <c r="A2359" s="53"/>
    </row>
    <row r="2360" spans="1:1" x14ac:dyDescent="0.2">
      <c r="A2360" s="52"/>
    </row>
    <row r="2361" spans="1:1" x14ac:dyDescent="0.2">
      <c r="A2361" s="53"/>
    </row>
    <row r="2362" spans="1:1" x14ac:dyDescent="0.2">
      <c r="A2362" s="52"/>
    </row>
    <row r="2363" spans="1:1" x14ac:dyDescent="0.2">
      <c r="A2363" s="52"/>
    </row>
    <row r="2364" spans="1:1" x14ac:dyDescent="0.2">
      <c r="A2364" s="52"/>
    </row>
    <row r="2365" spans="1:1" x14ac:dyDescent="0.2">
      <c r="A2365" s="52"/>
    </row>
    <row r="2366" spans="1:1" x14ac:dyDescent="0.2">
      <c r="A2366" s="53"/>
    </row>
    <row r="2367" spans="1:1" x14ac:dyDescent="0.2">
      <c r="A2367" s="52"/>
    </row>
    <row r="2368" spans="1:1" x14ac:dyDescent="0.2">
      <c r="A2368" s="52"/>
    </row>
    <row r="2369" spans="1:1" x14ac:dyDescent="0.2">
      <c r="A2369" s="53"/>
    </row>
    <row r="2370" spans="1:1" x14ac:dyDescent="0.2">
      <c r="A2370" s="52"/>
    </row>
    <row r="2371" spans="1:1" x14ac:dyDescent="0.2">
      <c r="A2371" s="52"/>
    </row>
    <row r="2372" spans="1:1" x14ac:dyDescent="0.2">
      <c r="A2372" s="52"/>
    </row>
    <row r="2373" spans="1:1" x14ac:dyDescent="0.2">
      <c r="A2373" s="52"/>
    </row>
    <row r="2374" spans="1:1" x14ac:dyDescent="0.2">
      <c r="A2374" s="52"/>
    </row>
    <row r="2375" spans="1:1" x14ac:dyDescent="0.2">
      <c r="A2375" s="52"/>
    </row>
    <row r="2376" spans="1:1" x14ac:dyDescent="0.2">
      <c r="A2376" s="52"/>
    </row>
    <row r="2377" spans="1:1" x14ac:dyDescent="0.2">
      <c r="A2377" s="52"/>
    </row>
    <row r="2378" spans="1:1" x14ac:dyDescent="0.2">
      <c r="A2378" s="52"/>
    </row>
    <row r="2379" spans="1:1" x14ac:dyDescent="0.2">
      <c r="A2379" s="52"/>
    </row>
    <row r="2380" spans="1:1" x14ac:dyDescent="0.2">
      <c r="A2380" s="52"/>
    </row>
    <row r="2381" spans="1:1" x14ac:dyDescent="0.2">
      <c r="A2381" s="52"/>
    </row>
    <row r="2382" spans="1:1" x14ac:dyDescent="0.2">
      <c r="A2382" s="52"/>
    </row>
    <row r="2383" spans="1:1" x14ac:dyDescent="0.2">
      <c r="A2383" s="52"/>
    </row>
    <row r="2384" spans="1:1" x14ac:dyDescent="0.2">
      <c r="A2384" s="52"/>
    </row>
    <row r="2385" spans="1:1" x14ac:dyDescent="0.2">
      <c r="A2385" s="52"/>
    </row>
    <row r="2386" spans="1:1" x14ac:dyDescent="0.2">
      <c r="A2386" s="52"/>
    </row>
    <row r="2387" spans="1:1" x14ac:dyDescent="0.2">
      <c r="A2387" s="52"/>
    </row>
    <row r="2388" spans="1:1" x14ac:dyDescent="0.2">
      <c r="A2388" s="52"/>
    </row>
    <row r="2389" spans="1:1" x14ac:dyDescent="0.2">
      <c r="A2389" s="52"/>
    </row>
    <row r="2390" spans="1:1" x14ac:dyDescent="0.2">
      <c r="A2390" s="52"/>
    </row>
    <row r="2391" spans="1:1" x14ac:dyDescent="0.2">
      <c r="A2391" s="52"/>
    </row>
    <row r="2392" spans="1:1" x14ac:dyDescent="0.2">
      <c r="A2392" s="52"/>
    </row>
    <row r="2393" spans="1:1" x14ac:dyDescent="0.2">
      <c r="A2393" s="52"/>
    </row>
    <row r="2394" spans="1:1" x14ac:dyDescent="0.2">
      <c r="A2394" s="52"/>
    </row>
    <row r="2395" spans="1:1" x14ac:dyDescent="0.2">
      <c r="A2395" s="52"/>
    </row>
    <row r="2396" spans="1:1" x14ac:dyDescent="0.2">
      <c r="A2396" s="52"/>
    </row>
    <row r="2397" spans="1:1" x14ac:dyDescent="0.2">
      <c r="A2397" s="52"/>
    </row>
    <row r="2398" spans="1:1" x14ac:dyDescent="0.2">
      <c r="A2398" s="52"/>
    </row>
    <row r="2399" spans="1:1" x14ac:dyDescent="0.2">
      <c r="A2399" s="52"/>
    </row>
    <row r="2400" spans="1:1" x14ac:dyDescent="0.2">
      <c r="A2400" s="52"/>
    </row>
    <row r="2401" spans="1:1" x14ac:dyDescent="0.2">
      <c r="A2401" s="52"/>
    </row>
    <row r="2402" spans="1:1" x14ac:dyDescent="0.2">
      <c r="A2402" s="52"/>
    </row>
    <row r="2403" spans="1:1" x14ac:dyDescent="0.2">
      <c r="A2403" s="52"/>
    </row>
    <row r="2404" spans="1:1" x14ac:dyDescent="0.2">
      <c r="A2404" s="52"/>
    </row>
    <row r="2405" spans="1:1" x14ac:dyDescent="0.2">
      <c r="A2405" s="53"/>
    </row>
    <row r="2406" spans="1:1" x14ac:dyDescent="0.2">
      <c r="A2406" s="52"/>
    </row>
    <row r="2407" spans="1:1" x14ac:dyDescent="0.2">
      <c r="A2407" s="52"/>
    </row>
    <row r="2408" spans="1:1" x14ac:dyDescent="0.2">
      <c r="A2408" s="52"/>
    </row>
    <row r="2409" spans="1:1" x14ac:dyDescent="0.2">
      <c r="A2409" s="52"/>
    </row>
    <row r="2410" spans="1:1" x14ac:dyDescent="0.2">
      <c r="A2410" s="52"/>
    </row>
    <row r="2411" spans="1:1" x14ac:dyDescent="0.2">
      <c r="A2411" s="52"/>
    </row>
    <row r="2412" spans="1:1" x14ac:dyDescent="0.2">
      <c r="A2412" s="52"/>
    </row>
    <row r="2413" spans="1:1" x14ac:dyDescent="0.2">
      <c r="A2413" s="52"/>
    </row>
    <row r="2414" spans="1:1" x14ac:dyDescent="0.2">
      <c r="A2414" s="52"/>
    </row>
    <row r="2415" spans="1:1" x14ac:dyDescent="0.2">
      <c r="A2415" s="52"/>
    </row>
    <row r="2416" spans="1:1" x14ac:dyDescent="0.2">
      <c r="A2416" s="52"/>
    </row>
    <row r="2417" spans="1:1" x14ac:dyDescent="0.2">
      <c r="A2417" s="52"/>
    </row>
    <row r="2418" spans="1:1" x14ac:dyDescent="0.2">
      <c r="A2418" s="52"/>
    </row>
    <row r="2419" spans="1:1" x14ac:dyDescent="0.2">
      <c r="A2419" s="52"/>
    </row>
    <row r="2420" spans="1:1" x14ac:dyDescent="0.2">
      <c r="A2420" s="52"/>
    </row>
    <row r="2421" spans="1:1" x14ac:dyDescent="0.2">
      <c r="A2421" s="53"/>
    </row>
    <row r="2422" spans="1:1" x14ac:dyDescent="0.2">
      <c r="A2422" s="52"/>
    </row>
    <row r="2423" spans="1:1" x14ac:dyDescent="0.2">
      <c r="A2423" s="52"/>
    </row>
    <row r="2424" spans="1:1" x14ac:dyDescent="0.2">
      <c r="A2424" s="52"/>
    </row>
    <row r="2425" spans="1:1" x14ac:dyDescent="0.2">
      <c r="A2425" s="52"/>
    </row>
    <row r="2426" spans="1:1" x14ac:dyDescent="0.2">
      <c r="A2426" s="52"/>
    </row>
    <row r="2427" spans="1:1" x14ac:dyDescent="0.2">
      <c r="A2427" s="52"/>
    </row>
    <row r="2428" spans="1:1" x14ac:dyDescent="0.2">
      <c r="A2428" s="52"/>
    </row>
    <row r="2429" spans="1:1" x14ac:dyDescent="0.2">
      <c r="A2429" s="52"/>
    </row>
    <row r="2430" spans="1:1" x14ac:dyDescent="0.2">
      <c r="A2430" s="52"/>
    </row>
    <row r="2431" spans="1:1" x14ac:dyDescent="0.2">
      <c r="A2431" s="52"/>
    </row>
    <row r="2432" spans="1:1" x14ac:dyDescent="0.2">
      <c r="A2432" s="52"/>
    </row>
    <row r="2433" spans="1:1" x14ac:dyDescent="0.2">
      <c r="A2433" s="52"/>
    </row>
    <row r="2434" spans="1:1" x14ac:dyDescent="0.2">
      <c r="A2434" s="52"/>
    </row>
    <row r="2435" spans="1:1" x14ac:dyDescent="0.2">
      <c r="A2435" s="52"/>
    </row>
    <row r="2436" spans="1:1" x14ac:dyDescent="0.2">
      <c r="A2436" s="52"/>
    </row>
    <row r="2437" spans="1:1" x14ac:dyDescent="0.2">
      <c r="A2437" s="52"/>
    </row>
    <row r="2438" spans="1:1" x14ac:dyDescent="0.2">
      <c r="A2438" s="52"/>
    </row>
    <row r="2439" spans="1:1" x14ac:dyDescent="0.2">
      <c r="A2439" s="52"/>
    </row>
    <row r="2440" spans="1:1" x14ac:dyDescent="0.2">
      <c r="A2440" s="53"/>
    </row>
    <row r="2441" spans="1:1" x14ac:dyDescent="0.2">
      <c r="A2441" s="52"/>
    </row>
    <row r="2442" spans="1:1" x14ac:dyDescent="0.2">
      <c r="A2442" s="52"/>
    </row>
    <row r="2443" spans="1:1" x14ac:dyDescent="0.2">
      <c r="A2443" s="52"/>
    </row>
    <row r="2444" spans="1:1" x14ac:dyDescent="0.2">
      <c r="A2444" s="52"/>
    </row>
    <row r="2445" spans="1:1" x14ac:dyDescent="0.2">
      <c r="A2445" s="52"/>
    </row>
    <row r="2446" spans="1:1" x14ac:dyDescent="0.2">
      <c r="A2446" s="52"/>
    </row>
    <row r="2447" spans="1:1" x14ac:dyDescent="0.2">
      <c r="A2447" s="52"/>
    </row>
    <row r="2448" spans="1:1" x14ac:dyDescent="0.2">
      <c r="A2448" s="52"/>
    </row>
    <row r="2449" spans="1:1" x14ac:dyDescent="0.2">
      <c r="A2449" s="52"/>
    </row>
    <row r="2450" spans="1:1" x14ac:dyDescent="0.2">
      <c r="A2450" s="52"/>
    </row>
    <row r="2451" spans="1:1" x14ac:dyDescent="0.2">
      <c r="A2451" s="52"/>
    </row>
    <row r="2452" spans="1:1" x14ac:dyDescent="0.2">
      <c r="A2452" s="52"/>
    </row>
    <row r="2453" spans="1:1" x14ac:dyDescent="0.2">
      <c r="A2453" s="52"/>
    </row>
    <row r="2454" spans="1:1" x14ac:dyDescent="0.2">
      <c r="A2454" s="52"/>
    </row>
    <row r="2455" spans="1:1" x14ac:dyDescent="0.2">
      <c r="A2455" s="52"/>
    </row>
    <row r="2456" spans="1:1" x14ac:dyDescent="0.2">
      <c r="A2456" s="52"/>
    </row>
    <row r="2457" spans="1:1" x14ac:dyDescent="0.2">
      <c r="A2457" s="52"/>
    </row>
    <row r="2458" spans="1:1" x14ac:dyDescent="0.2">
      <c r="A2458" s="52"/>
    </row>
    <row r="2459" spans="1:1" x14ac:dyDescent="0.2">
      <c r="A2459" s="52"/>
    </row>
    <row r="2460" spans="1:1" x14ac:dyDescent="0.2">
      <c r="A2460" s="52"/>
    </row>
    <row r="2461" spans="1:1" x14ac:dyDescent="0.2">
      <c r="A2461" s="52"/>
    </row>
    <row r="2462" spans="1:1" x14ac:dyDescent="0.2">
      <c r="A2462" s="52"/>
    </row>
    <row r="2463" spans="1:1" x14ac:dyDescent="0.2">
      <c r="A2463" s="52"/>
    </row>
    <row r="2464" spans="1:1" x14ac:dyDescent="0.2">
      <c r="A2464" s="52"/>
    </row>
    <row r="2465" spans="1:1" x14ac:dyDescent="0.2">
      <c r="A2465" s="52"/>
    </row>
    <row r="2466" spans="1:1" x14ac:dyDescent="0.2">
      <c r="A2466" s="52"/>
    </row>
    <row r="2467" spans="1:1" x14ac:dyDescent="0.2">
      <c r="A2467" s="52"/>
    </row>
    <row r="2468" spans="1:1" x14ac:dyDescent="0.2">
      <c r="A2468" s="53"/>
    </row>
    <row r="2469" spans="1:1" x14ac:dyDescent="0.2">
      <c r="A2469" s="53"/>
    </row>
    <row r="2470" spans="1:1" x14ac:dyDescent="0.2">
      <c r="A2470" s="52"/>
    </row>
    <row r="2471" spans="1:1" x14ac:dyDescent="0.2">
      <c r="A2471" s="52"/>
    </row>
    <row r="2472" spans="1:1" x14ac:dyDescent="0.2">
      <c r="A2472" s="53"/>
    </row>
    <row r="2473" spans="1:1" x14ac:dyDescent="0.2">
      <c r="A2473" s="52"/>
    </row>
    <row r="2474" spans="1:1" x14ac:dyDescent="0.2">
      <c r="A2474" s="52"/>
    </row>
    <row r="2475" spans="1:1" x14ac:dyDescent="0.2">
      <c r="A2475" s="52"/>
    </row>
    <row r="2476" spans="1:1" x14ac:dyDescent="0.2">
      <c r="A2476" s="52"/>
    </row>
    <row r="2477" spans="1:1" x14ac:dyDescent="0.2">
      <c r="A2477" s="52"/>
    </row>
    <row r="2478" spans="1:1" x14ac:dyDescent="0.2">
      <c r="A2478" s="52"/>
    </row>
    <row r="2479" spans="1:1" x14ac:dyDescent="0.2">
      <c r="A2479" s="52"/>
    </row>
    <row r="2480" spans="1:1" x14ac:dyDescent="0.2">
      <c r="A2480" s="52"/>
    </row>
    <row r="2481" spans="1:1" x14ac:dyDescent="0.2">
      <c r="A2481" s="52"/>
    </row>
    <row r="2482" spans="1:1" x14ac:dyDescent="0.2">
      <c r="A2482" s="53"/>
    </row>
    <row r="2483" spans="1:1" x14ac:dyDescent="0.2">
      <c r="A2483" s="52"/>
    </row>
    <row r="2484" spans="1:1" x14ac:dyDescent="0.2">
      <c r="A2484" s="52"/>
    </row>
    <row r="2485" spans="1:1" x14ac:dyDescent="0.2">
      <c r="A2485" s="52"/>
    </row>
    <row r="2486" spans="1:1" x14ac:dyDescent="0.2">
      <c r="A2486" s="52"/>
    </row>
    <row r="2487" spans="1:1" x14ac:dyDescent="0.2">
      <c r="A2487" s="52"/>
    </row>
    <row r="2488" spans="1:1" x14ac:dyDescent="0.2">
      <c r="A2488" s="52"/>
    </row>
    <row r="2489" spans="1:1" x14ac:dyDescent="0.2">
      <c r="A2489" s="52"/>
    </row>
    <row r="2490" spans="1:1" x14ac:dyDescent="0.2">
      <c r="A2490" s="52"/>
    </row>
    <row r="2491" spans="1:1" x14ac:dyDescent="0.2">
      <c r="A2491" s="52"/>
    </row>
    <row r="2492" spans="1:1" x14ac:dyDescent="0.2">
      <c r="A2492" s="52"/>
    </row>
    <row r="2493" spans="1:1" x14ac:dyDescent="0.2">
      <c r="A2493" s="52"/>
    </row>
    <row r="2494" spans="1:1" x14ac:dyDescent="0.2">
      <c r="A2494" s="52"/>
    </row>
    <row r="2495" spans="1:1" x14ac:dyDescent="0.2">
      <c r="A2495" s="52"/>
    </row>
    <row r="2496" spans="1:1" x14ac:dyDescent="0.2">
      <c r="A2496" s="52"/>
    </row>
    <row r="2497" spans="1:1" x14ac:dyDescent="0.2">
      <c r="A2497" s="52"/>
    </row>
    <row r="2498" spans="1:1" x14ac:dyDescent="0.2">
      <c r="A2498" s="52"/>
    </row>
    <row r="2499" spans="1:1" x14ac:dyDescent="0.2">
      <c r="A2499" s="52"/>
    </row>
    <row r="2500" spans="1:1" x14ac:dyDescent="0.2">
      <c r="A2500" s="52"/>
    </row>
    <row r="2501" spans="1:1" x14ac:dyDescent="0.2">
      <c r="A2501" s="52"/>
    </row>
    <row r="2502" spans="1:1" x14ac:dyDescent="0.2">
      <c r="A2502" s="52"/>
    </row>
    <row r="2503" spans="1:1" x14ac:dyDescent="0.2">
      <c r="A2503" s="52"/>
    </row>
    <row r="2504" spans="1:1" x14ac:dyDescent="0.2">
      <c r="A2504" s="52"/>
    </row>
    <row r="2505" spans="1:1" x14ac:dyDescent="0.2">
      <c r="A2505" s="53"/>
    </row>
    <row r="2506" spans="1:1" x14ac:dyDescent="0.2">
      <c r="A2506" s="52"/>
    </row>
    <row r="2507" spans="1:1" x14ac:dyDescent="0.2">
      <c r="A2507" s="52"/>
    </row>
    <row r="2508" spans="1:1" x14ac:dyDescent="0.2">
      <c r="A2508" s="52"/>
    </row>
    <row r="2509" spans="1:1" x14ac:dyDescent="0.2">
      <c r="A2509" s="52"/>
    </row>
    <row r="2510" spans="1:1" x14ac:dyDescent="0.2">
      <c r="A2510" s="52"/>
    </row>
    <row r="2511" spans="1:1" x14ac:dyDescent="0.2">
      <c r="A2511" s="52"/>
    </row>
    <row r="2512" spans="1:1" x14ac:dyDescent="0.2">
      <c r="A2512" s="52"/>
    </row>
    <row r="2513" spans="1:1" x14ac:dyDescent="0.2">
      <c r="A2513" s="52"/>
    </row>
    <row r="2514" spans="1:1" x14ac:dyDescent="0.2">
      <c r="A2514" s="52"/>
    </row>
    <row r="2515" spans="1:1" x14ac:dyDescent="0.2">
      <c r="A2515" s="52"/>
    </row>
    <row r="2516" spans="1:1" x14ac:dyDescent="0.2">
      <c r="A2516" s="52"/>
    </row>
    <row r="2517" spans="1:1" x14ac:dyDescent="0.2">
      <c r="A2517" s="52"/>
    </row>
    <row r="2518" spans="1:1" x14ac:dyDescent="0.2">
      <c r="A2518" s="52"/>
    </row>
    <row r="2519" spans="1:1" x14ac:dyDescent="0.2">
      <c r="A2519" s="52"/>
    </row>
    <row r="2520" spans="1:1" x14ac:dyDescent="0.2">
      <c r="A2520" s="52"/>
    </row>
    <row r="2521" spans="1:1" x14ac:dyDescent="0.2">
      <c r="A2521" s="52"/>
    </row>
    <row r="2522" spans="1:1" x14ac:dyDescent="0.2">
      <c r="A2522" s="52"/>
    </row>
    <row r="2523" spans="1:1" x14ac:dyDescent="0.2">
      <c r="A2523" s="52"/>
    </row>
    <row r="2524" spans="1:1" x14ac:dyDescent="0.2">
      <c r="A2524" s="52"/>
    </row>
    <row r="2525" spans="1:1" x14ac:dyDescent="0.2">
      <c r="A2525" s="52"/>
    </row>
    <row r="2526" spans="1:1" x14ac:dyDescent="0.2">
      <c r="A2526" s="52"/>
    </row>
    <row r="2527" spans="1:1" x14ac:dyDescent="0.2">
      <c r="A2527" s="52"/>
    </row>
    <row r="2528" spans="1:1" x14ac:dyDescent="0.2">
      <c r="A2528" s="52"/>
    </row>
    <row r="2529" spans="1:1" x14ac:dyDescent="0.2">
      <c r="A2529" s="52"/>
    </row>
    <row r="2530" spans="1:1" x14ac:dyDescent="0.2">
      <c r="A2530" s="52"/>
    </row>
    <row r="2531" spans="1:1" x14ac:dyDescent="0.2">
      <c r="A2531" s="52"/>
    </row>
    <row r="2532" spans="1:1" x14ac:dyDescent="0.2">
      <c r="A2532" s="52"/>
    </row>
    <row r="2533" spans="1:1" x14ac:dyDescent="0.2">
      <c r="A2533" s="52"/>
    </row>
    <row r="2534" spans="1:1" x14ac:dyDescent="0.2">
      <c r="A2534" s="52"/>
    </row>
    <row r="2535" spans="1:1" x14ac:dyDescent="0.2">
      <c r="A2535" s="52"/>
    </row>
    <row r="2536" spans="1:1" x14ac:dyDescent="0.2">
      <c r="A2536" s="52"/>
    </row>
    <row r="2537" spans="1:1" x14ac:dyDescent="0.2">
      <c r="A2537" s="52"/>
    </row>
    <row r="2538" spans="1:1" x14ac:dyDescent="0.2">
      <c r="A2538" s="52"/>
    </row>
    <row r="2539" spans="1:1" x14ac:dyDescent="0.2">
      <c r="A2539" s="52"/>
    </row>
    <row r="2540" spans="1:1" x14ac:dyDescent="0.2">
      <c r="A2540" s="52"/>
    </row>
    <row r="2541" spans="1:1" x14ac:dyDescent="0.2">
      <c r="A2541" s="52"/>
    </row>
    <row r="2542" spans="1:1" x14ac:dyDescent="0.2">
      <c r="A2542" s="53"/>
    </row>
    <row r="2543" spans="1:1" x14ac:dyDescent="0.2">
      <c r="A2543" s="52"/>
    </row>
    <row r="2544" spans="1:1" x14ac:dyDescent="0.2">
      <c r="A2544" s="52"/>
    </row>
    <row r="2545" spans="1:1" x14ac:dyDescent="0.2">
      <c r="A2545" s="52"/>
    </row>
    <row r="2546" spans="1:1" x14ac:dyDescent="0.2">
      <c r="A2546" s="52"/>
    </row>
    <row r="2547" spans="1:1" x14ac:dyDescent="0.2">
      <c r="A2547" s="52"/>
    </row>
    <row r="2548" spans="1:1" x14ac:dyDescent="0.2">
      <c r="A2548" s="52"/>
    </row>
    <row r="2549" spans="1:1" x14ac:dyDescent="0.2">
      <c r="A2549" s="52"/>
    </row>
    <row r="2550" spans="1:1" x14ac:dyDescent="0.2">
      <c r="A2550" s="52"/>
    </row>
    <row r="2551" spans="1:1" x14ac:dyDescent="0.2">
      <c r="A2551" s="52"/>
    </row>
    <row r="2552" spans="1:1" x14ac:dyDescent="0.2">
      <c r="A2552" s="52"/>
    </row>
    <row r="2553" spans="1:1" x14ac:dyDescent="0.2">
      <c r="A2553" s="52"/>
    </row>
    <row r="2554" spans="1:1" x14ac:dyDescent="0.2">
      <c r="A2554" s="52"/>
    </row>
    <row r="2555" spans="1:1" x14ac:dyDescent="0.2">
      <c r="A2555" s="52"/>
    </row>
    <row r="2556" spans="1:1" x14ac:dyDescent="0.2">
      <c r="A2556" s="52"/>
    </row>
    <row r="2557" spans="1:1" x14ac:dyDescent="0.2">
      <c r="A2557" s="52"/>
    </row>
    <row r="2558" spans="1:1" x14ac:dyDescent="0.2">
      <c r="A2558" s="52"/>
    </row>
    <row r="2559" spans="1:1" x14ac:dyDescent="0.2">
      <c r="A2559" s="52"/>
    </row>
    <row r="2560" spans="1:1" x14ac:dyDescent="0.2">
      <c r="A2560" s="52"/>
    </row>
    <row r="2561" spans="1:1" x14ac:dyDescent="0.2">
      <c r="A2561" s="52"/>
    </row>
    <row r="2562" spans="1:1" x14ac:dyDescent="0.2">
      <c r="A2562" s="52"/>
    </row>
    <row r="2563" spans="1:1" x14ac:dyDescent="0.2">
      <c r="A2563" s="52"/>
    </row>
    <row r="2564" spans="1:1" x14ac:dyDescent="0.2">
      <c r="A2564" s="52"/>
    </row>
    <row r="2565" spans="1:1" x14ac:dyDescent="0.2">
      <c r="A2565" s="52"/>
    </row>
    <row r="2566" spans="1:1" x14ac:dyDescent="0.2">
      <c r="A2566" s="52"/>
    </row>
    <row r="2567" spans="1:1" x14ac:dyDescent="0.2">
      <c r="A2567" s="52"/>
    </row>
    <row r="2568" spans="1:1" x14ac:dyDescent="0.2">
      <c r="A2568" s="52"/>
    </row>
    <row r="2569" spans="1:1" x14ac:dyDescent="0.2">
      <c r="A2569" s="52"/>
    </row>
    <row r="2570" spans="1:1" x14ac:dyDescent="0.2">
      <c r="A2570" s="52"/>
    </row>
    <row r="2571" spans="1:1" x14ac:dyDescent="0.2">
      <c r="A2571" s="52"/>
    </row>
    <row r="2572" spans="1:1" x14ac:dyDescent="0.2">
      <c r="A2572" s="52"/>
    </row>
    <row r="2573" spans="1:1" x14ac:dyDescent="0.2">
      <c r="A2573" s="52"/>
    </row>
    <row r="2574" spans="1:1" x14ac:dyDescent="0.2">
      <c r="A2574" s="52"/>
    </row>
    <row r="2575" spans="1:1" x14ac:dyDescent="0.2">
      <c r="A2575" s="52"/>
    </row>
    <row r="2576" spans="1:1" x14ac:dyDescent="0.2">
      <c r="A2576" s="52"/>
    </row>
    <row r="2577" spans="1:1" x14ac:dyDescent="0.2">
      <c r="A2577" s="52"/>
    </row>
    <row r="2578" spans="1:1" x14ac:dyDescent="0.2">
      <c r="A2578" s="52"/>
    </row>
    <row r="2579" spans="1:1" x14ac:dyDescent="0.2">
      <c r="A2579" s="52"/>
    </row>
    <row r="2580" spans="1:1" x14ac:dyDescent="0.2">
      <c r="A2580" s="52"/>
    </row>
    <row r="2581" spans="1:1" x14ac:dyDescent="0.2">
      <c r="A2581" s="52"/>
    </row>
    <row r="2582" spans="1:1" x14ac:dyDescent="0.2">
      <c r="A2582" s="53"/>
    </row>
    <row r="2583" spans="1:1" x14ac:dyDescent="0.2">
      <c r="A2583" s="52"/>
    </row>
    <row r="2584" spans="1:1" x14ac:dyDescent="0.2">
      <c r="A2584" s="52"/>
    </row>
    <row r="2585" spans="1:1" x14ac:dyDescent="0.2">
      <c r="A2585" s="52"/>
    </row>
    <row r="2586" spans="1:1" x14ac:dyDescent="0.2">
      <c r="A2586" s="52"/>
    </row>
    <row r="2587" spans="1:1" x14ac:dyDescent="0.2">
      <c r="A2587" s="52"/>
    </row>
    <row r="2588" spans="1:1" x14ac:dyDescent="0.2">
      <c r="A2588" s="52"/>
    </row>
    <row r="2589" spans="1:1" x14ac:dyDescent="0.2">
      <c r="A2589" s="52"/>
    </row>
    <row r="2590" spans="1:1" x14ac:dyDescent="0.2">
      <c r="A2590" s="52"/>
    </row>
    <row r="2591" spans="1:1" x14ac:dyDescent="0.2">
      <c r="A2591" s="52"/>
    </row>
    <row r="2592" spans="1:1" x14ac:dyDescent="0.2">
      <c r="A2592" s="52"/>
    </row>
    <row r="2593" spans="1:1" x14ac:dyDescent="0.2">
      <c r="A2593" s="52"/>
    </row>
    <row r="2594" spans="1:1" x14ac:dyDescent="0.2">
      <c r="A2594" s="52"/>
    </row>
    <row r="2595" spans="1:1" x14ac:dyDescent="0.2">
      <c r="A2595" s="52"/>
    </row>
    <row r="2596" spans="1:1" x14ac:dyDescent="0.2">
      <c r="A2596" s="52"/>
    </row>
    <row r="2597" spans="1:1" x14ac:dyDescent="0.2">
      <c r="A2597" s="52"/>
    </row>
    <row r="2598" spans="1:1" x14ac:dyDescent="0.2">
      <c r="A2598" s="52"/>
    </row>
    <row r="2599" spans="1:1" x14ac:dyDescent="0.2">
      <c r="A2599" s="52"/>
    </row>
    <row r="2600" spans="1:1" x14ac:dyDescent="0.2">
      <c r="A2600" s="52"/>
    </row>
    <row r="2601" spans="1:1" x14ac:dyDescent="0.2">
      <c r="A2601" s="52"/>
    </row>
    <row r="2602" spans="1:1" x14ac:dyDescent="0.2">
      <c r="A2602" s="53"/>
    </row>
    <row r="2603" spans="1:1" x14ac:dyDescent="0.2">
      <c r="A2603" s="52"/>
    </row>
    <row r="2604" spans="1:1" x14ac:dyDescent="0.2">
      <c r="A2604" s="52"/>
    </row>
    <row r="2605" spans="1:1" x14ac:dyDescent="0.2">
      <c r="A2605" s="52"/>
    </row>
    <row r="2606" spans="1:1" x14ac:dyDescent="0.2">
      <c r="A2606" s="52"/>
    </row>
    <row r="2607" spans="1:1" x14ac:dyDescent="0.2">
      <c r="A2607" s="52"/>
    </row>
    <row r="2608" spans="1:1" x14ac:dyDescent="0.2">
      <c r="A2608" s="53"/>
    </row>
    <row r="2609" spans="1:1" x14ac:dyDescent="0.2">
      <c r="A2609" s="52"/>
    </row>
    <row r="2610" spans="1:1" x14ac:dyDescent="0.2">
      <c r="A2610" s="52"/>
    </row>
    <row r="2611" spans="1:1" x14ac:dyDescent="0.2">
      <c r="A2611" s="52"/>
    </row>
    <row r="2612" spans="1:1" x14ac:dyDescent="0.2">
      <c r="A2612" s="52"/>
    </row>
    <row r="2613" spans="1:1" x14ac:dyDescent="0.2">
      <c r="A2613" s="52"/>
    </row>
    <row r="2614" spans="1:1" x14ac:dyDescent="0.2">
      <c r="A2614" s="52"/>
    </row>
    <row r="2615" spans="1:1" x14ac:dyDescent="0.2">
      <c r="A2615" s="52"/>
    </row>
    <row r="2616" spans="1:1" x14ac:dyDescent="0.2">
      <c r="A2616" s="52"/>
    </row>
    <row r="2617" spans="1:1" x14ac:dyDescent="0.2">
      <c r="A2617" s="52"/>
    </row>
    <row r="2618" spans="1:1" x14ac:dyDescent="0.2">
      <c r="A2618" s="52"/>
    </row>
    <row r="2619" spans="1:1" x14ac:dyDescent="0.2">
      <c r="A2619" s="52"/>
    </row>
    <row r="2620" spans="1:1" x14ac:dyDescent="0.2">
      <c r="A2620" s="52"/>
    </row>
    <row r="2621" spans="1:1" x14ac:dyDescent="0.2">
      <c r="A2621" s="52"/>
    </row>
    <row r="2622" spans="1:1" x14ac:dyDescent="0.2">
      <c r="A2622" s="52"/>
    </row>
    <row r="2623" spans="1:1" x14ac:dyDescent="0.2">
      <c r="A2623" s="52"/>
    </row>
    <row r="2624" spans="1:1" x14ac:dyDescent="0.2">
      <c r="A2624" s="52"/>
    </row>
    <row r="2625" spans="1:1" x14ac:dyDescent="0.2">
      <c r="A2625" s="52"/>
    </row>
    <row r="2626" spans="1:1" x14ac:dyDescent="0.2">
      <c r="A2626" s="52"/>
    </row>
    <row r="2627" spans="1:1" x14ac:dyDescent="0.2">
      <c r="A2627" s="52"/>
    </row>
    <row r="2628" spans="1:1" x14ac:dyDescent="0.2">
      <c r="A2628" s="52"/>
    </row>
    <row r="2629" spans="1:1" x14ac:dyDescent="0.2">
      <c r="A2629" s="52"/>
    </row>
    <row r="2630" spans="1:1" x14ac:dyDescent="0.2">
      <c r="A2630" s="52"/>
    </row>
    <row r="2631" spans="1:1" x14ac:dyDescent="0.2">
      <c r="A2631" s="52"/>
    </row>
    <row r="2632" spans="1:1" x14ac:dyDescent="0.2">
      <c r="A2632" s="52"/>
    </row>
    <row r="2633" spans="1:1" x14ac:dyDescent="0.2">
      <c r="A2633" s="52"/>
    </row>
    <row r="2634" spans="1:1" x14ac:dyDescent="0.2">
      <c r="A2634" s="53"/>
    </row>
    <row r="2635" spans="1:1" x14ac:dyDescent="0.2">
      <c r="A2635" s="53"/>
    </row>
    <row r="2636" spans="1:1" x14ac:dyDescent="0.2">
      <c r="A2636" s="52"/>
    </row>
    <row r="2637" spans="1:1" x14ac:dyDescent="0.2">
      <c r="A2637" s="52"/>
    </row>
    <row r="2638" spans="1:1" x14ac:dyDescent="0.2">
      <c r="A2638" s="52"/>
    </row>
    <row r="2639" spans="1:1" x14ac:dyDescent="0.2">
      <c r="A2639" s="52"/>
    </row>
    <row r="2640" spans="1:1" x14ac:dyDescent="0.2">
      <c r="A2640" s="53"/>
    </row>
    <row r="2641" spans="1:1" x14ac:dyDescent="0.2">
      <c r="A2641" s="52"/>
    </row>
    <row r="2642" spans="1:1" x14ac:dyDescent="0.2">
      <c r="A2642" s="52"/>
    </row>
    <row r="2643" spans="1:1" x14ac:dyDescent="0.2">
      <c r="A2643" s="52"/>
    </row>
    <row r="2644" spans="1:1" x14ac:dyDescent="0.2">
      <c r="A2644" s="52"/>
    </row>
    <row r="2645" spans="1:1" x14ac:dyDescent="0.2">
      <c r="A2645" s="52"/>
    </row>
    <row r="2646" spans="1:1" x14ac:dyDescent="0.2">
      <c r="A2646" s="52"/>
    </row>
    <row r="2647" spans="1:1" x14ac:dyDescent="0.2">
      <c r="A2647" s="52"/>
    </row>
    <row r="2648" spans="1:1" x14ac:dyDescent="0.2">
      <c r="A2648" s="52"/>
    </row>
    <row r="2649" spans="1:1" x14ac:dyDescent="0.2">
      <c r="A2649" s="52"/>
    </row>
    <row r="2650" spans="1:1" x14ac:dyDescent="0.2">
      <c r="A2650" s="52"/>
    </row>
    <row r="2651" spans="1:1" x14ac:dyDescent="0.2">
      <c r="A2651" s="52"/>
    </row>
    <row r="2652" spans="1:1" x14ac:dyDescent="0.2">
      <c r="A2652" s="52"/>
    </row>
    <row r="2653" spans="1:1" x14ac:dyDescent="0.2">
      <c r="A2653" s="52"/>
    </row>
    <row r="2654" spans="1:1" x14ac:dyDescent="0.2">
      <c r="A2654" s="52"/>
    </row>
    <row r="2655" spans="1:1" x14ac:dyDescent="0.2">
      <c r="A2655" s="52"/>
    </row>
    <row r="2656" spans="1:1" x14ac:dyDescent="0.2">
      <c r="A2656" s="52"/>
    </row>
    <row r="2657" spans="1:1" x14ac:dyDescent="0.2">
      <c r="A2657" s="52"/>
    </row>
    <row r="2658" spans="1:1" x14ac:dyDescent="0.2">
      <c r="A2658" s="52"/>
    </row>
    <row r="2659" spans="1:1" x14ac:dyDescent="0.2">
      <c r="A2659" s="52"/>
    </row>
    <row r="2660" spans="1:1" x14ac:dyDescent="0.2">
      <c r="A2660" s="52"/>
    </row>
    <row r="2661" spans="1:1" x14ac:dyDescent="0.2">
      <c r="A2661" s="52"/>
    </row>
    <row r="2662" spans="1:1" x14ac:dyDescent="0.2">
      <c r="A2662" s="52"/>
    </row>
    <row r="2663" spans="1:1" x14ac:dyDescent="0.2">
      <c r="A2663" s="52"/>
    </row>
    <row r="2664" spans="1:1" x14ac:dyDescent="0.2">
      <c r="A2664" s="52"/>
    </row>
    <row r="2665" spans="1:1" x14ac:dyDescent="0.2">
      <c r="A2665" s="52"/>
    </row>
    <row r="2666" spans="1:1" x14ac:dyDescent="0.2">
      <c r="A2666" s="52"/>
    </row>
    <row r="2667" spans="1:1" x14ac:dyDescent="0.2">
      <c r="A2667" s="52"/>
    </row>
    <row r="2668" spans="1:1" x14ac:dyDescent="0.2">
      <c r="A2668" s="52"/>
    </row>
    <row r="2669" spans="1:1" x14ac:dyDescent="0.2">
      <c r="A2669" s="52"/>
    </row>
    <row r="2670" spans="1:1" x14ac:dyDescent="0.2">
      <c r="A2670" s="52"/>
    </row>
    <row r="2671" spans="1:1" x14ac:dyDescent="0.2">
      <c r="A2671" s="52"/>
    </row>
    <row r="2672" spans="1:1" x14ac:dyDescent="0.2">
      <c r="A2672" s="52"/>
    </row>
    <row r="2673" spans="1:1" x14ac:dyDescent="0.2">
      <c r="A2673" s="53"/>
    </row>
    <row r="2674" spans="1:1" x14ac:dyDescent="0.2">
      <c r="A2674" s="52"/>
    </row>
    <row r="2675" spans="1:1" x14ac:dyDescent="0.2">
      <c r="A2675" s="52"/>
    </row>
    <row r="2676" spans="1:1" x14ac:dyDescent="0.2">
      <c r="A2676" s="52"/>
    </row>
    <row r="2677" spans="1:1" x14ac:dyDescent="0.2">
      <c r="A2677" s="52"/>
    </row>
    <row r="2678" spans="1:1" x14ac:dyDescent="0.2">
      <c r="A2678" s="52"/>
    </row>
    <row r="2679" spans="1:1" x14ac:dyDescent="0.2">
      <c r="A2679" s="52"/>
    </row>
    <row r="2680" spans="1:1" x14ac:dyDescent="0.2">
      <c r="A2680" s="52"/>
    </row>
    <row r="2681" spans="1:1" x14ac:dyDescent="0.2">
      <c r="A2681" s="52"/>
    </row>
    <row r="2682" spans="1:1" x14ac:dyDescent="0.2">
      <c r="A2682" s="52"/>
    </row>
    <row r="2683" spans="1:1" x14ac:dyDescent="0.2">
      <c r="A2683" s="52"/>
    </row>
    <row r="2684" spans="1:1" x14ac:dyDescent="0.2">
      <c r="A2684" s="52"/>
    </row>
    <row r="2685" spans="1:1" x14ac:dyDescent="0.2">
      <c r="A2685" s="52"/>
    </row>
    <row r="2686" spans="1:1" x14ac:dyDescent="0.2">
      <c r="A2686" s="52"/>
    </row>
    <row r="2687" spans="1:1" x14ac:dyDescent="0.2">
      <c r="A2687" s="52"/>
    </row>
    <row r="2688" spans="1:1" x14ac:dyDescent="0.2">
      <c r="A2688" s="52"/>
    </row>
    <row r="2689" spans="1:1" x14ac:dyDescent="0.2">
      <c r="A2689" s="52"/>
    </row>
    <row r="2690" spans="1:1" x14ac:dyDescent="0.2">
      <c r="A2690" s="52"/>
    </row>
    <row r="2691" spans="1:1" x14ac:dyDescent="0.2">
      <c r="A2691" s="53"/>
    </row>
    <row r="2692" spans="1:1" x14ac:dyDescent="0.2">
      <c r="A2692" s="52"/>
    </row>
    <row r="2693" spans="1:1" x14ac:dyDescent="0.2">
      <c r="A2693" s="52"/>
    </row>
    <row r="2694" spans="1:1" x14ac:dyDescent="0.2">
      <c r="A2694" s="52"/>
    </row>
    <row r="2695" spans="1:1" x14ac:dyDescent="0.2">
      <c r="A2695" s="52"/>
    </row>
    <row r="2696" spans="1:1" x14ac:dyDescent="0.2">
      <c r="A2696" s="52"/>
    </row>
    <row r="2697" spans="1:1" x14ac:dyDescent="0.2">
      <c r="A2697" s="52"/>
    </row>
    <row r="2698" spans="1:1" x14ac:dyDescent="0.2">
      <c r="A2698" s="52"/>
    </row>
    <row r="2699" spans="1:1" x14ac:dyDescent="0.2">
      <c r="A2699" s="52"/>
    </row>
    <row r="2700" spans="1:1" x14ac:dyDescent="0.2">
      <c r="A2700" s="52"/>
    </row>
    <row r="2701" spans="1:1" x14ac:dyDescent="0.2">
      <c r="A2701" s="52"/>
    </row>
    <row r="2702" spans="1:1" x14ac:dyDescent="0.2">
      <c r="A2702" s="52"/>
    </row>
    <row r="2703" spans="1:1" x14ac:dyDescent="0.2">
      <c r="A2703" s="52"/>
    </row>
    <row r="2704" spans="1:1" x14ac:dyDescent="0.2">
      <c r="A2704" s="53"/>
    </row>
    <row r="2705" spans="1:1" x14ac:dyDescent="0.2">
      <c r="A2705" s="52"/>
    </row>
    <row r="2706" spans="1:1" x14ac:dyDescent="0.2">
      <c r="A2706" s="52"/>
    </row>
    <row r="2707" spans="1:1" x14ac:dyDescent="0.2">
      <c r="A2707" s="52"/>
    </row>
    <row r="2708" spans="1:1" x14ac:dyDescent="0.2">
      <c r="A2708" s="52"/>
    </row>
    <row r="2709" spans="1:1" x14ac:dyDescent="0.2">
      <c r="A2709" s="52"/>
    </row>
    <row r="2710" spans="1:1" x14ac:dyDescent="0.2">
      <c r="A2710" s="52"/>
    </row>
    <row r="2711" spans="1:1" x14ac:dyDescent="0.2">
      <c r="A2711" s="52"/>
    </row>
    <row r="2712" spans="1:1" x14ac:dyDescent="0.2">
      <c r="A2712" s="52"/>
    </row>
    <row r="2713" spans="1:1" x14ac:dyDescent="0.2">
      <c r="A2713" s="52"/>
    </row>
    <row r="2714" spans="1:1" x14ac:dyDescent="0.2">
      <c r="A2714" s="52"/>
    </row>
    <row r="2715" spans="1:1" x14ac:dyDescent="0.2">
      <c r="A2715" s="52"/>
    </row>
    <row r="2716" spans="1:1" x14ac:dyDescent="0.2">
      <c r="A2716" s="52"/>
    </row>
    <row r="2717" spans="1:1" x14ac:dyDescent="0.2">
      <c r="A2717" s="52"/>
    </row>
    <row r="2718" spans="1:1" x14ac:dyDescent="0.2">
      <c r="A2718" s="52"/>
    </row>
    <row r="2719" spans="1:1" x14ac:dyDescent="0.2">
      <c r="A2719" s="52"/>
    </row>
    <row r="2720" spans="1:1" x14ac:dyDescent="0.2">
      <c r="A2720" s="52"/>
    </row>
    <row r="2721" spans="1:1" x14ac:dyDescent="0.2">
      <c r="A2721" s="52"/>
    </row>
    <row r="2722" spans="1:1" x14ac:dyDescent="0.2">
      <c r="A2722" s="52"/>
    </row>
    <row r="2723" spans="1:1" x14ac:dyDescent="0.2">
      <c r="A2723" s="52"/>
    </row>
    <row r="2724" spans="1:1" x14ac:dyDescent="0.2">
      <c r="A2724" s="52"/>
    </row>
    <row r="2725" spans="1:1" x14ac:dyDescent="0.2">
      <c r="A2725" s="52"/>
    </row>
    <row r="2726" spans="1:1" x14ac:dyDescent="0.2">
      <c r="A2726" s="52"/>
    </row>
    <row r="2727" spans="1:1" x14ac:dyDescent="0.2">
      <c r="A2727" s="52"/>
    </row>
    <row r="2728" spans="1:1" x14ac:dyDescent="0.2">
      <c r="A2728" s="52"/>
    </row>
    <row r="2729" spans="1:1" x14ac:dyDescent="0.2">
      <c r="A2729" s="52"/>
    </row>
    <row r="2730" spans="1:1" x14ac:dyDescent="0.2">
      <c r="A2730" s="52"/>
    </row>
    <row r="2731" spans="1:1" x14ac:dyDescent="0.2">
      <c r="A2731" s="52"/>
    </row>
    <row r="2732" spans="1:1" x14ac:dyDescent="0.2">
      <c r="A2732" s="52"/>
    </row>
    <row r="2733" spans="1:1" x14ac:dyDescent="0.2">
      <c r="A2733" s="52"/>
    </row>
    <row r="2734" spans="1:1" x14ac:dyDescent="0.2">
      <c r="A2734" s="52"/>
    </row>
    <row r="2735" spans="1:1" x14ac:dyDescent="0.2">
      <c r="A2735" s="52"/>
    </row>
    <row r="2736" spans="1:1" x14ac:dyDescent="0.2">
      <c r="A2736" s="52"/>
    </row>
    <row r="2737" spans="1:1" x14ac:dyDescent="0.2">
      <c r="A2737" s="52"/>
    </row>
    <row r="2738" spans="1:1" x14ac:dyDescent="0.2">
      <c r="A2738" s="52"/>
    </row>
    <row r="2739" spans="1:1" x14ac:dyDescent="0.2">
      <c r="A2739" s="52"/>
    </row>
    <row r="2740" spans="1:1" x14ac:dyDescent="0.2">
      <c r="A2740" s="52"/>
    </row>
    <row r="2741" spans="1:1" x14ac:dyDescent="0.2">
      <c r="A2741" s="52"/>
    </row>
    <row r="2742" spans="1:1" x14ac:dyDescent="0.2">
      <c r="A2742" s="53"/>
    </row>
    <row r="2743" spans="1:1" x14ac:dyDescent="0.2">
      <c r="A2743" s="52"/>
    </row>
    <row r="2744" spans="1:1" x14ac:dyDescent="0.2">
      <c r="A2744" s="52"/>
    </row>
    <row r="2745" spans="1:1" x14ac:dyDescent="0.2">
      <c r="A2745" s="52"/>
    </row>
    <row r="2746" spans="1:1" x14ac:dyDescent="0.2">
      <c r="A2746" s="52"/>
    </row>
    <row r="2747" spans="1:1" x14ac:dyDescent="0.2">
      <c r="A2747" s="52"/>
    </row>
    <row r="2748" spans="1:1" x14ac:dyDescent="0.2">
      <c r="A2748" s="52"/>
    </row>
    <row r="2749" spans="1:1" x14ac:dyDescent="0.2">
      <c r="A2749" s="52"/>
    </row>
    <row r="2750" spans="1:1" x14ac:dyDescent="0.2">
      <c r="A2750" s="52"/>
    </row>
    <row r="2751" spans="1:1" x14ac:dyDescent="0.2">
      <c r="A2751" s="52"/>
    </row>
    <row r="2752" spans="1:1" x14ac:dyDescent="0.2">
      <c r="A2752" s="52"/>
    </row>
    <row r="2753" spans="1:1" x14ac:dyDescent="0.2">
      <c r="A2753" s="52"/>
    </row>
    <row r="2754" spans="1:1" x14ac:dyDescent="0.2">
      <c r="A2754" s="52"/>
    </row>
    <row r="2755" spans="1:1" x14ac:dyDescent="0.2">
      <c r="A2755" s="52"/>
    </row>
    <row r="2756" spans="1:1" x14ac:dyDescent="0.2">
      <c r="A2756" s="52"/>
    </row>
    <row r="2757" spans="1:1" x14ac:dyDescent="0.2">
      <c r="A2757" s="53"/>
    </row>
    <row r="2758" spans="1:1" x14ac:dyDescent="0.2">
      <c r="A2758" s="53"/>
    </row>
    <row r="2759" spans="1:1" x14ac:dyDescent="0.2">
      <c r="A2759" s="52"/>
    </row>
    <row r="2760" spans="1:1" x14ac:dyDescent="0.2">
      <c r="A2760" s="52"/>
    </row>
    <row r="2761" spans="1:1" x14ac:dyDescent="0.2">
      <c r="A2761" s="52"/>
    </row>
    <row r="2762" spans="1:1" x14ac:dyDescent="0.2">
      <c r="A2762" s="52"/>
    </row>
    <row r="2763" spans="1:1" x14ac:dyDescent="0.2">
      <c r="A2763" s="52"/>
    </row>
    <row r="2764" spans="1:1" x14ac:dyDescent="0.2">
      <c r="A2764" s="52"/>
    </row>
    <row r="2765" spans="1:1" x14ac:dyDescent="0.2">
      <c r="A2765" s="53"/>
    </row>
    <row r="2766" spans="1:1" x14ac:dyDescent="0.2">
      <c r="A2766" s="52"/>
    </row>
    <row r="2767" spans="1:1" x14ac:dyDescent="0.2">
      <c r="A2767" s="52"/>
    </row>
    <row r="2768" spans="1:1" x14ac:dyDescent="0.2">
      <c r="A2768" s="52"/>
    </row>
    <row r="2769" spans="1:1" x14ac:dyDescent="0.2">
      <c r="A2769" s="52"/>
    </row>
    <row r="2770" spans="1:1" x14ac:dyDescent="0.2">
      <c r="A2770" s="52"/>
    </row>
    <row r="2771" spans="1:1" x14ac:dyDescent="0.2">
      <c r="A2771" s="52"/>
    </row>
    <row r="2772" spans="1:1" x14ac:dyDescent="0.2">
      <c r="A2772" s="52"/>
    </row>
    <row r="2773" spans="1:1" x14ac:dyDescent="0.2">
      <c r="A2773" s="52"/>
    </row>
    <row r="2774" spans="1:1" x14ac:dyDescent="0.2">
      <c r="A2774" s="52"/>
    </row>
    <row r="2775" spans="1:1" x14ac:dyDescent="0.2">
      <c r="A2775" s="52"/>
    </row>
    <row r="2776" spans="1:1" x14ac:dyDescent="0.2">
      <c r="A2776" s="52"/>
    </row>
    <row r="2777" spans="1:1" x14ac:dyDescent="0.2">
      <c r="A2777" s="52"/>
    </row>
    <row r="2778" spans="1:1" x14ac:dyDescent="0.2">
      <c r="A2778" s="52"/>
    </row>
    <row r="2779" spans="1:1" x14ac:dyDescent="0.2">
      <c r="A2779" s="52"/>
    </row>
    <row r="2780" spans="1:1" x14ac:dyDescent="0.2">
      <c r="A2780" s="53"/>
    </row>
    <row r="2781" spans="1:1" x14ac:dyDescent="0.2">
      <c r="A2781" s="52"/>
    </row>
    <row r="2782" spans="1:1" x14ac:dyDescent="0.2">
      <c r="A2782" s="52"/>
    </row>
    <row r="2783" spans="1:1" x14ac:dyDescent="0.2">
      <c r="A2783" s="52"/>
    </row>
    <row r="2784" spans="1:1" x14ac:dyDescent="0.2">
      <c r="A2784" s="52"/>
    </row>
    <row r="2785" spans="1:1" x14ac:dyDescent="0.2">
      <c r="A2785" s="52"/>
    </row>
    <row r="2786" spans="1:1" x14ac:dyDescent="0.2">
      <c r="A2786" s="52"/>
    </row>
    <row r="2787" spans="1:1" x14ac:dyDescent="0.2">
      <c r="A2787" s="52"/>
    </row>
    <row r="2788" spans="1:1" x14ac:dyDescent="0.2">
      <c r="A2788" s="52"/>
    </row>
    <row r="2789" spans="1:1" x14ac:dyDescent="0.2">
      <c r="A2789" s="52"/>
    </row>
    <row r="2790" spans="1:1" x14ac:dyDescent="0.2">
      <c r="A2790" s="52"/>
    </row>
    <row r="2791" spans="1:1" x14ac:dyDescent="0.2">
      <c r="A2791" s="52"/>
    </row>
    <row r="2792" spans="1:1" x14ac:dyDescent="0.2">
      <c r="A2792" s="52"/>
    </row>
    <row r="2793" spans="1:1" x14ac:dyDescent="0.2">
      <c r="A2793" s="52"/>
    </row>
    <row r="2794" spans="1:1" x14ac:dyDescent="0.2">
      <c r="A2794" s="52"/>
    </row>
    <row r="2795" spans="1:1" x14ac:dyDescent="0.2">
      <c r="A2795" s="52"/>
    </row>
    <row r="2796" spans="1:1" x14ac:dyDescent="0.2">
      <c r="A2796" s="52"/>
    </row>
    <row r="2797" spans="1:1" x14ac:dyDescent="0.2">
      <c r="A2797" s="52"/>
    </row>
    <row r="2798" spans="1:1" x14ac:dyDescent="0.2">
      <c r="A2798" s="52"/>
    </row>
    <row r="2799" spans="1:1" x14ac:dyDescent="0.2">
      <c r="A2799" s="52"/>
    </row>
    <row r="2800" spans="1:1" x14ac:dyDescent="0.2">
      <c r="A2800" s="52"/>
    </row>
    <row r="2801" spans="1:1" x14ac:dyDescent="0.2">
      <c r="A2801" s="52"/>
    </row>
    <row r="2802" spans="1:1" x14ac:dyDescent="0.2">
      <c r="A2802" s="52"/>
    </row>
    <row r="2803" spans="1:1" x14ac:dyDescent="0.2">
      <c r="A2803" s="52"/>
    </row>
    <row r="2804" spans="1:1" x14ac:dyDescent="0.2">
      <c r="A2804" s="52"/>
    </row>
    <row r="2805" spans="1:1" x14ac:dyDescent="0.2">
      <c r="A2805" s="52"/>
    </row>
    <row r="2806" spans="1:1" x14ac:dyDescent="0.2">
      <c r="A2806" s="52"/>
    </row>
    <row r="2807" spans="1:1" x14ac:dyDescent="0.2">
      <c r="A2807" s="52"/>
    </row>
    <row r="2808" spans="1:1" x14ac:dyDescent="0.2">
      <c r="A2808" s="52"/>
    </row>
    <row r="2809" spans="1:1" x14ac:dyDescent="0.2">
      <c r="A2809" s="52"/>
    </row>
    <row r="2810" spans="1:1" x14ac:dyDescent="0.2">
      <c r="A2810" s="52"/>
    </row>
    <row r="2811" spans="1:1" x14ac:dyDescent="0.2">
      <c r="A2811" s="52"/>
    </row>
    <row r="2812" spans="1:1" x14ac:dyDescent="0.2">
      <c r="A2812" s="52"/>
    </row>
    <row r="2813" spans="1:1" x14ac:dyDescent="0.2">
      <c r="A2813" s="52"/>
    </row>
    <row r="2814" spans="1:1" x14ac:dyDescent="0.2">
      <c r="A2814" s="52"/>
    </row>
    <row r="2815" spans="1:1" x14ac:dyDescent="0.2">
      <c r="A2815" s="52"/>
    </row>
    <row r="2816" spans="1:1" x14ac:dyDescent="0.2">
      <c r="A2816" s="52"/>
    </row>
    <row r="2817" spans="1:1" x14ac:dyDescent="0.2">
      <c r="A2817" s="52"/>
    </row>
    <row r="2818" spans="1:1" x14ac:dyDescent="0.2">
      <c r="A2818" s="52"/>
    </row>
    <row r="2819" spans="1:1" x14ac:dyDescent="0.2">
      <c r="A2819" s="52"/>
    </row>
    <row r="2820" spans="1:1" x14ac:dyDescent="0.2">
      <c r="A2820" s="52"/>
    </row>
    <row r="2821" spans="1:1" x14ac:dyDescent="0.2">
      <c r="A2821" s="52"/>
    </row>
    <row r="2822" spans="1:1" x14ac:dyDescent="0.2">
      <c r="A2822" s="52"/>
    </row>
    <row r="2823" spans="1:1" x14ac:dyDescent="0.2">
      <c r="A2823" s="52"/>
    </row>
    <row r="2824" spans="1:1" x14ac:dyDescent="0.2">
      <c r="A2824" s="52"/>
    </row>
    <row r="2825" spans="1:1" x14ac:dyDescent="0.2">
      <c r="A2825" s="52"/>
    </row>
    <row r="2826" spans="1:1" x14ac:dyDescent="0.2">
      <c r="A2826" s="52"/>
    </row>
    <row r="2827" spans="1:1" x14ac:dyDescent="0.2">
      <c r="A2827" s="52"/>
    </row>
    <row r="2828" spans="1:1" x14ac:dyDescent="0.2">
      <c r="A2828" s="52"/>
    </row>
    <row r="2829" spans="1:1" x14ac:dyDescent="0.2">
      <c r="A2829" s="52"/>
    </row>
    <row r="2830" spans="1:1" x14ac:dyDescent="0.2">
      <c r="A2830" s="52"/>
    </row>
    <row r="2831" spans="1:1" x14ac:dyDescent="0.2">
      <c r="A2831" s="52"/>
    </row>
    <row r="2832" spans="1:1" x14ac:dyDescent="0.2">
      <c r="A2832" s="52"/>
    </row>
    <row r="2833" spans="1:1" x14ac:dyDescent="0.2">
      <c r="A2833" s="52"/>
    </row>
    <row r="2834" spans="1:1" x14ac:dyDescent="0.2">
      <c r="A2834" s="52"/>
    </row>
    <row r="2835" spans="1:1" x14ac:dyDescent="0.2">
      <c r="A2835" s="53"/>
    </row>
    <row r="2836" spans="1:1" x14ac:dyDescent="0.2">
      <c r="A2836" s="52"/>
    </row>
    <row r="2837" spans="1:1" x14ac:dyDescent="0.2">
      <c r="A2837" s="52"/>
    </row>
    <row r="2838" spans="1:1" x14ac:dyDescent="0.2">
      <c r="A2838" s="52"/>
    </row>
    <row r="2839" spans="1:1" x14ac:dyDescent="0.2">
      <c r="A2839" s="52"/>
    </row>
    <row r="2840" spans="1:1" x14ac:dyDescent="0.2">
      <c r="A2840" s="52"/>
    </row>
    <row r="2841" spans="1:1" x14ac:dyDescent="0.2">
      <c r="A2841" s="52"/>
    </row>
    <row r="2842" spans="1:1" x14ac:dyDescent="0.2">
      <c r="A2842" s="52"/>
    </row>
    <row r="2843" spans="1:1" x14ac:dyDescent="0.2">
      <c r="A2843" s="52"/>
    </row>
    <row r="2844" spans="1:1" x14ac:dyDescent="0.2">
      <c r="A2844" s="53"/>
    </row>
    <row r="2845" spans="1:1" x14ac:dyDescent="0.2">
      <c r="A2845" s="52"/>
    </row>
    <row r="2846" spans="1:1" x14ac:dyDescent="0.2">
      <c r="A2846" s="52"/>
    </row>
    <row r="2847" spans="1:1" x14ac:dyDescent="0.2">
      <c r="A2847" s="52"/>
    </row>
    <row r="2848" spans="1:1" x14ac:dyDescent="0.2">
      <c r="A2848" s="52"/>
    </row>
    <row r="2849" spans="1:1" x14ac:dyDescent="0.2">
      <c r="A2849" s="52"/>
    </row>
    <row r="2850" spans="1:1" x14ac:dyDescent="0.2">
      <c r="A2850" s="52"/>
    </row>
    <row r="2851" spans="1:1" x14ac:dyDescent="0.2">
      <c r="A2851" s="52"/>
    </row>
    <row r="2852" spans="1:1" x14ac:dyDescent="0.2">
      <c r="A2852" s="53"/>
    </row>
    <row r="2853" spans="1:1" x14ac:dyDescent="0.2">
      <c r="A2853" s="52"/>
    </row>
    <row r="2854" spans="1:1" x14ac:dyDescent="0.2">
      <c r="A2854" s="52"/>
    </row>
    <row r="2855" spans="1:1" x14ac:dyDescent="0.2">
      <c r="A2855" s="52"/>
    </row>
    <row r="2856" spans="1:1" x14ac:dyDescent="0.2">
      <c r="A2856" s="52"/>
    </row>
    <row r="2857" spans="1:1" x14ac:dyDescent="0.2">
      <c r="A2857" s="53"/>
    </row>
    <row r="2858" spans="1:1" x14ac:dyDescent="0.2">
      <c r="A2858" s="52"/>
    </row>
    <row r="2859" spans="1:1" x14ac:dyDescent="0.2">
      <c r="A2859" s="52"/>
    </row>
    <row r="2860" spans="1:1" x14ac:dyDescent="0.2">
      <c r="A2860" s="52"/>
    </row>
    <row r="2861" spans="1:1" x14ac:dyDescent="0.2">
      <c r="A2861" s="52"/>
    </row>
    <row r="2862" spans="1:1" x14ac:dyDescent="0.2">
      <c r="A2862" s="53"/>
    </row>
    <row r="2863" spans="1:1" x14ac:dyDescent="0.2">
      <c r="A2863" s="52"/>
    </row>
    <row r="2864" spans="1:1" x14ac:dyDescent="0.2">
      <c r="A2864" s="52"/>
    </row>
    <row r="2865" spans="1:1" x14ac:dyDescent="0.2">
      <c r="A2865" s="52"/>
    </row>
    <row r="2866" spans="1:1" x14ac:dyDescent="0.2">
      <c r="A2866" s="52"/>
    </row>
    <row r="2867" spans="1:1" x14ac:dyDescent="0.2">
      <c r="A2867" s="52"/>
    </row>
    <row r="2868" spans="1:1" x14ac:dyDescent="0.2">
      <c r="A2868" s="52"/>
    </row>
    <row r="2869" spans="1:1" x14ac:dyDescent="0.2">
      <c r="A2869" s="52"/>
    </row>
    <row r="2870" spans="1:1" x14ac:dyDescent="0.2">
      <c r="A2870" s="52"/>
    </row>
    <row r="2871" spans="1:1" x14ac:dyDescent="0.2">
      <c r="A2871" s="52"/>
    </row>
    <row r="2872" spans="1:1" x14ac:dyDescent="0.2">
      <c r="A2872" s="53"/>
    </row>
    <row r="2873" spans="1:1" x14ac:dyDescent="0.2">
      <c r="A2873" s="52"/>
    </row>
    <row r="2874" spans="1:1" x14ac:dyDescent="0.2">
      <c r="A2874" s="52"/>
    </row>
    <row r="2875" spans="1:1" x14ac:dyDescent="0.2">
      <c r="A2875" s="52"/>
    </row>
    <row r="2876" spans="1:1" x14ac:dyDescent="0.2">
      <c r="A2876" s="53"/>
    </row>
    <row r="2877" spans="1:1" x14ac:dyDescent="0.2">
      <c r="A2877" s="52"/>
    </row>
    <row r="2878" spans="1:1" x14ac:dyDescent="0.2">
      <c r="A2878" s="52"/>
    </row>
    <row r="2879" spans="1:1" x14ac:dyDescent="0.2">
      <c r="A2879" s="52"/>
    </row>
    <row r="2880" spans="1:1" x14ac:dyDescent="0.2">
      <c r="A2880" s="52"/>
    </row>
    <row r="2881" spans="1:1" x14ac:dyDescent="0.2">
      <c r="A2881" s="52"/>
    </row>
    <row r="2882" spans="1:1" x14ac:dyDescent="0.2">
      <c r="A2882" s="52"/>
    </row>
    <row r="2883" spans="1:1" x14ac:dyDescent="0.2">
      <c r="A2883" s="52"/>
    </row>
    <row r="2884" spans="1:1" x14ac:dyDescent="0.2">
      <c r="A2884" s="52"/>
    </row>
    <row r="2885" spans="1:1" x14ac:dyDescent="0.2">
      <c r="A2885" s="52"/>
    </row>
    <row r="2886" spans="1:1" x14ac:dyDescent="0.2">
      <c r="A2886" s="52"/>
    </row>
    <row r="2887" spans="1:1" x14ac:dyDescent="0.2">
      <c r="A2887" s="52"/>
    </row>
    <row r="2888" spans="1:1" x14ac:dyDescent="0.2">
      <c r="A2888" s="52"/>
    </row>
    <row r="2889" spans="1:1" x14ac:dyDescent="0.2">
      <c r="A2889" s="52"/>
    </row>
    <row r="2890" spans="1:1" x14ac:dyDescent="0.2">
      <c r="A2890" s="52"/>
    </row>
    <row r="2891" spans="1:1" x14ac:dyDescent="0.2">
      <c r="A2891" s="52"/>
    </row>
    <row r="2892" spans="1:1" x14ac:dyDescent="0.2">
      <c r="A2892" s="52"/>
    </row>
    <row r="2893" spans="1:1" x14ac:dyDescent="0.2">
      <c r="A2893" s="52"/>
    </row>
    <row r="2894" spans="1:1" x14ac:dyDescent="0.2">
      <c r="A2894" s="52"/>
    </row>
    <row r="2895" spans="1:1" x14ac:dyDescent="0.2">
      <c r="A2895" s="52"/>
    </row>
    <row r="2896" spans="1:1" x14ac:dyDescent="0.2">
      <c r="A2896" s="52"/>
    </row>
    <row r="2897" spans="1:1" x14ac:dyDescent="0.2">
      <c r="A2897" s="52"/>
    </row>
    <row r="2898" spans="1:1" x14ac:dyDescent="0.2">
      <c r="A2898" s="52"/>
    </row>
    <row r="2899" spans="1:1" x14ac:dyDescent="0.2">
      <c r="A2899" s="52"/>
    </row>
    <row r="2900" spans="1:1" x14ac:dyDescent="0.2">
      <c r="A2900" s="52"/>
    </row>
    <row r="2901" spans="1:1" x14ac:dyDescent="0.2">
      <c r="A2901" s="53"/>
    </row>
    <row r="2902" spans="1:1" x14ac:dyDescent="0.2">
      <c r="A2902" s="52"/>
    </row>
    <row r="2903" spans="1:1" x14ac:dyDescent="0.2">
      <c r="A2903" s="52"/>
    </row>
    <row r="2904" spans="1:1" x14ac:dyDescent="0.2">
      <c r="A2904" s="52"/>
    </row>
    <row r="2905" spans="1:1" x14ac:dyDescent="0.2">
      <c r="A2905" s="52"/>
    </row>
    <row r="2906" spans="1:1" x14ac:dyDescent="0.2">
      <c r="A2906" s="52"/>
    </row>
    <row r="2907" spans="1:1" x14ac:dyDescent="0.2">
      <c r="A2907" s="52"/>
    </row>
    <row r="2908" spans="1:1" x14ac:dyDescent="0.2">
      <c r="A2908" s="52"/>
    </row>
    <row r="2909" spans="1:1" x14ac:dyDescent="0.2">
      <c r="A2909" s="52"/>
    </row>
    <row r="2910" spans="1:1" x14ac:dyDescent="0.2">
      <c r="A2910" s="52"/>
    </row>
    <row r="2911" spans="1:1" x14ac:dyDescent="0.2">
      <c r="A2911" s="52"/>
    </row>
    <row r="2912" spans="1:1" x14ac:dyDescent="0.2">
      <c r="A2912" s="52"/>
    </row>
    <row r="2913" spans="1:1" x14ac:dyDescent="0.2">
      <c r="A2913" s="52"/>
    </row>
    <row r="2914" spans="1:1" x14ac:dyDescent="0.2">
      <c r="A2914" s="52"/>
    </row>
    <row r="2915" spans="1:1" x14ac:dyDescent="0.2">
      <c r="A2915" s="52"/>
    </row>
    <row r="2916" spans="1:1" x14ac:dyDescent="0.2">
      <c r="A2916" s="52"/>
    </row>
    <row r="2917" spans="1:1" x14ac:dyDescent="0.2">
      <c r="A2917" s="52"/>
    </row>
    <row r="2918" spans="1:1" x14ac:dyDescent="0.2">
      <c r="A2918" s="52"/>
    </row>
    <row r="2919" spans="1:1" x14ac:dyDescent="0.2">
      <c r="A2919" s="52"/>
    </row>
    <row r="2920" spans="1:1" x14ac:dyDescent="0.2">
      <c r="A2920" s="52"/>
    </row>
    <row r="2921" spans="1:1" x14ac:dyDescent="0.2">
      <c r="A2921" s="53"/>
    </row>
    <row r="2922" spans="1:1" x14ac:dyDescent="0.2">
      <c r="A2922" s="52"/>
    </row>
    <row r="2923" spans="1:1" x14ac:dyDescent="0.2">
      <c r="A2923" s="52"/>
    </row>
    <row r="2924" spans="1:1" x14ac:dyDescent="0.2">
      <c r="A2924" s="52"/>
    </row>
    <row r="2925" spans="1:1" x14ac:dyDescent="0.2">
      <c r="A2925" s="52"/>
    </row>
    <row r="2926" spans="1:1" x14ac:dyDescent="0.2">
      <c r="A2926" s="52"/>
    </row>
    <row r="2927" spans="1:1" x14ac:dyDescent="0.2">
      <c r="A2927" s="52"/>
    </row>
    <row r="2928" spans="1:1" x14ac:dyDescent="0.2">
      <c r="A2928" s="52"/>
    </row>
    <row r="2929" spans="1:1" x14ac:dyDescent="0.2">
      <c r="A2929" s="52"/>
    </row>
    <row r="2930" spans="1:1" x14ac:dyDescent="0.2">
      <c r="A2930" s="52"/>
    </row>
    <row r="2931" spans="1:1" x14ac:dyDescent="0.2">
      <c r="A2931" s="52"/>
    </row>
    <row r="2932" spans="1:1" x14ac:dyDescent="0.2">
      <c r="A2932" s="52"/>
    </row>
    <row r="2933" spans="1:1" x14ac:dyDescent="0.2">
      <c r="A2933" s="52"/>
    </row>
    <row r="2934" spans="1:1" x14ac:dyDescent="0.2">
      <c r="A2934" s="52"/>
    </row>
    <row r="2935" spans="1:1" x14ac:dyDescent="0.2">
      <c r="A2935" s="52"/>
    </row>
    <row r="2936" spans="1:1" x14ac:dyDescent="0.2">
      <c r="A2936" s="52"/>
    </row>
    <row r="2937" spans="1:1" x14ac:dyDescent="0.2">
      <c r="A2937" s="52"/>
    </row>
    <row r="2938" spans="1:1" x14ac:dyDescent="0.2">
      <c r="A2938" s="52"/>
    </row>
    <row r="2939" spans="1:1" x14ac:dyDescent="0.2">
      <c r="A2939" s="52"/>
    </row>
    <row r="2940" spans="1:1" x14ac:dyDescent="0.2">
      <c r="A2940" s="52"/>
    </row>
    <row r="2941" spans="1:1" x14ac:dyDescent="0.2">
      <c r="A2941" s="52"/>
    </row>
    <row r="2942" spans="1:1" x14ac:dyDescent="0.2">
      <c r="A2942" s="52"/>
    </row>
    <row r="2943" spans="1:1" x14ac:dyDescent="0.2">
      <c r="A2943" s="52"/>
    </row>
    <row r="2944" spans="1:1" x14ac:dyDescent="0.2">
      <c r="A2944" s="52"/>
    </row>
    <row r="2945" spans="1:1" x14ac:dyDescent="0.2">
      <c r="A2945" s="52"/>
    </row>
    <row r="2946" spans="1:1" x14ac:dyDescent="0.2">
      <c r="A2946" s="52"/>
    </row>
    <row r="2947" spans="1:1" x14ac:dyDescent="0.2">
      <c r="A2947" s="52"/>
    </row>
    <row r="2948" spans="1:1" x14ac:dyDescent="0.2">
      <c r="A2948" s="53"/>
    </row>
    <row r="2949" spans="1:1" x14ac:dyDescent="0.2">
      <c r="A2949" s="52"/>
    </row>
    <row r="2950" spans="1:1" x14ac:dyDescent="0.2">
      <c r="A2950" s="52"/>
    </row>
    <row r="2951" spans="1:1" x14ac:dyDescent="0.2">
      <c r="A2951" s="52"/>
    </row>
    <row r="2952" spans="1:1" x14ac:dyDescent="0.2">
      <c r="A2952" s="52"/>
    </row>
    <row r="2953" spans="1:1" x14ac:dyDescent="0.2">
      <c r="A2953" s="52"/>
    </row>
    <row r="2954" spans="1:1" x14ac:dyDescent="0.2">
      <c r="A2954" s="52"/>
    </row>
    <row r="2955" spans="1:1" x14ac:dyDescent="0.2">
      <c r="A2955" s="52"/>
    </row>
    <row r="2956" spans="1:1" x14ac:dyDescent="0.2">
      <c r="A2956" s="52"/>
    </row>
    <row r="2957" spans="1:1" x14ac:dyDescent="0.2">
      <c r="A2957" s="52"/>
    </row>
    <row r="2958" spans="1:1" x14ac:dyDescent="0.2">
      <c r="A2958" s="52"/>
    </row>
    <row r="2959" spans="1:1" x14ac:dyDescent="0.2">
      <c r="A2959" s="52"/>
    </row>
    <row r="2960" spans="1:1" x14ac:dyDescent="0.2">
      <c r="A2960" s="52"/>
    </row>
    <row r="2961" spans="1:1" x14ac:dyDescent="0.2">
      <c r="A2961" s="52"/>
    </row>
    <row r="2962" spans="1:1" x14ac:dyDescent="0.2">
      <c r="A2962" s="52"/>
    </row>
    <row r="2963" spans="1:1" x14ac:dyDescent="0.2">
      <c r="A2963" s="52"/>
    </row>
    <row r="2964" spans="1:1" x14ac:dyDescent="0.2">
      <c r="A2964" s="52"/>
    </row>
    <row r="2965" spans="1:1" x14ac:dyDescent="0.2">
      <c r="A2965" s="52"/>
    </row>
    <row r="2966" spans="1:1" x14ac:dyDescent="0.2">
      <c r="A2966" s="52"/>
    </row>
    <row r="2967" spans="1:1" x14ac:dyDescent="0.2">
      <c r="A2967" s="52"/>
    </row>
    <row r="2968" spans="1:1" x14ac:dyDescent="0.2">
      <c r="A2968" s="52"/>
    </row>
    <row r="2969" spans="1:1" x14ac:dyDescent="0.2">
      <c r="A2969" s="52"/>
    </row>
    <row r="2970" spans="1:1" x14ac:dyDescent="0.2">
      <c r="A2970" s="52"/>
    </row>
    <row r="2971" spans="1:1" x14ac:dyDescent="0.2">
      <c r="A2971" s="52"/>
    </row>
    <row r="2972" spans="1:1" x14ac:dyDescent="0.2">
      <c r="A2972" s="52"/>
    </row>
    <row r="2973" spans="1:1" x14ac:dyDescent="0.2">
      <c r="A2973" s="52"/>
    </row>
    <row r="2974" spans="1:1" x14ac:dyDescent="0.2">
      <c r="A2974" s="52"/>
    </row>
    <row r="2975" spans="1:1" x14ac:dyDescent="0.2">
      <c r="A2975" s="52"/>
    </row>
    <row r="2976" spans="1:1" x14ac:dyDescent="0.2">
      <c r="A2976" s="52"/>
    </row>
    <row r="2977" spans="1:1" x14ac:dyDescent="0.2">
      <c r="A2977" s="52"/>
    </row>
    <row r="2978" spans="1:1" x14ac:dyDescent="0.2">
      <c r="A2978" s="52"/>
    </row>
    <row r="2979" spans="1:1" x14ac:dyDescent="0.2">
      <c r="A2979" s="52"/>
    </row>
    <row r="2980" spans="1:1" x14ac:dyDescent="0.2">
      <c r="A2980" s="52"/>
    </row>
    <row r="2981" spans="1:1" x14ac:dyDescent="0.2">
      <c r="A2981" s="52"/>
    </row>
    <row r="2982" spans="1:1" x14ac:dyDescent="0.2">
      <c r="A2982" s="52"/>
    </row>
    <row r="2983" spans="1:1" x14ac:dyDescent="0.2">
      <c r="A2983" s="52"/>
    </row>
    <row r="2984" spans="1:1" x14ac:dyDescent="0.2">
      <c r="A2984" s="52"/>
    </row>
    <row r="2985" spans="1:1" x14ac:dyDescent="0.2">
      <c r="A2985" s="52"/>
    </row>
    <row r="2986" spans="1:1" x14ac:dyDescent="0.2">
      <c r="A2986" s="52"/>
    </row>
    <row r="2987" spans="1:1" x14ac:dyDescent="0.2">
      <c r="A2987" s="52"/>
    </row>
    <row r="2988" spans="1:1" x14ac:dyDescent="0.2">
      <c r="A2988" s="52"/>
    </row>
    <row r="2989" spans="1:1" x14ac:dyDescent="0.2">
      <c r="A2989" s="52"/>
    </row>
    <row r="2990" spans="1:1" x14ac:dyDescent="0.2">
      <c r="A2990" s="52"/>
    </row>
    <row r="2991" spans="1:1" x14ac:dyDescent="0.2">
      <c r="A2991" s="52"/>
    </row>
    <row r="2992" spans="1:1" x14ac:dyDescent="0.2">
      <c r="A2992" s="53"/>
    </row>
    <row r="2993" spans="1:1" x14ac:dyDescent="0.2">
      <c r="A2993" s="53"/>
    </row>
    <row r="2994" spans="1:1" x14ac:dyDescent="0.2">
      <c r="A2994" s="53"/>
    </row>
    <row r="2995" spans="1:1" x14ac:dyDescent="0.2">
      <c r="A2995" s="52"/>
    </row>
    <row r="2996" spans="1:1" x14ac:dyDescent="0.2">
      <c r="A2996" s="53"/>
    </row>
    <row r="2997" spans="1:1" x14ac:dyDescent="0.2">
      <c r="A2997" s="53"/>
    </row>
    <row r="2998" spans="1:1" x14ac:dyDescent="0.2">
      <c r="A2998" s="52"/>
    </row>
    <row r="2999" spans="1:1" x14ac:dyDescent="0.2">
      <c r="A2999" s="52"/>
    </row>
    <row r="3000" spans="1:1" x14ac:dyDescent="0.2">
      <c r="A3000" s="52"/>
    </row>
    <row r="3001" spans="1:1" x14ac:dyDescent="0.2">
      <c r="A3001" s="52"/>
    </row>
    <row r="3002" spans="1:1" x14ac:dyDescent="0.2">
      <c r="A3002" s="52"/>
    </row>
    <row r="3003" spans="1:1" x14ac:dyDescent="0.2">
      <c r="A3003" s="52"/>
    </row>
    <row r="3004" spans="1:1" x14ac:dyDescent="0.2">
      <c r="A3004" s="52"/>
    </row>
    <row r="3005" spans="1:1" x14ac:dyDescent="0.2">
      <c r="A3005" s="52"/>
    </row>
    <row r="3006" spans="1:1" x14ac:dyDescent="0.2">
      <c r="A3006" s="52"/>
    </row>
    <row r="3007" spans="1:1" x14ac:dyDescent="0.2">
      <c r="A3007" s="52"/>
    </row>
    <row r="3008" spans="1:1" x14ac:dyDescent="0.2">
      <c r="A3008" s="52"/>
    </row>
    <row r="3009" spans="1:1" x14ac:dyDescent="0.2">
      <c r="A3009" s="52"/>
    </row>
    <row r="3010" spans="1:1" x14ac:dyDescent="0.2">
      <c r="A3010" s="52"/>
    </row>
    <row r="3011" spans="1:1" x14ac:dyDescent="0.2">
      <c r="A3011" s="52"/>
    </row>
    <row r="3012" spans="1:1" x14ac:dyDescent="0.2">
      <c r="A3012" s="52"/>
    </row>
    <row r="3013" spans="1:1" x14ac:dyDescent="0.2">
      <c r="A3013" s="52"/>
    </row>
    <row r="3014" spans="1:1" x14ac:dyDescent="0.2">
      <c r="A3014" s="52"/>
    </row>
    <row r="3015" spans="1:1" x14ac:dyDescent="0.2">
      <c r="A3015" s="52"/>
    </row>
    <row r="3016" spans="1:1" x14ac:dyDescent="0.2">
      <c r="A3016" s="52"/>
    </row>
    <row r="3017" spans="1:1" x14ac:dyDescent="0.2">
      <c r="A3017" s="52"/>
    </row>
    <row r="3018" spans="1:1" x14ac:dyDescent="0.2">
      <c r="A3018" s="52"/>
    </row>
    <row r="3019" spans="1:1" x14ac:dyDescent="0.2">
      <c r="A3019" s="52"/>
    </row>
    <row r="3020" spans="1:1" x14ac:dyDescent="0.2">
      <c r="A3020" s="52"/>
    </row>
    <row r="3021" spans="1:1" x14ac:dyDescent="0.2">
      <c r="A3021" s="52"/>
    </row>
    <row r="3022" spans="1:1" x14ac:dyDescent="0.2">
      <c r="A3022" s="53"/>
    </row>
    <row r="3023" spans="1:1" x14ac:dyDescent="0.2">
      <c r="A3023" s="52"/>
    </row>
    <row r="3024" spans="1:1" x14ac:dyDescent="0.2">
      <c r="A3024" s="52"/>
    </row>
    <row r="3025" spans="1:1" x14ac:dyDescent="0.2">
      <c r="A3025" s="52"/>
    </row>
    <row r="3026" spans="1:1" x14ac:dyDescent="0.2">
      <c r="A3026" s="52"/>
    </row>
    <row r="3027" spans="1:1" x14ac:dyDescent="0.2">
      <c r="A3027" s="52"/>
    </row>
    <row r="3028" spans="1:1" x14ac:dyDescent="0.2">
      <c r="A3028" s="52"/>
    </row>
    <row r="3029" spans="1:1" x14ac:dyDescent="0.2">
      <c r="A3029" s="52"/>
    </row>
    <row r="3030" spans="1:1" x14ac:dyDescent="0.2">
      <c r="A3030" s="52"/>
    </row>
    <row r="3031" spans="1:1" x14ac:dyDescent="0.2">
      <c r="A3031" s="52"/>
    </row>
    <row r="3032" spans="1:1" x14ac:dyDescent="0.2">
      <c r="A3032" s="52"/>
    </row>
    <row r="3033" spans="1:1" x14ac:dyDescent="0.2">
      <c r="A3033" s="52"/>
    </row>
    <row r="3034" spans="1:1" x14ac:dyDescent="0.2">
      <c r="A3034" s="52"/>
    </row>
    <row r="3035" spans="1:1" x14ac:dyDescent="0.2">
      <c r="A3035" s="52"/>
    </row>
    <row r="3036" spans="1:1" x14ac:dyDescent="0.2">
      <c r="A3036" s="52"/>
    </row>
    <row r="3037" spans="1:1" x14ac:dyDescent="0.2">
      <c r="A3037" s="52"/>
    </row>
    <row r="3038" spans="1:1" x14ac:dyDescent="0.2">
      <c r="A3038" s="52"/>
    </row>
    <row r="3039" spans="1:1" x14ac:dyDescent="0.2">
      <c r="A3039" s="52"/>
    </row>
    <row r="3040" spans="1:1" x14ac:dyDescent="0.2">
      <c r="A3040" s="52"/>
    </row>
    <row r="3041" spans="1:1" x14ac:dyDescent="0.2">
      <c r="A3041" s="52"/>
    </row>
    <row r="3042" spans="1:1" x14ac:dyDescent="0.2">
      <c r="A3042" s="52"/>
    </row>
    <row r="3043" spans="1:1" x14ac:dyDescent="0.2">
      <c r="A3043" s="52"/>
    </row>
    <row r="3044" spans="1:1" x14ac:dyDescent="0.2">
      <c r="A3044" s="52"/>
    </row>
    <row r="3045" spans="1:1" x14ac:dyDescent="0.2">
      <c r="A3045" s="52"/>
    </row>
    <row r="3046" spans="1:1" x14ac:dyDescent="0.2">
      <c r="A3046" s="52"/>
    </row>
    <row r="3047" spans="1:1" x14ac:dyDescent="0.2">
      <c r="A3047" s="52"/>
    </row>
    <row r="3048" spans="1:1" x14ac:dyDescent="0.2">
      <c r="A3048" s="52"/>
    </row>
    <row r="3049" spans="1:1" x14ac:dyDescent="0.2">
      <c r="A3049" s="52"/>
    </row>
    <row r="3050" spans="1:1" x14ac:dyDescent="0.2">
      <c r="A3050" s="52"/>
    </row>
    <row r="3051" spans="1:1" x14ac:dyDescent="0.2">
      <c r="A3051" s="53"/>
    </row>
    <row r="3052" spans="1:1" x14ac:dyDescent="0.2">
      <c r="A3052" s="52"/>
    </row>
    <row r="3053" spans="1:1" x14ac:dyDescent="0.2">
      <c r="A3053" s="52"/>
    </row>
    <row r="3054" spans="1:1" x14ac:dyDescent="0.2">
      <c r="A3054" s="52"/>
    </row>
    <row r="3055" spans="1:1" x14ac:dyDescent="0.2">
      <c r="A3055" s="52"/>
    </row>
    <row r="3056" spans="1:1" x14ac:dyDescent="0.2">
      <c r="A3056" s="52"/>
    </row>
    <row r="3057" spans="1:1" x14ac:dyDescent="0.2">
      <c r="A3057" s="52"/>
    </row>
    <row r="3058" spans="1:1" x14ac:dyDescent="0.2">
      <c r="A3058" s="52"/>
    </row>
    <row r="3059" spans="1:1" x14ac:dyDescent="0.2">
      <c r="A3059" s="52"/>
    </row>
    <row r="3060" spans="1:1" x14ac:dyDescent="0.2">
      <c r="A3060" s="52"/>
    </row>
    <row r="3061" spans="1:1" x14ac:dyDescent="0.2">
      <c r="A3061" s="52"/>
    </row>
    <row r="3062" spans="1:1" x14ac:dyDescent="0.2">
      <c r="A3062" s="52"/>
    </row>
    <row r="3063" spans="1:1" x14ac:dyDescent="0.2">
      <c r="A3063" s="52"/>
    </row>
    <row r="3064" spans="1:1" x14ac:dyDescent="0.2">
      <c r="A3064" s="52"/>
    </row>
    <row r="3065" spans="1:1" x14ac:dyDescent="0.2">
      <c r="A3065" s="52"/>
    </row>
    <row r="3066" spans="1:1" x14ac:dyDescent="0.2">
      <c r="A3066" s="52"/>
    </row>
    <row r="3067" spans="1:1" x14ac:dyDescent="0.2">
      <c r="A3067" s="52"/>
    </row>
    <row r="3068" spans="1:1" x14ac:dyDescent="0.2">
      <c r="A3068" s="52"/>
    </row>
    <row r="3069" spans="1:1" x14ac:dyDescent="0.2">
      <c r="A3069" s="52"/>
    </row>
    <row r="3070" spans="1:1" x14ac:dyDescent="0.2">
      <c r="A3070" s="52"/>
    </row>
    <row r="3071" spans="1:1" x14ac:dyDescent="0.2">
      <c r="A3071" s="52"/>
    </row>
    <row r="3072" spans="1:1" x14ac:dyDescent="0.2">
      <c r="A3072" s="52"/>
    </row>
    <row r="3073" spans="1:1" x14ac:dyDescent="0.2">
      <c r="A3073" s="53"/>
    </row>
    <row r="3074" spans="1:1" x14ac:dyDescent="0.2">
      <c r="A3074" s="52"/>
    </row>
    <row r="3075" spans="1:1" x14ac:dyDescent="0.2">
      <c r="A3075" s="52"/>
    </row>
    <row r="3076" spans="1:1" x14ac:dyDescent="0.2">
      <c r="A3076" s="53"/>
    </row>
    <row r="3077" spans="1:1" x14ac:dyDescent="0.2">
      <c r="A3077" s="52"/>
    </row>
    <row r="3078" spans="1:1" x14ac:dyDescent="0.2">
      <c r="A3078" s="52"/>
    </row>
    <row r="3079" spans="1:1" x14ac:dyDescent="0.2">
      <c r="A3079" s="52"/>
    </row>
    <row r="3080" spans="1:1" x14ac:dyDescent="0.2">
      <c r="A3080" s="52"/>
    </row>
    <row r="3081" spans="1:1" x14ac:dyDescent="0.2">
      <c r="A3081" s="52"/>
    </row>
    <row r="3082" spans="1:1" x14ac:dyDescent="0.2">
      <c r="A3082" s="52"/>
    </row>
    <row r="3083" spans="1:1" x14ac:dyDescent="0.2">
      <c r="A3083" s="52"/>
    </row>
    <row r="3084" spans="1:1" x14ac:dyDescent="0.2">
      <c r="A3084" s="52"/>
    </row>
    <row r="3085" spans="1:1" x14ac:dyDescent="0.2">
      <c r="A3085" s="52"/>
    </row>
    <row r="3086" spans="1:1" x14ac:dyDescent="0.2">
      <c r="A3086" s="52"/>
    </row>
    <row r="3087" spans="1:1" x14ac:dyDescent="0.2">
      <c r="A3087" s="52"/>
    </row>
    <row r="3088" spans="1:1" x14ac:dyDescent="0.2">
      <c r="A3088" s="52"/>
    </row>
    <row r="3089" spans="1:1" x14ac:dyDescent="0.2">
      <c r="A3089" s="52"/>
    </row>
    <row r="3090" spans="1:1" x14ac:dyDescent="0.2">
      <c r="A3090" s="52"/>
    </row>
    <row r="3091" spans="1:1" x14ac:dyDescent="0.2">
      <c r="A3091" s="52"/>
    </row>
    <row r="3092" spans="1:1" x14ac:dyDescent="0.2">
      <c r="A3092" s="52"/>
    </row>
    <row r="3093" spans="1:1" x14ac:dyDescent="0.2">
      <c r="A3093" s="52"/>
    </row>
    <row r="3094" spans="1:1" x14ac:dyDescent="0.2">
      <c r="A3094" s="52"/>
    </row>
    <row r="3095" spans="1:1" x14ac:dyDescent="0.2">
      <c r="A3095" s="52"/>
    </row>
    <row r="3096" spans="1:1" x14ac:dyDescent="0.2">
      <c r="A3096" s="52"/>
    </row>
    <row r="3097" spans="1:1" x14ac:dyDescent="0.2">
      <c r="A3097" s="52"/>
    </row>
    <row r="3098" spans="1:1" x14ac:dyDescent="0.2">
      <c r="A3098" s="52"/>
    </row>
    <row r="3099" spans="1:1" x14ac:dyDescent="0.2">
      <c r="A3099" s="52"/>
    </row>
    <row r="3100" spans="1:1" x14ac:dyDescent="0.2">
      <c r="A3100" s="52"/>
    </row>
    <row r="3101" spans="1:1" x14ac:dyDescent="0.2">
      <c r="A3101" s="52"/>
    </row>
    <row r="3102" spans="1:1" x14ac:dyDescent="0.2">
      <c r="A3102" s="52"/>
    </row>
    <row r="3103" spans="1:1" x14ac:dyDescent="0.2">
      <c r="A3103" s="52"/>
    </row>
    <row r="3104" spans="1:1" x14ac:dyDescent="0.2">
      <c r="A3104" s="52"/>
    </row>
    <row r="3105" spans="1:1" x14ac:dyDescent="0.2">
      <c r="A3105" s="52"/>
    </row>
    <row r="3106" spans="1:1" x14ac:dyDescent="0.2">
      <c r="A3106" s="52"/>
    </row>
    <row r="3107" spans="1:1" x14ac:dyDescent="0.2">
      <c r="A3107" s="52"/>
    </row>
    <row r="3108" spans="1:1" x14ac:dyDescent="0.2">
      <c r="A3108" s="52"/>
    </row>
    <row r="3109" spans="1:1" x14ac:dyDescent="0.2">
      <c r="A3109" s="52"/>
    </row>
    <row r="3110" spans="1:1" x14ac:dyDescent="0.2">
      <c r="A3110" s="52"/>
    </row>
    <row r="3111" spans="1:1" x14ac:dyDescent="0.2">
      <c r="A3111" s="52"/>
    </row>
    <row r="3112" spans="1:1" x14ac:dyDescent="0.2">
      <c r="A3112" s="52"/>
    </row>
    <row r="3113" spans="1:1" x14ac:dyDescent="0.2">
      <c r="A3113" s="53"/>
    </row>
    <row r="3114" spans="1:1" x14ac:dyDescent="0.2">
      <c r="A3114" s="52"/>
    </row>
    <row r="3115" spans="1:1" x14ac:dyDescent="0.2">
      <c r="A3115" s="52"/>
    </row>
    <row r="3116" spans="1:1" x14ac:dyDescent="0.2">
      <c r="A3116" s="52"/>
    </row>
    <row r="3117" spans="1:1" x14ac:dyDescent="0.2">
      <c r="A3117" s="53"/>
    </row>
    <row r="3118" spans="1:1" x14ac:dyDescent="0.2">
      <c r="A3118" s="52"/>
    </row>
    <row r="3119" spans="1:1" x14ac:dyDescent="0.2">
      <c r="A3119" s="52"/>
    </row>
    <row r="3120" spans="1:1" x14ac:dyDescent="0.2">
      <c r="A3120" s="52"/>
    </row>
    <row r="3121" spans="1:1" x14ac:dyDescent="0.2">
      <c r="A3121" s="52"/>
    </row>
    <row r="3122" spans="1:1" x14ac:dyDescent="0.2">
      <c r="A3122" s="52"/>
    </row>
    <row r="3123" spans="1:1" x14ac:dyDescent="0.2">
      <c r="A3123" s="52"/>
    </row>
    <row r="3124" spans="1:1" x14ac:dyDescent="0.2">
      <c r="A3124" s="52"/>
    </row>
    <row r="3125" spans="1:1" x14ac:dyDescent="0.2">
      <c r="A3125" s="52"/>
    </row>
    <row r="3126" spans="1:1" x14ac:dyDescent="0.2">
      <c r="A3126" s="52"/>
    </row>
    <row r="3127" spans="1:1" x14ac:dyDescent="0.2">
      <c r="A3127" s="52"/>
    </row>
    <row r="3128" spans="1:1" x14ac:dyDescent="0.2">
      <c r="A3128" s="52"/>
    </row>
    <row r="3129" spans="1:1" x14ac:dyDescent="0.2">
      <c r="A3129" s="52"/>
    </row>
    <row r="3130" spans="1:1" x14ac:dyDescent="0.2">
      <c r="A3130" s="53"/>
    </row>
    <row r="3131" spans="1:1" x14ac:dyDescent="0.2">
      <c r="A3131" s="52"/>
    </row>
    <row r="3132" spans="1:1" x14ac:dyDescent="0.2">
      <c r="A3132" s="52"/>
    </row>
    <row r="3133" spans="1:1" x14ac:dyDescent="0.2">
      <c r="A3133" s="52"/>
    </row>
    <row r="3134" spans="1:1" x14ac:dyDescent="0.2">
      <c r="A3134" s="52"/>
    </row>
    <row r="3135" spans="1:1" x14ac:dyDescent="0.2">
      <c r="A3135" s="52"/>
    </row>
    <row r="3136" spans="1:1" x14ac:dyDescent="0.2">
      <c r="A3136" s="52"/>
    </row>
    <row r="3137" spans="1:1" x14ac:dyDescent="0.2">
      <c r="A3137" s="52"/>
    </row>
    <row r="3138" spans="1:1" x14ac:dyDescent="0.2">
      <c r="A3138" s="52"/>
    </row>
    <row r="3139" spans="1:1" x14ac:dyDescent="0.2">
      <c r="A3139" s="53"/>
    </row>
    <row r="3140" spans="1:1" x14ac:dyDescent="0.2">
      <c r="A3140" s="52"/>
    </row>
    <row r="3141" spans="1:1" x14ac:dyDescent="0.2">
      <c r="A3141" s="52"/>
    </row>
    <row r="3142" spans="1:1" x14ac:dyDescent="0.2">
      <c r="A3142" s="52"/>
    </row>
    <row r="3143" spans="1:1" x14ac:dyDescent="0.2">
      <c r="A3143" s="52"/>
    </row>
    <row r="3144" spans="1:1" x14ac:dyDescent="0.2">
      <c r="A3144" s="52"/>
    </row>
    <row r="3145" spans="1:1" x14ac:dyDescent="0.2">
      <c r="A3145" s="52"/>
    </row>
    <row r="3146" spans="1:1" x14ac:dyDescent="0.2">
      <c r="A3146" s="52"/>
    </row>
    <row r="3147" spans="1:1" x14ac:dyDescent="0.2">
      <c r="A3147" s="52"/>
    </row>
    <row r="3148" spans="1:1" x14ac:dyDescent="0.2">
      <c r="A3148" s="53"/>
    </row>
    <row r="3149" spans="1:1" x14ac:dyDescent="0.2">
      <c r="A3149" s="52"/>
    </row>
    <row r="3150" spans="1:1" x14ac:dyDescent="0.2">
      <c r="A3150" s="52"/>
    </row>
    <row r="3151" spans="1:1" x14ac:dyDescent="0.2">
      <c r="A3151" s="52"/>
    </row>
    <row r="3152" spans="1:1" x14ac:dyDescent="0.2">
      <c r="A3152" s="53"/>
    </row>
    <row r="3153" spans="1:1" x14ac:dyDescent="0.2">
      <c r="A3153" s="52"/>
    </row>
    <row r="3154" spans="1:1" x14ac:dyDescent="0.2">
      <c r="A3154" s="52"/>
    </row>
    <row r="3155" spans="1:1" x14ac:dyDescent="0.2">
      <c r="A3155" s="53"/>
    </row>
    <row r="3156" spans="1:1" x14ac:dyDescent="0.2">
      <c r="A3156" s="52"/>
    </row>
    <row r="3157" spans="1:1" x14ac:dyDescent="0.2">
      <c r="A3157" s="52"/>
    </row>
    <row r="3158" spans="1:1" x14ac:dyDescent="0.2">
      <c r="A3158" s="53"/>
    </row>
    <row r="3159" spans="1:1" x14ac:dyDescent="0.2">
      <c r="A3159" s="52"/>
    </row>
    <row r="3160" spans="1:1" x14ac:dyDescent="0.2">
      <c r="A3160" s="52"/>
    </row>
    <row r="3161" spans="1:1" x14ac:dyDescent="0.2">
      <c r="A3161" s="52"/>
    </row>
    <row r="3162" spans="1:1" x14ac:dyDescent="0.2">
      <c r="A3162" s="52"/>
    </row>
    <row r="3163" spans="1:1" x14ac:dyDescent="0.2">
      <c r="A3163" s="52"/>
    </row>
    <row r="3164" spans="1:1" x14ac:dyDescent="0.2">
      <c r="A3164" s="52"/>
    </row>
    <row r="3165" spans="1:1" x14ac:dyDescent="0.2">
      <c r="A3165" s="52"/>
    </row>
    <row r="3166" spans="1:1" x14ac:dyDescent="0.2">
      <c r="A3166" s="52"/>
    </row>
    <row r="3167" spans="1:1" x14ac:dyDescent="0.2">
      <c r="A3167" s="52"/>
    </row>
    <row r="3168" spans="1:1" x14ac:dyDescent="0.2">
      <c r="A3168" s="52"/>
    </row>
    <row r="3169" spans="1:1" x14ac:dyDescent="0.2">
      <c r="A3169" s="52"/>
    </row>
    <row r="3170" spans="1:1" x14ac:dyDescent="0.2">
      <c r="A3170" s="52"/>
    </row>
    <row r="3171" spans="1:1" x14ac:dyDescent="0.2">
      <c r="A3171" s="53"/>
    </row>
    <row r="3172" spans="1:1" x14ac:dyDescent="0.2">
      <c r="A3172" s="52"/>
    </row>
    <row r="3173" spans="1:1" x14ac:dyDescent="0.2">
      <c r="A3173" s="52"/>
    </row>
    <row r="3174" spans="1:1" x14ac:dyDescent="0.2">
      <c r="A3174" s="52"/>
    </row>
    <row r="3175" spans="1:1" x14ac:dyDescent="0.2">
      <c r="A3175" s="52"/>
    </row>
    <row r="3176" spans="1:1" x14ac:dyDescent="0.2">
      <c r="A3176" s="52"/>
    </row>
    <row r="3177" spans="1:1" x14ac:dyDescent="0.2">
      <c r="A3177" s="52"/>
    </row>
    <row r="3178" spans="1:1" x14ac:dyDescent="0.2">
      <c r="A3178" s="52"/>
    </row>
    <row r="3179" spans="1:1" x14ac:dyDescent="0.2">
      <c r="A3179" s="53"/>
    </row>
    <row r="3180" spans="1:1" x14ac:dyDescent="0.2">
      <c r="A3180" s="52"/>
    </row>
    <row r="3181" spans="1:1" x14ac:dyDescent="0.2">
      <c r="A3181" s="52"/>
    </row>
    <row r="3182" spans="1:1" x14ac:dyDescent="0.2">
      <c r="A3182" s="52"/>
    </row>
    <row r="3183" spans="1:1" x14ac:dyDescent="0.2">
      <c r="A3183" s="52"/>
    </row>
    <row r="3184" spans="1:1" x14ac:dyDescent="0.2">
      <c r="A3184" s="52"/>
    </row>
    <row r="3185" spans="1:1" x14ac:dyDescent="0.2">
      <c r="A3185" s="52"/>
    </row>
    <row r="3186" spans="1:1" x14ac:dyDescent="0.2">
      <c r="A3186" s="52"/>
    </row>
    <row r="3187" spans="1:1" x14ac:dyDescent="0.2">
      <c r="A3187" s="52"/>
    </row>
    <row r="3188" spans="1:1" x14ac:dyDescent="0.2">
      <c r="A3188" s="52"/>
    </row>
    <row r="3189" spans="1:1" x14ac:dyDescent="0.2">
      <c r="A3189" s="52"/>
    </row>
    <row r="3190" spans="1:1" x14ac:dyDescent="0.2">
      <c r="A3190" s="52"/>
    </row>
    <row r="3191" spans="1:1" x14ac:dyDescent="0.2">
      <c r="A3191" s="52"/>
    </row>
    <row r="3192" spans="1:1" x14ac:dyDescent="0.2">
      <c r="A3192" s="52"/>
    </row>
    <row r="3193" spans="1:1" x14ac:dyDescent="0.2">
      <c r="A3193" s="52"/>
    </row>
    <row r="3194" spans="1:1" x14ac:dyDescent="0.2">
      <c r="A3194" s="52"/>
    </row>
    <row r="3195" spans="1:1" x14ac:dyDescent="0.2">
      <c r="A3195" s="52"/>
    </row>
    <row r="3196" spans="1:1" x14ac:dyDescent="0.2">
      <c r="A3196" s="52"/>
    </row>
    <row r="3197" spans="1:1" x14ac:dyDescent="0.2">
      <c r="A3197" s="52"/>
    </row>
    <row r="3198" spans="1:1" x14ac:dyDescent="0.2">
      <c r="A3198" s="52"/>
    </row>
    <row r="3199" spans="1:1" x14ac:dyDescent="0.2">
      <c r="A3199" s="52"/>
    </row>
    <row r="3200" spans="1:1" x14ac:dyDescent="0.2">
      <c r="A3200" s="52"/>
    </row>
    <row r="3201" spans="1:1" x14ac:dyDescent="0.2">
      <c r="A3201" s="52"/>
    </row>
    <row r="3202" spans="1:1" x14ac:dyDescent="0.2">
      <c r="A3202" s="52"/>
    </row>
    <row r="3203" spans="1:1" x14ac:dyDescent="0.2">
      <c r="A3203" s="52"/>
    </row>
    <row r="3204" spans="1:1" x14ac:dyDescent="0.2">
      <c r="A3204" s="52"/>
    </row>
    <row r="3205" spans="1:1" x14ac:dyDescent="0.2">
      <c r="A3205" s="52"/>
    </row>
    <row r="3206" spans="1:1" x14ac:dyDescent="0.2">
      <c r="A3206" s="52"/>
    </row>
    <row r="3207" spans="1:1" x14ac:dyDescent="0.2">
      <c r="A3207" s="52"/>
    </row>
    <row r="3208" spans="1:1" x14ac:dyDescent="0.2">
      <c r="A3208" s="52"/>
    </row>
    <row r="3209" spans="1:1" x14ac:dyDescent="0.2">
      <c r="A3209" s="52"/>
    </row>
    <row r="3210" spans="1:1" x14ac:dyDescent="0.2">
      <c r="A3210" s="52"/>
    </row>
    <row r="3211" spans="1:1" x14ac:dyDescent="0.2">
      <c r="A3211" s="52"/>
    </row>
    <row r="3212" spans="1:1" x14ac:dyDescent="0.2">
      <c r="A3212" s="52"/>
    </row>
    <row r="3213" spans="1:1" x14ac:dyDescent="0.2">
      <c r="A3213" s="52"/>
    </row>
    <row r="3214" spans="1:1" x14ac:dyDescent="0.2">
      <c r="A3214" s="52"/>
    </row>
    <row r="3215" spans="1:1" x14ac:dyDescent="0.2">
      <c r="A3215" s="52"/>
    </row>
    <row r="3216" spans="1:1" x14ac:dyDescent="0.2">
      <c r="A3216" s="52"/>
    </row>
    <row r="3217" spans="1:1" x14ac:dyDescent="0.2">
      <c r="A3217" s="52"/>
    </row>
    <row r="3218" spans="1:1" x14ac:dyDescent="0.2">
      <c r="A3218" s="53"/>
    </row>
    <row r="3219" spans="1:1" x14ac:dyDescent="0.2">
      <c r="A3219" s="52"/>
    </row>
    <row r="3220" spans="1:1" x14ac:dyDescent="0.2">
      <c r="A3220" s="52"/>
    </row>
    <row r="3221" spans="1:1" x14ac:dyDescent="0.2">
      <c r="A3221" s="52"/>
    </row>
    <row r="3222" spans="1:1" x14ac:dyDescent="0.2">
      <c r="A3222" s="52"/>
    </row>
    <row r="3223" spans="1:1" x14ac:dyDescent="0.2">
      <c r="A3223" s="52"/>
    </row>
    <row r="3224" spans="1:1" x14ac:dyDescent="0.2">
      <c r="A3224" s="52"/>
    </row>
    <row r="3225" spans="1:1" x14ac:dyDescent="0.2">
      <c r="A3225" s="52"/>
    </row>
    <row r="3226" spans="1:1" x14ac:dyDescent="0.2">
      <c r="A3226" s="52"/>
    </row>
    <row r="3227" spans="1:1" x14ac:dyDescent="0.2">
      <c r="A3227" s="52"/>
    </row>
    <row r="3228" spans="1:1" x14ac:dyDescent="0.2">
      <c r="A3228" s="52"/>
    </row>
    <row r="3229" spans="1:1" x14ac:dyDescent="0.2">
      <c r="A3229" s="52"/>
    </row>
    <row r="3230" spans="1:1" x14ac:dyDescent="0.2">
      <c r="A3230" s="53"/>
    </row>
    <row r="3231" spans="1:1" x14ac:dyDescent="0.2">
      <c r="A3231" s="52"/>
    </row>
    <row r="3232" spans="1:1" x14ac:dyDescent="0.2">
      <c r="A3232" s="52"/>
    </row>
    <row r="3233" spans="1:1" x14ac:dyDescent="0.2">
      <c r="A3233" s="52"/>
    </row>
    <row r="3234" spans="1:1" x14ac:dyDescent="0.2">
      <c r="A3234" s="52"/>
    </row>
    <row r="3235" spans="1:1" x14ac:dyDescent="0.2">
      <c r="A3235" s="52"/>
    </row>
    <row r="3236" spans="1:1" x14ac:dyDescent="0.2">
      <c r="A3236" s="52"/>
    </row>
    <row r="3237" spans="1:1" x14ac:dyDescent="0.2">
      <c r="A3237" s="52"/>
    </row>
    <row r="3238" spans="1:1" x14ac:dyDescent="0.2">
      <c r="A3238" s="52"/>
    </row>
    <row r="3239" spans="1:1" x14ac:dyDescent="0.2">
      <c r="A3239" s="52"/>
    </row>
    <row r="3240" spans="1:1" x14ac:dyDescent="0.2">
      <c r="A3240" s="52"/>
    </row>
    <row r="3241" spans="1:1" x14ac:dyDescent="0.2">
      <c r="A3241" s="52"/>
    </row>
    <row r="3242" spans="1:1" x14ac:dyDescent="0.2">
      <c r="A3242" s="52"/>
    </row>
    <row r="3243" spans="1:1" x14ac:dyDescent="0.2">
      <c r="A3243" s="52"/>
    </row>
    <row r="3244" spans="1:1" x14ac:dyDescent="0.2">
      <c r="A3244" s="52"/>
    </row>
    <row r="3245" spans="1:1" x14ac:dyDescent="0.2">
      <c r="A3245" s="52"/>
    </row>
    <row r="3246" spans="1:1" x14ac:dyDescent="0.2">
      <c r="A3246" s="52"/>
    </row>
    <row r="3247" spans="1:1" x14ac:dyDescent="0.2">
      <c r="A3247" s="53"/>
    </row>
    <row r="3248" spans="1:1" x14ac:dyDescent="0.2">
      <c r="A3248" s="52"/>
    </row>
    <row r="3249" spans="1:1" x14ac:dyDescent="0.2">
      <c r="A3249" s="52"/>
    </row>
    <row r="3250" spans="1:1" x14ac:dyDescent="0.2">
      <c r="A3250" s="53"/>
    </row>
    <row r="3251" spans="1:1" x14ac:dyDescent="0.2">
      <c r="A3251" s="52"/>
    </row>
    <row r="3252" spans="1:1" x14ac:dyDescent="0.2">
      <c r="A3252" s="52"/>
    </row>
    <row r="3253" spans="1:1" x14ac:dyDescent="0.2">
      <c r="A3253" s="53"/>
    </row>
    <row r="3254" spans="1:1" x14ac:dyDescent="0.2">
      <c r="A3254" s="52"/>
    </row>
    <row r="3255" spans="1:1" x14ac:dyDescent="0.2">
      <c r="A3255" s="52"/>
    </row>
    <row r="3256" spans="1:1" x14ac:dyDescent="0.2">
      <c r="A3256" s="52"/>
    </row>
    <row r="3257" spans="1:1" x14ac:dyDescent="0.2">
      <c r="A3257" s="52"/>
    </row>
    <row r="3258" spans="1:1" x14ac:dyDescent="0.2">
      <c r="A3258" s="53"/>
    </row>
    <row r="3259" spans="1:1" x14ac:dyDescent="0.2">
      <c r="A3259" s="52"/>
    </row>
    <row r="3260" spans="1:1" x14ac:dyDescent="0.2">
      <c r="A3260" s="52"/>
    </row>
    <row r="3261" spans="1:1" x14ac:dyDescent="0.2">
      <c r="A3261" s="52"/>
    </row>
    <row r="3262" spans="1:1" x14ac:dyDescent="0.2">
      <c r="A3262" s="52"/>
    </row>
    <row r="3263" spans="1:1" x14ac:dyDescent="0.2">
      <c r="A3263" s="52"/>
    </row>
    <row r="3264" spans="1:1" x14ac:dyDescent="0.2">
      <c r="A3264" s="53"/>
    </row>
    <row r="3265" spans="1:1" x14ac:dyDescent="0.2">
      <c r="A3265" s="52"/>
    </row>
    <row r="3266" spans="1:1" x14ac:dyDescent="0.2">
      <c r="A3266" s="52"/>
    </row>
    <row r="3267" spans="1:1" x14ac:dyDescent="0.2">
      <c r="A3267" s="52"/>
    </row>
    <row r="3268" spans="1:1" x14ac:dyDescent="0.2">
      <c r="A3268" s="52"/>
    </row>
    <row r="3269" spans="1:1" x14ac:dyDescent="0.2">
      <c r="A3269" s="52"/>
    </row>
    <row r="3270" spans="1:1" x14ac:dyDescent="0.2">
      <c r="A3270" s="52"/>
    </row>
    <row r="3271" spans="1:1" x14ac:dyDescent="0.2">
      <c r="A3271" s="52"/>
    </row>
    <row r="3272" spans="1:1" x14ac:dyDescent="0.2">
      <c r="A3272" s="52"/>
    </row>
    <row r="3273" spans="1:1" x14ac:dyDescent="0.2">
      <c r="A3273" s="52"/>
    </row>
    <row r="3274" spans="1:1" x14ac:dyDescent="0.2">
      <c r="A3274" s="52"/>
    </row>
    <row r="3275" spans="1:1" x14ac:dyDescent="0.2">
      <c r="A3275" s="52"/>
    </row>
    <row r="3276" spans="1:1" x14ac:dyDescent="0.2">
      <c r="A3276" s="52"/>
    </row>
    <row r="3277" spans="1:1" x14ac:dyDescent="0.2">
      <c r="A3277" s="52"/>
    </row>
    <row r="3278" spans="1:1" x14ac:dyDescent="0.2">
      <c r="A3278" s="52"/>
    </row>
    <row r="3279" spans="1:1" x14ac:dyDescent="0.2">
      <c r="A3279" s="52"/>
    </row>
    <row r="3280" spans="1:1" x14ac:dyDescent="0.2">
      <c r="A3280" s="52"/>
    </row>
    <row r="3281" spans="1:1" x14ac:dyDescent="0.2">
      <c r="A3281" s="52"/>
    </row>
    <row r="3282" spans="1:1" x14ac:dyDescent="0.2">
      <c r="A3282" s="52"/>
    </row>
    <row r="3283" spans="1:1" x14ac:dyDescent="0.2">
      <c r="A3283" s="52"/>
    </row>
    <row r="3284" spans="1:1" x14ac:dyDescent="0.2">
      <c r="A3284" s="52"/>
    </row>
    <row r="3285" spans="1:1" x14ac:dyDescent="0.2">
      <c r="A3285" s="52"/>
    </row>
    <row r="3286" spans="1:1" x14ac:dyDescent="0.2">
      <c r="A3286" s="52"/>
    </row>
    <row r="3287" spans="1:1" x14ac:dyDescent="0.2">
      <c r="A3287" s="52"/>
    </row>
    <row r="3288" spans="1:1" x14ac:dyDescent="0.2">
      <c r="A3288" s="52"/>
    </row>
    <row r="3289" spans="1:1" x14ac:dyDescent="0.2">
      <c r="A3289" s="52"/>
    </row>
    <row r="3290" spans="1:1" x14ac:dyDescent="0.2">
      <c r="A3290" s="52"/>
    </row>
    <row r="3291" spans="1:1" x14ac:dyDescent="0.2">
      <c r="A3291" s="52"/>
    </row>
    <row r="3292" spans="1:1" x14ac:dyDescent="0.2">
      <c r="A3292" s="52"/>
    </row>
    <row r="3293" spans="1:1" x14ac:dyDescent="0.2">
      <c r="A3293" s="52"/>
    </row>
    <row r="3294" spans="1:1" x14ac:dyDescent="0.2">
      <c r="A3294" s="52"/>
    </row>
    <row r="3295" spans="1:1" x14ac:dyDescent="0.2">
      <c r="A3295" s="52"/>
    </row>
    <row r="3296" spans="1:1" x14ac:dyDescent="0.2">
      <c r="A3296" s="52"/>
    </row>
    <row r="3297" spans="1:1" x14ac:dyDescent="0.2">
      <c r="A3297" s="52"/>
    </row>
    <row r="3298" spans="1:1" x14ac:dyDescent="0.2">
      <c r="A3298" s="52"/>
    </row>
    <row r="3299" spans="1:1" x14ac:dyDescent="0.2">
      <c r="A3299" s="52"/>
    </row>
    <row r="3300" spans="1:1" x14ac:dyDescent="0.2">
      <c r="A3300" s="52"/>
    </row>
    <row r="3301" spans="1:1" x14ac:dyDescent="0.2">
      <c r="A3301" s="52"/>
    </row>
    <row r="3302" spans="1:1" x14ac:dyDescent="0.2">
      <c r="A3302" s="52"/>
    </row>
    <row r="3303" spans="1:1" x14ac:dyDescent="0.2">
      <c r="A3303" s="52"/>
    </row>
    <row r="3304" spans="1:1" x14ac:dyDescent="0.2">
      <c r="A3304" s="53"/>
    </row>
    <row r="3305" spans="1:1" x14ac:dyDescent="0.2">
      <c r="A3305" s="52"/>
    </row>
    <row r="3306" spans="1:1" x14ac:dyDescent="0.2">
      <c r="A3306" s="52"/>
    </row>
    <row r="3307" spans="1:1" x14ac:dyDescent="0.2">
      <c r="A3307" s="52"/>
    </row>
    <row r="3308" spans="1:1" x14ac:dyDescent="0.2">
      <c r="A3308" s="52"/>
    </row>
    <row r="3309" spans="1:1" x14ac:dyDescent="0.2">
      <c r="A3309" s="52"/>
    </row>
    <row r="3310" spans="1:1" x14ac:dyDescent="0.2">
      <c r="A3310" s="53"/>
    </row>
    <row r="3311" spans="1:1" x14ac:dyDescent="0.2">
      <c r="A3311" s="53"/>
    </row>
    <row r="3312" spans="1:1" x14ac:dyDescent="0.2">
      <c r="A3312" s="52"/>
    </row>
    <row r="3313" spans="1:1" x14ac:dyDescent="0.2">
      <c r="A3313" s="52"/>
    </row>
    <row r="3314" spans="1:1" x14ac:dyDescent="0.2">
      <c r="A3314" s="52"/>
    </row>
    <row r="3315" spans="1:1" x14ac:dyDescent="0.2">
      <c r="A3315" s="52"/>
    </row>
    <row r="3316" spans="1:1" x14ac:dyDescent="0.2">
      <c r="A3316" s="52"/>
    </row>
    <row r="3317" spans="1:1" x14ac:dyDescent="0.2">
      <c r="A3317" s="52"/>
    </row>
    <row r="3318" spans="1:1" x14ac:dyDescent="0.2">
      <c r="A3318" s="52"/>
    </row>
    <row r="3319" spans="1:1" x14ac:dyDescent="0.2">
      <c r="A3319" s="52"/>
    </row>
    <row r="3320" spans="1:1" x14ac:dyDescent="0.2">
      <c r="A3320" s="52"/>
    </row>
    <row r="3321" spans="1:1" x14ac:dyDescent="0.2">
      <c r="A3321" s="52"/>
    </row>
    <row r="3322" spans="1:1" x14ac:dyDescent="0.2">
      <c r="A3322" s="52"/>
    </row>
    <row r="3323" spans="1:1" x14ac:dyDescent="0.2">
      <c r="A3323" s="52"/>
    </row>
    <row r="3324" spans="1:1" x14ac:dyDescent="0.2">
      <c r="A3324" s="52"/>
    </row>
    <row r="3325" spans="1:1" x14ac:dyDescent="0.2">
      <c r="A3325" s="52"/>
    </row>
    <row r="3326" spans="1:1" x14ac:dyDescent="0.2">
      <c r="A3326" s="52"/>
    </row>
    <row r="3327" spans="1:1" x14ac:dyDescent="0.2">
      <c r="A3327" s="52"/>
    </row>
    <row r="3328" spans="1:1" x14ac:dyDescent="0.2">
      <c r="A3328" s="52"/>
    </row>
    <row r="3329" spans="1:1" x14ac:dyDescent="0.2">
      <c r="A3329" s="52"/>
    </row>
    <row r="3330" spans="1:1" x14ac:dyDescent="0.2">
      <c r="A3330" s="52"/>
    </row>
    <row r="3331" spans="1:1" x14ac:dyDescent="0.2">
      <c r="A3331" s="52"/>
    </row>
    <row r="3332" spans="1:1" x14ac:dyDescent="0.2">
      <c r="A3332" s="52"/>
    </row>
    <row r="3333" spans="1:1" x14ac:dyDescent="0.2">
      <c r="A3333" s="52"/>
    </row>
    <row r="3334" spans="1:1" x14ac:dyDescent="0.2">
      <c r="A3334" s="52"/>
    </row>
    <row r="3335" spans="1:1" x14ac:dyDescent="0.2">
      <c r="A3335" s="52"/>
    </row>
    <row r="3336" spans="1:1" x14ac:dyDescent="0.2">
      <c r="A3336" s="52"/>
    </row>
    <row r="3337" spans="1:1" x14ac:dyDescent="0.2">
      <c r="A3337" s="53"/>
    </row>
    <row r="3338" spans="1:1" x14ac:dyDescent="0.2">
      <c r="A3338" s="52"/>
    </row>
    <row r="3339" spans="1:1" x14ac:dyDescent="0.2">
      <c r="A3339" s="53"/>
    </row>
    <row r="3340" spans="1:1" x14ac:dyDescent="0.2">
      <c r="A3340" s="52"/>
    </row>
    <row r="3341" spans="1:1" x14ac:dyDescent="0.2">
      <c r="A3341" s="52"/>
    </row>
    <row r="3342" spans="1:1" x14ac:dyDescent="0.2">
      <c r="A3342" s="52"/>
    </row>
    <row r="3343" spans="1:1" x14ac:dyDescent="0.2">
      <c r="A3343" s="52"/>
    </row>
    <row r="3344" spans="1:1" x14ac:dyDescent="0.2">
      <c r="A3344" s="52"/>
    </row>
    <row r="3345" spans="1:1" x14ac:dyDescent="0.2">
      <c r="A3345" s="52"/>
    </row>
    <row r="3346" spans="1:1" x14ac:dyDescent="0.2">
      <c r="A3346" s="52"/>
    </row>
    <row r="3347" spans="1:1" x14ac:dyDescent="0.2">
      <c r="A3347" s="52"/>
    </row>
    <row r="3348" spans="1:1" x14ac:dyDescent="0.2">
      <c r="A3348" s="52"/>
    </row>
    <row r="3349" spans="1:1" x14ac:dyDescent="0.2">
      <c r="A3349" s="52"/>
    </row>
    <row r="3350" spans="1:1" x14ac:dyDescent="0.2">
      <c r="A3350" s="52"/>
    </row>
    <row r="3351" spans="1:1" x14ac:dyDescent="0.2">
      <c r="A3351" s="52"/>
    </row>
    <row r="3352" spans="1:1" x14ac:dyDescent="0.2">
      <c r="A3352" s="52"/>
    </row>
    <row r="3353" spans="1:1" x14ac:dyDescent="0.2">
      <c r="A3353" s="52"/>
    </row>
    <row r="3354" spans="1:1" x14ac:dyDescent="0.2">
      <c r="A3354" s="52"/>
    </row>
    <row r="3355" spans="1:1" x14ac:dyDescent="0.2">
      <c r="A3355" s="52"/>
    </row>
    <row r="3356" spans="1:1" x14ac:dyDescent="0.2">
      <c r="A3356" s="52"/>
    </row>
    <row r="3357" spans="1:1" x14ac:dyDescent="0.2">
      <c r="A3357" s="52"/>
    </row>
    <row r="3358" spans="1:1" x14ac:dyDescent="0.2">
      <c r="A3358" s="52"/>
    </row>
    <row r="3359" spans="1:1" x14ac:dyDescent="0.2">
      <c r="A3359" s="52"/>
    </row>
    <row r="3360" spans="1:1" x14ac:dyDescent="0.2">
      <c r="A3360" s="52"/>
    </row>
    <row r="3361" spans="1:1" x14ac:dyDescent="0.2">
      <c r="A3361" s="52"/>
    </row>
    <row r="3362" spans="1:1" x14ac:dyDescent="0.2">
      <c r="A3362" s="52"/>
    </row>
    <row r="3363" spans="1:1" x14ac:dyDescent="0.2">
      <c r="A3363" s="52"/>
    </row>
    <row r="3364" spans="1:1" x14ac:dyDescent="0.2">
      <c r="A3364" s="52"/>
    </row>
    <row r="3365" spans="1:1" x14ac:dyDescent="0.2">
      <c r="A3365" s="52"/>
    </row>
    <row r="3366" spans="1:1" x14ac:dyDescent="0.2">
      <c r="A3366" s="52"/>
    </row>
    <row r="3367" spans="1:1" x14ac:dyDescent="0.2">
      <c r="A3367" s="52"/>
    </row>
    <row r="3368" spans="1:1" x14ac:dyDescent="0.2">
      <c r="A3368" s="52"/>
    </row>
    <row r="3369" spans="1:1" x14ac:dyDescent="0.2">
      <c r="A3369" s="52"/>
    </row>
    <row r="3370" spans="1:1" x14ac:dyDescent="0.2">
      <c r="A3370" s="52"/>
    </row>
    <row r="3371" spans="1:1" x14ac:dyDescent="0.2">
      <c r="A3371" s="52"/>
    </row>
    <row r="3372" spans="1:1" x14ac:dyDescent="0.2">
      <c r="A3372" s="52"/>
    </row>
    <row r="3373" spans="1:1" x14ac:dyDescent="0.2">
      <c r="A3373" s="52"/>
    </row>
    <row r="3374" spans="1:1" x14ac:dyDescent="0.2">
      <c r="A3374" s="52"/>
    </row>
    <row r="3375" spans="1:1" x14ac:dyDescent="0.2">
      <c r="A3375" s="52"/>
    </row>
    <row r="3376" spans="1:1" x14ac:dyDescent="0.2">
      <c r="A3376" s="52"/>
    </row>
    <row r="3377" spans="1:1" x14ac:dyDescent="0.2">
      <c r="A3377" s="52"/>
    </row>
    <row r="3378" spans="1:1" x14ac:dyDescent="0.2">
      <c r="A3378" s="52"/>
    </row>
    <row r="3379" spans="1:1" x14ac:dyDescent="0.2">
      <c r="A3379" s="52"/>
    </row>
    <row r="3380" spans="1:1" x14ac:dyDescent="0.2">
      <c r="A3380" s="53"/>
    </row>
    <row r="3381" spans="1:1" x14ac:dyDescent="0.2">
      <c r="A3381" s="52"/>
    </row>
    <row r="3382" spans="1:1" x14ac:dyDescent="0.2">
      <c r="A3382" s="52"/>
    </row>
    <row r="3383" spans="1:1" x14ac:dyDescent="0.2">
      <c r="A3383" s="52"/>
    </row>
    <row r="3384" spans="1:1" x14ac:dyDescent="0.2">
      <c r="A3384" s="52"/>
    </row>
    <row r="3385" spans="1:1" x14ac:dyDescent="0.2">
      <c r="A3385" s="52"/>
    </row>
    <row r="3386" spans="1:1" x14ac:dyDescent="0.2">
      <c r="A3386" s="52"/>
    </row>
    <row r="3387" spans="1:1" x14ac:dyDescent="0.2">
      <c r="A3387" s="52"/>
    </row>
    <row r="3388" spans="1:1" x14ac:dyDescent="0.2">
      <c r="A3388" s="52"/>
    </row>
    <row r="3389" spans="1:1" x14ac:dyDescent="0.2">
      <c r="A3389" s="52"/>
    </row>
    <row r="3390" spans="1:1" x14ac:dyDescent="0.2">
      <c r="A3390" s="52"/>
    </row>
    <row r="3391" spans="1:1" x14ac:dyDescent="0.2">
      <c r="A3391" s="52"/>
    </row>
    <row r="3392" spans="1:1" x14ac:dyDescent="0.2">
      <c r="A3392" s="52"/>
    </row>
    <row r="3393" spans="1:1" x14ac:dyDescent="0.2">
      <c r="A3393" s="53"/>
    </row>
    <row r="3394" spans="1:1" x14ac:dyDescent="0.2">
      <c r="A3394" s="52"/>
    </row>
    <row r="3395" spans="1:1" x14ac:dyDescent="0.2">
      <c r="A3395" s="52"/>
    </row>
    <row r="3396" spans="1:1" x14ac:dyDescent="0.2">
      <c r="A3396" s="52"/>
    </row>
    <row r="3397" spans="1:1" x14ac:dyDescent="0.2">
      <c r="A3397" s="52"/>
    </row>
    <row r="3398" spans="1:1" x14ac:dyDescent="0.2">
      <c r="A3398" s="52"/>
    </row>
    <row r="3399" spans="1:1" x14ac:dyDescent="0.2">
      <c r="A3399" s="53"/>
    </row>
    <row r="3400" spans="1:1" x14ac:dyDescent="0.2">
      <c r="A3400" s="52"/>
    </row>
    <row r="3401" spans="1:1" x14ac:dyDescent="0.2">
      <c r="A3401" s="52"/>
    </row>
    <row r="3402" spans="1:1" x14ac:dyDescent="0.2">
      <c r="A3402" s="52"/>
    </row>
    <row r="3403" spans="1:1" x14ac:dyDescent="0.2">
      <c r="A3403" s="52"/>
    </row>
    <row r="3404" spans="1:1" x14ac:dyDescent="0.2">
      <c r="A3404" s="52"/>
    </row>
    <row r="3405" spans="1:1" x14ac:dyDescent="0.2">
      <c r="A3405" s="52"/>
    </row>
    <row r="3406" spans="1:1" x14ac:dyDescent="0.2">
      <c r="A3406" s="52"/>
    </row>
    <row r="3407" spans="1:1" x14ac:dyDescent="0.2">
      <c r="A3407" s="52"/>
    </row>
    <row r="3408" spans="1:1" x14ac:dyDescent="0.2">
      <c r="A3408" s="52"/>
    </row>
    <row r="3409" spans="1:1" x14ac:dyDescent="0.2">
      <c r="A3409" s="52"/>
    </row>
    <row r="3410" spans="1:1" x14ac:dyDescent="0.2">
      <c r="A3410" s="52"/>
    </row>
    <row r="3411" spans="1:1" x14ac:dyDescent="0.2">
      <c r="A3411" s="52"/>
    </row>
    <row r="3412" spans="1:1" x14ac:dyDescent="0.2">
      <c r="A3412" s="52"/>
    </row>
    <row r="3413" spans="1:1" x14ac:dyDescent="0.2">
      <c r="A3413" s="52"/>
    </row>
    <row r="3414" spans="1:1" x14ac:dyDescent="0.2">
      <c r="A3414" s="52"/>
    </row>
    <row r="3415" spans="1:1" x14ac:dyDescent="0.2">
      <c r="A3415" s="52"/>
    </row>
    <row r="3416" spans="1:1" x14ac:dyDescent="0.2">
      <c r="A3416" s="53"/>
    </row>
    <row r="3417" spans="1:1" x14ac:dyDescent="0.2">
      <c r="A3417" s="52"/>
    </row>
    <row r="3418" spans="1:1" x14ac:dyDescent="0.2">
      <c r="A3418" s="52"/>
    </row>
    <row r="3419" spans="1:1" x14ac:dyDescent="0.2">
      <c r="A3419" s="52"/>
    </row>
    <row r="3420" spans="1:1" x14ac:dyDescent="0.2">
      <c r="A3420" s="52"/>
    </row>
    <row r="3421" spans="1:1" x14ac:dyDescent="0.2">
      <c r="A3421" s="52"/>
    </row>
    <row r="3422" spans="1:1" x14ac:dyDescent="0.2">
      <c r="A3422" s="52"/>
    </row>
    <row r="3423" spans="1:1" x14ac:dyDescent="0.2">
      <c r="A3423" s="52"/>
    </row>
    <row r="3424" spans="1:1" x14ac:dyDescent="0.2">
      <c r="A3424" s="52"/>
    </row>
    <row r="3425" spans="1:1" x14ac:dyDescent="0.2">
      <c r="A3425" s="52"/>
    </row>
    <row r="3426" spans="1:1" x14ac:dyDescent="0.2">
      <c r="A3426" s="53"/>
    </row>
    <row r="3427" spans="1:1" x14ac:dyDescent="0.2">
      <c r="A3427" s="52"/>
    </row>
    <row r="3428" spans="1:1" x14ac:dyDescent="0.2">
      <c r="A3428" s="52"/>
    </row>
    <row r="3429" spans="1:1" x14ac:dyDescent="0.2">
      <c r="A3429" s="52"/>
    </row>
    <row r="3430" spans="1:1" x14ac:dyDescent="0.2">
      <c r="A3430" s="53"/>
    </row>
    <row r="3431" spans="1:1" x14ac:dyDescent="0.2">
      <c r="A3431" s="53"/>
    </row>
    <row r="3432" spans="1:1" x14ac:dyDescent="0.2">
      <c r="A3432" s="52"/>
    </row>
    <row r="3433" spans="1:1" x14ac:dyDescent="0.2">
      <c r="A3433" s="52"/>
    </row>
    <row r="3434" spans="1:1" x14ac:dyDescent="0.2">
      <c r="A3434" s="52"/>
    </row>
    <row r="3435" spans="1:1" x14ac:dyDescent="0.2">
      <c r="A3435" s="53"/>
    </row>
    <row r="3436" spans="1:1" x14ac:dyDescent="0.2">
      <c r="A3436" s="52"/>
    </row>
    <row r="3437" spans="1:1" x14ac:dyDescent="0.2">
      <c r="A3437" s="52"/>
    </row>
    <row r="3438" spans="1:1" x14ac:dyDescent="0.2">
      <c r="A3438" s="52"/>
    </row>
    <row r="3439" spans="1:1" x14ac:dyDescent="0.2">
      <c r="A3439" s="52"/>
    </row>
    <row r="3440" spans="1:1" x14ac:dyDescent="0.2">
      <c r="A3440" s="52"/>
    </row>
    <row r="3441" spans="1:1" x14ac:dyDescent="0.2">
      <c r="A3441" s="52"/>
    </row>
    <row r="3442" spans="1:1" x14ac:dyDescent="0.2">
      <c r="A3442" s="52"/>
    </row>
    <row r="3443" spans="1:1" x14ac:dyDescent="0.2">
      <c r="A3443" s="53"/>
    </row>
    <row r="3444" spans="1:1" x14ac:dyDescent="0.2">
      <c r="A3444" s="52"/>
    </row>
    <row r="3445" spans="1:1" x14ac:dyDescent="0.2">
      <c r="A3445" s="52"/>
    </row>
    <row r="3446" spans="1:1" x14ac:dyDescent="0.2">
      <c r="A3446" s="52"/>
    </row>
    <row r="3447" spans="1:1" x14ac:dyDescent="0.2">
      <c r="A3447" s="52"/>
    </row>
    <row r="3448" spans="1:1" x14ac:dyDescent="0.2">
      <c r="A3448" s="52"/>
    </row>
    <row r="3449" spans="1:1" x14ac:dyDescent="0.2">
      <c r="A3449" s="52"/>
    </row>
    <row r="3450" spans="1:1" x14ac:dyDescent="0.2">
      <c r="A3450" s="52"/>
    </row>
    <row r="3451" spans="1:1" x14ac:dyDescent="0.2">
      <c r="A3451" s="52"/>
    </row>
    <row r="3452" spans="1:1" x14ac:dyDescent="0.2">
      <c r="A3452" s="52"/>
    </row>
    <row r="3453" spans="1:1" x14ac:dyDescent="0.2">
      <c r="A3453" s="52"/>
    </row>
    <row r="3454" spans="1:1" x14ac:dyDescent="0.2">
      <c r="A3454" s="52"/>
    </row>
    <row r="3455" spans="1:1" x14ac:dyDescent="0.2">
      <c r="A3455" s="52"/>
    </row>
    <row r="3456" spans="1:1" x14ac:dyDescent="0.2">
      <c r="A3456" s="52"/>
    </row>
    <row r="3457" spans="1:1" x14ac:dyDescent="0.2">
      <c r="A3457" s="52"/>
    </row>
    <row r="3458" spans="1:1" x14ac:dyDescent="0.2">
      <c r="A3458" s="52"/>
    </row>
    <row r="3459" spans="1:1" x14ac:dyDescent="0.2">
      <c r="A3459" s="52"/>
    </row>
    <row r="3460" spans="1:1" x14ac:dyDescent="0.2">
      <c r="A3460" s="52"/>
    </row>
    <row r="3461" spans="1:1" x14ac:dyDescent="0.2">
      <c r="A3461" s="52"/>
    </row>
    <row r="3462" spans="1:1" x14ac:dyDescent="0.2">
      <c r="A3462" s="52"/>
    </row>
    <row r="3463" spans="1:1" x14ac:dyDescent="0.2">
      <c r="A3463" s="52"/>
    </row>
    <row r="3464" spans="1:1" x14ac:dyDescent="0.2">
      <c r="A3464" s="52"/>
    </row>
    <row r="3465" spans="1:1" x14ac:dyDescent="0.2">
      <c r="A3465" s="52"/>
    </row>
    <row r="3466" spans="1:1" x14ac:dyDescent="0.2">
      <c r="A3466" s="52"/>
    </row>
    <row r="3467" spans="1:1" x14ac:dyDescent="0.2">
      <c r="A3467" s="52"/>
    </row>
    <row r="3468" spans="1:1" x14ac:dyDescent="0.2">
      <c r="A3468" s="52"/>
    </row>
    <row r="3469" spans="1:1" x14ac:dyDescent="0.2">
      <c r="A3469" s="52"/>
    </row>
    <row r="3470" spans="1:1" x14ac:dyDescent="0.2">
      <c r="A3470" s="52"/>
    </row>
    <row r="3471" spans="1:1" x14ac:dyDescent="0.2">
      <c r="A3471" s="52"/>
    </row>
    <row r="3472" spans="1:1" x14ac:dyDescent="0.2">
      <c r="A3472" s="52"/>
    </row>
    <row r="3473" spans="1:1" x14ac:dyDescent="0.2">
      <c r="A3473" s="52"/>
    </row>
    <row r="3474" spans="1:1" x14ac:dyDescent="0.2">
      <c r="A3474" s="52"/>
    </row>
    <row r="3475" spans="1:1" x14ac:dyDescent="0.2">
      <c r="A3475" s="52"/>
    </row>
    <row r="3476" spans="1:1" x14ac:dyDescent="0.2">
      <c r="A3476" s="52"/>
    </row>
    <row r="3477" spans="1:1" x14ac:dyDescent="0.2">
      <c r="A3477" s="52"/>
    </row>
    <row r="3478" spans="1:1" x14ac:dyDescent="0.2">
      <c r="A3478" s="52"/>
    </row>
    <row r="3479" spans="1:1" x14ac:dyDescent="0.2">
      <c r="A3479" s="52"/>
    </row>
    <row r="3480" spans="1:1" x14ac:dyDescent="0.2">
      <c r="A3480" s="52"/>
    </row>
    <row r="3481" spans="1:1" x14ac:dyDescent="0.2">
      <c r="A3481" s="52"/>
    </row>
    <row r="3482" spans="1:1" x14ac:dyDescent="0.2">
      <c r="A3482" s="52"/>
    </row>
    <row r="3483" spans="1:1" x14ac:dyDescent="0.2">
      <c r="A3483" s="52"/>
    </row>
    <row r="3484" spans="1:1" x14ac:dyDescent="0.2">
      <c r="A3484" s="52"/>
    </row>
    <row r="3485" spans="1:1" x14ac:dyDescent="0.2">
      <c r="A3485" s="52"/>
    </row>
    <row r="3486" spans="1:1" x14ac:dyDescent="0.2">
      <c r="A3486" s="52"/>
    </row>
    <row r="3487" spans="1:1" x14ac:dyDescent="0.2">
      <c r="A3487" s="52"/>
    </row>
    <row r="3488" spans="1:1" x14ac:dyDescent="0.2">
      <c r="A3488" s="52"/>
    </row>
    <row r="3489" spans="1:1" x14ac:dyDescent="0.2">
      <c r="A3489" s="52"/>
    </row>
    <row r="3490" spans="1:1" x14ac:dyDescent="0.2">
      <c r="A3490" s="52"/>
    </row>
    <row r="3491" spans="1:1" x14ac:dyDescent="0.2">
      <c r="A3491" s="52"/>
    </row>
    <row r="3492" spans="1:1" x14ac:dyDescent="0.2">
      <c r="A3492" s="52"/>
    </row>
    <row r="3493" spans="1:1" x14ac:dyDescent="0.2">
      <c r="A3493" s="52"/>
    </row>
    <row r="3494" spans="1:1" x14ac:dyDescent="0.2">
      <c r="A3494" s="52"/>
    </row>
    <row r="3495" spans="1:1" x14ac:dyDescent="0.2">
      <c r="A3495" s="52"/>
    </row>
    <row r="3496" spans="1:1" x14ac:dyDescent="0.2">
      <c r="A3496" s="52"/>
    </row>
    <row r="3497" spans="1:1" x14ac:dyDescent="0.2">
      <c r="A3497" s="52"/>
    </row>
    <row r="3498" spans="1:1" x14ac:dyDescent="0.2">
      <c r="A3498" s="52"/>
    </row>
    <row r="3499" spans="1:1" x14ac:dyDescent="0.2">
      <c r="A3499" s="52"/>
    </row>
    <row r="3500" spans="1:1" x14ac:dyDescent="0.2">
      <c r="A3500" s="52"/>
    </row>
    <row r="3501" spans="1:1" x14ac:dyDescent="0.2">
      <c r="A3501" s="52"/>
    </row>
    <row r="3502" spans="1:1" x14ac:dyDescent="0.2">
      <c r="A3502" s="52"/>
    </row>
    <row r="3503" spans="1:1" x14ac:dyDescent="0.2">
      <c r="A3503" s="52"/>
    </row>
    <row r="3504" spans="1:1" x14ac:dyDescent="0.2">
      <c r="A3504" s="52"/>
    </row>
    <row r="3505" spans="1:1" x14ac:dyDescent="0.2">
      <c r="A3505" s="52"/>
    </row>
    <row r="3506" spans="1:1" x14ac:dyDescent="0.2">
      <c r="A3506" s="52"/>
    </row>
    <row r="3507" spans="1:1" x14ac:dyDescent="0.2">
      <c r="A3507" s="52"/>
    </row>
    <row r="3508" spans="1:1" x14ac:dyDescent="0.2">
      <c r="A3508" s="52"/>
    </row>
    <row r="3509" spans="1:1" x14ac:dyDescent="0.2">
      <c r="A3509" s="52"/>
    </row>
    <row r="3510" spans="1:1" x14ac:dyDescent="0.2">
      <c r="A3510" s="52"/>
    </row>
    <row r="3511" spans="1:1" x14ac:dyDescent="0.2">
      <c r="A3511" s="52"/>
    </row>
    <row r="3512" spans="1:1" x14ac:dyDescent="0.2">
      <c r="A3512" s="52"/>
    </row>
    <row r="3513" spans="1:1" x14ac:dyDescent="0.2">
      <c r="A3513" s="52"/>
    </row>
    <row r="3514" spans="1:1" x14ac:dyDescent="0.2">
      <c r="A3514" s="52"/>
    </row>
    <row r="3515" spans="1:1" x14ac:dyDescent="0.2">
      <c r="A3515" s="52"/>
    </row>
    <row r="3516" spans="1:1" x14ac:dyDescent="0.2">
      <c r="A3516" s="52"/>
    </row>
    <row r="3517" spans="1:1" x14ac:dyDescent="0.2">
      <c r="A3517" s="52"/>
    </row>
    <row r="3518" spans="1:1" x14ac:dyDescent="0.2">
      <c r="A3518" s="52"/>
    </row>
    <row r="3519" spans="1:1" x14ac:dyDescent="0.2">
      <c r="A3519" s="53"/>
    </row>
    <row r="3520" spans="1:1" x14ac:dyDescent="0.2">
      <c r="A3520" s="52"/>
    </row>
    <row r="3521" spans="1:1" x14ac:dyDescent="0.2">
      <c r="A3521" s="52"/>
    </row>
    <row r="3522" spans="1:1" x14ac:dyDescent="0.2">
      <c r="A3522" s="52"/>
    </row>
    <row r="3523" spans="1:1" x14ac:dyDescent="0.2">
      <c r="A3523" s="52"/>
    </row>
    <row r="3524" spans="1:1" x14ac:dyDescent="0.2">
      <c r="A3524" s="52"/>
    </row>
    <row r="3525" spans="1:1" x14ac:dyDescent="0.2">
      <c r="A3525" s="52"/>
    </row>
    <row r="3526" spans="1:1" x14ac:dyDescent="0.2">
      <c r="A3526" s="52"/>
    </row>
    <row r="3527" spans="1:1" x14ac:dyDescent="0.2">
      <c r="A3527" s="52"/>
    </row>
    <row r="3528" spans="1:1" x14ac:dyDescent="0.2">
      <c r="A3528" s="52"/>
    </row>
    <row r="3529" spans="1:1" x14ac:dyDescent="0.2">
      <c r="A3529" s="52"/>
    </row>
    <row r="3530" spans="1:1" x14ac:dyDescent="0.2">
      <c r="A3530" s="52"/>
    </row>
    <row r="3531" spans="1:1" x14ac:dyDescent="0.2">
      <c r="A3531" s="52"/>
    </row>
    <row r="3532" spans="1:1" x14ac:dyDescent="0.2">
      <c r="A3532" s="52"/>
    </row>
    <row r="3533" spans="1:1" x14ac:dyDescent="0.2">
      <c r="A3533" s="52"/>
    </row>
    <row r="3534" spans="1:1" x14ac:dyDescent="0.2">
      <c r="A3534" s="52"/>
    </row>
    <row r="3535" spans="1:1" x14ac:dyDescent="0.2">
      <c r="A3535" s="52"/>
    </row>
    <row r="3536" spans="1:1" x14ac:dyDescent="0.2">
      <c r="A3536" s="52"/>
    </row>
    <row r="3537" spans="1:1" x14ac:dyDescent="0.2">
      <c r="A3537" s="52"/>
    </row>
    <row r="3538" spans="1:1" x14ac:dyDescent="0.2">
      <c r="A3538" s="52"/>
    </row>
    <row r="3539" spans="1:1" x14ac:dyDescent="0.2">
      <c r="A3539" s="52"/>
    </row>
    <row r="3540" spans="1:1" x14ac:dyDescent="0.2">
      <c r="A3540" s="52"/>
    </row>
    <row r="3541" spans="1:1" x14ac:dyDescent="0.2">
      <c r="A3541" s="52"/>
    </row>
    <row r="3542" spans="1:1" x14ac:dyDescent="0.2">
      <c r="A3542" s="52"/>
    </row>
    <row r="3543" spans="1:1" x14ac:dyDescent="0.2">
      <c r="A3543" s="52"/>
    </row>
    <row r="3544" spans="1:1" x14ac:dyDescent="0.2">
      <c r="A3544" s="52"/>
    </row>
    <row r="3545" spans="1:1" x14ac:dyDescent="0.2">
      <c r="A3545" s="52"/>
    </row>
    <row r="3546" spans="1:1" x14ac:dyDescent="0.2">
      <c r="A3546" s="52"/>
    </row>
    <row r="3547" spans="1:1" x14ac:dyDescent="0.2">
      <c r="A3547" s="52"/>
    </row>
    <row r="3548" spans="1:1" x14ac:dyDescent="0.2">
      <c r="A3548" s="52"/>
    </row>
    <row r="3549" spans="1:1" x14ac:dyDescent="0.2">
      <c r="A3549" s="52"/>
    </row>
    <row r="3550" spans="1:1" x14ac:dyDescent="0.2">
      <c r="A3550" s="52"/>
    </row>
    <row r="3551" spans="1:1" x14ac:dyDescent="0.2">
      <c r="A3551" s="52"/>
    </row>
    <row r="3552" spans="1:1" x14ac:dyDescent="0.2">
      <c r="A3552" s="52"/>
    </row>
    <row r="3553" spans="1:1" x14ac:dyDescent="0.2">
      <c r="A3553" s="52"/>
    </row>
    <row r="3554" spans="1:1" x14ac:dyDescent="0.2">
      <c r="A3554" s="53"/>
    </row>
    <row r="3555" spans="1:1" x14ac:dyDescent="0.2">
      <c r="A3555" s="52"/>
    </row>
    <row r="3556" spans="1:1" x14ac:dyDescent="0.2">
      <c r="A3556" s="52"/>
    </row>
    <row r="3557" spans="1:1" x14ac:dyDescent="0.2">
      <c r="A3557" s="52"/>
    </row>
    <row r="3558" spans="1:1" x14ac:dyDescent="0.2">
      <c r="A3558" s="52"/>
    </row>
    <row r="3559" spans="1:1" x14ac:dyDescent="0.2">
      <c r="A3559" s="52"/>
    </row>
    <row r="3560" spans="1:1" x14ac:dyDescent="0.2">
      <c r="A3560" s="53"/>
    </row>
    <row r="3561" spans="1:1" x14ac:dyDescent="0.2">
      <c r="A3561" s="53"/>
    </row>
    <row r="3562" spans="1:1" x14ac:dyDescent="0.2">
      <c r="A3562" s="52"/>
    </row>
    <row r="3563" spans="1:1" x14ac:dyDescent="0.2">
      <c r="A3563" s="52"/>
    </row>
    <row r="3564" spans="1:1" x14ac:dyDescent="0.2">
      <c r="A3564" s="52"/>
    </row>
    <row r="3565" spans="1:1" x14ac:dyDescent="0.2">
      <c r="A3565" s="53"/>
    </row>
    <row r="3566" spans="1:1" x14ac:dyDescent="0.2">
      <c r="A3566" s="52"/>
    </row>
    <row r="3567" spans="1:1" x14ac:dyDescent="0.2">
      <c r="A3567" s="52"/>
    </row>
    <row r="3568" spans="1:1" x14ac:dyDescent="0.2">
      <c r="A3568" s="52"/>
    </row>
    <row r="3569" spans="1:1" x14ac:dyDescent="0.2">
      <c r="A3569" s="52"/>
    </row>
    <row r="3570" spans="1:1" x14ac:dyDescent="0.2">
      <c r="A3570" s="52"/>
    </row>
    <row r="3571" spans="1:1" x14ac:dyDescent="0.2">
      <c r="A3571" s="52"/>
    </row>
    <row r="3572" spans="1:1" x14ac:dyDescent="0.2">
      <c r="A3572" s="52"/>
    </row>
    <row r="3573" spans="1:1" x14ac:dyDescent="0.2">
      <c r="A3573" s="52"/>
    </row>
    <row r="3574" spans="1:1" x14ac:dyDescent="0.2">
      <c r="A3574" s="53"/>
    </row>
    <row r="3575" spans="1:1" x14ac:dyDescent="0.2">
      <c r="A3575" s="52"/>
    </row>
    <row r="3576" spans="1:1" x14ac:dyDescent="0.2">
      <c r="A3576" s="52"/>
    </row>
    <row r="3577" spans="1:1" x14ac:dyDescent="0.2">
      <c r="A3577" s="52"/>
    </row>
    <row r="3578" spans="1:1" x14ac:dyDescent="0.2">
      <c r="A3578" s="52"/>
    </row>
    <row r="3579" spans="1:1" x14ac:dyDescent="0.2">
      <c r="A3579" s="53"/>
    </row>
    <row r="3580" spans="1:1" x14ac:dyDescent="0.2">
      <c r="A3580" s="53"/>
    </row>
    <row r="3581" spans="1:1" x14ac:dyDescent="0.2">
      <c r="A3581" s="52"/>
    </row>
    <row r="3582" spans="1:1" x14ac:dyDescent="0.2">
      <c r="A3582" s="52"/>
    </row>
    <row r="3583" spans="1:1" x14ac:dyDescent="0.2">
      <c r="A3583" s="52"/>
    </row>
    <row r="3584" spans="1:1" x14ac:dyDescent="0.2">
      <c r="A3584" s="52"/>
    </row>
    <row r="3585" spans="1:1" x14ac:dyDescent="0.2">
      <c r="A3585" s="52"/>
    </row>
    <row r="3586" spans="1:1" x14ac:dyDescent="0.2">
      <c r="A3586" s="52"/>
    </row>
    <row r="3587" spans="1:1" x14ac:dyDescent="0.2">
      <c r="A3587" s="52"/>
    </row>
    <row r="3588" spans="1:1" x14ac:dyDescent="0.2">
      <c r="A3588" s="52"/>
    </row>
    <row r="3589" spans="1:1" x14ac:dyDescent="0.2">
      <c r="A3589" s="52"/>
    </row>
    <row r="3590" spans="1:1" x14ac:dyDescent="0.2">
      <c r="A3590" s="52"/>
    </row>
    <row r="3591" spans="1:1" x14ac:dyDescent="0.2">
      <c r="A3591" s="52"/>
    </row>
    <row r="3592" spans="1:1" x14ac:dyDescent="0.2">
      <c r="A3592" s="52"/>
    </row>
    <row r="3593" spans="1:1" x14ac:dyDescent="0.2">
      <c r="A3593" s="52"/>
    </row>
    <row r="3594" spans="1:1" x14ac:dyDescent="0.2">
      <c r="A3594" s="53"/>
    </row>
    <row r="3595" spans="1:1" x14ac:dyDescent="0.2">
      <c r="A3595" s="52"/>
    </row>
    <row r="3596" spans="1:1" x14ac:dyDescent="0.2">
      <c r="A3596" s="52"/>
    </row>
    <row r="3597" spans="1:1" x14ac:dyDescent="0.2">
      <c r="A3597" s="52"/>
    </row>
    <row r="3598" spans="1:1" x14ac:dyDescent="0.2">
      <c r="A3598" s="52"/>
    </row>
    <row r="3599" spans="1:1" x14ac:dyDescent="0.2">
      <c r="A3599" s="52"/>
    </row>
    <row r="3600" spans="1:1" x14ac:dyDescent="0.2">
      <c r="A3600" s="52"/>
    </row>
    <row r="3601" spans="1:1" x14ac:dyDescent="0.2">
      <c r="A3601" s="52"/>
    </row>
    <row r="3602" spans="1:1" x14ac:dyDescent="0.2">
      <c r="A3602" s="52"/>
    </row>
    <row r="3603" spans="1:1" x14ac:dyDescent="0.2">
      <c r="A3603" s="52"/>
    </row>
    <row r="3604" spans="1:1" x14ac:dyDescent="0.2">
      <c r="A3604" s="52"/>
    </row>
    <row r="3605" spans="1:1" x14ac:dyDescent="0.2">
      <c r="A3605" s="52"/>
    </row>
    <row r="3606" spans="1:1" x14ac:dyDescent="0.2">
      <c r="A3606" s="52"/>
    </row>
    <row r="3607" spans="1:1" x14ac:dyDescent="0.2">
      <c r="A3607" s="52"/>
    </row>
    <row r="3608" spans="1:1" x14ac:dyDescent="0.2">
      <c r="A3608" s="52"/>
    </row>
    <row r="3609" spans="1:1" x14ac:dyDescent="0.2">
      <c r="A3609" s="52"/>
    </row>
    <row r="3610" spans="1:1" x14ac:dyDescent="0.2">
      <c r="A3610" s="52"/>
    </row>
    <row r="3611" spans="1:1" x14ac:dyDescent="0.2">
      <c r="A3611" s="52"/>
    </row>
    <row r="3612" spans="1:1" x14ac:dyDescent="0.2">
      <c r="A3612" s="52"/>
    </row>
    <row r="3613" spans="1:1" x14ac:dyDescent="0.2">
      <c r="A3613" s="52"/>
    </row>
    <row r="3614" spans="1:1" x14ac:dyDescent="0.2">
      <c r="A3614" s="53"/>
    </row>
    <row r="3615" spans="1:1" x14ac:dyDescent="0.2">
      <c r="A3615" s="52"/>
    </row>
    <row r="3616" spans="1:1" x14ac:dyDescent="0.2">
      <c r="A3616" s="52"/>
    </row>
    <row r="3617" spans="1:1" x14ac:dyDescent="0.2">
      <c r="A3617" s="52"/>
    </row>
    <row r="3618" spans="1:1" x14ac:dyDescent="0.2">
      <c r="A3618" s="52"/>
    </row>
    <row r="3619" spans="1:1" x14ac:dyDescent="0.2">
      <c r="A3619" s="52"/>
    </row>
    <row r="3620" spans="1:1" x14ac:dyDescent="0.2">
      <c r="A3620" s="52"/>
    </row>
    <row r="3621" spans="1:1" x14ac:dyDescent="0.2">
      <c r="A3621" s="52"/>
    </row>
    <row r="3622" spans="1:1" x14ac:dyDescent="0.2">
      <c r="A3622" s="52"/>
    </row>
    <row r="3623" spans="1:1" x14ac:dyDescent="0.2">
      <c r="A3623" s="52"/>
    </row>
    <row r="3624" spans="1:1" x14ac:dyDescent="0.2">
      <c r="A3624" s="52"/>
    </row>
    <row r="3625" spans="1:1" x14ac:dyDescent="0.2">
      <c r="A3625" s="52"/>
    </row>
    <row r="3626" spans="1:1" x14ac:dyDescent="0.2">
      <c r="A3626" s="52"/>
    </row>
    <row r="3627" spans="1:1" x14ac:dyDescent="0.2">
      <c r="A3627" s="52"/>
    </row>
    <row r="3628" spans="1:1" x14ac:dyDescent="0.2">
      <c r="A3628" s="52"/>
    </row>
    <row r="3629" spans="1:1" x14ac:dyDescent="0.2">
      <c r="A3629" s="52"/>
    </row>
    <row r="3630" spans="1:1" x14ac:dyDescent="0.2">
      <c r="A3630" s="52"/>
    </row>
    <row r="3631" spans="1:1" x14ac:dyDescent="0.2">
      <c r="A3631" s="52"/>
    </row>
    <row r="3632" spans="1:1" x14ac:dyDescent="0.2">
      <c r="A3632" s="52"/>
    </row>
    <row r="3633" spans="1:1" x14ac:dyDescent="0.2">
      <c r="A3633" s="52"/>
    </row>
    <row r="3634" spans="1:1" x14ac:dyDescent="0.2">
      <c r="A3634" s="52"/>
    </row>
    <row r="3635" spans="1:1" x14ac:dyDescent="0.2">
      <c r="A3635" s="52"/>
    </row>
    <row r="3636" spans="1:1" x14ac:dyDescent="0.2">
      <c r="A3636" s="52"/>
    </row>
    <row r="3637" spans="1:1" x14ac:dyDescent="0.2">
      <c r="A3637" s="53"/>
    </row>
    <row r="3638" spans="1:1" x14ac:dyDescent="0.2">
      <c r="A3638" s="52"/>
    </row>
    <row r="3639" spans="1:1" x14ac:dyDescent="0.2">
      <c r="A3639" s="52"/>
    </row>
    <row r="3640" spans="1:1" x14ac:dyDescent="0.2">
      <c r="A3640" s="52"/>
    </row>
    <row r="3641" spans="1:1" x14ac:dyDescent="0.2">
      <c r="A3641" s="52"/>
    </row>
    <row r="3642" spans="1:1" x14ac:dyDescent="0.2">
      <c r="A3642" s="52"/>
    </row>
    <row r="3643" spans="1:1" x14ac:dyDescent="0.2">
      <c r="A3643" s="52"/>
    </row>
    <row r="3644" spans="1:1" x14ac:dyDescent="0.2">
      <c r="A3644" s="52"/>
    </row>
    <row r="3645" spans="1:1" x14ac:dyDescent="0.2">
      <c r="A3645" s="52"/>
    </row>
    <row r="3646" spans="1:1" x14ac:dyDescent="0.2">
      <c r="A3646" s="52"/>
    </row>
    <row r="3647" spans="1:1" x14ac:dyDescent="0.2">
      <c r="A3647" s="52"/>
    </row>
    <row r="3648" spans="1:1" x14ac:dyDescent="0.2">
      <c r="A3648" s="52"/>
    </row>
    <row r="3649" spans="1:1" x14ac:dyDescent="0.2">
      <c r="A3649" s="52"/>
    </row>
    <row r="3650" spans="1:1" x14ac:dyDescent="0.2">
      <c r="A3650" s="52"/>
    </row>
    <row r="3651" spans="1:1" x14ac:dyDescent="0.2">
      <c r="A3651" s="52"/>
    </row>
    <row r="3652" spans="1:1" x14ac:dyDescent="0.2">
      <c r="A3652" s="52"/>
    </row>
    <row r="3653" spans="1:1" x14ac:dyDescent="0.2">
      <c r="A3653" s="52"/>
    </row>
    <row r="3654" spans="1:1" x14ac:dyDescent="0.2">
      <c r="A3654" s="52"/>
    </row>
    <row r="3655" spans="1:1" x14ac:dyDescent="0.2">
      <c r="A3655" s="52"/>
    </row>
    <row r="3656" spans="1:1" x14ac:dyDescent="0.2">
      <c r="A3656" s="53"/>
    </row>
    <row r="3657" spans="1:1" x14ac:dyDescent="0.2">
      <c r="A3657" s="52"/>
    </row>
    <row r="3658" spans="1:1" x14ac:dyDescent="0.2">
      <c r="A3658" s="52"/>
    </row>
    <row r="3659" spans="1:1" x14ac:dyDescent="0.2">
      <c r="A3659" s="52"/>
    </row>
    <row r="3660" spans="1:1" x14ac:dyDescent="0.2">
      <c r="A3660" s="52"/>
    </row>
    <row r="3661" spans="1:1" x14ac:dyDescent="0.2">
      <c r="A3661" s="52"/>
    </row>
    <row r="3662" spans="1:1" x14ac:dyDescent="0.2">
      <c r="A3662" s="52"/>
    </row>
    <row r="3663" spans="1:1" x14ac:dyDescent="0.2">
      <c r="A3663" s="52"/>
    </row>
    <row r="3664" spans="1:1" x14ac:dyDescent="0.2">
      <c r="A3664" s="52"/>
    </row>
    <row r="3665" spans="1:1" x14ac:dyDescent="0.2">
      <c r="A3665" s="52"/>
    </row>
    <row r="3666" spans="1:1" x14ac:dyDescent="0.2">
      <c r="A3666" s="52"/>
    </row>
    <row r="3667" spans="1:1" x14ac:dyDescent="0.2">
      <c r="A3667" s="52"/>
    </row>
    <row r="3668" spans="1:1" x14ac:dyDescent="0.2">
      <c r="A3668" s="52"/>
    </row>
    <row r="3669" spans="1:1" x14ac:dyDescent="0.2">
      <c r="A3669" s="52"/>
    </row>
    <row r="3670" spans="1:1" x14ac:dyDescent="0.2">
      <c r="A3670" s="52"/>
    </row>
    <row r="3671" spans="1:1" x14ac:dyDescent="0.2">
      <c r="A3671" s="52"/>
    </row>
    <row r="3672" spans="1:1" x14ac:dyDescent="0.2">
      <c r="A3672" s="52"/>
    </row>
    <row r="3673" spans="1:1" x14ac:dyDescent="0.2">
      <c r="A3673" s="52"/>
    </row>
    <row r="3674" spans="1:1" x14ac:dyDescent="0.2">
      <c r="A3674" s="53"/>
    </row>
    <row r="3675" spans="1:1" x14ac:dyDescent="0.2">
      <c r="A3675" s="52"/>
    </row>
    <row r="3676" spans="1:1" x14ac:dyDescent="0.2">
      <c r="A3676" s="52"/>
    </row>
    <row r="3677" spans="1:1" x14ac:dyDescent="0.2">
      <c r="A3677" s="52"/>
    </row>
    <row r="3678" spans="1:1" x14ac:dyDescent="0.2">
      <c r="A3678" s="53"/>
    </row>
    <row r="3679" spans="1:1" x14ac:dyDescent="0.2">
      <c r="A3679" s="52"/>
    </row>
    <row r="3680" spans="1:1" x14ac:dyDescent="0.2">
      <c r="A3680" s="52"/>
    </row>
    <row r="3681" spans="1:1" x14ac:dyDescent="0.2">
      <c r="A3681" s="52"/>
    </row>
    <row r="3682" spans="1:1" x14ac:dyDescent="0.2">
      <c r="A3682" s="52"/>
    </row>
    <row r="3683" spans="1:1" x14ac:dyDescent="0.2">
      <c r="A3683" s="52"/>
    </row>
    <row r="3684" spans="1:1" x14ac:dyDescent="0.2">
      <c r="A3684" s="52"/>
    </row>
    <row r="3685" spans="1:1" x14ac:dyDescent="0.2">
      <c r="A3685" s="52"/>
    </row>
    <row r="3686" spans="1:1" x14ac:dyDescent="0.2">
      <c r="A3686" s="52"/>
    </row>
    <row r="3687" spans="1:1" x14ac:dyDescent="0.2">
      <c r="A3687" s="52"/>
    </row>
    <row r="3688" spans="1:1" x14ac:dyDescent="0.2">
      <c r="A3688" s="52"/>
    </row>
    <row r="3689" spans="1:1" x14ac:dyDescent="0.2">
      <c r="A3689" s="52"/>
    </row>
    <row r="3690" spans="1:1" x14ac:dyDescent="0.2">
      <c r="A3690" s="52"/>
    </row>
    <row r="3691" spans="1:1" x14ac:dyDescent="0.2">
      <c r="A3691" s="52"/>
    </row>
    <row r="3692" spans="1:1" x14ac:dyDescent="0.2">
      <c r="A3692" s="52"/>
    </row>
    <row r="3693" spans="1:1" x14ac:dyDescent="0.2">
      <c r="A3693" s="52"/>
    </row>
    <row r="3694" spans="1:1" x14ac:dyDescent="0.2">
      <c r="A3694" s="52"/>
    </row>
    <row r="3695" spans="1:1" x14ac:dyDescent="0.2">
      <c r="A3695" s="52"/>
    </row>
    <row r="3696" spans="1:1" x14ac:dyDescent="0.2">
      <c r="A3696" s="53"/>
    </row>
    <row r="3697" spans="1:1" x14ac:dyDescent="0.2">
      <c r="A3697" s="52"/>
    </row>
    <row r="3698" spans="1:1" x14ac:dyDescent="0.2">
      <c r="A3698" s="52"/>
    </row>
    <row r="3699" spans="1:1" x14ac:dyDescent="0.2">
      <c r="A3699" s="52"/>
    </row>
    <row r="3700" spans="1:1" x14ac:dyDescent="0.2">
      <c r="A3700" s="52"/>
    </row>
    <row r="3701" spans="1:1" x14ac:dyDescent="0.2">
      <c r="A3701" s="52"/>
    </row>
    <row r="3702" spans="1:1" x14ac:dyDescent="0.2">
      <c r="A3702" s="52"/>
    </row>
    <row r="3703" spans="1:1" x14ac:dyDescent="0.2">
      <c r="A3703" s="52"/>
    </row>
    <row r="3704" spans="1:1" x14ac:dyDescent="0.2">
      <c r="A3704" s="52"/>
    </row>
    <row r="3705" spans="1:1" x14ac:dyDescent="0.2">
      <c r="A3705" s="52"/>
    </row>
    <row r="3706" spans="1:1" x14ac:dyDescent="0.2">
      <c r="A3706" s="52"/>
    </row>
    <row r="3707" spans="1:1" x14ac:dyDescent="0.2">
      <c r="A3707" s="52"/>
    </row>
    <row r="3708" spans="1:1" x14ac:dyDescent="0.2">
      <c r="A3708" s="52"/>
    </row>
    <row r="3709" spans="1:1" x14ac:dyDescent="0.2">
      <c r="A3709" s="52"/>
    </row>
    <row r="3710" spans="1:1" x14ac:dyDescent="0.2">
      <c r="A3710" s="52"/>
    </row>
    <row r="3711" spans="1:1" x14ac:dyDescent="0.2">
      <c r="A3711" s="52"/>
    </row>
    <row r="3712" spans="1:1" x14ac:dyDescent="0.2">
      <c r="A3712" s="52"/>
    </row>
    <row r="3713" spans="1:1" x14ac:dyDescent="0.2">
      <c r="A3713" s="53"/>
    </row>
    <row r="3714" spans="1:1" x14ac:dyDescent="0.2">
      <c r="A3714" s="52"/>
    </row>
    <row r="3715" spans="1:1" x14ac:dyDescent="0.2">
      <c r="A3715" s="52"/>
    </row>
    <row r="3716" spans="1:1" x14ac:dyDescent="0.2">
      <c r="A3716" s="52"/>
    </row>
    <row r="3717" spans="1:1" x14ac:dyDescent="0.2">
      <c r="A3717" s="52"/>
    </row>
    <row r="3718" spans="1:1" x14ac:dyDescent="0.2">
      <c r="A3718" s="52"/>
    </row>
    <row r="3719" spans="1:1" x14ac:dyDescent="0.2">
      <c r="A3719" s="52"/>
    </row>
    <row r="3720" spans="1:1" x14ac:dyDescent="0.2">
      <c r="A3720" s="52"/>
    </row>
    <row r="3721" spans="1:1" x14ac:dyDescent="0.2">
      <c r="A3721" s="52"/>
    </row>
    <row r="3722" spans="1:1" x14ac:dyDescent="0.2">
      <c r="A3722" s="52"/>
    </row>
    <row r="3723" spans="1:1" x14ac:dyDescent="0.2">
      <c r="A3723" s="52"/>
    </row>
    <row r="3724" spans="1:1" x14ac:dyDescent="0.2">
      <c r="A3724" s="52"/>
    </row>
    <row r="3725" spans="1:1" x14ac:dyDescent="0.2">
      <c r="A3725" s="52"/>
    </row>
    <row r="3726" spans="1:1" x14ac:dyDescent="0.2">
      <c r="A3726" s="52"/>
    </row>
    <row r="3727" spans="1:1" x14ac:dyDescent="0.2">
      <c r="A3727" s="52"/>
    </row>
    <row r="3728" spans="1:1" x14ac:dyDescent="0.2">
      <c r="A3728" s="52"/>
    </row>
    <row r="3729" spans="1:1" x14ac:dyDescent="0.2">
      <c r="A3729" s="52"/>
    </row>
    <row r="3730" spans="1:1" x14ac:dyDescent="0.2">
      <c r="A3730" s="53"/>
    </row>
    <row r="3731" spans="1:1" x14ac:dyDescent="0.2">
      <c r="A3731" s="52"/>
    </row>
    <row r="3732" spans="1:1" x14ac:dyDescent="0.2">
      <c r="A3732" s="52"/>
    </row>
    <row r="3733" spans="1:1" x14ac:dyDescent="0.2">
      <c r="A3733" s="52"/>
    </row>
    <row r="3734" spans="1:1" x14ac:dyDescent="0.2">
      <c r="A3734" s="53"/>
    </row>
    <row r="3735" spans="1:1" x14ac:dyDescent="0.2">
      <c r="A3735" s="52"/>
    </row>
    <row r="3736" spans="1:1" x14ac:dyDescent="0.2">
      <c r="A3736" s="52"/>
    </row>
    <row r="3737" spans="1:1" x14ac:dyDescent="0.2">
      <c r="A3737" s="52"/>
    </row>
    <row r="3738" spans="1:1" x14ac:dyDescent="0.2">
      <c r="A3738" s="52"/>
    </row>
    <row r="3739" spans="1:1" x14ac:dyDescent="0.2">
      <c r="A3739" s="52"/>
    </row>
    <row r="3740" spans="1:1" x14ac:dyDescent="0.2">
      <c r="A3740" s="52"/>
    </row>
    <row r="3741" spans="1:1" x14ac:dyDescent="0.2">
      <c r="A3741" s="52"/>
    </row>
    <row r="3742" spans="1:1" x14ac:dyDescent="0.2">
      <c r="A3742" s="52"/>
    </row>
    <row r="3743" spans="1:1" x14ac:dyDescent="0.2">
      <c r="A3743" s="52"/>
    </row>
    <row r="3744" spans="1:1" x14ac:dyDescent="0.2">
      <c r="A3744" s="52"/>
    </row>
    <row r="3745" spans="1:1" x14ac:dyDescent="0.2">
      <c r="A3745" s="52"/>
    </row>
    <row r="3746" spans="1:1" x14ac:dyDescent="0.2">
      <c r="A3746" s="52"/>
    </row>
    <row r="3747" spans="1:1" x14ac:dyDescent="0.2">
      <c r="A3747" s="52"/>
    </row>
    <row r="3748" spans="1:1" x14ac:dyDescent="0.2">
      <c r="A3748" s="52"/>
    </row>
    <row r="3749" spans="1:1" x14ac:dyDescent="0.2">
      <c r="A3749" s="52"/>
    </row>
    <row r="3750" spans="1:1" x14ac:dyDescent="0.2">
      <c r="A3750" s="52"/>
    </row>
    <row r="3751" spans="1:1" x14ac:dyDescent="0.2">
      <c r="A3751" s="52"/>
    </row>
    <row r="3752" spans="1:1" x14ac:dyDescent="0.2">
      <c r="A3752" s="53"/>
    </row>
    <row r="3753" spans="1:1" x14ac:dyDescent="0.2">
      <c r="A3753" s="52"/>
    </row>
    <row r="3754" spans="1:1" x14ac:dyDescent="0.2">
      <c r="A3754" s="52"/>
    </row>
    <row r="3755" spans="1:1" x14ac:dyDescent="0.2">
      <c r="A3755" s="52"/>
    </row>
    <row r="3756" spans="1:1" x14ac:dyDescent="0.2">
      <c r="A3756" s="52"/>
    </row>
    <row r="3757" spans="1:1" x14ac:dyDescent="0.2">
      <c r="A3757" s="52"/>
    </row>
    <row r="3758" spans="1:1" x14ac:dyDescent="0.2">
      <c r="A3758" s="52"/>
    </row>
    <row r="3759" spans="1:1" x14ac:dyDescent="0.2">
      <c r="A3759" s="52"/>
    </row>
    <row r="3760" spans="1:1" x14ac:dyDescent="0.2">
      <c r="A3760" s="52"/>
    </row>
    <row r="3761" spans="1:1" x14ac:dyDescent="0.2">
      <c r="A3761" s="52"/>
    </row>
    <row r="3762" spans="1:1" x14ac:dyDescent="0.2">
      <c r="A3762" s="52"/>
    </row>
    <row r="3763" spans="1:1" x14ac:dyDescent="0.2">
      <c r="A3763" s="52"/>
    </row>
    <row r="3764" spans="1:1" x14ac:dyDescent="0.2">
      <c r="A3764" s="52"/>
    </row>
    <row r="3765" spans="1:1" x14ac:dyDescent="0.2">
      <c r="A3765" s="52"/>
    </row>
    <row r="3766" spans="1:1" x14ac:dyDescent="0.2">
      <c r="A3766" s="52"/>
    </row>
    <row r="3767" spans="1:1" x14ac:dyDescent="0.2">
      <c r="A3767" s="52"/>
    </row>
    <row r="3768" spans="1:1" x14ac:dyDescent="0.2">
      <c r="A3768" s="52"/>
    </row>
    <row r="3769" spans="1:1" x14ac:dyDescent="0.2">
      <c r="A3769" s="53"/>
    </row>
    <row r="3770" spans="1:1" x14ac:dyDescent="0.2">
      <c r="A3770" s="53"/>
    </row>
    <row r="3771" spans="1:1" x14ac:dyDescent="0.2">
      <c r="A3771" s="52"/>
    </row>
    <row r="3772" spans="1:1" x14ac:dyDescent="0.2">
      <c r="A3772" s="53"/>
    </row>
    <row r="3773" spans="1:1" x14ac:dyDescent="0.2">
      <c r="A3773" s="52"/>
    </row>
    <row r="3774" spans="1:1" x14ac:dyDescent="0.2">
      <c r="A3774" s="53"/>
    </row>
    <row r="3775" spans="1:1" x14ac:dyDescent="0.2">
      <c r="A3775" s="52"/>
    </row>
    <row r="3776" spans="1:1" x14ac:dyDescent="0.2">
      <c r="A3776" s="52"/>
    </row>
    <row r="3777" spans="1:1" x14ac:dyDescent="0.2">
      <c r="A3777" s="52"/>
    </row>
    <row r="3778" spans="1:1" x14ac:dyDescent="0.2">
      <c r="A3778" s="52"/>
    </row>
    <row r="3779" spans="1:1" x14ac:dyDescent="0.2">
      <c r="A3779" s="52"/>
    </row>
    <row r="3780" spans="1:1" x14ac:dyDescent="0.2">
      <c r="A3780" s="52"/>
    </row>
    <row r="3781" spans="1:1" x14ac:dyDescent="0.2">
      <c r="A3781" s="52"/>
    </row>
    <row r="3782" spans="1:1" x14ac:dyDescent="0.2">
      <c r="A3782" s="52"/>
    </row>
    <row r="3783" spans="1:1" x14ac:dyDescent="0.2">
      <c r="A3783" s="53"/>
    </row>
    <row r="3784" spans="1:1" x14ac:dyDescent="0.2">
      <c r="A3784" s="52"/>
    </row>
    <row r="3785" spans="1:1" x14ac:dyDescent="0.2">
      <c r="A3785" s="52"/>
    </row>
    <row r="3786" spans="1:1" x14ac:dyDescent="0.2">
      <c r="A3786" s="52"/>
    </row>
    <row r="3787" spans="1:1" x14ac:dyDescent="0.2">
      <c r="A3787" s="52"/>
    </row>
    <row r="3788" spans="1:1" x14ac:dyDescent="0.2">
      <c r="A3788" s="52"/>
    </row>
    <row r="3789" spans="1:1" x14ac:dyDescent="0.2">
      <c r="A3789" s="52"/>
    </row>
    <row r="3790" spans="1:1" x14ac:dyDescent="0.2">
      <c r="A3790" s="52"/>
    </row>
    <row r="3791" spans="1:1" x14ac:dyDescent="0.2">
      <c r="A3791" s="52"/>
    </row>
    <row r="3792" spans="1:1" x14ac:dyDescent="0.2">
      <c r="A3792" s="52"/>
    </row>
    <row r="3793" spans="1:1" x14ac:dyDescent="0.2">
      <c r="A3793" s="52"/>
    </row>
    <row r="3794" spans="1:1" x14ac:dyDescent="0.2">
      <c r="A3794" s="52"/>
    </row>
    <row r="3795" spans="1:1" x14ac:dyDescent="0.2">
      <c r="A3795" s="52"/>
    </row>
    <row r="3796" spans="1:1" x14ac:dyDescent="0.2">
      <c r="A3796" s="52"/>
    </row>
    <row r="3797" spans="1:1" x14ac:dyDescent="0.2">
      <c r="A3797" s="52"/>
    </row>
    <row r="3798" spans="1:1" x14ac:dyDescent="0.2">
      <c r="A3798" s="52"/>
    </row>
    <row r="3799" spans="1:1" x14ac:dyDescent="0.2">
      <c r="A3799" s="52"/>
    </row>
    <row r="3800" spans="1:1" x14ac:dyDescent="0.2">
      <c r="A3800" s="52"/>
    </row>
    <row r="3801" spans="1:1" x14ac:dyDescent="0.2">
      <c r="A3801" s="52"/>
    </row>
    <row r="3802" spans="1:1" x14ac:dyDescent="0.2">
      <c r="A3802" s="52"/>
    </row>
    <row r="3803" spans="1:1" x14ac:dyDescent="0.2">
      <c r="A3803" s="52"/>
    </row>
    <row r="3804" spans="1:1" x14ac:dyDescent="0.2">
      <c r="A3804" s="52"/>
    </row>
    <row r="3805" spans="1:1" x14ac:dyDescent="0.2">
      <c r="A3805" s="52"/>
    </row>
    <row r="3806" spans="1:1" x14ac:dyDescent="0.2">
      <c r="A3806" s="52"/>
    </row>
    <row r="3807" spans="1:1" x14ac:dyDescent="0.2">
      <c r="A3807" s="52"/>
    </row>
    <row r="3808" spans="1:1" x14ac:dyDescent="0.2">
      <c r="A3808" s="53"/>
    </row>
    <row r="3809" spans="1:1" x14ac:dyDescent="0.2">
      <c r="A3809" s="52"/>
    </row>
    <row r="3810" spans="1:1" x14ac:dyDescent="0.2">
      <c r="A3810" s="52"/>
    </row>
    <row r="3811" spans="1:1" x14ac:dyDescent="0.2">
      <c r="A3811" s="52"/>
    </row>
    <row r="3812" spans="1:1" x14ac:dyDescent="0.2">
      <c r="A3812" s="53"/>
    </row>
    <row r="3813" spans="1:1" x14ac:dyDescent="0.2">
      <c r="A3813" s="53"/>
    </row>
    <row r="3814" spans="1:1" x14ac:dyDescent="0.2">
      <c r="A3814" s="52"/>
    </row>
    <row r="3815" spans="1:1" x14ac:dyDescent="0.2">
      <c r="A3815" s="52"/>
    </row>
    <row r="3816" spans="1:1" x14ac:dyDescent="0.2">
      <c r="A3816" s="52"/>
    </row>
    <row r="3817" spans="1:1" x14ac:dyDescent="0.2">
      <c r="A3817" s="52"/>
    </row>
    <row r="3818" spans="1:1" x14ac:dyDescent="0.2">
      <c r="A3818" s="53"/>
    </row>
    <row r="3819" spans="1:1" x14ac:dyDescent="0.2">
      <c r="A3819" s="52"/>
    </row>
    <row r="3820" spans="1:1" x14ac:dyDescent="0.2">
      <c r="A3820" s="52"/>
    </row>
    <row r="3821" spans="1:1" x14ac:dyDescent="0.2">
      <c r="A3821" s="52"/>
    </row>
    <row r="3822" spans="1:1" x14ac:dyDescent="0.2">
      <c r="A3822" s="52"/>
    </row>
    <row r="3823" spans="1:1" x14ac:dyDescent="0.2">
      <c r="A3823" s="52"/>
    </row>
    <row r="3824" spans="1:1" x14ac:dyDescent="0.2">
      <c r="A3824" s="52"/>
    </row>
    <row r="3825" spans="1:1" x14ac:dyDescent="0.2">
      <c r="A3825" s="52"/>
    </row>
    <row r="3826" spans="1:1" x14ac:dyDescent="0.2">
      <c r="A3826" s="52"/>
    </row>
    <row r="3827" spans="1:1" x14ac:dyDescent="0.2">
      <c r="A3827" s="52"/>
    </row>
    <row r="3828" spans="1:1" x14ac:dyDescent="0.2">
      <c r="A3828" s="52"/>
    </row>
    <row r="3829" spans="1:1" x14ac:dyDescent="0.2">
      <c r="A3829" s="52"/>
    </row>
    <row r="3830" spans="1:1" x14ac:dyDescent="0.2">
      <c r="A3830" s="52"/>
    </row>
    <row r="3831" spans="1:1" x14ac:dyDescent="0.2">
      <c r="A3831" s="53"/>
    </row>
    <row r="3832" spans="1:1" x14ac:dyDescent="0.2">
      <c r="A3832" s="52"/>
    </row>
    <row r="3833" spans="1:1" x14ac:dyDescent="0.2">
      <c r="A3833" s="52"/>
    </row>
    <row r="3834" spans="1:1" x14ac:dyDescent="0.2">
      <c r="A3834" s="52"/>
    </row>
    <row r="3835" spans="1:1" x14ac:dyDescent="0.2">
      <c r="A3835" s="52"/>
    </row>
    <row r="3836" spans="1:1" x14ac:dyDescent="0.2">
      <c r="A3836" s="52"/>
    </row>
    <row r="3837" spans="1:1" x14ac:dyDescent="0.2">
      <c r="A3837" s="52"/>
    </row>
    <row r="3838" spans="1:1" x14ac:dyDescent="0.2">
      <c r="A3838" s="52"/>
    </row>
    <row r="3839" spans="1:1" x14ac:dyDescent="0.2">
      <c r="A3839" s="52"/>
    </row>
    <row r="3840" spans="1:1" x14ac:dyDescent="0.2">
      <c r="A3840" s="53"/>
    </row>
    <row r="3841" spans="1:1" x14ac:dyDescent="0.2">
      <c r="A3841" s="52"/>
    </row>
    <row r="3842" spans="1:1" x14ac:dyDescent="0.2">
      <c r="A3842" s="53"/>
    </row>
    <row r="3843" spans="1:1" x14ac:dyDescent="0.2">
      <c r="A3843" s="52"/>
    </row>
    <row r="3844" spans="1:1" x14ac:dyDescent="0.2">
      <c r="A3844" s="52"/>
    </row>
    <row r="3845" spans="1:1" x14ac:dyDescent="0.2">
      <c r="A3845" s="52"/>
    </row>
    <row r="3846" spans="1:1" x14ac:dyDescent="0.2">
      <c r="A3846" s="52"/>
    </row>
    <row r="3847" spans="1:1" x14ac:dyDescent="0.2">
      <c r="A3847" s="52"/>
    </row>
    <row r="3848" spans="1:1" x14ac:dyDescent="0.2">
      <c r="A3848" s="52"/>
    </row>
    <row r="3849" spans="1:1" x14ac:dyDescent="0.2">
      <c r="A3849" s="52"/>
    </row>
    <row r="3850" spans="1:1" x14ac:dyDescent="0.2">
      <c r="A3850" s="52"/>
    </row>
    <row r="3851" spans="1:1" x14ac:dyDescent="0.2">
      <c r="A3851" s="52"/>
    </row>
    <row r="3852" spans="1:1" x14ac:dyDescent="0.2">
      <c r="A3852" s="52"/>
    </row>
    <row r="3853" spans="1:1" x14ac:dyDescent="0.2">
      <c r="A3853" s="52"/>
    </row>
    <row r="3854" spans="1:1" x14ac:dyDescent="0.2">
      <c r="A3854" s="52"/>
    </row>
    <row r="3855" spans="1:1" x14ac:dyDescent="0.2">
      <c r="A3855" s="52"/>
    </row>
    <row r="3856" spans="1:1" x14ac:dyDescent="0.2">
      <c r="A3856" s="52"/>
    </row>
    <row r="3857" spans="1:1" x14ac:dyDescent="0.2">
      <c r="A3857" s="52"/>
    </row>
    <row r="3858" spans="1:1" x14ac:dyDescent="0.2">
      <c r="A3858" s="52"/>
    </row>
    <row r="3859" spans="1:1" x14ac:dyDescent="0.2">
      <c r="A3859" s="52"/>
    </row>
    <row r="3860" spans="1:1" x14ac:dyDescent="0.2">
      <c r="A3860" s="52"/>
    </row>
    <row r="3861" spans="1:1" x14ac:dyDescent="0.2">
      <c r="A3861" s="52"/>
    </row>
    <row r="3862" spans="1:1" x14ac:dyDescent="0.2">
      <c r="A3862" s="52"/>
    </row>
    <row r="3863" spans="1:1" x14ac:dyDescent="0.2">
      <c r="A3863" s="52"/>
    </row>
    <row r="3864" spans="1:1" x14ac:dyDescent="0.2">
      <c r="A3864" s="52"/>
    </row>
    <row r="3865" spans="1:1" x14ac:dyDescent="0.2">
      <c r="A3865" s="52"/>
    </row>
    <row r="3866" spans="1:1" x14ac:dyDescent="0.2">
      <c r="A3866" s="52"/>
    </row>
    <row r="3867" spans="1:1" x14ac:dyDescent="0.2">
      <c r="A3867" s="52"/>
    </row>
    <row r="3868" spans="1:1" x14ac:dyDescent="0.2">
      <c r="A3868" s="52"/>
    </row>
    <row r="3869" spans="1:1" x14ac:dyDescent="0.2">
      <c r="A3869" s="52"/>
    </row>
    <row r="3870" spans="1:1" x14ac:dyDescent="0.2">
      <c r="A3870" s="52"/>
    </row>
    <row r="3871" spans="1:1" x14ac:dyDescent="0.2">
      <c r="A3871" s="52"/>
    </row>
    <row r="3872" spans="1:1" x14ac:dyDescent="0.2">
      <c r="A3872" s="52"/>
    </row>
    <row r="3873" spans="1:1" x14ac:dyDescent="0.2">
      <c r="A3873" s="52"/>
    </row>
    <row r="3874" spans="1:1" x14ac:dyDescent="0.2">
      <c r="A3874" s="52"/>
    </row>
    <row r="3875" spans="1:1" x14ac:dyDescent="0.2">
      <c r="A3875" s="52"/>
    </row>
    <row r="3876" spans="1:1" x14ac:dyDescent="0.2">
      <c r="A3876" s="52"/>
    </row>
    <row r="3877" spans="1:1" x14ac:dyDescent="0.2">
      <c r="A3877" s="52"/>
    </row>
    <row r="3878" spans="1:1" x14ac:dyDescent="0.2">
      <c r="A3878" s="52"/>
    </row>
    <row r="3879" spans="1:1" x14ac:dyDescent="0.2">
      <c r="A3879" s="52"/>
    </row>
    <row r="3880" spans="1:1" x14ac:dyDescent="0.2">
      <c r="A3880" s="52"/>
    </row>
    <row r="3881" spans="1:1" x14ac:dyDescent="0.2">
      <c r="A3881" s="52"/>
    </row>
    <row r="3882" spans="1:1" x14ac:dyDescent="0.2">
      <c r="A3882" s="52"/>
    </row>
    <row r="3883" spans="1:1" x14ac:dyDescent="0.2">
      <c r="A3883" s="52"/>
    </row>
    <row r="3884" spans="1:1" x14ac:dyDescent="0.2">
      <c r="A3884" s="52"/>
    </row>
    <row r="3885" spans="1:1" x14ac:dyDescent="0.2">
      <c r="A3885" s="52"/>
    </row>
    <row r="3886" spans="1:1" x14ac:dyDescent="0.2">
      <c r="A3886" s="52"/>
    </row>
    <row r="3887" spans="1:1" x14ac:dyDescent="0.2">
      <c r="A3887" s="52"/>
    </row>
    <row r="3888" spans="1:1" x14ac:dyDescent="0.2">
      <c r="A3888" s="52"/>
    </row>
    <row r="3889" spans="1:1" x14ac:dyDescent="0.2">
      <c r="A3889" s="53"/>
    </row>
    <row r="3890" spans="1:1" x14ac:dyDescent="0.2">
      <c r="A3890" s="52"/>
    </row>
    <row r="3891" spans="1:1" x14ac:dyDescent="0.2">
      <c r="A3891" s="52"/>
    </row>
    <row r="3892" spans="1:1" x14ac:dyDescent="0.2">
      <c r="A3892" s="52"/>
    </row>
    <row r="3893" spans="1:1" x14ac:dyDescent="0.2">
      <c r="A3893" s="52"/>
    </row>
    <row r="3894" spans="1:1" x14ac:dyDescent="0.2">
      <c r="A3894" s="52"/>
    </row>
    <row r="3895" spans="1:1" x14ac:dyDescent="0.2">
      <c r="A3895" s="53"/>
    </row>
    <row r="3896" spans="1:1" x14ac:dyDescent="0.2">
      <c r="A3896" s="52"/>
    </row>
    <row r="3897" spans="1:1" x14ac:dyDescent="0.2">
      <c r="A3897" s="52"/>
    </row>
    <row r="3898" spans="1:1" x14ac:dyDescent="0.2">
      <c r="A3898" s="52"/>
    </row>
    <row r="3899" spans="1:1" x14ac:dyDescent="0.2">
      <c r="A3899" s="52"/>
    </row>
    <row r="3900" spans="1:1" x14ac:dyDescent="0.2">
      <c r="A3900" s="52"/>
    </row>
    <row r="3901" spans="1:1" x14ac:dyDescent="0.2">
      <c r="A3901" s="52"/>
    </row>
    <row r="3902" spans="1:1" x14ac:dyDescent="0.2">
      <c r="A3902" s="52"/>
    </row>
    <row r="3903" spans="1:1" x14ac:dyDescent="0.2">
      <c r="A3903" s="52"/>
    </row>
    <row r="3904" spans="1:1" x14ac:dyDescent="0.2">
      <c r="A3904" s="53"/>
    </row>
    <row r="3905" spans="1:1" x14ac:dyDescent="0.2">
      <c r="A3905" s="52"/>
    </row>
    <row r="3906" spans="1:1" x14ac:dyDescent="0.2">
      <c r="A3906" s="52"/>
    </row>
    <row r="3907" spans="1:1" x14ac:dyDescent="0.2">
      <c r="A3907" s="52"/>
    </row>
    <row r="3908" spans="1:1" x14ac:dyDescent="0.2">
      <c r="A3908" s="52"/>
    </row>
    <row r="3909" spans="1:1" x14ac:dyDescent="0.2">
      <c r="A3909" s="52"/>
    </row>
    <row r="3910" spans="1:1" x14ac:dyDescent="0.2">
      <c r="A3910" s="52"/>
    </row>
    <row r="3911" spans="1:1" x14ac:dyDescent="0.2">
      <c r="A3911" s="52"/>
    </row>
    <row r="3912" spans="1:1" x14ac:dyDescent="0.2">
      <c r="A3912" s="52"/>
    </row>
    <row r="3913" spans="1:1" x14ac:dyDescent="0.2">
      <c r="A3913" s="52"/>
    </row>
    <row r="3914" spans="1:1" x14ac:dyDescent="0.2">
      <c r="A3914" s="52"/>
    </row>
    <row r="3915" spans="1:1" x14ac:dyDescent="0.2">
      <c r="A3915" s="52"/>
    </row>
    <row r="3916" spans="1:1" x14ac:dyDescent="0.2">
      <c r="A3916" s="52"/>
    </row>
    <row r="3917" spans="1:1" x14ac:dyDescent="0.2">
      <c r="A3917" s="52"/>
    </row>
    <row r="3918" spans="1:1" x14ac:dyDescent="0.2">
      <c r="A3918" s="52"/>
    </row>
    <row r="3919" spans="1:1" x14ac:dyDescent="0.2">
      <c r="A3919" s="52"/>
    </row>
    <row r="3920" spans="1:1" x14ac:dyDescent="0.2">
      <c r="A3920" s="52"/>
    </row>
    <row r="3921" spans="1:1" x14ac:dyDescent="0.2">
      <c r="A3921" s="52"/>
    </row>
    <row r="3922" spans="1:1" x14ac:dyDescent="0.2">
      <c r="A3922" s="52"/>
    </row>
    <row r="3923" spans="1:1" x14ac:dyDescent="0.2">
      <c r="A3923" s="52"/>
    </row>
    <row r="3924" spans="1:1" x14ac:dyDescent="0.2">
      <c r="A3924" s="52"/>
    </row>
    <row r="3925" spans="1:1" x14ac:dyDescent="0.2">
      <c r="A3925" s="52"/>
    </row>
    <row r="3926" spans="1:1" x14ac:dyDescent="0.2">
      <c r="A3926" s="52"/>
    </row>
    <row r="3927" spans="1:1" x14ac:dyDescent="0.2">
      <c r="A3927" s="52"/>
    </row>
    <row r="3928" spans="1:1" x14ac:dyDescent="0.2">
      <c r="A3928" s="52"/>
    </row>
    <row r="3929" spans="1:1" x14ac:dyDescent="0.2">
      <c r="A3929" s="52"/>
    </row>
    <row r="3930" spans="1:1" x14ac:dyDescent="0.2">
      <c r="A3930" s="52"/>
    </row>
    <row r="3931" spans="1:1" x14ac:dyDescent="0.2">
      <c r="A3931" s="52"/>
    </row>
    <row r="3932" spans="1:1" x14ac:dyDescent="0.2">
      <c r="A3932" s="52"/>
    </row>
    <row r="3933" spans="1:1" x14ac:dyDescent="0.2">
      <c r="A3933" s="52"/>
    </row>
    <row r="3934" spans="1:1" x14ac:dyDescent="0.2">
      <c r="A3934" s="52"/>
    </row>
    <row r="3935" spans="1:1" x14ac:dyDescent="0.2">
      <c r="A3935" s="53"/>
    </row>
    <row r="3936" spans="1:1" x14ac:dyDescent="0.2">
      <c r="A3936" s="52"/>
    </row>
    <row r="3937" spans="1:1" x14ac:dyDescent="0.2">
      <c r="A3937" s="52"/>
    </row>
    <row r="3938" spans="1:1" x14ac:dyDescent="0.2">
      <c r="A3938" s="52"/>
    </row>
    <row r="3939" spans="1:1" x14ac:dyDescent="0.2">
      <c r="A3939" s="52"/>
    </row>
    <row r="3940" spans="1:1" x14ac:dyDescent="0.2">
      <c r="A3940" s="52"/>
    </row>
    <row r="3941" spans="1:1" x14ac:dyDescent="0.2">
      <c r="A3941" s="53"/>
    </row>
    <row r="3942" spans="1:1" x14ac:dyDescent="0.2">
      <c r="A3942" s="52"/>
    </row>
    <row r="3943" spans="1:1" x14ac:dyDescent="0.2">
      <c r="A3943" s="52"/>
    </row>
    <row r="3944" spans="1:1" x14ac:dyDescent="0.2">
      <c r="A3944" s="53"/>
    </row>
    <row r="3945" spans="1:1" x14ac:dyDescent="0.2">
      <c r="A3945" s="52"/>
    </row>
    <row r="3946" spans="1:1" x14ac:dyDescent="0.2">
      <c r="A3946" s="52"/>
    </row>
    <row r="3947" spans="1:1" x14ac:dyDescent="0.2">
      <c r="A3947" s="52"/>
    </row>
    <row r="3948" spans="1:1" x14ac:dyDescent="0.2">
      <c r="A3948" s="52"/>
    </row>
    <row r="3949" spans="1:1" x14ac:dyDescent="0.2">
      <c r="A3949" s="52"/>
    </row>
    <row r="3950" spans="1:1" x14ac:dyDescent="0.2">
      <c r="A3950" s="52"/>
    </row>
    <row r="3951" spans="1:1" x14ac:dyDescent="0.2">
      <c r="A3951" s="52"/>
    </row>
    <row r="3952" spans="1:1" x14ac:dyDescent="0.2">
      <c r="A3952" s="52"/>
    </row>
    <row r="3953" spans="1:1" x14ac:dyDescent="0.2">
      <c r="A3953" s="52"/>
    </row>
    <row r="3954" spans="1:1" x14ac:dyDescent="0.2">
      <c r="A3954" s="52"/>
    </row>
    <row r="3955" spans="1:1" x14ac:dyDescent="0.2">
      <c r="A3955" s="53"/>
    </row>
    <row r="3956" spans="1:1" x14ac:dyDescent="0.2">
      <c r="A3956" s="52"/>
    </row>
    <row r="3957" spans="1:1" x14ac:dyDescent="0.2">
      <c r="A3957" s="52"/>
    </row>
    <row r="3958" spans="1:1" x14ac:dyDescent="0.2">
      <c r="A3958" s="52"/>
    </row>
    <row r="3959" spans="1:1" x14ac:dyDescent="0.2">
      <c r="A3959" s="52"/>
    </row>
    <row r="3960" spans="1:1" x14ac:dyDescent="0.2">
      <c r="A3960" s="52"/>
    </row>
    <row r="3961" spans="1:1" x14ac:dyDescent="0.2">
      <c r="A3961" s="52"/>
    </row>
    <row r="3962" spans="1:1" x14ac:dyDescent="0.2">
      <c r="A3962" s="52"/>
    </row>
    <row r="3963" spans="1:1" x14ac:dyDescent="0.2">
      <c r="A3963" s="52"/>
    </row>
    <row r="3964" spans="1:1" x14ac:dyDescent="0.2">
      <c r="A3964" s="52"/>
    </row>
    <row r="3965" spans="1:1" x14ac:dyDescent="0.2">
      <c r="A3965" s="52"/>
    </row>
    <row r="3966" spans="1:1" x14ac:dyDescent="0.2">
      <c r="A3966" s="52"/>
    </row>
    <row r="3967" spans="1:1" x14ac:dyDescent="0.2">
      <c r="A3967" s="52"/>
    </row>
    <row r="3968" spans="1:1" x14ac:dyDescent="0.2">
      <c r="A3968" s="52"/>
    </row>
    <row r="3969" spans="1:1" x14ac:dyDescent="0.2">
      <c r="A3969" s="52"/>
    </row>
    <row r="3970" spans="1:1" x14ac:dyDescent="0.2">
      <c r="A3970" s="52"/>
    </row>
    <row r="3971" spans="1:1" x14ac:dyDescent="0.2">
      <c r="A3971" s="53"/>
    </row>
    <row r="3972" spans="1:1" x14ac:dyDescent="0.2">
      <c r="A3972" s="52"/>
    </row>
    <row r="3973" spans="1:1" x14ac:dyDescent="0.2">
      <c r="A3973" s="52"/>
    </row>
    <row r="3974" spans="1:1" x14ac:dyDescent="0.2">
      <c r="A3974" s="52"/>
    </row>
    <row r="3975" spans="1:1" x14ac:dyDescent="0.2">
      <c r="A3975" s="52"/>
    </row>
    <row r="3976" spans="1:1" x14ac:dyDescent="0.2">
      <c r="A3976" s="52"/>
    </row>
    <row r="3977" spans="1:1" x14ac:dyDescent="0.2">
      <c r="A3977" s="53"/>
    </row>
    <row r="3978" spans="1:1" x14ac:dyDescent="0.2">
      <c r="A3978" s="52"/>
    </row>
    <row r="3979" spans="1:1" x14ac:dyDescent="0.2">
      <c r="A3979" s="52"/>
    </row>
    <row r="3980" spans="1:1" x14ac:dyDescent="0.2">
      <c r="A3980" s="52"/>
    </row>
    <row r="3981" spans="1:1" x14ac:dyDescent="0.2">
      <c r="A3981" s="52"/>
    </row>
    <row r="3982" spans="1:1" x14ac:dyDescent="0.2">
      <c r="A3982" s="52"/>
    </row>
    <row r="3983" spans="1:1" x14ac:dyDescent="0.2">
      <c r="A3983" s="52"/>
    </row>
    <row r="3984" spans="1:1" x14ac:dyDescent="0.2">
      <c r="A3984" s="52"/>
    </row>
    <row r="3985" spans="1:1" x14ac:dyDescent="0.2">
      <c r="A3985" s="52"/>
    </row>
    <row r="3986" spans="1:1" x14ac:dyDescent="0.2">
      <c r="A3986" s="52"/>
    </row>
    <row r="3987" spans="1:1" x14ac:dyDescent="0.2">
      <c r="A3987" s="52"/>
    </row>
    <row r="3988" spans="1:1" x14ac:dyDescent="0.2">
      <c r="A3988" s="52"/>
    </row>
    <row r="3989" spans="1:1" x14ac:dyDescent="0.2">
      <c r="A3989" s="52"/>
    </row>
    <row r="3990" spans="1:1" x14ac:dyDescent="0.2">
      <c r="A3990" s="52"/>
    </row>
    <row r="3991" spans="1:1" x14ac:dyDescent="0.2">
      <c r="A3991" s="52"/>
    </row>
    <row r="3992" spans="1:1" x14ac:dyDescent="0.2">
      <c r="A3992" s="52"/>
    </row>
    <row r="3993" spans="1:1" x14ac:dyDescent="0.2">
      <c r="A3993" s="52"/>
    </row>
    <row r="3994" spans="1:1" x14ac:dyDescent="0.2">
      <c r="A3994" s="52"/>
    </row>
    <row r="3995" spans="1:1" x14ac:dyDescent="0.2">
      <c r="A3995" s="52"/>
    </row>
    <row r="3996" spans="1:1" x14ac:dyDescent="0.2">
      <c r="A3996" s="52"/>
    </row>
    <row r="3997" spans="1:1" x14ac:dyDescent="0.2">
      <c r="A3997" s="52"/>
    </row>
    <row r="3998" spans="1:1" x14ac:dyDescent="0.2">
      <c r="A3998" s="52"/>
    </row>
    <row r="3999" spans="1:1" x14ac:dyDescent="0.2">
      <c r="A3999" s="52"/>
    </row>
    <row r="4000" spans="1:1" x14ac:dyDescent="0.2">
      <c r="A4000" s="52"/>
    </row>
    <row r="4001" spans="1:1" x14ac:dyDescent="0.2">
      <c r="A4001" s="52"/>
    </row>
    <row r="4002" spans="1:1" x14ac:dyDescent="0.2">
      <c r="A4002" s="52"/>
    </row>
    <row r="4003" spans="1:1" x14ac:dyDescent="0.2">
      <c r="A4003" s="52"/>
    </row>
    <row r="4004" spans="1:1" x14ac:dyDescent="0.2">
      <c r="A4004" s="52"/>
    </row>
    <row r="4005" spans="1:1" x14ac:dyDescent="0.2">
      <c r="A4005" s="52"/>
    </row>
    <row r="4006" spans="1:1" x14ac:dyDescent="0.2">
      <c r="A4006" s="52"/>
    </row>
    <row r="4007" spans="1:1" x14ac:dyDescent="0.2">
      <c r="A4007" s="52"/>
    </row>
    <row r="4008" spans="1:1" x14ac:dyDescent="0.2">
      <c r="A4008" s="52"/>
    </row>
    <row r="4009" spans="1:1" x14ac:dyDescent="0.2">
      <c r="A4009" s="52"/>
    </row>
    <row r="4010" spans="1:1" x14ac:dyDescent="0.2">
      <c r="A4010" s="52"/>
    </row>
    <row r="4011" spans="1:1" x14ac:dyDescent="0.2">
      <c r="A4011" s="52"/>
    </row>
    <row r="4012" spans="1:1" x14ac:dyDescent="0.2">
      <c r="A4012" s="52"/>
    </row>
    <row r="4013" spans="1:1" x14ac:dyDescent="0.2">
      <c r="A4013" s="52"/>
    </row>
    <row r="4014" spans="1:1" x14ac:dyDescent="0.2">
      <c r="A4014" s="52"/>
    </row>
    <row r="4015" spans="1:1" x14ac:dyDescent="0.2">
      <c r="A4015" s="52"/>
    </row>
    <row r="4016" spans="1:1" x14ac:dyDescent="0.2">
      <c r="A4016" s="52"/>
    </row>
    <row r="4017" spans="1:1" x14ac:dyDescent="0.2">
      <c r="A4017" s="52"/>
    </row>
    <row r="4018" spans="1:1" x14ac:dyDescent="0.2">
      <c r="A4018" s="52"/>
    </row>
    <row r="4019" spans="1:1" x14ac:dyDescent="0.2">
      <c r="A4019" s="52"/>
    </row>
    <row r="4020" spans="1:1" x14ac:dyDescent="0.2">
      <c r="A4020" s="52"/>
    </row>
    <row r="4021" spans="1:1" x14ac:dyDescent="0.2">
      <c r="A4021" s="52"/>
    </row>
    <row r="4022" spans="1:1" x14ac:dyDescent="0.2">
      <c r="A4022" s="52"/>
    </row>
    <row r="4023" spans="1:1" x14ac:dyDescent="0.2">
      <c r="A4023" s="52"/>
    </row>
    <row r="4024" spans="1:1" x14ac:dyDescent="0.2">
      <c r="A4024" s="52"/>
    </row>
    <row r="4025" spans="1:1" x14ac:dyDescent="0.2">
      <c r="A4025" s="52"/>
    </row>
    <row r="4026" spans="1:1" x14ac:dyDescent="0.2">
      <c r="A4026" s="52"/>
    </row>
    <row r="4027" spans="1:1" x14ac:dyDescent="0.2">
      <c r="A4027" s="52"/>
    </row>
    <row r="4028" spans="1:1" x14ac:dyDescent="0.2">
      <c r="A4028" s="52"/>
    </row>
    <row r="4029" spans="1:1" x14ac:dyDescent="0.2">
      <c r="A4029" s="52"/>
    </row>
    <row r="4030" spans="1:1" x14ac:dyDescent="0.2">
      <c r="A4030" s="53"/>
    </row>
    <row r="4031" spans="1:1" x14ac:dyDescent="0.2">
      <c r="A4031" s="52"/>
    </row>
    <row r="4032" spans="1:1" x14ac:dyDescent="0.2">
      <c r="A4032" s="52"/>
    </row>
    <row r="4033" spans="1:1" x14ac:dyDescent="0.2">
      <c r="A4033" s="52"/>
    </row>
    <row r="4034" spans="1:1" x14ac:dyDescent="0.2">
      <c r="A4034" s="52"/>
    </row>
    <row r="4035" spans="1:1" x14ac:dyDescent="0.2">
      <c r="A4035" s="52"/>
    </row>
    <row r="4036" spans="1:1" x14ac:dyDescent="0.2">
      <c r="A4036" s="52"/>
    </row>
    <row r="4037" spans="1:1" x14ac:dyDescent="0.2">
      <c r="A4037" s="52"/>
    </row>
    <row r="4038" spans="1:1" x14ac:dyDescent="0.2">
      <c r="A4038" s="52"/>
    </row>
    <row r="4039" spans="1:1" x14ac:dyDescent="0.2">
      <c r="A4039" s="52"/>
    </row>
    <row r="4040" spans="1:1" x14ac:dyDescent="0.2">
      <c r="A4040" s="52"/>
    </row>
    <row r="4041" spans="1:1" x14ac:dyDescent="0.2">
      <c r="A4041" s="52"/>
    </row>
    <row r="4042" spans="1:1" x14ac:dyDescent="0.2">
      <c r="A4042" s="52"/>
    </row>
    <row r="4043" spans="1:1" x14ac:dyDescent="0.2">
      <c r="A4043" s="52"/>
    </row>
    <row r="4044" spans="1:1" x14ac:dyDescent="0.2">
      <c r="A4044" s="52"/>
    </row>
    <row r="4045" spans="1:1" x14ac:dyDescent="0.2">
      <c r="A4045" s="52"/>
    </row>
    <row r="4046" spans="1:1" x14ac:dyDescent="0.2">
      <c r="A4046" s="52"/>
    </row>
    <row r="4047" spans="1:1" x14ac:dyDescent="0.2">
      <c r="A4047" s="52"/>
    </row>
    <row r="4048" spans="1:1" x14ac:dyDescent="0.2">
      <c r="A4048" s="52"/>
    </row>
    <row r="4049" spans="1:1" x14ac:dyDescent="0.2">
      <c r="A4049" s="52"/>
    </row>
    <row r="4050" spans="1:1" x14ac:dyDescent="0.2">
      <c r="A4050" s="52"/>
    </row>
    <row r="4051" spans="1:1" x14ac:dyDescent="0.2">
      <c r="A4051" s="52"/>
    </row>
    <row r="4052" spans="1:1" x14ac:dyDescent="0.2">
      <c r="A4052" s="52"/>
    </row>
    <row r="4053" spans="1:1" x14ac:dyDescent="0.2">
      <c r="A4053" s="52"/>
    </row>
    <row r="4054" spans="1:1" x14ac:dyDescent="0.2">
      <c r="A4054" s="52"/>
    </row>
    <row r="4055" spans="1:1" x14ac:dyDescent="0.2">
      <c r="A4055" s="52"/>
    </row>
    <row r="4056" spans="1:1" x14ac:dyDescent="0.2">
      <c r="A4056" s="52"/>
    </row>
    <row r="4057" spans="1:1" x14ac:dyDescent="0.2">
      <c r="A4057" s="52"/>
    </row>
    <row r="4058" spans="1:1" x14ac:dyDescent="0.2">
      <c r="A4058" s="52"/>
    </row>
    <row r="4059" spans="1:1" x14ac:dyDescent="0.2">
      <c r="A4059" s="52"/>
    </row>
    <row r="4060" spans="1:1" x14ac:dyDescent="0.2">
      <c r="A4060" s="53"/>
    </row>
    <row r="4061" spans="1:1" x14ac:dyDescent="0.2">
      <c r="A4061" s="52"/>
    </row>
    <row r="4062" spans="1:1" x14ac:dyDescent="0.2">
      <c r="A4062" s="52"/>
    </row>
    <row r="4063" spans="1:1" x14ac:dyDescent="0.2">
      <c r="A4063" s="52"/>
    </row>
    <row r="4064" spans="1:1" x14ac:dyDescent="0.2">
      <c r="A4064" s="52"/>
    </row>
    <row r="4065" spans="1:1" x14ac:dyDescent="0.2">
      <c r="A4065" s="52"/>
    </row>
    <row r="4066" spans="1:1" x14ac:dyDescent="0.2">
      <c r="A4066" s="52"/>
    </row>
    <row r="4067" spans="1:1" x14ac:dyDescent="0.2">
      <c r="A4067" s="52"/>
    </row>
    <row r="4068" spans="1:1" x14ac:dyDescent="0.2">
      <c r="A4068" s="52"/>
    </row>
    <row r="4069" spans="1:1" x14ac:dyDescent="0.2">
      <c r="A4069" s="52"/>
    </row>
    <row r="4070" spans="1:1" x14ac:dyDescent="0.2">
      <c r="A4070" s="52"/>
    </row>
    <row r="4071" spans="1:1" x14ac:dyDescent="0.2">
      <c r="A4071" s="52"/>
    </row>
    <row r="4072" spans="1:1" x14ac:dyDescent="0.2">
      <c r="A4072" s="53"/>
    </row>
    <row r="4073" spans="1:1" x14ac:dyDescent="0.2">
      <c r="A4073" s="52"/>
    </row>
    <row r="4074" spans="1:1" x14ac:dyDescent="0.2">
      <c r="A4074" s="52"/>
    </row>
    <row r="4075" spans="1:1" x14ac:dyDescent="0.2">
      <c r="A4075" s="52"/>
    </row>
    <row r="4076" spans="1:1" x14ac:dyDescent="0.2">
      <c r="A4076" s="52"/>
    </row>
    <row r="4077" spans="1:1" x14ac:dyDescent="0.2">
      <c r="A4077" s="52"/>
    </row>
    <row r="4078" spans="1:1" x14ac:dyDescent="0.2">
      <c r="A4078" s="52"/>
    </row>
    <row r="4079" spans="1:1" x14ac:dyDescent="0.2">
      <c r="A4079" s="52"/>
    </row>
    <row r="4080" spans="1:1" x14ac:dyDescent="0.2">
      <c r="A4080" s="52"/>
    </row>
    <row r="4081" spans="1:1" x14ac:dyDescent="0.2">
      <c r="A4081" s="52"/>
    </row>
    <row r="4082" spans="1:1" x14ac:dyDescent="0.2">
      <c r="A4082" s="52"/>
    </row>
    <row r="4083" spans="1:1" x14ac:dyDescent="0.2">
      <c r="A4083" s="52"/>
    </row>
    <row r="4084" spans="1:1" x14ac:dyDescent="0.2">
      <c r="A4084" s="52"/>
    </row>
    <row r="4085" spans="1:1" x14ac:dyDescent="0.2">
      <c r="A4085" s="52"/>
    </row>
    <row r="4086" spans="1:1" x14ac:dyDescent="0.2">
      <c r="A4086" s="52"/>
    </row>
    <row r="4087" spans="1:1" x14ac:dyDescent="0.2">
      <c r="A4087" s="52"/>
    </row>
    <row r="4088" spans="1:1" x14ac:dyDescent="0.2">
      <c r="A4088" s="52"/>
    </row>
    <row r="4089" spans="1:1" x14ac:dyDescent="0.2">
      <c r="A4089" s="52"/>
    </row>
    <row r="4090" spans="1:1" x14ac:dyDescent="0.2">
      <c r="A4090" s="52"/>
    </row>
    <row r="4091" spans="1:1" x14ac:dyDescent="0.2">
      <c r="A4091" s="52"/>
    </row>
    <row r="4092" spans="1:1" x14ac:dyDescent="0.2">
      <c r="A4092" s="52"/>
    </row>
    <row r="4093" spans="1:1" x14ac:dyDescent="0.2">
      <c r="A4093" s="52"/>
    </row>
    <row r="4094" spans="1:1" x14ac:dyDescent="0.2">
      <c r="A4094" s="52"/>
    </row>
    <row r="4095" spans="1:1" x14ac:dyDescent="0.2">
      <c r="A4095" s="52"/>
    </row>
    <row r="4096" spans="1:1" x14ac:dyDescent="0.2">
      <c r="A4096" s="52"/>
    </row>
    <row r="4097" spans="1:1" x14ac:dyDescent="0.2">
      <c r="A4097" s="52"/>
    </row>
    <row r="4098" spans="1:1" x14ac:dyDescent="0.2">
      <c r="A4098" s="52"/>
    </row>
    <row r="4099" spans="1:1" x14ac:dyDescent="0.2">
      <c r="A4099" s="52"/>
    </row>
    <row r="4100" spans="1:1" x14ac:dyDescent="0.2">
      <c r="A4100" s="52"/>
    </row>
    <row r="4101" spans="1:1" x14ac:dyDescent="0.2">
      <c r="A4101" s="52"/>
    </row>
    <row r="4102" spans="1:1" x14ac:dyDescent="0.2">
      <c r="A4102" s="53"/>
    </row>
    <row r="4103" spans="1:1" x14ac:dyDescent="0.2">
      <c r="A4103" s="52"/>
    </row>
    <row r="4104" spans="1:1" x14ac:dyDescent="0.2">
      <c r="A4104" s="52"/>
    </row>
    <row r="4105" spans="1:1" x14ac:dyDescent="0.2">
      <c r="A4105" s="52"/>
    </row>
    <row r="4106" spans="1:1" x14ac:dyDescent="0.2">
      <c r="A4106" s="52"/>
    </row>
    <row r="4107" spans="1:1" x14ac:dyDescent="0.2">
      <c r="A4107" s="52"/>
    </row>
    <row r="4108" spans="1:1" x14ac:dyDescent="0.2">
      <c r="A4108" s="52"/>
    </row>
    <row r="4109" spans="1:1" x14ac:dyDescent="0.2">
      <c r="A4109" s="52"/>
    </row>
    <row r="4110" spans="1:1" x14ac:dyDescent="0.2">
      <c r="A4110" s="52"/>
    </row>
    <row r="4111" spans="1:1" x14ac:dyDescent="0.2">
      <c r="A4111" s="52"/>
    </row>
    <row r="4112" spans="1:1" x14ac:dyDescent="0.2">
      <c r="A4112" s="52"/>
    </row>
    <row r="4113" spans="1:1" x14ac:dyDescent="0.2">
      <c r="A4113" s="52"/>
    </row>
    <row r="4114" spans="1:1" x14ac:dyDescent="0.2">
      <c r="A4114" s="52"/>
    </row>
    <row r="4115" spans="1:1" x14ac:dyDescent="0.2">
      <c r="A4115" s="52"/>
    </row>
    <row r="4116" spans="1:1" x14ac:dyDescent="0.2">
      <c r="A4116" s="52"/>
    </row>
    <row r="4117" spans="1:1" x14ac:dyDescent="0.2">
      <c r="A4117" s="52"/>
    </row>
    <row r="4118" spans="1:1" x14ac:dyDescent="0.2">
      <c r="A4118" s="52"/>
    </row>
    <row r="4119" spans="1:1" x14ac:dyDescent="0.2">
      <c r="A4119" s="52"/>
    </row>
    <row r="4120" spans="1:1" x14ac:dyDescent="0.2">
      <c r="A4120" s="52"/>
    </row>
    <row r="4121" spans="1:1" x14ac:dyDescent="0.2">
      <c r="A4121" s="52"/>
    </row>
    <row r="4122" spans="1:1" x14ac:dyDescent="0.2">
      <c r="A4122" s="52"/>
    </row>
    <row r="4123" spans="1:1" x14ac:dyDescent="0.2">
      <c r="A4123" s="52"/>
    </row>
    <row r="4124" spans="1:1" x14ac:dyDescent="0.2">
      <c r="A4124" s="52"/>
    </row>
    <row r="4125" spans="1:1" x14ac:dyDescent="0.2">
      <c r="A4125" s="52"/>
    </row>
    <row r="4126" spans="1:1" x14ac:dyDescent="0.2">
      <c r="A4126" s="52"/>
    </row>
    <row r="4127" spans="1:1" x14ac:dyDescent="0.2">
      <c r="A4127" s="52"/>
    </row>
    <row r="4128" spans="1:1" x14ac:dyDescent="0.2">
      <c r="A4128" s="52"/>
    </row>
    <row r="4129" spans="1:1" x14ac:dyDescent="0.2">
      <c r="A4129" s="52"/>
    </row>
    <row r="4130" spans="1:1" x14ac:dyDescent="0.2">
      <c r="A4130" s="52"/>
    </row>
    <row r="4131" spans="1:1" x14ac:dyDescent="0.2">
      <c r="A4131" s="52"/>
    </row>
    <row r="4132" spans="1:1" x14ac:dyDescent="0.2">
      <c r="A4132" s="52"/>
    </row>
    <row r="4133" spans="1:1" x14ac:dyDescent="0.2">
      <c r="A4133" s="52"/>
    </row>
    <row r="4134" spans="1:1" x14ac:dyDescent="0.2">
      <c r="A4134" s="52"/>
    </row>
    <row r="4135" spans="1:1" x14ac:dyDescent="0.2">
      <c r="A4135" s="53"/>
    </row>
    <row r="4136" spans="1:1" x14ac:dyDescent="0.2">
      <c r="A4136" s="52"/>
    </row>
    <row r="4137" spans="1:1" x14ac:dyDescent="0.2">
      <c r="A4137" s="52"/>
    </row>
    <row r="4138" spans="1:1" x14ac:dyDescent="0.2">
      <c r="A4138" s="52"/>
    </row>
    <row r="4139" spans="1:1" x14ac:dyDescent="0.2">
      <c r="A4139" s="52"/>
    </row>
    <row r="4140" spans="1:1" x14ac:dyDescent="0.2">
      <c r="A4140" s="52"/>
    </row>
    <row r="4141" spans="1:1" x14ac:dyDescent="0.2">
      <c r="A4141" s="53"/>
    </row>
    <row r="4142" spans="1:1" x14ac:dyDescent="0.2">
      <c r="A4142" s="52"/>
    </row>
    <row r="4143" spans="1:1" x14ac:dyDescent="0.2">
      <c r="A4143" s="52"/>
    </row>
    <row r="4144" spans="1:1" x14ac:dyDescent="0.2">
      <c r="A4144" s="52"/>
    </row>
    <row r="4145" spans="1:1" x14ac:dyDescent="0.2">
      <c r="A4145" s="52"/>
    </row>
    <row r="4146" spans="1:1" x14ac:dyDescent="0.2">
      <c r="A4146" s="52"/>
    </row>
    <row r="4147" spans="1:1" x14ac:dyDescent="0.2">
      <c r="A4147" s="52"/>
    </row>
    <row r="4148" spans="1:1" x14ac:dyDescent="0.2">
      <c r="A4148" s="52"/>
    </row>
    <row r="4149" spans="1:1" x14ac:dyDescent="0.2">
      <c r="A4149" s="52"/>
    </row>
    <row r="4150" spans="1:1" x14ac:dyDescent="0.2">
      <c r="A4150" s="52"/>
    </row>
    <row r="4151" spans="1:1" x14ac:dyDescent="0.2">
      <c r="A4151" s="52"/>
    </row>
    <row r="4152" spans="1:1" x14ac:dyDescent="0.2">
      <c r="A4152" s="52"/>
    </row>
    <row r="4153" spans="1:1" x14ac:dyDescent="0.2">
      <c r="A4153" s="52"/>
    </row>
    <row r="4154" spans="1:1" x14ac:dyDescent="0.2">
      <c r="A4154" s="52"/>
    </row>
    <row r="4155" spans="1:1" x14ac:dyDescent="0.2">
      <c r="A4155" s="53"/>
    </row>
    <row r="4156" spans="1:1" x14ac:dyDescent="0.2">
      <c r="A4156" s="52"/>
    </row>
    <row r="4157" spans="1:1" x14ac:dyDescent="0.2">
      <c r="A4157" s="52"/>
    </row>
    <row r="4158" spans="1:1" x14ac:dyDescent="0.2">
      <c r="A4158" s="52"/>
    </row>
    <row r="4159" spans="1:1" x14ac:dyDescent="0.2">
      <c r="A4159" s="52"/>
    </row>
    <row r="4160" spans="1:1" x14ac:dyDescent="0.2">
      <c r="A4160" s="52"/>
    </row>
    <row r="4161" spans="1:1" x14ac:dyDescent="0.2">
      <c r="A4161" s="52"/>
    </row>
    <row r="4162" spans="1:1" x14ac:dyDescent="0.2">
      <c r="A4162" s="52"/>
    </row>
    <row r="4163" spans="1:1" x14ac:dyDescent="0.2">
      <c r="A4163" s="52"/>
    </row>
    <row r="4164" spans="1:1" x14ac:dyDescent="0.2">
      <c r="A4164" s="52"/>
    </row>
    <row r="4165" spans="1:1" x14ac:dyDescent="0.2">
      <c r="A4165" s="52"/>
    </row>
    <row r="4166" spans="1:1" x14ac:dyDescent="0.2">
      <c r="A4166" s="52"/>
    </row>
    <row r="4167" spans="1:1" x14ac:dyDescent="0.2">
      <c r="A4167" s="52"/>
    </row>
    <row r="4168" spans="1:1" x14ac:dyDescent="0.2">
      <c r="A4168" s="52"/>
    </row>
    <row r="4169" spans="1:1" x14ac:dyDescent="0.2">
      <c r="A4169" s="52"/>
    </row>
    <row r="4170" spans="1:1" x14ac:dyDescent="0.2">
      <c r="A4170" s="52"/>
    </row>
    <row r="4171" spans="1:1" x14ac:dyDescent="0.2">
      <c r="A4171" s="52"/>
    </row>
    <row r="4172" spans="1:1" x14ac:dyDescent="0.2">
      <c r="A4172" s="52"/>
    </row>
    <row r="4173" spans="1:1" x14ac:dyDescent="0.2">
      <c r="A4173" s="52"/>
    </row>
    <row r="4174" spans="1:1" x14ac:dyDescent="0.2">
      <c r="A4174" s="52"/>
    </row>
    <row r="4175" spans="1:1" x14ac:dyDescent="0.2">
      <c r="A4175" s="52"/>
    </row>
    <row r="4176" spans="1:1" x14ac:dyDescent="0.2">
      <c r="A4176" s="52"/>
    </row>
    <row r="4177" spans="1:1" x14ac:dyDescent="0.2">
      <c r="A4177" s="52"/>
    </row>
    <row r="4178" spans="1:1" x14ac:dyDescent="0.2">
      <c r="A4178" s="52"/>
    </row>
    <row r="4179" spans="1:1" x14ac:dyDescent="0.2">
      <c r="A4179" s="53"/>
    </row>
    <row r="4180" spans="1:1" x14ac:dyDescent="0.2">
      <c r="A4180" s="53"/>
    </row>
    <row r="4181" spans="1:1" x14ac:dyDescent="0.2">
      <c r="A4181" s="52"/>
    </row>
    <row r="4182" spans="1:1" x14ac:dyDescent="0.2">
      <c r="A4182" s="53"/>
    </row>
    <row r="4183" spans="1:1" x14ac:dyDescent="0.2">
      <c r="A4183" s="52"/>
    </row>
    <row r="4184" spans="1:1" x14ac:dyDescent="0.2">
      <c r="A4184" s="52"/>
    </row>
    <row r="4185" spans="1:1" x14ac:dyDescent="0.2">
      <c r="A4185" s="52"/>
    </row>
    <row r="4186" spans="1:1" x14ac:dyDescent="0.2">
      <c r="A4186" s="52"/>
    </row>
    <row r="4187" spans="1:1" x14ac:dyDescent="0.2">
      <c r="A4187" s="52"/>
    </row>
    <row r="4188" spans="1:1" x14ac:dyDescent="0.2">
      <c r="A4188" s="52"/>
    </row>
    <row r="4189" spans="1:1" x14ac:dyDescent="0.2">
      <c r="A4189" s="52"/>
    </row>
    <row r="4190" spans="1:1" x14ac:dyDescent="0.2">
      <c r="A4190" s="52"/>
    </row>
    <row r="4191" spans="1:1" x14ac:dyDescent="0.2">
      <c r="A4191" s="52"/>
    </row>
    <row r="4192" spans="1:1" x14ac:dyDescent="0.2">
      <c r="A4192" s="52"/>
    </row>
    <row r="4193" spans="1:1" x14ac:dyDescent="0.2">
      <c r="A4193" s="52"/>
    </row>
    <row r="4194" spans="1:1" x14ac:dyDescent="0.2">
      <c r="A4194" s="52"/>
    </row>
    <row r="4195" spans="1:1" x14ac:dyDescent="0.2">
      <c r="A4195" s="52"/>
    </row>
    <row r="4196" spans="1:1" x14ac:dyDescent="0.2">
      <c r="A4196" s="52"/>
    </row>
    <row r="4197" spans="1:1" x14ac:dyDescent="0.2">
      <c r="A4197" s="53"/>
    </row>
    <row r="4198" spans="1:1" x14ac:dyDescent="0.2">
      <c r="A4198" s="52"/>
    </row>
    <row r="4199" spans="1:1" x14ac:dyDescent="0.2">
      <c r="A4199" s="52"/>
    </row>
    <row r="4200" spans="1:1" x14ac:dyDescent="0.2">
      <c r="A4200" s="52"/>
    </row>
    <row r="4201" spans="1:1" x14ac:dyDescent="0.2">
      <c r="A4201" s="52"/>
    </row>
    <row r="4202" spans="1:1" x14ac:dyDescent="0.2">
      <c r="A4202" s="52"/>
    </row>
    <row r="4203" spans="1:1" x14ac:dyDescent="0.2">
      <c r="A4203" s="52"/>
    </row>
    <row r="4204" spans="1:1" x14ac:dyDescent="0.2">
      <c r="A4204" s="52"/>
    </row>
    <row r="4205" spans="1:1" x14ac:dyDescent="0.2">
      <c r="A4205" s="52"/>
    </row>
    <row r="4206" spans="1:1" x14ac:dyDescent="0.2">
      <c r="A4206" s="53"/>
    </row>
    <row r="4207" spans="1:1" x14ac:dyDescent="0.2">
      <c r="A4207" s="52"/>
    </row>
    <row r="4208" spans="1:1" x14ac:dyDescent="0.2">
      <c r="A4208" s="52"/>
    </row>
    <row r="4209" spans="1:1" x14ac:dyDescent="0.2">
      <c r="A4209" s="52"/>
    </row>
    <row r="4210" spans="1:1" x14ac:dyDescent="0.2">
      <c r="A4210" s="52"/>
    </row>
    <row r="4211" spans="1:1" x14ac:dyDescent="0.2">
      <c r="A4211" s="52"/>
    </row>
    <row r="4212" spans="1:1" x14ac:dyDescent="0.2">
      <c r="A4212" s="52"/>
    </row>
    <row r="4213" spans="1:1" x14ac:dyDescent="0.2">
      <c r="A4213" s="52"/>
    </row>
    <row r="4214" spans="1:1" x14ac:dyDescent="0.2">
      <c r="A4214" s="53"/>
    </row>
    <row r="4215" spans="1:1" x14ac:dyDescent="0.2">
      <c r="A4215" s="52"/>
    </row>
    <row r="4216" spans="1:1" x14ac:dyDescent="0.2">
      <c r="A4216" s="53"/>
    </row>
    <row r="4217" spans="1:1" x14ac:dyDescent="0.2">
      <c r="A4217" s="52"/>
    </row>
    <row r="4218" spans="1:1" x14ac:dyDescent="0.2">
      <c r="A4218" s="53"/>
    </row>
    <row r="4219" spans="1:1" x14ac:dyDescent="0.2">
      <c r="A4219" s="52"/>
    </row>
    <row r="4220" spans="1:1" x14ac:dyDescent="0.2">
      <c r="A4220" s="52"/>
    </row>
    <row r="4221" spans="1:1" x14ac:dyDescent="0.2">
      <c r="A4221" s="52"/>
    </row>
    <row r="4222" spans="1:1" x14ac:dyDescent="0.2">
      <c r="A4222" s="52"/>
    </row>
    <row r="4223" spans="1:1" x14ac:dyDescent="0.2">
      <c r="A4223" s="52"/>
    </row>
    <row r="4224" spans="1:1" x14ac:dyDescent="0.2">
      <c r="A4224" s="52"/>
    </row>
    <row r="4225" spans="1:1" x14ac:dyDescent="0.2">
      <c r="A4225" s="52"/>
    </row>
    <row r="4226" spans="1:1" x14ac:dyDescent="0.2">
      <c r="A4226" s="52"/>
    </row>
    <row r="4227" spans="1:1" x14ac:dyDescent="0.2">
      <c r="A4227" s="52"/>
    </row>
    <row r="4228" spans="1:1" x14ac:dyDescent="0.2">
      <c r="A4228" s="52"/>
    </row>
    <row r="4229" spans="1:1" x14ac:dyDescent="0.2">
      <c r="A4229" s="52"/>
    </row>
    <row r="4230" spans="1:1" x14ac:dyDescent="0.2">
      <c r="A4230" s="52"/>
    </row>
    <row r="4231" spans="1:1" x14ac:dyDescent="0.2">
      <c r="A4231" s="52"/>
    </row>
    <row r="4232" spans="1:1" x14ac:dyDescent="0.2">
      <c r="A4232" s="52"/>
    </row>
    <row r="4233" spans="1:1" x14ac:dyDescent="0.2">
      <c r="A4233" s="53"/>
    </row>
    <row r="4234" spans="1:1" x14ac:dyDescent="0.2">
      <c r="A4234" s="52"/>
    </row>
    <row r="4235" spans="1:1" x14ac:dyDescent="0.2">
      <c r="A4235" s="52"/>
    </row>
    <row r="4236" spans="1:1" x14ac:dyDescent="0.2">
      <c r="A4236" s="52"/>
    </row>
    <row r="4237" spans="1:1" x14ac:dyDescent="0.2">
      <c r="A4237" s="53"/>
    </row>
    <row r="4238" spans="1:1" x14ac:dyDescent="0.2">
      <c r="A4238" s="52"/>
    </row>
    <row r="4239" spans="1:1" x14ac:dyDescent="0.2">
      <c r="A4239" s="52"/>
    </row>
    <row r="4240" spans="1:1" x14ac:dyDescent="0.2">
      <c r="A4240" s="52"/>
    </row>
    <row r="4241" spans="1:1" x14ac:dyDescent="0.2">
      <c r="A4241" s="52"/>
    </row>
    <row r="4242" spans="1:1" x14ac:dyDescent="0.2">
      <c r="A4242" s="52"/>
    </row>
    <row r="4243" spans="1:1" x14ac:dyDescent="0.2">
      <c r="A4243" s="52"/>
    </row>
    <row r="4244" spans="1:1" x14ac:dyDescent="0.2">
      <c r="A4244" s="52"/>
    </row>
    <row r="4245" spans="1:1" x14ac:dyDescent="0.2">
      <c r="A4245" s="52"/>
    </row>
    <row r="4246" spans="1:1" x14ac:dyDescent="0.2">
      <c r="A4246" s="52"/>
    </row>
    <row r="4247" spans="1:1" x14ac:dyDescent="0.2">
      <c r="A4247" s="53"/>
    </row>
    <row r="4248" spans="1:1" x14ac:dyDescent="0.2">
      <c r="A4248" s="52"/>
    </row>
    <row r="4249" spans="1:1" x14ac:dyDescent="0.2">
      <c r="A4249" s="52"/>
    </row>
    <row r="4250" spans="1:1" x14ac:dyDescent="0.2">
      <c r="A4250" s="52"/>
    </row>
    <row r="4251" spans="1:1" x14ac:dyDescent="0.2">
      <c r="A4251" s="53"/>
    </row>
    <row r="4252" spans="1:1" x14ac:dyDescent="0.2">
      <c r="A4252" s="52"/>
    </row>
    <row r="4253" spans="1:1" x14ac:dyDescent="0.2">
      <c r="A4253" s="52"/>
    </row>
    <row r="4254" spans="1:1" x14ac:dyDescent="0.2">
      <c r="A4254" s="52"/>
    </row>
    <row r="4255" spans="1:1" x14ac:dyDescent="0.2">
      <c r="A4255" s="52"/>
    </row>
    <row r="4256" spans="1:1" x14ac:dyDescent="0.2">
      <c r="A4256" s="52"/>
    </row>
    <row r="4257" spans="1:1" x14ac:dyDescent="0.2">
      <c r="A4257" s="52"/>
    </row>
    <row r="4258" spans="1:1" x14ac:dyDescent="0.2">
      <c r="A4258" s="52"/>
    </row>
    <row r="4259" spans="1:1" x14ac:dyDescent="0.2">
      <c r="A4259" s="52"/>
    </row>
    <row r="4260" spans="1:1" x14ac:dyDescent="0.2">
      <c r="A4260" s="52"/>
    </row>
    <row r="4261" spans="1:1" x14ac:dyDescent="0.2">
      <c r="A4261" s="52"/>
    </row>
    <row r="4262" spans="1:1" x14ac:dyDescent="0.2">
      <c r="A4262" s="52"/>
    </row>
    <row r="4263" spans="1:1" x14ac:dyDescent="0.2">
      <c r="A4263" s="52"/>
    </row>
    <row r="4264" spans="1:1" x14ac:dyDescent="0.2">
      <c r="A4264" s="52"/>
    </row>
    <row r="4265" spans="1:1" x14ac:dyDescent="0.2">
      <c r="A4265" s="52"/>
    </row>
    <row r="4266" spans="1:1" x14ac:dyDescent="0.2">
      <c r="A4266" s="52"/>
    </row>
    <row r="4267" spans="1:1" x14ac:dyDescent="0.2">
      <c r="A4267" s="52"/>
    </row>
    <row r="4268" spans="1:1" x14ac:dyDescent="0.2">
      <c r="A4268" s="52"/>
    </row>
    <row r="4269" spans="1:1" x14ac:dyDescent="0.2">
      <c r="A4269" s="52"/>
    </row>
    <row r="4270" spans="1:1" x14ac:dyDescent="0.2">
      <c r="A4270" s="52"/>
    </row>
    <row r="4271" spans="1:1" x14ac:dyDescent="0.2">
      <c r="A4271" s="52"/>
    </row>
    <row r="4272" spans="1:1" x14ac:dyDescent="0.2">
      <c r="A4272" s="52"/>
    </row>
    <row r="4273" spans="1:1" x14ac:dyDescent="0.2">
      <c r="A4273" s="52"/>
    </row>
    <row r="4274" spans="1:1" x14ac:dyDescent="0.2">
      <c r="A4274" s="52"/>
    </row>
    <row r="4275" spans="1:1" x14ac:dyDescent="0.2">
      <c r="A4275" s="53"/>
    </row>
    <row r="4276" spans="1:1" x14ac:dyDescent="0.2">
      <c r="A4276" s="52"/>
    </row>
    <row r="4277" spans="1:1" x14ac:dyDescent="0.2">
      <c r="A4277" s="52"/>
    </row>
    <row r="4278" spans="1:1" x14ac:dyDescent="0.2">
      <c r="A4278" s="52"/>
    </row>
    <row r="4279" spans="1:1" x14ac:dyDescent="0.2">
      <c r="A4279" s="52"/>
    </row>
    <row r="4280" spans="1:1" x14ac:dyDescent="0.2">
      <c r="A4280" s="52"/>
    </row>
    <row r="4281" spans="1:1" x14ac:dyDescent="0.2">
      <c r="A4281" s="52"/>
    </row>
    <row r="4282" spans="1:1" x14ac:dyDescent="0.2">
      <c r="A4282" s="52"/>
    </row>
    <row r="4283" spans="1:1" x14ac:dyDescent="0.2">
      <c r="A4283" s="52"/>
    </row>
    <row r="4284" spans="1:1" x14ac:dyDescent="0.2">
      <c r="A4284" s="52"/>
    </row>
    <row r="4285" spans="1:1" x14ac:dyDescent="0.2">
      <c r="A4285" s="52"/>
    </row>
    <row r="4286" spans="1:1" x14ac:dyDescent="0.2">
      <c r="A4286" s="52"/>
    </row>
    <row r="4287" spans="1:1" x14ac:dyDescent="0.2">
      <c r="A4287" s="52"/>
    </row>
    <row r="4288" spans="1:1" x14ac:dyDescent="0.2">
      <c r="A4288" s="52"/>
    </row>
    <row r="4289" spans="1:1" x14ac:dyDescent="0.2">
      <c r="A4289" s="52"/>
    </row>
    <row r="4290" spans="1:1" x14ac:dyDescent="0.2">
      <c r="A4290" s="52"/>
    </row>
    <row r="4291" spans="1:1" x14ac:dyDescent="0.2">
      <c r="A4291" s="52"/>
    </row>
    <row r="4292" spans="1:1" x14ac:dyDescent="0.2">
      <c r="A4292" s="52"/>
    </row>
    <row r="4293" spans="1:1" x14ac:dyDescent="0.2">
      <c r="A4293" s="52"/>
    </row>
    <row r="4294" spans="1:1" x14ac:dyDescent="0.2">
      <c r="A4294" s="52"/>
    </row>
    <row r="4295" spans="1:1" x14ac:dyDescent="0.2">
      <c r="A4295" s="53"/>
    </row>
    <row r="4296" spans="1:1" x14ac:dyDescent="0.2">
      <c r="A4296" s="52"/>
    </row>
    <row r="4297" spans="1:1" x14ac:dyDescent="0.2">
      <c r="A4297" s="52"/>
    </row>
    <row r="4298" spans="1:1" x14ac:dyDescent="0.2">
      <c r="A4298" s="52"/>
    </row>
    <row r="4299" spans="1:1" x14ac:dyDescent="0.2">
      <c r="A4299" s="52"/>
    </row>
    <row r="4300" spans="1:1" x14ac:dyDescent="0.2">
      <c r="A4300" s="52"/>
    </row>
    <row r="4301" spans="1:1" x14ac:dyDescent="0.2">
      <c r="A4301" s="52"/>
    </row>
    <row r="4302" spans="1:1" x14ac:dyDescent="0.2">
      <c r="A4302" s="52"/>
    </row>
    <row r="4303" spans="1:1" x14ac:dyDescent="0.2">
      <c r="A4303" s="52"/>
    </row>
    <row r="4304" spans="1:1" x14ac:dyDescent="0.2">
      <c r="A4304" s="52"/>
    </row>
    <row r="4305" spans="1:1" x14ac:dyDescent="0.2">
      <c r="A4305" s="52"/>
    </row>
    <row r="4306" spans="1:1" x14ac:dyDescent="0.2">
      <c r="A4306" s="52"/>
    </row>
    <row r="4307" spans="1:1" x14ac:dyDescent="0.2">
      <c r="A4307" s="52"/>
    </row>
    <row r="4308" spans="1:1" x14ac:dyDescent="0.2">
      <c r="A4308" s="52"/>
    </row>
    <row r="4309" spans="1:1" x14ac:dyDescent="0.2">
      <c r="A4309" s="52"/>
    </row>
    <row r="4310" spans="1:1" x14ac:dyDescent="0.2">
      <c r="A4310" s="52"/>
    </row>
    <row r="4311" spans="1:1" x14ac:dyDescent="0.2">
      <c r="A4311" s="52"/>
    </row>
    <row r="4312" spans="1:1" x14ac:dyDescent="0.2">
      <c r="A4312" s="52"/>
    </row>
    <row r="4313" spans="1:1" x14ac:dyDescent="0.2">
      <c r="A4313" s="52"/>
    </row>
    <row r="4314" spans="1:1" x14ac:dyDescent="0.2">
      <c r="A4314" s="52"/>
    </row>
    <row r="4315" spans="1:1" x14ac:dyDescent="0.2">
      <c r="A4315" s="52"/>
    </row>
    <row r="4316" spans="1:1" x14ac:dyDescent="0.2">
      <c r="A4316" s="52"/>
    </row>
    <row r="4317" spans="1:1" x14ac:dyDescent="0.2">
      <c r="A4317" s="52"/>
    </row>
    <row r="4318" spans="1:1" x14ac:dyDescent="0.2">
      <c r="A4318" s="52"/>
    </row>
    <row r="4319" spans="1:1" x14ac:dyDescent="0.2">
      <c r="A4319" s="52"/>
    </row>
    <row r="4320" spans="1:1" x14ac:dyDescent="0.2">
      <c r="A4320" s="52"/>
    </row>
    <row r="4321" spans="1:1" x14ac:dyDescent="0.2">
      <c r="A4321" s="52"/>
    </row>
    <row r="4322" spans="1:1" x14ac:dyDescent="0.2">
      <c r="A4322" s="52"/>
    </row>
    <row r="4323" spans="1:1" x14ac:dyDescent="0.2">
      <c r="A4323" s="53"/>
    </row>
    <row r="4324" spans="1:1" x14ac:dyDescent="0.2">
      <c r="A4324" s="52"/>
    </row>
    <row r="4325" spans="1:1" x14ac:dyDescent="0.2">
      <c r="A4325" s="52"/>
    </row>
    <row r="4326" spans="1:1" x14ac:dyDescent="0.2">
      <c r="A4326" s="52"/>
    </row>
    <row r="4327" spans="1:1" x14ac:dyDescent="0.2">
      <c r="A4327" s="52"/>
    </row>
    <row r="4328" spans="1:1" x14ac:dyDescent="0.2">
      <c r="A4328" s="52"/>
    </row>
    <row r="4329" spans="1:1" x14ac:dyDescent="0.2">
      <c r="A4329" s="52"/>
    </row>
    <row r="4330" spans="1:1" x14ac:dyDescent="0.2">
      <c r="A4330" s="52"/>
    </row>
    <row r="4331" spans="1:1" x14ac:dyDescent="0.2">
      <c r="A4331" s="53"/>
    </row>
    <row r="4332" spans="1:1" x14ac:dyDescent="0.2">
      <c r="A4332" s="52"/>
    </row>
    <row r="4333" spans="1:1" x14ac:dyDescent="0.2">
      <c r="A4333" s="52"/>
    </row>
    <row r="4334" spans="1:1" x14ac:dyDescent="0.2">
      <c r="A4334" s="52"/>
    </row>
    <row r="4335" spans="1:1" x14ac:dyDescent="0.2">
      <c r="A4335" s="52"/>
    </row>
    <row r="4336" spans="1:1" x14ac:dyDescent="0.2">
      <c r="A4336" s="53"/>
    </row>
    <row r="4337" spans="1:1" x14ac:dyDescent="0.2">
      <c r="A4337" s="52"/>
    </row>
    <row r="4338" spans="1:1" x14ac:dyDescent="0.2">
      <c r="A4338" s="52"/>
    </row>
    <row r="4339" spans="1:1" x14ac:dyDescent="0.2">
      <c r="A4339" s="52"/>
    </row>
    <row r="4340" spans="1:1" x14ac:dyDescent="0.2">
      <c r="A4340" s="52"/>
    </row>
    <row r="4341" spans="1:1" x14ac:dyDescent="0.2">
      <c r="A4341" s="52"/>
    </row>
    <row r="4342" spans="1:1" x14ac:dyDescent="0.2">
      <c r="A4342" s="52"/>
    </row>
    <row r="4343" spans="1:1" x14ac:dyDescent="0.2">
      <c r="A4343" s="52"/>
    </row>
    <row r="4344" spans="1:1" x14ac:dyDescent="0.2">
      <c r="A4344" s="52"/>
    </row>
    <row r="4345" spans="1:1" x14ac:dyDescent="0.2">
      <c r="A4345" s="52"/>
    </row>
    <row r="4346" spans="1:1" x14ac:dyDescent="0.2">
      <c r="A4346" s="52"/>
    </row>
    <row r="4347" spans="1:1" x14ac:dyDescent="0.2">
      <c r="A4347" s="52"/>
    </row>
    <row r="4348" spans="1:1" x14ac:dyDescent="0.2">
      <c r="A4348" s="52"/>
    </row>
    <row r="4349" spans="1:1" x14ac:dyDescent="0.2">
      <c r="A4349" s="52"/>
    </row>
    <row r="4350" spans="1:1" x14ac:dyDescent="0.2">
      <c r="A4350" s="52"/>
    </row>
    <row r="4351" spans="1:1" x14ac:dyDescent="0.2">
      <c r="A4351" s="52"/>
    </row>
    <row r="4352" spans="1:1" x14ac:dyDescent="0.2">
      <c r="A4352" s="52"/>
    </row>
    <row r="4353" spans="1:1" x14ac:dyDescent="0.2">
      <c r="A4353" s="52"/>
    </row>
    <row r="4354" spans="1:1" x14ac:dyDescent="0.2">
      <c r="A4354" s="52"/>
    </row>
    <row r="4355" spans="1:1" x14ac:dyDescent="0.2">
      <c r="A4355" s="52"/>
    </row>
    <row r="4356" spans="1:1" x14ac:dyDescent="0.2">
      <c r="A4356" s="53"/>
    </row>
    <row r="4357" spans="1:1" x14ac:dyDescent="0.2">
      <c r="A4357" s="52"/>
    </row>
    <row r="4358" spans="1:1" x14ac:dyDescent="0.2">
      <c r="A4358" s="52"/>
    </row>
    <row r="4359" spans="1:1" x14ac:dyDescent="0.2">
      <c r="A4359" s="52"/>
    </row>
    <row r="4360" spans="1:1" x14ac:dyDescent="0.2">
      <c r="A4360" s="52"/>
    </row>
    <row r="4361" spans="1:1" x14ac:dyDescent="0.2">
      <c r="A4361" s="52"/>
    </row>
    <row r="4362" spans="1:1" x14ac:dyDescent="0.2">
      <c r="A4362" s="52"/>
    </row>
    <row r="4363" spans="1:1" x14ac:dyDescent="0.2">
      <c r="A4363" s="52"/>
    </row>
    <row r="4364" spans="1:1" x14ac:dyDescent="0.2">
      <c r="A4364" s="52"/>
    </row>
    <row r="4365" spans="1:1" x14ac:dyDescent="0.2">
      <c r="A4365" s="52"/>
    </row>
    <row r="4366" spans="1:1" x14ac:dyDescent="0.2">
      <c r="A4366" s="53"/>
    </row>
    <row r="4367" spans="1:1" x14ac:dyDescent="0.2">
      <c r="A4367" s="52"/>
    </row>
    <row r="4368" spans="1:1" x14ac:dyDescent="0.2">
      <c r="A4368" s="52"/>
    </row>
    <row r="4369" spans="1:1" x14ac:dyDescent="0.2">
      <c r="A4369" s="52"/>
    </row>
    <row r="4370" spans="1:1" x14ac:dyDescent="0.2">
      <c r="A4370" s="52"/>
    </row>
    <row r="4371" spans="1:1" x14ac:dyDescent="0.2">
      <c r="A4371" s="52"/>
    </row>
    <row r="4372" spans="1:1" x14ac:dyDescent="0.2">
      <c r="A4372" s="52"/>
    </row>
    <row r="4373" spans="1:1" x14ac:dyDescent="0.2">
      <c r="A4373" s="52"/>
    </row>
    <row r="4374" spans="1:1" x14ac:dyDescent="0.2">
      <c r="A4374" s="52"/>
    </row>
    <row r="4375" spans="1:1" x14ac:dyDescent="0.2">
      <c r="A4375" s="52"/>
    </row>
    <row r="4376" spans="1:1" x14ac:dyDescent="0.2">
      <c r="A4376" s="52"/>
    </row>
    <row r="4377" spans="1:1" x14ac:dyDescent="0.2">
      <c r="A4377" s="52"/>
    </row>
    <row r="4378" spans="1:1" x14ac:dyDescent="0.2">
      <c r="A4378" s="52"/>
    </row>
    <row r="4379" spans="1:1" x14ac:dyDescent="0.2">
      <c r="A4379" s="52"/>
    </row>
    <row r="4380" spans="1:1" x14ac:dyDescent="0.2">
      <c r="A4380" s="52"/>
    </row>
    <row r="4381" spans="1:1" x14ac:dyDescent="0.2">
      <c r="A4381" s="52"/>
    </row>
    <row r="4382" spans="1:1" x14ac:dyDescent="0.2">
      <c r="A4382" s="52"/>
    </row>
    <row r="4383" spans="1:1" x14ac:dyDescent="0.2">
      <c r="A4383" s="52"/>
    </row>
    <row r="4384" spans="1:1" x14ac:dyDescent="0.2">
      <c r="A4384" s="52"/>
    </row>
    <row r="4385" spans="1:1" x14ac:dyDescent="0.2">
      <c r="A4385" s="52"/>
    </row>
    <row r="4386" spans="1:1" x14ac:dyDescent="0.2">
      <c r="A4386" s="52"/>
    </row>
    <row r="4387" spans="1:1" x14ac:dyDescent="0.2">
      <c r="A4387" s="52"/>
    </row>
    <row r="4388" spans="1:1" x14ac:dyDescent="0.2">
      <c r="A4388" s="52"/>
    </row>
    <row r="4389" spans="1:1" x14ac:dyDescent="0.2">
      <c r="A4389" s="52"/>
    </row>
    <row r="4390" spans="1:1" x14ac:dyDescent="0.2">
      <c r="A4390" s="52"/>
    </row>
    <row r="4391" spans="1:1" x14ac:dyDescent="0.2">
      <c r="A4391" s="52"/>
    </row>
    <row r="4392" spans="1:1" x14ac:dyDescent="0.2">
      <c r="A4392" s="52"/>
    </row>
    <row r="4393" spans="1:1" x14ac:dyDescent="0.2">
      <c r="A4393" s="52"/>
    </row>
    <row r="4394" spans="1:1" x14ac:dyDescent="0.2">
      <c r="A4394" s="52"/>
    </row>
    <row r="4395" spans="1:1" x14ac:dyDescent="0.2">
      <c r="A4395" s="52"/>
    </row>
    <row r="4396" spans="1:1" x14ac:dyDescent="0.2">
      <c r="A4396" s="52"/>
    </row>
    <row r="4397" spans="1:1" x14ac:dyDescent="0.2">
      <c r="A4397" s="52"/>
    </row>
    <row r="4398" spans="1:1" x14ac:dyDescent="0.2">
      <c r="A4398" s="52"/>
    </row>
    <row r="4399" spans="1:1" x14ac:dyDescent="0.2">
      <c r="A4399" s="52"/>
    </row>
    <row r="4400" spans="1:1" x14ac:dyDescent="0.2">
      <c r="A4400" s="52"/>
    </row>
    <row r="4401" spans="1:1" x14ac:dyDescent="0.2">
      <c r="A4401" s="52"/>
    </row>
    <row r="4402" spans="1:1" x14ac:dyDescent="0.2">
      <c r="A4402" s="52"/>
    </row>
    <row r="4403" spans="1:1" x14ac:dyDescent="0.2">
      <c r="A4403" s="52"/>
    </row>
    <row r="4404" spans="1:1" x14ac:dyDescent="0.2">
      <c r="A4404" s="53"/>
    </row>
    <row r="4405" spans="1:1" x14ac:dyDescent="0.2">
      <c r="A4405" s="52"/>
    </row>
    <row r="4406" spans="1:1" x14ac:dyDescent="0.2">
      <c r="A4406" s="53"/>
    </row>
    <row r="4407" spans="1:1" x14ac:dyDescent="0.2">
      <c r="A4407" s="53"/>
    </row>
    <row r="4408" spans="1:1" x14ac:dyDescent="0.2">
      <c r="A4408" s="53"/>
    </row>
    <row r="4409" spans="1:1" x14ac:dyDescent="0.2">
      <c r="A4409" s="53"/>
    </row>
    <row r="4410" spans="1:1" x14ac:dyDescent="0.2">
      <c r="A4410" s="53"/>
    </row>
    <row r="4411" spans="1:1" x14ac:dyDescent="0.2">
      <c r="A4411" s="52"/>
    </row>
    <row r="4412" spans="1:1" x14ac:dyDescent="0.2">
      <c r="A4412" s="53"/>
    </row>
    <row r="4413" spans="1:1" x14ac:dyDescent="0.2">
      <c r="A4413" s="52"/>
    </row>
    <row r="4414" spans="1:1" x14ac:dyDescent="0.2">
      <c r="A4414" s="52"/>
    </row>
    <row r="4415" spans="1:1" x14ac:dyDescent="0.2">
      <c r="A4415" s="53"/>
    </row>
    <row r="4416" spans="1:1" x14ac:dyDescent="0.2">
      <c r="A4416" s="52"/>
    </row>
    <row r="4417" spans="1:1" x14ac:dyDescent="0.2">
      <c r="A4417" s="52"/>
    </row>
    <row r="4418" spans="1:1" x14ac:dyDescent="0.2">
      <c r="A4418" s="52"/>
    </row>
    <row r="4419" spans="1:1" x14ac:dyDescent="0.2">
      <c r="A4419" s="53"/>
    </row>
    <row r="4420" spans="1:1" x14ac:dyDescent="0.2">
      <c r="A4420" s="52"/>
    </row>
    <row r="4421" spans="1:1" x14ac:dyDescent="0.2">
      <c r="A4421" s="53"/>
    </row>
    <row r="4422" spans="1:1" x14ac:dyDescent="0.2">
      <c r="A4422" s="52"/>
    </row>
    <row r="4423" spans="1:1" x14ac:dyDescent="0.2">
      <c r="A4423" s="52"/>
    </row>
    <row r="4424" spans="1:1" x14ac:dyDescent="0.2">
      <c r="A4424" s="52"/>
    </row>
    <row r="4425" spans="1:1" x14ac:dyDescent="0.2">
      <c r="A4425" s="52"/>
    </row>
    <row r="4426" spans="1:1" x14ac:dyDescent="0.2">
      <c r="A4426" s="52"/>
    </row>
    <row r="4427" spans="1:1" x14ac:dyDescent="0.2">
      <c r="A4427" s="53"/>
    </row>
    <row r="4428" spans="1:1" x14ac:dyDescent="0.2">
      <c r="A4428" s="53"/>
    </row>
    <row r="4429" spans="1:1" x14ac:dyDescent="0.2">
      <c r="A4429" s="52"/>
    </row>
    <row r="4430" spans="1:1" x14ac:dyDescent="0.2">
      <c r="A4430" s="52"/>
    </row>
    <row r="4431" spans="1:1" x14ac:dyDescent="0.2">
      <c r="A4431" s="53"/>
    </row>
    <row r="4432" spans="1:1" x14ac:dyDescent="0.2">
      <c r="A4432" s="52"/>
    </row>
    <row r="4433" spans="1:1" x14ac:dyDescent="0.2">
      <c r="A4433" s="53"/>
    </row>
    <row r="4434" spans="1:1" x14ac:dyDescent="0.2">
      <c r="A4434" s="52"/>
    </row>
    <row r="4435" spans="1:1" x14ac:dyDescent="0.2">
      <c r="A4435" s="52"/>
    </row>
    <row r="4436" spans="1:1" x14ac:dyDescent="0.2">
      <c r="A4436" s="53"/>
    </row>
    <row r="4437" spans="1:1" x14ac:dyDescent="0.2">
      <c r="A4437" s="53"/>
    </row>
    <row r="4438" spans="1:1" x14ac:dyDescent="0.2">
      <c r="A4438" s="53"/>
    </row>
    <row r="4439" spans="1:1" x14ac:dyDescent="0.2">
      <c r="A4439" s="53"/>
    </row>
    <row r="4440" spans="1:1" x14ac:dyDescent="0.2">
      <c r="A4440" s="52"/>
    </row>
    <row r="4441" spans="1:1" x14ac:dyDescent="0.2">
      <c r="A4441" s="52"/>
    </row>
    <row r="4442" spans="1:1" x14ac:dyDescent="0.2">
      <c r="A4442" s="52"/>
    </row>
    <row r="4443" spans="1:1" x14ac:dyDescent="0.2">
      <c r="A4443" s="52"/>
    </row>
    <row r="4444" spans="1:1" x14ac:dyDescent="0.2">
      <c r="A4444" s="52"/>
    </row>
    <row r="4445" spans="1:1" x14ac:dyDescent="0.2">
      <c r="A4445" s="52"/>
    </row>
    <row r="4446" spans="1:1" x14ac:dyDescent="0.2">
      <c r="A4446" s="52"/>
    </row>
    <row r="4447" spans="1:1" x14ac:dyDescent="0.2">
      <c r="A4447" s="52"/>
    </row>
    <row r="4448" spans="1:1" x14ac:dyDescent="0.2">
      <c r="A4448" s="52"/>
    </row>
    <row r="4449" spans="1:1" x14ac:dyDescent="0.2">
      <c r="A4449" s="52"/>
    </row>
    <row r="4450" spans="1:1" x14ac:dyDescent="0.2">
      <c r="A4450" s="52"/>
    </row>
    <row r="4451" spans="1:1" x14ac:dyDescent="0.2">
      <c r="A4451" s="52"/>
    </row>
    <row r="4452" spans="1:1" x14ac:dyDescent="0.2">
      <c r="A4452" s="52"/>
    </row>
    <row r="4453" spans="1:1" x14ac:dyDescent="0.2">
      <c r="A4453" s="52"/>
    </row>
    <row r="4454" spans="1:1" x14ac:dyDescent="0.2">
      <c r="A4454" s="52"/>
    </row>
    <row r="4455" spans="1:1" x14ac:dyDescent="0.2">
      <c r="A4455" s="52"/>
    </row>
    <row r="4456" spans="1:1" x14ac:dyDescent="0.2">
      <c r="A4456" s="52"/>
    </row>
    <row r="4457" spans="1:1" x14ac:dyDescent="0.2">
      <c r="A4457" s="52"/>
    </row>
    <row r="4458" spans="1:1" x14ac:dyDescent="0.2">
      <c r="A4458" s="52"/>
    </row>
    <row r="4459" spans="1:1" x14ac:dyDescent="0.2">
      <c r="A4459" s="53"/>
    </row>
    <row r="4460" spans="1:1" x14ac:dyDescent="0.2">
      <c r="A4460" s="52"/>
    </row>
    <row r="4461" spans="1:1" x14ac:dyDescent="0.2">
      <c r="A4461" s="52"/>
    </row>
    <row r="4462" spans="1:1" x14ac:dyDescent="0.2">
      <c r="A4462" s="52"/>
    </row>
    <row r="4463" spans="1:1" x14ac:dyDescent="0.2">
      <c r="A4463" s="52"/>
    </row>
    <row r="4464" spans="1:1" x14ac:dyDescent="0.2">
      <c r="A4464" s="52"/>
    </row>
    <row r="4465" spans="1:1" x14ac:dyDescent="0.2">
      <c r="A4465" s="52"/>
    </row>
    <row r="4466" spans="1:1" x14ac:dyDescent="0.2">
      <c r="A4466" s="52"/>
    </row>
    <row r="4467" spans="1:1" x14ac:dyDescent="0.2">
      <c r="A4467" s="52"/>
    </row>
    <row r="4468" spans="1:1" x14ac:dyDescent="0.2">
      <c r="A4468" s="52"/>
    </row>
    <row r="4469" spans="1:1" x14ac:dyDescent="0.2">
      <c r="A4469" s="52"/>
    </row>
    <row r="4470" spans="1:1" x14ac:dyDescent="0.2">
      <c r="A4470" s="52"/>
    </row>
    <row r="4471" spans="1:1" x14ac:dyDescent="0.2">
      <c r="A4471" s="52"/>
    </row>
    <row r="4472" spans="1:1" x14ac:dyDescent="0.2">
      <c r="A4472" s="52"/>
    </row>
    <row r="4473" spans="1:1" x14ac:dyDescent="0.2">
      <c r="A4473" s="52"/>
    </row>
    <row r="4474" spans="1:1" x14ac:dyDescent="0.2">
      <c r="A4474" s="52"/>
    </row>
    <row r="4475" spans="1:1" x14ac:dyDescent="0.2">
      <c r="A4475" s="52"/>
    </row>
    <row r="4476" spans="1:1" x14ac:dyDescent="0.2">
      <c r="A4476" s="52"/>
    </row>
    <row r="4477" spans="1:1" x14ac:dyDescent="0.2">
      <c r="A4477" s="52"/>
    </row>
    <row r="4478" spans="1:1" x14ac:dyDescent="0.2">
      <c r="A4478" s="52"/>
    </row>
    <row r="4479" spans="1:1" x14ac:dyDescent="0.2">
      <c r="A4479" s="52"/>
    </row>
    <row r="4480" spans="1:1" x14ac:dyDescent="0.2">
      <c r="A4480" s="52"/>
    </row>
    <row r="4481" spans="1:1" x14ac:dyDescent="0.2">
      <c r="A4481" s="53"/>
    </row>
    <row r="4482" spans="1:1" x14ac:dyDescent="0.2">
      <c r="A4482" s="52"/>
    </row>
    <row r="4483" spans="1:1" x14ac:dyDescent="0.2">
      <c r="A4483" s="52"/>
    </row>
    <row r="4484" spans="1:1" x14ac:dyDescent="0.2">
      <c r="A4484" s="52"/>
    </row>
    <row r="4485" spans="1:1" x14ac:dyDescent="0.2">
      <c r="A4485" s="52"/>
    </row>
    <row r="4486" spans="1:1" x14ac:dyDescent="0.2">
      <c r="A4486" s="52"/>
    </row>
    <row r="4487" spans="1:1" x14ac:dyDescent="0.2">
      <c r="A4487" s="52"/>
    </row>
    <row r="4488" spans="1:1" x14ac:dyDescent="0.2">
      <c r="A4488" s="52"/>
    </row>
    <row r="4489" spans="1:1" x14ac:dyDescent="0.2">
      <c r="A4489" s="52"/>
    </row>
    <row r="4490" spans="1:1" x14ac:dyDescent="0.2">
      <c r="A4490" s="52"/>
    </row>
    <row r="4491" spans="1:1" x14ac:dyDescent="0.2">
      <c r="A4491" s="52"/>
    </row>
    <row r="4492" spans="1:1" x14ac:dyDescent="0.2">
      <c r="A4492" s="52"/>
    </row>
    <row r="4493" spans="1:1" x14ac:dyDescent="0.2">
      <c r="A4493" s="52"/>
    </row>
    <row r="4494" spans="1:1" x14ac:dyDescent="0.2">
      <c r="A4494" s="52"/>
    </row>
    <row r="4495" spans="1:1" x14ac:dyDescent="0.2">
      <c r="A4495" s="52"/>
    </row>
    <row r="4496" spans="1:1" x14ac:dyDescent="0.2">
      <c r="A4496" s="52"/>
    </row>
    <row r="4497" spans="1:1" x14ac:dyDescent="0.2">
      <c r="A4497" s="52"/>
    </row>
    <row r="4498" spans="1:1" x14ac:dyDescent="0.2">
      <c r="A4498" s="52"/>
    </row>
    <row r="4499" spans="1:1" x14ac:dyDescent="0.2">
      <c r="A4499" s="52"/>
    </row>
    <row r="4500" spans="1:1" x14ac:dyDescent="0.2">
      <c r="A4500" s="52"/>
    </row>
    <row r="4501" spans="1:1" x14ac:dyDescent="0.2">
      <c r="A4501" s="52"/>
    </row>
    <row r="4502" spans="1:1" x14ac:dyDescent="0.2">
      <c r="A4502" s="52"/>
    </row>
    <row r="4503" spans="1:1" x14ac:dyDescent="0.2">
      <c r="A4503" s="52"/>
    </row>
    <row r="4504" spans="1:1" x14ac:dyDescent="0.2">
      <c r="A4504" s="52"/>
    </row>
    <row r="4505" spans="1:1" x14ac:dyDescent="0.2">
      <c r="A4505" s="52"/>
    </row>
    <row r="4506" spans="1:1" x14ac:dyDescent="0.2">
      <c r="A4506" s="52"/>
    </row>
    <row r="4507" spans="1:1" x14ac:dyDescent="0.2">
      <c r="A4507" s="52"/>
    </row>
    <row r="4508" spans="1:1" x14ac:dyDescent="0.2">
      <c r="A4508" s="52"/>
    </row>
    <row r="4509" spans="1:1" x14ac:dyDescent="0.2">
      <c r="A4509" s="52"/>
    </row>
    <row r="4510" spans="1:1" x14ac:dyDescent="0.2">
      <c r="A4510" s="52"/>
    </row>
    <row r="4511" spans="1:1" x14ac:dyDescent="0.2">
      <c r="A4511" s="52"/>
    </row>
    <row r="4512" spans="1:1" x14ac:dyDescent="0.2">
      <c r="A4512" s="52"/>
    </row>
    <row r="4513" spans="1:1" x14ac:dyDescent="0.2">
      <c r="A4513" s="52"/>
    </row>
    <row r="4514" spans="1:1" x14ac:dyDescent="0.2">
      <c r="A4514" s="52"/>
    </row>
    <row r="4515" spans="1:1" x14ac:dyDescent="0.2">
      <c r="A4515" s="52"/>
    </row>
    <row r="4516" spans="1:1" x14ac:dyDescent="0.2">
      <c r="A4516" s="52"/>
    </row>
    <row r="4517" spans="1:1" x14ac:dyDescent="0.2">
      <c r="A4517" s="52"/>
    </row>
    <row r="4518" spans="1:1" x14ac:dyDescent="0.2">
      <c r="A4518" s="52"/>
    </row>
    <row r="4519" spans="1:1" x14ac:dyDescent="0.2">
      <c r="A4519" s="52"/>
    </row>
    <row r="4520" spans="1:1" x14ac:dyDescent="0.2">
      <c r="A4520" s="52"/>
    </row>
    <row r="4521" spans="1:1" x14ac:dyDescent="0.2">
      <c r="A4521" s="52"/>
    </row>
    <row r="4522" spans="1:1" x14ac:dyDescent="0.2">
      <c r="A4522" s="52"/>
    </row>
    <row r="4523" spans="1:1" x14ac:dyDescent="0.2">
      <c r="A4523" s="53"/>
    </row>
    <row r="4524" spans="1:1" x14ac:dyDescent="0.2">
      <c r="A4524" s="52"/>
    </row>
    <row r="4525" spans="1:1" x14ac:dyDescent="0.2">
      <c r="A4525" s="52"/>
    </row>
    <row r="4526" spans="1:1" x14ac:dyDescent="0.2">
      <c r="A4526" s="52"/>
    </row>
    <row r="4527" spans="1:1" x14ac:dyDescent="0.2">
      <c r="A4527" s="52"/>
    </row>
    <row r="4528" spans="1:1" x14ac:dyDescent="0.2">
      <c r="A4528" s="52"/>
    </row>
    <row r="4529" spans="1:1" x14ac:dyDescent="0.2">
      <c r="A4529" s="52"/>
    </row>
    <row r="4530" spans="1:1" x14ac:dyDescent="0.2">
      <c r="A4530" s="52"/>
    </row>
    <row r="4531" spans="1:1" x14ac:dyDescent="0.2">
      <c r="A4531" s="52"/>
    </row>
    <row r="4532" spans="1:1" x14ac:dyDescent="0.2">
      <c r="A4532" s="52"/>
    </row>
    <row r="4533" spans="1:1" x14ac:dyDescent="0.2">
      <c r="A4533" s="52"/>
    </row>
    <row r="4534" spans="1:1" x14ac:dyDescent="0.2">
      <c r="A4534" s="53"/>
    </row>
    <row r="4535" spans="1:1" x14ac:dyDescent="0.2">
      <c r="A4535" s="53"/>
    </row>
    <row r="4536" spans="1:1" x14ac:dyDescent="0.2">
      <c r="A4536" s="52"/>
    </row>
    <row r="4537" spans="1:1" x14ac:dyDescent="0.2">
      <c r="A4537" s="52"/>
    </row>
    <row r="4538" spans="1:1" x14ac:dyDescent="0.2">
      <c r="A4538" s="52"/>
    </row>
    <row r="4539" spans="1:1" x14ac:dyDescent="0.2">
      <c r="A4539" s="52"/>
    </row>
    <row r="4540" spans="1:1" x14ac:dyDescent="0.2">
      <c r="A4540" s="52"/>
    </row>
    <row r="4541" spans="1:1" x14ac:dyDescent="0.2">
      <c r="A4541" s="52"/>
    </row>
    <row r="4542" spans="1:1" x14ac:dyDescent="0.2">
      <c r="A4542" s="53"/>
    </row>
    <row r="4543" spans="1:1" x14ac:dyDescent="0.2">
      <c r="A4543" s="52"/>
    </row>
    <row r="4544" spans="1:1" x14ac:dyDescent="0.2">
      <c r="A4544" s="53"/>
    </row>
    <row r="4545" spans="1:1" x14ac:dyDescent="0.2">
      <c r="A4545" s="52"/>
    </row>
    <row r="4546" spans="1:1" x14ac:dyDescent="0.2">
      <c r="A4546" s="52"/>
    </row>
    <row r="4547" spans="1:1" x14ac:dyDescent="0.2">
      <c r="A4547" s="52"/>
    </row>
    <row r="4548" spans="1:1" x14ac:dyDescent="0.2">
      <c r="A4548" s="52"/>
    </row>
    <row r="4549" spans="1:1" x14ac:dyDescent="0.2">
      <c r="A4549" s="52"/>
    </row>
    <row r="4550" spans="1:1" x14ac:dyDescent="0.2">
      <c r="A4550" s="52"/>
    </row>
    <row r="4551" spans="1:1" x14ac:dyDescent="0.2">
      <c r="A4551" s="52"/>
    </row>
    <row r="4552" spans="1:1" x14ac:dyDescent="0.2">
      <c r="A4552" s="52"/>
    </row>
    <row r="4553" spans="1:1" x14ac:dyDescent="0.2">
      <c r="A4553" s="52"/>
    </row>
    <row r="4554" spans="1:1" x14ac:dyDescent="0.2">
      <c r="A4554" s="52"/>
    </row>
    <row r="4555" spans="1:1" x14ac:dyDescent="0.2">
      <c r="A4555" s="52"/>
    </row>
    <row r="4556" spans="1:1" x14ac:dyDescent="0.2">
      <c r="A4556" s="52"/>
    </row>
    <row r="4557" spans="1:1" x14ac:dyDescent="0.2">
      <c r="A4557" s="53"/>
    </row>
    <row r="4558" spans="1:1" x14ac:dyDescent="0.2">
      <c r="A4558" s="52"/>
    </row>
    <row r="4559" spans="1:1" x14ac:dyDescent="0.2">
      <c r="A4559" s="52"/>
    </row>
    <row r="4560" spans="1:1" x14ac:dyDescent="0.2">
      <c r="A4560" s="52"/>
    </row>
    <row r="4561" spans="1:1" x14ac:dyDescent="0.2">
      <c r="A4561" s="52"/>
    </row>
    <row r="4562" spans="1:1" x14ac:dyDescent="0.2">
      <c r="A4562" s="52"/>
    </row>
    <row r="4563" spans="1:1" x14ac:dyDescent="0.2">
      <c r="A4563" s="52"/>
    </row>
    <row r="4564" spans="1:1" x14ac:dyDescent="0.2">
      <c r="A4564" s="53"/>
    </row>
    <row r="4565" spans="1:1" x14ac:dyDescent="0.2">
      <c r="A4565" s="52"/>
    </row>
    <row r="4566" spans="1:1" x14ac:dyDescent="0.2">
      <c r="A4566" s="52"/>
    </row>
    <row r="4567" spans="1:1" x14ac:dyDescent="0.2">
      <c r="A4567" s="52"/>
    </row>
    <row r="4568" spans="1:1" x14ac:dyDescent="0.2">
      <c r="A4568" s="52"/>
    </row>
    <row r="4569" spans="1:1" x14ac:dyDescent="0.2">
      <c r="A4569" s="52"/>
    </row>
    <row r="4570" spans="1:1" x14ac:dyDescent="0.2">
      <c r="A4570" s="52"/>
    </row>
    <row r="4571" spans="1:1" x14ac:dyDescent="0.2">
      <c r="A4571" s="52"/>
    </row>
    <row r="4572" spans="1:1" x14ac:dyDescent="0.2">
      <c r="A4572" s="52"/>
    </row>
    <row r="4573" spans="1:1" x14ac:dyDescent="0.2">
      <c r="A4573" s="53"/>
    </row>
    <row r="4574" spans="1:1" x14ac:dyDescent="0.2">
      <c r="A4574" s="52"/>
    </row>
    <row r="4575" spans="1:1" x14ac:dyDescent="0.2">
      <c r="A4575" s="52"/>
    </row>
    <row r="4576" spans="1:1" x14ac:dyDescent="0.2">
      <c r="A4576" s="52"/>
    </row>
    <row r="4577" spans="1:1" x14ac:dyDescent="0.2">
      <c r="A4577" s="52"/>
    </row>
    <row r="4578" spans="1:1" x14ac:dyDescent="0.2">
      <c r="A4578" s="52"/>
    </row>
    <row r="4579" spans="1:1" x14ac:dyDescent="0.2">
      <c r="A4579" s="52"/>
    </row>
    <row r="4580" spans="1:1" x14ac:dyDescent="0.2">
      <c r="A4580" s="52"/>
    </row>
    <row r="4581" spans="1:1" x14ac:dyDescent="0.2">
      <c r="A4581" s="52"/>
    </row>
    <row r="4582" spans="1:1" x14ac:dyDescent="0.2">
      <c r="A4582" s="52"/>
    </row>
    <row r="4583" spans="1:1" x14ac:dyDescent="0.2">
      <c r="A4583" s="52"/>
    </row>
    <row r="4584" spans="1:1" x14ac:dyDescent="0.2">
      <c r="A4584" s="52"/>
    </row>
    <row r="4585" spans="1:1" x14ac:dyDescent="0.2">
      <c r="A4585" s="52"/>
    </row>
    <row r="4586" spans="1:1" x14ac:dyDescent="0.2">
      <c r="A4586" s="52"/>
    </row>
    <row r="4587" spans="1:1" x14ac:dyDescent="0.2">
      <c r="A4587" s="52"/>
    </row>
    <row r="4588" spans="1:1" x14ac:dyDescent="0.2">
      <c r="A4588" s="52"/>
    </row>
    <row r="4589" spans="1:1" x14ac:dyDescent="0.2">
      <c r="A4589" s="52"/>
    </row>
    <row r="4590" spans="1:1" x14ac:dyDescent="0.2">
      <c r="A4590" s="52"/>
    </row>
    <row r="4591" spans="1:1" x14ac:dyDescent="0.2">
      <c r="A4591" s="52"/>
    </row>
    <row r="4592" spans="1:1" x14ac:dyDescent="0.2">
      <c r="A4592" s="52"/>
    </row>
    <row r="4593" spans="1:1" x14ac:dyDescent="0.2">
      <c r="A4593" s="52"/>
    </row>
    <row r="4594" spans="1:1" x14ac:dyDescent="0.2">
      <c r="A4594" s="52"/>
    </row>
    <row r="4595" spans="1:1" x14ac:dyDescent="0.2">
      <c r="A4595" s="52"/>
    </row>
    <row r="4596" spans="1:1" x14ac:dyDescent="0.2">
      <c r="A4596" s="52"/>
    </row>
    <row r="4597" spans="1:1" x14ac:dyDescent="0.2">
      <c r="A4597" s="52"/>
    </row>
    <row r="4598" spans="1:1" x14ac:dyDescent="0.2">
      <c r="A4598" s="52"/>
    </row>
    <row r="4599" spans="1:1" x14ac:dyDescent="0.2">
      <c r="A4599" s="52"/>
    </row>
    <row r="4600" spans="1:1" x14ac:dyDescent="0.2">
      <c r="A4600" s="52"/>
    </row>
    <row r="4601" spans="1:1" x14ac:dyDescent="0.2">
      <c r="A4601" s="52"/>
    </row>
    <row r="4602" spans="1:1" x14ac:dyDescent="0.2">
      <c r="A4602" s="52"/>
    </row>
    <row r="4603" spans="1:1" x14ac:dyDescent="0.2">
      <c r="A4603" s="52"/>
    </row>
    <row r="4604" spans="1:1" x14ac:dyDescent="0.2">
      <c r="A4604" s="52"/>
    </row>
    <row r="4605" spans="1:1" x14ac:dyDescent="0.2">
      <c r="A4605" s="52"/>
    </row>
    <row r="4606" spans="1:1" x14ac:dyDescent="0.2">
      <c r="A4606" s="52"/>
    </row>
    <row r="4607" spans="1:1" x14ac:dyDescent="0.2">
      <c r="A4607" s="52"/>
    </row>
    <row r="4608" spans="1:1" x14ac:dyDescent="0.2">
      <c r="A4608" s="52"/>
    </row>
    <row r="4609" spans="1:1" x14ac:dyDescent="0.2">
      <c r="A4609" s="52"/>
    </row>
    <row r="4610" spans="1:1" x14ac:dyDescent="0.2">
      <c r="A4610" s="52"/>
    </row>
    <row r="4611" spans="1:1" x14ac:dyDescent="0.2">
      <c r="A4611" s="52"/>
    </row>
    <row r="4612" spans="1:1" x14ac:dyDescent="0.2">
      <c r="A4612" s="52"/>
    </row>
    <row r="4613" spans="1:1" x14ac:dyDescent="0.2">
      <c r="A4613" s="52"/>
    </row>
    <row r="4614" spans="1:1" x14ac:dyDescent="0.2">
      <c r="A4614" s="52"/>
    </row>
    <row r="4615" spans="1:1" x14ac:dyDescent="0.2">
      <c r="A4615" s="52"/>
    </row>
    <row r="4616" spans="1:1" x14ac:dyDescent="0.2">
      <c r="A4616" s="52"/>
    </row>
    <row r="4617" spans="1:1" x14ac:dyDescent="0.2">
      <c r="A4617" s="52"/>
    </row>
    <row r="4618" spans="1:1" x14ac:dyDescent="0.2">
      <c r="A4618" s="52"/>
    </row>
    <row r="4619" spans="1:1" x14ac:dyDescent="0.2">
      <c r="A4619" s="52"/>
    </row>
    <row r="4620" spans="1:1" x14ac:dyDescent="0.2">
      <c r="A4620" s="53"/>
    </row>
    <row r="4621" spans="1:1" x14ac:dyDescent="0.2">
      <c r="A4621" s="52"/>
    </row>
    <row r="4622" spans="1:1" x14ac:dyDescent="0.2">
      <c r="A4622" s="52"/>
    </row>
    <row r="4623" spans="1:1" x14ac:dyDescent="0.2">
      <c r="A4623" s="52"/>
    </row>
    <row r="4624" spans="1:1" x14ac:dyDescent="0.2">
      <c r="A4624" s="52"/>
    </row>
    <row r="4625" spans="1:1" x14ac:dyDescent="0.2">
      <c r="A4625" s="52"/>
    </row>
    <row r="4626" spans="1:1" x14ac:dyDescent="0.2">
      <c r="A4626" s="52"/>
    </row>
    <row r="4627" spans="1:1" x14ac:dyDescent="0.2">
      <c r="A4627" s="53"/>
    </row>
    <row r="4628" spans="1:1" x14ac:dyDescent="0.2">
      <c r="A4628" s="52"/>
    </row>
    <row r="4629" spans="1:1" x14ac:dyDescent="0.2">
      <c r="A4629" s="52"/>
    </row>
    <row r="4630" spans="1:1" x14ac:dyDescent="0.2">
      <c r="A4630" s="52"/>
    </row>
    <row r="4631" spans="1:1" x14ac:dyDescent="0.2">
      <c r="A4631" s="52"/>
    </row>
    <row r="4632" spans="1:1" x14ac:dyDescent="0.2">
      <c r="A4632" s="52"/>
    </row>
    <row r="4633" spans="1:1" x14ac:dyDescent="0.2">
      <c r="A4633" s="52"/>
    </row>
    <row r="4634" spans="1:1" x14ac:dyDescent="0.2">
      <c r="A4634" s="52"/>
    </row>
    <row r="4635" spans="1:1" x14ac:dyDescent="0.2">
      <c r="A4635" s="52"/>
    </row>
    <row r="4636" spans="1:1" x14ac:dyDescent="0.2">
      <c r="A4636" s="52"/>
    </row>
    <row r="4637" spans="1:1" x14ac:dyDescent="0.2">
      <c r="A4637" s="52"/>
    </row>
    <row r="4638" spans="1:1" x14ac:dyDescent="0.2">
      <c r="A4638" s="52"/>
    </row>
    <row r="4639" spans="1:1" x14ac:dyDescent="0.2">
      <c r="A4639" s="52"/>
    </row>
    <row r="4640" spans="1:1" x14ac:dyDescent="0.2">
      <c r="A4640" s="52"/>
    </row>
    <row r="4641" spans="1:1" x14ac:dyDescent="0.2">
      <c r="A4641" s="52"/>
    </row>
    <row r="4642" spans="1:1" x14ac:dyDescent="0.2">
      <c r="A4642" s="52"/>
    </row>
    <row r="4643" spans="1:1" x14ac:dyDescent="0.2">
      <c r="A4643" s="52"/>
    </row>
    <row r="4644" spans="1:1" x14ac:dyDescent="0.2">
      <c r="A4644" s="53"/>
    </row>
    <row r="4645" spans="1:1" x14ac:dyDescent="0.2">
      <c r="A4645" s="52"/>
    </row>
    <row r="4646" spans="1:1" x14ac:dyDescent="0.2">
      <c r="A4646" s="52"/>
    </row>
    <row r="4647" spans="1:1" x14ac:dyDescent="0.2">
      <c r="A4647" s="52"/>
    </row>
    <row r="4648" spans="1:1" x14ac:dyDescent="0.2">
      <c r="A4648" s="52"/>
    </row>
    <row r="4649" spans="1:1" x14ac:dyDescent="0.2">
      <c r="A4649" s="52"/>
    </row>
    <row r="4650" spans="1:1" x14ac:dyDescent="0.2">
      <c r="A4650" s="52"/>
    </row>
    <row r="4651" spans="1:1" x14ac:dyDescent="0.2">
      <c r="A4651" s="52"/>
    </row>
    <row r="4652" spans="1:1" x14ac:dyDescent="0.2">
      <c r="A4652" s="52"/>
    </row>
    <row r="4653" spans="1:1" x14ac:dyDescent="0.2">
      <c r="A4653" s="53"/>
    </row>
    <row r="4654" spans="1:1" x14ac:dyDescent="0.2">
      <c r="A4654" s="52"/>
    </row>
    <row r="4655" spans="1:1" x14ac:dyDescent="0.2">
      <c r="A4655" s="52"/>
    </row>
    <row r="4656" spans="1:1" x14ac:dyDescent="0.2">
      <c r="A4656" s="53"/>
    </row>
    <row r="4657" spans="1:1" x14ac:dyDescent="0.2">
      <c r="A4657" s="52"/>
    </row>
    <row r="4658" spans="1:1" x14ac:dyDescent="0.2">
      <c r="A4658" s="52"/>
    </row>
    <row r="4659" spans="1:1" x14ac:dyDescent="0.2">
      <c r="A4659" s="53"/>
    </row>
    <row r="4660" spans="1:1" x14ac:dyDescent="0.2">
      <c r="A4660" s="52"/>
    </row>
    <row r="4661" spans="1:1" x14ac:dyDescent="0.2">
      <c r="A4661" s="52"/>
    </row>
    <row r="4662" spans="1:1" x14ac:dyDescent="0.2">
      <c r="A4662" s="52"/>
    </row>
    <row r="4663" spans="1:1" x14ac:dyDescent="0.2">
      <c r="A4663" s="52"/>
    </row>
    <row r="4664" spans="1:1" x14ac:dyDescent="0.2">
      <c r="A4664" s="52"/>
    </row>
    <row r="4665" spans="1:1" x14ac:dyDescent="0.2">
      <c r="A4665" s="52"/>
    </row>
    <row r="4666" spans="1:1" x14ac:dyDescent="0.2">
      <c r="A4666" s="52"/>
    </row>
    <row r="4667" spans="1:1" x14ac:dyDescent="0.2">
      <c r="A4667" s="52"/>
    </row>
    <row r="4668" spans="1:1" x14ac:dyDescent="0.2">
      <c r="A4668" s="52"/>
    </row>
    <row r="4669" spans="1:1" x14ac:dyDescent="0.2">
      <c r="A4669" s="52"/>
    </row>
    <row r="4670" spans="1:1" x14ac:dyDescent="0.2">
      <c r="A4670" s="52"/>
    </row>
    <row r="4671" spans="1:1" x14ac:dyDescent="0.2">
      <c r="A4671" s="52"/>
    </row>
    <row r="4672" spans="1:1" x14ac:dyDescent="0.2">
      <c r="A4672" s="53"/>
    </row>
    <row r="4673" spans="1:1" x14ac:dyDescent="0.2">
      <c r="A4673" s="52"/>
    </row>
    <row r="4674" spans="1:1" x14ac:dyDescent="0.2">
      <c r="A4674" s="52"/>
    </row>
    <row r="4675" spans="1:1" x14ac:dyDescent="0.2">
      <c r="A4675" s="52"/>
    </row>
    <row r="4676" spans="1:1" x14ac:dyDescent="0.2">
      <c r="A4676" s="52"/>
    </row>
    <row r="4677" spans="1:1" x14ac:dyDescent="0.2">
      <c r="A4677" s="52"/>
    </row>
    <row r="4678" spans="1:1" x14ac:dyDescent="0.2">
      <c r="A4678" s="52"/>
    </row>
    <row r="4679" spans="1:1" x14ac:dyDescent="0.2">
      <c r="A4679" s="52"/>
    </row>
    <row r="4680" spans="1:1" x14ac:dyDescent="0.2">
      <c r="A4680" s="52"/>
    </row>
    <row r="4681" spans="1:1" x14ac:dyDescent="0.2">
      <c r="A4681" s="52"/>
    </row>
    <row r="4682" spans="1:1" x14ac:dyDescent="0.2">
      <c r="A4682" s="52"/>
    </row>
    <row r="4683" spans="1:1" x14ac:dyDescent="0.2">
      <c r="A4683" s="52"/>
    </row>
    <row r="4684" spans="1:1" x14ac:dyDescent="0.2">
      <c r="A4684" s="52"/>
    </row>
    <row r="4685" spans="1:1" x14ac:dyDescent="0.2">
      <c r="A4685" s="52"/>
    </row>
    <row r="4686" spans="1:1" x14ac:dyDescent="0.2">
      <c r="A4686" s="52"/>
    </row>
    <row r="4687" spans="1:1" x14ac:dyDescent="0.2">
      <c r="A4687" s="52"/>
    </row>
    <row r="4688" spans="1:1" x14ac:dyDescent="0.2">
      <c r="A4688" s="52"/>
    </row>
    <row r="4689" spans="1:1" x14ac:dyDescent="0.2">
      <c r="A4689" s="53"/>
    </row>
    <row r="4690" spans="1:1" x14ac:dyDescent="0.2">
      <c r="A4690" s="52"/>
    </row>
    <row r="4691" spans="1:1" x14ac:dyDescent="0.2">
      <c r="A4691" s="52"/>
    </row>
    <row r="4692" spans="1:1" x14ac:dyDescent="0.2">
      <c r="A4692" s="53"/>
    </row>
    <row r="4693" spans="1:1" x14ac:dyDescent="0.2">
      <c r="A4693" s="52"/>
    </row>
    <row r="4694" spans="1:1" x14ac:dyDescent="0.2">
      <c r="A4694" s="52"/>
    </row>
    <row r="4695" spans="1:1" x14ac:dyDescent="0.2">
      <c r="A4695" s="52"/>
    </row>
    <row r="4696" spans="1:1" x14ac:dyDescent="0.2">
      <c r="A4696" s="52"/>
    </row>
    <row r="4697" spans="1:1" x14ac:dyDescent="0.2">
      <c r="A4697" s="52"/>
    </row>
    <row r="4698" spans="1:1" x14ac:dyDescent="0.2">
      <c r="A4698" s="52"/>
    </row>
    <row r="4699" spans="1:1" x14ac:dyDescent="0.2">
      <c r="A4699" s="52"/>
    </row>
    <row r="4700" spans="1:1" x14ac:dyDescent="0.2">
      <c r="A4700" s="53"/>
    </row>
    <row r="4701" spans="1:1" x14ac:dyDescent="0.2">
      <c r="A4701" s="52"/>
    </row>
    <row r="4702" spans="1:1" x14ac:dyDescent="0.2">
      <c r="A4702" s="52"/>
    </row>
    <row r="4703" spans="1:1" x14ac:dyDescent="0.2">
      <c r="A4703" s="52"/>
    </row>
    <row r="4704" spans="1:1" x14ac:dyDescent="0.2">
      <c r="A4704" s="52"/>
    </row>
    <row r="4705" spans="1:1" x14ac:dyDescent="0.2">
      <c r="A4705" s="52"/>
    </row>
    <row r="4706" spans="1:1" x14ac:dyDescent="0.2">
      <c r="A4706" s="52"/>
    </row>
    <row r="4707" spans="1:1" x14ac:dyDescent="0.2">
      <c r="A4707" s="52"/>
    </row>
    <row r="4708" spans="1:1" x14ac:dyDescent="0.2">
      <c r="A4708" s="52"/>
    </row>
    <row r="4709" spans="1:1" x14ac:dyDescent="0.2">
      <c r="A4709" s="52"/>
    </row>
    <row r="4710" spans="1:1" x14ac:dyDescent="0.2">
      <c r="A4710" s="52"/>
    </row>
    <row r="4711" spans="1:1" x14ac:dyDescent="0.2">
      <c r="A4711" s="52"/>
    </row>
    <row r="4712" spans="1:1" x14ac:dyDescent="0.2">
      <c r="A4712" s="52"/>
    </row>
    <row r="4713" spans="1:1" x14ac:dyDescent="0.2">
      <c r="A4713" s="52"/>
    </row>
    <row r="4714" spans="1:1" x14ac:dyDescent="0.2">
      <c r="A4714" s="52"/>
    </row>
    <row r="4715" spans="1:1" x14ac:dyDescent="0.2">
      <c r="A4715" s="52"/>
    </row>
    <row r="4716" spans="1:1" x14ac:dyDescent="0.2">
      <c r="A4716" s="52"/>
    </row>
    <row r="4717" spans="1:1" x14ac:dyDescent="0.2">
      <c r="A4717" s="52"/>
    </row>
    <row r="4718" spans="1:1" x14ac:dyDescent="0.2">
      <c r="A4718" s="52"/>
    </row>
    <row r="4719" spans="1:1" x14ac:dyDescent="0.2">
      <c r="A4719" s="52"/>
    </row>
    <row r="4720" spans="1:1" x14ac:dyDescent="0.2">
      <c r="A4720" s="52"/>
    </row>
    <row r="4721" spans="1:1" x14ac:dyDescent="0.2">
      <c r="A4721" s="52"/>
    </row>
    <row r="4722" spans="1:1" x14ac:dyDescent="0.2">
      <c r="A4722" s="52"/>
    </row>
    <row r="4723" spans="1:1" x14ac:dyDescent="0.2">
      <c r="A4723" s="52"/>
    </row>
    <row r="4724" spans="1:1" x14ac:dyDescent="0.2">
      <c r="A4724" s="52"/>
    </row>
    <row r="4725" spans="1:1" x14ac:dyDescent="0.2">
      <c r="A4725" s="52"/>
    </row>
    <row r="4726" spans="1:1" x14ac:dyDescent="0.2">
      <c r="A4726" s="52"/>
    </row>
    <row r="4727" spans="1:1" x14ac:dyDescent="0.2">
      <c r="A4727" s="52"/>
    </row>
    <row r="4728" spans="1:1" x14ac:dyDescent="0.2">
      <c r="A4728" s="52"/>
    </row>
    <row r="4729" spans="1:1" x14ac:dyDescent="0.2">
      <c r="A4729" s="52"/>
    </row>
    <row r="4730" spans="1:1" x14ac:dyDescent="0.2">
      <c r="A4730" s="53"/>
    </row>
    <row r="4731" spans="1:1" x14ac:dyDescent="0.2">
      <c r="A4731" s="52"/>
    </row>
    <row r="4732" spans="1:1" x14ac:dyDescent="0.2">
      <c r="A4732" s="52"/>
    </row>
    <row r="4733" spans="1:1" x14ac:dyDescent="0.2">
      <c r="A4733" s="52"/>
    </row>
    <row r="4734" spans="1:1" x14ac:dyDescent="0.2">
      <c r="A4734" s="52"/>
    </row>
    <row r="4735" spans="1:1" x14ac:dyDescent="0.2">
      <c r="A4735" s="52"/>
    </row>
    <row r="4736" spans="1:1" x14ac:dyDescent="0.2">
      <c r="A4736" s="52"/>
    </row>
    <row r="4737" spans="1:1" x14ac:dyDescent="0.2">
      <c r="A4737" s="52"/>
    </row>
    <row r="4738" spans="1:1" x14ac:dyDescent="0.2">
      <c r="A4738" s="52"/>
    </row>
    <row r="4739" spans="1:1" x14ac:dyDescent="0.2">
      <c r="A4739" s="52"/>
    </row>
    <row r="4740" spans="1:1" x14ac:dyDescent="0.2">
      <c r="A4740" s="52"/>
    </row>
    <row r="4741" spans="1:1" x14ac:dyDescent="0.2">
      <c r="A4741" s="52"/>
    </row>
    <row r="4742" spans="1:1" x14ac:dyDescent="0.2">
      <c r="A4742" s="52"/>
    </row>
    <row r="4743" spans="1:1" x14ac:dyDescent="0.2">
      <c r="A4743" s="52"/>
    </row>
    <row r="4744" spans="1:1" x14ac:dyDescent="0.2">
      <c r="A4744" s="53"/>
    </row>
    <row r="4745" spans="1:1" x14ac:dyDescent="0.2">
      <c r="A4745" s="52"/>
    </row>
    <row r="4746" spans="1:1" x14ac:dyDescent="0.2">
      <c r="A4746" s="52"/>
    </row>
    <row r="4747" spans="1:1" x14ac:dyDescent="0.2">
      <c r="A4747" s="52"/>
    </row>
    <row r="4748" spans="1:1" x14ac:dyDescent="0.2">
      <c r="A4748" s="52"/>
    </row>
    <row r="4749" spans="1:1" x14ac:dyDescent="0.2">
      <c r="A4749" s="52"/>
    </row>
    <row r="4750" spans="1:1" x14ac:dyDescent="0.2">
      <c r="A4750" s="52"/>
    </row>
    <row r="4751" spans="1:1" x14ac:dyDescent="0.2">
      <c r="A4751" s="52"/>
    </row>
    <row r="4752" spans="1:1" x14ac:dyDescent="0.2">
      <c r="A4752" s="52"/>
    </row>
    <row r="4753" spans="1:1" x14ac:dyDescent="0.2">
      <c r="A4753" s="52"/>
    </row>
    <row r="4754" spans="1:1" x14ac:dyDescent="0.2">
      <c r="A4754" s="52"/>
    </row>
    <row r="4755" spans="1:1" x14ac:dyDescent="0.2">
      <c r="A4755" s="52"/>
    </row>
    <row r="4756" spans="1:1" x14ac:dyDescent="0.2">
      <c r="A4756" s="52"/>
    </row>
    <row r="4757" spans="1:1" x14ac:dyDescent="0.2">
      <c r="A4757" s="52"/>
    </row>
    <row r="4758" spans="1:1" x14ac:dyDescent="0.2">
      <c r="A4758" s="52"/>
    </row>
    <row r="4759" spans="1:1" x14ac:dyDescent="0.2">
      <c r="A4759" s="52"/>
    </row>
    <row r="4760" spans="1:1" x14ac:dyDescent="0.2">
      <c r="A4760" s="52"/>
    </row>
    <row r="4761" spans="1:1" x14ac:dyDescent="0.2">
      <c r="A4761" s="52"/>
    </row>
    <row r="4762" spans="1:1" x14ac:dyDescent="0.2">
      <c r="A4762" s="53"/>
    </row>
    <row r="4763" spans="1:1" x14ac:dyDescent="0.2">
      <c r="A4763" s="52"/>
    </row>
    <row r="4764" spans="1:1" x14ac:dyDescent="0.2">
      <c r="A4764" s="52"/>
    </row>
    <row r="4765" spans="1:1" x14ac:dyDescent="0.2">
      <c r="A4765" s="53"/>
    </row>
    <row r="4766" spans="1:1" x14ac:dyDescent="0.2">
      <c r="A4766" s="52"/>
    </row>
    <row r="4767" spans="1:1" x14ac:dyDescent="0.2">
      <c r="A4767" s="52"/>
    </row>
    <row r="4768" spans="1:1" x14ac:dyDescent="0.2">
      <c r="A4768" s="52"/>
    </row>
    <row r="4769" spans="1:1" x14ac:dyDescent="0.2">
      <c r="A4769" s="53"/>
    </row>
    <row r="4770" spans="1:1" x14ac:dyDescent="0.2">
      <c r="A4770" s="52"/>
    </row>
    <row r="4771" spans="1:1" x14ac:dyDescent="0.2">
      <c r="A4771" s="52"/>
    </row>
    <row r="4772" spans="1:1" x14ac:dyDescent="0.2">
      <c r="A4772" s="52"/>
    </row>
    <row r="4773" spans="1:1" x14ac:dyDescent="0.2">
      <c r="A4773" s="52"/>
    </row>
    <row r="4774" spans="1:1" x14ac:dyDescent="0.2">
      <c r="A4774" s="52"/>
    </row>
    <row r="4775" spans="1:1" x14ac:dyDescent="0.2">
      <c r="A4775" s="52"/>
    </row>
    <row r="4776" spans="1:1" x14ac:dyDescent="0.2">
      <c r="A4776" s="52"/>
    </row>
    <row r="4777" spans="1:1" x14ac:dyDescent="0.2">
      <c r="A4777" s="52"/>
    </row>
    <row r="4778" spans="1:1" x14ac:dyDescent="0.2">
      <c r="A4778" s="52"/>
    </row>
    <row r="4779" spans="1:1" x14ac:dyDescent="0.2">
      <c r="A4779" s="52"/>
    </row>
    <row r="4780" spans="1:1" x14ac:dyDescent="0.2">
      <c r="A4780" s="52"/>
    </row>
    <row r="4781" spans="1:1" x14ac:dyDescent="0.2">
      <c r="A4781" s="53"/>
    </row>
    <row r="4782" spans="1:1" x14ac:dyDescent="0.2">
      <c r="A4782" s="52"/>
    </row>
    <row r="4783" spans="1:1" x14ac:dyDescent="0.2">
      <c r="A4783" s="52"/>
    </row>
    <row r="4784" spans="1:1" x14ac:dyDescent="0.2">
      <c r="A4784" s="52"/>
    </row>
    <row r="4785" spans="1:1" x14ac:dyDescent="0.2">
      <c r="A4785" s="52"/>
    </row>
    <row r="4786" spans="1:1" x14ac:dyDescent="0.2">
      <c r="A4786" s="52"/>
    </row>
    <row r="4787" spans="1:1" x14ac:dyDescent="0.2">
      <c r="A4787" s="52"/>
    </row>
    <row r="4788" spans="1:1" x14ac:dyDescent="0.2">
      <c r="A4788" s="52"/>
    </row>
    <row r="4789" spans="1:1" x14ac:dyDescent="0.2">
      <c r="A4789" s="52"/>
    </row>
    <row r="4790" spans="1:1" x14ac:dyDescent="0.2">
      <c r="A4790" s="52"/>
    </row>
    <row r="4791" spans="1:1" x14ac:dyDescent="0.2">
      <c r="A4791" s="52"/>
    </row>
    <row r="4792" spans="1:1" x14ac:dyDescent="0.2">
      <c r="A4792" s="52"/>
    </row>
    <row r="4793" spans="1:1" x14ac:dyDescent="0.2">
      <c r="A4793" s="52"/>
    </row>
    <row r="4794" spans="1:1" x14ac:dyDescent="0.2">
      <c r="A4794" s="52"/>
    </row>
    <row r="4795" spans="1:1" x14ac:dyDescent="0.2">
      <c r="A4795" s="52"/>
    </row>
    <row r="4796" spans="1:1" x14ac:dyDescent="0.2">
      <c r="A4796" s="52"/>
    </row>
    <row r="4797" spans="1:1" x14ac:dyDescent="0.2">
      <c r="A4797" s="53"/>
    </row>
    <row r="4798" spans="1:1" x14ac:dyDescent="0.2">
      <c r="A4798" s="52"/>
    </row>
    <row r="4799" spans="1:1" x14ac:dyDescent="0.2">
      <c r="A4799" s="52"/>
    </row>
    <row r="4800" spans="1:1" x14ac:dyDescent="0.2">
      <c r="A4800" s="52"/>
    </row>
    <row r="4801" spans="1:1" x14ac:dyDescent="0.2">
      <c r="A4801" s="52"/>
    </row>
    <row r="4802" spans="1:1" x14ac:dyDescent="0.2">
      <c r="A4802" s="52"/>
    </row>
    <row r="4803" spans="1:1" x14ac:dyDescent="0.2">
      <c r="A4803" s="52"/>
    </row>
    <row r="4804" spans="1:1" x14ac:dyDescent="0.2">
      <c r="A4804" s="52"/>
    </row>
    <row r="4805" spans="1:1" x14ac:dyDescent="0.2">
      <c r="A4805" s="52"/>
    </row>
    <row r="4806" spans="1:1" x14ac:dyDescent="0.2">
      <c r="A4806" s="52"/>
    </row>
    <row r="4807" spans="1:1" x14ac:dyDescent="0.2">
      <c r="A4807" s="52"/>
    </row>
    <row r="4808" spans="1:1" x14ac:dyDescent="0.2">
      <c r="A4808" s="52"/>
    </row>
    <row r="4809" spans="1:1" x14ac:dyDescent="0.2">
      <c r="A4809" s="52"/>
    </row>
    <row r="4810" spans="1:1" x14ac:dyDescent="0.2">
      <c r="A4810" s="52"/>
    </row>
    <row r="4811" spans="1:1" x14ac:dyDescent="0.2">
      <c r="A4811" s="52"/>
    </row>
    <row r="4812" spans="1:1" x14ac:dyDescent="0.2">
      <c r="A4812" s="52"/>
    </row>
    <row r="4813" spans="1:1" x14ac:dyDescent="0.2">
      <c r="A4813" s="52"/>
    </row>
    <row r="4814" spans="1:1" x14ac:dyDescent="0.2">
      <c r="A4814" s="52"/>
    </row>
    <row r="4815" spans="1:1" x14ac:dyDescent="0.2">
      <c r="A4815" s="52"/>
    </row>
    <row r="4816" spans="1:1" x14ac:dyDescent="0.2">
      <c r="A4816" s="52"/>
    </row>
    <row r="4817" spans="1:1" x14ac:dyDescent="0.2">
      <c r="A4817" s="52"/>
    </row>
    <row r="4818" spans="1:1" x14ac:dyDescent="0.2">
      <c r="A4818" s="52"/>
    </row>
    <row r="4819" spans="1:1" x14ac:dyDescent="0.2">
      <c r="A4819" s="52"/>
    </row>
    <row r="4820" spans="1:1" x14ac:dyDescent="0.2">
      <c r="A4820" s="52"/>
    </row>
    <row r="4821" spans="1:1" x14ac:dyDescent="0.2">
      <c r="A4821" s="52"/>
    </row>
    <row r="4822" spans="1:1" x14ac:dyDescent="0.2">
      <c r="A4822" s="52"/>
    </row>
    <row r="4823" spans="1:1" x14ac:dyDescent="0.2">
      <c r="A4823" s="52"/>
    </row>
    <row r="4824" spans="1:1" x14ac:dyDescent="0.2">
      <c r="A4824" s="52"/>
    </row>
    <row r="4825" spans="1:1" x14ac:dyDescent="0.2">
      <c r="A4825" s="52"/>
    </row>
    <row r="4826" spans="1:1" x14ac:dyDescent="0.2">
      <c r="A4826" s="52"/>
    </row>
    <row r="4827" spans="1:1" x14ac:dyDescent="0.2">
      <c r="A4827" s="53"/>
    </row>
    <row r="4828" spans="1:1" x14ac:dyDescent="0.2">
      <c r="A4828" s="52"/>
    </row>
    <row r="4829" spans="1:1" x14ac:dyDescent="0.2">
      <c r="A4829" s="52"/>
    </row>
    <row r="4830" spans="1:1" x14ac:dyDescent="0.2">
      <c r="A4830" s="52"/>
    </row>
    <row r="4831" spans="1:1" x14ac:dyDescent="0.2">
      <c r="A4831" s="53"/>
    </row>
    <row r="4832" spans="1:1" x14ac:dyDescent="0.2">
      <c r="A4832" s="53"/>
    </row>
    <row r="4833" spans="1:1" x14ac:dyDescent="0.2">
      <c r="A4833" s="52"/>
    </row>
    <row r="4834" spans="1:1" x14ac:dyDescent="0.2">
      <c r="A4834" s="52"/>
    </row>
    <row r="4835" spans="1:1" x14ac:dyDescent="0.2">
      <c r="A4835" s="52"/>
    </row>
    <row r="4836" spans="1:1" x14ac:dyDescent="0.2">
      <c r="A4836" s="52"/>
    </row>
    <row r="4837" spans="1:1" x14ac:dyDescent="0.2">
      <c r="A4837" s="52"/>
    </row>
    <row r="4838" spans="1:1" x14ac:dyDescent="0.2">
      <c r="A4838" s="52"/>
    </row>
    <row r="4839" spans="1:1" x14ac:dyDescent="0.2">
      <c r="A4839" s="52"/>
    </row>
    <row r="4840" spans="1:1" x14ac:dyDescent="0.2">
      <c r="A4840" s="52"/>
    </row>
    <row r="4841" spans="1:1" x14ac:dyDescent="0.2">
      <c r="A4841" s="53"/>
    </row>
    <row r="4842" spans="1:1" x14ac:dyDescent="0.2">
      <c r="A4842" s="52"/>
    </row>
    <row r="4843" spans="1:1" x14ac:dyDescent="0.2">
      <c r="A4843" s="52"/>
    </row>
    <row r="4844" spans="1:1" x14ac:dyDescent="0.2">
      <c r="A4844" s="52"/>
    </row>
    <row r="4845" spans="1:1" x14ac:dyDescent="0.2">
      <c r="A4845" s="52"/>
    </row>
    <row r="4846" spans="1:1" x14ac:dyDescent="0.2">
      <c r="A4846" s="52"/>
    </row>
    <row r="4847" spans="1:1" x14ac:dyDescent="0.2">
      <c r="A4847" s="52"/>
    </row>
    <row r="4848" spans="1:1" x14ac:dyDescent="0.2">
      <c r="A4848" s="52"/>
    </row>
    <row r="4849" spans="1:1" x14ac:dyDescent="0.2">
      <c r="A4849" s="52"/>
    </row>
    <row r="4850" spans="1:1" x14ac:dyDescent="0.2">
      <c r="A4850" s="52"/>
    </row>
    <row r="4851" spans="1:1" x14ac:dyDescent="0.2">
      <c r="A4851" s="52"/>
    </row>
    <row r="4852" spans="1:1" x14ac:dyDescent="0.2">
      <c r="A4852" s="53"/>
    </row>
    <row r="4853" spans="1:1" x14ac:dyDescent="0.2">
      <c r="A4853" s="52"/>
    </row>
    <row r="4854" spans="1:1" x14ac:dyDescent="0.2">
      <c r="A4854" s="52"/>
    </row>
    <row r="4855" spans="1:1" x14ac:dyDescent="0.2">
      <c r="A4855" s="52"/>
    </row>
    <row r="4856" spans="1:1" x14ac:dyDescent="0.2">
      <c r="A4856" s="53"/>
    </row>
    <row r="4857" spans="1:1" x14ac:dyDescent="0.2">
      <c r="A4857" s="52"/>
    </row>
    <row r="4858" spans="1:1" x14ac:dyDescent="0.2">
      <c r="A4858" s="52"/>
    </row>
    <row r="4859" spans="1:1" x14ac:dyDescent="0.2">
      <c r="A4859" s="52"/>
    </row>
    <row r="4860" spans="1:1" x14ac:dyDescent="0.2">
      <c r="A4860" s="52"/>
    </row>
    <row r="4861" spans="1:1" x14ac:dyDescent="0.2">
      <c r="A4861" s="52"/>
    </row>
    <row r="4862" spans="1:1" x14ac:dyDescent="0.2">
      <c r="A4862" s="52"/>
    </row>
    <row r="4863" spans="1:1" x14ac:dyDescent="0.2">
      <c r="A4863" s="53"/>
    </row>
    <row r="4864" spans="1:1" x14ac:dyDescent="0.2">
      <c r="A4864" s="52"/>
    </row>
    <row r="4865" spans="1:1" x14ac:dyDescent="0.2">
      <c r="A4865" s="53"/>
    </row>
    <row r="4866" spans="1:1" x14ac:dyDescent="0.2">
      <c r="A4866" s="52"/>
    </row>
    <row r="4867" spans="1:1" x14ac:dyDescent="0.2">
      <c r="A4867" s="52"/>
    </row>
    <row r="4868" spans="1:1" x14ac:dyDescent="0.2">
      <c r="A4868" s="52"/>
    </row>
    <row r="4869" spans="1:1" x14ac:dyDescent="0.2">
      <c r="A4869" s="52"/>
    </row>
    <row r="4870" spans="1:1" x14ac:dyDescent="0.2">
      <c r="A4870" s="52"/>
    </row>
    <row r="4871" spans="1:1" x14ac:dyDescent="0.2">
      <c r="A4871" s="52"/>
    </row>
    <row r="4872" spans="1:1" x14ac:dyDescent="0.2">
      <c r="A4872" s="52"/>
    </row>
    <row r="4873" spans="1:1" x14ac:dyDescent="0.2">
      <c r="A4873" s="53"/>
    </row>
    <row r="4874" spans="1:1" x14ac:dyDescent="0.2">
      <c r="A4874" s="53"/>
    </row>
    <row r="4875" spans="1:1" x14ac:dyDescent="0.2">
      <c r="A4875" s="53"/>
    </row>
    <row r="4876" spans="1:1" x14ac:dyDescent="0.2">
      <c r="A4876" s="52"/>
    </row>
    <row r="4877" spans="1:1" x14ac:dyDescent="0.2">
      <c r="A4877" s="52"/>
    </row>
    <row r="4878" spans="1:1" x14ac:dyDescent="0.2">
      <c r="A4878" s="53"/>
    </row>
    <row r="4879" spans="1:1" x14ac:dyDescent="0.2">
      <c r="A4879" s="52"/>
    </row>
    <row r="4880" spans="1:1" x14ac:dyDescent="0.2">
      <c r="A4880" s="52"/>
    </row>
    <row r="4881" spans="1:1" x14ac:dyDescent="0.2">
      <c r="A4881" s="52"/>
    </row>
    <row r="4882" spans="1:1" x14ac:dyDescent="0.2">
      <c r="A4882" s="52"/>
    </row>
    <row r="4883" spans="1:1" x14ac:dyDescent="0.2">
      <c r="A4883" s="53"/>
    </row>
    <row r="4884" spans="1:1" x14ac:dyDescent="0.2">
      <c r="A4884" s="52"/>
    </row>
    <row r="4885" spans="1:1" x14ac:dyDescent="0.2">
      <c r="A4885" s="52"/>
    </row>
    <row r="4886" spans="1:1" x14ac:dyDescent="0.2">
      <c r="A4886" s="52"/>
    </row>
    <row r="4887" spans="1:1" x14ac:dyDescent="0.2">
      <c r="A4887" s="52"/>
    </row>
    <row r="4888" spans="1:1" x14ac:dyDescent="0.2">
      <c r="A4888" s="52"/>
    </row>
    <row r="4889" spans="1:1" x14ac:dyDescent="0.2">
      <c r="A4889" s="52"/>
    </row>
    <row r="4890" spans="1:1" x14ac:dyDescent="0.2">
      <c r="A4890" s="52"/>
    </row>
    <row r="4891" spans="1:1" x14ac:dyDescent="0.2">
      <c r="A4891" s="52"/>
    </row>
    <row r="4892" spans="1:1" x14ac:dyDescent="0.2">
      <c r="A4892" s="52"/>
    </row>
    <row r="4893" spans="1:1" x14ac:dyDescent="0.2">
      <c r="A4893" s="52"/>
    </row>
    <row r="4894" spans="1:1" x14ac:dyDescent="0.2">
      <c r="A4894" s="52"/>
    </row>
    <row r="4895" spans="1:1" x14ac:dyDescent="0.2">
      <c r="A4895" s="52"/>
    </row>
    <row r="4896" spans="1:1" x14ac:dyDescent="0.2">
      <c r="A4896" s="52"/>
    </row>
    <row r="4897" spans="1:1" x14ac:dyDescent="0.2">
      <c r="A4897" s="52"/>
    </row>
    <row r="4898" spans="1:1" x14ac:dyDescent="0.2">
      <c r="A4898" s="52"/>
    </row>
    <row r="4899" spans="1:1" x14ac:dyDescent="0.2">
      <c r="A4899" s="52"/>
    </row>
    <row r="4900" spans="1:1" x14ac:dyDescent="0.2">
      <c r="A4900" s="52"/>
    </row>
    <row r="4901" spans="1:1" x14ac:dyDescent="0.2">
      <c r="A4901" s="52"/>
    </row>
    <row r="4902" spans="1:1" x14ac:dyDescent="0.2">
      <c r="A4902" s="52"/>
    </row>
    <row r="4903" spans="1:1" x14ac:dyDescent="0.2">
      <c r="A4903" s="52"/>
    </row>
    <row r="4904" spans="1:1" x14ac:dyDescent="0.2">
      <c r="A4904" s="52"/>
    </row>
    <row r="4905" spans="1:1" x14ac:dyDescent="0.2">
      <c r="A4905" s="52"/>
    </row>
    <row r="4906" spans="1:1" x14ac:dyDescent="0.2">
      <c r="A4906" s="52"/>
    </row>
    <row r="4907" spans="1:1" x14ac:dyDescent="0.2">
      <c r="A4907" s="52"/>
    </row>
    <row r="4908" spans="1:1" x14ac:dyDescent="0.2">
      <c r="A4908" s="52"/>
    </row>
    <row r="4909" spans="1:1" x14ac:dyDescent="0.2">
      <c r="A4909" s="52"/>
    </row>
    <row r="4910" spans="1:1" x14ac:dyDescent="0.2">
      <c r="A4910" s="52"/>
    </row>
    <row r="4911" spans="1:1" x14ac:dyDescent="0.2">
      <c r="A4911" s="52"/>
    </row>
    <row r="4912" spans="1:1" x14ac:dyDescent="0.2">
      <c r="A4912" s="52"/>
    </row>
    <row r="4913" spans="1:1" x14ac:dyDescent="0.2">
      <c r="A4913" s="52"/>
    </row>
    <row r="4914" spans="1:1" x14ac:dyDescent="0.2">
      <c r="A4914" s="52"/>
    </row>
    <row r="4915" spans="1:1" x14ac:dyDescent="0.2">
      <c r="A4915" s="52"/>
    </row>
    <row r="4916" spans="1:1" x14ac:dyDescent="0.2">
      <c r="A4916" s="52"/>
    </row>
    <row r="4917" spans="1:1" x14ac:dyDescent="0.2">
      <c r="A4917" s="52"/>
    </row>
    <row r="4918" spans="1:1" x14ac:dyDescent="0.2">
      <c r="A4918" s="52"/>
    </row>
    <row r="4919" spans="1:1" x14ac:dyDescent="0.2">
      <c r="A4919" s="52"/>
    </row>
    <row r="4920" spans="1:1" x14ac:dyDescent="0.2">
      <c r="A4920" s="52"/>
    </row>
    <row r="4921" spans="1:1" x14ac:dyDescent="0.2">
      <c r="A4921" s="52"/>
    </row>
    <row r="4922" spans="1:1" x14ac:dyDescent="0.2">
      <c r="A4922" s="52"/>
    </row>
    <row r="4923" spans="1:1" x14ac:dyDescent="0.2">
      <c r="A4923" s="53"/>
    </row>
    <row r="4924" spans="1:1" x14ac:dyDescent="0.2">
      <c r="A4924" s="52"/>
    </row>
    <row r="4925" spans="1:1" x14ac:dyDescent="0.2">
      <c r="A4925" s="52"/>
    </row>
    <row r="4926" spans="1:1" x14ac:dyDescent="0.2">
      <c r="A4926" s="52"/>
    </row>
    <row r="4927" spans="1:1" x14ac:dyDescent="0.2">
      <c r="A4927" s="52"/>
    </row>
    <row r="4928" spans="1:1" x14ac:dyDescent="0.2">
      <c r="A4928" s="52"/>
    </row>
    <row r="4929" spans="1:1" x14ac:dyDescent="0.2">
      <c r="A4929" s="52"/>
    </row>
    <row r="4930" spans="1:1" x14ac:dyDescent="0.2">
      <c r="A4930" s="52"/>
    </row>
    <row r="4931" spans="1:1" x14ac:dyDescent="0.2">
      <c r="A4931" s="52"/>
    </row>
    <row r="4932" spans="1:1" x14ac:dyDescent="0.2">
      <c r="A4932" s="52"/>
    </row>
    <row r="4933" spans="1:1" x14ac:dyDescent="0.2">
      <c r="A4933" s="52"/>
    </row>
    <row r="4934" spans="1:1" x14ac:dyDescent="0.2">
      <c r="A4934" s="52"/>
    </row>
    <row r="4935" spans="1:1" x14ac:dyDescent="0.2">
      <c r="A4935" s="52"/>
    </row>
    <row r="4936" spans="1:1" x14ac:dyDescent="0.2">
      <c r="A4936" s="52"/>
    </row>
    <row r="4937" spans="1:1" x14ac:dyDescent="0.2">
      <c r="A4937" s="52"/>
    </row>
    <row r="4938" spans="1:1" x14ac:dyDescent="0.2">
      <c r="A4938" s="52"/>
    </row>
    <row r="4939" spans="1:1" x14ac:dyDescent="0.2">
      <c r="A4939" s="52"/>
    </row>
    <row r="4940" spans="1:1" x14ac:dyDescent="0.2">
      <c r="A4940" s="52"/>
    </row>
    <row r="4941" spans="1:1" x14ac:dyDescent="0.2">
      <c r="A4941" s="52"/>
    </row>
    <row r="4942" spans="1:1" x14ac:dyDescent="0.2">
      <c r="A4942" s="52"/>
    </row>
    <row r="4943" spans="1:1" x14ac:dyDescent="0.2">
      <c r="A4943" s="52"/>
    </row>
    <row r="4944" spans="1:1" x14ac:dyDescent="0.2">
      <c r="A4944" s="52"/>
    </row>
    <row r="4945" spans="1:1" x14ac:dyDescent="0.2">
      <c r="A4945" s="52"/>
    </row>
    <row r="4946" spans="1:1" x14ac:dyDescent="0.2">
      <c r="A4946" s="53"/>
    </row>
    <row r="4947" spans="1:1" x14ac:dyDescent="0.2">
      <c r="A4947" s="52"/>
    </row>
    <row r="4948" spans="1:1" x14ac:dyDescent="0.2">
      <c r="A4948" s="52"/>
    </row>
    <row r="4949" spans="1:1" x14ac:dyDescent="0.2">
      <c r="A4949" s="52"/>
    </row>
    <row r="4950" spans="1:1" x14ac:dyDescent="0.2">
      <c r="A4950" s="52"/>
    </row>
    <row r="4951" spans="1:1" x14ac:dyDescent="0.2">
      <c r="A4951" s="52"/>
    </row>
    <row r="4952" spans="1:1" x14ac:dyDescent="0.2">
      <c r="A4952" s="52"/>
    </row>
    <row r="4953" spans="1:1" x14ac:dyDescent="0.2">
      <c r="A4953" s="52"/>
    </row>
    <row r="4954" spans="1:1" x14ac:dyDescent="0.2">
      <c r="A4954" s="52"/>
    </row>
    <row r="4955" spans="1:1" x14ac:dyDescent="0.2">
      <c r="A4955" s="52"/>
    </row>
    <row r="4956" spans="1:1" x14ac:dyDescent="0.2">
      <c r="A4956" s="52"/>
    </row>
    <row r="4957" spans="1:1" x14ac:dyDescent="0.2">
      <c r="A4957" s="52"/>
    </row>
    <row r="4958" spans="1:1" x14ac:dyDescent="0.2">
      <c r="A4958" s="52"/>
    </row>
    <row r="4959" spans="1:1" x14ac:dyDescent="0.2">
      <c r="A4959" s="52"/>
    </row>
    <row r="4960" spans="1:1" x14ac:dyDescent="0.2">
      <c r="A4960" s="52"/>
    </row>
    <row r="4961" spans="1:1" x14ac:dyDescent="0.2">
      <c r="A4961" s="52"/>
    </row>
    <row r="4962" spans="1:1" x14ac:dyDescent="0.2">
      <c r="A4962" s="53"/>
    </row>
    <row r="4963" spans="1:1" x14ac:dyDescent="0.2">
      <c r="A4963" s="52"/>
    </row>
    <row r="4964" spans="1:1" x14ac:dyDescent="0.2">
      <c r="A4964" s="52"/>
    </row>
    <row r="4965" spans="1:1" x14ac:dyDescent="0.2">
      <c r="A4965" s="52"/>
    </row>
    <row r="4966" spans="1:1" x14ac:dyDescent="0.2">
      <c r="A4966" s="52"/>
    </row>
    <row r="4967" spans="1:1" x14ac:dyDescent="0.2">
      <c r="A4967" s="53"/>
    </row>
    <row r="4968" spans="1:1" x14ac:dyDescent="0.2">
      <c r="A4968" s="52"/>
    </row>
    <row r="4969" spans="1:1" x14ac:dyDescent="0.2">
      <c r="A4969" s="53"/>
    </row>
    <row r="4970" spans="1:1" x14ac:dyDescent="0.2">
      <c r="A4970" s="52"/>
    </row>
    <row r="4971" spans="1:1" x14ac:dyDescent="0.2">
      <c r="A4971" s="52"/>
    </row>
    <row r="4972" spans="1:1" x14ac:dyDescent="0.2">
      <c r="A4972" s="53"/>
    </row>
    <row r="4973" spans="1:1" x14ac:dyDescent="0.2">
      <c r="A4973" s="52"/>
    </row>
    <row r="4974" spans="1:1" x14ac:dyDescent="0.2">
      <c r="A4974" s="53"/>
    </row>
    <row r="4975" spans="1:1" x14ac:dyDescent="0.2">
      <c r="A4975" s="52"/>
    </row>
    <row r="4976" spans="1:1" x14ac:dyDescent="0.2">
      <c r="A4976" s="52"/>
    </row>
    <row r="4977" spans="1:1" x14ac:dyDescent="0.2">
      <c r="A4977" s="52"/>
    </row>
    <row r="4978" spans="1:1" x14ac:dyDescent="0.2">
      <c r="A4978" s="52"/>
    </row>
    <row r="4979" spans="1:1" x14ac:dyDescent="0.2">
      <c r="A4979" s="53"/>
    </row>
    <row r="4980" spans="1:1" x14ac:dyDescent="0.2">
      <c r="A4980" s="52"/>
    </row>
    <row r="4981" spans="1:1" x14ac:dyDescent="0.2">
      <c r="A4981" s="52"/>
    </row>
    <row r="4982" spans="1:1" x14ac:dyDescent="0.2">
      <c r="A4982" s="52"/>
    </row>
    <row r="4983" spans="1:1" x14ac:dyDescent="0.2">
      <c r="A4983" s="53"/>
    </row>
    <row r="4984" spans="1:1" x14ac:dyDescent="0.2">
      <c r="A4984" s="52"/>
    </row>
    <row r="4985" spans="1:1" x14ac:dyDescent="0.2">
      <c r="A4985" s="52"/>
    </row>
    <row r="4986" spans="1:1" x14ac:dyDescent="0.2">
      <c r="A4986" s="52"/>
    </row>
    <row r="4987" spans="1:1" x14ac:dyDescent="0.2">
      <c r="A4987" s="52"/>
    </row>
    <row r="4988" spans="1:1" x14ac:dyDescent="0.2">
      <c r="A4988" s="52"/>
    </row>
    <row r="4989" spans="1:1" x14ac:dyDescent="0.2">
      <c r="A4989" s="52"/>
    </row>
    <row r="4990" spans="1:1" x14ac:dyDescent="0.2">
      <c r="A4990" s="52"/>
    </row>
    <row r="4991" spans="1:1" x14ac:dyDescent="0.2">
      <c r="A4991" s="52"/>
    </row>
    <row r="4992" spans="1:1" x14ac:dyDescent="0.2">
      <c r="A4992" s="52"/>
    </row>
    <row r="4993" spans="1:1" x14ac:dyDescent="0.2">
      <c r="A4993" s="52"/>
    </row>
    <row r="4994" spans="1:1" x14ac:dyDescent="0.2">
      <c r="A4994" s="52"/>
    </row>
    <row r="4995" spans="1:1" x14ac:dyDescent="0.2">
      <c r="A4995" s="53"/>
    </row>
    <row r="4996" spans="1:1" x14ac:dyDescent="0.2">
      <c r="A4996" s="52"/>
    </row>
    <row r="4997" spans="1:1" x14ac:dyDescent="0.2">
      <c r="A4997" s="52"/>
    </row>
    <row r="4998" spans="1:1" x14ac:dyDescent="0.2">
      <c r="A4998" s="52"/>
    </row>
    <row r="4999" spans="1:1" x14ac:dyDescent="0.2">
      <c r="A4999" s="52"/>
    </row>
    <row r="5000" spans="1:1" x14ac:dyDescent="0.2">
      <c r="A5000" s="52"/>
    </row>
    <row r="5001" spans="1:1" x14ac:dyDescent="0.2">
      <c r="A5001" s="52"/>
    </row>
    <row r="5002" spans="1:1" x14ac:dyDescent="0.2">
      <c r="A5002" s="52"/>
    </row>
    <row r="5003" spans="1:1" x14ac:dyDescent="0.2">
      <c r="A5003" s="53"/>
    </row>
    <row r="5004" spans="1:1" x14ac:dyDescent="0.2">
      <c r="A5004" s="52"/>
    </row>
    <row r="5005" spans="1:1" x14ac:dyDescent="0.2">
      <c r="A5005" s="52"/>
    </row>
    <row r="5006" spans="1:1" x14ac:dyDescent="0.2">
      <c r="A5006" s="52"/>
    </row>
    <row r="5007" spans="1:1" x14ac:dyDescent="0.2">
      <c r="A5007" s="52"/>
    </row>
    <row r="5008" spans="1:1" x14ac:dyDescent="0.2">
      <c r="A5008" s="52"/>
    </row>
    <row r="5009" spans="1:1" x14ac:dyDescent="0.2">
      <c r="A5009" s="52"/>
    </row>
    <row r="5010" spans="1:1" x14ac:dyDescent="0.2">
      <c r="A5010" s="52"/>
    </row>
    <row r="5011" spans="1:1" x14ac:dyDescent="0.2">
      <c r="A5011" s="52"/>
    </row>
    <row r="5012" spans="1:1" x14ac:dyDescent="0.2">
      <c r="A5012" s="52"/>
    </row>
    <row r="5013" spans="1:1" x14ac:dyDescent="0.2">
      <c r="A5013" s="52"/>
    </row>
    <row r="5014" spans="1:1" x14ac:dyDescent="0.2">
      <c r="A5014" s="52"/>
    </row>
    <row r="5015" spans="1:1" x14ac:dyDescent="0.2">
      <c r="A5015" s="52"/>
    </row>
    <row r="5016" spans="1:1" x14ac:dyDescent="0.2">
      <c r="A5016" s="52"/>
    </row>
    <row r="5017" spans="1:1" x14ac:dyDescent="0.2">
      <c r="A5017" s="52"/>
    </row>
    <row r="5018" spans="1:1" x14ac:dyDescent="0.2">
      <c r="A5018" s="52"/>
    </row>
    <row r="5019" spans="1:1" x14ac:dyDescent="0.2">
      <c r="A5019" s="52"/>
    </row>
    <row r="5020" spans="1:1" x14ac:dyDescent="0.2">
      <c r="A5020" s="52"/>
    </row>
    <row r="5021" spans="1:1" x14ac:dyDescent="0.2">
      <c r="A5021" s="52"/>
    </row>
    <row r="5022" spans="1:1" x14ac:dyDescent="0.2">
      <c r="A5022" s="52"/>
    </row>
    <row r="5023" spans="1:1" x14ac:dyDescent="0.2">
      <c r="A5023" s="52"/>
    </row>
    <row r="5024" spans="1:1" x14ac:dyDescent="0.2">
      <c r="A5024" s="52"/>
    </row>
    <row r="5025" spans="1:1" x14ac:dyDescent="0.2">
      <c r="A5025" s="52"/>
    </row>
    <row r="5026" spans="1:1" x14ac:dyDescent="0.2">
      <c r="A5026" s="52"/>
    </row>
    <row r="5027" spans="1:1" x14ac:dyDescent="0.2">
      <c r="A5027" s="52"/>
    </row>
    <row r="5028" spans="1:1" x14ac:dyDescent="0.2">
      <c r="A5028" s="52"/>
    </row>
    <row r="5029" spans="1:1" x14ac:dyDescent="0.2">
      <c r="A5029" s="52"/>
    </row>
    <row r="5030" spans="1:1" x14ac:dyDescent="0.2">
      <c r="A5030" s="52"/>
    </row>
    <row r="5031" spans="1:1" x14ac:dyDescent="0.2">
      <c r="A5031" s="52"/>
    </row>
    <row r="5032" spans="1:1" x14ac:dyDescent="0.2">
      <c r="A5032" s="53"/>
    </row>
    <row r="5033" spans="1:1" x14ac:dyDescent="0.2">
      <c r="A5033" s="52"/>
    </row>
    <row r="5034" spans="1:1" x14ac:dyDescent="0.2">
      <c r="A5034" s="52"/>
    </row>
    <row r="5035" spans="1:1" x14ac:dyDescent="0.2">
      <c r="A5035" s="52"/>
    </row>
    <row r="5036" spans="1:1" x14ac:dyDescent="0.2">
      <c r="A5036" s="52"/>
    </row>
    <row r="5037" spans="1:1" x14ac:dyDescent="0.2">
      <c r="A5037" s="52"/>
    </row>
    <row r="5038" spans="1:1" x14ac:dyDescent="0.2">
      <c r="A5038" s="52"/>
    </row>
    <row r="5039" spans="1:1" x14ac:dyDescent="0.2">
      <c r="A5039" s="52"/>
    </row>
    <row r="5040" spans="1:1" x14ac:dyDescent="0.2">
      <c r="A5040" s="52"/>
    </row>
    <row r="5041" spans="1:1" x14ac:dyDescent="0.2">
      <c r="A5041" s="52"/>
    </row>
    <row r="5042" spans="1:1" x14ac:dyDescent="0.2">
      <c r="A5042" s="52"/>
    </row>
    <row r="5043" spans="1:1" x14ac:dyDescent="0.2">
      <c r="A5043" s="52"/>
    </row>
    <row r="5044" spans="1:1" x14ac:dyDescent="0.2">
      <c r="A5044" s="52"/>
    </row>
    <row r="5045" spans="1:1" x14ac:dyDescent="0.2">
      <c r="A5045" s="52"/>
    </row>
    <row r="5046" spans="1:1" x14ac:dyDescent="0.2">
      <c r="A5046" s="52"/>
    </row>
    <row r="5047" spans="1:1" x14ac:dyDescent="0.2">
      <c r="A5047" s="52"/>
    </row>
    <row r="5048" spans="1:1" x14ac:dyDescent="0.2">
      <c r="A5048" s="52"/>
    </row>
    <row r="5049" spans="1:1" x14ac:dyDescent="0.2">
      <c r="A5049" s="52"/>
    </row>
    <row r="5050" spans="1:1" x14ac:dyDescent="0.2">
      <c r="A5050" s="52"/>
    </row>
    <row r="5051" spans="1:1" x14ac:dyDescent="0.2">
      <c r="A5051" s="52"/>
    </row>
    <row r="5052" spans="1:1" x14ac:dyDescent="0.2">
      <c r="A5052" s="52"/>
    </row>
    <row r="5053" spans="1:1" x14ac:dyDescent="0.2">
      <c r="A5053" s="52"/>
    </row>
    <row r="5054" spans="1:1" x14ac:dyDescent="0.2">
      <c r="A5054" s="52"/>
    </row>
    <row r="5055" spans="1:1" x14ac:dyDescent="0.2">
      <c r="A5055" s="52"/>
    </row>
    <row r="5056" spans="1:1" x14ac:dyDescent="0.2">
      <c r="A5056" s="52"/>
    </row>
    <row r="5057" spans="1:1" x14ac:dyDescent="0.2">
      <c r="A5057" s="52"/>
    </row>
    <row r="5058" spans="1:1" x14ac:dyDescent="0.2">
      <c r="A5058" s="52"/>
    </row>
    <row r="5059" spans="1:1" x14ac:dyDescent="0.2">
      <c r="A5059" s="52"/>
    </row>
    <row r="5060" spans="1:1" x14ac:dyDescent="0.2">
      <c r="A5060" s="52"/>
    </row>
    <row r="5061" spans="1:1" x14ac:dyDescent="0.2">
      <c r="A5061" s="52"/>
    </row>
    <row r="5062" spans="1:1" x14ac:dyDescent="0.2">
      <c r="A5062" s="52"/>
    </row>
    <row r="5063" spans="1:1" x14ac:dyDescent="0.2">
      <c r="A5063" s="52"/>
    </row>
    <row r="5064" spans="1:1" x14ac:dyDescent="0.2">
      <c r="A5064" s="52"/>
    </row>
    <row r="5065" spans="1:1" x14ac:dyDescent="0.2">
      <c r="A5065" s="52"/>
    </row>
    <row r="5066" spans="1:1" x14ac:dyDescent="0.2">
      <c r="A5066" s="52"/>
    </row>
    <row r="5067" spans="1:1" x14ac:dyDescent="0.2">
      <c r="A5067" s="52"/>
    </row>
    <row r="5068" spans="1:1" x14ac:dyDescent="0.2">
      <c r="A5068" s="52"/>
    </row>
    <row r="5069" spans="1:1" x14ac:dyDescent="0.2">
      <c r="A5069" s="52"/>
    </row>
    <row r="5070" spans="1:1" x14ac:dyDescent="0.2">
      <c r="A5070" s="52"/>
    </row>
    <row r="5071" spans="1:1" x14ac:dyDescent="0.2">
      <c r="A5071" s="52"/>
    </row>
    <row r="5072" spans="1:1" x14ac:dyDescent="0.2">
      <c r="A5072" s="52"/>
    </row>
    <row r="5073" spans="1:1" x14ac:dyDescent="0.2">
      <c r="A5073" s="52"/>
    </row>
    <row r="5074" spans="1:1" x14ac:dyDescent="0.2">
      <c r="A5074" s="52"/>
    </row>
    <row r="5075" spans="1:1" x14ac:dyDescent="0.2">
      <c r="A5075" s="52"/>
    </row>
    <row r="5076" spans="1:1" x14ac:dyDescent="0.2">
      <c r="A5076" s="52"/>
    </row>
    <row r="5077" spans="1:1" x14ac:dyDescent="0.2">
      <c r="A5077" s="52"/>
    </row>
    <row r="5078" spans="1:1" x14ac:dyDescent="0.2">
      <c r="A5078" s="52"/>
    </row>
    <row r="5079" spans="1:1" x14ac:dyDescent="0.2">
      <c r="A5079" s="52"/>
    </row>
    <row r="5080" spans="1:1" x14ac:dyDescent="0.2">
      <c r="A5080" s="52"/>
    </row>
    <row r="5081" spans="1:1" x14ac:dyDescent="0.2">
      <c r="A5081" s="52"/>
    </row>
    <row r="5082" spans="1:1" x14ac:dyDescent="0.2">
      <c r="A5082" s="52"/>
    </row>
    <row r="5083" spans="1:1" x14ac:dyDescent="0.2">
      <c r="A5083" s="52"/>
    </row>
    <row r="5084" spans="1:1" x14ac:dyDescent="0.2">
      <c r="A5084" s="52"/>
    </row>
    <row r="5085" spans="1:1" x14ac:dyDescent="0.2">
      <c r="A5085" s="52"/>
    </row>
    <row r="5086" spans="1:1" x14ac:dyDescent="0.2">
      <c r="A5086" s="52"/>
    </row>
    <row r="5087" spans="1:1" x14ac:dyDescent="0.2">
      <c r="A5087" s="52"/>
    </row>
    <row r="5088" spans="1:1" x14ac:dyDescent="0.2">
      <c r="A5088" s="52"/>
    </row>
    <row r="5089" spans="1:1" x14ac:dyDescent="0.2">
      <c r="A5089" s="52"/>
    </row>
    <row r="5090" spans="1:1" x14ac:dyDescent="0.2">
      <c r="A5090" s="53"/>
    </row>
    <row r="5091" spans="1:1" x14ac:dyDescent="0.2">
      <c r="A5091" s="52"/>
    </row>
    <row r="5092" spans="1:1" x14ac:dyDescent="0.2">
      <c r="A5092" s="52"/>
    </row>
    <row r="5093" spans="1:1" x14ac:dyDescent="0.2">
      <c r="A5093" s="52"/>
    </row>
    <row r="5094" spans="1:1" x14ac:dyDescent="0.2">
      <c r="A5094" s="52"/>
    </row>
    <row r="5095" spans="1:1" x14ac:dyDescent="0.2">
      <c r="A5095" s="52"/>
    </row>
    <row r="5096" spans="1:1" x14ac:dyDescent="0.2">
      <c r="A5096" s="52"/>
    </row>
    <row r="5097" spans="1:1" x14ac:dyDescent="0.2">
      <c r="A5097" s="52"/>
    </row>
    <row r="5098" spans="1:1" x14ac:dyDescent="0.2">
      <c r="A5098" s="52"/>
    </row>
    <row r="5099" spans="1:1" x14ac:dyDescent="0.2">
      <c r="A5099" s="52"/>
    </row>
    <row r="5100" spans="1:1" x14ac:dyDescent="0.2">
      <c r="A5100" s="52"/>
    </row>
    <row r="5101" spans="1:1" x14ac:dyDescent="0.2">
      <c r="A5101" s="52"/>
    </row>
    <row r="5102" spans="1:1" x14ac:dyDescent="0.2">
      <c r="A5102" s="52"/>
    </row>
    <row r="5103" spans="1:1" x14ac:dyDescent="0.2">
      <c r="A5103" s="52"/>
    </row>
    <row r="5104" spans="1:1" x14ac:dyDescent="0.2">
      <c r="A5104" s="52"/>
    </row>
    <row r="5105" spans="1:1" x14ac:dyDescent="0.2">
      <c r="A5105" s="52"/>
    </row>
    <row r="5106" spans="1:1" x14ac:dyDescent="0.2">
      <c r="A5106" s="52"/>
    </row>
    <row r="5107" spans="1:1" x14ac:dyDescent="0.2">
      <c r="A5107" s="52"/>
    </row>
    <row r="5108" spans="1:1" x14ac:dyDescent="0.2">
      <c r="A5108" s="52"/>
    </row>
    <row r="5109" spans="1:1" x14ac:dyDescent="0.2">
      <c r="A5109" s="53"/>
    </row>
    <row r="5110" spans="1:1" x14ac:dyDescent="0.2">
      <c r="A5110" s="52"/>
    </row>
    <row r="5111" spans="1:1" x14ac:dyDescent="0.2">
      <c r="A5111" s="52"/>
    </row>
    <row r="5112" spans="1:1" x14ac:dyDescent="0.2">
      <c r="A5112" s="52"/>
    </row>
    <row r="5113" spans="1:1" x14ac:dyDescent="0.2">
      <c r="A5113" s="52"/>
    </row>
    <row r="5114" spans="1:1" x14ac:dyDescent="0.2">
      <c r="A5114" s="52"/>
    </row>
    <row r="5115" spans="1:1" x14ac:dyDescent="0.2">
      <c r="A5115" s="52"/>
    </row>
    <row r="5116" spans="1:1" x14ac:dyDescent="0.2">
      <c r="A5116" s="52"/>
    </row>
    <row r="5117" spans="1:1" x14ac:dyDescent="0.2">
      <c r="A5117" s="52"/>
    </row>
    <row r="5118" spans="1:1" x14ac:dyDescent="0.2">
      <c r="A5118" s="52"/>
    </row>
    <row r="5119" spans="1:1" x14ac:dyDescent="0.2">
      <c r="A5119" s="52"/>
    </row>
    <row r="5120" spans="1:1" x14ac:dyDescent="0.2">
      <c r="A5120" s="52"/>
    </row>
    <row r="5121" spans="1:1" x14ac:dyDescent="0.2">
      <c r="A5121" s="52"/>
    </row>
    <row r="5122" spans="1:1" x14ac:dyDescent="0.2">
      <c r="A5122" s="52"/>
    </row>
    <row r="5123" spans="1:1" x14ac:dyDescent="0.2">
      <c r="A5123" s="52"/>
    </row>
    <row r="5124" spans="1:1" x14ac:dyDescent="0.2">
      <c r="A5124" s="52"/>
    </row>
    <row r="5125" spans="1:1" x14ac:dyDescent="0.2">
      <c r="A5125" s="52"/>
    </row>
    <row r="5126" spans="1:1" x14ac:dyDescent="0.2">
      <c r="A5126" s="52"/>
    </row>
    <row r="5127" spans="1:1" x14ac:dyDescent="0.2">
      <c r="A5127" s="52"/>
    </row>
    <row r="5128" spans="1:1" x14ac:dyDescent="0.2">
      <c r="A5128" s="52"/>
    </row>
    <row r="5129" spans="1:1" x14ac:dyDescent="0.2">
      <c r="A5129" s="52"/>
    </row>
    <row r="5130" spans="1:1" x14ac:dyDescent="0.2">
      <c r="A5130" s="52"/>
    </row>
    <row r="5131" spans="1:1" x14ac:dyDescent="0.2">
      <c r="A5131" s="52"/>
    </row>
    <row r="5132" spans="1:1" x14ac:dyDescent="0.2">
      <c r="A5132" s="52"/>
    </row>
    <row r="5133" spans="1:1" x14ac:dyDescent="0.2">
      <c r="A5133" s="52"/>
    </row>
    <row r="5134" spans="1:1" x14ac:dyDescent="0.2">
      <c r="A5134" s="52"/>
    </row>
    <row r="5135" spans="1:1" x14ac:dyDescent="0.2">
      <c r="A5135" s="52"/>
    </row>
    <row r="5136" spans="1:1" x14ac:dyDescent="0.2">
      <c r="A5136" s="52"/>
    </row>
    <row r="5137" spans="1:1" x14ac:dyDescent="0.2">
      <c r="A5137" s="52"/>
    </row>
    <row r="5138" spans="1:1" x14ac:dyDescent="0.2">
      <c r="A5138" s="52"/>
    </row>
    <row r="5139" spans="1:1" x14ac:dyDescent="0.2">
      <c r="A5139" s="52"/>
    </row>
    <row r="5140" spans="1:1" x14ac:dyDescent="0.2">
      <c r="A5140" s="52"/>
    </row>
    <row r="5141" spans="1:1" x14ac:dyDescent="0.2">
      <c r="A5141" s="52"/>
    </row>
    <row r="5142" spans="1:1" x14ac:dyDescent="0.2">
      <c r="A5142" s="52"/>
    </row>
    <row r="5143" spans="1:1" x14ac:dyDescent="0.2">
      <c r="A5143" s="52"/>
    </row>
    <row r="5144" spans="1:1" x14ac:dyDescent="0.2">
      <c r="A5144" s="52"/>
    </row>
    <row r="5145" spans="1:1" x14ac:dyDescent="0.2">
      <c r="A5145" s="52"/>
    </row>
    <row r="5146" spans="1:1" x14ac:dyDescent="0.2">
      <c r="A5146" s="52"/>
    </row>
    <row r="5147" spans="1:1" x14ac:dyDescent="0.2">
      <c r="A5147" s="53"/>
    </row>
    <row r="5148" spans="1:1" x14ac:dyDescent="0.2">
      <c r="A5148" s="52"/>
    </row>
    <row r="5149" spans="1:1" x14ac:dyDescent="0.2">
      <c r="A5149" s="52"/>
    </row>
    <row r="5150" spans="1:1" x14ac:dyDescent="0.2">
      <c r="A5150" s="52"/>
    </row>
    <row r="5151" spans="1:1" x14ac:dyDescent="0.2">
      <c r="A5151" s="52"/>
    </row>
    <row r="5152" spans="1:1" x14ac:dyDescent="0.2">
      <c r="A5152" s="53"/>
    </row>
    <row r="5153" spans="1:1" x14ac:dyDescent="0.2">
      <c r="A5153" s="52"/>
    </row>
    <row r="5154" spans="1:1" x14ac:dyDescent="0.2">
      <c r="A5154" s="52"/>
    </row>
    <row r="5155" spans="1:1" x14ac:dyDescent="0.2">
      <c r="A5155" s="52"/>
    </row>
    <row r="5156" spans="1:1" x14ac:dyDescent="0.2">
      <c r="A5156" s="53"/>
    </row>
    <row r="5157" spans="1:1" x14ac:dyDescent="0.2">
      <c r="A5157" s="52"/>
    </row>
    <row r="5158" spans="1:1" x14ac:dyDescent="0.2">
      <c r="A5158" s="52"/>
    </row>
    <row r="5159" spans="1:1" x14ac:dyDescent="0.2">
      <c r="A5159" s="53"/>
    </row>
    <row r="5160" spans="1:1" x14ac:dyDescent="0.2">
      <c r="A5160" s="52"/>
    </row>
    <row r="5161" spans="1:1" x14ac:dyDescent="0.2">
      <c r="A5161" s="52"/>
    </row>
    <row r="5162" spans="1:1" x14ac:dyDescent="0.2">
      <c r="A5162" s="53"/>
    </row>
    <row r="5163" spans="1:1" x14ac:dyDescent="0.2">
      <c r="A5163" s="52"/>
    </row>
    <row r="5164" spans="1:1" x14ac:dyDescent="0.2">
      <c r="A5164" s="53"/>
    </row>
    <row r="5165" spans="1:1" x14ac:dyDescent="0.2">
      <c r="A5165" s="52"/>
    </row>
    <row r="5166" spans="1:1" x14ac:dyDescent="0.2">
      <c r="A5166" s="52"/>
    </row>
    <row r="5167" spans="1:1" x14ac:dyDescent="0.2">
      <c r="A5167" s="52"/>
    </row>
    <row r="5168" spans="1:1" x14ac:dyDescent="0.2">
      <c r="A5168" s="52"/>
    </row>
    <row r="5169" spans="1:1" x14ac:dyDescent="0.2">
      <c r="A5169" s="52"/>
    </row>
    <row r="5170" spans="1:1" x14ac:dyDescent="0.2">
      <c r="A5170" s="52"/>
    </row>
    <row r="5171" spans="1:1" x14ac:dyDescent="0.2">
      <c r="A5171" s="52"/>
    </row>
    <row r="5172" spans="1:1" x14ac:dyDescent="0.2">
      <c r="A5172" s="52"/>
    </row>
    <row r="5173" spans="1:1" x14ac:dyDescent="0.2">
      <c r="A5173" s="52"/>
    </row>
    <row r="5174" spans="1:1" x14ac:dyDescent="0.2">
      <c r="A5174" s="53"/>
    </row>
    <row r="5175" spans="1:1" x14ac:dyDescent="0.2">
      <c r="A5175" s="53"/>
    </row>
    <row r="5176" spans="1:1" x14ac:dyDescent="0.2">
      <c r="A5176" s="52"/>
    </row>
    <row r="5177" spans="1:1" x14ac:dyDescent="0.2">
      <c r="A5177" s="52"/>
    </row>
    <row r="5178" spans="1:1" x14ac:dyDescent="0.2">
      <c r="A5178" s="52"/>
    </row>
    <row r="5179" spans="1:1" x14ac:dyDescent="0.2">
      <c r="A5179" s="53"/>
    </row>
    <row r="5180" spans="1:1" x14ac:dyDescent="0.2">
      <c r="A5180" s="53"/>
    </row>
    <row r="5181" spans="1:1" x14ac:dyDescent="0.2">
      <c r="A5181" s="52"/>
    </row>
    <row r="5182" spans="1:1" x14ac:dyDescent="0.2">
      <c r="A5182" s="52"/>
    </row>
    <row r="5183" spans="1:1" x14ac:dyDescent="0.2">
      <c r="A5183" s="52"/>
    </row>
    <row r="5184" spans="1:1" x14ac:dyDescent="0.2">
      <c r="A5184" s="52"/>
    </row>
    <row r="5185" spans="1:1" x14ac:dyDescent="0.2">
      <c r="A5185" s="52"/>
    </row>
    <row r="5186" spans="1:1" x14ac:dyDescent="0.2">
      <c r="A5186" s="52"/>
    </row>
    <row r="5187" spans="1:1" x14ac:dyDescent="0.2">
      <c r="A5187" s="52"/>
    </row>
    <row r="5188" spans="1:1" x14ac:dyDescent="0.2">
      <c r="A5188" s="52"/>
    </row>
    <row r="5189" spans="1:1" x14ac:dyDescent="0.2">
      <c r="A5189" s="52"/>
    </row>
    <row r="5190" spans="1:1" x14ac:dyDescent="0.2">
      <c r="A5190" s="52"/>
    </row>
    <row r="5191" spans="1:1" x14ac:dyDescent="0.2">
      <c r="A5191" s="52"/>
    </row>
    <row r="5192" spans="1:1" x14ac:dyDescent="0.2">
      <c r="A5192" s="52"/>
    </row>
    <row r="5193" spans="1:1" x14ac:dyDescent="0.2">
      <c r="A5193" s="52"/>
    </row>
    <row r="5194" spans="1:1" x14ac:dyDescent="0.2">
      <c r="A5194" s="52"/>
    </row>
    <row r="5195" spans="1:1" x14ac:dyDescent="0.2">
      <c r="A5195" s="52"/>
    </row>
    <row r="5196" spans="1:1" x14ac:dyDescent="0.2">
      <c r="A5196" s="52"/>
    </row>
    <row r="5197" spans="1:1" x14ac:dyDescent="0.2">
      <c r="A5197" s="52"/>
    </row>
    <row r="5198" spans="1:1" x14ac:dyDescent="0.2">
      <c r="A5198" s="52"/>
    </row>
    <row r="5199" spans="1:1" x14ac:dyDescent="0.2">
      <c r="A5199" s="52"/>
    </row>
    <row r="5200" spans="1:1" x14ac:dyDescent="0.2">
      <c r="A5200" s="52"/>
    </row>
    <row r="5201" spans="1:1" x14ac:dyDescent="0.2">
      <c r="A5201" s="52"/>
    </row>
    <row r="5202" spans="1:1" x14ac:dyDescent="0.2">
      <c r="A5202" s="52"/>
    </row>
    <row r="5203" spans="1:1" x14ac:dyDescent="0.2">
      <c r="A5203" s="52"/>
    </row>
    <row r="5204" spans="1:1" x14ac:dyDescent="0.2">
      <c r="A5204" s="52"/>
    </row>
    <row r="5205" spans="1:1" x14ac:dyDescent="0.2">
      <c r="A5205" s="52"/>
    </row>
    <row r="5206" spans="1:1" x14ac:dyDescent="0.2">
      <c r="A5206" s="52"/>
    </row>
    <row r="5207" spans="1:1" x14ac:dyDescent="0.2">
      <c r="A5207" s="52"/>
    </row>
    <row r="5208" spans="1:1" x14ac:dyDescent="0.2">
      <c r="A5208" s="52"/>
    </row>
    <row r="5209" spans="1:1" x14ac:dyDescent="0.2">
      <c r="A5209" s="52"/>
    </row>
    <row r="5210" spans="1:1" x14ac:dyDescent="0.2">
      <c r="A5210" s="52"/>
    </row>
    <row r="5211" spans="1:1" x14ac:dyDescent="0.2">
      <c r="A5211" s="53"/>
    </row>
    <row r="5212" spans="1:1" x14ac:dyDescent="0.2">
      <c r="A5212" s="52"/>
    </row>
    <row r="5213" spans="1:1" x14ac:dyDescent="0.2">
      <c r="A5213" s="52"/>
    </row>
    <row r="5214" spans="1:1" x14ac:dyDescent="0.2">
      <c r="A5214" s="52"/>
    </row>
    <row r="5215" spans="1:1" x14ac:dyDescent="0.2">
      <c r="A5215" s="52"/>
    </row>
    <row r="5216" spans="1:1" x14ac:dyDescent="0.2">
      <c r="A5216" s="52"/>
    </row>
    <row r="5217" spans="1:1" x14ac:dyDescent="0.2">
      <c r="A5217" s="52"/>
    </row>
    <row r="5218" spans="1:1" x14ac:dyDescent="0.2">
      <c r="A5218" s="52"/>
    </row>
    <row r="5219" spans="1:1" x14ac:dyDescent="0.2">
      <c r="A5219" s="52"/>
    </row>
    <row r="5220" spans="1:1" x14ac:dyDescent="0.2">
      <c r="A5220" s="52"/>
    </row>
    <row r="5221" spans="1:1" x14ac:dyDescent="0.2">
      <c r="A5221" s="52"/>
    </row>
    <row r="5222" spans="1:1" x14ac:dyDescent="0.2">
      <c r="A5222" s="52"/>
    </row>
    <row r="5223" spans="1:1" x14ac:dyDescent="0.2">
      <c r="A5223" s="52"/>
    </row>
    <row r="5224" spans="1:1" x14ac:dyDescent="0.2">
      <c r="A5224" s="52"/>
    </row>
    <row r="5225" spans="1:1" x14ac:dyDescent="0.2">
      <c r="A5225" s="52"/>
    </row>
    <row r="5226" spans="1:1" x14ac:dyDescent="0.2">
      <c r="A5226" s="52"/>
    </row>
    <row r="5227" spans="1:1" x14ac:dyDescent="0.2">
      <c r="A5227" s="52"/>
    </row>
    <row r="5228" spans="1:1" x14ac:dyDescent="0.2">
      <c r="A5228" s="52"/>
    </row>
    <row r="5229" spans="1:1" x14ac:dyDescent="0.2">
      <c r="A5229" s="52"/>
    </row>
    <row r="5230" spans="1:1" x14ac:dyDescent="0.2">
      <c r="A5230" s="52"/>
    </row>
    <row r="5231" spans="1:1" x14ac:dyDescent="0.2">
      <c r="A5231" s="52"/>
    </row>
    <row r="5232" spans="1:1" x14ac:dyDescent="0.2">
      <c r="A5232" s="52"/>
    </row>
    <row r="5233" spans="1:1" x14ac:dyDescent="0.2">
      <c r="A5233" s="52"/>
    </row>
    <row r="5234" spans="1:1" x14ac:dyDescent="0.2">
      <c r="A5234" s="52"/>
    </row>
    <row r="5235" spans="1:1" x14ac:dyDescent="0.2">
      <c r="A5235" s="52"/>
    </row>
    <row r="5236" spans="1:1" x14ac:dyDescent="0.2">
      <c r="A5236" s="52"/>
    </row>
    <row r="5237" spans="1:1" x14ac:dyDescent="0.2">
      <c r="A5237" s="52"/>
    </row>
    <row r="5238" spans="1:1" x14ac:dyDescent="0.2">
      <c r="A5238" s="53"/>
    </row>
    <row r="5239" spans="1:1" x14ac:dyDescent="0.2">
      <c r="A5239" s="52"/>
    </row>
    <row r="5240" spans="1:1" x14ac:dyDescent="0.2">
      <c r="A5240" s="52"/>
    </row>
    <row r="5241" spans="1:1" x14ac:dyDescent="0.2">
      <c r="A5241" s="52"/>
    </row>
    <row r="5242" spans="1:1" x14ac:dyDescent="0.2">
      <c r="A5242" s="53"/>
    </row>
    <row r="5243" spans="1:1" x14ac:dyDescent="0.2">
      <c r="A5243" s="52"/>
    </row>
    <row r="5244" spans="1:1" x14ac:dyDescent="0.2">
      <c r="A5244" s="52"/>
    </row>
    <row r="5245" spans="1:1" x14ac:dyDescent="0.2">
      <c r="A5245" s="52"/>
    </row>
    <row r="5246" spans="1:1" x14ac:dyDescent="0.2">
      <c r="A5246" s="52"/>
    </row>
    <row r="5247" spans="1:1" x14ac:dyDescent="0.2">
      <c r="A5247" s="52"/>
    </row>
    <row r="5248" spans="1:1" x14ac:dyDescent="0.2">
      <c r="A5248" s="52"/>
    </row>
    <row r="5249" spans="1:1" x14ac:dyDescent="0.2">
      <c r="A5249" s="53"/>
    </row>
    <row r="5250" spans="1:1" x14ac:dyDescent="0.2">
      <c r="A5250" s="53"/>
    </row>
    <row r="5251" spans="1:1" x14ac:dyDescent="0.2">
      <c r="A5251" s="52"/>
    </row>
    <row r="5252" spans="1:1" x14ac:dyDescent="0.2">
      <c r="A5252" s="52"/>
    </row>
    <row r="5253" spans="1:1" x14ac:dyDescent="0.2">
      <c r="A5253" s="52"/>
    </row>
    <row r="5254" spans="1:1" x14ac:dyDescent="0.2">
      <c r="A5254" s="52"/>
    </row>
    <row r="5255" spans="1:1" x14ac:dyDescent="0.2">
      <c r="A5255" s="52"/>
    </row>
    <row r="5256" spans="1:1" x14ac:dyDescent="0.2">
      <c r="A5256" s="53"/>
    </row>
    <row r="5257" spans="1:1" x14ac:dyDescent="0.2">
      <c r="A5257" s="52"/>
    </row>
    <row r="5258" spans="1:1" x14ac:dyDescent="0.2">
      <c r="A5258" s="52"/>
    </row>
    <row r="5259" spans="1:1" x14ac:dyDescent="0.2">
      <c r="A5259" s="52"/>
    </row>
    <row r="5260" spans="1:1" x14ac:dyDescent="0.2">
      <c r="A5260" s="52"/>
    </row>
    <row r="5261" spans="1:1" x14ac:dyDescent="0.2">
      <c r="A5261" s="52"/>
    </row>
    <row r="5262" spans="1:1" x14ac:dyDescent="0.2">
      <c r="A5262" s="52"/>
    </row>
    <row r="5263" spans="1:1" x14ac:dyDescent="0.2">
      <c r="A5263" s="52"/>
    </row>
    <row r="5264" spans="1:1" x14ac:dyDescent="0.2">
      <c r="A5264" s="52"/>
    </row>
    <row r="5265" spans="1:1" x14ac:dyDescent="0.2">
      <c r="A5265" s="52"/>
    </row>
    <row r="5266" spans="1:1" x14ac:dyDescent="0.2">
      <c r="A5266" s="52"/>
    </row>
    <row r="5267" spans="1:1" x14ac:dyDescent="0.2">
      <c r="A5267" s="52"/>
    </row>
    <row r="5268" spans="1:1" x14ac:dyDescent="0.2">
      <c r="A5268" s="52"/>
    </row>
    <row r="5269" spans="1:1" x14ac:dyDescent="0.2">
      <c r="A5269" s="52"/>
    </row>
    <row r="5270" spans="1:1" x14ac:dyDescent="0.2">
      <c r="A5270" s="53"/>
    </row>
    <row r="5271" spans="1:1" x14ac:dyDescent="0.2">
      <c r="A5271" s="53"/>
    </row>
    <row r="5272" spans="1:1" x14ac:dyDescent="0.2">
      <c r="A5272" s="52"/>
    </row>
    <row r="5273" spans="1:1" x14ac:dyDescent="0.2">
      <c r="A5273" s="52"/>
    </row>
    <row r="5274" spans="1:1" x14ac:dyDescent="0.2">
      <c r="A5274" s="52"/>
    </row>
    <row r="5275" spans="1:1" x14ac:dyDescent="0.2">
      <c r="A5275" s="52"/>
    </row>
    <row r="5276" spans="1:1" x14ac:dyDescent="0.2">
      <c r="A5276" s="52"/>
    </row>
    <row r="5277" spans="1:1" x14ac:dyDescent="0.2">
      <c r="A5277" s="52"/>
    </row>
    <row r="5278" spans="1:1" x14ac:dyDescent="0.2">
      <c r="A5278" s="52"/>
    </row>
    <row r="5279" spans="1:1" x14ac:dyDescent="0.2">
      <c r="A5279" s="52"/>
    </row>
    <row r="5280" spans="1:1" x14ac:dyDescent="0.2">
      <c r="A5280" s="52"/>
    </row>
    <row r="5281" spans="1:1" x14ac:dyDescent="0.2">
      <c r="A5281" s="52"/>
    </row>
    <row r="5282" spans="1:1" x14ac:dyDescent="0.2">
      <c r="A5282" s="52"/>
    </row>
    <row r="5283" spans="1:1" x14ac:dyDescent="0.2">
      <c r="A5283" s="52"/>
    </row>
    <row r="5284" spans="1:1" x14ac:dyDescent="0.2">
      <c r="A5284" s="52"/>
    </row>
    <row r="5285" spans="1:1" x14ac:dyDescent="0.2">
      <c r="A5285" s="52"/>
    </row>
    <row r="5286" spans="1:1" x14ac:dyDescent="0.2">
      <c r="A5286" s="52"/>
    </row>
    <row r="5287" spans="1:1" x14ac:dyDescent="0.2">
      <c r="A5287" s="52"/>
    </row>
    <row r="5288" spans="1:1" x14ac:dyDescent="0.2">
      <c r="A5288" s="52"/>
    </row>
    <row r="5289" spans="1:1" x14ac:dyDescent="0.2">
      <c r="A5289" s="52"/>
    </row>
    <row r="5290" spans="1:1" x14ac:dyDescent="0.2">
      <c r="A5290" s="52"/>
    </row>
    <row r="5291" spans="1:1" x14ac:dyDescent="0.2">
      <c r="A5291" s="52"/>
    </row>
    <row r="5292" spans="1:1" x14ac:dyDescent="0.2">
      <c r="A5292" s="52"/>
    </row>
    <row r="5293" spans="1:1" x14ac:dyDescent="0.2">
      <c r="A5293" s="52"/>
    </row>
    <row r="5294" spans="1:1" x14ac:dyDescent="0.2">
      <c r="A5294" s="52"/>
    </row>
    <row r="5295" spans="1:1" x14ac:dyDescent="0.2">
      <c r="A5295" s="52"/>
    </row>
    <row r="5296" spans="1:1" x14ac:dyDescent="0.2">
      <c r="A5296" s="52"/>
    </row>
    <row r="5297" spans="1:1" x14ac:dyDescent="0.2">
      <c r="A5297" s="52"/>
    </row>
    <row r="5298" spans="1:1" x14ac:dyDescent="0.2">
      <c r="A5298" s="52"/>
    </row>
    <row r="5299" spans="1:1" x14ac:dyDescent="0.2">
      <c r="A5299" s="52"/>
    </row>
    <row r="5300" spans="1:1" x14ac:dyDescent="0.2">
      <c r="A5300" s="52"/>
    </row>
    <row r="5301" spans="1:1" x14ac:dyDescent="0.2">
      <c r="A5301" s="52"/>
    </row>
    <row r="5302" spans="1:1" x14ac:dyDescent="0.2">
      <c r="A5302" s="52"/>
    </row>
    <row r="5303" spans="1:1" x14ac:dyDescent="0.2">
      <c r="A5303" s="52"/>
    </row>
    <row r="5304" spans="1:1" x14ac:dyDescent="0.2">
      <c r="A5304" s="52"/>
    </row>
    <row r="5305" spans="1:1" x14ac:dyDescent="0.2">
      <c r="A5305" s="52"/>
    </row>
    <row r="5306" spans="1:1" x14ac:dyDescent="0.2">
      <c r="A5306" s="53"/>
    </row>
    <row r="5307" spans="1:1" x14ac:dyDescent="0.2">
      <c r="A5307" s="53"/>
    </row>
    <row r="5308" spans="1:1" x14ac:dyDescent="0.2">
      <c r="A5308" s="52"/>
    </row>
    <row r="5309" spans="1:1" x14ac:dyDescent="0.2">
      <c r="A5309" s="52"/>
    </row>
    <row r="5310" spans="1:1" x14ac:dyDescent="0.2">
      <c r="A5310" s="52"/>
    </row>
    <row r="5311" spans="1:1" x14ac:dyDescent="0.2">
      <c r="A5311" s="52"/>
    </row>
    <row r="5312" spans="1:1" x14ac:dyDescent="0.2">
      <c r="A5312" s="52"/>
    </row>
    <row r="5313" spans="1:1" x14ac:dyDescent="0.2">
      <c r="A5313" s="52"/>
    </row>
    <row r="5314" spans="1:1" x14ac:dyDescent="0.2">
      <c r="A5314" s="52"/>
    </row>
    <row r="5315" spans="1:1" x14ac:dyDescent="0.2">
      <c r="A5315" s="52"/>
    </row>
    <row r="5316" spans="1:1" x14ac:dyDescent="0.2">
      <c r="A5316" s="52"/>
    </row>
    <row r="5317" spans="1:1" x14ac:dyDescent="0.2">
      <c r="A5317" s="52"/>
    </row>
    <row r="5318" spans="1:1" x14ac:dyDescent="0.2">
      <c r="A5318" s="52"/>
    </row>
    <row r="5319" spans="1:1" x14ac:dyDescent="0.2">
      <c r="A5319" s="52"/>
    </row>
    <row r="5320" spans="1:1" x14ac:dyDescent="0.2">
      <c r="A5320" s="52"/>
    </row>
    <row r="5321" spans="1:1" x14ac:dyDescent="0.2">
      <c r="A5321" s="52"/>
    </row>
    <row r="5322" spans="1:1" x14ac:dyDescent="0.2">
      <c r="A5322" s="53"/>
    </row>
    <row r="5323" spans="1:1" x14ac:dyDescent="0.2">
      <c r="A5323" s="53"/>
    </row>
    <row r="5324" spans="1:1" x14ac:dyDescent="0.2">
      <c r="A5324" s="53"/>
    </row>
    <row r="5325" spans="1:1" x14ac:dyDescent="0.2">
      <c r="A5325" s="53"/>
    </row>
    <row r="5326" spans="1:1" x14ac:dyDescent="0.2">
      <c r="A5326" s="53"/>
    </row>
    <row r="5327" spans="1:1" x14ac:dyDescent="0.2">
      <c r="A5327" s="53"/>
    </row>
    <row r="5328" spans="1:1" x14ac:dyDescent="0.2">
      <c r="A5328" s="53"/>
    </row>
    <row r="5329" spans="1:1" x14ac:dyDescent="0.2">
      <c r="A5329" s="53"/>
    </row>
    <row r="5330" spans="1:1" x14ac:dyDescent="0.2">
      <c r="A5330" s="53"/>
    </row>
    <row r="5331" spans="1:1" x14ac:dyDescent="0.2">
      <c r="A5331" s="52"/>
    </row>
    <row r="5332" spans="1:1" x14ac:dyDescent="0.2">
      <c r="A5332" s="52"/>
    </row>
    <row r="5333" spans="1:1" x14ac:dyDescent="0.2">
      <c r="A5333" s="52"/>
    </row>
    <row r="5334" spans="1:1" x14ac:dyDescent="0.2">
      <c r="A5334" s="52"/>
    </row>
    <row r="5335" spans="1:1" x14ac:dyDescent="0.2">
      <c r="A5335" s="52"/>
    </row>
    <row r="5336" spans="1:1" x14ac:dyDescent="0.2">
      <c r="A5336" s="52"/>
    </row>
    <row r="5337" spans="1:1" x14ac:dyDescent="0.2">
      <c r="A5337" s="52"/>
    </row>
    <row r="5338" spans="1:1" x14ac:dyDescent="0.2">
      <c r="A5338" s="52"/>
    </row>
    <row r="5339" spans="1:1" x14ac:dyDescent="0.2">
      <c r="A5339" s="52"/>
    </row>
    <row r="5340" spans="1:1" x14ac:dyDescent="0.2">
      <c r="A5340" s="52"/>
    </row>
    <row r="5341" spans="1:1" x14ac:dyDescent="0.2">
      <c r="A5341" s="52"/>
    </row>
    <row r="5342" spans="1:1" x14ac:dyDescent="0.2">
      <c r="A5342" s="52"/>
    </row>
    <row r="5343" spans="1:1" x14ac:dyDescent="0.2">
      <c r="A5343" s="52"/>
    </row>
    <row r="5344" spans="1:1" x14ac:dyDescent="0.2">
      <c r="A5344" s="52"/>
    </row>
    <row r="5345" spans="1:1" x14ac:dyDescent="0.2">
      <c r="A5345" s="52"/>
    </row>
    <row r="5346" spans="1:1" x14ac:dyDescent="0.2">
      <c r="A5346" s="52"/>
    </row>
    <row r="5347" spans="1:1" x14ac:dyDescent="0.2">
      <c r="A5347" s="52"/>
    </row>
    <row r="5348" spans="1:1" x14ac:dyDescent="0.2">
      <c r="A5348" s="52"/>
    </row>
    <row r="5349" spans="1:1" x14ac:dyDescent="0.2">
      <c r="A5349" s="52"/>
    </row>
    <row r="5350" spans="1:1" x14ac:dyDescent="0.2">
      <c r="A5350" s="52"/>
    </row>
    <row r="5351" spans="1:1" x14ac:dyDescent="0.2">
      <c r="A5351" s="52"/>
    </row>
    <row r="5352" spans="1:1" x14ac:dyDescent="0.2">
      <c r="A5352" s="52"/>
    </row>
    <row r="5353" spans="1:1" x14ac:dyDescent="0.2">
      <c r="A5353" s="52"/>
    </row>
    <row r="5354" spans="1:1" x14ac:dyDescent="0.2">
      <c r="A5354" s="52"/>
    </row>
    <row r="5355" spans="1:1" x14ac:dyDescent="0.2">
      <c r="A5355" s="52"/>
    </row>
    <row r="5356" spans="1:1" x14ac:dyDescent="0.2">
      <c r="A5356" s="52"/>
    </row>
    <row r="5357" spans="1:1" x14ac:dyDescent="0.2">
      <c r="A5357" s="53"/>
    </row>
    <row r="5358" spans="1:1" x14ac:dyDescent="0.2">
      <c r="A5358" s="52"/>
    </row>
    <row r="5359" spans="1:1" x14ac:dyDescent="0.2">
      <c r="A5359" s="52"/>
    </row>
    <row r="5360" spans="1:1" x14ac:dyDescent="0.2">
      <c r="A5360" s="52"/>
    </row>
    <row r="5361" spans="1:1" x14ac:dyDescent="0.2">
      <c r="A5361" s="53"/>
    </row>
    <row r="5362" spans="1:1" x14ac:dyDescent="0.2">
      <c r="A5362" s="52"/>
    </row>
    <row r="5363" spans="1:1" x14ac:dyDescent="0.2">
      <c r="A5363" s="52"/>
    </row>
    <row r="5364" spans="1:1" x14ac:dyDescent="0.2">
      <c r="A5364" s="52"/>
    </row>
    <row r="5365" spans="1:1" x14ac:dyDescent="0.2">
      <c r="A5365" s="52"/>
    </row>
    <row r="5366" spans="1:1" x14ac:dyDescent="0.2">
      <c r="A5366" s="53"/>
    </row>
    <row r="5367" spans="1:1" x14ac:dyDescent="0.2">
      <c r="A5367" s="52"/>
    </row>
    <row r="5368" spans="1:1" x14ac:dyDescent="0.2">
      <c r="A5368" s="52"/>
    </row>
    <row r="5369" spans="1:1" x14ac:dyDescent="0.2">
      <c r="A5369" s="52"/>
    </row>
    <row r="5370" spans="1:1" x14ac:dyDescent="0.2">
      <c r="A5370" s="53"/>
    </row>
    <row r="5371" spans="1:1" x14ac:dyDescent="0.2">
      <c r="A5371" s="52"/>
    </row>
    <row r="5372" spans="1:1" x14ac:dyDescent="0.2">
      <c r="A5372" s="52"/>
    </row>
    <row r="5373" spans="1:1" x14ac:dyDescent="0.2">
      <c r="A5373" s="53"/>
    </row>
    <row r="5374" spans="1:1" x14ac:dyDescent="0.2">
      <c r="A5374" s="53"/>
    </row>
    <row r="5375" spans="1:1" x14ac:dyDescent="0.2">
      <c r="A5375" s="52"/>
    </row>
    <row r="5376" spans="1:1" x14ac:dyDescent="0.2">
      <c r="A5376" s="52"/>
    </row>
    <row r="5377" spans="1:1" x14ac:dyDescent="0.2">
      <c r="A5377" s="52"/>
    </row>
    <row r="5378" spans="1:1" x14ac:dyDescent="0.2">
      <c r="A5378" s="52"/>
    </row>
    <row r="5379" spans="1:1" x14ac:dyDescent="0.2">
      <c r="A5379" s="52"/>
    </row>
    <row r="5380" spans="1:1" x14ac:dyDescent="0.2">
      <c r="A5380" s="52"/>
    </row>
    <row r="5381" spans="1:1" x14ac:dyDescent="0.2">
      <c r="A5381" s="52"/>
    </row>
    <row r="5382" spans="1:1" x14ac:dyDescent="0.2">
      <c r="A5382" s="53"/>
    </row>
    <row r="5383" spans="1:1" x14ac:dyDescent="0.2">
      <c r="A5383" s="52"/>
    </row>
    <row r="5384" spans="1:1" x14ac:dyDescent="0.2">
      <c r="A5384" s="52"/>
    </row>
    <row r="5385" spans="1:1" x14ac:dyDescent="0.2">
      <c r="A5385" s="52"/>
    </row>
    <row r="5386" spans="1:1" x14ac:dyDescent="0.2">
      <c r="A5386" s="52"/>
    </row>
    <row r="5387" spans="1:1" x14ac:dyDescent="0.2">
      <c r="A5387" s="52"/>
    </row>
    <row r="5388" spans="1:1" x14ac:dyDescent="0.2">
      <c r="A5388" s="52"/>
    </row>
    <row r="5389" spans="1:1" x14ac:dyDescent="0.2">
      <c r="A5389" s="53"/>
    </row>
    <row r="5390" spans="1:1" x14ac:dyDescent="0.2">
      <c r="A5390" s="52"/>
    </row>
    <row r="5391" spans="1:1" x14ac:dyDescent="0.2">
      <c r="A5391" s="52"/>
    </row>
    <row r="5392" spans="1:1" x14ac:dyDescent="0.2">
      <c r="A5392" s="52"/>
    </row>
    <row r="5393" spans="1:1" x14ac:dyDescent="0.2">
      <c r="A5393" s="52"/>
    </row>
    <row r="5394" spans="1:1" x14ac:dyDescent="0.2">
      <c r="A5394" s="52"/>
    </row>
    <row r="5395" spans="1:1" x14ac:dyDescent="0.2">
      <c r="A5395" s="52"/>
    </row>
    <row r="5396" spans="1:1" x14ac:dyDescent="0.2">
      <c r="A5396" s="52"/>
    </row>
    <row r="5397" spans="1:1" x14ac:dyDescent="0.2">
      <c r="A5397" s="52"/>
    </row>
    <row r="5398" spans="1:1" x14ac:dyDescent="0.2">
      <c r="A5398" s="52"/>
    </row>
    <row r="5399" spans="1:1" x14ac:dyDescent="0.2">
      <c r="A5399" s="52"/>
    </row>
    <row r="5400" spans="1:1" x14ac:dyDescent="0.2">
      <c r="A5400" s="52"/>
    </row>
    <row r="5401" spans="1:1" x14ac:dyDescent="0.2">
      <c r="A5401" s="52"/>
    </row>
    <row r="5402" spans="1:1" x14ac:dyDescent="0.2">
      <c r="A5402" s="52"/>
    </row>
    <row r="5403" spans="1:1" x14ac:dyDescent="0.2">
      <c r="A5403" s="52"/>
    </row>
    <row r="5404" spans="1:1" x14ac:dyDescent="0.2">
      <c r="A5404" s="52"/>
    </row>
    <row r="5405" spans="1:1" x14ac:dyDescent="0.2">
      <c r="A5405" s="52"/>
    </row>
    <row r="5406" spans="1:1" x14ac:dyDescent="0.2">
      <c r="A5406" s="53"/>
    </row>
    <row r="5407" spans="1:1" x14ac:dyDescent="0.2">
      <c r="A5407" s="52"/>
    </row>
    <row r="5408" spans="1:1" x14ac:dyDescent="0.2">
      <c r="A5408" s="52"/>
    </row>
    <row r="5409" spans="1:1" x14ac:dyDescent="0.2">
      <c r="A5409" s="52"/>
    </row>
    <row r="5410" spans="1:1" x14ac:dyDescent="0.2">
      <c r="A5410" s="52"/>
    </row>
    <row r="5411" spans="1:1" x14ac:dyDescent="0.2">
      <c r="A5411" s="52"/>
    </row>
    <row r="5412" spans="1:1" x14ac:dyDescent="0.2">
      <c r="A5412" s="52"/>
    </row>
    <row r="5413" spans="1:1" x14ac:dyDescent="0.2">
      <c r="A5413" s="52"/>
    </row>
    <row r="5414" spans="1:1" x14ac:dyDescent="0.2">
      <c r="A5414" s="52"/>
    </row>
    <row r="5415" spans="1:1" x14ac:dyDescent="0.2">
      <c r="A5415" s="52"/>
    </row>
    <row r="5416" spans="1:1" x14ac:dyDescent="0.2">
      <c r="A5416" s="52"/>
    </row>
    <row r="5417" spans="1:1" x14ac:dyDescent="0.2">
      <c r="A5417" s="52"/>
    </row>
    <row r="5418" spans="1:1" x14ac:dyDescent="0.2">
      <c r="A5418" s="52"/>
    </row>
    <row r="5419" spans="1:1" x14ac:dyDescent="0.2">
      <c r="A5419" s="52"/>
    </row>
    <row r="5420" spans="1:1" x14ac:dyDescent="0.2">
      <c r="A5420" s="52"/>
    </row>
    <row r="5421" spans="1:1" x14ac:dyDescent="0.2">
      <c r="A5421" s="52"/>
    </row>
    <row r="5422" spans="1:1" x14ac:dyDescent="0.2">
      <c r="A5422" s="52"/>
    </row>
    <row r="5423" spans="1:1" x14ac:dyDescent="0.2">
      <c r="A5423" s="52"/>
    </row>
    <row r="5424" spans="1:1" x14ac:dyDescent="0.2">
      <c r="A5424" s="52"/>
    </row>
    <row r="5425" spans="1:1" x14ac:dyDescent="0.2">
      <c r="A5425" s="52"/>
    </row>
    <row r="5426" spans="1:1" x14ac:dyDescent="0.2">
      <c r="A5426" s="52"/>
    </row>
    <row r="5427" spans="1:1" x14ac:dyDescent="0.2">
      <c r="A5427" s="52"/>
    </row>
    <row r="5428" spans="1:1" x14ac:dyDescent="0.2">
      <c r="A5428" s="52"/>
    </row>
    <row r="5429" spans="1:1" x14ac:dyDescent="0.2">
      <c r="A5429" s="52"/>
    </row>
    <row r="5430" spans="1:1" x14ac:dyDescent="0.2">
      <c r="A5430" s="52"/>
    </row>
    <row r="5431" spans="1:1" x14ac:dyDescent="0.2">
      <c r="A5431" s="52"/>
    </row>
    <row r="5432" spans="1:1" x14ac:dyDescent="0.2">
      <c r="A5432" s="52"/>
    </row>
    <row r="5433" spans="1:1" x14ac:dyDescent="0.2">
      <c r="A5433" s="52"/>
    </row>
    <row r="5434" spans="1:1" x14ac:dyDescent="0.2">
      <c r="A5434" s="52"/>
    </row>
    <row r="5435" spans="1:1" x14ac:dyDescent="0.2">
      <c r="A5435" s="52"/>
    </row>
    <row r="5436" spans="1:1" x14ac:dyDescent="0.2">
      <c r="A5436" s="52"/>
    </row>
    <row r="5437" spans="1:1" x14ac:dyDescent="0.2">
      <c r="A5437" s="52"/>
    </row>
    <row r="5438" spans="1:1" x14ac:dyDescent="0.2">
      <c r="A5438" s="52"/>
    </row>
    <row r="5439" spans="1:1" x14ac:dyDescent="0.2">
      <c r="A5439" s="52"/>
    </row>
    <row r="5440" spans="1:1" x14ac:dyDescent="0.2">
      <c r="A5440" s="52"/>
    </row>
    <row r="5441" spans="1:1" x14ac:dyDescent="0.2">
      <c r="A5441" s="52"/>
    </row>
    <row r="5442" spans="1:1" x14ac:dyDescent="0.2">
      <c r="A5442" s="53"/>
    </row>
    <row r="5443" spans="1:1" x14ac:dyDescent="0.2">
      <c r="A5443" s="53"/>
    </row>
    <row r="5444" spans="1:1" x14ac:dyDescent="0.2">
      <c r="A5444" s="53"/>
    </row>
    <row r="5445" spans="1:1" x14ac:dyDescent="0.2">
      <c r="A5445" s="52"/>
    </row>
    <row r="5446" spans="1:1" x14ac:dyDescent="0.2">
      <c r="A5446" s="52"/>
    </row>
    <row r="5447" spans="1:1" x14ac:dyDescent="0.2">
      <c r="A5447" s="52"/>
    </row>
    <row r="5448" spans="1:1" x14ac:dyDescent="0.2">
      <c r="A5448" s="52"/>
    </row>
    <row r="5449" spans="1:1" x14ac:dyDescent="0.2">
      <c r="A5449" s="52"/>
    </row>
    <row r="5450" spans="1:1" x14ac:dyDescent="0.2">
      <c r="A5450" s="52"/>
    </row>
    <row r="5451" spans="1:1" x14ac:dyDescent="0.2">
      <c r="A5451" s="52"/>
    </row>
    <row r="5452" spans="1:1" x14ac:dyDescent="0.2">
      <c r="A5452" s="52"/>
    </row>
    <row r="5453" spans="1:1" x14ac:dyDescent="0.2">
      <c r="A5453" s="52"/>
    </row>
    <row r="5454" spans="1:1" x14ac:dyDescent="0.2">
      <c r="A5454" s="52"/>
    </row>
    <row r="5455" spans="1:1" x14ac:dyDescent="0.2">
      <c r="A5455" s="52"/>
    </row>
    <row r="5456" spans="1:1" x14ac:dyDescent="0.2">
      <c r="A5456" s="52"/>
    </row>
    <row r="5457" spans="1:1" x14ac:dyDescent="0.2">
      <c r="A5457" s="52"/>
    </row>
    <row r="5458" spans="1:1" x14ac:dyDescent="0.2">
      <c r="A5458" s="52"/>
    </row>
    <row r="5459" spans="1:1" x14ac:dyDescent="0.2">
      <c r="A5459" s="52"/>
    </row>
    <row r="5460" spans="1:1" x14ac:dyDescent="0.2">
      <c r="A5460" s="52"/>
    </row>
    <row r="5461" spans="1:1" x14ac:dyDescent="0.2">
      <c r="A5461" s="52"/>
    </row>
    <row r="5462" spans="1:1" x14ac:dyDescent="0.2">
      <c r="A5462" s="52"/>
    </row>
    <row r="5463" spans="1:1" x14ac:dyDescent="0.2">
      <c r="A5463" s="52"/>
    </row>
    <row r="5464" spans="1:1" x14ac:dyDescent="0.2">
      <c r="A5464" s="52"/>
    </row>
    <row r="5465" spans="1:1" x14ac:dyDescent="0.2">
      <c r="A5465" s="52"/>
    </row>
    <row r="5466" spans="1:1" x14ac:dyDescent="0.2">
      <c r="A5466" s="52"/>
    </row>
    <row r="5467" spans="1:1" x14ac:dyDescent="0.2">
      <c r="A5467" s="52"/>
    </row>
    <row r="5468" spans="1:1" x14ac:dyDescent="0.2">
      <c r="A5468" s="52"/>
    </row>
    <row r="5469" spans="1:1" x14ac:dyDescent="0.2">
      <c r="A5469" s="52"/>
    </row>
    <row r="5470" spans="1:1" x14ac:dyDescent="0.2">
      <c r="A5470" s="52"/>
    </row>
    <row r="5471" spans="1:1" x14ac:dyDescent="0.2">
      <c r="A5471" s="52"/>
    </row>
    <row r="5472" spans="1:1" x14ac:dyDescent="0.2">
      <c r="A5472" s="52"/>
    </row>
    <row r="5473" spans="1:1" x14ac:dyDescent="0.2">
      <c r="A5473" s="52"/>
    </row>
    <row r="5474" spans="1:1" x14ac:dyDescent="0.2">
      <c r="A5474" s="52"/>
    </row>
    <row r="5475" spans="1:1" x14ac:dyDescent="0.2">
      <c r="A5475" s="52"/>
    </row>
    <row r="5476" spans="1:1" x14ac:dyDescent="0.2">
      <c r="A5476" s="52"/>
    </row>
    <row r="5477" spans="1:1" x14ac:dyDescent="0.2">
      <c r="A5477" s="52"/>
    </row>
    <row r="5478" spans="1:1" x14ac:dyDescent="0.2">
      <c r="A5478" s="52"/>
    </row>
    <row r="5479" spans="1:1" x14ac:dyDescent="0.2">
      <c r="A5479" s="53"/>
    </row>
    <row r="5480" spans="1:1" x14ac:dyDescent="0.2">
      <c r="A5480" s="52"/>
    </row>
    <row r="5481" spans="1:1" x14ac:dyDescent="0.2">
      <c r="A5481" s="52"/>
    </row>
    <row r="5482" spans="1:1" x14ac:dyDescent="0.2">
      <c r="A5482" s="52"/>
    </row>
    <row r="5483" spans="1:1" x14ac:dyDescent="0.2">
      <c r="A5483" s="52"/>
    </row>
    <row r="5484" spans="1:1" x14ac:dyDescent="0.2">
      <c r="A5484" s="52"/>
    </row>
    <row r="5485" spans="1:1" x14ac:dyDescent="0.2">
      <c r="A5485" s="52"/>
    </row>
    <row r="5486" spans="1:1" x14ac:dyDescent="0.2">
      <c r="A5486" s="52"/>
    </row>
    <row r="5487" spans="1:1" x14ac:dyDescent="0.2">
      <c r="A5487" s="52"/>
    </row>
    <row r="5488" spans="1:1" x14ac:dyDescent="0.2">
      <c r="A5488" s="52"/>
    </row>
    <row r="5489" spans="1:1" x14ac:dyDescent="0.2">
      <c r="A5489" s="53"/>
    </row>
    <row r="5490" spans="1:1" x14ac:dyDescent="0.2">
      <c r="A5490" s="52"/>
    </row>
    <row r="5491" spans="1:1" x14ac:dyDescent="0.2">
      <c r="A5491" s="52"/>
    </row>
    <row r="5492" spans="1:1" x14ac:dyDescent="0.2">
      <c r="A5492" s="52"/>
    </row>
    <row r="5493" spans="1:1" x14ac:dyDescent="0.2">
      <c r="A5493" s="52"/>
    </row>
    <row r="5494" spans="1:1" x14ac:dyDescent="0.2">
      <c r="A5494" s="53"/>
    </row>
    <row r="5495" spans="1:1" x14ac:dyDescent="0.2">
      <c r="A5495" s="52"/>
    </row>
    <row r="5496" spans="1:1" x14ac:dyDescent="0.2">
      <c r="A5496" s="52"/>
    </row>
    <row r="5497" spans="1:1" x14ac:dyDescent="0.2">
      <c r="A5497" s="52"/>
    </row>
    <row r="5498" spans="1:1" x14ac:dyDescent="0.2">
      <c r="A5498" s="52"/>
    </row>
    <row r="5499" spans="1:1" x14ac:dyDescent="0.2">
      <c r="A5499" s="52"/>
    </row>
    <row r="5500" spans="1:1" x14ac:dyDescent="0.2">
      <c r="A5500" s="52"/>
    </row>
    <row r="5501" spans="1:1" x14ac:dyDescent="0.2">
      <c r="A5501" s="52"/>
    </row>
    <row r="5502" spans="1:1" x14ac:dyDescent="0.2">
      <c r="A5502" s="52"/>
    </row>
    <row r="5503" spans="1:1" x14ac:dyDescent="0.2">
      <c r="A5503" s="52"/>
    </row>
    <row r="5504" spans="1:1" x14ac:dyDescent="0.2">
      <c r="A5504" s="52"/>
    </row>
    <row r="5505" spans="1:1" x14ac:dyDescent="0.2">
      <c r="A5505" s="52"/>
    </row>
    <row r="5506" spans="1:1" x14ac:dyDescent="0.2">
      <c r="A5506" s="52"/>
    </row>
    <row r="5507" spans="1:1" x14ac:dyDescent="0.2">
      <c r="A5507" s="52"/>
    </row>
    <row r="5508" spans="1:1" x14ac:dyDescent="0.2">
      <c r="A5508" s="52"/>
    </row>
    <row r="5509" spans="1:1" x14ac:dyDescent="0.2">
      <c r="A5509" s="52"/>
    </row>
    <row r="5510" spans="1:1" x14ac:dyDescent="0.2">
      <c r="A5510" s="52"/>
    </row>
    <row r="5511" spans="1:1" x14ac:dyDescent="0.2">
      <c r="A5511" s="52"/>
    </row>
    <row r="5512" spans="1:1" x14ac:dyDescent="0.2">
      <c r="A5512" s="52"/>
    </row>
    <row r="5513" spans="1:1" x14ac:dyDescent="0.2">
      <c r="A5513" s="52"/>
    </row>
    <row r="5514" spans="1:1" x14ac:dyDescent="0.2">
      <c r="A5514" s="52"/>
    </row>
    <row r="5515" spans="1:1" x14ac:dyDescent="0.2">
      <c r="A5515" s="52"/>
    </row>
    <row r="5516" spans="1:1" x14ac:dyDescent="0.2">
      <c r="A5516" s="52"/>
    </row>
    <row r="5517" spans="1:1" x14ac:dyDescent="0.2">
      <c r="A5517" s="52"/>
    </row>
    <row r="5518" spans="1:1" x14ac:dyDescent="0.2">
      <c r="A5518" s="52"/>
    </row>
    <row r="5519" spans="1:1" x14ac:dyDescent="0.2">
      <c r="A5519" s="52"/>
    </row>
    <row r="5520" spans="1:1" x14ac:dyDescent="0.2">
      <c r="A5520" s="52"/>
    </row>
    <row r="5521" spans="1:1" x14ac:dyDescent="0.2">
      <c r="A5521" s="52"/>
    </row>
    <row r="5522" spans="1:1" x14ac:dyDescent="0.2">
      <c r="A5522" s="52"/>
    </row>
    <row r="5523" spans="1:1" x14ac:dyDescent="0.2">
      <c r="A5523" s="52"/>
    </row>
    <row r="5524" spans="1:1" x14ac:dyDescent="0.2">
      <c r="A5524" s="52"/>
    </row>
    <row r="5525" spans="1:1" x14ac:dyDescent="0.2">
      <c r="A5525" s="52"/>
    </row>
    <row r="5526" spans="1:1" x14ac:dyDescent="0.2">
      <c r="A5526" s="52"/>
    </row>
    <row r="5527" spans="1:1" x14ac:dyDescent="0.2">
      <c r="A5527" s="52"/>
    </row>
    <row r="5528" spans="1:1" x14ac:dyDescent="0.2">
      <c r="A5528" s="52"/>
    </row>
    <row r="5529" spans="1:1" x14ac:dyDescent="0.2">
      <c r="A5529" s="52"/>
    </row>
    <row r="5530" spans="1:1" x14ac:dyDescent="0.2">
      <c r="A5530" s="52"/>
    </row>
    <row r="5531" spans="1:1" x14ac:dyDescent="0.2">
      <c r="A5531" s="52"/>
    </row>
    <row r="5532" spans="1:1" x14ac:dyDescent="0.2">
      <c r="A5532" s="52"/>
    </row>
    <row r="5533" spans="1:1" x14ac:dyDescent="0.2">
      <c r="A5533" s="52"/>
    </row>
    <row r="5534" spans="1:1" x14ac:dyDescent="0.2">
      <c r="A5534" s="52"/>
    </row>
    <row r="5535" spans="1:1" x14ac:dyDescent="0.2">
      <c r="A5535" s="52"/>
    </row>
    <row r="5536" spans="1:1" x14ac:dyDescent="0.2">
      <c r="A5536" s="53"/>
    </row>
    <row r="5537" spans="1:1" x14ac:dyDescent="0.2">
      <c r="A5537" s="52"/>
    </row>
    <row r="5538" spans="1:1" x14ac:dyDescent="0.2">
      <c r="A5538" s="52"/>
    </row>
    <row r="5539" spans="1:1" x14ac:dyDescent="0.2">
      <c r="A5539" s="52"/>
    </row>
    <row r="5540" spans="1:1" x14ac:dyDescent="0.2">
      <c r="A5540" s="52"/>
    </row>
    <row r="5541" spans="1:1" x14ac:dyDescent="0.2">
      <c r="A5541" s="52"/>
    </row>
    <row r="5542" spans="1:1" x14ac:dyDescent="0.2">
      <c r="A5542" s="52"/>
    </row>
    <row r="5543" spans="1:1" x14ac:dyDescent="0.2">
      <c r="A5543" s="53"/>
    </row>
    <row r="5544" spans="1:1" x14ac:dyDescent="0.2">
      <c r="A5544" s="52"/>
    </row>
    <row r="5545" spans="1:1" x14ac:dyDescent="0.2">
      <c r="A5545" s="52"/>
    </row>
    <row r="5546" spans="1:1" x14ac:dyDescent="0.2">
      <c r="A5546" s="52"/>
    </row>
    <row r="5547" spans="1:1" x14ac:dyDescent="0.2">
      <c r="A5547" s="52"/>
    </row>
    <row r="5548" spans="1:1" x14ac:dyDescent="0.2">
      <c r="A5548" s="52"/>
    </row>
    <row r="5549" spans="1:1" x14ac:dyDescent="0.2">
      <c r="A5549" s="52"/>
    </row>
    <row r="5550" spans="1:1" x14ac:dyDescent="0.2">
      <c r="A5550" s="52"/>
    </row>
    <row r="5551" spans="1:1" x14ac:dyDescent="0.2">
      <c r="A5551" s="52"/>
    </row>
    <row r="5552" spans="1:1" x14ac:dyDescent="0.2">
      <c r="A5552" s="52"/>
    </row>
    <row r="5553" spans="1:1" x14ac:dyDescent="0.2">
      <c r="A5553" s="52"/>
    </row>
    <row r="5554" spans="1:1" x14ac:dyDescent="0.2">
      <c r="A5554" s="52"/>
    </row>
    <row r="5555" spans="1:1" x14ac:dyDescent="0.2">
      <c r="A5555" s="52"/>
    </row>
    <row r="5556" spans="1:1" x14ac:dyDescent="0.2">
      <c r="A5556" s="52"/>
    </row>
    <row r="5557" spans="1:1" x14ac:dyDescent="0.2">
      <c r="A5557" s="52"/>
    </row>
    <row r="5558" spans="1:1" x14ac:dyDescent="0.2">
      <c r="A5558" s="53"/>
    </row>
    <row r="5559" spans="1:1" x14ac:dyDescent="0.2">
      <c r="A5559" s="52"/>
    </row>
    <row r="5560" spans="1:1" x14ac:dyDescent="0.2">
      <c r="A5560" s="52"/>
    </row>
    <row r="5561" spans="1:1" x14ac:dyDescent="0.2">
      <c r="A5561" s="52"/>
    </row>
    <row r="5562" spans="1:1" x14ac:dyDescent="0.2">
      <c r="A5562" s="52"/>
    </row>
    <row r="5563" spans="1:1" x14ac:dyDescent="0.2">
      <c r="A5563" s="52"/>
    </row>
    <row r="5564" spans="1:1" x14ac:dyDescent="0.2">
      <c r="A5564" s="52"/>
    </row>
    <row r="5565" spans="1:1" x14ac:dyDescent="0.2">
      <c r="A5565" s="52"/>
    </row>
    <row r="5566" spans="1:1" x14ac:dyDescent="0.2">
      <c r="A5566" s="52"/>
    </row>
    <row r="5567" spans="1:1" x14ac:dyDescent="0.2">
      <c r="A5567" s="52"/>
    </row>
    <row r="5568" spans="1:1" x14ac:dyDescent="0.2">
      <c r="A5568" s="52"/>
    </row>
    <row r="5569" spans="1:1" x14ac:dyDescent="0.2">
      <c r="A5569" s="52"/>
    </row>
    <row r="5570" spans="1:1" x14ac:dyDescent="0.2">
      <c r="A5570" s="52"/>
    </row>
    <row r="5571" spans="1:1" x14ac:dyDescent="0.2">
      <c r="A5571" s="52"/>
    </row>
    <row r="5572" spans="1:1" x14ac:dyDescent="0.2">
      <c r="A5572" s="52"/>
    </row>
    <row r="5573" spans="1:1" x14ac:dyDescent="0.2">
      <c r="A5573" s="52"/>
    </row>
    <row r="5574" spans="1:1" x14ac:dyDescent="0.2">
      <c r="A5574" s="52"/>
    </row>
    <row r="5575" spans="1:1" x14ac:dyDescent="0.2">
      <c r="A5575" s="52"/>
    </row>
    <row r="5576" spans="1:1" x14ac:dyDescent="0.2">
      <c r="A5576" s="52"/>
    </row>
    <row r="5577" spans="1:1" x14ac:dyDescent="0.2">
      <c r="A5577" s="52"/>
    </row>
    <row r="5578" spans="1:1" x14ac:dyDescent="0.2">
      <c r="A5578" s="53"/>
    </row>
    <row r="5579" spans="1:1" x14ac:dyDescent="0.2">
      <c r="A5579" s="52"/>
    </row>
    <row r="5580" spans="1:1" x14ac:dyDescent="0.2">
      <c r="A5580" s="52"/>
    </row>
    <row r="5581" spans="1:1" x14ac:dyDescent="0.2">
      <c r="A5581" s="53"/>
    </row>
    <row r="5582" spans="1:1" x14ac:dyDescent="0.2">
      <c r="A5582" s="52"/>
    </row>
    <row r="5583" spans="1:1" x14ac:dyDescent="0.2">
      <c r="A5583" s="52"/>
    </row>
    <row r="5584" spans="1:1" x14ac:dyDescent="0.2">
      <c r="A5584" s="52"/>
    </row>
    <row r="5585" spans="1:1" x14ac:dyDescent="0.2">
      <c r="A5585" s="52"/>
    </row>
    <row r="5586" spans="1:1" x14ac:dyDescent="0.2">
      <c r="A5586" s="52"/>
    </row>
    <row r="5587" spans="1:1" x14ac:dyDescent="0.2">
      <c r="A5587" s="52"/>
    </row>
    <row r="5588" spans="1:1" x14ac:dyDescent="0.2">
      <c r="A5588" s="52"/>
    </row>
    <row r="5589" spans="1:1" x14ac:dyDescent="0.2">
      <c r="A5589" s="52"/>
    </row>
    <row r="5590" spans="1:1" x14ac:dyDescent="0.2">
      <c r="A5590" s="52"/>
    </row>
    <row r="5591" spans="1:1" x14ac:dyDescent="0.2">
      <c r="A5591" s="52"/>
    </row>
    <row r="5592" spans="1:1" x14ac:dyDescent="0.2">
      <c r="A5592" s="52"/>
    </row>
    <row r="5593" spans="1:1" x14ac:dyDescent="0.2">
      <c r="A5593" s="52"/>
    </row>
    <row r="5594" spans="1:1" x14ac:dyDescent="0.2">
      <c r="A5594" s="52"/>
    </row>
    <row r="5595" spans="1:1" x14ac:dyDescent="0.2">
      <c r="A5595" s="52"/>
    </row>
    <row r="5596" spans="1:1" x14ac:dyDescent="0.2">
      <c r="A5596" s="52"/>
    </row>
    <row r="5597" spans="1:1" x14ac:dyDescent="0.2">
      <c r="A5597" s="52"/>
    </row>
    <row r="5598" spans="1:1" x14ac:dyDescent="0.2">
      <c r="A5598" s="52"/>
    </row>
    <row r="5599" spans="1:1" x14ac:dyDescent="0.2">
      <c r="A5599" s="52"/>
    </row>
    <row r="5600" spans="1:1" x14ac:dyDescent="0.2">
      <c r="A5600" s="52"/>
    </row>
    <row r="5601" spans="1:1" x14ac:dyDescent="0.2">
      <c r="A5601" s="52"/>
    </row>
    <row r="5602" spans="1:1" x14ac:dyDescent="0.2">
      <c r="A5602" s="52"/>
    </row>
    <row r="5603" spans="1:1" x14ac:dyDescent="0.2">
      <c r="A5603" s="52"/>
    </row>
    <row r="5604" spans="1:1" x14ac:dyDescent="0.2">
      <c r="A5604" s="52"/>
    </row>
    <row r="5605" spans="1:1" x14ac:dyDescent="0.2">
      <c r="A5605" s="52"/>
    </row>
    <row r="5606" spans="1:1" x14ac:dyDescent="0.2">
      <c r="A5606" s="52"/>
    </row>
    <row r="5607" spans="1:1" x14ac:dyDescent="0.2">
      <c r="A5607" s="52"/>
    </row>
    <row r="5608" spans="1:1" x14ac:dyDescent="0.2">
      <c r="A5608" s="52"/>
    </row>
    <row r="5609" spans="1:1" x14ac:dyDescent="0.2">
      <c r="A5609" s="52"/>
    </row>
    <row r="5610" spans="1:1" x14ac:dyDescent="0.2">
      <c r="A5610" s="53"/>
    </row>
    <row r="5611" spans="1:1" x14ac:dyDescent="0.2">
      <c r="A5611" s="52"/>
    </row>
    <row r="5612" spans="1:1" x14ac:dyDescent="0.2">
      <c r="A5612" s="52"/>
    </row>
    <row r="5613" spans="1:1" x14ac:dyDescent="0.2">
      <c r="A5613" s="52"/>
    </row>
    <row r="5614" spans="1:1" x14ac:dyDescent="0.2">
      <c r="A5614" s="52"/>
    </row>
    <row r="5615" spans="1:1" x14ac:dyDescent="0.2">
      <c r="A5615" s="52"/>
    </row>
    <row r="5616" spans="1:1" x14ac:dyDescent="0.2">
      <c r="A5616" s="52"/>
    </row>
    <row r="5617" spans="1:1" x14ac:dyDescent="0.2">
      <c r="A5617" s="52"/>
    </row>
    <row r="5618" spans="1:1" x14ac:dyDescent="0.2">
      <c r="A5618" s="52"/>
    </row>
    <row r="5619" spans="1:1" x14ac:dyDescent="0.2">
      <c r="A5619" s="53"/>
    </row>
    <row r="5620" spans="1:1" x14ac:dyDescent="0.2">
      <c r="A5620" s="52"/>
    </row>
    <row r="5621" spans="1:1" x14ac:dyDescent="0.2">
      <c r="A5621" s="52"/>
    </row>
    <row r="5622" spans="1:1" x14ac:dyDescent="0.2">
      <c r="A5622" s="52"/>
    </row>
    <row r="5623" spans="1:1" x14ac:dyDescent="0.2">
      <c r="A5623" s="52"/>
    </row>
    <row r="5624" spans="1:1" x14ac:dyDescent="0.2">
      <c r="A5624" s="52"/>
    </row>
    <row r="5625" spans="1:1" x14ac:dyDescent="0.2">
      <c r="A5625" s="52"/>
    </row>
    <row r="5626" spans="1:1" x14ac:dyDescent="0.2">
      <c r="A5626" s="52"/>
    </row>
    <row r="5627" spans="1:1" x14ac:dyDescent="0.2">
      <c r="A5627" s="52"/>
    </row>
    <row r="5628" spans="1:1" x14ac:dyDescent="0.2">
      <c r="A5628" s="52"/>
    </row>
    <row r="5629" spans="1:1" x14ac:dyDescent="0.2">
      <c r="A5629" s="52"/>
    </row>
    <row r="5630" spans="1:1" x14ac:dyDescent="0.2">
      <c r="A5630" s="52"/>
    </row>
    <row r="5631" spans="1:1" x14ac:dyDescent="0.2">
      <c r="A5631" s="52"/>
    </row>
    <row r="5632" spans="1:1" x14ac:dyDescent="0.2">
      <c r="A5632" s="52"/>
    </row>
    <row r="5633" spans="1:1" x14ac:dyDescent="0.2">
      <c r="A5633" s="53"/>
    </row>
    <row r="5634" spans="1:1" x14ac:dyDescent="0.2">
      <c r="A5634" s="52"/>
    </row>
    <row r="5635" spans="1:1" x14ac:dyDescent="0.2">
      <c r="A5635" s="53"/>
    </row>
    <row r="5636" spans="1:1" x14ac:dyDescent="0.2">
      <c r="A5636" s="52"/>
    </row>
    <row r="5637" spans="1:1" x14ac:dyDescent="0.2">
      <c r="A5637" s="52"/>
    </row>
    <row r="5638" spans="1:1" x14ac:dyDescent="0.2">
      <c r="A5638" s="52"/>
    </row>
    <row r="5639" spans="1:1" x14ac:dyDescent="0.2">
      <c r="A5639" s="52"/>
    </row>
    <row r="5640" spans="1:1" x14ac:dyDescent="0.2">
      <c r="A5640" s="52"/>
    </row>
    <row r="5641" spans="1:1" x14ac:dyDescent="0.2">
      <c r="A5641" s="52"/>
    </row>
    <row r="5642" spans="1:1" x14ac:dyDescent="0.2">
      <c r="A5642" s="52"/>
    </row>
    <row r="5643" spans="1:1" x14ac:dyDescent="0.2">
      <c r="A5643" s="52"/>
    </row>
    <row r="5644" spans="1:1" x14ac:dyDescent="0.2">
      <c r="A5644" s="52"/>
    </row>
    <row r="5645" spans="1:1" x14ac:dyDescent="0.2">
      <c r="A5645" s="52"/>
    </row>
    <row r="5646" spans="1:1" x14ac:dyDescent="0.2">
      <c r="A5646" s="52"/>
    </row>
    <row r="5647" spans="1:1" x14ac:dyDescent="0.2">
      <c r="A5647" s="52"/>
    </row>
    <row r="5648" spans="1:1" x14ac:dyDescent="0.2">
      <c r="A5648" s="52"/>
    </row>
    <row r="5649" spans="1:1" x14ac:dyDescent="0.2">
      <c r="A5649" s="52"/>
    </row>
    <row r="5650" spans="1:1" x14ac:dyDescent="0.2">
      <c r="A5650" s="52"/>
    </row>
    <row r="5651" spans="1:1" x14ac:dyDescent="0.2">
      <c r="A5651" s="52"/>
    </row>
    <row r="5652" spans="1:1" x14ac:dyDescent="0.2">
      <c r="A5652" s="52"/>
    </row>
    <row r="5653" spans="1:1" x14ac:dyDescent="0.2">
      <c r="A5653" s="53"/>
    </row>
    <row r="5654" spans="1:1" x14ac:dyDescent="0.2">
      <c r="A5654" s="52"/>
    </row>
    <row r="5655" spans="1:1" x14ac:dyDescent="0.2">
      <c r="A5655" s="52"/>
    </row>
    <row r="5656" spans="1:1" x14ac:dyDescent="0.2">
      <c r="A5656" s="52"/>
    </row>
    <row r="5657" spans="1:1" x14ac:dyDescent="0.2">
      <c r="A5657" s="52"/>
    </row>
    <row r="5658" spans="1:1" x14ac:dyDescent="0.2">
      <c r="A5658" s="52"/>
    </row>
    <row r="5659" spans="1:1" x14ac:dyDescent="0.2">
      <c r="A5659" s="52"/>
    </row>
    <row r="5660" spans="1:1" x14ac:dyDescent="0.2">
      <c r="A5660" s="52"/>
    </row>
    <row r="5661" spans="1:1" x14ac:dyDescent="0.2">
      <c r="A5661" s="52"/>
    </row>
    <row r="5662" spans="1:1" x14ac:dyDescent="0.2">
      <c r="A5662" s="52"/>
    </row>
    <row r="5663" spans="1:1" x14ac:dyDescent="0.2">
      <c r="A5663" s="52"/>
    </row>
    <row r="5664" spans="1:1" x14ac:dyDescent="0.2">
      <c r="A5664" s="52"/>
    </row>
    <row r="5665" spans="1:1" x14ac:dyDescent="0.2">
      <c r="A5665" s="52"/>
    </row>
    <row r="5666" spans="1:1" x14ac:dyDescent="0.2">
      <c r="A5666" s="52"/>
    </row>
    <row r="5667" spans="1:1" x14ac:dyDescent="0.2">
      <c r="A5667" s="53"/>
    </row>
    <row r="5668" spans="1:1" x14ac:dyDescent="0.2">
      <c r="A5668" s="52"/>
    </row>
    <row r="5669" spans="1:1" x14ac:dyDescent="0.2">
      <c r="A5669" s="52"/>
    </row>
    <row r="5670" spans="1:1" x14ac:dyDescent="0.2">
      <c r="A5670" s="52"/>
    </row>
    <row r="5671" spans="1:1" x14ac:dyDescent="0.2">
      <c r="A5671" s="52"/>
    </row>
    <row r="5672" spans="1:1" x14ac:dyDescent="0.2">
      <c r="A5672" s="52"/>
    </row>
    <row r="5673" spans="1:1" x14ac:dyDescent="0.2">
      <c r="A5673" s="52"/>
    </row>
    <row r="5674" spans="1:1" x14ac:dyDescent="0.2">
      <c r="A5674" s="52"/>
    </row>
    <row r="5675" spans="1:1" x14ac:dyDescent="0.2">
      <c r="A5675" s="52"/>
    </row>
    <row r="5676" spans="1:1" x14ac:dyDescent="0.2">
      <c r="A5676" s="52"/>
    </row>
    <row r="5677" spans="1:1" x14ac:dyDescent="0.2">
      <c r="A5677" s="52"/>
    </row>
    <row r="5678" spans="1:1" x14ac:dyDescent="0.2">
      <c r="A5678" s="52"/>
    </row>
    <row r="5679" spans="1:1" x14ac:dyDescent="0.2">
      <c r="A5679" s="52"/>
    </row>
    <row r="5680" spans="1:1" x14ac:dyDescent="0.2">
      <c r="A5680" s="52"/>
    </row>
    <row r="5681" spans="1:1" x14ac:dyDescent="0.2">
      <c r="A5681" s="52"/>
    </row>
    <row r="5682" spans="1:1" x14ac:dyDescent="0.2">
      <c r="A5682" s="52"/>
    </row>
    <row r="5683" spans="1:1" x14ac:dyDescent="0.2">
      <c r="A5683" s="52"/>
    </row>
    <row r="5684" spans="1:1" x14ac:dyDescent="0.2">
      <c r="A5684" s="52"/>
    </row>
    <row r="5685" spans="1:1" x14ac:dyDescent="0.2">
      <c r="A5685" s="52"/>
    </row>
    <row r="5686" spans="1:1" x14ac:dyDescent="0.2">
      <c r="A5686" s="52"/>
    </row>
    <row r="5687" spans="1:1" x14ac:dyDescent="0.2">
      <c r="A5687" s="52"/>
    </row>
    <row r="5688" spans="1:1" x14ac:dyDescent="0.2">
      <c r="A5688" s="53"/>
    </row>
    <row r="5689" spans="1:1" x14ac:dyDescent="0.2">
      <c r="A5689" s="52"/>
    </row>
    <row r="5690" spans="1:1" x14ac:dyDescent="0.2">
      <c r="A5690" s="52"/>
    </row>
    <row r="5691" spans="1:1" x14ac:dyDescent="0.2">
      <c r="A5691" s="52"/>
    </row>
    <row r="5692" spans="1:1" x14ac:dyDescent="0.2">
      <c r="A5692" s="52"/>
    </row>
    <row r="5693" spans="1:1" x14ac:dyDescent="0.2">
      <c r="A5693" s="52"/>
    </row>
    <row r="5694" spans="1:1" x14ac:dyDescent="0.2">
      <c r="A5694" s="52"/>
    </row>
    <row r="5695" spans="1:1" x14ac:dyDescent="0.2">
      <c r="A5695" s="53"/>
    </row>
    <row r="5696" spans="1:1" x14ac:dyDescent="0.2">
      <c r="A5696" s="53"/>
    </row>
    <row r="5697" spans="1:1" x14ac:dyDescent="0.2">
      <c r="A5697" s="53"/>
    </row>
    <row r="5698" spans="1:1" x14ac:dyDescent="0.2">
      <c r="A5698" s="52"/>
    </row>
    <row r="5699" spans="1:1" x14ac:dyDescent="0.2">
      <c r="A5699" s="52"/>
    </row>
    <row r="5700" spans="1:1" x14ac:dyDescent="0.2">
      <c r="A5700" s="52"/>
    </row>
    <row r="5701" spans="1:1" x14ac:dyDescent="0.2">
      <c r="A5701" s="52"/>
    </row>
    <row r="5702" spans="1:1" x14ac:dyDescent="0.2">
      <c r="A5702" s="52"/>
    </row>
    <row r="5703" spans="1:1" x14ac:dyDescent="0.2">
      <c r="A5703" s="53"/>
    </row>
    <row r="5704" spans="1:1" x14ac:dyDescent="0.2">
      <c r="A5704" s="52"/>
    </row>
    <row r="5705" spans="1:1" x14ac:dyDescent="0.2">
      <c r="A5705" s="53"/>
    </row>
    <row r="5706" spans="1:1" x14ac:dyDescent="0.2">
      <c r="A5706" s="52"/>
    </row>
    <row r="5707" spans="1:1" x14ac:dyDescent="0.2">
      <c r="A5707" s="52"/>
    </row>
    <row r="5708" spans="1:1" x14ac:dyDescent="0.2">
      <c r="A5708" s="52"/>
    </row>
    <row r="5709" spans="1:1" x14ac:dyDescent="0.2">
      <c r="A5709" s="53"/>
    </row>
    <row r="5710" spans="1:1" x14ac:dyDescent="0.2">
      <c r="A5710" s="52"/>
    </row>
    <row r="5711" spans="1:1" x14ac:dyDescent="0.2">
      <c r="A5711" s="52"/>
    </row>
    <row r="5712" spans="1:1" x14ac:dyDescent="0.2">
      <c r="A5712" s="52"/>
    </row>
    <row r="5713" spans="1:1" x14ac:dyDescent="0.2">
      <c r="A5713" s="52"/>
    </row>
    <row r="5714" spans="1:1" x14ac:dyDescent="0.2">
      <c r="A5714" s="52"/>
    </row>
    <row r="5715" spans="1:1" x14ac:dyDescent="0.2">
      <c r="A5715" s="52"/>
    </row>
    <row r="5716" spans="1:1" x14ac:dyDescent="0.2">
      <c r="A5716" s="52"/>
    </row>
    <row r="5717" spans="1:1" x14ac:dyDescent="0.2">
      <c r="A5717" s="52"/>
    </row>
    <row r="5718" spans="1:1" x14ac:dyDescent="0.2">
      <c r="A5718" s="52"/>
    </row>
    <row r="5719" spans="1:1" x14ac:dyDescent="0.2">
      <c r="A5719" s="52"/>
    </row>
    <row r="5720" spans="1:1" x14ac:dyDescent="0.2">
      <c r="A5720" s="52"/>
    </row>
    <row r="5721" spans="1:1" x14ac:dyDescent="0.2">
      <c r="A5721" s="52"/>
    </row>
    <row r="5722" spans="1:1" x14ac:dyDescent="0.2">
      <c r="A5722" s="52"/>
    </row>
    <row r="5723" spans="1:1" x14ac:dyDescent="0.2">
      <c r="A5723" s="52"/>
    </row>
    <row r="5724" spans="1:1" x14ac:dyDescent="0.2">
      <c r="A5724" s="52"/>
    </row>
    <row r="5725" spans="1:1" x14ac:dyDescent="0.2">
      <c r="A5725" s="52"/>
    </row>
    <row r="5726" spans="1:1" x14ac:dyDescent="0.2">
      <c r="A5726" s="52"/>
    </row>
    <row r="5727" spans="1:1" x14ac:dyDescent="0.2">
      <c r="A5727" s="52"/>
    </row>
    <row r="5728" spans="1:1" x14ac:dyDescent="0.2">
      <c r="A5728" s="52"/>
    </row>
    <row r="5729" spans="1:1" x14ac:dyDescent="0.2">
      <c r="A5729" s="52"/>
    </row>
    <row r="5730" spans="1:1" x14ac:dyDescent="0.2">
      <c r="A5730" s="52"/>
    </row>
    <row r="5731" spans="1:1" x14ac:dyDescent="0.2">
      <c r="A5731" s="52"/>
    </row>
    <row r="5732" spans="1:1" x14ac:dyDescent="0.2">
      <c r="A5732" s="52"/>
    </row>
    <row r="5733" spans="1:1" x14ac:dyDescent="0.2">
      <c r="A5733" s="52"/>
    </row>
    <row r="5734" spans="1:1" x14ac:dyDescent="0.2">
      <c r="A5734" s="53"/>
    </row>
    <row r="5735" spans="1:1" x14ac:dyDescent="0.2">
      <c r="A5735" s="52"/>
    </row>
    <row r="5736" spans="1:1" x14ac:dyDescent="0.2">
      <c r="A5736" s="52"/>
    </row>
    <row r="5737" spans="1:1" x14ac:dyDescent="0.2">
      <c r="A5737" s="52"/>
    </row>
    <row r="5738" spans="1:1" x14ac:dyDescent="0.2">
      <c r="A5738" s="52"/>
    </row>
    <row r="5739" spans="1:1" x14ac:dyDescent="0.2">
      <c r="A5739" s="52"/>
    </row>
    <row r="5740" spans="1:1" x14ac:dyDescent="0.2">
      <c r="A5740" s="52"/>
    </row>
    <row r="5741" spans="1:1" x14ac:dyDescent="0.2">
      <c r="A5741" s="52"/>
    </row>
    <row r="5742" spans="1:1" x14ac:dyDescent="0.2">
      <c r="A5742" s="52"/>
    </row>
    <row r="5743" spans="1:1" x14ac:dyDescent="0.2">
      <c r="A5743" s="53"/>
    </row>
    <row r="5744" spans="1:1" x14ac:dyDescent="0.2">
      <c r="A5744" s="52"/>
    </row>
    <row r="5745" spans="1:1" x14ac:dyDescent="0.2">
      <c r="A5745" s="52"/>
    </row>
    <row r="5746" spans="1:1" x14ac:dyDescent="0.2">
      <c r="A5746" s="52"/>
    </row>
    <row r="5747" spans="1:1" x14ac:dyDescent="0.2">
      <c r="A5747" s="52"/>
    </row>
    <row r="5748" spans="1:1" x14ac:dyDescent="0.2">
      <c r="A5748" s="52"/>
    </row>
    <row r="5749" spans="1:1" x14ac:dyDescent="0.2">
      <c r="A5749" s="52"/>
    </row>
    <row r="5750" spans="1:1" x14ac:dyDescent="0.2">
      <c r="A5750" s="52"/>
    </row>
    <row r="5751" spans="1:1" x14ac:dyDescent="0.2">
      <c r="A5751" s="52"/>
    </row>
    <row r="5752" spans="1:1" x14ac:dyDescent="0.2">
      <c r="A5752" s="52"/>
    </row>
    <row r="5753" spans="1:1" x14ac:dyDescent="0.2">
      <c r="A5753" s="52"/>
    </row>
    <row r="5754" spans="1:1" x14ac:dyDescent="0.2">
      <c r="A5754" s="52"/>
    </row>
    <row r="5755" spans="1:1" x14ac:dyDescent="0.2">
      <c r="A5755" s="52"/>
    </row>
    <row r="5756" spans="1:1" x14ac:dyDescent="0.2">
      <c r="A5756" s="52"/>
    </row>
    <row r="5757" spans="1:1" x14ac:dyDescent="0.2">
      <c r="A5757" s="52"/>
    </row>
    <row r="5758" spans="1:1" x14ac:dyDescent="0.2">
      <c r="A5758" s="52"/>
    </row>
    <row r="5759" spans="1:1" x14ac:dyDescent="0.2">
      <c r="A5759" s="52"/>
    </row>
    <row r="5760" spans="1:1" x14ac:dyDescent="0.2">
      <c r="A5760" s="52"/>
    </row>
    <row r="5761" spans="1:1" x14ac:dyDescent="0.2">
      <c r="A5761" s="52"/>
    </row>
    <row r="5762" spans="1:1" x14ac:dyDescent="0.2">
      <c r="A5762" s="52"/>
    </row>
    <row r="5763" spans="1:1" x14ac:dyDescent="0.2">
      <c r="A5763" s="52"/>
    </row>
    <row r="5764" spans="1:1" x14ac:dyDescent="0.2">
      <c r="A5764" s="52"/>
    </row>
    <row r="5765" spans="1:1" x14ac:dyDescent="0.2">
      <c r="A5765" s="52"/>
    </row>
    <row r="5766" spans="1:1" x14ac:dyDescent="0.2">
      <c r="A5766" s="52"/>
    </row>
    <row r="5767" spans="1:1" x14ac:dyDescent="0.2">
      <c r="A5767" s="52"/>
    </row>
    <row r="5768" spans="1:1" x14ac:dyDescent="0.2">
      <c r="A5768" s="53"/>
    </row>
    <row r="5769" spans="1:1" x14ac:dyDescent="0.2">
      <c r="A5769" s="52"/>
    </row>
    <row r="5770" spans="1:1" x14ac:dyDescent="0.2">
      <c r="A5770" s="53"/>
    </row>
    <row r="5771" spans="1:1" x14ac:dyDescent="0.2">
      <c r="A5771" s="52"/>
    </row>
    <row r="5772" spans="1:1" x14ac:dyDescent="0.2">
      <c r="A5772" s="52"/>
    </row>
    <row r="5773" spans="1:1" x14ac:dyDescent="0.2">
      <c r="A5773" s="52"/>
    </row>
    <row r="5774" spans="1:1" x14ac:dyDescent="0.2">
      <c r="A5774" s="52"/>
    </row>
    <row r="5775" spans="1:1" x14ac:dyDescent="0.2">
      <c r="A5775" s="52"/>
    </row>
    <row r="5776" spans="1:1" x14ac:dyDescent="0.2">
      <c r="A5776" s="52"/>
    </row>
    <row r="5777" spans="1:1" x14ac:dyDescent="0.2">
      <c r="A5777" s="52"/>
    </row>
    <row r="5778" spans="1:1" x14ac:dyDescent="0.2">
      <c r="A5778" s="52"/>
    </row>
    <row r="5779" spans="1:1" x14ac:dyDescent="0.2">
      <c r="A5779" s="52"/>
    </row>
    <row r="5780" spans="1:1" x14ac:dyDescent="0.2">
      <c r="A5780" s="52"/>
    </row>
    <row r="5781" spans="1:1" x14ac:dyDescent="0.2">
      <c r="A5781" s="52"/>
    </row>
    <row r="5782" spans="1:1" x14ac:dyDescent="0.2">
      <c r="A5782" s="52"/>
    </row>
    <row r="5783" spans="1:1" x14ac:dyDescent="0.2">
      <c r="A5783" s="52"/>
    </row>
    <row r="5784" spans="1:1" x14ac:dyDescent="0.2">
      <c r="A5784" s="52"/>
    </row>
    <row r="5785" spans="1:1" x14ac:dyDescent="0.2">
      <c r="A5785" s="52"/>
    </row>
    <row r="5786" spans="1:1" x14ac:dyDescent="0.2">
      <c r="A5786" s="52"/>
    </row>
    <row r="5787" spans="1:1" x14ac:dyDescent="0.2">
      <c r="A5787" s="52"/>
    </row>
    <row r="5788" spans="1:1" x14ac:dyDescent="0.2">
      <c r="A5788" s="52"/>
    </row>
    <row r="5789" spans="1:1" x14ac:dyDescent="0.2">
      <c r="A5789" s="52"/>
    </row>
    <row r="5790" spans="1:1" x14ac:dyDescent="0.2">
      <c r="A5790" s="52"/>
    </row>
    <row r="5791" spans="1:1" x14ac:dyDescent="0.2">
      <c r="A5791" s="53"/>
    </row>
    <row r="5792" spans="1:1" x14ac:dyDescent="0.2">
      <c r="A5792" s="52"/>
    </row>
    <row r="5793" spans="1:1" x14ac:dyDescent="0.2">
      <c r="A5793" s="52"/>
    </row>
    <row r="5794" spans="1:1" x14ac:dyDescent="0.2">
      <c r="A5794" s="52"/>
    </row>
    <row r="5795" spans="1:1" x14ac:dyDescent="0.2">
      <c r="A5795" s="52"/>
    </row>
    <row r="5796" spans="1:1" x14ac:dyDescent="0.2">
      <c r="A5796" s="52"/>
    </row>
    <row r="5797" spans="1:1" x14ac:dyDescent="0.2">
      <c r="A5797" s="52"/>
    </row>
    <row r="5798" spans="1:1" x14ac:dyDescent="0.2">
      <c r="A5798" s="52"/>
    </row>
    <row r="5799" spans="1:1" x14ac:dyDescent="0.2">
      <c r="A5799" s="52"/>
    </row>
    <row r="5800" spans="1:1" x14ac:dyDescent="0.2">
      <c r="A5800" s="52"/>
    </row>
    <row r="5801" spans="1:1" x14ac:dyDescent="0.2">
      <c r="A5801" s="52"/>
    </row>
    <row r="5802" spans="1:1" x14ac:dyDescent="0.2">
      <c r="A5802" s="52"/>
    </row>
    <row r="5803" spans="1:1" x14ac:dyDescent="0.2">
      <c r="A5803" s="52"/>
    </row>
    <row r="5804" spans="1:1" x14ac:dyDescent="0.2">
      <c r="A5804" s="52"/>
    </row>
    <row r="5805" spans="1:1" x14ac:dyDescent="0.2">
      <c r="A5805" s="52"/>
    </row>
    <row r="5806" spans="1:1" x14ac:dyDescent="0.2">
      <c r="A5806" s="52"/>
    </row>
    <row r="5807" spans="1:1" x14ac:dyDescent="0.2">
      <c r="A5807" s="52"/>
    </row>
    <row r="5808" spans="1:1" x14ac:dyDescent="0.2">
      <c r="A5808" s="52"/>
    </row>
    <row r="5809" spans="1:1" x14ac:dyDescent="0.2">
      <c r="A5809" s="52"/>
    </row>
    <row r="5810" spans="1:1" x14ac:dyDescent="0.2">
      <c r="A5810" s="52"/>
    </row>
    <row r="5811" spans="1:1" x14ac:dyDescent="0.2">
      <c r="A5811" s="52"/>
    </row>
    <row r="5812" spans="1:1" x14ac:dyDescent="0.2">
      <c r="A5812" s="52"/>
    </row>
    <row r="5813" spans="1:1" x14ac:dyDescent="0.2">
      <c r="A5813" s="52"/>
    </row>
    <row r="5814" spans="1:1" x14ac:dyDescent="0.2">
      <c r="A5814" s="52"/>
    </row>
    <row r="5815" spans="1:1" x14ac:dyDescent="0.2">
      <c r="A5815" s="52"/>
    </row>
    <row r="5816" spans="1:1" x14ac:dyDescent="0.2">
      <c r="A5816" s="52"/>
    </row>
    <row r="5817" spans="1:1" x14ac:dyDescent="0.2">
      <c r="A5817" s="52"/>
    </row>
    <row r="5818" spans="1:1" x14ac:dyDescent="0.2">
      <c r="A5818" s="52"/>
    </row>
    <row r="5819" spans="1:1" x14ac:dyDescent="0.2">
      <c r="A5819" s="52"/>
    </row>
    <row r="5820" spans="1:1" x14ac:dyDescent="0.2">
      <c r="A5820" s="52"/>
    </row>
    <row r="5821" spans="1:1" x14ac:dyDescent="0.2">
      <c r="A5821" s="52"/>
    </row>
    <row r="5822" spans="1:1" x14ac:dyDescent="0.2">
      <c r="A5822" s="52"/>
    </row>
    <row r="5823" spans="1:1" x14ac:dyDescent="0.2">
      <c r="A5823" s="52"/>
    </row>
    <row r="5824" spans="1:1" x14ac:dyDescent="0.2">
      <c r="A5824" s="53"/>
    </row>
    <row r="5825" spans="1:1" x14ac:dyDescent="0.2">
      <c r="A5825" s="52"/>
    </row>
    <row r="5826" spans="1:1" x14ac:dyDescent="0.2">
      <c r="A5826" s="52"/>
    </row>
    <row r="5827" spans="1:1" x14ac:dyDescent="0.2">
      <c r="A5827" s="53"/>
    </row>
    <row r="5828" spans="1:1" x14ac:dyDescent="0.2">
      <c r="A5828" s="52"/>
    </row>
    <row r="5829" spans="1:1" x14ac:dyDescent="0.2">
      <c r="A5829" s="52"/>
    </row>
    <row r="5830" spans="1:1" x14ac:dyDescent="0.2">
      <c r="A5830" s="52"/>
    </row>
    <row r="5831" spans="1:1" x14ac:dyDescent="0.2">
      <c r="A5831" s="52"/>
    </row>
    <row r="5832" spans="1:1" x14ac:dyDescent="0.2">
      <c r="A5832" s="52"/>
    </row>
    <row r="5833" spans="1:1" x14ac:dyDescent="0.2">
      <c r="A5833" s="52"/>
    </row>
    <row r="5834" spans="1:1" x14ac:dyDescent="0.2">
      <c r="A5834" s="52"/>
    </row>
    <row r="5835" spans="1:1" x14ac:dyDescent="0.2">
      <c r="A5835" s="53"/>
    </row>
    <row r="5836" spans="1:1" x14ac:dyDescent="0.2">
      <c r="A5836" s="53"/>
    </row>
    <row r="5837" spans="1:1" x14ac:dyDescent="0.2">
      <c r="A5837" s="52"/>
    </row>
    <row r="5838" spans="1:1" x14ac:dyDescent="0.2">
      <c r="A5838" s="52"/>
    </row>
    <row r="5839" spans="1:1" x14ac:dyDescent="0.2">
      <c r="A5839" s="52"/>
    </row>
    <row r="5840" spans="1:1" x14ac:dyDescent="0.2">
      <c r="A5840" s="52"/>
    </row>
    <row r="5841" spans="1:1" x14ac:dyDescent="0.2">
      <c r="A5841" s="52"/>
    </row>
    <row r="5842" spans="1:1" x14ac:dyDescent="0.2">
      <c r="A5842" s="52"/>
    </row>
    <row r="5843" spans="1:1" x14ac:dyDescent="0.2">
      <c r="A5843" s="52"/>
    </row>
    <row r="5844" spans="1:1" x14ac:dyDescent="0.2">
      <c r="A5844" s="52"/>
    </row>
    <row r="5845" spans="1:1" x14ac:dyDescent="0.2">
      <c r="A5845" s="52"/>
    </row>
    <row r="5846" spans="1:1" x14ac:dyDescent="0.2">
      <c r="A5846" s="52"/>
    </row>
    <row r="5847" spans="1:1" x14ac:dyDescent="0.2">
      <c r="A5847" s="52"/>
    </row>
    <row r="5848" spans="1:1" x14ac:dyDescent="0.2">
      <c r="A5848" s="52"/>
    </row>
    <row r="5849" spans="1:1" x14ac:dyDescent="0.2">
      <c r="A5849" s="52"/>
    </row>
    <row r="5850" spans="1:1" x14ac:dyDescent="0.2">
      <c r="A5850" s="52"/>
    </row>
    <row r="5851" spans="1:1" x14ac:dyDescent="0.2">
      <c r="A5851" s="52"/>
    </row>
    <row r="5852" spans="1:1" x14ac:dyDescent="0.2">
      <c r="A5852" s="52"/>
    </row>
    <row r="5853" spans="1:1" x14ac:dyDescent="0.2">
      <c r="A5853" s="53"/>
    </row>
    <row r="5854" spans="1:1" x14ac:dyDescent="0.2">
      <c r="A5854" s="53"/>
    </row>
    <row r="5855" spans="1:1" x14ac:dyDescent="0.2">
      <c r="A5855" s="52"/>
    </row>
    <row r="5856" spans="1:1" x14ac:dyDescent="0.2">
      <c r="A5856" s="52"/>
    </row>
    <row r="5857" spans="1:1" x14ac:dyDescent="0.2">
      <c r="A5857" s="53"/>
    </row>
    <row r="5858" spans="1:1" x14ac:dyDescent="0.2">
      <c r="A5858" s="52"/>
    </row>
    <row r="5859" spans="1:1" x14ac:dyDescent="0.2">
      <c r="A5859" s="52"/>
    </row>
    <row r="5860" spans="1:1" x14ac:dyDescent="0.2">
      <c r="A5860" s="52"/>
    </row>
    <row r="5861" spans="1:1" x14ac:dyDescent="0.2">
      <c r="A5861" s="52"/>
    </row>
    <row r="5862" spans="1:1" x14ac:dyDescent="0.2">
      <c r="A5862" s="52"/>
    </row>
    <row r="5863" spans="1:1" x14ac:dyDescent="0.2">
      <c r="A5863" s="52"/>
    </row>
    <row r="5864" spans="1:1" x14ac:dyDescent="0.2">
      <c r="A5864" s="52"/>
    </row>
    <row r="5865" spans="1:1" x14ac:dyDescent="0.2">
      <c r="A5865" s="52"/>
    </row>
    <row r="5866" spans="1:1" x14ac:dyDescent="0.2">
      <c r="A5866" s="52"/>
    </row>
    <row r="5867" spans="1:1" x14ac:dyDescent="0.2">
      <c r="A5867" s="52"/>
    </row>
    <row r="5868" spans="1:1" x14ac:dyDescent="0.2">
      <c r="A5868" s="52"/>
    </row>
    <row r="5869" spans="1:1" x14ac:dyDescent="0.2">
      <c r="A5869" s="52"/>
    </row>
    <row r="5870" spans="1:1" x14ac:dyDescent="0.2">
      <c r="A5870" s="52"/>
    </row>
    <row r="5871" spans="1:1" x14ac:dyDescent="0.2">
      <c r="A5871" s="52"/>
    </row>
    <row r="5872" spans="1:1" x14ac:dyDescent="0.2">
      <c r="A5872" s="52"/>
    </row>
    <row r="5873" spans="1:1" x14ac:dyDescent="0.2">
      <c r="A5873" s="52"/>
    </row>
    <row r="5874" spans="1:1" x14ac:dyDescent="0.2">
      <c r="A5874" s="52"/>
    </row>
    <row r="5875" spans="1:1" x14ac:dyDescent="0.2">
      <c r="A5875" s="52"/>
    </row>
    <row r="5876" spans="1:1" x14ac:dyDescent="0.2">
      <c r="A5876" s="52"/>
    </row>
    <row r="5877" spans="1:1" x14ac:dyDescent="0.2">
      <c r="A5877" s="52"/>
    </row>
    <row r="5878" spans="1:1" x14ac:dyDescent="0.2">
      <c r="A5878" s="52"/>
    </row>
    <row r="5879" spans="1:1" x14ac:dyDescent="0.2">
      <c r="A5879" s="52"/>
    </row>
    <row r="5880" spans="1:1" x14ac:dyDescent="0.2">
      <c r="A5880" s="52"/>
    </row>
    <row r="5881" spans="1:1" x14ac:dyDescent="0.2">
      <c r="A5881" s="52"/>
    </row>
    <row r="5882" spans="1:1" x14ac:dyDescent="0.2">
      <c r="A5882" s="53"/>
    </row>
    <row r="5883" spans="1:1" x14ac:dyDescent="0.2">
      <c r="A5883" s="52"/>
    </row>
    <row r="5884" spans="1:1" x14ac:dyDescent="0.2">
      <c r="A5884" s="53"/>
    </row>
    <row r="5885" spans="1:1" x14ac:dyDescent="0.2">
      <c r="A5885" s="52"/>
    </row>
    <row r="5886" spans="1:1" x14ac:dyDescent="0.2">
      <c r="A5886" s="52"/>
    </row>
    <row r="5887" spans="1:1" x14ac:dyDescent="0.2">
      <c r="A5887" s="52"/>
    </row>
    <row r="5888" spans="1:1" x14ac:dyDescent="0.2">
      <c r="A5888" s="53"/>
    </row>
    <row r="5889" spans="1:1" x14ac:dyDescent="0.2">
      <c r="A5889" s="52"/>
    </row>
    <row r="5890" spans="1:1" x14ac:dyDescent="0.2">
      <c r="A5890" s="52"/>
    </row>
    <row r="5891" spans="1:1" x14ac:dyDescent="0.2">
      <c r="A5891" s="52"/>
    </row>
    <row r="5892" spans="1:1" x14ac:dyDescent="0.2">
      <c r="A5892" s="52"/>
    </row>
    <row r="5893" spans="1:1" x14ac:dyDescent="0.2">
      <c r="A5893" s="52"/>
    </row>
    <row r="5894" spans="1:1" x14ac:dyDescent="0.2">
      <c r="A5894" s="52"/>
    </row>
    <row r="5895" spans="1:1" x14ac:dyDescent="0.2">
      <c r="A5895" s="52"/>
    </row>
    <row r="5896" spans="1:1" x14ac:dyDescent="0.2">
      <c r="A5896" s="52"/>
    </row>
    <row r="5897" spans="1:1" x14ac:dyDescent="0.2">
      <c r="A5897" s="52"/>
    </row>
    <row r="5898" spans="1:1" x14ac:dyDescent="0.2">
      <c r="A5898" s="52"/>
    </row>
    <row r="5899" spans="1:1" x14ac:dyDescent="0.2">
      <c r="A5899" s="52"/>
    </row>
    <row r="5900" spans="1:1" x14ac:dyDescent="0.2">
      <c r="A5900" s="52"/>
    </row>
    <row r="5901" spans="1:1" x14ac:dyDescent="0.2">
      <c r="A5901" s="52"/>
    </row>
    <row r="5902" spans="1:1" x14ac:dyDescent="0.2">
      <c r="A5902" s="52"/>
    </row>
    <row r="5903" spans="1:1" x14ac:dyDescent="0.2">
      <c r="A5903" s="52"/>
    </row>
    <row r="5904" spans="1:1" x14ac:dyDescent="0.2">
      <c r="A5904" s="52"/>
    </row>
    <row r="5905" spans="1:1" x14ac:dyDescent="0.2">
      <c r="A5905" s="52"/>
    </row>
    <row r="5906" spans="1:1" x14ac:dyDescent="0.2">
      <c r="A5906" s="52"/>
    </row>
    <row r="5907" spans="1:1" x14ac:dyDescent="0.2">
      <c r="A5907" s="52"/>
    </row>
    <row r="5908" spans="1:1" x14ac:dyDescent="0.2">
      <c r="A5908" s="52"/>
    </row>
    <row r="5909" spans="1:1" x14ac:dyDescent="0.2">
      <c r="A5909" s="52"/>
    </row>
    <row r="5910" spans="1:1" x14ac:dyDescent="0.2">
      <c r="A5910" s="52"/>
    </row>
    <row r="5911" spans="1:1" x14ac:dyDescent="0.2">
      <c r="A5911" s="52"/>
    </row>
    <row r="5912" spans="1:1" x14ac:dyDescent="0.2">
      <c r="A5912" s="52"/>
    </row>
    <row r="5913" spans="1:1" x14ac:dyDescent="0.2">
      <c r="A5913" s="52"/>
    </row>
    <row r="5914" spans="1:1" x14ac:dyDescent="0.2">
      <c r="A5914" s="52"/>
    </row>
    <row r="5915" spans="1:1" x14ac:dyDescent="0.2">
      <c r="A5915" s="52"/>
    </row>
    <row r="5916" spans="1:1" x14ac:dyDescent="0.2">
      <c r="A5916" s="52"/>
    </row>
    <row r="5917" spans="1:1" x14ac:dyDescent="0.2">
      <c r="A5917" s="52"/>
    </row>
    <row r="5918" spans="1:1" x14ac:dyDescent="0.2">
      <c r="A5918" s="52"/>
    </row>
    <row r="5919" spans="1:1" x14ac:dyDescent="0.2">
      <c r="A5919" s="52"/>
    </row>
    <row r="5920" spans="1:1" x14ac:dyDescent="0.2">
      <c r="A5920" s="52"/>
    </row>
    <row r="5921" spans="1:1" x14ac:dyDescent="0.2">
      <c r="A5921" s="52"/>
    </row>
    <row r="5922" spans="1:1" x14ac:dyDescent="0.2">
      <c r="A5922" s="52"/>
    </row>
    <row r="5923" spans="1:1" x14ac:dyDescent="0.2">
      <c r="A5923" s="52"/>
    </row>
    <row r="5924" spans="1:1" x14ac:dyDescent="0.2">
      <c r="A5924" s="52"/>
    </row>
    <row r="5925" spans="1:1" x14ac:dyDescent="0.2">
      <c r="A5925" s="53"/>
    </row>
    <row r="5926" spans="1:1" x14ac:dyDescent="0.2">
      <c r="A5926" s="52"/>
    </row>
    <row r="5927" spans="1:1" x14ac:dyDescent="0.2">
      <c r="A5927" s="52"/>
    </row>
    <row r="5928" spans="1:1" x14ac:dyDescent="0.2">
      <c r="A5928" s="52"/>
    </row>
    <row r="5929" spans="1:1" x14ac:dyDescent="0.2">
      <c r="A5929" s="52"/>
    </row>
    <row r="5930" spans="1:1" x14ac:dyDescent="0.2">
      <c r="A5930" s="52"/>
    </row>
    <row r="5931" spans="1:1" x14ac:dyDescent="0.2">
      <c r="A5931" s="52"/>
    </row>
    <row r="5932" spans="1:1" x14ac:dyDescent="0.2">
      <c r="A5932" s="52"/>
    </row>
    <row r="5933" spans="1:1" x14ac:dyDescent="0.2">
      <c r="A5933" s="52"/>
    </row>
    <row r="5934" spans="1:1" x14ac:dyDescent="0.2">
      <c r="A5934" s="52"/>
    </row>
    <row r="5935" spans="1:1" x14ac:dyDescent="0.2">
      <c r="A5935" s="52"/>
    </row>
    <row r="5936" spans="1:1" x14ac:dyDescent="0.2">
      <c r="A5936" s="52"/>
    </row>
    <row r="5937" spans="1:1" x14ac:dyDescent="0.2">
      <c r="A5937" s="52"/>
    </row>
    <row r="5938" spans="1:1" x14ac:dyDescent="0.2">
      <c r="A5938" s="52"/>
    </row>
    <row r="5939" spans="1:1" x14ac:dyDescent="0.2">
      <c r="A5939" s="52"/>
    </row>
    <row r="5940" spans="1:1" x14ac:dyDescent="0.2">
      <c r="A5940" s="52"/>
    </row>
    <row r="5941" spans="1:1" x14ac:dyDescent="0.2">
      <c r="A5941" s="52"/>
    </row>
    <row r="5942" spans="1:1" x14ac:dyDescent="0.2">
      <c r="A5942" s="52"/>
    </row>
    <row r="5943" spans="1:1" x14ac:dyDescent="0.2">
      <c r="A5943" s="52"/>
    </row>
    <row r="5944" spans="1:1" x14ac:dyDescent="0.2">
      <c r="A5944" s="52"/>
    </row>
    <row r="5945" spans="1:1" x14ac:dyDescent="0.2">
      <c r="A5945" s="52"/>
    </row>
    <row r="5946" spans="1:1" x14ac:dyDescent="0.2">
      <c r="A5946" s="52"/>
    </row>
    <row r="5947" spans="1:1" x14ac:dyDescent="0.2">
      <c r="A5947" s="52"/>
    </row>
    <row r="5948" spans="1:1" x14ac:dyDescent="0.2">
      <c r="A5948" s="52"/>
    </row>
    <row r="5949" spans="1:1" x14ac:dyDescent="0.2">
      <c r="A5949" s="52"/>
    </row>
    <row r="5950" spans="1:1" x14ac:dyDescent="0.2">
      <c r="A5950" s="52"/>
    </row>
    <row r="5951" spans="1:1" x14ac:dyDescent="0.2">
      <c r="A5951" s="52"/>
    </row>
    <row r="5952" spans="1:1" x14ac:dyDescent="0.2">
      <c r="A5952" s="52"/>
    </row>
    <row r="5953" spans="1:1" x14ac:dyDescent="0.2">
      <c r="A5953" s="52"/>
    </row>
    <row r="5954" spans="1:1" x14ac:dyDescent="0.2">
      <c r="A5954" s="52"/>
    </row>
    <row r="5955" spans="1:1" x14ac:dyDescent="0.2">
      <c r="A5955" s="52"/>
    </row>
    <row r="5956" spans="1:1" x14ac:dyDescent="0.2">
      <c r="A5956" s="52"/>
    </row>
    <row r="5957" spans="1:1" x14ac:dyDescent="0.2">
      <c r="A5957" s="52"/>
    </row>
    <row r="5958" spans="1:1" x14ac:dyDescent="0.2">
      <c r="A5958" s="52"/>
    </row>
    <row r="5959" spans="1:1" x14ac:dyDescent="0.2">
      <c r="A5959" s="52"/>
    </row>
    <row r="5960" spans="1:1" x14ac:dyDescent="0.2">
      <c r="A5960" s="52"/>
    </row>
    <row r="5961" spans="1:1" x14ac:dyDescent="0.2">
      <c r="A5961" s="52"/>
    </row>
    <row r="5962" spans="1:1" x14ac:dyDescent="0.2">
      <c r="A5962" s="52"/>
    </row>
    <row r="5963" spans="1:1" x14ac:dyDescent="0.2">
      <c r="A5963" s="52"/>
    </row>
    <row r="5964" spans="1:1" x14ac:dyDescent="0.2">
      <c r="A5964" s="52"/>
    </row>
    <row r="5965" spans="1:1" x14ac:dyDescent="0.2">
      <c r="A5965" s="52"/>
    </row>
    <row r="5966" spans="1:1" x14ac:dyDescent="0.2">
      <c r="A5966" s="52"/>
    </row>
    <row r="5967" spans="1:1" x14ac:dyDescent="0.2">
      <c r="A5967" s="52"/>
    </row>
    <row r="5968" spans="1:1" x14ac:dyDescent="0.2">
      <c r="A5968" s="52"/>
    </row>
    <row r="5969" spans="1:1" x14ac:dyDescent="0.2">
      <c r="A5969" s="52"/>
    </row>
    <row r="5970" spans="1:1" x14ac:dyDescent="0.2">
      <c r="A5970" s="52"/>
    </row>
    <row r="5971" spans="1:1" x14ac:dyDescent="0.2">
      <c r="A5971" s="52"/>
    </row>
    <row r="5972" spans="1:1" x14ac:dyDescent="0.2">
      <c r="A5972" s="52"/>
    </row>
    <row r="5973" spans="1:1" x14ac:dyDescent="0.2">
      <c r="A5973" s="52"/>
    </row>
    <row r="5974" spans="1:1" x14ac:dyDescent="0.2">
      <c r="A5974" s="52"/>
    </row>
    <row r="5975" spans="1:1" x14ac:dyDescent="0.2">
      <c r="A5975" s="52"/>
    </row>
    <row r="5976" spans="1:1" x14ac:dyDescent="0.2">
      <c r="A5976" s="52"/>
    </row>
    <row r="5977" spans="1:1" x14ac:dyDescent="0.2">
      <c r="A5977" s="52"/>
    </row>
    <row r="5978" spans="1:1" x14ac:dyDescent="0.2">
      <c r="A5978" s="52"/>
    </row>
    <row r="5979" spans="1:1" x14ac:dyDescent="0.2">
      <c r="A5979" s="53"/>
    </row>
    <row r="5980" spans="1:1" x14ac:dyDescent="0.2">
      <c r="A5980" s="52"/>
    </row>
    <row r="5981" spans="1:1" x14ac:dyDescent="0.2">
      <c r="A5981" s="52"/>
    </row>
    <row r="5982" spans="1:1" x14ac:dyDescent="0.2">
      <c r="A5982" s="52"/>
    </row>
    <row r="5983" spans="1:1" x14ac:dyDescent="0.2">
      <c r="A5983" s="52"/>
    </row>
    <row r="5984" spans="1:1" x14ac:dyDescent="0.2">
      <c r="A5984" s="52"/>
    </row>
    <row r="5985" spans="1:1" x14ac:dyDescent="0.2">
      <c r="A5985" s="52"/>
    </row>
    <row r="5986" spans="1:1" x14ac:dyDescent="0.2">
      <c r="A5986" s="53"/>
    </row>
    <row r="5987" spans="1:1" x14ac:dyDescent="0.2">
      <c r="A5987" s="52"/>
    </row>
    <row r="5988" spans="1:1" x14ac:dyDescent="0.2">
      <c r="A5988" s="52"/>
    </row>
    <row r="5989" spans="1:1" x14ac:dyDescent="0.2">
      <c r="A5989" s="52"/>
    </row>
    <row r="5990" spans="1:1" x14ac:dyDescent="0.2">
      <c r="A5990" s="52"/>
    </row>
    <row r="5991" spans="1:1" x14ac:dyDescent="0.2">
      <c r="A5991" s="52"/>
    </row>
    <row r="5992" spans="1:1" x14ac:dyDescent="0.2">
      <c r="A5992" s="52"/>
    </row>
    <row r="5993" spans="1:1" x14ac:dyDescent="0.2">
      <c r="A5993" s="52"/>
    </row>
    <row r="5994" spans="1:1" x14ac:dyDescent="0.2">
      <c r="A5994" s="52"/>
    </row>
    <row r="5995" spans="1:1" x14ac:dyDescent="0.2">
      <c r="A5995" s="52"/>
    </row>
    <row r="5996" spans="1:1" x14ac:dyDescent="0.2">
      <c r="A5996" s="52"/>
    </row>
    <row r="5997" spans="1:1" x14ac:dyDescent="0.2">
      <c r="A5997" s="52"/>
    </row>
    <row r="5998" spans="1:1" x14ac:dyDescent="0.2">
      <c r="A5998" s="53"/>
    </row>
    <row r="5999" spans="1:1" x14ac:dyDescent="0.2">
      <c r="A5999" s="52"/>
    </row>
    <row r="6000" spans="1:1" x14ac:dyDescent="0.2">
      <c r="A6000" s="52"/>
    </row>
    <row r="6001" spans="1:1" x14ac:dyDescent="0.2">
      <c r="A6001" s="52"/>
    </row>
    <row r="6002" spans="1:1" x14ac:dyDescent="0.2">
      <c r="A6002" s="52"/>
    </row>
    <row r="6003" spans="1:1" x14ac:dyDescent="0.2">
      <c r="A6003" s="52"/>
    </row>
    <row r="6004" spans="1:1" x14ac:dyDescent="0.2">
      <c r="A6004" s="52"/>
    </row>
    <row r="6005" spans="1:1" x14ac:dyDescent="0.2">
      <c r="A6005" s="52"/>
    </row>
    <row r="6006" spans="1:1" x14ac:dyDescent="0.2">
      <c r="A6006" s="52"/>
    </row>
    <row r="6007" spans="1:1" x14ac:dyDescent="0.2">
      <c r="A6007" s="52"/>
    </row>
    <row r="6008" spans="1:1" x14ac:dyDescent="0.2">
      <c r="A6008" s="52"/>
    </row>
    <row r="6009" spans="1:1" x14ac:dyDescent="0.2">
      <c r="A6009" s="52"/>
    </row>
    <row r="6010" spans="1:1" x14ac:dyDescent="0.2">
      <c r="A6010" s="52"/>
    </row>
    <row r="6011" spans="1:1" x14ac:dyDescent="0.2">
      <c r="A6011" s="52"/>
    </row>
    <row r="6012" spans="1:1" x14ac:dyDescent="0.2">
      <c r="A6012" s="52"/>
    </row>
    <row r="6013" spans="1:1" x14ac:dyDescent="0.2">
      <c r="A6013" s="52"/>
    </row>
    <row r="6014" spans="1:1" x14ac:dyDescent="0.2">
      <c r="A6014" s="52"/>
    </row>
    <row r="6015" spans="1:1" x14ac:dyDescent="0.2">
      <c r="A6015" s="52"/>
    </row>
    <row r="6016" spans="1:1" x14ac:dyDescent="0.2">
      <c r="A6016" s="52"/>
    </row>
    <row r="6017" spans="1:1" x14ac:dyDescent="0.2">
      <c r="A6017" s="52"/>
    </row>
    <row r="6018" spans="1:1" x14ac:dyDescent="0.2">
      <c r="A6018" s="52"/>
    </row>
    <row r="6019" spans="1:1" x14ac:dyDescent="0.2">
      <c r="A6019" s="52"/>
    </row>
    <row r="6020" spans="1:1" x14ac:dyDescent="0.2">
      <c r="A6020" s="52"/>
    </row>
    <row r="6021" spans="1:1" x14ac:dyDescent="0.2">
      <c r="A6021" s="52"/>
    </row>
    <row r="6022" spans="1:1" x14ac:dyDescent="0.2">
      <c r="A6022" s="52"/>
    </row>
    <row r="6023" spans="1:1" x14ac:dyDescent="0.2">
      <c r="A6023" s="53"/>
    </row>
    <row r="6024" spans="1:1" x14ac:dyDescent="0.2">
      <c r="A6024" s="52"/>
    </row>
    <row r="6025" spans="1:1" x14ac:dyDescent="0.2">
      <c r="A6025" s="53"/>
    </row>
    <row r="6026" spans="1:1" x14ac:dyDescent="0.2">
      <c r="A6026" s="52"/>
    </row>
    <row r="6027" spans="1:1" x14ac:dyDescent="0.2">
      <c r="A6027" s="52"/>
    </row>
    <row r="6028" spans="1:1" x14ac:dyDescent="0.2">
      <c r="A6028" s="52"/>
    </row>
    <row r="6029" spans="1:1" x14ac:dyDescent="0.2">
      <c r="A6029" s="52"/>
    </row>
    <row r="6030" spans="1:1" x14ac:dyDescent="0.2">
      <c r="A6030" s="52"/>
    </row>
    <row r="6031" spans="1:1" x14ac:dyDescent="0.2">
      <c r="A6031" s="52"/>
    </row>
    <row r="6032" spans="1:1" x14ac:dyDescent="0.2">
      <c r="A6032" s="52"/>
    </row>
    <row r="6033" spans="1:1" x14ac:dyDescent="0.2">
      <c r="A6033" s="52"/>
    </row>
    <row r="6034" spans="1:1" x14ac:dyDescent="0.2">
      <c r="A6034" s="52"/>
    </row>
    <row r="6035" spans="1:1" x14ac:dyDescent="0.2">
      <c r="A6035" s="52"/>
    </row>
    <row r="6036" spans="1:1" x14ac:dyDescent="0.2">
      <c r="A6036" s="52"/>
    </row>
    <row r="6037" spans="1:1" x14ac:dyDescent="0.2">
      <c r="A6037" s="52"/>
    </row>
    <row r="6038" spans="1:1" x14ac:dyDescent="0.2">
      <c r="A6038" s="52"/>
    </row>
    <row r="6039" spans="1:1" x14ac:dyDescent="0.2">
      <c r="A6039" s="52"/>
    </row>
    <row r="6040" spans="1:1" x14ac:dyDescent="0.2">
      <c r="A6040" s="52"/>
    </row>
    <row r="6041" spans="1:1" x14ac:dyDescent="0.2">
      <c r="A6041" s="52"/>
    </row>
    <row r="6042" spans="1:1" x14ac:dyDescent="0.2">
      <c r="A6042" s="53"/>
    </row>
    <row r="6043" spans="1:1" x14ac:dyDescent="0.2">
      <c r="A6043" s="52"/>
    </row>
    <row r="6044" spans="1:1" x14ac:dyDescent="0.2">
      <c r="A6044" s="52"/>
    </row>
    <row r="6045" spans="1:1" x14ac:dyDescent="0.2">
      <c r="A6045" s="52"/>
    </row>
    <row r="6046" spans="1:1" x14ac:dyDescent="0.2">
      <c r="A6046" s="52"/>
    </row>
    <row r="6047" spans="1:1" x14ac:dyDescent="0.2">
      <c r="A6047" s="52"/>
    </row>
    <row r="6048" spans="1:1" x14ac:dyDescent="0.2">
      <c r="A6048" s="52"/>
    </row>
    <row r="6049" spans="1:1" x14ac:dyDescent="0.2">
      <c r="A6049" s="52"/>
    </row>
    <row r="6050" spans="1:1" x14ac:dyDescent="0.2">
      <c r="A6050" s="52"/>
    </row>
    <row r="6051" spans="1:1" x14ac:dyDescent="0.2">
      <c r="A6051" s="52"/>
    </row>
    <row r="6052" spans="1:1" x14ac:dyDescent="0.2">
      <c r="A6052" s="52"/>
    </row>
    <row r="6053" spans="1:1" x14ac:dyDescent="0.2">
      <c r="A6053" s="52"/>
    </row>
    <row r="6054" spans="1:1" x14ac:dyDescent="0.2">
      <c r="A6054" s="52"/>
    </row>
    <row r="6055" spans="1:1" x14ac:dyDescent="0.2">
      <c r="A6055" s="52"/>
    </row>
    <row r="6056" spans="1:1" x14ac:dyDescent="0.2">
      <c r="A6056" s="52"/>
    </row>
    <row r="6057" spans="1:1" x14ac:dyDescent="0.2">
      <c r="A6057" s="52"/>
    </row>
    <row r="6058" spans="1:1" x14ac:dyDescent="0.2">
      <c r="A6058" s="52"/>
    </row>
    <row r="6059" spans="1:1" x14ac:dyDescent="0.2">
      <c r="A6059" s="52"/>
    </row>
    <row r="6060" spans="1:1" x14ac:dyDescent="0.2">
      <c r="A6060" s="52"/>
    </row>
    <row r="6061" spans="1:1" x14ac:dyDescent="0.2">
      <c r="A6061" s="52"/>
    </row>
    <row r="6062" spans="1:1" x14ac:dyDescent="0.2">
      <c r="A6062" s="52"/>
    </row>
    <row r="6063" spans="1:1" x14ac:dyDescent="0.2">
      <c r="A6063" s="52"/>
    </row>
    <row r="6064" spans="1:1" x14ac:dyDescent="0.2">
      <c r="A6064" s="52"/>
    </row>
    <row r="6065" spans="1:1" x14ac:dyDescent="0.2">
      <c r="A6065" s="52"/>
    </row>
    <row r="6066" spans="1:1" x14ac:dyDescent="0.2">
      <c r="A6066" s="52"/>
    </row>
    <row r="6067" spans="1:1" x14ac:dyDescent="0.2">
      <c r="A6067" s="52"/>
    </row>
    <row r="6068" spans="1:1" x14ac:dyDescent="0.2">
      <c r="A6068" s="52"/>
    </row>
    <row r="6069" spans="1:1" x14ac:dyDescent="0.2">
      <c r="A6069" s="52"/>
    </row>
    <row r="6070" spans="1:1" x14ac:dyDescent="0.2">
      <c r="A6070" s="52"/>
    </row>
    <row r="6071" spans="1:1" x14ac:dyDescent="0.2">
      <c r="A6071" s="52"/>
    </row>
    <row r="6072" spans="1:1" x14ac:dyDescent="0.2">
      <c r="A6072" s="52"/>
    </row>
    <row r="6073" spans="1:1" x14ac:dyDescent="0.2">
      <c r="A6073" s="52"/>
    </row>
    <row r="6074" spans="1:1" x14ac:dyDescent="0.2">
      <c r="A6074" s="52"/>
    </row>
    <row r="6075" spans="1:1" x14ac:dyDescent="0.2">
      <c r="A6075" s="52"/>
    </row>
    <row r="6076" spans="1:1" x14ac:dyDescent="0.2">
      <c r="A6076" s="52"/>
    </row>
    <row r="6077" spans="1:1" x14ac:dyDescent="0.2">
      <c r="A6077" s="52"/>
    </row>
    <row r="6078" spans="1:1" x14ac:dyDescent="0.2">
      <c r="A6078" s="52"/>
    </row>
    <row r="6079" spans="1:1" x14ac:dyDescent="0.2">
      <c r="A6079" s="52"/>
    </row>
    <row r="6080" spans="1:1" x14ac:dyDescent="0.2">
      <c r="A6080" s="52"/>
    </row>
    <row r="6081" spans="1:1" x14ac:dyDescent="0.2">
      <c r="A6081" s="52"/>
    </row>
    <row r="6082" spans="1:1" x14ac:dyDescent="0.2">
      <c r="A6082" s="52"/>
    </row>
    <row r="6083" spans="1:1" x14ac:dyDescent="0.2">
      <c r="A6083" s="52"/>
    </row>
    <row r="6084" spans="1:1" x14ac:dyDescent="0.2">
      <c r="A6084" s="52"/>
    </row>
    <row r="6085" spans="1:1" x14ac:dyDescent="0.2">
      <c r="A6085" s="52"/>
    </row>
    <row r="6086" spans="1:1" x14ac:dyDescent="0.2">
      <c r="A6086" s="52"/>
    </row>
    <row r="6087" spans="1:1" x14ac:dyDescent="0.2">
      <c r="A6087" s="53"/>
    </row>
    <row r="6088" spans="1:1" x14ac:dyDescent="0.2">
      <c r="A6088" s="52"/>
    </row>
    <row r="6089" spans="1:1" x14ac:dyDescent="0.2">
      <c r="A6089" s="53"/>
    </row>
    <row r="6090" spans="1:1" x14ac:dyDescent="0.2">
      <c r="A6090" s="52"/>
    </row>
    <row r="6091" spans="1:1" x14ac:dyDescent="0.2">
      <c r="A6091" s="53"/>
    </row>
    <row r="6092" spans="1:1" x14ac:dyDescent="0.2">
      <c r="A6092" s="52"/>
    </row>
    <row r="6093" spans="1:1" x14ac:dyDescent="0.2">
      <c r="A6093" s="52"/>
    </row>
    <row r="6094" spans="1:1" x14ac:dyDescent="0.2">
      <c r="A6094" s="52"/>
    </row>
    <row r="6095" spans="1:1" x14ac:dyDescent="0.2">
      <c r="A6095" s="52"/>
    </row>
    <row r="6096" spans="1:1" x14ac:dyDescent="0.2">
      <c r="A6096" s="52"/>
    </row>
    <row r="6097" spans="1:1" x14ac:dyDescent="0.2">
      <c r="A6097" s="52"/>
    </row>
    <row r="6098" spans="1:1" x14ac:dyDescent="0.2">
      <c r="A6098" s="52"/>
    </row>
    <row r="6099" spans="1:1" x14ac:dyDescent="0.2">
      <c r="A6099" s="53"/>
    </row>
    <row r="6100" spans="1:1" x14ac:dyDescent="0.2">
      <c r="A6100" s="52"/>
    </row>
    <row r="6101" spans="1:1" x14ac:dyDescent="0.2">
      <c r="A6101" s="52"/>
    </row>
    <row r="6102" spans="1:1" x14ac:dyDescent="0.2">
      <c r="A6102" s="52"/>
    </row>
    <row r="6103" spans="1:1" x14ac:dyDescent="0.2">
      <c r="A6103" s="52"/>
    </row>
    <row r="6104" spans="1:1" x14ac:dyDescent="0.2">
      <c r="A6104" s="52"/>
    </row>
    <row r="6105" spans="1:1" x14ac:dyDescent="0.2">
      <c r="A6105" s="52"/>
    </row>
    <row r="6106" spans="1:1" x14ac:dyDescent="0.2">
      <c r="A6106" s="52"/>
    </row>
    <row r="6107" spans="1:1" x14ac:dyDescent="0.2">
      <c r="A6107" s="52"/>
    </row>
    <row r="6108" spans="1:1" x14ac:dyDescent="0.2">
      <c r="A6108" s="52"/>
    </row>
    <row r="6109" spans="1:1" x14ac:dyDescent="0.2">
      <c r="A6109" s="52"/>
    </row>
    <row r="6110" spans="1:1" x14ac:dyDescent="0.2">
      <c r="A6110" s="52"/>
    </row>
    <row r="6111" spans="1:1" x14ac:dyDescent="0.2">
      <c r="A6111" s="52"/>
    </row>
    <row r="6112" spans="1:1" x14ac:dyDescent="0.2">
      <c r="A6112" s="52"/>
    </row>
    <row r="6113" spans="1:1" x14ac:dyDescent="0.2">
      <c r="A6113" s="52"/>
    </row>
    <row r="6114" spans="1:1" x14ac:dyDescent="0.2">
      <c r="A6114" s="52"/>
    </row>
    <row r="6115" spans="1:1" x14ac:dyDescent="0.2">
      <c r="A6115" s="52"/>
    </row>
    <row r="6116" spans="1:1" x14ac:dyDescent="0.2">
      <c r="A6116" s="52"/>
    </row>
    <row r="6117" spans="1:1" x14ac:dyDescent="0.2">
      <c r="A6117" s="52"/>
    </row>
    <row r="6118" spans="1:1" x14ac:dyDescent="0.2">
      <c r="A6118" s="52"/>
    </row>
    <row r="6119" spans="1:1" x14ac:dyDescent="0.2">
      <c r="A6119" s="52"/>
    </row>
    <row r="6120" spans="1:1" x14ac:dyDescent="0.2">
      <c r="A6120" s="52"/>
    </row>
    <row r="6121" spans="1:1" x14ac:dyDescent="0.2">
      <c r="A6121" s="52"/>
    </row>
    <row r="6122" spans="1:1" x14ac:dyDescent="0.2">
      <c r="A6122" s="52"/>
    </row>
    <row r="6123" spans="1:1" x14ac:dyDescent="0.2">
      <c r="A6123" s="52"/>
    </row>
    <row r="6124" spans="1:1" x14ac:dyDescent="0.2">
      <c r="A6124" s="52"/>
    </row>
    <row r="6125" spans="1:1" x14ac:dyDescent="0.2">
      <c r="A6125" s="53"/>
    </row>
    <row r="6126" spans="1:1" x14ac:dyDescent="0.2">
      <c r="A6126" s="52"/>
    </row>
    <row r="6127" spans="1:1" x14ac:dyDescent="0.2">
      <c r="A6127" s="52"/>
    </row>
    <row r="6128" spans="1:1" x14ac:dyDescent="0.2">
      <c r="A6128" s="52"/>
    </row>
    <row r="6129" spans="1:1" x14ac:dyDescent="0.2">
      <c r="A6129" s="52"/>
    </row>
    <row r="6130" spans="1:1" x14ac:dyDescent="0.2">
      <c r="A6130" s="52"/>
    </row>
    <row r="6131" spans="1:1" x14ac:dyDescent="0.2">
      <c r="A6131" s="52"/>
    </row>
    <row r="6132" spans="1:1" x14ac:dyDescent="0.2">
      <c r="A6132" s="52"/>
    </row>
    <row r="6133" spans="1:1" x14ac:dyDescent="0.2">
      <c r="A6133" s="53"/>
    </row>
    <row r="6134" spans="1:1" x14ac:dyDescent="0.2">
      <c r="A6134" s="52"/>
    </row>
    <row r="6135" spans="1:1" x14ac:dyDescent="0.2">
      <c r="A6135" s="52"/>
    </row>
    <row r="6136" spans="1:1" x14ac:dyDescent="0.2">
      <c r="A6136" s="52"/>
    </row>
    <row r="6137" spans="1:1" x14ac:dyDescent="0.2">
      <c r="A6137" s="52"/>
    </row>
    <row r="6138" spans="1:1" x14ac:dyDescent="0.2">
      <c r="A6138" s="53"/>
    </row>
    <row r="6139" spans="1:1" x14ac:dyDescent="0.2">
      <c r="A6139" s="52"/>
    </row>
    <row r="6140" spans="1:1" x14ac:dyDescent="0.2">
      <c r="A6140" s="52"/>
    </row>
    <row r="6141" spans="1:1" x14ac:dyDescent="0.2">
      <c r="A6141" s="52"/>
    </row>
    <row r="6142" spans="1:1" x14ac:dyDescent="0.2">
      <c r="A6142" s="52"/>
    </row>
    <row r="6143" spans="1:1" x14ac:dyDescent="0.2">
      <c r="A6143" s="52"/>
    </row>
    <row r="6144" spans="1:1" x14ac:dyDescent="0.2">
      <c r="A6144" s="52"/>
    </row>
    <row r="6145" spans="1:1" x14ac:dyDescent="0.2">
      <c r="A6145" s="52"/>
    </row>
    <row r="6146" spans="1:1" x14ac:dyDescent="0.2">
      <c r="A6146" s="52"/>
    </row>
    <row r="6147" spans="1:1" x14ac:dyDescent="0.2">
      <c r="A6147" s="52"/>
    </row>
    <row r="6148" spans="1:1" x14ac:dyDescent="0.2">
      <c r="A6148" s="52"/>
    </row>
    <row r="6149" spans="1:1" x14ac:dyDescent="0.2">
      <c r="A6149" s="52"/>
    </row>
    <row r="6150" spans="1:1" x14ac:dyDescent="0.2">
      <c r="A6150" s="52"/>
    </row>
    <row r="6151" spans="1:1" x14ac:dyDescent="0.2">
      <c r="A6151" s="52"/>
    </row>
    <row r="6152" spans="1:1" x14ac:dyDescent="0.2">
      <c r="A6152" s="52"/>
    </row>
    <row r="6153" spans="1:1" x14ac:dyDescent="0.2">
      <c r="A6153" s="52"/>
    </row>
    <row r="6154" spans="1:1" x14ac:dyDescent="0.2">
      <c r="A6154" s="52"/>
    </row>
    <row r="6155" spans="1:1" x14ac:dyDescent="0.2">
      <c r="A6155" s="52"/>
    </row>
    <row r="6156" spans="1:1" x14ac:dyDescent="0.2">
      <c r="A6156" s="52"/>
    </row>
    <row r="6157" spans="1:1" x14ac:dyDescent="0.2">
      <c r="A6157" s="52"/>
    </row>
    <row r="6158" spans="1:1" x14ac:dyDescent="0.2">
      <c r="A6158" s="52"/>
    </row>
    <row r="6159" spans="1:1" x14ac:dyDescent="0.2">
      <c r="A6159" s="52"/>
    </row>
    <row r="6160" spans="1:1" x14ac:dyDescent="0.2">
      <c r="A6160" s="52"/>
    </row>
    <row r="6161" spans="1:1" x14ac:dyDescent="0.2">
      <c r="A6161" s="52"/>
    </row>
    <row r="6162" spans="1:1" x14ac:dyDescent="0.2">
      <c r="A6162" s="52"/>
    </row>
    <row r="6163" spans="1:1" x14ac:dyDescent="0.2">
      <c r="A6163" s="52"/>
    </row>
    <row r="6164" spans="1:1" x14ac:dyDescent="0.2">
      <c r="A6164" s="52"/>
    </row>
    <row r="6165" spans="1:1" x14ac:dyDescent="0.2">
      <c r="A6165" s="52"/>
    </row>
    <row r="6166" spans="1:1" x14ac:dyDescent="0.2">
      <c r="A6166" s="52"/>
    </row>
    <row r="6167" spans="1:1" x14ac:dyDescent="0.2">
      <c r="A6167" s="52"/>
    </row>
    <row r="6168" spans="1:1" x14ac:dyDescent="0.2">
      <c r="A6168" s="52"/>
    </row>
    <row r="6169" spans="1:1" x14ac:dyDescent="0.2">
      <c r="A6169" s="52"/>
    </row>
    <row r="6170" spans="1:1" x14ac:dyDescent="0.2">
      <c r="A6170" s="52"/>
    </row>
    <row r="6171" spans="1:1" x14ac:dyDescent="0.2">
      <c r="A6171" s="52"/>
    </row>
    <row r="6172" spans="1:1" x14ac:dyDescent="0.2">
      <c r="A6172" s="53"/>
    </row>
    <row r="6173" spans="1:1" x14ac:dyDescent="0.2">
      <c r="A6173" s="52"/>
    </row>
    <row r="6174" spans="1:1" x14ac:dyDescent="0.2">
      <c r="A6174" s="52"/>
    </row>
    <row r="6175" spans="1:1" x14ac:dyDescent="0.2">
      <c r="A6175" s="52"/>
    </row>
    <row r="6176" spans="1:1" x14ac:dyDescent="0.2">
      <c r="A6176" s="52"/>
    </row>
    <row r="6177" spans="1:1" x14ac:dyDescent="0.2">
      <c r="A6177" s="52"/>
    </row>
    <row r="6178" spans="1:1" x14ac:dyDescent="0.2">
      <c r="A6178" s="52"/>
    </row>
    <row r="6179" spans="1:1" x14ac:dyDescent="0.2">
      <c r="A6179" s="52"/>
    </row>
    <row r="6180" spans="1:1" x14ac:dyDescent="0.2">
      <c r="A6180" s="52"/>
    </row>
    <row r="6181" spans="1:1" x14ac:dyDescent="0.2">
      <c r="A6181" s="52"/>
    </row>
    <row r="6182" spans="1:1" x14ac:dyDescent="0.2">
      <c r="A6182" s="52"/>
    </row>
    <row r="6183" spans="1:1" x14ac:dyDescent="0.2">
      <c r="A6183" s="52"/>
    </row>
    <row r="6184" spans="1:1" x14ac:dyDescent="0.2">
      <c r="A6184" s="52"/>
    </row>
    <row r="6185" spans="1:1" x14ac:dyDescent="0.2">
      <c r="A6185" s="53"/>
    </row>
    <row r="6186" spans="1:1" x14ac:dyDescent="0.2">
      <c r="A6186" s="52"/>
    </row>
    <row r="6187" spans="1:1" x14ac:dyDescent="0.2">
      <c r="A6187" s="52"/>
    </row>
    <row r="6188" spans="1:1" x14ac:dyDescent="0.2">
      <c r="A6188" s="53"/>
    </row>
    <row r="6189" spans="1:1" x14ac:dyDescent="0.2">
      <c r="A6189" s="53"/>
    </row>
    <row r="6190" spans="1:1" x14ac:dyDescent="0.2">
      <c r="A6190" s="52"/>
    </row>
    <row r="6191" spans="1:1" x14ac:dyDescent="0.2">
      <c r="A6191" s="52"/>
    </row>
    <row r="6192" spans="1:1" x14ac:dyDescent="0.2">
      <c r="A6192" s="53"/>
    </row>
    <row r="6193" spans="1:1" x14ac:dyDescent="0.2">
      <c r="A6193" s="52"/>
    </row>
    <row r="6194" spans="1:1" x14ac:dyDescent="0.2">
      <c r="A6194" s="52"/>
    </row>
    <row r="6195" spans="1:1" x14ac:dyDescent="0.2">
      <c r="A6195" s="52"/>
    </row>
    <row r="6196" spans="1:1" x14ac:dyDescent="0.2">
      <c r="A6196" s="52"/>
    </row>
    <row r="6197" spans="1:1" x14ac:dyDescent="0.2">
      <c r="A6197" s="52"/>
    </row>
    <row r="6198" spans="1:1" x14ac:dyDescent="0.2">
      <c r="A6198" s="52"/>
    </row>
    <row r="6199" spans="1:1" x14ac:dyDescent="0.2">
      <c r="A6199" s="52"/>
    </row>
    <row r="6200" spans="1:1" x14ac:dyDescent="0.2">
      <c r="A6200" s="52"/>
    </row>
    <row r="6201" spans="1:1" x14ac:dyDescent="0.2">
      <c r="A6201" s="52"/>
    </row>
    <row r="6202" spans="1:1" x14ac:dyDescent="0.2">
      <c r="A6202" s="52"/>
    </row>
    <row r="6203" spans="1:1" x14ac:dyDescent="0.2">
      <c r="A6203" s="52"/>
    </row>
    <row r="6204" spans="1:1" x14ac:dyDescent="0.2">
      <c r="A6204" s="52"/>
    </row>
    <row r="6205" spans="1:1" x14ac:dyDescent="0.2">
      <c r="A6205" s="52"/>
    </row>
    <row r="6206" spans="1:1" x14ac:dyDescent="0.2">
      <c r="A6206" s="52"/>
    </row>
    <row r="6207" spans="1:1" x14ac:dyDescent="0.2">
      <c r="A6207" s="52"/>
    </row>
    <row r="6208" spans="1:1" x14ac:dyDescent="0.2">
      <c r="A6208" s="52"/>
    </row>
    <row r="6209" spans="1:1" x14ac:dyDescent="0.2">
      <c r="A6209" s="52"/>
    </row>
    <row r="6210" spans="1:1" x14ac:dyDescent="0.2">
      <c r="A6210" s="52"/>
    </row>
    <row r="6211" spans="1:1" x14ac:dyDescent="0.2">
      <c r="A6211" s="52"/>
    </row>
    <row r="6212" spans="1:1" x14ac:dyDescent="0.2">
      <c r="A6212" s="52"/>
    </row>
    <row r="6213" spans="1:1" x14ac:dyDescent="0.2">
      <c r="A6213" s="52"/>
    </row>
    <row r="6214" spans="1:1" x14ac:dyDescent="0.2">
      <c r="A6214" s="52"/>
    </row>
    <row r="6215" spans="1:1" x14ac:dyDescent="0.2">
      <c r="A6215" s="52"/>
    </row>
    <row r="6216" spans="1:1" x14ac:dyDescent="0.2">
      <c r="A6216" s="52"/>
    </row>
    <row r="6217" spans="1:1" x14ac:dyDescent="0.2">
      <c r="A6217" s="52"/>
    </row>
    <row r="6218" spans="1:1" x14ac:dyDescent="0.2">
      <c r="A6218" s="52"/>
    </row>
    <row r="6219" spans="1:1" x14ac:dyDescent="0.2">
      <c r="A6219" s="52"/>
    </row>
    <row r="6220" spans="1:1" x14ac:dyDescent="0.2">
      <c r="A6220" s="52"/>
    </row>
    <row r="6221" spans="1:1" x14ac:dyDescent="0.2">
      <c r="A6221" s="52"/>
    </row>
    <row r="6222" spans="1:1" x14ac:dyDescent="0.2">
      <c r="A6222" s="53"/>
    </row>
    <row r="6223" spans="1:1" x14ac:dyDescent="0.2">
      <c r="A6223" s="53"/>
    </row>
    <row r="6224" spans="1:1" x14ac:dyDescent="0.2">
      <c r="A6224" s="52"/>
    </row>
    <row r="6225" spans="1:1" x14ac:dyDescent="0.2">
      <c r="A6225" s="52"/>
    </row>
    <row r="6226" spans="1:1" x14ac:dyDescent="0.2">
      <c r="A6226" s="52"/>
    </row>
    <row r="6227" spans="1:1" x14ac:dyDescent="0.2">
      <c r="A6227" s="52"/>
    </row>
    <row r="6228" spans="1:1" x14ac:dyDescent="0.2">
      <c r="A6228" s="52"/>
    </row>
    <row r="6229" spans="1:1" x14ac:dyDescent="0.2">
      <c r="A6229" s="52"/>
    </row>
    <row r="6230" spans="1:1" x14ac:dyDescent="0.2">
      <c r="A6230" s="52"/>
    </row>
    <row r="6231" spans="1:1" x14ac:dyDescent="0.2">
      <c r="A6231" s="52"/>
    </row>
    <row r="6232" spans="1:1" x14ac:dyDescent="0.2">
      <c r="A6232" s="52"/>
    </row>
    <row r="6233" spans="1:1" x14ac:dyDescent="0.2">
      <c r="A6233" s="52"/>
    </row>
    <row r="6234" spans="1:1" x14ac:dyDescent="0.2">
      <c r="A6234" s="52"/>
    </row>
    <row r="6235" spans="1:1" x14ac:dyDescent="0.2">
      <c r="A6235" s="52"/>
    </row>
    <row r="6236" spans="1:1" x14ac:dyDescent="0.2">
      <c r="A6236" s="52"/>
    </row>
    <row r="6237" spans="1:1" x14ac:dyDescent="0.2">
      <c r="A6237" s="52"/>
    </row>
    <row r="6238" spans="1:1" x14ac:dyDescent="0.2">
      <c r="A6238" s="52"/>
    </row>
    <row r="6239" spans="1:1" x14ac:dyDescent="0.2">
      <c r="A6239" s="52"/>
    </row>
    <row r="6240" spans="1:1" x14ac:dyDescent="0.2">
      <c r="A6240" s="52"/>
    </row>
    <row r="6241" spans="1:1" x14ac:dyDescent="0.2">
      <c r="A6241" s="52"/>
    </row>
    <row r="6242" spans="1:1" x14ac:dyDescent="0.2">
      <c r="A6242" s="53"/>
    </row>
    <row r="6243" spans="1:1" x14ac:dyDescent="0.2">
      <c r="A6243" s="53"/>
    </row>
    <row r="6244" spans="1:1" x14ac:dyDescent="0.2">
      <c r="A6244" s="53"/>
    </row>
    <row r="6245" spans="1:1" x14ac:dyDescent="0.2">
      <c r="A6245" s="53"/>
    </row>
    <row r="6246" spans="1:1" x14ac:dyDescent="0.2">
      <c r="A6246" s="52"/>
    </row>
    <row r="6247" spans="1:1" x14ac:dyDescent="0.2">
      <c r="A6247" s="52"/>
    </row>
    <row r="6248" spans="1:1" x14ac:dyDescent="0.2">
      <c r="A6248" s="52"/>
    </row>
    <row r="6249" spans="1:1" x14ac:dyDescent="0.2">
      <c r="A6249" s="52"/>
    </row>
    <row r="6250" spans="1:1" x14ac:dyDescent="0.2">
      <c r="A6250" s="52"/>
    </row>
    <row r="6251" spans="1:1" x14ac:dyDescent="0.2">
      <c r="A6251" s="52"/>
    </row>
    <row r="6252" spans="1:1" x14ac:dyDescent="0.2">
      <c r="A6252" s="52"/>
    </row>
    <row r="6253" spans="1:1" x14ac:dyDescent="0.2">
      <c r="A6253" s="52"/>
    </row>
    <row r="6254" spans="1:1" x14ac:dyDescent="0.2">
      <c r="A6254" s="52"/>
    </row>
    <row r="6255" spans="1:1" x14ac:dyDescent="0.2">
      <c r="A6255" s="52"/>
    </row>
    <row r="6256" spans="1:1" x14ac:dyDescent="0.2">
      <c r="A6256" s="52"/>
    </row>
    <row r="6257" spans="1:1" x14ac:dyDescent="0.2">
      <c r="A6257" s="52"/>
    </row>
    <row r="6258" spans="1:1" x14ac:dyDescent="0.2">
      <c r="A6258" s="52"/>
    </row>
    <row r="6259" spans="1:1" x14ac:dyDescent="0.2">
      <c r="A6259" s="52"/>
    </row>
    <row r="6260" spans="1:1" x14ac:dyDescent="0.2">
      <c r="A6260" s="52"/>
    </row>
    <row r="6261" spans="1:1" x14ac:dyDescent="0.2">
      <c r="A6261" s="52"/>
    </row>
    <row r="6262" spans="1:1" x14ac:dyDescent="0.2">
      <c r="A6262" s="52"/>
    </row>
    <row r="6263" spans="1:1" x14ac:dyDescent="0.2">
      <c r="A6263" s="52"/>
    </row>
    <row r="6264" spans="1:1" x14ac:dyDescent="0.2">
      <c r="A6264" s="52"/>
    </row>
    <row r="6265" spans="1:1" x14ac:dyDescent="0.2">
      <c r="A6265" s="53"/>
    </row>
    <row r="6266" spans="1:1" x14ac:dyDescent="0.2">
      <c r="A6266" s="52"/>
    </row>
    <row r="6267" spans="1:1" x14ac:dyDescent="0.2">
      <c r="A6267" s="52"/>
    </row>
    <row r="6268" spans="1:1" x14ac:dyDescent="0.2">
      <c r="A6268" s="52"/>
    </row>
    <row r="6269" spans="1:1" x14ac:dyDescent="0.2">
      <c r="A6269" s="52"/>
    </row>
    <row r="6270" spans="1:1" x14ac:dyDescent="0.2">
      <c r="A6270" s="52"/>
    </row>
    <row r="6271" spans="1:1" x14ac:dyDescent="0.2">
      <c r="A6271" s="52"/>
    </row>
    <row r="6272" spans="1:1" x14ac:dyDescent="0.2">
      <c r="A6272" s="52"/>
    </row>
    <row r="6273" spans="1:1" x14ac:dyDescent="0.2">
      <c r="A6273" s="52"/>
    </row>
    <row r="6274" spans="1:1" x14ac:dyDescent="0.2">
      <c r="A6274" s="52"/>
    </row>
    <row r="6275" spans="1:1" x14ac:dyDescent="0.2">
      <c r="A6275" s="52"/>
    </row>
    <row r="6276" spans="1:1" x14ac:dyDescent="0.2">
      <c r="A6276" s="53"/>
    </row>
    <row r="6277" spans="1:1" x14ac:dyDescent="0.2">
      <c r="A6277" s="52"/>
    </row>
    <row r="6278" spans="1:1" x14ac:dyDescent="0.2">
      <c r="A6278" s="52"/>
    </row>
    <row r="6279" spans="1:1" x14ac:dyDescent="0.2">
      <c r="A6279" s="52"/>
    </row>
    <row r="6280" spans="1:1" x14ac:dyDescent="0.2">
      <c r="A6280" s="52"/>
    </row>
    <row r="6281" spans="1:1" x14ac:dyDescent="0.2">
      <c r="A6281" s="52"/>
    </row>
    <row r="6282" spans="1:1" x14ac:dyDescent="0.2">
      <c r="A6282" s="52"/>
    </row>
    <row r="6283" spans="1:1" x14ac:dyDescent="0.2">
      <c r="A6283" s="52"/>
    </row>
    <row r="6284" spans="1:1" x14ac:dyDescent="0.2">
      <c r="A6284" s="52"/>
    </row>
    <row r="6285" spans="1:1" x14ac:dyDescent="0.2">
      <c r="A6285" s="52"/>
    </row>
    <row r="6286" spans="1:1" x14ac:dyDescent="0.2">
      <c r="A6286" s="52"/>
    </row>
    <row r="6287" spans="1:1" x14ac:dyDescent="0.2">
      <c r="A6287" s="52"/>
    </row>
    <row r="6288" spans="1:1" x14ac:dyDescent="0.2">
      <c r="A6288" s="52"/>
    </row>
    <row r="6289" spans="1:1" x14ac:dyDescent="0.2">
      <c r="A6289" s="52"/>
    </row>
    <row r="6290" spans="1:1" x14ac:dyDescent="0.2">
      <c r="A6290" s="52"/>
    </row>
    <row r="6291" spans="1:1" x14ac:dyDescent="0.2">
      <c r="A6291" s="52"/>
    </row>
    <row r="6292" spans="1:1" x14ac:dyDescent="0.2">
      <c r="A6292" s="53"/>
    </row>
    <row r="6293" spans="1:1" x14ac:dyDescent="0.2">
      <c r="A6293" s="52"/>
    </row>
    <row r="6294" spans="1:1" x14ac:dyDescent="0.2">
      <c r="A6294" s="52"/>
    </row>
    <row r="6295" spans="1:1" x14ac:dyDescent="0.2">
      <c r="A6295" s="52"/>
    </row>
    <row r="6296" spans="1:1" x14ac:dyDescent="0.2">
      <c r="A6296" s="52"/>
    </row>
    <row r="6297" spans="1:1" x14ac:dyDescent="0.2">
      <c r="A6297" s="52"/>
    </row>
    <row r="6298" spans="1:1" x14ac:dyDescent="0.2">
      <c r="A6298" s="53"/>
    </row>
    <row r="6299" spans="1:1" x14ac:dyDescent="0.2">
      <c r="A6299" s="52"/>
    </row>
    <row r="6300" spans="1:1" x14ac:dyDescent="0.2">
      <c r="A6300" s="52"/>
    </row>
    <row r="6301" spans="1:1" x14ac:dyDescent="0.2">
      <c r="A6301" s="52"/>
    </row>
    <row r="6302" spans="1:1" x14ac:dyDescent="0.2">
      <c r="A6302" s="52"/>
    </row>
    <row r="6303" spans="1:1" x14ac:dyDescent="0.2">
      <c r="A6303" s="52"/>
    </row>
    <row r="6304" spans="1:1" x14ac:dyDescent="0.2">
      <c r="A6304" s="52"/>
    </row>
    <row r="6305" spans="1:1" x14ac:dyDescent="0.2">
      <c r="A6305" s="52"/>
    </row>
    <row r="6306" spans="1:1" x14ac:dyDescent="0.2">
      <c r="A6306" s="52"/>
    </row>
    <row r="6307" spans="1:1" x14ac:dyDescent="0.2">
      <c r="A6307" s="52"/>
    </row>
    <row r="6308" spans="1:1" x14ac:dyDescent="0.2">
      <c r="A6308" s="52"/>
    </row>
    <row r="6309" spans="1:1" x14ac:dyDescent="0.2">
      <c r="A6309" s="52"/>
    </row>
    <row r="6310" spans="1:1" x14ac:dyDescent="0.2">
      <c r="A6310" s="52"/>
    </row>
    <row r="6311" spans="1:1" x14ac:dyDescent="0.2">
      <c r="A6311" s="52"/>
    </row>
    <row r="6312" spans="1:1" x14ac:dyDescent="0.2">
      <c r="A6312" s="52"/>
    </row>
    <row r="6313" spans="1:1" x14ac:dyDescent="0.2">
      <c r="A6313" s="52"/>
    </row>
    <row r="6314" spans="1:1" x14ac:dyDescent="0.2">
      <c r="A6314" s="52"/>
    </row>
    <row r="6315" spans="1:1" x14ac:dyDescent="0.2">
      <c r="A6315" s="52"/>
    </row>
    <row r="6316" spans="1:1" x14ac:dyDescent="0.2">
      <c r="A6316" s="52"/>
    </row>
    <row r="6317" spans="1:1" x14ac:dyDescent="0.2">
      <c r="A6317" s="52"/>
    </row>
    <row r="6318" spans="1:1" x14ac:dyDescent="0.2">
      <c r="A6318" s="52"/>
    </row>
    <row r="6319" spans="1:1" x14ac:dyDescent="0.2">
      <c r="A6319" s="52"/>
    </row>
    <row r="6320" spans="1:1" x14ac:dyDescent="0.2">
      <c r="A6320" s="52"/>
    </row>
    <row r="6321" spans="1:1" x14ac:dyDescent="0.2">
      <c r="A6321" s="52"/>
    </row>
    <row r="6322" spans="1:1" x14ac:dyDescent="0.2">
      <c r="A6322" s="52"/>
    </row>
    <row r="6323" spans="1:1" x14ac:dyDescent="0.2">
      <c r="A6323" s="52"/>
    </row>
    <row r="6324" spans="1:1" x14ac:dyDescent="0.2">
      <c r="A6324" s="52"/>
    </row>
    <row r="6325" spans="1:1" x14ac:dyDescent="0.2">
      <c r="A6325" s="52"/>
    </row>
    <row r="6326" spans="1:1" x14ac:dyDescent="0.2">
      <c r="A6326" s="52"/>
    </row>
    <row r="6327" spans="1:1" x14ac:dyDescent="0.2">
      <c r="A6327" s="52"/>
    </row>
    <row r="6328" spans="1:1" x14ac:dyDescent="0.2">
      <c r="A6328" s="52"/>
    </row>
    <row r="6329" spans="1:1" x14ac:dyDescent="0.2">
      <c r="A6329" s="53"/>
    </row>
    <row r="6330" spans="1:1" x14ac:dyDescent="0.2">
      <c r="A6330" s="52"/>
    </row>
    <row r="6331" spans="1:1" x14ac:dyDescent="0.2">
      <c r="A6331" s="53"/>
    </row>
    <row r="6332" spans="1:1" x14ac:dyDescent="0.2">
      <c r="A6332" s="52"/>
    </row>
    <row r="6333" spans="1:1" x14ac:dyDescent="0.2">
      <c r="A6333" s="52"/>
    </row>
    <row r="6334" spans="1:1" x14ac:dyDescent="0.2">
      <c r="A6334" s="53"/>
    </row>
    <row r="6335" spans="1:1" x14ac:dyDescent="0.2">
      <c r="A6335" s="53"/>
    </row>
    <row r="6336" spans="1:1" x14ac:dyDescent="0.2">
      <c r="A6336" s="52"/>
    </row>
    <row r="6337" spans="1:1" x14ac:dyDescent="0.2">
      <c r="A6337" s="52"/>
    </row>
    <row r="6338" spans="1:1" x14ac:dyDescent="0.2">
      <c r="A6338" s="52"/>
    </row>
    <row r="6339" spans="1:1" x14ac:dyDescent="0.2">
      <c r="A6339" s="53"/>
    </row>
    <row r="6340" spans="1:1" x14ac:dyDescent="0.2">
      <c r="A6340" s="52"/>
    </row>
    <row r="6341" spans="1:1" x14ac:dyDescent="0.2">
      <c r="A6341" s="52"/>
    </row>
    <row r="6342" spans="1:1" x14ac:dyDescent="0.2">
      <c r="A6342" s="52"/>
    </row>
    <row r="6343" spans="1:1" x14ac:dyDescent="0.2">
      <c r="A6343" s="52"/>
    </row>
    <row r="6344" spans="1:1" x14ac:dyDescent="0.2">
      <c r="A6344" s="52"/>
    </row>
    <row r="6345" spans="1:1" x14ac:dyDescent="0.2">
      <c r="A6345" s="52"/>
    </row>
    <row r="6346" spans="1:1" x14ac:dyDescent="0.2">
      <c r="A6346" s="52"/>
    </row>
    <row r="6347" spans="1:1" x14ac:dyDescent="0.2">
      <c r="A6347" s="52"/>
    </row>
    <row r="6348" spans="1:1" x14ac:dyDescent="0.2">
      <c r="A6348" s="52"/>
    </row>
    <row r="6349" spans="1:1" x14ac:dyDescent="0.2">
      <c r="A6349" s="52"/>
    </row>
    <row r="6350" spans="1:1" x14ac:dyDescent="0.2">
      <c r="A6350" s="52"/>
    </row>
    <row r="6351" spans="1:1" x14ac:dyDescent="0.2">
      <c r="A6351" s="52"/>
    </row>
    <row r="6352" spans="1:1" x14ac:dyDescent="0.2">
      <c r="A6352" s="52"/>
    </row>
    <row r="6353" spans="1:1" x14ac:dyDescent="0.2">
      <c r="A6353" s="52"/>
    </row>
    <row r="6354" spans="1:1" x14ac:dyDescent="0.2">
      <c r="A6354" s="52"/>
    </row>
    <row r="6355" spans="1:1" x14ac:dyDescent="0.2">
      <c r="A6355" s="52"/>
    </row>
    <row r="6356" spans="1:1" x14ac:dyDescent="0.2">
      <c r="A6356" s="53"/>
    </row>
    <row r="6357" spans="1:1" x14ac:dyDescent="0.2">
      <c r="A6357" s="52"/>
    </row>
    <row r="6358" spans="1:1" x14ac:dyDescent="0.2">
      <c r="A6358" s="52"/>
    </row>
    <row r="6359" spans="1:1" x14ac:dyDescent="0.2">
      <c r="A6359" s="53"/>
    </row>
    <row r="6360" spans="1:1" x14ac:dyDescent="0.2">
      <c r="A6360" s="52"/>
    </row>
    <row r="6361" spans="1:1" x14ac:dyDescent="0.2">
      <c r="A6361" s="52"/>
    </row>
    <row r="6362" spans="1:1" x14ac:dyDescent="0.2">
      <c r="A6362" s="52"/>
    </row>
    <row r="6363" spans="1:1" x14ac:dyDescent="0.2">
      <c r="A6363" s="52"/>
    </row>
    <row r="6364" spans="1:1" x14ac:dyDescent="0.2">
      <c r="A6364" s="53"/>
    </row>
    <row r="6365" spans="1:1" x14ac:dyDescent="0.2">
      <c r="A6365" s="52"/>
    </row>
    <row r="6366" spans="1:1" x14ac:dyDescent="0.2">
      <c r="A6366" s="52"/>
    </row>
    <row r="6367" spans="1:1" x14ac:dyDescent="0.2">
      <c r="A6367" s="52"/>
    </row>
    <row r="6368" spans="1:1" x14ac:dyDescent="0.2">
      <c r="A6368" s="52"/>
    </row>
    <row r="6369" spans="1:1" x14ac:dyDescent="0.2">
      <c r="A6369" s="52"/>
    </row>
    <row r="6370" spans="1:1" x14ac:dyDescent="0.2">
      <c r="A6370" s="52"/>
    </row>
    <row r="6371" spans="1:1" x14ac:dyDescent="0.2">
      <c r="A6371" s="52"/>
    </row>
    <row r="6372" spans="1:1" x14ac:dyDescent="0.2">
      <c r="A6372" s="52"/>
    </row>
    <row r="6373" spans="1:1" x14ac:dyDescent="0.2">
      <c r="A6373" s="52"/>
    </row>
    <row r="6374" spans="1:1" x14ac:dyDescent="0.2">
      <c r="A6374" s="52"/>
    </row>
    <row r="6375" spans="1:1" x14ac:dyDescent="0.2">
      <c r="A6375" s="52"/>
    </row>
    <row r="6376" spans="1:1" x14ac:dyDescent="0.2">
      <c r="A6376" s="52"/>
    </row>
    <row r="6377" spans="1:1" x14ac:dyDescent="0.2">
      <c r="A6377" s="52"/>
    </row>
    <row r="6378" spans="1:1" x14ac:dyDescent="0.2">
      <c r="A6378" s="52"/>
    </row>
    <row r="6379" spans="1:1" x14ac:dyDescent="0.2">
      <c r="A6379" s="52"/>
    </row>
    <row r="6380" spans="1:1" x14ac:dyDescent="0.2">
      <c r="A6380" s="52"/>
    </row>
    <row r="6381" spans="1:1" x14ac:dyDescent="0.2">
      <c r="A6381" s="52"/>
    </row>
    <row r="6382" spans="1:1" x14ac:dyDescent="0.2">
      <c r="A6382" s="52"/>
    </row>
    <row r="6383" spans="1:1" x14ac:dyDescent="0.2">
      <c r="A6383" s="52"/>
    </row>
    <row r="6384" spans="1:1" x14ac:dyDescent="0.2">
      <c r="A6384" s="52"/>
    </row>
    <row r="6385" spans="1:1" x14ac:dyDescent="0.2">
      <c r="A6385" s="52"/>
    </row>
    <row r="6386" spans="1:1" x14ac:dyDescent="0.2">
      <c r="A6386" s="52"/>
    </row>
    <row r="6387" spans="1:1" x14ac:dyDescent="0.2">
      <c r="A6387" s="52"/>
    </row>
    <row r="6388" spans="1:1" x14ac:dyDescent="0.2">
      <c r="A6388" s="52"/>
    </row>
    <row r="6389" spans="1:1" x14ac:dyDescent="0.2">
      <c r="A6389" s="52"/>
    </row>
    <row r="6390" spans="1:1" x14ac:dyDescent="0.2">
      <c r="A6390" s="52"/>
    </row>
    <row r="6391" spans="1:1" x14ac:dyDescent="0.2">
      <c r="A6391" s="52"/>
    </row>
    <row r="6392" spans="1:1" x14ac:dyDescent="0.2">
      <c r="A6392" s="52"/>
    </row>
    <row r="6393" spans="1:1" x14ac:dyDescent="0.2">
      <c r="A6393" s="52"/>
    </row>
    <row r="6394" spans="1:1" x14ac:dyDescent="0.2">
      <c r="A6394" s="52"/>
    </row>
    <row r="6395" spans="1:1" x14ac:dyDescent="0.2">
      <c r="A6395" s="52"/>
    </row>
    <row r="6396" spans="1:1" x14ac:dyDescent="0.2">
      <c r="A6396" s="52"/>
    </row>
    <row r="6397" spans="1:1" x14ac:dyDescent="0.2">
      <c r="A6397" s="52"/>
    </row>
    <row r="6398" spans="1:1" x14ac:dyDescent="0.2">
      <c r="A6398" s="52"/>
    </row>
    <row r="6399" spans="1:1" x14ac:dyDescent="0.2">
      <c r="A6399" s="52"/>
    </row>
    <row r="6400" spans="1:1" x14ac:dyDescent="0.2">
      <c r="A6400" s="52"/>
    </row>
    <row r="6401" spans="1:1" x14ac:dyDescent="0.2">
      <c r="A6401" s="52"/>
    </row>
    <row r="6402" spans="1:1" x14ac:dyDescent="0.2">
      <c r="A6402" s="52"/>
    </row>
    <row r="6403" spans="1:1" x14ac:dyDescent="0.2">
      <c r="A6403" s="52"/>
    </row>
    <row r="6404" spans="1:1" x14ac:dyDescent="0.2">
      <c r="A6404" s="52"/>
    </row>
    <row r="6405" spans="1:1" x14ac:dyDescent="0.2">
      <c r="A6405" s="52"/>
    </row>
    <row r="6406" spans="1:1" x14ac:dyDescent="0.2">
      <c r="A6406" s="52"/>
    </row>
    <row r="6407" spans="1:1" x14ac:dyDescent="0.2">
      <c r="A6407" s="52"/>
    </row>
    <row r="6408" spans="1:1" x14ac:dyDescent="0.2">
      <c r="A6408" s="52"/>
    </row>
    <row r="6409" spans="1:1" x14ac:dyDescent="0.2">
      <c r="A6409" s="52"/>
    </row>
    <row r="6410" spans="1:1" x14ac:dyDescent="0.2">
      <c r="A6410" s="52"/>
    </row>
    <row r="6411" spans="1:1" x14ac:dyDescent="0.2">
      <c r="A6411" s="52"/>
    </row>
    <row r="6412" spans="1:1" x14ac:dyDescent="0.2">
      <c r="A6412" s="52"/>
    </row>
    <row r="6413" spans="1:1" x14ac:dyDescent="0.2">
      <c r="A6413" s="52"/>
    </row>
    <row r="6414" spans="1:1" x14ac:dyDescent="0.2">
      <c r="A6414" s="52"/>
    </row>
    <row r="6415" spans="1:1" x14ac:dyDescent="0.2">
      <c r="A6415" s="52"/>
    </row>
    <row r="6416" spans="1:1" x14ac:dyDescent="0.2">
      <c r="A6416" s="52"/>
    </row>
    <row r="6417" spans="1:1" x14ac:dyDescent="0.2">
      <c r="A6417" s="52"/>
    </row>
    <row r="6418" spans="1:1" x14ac:dyDescent="0.2">
      <c r="A6418" s="52"/>
    </row>
    <row r="6419" spans="1:1" x14ac:dyDescent="0.2">
      <c r="A6419" s="52"/>
    </row>
    <row r="6420" spans="1:1" x14ac:dyDescent="0.2">
      <c r="A6420" s="53"/>
    </row>
    <row r="6421" spans="1:1" x14ac:dyDescent="0.2">
      <c r="A6421" s="52"/>
    </row>
    <row r="6422" spans="1:1" x14ac:dyDescent="0.2">
      <c r="A6422" s="52"/>
    </row>
    <row r="6423" spans="1:1" x14ac:dyDescent="0.2">
      <c r="A6423" s="52"/>
    </row>
    <row r="6424" spans="1:1" x14ac:dyDescent="0.2">
      <c r="A6424" s="52"/>
    </row>
    <row r="6425" spans="1:1" x14ac:dyDescent="0.2">
      <c r="A6425" s="52"/>
    </row>
    <row r="6426" spans="1:1" x14ac:dyDescent="0.2">
      <c r="A6426" s="52"/>
    </row>
    <row r="6427" spans="1:1" x14ac:dyDescent="0.2">
      <c r="A6427" s="52"/>
    </row>
    <row r="6428" spans="1:1" x14ac:dyDescent="0.2">
      <c r="A6428" s="52"/>
    </row>
    <row r="6429" spans="1:1" x14ac:dyDescent="0.2">
      <c r="A6429" s="52"/>
    </row>
    <row r="6430" spans="1:1" x14ac:dyDescent="0.2">
      <c r="A6430" s="52"/>
    </row>
    <row r="6431" spans="1:1" x14ac:dyDescent="0.2">
      <c r="A6431" s="52"/>
    </row>
    <row r="6432" spans="1:1" x14ac:dyDescent="0.2">
      <c r="A6432" s="52"/>
    </row>
    <row r="6433" spans="1:1" x14ac:dyDescent="0.2">
      <c r="A6433" s="52"/>
    </row>
    <row r="6434" spans="1:1" x14ac:dyDescent="0.2">
      <c r="A6434" s="52"/>
    </row>
    <row r="6435" spans="1:1" x14ac:dyDescent="0.2">
      <c r="A6435" s="52"/>
    </row>
    <row r="6436" spans="1:1" x14ac:dyDescent="0.2">
      <c r="A6436" s="52"/>
    </row>
    <row r="6437" spans="1:1" x14ac:dyDescent="0.2">
      <c r="A6437" s="52"/>
    </row>
    <row r="6438" spans="1:1" x14ac:dyDescent="0.2">
      <c r="A6438" s="52"/>
    </row>
    <row r="6439" spans="1:1" x14ac:dyDescent="0.2">
      <c r="A6439" s="52"/>
    </row>
    <row r="6440" spans="1:1" x14ac:dyDescent="0.2">
      <c r="A6440" s="52"/>
    </row>
    <row r="6441" spans="1:1" x14ac:dyDescent="0.2">
      <c r="A6441" s="52"/>
    </row>
    <row r="6442" spans="1:1" x14ac:dyDescent="0.2">
      <c r="A6442" s="52"/>
    </row>
    <row r="6443" spans="1:1" x14ac:dyDescent="0.2">
      <c r="A6443" s="52"/>
    </row>
    <row r="6444" spans="1:1" x14ac:dyDescent="0.2">
      <c r="A6444" s="53"/>
    </row>
    <row r="6445" spans="1:1" x14ac:dyDescent="0.2">
      <c r="A6445" s="52"/>
    </row>
    <row r="6446" spans="1:1" x14ac:dyDescent="0.2">
      <c r="A6446" s="52"/>
    </row>
    <row r="6447" spans="1:1" x14ac:dyDescent="0.2">
      <c r="A6447" s="52"/>
    </row>
    <row r="6448" spans="1:1" x14ac:dyDescent="0.2">
      <c r="A6448" s="52"/>
    </row>
    <row r="6449" spans="1:1" x14ac:dyDescent="0.2">
      <c r="A6449" s="52"/>
    </row>
    <row r="6450" spans="1:1" x14ac:dyDescent="0.2">
      <c r="A6450" s="52"/>
    </row>
    <row r="6451" spans="1:1" x14ac:dyDescent="0.2">
      <c r="A6451" s="52"/>
    </row>
    <row r="6452" spans="1:1" x14ac:dyDescent="0.2">
      <c r="A6452" s="52"/>
    </row>
    <row r="6453" spans="1:1" x14ac:dyDescent="0.2">
      <c r="A6453" s="52"/>
    </row>
    <row r="6454" spans="1:1" x14ac:dyDescent="0.2">
      <c r="A6454" s="52"/>
    </row>
    <row r="6455" spans="1:1" x14ac:dyDescent="0.2">
      <c r="A6455" s="52"/>
    </row>
    <row r="6456" spans="1:1" x14ac:dyDescent="0.2">
      <c r="A6456" s="52"/>
    </row>
    <row r="6457" spans="1:1" x14ac:dyDescent="0.2">
      <c r="A6457" s="52"/>
    </row>
    <row r="6458" spans="1:1" x14ac:dyDescent="0.2">
      <c r="A6458" s="52"/>
    </row>
    <row r="6459" spans="1:1" x14ac:dyDescent="0.2">
      <c r="A6459" s="52"/>
    </row>
    <row r="6460" spans="1:1" x14ac:dyDescent="0.2">
      <c r="A6460" s="53"/>
    </row>
    <row r="6461" spans="1:1" x14ac:dyDescent="0.2">
      <c r="A6461" s="52"/>
    </row>
    <row r="6462" spans="1:1" x14ac:dyDescent="0.2">
      <c r="A6462" s="52"/>
    </row>
    <row r="6463" spans="1:1" x14ac:dyDescent="0.2">
      <c r="A6463" s="52"/>
    </row>
    <row r="6464" spans="1:1" x14ac:dyDescent="0.2">
      <c r="A6464" s="52"/>
    </row>
    <row r="6465" spans="1:1" x14ac:dyDescent="0.2">
      <c r="A6465" s="52"/>
    </row>
    <row r="6466" spans="1:1" x14ac:dyDescent="0.2">
      <c r="A6466" s="52"/>
    </row>
    <row r="6467" spans="1:1" x14ac:dyDescent="0.2">
      <c r="A6467" s="52"/>
    </row>
    <row r="6468" spans="1:1" x14ac:dyDescent="0.2">
      <c r="A6468" s="53"/>
    </row>
    <row r="6469" spans="1:1" x14ac:dyDescent="0.2">
      <c r="A6469" s="52"/>
    </row>
    <row r="6470" spans="1:1" x14ac:dyDescent="0.2">
      <c r="A6470" s="52"/>
    </row>
    <row r="6471" spans="1:1" x14ac:dyDescent="0.2">
      <c r="A6471" s="52"/>
    </row>
    <row r="6472" spans="1:1" x14ac:dyDescent="0.2">
      <c r="A6472" s="52"/>
    </row>
    <row r="6473" spans="1:1" x14ac:dyDescent="0.2">
      <c r="A6473" s="52"/>
    </row>
    <row r="6474" spans="1:1" x14ac:dyDescent="0.2">
      <c r="A6474" s="52"/>
    </row>
    <row r="6475" spans="1:1" x14ac:dyDescent="0.2">
      <c r="A6475" s="52"/>
    </row>
    <row r="6476" spans="1:1" x14ac:dyDescent="0.2">
      <c r="A6476" s="52"/>
    </row>
    <row r="6477" spans="1:1" x14ac:dyDescent="0.2">
      <c r="A6477" s="52"/>
    </row>
    <row r="6478" spans="1:1" x14ac:dyDescent="0.2">
      <c r="A6478" s="52"/>
    </row>
    <row r="6479" spans="1:1" x14ac:dyDescent="0.2">
      <c r="A6479" s="52"/>
    </row>
    <row r="6480" spans="1:1" x14ac:dyDescent="0.2">
      <c r="A6480" s="52"/>
    </row>
    <row r="6481" spans="1:1" x14ac:dyDescent="0.2">
      <c r="A6481" s="52"/>
    </row>
    <row r="6482" spans="1:1" x14ac:dyDescent="0.2">
      <c r="A6482" s="53"/>
    </row>
    <row r="6483" spans="1:1" x14ac:dyDescent="0.2">
      <c r="A6483" s="52"/>
    </row>
    <row r="6484" spans="1:1" x14ac:dyDescent="0.2">
      <c r="A6484" s="52"/>
    </row>
    <row r="6485" spans="1:1" x14ac:dyDescent="0.2">
      <c r="A6485" s="52"/>
    </row>
    <row r="6486" spans="1:1" x14ac:dyDescent="0.2">
      <c r="A6486" s="52"/>
    </row>
    <row r="6487" spans="1:1" x14ac:dyDescent="0.2">
      <c r="A6487" s="52"/>
    </row>
    <row r="6488" spans="1:1" x14ac:dyDescent="0.2">
      <c r="A6488" s="52"/>
    </row>
    <row r="6489" spans="1:1" x14ac:dyDescent="0.2">
      <c r="A6489" s="52"/>
    </row>
    <row r="6490" spans="1:1" x14ac:dyDescent="0.2">
      <c r="A6490" s="52"/>
    </row>
    <row r="6491" spans="1:1" x14ac:dyDescent="0.2">
      <c r="A6491" s="52"/>
    </row>
    <row r="6492" spans="1:1" x14ac:dyDescent="0.2">
      <c r="A6492" s="52"/>
    </row>
    <row r="6493" spans="1:1" x14ac:dyDescent="0.2">
      <c r="A6493" s="52"/>
    </row>
    <row r="6494" spans="1:1" x14ac:dyDescent="0.2">
      <c r="A6494" s="52"/>
    </row>
    <row r="6495" spans="1:1" x14ac:dyDescent="0.2">
      <c r="A6495" s="52"/>
    </row>
    <row r="6496" spans="1:1" x14ac:dyDescent="0.2">
      <c r="A6496" s="52"/>
    </row>
    <row r="6497" spans="1:1" x14ac:dyDescent="0.2">
      <c r="A6497" s="52"/>
    </row>
    <row r="6498" spans="1:1" x14ac:dyDescent="0.2">
      <c r="A6498" s="52"/>
    </row>
    <row r="6499" spans="1:1" x14ac:dyDescent="0.2">
      <c r="A6499" s="52"/>
    </row>
    <row r="6500" spans="1:1" x14ac:dyDescent="0.2">
      <c r="A6500" s="52"/>
    </row>
    <row r="6501" spans="1:1" x14ac:dyDescent="0.2">
      <c r="A6501" s="52"/>
    </row>
    <row r="6502" spans="1:1" x14ac:dyDescent="0.2">
      <c r="A6502" s="52"/>
    </row>
    <row r="6503" spans="1:1" x14ac:dyDescent="0.2">
      <c r="A6503" s="52"/>
    </row>
    <row r="6504" spans="1:1" x14ac:dyDescent="0.2">
      <c r="A6504" s="52"/>
    </row>
    <row r="6505" spans="1:1" x14ac:dyDescent="0.2">
      <c r="A6505" s="53"/>
    </row>
    <row r="6506" spans="1:1" x14ac:dyDescent="0.2">
      <c r="A6506" s="52"/>
    </row>
    <row r="6507" spans="1:1" x14ac:dyDescent="0.2">
      <c r="A6507" s="52"/>
    </row>
    <row r="6508" spans="1:1" x14ac:dyDescent="0.2">
      <c r="A6508" s="52"/>
    </row>
    <row r="6509" spans="1:1" x14ac:dyDescent="0.2">
      <c r="A6509" s="52"/>
    </row>
    <row r="6510" spans="1:1" x14ac:dyDescent="0.2">
      <c r="A6510" s="52"/>
    </row>
    <row r="6511" spans="1:1" x14ac:dyDescent="0.2">
      <c r="A6511" s="52"/>
    </row>
    <row r="6512" spans="1:1" x14ac:dyDescent="0.2">
      <c r="A6512" s="52"/>
    </row>
    <row r="6513" spans="1:1" x14ac:dyDescent="0.2">
      <c r="A6513" s="52"/>
    </row>
    <row r="6514" spans="1:1" x14ac:dyDescent="0.2">
      <c r="A6514" s="52"/>
    </row>
    <row r="6515" spans="1:1" x14ac:dyDescent="0.2">
      <c r="A6515" s="52"/>
    </row>
    <row r="6516" spans="1:1" x14ac:dyDescent="0.2">
      <c r="A6516" s="52"/>
    </row>
    <row r="6517" spans="1:1" x14ac:dyDescent="0.2">
      <c r="A6517" s="52"/>
    </row>
    <row r="6518" spans="1:1" x14ac:dyDescent="0.2">
      <c r="A6518" s="52"/>
    </row>
    <row r="6519" spans="1:1" x14ac:dyDescent="0.2">
      <c r="A6519" s="52"/>
    </row>
    <row r="6520" spans="1:1" x14ac:dyDescent="0.2">
      <c r="A6520" s="52"/>
    </row>
    <row r="6521" spans="1:1" x14ac:dyDescent="0.2">
      <c r="A6521" s="52"/>
    </row>
    <row r="6522" spans="1:1" x14ac:dyDescent="0.2">
      <c r="A6522" s="52"/>
    </row>
    <row r="6523" spans="1:1" x14ac:dyDescent="0.2">
      <c r="A6523" s="52"/>
    </row>
    <row r="6524" spans="1:1" x14ac:dyDescent="0.2">
      <c r="A6524" s="52"/>
    </row>
    <row r="6525" spans="1:1" x14ac:dyDescent="0.2">
      <c r="A6525" s="52"/>
    </row>
    <row r="6526" spans="1:1" x14ac:dyDescent="0.2">
      <c r="A6526" s="52"/>
    </row>
    <row r="6527" spans="1:1" x14ac:dyDescent="0.2">
      <c r="A6527" s="52"/>
    </row>
    <row r="6528" spans="1:1" x14ac:dyDescent="0.2">
      <c r="A6528" s="52"/>
    </row>
    <row r="6529" spans="1:1" x14ac:dyDescent="0.2">
      <c r="A6529" s="52"/>
    </row>
    <row r="6530" spans="1:1" x14ac:dyDescent="0.2">
      <c r="A6530" s="52"/>
    </row>
    <row r="6531" spans="1:1" x14ac:dyDescent="0.2">
      <c r="A6531" s="52"/>
    </row>
    <row r="6532" spans="1:1" x14ac:dyDescent="0.2">
      <c r="A6532" s="52"/>
    </row>
    <row r="6533" spans="1:1" x14ac:dyDescent="0.2">
      <c r="A6533" s="52"/>
    </row>
    <row r="6534" spans="1:1" x14ac:dyDescent="0.2">
      <c r="A6534" s="52"/>
    </row>
    <row r="6535" spans="1:1" x14ac:dyDescent="0.2">
      <c r="A6535" s="52"/>
    </row>
    <row r="6536" spans="1:1" x14ac:dyDescent="0.2">
      <c r="A6536" s="52"/>
    </row>
    <row r="6537" spans="1:1" x14ac:dyDescent="0.2">
      <c r="A6537" s="52"/>
    </row>
    <row r="6538" spans="1:1" x14ac:dyDescent="0.2">
      <c r="A6538" s="52"/>
    </row>
    <row r="6539" spans="1:1" x14ac:dyDescent="0.2">
      <c r="A6539" s="52"/>
    </row>
    <row r="6540" spans="1:1" x14ac:dyDescent="0.2">
      <c r="A6540" s="52"/>
    </row>
    <row r="6541" spans="1:1" x14ac:dyDescent="0.2">
      <c r="A6541" s="52"/>
    </row>
    <row r="6542" spans="1:1" x14ac:dyDescent="0.2">
      <c r="A6542" s="52"/>
    </row>
    <row r="6543" spans="1:1" x14ac:dyDescent="0.2">
      <c r="A6543" s="52"/>
    </row>
    <row r="6544" spans="1:1" x14ac:dyDescent="0.2">
      <c r="A6544" s="52"/>
    </row>
    <row r="6545" spans="1:1" x14ac:dyDescent="0.2">
      <c r="A6545" s="52"/>
    </row>
    <row r="6546" spans="1:1" x14ac:dyDescent="0.2">
      <c r="A6546" s="52"/>
    </row>
    <row r="6547" spans="1:1" x14ac:dyDescent="0.2">
      <c r="A6547" s="52"/>
    </row>
    <row r="6548" spans="1:1" x14ac:dyDescent="0.2">
      <c r="A6548" s="52"/>
    </row>
    <row r="6549" spans="1:1" x14ac:dyDescent="0.2">
      <c r="A6549" s="53"/>
    </row>
    <row r="6550" spans="1:1" x14ac:dyDescent="0.2">
      <c r="A6550" s="52"/>
    </row>
    <row r="6551" spans="1:1" x14ac:dyDescent="0.2">
      <c r="A6551" s="52"/>
    </row>
    <row r="6552" spans="1:1" x14ac:dyDescent="0.2">
      <c r="A6552" s="52"/>
    </row>
    <row r="6553" spans="1:1" x14ac:dyDescent="0.2">
      <c r="A6553" s="52"/>
    </row>
    <row r="6554" spans="1:1" x14ac:dyDescent="0.2">
      <c r="A6554" s="52"/>
    </row>
    <row r="6555" spans="1:1" x14ac:dyDescent="0.2">
      <c r="A6555" s="52"/>
    </row>
    <row r="6556" spans="1:1" x14ac:dyDescent="0.2">
      <c r="A6556" s="52"/>
    </row>
    <row r="6557" spans="1:1" x14ac:dyDescent="0.2">
      <c r="A6557" s="52"/>
    </row>
    <row r="6558" spans="1:1" x14ac:dyDescent="0.2">
      <c r="A6558" s="52"/>
    </row>
    <row r="6559" spans="1:1" x14ac:dyDescent="0.2">
      <c r="A6559" s="52"/>
    </row>
    <row r="6560" spans="1:1" x14ac:dyDescent="0.2">
      <c r="A6560" s="52"/>
    </row>
    <row r="6561" spans="1:1" x14ac:dyDescent="0.2">
      <c r="A6561" s="52"/>
    </row>
    <row r="6562" spans="1:1" x14ac:dyDescent="0.2">
      <c r="A6562" s="52"/>
    </row>
    <row r="6563" spans="1:1" x14ac:dyDescent="0.2">
      <c r="A6563" s="52"/>
    </row>
    <row r="6564" spans="1:1" x14ac:dyDescent="0.2">
      <c r="A6564" s="52"/>
    </row>
    <row r="6565" spans="1:1" x14ac:dyDescent="0.2">
      <c r="A6565" s="53"/>
    </row>
    <row r="6566" spans="1:1" x14ac:dyDescent="0.2">
      <c r="A6566" s="52"/>
    </row>
    <row r="6567" spans="1:1" x14ac:dyDescent="0.2">
      <c r="A6567" s="52"/>
    </row>
    <row r="6568" spans="1:1" x14ac:dyDescent="0.2">
      <c r="A6568" s="52"/>
    </row>
    <row r="6569" spans="1:1" x14ac:dyDescent="0.2">
      <c r="A6569" s="52"/>
    </row>
    <row r="6570" spans="1:1" x14ac:dyDescent="0.2">
      <c r="A6570" s="52"/>
    </row>
    <row r="6571" spans="1:1" x14ac:dyDescent="0.2">
      <c r="A6571" s="52"/>
    </row>
    <row r="6572" spans="1:1" x14ac:dyDescent="0.2">
      <c r="A6572" s="52"/>
    </row>
    <row r="6573" spans="1:1" x14ac:dyDescent="0.2">
      <c r="A6573" s="52"/>
    </row>
    <row r="6574" spans="1:1" x14ac:dyDescent="0.2">
      <c r="A6574" s="52"/>
    </row>
    <row r="6575" spans="1:1" x14ac:dyDescent="0.2">
      <c r="A6575" s="53"/>
    </row>
    <row r="6576" spans="1:1" x14ac:dyDescent="0.2">
      <c r="A6576" s="52"/>
    </row>
    <row r="6577" spans="1:1" x14ac:dyDescent="0.2">
      <c r="A6577" s="52"/>
    </row>
    <row r="6578" spans="1:1" x14ac:dyDescent="0.2">
      <c r="A6578" s="52"/>
    </row>
    <row r="6579" spans="1:1" x14ac:dyDescent="0.2">
      <c r="A6579" s="52"/>
    </row>
    <row r="6580" spans="1:1" x14ac:dyDescent="0.2">
      <c r="A6580" s="52"/>
    </row>
    <row r="6581" spans="1:1" x14ac:dyDescent="0.2">
      <c r="A6581" s="52"/>
    </row>
    <row r="6582" spans="1:1" x14ac:dyDescent="0.2">
      <c r="A6582" s="52"/>
    </row>
    <row r="6583" spans="1:1" x14ac:dyDescent="0.2">
      <c r="A6583" s="52"/>
    </row>
    <row r="6584" spans="1:1" x14ac:dyDescent="0.2">
      <c r="A6584" s="52"/>
    </row>
    <row r="6585" spans="1:1" x14ac:dyDescent="0.2">
      <c r="A6585" s="52"/>
    </row>
    <row r="6586" spans="1:1" x14ac:dyDescent="0.2">
      <c r="A6586" s="52"/>
    </row>
    <row r="6587" spans="1:1" x14ac:dyDescent="0.2">
      <c r="A6587" s="52"/>
    </row>
    <row r="6588" spans="1:1" x14ac:dyDescent="0.2">
      <c r="A6588" s="53"/>
    </row>
    <row r="6589" spans="1:1" x14ac:dyDescent="0.2">
      <c r="A6589" s="52"/>
    </row>
    <row r="6590" spans="1:1" x14ac:dyDescent="0.2">
      <c r="A6590" s="52"/>
    </row>
    <row r="6591" spans="1:1" x14ac:dyDescent="0.2">
      <c r="A6591" s="52"/>
    </row>
    <row r="6592" spans="1:1" x14ac:dyDescent="0.2">
      <c r="A6592" s="52"/>
    </row>
    <row r="6593" spans="1:1" x14ac:dyDescent="0.2">
      <c r="A6593" s="53"/>
    </row>
    <row r="6594" spans="1:1" x14ac:dyDescent="0.2">
      <c r="A6594" s="53"/>
    </row>
    <row r="6595" spans="1:1" x14ac:dyDescent="0.2">
      <c r="A6595" s="52"/>
    </row>
    <row r="6596" spans="1:1" x14ac:dyDescent="0.2">
      <c r="A6596" s="52"/>
    </row>
    <row r="6597" spans="1:1" x14ac:dyDescent="0.2">
      <c r="A6597" s="52"/>
    </row>
    <row r="6598" spans="1:1" x14ac:dyDescent="0.2">
      <c r="A6598" s="52"/>
    </row>
    <row r="6599" spans="1:1" x14ac:dyDescent="0.2">
      <c r="A6599" s="52"/>
    </row>
    <row r="6600" spans="1:1" x14ac:dyDescent="0.2">
      <c r="A6600" s="52"/>
    </row>
    <row r="6601" spans="1:1" x14ac:dyDescent="0.2">
      <c r="A6601" s="52"/>
    </row>
    <row r="6602" spans="1:1" x14ac:dyDescent="0.2">
      <c r="A6602" s="52"/>
    </row>
    <row r="6603" spans="1:1" x14ac:dyDescent="0.2">
      <c r="A6603" s="52"/>
    </row>
    <row r="6604" spans="1:1" x14ac:dyDescent="0.2">
      <c r="A6604" s="52"/>
    </row>
    <row r="6605" spans="1:1" x14ac:dyDescent="0.2">
      <c r="A6605" s="52"/>
    </row>
    <row r="6606" spans="1:1" x14ac:dyDescent="0.2">
      <c r="A6606" s="52"/>
    </row>
    <row r="6607" spans="1:1" x14ac:dyDescent="0.2">
      <c r="A6607" s="52"/>
    </row>
    <row r="6608" spans="1:1" x14ac:dyDescent="0.2">
      <c r="A6608" s="53"/>
    </row>
    <row r="6609" spans="1:1" x14ac:dyDescent="0.2">
      <c r="A6609" s="53"/>
    </row>
    <row r="6610" spans="1:1" x14ac:dyDescent="0.2">
      <c r="A6610" s="52"/>
    </row>
    <row r="6611" spans="1:1" x14ac:dyDescent="0.2">
      <c r="A6611" s="52"/>
    </row>
    <row r="6612" spans="1:1" x14ac:dyDescent="0.2">
      <c r="A6612" s="52"/>
    </row>
    <row r="6613" spans="1:1" x14ac:dyDescent="0.2">
      <c r="A6613" s="52"/>
    </row>
    <row r="6614" spans="1:1" x14ac:dyDescent="0.2">
      <c r="A6614" s="53"/>
    </row>
    <row r="6615" spans="1:1" x14ac:dyDescent="0.2">
      <c r="A6615" s="52"/>
    </row>
    <row r="6616" spans="1:1" x14ac:dyDescent="0.2">
      <c r="A6616" s="52"/>
    </row>
    <row r="6617" spans="1:1" x14ac:dyDescent="0.2">
      <c r="A6617" s="52"/>
    </row>
    <row r="6618" spans="1:1" x14ac:dyDescent="0.2">
      <c r="A6618" s="52"/>
    </row>
    <row r="6619" spans="1:1" x14ac:dyDescent="0.2">
      <c r="A6619" s="52"/>
    </row>
    <row r="6620" spans="1:1" x14ac:dyDescent="0.2">
      <c r="A6620" s="52"/>
    </row>
    <row r="6621" spans="1:1" x14ac:dyDescent="0.2">
      <c r="A6621" s="52"/>
    </row>
    <row r="6622" spans="1:1" x14ac:dyDescent="0.2">
      <c r="A6622" s="52"/>
    </row>
    <row r="6623" spans="1:1" x14ac:dyDescent="0.2">
      <c r="A6623" s="52"/>
    </row>
    <row r="6624" spans="1:1" x14ac:dyDescent="0.2">
      <c r="A6624" s="52"/>
    </row>
    <row r="6625" spans="1:1" x14ac:dyDescent="0.2">
      <c r="A6625" s="52"/>
    </row>
    <row r="6626" spans="1:1" x14ac:dyDescent="0.2">
      <c r="A6626" s="52"/>
    </row>
    <row r="6627" spans="1:1" x14ac:dyDescent="0.2">
      <c r="A6627" s="52"/>
    </row>
    <row r="6628" spans="1:1" x14ac:dyDescent="0.2">
      <c r="A6628" s="52"/>
    </row>
    <row r="6629" spans="1:1" x14ac:dyDescent="0.2">
      <c r="A6629" s="53"/>
    </row>
    <row r="6630" spans="1:1" x14ac:dyDescent="0.2">
      <c r="A6630" s="52"/>
    </row>
    <row r="6631" spans="1:1" x14ac:dyDescent="0.2">
      <c r="A6631" s="53"/>
    </row>
    <row r="6632" spans="1:1" x14ac:dyDescent="0.2">
      <c r="A6632" s="52"/>
    </row>
    <row r="6633" spans="1:1" x14ac:dyDescent="0.2">
      <c r="A6633" s="52"/>
    </row>
    <row r="6634" spans="1:1" x14ac:dyDescent="0.2">
      <c r="A6634" s="52"/>
    </row>
    <row r="6635" spans="1:1" x14ac:dyDescent="0.2">
      <c r="A6635" s="52"/>
    </row>
    <row r="6636" spans="1:1" x14ac:dyDescent="0.2">
      <c r="A6636" s="52"/>
    </row>
    <row r="6637" spans="1:1" x14ac:dyDescent="0.2">
      <c r="A6637" s="52"/>
    </row>
    <row r="6638" spans="1:1" x14ac:dyDescent="0.2">
      <c r="A6638" s="52"/>
    </row>
    <row r="6639" spans="1:1" x14ac:dyDescent="0.2">
      <c r="A6639" s="52"/>
    </row>
    <row r="6640" spans="1:1" x14ac:dyDescent="0.2">
      <c r="A6640" s="52"/>
    </row>
    <row r="6641" spans="1:1" x14ac:dyDescent="0.2">
      <c r="A6641" s="52"/>
    </row>
    <row r="6642" spans="1:1" x14ac:dyDescent="0.2">
      <c r="A6642" s="52"/>
    </row>
    <row r="6643" spans="1:1" x14ac:dyDescent="0.2">
      <c r="A6643" s="52"/>
    </row>
    <row r="6644" spans="1:1" x14ac:dyDescent="0.2">
      <c r="A6644" s="53"/>
    </row>
    <row r="6645" spans="1:1" x14ac:dyDescent="0.2">
      <c r="A6645" s="52"/>
    </row>
    <row r="6646" spans="1:1" x14ac:dyDescent="0.2">
      <c r="A6646" s="52"/>
    </row>
    <row r="6647" spans="1:1" x14ac:dyDescent="0.2">
      <c r="A6647" s="52"/>
    </row>
    <row r="6648" spans="1:1" x14ac:dyDescent="0.2">
      <c r="A6648" s="53"/>
    </row>
    <row r="6649" spans="1:1" x14ac:dyDescent="0.2">
      <c r="A6649" s="52"/>
    </row>
    <row r="6650" spans="1:1" x14ac:dyDescent="0.2">
      <c r="A6650" s="52"/>
    </row>
    <row r="6651" spans="1:1" x14ac:dyDescent="0.2">
      <c r="A6651" s="52"/>
    </row>
    <row r="6652" spans="1:1" x14ac:dyDescent="0.2">
      <c r="A6652" s="53"/>
    </row>
    <row r="6653" spans="1:1" x14ac:dyDescent="0.2">
      <c r="A6653" s="52"/>
    </row>
    <row r="6654" spans="1:1" x14ac:dyDescent="0.2">
      <c r="A6654" s="52"/>
    </row>
    <row r="6655" spans="1:1" x14ac:dyDescent="0.2">
      <c r="A6655" s="52"/>
    </row>
    <row r="6656" spans="1:1" x14ac:dyDescent="0.2">
      <c r="A6656" s="52"/>
    </row>
    <row r="6657" spans="1:1" x14ac:dyDescent="0.2">
      <c r="A6657" s="52"/>
    </row>
    <row r="6658" spans="1:1" x14ac:dyDescent="0.2">
      <c r="A6658" s="52"/>
    </row>
    <row r="6659" spans="1:1" x14ac:dyDescent="0.2">
      <c r="A6659" s="52"/>
    </row>
    <row r="6660" spans="1:1" x14ac:dyDescent="0.2">
      <c r="A6660" s="52"/>
    </row>
    <row r="6661" spans="1:1" x14ac:dyDescent="0.2">
      <c r="A6661" s="52"/>
    </row>
    <row r="6662" spans="1:1" x14ac:dyDescent="0.2">
      <c r="A6662" s="52"/>
    </row>
    <row r="6663" spans="1:1" x14ac:dyDescent="0.2">
      <c r="A6663" s="52"/>
    </row>
    <row r="6664" spans="1:1" x14ac:dyDescent="0.2">
      <c r="A6664" s="52"/>
    </row>
    <row r="6665" spans="1:1" x14ac:dyDescent="0.2">
      <c r="A6665" s="52"/>
    </row>
    <row r="6666" spans="1:1" x14ac:dyDescent="0.2">
      <c r="A6666" s="52"/>
    </row>
    <row r="6667" spans="1:1" x14ac:dyDescent="0.2">
      <c r="A6667" s="52"/>
    </row>
    <row r="6668" spans="1:1" x14ac:dyDescent="0.2">
      <c r="A6668" s="52"/>
    </row>
    <row r="6669" spans="1:1" x14ac:dyDescent="0.2">
      <c r="A6669" s="52"/>
    </row>
    <row r="6670" spans="1:1" x14ac:dyDescent="0.2">
      <c r="A6670" s="52"/>
    </row>
    <row r="6671" spans="1:1" x14ac:dyDescent="0.2">
      <c r="A6671" s="52"/>
    </row>
    <row r="6672" spans="1:1" x14ac:dyDescent="0.2">
      <c r="A6672" s="52"/>
    </row>
    <row r="6673" spans="1:1" x14ac:dyDescent="0.2">
      <c r="A6673" s="52"/>
    </row>
    <row r="6674" spans="1:1" x14ac:dyDescent="0.2">
      <c r="A6674" s="52"/>
    </row>
    <row r="6675" spans="1:1" x14ac:dyDescent="0.2">
      <c r="A6675" s="52"/>
    </row>
    <row r="6676" spans="1:1" x14ac:dyDescent="0.2">
      <c r="A6676" s="52"/>
    </row>
    <row r="6677" spans="1:1" x14ac:dyDescent="0.2">
      <c r="A6677" s="52"/>
    </row>
    <row r="6678" spans="1:1" x14ac:dyDescent="0.2">
      <c r="A6678" s="52"/>
    </row>
    <row r="6679" spans="1:1" x14ac:dyDescent="0.2">
      <c r="A6679" s="52"/>
    </row>
    <row r="6680" spans="1:1" x14ac:dyDescent="0.2">
      <c r="A6680" s="52"/>
    </row>
    <row r="6681" spans="1:1" x14ac:dyDescent="0.2">
      <c r="A6681" s="52"/>
    </row>
    <row r="6682" spans="1:1" x14ac:dyDescent="0.2">
      <c r="A6682" s="52"/>
    </row>
    <row r="6683" spans="1:1" x14ac:dyDescent="0.2">
      <c r="A6683" s="52"/>
    </row>
    <row r="6684" spans="1:1" x14ac:dyDescent="0.2">
      <c r="A6684" s="52"/>
    </row>
    <row r="6685" spans="1:1" x14ac:dyDescent="0.2">
      <c r="A6685" s="52"/>
    </row>
    <row r="6686" spans="1:1" x14ac:dyDescent="0.2">
      <c r="A6686" s="52"/>
    </row>
    <row r="6687" spans="1:1" x14ac:dyDescent="0.2">
      <c r="A6687" s="53"/>
    </row>
    <row r="6688" spans="1:1" x14ac:dyDescent="0.2">
      <c r="A6688" s="52"/>
    </row>
    <row r="6689" spans="1:1" x14ac:dyDescent="0.2">
      <c r="A6689" s="52"/>
    </row>
    <row r="6690" spans="1:1" x14ac:dyDescent="0.2">
      <c r="A6690" s="52"/>
    </row>
    <row r="6691" spans="1:1" x14ac:dyDescent="0.2">
      <c r="A6691" s="52"/>
    </row>
    <row r="6692" spans="1:1" x14ac:dyDescent="0.2">
      <c r="A6692" s="52"/>
    </row>
    <row r="6693" spans="1:1" x14ac:dyDescent="0.2">
      <c r="A6693" s="52"/>
    </row>
    <row r="6694" spans="1:1" x14ac:dyDescent="0.2">
      <c r="A6694" s="52"/>
    </row>
    <row r="6695" spans="1:1" x14ac:dyDescent="0.2">
      <c r="A6695" s="53"/>
    </row>
    <row r="6696" spans="1:1" x14ac:dyDescent="0.2">
      <c r="A6696" s="52"/>
    </row>
    <row r="6697" spans="1:1" x14ac:dyDescent="0.2">
      <c r="A6697" s="52"/>
    </row>
    <row r="6698" spans="1:1" x14ac:dyDescent="0.2">
      <c r="A6698" s="52"/>
    </row>
    <row r="6699" spans="1:1" x14ac:dyDescent="0.2">
      <c r="A6699" s="53"/>
    </row>
    <row r="6700" spans="1:1" x14ac:dyDescent="0.2">
      <c r="A6700" s="53"/>
    </row>
    <row r="6701" spans="1:1" x14ac:dyDescent="0.2">
      <c r="A6701" s="52"/>
    </row>
    <row r="6702" spans="1:1" x14ac:dyDescent="0.2">
      <c r="A6702" s="53"/>
    </row>
    <row r="6703" spans="1:1" x14ac:dyDescent="0.2">
      <c r="A6703" s="52"/>
    </row>
    <row r="6704" spans="1:1" x14ac:dyDescent="0.2">
      <c r="A6704" s="52"/>
    </row>
    <row r="6705" spans="1:1" x14ac:dyDescent="0.2">
      <c r="A6705" s="52"/>
    </row>
    <row r="6706" spans="1:1" x14ac:dyDescent="0.2">
      <c r="A6706" s="52"/>
    </row>
    <row r="6707" spans="1:1" x14ac:dyDescent="0.2">
      <c r="A6707" s="52"/>
    </row>
    <row r="6708" spans="1:1" x14ac:dyDescent="0.2">
      <c r="A6708" s="52"/>
    </row>
    <row r="6709" spans="1:1" x14ac:dyDescent="0.2">
      <c r="A6709" s="52"/>
    </row>
    <row r="6710" spans="1:1" x14ac:dyDescent="0.2">
      <c r="A6710" s="52"/>
    </row>
    <row r="6711" spans="1:1" x14ac:dyDescent="0.2">
      <c r="A6711" s="52"/>
    </row>
    <row r="6712" spans="1:1" x14ac:dyDescent="0.2">
      <c r="A6712" s="52"/>
    </row>
    <row r="6713" spans="1:1" x14ac:dyDescent="0.2">
      <c r="A6713" s="52"/>
    </row>
    <row r="6714" spans="1:1" x14ac:dyDescent="0.2">
      <c r="A6714" s="52"/>
    </row>
    <row r="6715" spans="1:1" x14ac:dyDescent="0.2">
      <c r="A6715" s="52"/>
    </row>
    <row r="6716" spans="1:1" x14ac:dyDescent="0.2">
      <c r="A6716" s="52"/>
    </row>
    <row r="6717" spans="1:1" x14ac:dyDescent="0.2">
      <c r="A6717" s="52"/>
    </row>
    <row r="6718" spans="1:1" x14ac:dyDescent="0.2">
      <c r="A6718" s="52"/>
    </row>
    <row r="6719" spans="1:1" x14ac:dyDescent="0.2">
      <c r="A6719" s="52"/>
    </row>
    <row r="6720" spans="1:1" x14ac:dyDescent="0.2">
      <c r="A6720" s="52"/>
    </row>
    <row r="6721" spans="1:1" x14ac:dyDescent="0.2">
      <c r="A6721" s="52"/>
    </row>
    <row r="6722" spans="1:1" x14ac:dyDescent="0.2">
      <c r="A6722" s="52"/>
    </row>
    <row r="6723" spans="1:1" x14ac:dyDescent="0.2">
      <c r="A6723" s="52"/>
    </row>
    <row r="6724" spans="1:1" x14ac:dyDescent="0.2">
      <c r="A6724" s="52"/>
    </row>
    <row r="6725" spans="1:1" x14ac:dyDescent="0.2">
      <c r="A6725" s="52"/>
    </row>
    <row r="6726" spans="1:1" x14ac:dyDescent="0.2">
      <c r="A6726" s="52"/>
    </row>
    <row r="6727" spans="1:1" x14ac:dyDescent="0.2">
      <c r="A6727" s="52"/>
    </row>
    <row r="6728" spans="1:1" x14ac:dyDescent="0.2">
      <c r="A6728" s="52"/>
    </row>
    <row r="6729" spans="1:1" x14ac:dyDescent="0.2">
      <c r="A6729" s="52"/>
    </row>
    <row r="6730" spans="1:1" x14ac:dyDescent="0.2">
      <c r="A6730" s="52"/>
    </row>
    <row r="6731" spans="1:1" x14ac:dyDescent="0.2">
      <c r="A6731" s="52"/>
    </row>
    <row r="6732" spans="1:1" x14ac:dyDescent="0.2">
      <c r="A6732" s="52"/>
    </row>
    <row r="6733" spans="1:1" x14ac:dyDescent="0.2">
      <c r="A6733" s="52"/>
    </row>
    <row r="6734" spans="1:1" x14ac:dyDescent="0.2">
      <c r="A6734" s="52"/>
    </row>
    <row r="6735" spans="1:1" x14ac:dyDescent="0.2">
      <c r="A6735" s="52"/>
    </row>
    <row r="6736" spans="1:1" x14ac:dyDescent="0.2">
      <c r="A6736" s="52"/>
    </row>
    <row r="6737" spans="1:1" x14ac:dyDescent="0.2">
      <c r="A6737" s="52"/>
    </row>
    <row r="6738" spans="1:1" x14ac:dyDescent="0.2">
      <c r="A6738" s="52"/>
    </row>
    <row r="6739" spans="1:1" x14ac:dyDescent="0.2">
      <c r="A6739" s="52"/>
    </row>
    <row r="6740" spans="1:1" x14ac:dyDescent="0.2">
      <c r="A6740" s="52"/>
    </row>
    <row r="6741" spans="1:1" x14ac:dyDescent="0.2">
      <c r="A6741" s="52"/>
    </row>
    <row r="6742" spans="1:1" x14ac:dyDescent="0.2">
      <c r="A6742" s="52"/>
    </row>
    <row r="6743" spans="1:1" x14ac:dyDescent="0.2">
      <c r="A6743" s="52"/>
    </row>
    <row r="6744" spans="1:1" x14ac:dyDescent="0.2">
      <c r="A6744" s="52"/>
    </row>
    <row r="6745" spans="1:1" x14ac:dyDescent="0.2">
      <c r="A6745" s="52"/>
    </row>
    <row r="6746" spans="1:1" x14ac:dyDescent="0.2">
      <c r="A6746" s="52"/>
    </row>
    <row r="6747" spans="1:1" x14ac:dyDescent="0.2">
      <c r="A6747" s="52"/>
    </row>
    <row r="6748" spans="1:1" x14ac:dyDescent="0.2">
      <c r="A6748" s="52"/>
    </row>
    <row r="6749" spans="1:1" x14ac:dyDescent="0.2">
      <c r="A6749" s="52"/>
    </row>
    <row r="6750" spans="1:1" x14ac:dyDescent="0.2">
      <c r="A6750" s="52"/>
    </row>
    <row r="6751" spans="1:1" x14ac:dyDescent="0.2">
      <c r="A6751" s="52"/>
    </row>
    <row r="6752" spans="1:1" x14ac:dyDescent="0.2">
      <c r="A6752" s="52"/>
    </row>
    <row r="6753" spans="1:1" x14ac:dyDescent="0.2">
      <c r="A6753" s="52"/>
    </row>
    <row r="6754" spans="1:1" x14ac:dyDescent="0.2">
      <c r="A6754" s="52"/>
    </row>
    <row r="6755" spans="1:1" x14ac:dyDescent="0.2">
      <c r="A6755" s="53"/>
    </row>
    <row r="6756" spans="1:1" x14ac:dyDescent="0.2">
      <c r="A6756" s="52"/>
    </row>
    <row r="6757" spans="1:1" x14ac:dyDescent="0.2">
      <c r="A6757" s="52"/>
    </row>
    <row r="6758" spans="1:1" x14ac:dyDescent="0.2">
      <c r="A6758" s="52"/>
    </row>
    <row r="6759" spans="1:1" x14ac:dyDescent="0.2">
      <c r="A6759" s="53"/>
    </row>
    <row r="6760" spans="1:1" x14ac:dyDescent="0.2">
      <c r="A6760" s="52"/>
    </row>
    <row r="6761" spans="1:1" x14ac:dyDescent="0.2">
      <c r="A6761" s="53"/>
    </row>
    <row r="6762" spans="1:1" x14ac:dyDescent="0.2">
      <c r="A6762" s="53"/>
    </row>
    <row r="6763" spans="1:1" x14ac:dyDescent="0.2">
      <c r="A6763" s="52"/>
    </row>
    <row r="6764" spans="1:1" x14ac:dyDescent="0.2">
      <c r="A6764" s="52"/>
    </row>
    <row r="6765" spans="1:1" x14ac:dyDescent="0.2">
      <c r="A6765" s="52"/>
    </row>
    <row r="6766" spans="1:1" x14ac:dyDescent="0.2">
      <c r="A6766" s="52"/>
    </row>
    <row r="6767" spans="1:1" x14ac:dyDescent="0.2">
      <c r="A6767" s="52"/>
    </row>
    <row r="6768" spans="1:1" x14ac:dyDescent="0.2">
      <c r="A6768" s="52"/>
    </row>
    <row r="6769" spans="1:1" x14ac:dyDescent="0.2">
      <c r="A6769" s="52"/>
    </row>
    <row r="6770" spans="1:1" x14ac:dyDescent="0.2">
      <c r="A6770" s="52"/>
    </row>
    <row r="6771" spans="1:1" x14ac:dyDescent="0.2">
      <c r="A6771" s="52"/>
    </row>
    <row r="6772" spans="1:1" x14ac:dyDescent="0.2">
      <c r="A6772" s="52"/>
    </row>
    <row r="6773" spans="1:1" x14ac:dyDescent="0.2">
      <c r="A6773" s="52"/>
    </row>
    <row r="6774" spans="1:1" x14ac:dyDescent="0.2">
      <c r="A6774" s="52"/>
    </row>
    <row r="6775" spans="1:1" x14ac:dyDescent="0.2">
      <c r="A6775" s="52"/>
    </row>
    <row r="6776" spans="1:1" x14ac:dyDescent="0.2">
      <c r="A6776" s="52"/>
    </row>
    <row r="6777" spans="1:1" x14ac:dyDescent="0.2">
      <c r="A6777" s="52"/>
    </row>
    <row r="6778" spans="1:1" x14ac:dyDescent="0.2">
      <c r="A6778" s="52"/>
    </row>
    <row r="6779" spans="1:1" x14ac:dyDescent="0.2">
      <c r="A6779" s="52"/>
    </row>
    <row r="6780" spans="1:1" x14ac:dyDescent="0.2">
      <c r="A6780" s="52"/>
    </row>
    <row r="6781" spans="1:1" x14ac:dyDescent="0.2">
      <c r="A6781" s="52"/>
    </row>
    <row r="6782" spans="1:1" x14ac:dyDescent="0.2">
      <c r="A6782" s="52"/>
    </row>
    <row r="6783" spans="1:1" x14ac:dyDescent="0.2">
      <c r="A6783" s="52"/>
    </row>
    <row r="6784" spans="1:1" x14ac:dyDescent="0.2">
      <c r="A6784" s="52"/>
    </row>
    <row r="6785" spans="1:1" x14ac:dyDescent="0.2">
      <c r="A6785" s="52"/>
    </row>
    <row r="6786" spans="1:1" x14ac:dyDescent="0.2">
      <c r="A6786" s="52"/>
    </row>
    <row r="6787" spans="1:1" x14ac:dyDescent="0.2">
      <c r="A6787" s="52"/>
    </row>
    <row r="6788" spans="1:1" x14ac:dyDescent="0.2">
      <c r="A6788" s="52"/>
    </row>
    <row r="6789" spans="1:1" x14ac:dyDescent="0.2">
      <c r="A6789" s="52"/>
    </row>
    <row r="6790" spans="1:1" x14ac:dyDescent="0.2">
      <c r="A6790" s="52"/>
    </row>
    <row r="6791" spans="1:1" x14ac:dyDescent="0.2">
      <c r="A6791" s="52"/>
    </row>
    <row r="6792" spans="1:1" x14ac:dyDescent="0.2">
      <c r="A6792" s="52"/>
    </row>
    <row r="6793" spans="1:1" x14ac:dyDescent="0.2">
      <c r="A6793" s="52"/>
    </row>
    <row r="6794" spans="1:1" x14ac:dyDescent="0.2">
      <c r="A6794" s="52"/>
    </row>
    <row r="6795" spans="1:1" x14ac:dyDescent="0.2">
      <c r="A6795" s="52"/>
    </row>
    <row r="6796" spans="1:1" x14ac:dyDescent="0.2">
      <c r="A6796" s="52"/>
    </row>
    <row r="6797" spans="1:1" x14ac:dyDescent="0.2">
      <c r="A6797" s="52"/>
    </row>
    <row r="6798" spans="1:1" x14ac:dyDescent="0.2">
      <c r="A6798" s="52"/>
    </row>
    <row r="6799" spans="1:1" x14ac:dyDescent="0.2">
      <c r="A6799" s="52"/>
    </row>
    <row r="6800" spans="1:1" x14ac:dyDescent="0.2">
      <c r="A6800" s="52"/>
    </row>
    <row r="6801" spans="1:1" x14ac:dyDescent="0.2">
      <c r="A6801" s="52"/>
    </row>
    <row r="6802" spans="1:1" x14ac:dyDescent="0.2">
      <c r="A6802" s="52"/>
    </row>
    <row r="6803" spans="1:1" x14ac:dyDescent="0.2">
      <c r="A6803" s="53"/>
    </row>
    <row r="6804" spans="1:1" x14ac:dyDescent="0.2">
      <c r="A6804" s="52"/>
    </row>
    <row r="6805" spans="1:1" x14ac:dyDescent="0.2">
      <c r="A6805" s="53"/>
    </row>
    <row r="6806" spans="1:1" x14ac:dyDescent="0.2">
      <c r="A6806" s="53"/>
    </row>
    <row r="6807" spans="1:1" x14ac:dyDescent="0.2">
      <c r="A6807" s="52"/>
    </row>
    <row r="6808" spans="1:1" x14ac:dyDescent="0.2">
      <c r="A6808" s="52"/>
    </row>
    <row r="6809" spans="1:1" x14ac:dyDescent="0.2">
      <c r="A6809" s="52"/>
    </row>
    <row r="6810" spans="1:1" x14ac:dyDescent="0.2">
      <c r="A6810" s="52"/>
    </row>
    <row r="6811" spans="1:1" x14ac:dyDescent="0.2">
      <c r="A6811" s="52"/>
    </row>
    <row r="6812" spans="1:1" x14ac:dyDescent="0.2">
      <c r="A6812" s="53"/>
    </row>
    <row r="6813" spans="1:1" x14ac:dyDescent="0.2">
      <c r="A6813" s="52"/>
    </row>
    <row r="6814" spans="1:1" x14ac:dyDescent="0.2">
      <c r="A6814" s="52"/>
    </row>
    <row r="6815" spans="1:1" x14ac:dyDescent="0.2">
      <c r="A6815" s="52"/>
    </row>
    <row r="6816" spans="1:1" x14ac:dyDescent="0.2">
      <c r="A6816" s="52"/>
    </row>
    <row r="6817" spans="1:1" x14ac:dyDescent="0.2">
      <c r="A6817" s="52"/>
    </row>
    <row r="6818" spans="1:1" x14ac:dyDescent="0.2">
      <c r="A6818" s="52"/>
    </row>
    <row r="6819" spans="1:1" x14ac:dyDescent="0.2">
      <c r="A6819" s="52"/>
    </row>
    <row r="6820" spans="1:1" x14ac:dyDescent="0.2">
      <c r="A6820" s="52"/>
    </row>
    <row r="6821" spans="1:1" x14ac:dyDescent="0.2">
      <c r="A6821" s="52"/>
    </row>
    <row r="6822" spans="1:1" x14ac:dyDescent="0.2">
      <c r="A6822" s="52"/>
    </row>
    <row r="6823" spans="1:1" x14ac:dyDescent="0.2">
      <c r="A6823" s="53"/>
    </row>
    <row r="6824" spans="1:1" x14ac:dyDescent="0.2">
      <c r="A6824" s="53"/>
    </row>
    <row r="6825" spans="1:1" x14ac:dyDescent="0.2">
      <c r="A6825" s="52"/>
    </row>
    <row r="6826" spans="1:1" x14ac:dyDescent="0.2">
      <c r="A6826" s="52"/>
    </row>
    <row r="6827" spans="1:1" x14ac:dyDescent="0.2">
      <c r="A6827" s="52"/>
    </row>
    <row r="6828" spans="1:1" x14ac:dyDescent="0.2">
      <c r="A6828" s="52"/>
    </row>
    <row r="6829" spans="1:1" x14ac:dyDescent="0.2">
      <c r="A6829" s="53"/>
    </row>
    <row r="6830" spans="1:1" x14ac:dyDescent="0.2">
      <c r="A6830" s="52"/>
    </row>
    <row r="6831" spans="1:1" x14ac:dyDescent="0.2">
      <c r="A6831" s="52"/>
    </row>
    <row r="6832" spans="1:1" x14ac:dyDescent="0.2">
      <c r="A6832" s="52"/>
    </row>
    <row r="6833" spans="1:1" x14ac:dyDescent="0.2">
      <c r="A6833" s="52"/>
    </row>
    <row r="6834" spans="1:1" x14ac:dyDescent="0.2">
      <c r="A6834" s="53"/>
    </row>
    <row r="6835" spans="1:1" x14ac:dyDescent="0.2">
      <c r="A6835" s="52"/>
    </row>
    <row r="6836" spans="1:1" x14ac:dyDescent="0.2">
      <c r="A6836" s="52"/>
    </row>
    <row r="6837" spans="1:1" x14ac:dyDescent="0.2">
      <c r="A6837" s="52"/>
    </row>
    <row r="6838" spans="1:1" x14ac:dyDescent="0.2">
      <c r="A6838" s="52"/>
    </row>
    <row r="6839" spans="1:1" x14ac:dyDescent="0.2">
      <c r="A6839" s="52"/>
    </row>
    <row r="6840" spans="1:1" x14ac:dyDescent="0.2">
      <c r="A6840" s="52"/>
    </row>
    <row r="6841" spans="1:1" x14ac:dyDescent="0.2">
      <c r="A6841" s="53"/>
    </row>
    <row r="6842" spans="1:1" x14ac:dyDescent="0.2">
      <c r="A6842" s="52"/>
    </row>
    <row r="6843" spans="1:1" x14ac:dyDescent="0.2">
      <c r="A6843" s="52"/>
    </row>
    <row r="6844" spans="1:1" x14ac:dyDescent="0.2">
      <c r="A6844" s="52"/>
    </row>
    <row r="6845" spans="1:1" x14ac:dyDescent="0.2">
      <c r="A6845" s="52"/>
    </row>
    <row r="6846" spans="1:1" x14ac:dyDescent="0.2">
      <c r="A6846" s="52"/>
    </row>
    <row r="6847" spans="1:1" x14ac:dyDescent="0.2">
      <c r="A6847" s="52"/>
    </row>
    <row r="6848" spans="1:1" x14ac:dyDescent="0.2">
      <c r="A6848" s="52"/>
    </row>
    <row r="6849" spans="1:1" x14ac:dyDescent="0.2">
      <c r="A6849" s="52"/>
    </row>
    <row r="6850" spans="1:1" x14ac:dyDescent="0.2">
      <c r="A6850" s="52"/>
    </row>
    <row r="6851" spans="1:1" x14ac:dyDescent="0.2">
      <c r="A6851" s="52"/>
    </row>
    <row r="6852" spans="1:1" x14ac:dyDescent="0.2">
      <c r="A6852" s="52"/>
    </row>
    <row r="6853" spans="1:1" x14ac:dyDescent="0.2">
      <c r="A6853" s="52"/>
    </row>
    <row r="6854" spans="1:1" x14ac:dyDescent="0.2">
      <c r="A6854" s="52"/>
    </row>
    <row r="6855" spans="1:1" x14ac:dyDescent="0.2">
      <c r="A6855" s="52"/>
    </row>
    <row r="6856" spans="1:1" x14ac:dyDescent="0.2">
      <c r="A6856" s="52"/>
    </row>
    <row r="6857" spans="1:1" x14ac:dyDescent="0.2">
      <c r="A6857" s="52"/>
    </row>
    <row r="6858" spans="1:1" x14ac:dyDescent="0.2">
      <c r="A6858" s="52"/>
    </row>
    <row r="6859" spans="1:1" x14ac:dyDescent="0.2">
      <c r="A6859" s="52"/>
    </row>
    <row r="6860" spans="1:1" x14ac:dyDescent="0.2">
      <c r="A6860" s="52"/>
    </row>
    <row r="6861" spans="1:1" x14ac:dyDescent="0.2">
      <c r="A6861" s="52"/>
    </row>
    <row r="6862" spans="1:1" x14ac:dyDescent="0.2">
      <c r="A6862" s="52"/>
    </row>
    <row r="6863" spans="1:1" x14ac:dyDescent="0.2">
      <c r="A6863" s="52"/>
    </row>
    <row r="6864" spans="1:1" x14ac:dyDescent="0.2">
      <c r="A6864" s="52"/>
    </row>
    <row r="6865" spans="1:1" x14ac:dyDescent="0.2">
      <c r="A6865" s="52"/>
    </row>
    <row r="6866" spans="1:1" x14ac:dyDescent="0.2">
      <c r="A6866" s="52"/>
    </row>
    <row r="6867" spans="1:1" x14ac:dyDescent="0.2">
      <c r="A6867" s="52"/>
    </row>
    <row r="6868" spans="1:1" x14ac:dyDescent="0.2">
      <c r="A6868" s="52"/>
    </row>
    <row r="6869" spans="1:1" x14ac:dyDescent="0.2">
      <c r="A6869" s="52"/>
    </row>
    <row r="6870" spans="1:1" x14ac:dyDescent="0.2">
      <c r="A6870" s="52"/>
    </row>
    <row r="6871" spans="1:1" x14ac:dyDescent="0.2">
      <c r="A6871" s="52"/>
    </row>
    <row r="6872" spans="1:1" x14ac:dyDescent="0.2">
      <c r="A6872" s="52"/>
    </row>
    <row r="6873" spans="1:1" x14ac:dyDescent="0.2">
      <c r="A6873" s="53"/>
    </row>
    <row r="6874" spans="1:1" x14ac:dyDescent="0.2">
      <c r="A6874" s="52"/>
    </row>
    <row r="6875" spans="1:1" x14ac:dyDescent="0.2">
      <c r="A6875" s="52"/>
    </row>
    <row r="6876" spans="1:1" x14ac:dyDescent="0.2">
      <c r="A6876" s="52"/>
    </row>
    <row r="6877" spans="1:1" x14ac:dyDescent="0.2">
      <c r="A6877" s="52"/>
    </row>
    <row r="6878" spans="1:1" x14ac:dyDescent="0.2">
      <c r="A6878" s="52"/>
    </row>
    <row r="6879" spans="1:1" x14ac:dyDescent="0.2">
      <c r="A6879" s="52"/>
    </row>
    <row r="6880" spans="1:1" x14ac:dyDescent="0.2">
      <c r="A6880" s="52"/>
    </row>
    <row r="6881" spans="1:1" x14ac:dyDescent="0.2">
      <c r="A6881" s="52"/>
    </row>
    <row r="6882" spans="1:1" x14ac:dyDescent="0.2">
      <c r="A6882" s="52"/>
    </row>
    <row r="6883" spans="1:1" x14ac:dyDescent="0.2">
      <c r="A6883" s="52"/>
    </row>
    <row r="6884" spans="1:1" x14ac:dyDescent="0.2">
      <c r="A6884" s="52"/>
    </row>
    <row r="6885" spans="1:1" x14ac:dyDescent="0.2">
      <c r="A6885" s="52"/>
    </row>
    <row r="6886" spans="1:1" x14ac:dyDescent="0.2">
      <c r="A6886" s="52"/>
    </row>
    <row r="6887" spans="1:1" x14ac:dyDescent="0.2">
      <c r="A6887" s="53"/>
    </row>
    <row r="6888" spans="1:1" x14ac:dyDescent="0.2">
      <c r="A6888" s="52"/>
    </row>
    <row r="6889" spans="1:1" x14ac:dyDescent="0.2">
      <c r="A6889" s="52"/>
    </row>
    <row r="6890" spans="1:1" x14ac:dyDescent="0.2">
      <c r="A6890" s="52"/>
    </row>
    <row r="6891" spans="1:1" x14ac:dyDescent="0.2">
      <c r="A6891" s="52"/>
    </row>
    <row r="6892" spans="1:1" x14ac:dyDescent="0.2">
      <c r="A6892" s="52"/>
    </row>
    <row r="6893" spans="1:1" x14ac:dyDescent="0.2">
      <c r="A6893" s="52"/>
    </row>
    <row r="6894" spans="1:1" x14ac:dyDescent="0.2">
      <c r="A6894" s="52"/>
    </row>
    <row r="6895" spans="1:1" x14ac:dyDescent="0.2">
      <c r="A6895" s="52"/>
    </row>
    <row r="6896" spans="1:1" x14ac:dyDescent="0.2">
      <c r="A6896" s="52"/>
    </row>
    <row r="6897" spans="1:1" x14ac:dyDescent="0.2">
      <c r="A6897" s="52"/>
    </row>
    <row r="6898" spans="1:1" x14ac:dyDescent="0.2">
      <c r="A6898" s="52"/>
    </row>
    <row r="6899" spans="1:1" x14ac:dyDescent="0.2">
      <c r="A6899" s="52"/>
    </row>
    <row r="6900" spans="1:1" x14ac:dyDescent="0.2">
      <c r="A6900" s="52"/>
    </row>
    <row r="6901" spans="1:1" x14ac:dyDescent="0.2">
      <c r="A6901" s="52"/>
    </row>
    <row r="6902" spans="1:1" x14ac:dyDescent="0.2">
      <c r="A6902" s="52"/>
    </row>
    <row r="6903" spans="1:1" x14ac:dyDescent="0.2">
      <c r="A6903" s="52"/>
    </row>
    <row r="6904" spans="1:1" x14ac:dyDescent="0.2">
      <c r="A6904" s="52"/>
    </row>
    <row r="6905" spans="1:1" x14ac:dyDescent="0.2">
      <c r="A6905" s="52"/>
    </row>
    <row r="6906" spans="1:1" x14ac:dyDescent="0.2">
      <c r="A6906" s="52"/>
    </row>
    <row r="6907" spans="1:1" x14ac:dyDescent="0.2">
      <c r="A6907" s="52"/>
    </row>
    <row r="6908" spans="1:1" x14ac:dyDescent="0.2">
      <c r="A6908" s="52"/>
    </row>
    <row r="6909" spans="1:1" x14ac:dyDescent="0.2">
      <c r="A6909" s="53"/>
    </row>
    <row r="6910" spans="1:1" x14ac:dyDescent="0.2">
      <c r="A6910" s="52"/>
    </row>
    <row r="6911" spans="1:1" x14ac:dyDescent="0.2">
      <c r="A6911" s="52"/>
    </row>
    <row r="6912" spans="1:1" x14ac:dyDescent="0.2">
      <c r="A6912" s="52"/>
    </row>
    <row r="6913" spans="1:1" x14ac:dyDescent="0.2">
      <c r="A6913" s="52"/>
    </row>
    <row r="6914" spans="1:1" x14ac:dyDescent="0.2">
      <c r="A6914" s="52"/>
    </row>
    <row r="6915" spans="1:1" x14ac:dyDescent="0.2">
      <c r="A6915" s="52"/>
    </row>
    <row r="6916" spans="1:1" x14ac:dyDescent="0.2">
      <c r="A6916" s="52"/>
    </row>
    <row r="6917" spans="1:1" x14ac:dyDescent="0.2">
      <c r="A6917" s="52"/>
    </row>
    <row r="6918" spans="1:1" x14ac:dyDescent="0.2">
      <c r="A6918" s="52"/>
    </row>
    <row r="6919" spans="1:1" x14ac:dyDescent="0.2">
      <c r="A6919" s="52"/>
    </row>
    <row r="6920" spans="1:1" x14ac:dyDescent="0.2">
      <c r="A6920" s="52"/>
    </row>
    <row r="6921" spans="1:1" x14ac:dyDescent="0.2">
      <c r="A6921" s="52"/>
    </row>
    <row r="6922" spans="1:1" x14ac:dyDescent="0.2">
      <c r="A6922" s="52"/>
    </row>
    <row r="6923" spans="1:1" x14ac:dyDescent="0.2">
      <c r="A6923" s="52"/>
    </row>
    <row r="6924" spans="1:1" x14ac:dyDescent="0.2">
      <c r="A6924" s="52"/>
    </row>
    <row r="6925" spans="1:1" x14ac:dyDescent="0.2">
      <c r="A6925" s="52"/>
    </row>
    <row r="6926" spans="1:1" x14ac:dyDescent="0.2">
      <c r="A6926" s="52"/>
    </row>
    <row r="6927" spans="1:1" x14ac:dyDescent="0.2">
      <c r="A6927" s="52"/>
    </row>
    <row r="6928" spans="1:1" x14ac:dyDescent="0.2">
      <c r="A6928" s="52"/>
    </row>
    <row r="6929" spans="1:1" x14ac:dyDescent="0.2">
      <c r="A6929" s="52"/>
    </row>
    <row r="6930" spans="1:1" x14ac:dyDescent="0.2">
      <c r="A6930" s="52"/>
    </row>
    <row r="6931" spans="1:1" x14ac:dyDescent="0.2">
      <c r="A6931" s="53"/>
    </row>
    <row r="6932" spans="1:1" x14ac:dyDescent="0.2">
      <c r="A6932" s="52"/>
    </row>
    <row r="6933" spans="1:1" x14ac:dyDescent="0.2">
      <c r="A6933" s="52"/>
    </row>
    <row r="6934" spans="1:1" x14ac:dyDescent="0.2">
      <c r="A6934" s="52"/>
    </row>
    <row r="6935" spans="1:1" x14ac:dyDescent="0.2">
      <c r="A6935" s="52"/>
    </row>
    <row r="6936" spans="1:1" x14ac:dyDescent="0.2">
      <c r="A6936" s="52"/>
    </row>
    <row r="6937" spans="1:1" x14ac:dyDescent="0.2">
      <c r="A6937" s="52"/>
    </row>
    <row r="6938" spans="1:1" x14ac:dyDescent="0.2">
      <c r="A6938" s="53"/>
    </row>
    <row r="6939" spans="1:1" x14ac:dyDescent="0.2">
      <c r="A6939" s="52"/>
    </row>
    <row r="6940" spans="1:1" x14ac:dyDescent="0.2">
      <c r="A6940" s="52"/>
    </row>
    <row r="6941" spans="1:1" x14ac:dyDescent="0.2">
      <c r="A6941" s="52"/>
    </row>
    <row r="6942" spans="1:1" x14ac:dyDescent="0.2">
      <c r="A6942" s="52"/>
    </row>
    <row r="6943" spans="1:1" x14ac:dyDescent="0.2">
      <c r="A6943" s="53"/>
    </row>
    <row r="6944" spans="1:1" x14ac:dyDescent="0.2">
      <c r="A6944" s="52"/>
    </row>
    <row r="6945" spans="1:1" x14ac:dyDescent="0.2">
      <c r="A6945" s="52"/>
    </row>
    <row r="6946" spans="1:1" x14ac:dyDescent="0.2">
      <c r="A6946" s="52"/>
    </row>
    <row r="6947" spans="1:1" x14ac:dyDescent="0.2">
      <c r="A6947" s="52"/>
    </row>
    <row r="6948" spans="1:1" x14ac:dyDescent="0.2">
      <c r="A6948" s="52"/>
    </row>
    <row r="6949" spans="1:1" x14ac:dyDescent="0.2">
      <c r="A6949" s="52"/>
    </row>
    <row r="6950" spans="1:1" x14ac:dyDescent="0.2">
      <c r="A6950" s="52"/>
    </row>
    <row r="6951" spans="1:1" x14ac:dyDescent="0.2">
      <c r="A6951" s="52"/>
    </row>
    <row r="6952" spans="1:1" x14ac:dyDescent="0.2">
      <c r="A6952" s="52"/>
    </row>
    <row r="6953" spans="1:1" x14ac:dyDescent="0.2">
      <c r="A6953" s="52"/>
    </row>
    <row r="6954" spans="1:1" x14ac:dyDescent="0.2">
      <c r="A6954" s="52"/>
    </row>
    <row r="6955" spans="1:1" x14ac:dyDescent="0.2">
      <c r="A6955" s="52"/>
    </row>
    <row r="6956" spans="1:1" x14ac:dyDescent="0.2">
      <c r="A6956" s="52"/>
    </row>
    <row r="6957" spans="1:1" x14ac:dyDescent="0.2">
      <c r="A6957" s="52"/>
    </row>
    <row r="6958" spans="1:1" x14ac:dyDescent="0.2">
      <c r="A6958" s="52"/>
    </row>
    <row r="6959" spans="1:1" x14ac:dyDescent="0.2">
      <c r="A6959" s="52"/>
    </row>
    <row r="6960" spans="1:1" x14ac:dyDescent="0.2">
      <c r="A6960" s="52"/>
    </row>
    <row r="6961" spans="1:1" x14ac:dyDescent="0.2">
      <c r="A6961" s="52"/>
    </row>
    <row r="6962" spans="1:1" x14ac:dyDescent="0.2">
      <c r="A6962" s="52"/>
    </row>
    <row r="6963" spans="1:1" x14ac:dyDescent="0.2">
      <c r="A6963" s="52"/>
    </row>
    <row r="6964" spans="1:1" x14ac:dyDescent="0.2">
      <c r="A6964" s="52"/>
    </row>
    <row r="6965" spans="1:1" x14ac:dyDescent="0.2">
      <c r="A6965" s="52"/>
    </row>
    <row r="6966" spans="1:1" x14ac:dyDescent="0.2">
      <c r="A6966" s="52"/>
    </row>
    <row r="6967" spans="1:1" x14ac:dyDescent="0.2">
      <c r="A6967" s="52"/>
    </row>
    <row r="6968" spans="1:1" x14ac:dyDescent="0.2">
      <c r="A6968" s="52"/>
    </row>
    <row r="6969" spans="1:1" x14ac:dyDescent="0.2">
      <c r="A6969" s="52"/>
    </row>
    <row r="6970" spans="1:1" x14ac:dyDescent="0.2">
      <c r="A6970" s="52"/>
    </row>
    <row r="6971" spans="1:1" x14ac:dyDescent="0.2">
      <c r="A6971" s="52"/>
    </row>
    <row r="6972" spans="1:1" x14ac:dyDescent="0.2">
      <c r="A6972" s="52"/>
    </row>
    <row r="6973" spans="1:1" x14ac:dyDescent="0.2">
      <c r="A6973" s="52"/>
    </row>
    <row r="6974" spans="1:1" x14ac:dyDescent="0.2">
      <c r="A6974" s="52"/>
    </row>
    <row r="6975" spans="1:1" x14ac:dyDescent="0.2">
      <c r="A6975" s="52"/>
    </row>
    <row r="6976" spans="1:1" x14ac:dyDescent="0.2">
      <c r="A6976" s="52"/>
    </row>
    <row r="6977" spans="1:1" x14ac:dyDescent="0.2">
      <c r="A6977" s="52"/>
    </row>
    <row r="6978" spans="1:1" x14ac:dyDescent="0.2">
      <c r="A6978" s="52"/>
    </row>
    <row r="6979" spans="1:1" x14ac:dyDescent="0.2">
      <c r="A6979" s="52"/>
    </row>
    <row r="6980" spans="1:1" x14ac:dyDescent="0.2">
      <c r="A6980" s="52"/>
    </row>
    <row r="6981" spans="1:1" x14ac:dyDescent="0.2">
      <c r="A6981" s="52"/>
    </row>
    <row r="6982" spans="1:1" x14ac:dyDescent="0.2">
      <c r="A6982" s="52"/>
    </row>
    <row r="6983" spans="1:1" x14ac:dyDescent="0.2">
      <c r="A6983" s="53"/>
    </row>
    <row r="6984" spans="1:1" x14ac:dyDescent="0.2">
      <c r="A6984" s="53"/>
    </row>
    <row r="6985" spans="1:1" x14ac:dyDescent="0.2">
      <c r="A6985" s="52"/>
    </row>
    <row r="6986" spans="1:1" x14ac:dyDescent="0.2">
      <c r="A6986" s="52"/>
    </row>
    <row r="6987" spans="1:1" x14ac:dyDescent="0.2">
      <c r="A6987" s="52"/>
    </row>
    <row r="6988" spans="1:1" x14ac:dyDescent="0.2">
      <c r="A6988" s="52"/>
    </row>
    <row r="6989" spans="1:1" x14ac:dyDescent="0.2">
      <c r="A6989" s="52"/>
    </row>
    <row r="6990" spans="1:1" x14ac:dyDescent="0.2">
      <c r="A6990" s="52"/>
    </row>
    <row r="6991" spans="1:1" x14ac:dyDescent="0.2">
      <c r="A6991" s="52"/>
    </row>
    <row r="6992" spans="1:1" x14ac:dyDescent="0.2">
      <c r="A6992" s="52"/>
    </row>
    <row r="6993" spans="1:1" x14ac:dyDescent="0.2">
      <c r="A6993" s="52"/>
    </row>
    <row r="6994" spans="1:1" x14ac:dyDescent="0.2">
      <c r="A6994" s="52"/>
    </row>
    <row r="6995" spans="1:1" x14ac:dyDescent="0.2">
      <c r="A6995" s="52"/>
    </row>
    <row r="6996" spans="1:1" x14ac:dyDescent="0.2">
      <c r="A6996" s="53"/>
    </row>
    <row r="6997" spans="1:1" x14ac:dyDescent="0.2">
      <c r="A6997" s="53"/>
    </row>
    <row r="6998" spans="1:1" x14ac:dyDescent="0.2">
      <c r="A6998" s="52"/>
    </row>
    <row r="6999" spans="1:1" x14ac:dyDescent="0.2">
      <c r="A6999" s="52"/>
    </row>
    <row r="7000" spans="1:1" x14ac:dyDescent="0.2">
      <c r="A7000" s="52"/>
    </row>
    <row r="7001" spans="1:1" x14ac:dyDescent="0.2">
      <c r="A7001" s="52"/>
    </row>
    <row r="7002" spans="1:1" x14ac:dyDescent="0.2">
      <c r="A7002" s="52"/>
    </row>
    <row r="7003" spans="1:1" x14ac:dyDescent="0.2">
      <c r="A7003" s="52"/>
    </row>
    <row r="7004" spans="1:1" x14ac:dyDescent="0.2">
      <c r="A7004" s="52"/>
    </row>
    <row r="7005" spans="1:1" x14ac:dyDescent="0.2">
      <c r="A7005" s="52"/>
    </row>
    <row r="7006" spans="1:1" x14ac:dyDescent="0.2">
      <c r="A7006" s="52"/>
    </row>
    <row r="7007" spans="1:1" x14ac:dyDescent="0.2">
      <c r="A7007" s="52"/>
    </row>
    <row r="7008" spans="1:1" x14ac:dyDescent="0.2">
      <c r="A7008" s="52"/>
    </row>
    <row r="7009" spans="1:1" x14ac:dyDescent="0.2">
      <c r="A7009" s="52"/>
    </row>
    <row r="7010" spans="1:1" x14ac:dyDescent="0.2">
      <c r="A7010" s="52"/>
    </row>
    <row r="7011" spans="1:1" x14ac:dyDescent="0.2">
      <c r="A7011" s="52"/>
    </row>
    <row r="7012" spans="1:1" x14ac:dyDescent="0.2">
      <c r="A7012" s="52"/>
    </row>
    <row r="7013" spans="1:1" x14ac:dyDescent="0.2">
      <c r="A7013" s="52"/>
    </row>
    <row r="7014" spans="1:1" x14ac:dyDescent="0.2">
      <c r="A7014" s="52"/>
    </row>
    <row r="7015" spans="1:1" x14ac:dyDescent="0.2">
      <c r="A7015" s="52"/>
    </row>
    <row r="7016" spans="1:1" x14ac:dyDescent="0.2">
      <c r="A7016" s="52"/>
    </row>
    <row r="7017" spans="1:1" x14ac:dyDescent="0.2">
      <c r="A7017" s="52"/>
    </row>
    <row r="7018" spans="1:1" x14ac:dyDescent="0.2">
      <c r="A7018" s="52"/>
    </row>
    <row r="7019" spans="1:1" x14ac:dyDescent="0.2">
      <c r="A7019" s="52"/>
    </row>
    <row r="7020" spans="1:1" x14ac:dyDescent="0.2">
      <c r="A7020" s="52"/>
    </row>
    <row r="7021" spans="1:1" x14ac:dyDescent="0.2">
      <c r="A7021" s="52"/>
    </row>
    <row r="7022" spans="1:1" x14ac:dyDescent="0.2">
      <c r="A7022" s="52"/>
    </row>
    <row r="7023" spans="1:1" x14ac:dyDescent="0.2">
      <c r="A7023" s="52"/>
    </row>
    <row r="7024" spans="1:1" x14ac:dyDescent="0.2">
      <c r="A7024" s="52"/>
    </row>
    <row r="7025" spans="1:1" x14ac:dyDescent="0.2">
      <c r="A7025" s="53"/>
    </row>
    <row r="7026" spans="1:1" x14ac:dyDescent="0.2">
      <c r="A7026" s="52"/>
    </row>
    <row r="7027" spans="1:1" x14ac:dyDescent="0.2">
      <c r="A7027" s="52"/>
    </row>
    <row r="7028" spans="1:1" x14ac:dyDescent="0.2">
      <c r="A7028" s="52"/>
    </row>
    <row r="7029" spans="1:1" x14ac:dyDescent="0.2">
      <c r="A7029" s="53"/>
    </row>
    <row r="7030" spans="1:1" x14ac:dyDescent="0.2">
      <c r="A7030" s="52"/>
    </row>
    <row r="7031" spans="1:1" x14ac:dyDescent="0.2">
      <c r="A7031" s="52"/>
    </row>
    <row r="7032" spans="1:1" x14ac:dyDescent="0.2">
      <c r="A7032" s="52"/>
    </row>
    <row r="7033" spans="1:1" x14ac:dyDescent="0.2">
      <c r="A7033" s="52"/>
    </row>
    <row r="7034" spans="1:1" x14ac:dyDescent="0.2">
      <c r="A7034" s="52"/>
    </row>
    <row r="7035" spans="1:1" x14ac:dyDescent="0.2">
      <c r="A7035" s="52"/>
    </row>
    <row r="7036" spans="1:1" x14ac:dyDescent="0.2">
      <c r="A7036" s="52"/>
    </row>
    <row r="7037" spans="1:1" x14ac:dyDescent="0.2">
      <c r="A7037" s="52"/>
    </row>
    <row r="7038" spans="1:1" x14ac:dyDescent="0.2">
      <c r="A7038" s="52"/>
    </row>
    <row r="7039" spans="1:1" x14ac:dyDescent="0.2">
      <c r="A7039" s="52"/>
    </row>
    <row r="7040" spans="1:1" x14ac:dyDescent="0.2">
      <c r="A7040" s="52"/>
    </row>
    <row r="7041" spans="1:1" x14ac:dyDescent="0.2">
      <c r="A7041" s="52"/>
    </row>
    <row r="7042" spans="1:1" x14ac:dyDescent="0.2">
      <c r="A7042" s="52"/>
    </row>
    <row r="7043" spans="1:1" x14ac:dyDescent="0.2">
      <c r="A7043" s="52"/>
    </row>
    <row r="7044" spans="1:1" x14ac:dyDescent="0.2">
      <c r="A7044" s="52"/>
    </row>
    <row r="7045" spans="1:1" x14ac:dyDescent="0.2">
      <c r="A7045" s="52"/>
    </row>
    <row r="7046" spans="1:1" x14ac:dyDescent="0.2">
      <c r="A7046" s="52"/>
    </row>
    <row r="7047" spans="1:1" x14ac:dyDescent="0.2">
      <c r="A7047" s="52"/>
    </row>
    <row r="7048" spans="1:1" x14ac:dyDescent="0.2">
      <c r="A7048" s="52"/>
    </row>
    <row r="7049" spans="1:1" x14ac:dyDescent="0.2">
      <c r="A7049" s="52"/>
    </row>
    <row r="7050" spans="1:1" x14ac:dyDescent="0.2">
      <c r="A7050" s="52"/>
    </row>
    <row r="7051" spans="1:1" x14ac:dyDescent="0.2">
      <c r="A7051" s="52"/>
    </row>
    <row r="7052" spans="1:1" x14ac:dyDescent="0.2">
      <c r="A7052" s="52"/>
    </row>
    <row r="7053" spans="1:1" x14ac:dyDescent="0.2">
      <c r="A7053" s="52"/>
    </row>
    <row r="7054" spans="1:1" x14ac:dyDescent="0.2">
      <c r="A7054" s="52"/>
    </row>
    <row r="7055" spans="1:1" x14ac:dyDescent="0.2">
      <c r="A7055" s="52"/>
    </row>
    <row r="7056" spans="1:1" x14ac:dyDescent="0.2">
      <c r="A7056" s="52"/>
    </row>
    <row r="7057" spans="1:1" x14ac:dyDescent="0.2">
      <c r="A7057" s="52"/>
    </row>
    <row r="7058" spans="1:1" x14ac:dyDescent="0.2">
      <c r="A7058" s="52"/>
    </row>
    <row r="7059" spans="1:1" x14ac:dyDescent="0.2">
      <c r="A7059" s="52"/>
    </row>
    <row r="7060" spans="1:1" x14ac:dyDescent="0.2">
      <c r="A7060" s="52"/>
    </row>
    <row r="7061" spans="1:1" x14ac:dyDescent="0.2">
      <c r="A7061" s="52"/>
    </row>
    <row r="7062" spans="1:1" x14ac:dyDescent="0.2">
      <c r="A7062" s="52"/>
    </row>
    <row r="7063" spans="1:1" x14ac:dyDescent="0.2">
      <c r="A7063" s="53"/>
    </row>
    <row r="7064" spans="1:1" x14ac:dyDescent="0.2">
      <c r="A7064" s="52"/>
    </row>
    <row r="7065" spans="1:1" x14ac:dyDescent="0.2">
      <c r="A7065" s="52"/>
    </row>
    <row r="7066" spans="1:1" x14ac:dyDescent="0.2">
      <c r="A7066" s="52"/>
    </row>
    <row r="7067" spans="1:1" x14ac:dyDescent="0.2">
      <c r="A7067" s="52"/>
    </row>
    <row r="7068" spans="1:1" x14ac:dyDescent="0.2">
      <c r="A7068" s="52"/>
    </row>
    <row r="7069" spans="1:1" x14ac:dyDescent="0.2">
      <c r="A7069" s="52"/>
    </row>
    <row r="7070" spans="1:1" x14ac:dyDescent="0.2">
      <c r="A7070" s="53"/>
    </row>
    <row r="7071" spans="1:1" x14ac:dyDescent="0.2">
      <c r="A7071" s="53"/>
    </row>
    <row r="7072" spans="1:1" x14ac:dyDescent="0.2">
      <c r="A7072" s="53"/>
    </row>
    <row r="7073" spans="1:1" x14ac:dyDescent="0.2">
      <c r="A7073" s="53"/>
    </row>
    <row r="7074" spans="1:1" x14ac:dyDescent="0.2">
      <c r="A7074" s="53"/>
    </row>
    <row r="7075" spans="1:1" x14ac:dyDescent="0.2">
      <c r="A7075" s="53"/>
    </row>
    <row r="7076" spans="1:1" x14ac:dyDescent="0.2">
      <c r="A7076" s="52"/>
    </row>
    <row r="7077" spans="1:1" x14ac:dyDescent="0.2">
      <c r="A7077" s="52"/>
    </row>
    <row r="7078" spans="1:1" x14ac:dyDescent="0.2">
      <c r="A7078" s="52"/>
    </row>
    <row r="7079" spans="1:1" x14ac:dyDescent="0.2">
      <c r="A7079" s="52"/>
    </row>
    <row r="7080" spans="1:1" x14ac:dyDescent="0.2">
      <c r="A7080" s="52"/>
    </row>
    <row r="7081" spans="1:1" x14ac:dyDescent="0.2">
      <c r="A7081" s="52"/>
    </row>
    <row r="7082" spans="1:1" x14ac:dyDescent="0.2">
      <c r="A7082" s="52"/>
    </row>
    <row r="7083" spans="1:1" x14ac:dyDescent="0.2">
      <c r="A7083" s="52"/>
    </row>
    <row r="7084" spans="1:1" x14ac:dyDescent="0.2">
      <c r="A7084" s="52"/>
    </row>
    <row r="7085" spans="1:1" x14ac:dyDescent="0.2">
      <c r="A7085" s="52"/>
    </row>
    <row r="7086" spans="1:1" x14ac:dyDescent="0.2">
      <c r="A7086" s="52"/>
    </row>
    <row r="7087" spans="1:1" x14ac:dyDescent="0.2">
      <c r="A7087" s="52"/>
    </row>
    <row r="7088" spans="1:1" x14ac:dyDescent="0.2">
      <c r="A7088" s="52"/>
    </row>
    <row r="7089" spans="1:1" x14ac:dyDescent="0.2">
      <c r="A7089" s="52"/>
    </row>
    <row r="7090" spans="1:1" x14ac:dyDescent="0.2">
      <c r="A7090" s="52"/>
    </row>
    <row r="7091" spans="1:1" x14ac:dyDescent="0.2">
      <c r="A7091" s="52"/>
    </row>
    <row r="7092" spans="1:1" x14ac:dyDescent="0.2">
      <c r="A7092" s="52"/>
    </row>
    <row r="7093" spans="1:1" x14ac:dyDescent="0.2">
      <c r="A7093" s="52"/>
    </row>
    <row r="7094" spans="1:1" x14ac:dyDescent="0.2">
      <c r="A7094" s="52"/>
    </row>
    <row r="7095" spans="1:1" x14ac:dyDescent="0.2">
      <c r="A7095" s="52"/>
    </row>
    <row r="7096" spans="1:1" x14ac:dyDescent="0.2">
      <c r="A7096" s="52"/>
    </row>
    <row r="7097" spans="1:1" x14ac:dyDescent="0.2">
      <c r="A7097" s="52"/>
    </row>
    <row r="7098" spans="1:1" x14ac:dyDescent="0.2">
      <c r="A7098" s="52"/>
    </row>
    <row r="7099" spans="1:1" x14ac:dyDescent="0.2">
      <c r="A7099" s="52"/>
    </row>
    <row r="7100" spans="1:1" x14ac:dyDescent="0.2">
      <c r="A7100" s="52"/>
    </row>
    <row r="7101" spans="1:1" x14ac:dyDescent="0.2">
      <c r="A7101" s="52"/>
    </row>
    <row r="7102" spans="1:1" x14ac:dyDescent="0.2">
      <c r="A7102" s="52"/>
    </row>
    <row r="7103" spans="1:1" x14ac:dyDescent="0.2">
      <c r="A7103" s="52"/>
    </row>
    <row r="7104" spans="1:1" x14ac:dyDescent="0.2">
      <c r="A7104" s="52"/>
    </row>
    <row r="7105" spans="1:1" x14ac:dyDescent="0.2">
      <c r="A7105" s="52"/>
    </row>
    <row r="7106" spans="1:1" x14ac:dyDescent="0.2">
      <c r="A7106" s="52"/>
    </row>
    <row r="7107" spans="1:1" x14ac:dyDescent="0.2">
      <c r="A7107" s="52"/>
    </row>
    <row r="7108" spans="1:1" x14ac:dyDescent="0.2">
      <c r="A7108" s="52"/>
    </row>
    <row r="7109" spans="1:1" x14ac:dyDescent="0.2">
      <c r="A7109" s="52"/>
    </row>
    <row r="7110" spans="1:1" x14ac:dyDescent="0.2">
      <c r="A7110" s="52"/>
    </row>
    <row r="7111" spans="1:1" x14ac:dyDescent="0.2">
      <c r="A7111" s="52"/>
    </row>
    <row r="7112" spans="1:1" x14ac:dyDescent="0.2">
      <c r="A7112" s="52"/>
    </row>
    <row r="7113" spans="1:1" x14ac:dyDescent="0.2">
      <c r="A7113" s="52"/>
    </row>
    <row r="7114" spans="1:1" x14ac:dyDescent="0.2">
      <c r="A7114" s="52"/>
    </row>
    <row r="7115" spans="1:1" x14ac:dyDescent="0.2">
      <c r="A7115" s="52"/>
    </row>
    <row r="7116" spans="1:1" x14ac:dyDescent="0.2">
      <c r="A7116" s="52"/>
    </row>
    <row r="7117" spans="1:1" x14ac:dyDescent="0.2">
      <c r="A7117" s="52"/>
    </row>
    <row r="7118" spans="1:1" x14ac:dyDescent="0.2">
      <c r="A7118" s="52"/>
    </row>
    <row r="7119" spans="1:1" x14ac:dyDescent="0.2">
      <c r="A7119" s="52"/>
    </row>
    <row r="7120" spans="1:1" x14ac:dyDescent="0.2">
      <c r="A7120" s="52"/>
    </row>
    <row r="7121" spans="1:1" x14ac:dyDescent="0.2">
      <c r="A7121" s="52"/>
    </row>
    <row r="7122" spans="1:1" x14ac:dyDescent="0.2">
      <c r="A7122" s="52"/>
    </row>
    <row r="7123" spans="1:1" x14ac:dyDescent="0.2">
      <c r="A7123" s="52"/>
    </row>
    <row r="7124" spans="1:1" x14ac:dyDescent="0.2">
      <c r="A7124" s="52"/>
    </row>
    <row r="7125" spans="1:1" x14ac:dyDescent="0.2">
      <c r="A7125" s="52"/>
    </row>
    <row r="7126" spans="1:1" x14ac:dyDescent="0.2">
      <c r="A7126" s="52"/>
    </row>
    <row r="7127" spans="1:1" x14ac:dyDescent="0.2">
      <c r="A7127" s="52"/>
    </row>
    <row r="7128" spans="1:1" x14ac:dyDescent="0.2">
      <c r="A7128" s="52"/>
    </row>
    <row r="7129" spans="1:1" x14ac:dyDescent="0.2">
      <c r="A7129" s="52"/>
    </row>
    <row r="7130" spans="1:1" x14ac:dyDescent="0.2">
      <c r="A7130" s="52"/>
    </row>
    <row r="7131" spans="1:1" x14ac:dyDescent="0.2">
      <c r="A7131" s="52"/>
    </row>
    <row r="7132" spans="1:1" x14ac:dyDescent="0.2">
      <c r="A7132" s="52"/>
    </row>
    <row r="7133" spans="1:1" x14ac:dyDescent="0.2">
      <c r="A7133" s="52"/>
    </row>
    <row r="7134" spans="1:1" x14ac:dyDescent="0.2">
      <c r="A7134" s="52"/>
    </row>
    <row r="7135" spans="1:1" x14ac:dyDescent="0.2">
      <c r="A7135" s="52"/>
    </row>
    <row r="7136" spans="1:1" x14ac:dyDescent="0.2">
      <c r="A7136" s="52"/>
    </row>
    <row r="7137" spans="1:1" x14ac:dyDescent="0.2">
      <c r="A7137" s="52"/>
    </row>
    <row r="7138" spans="1:1" x14ac:dyDescent="0.2">
      <c r="A7138" s="52"/>
    </row>
    <row r="7139" spans="1:1" x14ac:dyDescent="0.2">
      <c r="A7139" s="52"/>
    </row>
    <row r="7140" spans="1:1" x14ac:dyDescent="0.2">
      <c r="A7140" s="52"/>
    </row>
    <row r="7141" spans="1:1" x14ac:dyDescent="0.2">
      <c r="A7141" s="52"/>
    </row>
    <row r="7142" spans="1:1" x14ac:dyDescent="0.2">
      <c r="A7142" s="52"/>
    </row>
    <row r="7143" spans="1:1" x14ac:dyDescent="0.2">
      <c r="A7143" s="52"/>
    </row>
    <row r="7144" spans="1:1" x14ac:dyDescent="0.2">
      <c r="A7144" s="52"/>
    </row>
    <row r="7145" spans="1:1" x14ac:dyDescent="0.2">
      <c r="A7145" s="52"/>
    </row>
    <row r="7146" spans="1:1" x14ac:dyDescent="0.2">
      <c r="A7146" s="52"/>
    </row>
    <row r="7147" spans="1:1" x14ac:dyDescent="0.2">
      <c r="A7147" s="52"/>
    </row>
    <row r="7148" spans="1:1" x14ac:dyDescent="0.2">
      <c r="A7148" s="52"/>
    </row>
    <row r="7149" spans="1:1" x14ac:dyDescent="0.2">
      <c r="A7149" s="52"/>
    </row>
    <row r="7150" spans="1:1" x14ac:dyDescent="0.2">
      <c r="A7150" s="52"/>
    </row>
    <row r="7151" spans="1:1" x14ac:dyDescent="0.2">
      <c r="A7151" s="53"/>
    </row>
    <row r="7152" spans="1:1" x14ac:dyDescent="0.2">
      <c r="A7152" s="52"/>
    </row>
    <row r="7153" spans="1:1" x14ac:dyDescent="0.2">
      <c r="A7153" s="52"/>
    </row>
    <row r="7154" spans="1:1" x14ac:dyDescent="0.2">
      <c r="A7154" s="52"/>
    </row>
    <row r="7155" spans="1:1" x14ac:dyDescent="0.2">
      <c r="A7155" s="52"/>
    </row>
    <row r="7156" spans="1:1" x14ac:dyDescent="0.2">
      <c r="A7156" s="52"/>
    </row>
    <row r="7157" spans="1:1" x14ac:dyDescent="0.2">
      <c r="A7157" s="53"/>
    </row>
    <row r="7158" spans="1:1" x14ac:dyDescent="0.2">
      <c r="A7158" s="52"/>
    </row>
    <row r="7159" spans="1:1" x14ac:dyDescent="0.2">
      <c r="A7159" s="52"/>
    </row>
    <row r="7160" spans="1:1" x14ac:dyDescent="0.2">
      <c r="A7160" s="52"/>
    </row>
    <row r="7161" spans="1:1" x14ac:dyDescent="0.2">
      <c r="A7161" s="52"/>
    </row>
    <row r="7162" spans="1:1" x14ac:dyDescent="0.2">
      <c r="A7162" s="52"/>
    </row>
    <row r="7163" spans="1:1" x14ac:dyDescent="0.2">
      <c r="A7163" s="52"/>
    </row>
    <row r="7164" spans="1:1" x14ac:dyDescent="0.2">
      <c r="A7164" s="52"/>
    </row>
    <row r="7165" spans="1:1" x14ac:dyDescent="0.2">
      <c r="A7165" s="52"/>
    </row>
    <row r="7166" spans="1:1" x14ac:dyDescent="0.2">
      <c r="A7166" s="52"/>
    </row>
    <row r="7167" spans="1:1" x14ac:dyDescent="0.2">
      <c r="A7167" s="52"/>
    </row>
    <row r="7168" spans="1:1" x14ac:dyDescent="0.2">
      <c r="A7168" s="52"/>
    </row>
    <row r="7169" spans="1:1" x14ac:dyDescent="0.2">
      <c r="A7169" s="52"/>
    </row>
    <row r="7170" spans="1:1" x14ac:dyDescent="0.2">
      <c r="A7170" s="52"/>
    </row>
    <row r="7171" spans="1:1" x14ac:dyDescent="0.2">
      <c r="A7171" s="52"/>
    </row>
    <row r="7172" spans="1:1" x14ac:dyDescent="0.2">
      <c r="A7172" s="52"/>
    </row>
    <row r="7173" spans="1:1" x14ac:dyDescent="0.2">
      <c r="A7173" s="52"/>
    </row>
    <row r="7174" spans="1:1" x14ac:dyDescent="0.2">
      <c r="A7174" s="52"/>
    </row>
    <row r="7175" spans="1:1" x14ac:dyDescent="0.2">
      <c r="A7175" s="52"/>
    </row>
    <row r="7176" spans="1:1" x14ac:dyDescent="0.2">
      <c r="A7176" s="52"/>
    </row>
    <row r="7177" spans="1:1" x14ac:dyDescent="0.2">
      <c r="A7177" s="52"/>
    </row>
    <row r="7178" spans="1:1" x14ac:dyDescent="0.2">
      <c r="A7178" s="52"/>
    </row>
    <row r="7179" spans="1:1" x14ac:dyDescent="0.2">
      <c r="A7179" s="52"/>
    </row>
    <row r="7180" spans="1:1" x14ac:dyDescent="0.2">
      <c r="A7180" s="52"/>
    </row>
    <row r="7181" spans="1:1" x14ac:dyDescent="0.2">
      <c r="A7181" s="52"/>
    </row>
    <row r="7182" spans="1:1" x14ac:dyDescent="0.2">
      <c r="A7182" s="52"/>
    </row>
    <row r="7183" spans="1:1" x14ac:dyDescent="0.2">
      <c r="A7183" s="52"/>
    </row>
    <row r="7184" spans="1:1" x14ac:dyDescent="0.2">
      <c r="A7184" s="52"/>
    </row>
    <row r="7185" spans="1:1" x14ac:dyDescent="0.2">
      <c r="A7185" s="52"/>
    </row>
    <row r="7186" spans="1:1" x14ac:dyDescent="0.2">
      <c r="A7186" s="53"/>
    </row>
    <row r="7187" spans="1:1" x14ac:dyDescent="0.2">
      <c r="A7187" s="52"/>
    </row>
    <row r="7188" spans="1:1" x14ac:dyDescent="0.2">
      <c r="A7188" s="52"/>
    </row>
    <row r="7189" spans="1:1" x14ac:dyDescent="0.2">
      <c r="A7189" s="52"/>
    </row>
    <row r="7190" spans="1:1" x14ac:dyDescent="0.2">
      <c r="A7190" s="52"/>
    </row>
    <row r="7191" spans="1:1" x14ac:dyDescent="0.2">
      <c r="A7191" s="52"/>
    </row>
    <row r="7192" spans="1:1" x14ac:dyDescent="0.2">
      <c r="A7192" s="52"/>
    </row>
    <row r="7193" spans="1:1" x14ac:dyDescent="0.2">
      <c r="A7193" s="52"/>
    </row>
    <row r="7194" spans="1:1" x14ac:dyDescent="0.2">
      <c r="A7194" s="52"/>
    </row>
    <row r="7195" spans="1:1" x14ac:dyDescent="0.2">
      <c r="A7195" s="52"/>
    </row>
    <row r="7196" spans="1:1" x14ac:dyDescent="0.2">
      <c r="A7196" s="52"/>
    </row>
    <row r="7197" spans="1:1" x14ac:dyDescent="0.2">
      <c r="A7197" s="52"/>
    </row>
    <row r="7198" spans="1:1" x14ac:dyDescent="0.2">
      <c r="A7198" s="52"/>
    </row>
    <row r="7199" spans="1:1" x14ac:dyDescent="0.2">
      <c r="A7199" s="52"/>
    </row>
    <row r="7200" spans="1:1" x14ac:dyDescent="0.2">
      <c r="A7200" s="52"/>
    </row>
    <row r="7201" spans="1:1" x14ac:dyDescent="0.2">
      <c r="A7201" s="52"/>
    </row>
    <row r="7202" spans="1:1" x14ac:dyDescent="0.2">
      <c r="A7202" s="52"/>
    </row>
    <row r="7203" spans="1:1" x14ac:dyDescent="0.2">
      <c r="A7203" s="52"/>
    </row>
    <row r="7204" spans="1:1" x14ac:dyDescent="0.2">
      <c r="A7204" s="52"/>
    </row>
    <row r="7205" spans="1:1" x14ac:dyDescent="0.2">
      <c r="A7205" s="52"/>
    </row>
    <row r="7206" spans="1:1" x14ac:dyDescent="0.2">
      <c r="A7206" s="52"/>
    </row>
    <row r="7207" spans="1:1" x14ac:dyDescent="0.2">
      <c r="A7207" s="52"/>
    </row>
    <row r="7208" spans="1:1" x14ac:dyDescent="0.2">
      <c r="A7208" s="52"/>
    </row>
    <row r="7209" spans="1:1" x14ac:dyDescent="0.2">
      <c r="A7209" s="52"/>
    </row>
    <row r="7210" spans="1:1" x14ac:dyDescent="0.2">
      <c r="A7210" s="52"/>
    </row>
    <row r="7211" spans="1:1" x14ac:dyDescent="0.2">
      <c r="A7211" s="52"/>
    </row>
    <row r="7212" spans="1:1" x14ac:dyDescent="0.2">
      <c r="A7212" s="52"/>
    </row>
    <row r="7213" spans="1:1" x14ac:dyDescent="0.2">
      <c r="A7213" s="53"/>
    </row>
    <row r="7214" spans="1:1" x14ac:dyDescent="0.2">
      <c r="A7214" s="52"/>
    </row>
    <row r="7215" spans="1:1" x14ac:dyDescent="0.2">
      <c r="A7215" s="52"/>
    </row>
    <row r="7216" spans="1:1" x14ac:dyDescent="0.2">
      <c r="A7216" s="52"/>
    </row>
    <row r="7217" spans="1:1" x14ac:dyDescent="0.2">
      <c r="A7217" s="52"/>
    </row>
    <row r="7218" spans="1:1" x14ac:dyDescent="0.2">
      <c r="A7218" s="52"/>
    </row>
    <row r="7219" spans="1:1" x14ac:dyDescent="0.2">
      <c r="A7219" s="52"/>
    </row>
    <row r="7220" spans="1:1" x14ac:dyDescent="0.2">
      <c r="A7220" s="53"/>
    </row>
    <row r="7221" spans="1:1" x14ac:dyDescent="0.2">
      <c r="A7221" s="52"/>
    </row>
    <row r="7222" spans="1:1" x14ac:dyDescent="0.2">
      <c r="A7222" s="52"/>
    </row>
    <row r="7223" spans="1:1" x14ac:dyDescent="0.2">
      <c r="A7223" s="52"/>
    </row>
    <row r="7224" spans="1:1" x14ac:dyDescent="0.2">
      <c r="A7224" s="52"/>
    </row>
    <row r="7225" spans="1:1" x14ac:dyDescent="0.2">
      <c r="A7225" s="52"/>
    </row>
    <row r="7226" spans="1:1" x14ac:dyDescent="0.2">
      <c r="A7226" s="52"/>
    </row>
    <row r="7227" spans="1:1" x14ac:dyDescent="0.2">
      <c r="A7227" s="52"/>
    </row>
    <row r="7228" spans="1:1" x14ac:dyDescent="0.2">
      <c r="A7228" s="52"/>
    </row>
    <row r="7229" spans="1:1" x14ac:dyDescent="0.2">
      <c r="A7229" s="52"/>
    </row>
    <row r="7230" spans="1:1" x14ac:dyDescent="0.2">
      <c r="A7230" s="52"/>
    </row>
    <row r="7231" spans="1:1" x14ac:dyDescent="0.2">
      <c r="A7231" s="52"/>
    </row>
    <row r="7232" spans="1:1" x14ac:dyDescent="0.2">
      <c r="A7232" s="53"/>
    </row>
    <row r="7233" spans="1:1" x14ac:dyDescent="0.2">
      <c r="A7233" s="52"/>
    </row>
    <row r="7234" spans="1:1" x14ac:dyDescent="0.2">
      <c r="A7234" s="52"/>
    </row>
    <row r="7235" spans="1:1" x14ac:dyDescent="0.2">
      <c r="A7235" s="52"/>
    </row>
    <row r="7236" spans="1:1" x14ac:dyDescent="0.2">
      <c r="A7236" s="53"/>
    </row>
    <row r="7237" spans="1:1" x14ac:dyDescent="0.2">
      <c r="A7237" s="53"/>
    </row>
    <row r="7238" spans="1:1" x14ac:dyDescent="0.2">
      <c r="A7238" s="52"/>
    </row>
    <row r="7239" spans="1:1" x14ac:dyDescent="0.2">
      <c r="A7239" s="52"/>
    </row>
    <row r="7240" spans="1:1" x14ac:dyDescent="0.2">
      <c r="A7240" s="52"/>
    </row>
    <row r="7241" spans="1:1" x14ac:dyDescent="0.2">
      <c r="A7241" s="52"/>
    </row>
    <row r="7242" spans="1:1" x14ac:dyDescent="0.2">
      <c r="A7242" s="52"/>
    </row>
    <row r="7243" spans="1:1" x14ac:dyDescent="0.2">
      <c r="A7243" s="53"/>
    </row>
    <row r="7244" spans="1:1" x14ac:dyDescent="0.2">
      <c r="A7244" s="53"/>
    </row>
    <row r="7245" spans="1:1" x14ac:dyDescent="0.2">
      <c r="A7245" s="53"/>
    </row>
    <row r="7246" spans="1:1" x14ac:dyDescent="0.2">
      <c r="A7246" s="52"/>
    </row>
    <row r="7247" spans="1:1" x14ac:dyDescent="0.2">
      <c r="A7247" s="52"/>
    </row>
    <row r="7248" spans="1:1" x14ac:dyDescent="0.2">
      <c r="A7248" s="52"/>
    </row>
    <row r="7249" spans="1:1" x14ac:dyDescent="0.2">
      <c r="A7249" s="52"/>
    </row>
    <row r="7250" spans="1:1" x14ac:dyDescent="0.2">
      <c r="A7250" s="52"/>
    </row>
    <row r="7251" spans="1:1" x14ac:dyDescent="0.2">
      <c r="A7251" s="52"/>
    </row>
    <row r="7252" spans="1:1" x14ac:dyDescent="0.2">
      <c r="A7252" s="52"/>
    </row>
    <row r="7253" spans="1:1" x14ac:dyDescent="0.2">
      <c r="A7253" s="52"/>
    </row>
    <row r="7254" spans="1:1" x14ac:dyDescent="0.2">
      <c r="A7254" s="52"/>
    </row>
    <row r="7255" spans="1:1" x14ac:dyDescent="0.2">
      <c r="A7255" s="52"/>
    </row>
    <row r="7256" spans="1:1" x14ac:dyDescent="0.2">
      <c r="A7256" s="52"/>
    </row>
    <row r="7257" spans="1:1" x14ac:dyDescent="0.2">
      <c r="A7257" s="53"/>
    </row>
    <row r="7258" spans="1:1" x14ac:dyDescent="0.2">
      <c r="A7258" s="52"/>
    </row>
    <row r="7259" spans="1:1" x14ac:dyDescent="0.2">
      <c r="A7259" s="52"/>
    </row>
    <row r="7260" spans="1:1" x14ac:dyDescent="0.2">
      <c r="A7260" s="53"/>
    </row>
    <row r="7261" spans="1:1" x14ac:dyDescent="0.2">
      <c r="A7261" s="53"/>
    </row>
    <row r="7262" spans="1:1" x14ac:dyDescent="0.2">
      <c r="A7262" s="52"/>
    </row>
    <row r="7263" spans="1:1" x14ac:dyDescent="0.2">
      <c r="A7263" s="52"/>
    </row>
    <row r="7264" spans="1:1" x14ac:dyDescent="0.2">
      <c r="A7264" s="52"/>
    </row>
    <row r="7265" spans="1:1" x14ac:dyDescent="0.2">
      <c r="A7265" s="52"/>
    </row>
    <row r="7266" spans="1:1" x14ac:dyDescent="0.2">
      <c r="A7266" s="52"/>
    </row>
    <row r="7267" spans="1:1" x14ac:dyDescent="0.2">
      <c r="A7267" s="52"/>
    </row>
    <row r="7268" spans="1:1" x14ac:dyDescent="0.2">
      <c r="A7268" s="52"/>
    </row>
    <row r="7269" spans="1:1" x14ac:dyDescent="0.2">
      <c r="A7269" s="52"/>
    </row>
    <row r="7270" spans="1:1" x14ac:dyDescent="0.2">
      <c r="A7270" s="52"/>
    </row>
    <row r="7271" spans="1:1" x14ac:dyDescent="0.2">
      <c r="A7271" s="52"/>
    </row>
    <row r="7272" spans="1:1" x14ac:dyDescent="0.2">
      <c r="A7272" s="52"/>
    </row>
    <row r="7273" spans="1:1" x14ac:dyDescent="0.2">
      <c r="A7273" s="52"/>
    </row>
    <row r="7274" spans="1:1" x14ac:dyDescent="0.2">
      <c r="A7274" s="53"/>
    </row>
    <row r="7275" spans="1:1" x14ac:dyDescent="0.2">
      <c r="A7275" s="53"/>
    </row>
    <row r="7276" spans="1:1" x14ac:dyDescent="0.2">
      <c r="A7276" s="52"/>
    </row>
    <row r="7277" spans="1:1" x14ac:dyDescent="0.2">
      <c r="A7277" s="52"/>
    </row>
    <row r="7278" spans="1:1" x14ac:dyDescent="0.2">
      <c r="A7278" s="52"/>
    </row>
    <row r="7279" spans="1:1" x14ac:dyDescent="0.2">
      <c r="A7279" s="52"/>
    </row>
    <row r="7280" spans="1:1" x14ac:dyDescent="0.2">
      <c r="A7280" s="52"/>
    </row>
    <row r="7281" spans="1:1" x14ac:dyDescent="0.2">
      <c r="A7281" s="53"/>
    </row>
    <row r="7282" spans="1:1" x14ac:dyDescent="0.2">
      <c r="A7282" s="52"/>
    </row>
    <row r="7283" spans="1:1" x14ac:dyDescent="0.2">
      <c r="A7283" s="52"/>
    </row>
    <row r="7284" spans="1:1" x14ac:dyDescent="0.2">
      <c r="A7284" s="52"/>
    </row>
    <row r="7285" spans="1:1" x14ac:dyDescent="0.2">
      <c r="A7285" s="52"/>
    </row>
    <row r="7286" spans="1:1" x14ac:dyDescent="0.2">
      <c r="A7286" s="52"/>
    </row>
    <row r="7287" spans="1:1" x14ac:dyDescent="0.2">
      <c r="A7287" s="52"/>
    </row>
    <row r="7288" spans="1:1" x14ac:dyDescent="0.2">
      <c r="A7288" s="52"/>
    </row>
    <row r="7289" spans="1:1" x14ac:dyDescent="0.2">
      <c r="A7289" s="52"/>
    </row>
    <row r="7290" spans="1:1" x14ac:dyDescent="0.2">
      <c r="A7290" s="52"/>
    </row>
    <row r="7291" spans="1:1" x14ac:dyDescent="0.2">
      <c r="A7291" s="52"/>
    </row>
    <row r="7292" spans="1:1" x14ac:dyDescent="0.2">
      <c r="A7292" s="52"/>
    </row>
    <row r="7293" spans="1:1" x14ac:dyDescent="0.2">
      <c r="A7293" s="52"/>
    </row>
    <row r="7294" spans="1:1" x14ac:dyDescent="0.2">
      <c r="A7294" s="52"/>
    </row>
    <row r="7295" spans="1:1" x14ac:dyDescent="0.2">
      <c r="A7295" s="52"/>
    </row>
    <row r="7296" spans="1:1" x14ac:dyDescent="0.2">
      <c r="A7296" s="52"/>
    </row>
    <row r="7297" spans="1:1" x14ac:dyDescent="0.2">
      <c r="A7297" s="52"/>
    </row>
    <row r="7298" spans="1:1" x14ac:dyDescent="0.2">
      <c r="A7298" s="52"/>
    </row>
    <row r="7299" spans="1:1" x14ac:dyDescent="0.2">
      <c r="A7299" s="52"/>
    </row>
    <row r="7300" spans="1:1" x14ac:dyDescent="0.2">
      <c r="A7300" s="52"/>
    </row>
    <row r="7301" spans="1:1" x14ac:dyDescent="0.2">
      <c r="A7301" s="52"/>
    </row>
    <row r="7302" spans="1:1" x14ac:dyDescent="0.2">
      <c r="A7302" s="52"/>
    </row>
    <row r="7303" spans="1:1" x14ac:dyDescent="0.2">
      <c r="A7303" s="52"/>
    </row>
    <row r="7304" spans="1:1" x14ac:dyDescent="0.2">
      <c r="A7304" s="52"/>
    </row>
    <row r="7305" spans="1:1" x14ac:dyDescent="0.2">
      <c r="A7305" s="52"/>
    </row>
    <row r="7306" spans="1:1" x14ac:dyDescent="0.2">
      <c r="A7306" s="52"/>
    </row>
    <row r="7307" spans="1:1" x14ac:dyDescent="0.2">
      <c r="A7307" s="52"/>
    </row>
    <row r="7308" spans="1:1" x14ac:dyDescent="0.2">
      <c r="A7308" s="52"/>
    </row>
    <row r="7309" spans="1:1" x14ac:dyDescent="0.2">
      <c r="A7309" s="52"/>
    </row>
    <row r="7310" spans="1:1" x14ac:dyDescent="0.2">
      <c r="A7310" s="52"/>
    </row>
    <row r="7311" spans="1:1" x14ac:dyDescent="0.2">
      <c r="A7311" s="52"/>
    </row>
    <row r="7312" spans="1:1" x14ac:dyDescent="0.2">
      <c r="A7312" s="52"/>
    </row>
    <row r="7313" spans="1:1" x14ac:dyDescent="0.2">
      <c r="A7313" s="52"/>
    </row>
    <row r="7314" spans="1:1" x14ac:dyDescent="0.2">
      <c r="A7314" s="52"/>
    </row>
    <row r="7315" spans="1:1" x14ac:dyDescent="0.2">
      <c r="A7315" s="52"/>
    </row>
    <row r="7316" spans="1:1" x14ac:dyDescent="0.2">
      <c r="A7316" s="52"/>
    </row>
    <row r="7317" spans="1:1" x14ac:dyDescent="0.2">
      <c r="A7317" s="52"/>
    </row>
    <row r="7318" spans="1:1" x14ac:dyDescent="0.2">
      <c r="A7318" s="52"/>
    </row>
    <row r="7319" spans="1:1" x14ac:dyDescent="0.2">
      <c r="A7319" s="52"/>
    </row>
    <row r="7320" spans="1:1" x14ac:dyDescent="0.2">
      <c r="A7320" s="52"/>
    </row>
    <row r="7321" spans="1:1" x14ac:dyDescent="0.2">
      <c r="A7321" s="52"/>
    </row>
    <row r="7322" spans="1:1" x14ac:dyDescent="0.2">
      <c r="A7322" s="52"/>
    </row>
    <row r="7323" spans="1:1" x14ac:dyDescent="0.2">
      <c r="A7323" s="52"/>
    </row>
    <row r="7324" spans="1:1" x14ac:dyDescent="0.2">
      <c r="A7324" s="52"/>
    </row>
    <row r="7325" spans="1:1" x14ac:dyDescent="0.2">
      <c r="A7325" s="52"/>
    </row>
    <row r="7326" spans="1:1" x14ac:dyDescent="0.2">
      <c r="A7326" s="52"/>
    </row>
    <row r="7327" spans="1:1" x14ac:dyDescent="0.2">
      <c r="A7327" s="52"/>
    </row>
    <row r="7328" spans="1:1" x14ac:dyDescent="0.2">
      <c r="A7328" s="52"/>
    </row>
    <row r="7329" spans="1:1" x14ac:dyDescent="0.2">
      <c r="A7329" s="52"/>
    </row>
    <row r="7330" spans="1:1" x14ac:dyDescent="0.2">
      <c r="A7330" s="52"/>
    </row>
    <row r="7331" spans="1:1" x14ac:dyDescent="0.2">
      <c r="A7331" s="52"/>
    </row>
    <row r="7332" spans="1:1" x14ac:dyDescent="0.2">
      <c r="A7332" s="52"/>
    </row>
    <row r="7333" spans="1:1" x14ac:dyDescent="0.2">
      <c r="A7333" s="52"/>
    </row>
    <row r="7334" spans="1:1" x14ac:dyDescent="0.2">
      <c r="A7334" s="52"/>
    </row>
    <row r="7335" spans="1:1" x14ac:dyDescent="0.2">
      <c r="A7335" s="52"/>
    </row>
    <row r="7336" spans="1:1" x14ac:dyDescent="0.2">
      <c r="A7336" s="52"/>
    </row>
    <row r="7337" spans="1:1" x14ac:dyDescent="0.2">
      <c r="A7337" s="52"/>
    </row>
    <row r="7338" spans="1:1" x14ac:dyDescent="0.2">
      <c r="A7338" s="52"/>
    </row>
    <row r="7339" spans="1:1" x14ac:dyDescent="0.2">
      <c r="A7339" s="52"/>
    </row>
    <row r="7340" spans="1:1" x14ac:dyDescent="0.2">
      <c r="A7340" s="52"/>
    </row>
    <row r="7341" spans="1:1" x14ac:dyDescent="0.2">
      <c r="A7341" s="52"/>
    </row>
    <row r="7342" spans="1:1" x14ac:dyDescent="0.2">
      <c r="A7342" s="52"/>
    </row>
    <row r="7343" spans="1:1" x14ac:dyDescent="0.2">
      <c r="A7343" s="52"/>
    </row>
    <row r="7344" spans="1:1" x14ac:dyDescent="0.2">
      <c r="A7344" s="52"/>
    </row>
    <row r="7345" spans="1:1" x14ac:dyDescent="0.2">
      <c r="A7345" s="53"/>
    </row>
    <row r="7346" spans="1:1" x14ac:dyDescent="0.2">
      <c r="A7346" s="53"/>
    </row>
    <row r="7347" spans="1:1" x14ac:dyDescent="0.2">
      <c r="A7347" s="52"/>
    </row>
    <row r="7348" spans="1:1" x14ac:dyDescent="0.2">
      <c r="A7348" s="53"/>
    </row>
    <row r="7349" spans="1:1" x14ac:dyDescent="0.2">
      <c r="A7349" s="52"/>
    </row>
    <row r="7350" spans="1:1" x14ac:dyDescent="0.2">
      <c r="A7350" s="52"/>
    </row>
    <row r="7351" spans="1:1" x14ac:dyDescent="0.2">
      <c r="A7351" s="52"/>
    </row>
    <row r="7352" spans="1:1" x14ac:dyDescent="0.2">
      <c r="A7352" s="52"/>
    </row>
    <row r="7353" spans="1:1" x14ac:dyDescent="0.2">
      <c r="A7353" s="53"/>
    </row>
    <row r="7354" spans="1:1" x14ac:dyDescent="0.2">
      <c r="A7354" s="52"/>
    </row>
    <row r="7355" spans="1:1" x14ac:dyDescent="0.2">
      <c r="A7355" s="52"/>
    </row>
    <row r="7356" spans="1:1" x14ac:dyDescent="0.2">
      <c r="A7356" s="53"/>
    </row>
    <row r="7357" spans="1:1" x14ac:dyDescent="0.2">
      <c r="A7357" s="52"/>
    </row>
    <row r="7358" spans="1:1" x14ac:dyDescent="0.2">
      <c r="A7358" s="52"/>
    </row>
    <row r="7359" spans="1:1" x14ac:dyDescent="0.2">
      <c r="A7359" s="53"/>
    </row>
    <row r="7360" spans="1:1" x14ac:dyDescent="0.2">
      <c r="A7360" s="52"/>
    </row>
    <row r="7361" spans="1:1" x14ac:dyDescent="0.2">
      <c r="A7361" s="52"/>
    </row>
    <row r="7362" spans="1:1" x14ac:dyDescent="0.2">
      <c r="A7362" s="53"/>
    </row>
    <row r="7363" spans="1:1" x14ac:dyDescent="0.2">
      <c r="A7363" s="52"/>
    </row>
    <row r="7364" spans="1:1" x14ac:dyDescent="0.2">
      <c r="A7364" s="53"/>
    </row>
    <row r="7365" spans="1:1" x14ac:dyDescent="0.2">
      <c r="A7365" s="53"/>
    </row>
    <row r="7366" spans="1:1" x14ac:dyDescent="0.2">
      <c r="A7366" s="52"/>
    </row>
    <row r="7367" spans="1:1" x14ac:dyDescent="0.2">
      <c r="A7367" s="52"/>
    </row>
    <row r="7368" spans="1:1" x14ac:dyDescent="0.2">
      <c r="A7368" s="52"/>
    </row>
    <row r="7369" spans="1:1" x14ac:dyDescent="0.2">
      <c r="A7369" s="52"/>
    </row>
    <row r="7370" spans="1:1" x14ac:dyDescent="0.2">
      <c r="A7370" s="52"/>
    </row>
    <row r="7371" spans="1:1" x14ac:dyDescent="0.2">
      <c r="A7371" s="52"/>
    </row>
    <row r="7372" spans="1:1" x14ac:dyDescent="0.2">
      <c r="A7372" s="52"/>
    </row>
    <row r="7373" spans="1:1" x14ac:dyDescent="0.2">
      <c r="A7373" s="52"/>
    </row>
    <row r="7374" spans="1:1" x14ac:dyDescent="0.2">
      <c r="A7374" s="52"/>
    </row>
    <row r="7375" spans="1:1" x14ac:dyDescent="0.2">
      <c r="A7375" s="52"/>
    </row>
    <row r="7376" spans="1:1" x14ac:dyDescent="0.2">
      <c r="A7376" s="52"/>
    </row>
    <row r="7377" spans="1:1" x14ac:dyDescent="0.2">
      <c r="A7377" s="52"/>
    </row>
    <row r="7378" spans="1:1" x14ac:dyDescent="0.2">
      <c r="A7378" s="52"/>
    </row>
    <row r="7379" spans="1:1" x14ac:dyDescent="0.2">
      <c r="A7379" s="52"/>
    </row>
    <row r="7380" spans="1:1" x14ac:dyDescent="0.2">
      <c r="A7380" s="52"/>
    </row>
    <row r="7381" spans="1:1" x14ac:dyDescent="0.2">
      <c r="A7381" s="52"/>
    </row>
    <row r="7382" spans="1:1" x14ac:dyDescent="0.2">
      <c r="A7382" s="52"/>
    </row>
    <row r="7383" spans="1:1" x14ac:dyDescent="0.2">
      <c r="A7383" s="52"/>
    </row>
    <row r="7384" spans="1:1" x14ac:dyDescent="0.2">
      <c r="A7384" s="52"/>
    </row>
    <row r="7385" spans="1:1" x14ac:dyDescent="0.2">
      <c r="A7385" s="53"/>
    </row>
    <row r="7386" spans="1:1" x14ac:dyDescent="0.2">
      <c r="A7386" s="53"/>
    </row>
    <row r="7387" spans="1:1" x14ac:dyDescent="0.2">
      <c r="A7387" s="53"/>
    </row>
    <row r="7388" spans="1:1" x14ac:dyDescent="0.2">
      <c r="A7388" s="52"/>
    </row>
    <row r="7389" spans="1:1" x14ac:dyDescent="0.2">
      <c r="A7389" s="52"/>
    </row>
    <row r="7390" spans="1:1" x14ac:dyDescent="0.2">
      <c r="A7390" s="52"/>
    </row>
    <row r="7391" spans="1:1" x14ac:dyDescent="0.2">
      <c r="A7391" s="52"/>
    </row>
    <row r="7392" spans="1:1" x14ac:dyDescent="0.2">
      <c r="A7392" s="52"/>
    </row>
    <row r="7393" spans="1:1" x14ac:dyDescent="0.2">
      <c r="A7393" s="52"/>
    </row>
    <row r="7394" spans="1:1" x14ac:dyDescent="0.2">
      <c r="A7394" s="52"/>
    </row>
    <row r="7395" spans="1:1" x14ac:dyDescent="0.2">
      <c r="A7395" s="52"/>
    </row>
    <row r="7396" spans="1:1" x14ac:dyDescent="0.2">
      <c r="A7396" s="52"/>
    </row>
    <row r="7397" spans="1:1" x14ac:dyDescent="0.2">
      <c r="A7397" s="52"/>
    </row>
    <row r="7398" spans="1:1" x14ac:dyDescent="0.2">
      <c r="A7398" s="52"/>
    </row>
    <row r="7399" spans="1:1" x14ac:dyDescent="0.2">
      <c r="A7399" s="52"/>
    </row>
    <row r="7400" spans="1:1" x14ac:dyDescent="0.2">
      <c r="A7400" s="52"/>
    </row>
    <row r="7401" spans="1:1" x14ac:dyDescent="0.2">
      <c r="A7401" s="53"/>
    </row>
    <row r="7402" spans="1:1" x14ac:dyDescent="0.2">
      <c r="A7402" s="52"/>
    </row>
    <row r="7403" spans="1:1" x14ac:dyDescent="0.2">
      <c r="A7403" s="52"/>
    </row>
    <row r="7404" spans="1:1" x14ac:dyDescent="0.2">
      <c r="A7404" s="52"/>
    </row>
    <row r="7405" spans="1:1" x14ac:dyDescent="0.2">
      <c r="A7405" s="52"/>
    </row>
    <row r="7406" spans="1:1" x14ac:dyDescent="0.2">
      <c r="A7406" s="52"/>
    </row>
    <row r="7407" spans="1:1" x14ac:dyDescent="0.2">
      <c r="A7407" s="52"/>
    </row>
    <row r="7408" spans="1:1" x14ac:dyDescent="0.2">
      <c r="A7408" s="52"/>
    </row>
    <row r="7409" spans="1:1" x14ac:dyDescent="0.2">
      <c r="A7409" s="52"/>
    </row>
    <row r="7410" spans="1:1" x14ac:dyDescent="0.2">
      <c r="A7410" s="52"/>
    </row>
    <row r="7411" spans="1:1" x14ac:dyDescent="0.2">
      <c r="A7411" s="52"/>
    </row>
    <row r="7412" spans="1:1" x14ac:dyDescent="0.2">
      <c r="A7412" s="53"/>
    </row>
    <row r="7413" spans="1:1" x14ac:dyDescent="0.2">
      <c r="A7413" s="52"/>
    </row>
    <row r="7414" spans="1:1" x14ac:dyDescent="0.2">
      <c r="A7414" s="52"/>
    </row>
    <row r="7415" spans="1:1" x14ac:dyDescent="0.2">
      <c r="A7415" s="52"/>
    </row>
    <row r="7416" spans="1:1" x14ac:dyDescent="0.2">
      <c r="A7416" s="52"/>
    </row>
    <row r="7417" spans="1:1" x14ac:dyDescent="0.2">
      <c r="A7417" s="52"/>
    </row>
    <row r="7418" spans="1:1" x14ac:dyDescent="0.2">
      <c r="A7418" s="52"/>
    </row>
    <row r="7419" spans="1:1" x14ac:dyDescent="0.2">
      <c r="A7419" s="52"/>
    </row>
    <row r="7420" spans="1:1" x14ac:dyDescent="0.2">
      <c r="A7420" s="52"/>
    </row>
    <row r="7421" spans="1:1" x14ac:dyDescent="0.2">
      <c r="A7421" s="52"/>
    </row>
    <row r="7422" spans="1:1" x14ac:dyDescent="0.2">
      <c r="A7422" s="52"/>
    </row>
    <row r="7423" spans="1:1" x14ac:dyDescent="0.2">
      <c r="A7423" s="52"/>
    </row>
    <row r="7424" spans="1:1" x14ac:dyDescent="0.2">
      <c r="A7424" s="52"/>
    </row>
    <row r="7425" spans="1:1" x14ac:dyDescent="0.2">
      <c r="A7425" s="52"/>
    </row>
    <row r="7426" spans="1:1" x14ac:dyDescent="0.2">
      <c r="A7426" s="52"/>
    </row>
    <row r="7427" spans="1:1" x14ac:dyDescent="0.2">
      <c r="A7427" s="52"/>
    </row>
    <row r="7428" spans="1:1" x14ac:dyDescent="0.2">
      <c r="A7428" s="52"/>
    </row>
    <row r="7429" spans="1:1" x14ac:dyDescent="0.2">
      <c r="A7429" s="52"/>
    </row>
    <row r="7430" spans="1:1" x14ac:dyDescent="0.2">
      <c r="A7430" s="52"/>
    </row>
    <row r="7431" spans="1:1" x14ac:dyDescent="0.2">
      <c r="A7431" s="52"/>
    </row>
    <row r="7432" spans="1:1" x14ac:dyDescent="0.2">
      <c r="A7432" s="52"/>
    </row>
    <row r="7433" spans="1:1" x14ac:dyDescent="0.2">
      <c r="A7433" s="52"/>
    </row>
    <row r="7434" spans="1:1" x14ac:dyDescent="0.2">
      <c r="A7434" s="52"/>
    </row>
    <row r="7435" spans="1:1" x14ac:dyDescent="0.2">
      <c r="A7435" s="52"/>
    </row>
    <row r="7436" spans="1:1" x14ac:dyDescent="0.2">
      <c r="A7436" s="52"/>
    </row>
    <row r="7437" spans="1:1" x14ac:dyDescent="0.2">
      <c r="A7437" s="52"/>
    </row>
    <row r="7438" spans="1:1" x14ac:dyDescent="0.2">
      <c r="A7438" s="52"/>
    </row>
    <row r="7439" spans="1:1" x14ac:dyDescent="0.2">
      <c r="A7439" s="52"/>
    </row>
    <row r="7440" spans="1:1" x14ac:dyDescent="0.2">
      <c r="A7440" s="52"/>
    </row>
    <row r="7441" spans="1:1" x14ac:dyDescent="0.2">
      <c r="A7441" s="52"/>
    </row>
    <row r="7442" spans="1:1" x14ac:dyDescent="0.2">
      <c r="A7442" s="52"/>
    </row>
    <row r="7443" spans="1:1" x14ac:dyDescent="0.2">
      <c r="A7443" s="52"/>
    </row>
    <row r="7444" spans="1:1" x14ac:dyDescent="0.2">
      <c r="A7444" s="52"/>
    </row>
    <row r="7445" spans="1:1" x14ac:dyDescent="0.2">
      <c r="A7445" s="53"/>
    </row>
    <row r="7446" spans="1:1" x14ac:dyDescent="0.2">
      <c r="A7446" s="52"/>
    </row>
    <row r="7447" spans="1:1" x14ac:dyDescent="0.2">
      <c r="A7447" s="52"/>
    </row>
    <row r="7448" spans="1:1" x14ac:dyDescent="0.2">
      <c r="A7448" s="52"/>
    </row>
    <row r="7449" spans="1:1" x14ac:dyDescent="0.2">
      <c r="A7449" s="52"/>
    </row>
    <row r="7450" spans="1:1" x14ac:dyDescent="0.2">
      <c r="A7450" s="52"/>
    </row>
    <row r="7451" spans="1:1" x14ac:dyDescent="0.2">
      <c r="A7451" s="52"/>
    </row>
    <row r="7452" spans="1:1" x14ac:dyDescent="0.2">
      <c r="A7452" s="52"/>
    </row>
    <row r="7453" spans="1:1" x14ac:dyDescent="0.2">
      <c r="A7453" s="52"/>
    </row>
    <row r="7454" spans="1:1" x14ac:dyDescent="0.2">
      <c r="A7454" s="52"/>
    </row>
    <row r="7455" spans="1:1" x14ac:dyDescent="0.2">
      <c r="A7455" s="52"/>
    </row>
    <row r="7456" spans="1:1" x14ac:dyDescent="0.2">
      <c r="A7456" s="52"/>
    </row>
    <row r="7457" spans="1:1" x14ac:dyDescent="0.2">
      <c r="A7457" s="52"/>
    </row>
    <row r="7458" spans="1:1" x14ac:dyDescent="0.2">
      <c r="A7458" s="52"/>
    </row>
    <row r="7459" spans="1:1" x14ac:dyDescent="0.2">
      <c r="A7459" s="52"/>
    </row>
    <row r="7460" spans="1:1" x14ac:dyDescent="0.2">
      <c r="A7460" s="52"/>
    </row>
    <row r="7461" spans="1:1" x14ac:dyDescent="0.2">
      <c r="A7461" s="52"/>
    </row>
    <row r="7462" spans="1:1" x14ac:dyDescent="0.2">
      <c r="A7462" s="52"/>
    </row>
    <row r="7463" spans="1:1" x14ac:dyDescent="0.2">
      <c r="A7463" s="52"/>
    </row>
    <row r="7464" spans="1:1" x14ac:dyDescent="0.2">
      <c r="A7464" s="52"/>
    </row>
    <row r="7465" spans="1:1" x14ac:dyDescent="0.2">
      <c r="A7465" s="53"/>
    </row>
    <row r="7466" spans="1:1" x14ac:dyDescent="0.2">
      <c r="A7466" s="53"/>
    </row>
    <row r="7467" spans="1:1" x14ac:dyDescent="0.2">
      <c r="A7467" s="52"/>
    </row>
    <row r="7468" spans="1:1" x14ac:dyDescent="0.2">
      <c r="A7468" s="52"/>
    </row>
    <row r="7469" spans="1:1" x14ac:dyDescent="0.2">
      <c r="A7469" s="52"/>
    </row>
    <row r="7470" spans="1:1" x14ac:dyDescent="0.2">
      <c r="A7470" s="52"/>
    </row>
    <row r="7471" spans="1:1" x14ac:dyDescent="0.2">
      <c r="A7471" s="52"/>
    </row>
    <row r="7472" spans="1:1" x14ac:dyDescent="0.2">
      <c r="A7472" s="52"/>
    </row>
    <row r="7473" spans="1:1" x14ac:dyDescent="0.2">
      <c r="A7473" s="52"/>
    </row>
    <row r="7474" spans="1:1" x14ac:dyDescent="0.2">
      <c r="A7474" s="52"/>
    </row>
    <row r="7475" spans="1:1" x14ac:dyDescent="0.2">
      <c r="A7475" s="52"/>
    </row>
    <row r="7476" spans="1:1" x14ac:dyDescent="0.2">
      <c r="A7476" s="53"/>
    </row>
    <row r="7477" spans="1:1" x14ac:dyDescent="0.2">
      <c r="A7477" s="52"/>
    </row>
    <row r="7478" spans="1:1" x14ac:dyDescent="0.2">
      <c r="A7478" s="52"/>
    </row>
    <row r="7479" spans="1:1" x14ac:dyDescent="0.2">
      <c r="A7479" s="52"/>
    </row>
    <row r="7480" spans="1:1" x14ac:dyDescent="0.2">
      <c r="A7480" s="52"/>
    </row>
    <row r="7481" spans="1:1" x14ac:dyDescent="0.2">
      <c r="A7481" s="52"/>
    </row>
    <row r="7482" spans="1:1" x14ac:dyDescent="0.2">
      <c r="A7482" s="52"/>
    </row>
    <row r="7483" spans="1:1" x14ac:dyDescent="0.2">
      <c r="A7483" s="52"/>
    </row>
    <row r="7484" spans="1:1" x14ac:dyDescent="0.2">
      <c r="A7484" s="52"/>
    </row>
    <row r="7485" spans="1:1" x14ac:dyDescent="0.2">
      <c r="A7485" s="52"/>
    </row>
    <row r="7486" spans="1:1" x14ac:dyDescent="0.2">
      <c r="A7486" s="52"/>
    </row>
    <row r="7487" spans="1:1" x14ac:dyDescent="0.2">
      <c r="A7487" s="52"/>
    </row>
    <row r="7488" spans="1:1" x14ac:dyDescent="0.2">
      <c r="A7488" s="52"/>
    </row>
    <row r="7489" spans="1:1" x14ac:dyDescent="0.2">
      <c r="A7489" s="52"/>
    </row>
    <row r="7490" spans="1:1" x14ac:dyDescent="0.2">
      <c r="A7490" s="52"/>
    </row>
    <row r="7491" spans="1:1" x14ac:dyDescent="0.2">
      <c r="A7491" s="53"/>
    </row>
    <row r="7492" spans="1:1" x14ac:dyDescent="0.2">
      <c r="A7492" s="52"/>
    </row>
    <row r="7493" spans="1:1" x14ac:dyDescent="0.2">
      <c r="A7493" s="52"/>
    </row>
    <row r="7494" spans="1:1" x14ac:dyDescent="0.2">
      <c r="A7494" s="53"/>
    </row>
    <row r="7495" spans="1:1" x14ac:dyDescent="0.2">
      <c r="A7495" s="52"/>
    </row>
    <row r="7496" spans="1:1" x14ac:dyDescent="0.2">
      <c r="A7496" s="52"/>
    </row>
    <row r="7497" spans="1:1" x14ac:dyDescent="0.2">
      <c r="A7497" s="52"/>
    </row>
    <row r="7498" spans="1:1" x14ac:dyDescent="0.2">
      <c r="A7498" s="52"/>
    </row>
    <row r="7499" spans="1:1" x14ac:dyDescent="0.2">
      <c r="A7499" s="52"/>
    </row>
    <row r="7500" spans="1:1" x14ac:dyDescent="0.2">
      <c r="A7500" s="52"/>
    </row>
    <row r="7501" spans="1:1" x14ac:dyDescent="0.2">
      <c r="A7501" s="52"/>
    </row>
    <row r="7502" spans="1:1" x14ac:dyDescent="0.2">
      <c r="A7502" s="52"/>
    </row>
    <row r="7503" spans="1:1" x14ac:dyDescent="0.2">
      <c r="A7503" s="53"/>
    </row>
    <row r="7504" spans="1:1" x14ac:dyDescent="0.2">
      <c r="A7504" s="52"/>
    </row>
    <row r="7505" spans="1:1" x14ac:dyDescent="0.2">
      <c r="A7505" s="52"/>
    </row>
    <row r="7506" spans="1:1" x14ac:dyDescent="0.2">
      <c r="A7506" s="52"/>
    </row>
    <row r="7507" spans="1:1" x14ac:dyDescent="0.2">
      <c r="A7507" s="53"/>
    </row>
    <row r="7508" spans="1:1" x14ac:dyDescent="0.2">
      <c r="A7508" s="53"/>
    </row>
    <row r="7509" spans="1:1" x14ac:dyDescent="0.2">
      <c r="A7509" s="52"/>
    </row>
    <row r="7510" spans="1:1" x14ac:dyDescent="0.2">
      <c r="A7510" s="52"/>
    </row>
    <row r="7511" spans="1:1" x14ac:dyDescent="0.2">
      <c r="A7511" s="52"/>
    </row>
    <row r="7512" spans="1:1" x14ac:dyDescent="0.2">
      <c r="A7512" s="52"/>
    </row>
    <row r="7513" spans="1:1" x14ac:dyDescent="0.2">
      <c r="A7513" s="52"/>
    </row>
    <row r="7514" spans="1:1" x14ac:dyDescent="0.2">
      <c r="A7514" s="52"/>
    </row>
    <row r="7515" spans="1:1" x14ac:dyDescent="0.2">
      <c r="A7515" s="52"/>
    </row>
    <row r="7516" spans="1:1" x14ac:dyDescent="0.2">
      <c r="A7516" s="52"/>
    </row>
    <row r="7517" spans="1:1" x14ac:dyDescent="0.2">
      <c r="A7517" s="52"/>
    </row>
    <row r="7518" spans="1:1" x14ac:dyDescent="0.2">
      <c r="A7518" s="52"/>
    </row>
    <row r="7519" spans="1:1" x14ac:dyDescent="0.2">
      <c r="A7519" s="52"/>
    </row>
    <row r="7520" spans="1:1" x14ac:dyDescent="0.2">
      <c r="A7520" s="52"/>
    </row>
    <row r="7521" spans="1:1" x14ac:dyDescent="0.2">
      <c r="A7521" s="53"/>
    </row>
    <row r="7522" spans="1:1" x14ac:dyDescent="0.2">
      <c r="A7522" s="53"/>
    </row>
    <row r="7523" spans="1:1" x14ac:dyDescent="0.2">
      <c r="A7523" s="52"/>
    </row>
    <row r="7524" spans="1:1" x14ac:dyDescent="0.2">
      <c r="A7524" s="52"/>
    </row>
    <row r="7525" spans="1:1" x14ac:dyDescent="0.2">
      <c r="A7525" s="52"/>
    </row>
    <row r="7526" spans="1:1" x14ac:dyDescent="0.2">
      <c r="A7526" s="52"/>
    </row>
    <row r="7527" spans="1:1" x14ac:dyDescent="0.2">
      <c r="A7527" s="52"/>
    </row>
    <row r="7528" spans="1:1" x14ac:dyDescent="0.2">
      <c r="A7528" s="52"/>
    </row>
    <row r="7529" spans="1:1" x14ac:dyDescent="0.2">
      <c r="A7529" s="52"/>
    </row>
    <row r="7530" spans="1:1" x14ac:dyDescent="0.2">
      <c r="A7530" s="52"/>
    </row>
    <row r="7531" spans="1:1" x14ac:dyDescent="0.2">
      <c r="A7531" s="52"/>
    </row>
    <row r="7532" spans="1:1" x14ac:dyDescent="0.2">
      <c r="A7532" s="52"/>
    </row>
    <row r="7533" spans="1:1" x14ac:dyDescent="0.2">
      <c r="A7533" s="52"/>
    </row>
    <row r="7534" spans="1:1" x14ac:dyDescent="0.2">
      <c r="A7534" s="52"/>
    </row>
    <row r="7535" spans="1:1" x14ac:dyDescent="0.2">
      <c r="A7535" s="52"/>
    </row>
    <row r="7536" spans="1:1" x14ac:dyDescent="0.2">
      <c r="A7536" s="52"/>
    </row>
    <row r="7537" spans="1:1" x14ac:dyDescent="0.2">
      <c r="A7537" s="52"/>
    </row>
    <row r="7538" spans="1:1" x14ac:dyDescent="0.2">
      <c r="A7538" s="52"/>
    </row>
    <row r="7539" spans="1:1" x14ac:dyDescent="0.2">
      <c r="A7539" s="52"/>
    </row>
    <row r="7540" spans="1:1" x14ac:dyDescent="0.2">
      <c r="A7540" s="52"/>
    </row>
    <row r="7541" spans="1:1" x14ac:dyDescent="0.2">
      <c r="A7541" s="52"/>
    </row>
    <row r="7542" spans="1:1" x14ac:dyDescent="0.2">
      <c r="A7542" s="52"/>
    </row>
    <row r="7543" spans="1:1" x14ac:dyDescent="0.2">
      <c r="A7543" s="52"/>
    </row>
    <row r="7544" spans="1:1" x14ac:dyDescent="0.2">
      <c r="A7544" s="52"/>
    </row>
    <row r="7545" spans="1:1" x14ac:dyDescent="0.2">
      <c r="A7545" s="52"/>
    </row>
    <row r="7546" spans="1:1" x14ac:dyDescent="0.2">
      <c r="A7546" s="52"/>
    </row>
    <row r="7547" spans="1:1" x14ac:dyDescent="0.2">
      <c r="A7547" s="52"/>
    </row>
    <row r="7548" spans="1:1" x14ac:dyDescent="0.2">
      <c r="A7548" s="52"/>
    </row>
    <row r="7549" spans="1:1" x14ac:dyDescent="0.2">
      <c r="A7549" s="52"/>
    </row>
    <row r="7550" spans="1:1" x14ac:dyDescent="0.2">
      <c r="A7550" s="52"/>
    </row>
    <row r="7551" spans="1:1" x14ac:dyDescent="0.2">
      <c r="A7551" s="52"/>
    </row>
    <row r="7552" spans="1:1" x14ac:dyDescent="0.2">
      <c r="A7552" s="53"/>
    </row>
    <row r="7553" spans="1:1" x14ac:dyDescent="0.2">
      <c r="A7553" s="53"/>
    </row>
    <row r="7554" spans="1:1" x14ac:dyDescent="0.2">
      <c r="A7554" s="52"/>
    </row>
    <row r="7555" spans="1:1" x14ac:dyDescent="0.2">
      <c r="A7555" s="52"/>
    </row>
    <row r="7556" spans="1:1" x14ac:dyDescent="0.2">
      <c r="A7556" s="52"/>
    </row>
    <row r="7557" spans="1:1" x14ac:dyDescent="0.2">
      <c r="A7557" s="52"/>
    </row>
    <row r="7558" spans="1:1" x14ac:dyDescent="0.2">
      <c r="A7558" s="52"/>
    </row>
    <row r="7559" spans="1:1" x14ac:dyDescent="0.2">
      <c r="A7559" s="52"/>
    </row>
    <row r="7560" spans="1:1" x14ac:dyDescent="0.2">
      <c r="A7560" s="52"/>
    </row>
    <row r="7561" spans="1:1" x14ac:dyDescent="0.2">
      <c r="A7561" s="52"/>
    </row>
    <row r="7562" spans="1:1" x14ac:dyDescent="0.2">
      <c r="A7562" s="52"/>
    </row>
    <row r="7563" spans="1:1" x14ac:dyDescent="0.2">
      <c r="A7563" s="52"/>
    </row>
    <row r="7564" spans="1:1" x14ac:dyDescent="0.2">
      <c r="A7564" s="52"/>
    </row>
    <row r="7565" spans="1:1" x14ac:dyDescent="0.2">
      <c r="A7565" s="52"/>
    </row>
    <row r="7566" spans="1:1" x14ac:dyDescent="0.2">
      <c r="A7566" s="52"/>
    </row>
    <row r="7567" spans="1:1" x14ac:dyDescent="0.2">
      <c r="A7567" s="52"/>
    </row>
    <row r="7568" spans="1:1" x14ac:dyDescent="0.2">
      <c r="A7568" s="52"/>
    </row>
    <row r="7569" spans="1:1" x14ac:dyDescent="0.2">
      <c r="A7569" s="52"/>
    </row>
    <row r="7570" spans="1:1" x14ac:dyDescent="0.2">
      <c r="A7570" s="52"/>
    </row>
    <row r="7571" spans="1:1" x14ac:dyDescent="0.2">
      <c r="A7571" s="52"/>
    </row>
    <row r="7572" spans="1:1" x14ac:dyDescent="0.2">
      <c r="A7572" s="52"/>
    </row>
    <row r="7573" spans="1:1" x14ac:dyDescent="0.2">
      <c r="A7573" s="52"/>
    </row>
    <row r="7574" spans="1:1" x14ac:dyDescent="0.2">
      <c r="A7574" s="52"/>
    </row>
    <row r="7575" spans="1:1" x14ac:dyDescent="0.2">
      <c r="A7575" s="52"/>
    </row>
    <row r="7576" spans="1:1" x14ac:dyDescent="0.2">
      <c r="A7576" s="52"/>
    </row>
    <row r="7577" spans="1:1" x14ac:dyDescent="0.2">
      <c r="A7577" s="52"/>
    </row>
    <row r="7578" spans="1:1" x14ac:dyDescent="0.2">
      <c r="A7578" s="52"/>
    </row>
    <row r="7579" spans="1:1" x14ac:dyDescent="0.2">
      <c r="A7579" s="52"/>
    </row>
    <row r="7580" spans="1:1" x14ac:dyDescent="0.2">
      <c r="A7580" s="52"/>
    </row>
    <row r="7581" spans="1:1" x14ac:dyDescent="0.2">
      <c r="A7581" s="52"/>
    </row>
    <row r="7582" spans="1:1" x14ac:dyDescent="0.2">
      <c r="A7582" s="52"/>
    </row>
    <row r="7583" spans="1:1" x14ac:dyDescent="0.2">
      <c r="A7583" s="52"/>
    </row>
    <row r="7584" spans="1:1" x14ac:dyDescent="0.2">
      <c r="A7584" s="52"/>
    </row>
    <row r="7585" spans="1:1" x14ac:dyDescent="0.2">
      <c r="A7585" s="52"/>
    </row>
    <row r="7586" spans="1:1" x14ac:dyDescent="0.2">
      <c r="A7586" s="52"/>
    </row>
    <row r="7587" spans="1:1" x14ac:dyDescent="0.2">
      <c r="A7587" s="52"/>
    </row>
    <row r="7588" spans="1:1" x14ac:dyDescent="0.2">
      <c r="A7588" s="52"/>
    </row>
    <row r="7589" spans="1:1" x14ac:dyDescent="0.2">
      <c r="A7589" s="52"/>
    </row>
    <row r="7590" spans="1:1" x14ac:dyDescent="0.2">
      <c r="A7590" s="52"/>
    </row>
    <row r="7591" spans="1:1" x14ac:dyDescent="0.2">
      <c r="A7591" s="52"/>
    </row>
    <row r="7592" spans="1:1" x14ac:dyDescent="0.2">
      <c r="A7592" s="52"/>
    </row>
    <row r="7593" spans="1:1" x14ac:dyDescent="0.2">
      <c r="A7593" s="52"/>
    </row>
    <row r="7594" spans="1:1" x14ac:dyDescent="0.2">
      <c r="A7594" s="52"/>
    </row>
    <row r="7595" spans="1:1" x14ac:dyDescent="0.2">
      <c r="A7595" s="52"/>
    </row>
    <row r="7596" spans="1:1" x14ac:dyDescent="0.2">
      <c r="A7596" s="52"/>
    </row>
    <row r="7597" spans="1:1" x14ac:dyDescent="0.2">
      <c r="A7597" s="52"/>
    </row>
    <row r="7598" spans="1:1" x14ac:dyDescent="0.2">
      <c r="A7598" s="52"/>
    </row>
    <row r="7599" spans="1:1" x14ac:dyDescent="0.2">
      <c r="A7599" s="52"/>
    </row>
    <row r="7600" spans="1:1" x14ac:dyDescent="0.2">
      <c r="A7600" s="52"/>
    </row>
    <row r="7601" spans="1:1" x14ac:dyDescent="0.2">
      <c r="A7601" s="52"/>
    </row>
    <row r="7602" spans="1:1" x14ac:dyDescent="0.2">
      <c r="A7602" s="52"/>
    </row>
    <row r="7603" spans="1:1" x14ac:dyDescent="0.2">
      <c r="A7603" s="52"/>
    </row>
    <row r="7604" spans="1:1" x14ac:dyDescent="0.2">
      <c r="A7604" s="53"/>
    </row>
    <row r="7605" spans="1:1" x14ac:dyDescent="0.2">
      <c r="A7605" s="52"/>
    </row>
    <row r="7606" spans="1:1" x14ac:dyDescent="0.2">
      <c r="A7606" s="52"/>
    </row>
    <row r="7607" spans="1:1" x14ac:dyDescent="0.2">
      <c r="A7607" s="52"/>
    </row>
    <row r="7608" spans="1:1" x14ac:dyDescent="0.2">
      <c r="A7608" s="52"/>
    </row>
    <row r="7609" spans="1:1" x14ac:dyDescent="0.2">
      <c r="A7609" s="52"/>
    </row>
    <row r="7610" spans="1:1" x14ac:dyDescent="0.2">
      <c r="A7610" s="52"/>
    </row>
    <row r="7611" spans="1:1" x14ac:dyDescent="0.2">
      <c r="A7611" s="52"/>
    </row>
    <row r="7612" spans="1:1" x14ac:dyDescent="0.2">
      <c r="A7612" s="52"/>
    </row>
    <row r="7613" spans="1:1" x14ac:dyDescent="0.2">
      <c r="A7613" s="52"/>
    </row>
    <row r="7614" spans="1:1" x14ac:dyDescent="0.2">
      <c r="A7614" s="52"/>
    </row>
    <row r="7615" spans="1:1" x14ac:dyDescent="0.2">
      <c r="A7615" s="52"/>
    </row>
    <row r="7616" spans="1:1" x14ac:dyDescent="0.2">
      <c r="A7616" s="52"/>
    </row>
    <row r="7617" spans="1:1" x14ac:dyDescent="0.2">
      <c r="A7617" s="52"/>
    </row>
    <row r="7618" spans="1:1" x14ac:dyDescent="0.2">
      <c r="A7618" s="52"/>
    </row>
    <row r="7619" spans="1:1" x14ac:dyDescent="0.2">
      <c r="A7619" s="53"/>
    </row>
    <row r="7620" spans="1:1" x14ac:dyDescent="0.2">
      <c r="A7620" s="52"/>
    </row>
    <row r="7621" spans="1:1" x14ac:dyDescent="0.2">
      <c r="A7621" s="52"/>
    </row>
    <row r="7622" spans="1:1" x14ac:dyDescent="0.2">
      <c r="A7622" s="52"/>
    </row>
    <row r="7623" spans="1:1" x14ac:dyDescent="0.2">
      <c r="A7623" s="52"/>
    </row>
    <row r="7624" spans="1:1" x14ac:dyDescent="0.2">
      <c r="A7624" s="52"/>
    </row>
    <row r="7625" spans="1:1" x14ac:dyDescent="0.2">
      <c r="A7625" s="52"/>
    </row>
    <row r="7626" spans="1:1" x14ac:dyDescent="0.2">
      <c r="A7626" s="52"/>
    </row>
    <row r="7627" spans="1:1" x14ac:dyDescent="0.2">
      <c r="A7627" s="52"/>
    </row>
    <row r="7628" spans="1:1" x14ac:dyDescent="0.2">
      <c r="A7628" s="52"/>
    </row>
    <row r="7629" spans="1:1" x14ac:dyDescent="0.2">
      <c r="A7629" s="52"/>
    </row>
    <row r="7630" spans="1:1" x14ac:dyDescent="0.2">
      <c r="A7630" s="52"/>
    </row>
    <row r="7631" spans="1:1" x14ac:dyDescent="0.2">
      <c r="A7631" s="52"/>
    </row>
    <row r="7632" spans="1:1" x14ac:dyDescent="0.2">
      <c r="A7632" s="52"/>
    </row>
    <row r="7633" spans="1:1" x14ac:dyDescent="0.2">
      <c r="A7633" s="52"/>
    </row>
    <row r="7634" spans="1:1" x14ac:dyDescent="0.2">
      <c r="A7634" s="52"/>
    </row>
    <row r="7635" spans="1:1" x14ac:dyDescent="0.2">
      <c r="A7635" s="52"/>
    </row>
    <row r="7636" spans="1:1" x14ac:dyDescent="0.2">
      <c r="A7636" s="52"/>
    </row>
    <row r="7637" spans="1:1" x14ac:dyDescent="0.2">
      <c r="A7637" s="52"/>
    </row>
    <row r="7638" spans="1:1" x14ac:dyDescent="0.2">
      <c r="A7638" s="52"/>
    </row>
    <row r="7639" spans="1:1" x14ac:dyDescent="0.2">
      <c r="A7639" s="52"/>
    </row>
    <row r="7640" spans="1:1" x14ac:dyDescent="0.2">
      <c r="A7640" s="52"/>
    </row>
    <row r="7641" spans="1:1" x14ac:dyDescent="0.2">
      <c r="A7641" s="52"/>
    </row>
    <row r="7642" spans="1:1" x14ac:dyDescent="0.2">
      <c r="A7642" s="52"/>
    </row>
    <row r="7643" spans="1:1" x14ac:dyDescent="0.2">
      <c r="A7643" s="52"/>
    </row>
    <row r="7644" spans="1:1" x14ac:dyDescent="0.2">
      <c r="A7644" s="52"/>
    </row>
    <row r="7645" spans="1:1" x14ac:dyDescent="0.2">
      <c r="A7645" s="52"/>
    </row>
    <row r="7646" spans="1:1" x14ac:dyDescent="0.2">
      <c r="A7646" s="52"/>
    </row>
    <row r="7647" spans="1:1" x14ac:dyDescent="0.2">
      <c r="A7647" s="52"/>
    </row>
    <row r="7648" spans="1:1" x14ac:dyDescent="0.2">
      <c r="A7648" s="53"/>
    </row>
    <row r="7649" spans="1:1" x14ac:dyDescent="0.2">
      <c r="A7649" s="52"/>
    </row>
    <row r="7650" spans="1:1" x14ac:dyDescent="0.2">
      <c r="A7650" s="53"/>
    </row>
    <row r="7651" spans="1:1" x14ac:dyDescent="0.2">
      <c r="A7651" s="52"/>
    </row>
    <row r="7652" spans="1:1" x14ac:dyDescent="0.2">
      <c r="A7652" s="52"/>
    </row>
    <row r="7653" spans="1:1" x14ac:dyDescent="0.2">
      <c r="A7653" s="52"/>
    </row>
    <row r="7654" spans="1:1" x14ac:dyDescent="0.2">
      <c r="A7654" s="52"/>
    </row>
    <row r="7655" spans="1:1" x14ac:dyDescent="0.2">
      <c r="A7655" s="52"/>
    </row>
    <row r="7656" spans="1:1" x14ac:dyDescent="0.2">
      <c r="A7656" s="52"/>
    </row>
    <row r="7657" spans="1:1" x14ac:dyDescent="0.2">
      <c r="A7657" s="52"/>
    </row>
    <row r="7658" spans="1:1" x14ac:dyDescent="0.2">
      <c r="A7658" s="52"/>
    </row>
    <row r="7659" spans="1:1" x14ac:dyDescent="0.2">
      <c r="A7659" s="52"/>
    </row>
    <row r="7660" spans="1:1" x14ac:dyDescent="0.2">
      <c r="A7660" s="52"/>
    </row>
    <row r="7661" spans="1:1" x14ac:dyDescent="0.2">
      <c r="A7661" s="52"/>
    </row>
    <row r="7662" spans="1:1" x14ac:dyDescent="0.2">
      <c r="A7662" s="52"/>
    </row>
    <row r="7663" spans="1:1" x14ac:dyDescent="0.2">
      <c r="A7663" s="52"/>
    </row>
    <row r="7664" spans="1:1" x14ac:dyDescent="0.2">
      <c r="A7664" s="52"/>
    </row>
    <row r="7665" spans="1:1" x14ac:dyDescent="0.2">
      <c r="A7665" s="52"/>
    </row>
    <row r="7666" spans="1:1" x14ac:dyDescent="0.2">
      <c r="A7666" s="52"/>
    </row>
    <row r="7667" spans="1:1" x14ac:dyDescent="0.2">
      <c r="A7667" s="52"/>
    </row>
    <row r="7668" spans="1:1" x14ac:dyDescent="0.2">
      <c r="A7668" s="53"/>
    </row>
    <row r="7669" spans="1:1" x14ac:dyDescent="0.2">
      <c r="A7669" s="52"/>
    </row>
    <row r="7670" spans="1:1" x14ac:dyDescent="0.2">
      <c r="A7670" s="52"/>
    </row>
    <row r="7671" spans="1:1" x14ac:dyDescent="0.2">
      <c r="A7671" s="52"/>
    </row>
    <row r="7672" spans="1:1" x14ac:dyDescent="0.2">
      <c r="A7672" s="52"/>
    </row>
    <row r="7673" spans="1:1" x14ac:dyDescent="0.2">
      <c r="A7673" s="52"/>
    </row>
    <row r="7674" spans="1:1" x14ac:dyDescent="0.2">
      <c r="A7674" s="52"/>
    </row>
    <row r="7675" spans="1:1" x14ac:dyDescent="0.2">
      <c r="A7675" s="52"/>
    </row>
    <row r="7676" spans="1:1" x14ac:dyDescent="0.2">
      <c r="A7676" s="53"/>
    </row>
    <row r="7677" spans="1:1" x14ac:dyDescent="0.2">
      <c r="A7677" s="52"/>
    </row>
    <row r="7678" spans="1:1" x14ac:dyDescent="0.2">
      <c r="A7678" s="52"/>
    </row>
    <row r="7679" spans="1:1" x14ac:dyDescent="0.2">
      <c r="A7679" s="52"/>
    </row>
    <row r="7680" spans="1:1" x14ac:dyDescent="0.2">
      <c r="A7680" s="52"/>
    </row>
    <row r="7681" spans="1:1" x14ac:dyDescent="0.2">
      <c r="A7681" s="53"/>
    </row>
    <row r="7682" spans="1:1" x14ac:dyDescent="0.2">
      <c r="A7682" s="52"/>
    </row>
    <row r="7683" spans="1:1" x14ac:dyDescent="0.2">
      <c r="A7683" s="52"/>
    </row>
    <row r="7684" spans="1:1" x14ac:dyDescent="0.2">
      <c r="A7684" s="52"/>
    </row>
    <row r="7685" spans="1:1" x14ac:dyDescent="0.2">
      <c r="A7685" s="52"/>
    </row>
    <row r="7686" spans="1:1" x14ac:dyDescent="0.2">
      <c r="A7686" s="52"/>
    </row>
    <row r="7687" spans="1:1" x14ac:dyDescent="0.2">
      <c r="A7687" s="52"/>
    </row>
    <row r="7688" spans="1:1" x14ac:dyDescent="0.2">
      <c r="A7688" s="52"/>
    </row>
    <row r="7689" spans="1:1" x14ac:dyDescent="0.2">
      <c r="A7689" s="52"/>
    </row>
    <row r="7690" spans="1:1" x14ac:dyDescent="0.2">
      <c r="A7690" s="52"/>
    </row>
    <row r="7691" spans="1:1" x14ac:dyDescent="0.2">
      <c r="A7691" s="52"/>
    </row>
    <row r="7692" spans="1:1" x14ac:dyDescent="0.2">
      <c r="A7692" s="52"/>
    </row>
    <row r="7693" spans="1:1" x14ac:dyDescent="0.2">
      <c r="A7693" s="52"/>
    </row>
    <row r="7694" spans="1:1" x14ac:dyDescent="0.2">
      <c r="A7694" s="52"/>
    </row>
    <row r="7695" spans="1:1" x14ac:dyDescent="0.2">
      <c r="A7695" s="52"/>
    </row>
    <row r="7696" spans="1:1" x14ac:dyDescent="0.2">
      <c r="A7696" s="52"/>
    </row>
    <row r="7697" spans="1:1" x14ac:dyDescent="0.2">
      <c r="A7697" s="52"/>
    </row>
    <row r="7698" spans="1:1" x14ac:dyDescent="0.2">
      <c r="A7698" s="53"/>
    </row>
    <row r="7699" spans="1:1" x14ac:dyDescent="0.2">
      <c r="A7699" s="52"/>
    </row>
    <row r="7700" spans="1:1" x14ac:dyDescent="0.2">
      <c r="A7700" s="52"/>
    </row>
    <row r="7701" spans="1:1" x14ac:dyDescent="0.2">
      <c r="A7701" s="52"/>
    </row>
    <row r="7702" spans="1:1" x14ac:dyDescent="0.2">
      <c r="A7702" s="52"/>
    </row>
    <row r="7703" spans="1:1" x14ac:dyDescent="0.2">
      <c r="A7703" s="52"/>
    </row>
    <row r="7704" spans="1:1" x14ac:dyDescent="0.2">
      <c r="A7704" s="52"/>
    </row>
    <row r="7705" spans="1:1" x14ac:dyDescent="0.2">
      <c r="A7705" s="52"/>
    </row>
    <row r="7706" spans="1:1" x14ac:dyDescent="0.2">
      <c r="A7706" s="52"/>
    </row>
    <row r="7707" spans="1:1" x14ac:dyDescent="0.2">
      <c r="A7707" s="52"/>
    </row>
    <row r="7708" spans="1:1" x14ac:dyDescent="0.2">
      <c r="A7708" s="52"/>
    </row>
    <row r="7709" spans="1:1" x14ac:dyDescent="0.2">
      <c r="A7709" s="52"/>
    </row>
    <row r="7710" spans="1:1" x14ac:dyDescent="0.2">
      <c r="A7710" s="52"/>
    </row>
    <row r="7711" spans="1:1" x14ac:dyDescent="0.2">
      <c r="A7711" s="52"/>
    </row>
    <row r="7712" spans="1:1" x14ac:dyDescent="0.2">
      <c r="A7712" s="53"/>
    </row>
    <row r="7713" spans="1:1" x14ac:dyDescent="0.2">
      <c r="A7713" s="53"/>
    </row>
    <row r="7714" spans="1:1" x14ac:dyDescent="0.2">
      <c r="A7714" s="52"/>
    </row>
    <row r="7715" spans="1:1" x14ac:dyDescent="0.2">
      <c r="A7715" s="52"/>
    </row>
    <row r="7716" spans="1:1" x14ac:dyDescent="0.2">
      <c r="A7716" s="52"/>
    </row>
    <row r="7717" spans="1:1" x14ac:dyDescent="0.2">
      <c r="A7717" s="52"/>
    </row>
    <row r="7718" spans="1:1" x14ac:dyDescent="0.2">
      <c r="A7718" s="52"/>
    </row>
    <row r="7719" spans="1:1" x14ac:dyDescent="0.2">
      <c r="A7719" s="52"/>
    </row>
    <row r="7720" spans="1:1" x14ac:dyDescent="0.2">
      <c r="A7720" s="52"/>
    </row>
    <row r="7721" spans="1:1" x14ac:dyDescent="0.2">
      <c r="A7721" s="52"/>
    </row>
    <row r="7722" spans="1:1" x14ac:dyDescent="0.2">
      <c r="A7722" s="52"/>
    </row>
    <row r="7723" spans="1:1" x14ac:dyDescent="0.2">
      <c r="A7723" s="52"/>
    </row>
    <row r="7724" spans="1:1" x14ac:dyDescent="0.2">
      <c r="A7724" s="52"/>
    </row>
    <row r="7725" spans="1:1" x14ac:dyDescent="0.2">
      <c r="A7725" s="52"/>
    </row>
    <row r="7726" spans="1:1" x14ac:dyDescent="0.2">
      <c r="A7726" s="53"/>
    </row>
    <row r="7727" spans="1:1" x14ac:dyDescent="0.2">
      <c r="A7727" s="52"/>
    </row>
    <row r="7728" spans="1:1" x14ac:dyDescent="0.2">
      <c r="A7728" s="52"/>
    </row>
    <row r="7729" spans="1:1" x14ac:dyDescent="0.2">
      <c r="A7729" s="52"/>
    </row>
    <row r="7730" spans="1:1" x14ac:dyDescent="0.2">
      <c r="A7730" s="52"/>
    </row>
    <row r="7731" spans="1:1" x14ac:dyDescent="0.2">
      <c r="A7731" s="52"/>
    </row>
    <row r="7732" spans="1:1" x14ac:dyDescent="0.2">
      <c r="A7732" s="52"/>
    </row>
    <row r="7733" spans="1:1" x14ac:dyDescent="0.2">
      <c r="A7733" s="52"/>
    </row>
    <row r="7734" spans="1:1" x14ac:dyDescent="0.2">
      <c r="A7734" s="52"/>
    </row>
    <row r="7735" spans="1:1" x14ac:dyDescent="0.2">
      <c r="A7735" s="52"/>
    </row>
    <row r="7736" spans="1:1" x14ac:dyDescent="0.2">
      <c r="A7736" s="53"/>
    </row>
    <row r="7737" spans="1:1" x14ac:dyDescent="0.2">
      <c r="A7737" s="53"/>
    </row>
    <row r="7738" spans="1:1" x14ac:dyDescent="0.2">
      <c r="A7738" s="52"/>
    </row>
    <row r="7739" spans="1:1" x14ac:dyDescent="0.2">
      <c r="A7739" s="52"/>
    </row>
    <row r="7740" spans="1:1" x14ac:dyDescent="0.2">
      <c r="A7740" s="52"/>
    </row>
    <row r="7741" spans="1:1" x14ac:dyDescent="0.2">
      <c r="A7741" s="52"/>
    </row>
    <row r="7742" spans="1:1" x14ac:dyDescent="0.2">
      <c r="A7742" s="52"/>
    </row>
    <row r="7743" spans="1:1" x14ac:dyDescent="0.2">
      <c r="A7743" s="53"/>
    </row>
    <row r="7744" spans="1:1" x14ac:dyDescent="0.2">
      <c r="A7744" s="52"/>
    </row>
    <row r="7745" spans="1:1" x14ac:dyDescent="0.2">
      <c r="A7745" s="52"/>
    </row>
    <row r="7746" spans="1:1" x14ac:dyDescent="0.2">
      <c r="A7746" s="52"/>
    </row>
    <row r="7747" spans="1:1" x14ac:dyDescent="0.2">
      <c r="A7747" s="52"/>
    </row>
    <row r="7748" spans="1:1" x14ac:dyDescent="0.2">
      <c r="A7748" s="53"/>
    </row>
    <row r="7749" spans="1:1" x14ac:dyDescent="0.2">
      <c r="A7749" s="52"/>
    </row>
    <row r="7750" spans="1:1" x14ac:dyDescent="0.2">
      <c r="A7750" s="52"/>
    </row>
    <row r="7751" spans="1:1" x14ac:dyDescent="0.2">
      <c r="A7751" s="52"/>
    </row>
    <row r="7752" spans="1:1" x14ac:dyDescent="0.2">
      <c r="A7752" s="52"/>
    </row>
    <row r="7753" spans="1:1" x14ac:dyDescent="0.2">
      <c r="A7753" s="52"/>
    </row>
    <row r="7754" spans="1:1" x14ac:dyDescent="0.2">
      <c r="A7754" s="52"/>
    </row>
    <row r="7755" spans="1:1" x14ac:dyDescent="0.2">
      <c r="A7755" s="52"/>
    </row>
    <row r="7756" spans="1:1" x14ac:dyDescent="0.2">
      <c r="A7756" s="52"/>
    </row>
    <row r="7757" spans="1:1" x14ac:dyDescent="0.2">
      <c r="A7757" s="52"/>
    </row>
    <row r="7758" spans="1:1" x14ac:dyDescent="0.2">
      <c r="A7758" s="52"/>
    </row>
    <row r="7759" spans="1:1" x14ac:dyDescent="0.2">
      <c r="A7759" s="52"/>
    </row>
    <row r="7760" spans="1:1" x14ac:dyDescent="0.2">
      <c r="A7760" s="52"/>
    </row>
    <row r="7761" spans="1:1" x14ac:dyDescent="0.2">
      <c r="A7761" s="52"/>
    </row>
    <row r="7762" spans="1:1" x14ac:dyDescent="0.2">
      <c r="A7762" s="52"/>
    </row>
    <row r="7763" spans="1:1" x14ac:dyDescent="0.2">
      <c r="A7763" s="53"/>
    </row>
    <row r="7764" spans="1:1" x14ac:dyDescent="0.2">
      <c r="A7764" s="52"/>
    </row>
    <row r="7765" spans="1:1" x14ac:dyDescent="0.2">
      <c r="A7765" s="52"/>
    </row>
    <row r="7766" spans="1:1" x14ac:dyDescent="0.2">
      <c r="A7766" s="52"/>
    </row>
    <row r="7767" spans="1:1" x14ac:dyDescent="0.2">
      <c r="A7767" s="53"/>
    </row>
    <row r="7768" spans="1:1" x14ac:dyDescent="0.2">
      <c r="A7768" s="52"/>
    </row>
    <row r="7769" spans="1:1" x14ac:dyDescent="0.2">
      <c r="A7769" s="52"/>
    </row>
    <row r="7770" spans="1:1" x14ac:dyDescent="0.2">
      <c r="A7770" s="52"/>
    </row>
    <row r="7771" spans="1:1" x14ac:dyDescent="0.2">
      <c r="A7771" s="52"/>
    </row>
    <row r="7772" spans="1:1" x14ac:dyDescent="0.2">
      <c r="A7772" s="52"/>
    </row>
    <row r="7773" spans="1:1" x14ac:dyDescent="0.2">
      <c r="A7773" s="52"/>
    </row>
    <row r="7774" spans="1:1" x14ac:dyDescent="0.2">
      <c r="A7774" s="52"/>
    </row>
    <row r="7775" spans="1:1" x14ac:dyDescent="0.2">
      <c r="A7775" s="52"/>
    </row>
    <row r="7776" spans="1:1" x14ac:dyDescent="0.2">
      <c r="A7776" s="52"/>
    </row>
    <row r="7777" spans="1:1" x14ac:dyDescent="0.2">
      <c r="A7777" s="52"/>
    </row>
    <row r="7778" spans="1:1" x14ac:dyDescent="0.2">
      <c r="A7778" s="52"/>
    </row>
    <row r="7779" spans="1:1" x14ac:dyDescent="0.2">
      <c r="A7779" s="52"/>
    </row>
    <row r="7780" spans="1:1" x14ac:dyDescent="0.2">
      <c r="A7780" s="52"/>
    </row>
    <row r="7781" spans="1:1" x14ac:dyDescent="0.2">
      <c r="A7781" s="52"/>
    </row>
    <row r="7782" spans="1:1" x14ac:dyDescent="0.2">
      <c r="A7782" s="52"/>
    </row>
    <row r="7783" spans="1:1" x14ac:dyDescent="0.2">
      <c r="A7783" s="52"/>
    </row>
    <row r="7784" spans="1:1" x14ac:dyDescent="0.2">
      <c r="A7784" s="52"/>
    </row>
    <row r="7785" spans="1:1" x14ac:dyDescent="0.2">
      <c r="A7785" s="52"/>
    </row>
    <row r="7786" spans="1:1" x14ac:dyDescent="0.2">
      <c r="A7786" s="52"/>
    </row>
    <row r="7787" spans="1:1" x14ac:dyDescent="0.2">
      <c r="A7787" s="52"/>
    </row>
    <row r="7788" spans="1:1" x14ac:dyDescent="0.2">
      <c r="A7788" s="52"/>
    </row>
    <row r="7789" spans="1:1" x14ac:dyDescent="0.2">
      <c r="A7789" s="52"/>
    </row>
    <row r="7790" spans="1:1" x14ac:dyDescent="0.2">
      <c r="A7790" s="52"/>
    </row>
    <row r="7791" spans="1:1" x14ac:dyDescent="0.2">
      <c r="A7791" s="52"/>
    </row>
    <row r="7792" spans="1:1" x14ac:dyDescent="0.2">
      <c r="A7792" s="52"/>
    </row>
    <row r="7793" spans="1:1" x14ac:dyDescent="0.2">
      <c r="A7793" s="52"/>
    </row>
    <row r="7794" spans="1:1" x14ac:dyDescent="0.2">
      <c r="A7794" s="52"/>
    </row>
    <row r="7795" spans="1:1" x14ac:dyDescent="0.2">
      <c r="A7795" s="52"/>
    </row>
    <row r="7796" spans="1:1" x14ac:dyDescent="0.2">
      <c r="A7796" s="52"/>
    </row>
    <row r="7797" spans="1:1" x14ac:dyDescent="0.2">
      <c r="A7797" s="52"/>
    </row>
    <row r="7798" spans="1:1" x14ac:dyDescent="0.2">
      <c r="A7798" s="52"/>
    </row>
    <row r="7799" spans="1:1" x14ac:dyDescent="0.2">
      <c r="A7799" s="53"/>
    </row>
    <row r="7800" spans="1:1" x14ac:dyDescent="0.2">
      <c r="A7800" s="52"/>
    </row>
    <row r="7801" spans="1:1" x14ac:dyDescent="0.2">
      <c r="A7801" s="52"/>
    </row>
    <row r="7802" spans="1:1" x14ac:dyDescent="0.2">
      <c r="A7802" s="52"/>
    </row>
    <row r="7803" spans="1:1" x14ac:dyDescent="0.2">
      <c r="A7803" s="52"/>
    </row>
    <row r="7804" spans="1:1" x14ac:dyDescent="0.2">
      <c r="A7804" s="52"/>
    </row>
    <row r="7805" spans="1:1" x14ac:dyDescent="0.2">
      <c r="A7805" s="52"/>
    </row>
    <row r="7806" spans="1:1" x14ac:dyDescent="0.2">
      <c r="A7806" s="52"/>
    </row>
    <row r="7807" spans="1:1" x14ac:dyDescent="0.2">
      <c r="A7807" s="52"/>
    </row>
    <row r="7808" spans="1:1" x14ac:dyDescent="0.2">
      <c r="A7808" s="52"/>
    </row>
    <row r="7809" spans="1:1" x14ac:dyDescent="0.2">
      <c r="A7809" s="53"/>
    </row>
    <row r="7810" spans="1:1" x14ac:dyDescent="0.2">
      <c r="A7810" s="52"/>
    </row>
    <row r="7811" spans="1:1" x14ac:dyDescent="0.2">
      <c r="A7811" s="52"/>
    </row>
    <row r="7812" spans="1:1" x14ac:dyDescent="0.2">
      <c r="A7812" s="52"/>
    </row>
    <row r="7813" spans="1:1" x14ac:dyDescent="0.2">
      <c r="A7813" s="52"/>
    </row>
    <row r="7814" spans="1:1" x14ac:dyDescent="0.2">
      <c r="A7814" s="52"/>
    </row>
    <row r="7815" spans="1:1" x14ac:dyDescent="0.2">
      <c r="A7815" s="52"/>
    </row>
    <row r="7816" spans="1:1" x14ac:dyDescent="0.2">
      <c r="A7816" s="53"/>
    </row>
    <row r="7817" spans="1:1" x14ac:dyDescent="0.2">
      <c r="A7817" s="52"/>
    </row>
    <row r="7818" spans="1:1" x14ac:dyDescent="0.2">
      <c r="A7818" s="52"/>
    </row>
    <row r="7819" spans="1:1" x14ac:dyDescent="0.2">
      <c r="A7819" s="52"/>
    </row>
    <row r="7820" spans="1:1" x14ac:dyDescent="0.2">
      <c r="A7820" s="52"/>
    </row>
    <row r="7821" spans="1:1" x14ac:dyDescent="0.2">
      <c r="A7821" s="52"/>
    </row>
    <row r="7822" spans="1:1" x14ac:dyDescent="0.2">
      <c r="A7822" s="52"/>
    </row>
    <row r="7823" spans="1:1" x14ac:dyDescent="0.2">
      <c r="A7823" s="52"/>
    </row>
    <row r="7824" spans="1:1" x14ac:dyDescent="0.2">
      <c r="A7824" s="52"/>
    </row>
    <row r="7825" spans="1:1" x14ac:dyDescent="0.2">
      <c r="A7825" s="52"/>
    </row>
    <row r="7826" spans="1:1" x14ac:dyDescent="0.2">
      <c r="A7826" s="52"/>
    </row>
    <row r="7827" spans="1:1" x14ac:dyDescent="0.2">
      <c r="A7827" s="52"/>
    </row>
    <row r="7828" spans="1:1" x14ac:dyDescent="0.2">
      <c r="A7828" s="52"/>
    </row>
    <row r="7829" spans="1:1" x14ac:dyDescent="0.2">
      <c r="A7829" s="52"/>
    </row>
    <row r="7830" spans="1:1" x14ac:dyDescent="0.2">
      <c r="A7830" s="52"/>
    </row>
    <row r="7831" spans="1:1" x14ac:dyDescent="0.2">
      <c r="A7831" s="52"/>
    </row>
    <row r="7832" spans="1:1" x14ac:dyDescent="0.2">
      <c r="A7832" s="52"/>
    </row>
    <row r="7833" spans="1:1" x14ac:dyDescent="0.2">
      <c r="A7833" s="52"/>
    </row>
    <row r="7834" spans="1:1" x14ac:dyDescent="0.2">
      <c r="A7834" s="52"/>
    </row>
    <row r="7835" spans="1:1" x14ac:dyDescent="0.2">
      <c r="A7835" s="52"/>
    </row>
    <row r="7836" spans="1:1" x14ac:dyDescent="0.2">
      <c r="A7836" s="52"/>
    </row>
    <row r="7837" spans="1:1" x14ac:dyDescent="0.2">
      <c r="A7837" s="52"/>
    </row>
    <row r="7838" spans="1:1" x14ac:dyDescent="0.2">
      <c r="A7838" s="52"/>
    </row>
    <row r="7839" spans="1:1" x14ac:dyDescent="0.2">
      <c r="A7839" s="52"/>
    </row>
    <row r="7840" spans="1:1" x14ac:dyDescent="0.2">
      <c r="A7840" s="52"/>
    </row>
    <row r="7841" spans="1:1" x14ac:dyDescent="0.2">
      <c r="A7841" s="52"/>
    </row>
    <row r="7842" spans="1:1" x14ac:dyDescent="0.2">
      <c r="A7842" s="52"/>
    </row>
    <row r="7843" spans="1:1" x14ac:dyDescent="0.2">
      <c r="A7843" s="52"/>
    </row>
    <row r="7844" spans="1:1" x14ac:dyDescent="0.2">
      <c r="A7844" s="52"/>
    </row>
    <row r="7845" spans="1:1" x14ac:dyDescent="0.2">
      <c r="A7845" s="53"/>
    </row>
    <row r="7846" spans="1:1" x14ac:dyDescent="0.2">
      <c r="A7846" s="52"/>
    </row>
    <row r="7847" spans="1:1" x14ac:dyDescent="0.2">
      <c r="A7847" s="52"/>
    </row>
    <row r="7848" spans="1:1" x14ac:dyDescent="0.2">
      <c r="A7848" s="52"/>
    </row>
    <row r="7849" spans="1:1" x14ac:dyDescent="0.2">
      <c r="A7849" s="52"/>
    </row>
    <row r="7850" spans="1:1" x14ac:dyDescent="0.2">
      <c r="A7850" s="52"/>
    </row>
    <row r="7851" spans="1:1" x14ac:dyDescent="0.2">
      <c r="A7851" s="52"/>
    </row>
    <row r="7852" spans="1:1" x14ac:dyDescent="0.2">
      <c r="A7852" s="52"/>
    </row>
    <row r="7853" spans="1:1" x14ac:dyDescent="0.2">
      <c r="A7853" s="52"/>
    </row>
    <row r="7854" spans="1:1" x14ac:dyDescent="0.2">
      <c r="A7854" s="52"/>
    </row>
    <row r="7855" spans="1:1" x14ac:dyDescent="0.2">
      <c r="A7855" s="52"/>
    </row>
    <row r="7856" spans="1:1" x14ac:dyDescent="0.2">
      <c r="A7856" s="52"/>
    </row>
    <row r="7857" spans="1:1" x14ac:dyDescent="0.2">
      <c r="A7857" s="52"/>
    </row>
    <row r="7858" spans="1:1" x14ac:dyDescent="0.2">
      <c r="A7858" s="52"/>
    </row>
    <row r="7859" spans="1:1" x14ac:dyDescent="0.2">
      <c r="A7859" s="52"/>
    </row>
    <row r="7860" spans="1:1" x14ac:dyDescent="0.2">
      <c r="A7860" s="53"/>
    </row>
    <row r="7861" spans="1:1" x14ac:dyDescent="0.2">
      <c r="A7861" s="52"/>
    </row>
    <row r="7862" spans="1:1" x14ac:dyDescent="0.2">
      <c r="A7862" s="52"/>
    </row>
    <row r="7863" spans="1:1" x14ac:dyDescent="0.2">
      <c r="A7863" s="52"/>
    </row>
    <row r="7864" spans="1:1" x14ac:dyDescent="0.2">
      <c r="A7864" s="52"/>
    </row>
    <row r="7865" spans="1:1" x14ac:dyDescent="0.2">
      <c r="A7865" s="52"/>
    </row>
    <row r="7866" spans="1:1" x14ac:dyDescent="0.2">
      <c r="A7866" s="52"/>
    </row>
    <row r="7867" spans="1:1" x14ac:dyDescent="0.2">
      <c r="A7867" s="52"/>
    </row>
    <row r="7868" spans="1:1" x14ac:dyDescent="0.2">
      <c r="A7868" s="52"/>
    </row>
    <row r="7869" spans="1:1" x14ac:dyDescent="0.2">
      <c r="A7869" s="53"/>
    </row>
    <row r="7870" spans="1:1" x14ac:dyDescent="0.2">
      <c r="A7870" s="52"/>
    </row>
    <row r="7871" spans="1:1" x14ac:dyDescent="0.2">
      <c r="A7871" s="52"/>
    </row>
    <row r="7872" spans="1:1" x14ac:dyDescent="0.2">
      <c r="A7872" s="52"/>
    </row>
    <row r="7873" spans="1:1" x14ac:dyDescent="0.2">
      <c r="A7873" s="52"/>
    </row>
    <row r="7874" spans="1:1" x14ac:dyDescent="0.2">
      <c r="A7874" s="52"/>
    </row>
    <row r="7875" spans="1:1" x14ac:dyDescent="0.2">
      <c r="A7875" s="52"/>
    </row>
    <row r="7876" spans="1:1" x14ac:dyDescent="0.2">
      <c r="A7876" s="52"/>
    </row>
    <row r="7877" spans="1:1" x14ac:dyDescent="0.2">
      <c r="A7877" s="52"/>
    </row>
    <row r="7878" spans="1:1" x14ac:dyDescent="0.2">
      <c r="A7878" s="52"/>
    </row>
    <row r="7879" spans="1:1" x14ac:dyDescent="0.2">
      <c r="A7879" s="52"/>
    </row>
    <row r="7880" spans="1:1" x14ac:dyDescent="0.2">
      <c r="A7880" s="52"/>
    </row>
    <row r="7881" spans="1:1" x14ac:dyDescent="0.2">
      <c r="A7881" s="52"/>
    </row>
    <row r="7882" spans="1:1" x14ac:dyDescent="0.2">
      <c r="A7882" s="52"/>
    </row>
    <row r="7883" spans="1:1" x14ac:dyDescent="0.2">
      <c r="A7883" s="52"/>
    </row>
    <row r="7884" spans="1:1" x14ac:dyDescent="0.2">
      <c r="A7884" s="52"/>
    </row>
    <row r="7885" spans="1:1" x14ac:dyDescent="0.2">
      <c r="A7885" s="52"/>
    </row>
    <row r="7886" spans="1:1" x14ac:dyDescent="0.2">
      <c r="A7886" s="52"/>
    </row>
    <row r="7887" spans="1:1" x14ac:dyDescent="0.2">
      <c r="A7887" s="52"/>
    </row>
    <row r="7888" spans="1:1" x14ac:dyDescent="0.2">
      <c r="A7888" s="52"/>
    </row>
    <row r="7889" spans="1:1" x14ac:dyDescent="0.2">
      <c r="A7889" s="52"/>
    </row>
    <row r="7890" spans="1:1" x14ac:dyDescent="0.2">
      <c r="A7890" s="52"/>
    </row>
    <row r="7891" spans="1:1" x14ac:dyDescent="0.2">
      <c r="A7891" s="52"/>
    </row>
    <row r="7892" spans="1:1" x14ac:dyDescent="0.2">
      <c r="A7892" s="53"/>
    </row>
    <row r="7893" spans="1:1" x14ac:dyDescent="0.2">
      <c r="A7893" s="52"/>
    </row>
    <row r="7894" spans="1:1" x14ac:dyDescent="0.2">
      <c r="A7894" s="52"/>
    </row>
    <row r="7895" spans="1:1" x14ac:dyDescent="0.2">
      <c r="A7895" s="52"/>
    </row>
    <row r="7896" spans="1:1" x14ac:dyDescent="0.2">
      <c r="A7896" s="52"/>
    </row>
    <row r="7897" spans="1:1" x14ac:dyDescent="0.2">
      <c r="A7897" s="52"/>
    </row>
    <row r="7898" spans="1:1" x14ac:dyDescent="0.2">
      <c r="A7898" s="52"/>
    </row>
    <row r="7899" spans="1:1" x14ac:dyDescent="0.2">
      <c r="A7899" s="52"/>
    </row>
    <row r="7900" spans="1:1" x14ac:dyDescent="0.2">
      <c r="A7900" s="52"/>
    </row>
    <row r="7901" spans="1:1" x14ac:dyDescent="0.2">
      <c r="A7901" s="52"/>
    </row>
    <row r="7902" spans="1:1" x14ac:dyDescent="0.2">
      <c r="A7902" s="52"/>
    </row>
    <row r="7903" spans="1:1" x14ac:dyDescent="0.2">
      <c r="A7903" s="52"/>
    </row>
    <row r="7904" spans="1:1" x14ac:dyDescent="0.2">
      <c r="A7904" s="52"/>
    </row>
    <row r="7905" spans="1:1" x14ac:dyDescent="0.2">
      <c r="A7905" s="52"/>
    </row>
    <row r="7906" spans="1:1" x14ac:dyDescent="0.2">
      <c r="A7906" s="52"/>
    </row>
    <row r="7907" spans="1:1" x14ac:dyDescent="0.2">
      <c r="A7907" s="52"/>
    </row>
    <row r="7908" spans="1:1" x14ac:dyDescent="0.2">
      <c r="A7908" s="52"/>
    </row>
    <row r="7909" spans="1:1" x14ac:dyDescent="0.2">
      <c r="A7909" s="52"/>
    </row>
    <row r="7910" spans="1:1" x14ac:dyDescent="0.2">
      <c r="A7910" s="52"/>
    </row>
    <row r="7911" spans="1:1" x14ac:dyDescent="0.2">
      <c r="A7911" s="53"/>
    </row>
    <row r="7912" spans="1:1" x14ac:dyDescent="0.2">
      <c r="A7912" s="53"/>
    </row>
    <row r="7913" spans="1:1" x14ac:dyDescent="0.2">
      <c r="A7913" s="52"/>
    </row>
    <row r="7914" spans="1:1" x14ac:dyDescent="0.2">
      <c r="A7914" s="52"/>
    </row>
    <row r="7915" spans="1:1" x14ac:dyDescent="0.2">
      <c r="A7915" s="52"/>
    </row>
    <row r="7916" spans="1:1" x14ac:dyDescent="0.2">
      <c r="A7916" s="53"/>
    </row>
    <row r="7917" spans="1:1" x14ac:dyDescent="0.2">
      <c r="A7917" s="52"/>
    </row>
    <row r="7918" spans="1:1" x14ac:dyDescent="0.2">
      <c r="A7918" s="53"/>
    </row>
    <row r="7919" spans="1:1" x14ac:dyDescent="0.2">
      <c r="A7919" s="53"/>
    </row>
    <row r="7920" spans="1:1" x14ac:dyDescent="0.2">
      <c r="A7920" s="52"/>
    </row>
    <row r="7921" spans="1:1" x14ac:dyDescent="0.2">
      <c r="A7921" s="53"/>
    </row>
    <row r="7922" spans="1:1" x14ac:dyDescent="0.2">
      <c r="A7922" s="52"/>
    </row>
    <row r="7923" spans="1:1" x14ac:dyDescent="0.2">
      <c r="A7923" s="52"/>
    </row>
    <row r="7924" spans="1:1" x14ac:dyDescent="0.2">
      <c r="A7924" s="52"/>
    </row>
    <row r="7925" spans="1:1" x14ac:dyDescent="0.2">
      <c r="A7925" s="52"/>
    </row>
    <row r="7926" spans="1:1" x14ac:dyDescent="0.2">
      <c r="A7926" s="52"/>
    </row>
    <row r="7927" spans="1:1" x14ac:dyDescent="0.2">
      <c r="A7927" s="52"/>
    </row>
    <row r="7928" spans="1:1" x14ac:dyDescent="0.2">
      <c r="A7928" s="52"/>
    </row>
    <row r="7929" spans="1:1" x14ac:dyDescent="0.2">
      <c r="A7929" s="53"/>
    </row>
    <row r="7930" spans="1:1" x14ac:dyDescent="0.2">
      <c r="A7930" s="52"/>
    </row>
    <row r="7931" spans="1:1" x14ac:dyDescent="0.2">
      <c r="A7931" s="52"/>
    </row>
    <row r="7932" spans="1:1" x14ac:dyDescent="0.2">
      <c r="A7932" s="52"/>
    </row>
    <row r="7933" spans="1:1" x14ac:dyDescent="0.2">
      <c r="A7933" s="52"/>
    </row>
    <row r="7934" spans="1:1" x14ac:dyDescent="0.2">
      <c r="A7934" s="52"/>
    </row>
    <row r="7935" spans="1:1" x14ac:dyDescent="0.2">
      <c r="A7935" s="52"/>
    </row>
    <row r="7936" spans="1:1" x14ac:dyDescent="0.2">
      <c r="A7936" s="52"/>
    </row>
    <row r="7937" spans="1:1" x14ac:dyDescent="0.2">
      <c r="A7937" s="52"/>
    </row>
    <row r="7938" spans="1:1" x14ac:dyDescent="0.2">
      <c r="A7938" s="52"/>
    </row>
    <row r="7939" spans="1:1" x14ac:dyDescent="0.2">
      <c r="A7939" s="52"/>
    </row>
    <row r="7940" spans="1:1" x14ac:dyDescent="0.2">
      <c r="A7940" s="52"/>
    </row>
    <row r="7941" spans="1:1" x14ac:dyDescent="0.2">
      <c r="A7941" s="52"/>
    </row>
    <row r="7942" spans="1:1" x14ac:dyDescent="0.2">
      <c r="A7942" s="52"/>
    </row>
    <row r="7943" spans="1:1" x14ac:dyDescent="0.2">
      <c r="A7943" s="52"/>
    </row>
    <row r="7944" spans="1:1" x14ac:dyDescent="0.2">
      <c r="A7944" s="52"/>
    </row>
    <row r="7945" spans="1:1" x14ac:dyDescent="0.2">
      <c r="A7945" s="52"/>
    </row>
    <row r="7946" spans="1:1" x14ac:dyDescent="0.2">
      <c r="A7946" s="52"/>
    </row>
    <row r="7947" spans="1:1" x14ac:dyDescent="0.2">
      <c r="A7947" s="52"/>
    </row>
    <row r="7948" spans="1:1" x14ac:dyDescent="0.2">
      <c r="A7948" s="52"/>
    </row>
    <row r="7949" spans="1:1" x14ac:dyDescent="0.2">
      <c r="A7949" s="52"/>
    </row>
    <row r="7950" spans="1:1" x14ac:dyDescent="0.2">
      <c r="A7950" s="52"/>
    </row>
    <row r="7951" spans="1:1" x14ac:dyDescent="0.2">
      <c r="A7951" s="52"/>
    </row>
    <row r="7952" spans="1:1" x14ac:dyDescent="0.2">
      <c r="A7952" s="52"/>
    </row>
    <row r="7953" spans="1:1" x14ac:dyDescent="0.2">
      <c r="A7953" s="52"/>
    </row>
    <row r="7954" spans="1:1" x14ac:dyDescent="0.2">
      <c r="A7954" s="52"/>
    </row>
    <row r="7955" spans="1:1" x14ac:dyDescent="0.2">
      <c r="A7955" s="53"/>
    </row>
    <row r="7956" spans="1:1" x14ac:dyDescent="0.2">
      <c r="A7956" s="52"/>
    </row>
    <row r="7957" spans="1:1" x14ac:dyDescent="0.2">
      <c r="A7957" s="52"/>
    </row>
    <row r="7958" spans="1:1" x14ac:dyDescent="0.2">
      <c r="A7958" s="52"/>
    </row>
    <row r="7959" spans="1:1" x14ac:dyDescent="0.2">
      <c r="A7959" s="52"/>
    </row>
    <row r="7960" spans="1:1" x14ac:dyDescent="0.2">
      <c r="A7960" s="52"/>
    </row>
    <row r="7961" spans="1:1" x14ac:dyDescent="0.2">
      <c r="A7961" s="52"/>
    </row>
    <row r="7962" spans="1:1" x14ac:dyDescent="0.2">
      <c r="A7962" s="52"/>
    </row>
    <row r="7963" spans="1:1" x14ac:dyDescent="0.2">
      <c r="A7963" s="52"/>
    </row>
    <row r="7964" spans="1:1" x14ac:dyDescent="0.2">
      <c r="A7964" s="53"/>
    </row>
    <row r="7965" spans="1:1" x14ac:dyDescent="0.2">
      <c r="A7965" s="52"/>
    </row>
    <row r="7966" spans="1:1" x14ac:dyDescent="0.2">
      <c r="A7966" s="52"/>
    </row>
    <row r="7967" spans="1:1" x14ac:dyDescent="0.2">
      <c r="A7967" s="52"/>
    </row>
    <row r="7968" spans="1:1" x14ac:dyDescent="0.2">
      <c r="A7968" s="52"/>
    </row>
    <row r="7969" spans="1:1" x14ac:dyDescent="0.2">
      <c r="A7969" s="52"/>
    </row>
    <row r="7970" spans="1:1" x14ac:dyDescent="0.2">
      <c r="A7970" s="52"/>
    </row>
    <row r="7971" spans="1:1" x14ac:dyDescent="0.2">
      <c r="A7971" s="52"/>
    </row>
    <row r="7972" spans="1:1" x14ac:dyDescent="0.2">
      <c r="A7972" s="52"/>
    </row>
    <row r="7973" spans="1:1" x14ac:dyDescent="0.2">
      <c r="A7973" s="52"/>
    </row>
    <row r="7974" spans="1:1" x14ac:dyDescent="0.2">
      <c r="A7974" s="52"/>
    </row>
    <row r="7975" spans="1:1" x14ac:dyDescent="0.2">
      <c r="A7975" s="52"/>
    </row>
    <row r="7976" spans="1:1" x14ac:dyDescent="0.2">
      <c r="A7976" s="52"/>
    </row>
    <row r="7977" spans="1:1" x14ac:dyDescent="0.2">
      <c r="A7977" s="52"/>
    </row>
    <row r="7978" spans="1:1" x14ac:dyDescent="0.2">
      <c r="A7978" s="52"/>
    </row>
    <row r="7979" spans="1:1" x14ac:dyDescent="0.2">
      <c r="A7979" s="52"/>
    </row>
    <row r="7980" spans="1:1" x14ac:dyDescent="0.2">
      <c r="A7980" s="53"/>
    </row>
    <row r="7981" spans="1:1" x14ac:dyDescent="0.2">
      <c r="A7981" s="52"/>
    </row>
    <row r="7982" spans="1:1" x14ac:dyDescent="0.2">
      <c r="A7982" s="52"/>
    </row>
    <row r="7983" spans="1:1" x14ac:dyDescent="0.2">
      <c r="A7983" s="52"/>
    </row>
    <row r="7984" spans="1:1" x14ac:dyDescent="0.2">
      <c r="A7984" s="52"/>
    </row>
    <row r="7985" spans="1:1" x14ac:dyDescent="0.2">
      <c r="A7985" s="52"/>
    </row>
    <row r="7986" spans="1:1" x14ac:dyDescent="0.2">
      <c r="A7986" s="52"/>
    </row>
    <row r="7987" spans="1:1" x14ac:dyDescent="0.2">
      <c r="A7987" s="52"/>
    </row>
    <row r="7988" spans="1:1" x14ac:dyDescent="0.2">
      <c r="A7988" s="52"/>
    </row>
    <row r="7989" spans="1:1" x14ac:dyDescent="0.2">
      <c r="A7989" s="52"/>
    </row>
    <row r="7990" spans="1:1" x14ac:dyDescent="0.2">
      <c r="A7990" s="52"/>
    </row>
    <row r="7991" spans="1:1" x14ac:dyDescent="0.2">
      <c r="A7991" s="52"/>
    </row>
    <row r="7992" spans="1:1" x14ac:dyDescent="0.2">
      <c r="A7992" s="52"/>
    </row>
    <row r="7993" spans="1:1" x14ac:dyDescent="0.2">
      <c r="A7993" s="52"/>
    </row>
    <row r="7994" spans="1:1" x14ac:dyDescent="0.2">
      <c r="A7994" s="52"/>
    </row>
    <row r="7995" spans="1:1" x14ac:dyDescent="0.2">
      <c r="A7995" s="52"/>
    </row>
    <row r="7996" spans="1:1" x14ac:dyDescent="0.2">
      <c r="A7996" s="52"/>
    </row>
    <row r="7997" spans="1:1" x14ac:dyDescent="0.2">
      <c r="A7997" s="52"/>
    </row>
    <row r="7998" spans="1:1" x14ac:dyDescent="0.2">
      <c r="A7998" s="52"/>
    </row>
    <row r="7999" spans="1:1" x14ac:dyDescent="0.2">
      <c r="A7999" s="52"/>
    </row>
    <row r="8000" spans="1:1" x14ac:dyDescent="0.2">
      <c r="A8000" s="52"/>
    </row>
    <row r="8001" spans="1:1" x14ac:dyDescent="0.2">
      <c r="A8001" s="52"/>
    </row>
    <row r="8002" spans="1:1" x14ac:dyDescent="0.2">
      <c r="A8002" s="52"/>
    </row>
    <row r="8003" spans="1:1" x14ac:dyDescent="0.2">
      <c r="A8003" s="52"/>
    </row>
    <row r="8004" spans="1:1" x14ac:dyDescent="0.2">
      <c r="A8004" s="52"/>
    </row>
    <row r="8005" spans="1:1" x14ac:dyDescent="0.2">
      <c r="A8005" s="52"/>
    </row>
    <row r="8006" spans="1:1" x14ac:dyDescent="0.2">
      <c r="A8006" s="52"/>
    </row>
    <row r="8007" spans="1:1" x14ac:dyDescent="0.2">
      <c r="A8007" s="52"/>
    </row>
    <row r="8008" spans="1:1" x14ac:dyDescent="0.2">
      <c r="A8008" s="52"/>
    </row>
    <row r="8009" spans="1:1" x14ac:dyDescent="0.2">
      <c r="A8009" s="52"/>
    </row>
    <row r="8010" spans="1:1" x14ac:dyDescent="0.2">
      <c r="A8010" s="52"/>
    </row>
    <row r="8011" spans="1:1" x14ac:dyDescent="0.2">
      <c r="A8011" s="52"/>
    </row>
    <row r="8012" spans="1:1" x14ac:dyDescent="0.2">
      <c r="A8012" s="52"/>
    </row>
    <row r="8013" spans="1:1" x14ac:dyDescent="0.2">
      <c r="A8013" s="52"/>
    </row>
    <row r="8014" spans="1:1" x14ac:dyDescent="0.2">
      <c r="A8014" s="52"/>
    </row>
    <row r="8015" spans="1:1" x14ac:dyDescent="0.2">
      <c r="A8015" s="52"/>
    </row>
    <row r="8016" spans="1:1" x14ac:dyDescent="0.2">
      <c r="A8016" s="52"/>
    </row>
    <row r="8017" spans="1:1" x14ac:dyDescent="0.2">
      <c r="A8017" s="52"/>
    </row>
    <row r="8018" spans="1:1" x14ac:dyDescent="0.2">
      <c r="A8018" s="52"/>
    </row>
    <row r="8019" spans="1:1" x14ac:dyDescent="0.2">
      <c r="A8019" s="52"/>
    </row>
    <row r="8020" spans="1:1" x14ac:dyDescent="0.2">
      <c r="A8020" s="52"/>
    </row>
    <row r="8021" spans="1:1" x14ac:dyDescent="0.2">
      <c r="A8021" s="52"/>
    </row>
    <row r="8022" spans="1:1" x14ac:dyDescent="0.2">
      <c r="A8022" s="52"/>
    </row>
    <row r="8023" spans="1:1" x14ac:dyDescent="0.2">
      <c r="A8023" s="52"/>
    </row>
    <row r="8024" spans="1:1" x14ac:dyDescent="0.2">
      <c r="A8024" s="52"/>
    </row>
    <row r="8025" spans="1:1" x14ac:dyDescent="0.2">
      <c r="A8025" s="52"/>
    </row>
    <row r="8026" spans="1:1" x14ac:dyDescent="0.2">
      <c r="A8026" s="52"/>
    </row>
    <row r="8027" spans="1:1" x14ac:dyDescent="0.2">
      <c r="A8027" s="52"/>
    </row>
    <row r="8028" spans="1:1" x14ac:dyDescent="0.2">
      <c r="A8028" s="52"/>
    </row>
    <row r="8029" spans="1:1" x14ac:dyDescent="0.2">
      <c r="A8029" s="52"/>
    </row>
    <row r="8030" spans="1:1" x14ac:dyDescent="0.2">
      <c r="A8030" s="52"/>
    </row>
    <row r="8031" spans="1:1" x14ac:dyDescent="0.2">
      <c r="A8031" s="52"/>
    </row>
    <row r="8032" spans="1:1" x14ac:dyDescent="0.2">
      <c r="A8032" s="52"/>
    </row>
    <row r="8033" spans="1:1" x14ac:dyDescent="0.2">
      <c r="A8033" s="52"/>
    </row>
    <row r="8034" spans="1:1" x14ac:dyDescent="0.2">
      <c r="A8034" s="52"/>
    </row>
    <row r="8035" spans="1:1" x14ac:dyDescent="0.2">
      <c r="A8035" s="53"/>
    </row>
    <row r="8036" spans="1:1" x14ac:dyDescent="0.2">
      <c r="A8036" s="52"/>
    </row>
    <row r="8037" spans="1:1" x14ac:dyDescent="0.2">
      <c r="A8037" s="52"/>
    </row>
    <row r="8038" spans="1:1" x14ac:dyDescent="0.2">
      <c r="A8038" s="52"/>
    </row>
    <row r="8039" spans="1:1" x14ac:dyDescent="0.2">
      <c r="A8039" s="52"/>
    </row>
    <row r="8040" spans="1:1" x14ac:dyDescent="0.2">
      <c r="A8040" s="52"/>
    </row>
    <row r="8041" spans="1:1" x14ac:dyDescent="0.2">
      <c r="A8041" s="52"/>
    </row>
    <row r="8042" spans="1:1" x14ac:dyDescent="0.2">
      <c r="A8042" s="52"/>
    </row>
    <row r="8043" spans="1:1" x14ac:dyDescent="0.2">
      <c r="A8043" s="52"/>
    </row>
    <row r="8044" spans="1:1" x14ac:dyDescent="0.2">
      <c r="A8044" s="52"/>
    </row>
    <row r="8045" spans="1:1" x14ac:dyDescent="0.2">
      <c r="A8045" s="52"/>
    </row>
    <row r="8046" spans="1:1" x14ac:dyDescent="0.2">
      <c r="A8046" s="52"/>
    </row>
    <row r="8047" spans="1:1" x14ac:dyDescent="0.2">
      <c r="A8047" s="52"/>
    </row>
    <row r="8048" spans="1:1" x14ac:dyDescent="0.2">
      <c r="A8048" s="52"/>
    </row>
    <row r="8049" spans="1:1" x14ac:dyDescent="0.2">
      <c r="A8049" s="52"/>
    </row>
    <row r="8050" spans="1:1" x14ac:dyDescent="0.2">
      <c r="A8050" s="52"/>
    </row>
    <row r="8051" spans="1:1" x14ac:dyDescent="0.2">
      <c r="A8051" s="52"/>
    </row>
    <row r="8052" spans="1:1" x14ac:dyDescent="0.2">
      <c r="A8052" s="52"/>
    </row>
    <row r="8053" spans="1:1" x14ac:dyDescent="0.2">
      <c r="A8053" s="52"/>
    </row>
    <row r="8054" spans="1:1" x14ac:dyDescent="0.2">
      <c r="A8054" s="52"/>
    </row>
    <row r="8055" spans="1:1" x14ac:dyDescent="0.2">
      <c r="A8055" s="52"/>
    </row>
    <row r="8056" spans="1:1" x14ac:dyDescent="0.2">
      <c r="A8056" s="52"/>
    </row>
    <row r="8057" spans="1:1" x14ac:dyDescent="0.2">
      <c r="A8057" s="52"/>
    </row>
    <row r="8058" spans="1:1" x14ac:dyDescent="0.2">
      <c r="A8058" s="52"/>
    </row>
    <row r="8059" spans="1:1" x14ac:dyDescent="0.2">
      <c r="A8059" s="52"/>
    </row>
    <row r="8060" spans="1:1" x14ac:dyDescent="0.2">
      <c r="A8060" s="52"/>
    </row>
    <row r="8061" spans="1:1" x14ac:dyDescent="0.2">
      <c r="A8061" s="52"/>
    </row>
    <row r="8062" spans="1:1" x14ac:dyDescent="0.2">
      <c r="A8062" s="52"/>
    </row>
    <row r="8063" spans="1:1" x14ac:dyDescent="0.2">
      <c r="A8063" s="52"/>
    </row>
    <row r="8064" spans="1:1" x14ac:dyDescent="0.2">
      <c r="A8064" s="52"/>
    </row>
    <row r="8065" spans="1:1" x14ac:dyDescent="0.2">
      <c r="A8065" s="52"/>
    </row>
    <row r="8066" spans="1:1" x14ac:dyDescent="0.2">
      <c r="A8066" s="52"/>
    </row>
    <row r="8067" spans="1:1" x14ac:dyDescent="0.2">
      <c r="A8067" s="52"/>
    </row>
    <row r="8068" spans="1:1" x14ac:dyDescent="0.2">
      <c r="A8068" s="52"/>
    </row>
    <row r="8069" spans="1:1" x14ac:dyDescent="0.2">
      <c r="A8069" s="53"/>
    </row>
    <row r="8070" spans="1:1" x14ac:dyDescent="0.2">
      <c r="A8070" s="52"/>
    </row>
    <row r="8071" spans="1:1" x14ac:dyDescent="0.2">
      <c r="A8071" s="53"/>
    </row>
    <row r="8072" spans="1:1" x14ac:dyDescent="0.2">
      <c r="A8072" s="53"/>
    </row>
    <row r="8073" spans="1:1" x14ac:dyDescent="0.2">
      <c r="A8073" s="52"/>
    </row>
    <row r="8074" spans="1:1" x14ac:dyDescent="0.2">
      <c r="A8074" s="52"/>
    </row>
    <row r="8075" spans="1:1" x14ac:dyDescent="0.2">
      <c r="A8075" s="52"/>
    </row>
    <row r="8076" spans="1:1" x14ac:dyDescent="0.2">
      <c r="A8076" s="52"/>
    </row>
    <row r="8077" spans="1:1" x14ac:dyDescent="0.2">
      <c r="A8077" s="52"/>
    </row>
    <row r="8078" spans="1:1" x14ac:dyDescent="0.2">
      <c r="A8078" s="52"/>
    </row>
    <row r="8079" spans="1:1" x14ac:dyDescent="0.2">
      <c r="A8079" s="52"/>
    </row>
    <row r="8080" spans="1:1" x14ac:dyDescent="0.2">
      <c r="A8080" s="52"/>
    </row>
    <row r="8081" spans="1:1" x14ac:dyDescent="0.2">
      <c r="A8081" s="52"/>
    </row>
    <row r="8082" spans="1:1" x14ac:dyDescent="0.2">
      <c r="A8082" s="52"/>
    </row>
    <row r="8083" spans="1:1" x14ac:dyDescent="0.2">
      <c r="A8083" s="52"/>
    </row>
    <row r="8084" spans="1:1" x14ac:dyDescent="0.2">
      <c r="A8084" s="52"/>
    </row>
    <row r="8085" spans="1:1" x14ac:dyDescent="0.2">
      <c r="A8085" s="52"/>
    </row>
    <row r="8086" spans="1:1" x14ac:dyDescent="0.2">
      <c r="A8086" s="52"/>
    </row>
    <row r="8087" spans="1:1" x14ac:dyDescent="0.2">
      <c r="A8087" s="52"/>
    </row>
    <row r="8088" spans="1:1" x14ac:dyDescent="0.2">
      <c r="A8088" s="52"/>
    </row>
    <row r="8089" spans="1:1" x14ac:dyDescent="0.2">
      <c r="A8089" s="52"/>
    </row>
    <row r="8090" spans="1:1" x14ac:dyDescent="0.2">
      <c r="A8090" s="53"/>
    </row>
    <row r="8091" spans="1:1" x14ac:dyDescent="0.2">
      <c r="A8091" s="52"/>
    </row>
    <row r="8092" spans="1:1" x14ac:dyDescent="0.2">
      <c r="A8092" s="52"/>
    </row>
    <row r="8093" spans="1:1" x14ac:dyDescent="0.2">
      <c r="A8093" s="52"/>
    </row>
    <row r="8094" spans="1:1" x14ac:dyDescent="0.2">
      <c r="A8094" s="52"/>
    </row>
    <row r="8095" spans="1:1" x14ac:dyDescent="0.2">
      <c r="A8095" s="52"/>
    </row>
    <row r="8096" spans="1:1" x14ac:dyDescent="0.2">
      <c r="A8096" s="52"/>
    </row>
    <row r="8097" spans="1:1" x14ac:dyDescent="0.2">
      <c r="A8097" s="52"/>
    </row>
    <row r="8098" spans="1:1" x14ac:dyDescent="0.2">
      <c r="A8098" s="52"/>
    </row>
    <row r="8099" spans="1:1" x14ac:dyDescent="0.2">
      <c r="A8099" s="52"/>
    </row>
    <row r="8100" spans="1:1" x14ac:dyDescent="0.2">
      <c r="A8100" s="52"/>
    </row>
    <row r="8101" spans="1:1" x14ac:dyDescent="0.2">
      <c r="A8101" s="52"/>
    </row>
    <row r="8102" spans="1:1" x14ac:dyDescent="0.2">
      <c r="A8102" s="52"/>
    </row>
    <row r="8103" spans="1:1" x14ac:dyDescent="0.2">
      <c r="A8103" s="52"/>
    </row>
    <row r="8104" spans="1:1" x14ac:dyDescent="0.2">
      <c r="A8104" s="52"/>
    </row>
    <row r="8105" spans="1:1" x14ac:dyDescent="0.2">
      <c r="A8105" s="52"/>
    </row>
    <row r="8106" spans="1:1" x14ac:dyDescent="0.2">
      <c r="A8106" s="52"/>
    </row>
    <row r="8107" spans="1:1" x14ac:dyDescent="0.2">
      <c r="A8107" s="52"/>
    </row>
    <row r="8108" spans="1:1" x14ac:dyDescent="0.2">
      <c r="A8108" s="52"/>
    </row>
    <row r="8109" spans="1:1" x14ac:dyDescent="0.2">
      <c r="A8109" s="52"/>
    </row>
    <row r="8110" spans="1:1" x14ac:dyDescent="0.2">
      <c r="A8110" s="52"/>
    </row>
    <row r="8111" spans="1:1" x14ac:dyDescent="0.2">
      <c r="A8111" s="52"/>
    </row>
    <row r="8112" spans="1:1" x14ac:dyDescent="0.2">
      <c r="A8112" s="52"/>
    </row>
    <row r="8113" spans="1:1" x14ac:dyDescent="0.2">
      <c r="A8113" s="52"/>
    </row>
    <row r="8114" spans="1:1" x14ac:dyDescent="0.2">
      <c r="A8114" s="52"/>
    </row>
    <row r="8115" spans="1:1" x14ac:dyDescent="0.2">
      <c r="A8115" s="52"/>
    </row>
    <row r="8116" spans="1:1" x14ac:dyDescent="0.2">
      <c r="A8116" s="52"/>
    </row>
    <row r="8117" spans="1:1" x14ac:dyDescent="0.2">
      <c r="A8117" s="52"/>
    </row>
    <row r="8118" spans="1:1" x14ac:dyDescent="0.2">
      <c r="A8118" s="52"/>
    </row>
    <row r="8119" spans="1:1" x14ac:dyDescent="0.2">
      <c r="A8119" s="52"/>
    </row>
    <row r="8120" spans="1:1" x14ac:dyDescent="0.2">
      <c r="A8120" s="52"/>
    </row>
    <row r="8121" spans="1:1" x14ac:dyDescent="0.2">
      <c r="A8121" s="52"/>
    </row>
    <row r="8122" spans="1:1" x14ac:dyDescent="0.2">
      <c r="A8122" s="52"/>
    </row>
    <row r="8123" spans="1:1" x14ac:dyDescent="0.2">
      <c r="A8123" s="52"/>
    </row>
    <row r="8124" spans="1:1" x14ac:dyDescent="0.2">
      <c r="A8124" s="52"/>
    </row>
    <row r="8125" spans="1:1" x14ac:dyDescent="0.2">
      <c r="A8125" s="52"/>
    </row>
    <row r="8126" spans="1:1" x14ac:dyDescent="0.2">
      <c r="A8126" s="52"/>
    </row>
    <row r="8127" spans="1:1" x14ac:dyDescent="0.2">
      <c r="A8127" s="52"/>
    </row>
    <row r="8128" spans="1:1" x14ac:dyDescent="0.2">
      <c r="A8128" s="52"/>
    </row>
    <row r="8129" spans="1:1" x14ac:dyDescent="0.2">
      <c r="A8129" s="52"/>
    </row>
    <row r="8130" spans="1:1" x14ac:dyDescent="0.2">
      <c r="A8130" s="52"/>
    </row>
    <row r="8131" spans="1:1" x14ac:dyDescent="0.2">
      <c r="A8131" s="52"/>
    </row>
    <row r="8132" spans="1:1" x14ac:dyDescent="0.2">
      <c r="A8132" s="52"/>
    </row>
    <row r="8133" spans="1:1" x14ac:dyDescent="0.2">
      <c r="A8133" s="52"/>
    </row>
    <row r="8134" spans="1:1" x14ac:dyDescent="0.2">
      <c r="A8134" s="52"/>
    </row>
    <row r="8135" spans="1:1" x14ac:dyDescent="0.2">
      <c r="A8135" s="52"/>
    </row>
    <row r="8136" spans="1:1" x14ac:dyDescent="0.2">
      <c r="A8136" s="52"/>
    </row>
    <row r="8137" spans="1:1" x14ac:dyDescent="0.2">
      <c r="A8137" s="52"/>
    </row>
    <row r="8138" spans="1:1" x14ac:dyDescent="0.2">
      <c r="A8138" s="52"/>
    </row>
    <row r="8139" spans="1:1" x14ac:dyDescent="0.2">
      <c r="A8139" s="52"/>
    </row>
    <row r="8140" spans="1:1" x14ac:dyDescent="0.2">
      <c r="A8140" s="52"/>
    </row>
    <row r="8141" spans="1:1" x14ac:dyDescent="0.2">
      <c r="A8141" s="52"/>
    </row>
    <row r="8142" spans="1:1" x14ac:dyDescent="0.2">
      <c r="A8142" s="52"/>
    </row>
    <row r="8143" spans="1:1" x14ac:dyDescent="0.2">
      <c r="A8143" s="52"/>
    </row>
    <row r="8144" spans="1:1" x14ac:dyDescent="0.2">
      <c r="A8144" s="52"/>
    </row>
    <row r="8145" spans="1:1" x14ac:dyDescent="0.2">
      <c r="A8145" s="52"/>
    </row>
    <row r="8146" spans="1:1" x14ac:dyDescent="0.2">
      <c r="A8146" s="52"/>
    </row>
    <row r="8147" spans="1:1" x14ac:dyDescent="0.2">
      <c r="A8147" s="52"/>
    </row>
    <row r="8148" spans="1:1" x14ac:dyDescent="0.2">
      <c r="A8148" s="52"/>
    </row>
    <row r="8149" spans="1:1" x14ac:dyDescent="0.2">
      <c r="A8149" s="52"/>
    </row>
    <row r="8150" spans="1:1" x14ac:dyDescent="0.2">
      <c r="A8150" s="52"/>
    </row>
    <row r="8151" spans="1:1" x14ac:dyDescent="0.2">
      <c r="A8151" s="52"/>
    </row>
    <row r="8152" spans="1:1" x14ac:dyDescent="0.2">
      <c r="A8152" s="52"/>
    </row>
    <row r="8153" spans="1:1" x14ac:dyDescent="0.2">
      <c r="A8153" s="52"/>
    </row>
    <row r="8154" spans="1:1" x14ac:dyDescent="0.2">
      <c r="A8154" s="52"/>
    </row>
    <row r="8155" spans="1:1" x14ac:dyDescent="0.2">
      <c r="A8155" s="52"/>
    </row>
    <row r="8156" spans="1:1" x14ac:dyDescent="0.2">
      <c r="A8156" s="52"/>
    </row>
    <row r="8157" spans="1:1" x14ac:dyDescent="0.2">
      <c r="A8157" s="52"/>
    </row>
    <row r="8158" spans="1:1" x14ac:dyDescent="0.2">
      <c r="A8158" s="52"/>
    </row>
    <row r="8159" spans="1:1" x14ac:dyDescent="0.2">
      <c r="A8159" s="52"/>
    </row>
    <row r="8160" spans="1:1" x14ac:dyDescent="0.2">
      <c r="A8160" s="52"/>
    </row>
    <row r="8161" spans="1:1" x14ac:dyDescent="0.2">
      <c r="A8161" s="52"/>
    </row>
    <row r="8162" spans="1:1" x14ac:dyDescent="0.2">
      <c r="A8162" s="52"/>
    </row>
    <row r="8163" spans="1:1" x14ac:dyDescent="0.2">
      <c r="A8163" s="52"/>
    </row>
    <row r="8164" spans="1:1" x14ac:dyDescent="0.2">
      <c r="A8164" s="52"/>
    </row>
    <row r="8165" spans="1:1" x14ac:dyDescent="0.2">
      <c r="A8165" s="52"/>
    </row>
    <row r="8166" spans="1:1" x14ac:dyDescent="0.2">
      <c r="A8166" s="52"/>
    </row>
    <row r="8167" spans="1:1" x14ac:dyDescent="0.2">
      <c r="A8167" s="52"/>
    </row>
    <row r="8168" spans="1:1" x14ac:dyDescent="0.2">
      <c r="A8168" s="52"/>
    </row>
    <row r="8169" spans="1:1" x14ac:dyDescent="0.2">
      <c r="A8169" s="52"/>
    </row>
    <row r="8170" spans="1:1" x14ac:dyDescent="0.2">
      <c r="A8170" s="52"/>
    </row>
    <row r="8171" spans="1:1" x14ac:dyDescent="0.2">
      <c r="A8171" s="52"/>
    </row>
    <row r="8172" spans="1:1" x14ac:dyDescent="0.2">
      <c r="A8172" s="52"/>
    </row>
    <row r="8173" spans="1:1" x14ac:dyDescent="0.2">
      <c r="A8173" s="52"/>
    </row>
    <row r="8174" spans="1:1" x14ac:dyDescent="0.2">
      <c r="A8174" s="52"/>
    </row>
    <row r="8175" spans="1:1" x14ac:dyDescent="0.2">
      <c r="A8175" s="52"/>
    </row>
    <row r="8176" spans="1:1" x14ac:dyDescent="0.2">
      <c r="A8176" s="52"/>
    </row>
    <row r="8177" spans="1:1" x14ac:dyDescent="0.2">
      <c r="A8177" s="52"/>
    </row>
    <row r="8178" spans="1:1" x14ac:dyDescent="0.2">
      <c r="A8178" s="52"/>
    </row>
    <row r="8179" spans="1:1" x14ac:dyDescent="0.2">
      <c r="A8179" s="52"/>
    </row>
    <row r="8180" spans="1:1" x14ac:dyDescent="0.2">
      <c r="A8180" s="52"/>
    </row>
    <row r="8181" spans="1:1" x14ac:dyDescent="0.2">
      <c r="A8181" s="52"/>
    </row>
    <row r="8182" spans="1:1" x14ac:dyDescent="0.2">
      <c r="A8182" s="52"/>
    </row>
    <row r="8183" spans="1:1" x14ac:dyDescent="0.2">
      <c r="A8183" s="52"/>
    </row>
    <row r="8184" spans="1:1" x14ac:dyDescent="0.2">
      <c r="A8184" s="52"/>
    </row>
    <row r="8185" spans="1:1" x14ac:dyDescent="0.2">
      <c r="A8185" s="52"/>
    </row>
    <row r="8186" spans="1:1" x14ac:dyDescent="0.2">
      <c r="A8186" s="52"/>
    </row>
    <row r="8187" spans="1:1" x14ac:dyDescent="0.2">
      <c r="A8187" s="52"/>
    </row>
    <row r="8188" spans="1:1" x14ac:dyDescent="0.2">
      <c r="A8188" s="52"/>
    </row>
    <row r="8189" spans="1:1" x14ac:dyDescent="0.2">
      <c r="A8189" s="52"/>
    </row>
    <row r="8190" spans="1:1" x14ac:dyDescent="0.2">
      <c r="A8190" s="52"/>
    </row>
    <row r="8191" spans="1:1" x14ac:dyDescent="0.2">
      <c r="A8191" s="52"/>
    </row>
    <row r="8192" spans="1:1" x14ac:dyDescent="0.2">
      <c r="A8192" s="52"/>
    </row>
    <row r="8193" spans="1:1" x14ac:dyDescent="0.2">
      <c r="A8193" s="52"/>
    </row>
    <row r="8194" spans="1:1" x14ac:dyDescent="0.2">
      <c r="A8194" s="52"/>
    </row>
    <row r="8195" spans="1:1" x14ac:dyDescent="0.2">
      <c r="A8195" s="52"/>
    </row>
    <row r="8196" spans="1:1" x14ac:dyDescent="0.2">
      <c r="A8196" s="52"/>
    </row>
    <row r="8197" spans="1:1" x14ac:dyDescent="0.2">
      <c r="A8197" s="52"/>
    </row>
    <row r="8198" spans="1:1" x14ac:dyDescent="0.2">
      <c r="A8198" s="52"/>
    </row>
    <row r="8199" spans="1:1" x14ac:dyDescent="0.2">
      <c r="A8199" s="52"/>
    </row>
    <row r="8200" spans="1:1" x14ac:dyDescent="0.2">
      <c r="A8200" s="52"/>
    </row>
    <row r="8201" spans="1:1" x14ac:dyDescent="0.2">
      <c r="A8201" s="52"/>
    </row>
    <row r="8202" spans="1:1" x14ac:dyDescent="0.2">
      <c r="A8202" s="52"/>
    </row>
    <row r="8203" spans="1:1" x14ac:dyDescent="0.2">
      <c r="A8203" s="52"/>
    </row>
    <row r="8204" spans="1:1" x14ac:dyDescent="0.2">
      <c r="A8204" s="52"/>
    </row>
    <row r="8205" spans="1:1" x14ac:dyDescent="0.2">
      <c r="A8205" s="52"/>
    </row>
    <row r="8206" spans="1:1" x14ac:dyDescent="0.2">
      <c r="A8206" s="52"/>
    </row>
    <row r="8207" spans="1:1" x14ac:dyDescent="0.2">
      <c r="A8207" s="52"/>
    </row>
    <row r="8208" spans="1:1" x14ac:dyDescent="0.2">
      <c r="A8208" s="52"/>
    </row>
    <row r="8209" spans="1:1" x14ac:dyDescent="0.2">
      <c r="A8209" s="52"/>
    </row>
    <row r="8210" spans="1:1" x14ac:dyDescent="0.2">
      <c r="A8210" s="52"/>
    </row>
    <row r="8211" spans="1:1" x14ac:dyDescent="0.2">
      <c r="A8211" s="52"/>
    </row>
    <row r="8212" spans="1:1" x14ac:dyDescent="0.2">
      <c r="A8212" s="52"/>
    </row>
    <row r="8213" spans="1:1" x14ac:dyDescent="0.2">
      <c r="A8213" s="52"/>
    </row>
    <row r="8214" spans="1:1" x14ac:dyDescent="0.2">
      <c r="A8214" s="52"/>
    </row>
    <row r="8215" spans="1:1" x14ac:dyDescent="0.2">
      <c r="A8215" s="52"/>
    </row>
    <row r="8216" spans="1:1" x14ac:dyDescent="0.2">
      <c r="A8216" s="52"/>
    </row>
    <row r="8217" spans="1:1" x14ac:dyDescent="0.2">
      <c r="A8217" s="52"/>
    </row>
    <row r="8218" spans="1:1" x14ac:dyDescent="0.2">
      <c r="A8218" s="52"/>
    </row>
    <row r="8219" spans="1:1" x14ac:dyDescent="0.2">
      <c r="A8219" s="52"/>
    </row>
    <row r="8220" spans="1:1" x14ac:dyDescent="0.2">
      <c r="A8220" s="52"/>
    </row>
    <row r="8221" spans="1:1" x14ac:dyDescent="0.2">
      <c r="A8221" s="52"/>
    </row>
    <row r="8222" spans="1:1" x14ac:dyDescent="0.2">
      <c r="A8222" s="52"/>
    </row>
    <row r="8223" spans="1:1" x14ac:dyDescent="0.2">
      <c r="A8223" s="52"/>
    </row>
    <row r="8224" spans="1:1" x14ac:dyDescent="0.2">
      <c r="A8224" s="52"/>
    </row>
    <row r="8225" spans="1:1" x14ac:dyDescent="0.2">
      <c r="A8225" s="52"/>
    </row>
    <row r="8226" spans="1:1" x14ac:dyDescent="0.2">
      <c r="A8226" s="52"/>
    </row>
    <row r="8227" spans="1:1" x14ac:dyDescent="0.2">
      <c r="A8227" s="52"/>
    </row>
    <row r="8228" spans="1:1" x14ac:dyDescent="0.2">
      <c r="A8228" s="52"/>
    </row>
    <row r="8229" spans="1:1" x14ac:dyDescent="0.2">
      <c r="A8229" s="52"/>
    </row>
    <row r="8230" spans="1:1" x14ac:dyDescent="0.2">
      <c r="A8230" s="52"/>
    </row>
    <row r="8231" spans="1:1" x14ac:dyDescent="0.2">
      <c r="A8231" s="52"/>
    </row>
    <row r="8232" spans="1:1" x14ac:dyDescent="0.2">
      <c r="A8232" s="52"/>
    </row>
    <row r="8233" spans="1:1" x14ac:dyDescent="0.2">
      <c r="A8233" s="52"/>
    </row>
    <row r="8234" spans="1:1" x14ac:dyDescent="0.2">
      <c r="A8234" s="52"/>
    </row>
    <row r="8235" spans="1:1" x14ac:dyDescent="0.2">
      <c r="A8235" s="54"/>
    </row>
    <row r="8236" spans="1:1" x14ac:dyDescent="0.2">
      <c r="A8236" s="54"/>
    </row>
    <row r="8237" spans="1:1" x14ac:dyDescent="0.2">
      <c r="A8237" s="54"/>
    </row>
    <row r="8238" spans="1:1" x14ac:dyDescent="0.2">
      <c r="A8238" s="54"/>
    </row>
    <row r="8239" spans="1:1" x14ac:dyDescent="0.2">
      <c r="A8239" s="54"/>
    </row>
    <row r="8240" spans="1:1" x14ac:dyDescent="0.2">
      <c r="A8240" s="54"/>
    </row>
    <row r="8241" spans="1:1" x14ac:dyDescent="0.2">
      <c r="A8241" s="54"/>
    </row>
    <row r="8242" spans="1:1" x14ac:dyDescent="0.2">
      <c r="A8242" s="54"/>
    </row>
    <row r="8243" spans="1:1" x14ac:dyDescent="0.2">
      <c r="A8243" s="54"/>
    </row>
    <row r="8244" spans="1:1" x14ac:dyDescent="0.2">
      <c r="A8244" s="54"/>
    </row>
    <row r="8245" spans="1:1" x14ac:dyDescent="0.2">
      <c r="A8245" s="54"/>
    </row>
    <row r="8246" spans="1:1" x14ac:dyDescent="0.2">
      <c r="A8246" s="54"/>
    </row>
    <row r="8247" spans="1:1" x14ac:dyDescent="0.2">
      <c r="A8247" s="54"/>
    </row>
    <row r="8248" spans="1:1" x14ac:dyDescent="0.2">
      <c r="A8248" s="54"/>
    </row>
    <row r="8249" spans="1:1" x14ac:dyDescent="0.2">
      <c r="A8249" s="54"/>
    </row>
    <row r="8250" spans="1:1" x14ac:dyDescent="0.2">
      <c r="A8250" s="54"/>
    </row>
    <row r="8251" spans="1:1" x14ac:dyDescent="0.2">
      <c r="A8251" s="54"/>
    </row>
    <row r="8252" spans="1:1" x14ac:dyDescent="0.2">
      <c r="A8252" s="54"/>
    </row>
    <row r="8253" spans="1:1" x14ac:dyDescent="0.2">
      <c r="A8253" s="54"/>
    </row>
    <row r="8254" spans="1:1" x14ac:dyDescent="0.2">
      <c r="A8254" s="54"/>
    </row>
    <row r="8255" spans="1:1" x14ac:dyDescent="0.2">
      <c r="A8255" s="54"/>
    </row>
    <row r="8256" spans="1:1" x14ac:dyDescent="0.2">
      <c r="A8256" s="54"/>
    </row>
    <row r="8257" spans="1:1" x14ac:dyDescent="0.2">
      <c r="A8257" s="54"/>
    </row>
    <row r="8258" spans="1:1" x14ac:dyDescent="0.2">
      <c r="A8258" s="54"/>
    </row>
    <row r="8259" spans="1:1" x14ac:dyDescent="0.2">
      <c r="A8259" s="54"/>
    </row>
    <row r="8260" spans="1:1" x14ac:dyDescent="0.2">
      <c r="A8260" s="54"/>
    </row>
    <row r="8261" spans="1:1" x14ac:dyDescent="0.2">
      <c r="A8261" s="54"/>
    </row>
    <row r="8262" spans="1:1" x14ac:dyDescent="0.2">
      <c r="A8262" s="54"/>
    </row>
    <row r="8263" spans="1:1" x14ac:dyDescent="0.2">
      <c r="A8263" s="54"/>
    </row>
    <row r="8264" spans="1:1" x14ac:dyDescent="0.2">
      <c r="A8264" s="54"/>
    </row>
    <row r="8265" spans="1:1" x14ac:dyDescent="0.2">
      <c r="A8265" s="54"/>
    </row>
    <row r="8266" spans="1:1" x14ac:dyDescent="0.2">
      <c r="A8266" s="54"/>
    </row>
    <row r="8267" spans="1:1" x14ac:dyDescent="0.2">
      <c r="A8267" s="54"/>
    </row>
    <row r="8268" spans="1:1" x14ac:dyDescent="0.2">
      <c r="A8268" s="54"/>
    </row>
    <row r="8269" spans="1:1" x14ac:dyDescent="0.2">
      <c r="A8269" s="54"/>
    </row>
    <row r="8270" spans="1:1" x14ac:dyDescent="0.2">
      <c r="A8270" s="54"/>
    </row>
    <row r="8271" spans="1:1" x14ac:dyDescent="0.2">
      <c r="A8271" s="54"/>
    </row>
    <row r="8272" spans="1:1" x14ac:dyDescent="0.2">
      <c r="A8272" s="54"/>
    </row>
    <row r="8273" spans="1:1" x14ac:dyDescent="0.2">
      <c r="A8273" s="54"/>
    </row>
    <row r="8274" spans="1:1" x14ac:dyDescent="0.2">
      <c r="A8274" s="54"/>
    </row>
    <row r="8275" spans="1:1" x14ac:dyDescent="0.2">
      <c r="A8275" s="54"/>
    </row>
    <row r="8276" spans="1:1" x14ac:dyDescent="0.2">
      <c r="A8276" s="54"/>
    </row>
    <row r="8277" spans="1:1" x14ac:dyDescent="0.2">
      <c r="A8277" s="54"/>
    </row>
    <row r="8278" spans="1:1" x14ac:dyDescent="0.2">
      <c r="A8278" s="54"/>
    </row>
    <row r="8279" spans="1:1" x14ac:dyDescent="0.2">
      <c r="A8279" s="54"/>
    </row>
    <row r="8280" spans="1:1" x14ac:dyDescent="0.2">
      <c r="A8280" s="54"/>
    </row>
    <row r="8281" spans="1:1" x14ac:dyDescent="0.2">
      <c r="A8281" s="55"/>
    </row>
    <row r="8282" spans="1:1" x14ac:dyDescent="0.2">
      <c r="A8282" s="54"/>
    </row>
    <row r="8283" spans="1:1" x14ac:dyDescent="0.2">
      <c r="A8283" s="54"/>
    </row>
    <row r="8284" spans="1:1" x14ac:dyDescent="0.2">
      <c r="A8284" s="54"/>
    </row>
    <row r="8285" spans="1:1" x14ac:dyDescent="0.2">
      <c r="A8285" s="54"/>
    </row>
    <row r="8286" spans="1:1" x14ac:dyDescent="0.2">
      <c r="A8286" s="54"/>
    </row>
    <row r="8287" spans="1:1" x14ac:dyDescent="0.2">
      <c r="A8287" s="54"/>
    </row>
    <row r="8288" spans="1:1" x14ac:dyDescent="0.2">
      <c r="A8288" s="54"/>
    </row>
    <row r="8289" spans="1:1" x14ac:dyDescent="0.2">
      <c r="A8289" s="54"/>
    </row>
    <row r="8290" spans="1:1" x14ac:dyDescent="0.2">
      <c r="A8290" s="54"/>
    </row>
    <row r="8291" spans="1:1" x14ac:dyDescent="0.2">
      <c r="A8291" s="54"/>
    </row>
    <row r="8292" spans="1:1" x14ac:dyDescent="0.2">
      <c r="A8292" s="54"/>
    </row>
    <row r="8293" spans="1:1" x14ac:dyDescent="0.2">
      <c r="A8293" s="54"/>
    </row>
    <row r="8294" spans="1:1" x14ac:dyDescent="0.2">
      <c r="A8294" s="54"/>
    </row>
    <row r="8295" spans="1:1" x14ac:dyDescent="0.2">
      <c r="A8295" s="54"/>
    </row>
    <row r="8296" spans="1:1" x14ac:dyDescent="0.2">
      <c r="A8296" s="54"/>
    </row>
    <row r="8297" spans="1:1" x14ac:dyDescent="0.2">
      <c r="A8297" s="54"/>
    </row>
    <row r="8298" spans="1:1" x14ac:dyDescent="0.2">
      <c r="A8298" s="54"/>
    </row>
    <row r="8299" spans="1:1" x14ac:dyDescent="0.2">
      <c r="A8299" s="54"/>
    </row>
    <row r="8300" spans="1:1" x14ac:dyDescent="0.2">
      <c r="A8300" s="54"/>
    </row>
    <row r="8301" spans="1:1" x14ac:dyDescent="0.2">
      <c r="A8301" s="54"/>
    </row>
    <row r="8302" spans="1:1" x14ac:dyDescent="0.2">
      <c r="A8302" s="54"/>
    </row>
    <row r="8303" spans="1:1" x14ac:dyDescent="0.2">
      <c r="A8303" s="54"/>
    </row>
    <row r="8304" spans="1:1" x14ac:dyDescent="0.2">
      <c r="A8304" s="54"/>
    </row>
    <row r="8305" spans="1:1" x14ac:dyDescent="0.2">
      <c r="A8305" s="54"/>
    </row>
    <row r="8306" spans="1:1" x14ac:dyDescent="0.2">
      <c r="A8306" s="54"/>
    </row>
    <row r="8307" spans="1:1" x14ac:dyDescent="0.2">
      <c r="A8307" s="54"/>
    </row>
    <row r="8308" spans="1:1" x14ac:dyDescent="0.2">
      <c r="A8308" s="54"/>
    </row>
    <row r="8309" spans="1:1" x14ac:dyDescent="0.2">
      <c r="A8309" s="54"/>
    </row>
    <row r="8310" spans="1:1" x14ac:dyDescent="0.2">
      <c r="A8310" s="54"/>
    </row>
    <row r="8311" spans="1:1" x14ac:dyDescent="0.2">
      <c r="A8311" s="54"/>
    </row>
    <row r="8312" spans="1:1" x14ac:dyDescent="0.2">
      <c r="A8312" s="54"/>
    </row>
    <row r="8313" spans="1:1" x14ac:dyDescent="0.2">
      <c r="A8313" s="54"/>
    </row>
    <row r="8314" spans="1:1" x14ac:dyDescent="0.2">
      <c r="A8314" s="54"/>
    </row>
    <row r="8315" spans="1:1" x14ac:dyDescent="0.2">
      <c r="A8315" s="54"/>
    </row>
    <row r="8316" spans="1:1" x14ac:dyDescent="0.2">
      <c r="A8316" s="54"/>
    </row>
    <row r="8317" spans="1:1" x14ac:dyDescent="0.2">
      <c r="A8317" s="54"/>
    </row>
    <row r="8318" spans="1:1" x14ac:dyDescent="0.2">
      <c r="A8318" s="54"/>
    </row>
    <row r="8319" spans="1:1" x14ac:dyDescent="0.2">
      <c r="A8319" s="54"/>
    </row>
    <row r="8320" spans="1:1" x14ac:dyDescent="0.2">
      <c r="A8320" s="54"/>
    </row>
    <row r="8321" spans="1:1" x14ac:dyDescent="0.2">
      <c r="A8321" s="54"/>
    </row>
    <row r="8322" spans="1:1" x14ac:dyDescent="0.2">
      <c r="A8322" s="54"/>
    </row>
    <row r="8323" spans="1:1" x14ac:dyDescent="0.2">
      <c r="A8323" s="54"/>
    </row>
    <row r="8324" spans="1:1" x14ac:dyDescent="0.2">
      <c r="A8324" s="54"/>
    </row>
    <row r="8325" spans="1:1" x14ac:dyDescent="0.2">
      <c r="A8325" s="54"/>
    </row>
    <row r="8326" spans="1:1" x14ac:dyDescent="0.2">
      <c r="A8326" s="54"/>
    </row>
    <row r="8327" spans="1:1" x14ac:dyDescent="0.2">
      <c r="A8327" s="54"/>
    </row>
    <row r="8328" spans="1:1" x14ac:dyDescent="0.2">
      <c r="A8328" s="54"/>
    </row>
    <row r="8329" spans="1:1" x14ac:dyDescent="0.2">
      <c r="A8329" s="54"/>
    </row>
    <row r="8330" spans="1:1" x14ac:dyDescent="0.2">
      <c r="A8330" s="54"/>
    </row>
    <row r="8331" spans="1:1" x14ac:dyDescent="0.2">
      <c r="A8331" s="55"/>
    </row>
    <row r="8332" spans="1:1" x14ac:dyDescent="0.2">
      <c r="A8332" s="54"/>
    </row>
    <row r="8333" spans="1:1" x14ac:dyDescent="0.2">
      <c r="A8333" s="54"/>
    </row>
    <row r="8334" spans="1:1" x14ac:dyDescent="0.2">
      <c r="A8334" s="54"/>
    </row>
    <row r="8335" spans="1:1" x14ac:dyDescent="0.2">
      <c r="A8335" s="54"/>
    </row>
    <row r="8336" spans="1:1" x14ac:dyDescent="0.2">
      <c r="A8336" s="54"/>
    </row>
    <row r="8337" spans="1:1" x14ac:dyDescent="0.2">
      <c r="A8337" s="54"/>
    </row>
    <row r="8338" spans="1:1" x14ac:dyDescent="0.2">
      <c r="A8338" s="54"/>
    </row>
    <row r="8339" spans="1:1" x14ac:dyDescent="0.2">
      <c r="A8339" s="54"/>
    </row>
    <row r="8340" spans="1:1" x14ac:dyDescent="0.2">
      <c r="A8340" s="54"/>
    </row>
    <row r="8341" spans="1:1" x14ac:dyDescent="0.2">
      <c r="A8341" s="54"/>
    </row>
    <row r="8342" spans="1:1" x14ac:dyDescent="0.2">
      <c r="A8342" s="54"/>
    </row>
    <row r="8343" spans="1:1" x14ac:dyDescent="0.2">
      <c r="A8343" s="54"/>
    </row>
    <row r="8344" spans="1:1" x14ac:dyDescent="0.2">
      <c r="A8344" s="54"/>
    </row>
    <row r="8345" spans="1:1" x14ac:dyDescent="0.2">
      <c r="A8345" s="54"/>
    </row>
    <row r="8346" spans="1:1" x14ac:dyDescent="0.2">
      <c r="A8346" s="54"/>
    </row>
    <row r="8347" spans="1:1" x14ac:dyDescent="0.2">
      <c r="A8347" s="54"/>
    </row>
    <row r="8348" spans="1:1" x14ac:dyDescent="0.2">
      <c r="A8348" s="54"/>
    </row>
    <row r="8349" spans="1:1" x14ac:dyDescent="0.2">
      <c r="A8349" s="54"/>
    </row>
    <row r="8350" spans="1:1" x14ac:dyDescent="0.2">
      <c r="A8350" s="55"/>
    </row>
    <row r="8351" spans="1:1" x14ac:dyDescent="0.2">
      <c r="A8351" s="54"/>
    </row>
    <row r="8352" spans="1:1" x14ac:dyDescent="0.2">
      <c r="A8352" s="54"/>
    </row>
    <row r="8353" spans="1:1" x14ac:dyDescent="0.2">
      <c r="A8353" s="54"/>
    </row>
    <row r="8354" spans="1:1" x14ac:dyDescent="0.2">
      <c r="A8354" s="54"/>
    </row>
    <row r="8355" spans="1:1" x14ac:dyDescent="0.2">
      <c r="A8355" s="54"/>
    </row>
    <row r="8356" spans="1:1" x14ac:dyDescent="0.2">
      <c r="A8356" s="55"/>
    </row>
    <row r="8357" spans="1:1" x14ac:dyDescent="0.2">
      <c r="A8357" s="54"/>
    </row>
    <row r="8358" spans="1:1" x14ac:dyDescent="0.2">
      <c r="A8358" s="54"/>
    </row>
    <row r="8359" spans="1:1" x14ac:dyDescent="0.2">
      <c r="A8359" s="54"/>
    </row>
    <row r="8360" spans="1:1" x14ac:dyDescent="0.2">
      <c r="A8360" s="54"/>
    </row>
    <row r="8361" spans="1:1" x14ac:dyDescent="0.2">
      <c r="A8361" s="54"/>
    </row>
    <row r="8362" spans="1:1" x14ac:dyDescent="0.2">
      <c r="A8362" s="54"/>
    </row>
    <row r="8363" spans="1:1" x14ac:dyDescent="0.2">
      <c r="A8363" s="54"/>
    </row>
    <row r="8364" spans="1:1" x14ac:dyDescent="0.2">
      <c r="A8364" s="54"/>
    </row>
    <row r="8365" spans="1:1" x14ac:dyDescent="0.2">
      <c r="A8365" s="54"/>
    </row>
    <row r="8366" spans="1:1" x14ac:dyDescent="0.2">
      <c r="A8366" s="54"/>
    </row>
    <row r="8367" spans="1:1" x14ac:dyDescent="0.2">
      <c r="A8367" s="54"/>
    </row>
    <row r="8368" spans="1:1" x14ac:dyDescent="0.2">
      <c r="A8368" s="54"/>
    </row>
    <row r="8369" spans="1:1" x14ac:dyDescent="0.2">
      <c r="A8369" s="54"/>
    </row>
    <row r="8370" spans="1:1" x14ac:dyDescent="0.2">
      <c r="A8370" s="54"/>
    </row>
    <row r="8371" spans="1:1" x14ac:dyDescent="0.2">
      <c r="A8371" s="54"/>
    </row>
    <row r="8372" spans="1:1" x14ac:dyDescent="0.2">
      <c r="A8372" s="54"/>
    </row>
    <row r="8373" spans="1:1" x14ac:dyDescent="0.2">
      <c r="A8373" s="54"/>
    </row>
    <row r="8374" spans="1:1" x14ac:dyDescent="0.2">
      <c r="A8374" s="54"/>
    </row>
    <row r="8375" spans="1:1" x14ac:dyDescent="0.2">
      <c r="A8375" s="54"/>
    </row>
    <row r="8376" spans="1:1" x14ac:dyDescent="0.2">
      <c r="A8376" s="54"/>
    </row>
    <row r="8377" spans="1:1" x14ac:dyDescent="0.2">
      <c r="A8377" s="54"/>
    </row>
    <row r="8378" spans="1:1" x14ac:dyDescent="0.2">
      <c r="A8378" s="54"/>
    </row>
    <row r="8379" spans="1:1" x14ac:dyDescent="0.2">
      <c r="A8379" s="54"/>
    </row>
    <row r="8380" spans="1:1" x14ac:dyDescent="0.2">
      <c r="A8380" s="54"/>
    </row>
    <row r="8381" spans="1:1" x14ac:dyDescent="0.2">
      <c r="A8381" s="54"/>
    </row>
    <row r="8382" spans="1:1" x14ac:dyDescent="0.2">
      <c r="A8382" s="54"/>
    </row>
    <row r="8383" spans="1:1" x14ac:dyDescent="0.2">
      <c r="A8383" s="54"/>
    </row>
    <row r="8384" spans="1:1" x14ac:dyDescent="0.2">
      <c r="A8384" s="54"/>
    </row>
    <row r="8385" spans="1:1" x14ac:dyDescent="0.2">
      <c r="A8385" s="54"/>
    </row>
    <row r="8386" spans="1:1" x14ac:dyDescent="0.2">
      <c r="A8386" s="54"/>
    </row>
    <row r="8387" spans="1:1" x14ac:dyDescent="0.2">
      <c r="A8387" s="54"/>
    </row>
    <row r="8388" spans="1:1" x14ac:dyDescent="0.2">
      <c r="A8388" s="55"/>
    </row>
    <row r="8389" spans="1:1" x14ac:dyDescent="0.2">
      <c r="A8389" s="54"/>
    </row>
    <row r="8390" spans="1:1" x14ac:dyDescent="0.2">
      <c r="A8390" s="55"/>
    </row>
    <row r="8391" spans="1:1" x14ac:dyDescent="0.2">
      <c r="A8391" s="54"/>
    </row>
    <row r="8392" spans="1:1" x14ac:dyDescent="0.2">
      <c r="A8392" s="54"/>
    </row>
    <row r="8393" spans="1:1" x14ac:dyDescent="0.2">
      <c r="A8393" s="54"/>
    </row>
    <row r="8394" spans="1:1" x14ac:dyDescent="0.2">
      <c r="A8394" s="54"/>
    </row>
    <row r="8395" spans="1:1" x14ac:dyDescent="0.2">
      <c r="A8395" s="54"/>
    </row>
    <row r="8396" spans="1:1" x14ac:dyDescent="0.2">
      <c r="A8396" s="54"/>
    </row>
    <row r="8397" spans="1:1" x14ac:dyDescent="0.2">
      <c r="A8397" s="54"/>
    </row>
    <row r="8398" spans="1:1" x14ac:dyDescent="0.2">
      <c r="A8398" s="54"/>
    </row>
    <row r="8399" spans="1:1" x14ac:dyDescent="0.2">
      <c r="A8399" s="54"/>
    </row>
    <row r="8400" spans="1:1" x14ac:dyDescent="0.2">
      <c r="A8400" s="54"/>
    </row>
    <row r="8401" spans="1:1" x14ac:dyDescent="0.2">
      <c r="A8401" s="55"/>
    </row>
    <row r="8402" spans="1:1" x14ac:dyDescent="0.2">
      <c r="A8402" s="54"/>
    </row>
    <row r="8403" spans="1:1" x14ac:dyDescent="0.2">
      <c r="A8403" s="54"/>
    </row>
    <row r="8404" spans="1:1" x14ac:dyDescent="0.2">
      <c r="A8404" s="54"/>
    </row>
    <row r="8405" spans="1:1" x14ac:dyDescent="0.2">
      <c r="A8405" s="54"/>
    </row>
    <row r="8406" spans="1:1" x14ac:dyDescent="0.2">
      <c r="A8406" s="54"/>
    </row>
    <row r="8407" spans="1:1" x14ac:dyDescent="0.2">
      <c r="A8407" s="54"/>
    </row>
    <row r="8408" spans="1:1" x14ac:dyDescent="0.2">
      <c r="A8408" s="54"/>
    </row>
    <row r="8409" spans="1:1" x14ac:dyDescent="0.2">
      <c r="A8409" s="54"/>
    </row>
    <row r="8410" spans="1:1" x14ac:dyDescent="0.2">
      <c r="A8410" s="54"/>
    </row>
    <row r="8411" spans="1:1" x14ac:dyDescent="0.2">
      <c r="A8411" s="54"/>
    </row>
    <row r="8412" spans="1:1" x14ac:dyDescent="0.2">
      <c r="A8412" s="54"/>
    </row>
    <row r="8413" spans="1:1" x14ac:dyDescent="0.2">
      <c r="A8413" s="54"/>
    </row>
    <row r="8414" spans="1:1" x14ac:dyDescent="0.2">
      <c r="A8414" s="54"/>
    </row>
    <row r="8415" spans="1:1" x14ac:dyDescent="0.2">
      <c r="A8415" s="55"/>
    </row>
    <row r="8416" spans="1:1" x14ac:dyDescent="0.2">
      <c r="A8416" s="55"/>
    </row>
    <row r="8417" spans="1:1" x14ac:dyDescent="0.2">
      <c r="A8417" s="55"/>
    </row>
    <row r="8418" spans="1:1" x14ac:dyDescent="0.2">
      <c r="A8418" s="54"/>
    </row>
    <row r="8419" spans="1:1" x14ac:dyDescent="0.2">
      <c r="A8419" s="54"/>
    </row>
    <row r="8420" spans="1:1" x14ac:dyDescent="0.2">
      <c r="A8420" s="54"/>
    </row>
    <row r="8421" spans="1:1" x14ac:dyDescent="0.2">
      <c r="A8421" s="54"/>
    </row>
    <row r="8422" spans="1:1" x14ac:dyDescent="0.2">
      <c r="A8422" s="54"/>
    </row>
    <row r="8423" spans="1:1" x14ac:dyDescent="0.2">
      <c r="A8423" s="54"/>
    </row>
    <row r="8424" spans="1:1" x14ac:dyDescent="0.2">
      <c r="A8424" s="54"/>
    </row>
    <row r="8425" spans="1:1" x14ac:dyDescent="0.2">
      <c r="A8425" s="54"/>
    </row>
    <row r="8426" spans="1:1" x14ac:dyDescent="0.2">
      <c r="A8426" s="54"/>
    </row>
    <row r="8427" spans="1:1" x14ac:dyDescent="0.2">
      <c r="A8427" s="54"/>
    </row>
    <row r="8428" spans="1:1" x14ac:dyDescent="0.2">
      <c r="A8428" s="54"/>
    </row>
    <row r="8429" spans="1:1" x14ac:dyDescent="0.2">
      <c r="A8429" s="54"/>
    </row>
    <row r="8430" spans="1:1" x14ac:dyDescent="0.2">
      <c r="A8430" s="54"/>
    </row>
    <row r="8431" spans="1:1" x14ac:dyDescent="0.2">
      <c r="A8431" s="54"/>
    </row>
    <row r="8432" spans="1:1" x14ac:dyDescent="0.2">
      <c r="A8432" s="54"/>
    </row>
    <row r="8433" spans="1:1" x14ac:dyDescent="0.2">
      <c r="A8433" s="54"/>
    </row>
    <row r="8434" spans="1:1" x14ac:dyDescent="0.2">
      <c r="A8434" s="55"/>
    </row>
    <row r="8435" spans="1:1" x14ac:dyDescent="0.2">
      <c r="A8435" s="55"/>
    </row>
    <row r="8436" spans="1:1" x14ac:dyDescent="0.2">
      <c r="A8436" s="55"/>
    </row>
    <row r="8437" spans="1:1" x14ac:dyDescent="0.2">
      <c r="A8437" s="54"/>
    </row>
    <row r="8438" spans="1:1" x14ac:dyDescent="0.2">
      <c r="A8438" s="54"/>
    </row>
    <row r="8439" spans="1:1" x14ac:dyDescent="0.2">
      <c r="A8439" s="54"/>
    </row>
    <row r="8440" spans="1:1" x14ac:dyDescent="0.2">
      <c r="A8440" s="54"/>
    </row>
    <row r="8441" spans="1:1" x14ac:dyDescent="0.2">
      <c r="A8441" s="54"/>
    </row>
    <row r="8442" spans="1:1" x14ac:dyDescent="0.2">
      <c r="A8442" s="54"/>
    </row>
    <row r="8443" spans="1:1" x14ac:dyDescent="0.2">
      <c r="A8443" s="54"/>
    </row>
    <row r="8444" spans="1:1" x14ac:dyDescent="0.2">
      <c r="A8444" s="54"/>
    </row>
    <row r="8445" spans="1:1" x14ac:dyDescent="0.2">
      <c r="A8445" s="54"/>
    </row>
    <row r="8446" spans="1:1" x14ac:dyDescent="0.2">
      <c r="A8446" s="54"/>
    </row>
    <row r="8447" spans="1:1" x14ac:dyDescent="0.2">
      <c r="A8447" s="55"/>
    </row>
    <row r="8448" spans="1:1" x14ac:dyDescent="0.2">
      <c r="A8448" s="55"/>
    </row>
    <row r="8449" spans="1:1" x14ac:dyDescent="0.2">
      <c r="A8449" s="54"/>
    </row>
    <row r="8450" spans="1:1" x14ac:dyDescent="0.2">
      <c r="A8450" s="54"/>
    </row>
    <row r="8451" spans="1:1" x14ac:dyDescent="0.2">
      <c r="A8451" s="54"/>
    </row>
    <row r="8452" spans="1:1" x14ac:dyDescent="0.2">
      <c r="A8452" s="54"/>
    </row>
    <row r="8453" spans="1:1" x14ac:dyDescent="0.2">
      <c r="A8453" s="54"/>
    </row>
    <row r="8454" spans="1:1" x14ac:dyDescent="0.2">
      <c r="A8454" s="54"/>
    </row>
    <row r="8455" spans="1:1" x14ac:dyDescent="0.2">
      <c r="A8455" s="55"/>
    </row>
    <row r="8456" spans="1:1" x14ac:dyDescent="0.2">
      <c r="A8456" s="54"/>
    </row>
    <row r="8457" spans="1:1" x14ac:dyDescent="0.2">
      <c r="A8457" s="54"/>
    </row>
    <row r="8458" spans="1:1" x14ac:dyDescent="0.2">
      <c r="A8458" s="54"/>
    </row>
    <row r="8459" spans="1:1" x14ac:dyDescent="0.2">
      <c r="A8459" s="54"/>
    </row>
    <row r="8460" spans="1:1" x14ac:dyDescent="0.2">
      <c r="A8460" s="54"/>
    </row>
    <row r="8461" spans="1:1" x14ac:dyDescent="0.2">
      <c r="A8461" s="54"/>
    </row>
    <row r="8462" spans="1:1" x14ac:dyDescent="0.2">
      <c r="A8462" s="54"/>
    </row>
    <row r="8463" spans="1:1" x14ac:dyDescent="0.2">
      <c r="A8463" s="54"/>
    </row>
    <row r="8464" spans="1:1" x14ac:dyDescent="0.2">
      <c r="A8464" s="54"/>
    </row>
    <row r="8465" spans="1:1" x14ac:dyDescent="0.2">
      <c r="A8465" s="54"/>
    </row>
    <row r="8466" spans="1:1" x14ac:dyDescent="0.2">
      <c r="A8466" s="54"/>
    </row>
    <row r="8467" spans="1:1" x14ac:dyDescent="0.2">
      <c r="A8467" s="54"/>
    </row>
    <row r="8468" spans="1:1" x14ac:dyDescent="0.2">
      <c r="A8468" s="54"/>
    </row>
    <row r="8469" spans="1:1" x14ac:dyDescent="0.2">
      <c r="A8469" s="54"/>
    </row>
    <row r="8470" spans="1:1" x14ac:dyDescent="0.2">
      <c r="A8470" s="54"/>
    </row>
    <row r="8471" spans="1:1" x14ac:dyDescent="0.2">
      <c r="A8471" s="54"/>
    </row>
    <row r="8472" spans="1:1" x14ac:dyDescent="0.2">
      <c r="A8472" s="54"/>
    </row>
    <row r="8473" spans="1:1" x14ac:dyDescent="0.2">
      <c r="A8473" s="54"/>
    </row>
    <row r="8474" spans="1:1" x14ac:dyDescent="0.2">
      <c r="A8474" s="54"/>
    </row>
    <row r="8475" spans="1:1" x14ac:dyDescent="0.2">
      <c r="A8475" s="54"/>
    </row>
    <row r="8476" spans="1:1" x14ac:dyDescent="0.2">
      <c r="A8476" s="54"/>
    </row>
    <row r="8477" spans="1:1" x14ac:dyDescent="0.2">
      <c r="A8477" s="55"/>
    </row>
    <row r="8478" spans="1:1" x14ac:dyDescent="0.2">
      <c r="A8478" s="54"/>
    </row>
    <row r="8479" spans="1:1" x14ac:dyDescent="0.2">
      <c r="A8479" s="54"/>
    </row>
    <row r="8480" spans="1:1" x14ac:dyDescent="0.2">
      <c r="A8480" s="54"/>
    </row>
    <row r="8481" spans="1:1" x14ac:dyDescent="0.2">
      <c r="A8481" s="54"/>
    </row>
    <row r="8482" spans="1:1" x14ac:dyDescent="0.2">
      <c r="A8482" s="54"/>
    </row>
    <row r="8483" spans="1:1" x14ac:dyDescent="0.2">
      <c r="A8483" s="54"/>
    </row>
    <row r="8484" spans="1:1" x14ac:dyDescent="0.2">
      <c r="A8484" s="54"/>
    </row>
    <row r="8485" spans="1:1" x14ac:dyDescent="0.2">
      <c r="A8485" s="54"/>
    </row>
    <row r="8486" spans="1:1" x14ac:dyDescent="0.2">
      <c r="A8486" s="54"/>
    </row>
    <row r="8487" spans="1:1" x14ac:dyDescent="0.2">
      <c r="A8487" s="55"/>
    </row>
    <row r="8488" spans="1:1" x14ac:dyDescent="0.2">
      <c r="A8488" s="54"/>
    </row>
    <row r="8489" spans="1:1" x14ac:dyDescent="0.2">
      <c r="A8489" s="54"/>
    </row>
    <row r="8490" spans="1:1" x14ac:dyDescent="0.2">
      <c r="A8490" s="54"/>
    </row>
    <row r="8491" spans="1:1" x14ac:dyDescent="0.2">
      <c r="A8491" s="55"/>
    </row>
    <row r="8492" spans="1:1" x14ac:dyDescent="0.2">
      <c r="A8492" s="55"/>
    </row>
    <row r="8493" spans="1:1" x14ac:dyDescent="0.2">
      <c r="A8493" s="54"/>
    </row>
    <row r="8494" spans="1:1" x14ac:dyDescent="0.2">
      <c r="A8494" s="54"/>
    </row>
    <row r="8495" spans="1:1" x14ac:dyDescent="0.2">
      <c r="A8495" s="54"/>
    </row>
    <row r="8496" spans="1:1" x14ac:dyDescent="0.2">
      <c r="A8496" s="54"/>
    </row>
    <row r="8497" spans="1:1" x14ac:dyDescent="0.2">
      <c r="A8497" s="54"/>
    </row>
    <row r="8498" spans="1:1" x14ac:dyDescent="0.2">
      <c r="A8498" s="54"/>
    </row>
    <row r="8499" spans="1:1" x14ac:dyDescent="0.2">
      <c r="A8499" s="54"/>
    </row>
    <row r="8500" spans="1:1" x14ac:dyDescent="0.2">
      <c r="A8500" s="54"/>
    </row>
    <row r="8501" spans="1:1" x14ac:dyDescent="0.2">
      <c r="A8501" s="54"/>
    </row>
    <row r="8502" spans="1:1" x14ac:dyDescent="0.2">
      <c r="A8502" s="54"/>
    </row>
    <row r="8503" spans="1:1" x14ac:dyDescent="0.2">
      <c r="A8503" s="54"/>
    </row>
    <row r="8504" spans="1:1" x14ac:dyDescent="0.2">
      <c r="A8504" s="54"/>
    </row>
    <row r="8505" spans="1:1" x14ac:dyDescent="0.2">
      <c r="A8505" s="54"/>
    </row>
    <row r="8506" spans="1:1" x14ac:dyDescent="0.2">
      <c r="A8506" s="54"/>
    </row>
    <row r="8507" spans="1:1" x14ac:dyDescent="0.2">
      <c r="A8507" s="54"/>
    </row>
    <row r="8508" spans="1:1" x14ac:dyDescent="0.2">
      <c r="A8508" s="54"/>
    </row>
    <row r="8509" spans="1:1" x14ac:dyDescent="0.2">
      <c r="A8509" s="54"/>
    </row>
    <row r="8510" spans="1:1" x14ac:dyDescent="0.2">
      <c r="A8510" s="54"/>
    </row>
    <row r="8511" spans="1:1" x14ac:dyDescent="0.2">
      <c r="A8511" s="54"/>
    </row>
    <row r="8512" spans="1:1" x14ac:dyDescent="0.2">
      <c r="A8512" s="54"/>
    </row>
    <row r="8513" spans="1:1" x14ac:dyDescent="0.2">
      <c r="A8513" s="54"/>
    </row>
    <row r="8514" spans="1:1" x14ac:dyDescent="0.2">
      <c r="A8514" s="54"/>
    </row>
    <row r="8515" spans="1:1" x14ac:dyDescent="0.2">
      <c r="A8515" s="54"/>
    </row>
    <row r="8516" spans="1:1" x14ac:dyDescent="0.2">
      <c r="A8516" s="54"/>
    </row>
    <row r="8517" spans="1:1" x14ac:dyDescent="0.2">
      <c r="A8517" s="54"/>
    </row>
    <row r="8518" spans="1:1" x14ac:dyDescent="0.2">
      <c r="A8518" s="54"/>
    </row>
    <row r="8519" spans="1:1" x14ac:dyDescent="0.2">
      <c r="A8519" s="54"/>
    </row>
    <row r="8520" spans="1:1" x14ac:dyDescent="0.2">
      <c r="A8520" s="54"/>
    </row>
    <row r="8521" spans="1:1" x14ac:dyDescent="0.2">
      <c r="A8521" s="54"/>
    </row>
    <row r="8522" spans="1:1" x14ac:dyDescent="0.2">
      <c r="A8522" s="54"/>
    </row>
    <row r="8523" spans="1:1" x14ac:dyDescent="0.2">
      <c r="A8523" s="54"/>
    </row>
    <row r="8524" spans="1:1" x14ac:dyDescent="0.2">
      <c r="A8524" s="54"/>
    </row>
    <row r="8525" spans="1:1" x14ac:dyDescent="0.2">
      <c r="A8525" s="54"/>
    </row>
    <row r="8526" spans="1:1" x14ac:dyDescent="0.2">
      <c r="A8526" s="54"/>
    </row>
    <row r="8527" spans="1:1" x14ac:dyDescent="0.2">
      <c r="A8527" s="54"/>
    </row>
    <row r="8528" spans="1:1" x14ac:dyDescent="0.2">
      <c r="A8528" s="54"/>
    </row>
    <row r="8529" spans="1:1" x14ac:dyDescent="0.2">
      <c r="A8529" s="54"/>
    </row>
    <row r="8530" spans="1:1" x14ac:dyDescent="0.2">
      <c r="A8530" s="54"/>
    </row>
    <row r="8531" spans="1:1" x14ac:dyDescent="0.2">
      <c r="A8531" s="54"/>
    </row>
    <row r="8532" spans="1:1" x14ac:dyDescent="0.2">
      <c r="A8532" s="54"/>
    </row>
    <row r="8533" spans="1:1" x14ac:dyDescent="0.2">
      <c r="A8533" s="54"/>
    </row>
    <row r="8534" spans="1:1" x14ac:dyDescent="0.2">
      <c r="A8534" s="54"/>
    </row>
    <row r="8535" spans="1:1" x14ac:dyDescent="0.2">
      <c r="A8535" s="54"/>
    </row>
    <row r="8536" spans="1:1" x14ac:dyDescent="0.2">
      <c r="A8536" s="54"/>
    </row>
    <row r="8537" spans="1:1" x14ac:dyDescent="0.2">
      <c r="A8537" s="54"/>
    </row>
    <row r="8538" spans="1:1" x14ac:dyDescent="0.2">
      <c r="A8538" s="54"/>
    </row>
    <row r="8539" spans="1:1" x14ac:dyDescent="0.2">
      <c r="A8539" s="54"/>
    </row>
    <row r="8540" spans="1:1" x14ac:dyDescent="0.2">
      <c r="A8540" s="54"/>
    </row>
    <row r="8541" spans="1:1" x14ac:dyDescent="0.2">
      <c r="A8541" s="55"/>
    </row>
    <row r="8542" spans="1:1" x14ac:dyDescent="0.2">
      <c r="A8542" s="54"/>
    </row>
    <row r="8543" spans="1:1" x14ac:dyDescent="0.2">
      <c r="A8543" s="55"/>
    </row>
    <row r="8544" spans="1:1" x14ac:dyDescent="0.2">
      <c r="A8544" s="54"/>
    </row>
    <row r="8545" spans="1:1" x14ac:dyDescent="0.2">
      <c r="A8545" s="54"/>
    </row>
    <row r="8546" spans="1:1" x14ac:dyDescent="0.2">
      <c r="A8546" s="54"/>
    </row>
    <row r="8547" spans="1:1" x14ac:dyDescent="0.2">
      <c r="A8547" s="54"/>
    </row>
    <row r="8548" spans="1:1" x14ac:dyDescent="0.2">
      <c r="A8548" s="54"/>
    </row>
    <row r="8549" spans="1:1" x14ac:dyDescent="0.2">
      <c r="A8549" s="54"/>
    </row>
    <row r="8550" spans="1:1" x14ac:dyDescent="0.2">
      <c r="A8550" s="54"/>
    </row>
    <row r="8551" spans="1:1" x14ac:dyDescent="0.2">
      <c r="A8551" s="55"/>
    </row>
    <row r="8552" spans="1:1" x14ac:dyDescent="0.2">
      <c r="A8552" s="54"/>
    </row>
    <row r="8553" spans="1:1" x14ac:dyDescent="0.2">
      <c r="A8553" s="54"/>
    </row>
    <row r="8554" spans="1:1" x14ac:dyDescent="0.2">
      <c r="A8554" s="54"/>
    </row>
    <row r="8555" spans="1:1" x14ac:dyDescent="0.2">
      <c r="A8555" s="54"/>
    </row>
    <row r="8556" spans="1:1" x14ac:dyDescent="0.2">
      <c r="A8556" s="54"/>
    </row>
    <row r="8557" spans="1:1" x14ac:dyDescent="0.2">
      <c r="A8557" s="54"/>
    </row>
    <row r="8558" spans="1:1" x14ac:dyDescent="0.2">
      <c r="A8558" s="54"/>
    </row>
    <row r="8559" spans="1:1" x14ac:dyDescent="0.2">
      <c r="A8559" s="54"/>
    </row>
    <row r="8560" spans="1:1" x14ac:dyDescent="0.2">
      <c r="A8560" s="54"/>
    </row>
    <row r="8561" spans="1:1" x14ac:dyDescent="0.2">
      <c r="A8561" s="54"/>
    </row>
    <row r="8562" spans="1:1" x14ac:dyDescent="0.2">
      <c r="A8562" s="54"/>
    </row>
    <row r="8563" spans="1:1" x14ac:dyDescent="0.2">
      <c r="A8563" s="54"/>
    </row>
    <row r="8564" spans="1:1" x14ac:dyDescent="0.2">
      <c r="A8564" s="54"/>
    </row>
    <row r="8565" spans="1:1" x14ac:dyDescent="0.2">
      <c r="A8565" s="54"/>
    </row>
    <row r="8566" spans="1:1" x14ac:dyDescent="0.2">
      <c r="A8566" s="55"/>
    </row>
    <row r="8567" spans="1:1" x14ac:dyDescent="0.2">
      <c r="A8567" s="54"/>
    </row>
    <row r="8568" spans="1:1" x14ac:dyDescent="0.2">
      <c r="A8568" s="54"/>
    </row>
    <row r="8569" spans="1:1" x14ac:dyDescent="0.2">
      <c r="A8569" s="54"/>
    </row>
    <row r="8570" spans="1:1" x14ac:dyDescent="0.2">
      <c r="A8570" s="54"/>
    </row>
    <row r="8571" spans="1:1" x14ac:dyDescent="0.2">
      <c r="A8571" s="54"/>
    </row>
    <row r="8572" spans="1:1" x14ac:dyDescent="0.2">
      <c r="A8572" s="54"/>
    </row>
    <row r="8573" spans="1:1" x14ac:dyDescent="0.2">
      <c r="A8573" s="54"/>
    </row>
    <row r="8574" spans="1:1" x14ac:dyDescent="0.2">
      <c r="A8574" s="54"/>
    </row>
    <row r="8575" spans="1:1" x14ac:dyDescent="0.2">
      <c r="A8575" s="54"/>
    </row>
    <row r="8576" spans="1:1" x14ac:dyDescent="0.2">
      <c r="A8576" s="54"/>
    </row>
    <row r="8577" spans="1:1" x14ac:dyDescent="0.2">
      <c r="A8577" s="54"/>
    </row>
    <row r="8578" spans="1:1" x14ac:dyDescent="0.2">
      <c r="A8578" s="54"/>
    </row>
    <row r="8579" spans="1:1" x14ac:dyDescent="0.2">
      <c r="A8579" s="54"/>
    </row>
    <row r="8580" spans="1:1" x14ac:dyDescent="0.2">
      <c r="A8580" s="54"/>
    </row>
    <row r="8581" spans="1:1" x14ac:dyDescent="0.2">
      <c r="A8581" s="54"/>
    </row>
    <row r="8582" spans="1:1" x14ac:dyDescent="0.2">
      <c r="A8582" s="54"/>
    </row>
    <row r="8583" spans="1:1" x14ac:dyDescent="0.2">
      <c r="A8583" s="54"/>
    </row>
    <row r="8584" spans="1:1" x14ac:dyDescent="0.2">
      <c r="A8584" s="54"/>
    </row>
    <row r="8585" spans="1:1" x14ac:dyDescent="0.2">
      <c r="A8585" s="54"/>
    </row>
    <row r="8586" spans="1:1" x14ac:dyDescent="0.2">
      <c r="A8586" s="54"/>
    </row>
    <row r="8587" spans="1:1" x14ac:dyDescent="0.2">
      <c r="A8587" s="54"/>
    </row>
    <row r="8588" spans="1:1" x14ac:dyDescent="0.2">
      <c r="A8588" s="54"/>
    </row>
    <row r="8589" spans="1:1" x14ac:dyDescent="0.2">
      <c r="A8589" s="54"/>
    </row>
    <row r="8590" spans="1:1" x14ac:dyDescent="0.2">
      <c r="A8590" s="54"/>
    </row>
    <row r="8591" spans="1:1" x14ac:dyDescent="0.2">
      <c r="A8591" s="54"/>
    </row>
    <row r="8592" spans="1:1" x14ac:dyDescent="0.2">
      <c r="A8592" s="54"/>
    </row>
    <row r="8593" spans="1:1" x14ac:dyDescent="0.2">
      <c r="A8593" s="54"/>
    </row>
    <row r="8594" spans="1:1" x14ac:dyDescent="0.2">
      <c r="A8594" s="54"/>
    </row>
    <row r="8595" spans="1:1" x14ac:dyDescent="0.2">
      <c r="A8595" s="54"/>
    </row>
    <row r="8596" spans="1:1" x14ac:dyDescent="0.2">
      <c r="A8596" s="54"/>
    </row>
    <row r="8597" spans="1:1" x14ac:dyDescent="0.2">
      <c r="A8597" s="54"/>
    </row>
    <row r="8598" spans="1:1" x14ac:dyDescent="0.2">
      <c r="A8598" s="54"/>
    </row>
    <row r="8599" spans="1:1" x14ac:dyDescent="0.2">
      <c r="A8599" s="54"/>
    </row>
    <row r="8600" spans="1:1" x14ac:dyDescent="0.2">
      <c r="A8600" s="54"/>
    </row>
    <row r="8601" spans="1:1" x14ac:dyDescent="0.2">
      <c r="A8601" s="54"/>
    </row>
    <row r="8602" spans="1:1" x14ac:dyDescent="0.2">
      <c r="A8602" s="54"/>
    </row>
    <row r="8603" spans="1:1" x14ac:dyDescent="0.2">
      <c r="A8603" s="54"/>
    </row>
    <row r="8604" spans="1:1" x14ac:dyDescent="0.2">
      <c r="A8604" s="54"/>
    </row>
    <row r="8605" spans="1:1" x14ac:dyDescent="0.2">
      <c r="A8605" s="54"/>
    </row>
    <row r="8606" spans="1:1" x14ac:dyDescent="0.2">
      <c r="A8606" s="54"/>
    </row>
    <row r="8607" spans="1:1" x14ac:dyDescent="0.2">
      <c r="A8607" s="54"/>
    </row>
    <row r="8608" spans="1:1" x14ac:dyDescent="0.2">
      <c r="A8608" s="54"/>
    </row>
    <row r="8609" spans="1:1" x14ac:dyDescent="0.2">
      <c r="A8609" s="54"/>
    </row>
    <row r="8610" spans="1:1" x14ac:dyDescent="0.2">
      <c r="A8610" s="54"/>
    </row>
    <row r="8611" spans="1:1" x14ac:dyDescent="0.2">
      <c r="A8611" s="54"/>
    </row>
    <row r="8612" spans="1:1" x14ac:dyDescent="0.2">
      <c r="A8612" s="54"/>
    </row>
    <row r="8613" spans="1:1" x14ac:dyDescent="0.2">
      <c r="A8613" s="55"/>
    </row>
    <row r="8614" spans="1:1" x14ac:dyDescent="0.2">
      <c r="A8614" s="54"/>
    </row>
    <row r="8615" spans="1:1" x14ac:dyDescent="0.2">
      <c r="A8615" s="54"/>
    </row>
    <row r="8616" spans="1:1" x14ac:dyDescent="0.2">
      <c r="A8616" s="54"/>
    </row>
    <row r="8617" spans="1:1" x14ac:dyDescent="0.2">
      <c r="A8617" s="55"/>
    </row>
    <row r="8618" spans="1:1" x14ac:dyDescent="0.2">
      <c r="A8618" s="54"/>
    </row>
    <row r="8619" spans="1:1" x14ac:dyDescent="0.2">
      <c r="A8619" s="54"/>
    </row>
    <row r="8620" spans="1:1" x14ac:dyDescent="0.2">
      <c r="A8620" s="54"/>
    </row>
    <row r="8621" spans="1:1" x14ac:dyDescent="0.2">
      <c r="A8621" s="54"/>
    </row>
    <row r="8622" spans="1:1" x14ac:dyDescent="0.2">
      <c r="A8622" s="54"/>
    </row>
    <row r="8623" spans="1:1" x14ac:dyDescent="0.2">
      <c r="A8623" s="54"/>
    </row>
    <row r="8624" spans="1:1" x14ac:dyDescent="0.2">
      <c r="A8624" s="54"/>
    </row>
    <row r="8625" spans="1:1" x14ac:dyDescent="0.2">
      <c r="A8625" s="54"/>
    </row>
    <row r="8626" spans="1:1" x14ac:dyDescent="0.2">
      <c r="A8626" s="54"/>
    </row>
    <row r="8627" spans="1:1" x14ac:dyDescent="0.2">
      <c r="A8627" s="54"/>
    </row>
    <row r="8628" spans="1:1" x14ac:dyDescent="0.2">
      <c r="A8628" s="54"/>
    </row>
    <row r="8629" spans="1:1" x14ac:dyDescent="0.2">
      <c r="A8629" s="54"/>
    </row>
    <row r="8630" spans="1:1" x14ac:dyDescent="0.2">
      <c r="A8630" s="54"/>
    </row>
    <row r="8631" spans="1:1" x14ac:dyDescent="0.2">
      <c r="A8631" s="54"/>
    </row>
    <row r="8632" spans="1:1" x14ac:dyDescent="0.2">
      <c r="A8632" s="54"/>
    </row>
    <row r="8633" spans="1:1" x14ac:dyDescent="0.2">
      <c r="A8633" s="54"/>
    </row>
    <row r="8634" spans="1:1" x14ac:dyDescent="0.2">
      <c r="A8634" s="54"/>
    </row>
    <row r="8635" spans="1:1" x14ac:dyDescent="0.2">
      <c r="A8635" s="54"/>
    </row>
    <row r="8636" spans="1:1" x14ac:dyDescent="0.2">
      <c r="A8636" s="54"/>
    </row>
    <row r="8637" spans="1:1" x14ac:dyDescent="0.2">
      <c r="A8637" s="54"/>
    </row>
    <row r="8638" spans="1:1" x14ac:dyDescent="0.2">
      <c r="A8638" s="54"/>
    </row>
    <row r="8639" spans="1:1" x14ac:dyDescent="0.2">
      <c r="A8639" s="54"/>
    </row>
    <row r="8640" spans="1:1" x14ac:dyDescent="0.2">
      <c r="A8640" s="54"/>
    </row>
    <row r="8641" spans="1:1" x14ac:dyDescent="0.2">
      <c r="A8641" s="54"/>
    </row>
    <row r="8642" spans="1:1" x14ac:dyDescent="0.2">
      <c r="A8642" s="54"/>
    </row>
    <row r="8643" spans="1:1" x14ac:dyDescent="0.2">
      <c r="A8643" s="54"/>
    </row>
    <row r="8644" spans="1:1" x14ac:dyDescent="0.2">
      <c r="A8644" s="54"/>
    </row>
    <row r="8645" spans="1:1" x14ac:dyDescent="0.2">
      <c r="A8645" s="54"/>
    </row>
    <row r="8646" spans="1:1" x14ac:dyDescent="0.2">
      <c r="A8646" s="54"/>
    </row>
    <row r="8647" spans="1:1" x14ac:dyDescent="0.2">
      <c r="A8647" s="54"/>
    </row>
    <row r="8648" spans="1:1" x14ac:dyDescent="0.2">
      <c r="A8648" s="54"/>
    </row>
    <row r="8649" spans="1:1" x14ac:dyDescent="0.2">
      <c r="A8649" s="54"/>
    </row>
    <row r="8650" spans="1:1" x14ac:dyDescent="0.2">
      <c r="A8650" s="54"/>
    </row>
    <row r="8651" spans="1:1" x14ac:dyDescent="0.2">
      <c r="A8651" s="54"/>
    </row>
    <row r="8652" spans="1:1" x14ac:dyDescent="0.2">
      <c r="A8652" s="54"/>
    </row>
    <row r="8653" spans="1:1" x14ac:dyDescent="0.2">
      <c r="A8653" s="54"/>
    </row>
    <row r="8654" spans="1:1" x14ac:dyDescent="0.2">
      <c r="A8654" s="54"/>
    </row>
    <row r="8655" spans="1:1" x14ac:dyDescent="0.2">
      <c r="A8655" s="54"/>
    </row>
    <row r="8656" spans="1:1" x14ac:dyDescent="0.2">
      <c r="A8656" s="54"/>
    </row>
    <row r="8657" spans="1:1" x14ac:dyDescent="0.2">
      <c r="A8657" s="54"/>
    </row>
    <row r="8658" spans="1:1" x14ac:dyDescent="0.2">
      <c r="A8658" s="54"/>
    </row>
    <row r="8659" spans="1:1" x14ac:dyDescent="0.2">
      <c r="A8659" s="54"/>
    </row>
    <row r="8660" spans="1:1" x14ac:dyDescent="0.2">
      <c r="A8660" s="54"/>
    </row>
    <row r="8661" spans="1:1" x14ac:dyDescent="0.2">
      <c r="A8661" s="54"/>
    </row>
    <row r="8662" spans="1:1" x14ac:dyDescent="0.2">
      <c r="A8662" s="54"/>
    </row>
    <row r="8663" spans="1:1" x14ac:dyDescent="0.2">
      <c r="A8663" s="54"/>
    </row>
    <row r="8664" spans="1:1" x14ac:dyDescent="0.2">
      <c r="A8664" s="54"/>
    </row>
    <row r="8665" spans="1:1" x14ac:dyDescent="0.2">
      <c r="A8665" s="54"/>
    </row>
    <row r="8666" spans="1:1" x14ac:dyDescent="0.2">
      <c r="A8666" s="54"/>
    </row>
    <row r="8667" spans="1:1" x14ac:dyDescent="0.2">
      <c r="A8667" s="54"/>
    </row>
    <row r="8668" spans="1:1" x14ac:dyDescent="0.2">
      <c r="A8668" s="54"/>
    </row>
    <row r="8669" spans="1:1" x14ac:dyDescent="0.2">
      <c r="A8669" s="54"/>
    </row>
    <row r="8670" spans="1:1" x14ac:dyDescent="0.2">
      <c r="A8670" s="54"/>
    </row>
    <row r="8671" spans="1:1" x14ac:dyDescent="0.2">
      <c r="A8671" s="55"/>
    </row>
    <row r="8672" spans="1:1" x14ac:dyDescent="0.2">
      <c r="A8672" s="54"/>
    </row>
    <row r="8673" spans="1:1" x14ac:dyDescent="0.2">
      <c r="A8673" s="54"/>
    </row>
    <row r="8674" spans="1:1" x14ac:dyDescent="0.2">
      <c r="A8674" s="55"/>
    </row>
    <row r="8675" spans="1:1" x14ac:dyDescent="0.2">
      <c r="A8675" s="54"/>
    </row>
    <row r="8676" spans="1:1" x14ac:dyDescent="0.2">
      <c r="A8676" s="54"/>
    </row>
    <row r="8677" spans="1:1" x14ac:dyDescent="0.2">
      <c r="A8677" s="54"/>
    </row>
    <row r="8678" spans="1:1" x14ac:dyDescent="0.2">
      <c r="A8678" s="54"/>
    </row>
    <row r="8679" spans="1:1" x14ac:dyDescent="0.2">
      <c r="A8679" s="54"/>
    </row>
    <row r="8680" spans="1:1" x14ac:dyDescent="0.2">
      <c r="A8680" s="54"/>
    </row>
    <row r="8681" spans="1:1" x14ac:dyDescent="0.2">
      <c r="A8681" s="54"/>
    </row>
    <row r="8682" spans="1:1" x14ac:dyDescent="0.2">
      <c r="A8682" s="54"/>
    </row>
    <row r="8683" spans="1:1" x14ac:dyDescent="0.2">
      <c r="A8683" s="55"/>
    </row>
    <row r="8684" spans="1:1" x14ac:dyDescent="0.2">
      <c r="A8684" s="54"/>
    </row>
    <row r="8685" spans="1:1" x14ac:dyDescent="0.2">
      <c r="A8685" s="55"/>
    </row>
    <row r="8686" spans="1:1" x14ac:dyDescent="0.2">
      <c r="A8686" s="54"/>
    </row>
    <row r="8687" spans="1:1" x14ac:dyDescent="0.2">
      <c r="A8687" s="54"/>
    </row>
    <row r="8688" spans="1:1" x14ac:dyDescent="0.2">
      <c r="A8688" s="54"/>
    </row>
    <row r="8689" spans="1:1" x14ac:dyDescent="0.2">
      <c r="A8689" s="54"/>
    </row>
    <row r="8690" spans="1:1" x14ac:dyDescent="0.2">
      <c r="A8690" s="54"/>
    </row>
    <row r="8691" spans="1:1" x14ac:dyDescent="0.2">
      <c r="A8691" s="54"/>
    </row>
    <row r="8692" spans="1:1" x14ac:dyDescent="0.2">
      <c r="A8692" s="54"/>
    </row>
    <row r="8693" spans="1:1" x14ac:dyDescent="0.2">
      <c r="A8693" s="54"/>
    </row>
    <row r="8694" spans="1:1" x14ac:dyDescent="0.2">
      <c r="A8694" s="54"/>
    </row>
    <row r="8695" spans="1:1" x14ac:dyDescent="0.2">
      <c r="A8695" s="54"/>
    </row>
    <row r="8696" spans="1:1" x14ac:dyDescent="0.2">
      <c r="A8696" s="54"/>
    </row>
    <row r="8697" spans="1:1" x14ac:dyDescent="0.2">
      <c r="A8697" s="54"/>
    </row>
    <row r="8698" spans="1:1" x14ac:dyDescent="0.2">
      <c r="A8698" s="54"/>
    </row>
    <row r="8699" spans="1:1" x14ac:dyDescent="0.2">
      <c r="A8699" s="54"/>
    </row>
    <row r="8700" spans="1:1" x14ac:dyDescent="0.2">
      <c r="A8700" s="54"/>
    </row>
    <row r="8701" spans="1:1" x14ac:dyDescent="0.2">
      <c r="A8701" s="54"/>
    </row>
    <row r="8702" spans="1:1" x14ac:dyDescent="0.2">
      <c r="A8702" s="54"/>
    </row>
    <row r="8703" spans="1:1" x14ac:dyDescent="0.2">
      <c r="A8703" s="54"/>
    </row>
    <row r="8704" spans="1:1" x14ac:dyDescent="0.2">
      <c r="A8704" s="54"/>
    </row>
    <row r="8705" spans="1:1" x14ac:dyDescent="0.2">
      <c r="A8705" s="54"/>
    </row>
    <row r="8706" spans="1:1" x14ac:dyDescent="0.2">
      <c r="A8706" s="54"/>
    </row>
    <row r="8707" spans="1:1" x14ac:dyDescent="0.2">
      <c r="A8707" s="54"/>
    </row>
    <row r="8708" spans="1:1" x14ac:dyDescent="0.2">
      <c r="A8708" s="54"/>
    </row>
    <row r="8709" spans="1:1" x14ac:dyDescent="0.2">
      <c r="A8709" s="54"/>
    </row>
    <row r="8710" spans="1:1" x14ac:dyDescent="0.2">
      <c r="A8710" s="54"/>
    </row>
    <row r="8711" spans="1:1" x14ac:dyDescent="0.2">
      <c r="A8711" s="54"/>
    </row>
    <row r="8712" spans="1:1" x14ac:dyDescent="0.2">
      <c r="A8712" s="54"/>
    </row>
    <row r="8713" spans="1:1" x14ac:dyDescent="0.2">
      <c r="A8713" s="54"/>
    </row>
    <row r="8714" spans="1:1" x14ac:dyDescent="0.2">
      <c r="A8714" s="54"/>
    </row>
    <row r="8715" spans="1:1" x14ac:dyDescent="0.2">
      <c r="A8715" s="54"/>
    </row>
    <row r="8716" spans="1:1" x14ac:dyDescent="0.2">
      <c r="A8716" s="54"/>
    </row>
    <row r="8717" spans="1:1" x14ac:dyDescent="0.2">
      <c r="A8717" s="54"/>
    </row>
    <row r="8718" spans="1:1" x14ac:dyDescent="0.2">
      <c r="A8718" s="55"/>
    </row>
    <row r="8719" spans="1:1" x14ac:dyDescent="0.2">
      <c r="A8719" s="54"/>
    </row>
    <row r="8720" spans="1:1" x14ac:dyDescent="0.2">
      <c r="A8720" s="54"/>
    </row>
    <row r="8721" spans="1:1" x14ac:dyDescent="0.2">
      <c r="A8721" s="54"/>
    </row>
    <row r="8722" spans="1:1" x14ac:dyDescent="0.2">
      <c r="A8722" s="54"/>
    </row>
    <row r="8723" spans="1:1" x14ac:dyDescent="0.2">
      <c r="A8723" s="54"/>
    </row>
    <row r="8724" spans="1:1" x14ac:dyDescent="0.2">
      <c r="A8724" s="54"/>
    </row>
    <row r="8725" spans="1:1" x14ac:dyDescent="0.2">
      <c r="A8725" s="54"/>
    </row>
    <row r="8726" spans="1:1" x14ac:dyDescent="0.2">
      <c r="A8726" s="54"/>
    </row>
    <row r="8727" spans="1:1" x14ac:dyDescent="0.2">
      <c r="A8727" s="54"/>
    </row>
    <row r="8728" spans="1:1" x14ac:dyDescent="0.2">
      <c r="A8728" s="54"/>
    </row>
    <row r="8729" spans="1:1" x14ac:dyDescent="0.2">
      <c r="A8729" s="54"/>
    </row>
    <row r="8730" spans="1:1" x14ac:dyDescent="0.2">
      <c r="A8730" s="54"/>
    </row>
    <row r="8731" spans="1:1" x14ac:dyDescent="0.2">
      <c r="A8731" s="54"/>
    </row>
    <row r="8732" spans="1:1" x14ac:dyDescent="0.2">
      <c r="A8732" s="54"/>
    </row>
    <row r="8733" spans="1:1" x14ac:dyDescent="0.2">
      <c r="A8733" s="54"/>
    </row>
    <row r="8734" spans="1:1" x14ac:dyDescent="0.2">
      <c r="A8734" s="54"/>
    </row>
    <row r="8735" spans="1:1" x14ac:dyDescent="0.2">
      <c r="A8735" s="54"/>
    </row>
    <row r="8736" spans="1:1" x14ac:dyDescent="0.2">
      <c r="A8736" s="54"/>
    </row>
    <row r="8737" spans="1:1" x14ac:dyDescent="0.2">
      <c r="A8737" s="54"/>
    </row>
    <row r="8738" spans="1:1" x14ac:dyDescent="0.2">
      <c r="A8738" s="54"/>
    </row>
    <row r="8739" spans="1:1" x14ac:dyDescent="0.2">
      <c r="A8739" s="54"/>
    </row>
    <row r="8740" spans="1:1" x14ac:dyDescent="0.2">
      <c r="A8740" s="54"/>
    </row>
    <row r="8741" spans="1:1" x14ac:dyDescent="0.2">
      <c r="A8741" s="54"/>
    </row>
    <row r="8742" spans="1:1" x14ac:dyDescent="0.2">
      <c r="A8742" s="54"/>
    </row>
    <row r="8743" spans="1:1" x14ac:dyDescent="0.2">
      <c r="A8743" s="54"/>
    </row>
    <row r="8744" spans="1:1" x14ac:dyDescent="0.2">
      <c r="A8744" s="54"/>
    </row>
    <row r="8745" spans="1:1" x14ac:dyDescent="0.2">
      <c r="A8745" s="54"/>
    </row>
    <row r="8746" spans="1:1" x14ac:dyDescent="0.2">
      <c r="A8746" s="54"/>
    </row>
    <row r="8747" spans="1:1" x14ac:dyDescent="0.2">
      <c r="A8747" s="55"/>
    </row>
    <row r="8748" spans="1:1" x14ac:dyDescent="0.2">
      <c r="A8748" s="54"/>
    </row>
    <row r="8749" spans="1:1" x14ac:dyDescent="0.2">
      <c r="A8749" s="55"/>
    </row>
    <row r="8750" spans="1:1" x14ac:dyDescent="0.2">
      <c r="A8750" s="55"/>
    </row>
    <row r="8751" spans="1:1" x14ac:dyDescent="0.2">
      <c r="A8751" s="54"/>
    </row>
    <row r="8752" spans="1:1" x14ac:dyDescent="0.2">
      <c r="A8752" s="54"/>
    </row>
    <row r="8753" spans="1:1" x14ac:dyDescent="0.2">
      <c r="A8753" s="54"/>
    </row>
    <row r="8754" spans="1:1" x14ac:dyDescent="0.2">
      <c r="A8754" s="54"/>
    </row>
    <row r="8755" spans="1:1" x14ac:dyDescent="0.2">
      <c r="A8755" s="54"/>
    </row>
    <row r="8756" spans="1:1" x14ac:dyDescent="0.2">
      <c r="A8756" s="54"/>
    </row>
    <row r="8757" spans="1:1" x14ac:dyDescent="0.2">
      <c r="A8757" s="54"/>
    </row>
    <row r="8758" spans="1:1" x14ac:dyDescent="0.2">
      <c r="A8758" s="54"/>
    </row>
    <row r="8759" spans="1:1" x14ac:dyDescent="0.2">
      <c r="A8759" s="55"/>
    </row>
    <row r="8760" spans="1:1" x14ac:dyDescent="0.2">
      <c r="A8760" s="55"/>
    </row>
    <row r="8761" spans="1:1" x14ac:dyDescent="0.2">
      <c r="A8761" s="54"/>
    </row>
    <row r="8762" spans="1:1" x14ac:dyDescent="0.2">
      <c r="A8762" s="54"/>
    </row>
    <row r="8763" spans="1:1" x14ac:dyDescent="0.2">
      <c r="A8763" s="55"/>
    </row>
    <row r="8764" spans="1:1" x14ac:dyDescent="0.2">
      <c r="A8764" s="54"/>
    </row>
    <row r="8765" spans="1:1" x14ac:dyDescent="0.2">
      <c r="A8765" s="54"/>
    </row>
    <row r="8766" spans="1:1" x14ac:dyDescent="0.2">
      <c r="A8766" s="54"/>
    </row>
    <row r="8767" spans="1:1" x14ac:dyDescent="0.2">
      <c r="A8767" s="54"/>
    </row>
    <row r="8768" spans="1:1" x14ac:dyDescent="0.2">
      <c r="A8768" s="55"/>
    </row>
    <row r="8769" spans="1:1" x14ac:dyDescent="0.2">
      <c r="A8769" s="54"/>
    </row>
    <row r="8770" spans="1:1" x14ac:dyDescent="0.2">
      <c r="A8770" s="54"/>
    </row>
    <row r="8771" spans="1:1" x14ac:dyDescent="0.2">
      <c r="A8771" s="55"/>
    </row>
    <row r="8772" spans="1:1" x14ac:dyDescent="0.2">
      <c r="A8772" s="54"/>
    </row>
    <row r="8773" spans="1:1" x14ac:dyDescent="0.2">
      <c r="A8773" s="54"/>
    </row>
    <row r="8774" spans="1:1" x14ac:dyDescent="0.2">
      <c r="A8774" s="54"/>
    </row>
    <row r="8775" spans="1:1" x14ac:dyDescent="0.2">
      <c r="A8775" s="54"/>
    </row>
    <row r="8776" spans="1:1" x14ac:dyDescent="0.2">
      <c r="A8776" s="54"/>
    </row>
    <row r="8777" spans="1:1" x14ac:dyDescent="0.2">
      <c r="A8777" s="55"/>
    </row>
    <row r="8778" spans="1:1" x14ac:dyDescent="0.2">
      <c r="A8778" s="54"/>
    </row>
    <row r="8779" spans="1:1" x14ac:dyDescent="0.2">
      <c r="A8779" s="54"/>
    </row>
    <row r="8780" spans="1:1" x14ac:dyDescent="0.2">
      <c r="A8780" s="54"/>
    </row>
    <row r="8781" spans="1:1" x14ac:dyDescent="0.2">
      <c r="A8781" s="54"/>
    </row>
    <row r="8782" spans="1:1" x14ac:dyDescent="0.2">
      <c r="A8782" s="54"/>
    </row>
    <row r="8783" spans="1:1" x14ac:dyDescent="0.2">
      <c r="A8783" s="54"/>
    </row>
    <row r="8784" spans="1:1" x14ac:dyDescent="0.2">
      <c r="A8784" s="55"/>
    </row>
    <row r="8785" spans="1:1" x14ac:dyDescent="0.2">
      <c r="A8785" s="54"/>
    </row>
    <row r="8786" spans="1:1" x14ac:dyDescent="0.2">
      <c r="A8786" s="54"/>
    </row>
    <row r="8787" spans="1:1" x14ac:dyDescent="0.2">
      <c r="A8787" s="54"/>
    </row>
    <row r="8788" spans="1:1" x14ac:dyDescent="0.2">
      <c r="A8788" s="54"/>
    </row>
    <row r="8789" spans="1:1" x14ac:dyDescent="0.2">
      <c r="A8789" s="54"/>
    </row>
    <row r="8790" spans="1:1" x14ac:dyDescent="0.2">
      <c r="A8790" s="54"/>
    </row>
    <row r="8791" spans="1:1" x14ac:dyDescent="0.2">
      <c r="A8791" s="54"/>
    </row>
    <row r="8792" spans="1:1" x14ac:dyDescent="0.2">
      <c r="A8792" s="54"/>
    </row>
    <row r="8793" spans="1:1" x14ac:dyDescent="0.2">
      <c r="A8793" s="55"/>
    </row>
    <row r="8794" spans="1:1" x14ac:dyDescent="0.2">
      <c r="A8794" s="55"/>
    </row>
    <row r="8795" spans="1:1" x14ac:dyDescent="0.2">
      <c r="A8795" s="54"/>
    </row>
    <row r="8796" spans="1:1" x14ac:dyDescent="0.2">
      <c r="A8796" s="54"/>
    </row>
    <row r="8797" spans="1:1" x14ac:dyDescent="0.2">
      <c r="A8797" s="55"/>
    </row>
    <row r="8798" spans="1:1" x14ac:dyDescent="0.2">
      <c r="A8798" s="54"/>
    </row>
    <row r="8799" spans="1:1" x14ac:dyDescent="0.2">
      <c r="A8799" s="54"/>
    </row>
    <row r="8800" spans="1:1" x14ac:dyDescent="0.2">
      <c r="A8800" s="54"/>
    </row>
    <row r="8801" spans="1:1" x14ac:dyDescent="0.2">
      <c r="A8801" s="54"/>
    </row>
    <row r="8802" spans="1:1" x14ac:dyDescent="0.2">
      <c r="A8802" s="54"/>
    </row>
    <row r="8803" spans="1:1" x14ac:dyDescent="0.2">
      <c r="A8803" s="54"/>
    </row>
    <row r="8804" spans="1:1" x14ac:dyDescent="0.2">
      <c r="A8804" s="54"/>
    </row>
    <row r="8805" spans="1:1" x14ac:dyDescent="0.2">
      <c r="A8805" s="54"/>
    </row>
    <row r="8806" spans="1:1" x14ac:dyDescent="0.2">
      <c r="A8806" s="54"/>
    </row>
    <row r="8807" spans="1:1" x14ac:dyDescent="0.2">
      <c r="A8807" s="54"/>
    </row>
    <row r="8808" spans="1:1" x14ac:dyDescent="0.2">
      <c r="A8808" s="54"/>
    </row>
    <row r="8809" spans="1:1" x14ac:dyDescent="0.2">
      <c r="A8809" s="54"/>
    </row>
    <row r="8810" spans="1:1" x14ac:dyDescent="0.2">
      <c r="A8810" s="54"/>
    </row>
    <row r="8811" spans="1:1" x14ac:dyDescent="0.2">
      <c r="A8811" s="54"/>
    </row>
    <row r="8812" spans="1:1" x14ac:dyDescent="0.2">
      <c r="A8812" s="54"/>
    </row>
    <row r="8813" spans="1:1" x14ac:dyDescent="0.2">
      <c r="A8813" s="54"/>
    </row>
    <row r="8814" spans="1:1" x14ac:dyDescent="0.2">
      <c r="A8814" s="54"/>
    </row>
    <row r="8815" spans="1:1" x14ac:dyDescent="0.2">
      <c r="A8815" s="55"/>
    </row>
    <row r="8816" spans="1:1" x14ac:dyDescent="0.2">
      <c r="A8816" s="54"/>
    </row>
    <row r="8817" spans="1:1" x14ac:dyDescent="0.2">
      <c r="A8817" s="54"/>
    </row>
    <row r="8818" spans="1:1" x14ac:dyDescent="0.2">
      <c r="A8818" s="54"/>
    </row>
    <row r="8819" spans="1:1" x14ac:dyDescent="0.2">
      <c r="A8819" s="54"/>
    </row>
    <row r="8820" spans="1:1" x14ac:dyDescent="0.2">
      <c r="A8820" s="55"/>
    </row>
    <row r="8821" spans="1:1" x14ac:dyDescent="0.2">
      <c r="A8821" s="54"/>
    </row>
    <row r="8822" spans="1:1" x14ac:dyDescent="0.2">
      <c r="A8822" s="54"/>
    </row>
    <row r="8823" spans="1:1" x14ac:dyDescent="0.2">
      <c r="A8823" s="54"/>
    </row>
    <row r="8824" spans="1:1" x14ac:dyDescent="0.2">
      <c r="A8824" s="54"/>
    </row>
    <row r="8825" spans="1:1" x14ac:dyDescent="0.2">
      <c r="A8825" s="55"/>
    </row>
    <row r="8826" spans="1:1" x14ac:dyDescent="0.2">
      <c r="A8826" s="54"/>
    </row>
    <row r="8827" spans="1:1" x14ac:dyDescent="0.2">
      <c r="A8827" s="54"/>
    </row>
    <row r="8828" spans="1:1" x14ac:dyDescent="0.2">
      <c r="A8828" s="55"/>
    </row>
    <row r="8829" spans="1:1" x14ac:dyDescent="0.2">
      <c r="A8829" s="54"/>
    </row>
    <row r="8830" spans="1:1" x14ac:dyDescent="0.2">
      <c r="A8830" s="54"/>
    </row>
    <row r="8831" spans="1:1" x14ac:dyDescent="0.2">
      <c r="A8831" s="54"/>
    </row>
    <row r="8832" spans="1:1" x14ac:dyDescent="0.2">
      <c r="A8832" s="54"/>
    </row>
    <row r="8833" spans="1:1" x14ac:dyDescent="0.2">
      <c r="A8833" s="54"/>
    </row>
    <row r="8834" spans="1:1" x14ac:dyDescent="0.2">
      <c r="A8834" s="54"/>
    </row>
    <row r="8835" spans="1:1" x14ac:dyDescent="0.2">
      <c r="A8835" s="54"/>
    </row>
    <row r="8836" spans="1:1" x14ac:dyDescent="0.2">
      <c r="A8836" s="54"/>
    </row>
    <row r="8837" spans="1:1" x14ac:dyDescent="0.2">
      <c r="A8837" s="54"/>
    </row>
    <row r="8838" spans="1:1" x14ac:dyDescent="0.2">
      <c r="A8838" s="54"/>
    </row>
    <row r="8839" spans="1:1" x14ac:dyDescent="0.2">
      <c r="A8839" s="54"/>
    </row>
    <row r="8840" spans="1:1" x14ac:dyDescent="0.2">
      <c r="A8840" s="54"/>
    </row>
    <row r="8841" spans="1:1" x14ac:dyDescent="0.2">
      <c r="A8841" s="54"/>
    </row>
    <row r="8842" spans="1:1" x14ac:dyDescent="0.2">
      <c r="A8842" s="54"/>
    </row>
    <row r="8843" spans="1:1" x14ac:dyDescent="0.2">
      <c r="A8843" s="54"/>
    </row>
    <row r="8844" spans="1:1" x14ac:dyDescent="0.2">
      <c r="A8844" s="54"/>
    </row>
    <row r="8845" spans="1:1" x14ac:dyDescent="0.2">
      <c r="A8845" s="54"/>
    </row>
    <row r="8846" spans="1:1" x14ac:dyDescent="0.2">
      <c r="A8846" s="54"/>
    </row>
    <row r="8847" spans="1:1" x14ac:dyDescent="0.2">
      <c r="A8847" s="54"/>
    </row>
    <row r="8848" spans="1:1" x14ac:dyDescent="0.2">
      <c r="A8848" s="54"/>
    </row>
    <row r="8849" spans="1:1" x14ac:dyDescent="0.2">
      <c r="A8849" s="54"/>
    </row>
    <row r="8850" spans="1:1" x14ac:dyDescent="0.2">
      <c r="A8850" s="54"/>
    </row>
    <row r="8851" spans="1:1" x14ac:dyDescent="0.2">
      <c r="A8851" s="54"/>
    </row>
    <row r="8852" spans="1:1" x14ac:dyDescent="0.2">
      <c r="A8852" s="54"/>
    </row>
    <row r="8853" spans="1:1" x14ac:dyDescent="0.2">
      <c r="A8853" s="54"/>
    </row>
    <row r="8854" spans="1:1" x14ac:dyDescent="0.2">
      <c r="A8854" s="54"/>
    </row>
    <row r="8855" spans="1:1" x14ac:dyDescent="0.2">
      <c r="A8855" s="54"/>
    </row>
    <row r="8856" spans="1:1" x14ac:dyDescent="0.2">
      <c r="A8856" s="54"/>
    </row>
    <row r="8857" spans="1:1" x14ac:dyDescent="0.2">
      <c r="A8857" s="54"/>
    </row>
    <row r="8858" spans="1:1" x14ac:dyDescent="0.2">
      <c r="A8858" s="54"/>
    </row>
    <row r="8859" spans="1:1" x14ac:dyDescent="0.2">
      <c r="A8859" s="54"/>
    </row>
    <row r="8860" spans="1:1" x14ac:dyDescent="0.2">
      <c r="A8860" s="54"/>
    </row>
    <row r="8861" spans="1:1" x14ac:dyDescent="0.2">
      <c r="A8861" s="54"/>
    </row>
    <row r="8862" spans="1:1" x14ac:dyDescent="0.2">
      <c r="A8862" s="54"/>
    </row>
    <row r="8863" spans="1:1" x14ac:dyDescent="0.2">
      <c r="A8863" s="54"/>
    </row>
    <row r="8864" spans="1:1" x14ac:dyDescent="0.2">
      <c r="A8864" s="54"/>
    </row>
    <row r="8865" spans="1:1" x14ac:dyDescent="0.2">
      <c r="A8865" s="54"/>
    </row>
    <row r="8866" spans="1:1" x14ac:dyDescent="0.2">
      <c r="A8866" s="54"/>
    </row>
    <row r="8867" spans="1:1" x14ac:dyDescent="0.2">
      <c r="A8867" s="54"/>
    </row>
    <row r="8868" spans="1:1" x14ac:dyDescent="0.2">
      <c r="A8868" s="54"/>
    </row>
    <row r="8869" spans="1:1" x14ac:dyDescent="0.2">
      <c r="A8869" s="54"/>
    </row>
    <row r="8870" spans="1:1" x14ac:dyDescent="0.2">
      <c r="A8870" s="54"/>
    </row>
    <row r="8871" spans="1:1" x14ac:dyDescent="0.2">
      <c r="A8871" s="54"/>
    </row>
    <row r="8872" spans="1:1" x14ac:dyDescent="0.2">
      <c r="A8872" s="54"/>
    </row>
    <row r="8873" spans="1:1" x14ac:dyDescent="0.2">
      <c r="A8873" s="54"/>
    </row>
    <row r="8874" spans="1:1" x14ac:dyDescent="0.2">
      <c r="A8874" s="54"/>
    </row>
    <row r="8875" spans="1:1" x14ac:dyDescent="0.2">
      <c r="A8875" s="54"/>
    </row>
    <row r="8876" spans="1:1" x14ac:dyDescent="0.2">
      <c r="A8876" s="54"/>
    </row>
    <row r="8877" spans="1:1" x14ac:dyDescent="0.2">
      <c r="A8877" s="54"/>
    </row>
    <row r="8878" spans="1:1" x14ac:dyDescent="0.2">
      <c r="A8878" s="54"/>
    </row>
    <row r="8879" spans="1:1" x14ac:dyDescent="0.2">
      <c r="A8879" s="54"/>
    </row>
    <row r="8880" spans="1:1" x14ac:dyDescent="0.2">
      <c r="A8880" s="54"/>
    </row>
    <row r="8881" spans="1:1" x14ac:dyDescent="0.2">
      <c r="A8881" s="54"/>
    </row>
    <row r="8882" spans="1:1" x14ac:dyDescent="0.2">
      <c r="A8882" s="54"/>
    </row>
    <row r="8883" spans="1:1" x14ac:dyDescent="0.2">
      <c r="A8883" s="54"/>
    </row>
    <row r="8884" spans="1:1" x14ac:dyDescent="0.2">
      <c r="A8884" s="54"/>
    </row>
    <row r="8885" spans="1:1" x14ac:dyDescent="0.2">
      <c r="A8885" s="54"/>
    </row>
    <row r="8886" spans="1:1" x14ac:dyDescent="0.2">
      <c r="A8886" s="54"/>
    </row>
    <row r="8887" spans="1:1" x14ac:dyDescent="0.2">
      <c r="A8887" s="54"/>
    </row>
    <row r="8888" spans="1:1" x14ac:dyDescent="0.2">
      <c r="A8888" s="54"/>
    </row>
    <row r="8889" spans="1:1" x14ac:dyDescent="0.2">
      <c r="A8889" s="54"/>
    </row>
    <row r="8890" spans="1:1" x14ac:dyDescent="0.2">
      <c r="A8890" s="54"/>
    </row>
    <row r="8891" spans="1:1" x14ac:dyDescent="0.2">
      <c r="A8891" s="54"/>
    </row>
    <row r="8892" spans="1:1" x14ac:dyDescent="0.2">
      <c r="A8892" s="54"/>
    </row>
    <row r="8893" spans="1:1" x14ac:dyDescent="0.2">
      <c r="A8893" s="54"/>
    </row>
    <row r="8894" spans="1:1" x14ac:dyDescent="0.2">
      <c r="A8894" s="55"/>
    </row>
    <row r="8895" spans="1:1" x14ac:dyDescent="0.2">
      <c r="A8895" s="55"/>
    </row>
    <row r="8896" spans="1:1" x14ac:dyDescent="0.2">
      <c r="A8896" s="54"/>
    </row>
    <row r="8897" spans="1:1" x14ac:dyDescent="0.2">
      <c r="A8897" s="54"/>
    </row>
    <row r="8898" spans="1:1" x14ac:dyDescent="0.2">
      <c r="A8898" s="54"/>
    </row>
    <row r="8899" spans="1:1" x14ac:dyDescent="0.2">
      <c r="A8899" s="54"/>
    </row>
    <row r="8900" spans="1:1" x14ac:dyDescent="0.2">
      <c r="A8900" s="54"/>
    </row>
    <row r="8901" spans="1:1" x14ac:dyDescent="0.2">
      <c r="A8901" s="54"/>
    </row>
    <row r="8902" spans="1:1" x14ac:dyDescent="0.2">
      <c r="A8902" s="54"/>
    </row>
    <row r="8903" spans="1:1" x14ac:dyDescent="0.2">
      <c r="A8903" s="54"/>
    </row>
    <row r="8904" spans="1:1" x14ac:dyDescent="0.2">
      <c r="A8904" s="54"/>
    </row>
    <row r="8905" spans="1:1" x14ac:dyDescent="0.2">
      <c r="A8905" s="54"/>
    </row>
    <row r="8906" spans="1:1" x14ac:dyDescent="0.2">
      <c r="A8906" s="54"/>
    </row>
    <row r="8907" spans="1:1" x14ac:dyDescent="0.2">
      <c r="A8907" s="54"/>
    </row>
    <row r="8908" spans="1:1" x14ac:dyDescent="0.2">
      <c r="A8908" s="54"/>
    </row>
    <row r="8909" spans="1:1" x14ac:dyDescent="0.2">
      <c r="A8909" s="54"/>
    </row>
    <row r="8910" spans="1:1" x14ac:dyDescent="0.2">
      <c r="A8910" s="54"/>
    </row>
    <row r="8911" spans="1:1" x14ac:dyDescent="0.2">
      <c r="A8911" s="54"/>
    </row>
    <row r="8912" spans="1:1" x14ac:dyDescent="0.2">
      <c r="A8912" s="54"/>
    </row>
    <row r="8913" spans="1:1" x14ac:dyDescent="0.2">
      <c r="A8913" s="54"/>
    </row>
    <row r="8914" spans="1:1" x14ac:dyDescent="0.2">
      <c r="A8914" s="54"/>
    </row>
    <row r="8915" spans="1:1" x14ac:dyDescent="0.2">
      <c r="A8915" s="54"/>
    </row>
    <row r="8916" spans="1:1" x14ac:dyDescent="0.2">
      <c r="A8916" s="54"/>
    </row>
    <row r="8917" spans="1:1" x14ac:dyDescent="0.2">
      <c r="A8917" s="54"/>
    </row>
    <row r="8918" spans="1:1" x14ac:dyDescent="0.2">
      <c r="A8918" s="54"/>
    </row>
    <row r="8919" spans="1:1" x14ac:dyDescent="0.2">
      <c r="A8919" s="54"/>
    </row>
    <row r="8920" spans="1:1" x14ac:dyDescent="0.2">
      <c r="A8920" s="54"/>
    </row>
    <row r="8921" spans="1:1" x14ac:dyDescent="0.2">
      <c r="A8921" s="54"/>
    </row>
    <row r="8922" spans="1:1" x14ac:dyDescent="0.2">
      <c r="A8922" s="54"/>
    </row>
    <row r="8923" spans="1:1" x14ac:dyDescent="0.2">
      <c r="A8923" s="54"/>
    </row>
    <row r="8924" spans="1:1" x14ac:dyDescent="0.2">
      <c r="A8924" s="54"/>
    </row>
    <row r="8925" spans="1:1" x14ac:dyDescent="0.2">
      <c r="A8925" s="54"/>
    </row>
    <row r="8926" spans="1:1" x14ac:dyDescent="0.2">
      <c r="A8926" s="54"/>
    </row>
    <row r="8927" spans="1:1" x14ac:dyDescent="0.2">
      <c r="A8927" s="54"/>
    </row>
    <row r="8928" spans="1:1" x14ac:dyDescent="0.2">
      <c r="A8928" s="54"/>
    </row>
    <row r="8929" spans="1:1" x14ac:dyDescent="0.2">
      <c r="A8929" s="54"/>
    </row>
    <row r="8930" spans="1:1" x14ac:dyDescent="0.2">
      <c r="A8930" s="54"/>
    </row>
    <row r="8931" spans="1:1" x14ac:dyDescent="0.2">
      <c r="A8931" s="54"/>
    </row>
    <row r="8932" spans="1:1" x14ac:dyDescent="0.2">
      <c r="A8932" s="54"/>
    </row>
    <row r="8933" spans="1:1" x14ac:dyDescent="0.2">
      <c r="A8933" s="54"/>
    </row>
    <row r="8934" spans="1:1" x14ac:dyDescent="0.2">
      <c r="A8934" s="54"/>
    </row>
    <row r="8935" spans="1:1" x14ac:dyDescent="0.2">
      <c r="A8935" s="54"/>
    </row>
    <row r="8936" spans="1:1" x14ac:dyDescent="0.2">
      <c r="A8936" s="54"/>
    </row>
    <row r="8937" spans="1:1" x14ac:dyDescent="0.2">
      <c r="A8937" s="54"/>
    </row>
    <row r="8938" spans="1:1" x14ac:dyDescent="0.2">
      <c r="A8938" s="54"/>
    </row>
    <row r="8939" spans="1:1" x14ac:dyDescent="0.2">
      <c r="A8939" s="54"/>
    </row>
    <row r="8940" spans="1:1" x14ac:dyDescent="0.2">
      <c r="A8940" s="54"/>
    </row>
    <row r="8941" spans="1:1" x14ac:dyDescent="0.2">
      <c r="A8941" s="54"/>
    </row>
    <row r="8942" spans="1:1" x14ac:dyDescent="0.2">
      <c r="A8942" s="54"/>
    </row>
    <row r="8943" spans="1:1" x14ac:dyDescent="0.2">
      <c r="A8943" s="54"/>
    </row>
    <row r="8944" spans="1:1" x14ac:dyDescent="0.2">
      <c r="A8944" s="54"/>
    </row>
    <row r="8945" spans="1:1" x14ac:dyDescent="0.2">
      <c r="A8945" s="54"/>
    </row>
    <row r="8946" spans="1:1" x14ac:dyDescent="0.2">
      <c r="A8946" s="54"/>
    </row>
    <row r="8947" spans="1:1" x14ac:dyDescent="0.2">
      <c r="A8947" s="54"/>
    </row>
    <row r="8948" spans="1:1" x14ac:dyDescent="0.2">
      <c r="A8948" s="54"/>
    </row>
    <row r="8949" spans="1:1" x14ac:dyDescent="0.2">
      <c r="A8949" s="54"/>
    </row>
    <row r="8950" spans="1:1" x14ac:dyDescent="0.2">
      <c r="A8950" s="54"/>
    </row>
    <row r="8951" spans="1:1" x14ac:dyDescent="0.2">
      <c r="A8951" s="55"/>
    </row>
    <row r="8952" spans="1:1" x14ac:dyDescent="0.2">
      <c r="A8952" s="54"/>
    </row>
    <row r="8953" spans="1:1" x14ac:dyDescent="0.2">
      <c r="A8953" s="54"/>
    </row>
    <row r="8954" spans="1:1" x14ac:dyDescent="0.2">
      <c r="A8954" s="54"/>
    </row>
    <row r="8955" spans="1:1" x14ac:dyDescent="0.2">
      <c r="A8955" s="54"/>
    </row>
    <row r="8956" spans="1:1" x14ac:dyDescent="0.2">
      <c r="A8956" s="54"/>
    </row>
    <row r="8957" spans="1:1" x14ac:dyDescent="0.2">
      <c r="A8957" s="54"/>
    </row>
    <row r="8958" spans="1:1" x14ac:dyDescent="0.2">
      <c r="A8958" s="55"/>
    </row>
    <row r="8959" spans="1:1" x14ac:dyDescent="0.2">
      <c r="A8959" s="54"/>
    </row>
    <row r="8960" spans="1:1" x14ac:dyDescent="0.2">
      <c r="A8960" s="54"/>
    </row>
    <row r="8961" spans="1:1" x14ac:dyDescent="0.2">
      <c r="A8961" s="54"/>
    </row>
    <row r="8962" spans="1:1" x14ac:dyDescent="0.2">
      <c r="A8962" s="54"/>
    </row>
    <row r="8963" spans="1:1" x14ac:dyDescent="0.2">
      <c r="A8963" s="54"/>
    </row>
    <row r="8964" spans="1:1" x14ac:dyDescent="0.2">
      <c r="A8964" s="54"/>
    </row>
    <row r="8965" spans="1:1" x14ac:dyDescent="0.2">
      <c r="A8965" s="54"/>
    </row>
    <row r="8966" spans="1:1" x14ac:dyDescent="0.2">
      <c r="A8966" s="54"/>
    </row>
    <row r="8967" spans="1:1" x14ac:dyDescent="0.2">
      <c r="A8967" s="54"/>
    </row>
    <row r="8968" spans="1:1" x14ac:dyDescent="0.2">
      <c r="A8968" s="54"/>
    </row>
    <row r="8969" spans="1:1" x14ac:dyDescent="0.2">
      <c r="A8969" s="54"/>
    </row>
    <row r="8970" spans="1:1" x14ac:dyDescent="0.2">
      <c r="A8970" s="54"/>
    </row>
    <row r="8971" spans="1:1" x14ac:dyDescent="0.2">
      <c r="A8971" s="54"/>
    </row>
    <row r="8972" spans="1:1" x14ac:dyDescent="0.2">
      <c r="A8972" s="54"/>
    </row>
    <row r="8973" spans="1:1" x14ac:dyDescent="0.2">
      <c r="A8973" s="54"/>
    </row>
    <row r="8974" spans="1:1" x14ac:dyDescent="0.2">
      <c r="A8974" s="55"/>
    </row>
    <row r="8975" spans="1:1" x14ac:dyDescent="0.2">
      <c r="A8975" s="54"/>
    </row>
    <row r="8976" spans="1:1" x14ac:dyDescent="0.2">
      <c r="A8976" s="54"/>
    </row>
    <row r="8977" spans="1:1" x14ac:dyDescent="0.2">
      <c r="A8977" s="55"/>
    </row>
    <row r="8978" spans="1:1" x14ac:dyDescent="0.2">
      <c r="A8978" s="54"/>
    </row>
    <row r="8979" spans="1:1" x14ac:dyDescent="0.2">
      <c r="A8979" s="55"/>
    </row>
    <row r="8980" spans="1:1" x14ac:dyDescent="0.2">
      <c r="A8980" s="54"/>
    </row>
    <row r="8981" spans="1:1" x14ac:dyDescent="0.2">
      <c r="A8981" s="54"/>
    </row>
    <row r="8982" spans="1:1" x14ac:dyDescent="0.2">
      <c r="A8982" s="54"/>
    </row>
    <row r="8983" spans="1:1" x14ac:dyDescent="0.2">
      <c r="A8983" s="54"/>
    </row>
    <row r="8984" spans="1:1" x14ac:dyDescent="0.2">
      <c r="A8984" s="54"/>
    </row>
    <row r="8985" spans="1:1" x14ac:dyDescent="0.2">
      <c r="A8985" s="54"/>
    </row>
    <row r="8986" spans="1:1" x14ac:dyDescent="0.2">
      <c r="A8986" s="54"/>
    </row>
    <row r="8987" spans="1:1" x14ac:dyDescent="0.2">
      <c r="A8987" s="54"/>
    </row>
    <row r="8988" spans="1:1" x14ac:dyDescent="0.2">
      <c r="A8988" s="54"/>
    </row>
    <row r="8989" spans="1:1" x14ac:dyDescent="0.2">
      <c r="A8989" s="54"/>
    </row>
    <row r="8990" spans="1:1" x14ac:dyDescent="0.2">
      <c r="A8990" s="54"/>
    </row>
    <row r="8991" spans="1:1" x14ac:dyDescent="0.2">
      <c r="A8991" s="54"/>
    </row>
    <row r="8992" spans="1:1" x14ac:dyDescent="0.2">
      <c r="A8992" s="54"/>
    </row>
    <row r="8993" spans="1:1" x14ac:dyDescent="0.2">
      <c r="A8993" s="54"/>
    </row>
    <row r="8994" spans="1:1" x14ac:dyDescent="0.2">
      <c r="A8994" s="54"/>
    </row>
    <row r="8995" spans="1:1" x14ac:dyDescent="0.2">
      <c r="A8995" s="54"/>
    </row>
    <row r="8996" spans="1:1" x14ac:dyDescent="0.2">
      <c r="A8996" s="54"/>
    </row>
    <row r="8997" spans="1:1" x14ac:dyDescent="0.2">
      <c r="A8997" s="54"/>
    </row>
    <row r="8998" spans="1:1" x14ac:dyDescent="0.2">
      <c r="A8998" s="54"/>
    </row>
    <row r="8999" spans="1:1" x14ac:dyDescent="0.2">
      <c r="A8999" s="55"/>
    </row>
    <row r="9000" spans="1:1" x14ac:dyDescent="0.2">
      <c r="A9000" s="54"/>
    </row>
    <row r="9001" spans="1:1" x14ac:dyDescent="0.2">
      <c r="A9001" s="54"/>
    </row>
    <row r="9002" spans="1:1" x14ac:dyDescent="0.2">
      <c r="A9002" s="54"/>
    </row>
    <row r="9003" spans="1:1" x14ac:dyDescent="0.2">
      <c r="A9003" s="54"/>
    </row>
    <row r="9004" spans="1:1" x14ac:dyDescent="0.2">
      <c r="A9004" s="54"/>
    </row>
    <row r="9005" spans="1:1" x14ac:dyDescent="0.2">
      <c r="A9005" s="54"/>
    </row>
    <row r="9006" spans="1:1" x14ac:dyDescent="0.2">
      <c r="A9006" s="54"/>
    </row>
    <row r="9007" spans="1:1" x14ac:dyDescent="0.2">
      <c r="A9007" s="54"/>
    </row>
    <row r="9008" spans="1:1" x14ac:dyDescent="0.2">
      <c r="A9008" s="54"/>
    </row>
    <row r="9009" spans="1:1" x14ac:dyDescent="0.2">
      <c r="A9009" s="54"/>
    </row>
    <row r="9010" spans="1:1" x14ac:dyDescent="0.2">
      <c r="A9010" s="54"/>
    </row>
    <row r="9011" spans="1:1" x14ac:dyDescent="0.2">
      <c r="A9011" s="54"/>
    </row>
    <row r="9012" spans="1:1" x14ac:dyDescent="0.2">
      <c r="A9012" s="54"/>
    </row>
    <row r="9013" spans="1:1" x14ac:dyDescent="0.2">
      <c r="A9013" s="55"/>
    </row>
    <row r="9014" spans="1:1" x14ac:dyDescent="0.2">
      <c r="A9014" s="54"/>
    </row>
    <row r="9015" spans="1:1" x14ac:dyDescent="0.2">
      <c r="A9015" s="54"/>
    </row>
    <row r="9016" spans="1:1" x14ac:dyDescent="0.2">
      <c r="A9016" s="54"/>
    </row>
    <row r="9017" spans="1:1" x14ac:dyDescent="0.2">
      <c r="A9017" s="54"/>
    </row>
    <row r="9018" spans="1:1" x14ac:dyDescent="0.2">
      <c r="A9018" s="54"/>
    </row>
    <row r="9019" spans="1:1" x14ac:dyDescent="0.2">
      <c r="A9019" s="54"/>
    </row>
    <row r="9020" spans="1:1" x14ac:dyDescent="0.2">
      <c r="A9020" s="54"/>
    </row>
    <row r="9021" spans="1:1" x14ac:dyDescent="0.2">
      <c r="A9021" s="54"/>
    </row>
    <row r="9022" spans="1:1" x14ac:dyDescent="0.2">
      <c r="A9022" s="54"/>
    </row>
    <row r="9023" spans="1:1" x14ac:dyDescent="0.2">
      <c r="A9023" s="54"/>
    </row>
    <row r="9024" spans="1:1" x14ac:dyDescent="0.2">
      <c r="A9024" s="54"/>
    </row>
    <row r="9025" spans="1:1" x14ac:dyDescent="0.2">
      <c r="A9025" s="55"/>
    </row>
    <row r="9026" spans="1:1" x14ac:dyDescent="0.2">
      <c r="A9026" s="54"/>
    </row>
    <row r="9027" spans="1:1" x14ac:dyDescent="0.2">
      <c r="A9027" s="54"/>
    </row>
    <row r="9028" spans="1:1" x14ac:dyDescent="0.2">
      <c r="A9028" s="54"/>
    </row>
    <row r="9029" spans="1:1" x14ac:dyDescent="0.2">
      <c r="A9029" s="54"/>
    </row>
    <row r="9030" spans="1:1" x14ac:dyDescent="0.2">
      <c r="A9030" s="54"/>
    </row>
    <row r="9031" spans="1:1" x14ac:dyDescent="0.2">
      <c r="A9031" s="54"/>
    </row>
    <row r="9032" spans="1:1" x14ac:dyDescent="0.2">
      <c r="A9032" s="54"/>
    </row>
    <row r="9033" spans="1:1" x14ac:dyDescent="0.2">
      <c r="A9033" s="54"/>
    </row>
    <row r="9034" spans="1:1" x14ac:dyDescent="0.2">
      <c r="A9034" s="54"/>
    </row>
    <row r="9035" spans="1:1" x14ac:dyDescent="0.2">
      <c r="A9035" s="54"/>
    </row>
    <row r="9036" spans="1:1" x14ac:dyDescent="0.2">
      <c r="A9036" s="54"/>
    </row>
    <row r="9037" spans="1:1" x14ac:dyDescent="0.2">
      <c r="A9037" s="54"/>
    </row>
    <row r="9038" spans="1:1" x14ac:dyDescent="0.2">
      <c r="A9038" s="55"/>
    </row>
    <row r="9039" spans="1:1" x14ac:dyDescent="0.2">
      <c r="A9039" s="54"/>
    </row>
    <row r="9040" spans="1:1" x14ac:dyDescent="0.2">
      <c r="A9040" s="54"/>
    </row>
    <row r="9041" spans="1:1" x14ac:dyDescent="0.2">
      <c r="A9041" s="54"/>
    </row>
    <row r="9042" spans="1:1" x14ac:dyDescent="0.2">
      <c r="A9042" s="54"/>
    </row>
    <row r="9043" spans="1:1" x14ac:dyDescent="0.2">
      <c r="A9043" s="54"/>
    </row>
    <row r="9044" spans="1:1" x14ac:dyDescent="0.2">
      <c r="A9044" s="54"/>
    </row>
    <row r="9045" spans="1:1" x14ac:dyDescent="0.2">
      <c r="A9045" s="54"/>
    </row>
    <row r="9046" spans="1:1" x14ac:dyDescent="0.2">
      <c r="A9046" s="54"/>
    </row>
    <row r="9047" spans="1:1" x14ac:dyDescent="0.2">
      <c r="A9047" s="54"/>
    </row>
    <row r="9048" spans="1:1" x14ac:dyDescent="0.2">
      <c r="A9048" s="54"/>
    </row>
    <row r="9049" spans="1:1" x14ac:dyDescent="0.2">
      <c r="A9049" s="54"/>
    </row>
    <row r="9050" spans="1:1" x14ac:dyDescent="0.2">
      <c r="A9050" s="54"/>
    </row>
    <row r="9051" spans="1:1" x14ac:dyDescent="0.2">
      <c r="A9051" s="54"/>
    </row>
    <row r="9052" spans="1:1" x14ac:dyDescent="0.2">
      <c r="A9052" s="54"/>
    </row>
    <row r="9053" spans="1:1" x14ac:dyDescent="0.2">
      <c r="A9053" s="54"/>
    </row>
    <row r="9054" spans="1:1" x14ac:dyDescent="0.2">
      <c r="A9054" s="55"/>
    </row>
    <row r="9055" spans="1:1" x14ac:dyDescent="0.2">
      <c r="A9055" s="54"/>
    </row>
    <row r="9056" spans="1:1" x14ac:dyDescent="0.2">
      <c r="A9056" s="54"/>
    </row>
    <row r="9057" spans="1:1" x14ac:dyDescent="0.2">
      <c r="A9057" s="54"/>
    </row>
    <row r="9058" spans="1:1" x14ac:dyDescent="0.2">
      <c r="A9058" s="54"/>
    </row>
    <row r="9059" spans="1:1" x14ac:dyDescent="0.2">
      <c r="A9059" s="55"/>
    </row>
    <row r="9060" spans="1:1" x14ac:dyDescent="0.2">
      <c r="A9060" s="54"/>
    </row>
    <row r="9061" spans="1:1" x14ac:dyDescent="0.2">
      <c r="A9061" s="54"/>
    </row>
    <row r="9062" spans="1:1" x14ac:dyDescent="0.2">
      <c r="A9062" s="54"/>
    </row>
    <row r="9063" spans="1:1" x14ac:dyDescent="0.2">
      <c r="A9063" s="54"/>
    </row>
    <row r="9064" spans="1:1" x14ac:dyDescent="0.2">
      <c r="A9064" s="54"/>
    </row>
    <row r="9065" spans="1:1" x14ac:dyDescent="0.2">
      <c r="A9065" s="54"/>
    </row>
    <row r="9066" spans="1:1" x14ac:dyDescent="0.2">
      <c r="A9066" s="54"/>
    </row>
    <row r="9067" spans="1:1" x14ac:dyDescent="0.2">
      <c r="A9067" s="54"/>
    </row>
    <row r="9068" spans="1:1" x14ac:dyDescent="0.2">
      <c r="A9068" s="54"/>
    </row>
    <row r="9069" spans="1:1" x14ac:dyDescent="0.2">
      <c r="A9069" s="54"/>
    </row>
    <row r="9070" spans="1:1" x14ac:dyDescent="0.2">
      <c r="A9070" s="54"/>
    </row>
    <row r="9071" spans="1:1" x14ac:dyDescent="0.2">
      <c r="A9071" s="55"/>
    </row>
    <row r="9072" spans="1:1" x14ac:dyDescent="0.2">
      <c r="A9072" s="54"/>
    </row>
    <row r="9073" spans="1:1" x14ac:dyDescent="0.2">
      <c r="A9073" s="54"/>
    </row>
    <row r="9074" spans="1:1" x14ac:dyDescent="0.2">
      <c r="A9074" s="54"/>
    </row>
    <row r="9075" spans="1:1" x14ac:dyDescent="0.2">
      <c r="A9075" s="54"/>
    </row>
    <row r="9076" spans="1:1" x14ac:dyDescent="0.2">
      <c r="A9076" s="54"/>
    </row>
    <row r="9077" spans="1:1" x14ac:dyDescent="0.2">
      <c r="A9077" s="54"/>
    </row>
    <row r="9078" spans="1:1" x14ac:dyDescent="0.2">
      <c r="A9078" s="54"/>
    </row>
    <row r="9079" spans="1:1" x14ac:dyDescent="0.2">
      <c r="A9079" s="54"/>
    </row>
    <row r="9080" spans="1:1" x14ac:dyDescent="0.2">
      <c r="A9080" s="55"/>
    </row>
    <row r="9081" spans="1:1" x14ac:dyDescent="0.2">
      <c r="A9081" s="54"/>
    </row>
    <row r="9082" spans="1:1" x14ac:dyDescent="0.2">
      <c r="A9082" s="54"/>
    </row>
    <row r="9083" spans="1:1" x14ac:dyDescent="0.2">
      <c r="A9083" s="54"/>
    </row>
    <row r="9084" spans="1:1" x14ac:dyDescent="0.2">
      <c r="A9084" s="54"/>
    </row>
    <row r="9085" spans="1:1" x14ac:dyDescent="0.2">
      <c r="A9085" s="55"/>
    </row>
    <row r="9086" spans="1:1" x14ac:dyDescent="0.2">
      <c r="A9086" s="54"/>
    </row>
    <row r="9087" spans="1:1" x14ac:dyDescent="0.2">
      <c r="A9087" s="54"/>
    </row>
    <row r="9088" spans="1:1" x14ac:dyDescent="0.2">
      <c r="A9088" s="54"/>
    </row>
    <row r="9089" spans="1:1" x14ac:dyDescent="0.2">
      <c r="A9089" s="54"/>
    </row>
    <row r="9090" spans="1:1" x14ac:dyDescent="0.2">
      <c r="A9090" s="54"/>
    </row>
    <row r="9091" spans="1:1" x14ac:dyDescent="0.2">
      <c r="A9091" s="54"/>
    </row>
    <row r="9092" spans="1:1" x14ac:dyDescent="0.2">
      <c r="A9092" s="55"/>
    </row>
    <row r="9093" spans="1:1" x14ac:dyDescent="0.2">
      <c r="A9093" s="54"/>
    </row>
    <row r="9094" spans="1:1" x14ac:dyDescent="0.2">
      <c r="A9094" s="54"/>
    </row>
    <row r="9095" spans="1:1" x14ac:dyDescent="0.2">
      <c r="A9095" s="54"/>
    </row>
    <row r="9096" spans="1:1" x14ac:dyDescent="0.2">
      <c r="A9096" s="54"/>
    </row>
    <row r="9097" spans="1:1" x14ac:dyDescent="0.2">
      <c r="A9097" s="54"/>
    </row>
    <row r="9098" spans="1:1" x14ac:dyDescent="0.2">
      <c r="A9098" s="54"/>
    </row>
    <row r="9099" spans="1:1" x14ac:dyDescent="0.2">
      <c r="A9099" s="54"/>
    </row>
    <row r="9100" spans="1:1" x14ac:dyDescent="0.2">
      <c r="A9100" s="54"/>
    </row>
    <row r="9101" spans="1:1" x14ac:dyDescent="0.2">
      <c r="A9101" s="54"/>
    </row>
    <row r="9102" spans="1:1" x14ac:dyDescent="0.2">
      <c r="A9102" s="54"/>
    </row>
    <row r="9103" spans="1:1" x14ac:dyDescent="0.2">
      <c r="A9103" s="54"/>
    </row>
    <row r="9104" spans="1:1" x14ac:dyDescent="0.2">
      <c r="A9104" s="54"/>
    </row>
    <row r="9105" spans="1:1" x14ac:dyDescent="0.2">
      <c r="A9105" s="55"/>
    </row>
    <row r="9106" spans="1:1" x14ac:dyDescent="0.2">
      <c r="A9106" s="54"/>
    </row>
    <row r="9107" spans="1:1" x14ac:dyDescent="0.2">
      <c r="A9107" s="55"/>
    </row>
    <row r="9108" spans="1:1" x14ac:dyDescent="0.2">
      <c r="A9108" s="54"/>
    </row>
    <row r="9109" spans="1:1" x14ac:dyDescent="0.2">
      <c r="A9109" s="54"/>
    </row>
    <row r="9110" spans="1:1" x14ac:dyDescent="0.2">
      <c r="A9110" s="54"/>
    </row>
    <row r="9111" spans="1:1" x14ac:dyDescent="0.2">
      <c r="A9111" s="54"/>
    </row>
    <row r="9112" spans="1:1" x14ac:dyDescent="0.2">
      <c r="A9112" s="54"/>
    </row>
    <row r="9113" spans="1:1" x14ac:dyDescent="0.2">
      <c r="A9113" s="54"/>
    </row>
    <row r="9114" spans="1:1" x14ac:dyDescent="0.2">
      <c r="A9114" s="54"/>
    </row>
    <row r="9115" spans="1:1" x14ac:dyDescent="0.2">
      <c r="A9115" s="54"/>
    </row>
    <row r="9116" spans="1:1" x14ac:dyDescent="0.2">
      <c r="A9116" s="54"/>
    </row>
    <row r="9117" spans="1:1" x14ac:dyDescent="0.2">
      <c r="A9117" s="54"/>
    </row>
    <row r="9118" spans="1:1" x14ac:dyDescent="0.2">
      <c r="A9118" s="55"/>
    </row>
    <row r="9119" spans="1:1" x14ac:dyDescent="0.2">
      <c r="A9119" s="54"/>
    </row>
    <row r="9120" spans="1:1" x14ac:dyDescent="0.2">
      <c r="A9120" s="54"/>
    </row>
    <row r="9121" spans="1:1" x14ac:dyDescent="0.2">
      <c r="A9121" s="54"/>
    </row>
    <row r="9122" spans="1:1" x14ac:dyDescent="0.2">
      <c r="A9122" s="54"/>
    </row>
    <row r="9123" spans="1:1" x14ac:dyDescent="0.2">
      <c r="A9123" s="54"/>
    </row>
    <row r="9124" spans="1:1" x14ac:dyDescent="0.2">
      <c r="A9124" s="54"/>
    </row>
    <row r="9125" spans="1:1" x14ac:dyDescent="0.2">
      <c r="A9125" s="54"/>
    </row>
    <row r="9126" spans="1:1" x14ac:dyDescent="0.2">
      <c r="A9126" s="54"/>
    </row>
    <row r="9127" spans="1:1" x14ac:dyDescent="0.2">
      <c r="A9127" s="54"/>
    </row>
    <row r="9128" spans="1:1" x14ac:dyDescent="0.2">
      <c r="A9128" s="54"/>
    </row>
    <row r="9129" spans="1:1" x14ac:dyDescent="0.2">
      <c r="A9129" s="54"/>
    </row>
    <row r="9130" spans="1:1" x14ac:dyDescent="0.2">
      <c r="A9130" s="54"/>
    </row>
    <row r="9131" spans="1:1" x14ac:dyDescent="0.2">
      <c r="A9131" s="54"/>
    </row>
    <row r="9132" spans="1:1" x14ac:dyDescent="0.2">
      <c r="A9132" s="54"/>
    </row>
    <row r="9133" spans="1:1" x14ac:dyDescent="0.2">
      <c r="A9133" s="54"/>
    </row>
    <row r="9134" spans="1:1" x14ac:dyDescent="0.2">
      <c r="A9134" s="54"/>
    </row>
    <row r="9135" spans="1:1" x14ac:dyDescent="0.2">
      <c r="A9135" s="52"/>
    </row>
    <row r="9136" spans="1:1" x14ac:dyDescent="0.2">
      <c r="A9136" s="52"/>
    </row>
    <row r="9137" spans="1:1" x14ac:dyDescent="0.2">
      <c r="A9137" s="52"/>
    </row>
    <row r="9138" spans="1:1" x14ac:dyDescent="0.2">
      <c r="A9138" s="52"/>
    </row>
    <row r="9139" spans="1:1" x14ac:dyDescent="0.2">
      <c r="A9139" s="52"/>
    </row>
    <row r="9140" spans="1:1" x14ac:dyDescent="0.2">
      <c r="A9140" s="52"/>
    </row>
    <row r="9141" spans="1:1" x14ac:dyDescent="0.2">
      <c r="A9141" s="52"/>
    </row>
    <row r="9142" spans="1:1" x14ac:dyDescent="0.2">
      <c r="A9142" s="52"/>
    </row>
    <row r="9143" spans="1:1" x14ac:dyDescent="0.2">
      <c r="A9143" s="52"/>
    </row>
    <row r="9144" spans="1:1" x14ac:dyDescent="0.2">
      <c r="A9144" s="52"/>
    </row>
    <row r="9145" spans="1:1" x14ac:dyDescent="0.2">
      <c r="A9145" s="52"/>
    </row>
    <row r="9146" spans="1:1" x14ac:dyDescent="0.2">
      <c r="A9146" s="52"/>
    </row>
    <row r="9147" spans="1:1" x14ac:dyDescent="0.2">
      <c r="A9147" s="52"/>
    </row>
    <row r="9148" spans="1:1" x14ac:dyDescent="0.2">
      <c r="A9148" s="52"/>
    </row>
    <row r="9149" spans="1:1" x14ac:dyDescent="0.2">
      <c r="A9149" s="52"/>
    </row>
    <row r="9150" spans="1:1" x14ac:dyDescent="0.2">
      <c r="A9150" s="52"/>
    </row>
    <row r="9151" spans="1:1" x14ac:dyDescent="0.2">
      <c r="A9151" s="52"/>
    </row>
    <row r="9152" spans="1:1" x14ac:dyDescent="0.2">
      <c r="A9152" s="52"/>
    </row>
    <row r="9153" spans="1:1" x14ac:dyDescent="0.2">
      <c r="A9153" s="52"/>
    </row>
    <row r="9154" spans="1:1" x14ac:dyDescent="0.2">
      <c r="A9154" s="52"/>
    </row>
    <row r="9155" spans="1:1" x14ac:dyDescent="0.2">
      <c r="A9155" s="52"/>
    </row>
    <row r="9156" spans="1:1" x14ac:dyDescent="0.2">
      <c r="A9156" s="52"/>
    </row>
    <row r="9157" spans="1:1" x14ac:dyDescent="0.2">
      <c r="A9157" s="52"/>
    </row>
    <row r="9158" spans="1:1" x14ac:dyDescent="0.2">
      <c r="A9158" s="52"/>
    </row>
    <row r="9159" spans="1:1" x14ac:dyDescent="0.2">
      <c r="A9159" s="52"/>
    </row>
    <row r="9160" spans="1:1" x14ac:dyDescent="0.2">
      <c r="A9160" s="52"/>
    </row>
    <row r="9161" spans="1:1" x14ac:dyDescent="0.2">
      <c r="A9161" s="52"/>
    </row>
    <row r="9162" spans="1:1" x14ac:dyDescent="0.2">
      <c r="A9162" s="53"/>
    </row>
    <row r="9163" spans="1:1" x14ac:dyDescent="0.2">
      <c r="A9163" s="52"/>
    </row>
    <row r="9164" spans="1:1" x14ac:dyDescent="0.2">
      <c r="A9164" s="52"/>
    </row>
    <row r="9165" spans="1:1" x14ac:dyDescent="0.2">
      <c r="A9165" s="52"/>
    </row>
    <row r="9166" spans="1:1" x14ac:dyDescent="0.2">
      <c r="A9166" s="52"/>
    </row>
    <row r="9167" spans="1:1" x14ac:dyDescent="0.2">
      <c r="A9167" s="52"/>
    </row>
    <row r="9168" spans="1:1" x14ac:dyDescent="0.2">
      <c r="A9168" s="52"/>
    </row>
    <row r="9169" spans="1:1" x14ac:dyDescent="0.2">
      <c r="A9169" s="52"/>
    </row>
    <row r="9170" spans="1:1" x14ac:dyDescent="0.2">
      <c r="A9170" s="52"/>
    </row>
    <row r="9171" spans="1:1" x14ac:dyDescent="0.2">
      <c r="A9171" s="52"/>
    </row>
    <row r="9172" spans="1:1" x14ac:dyDescent="0.2">
      <c r="A9172" s="52"/>
    </row>
    <row r="9173" spans="1:1" x14ac:dyDescent="0.2">
      <c r="A9173" s="52"/>
    </row>
    <row r="9174" spans="1:1" x14ac:dyDescent="0.2">
      <c r="A9174" s="52"/>
    </row>
    <row r="9175" spans="1:1" x14ac:dyDescent="0.2">
      <c r="A9175" s="52"/>
    </row>
    <row r="9176" spans="1:1" x14ac:dyDescent="0.2">
      <c r="A9176" s="52"/>
    </row>
    <row r="9177" spans="1:1" x14ac:dyDescent="0.2">
      <c r="A9177" s="52"/>
    </row>
    <row r="9178" spans="1:1" x14ac:dyDescent="0.2">
      <c r="A9178" s="52"/>
    </row>
    <row r="9179" spans="1:1" x14ac:dyDescent="0.2">
      <c r="A9179" s="52"/>
    </row>
    <row r="9180" spans="1:1" x14ac:dyDescent="0.2">
      <c r="A9180" s="52"/>
    </row>
    <row r="9181" spans="1:1" x14ac:dyDescent="0.2">
      <c r="A9181" s="52"/>
    </row>
    <row r="9182" spans="1:1" x14ac:dyDescent="0.2">
      <c r="A9182" s="52"/>
    </row>
    <row r="9183" spans="1:1" x14ac:dyDescent="0.2">
      <c r="A9183" s="53"/>
    </row>
    <row r="9184" spans="1:1" x14ac:dyDescent="0.2">
      <c r="A9184" s="52"/>
    </row>
    <row r="9185" spans="1:1" x14ac:dyDescent="0.2">
      <c r="A9185" s="52"/>
    </row>
    <row r="9186" spans="1:1" x14ac:dyDescent="0.2">
      <c r="A9186" s="52"/>
    </row>
    <row r="9187" spans="1:1" x14ac:dyDescent="0.2">
      <c r="A9187" s="52"/>
    </row>
    <row r="9188" spans="1:1" x14ac:dyDescent="0.2">
      <c r="A9188" s="52"/>
    </row>
    <row r="9189" spans="1:1" x14ac:dyDescent="0.2">
      <c r="A9189" s="52"/>
    </row>
    <row r="9190" spans="1:1" x14ac:dyDescent="0.2">
      <c r="A9190" s="52"/>
    </row>
    <row r="9191" spans="1:1" x14ac:dyDescent="0.2">
      <c r="A9191" s="52"/>
    </row>
    <row r="9192" spans="1:1" x14ac:dyDescent="0.2">
      <c r="A9192" s="52"/>
    </row>
    <row r="9193" spans="1:1" x14ac:dyDescent="0.2">
      <c r="A9193" s="52"/>
    </row>
    <row r="9194" spans="1:1" x14ac:dyDescent="0.2">
      <c r="A9194" s="52"/>
    </row>
    <row r="9195" spans="1:1" x14ac:dyDescent="0.2">
      <c r="A9195" s="52"/>
    </row>
    <row r="9196" spans="1:1" x14ac:dyDescent="0.2">
      <c r="A9196" s="52"/>
    </row>
    <row r="9197" spans="1:1" x14ac:dyDescent="0.2">
      <c r="A9197" s="52"/>
    </row>
    <row r="9198" spans="1:1" x14ac:dyDescent="0.2">
      <c r="A9198" s="52"/>
    </row>
    <row r="9199" spans="1:1" x14ac:dyDescent="0.2">
      <c r="A9199" s="52"/>
    </row>
    <row r="9200" spans="1:1" x14ac:dyDescent="0.2">
      <c r="A9200" s="52"/>
    </row>
    <row r="9201" spans="1:1" x14ac:dyDescent="0.2">
      <c r="A9201" s="52"/>
    </row>
    <row r="9202" spans="1:1" x14ac:dyDescent="0.2">
      <c r="A9202" s="52"/>
    </row>
    <row r="9203" spans="1:1" x14ac:dyDescent="0.2">
      <c r="A9203" s="52"/>
    </row>
    <row r="9204" spans="1:1" x14ac:dyDescent="0.2">
      <c r="A9204" s="52"/>
    </row>
    <row r="9205" spans="1:1" x14ac:dyDescent="0.2">
      <c r="A9205" s="52"/>
    </row>
    <row r="9206" spans="1:1" x14ac:dyDescent="0.2">
      <c r="A9206" s="52"/>
    </row>
    <row r="9207" spans="1:1" x14ac:dyDescent="0.2">
      <c r="A9207" s="52"/>
    </row>
    <row r="9208" spans="1:1" x14ac:dyDescent="0.2">
      <c r="A9208" s="52"/>
    </row>
    <row r="9209" spans="1:1" x14ac:dyDescent="0.2">
      <c r="A9209" s="52"/>
    </row>
    <row r="9210" spans="1:1" x14ac:dyDescent="0.2">
      <c r="A9210" s="52"/>
    </row>
    <row r="9211" spans="1:1" x14ac:dyDescent="0.2">
      <c r="A9211" s="52"/>
    </row>
    <row r="9212" spans="1:1" x14ac:dyDescent="0.2">
      <c r="A9212" s="52"/>
    </row>
    <row r="9213" spans="1:1" x14ac:dyDescent="0.2">
      <c r="A9213" s="52"/>
    </row>
    <row r="9214" spans="1:1" x14ac:dyDescent="0.2">
      <c r="A9214" s="52"/>
    </row>
    <row r="9215" spans="1:1" x14ac:dyDescent="0.2">
      <c r="A9215" s="53"/>
    </row>
    <row r="9216" spans="1:1" x14ac:dyDescent="0.2">
      <c r="A9216" s="52"/>
    </row>
    <row r="9217" spans="1:1" x14ac:dyDescent="0.2">
      <c r="A9217" s="52"/>
    </row>
    <row r="9218" spans="1:1" x14ac:dyDescent="0.2">
      <c r="A9218" s="52"/>
    </row>
    <row r="9219" spans="1:1" x14ac:dyDescent="0.2">
      <c r="A9219" s="52"/>
    </row>
    <row r="9220" spans="1:1" x14ac:dyDescent="0.2">
      <c r="A9220" s="52"/>
    </row>
    <row r="9221" spans="1:1" x14ac:dyDescent="0.2">
      <c r="A9221" s="52"/>
    </row>
    <row r="9222" spans="1:1" x14ac:dyDescent="0.2">
      <c r="A9222" s="52"/>
    </row>
    <row r="9223" spans="1:1" x14ac:dyDescent="0.2">
      <c r="A9223" s="52"/>
    </row>
    <row r="9224" spans="1:1" x14ac:dyDescent="0.2">
      <c r="A9224" s="52"/>
    </row>
    <row r="9225" spans="1:1" x14ac:dyDescent="0.2">
      <c r="A9225" s="52"/>
    </row>
    <row r="9226" spans="1:1" x14ac:dyDescent="0.2">
      <c r="A9226" s="52"/>
    </row>
    <row r="9227" spans="1:1" x14ac:dyDescent="0.2">
      <c r="A9227" s="52"/>
    </row>
    <row r="9228" spans="1:1" x14ac:dyDescent="0.2">
      <c r="A9228" s="52"/>
    </row>
    <row r="9229" spans="1:1" x14ac:dyDescent="0.2">
      <c r="A9229" s="52"/>
    </row>
    <row r="9230" spans="1:1" x14ac:dyDescent="0.2">
      <c r="A9230" s="53"/>
    </row>
    <row r="9231" spans="1:1" x14ac:dyDescent="0.2">
      <c r="A9231" s="52"/>
    </row>
    <row r="9232" spans="1:1" x14ac:dyDescent="0.2">
      <c r="A9232" s="52"/>
    </row>
    <row r="9233" spans="1:1" x14ac:dyDescent="0.2">
      <c r="A9233" s="52"/>
    </row>
    <row r="9234" spans="1:1" x14ac:dyDescent="0.2">
      <c r="A9234" s="52"/>
    </row>
    <row r="9235" spans="1:1" x14ac:dyDescent="0.2">
      <c r="A9235" s="52"/>
    </row>
    <row r="9236" spans="1:1" x14ac:dyDescent="0.2">
      <c r="A9236" s="52"/>
    </row>
    <row r="9237" spans="1:1" x14ac:dyDescent="0.2">
      <c r="A9237" s="52"/>
    </row>
    <row r="9238" spans="1:1" x14ac:dyDescent="0.2">
      <c r="A9238" s="52"/>
    </row>
    <row r="9239" spans="1:1" x14ac:dyDescent="0.2">
      <c r="A9239" s="52"/>
    </row>
    <row r="9240" spans="1:1" x14ac:dyDescent="0.2">
      <c r="A9240" s="52"/>
    </row>
    <row r="9241" spans="1:1" x14ac:dyDescent="0.2">
      <c r="A9241" s="52"/>
    </row>
    <row r="9242" spans="1:1" x14ac:dyDescent="0.2">
      <c r="A9242" s="52"/>
    </row>
    <row r="9243" spans="1:1" x14ac:dyDescent="0.2">
      <c r="A9243" s="52"/>
    </row>
    <row r="9244" spans="1:1" x14ac:dyDescent="0.2">
      <c r="A9244" s="52"/>
    </row>
    <row r="9245" spans="1:1" x14ac:dyDescent="0.2">
      <c r="A9245" s="52"/>
    </row>
    <row r="9246" spans="1:1" x14ac:dyDescent="0.2">
      <c r="A9246" s="52"/>
    </row>
    <row r="9247" spans="1:1" x14ac:dyDescent="0.2">
      <c r="A9247" s="52"/>
    </row>
    <row r="9248" spans="1:1" x14ac:dyDescent="0.2">
      <c r="A9248" s="52"/>
    </row>
    <row r="9249" spans="1:1" x14ac:dyDescent="0.2">
      <c r="A9249" s="52"/>
    </row>
    <row r="9250" spans="1:1" x14ac:dyDescent="0.2">
      <c r="A9250" s="52"/>
    </row>
    <row r="9251" spans="1:1" x14ac:dyDescent="0.2">
      <c r="A9251" s="52"/>
    </row>
    <row r="9252" spans="1:1" x14ac:dyDescent="0.2">
      <c r="A9252" s="52"/>
    </row>
    <row r="9253" spans="1:1" x14ac:dyDescent="0.2">
      <c r="A9253" s="52"/>
    </row>
    <row r="9254" spans="1:1" x14ac:dyDescent="0.2">
      <c r="A9254" s="52"/>
    </row>
    <row r="9255" spans="1:1" x14ac:dyDescent="0.2">
      <c r="A9255" s="52"/>
    </row>
    <row r="9256" spans="1:1" x14ac:dyDescent="0.2">
      <c r="A9256" s="53"/>
    </row>
    <row r="9257" spans="1:1" x14ac:dyDescent="0.2">
      <c r="A9257" s="52"/>
    </row>
    <row r="9258" spans="1:1" x14ac:dyDescent="0.2">
      <c r="A9258" s="52"/>
    </row>
    <row r="9259" spans="1:1" x14ac:dyDescent="0.2">
      <c r="A9259" s="52"/>
    </row>
    <row r="9260" spans="1:1" x14ac:dyDescent="0.2">
      <c r="A9260" s="52"/>
    </row>
    <row r="9261" spans="1:1" x14ac:dyDescent="0.2">
      <c r="A9261" s="52"/>
    </row>
    <row r="9262" spans="1:1" x14ac:dyDescent="0.2">
      <c r="A9262" s="52"/>
    </row>
    <row r="9263" spans="1:1" x14ac:dyDescent="0.2">
      <c r="A9263" s="52"/>
    </row>
    <row r="9264" spans="1:1" x14ac:dyDescent="0.2">
      <c r="A9264" s="52"/>
    </row>
    <row r="9265" spans="1:1" x14ac:dyDescent="0.2">
      <c r="A9265" s="52"/>
    </row>
    <row r="9266" spans="1:1" x14ac:dyDescent="0.2">
      <c r="A9266" s="52"/>
    </row>
    <row r="9267" spans="1:1" x14ac:dyDescent="0.2">
      <c r="A9267" s="52"/>
    </row>
    <row r="9268" spans="1:1" x14ac:dyDescent="0.2">
      <c r="A9268" s="52"/>
    </row>
    <row r="9269" spans="1:1" x14ac:dyDescent="0.2">
      <c r="A9269" s="52"/>
    </row>
    <row r="9270" spans="1:1" x14ac:dyDescent="0.2">
      <c r="A9270" s="52"/>
    </row>
    <row r="9271" spans="1:1" x14ac:dyDescent="0.2">
      <c r="A9271" s="52"/>
    </row>
    <row r="9272" spans="1:1" x14ac:dyDescent="0.2">
      <c r="A9272" s="52"/>
    </row>
    <row r="9273" spans="1:1" x14ac:dyDescent="0.2">
      <c r="A9273" s="52"/>
    </row>
    <row r="9274" spans="1:1" x14ac:dyDescent="0.2">
      <c r="A9274" s="52"/>
    </row>
    <row r="9275" spans="1:1" x14ac:dyDescent="0.2">
      <c r="A9275" s="52"/>
    </row>
    <row r="9276" spans="1:1" x14ac:dyDescent="0.2">
      <c r="A9276" s="52"/>
    </row>
    <row r="9277" spans="1:1" x14ac:dyDescent="0.2">
      <c r="A9277" s="52"/>
    </row>
    <row r="9278" spans="1:1" x14ac:dyDescent="0.2">
      <c r="A9278" s="52"/>
    </row>
    <row r="9279" spans="1:1" x14ac:dyDescent="0.2">
      <c r="A9279" s="52"/>
    </row>
    <row r="9280" spans="1:1" x14ac:dyDescent="0.2">
      <c r="A9280" s="52"/>
    </row>
    <row r="9281" spans="1:1" x14ac:dyDescent="0.2">
      <c r="A9281" s="52"/>
    </row>
    <row r="9282" spans="1:1" x14ac:dyDescent="0.2">
      <c r="A9282" s="52"/>
    </row>
    <row r="9283" spans="1:1" x14ac:dyDescent="0.2">
      <c r="A9283" s="52"/>
    </row>
    <row r="9284" spans="1:1" x14ac:dyDescent="0.2">
      <c r="A9284" s="52"/>
    </row>
    <row r="9285" spans="1:1" x14ac:dyDescent="0.2">
      <c r="A9285" s="52"/>
    </row>
    <row r="9286" spans="1:1" x14ac:dyDescent="0.2">
      <c r="A9286" s="52"/>
    </row>
    <row r="9287" spans="1:1" x14ac:dyDescent="0.2">
      <c r="A9287" s="52"/>
    </row>
    <row r="9288" spans="1:1" x14ac:dyDescent="0.2">
      <c r="A9288" s="52"/>
    </row>
    <row r="9289" spans="1:1" x14ac:dyDescent="0.2">
      <c r="A9289" s="52"/>
    </row>
    <row r="9290" spans="1:1" x14ac:dyDescent="0.2">
      <c r="A9290" s="52"/>
    </row>
    <row r="9291" spans="1:1" x14ac:dyDescent="0.2">
      <c r="A9291" s="52"/>
    </row>
    <row r="9292" spans="1:1" x14ac:dyDescent="0.2">
      <c r="A9292" s="52"/>
    </row>
    <row r="9293" spans="1:1" x14ac:dyDescent="0.2">
      <c r="A9293" s="52"/>
    </row>
    <row r="9294" spans="1:1" x14ac:dyDescent="0.2">
      <c r="A9294" s="52"/>
    </row>
    <row r="9295" spans="1:1" x14ac:dyDescent="0.2">
      <c r="A9295" s="52"/>
    </row>
    <row r="9296" spans="1:1" x14ac:dyDescent="0.2">
      <c r="A9296" s="52"/>
    </row>
    <row r="9297" spans="1:1" x14ac:dyDescent="0.2">
      <c r="A9297" s="52"/>
    </row>
    <row r="9298" spans="1:1" x14ac:dyDescent="0.2">
      <c r="A9298" s="52"/>
    </row>
    <row r="9299" spans="1:1" x14ac:dyDescent="0.2">
      <c r="A9299" s="52"/>
    </row>
    <row r="9300" spans="1:1" x14ac:dyDescent="0.2">
      <c r="A9300" s="52"/>
    </row>
    <row r="9301" spans="1:1" x14ac:dyDescent="0.2">
      <c r="A9301" s="52"/>
    </row>
    <row r="9302" spans="1:1" x14ac:dyDescent="0.2">
      <c r="A9302" s="52"/>
    </row>
    <row r="9303" spans="1:1" x14ac:dyDescent="0.2">
      <c r="A9303" s="52"/>
    </row>
    <row r="9304" spans="1:1" x14ac:dyDescent="0.2">
      <c r="A9304" s="52"/>
    </row>
    <row r="9305" spans="1:1" x14ac:dyDescent="0.2">
      <c r="A9305" s="52"/>
    </row>
    <row r="9306" spans="1:1" x14ac:dyDescent="0.2">
      <c r="A9306" s="52"/>
    </row>
    <row r="9307" spans="1:1" x14ac:dyDescent="0.2">
      <c r="A9307" s="52"/>
    </row>
    <row r="9308" spans="1:1" x14ac:dyDescent="0.2">
      <c r="A9308" s="52"/>
    </row>
    <row r="9309" spans="1:1" x14ac:dyDescent="0.2">
      <c r="A9309" s="52"/>
    </row>
    <row r="9310" spans="1:1" x14ac:dyDescent="0.2">
      <c r="A9310" s="52"/>
    </row>
    <row r="9311" spans="1:1" x14ac:dyDescent="0.2">
      <c r="A9311" s="52"/>
    </row>
    <row r="9312" spans="1:1" x14ac:dyDescent="0.2">
      <c r="A9312" s="52"/>
    </row>
    <row r="9313" spans="1:1" x14ac:dyDescent="0.2">
      <c r="A9313" s="52"/>
    </row>
    <row r="9314" spans="1:1" x14ac:dyDescent="0.2">
      <c r="A9314" s="52"/>
    </row>
    <row r="9315" spans="1:1" x14ac:dyDescent="0.2">
      <c r="A9315" s="52"/>
    </row>
    <row r="9316" spans="1:1" x14ac:dyDescent="0.2">
      <c r="A9316" s="52"/>
    </row>
    <row r="9317" spans="1:1" x14ac:dyDescent="0.2">
      <c r="A9317" s="52"/>
    </row>
    <row r="9318" spans="1:1" x14ac:dyDescent="0.2">
      <c r="A9318" s="52"/>
    </row>
    <row r="9319" spans="1:1" x14ac:dyDescent="0.2">
      <c r="A9319" s="52"/>
    </row>
    <row r="9320" spans="1:1" x14ac:dyDescent="0.2">
      <c r="A9320" s="52"/>
    </row>
    <row r="9321" spans="1:1" x14ac:dyDescent="0.2">
      <c r="A9321" s="53"/>
    </row>
    <row r="9322" spans="1:1" x14ac:dyDescent="0.2">
      <c r="A9322" s="52"/>
    </row>
    <row r="9323" spans="1:1" x14ac:dyDescent="0.2">
      <c r="A9323" s="52"/>
    </row>
    <row r="9324" spans="1:1" x14ac:dyDescent="0.2">
      <c r="A9324" s="52"/>
    </row>
    <row r="9325" spans="1:1" x14ac:dyDescent="0.2">
      <c r="A9325" s="52"/>
    </row>
    <row r="9326" spans="1:1" x14ac:dyDescent="0.2">
      <c r="A9326" s="52"/>
    </row>
    <row r="9327" spans="1:1" x14ac:dyDescent="0.2">
      <c r="A9327" s="52"/>
    </row>
    <row r="9328" spans="1:1" x14ac:dyDescent="0.2">
      <c r="A9328" s="52"/>
    </row>
    <row r="9329" spans="1:1" x14ac:dyDescent="0.2">
      <c r="A9329" s="52"/>
    </row>
    <row r="9330" spans="1:1" x14ac:dyDescent="0.2">
      <c r="A9330" s="52"/>
    </row>
    <row r="9331" spans="1:1" x14ac:dyDescent="0.2">
      <c r="A9331" s="52"/>
    </row>
    <row r="9332" spans="1:1" x14ac:dyDescent="0.2">
      <c r="A9332" s="52"/>
    </row>
    <row r="9333" spans="1:1" x14ac:dyDescent="0.2">
      <c r="A9333" s="52"/>
    </row>
    <row r="9334" spans="1:1" x14ac:dyDescent="0.2">
      <c r="A9334" s="52"/>
    </row>
    <row r="9335" spans="1:1" x14ac:dyDescent="0.2">
      <c r="A9335" s="52"/>
    </row>
    <row r="9336" spans="1:1" x14ac:dyDescent="0.2">
      <c r="A9336" s="52"/>
    </row>
    <row r="9337" spans="1:1" x14ac:dyDescent="0.2">
      <c r="A9337" s="52"/>
    </row>
    <row r="9338" spans="1:1" x14ac:dyDescent="0.2">
      <c r="A9338" s="52"/>
    </row>
    <row r="9339" spans="1:1" x14ac:dyDescent="0.2">
      <c r="A9339" s="52"/>
    </row>
    <row r="9340" spans="1:1" x14ac:dyDescent="0.2">
      <c r="A9340" s="52"/>
    </row>
    <row r="9341" spans="1:1" x14ac:dyDescent="0.2">
      <c r="A9341" s="52"/>
    </row>
    <row r="9342" spans="1:1" x14ac:dyDescent="0.2">
      <c r="A9342" s="52"/>
    </row>
    <row r="9343" spans="1:1" x14ac:dyDescent="0.2">
      <c r="A9343" s="52"/>
    </row>
    <row r="9344" spans="1:1" x14ac:dyDescent="0.2">
      <c r="A9344" s="52"/>
    </row>
    <row r="9345" spans="1:1" x14ac:dyDescent="0.2">
      <c r="A9345" s="52"/>
    </row>
    <row r="9346" spans="1:1" x14ac:dyDescent="0.2">
      <c r="A9346" s="53"/>
    </row>
    <row r="9347" spans="1:1" x14ac:dyDescent="0.2">
      <c r="A9347" s="52"/>
    </row>
    <row r="9348" spans="1:1" x14ac:dyDescent="0.2">
      <c r="A9348" s="52"/>
    </row>
    <row r="9349" spans="1:1" x14ac:dyDescent="0.2">
      <c r="A9349" s="52"/>
    </row>
    <row r="9350" spans="1:1" x14ac:dyDescent="0.2">
      <c r="A9350" s="52"/>
    </row>
    <row r="9351" spans="1:1" x14ac:dyDescent="0.2">
      <c r="A9351" s="53"/>
    </row>
    <row r="9352" spans="1:1" x14ac:dyDescent="0.2">
      <c r="A9352" s="52"/>
    </row>
    <row r="9353" spans="1:1" x14ac:dyDescent="0.2">
      <c r="A9353" s="52"/>
    </row>
    <row r="9354" spans="1:1" x14ac:dyDescent="0.2">
      <c r="A9354" s="52"/>
    </row>
    <row r="9355" spans="1:1" x14ac:dyDescent="0.2">
      <c r="A9355" s="52"/>
    </row>
    <row r="9356" spans="1:1" x14ac:dyDescent="0.2">
      <c r="A9356" s="52"/>
    </row>
    <row r="9357" spans="1:1" x14ac:dyDescent="0.2">
      <c r="A9357" s="52"/>
    </row>
    <row r="9358" spans="1:1" x14ac:dyDescent="0.2">
      <c r="A9358" s="52"/>
    </row>
    <row r="9359" spans="1:1" x14ac:dyDescent="0.2">
      <c r="A9359" s="52"/>
    </row>
    <row r="9360" spans="1:1" x14ac:dyDescent="0.2">
      <c r="A9360" s="52"/>
    </row>
    <row r="9361" spans="1:1" x14ac:dyDescent="0.2">
      <c r="A9361" s="52"/>
    </row>
    <row r="9362" spans="1:1" x14ac:dyDescent="0.2">
      <c r="A9362" s="52"/>
    </row>
    <row r="9363" spans="1:1" x14ac:dyDescent="0.2">
      <c r="A9363" s="52"/>
    </row>
    <row r="9364" spans="1:1" x14ac:dyDescent="0.2">
      <c r="A9364" s="52"/>
    </row>
    <row r="9365" spans="1:1" x14ac:dyDescent="0.2">
      <c r="A9365" s="52"/>
    </row>
    <row r="9366" spans="1:1" x14ac:dyDescent="0.2">
      <c r="A9366" s="53"/>
    </row>
    <row r="9367" spans="1:1" x14ac:dyDescent="0.2">
      <c r="A9367" s="52"/>
    </row>
    <row r="9368" spans="1:1" x14ac:dyDescent="0.2">
      <c r="A9368" s="52"/>
    </row>
    <row r="9369" spans="1:1" x14ac:dyDescent="0.2">
      <c r="A9369" s="52"/>
    </row>
    <row r="9370" spans="1:1" x14ac:dyDescent="0.2">
      <c r="A9370" s="52"/>
    </row>
    <row r="9371" spans="1:1" x14ac:dyDescent="0.2">
      <c r="A9371" s="52"/>
    </row>
    <row r="9372" spans="1:1" x14ac:dyDescent="0.2">
      <c r="A9372" s="52"/>
    </row>
    <row r="9373" spans="1:1" x14ac:dyDescent="0.2">
      <c r="A9373" s="52"/>
    </row>
    <row r="9374" spans="1:1" x14ac:dyDescent="0.2">
      <c r="A9374" s="53"/>
    </row>
    <row r="9375" spans="1:1" x14ac:dyDescent="0.2">
      <c r="A9375" s="52"/>
    </row>
    <row r="9376" spans="1:1" x14ac:dyDescent="0.2">
      <c r="A9376" s="52"/>
    </row>
    <row r="9377" spans="1:1" x14ac:dyDescent="0.2">
      <c r="A9377" s="52"/>
    </row>
    <row r="9378" spans="1:1" x14ac:dyDescent="0.2">
      <c r="A9378" s="52"/>
    </row>
    <row r="9379" spans="1:1" x14ac:dyDescent="0.2">
      <c r="A9379" s="52"/>
    </row>
    <row r="9380" spans="1:1" x14ac:dyDescent="0.2">
      <c r="A9380" s="52"/>
    </row>
    <row r="9381" spans="1:1" x14ac:dyDescent="0.2">
      <c r="A9381" s="52"/>
    </row>
    <row r="9382" spans="1:1" x14ac:dyDescent="0.2">
      <c r="A9382" s="52"/>
    </row>
    <row r="9383" spans="1:1" x14ac:dyDescent="0.2">
      <c r="A9383" s="52"/>
    </row>
    <row r="9384" spans="1:1" x14ac:dyDescent="0.2">
      <c r="A9384" s="52"/>
    </row>
    <row r="9385" spans="1:1" x14ac:dyDescent="0.2">
      <c r="A9385" s="52"/>
    </row>
    <row r="9386" spans="1:1" x14ac:dyDescent="0.2">
      <c r="A9386" s="52"/>
    </row>
    <row r="9387" spans="1:1" x14ac:dyDescent="0.2">
      <c r="A9387" s="52"/>
    </row>
    <row r="9388" spans="1:1" x14ac:dyDescent="0.2">
      <c r="A9388" s="52"/>
    </row>
    <row r="9389" spans="1:1" x14ac:dyDescent="0.2">
      <c r="A9389" s="52"/>
    </row>
    <row r="9390" spans="1:1" x14ac:dyDescent="0.2">
      <c r="A9390" s="52"/>
    </row>
    <row r="9391" spans="1:1" x14ac:dyDescent="0.2">
      <c r="A9391" s="52"/>
    </row>
    <row r="9392" spans="1:1" x14ac:dyDescent="0.2">
      <c r="A9392" s="52"/>
    </row>
    <row r="9393" spans="1:1" x14ac:dyDescent="0.2">
      <c r="A9393" s="52"/>
    </row>
    <row r="9394" spans="1:1" x14ac:dyDescent="0.2">
      <c r="A9394" s="52"/>
    </row>
    <row r="9395" spans="1:1" x14ac:dyDescent="0.2">
      <c r="A9395" s="52"/>
    </row>
    <row r="9396" spans="1:1" x14ac:dyDescent="0.2">
      <c r="A9396" s="52"/>
    </row>
    <row r="9397" spans="1:1" x14ac:dyDescent="0.2">
      <c r="A9397" s="52"/>
    </row>
    <row r="9398" spans="1:1" x14ac:dyDescent="0.2">
      <c r="A9398" s="52"/>
    </row>
    <row r="9399" spans="1:1" x14ac:dyDescent="0.2">
      <c r="A9399" s="52"/>
    </row>
    <row r="9400" spans="1:1" x14ac:dyDescent="0.2">
      <c r="A9400" s="52"/>
    </row>
    <row r="9401" spans="1:1" x14ac:dyDescent="0.2">
      <c r="A9401" s="53"/>
    </row>
    <row r="9402" spans="1:1" x14ac:dyDescent="0.2">
      <c r="A9402" s="52"/>
    </row>
    <row r="9403" spans="1:1" x14ac:dyDescent="0.2">
      <c r="A9403" s="52"/>
    </row>
    <row r="9404" spans="1:1" x14ac:dyDescent="0.2">
      <c r="A9404" s="52"/>
    </row>
    <row r="9405" spans="1:1" x14ac:dyDescent="0.2">
      <c r="A9405" s="52"/>
    </row>
    <row r="9406" spans="1:1" x14ac:dyDescent="0.2">
      <c r="A9406" s="53"/>
    </row>
    <row r="9407" spans="1:1" x14ac:dyDescent="0.2">
      <c r="A9407" s="52"/>
    </row>
    <row r="9408" spans="1:1" x14ac:dyDescent="0.2">
      <c r="A9408" s="52"/>
    </row>
    <row r="9409" spans="1:1" x14ac:dyDescent="0.2">
      <c r="A9409" s="52"/>
    </row>
    <row r="9410" spans="1:1" x14ac:dyDescent="0.2">
      <c r="A9410" s="52"/>
    </row>
    <row r="9411" spans="1:1" x14ac:dyDescent="0.2">
      <c r="A9411" s="53"/>
    </row>
    <row r="9412" spans="1:1" x14ac:dyDescent="0.2">
      <c r="A9412" s="52"/>
    </row>
    <row r="9413" spans="1:1" x14ac:dyDescent="0.2">
      <c r="A9413" s="52"/>
    </row>
    <row r="9414" spans="1:1" x14ac:dyDescent="0.2">
      <c r="A9414" s="52"/>
    </row>
    <row r="9415" spans="1:1" x14ac:dyDescent="0.2">
      <c r="A9415" s="52"/>
    </row>
    <row r="9416" spans="1:1" x14ac:dyDescent="0.2">
      <c r="A9416" s="52"/>
    </row>
    <row r="9417" spans="1:1" x14ac:dyDescent="0.2">
      <c r="A9417" s="52"/>
    </row>
    <row r="9418" spans="1:1" x14ac:dyDescent="0.2">
      <c r="A9418" s="53"/>
    </row>
    <row r="9419" spans="1:1" x14ac:dyDescent="0.2">
      <c r="A9419" s="52"/>
    </row>
    <row r="9420" spans="1:1" x14ac:dyDescent="0.2">
      <c r="A9420" s="52"/>
    </row>
    <row r="9421" spans="1:1" x14ac:dyDescent="0.2">
      <c r="A9421" s="52"/>
    </row>
    <row r="9422" spans="1:1" x14ac:dyDescent="0.2">
      <c r="A9422" s="52"/>
    </row>
    <row r="9423" spans="1:1" x14ac:dyDescent="0.2">
      <c r="A9423" s="52"/>
    </row>
    <row r="9424" spans="1:1" x14ac:dyDescent="0.2">
      <c r="A9424" s="52"/>
    </row>
    <row r="9425" spans="1:1" x14ac:dyDescent="0.2">
      <c r="A9425" s="52"/>
    </row>
    <row r="9426" spans="1:1" x14ac:dyDescent="0.2">
      <c r="A9426" s="53"/>
    </row>
    <row r="9427" spans="1:1" x14ac:dyDescent="0.2">
      <c r="A9427" s="52"/>
    </row>
    <row r="9428" spans="1:1" x14ac:dyDescent="0.2">
      <c r="A9428" s="52"/>
    </row>
    <row r="9429" spans="1:1" x14ac:dyDescent="0.2">
      <c r="A9429" s="52"/>
    </row>
    <row r="9430" spans="1:1" x14ac:dyDescent="0.2">
      <c r="A9430" s="52"/>
    </row>
    <row r="9431" spans="1:1" x14ac:dyDescent="0.2">
      <c r="A9431" s="52"/>
    </row>
    <row r="9432" spans="1:1" x14ac:dyDescent="0.2">
      <c r="A9432" s="52"/>
    </row>
    <row r="9433" spans="1:1" x14ac:dyDescent="0.2">
      <c r="A9433" s="52"/>
    </row>
    <row r="9434" spans="1:1" x14ac:dyDescent="0.2">
      <c r="A9434" s="52"/>
    </row>
    <row r="9435" spans="1:1" x14ac:dyDescent="0.2">
      <c r="A9435" s="52"/>
    </row>
    <row r="9436" spans="1:1" x14ac:dyDescent="0.2">
      <c r="A9436" s="52"/>
    </row>
    <row r="9437" spans="1:1" x14ac:dyDescent="0.2">
      <c r="A9437" s="52"/>
    </row>
    <row r="9438" spans="1:1" x14ac:dyDescent="0.2">
      <c r="A9438" s="52"/>
    </row>
    <row r="9439" spans="1:1" x14ac:dyDescent="0.2">
      <c r="A9439" s="52"/>
    </row>
    <row r="9440" spans="1:1" x14ac:dyDescent="0.2">
      <c r="A9440" s="52"/>
    </row>
    <row r="9441" spans="1:1" x14ac:dyDescent="0.2">
      <c r="A9441" s="52"/>
    </row>
    <row r="9442" spans="1:1" x14ac:dyDescent="0.2">
      <c r="A9442" s="52"/>
    </row>
    <row r="9443" spans="1:1" x14ac:dyDescent="0.2">
      <c r="A9443" s="52"/>
    </row>
    <row r="9444" spans="1:1" x14ac:dyDescent="0.2">
      <c r="A9444" s="52"/>
    </row>
    <row r="9445" spans="1:1" x14ac:dyDescent="0.2">
      <c r="A9445" s="52"/>
    </row>
    <row r="9446" spans="1:1" x14ac:dyDescent="0.2">
      <c r="A9446" s="52"/>
    </row>
    <row r="9447" spans="1:1" x14ac:dyDescent="0.2">
      <c r="A9447" s="52"/>
    </row>
    <row r="9448" spans="1:1" x14ac:dyDescent="0.2">
      <c r="A9448" s="52"/>
    </row>
    <row r="9449" spans="1:1" x14ac:dyDescent="0.2">
      <c r="A9449" s="52"/>
    </row>
    <row r="9450" spans="1:1" x14ac:dyDescent="0.2">
      <c r="A9450" s="52"/>
    </row>
    <row r="9451" spans="1:1" x14ac:dyDescent="0.2">
      <c r="A9451" s="52"/>
    </row>
    <row r="9452" spans="1:1" x14ac:dyDescent="0.2">
      <c r="A9452" s="52"/>
    </row>
    <row r="9453" spans="1:1" x14ac:dyDescent="0.2">
      <c r="A9453" s="53"/>
    </row>
    <row r="9454" spans="1:1" x14ac:dyDescent="0.2">
      <c r="A9454" s="52"/>
    </row>
    <row r="9455" spans="1:1" x14ac:dyDescent="0.2">
      <c r="A9455" s="52"/>
    </row>
    <row r="9456" spans="1:1" x14ac:dyDescent="0.2">
      <c r="A9456" s="52"/>
    </row>
    <row r="9457" spans="1:1" x14ac:dyDescent="0.2">
      <c r="A9457" s="52"/>
    </row>
    <row r="9458" spans="1:1" x14ac:dyDescent="0.2">
      <c r="A9458" s="52"/>
    </row>
    <row r="9459" spans="1:1" x14ac:dyDescent="0.2">
      <c r="A9459" s="52"/>
    </row>
    <row r="9460" spans="1:1" x14ac:dyDescent="0.2">
      <c r="A9460" s="52"/>
    </row>
    <row r="9461" spans="1:1" x14ac:dyDescent="0.2">
      <c r="A9461" s="52"/>
    </row>
    <row r="9462" spans="1:1" x14ac:dyDescent="0.2">
      <c r="A9462" s="52"/>
    </row>
    <row r="9463" spans="1:1" x14ac:dyDescent="0.2">
      <c r="A9463" s="52"/>
    </row>
    <row r="9464" spans="1:1" x14ac:dyDescent="0.2">
      <c r="A9464" s="52"/>
    </row>
    <row r="9465" spans="1:1" x14ac:dyDescent="0.2">
      <c r="A9465" s="52"/>
    </row>
    <row r="9466" spans="1:1" x14ac:dyDescent="0.2">
      <c r="A9466" s="53"/>
    </row>
    <row r="9467" spans="1:1" x14ac:dyDescent="0.2">
      <c r="A9467" s="52"/>
    </row>
    <row r="9468" spans="1:1" x14ac:dyDescent="0.2">
      <c r="A9468" s="52"/>
    </row>
    <row r="9469" spans="1:1" x14ac:dyDescent="0.2">
      <c r="A9469" s="52"/>
    </row>
    <row r="9470" spans="1:1" x14ac:dyDescent="0.2">
      <c r="A9470" s="52"/>
    </row>
    <row r="9471" spans="1:1" x14ac:dyDescent="0.2">
      <c r="A9471" s="52"/>
    </row>
    <row r="9472" spans="1:1" x14ac:dyDescent="0.2">
      <c r="A9472" s="52"/>
    </row>
    <row r="9473" spans="1:1" x14ac:dyDescent="0.2">
      <c r="A9473" s="52"/>
    </row>
    <row r="9474" spans="1:1" x14ac:dyDescent="0.2">
      <c r="A9474" s="52"/>
    </row>
    <row r="9475" spans="1:1" x14ac:dyDescent="0.2">
      <c r="A9475" s="52"/>
    </row>
    <row r="9476" spans="1:1" x14ac:dyDescent="0.2">
      <c r="A9476" s="52"/>
    </row>
    <row r="9477" spans="1:1" x14ac:dyDescent="0.2">
      <c r="A9477" s="52"/>
    </row>
    <row r="9478" spans="1:1" x14ac:dyDescent="0.2">
      <c r="A9478" s="52"/>
    </row>
    <row r="9479" spans="1:1" x14ac:dyDescent="0.2">
      <c r="A9479" s="52"/>
    </row>
    <row r="9480" spans="1:1" x14ac:dyDescent="0.2">
      <c r="A9480" s="52"/>
    </row>
    <row r="9481" spans="1:1" x14ac:dyDescent="0.2">
      <c r="A9481" s="52"/>
    </row>
    <row r="9482" spans="1:1" x14ac:dyDescent="0.2">
      <c r="A9482" s="52"/>
    </row>
    <row r="9483" spans="1:1" x14ac:dyDescent="0.2">
      <c r="A9483" s="52"/>
    </row>
    <row r="9484" spans="1:1" x14ac:dyDescent="0.2">
      <c r="A9484" s="52"/>
    </row>
    <row r="9485" spans="1:1" x14ac:dyDescent="0.2">
      <c r="A9485" s="53"/>
    </row>
    <row r="9486" spans="1:1" x14ac:dyDescent="0.2">
      <c r="A9486" s="52"/>
    </row>
    <row r="9487" spans="1:1" x14ac:dyDescent="0.2">
      <c r="A9487" s="52"/>
    </row>
    <row r="9488" spans="1:1" x14ac:dyDescent="0.2">
      <c r="A9488" s="52"/>
    </row>
    <row r="9489" spans="1:1" x14ac:dyDescent="0.2">
      <c r="A9489" s="52"/>
    </row>
    <row r="9490" spans="1:1" x14ac:dyDescent="0.2">
      <c r="A9490" s="52"/>
    </row>
    <row r="9491" spans="1:1" x14ac:dyDescent="0.2">
      <c r="A9491" s="52"/>
    </row>
    <row r="9492" spans="1:1" x14ac:dyDescent="0.2">
      <c r="A9492" s="52"/>
    </row>
    <row r="9493" spans="1:1" x14ac:dyDescent="0.2">
      <c r="A9493" s="52"/>
    </row>
    <row r="9494" spans="1:1" x14ac:dyDescent="0.2">
      <c r="A9494" s="53"/>
    </row>
    <row r="9495" spans="1:1" x14ac:dyDescent="0.2">
      <c r="A9495" s="52"/>
    </row>
    <row r="9496" spans="1:1" x14ac:dyDescent="0.2">
      <c r="A9496" s="52"/>
    </row>
    <row r="9497" spans="1:1" x14ac:dyDescent="0.2">
      <c r="A9497" s="53"/>
    </row>
    <row r="9498" spans="1:1" x14ac:dyDescent="0.2">
      <c r="A9498" s="52"/>
    </row>
    <row r="9499" spans="1:1" x14ac:dyDescent="0.2">
      <c r="A9499" s="52"/>
    </row>
    <row r="9500" spans="1:1" x14ac:dyDescent="0.2">
      <c r="A9500" s="52"/>
    </row>
    <row r="9501" spans="1:1" x14ac:dyDescent="0.2">
      <c r="A9501" s="52"/>
    </row>
    <row r="9502" spans="1:1" x14ac:dyDescent="0.2">
      <c r="A9502" s="52"/>
    </row>
    <row r="9503" spans="1:1" x14ac:dyDescent="0.2">
      <c r="A9503" s="52"/>
    </row>
    <row r="9504" spans="1:1" x14ac:dyDescent="0.2">
      <c r="A9504" s="52"/>
    </row>
    <row r="9505" spans="1:1" x14ac:dyDescent="0.2">
      <c r="A9505" s="52"/>
    </row>
    <row r="9506" spans="1:1" x14ac:dyDescent="0.2">
      <c r="A9506" s="52"/>
    </row>
    <row r="9507" spans="1:1" x14ac:dyDescent="0.2">
      <c r="A9507" s="52"/>
    </row>
    <row r="9508" spans="1:1" x14ac:dyDescent="0.2">
      <c r="A9508" s="52"/>
    </row>
    <row r="9509" spans="1:1" x14ac:dyDescent="0.2">
      <c r="A9509" s="52"/>
    </row>
    <row r="9510" spans="1:1" x14ac:dyDescent="0.2">
      <c r="A9510" s="52"/>
    </row>
    <row r="9511" spans="1:1" x14ac:dyDescent="0.2">
      <c r="A9511" s="52"/>
    </row>
    <row r="9512" spans="1:1" x14ac:dyDescent="0.2">
      <c r="A9512" s="52"/>
    </row>
    <row r="9513" spans="1:1" x14ac:dyDescent="0.2">
      <c r="A9513" s="52"/>
    </row>
    <row r="9514" spans="1:1" x14ac:dyDescent="0.2">
      <c r="A9514" s="52"/>
    </row>
    <row r="9515" spans="1:1" x14ac:dyDescent="0.2">
      <c r="A9515" s="52"/>
    </row>
    <row r="9516" spans="1:1" x14ac:dyDescent="0.2">
      <c r="A9516" s="52"/>
    </row>
    <row r="9517" spans="1:1" x14ac:dyDescent="0.2">
      <c r="A9517" s="52"/>
    </row>
    <row r="9518" spans="1:1" x14ac:dyDescent="0.2">
      <c r="A9518" s="52"/>
    </row>
    <row r="9519" spans="1:1" x14ac:dyDescent="0.2">
      <c r="A9519" s="52"/>
    </row>
    <row r="9520" spans="1:1" x14ac:dyDescent="0.2">
      <c r="A9520" s="52"/>
    </row>
    <row r="9521" spans="1:1" x14ac:dyDescent="0.2">
      <c r="A9521" s="53"/>
    </row>
    <row r="9522" spans="1:1" x14ac:dyDescent="0.2">
      <c r="A9522" s="52"/>
    </row>
    <row r="9523" spans="1:1" x14ac:dyDescent="0.2">
      <c r="A9523" s="52"/>
    </row>
    <row r="9524" spans="1:1" x14ac:dyDescent="0.2">
      <c r="A9524" s="52"/>
    </row>
    <row r="9525" spans="1:1" x14ac:dyDescent="0.2">
      <c r="A9525" s="52"/>
    </row>
    <row r="9526" spans="1:1" x14ac:dyDescent="0.2">
      <c r="A9526" s="52"/>
    </row>
    <row r="9527" spans="1:1" x14ac:dyDescent="0.2">
      <c r="A9527" s="52"/>
    </row>
    <row r="9528" spans="1:1" x14ac:dyDescent="0.2">
      <c r="A9528" s="53"/>
    </row>
    <row r="9529" spans="1:1" x14ac:dyDescent="0.2">
      <c r="A9529" s="52"/>
    </row>
    <row r="9530" spans="1:1" x14ac:dyDescent="0.2">
      <c r="A9530" s="52"/>
    </row>
    <row r="9531" spans="1:1" x14ac:dyDescent="0.2">
      <c r="A9531" s="52"/>
    </row>
    <row r="9532" spans="1:1" x14ac:dyDescent="0.2">
      <c r="A9532" s="52"/>
    </row>
    <row r="9533" spans="1:1" x14ac:dyDescent="0.2">
      <c r="A9533" s="52"/>
    </row>
    <row r="9534" spans="1:1" x14ac:dyDescent="0.2">
      <c r="A9534" s="52"/>
    </row>
    <row r="9535" spans="1:1" x14ac:dyDescent="0.2">
      <c r="A9535" s="52"/>
    </row>
    <row r="9536" spans="1:1" x14ac:dyDescent="0.2">
      <c r="A9536" s="52"/>
    </row>
    <row r="9537" spans="1:1" x14ac:dyDescent="0.2">
      <c r="A9537" s="52"/>
    </row>
    <row r="9538" spans="1:1" x14ac:dyDescent="0.2">
      <c r="A9538" s="52"/>
    </row>
    <row r="9539" spans="1:1" x14ac:dyDescent="0.2">
      <c r="A9539" s="52"/>
    </row>
    <row r="9540" spans="1:1" x14ac:dyDescent="0.2">
      <c r="A9540" s="52"/>
    </row>
    <row r="9541" spans="1:1" x14ac:dyDescent="0.2">
      <c r="A9541" s="52"/>
    </row>
    <row r="9542" spans="1:1" x14ac:dyDescent="0.2">
      <c r="A9542" s="52"/>
    </row>
    <row r="9543" spans="1:1" x14ac:dyDescent="0.2">
      <c r="A9543" s="52"/>
    </row>
    <row r="9544" spans="1:1" x14ac:dyDescent="0.2">
      <c r="A9544" s="52"/>
    </row>
    <row r="9545" spans="1:1" x14ac:dyDescent="0.2">
      <c r="A9545" s="52"/>
    </row>
    <row r="9546" spans="1:1" x14ac:dyDescent="0.2">
      <c r="A9546" s="52"/>
    </row>
    <row r="9547" spans="1:1" x14ac:dyDescent="0.2">
      <c r="A9547" s="52"/>
    </row>
    <row r="9548" spans="1:1" x14ac:dyDescent="0.2">
      <c r="A9548" s="52"/>
    </row>
    <row r="9549" spans="1:1" x14ac:dyDescent="0.2">
      <c r="A9549" s="52"/>
    </row>
    <row r="9550" spans="1:1" x14ac:dyDescent="0.2">
      <c r="A9550" s="52"/>
    </row>
    <row r="9551" spans="1:1" x14ac:dyDescent="0.2">
      <c r="A9551" s="52"/>
    </row>
    <row r="9552" spans="1:1" x14ac:dyDescent="0.2">
      <c r="A9552" s="52"/>
    </row>
    <row r="9553" spans="1:1" x14ac:dyDescent="0.2">
      <c r="A9553" s="52"/>
    </row>
    <row r="9554" spans="1:1" x14ac:dyDescent="0.2">
      <c r="A9554" s="53"/>
    </row>
    <row r="9555" spans="1:1" x14ac:dyDescent="0.2">
      <c r="A9555" s="52"/>
    </row>
    <row r="9556" spans="1:1" x14ac:dyDescent="0.2">
      <c r="A9556" s="53"/>
    </row>
    <row r="9557" spans="1:1" x14ac:dyDescent="0.2">
      <c r="A9557" s="52"/>
    </row>
    <row r="9558" spans="1:1" x14ac:dyDescent="0.2">
      <c r="A9558" s="53"/>
    </row>
    <row r="9559" spans="1:1" x14ac:dyDescent="0.2">
      <c r="A9559" s="52"/>
    </row>
    <row r="9560" spans="1:1" x14ac:dyDescent="0.2">
      <c r="A9560" s="52"/>
    </row>
    <row r="9561" spans="1:1" x14ac:dyDescent="0.2">
      <c r="A9561" s="52"/>
    </row>
    <row r="9562" spans="1:1" x14ac:dyDescent="0.2">
      <c r="A9562" s="52"/>
    </row>
    <row r="9563" spans="1:1" x14ac:dyDescent="0.2">
      <c r="A9563" s="53"/>
    </row>
    <row r="9564" spans="1:1" x14ac:dyDescent="0.2">
      <c r="A9564" s="53"/>
    </row>
    <row r="9565" spans="1:1" x14ac:dyDescent="0.2">
      <c r="A9565" s="52"/>
    </row>
    <row r="9566" spans="1:1" x14ac:dyDescent="0.2">
      <c r="A9566" s="53"/>
    </row>
    <row r="9567" spans="1:1" x14ac:dyDescent="0.2">
      <c r="A9567" s="52"/>
    </row>
    <row r="9568" spans="1:1" x14ac:dyDescent="0.2">
      <c r="A9568" s="53"/>
    </row>
    <row r="9569" spans="1:1" x14ac:dyDescent="0.2">
      <c r="A9569" s="52"/>
    </row>
    <row r="9570" spans="1:1" x14ac:dyDescent="0.2">
      <c r="A9570" s="52"/>
    </row>
    <row r="9571" spans="1:1" x14ac:dyDescent="0.2">
      <c r="A9571" s="52"/>
    </row>
    <row r="9572" spans="1:1" x14ac:dyDescent="0.2">
      <c r="A9572" s="52"/>
    </row>
    <row r="9573" spans="1:1" x14ac:dyDescent="0.2">
      <c r="A9573" s="52"/>
    </row>
    <row r="9574" spans="1:1" x14ac:dyDescent="0.2">
      <c r="A9574" s="52"/>
    </row>
    <row r="9575" spans="1:1" x14ac:dyDescent="0.2">
      <c r="A9575" s="52"/>
    </row>
    <row r="9576" spans="1:1" x14ac:dyDescent="0.2">
      <c r="A9576" s="52"/>
    </row>
    <row r="9577" spans="1:1" x14ac:dyDescent="0.2">
      <c r="A9577" s="52"/>
    </row>
    <row r="9578" spans="1:1" x14ac:dyDescent="0.2">
      <c r="A9578" s="52"/>
    </row>
    <row r="9579" spans="1:1" x14ac:dyDescent="0.2">
      <c r="A9579" s="52"/>
    </row>
    <row r="9580" spans="1:1" x14ac:dyDescent="0.2">
      <c r="A9580" s="52"/>
    </row>
    <row r="9581" spans="1:1" x14ac:dyDescent="0.2">
      <c r="A9581" s="52"/>
    </row>
    <row r="9582" spans="1:1" x14ac:dyDescent="0.2">
      <c r="A9582" s="52"/>
    </row>
    <row r="9583" spans="1:1" x14ac:dyDescent="0.2">
      <c r="A9583" s="52"/>
    </row>
    <row r="9584" spans="1:1" x14ac:dyDescent="0.2">
      <c r="A9584" s="52"/>
    </row>
    <row r="9585" spans="1:1" x14ac:dyDescent="0.2">
      <c r="A9585" s="52"/>
    </row>
    <row r="9586" spans="1:1" x14ac:dyDescent="0.2">
      <c r="A9586" s="52"/>
    </row>
    <row r="9587" spans="1:1" x14ac:dyDescent="0.2">
      <c r="A9587" s="52"/>
    </row>
    <row r="9588" spans="1:1" x14ac:dyDescent="0.2">
      <c r="A9588" s="52"/>
    </row>
    <row r="9589" spans="1:1" x14ac:dyDescent="0.2">
      <c r="A9589" s="52"/>
    </row>
    <row r="9590" spans="1:1" x14ac:dyDescent="0.2">
      <c r="A9590" s="52"/>
    </row>
    <row r="9591" spans="1:1" x14ac:dyDescent="0.2">
      <c r="A9591" s="52"/>
    </row>
    <row r="9592" spans="1:1" x14ac:dyDescent="0.2">
      <c r="A9592" s="52"/>
    </row>
    <row r="9593" spans="1:1" x14ac:dyDescent="0.2">
      <c r="A9593" s="52"/>
    </row>
    <row r="9594" spans="1:1" x14ac:dyDescent="0.2">
      <c r="A9594" s="52"/>
    </row>
    <row r="9595" spans="1:1" x14ac:dyDescent="0.2">
      <c r="A9595" s="52"/>
    </row>
    <row r="9596" spans="1:1" x14ac:dyDescent="0.2">
      <c r="A9596" s="52"/>
    </row>
    <row r="9597" spans="1:1" x14ac:dyDescent="0.2">
      <c r="A9597" s="53"/>
    </row>
    <row r="9598" spans="1:1" x14ac:dyDescent="0.2">
      <c r="A9598" s="52"/>
    </row>
    <row r="9599" spans="1:1" x14ac:dyDescent="0.2">
      <c r="A9599" s="52"/>
    </row>
    <row r="9600" spans="1:1" x14ac:dyDescent="0.2">
      <c r="A9600" s="52"/>
    </row>
    <row r="9601" spans="1:1" x14ac:dyDescent="0.2">
      <c r="A9601" s="52"/>
    </row>
    <row r="9602" spans="1:1" x14ac:dyDescent="0.2">
      <c r="A9602" s="52"/>
    </row>
    <row r="9603" spans="1:1" x14ac:dyDescent="0.2">
      <c r="A9603" s="52"/>
    </row>
    <row r="9604" spans="1:1" x14ac:dyDescent="0.2">
      <c r="A9604" s="52"/>
    </row>
    <row r="9605" spans="1:1" x14ac:dyDescent="0.2">
      <c r="A9605" s="52"/>
    </row>
    <row r="9606" spans="1:1" x14ac:dyDescent="0.2">
      <c r="A9606" s="52"/>
    </row>
    <row r="9607" spans="1:1" x14ac:dyDescent="0.2">
      <c r="A9607" s="52"/>
    </row>
    <row r="9608" spans="1:1" x14ac:dyDescent="0.2">
      <c r="A9608" s="52"/>
    </row>
    <row r="9609" spans="1:1" x14ac:dyDescent="0.2">
      <c r="A9609" s="52"/>
    </row>
    <row r="9610" spans="1:1" x14ac:dyDescent="0.2">
      <c r="A9610" s="52"/>
    </row>
    <row r="9611" spans="1:1" x14ac:dyDescent="0.2">
      <c r="A9611" s="52"/>
    </row>
    <row r="9612" spans="1:1" x14ac:dyDescent="0.2">
      <c r="A9612" s="52"/>
    </row>
    <row r="9613" spans="1:1" x14ac:dyDescent="0.2">
      <c r="A9613" s="52"/>
    </row>
    <row r="9614" spans="1:1" x14ac:dyDescent="0.2">
      <c r="A9614" s="52"/>
    </row>
    <row r="9615" spans="1:1" x14ac:dyDescent="0.2">
      <c r="A9615" s="52"/>
    </row>
    <row r="9616" spans="1:1" x14ac:dyDescent="0.2">
      <c r="A9616" s="52"/>
    </row>
    <row r="9617" spans="1:1" x14ac:dyDescent="0.2">
      <c r="A9617" s="52"/>
    </row>
    <row r="9618" spans="1:1" x14ac:dyDescent="0.2">
      <c r="A9618" s="52"/>
    </row>
    <row r="9619" spans="1:1" x14ac:dyDescent="0.2">
      <c r="A9619" s="52"/>
    </row>
    <row r="9620" spans="1:1" x14ac:dyDescent="0.2">
      <c r="A9620" s="53"/>
    </row>
    <row r="9621" spans="1:1" x14ac:dyDescent="0.2">
      <c r="A9621" s="53"/>
    </row>
    <row r="9622" spans="1:1" x14ac:dyDescent="0.2">
      <c r="A9622" s="52"/>
    </row>
    <row r="9623" spans="1:1" x14ac:dyDescent="0.2">
      <c r="A9623" s="52"/>
    </row>
    <row r="9624" spans="1:1" x14ac:dyDescent="0.2">
      <c r="A9624" s="53"/>
    </row>
    <row r="9625" spans="1:1" x14ac:dyDescent="0.2">
      <c r="A9625" s="52"/>
    </row>
    <row r="9626" spans="1:1" x14ac:dyDescent="0.2">
      <c r="A9626" s="52"/>
    </row>
    <row r="9627" spans="1:1" x14ac:dyDescent="0.2">
      <c r="A9627" s="52"/>
    </row>
    <row r="9628" spans="1:1" x14ac:dyDescent="0.2">
      <c r="A9628" s="52"/>
    </row>
    <row r="9629" spans="1:1" x14ac:dyDescent="0.2">
      <c r="A9629" s="52"/>
    </row>
    <row r="9630" spans="1:1" x14ac:dyDescent="0.2">
      <c r="A9630" s="52"/>
    </row>
    <row r="9631" spans="1:1" x14ac:dyDescent="0.2">
      <c r="A9631" s="52"/>
    </row>
    <row r="9632" spans="1:1" x14ac:dyDescent="0.2">
      <c r="A9632" s="52"/>
    </row>
    <row r="9633" spans="1:1" x14ac:dyDescent="0.2">
      <c r="A9633" s="52"/>
    </row>
    <row r="9634" spans="1:1" x14ac:dyDescent="0.2">
      <c r="A9634" s="52"/>
    </row>
    <row r="9635" spans="1:1" x14ac:dyDescent="0.2">
      <c r="A9635" s="52"/>
    </row>
    <row r="9636" spans="1:1" x14ac:dyDescent="0.2">
      <c r="A9636" s="52"/>
    </row>
    <row r="9637" spans="1:1" x14ac:dyDescent="0.2">
      <c r="A9637" s="52"/>
    </row>
    <row r="9638" spans="1:1" x14ac:dyDescent="0.2">
      <c r="A9638" s="52"/>
    </row>
    <row r="9639" spans="1:1" x14ac:dyDescent="0.2">
      <c r="A9639" s="52"/>
    </row>
    <row r="9640" spans="1:1" x14ac:dyDescent="0.2">
      <c r="A9640" s="52"/>
    </row>
    <row r="9641" spans="1:1" x14ac:dyDescent="0.2">
      <c r="A9641" s="52"/>
    </row>
    <row r="9642" spans="1:1" x14ac:dyDescent="0.2">
      <c r="A9642" s="52"/>
    </row>
    <row r="9643" spans="1:1" x14ac:dyDescent="0.2">
      <c r="A9643" s="52"/>
    </row>
    <row r="9644" spans="1:1" x14ac:dyDescent="0.2">
      <c r="A9644" s="52"/>
    </row>
    <row r="9645" spans="1:1" x14ac:dyDescent="0.2">
      <c r="A9645" s="52"/>
    </row>
    <row r="9646" spans="1:1" x14ac:dyDescent="0.2">
      <c r="A9646" s="52"/>
    </row>
    <row r="9647" spans="1:1" x14ac:dyDescent="0.2">
      <c r="A9647" s="52"/>
    </row>
    <row r="9648" spans="1:1" x14ac:dyDescent="0.2">
      <c r="A9648" s="52"/>
    </row>
    <row r="9649" spans="1:1" x14ac:dyDescent="0.2">
      <c r="A9649" s="52"/>
    </row>
    <row r="9650" spans="1:1" x14ac:dyDescent="0.2">
      <c r="A9650" s="52"/>
    </row>
    <row r="9651" spans="1:1" x14ac:dyDescent="0.2">
      <c r="A9651" s="52"/>
    </row>
    <row r="9652" spans="1:1" x14ac:dyDescent="0.2">
      <c r="A9652" s="53"/>
    </row>
    <row r="9653" spans="1:1" x14ac:dyDescent="0.2">
      <c r="A9653" s="52"/>
    </row>
    <row r="9654" spans="1:1" x14ac:dyDescent="0.2">
      <c r="A9654" s="52"/>
    </row>
    <row r="9655" spans="1:1" x14ac:dyDescent="0.2">
      <c r="A9655" s="52"/>
    </row>
    <row r="9656" spans="1:1" x14ac:dyDescent="0.2">
      <c r="A9656" s="52"/>
    </row>
    <row r="9657" spans="1:1" x14ac:dyDescent="0.2">
      <c r="A9657" s="52"/>
    </row>
    <row r="9658" spans="1:1" x14ac:dyDescent="0.2">
      <c r="A9658" s="52"/>
    </row>
    <row r="9659" spans="1:1" x14ac:dyDescent="0.2">
      <c r="A9659" s="53"/>
    </row>
    <row r="9660" spans="1:1" x14ac:dyDescent="0.2">
      <c r="A9660" s="52"/>
    </row>
    <row r="9661" spans="1:1" x14ac:dyDescent="0.2">
      <c r="A9661" s="52"/>
    </row>
    <row r="9662" spans="1:1" x14ac:dyDescent="0.2">
      <c r="A9662" s="52"/>
    </row>
    <row r="9663" spans="1:1" x14ac:dyDescent="0.2">
      <c r="A9663" s="52"/>
    </row>
    <row r="9664" spans="1:1" x14ac:dyDescent="0.2">
      <c r="A9664" s="52"/>
    </row>
    <row r="9665" spans="1:1" x14ac:dyDescent="0.2">
      <c r="A9665" s="52"/>
    </row>
    <row r="9666" spans="1:1" x14ac:dyDescent="0.2">
      <c r="A9666" s="52"/>
    </row>
    <row r="9667" spans="1:1" x14ac:dyDescent="0.2">
      <c r="A9667" s="52"/>
    </row>
    <row r="9668" spans="1:1" x14ac:dyDescent="0.2">
      <c r="A9668" s="52"/>
    </row>
    <row r="9669" spans="1:1" x14ac:dyDescent="0.2">
      <c r="A9669" s="52"/>
    </row>
    <row r="9670" spans="1:1" x14ac:dyDescent="0.2">
      <c r="A9670" s="52"/>
    </row>
    <row r="9671" spans="1:1" x14ac:dyDescent="0.2">
      <c r="A9671" s="52"/>
    </row>
    <row r="9672" spans="1:1" x14ac:dyDescent="0.2">
      <c r="A9672" s="52"/>
    </row>
    <row r="9673" spans="1:1" x14ac:dyDescent="0.2">
      <c r="A9673" s="52"/>
    </row>
    <row r="9674" spans="1:1" x14ac:dyDescent="0.2">
      <c r="A9674" s="52"/>
    </row>
    <row r="9675" spans="1:1" x14ac:dyDescent="0.2">
      <c r="A9675" s="52"/>
    </row>
    <row r="9676" spans="1:1" x14ac:dyDescent="0.2">
      <c r="A9676" s="52"/>
    </row>
    <row r="9677" spans="1:1" x14ac:dyDescent="0.2">
      <c r="A9677" s="52"/>
    </row>
    <row r="9678" spans="1:1" x14ac:dyDescent="0.2">
      <c r="A9678" s="52"/>
    </row>
    <row r="9679" spans="1:1" x14ac:dyDescent="0.2">
      <c r="A9679" s="52"/>
    </row>
    <row r="9680" spans="1:1" x14ac:dyDescent="0.2">
      <c r="A9680" s="52"/>
    </row>
    <row r="9681" spans="1:1" x14ac:dyDescent="0.2">
      <c r="A9681" s="52"/>
    </row>
    <row r="9682" spans="1:1" x14ac:dyDescent="0.2">
      <c r="A9682" s="52"/>
    </row>
    <row r="9683" spans="1:1" x14ac:dyDescent="0.2">
      <c r="A9683" s="52"/>
    </row>
    <row r="9684" spans="1:1" x14ac:dyDescent="0.2">
      <c r="A9684" s="52"/>
    </row>
    <row r="9685" spans="1:1" x14ac:dyDescent="0.2">
      <c r="A9685" s="52"/>
    </row>
    <row r="9686" spans="1:1" x14ac:dyDescent="0.2">
      <c r="A9686" s="52"/>
    </row>
    <row r="9687" spans="1:1" x14ac:dyDescent="0.2">
      <c r="A9687" s="52"/>
    </row>
    <row r="9688" spans="1:1" x14ac:dyDescent="0.2">
      <c r="A9688" s="52"/>
    </row>
    <row r="9689" spans="1:1" x14ac:dyDescent="0.2">
      <c r="A9689" s="52"/>
    </row>
    <row r="9690" spans="1:1" x14ac:dyDescent="0.2">
      <c r="A9690" s="52"/>
    </row>
    <row r="9691" spans="1:1" x14ac:dyDescent="0.2">
      <c r="A9691" s="52"/>
    </row>
    <row r="9692" spans="1:1" x14ac:dyDescent="0.2">
      <c r="A9692" s="52"/>
    </row>
    <row r="9693" spans="1:1" x14ac:dyDescent="0.2">
      <c r="A9693" s="52"/>
    </row>
    <row r="9694" spans="1:1" x14ac:dyDescent="0.2">
      <c r="A9694" s="53"/>
    </row>
    <row r="9695" spans="1:1" x14ac:dyDescent="0.2">
      <c r="A9695" s="52"/>
    </row>
    <row r="9696" spans="1:1" x14ac:dyDescent="0.2">
      <c r="A9696" s="53"/>
    </row>
    <row r="9697" spans="1:1" x14ac:dyDescent="0.2">
      <c r="A9697" s="52"/>
    </row>
    <row r="9698" spans="1:1" x14ac:dyDescent="0.2">
      <c r="A9698" s="52"/>
    </row>
    <row r="9699" spans="1:1" x14ac:dyDescent="0.2">
      <c r="A9699" s="52"/>
    </row>
    <row r="9700" spans="1:1" x14ac:dyDescent="0.2">
      <c r="A9700" s="53"/>
    </row>
    <row r="9701" spans="1:1" x14ac:dyDescent="0.2">
      <c r="A9701" s="53"/>
    </row>
    <row r="9702" spans="1:1" x14ac:dyDescent="0.2">
      <c r="A9702" s="52"/>
    </row>
    <row r="9703" spans="1:1" x14ac:dyDescent="0.2">
      <c r="A9703" s="52"/>
    </row>
    <row r="9704" spans="1:1" x14ac:dyDescent="0.2">
      <c r="A9704" s="52"/>
    </row>
    <row r="9705" spans="1:1" x14ac:dyDescent="0.2">
      <c r="A9705" s="52"/>
    </row>
    <row r="9706" spans="1:1" x14ac:dyDescent="0.2">
      <c r="A9706" s="52"/>
    </row>
    <row r="9707" spans="1:1" x14ac:dyDescent="0.2">
      <c r="A9707" s="52"/>
    </row>
    <row r="9708" spans="1:1" x14ac:dyDescent="0.2">
      <c r="A9708" s="52"/>
    </row>
    <row r="9709" spans="1:1" x14ac:dyDescent="0.2">
      <c r="A9709" s="52"/>
    </row>
    <row r="9710" spans="1:1" x14ac:dyDescent="0.2">
      <c r="A9710" s="52"/>
    </row>
    <row r="9711" spans="1:1" x14ac:dyDescent="0.2">
      <c r="A9711" s="52"/>
    </row>
    <row r="9712" spans="1:1" x14ac:dyDescent="0.2">
      <c r="A9712" s="52"/>
    </row>
    <row r="9713" spans="1:1" x14ac:dyDescent="0.2">
      <c r="A9713" s="52"/>
    </row>
    <row r="9714" spans="1:1" x14ac:dyDescent="0.2">
      <c r="A9714" s="52"/>
    </row>
    <row r="9715" spans="1:1" x14ac:dyDescent="0.2">
      <c r="A9715" s="52"/>
    </row>
    <row r="9716" spans="1:1" x14ac:dyDescent="0.2">
      <c r="A9716" s="52"/>
    </row>
    <row r="9717" spans="1:1" x14ac:dyDescent="0.2">
      <c r="A9717" s="52"/>
    </row>
    <row r="9718" spans="1:1" x14ac:dyDescent="0.2">
      <c r="A9718" s="52"/>
    </row>
    <row r="9719" spans="1:1" x14ac:dyDescent="0.2">
      <c r="A9719" s="52"/>
    </row>
    <row r="9720" spans="1:1" x14ac:dyDescent="0.2">
      <c r="A9720" s="52"/>
    </row>
    <row r="9721" spans="1:1" x14ac:dyDescent="0.2">
      <c r="A9721" s="52"/>
    </row>
    <row r="9722" spans="1:1" x14ac:dyDescent="0.2">
      <c r="A9722" s="53"/>
    </row>
    <row r="9723" spans="1:1" x14ac:dyDescent="0.2">
      <c r="A9723" s="52"/>
    </row>
    <row r="9724" spans="1:1" x14ac:dyDescent="0.2">
      <c r="A9724" s="53"/>
    </row>
    <row r="9725" spans="1:1" x14ac:dyDescent="0.2">
      <c r="A9725" s="53"/>
    </row>
    <row r="9726" spans="1:1" x14ac:dyDescent="0.2">
      <c r="A9726" s="52"/>
    </row>
    <row r="9727" spans="1:1" x14ac:dyDescent="0.2">
      <c r="A9727" s="52"/>
    </row>
    <row r="9728" spans="1:1" x14ac:dyDescent="0.2">
      <c r="A9728" s="52"/>
    </row>
    <row r="9729" spans="1:1" x14ac:dyDescent="0.2">
      <c r="A9729" s="52"/>
    </row>
    <row r="9730" spans="1:1" x14ac:dyDescent="0.2">
      <c r="A9730" s="52"/>
    </row>
    <row r="9731" spans="1:1" x14ac:dyDescent="0.2">
      <c r="A9731" s="52"/>
    </row>
    <row r="9732" spans="1:1" x14ac:dyDescent="0.2">
      <c r="A9732" s="52"/>
    </row>
    <row r="9733" spans="1:1" x14ac:dyDescent="0.2">
      <c r="A9733" s="52"/>
    </row>
    <row r="9734" spans="1:1" x14ac:dyDescent="0.2">
      <c r="A9734" s="52"/>
    </row>
    <row r="9735" spans="1:1" x14ac:dyDescent="0.2">
      <c r="A9735" s="52"/>
    </row>
    <row r="9736" spans="1:1" x14ac:dyDescent="0.2">
      <c r="A9736" s="52"/>
    </row>
    <row r="9737" spans="1:1" x14ac:dyDescent="0.2">
      <c r="A9737" s="52"/>
    </row>
    <row r="9738" spans="1:1" x14ac:dyDescent="0.2">
      <c r="A9738" s="52"/>
    </row>
    <row r="9739" spans="1:1" x14ac:dyDescent="0.2">
      <c r="A9739" s="52"/>
    </row>
    <row r="9740" spans="1:1" x14ac:dyDescent="0.2">
      <c r="A9740" s="53"/>
    </row>
    <row r="9741" spans="1:1" x14ac:dyDescent="0.2">
      <c r="A9741" s="53"/>
    </row>
    <row r="9742" spans="1:1" x14ac:dyDescent="0.2">
      <c r="A9742" s="52"/>
    </row>
    <row r="9743" spans="1:1" x14ac:dyDescent="0.2">
      <c r="A9743" s="52"/>
    </row>
    <row r="9744" spans="1:1" x14ac:dyDescent="0.2">
      <c r="A9744" s="53"/>
    </row>
    <row r="9745" spans="1:1" x14ac:dyDescent="0.2">
      <c r="A9745" s="52"/>
    </row>
    <row r="9746" spans="1:1" x14ac:dyDescent="0.2">
      <c r="A9746" s="52"/>
    </row>
    <row r="9747" spans="1:1" x14ac:dyDescent="0.2">
      <c r="A9747" s="52"/>
    </row>
    <row r="9748" spans="1:1" x14ac:dyDescent="0.2">
      <c r="A9748" s="52"/>
    </row>
    <row r="9749" spans="1:1" x14ac:dyDescent="0.2">
      <c r="A9749" s="52"/>
    </row>
    <row r="9750" spans="1:1" x14ac:dyDescent="0.2">
      <c r="A9750" s="52"/>
    </row>
    <row r="9751" spans="1:1" x14ac:dyDescent="0.2">
      <c r="A9751" s="52"/>
    </row>
    <row r="9752" spans="1:1" x14ac:dyDescent="0.2">
      <c r="A9752" s="52"/>
    </row>
    <row r="9753" spans="1:1" x14ac:dyDescent="0.2">
      <c r="A9753" s="52"/>
    </row>
    <row r="9754" spans="1:1" x14ac:dyDescent="0.2">
      <c r="A9754" s="52"/>
    </row>
    <row r="9755" spans="1:1" x14ac:dyDescent="0.2">
      <c r="A9755" s="52"/>
    </row>
    <row r="9756" spans="1:1" x14ac:dyDescent="0.2">
      <c r="A9756" s="53"/>
    </row>
    <row r="9757" spans="1:1" x14ac:dyDescent="0.2">
      <c r="A9757" s="52"/>
    </row>
    <row r="9758" spans="1:1" x14ac:dyDescent="0.2">
      <c r="A9758" s="52"/>
    </row>
    <row r="9759" spans="1:1" x14ac:dyDescent="0.2">
      <c r="A9759" s="52"/>
    </row>
    <row r="9760" spans="1:1" x14ac:dyDescent="0.2">
      <c r="A9760" s="52"/>
    </row>
    <row r="9761" spans="1:1" x14ac:dyDescent="0.2">
      <c r="A9761" s="52"/>
    </row>
    <row r="9762" spans="1:1" x14ac:dyDescent="0.2">
      <c r="A9762" s="52"/>
    </row>
    <row r="9763" spans="1:1" x14ac:dyDescent="0.2">
      <c r="A9763" s="52"/>
    </row>
    <row r="9764" spans="1:1" x14ac:dyDescent="0.2">
      <c r="A9764" s="52"/>
    </row>
    <row r="9765" spans="1:1" x14ac:dyDescent="0.2">
      <c r="A9765" s="52"/>
    </row>
    <row r="9766" spans="1:1" x14ac:dyDescent="0.2">
      <c r="A9766" s="52"/>
    </row>
    <row r="9767" spans="1:1" x14ac:dyDescent="0.2">
      <c r="A9767" s="52"/>
    </row>
    <row r="9768" spans="1:1" x14ac:dyDescent="0.2">
      <c r="A9768" s="52"/>
    </row>
    <row r="9769" spans="1:1" x14ac:dyDescent="0.2">
      <c r="A9769" s="52"/>
    </row>
    <row r="9770" spans="1:1" x14ac:dyDescent="0.2">
      <c r="A9770" s="52"/>
    </row>
    <row r="9771" spans="1:1" x14ac:dyDescent="0.2">
      <c r="A9771" s="52"/>
    </row>
    <row r="9772" spans="1:1" x14ac:dyDescent="0.2">
      <c r="A9772" s="52"/>
    </row>
    <row r="9773" spans="1:1" x14ac:dyDescent="0.2">
      <c r="A9773" s="52"/>
    </row>
    <row r="9774" spans="1:1" x14ac:dyDescent="0.2">
      <c r="A9774" s="52"/>
    </row>
    <row r="9775" spans="1:1" x14ac:dyDescent="0.2">
      <c r="A9775" s="52"/>
    </row>
    <row r="9776" spans="1:1" x14ac:dyDescent="0.2">
      <c r="A9776" s="52"/>
    </row>
    <row r="9777" spans="1:1" x14ac:dyDescent="0.2">
      <c r="A9777" s="52"/>
    </row>
    <row r="9778" spans="1:1" x14ac:dyDescent="0.2">
      <c r="A9778" s="52"/>
    </row>
    <row r="9779" spans="1:1" x14ac:dyDescent="0.2">
      <c r="A9779" s="52"/>
    </row>
    <row r="9780" spans="1:1" x14ac:dyDescent="0.2">
      <c r="A9780" s="52"/>
    </row>
    <row r="9781" spans="1:1" x14ac:dyDescent="0.2">
      <c r="A9781" s="52"/>
    </row>
    <row r="9782" spans="1:1" x14ac:dyDescent="0.2">
      <c r="A9782" s="52"/>
    </row>
    <row r="9783" spans="1:1" x14ac:dyDescent="0.2">
      <c r="A9783" s="52"/>
    </row>
    <row r="9784" spans="1:1" x14ac:dyDescent="0.2">
      <c r="A9784" s="52"/>
    </row>
    <row r="9785" spans="1:1" x14ac:dyDescent="0.2">
      <c r="A9785" s="52"/>
    </row>
    <row r="9786" spans="1:1" x14ac:dyDescent="0.2">
      <c r="A9786" s="52"/>
    </row>
    <row r="9787" spans="1:1" x14ac:dyDescent="0.2">
      <c r="A9787" s="52"/>
    </row>
    <row r="9788" spans="1:1" x14ac:dyDescent="0.2">
      <c r="A9788" s="52"/>
    </row>
    <row r="9789" spans="1:1" x14ac:dyDescent="0.2">
      <c r="A9789" s="52"/>
    </row>
    <row r="9790" spans="1:1" x14ac:dyDescent="0.2">
      <c r="A9790" s="52"/>
    </row>
    <row r="9791" spans="1:1" x14ac:dyDescent="0.2">
      <c r="A9791" s="52"/>
    </row>
    <row r="9792" spans="1:1" x14ac:dyDescent="0.2">
      <c r="A9792" s="52"/>
    </row>
    <row r="9793" spans="1:1" x14ac:dyDescent="0.2">
      <c r="A9793" s="52"/>
    </row>
    <row r="9794" spans="1:1" x14ac:dyDescent="0.2">
      <c r="A9794" s="52"/>
    </row>
    <row r="9795" spans="1:1" x14ac:dyDescent="0.2">
      <c r="A9795" s="52"/>
    </row>
    <row r="9796" spans="1:1" x14ac:dyDescent="0.2">
      <c r="A9796" s="52"/>
    </row>
    <row r="9797" spans="1:1" x14ac:dyDescent="0.2">
      <c r="A9797" s="52"/>
    </row>
    <row r="9798" spans="1:1" x14ac:dyDescent="0.2">
      <c r="A9798" s="52"/>
    </row>
    <row r="9799" spans="1:1" x14ac:dyDescent="0.2">
      <c r="A9799" s="52"/>
    </row>
    <row r="9800" spans="1:1" x14ac:dyDescent="0.2">
      <c r="A9800" s="52"/>
    </row>
    <row r="9801" spans="1:1" x14ac:dyDescent="0.2">
      <c r="A9801" s="52"/>
    </row>
    <row r="9802" spans="1:1" x14ac:dyDescent="0.2">
      <c r="A9802" s="52"/>
    </row>
    <row r="9803" spans="1:1" x14ac:dyDescent="0.2">
      <c r="A9803" s="52"/>
    </row>
    <row r="9804" spans="1:1" x14ac:dyDescent="0.2">
      <c r="A9804" s="52"/>
    </row>
    <row r="9805" spans="1:1" x14ac:dyDescent="0.2">
      <c r="A9805" s="53"/>
    </row>
    <row r="9806" spans="1:1" x14ac:dyDescent="0.2">
      <c r="A9806" s="52"/>
    </row>
    <row r="9807" spans="1:1" x14ac:dyDescent="0.2">
      <c r="A9807" s="53"/>
    </row>
    <row r="9808" spans="1:1" x14ac:dyDescent="0.2">
      <c r="A9808" s="53"/>
    </row>
    <row r="9809" spans="1:1" x14ac:dyDescent="0.2">
      <c r="A9809" s="52"/>
    </row>
    <row r="9810" spans="1:1" x14ac:dyDescent="0.2">
      <c r="A9810" s="52"/>
    </row>
    <row r="9811" spans="1:1" x14ac:dyDescent="0.2">
      <c r="A9811" s="52"/>
    </row>
    <row r="9812" spans="1:1" x14ac:dyDescent="0.2">
      <c r="A9812" s="53"/>
    </row>
    <row r="9813" spans="1:1" x14ac:dyDescent="0.2">
      <c r="A9813" s="52"/>
    </row>
    <row r="9814" spans="1:1" x14ac:dyDescent="0.2">
      <c r="A9814" s="52"/>
    </row>
    <row r="9815" spans="1:1" x14ac:dyDescent="0.2">
      <c r="A9815" s="52"/>
    </row>
    <row r="9816" spans="1:1" x14ac:dyDescent="0.2">
      <c r="A9816" s="52"/>
    </row>
    <row r="9817" spans="1:1" x14ac:dyDescent="0.2">
      <c r="A9817" s="53"/>
    </row>
    <row r="9818" spans="1:1" x14ac:dyDescent="0.2">
      <c r="A9818" s="52"/>
    </row>
    <row r="9819" spans="1:1" x14ac:dyDescent="0.2">
      <c r="A9819" s="53"/>
    </row>
    <row r="9820" spans="1:1" x14ac:dyDescent="0.2">
      <c r="A9820" s="53"/>
    </row>
    <row r="9821" spans="1:1" x14ac:dyDescent="0.2">
      <c r="A9821" s="52"/>
    </row>
    <row r="9822" spans="1:1" x14ac:dyDescent="0.2">
      <c r="A9822" s="52"/>
    </row>
    <row r="9823" spans="1:1" x14ac:dyDescent="0.2">
      <c r="A9823" s="52"/>
    </row>
    <row r="9824" spans="1:1" x14ac:dyDescent="0.2">
      <c r="A9824" s="53"/>
    </row>
    <row r="9825" spans="1:1" x14ac:dyDescent="0.2">
      <c r="A9825" s="52"/>
    </row>
    <row r="9826" spans="1:1" x14ac:dyDescent="0.2">
      <c r="A9826" s="52"/>
    </row>
    <row r="9827" spans="1:1" x14ac:dyDescent="0.2">
      <c r="A9827" s="52"/>
    </row>
    <row r="9828" spans="1:1" x14ac:dyDescent="0.2">
      <c r="A9828" s="53"/>
    </row>
    <row r="9829" spans="1:1" x14ac:dyDescent="0.2">
      <c r="A9829" s="52"/>
    </row>
    <row r="9830" spans="1:1" x14ac:dyDescent="0.2">
      <c r="A9830" s="52"/>
    </row>
    <row r="9831" spans="1:1" x14ac:dyDescent="0.2">
      <c r="A9831" s="53"/>
    </row>
    <row r="9832" spans="1:1" x14ac:dyDescent="0.2">
      <c r="A9832" s="52"/>
    </row>
    <row r="9833" spans="1:1" x14ac:dyDescent="0.2">
      <c r="A9833" s="52"/>
    </row>
    <row r="9834" spans="1:1" x14ac:dyDescent="0.2">
      <c r="A9834" s="52"/>
    </row>
    <row r="9835" spans="1:1" x14ac:dyDescent="0.2">
      <c r="A9835" s="52"/>
    </row>
    <row r="9836" spans="1:1" x14ac:dyDescent="0.2">
      <c r="A9836" s="52"/>
    </row>
    <row r="9837" spans="1:1" x14ac:dyDescent="0.2">
      <c r="A9837" s="52"/>
    </row>
    <row r="9838" spans="1:1" x14ac:dyDescent="0.2">
      <c r="A9838" s="52"/>
    </row>
    <row r="9839" spans="1:1" x14ac:dyDescent="0.2">
      <c r="A9839" s="52"/>
    </row>
    <row r="9840" spans="1:1" x14ac:dyDescent="0.2">
      <c r="A9840" s="52"/>
    </row>
    <row r="9841" spans="1:1" x14ac:dyDescent="0.2">
      <c r="A9841" s="52"/>
    </row>
    <row r="9842" spans="1:1" x14ac:dyDescent="0.2">
      <c r="A9842" s="52"/>
    </row>
    <row r="9843" spans="1:1" x14ac:dyDescent="0.2">
      <c r="A9843" s="52"/>
    </row>
    <row r="9844" spans="1:1" x14ac:dyDescent="0.2">
      <c r="A9844" s="52"/>
    </row>
    <row r="9845" spans="1:1" x14ac:dyDescent="0.2">
      <c r="A9845" s="52"/>
    </row>
    <row r="9846" spans="1:1" x14ac:dyDescent="0.2">
      <c r="A9846" s="52"/>
    </row>
    <row r="9847" spans="1:1" x14ac:dyDescent="0.2">
      <c r="A9847" s="52"/>
    </row>
    <row r="9848" spans="1:1" x14ac:dyDescent="0.2">
      <c r="A9848" s="52"/>
    </row>
    <row r="9849" spans="1:1" x14ac:dyDescent="0.2">
      <c r="A9849" s="52"/>
    </row>
    <row r="9850" spans="1:1" x14ac:dyDescent="0.2">
      <c r="A9850" s="52"/>
    </row>
    <row r="9851" spans="1:1" x14ac:dyDescent="0.2">
      <c r="A9851" s="52"/>
    </row>
    <row r="9852" spans="1:1" x14ac:dyDescent="0.2">
      <c r="A9852" s="52"/>
    </row>
    <row r="9853" spans="1:1" x14ac:dyDescent="0.2">
      <c r="A9853" s="52"/>
    </row>
    <row r="9854" spans="1:1" x14ac:dyDescent="0.2">
      <c r="A9854" s="52"/>
    </row>
    <row r="9855" spans="1:1" x14ac:dyDescent="0.2">
      <c r="A9855" s="52"/>
    </row>
    <row r="9856" spans="1:1" x14ac:dyDescent="0.2">
      <c r="A9856" s="52"/>
    </row>
    <row r="9857" spans="1:1" x14ac:dyDescent="0.2">
      <c r="A9857" s="53"/>
    </row>
    <row r="9858" spans="1:1" x14ac:dyDescent="0.2">
      <c r="A9858" s="52"/>
    </row>
    <row r="9859" spans="1:1" x14ac:dyDescent="0.2">
      <c r="A9859" s="52"/>
    </row>
    <row r="9860" spans="1:1" x14ac:dyDescent="0.2">
      <c r="A9860" s="52"/>
    </row>
    <row r="9861" spans="1:1" x14ac:dyDescent="0.2">
      <c r="A9861" s="52"/>
    </row>
    <row r="9862" spans="1:1" x14ac:dyDescent="0.2">
      <c r="A9862" s="52"/>
    </row>
    <row r="9863" spans="1:1" x14ac:dyDescent="0.2">
      <c r="A9863" s="52"/>
    </row>
    <row r="9864" spans="1:1" x14ac:dyDescent="0.2">
      <c r="A9864" s="52"/>
    </row>
    <row r="9865" spans="1:1" x14ac:dyDescent="0.2">
      <c r="A9865" s="52"/>
    </row>
    <row r="9866" spans="1:1" x14ac:dyDescent="0.2">
      <c r="A9866" s="52"/>
    </row>
    <row r="9867" spans="1:1" x14ac:dyDescent="0.2">
      <c r="A9867" s="52"/>
    </row>
    <row r="9868" spans="1:1" x14ac:dyDescent="0.2">
      <c r="A9868" s="52"/>
    </row>
    <row r="9869" spans="1:1" x14ac:dyDescent="0.2">
      <c r="A9869" s="52"/>
    </row>
    <row r="9870" spans="1:1" x14ac:dyDescent="0.2">
      <c r="A9870" s="53"/>
    </row>
    <row r="9871" spans="1:1" x14ac:dyDescent="0.2">
      <c r="A9871" s="52"/>
    </row>
    <row r="9872" spans="1:1" x14ac:dyDescent="0.2">
      <c r="A9872" s="52"/>
    </row>
    <row r="9873" spans="1:1" x14ac:dyDescent="0.2">
      <c r="A9873" s="52"/>
    </row>
    <row r="9874" spans="1:1" x14ac:dyDescent="0.2">
      <c r="A9874" s="52"/>
    </row>
    <row r="9875" spans="1:1" x14ac:dyDescent="0.2">
      <c r="A9875" s="52"/>
    </row>
    <row r="9876" spans="1:1" x14ac:dyDescent="0.2">
      <c r="A9876" s="52"/>
    </row>
    <row r="9877" spans="1:1" x14ac:dyDescent="0.2">
      <c r="A9877" s="52"/>
    </row>
    <row r="9878" spans="1:1" x14ac:dyDescent="0.2">
      <c r="A9878" s="52"/>
    </row>
    <row r="9879" spans="1:1" x14ac:dyDescent="0.2">
      <c r="A9879" s="52"/>
    </row>
    <row r="9880" spans="1:1" x14ac:dyDescent="0.2">
      <c r="A9880" s="52"/>
    </row>
    <row r="9881" spans="1:1" x14ac:dyDescent="0.2">
      <c r="A9881" s="52"/>
    </row>
    <row r="9882" spans="1:1" x14ac:dyDescent="0.2">
      <c r="A9882" s="52"/>
    </row>
    <row r="9883" spans="1:1" x14ac:dyDescent="0.2">
      <c r="A9883" s="52"/>
    </row>
    <row r="9884" spans="1:1" x14ac:dyDescent="0.2">
      <c r="A9884" s="52"/>
    </row>
    <row r="9885" spans="1:1" x14ac:dyDescent="0.2">
      <c r="A9885" s="52"/>
    </row>
    <row r="9886" spans="1:1" x14ac:dyDescent="0.2">
      <c r="A9886" s="52"/>
    </row>
    <row r="9887" spans="1:1" x14ac:dyDescent="0.2">
      <c r="A9887" s="52"/>
    </row>
    <row r="9888" spans="1:1" x14ac:dyDescent="0.2">
      <c r="A9888" s="52"/>
    </row>
    <row r="9889" spans="1:1" x14ac:dyDescent="0.2">
      <c r="A9889" s="52"/>
    </row>
    <row r="9890" spans="1:1" x14ac:dyDescent="0.2">
      <c r="A9890" s="52"/>
    </row>
    <row r="9891" spans="1:1" x14ac:dyDescent="0.2">
      <c r="A9891" s="52"/>
    </row>
    <row r="9892" spans="1:1" x14ac:dyDescent="0.2">
      <c r="A9892" s="52"/>
    </row>
    <row r="9893" spans="1:1" x14ac:dyDescent="0.2">
      <c r="A9893" s="52"/>
    </row>
    <row r="9894" spans="1:1" x14ac:dyDescent="0.2">
      <c r="A9894" s="52"/>
    </row>
    <row r="9895" spans="1:1" x14ac:dyDescent="0.2">
      <c r="A9895" s="52"/>
    </row>
    <row r="9896" spans="1:1" x14ac:dyDescent="0.2">
      <c r="A9896" s="52"/>
    </row>
    <row r="9897" spans="1:1" x14ac:dyDescent="0.2">
      <c r="A9897" s="52"/>
    </row>
    <row r="9898" spans="1:1" x14ac:dyDescent="0.2">
      <c r="A9898" s="52"/>
    </row>
    <row r="9899" spans="1:1" x14ac:dyDescent="0.2">
      <c r="A9899" s="52"/>
    </row>
    <row r="9900" spans="1:1" x14ac:dyDescent="0.2">
      <c r="A9900" s="52"/>
    </row>
    <row r="9901" spans="1:1" x14ac:dyDescent="0.2">
      <c r="A9901" s="52"/>
    </row>
    <row r="9902" spans="1:1" x14ac:dyDescent="0.2">
      <c r="A9902" s="52"/>
    </row>
    <row r="9903" spans="1:1" x14ac:dyDescent="0.2">
      <c r="A9903" s="52"/>
    </row>
    <row r="9904" spans="1:1" x14ac:dyDescent="0.2">
      <c r="A9904" s="52"/>
    </row>
    <row r="9905" spans="1:1" x14ac:dyDescent="0.2">
      <c r="A9905" s="52"/>
    </row>
    <row r="9906" spans="1:1" x14ac:dyDescent="0.2">
      <c r="A9906" s="52"/>
    </row>
    <row r="9907" spans="1:1" x14ac:dyDescent="0.2">
      <c r="A9907" s="52"/>
    </row>
    <row r="9908" spans="1:1" x14ac:dyDescent="0.2">
      <c r="A9908" s="52"/>
    </row>
    <row r="9909" spans="1:1" x14ac:dyDescent="0.2">
      <c r="A9909" s="52"/>
    </row>
    <row r="9910" spans="1:1" x14ac:dyDescent="0.2">
      <c r="A9910" s="52"/>
    </row>
    <row r="9911" spans="1:1" x14ac:dyDescent="0.2">
      <c r="A9911" s="52"/>
    </row>
    <row r="9912" spans="1:1" x14ac:dyDescent="0.2">
      <c r="A9912" s="52"/>
    </row>
    <row r="9913" spans="1:1" x14ac:dyDescent="0.2">
      <c r="A9913" s="52"/>
    </row>
    <row r="9914" spans="1:1" x14ac:dyDescent="0.2">
      <c r="A9914" s="52"/>
    </row>
    <row r="9915" spans="1:1" x14ac:dyDescent="0.2">
      <c r="A9915" s="52"/>
    </row>
    <row r="9916" spans="1:1" x14ac:dyDescent="0.2">
      <c r="A9916" s="52"/>
    </row>
    <row r="9917" spans="1:1" x14ac:dyDescent="0.2">
      <c r="A9917" s="52"/>
    </row>
    <row r="9918" spans="1:1" x14ac:dyDescent="0.2">
      <c r="A9918" s="52"/>
    </row>
    <row r="9919" spans="1:1" x14ac:dyDescent="0.2">
      <c r="A9919" s="52"/>
    </row>
    <row r="9920" spans="1:1" x14ac:dyDescent="0.2">
      <c r="A9920" s="52"/>
    </row>
    <row r="9921" spans="1:1" x14ac:dyDescent="0.2">
      <c r="A9921" s="52"/>
    </row>
    <row r="9922" spans="1:1" x14ac:dyDescent="0.2">
      <c r="A9922" s="52"/>
    </row>
    <row r="9923" spans="1:1" x14ac:dyDescent="0.2">
      <c r="A9923" s="52"/>
    </row>
    <row r="9924" spans="1:1" x14ac:dyDescent="0.2">
      <c r="A9924" s="52"/>
    </row>
    <row r="9925" spans="1:1" x14ac:dyDescent="0.2">
      <c r="A9925" s="52"/>
    </row>
    <row r="9926" spans="1:1" x14ac:dyDescent="0.2">
      <c r="A9926" s="52"/>
    </row>
    <row r="9927" spans="1:1" x14ac:dyDescent="0.2">
      <c r="A9927" s="52"/>
    </row>
    <row r="9928" spans="1:1" x14ac:dyDescent="0.2">
      <c r="A9928" s="52"/>
    </row>
    <row r="9929" spans="1:1" x14ac:dyDescent="0.2">
      <c r="A9929" s="52"/>
    </row>
    <row r="9930" spans="1:1" x14ac:dyDescent="0.2">
      <c r="A9930" s="52"/>
    </row>
    <row r="9931" spans="1:1" x14ac:dyDescent="0.2">
      <c r="A9931" s="52"/>
    </row>
    <row r="9932" spans="1:1" x14ac:dyDescent="0.2">
      <c r="A9932" s="52"/>
    </row>
    <row r="9933" spans="1:1" x14ac:dyDescent="0.2">
      <c r="A9933" s="52"/>
    </row>
    <row r="9934" spans="1:1" x14ac:dyDescent="0.2">
      <c r="A9934" s="52"/>
    </row>
    <row r="9935" spans="1:1" x14ac:dyDescent="0.2">
      <c r="A9935" s="52"/>
    </row>
    <row r="9936" spans="1:1" x14ac:dyDescent="0.2">
      <c r="A9936" s="52"/>
    </row>
    <row r="9937" spans="1:1" x14ac:dyDescent="0.2">
      <c r="A9937" s="52"/>
    </row>
    <row r="9938" spans="1:1" x14ac:dyDescent="0.2">
      <c r="A9938" s="52"/>
    </row>
    <row r="9939" spans="1:1" x14ac:dyDescent="0.2">
      <c r="A9939" s="53"/>
    </row>
    <row r="9940" spans="1:1" x14ac:dyDescent="0.2">
      <c r="A9940" s="52"/>
    </row>
    <row r="9941" spans="1:1" x14ac:dyDescent="0.2">
      <c r="A9941" s="52"/>
    </row>
    <row r="9942" spans="1:1" x14ac:dyDescent="0.2">
      <c r="A9942" s="52"/>
    </row>
    <row r="9943" spans="1:1" x14ac:dyDescent="0.2">
      <c r="A9943" s="52"/>
    </row>
    <row r="9944" spans="1:1" x14ac:dyDescent="0.2">
      <c r="A9944" s="52"/>
    </row>
    <row r="9945" spans="1:1" x14ac:dyDescent="0.2">
      <c r="A9945" s="52"/>
    </row>
    <row r="9946" spans="1:1" x14ac:dyDescent="0.2">
      <c r="A9946" s="52"/>
    </row>
    <row r="9947" spans="1:1" x14ac:dyDescent="0.2">
      <c r="A9947" s="52"/>
    </row>
    <row r="9948" spans="1:1" x14ac:dyDescent="0.2">
      <c r="A9948" s="52"/>
    </row>
    <row r="9949" spans="1:1" x14ac:dyDescent="0.2">
      <c r="A9949" s="52"/>
    </row>
    <row r="9950" spans="1:1" x14ac:dyDescent="0.2">
      <c r="A9950" s="52"/>
    </row>
    <row r="9951" spans="1:1" x14ac:dyDescent="0.2">
      <c r="A9951" s="52"/>
    </row>
    <row r="9952" spans="1:1" x14ac:dyDescent="0.2">
      <c r="A9952" s="52"/>
    </row>
    <row r="9953" spans="1:1" x14ac:dyDescent="0.2">
      <c r="A9953" s="52"/>
    </row>
    <row r="9954" spans="1:1" x14ac:dyDescent="0.2">
      <c r="A9954" s="52"/>
    </row>
    <row r="9955" spans="1:1" x14ac:dyDescent="0.2">
      <c r="A9955" s="52"/>
    </row>
    <row r="9956" spans="1:1" x14ac:dyDescent="0.2">
      <c r="A9956" s="53"/>
    </row>
    <row r="9957" spans="1:1" x14ac:dyDescent="0.2">
      <c r="A9957" s="52"/>
    </row>
    <row r="9958" spans="1:1" x14ac:dyDescent="0.2">
      <c r="A9958" s="52"/>
    </row>
    <row r="9959" spans="1:1" x14ac:dyDescent="0.2">
      <c r="A9959" s="52"/>
    </row>
    <row r="9960" spans="1:1" x14ac:dyDescent="0.2">
      <c r="A9960" s="52"/>
    </row>
    <row r="9961" spans="1:1" x14ac:dyDescent="0.2">
      <c r="A9961" s="52"/>
    </row>
    <row r="9962" spans="1:1" x14ac:dyDescent="0.2">
      <c r="A9962" s="52"/>
    </row>
    <row r="9963" spans="1:1" x14ac:dyDescent="0.2">
      <c r="A9963" s="52"/>
    </row>
    <row r="9964" spans="1:1" x14ac:dyDescent="0.2">
      <c r="A9964" s="52"/>
    </row>
    <row r="9965" spans="1:1" x14ac:dyDescent="0.2">
      <c r="A9965" s="52"/>
    </row>
    <row r="9966" spans="1:1" x14ac:dyDescent="0.2">
      <c r="A9966" s="52"/>
    </row>
    <row r="9967" spans="1:1" x14ac:dyDescent="0.2">
      <c r="A9967" s="52"/>
    </row>
    <row r="9968" spans="1:1" x14ac:dyDescent="0.2">
      <c r="A9968" s="52"/>
    </row>
    <row r="9969" spans="1:1" x14ac:dyDescent="0.2">
      <c r="A9969" s="53"/>
    </row>
    <row r="9970" spans="1:1" x14ac:dyDescent="0.2">
      <c r="A9970" s="53"/>
    </row>
    <row r="9971" spans="1:1" x14ac:dyDescent="0.2">
      <c r="A9971" s="52"/>
    </row>
    <row r="9972" spans="1:1" x14ac:dyDescent="0.2">
      <c r="A9972" s="52"/>
    </row>
    <row r="9973" spans="1:1" x14ac:dyDescent="0.2">
      <c r="A9973" s="52"/>
    </row>
    <row r="9974" spans="1:1" x14ac:dyDescent="0.2">
      <c r="A9974" s="52"/>
    </row>
    <row r="9975" spans="1:1" x14ac:dyDescent="0.2">
      <c r="A9975" s="52"/>
    </row>
    <row r="9976" spans="1:1" x14ac:dyDescent="0.2">
      <c r="A9976" s="52"/>
    </row>
    <row r="9977" spans="1:1" x14ac:dyDescent="0.2">
      <c r="A9977" s="52"/>
    </row>
    <row r="9978" spans="1:1" x14ac:dyDescent="0.2">
      <c r="A9978" s="52"/>
    </row>
    <row r="9979" spans="1:1" x14ac:dyDescent="0.2">
      <c r="A9979" s="52"/>
    </row>
    <row r="9980" spans="1:1" x14ac:dyDescent="0.2">
      <c r="A9980" s="52"/>
    </row>
    <row r="9981" spans="1:1" x14ac:dyDescent="0.2">
      <c r="A9981" s="52"/>
    </row>
    <row r="9982" spans="1:1" x14ac:dyDescent="0.2">
      <c r="A9982" s="52"/>
    </row>
    <row r="9983" spans="1:1" x14ac:dyDescent="0.2">
      <c r="A9983" s="52"/>
    </row>
    <row r="9984" spans="1:1" x14ac:dyDescent="0.2">
      <c r="A9984" s="52"/>
    </row>
    <row r="9985" spans="1:1" x14ac:dyDescent="0.2">
      <c r="A9985" s="52"/>
    </row>
    <row r="9986" spans="1:1" x14ac:dyDescent="0.2">
      <c r="A9986" s="52"/>
    </row>
    <row r="9987" spans="1:1" x14ac:dyDescent="0.2">
      <c r="A9987" s="52"/>
    </row>
    <row r="9988" spans="1:1" x14ac:dyDescent="0.2">
      <c r="A9988" s="52"/>
    </row>
    <row r="9989" spans="1:1" x14ac:dyDescent="0.2">
      <c r="A9989" s="52"/>
    </row>
    <row r="9990" spans="1:1" x14ac:dyDescent="0.2">
      <c r="A9990" s="52"/>
    </row>
    <row r="9991" spans="1:1" x14ac:dyDescent="0.2">
      <c r="A9991" s="52"/>
    </row>
    <row r="9992" spans="1:1" x14ac:dyDescent="0.2">
      <c r="A9992" s="52"/>
    </row>
    <row r="9993" spans="1:1" x14ac:dyDescent="0.2">
      <c r="A9993" s="52"/>
    </row>
    <row r="9994" spans="1:1" x14ac:dyDescent="0.2">
      <c r="A9994" s="52"/>
    </row>
    <row r="9995" spans="1:1" x14ac:dyDescent="0.2">
      <c r="A9995" s="52"/>
    </row>
    <row r="9996" spans="1:1" x14ac:dyDescent="0.2">
      <c r="A9996" s="52"/>
    </row>
    <row r="9997" spans="1:1" x14ac:dyDescent="0.2">
      <c r="A9997" s="52"/>
    </row>
    <row r="9998" spans="1:1" x14ac:dyDescent="0.2">
      <c r="A9998" s="52"/>
    </row>
    <row r="9999" spans="1:1" x14ac:dyDescent="0.2">
      <c r="A9999" s="52"/>
    </row>
    <row r="10000" spans="1:1" x14ac:dyDescent="0.2">
      <c r="A10000" s="52"/>
    </row>
    <row r="10001" spans="1:1" x14ac:dyDescent="0.2">
      <c r="A10001" s="52"/>
    </row>
    <row r="10002" spans="1:1" x14ac:dyDescent="0.2">
      <c r="A10002" s="52"/>
    </row>
    <row r="10003" spans="1:1" x14ac:dyDescent="0.2">
      <c r="A10003" s="52"/>
    </row>
    <row r="10004" spans="1:1" x14ac:dyDescent="0.2">
      <c r="A10004" s="52"/>
    </row>
    <row r="10005" spans="1:1" x14ac:dyDescent="0.2">
      <c r="A10005" s="52"/>
    </row>
    <row r="10006" spans="1:1" x14ac:dyDescent="0.2">
      <c r="A10006" s="52"/>
    </row>
    <row r="10007" spans="1:1" x14ac:dyDescent="0.2">
      <c r="A10007" s="52"/>
    </row>
    <row r="10008" spans="1:1" x14ac:dyDescent="0.2">
      <c r="A10008" s="52"/>
    </row>
    <row r="10009" spans="1:1" x14ac:dyDescent="0.2">
      <c r="A10009" s="52"/>
    </row>
    <row r="10010" spans="1:1" x14ac:dyDescent="0.2">
      <c r="A10010" s="52"/>
    </row>
    <row r="10011" spans="1:1" x14ac:dyDescent="0.2">
      <c r="A10011" s="52"/>
    </row>
    <row r="10012" spans="1:1" x14ac:dyDescent="0.2">
      <c r="A10012" s="52"/>
    </row>
    <row r="10013" spans="1:1" x14ac:dyDescent="0.2">
      <c r="A10013" s="52"/>
    </row>
    <row r="10014" spans="1:1" x14ac:dyDescent="0.2">
      <c r="A10014" s="52"/>
    </row>
    <row r="10015" spans="1:1" x14ac:dyDescent="0.2">
      <c r="A10015" s="52"/>
    </row>
    <row r="10016" spans="1:1" x14ac:dyDescent="0.2">
      <c r="A10016" s="52"/>
    </row>
    <row r="10017" spans="1:1" x14ac:dyDescent="0.2">
      <c r="A10017" s="52"/>
    </row>
    <row r="10018" spans="1:1" x14ac:dyDescent="0.2">
      <c r="A10018" s="52"/>
    </row>
    <row r="10019" spans="1:1" x14ac:dyDescent="0.2">
      <c r="A10019" s="52"/>
    </row>
    <row r="10020" spans="1:1" x14ac:dyDescent="0.2">
      <c r="A10020" s="53"/>
    </row>
    <row r="10021" spans="1:1" x14ac:dyDescent="0.2">
      <c r="A10021" s="52"/>
    </row>
    <row r="10022" spans="1:1" x14ac:dyDescent="0.2">
      <c r="A10022" s="52"/>
    </row>
    <row r="10023" spans="1:1" x14ac:dyDescent="0.2">
      <c r="A10023" s="52"/>
    </row>
    <row r="10024" spans="1:1" x14ac:dyDescent="0.2">
      <c r="A10024" s="52"/>
    </row>
    <row r="10025" spans="1:1" x14ac:dyDescent="0.2">
      <c r="A10025" s="52"/>
    </row>
    <row r="10026" spans="1:1" x14ac:dyDescent="0.2">
      <c r="A10026" s="52"/>
    </row>
    <row r="10027" spans="1:1" x14ac:dyDescent="0.2">
      <c r="A10027" s="52"/>
    </row>
    <row r="10028" spans="1:1" x14ac:dyDescent="0.2">
      <c r="A10028" s="52"/>
    </row>
    <row r="10029" spans="1:1" x14ac:dyDescent="0.2">
      <c r="A10029" s="52"/>
    </row>
    <row r="10030" spans="1:1" x14ac:dyDescent="0.2">
      <c r="A10030" s="52"/>
    </row>
    <row r="10031" spans="1:1" x14ac:dyDescent="0.2">
      <c r="A10031" s="52"/>
    </row>
    <row r="10032" spans="1:1" x14ac:dyDescent="0.2">
      <c r="A10032" s="52"/>
    </row>
    <row r="10033" spans="1:1" x14ac:dyDescent="0.2">
      <c r="A10033" s="52"/>
    </row>
    <row r="10034" spans="1:1" x14ac:dyDescent="0.2">
      <c r="A10034" s="52"/>
    </row>
    <row r="10035" spans="1:1" x14ac:dyDescent="0.2">
      <c r="A10035" s="52"/>
    </row>
    <row r="10036" spans="1:1" x14ac:dyDescent="0.2">
      <c r="A10036" s="52"/>
    </row>
    <row r="10037" spans="1:1" x14ac:dyDescent="0.2">
      <c r="A10037" s="52"/>
    </row>
    <row r="10038" spans="1:1" x14ac:dyDescent="0.2">
      <c r="A10038" s="52"/>
    </row>
    <row r="10039" spans="1:1" x14ac:dyDescent="0.2">
      <c r="A10039" s="52"/>
    </row>
    <row r="10040" spans="1:1" x14ac:dyDescent="0.2">
      <c r="A10040" s="52"/>
    </row>
    <row r="10041" spans="1:1" x14ac:dyDescent="0.2">
      <c r="A10041" s="52"/>
    </row>
    <row r="10042" spans="1:1" x14ac:dyDescent="0.2">
      <c r="A10042" s="52"/>
    </row>
    <row r="10043" spans="1:1" x14ac:dyDescent="0.2">
      <c r="A10043" s="52"/>
    </row>
    <row r="10044" spans="1:1" x14ac:dyDescent="0.2">
      <c r="A10044" s="52"/>
    </row>
    <row r="10045" spans="1:1" x14ac:dyDescent="0.2">
      <c r="A10045" s="52"/>
    </row>
    <row r="10046" spans="1:1" x14ac:dyDescent="0.2">
      <c r="A10046" s="52"/>
    </row>
    <row r="10047" spans="1:1" x14ac:dyDescent="0.2">
      <c r="A10047" s="52"/>
    </row>
    <row r="10048" spans="1:1" x14ac:dyDescent="0.2">
      <c r="A10048" s="52"/>
    </row>
    <row r="10049" spans="1:1" x14ac:dyDescent="0.2">
      <c r="A10049" s="52"/>
    </row>
    <row r="10050" spans="1:1" x14ac:dyDescent="0.2">
      <c r="A10050" s="52"/>
    </row>
    <row r="10051" spans="1:1" x14ac:dyDescent="0.2">
      <c r="A10051" s="52"/>
    </row>
    <row r="10052" spans="1:1" x14ac:dyDescent="0.2">
      <c r="A10052" s="52"/>
    </row>
    <row r="10053" spans="1:1" x14ac:dyDescent="0.2">
      <c r="A10053" s="52"/>
    </row>
    <row r="10054" spans="1:1" x14ac:dyDescent="0.2">
      <c r="A10054" s="52"/>
    </row>
    <row r="10055" spans="1:1" x14ac:dyDescent="0.2">
      <c r="A10055" s="52"/>
    </row>
    <row r="10056" spans="1:1" x14ac:dyDescent="0.2">
      <c r="A10056" s="52"/>
    </row>
    <row r="10057" spans="1:1" x14ac:dyDescent="0.2">
      <c r="A10057" s="52"/>
    </row>
    <row r="10058" spans="1:1" x14ac:dyDescent="0.2">
      <c r="A10058" s="52"/>
    </row>
    <row r="10059" spans="1:1" x14ac:dyDescent="0.2">
      <c r="A10059" s="52"/>
    </row>
    <row r="10060" spans="1:1" x14ac:dyDescent="0.2">
      <c r="A10060" s="52"/>
    </row>
    <row r="10061" spans="1:1" x14ac:dyDescent="0.2">
      <c r="A10061" s="52"/>
    </row>
    <row r="10062" spans="1:1" x14ac:dyDescent="0.2">
      <c r="A10062" s="52"/>
    </row>
    <row r="10063" spans="1:1" x14ac:dyDescent="0.2">
      <c r="A10063" s="52"/>
    </row>
    <row r="10064" spans="1:1" x14ac:dyDescent="0.2">
      <c r="A10064" s="52"/>
    </row>
    <row r="10065" spans="1:1" x14ac:dyDescent="0.2">
      <c r="A10065" s="52"/>
    </row>
    <row r="10066" spans="1:1" x14ac:dyDescent="0.2">
      <c r="A10066" s="53"/>
    </row>
    <row r="10067" spans="1:1" x14ac:dyDescent="0.2">
      <c r="A10067" s="52"/>
    </row>
    <row r="10068" spans="1:1" x14ac:dyDescent="0.2">
      <c r="A10068" s="52"/>
    </row>
    <row r="10069" spans="1:1" x14ac:dyDescent="0.2">
      <c r="A10069" s="52"/>
    </row>
    <row r="10070" spans="1:1" x14ac:dyDescent="0.2">
      <c r="A10070" s="52"/>
    </row>
    <row r="10071" spans="1:1" x14ac:dyDescent="0.2">
      <c r="A10071" s="52"/>
    </row>
    <row r="10072" spans="1:1" x14ac:dyDescent="0.2">
      <c r="A10072" s="52"/>
    </row>
    <row r="10073" spans="1:1" x14ac:dyDescent="0.2">
      <c r="A10073" s="52"/>
    </row>
    <row r="10074" spans="1:1" x14ac:dyDescent="0.2">
      <c r="A10074" s="52"/>
    </row>
    <row r="10075" spans="1:1" x14ac:dyDescent="0.2">
      <c r="A10075" s="52"/>
    </row>
    <row r="10076" spans="1:1" x14ac:dyDescent="0.2">
      <c r="A10076" s="52"/>
    </row>
    <row r="10077" spans="1:1" x14ac:dyDescent="0.2">
      <c r="A10077" s="52"/>
    </row>
    <row r="10078" spans="1:1" x14ac:dyDescent="0.2">
      <c r="A10078" s="52"/>
    </row>
    <row r="10079" spans="1:1" x14ac:dyDescent="0.2">
      <c r="A10079" s="52"/>
    </row>
    <row r="10080" spans="1:1" x14ac:dyDescent="0.2">
      <c r="A10080" s="52"/>
    </row>
    <row r="10081" spans="1:1" x14ac:dyDescent="0.2">
      <c r="A10081" s="52"/>
    </row>
    <row r="10082" spans="1:1" x14ac:dyDescent="0.2">
      <c r="A10082" s="52"/>
    </row>
    <row r="10083" spans="1:1" x14ac:dyDescent="0.2">
      <c r="A10083" s="52"/>
    </row>
    <row r="10084" spans="1:1" x14ac:dyDescent="0.2">
      <c r="A10084" s="52"/>
    </row>
    <row r="10085" spans="1:1" x14ac:dyDescent="0.2">
      <c r="A10085" s="52"/>
    </row>
    <row r="10086" spans="1:1" x14ac:dyDescent="0.2">
      <c r="A10086" s="52"/>
    </row>
    <row r="10087" spans="1:1" x14ac:dyDescent="0.2">
      <c r="A10087" s="52"/>
    </row>
    <row r="10088" spans="1:1" x14ac:dyDescent="0.2">
      <c r="A10088" s="52"/>
    </row>
    <row r="10089" spans="1:1" x14ac:dyDescent="0.2">
      <c r="A10089" s="52"/>
    </row>
    <row r="10090" spans="1:1" x14ac:dyDescent="0.2">
      <c r="A10090" s="52"/>
    </row>
    <row r="10091" spans="1:1" x14ac:dyDescent="0.2">
      <c r="A10091" s="52"/>
    </row>
    <row r="10092" spans="1:1" x14ac:dyDescent="0.2">
      <c r="A10092" s="53"/>
    </row>
    <row r="10093" spans="1:1" x14ac:dyDescent="0.2">
      <c r="A10093" s="52"/>
    </row>
    <row r="10094" spans="1:1" x14ac:dyDescent="0.2">
      <c r="A10094" s="52"/>
    </row>
    <row r="10095" spans="1:1" x14ac:dyDescent="0.2">
      <c r="A10095" s="52"/>
    </row>
    <row r="10096" spans="1:1" x14ac:dyDescent="0.2">
      <c r="A10096" s="52"/>
    </row>
    <row r="10097" spans="1:1" x14ac:dyDescent="0.2">
      <c r="A10097" s="52"/>
    </row>
    <row r="10098" spans="1:1" x14ac:dyDescent="0.2">
      <c r="A10098" s="52"/>
    </row>
    <row r="10099" spans="1:1" x14ac:dyDescent="0.2">
      <c r="A10099" s="52"/>
    </row>
    <row r="10100" spans="1:1" x14ac:dyDescent="0.2">
      <c r="A10100" s="52"/>
    </row>
    <row r="10101" spans="1:1" x14ac:dyDescent="0.2">
      <c r="A10101" s="52"/>
    </row>
    <row r="10102" spans="1:1" x14ac:dyDescent="0.2">
      <c r="A10102" s="52"/>
    </row>
    <row r="10103" spans="1:1" x14ac:dyDescent="0.2">
      <c r="A10103" s="52"/>
    </row>
    <row r="10104" spans="1:1" x14ac:dyDescent="0.2">
      <c r="A10104" s="52"/>
    </row>
    <row r="10105" spans="1:1" x14ac:dyDescent="0.2">
      <c r="A10105" s="52"/>
    </row>
    <row r="10106" spans="1:1" x14ac:dyDescent="0.2">
      <c r="A10106" s="52"/>
    </row>
    <row r="10107" spans="1:1" x14ac:dyDescent="0.2">
      <c r="A10107" s="52"/>
    </row>
    <row r="10108" spans="1:1" x14ac:dyDescent="0.2">
      <c r="A10108" s="52"/>
    </row>
    <row r="10109" spans="1:1" x14ac:dyDescent="0.2">
      <c r="A10109" s="52"/>
    </row>
    <row r="10110" spans="1:1" x14ac:dyDescent="0.2">
      <c r="A10110" s="52"/>
    </row>
    <row r="10111" spans="1:1" x14ac:dyDescent="0.2">
      <c r="A10111" s="52"/>
    </row>
    <row r="10112" spans="1:1" x14ac:dyDescent="0.2">
      <c r="A10112" s="52"/>
    </row>
    <row r="10113" spans="1:1" x14ac:dyDescent="0.2">
      <c r="A10113" s="52"/>
    </row>
    <row r="10114" spans="1:1" x14ac:dyDescent="0.2">
      <c r="A10114" s="52"/>
    </row>
    <row r="10115" spans="1:1" x14ac:dyDescent="0.2">
      <c r="A10115" s="52"/>
    </row>
    <row r="10116" spans="1:1" x14ac:dyDescent="0.2">
      <c r="A10116" s="52"/>
    </row>
    <row r="10117" spans="1:1" x14ac:dyDescent="0.2">
      <c r="A10117" s="52"/>
    </row>
    <row r="10118" spans="1:1" x14ac:dyDescent="0.2">
      <c r="A10118" s="52"/>
    </row>
    <row r="10119" spans="1:1" x14ac:dyDescent="0.2">
      <c r="A10119" s="52"/>
    </row>
    <row r="10120" spans="1:1" x14ac:dyDescent="0.2">
      <c r="A10120" s="52"/>
    </row>
    <row r="10121" spans="1:1" x14ac:dyDescent="0.2">
      <c r="A10121" s="52"/>
    </row>
    <row r="10122" spans="1:1" x14ac:dyDescent="0.2">
      <c r="A10122" s="52"/>
    </row>
    <row r="10123" spans="1:1" x14ac:dyDescent="0.2">
      <c r="A10123" s="52"/>
    </row>
    <row r="10124" spans="1:1" x14ac:dyDescent="0.2">
      <c r="A10124" s="52"/>
    </row>
    <row r="10125" spans="1:1" x14ac:dyDescent="0.2">
      <c r="A10125" s="52"/>
    </row>
    <row r="10126" spans="1:1" x14ac:dyDescent="0.2">
      <c r="A10126" s="52"/>
    </row>
    <row r="10127" spans="1:1" x14ac:dyDescent="0.2">
      <c r="A10127" s="52"/>
    </row>
    <row r="10128" spans="1:1" x14ac:dyDescent="0.2">
      <c r="A10128" s="52"/>
    </row>
    <row r="10129" spans="1:1" x14ac:dyDescent="0.2">
      <c r="A10129" s="52"/>
    </row>
    <row r="10130" spans="1:1" x14ac:dyDescent="0.2">
      <c r="A10130" s="52"/>
    </row>
    <row r="10131" spans="1:1" x14ac:dyDescent="0.2">
      <c r="A10131" s="52"/>
    </row>
    <row r="10132" spans="1:1" x14ac:dyDescent="0.2">
      <c r="A10132" s="52"/>
    </row>
    <row r="10133" spans="1:1" x14ac:dyDescent="0.2">
      <c r="A10133" s="52"/>
    </row>
    <row r="10134" spans="1:1" x14ac:dyDescent="0.2">
      <c r="A10134" s="52"/>
    </row>
    <row r="10135" spans="1:1" x14ac:dyDescent="0.2">
      <c r="A10135" s="52"/>
    </row>
    <row r="10136" spans="1:1" x14ac:dyDescent="0.2">
      <c r="A10136" s="52"/>
    </row>
    <row r="10137" spans="1:1" x14ac:dyDescent="0.2">
      <c r="A10137" s="52"/>
    </row>
    <row r="10138" spans="1:1" x14ac:dyDescent="0.2">
      <c r="A10138" s="52"/>
    </row>
    <row r="10139" spans="1:1" x14ac:dyDescent="0.2">
      <c r="A10139" s="52"/>
    </row>
    <row r="10140" spans="1:1" x14ac:dyDescent="0.2">
      <c r="A10140" s="52"/>
    </row>
    <row r="10141" spans="1:1" x14ac:dyDescent="0.2">
      <c r="A10141" s="52"/>
    </row>
    <row r="10142" spans="1:1" x14ac:dyDescent="0.2">
      <c r="A10142" s="52"/>
    </row>
    <row r="10143" spans="1:1" x14ac:dyDescent="0.2">
      <c r="A10143" s="52"/>
    </row>
    <row r="10144" spans="1:1" x14ac:dyDescent="0.2">
      <c r="A10144" s="52"/>
    </row>
    <row r="10145" spans="1:1" x14ac:dyDescent="0.2">
      <c r="A10145" s="52"/>
    </row>
    <row r="10146" spans="1:1" x14ac:dyDescent="0.2">
      <c r="A10146" s="52"/>
    </row>
    <row r="10147" spans="1:1" x14ac:dyDescent="0.2">
      <c r="A10147" s="52"/>
    </row>
    <row r="10148" spans="1:1" x14ac:dyDescent="0.2">
      <c r="A10148" s="52"/>
    </row>
    <row r="10149" spans="1:1" x14ac:dyDescent="0.2">
      <c r="A10149" s="52"/>
    </row>
    <row r="10150" spans="1:1" x14ac:dyDescent="0.2">
      <c r="A10150" s="52"/>
    </row>
    <row r="10151" spans="1:1" x14ac:dyDescent="0.2">
      <c r="A10151" s="52"/>
    </row>
    <row r="10152" spans="1:1" x14ac:dyDescent="0.2">
      <c r="A10152" s="52"/>
    </row>
    <row r="10153" spans="1:1" x14ac:dyDescent="0.2">
      <c r="A10153" s="52"/>
    </row>
    <row r="10154" spans="1:1" x14ac:dyDescent="0.2">
      <c r="A10154" s="52"/>
    </row>
    <row r="10155" spans="1:1" x14ac:dyDescent="0.2">
      <c r="A10155" s="52"/>
    </row>
    <row r="10156" spans="1:1" x14ac:dyDescent="0.2">
      <c r="A10156" s="52"/>
    </row>
    <row r="10157" spans="1:1" x14ac:dyDescent="0.2">
      <c r="A10157" s="52"/>
    </row>
    <row r="10158" spans="1:1" x14ac:dyDescent="0.2">
      <c r="A10158" s="52"/>
    </row>
    <row r="10159" spans="1:1" x14ac:dyDescent="0.2">
      <c r="A10159" s="52"/>
    </row>
    <row r="10160" spans="1:1" x14ac:dyDescent="0.2">
      <c r="A10160" s="52"/>
    </row>
    <row r="10161" spans="1:1" x14ac:dyDescent="0.2">
      <c r="A10161" s="52"/>
    </row>
    <row r="10162" spans="1:1" x14ac:dyDescent="0.2">
      <c r="A10162" s="52"/>
    </row>
    <row r="10163" spans="1:1" x14ac:dyDescent="0.2">
      <c r="A10163" s="52"/>
    </row>
    <row r="10164" spans="1:1" x14ac:dyDescent="0.2">
      <c r="A10164" s="52"/>
    </row>
    <row r="10165" spans="1:1" x14ac:dyDescent="0.2">
      <c r="A10165" s="52"/>
    </row>
    <row r="10166" spans="1:1" x14ac:dyDescent="0.2">
      <c r="A10166" s="52"/>
    </row>
    <row r="10167" spans="1:1" x14ac:dyDescent="0.2">
      <c r="A10167" s="52"/>
    </row>
    <row r="10168" spans="1:1" x14ac:dyDescent="0.2">
      <c r="A10168" s="52"/>
    </row>
    <row r="10169" spans="1:1" x14ac:dyDescent="0.2">
      <c r="A10169" s="52"/>
    </row>
    <row r="10170" spans="1:1" x14ac:dyDescent="0.2">
      <c r="A10170" s="52"/>
    </row>
    <row r="10171" spans="1:1" x14ac:dyDescent="0.2">
      <c r="A10171" s="52"/>
    </row>
    <row r="10172" spans="1:1" x14ac:dyDescent="0.2">
      <c r="A10172" s="52"/>
    </row>
    <row r="10173" spans="1:1" x14ac:dyDescent="0.2">
      <c r="A10173" s="52"/>
    </row>
    <row r="10174" spans="1:1" x14ac:dyDescent="0.2">
      <c r="A10174" s="52"/>
    </row>
    <row r="10175" spans="1:1" x14ac:dyDescent="0.2">
      <c r="A10175" s="52"/>
    </row>
    <row r="10176" spans="1:1" x14ac:dyDescent="0.2">
      <c r="A10176" s="52"/>
    </row>
    <row r="10177" spans="1:1" x14ac:dyDescent="0.2">
      <c r="A10177" s="52"/>
    </row>
    <row r="10178" spans="1:1" x14ac:dyDescent="0.2">
      <c r="A10178" s="52"/>
    </row>
    <row r="10179" spans="1:1" x14ac:dyDescent="0.2">
      <c r="A10179" s="52"/>
    </row>
    <row r="10180" spans="1:1" x14ac:dyDescent="0.2">
      <c r="A10180" s="52"/>
    </row>
    <row r="10181" spans="1:1" x14ac:dyDescent="0.2">
      <c r="A10181" s="52"/>
    </row>
    <row r="10182" spans="1:1" x14ac:dyDescent="0.2">
      <c r="A10182" s="52"/>
    </row>
    <row r="10183" spans="1:1" x14ac:dyDescent="0.2">
      <c r="A10183" s="52"/>
    </row>
    <row r="10184" spans="1:1" x14ac:dyDescent="0.2">
      <c r="A10184" s="53"/>
    </row>
    <row r="10185" spans="1:1" x14ac:dyDescent="0.2">
      <c r="A10185" s="52"/>
    </row>
    <row r="10186" spans="1:1" x14ac:dyDescent="0.2">
      <c r="A10186" s="52"/>
    </row>
    <row r="10187" spans="1:1" x14ac:dyDescent="0.2">
      <c r="A10187" s="52"/>
    </row>
    <row r="10188" spans="1:1" x14ac:dyDescent="0.2">
      <c r="A10188" s="52"/>
    </row>
    <row r="10189" spans="1:1" x14ac:dyDescent="0.2">
      <c r="A10189" s="52"/>
    </row>
    <row r="10190" spans="1:1" x14ac:dyDescent="0.2">
      <c r="A10190" s="52"/>
    </row>
    <row r="10191" spans="1:1" x14ac:dyDescent="0.2">
      <c r="A10191" s="52"/>
    </row>
    <row r="10192" spans="1:1" x14ac:dyDescent="0.2">
      <c r="A10192" s="52"/>
    </row>
    <row r="10193" spans="1:1" x14ac:dyDescent="0.2">
      <c r="A10193" s="52"/>
    </row>
    <row r="10194" spans="1:1" x14ac:dyDescent="0.2">
      <c r="A10194" s="52"/>
    </row>
    <row r="10195" spans="1:1" x14ac:dyDescent="0.2">
      <c r="A10195" s="52"/>
    </row>
    <row r="10196" spans="1:1" x14ac:dyDescent="0.2">
      <c r="A10196" s="52"/>
    </row>
    <row r="10197" spans="1:1" x14ac:dyDescent="0.2">
      <c r="A10197" s="52"/>
    </row>
    <row r="10198" spans="1:1" x14ac:dyDescent="0.2">
      <c r="A10198" s="52"/>
    </row>
    <row r="10199" spans="1:1" x14ac:dyDescent="0.2">
      <c r="A10199" s="52"/>
    </row>
    <row r="10200" spans="1:1" x14ac:dyDescent="0.2">
      <c r="A10200" s="52"/>
    </row>
    <row r="10201" spans="1:1" x14ac:dyDescent="0.2">
      <c r="A10201" s="53"/>
    </row>
    <row r="10202" spans="1:1" x14ac:dyDescent="0.2">
      <c r="A10202" s="52"/>
    </row>
    <row r="10203" spans="1:1" x14ac:dyDescent="0.2">
      <c r="A10203" s="52"/>
    </row>
    <row r="10204" spans="1:1" x14ac:dyDescent="0.2">
      <c r="A10204" s="52"/>
    </row>
    <row r="10205" spans="1:1" x14ac:dyDescent="0.2">
      <c r="A10205" s="52"/>
    </row>
    <row r="10206" spans="1:1" x14ac:dyDescent="0.2">
      <c r="A10206" s="52"/>
    </row>
    <row r="10207" spans="1:1" x14ac:dyDescent="0.2">
      <c r="A10207" s="52"/>
    </row>
    <row r="10208" spans="1:1" x14ac:dyDescent="0.2">
      <c r="A10208" s="52"/>
    </row>
    <row r="10209" spans="1:1" x14ac:dyDescent="0.2">
      <c r="A10209" s="52"/>
    </row>
    <row r="10210" spans="1:1" x14ac:dyDescent="0.2">
      <c r="A10210" s="53"/>
    </row>
    <row r="10211" spans="1:1" x14ac:dyDescent="0.2">
      <c r="A10211" s="52"/>
    </row>
    <row r="10212" spans="1:1" x14ac:dyDescent="0.2">
      <c r="A10212" s="52"/>
    </row>
    <row r="10213" spans="1:1" x14ac:dyDescent="0.2">
      <c r="A10213" s="52"/>
    </row>
    <row r="10214" spans="1:1" x14ac:dyDescent="0.2">
      <c r="A10214" s="52"/>
    </row>
    <row r="10215" spans="1:1" x14ac:dyDescent="0.2">
      <c r="A10215" s="52"/>
    </row>
    <row r="10216" spans="1:1" x14ac:dyDescent="0.2">
      <c r="A10216" s="52"/>
    </row>
    <row r="10217" spans="1:1" x14ac:dyDescent="0.2">
      <c r="A10217" s="52"/>
    </row>
    <row r="10218" spans="1:1" x14ac:dyDescent="0.2">
      <c r="A10218" s="52"/>
    </row>
    <row r="10219" spans="1:1" x14ac:dyDescent="0.2">
      <c r="A10219" s="52"/>
    </row>
    <row r="10220" spans="1:1" x14ac:dyDescent="0.2">
      <c r="A10220" s="52"/>
    </row>
    <row r="10221" spans="1:1" x14ac:dyDescent="0.2">
      <c r="A10221" s="52"/>
    </row>
    <row r="10222" spans="1:1" x14ac:dyDescent="0.2">
      <c r="A10222" s="52"/>
    </row>
    <row r="10223" spans="1:1" x14ac:dyDescent="0.2">
      <c r="A10223" s="52"/>
    </row>
    <row r="10224" spans="1:1" x14ac:dyDescent="0.2">
      <c r="A10224" s="52"/>
    </row>
    <row r="10225" spans="1:1" x14ac:dyDescent="0.2">
      <c r="A10225" s="52"/>
    </row>
    <row r="10226" spans="1:1" x14ac:dyDescent="0.2">
      <c r="A10226" s="52"/>
    </row>
    <row r="10227" spans="1:1" x14ac:dyDescent="0.2">
      <c r="A10227" s="52"/>
    </row>
    <row r="10228" spans="1:1" x14ac:dyDescent="0.2">
      <c r="A10228" s="52"/>
    </row>
    <row r="10229" spans="1:1" x14ac:dyDescent="0.2">
      <c r="A10229" s="52"/>
    </row>
    <row r="10230" spans="1:1" x14ac:dyDescent="0.2">
      <c r="A10230" s="53"/>
    </row>
    <row r="10231" spans="1:1" x14ac:dyDescent="0.2">
      <c r="A10231" s="52"/>
    </row>
    <row r="10232" spans="1:1" x14ac:dyDescent="0.2">
      <c r="A10232" s="52"/>
    </row>
    <row r="10233" spans="1:1" x14ac:dyDescent="0.2">
      <c r="A10233" s="52"/>
    </row>
    <row r="10234" spans="1:1" x14ac:dyDescent="0.2">
      <c r="A10234" s="52"/>
    </row>
    <row r="10235" spans="1:1" x14ac:dyDescent="0.2">
      <c r="A10235" s="52"/>
    </row>
    <row r="10236" spans="1:1" x14ac:dyDescent="0.2">
      <c r="A10236" s="52"/>
    </row>
    <row r="10237" spans="1:1" x14ac:dyDescent="0.2">
      <c r="A10237" s="52"/>
    </row>
    <row r="10238" spans="1:1" x14ac:dyDescent="0.2">
      <c r="A10238" s="52"/>
    </row>
    <row r="10239" spans="1:1" x14ac:dyDescent="0.2">
      <c r="A10239" s="52"/>
    </row>
    <row r="10240" spans="1:1" x14ac:dyDescent="0.2">
      <c r="A10240" s="52"/>
    </row>
    <row r="10241" spans="1:1" x14ac:dyDescent="0.2">
      <c r="A10241" s="52"/>
    </row>
    <row r="10242" spans="1:1" x14ac:dyDescent="0.2">
      <c r="A10242" s="53"/>
    </row>
    <row r="10243" spans="1:1" x14ac:dyDescent="0.2">
      <c r="A10243" s="52"/>
    </row>
    <row r="10244" spans="1:1" x14ac:dyDescent="0.2">
      <c r="A10244" s="52"/>
    </row>
    <row r="10245" spans="1:1" x14ac:dyDescent="0.2">
      <c r="A10245" s="52"/>
    </row>
    <row r="10246" spans="1:1" x14ac:dyDescent="0.2">
      <c r="A10246" s="52"/>
    </row>
    <row r="10247" spans="1:1" x14ac:dyDescent="0.2">
      <c r="A10247" s="52"/>
    </row>
    <row r="10248" spans="1:1" x14ac:dyDescent="0.2">
      <c r="A10248" s="52"/>
    </row>
    <row r="10249" spans="1:1" x14ac:dyDescent="0.2">
      <c r="A10249" s="52"/>
    </row>
    <row r="10250" spans="1:1" x14ac:dyDescent="0.2">
      <c r="A10250" s="52"/>
    </row>
    <row r="10251" spans="1:1" x14ac:dyDescent="0.2">
      <c r="A10251" s="52"/>
    </row>
    <row r="10252" spans="1:1" x14ac:dyDescent="0.2">
      <c r="A10252" s="52"/>
    </row>
    <row r="10253" spans="1:1" x14ac:dyDescent="0.2">
      <c r="A10253" s="52"/>
    </row>
    <row r="10254" spans="1:1" x14ac:dyDescent="0.2">
      <c r="A10254" s="52"/>
    </row>
    <row r="10255" spans="1:1" x14ac:dyDescent="0.2">
      <c r="A10255" s="52"/>
    </row>
    <row r="10256" spans="1:1" x14ac:dyDescent="0.2">
      <c r="A10256" s="52"/>
    </row>
    <row r="10257" spans="1:1" x14ac:dyDescent="0.2">
      <c r="A10257" s="52"/>
    </row>
    <row r="10258" spans="1:1" x14ac:dyDescent="0.2">
      <c r="A10258" s="52"/>
    </row>
    <row r="10259" spans="1:1" x14ac:dyDescent="0.2">
      <c r="A10259" s="52"/>
    </row>
    <row r="10260" spans="1:1" x14ac:dyDescent="0.2">
      <c r="A10260" s="52"/>
    </row>
    <row r="10261" spans="1:1" x14ac:dyDescent="0.2">
      <c r="A10261" s="52"/>
    </row>
    <row r="10262" spans="1:1" x14ac:dyDescent="0.2">
      <c r="A10262" s="52"/>
    </row>
    <row r="10263" spans="1:1" x14ac:dyDescent="0.2">
      <c r="A10263" s="52"/>
    </row>
    <row r="10264" spans="1:1" x14ac:dyDescent="0.2">
      <c r="A10264" s="52"/>
    </row>
    <row r="10265" spans="1:1" x14ac:dyDescent="0.2">
      <c r="A10265" s="52"/>
    </row>
    <row r="10266" spans="1:1" x14ac:dyDescent="0.2">
      <c r="A10266" s="52"/>
    </row>
    <row r="10267" spans="1:1" x14ac:dyDescent="0.2">
      <c r="A10267" s="52"/>
    </row>
    <row r="10268" spans="1:1" x14ac:dyDescent="0.2">
      <c r="A10268" s="52"/>
    </row>
    <row r="10269" spans="1:1" x14ac:dyDescent="0.2">
      <c r="A10269" s="52"/>
    </row>
    <row r="10270" spans="1:1" x14ac:dyDescent="0.2">
      <c r="A10270" s="52"/>
    </row>
    <row r="10271" spans="1:1" x14ac:dyDescent="0.2">
      <c r="A10271" s="52"/>
    </row>
    <row r="10272" spans="1:1" x14ac:dyDescent="0.2">
      <c r="A10272" s="52"/>
    </row>
    <row r="10273" spans="1:1" x14ac:dyDescent="0.2">
      <c r="A10273" s="52"/>
    </row>
    <row r="10274" spans="1:1" x14ac:dyDescent="0.2">
      <c r="A10274" s="52"/>
    </row>
    <row r="10275" spans="1:1" x14ac:dyDescent="0.2">
      <c r="A10275" s="52"/>
    </row>
    <row r="10276" spans="1:1" x14ac:dyDescent="0.2">
      <c r="A10276" s="52"/>
    </row>
    <row r="10277" spans="1:1" x14ac:dyDescent="0.2">
      <c r="A10277" s="52"/>
    </row>
    <row r="10278" spans="1:1" x14ac:dyDescent="0.2">
      <c r="A10278" s="52"/>
    </row>
    <row r="10279" spans="1:1" x14ac:dyDescent="0.2">
      <c r="A10279" s="52"/>
    </row>
    <row r="10280" spans="1:1" x14ac:dyDescent="0.2">
      <c r="A10280" s="52"/>
    </row>
    <row r="10281" spans="1:1" x14ac:dyDescent="0.2">
      <c r="A10281" s="52"/>
    </row>
    <row r="10282" spans="1:1" x14ac:dyDescent="0.2">
      <c r="A10282" s="52"/>
    </row>
    <row r="10283" spans="1:1" x14ac:dyDescent="0.2">
      <c r="A10283" s="52"/>
    </row>
    <row r="10284" spans="1:1" x14ac:dyDescent="0.2">
      <c r="A10284" s="52"/>
    </row>
    <row r="10285" spans="1:1" x14ac:dyDescent="0.2">
      <c r="A10285" s="52"/>
    </row>
    <row r="10286" spans="1:1" x14ac:dyDescent="0.2">
      <c r="A10286" s="52"/>
    </row>
    <row r="10287" spans="1:1" x14ac:dyDescent="0.2">
      <c r="A10287" s="52"/>
    </row>
    <row r="10288" spans="1:1" x14ac:dyDescent="0.2">
      <c r="A10288" s="52"/>
    </row>
    <row r="10289" spans="1:1" x14ac:dyDescent="0.2">
      <c r="A10289" s="52"/>
    </row>
    <row r="10290" spans="1:1" x14ac:dyDescent="0.2">
      <c r="A10290" s="52"/>
    </row>
    <row r="10291" spans="1:1" x14ac:dyDescent="0.2">
      <c r="A10291" s="52"/>
    </row>
    <row r="10292" spans="1:1" x14ac:dyDescent="0.2">
      <c r="A10292" s="52"/>
    </row>
    <row r="10293" spans="1:1" x14ac:dyDescent="0.2">
      <c r="A10293" s="52"/>
    </row>
    <row r="10294" spans="1:1" x14ac:dyDescent="0.2">
      <c r="A10294" s="52"/>
    </row>
    <row r="10295" spans="1:1" x14ac:dyDescent="0.2">
      <c r="A10295" s="52"/>
    </row>
    <row r="10296" spans="1:1" x14ac:dyDescent="0.2">
      <c r="A10296" s="52"/>
    </row>
    <row r="10297" spans="1:1" x14ac:dyDescent="0.2">
      <c r="A10297" s="52"/>
    </row>
    <row r="10298" spans="1:1" x14ac:dyDescent="0.2">
      <c r="A10298" s="52"/>
    </row>
    <row r="10299" spans="1:1" x14ac:dyDescent="0.2">
      <c r="A10299" s="52"/>
    </row>
    <row r="10300" spans="1:1" x14ac:dyDescent="0.2">
      <c r="A10300" s="53"/>
    </row>
    <row r="10301" spans="1:1" x14ac:dyDescent="0.2">
      <c r="A10301" s="52"/>
    </row>
    <row r="10302" spans="1:1" x14ac:dyDescent="0.2">
      <c r="A10302" s="52"/>
    </row>
    <row r="10303" spans="1:1" x14ac:dyDescent="0.2">
      <c r="A10303" s="52"/>
    </row>
    <row r="10304" spans="1:1" x14ac:dyDescent="0.2">
      <c r="A10304" s="52"/>
    </row>
    <row r="10305" spans="1:1" x14ac:dyDescent="0.2">
      <c r="A10305" s="52"/>
    </row>
    <row r="10306" spans="1:1" x14ac:dyDescent="0.2">
      <c r="A10306" s="52"/>
    </row>
    <row r="10307" spans="1:1" x14ac:dyDescent="0.2">
      <c r="A10307" s="52"/>
    </row>
    <row r="10308" spans="1:1" x14ac:dyDescent="0.2">
      <c r="A10308" s="52"/>
    </row>
    <row r="10309" spans="1:1" x14ac:dyDescent="0.2">
      <c r="A10309" s="52"/>
    </row>
    <row r="10310" spans="1:1" x14ac:dyDescent="0.2">
      <c r="A10310" s="52"/>
    </row>
    <row r="10311" spans="1:1" x14ac:dyDescent="0.2">
      <c r="A10311" s="52"/>
    </row>
    <row r="10312" spans="1:1" x14ac:dyDescent="0.2">
      <c r="A10312" s="52"/>
    </row>
    <row r="10313" spans="1:1" x14ac:dyDescent="0.2">
      <c r="A10313" s="52"/>
    </row>
    <row r="10314" spans="1:1" x14ac:dyDescent="0.2">
      <c r="A10314" s="52"/>
    </row>
    <row r="10315" spans="1:1" x14ac:dyDescent="0.2">
      <c r="A10315" s="52"/>
    </row>
    <row r="10316" spans="1:1" x14ac:dyDescent="0.2">
      <c r="A10316" s="53"/>
    </row>
    <row r="10317" spans="1:1" x14ac:dyDescent="0.2">
      <c r="A10317" s="53"/>
    </row>
    <row r="10318" spans="1:1" x14ac:dyDescent="0.2">
      <c r="A10318" s="53"/>
    </row>
    <row r="10319" spans="1:1" x14ac:dyDescent="0.2">
      <c r="A10319" s="52"/>
    </row>
    <row r="10320" spans="1:1" x14ac:dyDescent="0.2">
      <c r="A10320" s="52"/>
    </row>
    <row r="10321" spans="1:1" x14ac:dyDescent="0.2">
      <c r="A10321" s="52"/>
    </row>
    <row r="10322" spans="1:1" x14ac:dyDescent="0.2">
      <c r="A10322" s="52"/>
    </row>
    <row r="10323" spans="1:1" x14ac:dyDescent="0.2">
      <c r="A10323" s="52"/>
    </row>
    <row r="10324" spans="1:1" x14ac:dyDescent="0.2">
      <c r="A10324" s="52"/>
    </row>
    <row r="10325" spans="1:1" x14ac:dyDescent="0.2">
      <c r="A10325" s="52"/>
    </row>
    <row r="10326" spans="1:1" x14ac:dyDescent="0.2">
      <c r="A10326" s="52"/>
    </row>
    <row r="10327" spans="1:1" x14ac:dyDescent="0.2">
      <c r="A10327" s="52"/>
    </row>
    <row r="10328" spans="1:1" x14ac:dyDescent="0.2">
      <c r="A10328" s="52"/>
    </row>
    <row r="10329" spans="1:1" x14ac:dyDescent="0.2">
      <c r="A10329" s="52"/>
    </row>
    <row r="10330" spans="1:1" x14ac:dyDescent="0.2">
      <c r="A10330" s="53"/>
    </row>
    <row r="10331" spans="1:1" x14ac:dyDescent="0.2">
      <c r="A10331" s="52"/>
    </row>
    <row r="10332" spans="1:1" x14ac:dyDescent="0.2">
      <c r="A10332" s="52"/>
    </row>
    <row r="10333" spans="1:1" x14ac:dyDescent="0.2">
      <c r="A10333" s="53"/>
    </row>
    <row r="10334" spans="1:1" x14ac:dyDescent="0.2">
      <c r="A10334" s="52"/>
    </row>
    <row r="10335" spans="1:1" x14ac:dyDescent="0.2">
      <c r="A10335" s="52"/>
    </row>
    <row r="10336" spans="1:1" x14ac:dyDescent="0.2">
      <c r="A10336" s="52"/>
    </row>
    <row r="10337" spans="1:1" x14ac:dyDescent="0.2">
      <c r="A10337" s="52"/>
    </row>
    <row r="10338" spans="1:1" x14ac:dyDescent="0.2">
      <c r="A10338" s="52"/>
    </row>
    <row r="10339" spans="1:1" x14ac:dyDescent="0.2">
      <c r="A10339" s="52"/>
    </row>
    <row r="10340" spans="1:1" x14ac:dyDescent="0.2">
      <c r="A10340" s="52"/>
    </row>
    <row r="10341" spans="1:1" x14ac:dyDescent="0.2">
      <c r="A10341" s="52"/>
    </row>
    <row r="10342" spans="1:1" x14ac:dyDescent="0.2">
      <c r="A10342" s="52"/>
    </row>
    <row r="10343" spans="1:1" x14ac:dyDescent="0.2">
      <c r="A10343" s="52"/>
    </row>
    <row r="10344" spans="1:1" x14ac:dyDescent="0.2">
      <c r="A10344" s="52"/>
    </row>
    <row r="10345" spans="1:1" x14ac:dyDescent="0.2">
      <c r="A10345" s="52"/>
    </row>
    <row r="10346" spans="1:1" x14ac:dyDescent="0.2">
      <c r="A10346" s="52"/>
    </row>
    <row r="10347" spans="1:1" x14ac:dyDescent="0.2">
      <c r="A10347" s="52"/>
    </row>
    <row r="10348" spans="1:1" x14ac:dyDescent="0.2">
      <c r="A10348" s="53"/>
    </row>
    <row r="10349" spans="1:1" x14ac:dyDescent="0.2">
      <c r="A10349" s="52"/>
    </row>
    <row r="10350" spans="1:1" x14ac:dyDescent="0.2">
      <c r="A10350" s="52"/>
    </row>
    <row r="10351" spans="1:1" x14ac:dyDescent="0.2">
      <c r="A10351" s="52"/>
    </row>
    <row r="10352" spans="1:1" x14ac:dyDescent="0.2">
      <c r="A10352" s="52"/>
    </row>
    <row r="10353" spans="1:1" x14ac:dyDescent="0.2">
      <c r="A10353" s="52"/>
    </row>
    <row r="10354" spans="1:1" x14ac:dyDescent="0.2">
      <c r="A10354" s="52"/>
    </row>
    <row r="10355" spans="1:1" x14ac:dyDescent="0.2">
      <c r="A10355" s="53"/>
    </row>
    <row r="10356" spans="1:1" x14ac:dyDescent="0.2">
      <c r="A10356" s="52"/>
    </row>
    <row r="10357" spans="1:1" x14ac:dyDescent="0.2">
      <c r="A10357" s="52"/>
    </row>
    <row r="10358" spans="1:1" x14ac:dyDescent="0.2">
      <c r="A10358" s="52"/>
    </row>
    <row r="10359" spans="1:1" x14ac:dyDescent="0.2">
      <c r="A10359" s="52"/>
    </row>
    <row r="10360" spans="1:1" x14ac:dyDescent="0.2">
      <c r="A10360" s="52"/>
    </row>
    <row r="10361" spans="1:1" x14ac:dyDescent="0.2">
      <c r="A10361" s="52"/>
    </row>
    <row r="10362" spans="1:1" x14ac:dyDescent="0.2">
      <c r="A10362" s="52"/>
    </row>
    <row r="10363" spans="1:1" x14ac:dyDescent="0.2">
      <c r="A10363" s="52"/>
    </row>
    <row r="10364" spans="1:1" x14ac:dyDescent="0.2">
      <c r="A10364" s="52"/>
    </row>
    <row r="10365" spans="1:1" x14ac:dyDescent="0.2">
      <c r="A10365" s="52"/>
    </row>
    <row r="10366" spans="1:1" x14ac:dyDescent="0.2">
      <c r="A10366" s="52"/>
    </row>
    <row r="10367" spans="1:1" x14ac:dyDescent="0.2">
      <c r="A10367" s="52"/>
    </row>
    <row r="10368" spans="1:1" x14ac:dyDescent="0.2">
      <c r="A10368" s="52"/>
    </row>
    <row r="10369" spans="1:1" x14ac:dyDescent="0.2">
      <c r="A10369" s="52"/>
    </row>
    <row r="10370" spans="1:1" x14ac:dyDescent="0.2">
      <c r="A10370" s="52"/>
    </row>
    <row r="10371" spans="1:1" x14ac:dyDescent="0.2">
      <c r="A10371" s="52"/>
    </row>
    <row r="10372" spans="1:1" x14ac:dyDescent="0.2">
      <c r="A10372" s="52"/>
    </row>
    <row r="10373" spans="1:1" x14ac:dyDescent="0.2">
      <c r="A10373" s="52"/>
    </row>
    <row r="10374" spans="1:1" x14ac:dyDescent="0.2">
      <c r="A10374" s="52"/>
    </row>
    <row r="10375" spans="1:1" x14ac:dyDescent="0.2">
      <c r="A10375" s="52"/>
    </row>
    <row r="10376" spans="1:1" x14ac:dyDescent="0.2">
      <c r="A10376" s="52"/>
    </row>
    <row r="10377" spans="1:1" x14ac:dyDescent="0.2">
      <c r="A10377" s="52"/>
    </row>
    <row r="10378" spans="1:1" x14ac:dyDescent="0.2">
      <c r="A10378" s="52"/>
    </row>
    <row r="10379" spans="1:1" x14ac:dyDescent="0.2">
      <c r="A10379" s="52"/>
    </row>
    <row r="10380" spans="1:1" x14ac:dyDescent="0.2">
      <c r="A10380" s="52"/>
    </row>
    <row r="10381" spans="1:1" x14ac:dyDescent="0.2">
      <c r="A10381" s="52"/>
    </row>
    <row r="10382" spans="1:1" x14ac:dyDescent="0.2">
      <c r="A10382" s="52"/>
    </row>
    <row r="10383" spans="1:1" x14ac:dyDescent="0.2">
      <c r="A10383" s="52"/>
    </row>
    <row r="10384" spans="1:1" x14ac:dyDescent="0.2">
      <c r="A10384" s="52"/>
    </row>
    <row r="10385" spans="1:1" x14ac:dyDescent="0.2">
      <c r="A10385" s="52"/>
    </row>
    <row r="10386" spans="1:1" x14ac:dyDescent="0.2">
      <c r="A10386" s="52"/>
    </row>
    <row r="10387" spans="1:1" x14ac:dyDescent="0.2">
      <c r="A10387" s="52"/>
    </row>
    <row r="10388" spans="1:1" x14ac:dyDescent="0.2">
      <c r="A10388" s="53"/>
    </row>
    <row r="10389" spans="1:1" x14ac:dyDescent="0.2">
      <c r="A10389" s="52"/>
    </row>
    <row r="10390" spans="1:1" x14ac:dyDescent="0.2">
      <c r="A10390" s="52"/>
    </row>
    <row r="10391" spans="1:1" x14ac:dyDescent="0.2">
      <c r="A10391" s="52"/>
    </row>
    <row r="10392" spans="1:1" x14ac:dyDescent="0.2">
      <c r="A10392" s="52"/>
    </row>
    <row r="10393" spans="1:1" x14ac:dyDescent="0.2">
      <c r="A10393" s="52"/>
    </row>
    <row r="10394" spans="1:1" x14ac:dyDescent="0.2">
      <c r="A10394" s="52"/>
    </row>
    <row r="10395" spans="1:1" x14ac:dyDescent="0.2">
      <c r="A10395" s="52"/>
    </row>
    <row r="10396" spans="1:1" x14ac:dyDescent="0.2">
      <c r="A10396" s="52"/>
    </row>
    <row r="10397" spans="1:1" x14ac:dyDescent="0.2">
      <c r="A10397" s="52"/>
    </row>
    <row r="10398" spans="1:1" x14ac:dyDescent="0.2">
      <c r="A10398" s="52"/>
    </row>
    <row r="10399" spans="1:1" x14ac:dyDescent="0.2">
      <c r="A10399" s="52"/>
    </row>
    <row r="10400" spans="1:1" x14ac:dyDescent="0.2">
      <c r="A10400" s="52"/>
    </row>
    <row r="10401" spans="1:1" x14ac:dyDescent="0.2">
      <c r="A10401" s="52"/>
    </row>
    <row r="10402" spans="1:1" x14ac:dyDescent="0.2">
      <c r="A10402" s="52"/>
    </row>
    <row r="10403" spans="1:1" x14ac:dyDescent="0.2">
      <c r="A10403" s="53"/>
    </row>
    <row r="10404" spans="1:1" x14ac:dyDescent="0.2">
      <c r="A10404" s="52"/>
    </row>
    <row r="10405" spans="1:1" x14ac:dyDescent="0.2">
      <c r="A10405" s="52"/>
    </row>
    <row r="10406" spans="1:1" x14ac:dyDescent="0.2">
      <c r="A10406" s="52"/>
    </row>
    <row r="10407" spans="1:1" x14ac:dyDescent="0.2">
      <c r="A10407" s="52"/>
    </row>
    <row r="10408" spans="1:1" x14ac:dyDescent="0.2">
      <c r="A10408" s="52"/>
    </row>
    <row r="10409" spans="1:1" x14ac:dyDescent="0.2">
      <c r="A10409" s="52"/>
    </row>
    <row r="10410" spans="1:1" x14ac:dyDescent="0.2">
      <c r="A10410" s="52"/>
    </row>
    <row r="10411" spans="1:1" x14ac:dyDescent="0.2">
      <c r="A10411" s="52"/>
    </row>
    <row r="10412" spans="1:1" x14ac:dyDescent="0.2">
      <c r="A10412" s="52"/>
    </row>
    <row r="10413" spans="1:1" x14ac:dyDescent="0.2">
      <c r="A10413" s="52"/>
    </row>
    <row r="10414" spans="1:1" x14ac:dyDescent="0.2">
      <c r="A10414" s="52"/>
    </row>
    <row r="10415" spans="1:1" x14ac:dyDescent="0.2">
      <c r="A10415" s="52"/>
    </row>
    <row r="10416" spans="1:1" x14ac:dyDescent="0.2">
      <c r="A10416" s="52"/>
    </row>
    <row r="10417" spans="1:1" x14ac:dyDescent="0.2">
      <c r="A10417" s="52"/>
    </row>
    <row r="10418" spans="1:1" x14ac:dyDescent="0.2">
      <c r="A10418" s="52"/>
    </row>
    <row r="10419" spans="1:1" x14ac:dyDescent="0.2">
      <c r="A10419" s="52"/>
    </row>
    <row r="10420" spans="1:1" x14ac:dyDescent="0.2">
      <c r="A10420" s="52"/>
    </row>
    <row r="10421" spans="1:1" x14ac:dyDescent="0.2">
      <c r="A10421" s="52"/>
    </row>
    <row r="10422" spans="1:1" x14ac:dyDescent="0.2">
      <c r="A10422" s="53"/>
    </row>
    <row r="10423" spans="1:1" x14ac:dyDescent="0.2">
      <c r="A10423" s="52"/>
    </row>
    <row r="10424" spans="1:1" x14ac:dyDescent="0.2">
      <c r="A10424" s="52"/>
    </row>
    <row r="10425" spans="1:1" x14ac:dyDescent="0.2">
      <c r="A10425" s="52"/>
    </row>
    <row r="10426" spans="1:1" x14ac:dyDescent="0.2">
      <c r="A10426" s="52"/>
    </row>
    <row r="10427" spans="1:1" x14ac:dyDescent="0.2">
      <c r="A10427" s="52"/>
    </row>
    <row r="10428" spans="1:1" x14ac:dyDescent="0.2">
      <c r="A10428" s="52"/>
    </row>
    <row r="10429" spans="1:1" x14ac:dyDescent="0.2">
      <c r="A10429" s="52"/>
    </row>
    <row r="10430" spans="1:1" x14ac:dyDescent="0.2">
      <c r="A10430" s="52"/>
    </row>
    <row r="10431" spans="1:1" x14ac:dyDescent="0.2">
      <c r="A10431" s="52"/>
    </row>
    <row r="10432" spans="1:1" x14ac:dyDescent="0.2">
      <c r="A10432" s="53"/>
    </row>
    <row r="10433" spans="1:1" x14ac:dyDescent="0.2">
      <c r="A10433" s="52"/>
    </row>
    <row r="10434" spans="1:1" x14ac:dyDescent="0.2">
      <c r="A10434" s="52"/>
    </row>
    <row r="10435" spans="1:1" x14ac:dyDescent="0.2">
      <c r="A10435" s="52"/>
    </row>
    <row r="10436" spans="1:1" x14ac:dyDescent="0.2">
      <c r="A10436" s="52"/>
    </row>
    <row r="10437" spans="1:1" x14ac:dyDescent="0.2">
      <c r="A10437" s="52"/>
    </row>
    <row r="10438" spans="1:1" x14ac:dyDescent="0.2">
      <c r="A10438" s="52"/>
    </row>
    <row r="10439" spans="1:1" x14ac:dyDescent="0.2">
      <c r="A10439" s="52"/>
    </row>
    <row r="10440" spans="1:1" x14ac:dyDescent="0.2">
      <c r="A10440" s="53"/>
    </row>
    <row r="10441" spans="1:1" x14ac:dyDescent="0.2">
      <c r="A10441" s="52"/>
    </row>
    <row r="10442" spans="1:1" x14ac:dyDescent="0.2">
      <c r="A10442" s="52"/>
    </row>
    <row r="10443" spans="1:1" x14ac:dyDescent="0.2">
      <c r="A10443" s="52"/>
    </row>
    <row r="10444" spans="1:1" x14ac:dyDescent="0.2">
      <c r="A10444" s="52"/>
    </row>
    <row r="10445" spans="1:1" x14ac:dyDescent="0.2">
      <c r="A10445" s="52"/>
    </row>
    <row r="10446" spans="1:1" x14ac:dyDescent="0.2">
      <c r="A10446" s="52"/>
    </row>
    <row r="10447" spans="1:1" x14ac:dyDescent="0.2">
      <c r="A10447" s="52"/>
    </row>
    <row r="10448" spans="1:1" x14ac:dyDescent="0.2">
      <c r="A10448" s="52"/>
    </row>
    <row r="10449" spans="1:1" x14ac:dyDescent="0.2">
      <c r="A10449" s="52"/>
    </row>
    <row r="10450" spans="1:1" x14ac:dyDescent="0.2">
      <c r="A10450" s="52"/>
    </row>
    <row r="10451" spans="1:1" x14ac:dyDescent="0.2">
      <c r="A10451" s="52"/>
    </row>
    <row r="10452" spans="1:1" x14ac:dyDescent="0.2">
      <c r="A10452" s="52"/>
    </row>
    <row r="10453" spans="1:1" x14ac:dyDescent="0.2">
      <c r="A10453" s="52"/>
    </row>
    <row r="10454" spans="1:1" x14ac:dyDescent="0.2">
      <c r="A10454" s="52"/>
    </row>
    <row r="10455" spans="1:1" x14ac:dyDescent="0.2">
      <c r="A10455" s="52"/>
    </row>
    <row r="10456" spans="1:1" x14ac:dyDescent="0.2">
      <c r="A10456" s="53"/>
    </row>
    <row r="10457" spans="1:1" x14ac:dyDescent="0.2">
      <c r="A10457" s="52"/>
    </row>
    <row r="10458" spans="1:1" x14ac:dyDescent="0.2">
      <c r="A10458" s="52"/>
    </row>
    <row r="10459" spans="1:1" x14ac:dyDescent="0.2">
      <c r="A10459" s="52"/>
    </row>
    <row r="10460" spans="1:1" x14ac:dyDescent="0.2">
      <c r="A10460" s="52"/>
    </row>
    <row r="10461" spans="1:1" x14ac:dyDescent="0.2">
      <c r="A10461" s="52"/>
    </row>
    <row r="10462" spans="1:1" x14ac:dyDescent="0.2">
      <c r="A10462" s="52"/>
    </row>
    <row r="10463" spans="1:1" x14ac:dyDescent="0.2">
      <c r="A10463" s="52"/>
    </row>
    <row r="10464" spans="1:1" x14ac:dyDescent="0.2">
      <c r="A10464" s="52"/>
    </row>
    <row r="10465" spans="1:1" x14ac:dyDescent="0.2">
      <c r="A10465" s="52"/>
    </row>
    <row r="10466" spans="1:1" x14ac:dyDescent="0.2">
      <c r="A10466" s="52"/>
    </row>
    <row r="10467" spans="1:1" x14ac:dyDescent="0.2">
      <c r="A10467" s="52"/>
    </row>
    <row r="10468" spans="1:1" x14ac:dyDescent="0.2">
      <c r="A10468" s="52"/>
    </row>
    <row r="10469" spans="1:1" x14ac:dyDescent="0.2">
      <c r="A10469" s="52"/>
    </row>
    <row r="10470" spans="1:1" x14ac:dyDescent="0.2">
      <c r="A10470" s="53"/>
    </row>
    <row r="10471" spans="1:1" x14ac:dyDescent="0.2">
      <c r="A10471" s="52"/>
    </row>
    <row r="10472" spans="1:1" x14ac:dyDescent="0.2">
      <c r="A10472" s="52"/>
    </row>
    <row r="10473" spans="1:1" x14ac:dyDescent="0.2">
      <c r="A10473" s="52"/>
    </row>
    <row r="10474" spans="1:1" x14ac:dyDescent="0.2">
      <c r="A10474" s="52"/>
    </row>
    <row r="10475" spans="1:1" x14ac:dyDescent="0.2">
      <c r="A10475" s="52"/>
    </row>
    <row r="10476" spans="1:1" x14ac:dyDescent="0.2">
      <c r="A10476" s="53"/>
    </row>
    <row r="10477" spans="1:1" x14ac:dyDescent="0.2">
      <c r="A10477" s="52"/>
    </row>
    <row r="10478" spans="1:1" x14ac:dyDescent="0.2">
      <c r="A10478" s="52"/>
    </row>
    <row r="10479" spans="1:1" x14ac:dyDescent="0.2">
      <c r="A10479" s="52"/>
    </row>
    <row r="10480" spans="1:1" x14ac:dyDescent="0.2">
      <c r="A10480" s="52"/>
    </row>
    <row r="10481" spans="1:1" x14ac:dyDescent="0.2">
      <c r="A10481" s="52"/>
    </row>
    <row r="10482" spans="1:1" x14ac:dyDescent="0.2">
      <c r="A10482" s="52"/>
    </row>
    <row r="10483" spans="1:1" x14ac:dyDescent="0.2">
      <c r="A10483" s="52"/>
    </row>
    <row r="10484" spans="1:1" x14ac:dyDescent="0.2">
      <c r="A10484" s="52"/>
    </row>
    <row r="10485" spans="1:1" x14ac:dyDescent="0.2">
      <c r="A10485" s="53"/>
    </row>
    <row r="10486" spans="1:1" x14ac:dyDescent="0.2">
      <c r="A10486" s="52"/>
    </row>
    <row r="10487" spans="1:1" x14ac:dyDescent="0.2">
      <c r="A10487" s="52"/>
    </row>
    <row r="10488" spans="1:1" x14ac:dyDescent="0.2">
      <c r="A10488" s="52"/>
    </row>
    <row r="10489" spans="1:1" x14ac:dyDescent="0.2">
      <c r="A10489" s="52"/>
    </row>
    <row r="10490" spans="1:1" x14ac:dyDescent="0.2">
      <c r="A10490" s="52"/>
    </row>
    <row r="10491" spans="1:1" x14ac:dyDescent="0.2">
      <c r="A10491" s="52"/>
    </row>
    <row r="10492" spans="1:1" x14ac:dyDescent="0.2">
      <c r="A10492" s="52"/>
    </row>
    <row r="10493" spans="1:1" x14ac:dyDescent="0.2">
      <c r="A10493" s="52"/>
    </row>
    <row r="10494" spans="1:1" x14ac:dyDescent="0.2">
      <c r="A10494" s="52"/>
    </row>
    <row r="10495" spans="1:1" x14ac:dyDescent="0.2">
      <c r="A10495" s="52"/>
    </row>
    <row r="10496" spans="1:1" x14ac:dyDescent="0.2">
      <c r="A10496" s="52"/>
    </row>
    <row r="10497" spans="1:1" x14ac:dyDescent="0.2">
      <c r="A10497" s="52"/>
    </row>
    <row r="10498" spans="1:1" x14ac:dyDescent="0.2">
      <c r="A10498" s="52"/>
    </row>
    <row r="10499" spans="1:1" x14ac:dyDescent="0.2">
      <c r="A10499" s="52"/>
    </row>
    <row r="10500" spans="1:1" x14ac:dyDescent="0.2">
      <c r="A10500" s="52"/>
    </row>
    <row r="10501" spans="1:1" x14ac:dyDescent="0.2">
      <c r="A10501" s="52"/>
    </row>
    <row r="10502" spans="1:1" x14ac:dyDescent="0.2">
      <c r="A10502" s="53"/>
    </row>
    <row r="10503" spans="1:1" x14ac:dyDescent="0.2">
      <c r="A10503" s="52"/>
    </row>
    <row r="10504" spans="1:1" x14ac:dyDescent="0.2">
      <c r="A10504" s="53"/>
    </row>
    <row r="10505" spans="1:1" x14ac:dyDescent="0.2">
      <c r="A10505" s="52"/>
    </row>
    <row r="10506" spans="1:1" x14ac:dyDescent="0.2">
      <c r="A10506" s="52"/>
    </row>
    <row r="10507" spans="1:1" x14ac:dyDescent="0.2">
      <c r="A10507" s="52"/>
    </row>
    <row r="10508" spans="1:1" x14ac:dyDescent="0.2">
      <c r="A10508" s="52"/>
    </row>
    <row r="10509" spans="1:1" x14ac:dyDescent="0.2">
      <c r="A10509" s="52"/>
    </row>
    <row r="10510" spans="1:1" x14ac:dyDescent="0.2">
      <c r="A10510" s="52"/>
    </row>
    <row r="10511" spans="1:1" x14ac:dyDescent="0.2">
      <c r="A10511" s="52"/>
    </row>
    <row r="10512" spans="1:1" x14ac:dyDescent="0.2">
      <c r="A10512" s="52"/>
    </row>
    <row r="10513" spans="1:1" x14ac:dyDescent="0.2">
      <c r="A10513" s="52"/>
    </row>
    <row r="10514" spans="1:1" x14ac:dyDescent="0.2">
      <c r="A10514" s="52"/>
    </row>
    <row r="10515" spans="1:1" x14ac:dyDescent="0.2">
      <c r="A10515" s="52"/>
    </row>
    <row r="10516" spans="1:1" x14ac:dyDescent="0.2">
      <c r="A10516" s="52"/>
    </row>
    <row r="10517" spans="1:1" x14ac:dyDescent="0.2">
      <c r="A10517" s="52"/>
    </row>
    <row r="10518" spans="1:1" x14ac:dyDescent="0.2">
      <c r="A10518" s="52"/>
    </row>
    <row r="10519" spans="1:1" x14ac:dyDescent="0.2">
      <c r="A10519" s="52"/>
    </row>
    <row r="10520" spans="1:1" x14ac:dyDescent="0.2">
      <c r="A10520" s="52"/>
    </row>
    <row r="10521" spans="1:1" x14ac:dyDescent="0.2">
      <c r="A10521" s="52"/>
    </row>
    <row r="10522" spans="1:1" x14ac:dyDescent="0.2">
      <c r="A10522" s="52"/>
    </row>
    <row r="10523" spans="1:1" x14ac:dyDescent="0.2">
      <c r="A10523" s="53"/>
    </row>
    <row r="10524" spans="1:1" x14ac:dyDescent="0.2">
      <c r="A10524" s="52"/>
    </row>
    <row r="10525" spans="1:1" x14ac:dyDescent="0.2">
      <c r="A10525" s="52"/>
    </row>
    <row r="10526" spans="1:1" x14ac:dyDescent="0.2">
      <c r="A10526" s="52"/>
    </row>
    <row r="10527" spans="1:1" x14ac:dyDescent="0.2">
      <c r="A10527" s="52"/>
    </row>
    <row r="10528" spans="1:1" x14ac:dyDescent="0.2">
      <c r="A10528" s="52"/>
    </row>
    <row r="10529" spans="1:1" x14ac:dyDescent="0.2">
      <c r="A10529" s="52"/>
    </row>
    <row r="10530" spans="1:1" x14ac:dyDescent="0.2">
      <c r="A10530" s="52"/>
    </row>
    <row r="10531" spans="1:1" x14ac:dyDescent="0.2">
      <c r="A10531" s="52"/>
    </row>
    <row r="10532" spans="1:1" x14ac:dyDescent="0.2">
      <c r="A10532" s="52"/>
    </row>
    <row r="10533" spans="1:1" x14ac:dyDescent="0.2">
      <c r="A10533" s="52"/>
    </row>
    <row r="10534" spans="1:1" x14ac:dyDescent="0.2">
      <c r="A10534" s="52"/>
    </row>
    <row r="10535" spans="1:1" x14ac:dyDescent="0.2">
      <c r="A10535" s="52"/>
    </row>
    <row r="10536" spans="1:1" x14ac:dyDescent="0.2">
      <c r="A10536" s="52"/>
    </row>
    <row r="10537" spans="1:1" x14ac:dyDescent="0.2">
      <c r="A10537" s="52"/>
    </row>
    <row r="10538" spans="1:1" x14ac:dyDescent="0.2">
      <c r="A10538" s="52"/>
    </row>
    <row r="10539" spans="1:1" x14ac:dyDescent="0.2">
      <c r="A10539" s="53"/>
    </row>
    <row r="10540" spans="1:1" x14ac:dyDescent="0.2">
      <c r="A10540" s="52"/>
    </row>
    <row r="10541" spans="1:1" x14ac:dyDescent="0.2">
      <c r="A10541" s="53"/>
    </row>
    <row r="10542" spans="1:1" x14ac:dyDescent="0.2">
      <c r="A10542" s="52"/>
    </row>
    <row r="10543" spans="1:1" x14ac:dyDescent="0.2">
      <c r="A10543" s="52"/>
    </row>
    <row r="10544" spans="1:1" x14ac:dyDescent="0.2">
      <c r="A10544" s="52"/>
    </row>
    <row r="10545" spans="1:1" x14ac:dyDescent="0.2">
      <c r="A10545" s="52"/>
    </row>
    <row r="10546" spans="1:1" x14ac:dyDescent="0.2">
      <c r="A10546" s="52"/>
    </row>
    <row r="10547" spans="1:1" x14ac:dyDescent="0.2">
      <c r="A10547" s="52"/>
    </row>
    <row r="10548" spans="1:1" x14ac:dyDescent="0.2">
      <c r="A10548" s="52"/>
    </row>
    <row r="10549" spans="1:1" x14ac:dyDescent="0.2">
      <c r="A10549" s="52"/>
    </row>
    <row r="10550" spans="1:1" x14ac:dyDescent="0.2">
      <c r="A10550" s="52"/>
    </row>
    <row r="10551" spans="1:1" x14ac:dyDescent="0.2">
      <c r="A10551" s="53"/>
    </row>
    <row r="10552" spans="1:1" x14ac:dyDescent="0.2">
      <c r="A10552" s="52"/>
    </row>
    <row r="10553" spans="1:1" x14ac:dyDescent="0.2">
      <c r="A10553" s="52"/>
    </row>
    <row r="10554" spans="1:1" x14ac:dyDescent="0.2">
      <c r="A10554" s="52"/>
    </row>
    <row r="10555" spans="1:1" x14ac:dyDescent="0.2">
      <c r="A10555" s="52"/>
    </row>
    <row r="10556" spans="1:1" x14ac:dyDescent="0.2">
      <c r="A10556" s="52"/>
    </row>
    <row r="10557" spans="1:1" x14ac:dyDescent="0.2">
      <c r="A10557" s="52"/>
    </row>
    <row r="10558" spans="1:1" x14ac:dyDescent="0.2">
      <c r="A10558" s="52"/>
    </row>
    <row r="10559" spans="1:1" x14ac:dyDescent="0.2">
      <c r="A10559" s="52"/>
    </row>
    <row r="10560" spans="1:1" x14ac:dyDescent="0.2">
      <c r="A10560" s="52"/>
    </row>
    <row r="10561" spans="1:1" x14ac:dyDescent="0.2">
      <c r="A10561" s="52"/>
    </row>
    <row r="10562" spans="1:1" x14ac:dyDescent="0.2">
      <c r="A10562" s="52"/>
    </row>
    <row r="10563" spans="1:1" x14ac:dyDescent="0.2">
      <c r="A10563" s="52"/>
    </row>
    <row r="10564" spans="1:1" x14ac:dyDescent="0.2">
      <c r="A10564" s="52"/>
    </row>
    <row r="10565" spans="1:1" x14ac:dyDescent="0.2">
      <c r="A10565" s="52"/>
    </row>
    <row r="10566" spans="1:1" x14ac:dyDescent="0.2">
      <c r="A10566" s="52"/>
    </row>
    <row r="10567" spans="1:1" x14ac:dyDescent="0.2">
      <c r="A10567" s="52"/>
    </row>
    <row r="10568" spans="1:1" x14ac:dyDescent="0.2">
      <c r="A10568" s="52"/>
    </row>
    <row r="10569" spans="1:1" x14ac:dyDescent="0.2">
      <c r="A10569" s="52"/>
    </row>
    <row r="10570" spans="1:1" x14ac:dyDescent="0.2">
      <c r="A10570" s="52"/>
    </row>
    <row r="10571" spans="1:1" x14ac:dyDescent="0.2">
      <c r="A10571" s="52"/>
    </row>
    <row r="10572" spans="1:1" x14ac:dyDescent="0.2">
      <c r="A10572" s="52"/>
    </row>
    <row r="10573" spans="1:1" x14ac:dyDescent="0.2">
      <c r="A10573" s="52"/>
    </row>
    <row r="10574" spans="1:1" x14ac:dyDescent="0.2">
      <c r="A10574" s="52"/>
    </row>
    <row r="10575" spans="1:1" x14ac:dyDescent="0.2">
      <c r="A10575" s="52"/>
    </row>
    <row r="10576" spans="1:1" x14ac:dyDescent="0.2">
      <c r="A10576" s="52"/>
    </row>
    <row r="10577" spans="1:1" x14ac:dyDescent="0.2">
      <c r="A10577" s="53"/>
    </row>
    <row r="10578" spans="1:1" x14ac:dyDescent="0.2">
      <c r="A10578" s="52"/>
    </row>
    <row r="10579" spans="1:1" x14ac:dyDescent="0.2">
      <c r="A10579" s="53"/>
    </row>
    <row r="10580" spans="1:1" x14ac:dyDescent="0.2">
      <c r="A10580" s="52"/>
    </row>
    <row r="10581" spans="1:1" x14ac:dyDescent="0.2">
      <c r="A10581" s="52"/>
    </row>
    <row r="10582" spans="1:1" x14ac:dyDescent="0.2">
      <c r="A10582" s="52"/>
    </row>
    <row r="10583" spans="1:1" x14ac:dyDescent="0.2">
      <c r="A10583" s="52"/>
    </row>
    <row r="10584" spans="1:1" x14ac:dyDescent="0.2">
      <c r="A10584" s="52"/>
    </row>
    <row r="10585" spans="1:1" x14ac:dyDescent="0.2">
      <c r="A10585" s="52"/>
    </row>
    <row r="10586" spans="1:1" x14ac:dyDescent="0.2">
      <c r="A10586" s="52"/>
    </row>
    <row r="10587" spans="1:1" x14ac:dyDescent="0.2">
      <c r="A10587" s="52"/>
    </row>
    <row r="10588" spans="1:1" x14ac:dyDescent="0.2">
      <c r="A10588" s="52"/>
    </row>
    <row r="10589" spans="1:1" x14ac:dyDescent="0.2">
      <c r="A10589" s="52"/>
    </row>
    <row r="10590" spans="1:1" x14ac:dyDescent="0.2">
      <c r="A10590" s="52"/>
    </row>
    <row r="10591" spans="1:1" x14ac:dyDescent="0.2">
      <c r="A10591" s="52"/>
    </row>
    <row r="10592" spans="1:1" x14ac:dyDescent="0.2">
      <c r="A10592" s="52"/>
    </row>
    <row r="10593" spans="1:1" x14ac:dyDescent="0.2">
      <c r="A10593" s="52"/>
    </row>
    <row r="10594" spans="1:1" x14ac:dyDescent="0.2">
      <c r="A10594" s="52"/>
    </row>
    <row r="10595" spans="1:1" x14ac:dyDescent="0.2">
      <c r="A10595" s="52"/>
    </row>
    <row r="10596" spans="1:1" x14ac:dyDescent="0.2">
      <c r="A10596" s="52"/>
    </row>
    <row r="10597" spans="1:1" x14ac:dyDescent="0.2">
      <c r="A10597" s="52"/>
    </row>
    <row r="10598" spans="1:1" x14ac:dyDescent="0.2">
      <c r="A10598" s="52"/>
    </row>
    <row r="10599" spans="1:1" x14ac:dyDescent="0.2">
      <c r="A10599" s="53"/>
    </row>
    <row r="10600" spans="1:1" x14ac:dyDescent="0.2">
      <c r="A10600" s="52"/>
    </row>
    <row r="10601" spans="1:1" x14ac:dyDescent="0.2">
      <c r="A10601" s="52"/>
    </row>
    <row r="10602" spans="1:1" x14ac:dyDescent="0.2">
      <c r="A10602" s="52"/>
    </row>
    <row r="10603" spans="1:1" x14ac:dyDescent="0.2">
      <c r="A10603" s="52"/>
    </row>
    <row r="10604" spans="1:1" x14ac:dyDescent="0.2">
      <c r="A10604" s="52"/>
    </row>
    <row r="10605" spans="1:1" x14ac:dyDescent="0.2">
      <c r="A10605" s="52"/>
    </row>
    <row r="10606" spans="1:1" x14ac:dyDescent="0.2">
      <c r="A10606" s="52"/>
    </row>
    <row r="10607" spans="1:1" x14ac:dyDescent="0.2">
      <c r="A10607" s="52"/>
    </row>
    <row r="10608" spans="1:1" x14ac:dyDescent="0.2">
      <c r="A10608" s="52"/>
    </row>
    <row r="10609" spans="1:1" x14ac:dyDescent="0.2">
      <c r="A10609" s="52"/>
    </row>
    <row r="10610" spans="1:1" x14ac:dyDescent="0.2">
      <c r="A10610" s="52"/>
    </row>
    <row r="10611" spans="1:1" x14ac:dyDescent="0.2">
      <c r="A10611" s="52"/>
    </row>
    <row r="10612" spans="1:1" x14ac:dyDescent="0.2">
      <c r="A10612" s="52"/>
    </row>
    <row r="10613" spans="1:1" x14ac:dyDescent="0.2">
      <c r="A10613" s="52"/>
    </row>
    <row r="10614" spans="1:1" x14ac:dyDescent="0.2">
      <c r="A10614" s="52"/>
    </row>
    <row r="10615" spans="1:1" x14ac:dyDescent="0.2">
      <c r="A10615" s="52"/>
    </row>
    <row r="10616" spans="1:1" x14ac:dyDescent="0.2">
      <c r="A10616" s="52"/>
    </row>
    <row r="10617" spans="1:1" x14ac:dyDescent="0.2">
      <c r="A10617" s="53"/>
    </row>
    <row r="10618" spans="1:1" x14ac:dyDescent="0.2">
      <c r="A10618" s="52"/>
    </row>
    <row r="10619" spans="1:1" x14ac:dyDescent="0.2">
      <c r="A10619" s="52"/>
    </row>
    <row r="10620" spans="1:1" x14ac:dyDescent="0.2">
      <c r="A10620" s="52"/>
    </row>
    <row r="10621" spans="1:1" x14ac:dyDescent="0.2">
      <c r="A10621" s="52"/>
    </row>
    <row r="10622" spans="1:1" x14ac:dyDescent="0.2">
      <c r="A10622" s="52"/>
    </row>
    <row r="10623" spans="1:1" x14ac:dyDescent="0.2">
      <c r="A10623" s="52"/>
    </row>
    <row r="10624" spans="1:1" x14ac:dyDescent="0.2">
      <c r="A10624" s="52"/>
    </row>
    <row r="10625" spans="1:1" x14ac:dyDescent="0.2">
      <c r="A10625" s="52"/>
    </row>
    <row r="10626" spans="1:1" x14ac:dyDescent="0.2">
      <c r="A10626" s="52"/>
    </row>
    <row r="10627" spans="1:1" x14ac:dyDescent="0.2">
      <c r="A10627" s="52"/>
    </row>
    <row r="10628" spans="1:1" x14ac:dyDescent="0.2">
      <c r="A10628" s="52"/>
    </row>
    <row r="10629" spans="1:1" x14ac:dyDescent="0.2">
      <c r="A10629" s="52"/>
    </row>
    <row r="10630" spans="1:1" x14ac:dyDescent="0.2">
      <c r="A10630" s="52"/>
    </row>
    <row r="10631" spans="1:1" x14ac:dyDescent="0.2">
      <c r="A10631" s="52"/>
    </row>
    <row r="10632" spans="1:1" x14ac:dyDescent="0.2">
      <c r="A10632" s="52"/>
    </row>
    <row r="10633" spans="1:1" x14ac:dyDescent="0.2">
      <c r="A10633" s="52"/>
    </row>
    <row r="10634" spans="1:1" x14ac:dyDescent="0.2">
      <c r="A10634" s="52"/>
    </row>
    <row r="10635" spans="1:1" x14ac:dyDescent="0.2">
      <c r="A10635" s="52"/>
    </row>
    <row r="10636" spans="1:1" x14ac:dyDescent="0.2">
      <c r="A10636" s="53"/>
    </row>
    <row r="10637" spans="1:1" x14ac:dyDescent="0.2">
      <c r="A10637" s="52"/>
    </row>
    <row r="10638" spans="1:1" x14ac:dyDescent="0.2">
      <c r="A10638" s="52"/>
    </row>
    <row r="10639" spans="1:1" x14ac:dyDescent="0.2">
      <c r="A10639" s="52"/>
    </row>
    <row r="10640" spans="1:1" x14ac:dyDescent="0.2">
      <c r="A10640" s="52"/>
    </row>
    <row r="10641" spans="1:1" x14ac:dyDescent="0.2">
      <c r="A10641" s="52"/>
    </row>
    <row r="10642" spans="1:1" x14ac:dyDescent="0.2">
      <c r="A10642" s="52"/>
    </row>
    <row r="10643" spans="1:1" x14ac:dyDescent="0.2">
      <c r="A10643" s="52"/>
    </row>
    <row r="10644" spans="1:1" x14ac:dyDescent="0.2">
      <c r="A10644" s="52"/>
    </row>
    <row r="10645" spans="1:1" x14ac:dyDescent="0.2">
      <c r="A10645" s="52"/>
    </row>
    <row r="10646" spans="1:1" x14ac:dyDescent="0.2">
      <c r="A10646" s="52"/>
    </row>
    <row r="10647" spans="1:1" x14ac:dyDescent="0.2">
      <c r="A10647" s="52"/>
    </row>
    <row r="10648" spans="1:1" x14ac:dyDescent="0.2">
      <c r="A10648" s="52"/>
    </row>
    <row r="10649" spans="1:1" x14ac:dyDescent="0.2">
      <c r="A10649" s="52"/>
    </row>
    <row r="10650" spans="1:1" x14ac:dyDescent="0.2">
      <c r="A10650" s="52"/>
    </row>
    <row r="10651" spans="1:1" x14ac:dyDescent="0.2">
      <c r="A10651" s="53"/>
    </row>
    <row r="10652" spans="1:1" x14ac:dyDescent="0.2">
      <c r="A10652" s="52"/>
    </row>
    <row r="10653" spans="1:1" x14ac:dyDescent="0.2">
      <c r="A10653" s="52"/>
    </row>
    <row r="10654" spans="1:1" x14ac:dyDescent="0.2">
      <c r="A10654" s="52"/>
    </row>
    <row r="10655" spans="1:1" x14ac:dyDescent="0.2">
      <c r="A10655" s="52"/>
    </row>
    <row r="10656" spans="1:1" x14ac:dyDescent="0.2">
      <c r="A10656" s="52"/>
    </row>
    <row r="10657" spans="1:1" x14ac:dyDescent="0.2">
      <c r="A10657" s="53"/>
    </row>
    <row r="10658" spans="1:1" x14ac:dyDescent="0.2">
      <c r="A10658" s="52"/>
    </row>
    <row r="10659" spans="1:1" x14ac:dyDescent="0.2">
      <c r="A10659" s="52"/>
    </row>
    <row r="10660" spans="1:1" x14ac:dyDescent="0.2">
      <c r="A10660" s="52"/>
    </row>
    <row r="10661" spans="1:1" x14ac:dyDescent="0.2">
      <c r="A10661" s="52"/>
    </row>
    <row r="10662" spans="1:1" x14ac:dyDescent="0.2">
      <c r="A10662" s="52"/>
    </row>
    <row r="10663" spans="1:1" x14ac:dyDescent="0.2">
      <c r="A10663" s="52"/>
    </row>
    <row r="10664" spans="1:1" x14ac:dyDescent="0.2">
      <c r="A10664" s="52"/>
    </row>
    <row r="10665" spans="1:1" x14ac:dyDescent="0.2">
      <c r="A10665" s="52"/>
    </row>
    <row r="10666" spans="1:1" x14ac:dyDescent="0.2">
      <c r="A10666" s="52"/>
    </row>
    <row r="10667" spans="1:1" x14ac:dyDescent="0.2">
      <c r="A10667" s="52"/>
    </row>
    <row r="10668" spans="1:1" x14ac:dyDescent="0.2">
      <c r="A10668" s="52"/>
    </row>
    <row r="10669" spans="1:1" x14ac:dyDescent="0.2">
      <c r="A10669" s="52"/>
    </row>
    <row r="10670" spans="1:1" x14ac:dyDescent="0.2">
      <c r="A10670" s="52"/>
    </row>
    <row r="10671" spans="1:1" x14ac:dyDescent="0.2">
      <c r="A10671" s="52"/>
    </row>
    <row r="10672" spans="1:1" x14ac:dyDescent="0.2">
      <c r="A10672" s="52"/>
    </row>
    <row r="10673" spans="1:1" x14ac:dyDescent="0.2">
      <c r="A10673" s="52"/>
    </row>
    <row r="10674" spans="1:1" x14ac:dyDescent="0.2">
      <c r="A10674" s="53"/>
    </row>
    <row r="10675" spans="1:1" x14ac:dyDescent="0.2">
      <c r="A10675" s="52"/>
    </row>
    <row r="10676" spans="1:1" x14ac:dyDescent="0.2">
      <c r="A10676" s="52"/>
    </row>
    <row r="10677" spans="1:1" x14ac:dyDescent="0.2">
      <c r="A10677" s="52"/>
    </row>
    <row r="10678" spans="1:1" x14ac:dyDescent="0.2">
      <c r="A10678" s="52"/>
    </row>
    <row r="10679" spans="1:1" x14ac:dyDescent="0.2">
      <c r="A10679" s="52"/>
    </row>
    <row r="10680" spans="1:1" x14ac:dyDescent="0.2">
      <c r="A10680" s="52"/>
    </row>
    <row r="10681" spans="1:1" x14ac:dyDescent="0.2">
      <c r="A10681" s="52"/>
    </row>
    <row r="10682" spans="1:1" x14ac:dyDescent="0.2">
      <c r="A10682" s="52"/>
    </row>
    <row r="10683" spans="1:1" x14ac:dyDescent="0.2">
      <c r="A10683" s="52"/>
    </row>
    <row r="10684" spans="1:1" x14ac:dyDescent="0.2">
      <c r="A10684" s="52"/>
    </row>
    <row r="10685" spans="1:1" x14ac:dyDescent="0.2">
      <c r="A10685" s="52"/>
    </row>
    <row r="10686" spans="1:1" x14ac:dyDescent="0.2">
      <c r="A10686" s="52"/>
    </row>
    <row r="10687" spans="1:1" x14ac:dyDescent="0.2">
      <c r="A10687" s="52"/>
    </row>
    <row r="10688" spans="1:1" x14ac:dyDescent="0.2">
      <c r="A10688" s="52"/>
    </row>
    <row r="10689" spans="1:1" x14ac:dyDescent="0.2">
      <c r="A10689" s="52"/>
    </row>
    <row r="10690" spans="1:1" x14ac:dyDescent="0.2">
      <c r="A10690" s="52"/>
    </row>
    <row r="10691" spans="1:1" x14ac:dyDescent="0.2">
      <c r="A10691" s="52"/>
    </row>
    <row r="10692" spans="1:1" x14ac:dyDescent="0.2">
      <c r="A10692" s="52"/>
    </row>
    <row r="10693" spans="1:1" x14ac:dyDescent="0.2">
      <c r="A10693" s="52"/>
    </row>
    <row r="10694" spans="1:1" x14ac:dyDescent="0.2">
      <c r="A10694" s="52"/>
    </row>
    <row r="10695" spans="1:1" x14ac:dyDescent="0.2">
      <c r="A10695" s="52"/>
    </row>
    <row r="10696" spans="1:1" x14ac:dyDescent="0.2">
      <c r="A10696" s="52"/>
    </row>
    <row r="10697" spans="1:1" x14ac:dyDescent="0.2">
      <c r="A10697" s="52"/>
    </row>
    <row r="10698" spans="1:1" x14ac:dyDescent="0.2">
      <c r="A10698" s="52"/>
    </row>
    <row r="10699" spans="1:1" x14ac:dyDescent="0.2">
      <c r="A10699" s="52"/>
    </row>
    <row r="10700" spans="1:1" x14ac:dyDescent="0.2">
      <c r="A10700" s="52"/>
    </row>
    <row r="10701" spans="1:1" x14ac:dyDescent="0.2">
      <c r="A10701" s="52"/>
    </row>
    <row r="10702" spans="1:1" x14ac:dyDescent="0.2">
      <c r="A10702" s="52"/>
    </row>
    <row r="10703" spans="1:1" x14ac:dyDescent="0.2">
      <c r="A10703" s="52"/>
    </row>
    <row r="10704" spans="1:1" x14ac:dyDescent="0.2">
      <c r="A10704" s="52"/>
    </row>
    <row r="10705" spans="1:1" x14ac:dyDescent="0.2">
      <c r="A10705" s="52"/>
    </row>
    <row r="10706" spans="1:1" x14ac:dyDescent="0.2">
      <c r="A10706" s="52"/>
    </row>
    <row r="10707" spans="1:1" x14ac:dyDescent="0.2">
      <c r="A10707" s="52"/>
    </row>
    <row r="10708" spans="1:1" x14ac:dyDescent="0.2">
      <c r="A10708" s="52"/>
    </row>
    <row r="10709" spans="1:1" x14ac:dyDescent="0.2">
      <c r="A10709" s="52"/>
    </row>
    <row r="10710" spans="1:1" x14ac:dyDescent="0.2">
      <c r="A10710" s="52"/>
    </row>
    <row r="10711" spans="1:1" x14ac:dyDescent="0.2">
      <c r="A10711" s="52"/>
    </row>
    <row r="10712" spans="1:1" x14ac:dyDescent="0.2">
      <c r="A10712" s="52"/>
    </row>
    <row r="10713" spans="1:1" x14ac:dyDescent="0.2">
      <c r="A10713" s="52"/>
    </row>
    <row r="10714" spans="1:1" x14ac:dyDescent="0.2">
      <c r="A10714" s="52"/>
    </row>
    <row r="10715" spans="1:1" x14ac:dyDescent="0.2">
      <c r="A10715" s="53"/>
    </row>
    <row r="10716" spans="1:1" x14ac:dyDescent="0.2">
      <c r="A10716" s="52"/>
    </row>
    <row r="10717" spans="1:1" x14ac:dyDescent="0.2">
      <c r="A10717" s="52"/>
    </row>
    <row r="10718" spans="1:1" x14ac:dyDescent="0.2">
      <c r="A10718" s="52"/>
    </row>
    <row r="10719" spans="1:1" x14ac:dyDescent="0.2">
      <c r="A10719" s="52"/>
    </row>
    <row r="10720" spans="1:1" x14ac:dyDescent="0.2">
      <c r="A10720" s="52"/>
    </row>
    <row r="10721" spans="1:1" x14ac:dyDescent="0.2">
      <c r="A10721" s="52"/>
    </row>
    <row r="10722" spans="1:1" x14ac:dyDescent="0.2">
      <c r="A10722" s="52"/>
    </row>
    <row r="10723" spans="1:1" x14ac:dyDescent="0.2">
      <c r="A10723" s="52"/>
    </row>
    <row r="10724" spans="1:1" x14ac:dyDescent="0.2">
      <c r="A10724" s="52"/>
    </row>
    <row r="10725" spans="1:1" x14ac:dyDescent="0.2">
      <c r="A10725" s="52"/>
    </row>
    <row r="10726" spans="1:1" x14ac:dyDescent="0.2">
      <c r="A10726" s="52"/>
    </row>
    <row r="10727" spans="1:1" x14ac:dyDescent="0.2">
      <c r="A10727" s="52"/>
    </row>
    <row r="10728" spans="1:1" x14ac:dyDescent="0.2">
      <c r="A10728" s="53"/>
    </row>
    <row r="10729" spans="1:1" x14ac:dyDescent="0.2">
      <c r="A10729" s="52"/>
    </row>
    <row r="10730" spans="1:1" x14ac:dyDescent="0.2">
      <c r="A10730" s="52"/>
    </row>
    <row r="10731" spans="1:1" x14ac:dyDescent="0.2">
      <c r="A10731" s="52"/>
    </row>
    <row r="10732" spans="1:1" x14ac:dyDescent="0.2">
      <c r="A10732" s="52"/>
    </row>
    <row r="10733" spans="1:1" x14ac:dyDescent="0.2">
      <c r="A10733" s="52"/>
    </row>
    <row r="10734" spans="1:1" x14ac:dyDescent="0.2">
      <c r="A10734" s="52"/>
    </row>
    <row r="10735" spans="1:1" x14ac:dyDescent="0.2">
      <c r="A10735" s="53"/>
    </row>
    <row r="10736" spans="1:1" x14ac:dyDescent="0.2">
      <c r="A10736" s="52"/>
    </row>
    <row r="10737" spans="1:1" x14ac:dyDescent="0.2">
      <c r="A10737" s="52"/>
    </row>
    <row r="10738" spans="1:1" x14ac:dyDescent="0.2">
      <c r="A10738" s="52"/>
    </row>
    <row r="10739" spans="1:1" x14ac:dyDescent="0.2">
      <c r="A10739" s="52"/>
    </row>
    <row r="10740" spans="1:1" x14ac:dyDescent="0.2">
      <c r="A10740" s="52"/>
    </row>
    <row r="10741" spans="1:1" x14ac:dyDescent="0.2">
      <c r="A10741" s="52"/>
    </row>
    <row r="10742" spans="1:1" x14ac:dyDescent="0.2">
      <c r="A10742" s="52"/>
    </row>
    <row r="10743" spans="1:1" x14ac:dyDescent="0.2">
      <c r="A10743" s="52"/>
    </row>
    <row r="10744" spans="1:1" x14ac:dyDescent="0.2">
      <c r="A10744" s="52"/>
    </row>
    <row r="10745" spans="1:1" x14ac:dyDescent="0.2">
      <c r="A10745" s="52"/>
    </row>
    <row r="10746" spans="1:1" x14ac:dyDescent="0.2">
      <c r="A10746" s="52"/>
    </row>
    <row r="10747" spans="1:1" x14ac:dyDescent="0.2">
      <c r="A10747" s="52"/>
    </row>
    <row r="10748" spans="1:1" x14ac:dyDescent="0.2">
      <c r="A10748" s="52"/>
    </row>
    <row r="10749" spans="1:1" x14ac:dyDescent="0.2">
      <c r="A10749" s="52"/>
    </row>
    <row r="10750" spans="1:1" x14ac:dyDescent="0.2">
      <c r="A10750" s="52"/>
    </row>
    <row r="10751" spans="1:1" x14ac:dyDescent="0.2">
      <c r="A10751" s="52"/>
    </row>
    <row r="10752" spans="1:1" x14ac:dyDescent="0.2">
      <c r="A10752" s="52"/>
    </row>
    <row r="10753" spans="1:1" x14ac:dyDescent="0.2">
      <c r="A10753" s="53"/>
    </row>
    <row r="10754" spans="1:1" x14ac:dyDescent="0.2">
      <c r="A10754" s="52"/>
    </row>
    <row r="10755" spans="1:1" x14ac:dyDescent="0.2">
      <c r="A10755" s="52"/>
    </row>
    <row r="10756" spans="1:1" x14ac:dyDescent="0.2">
      <c r="A10756" s="52"/>
    </row>
    <row r="10757" spans="1:1" x14ac:dyDescent="0.2">
      <c r="A10757" s="52"/>
    </row>
    <row r="10758" spans="1:1" x14ac:dyDescent="0.2">
      <c r="A10758" s="52"/>
    </row>
    <row r="10759" spans="1:1" x14ac:dyDescent="0.2">
      <c r="A10759" s="52"/>
    </row>
    <row r="10760" spans="1:1" x14ac:dyDescent="0.2">
      <c r="A10760" s="52"/>
    </row>
    <row r="10761" spans="1:1" x14ac:dyDescent="0.2">
      <c r="A10761" s="52"/>
    </row>
    <row r="10762" spans="1:1" x14ac:dyDescent="0.2">
      <c r="A10762" s="52"/>
    </row>
    <row r="10763" spans="1:1" x14ac:dyDescent="0.2">
      <c r="A10763" s="52"/>
    </row>
    <row r="10764" spans="1:1" x14ac:dyDescent="0.2">
      <c r="A10764" s="53"/>
    </row>
    <row r="10765" spans="1:1" x14ac:dyDescent="0.2">
      <c r="A10765" s="52"/>
    </row>
    <row r="10766" spans="1:1" x14ac:dyDescent="0.2">
      <c r="A10766" s="52"/>
    </row>
    <row r="10767" spans="1:1" x14ac:dyDescent="0.2">
      <c r="A10767" s="52"/>
    </row>
    <row r="10768" spans="1:1" x14ac:dyDescent="0.2">
      <c r="A10768" s="52"/>
    </row>
    <row r="10769" spans="1:1" x14ac:dyDescent="0.2">
      <c r="A10769" s="52"/>
    </row>
    <row r="10770" spans="1:1" x14ac:dyDescent="0.2">
      <c r="A10770" s="52"/>
    </row>
    <row r="10771" spans="1:1" x14ac:dyDescent="0.2">
      <c r="A10771" s="52"/>
    </row>
    <row r="10772" spans="1:1" x14ac:dyDescent="0.2">
      <c r="A10772" s="53"/>
    </row>
    <row r="10773" spans="1:1" x14ac:dyDescent="0.2">
      <c r="A10773" s="53"/>
    </row>
    <row r="10774" spans="1:1" x14ac:dyDescent="0.2">
      <c r="A10774" s="52"/>
    </row>
    <row r="10775" spans="1:1" x14ac:dyDescent="0.2">
      <c r="A10775" s="52"/>
    </row>
    <row r="10776" spans="1:1" x14ac:dyDescent="0.2">
      <c r="A10776" s="52"/>
    </row>
    <row r="10777" spans="1:1" x14ac:dyDescent="0.2">
      <c r="A10777" s="52"/>
    </row>
    <row r="10778" spans="1:1" x14ac:dyDescent="0.2">
      <c r="A10778" s="52"/>
    </row>
    <row r="10779" spans="1:1" x14ac:dyDescent="0.2">
      <c r="A10779" s="52"/>
    </row>
    <row r="10780" spans="1:1" x14ac:dyDescent="0.2">
      <c r="A10780" s="52"/>
    </row>
    <row r="10781" spans="1:1" x14ac:dyDescent="0.2">
      <c r="A10781" s="52"/>
    </row>
    <row r="10782" spans="1:1" x14ac:dyDescent="0.2">
      <c r="A10782" s="52"/>
    </row>
    <row r="10783" spans="1:1" x14ac:dyDescent="0.2">
      <c r="A10783" s="52"/>
    </row>
    <row r="10784" spans="1:1" x14ac:dyDescent="0.2">
      <c r="A10784" s="52"/>
    </row>
    <row r="10785" spans="1:1" x14ac:dyDescent="0.2">
      <c r="A10785" s="52"/>
    </row>
    <row r="10786" spans="1:1" x14ac:dyDescent="0.2">
      <c r="A10786" s="53"/>
    </row>
    <row r="10787" spans="1:1" x14ac:dyDescent="0.2">
      <c r="A10787" s="52"/>
    </row>
    <row r="10788" spans="1:1" x14ac:dyDescent="0.2">
      <c r="A10788" s="52"/>
    </row>
    <row r="10789" spans="1:1" x14ac:dyDescent="0.2">
      <c r="A10789" s="52"/>
    </row>
    <row r="10790" spans="1:1" x14ac:dyDescent="0.2">
      <c r="A10790" s="52"/>
    </row>
    <row r="10791" spans="1:1" x14ac:dyDescent="0.2">
      <c r="A10791" s="53"/>
    </row>
    <row r="10792" spans="1:1" x14ac:dyDescent="0.2">
      <c r="A10792" s="52"/>
    </row>
    <row r="10793" spans="1:1" x14ac:dyDescent="0.2">
      <c r="A10793" s="53"/>
    </row>
    <row r="10794" spans="1:1" x14ac:dyDescent="0.2">
      <c r="A10794" s="52"/>
    </row>
    <row r="10795" spans="1:1" x14ac:dyDescent="0.2">
      <c r="A10795" s="52"/>
    </row>
    <row r="10796" spans="1:1" x14ac:dyDescent="0.2">
      <c r="A10796" s="52"/>
    </row>
    <row r="10797" spans="1:1" x14ac:dyDescent="0.2">
      <c r="A10797" s="52"/>
    </row>
    <row r="10798" spans="1:1" x14ac:dyDescent="0.2">
      <c r="A10798" s="52"/>
    </row>
    <row r="10799" spans="1:1" x14ac:dyDescent="0.2">
      <c r="A10799" s="52"/>
    </row>
    <row r="10800" spans="1:1" x14ac:dyDescent="0.2">
      <c r="A10800" s="52"/>
    </row>
    <row r="10801" spans="1:1" x14ac:dyDescent="0.2">
      <c r="A10801" s="52"/>
    </row>
    <row r="10802" spans="1:1" x14ac:dyDescent="0.2">
      <c r="A10802" s="52"/>
    </row>
    <row r="10803" spans="1:1" x14ac:dyDescent="0.2">
      <c r="A10803" s="52"/>
    </row>
    <row r="10804" spans="1:1" x14ac:dyDescent="0.2">
      <c r="A10804" s="52"/>
    </row>
    <row r="10805" spans="1:1" x14ac:dyDescent="0.2">
      <c r="A10805" s="53"/>
    </row>
    <row r="10806" spans="1:1" x14ac:dyDescent="0.2">
      <c r="A10806" s="52"/>
    </row>
    <row r="10807" spans="1:1" x14ac:dyDescent="0.2">
      <c r="A10807" s="52"/>
    </row>
    <row r="10808" spans="1:1" x14ac:dyDescent="0.2">
      <c r="A10808" s="52"/>
    </row>
    <row r="10809" spans="1:1" x14ac:dyDescent="0.2">
      <c r="A10809" s="52"/>
    </row>
    <row r="10810" spans="1:1" x14ac:dyDescent="0.2">
      <c r="A10810" s="52"/>
    </row>
    <row r="10811" spans="1:1" x14ac:dyDescent="0.2">
      <c r="A10811" s="52"/>
    </row>
    <row r="10812" spans="1:1" x14ac:dyDescent="0.2">
      <c r="A10812" s="52"/>
    </row>
    <row r="10813" spans="1:1" x14ac:dyDescent="0.2">
      <c r="A10813" s="52"/>
    </row>
    <row r="10814" spans="1:1" x14ac:dyDescent="0.2">
      <c r="A10814" s="52"/>
    </row>
    <row r="10815" spans="1:1" x14ac:dyDescent="0.2">
      <c r="A10815" s="52"/>
    </row>
    <row r="10816" spans="1:1" x14ac:dyDescent="0.2">
      <c r="A10816" s="52"/>
    </row>
    <row r="10817" spans="1:1" x14ac:dyDescent="0.2">
      <c r="A10817" s="53"/>
    </row>
    <row r="10818" spans="1:1" x14ac:dyDescent="0.2">
      <c r="A10818" s="52"/>
    </row>
    <row r="10819" spans="1:1" x14ac:dyDescent="0.2">
      <c r="A10819" s="52"/>
    </row>
    <row r="10820" spans="1:1" x14ac:dyDescent="0.2">
      <c r="A10820" s="53"/>
    </row>
    <row r="10821" spans="1:1" x14ac:dyDescent="0.2">
      <c r="A10821" s="52"/>
    </row>
    <row r="10822" spans="1:1" x14ac:dyDescent="0.2">
      <c r="A10822" s="52"/>
    </row>
    <row r="10823" spans="1:1" x14ac:dyDescent="0.2">
      <c r="A10823" s="52"/>
    </row>
    <row r="10824" spans="1:1" x14ac:dyDescent="0.2">
      <c r="A10824" s="52"/>
    </row>
    <row r="10825" spans="1:1" x14ac:dyDescent="0.2">
      <c r="A10825" s="52"/>
    </row>
    <row r="10826" spans="1:1" x14ac:dyDescent="0.2">
      <c r="A10826" s="52"/>
    </row>
    <row r="10827" spans="1:1" x14ac:dyDescent="0.2">
      <c r="A10827" s="52"/>
    </row>
    <row r="10828" spans="1:1" x14ac:dyDescent="0.2">
      <c r="A10828" s="52"/>
    </row>
    <row r="10829" spans="1:1" x14ac:dyDescent="0.2">
      <c r="A10829" s="52"/>
    </row>
    <row r="10830" spans="1:1" x14ac:dyDescent="0.2">
      <c r="A10830" s="52"/>
    </row>
    <row r="10831" spans="1:1" x14ac:dyDescent="0.2">
      <c r="A10831" s="52"/>
    </row>
    <row r="10832" spans="1:1" x14ac:dyDescent="0.2">
      <c r="A10832" s="52"/>
    </row>
    <row r="10833" spans="1:1" x14ac:dyDescent="0.2">
      <c r="A10833" s="52"/>
    </row>
    <row r="10834" spans="1:1" x14ac:dyDescent="0.2">
      <c r="A10834" s="52"/>
    </row>
    <row r="10835" spans="1:1" x14ac:dyDescent="0.2">
      <c r="A10835" s="52"/>
    </row>
    <row r="10836" spans="1:1" x14ac:dyDescent="0.2">
      <c r="A10836" s="53"/>
    </row>
    <row r="10837" spans="1:1" x14ac:dyDescent="0.2">
      <c r="A10837" s="52"/>
    </row>
    <row r="10838" spans="1:1" x14ac:dyDescent="0.2">
      <c r="A10838" s="52"/>
    </row>
    <row r="10839" spans="1:1" x14ac:dyDescent="0.2">
      <c r="A10839" s="52"/>
    </row>
    <row r="10840" spans="1:1" x14ac:dyDescent="0.2">
      <c r="A10840" s="52"/>
    </row>
    <row r="10841" spans="1:1" x14ac:dyDescent="0.2">
      <c r="A10841" s="52"/>
    </row>
    <row r="10842" spans="1:1" x14ac:dyDescent="0.2">
      <c r="A10842" s="52"/>
    </row>
    <row r="10843" spans="1:1" x14ac:dyDescent="0.2">
      <c r="A10843" s="52"/>
    </row>
    <row r="10844" spans="1:1" x14ac:dyDescent="0.2">
      <c r="A10844" s="52"/>
    </row>
    <row r="10845" spans="1:1" x14ac:dyDescent="0.2">
      <c r="A10845" s="52"/>
    </row>
    <row r="10846" spans="1:1" x14ac:dyDescent="0.2">
      <c r="A10846" s="52"/>
    </row>
    <row r="10847" spans="1:1" x14ac:dyDescent="0.2">
      <c r="A10847" s="52"/>
    </row>
    <row r="10848" spans="1:1" x14ac:dyDescent="0.2">
      <c r="A10848" s="52"/>
    </row>
    <row r="10849" spans="1:1" x14ac:dyDescent="0.2">
      <c r="A10849" s="53"/>
    </row>
    <row r="10850" spans="1:1" x14ac:dyDescent="0.2">
      <c r="A10850" s="52"/>
    </row>
    <row r="10851" spans="1:1" x14ac:dyDescent="0.2">
      <c r="A10851" s="52"/>
    </row>
    <row r="10852" spans="1:1" x14ac:dyDescent="0.2">
      <c r="A10852" s="52"/>
    </row>
    <row r="10853" spans="1:1" x14ac:dyDescent="0.2">
      <c r="A10853" s="52"/>
    </row>
    <row r="10854" spans="1:1" x14ac:dyDescent="0.2">
      <c r="A10854" s="52"/>
    </row>
    <row r="10855" spans="1:1" x14ac:dyDescent="0.2">
      <c r="A10855" s="52"/>
    </row>
    <row r="10856" spans="1:1" x14ac:dyDescent="0.2">
      <c r="A10856" s="52"/>
    </row>
    <row r="10857" spans="1:1" x14ac:dyDescent="0.2">
      <c r="A10857" s="52"/>
    </row>
    <row r="10858" spans="1:1" x14ac:dyDescent="0.2">
      <c r="A10858" s="52"/>
    </row>
    <row r="10859" spans="1:1" x14ac:dyDescent="0.2">
      <c r="A10859" s="52"/>
    </row>
    <row r="10860" spans="1:1" x14ac:dyDescent="0.2">
      <c r="A10860" s="52"/>
    </row>
    <row r="10861" spans="1:1" x14ac:dyDescent="0.2">
      <c r="A10861" s="52"/>
    </row>
    <row r="10862" spans="1:1" x14ac:dyDescent="0.2">
      <c r="A10862" s="52"/>
    </row>
    <row r="10863" spans="1:1" x14ac:dyDescent="0.2">
      <c r="A10863" s="52"/>
    </row>
    <row r="10864" spans="1:1" x14ac:dyDescent="0.2">
      <c r="A10864" s="53"/>
    </row>
    <row r="10865" spans="1:1" x14ac:dyDescent="0.2">
      <c r="A10865" s="52"/>
    </row>
    <row r="10866" spans="1:1" x14ac:dyDescent="0.2">
      <c r="A10866" s="52"/>
    </row>
    <row r="10867" spans="1:1" x14ac:dyDescent="0.2">
      <c r="A10867" s="53"/>
    </row>
    <row r="10868" spans="1:1" x14ac:dyDescent="0.2">
      <c r="A10868" s="52"/>
    </row>
    <row r="10869" spans="1:1" x14ac:dyDescent="0.2">
      <c r="A10869" s="52"/>
    </row>
    <row r="10870" spans="1:1" x14ac:dyDescent="0.2">
      <c r="A10870" s="52"/>
    </row>
    <row r="10871" spans="1:1" x14ac:dyDescent="0.2">
      <c r="A10871" s="52"/>
    </row>
    <row r="10872" spans="1:1" x14ac:dyDescent="0.2">
      <c r="A10872" s="52"/>
    </row>
    <row r="10873" spans="1:1" x14ac:dyDescent="0.2">
      <c r="A10873" s="52"/>
    </row>
    <row r="10874" spans="1:1" x14ac:dyDescent="0.2">
      <c r="A10874" s="52"/>
    </row>
    <row r="10875" spans="1:1" x14ac:dyDescent="0.2">
      <c r="A10875" s="52"/>
    </row>
    <row r="10876" spans="1:1" x14ac:dyDescent="0.2">
      <c r="A10876" s="52"/>
    </row>
    <row r="10877" spans="1:1" x14ac:dyDescent="0.2">
      <c r="A10877" s="52"/>
    </row>
    <row r="10878" spans="1:1" x14ac:dyDescent="0.2">
      <c r="A10878" s="52"/>
    </row>
    <row r="10879" spans="1:1" x14ac:dyDescent="0.2">
      <c r="A10879" s="52"/>
    </row>
    <row r="10880" spans="1:1" x14ac:dyDescent="0.2">
      <c r="A10880" s="52"/>
    </row>
    <row r="10881" spans="1:1" x14ac:dyDescent="0.2">
      <c r="A10881" s="52"/>
    </row>
    <row r="10882" spans="1:1" x14ac:dyDescent="0.2">
      <c r="A10882" s="52"/>
    </row>
    <row r="10883" spans="1:1" x14ac:dyDescent="0.2">
      <c r="A10883" s="52"/>
    </row>
    <row r="10884" spans="1:1" x14ac:dyDescent="0.2">
      <c r="A10884" s="52"/>
    </row>
    <row r="10885" spans="1:1" x14ac:dyDescent="0.2">
      <c r="A10885" s="52"/>
    </row>
    <row r="10886" spans="1:1" x14ac:dyDescent="0.2">
      <c r="A10886" s="52"/>
    </row>
    <row r="10887" spans="1:1" x14ac:dyDescent="0.2">
      <c r="A10887" s="52"/>
    </row>
    <row r="10888" spans="1:1" x14ac:dyDescent="0.2">
      <c r="A10888" s="53"/>
    </row>
    <row r="10889" spans="1:1" x14ac:dyDescent="0.2">
      <c r="A10889" s="52"/>
    </row>
    <row r="10890" spans="1:1" x14ac:dyDescent="0.2">
      <c r="A10890" s="52"/>
    </row>
    <row r="10891" spans="1:1" x14ac:dyDescent="0.2">
      <c r="A10891" s="52"/>
    </row>
    <row r="10892" spans="1:1" x14ac:dyDescent="0.2">
      <c r="A10892" s="53"/>
    </row>
    <row r="10893" spans="1:1" x14ac:dyDescent="0.2">
      <c r="A10893" s="52"/>
    </row>
    <row r="10894" spans="1:1" x14ac:dyDescent="0.2">
      <c r="A10894" s="52"/>
    </row>
    <row r="10895" spans="1:1" x14ac:dyDescent="0.2">
      <c r="A10895" s="52"/>
    </row>
    <row r="10896" spans="1:1" x14ac:dyDescent="0.2">
      <c r="A10896" s="52"/>
    </row>
    <row r="10897" spans="1:1" x14ac:dyDescent="0.2">
      <c r="A10897" s="52"/>
    </row>
    <row r="10898" spans="1:1" x14ac:dyDescent="0.2">
      <c r="A10898" s="52"/>
    </row>
    <row r="10899" spans="1:1" x14ac:dyDescent="0.2">
      <c r="A10899" s="52"/>
    </row>
    <row r="10900" spans="1:1" x14ac:dyDescent="0.2">
      <c r="A10900" s="52"/>
    </row>
    <row r="10901" spans="1:1" x14ac:dyDescent="0.2">
      <c r="A10901" s="52"/>
    </row>
    <row r="10902" spans="1:1" x14ac:dyDescent="0.2">
      <c r="A10902" s="52"/>
    </row>
    <row r="10903" spans="1:1" x14ac:dyDescent="0.2">
      <c r="A10903" s="52"/>
    </row>
    <row r="10904" spans="1:1" x14ac:dyDescent="0.2">
      <c r="A10904" s="52"/>
    </row>
    <row r="10905" spans="1:1" x14ac:dyDescent="0.2">
      <c r="A10905" s="52"/>
    </row>
    <row r="10906" spans="1:1" x14ac:dyDescent="0.2">
      <c r="A10906" s="52"/>
    </row>
    <row r="10907" spans="1:1" x14ac:dyDescent="0.2">
      <c r="A10907" s="52"/>
    </row>
    <row r="10908" spans="1:1" x14ac:dyDescent="0.2">
      <c r="A10908" s="52"/>
    </row>
    <row r="10909" spans="1:1" x14ac:dyDescent="0.2">
      <c r="A10909" s="52"/>
    </row>
    <row r="10910" spans="1:1" x14ac:dyDescent="0.2">
      <c r="A10910" s="52"/>
    </row>
    <row r="10911" spans="1:1" x14ac:dyDescent="0.2">
      <c r="A10911" s="52"/>
    </row>
    <row r="10912" spans="1:1" x14ac:dyDescent="0.2">
      <c r="A10912" s="52"/>
    </row>
    <row r="10913" spans="1:1" x14ac:dyDescent="0.2">
      <c r="A10913" s="52"/>
    </row>
    <row r="10914" spans="1:1" x14ac:dyDescent="0.2">
      <c r="A10914" s="52"/>
    </row>
    <row r="10915" spans="1:1" x14ac:dyDescent="0.2">
      <c r="A10915" s="52"/>
    </row>
    <row r="10916" spans="1:1" x14ac:dyDescent="0.2">
      <c r="A10916" s="52"/>
    </row>
    <row r="10917" spans="1:1" x14ac:dyDescent="0.2">
      <c r="A10917" s="52"/>
    </row>
    <row r="10918" spans="1:1" x14ac:dyDescent="0.2">
      <c r="A10918" s="52"/>
    </row>
    <row r="10919" spans="1:1" x14ac:dyDescent="0.2">
      <c r="A10919" s="52"/>
    </row>
    <row r="10920" spans="1:1" x14ac:dyDescent="0.2">
      <c r="A10920" s="53"/>
    </row>
    <row r="10921" spans="1:1" x14ac:dyDescent="0.2">
      <c r="A10921" s="52"/>
    </row>
    <row r="10922" spans="1:1" x14ac:dyDescent="0.2">
      <c r="A10922" s="52"/>
    </row>
    <row r="10923" spans="1:1" x14ac:dyDescent="0.2">
      <c r="A10923" s="52"/>
    </row>
    <row r="10924" spans="1:1" x14ac:dyDescent="0.2">
      <c r="A10924" s="52"/>
    </row>
    <row r="10925" spans="1:1" x14ac:dyDescent="0.2">
      <c r="A10925" s="52"/>
    </row>
    <row r="10926" spans="1:1" x14ac:dyDescent="0.2">
      <c r="A10926" s="52"/>
    </row>
    <row r="10927" spans="1:1" x14ac:dyDescent="0.2">
      <c r="A10927" s="52"/>
    </row>
    <row r="10928" spans="1:1" x14ac:dyDescent="0.2">
      <c r="A10928" s="52"/>
    </row>
    <row r="10929" spans="1:1" x14ac:dyDescent="0.2">
      <c r="A10929" s="52"/>
    </row>
    <row r="10930" spans="1:1" x14ac:dyDescent="0.2">
      <c r="A10930" s="52"/>
    </row>
    <row r="10931" spans="1:1" x14ac:dyDescent="0.2">
      <c r="A10931" s="52"/>
    </row>
    <row r="10932" spans="1:1" x14ac:dyDescent="0.2">
      <c r="A10932" s="52"/>
    </row>
    <row r="10933" spans="1:1" x14ac:dyDescent="0.2">
      <c r="A10933" s="52"/>
    </row>
    <row r="10934" spans="1:1" x14ac:dyDescent="0.2">
      <c r="A10934" s="52"/>
    </row>
    <row r="10935" spans="1:1" x14ac:dyDescent="0.2">
      <c r="A10935" s="52"/>
    </row>
    <row r="10936" spans="1:1" x14ac:dyDescent="0.2">
      <c r="A10936" s="52"/>
    </row>
    <row r="10937" spans="1:1" x14ac:dyDescent="0.2">
      <c r="A10937" s="52"/>
    </row>
    <row r="10938" spans="1:1" x14ac:dyDescent="0.2">
      <c r="A10938" s="52"/>
    </row>
    <row r="10939" spans="1:1" x14ac:dyDescent="0.2">
      <c r="A10939" s="52"/>
    </row>
    <row r="10940" spans="1:1" x14ac:dyDescent="0.2">
      <c r="A10940" s="52"/>
    </row>
    <row r="10941" spans="1:1" x14ac:dyDescent="0.2">
      <c r="A10941" s="52"/>
    </row>
    <row r="10942" spans="1:1" x14ac:dyDescent="0.2">
      <c r="A10942" s="52"/>
    </row>
    <row r="10943" spans="1:1" x14ac:dyDescent="0.2">
      <c r="A10943" s="52"/>
    </row>
    <row r="10944" spans="1:1" x14ac:dyDescent="0.2">
      <c r="A10944" s="52"/>
    </row>
    <row r="10945" spans="1:1" x14ac:dyDescent="0.2">
      <c r="A10945" s="52"/>
    </row>
    <row r="10946" spans="1:1" x14ac:dyDescent="0.2">
      <c r="A10946" s="52"/>
    </row>
    <row r="10947" spans="1:1" x14ac:dyDescent="0.2">
      <c r="A10947" s="52"/>
    </row>
    <row r="10948" spans="1:1" x14ac:dyDescent="0.2">
      <c r="A10948" s="52"/>
    </row>
    <row r="10949" spans="1:1" x14ac:dyDescent="0.2">
      <c r="A10949" s="52"/>
    </row>
    <row r="10950" spans="1:1" x14ac:dyDescent="0.2">
      <c r="A10950" s="52"/>
    </row>
    <row r="10951" spans="1:1" x14ac:dyDescent="0.2">
      <c r="A10951" s="52"/>
    </row>
    <row r="10952" spans="1:1" x14ac:dyDescent="0.2">
      <c r="A10952" s="52"/>
    </row>
    <row r="10953" spans="1:1" x14ac:dyDescent="0.2">
      <c r="A10953" s="52"/>
    </row>
    <row r="10954" spans="1:1" x14ac:dyDescent="0.2">
      <c r="A10954" s="52"/>
    </row>
    <row r="10955" spans="1:1" x14ac:dyDescent="0.2">
      <c r="A10955" s="52"/>
    </row>
    <row r="10956" spans="1:1" x14ac:dyDescent="0.2">
      <c r="A10956" s="52"/>
    </row>
    <row r="10957" spans="1:1" x14ac:dyDescent="0.2">
      <c r="A10957" s="52"/>
    </row>
    <row r="10958" spans="1:1" x14ac:dyDescent="0.2">
      <c r="A10958" s="52"/>
    </row>
    <row r="10959" spans="1:1" x14ac:dyDescent="0.2">
      <c r="A10959" s="52"/>
    </row>
    <row r="10960" spans="1:1" x14ac:dyDescent="0.2">
      <c r="A10960" s="53"/>
    </row>
    <row r="10961" spans="1:1" x14ac:dyDescent="0.2">
      <c r="A10961" s="52"/>
    </row>
    <row r="10962" spans="1:1" x14ac:dyDescent="0.2">
      <c r="A10962" s="53"/>
    </row>
    <row r="10963" spans="1:1" x14ac:dyDescent="0.2">
      <c r="A10963" s="52"/>
    </row>
    <row r="10964" spans="1:1" x14ac:dyDescent="0.2">
      <c r="A10964" s="53"/>
    </row>
    <row r="10965" spans="1:1" x14ac:dyDescent="0.2">
      <c r="A10965" s="52"/>
    </row>
    <row r="10966" spans="1:1" x14ac:dyDescent="0.2">
      <c r="A10966" s="52"/>
    </row>
    <row r="10967" spans="1:1" x14ac:dyDescent="0.2">
      <c r="A10967" s="52"/>
    </row>
    <row r="10968" spans="1:1" x14ac:dyDescent="0.2">
      <c r="A10968" s="52"/>
    </row>
    <row r="10969" spans="1:1" x14ac:dyDescent="0.2">
      <c r="A10969" s="52"/>
    </row>
    <row r="10970" spans="1:1" x14ac:dyDescent="0.2">
      <c r="A10970" s="52"/>
    </row>
    <row r="10971" spans="1:1" x14ac:dyDescent="0.2">
      <c r="A10971" s="53"/>
    </row>
    <row r="10972" spans="1:1" x14ac:dyDescent="0.2">
      <c r="A10972" s="52"/>
    </row>
    <row r="10973" spans="1:1" x14ac:dyDescent="0.2">
      <c r="A10973" s="52"/>
    </row>
    <row r="10974" spans="1:1" x14ac:dyDescent="0.2">
      <c r="A10974" s="52"/>
    </row>
    <row r="10975" spans="1:1" x14ac:dyDescent="0.2">
      <c r="A10975" s="52"/>
    </row>
    <row r="10976" spans="1:1" x14ac:dyDescent="0.2">
      <c r="A10976" s="52"/>
    </row>
    <row r="10977" spans="1:1" x14ac:dyDescent="0.2">
      <c r="A10977" s="52"/>
    </row>
    <row r="10978" spans="1:1" x14ac:dyDescent="0.2">
      <c r="A10978" s="52"/>
    </row>
    <row r="10979" spans="1:1" x14ac:dyDescent="0.2">
      <c r="A10979" s="52"/>
    </row>
    <row r="10980" spans="1:1" x14ac:dyDescent="0.2">
      <c r="A10980" s="52"/>
    </row>
    <row r="10981" spans="1:1" x14ac:dyDescent="0.2">
      <c r="A10981" s="52"/>
    </row>
    <row r="10982" spans="1:1" x14ac:dyDescent="0.2">
      <c r="A10982" s="52"/>
    </row>
    <row r="10983" spans="1:1" x14ac:dyDescent="0.2">
      <c r="A10983" s="52"/>
    </row>
    <row r="10984" spans="1:1" x14ac:dyDescent="0.2">
      <c r="A10984" s="52"/>
    </row>
    <row r="10985" spans="1:1" x14ac:dyDescent="0.2">
      <c r="A10985" s="52"/>
    </row>
    <row r="10986" spans="1:1" x14ac:dyDescent="0.2">
      <c r="A10986" s="52"/>
    </row>
    <row r="10987" spans="1:1" x14ac:dyDescent="0.2">
      <c r="A10987" s="52"/>
    </row>
    <row r="10988" spans="1:1" x14ac:dyDescent="0.2">
      <c r="A10988" s="52"/>
    </row>
    <row r="10989" spans="1:1" x14ac:dyDescent="0.2">
      <c r="A10989" s="52"/>
    </row>
    <row r="10990" spans="1:1" x14ac:dyDescent="0.2">
      <c r="A10990" s="52"/>
    </row>
    <row r="10991" spans="1:1" x14ac:dyDescent="0.2">
      <c r="A10991" s="52"/>
    </row>
    <row r="10992" spans="1:1" x14ac:dyDescent="0.2">
      <c r="A10992" s="52"/>
    </row>
    <row r="10993" spans="1:1" x14ac:dyDescent="0.2">
      <c r="A10993" s="52"/>
    </row>
    <row r="10994" spans="1:1" x14ac:dyDescent="0.2">
      <c r="A10994" s="52"/>
    </row>
    <row r="10995" spans="1:1" x14ac:dyDescent="0.2">
      <c r="A10995" s="52"/>
    </row>
    <row r="10996" spans="1:1" x14ac:dyDescent="0.2">
      <c r="A10996" s="52"/>
    </row>
    <row r="10997" spans="1:1" x14ac:dyDescent="0.2">
      <c r="A10997" s="52"/>
    </row>
    <row r="10998" spans="1:1" x14ac:dyDescent="0.2">
      <c r="A10998" s="52"/>
    </row>
    <row r="10999" spans="1:1" x14ac:dyDescent="0.2">
      <c r="A10999" s="52"/>
    </row>
    <row r="11000" spans="1:1" x14ac:dyDescent="0.2">
      <c r="A11000" s="52"/>
    </row>
    <row r="11001" spans="1:1" x14ac:dyDescent="0.2">
      <c r="A11001" s="52"/>
    </row>
    <row r="11002" spans="1:1" x14ac:dyDescent="0.2">
      <c r="A11002" s="52"/>
    </row>
    <row r="11003" spans="1:1" x14ac:dyDescent="0.2">
      <c r="A11003" s="52"/>
    </row>
    <row r="11004" spans="1:1" x14ac:dyDescent="0.2">
      <c r="A11004" s="52"/>
    </row>
    <row r="11005" spans="1:1" x14ac:dyDescent="0.2">
      <c r="A11005" s="53"/>
    </row>
    <row r="11006" spans="1:1" x14ac:dyDescent="0.2">
      <c r="A11006" s="52"/>
    </row>
    <row r="11007" spans="1:1" x14ac:dyDescent="0.2">
      <c r="A11007" s="53"/>
    </row>
    <row r="11008" spans="1:1" x14ac:dyDescent="0.2">
      <c r="A11008" s="52"/>
    </row>
    <row r="11009" spans="1:1" x14ac:dyDescent="0.2">
      <c r="A11009" s="52"/>
    </row>
    <row r="11010" spans="1:1" x14ac:dyDescent="0.2">
      <c r="A11010" s="53"/>
    </row>
    <row r="11011" spans="1:1" x14ac:dyDescent="0.2">
      <c r="A11011" s="53"/>
    </row>
    <row r="11012" spans="1:1" x14ac:dyDescent="0.2">
      <c r="A11012" s="52"/>
    </row>
    <row r="11013" spans="1:1" x14ac:dyDescent="0.2">
      <c r="A11013" s="52"/>
    </row>
    <row r="11014" spans="1:1" x14ac:dyDescent="0.2">
      <c r="A11014" s="52"/>
    </row>
    <row r="11015" spans="1:1" x14ac:dyDescent="0.2">
      <c r="A11015" s="52"/>
    </row>
    <row r="11016" spans="1:1" x14ac:dyDescent="0.2">
      <c r="A11016" s="52"/>
    </row>
    <row r="11017" spans="1:1" x14ac:dyDescent="0.2">
      <c r="A11017" s="52"/>
    </row>
    <row r="11018" spans="1:1" x14ac:dyDescent="0.2">
      <c r="A11018" s="52"/>
    </row>
    <row r="11019" spans="1:1" x14ac:dyDescent="0.2">
      <c r="A11019" s="52"/>
    </row>
    <row r="11020" spans="1:1" x14ac:dyDescent="0.2">
      <c r="A11020" s="52"/>
    </row>
    <row r="11021" spans="1:1" x14ac:dyDescent="0.2">
      <c r="A11021" s="52"/>
    </row>
    <row r="11022" spans="1:1" x14ac:dyDescent="0.2">
      <c r="A11022" s="52"/>
    </row>
    <row r="11023" spans="1:1" x14ac:dyDescent="0.2">
      <c r="A11023" s="53"/>
    </row>
    <row r="11024" spans="1:1" x14ac:dyDescent="0.2">
      <c r="A11024" s="52"/>
    </row>
    <row r="11025" spans="1:1" x14ac:dyDescent="0.2">
      <c r="A11025" s="52"/>
    </row>
    <row r="11026" spans="1:1" x14ac:dyDescent="0.2">
      <c r="A11026" s="52"/>
    </row>
    <row r="11027" spans="1:1" x14ac:dyDescent="0.2">
      <c r="A11027" s="52"/>
    </row>
    <row r="11028" spans="1:1" x14ac:dyDescent="0.2">
      <c r="A11028" s="52"/>
    </row>
    <row r="11029" spans="1:1" x14ac:dyDescent="0.2">
      <c r="A11029" s="52"/>
    </row>
    <row r="11030" spans="1:1" x14ac:dyDescent="0.2">
      <c r="A11030" s="52"/>
    </row>
    <row r="11031" spans="1:1" x14ac:dyDescent="0.2">
      <c r="A11031" s="52"/>
    </row>
    <row r="11032" spans="1:1" x14ac:dyDescent="0.2">
      <c r="A11032" s="52"/>
    </row>
    <row r="11033" spans="1:1" x14ac:dyDescent="0.2">
      <c r="A11033" s="53"/>
    </row>
    <row r="11034" spans="1:1" x14ac:dyDescent="0.2">
      <c r="A11034" s="52"/>
    </row>
    <row r="11035" spans="1:1" x14ac:dyDescent="0.2">
      <c r="A11035" s="52"/>
    </row>
    <row r="11036" spans="1:1" x14ac:dyDescent="0.2">
      <c r="A11036" s="52"/>
    </row>
    <row r="11037" spans="1:1" x14ac:dyDescent="0.2">
      <c r="A11037" s="52"/>
    </row>
    <row r="11038" spans="1:1" x14ac:dyDescent="0.2">
      <c r="A11038" s="52"/>
    </row>
    <row r="11039" spans="1:1" x14ac:dyDescent="0.2">
      <c r="A11039" s="52"/>
    </row>
    <row r="11040" spans="1:1" x14ac:dyDescent="0.2">
      <c r="A11040" s="52"/>
    </row>
    <row r="11041" spans="1:1" x14ac:dyDescent="0.2">
      <c r="A11041" s="52"/>
    </row>
    <row r="11042" spans="1:1" x14ac:dyDescent="0.2">
      <c r="A11042" s="52"/>
    </row>
    <row r="11043" spans="1:1" x14ac:dyDescent="0.2">
      <c r="A11043" s="52"/>
    </row>
    <row r="11044" spans="1:1" x14ac:dyDescent="0.2">
      <c r="A11044" s="53"/>
    </row>
    <row r="11045" spans="1:1" x14ac:dyDescent="0.2">
      <c r="A11045" s="52"/>
    </row>
    <row r="11046" spans="1:1" x14ac:dyDescent="0.2">
      <c r="A11046" s="52"/>
    </row>
    <row r="11047" spans="1:1" x14ac:dyDescent="0.2">
      <c r="A11047" s="53"/>
    </row>
    <row r="11048" spans="1:1" x14ac:dyDescent="0.2">
      <c r="A11048" s="52"/>
    </row>
    <row r="11049" spans="1:1" x14ac:dyDescent="0.2">
      <c r="A11049" s="52"/>
    </row>
    <row r="11050" spans="1:1" x14ac:dyDescent="0.2">
      <c r="A11050" s="52"/>
    </row>
    <row r="11051" spans="1:1" x14ac:dyDescent="0.2">
      <c r="A11051" s="52"/>
    </row>
    <row r="11052" spans="1:1" x14ac:dyDescent="0.2">
      <c r="A11052" s="52"/>
    </row>
    <row r="11053" spans="1:1" x14ac:dyDescent="0.2">
      <c r="A11053" s="52"/>
    </row>
    <row r="11054" spans="1:1" x14ac:dyDescent="0.2">
      <c r="A11054" s="52"/>
    </row>
    <row r="11055" spans="1:1" x14ac:dyDescent="0.2">
      <c r="A11055" s="52"/>
    </row>
    <row r="11056" spans="1:1" x14ac:dyDescent="0.2">
      <c r="A11056" s="52"/>
    </row>
    <row r="11057" spans="1:1" x14ac:dyDescent="0.2">
      <c r="A11057" s="52"/>
    </row>
    <row r="11058" spans="1:1" x14ac:dyDescent="0.2">
      <c r="A11058" s="52"/>
    </row>
    <row r="11059" spans="1:1" x14ac:dyDescent="0.2">
      <c r="A11059" s="52"/>
    </row>
    <row r="11060" spans="1:1" x14ac:dyDescent="0.2">
      <c r="A11060" s="52"/>
    </row>
    <row r="11061" spans="1:1" x14ac:dyDescent="0.2">
      <c r="A11061" s="52"/>
    </row>
    <row r="11062" spans="1:1" x14ac:dyDescent="0.2">
      <c r="A11062" s="52"/>
    </row>
    <row r="11063" spans="1:1" x14ac:dyDescent="0.2">
      <c r="A11063" s="52"/>
    </row>
    <row r="11064" spans="1:1" x14ac:dyDescent="0.2">
      <c r="A11064" s="53"/>
    </row>
    <row r="11065" spans="1:1" x14ac:dyDescent="0.2">
      <c r="A11065" s="52"/>
    </row>
    <row r="11066" spans="1:1" x14ac:dyDescent="0.2">
      <c r="A11066" s="52"/>
    </row>
    <row r="11067" spans="1:1" x14ac:dyDescent="0.2">
      <c r="A11067" s="52"/>
    </row>
    <row r="11068" spans="1:1" x14ac:dyDescent="0.2">
      <c r="A11068" s="53"/>
    </row>
    <row r="11069" spans="1:1" x14ac:dyDescent="0.2">
      <c r="A11069" s="52"/>
    </row>
    <row r="11070" spans="1:1" x14ac:dyDescent="0.2">
      <c r="A11070" s="52"/>
    </row>
    <row r="11071" spans="1:1" x14ac:dyDescent="0.2">
      <c r="A11071" s="52"/>
    </row>
    <row r="11072" spans="1:1" x14ac:dyDescent="0.2">
      <c r="A11072" s="52"/>
    </row>
    <row r="11073" spans="1:1" x14ac:dyDescent="0.2">
      <c r="A11073" s="52"/>
    </row>
    <row r="11074" spans="1:1" x14ac:dyDescent="0.2">
      <c r="A11074" s="52"/>
    </row>
    <row r="11075" spans="1:1" x14ac:dyDescent="0.2">
      <c r="A11075" s="52"/>
    </row>
    <row r="11076" spans="1:1" x14ac:dyDescent="0.2">
      <c r="A11076" s="52"/>
    </row>
    <row r="11077" spans="1:1" x14ac:dyDescent="0.2">
      <c r="A11077" s="52"/>
    </row>
    <row r="11078" spans="1:1" x14ac:dyDescent="0.2">
      <c r="A11078" s="52"/>
    </row>
    <row r="11079" spans="1:1" x14ac:dyDescent="0.2">
      <c r="A11079" s="52"/>
    </row>
    <row r="11080" spans="1:1" x14ac:dyDescent="0.2">
      <c r="A11080" s="52"/>
    </row>
    <row r="11081" spans="1:1" x14ac:dyDescent="0.2">
      <c r="A11081" s="52"/>
    </row>
    <row r="11082" spans="1:1" x14ac:dyDescent="0.2">
      <c r="A11082" s="52"/>
    </row>
    <row r="11083" spans="1:1" x14ac:dyDescent="0.2">
      <c r="A11083" s="52"/>
    </row>
    <row r="11084" spans="1:1" x14ac:dyDescent="0.2">
      <c r="A11084" s="52"/>
    </row>
    <row r="11085" spans="1:1" x14ac:dyDescent="0.2">
      <c r="A11085" s="52"/>
    </row>
    <row r="11086" spans="1:1" x14ac:dyDescent="0.2">
      <c r="A11086" s="52"/>
    </row>
    <row r="11087" spans="1:1" x14ac:dyDescent="0.2">
      <c r="A11087" s="52"/>
    </row>
    <row r="11088" spans="1:1" x14ac:dyDescent="0.2">
      <c r="A11088" s="52"/>
    </row>
    <row r="11089" spans="1:1" x14ac:dyDescent="0.2">
      <c r="A11089" s="52"/>
    </row>
    <row r="11090" spans="1:1" x14ac:dyDescent="0.2">
      <c r="A11090" s="52"/>
    </row>
    <row r="11091" spans="1:1" x14ac:dyDescent="0.2">
      <c r="A11091" s="52"/>
    </row>
    <row r="11092" spans="1:1" x14ac:dyDescent="0.2">
      <c r="A11092" s="53"/>
    </row>
    <row r="11093" spans="1:1" x14ac:dyDescent="0.2">
      <c r="A11093" s="52"/>
    </row>
    <row r="11094" spans="1:1" x14ac:dyDescent="0.2">
      <c r="A11094" s="53"/>
    </row>
    <row r="11095" spans="1:1" x14ac:dyDescent="0.2">
      <c r="A11095" s="53"/>
    </row>
    <row r="11096" spans="1:1" x14ac:dyDescent="0.2">
      <c r="A11096" s="52"/>
    </row>
    <row r="11097" spans="1:1" x14ac:dyDescent="0.2">
      <c r="A11097" s="52"/>
    </row>
    <row r="11098" spans="1:1" x14ac:dyDescent="0.2">
      <c r="A11098" s="52"/>
    </row>
    <row r="11099" spans="1:1" x14ac:dyDescent="0.2">
      <c r="A11099" s="52"/>
    </row>
    <row r="11100" spans="1:1" x14ac:dyDescent="0.2">
      <c r="A11100" s="52"/>
    </row>
    <row r="11101" spans="1:1" x14ac:dyDescent="0.2">
      <c r="A11101" s="52"/>
    </row>
    <row r="11102" spans="1:1" x14ac:dyDescent="0.2">
      <c r="A11102" s="52"/>
    </row>
    <row r="11103" spans="1:1" x14ac:dyDescent="0.2">
      <c r="A11103" s="53"/>
    </row>
    <row r="11104" spans="1:1" x14ac:dyDescent="0.2">
      <c r="A11104" s="52"/>
    </row>
    <row r="11105" spans="1:1" x14ac:dyDescent="0.2">
      <c r="A11105" s="52"/>
    </row>
    <row r="11106" spans="1:1" x14ac:dyDescent="0.2">
      <c r="A11106" s="52"/>
    </row>
    <row r="11107" spans="1:1" x14ac:dyDescent="0.2">
      <c r="A11107" s="52"/>
    </row>
    <row r="11108" spans="1:1" x14ac:dyDescent="0.2">
      <c r="A11108" s="52"/>
    </row>
    <row r="11109" spans="1:1" x14ac:dyDescent="0.2">
      <c r="A11109" s="52"/>
    </row>
    <row r="11110" spans="1:1" x14ac:dyDescent="0.2">
      <c r="A11110" s="53"/>
    </row>
    <row r="11111" spans="1:1" x14ac:dyDescent="0.2">
      <c r="A11111" s="53"/>
    </row>
    <row r="11112" spans="1:1" x14ac:dyDescent="0.2">
      <c r="A11112" s="52"/>
    </row>
    <row r="11113" spans="1:1" x14ac:dyDescent="0.2">
      <c r="A11113" s="52"/>
    </row>
    <row r="11114" spans="1:1" x14ac:dyDescent="0.2">
      <c r="A11114" s="52"/>
    </row>
    <row r="11115" spans="1:1" x14ac:dyDescent="0.2">
      <c r="A11115" s="52"/>
    </row>
    <row r="11116" spans="1:1" x14ac:dyDescent="0.2">
      <c r="A11116" s="52"/>
    </row>
    <row r="11117" spans="1:1" x14ac:dyDescent="0.2">
      <c r="A11117" s="52"/>
    </row>
    <row r="11118" spans="1:1" x14ac:dyDescent="0.2">
      <c r="A11118" s="52"/>
    </row>
    <row r="11119" spans="1:1" x14ac:dyDescent="0.2">
      <c r="A11119" s="52"/>
    </row>
    <row r="11120" spans="1:1" x14ac:dyDescent="0.2">
      <c r="A11120" s="52"/>
    </row>
    <row r="11121" spans="1:1" x14ac:dyDescent="0.2">
      <c r="A11121" s="53"/>
    </row>
    <row r="11122" spans="1:1" x14ac:dyDescent="0.2">
      <c r="A11122" s="52"/>
    </row>
    <row r="11123" spans="1:1" x14ac:dyDescent="0.2">
      <c r="A11123" s="52"/>
    </row>
    <row r="11124" spans="1:1" x14ac:dyDescent="0.2">
      <c r="A11124" s="52"/>
    </row>
    <row r="11125" spans="1:1" x14ac:dyDescent="0.2">
      <c r="A11125" s="52"/>
    </row>
    <row r="11126" spans="1:1" x14ac:dyDescent="0.2">
      <c r="A11126" s="52"/>
    </row>
    <row r="11127" spans="1:1" x14ac:dyDescent="0.2">
      <c r="A11127" s="52"/>
    </row>
    <row r="11128" spans="1:1" x14ac:dyDescent="0.2">
      <c r="A11128" s="52"/>
    </row>
    <row r="11129" spans="1:1" x14ac:dyDescent="0.2">
      <c r="A11129" s="52"/>
    </row>
    <row r="11130" spans="1:1" x14ac:dyDescent="0.2">
      <c r="A11130" s="52"/>
    </row>
    <row r="11131" spans="1:1" x14ac:dyDescent="0.2">
      <c r="A11131" s="52"/>
    </row>
    <row r="11132" spans="1:1" x14ac:dyDescent="0.2">
      <c r="A11132" s="52"/>
    </row>
    <row r="11133" spans="1:1" x14ac:dyDescent="0.2">
      <c r="A11133" s="52"/>
    </row>
    <row r="11134" spans="1:1" x14ac:dyDescent="0.2">
      <c r="A11134" s="52"/>
    </row>
    <row r="11135" spans="1:1" x14ac:dyDescent="0.2">
      <c r="A11135" s="52"/>
    </row>
    <row r="11136" spans="1:1" x14ac:dyDescent="0.2">
      <c r="A11136" s="52"/>
    </row>
    <row r="11137" spans="1:1" x14ac:dyDescent="0.2">
      <c r="A11137" s="52"/>
    </row>
    <row r="11138" spans="1:1" x14ac:dyDescent="0.2">
      <c r="A11138" s="52"/>
    </row>
    <row r="11139" spans="1:1" x14ac:dyDescent="0.2">
      <c r="A11139" s="52"/>
    </row>
    <row r="11140" spans="1:1" x14ac:dyDescent="0.2">
      <c r="A11140" s="52"/>
    </row>
    <row r="11141" spans="1:1" x14ac:dyDescent="0.2">
      <c r="A11141" s="52"/>
    </row>
    <row r="11142" spans="1:1" x14ac:dyDescent="0.2">
      <c r="A11142" s="52"/>
    </row>
    <row r="11143" spans="1:1" x14ac:dyDescent="0.2">
      <c r="A11143" s="52"/>
    </row>
    <row r="11144" spans="1:1" x14ac:dyDescent="0.2">
      <c r="A11144" s="52"/>
    </row>
    <row r="11145" spans="1:1" x14ac:dyDescent="0.2">
      <c r="A11145" s="52"/>
    </row>
    <row r="11146" spans="1:1" x14ac:dyDescent="0.2">
      <c r="A11146" s="52"/>
    </row>
    <row r="11147" spans="1:1" x14ac:dyDescent="0.2">
      <c r="A11147" s="52"/>
    </row>
    <row r="11148" spans="1:1" x14ac:dyDescent="0.2">
      <c r="A11148" s="52"/>
    </row>
    <row r="11149" spans="1:1" x14ac:dyDescent="0.2">
      <c r="A11149" s="52"/>
    </row>
    <row r="11150" spans="1:1" x14ac:dyDescent="0.2">
      <c r="A11150" s="53"/>
    </row>
    <row r="11151" spans="1:1" x14ac:dyDescent="0.2">
      <c r="A11151" s="52"/>
    </row>
    <row r="11152" spans="1:1" x14ac:dyDescent="0.2">
      <c r="A11152" s="53"/>
    </row>
    <row r="11153" spans="1:1" x14ac:dyDescent="0.2">
      <c r="A11153" s="52"/>
    </row>
    <row r="11154" spans="1:1" x14ac:dyDescent="0.2">
      <c r="A11154" s="52"/>
    </row>
    <row r="11155" spans="1:1" x14ac:dyDescent="0.2">
      <c r="A11155" s="52"/>
    </row>
    <row r="11156" spans="1:1" x14ac:dyDescent="0.2">
      <c r="A11156" s="52"/>
    </row>
    <row r="11157" spans="1:1" x14ac:dyDescent="0.2">
      <c r="A11157" s="52"/>
    </row>
    <row r="11158" spans="1:1" x14ac:dyDescent="0.2">
      <c r="A11158" s="52"/>
    </row>
    <row r="11159" spans="1:1" x14ac:dyDescent="0.2">
      <c r="A11159" s="52"/>
    </row>
    <row r="11160" spans="1:1" x14ac:dyDescent="0.2">
      <c r="A11160" s="52"/>
    </row>
    <row r="11161" spans="1:1" x14ac:dyDescent="0.2">
      <c r="A11161" s="52"/>
    </row>
    <row r="11162" spans="1:1" x14ac:dyDescent="0.2">
      <c r="A11162" s="52"/>
    </row>
    <row r="11163" spans="1:1" x14ac:dyDescent="0.2">
      <c r="A11163" s="52"/>
    </row>
    <row r="11164" spans="1:1" x14ac:dyDescent="0.2">
      <c r="A11164" s="52"/>
    </row>
    <row r="11165" spans="1:1" x14ac:dyDescent="0.2">
      <c r="A11165" s="52"/>
    </row>
    <row r="11166" spans="1:1" x14ac:dyDescent="0.2">
      <c r="A11166" s="53"/>
    </row>
    <row r="11167" spans="1:1" x14ac:dyDescent="0.2">
      <c r="A11167" s="52"/>
    </row>
    <row r="11168" spans="1:1" x14ac:dyDescent="0.2">
      <c r="A11168" s="52"/>
    </row>
    <row r="11169" spans="1:1" x14ac:dyDescent="0.2">
      <c r="A11169" s="53"/>
    </row>
    <row r="11170" spans="1:1" x14ac:dyDescent="0.2">
      <c r="A11170" s="52"/>
    </row>
    <row r="11171" spans="1:1" x14ac:dyDescent="0.2">
      <c r="A11171" s="52"/>
    </row>
    <row r="11172" spans="1:1" x14ac:dyDescent="0.2">
      <c r="A11172" s="52"/>
    </row>
    <row r="11173" spans="1:1" x14ac:dyDescent="0.2">
      <c r="A11173" s="52"/>
    </row>
    <row r="11174" spans="1:1" x14ac:dyDescent="0.2">
      <c r="A11174" s="52"/>
    </row>
    <row r="11175" spans="1:1" x14ac:dyDescent="0.2">
      <c r="A11175" s="52"/>
    </row>
    <row r="11176" spans="1:1" x14ac:dyDescent="0.2">
      <c r="A11176" s="52"/>
    </row>
    <row r="11177" spans="1:1" x14ac:dyDescent="0.2">
      <c r="A11177" s="52"/>
    </row>
    <row r="11178" spans="1:1" x14ac:dyDescent="0.2">
      <c r="A11178" s="52"/>
    </row>
    <row r="11179" spans="1:1" x14ac:dyDescent="0.2">
      <c r="A11179" s="52"/>
    </row>
    <row r="11180" spans="1:1" x14ac:dyDescent="0.2">
      <c r="A11180" s="52"/>
    </row>
    <row r="11181" spans="1:1" x14ac:dyDescent="0.2">
      <c r="A11181" s="52"/>
    </row>
    <row r="11182" spans="1:1" x14ac:dyDescent="0.2">
      <c r="A11182" s="52"/>
    </row>
    <row r="11183" spans="1:1" x14ac:dyDescent="0.2">
      <c r="A11183" s="52"/>
    </row>
    <row r="11184" spans="1:1" x14ac:dyDescent="0.2">
      <c r="A11184" s="52"/>
    </row>
    <row r="11185" spans="1:1" x14ac:dyDescent="0.2">
      <c r="A11185" s="53"/>
    </row>
    <row r="11186" spans="1:1" x14ac:dyDescent="0.2">
      <c r="A11186" s="52"/>
    </row>
    <row r="11187" spans="1:1" x14ac:dyDescent="0.2">
      <c r="A11187" s="52"/>
    </row>
    <row r="11188" spans="1:1" x14ac:dyDescent="0.2">
      <c r="A11188" s="52"/>
    </row>
    <row r="11189" spans="1:1" x14ac:dyDescent="0.2">
      <c r="A11189" s="52"/>
    </row>
    <row r="11190" spans="1:1" x14ac:dyDescent="0.2">
      <c r="A11190" s="52"/>
    </row>
    <row r="11191" spans="1:1" x14ac:dyDescent="0.2">
      <c r="A11191" s="52"/>
    </row>
    <row r="11192" spans="1:1" x14ac:dyDescent="0.2">
      <c r="A11192" s="52"/>
    </row>
    <row r="11193" spans="1:1" x14ac:dyDescent="0.2">
      <c r="A11193" s="52"/>
    </row>
    <row r="11194" spans="1:1" x14ac:dyDescent="0.2">
      <c r="A11194" s="52"/>
    </row>
    <row r="11195" spans="1:1" x14ac:dyDescent="0.2">
      <c r="A11195" s="52"/>
    </row>
    <row r="11196" spans="1:1" x14ac:dyDescent="0.2">
      <c r="A11196" s="52"/>
    </row>
    <row r="11197" spans="1:1" x14ac:dyDescent="0.2">
      <c r="A11197" s="52"/>
    </row>
    <row r="11198" spans="1:1" x14ac:dyDescent="0.2">
      <c r="A11198" s="52"/>
    </row>
    <row r="11199" spans="1:1" x14ac:dyDescent="0.2">
      <c r="A11199" s="52"/>
    </row>
    <row r="11200" spans="1:1" x14ac:dyDescent="0.2">
      <c r="A11200" s="52"/>
    </row>
    <row r="11201" spans="1:1" x14ac:dyDescent="0.2">
      <c r="A11201" s="53"/>
    </row>
    <row r="11202" spans="1:1" x14ac:dyDescent="0.2">
      <c r="A11202" s="52"/>
    </row>
    <row r="11203" spans="1:1" x14ac:dyDescent="0.2">
      <c r="A11203" s="52"/>
    </row>
    <row r="11204" spans="1:1" x14ac:dyDescent="0.2">
      <c r="A11204" s="52"/>
    </row>
    <row r="11205" spans="1:1" x14ac:dyDescent="0.2">
      <c r="A11205" s="52"/>
    </row>
    <row r="11206" spans="1:1" x14ac:dyDescent="0.2">
      <c r="A11206" s="52"/>
    </row>
    <row r="11207" spans="1:1" x14ac:dyDescent="0.2">
      <c r="A11207" s="53"/>
    </row>
    <row r="11208" spans="1:1" x14ac:dyDescent="0.2">
      <c r="A11208" s="52"/>
    </row>
    <row r="11209" spans="1:1" x14ac:dyDescent="0.2">
      <c r="A11209" s="52"/>
    </row>
    <row r="11210" spans="1:1" x14ac:dyDescent="0.2">
      <c r="A11210" s="52"/>
    </row>
    <row r="11211" spans="1:1" x14ac:dyDescent="0.2">
      <c r="A11211" s="52"/>
    </row>
    <row r="11212" spans="1:1" x14ac:dyDescent="0.2">
      <c r="A11212" s="52"/>
    </row>
    <row r="11213" spans="1:1" x14ac:dyDescent="0.2">
      <c r="A11213" s="52"/>
    </row>
    <row r="11214" spans="1:1" x14ac:dyDescent="0.2">
      <c r="A11214" s="52"/>
    </row>
    <row r="11215" spans="1:1" x14ac:dyDescent="0.2">
      <c r="A11215" s="52"/>
    </row>
    <row r="11216" spans="1:1" x14ac:dyDescent="0.2">
      <c r="A11216" s="52"/>
    </row>
    <row r="11217" spans="1:1" x14ac:dyDescent="0.2">
      <c r="A11217" s="52"/>
    </row>
    <row r="11218" spans="1:1" x14ac:dyDescent="0.2">
      <c r="A11218" s="52"/>
    </row>
    <row r="11219" spans="1:1" x14ac:dyDescent="0.2">
      <c r="A11219" s="53"/>
    </row>
    <row r="11220" spans="1:1" x14ac:dyDescent="0.2">
      <c r="A11220" s="53"/>
    </row>
    <row r="11221" spans="1:1" x14ac:dyDescent="0.2">
      <c r="A11221" s="52"/>
    </row>
    <row r="11222" spans="1:1" x14ac:dyDescent="0.2">
      <c r="A11222" s="52"/>
    </row>
    <row r="11223" spans="1:1" x14ac:dyDescent="0.2">
      <c r="A11223" s="52"/>
    </row>
    <row r="11224" spans="1:1" x14ac:dyDescent="0.2">
      <c r="A11224" s="52"/>
    </row>
    <row r="11225" spans="1:1" x14ac:dyDescent="0.2">
      <c r="A11225" s="52"/>
    </row>
    <row r="11226" spans="1:1" x14ac:dyDescent="0.2">
      <c r="A11226" s="52"/>
    </row>
    <row r="11227" spans="1:1" x14ac:dyDescent="0.2">
      <c r="A11227" s="52"/>
    </row>
    <row r="11228" spans="1:1" x14ac:dyDescent="0.2">
      <c r="A11228" s="52"/>
    </row>
    <row r="11229" spans="1:1" x14ac:dyDescent="0.2">
      <c r="A11229" s="52"/>
    </row>
    <row r="11230" spans="1:1" x14ac:dyDescent="0.2">
      <c r="A11230" s="52"/>
    </row>
    <row r="11231" spans="1:1" x14ac:dyDescent="0.2">
      <c r="A11231" s="52"/>
    </row>
    <row r="11232" spans="1:1" x14ac:dyDescent="0.2">
      <c r="A11232" s="52"/>
    </row>
    <row r="11233" spans="1:1" x14ac:dyDescent="0.2">
      <c r="A11233" s="52"/>
    </row>
    <row r="11234" spans="1:1" x14ac:dyDescent="0.2">
      <c r="A11234" s="52"/>
    </row>
    <row r="11235" spans="1:1" x14ac:dyDescent="0.2">
      <c r="A11235" s="52"/>
    </row>
    <row r="11236" spans="1:1" x14ac:dyDescent="0.2">
      <c r="A11236" s="52"/>
    </row>
    <row r="11237" spans="1:1" x14ac:dyDescent="0.2">
      <c r="A11237" s="52"/>
    </row>
    <row r="11238" spans="1:1" x14ac:dyDescent="0.2">
      <c r="A11238" s="52"/>
    </row>
    <row r="11239" spans="1:1" x14ac:dyDescent="0.2">
      <c r="A11239" s="52"/>
    </row>
    <row r="11240" spans="1:1" x14ac:dyDescent="0.2">
      <c r="A11240" s="52"/>
    </row>
    <row r="11241" spans="1:1" x14ac:dyDescent="0.2">
      <c r="A11241" s="52"/>
    </row>
    <row r="11242" spans="1:1" x14ac:dyDescent="0.2">
      <c r="A11242" s="52"/>
    </row>
    <row r="11243" spans="1:1" x14ac:dyDescent="0.2">
      <c r="A11243" s="52"/>
    </row>
    <row r="11244" spans="1:1" x14ac:dyDescent="0.2">
      <c r="A11244" s="52"/>
    </row>
    <row r="11245" spans="1:1" x14ac:dyDescent="0.2">
      <c r="A11245" s="52"/>
    </row>
    <row r="11246" spans="1:1" x14ac:dyDescent="0.2">
      <c r="A11246" s="52"/>
    </row>
    <row r="11247" spans="1:1" x14ac:dyDescent="0.2">
      <c r="A11247" s="52"/>
    </row>
    <row r="11248" spans="1:1" x14ac:dyDescent="0.2">
      <c r="A11248" s="52"/>
    </row>
    <row r="11249" spans="1:1" x14ac:dyDescent="0.2">
      <c r="A11249" s="52"/>
    </row>
    <row r="11250" spans="1:1" x14ac:dyDescent="0.2">
      <c r="A11250" s="52"/>
    </row>
    <row r="11251" spans="1:1" x14ac:dyDescent="0.2">
      <c r="A11251" s="52"/>
    </row>
    <row r="11252" spans="1:1" x14ac:dyDescent="0.2">
      <c r="A11252" s="53"/>
    </row>
    <row r="11253" spans="1:1" x14ac:dyDescent="0.2">
      <c r="A11253" s="52"/>
    </row>
    <row r="11254" spans="1:1" x14ac:dyDescent="0.2">
      <c r="A11254" s="52"/>
    </row>
    <row r="11255" spans="1:1" x14ac:dyDescent="0.2">
      <c r="A11255" s="52"/>
    </row>
    <row r="11256" spans="1:1" x14ac:dyDescent="0.2">
      <c r="A11256" s="52"/>
    </row>
    <row r="11257" spans="1:1" x14ac:dyDescent="0.2">
      <c r="A11257" s="52"/>
    </row>
    <row r="11258" spans="1:1" x14ac:dyDescent="0.2">
      <c r="A11258" s="52"/>
    </row>
    <row r="11259" spans="1:1" x14ac:dyDescent="0.2">
      <c r="A11259" s="52"/>
    </row>
    <row r="11260" spans="1:1" x14ac:dyDescent="0.2">
      <c r="A11260" s="53"/>
    </row>
    <row r="11261" spans="1:1" x14ac:dyDescent="0.2">
      <c r="A11261" s="53"/>
    </row>
    <row r="11262" spans="1:1" x14ac:dyDescent="0.2">
      <c r="A11262" s="52"/>
    </row>
    <row r="11263" spans="1:1" x14ac:dyDescent="0.2">
      <c r="A11263" s="52"/>
    </row>
    <row r="11264" spans="1:1" x14ac:dyDescent="0.2">
      <c r="A11264" s="52"/>
    </row>
    <row r="11265" spans="1:1" x14ac:dyDescent="0.2">
      <c r="A11265" s="52"/>
    </row>
    <row r="11266" spans="1:1" x14ac:dyDescent="0.2">
      <c r="A11266" s="52"/>
    </row>
    <row r="11267" spans="1:1" x14ac:dyDescent="0.2">
      <c r="A11267" s="52"/>
    </row>
    <row r="11268" spans="1:1" x14ac:dyDescent="0.2">
      <c r="A11268" s="52"/>
    </row>
    <row r="11269" spans="1:1" x14ac:dyDescent="0.2">
      <c r="A11269" s="52"/>
    </row>
    <row r="11270" spans="1:1" x14ac:dyDescent="0.2">
      <c r="A11270" s="52"/>
    </row>
    <row r="11271" spans="1:1" x14ac:dyDescent="0.2">
      <c r="A11271" s="52"/>
    </row>
    <row r="11272" spans="1:1" x14ac:dyDescent="0.2">
      <c r="A11272" s="52"/>
    </row>
    <row r="11273" spans="1:1" x14ac:dyDescent="0.2">
      <c r="A11273" s="52"/>
    </row>
    <row r="11274" spans="1:1" x14ac:dyDescent="0.2">
      <c r="A11274" s="52"/>
    </row>
    <row r="11275" spans="1:1" x14ac:dyDescent="0.2">
      <c r="A11275" s="52"/>
    </row>
    <row r="11276" spans="1:1" x14ac:dyDescent="0.2">
      <c r="A11276" s="52"/>
    </row>
    <row r="11277" spans="1:1" x14ac:dyDescent="0.2">
      <c r="A11277" s="52"/>
    </row>
    <row r="11278" spans="1:1" x14ac:dyDescent="0.2">
      <c r="A11278" s="52"/>
    </row>
    <row r="11279" spans="1:1" x14ac:dyDescent="0.2">
      <c r="A11279" s="52"/>
    </row>
    <row r="11280" spans="1:1" x14ac:dyDescent="0.2">
      <c r="A11280" s="52"/>
    </row>
    <row r="11281" spans="1:1" x14ac:dyDescent="0.2">
      <c r="A11281" s="52"/>
    </row>
    <row r="11282" spans="1:1" x14ac:dyDescent="0.2">
      <c r="A11282" s="52"/>
    </row>
    <row r="11283" spans="1:1" x14ac:dyDescent="0.2">
      <c r="A11283" s="52"/>
    </row>
    <row r="11284" spans="1:1" x14ac:dyDescent="0.2">
      <c r="A11284" s="52"/>
    </row>
    <row r="11285" spans="1:1" x14ac:dyDescent="0.2">
      <c r="A11285" s="52"/>
    </row>
    <row r="11286" spans="1:1" x14ac:dyDescent="0.2">
      <c r="A11286" s="52"/>
    </row>
    <row r="11287" spans="1:1" x14ac:dyDescent="0.2">
      <c r="A11287" s="52"/>
    </row>
    <row r="11288" spans="1:1" x14ac:dyDescent="0.2">
      <c r="A11288" s="53"/>
    </row>
    <row r="11289" spans="1:1" x14ac:dyDescent="0.2">
      <c r="A11289" s="52"/>
    </row>
    <row r="11290" spans="1:1" x14ac:dyDescent="0.2">
      <c r="A11290" s="52"/>
    </row>
    <row r="11291" spans="1:1" x14ac:dyDescent="0.2">
      <c r="A11291" s="52"/>
    </row>
    <row r="11292" spans="1:1" x14ac:dyDescent="0.2">
      <c r="A11292" s="52"/>
    </row>
    <row r="11293" spans="1:1" x14ac:dyDescent="0.2">
      <c r="A11293" s="52"/>
    </row>
    <row r="11294" spans="1:1" x14ac:dyDescent="0.2">
      <c r="A11294" s="52"/>
    </row>
    <row r="11295" spans="1:1" x14ac:dyDescent="0.2">
      <c r="A11295" s="52"/>
    </row>
    <row r="11296" spans="1:1" x14ac:dyDescent="0.2">
      <c r="A11296" s="53"/>
    </row>
    <row r="11297" spans="1:1" x14ac:dyDescent="0.2">
      <c r="A11297" s="53"/>
    </row>
    <row r="11298" spans="1:1" x14ac:dyDescent="0.2">
      <c r="A11298" s="52"/>
    </row>
    <row r="11299" spans="1:1" x14ac:dyDescent="0.2">
      <c r="A11299" s="53"/>
    </row>
    <row r="11300" spans="1:1" x14ac:dyDescent="0.2">
      <c r="A11300" s="52"/>
    </row>
    <row r="11301" spans="1:1" x14ac:dyDescent="0.2">
      <c r="A11301" s="52"/>
    </row>
    <row r="11302" spans="1:1" x14ac:dyDescent="0.2">
      <c r="A11302" s="52"/>
    </row>
    <row r="11303" spans="1:1" x14ac:dyDescent="0.2">
      <c r="A11303" s="52"/>
    </row>
    <row r="11304" spans="1:1" x14ac:dyDescent="0.2">
      <c r="A11304" s="52"/>
    </row>
    <row r="11305" spans="1:1" x14ac:dyDescent="0.2">
      <c r="A11305" s="52"/>
    </row>
    <row r="11306" spans="1:1" x14ac:dyDescent="0.2">
      <c r="A11306" s="52"/>
    </row>
    <row r="11307" spans="1:1" x14ac:dyDescent="0.2">
      <c r="A11307" s="52"/>
    </row>
    <row r="11308" spans="1:1" x14ac:dyDescent="0.2">
      <c r="A11308" s="52"/>
    </row>
    <row r="11309" spans="1:1" x14ac:dyDescent="0.2">
      <c r="A11309" s="52"/>
    </row>
    <row r="11310" spans="1:1" x14ac:dyDescent="0.2">
      <c r="A11310" s="52"/>
    </row>
    <row r="11311" spans="1:1" x14ac:dyDescent="0.2">
      <c r="A11311" s="52"/>
    </row>
    <row r="11312" spans="1:1" x14ac:dyDescent="0.2">
      <c r="A11312" s="52"/>
    </row>
    <row r="11313" spans="1:1" x14ac:dyDescent="0.2">
      <c r="A11313" s="52"/>
    </row>
    <row r="11314" spans="1:1" x14ac:dyDescent="0.2">
      <c r="A11314" s="52"/>
    </row>
    <row r="11315" spans="1:1" x14ac:dyDescent="0.2">
      <c r="A11315" s="52"/>
    </row>
    <row r="11316" spans="1:1" x14ac:dyDescent="0.2">
      <c r="A11316" s="52"/>
    </row>
    <row r="11317" spans="1:1" x14ac:dyDescent="0.2">
      <c r="A11317" s="52"/>
    </row>
    <row r="11318" spans="1:1" x14ac:dyDescent="0.2">
      <c r="A11318" s="53"/>
    </row>
    <row r="11319" spans="1:1" x14ac:dyDescent="0.2">
      <c r="A11319" s="52"/>
    </row>
    <row r="11320" spans="1:1" x14ac:dyDescent="0.2">
      <c r="A11320" s="52"/>
    </row>
    <row r="11321" spans="1:1" x14ac:dyDescent="0.2">
      <c r="A11321" s="52"/>
    </row>
    <row r="11322" spans="1:1" x14ac:dyDescent="0.2">
      <c r="A11322" s="52"/>
    </row>
    <row r="11323" spans="1:1" x14ac:dyDescent="0.2">
      <c r="A11323" s="52"/>
    </row>
    <row r="11324" spans="1:1" x14ac:dyDescent="0.2">
      <c r="A11324" s="52"/>
    </row>
    <row r="11325" spans="1:1" x14ac:dyDescent="0.2">
      <c r="A11325" s="52"/>
    </row>
    <row r="11326" spans="1:1" x14ac:dyDescent="0.2">
      <c r="A11326" s="52"/>
    </row>
    <row r="11327" spans="1:1" x14ac:dyDescent="0.2">
      <c r="A11327" s="52"/>
    </row>
    <row r="11328" spans="1:1" x14ac:dyDescent="0.2">
      <c r="A11328" s="52"/>
    </row>
    <row r="11329" spans="1:1" x14ac:dyDescent="0.2">
      <c r="A11329" s="52"/>
    </row>
    <row r="11330" spans="1:1" x14ac:dyDescent="0.2">
      <c r="A11330" s="52"/>
    </row>
    <row r="11331" spans="1:1" x14ac:dyDescent="0.2">
      <c r="A11331" s="52"/>
    </row>
    <row r="11332" spans="1:1" x14ac:dyDescent="0.2">
      <c r="A11332" s="53"/>
    </row>
    <row r="11333" spans="1:1" x14ac:dyDescent="0.2">
      <c r="A11333" s="53"/>
    </row>
    <row r="11334" spans="1:1" x14ac:dyDescent="0.2">
      <c r="A11334" s="53"/>
    </row>
    <row r="11335" spans="1:1" x14ac:dyDescent="0.2">
      <c r="A11335" s="52"/>
    </row>
    <row r="11336" spans="1:1" x14ac:dyDescent="0.2">
      <c r="A11336" s="52"/>
    </row>
    <row r="11337" spans="1:1" x14ac:dyDescent="0.2">
      <c r="A11337" s="53"/>
    </row>
    <row r="11338" spans="1:1" x14ac:dyDescent="0.2">
      <c r="A11338" s="52"/>
    </row>
    <row r="11339" spans="1:1" x14ac:dyDescent="0.2">
      <c r="A11339" s="52"/>
    </row>
    <row r="11340" spans="1:1" x14ac:dyDescent="0.2">
      <c r="A11340" s="52"/>
    </row>
    <row r="11341" spans="1:1" x14ac:dyDescent="0.2">
      <c r="A11341" s="52"/>
    </row>
    <row r="11342" spans="1:1" x14ac:dyDescent="0.2">
      <c r="A11342" s="52"/>
    </row>
    <row r="11343" spans="1:1" x14ac:dyDescent="0.2">
      <c r="A11343" s="52"/>
    </row>
    <row r="11344" spans="1:1" x14ac:dyDescent="0.2">
      <c r="A11344" s="52"/>
    </row>
    <row r="11345" spans="1:1" x14ac:dyDescent="0.2">
      <c r="A11345" s="52"/>
    </row>
    <row r="11346" spans="1:1" x14ac:dyDescent="0.2">
      <c r="A11346" s="52"/>
    </row>
    <row r="11347" spans="1:1" x14ac:dyDescent="0.2">
      <c r="A11347" s="52"/>
    </row>
    <row r="11348" spans="1:1" x14ac:dyDescent="0.2">
      <c r="A11348" s="52"/>
    </row>
    <row r="11349" spans="1:1" x14ac:dyDescent="0.2">
      <c r="A11349" s="52"/>
    </row>
    <row r="11350" spans="1:1" x14ac:dyDescent="0.2">
      <c r="A11350" s="52"/>
    </row>
    <row r="11351" spans="1:1" x14ac:dyDescent="0.2">
      <c r="A11351" s="52"/>
    </row>
    <row r="11352" spans="1:1" x14ac:dyDescent="0.2">
      <c r="A11352" s="52"/>
    </row>
    <row r="11353" spans="1:1" x14ac:dyDescent="0.2">
      <c r="A11353" s="52"/>
    </row>
    <row r="11354" spans="1:1" x14ac:dyDescent="0.2">
      <c r="A11354" s="52"/>
    </row>
    <row r="11355" spans="1:1" x14ac:dyDescent="0.2">
      <c r="A11355" s="52"/>
    </row>
    <row r="11356" spans="1:1" x14ac:dyDescent="0.2">
      <c r="A11356" s="52"/>
    </row>
    <row r="11357" spans="1:1" x14ac:dyDescent="0.2">
      <c r="A11357" s="52"/>
    </row>
    <row r="11358" spans="1:1" x14ac:dyDescent="0.2">
      <c r="A11358" s="52"/>
    </row>
    <row r="11359" spans="1:1" x14ac:dyDescent="0.2">
      <c r="A11359" s="52"/>
    </row>
    <row r="11360" spans="1:1" x14ac:dyDescent="0.2">
      <c r="A11360" s="52"/>
    </row>
    <row r="11361" spans="1:1" x14ac:dyDescent="0.2">
      <c r="A11361" s="52"/>
    </row>
    <row r="11362" spans="1:1" x14ac:dyDescent="0.2">
      <c r="A11362" s="52"/>
    </row>
    <row r="11363" spans="1:1" x14ac:dyDescent="0.2">
      <c r="A11363" s="53"/>
    </row>
    <row r="11364" spans="1:1" x14ac:dyDescent="0.2">
      <c r="A11364" s="52"/>
    </row>
    <row r="11365" spans="1:1" x14ac:dyDescent="0.2">
      <c r="A11365" s="52"/>
    </row>
    <row r="11366" spans="1:1" x14ac:dyDescent="0.2">
      <c r="A11366" s="52"/>
    </row>
    <row r="11367" spans="1:1" x14ac:dyDescent="0.2">
      <c r="A11367" s="52"/>
    </row>
    <row r="11368" spans="1:1" x14ac:dyDescent="0.2">
      <c r="A11368" s="52"/>
    </row>
    <row r="11369" spans="1:1" x14ac:dyDescent="0.2">
      <c r="A11369" s="53"/>
    </row>
    <row r="11370" spans="1:1" x14ac:dyDescent="0.2">
      <c r="A11370" s="52"/>
    </row>
    <row r="11371" spans="1:1" x14ac:dyDescent="0.2">
      <c r="A11371" s="52"/>
    </row>
    <row r="11372" spans="1:1" x14ac:dyDescent="0.2">
      <c r="A11372" s="52"/>
    </row>
    <row r="11373" spans="1:1" x14ac:dyDescent="0.2">
      <c r="A11373" s="52"/>
    </row>
    <row r="11374" spans="1:1" x14ac:dyDescent="0.2">
      <c r="A11374" s="53"/>
    </row>
    <row r="11375" spans="1:1" x14ac:dyDescent="0.2">
      <c r="A11375" s="52"/>
    </row>
    <row r="11376" spans="1:1" x14ac:dyDescent="0.2">
      <c r="A11376" s="52"/>
    </row>
    <row r="11377" spans="1:1" x14ac:dyDescent="0.2">
      <c r="A11377" s="52"/>
    </row>
    <row r="11378" spans="1:1" x14ac:dyDescent="0.2">
      <c r="A11378" s="52"/>
    </row>
    <row r="11379" spans="1:1" x14ac:dyDescent="0.2">
      <c r="A11379" s="52"/>
    </row>
    <row r="11380" spans="1:1" x14ac:dyDescent="0.2">
      <c r="A11380" s="52"/>
    </row>
    <row r="11381" spans="1:1" x14ac:dyDescent="0.2">
      <c r="A11381" s="53"/>
    </row>
    <row r="11382" spans="1:1" x14ac:dyDescent="0.2">
      <c r="A11382" s="52"/>
    </row>
    <row r="11383" spans="1:1" x14ac:dyDescent="0.2">
      <c r="A11383" s="53"/>
    </row>
    <row r="11384" spans="1:1" x14ac:dyDescent="0.2">
      <c r="A11384" s="52"/>
    </row>
    <row r="11385" spans="1:1" x14ac:dyDescent="0.2">
      <c r="A11385" s="52"/>
    </row>
    <row r="11386" spans="1:1" x14ac:dyDescent="0.2">
      <c r="A11386" s="52"/>
    </row>
    <row r="11387" spans="1:1" x14ac:dyDescent="0.2">
      <c r="A11387" s="52"/>
    </row>
    <row r="11388" spans="1:1" x14ac:dyDescent="0.2">
      <c r="A11388" s="52"/>
    </row>
    <row r="11389" spans="1:1" x14ac:dyDescent="0.2">
      <c r="A11389" s="52"/>
    </row>
    <row r="11390" spans="1:1" x14ac:dyDescent="0.2">
      <c r="A11390" s="52"/>
    </row>
    <row r="11391" spans="1:1" x14ac:dyDescent="0.2">
      <c r="A11391" s="52"/>
    </row>
    <row r="11392" spans="1:1" x14ac:dyDescent="0.2">
      <c r="A11392" s="52"/>
    </row>
    <row r="11393" spans="1:1" x14ac:dyDescent="0.2">
      <c r="A11393" s="52"/>
    </row>
    <row r="11394" spans="1:1" x14ac:dyDescent="0.2">
      <c r="A11394" s="52"/>
    </row>
    <row r="11395" spans="1:1" x14ac:dyDescent="0.2">
      <c r="A11395" s="52"/>
    </row>
    <row r="11396" spans="1:1" x14ac:dyDescent="0.2">
      <c r="A11396" s="52"/>
    </row>
    <row r="11397" spans="1:1" x14ac:dyDescent="0.2">
      <c r="A11397" s="52"/>
    </row>
    <row r="11398" spans="1:1" x14ac:dyDescent="0.2">
      <c r="A11398" s="53"/>
    </row>
    <row r="11399" spans="1:1" x14ac:dyDescent="0.2">
      <c r="A11399" s="52"/>
    </row>
    <row r="11400" spans="1:1" x14ac:dyDescent="0.2">
      <c r="A11400" s="52"/>
    </row>
    <row r="11401" spans="1:1" x14ac:dyDescent="0.2">
      <c r="A11401" s="52"/>
    </row>
    <row r="11402" spans="1:1" x14ac:dyDescent="0.2">
      <c r="A11402" s="52"/>
    </row>
    <row r="11403" spans="1:1" x14ac:dyDescent="0.2">
      <c r="A11403" s="52"/>
    </row>
    <row r="11404" spans="1:1" x14ac:dyDescent="0.2">
      <c r="A11404" s="52"/>
    </row>
    <row r="11405" spans="1:1" x14ac:dyDescent="0.2">
      <c r="A11405" s="52"/>
    </row>
    <row r="11406" spans="1:1" x14ac:dyDescent="0.2">
      <c r="A11406" s="52"/>
    </row>
    <row r="11407" spans="1:1" x14ac:dyDescent="0.2">
      <c r="A11407" s="52"/>
    </row>
    <row r="11408" spans="1:1" x14ac:dyDescent="0.2">
      <c r="A11408" s="52"/>
    </row>
    <row r="11409" spans="1:1" x14ac:dyDescent="0.2">
      <c r="A11409" s="52"/>
    </row>
    <row r="11410" spans="1:1" x14ac:dyDescent="0.2">
      <c r="A11410" s="52"/>
    </row>
    <row r="11411" spans="1:1" x14ac:dyDescent="0.2">
      <c r="A11411" s="52"/>
    </row>
    <row r="11412" spans="1:1" x14ac:dyDescent="0.2">
      <c r="A11412" s="52"/>
    </row>
    <row r="11413" spans="1:1" x14ac:dyDescent="0.2">
      <c r="A11413" s="52"/>
    </row>
    <row r="11414" spans="1:1" x14ac:dyDescent="0.2">
      <c r="A11414" s="52"/>
    </row>
    <row r="11415" spans="1:1" x14ac:dyDescent="0.2">
      <c r="A11415" s="52"/>
    </row>
    <row r="11416" spans="1:1" x14ac:dyDescent="0.2">
      <c r="A11416" s="53"/>
    </row>
    <row r="11417" spans="1:1" x14ac:dyDescent="0.2">
      <c r="A11417" s="52"/>
    </row>
    <row r="11418" spans="1:1" x14ac:dyDescent="0.2">
      <c r="A11418" s="52"/>
    </row>
    <row r="11419" spans="1:1" x14ac:dyDescent="0.2">
      <c r="A11419" s="52"/>
    </row>
    <row r="11420" spans="1:1" x14ac:dyDescent="0.2">
      <c r="A11420" s="53"/>
    </row>
    <row r="11421" spans="1:1" x14ac:dyDescent="0.2">
      <c r="A11421" s="52"/>
    </row>
    <row r="11422" spans="1:1" x14ac:dyDescent="0.2">
      <c r="A11422" s="52"/>
    </row>
    <row r="11423" spans="1:1" x14ac:dyDescent="0.2">
      <c r="A11423" s="52"/>
    </row>
    <row r="11424" spans="1:1" x14ac:dyDescent="0.2">
      <c r="A11424" s="52"/>
    </row>
    <row r="11425" spans="1:1" x14ac:dyDescent="0.2">
      <c r="A11425" s="52"/>
    </row>
    <row r="11426" spans="1:1" x14ac:dyDescent="0.2">
      <c r="A11426" s="52"/>
    </row>
    <row r="11427" spans="1:1" x14ac:dyDescent="0.2">
      <c r="A11427" s="52"/>
    </row>
    <row r="11428" spans="1:1" x14ac:dyDescent="0.2">
      <c r="A11428" s="52"/>
    </row>
    <row r="11429" spans="1:1" x14ac:dyDescent="0.2">
      <c r="A11429" s="52"/>
    </row>
    <row r="11430" spans="1:1" x14ac:dyDescent="0.2">
      <c r="A11430" s="52"/>
    </row>
    <row r="11431" spans="1:1" x14ac:dyDescent="0.2">
      <c r="A11431" s="52"/>
    </row>
    <row r="11432" spans="1:1" x14ac:dyDescent="0.2">
      <c r="A11432" s="52"/>
    </row>
    <row r="11433" spans="1:1" x14ac:dyDescent="0.2">
      <c r="A11433" s="53"/>
    </row>
    <row r="11434" spans="1:1" x14ac:dyDescent="0.2">
      <c r="A11434" s="52"/>
    </row>
    <row r="11435" spans="1:1" x14ac:dyDescent="0.2">
      <c r="A11435" s="52"/>
    </row>
    <row r="11436" spans="1:1" x14ac:dyDescent="0.2">
      <c r="A11436" s="52"/>
    </row>
    <row r="11437" spans="1:1" x14ac:dyDescent="0.2">
      <c r="A11437" s="52"/>
    </row>
    <row r="11438" spans="1:1" x14ac:dyDescent="0.2">
      <c r="A11438" s="52"/>
    </row>
    <row r="11439" spans="1:1" x14ac:dyDescent="0.2">
      <c r="A11439" s="52"/>
    </row>
    <row r="11440" spans="1:1" x14ac:dyDescent="0.2">
      <c r="A11440" s="52"/>
    </row>
    <row r="11441" spans="1:1" x14ac:dyDescent="0.2">
      <c r="A11441" s="52"/>
    </row>
    <row r="11442" spans="1:1" x14ac:dyDescent="0.2">
      <c r="A11442" s="52"/>
    </row>
    <row r="11443" spans="1:1" x14ac:dyDescent="0.2">
      <c r="A11443" s="52"/>
    </row>
    <row r="11444" spans="1:1" x14ac:dyDescent="0.2">
      <c r="A11444" s="52"/>
    </row>
    <row r="11445" spans="1:1" x14ac:dyDescent="0.2">
      <c r="A11445" s="52"/>
    </row>
    <row r="11446" spans="1:1" x14ac:dyDescent="0.2">
      <c r="A11446" s="53"/>
    </row>
    <row r="11447" spans="1:1" x14ac:dyDescent="0.2">
      <c r="A11447" s="52"/>
    </row>
    <row r="11448" spans="1:1" x14ac:dyDescent="0.2">
      <c r="A11448" s="52"/>
    </row>
    <row r="11449" spans="1:1" x14ac:dyDescent="0.2">
      <c r="A11449" s="52"/>
    </row>
    <row r="11450" spans="1:1" x14ac:dyDescent="0.2">
      <c r="A11450" s="52"/>
    </row>
    <row r="11451" spans="1:1" x14ac:dyDescent="0.2">
      <c r="A11451" s="52"/>
    </row>
    <row r="11452" spans="1:1" x14ac:dyDescent="0.2">
      <c r="A11452" s="52"/>
    </row>
    <row r="11453" spans="1:1" x14ac:dyDescent="0.2">
      <c r="A11453" s="52"/>
    </row>
    <row r="11454" spans="1:1" x14ac:dyDescent="0.2">
      <c r="A11454" s="52"/>
    </row>
    <row r="11455" spans="1:1" x14ac:dyDescent="0.2">
      <c r="A11455" s="52"/>
    </row>
    <row r="11456" spans="1:1" x14ac:dyDescent="0.2">
      <c r="A11456" s="52"/>
    </row>
    <row r="11457" spans="1:1" x14ac:dyDescent="0.2">
      <c r="A11457" s="53"/>
    </row>
    <row r="11458" spans="1:1" x14ac:dyDescent="0.2">
      <c r="A11458" s="52"/>
    </row>
    <row r="11459" spans="1:1" x14ac:dyDescent="0.2">
      <c r="A11459" s="52"/>
    </row>
    <row r="11460" spans="1:1" x14ac:dyDescent="0.2">
      <c r="A11460" s="52"/>
    </row>
    <row r="11461" spans="1:1" x14ac:dyDescent="0.2">
      <c r="A11461" s="52"/>
    </row>
    <row r="11462" spans="1:1" x14ac:dyDescent="0.2">
      <c r="A11462" s="52"/>
    </row>
    <row r="11463" spans="1:1" x14ac:dyDescent="0.2">
      <c r="A11463" s="52"/>
    </row>
    <row r="11464" spans="1:1" x14ac:dyDescent="0.2">
      <c r="A11464" s="52"/>
    </row>
    <row r="11465" spans="1:1" x14ac:dyDescent="0.2">
      <c r="A11465" s="52"/>
    </row>
    <row r="11466" spans="1:1" x14ac:dyDescent="0.2">
      <c r="A11466" s="52"/>
    </row>
    <row r="11467" spans="1:1" x14ac:dyDescent="0.2">
      <c r="A11467" s="52"/>
    </row>
    <row r="11468" spans="1:1" x14ac:dyDescent="0.2">
      <c r="A11468" s="52"/>
    </row>
    <row r="11469" spans="1:1" x14ac:dyDescent="0.2">
      <c r="A11469" s="52"/>
    </row>
    <row r="11470" spans="1:1" x14ac:dyDescent="0.2">
      <c r="A11470" s="52"/>
    </row>
    <row r="11471" spans="1:1" x14ac:dyDescent="0.2">
      <c r="A11471" s="52"/>
    </row>
    <row r="11472" spans="1:1" x14ac:dyDescent="0.2">
      <c r="A11472" s="52"/>
    </row>
    <row r="11473" spans="1:1" x14ac:dyDescent="0.2">
      <c r="A11473" s="53"/>
    </row>
    <row r="11474" spans="1:1" x14ac:dyDescent="0.2">
      <c r="A11474" s="52"/>
    </row>
    <row r="11475" spans="1:1" x14ac:dyDescent="0.2">
      <c r="A11475" s="52"/>
    </row>
    <row r="11476" spans="1:1" x14ac:dyDescent="0.2">
      <c r="A11476" s="52"/>
    </row>
    <row r="11477" spans="1:1" x14ac:dyDescent="0.2">
      <c r="A11477" s="52"/>
    </row>
    <row r="11478" spans="1:1" x14ac:dyDescent="0.2">
      <c r="A11478" s="52"/>
    </row>
    <row r="11479" spans="1:1" x14ac:dyDescent="0.2">
      <c r="A11479" s="52"/>
    </row>
    <row r="11480" spans="1:1" x14ac:dyDescent="0.2">
      <c r="A11480" s="52"/>
    </row>
    <row r="11481" spans="1:1" x14ac:dyDescent="0.2">
      <c r="A11481" s="52"/>
    </row>
    <row r="11482" spans="1:1" x14ac:dyDescent="0.2">
      <c r="A11482" s="52"/>
    </row>
    <row r="11483" spans="1:1" x14ac:dyDescent="0.2">
      <c r="A11483" s="52"/>
    </row>
    <row r="11484" spans="1:1" x14ac:dyDescent="0.2">
      <c r="A11484" s="52"/>
    </row>
    <row r="11485" spans="1:1" x14ac:dyDescent="0.2">
      <c r="A11485" s="52"/>
    </row>
    <row r="11486" spans="1:1" x14ac:dyDescent="0.2">
      <c r="A11486" s="52"/>
    </row>
    <row r="11487" spans="1:1" x14ac:dyDescent="0.2">
      <c r="A11487" s="52"/>
    </row>
    <row r="11488" spans="1:1" x14ac:dyDescent="0.2">
      <c r="A11488" s="52"/>
    </row>
    <row r="11489" spans="1:1" x14ac:dyDescent="0.2">
      <c r="A11489" s="52"/>
    </row>
    <row r="11490" spans="1:1" x14ac:dyDescent="0.2">
      <c r="A11490" s="52"/>
    </row>
    <row r="11491" spans="1:1" x14ac:dyDescent="0.2">
      <c r="A11491" s="53"/>
    </row>
    <row r="11492" spans="1:1" x14ac:dyDescent="0.2">
      <c r="A11492" s="52"/>
    </row>
    <row r="11493" spans="1:1" x14ac:dyDescent="0.2">
      <c r="A11493" s="52"/>
    </row>
    <row r="11494" spans="1:1" x14ac:dyDescent="0.2">
      <c r="A11494" s="52"/>
    </row>
    <row r="11495" spans="1:1" x14ac:dyDescent="0.2">
      <c r="A11495" s="52"/>
    </row>
    <row r="11496" spans="1:1" x14ac:dyDescent="0.2">
      <c r="A11496" s="52"/>
    </row>
    <row r="11497" spans="1:1" x14ac:dyDescent="0.2">
      <c r="A11497" s="52"/>
    </row>
    <row r="11498" spans="1:1" x14ac:dyDescent="0.2">
      <c r="A11498" s="52"/>
    </row>
    <row r="11499" spans="1:1" x14ac:dyDescent="0.2">
      <c r="A11499" s="52"/>
    </row>
    <row r="11500" spans="1:1" x14ac:dyDescent="0.2">
      <c r="A11500" s="52"/>
    </row>
    <row r="11501" spans="1:1" x14ac:dyDescent="0.2">
      <c r="A11501" s="52"/>
    </row>
    <row r="11502" spans="1:1" x14ac:dyDescent="0.2">
      <c r="A11502" s="52"/>
    </row>
    <row r="11503" spans="1:1" x14ac:dyDescent="0.2">
      <c r="A11503" s="52"/>
    </row>
    <row r="11504" spans="1:1" x14ac:dyDescent="0.2">
      <c r="A11504" s="52"/>
    </row>
    <row r="11505" spans="1:1" x14ac:dyDescent="0.2">
      <c r="A11505" s="52"/>
    </row>
    <row r="11506" spans="1:1" x14ac:dyDescent="0.2">
      <c r="A11506" s="52"/>
    </row>
    <row r="11507" spans="1:1" x14ac:dyDescent="0.2">
      <c r="A11507" s="52"/>
    </row>
    <row r="11508" spans="1:1" x14ac:dyDescent="0.2">
      <c r="A11508" s="52"/>
    </row>
    <row r="11509" spans="1:1" x14ac:dyDescent="0.2">
      <c r="A11509" s="52"/>
    </row>
    <row r="11510" spans="1:1" x14ac:dyDescent="0.2">
      <c r="A11510" s="52"/>
    </row>
    <row r="11511" spans="1:1" x14ac:dyDescent="0.2">
      <c r="A11511" s="52"/>
    </row>
    <row r="11512" spans="1:1" x14ac:dyDescent="0.2">
      <c r="A11512" s="52"/>
    </row>
    <row r="11513" spans="1:1" x14ac:dyDescent="0.2">
      <c r="A11513" s="52"/>
    </row>
    <row r="11514" spans="1:1" x14ac:dyDescent="0.2">
      <c r="A11514" s="52"/>
    </row>
    <row r="11515" spans="1:1" x14ac:dyDescent="0.2">
      <c r="A11515" s="52"/>
    </row>
    <row r="11516" spans="1:1" x14ac:dyDescent="0.2">
      <c r="A11516" s="52"/>
    </row>
    <row r="11517" spans="1:1" x14ac:dyDescent="0.2">
      <c r="A11517" s="52"/>
    </row>
    <row r="11518" spans="1:1" x14ac:dyDescent="0.2">
      <c r="A11518" s="52"/>
    </row>
    <row r="11519" spans="1:1" x14ac:dyDescent="0.2">
      <c r="A11519" s="52"/>
    </row>
    <row r="11520" spans="1:1" x14ac:dyDescent="0.2">
      <c r="A11520" s="52"/>
    </row>
    <row r="11521" spans="1:1" x14ac:dyDescent="0.2">
      <c r="A11521" s="52"/>
    </row>
    <row r="11522" spans="1:1" x14ac:dyDescent="0.2">
      <c r="A11522" s="52"/>
    </row>
    <row r="11523" spans="1:1" x14ac:dyDescent="0.2">
      <c r="A11523" s="53"/>
    </row>
    <row r="11524" spans="1:1" x14ac:dyDescent="0.2">
      <c r="A11524" s="52"/>
    </row>
    <row r="11525" spans="1:1" x14ac:dyDescent="0.2">
      <c r="A11525" s="52"/>
    </row>
    <row r="11526" spans="1:1" x14ac:dyDescent="0.2">
      <c r="A11526" s="52"/>
    </row>
    <row r="11527" spans="1:1" x14ac:dyDescent="0.2">
      <c r="A11527" s="52"/>
    </row>
    <row r="11528" spans="1:1" x14ac:dyDescent="0.2">
      <c r="A11528" s="52"/>
    </row>
    <row r="11529" spans="1:1" x14ac:dyDescent="0.2">
      <c r="A11529" s="53"/>
    </row>
    <row r="11530" spans="1:1" x14ac:dyDescent="0.2">
      <c r="A11530" s="52"/>
    </row>
    <row r="11531" spans="1:1" x14ac:dyDescent="0.2">
      <c r="A11531" s="53"/>
    </row>
    <row r="11532" spans="1:1" x14ac:dyDescent="0.2">
      <c r="A11532" s="52"/>
    </row>
    <row r="11533" spans="1:1" x14ac:dyDescent="0.2">
      <c r="A11533" s="52"/>
    </row>
    <row r="11534" spans="1:1" x14ac:dyDescent="0.2">
      <c r="A11534" s="52"/>
    </row>
    <row r="11535" spans="1:1" x14ac:dyDescent="0.2">
      <c r="A11535" s="52"/>
    </row>
    <row r="11536" spans="1:1" x14ac:dyDescent="0.2">
      <c r="A11536" s="52"/>
    </row>
    <row r="11537" spans="1:1" x14ac:dyDescent="0.2">
      <c r="A11537" s="52"/>
    </row>
    <row r="11538" spans="1:1" x14ac:dyDescent="0.2">
      <c r="A11538" s="52"/>
    </row>
    <row r="11539" spans="1:1" x14ac:dyDescent="0.2">
      <c r="A11539" s="52"/>
    </row>
    <row r="11540" spans="1:1" x14ac:dyDescent="0.2">
      <c r="A11540" s="52"/>
    </row>
    <row r="11541" spans="1:1" x14ac:dyDescent="0.2">
      <c r="A11541" s="52"/>
    </row>
    <row r="11542" spans="1:1" x14ac:dyDescent="0.2">
      <c r="A11542" s="52"/>
    </row>
    <row r="11543" spans="1:1" x14ac:dyDescent="0.2">
      <c r="A11543" s="52"/>
    </row>
    <row r="11544" spans="1:1" x14ac:dyDescent="0.2">
      <c r="A11544" s="52"/>
    </row>
    <row r="11545" spans="1:1" x14ac:dyDescent="0.2">
      <c r="A11545" s="52"/>
    </row>
    <row r="11546" spans="1:1" x14ac:dyDescent="0.2">
      <c r="A11546" s="53"/>
    </row>
    <row r="11547" spans="1:1" x14ac:dyDescent="0.2">
      <c r="A11547" s="52"/>
    </row>
    <row r="11548" spans="1:1" x14ac:dyDescent="0.2">
      <c r="A11548" s="52"/>
    </row>
    <row r="11549" spans="1:1" x14ac:dyDescent="0.2">
      <c r="A11549" s="52"/>
    </row>
    <row r="11550" spans="1:1" x14ac:dyDescent="0.2">
      <c r="A11550" s="52"/>
    </row>
    <row r="11551" spans="1:1" x14ac:dyDescent="0.2">
      <c r="A11551" s="52"/>
    </row>
    <row r="11552" spans="1:1" x14ac:dyDescent="0.2">
      <c r="A11552" s="52"/>
    </row>
    <row r="11553" spans="1:1" x14ac:dyDescent="0.2">
      <c r="A11553" s="52"/>
    </row>
    <row r="11554" spans="1:1" x14ac:dyDescent="0.2">
      <c r="A11554" s="53"/>
    </row>
    <row r="11555" spans="1:1" x14ac:dyDescent="0.2">
      <c r="A11555" s="52"/>
    </row>
    <row r="11556" spans="1:1" x14ac:dyDescent="0.2">
      <c r="A11556" s="52"/>
    </row>
    <row r="11557" spans="1:1" x14ac:dyDescent="0.2">
      <c r="A11557" s="52"/>
    </row>
    <row r="11558" spans="1:1" x14ac:dyDescent="0.2">
      <c r="A11558" s="52"/>
    </row>
    <row r="11559" spans="1:1" x14ac:dyDescent="0.2">
      <c r="A11559" s="53"/>
    </row>
    <row r="11560" spans="1:1" x14ac:dyDescent="0.2">
      <c r="A11560" s="52"/>
    </row>
    <row r="11561" spans="1:1" x14ac:dyDescent="0.2">
      <c r="A11561" s="52"/>
    </row>
    <row r="11562" spans="1:1" x14ac:dyDescent="0.2">
      <c r="A11562" s="52"/>
    </row>
    <row r="11563" spans="1:1" x14ac:dyDescent="0.2">
      <c r="A11563" s="53"/>
    </row>
    <row r="11564" spans="1:1" x14ac:dyDescent="0.2">
      <c r="A11564" s="52"/>
    </row>
    <row r="11565" spans="1:1" x14ac:dyDescent="0.2">
      <c r="A11565" s="52"/>
    </row>
    <row r="11566" spans="1:1" x14ac:dyDescent="0.2">
      <c r="A11566" s="52"/>
    </row>
    <row r="11567" spans="1:1" x14ac:dyDescent="0.2">
      <c r="A11567" s="52"/>
    </row>
    <row r="11568" spans="1:1" x14ac:dyDescent="0.2">
      <c r="A11568" s="52"/>
    </row>
    <row r="11569" spans="1:1" x14ac:dyDescent="0.2">
      <c r="A11569" s="52"/>
    </row>
    <row r="11570" spans="1:1" x14ac:dyDescent="0.2">
      <c r="A11570" s="52"/>
    </row>
    <row r="11571" spans="1:1" x14ac:dyDescent="0.2">
      <c r="A11571" s="52"/>
    </row>
    <row r="11572" spans="1:1" x14ac:dyDescent="0.2">
      <c r="A11572" s="52"/>
    </row>
    <row r="11573" spans="1:1" x14ac:dyDescent="0.2">
      <c r="A11573" s="52"/>
    </row>
    <row r="11574" spans="1:1" x14ac:dyDescent="0.2">
      <c r="A11574" s="52"/>
    </row>
    <row r="11575" spans="1:1" x14ac:dyDescent="0.2">
      <c r="A11575" s="52"/>
    </row>
    <row r="11576" spans="1:1" x14ac:dyDescent="0.2">
      <c r="A11576" s="52"/>
    </row>
    <row r="11577" spans="1:1" x14ac:dyDescent="0.2">
      <c r="A11577" s="52"/>
    </row>
    <row r="11578" spans="1:1" x14ac:dyDescent="0.2">
      <c r="A11578" s="52"/>
    </row>
    <row r="11579" spans="1:1" x14ac:dyDescent="0.2">
      <c r="A11579" s="52"/>
    </row>
    <row r="11580" spans="1:1" x14ac:dyDescent="0.2">
      <c r="A11580" s="52"/>
    </row>
    <row r="11581" spans="1:1" x14ac:dyDescent="0.2">
      <c r="A11581" s="52"/>
    </row>
    <row r="11582" spans="1:1" x14ac:dyDescent="0.2">
      <c r="A11582" s="52"/>
    </row>
    <row r="11583" spans="1:1" x14ac:dyDescent="0.2">
      <c r="A11583" s="52"/>
    </row>
    <row r="11584" spans="1:1" x14ac:dyDescent="0.2">
      <c r="A11584" s="52"/>
    </row>
    <row r="11585" spans="1:1" x14ac:dyDescent="0.2">
      <c r="A11585" s="52"/>
    </row>
    <row r="11586" spans="1:1" x14ac:dyDescent="0.2">
      <c r="A11586" s="52"/>
    </row>
    <row r="11587" spans="1:1" x14ac:dyDescent="0.2">
      <c r="A11587" s="52"/>
    </row>
    <row r="11588" spans="1:1" x14ac:dyDescent="0.2">
      <c r="A11588" s="52"/>
    </row>
    <row r="11589" spans="1:1" x14ac:dyDescent="0.2">
      <c r="A11589" s="52"/>
    </row>
    <row r="11590" spans="1:1" x14ac:dyDescent="0.2">
      <c r="A11590" s="52"/>
    </row>
    <row r="11591" spans="1:1" x14ac:dyDescent="0.2">
      <c r="A11591" s="52"/>
    </row>
    <row r="11592" spans="1:1" x14ac:dyDescent="0.2">
      <c r="A11592" s="52"/>
    </row>
    <row r="11593" spans="1:1" x14ac:dyDescent="0.2">
      <c r="A11593" s="52"/>
    </row>
    <row r="11594" spans="1:1" x14ac:dyDescent="0.2">
      <c r="A11594" s="52"/>
    </row>
    <row r="11595" spans="1:1" x14ac:dyDescent="0.2">
      <c r="A11595" s="52"/>
    </row>
    <row r="11596" spans="1:1" x14ac:dyDescent="0.2">
      <c r="A11596" s="52"/>
    </row>
    <row r="11597" spans="1:1" x14ac:dyDescent="0.2">
      <c r="A11597" s="52"/>
    </row>
    <row r="11598" spans="1:1" x14ac:dyDescent="0.2">
      <c r="A11598" s="52"/>
    </row>
    <row r="11599" spans="1:1" x14ac:dyDescent="0.2">
      <c r="A11599" s="52"/>
    </row>
    <row r="11600" spans="1:1" x14ac:dyDescent="0.2">
      <c r="A11600" s="52"/>
    </row>
    <row r="11601" spans="1:1" x14ac:dyDescent="0.2">
      <c r="A11601" s="52"/>
    </row>
    <row r="11602" spans="1:1" x14ac:dyDescent="0.2">
      <c r="A11602" s="52"/>
    </row>
    <row r="11603" spans="1:1" x14ac:dyDescent="0.2">
      <c r="A11603" s="52"/>
    </row>
    <row r="11604" spans="1:1" x14ac:dyDescent="0.2">
      <c r="A11604" s="52"/>
    </row>
    <row r="11605" spans="1:1" x14ac:dyDescent="0.2">
      <c r="A11605" s="52"/>
    </row>
    <row r="11606" spans="1:1" x14ac:dyDescent="0.2">
      <c r="A11606" s="52"/>
    </row>
    <row r="11607" spans="1:1" x14ac:dyDescent="0.2">
      <c r="A11607" s="52"/>
    </row>
    <row r="11608" spans="1:1" x14ac:dyDescent="0.2">
      <c r="A11608" s="52"/>
    </row>
    <row r="11609" spans="1:1" x14ac:dyDescent="0.2">
      <c r="A11609" s="52"/>
    </row>
    <row r="11610" spans="1:1" x14ac:dyDescent="0.2">
      <c r="A11610" s="52"/>
    </row>
    <row r="11611" spans="1:1" x14ac:dyDescent="0.2">
      <c r="A11611" s="53"/>
    </row>
    <row r="11612" spans="1:1" x14ac:dyDescent="0.2">
      <c r="A11612" s="53"/>
    </row>
    <row r="11613" spans="1:1" x14ac:dyDescent="0.2">
      <c r="A11613" s="53"/>
    </row>
    <row r="11614" spans="1:1" x14ac:dyDescent="0.2">
      <c r="A11614" s="52"/>
    </row>
    <row r="11615" spans="1:1" x14ac:dyDescent="0.2">
      <c r="A11615" s="52"/>
    </row>
    <row r="11616" spans="1:1" x14ac:dyDescent="0.2">
      <c r="A11616" s="52"/>
    </row>
    <row r="11617" spans="1:1" x14ac:dyDescent="0.2">
      <c r="A11617" s="52"/>
    </row>
    <row r="11618" spans="1:1" x14ac:dyDescent="0.2">
      <c r="A11618" s="52"/>
    </row>
    <row r="11619" spans="1:1" x14ac:dyDescent="0.2">
      <c r="A11619" s="52"/>
    </row>
    <row r="11620" spans="1:1" x14ac:dyDescent="0.2">
      <c r="A11620" s="52"/>
    </row>
    <row r="11621" spans="1:1" x14ac:dyDescent="0.2">
      <c r="A11621" s="52"/>
    </row>
    <row r="11622" spans="1:1" x14ac:dyDescent="0.2">
      <c r="A11622" s="52"/>
    </row>
    <row r="11623" spans="1:1" x14ac:dyDescent="0.2">
      <c r="A11623" s="52"/>
    </row>
    <row r="11624" spans="1:1" x14ac:dyDescent="0.2">
      <c r="A11624" s="52"/>
    </row>
    <row r="11625" spans="1:1" x14ac:dyDescent="0.2">
      <c r="A11625" s="52"/>
    </row>
    <row r="11626" spans="1:1" x14ac:dyDescent="0.2">
      <c r="A11626" s="52"/>
    </row>
    <row r="11627" spans="1:1" x14ac:dyDescent="0.2">
      <c r="A11627" s="52"/>
    </row>
    <row r="11628" spans="1:1" x14ac:dyDescent="0.2">
      <c r="A11628" s="52"/>
    </row>
    <row r="11629" spans="1:1" x14ac:dyDescent="0.2">
      <c r="A11629" s="52"/>
    </row>
    <row r="11630" spans="1:1" x14ac:dyDescent="0.2">
      <c r="A11630" s="52"/>
    </row>
    <row r="11631" spans="1:1" x14ac:dyDescent="0.2">
      <c r="A11631" s="52"/>
    </row>
    <row r="11632" spans="1:1" x14ac:dyDescent="0.2">
      <c r="A11632" s="52"/>
    </row>
    <row r="11633" spans="1:1" x14ac:dyDescent="0.2">
      <c r="A11633" s="52"/>
    </row>
    <row r="11634" spans="1:1" x14ac:dyDescent="0.2">
      <c r="A11634" s="52"/>
    </row>
    <row r="11635" spans="1:1" x14ac:dyDescent="0.2">
      <c r="A11635" s="52"/>
    </row>
    <row r="11636" spans="1:1" x14ac:dyDescent="0.2">
      <c r="A11636" s="52"/>
    </row>
    <row r="11637" spans="1:1" x14ac:dyDescent="0.2">
      <c r="A11637" s="52"/>
    </row>
    <row r="11638" spans="1:1" x14ac:dyDescent="0.2">
      <c r="A11638" s="52"/>
    </row>
    <row r="11639" spans="1:1" x14ac:dyDescent="0.2">
      <c r="A11639" s="52"/>
    </row>
    <row r="11640" spans="1:1" x14ac:dyDescent="0.2">
      <c r="A11640" s="52"/>
    </row>
  </sheetData>
  <autoFilter ref="A1:A138" xr:uid="{C8AF7CC2-0F4B-B74D-9102-0C0066A7415A}">
    <sortState xmlns:xlrd2="http://schemas.microsoft.com/office/spreadsheetml/2017/richdata2" ref="A2:Q11640">
      <sortCondition sortBy="cellColor" ref="A1:A11640" dxfId="165"/>
    </sortState>
  </autoFilter>
  <sortState xmlns:xlrd2="http://schemas.microsoft.com/office/spreadsheetml/2017/richdata2" ref="A2:Q11641">
    <sortCondition descending="1" ref="E1:E11641"/>
  </sortState>
  <conditionalFormatting sqref="A1">
    <cfRule type="duplicateValues" dxfId="103" priority="12"/>
    <cfRule type="duplicateValues" dxfId="102" priority="13"/>
    <cfRule type="duplicateValues" dxfId="101" priority="14"/>
    <cfRule type="duplicateValues" dxfId="100" priority="15"/>
    <cfRule type="duplicateValues" dxfId="99" priority="16"/>
  </conditionalFormatting>
  <conditionalFormatting sqref="A1:A1048576">
    <cfRule type="duplicateValues" dxfId="98" priority="1"/>
  </conditionalFormatting>
  <conditionalFormatting sqref="A3:A5">
    <cfRule type="duplicateValues" dxfId="97" priority="19"/>
    <cfRule type="duplicateValues" dxfId="96" priority="20"/>
  </conditionalFormatting>
  <conditionalFormatting sqref="A67:A3470">
    <cfRule type="duplicateValues" dxfId="95" priority="62"/>
  </conditionalFormatting>
  <conditionalFormatting sqref="A3472:A3475">
    <cfRule type="duplicateValues" dxfId="94" priority="2"/>
  </conditionalFormatting>
  <conditionalFormatting sqref="A11641:A1048576 A1:A22">
    <cfRule type="duplicateValues" dxfId="93" priority="11"/>
  </conditionalFormatting>
  <conditionalFormatting sqref="A11641:A1048576 A1:A39">
    <cfRule type="duplicateValues" dxfId="92" priority="10"/>
  </conditionalFormatting>
  <conditionalFormatting sqref="A11641:A1048576 A1:A66">
    <cfRule type="duplicateValues" dxfId="91" priority="4"/>
    <cfRule type="duplicateValues" dxfId="90" priority="7"/>
  </conditionalFormatting>
  <conditionalFormatting sqref="A11641:A1048576 A2">
    <cfRule type="duplicateValues" dxfId="89" priority="21"/>
  </conditionalFormatting>
  <conditionalFormatting sqref="A11641:A1048576 A2:A5">
    <cfRule type="duplicateValues" dxfId="88" priority="18"/>
  </conditionalFormatting>
  <conditionalFormatting sqref="A11641:A1048576">
    <cfRule type="duplicateValues" dxfId="87" priority="17"/>
    <cfRule type="duplicateValues" dxfId="86" priority="22"/>
    <cfRule type="duplicateValues" dxfId="85" priority="23"/>
  </conditionalFormatting>
  <conditionalFormatting sqref="S228:S262">
    <cfRule type="duplicateValues" dxfId="84" priority="51"/>
    <cfRule type="duplicateValues" dxfId="83" priority="52"/>
  </conditionalFormatting>
  <conditionalFormatting sqref="S263:S289">
    <cfRule type="duplicateValues" dxfId="82" priority="49"/>
    <cfRule type="duplicateValues" dxfId="81" priority="5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(1) NEKL-2 Raw</vt:lpstr>
      <vt:lpstr>(2) NEKL-2 Up Down</vt:lpstr>
      <vt:lpstr>(3) NEKL-2 Filter-1</vt:lpstr>
      <vt:lpstr>(4) NEKL-2 Filter-2</vt:lpstr>
      <vt:lpstr>(5) NEKL-3 Raw</vt:lpstr>
      <vt:lpstr>(6) NEKL-3 Up Down</vt:lpstr>
      <vt:lpstr>(7) NEKL-3 Filter-1</vt:lpstr>
      <vt:lpstr>(8) NEKL-3 Filter-2</vt:lpstr>
      <vt:lpstr>(9) MLT-3 Raw</vt:lpstr>
      <vt:lpstr>(10) MLT-3 Up Down</vt:lpstr>
      <vt:lpstr>(11) MLT-3 Filter-1</vt:lpstr>
      <vt:lpstr>(12) MLT-3 Filter-2</vt:lpstr>
      <vt:lpstr>Overlaps Filter-2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S. Fay</dc:creator>
  <cp:lastModifiedBy>David S. Fay</cp:lastModifiedBy>
  <dcterms:created xsi:type="dcterms:W3CDTF">2025-02-18T19:06:56Z</dcterms:created>
  <dcterms:modified xsi:type="dcterms:W3CDTF">2025-10-04T22:55:00Z</dcterms:modified>
</cp:coreProperties>
</file>